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_rels/pivotTable5.xml.rels" ContentType="application/vnd.openxmlformats-package.relationships+xml"/>
  <Override PartName="/xl/pivotTables/_rels/pivotTable4.xml.rels" ContentType="application/vnd.openxmlformats-package.relationships+xml"/>
  <Override PartName="/xl/pivotTables/_rels/pivotTable3.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5.xml" ContentType="application/vnd.openxmlformats-officedocument.spreadsheetml.pivotTabl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873" firstSheet="1" activeTab="2"/>
  </bookViews>
  <sheets>
    <sheet name="Plan1" sheetId="1" state="hidden" r:id="rId3"/>
    <sheet name="BM MORRO DA CRUZ - VERTICAL" sheetId="2" state="visible" r:id="rId4"/>
    <sheet name="REDE" sheetId="3" state="visible" r:id="rId5"/>
    <sheet name="APOIO_REDES" sheetId="4" state="visible" r:id="rId6"/>
    <sheet name="RES_REDES" sheetId="5" state="visible" r:id="rId7"/>
    <sheet name="RES_TRECHOS" sheetId="6" state="visible" r:id="rId8"/>
    <sheet name="RES_ENDEREÇOS" sheetId="7" state="visible" r:id="rId9"/>
    <sheet name="RES_DMC" sheetId="8" state="visible" r:id="rId10"/>
    <sheet name="QUANT. REDES BM" sheetId="9" state="visible" r:id="rId11"/>
    <sheet name="TESTE" sheetId="10" state="visible" r:id="rId12"/>
    <sheet name="RESUMO - NS LIBERADAS" sheetId="11" state="hidden" r:id="rId13"/>
    <sheet name="MEMÓRIA DE CÁLCULO" sheetId="12" state="hidden" r:id="rId14"/>
    <sheet name="Plan7" sheetId="13" state="hidden" r:id="rId15"/>
    <sheet name="Plan2" sheetId="14" state="hidden" r:id="rId16"/>
  </sheets>
  <calcPr iterateCount="100" refMode="A1" iterate="false" iterateDelta="0.001" fullCalcOnLoad="1"/>
  <pivotCaches>
    <pivotCache cacheId="1" r:id="rId18"/>
  </pivotCaches>
  <extLst>
    <ext xmlns:loext="http://schemas.libreoffice.org/" uri="{7626C862-2A13-11E5-B345-FEFF819CDC9F}">
      <loext:extCalcPr stringRefSyntax="ExcelA1"/>
    </ext>
  </extLst>
</workbook>
</file>

<file path=xl/sharedStrings.xml><?xml version="1.0" encoding="utf-8"?>
<sst xmlns="http://schemas.openxmlformats.org/spreadsheetml/2006/main" count="58186" uniqueCount="7201">
  <si>
    <t xml:space="preserve">APOIO PARA CRONOGRAMA FF</t>
  </si>
  <si>
    <t xml:space="preserve">BM - PLANILHA DE MEDIÇÃO - ORÇAMENTOS PARCIAIS</t>
  </si>
  <si>
    <t xml:space="preserve">CONTRATO:</t>
  </si>
  <si>
    <t xml:space="preserve">ANKARA</t>
  </si>
  <si>
    <t xml:space="preserve">LEV.</t>
  </si>
  <si>
    <t xml:space="preserve">10239 /</t>
  </si>
  <si>
    <t xml:space="preserve">REDES</t>
  </si>
  <si>
    <t xml:space="preserve">OBRA:</t>
  </si>
  <si>
    <t xml:space="preserve">DATA BASE - ORÇAMENTO:</t>
  </si>
  <si>
    <t xml:space="preserve">ORIGINAL - P0 (CAESB) - PV</t>
  </si>
  <si>
    <t xml:space="preserve">CUSTO ANKARA P/ PROPOSTA - CUSTO LINEAR</t>
  </si>
  <si>
    <t xml:space="preserve">CUSTO ANKARA (ESTUDADO) - PS 
(REFERÊNCIA P/ COMPRAS)</t>
  </si>
  <si>
    <t xml:space="preserve">PERÍODO:</t>
  </si>
  <si>
    <t xml:space="preserve">IMPLANTAÇÃO DE REDES DE DISTRIBUIÇÃO NO MORRO DA CRUZ, SÃO SEBASTIÃO/DF</t>
  </si>
  <si>
    <t xml:space="preserve">01/2025</t>
  </si>
  <si>
    <t xml:space="preserve">REV01 - 13/10/2026</t>
  </si>
  <si>
    <t xml:space="preserve">SEQUÊNCIA</t>
  </si>
  <si>
    <t xml:space="preserve">CÓD. 
CRON. FF</t>
  </si>
  <si>
    <t xml:space="preserve">DESCRIÇÃO DO ORÇAMENTO</t>
  </si>
  <si>
    <t xml:space="preserve">ITEM - BM VERTICAL</t>
  </si>
  <si>
    <t xml:space="preserve">ITEM - BM</t>
  </si>
  <si>
    <t xml:space="preserve">DESCRIÇÃO</t>
  </si>
  <si>
    <t xml:space="preserve">PRESSÃO</t>
  </si>
  <si>
    <t xml:space="preserve">RESINA</t>
  </si>
  <si>
    <t xml:space="preserve">TIPO_CONEXÃO</t>
  </si>
  <si>
    <t xml:space="preserve">SOLDA</t>
  </si>
  <si>
    <t xml:space="preserve">DIÂMETRO</t>
  </si>
  <si>
    <t xml:space="preserve">MATERIAL</t>
  </si>
  <si>
    <t xml:space="preserve">GRUPO</t>
  </si>
  <si>
    <t xml:space="preserve">GRUPO ORÇAMENTO ANKARA</t>
  </si>
  <si>
    <t xml:space="preserve">CÓDIGO CAESB</t>
  </si>
  <si>
    <t xml:space="preserve">CLASSIFICAÇÃO</t>
  </si>
  <si>
    <t xml:space="preserve">DESCRIÇÃO SUMÁRIA</t>
  </si>
  <si>
    <t xml:space="preserve">UNID.</t>
  </si>
  <si>
    <t xml:space="preserve">QUANT.</t>
  </si>
  <si>
    <t xml:space="preserve">VALOR UNITÁRIO</t>
  </si>
  <si>
    <t xml:space="preserve">TOTAL</t>
  </si>
  <si>
    <t xml:space="preserve">CANTEIRO DE OBRAS - MATERIAL + SERVIÇO</t>
  </si>
  <si>
    <t xml:space="preserve">1</t>
  </si>
  <si>
    <t xml:space="preserve">03</t>
  </si>
  <si>
    <t xml:space="preserve">1.1</t>
  </si>
  <si>
    <t xml:space="preserve">01730</t>
  </si>
  <si>
    <t xml:space="preserve">ADMINISTRAÇÃO LOCAL</t>
  </si>
  <si>
    <t xml:space="preserve">CANTEIRO - MATERIAL</t>
  </si>
  <si>
    <t xml:space="preserve">1.1.1</t>
  </si>
  <si>
    <t xml:space="preserve">RECURSOS MATERIAIS PARA ADMINISTRAÇÃO LOCAL</t>
  </si>
  <si>
    <t xml:space="preserve">N/A</t>
  </si>
  <si>
    <t xml:space="preserve">CANTEIRO</t>
  </si>
  <si>
    <t xml:space="preserve">OUTROS</t>
  </si>
  <si>
    <t xml:space="preserve">0173003001001</t>
  </si>
  <si>
    <t xml:space="preserve">RECURSOS MATERIAIS PARA ADMINISTRAÇÃO LOCAL (MATERIAIS DE CONSUMO, ÁGUA, ENERGIA ELÉTRICA E COMUNICAÇÃO) - TIPO 2</t>
  </si>
  <si>
    <t xml:space="preserve">MES</t>
  </si>
  <si>
    <t xml:space="preserve">1.2</t>
  </si>
  <si>
    <t xml:space="preserve">01741</t>
  </si>
  <si>
    <t xml:space="preserve">CONSERVAÇÃO E LIMPEZA</t>
  </si>
  <si>
    <t xml:space="preserve">1.2.2</t>
  </si>
  <si>
    <t xml:space="preserve">TAXA DISPOSIÇÃO FINAL RCC - SEGREGADOS</t>
  </si>
  <si>
    <t xml:space="preserve">CANTEIRO/REDES/CAIXAS/INTERLIGAÇÃO</t>
  </si>
  <si>
    <t xml:space="preserve">DESCARTE</t>
  </si>
  <si>
    <t xml:space="preserve">0174103006002</t>
  </si>
  <si>
    <t xml:space="preserve">TAXA PARA DISPOSIÇÃO FINAL DE RESÍDUOS DA CONSTRUÇÃO CIVIL SEGREGADOS, CONFORME RESOLUÇÃO ADASA N° 45/2024, A PARTIR DE 01/01/2025.</t>
  </si>
  <si>
    <t xml:space="preserve">T</t>
  </si>
  <si>
    <t xml:space="preserve">1.6</t>
  </si>
  <si>
    <t xml:space="preserve">10180</t>
  </si>
  <si>
    <t xml:space="preserve">COBERTURAS</t>
  </si>
  <si>
    <t xml:space="preserve">1.6.1</t>
  </si>
  <si>
    <t xml:space="preserve">TENDA PIRAMIDAL 3,00 X 3,00 M COM FECHAMENTOS LATERAIS</t>
  </si>
  <si>
    <t xml:space="preserve">TENDA</t>
  </si>
  <si>
    <t xml:space="preserve">3,00X3,00</t>
  </si>
  <si>
    <t xml:space="preserve">LONA PVC</t>
  </si>
  <si>
    <t xml:space="preserve">1018003001001</t>
  </si>
  <si>
    <t xml:space="preserve">UN</t>
  </si>
  <si>
    <t xml:space="preserve">1.7</t>
  </si>
  <si>
    <t xml:space="preserve">12510</t>
  </si>
  <si>
    <t xml:space="preserve">MÓVEIS PARA ESCRITÓRIO</t>
  </si>
  <si>
    <t xml:space="preserve">1.7.1</t>
  </si>
  <si>
    <t xml:space="preserve">INFRAESTRUTURA BÁSICA PARA FISCALIZAÇÃO</t>
  </si>
  <si>
    <t xml:space="preserve">1251003008004</t>
  </si>
  <si>
    <t xml:space="preserve">INFRAESTRUTURA BÁSICA PARA FISCALIZAÇÃO INCLUINDO NO MÍNIMO OS ITENS A SEGUIR: MÓVEIS E EQUIPAMENTOS (DUAS MESAS, QUATRO CADEIRAS, UM PURIFICADOR DE ÁGUA, UM APARELHO DE AR CONDICIONADO 7500 BTUS, UM NOTEBOOK INTEL CORE I7, 12GB, SSD 256GB, TELA COM RESOLUÇÃO MÍNIMA 1920X1080P, WINDOWS 10 OU VERSÕES SUPERIORES, COM PACOTE MICROSOFT OFFICE 360 E ACESSO À INTERNET).</t>
  </si>
  <si>
    <t xml:space="preserve">1.11</t>
  </si>
  <si>
    <t xml:space="preserve">15120</t>
  </si>
  <si>
    <t xml:space="preserve">PRODUTOS ESPECIAIS PARA TUBULAÇÕES</t>
  </si>
  <si>
    <t xml:space="preserve">1.11.1</t>
  </si>
  <si>
    <t xml:space="preserve">CAIXA DE PROTEÇÃO PARA 01 HIDRÔMETRO - PADRÃO CAESB</t>
  </si>
  <si>
    <t xml:space="preserve">CAIXA PROTEÇÃO</t>
  </si>
  <si>
    <t xml:space="preserve">50X40</t>
  </si>
  <si>
    <t xml:space="preserve">PLÁSTICO</t>
  </si>
  <si>
    <t xml:space="preserve">CX HIDRÔMETRO</t>
  </si>
  <si>
    <t xml:space="preserve">1512003007001</t>
  </si>
  <si>
    <t xml:space="preserve">1.11.2</t>
  </si>
  <si>
    <t xml:space="preserve">HIDRÔMETRO UNIJATO COM CORPO EM COBRE</t>
  </si>
  <si>
    <t xml:space="preserve">HIDRÔMETRO</t>
  </si>
  <si>
    <t xml:space="preserve">3/4"</t>
  </si>
  <si>
    <t xml:space="preserve">COBRE</t>
  </si>
  <si>
    <t xml:space="preserve">CANTEIRO/LIGAÇÕES</t>
  </si>
  <si>
    <t xml:space="preserve">1512003001034</t>
  </si>
  <si>
    <t xml:space="preserve">HIDRÔMETRO UNIJATO COM CORPO EM COBRE (CLASSE: B / DIÂMETRO NOMINAL: 3/4" OU 20 MM / VAZÃO MÁXIMA: 1,5 M³/H / COMPRIMENTO: 115 MM)</t>
  </si>
  <si>
    <t xml:space="preserve">1.13</t>
  </si>
  <si>
    <t xml:space="preserve">15143</t>
  </si>
  <si>
    <t xml:space="preserve">TUBOS E CONEXÕES DE PVC - ÁGUA FRIA (ROSCÁVEL)</t>
  </si>
  <si>
    <t xml:space="preserve">1.13.1</t>
  </si>
  <si>
    <t xml:space="preserve">ADAPTADOR DE PVC BRANCO ROSCÁVEL COM ANEL PARA CAIXA D'ÁGUA</t>
  </si>
  <si>
    <t xml:space="preserve">ADAPTADOR</t>
  </si>
  <si>
    <t xml:space="preserve">1.1/2"</t>
  </si>
  <si>
    <t xml:space="preserve">PVC</t>
  </si>
  <si>
    <t xml:space="preserve">1514303022006</t>
  </si>
  <si>
    <t xml:space="preserve">ADAPTADOR DE PVC BRANCO ROSCÁVEL COM ANEL PARA CAIXA D'ÁGUA (DIÂMETRO DA SEÇÃO: 1 1/2 ")</t>
  </si>
  <si>
    <t xml:space="preserve">1.14</t>
  </si>
  <si>
    <t xml:space="preserve">15146</t>
  </si>
  <si>
    <t xml:space="preserve">TUBOS E CONEXÕES DE POLIETILENO DE ALTA DENSIDADE</t>
  </si>
  <si>
    <t xml:space="preserve">1.14.77</t>
  </si>
  <si>
    <t xml:space="preserve">TUBO</t>
  </si>
  <si>
    <t xml:space="preserve">PN10</t>
  </si>
  <si>
    <t xml:space="preserve">PE100</t>
  </si>
  <si>
    <t xml:space="preserve">TERMOFUSÃO</t>
  </si>
  <si>
    <t xml:space="preserve">PEAD</t>
  </si>
  <si>
    <t xml:space="preserve">CANTEIRO/HIDROMECÂNICO</t>
  </si>
  <si>
    <t xml:space="preserve">TUBO PEAD</t>
  </si>
  <si>
    <t xml:space="preserve">1514603006037</t>
  </si>
  <si>
    <t xml:space="preserve">TUBO DE POLIETILENO DE ALTA DENSIDADE (CLASSE DE PRESSÃO: 10 KGF/CM² / DIÂMETRO EXTERNO NOMINAL: 63 MM / TIPO DE RESINA: PE100)</t>
  </si>
  <si>
    <t xml:space="preserve">M</t>
  </si>
  <si>
    <t xml:space="preserve">1.18</t>
  </si>
  <si>
    <t xml:space="preserve">89001</t>
  </si>
  <si>
    <t xml:space="preserve">INSUMOS COMPLEMENTARES</t>
  </si>
  <si>
    <t xml:space="preserve">1.18.5</t>
  </si>
  <si>
    <t xml:space="preserve">FOSSA SÉPTICA SEM FILTRO - 15 A 30 CONTRIBUINTES</t>
  </si>
  <si>
    <t xml:space="preserve">FOSSA</t>
  </si>
  <si>
    <t xml:space="preserve">8900103001SI39363</t>
  </si>
  <si>
    <t xml:space="preserve">FOSSA SEPTICA, SEM FILTRO, EM POLIETILENO DE ALTA DENSIDADE (PEAD), PARA 15 A 30 CONTRIBUINTES, CILINDRICA, COM TAMPA, CAPACIDADE APROXIMADA DE *5500* LITROS (NBR 7229)</t>
  </si>
  <si>
    <t xml:space="preserve">1.18.8</t>
  </si>
  <si>
    <t xml:space="preserve">PILAR QUADRADO NAO APARELHADO 20 X 20 CM</t>
  </si>
  <si>
    <t xml:space="preserve">PILAR</t>
  </si>
  <si>
    <t xml:space="preserve">20X20</t>
  </si>
  <si>
    <t xml:space="preserve">MADEIRA</t>
  </si>
  <si>
    <t xml:space="preserve">8900103001SI35276</t>
  </si>
  <si>
    <t xml:space="preserve">PILAR QUADRADO NAO APARELHADO *20 X 20* CM, EM MACARANDUBA/MASSARANDUBA, ANGELIM OU EQUIVALENTE DA REGIAO - BRUTA</t>
  </si>
  <si>
    <t xml:space="preserve">5</t>
  </si>
  <si>
    <t xml:space="preserve">08</t>
  </si>
  <si>
    <t xml:space="preserve">SERVICOS COMPOSTOS - CONSTRUÇÃO EM GERAL</t>
  </si>
  <si>
    <t xml:space="preserve">5.1</t>
  </si>
  <si>
    <t xml:space="preserve">80005</t>
  </si>
  <si>
    <t xml:space="preserve">CANTEIRO DE OBRAS</t>
  </si>
  <si>
    <t xml:space="preserve">CANTEIRO - SERVIÇO</t>
  </si>
  <si>
    <t xml:space="preserve">5.1.1</t>
  </si>
  <si>
    <t xml:space="preserve">8000508010SI105115</t>
  </si>
  <si>
    <t xml:space="preserve">SERVIÇO</t>
  </si>
  <si>
    <t xml:space="preserve">INSTALAÇÃO E DESINSTALAÇÃO MECANIZADA DE CONTÊINER OU MÓDULO HABITÁVEL DE USOS DIVERSOS. AF_03/2024</t>
  </si>
  <si>
    <t xml:space="preserve">5.1.2</t>
  </si>
  <si>
    <t xml:space="preserve">8000508010SI98459</t>
  </si>
  <si>
    <t xml:space="preserve">TAPUME COM TELHA METÁLICA. AF_03/2024</t>
  </si>
  <si>
    <t xml:space="preserve">M2</t>
  </si>
  <si>
    <t xml:space="preserve">5.4</t>
  </si>
  <si>
    <t xml:space="preserve">80020</t>
  </si>
  <si>
    <t xml:space="preserve">MOVIMENTO DE TERRA</t>
  </si>
  <si>
    <t xml:space="preserve">5.4.4</t>
  </si>
  <si>
    <t xml:space="preserve">8002008099SI100983</t>
  </si>
  <si>
    <t xml:space="preserve">CARGA, MANOBRA E DESCARGA DE ENTULHO EM CAMINHÃO BASCULANTE 14 M³ - CARGA COM ESCAVADEIRA HIDRÁULICA (CAÇAMBA DE 0,80 M³ / 111 HP) E DESCARGA LIVRE (UNIDADE: M3). AF_07/2020</t>
  </si>
  <si>
    <t xml:space="preserve">M3</t>
  </si>
  <si>
    <t xml:space="preserve">5.4.6</t>
  </si>
  <si>
    <t xml:space="preserve">8002008099SI100997</t>
  </si>
  <si>
    <t xml:space="preserve">CARGA, MANOBRA E DESCARGA DE ENTULHO EM CAMINHÃO BASCULANTE 6 M³ - CARGA COM ESCAVADEIRA HIDRÁULICA (CAÇAMBA DE 0,80 M³ / 111 HP) E DESCARGA LIVRE (UNIDADE: T). AF_07/2020</t>
  </si>
  <si>
    <t xml:space="preserve">5.4.17</t>
  </si>
  <si>
    <t xml:space="preserve">8002008050SI93382</t>
  </si>
  <si>
    <t xml:space="preserve">REATERRO MANUAL DE VALAS, COM COMPACTADOR DE SOLOS DE PERCUSSÃO. AF_08/2023</t>
  </si>
  <si>
    <t xml:space="preserve">5.4.22</t>
  </si>
  <si>
    <t xml:space="preserve">8002008099SI93593</t>
  </si>
  <si>
    <t xml:space="preserve">TRANSPORTE COM CAMINHÃO BASCULANTE DE 14 M³, EM VIA URBANA PAVIMENTADA, ADICIONAL PARA DMT EXCEDENTE A 30 KM (UNIDADE: M3XKM). AF_07/2020</t>
  </si>
  <si>
    <t xml:space="preserve">M3XKM</t>
  </si>
  <si>
    <t xml:space="preserve">5.4.23</t>
  </si>
  <si>
    <t xml:space="preserve">8002008099SI95876</t>
  </si>
  <si>
    <t xml:space="preserve">TRANSPORTE COM CAMINHÃO BASCULANTE DE 14 M³, EM VIA URBANA PAVIMENTADA, DMT ATÉ 30 KM (UNIDADE: M3XKM). AF_07/2020</t>
  </si>
  <si>
    <t xml:space="preserve">5.4.25</t>
  </si>
  <si>
    <t xml:space="preserve">8002008099SI97914</t>
  </si>
  <si>
    <t xml:space="preserve">TRANSPORTE COM CAMINHÃO BASCULANTE DE 6 M³, EM VIA URBANA PAVIMENTADA, DMT ATÉ 30 KM (UNIDADE: M3XKM). AF_07/2020</t>
  </si>
  <si>
    <t xml:space="preserve">5.7</t>
  </si>
  <si>
    <t xml:space="preserve">80040</t>
  </si>
  <si>
    <t xml:space="preserve">FUNDAÇÕES E ESTRUTURAS</t>
  </si>
  <si>
    <t xml:space="preserve">5.7.10</t>
  </si>
  <si>
    <t xml:space="preserve">8004008028SI103075</t>
  </si>
  <si>
    <t xml:space="preserve">EXECUÇÃO DE PISO DE CONCRETO, COM ACABAMENTO SUPERFICIAL, ESPESSURA DE 15 CM, FCK = 30 MPA, COM USO DE FORMAS EM MADEIRA SERRADA. AF_09/2021</t>
  </si>
  <si>
    <t xml:space="preserve">5.7.14</t>
  </si>
  <si>
    <t xml:space="preserve">8004008020SI96624</t>
  </si>
  <si>
    <t xml:space="preserve">LASTRO COM MATERIAL GRANULAR (PEDRA BRITADA N.2), APLICADO EM PISOS OU LAJES SOBRE SOLO, ESPESSURA DE *10 CM*. AF_01/2024</t>
  </si>
  <si>
    <t xml:space="preserve">5.8</t>
  </si>
  <si>
    <t xml:space="preserve">80045</t>
  </si>
  <si>
    <t xml:space="preserve">ASSENTAMENTO</t>
  </si>
  <si>
    <t xml:space="preserve">5.8.44</t>
  </si>
  <si>
    <t xml:space="preserve">8004508283005</t>
  </si>
  <si>
    <t xml:space="preserve">ASSENTAMENTO DE TUBO PEAD LISO PARA REDE DE ÁGUA OU ESGOTO, DIÂMETRO DE 63 MM, JUNTA SOLDADA (NÃO INCLUI A EXECUÇÃO DE SOLDA) - EXCLUSO FORNECIMENTO DE TUBO</t>
  </si>
  <si>
    <t xml:space="preserve">5.9</t>
  </si>
  <si>
    <t xml:space="preserve">80050</t>
  </si>
  <si>
    <t xml:space="preserve">PAVIMENTAÇÃO</t>
  </si>
  <si>
    <t xml:space="preserve">5.9.1</t>
  </si>
  <si>
    <t xml:space="preserve">8005008010SI100574</t>
  </si>
  <si>
    <t xml:space="preserve">ESPALHAMENTO DE MATERIAL COM TRATOR DE ESTEIRAS. AF_09/2024</t>
  </si>
  <si>
    <t xml:space="preserve">5.9.6</t>
  </si>
  <si>
    <t xml:space="preserve">8005008020SI100575</t>
  </si>
  <si>
    <t xml:space="preserve">REGULARIZAÇÃO DE SUPERFÍCIES COM MOTONIVELADORA. AF_09/2024</t>
  </si>
  <si>
    <t xml:space="preserve">5.10</t>
  </si>
  <si>
    <t xml:space="preserve">80055</t>
  </si>
  <si>
    <t xml:space="preserve">LIGAÇÕES PREDIAIS</t>
  </si>
  <si>
    <t xml:space="preserve">5.10.1</t>
  </si>
  <si>
    <t xml:space="preserve">8005508100001</t>
  </si>
  <si>
    <t xml:space="preserve">ASSENTAMENTO DE HIDRÔMETRO DE 1,50 M3/HORA</t>
  </si>
  <si>
    <t xml:space="preserve">5.10.3</t>
  </si>
  <si>
    <t xml:space="preserve">8005508100SI95676</t>
  </si>
  <si>
    <t xml:space="preserve">CAIXA EM CONCRETO PRÉ-MOLDADO PARA ABRIGO DE HIDRÔMETRO COM DN 20 MM - FORNECIMENTO E INSTALAÇÃO. AF_03/2024</t>
  </si>
  <si>
    <t xml:space="preserve">5.10.4</t>
  </si>
  <si>
    <t xml:space="preserve">8005508100SI97741</t>
  </si>
  <si>
    <t xml:space="preserve">KIT CAVALETE PARA MEDIÇÃO DE ÁGUA - ENTRADA INDIVIDUALIZADA, EM PVC 25 MM (3/4"), PARA 1 MEDIDOR - FORNECIMENTO E INSTALAÇÃO (EXCLUSIVE HIDRÔMETRO). AF_03/2024</t>
  </si>
  <si>
    <t xml:space="preserve">5.10.7</t>
  </si>
  <si>
    <t xml:space="preserve">8005508120XXX8</t>
  </si>
  <si>
    <t xml:space="preserve">LIGAÇÃO PREDIAL DE ÁGUA EM REDES, DIÂMETROS ATÉ 32 MM</t>
  </si>
  <si>
    <t xml:space="preserve">5.11</t>
  </si>
  <si>
    <t xml:space="preserve">80060</t>
  </si>
  <si>
    <t xml:space="preserve">FECHAMENTO</t>
  </si>
  <si>
    <t xml:space="preserve">5.11.1</t>
  </si>
  <si>
    <t xml:space="preserve">8006008020SI94216</t>
  </si>
  <si>
    <t xml:space="preserve">TELHAMENTO COM TELHA METÁLICA TERMOACÚSTICA E = 30 MM, COM ATÉ 2 ÁGUAS, INCLUSO IÇAMENTO. AF_07/2019</t>
  </si>
  <si>
    <t xml:space="preserve">5.11.2</t>
  </si>
  <si>
    <t xml:space="preserve">8006008020SI92580</t>
  </si>
  <si>
    <t xml:space="preserve">TRAMA DE AÇO COMPOSTA POR TERÇAS PARA TELHADOS DE ATÉ 2 ÁGUAS PARA TELHA ONDULADA DE FIBROCIMENTO, METÁLICA, PLÁSTICA OU TERMOACÚSTICA, INCLUSO TRANSPORTE VERTICAL. AF_07/2019</t>
  </si>
  <si>
    <t xml:space="preserve">5.13</t>
  </si>
  <si>
    <t xml:space="preserve">80070</t>
  </si>
  <si>
    <t xml:space="preserve">INSTALAÇÕES PREDIAIS</t>
  </si>
  <si>
    <t xml:space="preserve">5.13.1</t>
  </si>
  <si>
    <t xml:space="preserve">8007008395SI98059</t>
  </si>
  <si>
    <t xml:space="preserve">FILTRO ANAERÓBIO CIRCULAR, EM CONCRETO PRÉ-MOLDADO, DIÂMETRO INTERNO = 1,88 M, ALTURA INTERNA = 1,50 M, VOLUME ÚTIL: 3331,1 L (PARA 19 CONTRIBUINTES). AF_12/2020_PA</t>
  </si>
  <si>
    <t xml:space="preserve">5.13.2</t>
  </si>
  <si>
    <t xml:space="preserve">8007008395SI98065</t>
  </si>
  <si>
    <t xml:space="preserve">SUMIDOURO CIRCULAR, EM CONCRETO PRÉ-MOLDADO, DIÂMETRO INTERNO = 2,88 M, ALTURA INTERNA = 3,0 M, ÁREA DE INFILTRAÇÃO: 31,4 M² (PARA 12 CONTRIBUINTES). AF_12/2020_PA</t>
  </si>
  <si>
    <t xml:space="preserve">5.13.3</t>
  </si>
  <si>
    <t xml:space="preserve">8007008122SI103979</t>
  </si>
  <si>
    <t xml:space="preserve">TUBO, PVC, SOLDÁVEL, DE 50MM, INSTALADO EM RAMAL DE DISTRIBUIÇÃO DE ÁGUA - FORNECIMENTO E INSTALAÇÃO. AF_06/2022</t>
  </si>
  <si>
    <t xml:space="preserve">5.14</t>
  </si>
  <si>
    <t xml:space="preserve">80080</t>
  </si>
  <si>
    <t xml:space="preserve">URBANIZAÇÃO</t>
  </si>
  <si>
    <t xml:space="preserve">5.14.2</t>
  </si>
  <si>
    <t xml:space="preserve">8008008010XXX5</t>
  </si>
  <si>
    <t xml:space="preserve">ESTRUTURA DE CONCRETO ARMADO PARA APOIO E FIXAÇÃO DO PORTÃO METÁLICO DA CERCA DE CONCRETO, COMPOSTO POR 02 (DOIS) PILARES (COM FORMATO RETANGULAR E TRIANGULAR) COM ALTURA DE 2,05M, FIXADOS NA VIGA SUPERIOR DE CONCRETO PRÉ-MOLDADO, CINTA INFERIOR DE CONCRETO SIMPLES E BLOCO DE CONCRETO ARMADO.</t>
  </si>
  <si>
    <t xml:space="preserve">5.14.3</t>
  </si>
  <si>
    <t xml:space="preserve">8008008010033</t>
  </si>
  <si>
    <t xml:space="preserve">FORNECIMENTO E ASSENTAMENTO DE PORTÃO PARA VEÍCULOS PADRÃO CAESB, COM ESTRUTURA EM TUBO E TELAS EM ARAME GALVANIZADO</t>
  </si>
  <si>
    <t xml:space="preserve">5.14.4</t>
  </si>
  <si>
    <t xml:space="preserve">8008008041SI103689</t>
  </si>
  <si>
    <t xml:space="preserve">FORNECIMENTO E INSTALAÇÃO DE PLACA DE OBRA COM CHAPA GALVANIZADA E ESTRUTURA DE MADEIRA. AF_03/2022_PS</t>
  </si>
  <si>
    <t xml:space="preserve">5.14.5</t>
  </si>
  <si>
    <t xml:space="preserve">8008008020SI98525</t>
  </si>
  <si>
    <t xml:space="preserve">LIMPEZA MECANIZADA DE CAMADA VEGETAL, VEGETAÇÃO E PEQUENAS ÁRVORES (DIÂMETRO DE TRONCO MENOR QUE 0,20 M), COM TRATOR DE ESTEIRAS. AF_03/2024</t>
  </si>
  <si>
    <t xml:space="preserve">5.15</t>
  </si>
  <si>
    <t xml:space="preserve">80085</t>
  </si>
  <si>
    <t xml:space="preserve">SERVIÇOS DIVERSOS</t>
  </si>
  <si>
    <t xml:space="preserve">5.15.1</t>
  </si>
  <si>
    <t xml:space="preserve">8008508023SI102619</t>
  </si>
  <si>
    <t xml:space="preserve">CAIXA D´ÁGUA EM POLIÉSTER REFORÇADO COM FIBRA DE VIDRO, 10000 LITROS - FORNECIMENTO E INSTALAÇÃO. AF_06/2021</t>
  </si>
  <si>
    <t xml:space="preserve">5.15.2</t>
  </si>
  <si>
    <t xml:space="preserve">8008508024X238</t>
  </si>
  <si>
    <t xml:space="preserve">DESENVOLVIMENTO DE PLANO DE GERENCIAMENTO DE RESÍDUOS SÓLIDOS - TIPO 2 (OBRA DE GRANDE PORTE), INCLUSIVE RELATÓRIO TÉCNICO</t>
  </si>
  <si>
    <t xml:space="preserve">5.15.3</t>
  </si>
  <si>
    <t xml:space="preserve">8008508023SI94799</t>
  </si>
  <si>
    <t xml:space="preserve">TORNEIRA DE BOIA PARA CAIXA D'ÁGUA, ROSCÁVEL, 1 1/2" - FORNECIMENTO E INSTALAÇÃO. AF_08/2021</t>
  </si>
  <si>
    <t xml:space="preserve">5.17</t>
  </si>
  <si>
    <t xml:space="preserve">80999</t>
  </si>
  <si>
    <t xml:space="preserve">SERVIÇO AUXILIAR PROVISÓRIO</t>
  </si>
  <si>
    <t xml:space="preserve">5.17.3</t>
  </si>
  <si>
    <t xml:space="preserve">8099908001SC4805750</t>
  </si>
  <si>
    <t xml:space="preserve">ESCAVAÇÃO MANUAL EM MATERIAL DE 1ª CATEGORIA NA PROFUNDIDADE DE ATÉ 1 M</t>
  </si>
  <si>
    <t xml:space="preserve">6</t>
  </si>
  <si>
    <t xml:space="preserve">10</t>
  </si>
  <si>
    <t xml:space="preserve">EQUIPAMENTOS (LOCAÇÃO) - BDI DIFERENCIADO</t>
  </si>
  <si>
    <t xml:space="preserve">6.1</t>
  </si>
  <si>
    <t xml:space="preserve">22020</t>
  </si>
  <si>
    <t xml:space="preserve">MÁQUINAS E EQUIPAMENTOS SINAPI</t>
  </si>
  <si>
    <t xml:space="preserve">6.1.1</t>
  </si>
  <si>
    <t xml:space="preserve">LOCAÇÃO CONTAINER ESCRITÓRIO C/ 01 SANITÁRIO</t>
  </si>
  <si>
    <t xml:space="preserve">LOCAÇÃO</t>
  </si>
  <si>
    <t xml:space="preserve">2,30X6,00X2,50</t>
  </si>
  <si>
    <t xml:space="preserve">CHAPA METÁLICA</t>
  </si>
  <si>
    <t xml:space="preserve">2202010001SI10775</t>
  </si>
  <si>
    <t xml:space="preserve">LOCACAO DE CONTAINER 2,30 X 6,00 M, ALT. 2,50 M, COM 1 SANITARIO, PARA ESCRITORIO, COMPLETO, SEM DIVISORIAS INTERNAS (NAO INCLUI MOBILIZACAO/DESMOBILIZACAO)</t>
  </si>
  <si>
    <t xml:space="preserve">6.1.2</t>
  </si>
  <si>
    <t xml:space="preserve">LOCAÇÃO CONTAINER ESCRITÓRIO S/ SANITÁRIO</t>
  </si>
  <si>
    <t xml:space="preserve">2202010001SI10776</t>
  </si>
  <si>
    <t xml:space="preserve">LOCACAO DE CONTAINER 2,30 X 6,00 M, ALT. 2,50 M, PARA ESCRITORIO, SEM DIVISORIAS INTERNAS E SEM SANITARIO (NAO INCLUI MOBILIZACAO/DESMOBILIZACAO)</t>
  </si>
  <si>
    <t xml:space="preserve">6.1.3</t>
  </si>
  <si>
    <t xml:space="preserve">LOCAÇÃO CONTAINER SANITÁRIO</t>
  </si>
  <si>
    <t xml:space="preserve">2202010001SI10778</t>
  </si>
  <si>
    <t xml:space="preserve">LOCACAO DE CONTAINER 2,30 X 6,00 M, ALT. 2,50 M, PARA SANITARIO, COM 4 BACIAS, 8 CHUVEIROS,1 LAVATORIO E 1 MICTORIO (NAO INCLUI MOBILIZACAO/DESMOBILIZACAO)</t>
  </si>
  <si>
    <t xml:space="preserve">7</t>
  </si>
  <si>
    <t xml:space="preserve">11</t>
  </si>
  <si>
    <t xml:space="preserve">EQUIPAMENTOS - MENSAL</t>
  </si>
  <si>
    <t xml:space="preserve">7.1</t>
  </si>
  <si>
    <t xml:space="preserve">22040</t>
  </si>
  <si>
    <t xml:space="preserve">ACESSÓRIOS PARA CANTEIRO DE OBRAS</t>
  </si>
  <si>
    <t xml:space="preserve">7.1.1</t>
  </si>
  <si>
    <t xml:space="preserve">LOCAÇÃO DE BANHEIRO QUÍMICO COM DUAS MANUTENÇÕES SEMANAIS</t>
  </si>
  <si>
    <t xml:space="preserve">2204011001001</t>
  </si>
  <si>
    <t xml:space="preserve">loc/un/mês</t>
  </si>
  <si>
    <t xml:space="preserve">8</t>
  </si>
  <si>
    <t xml:space="preserve">19</t>
  </si>
  <si>
    <t xml:space="preserve">SERVICOS COMPOSTOS - CHE SEM OPERADOR</t>
  </si>
  <si>
    <t xml:space="preserve">8.1</t>
  </si>
  <si>
    <t xml:space="preserve">8.1.1</t>
  </si>
  <si>
    <t xml:space="preserve">2202019200SI6260</t>
  </si>
  <si>
    <t xml:space="preserve">CAMINHÃO PIPA 6.000 L, PESO BRUTO TOTAL 13.000 KG, DISTÂNCIA ENTRE EIXOS 4,80 M, POTÊNCIA 189 CV INCLUSIVE TANQUE DE AÇO PARA TRANSPORTE DE ÁGUA, CAPACIDADE 6 M3 - CHI DIURNO. AF_06/2014</t>
  </si>
  <si>
    <t xml:space="preserve">CHI</t>
  </si>
  <si>
    <t xml:space="preserve">8.1.2</t>
  </si>
  <si>
    <t xml:space="preserve">2202019100SI6259</t>
  </si>
  <si>
    <t xml:space="preserve">CAMINHÃO PIPA 6.000 L, PESO BRUTO TOTAL 13.000 KG, DISTÂNCIA ENTRE EIXOS 4,80 M, POTÊNCIA 189 CV INCLUSIVE TANQUE DE AÇO PARA TRANSPORTE DE ÁGUA, CAPACIDADE 6 M3 - CHP DIURNO. AF_06/2014</t>
  </si>
  <si>
    <t xml:space="preserve">CHP</t>
  </si>
  <si>
    <t xml:space="preserve">8.1.4</t>
  </si>
  <si>
    <t xml:space="preserve">2202019200SCE9779</t>
  </si>
  <si>
    <t xml:space="preserve">GRUPO GERADOR - 113 KVA</t>
  </si>
  <si>
    <t xml:space="preserve">8.1.3</t>
  </si>
  <si>
    <t xml:space="preserve">2202019100SCE9779</t>
  </si>
  <si>
    <t xml:space="preserve">REDES - MATERIAL + SERVIÇO</t>
  </si>
  <si>
    <t xml:space="preserve">2.1</t>
  </si>
  <si>
    <t xml:space="preserve">REDES - MATERIAL</t>
  </si>
  <si>
    <t xml:space="preserve">1.2.1</t>
  </si>
  <si>
    <t xml:space="preserve">TAXA DISPOSIÇÃO FINAL RCC - NÃO SEGREGADOS</t>
  </si>
  <si>
    <t xml:space="preserve">REDES/LIGAÇÕES</t>
  </si>
  <si>
    <t xml:space="preserve">0174103006001</t>
  </si>
  <si>
    <t xml:space="preserve">TAXA PARA DISPOSIÇÃO FINAL DE RESÍDUOS DA CONSTRUÇÃO CIVIL NÃO SEGREGADOS, CONFORME RESOLUÇÃO ADASA N° 45/2024, A PARTIR DE 01/01/2025.</t>
  </si>
  <si>
    <t xml:space="preserve">1.18.4</t>
  </si>
  <si>
    <t xml:space="preserve">CONE DE SINALIZACAO EM PVC RIGIDO COM FAIXA REFLETIVA</t>
  </si>
  <si>
    <t xml:space="preserve">CONE</t>
  </si>
  <si>
    <t xml:space="preserve">8900103001SI13244</t>
  </si>
  <si>
    <t xml:space="preserve">CONE DE SINALIZACAO EM PVC RIGIDO COM FAIXA REFLETIVA, H = 70 / 76 CM</t>
  </si>
  <si>
    <t xml:space="preserve">1.18.9</t>
  </si>
  <si>
    <t xml:space="preserve">PLACA DE OBRA</t>
  </si>
  <si>
    <t xml:space="preserve">2,4X1,2</t>
  </si>
  <si>
    <t xml:space="preserve">8900103001SI4813</t>
  </si>
  <si>
    <t xml:space="preserve">PLACA DE OBRA (PARA CONSTRUCAO CIVIL) EM CHAPA GALVANIZADA *N. 22*, ADESIVADA, DE *2,4 X 1,2* M (SEM POSTES PARA FIXACAO)</t>
  </si>
  <si>
    <t xml:space="preserve">5.2</t>
  </si>
  <si>
    <t xml:space="preserve">80010</t>
  </si>
  <si>
    <t xml:space="preserve">SERVICOS TÉCNICOS</t>
  </si>
  <si>
    <t xml:space="preserve">2.2</t>
  </si>
  <si>
    <t xml:space="preserve">REDES - SERVIÇO</t>
  </si>
  <si>
    <t xml:space="preserve">5.2.1</t>
  </si>
  <si>
    <t xml:space="preserve">8001008020005</t>
  </si>
  <si>
    <t xml:space="preserve">CADASTRO DE CANALIZAÇÕES CIRCULARES</t>
  </si>
  <si>
    <t xml:space="preserve">5.2.2</t>
  </si>
  <si>
    <t xml:space="preserve">8001008060SI74022/10</t>
  </si>
  <si>
    <t xml:space="preserve">ENSAIO DE COMPACTACAO - AMOSTRAS NAO TRABALHADAS - ENERGIA NORMAL - SOLOS (ATUALIZADO CAESB)</t>
  </si>
  <si>
    <t xml:space="preserve">5.2.3</t>
  </si>
  <si>
    <t xml:space="preserve">8001008060SI74022/6</t>
  </si>
  <si>
    <t xml:space="preserve">ENSAIO DE GRANULOMETRIA POR PENEIRAMENTO - SOLOS (ATUALIZADO CAESB)</t>
  </si>
  <si>
    <t xml:space="preserve">5.2.4</t>
  </si>
  <si>
    <t xml:space="preserve">8001008060SI74022/8</t>
  </si>
  <si>
    <t xml:space="preserve">ENSAIO DE LIMITE DE LIQUIDEZ - SOLOS (ATUALIZADO CAESB)</t>
  </si>
  <si>
    <t xml:space="preserve">5.2.5</t>
  </si>
  <si>
    <t xml:space="preserve">8001008060SI74022/9</t>
  </si>
  <si>
    <t xml:space="preserve">ENSAIO DE LIMITE DE PLASTICIDADE - SOLOS (ATUALIZADO CAESB)</t>
  </si>
  <si>
    <t xml:space="preserve">5.2.7</t>
  </si>
  <si>
    <t xml:space="preserve">8001008010002</t>
  </si>
  <si>
    <t xml:space="preserve">LOCAÇÃO E NIVELAMENTO DE REDES DE ÁGUA, COM ELABORAÇÃO DE NOTA DE SERVIÇOS E LEVANTAMENTO NORMAIS</t>
  </si>
  <si>
    <t xml:space="preserve">5.3</t>
  </si>
  <si>
    <t xml:space="preserve">80015</t>
  </si>
  <si>
    <t xml:space="preserve">SERVIÇOS PRELIMINARES</t>
  </si>
  <si>
    <t xml:space="preserve">5.3.1</t>
  </si>
  <si>
    <t xml:space="preserve">8001508040SI104789</t>
  </si>
  <si>
    <t xml:space="preserve">DEMOLIÇÃO DE PISO DE CONCRETO SIMPLES, DE FORMA MANUAL, SEM REAPROVEITAMENTO. AF_09/2023</t>
  </si>
  <si>
    <t xml:space="preserve">5.3.2</t>
  </si>
  <si>
    <t xml:space="preserve">8001508020XX10</t>
  </si>
  <si>
    <t xml:space="preserve">ISOLAMENTO DE OBRA COM TELA PLÁSTICA E ESTRUTURA DE MADEIRA PONTALETEADA - COM TELA DE ISOLAMENTO/SINALIZAÇÃO LARANJA MEDINDO 1,20 X 50M NO FORMATO RETANGULAR. REV 06/2017</t>
  </si>
  <si>
    <t xml:space="preserve">5.4.1</t>
  </si>
  <si>
    <t xml:space="preserve">8002008050SI94327</t>
  </si>
  <si>
    <t xml:space="preserve">ATERRO MECANIZADO DE VALA COM ESCAVADEIRA HIDRÁULICA (CAPACIDADE DA CAÇAMBA: 0,8 M³/POTÊNCIA: 111 HP), LARGURA ATÉ 2,5 M, PROFUNDIDADE ATÉ 1,5 M, COM AREIA PARA ATERRO. AF_08/2023</t>
  </si>
  <si>
    <t xml:space="preserve">5.4.2</t>
  </si>
  <si>
    <t xml:space="preserve">8002008050SI94329</t>
  </si>
  <si>
    <t xml:space="preserve">ATERRO MECANIZADO DE VALA COM ESCAVADEIRA HIDRÁULICA (CAPACIDADE DA CAÇAMBA: 0,8 M³/POTÊNCIA: 111 HP), LARGURA ATÉ 2,5 M, PROFUNDIDADE DE 1,5 A 3,0 M, COM AREIA PARA ATERRO. AF_08/2023</t>
  </si>
  <si>
    <t xml:space="preserve">5.4.3</t>
  </si>
  <si>
    <t xml:space="preserve">8002008099SI101004</t>
  </si>
  <si>
    <t xml:space="preserve">CARGA DE MISTURA ASFÁLTICA EM CAMINHÃO BASCULANTE 18 M³ (UNIDADE: T). AF_07/2020</t>
  </si>
  <si>
    <t xml:space="preserve">5.4.5</t>
  </si>
  <si>
    <t xml:space="preserve">8002008099SI100981</t>
  </si>
  <si>
    <t xml:space="preserve">CARGA, MANOBRA E DESCARGA DE ENTULHO EM CAMINHÃO BASCULANTE 6 M³ - CARGA COM ESCAVADEIRA HIDRÁULICA (CAÇAMBA DE 0,80 M³ / 111 HP) E DESCARGA LIVRE (UNIDADE: M3). AF_07/2020</t>
  </si>
  <si>
    <t xml:space="preserve">5.4.7</t>
  </si>
  <si>
    <t xml:space="preserve">8002008099SI100979</t>
  </si>
  <si>
    <t xml:space="preserve">CARGA, MANOBRA E DESCARGA DE SOLOS E MATERIAIS GRANULARES EM CAMINHÃO BASCULANTE 14 M³ - CARGA COM ESCAVADEIRA HIDRÁULICA (CAÇAMBA DE 1,20 M³ / 155 HP) E DESCARGA LIVRE (UNIDADE: M3). AF_07/2020</t>
  </si>
  <si>
    <t xml:space="preserve">5.4.8</t>
  </si>
  <si>
    <t xml:space="preserve">8002008010SI102354</t>
  </si>
  <si>
    <t xml:space="preserve">DESMONTE DE MATERIAL DE 3ª CATEGORIA (BLOCOS DE ROCHAS OU MATACOS), COM MARTELETE PNEUMÁTICO MANUAL - EXCLUSIVE CARGA E TRANSPORTE. AF_03/2021</t>
  </si>
  <si>
    <t xml:space="preserve">5.4.9</t>
  </si>
  <si>
    <t xml:space="preserve">8002008020009</t>
  </si>
  <si>
    <t xml:space="preserve">ESCAVAÇÃO MANUAL DE VALAS EM SOLO MOLE, PROFUNDIDADE ATÉ 1,50 M</t>
  </si>
  <si>
    <t xml:space="preserve">5.4.10</t>
  </si>
  <si>
    <t xml:space="preserve">8002008020010</t>
  </si>
  <si>
    <t xml:space="preserve">ESCAVAÇÃO MANUAL DE VALAS EM SOLO MOLE, PROFUNDIDADE MAIOR QUE 1,50 A 3,00 M. (AF_04/2021)</t>
  </si>
  <si>
    <t xml:space="preserve">5.4.11</t>
  </si>
  <si>
    <t xml:space="preserve">8002008030SI90091</t>
  </si>
  <si>
    <t xml:space="preserve">ESCAVAÇÃO MECANIZADA DE VALA COM PROF. ATÉ 1,5 M (MÉDIA MONTANTE E JUSANTE/UMA COMPOSIÇÃO POR TRECHO), ESCAVADEIRA (0,8 M3), LARG. DE 1,5 M A 2,5 M, EM SOLO DE 1A CATEGORIA, LOCAIS COM BAIXO NÍVEL DE INTERFERÊNCIA. AF_09/2024</t>
  </si>
  <si>
    <t xml:space="preserve">5.4.12</t>
  </si>
  <si>
    <t xml:space="preserve">8002008030SI102315</t>
  </si>
  <si>
    <t xml:space="preserve">ESCAVAÇÃO MECANIZADA DE VALA COM PROF. ATÉ 1,5 M (MÉDIA MONTANTE E JUSANTE/UMA COMPOSIÇÃO POR TRECHO), ESCAVADEIRA (0,8 M3), LARG. DE 1,5 M A 2,5 M, EM SOLO DE 2A CATEGORIA, LOCAIS COM BAIXO NÍVEL DE INTERFERÊNCIA. AF_09/2024</t>
  </si>
  <si>
    <t xml:space="preserve">5.4.13</t>
  </si>
  <si>
    <t xml:space="preserve">8002008030SI102291</t>
  </si>
  <si>
    <t xml:space="preserve">ESCAVAÇÃO MECANIZADA DE VALA COM PROF. ATÉ 1,5 M (MÉDIA MONTANTE E JUSANTE/UMA COMPOSIÇÃO POR TRECHO), ESCAVADEIRA (0,8 M3), LARG. DE 1,5 M A 2,5 M, EM SOLO MOLE, LOCAIS COM BAIXO NÍVEL DE INTERFERÊNCIA. AF_09/2024</t>
  </si>
  <si>
    <t xml:space="preserve">5.4.14</t>
  </si>
  <si>
    <t xml:space="preserve">8002008030SI102295</t>
  </si>
  <si>
    <t xml:space="preserve">ESCAVAÇÃO MECANIZADA DE VALA COM PROF. MAIOR QUE 1,5 M ATÉ 3,0 M (MÉDIA MONTANTE E JUSANTE/UMA COMPOSIÇÃO POR TRECHO),COM ESCAVADEIRA (1,2 M3), LARG. DE 1,5 M A 2,5 M, EM SOLO MOLE, LOCAIS COM BAIXO NÍVEL DE INTERFERÊNCIA. AF_09/2024</t>
  </si>
  <si>
    <t xml:space="preserve">5.4.15</t>
  </si>
  <si>
    <t xml:space="preserve">8002008030SI102281</t>
  </si>
  <si>
    <t xml:space="preserve">ESCAVAÇÃO MECANIZADA DE VALA COM PROF. MAIOR QUE 1,5 M ATÉ 3,0 M (MÉDIA MONTANTE E JUSANTE/UMA COMPOSIÇÃO POR TRECHO),COM ESCAVADEIRA (1,2 M3),LARG. DE 1,5 M A 2,5 M, EM SOLO DE 1A CATEGORIA, LOCAIS COM BAIXO NÍVEL DE INTERFERÊNCIA. AF_09/2024</t>
  </si>
  <si>
    <t xml:space="preserve">5.4.16</t>
  </si>
  <si>
    <t xml:space="preserve">8002008030SI102319</t>
  </si>
  <si>
    <t xml:space="preserve">ESCAVAÇÃO MECANIZADA DE VALA COM PROF. MAIOR QUE 1,5 M ATÉ 3,0 M (MÉDIA MONTANTE E JUSANTE/UMA COMPOSIÇÃO POR TRECHO),COM ESCAVADEIRA (1,2 M3),LARG. DE 1,5 M A 2,5 M, EM SOLO DE 2A CATEGORIA, LOCAIS COM BAIXO NÍVEL DE INTERFERÊNCIA. AF_09/2024</t>
  </si>
  <si>
    <t xml:space="preserve">5.4.20</t>
  </si>
  <si>
    <t xml:space="preserve">8002008050SI93381</t>
  </si>
  <si>
    <t xml:space="preserve">REATERRO MECANIZADO DE VALA COM RETROESCAVADEIRA (CAPACIDADE DA CAÇAMBA DA RETRO: 0,26 M³/POTÊNCIA: 88 HP), LARGURA 0,8 A 1,5 M, PROFUNDIDADE 1,5 A 3,0 M, COM SOLO (SEM SUBSTITUIÇÃO) DE 1ª CATEGORIA E COMPACTADOR DE SOLOS DE PERCUSSÃO. AF_08/2023</t>
  </si>
  <si>
    <t xml:space="preserve">5.4.21</t>
  </si>
  <si>
    <t xml:space="preserve">8002008050SI93379</t>
  </si>
  <si>
    <t xml:space="preserve">REATERRO MECANIZADO DE VALA COM RETROESCAVADEIRA (CAPACIDADE DA CAÇAMBA DA RETRO: 0,26 M³/POTÊNCIA: 88 HP), LARGURA 0,8 A 1,5 M, PROFUNDIDADE ATÉ 1,5 M, COM SOLO (SEM SUBSTITUIÇÃO) DE 1ª CATEGORIA, COM COMPACTADOR DE SOLOS DE PERCUSSÃO AF_08/2023</t>
  </si>
  <si>
    <t xml:space="preserve">5.4.24</t>
  </si>
  <si>
    <t xml:space="preserve">8002008099SI97915</t>
  </si>
  <si>
    <t xml:space="preserve">TRANSPORTE COM CAMINHÃO BASCULANTE DE 6 M³, EM VIA URBANA PAVIMENTADA, ADICIONAL PARA DMT EXCEDENTE A 30 KM (UNIDADE: M3XKM). AF_07/2020</t>
  </si>
  <si>
    <t xml:space="preserve">5.4.26</t>
  </si>
  <si>
    <t xml:space="preserve">8002008099SI102330</t>
  </si>
  <si>
    <t xml:space="preserve">TRANSPORTE COM CAMINHÃO TANQUE DE TRANSPORTE DE MATERIAL ASFÁLTICO DE 30000 L, EM VIA URBANA PAVIMENTADA, DMT ATÉ 30KM (UNIDADE: TXKM). AF_07/2020</t>
  </si>
  <si>
    <t xml:space="preserve">TXKM</t>
  </si>
  <si>
    <t xml:space="preserve">5.5</t>
  </si>
  <si>
    <t xml:space="preserve">80025</t>
  </si>
  <si>
    <t xml:space="preserve">ESCORAMENTOS</t>
  </si>
  <si>
    <t xml:space="preserve">5.5.1</t>
  </si>
  <si>
    <t xml:space="preserve">8002508040SI102719</t>
  </si>
  <si>
    <t xml:space="preserve">ENCHIMENTO DE BRITA PARA DRENO, LANÇAMENTO MANUAL. AF_07/2021</t>
  </si>
  <si>
    <t xml:space="preserve">5.5.3</t>
  </si>
  <si>
    <t xml:space="preserve">8002508020SI101572</t>
  </si>
  <si>
    <t xml:space="preserve">ESCORAMENTO DE VALA, TIPO PONTALETEAMENTO, COM PROFUNDIDADE DE 1,5 A 3,0 M, LARGURA MENOR QUE 1,5 M. AF_08/2020</t>
  </si>
  <si>
    <t xml:space="preserve">5.5.4</t>
  </si>
  <si>
    <t xml:space="preserve">8002508020SI101625</t>
  </si>
  <si>
    <t xml:space="preserve">PREPARO DE FUNDO DE VALA COM LARGURA MAIOR OU IGUAL A 1,5 M E MENOR QUE 2,5 M, COM CAMADA DE AREIA, LANÇAMENTO MECANIZADO. AF_08/2020</t>
  </si>
  <si>
    <t xml:space="preserve">5.5.6</t>
  </si>
  <si>
    <t xml:space="preserve">8002508040SI102705</t>
  </si>
  <si>
    <t xml:space="preserve">TUBO DE PVC CORRUGADO RÍGIDO PERFURADO, DN 100 MM, PARA DRENO - FORNECIMENTO E ASSENTAMENTO. AF_07/2021</t>
  </si>
  <si>
    <t xml:space="preserve">5.6</t>
  </si>
  <si>
    <t xml:space="preserve">80030</t>
  </si>
  <si>
    <t xml:space="preserve">ESGOTAMENTOS E DRENAGEM</t>
  </si>
  <si>
    <t xml:space="preserve">5.6.1</t>
  </si>
  <si>
    <t xml:space="preserve">8003008010SI104482</t>
  </si>
  <si>
    <t xml:space="preserve">ESGOTAMENTO DE VALA COM BOMBA SUBMERSÍVEL. AF_12/2022</t>
  </si>
  <si>
    <t xml:space="preserve">H</t>
  </si>
  <si>
    <t xml:space="preserve">5.8.1</t>
  </si>
  <si>
    <t xml:space="preserve">8004508283SI103401</t>
  </si>
  <si>
    <t xml:space="preserve">ASSENTAMENTO DE CONEXÃO COM 2 ACESSOS, EM PEAD LISO PARA REDE DE ÁGUA OU ESGOTO, DIÂMETRO DE 110 MM, JUNTA SOLDADA (NÃO INCLUI O FORNECIMENTO E EXECUÇÃO DE SOLDA). AF_12/2021</t>
  </si>
  <si>
    <t xml:space="preserve">5.8.2</t>
  </si>
  <si>
    <t xml:space="preserve">8004508283SI103402</t>
  </si>
  <si>
    <t xml:space="preserve">ASSENTAMENTO DE CONEXÃO COM 2 ACESSOS, EM PEAD LISO PARA REDE DE ÁGUA OU ESGOTO, DIÂMETRO DE 160 MM, JUNTA SOLDADA (NÃO INCLUI O FORNECIMENTO E EXECUÇÃO DE SOLDA). AF_12/2021</t>
  </si>
  <si>
    <t xml:space="preserve">5.8.4</t>
  </si>
  <si>
    <t xml:space="preserve">8004508283SI103405</t>
  </si>
  <si>
    <t xml:space="preserve">ASSENTAMENTO DE CONEXÃO COM 2 ACESSOS, EM PEAD LISO PARA REDE DE ÁGUA OU ESGOTO, DIÂMETRO DE 225 MM, JUNTA SOLDADA (NÃO INCLUI O FORNECIMENTO E EXECUÇÃO DE SOLDA). AF_12/2021</t>
  </si>
  <si>
    <t xml:space="preserve">5.8.5</t>
  </si>
  <si>
    <t xml:space="preserve">8004508283SI103406</t>
  </si>
  <si>
    <t xml:space="preserve">ASSENTAMENTO DE CONEXÃO COM 2 ACESSOS, EM PEAD LISO PARA REDE DE ÁGUA OU ESGOTO, DIÂMETRO DE 250 MM, JUNTA SOLDADA (NÃO INCLUI O FORNECIMENTO E EXECUÇÃO DE SOLDA). AF_12/2021</t>
  </si>
  <si>
    <t xml:space="preserve">5.8.6</t>
  </si>
  <si>
    <t xml:space="preserve">8004508283SI103407</t>
  </si>
  <si>
    <t xml:space="preserve">ASSENTAMENTO DE CONEXÃO COM 2 ACESSOS, EM PEAD LISO PARA REDE DE ÁGUA OU ESGOTO, DIÂMETRO DE 280 MM, JUNTA SOLDADA (NÃO INCLUI O FORNECIMENTO E EXECUÇÃO DE SOLDA). AF_12/2021</t>
  </si>
  <si>
    <t xml:space="preserve">5.8.7</t>
  </si>
  <si>
    <t xml:space="preserve">8004508283SI103408</t>
  </si>
  <si>
    <t xml:space="preserve">ASSENTAMENTO DE CONEXÃO COM 2 ACESSOS, EM PEAD LISO PARA REDE DE ÁGUA OU ESGOTO, DIÂMETRO DE 315 MM, JUNTA SOLDADA (NÃO INCLUI O FORNECIMENTO E EXECUÇÃO DE SOLDA). AF_12/2021</t>
  </si>
  <si>
    <t xml:space="preserve">5.8.8</t>
  </si>
  <si>
    <t xml:space="preserve">8004508283SI103409</t>
  </si>
  <si>
    <t xml:space="preserve">ASSENTAMENTO DE CONEXÃO COM 2 ACESSOS, EM PEAD LISO PARA REDE DE ÁGUA OU ESGOTO, DIÂMETRO DE 355 MM, JUNTA SOLDADA (NÃO INCLUI O FORNECIMENTO E EXECUÇÃO DE SOLDA). AF_12/2021</t>
  </si>
  <si>
    <t xml:space="preserve">5.8.9</t>
  </si>
  <si>
    <t xml:space="preserve">8004508283SI103410</t>
  </si>
  <si>
    <t xml:space="preserve">ASSENTAMENTO DE CONEXÃO COM 2 ACESSOS, EM PEAD LISO PARA REDE DE ÁGUA OU ESGOTO, DIÂMETRO DE 400 MM, JUNTA SOLDADA (NÃO INCLUI O FORNECIMENTO E EXECUÇÃO DE SOLDA). AF_12/2021</t>
  </si>
  <si>
    <t xml:space="preserve">5.8.10</t>
  </si>
  <si>
    <t xml:space="preserve">8004508283SI103399</t>
  </si>
  <si>
    <t xml:space="preserve">ASSENTAMENTO DE CONEXÃO COM 2 ACESSOS, EM PEAD LISO PARA REDE DE ÁGUA OU ESGOTO, DIÂMETRO DE 63 MM, JUNTA SOLDADA (NÃO INCLUI O FORNECIMENTO E EXECUÇÃO DE SOLDA). AF_12/2021</t>
  </si>
  <si>
    <t xml:space="preserve">5.8.11</t>
  </si>
  <si>
    <t xml:space="preserve">8004508283SI103400</t>
  </si>
  <si>
    <t xml:space="preserve">ASSENTAMENTO DE CONEXÃO COM 2 ACESSOS, EM PEAD LISO PARA REDE DE ÁGUA OU ESGOTO, DIÂMETRO DE 90 MM, JUNTA SOLDADA (NÃO INCLUI O FORNECIMENTO E EXECUÇÃO DE SOLDA). AF_12/2021</t>
  </si>
  <si>
    <t xml:space="preserve">5.8.19</t>
  </si>
  <si>
    <t xml:space="preserve">8004508283SI103415</t>
  </si>
  <si>
    <t xml:space="preserve">ASSENTAMENTO DE CONEXÃO COM 3 ACESSOS, EM PEAD LISO PARA REDE DE ÁGUA OU ESGOTO, DIÂMETRO DE 110 MM, JUNTA SOLDADA (NÃO INCLUI O FORNECIMENTO E EXECUÇÃO DE SOLDA). AF_12/2021</t>
  </si>
  <si>
    <t xml:space="preserve">5.8.20</t>
  </si>
  <si>
    <t xml:space="preserve">8004508283SI103416</t>
  </si>
  <si>
    <t xml:space="preserve">ASSENTAMENTO DE CONEXÃO COM 3 ACESSOS, EM PEAD LISO PARA REDE DE ÁGUA OU ESGOTO, DIÂMETRO DE 160 MM, JUNTA SOLDADA (NÃO INCLUI O FORNECIMENTO E EXECUÇÃO DE SOLDA). AF_12/2021</t>
  </si>
  <si>
    <t xml:space="preserve">5.8.21</t>
  </si>
  <si>
    <t xml:space="preserve">8004508283SI103419</t>
  </si>
  <si>
    <t xml:space="preserve">ASSENTAMENTO DE CONEXÃO COM 3 ACESSOS, EM PEAD LISO PARA REDE DE ÁGUA OU ESGOTO, DIÂMETRO DE 225 MM, JUNTA SOLDADA (NÃO INCLUI O FORNECIMENTO E EXECUÇÃO DE SOLDA). AF_12/2021</t>
  </si>
  <si>
    <t xml:space="preserve">5.8.22</t>
  </si>
  <si>
    <t xml:space="preserve">8004508283SI103420</t>
  </si>
  <si>
    <t xml:space="preserve">ASSENTAMENTO DE CONEXÃO COM 3 ACESSOS, EM PEAD LISO PARA REDE DE ÁGUA OU ESGOTO, DIÂMETRO DE 250 MM, JUNTA SOLDADA (NÃO INCLUI O FORNECIMENTO E EXECUÇÃO DE SOLDA). AF_12/2021</t>
  </si>
  <si>
    <t xml:space="preserve">5.8.23</t>
  </si>
  <si>
    <t xml:space="preserve">8004508283SI103421</t>
  </si>
  <si>
    <t xml:space="preserve">ASSENTAMENTO DE CONEXÃO COM 3 ACESSOS, EM PEAD LISO PARA REDE DE ÁGUA OU ESGOTO, DIÂMETRO DE 280 MM, JUNTA SOLDADA (NÃO INCLUI O FORNECIMENTO E EXECUÇÃO DE SOLDA). AF_12/2021</t>
  </si>
  <si>
    <t xml:space="preserve">5.8.24</t>
  </si>
  <si>
    <t xml:space="preserve">8004508283SI103422</t>
  </si>
  <si>
    <t xml:space="preserve">ASSENTAMENTO DE CONEXÃO COM 3 ACESSOS, EM PEAD LISO PARA REDE DE ÁGUA OU ESGOTO, DIÂMETRO DE 315 MM, JUNTA SOLDADA (NÃO INCLUI O FORNECIMENTO E EXECUÇÃO DE SOLDA). AF_12/2021</t>
  </si>
  <si>
    <t xml:space="preserve">5.8.25</t>
  </si>
  <si>
    <t xml:space="preserve">8004508283SI103423</t>
  </si>
  <si>
    <t xml:space="preserve">ASSENTAMENTO DE CONEXÃO COM 3 ACESSOS, EM PEAD LISO PARA REDE DE ÁGUA OU ESGOTO, DIÂMETRO DE 355 MM, JUNTA SOLDADA (NÃO INCLUI O FORNECIMENTO E EXECUÇÃO DE SOLDA). AF_12/2021</t>
  </si>
  <si>
    <t xml:space="preserve">5.8.26</t>
  </si>
  <si>
    <t xml:space="preserve">8004508283SI103413</t>
  </si>
  <si>
    <t xml:space="preserve">ASSENTAMENTO DE CONEXÃO COM 3 ACESSOS, EM PEAD LISO PARA REDE DE ÁGUA OU ESGOTO, DIÂMETRO DE 63 MM, JUNTA SOLDADA (NÃO INCLUI O FORNECIMENTO E EXECUÇÃO DE SOLDA). AF_12/2021</t>
  </si>
  <si>
    <t xml:space="preserve">5.8.27</t>
  </si>
  <si>
    <t xml:space="preserve">8004508283SI103414</t>
  </si>
  <si>
    <t xml:space="preserve">ASSENTAMENTO DE CONEXÃO COM 3 ACESSOS, EM PEAD LISO PARA REDE DE ÁGUA OU ESGOTO, DIÂMETRO DE 90 MM, JUNTA SOLDADA (NÃO INCLUI O FORNECIMENTO E EXECUÇÃO DE SOLDA). AF_12/2021</t>
  </si>
  <si>
    <t xml:space="preserve">5.8.35</t>
  </si>
  <si>
    <t xml:space="preserve">8004508283070</t>
  </si>
  <si>
    <t xml:space="preserve">ASSENTAMENTO DE TUBO PEAD LISO PARA REDE DE ÁGUA OU ESGOTO, DIÂMETRO DE 280 MM, JUNTA SOLDADA (NÃO INCLUI A EXECUÇÃO DE SOLDA) - EXCLUSO FORNECIMENTO DE TUBO</t>
  </si>
  <si>
    <t xml:space="preserve">5.8.36</t>
  </si>
  <si>
    <t xml:space="preserve">8004508283075</t>
  </si>
  <si>
    <t xml:space="preserve">ASSENTAMENTO DE TUBO PEAD LISO PARA REDE DE ÁGUA OU ESGOTO, DIÂMETRO DE 110 MM, JUNTA SOLDADA (NÃO INCLUI A EXECUÇÃO DE SOLDA) - EXCLUSO FORNECIMENTO DE TUBO</t>
  </si>
  <si>
    <t xml:space="preserve">5.8.37</t>
  </si>
  <si>
    <t xml:space="preserve">8004508283071</t>
  </si>
  <si>
    <t xml:space="preserve">ASSENTAMENTO DE TUBO PEAD LISO PARA REDE DE ÁGUA OU ESGOTO, DIÂMETRO DE 160 MM, JUNTA SOLDADA (NÃO INCLUI A EXECUÇÃO DE SOLDA) - EXCLUSO FORNECIMENTO DE TUBO</t>
  </si>
  <si>
    <t xml:space="preserve">5.8.38</t>
  </si>
  <si>
    <t xml:space="preserve">8004508283063</t>
  </si>
  <si>
    <t xml:space="preserve">ASSENTAMENTO DE TUBO PEAD LISO PARA REDE DE ÁGUA OU ESGOTO, DIÂMETRO DE 225 MM, JUNTA SOLDADA (NÃO INCLUI A EXECUÇÃO DE SOLDA) - EXCLUSO FORNECIMENTO DE TUBO</t>
  </si>
  <si>
    <t xml:space="preserve">5.8.39</t>
  </si>
  <si>
    <t xml:space="preserve">8004508283064</t>
  </si>
  <si>
    <t xml:space="preserve">ASSENTAMENTO DE TUBO PEAD LISO PARA REDE DE ÁGUA OU ESGOTO, DIÂMETRO DE 250 MM, JUNTA SOLDADA (NÃO INCLUI A EXECUÇÃO DE SOLDA) - EXCLUSO FORNECIMENTO DE TUBO</t>
  </si>
  <si>
    <t xml:space="preserve">5.8.40</t>
  </si>
  <si>
    <t xml:space="preserve">8004508283055</t>
  </si>
  <si>
    <t xml:space="preserve">ASSENTAMENTO DE TUBO PEAD LISO PARA REDE DE ÁGUA OU ESGOTO, DIÂMETRO DE 315 MM, JUNTA SOLDADA (NÃO INCLUI A EXECUÇÃO DE SOLDA) - EXCLUSO FORNECIMENTO DE TUBO</t>
  </si>
  <si>
    <t xml:space="preserve">5.8.41</t>
  </si>
  <si>
    <t xml:space="preserve">8004508283001</t>
  </si>
  <si>
    <t xml:space="preserve">ASSENTAMENTO DE TUBO PEAD LISO PARA REDE DE ÁGUA OU ESGOTO, DIÂMETRO DE 355 MM, JUNTA SOLDADA (NÃO INCLUI A EXECUÇÃO DE SOLDA) - EXCLUSO FORNECIMENTO DE TUBO</t>
  </si>
  <si>
    <t xml:space="preserve">5.8.42</t>
  </si>
  <si>
    <t xml:space="preserve">8004508283056</t>
  </si>
  <si>
    <t xml:space="preserve">ASSENTAMENTO DE TUBO PEAD LISO PARA REDE DE ÁGUA OU ESGOTO, DIÂMETRO DE 400 MM, JUNTA SOLDADA (NÃO INCLUI A EXECUÇÃO DE SOLDA) - EXCLUSO FORNECIMENTO DE TUBO</t>
  </si>
  <si>
    <t xml:space="preserve">5.8.43</t>
  </si>
  <si>
    <t xml:space="preserve">8004508283057</t>
  </si>
  <si>
    <t xml:space="preserve">ASSENTAMENTO DE TUBO PEAD LISO PARA REDE DE ÁGUA OU ESGOTO, DIÂMETRO DE 500 MM, JUNTA SOLDADA (NÃO INCLUI A EXECUÇÃO DE SOLDA) - EXCLUSO FORNECIMENTO DE TUBO</t>
  </si>
  <si>
    <t xml:space="preserve">5.8.45</t>
  </si>
  <si>
    <t xml:space="preserve">8004508283074</t>
  </si>
  <si>
    <t xml:space="preserve">ASSENTAMENTO DE TUBO PEAD LISO PARA REDE DE ÁGUA OU ESGOTO, DIÂMETRO DE 90 MM, JUNTA SOLDADA (NÃO INCLUI A EXECUÇÃO DE SOLDA) - EXCLUSO FORNECIMENTO DE TUBO</t>
  </si>
  <si>
    <t xml:space="preserve">5.8.46</t>
  </si>
  <si>
    <t xml:space="preserve">8004508130019</t>
  </si>
  <si>
    <t xml:space="preserve">EXECUÇÃO DE JUNTA SOLDADA POR ELETROFUSÃO, DE TUBO OU CONEXÃO EM PEAD LISO PARA REDE DE ÁGUA OU ESGOTO, DIÂMETRO DE 110 MM (NÃO INCLUI O FORNECIMENTO DE TUBO E CONEXÃO). AF_12/2021</t>
  </si>
  <si>
    <t xml:space="preserve">5.8.47</t>
  </si>
  <si>
    <t xml:space="preserve">8004508130017</t>
  </si>
  <si>
    <t xml:space="preserve">EXECUÇÃO DE JUNTA SOLDADA POR ELETROFUSÃO, DE TUBO OU CONEXÃO EM PEAD LISO PARA REDE DE ÁGUA OU ESGOTO, DIÂMETRO DE 63 MM (NÃO INCLUI O FORNECIMENTO DE TUBO E CONEXÃO). AF_12/2021</t>
  </si>
  <si>
    <t xml:space="preserve">5.8.48</t>
  </si>
  <si>
    <t xml:space="preserve">8004508130018</t>
  </si>
  <si>
    <t xml:space="preserve">EXECUÇÃO DE JUNTA SOLDADA POR ELETROFUSÃO, DE TUBO OU CONEXÃO EM PEAD LISO PARA REDE DE ÁGUA OU ESGOTO, DIÂMETRO DE 90 MM (NÃO INCLUI O FORNECIMENTO DE TUBO E CONEXÃO). AF_12/2021</t>
  </si>
  <si>
    <t xml:space="preserve">5.8.49</t>
  </si>
  <si>
    <t xml:space="preserve">8004508135033</t>
  </si>
  <si>
    <t xml:space="preserve">EXECUÇÃO DE JUNTA SOLDADA POR TERMOFUSÃO, DE TUBO OU CONEXÃO EM PEAD LISO PARA REDE DE ÁGUA OU ESGOTO, DIÂMETRO DE 160 MM (NÃO INCLUI O FORNECIMENTO DE TUBO E CONEXÃO). AF_12/2021</t>
  </si>
  <si>
    <t xml:space="preserve">5.8.50</t>
  </si>
  <si>
    <t xml:space="preserve">8004508135052</t>
  </si>
  <si>
    <t xml:space="preserve">EXECUÇÃO DE JUNTA SOLDADA POR TERMOFUSÃO, DE TUBO OU CONEXÃO EM PEAD LISO PARA REDE DE ÁGUA OU ESGOTO, DIÂMETRO DE 225 MM (NÃO INCLUI O FORNECIMENTO DE TUBO E CONEXÃO). AF_12/2021</t>
  </si>
  <si>
    <t xml:space="preserve">5.8.51</t>
  </si>
  <si>
    <t xml:space="preserve">8004508135051</t>
  </si>
  <si>
    <t xml:space="preserve">EXECUÇÃO DE JUNTA SOLDADA POR TERMOFUSÃO, DE TUBO OU CONEXÃO EM PEAD LISO PARA REDE DE ÁGUA OU ESGOTO, DIÂMETRO DE 250 MM (NÃO INCLUI O FORNECIMENTO DE TUBO E CONEXÃO). AF_12/2021</t>
  </si>
  <si>
    <t xml:space="preserve">5.8.52</t>
  </si>
  <si>
    <t xml:space="preserve">8004508135050</t>
  </si>
  <si>
    <t xml:space="preserve">EXECUÇÃO DE JUNTA SOLDADA POR TERMOFUSÃO, DE TUBO OU CONEXÃO EM PEAD LISO PARA REDE DE ÁGUA OU ESGOTO, DIÂMETRO DE 280 MM (NÃO INCLUI O FORNECIMENTO DE TUBO E CONEXÃO). AF_12/2021</t>
  </si>
  <si>
    <t xml:space="preserve">5.8.53</t>
  </si>
  <si>
    <t xml:space="preserve">8004508135037</t>
  </si>
  <si>
    <t xml:space="preserve">EXECUÇÃO DE JUNTA SOLDADA POR TERMOFUSÃO, DE TUBO OU CONEXÃO EM PEAD LISO PARA REDE DE ÁGUA OU ESGOTO, DIÂMETRO DE 315 MM (NÃO INCLUI O FORNECIMENTO DE TUBO E CONEXÃO). AF_12/2021</t>
  </si>
  <si>
    <t xml:space="preserve">5.8.54</t>
  </si>
  <si>
    <t xml:space="preserve">8004508135049</t>
  </si>
  <si>
    <t xml:space="preserve">EXECUÇÃO DE JUNTA SOLDADA POR TERMOFUSÃO, DE TUBO OU CONEXÃO EM PEAD LISO PARA REDE DE ÁGUA OU ESGOTO, DIÂMETRO DE 355 MM (NÃO INCLUI O FORNECIMENTO DE TUBO E CONEXÃO). AF_12/2021</t>
  </si>
  <si>
    <t xml:space="preserve">5.8.55</t>
  </si>
  <si>
    <t xml:space="preserve">8004508135038</t>
  </si>
  <si>
    <t xml:space="preserve">EXECUÇÃO DE JUNTA SOLDADA POR TERMOFUSÃO, DE TUBO OU CONEXÃO EM PEAD LISO PARA REDE DE ÁGUA OU ESGOTO, DIÂMETRO DE 400 MM (NÃO INCLUI O FORNECIMENTO DE TUBO E CONEXÃO). AF_12/2021</t>
  </si>
  <si>
    <t xml:space="preserve">5.8.56</t>
  </si>
  <si>
    <t xml:space="preserve">8004508135041</t>
  </si>
  <si>
    <t xml:space="preserve">EXECUÇÃO DE JUNTA SOLDADA POR TERMOFUSÃO, DE TUBO OU CONEXÃO EM PEAD LISO PARA REDE DE ÁGUA OU ESGOTO, DIÂMETRO DE 500 MM (NÃO INCLUI O FORNECIMENTO DE TUBO E CONEXÃO). AF_12/2021</t>
  </si>
  <si>
    <t xml:space="preserve">5.9.2</t>
  </si>
  <si>
    <t xml:space="preserve">8005008010081</t>
  </si>
  <si>
    <t xml:space="preserve">EXECUÇÃO DE IMPRIMAÇÃO COM ASFALTO DILUÍDO CM-30. AF_11/2019 (ATUALIZADO CAESB)</t>
  </si>
  <si>
    <t xml:space="preserve">5.9.3</t>
  </si>
  <si>
    <t xml:space="preserve">8005008010SI94994</t>
  </si>
  <si>
    <t xml:space="preserve">EXECUÇÃO DE PASSEIO (CALÇADA) OU PISO DE CONCRETO COM CONCRETO MOLDADO IN LOCO, FEITO EM OBRA, ACABAMENTO CONVENCIONAL, ESPESSURA 8 CM, ARMADO. AF_08/2022</t>
  </si>
  <si>
    <t xml:space="preserve">5.9.4</t>
  </si>
  <si>
    <t xml:space="preserve">8005008010085</t>
  </si>
  <si>
    <t xml:space="preserve">EXECUÇÃO DE PINTURA DE LIGAÇÃO COM EMULSÃO ASFÁLTICA RR-2C.</t>
  </si>
  <si>
    <t xml:space="preserve">5.9.5</t>
  </si>
  <si>
    <t xml:space="preserve">8005008020SI102098</t>
  </si>
  <si>
    <t xml:space="preserve">RECOMPOSIÇÃO DE REVESTIMENTO EM CONCRETO ASFÁLTICO (AQUISIÇÃO EM USINA), PARA O FECHAMENTO DE VALAS - INCLUSO DEMOLIÇÃO DO PAVIMENTO. AF_12/2020</t>
  </si>
  <si>
    <t xml:space="preserve">5.14.1</t>
  </si>
  <si>
    <t xml:space="preserve">8008008020SC4413942</t>
  </si>
  <si>
    <t xml:space="preserve">ESPALHAMENTO DE MATERIAL EM BOTA-FORA</t>
  </si>
  <si>
    <t xml:space="preserve">5.14.6</t>
  </si>
  <si>
    <t xml:space="preserve">8008008040SC5213424</t>
  </si>
  <si>
    <t xml:space="preserve">PLACA MODULADA EM AÇO Nº 18 GALVANIZADO COM PELÍCULA RETRORREFLETIVA TIPO III + III - CONFECÇÃO</t>
  </si>
  <si>
    <t xml:space="preserve">5.16</t>
  </si>
  <si>
    <t xml:space="preserve">80100</t>
  </si>
  <si>
    <t xml:space="preserve">OBRAS SUBTERRÂNEAS</t>
  </si>
  <si>
    <t xml:space="preserve">5.16.1</t>
  </si>
  <si>
    <t xml:space="preserve">8010008010SI103615</t>
  </si>
  <si>
    <t xml:space="preserve">PERFURAÇÃO HORIZONTAL DIRECIONAL E INSTALAÇÃO DE TUBULAÇÃO PEAD 110 MM, EM SOLO DE 1ª CATEGORIA. AF_01/2022 - (EXCLUSO FORNECIMENTO DE TUBO)</t>
  </si>
  <si>
    <t xml:space="preserve">5.16.2</t>
  </si>
  <si>
    <t xml:space="preserve">8010008010SI103616</t>
  </si>
  <si>
    <t xml:space="preserve">PERFURAÇÃO HORIZONTAL DIRECIONAL E INSTALAÇÃO DE TUBULAÇÃO PEAD 160 MM, EM SOLO DE 1ª CATEGORIA. AF_01/2022 - (EXCLUSO FORNECIMENTO DE TUBO)</t>
  </si>
  <si>
    <t xml:space="preserve">5.16.3</t>
  </si>
  <si>
    <t xml:space="preserve">8010008010SI103619</t>
  </si>
  <si>
    <t xml:space="preserve">PERFURAÇÃO HORIZONTAL DIRECIONAL E INSTALAÇÃO DE TUBULAÇÃO PEAD 225 MM, EM SOLO DE 1ª CATEGORIA. AF_01/2022 - (EXCLUSO FORNECIMENTO DE TUBO)</t>
  </si>
  <si>
    <t xml:space="preserve">5.16.4</t>
  </si>
  <si>
    <t xml:space="preserve">8010008010SI103620</t>
  </si>
  <si>
    <t xml:space="preserve">PERFURAÇÃO HORIZONTAL DIRECIONAL E INSTALAÇÃO DE TUBULAÇÃO PEAD 250 MM, EM SOLO DE 1ª CATEGORIA. AF_01/2022 - (EXCLUSO FORNECIMENTO DE TUBO)</t>
  </si>
  <si>
    <t xml:space="preserve">5.16.5</t>
  </si>
  <si>
    <t xml:space="preserve">8010008010SI103621</t>
  </si>
  <si>
    <t xml:space="preserve">PERFURAÇÃO HORIZONTAL DIRECIONAL E INSTALAÇÃO DE TUBULAÇÃO PEAD 280 MM, EM SOLO DE 1ª CATEGORIA. AF_01/2022 - (EXCLUSO FORNECIMENTO DE TUBO)</t>
  </si>
  <si>
    <t xml:space="preserve">5.16.6</t>
  </si>
  <si>
    <t xml:space="preserve">8010008010SI103622</t>
  </si>
  <si>
    <t xml:space="preserve">PERFURAÇÃO HORIZONTAL DIRECIONAL E INSTALAÇÃO DE TUBULAÇÃO PEAD 315 MM, EM SOLO DE 1ª CATEGORIA. AF_01/2022 - (EXCLUSO FORNECIMENTO DE TUBO)</t>
  </si>
  <si>
    <t xml:space="preserve">5.16.7</t>
  </si>
  <si>
    <t xml:space="preserve">8010008010SI103612</t>
  </si>
  <si>
    <t xml:space="preserve">PERFURAÇÃO HORIZONTAL DIRECIONAL E INSTALAÇÃO DE TUBULAÇÃO PEAD 63 MM, EM SOLO DE 1ª CATEGORIA. AF_01/2022 - (EXCLUSO FORNECIMENTO DE TUBO)</t>
  </si>
  <si>
    <t xml:space="preserve">5.17.1</t>
  </si>
  <si>
    <t xml:space="preserve">8099908001SC4805751</t>
  </si>
  <si>
    <t xml:space="preserve">ESCAVAÇÃO MANUAL EM MATERIAL DE 1ª CATEGORIA NA PROFUNDIDADE DE 1 A 2 M</t>
  </si>
  <si>
    <t xml:space="preserve">5.17.4</t>
  </si>
  <si>
    <t xml:space="preserve">8099908001SC4805767</t>
  </si>
  <si>
    <t xml:space="preserve">ESCAVAÇÃO MANUAL EM MATERIAL DE 2ª CATEGORIA NA PROFUNDIDADE DE 1 A 2 M</t>
  </si>
  <si>
    <t xml:space="preserve">CAIXAS - MATERIAL + SERVIÇO</t>
  </si>
  <si>
    <t xml:space="preserve">3.1</t>
  </si>
  <si>
    <t xml:space="preserve">CAIXAS - MATERIAL</t>
  </si>
  <si>
    <t xml:space="preserve">1.4</t>
  </si>
  <si>
    <t xml:space="preserve">02630</t>
  </si>
  <si>
    <t xml:space="preserve">DRENAGEM DE ÁGUAS PLUVIAIS</t>
  </si>
  <si>
    <t xml:space="preserve">1.4.1</t>
  </si>
  <si>
    <t xml:space="preserve">TAMPA DE CONCRETO ARMADO PARA CAIXA DE INSPEÇÃO</t>
  </si>
  <si>
    <t xml:space="preserve">TAMPA</t>
  </si>
  <si>
    <t xml:space="preserve">CONCRETO</t>
  </si>
  <si>
    <t xml:space="preserve">CAIXAS</t>
  </si>
  <si>
    <t xml:space="preserve">0263003006007</t>
  </si>
  <si>
    <t xml:space="preserve">TAMPA DE CONCRETO ARMADO PARA CAIXA DE INSPEÇÃO (DIÂMETRO NOMINAL: 600 MM / ESPESSURA: 60 MM)</t>
  </si>
  <si>
    <t xml:space="preserve">1.16</t>
  </si>
  <si>
    <t xml:space="preserve">15450</t>
  </si>
  <si>
    <t xml:space="preserve">RESERVATÓRIOS DE ÁGUA POTÁVEL</t>
  </si>
  <si>
    <t xml:space="preserve">1.16.1</t>
  </si>
  <si>
    <t xml:space="preserve">ESCADA TIPO MARINHEIRO EM TUBO DE AÇO INOX</t>
  </si>
  <si>
    <t xml:space="preserve">ESCADA MARINHEIRO</t>
  </si>
  <si>
    <t xml:space="preserve">0,60</t>
  </si>
  <si>
    <t xml:space="preserve">AÇO INOX</t>
  </si>
  <si>
    <t xml:space="preserve">1545003008XXX1</t>
  </si>
  <si>
    <t xml:space="preserve">ESCADA TIPO MARINHEIRO EM TUBO DE AÇO INOX, COM LARGURA DE 0,60M, FIXADO COM PARAFUSOS E SEM GUARDA-CORPO</t>
  </si>
  <si>
    <t xml:space="preserve">1.18.2</t>
  </si>
  <si>
    <t xml:space="preserve">CONCRETO AUTOADENSÁVEL C15 C/ BOMBEAMENTO</t>
  </si>
  <si>
    <t xml:space="preserve">8900103001SI11146</t>
  </si>
  <si>
    <t xml:space="preserve">CONCRETO AUTOADENSAVEL (CAA) CLASSE DE RESISTENCIA C15, ESPALHAMENTO SF2, COM BOMBEAMENTO (DISPONIBILIZACAO DE BOMBA), SEM O LANCAMENTO (NBR 15823)</t>
  </si>
  <si>
    <t xml:space="preserve">1.18.3</t>
  </si>
  <si>
    <t xml:space="preserve">CONCRETO USINADO BOMBEÁVEL C35</t>
  </si>
  <si>
    <t xml:space="preserve">8900103001SI34495</t>
  </si>
  <si>
    <t xml:space="preserve">CONCRETO USINADO BOMBEAVEL, CLASSE DE RESISTENCIA C35, COM BRITA 0 E 1, SLUMP = 100 +/-20 MM, EXCLUI SERVICO DE BOMBEAMENTO (NBR 8953)</t>
  </si>
  <si>
    <t xml:space="preserve">2</t>
  </si>
  <si>
    <t xml:space="preserve">04</t>
  </si>
  <si>
    <t xml:space="preserve">SERVIÇO (COTADO)</t>
  </si>
  <si>
    <t xml:space="preserve">2.1.1</t>
  </si>
  <si>
    <t xml:space="preserve">SERVIÇO DE BOMBEAMENTO DE CONCRETO (MÍN. 40 M3)</t>
  </si>
  <si>
    <t xml:space="preserve">8001004002SI44535</t>
  </si>
  <si>
    <t xml:space="preserve">SERVICO DE BOMBEAMENTO DE CONCRETO COM CONSUMO MINIMO DE 40 M3, (DISPONIBILIZACAO DE BOMBA), SEM O LANCAMENTO</t>
  </si>
  <si>
    <t xml:space="preserve">3.2</t>
  </si>
  <si>
    <t xml:space="preserve">CAIXAS - SERVIÇO</t>
  </si>
  <si>
    <t xml:space="preserve">5.2.6</t>
  </si>
  <si>
    <t xml:space="preserve">8001008010SI99059</t>
  </si>
  <si>
    <t xml:space="preserve">LOCAÇÃO CONVENCIONAL DE OBRA, UTILIZANDO GABARITO DE TÁBUAS CORRIDAS PONTALETADAS A CADA 2,00M - 2 UTILIZAÇÕES. AF_03/2024</t>
  </si>
  <si>
    <t xml:space="preserve">5.4.18</t>
  </si>
  <si>
    <t xml:space="preserve">8002008050SI93368</t>
  </si>
  <si>
    <t xml:space="preserve">REATERRO MECANIZADO DE VALA COM ESCAVADEIRA HIDRÁULICA (CAPACIDADE DA CAÇAMBA: 0,8 M³/POTÊNCIA: 111 HP), LARGURA ATÉ 1,5 M, PROFUNDIDADE DE 1,5 A 3,0 M, COM SOLO (SEM SUBSTITUIÇÃO) DE 1ª CATEGORIA, COM COMPACTADOR DE SOLOS DE PERCUSSÃO. AF_08/2023</t>
  </si>
  <si>
    <t xml:space="preserve">5.4.19</t>
  </si>
  <si>
    <t xml:space="preserve">8002008050SI93367</t>
  </si>
  <si>
    <t xml:space="preserve">REATERRO MECANIZADO DE VALA COM ESCAVADEIRA HIDRÁULICA (CAPACIDADE DA CAÇAMBA: 0,8 M³/POTÊNCIA: 111 HP), LARGURA DE 1,5 A 2,5 M, PROFUNDIDADE ATÉ 1,5 M, COM SOLO (SEM SUBSTITUIÇÃO) DE 1ª CATEGORIA, COM COMPACTADOR DE SOLOS DE PERCUSSÃO. AF_08/2023</t>
  </si>
  <si>
    <t xml:space="preserve">5.5.2</t>
  </si>
  <si>
    <t xml:space="preserve">8002508020SI101573</t>
  </si>
  <si>
    <t xml:space="preserve">ESCORAMENTO DE VALA, TIPO PONTALETEAMENTO, COM PROFUNDIDADE DE 1,5 A 3,0 M, LARGURA MAIOR OU IGUAL A 1,5 M E MENOR QUE 2,5 M. AF_08/2020</t>
  </si>
  <si>
    <t xml:space="preserve">5.5.5</t>
  </si>
  <si>
    <t xml:space="preserve">8002508020SI101616</t>
  </si>
  <si>
    <t xml:space="preserve">PREPARO DE FUNDO DE VALA COM LARGURA MENOR QUE 1,5 M (ACERTO DO SOLO NATURAL). AF_08/2020</t>
  </si>
  <si>
    <t xml:space="preserve">5.7.2</t>
  </si>
  <si>
    <t xml:space="preserve">8004008030SI92919</t>
  </si>
  <si>
    <t xml:space="preserve">ARMAÇÃO DE ESTRUTURAS DIVERSAS DE CONCRETO ARMADO, EXCETO VIGAS, PILARES, LAJES E FUNDAÇÕES, UTILIZANDO AÇO CA-50 DE 10,0 MM - MONTAGEM. AF_06/2022</t>
  </si>
  <si>
    <t xml:space="preserve">KG</t>
  </si>
  <si>
    <t xml:space="preserve">5.7.3</t>
  </si>
  <si>
    <t xml:space="preserve">8004008030SI92923</t>
  </si>
  <si>
    <t xml:space="preserve">ARMAÇÃO DE ESTRUTURAS DIVERSAS DE CONCRETO ARMADO, EXCETO VIGAS, PILARES, LAJES E FUNDAÇÕES, UTILIZANDO AÇO CA-50 DE 20,0 MM - MONTAGEM. AF_06/2022</t>
  </si>
  <si>
    <t xml:space="preserve">5.7.4</t>
  </si>
  <si>
    <t xml:space="preserve">8004008030SI92916</t>
  </si>
  <si>
    <t xml:space="preserve">ARMAÇÃO DE ESTRUTURAS DIVERSAS DE CONCRETO ARMADO, EXCETO VIGAS, PILARES, LAJES E FUNDAÇÕES, UTILIZANDO AÇO CA-50 DE 6,3 MM - MONTAGEM. AF_06/2022</t>
  </si>
  <si>
    <t xml:space="preserve">5.7.5</t>
  </si>
  <si>
    <t xml:space="preserve">8004008030SI92917</t>
  </si>
  <si>
    <t xml:space="preserve">ARMAÇÃO DE ESTRUTURAS DIVERSAS DE CONCRETO ARMADO, EXCETO VIGAS, PILARES, LAJES E FUNDAÇÕES, UTILIZANDO AÇO CA-50 DE 8,0 MM - MONTAGEM. AF_06/2022</t>
  </si>
  <si>
    <t xml:space="preserve">5.7.6</t>
  </si>
  <si>
    <t xml:space="preserve">8004008030SI92915</t>
  </si>
  <si>
    <t xml:space="preserve">ARMAÇÃO DE ESTRUTURAS DIVERSAS DE CONCRETO ARMADO, EXCETO VIGAS, PILARES, LAJES E FUNDAÇÕES, UTILIZANDO AÇO CA-60 DE 5,0 MM - MONTAGEM. AF_06/2022</t>
  </si>
  <si>
    <t xml:space="preserve">5.7.7</t>
  </si>
  <si>
    <t xml:space="preserve">8004008080066</t>
  </si>
  <si>
    <t xml:space="preserve">ASSENTAMENTO DE HIDRANTE DE COLUNA, INCLUSIVE REGISTRO E CONEXÕES, CONSTRUÇÃO DA CAIXA DE REGISTRO E LAJE DE APOIO</t>
  </si>
  <si>
    <t xml:space="preserve">5.7.8</t>
  </si>
  <si>
    <t xml:space="preserve">8004008065024</t>
  </si>
  <si>
    <t xml:space="preserve">ASSENTAMENTO DE TAMPA METÁLICA BIARTICULADA, FERRO FUNDIDO, DIMENSÕES *1200* X *980* MM (NÃO INCLUI FORNECIMENTO).</t>
  </si>
  <si>
    <t xml:space="preserve">5.7.9</t>
  </si>
  <si>
    <t xml:space="preserve">8004008080063</t>
  </si>
  <si>
    <t xml:space="preserve">ASSENTAMENTO DE TAMPÃO DE FERRO FUNDIDO T - 100</t>
  </si>
  <si>
    <t xml:space="preserve">5.7.11</t>
  </si>
  <si>
    <t xml:space="preserve">8004008025010</t>
  </si>
  <si>
    <t xml:space="preserve">FORMAS PLANAS PARA ESTRUTURA EM CHAPA DE MADEIRA COMPENSADA DE 12 MM, 2 REAPROVEITAMENTOS, INCLUSIVE DESFORMA</t>
  </si>
  <si>
    <t xml:space="preserve">5.7.12</t>
  </si>
  <si>
    <t xml:space="preserve">8004008040SI103673</t>
  </si>
  <si>
    <t xml:space="preserve">LANÇAMENTO COM USO DE BOMBA, ADENSAMENTO E ACABAMENTO DE CONCRETO EM ESTRUTURAS. AF_02/2022</t>
  </si>
  <si>
    <t xml:space="preserve">5.7.13</t>
  </si>
  <si>
    <t xml:space="preserve">8004008020SI100324</t>
  </si>
  <si>
    <t xml:space="preserve">LASTRO COM MATERIAL GRANULAR (PEDRA BRITADA N.1 E PEDRA BRITADA N.2), APLICADO EM PISOS OU LAJES SOBRE SOLO, ESPESSURA DE *10 CM*. AF_01/2024</t>
  </si>
  <si>
    <t xml:space="preserve">5.7.15</t>
  </si>
  <si>
    <t xml:space="preserve">8004008020001</t>
  </si>
  <si>
    <t xml:space="preserve">LASTRO DE AREIA LAVADA DE RIO COM FORNECIMENTO DO MATERIAL, TRANSPORTE E LANÇAMENTO</t>
  </si>
  <si>
    <t xml:space="preserve">5.8.3</t>
  </si>
  <si>
    <t xml:space="preserve">8004508283SI103404</t>
  </si>
  <si>
    <t xml:space="preserve">ASSENTAMENTO DE CONEXÃO COM 2 ACESSOS, EM PEAD LISO PARA REDE DE ÁGUA OU ESGOTO, DIÂMETRO DE 200 MM, JUNTA SOLDADA (NÃO INCLUI O FORNECIMENTO E EXECUÇÃO DE SOLDA). AF_12/2021</t>
  </si>
  <si>
    <t xml:space="preserve">5.8.12</t>
  </si>
  <si>
    <t xml:space="preserve">8004508110SI103106</t>
  </si>
  <si>
    <t xml:space="preserve">ASSENTAMENTO DE CONEXÃO COM 2 ACESSOS, FERRO FUNDIDO PARA REDE DE ÁGUA, DN 100 MM, JUNTA FLANGEADA (NÃO INCLUI O FORNECIMENTO). AF_09/2021</t>
  </si>
  <si>
    <t xml:space="preserve">5.8.13</t>
  </si>
  <si>
    <t xml:space="preserve">8004508110SI103107</t>
  </si>
  <si>
    <t xml:space="preserve">ASSENTAMENTO DE CONEXÃO COM 2 ACESSOS, FERRO FUNDIDO PARA REDE DE ÁGUA, DN 150 MM, JUNTA FLANGEADA (NÃO INCLUI O FORNECIMENTO). AF_09/2021</t>
  </si>
  <si>
    <t xml:space="preserve">5.8.14</t>
  </si>
  <si>
    <t xml:space="preserve">8004508110SI103108</t>
  </si>
  <si>
    <t xml:space="preserve">ASSENTAMENTO DE CONEXÃO COM 2 ACESSOS, FERRO FUNDIDO PARA REDE DE ÁGUA, DN 200 MM, JUNTA FLANGEADA (NÃO INCLUI O FORNECIMENTO). AF_09/2021</t>
  </si>
  <si>
    <t xml:space="preserve">5.8.15</t>
  </si>
  <si>
    <t xml:space="preserve">8004508110SI103109</t>
  </si>
  <si>
    <t xml:space="preserve">ASSENTAMENTO DE CONEXÃO COM 2 ACESSOS, FERRO FUNDIDO PARA REDE DE ÁGUA, DN 250 MM, JUNTA FLANGEADA (NÃO INCLUI O FORNECIMENTO). AF_09/2021</t>
  </si>
  <si>
    <t xml:space="preserve">5.8.16</t>
  </si>
  <si>
    <t xml:space="preserve">8004508110SI103110</t>
  </si>
  <si>
    <t xml:space="preserve">ASSENTAMENTO DE CONEXÃO COM 2 ACESSOS, FERRO FUNDIDO PARA REDE DE ÁGUA, DN 300 MM, JUNTA FLANGEADA (NÃO INCLUI O FORNECIMENTO). AF_09/2021</t>
  </si>
  <si>
    <t xml:space="preserve">5.8.17</t>
  </si>
  <si>
    <t xml:space="preserve">8004508110SI103111</t>
  </si>
  <si>
    <t xml:space="preserve">ASSENTAMENTO DE CONEXÃO COM 2 ACESSOS, FERRO FUNDIDO PARA REDE DE ÁGUA, DN 350 MM, JUNTA FLANGEADA (NÃO INCLUI O FORNECIMENTO). AF_09/2021</t>
  </si>
  <si>
    <t xml:space="preserve">5.8.18</t>
  </si>
  <si>
    <t xml:space="preserve">8004508110SI103105</t>
  </si>
  <si>
    <t xml:space="preserve">ASSENTAMENTO DE CONEXÃO COM 2 ACESSOS, FERRO FUNDIDO PARA REDE DE ÁGUA, DN 80 MM, JUNTA FLANGEADA (NÃO INCLUI O FORNECIMENTO). AF_09/2021</t>
  </si>
  <si>
    <t xml:space="preserve">5.8.29</t>
  </si>
  <si>
    <t xml:space="preserve">8004508110SI103090</t>
  </si>
  <si>
    <t xml:space="preserve">ASSENTAMENTO DE TUBO DE FERRO FUNDIDO PARA REDE DE ÁGUA, DN 100 MM, JUNTA FLANGEADA (NÃO INCLUI O FORNECIMENTO). AF_09/2021</t>
  </si>
  <si>
    <t xml:space="preserve">5.8.30</t>
  </si>
  <si>
    <t xml:space="preserve">8004508110SI103091</t>
  </si>
  <si>
    <t xml:space="preserve">ASSENTAMENTO DE TUBO DE FERRO FUNDIDO PARA REDE DE ÁGUA, DN 150 MM, JUNTA FLANGEADA (NÃO INCLUI O FORNECIMENTO). AF_09/2021</t>
  </si>
  <si>
    <t xml:space="preserve">5.8.31</t>
  </si>
  <si>
    <t xml:space="preserve">8004508110SI103092</t>
  </si>
  <si>
    <t xml:space="preserve">ASSENTAMENTO DE TUBO DE FERRO FUNDIDO PARA REDE DE ÁGUA, DN 200 MM, JUNTA FLANGEADA (NÃO INCLUI O FORNECIMENTO). AF_09/2021</t>
  </si>
  <si>
    <t xml:space="preserve">5.8.32</t>
  </si>
  <si>
    <t xml:space="preserve">8004508110SI103094</t>
  </si>
  <si>
    <t xml:space="preserve">ASSENTAMENTO DE TUBO DE FERRO FUNDIDO PARA REDE DE ÁGUA, DN 300 MM, JUNTA FLANGEADA (NÃO INCLUI O FORNECIMENTO). AF_09/2021</t>
  </si>
  <si>
    <t xml:space="preserve">5.8.33</t>
  </si>
  <si>
    <t xml:space="preserve">8004508110SI103095</t>
  </si>
  <si>
    <t xml:space="preserve">ASSENTAMENTO DE TUBO DE FERRO FUNDIDO PARA REDE DE ÁGUA, DN 350 MM, JUNTA FLANGEADA (NÃO INCLUI O FORNECIMENTO). AF_09/2021</t>
  </si>
  <si>
    <t xml:space="preserve">5.8.34</t>
  </si>
  <si>
    <t xml:space="preserve">8004508110SI103089</t>
  </si>
  <si>
    <t xml:space="preserve">ASSENTAMENTO DE TUBO DE FERRO FUNDIDO PARA REDE DE ÁGUA, DN 80 MM, JUNTA FLANGEADA (NÃO INCLUI O FORNECIMENTO). AF_09/2021</t>
  </si>
  <si>
    <t xml:space="preserve">5.12</t>
  </si>
  <si>
    <t xml:space="preserve">80065</t>
  </si>
  <si>
    <t xml:space="preserve">REVESTIMENTO E TRATAMENTO DE SUPERFÍCIE</t>
  </si>
  <si>
    <t xml:space="preserve">5.12.1</t>
  </si>
  <si>
    <t xml:space="preserve">8006508040SI98557</t>
  </si>
  <si>
    <t xml:space="preserve">IMPERMEABILIZAÇÃO DE SUPERFÍCIE COM EMULSÃO ASFÁLTICA, 2 DEMÃOS. AF_09/2023</t>
  </si>
  <si>
    <t xml:space="preserve">5.17.2</t>
  </si>
  <si>
    <t xml:space="preserve">8099908001SC4805752</t>
  </si>
  <si>
    <t xml:space="preserve">ESCAVAÇÃO MANUAL EM MATERIAL DE 1ª CATEGORIA NA PROFUNDIDADE DE 2 A 3 M</t>
  </si>
  <si>
    <t xml:space="preserve">5.17.5</t>
  </si>
  <si>
    <t xml:space="preserve">8099908001SC4805769</t>
  </si>
  <si>
    <t xml:space="preserve">ESCAVAÇÃO MANUAL EM MATERIAL DE 2ª CATEGORIA NA PROFUNDIDADE DE 2 A 3 M</t>
  </si>
  <si>
    <t xml:space="preserve">INTERLIGAÇÃO E LIGAÇÕES - MATERIAL + SERVIÇO</t>
  </si>
  <si>
    <t xml:space="preserve">LIGAÇÕES (ORÇAMENTO 2025100102) - MATERIAL + SERVIÇO</t>
  </si>
  <si>
    <t xml:space="preserve">4.1</t>
  </si>
  <si>
    <t xml:space="preserve">LIGAÇÕES - MATERIAL</t>
  </si>
  <si>
    <t xml:space="preserve">1.3</t>
  </si>
  <si>
    <t xml:space="preserve">02510</t>
  </si>
  <si>
    <t xml:space="preserve">FORNECIMENTO DE ÁGUA</t>
  </si>
  <si>
    <t xml:space="preserve">1.3.1</t>
  </si>
  <si>
    <t xml:space="preserve">KIT CAVALETE 3/4" UNIVERSAL</t>
  </si>
  <si>
    <t xml:space="preserve">KIT CAVALETE</t>
  </si>
  <si>
    <t xml:space="preserve">LATÃO</t>
  </si>
  <si>
    <t xml:space="preserve">LIGAÇÕES</t>
  </si>
  <si>
    <t xml:space="preserve">0251003002006</t>
  </si>
  <si>
    <t xml:space="preserve">KIT CAVALETE 3/4" UNIVERSAL, HÍBRIDO PADRÃO CAESB EM LATÃO FORJADO COM BASE PARA FIXAÇÃO, EXCLUSIVE HIDRÔMETRO.</t>
  </si>
  <si>
    <t xml:space="preserve">1.5</t>
  </si>
  <si>
    <t xml:space="preserve">03480</t>
  </si>
  <si>
    <t xml:space="preserve">CONCRETOS PRÉ-MOLDADOS</t>
  </si>
  <si>
    <t xml:space="preserve">1.5.1</t>
  </si>
  <si>
    <t xml:space="preserve">ABRIGO/MURETA PRÉ-MOLDADA P/ 02 HIDRÔMETROS</t>
  </si>
  <si>
    <t xml:space="preserve">MURETA</t>
  </si>
  <si>
    <t xml:space="preserve">0,70X1,24X0,15</t>
  </si>
  <si>
    <t xml:space="preserve">0348003003016</t>
  </si>
  <si>
    <t xml:space="preserve">ABRIGO/MURETA PRÉ-MOLDADA DE CONCRETO ARMADO FCK = 25 MPA PADRÃO CAESB COM CAIXA DE POLICARBONATO PARA DOIS HIDRÔMETROS INSTALADA. MEDIDAS DO REQUADRO: 0,70 X 0,60 X 0,15 M. MEDIDAS DOS PILARES: 0,16 X 0,64 X 0,15 M. MEDIDAS EXTERNAS: 0,70 X 1,24 X 0,15 M. PREVISÃO DE TUBOS DE PVC COM DIÂMETRO DE 50 MM: UM COM COMPRIMENTO DE 0,75 M PARA ENTRADA E DOIS COM COMPRIMENTO DE 0,11 M PARA SAÍDAS</t>
  </si>
  <si>
    <t xml:space="preserve">1.18.7</t>
  </si>
  <si>
    <t xml:space="preserve">LUVA ELETROFUSÃO</t>
  </si>
  <si>
    <t xml:space="preserve">LUVA</t>
  </si>
  <si>
    <t xml:space="preserve">ELETROFUSÃO</t>
  </si>
  <si>
    <t xml:space="preserve">8900103001SI37424</t>
  </si>
  <si>
    <t xml:space="preserve">LUVA, PEAD PE 100, DE 20 MM, PARA ELETROFUSAO</t>
  </si>
  <si>
    <t xml:space="preserve">1.18.11</t>
  </si>
  <si>
    <t xml:space="preserve">TÊ DE SERVIÇO INTEGRADO PP P/ TUBO PEAD</t>
  </si>
  <si>
    <t xml:space="preserve">TÊ DE SERVIÇO</t>
  </si>
  <si>
    <t xml:space="preserve">63X20</t>
  </si>
  <si>
    <t xml:space="preserve">PP</t>
  </si>
  <si>
    <t xml:space="preserve">8900103001SI37422</t>
  </si>
  <si>
    <t xml:space="preserve">TE DE SERVICO INTEGRADO, EM POLIPROPILENO (PP), PARA TUBOS EM PEAD, 63 X 20 MM - LIGACAO PREDIAL DE AGUA</t>
  </si>
  <si>
    <t xml:space="preserve">1.18.13</t>
  </si>
  <si>
    <t xml:space="preserve">PE80</t>
  </si>
  <si>
    <t xml:space="preserve">8900103001SI9813</t>
  </si>
  <si>
    <t xml:space="preserve">TUBO DE POLIETILENO DE ALTA DENSIDADE (PEAD), PE-80, DE = 20 MM X 2,3 MM DE PAREDE, PARA LIGACAO DE AGUA PREDIAL (NBR 15561)</t>
  </si>
  <si>
    <t xml:space="preserve">1.18.14</t>
  </si>
  <si>
    <t xml:space="preserve">UNIÃO PP P/ TUBO PEAD</t>
  </si>
  <si>
    <t xml:space="preserve">UNIÃO</t>
  </si>
  <si>
    <t xml:space="preserve">8900103001SI64</t>
  </si>
  <si>
    <t xml:space="preserve">UNIAO EM POLIPROPILENO (PP), PARA TUBO EM PEAD, 20 MM - LIGACAO PREDIAL DE AGUA</t>
  </si>
  <si>
    <t xml:space="preserve">4.2</t>
  </si>
  <si>
    <t xml:space="preserve">LIGAÇÕES - SERVIÇO</t>
  </si>
  <si>
    <t xml:space="preserve">5.10.2</t>
  </si>
  <si>
    <t xml:space="preserve">8005508010XX13</t>
  </si>
  <si>
    <t xml:space="preserve">ASSENTAMENTO DE MURETA PRÉ-MOLDADA DE CONCRETO ARMADO PARA HIDRÔMETROS</t>
  </si>
  <si>
    <t xml:space="preserve">5.10.5</t>
  </si>
  <si>
    <t xml:space="preserve">8005508130004</t>
  </si>
  <si>
    <t xml:space="preserve">LIGAÇÃO PREDIAL (CAVALETE/TÊ DE SELA) - ASSENTAMENTO DE TUBOS DE POLIETILENO DE ALTA DENSIDADE (PEAD), COM 01 ADAPTADOR E LUVA DE ELETROFUSÃO, DIÂMETRO 20 MM</t>
  </si>
  <si>
    <t xml:space="preserve">5.10.6</t>
  </si>
  <si>
    <t xml:space="preserve">8005508120013</t>
  </si>
  <si>
    <t xml:space="preserve">LIGAÇÃO PREDIAL DE ÁGUA EM REDE DE PEAD - ASSENTAMENTO POR ELETROFUSÃO DE TÊ DE SELA, DIÂMETRO DE 63 X 20 MM E LUVA DE 20 MM</t>
  </si>
  <si>
    <t xml:space="preserve">5.18</t>
  </si>
  <si>
    <t xml:space="preserve">88055</t>
  </si>
  <si>
    <t xml:space="preserve">5.18.1</t>
  </si>
  <si>
    <t xml:space="preserve">8805508010XXX3</t>
  </si>
  <si>
    <t xml:space="preserve">MONTAGEM E ASSENTAMENTO DE KIT CAVALETE DE LATÃO FORJADO, DIÂMETRO 3/4, SEM HIDRÔMETRO E TUBETE.</t>
  </si>
  <si>
    <t xml:space="preserve">INTERLIGAÇÃO (ORÇAMENTO 2025080605) - MATERIAL + SERVIÇO</t>
  </si>
  <si>
    <t xml:space="preserve">INTERLIGAÇÃO - MATERIAL</t>
  </si>
  <si>
    <t xml:space="preserve">1.18.1</t>
  </si>
  <si>
    <t xml:space="preserve">ANEL EM CONCRETO ARMADO</t>
  </si>
  <si>
    <t xml:space="preserve">ANEL</t>
  </si>
  <si>
    <t xml:space="preserve">INTERLIGAÇÃO</t>
  </si>
  <si>
    <t xml:space="preserve">8900103001SI43445</t>
  </si>
  <si>
    <t xml:space="preserve">ANEL EM CONCRETO ARMADO, LISO, PARA, POCOS DE VISITA, POCOS DE INSPECAO, FOSSAS SEPTICAS E SUMIDOUROS, COM FUNDO, DIAMETRO INTERNO DE 1,50 M E ALTURA DE 1,00 M</t>
  </si>
  <si>
    <t xml:space="preserve">INTERLIGAÇÃO - SERVIÇO</t>
  </si>
  <si>
    <t xml:space="preserve">5.7.16</t>
  </si>
  <si>
    <t xml:space="preserve">8004008095SI97738</t>
  </si>
  <si>
    <t xml:space="preserve">PEÇA CIRCULAR PRÉ-MOLDADA, VOLUME DE CONCRETO DE 10 A 30 LITROS, TAXA DE FIBRA DE POLIPROPILENO APROXIMADA DE 6 KG/M³. AF_03/2024_PS</t>
  </si>
  <si>
    <t xml:space="preserve">5.8.28</t>
  </si>
  <si>
    <t xml:space="preserve">8004508110SI103124</t>
  </si>
  <si>
    <t xml:space="preserve">ASSENTAMENTO DE CONEXÃO COM 3 ACESSOS, FERRO FUNDIDO PARA REDE DE ÁGUA, DN 200 MM, JUNTA FLANGEADA (NÃO INCLUI O FORNECIMENTO). AF_09/2021</t>
  </si>
  <si>
    <t xml:space="preserve">HIDROMECÂNICO - MATERIAL + SERVIÇO</t>
  </si>
  <si>
    <t xml:space="preserve">1.8</t>
  </si>
  <si>
    <t xml:space="preserve">15002</t>
  </si>
  <si>
    <t xml:space="preserve">ACESSÓRIOS PARA TRATAMENTO DE ÁGUA</t>
  </si>
  <si>
    <t xml:space="preserve">HIDROMECÂNICO - MATERIAL</t>
  </si>
  <si>
    <t xml:space="preserve">1.8.1</t>
  </si>
  <si>
    <t xml:space="preserve">ARRUELA BORRACHA S/ ALMA METÁLICA (ABF)</t>
  </si>
  <si>
    <t xml:space="preserve">ARRUELA</t>
  </si>
  <si>
    <t xml:space="preserve">BORRACHA</t>
  </si>
  <si>
    <t xml:space="preserve">HIDROMECÂNICO</t>
  </si>
  <si>
    <t xml:space="preserve">FOFO</t>
  </si>
  <si>
    <t xml:space="preserve">1500203055014</t>
  </si>
  <si>
    <t xml:space="preserve">ACESSÓRIO PARA FLANGE: ARRUELA DE BORRACHA SEM ALMA METÁLICA (ABF), COM ELASTÔMERO SBR, EXCLUSIVO PARA ÁGUA (CLASSE DE PRESSÃO: 10 KGF/CM² / DIÂMETRO DA SEÇÃO: 200 MM)</t>
  </si>
  <si>
    <t xml:space="preserve">1.9</t>
  </si>
  <si>
    <t xml:space="preserve">15055</t>
  </si>
  <si>
    <t xml:space="preserve">TAMPÕES E CAIXAS PARA MANUTENÇÃO DE REDES</t>
  </si>
  <si>
    <t xml:space="preserve">1.9.1</t>
  </si>
  <si>
    <t xml:space="preserve">TAMPA FºFº BIARTICULADA - T2RBI</t>
  </si>
  <si>
    <t xml:space="preserve">TAMPA BIARTICULADA</t>
  </si>
  <si>
    <t xml:space="preserve">1285X980</t>
  </si>
  <si>
    <t xml:space="preserve">FºFº</t>
  </si>
  <si>
    <t xml:space="preserve">TAMPÃO</t>
  </si>
  <si>
    <t xml:space="preserve">1505503002016</t>
  </si>
  <si>
    <t xml:space="preserve">TAMPA METÁLICA BIARTICULADA, FERRO FUNDIDO, MODELO T2RBI</t>
  </si>
  <si>
    <t xml:space="preserve">1.10</t>
  </si>
  <si>
    <t xml:space="preserve">15110</t>
  </si>
  <si>
    <t xml:space="preserve">REGISTROS, VÁLVULAS E ACESSÓRIOS</t>
  </si>
  <si>
    <t xml:space="preserve">1.10.1</t>
  </si>
  <si>
    <t xml:space="preserve">TAMPA P/ ACIONAMENTO DE REGISTRO</t>
  </si>
  <si>
    <t xml:space="preserve">TAMPA ACIONAMENTO</t>
  </si>
  <si>
    <t xml:space="preserve">1511003106005</t>
  </si>
  <si>
    <t xml:space="preserve">TAMPA PARA ACIONAMENTO DE REGISTRO DE FERRO FUNDIDO (DIÂMETRO: 100 MM)</t>
  </si>
  <si>
    <t xml:space="preserve">1.10.2</t>
  </si>
  <si>
    <t xml:space="preserve">VÁLVULA BORBOLETA FF CC - ACIONAMENTO CABEÇOTE</t>
  </si>
  <si>
    <t xml:space="preserve">VÁLVULA BORBOLETA</t>
  </si>
  <si>
    <t xml:space="preserve">VÁLVULA</t>
  </si>
  <si>
    <t xml:space="preserve">1511003139041</t>
  </si>
  <si>
    <t xml:space="preserve">VÁLVULA BORBOLETA FLANGEADA DE FERRO FUNDIDO DÚCTIL COM CORPO CURTO, MECANISMO DE REDUÇÃO TIPO C E ACIONAMENTO COM CABEÇOTE (CLASSE DE PRESSÃO: 10 KGF/CM² / DIÂMETRO DA SEÇÃO: 200 MM)</t>
  </si>
  <si>
    <t xml:space="preserve">1.10.3</t>
  </si>
  <si>
    <t xml:space="preserve">1511003139044</t>
  </si>
  <si>
    <t xml:space="preserve">VÁLVULA BORBOLETA FLANGEADA DE FERRO FUNDIDO DÚCTIL COM CORPO CURTO, MECANISMO DE REDUÇÃO TIPO C E ACIONAMENTO COM CABEÇOTE (CLASSE DE PRESSÃO: 10 KGF/CM² / DIÂMETRO DA SEÇÃO: 350 MM)</t>
  </si>
  <si>
    <t xml:space="preserve">1.10.4</t>
  </si>
  <si>
    <t xml:space="preserve">PN10/16</t>
  </si>
  <si>
    <t xml:space="preserve">1511003139037</t>
  </si>
  <si>
    <t xml:space="preserve">VÁLVULA BORBOLETA FLANGEADA DE FERRO FUNDIDO DÚCTIL COM CORPO CURTO, MECANISMO DE REDUÇÃO TIPO C E ACIONAMENTO COM CABEÇOTE (CLASSE DE PRESSÃO: 10/16 KGF/CM² / DIÂMETRO DA SEÇÃO: 100 MM)</t>
  </si>
  <si>
    <t xml:space="preserve">1.10.5</t>
  </si>
  <si>
    <t xml:space="preserve">1511003139038</t>
  </si>
  <si>
    <t xml:space="preserve">VÁLVULA BORBOLETA FLANGEADA DE FERRO FUNDIDO DÚCTIL COM CORPO CURTO, MECANISMO DE REDUÇÃO TIPO C E ACIONAMENTO COM CABEÇOTE (CLASSE DE PRESSÃO: 10/16 KGF/CM² / DIÂMETRO DA SEÇÃO: 150 MM)</t>
  </si>
  <si>
    <t xml:space="preserve">1.10.6</t>
  </si>
  <si>
    <t xml:space="preserve">VÁLVULA CONTROLE REDUTORA DE PRESSÃO EM Y - PROPORCIONAL</t>
  </si>
  <si>
    <t xml:space="preserve">VRP</t>
  </si>
  <si>
    <t xml:space="preserve">2.1/2"</t>
  </si>
  <si>
    <t xml:space="preserve">1511003043036</t>
  </si>
  <si>
    <t xml:space="preserve">VÁLVULA DE CONTROLE EM Y REDUTORA DE PRESSÃO DE FERRO FUNDIDO FLANGEADA PD - PROPORCIONAL (CLASSE DE PRESSÃO: 10 KGF/CM² / DIÂMETRO DA SEÇÃO: 2 1/2 ")</t>
  </si>
  <si>
    <t xml:space="preserve">1.10.7</t>
  </si>
  <si>
    <t xml:space="preserve">VÁLVULA CONTROLE REDUTORA DE PRESSÃO FLANGE X FLANGE</t>
  </si>
  <si>
    <t xml:space="preserve">1511003043030</t>
  </si>
  <si>
    <t xml:space="preserve">VÁLVULA DE CONTROLE REDUTORA DE PRESSÃO DE FERRO FUNDIDO FLANGEADA (CLASSE DE PRESSÃO: 10 KGF/CM² / DIÂMETRO DA SEÇÃO: 80 MM)</t>
  </si>
  <si>
    <t xml:space="preserve">1.10.8</t>
  </si>
  <si>
    <t xml:space="preserve">VÁLVULA CONTROLE REDUTORA DE PRESSÃO FLANGE X FLANGE - AUTO OPERADA TIPO GLOBO</t>
  </si>
  <si>
    <t xml:space="preserve">1511003043042</t>
  </si>
  <si>
    <t xml:space="preserve">VÁLVULA DE CONTROLE REDUTORA DE PRESSÃO DE FERRO FUNDIDO FLANGEADA, AUTO OPERADA COM CORPO TIPO GLOBO (CLASSE DE PRESSÃO: 10 KGF/CM² / DIÂMETRO DA SEÇÃO: 100 MM)</t>
  </si>
  <si>
    <t xml:space="preserve">1.10.9</t>
  </si>
  <si>
    <t xml:space="preserve">1511003043040</t>
  </si>
  <si>
    <t xml:space="preserve">VÁLVULA DE CONTROLE REDUTORA DE PRESSÃO DE FERRO FUNDIDO FLANGEADA, AUTO OPERADA COM CORPO TIPO GLOBO (CLASSE DE PRESSÃO: 10 KGF/CM² / DIÂMETRO DA SEÇÃO: 150 MM)</t>
  </si>
  <si>
    <t xml:space="preserve">1.10.10</t>
  </si>
  <si>
    <t xml:space="preserve">1511003043041</t>
  </si>
  <si>
    <t xml:space="preserve">VÁLVULA DE CONTROLE REDUTORA DE PRESSÃO DE FERRO FUNDIDO FLANGEADA, AUTO OPERADA COM CORPO TIPO GLOBO (CLASSE DE PRESSÃO: 10 KGF/CM² / DIÂMETRO DA SEÇÃO: 200 MM)</t>
  </si>
  <si>
    <t xml:space="preserve">1.10.11</t>
  </si>
  <si>
    <t xml:space="preserve">VÁLVULA GAVETA FF CUNHA BORRACHA CC - ACIONAMENTO CABEÇOTE</t>
  </si>
  <si>
    <t xml:space="preserve">VÁLVULA GAVETA</t>
  </si>
  <si>
    <t xml:space="preserve">1511003138007</t>
  </si>
  <si>
    <t xml:space="preserve">VÁLVULA DE GAVETA FLANGEADA DE FERRO FUNDIDO DÚCTIL COM CUNHA DE BORRACHA, CORPO CURTO E ACIONAMENTO COM CABEÇOTE (CLASSE DE PRESSÃO: 10/16 KGF/CM² / DIÂMETRO DA SEÇÃO: 100 MM)</t>
  </si>
  <si>
    <t xml:space="preserve">1.10.12</t>
  </si>
  <si>
    <t xml:space="preserve">1511003138034</t>
  </si>
  <si>
    <t xml:space="preserve">VÁLVULA DE GAVETA FLANGEADA DE FERRO FUNDIDO DÚCTIL COM CUNHA DE BORRACHA, CORPO CURTO E ACIONAMENTO COM CABEÇOTE (CLASSE DE PRESSÃO: 10/16 KGF/CM² / DIÂMETRO DA SEÇÃO: 150 MM)</t>
  </si>
  <si>
    <t xml:space="preserve">1.10.13</t>
  </si>
  <si>
    <t xml:space="preserve">1511003138001</t>
  </si>
  <si>
    <t xml:space="preserve">VÁLVULA DE GAVETA FLANGEADA DE FERRO FUNDIDO DÚCTIL COM CUNHA DE BORRACHA, CORPO CURTO E ACIONAMENTO COM CABEÇOTE (CLASSE DE PRESSÃO: 10/16 KGF/CM² / DIÂMETRO DA SEÇÃO: 200 MM)</t>
  </si>
  <si>
    <t xml:space="preserve">1.10.14</t>
  </si>
  <si>
    <t xml:space="preserve">1511003138002</t>
  </si>
  <si>
    <t xml:space="preserve">VÁLVULA DE GAVETA FLANGEADA DE FERRO FUNDIDO DÚCTIL COM CUNHA DE BORRACHA, CORPO CURTO E ACIONAMENTO COM CABEÇOTE (CLASSE DE PRESSÃO: 10/16 KGF/CM² / DIÂMETRO DA SEÇÃO: 250 MM)</t>
  </si>
  <si>
    <t xml:space="preserve">1.10.15</t>
  </si>
  <si>
    <t xml:space="preserve">1511003138014</t>
  </si>
  <si>
    <t xml:space="preserve">VÁLVULA DE GAVETA FLANGEADA DE FERRO FUNDIDO DÚCTIL COM CUNHA DE BORRACHA, CORPO CURTO E ACIONAMENTO COM CABEÇOTE (CLASSE DE PRESSÃO: 10/16 KGF/CM² / DIÂMETRO DA SEÇÃO: 50 MM)</t>
  </si>
  <si>
    <t xml:space="preserve">1.10.16</t>
  </si>
  <si>
    <t xml:space="preserve">1511003138042</t>
  </si>
  <si>
    <t xml:space="preserve">VÁLVULA DE GAVETA FLANGEADA DE FERRO FUNDIDO DÚCTIL COM CUNHA DE BORRACHA, CORPO CURTO E ACIONAMENTO COM CABEÇOTE (CLASSE DE PRESSÃO: 10/16 KGF/CM² / DIÂMETRO DA SEÇÃO: 80 MM)</t>
  </si>
  <si>
    <t xml:space="preserve">1.10.17</t>
  </si>
  <si>
    <t xml:space="preserve">VÁLVULA SUSTENTADORA E REDUTORA DE PRESSÃO</t>
  </si>
  <si>
    <t xml:space="preserve">1511003043XX19</t>
  </si>
  <si>
    <t xml:space="preserve">VÁLVULA SUSTENTADORA E REDUTORA DE PRESSÃO, DN 300MM, PN 10, FLANGES NBR 7675. - VÁLVULA PRINCIPAL: CORPO EM F°F° DÚCTIL, REVESTIMENTO FBE, MOLA AÇO INOX, DIAFRAGMA DE BORRACHA NATURAL REFORÇADA C/ NYLON, MANGUEIRAS DO SISTEMA DE CONTROLE EM BORRACHA</t>
  </si>
  <si>
    <t xml:space="preserve">1.10.18</t>
  </si>
  <si>
    <t xml:space="preserve">VENTOSA TRÍPLICE FUNÇÃO FLANGEADA</t>
  </si>
  <si>
    <t xml:space="preserve">VENTOSA</t>
  </si>
  <si>
    <t xml:space="preserve">1511003130004</t>
  </si>
  <si>
    <t xml:space="preserve">VENTOSA TRÍPLICE FUNÇÃO DE FERRO FUNDIDO DÚCTIL COM FLANGE (CLASSE DE PRESSÃO: 10 KGF/CM² / DIÂMETRO NOMINAL: 50 MM)</t>
  </si>
  <si>
    <t xml:space="preserve">1.12</t>
  </si>
  <si>
    <t xml:space="preserve">15139</t>
  </si>
  <si>
    <t xml:space="preserve">TUBOS E CONEXÕES DE AÇO CARBONO - LÍQUIDOS, GASES E VAPORES</t>
  </si>
  <si>
    <t xml:space="preserve">1.12.1</t>
  </si>
  <si>
    <t xml:space="preserve">FLANGE AVULSO P/ COLARINHO</t>
  </si>
  <si>
    <t xml:space="preserve">FLANGE AVULSO</t>
  </si>
  <si>
    <t xml:space="preserve">AÇO</t>
  </si>
  <si>
    <t xml:space="preserve">1513903021082</t>
  </si>
  <si>
    <t xml:space="preserve">FLANGE SOLTO, FORNECIDO EM AÇO SAE 1020, CONFORME NORMA NBR 7675/DIN (PARA COLARINHO DE PEAD / DIÂMETRO EXTERNO: 110 MM / CLASSE DE PRESSÃO: 10 KGF/CM²)</t>
  </si>
  <si>
    <t xml:space="preserve">1.12.2</t>
  </si>
  <si>
    <t xml:space="preserve">1513903021091</t>
  </si>
  <si>
    <t xml:space="preserve">FLANGE SOLTO, FORNECIDO EM AÇO SAE 1020, CONFORME NORMA NBR 7675/DIN (PARA COLARINHO DE PEAD / DIÂMETRO EXTERNO: 160 MM / CLASSE DE PRESSÃO: 10 KGF/CM²)</t>
  </si>
  <si>
    <t xml:space="preserve">1.12.3</t>
  </si>
  <si>
    <t xml:space="preserve">1513903021097</t>
  </si>
  <si>
    <t xml:space="preserve">FLANGE SOLTO, FORNECIDO EM AÇO SAE 1020, CONFORME NORMA NBR 7675/DIN (PARA COLARINHO DE PEAD / DIÂMETRO EXTERNO: 200 MM / CLASSE DE PRESSÃO: 10 KGF/CM²)</t>
  </si>
  <si>
    <t xml:space="preserve">1.12.4</t>
  </si>
  <si>
    <t xml:space="preserve">1513903021100</t>
  </si>
  <si>
    <t xml:space="preserve">FLANGE SOLTO, FORNECIDO EM AÇO SAE 1020, CONFORME NORMA NBR 7675/DIN (PARA COLARINHO DE PEAD / DIÂMETRO EXTERNO: 225 MM / CLASSE DE PRESSÃO: 10 KGF/CM²)</t>
  </si>
  <si>
    <t xml:space="preserve">1.12.5</t>
  </si>
  <si>
    <t xml:space="preserve">1513903021103</t>
  </si>
  <si>
    <t xml:space="preserve">FLANGE SOLTO, FORNECIDO EM AÇO SAE 1020, CONFORME NORMA NBR 7675/DIN (PARA COLARINHO DE PEAD / DIÂMETRO EXTERNO: 250 MM / CLASSE DE PRESSÃO: 10 KGF/CM²)</t>
  </si>
  <si>
    <t xml:space="preserve">1.12.6</t>
  </si>
  <si>
    <t xml:space="preserve">1513903021121</t>
  </si>
  <si>
    <t xml:space="preserve">FLANGE SOLTO, FORNECIDO EM AÇO SAE 1020, CONFORME NORMA NBR 7675/DIN (PARA COLARINHO DE PEAD / DIÂMETRO EXTERNO: 500 MM / CLASSE DE PRESSÃO: 10 KGF/CM²)</t>
  </si>
  <si>
    <t xml:space="preserve">1.12.7</t>
  </si>
  <si>
    <t xml:space="preserve">1513903021073</t>
  </si>
  <si>
    <t xml:space="preserve">FLANGE SOLTO, FORNECIDO EM AÇO SAE 1020, CONFORME NORMA NBR 7675/DIN (PARA COLARINHO DE PEAD / DIÂMETRO EXTERNO: 63 MM / CLASSE DE PRESSÃO: 10 KGF/CM²)</t>
  </si>
  <si>
    <t xml:space="preserve">1.12.8</t>
  </si>
  <si>
    <t xml:space="preserve">1513903021079</t>
  </si>
  <si>
    <t xml:space="preserve">FLANGE SOLTO, FORNECIDO EM AÇO SAE 1020, CONFORME NORMA NBR 7675/DIN (PARA COLARINHO DE PEAD / DIÂMETRO EXTERNO: 90 MM / CLASSE DE PRESSÃO: 10 KGF/CM²)</t>
  </si>
  <si>
    <t xml:space="preserve">1.14.1</t>
  </si>
  <si>
    <t xml:space="preserve">1514603060XX11</t>
  </si>
  <si>
    <t xml:space="preserve">LUVA DE POLIETILENO DE ALTA DENSIDADE ELETROFUSÃO (CLASSE DE PRESSÃO: 10/16 KGF/CM² / DIÂMETRO DA SEÇÃO: 250 MM / TIPO DE RESINA: PE100)</t>
  </si>
  <si>
    <t xml:space="preserve">1.14.2</t>
  </si>
  <si>
    <t xml:space="preserve">COLARINHO INJETADO PONTA LONGA</t>
  </si>
  <si>
    <t xml:space="preserve">PE100 SDR17</t>
  </si>
  <si>
    <t xml:space="preserve">COLARINHO</t>
  </si>
  <si>
    <t xml:space="preserve">1514603025022</t>
  </si>
  <si>
    <t xml:space="preserve">COLARINHO DE POLIETILENO DE ALTA DENSIDADE (PEAD), DN 110, PN-10 (10 KGF/CM²), INJETADA PE-100 SDR-17; PONTA LONGA; PARA ÁGUA OU ESGOTO; NBR 15593</t>
  </si>
  <si>
    <t xml:space="preserve">1.14.3</t>
  </si>
  <si>
    <t xml:space="preserve">1514603025023</t>
  </si>
  <si>
    <t xml:space="preserve">COLARINHO DE POLIETILENO DE ALTA DENSIDADE (PEAD), DN 125, PN-10 (10 KGF/CM²), INJETADA PE-100 SDR-17; PONTA LONGA; PARA ÁGUA OU ESGOTO; NBR 15593</t>
  </si>
  <si>
    <t xml:space="preserve">1.14.4</t>
  </si>
  <si>
    <t xml:space="preserve">1514603025025</t>
  </si>
  <si>
    <t xml:space="preserve">COLARINHO DE POLIETILENO DE ALTA DENSIDADE (PEAD), DN 160, PN-10 (10 KGF/CM²), INJETADA PE-100 SDR-17; PONTA LONGA; PARA ÁGUA OU ESGOTO; NBR 15593</t>
  </si>
  <si>
    <t xml:space="preserve">1.14.5</t>
  </si>
  <si>
    <t xml:space="preserve">1514603025027</t>
  </si>
  <si>
    <t xml:space="preserve">COLARINHO DE POLIETILENO DE ALTA DENSIDADE (PEAD), DN 200, PN-10 (10 KGF/CM²), INJETADA PE-100 SDR-17; PONTA LONGA; PARA ÁGUA OU ESGOTO; NBR 15593; PARA ÁGUA OU ESGOTO; NBR 15593</t>
  </si>
  <si>
    <t xml:space="preserve">1.14.6</t>
  </si>
  <si>
    <t xml:space="preserve">1514603025028</t>
  </si>
  <si>
    <t xml:space="preserve">COLARINHO DE POLIETILENO DE ALTA DENSIDADE (PEAD), DN 225, PN-10 (10 KGF/CM²), INJETADA PE-100 SDR-17; PONTA LONGA; PARA ÁGUA OU ESGOTO; NBR 15593</t>
  </si>
  <si>
    <t xml:space="preserve">1.14.7</t>
  </si>
  <si>
    <t xml:space="preserve">1514603025029</t>
  </si>
  <si>
    <t xml:space="preserve">COLARINHO DE POLIETILENO DE ALTA DENSIDADE (PEAD), DN 250, PN-10 (10 KGF/CM²), INJETADA PE-100 SDR-17; PONTA LONGA; PARA ÁGUA OU ESGOTO; NBR 15593</t>
  </si>
  <si>
    <t xml:space="preserve">1.14.8</t>
  </si>
  <si>
    <t xml:space="preserve">1514603025035</t>
  </si>
  <si>
    <t xml:space="preserve">COLARINHO DE POLIETILENO DE ALTA DENSIDADE (PEAD), DN 500, PN-10 (10 KGF/CM²), INJETADA PE-100 SDR-17; PONTA LONGA; PARA ÁGUA OU ESGOTO; NBR 15593</t>
  </si>
  <si>
    <t xml:space="preserve">1.14.9</t>
  </si>
  <si>
    <t xml:space="preserve">1514603025019</t>
  </si>
  <si>
    <t xml:space="preserve">COLARINHO DE POLIETILENO DE ALTA DENSIDADE (PEAD), DN 63, PN-10 (10 KGF/CM²), INJETADA PE-100 SDR-17; PONTA LONGA; PARA ÁGUA OU ESGOTO; NBR 15593</t>
  </si>
  <si>
    <t xml:space="preserve">1.14.10</t>
  </si>
  <si>
    <t xml:space="preserve">1514603025021</t>
  </si>
  <si>
    <t xml:space="preserve">COLARINHO DE POLIETILENO DE ALTA DENSIDADE (PEAD), DN 90, PN-10 (10 KGF/CM²), INJETADA PE-100 SDR-17; PONTA LONGA; PARA ÁGUA OU ESGOTO; NBR 15593</t>
  </si>
  <si>
    <t xml:space="preserve">1.14.11</t>
  </si>
  <si>
    <t xml:space="preserve">CURVA DE 90º + 02 LUVAS ELETROFUSÃO</t>
  </si>
  <si>
    <t xml:space="preserve">CURVA DE 90º</t>
  </si>
  <si>
    <t xml:space="preserve">1514603084042</t>
  </si>
  <si>
    <t xml:space="preserve">CURVA 90° DE POLIETILENO DE ALTA DENSIDADE ELETROFUSÃO (CLASSE DE PRESSÃO: 10/16 KGF/CM² / DIÂMETRO EXTERNO: 225 MM / TIPO DE RESINA: PE100), INCLUSO DUAS LUVAS EF</t>
  </si>
  <si>
    <t xml:space="preserve">1.14.12</t>
  </si>
  <si>
    <t xml:space="preserve">1514603084038</t>
  </si>
  <si>
    <t xml:space="preserve">CURVA 90° DE POLIETILENO DE ALTA DENSIDADE ELETROFUSÃO (CLASSE DE PRESSÃO: 10/16 KGF/CM² / DIÂMETRO EXTERNO: 250 MM / TIPO DE RESINA: PE100), INCLUSO DUAS LUVAS EF</t>
  </si>
  <si>
    <t xml:space="preserve">1.14.13</t>
  </si>
  <si>
    <t xml:space="preserve">1514603084011</t>
  </si>
  <si>
    <t xml:space="preserve">CURVA 90° DE POLIETILENO DE ALTA DENSIDADE ELETROFUSÃO (CLASSE DE PRESSÃO: 10/16 KGF/CM² / DIÂMETRO EXTERNO: 110 MM / TIPO DE RESINA: PE100), INCLUSO DUAS LUVAS EF</t>
  </si>
  <si>
    <t xml:space="preserve">1.14.14</t>
  </si>
  <si>
    <t xml:space="preserve">1514603084XX10</t>
  </si>
  <si>
    <t xml:space="preserve">CURVA 90° DE POLIETILENO DE ALTA DENSIDADE ELETROFUSÃO (CLASSE DE PRESSÃO: 10/16 KGF/CM² / DIÂMETRO EXTERNO: 160 MM / TIPO DE RESINA: PE100), INCLUSO DUAS LUVAS EF</t>
  </si>
  <si>
    <t xml:space="preserve">1.14.15</t>
  </si>
  <si>
    <t xml:space="preserve">1514603084034</t>
  </si>
  <si>
    <t xml:space="preserve">CURVA 90° DE POLIETILENO DE ALTA DENSIDADE ELETROFUSÃO (CLASSE DE PRESSÃO: 10/16 KGF/CM² / DIÂMETRO EXTERNO: 63 MM / TIPO DE RESINA: PE100), INCLUSO DUAS LUVAS EF</t>
  </si>
  <si>
    <t xml:space="preserve">1.14.16</t>
  </si>
  <si>
    <t xml:space="preserve">CURVA DE 90º ELETROFUSÃO INJETADA</t>
  </si>
  <si>
    <t xml:space="preserve">1514603084030</t>
  </si>
  <si>
    <t xml:space="preserve">CURVA 90° DE POLIETILENO DE ALTA DENSIDADE ELETROFUSÃO INJETADA (CLASSE DE PRESSÃO: 10 KGF/CM² / DIÂMETRO EXTERNO: 90 MM / TIPO DE RESINA: PE100 )</t>
  </si>
  <si>
    <t xml:space="preserve">1.14.17</t>
  </si>
  <si>
    <t xml:space="preserve">CURVA DE 90º SEGMENTADA</t>
  </si>
  <si>
    <t xml:space="preserve">1514603070013</t>
  </si>
  <si>
    <t xml:space="preserve">CURVA 90° DE POLIETILENO DE ALTA DENSIDADE TERMOFUSÃO SEGMENTADA (CLASSE DE PRESSÃO: 10 KGF/CM² / DIÂMETRO EXTERNO: 355 MM / TIPO DE RESINA: PE100 )</t>
  </si>
  <si>
    <t xml:space="preserve">1.14.18</t>
  </si>
  <si>
    <t xml:space="preserve">1514603070016</t>
  </si>
  <si>
    <t xml:space="preserve">CURVA 90° DE POLIETILENO DE ALTA DENSIDADE TERMOFUSÃO SEGMENTADA (CLASSE DE PRESSÃO: 10 KGF/CM² / DIÂMETRO EXTERNO: 500 MM / TIPO DE RESINA: PE100 )</t>
  </si>
  <si>
    <t xml:space="preserve">1.14.19</t>
  </si>
  <si>
    <t xml:space="preserve">1514603070011</t>
  </si>
  <si>
    <t xml:space="preserve">CURVA 90° DE POLIETILENO DE ALTA DENSIDADE TERMOFUSÃO SEGMENTADA (CLASSE DE PRESSÃO: 10 KGF/CM² /DIÂMETRO EXTERNO: 280 MM /TIPO DE RESINA: PE100 )</t>
  </si>
  <si>
    <t xml:space="preserve">1.14.20</t>
  </si>
  <si>
    <t xml:space="preserve">1514603070012</t>
  </si>
  <si>
    <t xml:space="preserve">CURVA 90° DE POLIETILENO DE ALTA DENSIDADE TERMOFUSÃO SEGMENTADA (CLASSE DE PRESSÃO: 10 KGF/CM² / DIÂMETRO EXTERNO: 315 MM / TIPO DE RESINA: PE100 )</t>
  </si>
  <si>
    <t xml:space="preserve">1.14.21</t>
  </si>
  <si>
    <t xml:space="preserve">1514603060020</t>
  </si>
  <si>
    <t xml:space="preserve">LUVA DE POLIETILENO DE ALTA DENSIDADE ELETROFUSÃO (CLASSE DE PRESSÃO: 10/16 KGF/CM² / DIÂMETRO DA SEÇÃO: 160 MM / TIPO DE RESINA: PE100 )</t>
  </si>
  <si>
    <t xml:space="preserve">1.14.22</t>
  </si>
  <si>
    <t xml:space="preserve">1514603060022</t>
  </si>
  <si>
    <t xml:space="preserve">LUVA DE POLIETILENO DE ALTA DENSIDADE ELETROFUSÃO (CLASSE DE PRESSÃO: 10/16 KGF/CM² / DIÂMETRO DA SEÇÃO: 200 MM / TIPO DE RESINA: PE100 )</t>
  </si>
  <si>
    <t xml:space="preserve">1.14.23</t>
  </si>
  <si>
    <t xml:space="preserve">1514603060023</t>
  </si>
  <si>
    <t xml:space="preserve">LUVA DE POLIETILENO DE ALTA DENSIDADE ELETROFUSÃO (CLASSE DE PRESSÃO: 10/16 KGF/CM² / DIÂMETRO DA SEÇÃO: 225 MM / TIPO DE RESINA: PE100 )</t>
  </si>
  <si>
    <t xml:space="preserve">1.14.24</t>
  </si>
  <si>
    <t xml:space="preserve">1514603060024</t>
  </si>
  <si>
    <t xml:space="preserve">LUVA DE POLIETILENO DE ALTA DENSIDADE ELETROFUSÃO (CLASSE DE PRESSÃO: 10/16 KGF/CM² / DIÂMETRO DA SEÇÃO: 315 MM / TIPO DE RESINA: PE100 )</t>
  </si>
  <si>
    <t xml:space="preserve">1.14.25</t>
  </si>
  <si>
    <t xml:space="preserve">1514603060XX21</t>
  </si>
  <si>
    <t xml:space="preserve">LUVA DE POLIETILENO DE ALTA DENSIDADE ELETROFUSÃO (CLASSE DE PRESSÃO: 10/16 KGF/CM² / DIÂMETRO DA SEÇÃO: 400 MM / TIPO DE RESINA: PE100)</t>
  </si>
  <si>
    <t xml:space="preserve">1.14.26</t>
  </si>
  <si>
    <t xml:space="preserve">1514603060XX12</t>
  </si>
  <si>
    <t xml:space="preserve">LUVA DE POLIETILENO DE ALTA DENSIDADE ELETROFUSÃO (CLASSE DE PRESSÃO: 10/16 KGF/CM² / DIÂMETRO DA SEÇÃO: 500 MM / TIPO DE RESINA: PE100)</t>
  </si>
  <si>
    <t xml:space="preserve">1.14.27</t>
  </si>
  <si>
    <t xml:space="preserve">1514603060001</t>
  </si>
  <si>
    <t xml:space="preserve">LUVA DE POLIETILENO DE ALTA DENSIDADE ELETROFUSÃO (CLASSE DE PRESSÃO: 10/16 KGF/CM² / DIÂMETRO DA SEÇÃO: 63 MM / TIPO DE RESINA: PE100 )</t>
  </si>
  <si>
    <t xml:space="preserve">1.14.28</t>
  </si>
  <si>
    <t xml:space="preserve">1514603060004</t>
  </si>
  <si>
    <t xml:space="preserve">LUVA DE POLIETILENO DE ALTA DENSIDADE ELETROFUSÃO (CLASSE DE PRESSÃO: 10/16 KGF/CM² / DIÂMETRO EXTERNO: 110 MM / TIPO DE RESINA: PE100 )</t>
  </si>
  <si>
    <t xml:space="preserve">1.14.29</t>
  </si>
  <si>
    <t xml:space="preserve">1514603060014</t>
  </si>
  <si>
    <t xml:space="preserve">LUVA DE POLIETILENO DE ALTA DENSIDADE ELETROFUSÃO (CLASSE DE PRESSÃO: 10/16 KGF/CM² / DIÂMETRO EXTERNO: 125 MM / TIPO DE RESINA: PE100)</t>
  </si>
  <si>
    <t xml:space="preserve">1.14.30</t>
  </si>
  <si>
    <t xml:space="preserve">1514603060XXX5</t>
  </si>
  <si>
    <t xml:space="preserve">LUVA DE POLIETILENO DE ALTA DENSIDADE ELETROFUSÃO (CLASSE DE PRESSÃO: 10/16 KGF/CM² / DIÂMETRO EXTERNO: 280 MM / TIPO DE RESINA: PE100)</t>
  </si>
  <si>
    <t xml:space="preserve">1.14.31</t>
  </si>
  <si>
    <t xml:space="preserve">1514603060XX16</t>
  </si>
  <si>
    <t xml:space="preserve">LUVA DE POLIETILENO DE ALTA DENSIDADE ELETROFUSÃO (CLASSE DE PRESSÃO: 10/16 KGF/CM² / DIÂMETRO EXTERNO: 355 MM / TIPO DE RESINA: PE100 )</t>
  </si>
  <si>
    <t xml:space="preserve">1.14.32</t>
  </si>
  <si>
    <t xml:space="preserve">LUVA ELETROFUSÃO INJETADA</t>
  </si>
  <si>
    <t xml:space="preserve">1514603060003</t>
  </si>
  <si>
    <t xml:space="preserve">LUVA DE POLIETILENO DE ALTA DENSIDADE ELETROFUSÃO INJETADA (CLASSE DE PRESSÃO: 10 KGF/CM² / DIÂMETRO EXTERNO: 90 MM / TIPO DE RESINA: PE100)</t>
  </si>
  <si>
    <t xml:space="preserve">1.14.33</t>
  </si>
  <si>
    <t xml:space="preserve">REDUÇÃO CONCÊNTRICA INJETADA</t>
  </si>
  <si>
    <t xml:space="preserve">REDUÇÃO</t>
  </si>
  <si>
    <t xml:space="preserve">110X63</t>
  </si>
  <si>
    <t xml:space="preserve">1514603076105</t>
  </si>
  <si>
    <t xml:space="preserve">REDUÇÃO CONCÊNTRICA DE POLIETILENO DE ALTA DENSIDADE (PEAD) INJETADO, PONTA LONGA, PARA PN-10 (10 KGF/CM²), DN-110X63 MM, SDR-17, PE-100, PARA ÁGUA OU ESGOTO, CONFORME NBR-15593</t>
  </si>
  <si>
    <t xml:space="preserve">1.14.34</t>
  </si>
  <si>
    <t xml:space="preserve">110X90</t>
  </si>
  <si>
    <t xml:space="preserve">1514603076102</t>
  </si>
  <si>
    <t xml:space="preserve">REDUÇÃO CONCÊNTRICA DE POLIETILENO DE ALTA DENSIDADE (PEAD) INJETADO, PONTA LONGA, PARA PN-10 (10 KGF/CM²), DN-110X90 MM, SDR-17, PE-100, PARA ÁGUA OU ESGOTO, CONFORME NBR-15593</t>
  </si>
  <si>
    <t xml:space="preserve">1.14.35</t>
  </si>
  <si>
    <t xml:space="preserve">160X110</t>
  </si>
  <si>
    <t xml:space="preserve">1514603076101</t>
  </si>
  <si>
    <t xml:space="preserve">REDUÇÃO CONCÊNTRICA DE POLIETILENO DE ALTA DENSIDADE (PEAD) INJETADO, PONTA LONGA, PARA PN-10 (10 KGF/CM²), DN-160X110 MM, SDR-17, PE-100, PARA ÁGUA OU ESGOTO, CONFORME NBR-15593</t>
  </si>
  <si>
    <t xml:space="preserve">1.14.36</t>
  </si>
  <si>
    <t xml:space="preserve">160X90</t>
  </si>
  <si>
    <t xml:space="preserve">1514603076106</t>
  </si>
  <si>
    <t xml:space="preserve">REDUÇÃO CONCÊNTRICA DE POLIETILENO DE ALTA DENSIDADE (PEAD) INJETADO, PONTA LONGA, PARA PN-10 (10 KGF/CM²), DN-160X90 MM, SDR-17, PE-100, PARA ÁGUA OU ESGOTO, CONFORME NBR-15593</t>
  </si>
  <si>
    <t xml:space="preserve">1.14.37</t>
  </si>
  <si>
    <t xml:space="preserve">280X250</t>
  </si>
  <si>
    <t xml:space="preserve">1514603076107</t>
  </si>
  <si>
    <t xml:space="preserve">REDUÇÃO CONCÊNTRICA DE POLIETILENO DE ALTA DENSIDADE (PEAD) INJETADO, PONTA LONGA, PARA PN-10 (10 KGF/CM²), DN-280X250 MM, SDR-17, PE-100, PARA ÁGUA OU ESGOTO, CONFORME NBR-15593</t>
  </si>
  <si>
    <t xml:space="preserve">1.14.38</t>
  </si>
  <si>
    <t xml:space="preserve">315X280</t>
  </si>
  <si>
    <t xml:space="preserve">1514603076109</t>
  </si>
  <si>
    <t xml:space="preserve">REDUÇÃO CONCÊNTRICA DE POLIETILENO DE ALTA DENSIDADE (PEAD) INJETADO, PONTA LONGA, PARA PN-10 (10 KGF/CM²), DN-315X280 MM, SDR-17, PE-100, PARA ÁGUA OU ESGOTO, CONFORME NBR-15593</t>
  </si>
  <si>
    <t xml:space="preserve">1.14.39</t>
  </si>
  <si>
    <t xml:space="preserve">90X63</t>
  </si>
  <si>
    <t xml:space="preserve">1514603076104</t>
  </si>
  <si>
    <t xml:space="preserve">REDUÇÃO CONCÊNTRICA DE POLIETILENO DE ALTA DENSIDADE (PEAD) INJETADO, PONTA LONGA, PARA PN-10 (10 KGF/CM²), DN-90X63 MM, SDR-17, PE-100, PARA ÁGUA OU ESGOTO, CONFORME NBR-15593</t>
  </si>
  <si>
    <t xml:space="preserve">1.14.40</t>
  </si>
  <si>
    <t xml:space="preserve">REDUÇÃO CONCÊNTRICA ELETROFUSÃO INJETADA</t>
  </si>
  <si>
    <t xml:space="preserve">PN16</t>
  </si>
  <si>
    <t xml:space="preserve">125X110</t>
  </si>
  <si>
    <t xml:space="preserve">1514603080013</t>
  </si>
  <si>
    <t xml:space="preserve">REDUÇÃO CONCÊNTRICA DE POLIETILENO DE ALTA DENSIDADE ELETROFUSÃO INJETADA (CLASSE DE PRESSÃO: 16 KGF/CM² / DIÂMETRO DE ENTRADA: 125 MM / DIÂMETRO DE SAÍDA: 110 MM / TIPO DE RESINA: PE100)</t>
  </si>
  <si>
    <t xml:space="preserve">1.14.41</t>
  </si>
  <si>
    <t xml:space="preserve">500X400</t>
  </si>
  <si>
    <t xml:space="preserve">1514603080019</t>
  </si>
  <si>
    <t xml:space="preserve">REDUÇÃO CONCÊNTRICA DE POLIETILENO DE ALTA DENSIDADE ELETROFUSÃO INJETADO (CLASSE DE PRESSÃO: 10 KGF/CM² / DIÂMETRO MAIOR: 500 MM / DIÂMETRO MENOR: 400 MM / TIPO DE RESINA: PE100)</t>
  </si>
  <si>
    <t xml:space="preserve">1.14.42</t>
  </si>
  <si>
    <t xml:space="preserve">225X160</t>
  </si>
  <si>
    <t xml:space="preserve">1514603076151</t>
  </si>
  <si>
    <t xml:space="preserve">REDUÇÃO CONCÊNTRICA DE POLIETILENO DE ALTA DENSIDADE TERMOFUSÃO INJETADA (CLASSE DE PRESSÃO: 10 KGF/CM² / DIÂMETRO MAIOR: 225 MM / DIÂMETRO MENOR: 160 MM / TIPO DE RESINA: PE100 )</t>
  </si>
  <si>
    <t xml:space="preserve">1.14.43</t>
  </si>
  <si>
    <t xml:space="preserve">250X160</t>
  </si>
  <si>
    <t xml:space="preserve">1514603076152</t>
  </si>
  <si>
    <t xml:space="preserve">REDUÇÃO CONCÊNTRICA DE POLIETILENO DE ALTA DENSIDADE TERMOFUSÃO INJETADA (CLASSE DE PRESSÃO: 10 KGF/CM² / DIÂMETRO MAIOR: 250 MM / DIÂMETRO MENOR: 160 MM / TIPO DE RESINA: PE100 )</t>
  </si>
  <si>
    <t xml:space="preserve">1.14.44</t>
  </si>
  <si>
    <t xml:space="preserve">250X200</t>
  </si>
  <si>
    <t xml:space="preserve">1514603076153</t>
  </si>
  <si>
    <t xml:space="preserve">REDUÇÃO CONCÊNTRICA DE POLIETILENO DE ALTA DENSIDADE TERMOFUSÃO INJETADA (CLASSE DE PRESSÃO: 10 KGF/CM² / DIÂMETRO MAIOR: 250 MM / DIÂMETRO MENOR: 200 MM / TIPO DE RESINA: PE100 )</t>
  </si>
  <si>
    <t xml:space="preserve">1.14.45</t>
  </si>
  <si>
    <t xml:space="preserve">250X225</t>
  </si>
  <si>
    <t xml:space="preserve">1514603076155</t>
  </si>
  <si>
    <t xml:space="preserve">REDUÇÃO CONCÊNTRICA DE POLIETILENO DE ALTA DENSIDADE TERMOFUSÃO INJETADA (CLASSE DE PRESSÃO: 10 KGF/CM² / DIÂMETRO MAIOR: 250 MM / DIÂMETRO MENOR: 225 MM / TIPO DE RESINA: PE100 )</t>
  </si>
  <si>
    <t xml:space="preserve">1.14.46</t>
  </si>
  <si>
    <t xml:space="preserve">355X250</t>
  </si>
  <si>
    <t xml:space="preserve">1514603076158</t>
  </si>
  <si>
    <t xml:space="preserve">REDUÇÃO CONCÊNTRICA DE POLIETILENO DE ALTA DENSIDADE TERMOFUSÃO INJETADA (CLASSE DE PRESSÃO: 10 KGF/CM² / DIÂMETRO MAIOR: 355 MM / DIÂMETRO MENOR: 250 MM / TIPO DE RESINA: PE100 )</t>
  </si>
  <si>
    <t xml:space="preserve">1.14.47</t>
  </si>
  <si>
    <t xml:space="preserve">355X315</t>
  </si>
  <si>
    <t xml:space="preserve">1514603076156</t>
  </si>
  <si>
    <t xml:space="preserve">REDUÇÃO CONCÊNTRICA DE POLIETILENO DE ALTA DENSIDADE TERMOFUSÃO INJETADA (CLASSE DE PRESSÃO: 10 KGF/CM² / DIÂMETRO MAIOR: 355 MM / DIÂMETRO MENOR: 315 MM / TIPO DE RESINA: PE100 )</t>
  </si>
  <si>
    <t xml:space="preserve">1.14.48</t>
  </si>
  <si>
    <t xml:space="preserve">400X315</t>
  </si>
  <si>
    <t xml:space="preserve">1514603076160</t>
  </si>
  <si>
    <t xml:space="preserve">REDUÇÃO CONCÊNTRICA DE POLIETILENO DE ALTA DENSIDADE TERMOFUSÃO INJETADA (CLASSE DE PRESSÃO: 10 KGF/CM² / DIÂMETRO MAIOR: 400 MM / DIÂMETRO MENOR: 315 MM / TIPO DE RESINA: PE100 )</t>
  </si>
  <si>
    <t xml:space="preserve">1.14.49</t>
  </si>
  <si>
    <t xml:space="preserve">225X110</t>
  </si>
  <si>
    <t xml:space="preserve">1514603076157</t>
  </si>
  <si>
    <t xml:space="preserve">REDUÇÃO CONCÊNTRICA DE POLIETILENO DE ALTA DENSIDADE TERMOFUSÃO INJETADA (CLASSE DE PRESSÃO: 10 KGF/CM² / DIÂMETRO MAIOR: 225 MM / DIÂMETRO MENOR: 110 MM / TIPO DE RESINA: PE100 )</t>
  </si>
  <si>
    <t xml:space="preserve">1.14.50</t>
  </si>
  <si>
    <t xml:space="preserve">225X90</t>
  </si>
  <si>
    <t xml:space="preserve">1514603076159</t>
  </si>
  <si>
    <t xml:space="preserve">REDUÇÃO CONCÊNTRICA DE POLIETILENO DE ALTA DENSIDADE TERMOFUSÃO INJETADA (CLASSE DE PRESSÃO: 10 KGF/CM² / DIÂMETRO MAIOR: 225 MM / DIÂMETRO MENOR: 90 MM / TIPO DE RESINA: PE100 )</t>
  </si>
  <si>
    <t xml:space="preserve">1.14.51</t>
  </si>
  <si>
    <t xml:space="preserve">500X355</t>
  </si>
  <si>
    <t xml:space="preserve">1514603076161</t>
  </si>
  <si>
    <t xml:space="preserve">REDUÇÃO CONCÊNTRICA DE POLIETILENO DE ALTA DENSIDADE TERMOFUSÃO INJETADA (CLASSE DE PRESSÃO: 10 KGF/CM² / DIÂMETRO MAIOR: 500 MM / DIÂMETRO MENOR: 355 MM / TIPO DE RESINA: PE100)</t>
  </si>
  <si>
    <t xml:space="preserve">1.14.52</t>
  </si>
  <si>
    <t xml:space="preserve">125X90</t>
  </si>
  <si>
    <t xml:space="preserve">1514603076098</t>
  </si>
  <si>
    <t xml:space="preserve">REDUÇÃO CONCÊNTRICA DE POLIETILENO DE ALTA DENSIDADE TERMOFUSÃO INJETADA (CLASSE DE PRESSÃO: 16 KGF/CM² / DIÂMETRO MAIOR: 125 MM / DIÂMETRO MENOR: 90 MM / TIPO DE RESINA: PE100)</t>
  </si>
  <si>
    <t xml:space="preserve">1.14.53</t>
  </si>
  <si>
    <t xml:space="preserve">TÊ 90º ELETROFUSÃO INJETADO</t>
  </si>
  <si>
    <t xml:space="preserve">TÊ 90º</t>
  </si>
  <si>
    <t xml:space="preserve">1514603062003</t>
  </si>
  <si>
    <t xml:space="preserve">TÊ 90° DE POLIETILENO DE ALTA DENSIDADE ELETROFUSÃO INJETADO (CLASSE DE PRESSÃO: 10 KGF/CM² / DIÂMETRO EXTERNO: 63 MM / TIPO DE RESINA: PE100 )</t>
  </si>
  <si>
    <t xml:space="preserve">1.14.54</t>
  </si>
  <si>
    <t xml:space="preserve">1514603062005</t>
  </si>
  <si>
    <t xml:space="preserve">TÊ 90° DE POLIETILENO DE ALTA DENSIDADE ELETROFUSÃO INJETADO (CLASSE DE PRESSÃO: 10 KGF/CM² / DIÂMETRO EXTERNO: 90 MM / TIPO DE RESINA: PE100 )</t>
  </si>
  <si>
    <t xml:space="preserve">1.14.55</t>
  </si>
  <si>
    <t xml:space="preserve">1514603062001</t>
  </si>
  <si>
    <t xml:space="preserve">TÊ 90° DE POLIETILENO DE ALTA DENSIDADE ELETROFUSÃO INJETADO (CLASSE DE PRESSÃO: 16 KGF/CM² / DIÂMETRO EXTERNO: 110 MM / TIPO DE RESINA: PE100 )</t>
  </si>
  <si>
    <t xml:space="preserve">1.14.56</t>
  </si>
  <si>
    <t xml:space="preserve">1514603062002</t>
  </si>
  <si>
    <t xml:space="preserve">TÊ 90° DE POLIETILENO DE ALTA DENSIDADE ELETROFUSÃO INJETADO (CLASSE DE PRESSÃO: 16 KGF/CM² / DIÂMETRO EXTERNO: 125 MM / TIPO DE RESINA: PE100 )</t>
  </si>
  <si>
    <t xml:space="preserve">1.14.57</t>
  </si>
  <si>
    <t xml:space="preserve">TÊ 90º INJETADO</t>
  </si>
  <si>
    <t xml:space="preserve">1514603005032</t>
  </si>
  <si>
    <t xml:space="preserve">TÊ 90° DE POLIETILENO DE ALTA DENSIDADE INJETADO (CLASSE DE PRESSÃO: 16 KGF/CM² / DIÂMETRO EXTERNO: 90 MM / TIPO DE RESINA: PE100 )</t>
  </si>
  <si>
    <t xml:space="preserve">pç</t>
  </si>
  <si>
    <t xml:space="preserve">1.14.58</t>
  </si>
  <si>
    <t xml:space="preserve">1514603061005</t>
  </si>
  <si>
    <t xml:space="preserve">TÊ 90° DE POLIETILENO DE ALTA DENSIDADE TERMOFUSÃO INJETADO (CLASSE DE PRESSÃO: 10 KGF/CM² / DIÂMETRO EXTERNO: 225 MM / TIPO DE RESINA: PE100 )</t>
  </si>
  <si>
    <t xml:space="preserve">1.14.59</t>
  </si>
  <si>
    <t xml:space="preserve">1514603061006</t>
  </si>
  <si>
    <t xml:space="preserve">TÊ 90° DE POLIETILENO DE ALTA DENSIDADE TERMOFUSÃO INJETADO (CLASSE DE PRESSÃO: 10 KGF/CM² / DIÂMETRO EXTERNO: 250 MM / TIPO DE RESINA: PE100 )</t>
  </si>
  <si>
    <t xml:space="preserve">1.14.60</t>
  </si>
  <si>
    <t xml:space="preserve">1514603061007</t>
  </si>
  <si>
    <t xml:space="preserve">TÊ 90° DE POLIETILENO DE ALTA DENSIDADE TERMOFUSÃO INJETADO (CLASSE DE PRESSÃO: 10 KGF/CM² / DIÂMETRO EXTERNO: 280 MM / TIPO DE RESINA: PE100 )</t>
  </si>
  <si>
    <t xml:space="preserve">1.14.61</t>
  </si>
  <si>
    <t xml:space="preserve">1514603061008</t>
  </si>
  <si>
    <t xml:space="preserve">TÊ 90° DE POLIETILENO DE ALTA DENSIDADE TERMOFUSÃO INJETADO (CLASSE DE PRESSÃO: 10 KGF/CM² / DIÂMETRO EXTERNO: 315 MM / TIPO DE RESINA: PE100 )</t>
  </si>
  <si>
    <t xml:space="preserve">1.14.62</t>
  </si>
  <si>
    <t xml:space="preserve">1514603061017</t>
  </si>
  <si>
    <t xml:space="preserve">TÊ 90° DE POLIETILENO DE ALTA DENSIDADE TERMOFUSÃO INJETADO (CLASSE DE PRESSÃO: 10 KGF/CM² / DIÂMETRO EXTERNO: 355 MM / TIPO DE RESINA: PE100 )</t>
  </si>
  <si>
    <t xml:space="preserve">1.14.63</t>
  </si>
  <si>
    <t xml:space="preserve">1514603061020</t>
  </si>
  <si>
    <t xml:space="preserve">TÊ 90° DE POLIETILENO DE ALTA DENSIDADE TERMOFUSÃO INJETADO (CLASSE DE PRESSÃO: 10 KGF/CM² / DIÂMETRO EXTERNO: 500 MM / TIPO DE RESINA: PE100 )</t>
  </si>
  <si>
    <t xml:space="preserve">1.14.64</t>
  </si>
  <si>
    <t xml:space="preserve">1514603061002</t>
  </si>
  <si>
    <t xml:space="preserve">TÊ 90° DE POLIETILENO DE ALTA DENSIDADE TERMOFUSÃO INJETADO (CLASSE DE PRESSÃO: 10 KGF/CM² / DIÂMETRO EXTERNO: 160 MM / TIPO DE RESINA: PE100)</t>
  </si>
  <si>
    <t xml:space="preserve">1.14.65</t>
  </si>
  <si>
    <t xml:space="preserve">TÊ 90º DE REDUÇÃO INJETADO</t>
  </si>
  <si>
    <t xml:space="preserve">TÊ 90º DE REDUÇÃO</t>
  </si>
  <si>
    <t xml:space="preserve">1514603087059</t>
  </si>
  <si>
    <t xml:space="preserve">TÊ 90º DE REDUÇÃO DE POLIETILENO DE ALTA DENSIDADE TERMOFUSÃO INJETADA (CLASSE DE PRESSÃO:10 KGF/CM² /DIÂMETRO MAIOR:225MM / DIÂMETRO MENOR:110 MM /TIPO DE RESINA: PE 100)</t>
  </si>
  <si>
    <t xml:space="preserve">1.14.66</t>
  </si>
  <si>
    <t xml:space="preserve">1514603087058</t>
  </si>
  <si>
    <t xml:space="preserve">TÊ 90º DE REDUÇÃO DE POLIETILENO DE ALTA DENSIDADE TERMOFUSÃO INJETADA (CLASSE DE PRESSÃO:10 KGF/CM² /DIÂMETRO MAIOR:225MM / DIÂMETRO MENOR:90 MM /TIPO DE RESINA: PE 100)</t>
  </si>
  <si>
    <t xml:space="preserve">1.14.67</t>
  </si>
  <si>
    <t xml:space="preserve">315X160</t>
  </si>
  <si>
    <t xml:space="preserve">1514603061051</t>
  </si>
  <si>
    <t xml:space="preserve">TÊ 90º DE REDUÇÃO DE POLIETILENO DE ALTA DENSIDADE TERMOFUSÃO INJETADA (CLASSE DE PRESSÃO:10 KGF/CM² /DIÂMETRO MAIOR:315MM / DIÂMETRO MENOR:160 MM /TIPO DE RESINA: PE 100)</t>
  </si>
  <si>
    <t xml:space="preserve">1.14.68</t>
  </si>
  <si>
    <t xml:space="preserve">1514603087052</t>
  </si>
  <si>
    <t xml:space="preserve">TÊ 90º DE REDUÇÃO DE POLIETILENO DE ALTA DENSIDADE TERMOFUSÃO INJETADA (CLASSE DE PRESSÃO:16 KGF/CM² /DIÂMETRO MAIOR:160MM / DIÂMETRO MENOR:90 MM /TIPO DE RESINA: PE 100)</t>
  </si>
  <si>
    <t xml:space="preserve">1.14.69</t>
  </si>
  <si>
    <t xml:space="preserve">TÊ DE SELA TOP LOAD ELETROFUSÃO C/ SAÍDA PONTA</t>
  </si>
  <si>
    <t xml:space="preserve">TÊ DE SELA TOP LOAD</t>
  </si>
  <si>
    <t xml:space="preserve">1514603100054</t>
  </si>
  <si>
    <t xml:space="preserve">TÊ DE SELA TOPLOAD DE POLIETILENO DE ALTA DENSIDADE ELETROFUSÃO INJETADO COM SAÍDA PONTA - PARA TUBO COM DIÂMETRO EXTERNO DE 110MM (CLASSE DE PRESSÃO: 16 KGF/CM2 / DIÂMETRO EXTERNO DA SAÍDA: 63MM / TIPO DE RESINA: PE100)</t>
  </si>
  <si>
    <t xml:space="preserve">1.14.70</t>
  </si>
  <si>
    <t xml:space="preserve">160X63</t>
  </si>
  <si>
    <t xml:space="preserve">1514603100055</t>
  </si>
  <si>
    <t xml:space="preserve">TÊ DE SELA TOPLOAD DE POLIETILENO DE ALTA DENSIDADE ELETROFUSÃO INJETADO COM SAÍDAPONTA - PARA TUBO COM DIÂMETRO EXTERNO DE 160MM (CLASSE DE PRESSÃO: 16 KGF/CM2 / DIÂMETRO EXTERNO DA SAÍDA: 63MM / TIPO DE RESINA: PE100)</t>
  </si>
  <si>
    <t xml:space="preserve">1.14.71</t>
  </si>
  <si>
    <t xml:space="preserve">225X63</t>
  </si>
  <si>
    <t xml:space="preserve">1514603100056</t>
  </si>
  <si>
    <t xml:space="preserve">TÊ DE SELA TOPLOAD DE POLIETILENO DE ALTA DENSIDADE ELETROFUSÃO INJETADO COM SAÍDA PONTA - PARA TUBO COM DIÂMETRO EXTERNO DE 225MM (CLASSE DE PRESSÃO: 16 KGF/CM2 / DIÂMETRO EXTERNO DA SAÍDA: 63MM / TIPO DE RESINA: PE100)</t>
  </si>
  <si>
    <t xml:space="preserve">1.14.72</t>
  </si>
  <si>
    <t xml:space="preserve">250X63</t>
  </si>
  <si>
    <t xml:space="preserve">1514603100057</t>
  </si>
  <si>
    <t xml:space="preserve">TÊ DE SELA TOPLOAD DE POLIETILENO DE ALTA DENSIDADE ELETROFUSÃO INJETADO COM SAÍDA PONTA - PARA TUBO COM DIÂMETRO EXTERNO DE 250MM (CLASSE DE PRESSÃO: 16 KGF/CM2 / DIÂMETRO EXTERNO DA SAÍDA: 63MM / TIPO DE RESINA: PE100)</t>
  </si>
  <si>
    <t xml:space="preserve">1.14.73</t>
  </si>
  <si>
    <t xml:space="preserve">280X63</t>
  </si>
  <si>
    <t xml:space="preserve">1514603100058</t>
  </si>
  <si>
    <t xml:space="preserve">TÊ DE SELA TOPLOAD DE POLIETILENO DE ALTA DENSIDADE ELETROFUSÃO INJETADO COM SAÍDA PONTA - PARA TUBO COM DIÂMETRO EXTERNO DE 280MM (CLASSE DE PRESSÃO: 16 KGF/CM2 / DIÂMETRO EXTERNO DA SAÍDA: 63MM / TIPO DE RESINA: PE100)</t>
  </si>
  <si>
    <t xml:space="preserve">1.14.74</t>
  </si>
  <si>
    <t xml:space="preserve">63X63</t>
  </si>
  <si>
    <t xml:space="preserve">1514603100059</t>
  </si>
  <si>
    <t xml:space="preserve">TÊ DE SELA TOPLOAD DE POLIETILENO DE ALTA DENSIDADE ELETROFUSÃO INJETADO COM SAÍDA PONTA - PARA TUBO COM DIÂMETRO EXTERNO DE 63MM (CLASSE DE PRESSÃO: 16 KGF/CM2 / DIÂMETRO EXTERNO DA SAÍDA: 63MM / TIPO DE RESINA: PE100)</t>
  </si>
  <si>
    <t xml:space="preserve">1.14.75</t>
  </si>
  <si>
    <t xml:space="preserve">1514603100060</t>
  </si>
  <si>
    <t xml:space="preserve">TÊ DE SELA TOPLOAD DE POLIETILENO DE ALTA DENSIDADE ELETROFUSÃO INJETADO COM SAÍDA PONTA - PARA TUBO COM DIÂMETRO EXTERNO DE 90MM (CLASSE DE PRESSÃO: 16 KGF/CM2 / DIÂMETRO EXTERNO DA SAÍDA: 63MM / TIPO DE RESINA: PE100)</t>
  </si>
  <si>
    <t xml:space="preserve">1.14.76</t>
  </si>
  <si>
    <t xml:space="preserve">1514603006003</t>
  </si>
  <si>
    <t xml:space="preserve">TUBO DE POLIETILENO DE ALTA DENSIDADE (CLASSE DE PRESSÃO: 10 KGF/CM² / DIÂMETRO EXTERNO NOMINAL: 225 MM / TIPO DE RESINA: PE100)</t>
  </si>
  <si>
    <t xml:space="preserve">1.15</t>
  </si>
  <si>
    <t xml:space="preserve">15159</t>
  </si>
  <si>
    <t xml:space="preserve">TUBOS E CONEXÕES DE FERRO FUNDIDO DÚCTIL</t>
  </si>
  <si>
    <t xml:space="preserve">1.15.1</t>
  </si>
  <si>
    <t xml:space="preserve">ARRUELA EPDM C/ ALMA METÁLICA</t>
  </si>
  <si>
    <t xml:space="preserve">PN10/16/25/40</t>
  </si>
  <si>
    <t xml:space="preserve">1515903098049</t>
  </si>
  <si>
    <t xml:space="preserve">ACESSÓRIOS PARA FLANGE - ARRUELA DE BORRACHA (EPDM) COM ALMA METÁLICA (CLASSE DE PRESSÃO: 10/16/25/40 KGF/CM² / DIÂMETRO DA SEÇÃO: 100 MM)</t>
  </si>
  <si>
    <t xml:space="preserve">1.15.2</t>
  </si>
  <si>
    <t xml:space="preserve">1515903098023</t>
  </si>
  <si>
    <t xml:space="preserve">ACESSÓRIOS PARA FLANGE - ARRUELA DE BORRACHA (EPDM) COM ALMA METÁLICA (CLASSE DE PRESSÃO: 10/16/25/40 KGF/CM² / DIÂMETRO DA SEÇÃO: 150 MM)</t>
  </si>
  <si>
    <t xml:space="preserve">1.15.3</t>
  </si>
  <si>
    <t xml:space="preserve">1515903098020</t>
  </si>
  <si>
    <t xml:space="preserve">ACESSÓRIOS PARA FLANGE - ARRUELA DE BORRACHA (EPDM) COM ALMA METÁLICA (CLASSE DE PRESSÃO: 10/16/25/40 KGF/CM² / DIÂMETRO DA SEÇÃO: 200 MM)</t>
  </si>
  <si>
    <t xml:space="preserve">1.15.4</t>
  </si>
  <si>
    <t xml:space="preserve">1515903098054</t>
  </si>
  <si>
    <t xml:space="preserve">ACESSÓRIOS PARA FLANGE - ARRUELA DE BORRACHA (EPDM) COM ALMA METÁLICA (CLASSE DE PRESSÃO: 10/16/25/40 KGF/CM² / DIÂMETRO DA SEÇÃO: 250 MM)</t>
  </si>
  <si>
    <t xml:space="preserve">1.15.5</t>
  </si>
  <si>
    <t xml:space="preserve">1515903098035</t>
  </si>
  <si>
    <t xml:space="preserve">ACESSÓRIOS PARA FLANGE - ARRUELA DE BORRACHA (EPDM) COM ALMA METÁLICA (CLASSE DE PRESSÃO: 10/16/25/40 KGF/CM² / DIÂMETRO DA SEÇÃO: 300 MM)</t>
  </si>
  <si>
    <t xml:space="preserve">1.15.6</t>
  </si>
  <si>
    <t xml:space="preserve">1515903098053</t>
  </si>
  <si>
    <t xml:space="preserve">ACESSÓRIOS PARA FLANGE - ARRUELA DE BORRACHA (EPDM) COM ALMA METÁLICA (CLASSE DE PRESSÃO: 10/16/25/40 KGF/CM² / DIÂMETRO DA SEÇÃO: 50 MM)</t>
  </si>
  <si>
    <t xml:space="preserve">1.15.7</t>
  </si>
  <si>
    <t xml:space="preserve">1515903098050</t>
  </si>
  <si>
    <t xml:space="preserve">ACESSÓRIOS PARA FLANGE - ARRUELA DE BORRACHA (EPDM) COM ALMA METÁLICA (CLASSE DE PRESSÃO: 10/16/25/40 KGF/CM² / DIÂMETRO DA SEÇÃO: 80 MM)</t>
  </si>
  <si>
    <t xml:space="preserve">1.15.8</t>
  </si>
  <si>
    <t xml:space="preserve">PARAFUSO SEXTAVADO COM PORCA E 02 ARRUELAS</t>
  </si>
  <si>
    <t xml:space="preserve">PN10/16/25</t>
  </si>
  <si>
    <t xml:space="preserve">PARAFUSO</t>
  </si>
  <si>
    <t xml:space="preserve">16X80</t>
  </si>
  <si>
    <t xml:space="preserve">AÇO GALVANIZADO A FOGO</t>
  </si>
  <si>
    <t xml:space="preserve">1515903014108</t>
  </si>
  <si>
    <t xml:space="preserve">ACESSÓRIOS PARA FLANGE - PARAFUSO SEXTAVADO DE AÇO GALVANIZADO À FOGO, COM PORCA E DUAS ARRUELAS, PARA JUNTA COM FLANGES, CONFORME NBR 7675. DIÂMETRO DO PARAFUSO: 16 MM / COMPRIMENTO: 80 MM. UTILIZADO PARA OS TUBOS: PN 10/16 (DIÂMETRO 50 ATÉ 100 MM) E PN 25 (DIÂMETRO 50 ATÉ 80 MM).</t>
  </si>
  <si>
    <t xml:space="preserve">1.15.9</t>
  </si>
  <si>
    <t xml:space="preserve">20X100</t>
  </si>
  <si>
    <t xml:space="preserve">1515903014107</t>
  </si>
  <si>
    <t xml:space="preserve">ACESSÓRIOS PARA FLANGE - PARAFUSO SEXTAVADO DE AÇO GALVANIZADO À FOGO, COM PORCA E DUAS ARRUELAS, PARA JUNTA COM FLANGES, CONFORME NBR 7675. DIÂMETRO DO PARAFUSO: 20 MM / COMPRIMENTO: 100 MM. UTILIZADO PARA OS TUBOS: PN 10 (DIÂMETRO 300 ATÉ 350 MM).</t>
  </si>
  <si>
    <t xml:space="preserve">1.15.10</t>
  </si>
  <si>
    <t xml:space="preserve">20X90</t>
  </si>
  <si>
    <t xml:space="preserve">1515903014109</t>
  </si>
  <si>
    <t xml:space="preserve">ACESSÓRIOS PARA FLANGE - PARAFUSO SEXTAVADO DE AÇO GALVANIZADO À FOGO, COM PORCA E DUAS ARRUELAS, PARA JUNTA COM FLANGES, CONFORME NBR 7675. DIÂMETRO DO PARAFUSO: 20 MM / COMPRIMENTO: 90 MM. UTILIZADO PARA OS TUBOS: PN 10 (DIÂMETRO 150 ATÉ 250 MM), PN 16 (DIÂMETRO 150 ATÉ 200 MM) E PN 25 (DIÂMETRO 100 MM).</t>
  </si>
  <si>
    <t xml:space="preserve">1.15.11</t>
  </si>
  <si>
    <t xml:space="preserve">24X110</t>
  </si>
  <si>
    <t xml:space="preserve">1515903014138</t>
  </si>
  <si>
    <t xml:space="preserve">ACESSÓRIOS PARA FLANGE - PARAFUSO SEXTAVADO DE AÇO GALVANIZADO À FOGO, COM PORCA E DUAS ARRUELAS, PARA JUNTA COM FLANGES, CONFORME NBR 7675. DIÂMETRO DO PARAFUSO: 24 MM / COMPRIMENTO: 110 MM. UTILIZADO PARA OS TUBOS: PN 10 (DIÂMETRO 400 ATÉ 500 MM) E PN 16 (DIÂMETRO 350 MM).</t>
  </si>
  <si>
    <t xml:space="preserve">1.15.12</t>
  </si>
  <si>
    <t xml:space="preserve">CURVA DE 90º FLANGE X FLANGE</t>
  </si>
  <si>
    <t xml:space="preserve">1515903023077</t>
  </si>
  <si>
    <t xml:space="preserve">CURVA 90° DE FERRO FUNDIDO DÚCTIL COM FLANGES PARA ÁGUA (CLASSE DE PRESSÃO: 10 KGF/CM² / DIÂMETRO DA SEÇÃO: 200 MM)</t>
  </si>
  <si>
    <t xml:space="preserve">1.15.13</t>
  </si>
  <si>
    <t xml:space="preserve">CURVA DE 90º FLANGE X FLANGE DISSIMÉTRICA</t>
  </si>
  <si>
    <t xml:space="preserve">100X80</t>
  </si>
  <si>
    <t xml:space="preserve">1515903023084</t>
  </si>
  <si>
    <t xml:space="preserve">CURVA 90° DE FERRO FUNDIDO DÚCTIL DISSIMÉTRICA COM FLANGES PARA HIDRANTE DE COLUNA (CLASSE DE PRESSÃO: 10 KGF/CM² / DIÂMETRO DE ENTRADA: 100 MM / DIÂMETRO DE SAÍDA: 80 MM)</t>
  </si>
  <si>
    <t xml:space="preserve">1.15.14</t>
  </si>
  <si>
    <t xml:space="preserve">EXTREMIDADE FLANGE X PONTA</t>
  </si>
  <si>
    <t xml:space="preserve">EXTREMIDADE</t>
  </si>
  <si>
    <t xml:space="preserve">1515903076005</t>
  </si>
  <si>
    <t xml:space="preserve">EXTREMIDADE DE FERRO FUNDIDO DÚCTIL COM FLANGE E PONTA (CLASSE DE PRESSÃO: 10 KGF/CM² / DIÂMETRO DA SEÇÃO: 200 MM)</t>
  </si>
  <si>
    <t xml:space="preserve">1.15.15</t>
  </si>
  <si>
    <t xml:space="preserve">LUVA DE CORRER JUNTA MECÂNICA</t>
  </si>
  <si>
    <t xml:space="preserve">LUVA DE CORRER</t>
  </si>
  <si>
    <t xml:space="preserve">1515903004002</t>
  </si>
  <si>
    <t xml:space="preserve">LUVA DE CORRER DE FERRO FUNDIDO DÚCTIL COM BOLSA JUNTA MECÂNICA (DIÂMETRO DA SEÇÃO: 100 MM)</t>
  </si>
  <si>
    <t xml:space="preserve">1.15.16</t>
  </si>
  <si>
    <t xml:space="preserve">1515903004023</t>
  </si>
  <si>
    <t xml:space="preserve">LUVA DE CORRER DE FERRO FUNDIDO DÚCTIL COM BOLSA JUNTA MECÂNICA (DIÂMETRO DA SEÇÃO: 150 MM)</t>
  </si>
  <si>
    <t xml:space="preserve">1.15.17</t>
  </si>
  <si>
    <t xml:space="preserve">1515903004019</t>
  </si>
  <si>
    <t xml:space="preserve">LUVA DE CORRER DE FERRO FUNDIDO DÚCTIL COM BOLSA JUNTA MECÂNICA (DIÂMETRO DA SEÇÃO: 200 MM)</t>
  </si>
  <si>
    <t xml:space="preserve">1.15.18</t>
  </si>
  <si>
    <t xml:space="preserve">1515903004020</t>
  </si>
  <si>
    <t xml:space="preserve">LUVA DE CORRER DE FERRO FUNDIDO DÚCTIL COM BOLSA JUNTA MECÂNICA (DIÂMETRO DA SEÇÃO: 300 MM)</t>
  </si>
  <si>
    <t xml:space="preserve">1.15.19</t>
  </si>
  <si>
    <t xml:space="preserve">1515903004012</t>
  </si>
  <si>
    <t xml:space="preserve">LUVA DE CORRER DE FERRO FUNDIDO DÚCTIL COM BOLSA JUNTA MECÂNICA (DIÂMETRO DA SEÇÃO: 50 MM)</t>
  </si>
  <si>
    <t xml:space="preserve">1.15.20</t>
  </si>
  <si>
    <t xml:space="preserve">1515903004017</t>
  </si>
  <si>
    <t xml:space="preserve">LUVA DE CORRER DE FERRO FUNDIDO DÚCTIL COM BOLSA JUNTA MECÂNICA (DIÂMETRO DA SEÇÃO: 80 MM)</t>
  </si>
  <si>
    <t xml:space="preserve">1.15.21</t>
  </si>
  <si>
    <t xml:space="preserve">REDUÇÃO CONCÊNTRICA FLANGE X FLANGE</t>
  </si>
  <si>
    <t xml:space="preserve">REDUÇÃO CONCÊNTRICA</t>
  </si>
  <si>
    <t xml:space="preserve">350X300</t>
  </si>
  <si>
    <t xml:space="preserve">1515903061015</t>
  </si>
  <si>
    <t xml:space="preserve">REDUÇÃO CONCÊNTRICA DE FERRO FUNDIDO DÚCTIL COM FLANGES (CLASSE DE PRESSÃO: 10 KGF/CM² / DIÂMETRO DE ENTRADA: 350 MM / DIÂMETRO DE SAÍDA: 300 MM)</t>
  </si>
  <si>
    <t xml:space="preserve">1.15.22</t>
  </si>
  <si>
    <t xml:space="preserve">200X150</t>
  </si>
  <si>
    <t xml:space="preserve">1515903061007</t>
  </si>
  <si>
    <t xml:space="preserve">REDUÇÃO CONCÊNTRICA DE FERRO FUNDIDO DÚCTIL COM FLANGES (CLASSE DE PRESSÃO: 10/16 KGF/CM² / DIÂMETRO DE ENTRADA: 200 MM / DIÂMETRO DE SAÍDA: 150 MM)</t>
  </si>
  <si>
    <t xml:space="preserve">1.15.23</t>
  </si>
  <si>
    <t xml:space="preserve">500X350</t>
  </si>
  <si>
    <t xml:space="preserve">1515903061023</t>
  </si>
  <si>
    <t xml:space="preserve">REDUÇÃO CONCÊNTRICA DE FERRO FUNDIDO DÚCTIL COM FLANGES (CLASSE DE PRESSÃO: 10/16 KGF/CM² / DIÂMETRO DE ENTRADA: 500 MM / DIÂMETRO DE SAÍDA: 350 MM)</t>
  </si>
  <si>
    <t xml:space="preserve">1.15.24</t>
  </si>
  <si>
    <t xml:space="preserve">150X80</t>
  </si>
  <si>
    <t xml:space="preserve">1515903061103</t>
  </si>
  <si>
    <t xml:space="preserve">REDUÇÃO CONCÊNTRICA DE FERRO FUNDIDO DÚCTIL COM FLANGES (CLASSE DE PRESSÃO: 10/16 KGF/CM² / DIÂMETRO DE ENTRADA: 150 MM / DIÂMETRO DE SAÍDA: 80 MM)</t>
  </si>
  <si>
    <t xml:space="preserve">1.15.25</t>
  </si>
  <si>
    <t xml:space="preserve">1515903061009</t>
  </si>
  <si>
    <t xml:space="preserve">REDUÇÃO CONCÊNTRICA DE FERRO FUNDIDO DÚCTIL COM FLANGES (CLASSE DE PRESSÃO: 10/16 KGF/CM² / DIÂMETRO DE ENTRADA: 250 MM / DIÂMETRO DE SAÍDA: 200 MM)</t>
  </si>
  <si>
    <t xml:space="preserve">1.15.26</t>
  </si>
  <si>
    <t xml:space="preserve">REDUÇÃO EXCÊNTRICA FLANGE X FLANGE</t>
  </si>
  <si>
    <t xml:space="preserve">REDUÇÃO EXCÊNTRICA</t>
  </si>
  <si>
    <t xml:space="preserve">100X50</t>
  </si>
  <si>
    <t xml:space="preserve">1515903008001</t>
  </si>
  <si>
    <t xml:space="preserve">REDUÇÃO EXCÊNTRICA DE FERRO FUNDIDO DÚCTIL COM FLANGES PARA ÁGUA (CLASSE DE PRESSÃO: 10 KGF/CM² / DIÂMETRO DE ENTRADA: 100 MM / DIÂMETRO DE SAÍDA: 50 MM)</t>
  </si>
  <si>
    <t xml:space="preserve">1.15.27</t>
  </si>
  <si>
    <t xml:space="preserve">150X100</t>
  </si>
  <si>
    <t xml:space="preserve">1515903008032</t>
  </si>
  <si>
    <t xml:space="preserve">REDUÇÃO EXCÊNTRICA DE FERRO FUNDIDO DÚCTIL COM FLANGES PARA ÁGUA (CLASSE DE PRESSÃO: 10/16 KGF/CM² / DIÂMETRO DE ENTRADA: 150 MM / DIÂMETRO DE SAÍDA: 100 MM)</t>
  </si>
  <si>
    <t xml:space="preserve">1.15.28</t>
  </si>
  <si>
    <t xml:space="preserve">80X50</t>
  </si>
  <si>
    <t xml:space="preserve">1515903008019</t>
  </si>
  <si>
    <t xml:space="preserve">REDUÇÃO EXCÊNTRICA DE FERRO FUNDIDO DÚCTIL COM FLANGES PARA ÁGUA (CLASSE DE PRESSÃO: 10/16/25 KGF/CM² / DIÂMETRO DE ENTRADA: 80 MM / DIÂMETRO DE SAÍDA: 50 MM)</t>
  </si>
  <si>
    <t xml:space="preserve">1.15.29</t>
  </si>
  <si>
    <t xml:space="preserve">TÊ FLANGE X FLANGE</t>
  </si>
  <si>
    <t xml:space="preserve">1515903064002</t>
  </si>
  <si>
    <t xml:space="preserve">TÊ DE FERRO FUNDIDO DÚCTIL COM FLANGES (CLASSE DE PRESSÃO: 10/16 KGF/CM² / DIÂMETRO: 200 MM)</t>
  </si>
  <si>
    <t xml:space="preserve">1.15.30</t>
  </si>
  <si>
    <t xml:space="preserve">TOCO FLANGE X FLANGE L = 0,50 M</t>
  </si>
  <si>
    <t xml:space="preserve">TOCO</t>
  </si>
  <si>
    <t xml:space="preserve">1515903060020</t>
  </si>
  <si>
    <t xml:space="preserve">TOCO DE FERRO FUNDIDO DÚCTIL COM FLANGES (CLASSE DE PRESSÃO: 10/16 KGF/CM² / COMPRIMENTO: 0,50 M / DIÂMETRO DA SEÇÃO: 150 MM)</t>
  </si>
  <si>
    <t xml:space="preserve">1.15.31</t>
  </si>
  <si>
    <t xml:space="preserve">1515903060021</t>
  </si>
  <si>
    <t xml:space="preserve">TOCO DE FERRO FUNDIDO DÚCTIL COM FLANGES (CLASSE DE PRESSÃO: 10/16 KGF/CM² / COMPRIMENTO: 0,50 M / DIÂMETRO DA SEÇÃO: 200 MM)</t>
  </si>
  <si>
    <t xml:space="preserve">1.15.32</t>
  </si>
  <si>
    <t xml:space="preserve">1515903060030</t>
  </si>
  <si>
    <t xml:space="preserve">TOCO DE FERRO FUNDIDO DÚCTIL COM FLANGES (CLASSE DE PRESSÃO: 10/16/25 KGF/CM² / COMPRIMENTO: 0,50 M / DIÂMETRO DA SEÇÃO: 80 MM)</t>
  </si>
  <si>
    <t xml:space="preserve">1.15.33</t>
  </si>
  <si>
    <t xml:space="preserve">TOCO FLANGE X FLANGE E ABA VEDAÇÃO L = 0,70 M</t>
  </si>
  <si>
    <t xml:space="preserve">1515903070006</t>
  </si>
  <si>
    <t xml:space="preserve">TOCO DE FERRO FUNDIDO DÚCTIL COM FLANGES E ABA DE VEDAÇÃO (CLASSE DE PRESSÃO: 10 KGF/CM² / COMPRIMENTO: 0,70 M / DIÂMETRO DA SEÇÃO: 350 MM)</t>
  </si>
  <si>
    <t xml:space="preserve">1.15.34</t>
  </si>
  <si>
    <t xml:space="preserve">1515903070072</t>
  </si>
  <si>
    <t xml:space="preserve">TOCO DE FERRO FUNDIDO DÚCTIL COM FLANGES E ABA DE VEDAÇÃO (CLASSE DE PRESSÃO: 10 KGF/CM² / COMPRIMENTO: 0,70 M / DIÂMETRO DA SEÇÃO: 50 MM / TIPO DE PINTURA: BETUMINOSA)</t>
  </si>
  <si>
    <t xml:space="preserve">1.15.35</t>
  </si>
  <si>
    <t xml:space="preserve">1515903070015</t>
  </si>
  <si>
    <t xml:space="preserve">TOCO DE FERRO FUNDIDO DÚCTIL COM FLANGES E ABA DE VEDAÇÃO (CLASSE DE PRESSÃO: 10/16 KGF/CM² / COMPRIMENTO: 0,70 M / DIÂMETRO DA SEÇÃO: 150 MM)</t>
  </si>
  <si>
    <t xml:space="preserve">1.15.36</t>
  </si>
  <si>
    <t xml:space="preserve">1515903070014</t>
  </si>
  <si>
    <t xml:space="preserve">TOCO DE FERRO FUNDIDO DÚCTIL COM FLANGES E ABA DE VEDAÇÃO (CLASSE DE PRESSÃO: 10/16/25 KGF/CM² / COMPRIMENTO: 0,70 M / DIÂMETRO DA SEÇÃO: 100 MM)</t>
  </si>
  <si>
    <t xml:space="preserve">1.15.37</t>
  </si>
  <si>
    <t xml:space="preserve">1515903070016</t>
  </si>
  <si>
    <t xml:space="preserve">TOCO DE FERRO FUNDIDO DÚCTIL COM FLANGES E ABA DE VEDAÇÃO (CLASSE DE PRESSÃO: 10/16/25 KGF/CM² / COMPRIMENTO: 0,70 M / DIÂMETRO DA SEÇÃO: 80 MM)</t>
  </si>
  <si>
    <t xml:space="preserve">1.15.38</t>
  </si>
  <si>
    <t xml:space="preserve">1515903070003</t>
  </si>
  <si>
    <t xml:space="preserve">TOCO DE FERRO FUNDIDO DÚCTIL COM FLANGES E ABA DE VEDAÇÃO PARA ÁGUA (CLASSE DE PRESSÃO: 10 KGF/CM² / COMPRIMENTO: 0,70 M / DIÂMETRO DA SEÇÃO: 200 MM / TIPO DE PINTURA: BETUMINOSA)</t>
  </si>
  <si>
    <t xml:space="preserve">1.15.39</t>
  </si>
  <si>
    <t xml:space="preserve">TUBO FLANGE X PONTA L = 1,00 M</t>
  </si>
  <si>
    <t xml:space="preserve">1515903043078</t>
  </si>
  <si>
    <t xml:space="preserve">TUBO DE FERRO FUNDIDO DÚCTIL COM FLANGE E PONTA (CLASSE DE PRESSÃO: 10 KGF/CM² / COMPRIMENTO: 1,00 M / DIÂMETRO: 200 MM)</t>
  </si>
  <si>
    <t xml:space="preserve">1.15.40</t>
  </si>
  <si>
    <t xml:space="preserve">1515903043113</t>
  </si>
  <si>
    <t xml:space="preserve">TUBO DE FERRO FUNDIDO DÚCTIL COM FLANGE E PONTA (CLASSE DE PRESSÃO: 10 KGF/CM² / COMPRIMENTO: 1,00 M / DIÂMETRO: 300 MM)</t>
  </si>
  <si>
    <t xml:space="preserve">1.15.41</t>
  </si>
  <si>
    <t xml:space="preserve">1515903043255</t>
  </si>
  <si>
    <t xml:space="preserve">TUBO DE FERRO FUNDIDO DÚCTIL COM FLANGE E PONTA (CLASSE DE PRESSÃO: 10/16 KGF/CM² / COMPRIMENTO: 1,00 M / DIÂMETRO: 100 MM)</t>
  </si>
  <si>
    <t xml:space="preserve">1.15.42</t>
  </si>
  <si>
    <t xml:space="preserve">1515903043266</t>
  </si>
  <si>
    <t xml:space="preserve">TUBO DE FERRO FUNDIDO DÚCTIL COM FLANGE E PONTA (CLASSE DE PRESSÃO: 10/16 KGF/CM² / COMPRIMENTO: 1,00 M / DIÂMETRO: 150 MM)</t>
  </si>
  <si>
    <t xml:space="preserve">1.15.43</t>
  </si>
  <si>
    <t xml:space="preserve">1515903043309</t>
  </si>
  <si>
    <t xml:space="preserve">TUBO DE FERRO FUNDIDO DÚCTIL COM FLANGE E PONTA PARA ÁGUA (CLASSE DE PRESSÃO: 10/16/25 KGF/CM² / COMPRIMENTO: 1,00 M / DIÂMETRO: 80 MM)</t>
  </si>
  <si>
    <t xml:space="preserve">1.15.44</t>
  </si>
  <si>
    <t xml:space="preserve">TUBO FLANGE X FLANGE L = 1,00 M</t>
  </si>
  <si>
    <t xml:space="preserve">1515903042104</t>
  </si>
  <si>
    <t xml:space="preserve">TUBO DE FERRO FUNDIDO DÚCTIL COM FLANGES (CLASSE DE PRESSÃO: 10 KGF/CM² / COMPRIMENTO: 1,00 M / DIÂMETRO DA SEÇÃO: 200 MM)</t>
  </si>
  <si>
    <t xml:space="preserve">1.15.45</t>
  </si>
  <si>
    <t xml:space="preserve">TUBO FLANGE X FLANGE L = 3,00 M</t>
  </si>
  <si>
    <t xml:space="preserve">1515903042136</t>
  </si>
  <si>
    <t xml:space="preserve">TUBO DE FERRO FUNDIDO DÚCTIL COM FLANGES (CLASSE DE PRESSÃO: 10 KGF/CM² / COMPRIMENTO: 3,00 M / DIÂMETRO DA SEÇÃO: 200 MM)</t>
  </si>
  <si>
    <t xml:space="preserve">1.15.46</t>
  </si>
  <si>
    <t xml:space="preserve">TUBO FLANGE X FLANGE L = 5,80 M</t>
  </si>
  <si>
    <t xml:space="preserve">1515903042183</t>
  </si>
  <si>
    <t xml:space="preserve">TUBO DE FERRO FUNDIDO DÚCTIL COM FLANGES (CLASSE DE PRESSÃO: 10 KGF/CM² / COMPRIMENTO: 5,80 M / DIÂMETRO DA SEÇÃO: 200 MM)</t>
  </si>
  <si>
    <t xml:space="preserve">1.17</t>
  </si>
  <si>
    <t xml:space="preserve">16146</t>
  </si>
  <si>
    <t xml:space="preserve">EQUIPAMENTO DE CONTROLE ELÉTRICO E ELETRÔNICO</t>
  </si>
  <si>
    <t xml:space="preserve">1.17.1</t>
  </si>
  <si>
    <t xml:space="preserve">MEDIDOR DE VAZÃO ELETROMAGNÉTICO TIPO TUBO FLANGE X FLANGE</t>
  </si>
  <si>
    <t xml:space="preserve">MEDIDOR DE VAZÃO</t>
  </si>
  <si>
    <t xml:space="preserve">MEDIDOR</t>
  </si>
  <si>
    <t xml:space="preserve">1614603003003</t>
  </si>
  <si>
    <t xml:space="preserve">MEDIDOR DE VAZÃO ELETROMAGNÉTICO TIPO TUBO COM TRECHO RETO FLANGEADO ALIMENTAÇÃO REDE ELÉTRICA SISTEMA ELETRÔNICO INTEGRADO (CLASSE DE PRESSÃO: 10 KGF/CM² / DIÂMETRO DA SEÇÃO: 200 MM)</t>
  </si>
  <si>
    <t xml:space="preserve">1.18.6</t>
  </si>
  <si>
    <t xml:space="preserve">HIDRANTE DE COLUNA COMPLETO - HCCM</t>
  </si>
  <si>
    <t xml:space="preserve">HIDRANTE - HCCM</t>
  </si>
  <si>
    <t xml:space="preserve">8900103001SI10921</t>
  </si>
  <si>
    <t xml:space="preserve">HIDRANTE DE COLUNA COMPLETO, EM FERRO FUNDIDO, DN = 100 MM, COM REGISTRO, CUNHA DE BORRACHA, CURVA DESSIMETRICA, EXTREMIDADE E TAMPAS (INCLUI KIT FIXACAO)</t>
  </si>
  <si>
    <t xml:space="preserve">1.18.10</t>
  </si>
  <si>
    <t xml:space="preserve">TAMPÃO FºFº ARTICULADO C/ BASE REQUADRO</t>
  </si>
  <si>
    <t xml:space="preserve">B125</t>
  </si>
  <si>
    <t xml:space="preserve">TAMPÃO ARTICULADO</t>
  </si>
  <si>
    <t xml:space="preserve">8900103001SI11301</t>
  </si>
  <si>
    <t xml:space="preserve">TAMPAO FOFO ARTICULADO, COM BASE / REQUADRO, CLASSE B125 CARGA MAX 12,5 T, REDONDO, TAMPA 600 MM (COM INSCRICAO EM RELEVO DO TIPO DE REDE)</t>
  </si>
  <si>
    <t xml:space="preserve">1.18.12</t>
  </si>
  <si>
    <t xml:space="preserve">TELA DE ARAME GALVANIZADA</t>
  </si>
  <si>
    <t xml:space="preserve">TELA DE ARAME</t>
  </si>
  <si>
    <t xml:space="preserve">0,56X24BWGX1/2"</t>
  </si>
  <si>
    <t xml:space="preserve">ARAME</t>
  </si>
  <si>
    <t xml:space="preserve">8900103001SI10931</t>
  </si>
  <si>
    <t xml:space="preserve">TELA DE ARAME GALVANIZADA, HEXAGONAL, FIO 0,56 MM (24 BWG), MALHA 1/2", H = 1 M</t>
  </si>
  <si>
    <t xml:space="preserve">3</t>
  </si>
  <si>
    <t xml:space="preserve">05</t>
  </si>
  <si>
    <t xml:space="preserve">EQUIPAMENTO (AQUISIÇÃO)</t>
  </si>
  <si>
    <t xml:space="preserve">22900</t>
  </si>
  <si>
    <t xml:space="preserve">EQUIPAMENTOS PARA MEDIÇÃO</t>
  </si>
  <si>
    <t xml:space="preserve">3.1.1</t>
  </si>
  <si>
    <t xml:space="preserve">2290005007054</t>
  </si>
  <si>
    <t xml:space="preserve">MEDIDOR DE VAZÃO ELETROMAGNÉTICO TIPO TUBO COM TRECHO RETO FLANGEADO ALIMENTAÇÃO REDE ELÉTRICA SISTEMA ELETRÔNICO INTEGRADO (CLASSE DE PRESSÃO: 10 KGF/CM² / DIÂMETRO DA SEÇÃO: 150 MM)</t>
  </si>
  <si>
    <t xml:space="preserve">3.1.2</t>
  </si>
  <si>
    <t xml:space="preserve">2290005007053</t>
  </si>
  <si>
    <t xml:space="preserve">MEDIDOR DE VAZÃO ELETROMAGNÉTICO TIPO TUBO COM TRECHO RETO FLANGEADO ALIMENTAÇÃO REDE ELÉTRICA SISTEMA ELETRÔNICO INTEGRADO (CLASSE DE PRESSÃO: 10 KGF/CM² / DIÂMETRO DA SEÇÃO: 80 MM)</t>
  </si>
  <si>
    <t xml:space="preserve">HIDROMECÂNICO - SERVIÇO</t>
  </si>
  <si>
    <t xml:space="preserve">5.7.1</t>
  </si>
  <si>
    <t xml:space="preserve">8004008080040</t>
  </si>
  <si>
    <t xml:space="preserve">ALÇA DE FERRO CA-60, DIÂMETRO 12,5 MM DE 0,15 X 0,20 M, PARA TAMPA DA CAIXA E VÁLVULA REDUTORA DE PRESSÃO (VRP)</t>
  </si>
  <si>
    <t xml:space="preserve">4</t>
  </si>
  <si>
    <t xml:space="preserve">06</t>
  </si>
  <si>
    <t xml:space="preserve">6.2</t>
  </si>
  <si>
    <t xml:space="preserve">4.1.1</t>
  </si>
  <si>
    <t xml:space="preserve">0173006019002</t>
  </si>
  <si>
    <t xml:space="preserve">ADMINISTRAÇÃO LOCAL PARA AS OBRAS DE IMPLANTAÇÃO DAS REDES DE ABASTECIMENTO DE ÁGUA NO MORRO DA CRUZ, EM SÃO SEBASTIÃO/DF</t>
  </si>
  <si>
    <t xml:space="preserve">RESUMO PRINCIPAL</t>
  </si>
  <si>
    <t xml:space="preserve">SUB-TOTAL 01</t>
  </si>
  <si>
    <t xml:space="preserve">BDI MATERIAL =&gt;</t>
  </si>
  <si>
    <t xml:space="preserve">BDI SERVIÇO =&gt;</t>
  </si>
  <si>
    <t xml:space="preserve">SUB-TOTAL 02</t>
  </si>
  <si>
    <t xml:space="preserve">TOTAL 01 + 02 =&gt;</t>
  </si>
  <si>
    <t xml:space="preserve">COEF. - K =&gt;</t>
  </si>
  <si>
    <t xml:space="preserve">TOTAL 01 + 02 + BDI -K</t>
  </si>
  <si>
    <t xml:space="preserve">% - PRINCIPAL</t>
  </si>
  <si>
    <t xml:space="preserve">RESUMO REAJUSTE</t>
  </si>
  <si>
    <t xml:space="preserve">REAJ. MATERIAL</t>
  </si>
  <si>
    <t xml:space="preserve">REAJ. SERVIÇO</t>
  </si>
  <si>
    <t xml:space="preserve">SUB-TOTAL REAJ.</t>
  </si>
  <si>
    <t xml:space="preserve">% - REAJUSTE</t>
  </si>
  <si>
    <t xml:space="preserve">RESUMO GERAL</t>
  </si>
  <si>
    <t xml:space="preserve">TOTAL GERAL</t>
  </si>
  <si>
    <t xml:space="preserve">RASTREABILIDADE DE REDES - GERAL</t>
  </si>
  <si>
    <t xml:space="preserve">DATA:</t>
  </si>
  <si>
    <t xml:space="preserve">10239/2026</t>
  </si>
  <si>
    <t xml:space="preserve">ELAB. POR:</t>
  </si>
  <si>
    <t xml:space="preserve">ANKARA ENGENHARIA</t>
  </si>
  <si>
    <t xml:space="preserve">ITEM</t>
  </si>
  <si>
    <t xml:space="preserve">GOOGLE LINK</t>
  </si>
  <si>
    <t xml:space="preserve">LOCAL</t>
  </si>
  <si>
    <t xml:space="preserve">DISTÂNCIA</t>
  </si>
  <si>
    <t xml:space="preserve">METODOLOGIA</t>
  </si>
  <si>
    <t xml:space="preserve">ACABAMENTO</t>
  </si>
  <si>
    <t xml:space="preserve">FINALIDADE</t>
  </si>
  <si>
    <t xml:space="preserve">CATEGORIA</t>
  </si>
  <si>
    <t xml:space="preserve">PONTO</t>
  </si>
  <si>
    <t xml:space="preserve">CLASSIFICAÇÃO EXECUTIVA</t>
  </si>
  <si>
    <t xml:space="preserve">Nº DESENHO</t>
  </si>
  <si>
    <t xml:space="preserve">PRANCHA</t>
  </si>
  <si>
    <t xml:space="preserve">REVISÃO</t>
  </si>
  <si>
    <t xml:space="preserve">DATA REVISÃO</t>
  </si>
  <si>
    <t xml:space="preserve">DELIMITIAÇÃO</t>
  </si>
  <si>
    <t xml:space="preserve">CONJUNTO</t>
  </si>
  <si>
    <t xml:space="preserve">LOTE</t>
  </si>
  <si>
    <t xml:space="preserve">DIST. CANTEIRO</t>
  </si>
  <si>
    <t xml:space="preserve">OBSERVAÇÕES</t>
  </si>
  <si>
    <t xml:space="preserve">CÓDIGO BM</t>
  </si>
  <si>
    <t xml:space="preserve">AGRUPAMENTO</t>
  </si>
  <si>
    <t xml:space="preserve">RECOB.</t>
  </si>
  <si>
    <t xml:space="preserve">PROF.</t>
  </si>
  <si>
    <t xml:space="preserve">LARG.</t>
  </si>
  <si>
    <t xml:space="preserve">LASTRO</t>
  </si>
  <si>
    <t xml:space="preserve">VOL. TUBO</t>
  </si>
  <si>
    <t xml:space="preserve">(H)-ENVOLTÓRIA</t>
  </si>
  <si>
    <t xml:space="preserve">DIST. BOTA FORA</t>
  </si>
  <si>
    <t xml:space="preserve">LOCAÇÃO C/ NOTA</t>
  </si>
  <si>
    <t xml:space="preserve">CADASTRO</t>
  </si>
  <si>
    <t xml:space="preserve">FURO SOND.</t>
  </si>
  <si>
    <t xml:space="preserve">TAPUME DESC. MÓVEL</t>
  </si>
  <si>
    <t xml:space="preserve">VOL. TOTAL ESC.</t>
  </si>
  <si>
    <t xml:space="preserve">LASTRO2</t>
  </si>
  <si>
    <t xml:space="preserve">ATERRO AREIA</t>
  </si>
  <si>
    <t xml:space="preserve">REATERRO</t>
  </si>
  <si>
    <t xml:space="preserve">ESCAV. EXT. ROCHA</t>
  </si>
  <si>
    <t xml:space="preserve">ESCAV. MAN. 1ª CAT. &lt;1,50</t>
  </si>
  <si>
    <t xml:space="preserve">ESCAV. MAN. 1ª CAT. &gt;1,50&lt;3,00</t>
  </si>
  <si>
    <t xml:space="preserve">ESCAV. MEC. 1ª CAT. &lt;1,50</t>
  </si>
  <si>
    <t xml:space="preserve">ESCAV. MEC. 1ª CAT. &gt;1,50&lt;3,00</t>
  </si>
  <si>
    <t xml:space="preserve">ESCAV. MEC. 2ª CAT. &lt;1,50</t>
  </si>
  <si>
    <t xml:space="preserve">ESCAV. MEC. 2ª CAT. &gt;1,50&lt;3,00</t>
  </si>
  <si>
    <t xml:space="preserve">ESGOT. VALA</t>
  </si>
  <si>
    <t xml:space="preserve">CARGA</t>
  </si>
  <si>
    <t xml:space="preserve">CARGA DE ROCHA</t>
  </si>
  <si>
    <t xml:space="preserve">ESC. PONTALETE &gt;=1,25 M &lt;1,5 M</t>
  </si>
  <si>
    <t xml:space="preserve">ESC. DESCONTÍNUO &gt;=1,5 M &lt;3,0 M</t>
  </si>
  <si>
    <t xml:space="preserve">ESC. CONTÍNUO MISTO &gt;=3,0 M</t>
  </si>
  <si>
    <t xml:space="preserve">TRANSPORTE A GRANEL</t>
  </si>
  <si>
    <t xml:space="preserve">PLACA SINALIZAÇÃO</t>
  </si>
  <si>
    <t xml:space="preserve">SINALIZAÇÃO NOTURNA</t>
  </si>
  <si>
    <t xml:space="preserve">PASSADIÇO - CHAPA DE AÇO (VEÍCULOS)</t>
  </si>
  <si>
    <t xml:space="preserve">PASSADIÇO - TÁBUAS (PEDESTRE)</t>
  </si>
  <si>
    <t xml:space="preserve">APOIO AGRUPAMENTO BLOCO</t>
  </si>
  <si>
    <t xml:space="preserve">EQUIPE</t>
  </si>
  <si>
    <t xml:space="preserve">TIPO</t>
  </si>
  <si>
    <t xml:space="preserve">PB</t>
  </si>
  <si>
    <t xml:space="preserve">NÓ INICIAL</t>
  </si>
  <si>
    <t xml:space="preserve">NÓ FINAL</t>
  </si>
  <si>
    <t xml:space="preserve">HANDLE CAD</t>
  </si>
  <si>
    <t xml:space="preserve">COORD. E (UTM) INÍCIO</t>
  </si>
  <si>
    <t xml:space="preserve">COORD. N (UTM) INÍCIO</t>
  </si>
  <si>
    <t xml:space="preserve">COORD. E (UTM) FIM</t>
  </si>
  <si>
    <t xml:space="preserve">COORD. N (UTM) FIM</t>
  </si>
  <si>
    <t xml:space="preserve">LATITUDE (MEIO)</t>
  </si>
  <si>
    <t xml:space="preserve">LONGITUDE (MEIO)</t>
  </si>
  <si>
    <t xml:space="preserve">ROTA - PONTO DE REFERÊNCIA</t>
  </si>
  <si>
    <t xml:space="preserve">Zona01</t>
  </si>
  <si>
    <t xml:space="preserve">VCA</t>
  </si>
  <si>
    <t xml:space="preserve">VIA</t>
  </si>
  <si>
    <t xml:space="preserve">REDE</t>
  </si>
  <si>
    <t xml:space="preserve">LINEAR</t>
  </si>
  <si>
    <t xml:space="preserve">Zona01_PB01_Rede_TR001</t>
  </si>
  <si>
    <t xml:space="preserve">TERCIÁRIA</t>
  </si>
  <si>
    <t xml:space="preserve">A.RED.SSB-D014.V03.T01.002/037</t>
  </si>
  <si>
    <t xml:space="preserve">REVISÃO 08</t>
  </si>
  <si>
    <t xml:space="preserve">ST BAIRRO RESID VITÓRIA</t>
  </si>
  <si>
    <t xml:space="preserve">S/DEFINIÇÃO</t>
  </si>
  <si>
    <t xml:space="preserve">TRECHO DE Zona01_PB01_Rede_NÓ1.8 A Zona01_PB01_Rede_NÓ2.7</t>
  </si>
  <si>
    <t xml:space="preserve">EQUIPE ZONA 01</t>
  </si>
  <si>
    <t xml:space="preserve">Rede</t>
  </si>
  <si>
    <t xml:space="preserve">PB01</t>
  </si>
  <si>
    <t xml:space="preserve">Zona01_PB01_Rede_NÓ1.8</t>
  </si>
  <si>
    <t xml:space="preserve">Zona01_PB01_Rede_NÓ2.7</t>
  </si>
  <si>
    <t xml:space="preserve">5FD12</t>
  </si>
  <si>
    <t xml:space="preserve">Zona01_PB01_Rede_TR002</t>
  </si>
  <si>
    <t xml:space="preserve">TRECHO DE Zona01_PB01_Rede_NÓ2.7 A Zona01_PB01_Rede_DF-33</t>
  </si>
  <si>
    <t xml:space="preserve">Zona01_PB01_Rede_DF-33</t>
  </si>
  <si>
    <t xml:space="preserve">Zona01_PB01_Rede_TR003</t>
  </si>
  <si>
    <t xml:space="preserve">TRECHO DE Zona01_PB01_Rede_NÓ1.9 A Zona01_PB01_Rede_NÓ1.8</t>
  </si>
  <si>
    <t xml:space="preserve">Zona01_PB01_Rede_NÓ1.9</t>
  </si>
  <si>
    <t xml:space="preserve">Zona01_PB01_Rede_TR004</t>
  </si>
  <si>
    <t xml:space="preserve">TRECHO DE Zona01_PB01_Rede_NÓ107.2 A Zona01_PB01_Rede_NÓ1.9</t>
  </si>
  <si>
    <t xml:space="preserve">Zona01_PB01_Rede_NÓ107.2</t>
  </si>
  <si>
    <t xml:space="preserve">Zona01_PB01_Rede_TR005</t>
  </si>
  <si>
    <t xml:space="preserve">TRECHO DE Zona01_PB01_Rede_DF-33 A Zona01_PB01_Rede_NÓ1.5</t>
  </si>
  <si>
    <t xml:space="preserve">Zona01_PB01_Rede_NÓ1.5</t>
  </si>
  <si>
    <t xml:space="preserve">Zona01_PB01_Rede_TR006</t>
  </si>
  <si>
    <t xml:space="preserve">TRECHO DE Zona01_PB01_Rede_NÓ1.8 A Zona01_PB01_Rede_NÓ1.7; INCLUI 0,01 M DE TUBO DESENHADO NO PRÓPRIO NÓ (NÓ1.8: anel de ponta/toco)</t>
  </si>
  <si>
    <t xml:space="preserve">Zona01_PB01_Rede_NÓ1.7</t>
  </si>
  <si>
    <t xml:space="preserve">B4DF, B4E2</t>
  </si>
  <si>
    <t xml:space="preserve">Zona01_PB01_Rede_TR007</t>
  </si>
  <si>
    <t xml:space="preserve">TRECHO DE Zona01_PB01_Rede_NÓ63.1 A Zona01_PB01_Rede_NÓ1.9; INCLUI 0,06 M DE TUBO DESENHADO NO PRÓPRIO NÓ (NÓ1.9, NÓ63.1: anel de ponta/toco)</t>
  </si>
  <si>
    <t xml:space="preserve">Zona01_PB01_Rede_NÓ63.1</t>
  </si>
  <si>
    <t xml:space="preserve">B4E5, B4E8</t>
  </si>
  <si>
    <t xml:space="preserve">Zona01_PB01_Rede_TR008</t>
  </si>
  <si>
    <t xml:space="preserve">TRECHO DE Zona01_PB01_Rede_NÓ1.5 A Zona01_PB01_Rede_NÓ1.3</t>
  </si>
  <si>
    <t xml:space="preserve">Zona01_PB01_Rede_NÓ1.3</t>
  </si>
  <si>
    <t xml:space="preserve">Zona01_PB01_Rede_TR009</t>
  </si>
  <si>
    <t xml:space="preserve">TRECHO DE Zona01_PB01_Rede_NÓ1.7 A Zona01_PB01_Rede_NÓ54.1; INCLUI 3,98 M DE TUBO DESENHADO NO PRÓPRIO NÓ (NÓ54.1: anel de ponta/toco)</t>
  </si>
  <si>
    <t xml:space="preserve">Zona01_PB01_Rede_NÓ54.1</t>
  </si>
  <si>
    <t xml:space="preserve">2C3A6, 3D38A</t>
  </si>
  <si>
    <t xml:space="preserve">Zona01_PB01_Rede_TR010</t>
  </si>
  <si>
    <t xml:space="preserve">SECUNDÁRIA</t>
  </si>
  <si>
    <t xml:space="preserve">ST MORRO DA CRUZ</t>
  </si>
  <si>
    <t xml:space="preserve">TRECHO DE Zona01_PB01_Rede_NÓ59.1 A Zona01_PB01_Rede_NÓ107.2</t>
  </si>
  <si>
    <t xml:space="preserve">Zona01_PB01_Rede_NÓ59.1</t>
  </si>
  <si>
    <t xml:space="preserve">2EFEE, 2EFFB</t>
  </si>
  <si>
    <t xml:space="preserve">Zona01_PB01_Rede_TR011</t>
  </si>
  <si>
    <t xml:space="preserve">TRECHO DE Zona01_PB01_Rede_NÓ2.6 A Zona01_PB01_Rede_NÓ2.5</t>
  </si>
  <si>
    <t xml:space="preserve">Zona01_PB01_Rede_NÓ2.6</t>
  </si>
  <si>
    <t xml:space="preserve">Zona01_PB01_Rede_NÓ2.5</t>
  </si>
  <si>
    <t xml:space="preserve">Zona01_PB01_Rede_TR012</t>
  </si>
  <si>
    <t xml:space="preserve">TRECHO DE Zona01_PB01_Rede_NÓ1.3 A Zona01_PB01_Rede_NÓ2.6</t>
  </si>
  <si>
    <t xml:space="preserve">Zona01_PB01_Rede_TR013</t>
  </si>
  <si>
    <t xml:space="preserve">TRECHO DE Zona01_PB01_Rede_NÓ1.7 A Zona01_PB01_Rede_NÓ1.5</t>
  </si>
  <si>
    <t xml:space="preserve">5FD13, B461, B464</t>
  </si>
  <si>
    <t xml:space="preserve">Zona01_PB01_Rede_TR014</t>
  </si>
  <si>
    <t xml:space="preserve">TRECHO DE Zona01_PB01_Rede_NÓ2.5 A Zona01_PB01_Rede_NÓ1.2</t>
  </si>
  <si>
    <t xml:space="preserve">Zona01_PB01_Rede_NÓ1.2</t>
  </si>
  <si>
    <t xml:space="preserve">Zona01_PB01_Rede_TR015</t>
  </si>
  <si>
    <t xml:space="preserve">TRECHO DE Zona01_PB01_Rede_NÓ63.1 A Zona01_PB01_Rede_NÓ107.2; INCLUI 0,34 M DE TUBO DESENHADO NO PRÓPRIO NÓ (NÓ63.1: anel de ponta/toco)</t>
  </si>
  <si>
    <t xml:space="preserve">B4D9, B4DC</t>
  </si>
  <si>
    <t xml:space="preserve">Zona01_PB01_Rede_TR016</t>
  </si>
  <si>
    <t xml:space="preserve">TRECHO DE Zona01_PB01_Rede_NÓ107.1 A Zona01_PB01_Rede_NÓ113.1</t>
  </si>
  <si>
    <t xml:space="preserve">Zona01_PB01_Rede_NÓ107.1</t>
  </si>
  <si>
    <t xml:space="preserve">Zona01_PB01_Rede_NÓ113.1</t>
  </si>
  <si>
    <t xml:space="preserve">B4D3, B4D6</t>
  </si>
  <si>
    <t xml:space="preserve">Zona01_PB01_Rede_TR017</t>
  </si>
  <si>
    <t xml:space="preserve">TRECHO DE Zona01_PB01_Rede_NÓ1.3 A Zona01_PB01_Rede_NÓ57.3; INCLUI 0,42 M DE TUBO DESENHADO NO PRÓPRIO NÓ (NÓ57.3: anel de ponta/toco)</t>
  </si>
  <si>
    <t xml:space="preserve">Zona01_PB01_Rede_NÓ57.3</t>
  </si>
  <si>
    <t xml:space="preserve">5FD1B, B0F8</t>
  </si>
  <si>
    <t xml:space="preserve">Zona01_PB01_Rede_TR018</t>
  </si>
  <si>
    <t xml:space="preserve">TRECHO DE Zona01_PB01_Rede_NÓ1.2 A Zona01_PB01_Rede_NÓ2.4</t>
  </si>
  <si>
    <t xml:space="preserve">Zona01_PB01_Rede_NÓ2.4</t>
  </si>
  <si>
    <t xml:space="preserve">Zona01_PB01_Rede_TR019</t>
  </si>
  <si>
    <t xml:space="preserve">TRECHO DE Zona01_PB01_Rede_NÓ92.1 A Zona01_PB01_Rede_NÓ63.1</t>
  </si>
  <si>
    <t xml:space="preserve">Zona01_PB01_Rede_NÓ92.1</t>
  </si>
  <si>
    <t xml:space="preserve">A5D6</t>
  </si>
  <si>
    <t xml:space="preserve">Zona01_PB01_Rede_TR020</t>
  </si>
  <si>
    <t xml:space="preserve">TRECHO DE Zona01_PB01_Rede_NÓ2.4 A Zona01_PB01_Rede_NÓ2.3</t>
  </si>
  <si>
    <t xml:space="preserve">Zona01_PB01_Rede_NÓ2.3</t>
  </si>
  <si>
    <t xml:space="preserve">Zona01_PB01_Rede_TR021</t>
  </si>
  <si>
    <t xml:space="preserve">TRECHO DE Zona01_PB01_Rede_NÓ57.3 A Zona01_PB01_Rede_NÓ92.1</t>
  </si>
  <si>
    <t xml:space="preserve">AD14</t>
  </si>
  <si>
    <t xml:space="preserve">Zona01_PB01_Rede_TR022</t>
  </si>
  <si>
    <t xml:space="preserve">TRECHO DE Zona01_PB01_Rede_NÓ92.1 A Zona01_PB01_Rede_NÓ69.1</t>
  </si>
  <si>
    <t xml:space="preserve">Zona01_PB01_Rede_NÓ69.1</t>
  </si>
  <si>
    <t xml:space="preserve">B2F6</t>
  </si>
  <si>
    <t xml:space="preserve">Zona01_PB01_Rede_TR023</t>
  </si>
  <si>
    <t xml:space="preserve">TRECHO DE Zona01_PB01_Rede_NÓ2.3 A Zona01_PB01_Rede_NÓ2.1</t>
  </si>
  <si>
    <t xml:space="preserve">Zona01_PB01_Rede_NÓ2.1</t>
  </si>
  <si>
    <t xml:space="preserve">Zona01_PB01_Rede_TR024</t>
  </si>
  <si>
    <t xml:space="preserve">TRECHO DE Zona01_PB01_Rede_NÓ59.1 A Zona01_PB01_Rede_NÓ1.11</t>
  </si>
  <si>
    <t xml:space="preserve">Zona01_PB01_Rede_NÓ1.11</t>
  </si>
  <si>
    <t xml:space="preserve">2EFDF</t>
  </si>
  <si>
    <t xml:space="preserve">Zona01_PB01_Rede_TR025</t>
  </si>
  <si>
    <t xml:space="preserve">TRECHO DE Zona01_PB01_Rede_NÓ57.2 A Zona01_PB01_Rede_NÓ1.2; INCLUI 0,37 M DE TUBO DESENHADO NO PRÓPRIO NÓ (NÓ57.2: anel de ponta/toco)</t>
  </si>
  <si>
    <t xml:space="preserve">Zona01_PB01_Rede_NÓ57.2</t>
  </si>
  <si>
    <t xml:space="preserve">B308</t>
  </si>
  <si>
    <t xml:space="preserve">Zona01_PB01_Rede_TR026</t>
  </si>
  <si>
    <t xml:space="preserve">TRECHO DE Zona01_PB01_Rede_NÓ2.1 A Zona01_PB01_Rede_NÓ2.2</t>
  </si>
  <si>
    <t xml:space="preserve">Zona01_PB01_Rede_NÓ2.2</t>
  </si>
  <si>
    <t xml:space="preserve">Zona01_PB01_Rede_TR027</t>
  </si>
  <si>
    <t xml:space="preserve">TRECHO DE Zona01_PB01_Rede_NÓ113.1 A Zona01_PB01_Rede_NÓ59.1</t>
  </si>
  <si>
    <t xml:space="preserve">2EFEE</t>
  </si>
  <si>
    <t xml:space="preserve">Zona01_PB01_Rede_TR028</t>
  </si>
  <si>
    <t xml:space="preserve">TRECHO DE Zona01_PB01_Rede_NÓ2.2 A Zona01_PB01_Rede_NÓ1.1</t>
  </si>
  <si>
    <t xml:space="preserve">Zona01_PB01_Rede_NÓ1.1</t>
  </si>
  <si>
    <t xml:space="preserve">Zona01_PB01_Rede_TR029</t>
  </si>
  <si>
    <t xml:space="preserve">TRECHO DE Zona01_PB01_Rede_NÓ57.2 A Zona01_PB01_Rede_NÓ57.3</t>
  </si>
  <si>
    <t xml:space="preserve">AD11</t>
  </si>
  <si>
    <t xml:space="preserve">Zona01_PB01_Rede_TR030</t>
  </si>
  <si>
    <t xml:space="preserve">TRECHO DE Zona01_PB01_Rede_NÓ69.1 A Zona01_PB01_Rede_NÓ107.1</t>
  </si>
  <si>
    <t xml:space="preserve">AD2F</t>
  </si>
  <si>
    <t xml:space="preserve">Zona01_PB01_Rede_TR031</t>
  </si>
  <si>
    <t xml:space="preserve">TRECHO DE Zona01_PB01_Rede_NÓ1.11 A Zona01_PB01_Rede_DF-41; INCLUI 0,46 M DE TUBO DESENHADO NO PRÓPRIO NÓ (DF-41: anel de ponta/toco)</t>
  </si>
  <si>
    <t xml:space="preserve">Zona01_PB01_Rede_DF-41</t>
  </si>
  <si>
    <t xml:space="preserve">Zona01_PB01_Rede_TR032</t>
  </si>
  <si>
    <t xml:space="preserve">TRECHO DE Zona01_PB01_Rede_NÓ1.1 A Zona01_PB01_Rede_NÓ106.1</t>
  </si>
  <si>
    <t xml:space="preserve">Zona01_PB01_Rede_NÓ106.1</t>
  </si>
  <si>
    <t xml:space="preserve">Zona01_PB01_Rede_TR033</t>
  </si>
  <si>
    <t xml:space="preserve">TRECHO DE Zona01_PB01_Rede_NÓ106.2 A Zona01_PB01_Rede_NÓ1.1</t>
  </si>
  <si>
    <t xml:space="preserve">Zona01_PB01_Rede_NÓ106.2</t>
  </si>
  <si>
    <t xml:space="preserve">5FD1C</t>
  </si>
  <si>
    <t xml:space="preserve">Zona01_PB01_Rede_TR034</t>
  </si>
  <si>
    <t xml:space="preserve">TRECHO DE Zona01_PB01_Rede_NÓ106.2 A Zona01_PB01_Rede_NÓ57.2</t>
  </si>
  <si>
    <t xml:space="preserve">AE97</t>
  </si>
  <si>
    <t xml:space="preserve">Zona01_PB01_Rede_TR035</t>
  </si>
  <si>
    <t xml:space="preserve">TRECHO DE Zona01_PB01_Rede_NÓ69.1 A Zona01_PB01_Rede_NÓ3.1</t>
  </si>
  <si>
    <t xml:space="preserve">Zona01_PB01_Rede_NÓ3.1</t>
  </si>
  <si>
    <t xml:space="preserve">2C740, B4C7, B4CA</t>
  </si>
  <si>
    <t xml:space="preserve">Zona01_PB01_Rede_TR036</t>
  </si>
  <si>
    <t xml:space="preserve">TRECHO DE Zona01_PB01_Rede_NÓ56.4 A Zona01_PB01_Rede_NÓ113.1; INCLUI 0,48 M DE TUBO DESENHADO NO PRÓPRIO NÓ (NÓ113.1, NÓ56.4: anel de ponta/toco)</t>
  </si>
  <si>
    <t xml:space="preserve">Zona01_PB01_Rede_NÓ56.4</t>
  </si>
  <si>
    <t xml:space="preserve">B4F1, B4F4</t>
  </si>
  <si>
    <t xml:space="preserve">Zona01_PB01_Rede_TR037</t>
  </si>
  <si>
    <t xml:space="preserve">TRECHO DE Zona01_PB01_Rede_NÓ106.1 A Zona01_PB01_Rede_NÓ106.2</t>
  </si>
  <si>
    <t xml:space="preserve">2C5AD, 3C70C, 3C70D, 3C70E, B9D7, B9DA</t>
  </si>
  <si>
    <t xml:space="preserve">Zona01_PB01_Rede_TR038</t>
  </si>
  <si>
    <t xml:space="preserve">TRECHO DE Zona01_PB01_Rede_NÓ56.4 A Zona01_PB01_Rede_NÓ54.4; INCLUI 0,44 M DE TUBO DESENHADO NO PRÓPRIO NÓ (NÓ56.4: anel de ponta/toco)</t>
  </si>
  <si>
    <t xml:space="preserve">Zona01_PB01_Rede_NÓ54.4</t>
  </si>
  <si>
    <t xml:space="preserve">B509, B50C</t>
  </si>
  <si>
    <t xml:space="preserve">Zona01_PB01_Rede_TR039</t>
  </si>
  <si>
    <t xml:space="preserve">TRECHO DE Zona01_PB01_Rede_NÓ3.1 A Zona01_PB01_Rede_NÓ106.1</t>
  </si>
  <si>
    <t xml:space="preserve">B9D1, B9D4</t>
  </si>
  <si>
    <t xml:space="preserve">Zona01_PB01_Rede_TR040</t>
  </si>
  <si>
    <t xml:space="preserve">TRECHO DE Zona01_PB01_Rede_NÓ57.1 A Zona01_PB01_Rede_NÓ107.1</t>
  </si>
  <si>
    <t xml:space="preserve">Zona01_PB01_Rede_NÓ57.1</t>
  </si>
  <si>
    <t xml:space="preserve">2C758, B4CD, B4D0</t>
  </si>
  <si>
    <t xml:space="preserve">Zona01_PB01_Rede_TR041</t>
  </si>
  <si>
    <t xml:space="preserve">TRECHO DE Zona01_PB01_Rede_NÓ56.3 A Zona01_PB01_Rede_NÓ54.3; INCLUI 8,40 M DE TUBO DESENHADO NO PRÓPRIO NÓ (NÓ54.3, NÓ56.3: anel de ponta/toco)</t>
  </si>
  <si>
    <t xml:space="preserve">Zona01_PB01_Rede_NÓ56.3</t>
  </si>
  <si>
    <t xml:space="preserve">Zona01_PB01_Rede_NÓ54.3</t>
  </si>
  <si>
    <t xml:space="preserve">B503, B506</t>
  </si>
  <si>
    <t xml:space="preserve">Zona01_PB01_Rede_TR042</t>
  </si>
  <si>
    <t xml:space="preserve">TRECHO DE Zona01_PB01_Rede_NÓ56.3 A Zona01_PB01_Rede_NÓ56.4</t>
  </si>
  <si>
    <t xml:space="preserve">AEA9</t>
  </si>
  <si>
    <t xml:space="preserve">Zona01_PB01_Rede_TR043</t>
  </si>
  <si>
    <t xml:space="preserve">TRECHO DE Zona01_PB01_Rede_NÓ57.1 A Zona01_PB01_Rede_NÓ3.1</t>
  </si>
  <si>
    <t xml:space="preserve">AE37</t>
  </si>
  <si>
    <t xml:space="preserve">Zona01_PB01_Rede_TR044</t>
  </si>
  <si>
    <t xml:space="preserve">TRECHO DE Zona01_PB01_Rede_NÓ54.2 A Zona01_PB01_Rede_NÓ56.1; INCLUI 4,54 M DE TUBO DESENHADO NO PRÓPRIO NÓ (NÓ54.2, NÓ56.1: anel de ponta/toco)</t>
  </si>
  <si>
    <t xml:space="preserve">Zona01_PB01_Rede_NÓ54.2</t>
  </si>
  <si>
    <t xml:space="preserve">Zona01_PB01_Rede_NÓ56.1</t>
  </si>
  <si>
    <t xml:space="preserve">B4FD, B500</t>
  </si>
  <si>
    <t xml:space="preserve">Zona01_PB01_Rede_TR045</t>
  </si>
  <si>
    <t xml:space="preserve">TRECHO DE Zona01_PB01_Rede_NÓ105.1 A Zona01_PB01_Rede_NÓ57.1</t>
  </si>
  <si>
    <t xml:space="preserve">Zona01_PB01_Rede_NÓ105.1</t>
  </si>
  <si>
    <t xml:space="preserve">AE3A</t>
  </si>
  <si>
    <t xml:space="preserve">Zona01_PB01_Rede_TR046</t>
  </si>
  <si>
    <t xml:space="preserve">TRECHO DE Zona01_PB01_Rede_NÓ105.1 A Zona01_PB01_Rede_NÓ1.6</t>
  </si>
  <si>
    <t xml:space="preserve">Zona01_PB01_Rede_NÓ1.6</t>
  </si>
  <si>
    <t xml:space="preserve">A732</t>
  </si>
  <si>
    <t xml:space="preserve">Zona01_PB01_Rede_TR047</t>
  </si>
  <si>
    <t xml:space="preserve">TRECHO DE Zona01_PB01_Rede_NÓ56.1 A Zona01_PB01_Rede_NÓ56.3; INCLUI 0,17 M DE TUBO DESENHADO NO PRÓPRIO NÓ (NÓ56.1, NÓ56.3: anel de ponta/toco)</t>
  </si>
  <si>
    <t xml:space="preserve">AEAF</t>
  </si>
  <si>
    <t xml:space="preserve">Zona01_PB01_Rede_TR048</t>
  </si>
  <si>
    <t xml:space="preserve">TRECHO DE Zona01_PB03_Rede_NÓ83.1 A Zona01_PB01_Rede_NÓ105.1</t>
  </si>
  <si>
    <t xml:space="preserve">Zona01_PB03_Rede_NÓ83.1</t>
  </si>
  <si>
    <t xml:space="preserve">2C5CC, 2F5E5, 2F5E6, 2F5E7, 2F5E8, B4C1, B4C4</t>
  </si>
  <si>
    <t xml:space="preserve">Zona01_PB01_Rede_TR049</t>
  </si>
  <si>
    <t xml:space="preserve">TRECHO DE Zona01_PB01_Rede_NÓ1.6 A Zona01_PB01_Rede_NÓ1.4</t>
  </si>
  <si>
    <t xml:space="preserve">Zona01_PB01_Rede_NÓ1.4</t>
  </si>
  <si>
    <t xml:space="preserve">AD35</t>
  </si>
  <si>
    <t xml:space="preserve">Zona01_PB01_Rede_TR050</t>
  </si>
  <si>
    <t xml:space="preserve">TRECHO DE Zona01_PB03_Rede_NÓ83.1 A Zona01_PB01_Rede_NÓ56.1</t>
  </si>
  <si>
    <t xml:space="preserve">Zona01_PB01_Rede_TR051</t>
  </si>
  <si>
    <t xml:space="preserve">TRECHO DE Zona01_PB01_Rede_NÓ1.4 A Zona01_PB02_Rede_NÓ1.13</t>
  </si>
  <si>
    <t xml:space="preserve">Zona01_PB02_Rede_NÓ1.13</t>
  </si>
  <si>
    <t xml:space="preserve">AEDF</t>
  </si>
  <si>
    <t xml:space="preserve">Zona01_PB01_Rede_TR052</t>
  </si>
  <si>
    <t xml:space="preserve">TRECHO DE Zona01_PB01_Rede_NÓ1.6 A Zona01_PB02_Rede_NÓ55.7; INCLUI 1,04 M DE TUBO DESENHADO NO PRÓPRIO NÓ (NÓ55.7: anel de ponta/toco)</t>
  </si>
  <si>
    <t xml:space="preserve">Zona01_PB02_Rede_NÓ55.7</t>
  </si>
  <si>
    <t xml:space="preserve">2C5CB, B4BB, B4BE</t>
  </si>
  <si>
    <t xml:space="preserve">Zona01_PB02_Rede_TR001</t>
  </si>
  <si>
    <t xml:space="preserve">A.RED.SSB-D014.V03.T01.003/037</t>
  </si>
  <si>
    <t xml:space="preserve">TRECHO DE Zona01_PB02_Rede_NÓ1.13 A Zona01_PB02_Rede_NÓ1.12</t>
  </si>
  <si>
    <t xml:space="preserve">PB02</t>
  </si>
  <si>
    <t xml:space="preserve">Zona01_PB02_Rede_NÓ1.12</t>
  </si>
  <si>
    <t xml:space="preserve">AEDC</t>
  </si>
  <si>
    <t xml:space="preserve">Zona01_PB02_Rede_TR002</t>
  </si>
  <si>
    <t xml:space="preserve">TRECHO DE Zona01_PB02_Rede_NÓ55.7 A Zona01_PB03_Rede_NÓ83.1; INCLUI 0,18 M DE TUBO DESENHADO NO PRÓPRIO NÓ (NÓ55.7: anel de ponta/toco)</t>
  </si>
  <si>
    <t xml:space="preserve">AEA0</t>
  </si>
  <si>
    <t xml:space="preserve">Zona01_PB02_Rede_TR003</t>
  </si>
  <si>
    <t xml:space="preserve">TRECHO DE Zona01_PB02_Rede_NÓ55.6 A Zona01_PB01_Rede_NÓ1.4</t>
  </si>
  <si>
    <t xml:space="preserve">Zona01_PB02_Rede_NÓ55.6</t>
  </si>
  <si>
    <t xml:space="preserve">2C73F, B4B5, B4B8</t>
  </si>
  <si>
    <t xml:space="preserve">Zona01_PB02_Rede_TR004</t>
  </si>
  <si>
    <t xml:space="preserve">SAI EPCT</t>
  </si>
  <si>
    <t xml:space="preserve">TRECHO DE Zona01_PB02_Rede_DF-32 A Zona01_PB02_Rede_NÓ2.10</t>
  </si>
  <si>
    <t xml:space="preserve">Zona01_PB02_Rede_DF-32</t>
  </si>
  <si>
    <t xml:space="preserve">Zona01_PB02_Rede_NÓ2.10</t>
  </si>
  <si>
    <t xml:space="preserve">608B3</t>
  </si>
  <si>
    <t xml:space="preserve">Zona01_PB02_Rede_TR005</t>
  </si>
  <si>
    <t xml:space="preserve">TRECHO DE Zona01_PB02_Rede_NÓ1.12 A Zona01_PB02_Rede_NÓ1.11</t>
  </si>
  <si>
    <t xml:space="preserve">Zona01_PB02_Rede_NÓ1.11</t>
  </si>
  <si>
    <t xml:space="preserve">AED9</t>
  </si>
  <si>
    <t xml:space="preserve">Zona01_PB02_Rede_TR006</t>
  </si>
  <si>
    <t xml:space="preserve">TRECHO DE Zona01_PB02_Rede_NÓ2.8 A Zona01_PB02_Rede_DF-32</t>
  </si>
  <si>
    <t xml:space="preserve">Zona01_PB02_Rede_NÓ2.8</t>
  </si>
  <si>
    <t xml:space="preserve">Zona01_PB02_Rede_TR007</t>
  </si>
  <si>
    <t xml:space="preserve">Q 4</t>
  </si>
  <si>
    <t xml:space="preserve">TRECHO DE Zona01_PB02_Rede_NÓ1.10 A Zona01_PB02_Rede_NÓ2.10</t>
  </si>
  <si>
    <t xml:space="preserve">Zona01_PB02_Rede_NÓ1.10</t>
  </si>
  <si>
    <t xml:space="preserve">608B3, A6C3</t>
  </si>
  <si>
    <t xml:space="preserve">Zona01_PB02_Rede_TR008</t>
  </si>
  <si>
    <t xml:space="preserve">TRECHO DE Zona01_PB02_Rede_NÓ1.13 A Zona01_PB02_Rede_NÓ55.5</t>
  </si>
  <si>
    <t xml:space="preserve">Zona01_PB02_Rede_NÓ55.5</t>
  </si>
  <si>
    <t xml:space="preserve">2C5CA, B4AF, B4B2</t>
  </si>
  <si>
    <t xml:space="preserve">Zona01_PB02_Rede_TR009</t>
  </si>
  <si>
    <t xml:space="preserve">TRECHO DE Zona01_PB02_Rede_NÓ55.6 A Zona01_PB02_Rede_NÓ55.7</t>
  </si>
  <si>
    <t xml:space="preserve">AEA3</t>
  </si>
  <si>
    <t xml:space="preserve">Zona01_PB02_Rede_TR010</t>
  </si>
  <si>
    <t xml:space="preserve">TRECHO DE Zona01_PB02_Rede_NÓ1.11 A Zona01_PB02_Rede_NÓ1.10</t>
  </si>
  <si>
    <t xml:space="preserve">AD32</t>
  </si>
  <si>
    <t xml:space="preserve">Zona01_PB02_Rede_TR011</t>
  </si>
  <si>
    <t xml:space="preserve">TRECHO DE Zona01_PB02_Rede_NÓ1.8 A Zona01_PB02_Rede_NÓ2.8</t>
  </si>
  <si>
    <t xml:space="preserve">Zona01_PB02_Rede_NÓ1.8</t>
  </si>
  <si>
    <t xml:space="preserve">5FD46, A5FD</t>
  </si>
  <si>
    <t xml:space="preserve">Zona01_PB02_Rede_TR012</t>
  </si>
  <si>
    <t xml:space="preserve">TRECHO DE Zona01_PB02_Rede_NÓ1.12 A Zona01_PB02_Rede_NÓ55.4</t>
  </si>
  <si>
    <t xml:space="preserve">Zona01_PB02_Rede_NÓ55.4</t>
  </si>
  <si>
    <t xml:space="preserve">2C5AE, B4A9, B4AC</t>
  </si>
  <si>
    <t xml:space="preserve">Zona01_PB02_Rede_TR013</t>
  </si>
  <si>
    <t xml:space="preserve">TRECHO DE Zona01_PB02_Rede_NÓ1.10 A Zona01_PB02_Rede_NÓ1.9</t>
  </si>
  <si>
    <t xml:space="preserve">Zona01_PB02_Rede_NÓ1.9</t>
  </si>
  <si>
    <t xml:space="preserve">A687</t>
  </si>
  <si>
    <t xml:space="preserve">Zona01_PB02_Rede_TR014</t>
  </si>
  <si>
    <t xml:space="preserve">TRECHO DE Zona01_PB02_Rede_NÓ55.5 A Zona01_PB02_Rede_NÓ55.6</t>
  </si>
  <si>
    <t xml:space="preserve">AD17</t>
  </si>
  <si>
    <t xml:space="preserve">Zona01_PB02_Rede_TR015</t>
  </si>
  <si>
    <t xml:space="preserve">TRECHO DE Zona01_PB02_Rede_NÓ1.9 A Zona01_PB02_Rede_NÓ1.8</t>
  </si>
  <si>
    <t xml:space="preserve">A600</t>
  </si>
  <si>
    <t xml:space="preserve">Zona01_PB02_Rede_TR016</t>
  </si>
  <si>
    <t xml:space="preserve">TRECHO DE Zona01_PB02_Rede_NÓ1.11 A Zona01_PB02_Rede_NÓ55.3</t>
  </si>
  <si>
    <t xml:space="preserve">Zona01_PB02_Rede_NÓ55.3</t>
  </si>
  <si>
    <t xml:space="preserve">2C5C6, B4A3, B4A6</t>
  </si>
  <si>
    <t xml:space="preserve">Zona01_PB02_Rede_TR017</t>
  </si>
  <si>
    <t xml:space="preserve">TRECHO DE Zona01_PB02_Rede_NÓ1.7 A Zona01_PB02_Rede_NÓ2.9</t>
  </si>
  <si>
    <t xml:space="preserve">Zona01_PB02_Rede_NÓ1.7</t>
  </si>
  <si>
    <t xml:space="preserve">Zona01_PB02_Rede_NÓ2.9</t>
  </si>
  <si>
    <t xml:space="preserve">6CEC2, A5EB</t>
  </si>
  <si>
    <t xml:space="preserve">Zona01_PB02_Rede_TR018</t>
  </si>
  <si>
    <t xml:space="preserve">TRECHO DE Zona01_PB02_Rede_NÓ55.4 A Zona01_PB02_Rede_NÓ55.5</t>
  </si>
  <si>
    <t xml:space="preserve">A717, AD17</t>
  </si>
  <si>
    <t xml:space="preserve">Zona01_PB02_Rede_TR019</t>
  </si>
  <si>
    <t xml:space="preserve">TRECHO DE Zona01_PB02_Rede_NÓ1.4 A Zona01_PB02_Rede_NÓ2.9</t>
  </si>
  <si>
    <t xml:space="preserve">Zona01_PB02_Rede_NÓ1.4</t>
  </si>
  <si>
    <t xml:space="preserve">6CEC2</t>
  </si>
  <si>
    <t xml:space="preserve">Zona01_PB02_Rede_TR020</t>
  </si>
  <si>
    <t xml:space="preserve">TRECHO DE Zona01_PB02_Rede_NÓ1.6 A Zona01_PB02_Rede_NÓ1.7</t>
  </si>
  <si>
    <t xml:space="preserve">Zona01_PB02_Rede_NÓ1.6</t>
  </si>
  <si>
    <t xml:space="preserve">A6F9</t>
  </si>
  <si>
    <t xml:space="preserve">Zona01_PB02_Rede_TR021</t>
  </si>
  <si>
    <t xml:space="preserve">TRECHO DE Zona01_PB02_Rede_NÓ1.9 A Zona01_PB02_Rede_NÓ55.2</t>
  </si>
  <si>
    <t xml:space="preserve">Zona01_PB02_Rede_NÓ55.2</t>
  </si>
  <si>
    <t xml:space="preserve">2C72B, B49D, B4A0</t>
  </si>
  <si>
    <t xml:space="preserve">Zona01_PB02_Rede_TR022</t>
  </si>
  <si>
    <t xml:space="preserve">TRECHO DE Zona01_PB02_Rede_NÓ55.3 A Zona01_PB02_Rede_NÓ55.4</t>
  </si>
  <si>
    <t xml:space="preserve">AE9A</t>
  </si>
  <si>
    <t xml:space="preserve">Zona01_PB02_Rede_TR023</t>
  </si>
  <si>
    <t xml:space="preserve">TRECHO DE Zona01_PB02_Rede_NÓ1.5 A Zona01_PB02_Rede_NÓ1.6</t>
  </si>
  <si>
    <t xml:space="preserve">Zona01_PB02_Rede_NÓ1.5</t>
  </si>
  <si>
    <t xml:space="preserve">A711</t>
  </si>
  <si>
    <t xml:space="preserve">Zona01_PB02_Rede_TR024</t>
  </si>
  <si>
    <t xml:space="preserve">TRECHO DE Zona01_PB02_Rede_NÓ1.5 A Zona01_PB02_Rede_NÓ1.4</t>
  </si>
  <si>
    <t xml:space="preserve">608B4, A5EE</t>
  </si>
  <si>
    <t xml:space="preserve">Zona01_PB02_Rede_TR025</t>
  </si>
  <si>
    <t xml:space="preserve">CHÁCARA 8</t>
  </si>
  <si>
    <t xml:space="preserve">TRECHO DE Zona01_PB02_Rede_NÓ1.3 A Zona01_PB02_Rede_NÓ1.4</t>
  </si>
  <si>
    <t xml:space="preserve">Zona01_PB02_Rede_NÓ1.3</t>
  </si>
  <si>
    <t xml:space="preserve">608B4</t>
  </si>
  <si>
    <t xml:space="preserve">Zona01_PB02_Rede_TR026</t>
  </si>
  <si>
    <t xml:space="preserve">TRECHO DE Zona01_PB02_Rede_NÓ55.1 A Zona01_PB02_Rede_NÓ1.8</t>
  </si>
  <si>
    <t xml:space="preserve">Zona01_PB02_Rede_NÓ55.1</t>
  </si>
  <si>
    <t xml:space="preserve">2C759, 2CD73, B497</t>
  </si>
  <si>
    <t xml:space="preserve">Zona01_PB02_Rede_TR027</t>
  </si>
  <si>
    <t xml:space="preserve">TRECHO DE Zona01_PB02_Rede_NÓ2.7 A Zona01_PB02_Rede_NÓ1.3</t>
  </si>
  <si>
    <t xml:space="preserve">Zona01_PB02_Rede_NÓ2.7</t>
  </si>
  <si>
    <t xml:space="preserve">5FD5B</t>
  </si>
  <si>
    <t xml:space="preserve">Zona01_PB02_Rede_TR028</t>
  </si>
  <si>
    <t xml:space="preserve">TRECHO DE Zona01_PB02_Rede_NÓ55.2 A Zona01_PB02_Rede_NÓ55.3</t>
  </si>
  <si>
    <t xml:space="preserve">2F011, AE9D</t>
  </si>
  <si>
    <t xml:space="preserve">Zona01_PB02_Rede_TR029</t>
  </si>
  <si>
    <t xml:space="preserve">Q 6</t>
  </si>
  <si>
    <t xml:space="preserve">TRECHO DE Zona01_PB02_Rede_NÓ106.2 A Zona01_PB02_Rede_NÓ1.7</t>
  </si>
  <si>
    <t xml:space="preserve">Zona01_PB02_Rede_NÓ106.2</t>
  </si>
  <si>
    <t xml:space="preserve">B491, B494</t>
  </si>
  <si>
    <t xml:space="preserve">Zona01_PB02_Rede_TR030</t>
  </si>
  <si>
    <t xml:space="preserve">Q 12</t>
  </si>
  <si>
    <t xml:space="preserve">TRECHO DE Zona01_PB02_Rede_DF-30 A Zona01_PB02_Rede_NÓ2.7</t>
  </si>
  <si>
    <t xml:space="preserve">Zona01_PB02_Rede_DF-30</t>
  </si>
  <si>
    <t xml:space="preserve">Zona01_PB02_Rede_TR031</t>
  </si>
  <si>
    <t xml:space="preserve">TRECHO DE Zona01_PB02_Rede_NÓ1.6 A Zona01_PB02_Rede_NÓ1.14</t>
  </si>
  <si>
    <t xml:space="preserve">Zona01_PB02_Rede_NÓ1.14</t>
  </si>
  <si>
    <t xml:space="preserve">B48B, B48E</t>
  </si>
  <si>
    <t xml:space="preserve">Zona01_PB02_Rede_TR032</t>
  </si>
  <si>
    <t xml:space="preserve">TRECHO DE Zona01_PB02_Rede_NÓ55.1 A Zona01_PB02_Rede_NÓ55.2</t>
  </si>
  <si>
    <t xml:space="preserve">2F011</t>
  </si>
  <si>
    <t xml:space="preserve">Zona01_PB02_Rede_TR033</t>
  </si>
  <si>
    <t xml:space="preserve">TRECHO DE Zona01_PB02_Rede_NÓ2.11 A Zona01_PB02_Rede_NÓ1.3; INCLUI 1,30 M DE TUBO DESENHADO NO PRÓPRIO NÓ (NÓ1.3: anel de ponta/toco)</t>
  </si>
  <si>
    <t xml:space="preserve">Zona01_PB02_Rede_NÓ2.11</t>
  </si>
  <si>
    <t xml:space="preserve">B9F8</t>
  </si>
  <si>
    <t xml:space="preserve">Zona01_PB02_Rede_TR034</t>
  </si>
  <si>
    <t xml:space="preserve">TRECHO DE Zona01_PB02_Rede_NÓ1.1 A Zona01_PB02_Rede_DF-30</t>
  </si>
  <si>
    <t xml:space="preserve">Zona01_PB02_Rede_NÓ1.1</t>
  </si>
  <si>
    <t xml:space="preserve">Zona01_PB02_Rede_TR035</t>
  </si>
  <si>
    <t xml:space="preserve">TRECHO DE Zona01_PB02_Rede_NÓ55.1 A Zona01_PB02_CH_VM-1.2</t>
  </si>
  <si>
    <t xml:space="preserve">Zona01_PB02_CH_VM-1.2</t>
  </si>
  <si>
    <t xml:space="preserve">2F01A, A5DC</t>
  </si>
  <si>
    <t xml:space="preserve">Zona01_PB02_Rede_TR036</t>
  </si>
  <si>
    <t xml:space="preserve">TRECHO DE Zona01_PB02_Rede_NÓ106.1 A Zona01_PB02_Rede_NÓ1.5</t>
  </si>
  <si>
    <t xml:space="preserve">Zona01_PB02_Rede_NÓ106.1</t>
  </si>
  <si>
    <t xml:space="preserve">B485, B488</t>
  </si>
  <si>
    <t xml:space="preserve">Zona01_PB02_Rede_TR037</t>
  </si>
  <si>
    <t xml:space="preserve">CHÁCARA 14</t>
  </si>
  <si>
    <t xml:space="preserve">TRECHO DE Zona01_PB02_Rede_NÓ2.3 A Zona01_PB02_Rede_NÓ1.1</t>
  </si>
  <si>
    <t xml:space="preserve">Zona01_PB02_Rede_NÓ2.3</t>
  </si>
  <si>
    <t xml:space="preserve">Zona01_PB02_Rede_TR038</t>
  </si>
  <si>
    <t xml:space="preserve">TRECHO DE Zona01_PB02_Rede_NÓ19.1 A Zona01_PB02_Rede_NÓ2.11</t>
  </si>
  <si>
    <t xml:space="preserve">Zona01_PB02_Rede_NÓ19.1</t>
  </si>
  <si>
    <t xml:space="preserve">Zona01_PB02_Rede_TR039</t>
  </si>
  <si>
    <t xml:space="preserve">TRECHO DE Zona01_PB02_CH_VM-1.2 A Zona01_PB02_Rede_NÓ11.1</t>
  </si>
  <si>
    <t xml:space="preserve">Zona01_PB02_Rede_NÓ11.1</t>
  </si>
  <si>
    <t xml:space="preserve">2F01A</t>
  </si>
  <si>
    <t xml:space="preserve">Zona01_PB02_Rede_TR040</t>
  </si>
  <si>
    <t xml:space="preserve">TRECHO DE Zona01_PB02_Rede_NÓ11.2 A Zona01_PB02_Rede_NÓ11.1</t>
  </si>
  <si>
    <t xml:space="preserve">Zona01_PB02_Rede_NÓ11.2</t>
  </si>
  <si>
    <t xml:space="preserve">6C62A</t>
  </si>
  <si>
    <t xml:space="preserve">Zona01_PB02_Rede_TR041</t>
  </si>
  <si>
    <t xml:space="preserve">TRECHO DE Zona01_PB02_Rede_NÓ4.1 A Zona01_PB02_Rede_NÓ19.1</t>
  </si>
  <si>
    <t xml:space="preserve">Zona01_PB02_Rede_NÓ4.1</t>
  </si>
  <si>
    <t xml:space="preserve">B9F5</t>
  </si>
  <si>
    <t xml:space="preserve">Zona01_PB02_Rede_TR042</t>
  </si>
  <si>
    <t xml:space="preserve">TRECHO DE Zona01_PB02_Rede_NÓ1.14 A Zona01_PB02_Rede_NÓ106.2</t>
  </si>
  <si>
    <t xml:space="preserve">AD29</t>
  </si>
  <si>
    <t xml:space="preserve">Zona01_PB02_Rede_TR043</t>
  </si>
  <si>
    <t xml:space="preserve">TRECHO DE Zona01_PB02_Rede_NÓ77.1 A Zona01_PB02_Rede_NÓ106.2; INCLUI 0,41 M DE TUBO DESENHADO NO PRÓPRIO NÓ (NÓ106.2: anel de ponta/toco)</t>
  </si>
  <si>
    <t xml:space="preserve">Zona01_PB02_Rede_NÓ77.1</t>
  </si>
  <si>
    <t xml:space="preserve">AECA</t>
  </si>
  <si>
    <t xml:space="preserve">Zona01_PB02_Rede_TR044</t>
  </si>
  <si>
    <t xml:space="preserve">TRECHO DE Zona01_PB02_Rede_NÓ2.6 A Zona01_PB02_Rede_NÓ2.3</t>
  </si>
  <si>
    <t xml:space="preserve">Zona01_PB02_Rede_NÓ2.6</t>
  </si>
  <si>
    <t xml:space="preserve">Zona01_PB02_Rede_TR045</t>
  </si>
  <si>
    <t xml:space="preserve">TRECHO DE Zona01_PB02_Rede_NÓ106.1 A Zona01_PB02_Rede_NÓ1.14</t>
  </si>
  <si>
    <t xml:space="preserve">AD26</t>
  </si>
  <si>
    <t xml:space="preserve">Zona01_PB02_Rede_TR046</t>
  </si>
  <si>
    <t xml:space="preserve">TRECHO DE Zona01_PB02_Rede_DF-29 A Zona01_PB02_Rede_NÓ2.2</t>
  </si>
  <si>
    <t xml:space="preserve">Zona01_PB02_Rede_DF-29</t>
  </si>
  <si>
    <t xml:space="preserve">Zona01_PB02_Rede_NÓ2.2</t>
  </si>
  <si>
    <t xml:space="preserve">Zona01_PB02_Rede_TR047</t>
  </si>
  <si>
    <t xml:space="preserve">TRECHO DE Zona01_PB02_Rede_NÓ77.1 A Zona01_PB02_Rede_NÓ60.1</t>
  </si>
  <si>
    <t xml:space="preserve">Zona01_PB02_Rede_NÓ60.1</t>
  </si>
  <si>
    <t xml:space="preserve">6C634</t>
  </si>
  <si>
    <t xml:space="preserve">Zona01_PB02_Rede_TR048</t>
  </si>
  <si>
    <t xml:space="preserve">TRECHO DE Zona01_PB02_Rede_NÓ1.2 A Zona01_PB02_Rede_NÓ2.6</t>
  </si>
  <si>
    <t xml:space="preserve">Zona01_PB02_Rede_NÓ1.2</t>
  </si>
  <si>
    <t xml:space="preserve">Zona01_PB02_Rede_TR049</t>
  </si>
  <si>
    <t xml:space="preserve">TRECHO DE Zona01_PB02_Rede_NÓ2.2 A Zona01_PB02_Rede_NÓ2.5</t>
  </si>
  <si>
    <t xml:space="preserve">Zona01_PB02_Rede_NÓ2.5</t>
  </si>
  <si>
    <t xml:space="preserve">Zona01_PB02_Rede_TR050</t>
  </si>
  <si>
    <t xml:space="preserve">TRECHO DE Zona01_PB02_Rede_NÓ2.1 A Zona01_PB02_Rede_DF-29</t>
  </si>
  <si>
    <t xml:space="preserve">Zona01_PB02_Rede_NÓ2.1</t>
  </si>
  <si>
    <t xml:space="preserve">Zona01_PB02_Rede_TR051</t>
  </si>
  <si>
    <t xml:space="preserve">TRECHO DE Zona01_PB02_Rede_NÓ2.5 A Zona01_PB02_Rede_NÓ1.2</t>
  </si>
  <si>
    <t xml:space="preserve">Zona01_PB02_Rede_TR052</t>
  </si>
  <si>
    <t xml:space="preserve">TRECHO DE Zona01_PB02_Rede_NÓ60.1 A Zona01_PB02_Rede_NÓ106.1; INCLUI 0,38 M DE TUBO DESENHADO NO PRÓPRIO NÓ (NÓ106.1: anel de ponta/toco)</t>
  </si>
  <si>
    <t xml:space="preserve">AD2C</t>
  </si>
  <si>
    <t xml:space="preserve">Zona01_PB02_Rede_TR053</t>
  </si>
  <si>
    <t xml:space="preserve">Q 8</t>
  </si>
  <si>
    <t xml:space="preserve">TRECHO DE Zona01_PB05_Rede_NÓ60.3 A Zona01_PB02_Rede_NÓ4.1; INCLUI 0,34 M DE TUBO DESENHADO NO PRÓPRIO NÓ (NÓ60.3: anel de ponta/toco)</t>
  </si>
  <si>
    <t xml:space="preserve">Zona01_PB05_Rede_NÓ60.3</t>
  </si>
  <si>
    <t xml:space="preserve">2C5C5, 2C726, B9DD, B9E0, B9F5</t>
  </si>
  <si>
    <t xml:space="preserve">Zona01_PB02_Rede_TR054</t>
  </si>
  <si>
    <t xml:space="preserve">TRECHO DE Zona01_PB02_Rede_NÓ2.4 A Zona01_PB02_Rede_NÓ2.1</t>
  </si>
  <si>
    <t xml:space="preserve">Zona01_PB02_Rede_NÓ2.4</t>
  </si>
  <si>
    <t xml:space="preserve">Zona01_PB02_Rede_TR055</t>
  </si>
  <si>
    <t xml:space="preserve">TRECHO DE Zona01_PB02_Rede_NÓ1.1 A Zona01_PB05_Rede_NÓ56.4; INCLUI 0,55 M DE TUBO DESENHADO NO PRÓPRIO NÓ (NÓ1.1, NÓ56.4: anel de ponta/toco)</t>
  </si>
  <si>
    <t xml:space="preserve">Zona01_PB05_Rede_NÓ56.4</t>
  </si>
  <si>
    <t xml:space="preserve">2CC12, 5FD97, B512, B515, B518</t>
  </si>
  <si>
    <t xml:space="preserve">Zona01_PB02_Rede_TR056</t>
  </si>
  <si>
    <t xml:space="preserve">CHÁCARA 18</t>
  </si>
  <si>
    <t xml:space="preserve">TRECHO DE Zona01_PB04_Rede_NÓ1.9 A Zona01_PB02_Rede_NÓ2.4</t>
  </si>
  <si>
    <t xml:space="preserve">Zona01_PB04_Rede_NÓ1.9</t>
  </si>
  <si>
    <t xml:space="preserve">Zona01_PB02_Rede_TR057</t>
  </si>
  <si>
    <t xml:space="preserve">CHÁCARA 10</t>
  </si>
  <si>
    <t xml:space="preserve">TRECHO DE Zona01_PB02_Rede_DF-31 A Zona01_PB05_Rede_NÓ56.5</t>
  </si>
  <si>
    <t xml:space="preserve">Zona01_PB02_Rede_DF-31</t>
  </si>
  <si>
    <t xml:space="preserve">Zona01_PB05_Rede_NÓ56.5</t>
  </si>
  <si>
    <t xml:space="preserve">2C5C4, B47F, B482</t>
  </si>
  <si>
    <t xml:space="preserve">Zona01_PB02_Rede_TR058</t>
  </si>
  <si>
    <t xml:space="preserve">TRECHO DE Zona01_PB02_Rede_NÓ60.1 A Zona01_PB05_Rede_NÓ60.3</t>
  </si>
  <si>
    <t xml:space="preserve">B3BF</t>
  </si>
  <si>
    <t xml:space="preserve">Zona01_PB04_Rede_TR001</t>
  </si>
  <si>
    <t xml:space="preserve">A.RED.SSB-D014.V03.T01.005/037</t>
  </si>
  <si>
    <t xml:space="preserve">Q 20</t>
  </si>
  <si>
    <t xml:space="preserve">TRECHO DE Zona01_PB04_Rede_NÓ2.12 A Zona01_PB04_Rede_NÓ1.9</t>
  </si>
  <si>
    <t xml:space="preserve">PB04</t>
  </si>
  <si>
    <t xml:space="preserve">Zona01_PB04_Rede_NÓ2.12</t>
  </si>
  <si>
    <t xml:space="preserve">Zona01_PB04_Rede_TR002</t>
  </si>
  <si>
    <t xml:space="preserve">CHÁCARA GIRASSOL</t>
  </si>
  <si>
    <t xml:space="preserve">TRECHO DE Zona01_PB05_Rede_NÓ106.1 A Zona01_PB04_Rede_NÓ1.9</t>
  </si>
  <si>
    <t xml:space="preserve">Zona01_PB05_Rede_NÓ106.1</t>
  </si>
  <si>
    <t xml:space="preserve">2C473, 5FD5C, B9E9, B9EC</t>
  </si>
  <si>
    <t xml:space="preserve">Zona01_PB04_Rede_TR003</t>
  </si>
  <si>
    <t xml:space="preserve">TRECHO DE Zona01_PB05_Rede_NÓ106.1 A Zona01_PB04_Rede_NÓ2.12</t>
  </si>
  <si>
    <t xml:space="preserve">2C474, 2CD77, 5FD5B, B9E3</t>
  </si>
  <si>
    <t xml:space="preserve">Zona01_PB05_Rede_TR001</t>
  </si>
  <si>
    <t xml:space="preserve">A.RED.SSB-D014.V03.T01.006/037</t>
  </si>
  <si>
    <t xml:space="preserve">Q 14</t>
  </si>
  <si>
    <t xml:space="preserve">TRECHO DE Zona01_PB05_Rede_NÓ56.3 A Zona01_PB02_Rede_NÓ1.2; INCLUI 1,28 M DE TUBO DESENHADO NO PRÓPRIO NÓ (NÓ1.2, NÓ56.3: anel de ponta/toco)</t>
  </si>
  <si>
    <t xml:space="preserve">PB05</t>
  </si>
  <si>
    <t xml:space="preserve">Zona01_PB05_Rede_NÓ56.3</t>
  </si>
  <si>
    <t xml:space="preserve">2C5D0, B47C, B9EF, B9F2</t>
  </si>
  <si>
    <t xml:space="preserve">Zona01_PB05_Rede_TR002</t>
  </si>
  <si>
    <t xml:space="preserve">CHÁCARA 16</t>
  </si>
  <si>
    <t xml:space="preserve">TRECHO DE Zona01_PB05_Rede_NÓ19.1 A Zona01_PB02_Rede_DF-28</t>
  </si>
  <si>
    <t xml:space="preserve">Zona01_PB05_Rede_NÓ19.1</t>
  </si>
  <si>
    <t xml:space="preserve">Zona01_PB02_Rede_DF-28</t>
  </si>
  <si>
    <t xml:space="preserve">B479</t>
  </si>
  <si>
    <t xml:space="preserve">Zona01_PB05_Rede_TR003</t>
  </si>
  <si>
    <t xml:space="preserve">TRECHO DE Zona01_PB05_Rede_NÓ11.3 A Zona01_PB02_Rede_NÓ11.2</t>
  </si>
  <si>
    <t xml:space="preserve">Zona01_PB05_Rede_NÓ11.3</t>
  </si>
  <si>
    <t xml:space="preserve">Zona01_PB05_Rede_TR004</t>
  </si>
  <si>
    <t xml:space="preserve">TRECHO DE Zona01_PB05_Rede_NÓ60.3 A Zona01_PB05_Rede_NÓ56.5; INCLUI 0,07 M DE TUBO DESENHADO NO PRÓPRIO NÓ (NÓ60.3: anel de ponta/toco)</t>
  </si>
  <si>
    <t xml:space="preserve">2F01F</t>
  </si>
  <si>
    <t xml:space="preserve">Zona01_PB05_Rede_TR005</t>
  </si>
  <si>
    <t xml:space="preserve">TRECHO DE Zona01_PB05_Rede_NÓ56.5 A Zona01_PB05_Rede_NÓ56.4</t>
  </si>
  <si>
    <t xml:space="preserve">AD0E</t>
  </si>
  <si>
    <t xml:space="preserve">Zona01_PB05_Rede_TR006</t>
  </si>
  <si>
    <t xml:space="preserve">TRECHO DE Zona01_PB05_Rede_NÓ56.4 A Zona01_PB05_Rede_NÓ56.3</t>
  </si>
  <si>
    <t xml:space="preserve">A65A, AE91</t>
  </si>
  <si>
    <t xml:space="preserve">Zona01_PB05_Rede_TR007</t>
  </si>
  <si>
    <t xml:space="preserve">TRECHO DE Zona01_PB05_Rede_NÓ60.2 A Zona01_PB05_Rede_NÓ19.1</t>
  </si>
  <si>
    <t xml:space="preserve">Zona01_PB05_Rede_NÓ60.2</t>
  </si>
  <si>
    <t xml:space="preserve">2CB99, B476</t>
  </si>
  <si>
    <t xml:space="preserve">Zona01_PB05_Rede_TR008</t>
  </si>
  <si>
    <t xml:space="preserve">TRECHO DE Zona01_PB05_Rede_NÓ56.3 A Zona01_PB05_Rede_NÓ60.2</t>
  </si>
  <si>
    <t xml:space="preserve">AE91</t>
  </si>
  <si>
    <t xml:space="preserve">Zona01_PB05_Rede_TR009</t>
  </si>
  <si>
    <t xml:space="preserve">TRECHO DE Zona01_PB05_Rede_NÓ60.1 A Zona01_PB05_Rede_NÓ106.1</t>
  </si>
  <si>
    <t xml:space="preserve">Zona01_PB05_Rede_NÓ60.1</t>
  </si>
  <si>
    <t xml:space="preserve">B224</t>
  </si>
  <si>
    <t xml:space="preserve">Zona01_PB05_Rede_TR010</t>
  </si>
  <si>
    <t xml:space="preserve">TRECHO DE Zona01_PB05_Rede_NÓ60.2 A Zona01_PB05_Rede_NÓ60.1</t>
  </si>
  <si>
    <t xml:space="preserve">AE8E, B0E0</t>
  </si>
  <si>
    <t xml:space="preserve">Zona01_PB05_Rede_TR011</t>
  </si>
  <si>
    <t xml:space="preserve">TRECHO DE Zona01_PB05_Rede_NÓ60.1 A Zona01_PB05_CH_VM-1.1</t>
  </si>
  <si>
    <t xml:space="preserve">Zona01_PB05_CH_VM-1.1</t>
  </si>
  <si>
    <t xml:space="preserve">B0E0</t>
  </si>
  <si>
    <t xml:space="preserve">Zona01_PB05_Rede_TR012</t>
  </si>
  <si>
    <t xml:space="preserve">TRECHO DE Zona01_PB05_CH_VM-1.1 A Zona01_PB05_Rede_NÓ112.1</t>
  </si>
  <si>
    <t xml:space="preserve">Zona01_PB05_Rede_NÓ112.1</t>
  </si>
  <si>
    <t xml:space="preserve">Zona01_PB05_Rede_TR013</t>
  </si>
  <si>
    <t xml:space="preserve">TRECHO DE Zona01_PB05_Rede_NÓ112.1 A Zona01_PB05_CH_VRP-16</t>
  </si>
  <si>
    <t xml:space="preserve">Zona01_PB05_CH_VRP-16</t>
  </si>
  <si>
    <t xml:space="preserve">6E30E</t>
  </si>
  <si>
    <t xml:space="preserve">Zona01_PB05_Rede_TR014</t>
  </si>
  <si>
    <t xml:space="preserve">TRECHO DE Zona01_PB05_Rede_NÓ112.1 A Zona01_PB05_Rede_NÓ11.3</t>
  </si>
  <si>
    <t xml:space="preserve">Zona01_PB05_Rede_TR015</t>
  </si>
  <si>
    <t xml:space="preserve">TRECHO DE Zona01_PB05_CH_VRP-16 A DIVISA DE ZONA; TRECHO DIVIDIDO NA DIVISA DE ZONA (TRECHO ORIGINAL ENTRE PONTOS DA REDE: 88,97 M)</t>
  </si>
  <si>
    <t xml:space="preserve">DIVISA DE ZONA</t>
  </si>
  <si>
    <t xml:space="preserve">Zona02</t>
  </si>
  <si>
    <t xml:space="preserve">Zona02_PB04_Rede_TR001</t>
  </si>
  <si>
    <t xml:space="preserve">CHÁCARA 26</t>
  </si>
  <si>
    <t xml:space="preserve">TRECHO DE Zona02_PB04_Rede_DF-27 A Zona02_PB04_Rede_NÓ2.10</t>
  </si>
  <si>
    <t xml:space="preserve">EQUIPE ZONA 02</t>
  </si>
  <si>
    <t xml:space="preserve">Zona02_PB04_Rede_DF-27</t>
  </si>
  <si>
    <t xml:space="preserve">Zona02_PB04_Rede_NÓ2.10</t>
  </si>
  <si>
    <t xml:space="preserve">608B6</t>
  </si>
  <si>
    <t xml:space="preserve">Zona02_PB04_Rede_TR002</t>
  </si>
  <si>
    <t xml:space="preserve">CHÁCARA 28</t>
  </si>
  <si>
    <t xml:space="preserve">TRECHO DE Zona02_PB04_Rede_NÓ1.5 A Zona02_PB04_Rede_NÓ54.1; INCLUI 3,95 M DE TUBO DESENHADO NO PRÓPRIO NÓ (NÓ54.1: anel de ponta/toco)</t>
  </si>
  <si>
    <t xml:space="preserve">Zona02_PB04_Rede_NÓ1.5</t>
  </si>
  <si>
    <t xml:space="preserve">Zona02_PB04_Rede_NÓ54.1</t>
  </si>
  <si>
    <t xml:space="preserve">AD20</t>
  </si>
  <si>
    <t xml:space="preserve">Zona02_PB04_Rede_TR003</t>
  </si>
  <si>
    <t xml:space="preserve">TRECHO DE Zona02_PB04_Rede_NÓ2.10 A Zona02_PB04_Rede_NÓ1.5</t>
  </si>
  <si>
    <t xml:space="preserve">Zona02_PB04_Rede_TR004</t>
  </si>
  <si>
    <t xml:space="preserve">TRECHO DE Zona02_PB04_Rede_NÓ1.4 A Zona02_PB04_Rede_NÓ1.5</t>
  </si>
  <si>
    <t xml:space="preserve">Zona02_PB04_Rede_NÓ1.4</t>
  </si>
  <si>
    <t xml:space="preserve">Zona02_PB04_Rede_TR005</t>
  </si>
  <si>
    <t xml:space="preserve">CHÁCARA 28/30</t>
  </si>
  <si>
    <t xml:space="preserve">TRECHO DE Zona02_PB04_Rede_NÓ1.6 A Zona02_PB04_Rede_NÓ54.2; INCLUI 3,94 M DE TUBO DESENHADO NO PRÓPRIO NÓ (NÓ54.2: anel de ponta/toco)</t>
  </si>
  <si>
    <t xml:space="preserve">Zona02_PB04_Rede_NÓ1.6</t>
  </si>
  <si>
    <t xml:space="preserve">Zona02_PB04_Rede_NÓ54.2</t>
  </si>
  <si>
    <t xml:space="preserve">B0EF</t>
  </si>
  <si>
    <t xml:space="preserve">Zona02_PB04_Rede_TR006</t>
  </si>
  <si>
    <t xml:space="preserve">TRECHO DE Zona02_PB04_Rede_NÓ2.9 A Zona02_PB04_Rede_NÓ1.4</t>
  </si>
  <si>
    <t xml:space="preserve">Zona02_PB04_Rede_NÓ2.9</t>
  </si>
  <si>
    <t xml:space="preserve">6CED3</t>
  </si>
  <si>
    <t xml:space="preserve">Zona02_PB04_Rede_TR007</t>
  </si>
  <si>
    <t xml:space="preserve">CHÁCARA 30</t>
  </si>
  <si>
    <t xml:space="preserve">TRECHO DE Zona02_PB04_Rede_NÓ1.7 A Zona02_PB04_Rede_NÓ54.4; INCLUI 5,39 M DE TUBO DESENHADO NO PRÓPRIO NÓ (NÓ1.7, NÓ54.4: anel de ponta/toco)</t>
  </si>
  <si>
    <t xml:space="preserve">Zona02_PB04_Rede_NÓ1.7</t>
  </si>
  <si>
    <t xml:space="preserve">Zona02_PB04_Rede_NÓ54.4</t>
  </si>
  <si>
    <t xml:space="preserve">2C589</t>
  </si>
  <si>
    <t xml:space="preserve">Zona02_PB04_Rede_TR008</t>
  </si>
  <si>
    <t xml:space="preserve">TRECHO DE Zona02_PB04_Rede_NÓ1.8 A Zona02_PB04_Rede_NÓ54.6; INCLUI 5,14 M DE TUBO DESENHADO NO PRÓPRIO NÓ (NÓ54.6: anel de ponta/toco)</t>
  </si>
  <si>
    <t xml:space="preserve">Zona02_PB04_Rede_NÓ1.8</t>
  </si>
  <si>
    <t xml:space="preserve">Zona02_PB04_Rede_NÓ54.6</t>
  </si>
  <si>
    <t xml:space="preserve">2CB77, A6D8</t>
  </si>
  <si>
    <t xml:space="preserve">Zona02_PB04_Rede_TR009</t>
  </si>
  <si>
    <t xml:space="preserve">TRECHO DE Zona02_PB05_Rede_NÓ75.1 A Zona02_PB04_Rede_DF-27; INCLUI 0,94 M DE TUBO DESENHADO NO PRÓPRIO NÓ (NÓ75.1: anel de ponta/toco)</t>
  </si>
  <si>
    <t xml:space="preserve">Zona02_PB05_Rede_NÓ75.1</t>
  </si>
  <si>
    <t xml:space="preserve">608B6, B473, B51B, B51E</t>
  </si>
  <si>
    <t xml:space="preserve">Zona02_PB04_Rede_TR010</t>
  </si>
  <si>
    <t xml:space="preserve">TRECHO DE Zona02_PB04_Rede_NÓ1.6 A Zona02_PB04_Rede_NÓ1.4</t>
  </si>
  <si>
    <t xml:space="preserve">Zona02_PB04_Rede_TR011</t>
  </si>
  <si>
    <t xml:space="preserve">CHÁCARA 32</t>
  </si>
  <si>
    <t xml:space="preserve">TRECHO DE Zona02_PB04_Rede_NÓ1.3 A Zona02_PB04_Rede_NÓ2.9</t>
  </si>
  <si>
    <t xml:space="preserve">Zona02_PB04_Rede_NÓ1.3</t>
  </si>
  <si>
    <t xml:space="preserve">Zona02_PB04_Rede_TR012</t>
  </si>
  <si>
    <t xml:space="preserve">TRECHO DE Zona02_PB04_Rede_NÓ1.7 A Zona02_PB04_Rede_NÓ1.6</t>
  </si>
  <si>
    <t xml:space="preserve">AD1D</t>
  </si>
  <si>
    <t xml:space="preserve">Zona02_PB04_Rede_TR013</t>
  </si>
  <si>
    <t xml:space="preserve">TRECHO DE Zona02_PB04_Rede_NÓ1.7 A Zona02_PB04_Rede_NÓ1.8</t>
  </si>
  <si>
    <t xml:space="preserve">B2F3</t>
  </si>
  <si>
    <t xml:space="preserve">Zona02_PB04_Rede_TR014</t>
  </si>
  <si>
    <t xml:space="preserve">TRECHO DE Zona02_PB04_Rede_NÓ1.8 A Zona02_PB04_Rede_NÓ110.1</t>
  </si>
  <si>
    <t xml:space="preserve">Zona02_PB04_Rede_NÓ110.1</t>
  </si>
  <si>
    <t xml:space="preserve">ACA5</t>
  </si>
  <si>
    <t xml:space="preserve">Zona02_PB04_Rede_TR015</t>
  </si>
  <si>
    <t xml:space="preserve">TRECHO DE Zona02_PB04_Rede_NÓ2.6 A Zona02_PB04_Rede_NÓ1.3</t>
  </si>
  <si>
    <t xml:space="preserve">Zona02_PB04_Rede_NÓ2.6</t>
  </si>
  <si>
    <t xml:space="preserve">Zona02_PB04_Rede_TR016</t>
  </si>
  <si>
    <t xml:space="preserve">TRECHO DE Zona02_PB04_Rede_NÓ54.3 A Zona02_PB04_Rede_NÓ110.1; INCLUI 4,04 M DE TUBO DESENHADO NO PRÓPRIO NÓ (NÓ54.3: anel de ponta/toco)</t>
  </si>
  <si>
    <t xml:space="preserve">Zona02_PB04_Rede_NÓ54.3</t>
  </si>
  <si>
    <t xml:space="preserve">2C77B, A5E8</t>
  </si>
  <si>
    <t xml:space="preserve">Zona02_PB04_Rede_TR017</t>
  </si>
  <si>
    <t xml:space="preserve">TRECHO DE Zona02_PB04_Rede_NÓ54.7 A Zona02_PB04_Rede_NÓ59.1; INCLUI 3,96 M DE TUBO DESENHADO NO PRÓPRIO NÓ (NÓ54.7: anel de ponta/toco)</t>
  </si>
  <si>
    <t xml:space="preserve">Zona02_PB04_Rede_NÓ54.7</t>
  </si>
  <si>
    <t xml:space="preserve">Zona02_PB04_Rede_NÓ59.1</t>
  </si>
  <si>
    <t xml:space="preserve">2CB64, 2CB65</t>
  </si>
  <si>
    <t xml:space="preserve">Zona02_PB04_Rede_TR018</t>
  </si>
  <si>
    <t xml:space="preserve">TRECHO DE Zona02_PB04_Rede_NÓ2.8 A Zona02_PB04_Rede_NÓ2.6</t>
  </si>
  <si>
    <t xml:space="preserve">Zona02_PB04_Rede_NÓ2.8</t>
  </si>
  <si>
    <t xml:space="preserve">Zona02_PB04_Rede_TR019</t>
  </si>
  <si>
    <t xml:space="preserve">TRECHO DE Zona02_PB04_Rede_NÓ110.1 A Zona02_PB04_Rede_NÓ59.1; INCLUI 0,62 M DE TUBO DESENHADO NO PRÓPRIO NÓ (NÓ59.1: anel de ponta/toco)</t>
  </si>
  <si>
    <t xml:space="preserve">B0F5</t>
  </si>
  <si>
    <t xml:space="preserve">Zona02_PB04_Rede_TR020</t>
  </si>
  <si>
    <t xml:space="preserve">TRECHO DE Zona02_PB04_Rede_NÓ59.2 A Zona02_PB04_Rede_NÓ54.8; INCLUI 4,01 M DE TUBO DESENHADO NO PRÓPRIO NÓ (NÓ54.8: anel de ponta/toco)</t>
  </si>
  <si>
    <t xml:space="preserve">Zona02_PB04_Rede_NÓ59.2</t>
  </si>
  <si>
    <t xml:space="preserve">Zona02_PB04_Rede_NÓ54.8</t>
  </si>
  <si>
    <t xml:space="preserve">2C596, 2CD78</t>
  </si>
  <si>
    <t xml:space="preserve">Zona02_PB04_Rede_TR021</t>
  </si>
  <si>
    <t xml:space="preserve">CHÁCARA 34</t>
  </si>
  <si>
    <t xml:space="preserve">TRECHO DE Zona02_PB04_Rede_NÓ1.2 A Zona02_PB04_Rede_NÓ2.8</t>
  </si>
  <si>
    <t xml:space="preserve">Zona02_PB04_Rede_NÓ1.2</t>
  </si>
  <si>
    <t xml:space="preserve">Zona02_PB04_Rede_TR022</t>
  </si>
  <si>
    <t xml:space="preserve">TRECHO DE Zona02_PB04_Rede_NÓ2.4 A Zona02_PB04_Rede_NÓ1.2</t>
  </si>
  <si>
    <t xml:space="preserve">Zona02_PB04_Rede_NÓ2.4</t>
  </si>
  <si>
    <t xml:space="preserve">Zona02_PB04_Rede_TR023</t>
  </si>
  <si>
    <t xml:space="preserve">TRECHO DE Zona02_PB04_Rede_NÓ59.1 A Zona02_PB04_Rede_NÓ59.2</t>
  </si>
  <si>
    <t xml:space="preserve">AD23</t>
  </si>
  <si>
    <t xml:space="preserve">Zona02_PB04_Rede_TR024</t>
  </si>
  <si>
    <t xml:space="preserve">TRECHO DE Zona02_PB04_Rede_NÓ59.3 A Zona02_PB04_Rede_NÓ54.9; INCLUI 3,94 M DE TUBO DESENHADO NO PRÓPRIO NÓ (NÓ54.9: anel de ponta/toco)</t>
  </si>
  <si>
    <t xml:space="preserve">Zona02_PB04_Rede_NÓ59.3</t>
  </si>
  <si>
    <t xml:space="preserve">Zona02_PB04_Rede_NÓ54.9</t>
  </si>
  <si>
    <t xml:space="preserve">A693</t>
  </si>
  <si>
    <t xml:space="preserve">Zona02_PB04_Rede_TR025</t>
  </si>
  <si>
    <t xml:space="preserve">TRECHO DE Zona02_PB04_Rede_NÓ2.7 A Zona02_PB04_Rede_NÓ2.4</t>
  </si>
  <si>
    <t xml:space="preserve">Zona02_PB04_Rede_NÓ2.7</t>
  </si>
  <si>
    <t xml:space="preserve">Zona02_PB04_Rede_TR026</t>
  </si>
  <si>
    <t xml:space="preserve">TRECHO DE Zona02_PB04_Rede_NÓ59.4 A Zona02_PB04_Rede_NÓ54.10; INCLUI 4,00 M DE TUBO DESENHADO NO PRÓPRIO NÓ (NÓ54.10: anel de ponta/toco)</t>
  </si>
  <si>
    <t xml:space="preserve">Zona02_PB04_Rede_NÓ59.4</t>
  </si>
  <si>
    <t xml:space="preserve">Zona02_PB04_Rede_NÓ54.10</t>
  </si>
  <si>
    <t xml:space="preserve">B0F2</t>
  </si>
  <si>
    <t xml:space="preserve">Zona02_PB04_Rede_TR027</t>
  </si>
  <si>
    <t xml:space="preserve">TRECHO DE Zona02_PB04_Rede_NÓ59.2 A Zona02_PB04_Rede_NÓ59.3</t>
  </si>
  <si>
    <t xml:space="preserve">AEC4</t>
  </si>
  <si>
    <t xml:space="preserve">Zona02_PB04_Rede_TR028</t>
  </si>
  <si>
    <t xml:space="preserve">TRECHO DE Zona02_PB04_Rede_NÓ2.5 A Zona02_PB04_Rede_NÓ2.7</t>
  </si>
  <si>
    <t xml:space="preserve">Zona02_PB04_Rede_NÓ2.5</t>
  </si>
  <si>
    <t xml:space="preserve">Zona02_PB04_Rede_TR029</t>
  </si>
  <si>
    <t xml:space="preserve">TRECHO DE Zona02_PB04_Rede_NÓ59.6 A Zona02_PB04_Rede_NÓ54.11; INCLUI 2,64 M DE TUBO DESENHADO NO PRÓPRIO NÓ (NÓ54.11, NÓ59.6: anel de ponta/toco)</t>
  </si>
  <si>
    <t xml:space="preserve">Zona02_PB04_Rede_NÓ59.6</t>
  </si>
  <si>
    <t xml:space="preserve">Zona02_PB04_Rede_NÓ54.11</t>
  </si>
  <si>
    <t xml:space="preserve">2CB29, 2D446, 2D44E, 2D7E8, AEBE</t>
  </si>
  <si>
    <t xml:space="preserve">Zona02_PB04_Rede_TR030</t>
  </si>
  <si>
    <t xml:space="preserve">TRECHO DE Zona02_PB04_Rede_NÓ59.4 A Zona02_PB04_Rede_NÓ59.3</t>
  </si>
  <si>
    <t xml:space="preserve">B311</t>
  </si>
  <si>
    <t xml:space="preserve">Zona02_PB04_Rede_TR031</t>
  </si>
  <si>
    <t xml:space="preserve">TRECHO DE Zona02_PB04_Rede_NÓ59.5 A Zona02_PB04_Rede_NÓ59.4</t>
  </si>
  <si>
    <t xml:space="preserve">Zona02_PB04_Rede_NÓ59.5</t>
  </si>
  <si>
    <t xml:space="preserve">AEC7</t>
  </si>
  <si>
    <t xml:space="preserve">Zona02_PB04_Rede_TR032</t>
  </si>
  <si>
    <t xml:space="preserve">TRECHO DE Zona02_PB04_Rede_NÓ59.6 A Zona02_PB04_Rede_NÓ59.5</t>
  </si>
  <si>
    <t xml:space="preserve">Zona02_PB04_Rede_TR033</t>
  </si>
  <si>
    <t xml:space="preserve">TRECHO DE Zona02_PB04_Rede_NÓ54.5 A Zona02_PB04_Rede_NÓ59.5; INCLUI 4,33 M DE TUBO DESENHADO NO PRÓPRIO NÓ (NÓ54.5: anel de ponta/toco)</t>
  </si>
  <si>
    <t xml:space="preserve">Zona02_PB04_Rede_NÓ54.5</t>
  </si>
  <si>
    <t xml:space="preserve">2C725, 2CD9A, 2D7E5</t>
  </si>
  <si>
    <t xml:space="preserve">Zona02_PB04_Rede_TR034</t>
  </si>
  <si>
    <t xml:space="preserve">Q 32</t>
  </si>
  <si>
    <t xml:space="preserve">TRECHO DE Zona02_PB07_Rede_NÓ56.15 A Zona02_PB04_Rede_NÓ1.3</t>
  </si>
  <si>
    <t xml:space="preserve">Zona02_PB07_Rede_NÓ56.15</t>
  </si>
  <si>
    <t xml:space="preserve">608DF, B527, B52A, B52D</t>
  </si>
  <si>
    <t xml:space="preserve">Zona02_PB04_Rede_TR035</t>
  </si>
  <si>
    <t xml:space="preserve">TRECHO DE Zona02_PB04_Rede_DF-26 A Zona02_PB04_Rede_NÓ2.3</t>
  </si>
  <si>
    <t xml:space="preserve">Zona02_PB04_Rede_DF-26</t>
  </si>
  <si>
    <t xml:space="preserve">Zona02_PB04_Rede_NÓ2.3</t>
  </si>
  <si>
    <t xml:space="preserve">6C1DA</t>
  </si>
  <si>
    <t xml:space="preserve">MND</t>
  </si>
  <si>
    <t xml:space="preserve">Zona02_PB04_Rede_TR036</t>
  </si>
  <si>
    <t xml:space="preserve">TRECHO DE LIMITE DA TRAVESSIA MND A Zona02_PB04_Rede_NÓ2.3; TRAVESSIA MND (CAMADA MND DO DWG); ITEM BM 5.16.7; TRECHO DIVIDIDO NO LIMITE DA TRAVESSIA MND (TRECHO ORIGINAL ENTRE PONTOS DA REDE: 223,68 M)</t>
  </si>
  <si>
    <t xml:space="preserve">LIMITE DA TRAVESSIA MND</t>
  </si>
  <si>
    <t xml:space="preserve">6C193, 6CEDC</t>
  </si>
  <si>
    <t xml:space="preserve">Zona02_PB04_Rede_TR037</t>
  </si>
  <si>
    <t xml:space="preserve">TRECHO DE Zona02_PB04_Rede_NÓ59.6 A Zona02_PB05_Rede_NÓ62.1</t>
  </si>
  <si>
    <t xml:space="preserve">Zona02_PB05_Rede_NÓ62.1</t>
  </si>
  <si>
    <t xml:space="preserve">B0DA</t>
  </si>
  <si>
    <t xml:space="preserve">Zona02_PB04_Rede_TR038</t>
  </si>
  <si>
    <t xml:space="preserve">TRECHO DE Zona02_PB04_Rede_NÓ2.2 A Zona02_PB04_Rede_DF-26</t>
  </si>
  <si>
    <t xml:space="preserve">Zona02_PB04_Rede_NÓ2.2</t>
  </si>
  <si>
    <t xml:space="preserve">Zona02_PB04_Rede_TR039</t>
  </si>
  <si>
    <t xml:space="preserve">Q 34</t>
  </si>
  <si>
    <t xml:space="preserve">TRECHO DE Zona02_PB07_Rede_NÓ56.13 A Zona02_PB04_Rede_NÓ1.2</t>
  </si>
  <si>
    <t xml:space="preserve">Zona02_PB07_Rede_NÓ56.13</t>
  </si>
  <si>
    <t xml:space="preserve">2C86A, 608DE, B530, B536</t>
  </si>
  <si>
    <t xml:space="preserve">Zona02_PB04_Rede_TR040</t>
  </si>
  <si>
    <t xml:space="preserve">TRECHO DE Zona02_PB04_Rede_NÓ1.1 A Zona02_PB04_Rede_NÓ2.2</t>
  </si>
  <si>
    <t xml:space="preserve">Zona02_PB04_Rede_NÓ1.1</t>
  </si>
  <si>
    <t xml:space="preserve">Zona02_PB04_Rede_TR041</t>
  </si>
  <si>
    <t xml:space="preserve">TRECHO DE Zona02_PB04_Rede_NÓ2.1 A Zona02_PB04_Rede_NÓ1.1</t>
  </si>
  <si>
    <t xml:space="preserve">Zona02_PB04_Rede_NÓ2.1</t>
  </si>
  <si>
    <t xml:space="preserve">6C1DC</t>
  </si>
  <si>
    <t xml:space="preserve">Zona02_PB04_Rede_TR042</t>
  </si>
  <si>
    <t xml:space="preserve">TRECHO DE Zona02_PB07_Rede_NÓ56.11 A Zona02_PB04_Rede_NÓ2.5</t>
  </si>
  <si>
    <t xml:space="preserve">Zona02_PB07_Rede_NÓ56.11</t>
  </si>
  <si>
    <t xml:space="preserve">2CB8E, B53C, B53F</t>
  </si>
  <si>
    <t xml:space="preserve">Zona02_PB04_Rede_TR043</t>
  </si>
  <si>
    <t xml:space="preserve">TRECHO DE Zona02_PB05_Rede_NÓ62.1 A Zona02_PB07_Rede_NÓ56.15</t>
  </si>
  <si>
    <t xml:space="preserve">B0DD</t>
  </si>
  <si>
    <t xml:space="preserve">Zona02_PB04_Rede_TR044</t>
  </si>
  <si>
    <t xml:space="preserve">TRECHO DE Zona02_PB07_Rede_NÓ1.14 A LIMITE DA TRAVESSIA MND; TRECHO DIVIDIDO NO LIMITE DA TRAVESSIA MND (TRECHO ORIGINAL ENTRE PONTOS DA REDE: 223,68 M)</t>
  </si>
  <si>
    <t xml:space="preserve">Zona02_PB07_Rede_NÓ1.14</t>
  </si>
  <si>
    <t xml:space="preserve">B542, B545</t>
  </si>
  <si>
    <t xml:space="preserve">Zona02_PB05_Rede_TR001</t>
  </si>
  <si>
    <t xml:space="preserve">CHÁCARA VEREDA</t>
  </si>
  <si>
    <t xml:space="preserve">TRECHO DE DIVISA DE ZONA A Zona02_PB05_CH_MV-01; TRECHO DIVIDIDO NA DIVISA DE ZONA (TRECHO ORIGINAL ENTRE PONTOS DA REDE: 88,97 M)</t>
  </si>
  <si>
    <t xml:space="preserve">Zona02_PB05_CH_MV-01</t>
  </si>
  <si>
    <t xml:space="preserve">Zona02_PB05_Rede_TR002</t>
  </si>
  <si>
    <t xml:space="preserve">TRECHO DE Zona02_PB05_CH_MV-01 A Zona02_PB05_Rede_NÓ11.1</t>
  </si>
  <si>
    <t xml:space="preserve">Zona02_PB05_Rede_NÓ11.1</t>
  </si>
  <si>
    <t xml:space="preserve">Zona02_PB05_Rede_TR003</t>
  </si>
  <si>
    <t xml:space="preserve">TRECHO DE Zona02_PB05_Rede_NÓ11.1 A Zona02_PB05_Rede_NÓ11.2</t>
  </si>
  <si>
    <t xml:space="preserve">Zona02_PB05_Rede_NÓ11.2</t>
  </si>
  <si>
    <t xml:space="preserve">6CA1D</t>
  </si>
  <si>
    <t xml:space="preserve">Zona02_PB05_Rede_TR004</t>
  </si>
  <si>
    <t xml:space="preserve">TRECHO DE Zona02_PB05_Rede_NÓ62.1 A Zona02_PB05_Rede_NÓ75.1</t>
  </si>
  <si>
    <t xml:space="preserve">6CA25</t>
  </si>
  <si>
    <t xml:space="preserve">Zona02_PB05_Rede_TR005</t>
  </si>
  <si>
    <t xml:space="preserve">TRECHO DE Zona02_PB05_Rede_NÓ11.2 A DIVISA DE ZONA; TRECHO DIVIDIDO NA DIVISA DE ZONA (TRECHO ORIGINAL ENTRE PONTOS DA REDE: 326,73 M)</t>
  </si>
  <si>
    <t xml:space="preserve">ADUTORA</t>
  </si>
  <si>
    <t xml:space="preserve">Zona02_PB07_Adutora_TR001</t>
  </si>
  <si>
    <t xml:space="preserve">PRIMÁRIA</t>
  </si>
  <si>
    <t xml:space="preserve">A.RED.SSB-D014.V03.T01.008/037</t>
  </si>
  <si>
    <t xml:space="preserve">TRECHO DE PONTA SEM NÓ NA TABELA A Zona02_PB07_Adutora_NÓ94.1</t>
  </si>
  <si>
    <t xml:space="preserve">EQUIPE ADUTORA</t>
  </si>
  <si>
    <t xml:space="preserve">Adutora</t>
  </si>
  <si>
    <t xml:space="preserve">PB07</t>
  </si>
  <si>
    <t xml:space="preserve">PONTA SEM NÓ NA TABELA</t>
  </si>
  <si>
    <t xml:space="preserve">Zona02_PB07_Adutora_NÓ94.1</t>
  </si>
  <si>
    <t xml:space="preserve">6CA19</t>
  </si>
  <si>
    <t xml:space="preserve">Zona02_PB07_Rede_NÓ94.1</t>
  </si>
  <si>
    <t xml:space="preserve">Zona02_PB07_Adutora_TR002</t>
  </si>
  <si>
    <t xml:space="preserve">Q 44</t>
  </si>
  <si>
    <t xml:space="preserve">TRECHO DE PONTA SEM NÓ NA TABELA A PONTA SEM NÓ NA TABELA</t>
  </si>
  <si>
    <t xml:space="preserve">6CA18</t>
  </si>
  <si>
    <t xml:space="preserve">Zona02_PB07_Rede_NÓ56.8</t>
  </si>
  <si>
    <t xml:space="preserve">Zona02_PB07_Adutora_TR003</t>
  </si>
  <si>
    <t xml:space="preserve">CHÁCARA 61</t>
  </si>
  <si>
    <t xml:space="preserve">6C9FC</t>
  </si>
  <si>
    <t xml:space="preserve">Zona05_PB07_Rede_NÓ71.1</t>
  </si>
  <si>
    <t xml:space="preserve">Zona02_PB07_Adutora_TR004</t>
  </si>
  <si>
    <t xml:space="preserve">TRECHO DE Zona02_PB10_CH_MV-02 A PONTA SEM NÓ NA TABELA</t>
  </si>
  <si>
    <t xml:space="preserve">Zona02_PB10_CH_MV-02</t>
  </si>
  <si>
    <t xml:space="preserve">6C9FB</t>
  </si>
  <si>
    <t xml:space="preserve">Zona02_PB07_Rede_TR001</t>
  </si>
  <si>
    <t xml:space="preserve">TRECHO DE Zona02_PB07_Rede_NÓ2.5 A Zona02_PB04_Rede_NÓ2.1</t>
  </si>
  <si>
    <t xml:space="preserve">Zona02_PB07_Rede_NÓ2.5</t>
  </si>
  <si>
    <t xml:space="preserve">Zona02_PB07_Rede_TR002</t>
  </si>
  <si>
    <t xml:space="preserve">TRECHO DE Zona02_PB07_Rede_NÓ1.13 A Zona02_PB04_Rede_NÓ1.1</t>
  </si>
  <si>
    <t xml:space="preserve">Zona02_PB07_Rede_NÓ1.13</t>
  </si>
  <si>
    <t xml:space="preserve">608D0, B548, B54B</t>
  </si>
  <si>
    <t xml:space="preserve">Zona02_PB07_Rede_TR003</t>
  </si>
  <si>
    <t xml:space="preserve">TRECHO DE Zona02_PB07_Rede_NÓ56.15 A Zona02_PB07_Rede_NÓ56.13</t>
  </si>
  <si>
    <t xml:space="preserve">AE88</t>
  </si>
  <si>
    <t xml:space="preserve">Zona02_PB07_Rede_TR004</t>
  </si>
  <si>
    <t xml:space="preserve">TRECHO DE Zona02_PB07_Rede_NÓ54.8 A Zona02_PB07_Rede_NÓ1.14; INCLUI 3,96 M DE TUBO DESENHADO NO PRÓPRIO NÓ (NÓ54.8: anel de ponta/toco)</t>
  </si>
  <si>
    <t xml:space="preserve">Zona02_PB07_Rede_NÓ54.8</t>
  </si>
  <si>
    <t xml:space="preserve">A5E5</t>
  </si>
  <si>
    <t xml:space="preserve">Zona02_PB07_Rede_TR005</t>
  </si>
  <si>
    <t xml:space="preserve">TRECHO DE DIVISA DE ZONA A DIVISA DE ZONA; TRECHO DIVIDIDO NA DIVISA DE ZONA (TRECHO ORIGINAL ENTRE PONTOS DA REDE: 326,73 M)</t>
  </si>
  <si>
    <t xml:space="preserve">Zona02_PB07_Rede_TR006</t>
  </si>
  <si>
    <t xml:space="preserve">TRECHO DE Zona02_PB07_Rede_NÓ1.14 A Zona02_PB07_Rede_NÓ1.13</t>
  </si>
  <si>
    <t xml:space="preserve">A675</t>
  </si>
  <si>
    <t xml:space="preserve">Zona02_PB07_Rede_TR007</t>
  </si>
  <si>
    <t xml:space="preserve">TRECHO DE Zona02_PB07_Rede_NÓ56.13 A Zona02_PB07_Rede_NÓ56.11</t>
  </si>
  <si>
    <t xml:space="preserve">AE85</t>
  </si>
  <si>
    <t xml:space="preserve">Zona02_PB07_Rede_TR008</t>
  </si>
  <si>
    <t xml:space="preserve">TRECHO DE Zona02_PB07_Rede_NÓ56.11 A Zona02_PB07_CH_VRP-14</t>
  </si>
  <si>
    <t xml:space="preserve">Zona02_PB07_CH_VRP-14</t>
  </si>
  <si>
    <t xml:space="preserve">6CA28</t>
  </si>
  <si>
    <t xml:space="preserve">Zona02_PB07_Rede_TR009</t>
  </si>
  <si>
    <t xml:space="preserve">CHÁCARA 42</t>
  </si>
  <si>
    <t xml:space="preserve">TRECHO DE Zona02_PB07_Rede_NÓ2.7 A Zona02_PB07_Rede_DF-25</t>
  </si>
  <si>
    <t xml:space="preserve">Zona02_PB07_Rede_NÓ2.7</t>
  </si>
  <si>
    <t xml:space="preserve">Zona02_PB07_Rede_DF-25</t>
  </si>
  <si>
    <t xml:space="preserve">6095A</t>
  </si>
  <si>
    <t xml:space="preserve">Zona02_PB07_Rede_TR010</t>
  </si>
  <si>
    <t xml:space="preserve">TRECHO DE Zona02_PB07_CH_VRP-14 A Zona02_PB07_CH_VM-2.2</t>
  </si>
  <si>
    <t xml:space="preserve">Zona02_PB07_CH_VM-2.2</t>
  </si>
  <si>
    <t xml:space="preserve">Zona02_PB07_Rede_TR011</t>
  </si>
  <si>
    <t xml:space="preserve">TRECHO DE Zona02_PB07_Rede_DF-25 A Zona02_PB07_Rede_NÓ2.6</t>
  </si>
  <si>
    <t xml:space="preserve">Zona02_PB07_Rede_NÓ2.6</t>
  </si>
  <si>
    <t xml:space="preserve">Zona02_PB07_Rede_TR012</t>
  </si>
  <si>
    <t xml:space="preserve">TRECHO DE DIVISA DE ZONA A Zona02_PB07_Rede_NÓ94.1; TRECHO DIVIDIDO NA DIVISA DE ZONA (TRECHO ORIGINAL ENTRE PONTOS DA REDE: 326,73 M)</t>
  </si>
  <si>
    <t xml:space="preserve">Zona02_PB07_Rede_TR013</t>
  </si>
  <si>
    <t xml:space="preserve">TRECHO DE Zona02_PB07_Rede_NÓ2.6 A Zona02_PB07_Rede_NÓ2.9</t>
  </si>
  <si>
    <t xml:space="preserve">Zona02_PB07_Rede_NÓ2.9</t>
  </si>
  <si>
    <t xml:space="preserve">Zona02_PB07_Rede_TR014</t>
  </si>
  <si>
    <t xml:space="preserve">TRECHO DE Zona02_PB07_Rede_NÓ56.10 A Zona02_PB07_Rede_NÓ2.5; INCLUI 0,99 M DE TUBO DESENHADO NO PRÓPRIO NÓ (NÓ2.5: anel de ponta/toco)</t>
  </si>
  <si>
    <t xml:space="preserve">Zona02_PB07_Rede_NÓ56.10</t>
  </si>
  <si>
    <t xml:space="preserve">2C424, 2CD9D, 3BCD1, 6CA08</t>
  </si>
  <si>
    <t xml:space="preserve">Zona02_PB07_Rede_TR015</t>
  </si>
  <si>
    <t xml:space="preserve">TRECHO DE Zona02_PB07_CH_VM-2.2 A Zona02_PB07_Rede_NÓ9.1</t>
  </si>
  <si>
    <t xml:space="preserve">Zona02_PB07_Rede_NÓ9.1</t>
  </si>
  <si>
    <t xml:space="preserve">Zona02_PB07_Rede_TR016</t>
  </si>
  <si>
    <t xml:space="preserve">TRECHO DE Zona02_PB07_Rede_NÓ2.10 A Zona02_PB07_Rede_NÓ1.13</t>
  </si>
  <si>
    <t xml:space="preserve">Zona02_PB07_Rede_NÓ2.10</t>
  </si>
  <si>
    <t xml:space="preserve">6CA0F</t>
  </si>
  <si>
    <t xml:space="preserve">Zona02_PB07_Rede_TR017</t>
  </si>
  <si>
    <t xml:space="preserve">TRECHO DE Zona02_PB07_Rede_NÓ9.1 A Zona02_PB07_Rede_NÓ94.1</t>
  </si>
  <si>
    <t xml:space="preserve">Zona02_PB07_Rede_TR018</t>
  </si>
  <si>
    <t xml:space="preserve">TRECHO DE Zona02_PB07_Rede_NÓ2.9 A Zona02_PB07_Rede_NÓ2.8</t>
  </si>
  <si>
    <t xml:space="preserve">Zona02_PB07_Rede_NÓ2.8</t>
  </si>
  <si>
    <t xml:space="preserve">Zona02_PB07_Rede_TR019</t>
  </si>
  <si>
    <t xml:space="preserve">TRECHO DE Zona02_PB07_Rede_NÓ2.8 A Zona02_PB07_Rede_NÓ1.9; INCLUI 1,00 M DE TUBO DESENHADO NO PRÓPRIO NÓ (NÓ2.8: anel de ponta/toco)</t>
  </si>
  <si>
    <t xml:space="preserve">Zona02_PB07_Rede_NÓ1.9</t>
  </si>
  <si>
    <t xml:space="preserve">A62D</t>
  </si>
  <si>
    <t xml:space="preserve">Zona02_PB07_Rede_TR020</t>
  </si>
  <si>
    <t xml:space="preserve">TRECHO DE Zona02_PB07_Rede_NÓ2.11 A Zona02_PB07_Rede_NÓ2.10</t>
  </si>
  <si>
    <t xml:space="preserve">Zona02_PB07_Rede_NÓ2.11</t>
  </si>
  <si>
    <t xml:space="preserve">Zona02_PB07_Rede_TR021</t>
  </si>
  <si>
    <t xml:space="preserve">TRECHO DE Zona02_PB07_Rede_NÓ75.1 A Zona02_PB07_Rede_NÓ2.11</t>
  </si>
  <si>
    <t xml:space="preserve">Zona02_PB07_Rede_NÓ75.1</t>
  </si>
  <si>
    <t xml:space="preserve">Zona02_PB07_Rede_TR022</t>
  </si>
  <si>
    <t xml:space="preserve">TRECHO DE Zona02_PB07_Rede_NÓ1.9 A Zona02_PB07_Rede_NÓ1.10</t>
  </si>
  <si>
    <t xml:space="preserve">Zona02_PB07_Rede_NÓ1.10</t>
  </si>
  <si>
    <t xml:space="preserve">B2D5</t>
  </si>
  <si>
    <t xml:space="preserve">Zona02_PB07_Rede_TR023</t>
  </si>
  <si>
    <t xml:space="preserve">Q 46</t>
  </si>
  <si>
    <t xml:space="preserve">TRECHO DE Zona02_PB07_Rede_NÓ1.8 A Zona02_PB07_Rede_NÓ1.9</t>
  </si>
  <si>
    <t xml:space="preserve">Zona02_PB07_Rede_NÓ1.8</t>
  </si>
  <si>
    <t xml:space="preserve">B3AD</t>
  </si>
  <si>
    <t xml:space="preserve">Zona02_PB07_Rede_TR024</t>
  </si>
  <si>
    <t xml:space="preserve">TRECHO DE Zona02_PB07_Rede_NÓ2.4 A Zona02_PB07_Rede_DF-24</t>
  </si>
  <si>
    <t xml:space="preserve">Zona02_PB07_Rede_NÓ2.4</t>
  </si>
  <si>
    <t xml:space="preserve">Zona02_PB07_Rede_DF-24</t>
  </si>
  <si>
    <t xml:space="preserve">B0AD</t>
  </si>
  <si>
    <t xml:space="preserve">Zona02_PB07_Rede_TR025</t>
  </si>
  <si>
    <t xml:space="preserve">TRECHO DE Zona02_PB07_Rede_NÓ1.8 A Zona02_PB07_Rede_NÓ2.4</t>
  </si>
  <si>
    <t xml:space="preserve">Zona02_PB07_Rede_TR026</t>
  </si>
  <si>
    <t xml:space="preserve">TRECHO DE Zona02_PB07_Rede_NÓ13.3 A DIVISA DE ZONA; TRECHO DIVIDIDO NA DIVISA DE ZONA (TRECHO ORIGINAL ENTRE PONTOS DA REDE: 461,80 M)</t>
  </si>
  <si>
    <t xml:space="preserve">Zona02_PB07_Rede_NÓ13.3</t>
  </si>
  <si>
    <t xml:space="preserve">6C5D5</t>
  </si>
  <si>
    <t xml:space="preserve">Zona02_PB07_Rede_TR027</t>
  </si>
  <si>
    <t xml:space="preserve">CHÁCARA 44</t>
  </si>
  <si>
    <t xml:space="preserve">TRECHO DE Zona02_PB07_Rede_NÓ54.3 A Zona02_PB07_Rede_NÓ1.10; INCLUI 2,01 M DE TUBO DESENHADO NO PRÓPRIO NÓ (NÓ54.3: anel de ponta/toco)</t>
  </si>
  <si>
    <t xml:space="preserve">Zona02_PB07_Rede_NÓ54.3</t>
  </si>
  <si>
    <t xml:space="preserve">2C5BF</t>
  </si>
  <si>
    <t xml:space="preserve">Zona02_PB07_Rede_TR028</t>
  </si>
  <si>
    <t xml:space="preserve">TRECHO DE Zona02_PB07_Rede_NÓ1.12 A Zona02_PB07_Rede_NÓ1.10; INCLUI 1,44 M DE TUBO DESENHADO NO PRÓPRIO NÓ (NÓ1.10: anel de ponta/toco)</t>
  </si>
  <si>
    <t xml:space="preserve">Zona02_PB07_Rede_NÓ1.12</t>
  </si>
  <si>
    <t xml:space="preserve">B22A</t>
  </si>
  <si>
    <t xml:space="preserve">Zona02_PB07_Rede_TR029</t>
  </si>
  <si>
    <t xml:space="preserve">TRECHO DE Zona02_PB07_Rede_NÓ2.7 A Zona02_PB07_Rede_NÓ56.9; INCLUI 0,49 M DE TUBO DESENHADO NO PRÓPRIO NÓ (NÓ56.9: anel de ponta/toco)</t>
  </si>
  <si>
    <t xml:space="preserve">Zona02_PB07_Rede_NÓ56.9</t>
  </si>
  <si>
    <t xml:space="preserve">6095A, B55A</t>
  </si>
  <si>
    <t xml:space="preserve">Zona02_PB07_Rede_TR030</t>
  </si>
  <si>
    <t xml:space="preserve">TRECHO DE Zona02_PB07_Rede_NÓ56.10 A Zona02_PB07_Rede_NÓ75.1; INCLUI 0,06 M DE TUBO DESENHADO NO PRÓPRIO NÓ (NÓ56.10: anel de ponta/toco)</t>
  </si>
  <si>
    <t xml:space="preserve">6CA0B</t>
  </si>
  <si>
    <t xml:space="preserve">Zona02_PB07_Rede_TR031</t>
  </si>
  <si>
    <t xml:space="preserve">Q 48</t>
  </si>
  <si>
    <t xml:space="preserve">TRECHO DE Zona02_PB07_Rede_DF-24 A Zona02_PB07_Rede_NÓ1.2</t>
  </si>
  <si>
    <t xml:space="preserve">Zona02_PB07_Rede_NÓ1.2</t>
  </si>
  <si>
    <t xml:space="preserve">Zona02_PB07_Rede_TR032</t>
  </si>
  <si>
    <t xml:space="preserve">TRECHO DE Zona02_PB07_Rede_NÓ1.11 A Zona02_PB07_Rede_NÓ1.8</t>
  </si>
  <si>
    <t xml:space="preserve">Zona02_PB07_Rede_NÓ1.11</t>
  </si>
  <si>
    <t xml:space="preserve">B21B</t>
  </si>
  <si>
    <t xml:space="preserve">Zona02_PB07_Rede_TR033</t>
  </si>
  <si>
    <t xml:space="preserve">TRECHO DE Zona02_PB07_Rede_NÓ13.1 A DIVISA DE ZONA; TRECHO DIVIDIDO NA DIVISA DE ZONA (TRECHO ORIGINAL ENTRE PONTOS DA REDE: 412,13 M)</t>
  </si>
  <si>
    <t xml:space="preserve">Zona02_PB07_Rede_NÓ13.1</t>
  </si>
  <si>
    <t xml:space="preserve">6CB38</t>
  </si>
  <si>
    <t xml:space="preserve">Zona02_PB07_Rede_TR034</t>
  </si>
  <si>
    <t xml:space="preserve">TRECHO DE Zona02_PB07_Rede_NÓ1.11 A Zona02_PB07_Rede_NÓ1.12</t>
  </si>
  <si>
    <t xml:space="preserve">2C93C, B3B0</t>
  </si>
  <si>
    <t xml:space="preserve">Zona02_PB07_Rede_TR035</t>
  </si>
  <si>
    <t xml:space="preserve">TRECHO DE Zona02_PB07_Rede_NÓ56.8 A Zona02_PB07_Rede_NÓ1.12; INCLUI 1,37 M DE TUBO DESENHADO NO PRÓPRIO NÓ (NÓ1.12, NÓ56.8: anel de ponta/toco)</t>
  </si>
  <si>
    <t xml:space="preserve">B3B6</t>
  </si>
  <si>
    <t xml:space="preserve">Zona02_PB07_Rede_TR036</t>
  </si>
  <si>
    <t xml:space="preserve">TRECHO DE Zona02_PB07_Rede_NÓ56.9 A Zona02_PB07_Rede_NÓ56.10</t>
  </si>
  <si>
    <t xml:space="preserve">Zona02_PB07_Rede_TR037</t>
  </si>
  <si>
    <t xml:space="preserve">TRECHO DE Zona02_PB07_Rede_NÓ1.2 A Zona02_PB07_Rede_NÓ106.1; INCLUI 0,05 M DE TUBO DESENHADO NO PRÓPRIO NÓ (NÓ106.1: anel de ponta/toco)</t>
  </si>
  <si>
    <t xml:space="preserve">Zona02_PB07_Rede_NÓ106.1</t>
  </si>
  <si>
    <t xml:space="preserve">2F5D5, B2DB</t>
  </si>
  <si>
    <t xml:space="preserve">Zona02_PB07_Rede_TR038</t>
  </si>
  <si>
    <t xml:space="preserve">TRECHO DE Zona02_PB07_Rede_NÓ56.8 A Zona02_PB07_Rede_NÓ56.9</t>
  </si>
  <si>
    <t xml:space="preserve">2C93D</t>
  </si>
  <si>
    <t xml:space="preserve">Zona02_PB07_Rede_TR039</t>
  </si>
  <si>
    <t xml:space="preserve">TRECHO DE Zona02_PB07_Rede_NÓ54.4 A Zona02_PB07_Rede_NÓ56.7; INCLUI 2,84 M DE TUBO DESENHADO NO PRÓPRIO NÓ (NÓ54.4, NÓ56.7: anel de ponta/toco)</t>
  </si>
  <si>
    <t xml:space="preserve">Zona02_PB07_Rede_NÓ54.4</t>
  </si>
  <si>
    <t xml:space="preserve">Zona02_PB07_Rede_NÓ56.7</t>
  </si>
  <si>
    <t xml:space="preserve">2F5BE, 2F5C2, 2F5C3, 2F5C6, B2E1, B44F</t>
  </si>
  <si>
    <t xml:space="preserve">Zona02_PB07_Rede_TR040</t>
  </si>
  <si>
    <t xml:space="preserve">CHÁCARA 48</t>
  </si>
  <si>
    <t xml:space="preserve">TRECHO DE Zona02_PB07_Rede_NÓ56.3 A Zona02_PB07_Rede_NÓ1.2</t>
  </si>
  <si>
    <t xml:space="preserve">Zona02_PB07_Rede_NÓ56.3</t>
  </si>
  <si>
    <t xml:space="preserve">2C5C3, 2CF50, B55D</t>
  </si>
  <si>
    <t xml:space="preserve">Zona02_PB07_Rede_TR041</t>
  </si>
  <si>
    <t xml:space="preserve">TRECHO DE Zona02_PB07_Rede_NÓ2.3 A Zona02_PB07_Rede_DF-23</t>
  </si>
  <si>
    <t xml:space="preserve">Zona02_PB07_Rede_NÓ2.3</t>
  </si>
  <si>
    <t xml:space="preserve">Zona02_PB07_Rede_DF-23</t>
  </si>
  <si>
    <t xml:space="preserve">6C1A2</t>
  </si>
  <si>
    <t xml:space="preserve">Zona02_PB07_Rede_TR042</t>
  </si>
  <si>
    <t xml:space="preserve">TRECHO DE Zona02_PB07_Rede_NÓ56.7 A Zona02_PB07_Rede_NÓ56.8; INCLUI 0,05 M DE TUBO DESENHADO NO PRÓPRIO NÓ (NÓ56.8: anel de ponta/toco)</t>
  </si>
  <si>
    <t xml:space="preserve">B0C2</t>
  </si>
  <si>
    <t xml:space="preserve">Zona02_PB07_Rede_TR043</t>
  </si>
  <si>
    <t xml:space="preserve">CHÁCARA 50</t>
  </si>
  <si>
    <t xml:space="preserve">TRECHO DE Zona02_PB07_Rede_NÓ1.7 A Zona02_PB07_Rede_NÓ2.3; INCLUI 0,49 M DE TUBO DESENHADO NO PRÓPRIO NÓ (NÓ1.7: anel de ponta/toco)</t>
  </si>
  <si>
    <t xml:space="preserve">Zona02_PB07_Rede_NÓ1.7</t>
  </si>
  <si>
    <t xml:space="preserve">2C872, 6C1A2, B0AA</t>
  </si>
  <si>
    <t xml:space="preserve">Zona02_PB07_Rede_TR044</t>
  </si>
  <si>
    <t xml:space="preserve">TRECHO DE Zona02_PB07_Rede_NÓ56.5 A Zona02_PB07_Rede_NÓ1.11</t>
  </si>
  <si>
    <t xml:space="preserve">Zona02_PB07_Rede_NÓ56.5</t>
  </si>
  <si>
    <t xml:space="preserve">2CD9F</t>
  </si>
  <si>
    <t xml:space="preserve">Zona02_PB07_Rede_TR045</t>
  </si>
  <si>
    <t xml:space="preserve">TRECHO DE Zona02_PB07_Rede_NÓ106.1 A Zona02_PB07_Rede_NÓ1.7</t>
  </si>
  <si>
    <t xml:space="preserve">A5CA</t>
  </si>
  <si>
    <t xml:space="preserve">Zona02_PB07_Rede_TR046</t>
  </si>
  <si>
    <t xml:space="preserve">TRECHO DE Zona02_PB07_Rede_DF-23 A Zona02_PB07_Rede_NÓ2.2</t>
  </si>
  <si>
    <t xml:space="preserve">Zona02_PB07_Rede_NÓ2.2</t>
  </si>
  <si>
    <t xml:space="preserve">Zona02_PB07_Rede_TR047</t>
  </si>
  <si>
    <t xml:space="preserve">TRECHO DE Zona02_PB07_Rede_NÓ57.1 A Zona02_PB07_Rede_NÓ106.1; INCLUI 0,54 M DE TUBO DESENHADO NO PRÓPRIO NÓ (NÓ106.1: anel de ponta/toco)</t>
  </si>
  <si>
    <t xml:space="preserve">Zona02_PB07_Rede_NÓ57.1</t>
  </si>
  <si>
    <t xml:space="preserve">A62A</t>
  </si>
  <si>
    <t xml:space="preserve">Zona02_PB07_Rede_TR048</t>
  </si>
  <si>
    <t xml:space="preserve">TRECHO DE Zona02_PB07_Rede_NÓ2.2 A PONTA SEM NÓ NA TABELA</t>
  </si>
  <si>
    <t xml:space="preserve">Zona02_PB07_Rede_TR049</t>
  </si>
  <si>
    <t xml:space="preserve">TRECHO DE Zona02_PB07_Rede_NÓ56.5 A Zona02_PB07_Rede_NÓ56.7</t>
  </si>
  <si>
    <t xml:space="preserve">ACED</t>
  </si>
  <si>
    <t xml:space="preserve">Zona02_PB07_Rede_TR050</t>
  </si>
  <si>
    <t xml:space="preserve">TRECHO DE Zona02_PB07_Rede_NÓ1.4 A Zona02_PB07_Rede_NÓ1.7</t>
  </si>
  <si>
    <t xml:space="preserve">Zona02_PB07_Rede_NÓ1.4</t>
  </si>
  <si>
    <t xml:space="preserve">AEE8</t>
  </si>
  <si>
    <t xml:space="preserve">Zona02_PB07_Rede_TR051</t>
  </si>
  <si>
    <t xml:space="preserve">TRECHO DE PONTA SEM NÓ NA TABELA A Zona02_PB07_Rede_NÓ1.3; INCLUI 0,23 M DE TUBO DESENHADO NO PRÓPRIO NÓ (NÓ1.4: anel de ponta/toco)</t>
  </si>
  <si>
    <t xml:space="preserve">Zona02_PB07_Rede_NÓ1.3</t>
  </si>
  <si>
    <t xml:space="preserve">ACE1</t>
  </si>
  <si>
    <t xml:space="preserve">Zona02_PB07_Rede_TR052</t>
  </si>
  <si>
    <t xml:space="preserve">TRECHO DE Zona02_PB07_Rede_NÓ57.2 A Zona02_PB07_Rede_NÓ57.1</t>
  </si>
  <si>
    <t xml:space="preserve">Zona02_PB07_Rede_NÓ57.2</t>
  </si>
  <si>
    <t xml:space="preserve">AE55</t>
  </si>
  <si>
    <t xml:space="preserve">Zona02_PB07_Rede_TR053</t>
  </si>
  <si>
    <t xml:space="preserve">TRECHO DE Zona02_PB07_Rede_NÓ56.5 A Zona02_PB07_Rede_NÓ56.3</t>
  </si>
  <si>
    <t xml:space="preserve">B0FB</t>
  </si>
  <si>
    <t xml:space="preserve">Zona02_PB07_Rede_TR054</t>
  </si>
  <si>
    <t xml:space="preserve">TRECHO DE Zona02_PB07_Rede_NÓ54.1 A Zona02_PB07_Rede_NÓ57.1; INCLUI 4,00 M DE TUBO DESENHADO NO PRÓPRIO NÓ (NÓ54.1: anel de ponta/toco)</t>
  </si>
  <si>
    <t xml:space="preserve">Zona02_PB07_Rede_NÓ54.1</t>
  </si>
  <si>
    <t xml:space="preserve">A744</t>
  </si>
  <si>
    <t xml:space="preserve">Zona02_PB07_Rede_TR055</t>
  </si>
  <si>
    <t xml:space="preserve">TRECHO DE Zona02_PB07_Rede_NÓ68.1 A Zona02_PB07_Rede_NÓ57.2</t>
  </si>
  <si>
    <t xml:space="preserve">Zona02_PB07_Rede_NÓ68.1</t>
  </si>
  <si>
    <t xml:space="preserve">ACE4</t>
  </si>
  <si>
    <t xml:space="preserve">Zona02_PB07_Rede_TR056</t>
  </si>
  <si>
    <t xml:space="preserve">TRECHO DE Zona02_PB07_Rede_NÓ1.3 A Zona02_PB07_Rede_DF-22; INCLUI 0,51 M DE TUBO DESENHADO NO PRÓPRIO NÓ (NÓ1.3: anel de ponta/toco)</t>
  </si>
  <si>
    <t xml:space="preserve">Zona02_PB07_Rede_DF-22</t>
  </si>
  <si>
    <t xml:space="preserve">3CA46, 3CA47, 6C64F, B42E</t>
  </si>
  <si>
    <t xml:space="preserve">Zona02_PB07_Rede_TR057</t>
  </si>
  <si>
    <t xml:space="preserve">TRECHO DE Zona02_PB07_Rede_NÓ1.3 A Zona02_PB07_Rede_NÓ1.6</t>
  </si>
  <si>
    <t xml:space="preserve">Zona02_PB07_Rede_NÓ1.6</t>
  </si>
  <si>
    <t xml:space="preserve">B2AB</t>
  </si>
  <si>
    <t xml:space="preserve">Zona02_PB07_Rede_TR058</t>
  </si>
  <si>
    <t xml:space="preserve">TRECHO DE Zona02_PB07_Rede_NÓ57.2 A Zona02_PB07_Rede_NÓ54.2; INCLUI 4,00 M DE TUBO DESENHADO NO PRÓPRIO NÓ (NÓ54.2: anel de ponta/toco)</t>
  </si>
  <si>
    <t xml:space="preserve">Zona02_PB07_Rede_NÓ54.2</t>
  </si>
  <si>
    <t xml:space="preserve">A6BD</t>
  </si>
  <si>
    <t xml:space="preserve">Zona02_PB07_Rede_TR059</t>
  </si>
  <si>
    <t xml:space="preserve">TRECHO DE Zona02_PB07_Rede_NÓ56.3 A Zona02_PB07_Rede_NÓ62.1</t>
  </si>
  <si>
    <t xml:space="preserve">Zona02_PB07_Rede_NÓ62.1</t>
  </si>
  <si>
    <t xml:space="preserve">2F04A</t>
  </si>
  <si>
    <t xml:space="preserve">Zona02_PB07_Rede_TR060</t>
  </si>
  <si>
    <t xml:space="preserve">TRECHO DE Zona02_PB07_Rede_NÓ68.1 A Zona02_PB07_Rede_NÓ62.1; INCLUI 0,34 M DE TUBO DESENHADO NO PRÓPRIO NÓ (NÓ62.1: anel de ponta/toco)</t>
  </si>
  <si>
    <t xml:space="preserve">B3AA</t>
  </si>
  <si>
    <t xml:space="preserve">Zona02_PB07_Rede_TR061</t>
  </si>
  <si>
    <t xml:space="preserve">TRECHO DE Zona02_PB07_Rede_DF-22 A Zona02_PB07_Rede_NÓ2.1</t>
  </si>
  <si>
    <t xml:space="preserve">Zona02_PB07_Rede_NÓ2.1</t>
  </si>
  <si>
    <t xml:space="preserve">6C64F</t>
  </si>
  <si>
    <t xml:space="preserve">Zona02_PB07_Rede_TR062</t>
  </si>
  <si>
    <t xml:space="preserve">TRECHO DE Zona02_PB07_Rede_NÓ1.6 A Zona02_PB07_Rede_NÓ1.1</t>
  </si>
  <si>
    <t xml:space="preserve">Zona02_PB07_Rede_NÓ1.1</t>
  </si>
  <si>
    <t xml:space="preserve">608F9, 60907</t>
  </si>
  <si>
    <t xml:space="preserve">Zona02_PB07_Rede_TR063</t>
  </si>
  <si>
    <t xml:space="preserve">TRECHO DE Zona02_PB07_Rede_NÓ1.5 A Zona02_PB07_Rede_NÓ1.6</t>
  </si>
  <si>
    <t xml:space="preserve">Zona02_PB07_Rede_NÓ1.5</t>
  </si>
  <si>
    <t xml:space="preserve">B2D8</t>
  </si>
  <si>
    <t xml:space="preserve">Zona02_PB07_Rede_TR064</t>
  </si>
  <si>
    <t xml:space="preserve">TRECHO DE Zona02_PB07_Rede_NÓ2.1 A Zona02_PB07_Rede_NÓ1.1</t>
  </si>
  <si>
    <t xml:space="preserve">Zona02_PB07_Rede_TR065</t>
  </si>
  <si>
    <t xml:space="preserve">TRECHO DE Zona02_PB07_Rede_NÓ62.1 A Zona02_PB10_Rede_NÓ56.1</t>
  </si>
  <si>
    <t xml:space="preserve">Zona02_PB10_Rede_NÓ56.1</t>
  </si>
  <si>
    <t xml:space="preserve">Zona02_PB07_Rede_TR066</t>
  </si>
  <si>
    <t xml:space="preserve">TRECHO DE Zona02_PB07_Rede_NÓ68.1 A Zona02_PB10_Rede_NÓ106.1</t>
  </si>
  <si>
    <t xml:space="preserve">Zona02_PB10_Rede_NÓ106.1</t>
  </si>
  <si>
    <t xml:space="preserve">B563, B566</t>
  </si>
  <si>
    <t xml:space="preserve">Zona02_PB10_Adutora_TR001</t>
  </si>
  <si>
    <t xml:space="preserve">A.RED.SSB-D014.V03.T01.011/037</t>
  </si>
  <si>
    <t xml:space="preserve">TRECHO DE DIVISA DE ZONA A Zona02_PB10_CH_MV-02; TRECHO DIVIDIDO NA DIVISA DE ZONA (TRECHO ORIGINAL ENTRE PONTOS DA REDE: 22,27 M)</t>
  </si>
  <si>
    <t xml:space="preserve">PB10</t>
  </si>
  <si>
    <t xml:space="preserve">Zona02_PB10_Rede_TR001</t>
  </si>
  <si>
    <t xml:space="preserve">TRECHO DE Zona02_PB10_Rede_NÓ1.1 A Zona02_PB07_Rede_NÓ1.1</t>
  </si>
  <si>
    <t xml:space="preserve">Zona02_PB10_Rede_NÓ1.1</t>
  </si>
  <si>
    <t xml:space="preserve">6C1B4</t>
  </si>
  <si>
    <t xml:space="preserve">Zona02_PB10_Rede_TR002</t>
  </si>
  <si>
    <t xml:space="preserve">TRECHO DE Zona02_PB07_Rede_NÓ1.5 A Zona02_PB10_Rede_NÓ1.1; INCLUI 0,08 M DE TUBO DESENHADO NO PRÓPRIO NÓ (NÓ1.1: anel de ponta/toco)</t>
  </si>
  <si>
    <t xml:space="preserve">608F8, 60906</t>
  </si>
  <si>
    <t xml:space="preserve">Zona02_PB10_Rede_TR003</t>
  </si>
  <si>
    <t xml:space="preserve">Q 50</t>
  </si>
  <si>
    <t xml:space="preserve">TRECHO DE Zona02_PB10_Rede_NÓ106.1 A Zona02_PB07_Rede_NÓ1.5</t>
  </si>
  <si>
    <t xml:space="preserve">B3FB</t>
  </si>
  <si>
    <t xml:space="preserve">Zona02_PB10_Rede_TR004</t>
  </si>
  <si>
    <t xml:space="preserve">TRECHO DE Zona02_PB10_Rede_NÓ56.1 A Zona02_PB10_CH_MV-02</t>
  </si>
  <si>
    <t xml:space="preserve">Zona02_PB10_Rede_TR005</t>
  </si>
  <si>
    <t xml:space="preserve">TRECHO DE Zona02_PB10_Rede_NÓ1.2 A Zona02_PB10_Rede_NÓ1.1</t>
  </si>
  <si>
    <t xml:space="preserve">Zona02_PB10_Rede_NÓ1.2</t>
  </si>
  <si>
    <t xml:space="preserve">Zona02_PB10_Rede_TR006</t>
  </si>
  <si>
    <t xml:space="preserve">TRECHO DE Zona02_PB10_Rede_NÓ1.2 A Zona02_PB10_Rede_NÓ106.1; INCLUI 0,76 M DE TUBO DESENHADO NO PRÓPRIO NÓ (NÓ1.2: anel de ponta/toco)</t>
  </si>
  <si>
    <t xml:space="preserve">608F7, A663</t>
  </si>
  <si>
    <t xml:space="preserve">Zona02_PB10_Rede_TR007</t>
  </si>
  <si>
    <t xml:space="preserve">TRECHO DE Zona02_PB10_CH_MV-02 A Zona08_PB10_CH_VRP-13</t>
  </si>
  <si>
    <t xml:space="preserve">Zona08_PB10_CH_VRP-13</t>
  </si>
  <si>
    <t xml:space="preserve">Zona02_PB10_Rede_TR008</t>
  </si>
  <si>
    <t xml:space="preserve">TRECHO DE Zona02_PB10_Rede_NÓ2.1 A Zona02_PB10_Rede_NÓ1.2</t>
  </si>
  <si>
    <t xml:space="preserve">Zona02_PB10_Rede_NÓ2.1</t>
  </si>
  <si>
    <t xml:space="preserve">6C1D3</t>
  </si>
  <si>
    <t xml:space="preserve">Zona02_PB10_Rede_TR009</t>
  </si>
  <si>
    <t xml:space="preserve">TRECHO DE Zona02_PB10_Rede_NÓ2.2 A Zona02_PB10_Rede_NÓ56.1; INCLUI 1,06 M DE TUBO DESENHADO NO PRÓPRIO NÓ (NÓ2.2, NÓ56.1: anel de ponta/toco)</t>
  </si>
  <si>
    <t xml:space="preserve">Zona02_PB10_Rede_NÓ2.2</t>
  </si>
  <si>
    <t xml:space="preserve">2C410, 6C1B3, B569</t>
  </si>
  <si>
    <t xml:space="preserve">Zona02_PB10_Rede_TR010</t>
  </si>
  <si>
    <t xml:space="preserve">TRECHO DE Zona02_PB10_Rede_NÓ2.2 A Zona02_PB10_Rede_NÓ2.1</t>
  </si>
  <si>
    <t xml:space="preserve">Zona03</t>
  </si>
  <si>
    <t xml:space="preserve">Zona03_PB05_Rede_TR001</t>
  </si>
  <si>
    <t xml:space="preserve">CHÁCARA 19</t>
  </si>
  <si>
    <t xml:space="preserve">TRECHO DE Zona03_PB05_Rede_NÓ5.6 A Zona03_PB06_Rede_NÓ20.1</t>
  </si>
  <si>
    <t xml:space="preserve">EQUIPE ZONA 03</t>
  </si>
  <si>
    <t xml:space="preserve">Zona03_PB05_Rede_NÓ5.6</t>
  </si>
  <si>
    <t xml:space="preserve">Zona03_PB06_Rede_NÓ20.1</t>
  </si>
  <si>
    <t xml:space="preserve">B971</t>
  </si>
  <si>
    <t xml:space="preserve">Zona03_PB05_Rede_TR002</t>
  </si>
  <si>
    <t xml:space="preserve">Q 33</t>
  </si>
  <si>
    <t xml:space="preserve">TRECHO DE Zona03_PB05_Rede_NÓ2.2 A Zona03_PB05_Rede_DF-45</t>
  </si>
  <si>
    <t xml:space="preserve">Zona03_PB05_Rede_NÓ2.2</t>
  </si>
  <si>
    <t xml:space="preserve">Zona03_PB05_Rede_DF-45</t>
  </si>
  <si>
    <t xml:space="preserve">6CDBC</t>
  </si>
  <si>
    <t xml:space="preserve">Zona03_PB05_Rede_TR003</t>
  </si>
  <si>
    <t xml:space="preserve">TRECHO DE Zona03_PB05_Rede_NÓ109.1 A Zona03_PB05_Rede_NÓ54.4; INCLUI 4,00 M DE TUBO DESENHADO NO PRÓPRIO NÓ (NÓ54.4: anel de ponta/toco)</t>
  </si>
  <si>
    <t xml:space="preserve">Zona03_PB05_Rede_NÓ109.1</t>
  </si>
  <si>
    <t xml:space="preserve">Zona03_PB05_Rede_NÓ54.4</t>
  </si>
  <si>
    <t xml:space="preserve">B91D, B920</t>
  </si>
  <si>
    <t xml:space="preserve">Zona03_PB05_Rede_TR004</t>
  </si>
  <si>
    <t xml:space="preserve">TRECHO DE Zona03_PB05_Rede_DF-45 A Zona03_PB05_Rede_NÓ54.8; INCLUI 4,06 M DE TUBO DESENHADO NO PRÓPRIO NÓ (NÓ54.8: anel de ponta/toco)</t>
  </si>
  <si>
    <t xml:space="preserve">Zona03_PB05_Rede_NÓ54.8</t>
  </si>
  <si>
    <t xml:space="preserve">Zona03_PB05_Rede_TR005</t>
  </si>
  <si>
    <t xml:space="preserve">TRECHO DE Zona03_PB05_Rede_NÓ107.1 A Zona03_PB05_Rede_NÓ2.2</t>
  </si>
  <si>
    <t xml:space="preserve">Zona03_PB05_Rede_NÓ107.1</t>
  </si>
  <si>
    <t xml:space="preserve">6CDBB</t>
  </si>
  <si>
    <t xml:space="preserve">Zona03_PB05_Rede_TR006</t>
  </si>
  <si>
    <t xml:space="preserve">TRECHO DE Zona03_PB05_Rede_NÓ109.1 A Zona03_PB05_Rede_NÓ78.1</t>
  </si>
  <si>
    <t xml:space="preserve">Zona03_PB05_Rede_NÓ78.1</t>
  </si>
  <si>
    <t xml:space="preserve">6C9B4, B917</t>
  </si>
  <si>
    <t xml:space="preserve">Zona03_PB05_Rede_TR007</t>
  </si>
  <si>
    <t xml:space="preserve">CHÁCARA 41</t>
  </si>
  <si>
    <t xml:space="preserve">TRECHO DE Zona03_PB05_Rede_NÓ5.1 A Zona03_PB05_Rede_NÓ109.1</t>
  </si>
  <si>
    <t xml:space="preserve">Zona03_PB05_Rede_NÓ5.1</t>
  </si>
  <si>
    <t xml:space="preserve">A5CD</t>
  </si>
  <si>
    <t xml:space="preserve">Zona03_PB05_Rede_TR008</t>
  </si>
  <si>
    <t xml:space="preserve">TRECHO DE Zona03_PB05_Rede_NÓ107.1 A Zona03_PB05_Rede_NÓ5.1; INCLUI 0,27 M DE TUBO DESENHADO NO PRÓPRIO NÓ (NÓ107.1: anel de ponta/toco)</t>
  </si>
  <si>
    <t xml:space="preserve">2C94B, 2CD7D, 6CDB3, B923, B932</t>
  </si>
  <si>
    <t xml:space="preserve">Zona03_PB05_Rede_TR009</t>
  </si>
  <si>
    <t xml:space="preserve">TRECHO DE Zona03_PB05_Rede_NÓ5.3 A Zona03_PB05_Rede_NÓ5.6</t>
  </si>
  <si>
    <t xml:space="preserve">Zona03_PB05_Rede_NÓ5.3</t>
  </si>
  <si>
    <t xml:space="preserve">AE6D</t>
  </si>
  <si>
    <t xml:space="preserve">Zona03_PB05_Rede_TR010</t>
  </si>
  <si>
    <t xml:space="preserve">TRECHO DE Zona03_PB05_Rede_NÓ20.2 A Zona03_PB05_Rede_NÓ5.6</t>
  </si>
  <si>
    <t xml:space="preserve">Zona03_PB05_Rede_NÓ20.2</t>
  </si>
  <si>
    <t xml:space="preserve">2CE57, B962</t>
  </si>
  <si>
    <t xml:space="preserve">Zona03_PB05_Rede_TR011</t>
  </si>
  <si>
    <t xml:space="preserve">TRECHO DE Zona03_PB05_Rede_NÓ78.1 A Zona03_PB05_Rede_NÓ56.2</t>
  </si>
  <si>
    <t xml:space="preserve">Zona03_PB05_Rede_NÓ56.2</t>
  </si>
  <si>
    <t xml:space="preserve">6C9B5</t>
  </si>
  <si>
    <t xml:space="preserve">Zona03_PB05_Rede_TR012</t>
  </si>
  <si>
    <t xml:space="preserve">TRECHO DE Zona03_PB05_Rede_NÓ107.1 A Zona03_PB05_Rede_NÓ59.1</t>
  </si>
  <si>
    <t xml:space="preserve">Zona03_PB05_Rede_NÓ59.1</t>
  </si>
  <si>
    <t xml:space="preserve">6CDAF</t>
  </si>
  <si>
    <t xml:space="preserve">Zona03_PB05_Rede_TR013</t>
  </si>
  <si>
    <t xml:space="preserve">TRECHO DE Zona03_PB05_Rede_NÓ5.2 A Zona03_PB05_Rede_NÓ5.1</t>
  </si>
  <si>
    <t xml:space="preserve">Zona03_PB05_Rede_NÓ5.2</t>
  </si>
  <si>
    <t xml:space="preserve">ADB9, AEE5</t>
  </si>
  <si>
    <t xml:space="preserve">Zona03_PB05_Rede_TR014</t>
  </si>
  <si>
    <t xml:space="preserve">TRECHO DE Zona03_PB05_Rede_NÓ20.1 A Zona03_PB05_Rede_NÓ59.1</t>
  </si>
  <si>
    <t xml:space="preserve">Zona03_PB05_Rede_NÓ20.1</t>
  </si>
  <si>
    <t xml:space="preserve">B935, BADF</t>
  </si>
  <si>
    <t xml:space="preserve">Zona03_PB05_Rede_TR015</t>
  </si>
  <si>
    <t xml:space="preserve">TRECHO DE Zona03_PB05_Rede_NÓ56.2 A Zona03_PB05_Rede_NÓ54.1; INCLUI 4,59 M DE TUBO DESENHADO NO PRÓPRIO NÓ (NÓ54.1, NÓ56.2: anel de ponta/toco)</t>
  </si>
  <si>
    <t xml:space="preserve">Zona03_PB05_Rede_NÓ54.1</t>
  </si>
  <si>
    <t xml:space="preserve">2C786, B911, B914</t>
  </si>
  <si>
    <t xml:space="preserve">Zona03_PB05_Rede_TR016</t>
  </si>
  <si>
    <t xml:space="preserve">TRECHO DE Zona03_PB05_Rede_NÓ59.1 A Zona03_PB05_Rede_NÓ5.4</t>
  </si>
  <si>
    <t xml:space="preserve">Zona03_PB05_Rede_NÓ5.4</t>
  </si>
  <si>
    <t xml:space="preserve">Zona03_PB05_Rede_TR017</t>
  </si>
  <si>
    <t xml:space="preserve">TRECHO DE Zona03_PB05_Rede_NÓ56.2 A Zona03_PB05_Rede_NÓ8.1</t>
  </si>
  <si>
    <t xml:space="preserve">Zona03_PB05_Rede_NÓ8.1</t>
  </si>
  <si>
    <t xml:space="preserve">B080</t>
  </si>
  <si>
    <t xml:space="preserve">Zona03_PB05_Rede_TR018</t>
  </si>
  <si>
    <t xml:space="preserve">TRECHO DE Zona03_PB05_Rede_NÓ5.3 A Zona03_PB05_Rede_NÓ5.5</t>
  </si>
  <si>
    <t xml:space="preserve">Zona03_PB05_Rede_NÓ5.5</t>
  </si>
  <si>
    <t xml:space="preserve">A5C7, BAE2, BAE5</t>
  </si>
  <si>
    <t xml:space="preserve">Zona03_PB05_Rede_TR019</t>
  </si>
  <si>
    <t xml:space="preserve">TRECHO DE Zona03_PB05_Rede_NÓ107.2 A Zona03_PB05_Rede_NÓ5.5</t>
  </si>
  <si>
    <t xml:space="preserve">Zona03_PB05_Rede_NÓ107.2</t>
  </si>
  <si>
    <t xml:space="preserve">B94D, B950</t>
  </si>
  <si>
    <t xml:space="preserve">Zona03_PB05_Rede_TR020</t>
  </si>
  <si>
    <t xml:space="preserve">TRECHO DE Zona03_PB05_Rede_NÓ20.1 A Zona03_PB05_Rede_NÓ5.2</t>
  </si>
  <si>
    <t xml:space="preserve">2C3DD, 2CD7E</t>
  </si>
  <si>
    <t xml:space="preserve">Zona03_PB05_Rede_TR021</t>
  </si>
  <si>
    <t xml:space="preserve">TRECHO DE Zona03_PB05_Rede_NÓ108.1 A Zona03_PB05_Rede_NÓ5.2</t>
  </si>
  <si>
    <t xml:space="preserve">Zona03_PB05_Rede_NÓ108.1</t>
  </si>
  <si>
    <t xml:space="preserve">ADB9</t>
  </si>
  <si>
    <t xml:space="preserve">Zona03_PB05_Rede_TR022</t>
  </si>
  <si>
    <t xml:space="preserve">TRECHO DE Zona03_PB05_Rede_NÓ8.1 A Zona03_PB05_Rede_NÓ56.1</t>
  </si>
  <si>
    <t xml:space="preserve">Zona03_PB05_Rede_NÓ56.1</t>
  </si>
  <si>
    <t xml:space="preserve">A67E</t>
  </si>
  <si>
    <t xml:space="preserve">Zona03_PB05_Rede_TR023</t>
  </si>
  <si>
    <t xml:space="preserve">TRECHO DE Zona03_PB08_Rede_NÓ62.1 A Zona03_PB06_Rede_NÓ107.1</t>
  </si>
  <si>
    <t xml:space="preserve">Zona03_PB08_Rede_NÓ62.1</t>
  </si>
  <si>
    <t xml:space="preserve">Zona03_PB06_Rede_NÓ107.1</t>
  </si>
  <si>
    <t xml:space="preserve">2C85C, B947, B94A</t>
  </si>
  <si>
    <t xml:space="preserve">Zona03_PB05_Rede_TR024</t>
  </si>
  <si>
    <t xml:space="preserve">TRECHO DE Zona03_PB05_Rede_NÓ113.1 A Zona03_PB05_Rede_NÓ5.4</t>
  </si>
  <si>
    <t xml:space="preserve">Zona03_PB05_Rede_NÓ113.1</t>
  </si>
  <si>
    <t xml:space="preserve">B929, B938, B93B</t>
  </si>
  <si>
    <t xml:space="preserve">Zona03_PB05_Rede_TR025</t>
  </si>
  <si>
    <t xml:space="preserve">TRECHO DE Zona03_PB05_Rede_NÓ108.1 A Zona03_PB05_Rede_NÓ113.1; INCLUI 0,42 M DE TUBO DESENHADO NO PRÓPRIO NÓ (NÓ113.1: anel de ponta/toco)</t>
  </si>
  <si>
    <t xml:space="preserve">A636</t>
  </si>
  <si>
    <t xml:space="preserve">Zona03_PB05_Rede_TR026</t>
  </si>
  <si>
    <t xml:space="preserve">TRECHO DE Zona03_PB05_Rede_NÓ108.1 A Zona03_PB05_Rede_NÓ8.1</t>
  </si>
  <si>
    <t xml:space="preserve">2C4FD, 2CBBD, 3FD18, B902, B90B, B90E</t>
  </si>
  <si>
    <t xml:space="preserve">Zona03_PB05_Rede_TR027</t>
  </si>
  <si>
    <t xml:space="preserve">CHÁCARA 43</t>
  </si>
  <si>
    <t xml:space="preserve">TRECHO DE Zona03_PB05_Rede_NÓ56.1 A Zona03_PB05_Rede_NÓ1.1</t>
  </si>
  <si>
    <t xml:space="preserve">Zona03_PB05_Rede_NÓ1.1</t>
  </si>
  <si>
    <t xml:space="preserve">B3B3</t>
  </si>
  <si>
    <t xml:space="preserve">Zona03_PB05_Rede_TR028</t>
  </si>
  <si>
    <t xml:space="preserve">TRECHO DE Zona03_PB05_Rede_NÓ5.4 A Zona03_PB05_Rede_NÓ6.1</t>
  </si>
  <si>
    <t xml:space="preserve">Zona03_PB05_Rede_NÓ6.1</t>
  </si>
  <si>
    <t xml:space="preserve">Zona03_PB05_Rede_TR029</t>
  </si>
  <si>
    <t xml:space="preserve">Q 19</t>
  </si>
  <si>
    <t xml:space="preserve">TRECHO DE Zona03_PB05_Rede_NÓ5.5 A Zona03_PB08_Rede_NÓ108.1</t>
  </si>
  <si>
    <t xml:space="preserve">Zona03_PB08_Rede_NÓ108.1</t>
  </si>
  <si>
    <t xml:space="preserve">6DC57, AE5B</t>
  </si>
  <si>
    <t xml:space="preserve">Zona03_PB06_Rede_TR001</t>
  </si>
  <si>
    <t xml:space="preserve">A.RED.SSB-D014.V03.T01.007/037</t>
  </si>
  <si>
    <t xml:space="preserve">TRECHO DE Zona03_PB06_Rede_DF-34 A Zona03_PB06_Rede_NÓ2.6</t>
  </si>
  <si>
    <t xml:space="preserve">PB06</t>
  </si>
  <si>
    <t xml:space="preserve">Zona03_PB06_Rede_DF-34</t>
  </si>
  <si>
    <t xml:space="preserve">Zona03_PB06_Rede_NÓ2.6</t>
  </si>
  <si>
    <t xml:space="preserve">6C782</t>
  </si>
  <si>
    <t xml:space="preserve">Zona03_PB06_Rede_TR002</t>
  </si>
  <si>
    <t xml:space="preserve">TRECHO DE PONTA SEM NÓ NA TABELA A Zona03_PB06_Rede_NÓ2.6</t>
  </si>
  <si>
    <t xml:space="preserve">2C8DF, 6C782, B977</t>
  </si>
  <si>
    <t xml:space="preserve">Zona03_PB06_Rede_TR003</t>
  </si>
  <si>
    <t xml:space="preserve">TRECHO DE Zona03_PB06_Rede_NÓ1.5 A Zona03_PB06_Rede_DF-34</t>
  </si>
  <si>
    <t xml:space="preserve">Zona03_PB06_Rede_NÓ1.5</t>
  </si>
  <si>
    <t xml:space="preserve">Zona03_PB06_Rede_TR004</t>
  </si>
  <si>
    <t xml:space="preserve">TRECHO DE Zona03_PB06_Rede_NÓ1.5 A Zona03_PB06_Rede_NÓ1.6</t>
  </si>
  <si>
    <t xml:space="preserve">Zona03_PB06_Rede_NÓ1.6</t>
  </si>
  <si>
    <t xml:space="preserve">6C3F8</t>
  </si>
  <si>
    <t xml:space="preserve">Zona03_PB06_Rede_TR005</t>
  </si>
  <si>
    <t xml:space="preserve">TRECHO DE Zona03_PB06_Rede_NÓ1.2 A Zona03_PB06_Rede_NÓ1.5</t>
  </si>
  <si>
    <t xml:space="preserve">Zona03_PB06_Rede_NÓ1.2</t>
  </si>
  <si>
    <t xml:space="preserve">2CB43, 2CB44, 6C3F8, A660</t>
  </si>
  <si>
    <t xml:space="preserve">Zona03_PB06_Rede_TR006</t>
  </si>
  <si>
    <t xml:space="preserve">TRECHO DE Zona03_PB06_Rede_NÓ20.1 A PONTA SEM NÓ NA TABELA</t>
  </si>
  <si>
    <t xml:space="preserve">2C8DF, B974, B977</t>
  </si>
  <si>
    <t xml:space="preserve">Zona03_PB06_Rede_TR007</t>
  </si>
  <si>
    <t xml:space="preserve">TRECHO DE Zona03_PB06_Rede_NÓ1.6 A Zona03_PB06_Rede_NÓ2.4</t>
  </si>
  <si>
    <t xml:space="preserve">Zona03_PB06_Rede_NÓ2.4</t>
  </si>
  <si>
    <t xml:space="preserve">6C3F7, AE6A</t>
  </si>
  <si>
    <t xml:space="preserve">Zona03_PB06_Rede_TR008</t>
  </si>
  <si>
    <t xml:space="preserve">TRECHO DE Zona03_PB06_Rede_NÓ1.6 A Zona03_PB06_Rede_NÓ2.7</t>
  </si>
  <si>
    <t xml:space="preserve">Zona03_PB06_Rede_NÓ2.7</t>
  </si>
  <si>
    <t xml:space="preserve">6C3F7</t>
  </si>
  <si>
    <t xml:space="preserve">Zona03_PB06_Rede_TR009</t>
  </si>
  <si>
    <t xml:space="preserve">TRECHO DE Zona03_PB06_Rede_NÓ1.2 A Zona03_PB06_Rede_NÓ1.3</t>
  </si>
  <si>
    <t xml:space="preserve">Zona03_PB06_Rede_NÓ1.3</t>
  </si>
  <si>
    <t xml:space="preserve">2CBD9, 2CD81</t>
  </si>
  <si>
    <t xml:space="preserve">Zona03_PB06_Rede_TR010</t>
  </si>
  <si>
    <t xml:space="preserve">TRECHO DE Zona03_PB06_Rede_NÓ2.4 A Zona03_PB06_Rede_NÓ2.5</t>
  </si>
  <si>
    <t xml:space="preserve">Zona03_PB06_Rede_NÓ2.5</t>
  </si>
  <si>
    <t xml:space="preserve">AE6A</t>
  </si>
  <si>
    <t xml:space="preserve">Zona03_PB06_Rede_TR011</t>
  </si>
  <si>
    <t xml:space="preserve">TRECHO DE Zona03_PB06_Rede_NÓ1.4 A Zona03_PB06_Rede_NÓ1.3</t>
  </si>
  <si>
    <t xml:space="preserve">Zona03_PB06_Rede_NÓ1.4</t>
  </si>
  <si>
    <t xml:space="preserve">AE34</t>
  </si>
  <si>
    <t xml:space="preserve">Zona03_PB06_Rede_TR012</t>
  </si>
  <si>
    <t xml:space="preserve">TRECHO DE Zona03_PB06_Rede_NÓ2.5 A Zona03_PB06_Rede_NÓ1.4</t>
  </si>
  <si>
    <t xml:space="preserve">Zona03_PB06_Rede_TR013</t>
  </si>
  <si>
    <t xml:space="preserve">TRECHO DE Zona03_PB06_Rede_NÓ1.2 A Zona03_PB05_Rede_NÓ20.2; INCLUI 0,93 M DE TUBO DESENHADO NO PRÓPRIO NÓ (NÓ1.2: anel de ponta/toco)</t>
  </si>
  <si>
    <t xml:space="preserve">2C3E1, 2C728, B965, B968</t>
  </si>
  <si>
    <t xml:space="preserve">Zona03_PB06_Rede_TR014</t>
  </si>
  <si>
    <t xml:space="preserve">TRECHO DE Zona03_PB06_Rede_NÓ1.3 A Zona03_PB05_Rede_NÓ107.2; INCLUI 0,42 M DE TUBO DESENHADO NO PRÓPRIO NÓ (NÓ107.2: anel de ponta/toco)</t>
  </si>
  <si>
    <t xml:space="preserve">2C3E0, 2CBDA, B95C, B95F</t>
  </si>
  <si>
    <t xml:space="preserve">Zona03_PB06_Rede_TR015</t>
  </si>
  <si>
    <t xml:space="preserve">TRECHO DE Zona03_PB06_Rede_NÓ2.7 A Zona03_PB06_Rede_NÓ20.2</t>
  </si>
  <si>
    <t xml:space="preserve">Zona03_PB06_Rede_NÓ20.2</t>
  </si>
  <si>
    <t xml:space="preserve">2C5D7, 6C3F7</t>
  </si>
  <si>
    <t xml:space="preserve">Zona03_PB06_Rede_TR016</t>
  </si>
  <si>
    <t xml:space="preserve">TRECHO DE Zona03_PB06_Rede_NÓ107.1 A Zona03_PB06_Rede_NÓ1.4</t>
  </si>
  <si>
    <t xml:space="preserve">2CBA0, 2CE52, B956</t>
  </si>
  <si>
    <t xml:space="preserve">Zona03_PB06_Rede_TR017</t>
  </si>
  <si>
    <t xml:space="preserve">TRECHO DE Zona03_PB05_Rede_NÓ107.2 A Zona03_PB06_Rede_NÓ107.1</t>
  </si>
  <si>
    <t xml:space="preserve">A765</t>
  </si>
  <si>
    <t xml:space="preserve">Zona03_PB06_Rede_TR018</t>
  </si>
  <si>
    <t xml:space="preserve">TRECHO DE Zona03_PB06_Rede_NÓ59.1 A Zona03_PB06_Rede_NÓ20.2</t>
  </si>
  <si>
    <t xml:space="preserve">Zona03_PB06_Rede_NÓ59.1</t>
  </si>
  <si>
    <t xml:space="preserve">B953</t>
  </si>
  <si>
    <t xml:space="preserve">Zona03_PB06_Rede_TR019</t>
  </si>
  <si>
    <t xml:space="preserve">TRECHO DE Zona03_PB06_Rede_NÓ2.3 A Zona03_PB06_Rede_NÓ59.1</t>
  </si>
  <si>
    <t xml:space="preserve">Zona03_PB06_Rede_NÓ2.3</t>
  </si>
  <si>
    <t xml:space="preserve">6C3F1</t>
  </si>
  <si>
    <t xml:space="preserve">Zona03_PB06_Rede_TR020</t>
  </si>
  <si>
    <t xml:space="preserve">TRECHO DE Zona03_PB06_Rede_NÓ2.3 A Zona03_PB09_Rede_NÓ107.1; INCLUI 0,50 M DE TUBO DESENHADO NO PRÓPRIO NÓ (NÓ2.3: anel de ponta/toco)</t>
  </si>
  <si>
    <t xml:space="preserve">Zona03_PB09_Rede_NÓ107.1</t>
  </si>
  <si>
    <t xml:space="preserve">3CA9D, 3CAA0, B45B</t>
  </si>
  <si>
    <t xml:space="preserve">Zona03_PB06_Rede_TR021</t>
  </si>
  <si>
    <t xml:space="preserve">TRECHO DE Zona03_PB08_Rede_NÓ62.2 A Zona03_PB06_Rede_NÓ59.1; INCLUI 0,32 M DE TUBO DESENHADO NO PRÓPRIO NÓ (nó: anel de ponta/toco)</t>
  </si>
  <si>
    <t xml:space="preserve">Zona03_PB08_Rede_NÓ62.2</t>
  </si>
  <si>
    <t xml:space="preserve">2CB9D, 2CBD8, B944, B953</t>
  </si>
  <si>
    <t xml:space="preserve">Zona03_PB07_Rede_TR001</t>
  </si>
  <si>
    <t xml:space="preserve">TRECHO DE DIVISA DE ZONA A Zona04_PB05_Rede_NÓ13.1; TRECHO DIVIDIDO NA DIVISA DE ZONA (TRECHO ORIGINAL ENTRE PONTOS DA REDE: 461,80 M)</t>
  </si>
  <si>
    <t xml:space="preserve">Zona04_PB05_Rede_NÓ13.1</t>
  </si>
  <si>
    <t xml:space="preserve">Zona03_PB07_Rede_TR002</t>
  </si>
  <si>
    <t xml:space="preserve">TRECHO DE Zona03_PB05_Rede_NÓ56.1 A Zona03_PB07_Rede_NÓ62.2</t>
  </si>
  <si>
    <t xml:space="preserve">Zona03_PB07_Rede_NÓ62.2</t>
  </si>
  <si>
    <t xml:space="preserve">B20C</t>
  </si>
  <si>
    <t xml:space="preserve">Zona03_PB07_Rede_TR003</t>
  </si>
  <si>
    <t xml:space="preserve">Zona03_PB07_Rede_TR004</t>
  </si>
  <si>
    <t xml:space="preserve">TRECHO DE Zona03_PB07_Rede_NÓ62.2 A Zona03_PB07_Rede_NÓ56.12</t>
  </si>
  <si>
    <t xml:space="preserve">Zona03_PB07_Rede_NÓ56.12</t>
  </si>
  <si>
    <t xml:space="preserve">B07D</t>
  </si>
  <si>
    <t xml:space="preserve">Zona03_PB07_Rede_TR005</t>
  </si>
  <si>
    <t xml:space="preserve">TRECHO DE Zona03_PB08_Rede_NÓ107.1 A Zona03_PB07_Rede_NÓ62.2</t>
  </si>
  <si>
    <t xml:space="preserve">Zona03_PB08_Rede_NÓ107.1</t>
  </si>
  <si>
    <t xml:space="preserve">B2DE</t>
  </si>
  <si>
    <t xml:space="preserve">Zona03_PB07_Rede_TR006</t>
  </si>
  <si>
    <t xml:space="preserve">Zona03_PB07_Rede_TR007</t>
  </si>
  <si>
    <t xml:space="preserve">TRECHO DE Zona03_PB07_Rede_NÓ56.12 A Zona03_PB07_Rede_NÓ1.17</t>
  </si>
  <si>
    <t xml:space="preserve">Zona03_PB07_Rede_NÓ1.17</t>
  </si>
  <si>
    <t xml:space="preserve">AE73</t>
  </si>
  <si>
    <t xml:space="preserve">Zona03_PB07_Rede_TR008</t>
  </si>
  <si>
    <t xml:space="preserve">TRECHO DE Zona03_PB07_Rede_NÓ56.12 A Zona03_PB07_Rede_NÓ72.1</t>
  </si>
  <si>
    <t xml:space="preserve">Zona03_PB07_Rede_NÓ72.1</t>
  </si>
  <si>
    <t xml:space="preserve">B07A</t>
  </si>
  <si>
    <t xml:space="preserve">Zona03_PB07_Rede_TR009</t>
  </si>
  <si>
    <t xml:space="preserve">TRECHO DE Zona03_PB07_Rede_NÓ1.17 A Zona03_PB08_Rede_NÓ54.1; INCLUI 3,84 M DE TUBO DESENHADO NO PRÓPRIO NÓ (NÓ54.1: anel de ponta/toco)</t>
  </si>
  <si>
    <t xml:space="preserve">Zona03_PB08_Rede_NÓ54.1</t>
  </si>
  <si>
    <t xml:space="preserve">B0BC</t>
  </si>
  <si>
    <t xml:space="preserve">Zona03_PB07_Rede_TR010</t>
  </si>
  <si>
    <t xml:space="preserve">TRECHO DE Zona03_PB07_Rede_NÓ1.17 A Zona03_PB07_Rede_NÓ56.14</t>
  </si>
  <si>
    <t xml:space="preserve">Zona03_PB07_Rede_NÓ56.14</t>
  </si>
  <si>
    <t xml:space="preserve">B0BF</t>
  </si>
  <si>
    <t xml:space="preserve">Zona03_PB07_Rede_TR011</t>
  </si>
  <si>
    <t xml:space="preserve">CHÁCARA 38</t>
  </si>
  <si>
    <t xml:space="preserve">TRECHO DE Zona03_PB07_Rede_NÓ56.14 A Zona03_PB07_Rede_NÓ72.1</t>
  </si>
  <si>
    <t xml:space="preserve">B1EE</t>
  </si>
  <si>
    <t xml:space="preserve">Zona03_PB07_Rede_TR012</t>
  </si>
  <si>
    <t xml:space="preserve">TRECHO DE Zona03_PB07_Rede_NÓ72.1 A Zona03_PB07_CH_VM-3.1</t>
  </si>
  <si>
    <t xml:space="preserve">Zona03_PB07_CH_VM-3.1</t>
  </si>
  <si>
    <t xml:space="preserve">B2C9</t>
  </si>
  <si>
    <t xml:space="preserve">Zona03_PB07_Rede_TR013</t>
  </si>
  <si>
    <t xml:space="preserve">TRECHO DE Zona03_PB07_CH_VM-3.1 A Zona03_PB07_Rede_NÓ12.1</t>
  </si>
  <si>
    <t xml:space="preserve">Zona03_PB07_Rede_NÓ12.1</t>
  </si>
  <si>
    <t xml:space="preserve">Zona03_PB07_Rede_TR014</t>
  </si>
  <si>
    <t xml:space="preserve">TRECHO DE Zona03_PB07_Rede_NÓ12.1 A Zona02_PB07_Rede_NÓ13.3</t>
  </si>
  <si>
    <t xml:space="preserve">Zona03_PB07_Rede_TR015</t>
  </si>
  <si>
    <t xml:space="preserve">TRECHO DE Zona03_PB07_Rede_NÓ12.1 A Zona03_PB07_Rede_NÓ85.1</t>
  </si>
  <si>
    <t xml:space="preserve">Zona03_PB07_Rede_NÓ85.1</t>
  </si>
  <si>
    <t xml:space="preserve">6E2D8</t>
  </si>
  <si>
    <t xml:space="preserve">Zona03_PB07_Rede_TR016</t>
  </si>
  <si>
    <t xml:space="preserve">TRECHO DE Zona03_PB07_Rede_NÓ104.1 A Zona03_PB07_Rede_NÓ54.14; INCLUI 2,44 M DE TUBO DESENHADO NO PRÓPRIO NÓ (NÓ104.1, NÓ54.14: anel de ponta/toco)</t>
  </si>
  <si>
    <t xml:space="preserve">Zona03_PB07_Rede_NÓ104.1</t>
  </si>
  <si>
    <t xml:space="preserve">Zona03_PB07_Rede_NÓ54.14</t>
  </si>
  <si>
    <t xml:space="preserve">2C927, A612</t>
  </si>
  <si>
    <t xml:space="preserve">Zona03_PB07_Rede_TR017</t>
  </si>
  <si>
    <t xml:space="preserve">TRECHO DE Zona03_PB07_Rede_NÓ85.1 A Zona03_PB07_CH_MV-03</t>
  </si>
  <si>
    <t xml:space="preserve">Zona03_PB07_CH_MV-03</t>
  </si>
  <si>
    <t xml:space="preserve">Zona03_PB07_Rede_TR018</t>
  </si>
  <si>
    <t xml:space="preserve">TRECHO DE Zona03_PB07_Rede_NÓ9.2 A Zona03_PB07_Rede_NÓ56.14; INCLUI 0,27 M DE TUBO DESENHADO NO PRÓPRIO NÓ (NÓ9.2: anel de ponta/toco)</t>
  </si>
  <si>
    <t xml:space="preserve">Zona03_PB07_Rede_NÓ9.2</t>
  </si>
  <si>
    <t xml:space="preserve">B1F1</t>
  </si>
  <si>
    <t xml:space="preserve">Zona03_PB07_Rede_TR019</t>
  </si>
  <si>
    <t xml:space="preserve">TRECHO DE Zona03_PB07_CH_MV-03 A Zona03_PB07_Rede_NÓ13.2</t>
  </si>
  <si>
    <t xml:space="preserve">Zona03_PB07_Rede_NÓ13.2</t>
  </si>
  <si>
    <t xml:space="preserve">Zona03_PB07_Rede_TR020</t>
  </si>
  <si>
    <t xml:space="preserve">TRECHO DE Zona03_PB07_Rede_NÓ13.2 A Zona02_PB07_Rede_NÓ13.1</t>
  </si>
  <si>
    <t xml:space="preserve">Zona03_PB07_Rede_TR021</t>
  </si>
  <si>
    <t xml:space="preserve">TRECHO DE Zona03_PB07_Rede_NÓ85.1 A Zona05_PB07_CH_VM-3.2; INCLUI 0,12 M DE TUBO DESENHADO NO PRÓPRIO NÓ (NÓ85.1: anel de ponta/toco)</t>
  </si>
  <si>
    <t xml:space="preserve">Zona05_PB07_CH_VM-3.2</t>
  </si>
  <si>
    <t xml:space="preserve">6CDC6</t>
  </si>
  <si>
    <t xml:space="preserve">Zona03_PB07_Rede_TR022</t>
  </si>
  <si>
    <t xml:space="preserve">TRECHO DE Zona05_PB07_CH_VM-3.2 A DIVISA DE ZONA; TRECHO DIVIDIDO NA DIVISA DE ZONA (TRECHO ORIGINAL ENTRE PONTOS DA REDE: 332,12 M)</t>
  </si>
  <si>
    <t xml:space="preserve">Zona03_PB07_Rede_TR023</t>
  </si>
  <si>
    <t xml:space="preserve">TRECHO DE Zona03_PB07_Rede_NÓ9.2 A Zona03_PB07_Rede_NÓ104.1</t>
  </si>
  <si>
    <t xml:space="preserve">A74A</t>
  </si>
  <si>
    <t xml:space="preserve">Zona03_PB08_Rede_TR001</t>
  </si>
  <si>
    <t xml:space="preserve">A.RED.SSB-D014.V03.T01.009/037</t>
  </si>
  <si>
    <t xml:space="preserve">CHÁCARA 33</t>
  </si>
  <si>
    <t xml:space="preserve">TRECHO DE Zona03_PB08_CH_VRP-15 A Zona03_PB08_Rede_NÓ108.1; INCLUI 0,08 M DE TUBO DESENHADO NO PRÓPRIO NÓ (NÓ108.1: anel de ponta/toco)</t>
  </si>
  <si>
    <t xml:space="preserve">PB08</t>
  </si>
  <si>
    <t xml:space="preserve">Zona03_PB08_CH_VRP-15</t>
  </si>
  <si>
    <t xml:space="preserve">Zona03_PB08_Rede_TR002</t>
  </si>
  <si>
    <t xml:space="preserve">TRECHO DE Zona03_PB08_Rede_NÓ108.1 A Zona03_PB08_Rede_NÓ62.1</t>
  </si>
  <si>
    <t xml:space="preserve">6CE1F</t>
  </si>
  <si>
    <t xml:space="preserve">Zona03_PB08_Rede_TR003</t>
  </si>
  <si>
    <t xml:space="preserve">TRECHO DE Zona03_PB05_Rede_NÓ113.1 A Zona03_PB08_Rede_NÓ113.1</t>
  </si>
  <si>
    <t xml:space="preserve">Zona03_PB08_Rede_NÓ113.1</t>
  </si>
  <si>
    <t xml:space="preserve">2CBD2, ADB6</t>
  </si>
  <si>
    <t xml:space="preserve">Zona03_PB08_Rede_TR004</t>
  </si>
  <si>
    <t xml:space="preserve">TRECHO DE Zona03_PB08_Rede_NÓ113.1 A Zona03_PB05_Rede_NÓ6.1</t>
  </si>
  <si>
    <t xml:space="preserve">6E15D</t>
  </si>
  <si>
    <t xml:space="preserve">Zona03_PB08_Rede_TR005</t>
  </si>
  <si>
    <t xml:space="preserve">TRECHO DE Zona03_PB08_Rede_NÓ54.6 A Zona03_PB05_Rede_NÓ1.1; INCLUI 3,97 M DE TUBO DESENHADO NO PRÓPRIO NÓ (NÓ54.6: anel de ponta/toco)</t>
  </si>
  <si>
    <t xml:space="preserve">Zona03_PB08_Rede_NÓ54.6</t>
  </si>
  <si>
    <t xml:space="preserve">2CBBC, B8FF, B905, B908</t>
  </si>
  <si>
    <t xml:space="preserve">Zona03_PB08_Rede_TR006</t>
  </si>
  <si>
    <t xml:space="preserve">TRECHO DE Zona03_PB08_Rede_NÓ113.1 A Zona03_PB08_CH_VRP-15; INCLUI 1,62 M DE TUBO DESENHADO NO PRÓPRIO NÓ (NÓ113.1: anel de ponta/toco)</t>
  </si>
  <si>
    <t xml:space="preserve">Zona03_PB08_Rede_TR007</t>
  </si>
  <si>
    <t xml:space="preserve">TRECHO DE Zona03_PB08_Rede_NÓ9.1 A Zona03_PB08_Rede_NÓ113.1</t>
  </si>
  <si>
    <t xml:space="preserve">Zona03_PB08_Rede_NÓ9.1</t>
  </si>
  <si>
    <t xml:space="preserve">Zona03_PB08_Rede_TR008</t>
  </si>
  <si>
    <t xml:space="preserve">TRECHO DE Zona03_PB08_Rede_NÓ110.1 A Zona03_PB05_Rede_NÓ1.1</t>
  </si>
  <si>
    <t xml:space="preserve">Zona03_PB08_Rede_NÓ110.1</t>
  </si>
  <si>
    <t xml:space="preserve">B305</t>
  </si>
  <si>
    <t xml:space="preserve">Zona03_PB08_Rede_TR009</t>
  </si>
  <si>
    <t xml:space="preserve">TRECHO DE Zona03_PB08_Rede_NÓ62.1 A Zona03_PB08_Rede_NÓ62.2</t>
  </si>
  <si>
    <t xml:space="preserve">BA55</t>
  </si>
  <si>
    <t xml:space="preserve">Zona03_PB08_Rede_TR010</t>
  </si>
  <si>
    <t xml:space="preserve">TRECHO DE Zona03_PB08_Rede_NÓ27.1 A Zona03_PB09_Rede_NÓ59.1; INCLUI 2,05 M DE TUBO DESENHADO NO PRÓPRIO NÓ (NÓ27.1, NÓ59.1: anel de ponta/toco)</t>
  </si>
  <si>
    <t xml:space="preserve">Zona03_PB08_Rede_NÓ27.1</t>
  </si>
  <si>
    <t xml:space="preserve">Zona03_PB09_Rede_NÓ59.1</t>
  </si>
  <si>
    <t xml:space="preserve">BA58, BA5B</t>
  </si>
  <si>
    <t xml:space="preserve">Zona03_PB08_Rede_TR011</t>
  </si>
  <si>
    <t xml:space="preserve">CHÁCARA 37</t>
  </si>
  <si>
    <t xml:space="preserve">TRECHO DE Zona03_PB08_Rede_NÓ104.1 A Zona03_PB08_Rede_NÓ113.1</t>
  </si>
  <si>
    <t xml:space="preserve">Zona03_PB08_Rede_NÓ104.1</t>
  </si>
  <si>
    <t xml:space="preserve">6CDD7</t>
  </si>
  <si>
    <t xml:space="preserve">Zona03_PB08_Rede_TR012</t>
  </si>
  <si>
    <t xml:space="preserve">TRECHO DE Zona03_PB08_Rede_NÓ1.5 A Zona03_PB08_Rede_NÓ54.7; INCLUI 4,00 M DE TUBO DESENHADO NO PRÓPRIO NÓ (NÓ54.7: anel de ponta/toco)</t>
  </si>
  <si>
    <t xml:space="preserve">Zona03_PB08_Rede_NÓ1.5</t>
  </si>
  <si>
    <t xml:space="preserve">Zona03_PB08_Rede_NÓ54.7</t>
  </si>
  <si>
    <t xml:space="preserve">3C75D, 3C75E, B3F5</t>
  </si>
  <si>
    <t xml:space="preserve">Zona03_PB08_Rede_TR013</t>
  </si>
  <si>
    <t xml:space="preserve">TRECHO DE Zona03_PB08_Rede_NÓ62.2 A Zona03_PB08_Rede_NÓ27.1</t>
  </si>
  <si>
    <t xml:space="preserve">Zona03_PB08_Rede_TR014</t>
  </si>
  <si>
    <t xml:space="preserve">TRECHO DE Zona03_PB08_Rede_NÓ104.1 A Zona03_PB08_Rede_NÓ1.5; INCLUI 0,95 M DE TUBO DESENHADO NO PRÓPRIO NÓ (NÓ104.1: anel de ponta/toco)</t>
  </si>
  <si>
    <t xml:space="preserve">B06B</t>
  </si>
  <si>
    <t xml:space="preserve">Zona03_PB08_Rede_TR015</t>
  </si>
  <si>
    <t xml:space="preserve">TRECHO DE Zona03_PB08_Rede_NÓ110.1 A Zona03_PB08_Rede_NÓ54.4; INCLUI 3,99 M DE TUBO DESENHADO NO PRÓPRIO NÓ (NÓ54.4: anel de ponta/toco)</t>
  </si>
  <si>
    <t xml:space="preserve">Zona03_PB08_Rede_NÓ54.4</t>
  </si>
  <si>
    <t xml:space="preserve">B0B6</t>
  </si>
  <si>
    <t xml:space="preserve">Zona03_PB08_Rede_TR016</t>
  </si>
  <si>
    <t xml:space="preserve">CHÁCARA 45A</t>
  </si>
  <si>
    <t xml:space="preserve">TRECHO DE Zona03_PB08_Rede_NÓ56.2 A Zona03_PB08_Rede_NÓ104.1</t>
  </si>
  <si>
    <t xml:space="preserve">Zona03_PB08_Rede_NÓ56.2</t>
  </si>
  <si>
    <t xml:space="preserve">6CDD5</t>
  </si>
  <si>
    <t xml:space="preserve">Zona03_PB08_Rede_TR017</t>
  </si>
  <si>
    <t xml:space="preserve">TRECHO DE Zona03_PB08_Rede_NÓ110.1 A Zona03_PB08_Rede_NÓ107.1</t>
  </si>
  <si>
    <t xml:space="preserve">B2E4</t>
  </si>
  <si>
    <t xml:space="preserve">Zona03_PB08_Rede_TR018</t>
  </si>
  <si>
    <t xml:space="preserve">TRECHO DE Zona03_PB08_Rede_NÓ107.1 A Zona03_PB08_Rede_NÓ1.1</t>
  </si>
  <si>
    <t xml:space="preserve">Zona03_PB08_Rede_NÓ1.1</t>
  </si>
  <si>
    <t xml:space="preserve">ACF0</t>
  </si>
  <si>
    <t xml:space="preserve">Zona03_PB08_Rede_TR019</t>
  </si>
  <si>
    <t xml:space="preserve">TRECHO DE Zona03_PB08_Rede_NÓ1.9 A Zona03_PB08_Rede_NÓ54.8; INCLUI 4,04 M DE TUBO DESENHADO NO PRÓPRIO NÓ (NÓ54.8: anel de ponta/toco)</t>
  </si>
  <si>
    <t xml:space="preserve">Zona03_PB08_Rede_NÓ1.9</t>
  </si>
  <si>
    <t xml:space="preserve">Zona03_PB08_Rede_NÓ54.8</t>
  </si>
  <si>
    <t xml:space="preserve">A72F</t>
  </si>
  <si>
    <t xml:space="preserve">Zona03_PB08_Rede_TR020</t>
  </si>
  <si>
    <t xml:space="preserve">TRECHO DE Zona03_PB08_Rede_NÓ6.1 A Zona03_PB08_Rede_NÓ9.1</t>
  </si>
  <si>
    <t xml:space="preserve">Zona03_PB08_Rede_NÓ6.1</t>
  </si>
  <si>
    <t xml:space="preserve">Zona03_PB08_Rede_TR021</t>
  </si>
  <si>
    <t xml:space="preserve">TRECHO DE Zona03_PB08_Rede_NÓ1.6 A Zona03_PB08_Rede_NÓ1.5</t>
  </si>
  <si>
    <t xml:space="preserve">Zona03_PB08_Rede_NÓ1.6</t>
  </si>
  <si>
    <t xml:space="preserve">B8B7, B8BA</t>
  </si>
  <si>
    <t xml:space="preserve">Zona03_PB08_Rede_TR022</t>
  </si>
  <si>
    <t xml:space="preserve">TRECHO DE Zona03_PB08_Rede_NÓ1.1 A Zona03_PB08_Rede_NÓ54.2; INCLUI 4,06 M DE TUBO DESENHADO NO PRÓPRIO NÓ (NÓ54.2: anel de ponta/toco)</t>
  </si>
  <si>
    <t xml:space="preserve">Zona03_PB08_Rede_NÓ54.2</t>
  </si>
  <si>
    <t xml:space="preserve">B302</t>
  </si>
  <si>
    <t xml:space="preserve">Zona03_PB08_Rede_TR023</t>
  </si>
  <si>
    <t xml:space="preserve">TRECHO DE Zona03_PB08_Rede_NÓ54.10 A Zona03_PB08_Rede_NÓ1.9; INCLUI 3,87 M DE TUBO DESENHADO NO PRÓPRIO NÓ (NÓ54.10: anel de ponta/toco)</t>
  </si>
  <si>
    <t xml:space="preserve">Zona03_PB08_Rede_NÓ54.10</t>
  </si>
  <si>
    <t xml:space="preserve">2C950</t>
  </si>
  <si>
    <t xml:space="preserve">Zona03_PB08_Rede_TR024</t>
  </si>
  <si>
    <t xml:space="preserve">CHÁCARA 37S/N</t>
  </si>
  <si>
    <t xml:space="preserve">TRECHO DE Zona03_PB08_Rede_NÓ56.1 A Zona03_PB08_Rede_NÓ56.2; INCLUI 0,10 M DE TUBO DESENHADO NO PRÓPRIO NÓ (NÓ56.2: anel de ponta/toco)</t>
  </si>
  <si>
    <t xml:space="preserve">Zona03_PB08_Rede_NÓ56.1</t>
  </si>
  <si>
    <t xml:space="preserve">Zona03_PB08_Rede_TR025</t>
  </si>
  <si>
    <t xml:space="preserve">TRECHO DE Zona03_PB08_Rede_NÓ1.1 A Zona03_PB08_Rede_NÓ54.3; INCLUI 4,00 M DE TUBO DESENHADO NO PRÓPRIO NÓ (NÓ54.3: anel de ponta/toco)</t>
  </si>
  <si>
    <t xml:space="preserve">Zona03_PB08_Rede_NÓ54.3</t>
  </si>
  <si>
    <t xml:space="preserve">B221</t>
  </si>
  <si>
    <t xml:space="preserve">Zona03_PB08_Rede_TR026</t>
  </si>
  <si>
    <t xml:space="preserve">TRECHO DE Zona03_PB08_Rede_NÓ56.1 A Zona03_PB08_Rede_NÓ56.2; INCLUI 0,47 M DE TUBO DESENHADO NO PRÓPRIO NÓ (NÓ56.2: anel de ponta/toco)</t>
  </si>
  <si>
    <t xml:space="preserve">B89F, B8B1, B8B4</t>
  </si>
  <si>
    <t xml:space="preserve">Zona03_PB08_Rede_TR027</t>
  </si>
  <si>
    <t xml:space="preserve">TRECHO DE Zona03_PB08_Rede_NÓ2.2 A Zona03_PB08_Rede_NÓ1.6</t>
  </si>
  <si>
    <t xml:space="preserve">Zona03_PB08_Rede_NÓ2.2</t>
  </si>
  <si>
    <t xml:space="preserve">B8A5</t>
  </si>
  <si>
    <t xml:space="preserve">Zona03_PB08_Rede_TR028</t>
  </si>
  <si>
    <t xml:space="preserve">TRECHO DE Zona03_PB08_Rede_NÓ1.6 A Zona03_PB08_Rede_NÓ2.4</t>
  </si>
  <si>
    <t xml:space="preserve">Zona03_PB08_Rede_NÓ2.4</t>
  </si>
  <si>
    <t xml:space="preserve">B8BD</t>
  </si>
  <si>
    <t xml:space="preserve">Zona03_PB08_Rede_TR029</t>
  </si>
  <si>
    <t xml:space="preserve">TRECHO DE Zona03_PB08_Rede_NÓ56.3 A Zona03_PB08_Rede_NÓ1.9</t>
  </si>
  <si>
    <t xml:space="preserve">Zona03_PB08_Rede_NÓ56.3</t>
  </si>
  <si>
    <t xml:space="preserve">2C5B3, 2C5B4, B8C3, B8C6, B8C9</t>
  </si>
  <si>
    <t xml:space="preserve">Zona03_PB08_Rede_TR030</t>
  </si>
  <si>
    <t xml:space="preserve">TRECHO DE Zona03_PB08_Rede_NÓ2.3 A Zona03_PB08_Rede_NÓ2.2</t>
  </si>
  <si>
    <t xml:space="preserve">Zona03_PB08_Rede_NÓ2.3</t>
  </si>
  <si>
    <t xml:space="preserve">B8A2, B8A5</t>
  </si>
  <si>
    <t xml:space="preserve">Zona03_PB08_Rede_TR031</t>
  </si>
  <si>
    <t xml:space="preserve">TRECHO DE Zona03_PB08_Rede_NÓ2.4 A Zona03_PB08_Rede_NÓ58.1</t>
  </si>
  <si>
    <t xml:space="preserve">Zona03_PB08_Rede_NÓ58.1</t>
  </si>
  <si>
    <t xml:space="preserve">2C5B2, B8BD, B8C0</t>
  </si>
  <si>
    <t xml:space="preserve">Zona03_PB08_Rede_TR032</t>
  </si>
  <si>
    <t xml:space="preserve">CHÁCARA 21</t>
  </si>
  <si>
    <t xml:space="preserve">TRECHO DE Zona03_PB08_CH_VM-5.4 A Zona03_PB08_Rede_NÓ54.11; INCLUI 4,05 M DE TUBO DESENHADO NO PRÓPRIO NÓ (NÓ54.11, VM-5.4: anel de ponta/toco)</t>
  </si>
  <si>
    <t xml:space="preserve">Zona03_PB08_CH_VM-5.4</t>
  </si>
  <si>
    <t xml:space="preserve">Zona03_PB08_Rede_NÓ54.11</t>
  </si>
  <si>
    <t xml:space="preserve">B8CC, B8CF</t>
  </si>
  <si>
    <t xml:space="preserve">Zona03_PB08_Rede_TR033</t>
  </si>
  <si>
    <t xml:space="preserve">TRECHO DE Zona03_PB08_Rede_NÓ58.1 A Zona03_PB08_Rede_NÓ2.3</t>
  </si>
  <si>
    <t xml:space="preserve">B8A2</t>
  </si>
  <si>
    <t xml:space="preserve">Zona03_PB08_Rede_TR034</t>
  </si>
  <si>
    <t xml:space="preserve">TRECHO DE Zona03_PB08_Rede_NÓ56.1 A Zona03_PB08_Rede_NÓ8.1</t>
  </si>
  <si>
    <t xml:space="preserve">Zona03_PB08_Rede_NÓ8.1</t>
  </si>
  <si>
    <t xml:space="preserve">B068</t>
  </si>
  <si>
    <t xml:space="preserve">Zona03_PB08_Rede_TR035</t>
  </si>
  <si>
    <t xml:space="preserve">TRECHO DE Zona03_PB08_Rede_NÓ8.1 A Zona03_PB07_Rede_NÓ104.1</t>
  </si>
  <si>
    <t xml:space="preserve">B896, B899, B89C</t>
  </si>
  <si>
    <t xml:space="preserve">Zona03_PB08_Rede_TR036</t>
  </si>
  <si>
    <t xml:space="preserve">TRECHO DE DIVISA DE ZONA A Zona03_PB08_Rede_NÓ6.1; TRECHO DIVIDIDO NA DIVISA DE ZONA (TRECHO ORIGINAL ENTRE PONTOS DA REDE: 332,12 M)</t>
  </si>
  <si>
    <t xml:space="preserve">Zona03_PB08_Rede_TR037</t>
  </si>
  <si>
    <t xml:space="preserve">TRECHO DE Zona03_PB08_Rede_NÓ60.1 A Zona03_PB08_Rede_NÓ58.1</t>
  </si>
  <si>
    <t xml:space="preserve">Zona03_PB08_Rede_NÓ60.1</t>
  </si>
  <si>
    <t xml:space="preserve">B389</t>
  </si>
  <si>
    <t xml:space="preserve">Zona03_PB08_Rede_TR038</t>
  </si>
  <si>
    <t xml:space="preserve">TRECHO DE Zona03_PB08_Rede_NÓ60.1 A Zona03_PB08_Rede_NÓ8.1</t>
  </si>
  <si>
    <t xml:space="preserve">B200</t>
  </si>
  <si>
    <t xml:space="preserve">Zona03_PB08_Rede_TR039</t>
  </si>
  <si>
    <t xml:space="preserve">TRECHO DE Zona03_PB08_Rede_NÓ56.3 A Zona03_PB08_Rede_NÓ60.1</t>
  </si>
  <si>
    <t xml:space="preserve">B203</t>
  </si>
  <si>
    <t xml:space="preserve">Zona03_PB08_Rede_TR040</t>
  </si>
  <si>
    <t xml:space="preserve">TRECHO DE Zona03_PB08_CH_VM-5.4 A Zona03_PB08_Rede_NÓ56.3; INCLUI 0,03 M DE TUBO DESENHADO NO PRÓPRIO NÓ (nó: anel de ponta/toco)</t>
  </si>
  <si>
    <t xml:space="preserve">B3A4</t>
  </si>
  <si>
    <t xml:space="preserve">Zona03_PB08_Rede_TR041</t>
  </si>
  <si>
    <t xml:space="preserve">TRECHO DE DIVISA DE ZONA A Zona03_PB08_CH_VM-5.4; TRECHO DIVIDIDO NA DIVISA DE ZONA (TRECHO ORIGINAL ENTRE PONTOS DA REDE: 43,98 M)</t>
  </si>
  <si>
    <t xml:space="preserve">BB33</t>
  </si>
  <si>
    <t xml:space="preserve">Zona03_PB09_Rede_TR001</t>
  </si>
  <si>
    <t xml:space="preserve">A.RED.SSB-D014.V03.T01.010/037</t>
  </si>
  <si>
    <t xml:space="preserve">TRECHO DE Zona03_PB09_Rede_NÓ107.1 A Zona03_PB09_Rede_NÓ59.1</t>
  </si>
  <si>
    <t xml:space="preserve">PB09</t>
  </si>
  <si>
    <t xml:space="preserve">3DD1B, B440</t>
  </si>
  <si>
    <t xml:space="preserve">Zona03_PB09_Rede_TR002</t>
  </si>
  <si>
    <t xml:space="preserve">TRECHO DE Zona03_PB09_Rede_NÓ20.1 A Zona03_PB09_Rede_NÓ107.1</t>
  </si>
  <si>
    <t xml:space="preserve">Zona03_PB09_Rede_NÓ20.1</t>
  </si>
  <si>
    <t xml:space="preserve">2C5D4, B8F9, B8FC</t>
  </si>
  <si>
    <t xml:space="preserve">Zona03_PB09_Rede_TR003</t>
  </si>
  <si>
    <t xml:space="preserve">TRECHO DE Zona03_PB09_Rede_NÓ54.3 A Zona03_PB09_Rede_NÓ59.1; INCLUI 4,00 M DE TUBO DESENHADO NO PRÓPRIO NÓ (NÓ54.3: anel de ponta/toco)</t>
  </si>
  <si>
    <t xml:space="preserve">Zona03_PB09_Rede_NÓ54.3</t>
  </si>
  <si>
    <t xml:space="preserve">2C5D3, 2C79A, 2CE4C, B8ED, B8F0</t>
  </si>
  <si>
    <t xml:space="preserve">Zona03_PB09_Rede_TR004</t>
  </si>
  <si>
    <t xml:space="preserve">TRECHO DE Zona03_PB09_Rede_NÓ54.1 A Zona03_PB09_Rede_NÓ20.1; INCLUI 4,02 M DE TUBO DESENHADO NO PRÓPRIO NÓ (NÓ54.1: anel de ponta/toco)</t>
  </si>
  <si>
    <t xml:space="preserve">Zona03_PB09_Rede_NÓ54.1</t>
  </si>
  <si>
    <t xml:space="preserve">B8F6</t>
  </si>
  <si>
    <t xml:space="preserve">Zona04</t>
  </si>
  <si>
    <t xml:space="preserve">Zona04_PB01_Rede_TR001</t>
  </si>
  <si>
    <t xml:space="preserve">TRECHO DE Zona01_PB01_Rede_NÓ1.11 A Zona04_PB01_Rede_NÓ74.1</t>
  </si>
  <si>
    <t xml:space="preserve">EQUIPE ZONA 04</t>
  </si>
  <si>
    <t xml:space="preserve">Zona04_PB01_Rede_NÓ74.1</t>
  </si>
  <si>
    <t xml:space="preserve">B4EB, B4EE</t>
  </si>
  <si>
    <t xml:space="preserve">Zona04_PB01_Rede_TR002</t>
  </si>
  <si>
    <t xml:space="preserve">CHÁCARA 5</t>
  </si>
  <si>
    <t xml:space="preserve">TRECHO DE Zona04_PB01_Rede_NÓ74.1 A Zona04_PB01_Rede_NÓ56.2</t>
  </si>
  <si>
    <t xml:space="preserve">Zona04_PB01_Rede_NÓ56.2</t>
  </si>
  <si>
    <t xml:space="preserve">AE31</t>
  </si>
  <si>
    <t xml:space="preserve">Zona04_PB01_Rede_TR003</t>
  </si>
  <si>
    <t xml:space="preserve">TRECHO DE Zona04_PB01_Rede_NÓ74.1 A Zona04_PB01_Rede_DF-40; INCLUI 0,28 M DE TUBO DESENHADO NO PRÓPRIO NÓ (DF-40: anel de ponta/toco)</t>
  </si>
  <si>
    <t xml:space="preserve">Zona04_PB01_Rede_DF-40</t>
  </si>
  <si>
    <t xml:space="preserve">B4F7, B4FA</t>
  </si>
  <si>
    <t xml:space="preserve">Zona04_PB01_Rede_TR004</t>
  </si>
  <si>
    <t xml:space="preserve">TRECHO DE Zona04_PB01_Rede_NÓ1.10 A Zona04_PB01_Rede_NÓ56.2; INCLUI 0,51 M DE TUBO DESENHADO NO PRÓPRIO NÓ (NÓ56.2: anel de ponta/toco)</t>
  </si>
  <si>
    <t xml:space="preserve">Zona04_PB01_Rede_NÓ1.10</t>
  </si>
  <si>
    <t xml:space="preserve">A75C</t>
  </si>
  <si>
    <t xml:space="preserve">Zona04_PB01_Rede_TR005</t>
  </si>
  <si>
    <t xml:space="preserve">TRECHO DE Zona04_PB01_Rede_NÓ2.9 A Zona04_PB01_Rede_NÓ1.10</t>
  </si>
  <si>
    <t xml:space="preserve">Zona04_PB01_Rede_NÓ2.9</t>
  </si>
  <si>
    <t xml:space="preserve">2CD8B, B9CE</t>
  </si>
  <si>
    <t xml:space="preserve">Zona04_PB01_Rede_TR006</t>
  </si>
  <si>
    <t xml:space="preserve">CHÁCARA 7A</t>
  </si>
  <si>
    <t xml:space="preserve">TRECHO DE Zona04_PB01_Rede_NÓ54.5 A Zona04_PB01_Rede_NÓ1.10; INCLUI 4,00 M DE TUBO DESENHADO NO PRÓPRIO NÓ (NÓ54.5: anel de ponta/toco)</t>
  </si>
  <si>
    <t xml:space="preserve">Zona04_PB01_Rede_NÓ54.5</t>
  </si>
  <si>
    <t xml:space="preserve">A5FA</t>
  </si>
  <si>
    <t xml:space="preserve">Zona04_PB01_Rede_TR007</t>
  </si>
  <si>
    <t xml:space="preserve">TRECHO DE Zona04_PB01_Rede_NÓ2.9 A Zona04_PB01_Rede_NÓ2.8</t>
  </si>
  <si>
    <t xml:space="preserve">Zona04_PB01_Rede_NÓ2.8</t>
  </si>
  <si>
    <t xml:space="preserve">2C3C1</t>
  </si>
  <si>
    <t xml:space="preserve">Zona04_PB01_Rede_TR008</t>
  </si>
  <si>
    <t xml:space="preserve">TRECHO DE Zona04_PB01_Rede_NÓ2.8 A Zona04_PB01_Rede_DF-39; INCLUI 0,22 M DE TUBO DESENHADO NO PRÓPRIO NÓ (DF-39: anel de ponta/toco)</t>
  </si>
  <si>
    <t xml:space="preserve">Zona04_PB01_Rede_DF-39</t>
  </si>
  <si>
    <t xml:space="preserve">Zona04_PB02_Rede_TR001</t>
  </si>
  <si>
    <t xml:space="preserve">TRECHO DE Zona04_PB01_Rede_NÓ56.2 A Zona04_PB02_Rede_NÓ60.3</t>
  </si>
  <si>
    <t xml:space="preserve">Zona04_PB02_Rede_NÓ60.3</t>
  </si>
  <si>
    <t xml:space="preserve">B20F</t>
  </si>
  <si>
    <t xml:space="preserve">Zona04_PB02_Rede_TR002</t>
  </si>
  <si>
    <t xml:space="preserve">TRECHO DE Zona04_PB02_Rede_NÓ60.3 A Zona04_PB02_Rede_NÓ58.1; INCLUI 0,38 M DE TUBO DESENHADO NO PRÓPRIO NÓ (NÓ58.1: anel de ponta/toco)</t>
  </si>
  <si>
    <t xml:space="preserve">Zona04_PB02_Rede_NÓ58.1</t>
  </si>
  <si>
    <t xml:space="preserve">AD1A</t>
  </si>
  <si>
    <t xml:space="preserve">Zona04_PB02_Rede_TR003</t>
  </si>
  <si>
    <t xml:space="preserve">Q 7 CJ H</t>
  </si>
  <si>
    <t xml:space="preserve">TRECHO DE Zona04_PB02_Rede_NÓ58.1 A Zona04_PB02_Rede_NÓ58.2</t>
  </si>
  <si>
    <t xml:space="preserve">Zona04_PB02_Rede_NÓ58.2</t>
  </si>
  <si>
    <t xml:space="preserve">AED3</t>
  </si>
  <si>
    <t xml:space="preserve">Zona04_PB02_Rede_TR004</t>
  </si>
  <si>
    <t xml:space="preserve">CHÁCARA 7</t>
  </si>
  <si>
    <t xml:space="preserve">TRECHO DE Zona04_PB02_Rede_NÓ54.4 A Zona04_PB02_Rede_NÓ58.1; INCLUI 4,00 M DE TUBO DESENHADO NO PRÓPRIO NÓ (NÓ54.4: anel de ponta/toco)</t>
  </si>
  <si>
    <t xml:space="preserve">Zona04_PB02_Rede_NÓ54.4</t>
  </si>
  <si>
    <t xml:space="preserve">AED0</t>
  </si>
  <si>
    <t xml:space="preserve">Zona04_PB02_Rede_TR005</t>
  </si>
  <si>
    <t xml:space="preserve">TRECHO DE Zona04_PB02_Rede_NÓ60.3 A Zona04_PB02_Rede_NÓ60.2</t>
  </si>
  <si>
    <t xml:space="preserve">Zona04_PB02_Rede_NÓ60.2</t>
  </si>
  <si>
    <t xml:space="preserve">ACD5, B28A</t>
  </si>
  <si>
    <t xml:space="preserve">Zona04_PB02_Rede_TR006</t>
  </si>
  <si>
    <t xml:space="preserve">TRECHO DE Zona04_PB02_Rede_NÓ67.1 A Zona04_PB02_Rede_NÓ60.2; INCLUI 0,45 M DE TUBO DESENHADO NO PRÓPRIO NÓ (NÓ60.2: anel de ponta/toco)</t>
  </si>
  <si>
    <t xml:space="preserve">Zona04_PB02_Rede_NÓ67.1</t>
  </si>
  <si>
    <t xml:space="preserve">B0D7</t>
  </si>
  <si>
    <t xml:space="preserve">Zona04_PB02_Rede_TR007</t>
  </si>
  <si>
    <t xml:space="preserve">TRECHO DE Zona04_PB02_Rede_NÓ60.2 A Zona04_PB02_Rede_NÓ40.1; INCLUI 0,53 M DE TUBO DESENHADO NO PRÓPRIO NÓ (NÓ60.2: anel de ponta/toco)</t>
  </si>
  <si>
    <t xml:space="preserve">Zona04_PB02_Rede_NÓ40.1</t>
  </si>
  <si>
    <t xml:space="preserve">B08C</t>
  </si>
  <si>
    <t xml:space="preserve">Zona04_PB02_Rede_TR008</t>
  </si>
  <si>
    <t xml:space="preserve">CHÁCARA 27A</t>
  </si>
  <si>
    <t xml:space="preserve">TRECHO DE Zona04_PB02_Rede_NÓ61.1 A Zona04_PB02_Rede_NÓ67.1</t>
  </si>
  <si>
    <t xml:space="preserve">Zona04_PB02_Rede_NÓ61.1</t>
  </si>
  <si>
    <t xml:space="preserve">B2ED</t>
  </si>
  <si>
    <t xml:space="preserve">Zona04_PB02_Rede_TR009</t>
  </si>
  <si>
    <t xml:space="preserve">TRECHO DE Zona04_PB02_Rede_NÓ61.2 A Zona04_PB02_Rede_NÓ61.1</t>
  </si>
  <si>
    <t xml:space="preserve">Zona04_PB02_Rede_NÓ61.2</t>
  </si>
  <si>
    <t xml:space="preserve">AD08</t>
  </si>
  <si>
    <t xml:space="preserve">Zona04_PB02_Rede_TR010</t>
  </si>
  <si>
    <t xml:space="preserve">TRECHO DE Zona04_PB02_Rede_NÓ40.1 A Zona04_PB02_Rede_NÓ56.2</t>
  </si>
  <si>
    <t xml:space="preserve">Zona04_PB02_Rede_NÓ56.2</t>
  </si>
  <si>
    <t xml:space="preserve">Zona04_PB02_Rede_TR011</t>
  </si>
  <si>
    <t xml:space="preserve">TRECHO DE Zona04_PB02_Rede_NÓ61.3 A Zona04_PB02_Rede_NÓ61.2</t>
  </si>
  <si>
    <t xml:space="preserve">Zona04_PB02_Rede_NÓ61.3</t>
  </si>
  <si>
    <t xml:space="preserve">A71D</t>
  </si>
  <si>
    <t xml:space="preserve">Zona04_PB02_Rede_TR012</t>
  </si>
  <si>
    <t xml:space="preserve">TRECHO DE Zona04_PB02_Rede_NÓ61.2 A Zona04_PB02_Rede_NÓ54.3; INCLUI 4,00 M DE TUBO DESENHADO NO PRÓPRIO NÓ (NÓ54.3: anel de ponta/toco)</t>
  </si>
  <si>
    <t xml:space="preserve">Zona04_PB02_Rede_NÓ54.3</t>
  </si>
  <si>
    <t xml:space="preserve">ACF9</t>
  </si>
  <si>
    <t xml:space="preserve">Zona04_PB02_Rede_TR013</t>
  </si>
  <si>
    <t xml:space="preserve">TRECHO DE Zona04_PB02_Rede_NÓ61.4 A Zona04_PB02_Rede_NÓ61.3; INCLUI 0,13 M DE TUBO DESENHADO NO PRÓPRIO NÓ (NÓ61.3: anel de ponta/toco)</t>
  </si>
  <si>
    <t xml:space="preserve">Zona04_PB02_Rede_NÓ61.4</t>
  </si>
  <si>
    <t xml:space="preserve">AD0B</t>
  </si>
  <si>
    <t xml:space="preserve">Zona04_PB02_Rede_TR014</t>
  </si>
  <si>
    <t xml:space="preserve">TRECHO DE Zona04_PB02_Rede_NÓ56.2 A Zona04_PB02_Rede_NÓ56.1</t>
  </si>
  <si>
    <t xml:space="preserve">Zona04_PB02_Rede_NÓ56.1</t>
  </si>
  <si>
    <t xml:space="preserve">AE2E</t>
  </si>
  <si>
    <t xml:space="preserve">Zona04_PB02_Rede_TR015</t>
  </si>
  <si>
    <t xml:space="preserve">TRECHO DE Zona04_PB02_Rede_NÓ56.2 A Zona04_PB02_Rede_NÓ54.1; INCLUI 3,96 M DE TUBO DESENHADO NO PRÓPRIO NÓ (NÓ54.1: anel de ponta/toco)</t>
  </si>
  <si>
    <t xml:space="preserve">Zona04_PB02_Rede_NÓ54.1</t>
  </si>
  <si>
    <t xml:space="preserve">AE8B</t>
  </si>
  <si>
    <t xml:space="preserve">Zona04_PB02_Rede_TR016</t>
  </si>
  <si>
    <t xml:space="preserve">TRECHO DE Zona04_PB02_Rede_NÓ61.5 A Zona04_PB02_Rede_NÓ61.4</t>
  </si>
  <si>
    <t xml:space="preserve">Zona04_PB02_Rede_NÓ61.5</t>
  </si>
  <si>
    <t xml:space="preserve">A5D0</t>
  </si>
  <si>
    <t xml:space="preserve">Zona04_PB02_Rede_TR017</t>
  </si>
  <si>
    <t xml:space="preserve">TRECHO DE Zona04_PB02_Rede_NÓ61.4 A Zona04_PB02_Rede_NÓ1.15</t>
  </si>
  <si>
    <t xml:space="preserve">Zona04_PB02_Rede_NÓ1.15</t>
  </si>
  <si>
    <t xml:space="preserve">B0D1</t>
  </si>
  <si>
    <t xml:space="preserve">Zona04_PB02_Rede_TR018</t>
  </si>
  <si>
    <t xml:space="preserve">TRECHO DE Zona04_PB03_Rede_NÓ61.1 A Zona04_PB02_Rede_NÓ61.5; INCLUI 0,22 M DE TUBO DESENHADO NO PRÓPRIO NÓ (NÓ61.1: anel de ponta/toco)</t>
  </si>
  <si>
    <t xml:space="preserve">Zona04_PB03_Rede_NÓ61.1</t>
  </si>
  <si>
    <t xml:space="preserve">B0D4</t>
  </si>
  <si>
    <t xml:space="preserve">Zona04_PB02_Rede_TR019</t>
  </si>
  <si>
    <t xml:space="preserve">CHÁCARA 27</t>
  </si>
  <si>
    <t xml:space="preserve">TRECHO DE Zona04_PB02_Rede_NÓ56.1 A Zona04_PB02_CH_VM-4.2</t>
  </si>
  <si>
    <t xml:space="preserve">Zona04_PB02_CH_VM-4.2</t>
  </si>
  <si>
    <t xml:space="preserve">AE2B</t>
  </si>
  <si>
    <t xml:space="preserve">Zona04_PB02_Rede_TR020</t>
  </si>
  <si>
    <t xml:space="preserve">CHÁCARA 27B</t>
  </si>
  <si>
    <t xml:space="preserve">TRECHO DE Zona04_PB02_Rede_NÓ1.15 A Zona04_PB02_Rede_NÓ54.2; INCLUI 3,96 M DE TUBO DESENHADO NO PRÓPRIO NÓ (NÓ54.2: anel de ponta/toco)</t>
  </si>
  <si>
    <t xml:space="preserve">Zona04_PB02_Rede_NÓ54.2</t>
  </si>
  <si>
    <t xml:space="preserve">2CBE7, 2CD89, B3BC</t>
  </si>
  <si>
    <t xml:space="preserve">Zona04_PB02_Rede_TR021</t>
  </si>
  <si>
    <t xml:space="preserve">TRECHO DE Zona04_PB02_CH_VM-4.2 A Zona04_PB02_Rede_NÓ9.2</t>
  </si>
  <si>
    <t xml:space="preserve">Zona04_PB02_Rede_NÓ9.2</t>
  </si>
  <si>
    <t xml:space="preserve">Zona04_PB02_Rede_TR022</t>
  </si>
  <si>
    <t xml:space="preserve">TRECHO DE Zona04_PB02_Rede_NÓ9.1 A Zona04_PB02_Rede_NÓ9.2</t>
  </si>
  <si>
    <t xml:space="preserve">Zona04_PB02_Rede_NÓ9.1</t>
  </si>
  <si>
    <t xml:space="preserve">6C635</t>
  </si>
  <si>
    <t xml:space="preserve">Zona04_PB02_Rede_TR023</t>
  </si>
  <si>
    <t xml:space="preserve">TRECHO DE Zona04_PB05_Rede_NÓ54.7 A Zona04_PB02_Rede_NÓ1.15; INCLUI 4,04 M DE TUBO DESENHADO NO PRÓPRIO NÓ (NÓ54.7: anel de ponta/toco)</t>
  </si>
  <si>
    <t xml:space="preserve">Zona04_PB05_Rede_NÓ54.7</t>
  </si>
  <si>
    <t xml:space="preserve">A621</t>
  </si>
  <si>
    <t xml:space="preserve">Zona04_PB02_Rede_TR024</t>
  </si>
  <si>
    <t xml:space="preserve">TRECHO DE Zona04_PB02_Rede_NÓ56.1 A Zona04_PB05_Rede_NÓ54.5; INCLUI 4,04 M DE TUBO DESENHADO NO PRÓPRIO NÓ (NÓ54.5: anel de ponta/toco)</t>
  </si>
  <si>
    <t xml:space="preserve">Zona04_PB05_Rede_NÓ54.5</t>
  </si>
  <si>
    <t xml:space="preserve">B3FE</t>
  </si>
  <si>
    <t xml:space="preserve">Zona04_PB03_Rede_TR001</t>
  </si>
  <si>
    <t xml:space="preserve">A.RED.SSB-D014.V03.T01.004/037</t>
  </si>
  <si>
    <t xml:space="preserve">Q 7 CJ F</t>
  </si>
  <si>
    <t xml:space="preserve">TRECHO DE Zona04_PB03_Rede_NÓ106.1 A Zona04_PB03_Rede_NÓ54.4; INCLUI 6,52 M DE TUBO DESENHADO NO PRÓPRIO NÓ (NÓ54.4: anel de ponta/toco)</t>
  </si>
  <si>
    <t xml:space="preserve">PB03</t>
  </si>
  <si>
    <t xml:space="preserve">Zona04_PB03_Rede_NÓ106.1</t>
  </si>
  <si>
    <t xml:space="preserve">Zona04_PB03_Rede_NÓ54.4</t>
  </si>
  <si>
    <t xml:space="preserve">AEBB</t>
  </si>
  <si>
    <t xml:space="preserve">Zona04_PB03_Rede_TR002</t>
  </si>
  <si>
    <t xml:space="preserve">TRECHO DE Zona04_PB03_Rede_NÓ1.2 A Zona04_PB03_Rede_NÓ54.8; INCLUI 4,31 M DE TUBO DESENHADO NO PRÓPRIO NÓ (NÓ1.2, NÓ54.8: anel de ponta/toco)</t>
  </si>
  <si>
    <t xml:space="preserve">Zona04_PB03_Rede_NÓ1.2</t>
  </si>
  <si>
    <t xml:space="preserve">Zona04_PB03_Rede_NÓ54.8</t>
  </si>
  <si>
    <t xml:space="preserve">A6CC</t>
  </si>
  <si>
    <t xml:space="preserve">Zona04_PB03_Rede_TR003</t>
  </si>
  <si>
    <t xml:space="preserve">TRECHO DE Zona04_PB03_Rede_NÓ106.1 A Zona04_PB03_Rede_NÓ1.1</t>
  </si>
  <si>
    <t xml:space="preserve">Zona04_PB03_Rede_NÓ1.1</t>
  </si>
  <si>
    <t xml:space="preserve">AEB8</t>
  </si>
  <si>
    <t xml:space="preserve">Zona04_PB03_Rede_TR004</t>
  </si>
  <si>
    <t xml:space="preserve">TRECHO DE Zona04_PB02_Rede_NÓ58.2 A Zona04_PB03_Rede_NÓ54.1; INCLUI 5,13 M DE TUBO DESENHADO NO PRÓPRIO NÓ (NÓ54.1: anel de ponta/toco)</t>
  </si>
  <si>
    <t xml:space="preserve">Zona04_PB03_Rede_NÓ54.1</t>
  </si>
  <si>
    <t xml:space="preserve">Zona04_PB03_Rede_TR005</t>
  </si>
  <si>
    <t xml:space="preserve">TRECHO DE Zona04_PB03_Rede_NÓ1.2 A Zona04_PB03_Rede_DF-38</t>
  </si>
  <si>
    <t xml:space="preserve">Zona04_PB03_Rede_DF-38</t>
  </si>
  <si>
    <t xml:space="preserve">2F5F7, 2F5F8</t>
  </si>
  <si>
    <t xml:space="preserve">Zona04_PB03_Rede_TR006</t>
  </si>
  <si>
    <t xml:space="preserve">TRECHO DE Zona04_PB03_Rede_NÓ105.1 A Zona04_PB03_Rede_NÓ106.1</t>
  </si>
  <si>
    <t xml:space="preserve">Zona04_PB03_Rede_NÓ105.1</t>
  </si>
  <si>
    <t xml:space="preserve">B0EC</t>
  </si>
  <si>
    <t xml:space="preserve">Zona04_PB03_Rede_TR007</t>
  </si>
  <si>
    <t xml:space="preserve">TRECHO DE Zona04_PB03_Rede_NÓ57.1 A Zona04_PB03_Rede_NÓ54.3; INCLUI 4,00 M DE TUBO DESENHADO NO PRÓPRIO NÓ (NÓ54.3: anel de ponta/toco)</t>
  </si>
  <si>
    <t xml:space="preserve">Zona04_PB03_Rede_NÓ57.1</t>
  </si>
  <si>
    <t xml:space="preserve">Zona04_PB03_Rede_NÓ54.3</t>
  </si>
  <si>
    <t xml:space="preserve">AECD</t>
  </si>
  <si>
    <t xml:space="preserve">Zona04_PB03_Rede_TR008</t>
  </si>
  <si>
    <t xml:space="preserve">TRECHO DE Zona04_PB03_Rede_NÓ54.5 A Zona04_PB03_Rede_NÓ1.2; INCLUI 3,78 M DE TUBO DESENHADO NO PRÓPRIO NÓ (NÓ1.1, NÓ54.5: anel de ponta/toco)</t>
  </si>
  <si>
    <t xml:space="preserve">Zona04_PB03_Rede_NÓ54.5</t>
  </si>
  <si>
    <t xml:space="preserve">A77D</t>
  </si>
  <si>
    <t xml:space="preserve">Zona04_PB03_Rede_TR009</t>
  </si>
  <si>
    <t xml:space="preserve">TRECHO DE Zona04_PB02_Rede_NÓ58.2 A Zona04_PB03_Rede_NÓ57.1; INCLUI 0,37 M DE TUBO DESENHADO NO PRÓPRIO NÓ (NÓ58.2: anel de ponta/toco)</t>
  </si>
  <si>
    <t xml:space="preserve">AEB5</t>
  </si>
  <si>
    <t xml:space="preserve">Zona04_PB03_Rede_TR010</t>
  </si>
  <si>
    <t xml:space="preserve">TRECHO DE Zona04_PB03_Rede_NÓ57.1 A Zona04_PB03_Rede_NÓ3.1</t>
  </si>
  <si>
    <t xml:space="preserve">Zona04_PB03_Rede_NÓ3.1</t>
  </si>
  <si>
    <t xml:space="preserve">Zona04_PB03_Rede_TR011</t>
  </si>
  <si>
    <t xml:space="preserve">TRECHO DE Zona04_PB03_Rede_NÓ3.1 A Zona04_PB03_Rede_NÓ105.1</t>
  </si>
  <si>
    <t xml:space="preserve">AEB2</t>
  </si>
  <si>
    <t xml:space="preserve">Zona04_PB03_Rede_TR012</t>
  </si>
  <si>
    <t xml:space="preserve">TRECHO DE Zona04_PB03_Rede_NÓ1.3 A Zona04_PB03_Rede_DF-37</t>
  </si>
  <si>
    <t xml:space="preserve">Zona04_PB03_Rede_NÓ1.3</t>
  </si>
  <si>
    <t xml:space="preserve">Zona04_PB03_Rede_DF-37</t>
  </si>
  <si>
    <t xml:space="preserve">6C3C8</t>
  </si>
  <si>
    <t xml:space="preserve">Zona04_PB03_Rede_TR013</t>
  </si>
  <si>
    <t xml:space="preserve">TRECHO DE PONTA SEM NÓ NA TABELA A Zona04_PB03_Rede_NÓ1.3</t>
  </si>
  <si>
    <t xml:space="preserve">Zona04_PB03_Rede_TR014</t>
  </si>
  <si>
    <t xml:space="preserve">TRECHO DE Zona04_PB03_Rede_NÓ54.2 A Zona04_PB03_Rede_NÓ105.1; INCLUI 4,38 M DE TUBO DESENHADO NO PRÓPRIO NÓ (NÓ105.1, NÓ54.2: anel de ponta/toco)</t>
  </si>
  <si>
    <t xml:space="preserve">Zona04_PB03_Rede_NÓ54.2</t>
  </si>
  <si>
    <t xml:space="preserve">2C3EE, B0E9</t>
  </si>
  <si>
    <t xml:space="preserve">Zona04_PB03_Rede_TR015</t>
  </si>
  <si>
    <t xml:space="preserve">TRECHO DE Zona04_PB03_Rede_NÓ1.3 A Zona04_PB02_Rede_NÓ61.1</t>
  </si>
  <si>
    <t xml:space="preserve">6C3C9, B9BF, B9C2, B9C5, B9C8</t>
  </si>
  <si>
    <t xml:space="preserve">Zona04_PB03_Rede_TR016</t>
  </si>
  <si>
    <t xml:space="preserve">TRECHO DE Zona04_PB02_Rede_NÓ67.1 A Zona04_PB03_Rede_NÓ3.1</t>
  </si>
  <si>
    <t xml:space="preserve">B227</t>
  </si>
  <si>
    <t xml:space="preserve">Zona04_PB03_Rede_TR017</t>
  </si>
  <si>
    <t xml:space="preserve">TRECHO DE Zona04_PB02_Rede_NÓ61.3 A PONTA SEM NÓ NA TABELA; INCLUI 0,41 M DE TUBO DESENHADO NO PRÓPRIO NÓ (NÓ61.3: anel de ponta/toco)</t>
  </si>
  <si>
    <t xml:space="preserve">B9B3, B9B6, B9B9, B9BC</t>
  </si>
  <si>
    <t xml:space="preserve">Zona04_PB03_Rede_TR018</t>
  </si>
  <si>
    <t xml:space="preserve">TRECHO DE Zona04_PB02_Rede_NÓ61.5 A Zona04_PB03_Rede_DF-37</t>
  </si>
  <si>
    <t xml:space="preserve">6C3C8, B9AA, B9AD, B9B0</t>
  </si>
  <si>
    <t xml:space="preserve">Zona04_PB03_Rede_TR019</t>
  </si>
  <si>
    <t xml:space="preserve">Q 13</t>
  </si>
  <si>
    <t xml:space="preserve">TRECHO DE Zona04_PB03_Rede_DF-36 A Zona04_PB03_Rede_NÓ61.1; INCLUI 0,53 M DE TUBO DESENHADO NO PRÓPRIO NÓ (NÓ61.1: anel de ponta/toco)</t>
  </si>
  <si>
    <t xml:space="preserve">Zona04_PB03_Rede_DF-36</t>
  </si>
  <si>
    <t xml:space="preserve">B9A1, B9A4, B9A7</t>
  </si>
  <si>
    <t xml:space="preserve">Zona04_PB03_Rede_TR020</t>
  </si>
  <si>
    <t xml:space="preserve">TRECHO DE Zona04_PB05_Rede_NÓ61.2 A Zona04_PB03_Rede_NÓ54.7; INCLUI 4,37 M DE TUBO DESENHADO NO PRÓPRIO NÓ (NÓ54.7, NÓ61.2: anel de ponta/toco)</t>
  </si>
  <si>
    <t xml:space="preserve">Zona04_PB05_Rede_NÓ61.2</t>
  </si>
  <si>
    <t xml:space="preserve">Zona04_PB03_Rede_NÓ54.7</t>
  </si>
  <si>
    <t xml:space="preserve">B998, B99B, B99E</t>
  </si>
  <si>
    <t xml:space="preserve">Zona04_PB05_Rede_TR001</t>
  </si>
  <si>
    <t xml:space="preserve">TRECHO DE Zona04_PB03_Rede_NÓ61.1 A Zona04_PB05_CH_VM-4.3</t>
  </si>
  <si>
    <t xml:space="preserve">Zona04_PB05_CH_VM-4.3</t>
  </si>
  <si>
    <t xml:space="preserve">A77A</t>
  </si>
  <si>
    <t xml:space="preserve">Zona04_PB05_Rede_TR002</t>
  </si>
  <si>
    <t xml:space="preserve">CHÁCARA 25A</t>
  </si>
  <si>
    <t xml:space="preserve">TRECHO DE Zona04_PB05_Rede_NÓ1.4 A Zona04_PB05_Rede_NÓ1.2</t>
  </si>
  <si>
    <t xml:space="preserve">Zona04_PB05_Rede_NÓ1.4</t>
  </si>
  <si>
    <t xml:space="preserve">Zona04_PB05_Rede_NÓ1.2</t>
  </si>
  <si>
    <t xml:space="preserve">2CBF4, B24B</t>
  </si>
  <si>
    <t xml:space="preserve">Zona04_PB05_Rede_TR003</t>
  </si>
  <si>
    <t xml:space="preserve">TRECHO DE Zona04_PB05_Rede_NÓ1.7 A Zona04_PB03_Rede_NÓ54.6; INCLUI 3,96 M DE TUBO DESENHADO NO PRÓPRIO NÓ (NÓ54.6: anel de ponta/toco)</t>
  </si>
  <si>
    <t xml:space="preserve">Zona04_PB05_Rede_NÓ1.7</t>
  </si>
  <si>
    <t xml:space="preserve">Zona04_PB03_Rede_NÓ54.6</t>
  </si>
  <si>
    <t xml:space="preserve">ACFF</t>
  </si>
  <si>
    <t xml:space="preserve">Zona04_PB05_Rede_TR004</t>
  </si>
  <si>
    <t xml:space="preserve">TRECHO DE Zona04_PB02_Rede_NÓ76.1 A Zona04_PB05_Rede_NÓ56.6</t>
  </si>
  <si>
    <t xml:space="preserve">Zona04_PB02_Rede_NÓ76.1</t>
  </si>
  <si>
    <t xml:space="preserve">Zona04_PB05_Rede_NÓ56.6</t>
  </si>
  <si>
    <t xml:space="preserve">AE28</t>
  </si>
  <si>
    <t xml:space="preserve">Zona04_PB05_Rede_TR005</t>
  </si>
  <si>
    <t xml:space="preserve">TRECHO DE Zona04_PB05_CH_VM-4.3 A Zona04_PB05_Rede_NÓ61.2</t>
  </si>
  <si>
    <t xml:space="preserve">Zona04_PB05_Rede_TR006</t>
  </si>
  <si>
    <t xml:space="preserve">CHÁCARA 25B</t>
  </si>
  <si>
    <t xml:space="preserve">TRECHO DE Zona04_PB05_Rede_NÓ92.1 A Zona04_PB02_Rede_NÓ76.1; INCLUI 0,16 M DE TUBO DESENHADO NO PRÓPRIO NÓ (nó: anel de ponta/toco)</t>
  </si>
  <si>
    <t xml:space="preserve">Zona04_PB05_Rede_NÓ92.1</t>
  </si>
  <si>
    <t xml:space="preserve">B30B</t>
  </si>
  <si>
    <t xml:space="preserve">Zona04_PB05_Rede_TR007</t>
  </si>
  <si>
    <t xml:space="preserve">TRECHO DE Zona04_PB05_Rede_NÓ1.2 A Zona04_PB05_Rede_NÓ1.3</t>
  </si>
  <si>
    <t xml:space="preserve">Zona04_PB05_Rede_NÓ1.3</t>
  </si>
  <si>
    <t xml:space="preserve">AD02</t>
  </si>
  <si>
    <t xml:space="preserve">Zona04_PB05_Rede_TR008</t>
  </si>
  <si>
    <t xml:space="preserve">TRECHO DE Zona04_PB05_Rede_NÓ1.4 A Zona04_PB05_Rede_NÓ1.3</t>
  </si>
  <si>
    <t xml:space="preserve">AE7F</t>
  </si>
  <si>
    <t xml:space="preserve">Zona04_PB05_Rede_TR009</t>
  </si>
  <si>
    <t xml:space="preserve">TRECHO DE Zona04_PB05_Rede_NÓ56.6 A Zona04_PB05_Rede_NÓ73.1</t>
  </si>
  <si>
    <t xml:space="preserve">Zona04_PB05_Rede_NÓ73.1</t>
  </si>
  <si>
    <t xml:space="preserve">AE25</t>
  </si>
  <si>
    <t xml:space="preserve">Zona04_PB05_Rede_TR010</t>
  </si>
  <si>
    <t xml:space="preserve">TRECHO DE Zona04_PB05_Rede_NÓ92.1 A Zona04_PB05_Rede_NÓ1.2</t>
  </si>
  <si>
    <t xml:space="preserve">2CBF4, 2CD85</t>
  </si>
  <si>
    <t xml:space="preserve">Zona04_PB05_Rede_TR011</t>
  </si>
  <si>
    <t xml:space="preserve">TRECHO DE Zona04_PB05_Rede_NÓ1.7 A Zona04_PB05_Rede_NÓ61.4; INCLUI 0,39 M DE TUBO DESENHADO NO PRÓPRIO NÓ (NÓ61.4: anel de ponta/toco)</t>
  </si>
  <si>
    <t xml:space="preserve">Zona04_PB05_Rede_NÓ61.4</t>
  </si>
  <si>
    <t xml:space="preserve">2C508, 2CB45, B992, B995</t>
  </si>
  <si>
    <t xml:space="preserve">Zona04_PB05_Rede_TR012</t>
  </si>
  <si>
    <t xml:space="preserve">TRECHO DE Zona04_PB05_Rede_NÓ1.4 A Zona04_PB05_Rede_NÓ2.1</t>
  </si>
  <si>
    <t xml:space="preserve">Zona04_PB05_Rede_NÓ2.1</t>
  </si>
  <si>
    <t xml:space="preserve">AF57</t>
  </si>
  <si>
    <t xml:space="preserve">Zona04_PB05_Rede_TR013</t>
  </si>
  <si>
    <t xml:space="preserve">TRECHO DE Zona04_PB05_Rede_NÓ61.2 A Zona04_PB05_Rede_NÓ61.3; INCLUI 0,19 M DE TUBO DESENHADO NO PRÓPRIO NÓ (NÓ61.2: anel de ponta/toco)</t>
  </si>
  <si>
    <t xml:space="preserve">Zona04_PB05_Rede_NÓ61.3</t>
  </si>
  <si>
    <t xml:space="preserve">A63F</t>
  </si>
  <si>
    <t xml:space="preserve">Zona04_PB05_Rede_TR014</t>
  </si>
  <si>
    <t xml:space="preserve">CHÁCARA 29</t>
  </si>
  <si>
    <t xml:space="preserve">TRECHO DE Zona04_PB05_Rede_NÓ9.1 A Zona04_PB02_Rede_NÓ9.1</t>
  </si>
  <si>
    <t xml:space="preserve">Zona04_PB05_Rede_NÓ9.1</t>
  </si>
  <si>
    <t xml:space="preserve">Zona04_PB05_Rede_TR015</t>
  </si>
  <si>
    <t xml:space="preserve">Q 25B</t>
  </si>
  <si>
    <t xml:space="preserve">TRECHO DE Zona04_PB05_Rede_NÓ1.3 A Zona04_PB05_Rede_NÓ106.2</t>
  </si>
  <si>
    <t xml:space="preserve">Zona04_PB05_Rede_NÓ106.2</t>
  </si>
  <si>
    <t xml:space="preserve">ACFC</t>
  </si>
  <si>
    <t xml:space="preserve">Zona04_PB05_Rede_TR016</t>
  </si>
  <si>
    <t xml:space="preserve">TRECHO DE Zona04_PB05_Rede_NÓ92.1 A Zona04_PB05_Rede_NÓ106.2; INCLUI 0,34 M DE TUBO DESENHADO NO PRÓPRIO NÓ (NÓ106.2: anel de ponta/toco)</t>
  </si>
  <si>
    <t xml:space="preserve">AD47</t>
  </si>
  <si>
    <t xml:space="preserve">Zona04_PB05_Rede_TR017</t>
  </si>
  <si>
    <t xml:space="preserve">TRECHO DE Zona04_PB05_Rede_NÓ2.1 A Zona04_PB05_Rede_NÓ61.3; INCLUI 0,43 M DE TUBO DESENHADO NO PRÓPRIO NÓ (NÓ61.3: anel de ponta/toco)</t>
  </si>
  <si>
    <t xml:space="preserve">Zona04_PB05_Rede_TR018</t>
  </si>
  <si>
    <t xml:space="preserve">TRECHO DE Zona04_PB05_Rede_NÓ56.6 A Zona04_PB05_Rede_NÓ54.6; INCLUI 4,82 M DE TUBO DESENHADO NO PRÓPRIO NÓ (NÓ54.6: anel de ponta/toco)</t>
  </si>
  <si>
    <t xml:space="preserve">Zona04_PB05_Rede_NÓ54.6</t>
  </si>
  <si>
    <t xml:space="preserve">2CB3C, B2E7</t>
  </si>
  <si>
    <t xml:space="preserve">Zona04_PB05_Rede_TR019</t>
  </si>
  <si>
    <t xml:space="preserve">CHÁCARA 17</t>
  </si>
  <si>
    <t xml:space="preserve">TRECHO DE Zona04_PB05_Rede_NÓ61.3 A Zona04_PB05_Rede_NÓ61.4</t>
  </si>
  <si>
    <t xml:space="preserve">A8F4</t>
  </si>
  <si>
    <t xml:space="preserve">Zona04_PB05_Rede_TR020</t>
  </si>
  <si>
    <t xml:space="preserve">TRECHO DE Zona04_PB05_Rede_NÓ73.1 A JUNÇÃO SEM NÓ NA TABELA; INCLUI 0,23 M DE TUBO DESENHADO NO PRÓPRIO NÓ (NÓ73.1: anel de ponta/toco)</t>
  </si>
  <si>
    <t xml:space="preserve">JUNÇÃO SEM NÓ NA TABELA</t>
  </si>
  <si>
    <t xml:space="preserve">B089</t>
  </si>
  <si>
    <t xml:space="preserve">Zona04_PB05_Rede_TR021</t>
  </si>
  <si>
    <t xml:space="preserve">TRECHO DE Zona04_PB05_Rede_NÓ1.6 A Zona04_PB06_Rede_NÓ1.1</t>
  </si>
  <si>
    <t xml:space="preserve">Zona04_PB05_Rede_NÓ1.6</t>
  </si>
  <si>
    <t xml:space="preserve">Zona04_PB06_Rede_NÓ1.1</t>
  </si>
  <si>
    <t xml:space="preserve">2C859, 2CD80, 2CEA6, B989</t>
  </si>
  <si>
    <t xml:space="preserve">Zona04_PB05_Rede_TR022</t>
  </si>
  <si>
    <t xml:space="preserve">TRECHO DE Zona04_PB05_Rede_NÓ106.2 A Zona04_PB05_Rede_NÓ54.10; INCLUI 3,98 M DE TUBO DESENHADO NO PRÓPRIO NÓ (NÓ54.10: anel de ponta/toco)</t>
  </si>
  <si>
    <t xml:space="preserve">Zona04_PB05_Rede_NÓ54.10</t>
  </si>
  <si>
    <t xml:space="preserve">B0CB</t>
  </si>
  <si>
    <t xml:space="preserve">Zona04_PB05_Rede_TR023</t>
  </si>
  <si>
    <t xml:space="preserve">TRECHO DE Zona04_PB05_Rede_NÓ1.6 A Zona04_PB05_Rede_NÓ54.12; INCLUI 3,81 M DE TUBO DESENHADO NO PRÓPRIO NÓ (NÓ54.12: anel de ponta/toco)</t>
  </si>
  <si>
    <t xml:space="preserve">Zona04_PB05_Rede_NÓ54.12</t>
  </si>
  <si>
    <t xml:space="preserve">B3B9</t>
  </si>
  <si>
    <t xml:space="preserve">Zona04_PB05_Rede_TR024</t>
  </si>
  <si>
    <t xml:space="preserve">TRECHO DE Zona04_PB06_Rede_DF-35 A Zona04_PB05_Rede_NÓ1.5</t>
  </si>
  <si>
    <t xml:space="preserve">Zona04_PB06_Rede_DF-35</t>
  </si>
  <si>
    <t xml:space="preserve">Zona04_PB05_Rede_NÓ1.5</t>
  </si>
  <si>
    <t xml:space="preserve">B980, B983, B98F</t>
  </si>
  <si>
    <t xml:space="preserve">Zona04_PB05_Rede_TR025</t>
  </si>
  <si>
    <t xml:space="preserve">TRECHO DE Zona04_PB05_Rede_NÓ61.1 A Zona04_PB05_Rede_NÓ73.1; INCLUI 0,05 M DE TUBO DESENHADO NO PRÓPRIO NÓ (NÓ61.1: anel de ponta/toco)</t>
  </si>
  <si>
    <t xml:space="preserve">Zona04_PB05_Rede_NÓ61.1</t>
  </si>
  <si>
    <t xml:space="preserve">B2D2</t>
  </si>
  <si>
    <t xml:space="preserve">Zona04_PB05_Rede_TR026</t>
  </si>
  <si>
    <t xml:space="preserve">TRECHO DE Zona04_PB05_Rede_NÓ61.4 A Zona04_PB05_Rede_NÓ61.5; INCLUI 0,26 M DE TUBO DESENHADO NO PRÓPRIO NÓ (NÓ61.4: anel de ponta/toco)</t>
  </si>
  <si>
    <t xml:space="preserve">Zona04_PB05_Rede_NÓ61.5</t>
  </si>
  <si>
    <t xml:space="preserve">B0A7</t>
  </si>
  <si>
    <t xml:space="preserve">Zona04_PB05_Rede_TR027</t>
  </si>
  <si>
    <t xml:space="preserve">TRECHO DE JUNÇÃO SEM NÓ NA TABELA A Zona04_PB05_CH_VM-4.1</t>
  </si>
  <si>
    <t xml:space="preserve">Zona04_PB05_CH_VM-4.1</t>
  </si>
  <si>
    <t xml:space="preserve">B086</t>
  </si>
  <si>
    <t xml:space="preserve">Zona04_PB05_Rede_TR028</t>
  </si>
  <si>
    <t xml:space="preserve">TRECHO DE Zona04_PB05_CH_VM-4.1 A Zona04_PB05_Rede_NÓ8.2</t>
  </si>
  <si>
    <t xml:space="preserve">Zona04_PB05_Rede_NÓ8.2</t>
  </si>
  <si>
    <t xml:space="preserve">Zona04_PB05_Rede_TR029</t>
  </si>
  <si>
    <t xml:space="preserve">TRECHO DE Zona04_PB05_Rede_NÓ8.2 A Zona04_PB05_Rede_NÓ9.1</t>
  </si>
  <si>
    <t xml:space="preserve">Zona04_PB05_Rede_TR030</t>
  </si>
  <si>
    <t xml:space="preserve">TRECHO DE Zona04_PB05_Rede_NÓ8.2 A Zona04_PB05_CH_VRP-17</t>
  </si>
  <si>
    <t xml:space="preserve">Zona04_PB05_CH_VRP-17</t>
  </si>
  <si>
    <t xml:space="preserve">771FF</t>
  </si>
  <si>
    <t xml:space="preserve">Zona04_PB05_Rede_TR031</t>
  </si>
  <si>
    <t xml:space="preserve">Q 25</t>
  </si>
  <si>
    <t xml:space="preserve">TRECHO DE JUNÇÃO SEM NÓ NA TABELA A Zona04_PB05_Rede_NÓ54.2; INCLUI 4,00 M DE TUBO DESENHADO NO PRÓPRIO NÓ (NÓ54.2: anel de ponta/toco)</t>
  </si>
  <si>
    <t xml:space="preserve">Zona04_PB05_Rede_NÓ54.2</t>
  </si>
  <si>
    <t xml:space="preserve">B0C5</t>
  </si>
  <si>
    <t xml:space="preserve">Zona04_PB05_Rede_TR032</t>
  </si>
  <si>
    <t xml:space="preserve">TRECHO DE Zona04_PB05_Rede_NÓ61.5 A Zona04_PB05_Rede_NÓ54.9; INCLUI 4,46 M DE TUBO DESENHADO NO PRÓPRIO NÓ (NÓ54.9, NÓ61.5: anel de ponta/toco)</t>
  </si>
  <si>
    <t xml:space="preserve">Zona04_PB05_Rede_NÓ54.9</t>
  </si>
  <si>
    <t xml:space="preserve">A666</t>
  </si>
  <si>
    <t xml:space="preserve">Zona04_PB05_Rede_TR033</t>
  </si>
  <si>
    <t xml:space="preserve">TRECHO DE Zona04_PB05_Rede_NÓ106.3 A Zona04_PB05_Rede_NÓ1.6; INCLUI 0,07 M DE TUBO DESENHADO NO PRÓPRIO NÓ (NÓ106.3: anel de ponta/toco)</t>
  </si>
  <si>
    <t xml:space="preserve">Zona04_PB05_Rede_NÓ106.3</t>
  </si>
  <si>
    <t xml:space="preserve">B97A, B97D</t>
  </si>
  <si>
    <t xml:space="preserve">Zona04_PB05_Rede_TR034</t>
  </si>
  <si>
    <t xml:space="preserve">TRECHO DE Zona04_PB05_Rede_NÓ61.5 A Zona04_PB05_Rede_NÓ70.1</t>
  </si>
  <si>
    <t xml:space="preserve">Zona04_PB05_Rede_NÓ70.1</t>
  </si>
  <si>
    <t xml:space="preserve">BA3A</t>
  </si>
  <si>
    <t xml:space="preserve">Zona04_PB05_Rede_TR035</t>
  </si>
  <si>
    <t xml:space="preserve">TRECHO DE Zona04_PB05_Rede_NÓ61.1 A Zona04_PB05_Rede_NÓ70.1</t>
  </si>
  <si>
    <t xml:space="preserve">BA40</t>
  </si>
  <si>
    <t xml:space="preserve">Zona04_PB05_Rede_TR036</t>
  </si>
  <si>
    <t xml:space="preserve">TRECHO DE Zona04_PB05_Rede_NÓ70.1 A Zona04_PB05_Rede_NÓ106.3; INCLUI 0,43 M DE TUBO DESENHADO NO PRÓPRIO NÓ (NÓ106.3, NÓ70.1: anel de ponta/toco)</t>
  </si>
  <si>
    <t xml:space="preserve">BA3D</t>
  </si>
  <si>
    <t xml:space="preserve">Zona04_PB05_Rede_TR037</t>
  </si>
  <si>
    <t xml:space="preserve">TRECHO DE Zona04_PB05_CH_VRP-17 A Zona04_PB05_CH_MV-04</t>
  </si>
  <si>
    <t xml:space="preserve">Zona04_PB05_CH_MV-04</t>
  </si>
  <si>
    <t xml:space="preserve">Zona04_PB05_Rede_TR038</t>
  </si>
  <si>
    <t xml:space="preserve">TRECHO DE Zona04_PB05_Rede_NÓ54.3 A Zona04_PB05_Rede_NÓ61.1; INCLUI 4,07 M DE TUBO DESENHADO NO PRÓPRIO NÓ (NÓ54.3, NÓ61.1: anel de ponta/toco)</t>
  </si>
  <si>
    <t xml:space="preserve">Zona04_PB05_Rede_NÓ54.3</t>
  </si>
  <si>
    <t xml:space="preserve">AE7C</t>
  </si>
  <si>
    <t xml:space="preserve">Zona04_PB05_Rede_TR039</t>
  </si>
  <si>
    <t xml:space="preserve">TRECHO DE Zona04_PB05_Rede_NÓ106.3 A Zona04_PB05_Rede_NÓ1.5</t>
  </si>
  <si>
    <t xml:space="preserve">A630</t>
  </si>
  <si>
    <t xml:space="preserve">Zona04_PB05_Rede_TR040</t>
  </si>
  <si>
    <t xml:space="preserve">TRECHO DE Zona04_PB05_Rede_NÓ1.5 A Zona04_PB05_Rede_NÓ54.11; INCLUI 4,02 M DE TUBO DESENHADO NO PRÓPRIO NÓ (NÓ54.11: anel de ponta/toco)</t>
  </si>
  <si>
    <t xml:space="preserve">Zona04_PB05_Rede_NÓ54.11</t>
  </si>
  <si>
    <t xml:space="preserve">BB36</t>
  </si>
  <si>
    <t xml:space="preserve">Zona04_PB05_Rede_TR041</t>
  </si>
  <si>
    <t xml:space="preserve">TRECHO DE Zona04_PB05_CH_MV-04 A Zona04_PB05_Rede_NÓ87.1</t>
  </si>
  <si>
    <t xml:space="preserve">Zona04_PB05_Rede_NÓ87.1</t>
  </si>
  <si>
    <t xml:space="preserve">Zona04_PB05_Rede_TR042</t>
  </si>
  <si>
    <t xml:space="preserve">TRECHO DE Zona04_PB05_Rede_NÓ13.1 A Zona04_PB05_Rede_NÓ87.1</t>
  </si>
  <si>
    <t xml:space="preserve">Zona04_PB06_Rede_TR001</t>
  </si>
  <si>
    <t xml:space="preserve">TRECHO DE Zona04_PB05_Rede_NÓ1.7 A Zona04_PB06_Rede_NÓ1.1; INCLUI 0,58 M DE TUBO DESENHADO NO PRÓPRIO NÓ (nó: anel de ponta/toco)</t>
  </si>
  <si>
    <t xml:space="preserve">2D7D5, 2F4AC, B2EA</t>
  </si>
  <si>
    <t xml:space="preserve">Zona04_PB06_Rede_TR002</t>
  </si>
  <si>
    <t xml:space="preserve">TRECHO DE Zona04_PB06_Rede_NÓ2.1 A Zona04_PB06_Rede_NÓ2.2</t>
  </si>
  <si>
    <t xml:space="preserve">Zona04_PB06_Rede_NÓ2.1</t>
  </si>
  <si>
    <t xml:space="preserve">Zona04_PB06_Rede_NÓ2.2</t>
  </si>
  <si>
    <t xml:space="preserve">B98F</t>
  </si>
  <si>
    <t xml:space="preserve">Zona04_PB06_Rede_TR003</t>
  </si>
  <si>
    <t xml:space="preserve">TRECHO DE Zona04_PB06_Rede_NÓ2.2 A Zona04_PB06_Rede_DF-35</t>
  </si>
  <si>
    <t xml:space="preserve">Zona04_PB06_Rede_TR004</t>
  </si>
  <si>
    <t xml:space="preserve">TRECHO DE Zona04_PB06_Rede_NÓ1.1 A Zona04_PB06_Rede_NÓ2.1; INCLUI 1,47 M DE TUBO DESENHADO NO PRÓPRIO NÓ (NÓ2.1: anel de ponta/toco)</t>
  </si>
  <si>
    <t xml:space="preserve">2CEA6, 2CEA8, B98C</t>
  </si>
  <si>
    <t xml:space="preserve">Zona05</t>
  </si>
  <si>
    <t xml:space="preserve">Zona05_PB07_Rede_TR001</t>
  </si>
  <si>
    <t xml:space="preserve">CHÁCARA 60</t>
  </si>
  <si>
    <t xml:space="preserve">TRECHO DE Zona05_PB07_Rede_NÓ41.1 A Zona05_PB07_Rede_NÓ11.1</t>
  </si>
  <si>
    <t xml:space="preserve">EQUIPE ZONA 05</t>
  </si>
  <si>
    <t xml:space="preserve">Zona05_PB07_Rede_NÓ41.1</t>
  </si>
  <si>
    <t xml:space="preserve">Zona05_PB07_Rede_NÓ11.1</t>
  </si>
  <si>
    <t xml:space="preserve">2C42A, B890, B893</t>
  </si>
  <si>
    <t xml:space="preserve">Zona05_PB07_Rede_TR002</t>
  </si>
  <si>
    <t xml:space="preserve">TRECHO DE Zona05_PB07_Rede_NÓ55.1 A Zona05_PB07_Rede_NÓ41.1</t>
  </si>
  <si>
    <t xml:space="preserve">Zona05_PB07_Rede_NÓ55.1</t>
  </si>
  <si>
    <t xml:space="preserve">B890</t>
  </si>
  <si>
    <t xml:space="preserve">Zona05_PB07_Rede_TR003</t>
  </si>
  <si>
    <t xml:space="preserve">CHÁCARA 59</t>
  </si>
  <si>
    <t xml:space="preserve">TRECHO DE DIVISA DE ZONA A DIVISA DE ZONA; TRECHO DIVIDIDO NA DIVISA DE ZONA (TRECHO ORIGINAL ENTRE PONTOS DA REDE: 332,12 M)</t>
  </si>
  <si>
    <t xml:space="preserve">Zona05_PB07_Rede_NÓ55.2</t>
  </si>
  <si>
    <t xml:space="preserve">Zona05_PB07_Rede_TR004</t>
  </si>
  <si>
    <t xml:space="preserve">TRECHO DE Zona05_PB07_Rede_NÓ55.2 A Zona05_PB07_Rede_NÓ55.1</t>
  </si>
  <si>
    <t xml:space="preserve">AE76</t>
  </si>
  <si>
    <t xml:space="preserve">Zona05_PB07_Rede_TR005</t>
  </si>
  <si>
    <t xml:space="preserve">TRECHO DE Zona05_PB07_Rede_NÓ11.1 A Zona05_PB07_Rede_NÓ71.1</t>
  </si>
  <si>
    <t xml:space="preserve">6CB42, AE22</t>
  </si>
  <si>
    <t xml:space="preserve">Zona05_PB07_Rede_TR006</t>
  </si>
  <si>
    <t xml:space="preserve">TRECHO DE Zona05_PB07_Rede_NÓ71.1 A Zona05_PB07_Rede_DF-43</t>
  </si>
  <si>
    <t xml:space="preserve">Zona05_PB07_Rede_DF-43</t>
  </si>
  <si>
    <t xml:space="preserve">B88A</t>
  </si>
  <si>
    <t xml:space="preserve">Zona05_PB07_Rede_TR007</t>
  </si>
  <si>
    <t xml:space="preserve">TRECHO DE Zona05_PB07_Rede_NÓ71.1 A Zona05_PB07_Rede_NÓ56.6</t>
  </si>
  <si>
    <t xml:space="preserve">Zona05_PB07_Rede_NÓ56.6</t>
  </si>
  <si>
    <t xml:space="preserve">AE1F</t>
  </si>
  <si>
    <t xml:space="preserve">Zona05_PB07_Rede_TR008</t>
  </si>
  <si>
    <t xml:space="preserve">TRECHO DE Zona05_PB07_Rede_DF-43 A Zona05_PB07_Rede_NÓ54.10; INCLUI 7,05 M DE TUBO DESENHADO NO PRÓPRIO NÓ (NÓ54.10: anel de ponta/toco)</t>
  </si>
  <si>
    <t xml:space="preserve">Zona05_PB07_Rede_NÓ54.10</t>
  </si>
  <si>
    <t xml:space="preserve">2C849, 2C84A, 2CF4F, B88A</t>
  </si>
  <si>
    <t xml:space="preserve">Zona05_PB07_Rede_TR009</t>
  </si>
  <si>
    <t xml:space="preserve">TRECHO DE Zona05_PB07_Rede_NÓ54.12 A Zona05_PB07_Rede_NÓ55.2; INCLUI 4,94 M DE TUBO DESENHADO NO PRÓPRIO NÓ (NÓ54.12: anel de ponta/toco)</t>
  </si>
  <si>
    <t xml:space="preserve">Zona05_PB07_Rede_NÓ54.12</t>
  </si>
  <si>
    <t xml:space="preserve">B872, B87E, B881</t>
  </si>
  <si>
    <t xml:space="preserve">Zona05_PB07_Rede_TR010</t>
  </si>
  <si>
    <t xml:space="preserve">TRECHO DE Zona05_PB07_Rede_NÓ56.6 A Zona05_PB07_Rede_NÓ56.4</t>
  </si>
  <si>
    <t xml:space="preserve">Zona05_PB07_Rede_NÓ56.4</t>
  </si>
  <si>
    <t xml:space="preserve">AE1C</t>
  </si>
  <si>
    <t xml:space="preserve">Zona05_PB07_Rede_TR011</t>
  </si>
  <si>
    <t xml:space="preserve">TRECHO DE Zona05_PB07_Rede_NÓ54.7 A Zona05_PB07_Rede_NÓ56.6; INCLUI 4,00 M DE TUBO DESENHADO NO PRÓPRIO NÓ (NÓ54.7: anel de ponta/toco)</t>
  </si>
  <si>
    <t xml:space="preserve">Zona05_PB07_Rede_NÓ54.7</t>
  </si>
  <si>
    <t xml:space="preserve">A6FC</t>
  </si>
  <si>
    <t xml:space="preserve">Zona05_PB07_Rede_TR012</t>
  </si>
  <si>
    <t xml:space="preserve">TRECHO DE Zona05_PB08_Rede_NÓ55.1 A Zona05_PB10_Rede_NÓ54.6; INCLUI 3,99 M DE TUBO DESENHADO NO PRÓPRIO NÓ (NÓ54.6: anel de ponta/toco)</t>
  </si>
  <si>
    <t xml:space="preserve">Zona05_PB08_Rede_NÓ55.1</t>
  </si>
  <si>
    <t xml:space="preserve">Zona05_PB10_Rede_NÓ54.6</t>
  </si>
  <si>
    <t xml:space="preserve">1061A, B869, B878, B87B, BAFA</t>
  </si>
  <si>
    <t xml:space="preserve">Zona05_PB07_Rede_TR013</t>
  </si>
  <si>
    <t xml:space="preserve">TRECHO DE Zona05_PB07_Rede_NÓ1.16 A Zona05_PB07_Rede_NÓ56.4</t>
  </si>
  <si>
    <t xml:space="preserve">Zona05_PB07_Rede_NÓ1.16</t>
  </si>
  <si>
    <t xml:space="preserve">A762</t>
  </si>
  <si>
    <t xml:space="preserve">Zona05_PB07_Rede_TR014</t>
  </si>
  <si>
    <t xml:space="preserve">Q 61</t>
  </si>
  <si>
    <t xml:space="preserve">TRECHO DE Zona05_PB07_Rede_NÓ56.4 A Zona05_PB07_Rede_NÓ56.2</t>
  </si>
  <si>
    <t xml:space="preserve">Zona05_PB07_Rede_NÓ56.2</t>
  </si>
  <si>
    <t xml:space="preserve">AE19</t>
  </si>
  <si>
    <t xml:space="preserve">Zona05_PB07_Rede_TR015</t>
  </si>
  <si>
    <t xml:space="preserve">TRECHO DE Zona05_PB07_Rede_NÓ54.9 A Zona05_PB07_Rede_NÓ1.16</t>
  </si>
  <si>
    <t xml:space="preserve">Zona05_PB07_Rede_NÓ54.9</t>
  </si>
  <si>
    <t xml:space="preserve">2C83C, A66C</t>
  </si>
  <si>
    <t xml:space="preserve">Zona05_PB07_Rede_TR016</t>
  </si>
  <si>
    <t xml:space="preserve">TRECHO DE DIVISA DE ZONA A DIVISA DE ZONA; TRECHO DIVIDIDO NA DIVISA DE ZONA (TRECHO ORIGINAL ENTRE PONTOS DA REDE: 412,13 M)</t>
  </si>
  <si>
    <t xml:space="preserve">6CB31, 6CB32, 6CB34, 6CB35, 6CB36, 6CB37, 6CB38</t>
  </si>
  <si>
    <t xml:space="preserve">Zona05_PB07_Rede_TR017</t>
  </si>
  <si>
    <t xml:space="preserve">TRECHO DE Zona05_PB07_Rede_NÓ1.16 A Zona05_PB07_Rede_NÓ54.6; INCLUI 4,00 M DE TUBO DESENHADO NO PRÓPRIO NÓ (NÓ54.6: anel de ponta/toco)</t>
  </si>
  <si>
    <t xml:space="preserve">Zona05_PB07_Rede_NÓ54.6</t>
  </si>
  <si>
    <t xml:space="preserve">A5B2</t>
  </si>
  <si>
    <t xml:space="preserve">Zona05_PB07_Rede_TR018</t>
  </si>
  <si>
    <t xml:space="preserve">TRECHO DE Zona05_PB07_Rede_NÓ55.1 A Zona05_PB10_Rede_NÓ56.3; INCLUI 0,15 M DE TUBO DESENHADO NO PRÓPRIO NÓ (NÓ56.3: anel de ponta/toco)</t>
  </si>
  <si>
    <t xml:space="preserve">Zona05_PB10_Rede_NÓ56.3</t>
  </si>
  <si>
    <t xml:space="preserve">2C3EA, 2C904, B84B, B85A, B860, B875, B884, B887</t>
  </si>
  <si>
    <t xml:space="preserve">Zona05_PB07_Rede_TR019</t>
  </si>
  <si>
    <t xml:space="preserve">TRECHO DE Zona05_PB07_Rede_NÓ56.2 A Zona05_PB07_Rede_NÓ56.1</t>
  </si>
  <si>
    <t xml:space="preserve">Zona05_PB07_Rede_NÓ56.1</t>
  </si>
  <si>
    <t xml:space="preserve">ACD2</t>
  </si>
  <si>
    <t xml:space="preserve">Zona05_PB07_Rede_TR020</t>
  </si>
  <si>
    <t xml:space="preserve">TRECHO DE Zona05_PB07_Rede_NÓ1.15 A Zona05_PB07_Rede_NÓ56.2</t>
  </si>
  <si>
    <t xml:space="preserve">Zona05_PB07_Rede_NÓ1.15</t>
  </si>
  <si>
    <t xml:space="preserve">2C9FA, 2CDAA, B44C</t>
  </si>
  <si>
    <t xml:space="preserve">Zona05_PB07_Rede_TR021</t>
  </si>
  <si>
    <t xml:space="preserve">TRECHO DE Zona05_PB07_Rede_NÓ54.5 A Zona05_PB07_Rede_NÓ1.15; INCLUI 4,00 M DE TUBO DESENHADO NO PRÓPRIO NÓ (NÓ54.5: anel de ponta/toco)</t>
  </si>
  <si>
    <t xml:space="preserve">Zona05_PB07_Rede_NÓ54.5</t>
  </si>
  <si>
    <t xml:space="preserve">A684</t>
  </si>
  <si>
    <t xml:space="preserve">Zona05_PB07_Rede_TR022</t>
  </si>
  <si>
    <t xml:space="preserve">TRECHO DE Zona05_PB07_Rede_NÓ56.1 A Zona05_PB10_Rede_NÓ1.15</t>
  </si>
  <si>
    <t xml:space="preserve">Zona05_PB10_Rede_NÓ1.15</t>
  </si>
  <si>
    <t xml:space="preserve">B0A1</t>
  </si>
  <si>
    <t xml:space="preserve">Zona05_PB08_Rede_TR001</t>
  </si>
  <si>
    <t xml:space="preserve">TRECHO DE Zona05_PB08_Rede_NÓ6.2 A Zona05_PB08_Rede_NÓ107.3</t>
  </si>
  <si>
    <t xml:space="preserve">Zona05_PB08_Rede_NÓ6.2</t>
  </si>
  <si>
    <t xml:space="preserve">Zona05_PB08_Rede_NÓ107.3</t>
  </si>
  <si>
    <t xml:space="preserve">B428</t>
  </si>
  <si>
    <t xml:space="preserve">Zona05_PB08_Rede_TR002</t>
  </si>
  <si>
    <t xml:space="preserve">TRECHO DE Zona05_PB08_Rede_NÓ2.5 A Zona05_PB08_Rede_NÓ107.5</t>
  </si>
  <si>
    <t xml:space="preserve">Zona05_PB08_Rede_NÓ2.5</t>
  </si>
  <si>
    <t xml:space="preserve">Zona05_PB08_Rede_NÓ107.5</t>
  </si>
  <si>
    <t xml:space="preserve">2D7A4</t>
  </si>
  <si>
    <t xml:space="preserve">Zona05_PB08_Rede_TR003</t>
  </si>
  <si>
    <t xml:space="preserve">TRECHO DE Zona05_PB08_Rede_NÓ107.3 A Zona05_PB08_Rede_DF-21</t>
  </si>
  <si>
    <t xml:space="preserve">Zona05_PB08_Rede_DF-21</t>
  </si>
  <si>
    <t xml:space="preserve">ACEA</t>
  </si>
  <si>
    <t xml:space="preserve">Zona05_PB08_Rede_TR004</t>
  </si>
  <si>
    <t xml:space="preserve">TRECHO DE Zona05_PB08_Rede_DF-21 A Zona05_PB08_Rede_NÓ1.10</t>
  </si>
  <si>
    <t xml:space="preserve">Zona05_PB08_Rede_NÓ1.10</t>
  </si>
  <si>
    <t xml:space="preserve">Zona05_PB08_Rede_TR005</t>
  </si>
  <si>
    <t xml:space="preserve">TRECHO DE Zona05_PB08_Rede_NÓ1.10 A Zona05_PB08_Rede_NÓ54.12; INCLUI 3,88 M DE TUBO DESENHADO NO PRÓPRIO NÓ (NÓ54.12: anel de ponta/toco)</t>
  </si>
  <si>
    <t xml:space="preserve">Zona05_PB08_Rede_NÓ54.12</t>
  </si>
  <si>
    <t xml:space="preserve">ACE7</t>
  </si>
  <si>
    <t xml:space="preserve">Zona05_PB08_Rede_TR006</t>
  </si>
  <si>
    <t xml:space="preserve">TRECHO DE Zona05_PB08_Rede_NÓ6.2 A Zona05_PB08_Rede_NÓ107.5</t>
  </si>
  <si>
    <t xml:space="preserve">2F943</t>
  </si>
  <si>
    <t xml:space="preserve">Zona05_PB08_Rede_TR007</t>
  </si>
  <si>
    <t xml:space="preserve">TRECHO DE Zona05_PB08_Rede_NÓ1.12 A Zona05_PB08_Rede_NÓ2.5</t>
  </si>
  <si>
    <t xml:space="preserve">Zona05_PB08_Rede_NÓ1.12</t>
  </si>
  <si>
    <t xml:space="preserve">2CB9F, B8E7, B8EA</t>
  </si>
  <si>
    <t xml:space="preserve">Zona05_PB08_Rede_TR008</t>
  </si>
  <si>
    <t xml:space="preserve">TRECHO DE Zona05_PB08_Rede_NÓ110.2 A Zona05_PB08_Rede_NÓ107.5; INCLUI 0,40 M DE TUBO DESENHADO NO PRÓPRIO NÓ (NÓ110.2: anel de ponta/toco)</t>
  </si>
  <si>
    <t xml:space="preserve">Zona05_PB08_Rede_NÓ110.2</t>
  </si>
  <si>
    <t xml:space="preserve">B8DB, B8DE</t>
  </si>
  <si>
    <t xml:space="preserve">Zona05_PB08_Rede_TR009</t>
  </si>
  <si>
    <t xml:space="preserve">TRECHO DE Zona05_PB08_Rede_NÓ1.10 A Zona05_PB08_Rede_NÓ1.11; INCLUI 0,48 M DE TUBO DESENHADO NO PRÓPRIO NÓ (NÓ1.11: anel de ponta/toco)</t>
  </si>
  <si>
    <t xml:space="preserve">Zona05_PB08_Rede_NÓ1.11</t>
  </si>
  <si>
    <t xml:space="preserve">B8D2, B8D5, B8D8</t>
  </si>
  <si>
    <t xml:space="preserve">Zona05_PB08_Rede_TR010</t>
  </si>
  <si>
    <t xml:space="preserve">TRECHO DE Zona05_PB08_Rede_NÓ107.3 A Zona05_PB08_Rede_NÓ107.4</t>
  </si>
  <si>
    <t xml:space="preserve">Zona05_PB08_Rede_NÓ107.4</t>
  </si>
  <si>
    <t xml:space="preserve">A5A6, A5A9, A5AC, A5AF, A5BE, A5C1, A5C4, A6CF, A714, B8E1, B8E4</t>
  </si>
  <si>
    <t xml:space="preserve">Zona05_PB08_Rede_TR011</t>
  </si>
  <si>
    <t xml:space="preserve">TRECHO DE Zona05_PB08_Rede_NÓ110.2 A Zona05_PB08_Rede_NÓ1.12</t>
  </si>
  <si>
    <t xml:space="preserve">B0A4</t>
  </si>
  <si>
    <t xml:space="preserve">Zona05_PB08_Rede_TR012</t>
  </si>
  <si>
    <t xml:space="preserve">TRECHO DE Zona05_PB08_Rede_NÓ55.1 A Zona05_PB07_Rede_NÓ55.2</t>
  </si>
  <si>
    <t xml:space="preserve">6CDBD</t>
  </si>
  <si>
    <t xml:space="preserve">Zona05_PB08_Rede_TR013</t>
  </si>
  <si>
    <t xml:space="preserve">TRECHO DE Zona05_PB08_Rede_NÓ55.2 A Zona05_PB08_Rede_NÓ55.1</t>
  </si>
  <si>
    <t xml:space="preserve">Zona05_PB08_Rede_NÓ55.2</t>
  </si>
  <si>
    <t xml:space="preserve">B04D</t>
  </si>
  <si>
    <t xml:space="preserve">Zona05_PB08_Rede_TR014</t>
  </si>
  <si>
    <t xml:space="preserve">CHÁCARA 58</t>
  </si>
  <si>
    <t xml:space="preserve">TRECHO DE Zona05_PB08_Rede_NÓ55.3 A Zona05_PB08_Rede_NÓ55.2</t>
  </si>
  <si>
    <t xml:space="preserve">Zona05_PB08_Rede_NÓ55.3</t>
  </si>
  <si>
    <t xml:space="preserve">ADF2</t>
  </si>
  <si>
    <t xml:space="preserve">Zona05_PB08_Rede_TR015</t>
  </si>
  <si>
    <t xml:space="preserve">CHÁCARA 57</t>
  </si>
  <si>
    <t xml:space="preserve">TRECHO DE Zona05_PB08_Rede_NÓ55.4 A Zona05_PB08_Rede_NÓ55.3</t>
  </si>
  <si>
    <t xml:space="preserve">Zona05_PB08_Rede_NÓ55.4</t>
  </si>
  <si>
    <t xml:space="preserve">2C5E9, B1EB</t>
  </si>
  <si>
    <t xml:space="preserve">Zona05_PB08_Rede_TR016</t>
  </si>
  <si>
    <t xml:space="preserve">TRECHO DE Zona05_PB08_Rede_NÓ55.5 A Zona05_PB08_Rede_NÓ55.4</t>
  </si>
  <si>
    <t xml:space="preserve">Zona05_PB08_Rede_NÓ55.5</t>
  </si>
  <si>
    <t xml:space="preserve">2C5E9</t>
  </si>
  <si>
    <t xml:space="preserve">Zona05_PB08_Rede_TR017</t>
  </si>
  <si>
    <t xml:space="preserve">TRECHO DE Zona05_PB08_Rede_NÓ54.15 A Zona05_PB08_Rede_NÓ110.2; INCLUI 4,02 M DE TUBO DESENHADO NO PRÓPRIO NÓ (NÓ110.2, NÓ54.15: anel de ponta/toco)</t>
  </si>
  <si>
    <t xml:space="preserve">Zona05_PB08_Rede_NÓ54.15</t>
  </si>
  <si>
    <t xml:space="preserve">2CEA3</t>
  </si>
  <si>
    <t xml:space="preserve">Zona05_PB08_Rede_TR018</t>
  </si>
  <si>
    <t xml:space="preserve">TRECHO DE Zona05_PB08_Rede_NÓ55.6 A Zona05_PB08_Rede_NÓ55.5</t>
  </si>
  <si>
    <t xml:space="preserve">Zona05_PB08_Rede_NÓ55.6</t>
  </si>
  <si>
    <t xml:space="preserve">B044</t>
  </si>
  <si>
    <t xml:space="preserve">Zona05_PB08_Rede_TR019</t>
  </si>
  <si>
    <t xml:space="preserve">CHÁCARA 56</t>
  </si>
  <si>
    <t xml:space="preserve">TRECHO DE Zona05_PB08_Rede_NÓ55.7 A Zona05_PB08_Rede_NÓ55.6; INCLUI 0,05 M DE TUBO DESENHADO NO PRÓPRIO NÓ (NÓ55.7: anel de ponta/toco)</t>
  </si>
  <si>
    <t xml:space="preserve">Zona05_PB08_Rede_NÓ55.7</t>
  </si>
  <si>
    <t xml:space="preserve">B047</t>
  </si>
  <si>
    <t xml:space="preserve">Zona05_PB08_Rede_TR020</t>
  </si>
  <si>
    <t xml:space="preserve">TRECHO DE Zona05_PB08_Rede_NÓ55.8 A Zona05_PB08_Rede_NÓ55.7; INCLUI 0,05 M DE TUBO DESENHADO NO PRÓPRIO NÓ (NÓ55.8: anel de ponta/toco)</t>
  </si>
  <si>
    <t xml:space="preserve">Zona05_PB08_Rede_NÓ55.8</t>
  </si>
  <si>
    <t xml:space="preserve">2C5E6, 2CF3B</t>
  </si>
  <si>
    <t xml:space="preserve">Zona05_PB08_Rede_TR021</t>
  </si>
  <si>
    <t xml:space="preserve">TRECHO DE Zona05_PB08_Rede_NÓ1.2 A Zona05_PB08_Rede_NÓ55.3</t>
  </si>
  <si>
    <t xml:space="preserve">Zona05_PB08_Rede_NÓ1.2</t>
  </si>
  <si>
    <t xml:space="preserve">B1F4</t>
  </si>
  <si>
    <t xml:space="preserve">Zona05_PB08_Rede_TR022</t>
  </si>
  <si>
    <t xml:space="preserve">TRECHO DE Zona05_PB08_CH_VM-5.2 A Zona05_PB08_Rede_NÓ55.8</t>
  </si>
  <si>
    <t xml:space="preserve">Zona05_PB08_CH_VM-5.2</t>
  </si>
  <si>
    <t xml:space="preserve">B3F2</t>
  </si>
  <si>
    <t xml:space="preserve">Zona05_PB08_Rede_TR023</t>
  </si>
  <si>
    <t xml:space="preserve">TRECHO DE Zona05_PB08_Rede_NÓ55.9 A Zona05_PB08_CH_VM-5.2</t>
  </si>
  <si>
    <t xml:space="preserve">Zona05_PB08_Rede_NÓ55.9</t>
  </si>
  <si>
    <t xml:space="preserve">Zona05_PB08_Rede_TR024</t>
  </si>
  <si>
    <t xml:space="preserve">TRECHO DE Zona05_PB08_Rede_NÓ1.3 A Zona05_PB08_Rede_NÓ55.4</t>
  </si>
  <si>
    <t xml:space="preserve">Zona05_PB08_Rede_NÓ1.3</t>
  </si>
  <si>
    <t xml:space="preserve">2C9AE, 2C9AF</t>
  </si>
  <si>
    <t xml:space="preserve">Zona05_PB08_Rede_TR025</t>
  </si>
  <si>
    <t xml:space="preserve">CHÁCARA 55B</t>
  </si>
  <si>
    <t xml:space="preserve">TRECHO DE Zona05_PB08_Rede_NÓ55.10 A Zona05_PB08_Rede_NÓ55.9</t>
  </si>
  <si>
    <t xml:space="preserve">Zona05_PB08_Rede_NÓ55.10</t>
  </si>
  <si>
    <t xml:space="preserve">B05F</t>
  </si>
  <si>
    <t xml:space="preserve">Zona05_PB08_Rede_TR026</t>
  </si>
  <si>
    <t xml:space="preserve">TRECHO DE Zona05_PB08_Rede_NÓ55.11 A Zona05_PB08_Rede_NÓ55.10</t>
  </si>
  <si>
    <t xml:space="preserve">Zona05_PB08_Rede_NÓ55.11</t>
  </si>
  <si>
    <t xml:space="preserve">2C5E7, B062</t>
  </si>
  <si>
    <t xml:space="preserve">Zona05_PB08_Rede_TR027</t>
  </si>
  <si>
    <t xml:space="preserve">Q 21</t>
  </si>
  <si>
    <t xml:space="preserve">TRECHO DE Zona05_PB08_Rede_NÓ1.11 A DIVISA DE ZONA; TRECHO DIVIDIDO NA DIVISA DE ZONA (TRECHO ORIGINAL ENTRE PONTOS DA REDE: 43,98 M)</t>
  </si>
  <si>
    <t xml:space="preserve">Zona05_PB08_Rede_TR028</t>
  </si>
  <si>
    <t xml:space="preserve">TRECHO DE Zona05_PB08_Rede_NÓ1.2 A Zona05_PB08_Rede_NÓ1.3</t>
  </si>
  <si>
    <t xml:space="preserve">ADCB</t>
  </si>
  <si>
    <t xml:space="preserve">Zona05_PB08_Rede_TR029</t>
  </si>
  <si>
    <t xml:space="preserve">TRECHO DE Zona05_PB08_Rede_NÓ55.11 A Zona05_PB08_Rede_NÓ84.1</t>
  </si>
  <si>
    <t xml:space="preserve">Zona05_PB08_Rede_NÓ84.1</t>
  </si>
  <si>
    <t xml:space="preserve">2C5E7, 2CF3A</t>
  </si>
  <si>
    <t xml:space="preserve">Zona05_PB08_Rede_TR030</t>
  </si>
  <si>
    <t xml:space="preserve">TRECHO DE Zona05_PB08_Rede_NÓ84.1 A Zona05_PB08_Rede_NÓ1.11</t>
  </si>
  <si>
    <t xml:space="preserve">B065, BA52</t>
  </si>
  <si>
    <t xml:space="preserve">Zona05_PB08_Rede_TR031</t>
  </si>
  <si>
    <t xml:space="preserve">TRECHO DE Zona05_PB08_Rede_NÓ107.4 A Zona05_PB08_Rede_NÓ107.2; INCLUI 0,17 M DE TUBO DESENHADO NO PRÓPRIO NÓ (NÓ107.2: anel de ponta/toco)</t>
  </si>
  <si>
    <t xml:space="preserve">Zona05_PB08_Rede_NÓ107.2</t>
  </si>
  <si>
    <t xml:space="preserve">B065</t>
  </si>
  <si>
    <t xml:space="preserve">Zona05_PB08_Rede_TR032</t>
  </si>
  <si>
    <t xml:space="preserve">TRECHO DE Zona05_PB08_Rede_NÓ84.1 A Zona05_PB08_Rede_NÓ55.12</t>
  </si>
  <si>
    <t xml:space="preserve">Zona05_PB08_Rede_NÓ55.12</t>
  </si>
  <si>
    <t xml:space="preserve">BA4F</t>
  </si>
  <si>
    <t xml:space="preserve">Zona05_PB08_Rede_TR033</t>
  </si>
  <si>
    <t xml:space="preserve">TRECHO DE Zona05_PB08_Rede_NÓ107.4 A Zona05_PB08_Rede_NÓ54.14; INCLUI 4,01 M DE TUBO DESENHADO NO PRÓPRIO NÓ (NÓ54.14: anel de ponta/toco)</t>
  </si>
  <si>
    <t xml:space="preserve">Zona05_PB08_Rede_NÓ54.14</t>
  </si>
  <si>
    <t xml:space="preserve">37240</t>
  </si>
  <si>
    <t xml:space="preserve">Zona05_PB08_Rede_TR034</t>
  </si>
  <si>
    <t xml:space="preserve">TRECHO DE Zona05_PB08_Rede_NÓ55.12 A Zona05_PB08_Rede_NÓ55.13</t>
  </si>
  <si>
    <t xml:space="preserve">Zona05_PB08_Rede_NÓ55.13</t>
  </si>
  <si>
    <t xml:space="preserve">B380</t>
  </si>
  <si>
    <t xml:space="preserve">Zona05_PB08_Rede_TR035</t>
  </si>
  <si>
    <t xml:space="preserve">TRECHO DE Zona05_PB08_Rede_NÓ55.9 A Zona05_PB08_Rede_NÓ1.7</t>
  </si>
  <si>
    <t xml:space="preserve">Zona05_PB08_Rede_NÓ1.7</t>
  </si>
  <si>
    <t xml:space="preserve">2C84B, B7B8, B7BB</t>
  </si>
  <si>
    <t xml:space="preserve">Zona05_PB08_Rede_TR036</t>
  </si>
  <si>
    <t xml:space="preserve">TRECHO DE Zona05_PB08_Rede_NÓ55.7 A Zona05_PB08_Rede_NÓ54.5; INCLUI 4,00 M DE TUBO DESENHADO NO PRÓPRIO NÓ (NÓ54.5: anel de ponta/toco)</t>
  </si>
  <si>
    <t xml:space="preserve">Zona05_PB08_Rede_NÓ54.5</t>
  </si>
  <si>
    <t xml:space="preserve">B7C1, B7C4, B7C7</t>
  </si>
  <si>
    <t xml:space="preserve">Zona05_PB08_Rede_TR037</t>
  </si>
  <si>
    <t xml:space="preserve">TRECHO DE Zona05_PB08_Rede_NÓ55.11 A Zona05_PB08_Rede_NÓ54.9; INCLUI 4,05 M DE TUBO DESENHADO NO PRÓPRIO NÓ (NÓ54.9: anel de ponta/toco)</t>
  </si>
  <si>
    <t xml:space="preserve">Zona05_PB08_Rede_NÓ54.9</t>
  </si>
  <si>
    <t xml:space="preserve">2C974</t>
  </si>
  <si>
    <t xml:space="preserve">Zona05_PB08_Rede_TR038</t>
  </si>
  <si>
    <t xml:space="preserve">Q 54</t>
  </si>
  <si>
    <t xml:space="preserve">TRECHO DE Zona05_PB08_Rede_NÓ1.8 A Zona05_PB08_Rede_NÓ55.10</t>
  </si>
  <si>
    <t xml:space="preserve">Zona05_PB08_Rede_NÓ1.8</t>
  </si>
  <si>
    <t xml:space="preserve">B7B2, B7B5</t>
  </si>
  <si>
    <t xml:space="preserve">Zona05_PB08_Rede_TR039</t>
  </si>
  <si>
    <t xml:space="preserve">TRECHO DE Zona05_PB08_Rede_NÓ55.2 A Zona05_PB10_Rede_NÓ54.9; INCLUI 4,40 M DE TUBO DESENHADO NO PRÓPRIO NÓ (NÓ54.9: anel de ponta/toco)</t>
  </si>
  <si>
    <t xml:space="preserve">Zona05_PB10_Rede_NÓ54.9</t>
  </si>
  <si>
    <t xml:space="preserve">561BC, B863, B866</t>
  </si>
  <si>
    <t xml:space="preserve">Zona05_PB08_Rede_TR040</t>
  </si>
  <si>
    <t xml:space="preserve">TRECHO DE Zona05_PB10_Rede_NÓ1.18 A Zona05_PB08_Rede_NÓ1.2</t>
  </si>
  <si>
    <t xml:space="preserve">Zona05_PB10_Rede_NÓ1.18</t>
  </si>
  <si>
    <t xml:space="preserve">2C40E, 2C40F, B1F4, B836, B839, B83C</t>
  </si>
  <si>
    <t xml:space="preserve">Zona05_PB08_Rede_TR041</t>
  </si>
  <si>
    <t xml:space="preserve">TRECHO DE Zona05_PB08_Rede_NÓ55.5 A Zona05_PB11_Rede_NÓ2.3</t>
  </si>
  <si>
    <t xml:space="preserve">Zona05_PB11_Rede_NÓ2.3</t>
  </si>
  <si>
    <t xml:space="preserve">2C41C, 2C9C4, 2CBDE, B803, B809, B815</t>
  </si>
  <si>
    <t xml:space="preserve">Zona05_PB08_Rede_TR042</t>
  </si>
  <si>
    <t xml:space="preserve">TRECHO DE Zona05_PB08_Rede_NÓ54.13 A Zona05_PB08_Rede_NÓ55.12; INCLUI 4,04 M DE TUBO DESENHADO NO PRÓPRIO NÓ (NÓ54.13: anel de ponta/toco)</t>
  </si>
  <si>
    <t xml:space="preserve">Zona05_PB08_Rede_NÓ54.13</t>
  </si>
  <si>
    <t xml:space="preserve">2C426, 2C9C7, B7A6, B7A9</t>
  </si>
  <si>
    <t xml:space="preserve">Zona05_PB08_Rede_TR043</t>
  </si>
  <si>
    <t xml:space="preserve">TRECHO DE Zona05_PB08_Rede_NÓ55.6 A Zona05_PB11_Rede_NÓ2.5</t>
  </si>
  <si>
    <t xml:space="preserve">Zona05_PB11_Rede_NÓ2.5</t>
  </si>
  <si>
    <t xml:space="preserve">2C41B, 2CBDD, B39E, B806, B80C, B80F</t>
  </si>
  <si>
    <t xml:space="preserve">Zona05_PB08_Rede_TR044</t>
  </si>
  <si>
    <t xml:space="preserve">TRECHO DE Zona05_PB08_Rede_NÓ55.13 A Zona05_PB08_Rede_NÓ55.14</t>
  </si>
  <si>
    <t xml:space="preserve">Zona05_PB08_Rede_NÓ55.14</t>
  </si>
  <si>
    <t xml:space="preserve">AFF3</t>
  </si>
  <si>
    <t xml:space="preserve">Zona05_PB08_Rede_TR045</t>
  </si>
  <si>
    <t xml:space="preserve">TRECHO DE Zona05_PB11_Rede_NÓ2.2 A Zona05_PB08_Rede_NÓ1.3</t>
  </si>
  <si>
    <t xml:space="preserve">Zona05_PB11_Rede_NÓ2.2</t>
  </si>
  <si>
    <t xml:space="preserve">2C40C, 2C9AE</t>
  </si>
  <si>
    <t xml:space="preserve">Zona05_PB08_Rede_TR046</t>
  </si>
  <si>
    <t xml:space="preserve">TRECHO DE Zona05_PB08_Rede_NÓ55.8 A DIVISA DE ZONA; TRECHO DIVIDIDO NA DIVISA DE ZONA (TRECHO ORIGINAL ENTRE PONTOS DA REDE: 427,48 M)</t>
  </si>
  <si>
    <t xml:space="preserve">2C3E9, B7BE, B7CA, B7D3, BB0C, BB0F</t>
  </si>
  <si>
    <t xml:space="preserve">Zona05_PB08_Rede_TR047</t>
  </si>
  <si>
    <t xml:space="preserve">TRECHO DE Zona05_PB08_Rede_NÓ1.8 A Zona05_PB08_Rede_NÓ1.7</t>
  </si>
  <si>
    <t xml:space="preserve">B01A</t>
  </si>
  <si>
    <t xml:space="preserve">Zona05_PB08_Rede_TR048</t>
  </si>
  <si>
    <t xml:space="preserve">TRECHO DE Zona05_PB08_Rede_NÓ55.13 A Zona05_PB11_Rede_NÓ54.6; INCLUI 2,05 M DE TUBO DESENHADO NO PRÓPRIO NÓ (NÓ54.6: anel de ponta/toco)</t>
  </si>
  <si>
    <t xml:space="preserve">Zona05_PB11_Rede_NÓ54.6</t>
  </si>
  <si>
    <t xml:space="preserve">56AD3, B7AC, B7AF</t>
  </si>
  <si>
    <t xml:space="preserve">Zona05_PB08_Rede_TR049</t>
  </si>
  <si>
    <t xml:space="preserve">TRECHO DE Zona05_PB08_Rede_NÓ1.7 A Zona05_PB08_Rede_NÓ1.4</t>
  </si>
  <si>
    <t xml:space="preserve">Zona05_PB08_Rede_NÓ1.4</t>
  </si>
  <si>
    <t xml:space="preserve">AFFF</t>
  </si>
  <si>
    <t xml:space="preserve">Zona05_PB08_Rede_TR050</t>
  </si>
  <si>
    <t xml:space="preserve">TRECHO DE Zona05_PB08_Rede_NÓ2.1 A Zona05_PB08_Rede_NÓ1.4</t>
  </si>
  <si>
    <t xml:space="preserve">Zona05_PB08_Rede_NÓ2.1</t>
  </si>
  <si>
    <t xml:space="preserve">2CF41</t>
  </si>
  <si>
    <t xml:space="preserve">Zona05_PB09_Rede_TR001</t>
  </si>
  <si>
    <t xml:space="preserve">TRECHO DE Zona05_PB09_Rede_NÓ54.2 A Zona05_PB08_Rede_NÓ1.12; INCLUI 4,05 M DE TUBO DESENHADO NO PRÓPRIO NÓ (NÓ54.2: anel de ponta/toco)</t>
  </si>
  <si>
    <t xml:space="preserve">Zona05_PB09_Rede_NÓ54.2</t>
  </si>
  <si>
    <t xml:space="preserve">B218</t>
  </si>
  <si>
    <t xml:space="preserve">Zona05_PB10_Rede_TR001</t>
  </si>
  <si>
    <t xml:space="preserve">TRECHO DE Zona05_PB07_Rede_NÓ1.15 A Zona05_PB10_Rede_NÓ1.15</t>
  </si>
  <si>
    <t xml:space="preserve">B425</t>
  </si>
  <si>
    <t xml:space="preserve">Zona05_PB10_Rede_TR002</t>
  </si>
  <si>
    <t xml:space="preserve">TRECHO DE Zona05_PB10_Rede_NÓ1.18 A Zona05_PB11_Rede_NÓ2.2</t>
  </si>
  <si>
    <t xml:space="preserve">2C40C</t>
  </si>
  <si>
    <t xml:space="preserve">Zona05_PB10_Rede_TR003</t>
  </si>
  <si>
    <t xml:space="preserve">TRECHO DE Zona05_PB07_Rede_NÓ56.1 A Zona05_PB10_Rede_NÓ56.2; INCLUI 0,18 M DE TUBO DESENHADO NO PRÓPRIO NÓ (NÓ56.2: anel de ponta/toco)</t>
  </si>
  <si>
    <t xml:space="preserve">Zona05_PB10_Rede_NÓ56.2</t>
  </si>
  <si>
    <t xml:space="preserve">AE16, B077</t>
  </si>
  <si>
    <t xml:space="preserve">Zona05_PB10_Rede_TR004</t>
  </si>
  <si>
    <t xml:space="preserve">TRECHO DE Zona05_PB10_Rede_NÓ1.15 A Zona05_PB10_Rede_NÓ56.2; INCLUI 0,52 M DE TUBO DESENHADO NO PRÓPRIO NÓ (NÓ56.2: anel de ponta/toco)</t>
  </si>
  <si>
    <t xml:space="preserve">AE4F</t>
  </si>
  <si>
    <t xml:space="preserve">Zona05_PB10_Rede_TR005</t>
  </si>
  <si>
    <t xml:space="preserve">TRECHO DE Zona05_PB10_Rede_NÓ1.18 A Zona05_PB10_Rede_NÓ54.7; INCLUI 4,04 M DE TUBO DESENHADO NO PRÓPRIO NÓ (NÓ54.7: anel de ponta/toco)</t>
  </si>
  <si>
    <t xml:space="preserve">Zona05_PB10_Rede_NÓ54.7</t>
  </si>
  <si>
    <t xml:space="preserve">2C408, 2C409, 2CF43, B830, BB00</t>
  </si>
  <si>
    <t xml:space="preserve">Zona05_PB10_Rede_TR006</t>
  </si>
  <si>
    <t xml:space="preserve">TRECHO DE Zona05_PB10_Rede_NÓ56.2 A Zona05_PB10_Rede_NÓ56.3</t>
  </si>
  <si>
    <t xml:space="preserve">B074</t>
  </si>
  <si>
    <t xml:space="preserve">Zona05_PB10_Rede_TR007</t>
  </si>
  <si>
    <t xml:space="preserve">TRECHO DE Zona05_PB10_Rede_NÓ56.3 A Zona05_PB10_CH_VM-5.3</t>
  </si>
  <si>
    <t xml:space="preserve">Zona05_PB10_CH_VM-5.3</t>
  </si>
  <si>
    <t xml:space="preserve">BAD9</t>
  </si>
  <si>
    <t xml:space="preserve">Zona05_PB10_Rede_TR008</t>
  </si>
  <si>
    <t xml:space="preserve">TRECHO DE DIVISA DE ZONA A Zona05_PB10_Rede_NÓ13.1; TRECHO DIVIDIDO NA DIVISA DE ZONA (TRECHO ORIGINAL ENTRE PONTOS DA REDE: 412,13 M)</t>
  </si>
  <si>
    <t xml:space="preserve">Zona05_PB10_Rede_NÓ13.1</t>
  </si>
  <si>
    <t xml:space="preserve">6CB31, 6CB39</t>
  </si>
  <si>
    <t xml:space="preserve">Zona05_PB10_Rede_TR009</t>
  </si>
  <si>
    <t xml:space="preserve">TRECHO DE Zona05_PB10_CH_VM-5.3 A Zona05_PB10_Rede_NÓ111.1</t>
  </si>
  <si>
    <t xml:space="preserve">Zona05_PB10_Rede_NÓ111.1</t>
  </si>
  <si>
    <t xml:space="preserve">Zona05_PB10_Rede_TR010</t>
  </si>
  <si>
    <t xml:space="preserve">TRECHO DE Zona05_PB10_Rede_NÓ111.1 A Zona05_PB10_Rede_NÓ13.1</t>
  </si>
  <si>
    <t xml:space="preserve">6CB39</t>
  </si>
  <si>
    <t xml:space="preserve">Zona05_PB10_Rede_TR011</t>
  </si>
  <si>
    <t xml:space="preserve">TRECHO DE Zona05_PB10_Rede_NÓ111.1 A Zona05_PB10_CH_VRP-12</t>
  </si>
  <si>
    <t xml:space="preserve">Zona05_PB10_CH_VRP-12</t>
  </si>
  <si>
    <t xml:space="preserve">6E2C6</t>
  </si>
  <si>
    <t xml:space="preserve">Zona05_PB10_Rede_TR012</t>
  </si>
  <si>
    <t xml:space="preserve">TRECHO DE Zona05_PB10_CH_VRP-12 A DIVISA DE ZONA; TRECHO DIVIDIDO NA DIVISA DE ZONA (TRECHO ORIGINAL ENTRE PONTOS DA REDE: 24,33 M)</t>
  </si>
  <si>
    <t xml:space="preserve">Zona05_PB11_Rede_TR001</t>
  </si>
  <si>
    <t xml:space="preserve">A.RED.SSB-D014.V03.T01.012/037</t>
  </si>
  <si>
    <t xml:space="preserve">CHÁCARA 55</t>
  </si>
  <si>
    <t xml:space="preserve">TRECHO DE Zona05_PB08_Rede_NÓ55.14 A Zona05_PB11_Rede_NÓ54.7; INCLUI 4,91 M DE TUBO DESENHADO NO PRÓPRIO NÓ (NÓ54.7: anel de ponta/toco)</t>
  </si>
  <si>
    <t xml:space="preserve">PB11</t>
  </si>
  <si>
    <t xml:space="preserve">Zona05_PB11_Rede_NÓ54.7</t>
  </si>
  <si>
    <t xml:space="preserve">2C9FF, B3EC</t>
  </si>
  <si>
    <t xml:space="preserve">Zona05_PB11_Rede_TR002</t>
  </si>
  <si>
    <t xml:space="preserve">TRECHO DE Zona05_PB08_Rede_NÓ55.14 A Zona05_PB11_Rede_NÓ55.2</t>
  </si>
  <si>
    <t xml:space="preserve">Zona05_PB11_Rede_NÓ55.2</t>
  </si>
  <si>
    <t xml:space="preserve">B1C1</t>
  </si>
  <si>
    <t xml:space="preserve">Zona05_PB11_Rede_TR003</t>
  </si>
  <si>
    <t xml:space="preserve">TRECHO DE Zona05_PB08_Rede_NÓ1.4 A Zona05_PB11_Rede_NÓ1.9</t>
  </si>
  <si>
    <t xml:space="preserve">Zona05_PB11_Rede_NÓ1.9</t>
  </si>
  <si>
    <t xml:space="preserve">2CF40, A726</t>
  </si>
  <si>
    <t xml:space="preserve">Zona05_PB11_Rede_TR004</t>
  </si>
  <si>
    <t xml:space="preserve">TRECHO DE Zona05_PB08_Rede_NÓ2.1 A Zona05_PB11_Rede_NÓ2.9</t>
  </si>
  <si>
    <t xml:space="preserve">Zona05_PB11_Rede_NÓ2.9</t>
  </si>
  <si>
    <t xml:space="preserve">2C8E6, 2CF41</t>
  </si>
  <si>
    <t xml:space="preserve">Zona05_PB11_Rede_TR005</t>
  </si>
  <si>
    <t xml:space="preserve">CHÁCARA 54</t>
  </si>
  <si>
    <t xml:space="preserve">TRECHO DE Zona05_PB11_Rede_NÓ1.9 A Zona05_PB11_Rede_NÓ1.15</t>
  </si>
  <si>
    <t xml:space="preserve">Zona05_PB11_Rede_NÓ1.15</t>
  </si>
  <si>
    <t xml:space="preserve">AFF9</t>
  </si>
  <si>
    <t xml:space="preserve">Zona05_PB11_Rede_TR006</t>
  </si>
  <si>
    <t xml:space="preserve">TRECHO DE Zona05_PB11_Rede_NÓ54.5 A DIVISA DE ZONA; INCLUI 3,94 M DE TUBO DESENHADO NO PRÓPRIO NÓ (NÓ54.5: anel de ponta/toco); TRECHO DIVIDIDO NA DIVISA DE ZONA (TRECHO ORIGINAL ENTRE PONTOS DA REDE: 140,20 M)</t>
  </si>
  <si>
    <t xml:space="preserve">Zona05_PB11_Rede_NÓ54.5</t>
  </si>
  <si>
    <t xml:space="preserve">BB09</t>
  </si>
  <si>
    <t xml:space="preserve">Zona05_PB11_Rede_TR007</t>
  </si>
  <si>
    <t xml:space="preserve">TRECHO DE Zona05_PB11_Rede_NÓ54.9 A Zona05_PB11_Rede_NÓ55.2; INCLUI 4,00 M DE TUBO DESENHADO NO PRÓPRIO NÓ (NÓ54.9: anel de ponta/toco)</t>
  </si>
  <si>
    <t xml:space="preserve">Zona05_PB11_Rede_NÓ54.9</t>
  </si>
  <si>
    <t xml:space="preserve">2C3E8, 2CEA0, AFF0</t>
  </si>
  <si>
    <t xml:space="preserve">Zona05_PB11_Rede_TR008</t>
  </si>
  <si>
    <t xml:space="preserve">TRECHO DE Zona05_PB11_Rede_NÓ55.1 A Zona05_PB08_Rede_NÓ1.8</t>
  </si>
  <si>
    <t xml:space="preserve">Zona05_PB11_Rede_NÓ55.1</t>
  </si>
  <si>
    <t xml:space="preserve">B794, B797, B79A</t>
  </si>
  <si>
    <t xml:space="preserve">Zona05_PB11_Rede_TR009</t>
  </si>
  <si>
    <t xml:space="preserve">CHÁCARA 52</t>
  </si>
  <si>
    <t xml:space="preserve">TRECHO DE Zona05_PB11_Rede_NÓ1.5 A Zona05_PB11_Rede_NÓ1.9</t>
  </si>
  <si>
    <t xml:space="preserve">Zona05_PB11_Rede_NÓ1.5</t>
  </si>
  <si>
    <t xml:space="preserve">B1D3</t>
  </si>
  <si>
    <t xml:space="preserve">Zona05_PB11_Rede_TR010</t>
  </si>
  <si>
    <t xml:space="preserve">TRECHO DE Zona05_PB11_Rede_NÓ2.3 A Zona05_PB11_Rede_NÓ2.5</t>
  </si>
  <si>
    <t xml:space="preserve">B04A</t>
  </si>
  <si>
    <t xml:space="preserve">Zona05_PB11_Rede_TR011</t>
  </si>
  <si>
    <t xml:space="preserve">TRECHO DE Zona05_PB11_Rede_NÓ1.15 A Zona05_PB11_Rede_NÓ1.14</t>
  </si>
  <si>
    <t xml:space="preserve">Zona05_PB11_Rede_NÓ1.14</t>
  </si>
  <si>
    <t xml:space="preserve">AFF6</t>
  </si>
  <si>
    <t xml:space="preserve">Zona05_PB11_Rede_TR012</t>
  </si>
  <si>
    <t xml:space="preserve">TRECHO DE Zona05_PB11_Rede_NÓ1.15 A Zona05_PB11_Rede_NÓ19.3</t>
  </si>
  <si>
    <t xml:space="preserve">Zona05_PB11_Rede_NÓ19.3</t>
  </si>
  <si>
    <t xml:space="preserve">B78E</t>
  </si>
  <si>
    <t xml:space="preserve">Zona05_PB11_Rede_TR013</t>
  </si>
  <si>
    <t xml:space="preserve">TRECHO DE Zona05_PB11_Rede_NÓ1.5 A Zona05_PB11_Rede_NÓ2.9</t>
  </si>
  <si>
    <t xml:space="preserve">2C8E6, B7CD</t>
  </si>
  <si>
    <t xml:space="preserve">Zona05_PB11_Rede_TR014</t>
  </si>
  <si>
    <t xml:space="preserve">TRECHO DE Zona05_PB11_Rede_NÓ55.2 A Zona05_PB11_Rede_NÓ55.1</t>
  </si>
  <si>
    <t xml:space="preserve">B1BE</t>
  </si>
  <si>
    <t xml:space="preserve">Zona05_PB11_Rede_TR015</t>
  </si>
  <si>
    <t xml:space="preserve">CHÁCARA 53</t>
  </si>
  <si>
    <t xml:space="preserve">TRECHO DE Zona05_PB11_Rede_NÓ1.14 A Zona05_PB11_Rede_NÓ1.11</t>
  </si>
  <si>
    <t xml:space="preserve">Zona05_PB11_Rede_NÓ1.11</t>
  </si>
  <si>
    <t xml:space="preserve">2CBB4, ADC8</t>
  </si>
  <si>
    <t xml:space="preserve">Zona05_PB11_Rede_TR016</t>
  </si>
  <si>
    <t xml:space="preserve">TRECHO DE Zona05_PB11_Rede_NÓ1.11 A Zona05_PB11_Rede_NÓ1.5</t>
  </si>
  <si>
    <t xml:space="preserve">B1CA</t>
  </si>
  <si>
    <t xml:space="preserve">Zona05_PB11_Rede_TR017</t>
  </si>
  <si>
    <t xml:space="preserve">TRECHO DE Zona05_PB11_Rede_NÓ1.14 A Zona05_PB11_Rede_NÓ19.2</t>
  </si>
  <si>
    <t xml:space="preserve">Zona05_PB11_Rede_NÓ19.2</t>
  </si>
  <si>
    <t xml:space="preserve">2CF80, B785</t>
  </si>
  <si>
    <t xml:space="preserve">Zona05_PB11_Rede_TR018</t>
  </si>
  <si>
    <t xml:space="preserve">TRECHO DE Zona05_PB11_Rede_NÓ19.3 A Zona05_PB11_Rede_NÓ82.3</t>
  </si>
  <si>
    <t xml:space="preserve">Zona05_PB11_Rede_NÓ82.3</t>
  </si>
  <si>
    <t xml:space="preserve">B78B, B791</t>
  </si>
  <si>
    <t xml:space="preserve">Zona05_PB11_Rede_TR019</t>
  </si>
  <si>
    <t xml:space="preserve">TRECHO DE Zona05_PB11_Rede_NÓ1.11 A Zona05_PB11_Rede_NÓ19.1; INCLUI 1,03 M DE TUBO DESENHADO NO PRÓPRIO NÓ (NÓ1.11: anel de ponta/toco)</t>
  </si>
  <si>
    <t xml:space="preserve">Zona05_PB11_Rede_NÓ19.1</t>
  </si>
  <si>
    <t xml:space="preserve">B410</t>
  </si>
  <si>
    <t xml:space="preserve">Zona05_PB11_Rede_TR020</t>
  </si>
  <si>
    <t xml:space="preserve">TRECHO DE Zona05_PB11_Rede_NÓ82.3 A Zona05_PB11_Rede_NÓ55.1</t>
  </si>
  <si>
    <t xml:space="preserve">B029</t>
  </si>
  <si>
    <t xml:space="preserve">Zona05_PB11_Rede_TR021</t>
  </si>
  <si>
    <t xml:space="preserve">Q 53</t>
  </si>
  <si>
    <t xml:space="preserve">TRECHO DE Zona05_PB11_Rede_NÓ82.2 A Zona05_PB11_Rede_NÓ19.2</t>
  </si>
  <si>
    <t xml:space="preserve">Zona05_PB11_Rede_NÓ82.2</t>
  </si>
  <si>
    <t xml:space="preserve">2C963, 2CF82</t>
  </si>
  <si>
    <t xml:space="preserve">Zona05_PB11_Rede_TR022</t>
  </si>
  <si>
    <t xml:space="preserve">TRECHO DE Zona05_PB11_Rede_NÓ82.2 A Zona05_PB11_Rede_NÓ82.3</t>
  </si>
  <si>
    <t xml:space="preserve">ADE0</t>
  </si>
  <si>
    <t xml:space="preserve">Zona05_PB11_Rede_TR023</t>
  </si>
  <si>
    <t xml:space="preserve">TRECHO DE Zona05_PB11_Rede_NÓ82.1 A Zona05_PB11_Rede_NÓ19.1; INCLUI 0,35 M DE TUBO DESENHADO NO PRÓPRIO NÓ (NÓ19.1: anel de ponta/toco)</t>
  </si>
  <si>
    <t xml:space="preserve">Zona05_PB11_Rede_NÓ82.1</t>
  </si>
  <si>
    <t xml:space="preserve">B7D9, B7DC</t>
  </si>
  <si>
    <t xml:space="preserve">Zona05_PB11_Rede_TR024</t>
  </si>
  <si>
    <t xml:space="preserve">TRECHO DE Zona05_PB11_Rede_NÓ82.1 A Zona05_PB11_Rede_NÓ82.2</t>
  </si>
  <si>
    <t xml:space="preserve">B023</t>
  </si>
  <si>
    <t xml:space="preserve">Zona05_PB11_Rede_TR025</t>
  </si>
  <si>
    <t xml:space="preserve">TRECHO DE Zona05_PB11_Rede_NÓ82.1 A Zona05_PB11_CH_VRP-11</t>
  </si>
  <si>
    <t xml:space="preserve">Zona05_PB11_CH_VRP-11</t>
  </si>
  <si>
    <t xml:space="preserve">3724D</t>
  </si>
  <si>
    <t xml:space="preserve">Zona05_PB11_Rede_TR026</t>
  </si>
  <si>
    <t xml:space="preserve">TRECHO DE Zona05_PB11_CH_VRP-11 A DIVISA DE ZONA; TRECHO DIVIDIDO NA DIVISA DE ZONA (TRECHO ORIGINAL ENTRE PONTOS DA REDE: 534,48 M)</t>
  </si>
  <si>
    <t xml:space="preserve">Zona06</t>
  </si>
  <si>
    <t xml:space="preserve">Zona06_PB09_Rede_TR001</t>
  </si>
  <si>
    <t xml:space="preserve">CHÁCARA 85</t>
  </si>
  <si>
    <t xml:space="preserve">TRECHO DE Zona06_PB09_Rede_NÓ2.1 A Zona06_PB09_Rede_DF-20</t>
  </si>
  <si>
    <t xml:space="preserve">EQUIPE ZONA 06</t>
  </si>
  <si>
    <t xml:space="preserve">Zona06_PB09_Rede_NÓ2.1</t>
  </si>
  <si>
    <t xml:space="preserve">Zona06_PB09_Rede_DF-20</t>
  </si>
  <si>
    <t xml:space="preserve">6C7ED</t>
  </si>
  <si>
    <t xml:space="preserve">Zona06_PB12_Adutora_TR001</t>
  </si>
  <si>
    <t xml:space="preserve">A.RED.SSB-D014.V03.T01.013/037</t>
  </si>
  <si>
    <t xml:space="preserve">TRECHO DE Zona06_PB12_Adutora_NÓ42.1 A Zona06_PB12_Adutora_NÓ97.1; INCLUI 4,01 M DE TUBO DESENHADO NO PRÓPRIO NÓ (NÓ97.1: anel de ponta/toco)</t>
  </si>
  <si>
    <t xml:space="preserve">PB12</t>
  </si>
  <si>
    <t xml:space="preserve">Zona06_PB12_Adutora_NÓ42.1</t>
  </si>
  <si>
    <t xml:space="preserve">Zona06_PB12_Adutora_NÓ97.1</t>
  </si>
  <si>
    <t xml:space="preserve">41AF1</t>
  </si>
  <si>
    <t xml:space="preserve">Zona06_PB12_Rede_NÓ42.1</t>
  </si>
  <si>
    <t xml:space="preserve">Zona06_PB12_Adutora_TR002</t>
  </si>
  <si>
    <t xml:space="preserve">TRECHO DE DIVISA DE ZONA A Zona06_PB12_Adutora_NÓ42.1; TRECHO DIVIDIDO NA DIVISA DE ZONA (TRECHO ORIGINAL ENTRE PONTOS DA REDE: 716,45 M)</t>
  </si>
  <si>
    <t xml:space="preserve">41AF1, E89C</t>
  </si>
  <si>
    <t xml:space="preserve">Zona06_PB12_Rede_TR001</t>
  </si>
  <si>
    <t xml:space="preserve">TRECHO DE Zona06_PB12_Rede_NÓ1.15 A Zona06_PB12_Rede_NÓ54.12; INCLUI 4,01 M DE TUBO DESENHADO NO PRÓPRIO NÓ (NÓ54.12: anel de ponta/toco)</t>
  </si>
  <si>
    <t xml:space="preserve">Zona06_PB12_Rede_NÓ1.15</t>
  </si>
  <si>
    <t xml:space="preserve">Zona06_PB12_Rede_NÓ54.12</t>
  </si>
  <si>
    <t xml:space="preserve">37554</t>
  </si>
  <si>
    <t xml:space="preserve">Zona06_PB12_Rede_TR002</t>
  </si>
  <si>
    <t xml:space="preserve">TRECHO DE Zona06_PB09_Rede_DF-20 A Zona06_PB12_Rede_NÓ1.15</t>
  </si>
  <si>
    <t xml:space="preserve">Zona06_PB12_Rede_TR003</t>
  </si>
  <si>
    <t xml:space="preserve">TRECHO DE Zona06_PB12_Rede_NÓ1.13 A Zona06_PB09_Rede_NÓ2.1</t>
  </si>
  <si>
    <t xml:space="preserve">Zona06_PB12_Rede_NÓ1.13</t>
  </si>
  <si>
    <t xml:space="preserve">41A6E, 6C7ED</t>
  </si>
  <si>
    <t xml:space="preserve">Zona06_PB12_Rede_TR004</t>
  </si>
  <si>
    <t xml:space="preserve">TRECHO DE Zona06_PB12_Rede_NÓ1.14 A Zona06_PB12_Rede_NÓ1.15</t>
  </si>
  <si>
    <t xml:space="preserve">Zona06_PB12_Rede_NÓ1.14</t>
  </si>
  <si>
    <t xml:space="preserve">Zona06_PB12_Rede_TR005</t>
  </si>
  <si>
    <t xml:space="preserve">TRECHO DE Zona06_PB12_Rede_NÓ1.13 A Zona06_PB12_Rede_NÓ1.14</t>
  </si>
  <si>
    <t xml:space="preserve">2C349</t>
  </si>
  <si>
    <t xml:space="preserve">Zona06_PB12_Rede_TR006</t>
  </si>
  <si>
    <t xml:space="preserve">TRECHO DE Zona06_PB12_Rede_NÓ1.13 A Zona06_PB12_Rede_NÓ59.4</t>
  </si>
  <si>
    <t xml:space="preserve">Zona06_PB12_Rede_NÓ59.4</t>
  </si>
  <si>
    <t xml:space="preserve">2CDD6, 41A6E, 6C7EB</t>
  </si>
  <si>
    <t xml:space="preserve">Zona06_PB12_Rede_TR007</t>
  </si>
  <si>
    <t xml:space="preserve">TRECHO DE Zona06_PB12_Rede_NÓ1.14 A Zona06_PB12_Rede_NÓ59.7</t>
  </si>
  <si>
    <t xml:space="preserve">Zona06_PB12_Rede_NÓ59.7</t>
  </si>
  <si>
    <t xml:space="preserve">37553</t>
  </si>
  <si>
    <t xml:space="preserve">Zona06_PB12_Rede_TR008</t>
  </si>
  <si>
    <t xml:space="preserve">TRECHO DE Zona06_PB12_Rede_NÓ59.1 A Zona06_PB12_Rede_NÓ59.2</t>
  </si>
  <si>
    <t xml:space="preserve">Zona06_PB12_Rede_NÓ59.1</t>
  </si>
  <si>
    <t xml:space="preserve">Zona06_PB12_Rede_NÓ59.2</t>
  </si>
  <si>
    <t xml:space="preserve">B158</t>
  </si>
  <si>
    <t xml:space="preserve">Zona06_PB12_Rede_TR009</t>
  </si>
  <si>
    <t xml:space="preserve">TRECHO DE Zona06_PB12_Rede_NÓ59.1 A Zona06_PB12_Rede_NÓ2.2</t>
  </si>
  <si>
    <t xml:space="preserve">Zona06_PB12_Rede_NÓ2.2</t>
  </si>
  <si>
    <t xml:space="preserve">41A70</t>
  </si>
  <si>
    <t xml:space="preserve">Zona06_PB12_Rede_TR010</t>
  </si>
  <si>
    <t xml:space="preserve">CHÁCARA 42S/N</t>
  </si>
  <si>
    <t xml:space="preserve">TRECHO DE Zona06_PB12_Rede_NÓ59.2 A Zona06_PB12_Rede_NÓ59.3</t>
  </si>
  <si>
    <t xml:space="preserve">Zona06_PB12_Rede_NÓ59.3</t>
  </si>
  <si>
    <t xml:space="preserve">AF5A</t>
  </si>
  <si>
    <t xml:space="preserve">Zona06_PB12_Rede_TR011</t>
  </si>
  <si>
    <t xml:space="preserve">TRECHO DE Zona06_PB12_Rede_NÓ59.3 A Zona06_PB12_Rede_NÓ59.4</t>
  </si>
  <si>
    <t xml:space="preserve">AF60</t>
  </si>
  <si>
    <t xml:space="preserve">Zona06_PB12_Rede_TR012</t>
  </si>
  <si>
    <t xml:space="preserve">TRECHO DE Zona06_PB12_Rede_NÓ1.4 A Zona06_PB12_Rede_NÓ2.1</t>
  </si>
  <si>
    <t xml:space="preserve">Zona06_PB12_Rede_NÓ1.4</t>
  </si>
  <si>
    <t xml:space="preserve">Zona06_PB12_Rede_NÓ2.1</t>
  </si>
  <si>
    <t xml:space="preserve">B179</t>
  </si>
  <si>
    <t xml:space="preserve">Zona06_PB12_Rede_TR013</t>
  </si>
  <si>
    <t xml:space="preserve">TRECHO DE Zona06_PB12_Rede_NÓ59.4 A Zona06_PB12_Rede_NÓ59.7</t>
  </si>
  <si>
    <t xml:space="preserve">Zona06_PB12_Rede_TR014</t>
  </si>
  <si>
    <t xml:space="preserve">CHÁCARA 77</t>
  </si>
  <si>
    <t xml:space="preserve">TRECHO DE Zona06_PB12_Rede_DF-19 A Zona06_PB12_Rede_NÓ2.2</t>
  </si>
  <si>
    <t xml:space="preserve">Zona06_PB12_Rede_DF-19</t>
  </si>
  <si>
    <t xml:space="preserve">41A70, B26C</t>
  </si>
  <si>
    <t xml:space="preserve">Zona06_PB12_Rede_TR015</t>
  </si>
  <si>
    <t xml:space="preserve">TRECHO DE Zona06_PB12_Rede_NÓ59.7 A Zona06_PB12_Rede_NÓ59.8</t>
  </si>
  <si>
    <t xml:space="preserve">Zona06_PB12_Rede_NÓ59.8</t>
  </si>
  <si>
    <t xml:space="preserve">AF5D, AF60</t>
  </si>
  <si>
    <t xml:space="preserve">Zona06_PB12_Rede_TR016</t>
  </si>
  <si>
    <t xml:space="preserve">TRECHO DE Zona06_PB12_Rede_NÓ107.2 A Zona06_PB12_Rede_NÓ59.1</t>
  </si>
  <si>
    <t xml:space="preserve">Zona06_PB12_Rede_NÓ107.2</t>
  </si>
  <si>
    <t xml:space="preserve">BA16</t>
  </si>
  <si>
    <t xml:space="preserve">Zona06_PB12_Rede_TR017</t>
  </si>
  <si>
    <t xml:space="preserve">TRECHO DE Zona06_PB12_Rede_NÓ2.1 A JUNÇÃO SEM NÓ NA TABELA</t>
  </si>
  <si>
    <t xml:space="preserve">Zona06_PB12_Rede_TR018</t>
  </si>
  <si>
    <t xml:space="preserve">TRECHO DE Zona06_PB12_Rede_NÓ107.1 A Zona06_PB12_Rede_NÓ1.4</t>
  </si>
  <si>
    <t xml:space="preserve">Zona06_PB12_Rede_NÓ107.1</t>
  </si>
  <si>
    <t xml:space="preserve">BA10</t>
  </si>
  <si>
    <t xml:space="preserve">Zona06_PB12_Rede_TR019</t>
  </si>
  <si>
    <t xml:space="preserve">TRECHO DE Zona06_PB12_Rede_NÓ1.12 A Zona06_PB12_Rede_NÓ59.3</t>
  </si>
  <si>
    <t xml:space="preserve">Zona06_PB12_Rede_NÓ1.12</t>
  </si>
  <si>
    <t xml:space="preserve">AF6C</t>
  </si>
  <si>
    <t xml:space="preserve">Zona06_PB12_Rede_TR020</t>
  </si>
  <si>
    <t xml:space="preserve">TRECHO DE Zona06_PB12_Rede_NÓ107.1 A Zona06_PB12_Rede_NÓ107.2</t>
  </si>
  <si>
    <t xml:space="preserve">BA19</t>
  </si>
  <si>
    <t xml:space="preserve">Zona06_PB12_Rede_TR021</t>
  </si>
  <si>
    <t xml:space="preserve">TRECHO DE Zona06_PB12_Rede_NÓ1.4 A Zona06_PB12_Rede_NÓ54.3; INCLUI 4,00 M DE TUBO DESENHADO NO PRÓPRIO NÓ (NÓ54.3: anel de ponta/toco)</t>
  </si>
  <si>
    <t xml:space="preserve">Zona06_PB12_Rede_NÓ54.3</t>
  </si>
  <si>
    <t xml:space="preserve">AF72</t>
  </si>
  <si>
    <t xml:space="preserve">Zona06_PB12_Rede_TR022</t>
  </si>
  <si>
    <t xml:space="preserve">TRECHO DE JUNÇÃO SEM NÓ NA TABELA A Zona06_PB12_Rede_NÓ54.1; INCLUI 4,00 M DE TUBO DESENHADO NO PRÓPRIO NÓ (NÓ54.1: anel de ponta/toco)</t>
  </si>
  <si>
    <t xml:space="preserve">Zona06_PB12_Rede_NÓ54.1</t>
  </si>
  <si>
    <t xml:space="preserve">AF75</t>
  </si>
  <si>
    <t xml:space="preserve">Zona06_PB12_Rede_TR023</t>
  </si>
  <si>
    <t xml:space="preserve">TRECHO DE Zona06_PB12_Rede_NÓ1.5 A Zona06_PB12_Rede_NÓ107.2</t>
  </si>
  <si>
    <t xml:space="preserve">Zona06_PB12_Rede_NÓ1.5</t>
  </si>
  <si>
    <t xml:space="preserve">BA13</t>
  </si>
  <si>
    <t xml:space="preserve">Zona06_PB12_Rede_TR024</t>
  </si>
  <si>
    <t xml:space="preserve">TRECHO DE JUNÇÃO SEM NÓ NA TABELA A Zona06_PB12_Rede_NÓ54.2; INCLUI 4,00 M DE TUBO DESENHADO NO PRÓPRIO NÓ (NÓ54.2: anel de ponta/toco)</t>
  </si>
  <si>
    <t xml:space="preserve">Zona06_PB12_Rede_NÓ54.2</t>
  </si>
  <si>
    <t xml:space="preserve">A68D</t>
  </si>
  <si>
    <t xml:space="preserve">Zona06_PB12_Rede_TR025</t>
  </si>
  <si>
    <t xml:space="preserve">TRECHO DE Zona06_PB12_Rede_NÓ59.9 A Zona06_PB12_Rede_NÓ59.8; INCLUI 1,18 M DE TUBO DESENHADO NO PRÓPRIO NÓ (NÓ59.9: anel de ponta/toco)</t>
  </si>
  <si>
    <t xml:space="preserve">Zona06_PB12_Rede_NÓ59.9</t>
  </si>
  <si>
    <t xml:space="preserve">2C141, 2CE5C</t>
  </si>
  <si>
    <t xml:space="preserve">Zona06_PB12_Rede_TR026</t>
  </si>
  <si>
    <t xml:space="preserve">TRECHO DE Zona06_PB12_Rede_NÓ54.6 A Zona06_PB12_Rede_NÓ59.2; INCLUI 4,00 M DE TUBO DESENHADO NO PRÓPRIO NÓ (NÓ54.6: anel de ponta/toco)</t>
  </si>
  <si>
    <t xml:space="preserve">Zona06_PB12_Rede_NÓ54.6</t>
  </si>
  <si>
    <t xml:space="preserve">B15B</t>
  </si>
  <si>
    <t xml:space="preserve">Zona06_PB12_Rede_TR027</t>
  </si>
  <si>
    <t xml:space="preserve">CHÁCARA 40</t>
  </si>
  <si>
    <t xml:space="preserve">TRECHO DE Zona06_PB12_Rede_NÓ1.3 A Zona06_PB12_Rede_NÓ1.5</t>
  </si>
  <si>
    <t xml:space="preserve">Zona06_PB12_Rede_NÓ1.3</t>
  </si>
  <si>
    <t xml:space="preserve">B155</t>
  </si>
  <si>
    <t xml:space="preserve">Zona06_PB12_Rede_TR028</t>
  </si>
  <si>
    <t xml:space="preserve">TRECHO DE Zona06_PB12_Rede_NÓ1.12 A Zona06_PB12_Rede_NÓ54.11; INCLUI 4,01 M DE TUBO DESENHADO NO PRÓPRIO NÓ (NÓ54.11: anel de ponta/toco)</t>
  </si>
  <si>
    <t xml:space="preserve">Zona06_PB12_Rede_NÓ54.11</t>
  </si>
  <si>
    <t xml:space="preserve">2F600</t>
  </si>
  <si>
    <t xml:space="preserve">Zona06_PB12_Rede_TR029</t>
  </si>
  <si>
    <t xml:space="preserve">TRECHO DE Zona06_PB12_Rede_NÓ1.5 A Zona06_PB12_Rede_NÓ54.5; INCLUI 4,00 M DE TUBO DESENHADO NO PRÓPRIO NÓ (NÓ54.5: anel de ponta/toco)</t>
  </si>
  <si>
    <t xml:space="preserve">Zona06_PB12_Rede_NÓ54.5</t>
  </si>
  <si>
    <t xml:space="preserve">B26F</t>
  </si>
  <si>
    <t xml:space="preserve">Zona06_PB12_Rede_TR030</t>
  </si>
  <si>
    <t xml:space="preserve">TRECHO DE Zona06_PB12_Rede_NÓ1.11 A Zona06_PB12_Rede_NÓ1.12</t>
  </si>
  <si>
    <t xml:space="preserve">Zona06_PB12_Rede_NÓ1.11</t>
  </si>
  <si>
    <t xml:space="preserve">AD8F</t>
  </si>
  <si>
    <t xml:space="preserve">Zona06_PB12_Rede_TR031</t>
  </si>
  <si>
    <t xml:space="preserve">TRECHO DE Zona06_PB12_Rede_NÓ59.8 A Zona06_PB12_Rede_NÓ54.10; INCLUI 3,97 M DE TUBO DESENHADO NO PRÓPRIO NÓ (NÓ54.10: anel de ponta/toco)</t>
  </si>
  <si>
    <t xml:space="preserve">Zona06_PB12_Rede_NÓ54.10</t>
  </si>
  <si>
    <t xml:space="preserve">2C8CC, AF63, AF66</t>
  </si>
  <si>
    <t xml:space="preserve">Zona06_PB12_Rede_TR032</t>
  </si>
  <si>
    <t xml:space="preserve">TRECHO DE Zona06_PB12_Rede_NÓ1.11 A Zona06_PB12_Rede_NÓ54.9; INCLUI 4,00 M DE TUBO DESENHADO NO PRÓPRIO NÓ (NÓ54.9: anel de ponta/toco)</t>
  </si>
  <si>
    <t xml:space="preserve">Zona06_PB12_Rede_NÓ54.9</t>
  </si>
  <si>
    <t xml:space="preserve">AF69</t>
  </si>
  <si>
    <t xml:space="preserve">Zona06_PB12_Rede_TR033</t>
  </si>
  <si>
    <t xml:space="preserve">TRECHO DE Zona06_PB12_Rede_NÓ1.3 A Zona06_PB12_Rede_NÓ1.8</t>
  </si>
  <si>
    <t xml:space="preserve">Zona06_PB12_Rede_NÓ1.8</t>
  </si>
  <si>
    <t xml:space="preserve">AD92</t>
  </si>
  <si>
    <t xml:space="preserve">Zona06_PB12_Rede_TR034</t>
  </si>
  <si>
    <t xml:space="preserve">TRECHO DE Zona06_PB12_Rede_NÓ1.2 A Zona06_PB12_Rede_NÓ1.3</t>
  </si>
  <si>
    <t xml:space="preserve">Zona06_PB12_Rede_NÓ1.2</t>
  </si>
  <si>
    <t xml:space="preserve">3D199, 3D19A, B452</t>
  </si>
  <si>
    <t xml:space="preserve">Zona06_PB12_Rede_TR035</t>
  </si>
  <si>
    <t xml:space="preserve">ST ZUMBI DOS PALMARES</t>
  </si>
  <si>
    <t xml:space="preserve">TRECHO DE Zona06_PB12_Rede_NÓ54.13 A Zona06_PB12_Rede_NÓ59.9; INCLUI 4,00 M DE TUBO DESENHADO NO PRÓPRIO NÓ (NÓ54.13: anel de ponta/toco)</t>
  </si>
  <si>
    <t xml:space="preserve">Zona06_PB12_Rede_NÓ54.13</t>
  </si>
  <si>
    <t xml:space="preserve">43BD8</t>
  </si>
  <si>
    <t xml:space="preserve">Zona06_PB12_Rede_TR036</t>
  </si>
  <si>
    <t xml:space="preserve">TRECHO DE Zona06_PB12_Rede_NÓ54.8 A Zona06_PB12_Rede_NÓ1.11; INCLUI 4,00 M DE TUBO DESENHADO NO PRÓPRIO NÓ (NÓ54.8: anel de ponta/toco)</t>
  </si>
  <si>
    <t xml:space="preserve">Zona06_PB12_Rede_NÓ54.8</t>
  </si>
  <si>
    <t xml:space="preserve">B40A</t>
  </si>
  <si>
    <t xml:space="preserve">Zona06_PB12_Rede_TR037</t>
  </si>
  <si>
    <t xml:space="preserve">TRECHO DE Zona06_PB12_Rede_NÓ1.8 A Zona06_PB12_Rede_NÓ1.10</t>
  </si>
  <si>
    <t xml:space="preserve">Zona06_PB12_Rede_NÓ1.10</t>
  </si>
  <si>
    <t xml:space="preserve">B347</t>
  </si>
  <si>
    <t xml:space="preserve">Zona06_PB12_Rede_TR038</t>
  </si>
  <si>
    <t xml:space="preserve">TRECHO DE Zona06_PB12_Rede_NÓ1.1 A Zona06_PB12_Rede_NÓ1.2</t>
  </si>
  <si>
    <t xml:space="preserve">Zona06_PB12_Rede_NÓ1.1</t>
  </si>
  <si>
    <t xml:space="preserve">ACB7</t>
  </si>
  <si>
    <t xml:space="preserve">Zona06_PB12_Rede_TR039</t>
  </si>
  <si>
    <t xml:space="preserve">TRECHO DE Zona06_PB12_Rede_NÓ1.7 A Zona06_PB12_Rede_NÓ1.8</t>
  </si>
  <si>
    <t xml:space="preserve">Zona06_PB12_Rede_NÓ1.7</t>
  </si>
  <si>
    <t xml:space="preserve">3D43B</t>
  </si>
  <si>
    <t xml:space="preserve">Zona06_PB12_Rede_TR040</t>
  </si>
  <si>
    <t xml:space="preserve">TRECHO DE Zona06_PB12_Rede_NÓ1.7 A Zona06_PB12_Rede_NÓ1.2; INCLUI 1,63 M DE TUBO DESENHADO NO PRÓPRIO NÓ (NÓ1.7: anel de ponta/toco)</t>
  </si>
  <si>
    <t xml:space="preserve">41A73</t>
  </si>
  <si>
    <t xml:space="preserve">Zona06_PB12_Rede_TR041</t>
  </si>
  <si>
    <t xml:space="preserve">TRECHO DE Zona06_PB12_Rede_NÓ59.9 A Zona06_PB12_Rede_NÓ59.6</t>
  </si>
  <si>
    <t xml:space="preserve">Zona06_PB12_Rede_NÓ59.6</t>
  </si>
  <si>
    <t xml:space="preserve">2C13D</t>
  </si>
  <si>
    <t xml:space="preserve">Zona06_PB12_Rede_TR042</t>
  </si>
  <si>
    <t xml:space="preserve">TRECHO DE Zona06_PB12_Rede_NÓ1.6 A Zona06_PB12_Rede_NÓ1.1</t>
  </si>
  <si>
    <t xml:space="preserve">Zona06_PB12_Rede_NÓ1.6</t>
  </si>
  <si>
    <t xml:space="preserve">41A72</t>
  </si>
  <si>
    <t xml:space="preserve">Zona06_PB12_Rede_TR043</t>
  </si>
  <si>
    <t xml:space="preserve">TRECHO DE Zona06_PB12_Rede_NÓ1.9 A Zona06_PB12_Rede_NÓ1.10; INCLUI 1,54 M DE TUBO DESENHADO NO PRÓPRIO NÓ (NÓ1.10: anel de ponta/toco)</t>
  </si>
  <si>
    <t xml:space="preserve">Zona06_PB12_Rede_NÓ1.9</t>
  </si>
  <si>
    <t xml:space="preserve">2C9E2, 2CF53</t>
  </si>
  <si>
    <t xml:space="preserve">Zona06_PB12_Rede_TR044</t>
  </si>
  <si>
    <t xml:space="preserve">TRECHO DE Zona06_PB12_Rede_NÓ1.10 A Zona06_PB12_Rede_NÓ59.6</t>
  </si>
  <si>
    <t xml:space="preserve">2C468, 2C9E3, 2CDD3, 2CDDC, B758, B75B</t>
  </si>
  <si>
    <t xml:space="preserve">Zona06_PB12_Rede_TR045</t>
  </si>
  <si>
    <t xml:space="preserve">TRECHO DE Zona06_PB12_Rede_NÓ1.6 A Zona06_PB12_Rede_NÓ1.7</t>
  </si>
  <si>
    <t xml:space="preserve">A678</t>
  </si>
  <si>
    <t xml:space="preserve">Zona06_PB12_Rede_TR046</t>
  </si>
  <si>
    <t xml:space="preserve">TRECHO DE PONTA SEM NÓ NA TABELA A Zona06_PB12_Rede_NÓ107.1</t>
  </si>
  <si>
    <t xml:space="preserve">2FA7E, BA0D</t>
  </si>
  <si>
    <t xml:space="preserve">Zona06_PB12_Rede_TR047</t>
  </si>
  <si>
    <t xml:space="preserve">TRECHO DE Zona06_PB12_Rede_NÓ1.1 A Zona06_PB15_Rede_NÓ59.4</t>
  </si>
  <si>
    <t xml:space="preserve">Zona06_PB15_Rede_NÓ59.4</t>
  </si>
  <si>
    <t xml:space="preserve">AFC3</t>
  </si>
  <si>
    <t xml:space="preserve">Zona06_PB12_Rede_TR048</t>
  </si>
  <si>
    <t xml:space="preserve">TRECHO DE Zona06_PB12_Rede_NÓ1.9 A Zona06_PB12_Rede_NÓ59.5; INCLUI 0,18 M DE TUBO DESENHADO NO PRÓPRIO NÓ (NÓ1.9: anel de ponta/toco)</t>
  </si>
  <si>
    <t xml:space="preserve">Zona06_PB12_Rede_NÓ59.5</t>
  </si>
  <si>
    <t xml:space="preserve">2C9E6, 2CDD2, B75E, B761</t>
  </si>
  <si>
    <t xml:space="preserve">Zona06_PB12_Rede_TR049</t>
  </si>
  <si>
    <t xml:space="preserve">TRECHO DE Zona06_PB12_Rede_NÓ59.6 A Zona06_PB12_Rede_NÓ59.5</t>
  </si>
  <si>
    <t xml:space="preserve">Zona06_PB12_Rede_TR050</t>
  </si>
  <si>
    <t xml:space="preserve">TRECHO DE Zona06_PB15_Rede_NÓ59.6 A Zona06_PB12_Rede_NÓ1.6</t>
  </si>
  <si>
    <t xml:space="preserve">Zona06_PB15_Rede_NÓ59.6</t>
  </si>
  <si>
    <t xml:space="preserve">2C45D, 2CCB3, B76A</t>
  </si>
  <si>
    <t xml:space="preserve">Zona06_PB12_Rede_TR051</t>
  </si>
  <si>
    <t xml:space="preserve">TRECHO DE Zona06_PB15_Rede_NÓ1.6 A Zona06_PB12_Rede_NÓ54.7; INCLUI 4,00 M DE TUBO DESENHADO NO PRÓPRIO NÓ (NÓ54.7: anel de ponta/toco)</t>
  </si>
  <si>
    <t xml:space="preserve">Zona06_PB15_Rede_NÓ1.6</t>
  </si>
  <si>
    <t xml:space="preserve">Zona06_PB12_Rede_NÓ54.7</t>
  </si>
  <si>
    <t xml:space="preserve">AD9B</t>
  </si>
  <si>
    <t xml:space="preserve">Zona06_PB14_Rede_TR001</t>
  </si>
  <si>
    <t xml:space="preserve">A.RED.SSB-D014.V03.T01.015/037</t>
  </si>
  <si>
    <t xml:space="preserve">TRECHO DE Zona06_PB14_CH_VRP-08 A Zona06_PB15_CH_VM-6.2</t>
  </si>
  <si>
    <t xml:space="preserve">PB14</t>
  </si>
  <si>
    <t xml:space="preserve">Zona06_PB14_CH_VRP-08</t>
  </si>
  <si>
    <t xml:space="preserve">Zona06_PB15_CH_VM-6.2</t>
  </si>
  <si>
    <t xml:space="preserve">6CBA9</t>
  </si>
  <si>
    <t xml:space="preserve">Zona06_PB14_Rede_TR002</t>
  </si>
  <si>
    <t xml:space="preserve">Q 38</t>
  </si>
  <si>
    <t xml:space="preserve">TRECHO DE Zona06_PB15_Rede_NÓ76.1 A Zona06_PB14_Rede_NÓ56.12</t>
  </si>
  <si>
    <t xml:space="preserve">Zona06_PB15_Rede_NÓ76.1</t>
  </si>
  <si>
    <t xml:space="preserve">Zona06_PB14_Rede_NÓ56.12</t>
  </si>
  <si>
    <t xml:space="preserve">B263</t>
  </si>
  <si>
    <t xml:space="preserve">Zona06_PB14_Rede_TR003</t>
  </si>
  <si>
    <t xml:space="preserve">Q 36</t>
  </si>
  <si>
    <t xml:space="preserve">TRECHO DE Zona06_PB14_Rede_NÓ56.12 A Zona06_PB14_Rede_NÓ9.6</t>
  </si>
  <si>
    <t xml:space="preserve">Zona06_PB14_Rede_NÓ9.6</t>
  </si>
  <si>
    <t xml:space="preserve">2FB90, 48404, A67B</t>
  </si>
  <si>
    <t xml:space="preserve">Zona06_PB14_Rede_TR004</t>
  </si>
  <si>
    <t xml:space="preserve">TRECHO DE Zona06_PB14_Rede_NÓ56.12 A Zona06_PB14_CH_VRP-08</t>
  </si>
  <si>
    <t xml:space="preserve">Zona06_PB14_Rede_TR005</t>
  </si>
  <si>
    <t xml:space="preserve">TRECHO DE Zona06_PB14_Rede_NÓ56.11 A Zona06_PB14_Rede_NÓ9.6</t>
  </si>
  <si>
    <t xml:space="preserve">Zona06_PB14_Rede_NÓ56.11</t>
  </si>
  <si>
    <t xml:space="preserve">2FA72</t>
  </si>
  <si>
    <t xml:space="preserve">Zona06_PB14_Rede_TR006</t>
  </si>
  <si>
    <t xml:space="preserve">TRECHO DE Zona06_PB14_Rede_NÓ56.10 A Zona06_PB14_Rede_NÓ56.11; INCLUI 0,42 M DE TUBO DESENHADO NO PRÓPRIO NÓ (NÓ56.11: anel de ponta/toco)</t>
  </si>
  <si>
    <t xml:space="preserve">Zona06_PB14_Rede_NÓ56.10</t>
  </si>
  <si>
    <t xml:space="preserve">2FA73</t>
  </si>
  <si>
    <t xml:space="preserve">Zona06_PB14_Rede_TR007</t>
  </si>
  <si>
    <t xml:space="preserve">CHÁCARA 46</t>
  </si>
  <si>
    <t xml:space="preserve">TRECHO DE DIVISA DE ZONA A Zona06_PB14_CH_VM-5.1; TRECHO DIVIDIDO NA DIVISA DE ZONA (TRECHO ORIGINAL ENTRE PONTOS DA REDE: 534,48 M)</t>
  </si>
  <si>
    <t xml:space="preserve">Zona06_PB14_CH_VM-5.1</t>
  </si>
  <si>
    <t xml:space="preserve">48499, 484A0</t>
  </si>
  <si>
    <t xml:space="preserve">Zona06_PB14_Rede_TR008</t>
  </si>
  <si>
    <t xml:space="preserve">TRECHO DE Zona06_PB14_Rede_NÓ1.13 A Zona06_PB14_Rede_NÓ56.12; INCLUI 0,57 M DE TUBO DESENHADO NO PRÓPRIO NÓ (NÓ56.12: anel de ponta/toco)</t>
  </si>
  <si>
    <t xml:space="preserve">Zona06_PB14_Rede_NÓ1.13</t>
  </si>
  <si>
    <t xml:space="preserve">B73A, B73D</t>
  </si>
  <si>
    <t xml:space="preserve">Zona06_PB14_Rede_TR009</t>
  </si>
  <si>
    <t xml:space="preserve">TRECHO DE Zona06_PB14_Rede_NÓ56.9 A Zona06_PB14_Rede_NÓ54.4; INCLUI 4,00 M DE TUBO DESENHADO NO PRÓPRIO NÓ (NÓ54.4: anel de ponta/toco)</t>
  </si>
  <si>
    <t xml:space="preserve">Zona06_PB14_Rede_NÓ56.9</t>
  </si>
  <si>
    <t xml:space="preserve">Zona06_PB14_Rede_NÓ54.4</t>
  </si>
  <si>
    <t xml:space="preserve">B35F</t>
  </si>
  <si>
    <t xml:space="preserve">Zona06_PB14_Rede_TR010</t>
  </si>
  <si>
    <t xml:space="preserve">TRECHO DE Zona06_PB14_Rede_NÓ56.10 A PONTA SEM NÓ NA TABELA</t>
  </si>
  <si>
    <t xml:space="preserve">2FF12</t>
  </si>
  <si>
    <t xml:space="preserve">Zona06_PB14_Rede_TR011</t>
  </si>
  <si>
    <t xml:space="preserve">TRECHO DE Zona06_PB14_Rede_NÓ56.9 A Zona06_PB14_Rede_NÓ56.10</t>
  </si>
  <si>
    <t xml:space="preserve">Zona06_PB14_Rede_TR012</t>
  </si>
  <si>
    <t xml:space="preserve">TRECHO DE Zona06_PB14_Rede_NÓ9.5 A Zona06_PB14_Rede_NÓ56.12; INCLUI 0,80 M DE TUBO DESENHADO NO PRÓPRIO NÓ (NÓ56.12: anel de ponta/toco)</t>
  </si>
  <si>
    <t xml:space="preserve">Zona06_PB14_Rede_NÓ9.5</t>
  </si>
  <si>
    <t xml:space="preserve">Zona06_PB14_Rede_TR013</t>
  </si>
  <si>
    <t xml:space="preserve">TRECHO DE Zona06_PB14_Rede_NÓ56.11 A Zona06_PB14_Rede_NÓ1.12</t>
  </si>
  <si>
    <t xml:space="preserve">Zona06_PB14_Rede_NÓ1.12</t>
  </si>
  <si>
    <t xml:space="preserve">2FF11, 483FC, B734, B737</t>
  </si>
  <si>
    <t xml:space="preserve">Zona06_PB14_Rede_TR014</t>
  </si>
  <si>
    <t xml:space="preserve">483EE, B740</t>
  </si>
  <si>
    <t xml:space="preserve">Zona06_PB14_Rede_TR015</t>
  </si>
  <si>
    <t xml:space="preserve">TRECHO DE Zona06_PB14_Rede_NÓ56.9 A Zona06_PB14_Rede_NÓ56.7</t>
  </si>
  <si>
    <t xml:space="preserve">Zona06_PB14_Rede_NÓ56.7</t>
  </si>
  <si>
    <t xml:space="preserve">2FB99</t>
  </si>
  <si>
    <t xml:space="preserve">Zona06_PB14_Rede_TR016</t>
  </si>
  <si>
    <t xml:space="preserve">Q 36 CJ C</t>
  </si>
  <si>
    <t xml:space="preserve">TRECHO DE Zona06_PB14_Rede_NÓ1.12 A Zona06_PB14_Rede_NÓ1.13</t>
  </si>
  <si>
    <t xml:space="preserve">A681</t>
  </si>
  <si>
    <t xml:space="preserve">Zona06_PB14_Rede_TR017</t>
  </si>
  <si>
    <t xml:space="preserve">TRECHO DE Zona06_PB14_CH_VM-5.1 A Zona06_PB14_CH_MV-05</t>
  </si>
  <si>
    <t xml:space="preserve">Zona06_PB14_CH_MV-05</t>
  </si>
  <si>
    <t xml:space="preserve">484A0</t>
  </si>
  <si>
    <t xml:space="preserve">Zona06_PB14_Rede_TR018</t>
  </si>
  <si>
    <t xml:space="preserve">TRECHO DE Zona06_PB14_Rede_NÓ54.3 A Zona06_PB14_Rede_NÓ56.7; INCLUI 4,02 M DE TUBO DESENHADO NO PRÓPRIO NÓ (NÓ54.3: anel de ponta/toco)</t>
  </si>
  <si>
    <t xml:space="preserve">Zona06_PB14_Rede_NÓ54.3</t>
  </si>
  <si>
    <t xml:space="preserve">37F86</t>
  </si>
  <si>
    <t xml:space="preserve">Zona06_PB14_Rede_TR019</t>
  </si>
  <si>
    <t xml:space="preserve">TRECHO DE Zona06_PB14_Rede_NÓ56.7 A Zona06_PB14_CH_VM-6.1</t>
  </si>
  <si>
    <t xml:space="preserve">Zona06_PB14_CH_VM-6.1</t>
  </si>
  <si>
    <t xml:space="preserve">Zona06_PB14_Rede_TR020</t>
  </si>
  <si>
    <t xml:space="preserve">TRECHO DE Zona06_PB14_CH_MV-05 A Zona06_PB14_Rede_NÓ79.1</t>
  </si>
  <si>
    <t xml:space="preserve">Zona06_PB14_Rede_NÓ79.1</t>
  </si>
  <si>
    <t xml:space="preserve">Zona06_PB14_Rede_TR021</t>
  </si>
  <si>
    <t xml:space="preserve">TRECHO DE Zona06_PB14_CH_VM-6.1 A Zona06_PB14_Rede_NÓ8.4</t>
  </si>
  <si>
    <t xml:space="preserve">Zona06_PB14_Rede_NÓ8.4</t>
  </si>
  <si>
    <t xml:space="preserve">Zona06_PB14_Rede_TR022</t>
  </si>
  <si>
    <t xml:space="preserve">TRECHO DE Zona06_PB14_Rede_NÓ8.4 A Zona06_PB14_Rede_NÓ9.5</t>
  </si>
  <si>
    <t xml:space="preserve">Zona06_PB14_Rede_TR023</t>
  </si>
  <si>
    <t xml:space="preserve">TRECHO DE Zona06_PB14_Rede_NÓ8.4 A Zona06_PB14_CH_MV-06</t>
  </si>
  <si>
    <t xml:space="preserve">Zona06_PB14_CH_MV-06</t>
  </si>
  <si>
    <t xml:space="preserve">Zona06_PB14_Rede_TR024</t>
  </si>
  <si>
    <t xml:space="preserve">TRECHO DE Zona06_PB14_CH_MV-06 A Zona09_PB14_Rede_NÓ9.3</t>
  </si>
  <si>
    <t xml:space="preserve">Zona09_PB14_Rede_NÓ9.3</t>
  </si>
  <si>
    <t xml:space="preserve">Zona06_PB14_Rede_TR025</t>
  </si>
  <si>
    <t xml:space="preserve">TRECHO DE PONTA SEM NÓ NA TABELA A DIVISA DE ZONA; TRECHO DIVIDIDO NA DIVISA DE ZONA (TRECHO ORIGINAL ENTRE PONTOS DA REDE: 251,66 M)</t>
  </si>
  <si>
    <t xml:space="preserve">2C7C1, 6C81C, A6DB, B2A2, B743, BB2D</t>
  </si>
  <si>
    <t xml:space="preserve">Zona07_PB14_Rede_NÓ54.6</t>
  </si>
  <si>
    <t xml:space="preserve">Zona06_PB15_Rede_TR001</t>
  </si>
  <si>
    <t xml:space="preserve">A.RED.SSB-D014.V03.T01.016/037</t>
  </si>
  <si>
    <t xml:space="preserve">TRECHO DE Zona06_PB12_Rede_NÓ54.4 A Zona06_PB15_Rede_NÓ59.5; INCLUI 4,00 M DE TUBO DESENHADO NO PRÓPRIO NÓ (NÓ54.4: anel de ponta/toco)</t>
  </si>
  <si>
    <t xml:space="preserve">PB15</t>
  </si>
  <si>
    <t xml:space="preserve">Zona06_PB12_Rede_NÓ54.4</t>
  </si>
  <si>
    <t xml:space="preserve">Zona06_PB15_Rede_NÓ59.5</t>
  </si>
  <si>
    <t xml:space="preserve">B3D1</t>
  </si>
  <si>
    <t xml:space="preserve">Zona06_PB15_Rede_TR002</t>
  </si>
  <si>
    <t xml:space="preserve">TRECHO DE Zona06_PB12_Rede_NÓ1.9 A Zona06_PB15_Rede_NÓ59.7</t>
  </si>
  <si>
    <t xml:space="preserve">Zona06_PB15_Rede_NÓ59.7</t>
  </si>
  <si>
    <t xml:space="preserve">B764, B767</t>
  </si>
  <si>
    <t xml:space="preserve">Zona06_PB15_Rede_TR003</t>
  </si>
  <si>
    <t xml:space="preserve">TRECHO DE Zona06_PB15_Rede_NÓ1.5 A Zona06_PB15_Rede_NÓ1.6</t>
  </si>
  <si>
    <t xml:space="preserve">Zona06_PB15_Rede_NÓ1.5</t>
  </si>
  <si>
    <t xml:space="preserve">AF81</t>
  </si>
  <si>
    <t xml:space="preserve">Zona06_PB15_Rede_TR004</t>
  </si>
  <si>
    <t xml:space="preserve">TRECHO DE Zona06_PB15_Rede_NÓ59.4 A Zona06_PB15_Rede_NÓ59.5</t>
  </si>
  <si>
    <t xml:space="preserve">AD98</t>
  </si>
  <si>
    <t xml:space="preserve">Zona06_PB15_Rede_TR005</t>
  </si>
  <si>
    <t xml:space="preserve">TRECHO DE Zona06_PB15_Rede_NÓ1.6 A Zona06_PB15_Rede_NÓ1.5; INCLUI 1,09 M DE TUBO DESENHADO NO PRÓPRIO NÓ (NÓ1.5: anel de ponta/toco)</t>
  </si>
  <si>
    <t xml:space="preserve">2C547, B164</t>
  </si>
  <si>
    <t xml:space="preserve">Zona06_PB15_Rede_TR006</t>
  </si>
  <si>
    <t xml:space="preserve">TRECHO DE Zona06_PB15_Rede_NÓ59.5 A Zona06_PB15_Rede_NÓ59.6</t>
  </si>
  <si>
    <t xml:space="preserve">AF7B</t>
  </si>
  <si>
    <t xml:space="preserve">Zona06_PB15_Rede_TR007</t>
  </si>
  <si>
    <t xml:space="preserve">TRECHO DE Zona06_PB12_Rede_NÓ59.5 A Zona06_PB15_Rede_NÓ6.3</t>
  </si>
  <si>
    <t xml:space="preserve">Zona06_PB15_Rede_NÓ6.3</t>
  </si>
  <si>
    <t xml:space="preserve">2C13D, 2CDCA</t>
  </si>
  <si>
    <t xml:space="preserve">Zona06_PB15_Rede_TR008</t>
  </si>
  <si>
    <t xml:space="preserve">TRECHO DE Zona06_PB15_Rede_NÓ59.8 A Zona06_PB15_Rede_NÓ1.5</t>
  </si>
  <si>
    <t xml:space="preserve">Zona06_PB15_Rede_NÓ59.8</t>
  </si>
  <si>
    <t xml:space="preserve">BA1F</t>
  </si>
  <si>
    <t xml:space="preserve">Zona06_PB15_Rede_TR009</t>
  </si>
  <si>
    <t xml:space="preserve">TRECHO DE Zona06_PB15_Rede_NÓ59.6 A Zona06_PB15_Rede_NÓ59.7</t>
  </si>
  <si>
    <t xml:space="preserve">AF78</t>
  </si>
  <si>
    <t xml:space="preserve">Zona06_PB15_Rede_TR010</t>
  </si>
  <si>
    <t xml:space="preserve">TRECHO DE Zona06_PB15_Rede_NÓ59.7 A Zona06_PB15_Rede_NÓ59.8</t>
  </si>
  <si>
    <t xml:space="preserve">BA1C</t>
  </si>
  <si>
    <t xml:space="preserve">Zona06_PB15_Rede_TR011</t>
  </si>
  <si>
    <t xml:space="preserve">2FA7A</t>
  </si>
  <si>
    <t xml:space="preserve">Zona06_PB15_Rede_TR012</t>
  </si>
  <si>
    <t xml:space="preserve">TRECHO DE Zona06_PB15_Rede_NÓ59.4 A Zona06_PB15_Rede_NÓ6.2</t>
  </si>
  <si>
    <t xml:space="preserve">Zona06_PB15_Rede_NÓ6.2</t>
  </si>
  <si>
    <t xml:space="preserve">B776, B779</t>
  </si>
  <si>
    <t xml:space="preserve">Zona06_PB15_Rede_TR013</t>
  </si>
  <si>
    <t xml:space="preserve">TRECHO DE Zona06_PB15_Rede_NÓ59.8 A Zona06_PB15_Rede_NÓ6.3</t>
  </si>
  <si>
    <t xml:space="preserve">B15E</t>
  </si>
  <si>
    <t xml:space="preserve">Zona06_PB15_Rede_TR014</t>
  </si>
  <si>
    <t xml:space="preserve">TRECHO DE Zona06_PB15_Rede_NÓ2.3 A DIVISA DE ZONA; TRECHO DIVIDIDO NA DIVISA DE ZONA (TRECHO ORIGINAL ENTRE PONTOS DA REDE: 77,94 M)</t>
  </si>
  <si>
    <t xml:space="preserve">Zona06_PB15_Rede_NÓ2.3</t>
  </si>
  <si>
    <t xml:space="preserve">6C864</t>
  </si>
  <si>
    <t xml:space="preserve">Zona06_PB15_Rede_TR015</t>
  </si>
  <si>
    <t xml:space="preserve">CHÁCARA 67S/N</t>
  </si>
  <si>
    <t xml:space="preserve">TRECHO DE Zona06_PB15_Rede_NÓ6.1 A PONTA SEM NÓ NA TABELA</t>
  </si>
  <si>
    <t xml:space="preserve">Zona06_PB15_Rede_NÓ6.1</t>
  </si>
  <si>
    <t xml:space="preserve">6CBB2</t>
  </si>
  <si>
    <t xml:space="preserve">Zona06_PB15_Rede_TR016</t>
  </si>
  <si>
    <t xml:space="preserve">TRECHO DE Zona06_PB15_Rede_NÓ64.1 A Zona06_PB15_Rede_NÓ6.1</t>
  </si>
  <si>
    <t xml:space="preserve">Zona06_PB15_Rede_NÓ64.1</t>
  </si>
  <si>
    <t xml:space="preserve">6CBAA</t>
  </si>
  <si>
    <t xml:space="preserve">Zona06_PB15_Rede_TR017</t>
  </si>
  <si>
    <t xml:space="preserve">TRECHO DE Zona06_PB15_Rede_NÓ6.2 A Zona06_PB15_Rede_NÓ64.1</t>
  </si>
  <si>
    <t xml:space="preserve">Zona06_PB15_Rede_TR018</t>
  </si>
  <si>
    <t xml:space="preserve">Q 45</t>
  </si>
  <si>
    <t xml:space="preserve">TRECHO DE Zona06_PB15_CH_VM-6.2 A Zona06_PB15_Rede_NÓ64.1</t>
  </si>
  <si>
    <t xml:space="preserve">Zona06_PB15_Rede_TR019</t>
  </si>
  <si>
    <t xml:space="preserve">TRECHO DE Zona06_PB15_Rede_NÓ59.1 A Zona06_PB15_Rede_NÓ76.1</t>
  </si>
  <si>
    <t xml:space="preserve">Zona06_PB15_Rede_NÓ59.1</t>
  </si>
  <si>
    <t xml:space="preserve">AF96</t>
  </si>
  <si>
    <t xml:space="preserve">Zona06_PB15_Rede_TR020</t>
  </si>
  <si>
    <t xml:space="preserve">TRECHO DE Zona06_PB15_Rede_NÓ59.2 A Zona06_PB15_Rede_NÓ59.1</t>
  </si>
  <si>
    <t xml:space="preserve">Zona06_PB15_Rede_NÓ59.2</t>
  </si>
  <si>
    <t xml:space="preserve">B176</t>
  </si>
  <si>
    <t xml:space="preserve">Zona06_PB15_Rede_TR021</t>
  </si>
  <si>
    <t xml:space="preserve">TRECHO DE Zona06_PB14_Rede_NÓ54.8 A Zona06_PB15_Rede_NÓ59.1; INCLUI 4,14 M DE TUBO DESENHADO NO PRÓPRIO NÓ (NÓ54.8: anel de ponta/toco)</t>
  </si>
  <si>
    <t xml:space="preserve">Zona06_PB14_Rede_NÓ54.8</t>
  </si>
  <si>
    <t xml:space="preserve">2F5E2</t>
  </si>
  <si>
    <t xml:space="preserve">Zona06_PB15_Rede_TR022</t>
  </si>
  <si>
    <t xml:space="preserve">TRECHO DE Zona06_PB15_Rede_NÓ59.3 A Zona06_PB15_Rede_NÓ59.2</t>
  </si>
  <si>
    <t xml:space="preserve">Zona06_PB15_Rede_NÓ59.3</t>
  </si>
  <si>
    <t xml:space="preserve">AF99</t>
  </si>
  <si>
    <t xml:space="preserve">Zona06_PB15_Rede_TR023</t>
  </si>
  <si>
    <t xml:space="preserve">TRECHO DE Zona06_PB15_Rede_NÓ59.2 A Zona06_PB14_Rede_NÓ54.9; INCLUI 4,00 M DE TUBO DESENHADO NO PRÓPRIO NÓ (NÓ54.9: anel de ponta/toco)</t>
  </si>
  <si>
    <t xml:space="preserve">Zona06_PB14_Rede_NÓ54.9</t>
  </si>
  <si>
    <t xml:space="preserve">A747</t>
  </si>
  <si>
    <t xml:space="preserve">Zona06_PB15_Rede_TR024</t>
  </si>
  <si>
    <t xml:space="preserve">TRECHO DE Zona06_PB15_Rede_NÓ110.1 A Zona06_PB15_Rede_NÓ59.3; INCLUI 0,46 M DE TUBO DESENHADO NO PRÓPRIO NÓ (NÓ110.1: anel de ponta/toco)</t>
  </si>
  <si>
    <t xml:space="preserve">Zona06_PB15_Rede_NÓ110.1</t>
  </si>
  <si>
    <t xml:space="preserve">AF93</t>
  </si>
  <si>
    <t xml:space="preserve">Zona06_PB15_Rede_TR025</t>
  </si>
  <si>
    <t xml:space="preserve">Q 37 CJ H</t>
  </si>
  <si>
    <t xml:space="preserve">TRECHO DE Zona06_PB15_Rede_NÓ54.1 A Zona06_PB15_Rede_NÓ59.3; INCLUI 4,00 M DE TUBO DESENHADO NO PRÓPRIO NÓ (NÓ54.1: anel de ponta/toco)</t>
  </si>
  <si>
    <t xml:space="preserve">Zona06_PB15_Rede_NÓ54.1</t>
  </si>
  <si>
    <t xml:space="preserve">B16D</t>
  </si>
  <si>
    <t xml:space="preserve">Zona06_PB15_Rede_TR026</t>
  </si>
  <si>
    <t xml:space="preserve">TRECHO DE Zona06_PB15_Rede_NÓ1.2 A Zona06_PB15_Rede_NÓ110.1</t>
  </si>
  <si>
    <t xml:space="preserve">Zona06_PB15_Rede_NÓ1.2</t>
  </si>
  <si>
    <t xml:space="preserve">B170</t>
  </si>
  <si>
    <t xml:space="preserve">Zona06_PB15_Rede_TR027</t>
  </si>
  <si>
    <t xml:space="preserve">TRECHO DE Zona06_PB15_Rede_NÓ54.11 A Zona06_PB15_Rede_NÓ110.1; INCLUI 4,07 M DE TUBO DESENHADO NO PRÓPRIO NÓ (NÓ110.1, NÓ54.11: anel de ponta/toco)</t>
  </si>
  <si>
    <t xml:space="preserve">Zona06_PB15_Rede_NÓ54.11</t>
  </si>
  <si>
    <t xml:space="preserve">B260</t>
  </si>
  <si>
    <t xml:space="preserve">Zona06_PB15_Rede_TR028</t>
  </si>
  <si>
    <t xml:space="preserve">TRECHO DE Zona06_PB15_Rede_NÓ1.3 A Zona06_PB15_Rede_NÓ1.2</t>
  </si>
  <si>
    <t xml:space="preserve">Zona06_PB15_Rede_NÓ1.3</t>
  </si>
  <si>
    <t xml:space="preserve">BB24</t>
  </si>
  <si>
    <t xml:space="preserve">Zona06_PB15_Rede_TR029</t>
  </si>
  <si>
    <t xml:space="preserve">TRECHO DE Zona06_PB15_Rede_NÓ54.2 A Zona06_PB15_Rede_NÓ1.2; INCLUI 4,42 M DE TUBO DESENHADO NO PRÓPRIO NÓ (NÓ1.2, NÓ54.2: anel de ponta/toco)</t>
  </si>
  <si>
    <t xml:space="preserve">Zona06_PB15_Rede_NÓ54.2</t>
  </si>
  <si>
    <t xml:space="preserve">B25D</t>
  </si>
  <si>
    <t xml:space="preserve">Zona06_PB15_Rede_TR030</t>
  </si>
  <si>
    <t xml:space="preserve">TRECHO DE DIVISA DE ZONA A Zona06_PB15_Rede_NÓ1.3; TRECHO DIVIDIDO NA DIVISA DE ZONA (TRECHO ORIGINAL ENTRE PONTOS DA REDE: 130,60 M)</t>
  </si>
  <si>
    <t xml:space="preserve">6C804</t>
  </si>
  <si>
    <t xml:space="preserve">Zona06_PB15_Rede_TR031</t>
  </si>
  <si>
    <t xml:space="preserve">TRECHO DE Zona07_PB15_Rede_NÓ1.1 A Zona06_PB14_Rede_NÓ1.13</t>
  </si>
  <si>
    <t xml:space="preserve">Zona07_PB15_Rede_NÓ1.1</t>
  </si>
  <si>
    <t xml:space="preserve">2C891, 2CE94, 2CE97, 6C806, B731</t>
  </si>
  <si>
    <t xml:space="preserve">Zona06_PB15_Rede_TR032</t>
  </si>
  <si>
    <t xml:space="preserve">TRECHO DE Zona06_PB14_Rede_NÓ1.12 A Zona07_PB18_Rede_NÓ1.1</t>
  </si>
  <si>
    <t xml:space="preserve">Zona07_PB18_Rede_NÓ1.1</t>
  </si>
  <si>
    <t xml:space="preserve">6C805, B72E, BB2A</t>
  </si>
  <si>
    <t xml:space="preserve">Zona06_PB18_Rede_TR001</t>
  </si>
  <si>
    <t xml:space="preserve">A.RED.SSB-D014.V03.T01.019/037</t>
  </si>
  <si>
    <t xml:space="preserve">TRECHO DE DIVISA DE ZONA A DIVISA DE ZONA; TRECHO DIVIDIDO NA DIVISA DE ZONA (TRECHO ORIGINAL ENTRE PONTOS DA REDE: 251,66 M)</t>
  </si>
  <si>
    <t xml:space="preserve">PB18</t>
  </si>
  <si>
    <t xml:space="preserve">6C804, 6C81C</t>
  </si>
  <si>
    <t xml:space="preserve">Zona07_PB18_Rede_NÓ107.1</t>
  </si>
  <si>
    <t xml:space="preserve">Zona07</t>
  </si>
  <si>
    <t xml:space="preserve">Zona07_PB14_Rede_TR001</t>
  </si>
  <si>
    <t xml:space="preserve">CHÁCARA 47</t>
  </si>
  <si>
    <t xml:space="preserve">TRECHO DE Zona07_PB14_Rede_NÓ57.6 A Zona07_PB14_Rede_NÓ60.1</t>
  </si>
  <si>
    <t xml:space="preserve">EQUIPE ZONA 07</t>
  </si>
  <si>
    <t xml:space="preserve">Zona07_PB14_Rede_NÓ57.6</t>
  </si>
  <si>
    <t xml:space="preserve">Zona07_PB14_Rede_NÓ60.1</t>
  </si>
  <si>
    <t xml:space="preserve">B746, B749</t>
  </si>
  <si>
    <t xml:space="preserve">Zona07_PB14_Rede_TR002</t>
  </si>
  <si>
    <t xml:space="preserve">TRECHO DE Zona07_PB14_Rede_NÓ105.2 A Zona07_PB14_Rede_NÓ57.6</t>
  </si>
  <si>
    <t xml:space="preserve">Zona07_PB14_Rede_NÓ105.2</t>
  </si>
  <si>
    <t xml:space="preserve">AFE4</t>
  </si>
  <si>
    <t xml:space="preserve">Zona07_PB14_Rede_TR003</t>
  </si>
  <si>
    <t xml:space="preserve">TRECHO DE Zona09_PB14_CH_MV-07 A Zona07_PB14_Rede_NÓ8.3</t>
  </si>
  <si>
    <t xml:space="preserve">Zona09_PB14_CH_MV-07</t>
  </si>
  <si>
    <t xml:space="preserve">Zona07_PB14_Rede_NÓ8.3</t>
  </si>
  <si>
    <t xml:space="preserve">ACBD</t>
  </si>
  <si>
    <t xml:space="preserve">Zona07_PB14_Rede_TR004</t>
  </si>
  <si>
    <t xml:space="preserve">TRECHO DE Zona07_PB14_Rede_NÓ8.3 A Zona09_PB14_Rede_NÓ9.4</t>
  </si>
  <si>
    <t xml:space="preserve">Zona09_PB14_Rede_NÓ9.4</t>
  </si>
  <si>
    <t xml:space="preserve">6CD25</t>
  </si>
  <si>
    <t xml:space="preserve">Zona07_PB14_Rede_TR005</t>
  </si>
  <si>
    <t xml:space="preserve">TRECHO DE Zona07_PB14_Rede_NÓ8.3 A Zona07_PB14_CH_VM-7.1</t>
  </si>
  <si>
    <t xml:space="preserve">Zona07_PB14_CH_VM-7.1</t>
  </si>
  <si>
    <t xml:space="preserve">Zona07_PB14_Rede_TR006</t>
  </si>
  <si>
    <t xml:space="preserve">TRECHO DE Zona07_PB14_CH_VM-7.1 A Zona07_PB14_Rede_NÓ60.1</t>
  </si>
  <si>
    <t xml:space="preserve">Zona07_PB14_Rede_TR007</t>
  </si>
  <si>
    <t xml:space="preserve">TRECHO DE Zona07_PB14_Rede_NÓ54.6 A Zona07_PB14_Rede_NÓ105.2; INCLUI 4,47 M DE TUBO DESENHADO NO PRÓPRIO NÓ (NÓ105.2, NÓ54.6: anel de ponta/toco)</t>
  </si>
  <si>
    <t xml:space="preserve">2D820</t>
  </si>
  <si>
    <t xml:space="preserve">Zona07_PB14_Rede_TR008</t>
  </si>
  <si>
    <t xml:space="preserve">TRECHO DE Zona07_PB14_Rede_NÓ105.2 A PONTA SEM NÓ NA TABELA</t>
  </si>
  <si>
    <t xml:space="preserve">B752</t>
  </si>
  <si>
    <t xml:space="preserve">Zona07_PB14_Rede_TR009</t>
  </si>
  <si>
    <t xml:space="preserve">TRECHO DE Zona07_PB14_Rede_NÓ57.6 A Zona07_PB14_Rede_NÓ56.8; INCLUI 0,38 M DE TUBO DESENHADO NO PRÓPRIO NÓ (NÓ57.6: anel de ponta/toco)</t>
  </si>
  <si>
    <t xml:space="preserve">Zona07_PB14_Rede_NÓ56.8</t>
  </si>
  <si>
    <t xml:space="preserve">B74C, B74F</t>
  </si>
  <si>
    <t xml:space="preserve">Zona07_PB14_Rede_TR010</t>
  </si>
  <si>
    <t xml:space="preserve">TRECHO DE Zona07_PB14_Rede_NÓ60.1 A Zona07_PB14_Rede_NÓ56.8</t>
  </si>
  <si>
    <t xml:space="preserve">Zona07_PB14_Rede_TR011</t>
  </si>
  <si>
    <t xml:space="preserve">TRECHO DE PONTA SEM NÓ NA TABELA A PONTA SEM NÓ NA TABELA; INCLUI 0,08 M DE TUBO DESENHADO NO PRÓPRIO NÓ (nó: anel de ponta/toco)</t>
  </si>
  <si>
    <t xml:space="preserve">Zona07_PB14_Rede_TR012</t>
  </si>
  <si>
    <t xml:space="preserve">TRECHO DE Zona07_PB14_Rede_NÓ107.1 A Zona07_PB14_Rede_NÓ54.7; INCLUI 4,01 M DE TUBO DESENHADO NO PRÓPRIO NÓ (NÓ54.7: anel de ponta/toco)</t>
  </si>
  <si>
    <t xml:space="preserve">Zona07_PB14_Rede_NÓ107.1</t>
  </si>
  <si>
    <t xml:space="preserve">Zona07_PB14_Rede_NÓ54.7</t>
  </si>
  <si>
    <t xml:space="preserve">AFB1</t>
  </si>
  <si>
    <t xml:space="preserve">Zona07_PB14_Rede_TR013</t>
  </si>
  <si>
    <t xml:space="preserve">TRECHO DE PONTA SEM NÓ NA TABELA A Zona07_PB14_Rede_NÓ60.2</t>
  </si>
  <si>
    <t xml:space="preserve">Zona07_PB14_Rede_NÓ60.2</t>
  </si>
  <si>
    <t xml:space="preserve">2C430, B755</t>
  </si>
  <si>
    <t xml:space="preserve">Zona07_PB14_Rede_TR014</t>
  </si>
  <si>
    <t xml:space="preserve">TRECHO DE Zona07_PB14_Rede_NÓ56.8 A Zona07_PB14_Rede_NÓ60.2; INCLUI 0,06 M DE TUBO DESENHADO NO PRÓPRIO NÓ (NÓ56.8: anel de ponta/toco)</t>
  </si>
  <si>
    <t xml:space="preserve">B332</t>
  </si>
  <si>
    <t xml:space="preserve">Zona07_PB14_Rede_TR015</t>
  </si>
  <si>
    <t xml:space="preserve">TRECHO DE Zona07_PB14_Rede_NÓ59.1 A Zona07_PB14_Rede_NÓ107.1</t>
  </si>
  <si>
    <t xml:space="preserve">Zona07_PB14_Rede_NÓ59.1</t>
  </si>
  <si>
    <t xml:space="preserve">AFB4</t>
  </si>
  <si>
    <t xml:space="preserve">Zona07_PB14_Rede_TR016</t>
  </si>
  <si>
    <t xml:space="preserve">CHÁCARA 35</t>
  </si>
  <si>
    <t xml:space="preserve">TRECHO DE Zona07_PB17_Rede_NÓ5.3 A Zona06_PB14_Rede_NÓ6.1</t>
  </si>
  <si>
    <t xml:space="preserve">Zona07_PB17_Rede_NÓ5.3</t>
  </si>
  <si>
    <t xml:space="preserve">Zona06_PB14_Rede_NÓ6.1</t>
  </si>
  <si>
    <t xml:space="preserve">B185</t>
  </si>
  <si>
    <t xml:space="preserve">Zona07_PB14_Rede_TR017</t>
  </si>
  <si>
    <t xml:space="preserve">TRECHO DE Zona07_PB14_Rede_NÓ107.1 A Zona07_PB17_Rede_NÓ5.3</t>
  </si>
  <si>
    <t xml:space="preserve">AFA2</t>
  </si>
  <si>
    <t xml:space="preserve">Zona07_PB14_Rede_TR018</t>
  </si>
  <si>
    <t xml:space="preserve">TRECHO DE Zona07_PB17_Rede_NÓ101.1 A Zona07_PB14_Rede_NÓ59.1</t>
  </si>
  <si>
    <t xml:space="preserve">Zona07_PB17_Rede_NÓ101.1</t>
  </si>
  <si>
    <t xml:space="preserve">ADA4</t>
  </si>
  <si>
    <t xml:space="preserve">Zona07_PB15_Adutora_TR001</t>
  </si>
  <si>
    <t xml:space="preserve">TRECHO DE Zona07_PB15_Adutora_NÓ90.1 A DIVISA DE ZONA; TRECHO DIVIDIDO NA DIVISA DE ZONA (TRECHO ORIGINAL ENTRE PONTOS DA REDE: 716,45 M)</t>
  </si>
  <si>
    <t xml:space="preserve">Zona07_PB15_Adutora_NÓ90.1</t>
  </si>
  <si>
    <t xml:space="preserve">2F925, E89C</t>
  </si>
  <si>
    <t xml:space="preserve">Zona07_PB15_Rede_TR001</t>
  </si>
  <si>
    <t xml:space="preserve">TRECHO DE Zona07_PB15_Rede_NÓ1.7 A Zona06_PB15_Rede_NÓ2.3</t>
  </si>
  <si>
    <t xml:space="preserve">Zona07_PB15_Rede_NÓ1.7</t>
  </si>
  <si>
    <t xml:space="preserve">Zona07_PB15_Rede_TR002</t>
  </si>
  <si>
    <t xml:space="preserve">TRECHO DE DIVISA DE ZONA A PONTA SEM NÓ NA TABELA; TRECHO DIVIDIDO NA DIVISA DE ZONA (TRECHO ORIGINAL ENTRE PONTOS DA REDE: 77,94 M)</t>
  </si>
  <si>
    <t xml:space="preserve">Zona07_PB15_Rede_TR003</t>
  </si>
  <si>
    <t xml:space="preserve">TRECHO DE Zona07_PB15_Rede_NÓ54.9 A Zona07_PB15_Rede_NÓ1.7; INCLUI 4,00 M DE TUBO DESENHADO NO PRÓPRIO NÓ (NÓ54.9: anel de ponta/toco)</t>
  </si>
  <si>
    <t xml:space="preserve">Zona07_PB15_Rede_NÓ54.9</t>
  </si>
  <si>
    <t xml:space="preserve">B3D4</t>
  </si>
  <si>
    <t xml:space="preserve">Zona07_PB15_Rede_TR004</t>
  </si>
  <si>
    <t xml:space="preserve">TRECHO DE Zona07_PB15_Rede_DF-18 A PONTA SEM NÓ NA TABELA</t>
  </si>
  <si>
    <t xml:space="preserve">Zona07_PB15_Rede_DF-18</t>
  </si>
  <si>
    <t xml:space="preserve">3C95D</t>
  </si>
  <si>
    <t xml:space="preserve">Zona07_PB15_Rede_TR005</t>
  </si>
  <si>
    <t xml:space="preserve">TRECHO DE Zona07_PB15_Rede_NÓ1.10 A Zona07_PB15_Rede_DF-18; INCLUI 1,10 M DE TUBO DESENHADO NO PRÓPRIO NÓ (DF-18: anel de ponta/toco)</t>
  </si>
  <si>
    <t xml:space="preserve">Zona07_PB15_Rede_NÓ1.10</t>
  </si>
  <si>
    <t xml:space="preserve">BB39</t>
  </si>
  <si>
    <t xml:space="preserve">Zona07_PB15_Rede_TR006</t>
  </si>
  <si>
    <t xml:space="preserve">TRECHO DE Zona07_PB15_Rede_NÓ1.7 A Zona07_PB15_Rede_NÓ1.10</t>
  </si>
  <si>
    <t xml:space="preserve">Zona07_PB15_Rede_TR007</t>
  </si>
  <si>
    <t xml:space="preserve">TRECHO DE Zona07_PB15_Rede_NÓ1.10 A Zona07_PB15_Rede_NÓ1.9</t>
  </si>
  <si>
    <t xml:space="preserve">Zona07_PB15_Rede_NÓ1.9</t>
  </si>
  <si>
    <t xml:space="preserve">2F8FE</t>
  </si>
  <si>
    <t xml:space="preserve">Zona07_PB15_Rede_TR008</t>
  </si>
  <si>
    <t xml:space="preserve">TRECHO DE Zona07_PB15_Rede_NÓ54.7 A Zona07_PB15_Rede_NÓ1.9; INCLUI 4,00 M DE TUBO DESENHADO NO PRÓPRIO NÓ (NÓ54.7: anel de ponta/toco)</t>
  </si>
  <si>
    <t xml:space="preserve">Zona07_PB15_Rede_NÓ54.7</t>
  </si>
  <si>
    <t xml:space="preserve">B257</t>
  </si>
  <si>
    <t xml:space="preserve">Zona07_PB15_Rede_TR009</t>
  </si>
  <si>
    <t xml:space="preserve">TRECHO DE Zona07_PB15_Rede_NÓ1.9 A Zona07_PB15_Rede_NÓ106.2</t>
  </si>
  <si>
    <t xml:space="preserve">Zona07_PB15_Rede_NÓ106.2</t>
  </si>
  <si>
    <t xml:space="preserve">Zona07_PB15_Rede_TR010</t>
  </si>
  <si>
    <t xml:space="preserve">TRECHO DE Zona07_PB15_Rede_NÓ54.5 A Zona07_PB15_Rede_NÓ106.2; INCLUI 4,06 M DE TUBO DESENHADO NO PRÓPRIO NÓ (NÓ106.2, NÓ54.5: anel de ponta/toco)</t>
  </si>
  <si>
    <t xml:space="preserve">Zona07_PB15_Rede_NÓ54.5</t>
  </si>
  <si>
    <t xml:space="preserve">B254</t>
  </si>
  <si>
    <t xml:space="preserve">Zona07_PB15_Rede_TR011</t>
  </si>
  <si>
    <t xml:space="preserve">CHÁCARA 39</t>
  </si>
  <si>
    <t xml:space="preserve">TRECHO DE Zona07_PB15_Rede_NÓ106.2 A Zona07_PB15_Rede_NÓ57.6</t>
  </si>
  <si>
    <t xml:space="preserve">Zona07_PB15_Rede_NÓ57.6</t>
  </si>
  <si>
    <t xml:space="preserve">2F8FF</t>
  </si>
  <si>
    <t xml:space="preserve">Zona07_PB15_Rede_TR012</t>
  </si>
  <si>
    <t xml:space="preserve">TRECHO DE Zona07_PB15_Rede_NÓ54.6 A Zona07_PB15_Rede_NÓ57.6; INCLUI 4,48 M DE TUBO DESENHADO NO PRÓPRIO NÓ (NÓ54.6, NÓ57.6: anel de ponta/toco)</t>
  </si>
  <si>
    <t xml:space="preserve">Zona07_PB15_Rede_NÓ54.6</t>
  </si>
  <si>
    <t xml:space="preserve">B251</t>
  </si>
  <si>
    <t xml:space="preserve">Zona07_PB15_Rede_TR013</t>
  </si>
  <si>
    <t xml:space="preserve">TRECHO DE Zona07_PB15_Rede_NÓ1.4 A Zona07_PB15_Rede_DF-15</t>
  </si>
  <si>
    <t xml:space="preserve">Zona07_PB15_Rede_NÓ1.4</t>
  </si>
  <si>
    <t xml:space="preserve">Zona07_PB15_Rede_DF-15</t>
  </si>
  <si>
    <t xml:space="preserve">B25A</t>
  </si>
  <si>
    <t xml:space="preserve">Zona07_PB15_Rede_TR014</t>
  </si>
  <si>
    <t xml:space="preserve">BAIRRO CRIXÁ</t>
  </si>
  <si>
    <t xml:space="preserve">RUA CAPAO COMPRIDO</t>
  </si>
  <si>
    <t xml:space="preserve">TRECHO DE Zona07_PB15_Rede_NÓ57.6 A Zona07_PB15_Rede_NÓ57.5</t>
  </si>
  <si>
    <t xml:space="preserve">Zona07_PB15_Rede_NÓ57.5</t>
  </si>
  <si>
    <t xml:space="preserve">2F8FF, B098</t>
  </si>
  <si>
    <t xml:space="preserve">Zona07_PB15_Rede_TR015</t>
  </si>
  <si>
    <t xml:space="preserve">TRECHO DE Zona07_PB15_Rede_NÓ57.5 A Zona07_PB15_Rede_NÓ54.8; INCLUI 4,48 M DE TUBO DESENHADO NO PRÓPRIO NÓ (NÓ54.8, NÓ57.5: anel de ponta/toco)</t>
  </si>
  <si>
    <t xml:space="preserve">Zona07_PB15_Rede_NÓ54.8</t>
  </si>
  <si>
    <t xml:space="preserve">B167</t>
  </si>
  <si>
    <t xml:space="preserve">Zona07_PB15_Rede_TR016</t>
  </si>
  <si>
    <t xml:space="preserve">TRECHO DE Zona07_PB15_Rede_NÓ106.1 A Zona07_PB15_Rede_NÓ1.4</t>
  </si>
  <si>
    <t xml:space="preserve">Zona07_PB15_Rede_NÓ106.1</t>
  </si>
  <si>
    <t xml:space="preserve">AF87</t>
  </si>
  <si>
    <t xml:space="preserve">Zona07_PB15_Rede_TR017</t>
  </si>
  <si>
    <t xml:space="preserve">CHÁCARA 43S/N</t>
  </si>
  <si>
    <t xml:space="preserve">TRECHO DE Zona07_PB15_CH_VRP-07 A Zona07_PB15_Rede_NÓ57.5</t>
  </si>
  <si>
    <t xml:space="preserve">Zona07_PB15_CH_VRP-07</t>
  </si>
  <si>
    <t xml:space="preserve">2F8FF, B2BA</t>
  </si>
  <si>
    <t xml:space="preserve">Zona07_PB15_Rede_TR018</t>
  </si>
  <si>
    <t xml:space="preserve">TRECHO DE Zona07_PB15_Rede_DF-15 A Zona07_PB15_Rede_NÓ54.4; INCLUI 4,00 M DE TUBO DESENHADO NO PRÓPRIO NÓ (NÓ54.4: anel de ponta/toco)</t>
  </si>
  <si>
    <t xml:space="preserve">Zona07_PB15_Rede_NÓ54.4</t>
  </si>
  <si>
    <t xml:space="preserve">Zona07_PB15_Rede_TR019</t>
  </si>
  <si>
    <t xml:space="preserve">TRECHO DE Zona07_PB15_Rede_NÓ1.4 A PONTA SEM NÓ NA TABELA</t>
  </si>
  <si>
    <t xml:space="preserve">2C57E, 2CD68, B34A</t>
  </si>
  <si>
    <t xml:space="preserve">Zona07_PB15_Rede_TR020</t>
  </si>
  <si>
    <t xml:space="preserve">TRECHO DE Zona07_PB15_Rede_NÓ57.4 A Zona07_PB15_Rede_NÓ106.1</t>
  </si>
  <si>
    <t xml:space="preserve">Zona07_PB15_Rede_NÓ57.4</t>
  </si>
  <si>
    <t xml:space="preserve">3D8D7, AF8D</t>
  </si>
  <si>
    <t xml:space="preserve">Zona07_PB15_Rede_TR021</t>
  </si>
  <si>
    <t xml:space="preserve">TRECHO DE Zona07_PB15_Rede_DF-14 A Zona07_PB15_Rede_NÓ4.1</t>
  </si>
  <si>
    <t xml:space="preserve">Zona07_PB15_Rede_DF-14</t>
  </si>
  <si>
    <t xml:space="preserve">Zona07_PB15_Rede_NÓ4.1</t>
  </si>
  <si>
    <t xml:space="preserve">6C834</t>
  </si>
  <si>
    <t xml:space="preserve">Zona07_PB15_Rede_TR022</t>
  </si>
  <si>
    <t xml:space="preserve">Q 43</t>
  </si>
  <si>
    <t xml:space="preserve">TRECHO DE Zona07_PB15_Rede_NÓ3.1 A Zona07_PB15_CH_VRP-07</t>
  </si>
  <si>
    <t xml:space="preserve">Zona07_PB15_Rede_NÓ3.1</t>
  </si>
  <si>
    <t xml:space="preserve">B2BA</t>
  </si>
  <si>
    <t xml:space="preserve">Zona07_PB15_Rede_TR023</t>
  </si>
  <si>
    <t xml:space="preserve">TRECHO DE Zona07_PB15_Rede_NÓ57.2 A Zona07_PB15_Rede_NÓ4.1</t>
  </si>
  <si>
    <t xml:space="preserve">Zona07_PB15_Rede_NÓ57.2</t>
  </si>
  <si>
    <t xml:space="preserve">B173</t>
  </si>
  <si>
    <t xml:space="preserve">Zona07_PB15_Rede_TR024</t>
  </si>
  <si>
    <t xml:space="preserve">TRECHO DE Zona07_PB15_Rede_NÓ2.2 A Zona07_PB15_Rede_NÓ106.1</t>
  </si>
  <si>
    <t xml:space="preserve">Zona07_PB15_Rede_NÓ2.2</t>
  </si>
  <si>
    <t xml:space="preserve">6C511, AF8A</t>
  </si>
  <si>
    <t xml:space="preserve">Zona07_PB15_Rede_TR025</t>
  </si>
  <si>
    <t xml:space="preserve">TRECHO DE Zona07_PB15_Rede_NÓ57.4 A Zona07_PB15_Rede_NÓ3.1</t>
  </si>
  <si>
    <t xml:space="preserve">3D8D7</t>
  </si>
  <si>
    <t xml:space="preserve">Zona07_PB15_Rede_TR026</t>
  </si>
  <si>
    <t xml:space="preserve">TRECHO DE PONTA SEM NÓ NA TABELA A Zona07_PB15_Rede_NÓ2.1</t>
  </si>
  <si>
    <t xml:space="preserve">Zona07_PB15_Rede_NÓ2.1</t>
  </si>
  <si>
    <t xml:space="preserve">6C511</t>
  </si>
  <si>
    <t xml:space="preserve">Zona07_PB15_Rede_TR027</t>
  </si>
  <si>
    <t xml:space="preserve">TRECHO DE Zona07_PB15_Rede_NÓ57.1 A Zona07_PB15_Rede_DF-14</t>
  </si>
  <si>
    <t xml:space="preserve">Zona07_PB15_Rede_NÓ57.1</t>
  </si>
  <si>
    <t xml:space="preserve">Zona07_PB15_Rede_TR028</t>
  </si>
  <si>
    <t xml:space="preserve">TRECHO DE Zona07_PB15_Rede_NÓ60.1 A Zona07_PB15_Rede_NÓ3.1; INCLUI 0,53 M DE TUBO DESENHADO NO PRÓPRIO NÓ (NÓ60.1: anel de ponta/toco)</t>
  </si>
  <si>
    <t xml:space="preserve">Zona07_PB15_Rede_NÓ60.1</t>
  </si>
  <si>
    <t xml:space="preserve">Zona07_PB15_Rede_TR029</t>
  </si>
  <si>
    <t xml:space="preserve">TRECHO DE Zona07_PB15_Rede_NÓ57.3 A Zona07_PB15_Rede_NÓ57.2</t>
  </si>
  <si>
    <t xml:space="preserve">Zona07_PB15_Rede_NÓ57.3</t>
  </si>
  <si>
    <t xml:space="preserve">AF90, B173</t>
  </si>
  <si>
    <t xml:space="preserve">Zona07_PB15_Rede_TR030</t>
  </si>
  <si>
    <t xml:space="preserve">TRECHO DE Zona07_PB15_Rede_NÓ2.1 A Zona07_PB15_Rede_NÓ2.2</t>
  </si>
  <si>
    <t xml:space="preserve">Zona07_PB15_Rede_TR031</t>
  </si>
  <si>
    <t xml:space="preserve">TRECHO DE Zona07_PB15_Rede_NÓ60.1 A Zona07_PB15_Rede_NÓ9.1</t>
  </si>
  <si>
    <t xml:space="preserve">Zona07_PB15_Rede_NÓ9.1</t>
  </si>
  <si>
    <t xml:space="preserve">BA31</t>
  </si>
  <si>
    <t xml:space="preserve">Zona07_PB15_Rede_TR032</t>
  </si>
  <si>
    <t xml:space="preserve">TRECHO DE Zona07_PB15_Rede_NÓ56.1 A Zona07_PB19_Rede_NÓ56.1</t>
  </si>
  <si>
    <t xml:space="preserve">Zona07_PB15_Rede_NÓ56.1</t>
  </si>
  <si>
    <t xml:space="preserve">Zona07_PB19_Rede_NÓ56.1</t>
  </si>
  <si>
    <t xml:space="preserve">B11F</t>
  </si>
  <si>
    <t xml:space="preserve">Zona07_PB15_Rede_TR033</t>
  </si>
  <si>
    <t xml:space="preserve">TRECHO DE Zona07_PB18_Rede_NÓ54.9 A Zona07_PB15_Rede_NÓ57.4; INCLUI 5,89 M DE TUBO DESENHADO NO PRÓPRIO NÓ (NÓ57.4, NÓ54.9: anel de ponta/toco)</t>
  </si>
  <si>
    <t xml:space="preserve">Zona07_PB18_Rede_NÓ54.9</t>
  </si>
  <si>
    <t xml:space="preserve">A68A</t>
  </si>
  <si>
    <t xml:space="preserve">Zona07_PB15_Rede_TR034</t>
  </si>
  <si>
    <t xml:space="preserve">TRECHO DE Zona07_PB15_Rede_NÓ9.1 A Zona07_PB15_Rede_NÓ104.1</t>
  </si>
  <si>
    <t xml:space="preserve">Zona07_PB15_Rede_NÓ104.1</t>
  </si>
  <si>
    <t xml:space="preserve">BA70</t>
  </si>
  <si>
    <t xml:space="preserve">Zona07_PB15_Rede_TR035</t>
  </si>
  <si>
    <t xml:space="preserve">TRECHO DE Zona07_PB15_Rede_NÓ104.1 A Zona07_PB15_Rede_NÓ56.1; INCLUI 0,22 M DE TUBO DESENHADO NO PRÓPRIO NÓ (NÓ104.1: anel de ponta/toco)</t>
  </si>
  <si>
    <t xml:space="preserve">2CA94, B11F, B6F5, B6F8</t>
  </si>
  <si>
    <t xml:space="preserve">Zona07_PB15_Rede_TR036</t>
  </si>
  <si>
    <t xml:space="preserve">TRECHO DE Zona07_PB15_Rede_NÓ1.8 A Zona07_PB15_Rede_NÓ104.1</t>
  </si>
  <si>
    <t xml:space="preserve">Zona07_PB15_Rede_NÓ1.8</t>
  </si>
  <si>
    <t xml:space="preserve">B32F</t>
  </si>
  <si>
    <t xml:space="preserve">Zona07_PB15_Rede_TR037</t>
  </si>
  <si>
    <t xml:space="preserve">TRECHO DE Zona07_PB15_Rede_NÓ1.1 A DIVISA DE ZONA; TRECHO DIVIDIDO NA DIVISA DE ZONA (TRECHO ORIGINAL ENTRE PONTOS DA REDE: 130,60 M)</t>
  </si>
  <si>
    <t xml:space="preserve">Zona07_PB15_Rede_TR038</t>
  </si>
  <si>
    <t xml:space="preserve">Q 37</t>
  </si>
  <si>
    <t xml:space="preserve">TRECHO DE Zona07_PB15_Rede_NÓ54.3 A Zona07_PB15_Rede_NÓ57.2; INCLUI 4,48 M DE TUBO DESENHADO NO PRÓPRIO NÓ (NÓ54.3, NÓ57.2: anel de ponta/toco)</t>
  </si>
  <si>
    <t xml:space="preserve">Zona07_PB15_Rede_NÓ54.3</t>
  </si>
  <si>
    <t xml:space="preserve">2C1DF, B350</t>
  </si>
  <si>
    <t xml:space="preserve">Zona07_PB15_Rede_TR039</t>
  </si>
  <si>
    <t xml:space="preserve">TRECHO DE Zona07_PB15_Rede_NÓ1.8 A Zona07_PB15_Rede_NÓ54.10; INCLUI 4,37 M DE TUBO DESENHADO NO PRÓPRIO NÓ (NÓ54.10: anel de ponta/toco)</t>
  </si>
  <si>
    <t xml:space="preserve">Zona07_PB15_Rede_NÓ54.10</t>
  </si>
  <si>
    <t xml:space="preserve">BB57</t>
  </si>
  <si>
    <t xml:space="preserve">Zona07_PB15_Rede_TR040</t>
  </si>
  <si>
    <t xml:space="preserve">TRECHO DE Zona07_PB18_Rede_NÓ57.1 A Zona07_PB15_Rede_NÓ57.3</t>
  </si>
  <si>
    <t xml:space="preserve">Zona07_PB18_Rede_NÓ57.1</t>
  </si>
  <si>
    <t xml:space="preserve">AE5E</t>
  </si>
  <si>
    <t xml:space="preserve">Zona07_PB15_Rede_TR041</t>
  </si>
  <si>
    <t xml:space="preserve">TRECHO DE Zona07_PB18_Rede_NÓ1.12 A Zona07_PB15_Rede_NÓ1.8; INCLUI 0,49 M DE TUBO DESENHADO NO PRÓPRIO NÓ (NÓ1.8: anel de ponta/toco)</t>
  </si>
  <si>
    <t xml:space="preserve">Zona07_PB18_Rede_NÓ1.12</t>
  </si>
  <si>
    <t xml:space="preserve">Zona07_PB17_Adutora_TR001</t>
  </si>
  <si>
    <t xml:space="preserve">A.RED.SSB-D014.V03.T01.018/037</t>
  </si>
  <si>
    <t xml:space="preserve">Q 35</t>
  </si>
  <si>
    <t xml:space="preserve">TRECHO DE DIVISA DE ZONA A DIVISA DE ZONA; TRECHO DIVIDIDO NA DIVISA DE ZONA (TRECHO ORIGINAL ENTRE PONTOS DA REDE: 571,48 M)</t>
  </si>
  <si>
    <t xml:space="preserve">PB17</t>
  </si>
  <si>
    <t xml:space="preserve">2FEF7, 2FEF9</t>
  </si>
  <si>
    <t xml:space="preserve">Zona07_PB17_Rede_NÓ62.1</t>
  </si>
  <si>
    <t xml:space="preserve">Zona07_PB17_Rede_TR001</t>
  </si>
  <si>
    <t xml:space="preserve">TRECHO DE PONTA SEM NÓ NA TABELA A Zona07_PB14_Rede_NÓ59.1</t>
  </si>
  <si>
    <t xml:space="preserve">AFA5</t>
  </si>
  <si>
    <t xml:space="preserve">Zona07_PB17_Rede_TR002</t>
  </si>
  <si>
    <t xml:space="preserve">TRECHO DE Zona07_PB14_Rede_NÓ60.2 A Zona07_PB17_Rede_NÓ73.1; INCLUI 0,06 M DE TUBO DESENHADO NO PRÓPRIO NÓ (NÓ60.2: anel de ponta/toco)</t>
  </si>
  <si>
    <t xml:space="preserve">Zona07_PB17_Rede_NÓ73.1</t>
  </si>
  <si>
    <t xml:space="preserve">A543</t>
  </si>
  <si>
    <t xml:space="preserve">Zona07_PB17_Rede_TR003</t>
  </si>
  <si>
    <t xml:space="preserve">TRECHO DE Zona07_PB17_Rede_NÓ73.1 A Zona07_PB17_Rede_NÓ101.1</t>
  </si>
  <si>
    <t xml:space="preserve">A657</t>
  </si>
  <si>
    <t xml:space="preserve">Zona07_PB17_Rede_TR004</t>
  </si>
  <si>
    <t xml:space="preserve">TRECHO DE Zona07_PB17_Rede_NÓ59.3 A Zona07_PB17_Rede_NÓ5.3</t>
  </si>
  <si>
    <t xml:space="preserve">Zona07_PB17_Rede_NÓ59.3</t>
  </si>
  <si>
    <t xml:space="preserve">B17C</t>
  </si>
  <si>
    <t xml:space="preserve">Zona07_PB17_Rede_TR005</t>
  </si>
  <si>
    <t xml:space="preserve">TRECHO DE PONTA SEM NÓ NA TABELA A Zona07_PB17_Rede_NÓ59.3</t>
  </si>
  <si>
    <t xml:space="preserve">AF9F</t>
  </si>
  <si>
    <t xml:space="preserve">Zona07_PB17_Rede_TR006</t>
  </si>
  <si>
    <t xml:space="preserve">TRECHO DE Zona07_PB17_Rede_NÓ101.1 A Zona07_PB17_Rede_NÓ5.2</t>
  </si>
  <si>
    <t xml:space="preserve">Zona07_PB17_Rede_NÓ5.2</t>
  </si>
  <si>
    <t xml:space="preserve">B35C</t>
  </si>
  <si>
    <t xml:space="preserve">Zona07_PB17_Rede_TR007</t>
  </si>
  <si>
    <t xml:space="preserve">TRECHO DE Zona07_PB17_Rede_NÓ5.2 A Zona07_PB17_Rede_NÓ59.3</t>
  </si>
  <si>
    <t xml:space="preserve">B17F</t>
  </si>
  <si>
    <t xml:space="preserve">Zona07_PB17_Rede_TR008</t>
  </si>
  <si>
    <t xml:space="preserve">TRECHO DE Zona07_PB17_Rede_NÓ73.1 A Zona07_PB17_Rede_NÓ62.1; INCLUI 0,06 M DE TUBO DESENHADO NO PRÓPRIO NÓ (NÓ73.1: anel de ponta/toco)</t>
  </si>
  <si>
    <t xml:space="preserve">10509, 1050C, B128</t>
  </si>
  <si>
    <t xml:space="preserve">Zona07_PB17_Rede_TR009</t>
  </si>
  <si>
    <t xml:space="preserve">TRECHO DE Zona07_PB17_Rede_NÓ54.7 A Zona07_PB17_Rede_NÓ1.6; INCLUI 4,00 M DE TUBO DESENHADO NO PRÓPRIO NÓ (NÓ54.7: anel de ponta/toco)</t>
  </si>
  <si>
    <t xml:space="preserve">Zona07_PB17_Rede_NÓ54.7</t>
  </si>
  <si>
    <t xml:space="preserve">Zona07_PB17_Rede_NÓ1.6</t>
  </si>
  <si>
    <t xml:space="preserve">B266</t>
  </si>
  <si>
    <t xml:space="preserve">Zona07_PB17_Rede_TR010</t>
  </si>
  <si>
    <t xml:space="preserve">TRECHO DE Zona07_PB17_Rede_NÓ5.2 A Zona07_PB17_Rede_NÓ5.1</t>
  </si>
  <si>
    <t xml:space="preserve">Zona07_PB17_Rede_NÓ5.1</t>
  </si>
  <si>
    <t xml:space="preserve">B359</t>
  </si>
  <si>
    <t xml:space="preserve">Zona07_PB17_Rede_TR011</t>
  </si>
  <si>
    <t xml:space="preserve">TRECHO DE Zona07_PB17_Rede_NÓ62.1 A Zona07_PB17_Rede_NÓ5.1</t>
  </si>
  <si>
    <t xml:space="preserve">B182</t>
  </si>
  <si>
    <t xml:space="preserve">Zona07_PB17_Rede_TR012</t>
  </si>
  <si>
    <t xml:space="preserve">TRECHO DE Zona07_PB17_Rede_NÓ1.3 A Zona07_PB17_Rede_NÓ54.6; INCLUI 4,00 M DE TUBO DESENHADO NO PRÓPRIO NÓ (NÓ54.6: anel de ponta/toco)</t>
  </si>
  <si>
    <t xml:space="preserve">Zona07_PB17_Rede_NÓ1.3</t>
  </si>
  <si>
    <t xml:space="preserve">Zona07_PB17_Rede_NÓ54.6</t>
  </si>
  <si>
    <t xml:space="preserve">B269</t>
  </si>
  <si>
    <t xml:space="preserve">Zona07_PB17_Rede_TR013</t>
  </si>
  <si>
    <t xml:space="preserve">TRECHO DE Zona07_PB17_Rede_NÓ1.3 A Zona07_PB17_Rede_NÓ1.6</t>
  </si>
  <si>
    <t xml:space="preserve">B13D</t>
  </si>
  <si>
    <t xml:space="preserve">Zona07_PB17_Rede_TR014</t>
  </si>
  <si>
    <t xml:space="preserve">TRECHO DE Zona07_PB17_Rede_NÓ63.1 A Zona07_PB17_Rede_NÓ5.1; INCLUI 1,47 M DE TUBO DESENHADO NO PRÓPRIO NÓ (NÓ5.1, NÓ63.1: anel de ponta/toco)</t>
  </si>
  <si>
    <t xml:space="preserve">Zona07_PB17_Rede_NÓ63.1</t>
  </si>
  <si>
    <t xml:space="preserve">2C565, 2CF78</t>
  </si>
  <si>
    <t xml:space="preserve">Zona07_PB17_Rede_TR015</t>
  </si>
  <si>
    <t xml:space="preserve">TRECHO DE PONTA SEM NÓ NA TABELA A Zona07_PB17_Rede_NÓ62.1; INCLUI 0,07 M DE TUBO DESENHADO NO PRÓPRIO NÓ (NÓ62.1: anel de ponta/toco)</t>
  </si>
  <si>
    <t xml:space="preserve">10509</t>
  </si>
  <si>
    <t xml:space="preserve">Zona07_PB17_Rede_TR016</t>
  </si>
  <si>
    <t xml:space="preserve">TRECHO DE Zona07_PB17_Rede_NÓ63.1 A Zona07_PB17_Rede_NÓ1.3</t>
  </si>
  <si>
    <t xml:space="preserve">AF54</t>
  </si>
  <si>
    <t xml:space="preserve">Zona07_PB17_Rede_TR017</t>
  </si>
  <si>
    <t xml:space="preserve">TRECHO DE PONTA SEM NÓ NA TABELA A Zona07_PB17_Rede_NÓ56.1; INCLUI 0,15 M DE TUBO DESENHADO NO PRÓPRIO NÓ (NÓ56.1: anel de ponta/toco)</t>
  </si>
  <si>
    <t xml:space="preserve">Zona07_PB17_Rede_NÓ56.1</t>
  </si>
  <si>
    <t xml:space="preserve">1050A</t>
  </si>
  <si>
    <t xml:space="preserve">Zona07_PB17_Rede_TR018</t>
  </si>
  <si>
    <t xml:space="preserve">TRECHO DE Zona07_PB17_Rede_NÓ56.2 A Zona07_PB17_Rede_NÓ1.5; INCLUI 0,51 M DE TUBO DESENHADO NO PRÓPRIO NÓ (NÓ56.2: anel de ponta/toco)</t>
  </si>
  <si>
    <t xml:space="preserve">Zona07_PB17_Rede_NÓ56.2</t>
  </si>
  <si>
    <t xml:space="preserve">Zona07_PB17_Rede_NÓ1.5</t>
  </si>
  <si>
    <t xml:space="preserve">B33E</t>
  </si>
  <si>
    <t xml:space="preserve">Zona07_PB17_Rede_TR019</t>
  </si>
  <si>
    <t xml:space="preserve">TRECHO DE Zona07_PB17_Rede_NÓ56.1 A Zona07_PB17_Rede_NÓ63.1</t>
  </si>
  <si>
    <t xml:space="preserve">A6F0</t>
  </si>
  <si>
    <t xml:space="preserve">Zona07_PB17_Rede_TR020</t>
  </si>
  <si>
    <t xml:space="preserve">TRECHO DE Zona07_PB17_Rede_NÓ56.1 A Zona07_PB17_Rede_NÓ56.2</t>
  </si>
  <si>
    <t xml:space="preserve">AD77</t>
  </si>
  <si>
    <t xml:space="preserve">Zona07_PB18_Adutora_TR001</t>
  </si>
  <si>
    <t xml:space="preserve">TRECHO DE Zona07_PB15_Adutora_NÓ90.1 A DIVISA DE ZONA; TRECHO DIVIDIDO NA DIVISA DE ZONA (TRECHO ORIGINAL ENTRE PONTOS DA REDE: 608,92 M)</t>
  </si>
  <si>
    <t xml:space="preserve">43BD4, 462DE</t>
  </si>
  <si>
    <t xml:space="preserve">Zona07_PB18_Rede_TR001</t>
  </si>
  <si>
    <t xml:space="preserve">TRECHO DE Zona07_PB18_Rede_NÓ1.1 A Zona07_PB15_Rede_NÓ1.1</t>
  </si>
  <si>
    <t xml:space="preserve">Zona07_PB18_Rede_TR002</t>
  </si>
  <si>
    <t xml:space="preserve">TRECHO DE Zona07_PB18_Rede_NÓ92.1 A Zona07_PB15_Rede_NÓ57.1</t>
  </si>
  <si>
    <t xml:space="preserve">Zona07_PB18_Rede_NÓ92.1</t>
  </si>
  <si>
    <t xml:space="preserve">Zona07_PB18_Rede_TR003</t>
  </si>
  <si>
    <t xml:space="preserve">TRECHO DE Zona07_PB15_Rede_NÓ57.3 A Zona07_PB18_Rede_NÓ54.1; INCLUI 4,47 M DE TUBO DESENHADO NO PRÓPRIO NÓ (NÓ57.3, NÓ54.1: anel de ponta/toco)</t>
  </si>
  <si>
    <t xml:space="preserve">Zona07_PB18_Rede_NÓ54.1</t>
  </si>
  <si>
    <t xml:space="preserve">B34D</t>
  </si>
  <si>
    <t xml:space="preserve">Zona07_PB18_Rede_TR004</t>
  </si>
  <si>
    <t xml:space="preserve">TRECHO DE PONTA SEM NÓ NA TABELA A Zona07_PB15_Rede_NÓ56.1</t>
  </si>
  <si>
    <t xml:space="preserve">6C8BC</t>
  </si>
  <si>
    <t xml:space="preserve">Zona07_PB18_Rede_TR005</t>
  </si>
  <si>
    <t xml:space="preserve">TRECHO DE Zona07_PB18_CH_VM-7.2 A Zona07_PB15_Rede_NÓ60.1; INCLUI 0,24 M DE TUBO DESENHADO NO PRÓPRIO NÓ (NÓ60.1: anel de ponta/toco)</t>
  </si>
  <si>
    <t xml:space="preserve">Zona07_PB18_CH_VM-7.2</t>
  </si>
  <si>
    <t xml:space="preserve">6CD26</t>
  </si>
  <si>
    <t xml:space="preserve">Zona07_PB18_Rede_TR006</t>
  </si>
  <si>
    <t xml:space="preserve">6C81C</t>
  </si>
  <si>
    <t xml:space="preserve">Zona07_PB18_Rede_TR007</t>
  </si>
  <si>
    <t xml:space="preserve">TRECHO DE Zona07_PB18_Rede_NÓ57.2 A Zona07_PB18_Rede_NÓ57.1; INCLUI 0,50 M DE TUBO DESENHADO NO PRÓPRIO NÓ (NÓ57.1, NÓ57.2: anel de ponta/toco)</t>
  </si>
  <si>
    <t xml:space="preserve">Zona07_PB18_Rede_NÓ57.2</t>
  </si>
  <si>
    <t xml:space="preserve">AE61</t>
  </si>
  <si>
    <t xml:space="preserve">Zona07_PB18_Rede_TR008</t>
  </si>
  <si>
    <t xml:space="preserve">TRECHO DE DIVISA DE ZONA A Zona07_PB18_Rede_NÓ1.1; TRECHO DIVIDIDO NA DIVISA DE ZONA (TRECHO ORIGINAL ENTRE PONTOS DA REDE: 251,66 M)</t>
  </si>
  <si>
    <t xml:space="preserve">Zona07_PB18_Rede_TR009</t>
  </si>
  <si>
    <t xml:space="preserve">TRECHO DE Zona07_PB18_Rede_NÓ92.1 A Zona07_PB18_Rede_NÓ107.1</t>
  </si>
  <si>
    <t xml:space="preserve">6C841</t>
  </si>
  <si>
    <t xml:space="preserve">Zona07_PB18_Rede_TR010</t>
  </si>
  <si>
    <t xml:space="preserve">TRECHO DE Zona06_PB14_Rede_NÓ6.1 A Zona07_PB18_Rede_NÓ107.1</t>
  </si>
  <si>
    <t xml:space="preserve">AFAE</t>
  </si>
  <si>
    <t xml:space="preserve">Zona07_PB18_Rede_TR011</t>
  </si>
  <si>
    <t xml:space="preserve">TRECHO DE Zona07_PB18_Rede_NÓ1.11 A Zona07_PB18_Rede_NÓ1.12</t>
  </si>
  <si>
    <t xml:space="preserve">Zona07_PB18_Rede_NÓ1.11</t>
  </si>
  <si>
    <t xml:space="preserve">AE70</t>
  </si>
  <si>
    <t xml:space="preserve">Zona07_PB18_Rede_TR012</t>
  </si>
  <si>
    <t xml:space="preserve">Q 37 CJ B</t>
  </si>
  <si>
    <t xml:space="preserve">TRECHO DE Zona07_PB18_Rede_NÓ54.2 A Zona07_PB18_Rede_NÓ57.1; INCLUI 4,00 M DE TUBO DESENHADO NO PRÓPRIO NÓ (NÓ54.2: anel de ponta/toco)</t>
  </si>
  <si>
    <t xml:space="preserve">Zona07_PB18_Rede_NÓ54.2</t>
  </si>
  <si>
    <t xml:space="preserve">A73E</t>
  </si>
  <si>
    <t xml:space="preserve">Zona07_PB18_Rede_TR013</t>
  </si>
  <si>
    <t xml:space="preserve">TRECHO DE Zona07_PB18_Rede_NÓ77.1 A Zona07_PB18_Rede_NÓ57.2</t>
  </si>
  <si>
    <t xml:space="preserve">Zona07_PB18_Rede_NÓ77.1</t>
  </si>
  <si>
    <t xml:space="preserve">AE64</t>
  </si>
  <si>
    <t xml:space="preserve">Zona07_PB18_Rede_TR014</t>
  </si>
  <si>
    <t xml:space="preserve">TRECHO DE Zona07_PB18_Rede_NÓ9.1 A Zona07_PB18_CH_VM-7.2</t>
  </si>
  <si>
    <t xml:space="preserve">Zona07_PB18_Rede_NÓ9.1</t>
  </si>
  <si>
    <t xml:space="preserve">Zona07_PB18_Rede_TR015</t>
  </si>
  <si>
    <t xml:space="preserve">TRECHO DE Zona07_PB18_Rede_NÓ9.2 A Zona07_PB18_Rede_NÓ9.1</t>
  </si>
  <si>
    <t xml:space="preserve">Zona07_PB18_Rede_NÓ9.2</t>
  </si>
  <si>
    <t xml:space="preserve">Zona07_PB18_Rede_TR016</t>
  </si>
  <si>
    <t xml:space="preserve">TRECHO DE Zona07_PB18_Rede_NÓ1.12 A Zona07_PB18_Rede_NÓ54.13; INCLUI 3,99 M DE TUBO DESENHADO NO PRÓPRIO NÓ (NÓ54.13: anel de ponta/toco)</t>
  </si>
  <si>
    <t xml:space="preserve">Zona07_PB18_Rede_NÓ54.13</t>
  </si>
  <si>
    <t xml:space="preserve">2C41A, 2CD37, 37533, AA50</t>
  </si>
  <si>
    <t xml:space="preserve">Zona07_PB18_Rede_TR017</t>
  </si>
  <si>
    <t xml:space="preserve">TRECHO DE Zona07_PB18_Rede_NÓ1.10 A Zona07_PB18_Rede_NÓ1.11</t>
  </si>
  <si>
    <t xml:space="preserve">Zona07_PB18_Rede_NÓ1.10</t>
  </si>
  <si>
    <t xml:space="preserve">B0B9</t>
  </si>
  <si>
    <t xml:space="preserve">Zona07_PB18_Rede_TR018</t>
  </si>
  <si>
    <t xml:space="preserve">TRECHO DE Zona07_PB18_Rede_NÓ54.5 A Zona07_PB18_Rede_NÓ57.2; INCLUI 4,37 M DE TUBO DESENHADO NO PRÓPRIO NÓ (NÓ54.5, NÓ57.2: anel de ponta/toco)</t>
  </si>
  <si>
    <t xml:space="preserve">Zona07_PB18_Rede_NÓ54.5</t>
  </si>
  <si>
    <t xml:space="preserve">B16A</t>
  </si>
  <si>
    <t xml:space="preserve">Zona07_PB18_Rede_TR019</t>
  </si>
  <si>
    <t xml:space="preserve">TRECHO DE Zona07_PB18_Rede_NÓ56.8 A Zona07_PB15_Rede_NÓ57.1; INCLUI 0,36 M DE TUBO DESENHADO NO PRÓPRIO NÓ (NÓ57.1: anel de ponta/toco)</t>
  </si>
  <si>
    <t xml:space="preserve">Zona07_PB18_Rede_NÓ56.8</t>
  </si>
  <si>
    <t xml:space="preserve">10593, 10594, 2CDB0, B725, B72B</t>
  </si>
  <si>
    <t xml:space="preserve">Zona07_PB18_Rede_TR020</t>
  </si>
  <si>
    <t xml:space="preserve">TRECHO DE Zona07_PB18_Rede_NÓ1.11 A Zona07_PB18_Rede_NÓ54.12; INCLUI 2,97 M DE TUBO DESENHADO NO PRÓPRIO NÓ (NÓ54.12: anel de ponta/toco)</t>
  </si>
  <si>
    <t xml:space="preserve">Zona07_PB18_Rede_NÓ54.12</t>
  </si>
  <si>
    <t xml:space="preserve">2CBB6, 2CD36, B620</t>
  </si>
  <si>
    <t xml:space="preserve">Zona07_PB18_Rede_TR021</t>
  </si>
  <si>
    <t xml:space="preserve">TRECHO DE Zona07_PB18_Rede_NÓ56.7 A Zona07_PB18_Rede_NÓ92.1</t>
  </si>
  <si>
    <t xml:space="preserve">Zona07_PB18_Rede_NÓ56.7</t>
  </si>
  <si>
    <t xml:space="preserve">2CE58, 2CE59, 2CE5A, B71C, B71F, B722</t>
  </si>
  <si>
    <t xml:space="preserve">Zona07_PB18_Rede_TR022</t>
  </si>
  <si>
    <t xml:space="preserve">TRECHO DE Zona07_PB18_Rede_NÓ56.8 A Zona07_PB18_Rede_NÓ77.1</t>
  </si>
  <si>
    <t xml:space="preserve">B701, B704</t>
  </si>
  <si>
    <t xml:space="preserve">Zona07_PB18_Rede_TR023</t>
  </si>
  <si>
    <t xml:space="preserve">TRECHO DE Zona07_PB18_Rede_NÓ1.9 A Zona07_PB18_Rede_NÓ1.10</t>
  </si>
  <si>
    <t xml:space="preserve">Zona07_PB18_Rede_NÓ1.9</t>
  </si>
  <si>
    <t xml:space="preserve">B0B0</t>
  </si>
  <si>
    <t xml:space="preserve">Zona07_PB18_Rede_TR024</t>
  </si>
  <si>
    <t xml:space="preserve">TRECHO DE Zona07_PB17_Rede_NÓ1.6 A Zona07_PB17_Rede_NÓ54.8; INCLUI 0,21 M DE TUBO DESENHADO NO PRÓPRIO NÓ (NÓ1.6: anel de ponta/toco)</t>
  </si>
  <si>
    <t xml:space="preserve">Zona07_PB17_Rede_NÓ54.8</t>
  </si>
  <si>
    <t xml:space="preserve">2C7A7, B245</t>
  </si>
  <si>
    <t xml:space="preserve">Zona07_PB18_Rede_TR025</t>
  </si>
  <si>
    <t xml:space="preserve">TRECHO DE Zona07_PB18_Rede_NÓ107.1 A Zona07_PB18_Rede_NÓ56.6; INCLUI 0,01 M DE TUBO DESENHADO NO PRÓPRIO NÓ (nó: anel de ponta/toco)</t>
  </si>
  <si>
    <t xml:space="preserve">Zona07_PB18_Rede_NÓ56.6</t>
  </si>
  <si>
    <t xml:space="preserve">10579, 2CF79, A78C, B70D, B716, B719</t>
  </si>
  <si>
    <t xml:space="preserve">Zona07_PB18_Rede_TR026</t>
  </si>
  <si>
    <t xml:space="preserve">TRECHO DE Zona07_PB18_Rede_NÓ54.10 A Zona07_PB18_Rede_NÓ1.10; INCLUI 4,00 M DE TUBO DESENHADO NO PRÓPRIO NÓ (NÓ54.10: anel de ponta/toco)</t>
  </si>
  <si>
    <t xml:space="preserve">Zona07_PB18_Rede_NÓ54.10</t>
  </si>
  <si>
    <t xml:space="preserve">B61A</t>
  </si>
  <si>
    <t xml:space="preserve">Zona07_PB18_Rede_TR027</t>
  </si>
  <si>
    <t xml:space="preserve">TRECHO DE Zona07_PB18_Rede_NÓ1.8 A Zona07_PB18_Rede_NÓ1.9</t>
  </si>
  <si>
    <t xml:space="preserve">Zona07_PB18_Rede_NÓ1.8</t>
  </si>
  <si>
    <t xml:space="preserve">B0B3</t>
  </si>
  <si>
    <t xml:space="preserve">Zona07_PB18_Rede_TR028</t>
  </si>
  <si>
    <t xml:space="preserve">TRECHO DE Zona07_PB18_Rede_NÓ56.7 A Zona07_PB18_Rede_NÓ56.8</t>
  </si>
  <si>
    <t xml:space="preserve">AD6B</t>
  </si>
  <si>
    <t xml:space="preserve">Zona07_PB18_Rede_TR029</t>
  </si>
  <si>
    <t xml:space="preserve">CHÁCARA 35S/N</t>
  </si>
  <si>
    <t xml:space="preserve">TRECHO DE Zona07_PB18_Rede_NÓ56.4 A Zona07_PB17_Rede_NÓ1.5; INCLUI 0,22 M DE TUBO DESENHADO NO PRÓPRIO NÓ (nó: anel de ponta/toco)</t>
  </si>
  <si>
    <t xml:space="preserve">Zona07_PB18_Rede_NÓ56.4</t>
  </si>
  <si>
    <t xml:space="preserve">B710, B713</t>
  </si>
  <si>
    <t xml:space="preserve">Zona07_PB18_Rede_TR030</t>
  </si>
  <si>
    <t xml:space="preserve">TRECHO DE Zona07_PB18_Rede_NÓ56.6 A Zona07_PB18_Rede_NÓ56.7</t>
  </si>
  <si>
    <t xml:space="preserve">AF36</t>
  </si>
  <si>
    <t xml:space="preserve">Zona07_PB18_Rede_TR031</t>
  </si>
  <si>
    <t xml:space="preserve">TRECHO DE Zona07_PB18_Rede_NÓ1.7 A Zona07_PB18_Rede_NÓ1.8</t>
  </si>
  <si>
    <t xml:space="preserve">Zona07_PB18_Rede_NÓ1.7</t>
  </si>
  <si>
    <t xml:space="preserve">2C447, 2CD3B, B21E</t>
  </si>
  <si>
    <t xml:space="preserve">Zona07_PB18_Rede_TR032</t>
  </si>
  <si>
    <t xml:space="preserve">TRECHO DE Zona07_PB18_Rede_NÓ2.9 A Zona07_PB18_Rede_NÓ1.9; INCLUI 0,61 M DE TUBO DESENHADO NO PRÓPRIO NÓ (NÓ2.9: anel de ponta/toco)</t>
  </si>
  <si>
    <t xml:space="preserve">Zona07_PB18_Rede_NÓ2.9</t>
  </si>
  <si>
    <t xml:space="preserve">B605, B608</t>
  </si>
  <si>
    <t xml:space="preserve">Zona07_PB18_Rede_TR033</t>
  </si>
  <si>
    <t xml:space="preserve">TRECHO DE Zona07_PB18_Rede_NÓ56.5 A Zona07_PB18_Rede_NÓ56.6; INCLUI 0,56 M DE TUBO DESENHADO NO PRÓPRIO NÓ (NÓ56.5: anel de ponta/toco)</t>
  </si>
  <si>
    <t xml:space="preserve">Zona07_PB18_Rede_NÓ56.5</t>
  </si>
  <si>
    <t xml:space="preserve">AF39</t>
  </si>
  <si>
    <t xml:space="preserve">Zona07_PB18_Rede_TR034</t>
  </si>
  <si>
    <t xml:space="preserve">TRECHO DE Zona07_PB18_Rede_NÓ2.7 A Zona07_PB18_Rede_NÓ1.8</t>
  </si>
  <si>
    <t xml:space="preserve">Zona07_PB18_Rede_NÓ2.7</t>
  </si>
  <si>
    <t xml:space="preserve">2C43C, 2CD3A, 37C0A, B602</t>
  </si>
  <si>
    <t xml:space="preserve">Zona07_PB18_Rede_TR035</t>
  </si>
  <si>
    <t xml:space="preserve">TRECHO DE Zona07_PB18_Rede_NÓ56.4 A Zona07_PB18_Rede_NÓ56.5</t>
  </si>
  <si>
    <t xml:space="preserve">AD7A</t>
  </si>
  <si>
    <t xml:space="preserve">Zona07_PB18_Rede_TR036</t>
  </si>
  <si>
    <t xml:space="preserve">TRECHO DE Zona07_PB17_Rede_NÓ1.5 A Zona07_PB18_Rede_NÓ56.2</t>
  </si>
  <si>
    <t xml:space="preserve">Zona07_PB18_Rede_NÓ56.2</t>
  </si>
  <si>
    <t xml:space="preserve">B33B</t>
  </si>
  <si>
    <t xml:space="preserve">Zona07_PB18_Rede_TR037</t>
  </si>
  <si>
    <t xml:space="preserve">TRECHO DE Zona07_PB18_Rede_NÓ2.4 A Zona07_PB18_Rede_NÓ56.5; INCLUI 1,43 M DE TUBO DESENHADO NO PRÓPRIO NÓ (NÓ2.4: anel de ponta/toco)</t>
  </si>
  <si>
    <t xml:space="preserve">Zona07_PB18_Rede_NÓ2.4</t>
  </si>
  <si>
    <t xml:space="preserve">10541, 2FEE3, 56046, AD80</t>
  </si>
  <si>
    <t xml:space="preserve">Zona07_PB18_Rede_TR038</t>
  </si>
  <si>
    <t xml:space="preserve">TRECHO DE Zona07_PB18_Rede_NÓ56.3 A Zona07_PB18_Rede_NÓ56.4</t>
  </si>
  <si>
    <t xml:space="preserve">Zona07_PB18_Rede_NÓ56.3</t>
  </si>
  <si>
    <t xml:space="preserve">AF3C</t>
  </si>
  <si>
    <t xml:space="preserve">Zona07_PB18_Rede_TR039</t>
  </si>
  <si>
    <t xml:space="preserve">TRECHO DE Zona07_PB18_Rede_NÓ1.7 A Zona07_PB18_Rede_NÓ2.5</t>
  </si>
  <si>
    <t xml:space="preserve">Zona07_PB18_Rede_NÓ2.5</t>
  </si>
  <si>
    <t xml:space="preserve">AF45</t>
  </si>
  <si>
    <t xml:space="preserve">Zona07_PB18_Rede_TR040</t>
  </si>
  <si>
    <t xml:space="preserve">TRECHO DE Zona07_PB18_Rede_NÓ56.2 A Zona07_PB18_Rede_NÓ56.3; INCLUI 0,53 M DE TUBO DESENHADO NO PRÓPRIO NÓ (NÓ56.3: anel de ponta/toco)</t>
  </si>
  <si>
    <t xml:space="preserve">AD7D</t>
  </si>
  <si>
    <t xml:space="preserve">Zona07_PB18_Rede_TR041</t>
  </si>
  <si>
    <t xml:space="preserve">TRECHO DE Zona07_PB18_Rede_NÓ54.6 A Zona07_PB18_Rede_NÓ1.7; INCLUI 4,00 M DE TUBO DESENHADO NO PRÓPRIO NÓ (NÓ54.6: anel de ponta/toco)</t>
  </si>
  <si>
    <t xml:space="preserve">Zona07_PB18_Rede_NÓ54.6</t>
  </si>
  <si>
    <t xml:space="preserve">B13A</t>
  </si>
  <si>
    <t xml:space="preserve">Zona07_PB18_Rede_TR042</t>
  </si>
  <si>
    <t xml:space="preserve">TRECHO DE Zona09_PB14_Rede_NÓ9.4 A Zona07_PB18_Rede_NÓ9.2</t>
  </si>
  <si>
    <t xml:space="preserve">Zona07_PB18_Rede_TR043</t>
  </si>
  <si>
    <t xml:space="preserve">TRECHO DE Zona07_PB18_Rede_NÓ2.7 A Zona07_PB18_Rede_NÓ2.9</t>
  </si>
  <si>
    <t xml:space="preserve">2C9D1, 2C9D2</t>
  </si>
  <si>
    <t xml:space="preserve">Zona07_PB18_Rede_TR044</t>
  </si>
  <si>
    <t xml:space="preserve">TRECHO DE Zona07_PB18_Rede_NÓ1.4 A Zona07_PB18_Rede_NÓ56.3; INCLUI 0,44 M DE TUBO DESENHADO NO PRÓPRIO NÓ (NÓ56.3: anel de ponta/toco)</t>
  </si>
  <si>
    <t xml:space="preserve">Zona07_PB18_Rede_NÓ1.4</t>
  </si>
  <si>
    <t xml:space="preserve">1054E, 2FEE2, 5603E</t>
  </si>
  <si>
    <t xml:space="preserve">Zona07_PB18_Rede_TR045</t>
  </si>
  <si>
    <t xml:space="preserve">TRECHO DE Zona07_PB17_Rede_NÓ56.2 A Zona07_PB18_Rede_NÓ56.1; INCLUI 0,25 M DE TUBO DESENHADO NO PRÓPRIO NÓ (NÓ56.2, NÓ56.1: anel de ponta/toco)</t>
  </si>
  <si>
    <t xml:space="preserve">Zona07_PB18_Rede_NÓ56.1</t>
  </si>
  <si>
    <t xml:space="preserve">2F911, 2F919</t>
  </si>
  <si>
    <t xml:space="preserve">Zona07_PB18_Rede_TR046</t>
  </si>
  <si>
    <t xml:space="preserve">TRECHO DE Zona07_PB18_Rede_NÓ2.4 A Zona07_PB18_Rede_NÓ1.4</t>
  </si>
  <si>
    <t xml:space="preserve">1054E, 1055E</t>
  </si>
  <si>
    <t xml:space="preserve">Zona07_PB18_Rede_TR047</t>
  </si>
  <si>
    <t xml:space="preserve">TRECHO DE Zona07_PB18_Rede_NÓ56.1 A Zona07_PB18_Rede_NÓ56.2</t>
  </si>
  <si>
    <t xml:space="preserve">2F911, 2F914</t>
  </si>
  <si>
    <t xml:space="preserve">Zona07_PB18_Rede_TR048</t>
  </si>
  <si>
    <t xml:space="preserve">TRECHO DE Zona07_PB18_Rede_NÓ2.5 A Zona07_PB18_Rede_NÓ1.6; INCLUI 0,04 M DE TUBO DESENHADO NO PRÓPRIO NÓ (nó: anel de ponta/toco)</t>
  </si>
  <si>
    <t xml:space="preserve">Zona07_PB18_Rede_NÓ1.6</t>
  </si>
  <si>
    <t xml:space="preserve">1051C, 10524</t>
  </si>
  <si>
    <t xml:space="preserve">Zona07_PB18_Rede_TR049</t>
  </si>
  <si>
    <t xml:space="preserve">TRECHO DE Zona07_PB18_Rede_NÓ56.1 A Zona07_PB18_Rede_NÓ2.1; INCLUI 0,32 M DE TUBO DESENHADO NO PRÓPRIO NÓ (NÓ56.1: anel de ponta/toco)</t>
  </si>
  <si>
    <t xml:space="preserve">Zona07_PB18_Rede_NÓ2.1</t>
  </si>
  <si>
    <t xml:space="preserve">2FCB5</t>
  </si>
  <si>
    <t xml:space="preserve">Zona07_PB18_Rede_TR050</t>
  </si>
  <si>
    <t xml:space="preserve">TRECHO DE Zona07_PB18_Rede_NÓ2.1 A Zona07_PB17_Rede_NÓ54.9; INCLUI 3,96 M DE TUBO DESENHADO NO PRÓPRIO NÓ (NÓ54.9: anel de ponta/toco)</t>
  </si>
  <si>
    <t xml:space="preserve">Zona07_PB17_Rede_NÓ54.9</t>
  </si>
  <si>
    <t xml:space="preserve">Zona07_PB18_Rede_TR051</t>
  </si>
  <si>
    <t xml:space="preserve">TRECHO DE Zona07_PB18_Rede_NÓ1.6 A Zona07_PB18_Rede_NÓ2.6</t>
  </si>
  <si>
    <t xml:space="preserve">Zona07_PB18_Rede_NÓ2.6</t>
  </si>
  <si>
    <t xml:space="preserve">BB4B</t>
  </si>
  <si>
    <t xml:space="preserve">Zona07_PB18_Rede_TR052</t>
  </si>
  <si>
    <t xml:space="preserve">TRECHO DE Zona07_PB18_Rede_NÓ2.6 A Zona07_PB18_Rede_NÓ54.7; INCLUI 3,00 M DE TUBO DESENHADO NO PRÓPRIO NÓ (NÓ54.7: anel de ponta/toco)</t>
  </si>
  <si>
    <t xml:space="preserve">Zona07_PB18_Rede_NÓ54.7</t>
  </si>
  <si>
    <t xml:space="preserve">Zona07_PB18_Rede_TR053</t>
  </si>
  <si>
    <t xml:space="preserve">TRECHO DE Zona07_PB18_Rede_NÓ1.6 A Zona07_PB18_Rede_NÓ54.3; INCLUI 3,09 M DE TUBO DESENHADO NO PRÓPRIO NÓ (NÓ54.3: anel de ponta/toco)</t>
  </si>
  <si>
    <t xml:space="preserve">Zona07_PB18_Rede_NÓ54.3</t>
  </si>
  <si>
    <t xml:space="preserve">10524</t>
  </si>
  <si>
    <t xml:space="preserve">Zona07_PB19_Adutora_TR001</t>
  </si>
  <si>
    <t xml:space="preserve">A.RED.SSB-D014.V03.T01.020/037</t>
  </si>
  <si>
    <t xml:space="preserve">TRECHO DE Zona07_PB15_Adutora_NÓ90.1 A Zona07_PB20_Adutora_NÓ97.1; INCLUI 3,95 M DE TUBO DESENHADO NO PRÓPRIO NÓ (NÓ97.1: anel de ponta/toco)</t>
  </si>
  <si>
    <t xml:space="preserve">PB19</t>
  </si>
  <si>
    <t xml:space="preserve">Zona07_PB20_Adutora_NÓ97.1</t>
  </si>
  <si>
    <t xml:space="preserve">2C327, 2C32E, 2C32F, 2D303</t>
  </si>
  <si>
    <t xml:space="preserve">Zona07_PB19_Rede_TR001</t>
  </si>
  <si>
    <t xml:space="preserve">TRECHO DE Zona07_PB19_Rede_NÓ56.5 A Zona07_PB20_Rede_NÓ65.1</t>
  </si>
  <si>
    <t xml:space="preserve">Zona07_PB19_Rede_NÓ56.5</t>
  </si>
  <si>
    <t xml:space="preserve">Zona07_PB20_Rede_NÓ65.1</t>
  </si>
  <si>
    <t xml:space="preserve">2CA93, B6C2, B6C5</t>
  </si>
  <si>
    <t xml:space="preserve">Zona07_PB19_Rede_TR002</t>
  </si>
  <si>
    <t xml:space="preserve">TRECHO DE Zona07_PB19_Rede_NÓ56.4 A Zona07_PB19_Rede_NÓ56.5</t>
  </si>
  <si>
    <t xml:space="preserve">Zona07_PB19_Rede_NÓ56.4</t>
  </si>
  <si>
    <t xml:space="preserve">B6CB, B6CE</t>
  </si>
  <si>
    <t xml:space="preserve">Zona07_PB19_Rede_TR003</t>
  </si>
  <si>
    <t xml:space="preserve">Q 27</t>
  </si>
  <si>
    <t xml:space="preserve">TRECHO DE Zona07_PB19_Rede_NÓ56.3 A Zona07_PB19_Rede_NÓ56.4</t>
  </si>
  <si>
    <t xml:space="preserve">Zona07_PB19_Rede_NÓ56.3</t>
  </si>
  <si>
    <t xml:space="preserve">AD65</t>
  </si>
  <si>
    <t xml:space="preserve">Zona07_PB19_Rede_TR004</t>
  </si>
  <si>
    <t xml:space="preserve">TRECHO DE Zona07_PB19_Rede_NÓ40.1 A Zona07_PB19_Rede_NÓ56.3</t>
  </si>
  <si>
    <t xml:space="preserve">Zona07_PB19_Rede_NÓ40.1</t>
  </si>
  <si>
    <t xml:space="preserve">B6D7, B6DA</t>
  </si>
  <si>
    <t xml:space="preserve">Zona07_PB19_Rede_TR005</t>
  </si>
  <si>
    <t xml:space="preserve">CHÁCARA 25</t>
  </si>
  <si>
    <t xml:space="preserve">TRECHO DE Zona07_PB19_Rede_NÓ56.2 A Zona07_PB19_Rede_NÓ40.1</t>
  </si>
  <si>
    <t xml:space="preserve">Zona07_PB19_Rede_NÓ56.2</t>
  </si>
  <si>
    <t xml:space="preserve">B6D7</t>
  </si>
  <si>
    <t xml:space="preserve">Zona07_PB19_Rede_TR006</t>
  </si>
  <si>
    <t xml:space="preserve">TRECHO DE Zona07_PB19_Rede_NÓ1.8 A Zona07_PB19_Rede_NÓ56.5</t>
  </si>
  <si>
    <t xml:space="preserve">Zona07_PB19_Rede_NÓ1.8</t>
  </si>
  <si>
    <t xml:space="preserve">2CE75, B6A4</t>
  </si>
  <si>
    <t xml:space="preserve">Zona07_PB19_Rede_TR007</t>
  </si>
  <si>
    <t xml:space="preserve">CHÁCARA 23</t>
  </si>
  <si>
    <t xml:space="preserve">TRECHO DE Zona07_PB19_Rede_NÓ56.1 A Zona07_PB19_Rede_NÓ56.2; INCLUI 0,49 M DE TUBO DESENHADO NO PRÓPRIO NÓ (NÓ56.1: anel de ponta/toco)</t>
  </si>
  <si>
    <t xml:space="preserve">B6E0, B6E6, B6E9</t>
  </si>
  <si>
    <t xml:space="preserve">Zona07_PB19_Rede_TR008</t>
  </si>
  <si>
    <t xml:space="preserve">TRECHO DE Zona07_PB19_Rede_NÓ54.3 A Zona07_PB19_Rede_NÓ56.3; INCLUI 4,00 M DE TUBO DESENHADO NO PRÓPRIO NÓ (NÓ54.3: anel de ponta/toco)</t>
  </si>
  <si>
    <t xml:space="preserve">Zona07_PB19_Rede_NÓ54.3</t>
  </si>
  <si>
    <t xml:space="preserve">43B9C</t>
  </si>
  <si>
    <t xml:space="preserve">Zona07_PB19_Rede_TR009</t>
  </si>
  <si>
    <t xml:space="preserve">TRECHO DE Zona07_PB19_Rede_NÓ56.1 A Zona07_PB19_Rede_DF-06</t>
  </si>
  <si>
    <t xml:space="preserve">Zona07_PB19_Rede_DF-06</t>
  </si>
  <si>
    <t xml:space="preserve">AF2D</t>
  </si>
  <si>
    <t xml:space="preserve">Zona07_PB19_Rede_TR010</t>
  </si>
  <si>
    <t xml:space="preserve">TRECHO DE Zona07_PB19_Rede_NÓ54.1 A Zona07_PB19_Rede_NÓ56.2; INCLUI 4,00 M DE TUBO DESENHADO NO PRÓPRIO NÓ (NÓ54.1: anel de ponta/toco)</t>
  </si>
  <si>
    <t xml:space="preserve">Zona07_PB19_Rede_NÓ54.1</t>
  </si>
  <si>
    <t xml:space="preserve">43B9A</t>
  </si>
  <si>
    <t xml:space="preserve">Zona07_PB19_Rede_TR011</t>
  </si>
  <si>
    <t xml:space="preserve">TRECHO DE Zona07_PB19_Rede_NÓ1.8 A Zona07_PB19_Rede_NÓ54.8; INCLUI 4,00 M DE TUBO DESENHADO NO PRÓPRIO NÓ (NÓ54.8: anel de ponta/toco)</t>
  </si>
  <si>
    <t xml:space="preserve">Zona07_PB19_Rede_NÓ54.8</t>
  </si>
  <si>
    <t xml:space="preserve">AE52</t>
  </si>
  <si>
    <t xml:space="preserve">Zona07_PB19_Rede_TR012</t>
  </si>
  <si>
    <t xml:space="preserve">TRECHO DE Zona07_PB19_Rede_NÓ56.4 A Zona07_PB19_Rede_NÓ54.6; INCLUI 3,99 M DE TUBO DESENHADO NO PRÓPRIO NÓ (NÓ54.6: anel de ponta/toco)</t>
  </si>
  <si>
    <t xml:space="preserve">Zona07_PB19_Rede_NÓ54.6</t>
  </si>
  <si>
    <t xml:space="preserve">2C39F, 2C438, 2CD25, B6B9</t>
  </si>
  <si>
    <t xml:space="preserve">Zona07_PB19_Rede_TR013</t>
  </si>
  <si>
    <t xml:space="preserve">TRECHO DE Zona07_PB19_Rede_DF-06 A Zona07_PB19_Rede_NÓ2.2</t>
  </si>
  <si>
    <t xml:space="preserve">Zona07_PB19_Rede_NÓ2.2</t>
  </si>
  <si>
    <t xml:space="preserve">Zona07_PB19_Rede_TR014</t>
  </si>
  <si>
    <t xml:space="preserve">TRECHO DE Zona07_PB19_Rede_NÓ54.9 A Zona07_PB19_Rede_NÓ1.8</t>
  </si>
  <si>
    <t xml:space="preserve">Zona07_PB19_Rede_NÓ54.9</t>
  </si>
  <si>
    <t xml:space="preserve">2CA95, B6A4</t>
  </si>
  <si>
    <t xml:space="preserve">Zona07_PB19_Rede_TR015</t>
  </si>
  <si>
    <t xml:space="preserve">TRECHO DE Zona07_PB19_Rede_NÓ2.2 A Zona07_PB19_Rede_NÓ2.1</t>
  </si>
  <si>
    <t xml:space="preserve">Zona07_PB19_Rede_NÓ2.1</t>
  </si>
  <si>
    <t xml:space="preserve">Zona07_PB19_Rede_TR016</t>
  </si>
  <si>
    <t xml:space="preserve">TRECHO DE Zona07_PB19_Rede_NÓ2.1 A PONTA SEM NÓ NA TABELA</t>
  </si>
  <si>
    <t xml:space="preserve">Zona07_PB19_Rede_TR017</t>
  </si>
  <si>
    <t xml:space="preserve">TRECHO DE PONTA SEM NÓ NA TABELA A Zona07_PB19_Rede_NÓ54.9</t>
  </si>
  <si>
    <t xml:space="preserve">104B4, 104B6, 104B7</t>
  </si>
  <si>
    <t xml:space="preserve">Zona07_PB19_Rede_TR018</t>
  </si>
  <si>
    <t xml:space="preserve">TRECHO DE Zona07_PB19_Rede_NÓ54.9 A PONTA SEM NÓ NA TABELA</t>
  </si>
  <si>
    <t xml:space="preserve">2CA95</t>
  </si>
  <si>
    <t xml:space="preserve">Zona07_PB19_Rede_TR019</t>
  </si>
  <si>
    <t xml:space="preserve">6C74D</t>
  </si>
  <si>
    <t xml:space="preserve">Zona07_PB19_CH_VTF-26</t>
  </si>
  <si>
    <t xml:space="preserve">Zona07_PB20_Rede_TR001</t>
  </si>
  <si>
    <t xml:space="preserve">A.RED.SSB-D014.V03.T01.021/037</t>
  </si>
  <si>
    <t xml:space="preserve">TRECHO DE Zona07_PB20_Rede_NÓ65.1 A Zona07_PB20_Rede_NÓ54.1; INCLUI 3,95 M DE TUBO DESENHADO NO PRÓPRIO NÓ (NÓ54.1: anel de ponta/toco)</t>
  </si>
  <si>
    <t xml:space="preserve">PB20</t>
  </si>
  <si>
    <t xml:space="preserve">Zona07_PB20_Rede_NÓ54.1</t>
  </si>
  <si>
    <t xml:space="preserve">371AC</t>
  </si>
  <si>
    <t xml:space="preserve">Zona08_PB10_Adutora_TR001</t>
  </si>
  <si>
    <t xml:space="preserve">TRECHO DE Zona08_PB10_Adutora_NÓ15.1 A DIVISA DE ZONA; TRECHO DIVIDIDO NA DIVISA DE ZONA (TRECHO ORIGINAL ENTRE PONTOS DA REDE: 22,27 M)</t>
  </si>
  <si>
    <t xml:space="preserve">Zona08_PB10_Adutora_NÓ15.1</t>
  </si>
  <si>
    <t xml:space="preserve">Zona08_PB10_Adutora_TR002</t>
  </si>
  <si>
    <t xml:space="preserve">TRECHO DE Zona08_PB10_Adutora_NÓ88.1 A Zona08_PB10_Adutora_NÓ15.1</t>
  </si>
  <si>
    <t xml:space="preserve">Zona08_PB10_Adutora_NÓ88.1</t>
  </si>
  <si>
    <t xml:space="preserve">Zona08_PB10_Rede_NÓ88.1</t>
  </si>
  <si>
    <t xml:space="preserve">Zona08_PB10_Adutora_TR003</t>
  </si>
  <si>
    <t xml:space="preserve">TRECHO DE Zona08_PB10_Adutora_NÓ88.1 A Zona08_PB10_Adutora_NÓ95.1</t>
  </si>
  <si>
    <t xml:space="preserve">Zona08_PB10_Adutora_NÓ95.1</t>
  </si>
  <si>
    <t xml:space="preserve">6E2C7</t>
  </si>
  <si>
    <t xml:space="preserve">Zona08_PB10_Adutora_TR004</t>
  </si>
  <si>
    <t xml:space="preserve">TRECHO DE Zona08_PB10_Adutora_NÓ95.1 A Zona08_PB10_Adutora_NÓ17.1</t>
  </si>
  <si>
    <t xml:space="preserve">Zona08_PB10_Adutora_NÓ17.1</t>
  </si>
  <si>
    <t xml:space="preserve">6C609</t>
  </si>
  <si>
    <t xml:space="preserve">Zona08_PB10_Adutora_TR005</t>
  </si>
  <si>
    <t xml:space="preserve">TRECHO DE Zona08_PB10_Adutora_NÓ17.1 A Zona08_PB10_Adutora_NÓ89.1</t>
  </si>
  <si>
    <t xml:space="preserve">Zona08_PB10_Adutora_NÓ89.1</t>
  </si>
  <si>
    <t xml:space="preserve">Zona08_PB10_Adutora_TR006</t>
  </si>
  <si>
    <t xml:space="preserve">TRECHO DE Zona08_PB10_Adutora_NÓ89.1 A Zona08_PB10_CH_VRP-10</t>
  </si>
  <si>
    <t xml:space="preserve">Zona08_PB10_CH_VRP-10</t>
  </si>
  <si>
    <t xml:space="preserve">Zona08_PB10_Adutora_TR007</t>
  </si>
  <si>
    <t xml:space="preserve">Q 60 CJ D</t>
  </si>
  <si>
    <t xml:space="preserve">TRECHO DE Zona08_PB10_CH_VRP-10 A Zona08_PB11_Adutora_NÓ17.1</t>
  </si>
  <si>
    <t xml:space="preserve">Zona08_PB11_Adutora_NÓ17.1</t>
  </si>
  <si>
    <t xml:space="preserve">Zona08</t>
  </si>
  <si>
    <t xml:space="preserve">Zona08_PB10_Rede_TR001</t>
  </si>
  <si>
    <t xml:space="preserve">TRECHO DE Zona08_PB10_CH_VRP-13 A Zona08_PB10_CH_VM-2.1</t>
  </si>
  <si>
    <t xml:space="preserve">EQUIPE ZONA 08</t>
  </si>
  <si>
    <t xml:space="preserve">Zona08_PB10_CH_VM-2.1</t>
  </si>
  <si>
    <t xml:space="preserve">Zona08_PB10_Rede_TR002</t>
  </si>
  <si>
    <t xml:space="preserve">TRECHO DE Zona08_PB10_CH_VM-2.1 A Zona08_PB10_Rede_NÓ88.1</t>
  </si>
  <si>
    <t xml:space="preserve">Zona08_PB10_Rede_TR003</t>
  </si>
  <si>
    <t xml:space="preserve">TRECHO DE Zona08_PB10_Rede_NÓ57.4 A Zona08_PB10_Rede_NÓ77.1; INCLUI 0,52 M DE TUBO DESENHADO NO PRÓPRIO NÓ (NÓ77.1: anel de ponta/toco)</t>
  </si>
  <si>
    <t xml:space="preserve">Zona08_PB10_Rede_NÓ57.4</t>
  </si>
  <si>
    <t xml:space="preserve">Zona08_PB10_Rede_NÓ77.1</t>
  </si>
  <si>
    <t xml:space="preserve">AE4C</t>
  </si>
  <si>
    <t xml:space="preserve">Zona08_PB10_Rede_TR004</t>
  </si>
  <si>
    <t xml:space="preserve">6CB31</t>
  </si>
  <si>
    <t xml:space="preserve">Zona08_PB10_Rede_TR005</t>
  </si>
  <si>
    <t xml:space="preserve">TRECHO DE Zona08_PB10_Rede_NÓ57.2 A Zona08_PB10_Rede_NÓ57.4</t>
  </si>
  <si>
    <t xml:space="preserve">Zona08_PB10_Rede_NÓ57.2</t>
  </si>
  <si>
    <t xml:space="preserve">2CE44, B206</t>
  </si>
  <si>
    <t xml:space="preserve">Zona08_PB10_Rede_TR006</t>
  </si>
  <si>
    <t xml:space="preserve">TRECHO DE Zona08_PB10_Rede_NÓ105.1 A Zona08_PB10_Rede_NÓ57.2; INCLUI 0,21 M DE TUBO DESENHADO NO PRÓPRIO NÓ (NÓ105.1: anel de ponta/toco)</t>
  </si>
  <si>
    <t xml:space="preserve">Zona08_PB10_Rede_NÓ105.1</t>
  </si>
  <si>
    <t xml:space="preserve">2CE44, B209</t>
  </si>
  <si>
    <t xml:space="preserve">Zona08_PB10_Rede_TR007</t>
  </si>
  <si>
    <t xml:space="preserve">TRECHO DE Zona08_PB10_Rede_NÓ77.1 A Zona08_PB10_Rede_NÓ60.1; INCLUI 0,83 M DE TUBO DESENHADO NO PRÓPRIO NÓ (NÓ60.1, NÓ77.1: anel de ponta/toco)</t>
  </si>
  <si>
    <t xml:space="preserve">Zona08_PB10_Rede_NÓ60.1</t>
  </si>
  <si>
    <t xml:space="preserve">2F04C, 2F158</t>
  </si>
  <si>
    <t xml:space="preserve">Zona08_PB10_Rede_TR008</t>
  </si>
  <si>
    <t xml:space="preserve">TRECHO DE Zona08_PB10_Rede_NÓ54.3 A Zona08_PB10_Rede_NÓ57.4; INCLUI 4,00 M DE TUBO DESENHADO NO PRÓPRIO NÓ (NÓ54.3: anel de ponta/toco)</t>
  </si>
  <si>
    <t xml:space="preserve">Zona08_PB10_Rede_NÓ54.3</t>
  </si>
  <si>
    <t xml:space="preserve">B09E</t>
  </si>
  <si>
    <t xml:space="preserve">Zona08_PB10_Rede_TR009</t>
  </si>
  <si>
    <t xml:space="preserve">TRECHO DE Zona08_PB10_Rede_NÓ1.6 A Zona08_PB10_Rede_NÓ105.1; INCLUI 0,39 M DE TUBO DESENHADO NO PRÓPRIO NÓ (NÓ105.1: anel de ponta/toco)</t>
  </si>
  <si>
    <t xml:space="preserve">Zona08_PB10_Rede_NÓ1.6</t>
  </si>
  <si>
    <t xml:space="preserve">AE49</t>
  </si>
  <si>
    <t xml:space="preserve">Zona08_PB10_Rede_TR010</t>
  </si>
  <si>
    <t xml:space="preserve">TRECHO DE Zona08_PB10_Rede_NÓ105.1 A Zona08_PB10_Rede_NÓ57.1</t>
  </si>
  <si>
    <t xml:space="preserve">Zona08_PB10_Rede_NÓ57.1</t>
  </si>
  <si>
    <t xml:space="preserve">A753</t>
  </si>
  <si>
    <t xml:space="preserve">Zona08_PB10_Rede_TR011</t>
  </si>
  <si>
    <t xml:space="preserve">TRECHO DE Zona08_PB10_Rede_NÓ54.2 A Zona08_PB10_Rede_NÓ57.2; INCLUI 4,28 M DE TUBO DESENHADO NO PRÓPRIO NÓ (NÓ54.2, NÓ57.2: anel de ponta/toco)</t>
  </si>
  <si>
    <t xml:space="preserve">Zona08_PB10_Rede_NÓ54.2</t>
  </si>
  <si>
    <t xml:space="preserve">2CE43, B22D</t>
  </si>
  <si>
    <t xml:space="preserve">Zona08_PB10_Rede_TR012</t>
  </si>
  <si>
    <t xml:space="preserve">TRECHO DE Zona08_PB10_Rede_NÓ57.1 A Zona08_PB10_Rede_NÓ54.1; INCLUI 4,00 M DE TUBO DESENHADO NO PRÓPRIO NÓ (NÓ54.1: anel de ponta/toco)</t>
  </si>
  <si>
    <t xml:space="preserve">Zona08_PB10_Rede_NÓ54.1</t>
  </si>
  <si>
    <t xml:space="preserve">2FF23, B458</t>
  </si>
  <si>
    <t xml:space="preserve">Zona08_PB10_Rede_TR013</t>
  </si>
  <si>
    <t xml:space="preserve">TRECHO DE Zona08_PB10_Rede_NÓ60.2 A Zona08_PB10_Rede_NÓ60.1</t>
  </si>
  <si>
    <t xml:space="preserve">Zona08_PB10_Rede_NÓ60.2</t>
  </si>
  <si>
    <t xml:space="preserve">B05C</t>
  </si>
  <si>
    <t xml:space="preserve">Zona08_PB10_Rede_TR014</t>
  </si>
  <si>
    <t xml:space="preserve">TRECHO DE Zona08_PB10_Rede_NÓ57.1 A Zona08_PB10_Rede_NÓ3.1</t>
  </si>
  <si>
    <t xml:space="preserve">Zona08_PB10_Rede_NÓ3.1</t>
  </si>
  <si>
    <t xml:space="preserve">A60F</t>
  </si>
  <si>
    <t xml:space="preserve">Zona08_PB10_Rede_TR015</t>
  </si>
  <si>
    <t xml:space="preserve">TRECHO DE PONTA SEM NÓ NA TABELA A Zona08_PB10_Rede_NÓ60.1; INCLUI 0,55 M DE TUBO DESENHADO NO PRÓPRIO NÓ (NÓ60.1: anel de ponta/toco)</t>
  </si>
  <si>
    <t xml:space="preserve">B57B</t>
  </si>
  <si>
    <t xml:space="preserve">Zona08_PB10_Rede_TR016</t>
  </si>
  <si>
    <t xml:space="preserve">TRECHO DE Zona08_PB10_Rede_NÓ1.4 A Zona08_PB10_Rede_NÓ1.6; INCLUI 0,21 M DE TUBO DESENHADO NO PRÓPRIO NÓ (NÓ1.5: anel de ponta/toco)</t>
  </si>
  <si>
    <t xml:space="preserve">Zona08_PB10_Rede_NÓ1.4</t>
  </si>
  <si>
    <t xml:space="preserve">B572, B575</t>
  </si>
  <si>
    <t xml:space="preserve">Zona08_PB10_Rede_TR017</t>
  </si>
  <si>
    <t xml:space="preserve">TRECHO DE Zona08_PB10_Rede_NÓ1.6 A Zona08_PB10_Rede_NÓ1.8; INCLUI 0,27 M DE TUBO DESENHADO NO PRÓPRIO NÓ (NÓ1.8: anel de ponta/toco)</t>
  </si>
  <si>
    <t xml:space="preserve">Zona08_PB10_Rede_NÓ1.8</t>
  </si>
  <si>
    <t xml:space="preserve">B2C3</t>
  </si>
  <si>
    <t xml:space="preserve">Zona08_PB10_Rede_TR018</t>
  </si>
  <si>
    <t xml:space="preserve">TRECHO DE Zona08_PB10_Rede_NÓ3.1 A PONTA SEM NÓ NA TABELA</t>
  </si>
  <si>
    <t xml:space="preserve">2C4FC, B578</t>
  </si>
  <si>
    <t xml:space="preserve">Zona08_PB10_Rede_TR019</t>
  </si>
  <si>
    <t xml:space="preserve">TRECHO DE Zona08_PB10_Rede_NÓ57.3 A Zona08_PB10_Rede_NÓ60.2</t>
  </si>
  <si>
    <t xml:space="preserve">Zona08_PB10_Rede_NÓ57.3</t>
  </si>
  <si>
    <t xml:space="preserve">B57E, B581</t>
  </si>
  <si>
    <t xml:space="preserve">Zona08_PB10_Rede_TR020</t>
  </si>
  <si>
    <t xml:space="preserve">TRECHO DE Zona08_PB10_Rede_NÓ62.1 A Zona08_PB10_Rede_NÓ60.2</t>
  </si>
  <si>
    <t xml:space="preserve">Zona08_PB10_Rede_NÓ62.1</t>
  </si>
  <si>
    <t xml:space="preserve">BA79</t>
  </si>
  <si>
    <t xml:space="preserve">Zona08_PB10_Rede_TR021</t>
  </si>
  <si>
    <t xml:space="preserve">TRECHO DE Zona08_PB10_Rede_NÓ105.2 A Zona08_PB10_Rede_NÓ3.1; INCLUI 0,67 M DE TUBO DESENHADO NO PRÓPRIO NÓ (NÓ105.2: anel de ponta/toco)</t>
  </si>
  <si>
    <t xml:space="preserve">Zona08_PB10_Rede_NÓ105.2</t>
  </si>
  <si>
    <t xml:space="preserve">B3A7</t>
  </si>
  <si>
    <t xml:space="preserve">Zona08_PB10_Rede_TR022</t>
  </si>
  <si>
    <t xml:space="preserve">TRECHO DE Zona08_PB10_Rede_NÓ1.11 A Zona08_PB10_Rede_NÓ105.2</t>
  </si>
  <si>
    <t xml:space="preserve">Zona08_PB10_Rede_NÓ1.11</t>
  </si>
  <si>
    <t xml:space="preserve">A609</t>
  </si>
  <si>
    <t xml:space="preserve">Zona08_PB10_Rede_TR023</t>
  </si>
  <si>
    <t xml:space="preserve">TRECHO DE Zona08_PB10_Rede_NÓ4.1 A Zona08_PB10_Rede_NÓ57.3</t>
  </si>
  <si>
    <t xml:space="preserve">Zona08_PB10_Rede_NÓ4.1</t>
  </si>
  <si>
    <t xml:space="preserve">3D85B</t>
  </si>
  <si>
    <t xml:space="preserve">Zona08_PB10_Rede_TR024</t>
  </si>
  <si>
    <t xml:space="preserve">TRECHO DE PONTA SEM NÓ NA TABELA A Zona08_PB10_Rede_NÓ54.4</t>
  </si>
  <si>
    <t xml:space="preserve">Zona08_PB10_Rede_NÓ54.4</t>
  </si>
  <si>
    <t xml:space="preserve">2D81E</t>
  </si>
  <si>
    <t xml:space="preserve">Zona08_PB10_Rede_TR025</t>
  </si>
  <si>
    <t xml:space="preserve">TRECHO DE Zona08_PB10_Rede_NÓ105.2 A Zona08_PB10_Rede_NÓ4.1</t>
  </si>
  <si>
    <t xml:space="preserve">Zona08_PB10_Rede_TR026</t>
  </si>
  <si>
    <t xml:space="preserve">TRECHO DE Zona08_PB10_Rede_NÓ1.9 A Zona08_PB10_Rede_NÓ1.11</t>
  </si>
  <si>
    <t xml:space="preserve">Zona08_PB10_Rede_NÓ1.9</t>
  </si>
  <si>
    <t xml:space="preserve">2CE3E, 2CE3F</t>
  </si>
  <si>
    <t xml:space="preserve">Zona08_PB10_Rede_TR027</t>
  </si>
  <si>
    <t xml:space="preserve">TRECHO DE Zona08_PB10_Rede_NÓ1.8 A Zona08_PB10_Rede_NÓ1.9</t>
  </si>
  <si>
    <t xml:space="preserve">Zona08_PB10_Rede_TR028</t>
  </si>
  <si>
    <t xml:space="preserve">TRECHO DE Zona08_PB10_Rede_NÓ62.1 A Zona08_PB10_CH_VRP-09</t>
  </si>
  <si>
    <t xml:space="preserve">Zona08_PB10_CH_VRP-09</t>
  </si>
  <si>
    <t xml:space="preserve">2F370</t>
  </si>
  <si>
    <t xml:space="preserve">Zona08_PB10_Rede_TR029</t>
  </si>
  <si>
    <t xml:space="preserve">TRECHO DE Zona08_PB10_Rede_NÓ1.5 A Zona08_PB10_Rede_NÓ1.8</t>
  </si>
  <si>
    <t xml:space="preserve">Zona08_PB10_Rede_NÓ1.5</t>
  </si>
  <si>
    <t xml:space="preserve">3CA25, B449</t>
  </si>
  <si>
    <t xml:space="preserve">Zona08_PB10_Rede_TR030</t>
  </si>
  <si>
    <t xml:space="preserve">TRECHO DE Zona08_PB10_Rede_NÓ1.13 A Zona08_PB10_Rede_NÓ57.3</t>
  </si>
  <si>
    <t xml:space="preserve">Zona08_PB10_Rede_NÓ1.13</t>
  </si>
  <si>
    <t xml:space="preserve">ADFB</t>
  </si>
  <si>
    <t xml:space="preserve">Zona08_PB10_Rede_TR031</t>
  </si>
  <si>
    <t xml:space="preserve">TRECHO DE Zona08_PB10_Rede_NÓ62.1 A Zona08_PB10_Rede_NÓ59.5</t>
  </si>
  <si>
    <t xml:space="preserve">Zona08_PB10_Rede_NÓ59.5</t>
  </si>
  <si>
    <t xml:space="preserve">B1FA</t>
  </si>
  <si>
    <t xml:space="preserve">Zona08_PB10_Rede_TR032</t>
  </si>
  <si>
    <t xml:space="preserve">TRECHO DE PONTA SEM NÓ NA TABELA A Zona08_PB10_Rede_NÓ1.13</t>
  </si>
  <si>
    <t xml:space="preserve">2C378, A66F</t>
  </si>
  <si>
    <t xml:space="preserve">Zona08_PB10_Rede_TR033</t>
  </si>
  <si>
    <t xml:space="preserve">TRECHO DE Zona08_PB10_Rede_NÓ1.4 A Zona08_PB10_Rede_NÓ2.4</t>
  </si>
  <si>
    <t xml:space="preserve">Zona08_PB10_Rede_NÓ2.4</t>
  </si>
  <si>
    <t xml:space="preserve">B584</t>
  </si>
  <si>
    <t xml:space="preserve">Zona08_PB10_Rede_TR034</t>
  </si>
  <si>
    <t xml:space="preserve">Q 66</t>
  </si>
  <si>
    <t xml:space="preserve">TRECHO DE Zona08_PB10_CH_VRP-09 A Zona08_PB10_CH_MV-08</t>
  </si>
  <si>
    <t xml:space="preserve">Zona08_PB10_CH_MV-08</t>
  </si>
  <si>
    <t xml:space="preserve">2F370, 417E4</t>
  </si>
  <si>
    <t xml:space="preserve">Zona08_PB10_Rede_TR035</t>
  </si>
  <si>
    <t xml:space="preserve">TRECHO DE Zona08_PB10_Rede_NÓ59.5 A Zona08_PB10_Rede_NÓ59.3</t>
  </si>
  <si>
    <t xml:space="preserve">Zona08_PB10_Rede_NÓ59.3</t>
  </si>
  <si>
    <t xml:space="preserve">A5A0</t>
  </si>
  <si>
    <t xml:space="preserve">Zona08_PB10_Rede_TR036</t>
  </si>
  <si>
    <t xml:space="preserve">TRECHO DE Zona08_PB10_Rede_NÓ1.12 A Zona08_PB10_Rede_NÓ1.11</t>
  </si>
  <si>
    <t xml:space="preserve">Zona08_PB10_Rede_NÓ1.12</t>
  </si>
  <si>
    <t xml:space="preserve">A76E</t>
  </si>
  <si>
    <t xml:space="preserve">Zona08_PB10_Rede_TR037</t>
  </si>
  <si>
    <t xml:space="preserve">CHÁCARA 66</t>
  </si>
  <si>
    <t xml:space="preserve">TRECHO DE Zona08_PB10_CH_VM-8.1 A Zona08_PB10_CH_MV-08</t>
  </si>
  <si>
    <t xml:space="preserve">Zona08_PB10_CH_VM-8.1</t>
  </si>
  <si>
    <t xml:space="preserve">417E4</t>
  </si>
  <si>
    <t xml:space="preserve">Zona08_PB10_Rede_TR038</t>
  </si>
  <si>
    <t xml:space="preserve">CHÁCARA 62</t>
  </si>
  <si>
    <t xml:space="preserve">TRECHO DE Zona08_PB10_Rede_NÓ59.3 A Zona08_PB10_Rede_NÓ59.2</t>
  </si>
  <si>
    <t xml:space="preserve">Zona08_PB10_Rede_NÓ59.2</t>
  </si>
  <si>
    <t xml:space="preserve">B059</t>
  </si>
  <si>
    <t xml:space="preserve">Zona08_PB10_Rede_TR039</t>
  </si>
  <si>
    <t xml:space="preserve">TRECHO DE Zona08_PB10_Rede_NÓ1.9 A Zona08_PB10_Rede_NÓ1.10; INCLUI 1,37 M DE TUBO DESENHADO NO PRÓPRIO NÓ (NÓ1.9: anel de ponta/toco)</t>
  </si>
  <si>
    <t xml:space="preserve">Zona08_PB10_Rede_NÓ1.10</t>
  </si>
  <si>
    <t xml:space="preserve">A74D</t>
  </si>
  <si>
    <t xml:space="preserve">Zona08_PB10_Rede_TR040</t>
  </si>
  <si>
    <t xml:space="preserve">TRECHO DE Zona08_PB10_Rede_NÓ1.14 A Zona08_PB10_Rede_NÓ1.13</t>
  </si>
  <si>
    <t xml:space="preserve">Zona08_PB10_Rede_NÓ1.14</t>
  </si>
  <si>
    <t xml:space="preserve">A5A3</t>
  </si>
  <si>
    <t xml:space="preserve">Zona08_PB10_Rede_TR041</t>
  </si>
  <si>
    <t xml:space="preserve">TRECHO DE Zona08_PB10_Rede_NÓ1.4 A Zona08_PB10_Rede_NÓ1.7; INCLUI 0,28 M DE TUBO DESENHADO NO PRÓPRIO NÓ (NÓ1.4: anel de ponta/toco)</t>
  </si>
  <si>
    <t xml:space="preserve">Zona08_PB10_Rede_NÓ1.7</t>
  </si>
  <si>
    <t xml:space="preserve">A6AE</t>
  </si>
  <si>
    <t xml:space="preserve">Zona08_PB10_Rede_TR042</t>
  </si>
  <si>
    <t xml:space="preserve">TRECHO DE Zona08_PB10_Rede_NÓ59.2 A Zona08_PB10_Rede_NÓ107.1; INCLUI 0,26 M DE TUBO DESENHADO NO PRÓPRIO NÓ (NÓ107.1: anel de ponta/toco)</t>
  </si>
  <si>
    <t xml:space="preserve">Zona08_PB10_Rede_NÓ107.1</t>
  </si>
  <si>
    <t xml:space="preserve">B1F7</t>
  </si>
  <si>
    <t xml:space="preserve">Zona08_PB10_Rede_TR043</t>
  </si>
  <si>
    <t xml:space="preserve">TRECHO DE Zona08_PB10_Rede_NÓ1.14 A Zona08_PB10_Rede_NÓ107.1</t>
  </si>
  <si>
    <t xml:space="preserve">A627</t>
  </si>
  <si>
    <t xml:space="preserve">Zona08_PB10_Rede_TR044</t>
  </si>
  <si>
    <t xml:space="preserve">TRECHO DE Zona08_PB10_Rede_NÓ59.5 A Zona08_PB10_Rede_NÓ1.17</t>
  </si>
  <si>
    <t xml:space="preserve">Zona08_PB10_Rede_NÓ1.17</t>
  </si>
  <si>
    <t xml:space="preserve">B383</t>
  </si>
  <si>
    <t xml:space="preserve">Zona08_PB10_Rede_TR045</t>
  </si>
  <si>
    <t xml:space="preserve">TRECHO DE Zona08_PB10_Rede_NÓ1.12 A Zona08_PB10_Rede_NÓ1.14; INCLUI 0,28 M DE TUBO DESENHADO NO PRÓPRIO NÓ (NÓ1.14: anel de ponta/toco)</t>
  </si>
  <si>
    <t xml:space="preserve">2C892, B3F8</t>
  </si>
  <si>
    <t xml:space="preserve">Zona08_PB10_Rede_TR046</t>
  </si>
  <si>
    <t xml:space="preserve">TRECHO DE Zona08_PB10_Rede_NÓ2.4 A Zona08_PB10_Rede_NÓ2.3</t>
  </si>
  <si>
    <t xml:space="preserve">Zona08_PB10_Rede_NÓ2.3</t>
  </si>
  <si>
    <t xml:space="preserve">2CA02, 6C1FE, B587</t>
  </si>
  <si>
    <t xml:space="preserve">Zona08_PB10_Rede_TR047</t>
  </si>
  <si>
    <t xml:space="preserve">TRECHO DE Zona08_PB10_Rede_NÓ1.10 A Zona08_PB10_Rede_NÓ1.12; INCLUI 0,25 M DE TUBO DESENHADO NO PRÓPRIO NÓ (nó: anel de ponta/toco)</t>
  </si>
  <si>
    <t xml:space="preserve">2F5DD</t>
  </si>
  <si>
    <t xml:space="preserve">Zona08_PB10_Rede_TR048</t>
  </si>
  <si>
    <t xml:space="preserve">TRECHO DE Zona08_PB10_Rede_NÓ107.1 A Zona08_PB10_Rede_NÓ59.1</t>
  </si>
  <si>
    <t xml:space="preserve">Zona08_PB10_Rede_NÓ59.1</t>
  </si>
  <si>
    <t xml:space="preserve">B041</t>
  </si>
  <si>
    <t xml:space="preserve">Zona08_PB10_Rede_TR049</t>
  </si>
  <si>
    <t xml:space="preserve">TRECHO DE Zona08_PB10_Rede_NÓ59.3 A Zona08_PB13_Rede_NÓ1.7</t>
  </si>
  <si>
    <t xml:space="preserve">Zona08_PB13_Rede_NÓ1.7</t>
  </si>
  <si>
    <t xml:space="preserve">ADF8</t>
  </si>
  <si>
    <t xml:space="preserve">Zona08_PB10_Rede_TR050</t>
  </si>
  <si>
    <t xml:space="preserve">TRECHO DE Zona08_PB10_Rede_NÓ1.7 A Zona08_PB10_Rede_NÓ1.10</t>
  </si>
  <si>
    <t xml:space="preserve">2F5DA</t>
  </si>
  <si>
    <t xml:space="preserve">Zona08_PB10_Rede_TR051</t>
  </si>
  <si>
    <t xml:space="preserve">TRECHO DE Zona08_PB10_Rede_NÓ1.7 A Zona08_PB10_Rede_NÓ1.3; INCLUI 0,19 M DE TUBO DESENHADO NO PRÓPRIO NÓ (NÓ1.3: anel de ponta/toco)</t>
  </si>
  <si>
    <t xml:space="preserve">Zona08_PB10_Rede_NÓ1.3</t>
  </si>
  <si>
    <t xml:space="preserve">6C1F6, A69C</t>
  </si>
  <si>
    <t xml:space="preserve">Zona08_PB10_Rede_TR052</t>
  </si>
  <si>
    <t xml:space="preserve">Q 62 CJ C</t>
  </si>
  <si>
    <t xml:space="preserve">TRECHO DE Zona08_PB13_Rede_NÓ1.6 A Zona08_PB10_Rede_NÓ59.2; INCLUI 0,92 M DE TUBO DESENHADO NO PRÓPRIO NÓ (NÓ1.6: anel de ponta/toco)</t>
  </si>
  <si>
    <t xml:space="preserve">Zona08_PB13_Rede_NÓ1.6</t>
  </si>
  <si>
    <t xml:space="preserve">AFCF</t>
  </si>
  <si>
    <t xml:space="preserve">Zona08_PB10_Rede_TR053</t>
  </si>
  <si>
    <t xml:space="preserve">CHÁCARA 50A</t>
  </si>
  <si>
    <t xml:space="preserve">TRECHO DE Zona08_PB10_Rede_NÓ1.3 A Zona08_PB10_Rede_NÓ2.3</t>
  </si>
  <si>
    <t xml:space="preserve">6C1FE</t>
  </si>
  <si>
    <t xml:space="preserve">Zona08_PB10_Rede_TR054</t>
  </si>
  <si>
    <t xml:space="preserve">TRECHO DE Zona08_PB10_Rede_NÓ59.1 A Zona08_PB10_Rede_NÓ110.1</t>
  </si>
  <si>
    <t xml:space="preserve">Zona08_PB10_Rede_NÓ110.1</t>
  </si>
  <si>
    <t xml:space="preserve">B03E</t>
  </si>
  <si>
    <t xml:space="preserve">Zona08_PB10_Rede_TR055</t>
  </si>
  <si>
    <t xml:space="preserve">TRECHO DE Zona08_PB10_Rede_NÓ1.16 A Zona08_PB10_Rede_NÓ1.17</t>
  </si>
  <si>
    <t xml:space="preserve">Zona08_PB10_Rede_NÓ1.16</t>
  </si>
  <si>
    <t xml:space="preserve">B3A1</t>
  </si>
  <si>
    <t xml:space="preserve">Zona08_PB10_Rede_TR056</t>
  </si>
  <si>
    <t xml:space="preserve">TRECHO DE Zona08_PB13_Rede_NÓ1.2 A Zona08_PB10_Rede_NÓ59.1; INCLUI 0,20 M DE TUBO DESENHADO NO PRÓPRIO NÓ (NÓ1.2: anel de ponta/toco)</t>
  </si>
  <si>
    <t xml:space="preserve">Zona08_PB13_Rede_NÓ1.2</t>
  </si>
  <si>
    <t xml:space="preserve">6C1F6, B58A, B58D</t>
  </si>
  <si>
    <t xml:space="preserve">Zona08_PB10_Rede_TR057</t>
  </si>
  <si>
    <t xml:space="preserve">CHÁCARA 64</t>
  </si>
  <si>
    <t xml:space="preserve">TRECHO DE Zona08_PB10_Rede_NÓ1.17 A Zona08_PB13_Rede_NÓ54.4; INCLUI 4,00 M DE TUBO DESENHADO NO PRÓPRIO NÓ (NÓ54.4: anel de ponta/toco)</t>
  </si>
  <si>
    <t xml:space="preserve">Zona08_PB13_Rede_NÓ54.4</t>
  </si>
  <si>
    <t xml:space="preserve">B386</t>
  </si>
  <si>
    <t xml:space="preserve">Zona08_PB10_Rede_TR058</t>
  </si>
  <si>
    <t xml:space="preserve">TRECHO DE Zona08_PB10_Rede_NÓ1.3 A Zona08_PB13_Rede_NÓ2.5</t>
  </si>
  <si>
    <t xml:space="preserve">Zona08_PB13_Rede_NÓ2.5</t>
  </si>
  <si>
    <t xml:space="preserve">6C1F6</t>
  </si>
  <si>
    <t xml:space="preserve">Zona08_PB11_Rede_TR001</t>
  </si>
  <si>
    <t xml:space="preserve">TRECHO DE Zona09_PB11_Rede_NÓ96.1 A Zona08_PB10_CH_VM-8.1</t>
  </si>
  <si>
    <t xml:space="preserve">Zona09_PB11_Rede_NÓ96.1</t>
  </si>
  <si>
    <t xml:space="preserve">417E4, 6DC68</t>
  </si>
  <si>
    <t xml:space="preserve">Zona08_PB13_Rede_TR001</t>
  </si>
  <si>
    <t xml:space="preserve">A.RED.SSB-D014.V03.T01.014/037</t>
  </si>
  <si>
    <t xml:space="preserve">TRECHO DE Zona08_PB13_Rede_NÓ1.7 A Zona08_PB10_Rede_NÓ1.16</t>
  </si>
  <si>
    <t xml:space="preserve">PB13</t>
  </si>
  <si>
    <t xml:space="preserve">A59D</t>
  </si>
  <si>
    <t xml:space="preserve">Zona08_PB13_Rede_TR002</t>
  </si>
  <si>
    <t xml:space="preserve">TRECHO DE Zona08_PB13_Rede_NÓ2.5 A Zona08_PB13_Rede_NÓ1.2</t>
  </si>
  <si>
    <t xml:space="preserve">Zona08_PB13_Rede_TR003</t>
  </si>
  <si>
    <t xml:space="preserve">TRECHO DE Zona08_PB13_Rede_NÓ1.7 A Zona08_PB13_Rede_NÓ1.6</t>
  </si>
  <si>
    <t xml:space="preserve">2C42B, B056</t>
  </si>
  <si>
    <t xml:space="preserve">Zona08_PB13_Rede_TR004</t>
  </si>
  <si>
    <t xml:space="preserve">TRECHO DE Zona08_PB13_Rede_NÓ54.3 A Zona08_PB10_Rede_NÓ1.16; INCLUI 4,00 M DE TUBO DESENHADO NO PRÓPRIO NÓ (NÓ54.3: anel de ponta/toco)</t>
  </si>
  <si>
    <t xml:space="preserve">Zona08_PB13_Rede_NÓ54.3</t>
  </si>
  <si>
    <t xml:space="preserve">B053</t>
  </si>
  <si>
    <t xml:space="preserve">Zona08_PB13_Rede_TR005</t>
  </si>
  <si>
    <t xml:space="preserve">TRECHO DE Zona08_PB13_Rede_NÓ1.4 A Zona08_PB10_Rede_NÓ110.1</t>
  </si>
  <si>
    <t xml:space="preserve">Zona08_PB13_Rede_NÓ1.4</t>
  </si>
  <si>
    <t xml:space="preserve">3B7B8</t>
  </si>
  <si>
    <t xml:space="preserve">Zona08_PB13_Rede_TR006</t>
  </si>
  <si>
    <t xml:space="preserve">TRECHO DE Zona08_PB13_Rede_NÓ1.2 A Zona08_PB13_Rede_NÓ1.3</t>
  </si>
  <si>
    <t xml:space="preserve">Zona08_PB13_Rede_NÓ1.3</t>
  </si>
  <si>
    <t xml:space="preserve">6C1F5</t>
  </si>
  <si>
    <t xml:space="preserve">Zona08_PB13_Rede_TR007</t>
  </si>
  <si>
    <t xml:space="preserve">TRECHO DE Zona08_PB13_Rede_NÓ1.3 A Zona08_PB10_Rede_NÓ110.1</t>
  </si>
  <si>
    <t xml:space="preserve">6C1F4, B281</t>
  </si>
  <si>
    <t xml:space="preserve">Zona08_PB13_Rede_TR008</t>
  </si>
  <si>
    <t xml:space="preserve">TRECHO DE Zona08_PB13_Rede_NÓ1.6 A Zona08_PB13_Rede_NÓ2.7</t>
  </si>
  <si>
    <t xml:space="preserve">Zona08_PB13_Rede_NÓ2.7</t>
  </si>
  <si>
    <t xml:space="preserve">2C42B, B00E</t>
  </si>
  <si>
    <t xml:space="preserve">Zona08_PB13_Rede_TR009</t>
  </si>
  <si>
    <t xml:space="preserve">TRECHO DE Zona08_PB13_Rede_DF-12 A Zona08_PB13_Rede_NÓ1.3</t>
  </si>
  <si>
    <t xml:space="preserve">Zona08_PB13_Rede_DF-12</t>
  </si>
  <si>
    <t xml:space="preserve">6C1F4</t>
  </si>
  <si>
    <t xml:space="preserve">Zona08_PB13_Rede_TR010</t>
  </si>
  <si>
    <t xml:space="preserve">TRECHO DE Zona08_PB13_Rede_NÓ2.7 A Zona08_PB13_Rede_NÓ54.2; INCLUI 4,00 M DE TUBO DESENHADO NO PRÓPRIO NÓ (NÓ54.2: anel de ponta/toco)</t>
  </si>
  <si>
    <t xml:space="preserve">Zona08_PB13_Rede_NÓ54.2</t>
  </si>
  <si>
    <t xml:space="preserve">B00E</t>
  </si>
  <si>
    <t xml:space="preserve">Zona08_PB13_Rede_TR011</t>
  </si>
  <si>
    <t xml:space="preserve">TRECHO DE Zona08_PB13_Rede_NÓ2.4 A Zona08_PB13_Rede_DF-12</t>
  </si>
  <si>
    <t xml:space="preserve">Zona08_PB13_Rede_NÓ2.4</t>
  </si>
  <si>
    <t xml:space="preserve">Zona08_PB13_Rede_TR012</t>
  </si>
  <si>
    <t xml:space="preserve">TRECHO DE Zona08_PB13_Rede_NÓ1.4 A Zona08_PB13_Rede_NÓ2.4</t>
  </si>
  <si>
    <t xml:space="preserve">2C87B, 2C87C, 2C883, 2CE37, 6C1F4, B590, B593</t>
  </si>
  <si>
    <t xml:space="preserve">Zona08_PB13_Rede_TR013</t>
  </si>
  <si>
    <t xml:space="preserve">TRECHO DE Zona08_PB13_Rede_NÓ1.4 A Zona08_PB13_Rede_NÓ54.1; INCLUI 4,05 M DE TUBO DESENHADO NO PRÓPRIO NÓ (NÓ54.1: anel de ponta/toco)</t>
  </si>
  <si>
    <t xml:space="preserve">Zona08_PB13_Rede_NÓ54.1</t>
  </si>
  <si>
    <t xml:space="preserve">BB1B</t>
  </si>
  <si>
    <t xml:space="preserve">Zona09</t>
  </si>
  <si>
    <t xml:space="preserve">Zona09_PB10_Rede_TR001</t>
  </si>
  <si>
    <t xml:space="preserve">TRECHO DE Zona09_PB11_Rede_NÓ2.1 A Zona09_PB13_Rede_NÓ19.2</t>
  </si>
  <si>
    <t xml:space="preserve">EQUIPE ZONA 09</t>
  </si>
  <si>
    <t xml:space="preserve">Zona09_PB11_Rede_NÓ2.1</t>
  </si>
  <si>
    <t xml:space="preserve">Zona09_PB13_Rede_NÓ19.2</t>
  </si>
  <si>
    <t xml:space="preserve">2C5EB, 2CE9B, B596, B599</t>
  </si>
  <si>
    <t xml:space="preserve">Zona09_PB11_Adutora_TR001</t>
  </si>
  <si>
    <t xml:space="preserve">TRECHO DE Zona08_PB11_Adutora_NÓ17.1 A Zona09_PB11_Adutora_NÓ96.1</t>
  </si>
  <si>
    <t xml:space="preserve">Zona09_PB11_Adutora_NÓ96.1</t>
  </si>
  <si>
    <t xml:space="preserve">Zona09_PB11_Adutora_TR002</t>
  </si>
  <si>
    <t xml:space="preserve">TRECHO DE Zona09_PB11_Adutora_NÓ96.1 A Zona09_PB14_Adutora_NÓ50.1</t>
  </si>
  <si>
    <t xml:space="preserve">Zona09_PB14_Adutora_NÓ50.1</t>
  </si>
  <si>
    <t xml:space="preserve">41A2B, 6CC5A, 6CCB7</t>
  </si>
  <si>
    <t xml:space="preserve">Zona09_PB11_Rede_TR001</t>
  </si>
  <si>
    <t xml:space="preserve">CHÁCARA 68</t>
  </si>
  <si>
    <t xml:space="preserve">TRECHO DE DIVISA DE ZONA A DIVISA DE ZONA; TRECHO DIVIDIDO NA DIVISA DE ZONA (TRECHO ORIGINAL ENTRE PONTOS DA REDE: 540,44 M)</t>
  </si>
  <si>
    <t xml:space="preserve">6CC5D</t>
  </si>
  <si>
    <t xml:space="preserve">Zona09_PB11_Rede_NÓ106.1</t>
  </si>
  <si>
    <t xml:space="preserve">Zona09_PB11_Rede_TR002</t>
  </si>
  <si>
    <t xml:space="preserve">TRECHO DE Zona09_PB11_Rede_NÓ2.1 A Zona09_PB11_Rede_NÓ106.1</t>
  </si>
  <si>
    <t xml:space="preserve">AEEB</t>
  </si>
  <si>
    <t xml:space="preserve">Zona09_PB11_Rede_TR003</t>
  </si>
  <si>
    <t xml:space="preserve">TRECHO DE Zona09_PB11_Rede_NÓ106.1 A Zona09_PB11_Rede_NÓ4.2</t>
  </si>
  <si>
    <t xml:space="preserve">Zona09_PB11_Rede_NÓ4.2</t>
  </si>
  <si>
    <t xml:space="preserve">37FDC</t>
  </si>
  <si>
    <t xml:space="preserve">Zona09_PB11_Rede_TR004</t>
  </si>
  <si>
    <t xml:space="preserve">Zona10_PB11_Rede_NÓ56.2</t>
  </si>
  <si>
    <t xml:space="preserve">Zona09_PB11_Rede_TR005</t>
  </si>
  <si>
    <t xml:space="preserve">TRECHO DE Zona09_PB11_Rede_NÓ4.2 A Zona09_PB11_Rede_NÓ4.1</t>
  </si>
  <si>
    <t xml:space="preserve">Zona09_PB11_Rede_NÓ4.1</t>
  </si>
  <si>
    <t xml:space="preserve">2F957</t>
  </si>
  <si>
    <t xml:space="preserve">Zona09_PB11_Rede_TR006</t>
  </si>
  <si>
    <t xml:space="preserve">TRECHO DE Zona09_PB11_Rede_NÓ4.1 A Zona09_PB11_Rede_NÓ57.1</t>
  </si>
  <si>
    <t xml:space="preserve">Zona09_PB11_Rede_NÓ57.1</t>
  </si>
  <si>
    <t xml:space="preserve">A58E</t>
  </si>
  <si>
    <t xml:space="preserve">Zona09_PB11_Rede_TR007</t>
  </si>
  <si>
    <t xml:space="preserve">TRECHO DE Zona09_PB11_Rede_NÓ57.1 A Zona09_PB11_Rede_NÓ57.2</t>
  </si>
  <si>
    <t xml:space="preserve">Zona09_PB11_Rede_NÓ57.2</t>
  </si>
  <si>
    <t xml:space="preserve">Zona09_PB11_Rede_TR008</t>
  </si>
  <si>
    <t xml:space="preserve">CHÁCARA 49</t>
  </si>
  <si>
    <t xml:space="preserve">Zona10_PB11_Rede_NÓ56.6</t>
  </si>
  <si>
    <t xml:space="preserve">Zona09_PB11_Rede_TR009</t>
  </si>
  <si>
    <t xml:space="preserve">TRECHO DE Zona09_PB11_Rede_NÓ57.2 A Zona09_PB14_Rede_NÓ54.10; INCLUI 4,00 M DE TUBO DESENHADO NO PRÓPRIO NÓ (NÓ54.10: anel de ponta/toco)</t>
  </si>
  <si>
    <t xml:space="preserve">Zona09_PB14_Rede_NÓ54.10</t>
  </si>
  <si>
    <t xml:space="preserve">B02F</t>
  </si>
  <si>
    <t xml:space="preserve">Zona09_PB13_Rede_TR001</t>
  </si>
  <si>
    <t xml:space="preserve">TRECHO DE Zona09_PB13_Rede_NÓ19.4 A Zona09_PB11_Rede_NÓ106.1</t>
  </si>
  <si>
    <t xml:space="preserve">Zona09_PB13_Rede_NÓ19.4</t>
  </si>
  <si>
    <t xml:space="preserve">6CC1A, B59F</t>
  </si>
  <si>
    <t xml:space="preserve">Zona09_PB13_Rede_TR002</t>
  </si>
  <si>
    <t xml:space="preserve">TRECHO DE Zona09_PB13_Rede_NÓ19.2 A Zona09_PB13_CH_VM-9.3; INCLUI 0,79 M DE TUBO DESENHADO NO PRÓPRIO NÓ (VM-9.3: anel de ponta/toco)</t>
  </si>
  <si>
    <t xml:space="preserve">Zona09_PB13_CH_VM-9.3</t>
  </si>
  <si>
    <t xml:space="preserve">B599</t>
  </si>
  <si>
    <t xml:space="preserve">Zona09_PB13_Rede_TR003</t>
  </si>
  <si>
    <t xml:space="preserve">TRECHO DE Zona09_PB13_CH_VM-9.3 A Zona09_PB13_Rede_NÓ19.1</t>
  </si>
  <si>
    <t xml:space="preserve">Zona09_PB13_Rede_NÓ19.1</t>
  </si>
  <si>
    <t xml:space="preserve">6CC18</t>
  </si>
  <si>
    <t xml:space="preserve">Zona09_PB13_Rede_TR004</t>
  </si>
  <si>
    <t xml:space="preserve">TRECHO DE Zona09_PB13_CH_VM-9.4 A Zona09_PB13_Rede_NÓ19.4</t>
  </si>
  <si>
    <t xml:space="preserve">Zona09_PB13_CH_VM-9.4</t>
  </si>
  <si>
    <t xml:space="preserve">6CC1A</t>
  </si>
  <si>
    <t xml:space="preserve">Zona09_PB13_Rede_TR005</t>
  </si>
  <si>
    <t xml:space="preserve">TRECHO DE Zona09_PB13_Rede_NÓ19.3 A Zona09_PB13_CH_VM-9.4</t>
  </si>
  <si>
    <t xml:space="preserve">Zona09_PB13_Rede_NÓ19.3</t>
  </si>
  <si>
    <t xml:space="preserve">B5A5</t>
  </si>
  <si>
    <t xml:space="preserve">Zona09_PB13_Rede_TR006</t>
  </si>
  <si>
    <t xml:space="preserve">TRECHO DE Zona09_PB13_Rede_NÓ19.1 A Zona09_PB13_Rede_NÓ2.6</t>
  </si>
  <si>
    <t xml:space="preserve">Zona09_PB13_Rede_NÓ2.6</t>
  </si>
  <si>
    <t xml:space="preserve">6CC18, B59C</t>
  </si>
  <si>
    <t xml:space="preserve">Zona09_PB13_Rede_TR007</t>
  </si>
  <si>
    <t xml:space="preserve">TRECHO DE Zona09_PB13_Rede_NÓ110.1 A Zona09_PB13_Rede_NÓ19.3</t>
  </si>
  <si>
    <t xml:space="preserve">Zona09_PB13_Rede_NÓ110.1</t>
  </si>
  <si>
    <t xml:space="preserve">2CC2E, B5A2, B5A5</t>
  </si>
  <si>
    <t xml:space="preserve">Zona09_PB13_Rede_TR008</t>
  </si>
  <si>
    <t xml:space="preserve">CHÁCARA 3A</t>
  </si>
  <si>
    <t xml:space="preserve">TRECHO DE Zona09_PB13_Rede_NÓ2.6 A Zona09_PB13_Rede_NÓ1.5</t>
  </si>
  <si>
    <t xml:space="preserve">Zona09_PB13_Rede_NÓ1.5</t>
  </si>
  <si>
    <t xml:space="preserve">A738</t>
  </si>
  <si>
    <t xml:space="preserve">Zona09_PB13_Rede_TR009</t>
  </si>
  <si>
    <t xml:space="preserve">TRECHO DE Zona09_PB13_Rede_NÓ1.5 A Zona09_PB13_Rede_NÓ110.1</t>
  </si>
  <si>
    <t xml:space="preserve">B03B</t>
  </si>
  <si>
    <t xml:space="preserve">Zona09_PB13_Rede_TR010</t>
  </si>
  <si>
    <t xml:space="preserve">TRECHO DE PONTA SEM NÓ NA TABELA A Zona09_PB13_Rede_NÓ1.5</t>
  </si>
  <si>
    <t xml:space="preserve">2C884, 2CA18, 2CE36, 37548, 6C65B</t>
  </si>
  <si>
    <t xml:space="preserve">Zona09_PB13_Rede_TR011</t>
  </si>
  <si>
    <t xml:space="preserve">TRECHO DE PONTA SEM NÓ NA TABELA A LIMITE DA TRAVESSIA MND; TRECHO DIVIDIDO NO LIMITE DA TRAVESSIA MND (TRECHO ORIGINAL ENTRE PONTOS DA REDE: 123,99 M)</t>
  </si>
  <si>
    <t xml:space="preserve">37548, 6C65B</t>
  </si>
  <si>
    <t xml:space="preserve">Zona09_PB13_Rede_NÓ2.1</t>
  </si>
  <si>
    <t xml:space="preserve">Zona09_PB13_Rede_TR012</t>
  </si>
  <si>
    <t xml:space="preserve">TRECHO DE LIMITE DA TRAVESSIA MND A Zona09_PB13_Rede_NÓ2.1; TRAVESSIA MND (CAMADA MND DO DWG); ITEM BM 5.16.7; TRECHO DIVIDIDO NO LIMITE DA TRAVESSIA MND (TRECHO ORIGINAL ENTRE PONTOS DA REDE: 123,99 M)</t>
  </si>
  <si>
    <t xml:space="preserve">6C65E</t>
  </si>
  <si>
    <t xml:space="preserve">Zona09_PB13_Rede_TR013</t>
  </si>
  <si>
    <t xml:space="preserve">TRECHO DE Zona09_PB13_Rede_NÓ110.1 A Zona09_PB13_Rede_NÓ59.1; INCLUI 0,50 M DE TUBO DESENHADO NO PRÓPRIO NÓ (NÓ110.1: anel de ponta/toco)</t>
  </si>
  <si>
    <t xml:space="preserve">Zona09_PB13_Rede_NÓ59.1</t>
  </si>
  <si>
    <t xml:space="preserve">B038</t>
  </si>
  <si>
    <t xml:space="preserve">Zona09_PB13_Rede_TR014</t>
  </si>
  <si>
    <t xml:space="preserve">TRECHO DE Zona09_PB13_Rede_NÓ59.1 A Zona09_PB13_Rede_NÓ59.2</t>
  </si>
  <si>
    <t xml:space="preserve">Zona09_PB13_Rede_NÓ59.2</t>
  </si>
  <si>
    <t xml:space="preserve">ADEF</t>
  </si>
  <si>
    <t xml:space="preserve">Zona09_PB13_Rede_TR015</t>
  </si>
  <si>
    <t xml:space="preserve">TRECHO DE Zona09_PB13_Rede_NÓ2.1 A Zona09_PB13_Rede_NÓ1.1</t>
  </si>
  <si>
    <t xml:space="preserve">Zona09_PB13_Rede_NÓ1.1</t>
  </si>
  <si>
    <t xml:space="preserve">6C660</t>
  </si>
  <si>
    <t xml:space="preserve">Zona09_PB13_Rede_TR016</t>
  </si>
  <si>
    <t xml:space="preserve">TRECHO DE Zona09_PB13_Rede_NÓ59.1 A Zona09_PB13_Rede_NÓ1.1</t>
  </si>
  <si>
    <t xml:space="preserve">2C885, 2CE33, 6C27F, B5A8, B5AB, BBB1</t>
  </si>
  <si>
    <t xml:space="preserve">Zona09_PB13_Rede_TR017</t>
  </si>
  <si>
    <t xml:space="preserve">TRECHO DE Zona09_PB14_Rede_NÓ1.1 A Zona09_PB13_Rede_DF-13</t>
  </si>
  <si>
    <t xml:space="preserve">Zona09_PB14_Rede_NÓ1.1</t>
  </si>
  <si>
    <t xml:space="preserve">Zona09_PB13_Rede_DF-13</t>
  </si>
  <si>
    <t xml:space="preserve">6C316</t>
  </si>
  <si>
    <t xml:space="preserve">Zona09_PB13_Rede_TR018</t>
  </si>
  <si>
    <t xml:space="preserve">CHÁCARA 05</t>
  </si>
  <si>
    <t xml:space="preserve">TRECHO DE Zona09_PB13_Rede_NÓ59.2 A Zona09_PB13_Rede_NÓ2.2</t>
  </si>
  <si>
    <t xml:space="preserve">Zona09_PB13_Rede_NÓ2.2</t>
  </si>
  <si>
    <t xml:space="preserve">2C888, 6C27F, B5AE, B5B1</t>
  </si>
  <si>
    <t xml:space="preserve">Zona09_PB13_Rede_TR019</t>
  </si>
  <si>
    <t xml:space="preserve">TRECHO DE Zona09_PB13_Rede_NÓ59.2 A Zona09_PB13_CH_VRP-03</t>
  </si>
  <si>
    <t xml:space="preserve">Zona09_PB13_CH_VRP-03</t>
  </si>
  <si>
    <t xml:space="preserve">B5B4</t>
  </si>
  <si>
    <t xml:space="preserve">Zona09_PB13_Rede_TR020</t>
  </si>
  <si>
    <t xml:space="preserve">TRECHO DE Zona09_PB13_Rede_DF-11 A Zona09_PB13_Rede_NÓ1.1</t>
  </si>
  <si>
    <t xml:space="preserve">Zona09_PB13_Rede_DF-11</t>
  </si>
  <si>
    <t xml:space="preserve">6C27F</t>
  </si>
  <si>
    <t xml:space="preserve">Zona09_PB13_Rede_TR021</t>
  </si>
  <si>
    <t xml:space="preserve">CHÁCARA 04</t>
  </si>
  <si>
    <t xml:space="preserve">TRECHO DE Zona09_PB13_Rede_DF-13 A Zona09_PB13_Rede_NÓ2.8</t>
  </si>
  <si>
    <t xml:space="preserve">Zona09_PB13_Rede_NÓ2.8</t>
  </si>
  <si>
    <t xml:space="preserve">Zona09_PB13_Rede_TR022</t>
  </si>
  <si>
    <t xml:space="preserve">TRECHO DE Zona09_PB13_Rede_NÓ2.2 A Zona09_PB13_Rede_DF-11</t>
  </si>
  <si>
    <t xml:space="preserve">Zona09_PB14_Adutora_TR001</t>
  </si>
  <si>
    <t xml:space="preserve">TRECHO DE DIVISA DE ZONA A Zona09_PB14_Adutora_NÓ99.1; TRECHO DIVIDIDO NA DIVISA DE ZONA (TRECHO ORIGINAL ENTRE PONTOS DA REDE: 145,82 M)</t>
  </si>
  <si>
    <t xml:space="preserve">Zona09_PB14_Adutora_NÓ99.1</t>
  </si>
  <si>
    <t xml:space="preserve">45F8B, 6DC69, BA0A</t>
  </si>
  <si>
    <t xml:space="preserve">Zona09_PB14_Adutora_TR002</t>
  </si>
  <si>
    <t xml:space="preserve">TRECHO DE Zona09_PB14_Adutora_NÓ99.1 A Zona09_PB14_CH_VRP-04</t>
  </si>
  <si>
    <t xml:space="preserve">Zona09_PB14_CH_VRP-04</t>
  </si>
  <si>
    <t xml:space="preserve">BA73</t>
  </si>
  <si>
    <t xml:space="preserve">Zona09_PB14_Adutora_TR003</t>
  </si>
  <si>
    <t xml:space="preserve">TRECHO DE Zona09_PB14_CH_VRP-04 A Zona09_PB14_Adutora_NÓ100.1</t>
  </si>
  <si>
    <t xml:space="preserve">Zona09_PB14_Adutora_NÓ100.1</t>
  </si>
  <si>
    <t xml:space="preserve">Zona09_PB14_Adutora_TR004</t>
  </si>
  <si>
    <t xml:space="preserve">TRECHO DE Zona09_PB14_Adutora_NÓ100.1 A DIVISA DE ZONA; INCLUI 0,05 M DE TUBO DESENHADO NO PRÓPRIO NÓ (NÓ100.1: anel de ponta/toco); TRECHO DIVIDIDO NA DIVISA DE ZONA (TRECHO ORIGINAL ENTRE PONTOS DA REDE: 571,48 M)</t>
  </si>
  <si>
    <t xml:space="preserve">2FEF9</t>
  </si>
  <si>
    <t xml:space="preserve">Zona09_PB14_Rede_NÓ100.1</t>
  </si>
  <si>
    <t xml:space="preserve">Zona09_PB14_Rede_TR001</t>
  </si>
  <si>
    <t xml:space="preserve">TRECHO DE Zona09_PB11_Rede_NÓ57.1 A Zona09_PB14_Rede_NÓ54.1; INCLUI 4,00 M DE TUBO DESENHADO NO PRÓPRIO NÓ (NÓ54.1: anel de ponta/toco)</t>
  </si>
  <si>
    <t xml:space="preserve">Zona09_PB14_Rede_NÓ54.1</t>
  </si>
  <si>
    <t xml:space="preserve">2F959</t>
  </si>
  <si>
    <t xml:space="preserve">Zona09_PB14_Rede_TR002</t>
  </si>
  <si>
    <t xml:space="preserve">Zona10_PB14_Rede_NÓ56.3</t>
  </si>
  <si>
    <t xml:space="preserve">Zona09_PB14_Rede_TR003</t>
  </si>
  <si>
    <t xml:space="preserve">TRECHO DE Zona09_PB11_Rede_NÓ57.2 A Zona09_PB14_Rede_NÓ3.1</t>
  </si>
  <si>
    <t xml:space="preserve">Zona09_PB14_Rede_NÓ3.1</t>
  </si>
  <si>
    <t xml:space="preserve">41A25, B1A6</t>
  </si>
  <si>
    <t xml:space="preserve">Zona09_PB14_Rede_TR004</t>
  </si>
  <si>
    <t xml:space="preserve">TRECHO DE Zona09_PB14_Rede_NÓ3.1 A Zona09_PB14_Rede_NÓ105.1</t>
  </si>
  <si>
    <t xml:space="preserve">Zona09_PB14_Rede_NÓ105.1</t>
  </si>
  <si>
    <t xml:space="preserve">B1A6</t>
  </si>
  <si>
    <t xml:space="preserve">Zona09_PB14_Rede_TR005</t>
  </si>
  <si>
    <t xml:space="preserve">CHÁCARA 02</t>
  </si>
  <si>
    <t xml:space="preserve">TRECHO DE Zona09_PB14_Rede_NÓ57.3 A Zona09_PB14_Rede_NÓ3.1</t>
  </si>
  <si>
    <t xml:space="preserve">Zona09_PB14_Rede_NÓ57.3</t>
  </si>
  <si>
    <t xml:space="preserve">2FEFA, A6ED</t>
  </si>
  <si>
    <t xml:space="preserve">Zona09_PB14_Rede_TR006</t>
  </si>
  <si>
    <t xml:space="preserve">TRECHO DE Zona09_PB14_Rede_NÓ4.3 A Zona09_PB14_Rede_NÓ4.1</t>
  </si>
  <si>
    <t xml:space="preserve">Zona09_PB14_Rede_NÓ4.3</t>
  </si>
  <si>
    <t xml:space="preserve">Zona09_PB14_Rede_NÓ4.1</t>
  </si>
  <si>
    <t xml:space="preserve">B18E</t>
  </si>
  <si>
    <t xml:space="preserve">Zona09_PB14_Rede_TR007</t>
  </si>
  <si>
    <t xml:space="preserve">TRECHO DE Zona09_PB14_Rede_NÓ4.2 A Zona09_PB14_Rede_NÓ57.3</t>
  </si>
  <si>
    <t xml:space="preserve">Zona09_PB14_Rede_NÓ4.2</t>
  </si>
  <si>
    <t xml:space="preserve">Zona09_PB14_Rede_TR008</t>
  </si>
  <si>
    <t xml:space="preserve">TRECHO DE Zona09_PB14_Rede_NÓ4.1 A Zona09_PB14_Rede_NÓ4.2</t>
  </si>
  <si>
    <t xml:space="preserve">Zona09_PB14_Rede_TR009</t>
  </si>
  <si>
    <t xml:space="preserve">TRECHO DE Zona09_PB14_Rede_NÓ105.1 A Zona09_PB14_Rede_NÓ57.1; INCLUI 0,07 M DE TUBO DESENHADO NO PRÓPRIO NÓ (NÓ105.1: anel de ponta/toco)</t>
  </si>
  <si>
    <t xml:space="preserve">Zona09_PB14_Rede_NÓ57.1</t>
  </si>
  <si>
    <t xml:space="preserve">2F967</t>
  </si>
  <si>
    <t xml:space="preserve">Zona09_PB14_Rede_TR010</t>
  </si>
  <si>
    <t xml:space="preserve">TRECHO DE Zona09_PB14_Rede_NÓ4.3 A Zona09_PB14_Rede_NÓ57.5</t>
  </si>
  <si>
    <t xml:space="preserve">Zona09_PB14_Rede_NÓ57.5</t>
  </si>
  <si>
    <t xml:space="preserve">2CD65</t>
  </si>
  <si>
    <t xml:space="preserve">Zona09_PB14_Rede_TR011</t>
  </si>
  <si>
    <t xml:space="preserve">TRECHO DE Zona09_PB14_Rede_NÓ57.2 A Zona09_PB14_Rede_NÓ57.3; INCLUI 0,41 M DE TUBO DESENHADO NO PRÓPRIO NÓ (NÓ57.3: anel de ponta/toco)</t>
  </si>
  <si>
    <t xml:space="preserve">Zona09_PB14_Rede_NÓ57.2</t>
  </si>
  <si>
    <t xml:space="preserve">AFC6</t>
  </si>
  <si>
    <t xml:space="preserve">Zona09_PB14_Rede_TR012</t>
  </si>
  <si>
    <t xml:space="preserve">TRECHO DE Zona09_PB14_Rede_NÓ57.1 A Zona09_PB14_Rede_NÓ57.2</t>
  </si>
  <si>
    <t xml:space="preserve">2F968</t>
  </si>
  <si>
    <t xml:space="preserve">Zona09_PB14_Rede_TR013</t>
  </si>
  <si>
    <t xml:space="preserve">TRECHO DE Zona09_PB14_Rede_NÓ54.2 A Zona09_PB14_Rede_NÓ1.1; INCLUI 4,00 M DE TUBO DESENHADO NO PRÓPRIO NÓ (NÓ54.2: anel de ponta/toco)</t>
  </si>
  <si>
    <t xml:space="preserve">Zona09_PB14_Rede_NÓ54.2</t>
  </si>
  <si>
    <t xml:space="preserve">105D3, B032</t>
  </si>
  <si>
    <t xml:space="preserve">Zona09_PB14_Rede_TR014</t>
  </si>
  <si>
    <t xml:space="preserve">TRECHO DE Zona09_PB14_Rede_NÓ57.4 A Zona09_PB14_Rede_NÓ57.5; INCLUI 0,87 M DE TUBO DESENHADO NO PRÓPRIO NÓ (NÓ57.4, NÓ57.5: anel de ponta/toco)</t>
  </si>
  <si>
    <t xml:space="preserve">Zona09_PB14_Rede_NÓ57.4</t>
  </si>
  <si>
    <t xml:space="preserve">B278</t>
  </si>
  <si>
    <t xml:space="preserve">Zona09_PB14_Rede_TR015</t>
  </si>
  <si>
    <t xml:space="preserve">TRECHO DE Zona09_PB14_Rede_NÓ57.5 A Zona09_PB14_CH_VM-9.2</t>
  </si>
  <si>
    <t xml:space="preserve">Zona09_PB14_CH_VM-9.2</t>
  </si>
  <si>
    <t xml:space="preserve">AFBD</t>
  </si>
  <si>
    <t xml:space="preserve">Zona09_PB14_Rede_TR016</t>
  </si>
  <si>
    <t xml:space="preserve">TRECHO DE Zona09_PB14_Rede_NÓ57.2 A Zona09_PB14_Rede_NÓ57.4; INCLUI 0,23 M DE TUBO DESENHADO NO PRÓPRIO NÓ (NÓ57.2: anel de ponta/toco)</t>
  </si>
  <si>
    <t xml:space="preserve">37D53</t>
  </si>
  <si>
    <t xml:space="preserve">Zona09_PB14_Rede_TR017</t>
  </si>
  <si>
    <t xml:space="preserve">TRECHO DE Zona09_PB14_Rede_NÓ1.2 A Zona09_PB14_Rede_NÓ105.1; INCLUI 1,07 M DE TUBO DESENHADO NO PRÓPRIO NÓ (NÓ1.2, NÓ105.1: anel de ponta/toco)</t>
  </si>
  <si>
    <t xml:space="preserve">Zona09_PB14_Rede_NÓ1.2</t>
  </si>
  <si>
    <t xml:space="preserve">2CA6F, 2CD5E, 2CE9A, B275</t>
  </si>
  <si>
    <t xml:space="preserve">Zona09_PB14_Rede_TR018</t>
  </si>
  <si>
    <t xml:space="preserve">TRECHO DE Zona09_PB14_CH_VM-9.2 A Zona09_PB14_CH_VRP-06</t>
  </si>
  <si>
    <t xml:space="preserve">Zona09_PB14_CH_VRP-06</t>
  </si>
  <si>
    <t xml:space="preserve">Zona09_PB14_Rede_TR019</t>
  </si>
  <si>
    <t xml:space="preserve">TRECHO DE Zona09_PB14_CH_VRP-06 A Zona09_PB14_Rede_NÓ28.1</t>
  </si>
  <si>
    <t xml:space="preserve">Zona09_PB14_Rede_NÓ28.1</t>
  </si>
  <si>
    <t xml:space="preserve">Zona09_PB14_Rede_TR020</t>
  </si>
  <si>
    <t xml:space="preserve">TRECHO DE Zona09_PB14_Rede_NÓ8.2 A Zona09_PB14_Rede_NÓ28.1</t>
  </si>
  <si>
    <t xml:space="preserve">Zona09_PB14_Rede_NÓ8.2</t>
  </si>
  <si>
    <t xml:space="preserve">BA6D</t>
  </si>
  <si>
    <t xml:space="preserve">Zona09_PB14_Rede_TR021</t>
  </si>
  <si>
    <t xml:space="preserve">TRECHO DE Zona09_PB14_Rede_NÓ57.1 A Zona09_PB14_Rede_NÓ1.3; INCLUI 0,34 M DE TUBO DESENHADO NO PRÓPRIO NÓ (NÓ57.1: anel de ponta/toco)</t>
  </si>
  <si>
    <t xml:space="preserve">Zona09_PB14_Rede_NÓ1.3</t>
  </si>
  <si>
    <t xml:space="preserve">AFED</t>
  </si>
  <si>
    <t xml:space="preserve">Zona09_PB14_Rede_TR022</t>
  </si>
  <si>
    <t xml:space="preserve">TRECHO DE Zona09_PB14_CH_VRP-05 A Zona09_PB14_Rede_NÓ8.2</t>
  </si>
  <si>
    <t xml:space="preserve">Zona09_PB14_CH_VRP-05</t>
  </si>
  <si>
    <t xml:space="preserve">4603B</t>
  </si>
  <si>
    <t xml:space="preserve">Zona09_PB14_Rede_TR023</t>
  </si>
  <si>
    <t xml:space="preserve">TRECHO DE Zona09_PB14_CH_VRP-05 A Zona09_PB14_CH_VM-9.1</t>
  </si>
  <si>
    <t xml:space="preserve">Zona09_PB14_CH_VM-9.1</t>
  </si>
  <si>
    <t xml:space="preserve">4603B, ADA7</t>
  </si>
  <si>
    <t xml:space="preserve">Zona09_PB14_Rede_TR024</t>
  </si>
  <si>
    <t xml:space="preserve">TRECHO DE Zona09_PB14_CH_MV-09 A Zona09_PB14_Rede_NÓ8.2</t>
  </si>
  <si>
    <t xml:space="preserve">Zona09_PB14_CH_MV-09</t>
  </si>
  <si>
    <t xml:space="preserve">Zona09_PB14_Rede_TR025</t>
  </si>
  <si>
    <t xml:space="preserve">TRECHO DE Zona09_PB14_CH_VM-9.1 A Zona09_PB14_Rede_NÓ56.2; INCLUI 0,06 M DE TUBO DESENHADO NO PRÓPRIO NÓ (NÓ56.2: anel de ponta/toco)</t>
  </si>
  <si>
    <t xml:space="preserve">Zona09_PB14_Rede_NÓ56.2</t>
  </si>
  <si>
    <t xml:space="preserve">ADA7</t>
  </si>
  <si>
    <t xml:space="preserve">Zona09_PB14_Rede_TR026</t>
  </si>
  <si>
    <t xml:space="preserve">TRECHO DE Zona09_PB14_Rede_NÓ9.3 A Zona06_PB14_Rede_NÓ79.1</t>
  </si>
  <si>
    <t xml:space="preserve">2FB9B</t>
  </si>
  <si>
    <t xml:space="preserve">Zona09_PB14_Rede_TR027</t>
  </si>
  <si>
    <t xml:space="preserve">TRECHO DE Zona09_PB14_Rede_NÓ100.1 A Zona09_PB14_CH_MV-09</t>
  </si>
  <si>
    <t xml:space="preserve">Zona09_PB14_Rede_TR028</t>
  </si>
  <si>
    <t xml:space="preserve">TRECHO DE Zona09_PB14_Rede_NÓ86.1 A Zona06_PB14_Rede_NÓ79.1</t>
  </si>
  <si>
    <t xml:space="preserve">Zona09_PB14_Rede_NÓ86.1</t>
  </si>
  <si>
    <t xml:space="preserve">BA61</t>
  </si>
  <si>
    <t xml:space="preserve">Zona09_PB14_Rede_TR029</t>
  </si>
  <si>
    <t xml:space="preserve">CHÁCARA 74</t>
  </si>
  <si>
    <t xml:space="preserve">TRECHO DE Zona09_PB14_Rede_NÓ56.2 A Zona09_PB14_Rede_NÓ56.1</t>
  </si>
  <si>
    <t xml:space="preserve">Zona09_PB14_Rede_NÓ56.1</t>
  </si>
  <si>
    <t xml:space="preserve">AFBA</t>
  </si>
  <si>
    <t xml:space="preserve">Zona09_PB14_Rede_TR030</t>
  </si>
  <si>
    <t xml:space="preserve">TRECHO DE Zona09_PB14_Adutora_NÓ99.1 A Zona09_PB14_Rede_NÓ86.1</t>
  </si>
  <si>
    <t xml:space="preserve">48364</t>
  </si>
  <si>
    <t xml:space="preserve">Zona09_PB14_Rede_TR031</t>
  </si>
  <si>
    <t xml:space="preserve">TRECHO DE Zona09_PB14_Rede_NÓ86.1 A Zona09_PB14_Rede_NÓ24.1</t>
  </si>
  <si>
    <t xml:space="preserve">Zona09_PB14_Rede_NÓ24.1</t>
  </si>
  <si>
    <t xml:space="preserve">Zona09_PB14_Rede_TR032</t>
  </si>
  <si>
    <t xml:space="preserve">TRECHO DE Zona09_PB14_Rede_NÓ24.1 A Zona09_PB14_CH_MV-07</t>
  </si>
  <si>
    <t xml:space="preserve">Zona09_PB14_Rede_TR033</t>
  </si>
  <si>
    <t xml:space="preserve">TRECHO DE Zona09_PB14_Rede_NÓ1.2 A Zona09_PB14_Rede_NÓ1.1</t>
  </si>
  <si>
    <t xml:space="preserve">105D3</t>
  </si>
  <si>
    <t xml:space="preserve">Zona09_PB14_Rede_TR034</t>
  </si>
  <si>
    <t xml:space="preserve">TRECHO DE Zona09_PB14_Rede_NÓ57.4 A Zona09_PB14_Rede_NÓ103.1; INCLUI 0,09 M DE TUBO DESENHADO NO PRÓPRIO NÓ (NÓ57.4: anel de ponta/toco)</t>
  </si>
  <si>
    <t xml:space="preserve">Zona09_PB14_Rede_NÓ103.1</t>
  </si>
  <si>
    <t xml:space="preserve">417E5, 417EA, 417EB</t>
  </si>
  <si>
    <t xml:space="preserve">Zona09_PB14_Rede_TR035</t>
  </si>
  <si>
    <t xml:space="preserve">TRECHO DE Zona09_PB14_Rede_NÓ1.3 A Zona09_PB14_Rede_NÓ1.2</t>
  </si>
  <si>
    <t xml:space="preserve">ADE3</t>
  </si>
  <si>
    <t xml:space="preserve">Zona09_PB14_Rede_TR036</t>
  </si>
  <si>
    <t xml:space="preserve">TRECHO DE Zona09_PB14_Rede_NÓ1.3 A Zona09_PB14_Rede_NÓ1.4</t>
  </si>
  <si>
    <t xml:space="preserve">Zona09_PB14_Rede_NÓ1.4</t>
  </si>
  <si>
    <t xml:space="preserve">B398</t>
  </si>
  <si>
    <t xml:space="preserve">Zona09_PB14_Rede_TR037</t>
  </si>
  <si>
    <t xml:space="preserve">TRECHO DE Zona09_PB14_Rede_NÓ56.1 A Zona09_PB14_Rede_NÓ104.1; INCLUI 0,77 M DE TUBO DESENHADO NO PRÓPRIO NÓ (NÓ104.1, NÓ56.1: anel de ponta/toco)</t>
  </si>
  <si>
    <t xml:space="preserve">Zona09_PB14_Rede_NÓ104.1</t>
  </si>
  <si>
    <t xml:space="preserve">2FB9E</t>
  </si>
  <si>
    <t xml:space="preserve">Zona09_PB14_Rede_TR038</t>
  </si>
  <si>
    <t xml:space="preserve">TRECHO DE Zona09_PB17_Rede_NÓ54.5 A Zona09_PB14_Rede_NÓ56.2; INCLUI 4,46 M DE TUBO DESENHADO NO PRÓPRIO NÓ (NÓ56.2, NÓ54.5: anel de ponta/toco)</t>
  </si>
  <si>
    <t xml:space="preserve">Zona09_PB17_Rede_NÓ54.5</t>
  </si>
  <si>
    <t xml:space="preserve">B1B2</t>
  </si>
  <si>
    <t xml:space="preserve">Zona09_PB14_Rede_TR039</t>
  </si>
  <si>
    <t xml:space="preserve">TRECHO DE Zona09_PB17_Rede_NÓ54.4 A Zona09_PB14_Rede_NÓ56.1; INCLUI 4,55 M DE TUBO DESENHADO NO PRÓPRIO NÓ (NÓ56.1, NÓ54.4: anel de ponta/toco)</t>
  </si>
  <si>
    <t xml:space="preserve">Zona09_PB17_Rede_NÓ54.4</t>
  </si>
  <si>
    <t xml:space="preserve">B3DA</t>
  </si>
  <si>
    <t xml:space="preserve">Zona09_PB14_Rede_TR040</t>
  </si>
  <si>
    <t xml:space="preserve">TRECHO DE Zona09_PB14_Rede_NÓ2.1 A Zona09_PB13_Rede_NÓ2.8; INCLUI 0,79 M DE TUBO DESENHADO NO PRÓPRIO NÓ (NÓ2.1: anel de ponta/toco)</t>
  </si>
  <si>
    <t xml:space="preserve">Zona09_PB14_Rede_NÓ2.1</t>
  </si>
  <si>
    <t xml:space="preserve">2CF7B, 6C316</t>
  </si>
  <si>
    <t xml:space="preserve">Zona09_PB14_Rede_TR041</t>
  </si>
  <si>
    <t xml:space="preserve">TRECHO DE Zona09_PB14_Rede_NÓ1.4 A Zona09_PB14_Rede_NÓ2.1</t>
  </si>
  <si>
    <t xml:space="preserve">2CC2B, AFD8</t>
  </si>
  <si>
    <t xml:space="preserve">Zona09_PB14_Rede_TR042</t>
  </si>
  <si>
    <t xml:space="preserve">TRECHO DE Zona09_PB14_Rede_NÓ103.1 A Zona09_PB14_Rede_NÓ1.4</t>
  </si>
  <si>
    <t xml:space="preserve">B1E5</t>
  </si>
  <si>
    <t xml:space="preserve">Zona09_PB14_Rede_TR043</t>
  </si>
  <si>
    <t xml:space="preserve">TRECHO DE Zona09_PB14_Rede_NÓ104.1 A Zona09_PB14_Rede_NÓ9.1</t>
  </si>
  <si>
    <t xml:space="preserve">Zona09_PB14_Rede_NÓ9.1</t>
  </si>
  <si>
    <t xml:space="preserve">BA82</t>
  </si>
  <si>
    <t xml:space="preserve">Zona09_PB14_Rede_TR044</t>
  </si>
  <si>
    <t xml:space="preserve">TRECHO DE Zona09_PB14_Rede_NÓ104.1 A Zona09_PB14_Rede_NÓ1.5</t>
  </si>
  <si>
    <t xml:space="preserve">Zona09_PB14_Rede_NÓ1.5</t>
  </si>
  <si>
    <t xml:space="preserve">2FCAC</t>
  </si>
  <si>
    <t xml:space="preserve">Zona09_PB16_Rede_TR001</t>
  </si>
  <si>
    <t xml:space="preserve">A.RED.SSB-D014.V03.T01.017/037</t>
  </si>
  <si>
    <t xml:space="preserve">TRECHO DE Zona09_PB13_CH_VRP-03 A Zona09_PB16_Rede_NÓ59.1; INCLUI 0,07 M DE TUBO DESENHADO NO PRÓPRIO NÓ (NÓ59.1: anel de ponta/toco)</t>
  </si>
  <si>
    <t xml:space="preserve">PB16</t>
  </si>
  <si>
    <t xml:space="preserve">Zona09_PB16_Rede_NÓ59.1</t>
  </si>
  <si>
    <t xml:space="preserve">B5B4, B5B7</t>
  </si>
  <si>
    <t xml:space="preserve">Zona09_PB16_Rede_TR002</t>
  </si>
  <si>
    <t xml:space="preserve">Q 3</t>
  </si>
  <si>
    <t xml:space="preserve">TRECHO DE LIMITE DA TRAVESSIA MND A LIMITE DA TRAVESSIA MND; TRAVESSIA MND (CAMADA MND DO DWG); ITEM BM 5.16.7; TRECHO DIVIDIDO NO LIMITE DA TRAVESSIA MND (TRECHO ORIGINAL ENTRE PONTOS DA REDE: 434,19 M)</t>
  </si>
  <si>
    <t xml:space="preserve">6C6A0</t>
  </si>
  <si>
    <t xml:space="preserve">Zona09_PB16_Rede_DF-10</t>
  </si>
  <si>
    <t xml:space="preserve">Zona09_PB16_Rede_TR003</t>
  </si>
  <si>
    <t xml:space="preserve">TRECHO DE PONTA SEM NÓ NA TABELA A LIMITE DA TRAVESSIA MND; TRECHO DIVIDIDO NO LIMITE DA TRAVESSIA MND (TRECHO ORIGINAL ENTRE PONTOS DA REDE: 434,19 M)</t>
  </si>
  <si>
    <t xml:space="preserve">2CE31, 6C6BB</t>
  </si>
  <si>
    <t xml:space="preserve">Zona09_PB16_Rede_NÓ54.3</t>
  </si>
  <si>
    <t xml:space="preserve">Zona09_PB16_Rede_TR004</t>
  </si>
  <si>
    <t xml:space="preserve">TRECHO DE PONTA SEM NÓ NA TABELA A Zona09_PB16_Rede_NÓ59.1</t>
  </si>
  <si>
    <t xml:space="preserve">B5BD</t>
  </si>
  <si>
    <t xml:space="preserve">Zona09_PB16_Rede_TR005</t>
  </si>
  <si>
    <t xml:space="preserve">TRECHO DE Zona09_PB16_Rede_NÓ59.2 A Zona09_PB16_Rede_NÓ54.5; INCLUI 4,00 M DE TUBO DESENHADO NO PRÓPRIO NÓ (NÓ54.5: anel de ponta/toco)</t>
  </si>
  <si>
    <t xml:space="preserve">Zona09_PB16_Rede_NÓ59.2</t>
  </si>
  <si>
    <t xml:space="preserve">Zona09_PB16_Rede_NÓ54.5</t>
  </si>
  <si>
    <t xml:space="preserve">A756</t>
  </si>
  <si>
    <t xml:space="preserve">Zona09_PB16_Rede_TR006</t>
  </si>
  <si>
    <t xml:space="preserve">TRECHO DE Zona09_PB16_Rede_NÓ59.2 A Zona09_PB16_Rede_NÓ59.1</t>
  </si>
  <si>
    <t xml:space="preserve">ADE9</t>
  </si>
  <si>
    <t xml:space="preserve">Zona09_PB16_Rede_TR007</t>
  </si>
  <si>
    <t xml:space="preserve">TRECHO DE Zona09_PB16_Rede_NÓ59.3 A Zona09_PB16_Rede_NÓ59.2</t>
  </si>
  <si>
    <t xml:space="preserve">Zona09_PB16_Rede_NÓ59.3</t>
  </si>
  <si>
    <t xml:space="preserve">ADEC</t>
  </si>
  <si>
    <t xml:space="preserve">Zona09_PB16_Rede_TR008</t>
  </si>
  <si>
    <t xml:space="preserve">TRECHO DE Zona09_PB16_Rede_DF-10 A Zona09_PB16_Rede_NÓ59.3</t>
  </si>
  <si>
    <t xml:space="preserve">2C88E, 2CD5C, B5C0, B5C3</t>
  </si>
  <si>
    <t xml:space="preserve">Zona09_PB16_Rede_TR009</t>
  </si>
  <si>
    <t xml:space="preserve">TRECHO DE Zona09_PB16_Rede_NÓ59.3 A Zona09_PB16_Rede_NÓ59.4</t>
  </si>
  <si>
    <t xml:space="preserve">Zona09_PB16_Rede_NÓ59.4</t>
  </si>
  <si>
    <t xml:space="preserve">2CC3B, B092</t>
  </si>
  <si>
    <t xml:space="preserve">Zona09_PB16_Rede_TR010</t>
  </si>
  <si>
    <t xml:space="preserve">TRECHO DE Zona09_PB16_Rede_NÓ54.3 A Zona09_PB16_Rede_NÓ59.4; INCLUI 4,00 M DE TUBO DESENHADO NO PRÓPRIO NÓ (NÓ54.3: anel de ponta/toco)</t>
  </si>
  <si>
    <t xml:space="preserve">2C4FB, B5C9</t>
  </si>
  <si>
    <t xml:space="preserve">Zona09_PB16_Rede_TR011</t>
  </si>
  <si>
    <t xml:space="preserve">TRECHO DE LIMITE DA TRAVESSIA MND A Zona09_PB16_Rede_NÓ1.1; TRECHO DIVIDIDO NO LIMITE DA TRAVESSIA MND (TRECHO ORIGINAL ENTRE PONTOS DA REDE: 434,19 M)</t>
  </si>
  <si>
    <t xml:space="preserve">Zona09_PB16_Rede_NÓ1.1</t>
  </si>
  <si>
    <t xml:space="preserve">6C6A3</t>
  </si>
  <si>
    <t xml:space="preserve">Zona09_PB16_Rede_TR012</t>
  </si>
  <si>
    <t xml:space="preserve">TRECHO DE Zona09_PB16_CH_VRP-01 A Zona09_PB16_Rede_NÓ40.1</t>
  </si>
  <si>
    <t xml:space="preserve">Zona09_PB16_CH_VRP-01</t>
  </si>
  <si>
    <t xml:space="preserve">Zona09_PB16_Rede_NÓ40.1</t>
  </si>
  <si>
    <t xml:space="preserve">B5D8</t>
  </si>
  <si>
    <t xml:space="preserve">Zona09_PB16_Rede_TR013</t>
  </si>
  <si>
    <t xml:space="preserve">TRECHO DE Zona09_PB16_Rede_NÓ59.4 A Zona09_PB16_Rede_NÓ64.1</t>
  </si>
  <si>
    <t xml:space="preserve">Zona09_PB16_Rede_NÓ64.1</t>
  </si>
  <si>
    <t xml:space="preserve">2CE2F, 2CE30, B08F</t>
  </si>
  <si>
    <t xml:space="preserve">Zona09_PB16_Rede_TR014</t>
  </si>
  <si>
    <t xml:space="preserve">TRECHO DE Zona09_PB16_Rede_NÓ64.1 A Zona09_PB16_Rede_NÓ40.1; INCLUI 0,55 M DE TUBO DESENHADO NO PRÓPRIO NÓ (NÓ64.1: anel de ponta/toco)</t>
  </si>
  <si>
    <t xml:space="preserve">2C814, 2CE2D, 2CE2E, B5D8, BBAB</t>
  </si>
  <si>
    <t xml:space="preserve">Zona09_PB16_Rede_TR015</t>
  </si>
  <si>
    <t xml:space="preserve">TRECHO DE Zona09_PB16_Rede_NÓ64.1 A Zona09_PB16_Rede_NÓ59.5</t>
  </si>
  <si>
    <t xml:space="preserve">Zona09_PB16_Rede_NÓ59.5</t>
  </si>
  <si>
    <t xml:space="preserve">AE40</t>
  </si>
  <si>
    <t xml:space="preserve">Zona09_PB16_Rede_TR016</t>
  </si>
  <si>
    <t xml:space="preserve">TRECHO DE Zona09_PB16_Rede_NÓ59.5 A Zona09_PB16_Rede_NÓ54.1; INCLUI 4,00 M DE TUBO DESENHADO NO PRÓPRIO NÓ (NÓ54.1: anel de ponta/toco)</t>
  </si>
  <si>
    <t xml:space="preserve">Zona09_PB16_Rede_NÓ54.1</t>
  </si>
  <si>
    <t xml:space="preserve">2C820, B5CC, B5CF</t>
  </si>
  <si>
    <t xml:space="preserve">Zona09_PB16_Rede_TR017</t>
  </si>
  <si>
    <t xml:space="preserve">TRECHO DE Zona09_PB16_Rede_NÓ59.5 A Zona09_PB16_Rede_NÓ59.6</t>
  </si>
  <si>
    <t xml:space="preserve">Zona09_PB16_Rede_NÓ59.6</t>
  </si>
  <si>
    <t xml:space="preserve">AE3D</t>
  </si>
  <si>
    <t xml:space="preserve">Zona09_PB16_Rede_TR018</t>
  </si>
  <si>
    <t xml:space="preserve">TRECHO DE Zona09_PB16_Rede_NÓ59.6 A Zona09_PB16_Rede_NÓ54.2; INCLUI 3,99 M DE TUBO DESENHADO NO PRÓPRIO NÓ (NÓ54.2: anel de ponta/toco)</t>
  </si>
  <si>
    <t xml:space="preserve">Zona09_PB16_Rede_NÓ54.2</t>
  </si>
  <si>
    <t xml:space="preserve">B248</t>
  </si>
  <si>
    <t xml:space="preserve">Zona09_PB16_Rede_TR019</t>
  </si>
  <si>
    <t xml:space="preserve">TRECHO DE Zona09_PB16_Rede_NÓ110.1 A Zona09_PB16_Rede_NÓ59.6; INCLUI 0,47 M DE TUBO DESENHADO NO PRÓPRIO NÓ (NÓ110.1: anel de ponta/toco)</t>
  </si>
  <si>
    <t xml:space="preserve">Zona09_PB16_Rede_NÓ110.1</t>
  </si>
  <si>
    <t xml:space="preserve">A702</t>
  </si>
  <si>
    <t xml:space="preserve">Zona09_PB16_Rede_TR020</t>
  </si>
  <si>
    <t xml:space="preserve">TRECHO DE Zona09_PB16_Rede_NÓ1.1 A Zona09_PB16_Rede_DF-09</t>
  </si>
  <si>
    <t xml:space="preserve">Zona09_PB16_Rede_DF-09</t>
  </si>
  <si>
    <t xml:space="preserve">Zona09_PB16_Rede_TR021</t>
  </si>
  <si>
    <t xml:space="preserve">TRECHO DE Zona09_PB16_Rede_NÓ1.1 A LIMITE DA TRAVESSIA MND; TRAVESSIA MND (CAMADA MND DO DWG); ITEM BM 5.16.7; TRECHO DIVIDIDO NO LIMITE DA TRAVESSIA MND (TRECHO ORIGINAL ENTRE PONTOS DA REDE: 402,04 M)</t>
  </si>
  <si>
    <t xml:space="preserve">6C6B6</t>
  </si>
  <si>
    <t xml:space="preserve">Zona09_PB16_Rede_TR022</t>
  </si>
  <si>
    <t xml:space="preserve">Q 3 CJ 2</t>
  </si>
  <si>
    <t xml:space="preserve">TRECHO DE Zona09_PB17_Rede_NÓ59.1 A Zona09_PB16_Rede_NÓ54.9; INCLUI 4,00 M DE TUBO DESENHADO NO PRÓPRIO NÓ (NÓ54.9: anel de ponta/toco)</t>
  </si>
  <si>
    <t xml:space="preserve">Zona09_PB17_Rede_NÓ59.1</t>
  </si>
  <si>
    <t xml:space="preserve">Zona09_PB16_Rede_NÓ54.9</t>
  </si>
  <si>
    <t xml:space="preserve">B149</t>
  </si>
  <si>
    <t xml:space="preserve">Zona09_PB16_Rede_TR023</t>
  </si>
  <si>
    <t xml:space="preserve">TRECHO DE Zona09_PB16_Rede_NÓ110.1 A Zona09_PB16_Rede_NÓ54.8; INCLUI 3,93 M DE TUBO DESENHADO NO PRÓPRIO NÓ (NÓ54.8: anel de ponta/toco)</t>
  </si>
  <si>
    <t xml:space="preserve">Zona09_PB16_Rede_NÓ54.8</t>
  </si>
  <si>
    <t xml:space="preserve">B27E</t>
  </si>
  <si>
    <t xml:space="preserve">Zona09_PB16_Rede_TR024</t>
  </si>
  <si>
    <t xml:space="preserve">TRECHO DE LIMITE DA TRAVESSIA MND A Zona09_PB16_Rede_NÓ1.3; TRECHO DIVIDIDO NO LIMITE DA TRAVESSIA MND (TRECHO ORIGINAL ENTRE PONTOS DA REDE: 402,04 M)</t>
  </si>
  <si>
    <t xml:space="preserve">Zona09_PB16_Rede_NÓ1.3</t>
  </si>
  <si>
    <t xml:space="preserve">B5D2, B5D5</t>
  </si>
  <si>
    <t xml:space="preserve">Zona09_PB16_Rede_TR025</t>
  </si>
  <si>
    <t xml:space="preserve">TRECHO DE Zona09_PB16_Rede_NÓ1.3 A Zona09_PB16_Rede_NÓ110.1</t>
  </si>
  <si>
    <t xml:space="preserve">A708</t>
  </si>
  <si>
    <t xml:space="preserve">Zona09_PB16_Rede_TR026</t>
  </si>
  <si>
    <t xml:space="preserve">TRECHO DE Zona09_PB16_Rede_DF-09 A PONTA SEM NÓ NA TABELA</t>
  </si>
  <si>
    <t xml:space="preserve">Zona09_PB16_Rede_TR027</t>
  </si>
  <si>
    <t xml:space="preserve">TRECHO DE Zona09_PB16_Rede_NÓ1.3 A Zona09_PB16_Rede_NÓ1.4</t>
  </si>
  <si>
    <t xml:space="preserve">Zona09_PB16_Rede_NÓ1.4</t>
  </si>
  <si>
    <t xml:space="preserve">ADB3</t>
  </si>
  <si>
    <t xml:space="preserve">Zona09_PB16_Rede_TR028</t>
  </si>
  <si>
    <t xml:space="preserve">TRECHO DE PONTA SEM NÓ NA TABELA A Zona09_PB16_Rede_NÓ1.2</t>
  </si>
  <si>
    <t xml:space="preserve">Zona09_PB16_Rede_NÓ1.2</t>
  </si>
  <si>
    <t xml:space="preserve">6C6AF, 6C6B0, B1A3</t>
  </si>
  <si>
    <t xml:space="preserve">Zona09_PB16_Rede_TR029</t>
  </si>
  <si>
    <t xml:space="preserve">TRECHO DE Zona09_PB16_Rede_NÓ54.7 A Zona09_PB16_Rede_NÓ1.4; INCLUI 4,00 M DE TUBO DESENHADO NO PRÓPRIO NÓ (NÓ54.7: anel de ponta/toco)</t>
  </si>
  <si>
    <t xml:space="preserve">Zona09_PB16_Rede_NÓ54.7</t>
  </si>
  <si>
    <t xml:space="preserve">A69F</t>
  </si>
  <si>
    <t xml:space="preserve">Zona09_PB16_Rede_TR030</t>
  </si>
  <si>
    <t xml:space="preserve">TRECHO DE Zona09_PB16_Rede_NÓ1.4 A Zona09_PB16_Rede_NÓ1.2</t>
  </si>
  <si>
    <t xml:space="preserve">B035</t>
  </si>
  <si>
    <t xml:space="preserve">Zona09_PB16_Rede_TR031</t>
  </si>
  <si>
    <t xml:space="preserve">CHÁCARA 8 CHÁCARA CRISTAL</t>
  </si>
  <si>
    <t xml:space="preserve">TRECHO DE Zona09_PB17_Rede_NÓ59.2 A Zona09_PB16_Rede_NÓ54.6; INCLUI 5,41 M DE TUBO DESENHADO NO PRÓPRIO NÓ (NÓ54.6: anel de ponta/toco)</t>
  </si>
  <si>
    <t xml:space="preserve">Zona09_PB17_Rede_NÓ59.2</t>
  </si>
  <si>
    <t xml:space="preserve">Zona09_PB16_Rede_NÓ54.6</t>
  </si>
  <si>
    <t xml:space="preserve">2C7D8, B5DB</t>
  </si>
  <si>
    <t xml:space="preserve">Zona09_PB16_Rede_TR032</t>
  </si>
  <si>
    <t xml:space="preserve">TRECHO DE Zona09_PB16_Rede_NÓ1.2 A Zona09_PB16_Rede_NÓ54.4; INCLUI 4,00 M DE TUBO DESENHADO NO PRÓPRIO NÓ (NÓ54.4: anel de ponta/toco)</t>
  </si>
  <si>
    <t xml:space="preserve">Zona09_PB16_Rede_NÓ54.4</t>
  </si>
  <si>
    <t xml:space="preserve">ADE6</t>
  </si>
  <si>
    <t xml:space="preserve">Zona09_PB17_Rede_TR001</t>
  </si>
  <si>
    <t xml:space="preserve">TRECHO DE Zona09_PB17_Rede_NÓ1.1 A Zona09_PB14_Rede_NÓ1.5</t>
  </si>
  <si>
    <t xml:space="preserve">Zona09_PB17_Rede_NÓ1.1</t>
  </si>
  <si>
    <t xml:space="preserve">2FCAB</t>
  </si>
  <si>
    <t xml:space="preserve">Zona09_PB17_Rede_TR002</t>
  </si>
  <si>
    <t xml:space="preserve">CHÁCARA 20</t>
  </si>
  <si>
    <t xml:space="preserve">TRECHO DE Zona09_PB17_Rede_NÓ54.3 A Zona09_PB14_Rede_NÓ1.5; INCLUI 4,10 M DE TUBO DESENHADO NO PRÓPRIO NÓ (NÓ1.5, NÓ54.3: anel de ponta/toco)</t>
  </si>
  <si>
    <t xml:space="preserve">Zona09_PB17_Rede_NÓ54.3</t>
  </si>
  <si>
    <t xml:space="preserve">B419</t>
  </si>
  <si>
    <t xml:space="preserve">Zona09_PB17_Rede_TR003</t>
  </si>
  <si>
    <t xml:space="preserve">TRECHO DE Zona09_PB14_Rede_NÓ9.1 A Zona09_PB17_Rede_NÓ108.1</t>
  </si>
  <si>
    <t xml:space="preserve">Zona09_PB17_Rede_NÓ108.1</t>
  </si>
  <si>
    <t xml:space="preserve">BA7F</t>
  </si>
  <si>
    <t xml:space="preserve">Zona09_PB17_Rede_TR004</t>
  </si>
  <si>
    <t xml:space="preserve">TRECHO DE Zona09_PB17_Rede_NÓ1.1 A Zona09_PB17_Rede_NÓ54.2; INCLUI 4,04 M DE TUBO DESENHADO NO PRÓPRIO NÓ (NÓ54.2: anel de ponta/toco)</t>
  </si>
  <si>
    <t xml:space="preserve">Zona09_PB17_Rede_NÓ54.2</t>
  </si>
  <si>
    <t xml:space="preserve">B14C</t>
  </si>
  <si>
    <t xml:space="preserve">Zona09_PB17_Rede_TR005</t>
  </si>
  <si>
    <t xml:space="preserve">TRECHO DE Zona09_PB17_Rede_NÓ1.1 A Zona09_PB17_Rede_NÓ54.1; INCLUI 3,94 M DE TUBO DESENHADO NO PRÓPRIO NÓ (NÓ54.1: anel de ponta/toco)</t>
  </si>
  <si>
    <t xml:space="preserve">Zona09_PB17_Rede_NÓ54.1</t>
  </si>
  <si>
    <t xml:space="preserve">B212</t>
  </si>
  <si>
    <t xml:space="preserve">Zona09_PB17_Rede_TR006</t>
  </si>
  <si>
    <t xml:space="preserve">CHÁCARA BURITIS 18/19</t>
  </si>
  <si>
    <t xml:space="preserve">TRECHO DE Zona09_PB17_Rede_NÓ108.1 A Zona09_PB16_CH_VRP-01</t>
  </si>
  <si>
    <t xml:space="preserve">Zona09_PB17_Rede_TR007</t>
  </si>
  <si>
    <t xml:space="preserve">TRECHO DE Zona09_PB17_Rede_NÓ108.1 A Zona09_PB17_Rede_NÓ59.1</t>
  </si>
  <si>
    <t xml:space="preserve">2CE2B, 2CE2C, B1D0</t>
  </si>
  <si>
    <t xml:space="preserve">Zona09_PB17_Rede_TR008</t>
  </si>
  <si>
    <t xml:space="preserve">TRECHO DE Zona09_PB17_Rede_NÓ59.1 A Zona09_PB17_Rede_NÓ59.2</t>
  </si>
  <si>
    <t xml:space="preserve">B00B</t>
  </si>
  <si>
    <t xml:space="preserve">Zona09_PB17_Rede_TR009</t>
  </si>
  <si>
    <t xml:space="preserve">TRECHO DE Zona09_PB17_Rede_NÓ59.2 A Zona09_PB22_Rede_NÓ59.1</t>
  </si>
  <si>
    <t xml:space="preserve">Zona09_PB22_Rede_NÓ59.1</t>
  </si>
  <si>
    <t xml:space="preserve">B1CD</t>
  </si>
  <si>
    <t xml:space="preserve">Zona09_PB17_Rede_TR010</t>
  </si>
  <si>
    <t xml:space="preserve">TRECHO DE Zona09_PB17_Rede_NÓ2.1 A Zona09_PB17_Rede_NÓ1.2; INCLUI 0,12 M DE TUBO DESENHADO NO PRÓPRIO NÓ (NÓ1.2: anel de ponta/toco)</t>
  </si>
  <si>
    <t xml:space="preserve">Zona09_PB17_Rede_NÓ2.1</t>
  </si>
  <si>
    <t xml:space="preserve">Zona09_PB17_Rede_NÓ1.2</t>
  </si>
  <si>
    <t xml:space="preserve">6C325</t>
  </si>
  <si>
    <t xml:space="preserve">Zona09_PB17_Rede_TR011</t>
  </si>
  <si>
    <t xml:space="preserve">TRECHO DE Zona09_PB22_Rede_NÓ59.1 A Zona09_PB17_Rede_NÓ2.1</t>
  </si>
  <si>
    <t xml:space="preserve">6C325, B284</t>
  </si>
  <si>
    <t xml:space="preserve">Zona09_PB21_Rede_TR001</t>
  </si>
  <si>
    <t xml:space="preserve">A.RED.SSB-D014.V03.T01.022/037</t>
  </si>
  <si>
    <t xml:space="preserve">CHÁCARA 10B</t>
  </si>
  <si>
    <t xml:space="preserve">TRECHO DE Zona09_PB21_Rede_NÓ1.5 A Zona09_PB21_Rede_NÓ54.1; INCLUI 4,02 M DE TUBO DESENHADO NO PRÓPRIO NÓ (NÓ54.1: anel de ponta/toco)</t>
  </si>
  <si>
    <t xml:space="preserve">PB21</t>
  </si>
  <si>
    <t xml:space="preserve">Zona09_PB21_Rede_NÓ1.5</t>
  </si>
  <si>
    <t xml:space="preserve">Zona09_PB21_Rede_NÓ54.1</t>
  </si>
  <si>
    <t xml:space="preserve">A64E</t>
  </si>
  <si>
    <t xml:space="preserve">Zona09_PB21_Rede_TR002</t>
  </si>
  <si>
    <t xml:space="preserve">TRECHO DE Zona09_PB21_Rede_DF-01 A Zona09_PB21_Rede_NÓ2.1</t>
  </si>
  <si>
    <t xml:space="preserve">Zona09_PB21_Rede_DF-01</t>
  </si>
  <si>
    <t xml:space="preserve">Zona09_PB21_Rede_NÓ2.1</t>
  </si>
  <si>
    <t xml:space="preserve">6C2FB</t>
  </si>
  <si>
    <t xml:space="preserve">Zona09_PB21_Rede_TR003</t>
  </si>
  <si>
    <t xml:space="preserve">TRECHO DE Zona09_PB22_Rede_NÓ1.1 A Zona09_PB21_Rede_NÓ1.5; INCLUI 1,03 M DE TUBO DESENHADO NO PRÓPRIO NÓ (NÓ1.1: anel de ponta/toco)</t>
  </si>
  <si>
    <t xml:space="preserve">Zona09_PB22_Rede_NÓ1.1</t>
  </si>
  <si>
    <t xml:space="preserve">B19D</t>
  </si>
  <si>
    <t xml:space="preserve">Zona09_PB21_Rede_TR004</t>
  </si>
  <si>
    <t xml:space="preserve">TRECHO DE Zona09_PB21_Rede_NÓ1.3 A Zona09_PB21_Rede_NÓ2.1; INCLUI 1,15 M DE TUBO DESENHADO NO PRÓPRIO NÓ (NÓ1.3: anel de ponta/toco)</t>
  </si>
  <si>
    <t xml:space="preserve">Zona09_PB21_Rede_NÓ1.3</t>
  </si>
  <si>
    <t xml:space="preserve">2C38E, 2C38F</t>
  </si>
  <si>
    <t xml:space="preserve">Zona09_PB21_Rede_TR005</t>
  </si>
  <si>
    <t xml:space="preserve">TRECHO DE Zona09_PB21_Rede_NÓ1.5 A Zona09_PB21_Rede_NÓ1.3</t>
  </si>
  <si>
    <t xml:space="preserve">B19A</t>
  </si>
  <si>
    <t xml:space="preserve">Zona09_PB21_Rede_TR006</t>
  </si>
  <si>
    <t xml:space="preserve">TRECHO DE Zona09_PB21_Rede_NÓ1.3 A Zona09_PB21_Rede_NÓ1.2</t>
  </si>
  <si>
    <t xml:space="preserve">Zona09_PB21_Rede_NÓ1.2</t>
  </si>
  <si>
    <t xml:space="preserve">B36E</t>
  </si>
  <si>
    <t xml:space="preserve">Zona09_PB21_Rede_TR007</t>
  </si>
  <si>
    <t xml:space="preserve">TRECHO DE Zona09_PB21_Rede_NÓ1.1 A Zona09_PB21_Rede_DF-01</t>
  </si>
  <si>
    <t xml:space="preserve">Zona09_PB21_Rede_NÓ1.1</t>
  </si>
  <si>
    <t xml:space="preserve">Zona09_PB21_Rede_TR008</t>
  </si>
  <si>
    <t xml:space="preserve">TRECHO DE Zona09_PB21_Rede_NÓ1.2 A Zona09_PB21_Rede_NÓ1.1; INCLUI 0,09 M DE TUBO DESENHADO NO PRÓPRIO NÓ (NÓ1.2: anel de ponta/toco)</t>
  </si>
  <si>
    <t xml:space="preserve">Zona09_PB21_Rede_TR009</t>
  </si>
  <si>
    <t xml:space="preserve">TRECHO DE Zona09_PB21_Rede_NÓ1.2 A Zona09_PB21_Rede_NÓ1.4</t>
  </si>
  <si>
    <t xml:space="preserve">Zona09_PB21_Rede_NÓ1.4</t>
  </si>
  <si>
    <t xml:space="preserve">6C2FA</t>
  </si>
  <si>
    <t xml:space="preserve">Zona09_PB21_Rede_TR010</t>
  </si>
  <si>
    <t xml:space="preserve">TRECHO DE Zona09_PB21_Rede_NÓ1.6 A Zona09_PB21_Rede_NÓ1.4</t>
  </si>
  <si>
    <t xml:space="preserve">Zona09_PB21_Rede_NÓ1.6</t>
  </si>
  <si>
    <t xml:space="preserve">Zona09_PB21_Rede_TR011</t>
  </si>
  <si>
    <t xml:space="preserve">TRECHO DE Zona09_PB21_Rede_NÓ1.4 A Zona09_PB21_Rede_NÓ1.1</t>
  </si>
  <si>
    <t xml:space="preserve">Zona09_PB21_Rede_TR012</t>
  </si>
  <si>
    <t xml:space="preserve">TRECHO DE Zona09_PB21_Rede_NÓ1.6 A Zona09_PB22_Rede_NÓ2.1</t>
  </si>
  <si>
    <t xml:space="preserve">Zona09_PB22_Rede_NÓ2.1</t>
  </si>
  <si>
    <t xml:space="preserve">6C32E</t>
  </si>
  <si>
    <t xml:space="preserve">Zona09_PB22_Rede_TR001</t>
  </si>
  <si>
    <t xml:space="preserve">A.RED.SSB-D014.V03.T01.023/037</t>
  </si>
  <si>
    <t xml:space="preserve">TRECHO DE Zona09_PB17_Rede_NÓ1.2 A Zona09_PB17_Rede_NÓ2.2</t>
  </si>
  <si>
    <t xml:space="preserve">PB22</t>
  </si>
  <si>
    <t xml:space="preserve">Zona09_PB17_Rede_NÓ2.2</t>
  </si>
  <si>
    <t xml:space="preserve">6C328</t>
  </si>
  <si>
    <t xml:space="preserve">Zona09_PB22_Rede_TR002</t>
  </si>
  <si>
    <t xml:space="preserve">TRECHO DE Zona09_PB17_Rede_NÓ1.2 A PONTA SEM NÓ NA TABELA</t>
  </si>
  <si>
    <t xml:space="preserve">Zona09_PB22_Rede_TR003</t>
  </si>
  <si>
    <t xml:space="preserve">TRECHO DE Zona09_PB17_Rede_NÓ2.2 A Zona09_PB22_Rede_NÓ2.9</t>
  </si>
  <si>
    <t xml:space="preserve">Zona09_PB22_Rede_NÓ2.9</t>
  </si>
  <si>
    <t xml:space="preserve">Zona09_PB22_Rede_TR004</t>
  </si>
  <si>
    <t xml:space="preserve">TRECHO DE Zona09_PB22_Rede_NÓ59.2 A PONTA SEM NÓ NA TABELA</t>
  </si>
  <si>
    <t xml:space="preserve">Zona09_PB22_Rede_NÓ59.2</t>
  </si>
  <si>
    <t xml:space="preserve">2C7EA, 2CBC5, 2CD0B, 2CD0D, B1A0</t>
  </si>
  <si>
    <t xml:space="preserve">Zona09_PB22_Rede_TR005</t>
  </si>
  <si>
    <t xml:space="preserve">TRECHO DE Zona09_PB22_Rede_NÓ59.1 A Zona09_PB22_Rede_NÓ59.2</t>
  </si>
  <si>
    <t xml:space="preserve">B008</t>
  </si>
  <si>
    <t xml:space="preserve">Zona09_PB22_Rede_TR006</t>
  </si>
  <si>
    <t xml:space="preserve">TRECHO DE Zona09_PB22_Rede_NÓ59.2 A Zona09_PB22_Rede_NÓ59.3</t>
  </si>
  <si>
    <t xml:space="preserve">Zona09_PB22_Rede_NÓ59.3</t>
  </si>
  <si>
    <t xml:space="preserve">2CE24</t>
  </si>
  <si>
    <t xml:space="preserve">Zona09_PB22_Rede_TR007</t>
  </si>
  <si>
    <t xml:space="preserve">TRECHO DE Zona09_PB22_Rede_NÓ54.1 A Zona09_PB22_Rede_NÓ1.1; INCLUI 4,02 M DE TUBO DESENHADO NO PRÓPRIO NÓ (NÓ54.1: anel de ponta/toco)</t>
  </si>
  <si>
    <t xml:space="preserve">Zona09_PB22_Rede_NÓ54.1</t>
  </si>
  <si>
    <t xml:space="preserve">2D81F</t>
  </si>
  <si>
    <t xml:space="preserve">Zona09_PB22_Rede_TR008</t>
  </si>
  <si>
    <t xml:space="preserve">TRECHO DE Zona09_PB22_Rede_NÓ59.4 A Zona09_PB22_Rede_NÓ2.9</t>
  </si>
  <si>
    <t xml:space="preserve">Zona09_PB22_Rede_NÓ59.4</t>
  </si>
  <si>
    <t xml:space="preserve">6C328, B2B1</t>
  </si>
  <si>
    <t xml:space="preserve">Zona09_PB22_Rede_TR009</t>
  </si>
  <si>
    <t xml:space="preserve">TRECHO DE Zona09_PB22_Rede_NÓ59.3 A Zona09_PB22_Rede_NÓ59.4</t>
  </si>
  <si>
    <t xml:space="preserve">Zona09_PB22_Rede_TR010</t>
  </si>
  <si>
    <t xml:space="preserve">TRECHO DE Zona09_PB22_Rede_NÓ59.3 A Zona09_PB22_Rede_NÓ1.1; INCLUI 1,40 M DE TUBO DESENHADO NO PRÓPRIO NÓ (NÓ59.3: anel de ponta/toco)</t>
  </si>
  <si>
    <t xml:space="preserve">2C7EE, AFD5</t>
  </si>
  <si>
    <t xml:space="preserve">Zona09_PB22_Rede_TR011</t>
  </si>
  <si>
    <t xml:space="preserve">TRECHO DE Zona09_PB22_Rede_NÓ59.4 A Zona09_PB22_Rede_NÓ59.5</t>
  </si>
  <si>
    <t xml:space="preserve">Zona09_PB22_Rede_NÓ59.5</t>
  </si>
  <si>
    <t xml:space="preserve">B002</t>
  </si>
  <si>
    <t xml:space="preserve">Zona09_PB22_Rede_TR012</t>
  </si>
  <si>
    <t xml:space="preserve">TRECHO DE Zona09_PB22_Rede_NÓ1.2 A Zona09_PB22_Rede_NÓ54.2; INCLUI 3,97 M DE TUBO DESENHADO NO PRÓPRIO NÓ (NÓ54.2: anel de ponta/toco)</t>
  </si>
  <si>
    <t xml:space="preserve">Zona09_PB22_Rede_NÓ1.2</t>
  </si>
  <si>
    <t xml:space="preserve">Zona09_PB22_Rede_NÓ54.2</t>
  </si>
  <si>
    <t xml:space="preserve">3B92D, B3CE</t>
  </si>
  <si>
    <t xml:space="preserve">Zona09_PB22_Rede_TR013</t>
  </si>
  <si>
    <t xml:space="preserve">TRECHO DE Zona09_PB22_Rede_NÓ59.5 A Zona09_PB22_Rede_NÓ1.2; INCLUI 0,25 M DE TUBO DESENHADO NO PRÓPRIO NÓ (NÓ1.2: anel de ponta/toco)</t>
  </si>
  <si>
    <t xml:space="preserve">6C2FF, B197</t>
  </si>
  <si>
    <t xml:space="preserve">Zona09_PB22_Rede_TR014</t>
  </si>
  <si>
    <t xml:space="preserve">TRECHO DE Zona09_PB22_Rede_NÓ1.2 A Zona09_PB21_Rede_NÓ1.6</t>
  </si>
  <si>
    <t xml:space="preserve">Zona09_PB22_Rede_TR015</t>
  </si>
  <si>
    <t xml:space="preserve">TRECHO DE Zona09_PB22_Rede_NÓ54.3 A Zona09_PB22_Rede_NÓ66.1; INCLUI 4,07 M DE TUBO DESENHADO NO PRÓPRIO NÓ (NÓ54.3: anel de ponta/toco)</t>
  </si>
  <si>
    <t xml:space="preserve">Zona09_PB22_Rede_NÓ54.3</t>
  </si>
  <si>
    <t xml:space="preserve">Zona09_PB22_Rede_NÓ66.1</t>
  </si>
  <si>
    <t xml:space="preserve">2CC13, B344</t>
  </si>
  <si>
    <t xml:space="preserve">Zona09_PB22_Rede_TR016</t>
  </si>
  <si>
    <t xml:space="preserve">TRECHO DE Zona09_PB22_Rede_NÓ59.5 A Zona09_PB22_Rede_NÓ107.1</t>
  </si>
  <si>
    <t xml:space="preserve">Zona09_PB22_Rede_NÓ107.1</t>
  </si>
  <si>
    <t xml:space="preserve">ADD1</t>
  </si>
  <si>
    <t xml:space="preserve">Zona09_PB22_Rede_TR017</t>
  </si>
  <si>
    <t xml:space="preserve">TRECHO DE Zona09_PB22_Rede_NÓ66.1 A Zona09_PB22_Rede_NÓ107.1</t>
  </si>
  <si>
    <t xml:space="preserve">AD89</t>
  </si>
  <si>
    <t xml:space="preserve">Zona09_PB22_Rede_TR018</t>
  </si>
  <si>
    <t xml:space="preserve">TRECHO DE Zona09_PB22_Rede_NÓ2.2 A Zona09_PB22_Rede_NÓ1.3</t>
  </si>
  <si>
    <t xml:space="preserve">Zona09_PB22_Rede_NÓ2.2</t>
  </si>
  <si>
    <t xml:space="preserve">Zona09_PB22_Rede_NÓ1.3</t>
  </si>
  <si>
    <t xml:space="preserve">2CD58</t>
  </si>
  <si>
    <t xml:space="preserve">Zona09_PB22_Rede_TR019</t>
  </si>
  <si>
    <t xml:space="preserve">TRECHO DE Zona09_PB22_Rede_NÓ107.1 A Zona09_PB22_Rede_NÓ1.3</t>
  </si>
  <si>
    <t xml:space="preserve">2CE1D, ADD4</t>
  </si>
  <si>
    <t xml:space="preserve">Zona09_PB22_Rede_TR020</t>
  </si>
  <si>
    <t xml:space="preserve">TRECHO DE Zona09_PB22_Rede_NÓ1.3 A Zona09_PB22_Rede_NÓ2.1</t>
  </si>
  <si>
    <t xml:space="preserve">2CD58, 6C32E, ADCE</t>
  </si>
  <si>
    <t xml:space="preserve">Zona09_PB22_Rede_TR021</t>
  </si>
  <si>
    <t xml:space="preserve">TRECHO DE Zona09_PB22_Rede_NÓ54.4 A Zona09_PB22_Rede_NÓ2.2; INCLUI 3,98 M DE TUBO DESENHADO NO PRÓPRIO NÓ (NÓ54.4: anel de ponta/toco)</t>
  </si>
  <si>
    <t xml:space="preserve">Zona09_PB22_Rede_NÓ54.4</t>
  </si>
  <si>
    <t xml:space="preserve">2C803</t>
  </si>
  <si>
    <t xml:space="preserve">Zona10</t>
  </si>
  <si>
    <t xml:space="preserve">Zona10_PB10_Rede_TR001</t>
  </si>
  <si>
    <t xml:space="preserve">TRECHO DE Zona10_PB07_Rede_NÓ54.13 A Zona10_PB10_Rede_NÓ59.4; INCLUI 4,00 M DE TUBO DESENHADO NO PRÓPRIO NÓ (NÓ54.13: anel de ponta/toco)</t>
  </si>
  <si>
    <t xml:space="preserve">EQUIPE ZONA 10</t>
  </si>
  <si>
    <t xml:space="preserve">Zona10_PB07_Rede_NÓ54.13</t>
  </si>
  <si>
    <t xml:space="preserve">Zona10_PB10_Rede_NÓ59.4</t>
  </si>
  <si>
    <t xml:space="preserve">2C40D, 2C5B5, 2CF4A, 2CF4B, B845, B854, B86C, B86F</t>
  </si>
  <si>
    <t xml:space="preserve">Zona10_PB10_Rede_TR002</t>
  </si>
  <si>
    <t xml:space="preserve">TRECHO DE Zona10_PB10_Rede_DF-42 A Zona10_PB07_Rede_NÓ54.11; INCLUI 3,99 M DE TUBO DESENHADO NO PRÓPRIO NÓ (NÓ54.11: anel de ponta/toco)</t>
  </si>
  <si>
    <t xml:space="preserve">Zona10_PB10_Rede_DF-42</t>
  </si>
  <si>
    <t xml:space="preserve">Zona10_PB07_Rede_NÓ54.11</t>
  </si>
  <si>
    <t xml:space="preserve">2C9FB, 2C9FC, 2CDAC, B857, BAF7</t>
  </si>
  <si>
    <t xml:space="preserve">Zona10_PB10_Rede_TR003</t>
  </si>
  <si>
    <t xml:space="preserve">TRECHO DE Zona10_PB10_Rede_NÓ54.5 A Zona10_PB10_Rede_NÓ59.6; INCLUI 4,08 M DE TUBO DESENHADO NO PRÓPRIO NÓ (NÓ54.5: anel de ponta/toco)</t>
  </si>
  <si>
    <t xml:space="preserve">Zona10_PB10_Rede_NÓ54.5</t>
  </si>
  <si>
    <t xml:space="preserve">Zona10_PB10_Rede_NÓ59.6</t>
  </si>
  <si>
    <t xml:space="preserve">561CF, B842, B851</t>
  </si>
  <si>
    <t xml:space="preserve">Zona10_PB10_Rede_TR004</t>
  </si>
  <si>
    <t xml:space="preserve">TRECHO DE Zona10_PB10_Rede_NÓ54.8 A Zona10_PB10_Rede_NÓ59.7; INCLUI 4,07 M DE TUBO DESENHADO NO PRÓPRIO NÓ (NÓ54.8: anel de ponta/toco)</t>
  </si>
  <si>
    <t xml:space="preserve">Zona10_PB10_Rede_NÓ54.8</t>
  </si>
  <si>
    <t xml:space="preserve">Zona10_PB10_Rede_NÓ59.7</t>
  </si>
  <si>
    <t xml:space="preserve">10614, 2CBE0, B83F, B84E, BAFD</t>
  </si>
  <si>
    <t xml:space="preserve">Zona10_PB10_Rede_TR005</t>
  </si>
  <si>
    <t xml:space="preserve">TRECHO DE DIVISA DE ZONA A Zona10_PB10_Rede_NÓ13.2; TRECHO DIVIDIDO NA DIVISA DE ZONA (TRECHO ORIGINAL ENTRE PONTOS DA REDE: 24,33 M)</t>
  </si>
  <si>
    <t xml:space="preserve">Zona10_PB10_Rede_NÓ13.2</t>
  </si>
  <si>
    <t xml:space="preserve">6E2C6, BB18</t>
  </si>
  <si>
    <t xml:space="preserve">Zona10_PB10_Rede_TR006</t>
  </si>
  <si>
    <t xml:space="preserve">TRECHO DE Zona10_PB10_Rede_NÓ66.1 A Zona10_PB10_Rede_DF-42</t>
  </si>
  <si>
    <t xml:space="preserve">Zona10_PB10_Rede_NÓ66.1</t>
  </si>
  <si>
    <t xml:space="preserve">2C9FB</t>
  </si>
  <si>
    <t xml:space="preserve">Zona10_PB10_Rede_TR007</t>
  </si>
  <si>
    <t xml:space="preserve">TRECHO DE Zona08_PB10_Adutora_NÓ89.1 A Zona10_PB10_Rede_NÓ13.2</t>
  </si>
  <si>
    <t xml:space="preserve">6C60D</t>
  </si>
  <si>
    <t xml:space="preserve">Zona10_PB10_Rede_TR008</t>
  </si>
  <si>
    <t xml:space="preserve">TRECHO DE Zona10_PB10_Rede_NÓ66.1 A Zona10_PB10_Rede_NÓ59.4</t>
  </si>
  <si>
    <t xml:space="preserve">AE13</t>
  </si>
  <si>
    <t xml:space="preserve">Zona10_PB10_Rede_TR009</t>
  </si>
  <si>
    <t xml:space="preserve">TRECHO DE Zona10_PB11_Rede_NÓ54.2 A Zona10_PB10_Rede_NÓ59.8; INCLUI 3,94 M DE TUBO DESENHADO NO PRÓPRIO NÓ (NÓ54.2: anel de ponta/toco)</t>
  </si>
  <si>
    <t xml:space="preserve">Zona10_PB11_Rede_NÓ54.2</t>
  </si>
  <si>
    <t xml:space="preserve">Zona10_PB10_Rede_NÓ59.8</t>
  </si>
  <si>
    <t xml:space="preserve">B7F4, B7FA, B800, BB03</t>
  </si>
  <si>
    <t xml:space="preserve">Zona10_PB10_Rede_TR010</t>
  </si>
  <si>
    <t xml:space="preserve">TRECHO DE Zona10_PB11_Rede_NÓ54.3 A Zona10_PB10_Rede_NÓ59.9; INCLUI 3,99 M DE TUBO DESENHADO NO PRÓPRIO NÓ (NÓ54.3: anel de ponta/toco)</t>
  </si>
  <si>
    <t xml:space="preserve">Zona10_PB11_Rede_NÓ54.3</t>
  </si>
  <si>
    <t xml:space="preserve">Zona10_PB10_Rede_NÓ59.9</t>
  </si>
  <si>
    <t xml:space="preserve">B7F1, B7F7, B7FD, BB06</t>
  </si>
  <si>
    <t xml:space="preserve">Zona10_PB10_Rede_TR011</t>
  </si>
  <si>
    <t xml:space="preserve">TRECHO DE Zona10_PB10_Rede_NÓ59.4 A Zona10_PB10_Rede_NÓ59.6</t>
  </si>
  <si>
    <t xml:space="preserve">ACCF</t>
  </si>
  <si>
    <t xml:space="preserve">Zona10_PB10_Rede_TR012</t>
  </si>
  <si>
    <t xml:space="preserve">TRECHO DE Zona10_PB10_Rede_NÓ59.6 A Zona10_PB10_Rede_NÓ59.7</t>
  </si>
  <si>
    <t xml:space="preserve">AE10</t>
  </si>
  <si>
    <t xml:space="preserve">Zona10_PB10_Rede_TR013</t>
  </si>
  <si>
    <t xml:space="preserve">TRECHO DE Zona10_PB10_Rede_NÓ59.7 A Zona10_PB10_Rede_NÓ59.8</t>
  </si>
  <si>
    <t xml:space="preserve">BACA, BACD</t>
  </si>
  <si>
    <t xml:space="preserve">Zona10_PB10_Rede_TR014</t>
  </si>
  <si>
    <t xml:space="preserve">TRECHO DE Zona10_PB10_Rede_NÓ59.8 A Zona10_PB10_Rede_NÓ59.9</t>
  </si>
  <si>
    <t xml:space="preserve">ACCC</t>
  </si>
  <si>
    <t xml:space="preserve">Zona10_PB10_Rede_TR015</t>
  </si>
  <si>
    <t xml:space="preserve">TRECHO DE Zona10_PB10_Rede_NÓ59.9 A Zona10_PB10_Rede_NÓ91.1</t>
  </si>
  <si>
    <t xml:space="preserve">Zona10_PB10_Rede_NÓ91.1</t>
  </si>
  <si>
    <t xml:space="preserve">AE0D</t>
  </si>
  <si>
    <t xml:space="preserve">Zona10_PB10_Rede_TR016</t>
  </si>
  <si>
    <t xml:space="preserve">TRECHO DE Zona10_PB10_Rede_NÓ91.1 A Zona10_PB10_Rede_NÓ56.4</t>
  </si>
  <si>
    <t xml:space="preserve">Zona10_PB10_Rede_NÓ56.4</t>
  </si>
  <si>
    <t xml:space="preserve">ACC9</t>
  </si>
  <si>
    <t xml:space="preserve">Zona10_PB10_Rede_TR017</t>
  </si>
  <si>
    <t xml:space="preserve">TRECHO DE Zona10_PB10_Rede_NÓ56.4 A Zona10_PB11_CH_VM-10.2</t>
  </si>
  <si>
    <t xml:space="preserve">Zona10_PB11_CH_VM-10.2</t>
  </si>
  <si>
    <t xml:space="preserve">AE0A</t>
  </si>
  <si>
    <t xml:space="preserve">Zona10_PB11_Rede_TR001</t>
  </si>
  <si>
    <t xml:space="preserve">TRECHO DE Zona10_PB11_Rede_NÓ1.2 A Zona10_PB11_Rede_DF-16; INCLUI 0,51 M DE TUBO DESENHADO NO PRÓPRIO NÓ (nó: anel de ponta/toco)</t>
  </si>
  <si>
    <t xml:space="preserve">Zona10_PB11_Rede_NÓ1.2</t>
  </si>
  <si>
    <t xml:space="preserve">Zona10_PB11_Rede_DF-16</t>
  </si>
  <si>
    <t xml:space="preserve">2C4B2, B7A0, B7A3</t>
  </si>
  <si>
    <t xml:space="preserve">Zona10_PB11_Rede_TR002</t>
  </si>
  <si>
    <t xml:space="preserve">TRECHO DE DIVISA DE ZONA A Zona10_PB11_Rede_NÓ2.4; TRECHO DIVIDIDO NA DIVISA DE ZONA (TRECHO ORIGINAL ENTRE PONTOS DA REDE: 140,20 M)</t>
  </si>
  <si>
    <t xml:space="preserve">Zona10_PB11_Rede_NÓ2.4</t>
  </si>
  <si>
    <t xml:space="preserve">Zona10_PB11_Rede_TR003</t>
  </si>
  <si>
    <t xml:space="preserve">TRECHO DE Zona10_PB11_Rede_NÓ2.4 A Zona10_PB11_Rede_NÓ2.6</t>
  </si>
  <si>
    <t xml:space="preserve">Zona10_PB11_Rede_NÓ2.6</t>
  </si>
  <si>
    <t xml:space="preserve">B7EB, BB09</t>
  </si>
  <si>
    <t xml:space="preserve">Zona10_PB11_Rede_TR004</t>
  </si>
  <si>
    <t xml:space="preserve">TRECHO DE DIVISA DE ZONA A Zona10_PB11_Rede_NÓ54.4; INCLUI 4,05 M DE TUBO DESENHADO NO PRÓPRIO NÓ (NÓ54.4: anel de ponta/toco); TRECHO DIVIDIDO NA DIVISA DE ZONA (TRECHO ORIGINAL ENTRE PONTOS DA REDE: 427,48 M)</t>
  </si>
  <si>
    <t xml:space="preserve">Zona10_PB11_Rede_NÓ54.4</t>
  </si>
  <si>
    <t xml:space="preserve">2C3FB, B7D6, BB0F</t>
  </si>
  <si>
    <t xml:space="preserve">Zona10_PB11_Rede_TR005</t>
  </si>
  <si>
    <t xml:space="preserve">TRECHO DE Zona10_PB11_Rede_NÓ1.4 A Zona10_PB11_Rede_NÓ1.2</t>
  </si>
  <si>
    <t xml:space="preserve">Zona10_PB11_Rede_NÓ1.4</t>
  </si>
  <si>
    <t xml:space="preserve">2C9C8</t>
  </si>
  <si>
    <t xml:space="preserve">Zona10_PB11_Rede_TR006</t>
  </si>
  <si>
    <t xml:space="preserve">TRECHO DE Zona10_PB11_Rede_NÓ1.4 A Zona10_PB11_Rede_NÓ1.6</t>
  </si>
  <si>
    <t xml:space="preserve">Zona10_PB11_Rede_NÓ1.6</t>
  </si>
  <si>
    <t xml:space="preserve">2C907</t>
  </si>
  <si>
    <t xml:space="preserve">Zona10_PB11_Rede_TR007</t>
  </si>
  <si>
    <t xml:space="preserve">TRECHO DE Zona10_PB11_Rede_NÓ1.2 A Zona10_PB11_Rede_NÓ1.1</t>
  </si>
  <si>
    <t xml:space="preserve">Zona10_PB11_Rede_NÓ1.1</t>
  </si>
  <si>
    <t xml:space="preserve">2C971, 2CF3F</t>
  </si>
  <si>
    <t xml:space="preserve">Zona10_PB11_Rede_TR008</t>
  </si>
  <si>
    <t xml:space="preserve">CHÁCARA 51</t>
  </si>
  <si>
    <t xml:space="preserve">TRECHO DE Zona10_PB11_Rede_NÓ1.6 A Zona10_PB11_Rede_NÓ1.8</t>
  </si>
  <si>
    <t xml:space="preserve">Zona10_PB11_Rede_NÓ1.8</t>
  </si>
  <si>
    <t xml:space="preserve">Zona10_PB11_Rede_TR009</t>
  </si>
  <si>
    <t xml:space="preserve">TRECHO DE Zona10_PB11_Rede_DF-16 A Zona10_PB11_Rede_NÓ1.26</t>
  </si>
  <si>
    <t xml:space="preserve">Zona10_PB11_Rede_NÓ1.26</t>
  </si>
  <si>
    <t xml:space="preserve">2C905, 2CBB5, B79D, B7A3, B7DF, B7E2</t>
  </si>
  <si>
    <t xml:space="preserve">Zona10_PB11_Rede_TR010</t>
  </si>
  <si>
    <t xml:space="preserve">TRECHO DE Zona10_PB11_Rede_NÓ2.8 A Zona10_PB11_Rede_NÓ1.4; INCLUI 1,68 M DE TUBO DESENHADO NO PRÓPRIO NÓ (NÓ1.4, NÓ2.8: anel de ponta/toco)</t>
  </si>
  <si>
    <t xml:space="preserve">Zona10_PB11_Rede_NÓ2.8</t>
  </si>
  <si>
    <t xml:space="preserve">3C068</t>
  </si>
  <si>
    <t xml:space="preserve">Zona10_PB11_Rede_TR011</t>
  </si>
  <si>
    <t xml:space="preserve">TRECHO DE Zona10_PB11_Rede_NÓ1.8 A Zona10_PB11_Rede_NÓ1.13</t>
  </si>
  <si>
    <t xml:space="preserve">Zona10_PB11_Rede_NÓ1.13</t>
  </si>
  <si>
    <t xml:space="preserve">Zona10_PB11_Rede_TR012</t>
  </si>
  <si>
    <t xml:space="preserve">TRECHO DE Zona10_PB11_Rede_NÓ1.6 A Zona10_PB11_Rede_NÓ1.3</t>
  </si>
  <si>
    <t xml:space="preserve">Zona10_PB11_Rede_NÓ1.3</t>
  </si>
  <si>
    <t xml:space="preserve">B1BB</t>
  </si>
  <si>
    <t xml:space="preserve">Zona10_PB11_Rede_TR013</t>
  </si>
  <si>
    <t xml:space="preserve">TRECHO DE Zona10_PB11_Rede_NÓ2.6 A Zona10_PB10_Rede_NÓ91.1; INCLUI 0,21 M DE TUBO DESENHADO NO PRÓPRIO NÓ (nó: anel de ponta/toco)</t>
  </si>
  <si>
    <t xml:space="preserve">B7E5, B7E8, B7EB</t>
  </si>
  <si>
    <t xml:space="preserve">Zona10_PB11_Rede_TR014</t>
  </si>
  <si>
    <t xml:space="preserve">TRECHO DE Zona10_PB11_Rede_NÓ1.1 A Zona10_PB11_Rede_NÓ2.7</t>
  </si>
  <si>
    <t xml:space="preserve">Zona10_PB11_Rede_NÓ2.7</t>
  </si>
  <si>
    <t xml:space="preserve">B3E9</t>
  </si>
  <si>
    <t xml:space="preserve">Zona10_PB11_Rede_TR015</t>
  </si>
  <si>
    <t xml:space="preserve">TRECHO DE Zona10_PB11_Rede_NÓ1.13 A Zona10_PB11_Rede_NÓ1.18</t>
  </si>
  <si>
    <t xml:space="preserve">Zona10_PB11_Rede_NÓ1.18</t>
  </si>
  <si>
    <t xml:space="preserve">2C908, B017</t>
  </si>
  <si>
    <t xml:space="preserve">Zona10_PB11_Rede_TR016</t>
  </si>
  <si>
    <t xml:space="preserve">TRECHO DE Zona10_PB11_Rede_NÓ1.8 A Zona10_PB11_Rede_NÓ1.3</t>
  </si>
  <si>
    <t xml:space="preserve">B27B</t>
  </si>
  <si>
    <t xml:space="preserve">Zona10_PB11_Rede_TR017</t>
  </si>
  <si>
    <t xml:space="preserve">TRECHO DE Zona10_PB11_Rede_NÓ1.18 A Zona10_PB11_Rede_NÓ1.20</t>
  </si>
  <si>
    <t xml:space="preserve">Zona10_PB11_Rede_NÓ1.20</t>
  </si>
  <si>
    <t xml:space="preserve">2C908, 2C909</t>
  </si>
  <si>
    <t xml:space="preserve">Zona10_PB11_Rede_TR018</t>
  </si>
  <si>
    <t xml:space="preserve">TRECHO DE Zona10_PB11_Rede_NÓ106.2 A Zona10_PB11_Rede_NÓ2.8</t>
  </si>
  <si>
    <t xml:space="preserve">Zona10_PB11_Rede_NÓ106.2</t>
  </si>
  <si>
    <t xml:space="preserve">3C068, B413</t>
  </si>
  <si>
    <t xml:space="preserve">Zona10_PB11_Rede_TR019</t>
  </si>
  <si>
    <t xml:space="preserve">TRECHO DE Zona10_PB11_Rede_NÓ1.13 A Zona10_PB11_Rede_NÓ1.7; INCLUI 0,08 M DE TUBO DESENHADO NO PRÓPRIO NÓ (NÓ1.13: anel de ponta/toco)</t>
  </si>
  <si>
    <t xml:space="preserve">Zona10_PB11_Rede_NÓ1.7</t>
  </si>
  <si>
    <t xml:space="preserve">AFDE</t>
  </si>
  <si>
    <t xml:space="preserve">Zona10_PB11_Rede_TR020</t>
  </si>
  <si>
    <t xml:space="preserve">TRECHO DE Zona10_PB11_Rede_NÓ1.26 A Zona10_PB11_Rede_NÓ54.8; INCLUI 4,00 M DE TUBO DESENHADO NO PRÓPRIO NÓ (NÓ54.8: anel de ponta/toco)</t>
  </si>
  <si>
    <t xml:space="preserve">Zona10_PB11_Rede_NÓ54.8</t>
  </si>
  <si>
    <t xml:space="preserve">2FF02</t>
  </si>
  <si>
    <t xml:space="preserve">Zona10_PB11_Rede_TR021</t>
  </si>
  <si>
    <t xml:space="preserve">TRECHO DE Zona10_PB11_Rede_NÓ1.3 A Zona10_PB11_Rede_NÓ106.2</t>
  </si>
  <si>
    <t xml:space="preserve">A59A</t>
  </si>
  <si>
    <t xml:space="preserve">Zona10_PB11_Rede_TR022</t>
  </si>
  <si>
    <t xml:space="preserve">TRECHO DE Zona10_PB11_Rede_NÓ1.20 A Zona10_PB11_Rede_NÓ2.10</t>
  </si>
  <si>
    <t xml:space="preserve">Zona10_PB11_Rede_NÓ2.10</t>
  </si>
  <si>
    <t xml:space="preserve">2C909, B014</t>
  </si>
  <si>
    <t xml:space="preserve">Zona10_PB11_Rede_TR023</t>
  </si>
  <si>
    <t xml:space="preserve">TRECHO DE Zona10_PB11_Rede_NÓ1.1 A Zona10_PB11_Rede_NÓ75.1</t>
  </si>
  <si>
    <t xml:space="preserve">Zona10_PB11_Rede_NÓ75.1</t>
  </si>
  <si>
    <t xml:space="preserve">B1E2, B2C0</t>
  </si>
  <si>
    <t xml:space="preserve">Zona10_PB11_Rede_TR024</t>
  </si>
  <si>
    <t xml:space="preserve">TRECHO DE Zona10_PB10_Rede_NÓ56.4 A Zona10_PB11_Rede_NÓ54.1; INCLUI 4,00 M DE TUBO DESENHADO NO PRÓPRIO NÓ (NÓ54.1: anel de ponta/toco)</t>
  </si>
  <si>
    <t xml:space="preserve">Zona10_PB11_Rede_NÓ54.1</t>
  </si>
  <si>
    <t xml:space="preserve">B416</t>
  </si>
  <si>
    <t xml:space="preserve">Zona10_PB11_Rede_TR025</t>
  </si>
  <si>
    <t xml:space="preserve">TRECHO DE Zona10_PB11_Rede_NÓ1.12 A Zona10_PB11_Rede_NÓ1.18</t>
  </si>
  <si>
    <t xml:space="preserve">Zona10_PB11_Rede_NÓ1.12</t>
  </si>
  <si>
    <t xml:space="preserve">A777</t>
  </si>
  <si>
    <t xml:space="preserve">Zona10_PB11_Rede_TR026</t>
  </si>
  <si>
    <t xml:space="preserve">TRECHO DE Zona10_PB11_Rede_NÓ1.25 A Zona10_PB11_Rede_NÓ1.26</t>
  </si>
  <si>
    <t xml:space="preserve">Zona10_PB11_Rede_NÓ1.25</t>
  </si>
  <si>
    <t xml:space="preserve">2FF05</t>
  </si>
  <si>
    <t xml:space="preserve">Zona10_PB11_Rede_TR027</t>
  </si>
  <si>
    <t xml:space="preserve">TRECHO DE Zona10_PB11_Rede_NÓ2.7 A Zona10_PB11_Rede_NÓ56.1; INCLUI 0,71 M DE TUBO DESENHADO NO PRÓPRIO NÓ (NÓ2.7, NÓ56.1: anel de ponta/toco)</t>
  </si>
  <si>
    <t xml:space="preserve">Zona10_PB11_Rede_NÓ56.1</t>
  </si>
  <si>
    <t xml:space="preserve">Zona10_PB11_Rede_TR028</t>
  </si>
  <si>
    <t xml:space="preserve">TRECHO DE Zona10_PB11_Rede_NÓ1.20 A Zona10_PB11_Rede_NÓ1.17; INCLUI 1,28 M DE TUBO DESENHADO NO PRÓPRIO NÓ (NÓ1.20: anel de ponta/toco)</t>
  </si>
  <si>
    <t xml:space="preserve">Zona10_PB11_Rede_NÓ1.17</t>
  </si>
  <si>
    <t xml:space="preserve">A792</t>
  </si>
  <si>
    <t xml:space="preserve">Zona10_PB11_Rede_TR029</t>
  </si>
  <si>
    <t xml:space="preserve">TRECHO DE Zona10_PB11_Rede_NÓ1.7 A Zona10_PB11_Rede_NÓ1.10</t>
  </si>
  <si>
    <t xml:space="preserve">Zona10_PB11_Rede_NÓ1.10</t>
  </si>
  <si>
    <t xml:space="preserve">ADBC</t>
  </si>
  <si>
    <t xml:space="preserve">Zona10_PB11_Rede_TR030</t>
  </si>
  <si>
    <t xml:space="preserve">TRECHO DE Zona10_PB11_Rede_NÓ1.10 A Zona10_PB11_Rede_NÓ1.12</t>
  </si>
  <si>
    <t xml:space="preserve">B2BD</t>
  </si>
  <si>
    <t xml:space="preserve">Zona10_PB11_Rede_TR031</t>
  </si>
  <si>
    <t xml:space="preserve">TRECHO DE Zona10_PB11_Rede_NÓ106.2 A Zona10_PB11_Rede_NÓ60.1</t>
  </si>
  <si>
    <t xml:space="preserve">Zona10_PB11_Rede_NÓ60.1</t>
  </si>
  <si>
    <t xml:space="preserve">2C42D, B824, B827</t>
  </si>
  <si>
    <t xml:space="preserve">Zona10_PB11_Rede_TR032</t>
  </si>
  <si>
    <t xml:space="preserve">TRECHO DE Zona10_PB11_Rede_NÓ56.2 A Zona10_PB11_Rede_NÓ1.7; INCLUI 0,45 M DE TUBO DESENHADO NO PRÓPRIO NÓ (NÓ56.2: anel de ponta/toco)</t>
  </si>
  <si>
    <t xml:space="preserve">2C581, 2D817, 2D818, 2D81B, B82A</t>
  </si>
  <si>
    <t xml:space="preserve">Zona10_PB11_Rede_TR033</t>
  </si>
  <si>
    <t xml:space="preserve">TRECHO DE Zona10_PB11_Rede_NÓ2.10 A Zona10_PB11_Rede_NÓ1.21</t>
  </si>
  <si>
    <t xml:space="preserve">Zona10_PB11_Rede_NÓ1.21</t>
  </si>
  <si>
    <t xml:space="preserve">B1AF</t>
  </si>
  <si>
    <t xml:space="preserve">Zona10_PB11_Rede_TR034</t>
  </si>
  <si>
    <t xml:space="preserve">TRECHO DE Zona10_PB11_Rede_NÓ1.12 A Zona10_PB11_Rede_NÓ1.16</t>
  </si>
  <si>
    <t xml:space="preserve">Zona10_PB11_Rede_NÓ1.16</t>
  </si>
  <si>
    <t xml:space="preserve">AFDB</t>
  </si>
  <si>
    <t xml:space="preserve">Zona10_PB11_Rede_TR035</t>
  </si>
  <si>
    <t xml:space="preserve">TRECHO DE Zona10_PB11_CH_VM-10.2 A DIVISA DE ZONA; TRECHO DIVIDIDO NA DIVISA DE ZONA (TRECHO ORIGINAL ENTRE PONTOS DA REDE: 540,44 M)</t>
  </si>
  <si>
    <t xml:space="preserve">6CC5D, AE0A</t>
  </si>
  <si>
    <t xml:space="preserve">Zona10_PB11_Rede_TR036</t>
  </si>
  <si>
    <t xml:space="preserve">TRECHO DE Zona10_PB11_Rede_NÓ1.23 A Zona10_PB11_Rede_NÓ1.25</t>
  </si>
  <si>
    <t xml:space="preserve">Zona10_PB11_Rede_NÓ1.23</t>
  </si>
  <si>
    <t xml:space="preserve">Zona10_PB11_Rede_TR037</t>
  </si>
  <si>
    <t xml:space="preserve">TRECHO DE Zona10_PB11_Rede_NÓ1.16 A Zona10_PB11_Rede_NÓ1.17</t>
  </si>
  <si>
    <t xml:space="preserve">Zona10_PB11_Rede_TR038</t>
  </si>
  <si>
    <t xml:space="preserve">TRECHO DE Zona10_PB11_Rede_NÓ1.10 A Zona10_PB11_Rede_NÓ56.3; INCLUI 0,42 M DE TUBO DESENHADO NO PRÓPRIO NÓ (NÓ56.3: anel de ponta/toco)</t>
  </si>
  <si>
    <t xml:space="preserve">Zona10_PB11_Rede_NÓ56.3</t>
  </si>
  <si>
    <t xml:space="preserve">B1A9</t>
  </si>
  <si>
    <t xml:space="preserve">Zona10_PB11_Rede_TR039</t>
  </si>
  <si>
    <t xml:space="preserve">TRECHO DE PONTA SEM NÓ NA TABELA A Zona10_PB11_Rede_DF-17</t>
  </si>
  <si>
    <t xml:space="preserve">Zona10_PB11_Rede_DF-17</t>
  </si>
  <si>
    <t xml:space="preserve">43B24</t>
  </si>
  <si>
    <t xml:space="preserve">Zona10_PB11_Rede_TR040</t>
  </si>
  <si>
    <t xml:space="preserve">TRECHO DE Zona10_PB11_Rede_NÓ1.17 A Zona10_PB11_Rede_NÓ1.19</t>
  </si>
  <si>
    <t xml:space="preserve">Zona10_PB11_Rede_NÓ1.19</t>
  </si>
  <si>
    <t xml:space="preserve">Zona10_PB11_Rede_TR041</t>
  </si>
  <si>
    <t xml:space="preserve">TRECHO DE Zona10_PB11_Rede_NÓ1.27 A Zona10_PB11_Rede_NÓ1.25</t>
  </si>
  <si>
    <t xml:space="preserve">Zona10_PB11_Rede_NÓ1.27</t>
  </si>
  <si>
    <t xml:space="preserve">B191</t>
  </si>
  <si>
    <t xml:space="preserve">Zona10_PB11_Rede_TR042</t>
  </si>
  <si>
    <t xml:space="preserve">TRECHO DE Zona10_PB11_Rede_NÓ75.1 A Zona10_PB11_Rede_NÓ56.1; INCLUI 0,10 M DE TUBO DESENHADO NO PRÓPRIO NÓ (NÓ56.1: anel de ponta/toco)</t>
  </si>
  <si>
    <t xml:space="preserve">B06E</t>
  </si>
  <si>
    <t xml:space="preserve">Zona10_PB11_Rede_TR043</t>
  </si>
  <si>
    <t xml:space="preserve">TRECHO DE Zona10_PB11_Rede_NÓ56.4 A Zona10_PB11_Rede_NÓ1.16; INCLUI 0,45 M DE TUBO DESENHADO NO PRÓPRIO NÓ (NÓ56.4: anel de ponta/toco)</t>
  </si>
  <si>
    <t xml:space="preserve">Zona10_PB11_Rede_NÓ56.4</t>
  </si>
  <si>
    <t xml:space="preserve">2D80D, B1D6</t>
  </si>
  <si>
    <t xml:space="preserve">Zona10_PB11_Rede_TR044</t>
  </si>
  <si>
    <t xml:space="preserve">TRECHO DE Zona10_PB11_Rede_NÓ1.19 A Zona10_PB11_Rede_NÓ1.21</t>
  </si>
  <si>
    <t xml:space="preserve">B1D9</t>
  </si>
  <si>
    <t xml:space="preserve">Zona10_PB11_Rede_TR045</t>
  </si>
  <si>
    <t xml:space="preserve">TRECHO DE Zona10_PB11_Rede_NÓ1.22 A Zona10_PB11_Rede_NÓ1.23</t>
  </si>
  <si>
    <t xml:space="preserve">Zona10_PB11_Rede_NÓ1.22</t>
  </si>
  <si>
    <t xml:space="preserve">B01D</t>
  </si>
  <si>
    <t xml:space="preserve">Zona10_PB11_Rede_TR046</t>
  </si>
  <si>
    <t xml:space="preserve">TRECHO DE Zona10_PB11_Rede_NÓ1.21 A Zona10_PB11_Rede_NÓ1.22</t>
  </si>
  <si>
    <t xml:space="preserve">ADDA</t>
  </si>
  <si>
    <t xml:space="preserve">Zona10_PB11_Rede_TR047</t>
  </si>
  <si>
    <t xml:space="preserve">TRECHO DE Zona10_PB11_Rede_NÓ56.1 A Zona10_PB11_Rede_NÓ60.1</t>
  </si>
  <si>
    <t xml:space="preserve">6CC5B</t>
  </si>
  <si>
    <t xml:space="preserve">Zona10_PB11_Rede_TR048</t>
  </si>
  <si>
    <t xml:space="preserve">TRECHO DE Zona10_PB11_Rede_NÓ1.27 A PONTA SEM NÓ NA TABELA</t>
  </si>
  <si>
    <t xml:space="preserve">B272</t>
  </si>
  <si>
    <t xml:space="preserve">Zona10_PB11_Rede_TR049</t>
  </si>
  <si>
    <t xml:space="preserve">TRECHO DE Zona10_PB11_Rede_NÓ60.1 A Zona10_PB11_Rede_NÓ56.2</t>
  </si>
  <si>
    <t xml:space="preserve">B071</t>
  </si>
  <si>
    <t xml:space="preserve">Zona10_PB11_Rede_TR050</t>
  </si>
  <si>
    <t xml:space="preserve">TRECHO DE Zona10_PB11_Rede_NÓ56.2 A Zona10_PB11_Rede_NÓ56.3; INCLUI 0,39 M DE TUBO DESENHADO NO PRÓPRIO NÓ (NÓ56.2, NÓ56.3: anel de ponta/toco)</t>
  </si>
  <si>
    <t xml:space="preserve">AE07</t>
  </si>
  <si>
    <t xml:space="preserve">Zona10_PB11_Rede_TR051</t>
  </si>
  <si>
    <t xml:space="preserve">TRECHO DE Zona10_PB11_Rede_NÓ56.3 A Zona10_PB11_Rede_NÓ56.4; INCLUI 0,09 M DE TUBO DESENHADO NO PRÓPRIO NÓ (NÓ56.4: anel de ponta/toco)</t>
  </si>
  <si>
    <t xml:space="preserve">AE04</t>
  </si>
  <si>
    <t xml:space="preserve">Zona10_PB11_Rede_TR052</t>
  </si>
  <si>
    <t xml:space="preserve">Zona10_PB11_Rede_TR053</t>
  </si>
  <si>
    <t xml:space="preserve">TRECHO DE Zona10_PB11_Rede_NÓ1.19 A Zona10_PB11_Rede_NÓ56.5; INCLUI 0,60 M DE TUBO DESENHADO NO PRÓPRIO NÓ (NÓ1.19, NÓ56.5: anel de ponta/toco)</t>
  </si>
  <si>
    <t xml:space="preserve">Zona10_PB11_Rede_NÓ56.5</t>
  </si>
  <si>
    <t xml:space="preserve">B1B8</t>
  </si>
  <si>
    <t xml:space="preserve">Zona10_PB11_Rede_TR054</t>
  </si>
  <si>
    <t xml:space="preserve">Zona10_PB11_Rede_TR055</t>
  </si>
  <si>
    <t xml:space="preserve">TRECHO DE Zona10_PB11_Rede_NÓ1.24 A Zona10_PB11_Rede_NÓ1.23</t>
  </si>
  <si>
    <t xml:space="preserve">Zona10_PB11_Rede_NÓ1.24</t>
  </si>
  <si>
    <t xml:space="preserve">B371</t>
  </si>
  <si>
    <t xml:space="preserve">Zona10_PB11_Rede_TR056</t>
  </si>
  <si>
    <t xml:space="preserve">TRECHO DE Zona10_PB11_Rede_NÓ56.4 A Zona10_PB11_Rede_NÓ56.5</t>
  </si>
  <si>
    <t xml:space="preserve">AE01</t>
  </si>
  <si>
    <t xml:space="preserve">Zona10_PB11_Rede_TR057</t>
  </si>
  <si>
    <t xml:space="preserve">TRECHO DE Zona10_PB11_Rede_NÓ56.6 A Zona10_PB11_Rede_NÓ1.22; INCLUI 0,47 M DE TUBO DESENHADO NO PRÓPRIO NÓ (NÓ56.6: anel de ponta/toco)</t>
  </si>
  <si>
    <t xml:space="preserve">B1DF</t>
  </si>
  <si>
    <t xml:space="preserve">Zona10_PB11_Rede_TR058</t>
  </si>
  <si>
    <t xml:space="preserve">TRECHO DE DIVISA DE ZONA A DIVISA DE ZONA; TRECHO DIVIDIDO NA DIVISA DE ZONA (TRECHO ORIGINAL ENTRE PONTOS DA REDE: 534,48 M)</t>
  </si>
  <si>
    <t xml:space="preserve">Zona10_PB11_Rede_TR059</t>
  </si>
  <si>
    <t xml:space="preserve">TRECHO DE Zona10_PB11_Rede_NÓ56.5 A Zona10_PB11_Rede_NÓ56.6</t>
  </si>
  <si>
    <t xml:space="preserve">B2C6</t>
  </si>
  <si>
    <t xml:space="preserve">Zona10_PB11_Rede_TR060</t>
  </si>
  <si>
    <t xml:space="preserve">TRECHO DE Zona10_PB14_Rede_NÓ1.10 A Zona10_PB11_Rede_NÓ1.27; INCLUI 0,45 M DE TUBO DESENHADO NO PRÓPRIO NÓ (NÓ1.27: anel de ponta/toco)</t>
  </si>
  <si>
    <t xml:space="preserve">Zona10_PB14_Rede_NÓ1.10</t>
  </si>
  <si>
    <t xml:space="preserve">B365</t>
  </si>
  <si>
    <t xml:space="preserve">Zona10_PB11_Rede_TR061</t>
  </si>
  <si>
    <t xml:space="preserve">TRECHO DE Zona10_PB14_Rede_NÓ1.14 A Zona10_PB11_Rede_NÓ1.24; INCLUI 0,17 M DE TUBO DESENHADO NO PRÓPRIO NÓ (NÓ1.14: anel de ponta/toco)</t>
  </si>
  <si>
    <t xml:space="preserve">Zona10_PB14_Rede_NÓ1.14</t>
  </si>
  <si>
    <t xml:space="preserve">B1AC</t>
  </si>
  <si>
    <t xml:space="preserve">Zona10_PB14_Adutora_TR001</t>
  </si>
  <si>
    <t xml:space="preserve">TRECHO DE Zona09_PB14_Adutora_NÓ50.1 A Zona10_PB14_Adutora_NÓ98.1</t>
  </si>
  <si>
    <t xml:space="preserve">Zona10_PB14_Adutora_NÓ98.1</t>
  </si>
  <si>
    <t xml:space="preserve">6CCB7</t>
  </si>
  <si>
    <t xml:space="preserve">Zona10_PB14_Adutora_TR002</t>
  </si>
  <si>
    <t xml:space="preserve">TRECHO DE Zona10_PB14_Adutora_NÓ98.1 A DIVISA DE ZONA; TRECHO DIVIDIDO NA DIVISA DE ZONA (TRECHO ORIGINAL ENTRE PONTOS DA REDE: 145,82 M)</t>
  </si>
  <si>
    <t xml:space="preserve">6DC69</t>
  </si>
  <si>
    <t xml:space="preserve">Zona10_PB14_Rede_NÓ98.1</t>
  </si>
  <si>
    <t xml:space="preserve">Zona10_PB14_Rede_TR001</t>
  </si>
  <si>
    <t xml:space="preserve">Zona10_PB14_Rede_TR002</t>
  </si>
  <si>
    <t xml:space="preserve">TRECHO DE Zona10_PB11_Rede_NÓ56.6 A Zona10_PB14_Rede_NÓ56.3</t>
  </si>
  <si>
    <t xml:space="preserve">B3DD</t>
  </si>
  <si>
    <t xml:space="preserve">Zona10_PB14_Rede_TR003</t>
  </si>
  <si>
    <t xml:space="preserve">TRECHO DE Zona10_PB11_Rede_NÓ1.24 A Zona10_PB14_Rede_NÓ2.2</t>
  </si>
  <si>
    <t xml:space="preserve">Zona10_PB14_Rede_NÓ2.2</t>
  </si>
  <si>
    <t xml:space="preserve">B374, B37A</t>
  </si>
  <si>
    <t xml:space="preserve">Zona10_PB14_Rede_TR004</t>
  </si>
  <si>
    <t xml:space="preserve">TRECHO DE Zona10_PB14_Rede_NÓ2.2 A Zona10_PB14_Rede_NÓ1.14</t>
  </si>
  <si>
    <t xml:space="preserve">B37A</t>
  </si>
  <si>
    <t xml:space="preserve">Zona10_PB14_Rede_TR005</t>
  </si>
  <si>
    <t xml:space="preserve">TRECHO DE Zona10_PB14_Rede_NÓ56.3 A Zona10_PB14_Rede_NÓ1.14; INCLUI 0,53 M DE TUBO DESENHADO NO PRÓPRIO NÓ (NÓ56.3: anel de ponta/toco)</t>
  </si>
  <si>
    <t xml:space="preserve">ACC0</t>
  </si>
  <si>
    <t xml:space="preserve">Zona10_PB14_Rede_TR006</t>
  </si>
  <si>
    <t xml:space="preserve">TRECHO DE Zona10_PB14_Rede_NÓ1.10 A Zona10_PB14_Rede_NÓ1.7</t>
  </si>
  <si>
    <t xml:space="preserve">Zona10_PB14_Rede_NÓ1.7</t>
  </si>
  <si>
    <t xml:space="preserve">AFE1</t>
  </si>
  <si>
    <t xml:space="preserve">Zona10_PB14_Rede_TR007</t>
  </si>
  <si>
    <t xml:space="preserve">TRECHO DE Zona10_PB14_Rede_NÓ56.5 A Zona10_PB14_Rede_NÓ56.3; INCLUI 0,12 M DE TUBO DESENHADO NO PRÓPRIO NÓ (NÓ56.3: anel de ponta/toco)</t>
  </si>
  <si>
    <t xml:space="preserve">Zona10_PB14_Rede_NÓ56.5</t>
  </si>
  <si>
    <t xml:space="preserve">B36B</t>
  </si>
  <si>
    <t xml:space="preserve">Zona10_PB14_Rede_TR008</t>
  </si>
  <si>
    <t xml:space="preserve">TRECHO DE Zona10_PB14_Rede_NÓ1.7 A Zona10_PB14_Rede_NÓ56.5; INCLUI 0,51 M DE TUBO DESENHADO NO PRÓPRIO NÓ (NÓ56.5: anel de ponta/toco)</t>
  </si>
  <si>
    <t xml:space="preserve">A588, A594, ADC2</t>
  </si>
  <si>
    <t xml:space="preserve">Zona10_PB14_Rede_TR009</t>
  </si>
  <si>
    <t xml:space="preserve">TRECHO DE Zona10_PB14_Rede_NÓ1.11 A Zona10_PB14_Rede_NÓ1.10</t>
  </si>
  <si>
    <t xml:space="preserve">Zona10_PB14_Rede_NÓ1.11</t>
  </si>
  <si>
    <t xml:space="preserve">AFC9</t>
  </si>
  <si>
    <t xml:space="preserve">Zona10_PB14_Rede_TR010</t>
  </si>
  <si>
    <t xml:space="preserve">TRECHO DE Zona10_PB14_Rede_NÓ1.7 A Zona10_PB14_Rede_NÓ1.8</t>
  </si>
  <si>
    <t xml:space="preserve">Zona10_PB14_Rede_NÓ1.8</t>
  </si>
  <si>
    <t xml:space="preserve">ADB0</t>
  </si>
  <si>
    <t xml:space="preserve">Zona10_PB14_Rede_TR011</t>
  </si>
  <si>
    <t xml:space="preserve">TRECHO DE Zona10_PB14_Rede_NÓ56.5 A Zona10_PB14_Rede_NÓ56.6</t>
  </si>
  <si>
    <t xml:space="preserve">Zona10_PB14_Rede_NÓ56.6</t>
  </si>
  <si>
    <t xml:space="preserve">A585, A58B, B3E0</t>
  </si>
  <si>
    <t xml:space="preserve">Zona10_PB14_Rede_TR012</t>
  </si>
  <si>
    <t xml:space="preserve">TRECHO DE Zona10_PB14_Rede_NÓ1.8 A Zona10_PB14_Rede_NÓ1.9</t>
  </si>
  <si>
    <t xml:space="preserve">Zona10_PB14_Rede_NÓ1.9</t>
  </si>
  <si>
    <t xml:space="preserve">AD44</t>
  </si>
  <si>
    <t xml:space="preserve">Zona10_PB14_Rede_TR013</t>
  </si>
  <si>
    <t xml:space="preserve">TRECHO DE Zona10_PB14_Rede_NÓ1.9 A Zona10_PB14_Rede_NÓ1.11</t>
  </si>
  <si>
    <t xml:space="preserve">2C7C2</t>
  </si>
  <si>
    <t xml:space="preserve">Zona10_PB14_Rede_TR014</t>
  </si>
  <si>
    <t xml:space="preserve">TRECHO DE Zona10_PB14_Rede_NÓ56.6 A Zona10_PB14_Rede_NÓ1.8; INCLUI 0,51 M DE TUBO DESENHADO NO PRÓPRIO NÓ (NÓ56.6: anel de ponta/toco)</t>
  </si>
  <si>
    <t xml:space="preserve">B368</t>
  </si>
  <si>
    <t xml:space="preserve">Zona10_PB14_Rede_TR015</t>
  </si>
  <si>
    <t xml:space="preserve">TRECHO DE DIVISA DE ZONA A Zona10_PB14_Rede_NÓ9.2; TRECHO DIVIDIDO NA DIVISA DE ZONA (TRECHO ORIGINAL ENTRE PONTOS DA REDE: 540,44 M)</t>
  </si>
  <si>
    <t xml:space="preserve">Zona10_PB14_Rede_NÓ9.2</t>
  </si>
  <si>
    <t xml:space="preserve">Zona10_PB14_Rede_TR016</t>
  </si>
  <si>
    <t xml:space="preserve">TRECHO DE Zona10_PB14_Rede_NÓ1.6 A Zona10_PB14_Rede_NÓ1.9; INCLUI 0,64 M DE TUBO DESENHADO NO PRÓPRIO NÓ (NÓ1.9: anel de ponta/toco)</t>
  </si>
  <si>
    <t xml:space="preserve">Zona10_PB14_Rede_NÓ1.6</t>
  </si>
  <si>
    <t xml:space="preserve">B3E6</t>
  </si>
  <si>
    <t xml:space="preserve">Zona10_PB14_Rede_TR017</t>
  </si>
  <si>
    <t xml:space="preserve">TRECHO DE Zona10_PB14_Rede_NÓ56.4 A Zona10_PB14_Rede_NÓ56.6; INCLUI 0,80 M DE TUBO DESENHADO NO PRÓPRIO NÓ (NÓ56.4: anel de ponta/toco)</t>
  </si>
  <si>
    <t xml:space="preserve">Zona10_PB14_Rede_NÓ56.4</t>
  </si>
  <si>
    <t xml:space="preserve">B40D</t>
  </si>
  <si>
    <t xml:space="preserve">Zona10_PB14_Rede_TR018</t>
  </si>
  <si>
    <t xml:space="preserve">TRECHO DE Zona10_PB14_Rede_NÓ56.4 A Zona10_PB14_Rede_NÓ1.6</t>
  </si>
  <si>
    <t xml:space="preserve">B194</t>
  </si>
  <si>
    <t xml:space="preserve">Zona10_PB14_Rede_TR019</t>
  </si>
  <si>
    <t xml:space="preserve">TRECHO DE Zona10_PB14_Rede_NÓ56.4 A Zona10_PB14_CH_MV-10</t>
  </si>
  <si>
    <t xml:space="preserve">Zona10_PB14_CH_MV-10</t>
  </si>
  <si>
    <t xml:space="preserve">BA07</t>
  </si>
  <si>
    <t xml:space="preserve">Zona10_PB14_Rede_TR020</t>
  </si>
  <si>
    <t xml:space="preserve">TRECHO DE Zona10_PB14_CH_MV-10 A Zona10_PB14_CH_VM-10.1</t>
  </si>
  <si>
    <t xml:space="preserve">Zona10_PB14_CH_VM-10.1</t>
  </si>
  <si>
    <t xml:space="preserve">Zona10_PB14_Rede_TR021</t>
  </si>
  <si>
    <t xml:space="preserve">TRECHO DE Zona10_PB14_Rede_NÓ1.6 A Zona10_PB14_Rede_NÓ54.5; INCLUI 3,99 M DE TUBO DESENHADO NO PRÓPRIO NÓ (NÓ54.5: anel de ponta/toco)</t>
  </si>
  <si>
    <t xml:space="preserve">Zona10_PB14_Rede_NÓ54.5</t>
  </si>
  <si>
    <t xml:space="preserve">BB1E</t>
  </si>
  <si>
    <t xml:space="preserve">Zona10_PB14_Rede_TR022</t>
  </si>
  <si>
    <t xml:space="preserve">TRECHO DE Zona10_PB14_CH_VM-10.1 A Zona10_PB14_Rede_NÓ8.1</t>
  </si>
  <si>
    <t xml:space="preserve">Zona10_PB14_Rede_NÓ8.1</t>
  </si>
  <si>
    <t xml:space="preserve">Zona10_PB14_Rede_TR023</t>
  </si>
  <si>
    <t xml:space="preserve">TRECHO DE Zona10_PB14_Rede_NÓ9.2 A Zona10_PB14_Rede_NÓ8.1</t>
  </si>
  <si>
    <t xml:space="preserve">Zona10_PB14_Rede_TR024</t>
  </si>
  <si>
    <t xml:space="preserve">TRECHO DE Zona10_PB14_Rede_NÓ8.1 A Zona10_PB14_Rede_NÓ98.1</t>
  </si>
  <si>
    <t xml:space="preserve">Zona11_PB17_Adutora_TR001</t>
  </si>
  <si>
    <t xml:space="preserve">TRECHO DE DIVISA DE ZONA A Zona11_PB17_Adutora_NÓ51.1; INCLUI 0,10 M DE TUBO DESENHADO NO PRÓPRIO NÓ (NÓ51.1: anel de ponta/toco); TRECHO DIVIDIDO NA DIVISA DE ZONA (TRECHO ORIGINAL ENTRE PONTOS DA REDE: 571,48 M)</t>
  </si>
  <si>
    <t xml:space="preserve">Zona11_PB17_Adutora_NÓ51.1</t>
  </si>
  <si>
    <t xml:space="preserve">2FEF7</t>
  </si>
  <si>
    <t xml:space="preserve">Zona11_PB17_Adutora_TR002</t>
  </si>
  <si>
    <t xml:space="preserve">TRECHO DE DIVISA DE ZONA A Zona11_PB17_Adutora_NÓ51.1; TRECHO DIVIDIDO NA DIVISA DE ZONA (TRECHO ORIGINAL ENTRE PONTOS DA REDE: 608,92 M)</t>
  </si>
  <si>
    <t xml:space="preserve">462DE</t>
  </si>
  <si>
    <t xml:space="preserve">Zona11_PB17_Adutora_TR003</t>
  </si>
  <si>
    <t xml:space="preserve">TRECHO DE Zona11_PB17_Adutora_NÓ39.1 A Zona11_PB17_Adutora_NÓ51.1</t>
  </si>
  <si>
    <t xml:space="preserve">Zona11_PB17_Adutora_NÓ39.1</t>
  </si>
  <si>
    <t xml:space="preserve">57B1D</t>
  </si>
  <si>
    <t xml:space="preserve">Zona11</t>
  </si>
  <si>
    <t xml:space="preserve">Zona11_PB17_Rede_TR001</t>
  </si>
  <si>
    <t xml:space="preserve">TRECHO DE Zona11_PB17_Rede_NÓ57.1 A Zona11_PB17_Rede_NÓ19.1</t>
  </si>
  <si>
    <t xml:space="preserve">EQUIPE ZONA 11</t>
  </si>
  <si>
    <t xml:space="preserve">Zona11_PB17_Rede_NÓ57.1</t>
  </si>
  <si>
    <t xml:space="preserve">Zona11_PB17_Rede_NÓ19.1</t>
  </si>
  <si>
    <t xml:space="preserve">BB3F</t>
  </si>
  <si>
    <t xml:space="preserve">Zona11_PB17_Rede_TR002</t>
  </si>
  <si>
    <t xml:space="preserve">TRECHO DE Zona11_PB17_Rede_NÓ1.4 A Zona11_PB18_Rede_NÓ1.2</t>
  </si>
  <si>
    <t xml:space="preserve">Zona11_PB17_Rede_NÓ1.4</t>
  </si>
  <si>
    <t xml:space="preserve">Zona11_PB18_Rede_NÓ1.2</t>
  </si>
  <si>
    <t xml:space="preserve">104E9, 104EA</t>
  </si>
  <si>
    <t xml:space="preserve">Zona11_PB17_Rede_TR003</t>
  </si>
  <si>
    <t xml:space="preserve">TRECHO DE Zona11_PB17_Rede_NÓ2.3 A Zona11_PB17_Rede_NÓ1.4</t>
  </si>
  <si>
    <t xml:space="preserve">Zona11_PB17_Rede_NÓ2.3</t>
  </si>
  <si>
    <t xml:space="preserve">104E5, 2CE83, 59646</t>
  </si>
  <si>
    <t xml:space="preserve">Zona11_PB17_Rede_TR004</t>
  </si>
  <si>
    <t xml:space="preserve">TRECHO DE Zona11_PB17_Rede_NÓ3.1 A Zona11_PB17_Rede_NÓ57.1</t>
  </si>
  <si>
    <t xml:space="preserve">Zona11_PB17_Rede_NÓ3.1</t>
  </si>
  <si>
    <t xml:space="preserve">5969D, 596C6, AAD7</t>
  </si>
  <si>
    <t xml:space="preserve">Zona11_PB18_Rede_TR001</t>
  </si>
  <si>
    <t xml:space="preserve">TRECHO DE Zona11_PB15_Rede_DF-05 A Zona11_PB18_Rede_NÓ1.18</t>
  </si>
  <si>
    <t xml:space="preserve">Zona11_PB15_Rede_DF-05</t>
  </si>
  <si>
    <t xml:space="preserve">Zona11_PB18_Rede_NÓ1.18</t>
  </si>
  <si>
    <t xml:space="preserve">3752E</t>
  </si>
  <si>
    <t xml:space="preserve">Zona11_PB18_Rede_TR002</t>
  </si>
  <si>
    <t xml:space="preserve">TRECHO DE Zona11_PB18_Rede_NÓ2.13 A Zona11_PB18_Rede_NÓ54.16; INCLUI 5,53 M DE TUBO DESENHADO NO PRÓPRIO NÓ (NÓ2.13, NÓ54.16: anel de ponta/toco)</t>
  </si>
  <si>
    <t xml:space="preserve">Zona11_PB18_Rede_NÓ2.13</t>
  </si>
  <si>
    <t xml:space="preserve">Zona11_PB18_Rede_NÓ54.16</t>
  </si>
  <si>
    <t xml:space="preserve">B656</t>
  </si>
  <si>
    <t xml:space="preserve">Zona11_PB18_Rede_TR003</t>
  </si>
  <si>
    <t xml:space="preserve">TRECHO DE Zona11_PB18_Rede_NÓ2.12 A Zona11_PB18_Rede_NÓ1.18</t>
  </si>
  <si>
    <t xml:space="preserve">Zona11_PB18_Rede_NÓ2.12</t>
  </si>
  <si>
    <t xml:space="preserve">BAB2</t>
  </si>
  <si>
    <t xml:space="preserve">Zona11_PB18_Rede_TR004</t>
  </si>
  <si>
    <t xml:space="preserve">TRECHO DE Zona11_PB18_Rede_NÓ1.14 A Zona11_PB18_Rede_NÓ54.14; INCLUI 3,99 M DE TUBO DESENHADO NO PRÓPRIO NÓ (NÓ54.14: anel de ponta/toco)</t>
  </si>
  <si>
    <t xml:space="preserve">Zona11_PB18_Rede_NÓ1.14</t>
  </si>
  <si>
    <t xml:space="preserve">Zona11_PB18_Rede_NÓ54.14</t>
  </si>
  <si>
    <t xml:space="preserve">2C337, 2C419, AF84, BB54</t>
  </si>
  <si>
    <t xml:space="preserve">Zona11_PB18_Rede_TR005</t>
  </si>
  <si>
    <t xml:space="preserve">TRECHO DE Zona11_PB18_Rede_NÓ1.19 A Zona11_PB18_Rede_NÓ2.12</t>
  </si>
  <si>
    <t xml:space="preserve">Zona11_PB18_Rede_NÓ1.19</t>
  </si>
  <si>
    <t xml:space="preserve">Zona11_PB18_Rede_TR006</t>
  </si>
  <si>
    <t xml:space="preserve">TRECHO DE Zona11_PB18_Rede_DF-04 A Zona11_PB18_Rede_NÓ2.11</t>
  </si>
  <si>
    <t xml:space="preserve">Zona11_PB18_Rede_DF-04</t>
  </si>
  <si>
    <t xml:space="preserve">Zona11_PB18_Rede_NÓ2.11</t>
  </si>
  <si>
    <t xml:space="preserve">2C418, 2CD38, 3753A</t>
  </si>
  <si>
    <t xml:space="preserve">Zona11_PB18_Rede_TR007</t>
  </si>
  <si>
    <t xml:space="preserve">TRECHO DE Zona11_PB18_Rede_NÓ1.18 A Zona11_PB18_Rede_NÓ1.14</t>
  </si>
  <si>
    <t xml:space="preserve">AF84</t>
  </si>
  <si>
    <t xml:space="preserve">Zona11_PB18_Rede_TR008</t>
  </si>
  <si>
    <t xml:space="preserve">TRECHO DE Zona11_PB18_Rede_NÓ2.13 A Zona11_PB18_Rede_NÓ1.19</t>
  </si>
  <si>
    <t xml:space="preserve">2C98A, 2C98B, 2C98C</t>
  </si>
  <si>
    <t xml:space="preserve">Zona11_PB18_Rede_TR009</t>
  </si>
  <si>
    <t xml:space="preserve">TRECHO DE Zona11_PB18_Rede_NÓ1.15 A Zona11_PB18_Rede_NÓ1.14</t>
  </si>
  <si>
    <t xml:space="preserve">Zona11_PB18_Rede_NÓ1.15</t>
  </si>
  <si>
    <t xml:space="preserve">2C98D</t>
  </si>
  <si>
    <t xml:space="preserve">Zona11_PB18_Rede_TR010</t>
  </si>
  <si>
    <t xml:space="preserve">TRECHO DE Zona11_PB18_Rede_NÓ1.13 A Zona11_PB18_Rede_NÓ1.15</t>
  </si>
  <si>
    <t xml:space="preserve">Zona11_PB18_Rede_NÓ1.13</t>
  </si>
  <si>
    <t xml:space="preserve">2C98E, A540, AD71</t>
  </si>
  <si>
    <t xml:space="preserve">Zona11_PB18_Rede_TR011</t>
  </si>
  <si>
    <t xml:space="preserve">CHÁCARA 22</t>
  </si>
  <si>
    <t xml:space="preserve">TRECHO DE Zona11_PB18_Rede_NÓ1.20 A Zona11_PB18_Rede_NÓ1.19; INCLUI 0,36 M DE TUBO DESENHADO NO PRÓPRIO NÓ (NÓ1.19: anel de ponta/toco)</t>
  </si>
  <si>
    <t xml:space="preserve">Zona11_PB18_Rede_NÓ1.20</t>
  </si>
  <si>
    <t xml:space="preserve">BAAF</t>
  </si>
  <si>
    <t xml:space="preserve">Zona11_PB18_Rede_TR012</t>
  </si>
  <si>
    <t xml:space="preserve">TRECHO DE Zona11_PB18_Rede_NÓ2.11 A Zona11_PB18_Rede_NÓ1.13</t>
  </si>
  <si>
    <t xml:space="preserve">2CD38</t>
  </si>
  <si>
    <t xml:space="preserve">Zona11_PB18_Rede_TR013</t>
  </si>
  <si>
    <t xml:space="preserve">TRECHO DE Zona11_PB18_Rede_NÓ1.16 A Zona11_PB18_Rede_NÓ1.15; INCLUI 0,14 M DE TUBO DESENHADO NO PRÓPRIO NÓ (NÓ1.15: anel de ponta/toco)</t>
  </si>
  <si>
    <t xml:space="preserve">Zona11_PB18_Rede_NÓ1.16</t>
  </si>
  <si>
    <t xml:space="preserve">2C98D, AD68</t>
  </si>
  <si>
    <t xml:space="preserve">Zona11_PB18_Rede_TR014</t>
  </si>
  <si>
    <t xml:space="preserve">TRECHO DE PONTA SEM NÓ NA TABELA A Zona11_PB18_Rede_NÓ54.11; INCLUI 4,01 M DE TUBO DESENHADO NO PRÓPRIO NÓ (NÓ54.11: anel de ponta/toco)</t>
  </si>
  <si>
    <t xml:space="preserve">Zona11_PB18_Rede_NÓ54.11</t>
  </si>
  <si>
    <t xml:space="preserve">2C394, 2CD39, BB4E</t>
  </si>
  <si>
    <t xml:space="preserve">Zona11_PB18_Rede_TR015</t>
  </si>
  <si>
    <t xml:space="preserve">TRECHO DE Zona11_PB18_Rede_NÓ1.20 A Zona11_PB18_Rede_NÓ106.1</t>
  </si>
  <si>
    <t xml:space="preserve">Zona11_PB18_Rede_NÓ106.1</t>
  </si>
  <si>
    <t xml:space="preserve">A53A</t>
  </si>
  <si>
    <t xml:space="preserve">Zona11_PB18_Rede_TR016</t>
  </si>
  <si>
    <t xml:space="preserve">TRECHO DE Zona11_PB18_Rede_NÓ1.16 A Zona11_PB18_Rede_NÓ1.20</t>
  </si>
  <si>
    <t xml:space="preserve">A6A8</t>
  </si>
  <si>
    <t xml:space="preserve">Zona11_PB18_Rede_TR017</t>
  </si>
  <si>
    <t xml:space="preserve">TRECHO DE Zona11_PB18_Rede_NÓ1.17 A Zona11_PB18_Rede_NÓ106.1</t>
  </si>
  <si>
    <t xml:space="preserve">Zona11_PB18_Rede_NÓ1.17</t>
  </si>
  <si>
    <t xml:space="preserve">B2B4</t>
  </si>
  <si>
    <t xml:space="preserve">Zona11_PB18_Rede_TR018</t>
  </si>
  <si>
    <t xml:space="preserve">TRECHO DE Zona11_PB18_Rede_NÓ1.17 A Zona11_PB18_Rede_NÓ1.16</t>
  </si>
  <si>
    <t xml:space="preserve">A53D</t>
  </si>
  <si>
    <t xml:space="preserve">Zona11_PB18_Rede_TR019</t>
  </si>
  <si>
    <t xml:space="preserve">TRECHO DE Zona11_PB18_Rede_NÓ2.10 A Zona11_PB18_Rede_NÓ2.8</t>
  </si>
  <si>
    <t xml:space="preserve">Zona11_PB18_Rede_NÓ2.10</t>
  </si>
  <si>
    <t xml:space="preserve">Zona11_PB18_Rede_NÓ2.8</t>
  </si>
  <si>
    <t xml:space="preserve">A6D5</t>
  </si>
  <si>
    <t xml:space="preserve">Zona11_PB18_Rede_TR020</t>
  </si>
  <si>
    <t xml:space="preserve">TRECHO DE Zona11_PB18_Rede_NÓ1.13 A Zona11_PB23_Rede_NÓ1.12</t>
  </si>
  <si>
    <t xml:space="preserve">Zona11_PB23_Rede_NÓ1.12</t>
  </si>
  <si>
    <t xml:space="preserve">AF42, B623, B626</t>
  </si>
  <si>
    <t xml:space="preserve">Zona11_PB18_Rede_TR021</t>
  </si>
  <si>
    <t xml:space="preserve">TRECHO DE Zona11_PB18_Rede_NÓ106.1 A Zona11_PB18_Rede_NÓ57.3; INCLUI 1,35 M DE TUBO DESENHADO NO PRÓPRIO NÓ (NÓ57.3: anel de ponta/toco)</t>
  </si>
  <si>
    <t xml:space="preserve">Zona11_PB18_Rede_NÓ57.3</t>
  </si>
  <si>
    <t xml:space="preserve">AF30</t>
  </si>
  <si>
    <t xml:space="preserve">Zona11_PB18_Rede_TR022</t>
  </si>
  <si>
    <t xml:space="preserve">TRECHO DE Zona11_PB18_Rede_NÓ54.15 A Zona11_PB18_Rede_NÓ1.17; INCLUI 4,14 M DE TUBO DESENHADO NO PRÓPRIO NÓ (NÓ1.17, NÓ54.15: anel de ponta/toco)</t>
  </si>
  <si>
    <t xml:space="preserve">Zona11_PB18_Rede_NÓ54.15</t>
  </si>
  <si>
    <t xml:space="preserve">Zona11_PB18_Rede_TR023</t>
  </si>
  <si>
    <t xml:space="preserve">TRECHO DE Zona11_PB18_Rede_NÓ1.5 A Zona11_PB18_Rede_NÓ2.3</t>
  </si>
  <si>
    <t xml:space="preserve">Zona11_PB18_Rede_NÓ1.5</t>
  </si>
  <si>
    <t xml:space="preserve">Zona11_PB18_Rede_NÓ2.3</t>
  </si>
  <si>
    <t xml:space="preserve">2CDB4, 596A0</t>
  </si>
  <si>
    <t xml:space="preserve">Zona11_PB18_Rede_TR024</t>
  </si>
  <si>
    <t xml:space="preserve">TRECHO DE Zona11_PB18_Rede_NÓ1.3 A Zona11_PB18_Rede_NÓ2.3</t>
  </si>
  <si>
    <t xml:space="preserve">Zona11_PB18_Rede_NÓ1.3</t>
  </si>
  <si>
    <t xml:space="preserve">104E9, 2CDB4</t>
  </si>
  <si>
    <t xml:space="preserve">Zona11_PB18_Rede_TR025</t>
  </si>
  <si>
    <t xml:space="preserve">TRECHO DE Zona11_PB18_Rede_NÓ2.8 A Zona11_PB23_Rede_NÓ1.6</t>
  </si>
  <si>
    <t xml:space="preserve">Zona11_PB23_Rede_NÓ1.6</t>
  </si>
  <si>
    <t xml:space="preserve">B60B, B60E</t>
  </si>
  <si>
    <t xml:space="preserve">Zona11_PB18_Rede_TR026</t>
  </si>
  <si>
    <t xml:space="preserve">Q 11</t>
  </si>
  <si>
    <t xml:space="preserve">TRECHO DE Zona11_PB23_Rede_NÓ110.1 A Zona11_PB18_Rede_NÓ2.10</t>
  </si>
  <si>
    <t xml:space="preserve">Zona11_PB23_Rede_NÓ110.1</t>
  </si>
  <si>
    <t xml:space="preserve">B611, B614, BAEB</t>
  </si>
  <si>
    <t xml:space="preserve">Zona11_PB18_Rede_TR027</t>
  </si>
  <si>
    <t xml:space="preserve">TRECHO DE Zona11_PB23_Rede_NÓ1.7 A PONTA SEM NÓ NA TABELA; INCLUI 0,19 M DE TUBO DESENHADO NO PRÓPRIO NÓ (NÓ1.7: anel de ponta/toco)</t>
  </si>
  <si>
    <t xml:space="preserve">Zona11_PB23_Rede_NÓ1.7</t>
  </si>
  <si>
    <t xml:space="preserve">B61D</t>
  </si>
  <si>
    <t xml:space="preserve">Zona11_PB18_Rede_TR028</t>
  </si>
  <si>
    <t xml:space="preserve">TRECHO DE Zona11_PB18_Rede_NÓ1.3 A Zona11_PB17_Rede_NÓ19.1; INCLUI 0,41 M DE TUBO DESENHADO NO PRÓPRIO NÓ (NÓ19.1: anel de ponta/toco)</t>
  </si>
  <si>
    <t xml:space="preserve">2C8C9</t>
  </si>
  <si>
    <t xml:space="preserve">Zona11_PB18_Rede_TR029</t>
  </si>
  <si>
    <t xml:space="preserve">TRECHO DE Zona11_PB18_Rede_NÓ1.2 A Zona11_PB18_Rede_NÓ1.3</t>
  </si>
  <si>
    <t xml:space="preserve">104E9</t>
  </si>
  <si>
    <t xml:space="preserve">Zona11_PB18_Rede_TR030</t>
  </si>
  <si>
    <t xml:space="preserve">TRECHO DE Zona11_PB18_Rede_NÓ2.2 A Zona11_PB18_Rede_NÓ1.5</t>
  </si>
  <si>
    <t xml:space="preserve">Zona11_PB18_Rede_NÓ2.2</t>
  </si>
  <si>
    <t xml:space="preserve">2C73D, B12B</t>
  </si>
  <si>
    <t xml:space="preserve">Zona11_PB18_Rede_TR031</t>
  </si>
  <si>
    <t xml:space="preserve">TRECHO DE Zona11_PB18_Rede_NÓ54.8 A Zona11_PB23_Rede_NÓ1.5; INCLUI 3,63 M DE TUBO DESENHADO NO PRÓPRIO NÓ (NÓ54.8: anel de ponta/toco)</t>
  </si>
  <si>
    <t xml:space="preserve">Zona11_PB18_Rede_NÓ54.8</t>
  </si>
  <si>
    <t xml:space="preserve">Zona11_PB23_Rede_NÓ1.5</t>
  </si>
  <si>
    <t xml:space="preserve">43B75</t>
  </si>
  <si>
    <t xml:space="preserve">Zona11_PB18_Rede_TR032</t>
  </si>
  <si>
    <t xml:space="preserve">TRECHO DE Zona11_PB18_Rede_NÓ1.2 A Zona11_PB18_Rede_NÓ2.2</t>
  </si>
  <si>
    <t xml:space="preserve">B12B</t>
  </si>
  <si>
    <t xml:space="preserve">Zona11_PB18_Rede_TR033</t>
  </si>
  <si>
    <t xml:space="preserve">TRECHO DE Zona11_PB18_Rede_NÓ54.4 A Zona11_PB23_Rede_NÓ2.2; INCLUI 3,63 M DE TUBO DESENHADO NO PRÓPRIO NÓ (NÓ54.4: anel de ponta/toco)</t>
  </si>
  <si>
    <t xml:space="preserve">Zona11_PB18_Rede_NÓ54.4</t>
  </si>
  <si>
    <t xml:space="preserve">Zona11_PB23_Rede_NÓ2.2</t>
  </si>
  <si>
    <t xml:space="preserve">2CC16</t>
  </si>
  <si>
    <t xml:space="preserve">Zona11_PB18_Rede_TR034</t>
  </si>
  <si>
    <t xml:space="preserve">CHÁCARA 11</t>
  </si>
  <si>
    <t xml:space="preserve">TRECHO DE Zona11_PB23_Rede_NÓ1.12 A Zona11_PB18_Rede_NÓ57.3</t>
  </si>
  <si>
    <t xml:space="preserve">2C9D9, AF42</t>
  </si>
  <si>
    <t xml:space="preserve">Zona11_PB18_Rede_TR035</t>
  </si>
  <si>
    <t xml:space="preserve">TRECHO DE Zona11_PB23_Rede_NÓ1.4 A Zona11_PB18_Rede_NÓ1.5</t>
  </si>
  <si>
    <t xml:space="preserve">Zona11_PB23_Rede_NÓ1.4</t>
  </si>
  <si>
    <t xml:space="preserve">596A0</t>
  </si>
  <si>
    <t xml:space="preserve">Zona11_PB19_Rede_TR001</t>
  </si>
  <si>
    <t xml:space="preserve">TRECHO DE Zona11_PB19_Rede_NÓ54.7 A PONTA SEM NÓ NA TABELA; INCLUI 4,02 M DE TUBO DESENHADO NO PRÓPRIO NÓ (NÓ54.7: anel de ponta/toco)</t>
  </si>
  <si>
    <t xml:space="preserve">Zona11_PB19_Rede_NÓ54.7</t>
  </si>
  <si>
    <t xml:space="preserve">BB63</t>
  </si>
  <si>
    <t xml:space="preserve">Zona11_PB19_Rede_TR002</t>
  </si>
  <si>
    <t xml:space="preserve">TRECHO DE Zona11_PB19_Rede_DF-07 A Zona11_PB19_Rede_NÓ1.2; INCLUI 0,11 M DE TUBO DESENHADO NO PRÓPRIO NÓ (nó: anel de ponta/toco)</t>
  </si>
  <si>
    <t xml:space="preserve">Zona11_PB19_Rede_DF-07</t>
  </si>
  <si>
    <t xml:space="preserve">Zona11_PB19_Rede_NÓ1.2</t>
  </si>
  <si>
    <t xml:space="preserve">2C8C5, 37AE8</t>
  </si>
  <si>
    <t xml:space="preserve">Zona11_PB19_Rede_TR003</t>
  </si>
  <si>
    <t xml:space="preserve">Q 28</t>
  </si>
  <si>
    <t xml:space="preserve">TRECHO DE Zona11_PB19_Rede_NÓ1.4 A PONTA SEM NÓ NA TABELA</t>
  </si>
  <si>
    <t xml:space="preserve">Zona11_PB19_Rede_NÓ1.4</t>
  </si>
  <si>
    <t xml:space="preserve">2C57A, 2CD24, 2CDF2</t>
  </si>
  <si>
    <t xml:space="preserve">Zona11_PB19_Rede_TR004</t>
  </si>
  <si>
    <t xml:space="preserve">TRECHO DE Zona11_PB19_Rede_NÓ2.3 A Zona11_PB19_Rede_NÓ54.2; INCLUI 4,03 M DE TUBO DESENHADO NO PRÓPRIO NÓ (NÓ54.2: anel de ponta/toco)</t>
  </si>
  <si>
    <t xml:space="preserve">Zona11_PB19_Rede_NÓ2.3</t>
  </si>
  <si>
    <t xml:space="preserve">Zona11_PB19_Rede_NÓ54.2</t>
  </si>
  <si>
    <t xml:space="preserve">2CD1F</t>
  </si>
  <si>
    <t xml:space="preserve">Zona11_PB19_Rede_TR005</t>
  </si>
  <si>
    <t xml:space="preserve">TRECHO DE Zona11_PB19_Rede_NÓ1.4 A Zona11_PB19_Rede_NÓ1.2</t>
  </si>
  <si>
    <t xml:space="preserve">3F162, A6B4</t>
  </si>
  <si>
    <t xml:space="preserve">Zona11_PB19_Rede_TR006</t>
  </si>
  <si>
    <t xml:space="preserve">TRECHO DE Zona11_PB19_Rede_NÓ54.10 A Zona11_PB19_Rede_NÓ1.9; INCLUI 4,10 M DE TUBO DESENHADO NO PRÓPRIO NÓ (NÓ54.10: anel de ponta/toco)</t>
  </si>
  <si>
    <t xml:space="preserve">Zona11_PB19_Rede_NÓ54.10</t>
  </si>
  <si>
    <t xml:space="preserve">Zona11_PB19_Rede_NÓ1.9</t>
  </si>
  <si>
    <t xml:space="preserve">43BAE</t>
  </si>
  <si>
    <t xml:space="preserve">Zona11_PB19_Rede_TR007</t>
  </si>
  <si>
    <t xml:space="preserve">TRECHO DE Zona11_PB19_Rede_NÓ1.6 A Zona11_PB19_Rede_NÓ1.4</t>
  </si>
  <si>
    <t xml:space="preserve">Zona11_PB19_Rede_NÓ1.6</t>
  </si>
  <si>
    <t xml:space="preserve">104B3, 2CDF2</t>
  </si>
  <si>
    <t xml:space="preserve">Zona11_PB19_Rede_TR008</t>
  </si>
  <si>
    <t xml:space="preserve">TRECHO DE Zona11_PB19_Rede_NÓ1.6 A Zona11_PB19_Rede_NÓ1.9</t>
  </si>
  <si>
    <t xml:space="preserve">40047, A528, BA97</t>
  </si>
  <si>
    <t xml:space="preserve">Zona11_PB19_Rede_TR009</t>
  </si>
  <si>
    <t xml:space="preserve">TRECHO DE Zona11_PB19_Rede_NÓ2.4 A Zona11_PB19_Rede_NÓ2.3</t>
  </si>
  <si>
    <t xml:space="preserve">Zona11_PB19_Rede_NÓ2.4</t>
  </si>
  <si>
    <t xml:space="preserve">BA94</t>
  </si>
  <si>
    <t xml:space="preserve">Zona11_PB19_Rede_TR010</t>
  </si>
  <si>
    <t xml:space="preserve">TRECHO DE Zona11_PB19_Rede_NÓ1.2 A Zona11_PB19_Rede_NÓ1.3; INCLUI 0,58 M DE TUBO DESENHADO NO PRÓPRIO NÓ (NÓ1.2: anel de ponta/toco)</t>
  </si>
  <si>
    <t xml:space="preserve">Zona11_PB19_Rede_NÓ1.3</t>
  </si>
  <si>
    <t xml:space="preserve">2C7B8, B6B0, B6B3</t>
  </si>
  <si>
    <t xml:space="preserve">Zona11_PB19_Rede_TR011</t>
  </si>
  <si>
    <t xml:space="preserve">TRECHO DE Zona11_PB19_Rede_NÓ1.9 A Zona11_PB19_Rede_NÓ19.1</t>
  </si>
  <si>
    <t xml:space="preserve">Zona11_PB19_Rede_NÓ19.1</t>
  </si>
  <si>
    <t xml:space="preserve">2C579, B69E, B6A1</t>
  </si>
  <si>
    <t xml:space="preserve">Zona11_PB19_Rede_TR012</t>
  </si>
  <si>
    <t xml:space="preserve">TRECHO DE Zona11_PB19_Rede_NÓ2.4 A Zona11_PB19_Rede_NÓ106.1</t>
  </si>
  <si>
    <t xml:space="preserve">Zona11_PB19_Rede_NÓ106.1</t>
  </si>
  <si>
    <t xml:space="preserve">A642, BA94</t>
  </si>
  <si>
    <t xml:space="preserve">Zona11_PB19_Rede_TR013</t>
  </si>
  <si>
    <t xml:space="preserve">CHÁCARA 4</t>
  </si>
  <si>
    <t xml:space="preserve">TRECHO DE Zona11_PB19_Rede_NÓ1.7 A Zona11_PB19_Rede_NÓ1.6</t>
  </si>
  <si>
    <t xml:space="preserve">Zona11_PB19_Rede_NÓ1.7</t>
  </si>
  <si>
    <t xml:space="preserve">104B3, B6AA</t>
  </si>
  <si>
    <t xml:space="preserve">Zona11_PB19_Rede_TR014</t>
  </si>
  <si>
    <t xml:space="preserve">TRECHO DE Zona11_PB19_Rede_NÓ54.4 A Zona11_PB19_Rede_NÓ1.1; INCLUI 4,00 M DE TUBO DESENHADO NO PRÓPRIO NÓ (NÓ54.4: anel de ponta/toco)</t>
  </si>
  <si>
    <t xml:space="preserve">Zona11_PB19_Rede_NÓ54.4</t>
  </si>
  <si>
    <t xml:space="preserve">Zona11_PB19_Rede_NÓ1.1</t>
  </si>
  <si>
    <t xml:space="preserve">2CE0E, B31A</t>
  </si>
  <si>
    <t xml:space="preserve">Zona11_PB19_Rede_TR015</t>
  </si>
  <si>
    <t xml:space="preserve">TRECHO DE Zona11_PB19_Rede_NÓ3.1 A Zona11_PB19_Rede_NÓ19.1</t>
  </si>
  <si>
    <t xml:space="preserve">Zona11_PB19_Rede_NÓ3.1</t>
  </si>
  <si>
    <t xml:space="preserve">BA9D</t>
  </si>
  <si>
    <t xml:space="preserve">Zona11_PB19_Rede_TR016</t>
  </si>
  <si>
    <t xml:space="preserve">TRECHO DE Zona11_PB19_Rede_NÓ1.1 A Zona11_PB19_Rede_NÓ1.3</t>
  </si>
  <si>
    <t xml:space="preserve">2CE0D, AD5F</t>
  </si>
  <si>
    <t xml:space="preserve">Zona11_PB19_Rede_TR017</t>
  </si>
  <si>
    <t xml:space="preserve">TRECHO DE Zona11_PB19_Rede_NÓ4.1 A Zona11_PB19_Rede_NÓ3.1</t>
  </si>
  <si>
    <t xml:space="preserve">Zona11_PB19_Rede_NÓ4.1</t>
  </si>
  <si>
    <t xml:space="preserve">BA9A</t>
  </si>
  <si>
    <t xml:space="preserve">Zona11_PB19_Rede_TR018</t>
  </si>
  <si>
    <t xml:space="preserve">TRECHO DE Zona11_PB19_Rede_NÓ1.1 A Zona11_PB19_Rede_NÓ106.1</t>
  </si>
  <si>
    <t xml:space="preserve">2CE0D</t>
  </si>
  <si>
    <t xml:space="preserve">Zona11_PB19_Rede_TR019</t>
  </si>
  <si>
    <t xml:space="preserve">TRECHO DE Zona11_PB19_Rede_NÓ1.3 A Zona11_PB19_Rede_NÓ1.5</t>
  </si>
  <si>
    <t xml:space="preserve">Zona11_PB19_Rede_NÓ1.5</t>
  </si>
  <si>
    <t xml:space="preserve">AEF7</t>
  </si>
  <si>
    <t xml:space="preserve">Zona11_PB19_Rede_TR020</t>
  </si>
  <si>
    <t xml:space="preserve">TRECHO DE Zona11_PB19_Rede_NÓ1.7 A Zona11_PB19_Rede_NÓ1.5</t>
  </si>
  <si>
    <t xml:space="preserve">3F161, AEFA</t>
  </si>
  <si>
    <t xml:space="preserve">Zona11_PB20_Rede_TR001</t>
  </si>
  <si>
    <t xml:space="preserve">TRECHO DE Zona11_PB20_Rede_DF-08 A Zona11_PB20_Rede_NÓ1.2; INCLUI 0,40 M DE TUBO DESENHADO NO PRÓPRIO NÓ (DF-08: anel de ponta/toco)</t>
  </si>
  <si>
    <t xml:space="preserve">Zona11_PB20_Rede_DF-08</t>
  </si>
  <si>
    <t xml:space="preserve">Zona11_PB20_Rede_NÓ1.2</t>
  </si>
  <si>
    <t xml:space="preserve">371AE</t>
  </si>
  <si>
    <t xml:space="preserve">Zona11_PB20_Rede_TR002</t>
  </si>
  <si>
    <t xml:space="preserve">TRECHO DE Zona11_PB20_Rede_NÓ1.2 A Zona11_PB20_Rede_NÓ1.3</t>
  </si>
  <si>
    <t xml:space="preserve">Zona11_PB20_Rede_NÓ1.3</t>
  </si>
  <si>
    <t xml:space="preserve">Zona11_PB20_Rede_TR003</t>
  </si>
  <si>
    <t xml:space="preserve">TRECHO DE Zona11_PB20_Rede_NÓ1.2 A Zona11_PB20_Rede_NÓ2.1; INCLUI 0,20 M DE TUBO DESENHADO NO PRÓPRIO NÓ (NÓ1.2: anel de ponta/toco)</t>
  </si>
  <si>
    <t xml:space="preserve">Zona11_PB20_Rede_NÓ2.1</t>
  </si>
  <si>
    <t xml:space="preserve">6C2B4, B692, B695</t>
  </si>
  <si>
    <t xml:space="preserve">Zona11_PB20_Rede_TR004</t>
  </si>
  <si>
    <t xml:space="preserve">TRECHO DE Zona11_PB20_Rede_NÓ1.1 A Zona11_PB20_Rede_NÓ1.3</t>
  </si>
  <si>
    <t xml:space="preserve">Zona11_PB20_Rede_NÓ1.1</t>
  </si>
  <si>
    <t xml:space="preserve">104C0, 104C2, 2CD1A, B698, B69B</t>
  </si>
  <si>
    <t xml:space="preserve">Zona11_PB20_Rede_TR005</t>
  </si>
  <si>
    <t xml:space="preserve">TRECHO DE Zona11_PB20_Rede_NÓ2.1 A Zona11_PB20_Rede_NÓ1.1</t>
  </si>
  <si>
    <t xml:space="preserve">6C2B4</t>
  </si>
  <si>
    <t xml:space="preserve">Zona11_PB20_Rede_TR006</t>
  </si>
  <si>
    <t xml:space="preserve">TRECHO DE Zona11_PB20_Rede_NÓ1.3 A Zona11_PB20_Rede_NÓ54.2; INCLUI 4,00 M DE TUBO DESENHADO NO PRÓPRIO NÓ (NÓ1.3, NÓ54.2: anel de ponta/toco)</t>
  </si>
  <si>
    <t xml:space="preserve">Zona11_PB20_Rede_NÓ54.2</t>
  </si>
  <si>
    <t xml:space="preserve">Zona11_PB20_Rede_TR007</t>
  </si>
  <si>
    <t xml:space="preserve">TRECHO DE Zona11_PB20_Rede_NÓ1.1 A Zona11_PB20_CH_VRP-02</t>
  </si>
  <si>
    <t xml:space="preserve">Zona11_PB20_CH_VRP-02</t>
  </si>
  <si>
    <t xml:space="preserve">2CD1A</t>
  </si>
  <si>
    <t xml:space="preserve">Zona11_PB20_Rede_TR008</t>
  </si>
  <si>
    <t xml:space="preserve">TRECHO DE Zona11_PB20_CH_VRP-02 A Zona11_PB20_Rede_NÓ2.5</t>
  </si>
  <si>
    <t xml:space="preserve">Zona11_PB20_Rede_NÓ2.5</t>
  </si>
  <si>
    <t xml:space="preserve">2CD1A, 37D3E</t>
  </si>
  <si>
    <t xml:space="preserve">Zona11_PB20_Rede_TR009</t>
  </si>
  <si>
    <t xml:space="preserve">TRECHO DE Zona11_PB20_Rede_NÓ2.5 A Zona11_PB20_Rede_NÓ106.1</t>
  </si>
  <si>
    <t xml:space="preserve">Zona11_PB20_Rede_NÓ106.1</t>
  </si>
  <si>
    <t xml:space="preserve">37D3E, 37D3F</t>
  </si>
  <si>
    <t xml:space="preserve">Zona11_PB20_Rede_TR010</t>
  </si>
  <si>
    <t xml:space="preserve">TRECHO DE Zona11_PB19_Rede_NÓ3.1 A Zona11_PB20_Rede_NÓ3.1</t>
  </si>
  <si>
    <t xml:space="preserve">Zona11_PB20_Rede_NÓ3.1</t>
  </si>
  <si>
    <t xml:space="preserve">BAA6</t>
  </si>
  <si>
    <t xml:space="preserve">Zona11_PB20_Rede_TR011</t>
  </si>
  <si>
    <t xml:space="preserve">CHÁCARA 1/2</t>
  </si>
  <si>
    <t xml:space="preserve">TRECHO DE Zona11_PB20_Rede_NÓ2.3 A Zona11_PB20_Rede_NÓ1.4</t>
  </si>
  <si>
    <t xml:space="preserve">Zona11_PB20_Rede_NÓ2.3</t>
  </si>
  <si>
    <t xml:space="preserve">Zona11_PB20_Rede_NÓ1.4</t>
  </si>
  <si>
    <t xml:space="preserve">6E15B</t>
  </si>
  <si>
    <t xml:space="preserve">Zona11_PB20_Rede_TR012</t>
  </si>
  <si>
    <t xml:space="preserve">TRECHO DE Zona11_PB20_Rede_NÓ2.3 A Zona11_PB20_Rede_NÓ106.1</t>
  </si>
  <si>
    <t xml:space="preserve">371B0, B680</t>
  </si>
  <si>
    <t xml:space="preserve">Zona11_PB20_Rede_TR013</t>
  </si>
  <si>
    <t xml:space="preserve">TRECHO DE Zona11_PB20_Rede_NÓ106.1 A Zona11_PB20_Rede_NÓ3.1; INCLUI 0,46 M DE TUBO DESENHADO NO PRÓPRIO NÓ (NÓ106.1: anel de ponta/toco)</t>
  </si>
  <si>
    <t xml:space="preserve">BAAC</t>
  </si>
  <si>
    <t xml:space="preserve">Zona11_PB20_Rede_TR014</t>
  </si>
  <si>
    <t xml:space="preserve">TRECHO DE Zona11_PB20_Rede_NÓ1.4 A Zona11_PB20_Rede_NÓ2.4</t>
  </si>
  <si>
    <t xml:space="preserve">Zona11_PB20_Rede_NÓ2.4</t>
  </si>
  <si>
    <t xml:space="preserve">Zona11_PB20_Rede_TR015</t>
  </si>
  <si>
    <t xml:space="preserve">TRECHO DE Zona11_PB20_Rede_NÓ1.4 A Zona11_PB20_Rede_NÓ106.2</t>
  </si>
  <si>
    <t xml:space="preserve">Zona11_PB20_Rede_NÓ106.2</t>
  </si>
  <si>
    <t xml:space="preserve">371B1, B67A, BAA3</t>
  </si>
  <si>
    <t xml:space="preserve">Zona11_PB20_Rede_TR016</t>
  </si>
  <si>
    <t xml:space="preserve">TRECHO DE Zona11_PB20_Rede_NÓ3.1 A Zona11_PB20_Rede_NÓ106.2; INCLUI 0,42 M DE TUBO DESENHADO NO PRÓPRIO NÓ (NÓ106.2: anel de ponta/toco)</t>
  </si>
  <si>
    <t xml:space="preserve">BAA9</t>
  </si>
  <si>
    <t xml:space="preserve">Zona11_PB20_Rede_TR017</t>
  </si>
  <si>
    <t xml:space="preserve">TRECHO DE Zona11_PB20_Rede_NÓ2.2 A Zona11_PB20_Rede_NÓ2.4</t>
  </si>
  <si>
    <t xml:space="preserve">Zona11_PB20_Rede_NÓ2.2</t>
  </si>
  <si>
    <t xml:space="preserve">B671, B674, BAA0</t>
  </si>
  <si>
    <t xml:space="preserve">Zona11_PB20_Rede_TR018</t>
  </si>
  <si>
    <t xml:space="preserve">TRECHO DE Zona11_PB20_Rede_NÓ106.2 A Zona11_PB20_Rede_NÓ2.2</t>
  </si>
  <si>
    <t xml:space="preserve">BAA0</t>
  </si>
  <si>
    <t xml:space="preserve">Zona11_PB22_Adutora_TR001</t>
  </si>
  <si>
    <t xml:space="preserve">TRECHO DE Zona11_PB22_Adutora_NÓ39.1 A Zona11_PB17_Adutora_NÓ39.1</t>
  </si>
  <si>
    <t xml:space="preserve">Zona11_PB22_Adutora_NÓ39.1</t>
  </si>
  <si>
    <t xml:space="preserve">59692, 59695</t>
  </si>
  <si>
    <t xml:space="preserve">Zona11_PB22_Rede_TR001</t>
  </si>
  <si>
    <t xml:space="preserve">TRECHO DE Zona11_PB17_Rede_NÓ57.1 A Zona11_PB17_Rede_NÓ2.3</t>
  </si>
  <si>
    <t xml:space="preserve">AF51</t>
  </si>
  <si>
    <t xml:space="preserve">Zona11_PB22_Rede_TR002</t>
  </si>
  <si>
    <t xml:space="preserve">TRECHO DE Zona11_PB22_Rede_NÓ4.1 A Zona11_PB17_Rede_NÓ3.1</t>
  </si>
  <si>
    <t xml:space="preserve">Zona11_PB22_Rede_NÓ4.1</t>
  </si>
  <si>
    <t xml:space="preserve">2CD4F</t>
  </si>
  <si>
    <t xml:space="preserve">Zona11_PB22_Rede_TR003</t>
  </si>
  <si>
    <t xml:space="preserve">TRECHO DE Zona11_PB22_Rede_NÓ106.1 A Zona11_PB23_Rede_NÓ1.1</t>
  </si>
  <si>
    <t xml:space="preserve">Zona11_PB22_Rede_NÓ106.1</t>
  </si>
  <si>
    <t xml:space="preserve">Zona11_PB23_Rede_NÓ1.1</t>
  </si>
  <si>
    <t xml:space="preserve">59683, AF48</t>
  </si>
  <si>
    <t xml:space="preserve">Zona11_PB22_Rede_TR004</t>
  </si>
  <si>
    <t xml:space="preserve">TRECHO DE Zona11_PB22_Rede_NÓ106.1 A Zona11_PB22_Rede_NÓ4.1</t>
  </si>
  <si>
    <t xml:space="preserve">B137</t>
  </si>
  <si>
    <t xml:space="preserve">Zona11_PB22_Rede_TR005</t>
  </si>
  <si>
    <t xml:space="preserve">TRECHO DE Zona11_PB22_Rede_NÓ57.1 A Zona11_PB17_Rede_NÓ3.1; INCLUI 1,58 M DE TUBO DESENHADO NO PRÓPRIO NÓ (NÓ3.1, NÓ57.1: anel de ponta/toco)</t>
  </si>
  <si>
    <t xml:space="preserve">Zona11_PB22_Rede_NÓ57.1</t>
  </si>
  <si>
    <t xml:space="preserve">2C7BB, 2CD57, B23F</t>
  </si>
  <si>
    <t xml:space="preserve">Zona11_PB22_Rede_TR006</t>
  </si>
  <si>
    <t xml:space="preserve">TRECHO DE Zona11_PB22_Rede_NÓ2.7 A Zona11_PB22_Rede_NÓ2.8</t>
  </si>
  <si>
    <t xml:space="preserve">Zona11_PB22_Rede_NÓ2.7</t>
  </si>
  <si>
    <t xml:space="preserve">Zona11_PB22_Rede_NÓ2.8</t>
  </si>
  <si>
    <t xml:space="preserve">6C727</t>
  </si>
  <si>
    <t xml:space="preserve">Zona11_PB22_Rede_TR007</t>
  </si>
  <si>
    <t xml:space="preserve">TRECHO DE Zona11_PB22_Rede_NÓ2.8 A Zona11_PB22_Rede_NÓ1.6</t>
  </si>
  <si>
    <t xml:space="preserve">Zona11_PB22_Rede_NÓ1.6</t>
  </si>
  <si>
    <t xml:space="preserve">Zona11_PB22_Rede_TR008</t>
  </si>
  <si>
    <t xml:space="preserve">TRECHO DE Zona11_PB22_Rede_NÓ2.7 A Zona11_PB22_Rede_NÓ1.5</t>
  </si>
  <si>
    <t xml:space="preserve">Zona11_PB22_Rede_NÓ1.5</t>
  </si>
  <si>
    <t xml:space="preserve">6C727, A63C</t>
  </si>
  <si>
    <t xml:space="preserve">Zona11_PB22_Rede_TR009</t>
  </si>
  <si>
    <t xml:space="preserve">TRECHO DE Zona11_PB22_Rede_NÓ1.6 A Zona11_PB22_Rede_NÓ57.1; INCLUI 0,52 M DE TUBO DESENHADO NO PRÓPRIO NÓ (NÓ57.1: anel de ponta/toco)</t>
  </si>
  <si>
    <t xml:space="preserve">2CC3C, 300D0, 59622</t>
  </si>
  <si>
    <t xml:space="preserve">Zona11_PB22_Rede_TR010</t>
  </si>
  <si>
    <t xml:space="preserve">TRECHO DE Zona11_PB22_Rede_NÓ93.1 A Zona11_PB22_Rede_NÓ57.1</t>
  </si>
  <si>
    <t xml:space="preserve">Zona11_PB22_Rede_NÓ93.1</t>
  </si>
  <si>
    <t xml:space="preserve">ACC3, B242</t>
  </si>
  <si>
    <t xml:space="preserve">Zona11_PB22_Rede_TR011</t>
  </si>
  <si>
    <t xml:space="preserve">TRECHO DE Zona11_PB22_Rede_NÓ1.4 A Zona11_PB22_Rede_NÓ54.5; INCLUI 4,49 M DE TUBO DESENHADO NO PRÓPRIO NÓ (NÓ1.4, NÓ54.5: anel de ponta/toco)</t>
  </si>
  <si>
    <t xml:space="preserve">Zona11_PB22_Rede_NÓ1.4</t>
  </si>
  <si>
    <t xml:space="preserve">Zona11_PB22_Rede_NÓ54.5</t>
  </si>
  <si>
    <t xml:space="preserve">2CE1C, B1B5</t>
  </si>
  <si>
    <t xml:space="preserve">Zona11_PB22_Rede_TR012</t>
  </si>
  <si>
    <t xml:space="preserve">TRECHO DE Zona11_PB22_Rede_NÓ1.7 A Zona11_PB22_Rede_NÓ93.1</t>
  </si>
  <si>
    <t xml:space="preserve">Zona11_PB22_Rede_NÓ1.7</t>
  </si>
  <si>
    <t xml:space="preserve">460C7, B143</t>
  </si>
  <si>
    <t xml:space="preserve">Zona11_PB22_Rede_TR013</t>
  </si>
  <si>
    <t xml:space="preserve">TRECHO DE Zona11_PB23_Rede_NÓ81.2 A Zona11_PB22_Rede_NÓ106.1</t>
  </si>
  <si>
    <t xml:space="preserve">Zona11_PB23_Rede_NÓ81.2</t>
  </si>
  <si>
    <t xml:space="preserve">2C7C3, 2C7C4, 2CD13, B5F3</t>
  </si>
  <si>
    <t xml:space="preserve">Zona11_PB22_Rede_TR014</t>
  </si>
  <si>
    <t xml:space="preserve">TRECHO DE Zona11_PB22_Rede_NÓ1.5 A Zona11_PB22_Rede_NÓ1.6</t>
  </si>
  <si>
    <t xml:space="preserve">2CC3C, BB3C</t>
  </si>
  <si>
    <t xml:space="preserve">Zona11_PB22_Rede_TR015</t>
  </si>
  <si>
    <t xml:space="preserve">TRECHO DE Zona11_PB22_Rede_NÓ1.4 A Zona11_PB22_Rede_NÓ1.5</t>
  </si>
  <si>
    <t xml:space="preserve">2CE10</t>
  </si>
  <si>
    <t xml:space="preserve">Zona11_PB22_Rede_TR016</t>
  </si>
  <si>
    <t xml:space="preserve">TRECHO DE Zona11_PB22_Rede_NÓ2.12 A Zona11_PB22_Rede_NÓ2.10</t>
  </si>
  <si>
    <t xml:space="preserve">Zona11_PB22_Rede_NÓ2.12</t>
  </si>
  <si>
    <t xml:space="preserve">Zona11_PB22_Rede_NÓ2.10</t>
  </si>
  <si>
    <t xml:space="preserve">6C2A9</t>
  </si>
  <si>
    <t xml:space="preserve">Zona11_PB22_Rede_TR017</t>
  </si>
  <si>
    <t xml:space="preserve">TRECHO DE PONTA SEM NÓ NA TABELA A Zona11_PB22_Rede_NÓ1.7</t>
  </si>
  <si>
    <t xml:space="preserve">6C735</t>
  </si>
  <si>
    <t xml:space="preserve">Zona11_PB22_Rede_TR018</t>
  </si>
  <si>
    <t xml:space="preserve">TRECHO DE Zona11_PB22_Rede_DF-44 A Zona11_PB22_Rede_NÓ1.4</t>
  </si>
  <si>
    <t xml:space="preserve">Zona11_PB22_Rede_DF-44</t>
  </si>
  <si>
    <t xml:space="preserve">Zona11_PB22_Rede_TR019</t>
  </si>
  <si>
    <t xml:space="preserve">TRECHO DE Zona11_PB22_Rede_NÓ2.3 A Zona11_PB22_Rede_DF-44</t>
  </si>
  <si>
    <t xml:space="preserve">Zona11_PB22_Rede_NÓ2.3</t>
  </si>
  <si>
    <t xml:space="preserve">Zona11_PB22_Rede_TR020</t>
  </si>
  <si>
    <t xml:space="preserve">TRECHO DE Zona11_PB22_Rede_NÓ1.7 A Zona11_PB22_Rede_NÓ54.6; INCLUI 3,88 M DE TUBO DESENHADO NO PRÓPRIO NÓ (NÓ54.6: anel de ponta/toco)</t>
  </si>
  <si>
    <t xml:space="preserve">Zona11_PB22_Rede_NÓ54.6</t>
  </si>
  <si>
    <t xml:space="preserve">B146</t>
  </si>
  <si>
    <t xml:space="preserve">Zona11_PB22_Rede_TR021</t>
  </si>
  <si>
    <t xml:space="preserve">TRECHO DE Zona11_PB22_Rede_NÓ2.3 A Zona11_PB22_Rede_NÓ2.4</t>
  </si>
  <si>
    <t xml:space="preserve">Zona11_PB22_Rede_NÓ2.4</t>
  </si>
  <si>
    <t xml:space="preserve">A771</t>
  </si>
  <si>
    <t xml:space="preserve">Zona11_PB22_Rede_TR022</t>
  </si>
  <si>
    <t xml:space="preserve">TRECHO DE Zona11_PB22_Rede_NÓ2.4 A Zona11_PB22_Rede_NÓ2.5</t>
  </si>
  <si>
    <t xml:space="preserve">Zona11_PB22_Rede_NÓ2.5</t>
  </si>
  <si>
    <t xml:space="preserve">B0C8</t>
  </si>
  <si>
    <t xml:space="preserve">Zona11_PB22_Rede_TR023</t>
  </si>
  <si>
    <t xml:space="preserve">TRECHO DE Zona11_PB22_Rede_NÓ55.1 A Zona11_PB22_Rede_NÓ93.1</t>
  </si>
  <si>
    <t xml:space="preserve">Zona11_PB22_Rede_NÓ55.1</t>
  </si>
  <si>
    <t xml:space="preserve">4180A</t>
  </si>
  <si>
    <t xml:space="preserve">Zona11_PB22_Rede_TR024</t>
  </si>
  <si>
    <t xml:space="preserve">TRECHO DE Zona11_PB22_Rede_NÓ1.8 A Zona11_PB22_Rede_NÓ2.10; INCLUI 0,48 M DE TUBO DESENHADO NO PRÓPRIO NÓ (NÓ1.8, NÓ2.10: anel de ponta/toco)</t>
  </si>
  <si>
    <t xml:space="preserve">Zona11_PB22_Rede_NÓ1.8</t>
  </si>
  <si>
    <t xml:space="preserve">B140</t>
  </si>
  <si>
    <t xml:space="preserve">Zona11_PB22_Rede_TR025</t>
  </si>
  <si>
    <t xml:space="preserve">TRECHO DE Zona11_PB22_Rede_NÓ2.5 A Zona11_PB22_Rede_NÓ2.6</t>
  </si>
  <si>
    <t xml:space="preserve">Zona11_PB22_Rede_NÓ2.6</t>
  </si>
  <si>
    <t xml:space="preserve">6C72B, B0C8</t>
  </si>
  <si>
    <t xml:space="preserve">Zona11_PB22_Rede_TR026</t>
  </si>
  <si>
    <t xml:space="preserve">CHÁCARA ROSA DE SARON</t>
  </si>
  <si>
    <t xml:space="preserve">TRECHO DE Zona11_PB22_Rede_NÓ2.6 A PONTA SEM NÓ NA TABELA</t>
  </si>
  <si>
    <t xml:space="preserve">6C72B</t>
  </si>
  <si>
    <t xml:space="preserve">Zona11_PB22_Rede_TR027</t>
  </si>
  <si>
    <t xml:space="preserve">TRECHO DE Zona11_PB22_Rede_NÓ2.11 A Zona11_PB22_Rede_NÓ1.8</t>
  </si>
  <si>
    <t xml:space="preserve">Zona11_PB22_Rede_NÓ2.11</t>
  </si>
  <si>
    <t xml:space="preserve">2C7F1, B407</t>
  </si>
  <si>
    <t xml:space="preserve">Zona11_PB22_Rede_TR028</t>
  </si>
  <si>
    <t xml:space="preserve">TRECHO DE Zona11_PB22_Rede_NÓ1.9 A Zona11_PB22_Rede_NÓ2.12</t>
  </si>
  <si>
    <t xml:space="preserve">Zona11_PB22_Rede_NÓ1.9</t>
  </si>
  <si>
    <t xml:space="preserve">6C2A9, B131</t>
  </si>
  <si>
    <t xml:space="preserve">Zona11_PB22_Rede_TR029</t>
  </si>
  <si>
    <t xml:space="preserve">TRECHO DE Zona11_PB22_Rede_NÓ1.8 A Zona11_PB22_Rede_NÓ55.1</t>
  </si>
  <si>
    <t xml:space="preserve">2C7F1, A552</t>
  </si>
  <si>
    <t xml:space="preserve">Zona11_PB22_Rede_TR030</t>
  </si>
  <si>
    <t xml:space="preserve">TRECHO DE Zona11_PB22_Rede_NÓ1.9 A Zona11_PB22_Rede_NÓ2.11; INCLUI 0,34 M DE TUBO DESENHADO NO PRÓPRIO NÓ (nó: anel de ponta/toco)</t>
  </si>
  <si>
    <t xml:space="preserve">6C2A0, B404</t>
  </si>
  <si>
    <t xml:space="preserve">Zona11_PB22_Rede_TR031</t>
  </si>
  <si>
    <t xml:space="preserve">TRECHO DE Zona11_PB22_Rede_NÓ55.2 A Zona11_PB22_Rede_NÓ55.1</t>
  </si>
  <si>
    <t xml:space="preserve">Zona11_PB22_Rede_NÓ55.2</t>
  </si>
  <si>
    <t xml:space="preserve">41805, B5E4</t>
  </si>
  <si>
    <t xml:space="preserve">Zona11_PB22_Rede_TR032</t>
  </si>
  <si>
    <t xml:space="preserve">TRECHO DE Zona11_PB22_Rede_NÓ55.2 A Zona11_PB22_Rede_NÓ1.9</t>
  </si>
  <si>
    <t xml:space="preserve">AF4B</t>
  </si>
  <si>
    <t xml:space="preserve">Zona11_PB23_Adutora_TR001</t>
  </si>
  <si>
    <t xml:space="preserve">A.RED.SSB-D014.V03.T01.024/037</t>
  </si>
  <si>
    <t xml:space="preserve">TRECHO DE Zona11_PB23_Adutora_NÓ39.4 A Zona11_PB23_Adutora_NÓ39.3</t>
  </si>
  <si>
    <t xml:space="preserve">PB23</t>
  </si>
  <si>
    <t xml:space="preserve">Zona11_PB23_Adutora_NÓ39.4</t>
  </si>
  <si>
    <t xml:space="preserve">Zona11_PB23_Adutora_NÓ39.3</t>
  </si>
  <si>
    <t xml:space="preserve">59686</t>
  </si>
  <si>
    <t xml:space="preserve">Zona11_PB23_Adutora_TR002</t>
  </si>
  <si>
    <t xml:space="preserve">Q 18 CJ B</t>
  </si>
  <si>
    <t xml:space="preserve">TRECHO DE Zona11_PB23_Adutora_NÓ39.3 A Zona11_PB22_Adutora_NÓ39.1</t>
  </si>
  <si>
    <t xml:space="preserve">59684, 59686, 59690</t>
  </si>
  <si>
    <t xml:space="preserve">Zona11_PB23_Adutora_TR003</t>
  </si>
  <si>
    <t xml:space="preserve">CHÁCARA 15</t>
  </si>
  <si>
    <t xml:space="preserve">TRECHO DE Zona11_PB23_Adutora_NÓ39.1 A Zona11_PB23_Adutora_NÓ39.4</t>
  </si>
  <si>
    <t xml:space="preserve">Zona11_PB23_Adutora_NÓ39.1</t>
  </si>
  <si>
    <t xml:space="preserve">59679, 59685, 59686</t>
  </si>
  <si>
    <t xml:space="preserve">Zona11_PB23_Adutora_TR004</t>
  </si>
  <si>
    <t xml:space="preserve">TRECHO DE Zona11_PB23_Adutora_NÓ39.2 A Zona11_PB23_Adutora_NÓ39.1</t>
  </si>
  <si>
    <t xml:space="preserve">Zona11_PB23_Adutora_NÓ39.2</t>
  </si>
  <si>
    <t xml:space="preserve">57B1B, 59621, 59678, 59679</t>
  </si>
  <si>
    <t xml:space="preserve">Zona11_PB23_Adutora_TR005</t>
  </si>
  <si>
    <t xml:space="preserve">TRECHO DE PONTA SEM NÓ NA TABELA A Zona11_PB23_Adutora_NÓ39.2</t>
  </si>
  <si>
    <t xml:space="preserve">57B1B</t>
  </si>
  <si>
    <t xml:space="preserve">Zona11_PB23_Adutora_TR006</t>
  </si>
  <si>
    <t xml:space="preserve">57B14</t>
  </si>
  <si>
    <t xml:space="preserve">Zona11_PB23_Rede_TR001</t>
  </si>
  <si>
    <t xml:space="preserve">TRECHO DE Zona11_PB18_Rede_NÓ57.3 A Zona11_PB23_Rede_NÓ57.3; INCLUI 0,09 M DE TUBO DESENHADO NO PRÓPRIO NÓ (NÓ57.3: anel de ponta/toco)</t>
  </si>
  <si>
    <t xml:space="preserve">Zona11_PB23_Rede_NÓ57.3</t>
  </si>
  <si>
    <t xml:space="preserve">2CDE4</t>
  </si>
  <si>
    <t xml:space="preserve">Zona11_PB23_Rede_TR002</t>
  </si>
  <si>
    <t xml:space="preserve">TRECHO DE Zona11_PB23_Rede_NÓ1.7 A Zona11_PB23_Rede_NÓ1.12</t>
  </si>
  <si>
    <t xml:space="preserve">2C8C6, 2CCB6</t>
  </si>
  <si>
    <t xml:space="preserve">Zona11_PB23_Rede_TR003</t>
  </si>
  <si>
    <t xml:space="preserve">CHÁCARA 9</t>
  </si>
  <si>
    <t xml:space="preserve">TRECHO DE Zona11_PB24_Rede_NÓ54.6 A Zona11_PB23_Rede_NÓ105.2; INCLUI 4,37 M DE TUBO DESENHADO NO PRÓPRIO NÓ (NÓ105.2, NÓ54.6: anel de ponta/toco)</t>
  </si>
  <si>
    <t xml:space="preserve">Zona11_PB24_Rede_NÓ54.6</t>
  </si>
  <si>
    <t xml:space="preserve">Zona11_PB23_Rede_NÓ105.2</t>
  </si>
  <si>
    <t xml:space="preserve">B119</t>
  </si>
  <si>
    <t xml:space="preserve">Zona11_PB23_Rede_TR004</t>
  </si>
  <si>
    <t xml:space="preserve">TRECHO DE Zona11_PB23_Rede_NÓ2.12 A Zona11_PB23_Rede_NÓ1.7</t>
  </si>
  <si>
    <t xml:space="preserve">Zona11_PB23_Rede_NÓ2.12</t>
  </si>
  <si>
    <t xml:space="preserve">2CE87</t>
  </si>
  <si>
    <t xml:space="preserve">Zona11_PB23_Rede_TR005</t>
  </si>
  <si>
    <t xml:space="preserve">TRECHO DE Zona11_PB23_Rede_NÓ2.3 A Zona11_PB23_Rede_NÓ2.4</t>
  </si>
  <si>
    <t xml:space="preserve">Zona11_PB23_Rede_NÓ2.3</t>
  </si>
  <si>
    <t xml:space="preserve">Zona11_PB23_Rede_NÓ2.4</t>
  </si>
  <si>
    <t xml:space="preserve">2C7B2</t>
  </si>
  <si>
    <t xml:space="preserve">Zona11_PB23_Rede_TR006</t>
  </si>
  <si>
    <t xml:space="preserve">TRECHO DE Zona11_PB23_Rede_NÓ2.11 A Zona11_PB23_Rede_NÓ2.12</t>
  </si>
  <si>
    <t xml:space="preserve">Zona11_PB23_Rede_NÓ2.11</t>
  </si>
  <si>
    <t xml:space="preserve">Zona11_PB23_Rede_TR007</t>
  </si>
  <si>
    <t xml:space="preserve">TRECHO DE Zona11_PB23_Rede_NÓ2.2 A Zona11_PB23_Rede_NÓ2.3</t>
  </si>
  <si>
    <t xml:space="preserve">2CE84</t>
  </si>
  <si>
    <t xml:space="preserve">Zona11_PB23_Rede_TR008</t>
  </si>
  <si>
    <t xml:space="preserve">TRECHO DE Zona11_PB23_Rede_NÓ2.4 A Zona11_PB23_Rede_NÓ1.5</t>
  </si>
  <si>
    <t xml:space="preserve">Zona11_PB23_Rede_TR009</t>
  </si>
  <si>
    <t xml:space="preserve">TRECHO DE Zona11_PB23_Rede_NÓ1.6 A Zona11_PB23_Rede_NÓ2.6</t>
  </si>
  <si>
    <t xml:space="preserve">Zona11_PB23_Rede_NÓ2.6</t>
  </si>
  <si>
    <t xml:space="preserve">BAEE</t>
  </si>
  <si>
    <t xml:space="preserve">Zona11_PB23_Rede_TR010</t>
  </si>
  <si>
    <t xml:space="preserve">TRECHO DE Zona11_PB23_Rede_NÓ2.7 A Zona11_PB23_Rede_NÓ2.6; INCLUI 1,29 M DE TUBO DESENHADO NO PRÓPRIO NÓ (NÓ2.6: anel de ponta/toco)</t>
  </si>
  <si>
    <t xml:space="preserve">Zona11_PB23_Rede_NÓ2.7</t>
  </si>
  <si>
    <t xml:space="preserve">2C174, 2C19F</t>
  </si>
  <si>
    <t xml:space="preserve">Zona11_PB23_Rede_TR011</t>
  </si>
  <si>
    <t xml:space="preserve">TRECHO DE Zona11_PB23_Rede_NÓ2.5 A Zona11_PB23_Rede_NÓ1.5</t>
  </si>
  <si>
    <t xml:space="preserve">Zona11_PB23_Rede_NÓ2.5</t>
  </si>
  <si>
    <t xml:space="preserve">BAF1</t>
  </si>
  <si>
    <t xml:space="preserve">Zona11_PB23_Rede_TR012</t>
  </si>
  <si>
    <t xml:space="preserve">TRECHO DE Zona11_PB23_Rede_NÓ1.6 A Zona11_PB23_Rede_NÓ2.5</t>
  </si>
  <si>
    <t xml:space="preserve">Zona11_PB23_Rede_TR013</t>
  </si>
  <si>
    <t xml:space="preserve">TRECHO DE Zona11_PB23_Rede_NÓ2.7 A Zona11_PB23_Rede_NÓ2.8</t>
  </si>
  <si>
    <t xml:space="preserve">Zona11_PB23_Rede_NÓ2.8</t>
  </si>
  <si>
    <t xml:space="preserve">2C19F</t>
  </si>
  <si>
    <t xml:space="preserve">Zona11_PB23_Rede_TR014</t>
  </si>
  <si>
    <t xml:space="preserve">TRECHO DE Zona11_PB23_Rede_NÓ57.3 A Zona11_PB23_Rede_NÓ105.1</t>
  </si>
  <si>
    <t xml:space="preserve">Zona11_PB23_Rede_NÓ105.1</t>
  </si>
  <si>
    <t xml:space="preserve">AD62</t>
  </si>
  <si>
    <t xml:space="preserve">Zona11_PB23_Rede_TR015</t>
  </si>
  <si>
    <t xml:space="preserve">TRECHO DE Zona11_PB23_Rede_NÓ2.1 A Zona11_PB23_Rede_NÓ1.4</t>
  </si>
  <si>
    <t xml:space="preserve">Zona11_PB23_Rede_NÓ2.1</t>
  </si>
  <si>
    <t xml:space="preserve">2D7C8, 2F61D, 5968E, 5969F, 596C5</t>
  </si>
  <si>
    <t xml:space="preserve">Zona11_PB23_Rede_TR016</t>
  </si>
  <si>
    <t xml:space="preserve">TRECHO DE Zona11_PB23_Rede_NÓ2.8 A Zona11_PB23_Rede_NÓ2.9</t>
  </si>
  <si>
    <t xml:space="preserve">Zona11_PB23_Rede_NÓ2.9</t>
  </si>
  <si>
    <t xml:space="preserve">2C1B6</t>
  </si>
  <si>
    <t xml:space="preserve">Zona11_PB23_Rede_TR017</t>
  </si>
  <si>
    <t xml:space="preserve">TRECHO DE Zona11_PB17_Rede_NÓ1.4 A Zona11_PB23_Rede_NÓ1.4</t>
  </si>
  <si>
    <t xml:space="preserve">2CE83, B5F9, B5FC</t>
  </si>
  <si>
    <t xml:space="preserve">Zona11_PB23_Rede_TR018</t>
  </si>
  <si>
    <t xml:space="preserve">TRECHO DE Zona11_PB23_Rede_NÓ1.8 A Zona11_PB23_Rede_NÓ57.3; INCLUI 0,63 M DE TUBO DESENHADO NO PRÓPRIO NÓ (NÓ1.8, NÓ57.3: anel de ponta/toco)</t>
  </si>
  <si>
    <t xml:space="preserve">Zona11_PB23_Rede_NÓ1.8</t>
  </si>
  <si>
    <t xml:space="preserve">2CB9B, 2CBB7, B629, B62C</t>
  </si>
  <si>
    <t xml:space="preserve">Zona11_PB23_Rede_TR019</t>
  </si>
  <si>
    <t xml:space="preserve">TRECHO DE Zona11_PB23_Rede_NÓ1.8 A Zona11_PB23_Rede_NÓ2.11</t>
  </si>
  <si>
    <t xml:space="preserve">2CE87, AF2A</t>
  </si>
  <si>
    <t xml:space="preserve">Zona11_PB23_Rede_TR020</t>
  </si>
  <si>
    <t xml:space="preserve">TRECHO DE Zona11_PB23_Rede_NÓ4.1 A Zona11_PB23_Rede_NÓ105.1</t>
  </si>
  <si>
    <t xml:space="preserve">Zona11_PB23_Rede_NÓ4.1</t>
  </si>
  <si>
    <t xml:space="preserve">AD3E</t>
  </si>
  <si>
    <t xml:space="preserve">Zona11_PB23_Rede_TR021</t>
  </si>
  <si>
    <t xml:space="preserve">TRECHO DE Zona11_PB23_Rede_NÓ3.1 A Zona11_PB23_Rede_NÓ4.1</t>
  </si>
  <si>
    <t xml:space="preserve">Zona11_PB23_Rede_NÓ3.1</t>
  </si>
  <si>
    <t xml:space="preserve">2C1CD, 2C4F7</t>
  </si>
  <si>
    <t xml:space="preserve">Zona11_PB23_Rede_TR022</t>
  </si>
  <si>
    <t xml:space="preserve">TRECHO DE Zona11_PB23_Rede_NÓ3.1 A Zona11_PB23_Rede_NÓ105.2</t>
  </si>
  <si>
    <t xml:space="preserve">B3CB</t>
  </si>
  <si>
    <t xml:space="preserve">Zona11_PB23_Rede_TR023</t>
  </si>
  <si>
    <t xml:space="preserve">TRECHO DE Zona11_PB23_Rede_NÓ2.9 A Zona11_PB23_Rede_NÓ2.10; INCLUI 1,11 M DE TUBO DESENHADO NO PRÓPRIO NÓ (NÓ2.10: anel de ponta/toco)</t>
  </si>
  <si>
    <t xml:space="preserve">Zona11_PB23_Rede_NÓ2.10</t>
  </si>
  <si>
    <t xml:space="preserve">Zona11_PB23_Rede_TR024</t>
  </si>
  <si>
    <t xml:space="preserve">TRECHO DE Zona11_PB23_Rede_NÓ57.4 A Zona11_PB23_Rede_NÓ3.1</t>
  </si>
  <si>
    <t xml:space="preserve">Zona11_PB23_Rede_NÓ57.4</t>
  </si>
  <si>
    <t xml:space="preserve">2C1CD</t>
  </si>
  <si>
    <t xml:space="preserve">Zona11_PB23_Rede_TR025</t>
  </si>
  <si>
    <t xml:space="preserve">TRECHO DE Zona11_PB23_Rede_NÓ2.10 A Zona11_PB23_Rede_NÓ110.1</t>
  </si>
  <si>
    <t xml:space="preserve">2CDB5</t>
  </si>
  <si>
    <t xml:space="preserve">Zona11_PB23_Rede_TR026</t>
  </si>
  <si>
    <t xml:space="preserve">TRECHO DE Zona11_PB23_Rede_NÓ105.2 A Zona11_PB23_Rede_NÓ57.8</t>
  </si>
  <si>
    <t xml:space="preserve">Zona11_PB23_Rede_NÓ57.8</t>
  </si>
  <si>
    <t xml:space="preserve">2CC1E, 2CDC2</t>
  </si>
  <si>
    <t xml:space="preserve">Zona11_PB23_Rede_TR027</t>
  </si>
  <si>
    <t xml:space="preserve">TRECHO DE Zona11_PB23_Rede_NÓ1.9 A Zona11_PB23_Rede_NÓ105.1</t>
  </si>
  <si>
    <t xml:space="preserve">Zona11_PB23_Rede_NÓ1.9</t>
  </si>
  <si>
    <t xml:space="preserve">2C4F8, B62F, B632</t>
  </si>
  <si>
    <t xml:space="preserve">Zona11_PB23_Rede_TR028</t>
  </si>
  <si>
    <t xml:space="preserve">TRECHO DE Zona11_PB23_Rede_NÓ1.1 A Zona11_PB23_Rede_NÓ2.1</t>
  </si>
  <si>
    <t xml:space="preserve">2D7C8, 5967B, 5967C, 59683</t>
  </si>
  <si>
    <t xml:space="preserve">Zona11_PB23_Rede_TR029</t>
  </si>
  <si>
    <t xml:space="preserve">TRECHO DE Zona11_PB23_Rede_NÓ1.9 A Zona11_PB23_Rede_NÓ1.8</t>
  </si>
  <si>
    <t xml:space="preserve">AF2A</t>
  </si>
  <si>
    <t xml:space="preserve">Zona11_PB23_Rede_TR030</t>
  </si>
  <si>
    <t xml:space="preserve">TRECHO DE Zona11_PB23_Rede_NÓ57.5 A Zona11_PB23_Rede_NÓ57.4; INCLUI 0,08 M DE TUBO DESENHADO NO PRÓPRIO NÓ (NÓ57.4: anel de ponta/toco)</t>
  </si>
  <si>
    <t xml:space="preserve">Zona11_PB23_Rede_NÓ57.5</t>
  </si>
  <si>
    <t xml:space="preserve">Zona11_PB23_Rede_TR031</t>
  </si>
  <si>
    <t xml:space="preserve">TRECHO DE Zona11_PB23_Rede_NÓ1.10 A Zona11_PB23_Rede_NÓ57.4; INCLUI 0,38 M DE TUBO DESENHADO NO PRÓPRIO NÓ (NÓ57.4: anel de ponta/toco)</t>
  </si>
  <si>
    <t xml:space="preserve">Zona11_PB23_Rede_NÓ1.10</t>
  </si>
  <si>
    <t xml:space="preserve">2C7B7, 2CDBE, B635, B638</t>
  </si>
  <si>
    <t xml:space="preserve">Zona11_PB23_Rede_TR032</t>
  </si>
  <si>
    <t xml:space="preserve">TRECHO DE Zona11_PB23_Rede_NÓ57.8 A Zona11_PB23_Rede_NÓ57.9</t>
  </si>
  <si>
    <t xml:space="preserve">Zona11_PB23_Rede_NÓ57.9</t>
  </si>
  <si>
    <t xml:space="preserve">2CC1E</t>
  </si>
  <si>
    <t xml:space="preserve">Zona11_PB23_Rede_TR033</t>
  </si>
  <si>
    <t xml:space="preserve">TRECHO DE Zona11_PB23_Rede_NÓ1.9 A Zona11_PB23_Rede_NÓ1.10</t>
  </si>
  <si>
    <t xml:space="preserve">AF3F</t>
  </si>
  <si>
    <t xml:space="preserve">Zona11_PB23_Rede_TR034</t>
  </si>
  <si>
    <t xml:space="preserve">TRECHO DE Zona11_PB23_Rede_NÓ1.1 A Zona11_PB23_Rede_NÓ1.2</t>
  </si>
  <si>
    <t xml:space="preserve">Zona11_PB23_Rede_NÓ1.2</t>
  </si>
  <si>
    <t xml:space="preserve">A6A2</t>
  </si>
  <si>
    <t xml:space="preserve">Zona11_PB23_Rede_TR035</t>
  </si>
  <si>
    <t xml:space="preserve">TRECHO DE Zona11_PB23_Rede_NÓ57.6 A Zona11_PB23_Rede_NÓ57.5</t>
  </si>
  <si>
    <t xml:space="preserve">Zona11_PB23_Rede_NÓ57.6</t>
  </si>
  <si>
    <t xml:space="preserve">Zona11_PB23_Rede_TR036</t>
  </si>
  <si>
    <t xml:space="preserve">TRECHO DE Zona11_PB23_Rede_NÓ1.11 A Zona11_PB23_Rede_NÓ57.5; INCLUI 0,50 M DE TUBO DESENHADO NO PRÓPRIO NÓ (NÓ57.5: anel de ponta/toco)</t>
  </si>
  <si>
    <t xml:space="preserve">Zona11_PB23_Rede_NÓ1.11</t>
  </si>
  <si>
    <t xml:space="preserve">2CDBF, B63B, B63E</t>
  </si>
  <si>
    <t xml:space="preserve">Zona11_PB23_Rede_TR037</t>
  </si>
  <si>
    <t xml:space="preserve">TRECHO DE Zona11_PB23_Rede_NÓ1.10 A Zona11_PB23_Rede_NÓ1.11</t>
  </si>
  <si>
    <t xml:space="preserve">A615, B32C</t>
  </si>
  <si>
    <t xml:space="preserve">Zona11_PB23_Rede_TR038</t>
  </si>
  <si>
    <t xml:space="preserve">TRECHO DE Zona11_PB24_Rede_NÓ57.6 A Zona11_PB23_Rede_NÓ57.9</t>
  </si>
  <si>
    <t xml:space="preserve">Zona11_PB24_Rede_NÓ57.6</t>
  </si>
  <si>
    <t xml:space="preserve">B326</t>
  </si>
  <si>
    <t xml:space="preserve">Zona11_PB23_Rede_TR039</t>
  </si>
  <si>
    <t xml:space="preserve">TRECHO DE Zona11_PB23_Rede_NÓ10.1 A Zona11_PB23_Rede_NÓ110.1</t>
  </si>
  <si>
    <t xml:space="preserve">Zona11_PB23_Rede_NÓ10.1</t>
  </si>
  <si>
    <t xml:space="preserve">B617, BAE8</t>
  </si>
  <si>
    <t xml:space="preserve">Zona11_PB23_Rede_TR040</t>
  </si>
  <si>
    <t xml:space="preserve">TRECHO DE Zona11_PB23_Rede_NÓ54.4 A Zona11_PB23_Rede_NÓ1.2; INCLUI 3,96 M DE TUBO DESENHADO NO PRÓPRIO NÓ (NÓ54.4: anel de ponta/toco)</t>
  </si>
  <si>
    <t xml:space="preserve">Zona11_PB23_Rede_NÓ54.4</t>
  </si>
  <si>
    <t xml:space="preserve">AD83</t>
  </si>
  <si>
    <t xml:space="preserve">Zona11_PB23_Rede_TR041</t>
  </si>
  <si>
    <t xml:space="preserve">TRECHO DE Zona11_PB23_Rede_NÓ1.2 A Zona11_PB23_Rede_NÓ1.3</t>
  </si>
  <si>
    <t xml:space="preserve">Zona11_PB23_Rede_NÓ1.3</t>
  </si>
  <si>
    <t xml:space="preserve">A54C</t>
  </si>
  <si>
    <t xml:space="preserve">Zona11_PB23_Rede_TR042</t>
  </si>
  <si>
    <t xml:space="preserve">TRECHO DE Zona11_PB23_Rede_NÓ106.1 A Zona11_PB23_Rede_NÓ57.6; INCLUI 0,57 M DE TUBO DESENHADO NO PRÓPRIO NÓ (NÓ57.6: anel de ponta/toco)</t>
  </si>
  <si>
    <t xml:space="preserve">Zona11_PB23_Rede_NÓ106.1</t>
  </si>
  <si>
    <t xml:space="preserve">B641, B644</t>
  </si>
  <si>
    <t xml:space="preserve">Zona11_PB23_Rede_TR043</t>
  </si>
  <si>
    <t xml:space="preserve">TRECHO DE Zona11_PB23_Rede_NÓ1.11 A Zona11_PB23_Rede_NÓ106.1</t>
  </si>
  <si>
    <t xml:space="preserve">AF27</t>
  </si>
  <si>
    <t xml:space="preserve">Zona11_PB23_Rede_TR044</t>
  </si>
  <si>
    <t xml:space="preserve">TRECHO DE Zona11_PB23_Rede_NÓ57.7 A Zona11_PB23_Rede_NÓ57.6</t>
  </si>
  <si>
    <t xml:space="preserve">Zona11_PB23_Rede_NÓ57.7</t>
  </si>
  <si>
    <t xml:space="preserve">2C1CD, 2CBB8</t>
  </si>
  <si>
    <t xml:space="preserve">Zona11_PB23_Rede_TR045</t>
  </si>
  <si>
    <t xml:space="preserve">TRECHO DE Zona11_PB23_Rede_NÓ54.5 A Zona11_PB23_Rede_NÓ1.3; INCLUI 4,11 M DE TUBO DESENHADO NO PRÓPRIO NÓ (NÓ54.5: anel de ponta/toco)</t>
  </si>
  <si>
    <t xml:space="preserve">Zona11_PB23_Rede_NÓ54.5</t>
  </si>
  <si>
    <t xml:space="preserve">2C99D, 2C99E</t>
  </si>
  <si>
    <t xml:space="preserve">Zona11_PB23_Rede_TR046</t>
  </si>
  <si>
    <t xml:space="preserve">TRECHO DE Zona11_PB23_Rede_NÓ57.1 A Zona11_PB23_Rede_NÓ106.1; INCLUI 0,38 M DE TUBO DESENHADO NO PRÓPRIO NÓ (NÓ106.1: anel de ponta/toco)</t>
  </si>
  <si>
    <t xml:space="preserve">Zona11_PB23_Rede_NÓ57.1</t>
  </si>
  <si>
    <t xml:space="preserve">AF24, B2F9</t>
  </si>
  <si>
    <t xml:space="preserve">Zona11_PB23_Rede_TR047</t>
  </si>
  <si>
    <t xml:space="preserve">TRECHO DE Zona11_PB23_Rede_NÓ57.7 A Zona11_PB23_Rede_NÓ54.3; INCLUI 4,41 M DE TUBO DESENHADO NO PRÓPRIO NÓ (NÓ54.3, NÓ57.7: anel de ponta/toco)</t>
  </si>
  <si>
    <t xml:space="preserve">Zona11_PB23_Rede_NÓ54.3</t>
  </si>
  <si>
    <t xml:space="preserve">A705</t>
  </si>
  <si>
    <t xml:space="preserve">Zona11_PB23_Rede_TR048</t>
  </si>
  <si>
    <t xml:space="preserve">TRECHO DE Zona11_PB23_Rede_NÓ54.2 A Zona11_PB23_Rede_NÓ57.1; INCLUI 4,00 M DE TUBO DESENHADO NO PRÓPRIO NÓ (NÓ54.2: anel de ponta/toco)</t>
  </si>
  <si>
    <t xml:space="preserve">Zona11_PB23_Rede_NÓ54.2</t>
  </si>
  <si>
    <t xml:space="preserve">B11C</t>
  </si>
  <si>
    <t xml:space="preserve">Zona11_PB23_Rede_TR049</t>
  </si>
  <si>
    <t xml:space="preserve">TRECHO DE Zona11_PB23_Rede_NÓ10.1 A Zona11_PB23_Rede_NÓ9.4</t>
  </si>
  <si>
    <t xml:space="preserve">Zona11_PB23_Rede_NÓ9.4</t>
  </si>
  <si>
    <t xml:space="preserve">596C4</t>
  </si>
  <si>
    <t xml:space="preserve">Zona11_PB23_Rede_TR050</t>
  </si>
  <si>
    <t xml:space="preserve">TRECHO DE Zona11_PB23_Rede_NÓ60.1 A Zona11_PB23_Rede_NÓ57.7; INCLUI 0,43 M DE TUBO DESENHADO NO PRÓPRIO NÓ (NÓ60.1: anel de ponta/toco)</t>
  </si>
  <si>
    <t xml:space="preserve">Zona11_PB23_Rede_NÓ60.1</t>
  </si>
  <si>
    <t xml:space="preserve">2CE05, B113</t>
  </si>
  <si>
    <t xml:space="preserve">Zona11_PB23_Rede_TR051</t>
  </si>
  <si>
    <t xml:space="preserve">TRECHO DE Zona11_PB23_Rede_NÓ9.2 A Zona11_PB23_Rede_NÓ10.1</t>
  </si>
  <si>
    <t xml:space="preserve">Zona11_PB23_Rede_NÓ9.2</t>
  </si>
  <si>
    <t xml:space="preserve">Zona11_PB23_Rede_TR052</t>
  </si>
  <si>
    <t xml:space="preserve">TRECHO DE Zona11_PB23_Rede_NÓ9.2 A Zona11_PB23_Rede_NÓ9.4</t>
  </si>
  <si>
    <t xml:space="preserve">6CB4F</t>
  </si>
  <si>
    <t xml:space="preserve">Zona11_PB23_Rede_TR053</t>
  </si>
  <si>
    <t xml:space="preserve">TRECHO DE Zona11_PB23_Rede_NÓ11.2 A Zona11_PB23_Rede_NÓ9.2</t>
  </si>
  <si>
    <t xml:space="preserve">Zona11_PB23_Rede_NÓ11.2</t>
  </si>
  <si>
    <t xml:space="preserve">Zona11_PB23_Rede_TR054</t>
  </si>
  <si>
    <t xml:space="preserve">TRECHO DE Zona11_PB23_Rede_NÓ57.1 A Zona11_PB23_Rede_NÓ57.2</t>
  </si>
  <si>
    <t xml:space="preserve">Zona11_PB23_Rede_NÓ57.2</t>
  </si>
  <si>
    <t xml:space="preserve">AF21</t>
  </si>
  <si>
    <t xml:space="preserve">Zona11_PB23_Rede_TR055</t>
  </si>
  <si>
    <t xml:space="preserve">TRECHO DE Zona11_PB23_Rede_NÓ1.3 A Zona11_PB23_Rede_NÓ81.1</t>
  </si>
  <si>
    <t xml:space="preserve">Zona11_PB23_Rede_NÓ81.1</t>
  </si>
  <si>
    <t xml:space="preserve">59637, 59642, B5EA</t>
  </si>
  <si>
    <t xml:space="preserve">Zona11_PB23_Rede_TR056</t>
  </si>
  <si>
    <t xml:space="preserve">TRECHO DE Zona11_PB23_Rede_NÓ54.1 A Zona11_PB23_Rede_NÓ57.2; INCLUI 4,79 M DE TUBO DESENHADO NO PRÓPRIO NÓ (NÓ54.1, NÓ57.2: anel de ponta/toco)</t>
  </si>
  <si>
    <t xml:space="preserve">Zona11_PB23_Rede_NÓ54.1</t>
  </si>
  <si>
    <t xml:space="preserve">B299</t>
  </si>
  <si>
    <t xml:space="preserve">Zona11_PB23_Rede_TR057</t>
  </si>
  <si>
    <t xml:space="preserve">TRECHO DE Zona11_PB23_Rede_NÓ11.4 A Zona11_PB23_Rede_NÓ9.4; INCLUI 0,02 M DE TUBO DESENHADO NO PRÓPRIO NÓ (NÓ11.4: anel de ponta/toco)</t>
  </si>
  <si>
    <t xml:space="preserve">Zona11_PB23_Rede_NÓ11.4</t>
  </si>
  <si>
    <t xml:space="preserve">417FA, 596C4</t>
  </si>
  <si>
    <t xml:space="preserve">Zona11_PB23_Rede_TR058</t>
  </si>
  <si>
    <t xml:space="preserve">TRECHO DE Zona11_PB23_Rede_NÓ9.4 A Zona11_PB23_Rede_NÓ11.4</t>
  </si>
  <si>
    <t xml:space="preserve">Zona11_PB23_Rede_TR059</t>
  </si>
  <si>
    <t xml:space="preserve">TRECHO DE Zona11_PB23_Rede_NÓ11.3 A Zona11_PB23_Rede_NÓ11.2</t>
  </si>
  <si>
    <t xml:space="preserve">Zona11_PB23_Rede_NÓ11.3</t>
  </si>
  <si>
    <t xml:space="preserve">Zona11_PB23_Rede_TR060</t>
  </si>
  <si>
    <t xml:space="preserve">TRECHO DE Zona11_PB23_Rede_NÓ11.3 A Zona11_PB23_Rede_NÓ9.2</t>
  </si>
  <si>
    <t xml:space="preserve">Zona11_PB23_Rede_TR061</t>
  </si>
  <si>
    <t xml:space="preserve">TRECHO DE Zona11_PB23_Rede_NÓ9.7 A Zona11_PB24_Rede_NÓ60.1; INCLUI 1,50 M DE TUBO DESENHADO NO PRÓPRIO NÓ (NÓ9.7: anel de ponta/toco)</t>
  </si>
  <si>
    <t xml:space="preserve">Zona11_PB23_Rede_NÓ9.7</t>
  </si>
  <si>
    <t xml:space="preserve">Zona11_PB24_Rede_NÓ60.1</t>
  </si>
  <si>
    <t xml:space="preserve">Zona11_PB23_Rede_TR062</t>
  </si>
  <si>
    <t xml:space="preserve">TRECHO DE Zona11_PB23_Rede_NÓ9.8 A Zona11_PB23_Rede_NÓ60.1; INCLUI 1,14 M DE TUBO DESENHADO NO PRÓPRIO NÓ (NÓ60.1: anel de ponta/toco)</t>
  </si>
  <si>
    <t xml:space="preserve">Zona11_PB23_Rede_NÓ9.8</t>
  </si>
  <si>
    <t xml:space="preserve">2CE03, B116, B323</t>
  </si>
  <si>
    <t xml:space="preserve">Zona11_PB23_Rede_TR063</t>
  </si>
  <si>
    <t xml:space="preserve">TRECHO DE Zona11_PB23_Rede_NÓ57.2 A Zona11_PB23_Rede_NÓ83.1</t>
  </si>
  <si>
    <t xml:space="preserve">Zona11_PB23_Rede_NÓ83.1</t>
  </si>
  <si>
    <t xml:space="preserve">AF1E</t>
  </si>
  <si>
    <t xml:space="preserve">Zona11_PB23_Rede_TR064</t>
  </si>
  <si>
    <t xml:space="preserve">TRECHO DE Zona11_PB23_Rede_NÓ83.1 A Zona11_PB23_Rede_NÓ9.6</t>
  </si>
  <si>
    <t xml:space="preserve">Zona11_PB23_Rede_NÓ9.6</t>
  </si>
  <si>
    <t xml:space="preserve">43AD5</t>
  </si>
  <si>
    <t xml:space="preserve">Zona11_PB23_Rede_TR065</t>
  </si>
  <si>
    <t xml:space="preserve">TRECHO DE Zona11_PB23_Rede_NÓ9.3 A Zona11_PB23_Rede_NÓ11.3</t>
  </si>
  <si>
    <t xml:space="preserve">Zona11_PB23_Rede_NÓ9.3</t>
  </si>
  <si>
    <t xml:space="preserve">Zona11_PB23_Rede_TR066</t>
  </si>
  <si>
    <t xml:space="preserve">TRECHO DE Zona11_PB23_Rede_NÓ11.4 A Zona11_PB23_Rede_NÓ83.1; INCLUI 1,48 M DE TUBO DESENHADO NO PRÓPRIO NÓ (NÓ83.1: anel de ponta/toco)</t>
  </si>
  <si>
    <t xml:space="preserve">43AC7</t>
  </si>
  <si>
    <t xml:space="preserve">Zona11_PB23_Rede_TR067</t>
  </si>
  <si>
    <t xml:space="preserve">TRECHO DE Zona11_PB23_Rede_NÓ9.5 A Zona11_PB23_Rede_NÓ9.6</t>
  </si>
  <si>
    <t xml:space="preserve">Zona11_PB23_Rede_NÓ9.5</t>
  </si>
  <si>
    <t xml:space="preserve">Zona11_PB23_Rede_TR068</t>
  </si>
  <si>
    <t xml:space="preserve">TRECHO DE Zona11_PB23_Rede_NÓ9.6 A Zona11_PB23_Rede_NÓ9.8</t>
  </si>
  <si>
    <t xml:space="preserve">Zona11_PB23_Rede_TR069</t>
  </si>
  <si>
    <t xml:space="preserve">TRECHO DE Zona11_PB23_Rede_NÓ9.6 A Zona11_PB23_Rede_NÓ9.7</t>
  </si>
  <si>
    <t xml:space="preserve">Zona11_PB23_Rede_TR070</t>
  </si>
  <si>
    <t xml:space="preserve">TRECHO DE Zona11_PB23_Rede_NÓ41.1 A Zona11_PB23_Rede_NÓ11.3</t>
  </si>
  <si>
    <t xml:space="preserve">Zona11_PB23_Rede_NÓ41.1</t>
  </si>
  <si>
    <t xml:space="preserve">Zona11_PB23_Rede_TR071</t>
  </si>
  <si>
    <t xml:space="preserve">TRECHO DE Zona11_PB23_Rede_NÓ11.4 A Zona11_PB23_Rede_NÓ9.5</t>
  </si>
  <si>
    <t xml:space="preserve">Zona11_PB23_Rede_TR072</t>
  </si>
  <si>
    <t xml:space="preserve">TRECHO DE Zona11_PB23_Rede_NÓ9.1 A Zona11_PB23_Rede_NÓ9.3</t>
  </si>
  <si>
    <t xml:space="preserve">Zona11_PB23_Rede_NÓ9.1</t>
  </si>
  <si>
    <t xml:space="preserve">Zona11_PB23_Rede_TR073</t>
  </si>
  <si>
    <t xml:space="preserve">TRECHO DE Zona11_PB23_CH_VM-11.1 A Zona11_PB23_Rede_NÓ41.1</t>
  </si>
  <si>
    <t xml:space="preserve">Zona11_PB23_CH_VM-11.1</t>
  </si>
  <si>
    <t xml:space="preserve">Zona11_PB23_Rede_TR074</t>
  </si>
  <si>
    <t xml:space="preserve">TRECHO DE Zona11_PB23_Rede_NÓ79.1 A Zona11_PB23_CH_VM-11.1</t>
  </si>
  <si>
    <t xml:space="preserve">Zona11_PB23_Rede_NÓ79.1</t>
  </si>
  <si>
    <t xml:space="preserve">Zona11_PB23_Rede_TR075</t>
  </si>
  <si>
    <t xml:space="preserve">TRECHO DE Zona11_PB23_Rede_NÓ79.1 A Zona11_PB23_Rede_NÓ9.1</t>
  </si>
  <si>
    <t xml:space="preserve">Zona11_PB23_Rede_TR076</t>
  </si>
  <si>
    <t xml:space="preserve">TRECHO DE Zona11_PB23_Rede_NÓ81.1 A Zona11_PB23_CH_VM-11.2</t>
  </si>
  <si>
    <t xml:space="preserve">Zona11_PB23_CH_VM-11.2</t>
  </si>
  <si>
    <t xml:space="preserve">417F7</t>
  </si>
  <si>
    <t xml:space="preserve">Zona11_PB23_Rede_TR077</t>
  </si>
  <si>
    <t xml:space="preserve">TRECHO DE PONTA SEM NÓ NA TABELA A Zona11_PB23_Rede_NÓ79.1</t>
  </si>
  <si>
    <t xml:space="preserve">Zona11_PB23_Rede_TR078</t>
  </si>
  <si>
    <t xml:space="preserve">TRECHO DE Zona11_PB23_Rede_NÓ81.1 A Zona11_PB23_Rede_NÓ81.2</t>
  </si>
  <si>
    <t xml:space="preserve">BA37</t>
  </si>
  <si>
    <t xml:space="preserve">Zona11_PB23_Rede_TR079</t>
  </si>
  <si>
    <t xml:space="preserve">TRECHO DE Zona11_PB23_CH_VM-11.2 A Zona11_PB23_Rede_NÓ11.5</t>
  </si>
  <si>
    <t xml:space="preserve">Zona11_PB23_Rede_NÓ11.5</t>
  </si>
  <si>
    <t xml:space="preserve">417F7, A0C56</t>
  </si>
  <si>
    <t xml:space="preserve">Zona11_PB23_Rede_TR080</t>
  </si>
  <si>
    <t xml:space="preserve">TRECHO DE Zona11_PB23_Rede_NÓ11.5 A PONTA SEM NÓ NA TABELA</t>
  </si>
  <si>
    <t xml:space="preserve">5962A, A0916, A091E</t>
  </si>
  <si>
    <t xml:space="preserve">Zona11_PB23_Rede_TR081</t>
  </si>
  <si>
    <t xml:space="preserve">TRECHO DE Zona11_PB23_Rede_NÓ11.1 A Zona11_PB23_Rede_NÓ81.2</t>
  </si>
  <si>
    <t xml:space="preserve">Zona11_PB23_Rede_NÓ11.1</t>
  </si>
  <si>
    <t xml:space="preserve">2C7D2, B5F0</t>
  </si>
  <si>
    <t xml:space="preserve">Zona11_PB24_Rede_TR001</t>
  </si>
  <si>
    <t xml:space="preserve">A.RED.SSB-D014.V03.T01.025/037</t>
  </si>
  <si>
    <t xml:space="preserve">TRECHO DE Zona11_PB24_Rede_NÓ1.3 A Zona11_PB19_Rede_NÓ1.7</t>
  </si>
  <si>
    <t xml:space="preserve">PB24</t>
  </si>
  <si>
    <t xml:space="preserve">Zona11_PB24_Rede_NÓ1.3</t>
  </si>
  <si>
    <t xml:space="preserve">AEFD</t>
  </si>
  <si>
    <t xml:space="preserve">Zona11_PB24_Rede_TR002</t>
  </si>
  <si>
    <t xml:space="preserve">TRECHO DE Zona11_PB19_Rede_NÓ1.5 A Zona11_PB24_Rede_NÓ1.2</t>
  </si>
  <si>
    <t xml:space="preserve">Zona11_PB24_Rede_NÓ1.2</t>
  </si>
  <si>
    <t xml:space="preserve">B104</t>
  </si>
  <si>
    <t xml:space="preserve">Zona11_PB24_Rede_TR003</t>
  </si>
  <si>
    <t xml:space="preserve">TRECHO DE Zona11_PB24_Rede_NÓ1.3 A Zona11_PB24_Rede_NÓ1.2</t>
  </si>
  <si>
    <t xml:space="preserve">3F160, A534</t>
  </si>
  <si>
    <t xml:space="preserve">Zona11_PB24_Rede_TR004</t>
  </si>
  <si>
    <t xml:space="preserve">TRECHO DE Zona11_PB24_Rede_NÓ1.4 A Zona11_PB24_Rede_NÓ1.3</t>
  </si>
  <si>
    <t xml:space="preserve">Zona11_PB24_Rede_NÓ1.4</t>
  </si>
  <si>
    <t xml:space="preserve">AF03</t>
  </si>
  <si>
    <t xml:space="preserve">Zona11_PB24_Rede_TR005</t>
  </si>
  <si>
    <t xml:space="preserve">Q 5</t>
  </si>
  <si>
    <t xml:space="preserve">TRECHO DE Zona11_PB19_Rede_NÓ106.1 A Zona11_PB24_Rede_NÓ57.1; INCLUI 0,44 M DE TUBO DESENHADO NO PRÓPRIO NÓ (NÓ106.1: anel de ponta/toco)</t>
  </si>
  <si>
    <t xml:space="preserve">Zona11_PB24_Rede_NÓ57.1</t>
  </si>
  <si>
    <t xml:space="preserve">104CF, 2CE0F, B317</t>
  </si>
  <si>
    <t xml:space="preserve">Zona11_PB24_Rede_TR006</t>
  </si>
  <si>
    <t xml:space="preserve">TRECHO DE Zona11_PB19_Rede_NÓ54.5 A Zona11_PB24_Rede_NÓ1.1; INCLUI 4,00 M DE TUBO DESENHADO NO PRÓPRIO NÓ (NÓ54.5: anel de ponta/toco)</t>
  </si>
  <si>
    <t xml:space="preserve">Zona11_PB19_Rede_NÓ54.5</t>
  </si>
  <si>
    <t xml:space="preserve">Zona11_PB24_Rede_NÓ1.1</t>
  </si>
  <si>
    <t xml:space="preserve">B239</t>
  </si>
  <si>
    <t xml:space="preserve">Zona11_PB24_Rede_TR007</t>
  </si>
  <si>
    <t xml:space="preserve">TRECHO DE Zona11_PB24_Rede_NÓ1.2 A Zona11_PB24_Rede_NÓ106.1</t>
  </si>
  <si>
    <t xml:space="preserve">Zona11_PB24_Rede_NÓ106.1</t>
  </si>
  <si>
    <t xml:space="preserve">AD59</t>
  </si>
  <si>
    <t xml:space="preserve">Zona11_PB24_Rede_TR008</t>
  </si>
  <si>
    <t xml:space="preserve">TRECHO DE Zona11_PB24_Rede_NÓ1.4 A Zona11_PB24_Rede_NÓ106.1</t>
  </si>
  <si>
    <t xml:space="preserve">3F15F, A6BA</t>
  </si>
  <si>
    <t xml:space="preserve">Zona11_PB24_Rede_TR009</t>
  </si>
  <si>
    <t xml:space="preserve">TRECHO DE Zona11_PB24_Rede_NÓ1.5 A Zona11_PB24_Rede_NÓ1.4</t>
  </si>
  <si>
    <t xml:space="preserve">Zona11_PB24_Rede_NÓ1.5</t>
  </si>
  <si>
    <t xml:space="preserve">B3C8</t>
  </si>
  <si>
    <t xml:space="preserve">Zona11_PB24_Rede_TR010</t>
  </si>
  <si>
    <t xml:space="preserve">TRECHO DE Zona11_PB24_Rede_NÓ4.1 A Zona11_PB19_Rede_NÓ4.1</t>
  </si>
  <si>
    <t xml:space="preserve">Zona11_PB24_Rede_NÓ4.1</t>
  </si>
  <si>
    <t xml:space="preserve">2C578, B668, B66B, B66E</t>
  </si>
  <si>
    <t xml:space="preserve">Zona11_PB24_Rede_TR011</t>
  </si>
  <si>
    <t xml:space="preserve">TRECHO DE Zona11_PB24_Rede_NÓ106.1 A Zona11_PB24_Rede_NÓ57.3</t>
  </si>
  <si>
    <t xml:space="preserve">Zona11_PB24_Rede_NÓ57.3</t>
  </si>
  <si>
    <t xml:space="preserve">B314</t>
  </si>
  <si>
    <t xml:space="preserve">Zona11_PB24_Rede_TR012</t>
  </si>
  <si>
    <t xml:space="preserve">TRECHO DE Zona11_PB24_Rede_NÓ1.5 A Zona11_PB24_Rede_NÓ57.3</t>
  </si>
  <si>
    <t xml:space="preserve">3F15E, B107</t>
  </si>
  <si>
    <t xml:space="preserve">Zona11_PB24_Rede_TR013</t>
  </si>
  <si>
    <t xml:space="preserve">TRECHO DE Zona11_PB24_Rede_NÓ57.1 A Zona11_PB24_Rede_NÓ1.1</t>
  </si>
  <si>
    <t xml:space="preserve">A6EA</t>
  </si>
  <si>
    <t xml:space="preserve">Zona11_PB24_Rede_TR014</t>
  </si>
  <si>
    <t xml:space="preserve">TRECHO DE Zona11_PB24_Rede_NÓ1.6 A Zona11_PB24_Rede_NÓ1.5</t>
  </si>
  <si>
    <t xml:space="preserve">Zona11_PB24_Rede_NÓ1.6</t>
  </si>
  <si>
    <t xml:space="preserve">AF00</t>
  </si>
  <si>
    <t xml:space="preserve">Zona11_PB24_Rede_TR015</t>
  </si>
  <si>
    <t xml:space="preserve">TRECHO DE Zona11_PB24_Rede_NÓ57.3 A Zona11_PB24_Rede_NÓ57.4</t>
  </si>
  <si>
    <t xml:space="preserve">Zona11_PB24_Rede_NÓ57.4</t>
  </si>
  <si>
    <t xml:space="preserve">B10D</t>
  </si>
  <si>
    <t xml:space="preserve">Zona11_PB24_Rede_TR016</t>
  </si>
  <si>
    <t xml:space="preserve">TRECHO DE Zona11_PB24_Rede_NÓ1.1 A Zona11_PB24_Rede_NÓ2.3</t>
  </si>
  <si>
    <t xml:space="preserve">Zona11_PB24_Rede_NÓ2.3</t>
  </si>
  <si>
    <t xml:space="preserve">B236</t>
  </si>
  <si>
    <t xml:space="preserve">Zona11_PB24_Rede_TR017</t>
  </si>
  <si>
    <t xml:space="preserve">TRECHO DE Zona11_PB24_Rede_NÓ1.6 A Zona11_PB24_Rede_NÓ57.4</t>
  </si>
  <si>
    <t xml:space="preserve">3F15D, AD56</t>
  </si>
  <si>
    <t xml:space="preserve">Zona11_PB24_Rede_TR018</t>
  </si>
  <si>
    <t xml:space="preserve">TRECHO DE Zona11_PB24_Rede_NÓ57.1 A Zona11_PB24_Rede_NÓ57.2</t>
  </si>
  <si>
    <t xml:space="preserve">Zona11_PB24_Rede_NÓ57.2</t>
  </si>
  <si>
    <t xml:space="preserve">43D04</t>
  </si>
  <si>
    <t xml:space="preserve">Zona11_PB24_Rede_TR019</t>
  </si>
  <si>
    <t xml:space="preserve">TRECHO DE Zona11_PB24_Rede_NÓ1.6 A Zona11_PB24_Rede_NÓ57.5; INCLUI 0,37 M DE TUBO DESENHADO NO PRÓPRIO NÓ (NÓ57.5: anel de ponta/toco)</t>
  </si>
  <si>
    <t xml:space="preserve">Zona11_PB24_Rede_NÓ57.5</t>
  </si>
  <si>
    <t xml:space="preserve">ACAE, B110</t>
  </si>
  <si>
    <t xml:space="preserve">Zona11_PB24_Rede_TR020</t>
  </si>
  <si>
    <t xml:space="preserve">TRECHO DE Zona11_PB24_Rede_NÓ2.3 A Zona11_PB24_Rede_NÓ57.2</t>
  </si>
  <si>
    <t xml:space="preserve">2CE0C, B236</t>
  </si>
  <si>
    <t xml:space="preserve">Zona11_PB24_Rede_TR021</t>
  </si>
  <si>
    <t xml:space="preserve">TRECHO DE Zona11_PB24_Rede_NÓ54.3 A Zona11_PB24_Rede_NÓ2.1; INCLUI 4,00 M DE TUBO DESENHADO NO PRÓPRIO NÓ (NÓ54.3: anel de ponta/toco)</t>
  </si>
  <si>
    <t xml:space="preserve">Zona11_PB24_Rede_NÓ54.3</t>
  </si>
  <si>
    <t xml:space="preserve">Zona11_PB24_Rede_NÓ2.1</t>
  </si>
  <si>
    <t xml:space="preserve">2C571, 3BA41, B64A</t>
  </si>
  <si>
    <t xml:space="preserve">Zona11_PB24_Rede_TR022</t>
  </si>
  <si>
    <t xml:space="preserve">TRECHO DE Zona11_PB24_Rede_NÓ57.4 A Zona11_PB24_Rede_NÓ102.1; INCLUI 0,34 M DE TUBO DESENHADO NO PRÓPRIO NÓ (nó: anel de ponta/toco)</t>
  </si>
  <si>
    <t xml:space="preserve">Zona11_PB24_Rede_NÓ102.1</t>
  </si>
  <si>
    <t xml:space="preserve">2C434, 2CDE6, B10A</t>
  </si>
  <si>
    <t xml:space="preserve">Zona11_PB24_Rede_TR023</t>
  </si>
  <si>
    <t xml:space="preserve">TRECHO DE Zona11_PB24_Rede_NÓ54.1 A Zona11_PB23_Rede_NÓ57.8; INCLUI 4,01 M DE TUBO DESENHADO NO PRÓPRIO NÓ (NÓ54.1: anel de ponta/toco)</t>
  </si>
  <si>
    <t xml:space="preserve">Zona11_PB24_Rede_NÓ54.1</t>
  </si>
  <si>
    <t xml:space="preserve">2CDC4, A6D2</t>
  </si>
  <si>
    <t xml:space="preserve">Zona11_PB24_Rede_TR024</t>
  </si>
  <si>
    <t xml:space="preserve">CHÁCARA 4S/N</t>
  </si>
  <si>
    <t xml:space="preserve">TRECHO DE Zona11_PB24_Rede_NÓ57.5 A Zona11_PB24_Rede_NÓ4.1</t>
  </si>
  <si>
    <t xml:space="preserve">AD53</t>
  </si>
  <si>
    <t xml:space="preserve">Zona11_PB24_Rede_TR025</t>
  </si>
  <si>
    <t xml:space="preserve">TRECHO DE Zona11_PB24_Rede_NÓ57.2 A Zona11_PB24_Rede_NÓ60.2; INCLUI 1,65 M DE TUBO DESENHADO NO PRÓPRIO NÓ (NÓ57.2, NÓ60.2: anel de ponta/toco)</t>
  </si>
  <si>
    <t xml:space="preserve">Zona11_PB24_Rede_NÓ60.2</t>
  </si>
  <si>
    <t xml:space="preserve">B320</t>
  </si>
  <si>
    <t xml:space="preserve">Zona11_PB24_Rede_TR026</t>
  </si>
  <si>
    <t xml:space="preserve">TRECHO DE Zona11_PB24_Rede_NÓ57.5 A Zona11_PB24_Rede_NÓ102.1; INCLUI 0,16 M DE TUBO DESENHADO NO PRÓPRIO NÓ (NÓ57.5: anel de ponta/toco)</t>
  </si>
  <si>
    <t xml:space="preserve">AD5C, AF06</t>
  </si>
  <si>
    <t xml:space="preserve">Zona11_PB24_Rede_TR027</t>
  </si>
  <si>
    <t xml:space="preserve">TRECHO DE Zona11_PB24_Rede_NÓ54.2 A Zona11_PB23_Rede_NÓ57.9; INCLUI 4,37 M DE TUBO DESENHADO NO PRÓPRIO NÓ (NÓ57.9, NÓ54.2: anel de ponta/toco)</t>
  </si>
  <si>
    <t xml:space="preserve">Zona11_PB24_Rede_NÓ54.2</t>
  </si>
  <si>
    <t xml:space="preserve">A759</t>
  </si>
  <si>
    <t xml:space="preserve">Zona11_PB24_Rede_TR028</t>
  </si>
  <si>
    <t xml:space="preserve">TRECHO DE Zona11_PB24_Rede_NÓ60.2 A Zona11_PB24_Rede_NÓ102.1</t>
  </si>
  <si>
    <t xml:space="preserve">43AD6</t>
  </si>
  <si>
    <t xml:space="preserve">Zona11_PB24_Rede_TR029</t>
  </si>
  <si>
    <t xml:space="preserve">TRECHO DE Zona11_PB24_Rede_NÓ2.1 A Zona11_PB24_Rede_NÓ2.2</t>
  </si>
  <si>
    <t xml:space="preserve">Zona11_PB24_Rede_NÓ2.2</t>
  </si>
  <si>
    <t xml:space="preserve">B64A</t>
  </si>
  <si>
    <t xml:space="preserve">Zona11_PB24_Rede_TR030</t>
  </si>
  <si>
    <t xml:space="preserve">TRECHO DE Zona11_PB24_Rede_NÓ57.6 A Zona11_PB24_Rede_NÓ54.4; INCLUI 4,35 M DE TUBO DESENHADO NO PRÓPRIO NÓ (NÓ54.4, NÓ57.6: anel de ponta/toco)</t>
  </si>
  <si>
    <t xml:space="preserve">Zona11_PB24_Rede_NÓ54.4</t>
  </si>
  <si>
    <t xml:space="preserve">A669</t>
  </si>
  <si>
    <t xml:space="preserve">Zona11_PB24_Rede_TR031</t>
  </si>
  <si>
    <t xml:space="preserve">TRECHO DE Zona11_PB24_Rede_NÓ60.2 A Zona11_PB24_CH_VM-11.3; INCLUI 0,36 M DE TUBO DESENHADO NO PRÓPRIO NÓ (NÓ60.2: anel de ponta/toco)</t>
  </si>
  <si>
    <t xml:space="preserve">Zona11_PB24_CH_VM-11.3</t>
  </si>
  <si>
    <t xml:space="preserve">2C436, 2C437, 2CD17, 6CB5D, B65C, B65F</t>
  </si>
  <si>
    <t xml:space="preserve">Zona11_PB24_Rede_TR032</t>
  </si>
  <si>
    <t xml:space="preserve">TRECHO DE Zona11_PB24_Rede_NÓ57.7 A Zona11_PB24_Rede_NÓ57.6</t>
  </si>
  <si>
    <t xml:space="preserve">Zona11_PB24_Rede_NÓ57.7</t>
  </si>
  <si>
    <t xml:space="preserve">2CAF9, 2CDBA</t>
  </si>
  <si>
    <t xml:space="preserve">Zona11_PB24_Rede_TR033</t>
  </si>
  <si>
    <t xml:space="preserve">TRECHO DE Zona11_PB24_Rede_NÓ2.2 A Zona11_PB24_Rede_NÓ65.1; INCLUI 0,62 M DE TUBO DESENHADO NO PRÓPRIO NÓ (NÓ65.1: anel de ponta/toco)</t>
  </si>
  <si>
    <t xml:space="preserve">Zona11_PB24_Rede_NÓ65.1</t>
  </si>
  <si>
    <t xml:space="preserve">2C1D1, 2CDFC</t>
  </si>
  <si>
    <t xml:space="preserve">Zona11_PB24_Rede_TR034</t>
  </si>
  <si>
    <t xml:space="preserve">TRECHO DE Zona11_PB24_Rede_NÓ54.5 A Zona11_PB24_Rede_NÓ57.7; INCLUI 4,41 M DE TUBO DESENHADO NO PRÓPRIO NÓ (NÓ54.5, NÓ57.7: anel de ponta/toco)</t>
  </si>
  <si>
    <t xml:space="preserve">Zona11_PB24_Rede_NÓ54.5</t>
  </si>
  <si>
    <t xml:space="preserve">2CDC1</t>
  </si>
  <si>
    <t xml:space="preserve">Zona11_PB24_Rede_TR035</t>
  </si>
  <si>
    <t xml:space="preserve">TRECHO DE Zona11_PB24_Rede_NÓ9.1 A Zona11_PB24_CH_VM-11.3</t>
  </si>
  <si>
    <t xml:space="preserve">Zona11_PB24_Rede_NÓ9.1</t>
  </si>
  <si>
    <t xml:space="preserve">6CB5D</t>
  </si>
  <si>
    <t xml:space="preserve">Zona11_PB24_Rede_TR036</t>
  </si>
  <si>
    <t xml:space="preserve">TRECHO DE Zona11_PB24_Rede_NÓ9.2 A Zona11_PB24_Rede_NÓ9.1</t>
  </si>
  <si>
    <t xml:space="preserve">Zona11_PB24_Rede_NÓ9.2</t>
  </si>
  <si>
    <t xml:space="preserve">Zona11_PB24_Rede_TR037</t>
  </si>
  <si>
    <t xml:space="preserve">TRECHO DE Zona11_PB24_Rede_NÓ65.1 A Zona11_PB24_Rede_NÓ9.2</t>
  </si>
  <si>
    <t xml:space="preserve">Zona11_PB24_Rede_TR038</t>
  </si>
  <si>
    <t xml:space="preserve">Q 9</t>
  </si>
  <si>
    <t xml:space="preserve">TRECHO DE Zona11_PB24_Rede_NÓ60.1 A Zona11_PB24_Rede_NÓ57.7; INCLUI 1,57 M DE TUBO DESENHADO NO PRÓPRIO NÓ (NÓ57.7, NÓ60.1: anel de ponta/toco)</t>
  </si>
  <si>
    <t xml:space="preserve">B329</t>
  </si>
  <si>
    <t xml:space="preserve">Zona11_PB24_Rede_TR039</t>
  </si>
  <si>
    <t xml:space="preserve">TRECHO DE Zona11_PB24_Rede_NÓ60.1 A Zona11_PB24_Rede_NÓ65.1; INCLUI 0,36 M DE TUBO DESENHADO NO PRÓPRIO NÓ (nó: anel de ponta/toco)</t>
  </si>
  <si>
    <t xml:space="preserve">2C572, 2CDFE, 2CE06, B31D</t>
  </si>
  <si>
    <t xml:space="preserve">Zona11_PB24_Rede_TR040</t>
  </si>
  <si>
    <t xml:space="preserve">TRECHO DE Zona11_PB24_Rede_NÓ60.1 A Zona11_PB24_Rede_NÓ65.1</t>
  </si>
  <si>
    <t xml:space="preserve">Zona11_PB24_Rede_TR041</t>
  </si>
  <si>
    <t xml:space="preserve">TRECHO DE Zona11_PB23_Rede_NÓ60.1 A Zona11_PB24_Rede_NÓ60.1</t>
  </si>
  <si>
    <t xml:space="preserve">2CDFE</t>
  </si>
  <si>
    <t xml:space="preserve">Zona11_PB25_Rede_TR001</t>
  </si>
  <si>
    <t xml:space="preserve">A.RED.SSB-D014.V03.T01.026/037</t>
  </si>
  <si>
    <t xml:space="preserve">TRECHO DE Zona11_PB22_Rede_NÓ55.2 A Zona11_PB23_Rede_NÓ11.1; INCLUI 0,14 M DE TUBO DESENHADO NO PRÓPRIO NÓ (nó: anel de ponta/toco)</t>
  </si>
  <si>
    <t xml:space="preserve">PB25</t>
  </si>
  <si>
    <t xml:space="preserve">2CB21, 2CD55</t>
  </si>
  <si>
    <t xml:space="preserve">ACAB.</t>
  </si>
  <si>
    <t xml:space="preserve">ENVOLTÓRIA</t>
  </si>
  <si>
    <t xml:space="preserve">REFERÊNCIA</t>
  </si>
  <si>
    <t xml:space="preserve">AGRUPAMENTO TUBOS</t>
  </si>
  <si>
    <t xml:space="preserve">AGRUPAMENTO BLOCO</t>
  </si>
  <si>
    <t xml:space="preserve">CÓDIGO</t>
  </si>
  <si>
    <t xml:space="preserve">PERCENTUAL</t>
  </si>
  <si>
    <t xml:space="preserve">DIFERENÇA</t>
  </si>
  <si>
    <t xml:space="preserve">A.RED.SSB-D014.V03.T01 - QUADRO DE VALAS (PRANCHAS 02 A 26)</t>
  </si>
  <si>
    <t xml:space="preserve">ESCAV. EXT. ROCHA — Desmonte de material de 3ª categoria (rocha) em vala</t>
  </si>
  <si>
    <t xml:space="preserve">ESCAV. MAN. 1ª CAT. &lt;1,50 — Escavação manual de vala em solo mole, até 1,50 m</t>
  </si>
  <si>
    <t xml:space="preserve">ESCAV. MAN. 1ª CAT. &gt;1,50&lt;3,00 — Escavação manual de vala em solo mole, de 1,50 a 3,00 m</t>
  </si>
  <si>
    <t xml:space="preserve">5.4.11 + 5.4.13</t>
  </si>
  <si>
    <t xml:space="preserve">ESCAV. MEC. 1ª CAT. &lt;1,50 — Escavação mecânica de vala até 1,50 m (1ª categoria + solo mole)</t>
  </si>
  <si>
    <t xml:space="preserve">5.4.15 + 5.4.14</t>
  </si>
  <si>
    <t xml:space="preserve">ESCAV. MEC. 1ª CAT. &gt;1,50&lt;3,00 — Escavação mecânica de vala de 1,50 a 3,00 m (1ª categoria + solo mole)</t>
  </si>
  <si>
    <t xml:space="preserve">ESCAV. MEC. 2ª CAT. &lt;1,50 — Escavação mecânica de vala até 1,50 m (2ª categoria)</t>
  </si>
  <si>
    <t xml:space="preserve">ESCAV. MEC. 2ª CAT. &gt;1,50&lt;3,00 — Escavação mecânica de vala de 1,50 a 3,00 m (2ª categoria)</t>
  </si>
  <si>
    <t xml:space="preserve">TOTAL DAS ESCAVAÇÕES DE VALA (BM REV02, GRUPO REDES)</t>
  </si>
  <si>
    <t xml:space="preserve">ITENS DO BM (GRUPO REDES) QUE FORMAM AS PERCENTAGENS DAS COLUNAS L:R</t>
  </si>
  <si>
    <t xml:space="preserve">→ ESCAV. EXT. ROCHA</t>
  </si>
  <si>
    <t xml:space="preserve">→ ESCAV. MAN. 1ª CAT. &lt;1,50</t>
  </si>
  <si>
    <t xml:space="preserve">PASSEIO</t>
  </si>
  <si>
    <t xml:space="preserve">→ ESCAV. MAN. 1ª CAT. &gt;1,50&lt;3,00</t>
  </si>
  <si>
    <t xml:space="preserve">→ ESCAV. MEC. 1ª CAT. &lt;1,50</t>
  </si>
  <si>
    <t xml:space="preserve">→ ESCAV. MEC. 1ª CAT. &gt;1,50&lt;3,00</t>
  </si>
  <si>
    <t xml:space="preserve">→ ESCAV. MEC. 2ª CAT. &lt;1,50</t>
  </si>
  <si>
    <t xml:space="preserve">→ ESCAV. MEC. 2ª CAT. &gt;1,50&lt;3,00</t>
  </si>
  <si>
    <t xml:space="preserve">ASSENTAMENTO DE TUBO PEAD — BM REV02 × TABELA DE REDES (DWG)</t>
  </si>
  <si>
    <t xml:space="preserve">Assentamento de tubo PEAD DE 63</t>
  </si>
  <si>
    <t xml:space="preserve">Assentamento de tubo PEAD DE 90</t>
  </si>
  <si>
    <t xml:space="preserve">Assentamento de tubo PEAD DE 110</t>
  </si>
  <si>
    <t xml:space="preserve">Assentamento de tubo PEAD DE 125 + 160 (o BM não tem item próprio de 125; medido no item de 160)</t>
  </si>
  <si>
    <t xml:space="preserve">Assentamento de tubo PEAD DE 225</t>
  </si>
  <si>
    <t xml:space="preserve">Assentamento de tubo PEAD DE 250</t>
  </si>
  <si>
    <t xml:space="preserve">Assentamento de tubo PEAD DE 280</t>
  </si>
  <si>
    <t xml:space="preserve">Assentamento de tubo PEAD DE 315</t>
  </si>
  <si>
    <t xml:space="preserve">Assentamento de tubo PEAD DE 355</t>
  </si>
  <si>
    <t xml:space="preserve">Assentamento de tubo PEAD DE 400</t>
  </si>
  <si>
    <t xml:space="preserve">Assentamento de tubo PEAD DE 500</t>
  </si>
  <si>
    <t xml:space="preserve">TOTAL ASSENTAMENTO</t>
  </si>
  <si>
    <t xml:space="preserve">DERIVAÇÃO DOS PARÂMETROS S (ESGOT. VALA), T (CARGA) E U (CARGA DE ROCHA)</t>
  </si>
  <si>
    <t xml:space="preserve">ESGOTAMENTO DE VALA COM BOMBA (h, BM REV02) ÷ extensão em VCA da Tabela de Redes × 10 → horas por 10 m de vala</t>
  </si>
  <si>
    <t xml:space="preserve">FRAÇÃO DE ROCHA: desmonte de 3ª categoria ÷ total das escavações de vala (o BM não tem item de carga de rocha)</t>
  </si>
  <si>
    <t xml:space="preserve">RASTREABILIDADE DE REDES - DMC's - RESUMO</t>
  </si>
  <si>
    <t xml:space="preserve">Soma de DISTÂNCIA</t>
  </si>
  <si>
    <t xml:space="preserve">REDES Result</t>
  </si>
  <si>
    <t xml:space="preserve">Total Result</t>
  </si>
  <si>
    <t xml:space="preserve">TUBO PEAD Result</t>
  </si>
  <si>
    <t xml:space="preserve">RASTREABILIDADE DE REDES - DMC's</t>
  </si>
  <si>
    <t xml:space="preserve">SOMA DISTÂNCIA</t>
  </si>
  <si>
    <t xml:space="preserve">002/037</t>
  </si>
  <si>
    <t xml:space="preserve">003/037</t>
  </si>
  <si>
    <t xml:space="preserve">004/037</t>
  </si>
  <si>
    <t xml:space="preserve">005/037</t>
  </si>
  <si>
    <t xml:space="preserve">006/037</t>
  </si>
  <si>
    <t xml:space="preserve">007/037</t>
  </si>
  <si>
    <t xml:space="preserve">008/037</t>
  </si>
  <si>
    <t xml:space="preserve">009/037</t>
  </si>
  <si>
    <t xml:space="preserve">010/037</t>
  </si>
  <si>
    <t xml:space="preserve">011/037</t>
  </si>
  <si>
    <t xml:space="preserve">012/037</t>
  </si>
  <si>
    <t xml:space="preserve">013/037</t>
  </si>
  <si>
    <t xml:space="preserve">014/037</t>
  </si>
  <si>
    <t xml:space="preserve">015/037</t>
  </si>
  <si>
    <t xml:space="preserve">016/037</t>
  </si>
  <si>
    <t xml:space="preserve">017/037</t>
  </si>
  <si>
    <t xml:space="preserve">018/037</t>
  </si>
  <si>
    <t xml:space="preserve">019/037</t>
  </si>
  <si>
    <t xml:space="preserve">020/037</t>
  </si>
  <si>
    <t xml:space="preserve">021/037</t>
  </si>
  <si>
    <t xml:space="preserve">022/037</t>
  </si>
  <si>
    <t xml:space="preserve">023/037</t>
  </si>
  <si>
    <t xml:space="preserve">024/037</t>
  </si>
  <si>
    <t xml:space="preserve">025/037</t>
  </si>
  <si>
    <t xml:space="preserve">026/037</t>
  </si>
  <si>
    <t xml:space="preserve">RASTREABILIDADE DE REDES - DMC's LOCAIS</t>
  </si>
  <si>
    <t xml:space="preserve">(empty)</t>
  </si>
  <si>
    <t xml:space="preserve">ST MORRO DA CRUZ Result</t>
  </si>
  <si>
    <t xml:space="preserve">ST ZUMBI DOS PALMARES Result</t>
  </si>
  <si>
    <t xml:space="preserve">SAI EPCT Result</t>
  </si>
  <si>
    <t xml:space="preserve">ST BAIRRO RESID VITÓRIA Result</t>
  </si>
  <si>
    <t xml:space="preserve">(empty) Result</t>
  </si>
  <si>
    <t xml:space="preserve">BAIRRO CRIXÁ Result</t>
  </si>
  <si>
    <t xml:space="preserve">RESUMO DE REDE / LIGAÇÃO</t>
  </si>
  <si>
    <t xml:space="preserve">LIGAÇÃO PREDIAL</t>
  </si>
  <si>
    <t xml:space="preserve">TOTAL DE LIGAÇÃO =</t>
  </si>
  <si>
    <t xml:space="preserve">VCA - ESCAVAÇÃO A CÉU ABERTO</t>
  </si>
  <si>
    <t xml:space="preserve">TOTAL DE ESCAVAÇÃO =</t>
  </si>
  <si>
    <t xml:space="preserve">MND - MÉTODO NÃO DESTRUTIVO</t>
  </si>
  <si>
    <t xml:space="preserve">TOTAL DE MND =</t>
  </si>
  <si>
    <t xml:space="preserve">RESUMO</t>
  </si>
  <si>
    <t xml:space="preserve">TOTAL Nº DE LIGAÇÕES</t>
  </si>
  <si>
    <t xml:space="preserve">TOTAL DE REDES (ASSENTAMENTO PEAD; O BM MEDE O ASSENTAMENTO TAMBÉM NOS TRECHOS EM MND)</t>
  </si>
  <si>
    <t xml:space="preserve">LEVANTAMENTO DO DWG (TABELA DE REDES, ABA REDE)</t>
  </si>
  <si>
    <t xml:space="preserve">CHÁCARA 15 Result</t>
  </si>
  <si>
    <t xml:space="preserve">CHÁCARA 17 Result</t>
  </si>
  <si>
    <t xml:space="preserve">CHÁCARA 48 Result</t>
  </si>
  <si>
    <t xml:space="preserve">CHÁCARA 56 Result</t>
  </si>
  <si>
    <t xml:space="preserve">CHÁCARA 61 Result</t>
  </si>
  <si>
    <t xml:space="preserve">CHÁCARA 66 Result</t>
  </si>
  <si>
    <t xml:space="preserve">CHÁCARA 85 Result</t>
  </si>
  <si>
    <t xml:space="preserve">Q 35 Result</t>
  </si>
  <si>
    <t xml:space="preserve">Q 44 Result</t>
  </si>
  <si>
    <t xml:space="preserve">Q 60 CJ D Result</t>
  </si>
  <si>
    <t xml:space="preserve">CHÁCARA 34 Result</t>
  </si>
  <si>
    <t xml:space="preserve">Q 18 CJ B Result</t>
  </si>
  <si>
    <t xml:space="preserve">Q 4 Result</t>
  </si>
  <si>
    <t xml:space="preserve">CHÁCARA 14 Result</t>
  </si>
  <si>
    <t xml:space="preserve">CHÁCARA 18 Result</t>
  </si>
  <si>
    <t xml:space="preserve">CHÁCARA 10 Result</t>
  </si>
  <si>
    <t xml:space="preserve">CHÁCARA 16 Result</t>
  </si>
  <si>
    <t xml:space="preserve">CHÁCARA 8 Result</t>
  </si>
  <si>
    <t xml:space="preserve">CHÁCARA GIRASSOL Result</t>
  </si>
  <si>
    <t xml:space="preserve">Q 12 Result</t>
  </si>
  <si>
    <t xml:space="preserve">Q 14 Result</t>
  </si>
  <si>
    <t xml:space="preserve">Q 20 Result</t>
  </si>
  <si>
    <t xml:space="preserve">Q 6 Result</t>
  </si>
  <si>
    <t xml:space="preserve">Q 8 Result</t>
  </si>
  <si>
    <t xml:space="preserve">CHÁCARA 26 Result</t>
  </si>
  <si>
    <t xml:space="preserve">CHÁCARA 28 Result</t>
  </si>
  <si>
    <t xml:space="preserve">CHÁCARA 28/30 Result</t>
  </si>
  <si>
    <t xml:space="preserve">CHÁCARA 30 Result</t>
  </si>
  <si>
    <t xml:space="preserve">CHÁCARA 32 Result</t>
  </si>
  <si>
    <t xml:space="preserve">CHÁCARA 42 Result</t>
  </si>
  <si>
    <t xml:space="preserve">CHÁCARA 44 Result</t>
  </si>
  <si>
    <t xml:space="preserve">CHÁCARA 50 Result</t>
  </si>
  <si>
    <t xml:space="preserve">CHÁCARA VEREDA Result</t>
  </si>
  <si>
    <t xml:space="preserve">Q 32 Result</t>
  </si>
  <si>
    <t xml:space="preserve">Q 34 Result</t>
  </si>
  <si>
    <t xml:space="preserve">Q 46 Result</t>
  </si>
  <si>
    <t xml:space="preserve">Q 48 Result</t>
  </si>
  <si>
    <t xml:space="preserve">Q 50 Result</t>
  </si>
  <si>
    <t xml:space="preserve">CHÁCARA 19 Result</t>
  </si>
  <si>
    <t xml:space="preserve">CHÁCARA 21 Result</t>
  </si>
  <si>
    <t xml:space="preserve">CHÁCARA 33 Result</t>
  </si>
  <si>
    <t xml:space="preserve">CHÁCARA 37 Result</t>
  </si>
  <si>
    <t xml:space="preserve">CHÁCARA 37S/N Result</t>
  </si>
  <si>
    <t xml:space="preserve">CHÁCARA 38 Result</t>
  </si>
  <si>
    <t xml:space="preserve">CHÁCARA 41 Result</t>
  </si>
  <si>
    <t xml:space="preserve">CHÁCARA 43 Result</t>
  </si>
  <si>
    <t xml:space="preserve">CHÁCARA 45A Result</t>
  </si>
  <si>
    <t xml:space="preserve">Q 19 Result</t>
  </si>
  <si>
    <t xml:space="preserve">Q 33 Result</t>
  </si>
  <si>
    <t xml:space="preserve">CHÁCARA 29 Result</t>
  </si>
  <si>
    <t xml:space="preserve">CHÁCARA 25A Result</t>
  </si>
  <si>
    <t xml:space="preserve">CHÁCARA 25B Result</t>
  </si>
  <si>
    <t xml:space="preserve">CHÁCARA 27 Result</t>
  </si>
  <si>
    <t xml:space="preserve">CHÁCARA 27A Result</t>
  </si>
  <si>
    <t xml:space="preserve">CHÁCARA 27B Result</t>
  </si>
  <si>
    <t xml:space="preserve">CHÁCARA 5 Result</t>
  </si>
  <si>
    <t xml:space="preserve">CHÁCARA 7 Result</t>
  </si>
  <si>
    <t xml:space="preserve">CHÁCARA 7A Result</t>
  </si>
  <si>
    <t xml:space="preserve">Q 13 Result</t>
  </si>
  <si>
    <t xml:space="preserve">Q 25 Result</t>
  </si>
  <si>
    <t xml:space="preserve">Q 25B Result</t>
  </si>
  <si>
    <t xml:space="preserve">Q 7 CJ F Result</t>
  </si>
  <si>
    <t xml:space="preserve">Q 7 CJ H Result</t>
  </si>
  <si>
    <t xml:space="preserve">CHÁCARA 52 Result</t>
  </si>
  <si>
    <t xml:space="preserve">CHÁCARA 53 Result</t>
  </si>
  <si>
    <t xml:space="preserve">CHÁCARA 54 Result</t>
  </si>
  <si>
    <t xml:space="preserve">CHÁCARA 55 Result</t>
  </si>
  <si>
    <t xml:space="preserve">CHÁCARA 55B Result</t>
  </si>
  <si>
    <t xml:space="preserve">CHÁCARA 57 Result</t>
  </si>
  <si>
    <t xml:space="preserve">CHÁCARA 58 Result</t>
  </si>
  <si>
    <t xml:space="preserve">CHÁCARA 59 Result</t>
  </si>
  <si>
    <t xml:space="preserve">CHÁCARA 60 Result</t>
  </si>
  <si>
    <t xml:space="preserve">Q 21 Result</t>
  </si>
  <si>
    <t xml:space="preserve">Q 53 Result</t>
  </si>
  <si>
    <t xml:space="preserve">Q 54 Result</t>
  </si>
  <si>
    <t xml:space="preserve">Q 61 Result</t>
  </si>
  <si>
    <t xml:space="preserve">CHÁCARA 40 Result</t>
  </si>
  <si>
    <t xml:space="preserve">CHÁCARA 42S/N Result</t>
  </si>
  <si>
    <t xml:space="preserve">CHÁCARA 46 Result</t>
  </si>
  <si>
    <t xml:space="preserve">CHÁCARA 67S/N Result</t>
  </si>
  <si>
    <t xml:space="preserve">CHÁCARA 77 Result</t>
  </si>
  <si>
    <t xml:space="preserve">Q 36 Result</t>
  </si>
  <si>
    <t xml:space="preserve">Q 36 CJ C Result</t>
  </si>
  <si>
    <t xml:space="preserve">Q 37 CJ H Result</t>
  </si>
  <si>
    <t xml:space="preserve">Q 38 Result</t>
  </si>
  <si>
    <t xml:space="preserve">Q 45 Result</t>
  </si>
  <si>
    <t xml:space="preserve">RUA CAPAO COMPRIDO Result</t>
  </si>
  <si>
    <t xml:space="preserve">CHÁCARA 35 Result</t>
  </si>
  <si>
    <t xml:space="preserve">CHÁCARA 35S/N Result</t>
  </si>
  <si>
    <t xml:space="preserve">CHÁCARA 43S/N Result</t>
  </si>
  <si>
    <t xml:space="preserve">CHÁCARA 47 Result</t>
  </si>
  <si>
    <t xml:space="preserve">Q 27 Result</t>
  </si>
  <si>
    <t xml:space="preserve">Q 37 Result</t>
  </si>
  <si>
    <t xml:space="preserve">Q 43 Result</t>
  </si>
  <si>
    <t xml:space="preserve">CHÁCARA 23 Result</t>
  </si>
  <si>
    <t xml:space="preserve">CHÁCARA 25 Result</t>
  </si>
  <si>
    <t xml:space="preserve">CHÁCARA 39 Result</t>
  </si>
  <si>
    <t xml:space="preserve">Q 37 CJ B Result</t>
  </si>
  <si>
    <t xml:space="preserve">CHÁCARA 50A Result</t>
  </si>
  <si>
    <t xml:space="preserve">CHÁCARA 62 Result</t>
  </si>
  <si>
    <t xml:space="preserve">CHÁCARA 64 Result</t>
  </si>
  <si>
    <t xml:space="preserve">Q 62 CJ C Result</t>
  </si>
  <si>
    <t xml:space="preserve">Q 66 Result</t>
  </si>
  <si>
    <t xml:space="preserve">CHÁCARA 02 Result</t>
  </si>
  <si>
    <t xml:space="preserve">CHÁCARA 04 Result</t>
  </si>
  <si>
    <t xml:space="preserve">CHÁCARA 05 Result</t>
  </si>
  <si>
    <t xml:space="preserve">CHÁCARA 10B Result</t>
  </si>
  <si>
    <t xml:space="preserve">CHÁCARA 20 Result</t>
  </si>
  <si>
    <t xml:space="preserve">CHÁCARA 3A Result</t>
  </si>
  <si>
    <t xml:space="preserve">CHÁCARA 49 Result</t>
  </si>
  <si>
    <t xml:space="preserve">CHÁCARA 68 Result</t>
  </si>
  <si>
    <t xml:space="preserve">CHÁCARA 74 Result</t>
  </si>
  <si>
    <t xml:space="preserve">CHÁCARA 8 CHÁCARA CRISTAL Result</t>
  </si>
  <si>
    <t xml:space="preserve">CHÁCARA BURITIS 18/19 Result</t>
  </si>
  <si>
    <t xml:space="preserve">Q 3 Result</t>
  </si>
  <si>
    <t xml:space="preserve">Q 3 CJ 2 Result</t>
  </si>
  <si>
    <t xml:space="preserve">CHÁCARA 51 Result</t>
  </si>
  <si>
    <t xml:space="preserve">CHÁCARA 11 Result</t>
  </si>
  <si>
    <t xml:space="preserve">CHÁCARA 4 Result</t>
  </si>
  <si>
    <t xml:space="preserve">CHÁCARA 4S/N Result</t>
  </si>
  <si>
    <t xml:space="preserve">CHÁCARA 9 Result</t>
  </si>
  <si>
    <t xml:space="preserve">CHÁCARA ROSA DE SARON Result</t>
  </si>
  <si>
    <t xml:space="preserve">Q 11 Result</t>
  </si>
  <si>
    <t xml:space="preserve">Q 28 Result</t>
  </si>
  <si>
    <t xml:space="preserve">Q 5 Result</t>
  </si>
  <si>
    <t xml:space="preserve">CHÁCARA 1/2 Result</t>
  </si>
  <si>
    <t xml:space="preserve">CHÁCARA 22 Result</t>
  </si>
  <si>
    <t xml:space="preserve">Q 9 Result</t>
  </si>
</sst>
</file>

<file path=xl/styles.xml><?xml version="1.0" encoding="utf-8"?>
<styleSheet xmlns="http://schemas.openxmlformats.org/spreadsheetml/2006/main">
  <numFmts count="19">
    <numFmt numFmtId="164" formatCode="General"/>
    <numFmt numFmtId="165" formatCode="_(&quot;R$ &quot;* #,##0.00_);_(&quot;R$ &quot;* \(#,##0.00\);_(&quot;R$ &quot;* \-??_);_(@_)"/>
    <numFmt numFmtId="166" formatCode="_-&quot;R$&quot;* #,##0.00_-;&quot;-R$&quot;* #,##0.00_-;_-&quot;R$&quot;* \-??_-;_-@_-"/>
    <numFmt numFmtId="167" formatCode="_-&quot;R$ &quot;* #,##0.00_-;&quot;-R$ &quot;* #,##0.00_-;_-&quot;R$ &quot;* \-??_-;_-@_-"/>
    <numFmt numFmtId="168" formatCode="General_)"/>
    <numFmt numFmtId="169" formatCode="0%"/>
    <numFmt numFmtId="170" formatCode="_-* #,##0.00_-;\-* #,##0.00_-;_-* \-??_-;_-@_-"/>
    <numFmt numFmtId="171" formatCode="_-[$R$-416]\ * #,##0.00_-;\-[$R$-416]\ * #,##0.00_-;_-[$R$-416]\ * \-??_-;_-@_-"/>
    <numFmt numFmtId="172" formatCode="@"/>
    <numFmt numFmtId="173" formatCode="0.00%"/>
    <numFmt numFmtId="174" formatCode="00000"/>
    <numFmt numFmtId="175" formatCode="###00;###00"/>
    <numFmt numFmtId="176" formatCode="###00000;###00000"/>
    <numFmt numFmtId="177" formatCode="###0000000000000;###0000000000000"/>
    <numFmt numFmtId="178" formatCode="[$-F800]dddd&quot;, &quot;mmmm\ dd&quot;, &quot;yyyy"/>
    <numFmt numFmtId="179" formatCode="General"/>
    <numFmt numFmtId="180" formatCode="mmm\-yy"/>
    <numFmt numFmtId="181" formatCode="0.0%"/>
    <numFmt numFmtId="182" formatCode="[$-416]dd\-mmm\-yy;@"/>
  </numFmts>
  <fonts count="43">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sz val="11"/>
      <color rgb="FFFFFFFF"/>
      <name val="Calibri"/>
      <family val="2"/>
      <charset val="1"/>
    </font>
    <font>
      <sz val="11"/>
      <color rgb="FF800080"/>
      <name val="Calibri"/>
      <family val="2"/>
      <charset val="1"/>
    </font>
    <font>
      <sz val="11"/>
      <color rgb="FF008000"/>
      <name val="Calibri"/>
      <family val="2"/>
      <charset val="1"/>
    </font>
    <font>
      <b val="true"/>
      <sz val="11"/>
      <color rgb="FFFF9900"/>
      <name val="Calibri"/>
      <family val="2"/>
      <charset val="1"/>
    </font>
    <font>
      <b val="true"/>
      <sz val="11"/>
      <color rgb="FFFFFFFF"/>
      <name val="Calibri"/>
      <family val="2"/>
      <charset val="1"/>
    </font>
    <font>
      <sz val="11"/>
      <color rgb="FFFF9900"/>
      <name val="Calibri"/>
      <family val="2"/>
      <charset val="1"/>
    </font>
    <font>
      <sz val="11"/>
      <color rgb="FF333399"/>
      <name val="Calibri"/>
      <family val="2"/>
      <charset val="1"/>
    </font>
    <font>
      <i val="true"/>
      <sz val="11"/>
      <color rgb="FF808080"/>
      <name val="Calibri"/>
      <family val="2"/>
      <charset val="1"/>
    </font>
    <font>
      <b val="true"/>
      <sz val="15"/>
      <color rgb="FF003366"/>
      <name val="Calibri"/>
      <family val="2"/>
      <charset val="1"/>
    </font>
    <font>
      <b val="true"/>
      <sz val="13"/>
      <color rgb="FF003366"/>
      <name val="Calibri"/>
      <family val="2"/>
      <charset val="1"/>
    </font>
    <font>
      <b val="true"/>
      <sz val="11"/>
      <color rgb="FF003366"/>
      <name val="Calibri"/>
      <family val="2"/>
      <charset val="1"/>
    </font>
    <font>
      <sz val="11"/>
      <color rgb="FF993300"/>
      <name val="Calibri"/>
      <family val="2"/>
      <charset val="1"/>
    </font>
    <font>
      <sz val="10"/>
      <name val="Arial"/>
      <family val="2"/>
      <charset val="1"/>
    </font>
    <font>
      <sz val="10"/>
      <color rgb="FF000000"/>
      <name val="Times New Roman"/>
      <family val="1"/>
      <charset val="1"/>
    </font>
    <font>
      <sz val="10"/>
      <name val="Arial MT"/>
      <family val="0"/>
      <charset val="1"/>
    </font>
    <font>
      <b val="true"/>
      <sz val="11"/>
      <color rgb="FF333333"/>
      <name val="Calibri"/>
      <family val="2"/>
      <charset val="1"/>
    </font>
    <font>
      <b val="true"/>
      <sz val="11"/>
      <color theme="1"/>
      <name val="Calibri"/>
      <family val="2"/>
      <charset val="1"/>
    </font>
    <font>
      <sz val="11"/>
      <color rgb="FFFF0000"/>
      <name val="Calibri"/>
      <family val="2"/>
      <charset val="1"/>
    </font>
    <font>
      <b val="true"/>
      <sz val="18"/>
      <color rgb="FF003366"/>
      <name val="Cambria"/>
      <family val="2"/>
      <charset val="1"/>
    </font>
    <font>
      <b val="true"/>
      <sz val="11"/>
      <color rgb="FF000000"/>
      <name val="Calibri"/>
      <family val="2"/>
      <charset val="1"/>
    </font>
    <font>
      <b val="true"/>
      <sz val="10"/>
      <name val="Arial"/>
      <family val="2"/>
      <charset val="1"/>
    </font>
    <font>
      <sz val="9"/>
      <color rgb="FF000000"/>
      <name val="Calibri"/>
      <family val="2"/>
      <charset val="1"/>
    </font>
    <font>
      <b val="true"/>
      <sz val="18"/>
      <color rgb="FF000000"/>
      <name val="Calibri"/>
      <family val="2"/>
      <charset val="1"/>
    </font>
    <font>
      <b val="true"/>
      <sz val="20"/>
      <color rgb="FFFF0000"/>
      <name val="Calibri"/>
      <family val="2"/>
      <charset val="1"/>
    </font>
    <font>
      <b val="true"/>
      <sz val="10"/>
      <color theme="1"/>
      <name val="Calibri"/>
      <family val="2"/>
      <charset val="1"/>
    </font>
    <font>
      <sz val="10"/>
      <color theme="1"/>
      <name val="Calibri"/>
      <family val="2"/>
      <charset val="1"/>
    </font>
    <font>
      <b val="true"/>
      <sz val="20"/>
      <name val="Calibri"/>
      <family val="2"/>
      <charset val="1"/>
    </font>
    <font>
      <b val="true"/>
      <sz val="9"/>
      <name val="Calibri"/>
      <family val="2"/>
      <charset val="1"/>
    </font>
    <font>
      <b val="true"/>
      <sz val="14"/>
      <name val="Calibri"/>
      <family val="2"/>
      <charset val="1"/>
    </font>
    <font>
      <b val="true"/>
      <sz val="9"/>
      <color theme="1"/>
      <name val="Calibri"/>
      <family val="2"/>
      <charset val="1"/>
    </font>
    <font>
      <b val="true"/>
      <sz val="11"/>
      <color rgb="FFFF0000"/>
      <name val="Calibri"/>
      <family val="2"/>
      <charset val="1"/>
    </font>
    <font>
      <b val="true"/>
      <sz val="9"/>
      <color rgb="FF000000"/>
      <name val="Calibri"/>
      <family val="2"/>
      <charset val="1"/>
    </font>
    <font>
      <b val="true"/>
      <sz val="9"/>
      <color rgb="FFFF0000"/>
      <name val="Calibri"/>
      <family val="2"/>
      <charset val="1"/>
    </font>
    <font>
      <sz val="9"/>
      <name val="Calibri"/>
      <family val="2"/>
      <charset val="1"/>
    </font>
    <font>
      <sz val="9"/>
      <color theme="1"/>
      <name val="Calibri"/>
      <family val="2"/>
      <charset val="1"/>
    </font>
    <font>
      <b val="true"/>
      <sz val="12"/>
      <color rgb="FFFF0000"/>
      <name val="Calibri"/>
      <family val="2"/>
      <charset val="1"/>
    </font>
    <font>
      <u val="single"/>
      <sz val="11"/>
      <color theme="10"/>
      <name val="Calibri"/>
      <family val="2"/>
      <charset val="1"/>
    </font>
    <font>
      <b val="true"/>
      <sz val="10"/>
      <color rgb="FFFF0000"/>
      <name val="Calibri"/>
      <family val="2"/>
      <charset val="1"/>
    </font>
  </fonts>
  <fills count="31">
    <fill>
      <patternFill patternType="none"/>
    </fill>
    <fill>
      <patternFill patternType="gray125"/>
    </fill>
    <fill>
      <patternFill patternType="solid">
        <fgColor rgb="FFCCCCFF"/>
        <bgColor rgb="FFD9D9D9"/>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CC"/>
      </patternFill>
    </fill>
    <fill>
      <patternFill patternType="solid">
        <fgColor rgb="FFFFCC99"/>
        <bgColor rgb="FFD9D9D9"/>
      </patternFill>
    </fill>
    <fill>
      <patternFill patternType="solid">
        <fgColor rgb="FF99CCFF"/>
        <bgColor rgb="FFCCCCFF"/>
      </patternFill>
    </fill>
    <fill>
      <patternFill patternType="solid">
        <fgColor rgb="FFFF8080"/>
        <bgColor rgb="FFED7D31"/>
      </patternFill>
    </fill>
    <fill>
      <patternFill patternType="solid">
        <fgColor rgb="FF00FF00"/>
        <bgColor rgb="FF33CCCC"/>
      </patternFill>
    </fill>
    <fill>
      <patternFill patternType="solid">
        <fgColor rgb="FFFFCC00"/>
        <bgColor rgb="FFFFC000"/>
      </patternFill>
    </fill>
    <fill>
      <patternFill patternType="solid">
        <fgColor rgb="FF0066CC"/>
        <bgColor rgb="FF0563C1"/>
      </patternFill>
    </fill>
    <fill>
      <patternFill patternType="solid">
        <fgColor rgb="FF800080"/>
        <bgColor rgb="FF800080"/>
      </patternFill>
    </fill>
    <fill>
      <patternFill patternType="solid">
        <fgColor rgb="FF33CCCC"/>
        <bgColor rgb="FF00B0F0"/>
      </patternFill>
    </fill>
    <fill>
      <patternFill patternType="solid">
        <fgColor rgb="FFFF9900"/>
        <bgColor rgb="FFED7D31"/>
      </patternFill>
    </fill>
    <fill>
      <patternFill patternType="solid">
        <fgColor rgb="FF333399"/>
        <bgColor rgb="FF404040"/>
      </patternFill>
    </fill>
    <fill>
      <patternFill patternType="solid">
        <fgColor rgb="FFFF0000"/>
        <bgColor rgb="FF993300"/>
      </patternFill>
    </fill>
    <fill>
      <patternFill patternType="solid">
        <fgColor rgb="FF339966"/>
        <bgColor rgb="FF008080"/>
      </patternFill>
    </fill>
    <fill>
      <patternFill patternType="solid">
        <fgColor rgb="FFFF6600"/>
        <bgColor rgb="FFED7D31"/>
      </patternFill>
    </fill>
    <fill>
      <patternFill patternType="solid">
        <fgColor rgb="FFC0C0C0"/>
        <bgColor rgb="FFCCCCFF"/>
      </patternFill>
    </fill>
    <fill>
      <patternFill patternType="solid">
        <fgColor rgb="FF969696"/>
        <bgColor rgb="FF808080"/>
      </patternFill>
    </fill>
    <fill>
      <patternFill patternType="solid">
        <fgColor rgb="FFFFFF99"/>
        <bgColor rgb="FFFFFFCC"/>
      </patternFill>
    </fill>
    <fill>
      <patternFill patternType="solid">
        <fgColor rgb="FFFFFFCC"/>
        <bgColor rgb="FFFFFFFF"/>
      </patternFill>
    </fill>
    <fill>
      <patternFill patternType="solid">
        <fgColor theme="5"/>
        <bgColor rgb="FFFF6600"/>
      </patternFill>
    </fill>
    <fill>
      <patternFill patternType="solid">
        <fgColor rgb="FF00B0F0"/>
        <bgColor rgb="FF33CCCC"/>
      </patternFill>
    </fill>
    <fill>
      <patternFill patternType="solid">
        <fgColor rgb="FFFFFF00"/>
        <bgColor rgb="FFFFCC00"/>
      </patternFill>
    </fill>
    <fill>
      <patternFill patternType="solid">
        <fgColor rgb="FFFFC000"/>
        <bgColor rgb="FFFFCC00"/>
      </patternFill>
    </fill>
    <fill>
      <patternFill patternType="solid">
        <fgColor rgb="FF92D050"/>
        <bgColor rgb="FFC0C0C0"/>
      </patternFill>
    </fill>
    <fill>
      <patternFill patternType="solid">
        <fgColor theme="0" tint="-0.15"/>
        <bgColor rgb="FFCCCCFF"/>
      </patternFill>
    </fill>
    <fill>
      <patternFill patternType="solid">
        <fgColor theme="0"/>
        <bgColor rgb="FFFFFFCC"/>
      </patternFill>
    </fill>
  </fills>
  <borders count="9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double">
        <color rgb="FFFF9900"/>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333399"/>
      </top>
      <bottom style="double">
        <color rgb="FF333399"/>
      </bottom>
      <diagonal/>
    </border>
    <border diagonalUp="false" diagonalDown="false">
      <left style="thin"/>
      <right style="medium"/>
      <top style="thin"/>
      <bottom style="thin"/>
      <diagonal/>
    </border>
    <border diagonalUp="false" diagonalDown="false">
      <left style="medium"/>
      <right/>
      <top style="medium"/>
      <bottom style="medium">
        <color theme="1"/>
      </bottom>
      <diagonal/>
    </border>
    <border diagonalUp="false" diagonalDown="false">
      <left/>
      <right style="medium"/>
      <top style="medium"/>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right style="medium"/>
      <top/>
      <bottom/>
      <diagonal/>
    </border>
    <border diagonalUp="false" diagonalDown="false">
      <left style="medium"/>
      <right/>
      <top/>
      <bottom style="thin"/>
      <diagonal/>
    </border>
    <border diagonalUp="false" diagonalDown="false">
      <left/>
      <right style="medium"/>
      <top/>
      <bottom style="thin"/>
      <diagonal/>
    </border>
    <border diagonalUp="false" diagonalDown="false">
      <left style="medium"/>
      <right style="medium"/>
      <top/>
      <bottom style="thin"/>
      <diagonal/>
    </border>
    <border diagonalUp="false" diagonalDown="false">
      <left style="medium"/>
      <right/>
      <top/>
      <bottom/>
      <diagonal/>
    </border>
    <border diagonalUp="false" diagonalDown="false">
      <left style="thin"/>
      <right/>
      <top style="thin"/>
      <bottom/>
      <diagonal/>
    </border>
    <border diagonalUp="false" diagonalDown="false">
      <left/>
      <right/>
      <top style="thin"/>
      <bottom/>
      <diagonal/>
    </border>
    <border diagonalUp="false" diagonalDown="false">
      <left style="medium"/>
      <right style="medium"/>
      <top style="thin"/>
      <bottom style="medium"/>
      <diagonal/>
    </border>
    <border diagonalUp="false" diagonalDown="false">
      <left style="medium"/>
      <right/>
      <top style="thin"/>
      <bottom/>
      <diagonal/>
    </border>
    <border diagonalUp="false" diagonalDown="false">
      <left/>
      <right style="medium"/>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top/>
      <bottom style="medium"/>
      <diagonal/>
    </border>
    <border diagonalUp="false" diagonalDown="false">
      <left style="medium"/>
      <right style="medium"/>
      <top/>
      <bottom style="medium"/>
      <diagonal/>
    </border>
    <border diagonalUp="false" diagonalDown="false">
      <left style="medium"/>
      <right/>
      <top style="medium">
        <color theme="1"/>
      </top>
      <bottom style="hair"/>
      <diagonal/>
    </border>
    <border diagonalUp="false" diagonalDown="false">
      <left style="thin">
        <color theme="1"/>
      </left>
      <right style="thin">
        <color theme="1"/>
      </right>
      <top style="medium">
        <color theme="1"/>
      </top>
      <bottom style="hair"/>
      <diagonal/>
    </border>
    <border diagonalUp="false" diagonalDown="false">
      <left/>
      <right/>
      <top style="medium">
        <color theme="1"/>
      </top>
      <bottom style="hair"/>
      <diagonal/>
    </border>
    <border diagonalUp="false" diagonalDown="false">
      <left style="thin"/>
      <right style="medium"/>
      <top style="medium"/>
      <bottom style="hair"/>
      <diagonal/>
    </border>
    <border diagonalUp="false" diagonalDown="false">
      <left style="medium"/>
      <right style="thin">
        <color theme="1"/>
      </right>
      <top style="thin">
        <color theme="1"/>
      </top>
      <bottom style="thin">
        <color theme="1"/>
      </bottom>
      <diagonal/>
    </border>
    <border diagonalUp="false" diagonalDown="false">
      <left/>
      <right style="thin">
        <color theme="1"/>
      </right>
      <top style="thin">
        <color theme="1"/>
      </top>
      <bottom style="thin">
        <color theme="1"/>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top style="thin">
        <color theme="1"/>
      </top>
      <bottom style="thin">
        <color theme="1"/>
      </bottom>
      <diagonal/>
    </border>
    <border diagonalUp="false" diagonalDown="false">
      <left/>
      <right style="medium"/>
      <top style="thin"/>
      <bottom style="thin"/>
      <diagonal/>
    </border>
    <border diagonalUp="false" diagonalDown="false">
      <left style="medium"/>
      <right/>
      <top style="hair"/>
      <bottom style="hair"/>
      <diagonal/>
    </border>
    <border diagonalUp="false" diagonalDown="false">
      <left style="thin">
        <color theme="1"/>
      </left>
      <right style="thin">
        <color theme="1"/>
      </right>
      <top style="hair"/>
      <bottom style="hair"/>
      <diagonal/>
    </border>
    <border diagonalUp="false" diagonalDown="false">
      <left/>
      <right/>
      <top style="hair"/>
      <bottom style="hair"/>
      <diagonal/>
    </border>
    <border diagonalUp="false" diagonalDown="false">
      <left style="thin"/>
      <right style="medium"/>
      <top style="hair"/>
      <bottom style="hair"/>
      <diagonal/>
    </border>
    <border diagonalUp="false" diagonalDown="false">
      <left style="medium"/>
      <right style="thin">
        <color theme="1"/>
      </right>
      <top/>
      <bottom/>
      <diagonal/>
    </border>
    <border diagonalUp="false" diagonalDown="false">
      <left/>
      <right style="thin">
        <color theme="1"/>
      </right>
      <top/>
      <bottom/>
      <diagonal/>
    </border>
    <border diagonalUp="false" diagonalDown="false">
      <left style="thin"/>
      <right style="thin"/>
      <top/>
      <bottom/>
      <diagonal/>
    </border>
    <border diagonalUp="false" diagonalDown="false">
      <left style="thin">
        <color theme="1"/>
      </left>
      <right style="thin">
        <color theme="1"/>
      </right>
      <top style="thin">
        <color theme="1"/>
      </top>
      <bottom style="hair"/>
      <diagonal/>
    </border>
    <border diagonalUp="false" diagonalDown="false">
      <left style="thin"/>
      <right style="medium"/>
      <top style="thin">
        <color theme="1"/>
      </top>
      <bottom style="hair"/>
      <diagonal/>
    </border>
    <border diagonalUp="false" diagonalDown="false">
      <left style="medium"/>
      <right style="thin"/>
      <top style="thin">
        <color theme="1"/>
      </top>
      <bottom style="hair"/>
      <diagonal/>
    </border>
    <border diagonalUp="false" diagonalDown="false">
      <left style="medium"/>
      <right style="thin">
        <color theme="1"/>
      </right>
      <top style="hair"/>
      <bottom style="hair"/>
      <diagonal/>
    </border>
    <border diagonalUp="false" diagonalDown="false">
      <left/>
      <right style="thin">
        <color theme="1"/>
      </right>
      <top style="hair"/>
      <bottom style="hair"/>
      <diagonal/>
    </border>
    <border diagonalUp="false" diagonalDown="false">
      <left style="thin">
        <color theme="1"/>
      </left>
      <right/>
      <top style="hair"/>
      <bottom style="hair"/>
      <diagonal/>
    </border>
    <border diagonalUp="false" diagonalDown="false">
      <left style="medium"/>
      <right/>
      <top/>
      <bottom style="hair"/>
      <diagonal/>
    </border>
    <border diagonalUp="false" diagonalDown="false">
      <left style="thin">
        <color theme="1"/>
      </left>
      <right style="thin">
        <color theme="1"/>
      </right>
      <top/>
      <bottom style="hair"/>
      <diagonal/>
    </border>
    <border diagonalUp="false" diagonalDown="false">
      <left/>
      <right/>
      <top/>
      <bottom style="hair"/>
      <diagonal/>
    </border>
    <border diagonalUp="false" diagonalDown="false">
      <left style="medium"/>
      <right style="thin">
        <color theme="1"/>
      </right>
      <top/>
      <bottom style="hair">
        <color theme="1"/>
      </bottom>
      <diagonal/>
    </border>
    <border diagonalUp="false" diagonalDown="false">
      <left/>
      <right style="thin">
        <color theme="1"/>
      </right>
      <top/>
      <bottom style="hair">
        <color theme="1"/>
      </bottom>
      <diagonal/>
    </border>
    <border diagonalUp="false" diagonalDown="false">
      <left style="thin">
        <color theme="1"/>
      </left>
      <right/>
      <top/>
      <bottom style="hair">
        <color theme="1"/>
      </bottom>
      <diagonal/>
    </border>
    <border diagonalUp="false" diagonalDown="false">
      <left style="thin"/>
      <right style="medium"/>
      <top/>
      <bottom style="hair">
        <color theme="1"/>
      </bottom>
      <diagonal/>
    </border>
    <border diagonalUp="false" diagonalDown="false">
      <left style="medium"/>
      <right/>
      <top style="medium"/>
      <bottom style="thin"/>
      <diagonal/>
    </border>
    <border diagonalUp="false" diagonalDown="false">
      <left/>
      <right/>
      <top style="medium"/>
      <bottom/>
      <diagonal/>
    </border>
    <border diagonalUp="false" diagonalDown="false">
      <left/>
      <right style="thin"/>
      <top style="medium"/>
      <bottom/>
      <diagonal/>
    </border>
    <border diagonalUp="false" diagonalDown="false">
      <left style="thin"/>
      <right/>
      <top style="medium"/>
      <bottom/>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top/>
      <bottom/>
      <diagonal/>
    </border>
    <border diagonalUp="false" diagonalDown="false">
      <left/>
      <right style="medium"/>
      <top/>
      <bottom style="medium"/>
      <diagonal/>
    </border>
    <border diagonalUp="false" diagonalDown="false">
      <left style="medium"/>
      <right style="thin"/>
      <top style="medium"/>
      <bottom style="hair"/>
      <diagonal/>
    </border>
    <border diagonalUp="false" diagonalDown="false">
      <left style="thin">
        <color theme="1"/>
      </left>
      <right/>
      <top style="medium">
        <color theme="1"/>
      </top>
      <bottom style="hair">
        <color theme="1"/>
      </bottom>
      <diagonal/>
    </border>
    <border diagonalUp="false" diagonalDown="false">
      <left style="thin"/>
      <right style="thin"/>
      <top/>
      <bottom style="thin"/>
      <diagonal/>
    </border>
    <border diagonalUp="false" diagonalDown="false">
      <left/>
      <right style="thin"/>
      <top style="thin"/>
      <bottom/>
      <diagonal/>
    </border>
    <border diagonalUp="false" diagonalDown="false">
      <left/>
      <right style="thin"/>
      <top/>
      <bottom style="medium"/>
      <diagonal/>
    </border>
    <border diagonalUp="false" diagonalDown="false">
      <left style="thin"/>
      <right style="thin"/>
      <top style="medium"/>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medium"/>
      <top/>
      <bottom style="thin"/>
      <diagonal/>
    </border>
    <border diagonalUp="false" diagonalDown="false">
      <left style="medium"/>
      <right style="thin"/>
      <top style="thin"/>
      <bottom/>
      <diagonal/>
    </border>
    <border diagonalUp="false" diagonalDown="false">
      <left/>
      <right/>
      <top style="thin"/>
      <bottom style="thin"/>
      <diagonal/>
    </border>
    <border diagonalUp="false" diagonalDown="false">
      <left style="medium"/>
      <right style="thin"/>
      <top/>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color theme="1"/>
      </top>
      <bottom/>
      <diagonal/>
    </border>
    <border diagonalUp="false" diagonalDown="false">
      <left style="thin"/>
      <right style="thin"/>
      <top style="medium"/>
      <bottom/>
      <diagonal/>
    </border>
    <border diagonalUp="false" diagonalDown="false">
      <left/>
      <right style="medium"/>
      <top/>
      <bottom style="hair"/>
      <diagonal/>
    </border>
    <border diagonalUp="false" diagonalDown="false">
      <left style="medium"/>
      <right style="thin">
        <color theme="1"/>
      </right>
      <top style="hair"/>
      <bottom style="medium">
        <color theme="1"/>
      </bottom>
      <diagonal/>
    </border>
    <border diagonalUp="false" diagonalDown="false">
      <left style="thin"/>
      <right style="thin"/>
      <top/>
      <bottom style="medium"/>
      <diagonal/>
    </border>
    <border diagonalUp="false" diagonalDown="false">
      <left style="medium"/>
      <right style="thin"/>
      <top style="medium"/>
      <bottom/>
      <diagonal/>
    </border>
  </borders>
  <cellStyleXfs count="14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41"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5" fillId="12" borderId="0" applyFont="true" applyBorder="false" applyAlignment="true" applyProtection="false">
      <alignment horizontal="general" vertical="bottom" textRotation="0" wrapText="false" indent="0" shrinkToFit="false"/>
    </xf>
    <xf numFmtId="164" fontId="5" fillId="9" borderId="0" applyFont="true" applyBorder="false" applyAlignment="true" applyProtection="false">
      <alignment horizontal="general" vertical="bottom" textRotation="0" wrapText="false" indent="0" shrinkToFit="false"/>
    </xf>
    <xf numFmtId="164" fontId="5" fillId="10"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5" fillId="12" borderId="0" applyFont="true" applyBorder="false" applyAlignment="true" applyProtection="false">
      <alignment horizontal="general" vertical="bottom" textRotation="0" wrapText="false" indent="0" shrinkToFit="false"/>
    </xf>
    <xf numFmtId="164" fontId="5" fillId="9" borderId="0" applyFont="true" applyBorder="false" applyAlignment="true" applyProtection="false">
      <alignment horizontal="general" vertical="bottom" textRotation="0" wrapText="false" indent="0" shrinkToFit="false"/>
    </xf>
    <xf numFmtId="164" fontId="5" fillId="10"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5" fillId="16" borderId="0" applyFont="true" applyBorder="false" applyAlignment="true" applyProtection="false">
      <alignment horizontal="general" vertical="bottom" textRotation="0" wrapText="false" indent="0" shrinkToFit="false"/>
    </xf>
    <xf numFmtId="164" fontId="5" fillId="17" borderId="0" applyFont="true" applyBorder="false" applyAlignment="true" applyProtection="false">
      <alignment horizontal="general" vertical="bottom" textRotation="0" wrapText="false" indent="0" shrinkToFit="false"/>
    </xf>
    <xf numFmtId="164" fontId="5" fillId="18"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9" borderId="0" applyFont="true" applyBorder="false" applyAlignment="true" applyProtection="false">
      <alignment horizontal="general" vertical="bottom" textRotation="0" wrapText="false" indent="0" shrinkToFit="false"/>
    </xf>
    <xf numFmtId="164" fontId="6" fillId="3" borderId="0" applyFont="true" applyBorder="false" applyAlignment="true" applyProtection="false">
      <alignment horizontal="general" vertical="bottom" textRotation="0" wrapText="false" indent="0" shrinkToFit="false"/>
    </xf>
    <xf numFmtId="164" fontId="7" fillId="4" borderId="0" applyFont="true" applyBorder="false" applyAlignment="true" applyProtection="false">
      <alignment horizontal="general" vertical="bottom" textRotation="0" wrapText="false" indent="0" shrinkToFit="false"/>
    </xf>
    <xf numFmtId="164" fontId="8" fillId="20" borderId="1" applyFont="true" applyBorder="true" applyAlignment="true" applyProtection="false">
      <alignment horizontal="general" vertical="bottom" textRotation="0" wrapText="false" indent="0" shrinkToFit="false"/>
    </xf>
    <xf numFmtId="164" fontId="9" fillId="21" borderId="2" applyFont="true" applyBorder="true" applyAlignment="true" applyProtection="false">
      <alignment horizontal="general" vertical="bottom" textRotation="0" wrapText="false" indent="0" shrinkToFit="false"/>
    </xf>
    <xf numFmtId="164" fontId="8" fillId="20" borderId="1" applyFont="true" applyBorder="true" applyAlignment="true" applyProtection="false">
      <alignment horizontal="general" vertical="bottom" textRotation="0" wrapText="false" indent="0" shrinkToFit="false"/>
    </xf>
    <xf numFmtId="164" fontId="9" fillId="21" borderId="2"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1" fillId="7" borderId="1" applyFont="true" applyBorder="tru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7" fillId="4" borderId="0" applyFont="true" applyBorder="false" applyAlignment="true" applyProtection="false">
      <alignment horizontal="general" vertical="bottom" textRotation="0" wrapText="false" indent="0" shrinkToFit="false"/>
    </xf>
    <xf numFmtId="164" fontId="13" fillId="0" borderId="4" applyFont="true" applyBorder="true" applyAlignment="true" applyProtection="false">
      <alignment horizontal="general" vertical="bottom" textRotation="0" wrapText="false" indent="0" shrinkToFit="false"/>
    </xf>
    <xf numFmtId="164" fontId="14" fillId="0" borderId="5" applyFont="true" applyBorder="true" applyAlignment="true" applyProtection="false">
      <alignment horizontal="general" vertical="bottom" textRotation="0" wrapText="false" indent="0" shrinkToFit="false"/>
    </xf>
    <xf numFmtId="164" fontId="15" fillId="0" borderId="6" applyFont="true" applyBorder="tru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6" fillId="3" borderId="0" applyFont="true" applyBorder="false" applyAlignment="true" applyProtection="false">
      <alignment horizontal="general" vertical="bottom" textRotation="0" wrapText="false" indent="0" shrinkToFit="false"/>
    </xf>
    <xf numFmtId="164" fontId="11" fillId="7" borderId="1"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true" applyAlignment="true" applyProtection="true">
      <alignment horizontal="general" vertical="bottom" textRotation="0" wrapText="false" indent="0" shrinkToFit="false"/>
      <protection locked="true" hidden="false"/>
    </xf>
    <xf numFmtId="164" fontId="16" fillId="22" borderId="0" applyFont="true" applyBorder="false" applyAlignment="true" applyProtection="false">
      <alignment horizontal="general" vertical="bottom" textRotation="0" wrapText="false" indent="0" shrinkToFit="false"/>
    </xf>
    <xf numFmtId="164" fontId="16" fillId="22" borderId="0" applyFont="true" applyBorder="false" applyAlignment="true" applyProtection="false">
      <alignment horizontal="general" vertical="bottom" textRotation="0" wrapText="false" indent="0" shrinkToFit="false"/>
    </xf>
    <xf numFmtId="164" fontId="17"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8" fontId="1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23" borderId="7" applyFont="true" applyBorder="true" applyAlignment="true" applyProtection="false">
      <alignment horizontal="general" vertical="bottom" textRotation="0" wrapText="false" indent="0" shrinkToFit="false"/>
    </xf>
    <xf numFmtId="164" fontId="0" fillId="23" borderId="7" applyFont="true" applyBorder="true" applyAlignment="true" applyProtection="false">
      <alignment horizontal="general" vertical="bottom" textRotation="0" wrapText="false" indent="0" shrinkToFit="false"/>
    </xf>
    <xf numFmtId="164" fontId="20" fillId="20" borderId="8"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21" fillId="0" borderId="0" applyFont="true" applyBorder="false" applyAlignment="true" applyProtection="false">
      <alignment horizontal="general" vertical="bottom" textRotation="0" wrapText="false" indent="0" shrinkToFit="false"/>
    </xf>
    <xf numFmtId="164" fontId="21"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4" fontId="20" fillId="20" borderId="8" applyFont="true" applyBorder="tru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17"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23" fillId="0" borderId="0" applyFont="true" applyBorder="false" applyAlignment="true" applyProtection="false">
      <alignment horizontal="general" vertical="bottom" textRotation="0" wrapText="false" indent="0" shrinkToFit="false"/>
    </xf>
    <xf numFmtId="164" fontId="24" fillId="0" borderId="9" applyFont="true" applyBorder="true" applyAlignment="true" applyProtection="false">
      <alignment horizontal="general" vertical="bottom" textRotation="0" wrapText="false" indent="0" shrinkToFit="false"/>
    </xf>
    <xf numFmtId="164" fontId="13" fillId="0" borderId="4" applyFont="true" applyBorder="true" applyAlignment="true" applyProtection="false">
      <alignment horizontal="general" vertical="bottom" textRotation="0" wrapText="false" indent="0" shrinkToFit="false"/>
    </xf>
    <xf numFmtId="164" fontId="14" fillId="0" borderId="5" applyFont="true" applyBorder="true" applyAlignment="true" applyProtection="false">
      <alignment horizontal="general" vertical="bottom" textRotation="0" wrapText="false" indent="0" shrinkToFit="false"/>
    </xf>
    <xf numFmtId="164" fontId="15" fillId="0" borderId="6" applyFont="true" applyBorder="tru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23"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22" fillId="0" borderId="0" applyFont="true" applyBorder="false" applyAlignment="true" applyProtection="false">
      <alignment horizontal="general" vertical="bottom" textRotation="0" wrapText="false" indent="0" shrinkToFit="false"/>
    </xf>
    <xf numFmtId="164" fontId="5" fillId="16" borderId="0" applyFont="true" applyBorder="false" applyAlignment="true" applyProtection="false">
      <alignment horizontal="general" vertical="bottom" textRotation="0" wrapText="false" indent="0" shrinkToFit="false"/>
    </xf>
    <xf numFmtId="164" fontId="5" fillId="17" borderId="0" applyFont="true" applyBorder="false" applyAlignment="true" applyProtection="false">
      <alignment horizontal="general" vertical="bottom" textRotation="0" wrapText="false" indent="0" shrinkToFit="false"/>
    </xf>
    <xf numFmtId="164" fontId="5" fillId="18" borderId="0" applyFont="true" applyBorder="false" applyAlignment="true" applyProtection="false">
      <alignment horizontal="general" vertical="bottom" textRotation="0" wrapText="false" indent="0" shrinkToFit="false"/>
    </xf>
    <xf numFmtId="164" fontId="5"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9" borderId="0" applyFont="true" applyBorder="false" applyAlignment="true" applyProtection="false">
      <alignment horizontal="general" vertical="bottom" textRotation="0" wrapText="false" indent="0" shrinkToFit="false"/>
    </xf>
  </cellStyleXfs>
  <cellXfs count="2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71" fontId="25" fillId="0" borderId="10" xfId="13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6" fillId="0" borderId="0" xfId="95" applyFont="true" applyBorder="false" applyAlignment="true" applyProtection="true">
      <alignment horizontal="left" vertical="top" textRotation="0" wrapText="false" indent="0" shrinkToFit="false"/>
      <protection locked="true" hidden="false"/>
    </xf>
    <xf numFmtId="164" fontId="26" fillId="0" borderId="0" xfId="95" applyFont="true" applyBorder="false" applyAlignment="true" applyProtection="true">
      <alignment horizontal="left" vertical="top" textRotation="0" wrapText="false" indent="2" shrinkToFit="false"/>
      <protection locked="true" hidden="false"/>
    </xf>
    <xf numFmtId="164" fontId="26" fillId="0" borderId="0" xfId="95" applyFont="true" applyBorder="false" applyAlignment="true" applyProtection="true">
      <alignment horizontal="center" vertical="top" textRotation="0" wrapText="false" indent="0" shrinkToFit="false"/>
      <protection locked="true" hidden="false"/>
    </xf>
    <xf numFmtId="164" fontId="26" fillId="0" borderId="0" xfId="95" applyFont="true" applyBorder="false" applyAlignment="true" applyProtection="true">
      <alignment horizontal="left" vertical="top" textRotation="0" wrapText="false" indent="1" shrinkToFit="false"/>
      <protection locked="true" hidden="false"/>
    </xf>
    <xf numFmtId="164" fontId="27" fillId="0" borderId="11" xfId="95" applyFont="true" applyBorder="true" applyAlignment="true" applyProtection="true">
      <alignment horizontal="center" vertical="center" textRotation="0" wrapText="false" indent="0" shrinkToFit="false"/>
      <protection locked="true" hidden="false"/>
    </xf>
    <xf numFmtId="164" fontId="27" fillId="0" borderId="12" xfId="95" applyFont="true" applyBorder="true" applyAlignment="true" applyProtection="true">
      <alignment horizontal="center" vertical="center" textRotation="0" wrapText="false" indent="0" shrinkToFit="false"/>
      <protection locked="true" hidden="false"/>
    </xf>
    <xf numFmtId="164" fontId="28" fillId="0" borderId="13" xfId="0" applyFont="true" applyBorder="true" applyAlignment="true" applyProtection="true">
      <alignment horizontal="center" vertical="center" textRotation="0" wrapText="false" indent="0" shrinkToFit="false"/>
      <protection locked="true" hidden="false"/>
    </xf>
    <xf numFmtId="164" fontId="28" fillId="0" borderId="14" xfId="0" applyFont="true" applyBorder="true" applyAlignment="true" applyProtection="true">
      <alignment horizontal="center" vertical="center" textRotation="0" wrapText="false" indent="0" shrinkToFit="false"/>
      <protection locked="true" hidden="false"/>
    </xf>
    <xf numFmtId="164" fontId="29" fillId="0" borderId="15" xfId="0" applyFont="true" applyBorder="true" applyAlignment="true" applyProtection="true">
      <alignment horizontal="left" vertical="top" textRotation="0" wrapText="false" indent="1" shrinkToFit="false"/>
      <protection locked="true" hidden="false"/>
    </xf>
    <xf numFmtId="164" fontId="30" fillId="0" borderId="12" xfId="0" applyFont="true" applyBorder="true" applyAlignment="true" applyProtection="true">
      <alignment horizontal="general" vertical="bottom" textRotation="0" wrapText="false" indent="0" shrinkToFit="false"/>
      <protection locked="true" hidden="false"/>
    </xf>
    <xf numFmtId="164" fontId="31" fillId="24" borderId="16" xfId="0" applyFont="true" applyBorder="true" applyAlignment="true" applyProtection="true">
      <alignment horizontal="center" vertical="center" textRotation="0" wrapText="false" indent="0" shrinkToFit="false"/>
      <protection locked="true" hidden="false"/>
    </xf>
    <xf numFmtId="164" fontId="32" fillId="0" borderId="15" xfId="0" applyFont="true" applyBorder="true" applyAlignment="true" applyProtection="true">
      <alignment horizontal="left" vertical="center" textRotation="0" wrapText="false" indent="1" shrinkToFit="false"/>
      <protection locked="true" hidden="false"/>
    </xf>
    <xf numFmtId="164" fontId="33" fillId="0" borderId="12" xfId="0" applyFont="true" applyBorder="true" applyAlignment="true" applyProtection="true">
      <alignment horizontal="general" vertical="center" textRotation="0" wrapText="false" indent="0" shrinkToFit="false"/>
      <protection locked="true" hidden="false"/>
    </xf>
    <xf numFmtId="164" fontId="27" fillId="0" borderId="17" xfId="95" applyFont="true" applyBorder="true" applyAlignment="true" applyProtection="true">
      <alignment horizontal="center" vertical="center" textRotation="0" wrapText="false" indent="0" shrinkToFit="false"/>
      <protection locked="true" hidden="false"/>
    </xf>
    <xf numFmtId="164" fontId="34" fillId="0" borderId="18" xfId="0" applyFont="true" applyBorder="true" applyAlignment="true" applyProtection="true">
      <alignment horizontal="right" vertical="bottom" textRotation="0" wrapText="false" indent="0" shrinkToFit="false"/>
      <protection locked="true" hidden="false"/>
    </xf>
    <xf numFmtId="164" fontId="34" fillId="0" borderId="19" xfId="0" applyFont="true" applyBorder="true" applyAlignment="true" applyProtection="true">
      <alignment horizontal="left" vertical="bottom" textRotation="0" wrapText="false" indent="0" shrinkToFit="false"/>
      <protection locked="true" hidden="false"/>
    </xf>
    <xf numFmtId="164" fontId="33" fillId="0" borderId="20" xfId="0" applyFont="true" applyBorder="true" applyAlignment="true" applyProtection="true">
      <alignment horizontal="center" vertical="center" textRotation="0" wrapText="false" indent="0" shrinkToFit="false"/>
      <protection locked="true" hidden="false"/>
    </xf>
    <xf numFmtId="164" fontId="21" fillId="0" borderId="21" xfId="0" applyFont="true" applyBorder="true" applyAlignment="true" applyProtection="true">
      <alignment horizontal="left" vertical="bottom" textRotation="0" wrapText="false" indent="1" shrinkToFit="false"/>
      <protection locked="true" hidden="false"/>
    </xf>
    <xf numFmtId="164" fontId="21" fillId="0" borderId="0" xfId="0" applyFont="true" applyBorder="false" applyAlignment="true" applyProtection="true">
      <alignment horizontal="left" vertical="bottom" textRotation="0" wrapText="false" indent="1" shrinkToFit="false"/>
      <protection locked="true" hidden="false"/>
    </xf>
    <xf numFmtId="164" fontId="34" fillId="0" borderId="22" xfId="0" applyFont="true" applyBorder="true" applyAlignment="true" applyProtection="true">
      <alignment horizontal="left" vertical="bottom" textRotation="0" wrapText="false" indent="1" shrinkToFit="false"/>
      <protection locked="true" hidden="false"/>
    </xf>
    <xf numFmtId="164" fontId="34" fillId="0" borderId="23" xfId="0" applyFont="true" applyBorder="true" applyAlignment="true" applyProtection="true">
      <alignment horizontal="general" vertical="center" textRotation="0" wrapText="false" indent="0" shrinkToFit="false"/>
      <protection locked="true" hidden="false"/>
    </xf>
    <xf numFmtId="164" fontId="34" fillId="25" borderId="24" xfId="0" applyFont="true" applyBorder="true" applyAlignment="true" applyProtection="true">
      <alignment horizontal="center" vertical="center" textRotation="0" wrapText="false" indent="0" shrinkToFit="false"/>
      <protection locked="true" hidden="false"/>
    </xf>
    <xf numFmtId="164" fontId="34" fillId="0" borderId="24" xfId="0" applyFont="true" applyBorder="true" applyAlignment="true" applyProtection="true">
      <alignment horizontal="center" vertical="center" textRotation="0" wrapText="true" indent="0" shrinkToFit="false"/>
      <protection locked="true" hidden="false"/>
    </xf>
    <xf numFmtId="164" fontId="34" fillId="24" borderId="24" xfId="0" applyFont="true" applyBorder="true" applyAlignment="true" applyProtection="true">
      <alignment horizontal="center" vertical="center" textRotation="0" wrapText="true" indent="0" shrinkToFit="false"/>
      <protection locked="true" hidden="false"/>
    </xf>
    <xf numFmtId="164" fontId="32" fillId="0" borderId="25" xfId="0" applyFont="true" applyBorder="true" applyAlignment="true" applyProtection="true">
      <alignment horizontal="left" vertical="center" textRotation="0" wrapText="false" indent="1" shrinkToFit="false"/>
      <protection locked="true" hidden="false"/>
    </xf>
    <xf numFmtId="164" fontId="32" fillId="0" borderId="26" xfId="0" applyFont="true" applyBorder="true" applyAlignment="true" applyProtection="true">
      <alignment horizontal="general" vertical="center" textRotation="0" wrapText="false" indent="0" shrinkToFit="false"/>
      <protection locked="true" hidden="false"/>
    </xf>
    <xf numFmtId="164" fontId="30" fillId="0" borderId="27" xfId="0" applyFont="true" applyBorder="true" applyAlignment="true" applyProtection="true">
      <alignment horizontal="left" vertical="bottom" textRotation="0" wrapText="false" indent="1" shrinkToFit="false"/>
      <protection locked="true" hidden="false"/>
    </xf>
    <xf numFmtId="164" fontId="30" fillId="0" borderId="28" xfId="0" applyFont="true" applyBorder="true" applyAlignment="true" applyProtection="true">
      <alignment horizontal="left" vertical="bottom" textRotation="0" wrapText="false" indent="1" shrinkToFit="false"/>
      <protection locked="true" hidden="false"/>
    </xf>
    <xf numFmtId="164" fontId="30" fillId="0" borderId="28" xfId="0" applyFont="true" applyBorder="true" applyAlignment="true" applyProtection="true">
      <alignment horizontal="left" vertical="bottom" textRotation="0" wrapText="false" indent="0" shrinkToFit="false"/>
      <protection locked="true" hidden="false"/>
    </xf>
    <xf numFmtId="172" fontId="35" fillId="0" borderId="29" xfId="0" applyFont="true" applyBorder="true" applyAlignment="true" applyProtection="true">
      <alignment horizontal="center" vertical="bottom" textRotation="0" wrapText="false" indent="0" shrinkToFit="false"/>
      <protection locked="true" hidden="false"/>
    </xf>
    <xf numFmtId="164" fontId="32" fillId="0" borderId="30" xfId="0" applyFont="true" applyBorder="true" applyAlignment="true" applyProtection="true">
      <alignment horizontal="center" vertical="center" textRotation="0" wrapText="false" indent="0" shrinkToFit="false"/>
      <protection locked="true" hidden="false"/>
    </xf>
    <xf numFmtId="164" fontId="36" fillId="26" borderId="31" xfId="95" applyFont="true" applyBorder="true" applyAlignment="true" applyProtection="true">
      <alignment horizontal="center" vertical="center" textRotation="0" wrapText="true" indent="0" shrinkToFit="false"/>
      <protection locked="true" hidden="false"/>
    </xf>
    <xf numFmtId="164" fontId="36" fillId="26" borderId="32" xfId="95" applyFont="true" applyBorder="true" applyAlignment="true" applyProtection="true">
      <alignment horizontal="center" vertical="center" textRotation="0" wrapText="true" indent="0" shrinkToFit="false"/>
      <protection locked="true" hidden="false"/>
    </xf>
    <xf numFmtId="164" fontId="36" fillId="26" borderId="33" xfId="95" applyFont="true" applyBorder="true" applyAlignment="true" applyProtection="true">
      <alignment horizontal="center" vertical="center" textRotation="0" wrapText="true" indent="0" shrinkToFit="false"/>
      <protection locked="true" hidden="false"/>
    </xf>
    <xf numFmtId="164" fontId="36" fillId="26" borderId="34" xfId="95" applyFont="true" applyBorder="true" applyAlignment="true" applyProtection="true">
      <alignment horizontal="center" vertical="center" textRotation="0" wrapText="true" indent="0" shrinkToFit="false"/>
      <protection locked="true" hidden="false"/>
    </xf>
    <xf numFmtId="164" fontId="32" fillId="0" borderId="35" xfId="95" applyFont="true" applyBorder="true" applyAlignment="true" applyProtection="true">
      <alignment horizontal="center" vertical="center" textRotation="0" wrapText="true" indent="0" shrinkToFit="false"/>
      <protection locked="true" hidden="false"/>
    </xf>
    <xf numFmtId="164" fontId="32" fillId="0" borderId="36" xfId="95" applyFont="true" applyBorder="true" applyAlignment="true" applyProtection="true">
      <alignment horizontal="center" vertical="center" textRotation="0" wrapText="true" indent="0" shrinkToFit="false"/>
      <protection locked="true" hidden="false"/>
    </xf>
    <xf numFmtId="164" fontId="32" fillId="27" borderId="36" xfId="95" applyFont="true" applyBorder="true" applyAlignment="true" applyProtection="true">
      <alignment horizontal="center" vertical="center" textRotation="0" wrapText="true" indent="0" shrinkToFit="false"/>
      <protection locked="true" hidden="false"/>
    </xf>
    <xf numFmtId="164" fontId="32" fillId="0" borderId="37" xfId="95" applyFont="true" applyBorder="true" applyAlignment="true" applyProtection="true">
      <alignment horizontal="center" vertical="center" textRotation="0" wrapText="true" indent="0" shrinkToFit="false"/>
      <protection locked="true" hidden="false"/>
    </xf>
    <xf numFmtId="164" fontId="32" fillId="0" borderId="38" xfId="95" applyFont="true" applyBorder="true" applyAlignment="true" applyProtection="true">
      <alignment horizontal="center" vertical="center" textRotation="0" wrapText="true" indent="0" shrinkToFit="false"/>
      <protection locked="true" hidden="false"/>
    </xf>
    <xf numFmtId="164" fontId="32" fillId="0" borderId="14" xfId="95" applyFont="true" applyBorder="true" applyAlignment="true" applyProtection="true">
      <alignment horizontal="center" vertical="center" textRotation="0" wrapText="true" indent="0" shrinkToFit="false"/>
      <protection locked="true" hidden="false"/>
    </xf>
    <xf numFmtId="164" fontId="32" fillId="0" borderId="39" xfId="95" applyFont="true" applyBorder="true" applyAlignment="true" applyProtection="true">
      <alignment horizontal="center" vertical="center" textRotation="0" wrapText="true" indent="0" shrinkToFit="false"/>
      <protection locked="true" hidden="false"/>
    </xf>
    <xf numFmtId="164" fontId="32" fillId="0" borderId="13" xfId="95" applyFont="true" applyBorder="true" applyAlignment="true" applyProtection="true">
      <alignment horizontal="center" vertical="center" textRotation="0" wrapText="true" indent="0" shrinkToFit="false"/>
      <protection locked="true" hidden="false"/>
    </xf>
    <xf numFmtId="164" fontId="32" fillId="0" borderId="40" xfId="95" applyFont="true" applyBorder="true" applyAlignment="true" applyProtection="true">
      <alignment horizontal="center" vertical="center" textRotation="0" wrapText="true" indent="0" shrinkToFit="false"/>
      <protection locked="true" hidden="false"/>
    </xf>
    <xf numFmtId="164" fontId="32" fillId="24" borderId="13" xfId="95" applyFont="true" applyBorder="true" applyAlignment="true" applyProtection="true">
      <alignment horizontal="center" vertical="center" textRotation="0" wrapText="true" indent="0" shrinkToFit="false"/>
      <protection locked="true" hidden="false"/>
    </xf>
    <xf numFmtId="164" fontId="32" fillId="24" borderId="10" xfId="95" applyFont="true" applyBorder="true" applyAlignment="true" applyProtection="true">
      <alignment horizontal="center" vertical="center" textRotation="0" wrapText="true" indent="0" shrinkToFit="false"/>
      <protection locked="true" hidden="false"/>
    </xf>
    <xf numFmtId="164" fontId="32" fillId="0" borderId="10" xfId="95" applyFont="true" applyBorder="true" applyAlignment="true" applyProtection="true">
      <alignment horizontal="center" vertical="center" textRotation="0" wrapText="true" indent="0" shrinkToFit="false"/>
      <protection locked="true" hidden="false"/>
    </xf>
    <xf numFmtId="173" fontId="32" fillId="0" borderId="0" xfId="19" applyFont="true" applyBorder="true" applyAlignment="true" applyProtection="true">
      <alignment horizontal="left" vertical="bottom" textRotation="0" wrapText="false" indent="0" shrinkToFit="false"/>
      <protection locked="true" hidden="false"/>
    </xf>
    <xf numFmtId="164" fontId="32" fillId="28" borderId="41" xfId="95" applyFont="true" applyBorder="true" applyAlignment="true" applyProtection="true">
      <alignment horizontal="left" vertical="bottom" textRotation="0" wrapText="false" indent="1" shrinkToFit="false"/>
      <protection locked="true" hidden="false"/>
    </xf>
    <xf numFmtId="164" fontId="32" fillId="28" borderId="42" xfId="95" applyFont="true" applyBorder="true" applyAlignment="true" applyProtection="true">
      <alignment horizontal="left" vertical="bottom" textRotation="0" wrapText="false" indent="1" shrinkToFit="false"/>
      <protection locked="true" hidden="false"/>
    </xf>
    <xf numFmtId="164" fontId="32" fillId="28" borderId="43" xfId="0" applyFont="true" applyBorder="true" applyAlignment="true" applyProtection="true">
      <alignment horizontal="left" vertical="bottom" textRotation="0" wrapText="false" indent="1" shrinkToFit="false"/>
      <protection locked="true" hidden="false"/>
    </xf>
    <xf numFmtId="164" fontId="32" fillId="28" borderId="44" xfId="0" applyFont="true" applyBorder="true" applyAlignment="true" applyProtection="true">
      <alignment horizontal="left" vertical="bottom" textRotation="0" wrapText="false" indent="1" shrinkToFit="false"/>
      <protection locked="true" hidden="false"/>
    </xf>
    <xf numFmtId="164" fontId="32" fillId="28" borderId="45" xfId="95" applyFont="true" applyBorder="true" applyAlignment="true" applyProtection="true">
      <alignment horizontal="left" vertical="center" textRotation="0" wrapText="true" indent="1" shrinkToFit="false"/>
      <protection locked="true" hidden="false"/>
    </xf>
    <xf numFmtId="164" fontId="32" fillId="28" borderId="46" xfId="95" applyFont="true" applyBorder="true" applyAlignment="true" applyProtection="true">
      <alignment horizontal="left" vertical="bottom" textRotation="0" wrapText="true" indent="1" shrinkToFit="false"/>
      <protection locked="true" hidden="false"/>
    </xf>
    <xf numFmtId="164" fontId="32" fillId="28" borderId="46" xfId="95" applyFont="true" applyBorder="true" applyAlignment="true" applyProtection="true">
      <alignment horizontal="center" vertical="bottom" textRotation="0" wrapText="true" indent="0" shrinkToFit="false"/>
      <protection locked="true" hidden="false"/>
    </xf>
    <xf numFmtId="164" fontId="32" fillId="28" borderId="47" xfId="95" applyFont="true" applyBorder="true" applyAlignment="true" applyProtection="true">
      <alignment horizontal="left" vertical="center" textRotation="0" wrapText="true" indent="1" shrinkToFit="false"/>
      <protection locked="true" hidden="false"/>
    </xf>
    <xf numFmtId="164" fontId="32" fillId="28" borderId="47" xfId="95" applyFont="true" applyBorder="true" applyAlignment="true" applyProtection="true">
      <alignment horizontal="center" vertical="center" textRotation="0" wrapText="true" indent="0" shrinkToFit="false"/>
      <protection locked="true" hidden="false"/>
    </xf>
    <xf numFmtId="164" fontId="32" fillId="28" borderId="48" xfId="0" applyFont="true" applyBorder="true" applyAlignment="true" applyProtection="true">
      <alignment horizontal="left" vertical="bottom" textRotation="0" wrapText="false" indent="1" shrinkToFit="false"/>
      <protection locked="true" hidden="false"/>
    </xf>
    <xf numFmtId="164" fontId="32" fillId="28" borderId="0" xfId="95" applyFont="true" applyBorder="false" applyAlignment="true" applyProtection="true">
      <alignment horizontal="center" vertical="center" textRotation="0" wrapText="true" indent="0" shrinkToFit="false"/>
      <protection locked="true" hidden="false"/>
    </xf>
    <xf numFmtId="170" fontId="32" fillId="28" borderId="49" xfId="95" applyFont="true" applyBorder="true" applyAlignment="true" applyProtection="true">
      <alignment horizontal="center" vertical="center" textRotation="0" wrapText="true" indent="0" shrinkToFit="false"/>
      <protection locked="true" hidden="false"/>
    </xf>
    <xf numFmtId="164" fontId="32" fillId="28" borderId="21" xfId="95" applyFont="true" applyBorder="true" applyAlignment="true" applyProtection="true">
      <alignment horizontal="center" vertical="center" textRotation="0" wrapText="true" indent="0" shrinkToFit="false"/>
      <protection locked="true" hidden="false"/>
    </xf>
    <xf numFmtId="167" fontId="32" fillId="28" borderId="49" xfId="95" applyFont="true" applyBorder="true" applyAlignment="true" applyProtection="true">
      <alignment horizontal="center" vertical="center" textRotation="0" wrapText="true" indent="0" shrinkToFit="false"/>
      <protection locked="true" hidden="false"/>
    </xf>
    <xf numFmtId="164" fontId="32" fillId="28" borderId="50" xfId="95" applyFont="true" applyBorder="true" applyAlignment="true" applyProtection="true">
      <alignment horizontal="center" vertical="center" textRotation="0" wrapText="true" indent="0" shrinkToFit="false"/>
      <protection locked="true" hidden="false"/>
    </xf>
    <xf numFmtId="164" fontId="37" fillId="23" borderId="41" xfId="95" applyFont="true" applyBorder="true" applyAlignment="true" applyProtection="true">
      <alignment horizontal="left" vertical="bottom" textRotation="0" wrapText="false" indent="1" shrinkToFit="false"/>
      <protection locked="true" hidden="false"/>
    </xf>
    <xf numFmtId="164" fontId="37" fillId="23" borderId="42" xfId="95" applyFont="true" applyBorder="true" applyAlignment="true" applyProtection="true">
      <alignment horizontal="left" vertical="bottom" textRotation="0" wrapText="false" indent="1" shrinkToFit="false"/>
      <protection locked="true" hidden="false"/>
    </xf>
    <xf numFmtId="164" fontId="37" fillId="23" borderId="43" xfId="0" applyFont="true" applyBorder="true" applyAlignment="true" applyProtection="true">
      <alignment horizontal="left" vertical="bottom" textRotation="0" wrapText="false" indent="1" shrinkToFit="false"/>
      <protection locked="true" hidden="false"/>
    </xf>
    <xf numFmtId="164" fontId="37" fillId="23" borderId="44" xfId="0" applyFont="true" applyBorder="true" applyAlignment="true" applyProtection="true">
      <alignment horizontal="left" vertical="bottom" textRotation="0" wrapText="false" indent="1" shrinkToFit="false"/>
      <protection locked="true" hidden="false"/>
    </xf>
    <xf numFmtId="164" fontId="37" fillId="23" borderId="51" xfId="95" applyFont="true" applyBorder="true" applyAlignment="true" applyProtection="true">
      <alignment horizontal="left" vertical="bottom" textRotation="0" wrapText="false" indent="1" shrinkToFit="false"/>
      <protection locked="true" hidden="false"/>
    </xf>
    <xf numFmtId="164" fontId="37" fillId="23" borderId="52" xfId="95" applyFont="true" applyBorder="true" applyAlignment="true" applyProtection="true">
      <alignment horizontal="left" vertical="bottom" textRotation="0" wrapText="false" indent="1" shrinkToFit="false"/>
      <protection locked="true" hidden="false"/>
    </xf>
    <xf numFmtId="164" fontId="37" fillId="23" borderId="52" xfId="95" applyFont="true" applyBorder="true" applyAlignment="true" applyProtection="true">
      <alignment horizontal="center" vertical="bottom" textRotation="0" wrapText="false" indent="0" shrinkToFit="false"/>
      <protection locked="true" hidden="false"/>
    </xf>
    <xf numFmtId="174" fontId="37" fillId="23" borderId="42" xfId="95" applyFont="true" applyBorder="true" applyAlignment="true" applyProtection="true">
      <alignment horizontal="left" vertical="bottom" textRotation="0" wrapText="true" indent="1" shrinkToFit="false"/>
      <protection locked="true" hidden="false"/>
    </xf>
    <xf numFmtId="175" fontId="37" fillId="23" borderId="42" xfId="95" applyFont="true" applyBorder="true" applyAlignment="true" applyProtection="true">
      <alignment horizontal="center" vertical="bottom" textRotation="0" wrapText="true" indent="0" shrinkToFit="false"/>
      <protection locked="true" hidden="false"/>
    </xf>
    <xf numFmtId="164" fontId="37" fillId="23" borderId="42" xfId="95" applyFont="true" applyBorder="true" applyAlignment="true" applyProtection="true">
      <alignment horizontal="left" vertical="bottom" textRotation="0" wrapText="true" indent="1" shrinkToFit="false"/>
      <protection locked="true" hidden="false"/>
    </xf>
    <xf numFmtId="164" fontId="37" fillId="23" borderId="53" xfId="95" applyFont="true" applyBorder="true" applyAlignment="true" applyProtection="true">
      <alignment horizontal="center" vertical="bottom" textRotation="0" wrapText="true" indent="0" shrinkToFit="false"/>
      <protection locked="true" hidden="false"/>
    </xf>
    <xf numFmtId="170" fontId="37" fillId="23" borderId="53" xfId="95" applyFont="true" applyBorder="true" applyAlignment="true" applyProtection="true">
      <alignment horizontal="general" vertical="bottom" textRotation="0" wrapText="true" indent="0" shrinkToFit="false"/>
      <protection locked="true" hidden="false"/>
    </xf>
    <xf numFmtId="167" fontId="37" fillId="23" borderId="41" xfId="17" applyFont="true" applyBorder="true" applyAlignment="true" applyProtection="true">
      <alignment horizontal="general" vertical="bottom" textRotation="0" wrapText="true" indent="0" shrinkToFit="false"/>
      <protection locked="true" hidden="false"/>
    </xf>
    <xf numFmtId="167" fontId="37" fillId="23" borderId="44" xfId="17" applyFont="true" applyBorder="true" applyAlignment="true" applyProtection="true">
      <alignment horizontal="general" vertical="bottom" textRotation="0" wrapText="true" indent="0" shrinkToFit="false"/>
      <protection locked="true" hidden="false"/>
    </xf>
    <xf numFmtId="167" fontId="37" fillId="23" borderId="51" xfId="17" applyFont="true" applyBorder="true" applyAlignment="true" applyProtection="true">
      <alignment horizontal="general" vertical="bottom" textRotation="0" wrapText="true" indent="0" shrinkToFit="false"/>
      <protection locked="true" hidden="false"/>
    </xf>
    <xf numFmtId="164" fontId="26" fillId="29" borderId="54" xfId="95" applyFont="true" applyBorder="true" applyAlignment="true" applyProtection="true">
      <alignment horizontal="left" vertical="bottom" textRotation="0" wrapText="false" indent="1" shrinkToFit="false"/>
      <protection locked="true" hidden="false"/>
    </xf>
    <xf numFmtId="164" fontId="26" fillId="29" borderId="55" xfId="95" applyFont="true" applyBorder="true" applyAlignment="true" applyProtection="true">
      <alignment horizontal="left" vertical="bottom" textRotation="0" wrapText="false" indent="1" shrinkToFit="false"/>
      <protection locked="true" hidden="false"/>
    </xf>
    <xf numFmtId="164" fontId="26" fillId="29" borderId="56" xfId="95" applyFont="true" applyBorder="true" applyAlignment="true" applyProtection="true">
      <alignment horizontal="left" vertical="bottom" textRotation="0" wrapText="false" indent="1" shrinkToFit="false"/>
      <protection locked="true" hidden="false"/>
    </xf>
    <xf numFmtId="164" fontId="26" fillId="29" borderId="44" xfId="95" applyFont="true" applyBorder="true" applyAlignment="true" applyProtection="true">
      <alignment horizontal="left" vertical="bottom" textRotation="0" wrapText="false" indent="1" shrinkToFit="false"/>
      <protection locked="true" hidden="false"/>
    </xf>
    <xf numFmtId="164" fontId="36" fillId="29" borderId="57" xfId="95" applyFont="true" applyBorder="true" applyAlignment="true" applyProtection="true">
      <alignment horizontal="left" vertical="bottom" textRotation="0" wrapText="false" indent="1" shrinkToFit="false"/>
      <protection locked="true" hidden="false"/>
    </xf>
    <xf numFmtId="164" fontId="36" fillId="29" borderId="58" xfId="95" applyFont="true" applyBorder="true" applyAlignment="true" applyProtection="true">
      <alignment horizontal="left" vertical="bottom" textRotation="0" wrapText="false" indent="1" shrinkToFit="false"/>
      <protection locked="true" hidden="false"/>
    </xf>
    <xf numFmtId="164" fontId="36" fillId="29" borderId="58" xfId="95" applyFont="true" applyBorder="true" applyAlignment="true" applyProtection="true">
      <alignment horizontal="center" vertical="bottom" textRotation="0" wrapText="false" indent="0" shrinkToFit="false"/>
      <protection locked="true" hidden="false"/>
    </xf>
    <xf numFmtId="174" fontId="36" fillId="29" borderId="55" xfId="95" applyFont="true" applyBorder="true" applyAlignment="true" applyProtection="true">
      <alignment horizontal="left" vertical="bottom" textRotation="0" wrapText="true" indent="1" shrinkToFit="false"/>
      <protection locked="true" hidden="false"/>
    </xf>
    <xf numFmtId="176" fontId="36" fillId="29" borderId="55" xfId="95" applyFont="true" applyBorder="true" applyAlignment="true" applyProtection="true">
      <alignment horizontal="center" vertical="bottom" textRotation="0" wrapText="true" indent="0" shrinkToFit="false"/>
      <protection locked="true" hidden="false"/>
    </xf>
    <xf numFmtId="164" fontId="32" fillId="29" borderId="55" xfId="95" applyFont="true" applyBorder="true" applyAlignment="true" applyProtection="true">
      <alignment horizontal="left" vertical="bottom" textRotation="0" wrapText="true" indent="1" shrinkToFit="false"/>
      <protection locked="true" hidden="false"/>
    </xf>
    <xf numFmtId="164" fontId="32" fillId="29" borderId="59" xfId="95" applyFont="true" applyBorder="true" applyAlignment="true" applyProtection="true">
      <alignment horizontal="center" vertical="bottom" textRotation="0" wrapText="true" indent="0" shrinkToFit="false"/>
      <protection locked="true" hidden="false"/>
    </xf>
    <xf numFmtId="170" fontId="32" fillId="29" borderId="59" xfId="95" applyFont="true" applyBorder="true" applyAlignment="true" applyProtection="true">
      <alignment horizontal="general" vertical="bottom" textRotation="0" wrapText="true" indent="0" shrinkToFit="false"/>
      <protection locked="true" hidden="false"/>
    </xf>
    <xf numFmtId="167" fontId="32" fillId="29" borderId="54" xfId="17" applyFont="true" applyBorder="true" applyAlignment="true" applyProtection="true">
      <alignment horizontal="general" vertical="bottom" textRotation="0" wrapText="true" indent="0" shrinkToFit="false"/>
      <protection locked="true" hidden="false"/>
    </xf>
    <xf numFmtId="167" fontId="36" fillId="29" borderId="60" xfId="17" applyFont="true" applyBorder="true" applyAlignment="true" applyProtection="true">
      <alignment horizontal="general" vertical="bottom" textRotation="0" wrapText="true" indent="0" shrinkToFit="false"/>
      <protection locked="true" hidden="false"/>
    </xf>
    <xf numFmtId="167" fontId="32" fillId="29" borderId="57" xfId="17" applyFont="true" applyBorder="true" applyAlignment="true" applyProtection="true">
      <alignment horizontal="general" vertical="bottom" textRotation="0" wrapText="true" indent="0" shrinkToFit="false"/>
      <protection locked="true" hidden="false"/>
    </xf>
    <xf numFmtId="164" fontId="26" fillId="0" borderId="41" xfId="95" applyFont="true" applyBorder="true" applyAlignment="true" applyProtection="true">
      <alignment horizontal="left" vertical="bottom" textRotation="0" wrapText="false" indent="1" shrinkToFit="false"/>
      <protection locked="true" hidden="false"/>
    </xf>
    <xf numFmtId="164" fontId="26" fillId="0" borderId="42" xfId="95" applyFont="true" applyBorder="true" applyAlignment="true" applyProtection="true">
      <alignment horizontal="left" vertical="bottom" textRotation="0" wrapText="false" indent="1" shrinkToFit="false"/>
      <protection locked="true" hidden="false"/>
    </xf>
    <xf numFmtId="164" fontId="26" fillId="0" borderId="43" xfId="95" applyFont="true" applyBorder="true" applyAlignment="true" applyProtection="true">
      <alignment horizontal="left" vertical="bottom" textRotation="0" wrapText="false" indent="1" shrinkToFit="false"/>
      <protection locked="true" hidden="false"/>
    </xf>
    <xf numFmtId="164" fontId="26" fillId="0" borderId="44" xfId="95" applyFont="true" applyBorder="true" applyAlignment="true" applyProtection="true">
      <alignment horizontal="left" vertical="bottom" textRotation="0" wrapText="false" indent="1" shrinkToFit="false"/>
      <protection locked="true" hidden="false"/>
    </xf>
    <xf numFmtId="164" fontId="26" fillId="0" borderId="51" xfId="95" applyFont="true" applyBorder="true" applyAlignment="true" applyProtection="true">
      <alignment horizontal="left" vertical="bottom" textRotation="0" wrapText="false" indent="1" shrinkToFit="false"/>
      <protection locked="true" hidden="false"/>
    </xf>
    <xf numFmtId="164" fontId="26" fillId="0" borderId="52" xfId="95" applyFont="true" applyBorder="true" applyAlignment="true" applyProtection="true">
      <alignment horizontal="left" vertical="bottom" textRotation="0" wrapText="false" indent="1" shrinkToFit="false"/>
      <protection locked="true" hidden="false"/>
    </xf>
    <xf numFmtId="164" fontId="26" fillId="0" borderId="52" xfId="95" applyFont="true" applyBorder="true" applyAlignment="true" applyProtection="true">
      <alignment horizontal="center" vertical="bottom" textRotation="0" wrapText="false" indent="0" shrinkToFit="false"/>
      <protection locked="true" hidden="false"/>
    </xf>
    <xf numFmtId="174" fontId="26" fillId="0" borderId="42" xfId="95" applyFont="true" applyBorder="true" applyAlignment="true" applyProtection="true">
      <alignment horizontal="left" vertical="bottom" textRotation="0" wrapText="true" indent="1" shrinkToFit="false"/>
      <protection locked="true" hidden="false"/>
    </xf>
    <xf numFmtId="177" fontId="26" fillId="0" borderId="42" xfId="95" applyFont="true" applyBorder="true" applyAlignment="true" applyProtection="true">
      <alignment horizontal="center" vertical="bottom" textRotation="0" wrapText="true" indent="0" shrinkToFit="false"/>
      <protection locked="true" hidden="false"/>
    </xf>
    <xf numFmtId="164" fontId="38" fillId="0" borderId="42" xfId="95" applyFont="true" applyBorder="true" applyAlignment="true" applyProtection="true">
      <alignment horizontal="left" vertical="bottom" textRotation="0" wrapText="true" indent="1" shrinkToFit="false"/>
      <protection locked="true" hidden="false"/>
    </xf>
    <xf numFmtId="164" fontId="38" fillId="0" borderId="53" xfId="95" applyFont="true" applyBorder="true" applyAlignment="true" applyProtection="true">
      <alignment horizontal="center" vertical="bottom" textRotation="0" wrapText="true" indent="0" shrinkToFit="false"/>
      <protection locked="true" hidden="false"/>
    </xf>
    <xf numFmtId="170" fontId="26" fillId="0" borderId="53" xfId="95" applyFont="true" applyBorder="true" applyAlignment="true" applyProtection="true">
      <alignment horizontal="general" vertical="bottom" textRotation="0" wrapText="true" indent="0" shrinkToFit="false"/>
      <protection locked="true" hidden="false"/>
    </xf>
    <xf numFmtId="167" fontId="26" fillId="0" borderId="41" xfId="17" applyFont="true" applyBorder="true" applyAlignment="true" applyProtection="true">
      <alignment horizontal="right" vertical="bottom" textRotation="0" wrapText="true" indent="0" shrinkToFit="false"/>
      <protection locked="true" hidden="false"/>
    </xf>
    <xf numFmtId="167" fontId="26" fillId="0" borderId="44" xfId="17" applyFont="true" applyBorder="true" applyAlignment="true" applyProtection="true">
      <alignment horizontal="general" vertical="bottom" textRotation="0" wrapText="true" indent="0" shrinkToFit="false"/>
      <protection locked="true" hidden="false"/>
    </xf>
    <xf numFmtId="167" fontId="26" fillId="0" borderId="51" xfId="17" applyFont="true" applyBorder="true" applyAlignment="true" applyProtection="true">
      <alignment horizontal="general" vertical="bottom" textRotation="0" wrapText="true" indent="0" shrinkToFit="false"/>
      <protection locked="true" hidden="false"/>
    </xf>
    <xf numFmtId="164" fontId="26" fillId="0" borderId="0" xfId="95" applyFont="true" applyBorder="true" applyAlignment="true" applyProtection="true">
      <alignment horizontal="left" vertical="top"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center" vertical="bottom" textRotation="0" wrapText="false" indent="0" shrinkToFit="false"/>
      <protection locked="true" hidden="false"/>
    </xf>
    <xf numFmtId="164" fontId="29" fillId="0" borderId="0" xfId="0" applyFont="true" applyBorder="false" applyAlignment="true" applyProtection="true">
      <alignment horizontal="center" vertical="bottom" textRotation="0" wrapText="false" indent="0" shrinkToFit="false"/>
      <protection locked="true" hidden="false"/>
    </xf>
    <xf numFmtId="164" fontId="40" fillId="0" borderId="61" xfId="0" applyFont="true" applyBorder="true" applyAlignment="true" applyProtection="true">
      <alignment horizontal="center" vertical="center" textRotation="0" wrapText="false" indent="0" shrinkToFit="false"/>
      <protection locked="true" hidden="false"/>
    </xf>
    <xf numFmtId="164" fontId="40" fillId="0" borderId="62" xfId="0" applyFont="true" applyBorder="true" applyAlignment="true" applyProtection="true">
      <alignment horizontal="center" vertical="center" textRotation="0" wrapText="false" indent="0" shrinkToFit="false"/>
      <protection locked="true" hidden="false"/>
    </xf>
    <xf numFmtId="164" fontId="40" fillId="0" borderId="63" xfId="0" applyFont="true" applyBorder="true" applyAlignment="true" applyProtection="true">
      <alignment horizontal="center" vertical="center" textRotation="0" wrapText="false" indent="0" shrinkToFit="false"/>
      <protection locked="true" hidden="false"/>
    </xf>
    <xf numFmtId="164" fontId="34" fillId="0" borderId="64" xfId="0" applyFont="true" applyBorder="true" applyAlignment="true" applyProtection="true">
      <alignment horizontal="left" vertical="bottom" textRotation="0" wrapText="false" indent="1" shrinkToFit="false"/>
      <protection locked="true" hidden="false"/>
    </xf>
    <xf numFmtId="164" fontId="39" fillId="0" borderId="63" xfId="0" applyFont="true" applyBorder="true" applyAlignment="true" applyProtection="true">
      <alignment horizontal="general" vertical="bottom" textRotation="0" wrapText="false" indent="0" shrinkToFit="false"/>
      <protection locked="true" hidden="false"/>
    </xf>
    <xf numFmtId="164" fontId="39" fillId="0" borderId="12" xfId="0" applyFont="true" applyBorder="true" applyAlignment="true" applyProtection="true">
      <alignment horizontal="general" vertical="bottom" textRotation="0" wrapText="false" indent="0" shrinkToFit="false"/>
      <protection locked="true" hidden="false"/>
    </xf>
    <xf numFmtId="164" fontId="32" fillId="0" borderId="65" xfId="0" applyFont="true" applyBorder="true" applyAlignment="true" applyProtection="true">
      <alignment horizontal="center" vertical="center" textRotation="0" wrapText="false" indent="0" shrinkToFit="false"/>
      <protection locked="true" hidden="false"/>
    </xf>
    <xf numFmtId="164" fontId="32" fillId="0" borderId="65" xfId="0" applyFont="true" applyBorder="true" applyAlignment="true" applyProtection="true">
      <alignment horizontal="general" vertical="center" textRotation="0" wrapText="false" indent="0" shrinkToFit="false"/>
      <protection locked="true" hidden="false"/>
    </xf>
    <xf numFmtId="164" fontId="40" fillId="0" borderId="65" xfId="0" applyFont="true" applyBorder="true" applyAlignment="true" applyProtection="true">
      <alignment horizontal="center" vertical="center" textRotation="0" wrapText="false" indent="0" shrinkToFit="false"/>
      <protection locked="true" hidden="false"/>
    </xf>
    <xf numFmtId="164" fontId="40" fillId="0" borderId="66" xfId="0" applyFont="true" applyBorder="true" applyAlignment="true" applyProtection="true">
      <alignment horizontal="center" vertical="center" textRotation="0" wrapText="false" indent="0" shrinkToFit="false"/>
      <protection locked="true" hidden="false"/>
    </xf>
    <xf numFmtId="164" fontId="39" fillId="0" borderId="67" xfId="0" applyFont="true" applyBorder="true" applyAlignment="true" applyProtection="true">
      <alignment horizontal="center" vertical="bottom" textRotation="0" wrapText="false" indent="0" shrinkToFit="false"/>
      <protection locked="true" hidden="false"/>
    </xf>
    <xf numFmtId="164" fontId="39" fillId="0" borderId="66" xfId="0" applyFont="true" applyBorder="true" applyAlignment="true" applyProtection="true">
      <alignment horizontal="center" vertical="bottom" textRotation="0" wrapText="false" indent="0" shrinkToFit="false"/>
      <protection locked="true" hidden="false"/>
    </xf>
    <xf numFmtId="178" fontId="39" fillId="0" borderId="68" xfId="0" applyFont="true" applyBorder="true" applyAlignment="true" applyProtection="true">
      <alignment horizontal="center" vertical="bottom" textRotation="0" wrapText="false" indent="0" shrinkToFit="false"/>
      <protection locked="true" hidden="false"/>
    </xf>
    <xf numFmtId="164" fontId="39" fillId="0" borderId="17" xfId="0" applyFont="true" applyBorder="true" applyAlignment="true" applyProtection="true">
      <alignment horizontal="center" vertical="bottom" textRotation="0" wrapText="false" indent="0" shrinkToFit="false"/>
      <protection locked="true" hidden="false"/>
    </xf>
    <xf numFmtId="164" fontId="34" fillId="0" borderId="25" xfId="0" applyFont="true" applyBorder="true" applyAlignment="true" applyProtection="true">
      <alignment horizontal="left" vertical="bottom" textRotation="0" wrapText="false" indent="1" shrinkToFit="false"/>
      <protection locked="true" hidden="false"/>
    </xf>
    <xf numFmtId="164" fontId="39" fillId="0" borderId="23" xfId="0" applyFont="true" applyBorder="true" applyAlignment="true" applyProtection="true">
      <alignment horizontal="general" vertical="bottom" textRotation="0" wrapText="false" indent="0" shrinkToFit="false"/>
      <protection locked="true" hidden="false"/>
    </xf>
    <xf numFmtId="164" fontId="39" fillId="0" borderId="23"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34" fillId="22" borderId="22" xfId="0" applyFont="true" applyBorder="true" applyAlignment="true" applyProtection="true">
      <alignment horizontal="left" vertical="bottom" textRotation="0" wrapText="false" indent="1" shrinkToFit="false"/>
      <protection locked="true" hidden="false"/>
    </xf>
    <xf numFmtId="164" fontId="39" fillId="22" borderId="26" xfId="0" applyFont="true" applyBorder="true" applyAlignment="true" applyProtection="true">
      <alignment horizontal="general" vertical="bottom" textRotation="0" wrapText="false" indent="0" shrinkToFit="false"/>
      <protection locked="true" hidden="false"/>
    </xf>
    <xf numFmtId="164" fontId="39" fillId="0" borderId="27" xfId="0" applyFont="true" applyBorder="true" applyAlignment="true" applyProtection="true">
      <alignment horizontal="general" vertical="bottom" textRotation="0" wrapText="false" indent="0" shrinkToFit="false"/>
      <protection locked="true" hidden="false"/>
    </xf>
    <xf numFmtId="164" fontId="39" fillId="0" borderId="28" xfId="0" applyFont="true" applyBorder="true" applyAlignment="true" applyProtection="true">
      <alignment horizontal="general" vertical="bottom" textRotation="0" wrapText="false" indent="0" shrinkToFit="false"/>
      <protection locked="true" hidden="false"/>
    </xf>
    <xf numFmtId="164" fontId="39" fillId="0" borderId="28" xfId="0" applyFont="true" applyBorder="true" applyAlignment="true" applyProtection="true">
      <alignment horizontal="center" vertical="bottom" textRotation="0" wrapText="false" indent="0" shrinkToFit="false"/>
      <protection locked="true" hidden="false"/>
    </xf>
    <xf numFmtId="164" fontId="29" fillId="0" borderId="28" xfId="0" applyFont="true" applyBorder="true" applyAlignment="true" applyProtection="true">
      <alignment horizontal="center" vertical="bottom" textRotation="0" wrapText="false" indent="0" shrinkToFit="false"/>
      <protection locked="true" hidden="false"/>
    </xf>
    <xf numFmtId="164" fontId="39" fillId="22" borderId="29" xfId="0" applyFont="true" applyBorder="true" applyAlignment="true" applyProtection="true">
      <alignment horizontal="center" vertical="bottom" textRotation="0" wrapText="false" indent="0" shrinkToFit="false"/>
      <protection locked="true" hidden="false"/>
    </xf>
    <xf numFmtId="164" fontId="39" fillId="22" borderId="69" xfId="0" applyFont="true" applyBorder="true" applyAlignment="true" applyProtection="true">
      <alignment horizontal="center" vertical="bottom" textRotation="0" wrapText="false" indent="0" shrinkToFit="false"/>
      <protection locked="true" hidden="false"/>
    </xf>
    <xf numFmtId="164" fontId="34" fillId="0" borderId="58" xfId="0" applyFont="true" applyBorder="true" applyAlignment="true" applyProtection="true">
      <alignment horizontal="general" vertical="center" textRotation="0" wrapText="false" indent="0" shrinkToFit="false"/>
      <protection locked="true" hidden="false"/>
    </xf>
    <xf numFmtId="164" fontId="34" fillId="26" borderId="55" xfId="0" applyFont="true" applyBorder="true" applyAlignment="true" applyProtection="true">
      <alignment horizontal="general" vertical="center" textRotation="0" wrapText="false" indent="0" shrinkToFit="false"/>
      <protection locked="true" hidden="false"/>
    </xf>
    <xf numFmtId="164" fontId="34" fillId="0" borderId="55" xfId="0" applyFont="true" applyBorder="true" applyAlignment="true" applyProtection="true">
      <alignment horizontal="general" vertical="center" textRotation="0" wrapText="false" indent="0" shrinkToFit="false"/>
      <protection locked="true" hidden="false"/>
    </xf>
    <xf numFmtId="164" fontId="34" fillId="0" borderId="55" xfId="0" applyFont="true" applyBorder="true" applyAlignment="true" applyProtection="true">
      <alignment horizontal="center" vertical="center" textRotation="0" wrapText="false" indent="0" shrinkToFit="false"/>
      <protection locked="true" hidden="false"/>
    </xf>
    <xf numFmtId="164" fontId="29" fillId="0" borderId="55" xfId="0" applyFont="true" applyBorder="true" applyAlignment="true" applyProtection="true">
      <alignment horizontal="center" vertical="center" textRotation="0" wrapText="false" indent="0" shrinkToFit="false"/>
      <protection locked="true" hidden="false"/>
    </xf>
    <xf numFmtId="164" fontId="29" fillId="0" borderId="55" xfId="0" applyFont="true" applyBorder="true" applyAlignment="true" applyProtection="true">
      <alignment horizontal="center" vertical="center" textRotation="0" wrapText="true" indent="0" shrinkToFit="false"/>
      <protection locked="true" hidden="false"/>
    </xf>
    <xf numFmtId="164" fontId="34" fillId="0" borderId="59" xfId="0" applyFont="true" applyBorder="true" applyAlignment="true" applyProtection="true">
      <alignment horizontal="general" vertical="center" textRotation="0" wrapText="false" indent="0" shrinkToFit="false"/>
      <protection locked="true" hidden="false"/>
    </xf>
    <xf numFmtId="179" fontId="39" fillId="26" borderId="52" xfId="0" applyFont="true" applyBorder="true" applyAlignment="true" applyProtection="true">
      <alignment horizontal="center" vertical="bottom" textRotation="0" wrapText="false" indent="0" shrinkToFit="false"/>
      <protection locked="true" hidden="false"/>
    </xf>
    <xf numFmtId="164" fontId="41" fillId="0" borderId="42" xfId="20" applyFont="true" applyBorder="true" applyAlignment="true" applyProtection="true">
      <alignment horizontal="general" vertical="bottom" textRotation="0" wrapText="false" indent="0" shrinkToFit="false"/>
      <protection locked="true" hidden="false"/>
    </xf>
    <xf numFmtId="164" fontId="39" fillId="0" borderId="42" xfId="0" applyFont="true" applyBorder="true" applyAlignment="true" applyProtection="true">
      <alignment horizontal="general" vertical="bottom" textRotation="0" wrapText="false" indent="0" shrinkToFit="false"/>
      <protection locked="true" hidden="false"/>
    </xf>
    <xf numFmtId="164" fontId="39" fillId="0" borderId="42" xfId="0" applyFont="true" applyBorder="true" applyAlignment="true" applyProtection="true">
      <alignment horizontal="center" vertical="bottom" textRotation="0" wrapText="false" indent="0" shrinkToFit="false"/>
      <protection locked="true" hidden="false"/>
    </xf>
    <xf numFmtId="170" fontId="39" fillId="0" borderId="42" xfId="0" applyFont="true" applyBorder="true" applyAlignment="true" applyProtection="true">
      <alignment horizontal="general" vertical="bottom" textRotation="0" wrapText="false" indent="0" shrinkToFit="false"/>
      <protection locked="true" hidden="false"/>
    </xf>
    <xf numFmtId="164" fontId="29" fillId="0" borderId="42" xfId="0" applyFont="true" applyBorder="true" applyAlignment="true" applyProtection="true">
      <alignment horizontal="center" vertical="bottom" textRotation="0" wrapText="false" indent="0" shrinkToFit="false"/>
      <protection locked="true" hidden="false"/>
    </xf>
    <xf numFmtId="164" fontId="0" fillId="0" borderId="42" xfId="0" applyFont="true" applyBorder="true" applyAlignment="true" applyProtection="true">
      <alignment horizontal="center" vertical="bottom" textRotation="0" wrapText="false" indent="0" shrinkToFit="false"/>
      <protection locked="true" hidden="false"/>
    </xf>
    <xf numFmtId="180" fontId="39" fillId="0" borderId="42" xfId="0" applyFont="true" applyBorder="true" applyAlignment="true" applyProtection="true">
      <alignment horizontal="center" vertical="bottom" textRotation="0" wrapText="false" indent="0" shrinkToFit="false"/>
      <protection locked="true" hidden="false"/>
    </xf>
    <xf numFmtId="164" fontId="39" fillId="0" borderId="53"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81" fontId="0" fillId="0" borderId="0" xfId="19" applyFont="true" applyBorder="true" applyAlignment="true" applyProtection="true">
      <alignment horizontal="general" vertical="bottom" textRotation="0" wrapText="false" indent="0" shrinkToFit="false"/>
      <protection locked="true" hidden="false"/>
    </xf>
    <xf numFmtId="169" fontId="0" fillId="0" borderId="0" xfId="19" applyFont="true" applyBorder="true" applyAlignment="true" applyProtection="true">
      <alignment horizontal="general" vertical="bottom" textRotation="0" wrapText="false" indent="0" shrinkToFit="false"/>
      <protection locked="true" hidden="false"/>
    </xf>
    <xf numFmtId="173" fontId="0" fillId="0" borderId="0" xfId="19" applyFont="true" applyBorder="true" applyAlignment="true" applyProtection="true">
      <alignment horizontal="general" vertical="bottom" textRotation="0" wrapText="false" indent="0" shrinkToFit="false"/>
      <protection locked="true" hidden="false"/>
    </xf>
    <xf numFmtId="164" fontId="21" fillId="0" borderId="70" xfId="0" applyFont="true" applyBorder="true" applyAlignment="true" applyProtection="true">
      <alignment horizontal="center" vertical="center" textRotation="0" wrapText="true" indent="0" shrinkToFit="false"/>
      <protection locked="true" hidden="false"/>
    </xf>
    <xf numFmtId="164" fontId="21" fillId="0" borderId="32" xfId="0" applyFont="true" applyBorder="true" applyAlignment="true" applyProtection="true">
      <alignment horizontal="center" vertical="center" textRotation="0" wrapText="true" indent="0" shrinkToFit="false"/>
      <protection locked="true" hidden="false"/>
    </xf>
    <xf numFmtId="164" fontId="21" fillId="0" borderId="71" xfId="0" applyFont="true" applyBorder="true" applyAlignment="true" applyProtection="true">
      <alignment horizontal="center" vertical="center" textRotation="0" wrapText="true" indent="0" shrinkToFit="false"/>
      <protection locked="true" hidden="false"/>
    </xf>
    <xf numFmtId="164" fontId="21" fillId="0" borderId="21" xfId="0" applyFont="true" applyBorder="true" applyAlignment="true" applyProtection="true">
      <alignment horizontal="center" vertical="center" textRotation="0" wrapText="true" indent="0" shrinkToFit="false"/>
      <protection locked="true" hidden="false"/>
    </xf>
    <xf numFmtId="164" fontId="21" fillId="0" borderId="0" xfId="0" applyFont="true" applyBorder="false" applyAlignment="true" applyProtection="true">
      <alignment horizontal="center" vertical="center" textRotation="0" wrapText="true" indent="0" shrinkToFit="false"/>
      <protection locked="true" hidden="false"/>
    </xf>
    <xf numFmtId="164" fontId="0" fillId="0" borderId="51" xfId="0" applyFont="true" applyBorder="true" applyAlignment="true" applyProtection="true">
      <alignment horizontal="center" vertical="bottom" textRotation="0" wrapText="false" indent="0" shrinkToFit="false"/>
      <protection locked="true" hidden="false"/>
    </xf>
    <xf numFmtId="170" fontId="0" fillId="0" borderId="42" xfId="0" applyFont="false" applyBorder="true" applyAlignment="true" applyProtection="true">
      <alignment horizontal="general" vertical="bottom" textRotation="0" wrapText="false" indent="0" shrinkToFit="false"/>
      <protection locked="true" hidden="false"/>
    </xf>
    <xf numFmtId="173" fontId="0" fillId="0" borderId="42" xfId="0" applyFont="false" applyBorder="true" applyAlignment="true" applyProtection="true">
      <alignment horizontal="general" vertical="bottom" textRotation="0" wrapText="false" indent="0" shrinkToFit="false"/>
      <protection locked="true" hidden="false"/>
    </xf>
    <xf numFmtId="173" fontId="0" fillId="0" borderId="42" xfId="19" applyFont="true" applyBorder="true" applyAlignment="true" applyProtection="true">
      <alignment horizontal="general" vertical="bottom" textRotation="0" wrapText="false" indent="0" shrinkToFit="false"/>
      <protection locked="true" hidden="false"/>
    </xf>
    <xf numFmtId="164" fontId="0" fillId="0" borderId="53" xfId="0" applyFont="false" applyBorder="true" applyAlignment="true" applyProtection="true">
      <alignment horizontal="general" vertical="bottom" textRotation="0" wrapText="false" indent="0" shrinkToFit="false"/>
      <protection locked="true" hidden="false"/>
    </xf>
    <xf numFmtId="164" fontId="0" fillId="0" borderId="21" xfId="0" applyFont="false" applyBorder="true" applyAlignment="true" applyProtection="true">
      <alignment horizontal="general" vertical="bottom" textRotation="0" wrapText="false" indent="0" shrinkToFit="false"/>
      <protection locked="true" hidden="false"/>
    </xf>
    <xf numFmtId="170" fontId="0" fillId="0" borderId="0" xfId="15" applyFont="true" applyBorder="true" applyAlignment="true" applyProtection="true">
      <alignment horizontal="general" vertical="bottom" textRotation="0" wrapText="false" indent="0" shrinkToFit="false"/>
      <protection locked="true" hidden="false"/>
    </xf>
    <xf numFmtId="164" fontId="40" fillId="0" borderId="13" xfId="0" applyFont="true" applyBorder="true" applyAlignment="true" applyProtection="true">
      <alignment horizontal="center" vertical="bottom" textRotation="0" wrapText="true" indent="0" shrinkToFit="false"/>
      <protection locked="true" hidden="false"/>
    </xf>
    <xf numFmtId="164" fontId="29" fillId="0" borderId="64" xfId="0" applyFont="true" applyBorder="true" applyAlignment="true" applyProtection="true">
      <alignment horizontal="left" vertical="top" textRotation="0" wrapText="false" indent="1" shrinkToFit="false"/>
      <protection locked="true" hidden="false"/>
    </xf>
    <xf numFmtId="164" fontId="30" fillId="0" borderId="63" xfId="0" applyFont="tru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30" fillId="0" borderId="72" xfId="0" applyFont="true" applyBorder="true" applyAlignment="true" applyProtection="true">
      <alignment horizontal="center" vertical="bottom" textRotation="0" wrapText="false" indent="0" shrinkToFit="false"/>
      <protection locked="true" hidden="false"/>
    </xf>
    <xf numFmtId="182" fontId="30" fillId="0" borderId="67" xfId="0" applyFont="true" applyBorder="true" applyAlignment="true" applyProtection="true">
      <alignment horizontal="center" vertical="bottom" textRotation="0" wrapText="false" indent="0" shrinkToFit="false"/>
      <protection locked="true" hidden="false"/>
    </xf>
    <xf numFmtId="164" fontId="30" fillId="0" borderId="66" xfId="0" applyFont="true" applyBorder="true" applyAlignment="true" applyProtection="true">
      <alignment horizontal="center"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29" fillId="0" borderId="25" xfId="0" applyFont="true" applyBorder="true" applyAlignment="true" applyProtection="true">
      <alignment horizontal="left" vertical="top" textRotation="0" wrapText="false" indent="1" shrinkToFit="false"/>
      <protection locked="true" hidden="false"/>
    </xf>
    <xf numFmtId="164" fontId="29" fillId="0" borderId="23" xfId="0" applyFont="true" applyBorder="true" applyAlignment="true" applyProtection="true">
      <alignment horizontal="left" vertical="top" textRotation="0" wrapText="false" indent="1" shrinkToFit="false"/>
      <protection locked="true" hidden="false"/>
    </xf>
    <xf numFmtId="164" fontId="30" fillId="0" borderId="23" xfId="0" applyFont="true" applyBorder="true" applyAlignment="true" applyProtection="true">
      <alignment horizontal="general" vertical="bottom" textRotation="0" wrapText="false" indent="0" shrinkToFit="false"/>
      <protection locked="true" hidden="false"/>
    </xf>
    <xf numFmtId="164" fontId="30" fillId="0" borderId="73" xfId="0" applyFont="true" applyBorder="true" applyAlignment="true" applyProtection="true">
      <alignment horizontal="general" vertical="bottom" textRotation="0" wrapText="false" indent="0" shrinkToFit="false"/>
      <protection locked="true" hidden="false"/>
    </xf>
    <xf numFmtId="164" fontId="29" fillId="23" borderId="22" xfId="0" applyFont="true" applyBorder="true" applyAlignment="true" applyProtection="true">
      <alignment horizontal="left" vertical="top" textRotation="0" wrapText="false" indent="1" shrinkToFit="false"/>
      <protection locked="true" hidden="false"/>
    </xf>
    <xf numFmtId="164" fontId="30" fillId="23" borderId="73" xfId="0" applyFont="true" applyBorder="true" applyAlignment="true" applyProtection="true">
      <alignment horizontal="general" vertical="bottom" textRotation="0" wrapText="false" indent="0" shrinkToFit="false"/>
      <protection locked="true" hidden="false"/>
    </xf>
    <xf numFmtId="164" fontId="0" fillId="0" borderId="26" xfId="0" applyFont="false" applyBorder="true" applyAlignment="true" applyProtection="true">
      <alignment horizontal="general" vertical="bottom" textRotation="0" wrapText="false" indent="0" shrinkToFit="false"/>
      <protection locked="true" hidden="false"/>
    </xf>
    <xf numFmtId="164" fontId="30" fillId="0" borderId="74" xfId="0" applyFont="true" applyBorder="true" applyAlignment="true" applyProtection="true">
      <alignment horizontal="left" vertical="bottom" textRotation="0" wrapText="false" indent="0" shrinkToFit="false"/>
      <protection locked="true" hidden="false"/>
    </xf>
    <xf numFmtId="164" fontId="30" fillId="23" borderId="29" xfId="0" applyFont="true" applyBorder="true" applyAlignment="true" applyProtection="true">
      <alignment horizontal="center" vertical="bottom" textRotation="0" wrapText="false" indent="0" shrinkToFit="false"/>
      <protection locked="true" hidden="false"/>
    </xf>
    <xf numFmtId="164" fontId="30" fillId="23" borderId="74" xfId="0" applyFont="true" applyBorder="true" applyAlignment="true" applyProtection="true">
      <alignment horizontal="center" vertical="bottom" textRotation="0" wrapText="false" indent="0" shrinkToFit="false"/>
      <protection locked="true" hidden="false"/>
    </xf>
    <xf numFmtId="164" fontId="0" fillId="0" borderId="69" xfId="0" applyFont="false" applyBorder="true" applyAlignment="true" applyProtection="true">
      <alignment horizontal="general" vertical="bottom" textRotation="0" wrapText="false" indent="0" shrinkToFit="false"/>
      <protection locked="true" hidden="false"/>
    </xf>
    <xf numFmtId="164" fontId="0" fillId="0" borderId="15" xfId="102" applyFont="true" applyBorder="true" applyAlignment="false" applyProtection="false">
      <alignment horizontal="general" vertical="bottom" textRotation="0" wrapText="false" indent="0" shrinkToFit="false"/>
      <protection locked="true" hidden="false"/>
    </xf>
    <xf numFmtId="164" fontId="0" fillId="0" borderId="62" xfId="102" applyFont="false" applyBorder="true" applyAlignment="false" applyProtection="false">
      <alignment horizontal="general" vertical="bottom" textRotation="0" wrapText="false" indent="0" shrinkToFit="false"/>
      <protection locked="true" hidden="false"/>
    </xf>
    <xf numFmtId="164" fontId="0" fillId="0" borderId="63" xfId="102" applyFont="false" applyBorder="true" applyAlignment="false" applyProtection="false">
      <alignment horizontal="general" vertical="bottom" textRotation="0" wrapText="false" indent="0" shrinkToFit="false"/>
      <protection locked="true" hidden="false"/>
    </xf>
    <xf numFmtId="164" fontId="0" fillId="0" borderId="75" xfId="103" applyFont="true" applyBorder="true" applyAlignment="false" applyProtection="false">
      <alignment horizontal="general" vertical="bottom" textRotation="0" wrapText="false" indent="0" shrinkToFit="false"/>
      <protection locked="true" hidden="false"/>
    </xf>
    <xf numFmtId="164" fontId="0" fillId="0" borderId="12" xfId="102" applyFont="false" applyBorder="true" applyAlignment="false" applyProtection="false">
      <alignment horizontal="general" vertical="bottom" textRotation="0" wrapText="false" indent="0" shrinkToFit="false"/>
      <protection locked="true" hidden="false"/>
    </xf>
    <xf numFmtId="164" fontId="0" fillId="0" borderId="21" xfId="102" applyFont="false" applyBorder="true" applyAlignment="false" applyProtection="false">
      <alignment horizontal="general" vertical="bottom" textRotation="0" wrapText="false" indent="0" shrinkToFit="false"/>
      <protection locked="true" hidden="false"/>
    </xf>
    <xf numFmtId="164" fontId="0" fillId="0" borderId="0" xfId="102" applyFont="false" applyBorder="false" applyAlignment="false" applyProtection="false">
      <alignment horizontal="general" vertical="bottom" textRotation="0" wrapText="false" indent="0" shrinkToFit="false"/>
      <protection locked="true" hidden="false"/>
    </xf>
    <xf numFmtId="164" fontId="0" fillId="0" borderId="46" xfId="102" applyFont="false" applyBorder="true" applyAlignment="false" applyProtection="false">
      <alignment horizontal="general" vertical="bottom" textRotation="0" wrapText="false" indent="0" shrinkToFit="false"/>
      <protection locked="true" hidden="false"/>
    </xf>
    <xf numFmtId="164" fontId="0" fillId="0" borderId="68" xfId="101" applyFont="true" applyBorder="true" applyAlignment="false" applyProtection="false">
      <alignment horizontal="left" vertical="bottom" textRotation="0" wrapText="false" indent="0" shrinkToFit="false"/>
      <protection locked="true" hidden="false"/>
    </xf>
    <xf numFmtId="164" fontId="0" fillId="0" borderId="0" xfId="101" applyFont="false" applyBorder="false" applyAlignment="false" applyProtection="false">
      <alignment horizontal="left" vertical="bottom" textRotation="0" wrapText="false" indent="0" shrinkToFit="false"/>
      <protection locked="true" hidden="false"/>
    </xf>
    <xf numFmtId="164" fontId="21" fillId="0" borderId="76" xfId="105" applyFont="true" applyBorder="true" applyAlignment="false" applyProtection="false">
      <alignment horizontal="left" vertical="bottom" textRotation="0" wrapText="false" indent="0" shrinkToFit="false"/>
      <protection locked="true" hidden="false"/>
    </xf>
    <xf numFmtId="164" fontId="21" fillId="0" borderId="77" xfId="105" applyFont="true" applyBorder="true" applyAlignment="false" applyProtection="false">
      <alignment horizontal="left" vertical="bottom" textRotation="0" wrapText="false" indent="0" shrinkToFit="false"/>
      <protection locked="true" hidden="false"/>
    </xf>
    <xf numFmtId="164" fontId="0" fillId="0" borderId="35" xfId="103" applyFont="true" applyBorder="true" applyAlignment="false" applyProtection="false">
      <alignment horizontal="general" vertical="bottom" textRotation="0" wrapText="false" indent="0" shrinkToFit="false"/>
      <protection locked="true" hidden="false"/>
    </xf>
    <xf numFmtId="164" fontId="0" fillId="0" borderId="37" xfId="103" applyFont="true" applyBorder="true" applyAlignment="false" applyProtection="false">
      <alignment horizontal="general" vertical="bottom" textRotation="0" wrapText="false" indent="0" shrinkToFit="false"/>
      <protection locked="true" hidden="false"/>
    </xf>
    <xf numFmtId="164" fontId="0" fillId="0" borderId="67" xfId="101" applyFont="true" applyBorder="true" applyAlignment="false" applyProtection="false">
      <alignment horizontal="left" vertical="bottom" textRotation="0" wrapText="false" indent="0" shrinkToFit="false"/>
      <protection locked="true" hidden="false"/>
    </xf>
    <xf numFmtId="164" fontId="0" fillId="0" borderId="65" xfId="101" applyFont="true" applyBorder="true" applyAlignment="false" applyProtection="false">
      <alignment horizontal="left" vertical="bottom" textRotation="0" wrapText="false" indent="0" shrinkToFit="false"/>
      <protection locked="true" hidden="false"/>
    </xf>
    <xf numFmtId="164" fontId="21" fillId="0" borderId="72" xfId="105" applyFont="false" applyBorder="true" applyAlignment="false" applyProtection="false">
      <alignment horizontal="left" vertical="bottom" textRotation="0" wrapText="false" indent="0" shrinkToFit="false"/>
      <protection locked="true" hidden="false"/>
    </xf>
    <xf numFmtId="164" fontId="21" fillId="0" borderId="78" xfId="105" applyFont="false" applyBorder="true" applyAlignment="false" applyProtection="false">
      <alignment horizontal="left" vertical="bottom" textRotation="0" wrapText="false" indent="0" shrinkToFit="false"/>
      <protection locked="true" hidden="false"/>
    </xf>
    <xf numFmtId="164" fontId="0" fillId="0" borderId="79" xfId="101" applyFont="true" applyBorder="true" applyAlignment="false" applyProtection="false">
      <alignment horizontal="left" vertical="bottom" textRotation="0" wrapText="false" indent="0" shrinkToFit="false"/>
      <protection locked="true" hidden="false"/>
    </xf>
    <xf numFmtId="164" fontId="0" fillId="0" borderId="37" xfId="101" applyFont="false" applyBorder="true" applyAlignment="false" applyProtection="false">
      <alignment horizontal="left" vertical="bottom" textRotation="0" wrapText="false" indent="0" shrinkToFit="false"/>
      <protection locked="true" hidden="false"/>
    </xf>
    <xf numFmtId="164" fontId="0" fillId="0" borderId="38" xfId="106" applyFont="false" applyBorder="true" applyAlignment="false" applyProtection="false">
      <alignment horizontal="general" vertical="bottom" textRotation="0" wrapText="false" indent="0" shrinkToFit="false"/>
      <protection locked="true" hidden="false"/>
    </xf>
    <xf numFmtId="170" fontId="0" fillId="0" borderId="80" xfId="106" applyFont="false" applyBorder="true" applyAlignment="false" applyProtection="false">
      <alignment horizontal="general" vertical="bottom" textRotation="0" wrapText="false" indent="0" shrinkToFit="false"/>
      <protection locked="true" hidden="false"/>
    </xf>
    <xf numFmtId="170" fontId="0" fillId="0" borderId="36" xfId="106" applyFont="false" applyBorder="true" applyAlignment="false" applyProtection="false">
      <alignment horizontal="general" vertical="bottom" textRotation="0" wrapText="false" indent="0" shrinkToFit="false"/>
      <protection locked="true" hidden="false"/>
    </xf>
    <xf numFmtId="170" fontId="21" fillId="0" borderId="37" xfId="104" applyFont="false" applyBorder="true" applyAlignment="false" applyProtection="false">
      <alignment horizontal="general" vertical="bottom" textRotation="0" wrapText="false" indent="0" shrinkToFit="false"/>
      <protection locked="true" hidden="false"/>
    </xf>
    <xf numFmtId="170" fontId="21" fillId="0" borderId="10" xfId="104" applyFont="false" applyBorder="true" applyAlignment="false" applyProtection="false">
      <alignment horizontal="general" vertical="bottom" textRotation="0" wrapText="false" indent="0" shrinkToFit="false"/>
      <protection locked="true" hidden="false"/>
    </xf>
    <xf numFmtId="164" fontId="0" fillId="0" borderId="45" xfId="101" applyFont="false" applyBorder="true" applyAlignment="false" applyProtection="false">
      <alignment horizontal="left" vertical="bottom" textRotation="0" wrapText="false" indent="0" shrinkToFit="false"/>
      <protection locked="true" hidden="false"/>
    </xf>
    <xf numFmtId="164" fontId="0" fillId="0" borderId="80" xfId="106" applyFont="false" applyBorder="true" applyAlignment="false" applyProtection="false">
      <alignment horizontal="general" vertical="bottom" textRotation="0" wrapText="false" indent="0" shrinkToFit="false"/>
      <protection locked="true" hidden="false"/>
    </xf>
    <xf numFmtId="164" fontId="0" fillId="0" borderId="36" xfId="106" applyFont="false" applyBorder="true" applyAlignment="false" applyProtection="false">
      <alignment horizontal="general" vertical="bottom" textRotation="0" wrapText="false" indent="0" shrinkToFit="false"/>
      <protection locked="true" hidden="false"/>
    </xf>
    <xf numFmtId="170" fontId="0" fillId="0" borderId="38" xfId="106" applyFont="false" applyBorder="true" applyAlignment="false" applyProtection="false">
      <alignment horizontal="general" vertical="bottom" textRotation="0" wrapText="false" indent="0" shrinkToFit="false"/>
      <protection locked="true" hidden="false"/>
    </xf>
    <xf numFmtId="164" fontId="0" fillId="0" borderId="81" xfId="101" applyFont="false" applyBorder="true" applyAlignment="false" applyProtection="false">
      <alignment horizontal="left" vertical="bottom" textRotation="0" wrapText="false" indent="0" shrinkToFit="false"/>
      <protection locked="true" hidden="false"/>
    </xf>
    <xf numFmtId="164" fontId="21" fillId="0" borderId="39" xfId="105" applyFont="true" applyBorder="true" applyAlignment="false" applyProtection="false">
      <alignment horizontal="left" vertical="bottom" textRotation="0" wrapText="false" indent="0" shrinkToFit="false"/>
      <protection locked="true" hidden="false"/>
    </xf>
    <xf numFmtId="164" fontId="21" fillId="0" borderId="80" xfId="105" applyFont="false" applyBorder="true" applyAlignment="false" applyProtection="false">
      <alignment horizontal="left" vertical="bottom" textRotation="0" wrapText="false" indent="0" shrinkToFit="false"/>
      <protection locked="true" hidden="false"/>
    </xf>
    <xf numFmtId="164" fontId="21" fillId="0" borderId="36" xfId="105" applyFont="false" applyBorder="true" applyAlignment="false" applyProtection="false">
      <alignment horizontal="left" vertical="bottom" textRotation="0" wrapText="false" indent="0" shrinkToFit="false"/>
      <protection locked="true" hidden="false"/>
    </xf>
    <xf numFmtId="170" fontId="21" fillId="0" borderId="38" xfId="104" applyFont="false" applyBorder="true" applyAlignment="false" applyProtection="false">
      <alignment horizontal="general" vertical="bottom" textRotation="0" wrapText="false" indent="0" shrinkToFit="false"/>
      <protection locked="true" hidden="false"/>
    </xf>
    <xf numFmtId="170" fontId="21" fillId="0" borderId="80" xfId="104" applyFont="false" applyBorder="true" applyAlignment="false" applyProtection="false">
      <alignment horizontal="general" vertical="bottom" textRotation="0" wrapText="false" indent="0" shrinkToFit="false"/>
      <protection locked="true" hidden="false"/>
    </xf>
    <xf numFmtId="170" fontId="21" fillId="0" borderId="36" xfId="104" applyFont="false" applyBorder="true" applyAlignment="false" applyProtection="false">
      <alignment horizontal="general" vertical="bottom" textRotation="0" wrapText="false" indent="0" shrinkToFit="false"/>
      <protection locked="true" hidden="false"/>
    </xf>
    <xf numFmtId="164" fontId="21" fillId="0" borderId="82" xfId="105" applyFont="true" applyBorder="true" applyAlignment="false" applyProtection="false">
      <alignment horizontal="left" vertical="bottom" textRotation="0" wrapText="false" indent="0" shrinkToFit="false"/>
      <protection locked="true" hidden="false"/>
    </xf>
    <xf numFmtId="164" fontId="21" fillId="0" borderId="83" xfId="105" applyFont="false" applyBorder="true" applyAlignment="false" applyProtection="false">
      <alignment horizontal="left" vertical="bottom" textRotation="0" wrapText="false" indent="0" shrinkToFit="false"/>
      <protection locked="true" hidden="false"/>
    </xf>
    <xf numFmtId="164" fontId="21" fillId="0" borderId="84" xfId="105" applyFont="false" applyBorder="true" applyAlignment="false" applyProtection="false">
      <alignment horizontal="left" vertical="bottom" textRotation="0" wrapText="false" indent="0" shrinkToFit="false"/>
      <protection locked="true" hidden="false"/>
    </xf>
    <xf numFmtId="170" fontId="21" fillId="0" borderId="85" xfId="104" applyFont="false" applyBorder="true" applyAlignment="false" applyProtection="false">
      <alignment horizontal="general" vertical="bottom" textRotation="0" wrapText="false" indent="0" shrinkToFit="false"/>
      <protection locked="true" hidden="false"/>
    </xf>
    <xf numFmtId="170" fontId="21" fillId="0" borderId="83" xfId="104" applyFont="false" applyBorder="true" applyAlignment="false" applyProtection="false">
      <alignment horizontal="general" vertical="bottom" textRotation="0" wrapText="false" indent="0" shrinkToFit="false"/>
      <protection locked="true" hidden="false"/>
    </xf>
    <xf numFmtId="170" fontId="21" fillId="0" borderId="84" xfId="104" applyFont="false" applyBorder="true" applyAlignment="false" applyProtection="false">
      <alignment horizontal="general" vertical="bottom" textRotation="0" wrapText="false" indent="0" shrinkToFit="false"/>
      <protection locked="true" hidden="false"/>
    </xf>
    <xf numFmtId="170" fontId="21" fillId="0" borderId="86" xfId="104" applyFont="false" applyBorder="true" applyAlignment="false" applyProtection="false">
      <alignment horizontal="general" vertical="bottom" textRotation="0" wrapText="false" indent="0" shrinkToFit="false"/>
      <protection locked="true" hidden="false"/>
    </xf>
    <xf numFmtId="170" fontId="21" fillId="0" borderId="87" xfId="104" applyFont="fals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42" fillId="0" borderId="15" xfId="0" applyFont="true" applyBorder="true" applyAlignment="true" applyProtection="true">
      <alignment horizontal="center" vertical="bottom" textRotation="0" wrapText="true" indent="0" shrinkToFit="false"/>
      <protection locked="true" hidden="false"/>
    </xf>
    <xf numFmtId="164" fontId="42" fillId="0" borderId="62" xfId="0" applyFont="true" applyBorder="true" applyAlignment="true" applyProtection="true">
      <alignment horizontal="center" vertical="bottom" textRotation="0" wrapText="true" indent="0" shrinkToFit="false"/>
      <protection locked="true" hidden="false"/>
    </xf>
    <xf numFmtId="164" fontId="42" fillId="0" borderId="18" xfId="0" applyFont="true" applyBorder="true" applyAlignment="true" applyProtection="true">
      <alignment horizontal="center" vertical="bottom" textRotation="0" wrapText="true" indent="0" shrinkToFit="false"/>
      <protection locked="true" hidden="false"/>
    </xf>
    <xf numFmtId="164" fontId="42" fillId="0" borderId="65" xfId="0" applyFont="true" applyBorder="true" applyAlignment="true" applyProtection="true">
      <alignment horizontal="center" vertical="bottom" textRotation="0" wrapText="true" indent="0" shrinkToFit="false"/>
      <protection locked="true" hidden="false"/>
    </xf>
    <xf numFmtId="164" fontId="30" fillId="0" borderId="17" xfId="0" applyFont="true" applyBorder="true" applyAlignment="true" applyProtection="true">
      <alignment horizontal="general" vertical="bottom" textRotation="0" wrapText="false" indent="0" shrinkToFit="false"/>
      <protection locked="true" hidden="false"/>
    </xf>
    <xf numFmtId="164" fontId="29" fillId="0" borderId="21" xfId="0" applyFont="true" applyBorder="true" applyAlignment="true" applyProtection="true">
      <alignment horizontal="left" vertical="bottom" textRotation="0" wrapText="false" indent="1" shrinkToFit="false"/>
      <protection locked="true" hidden="false"/>
    </xf>
    <xf numFmtId="164" fontId="30" fillId="0" borderId="26" xfId="0" applyFont="true" applyBorder="true" applyAlignment="true" applyProtection="true">
      <alignment horizontal="general" vertical="bottom" textRotation="0" wrapText="false" indent="0" shrinkToFit="false"/>
      <protection locked="true" hidden="false"/>
    </xf>
    <xf numFmtId="164" fontId="30" fillId="0" borderId="28" xfId="0" applyFont="true" applyBorder="true" applyAlignment="true" applyProtection="true">
      <alignment horizontal="center" vertical="bottom" textRotation="0" wrapText="false" indent="0" shrinkToFit="false"/>
      <protection locked="true" hidden="false"/>
    </xf>
    <xf numFmtId="164" fontId="30" fillId="0" borderId="69" xfId="0" applyFont="true" applyBorder="true" applyAlignment="true" applyProtection="true">
      <alignment horizontal="general" vertical="bottom" textRotation="0" wrapText="false" indent="0" shrinkToFit="false"/>
      <protection locked="true" hidden="false"/>
    </xf>
    <xf numFmtId="164" fontId="0" fillId="0" borderId="13" xfId="103" applyFont="true" applyBorder="true" applyAlignment="false" applyProtection="false">
      <alignment horizontal="general" vertical="bottom" textRotation="0" wrapText="false" indent="0" shrinkToFit="false"/>
      <protection locked="true" hidden="false"/>
    </xf>
    <xf numFmtId="164" fontId="0" fillId="0" borderId="14" xfId="102" applyFont="true" applyBorder="true" applyAlignment="false" applyProtection="false">
      <alignment horizontal="general" vertical="bottom" textRotation="0" wrapText="false" indent="0" shrinkToFit="false"/>
      <protection locked="true" hidden="false"/>
    </xf>
    <xf numFmtId="164" fontId="0" fillId="0" borderId="76" xfId="101" applyFont="true" applyBorder="true" applyAlignment="false" applyProtection="false">
      <alignment horizontal="left" vertical="bottom" textRotation="0" wrapText="false" indent="0" shrinkToFit="false"/>
      <protection locked="true" hidden="false"/>
    </xf>
    <xf numFmtId="170" fontId="0" fillId="0" borderId="10" xfId="106" applyFont="false" applyBorder="true" applyAlignment="false" applyProtection="false">
      <alignment horizontal="general" vertical="bottom" textRotation="0" wrapText="false" indent="0" shrinkToFit="false"/>
      <protection locked="true" hidden="false"/>
    </xf>
    <xf numFmtId="164" fontId="0" fillId="0" borderId="47" xfId="101" applyFont="false" applyBorder="true" applyAlignment="false" applyProtection="false">
      <alignment horizontal="left" vertical="bottom" textRotation="0" wrapText="false" indent="0" shrinkToFit="false"/>
      <protection locked="true" hidden="false"/>
    </xf>
    <xf numFmtId="164" fontId="0" fillId="0" borderId="72" xfId="101" applyFont="false" applyBorder="true" applyAlignment="false" applyProtection="false">
      <alignment horizontal="left" vertical="bottom"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1" shrinkToFit="false"/>
      <protection locked="true" hidden="false"/>
    </xf>
    <xf numFmtId="164" fontId="42" fillId="0" borderId="62" xfId="0" applyFont="true" applyBorder="true" applyAlignment="true" applyProtection="true">
      <alignment horizontal="left" vertical="bottom" textRotation="0" wrapText="true" indent="1" shrinkToFit="false"/>
      <protection locked="true" hidden="false"/>
    </xf>
    <xf numFmtId="164" fontId="42" fillId="0" borderId="65" xfId="0" applyFont="true" applyBorder="true" applyAlignment="true" applyProtection="true">
      <alignment horizontal="left" vertical="bottom" textRotation="0" wrapText="true" indent="1" shrinkToFit="false"/>
      <protection locked="true" hidden="false"/>
    </xf>
    <xf numFmtId="164" fontId="30" fillId="0" borderId="67" xfId="0" applyFont="true" applyBorder="true" applyAlignment="true" applyProtection="true">
      <alignment horizontal="center" vertical="bottom" textRotation="0" wrapText="false" indent="0" shrinkToFit="false"/>
      <protection locked="true" hidden="false"/>
    </xf>
    <xf numFmtId="164" fontId="30" fillId="0" borderId="19" xfId="0" applyFont="true" applyBorder="true" applyAlignment="true" applyProtection="true">
      <alignment horizontal="center" vertical="bottom" textRotation="0" wrapText="false" indent="0" shrinkToFit="false"/>
      <protection locked="true" hidden="false"/>
    </xf>
    <xf numFmtId="164" fontId="29" fillId="0" borderId="0" xfId="0" applyFont="true" applyBorder="false" applyAlignment="true" applyProtection="true">
      <alignment horizontal="left" vertical="bottom" textRotation="0" wrapText="false" indent="1" shrinkToFit="false"/>
      <protection locked="true" hidden="false"/>
    </xf>
    <xf numFmtId="164" fontId="30" fillId="23" borderId="26" xfId="0" applyFont="true" applyBorder="true" applyAlignment="true" applyProtection="true">
      <alignment horizontal="general" vertical="bottom" textRotation="0" wrapText="false" indent="0" shrinkToFit="false"/>
      <protection locked="true" hidden="false"/>
    </xf>
    <xf numFmtId="164" fontId="30" fillId="23" borderId="69" xfId="0" applyFont="true" applyBorder="true" applyAlignment="true" applyProtection="true">
      <alignment horizontal="center" vertical="bottom" textRotation="0" wrapText="false" indent="0" shrinkToFit="false"/>
      <protection locked="true" hidden="false"/>
    </xf>
    <xf numFmtId="164" fontId="21" fillId="0" borderId="38" xfId="105" applyFont="true" applyBorder="true" applyAlignment="false" applyProtection="false">
      <alignment horizontal="left" vertical="bottom" textRotation="0" wrapText="false" indent="0" shrinkToFit="false"/>
      <protection locked="true" hidden="false"/>
    </xf>
    <xf numFmtId="164" fontId="30" fillId="0" borderId="0" xfId="0" applyFont="true" applyBorder="false" applyAlignment="true" applyProtection="true">
      <alignment horizontal="center" vertical="bottom" textRotation="0" wrapText="fals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64" fontId="29" fillId="0" borderId="88" xfId="0" applyFont="true" applyBorder="true" applyAlignment="true" applyProtection="true">
      <alignment horizontal="left" vertical="top" textRotation="0" wrapText="false" indent="1" shrinkToFit="false"/>
      <protection locked="true" hidden="false"/>
    </xf>
    <xf numFmtId="182" fontId="30" fillId="0" borderId="78" xfId="0" applyFont="true" applyBorder="true" applyAlignment="true" applyProtection="true">
      <alignment horizontal="center" vertical="bottom" textRotation="0" wrapText="false" indent="0" shrinkToFit="false"/>
      <protection locked="true" hidden="false"/>
    </xf>
    <xf numFmtId="174" fontId="30" fillId="0" borderId="23" xfId="0" applyFont="true" applyBorder="true" applyAlignment="true" applyProtection="true">
      <alignment horizontal="left" vertical="top" textRotation="0" wrapText="false" indent="1" shrinkToFit="false"/>
      <protection locked="true" hidden="false"/>
    </xf>
    <xf numFmtId="164" fontId="29" fillId="23" borderId="26" xfId="0" applyFont="true" applyBorder="true" applyAlignment="true" applyProtection="true">
      <alignment horizontal="left" vertical="top" textRotation="0" wrapText="false" indent="1" shrinkToFit="false"/>
      <protection locked="true" hidden="false"/>
    </xf>
    <xf numFmtId="174" fontId="30" fillId="0" borderId="28" xfId="0" applyFont="true" applyBorder="true" applyAlignment="true" applyProtection="true">
      <alignment horizontal="left" vertical="bottom" textRotation="0" wrapText="false" indent="1" shrinkToFit="false"/>
      <protection locked="true" hidden="false"/>
    </xf>
    <xf numFmtId="164" fontId="30" fillId="23" borderId="29" xfId="0" applyFont="true" applyBorder="true" applyAlignment="true" applyProtection="true">
      <alignment horizontal="left" vertical="bottom" textRotation="0" wrapText="false" indent="1" shrinkToFit="false"/>
      <protection locked="true" hidden="false"/>
    </xf>
    <xf numFmtId="174" fontId="0" fillId="0" borderId="89"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1" shrinkToFit="false"/>
      <protection locked="true" hidden="false"/>
    </xf>
    <xf numFmtId="170" fontId="0" fillId="0" borderId="12" xfId="15" applyFont="true" applyBorder="true" applyAlignment="true" applyProtection="true">
      <alignment horizontal="general" vertical="bottom" textRotation="0" wrapText="false" indent="0" shrinkToFit="false"/>
      <protection locked="true" hidden="false"/>
    </xf>
    <xf numFmtId="174" fontId="0" fillId="26" borderId="55" xfId="0" applyFont="false" applyBorder="true" applyAlignment="true" applyProtection="true">
      <alignment horizontal="center" vertical="center" textRotation="0" wrapText="true" indent="0" shrinkToFit="false"/>
      <protection locked="true" hidden="false"/>
    </xf>
    <xf numFmtId="164" fontId="35" fillId="26" borderId="56" xfId="0" applyFont="true" applyBorder="true" applyAlignment="true" applyProtection="true">
      <alignment horizontal="left" vertical="bottom" textRotation="0" wrapText="false" indent="1" shrinkToFit="false"/>
      <protection locked="true" hidden="false"/>
    </xf>
    <xf numFmtId="164" fontId="35" fillId="26" borderId="56" xfId="0" applyFont="true" applyBorder="true" applyAlignment="true" applyProtection="true">
      <alignment horizontal="center" vertical="bottom" textRotation="0" wrapText="false" indent="0" shrinkToFit="false"/>
      <protection locked="true" hidden="false"/>
    </xf>
    <xf numFmtId="170" fontId="35" fillId="26" borderId="90" xfId="15" applyFont="true" applyBorder="true" applyAlignment="true" applyProtection="true">
      <alignment horizontal="general" vertical="bottom" textRotation="0" wrapText="false" indent="0" shrinkToFit="false"/>
      <protection locked="true" hidden="false"/>
    </xf>
    <xf numFmtId="164" fontId="21" fillId="0" borderId="91" xfId="0" applyFont="true" applyBorder="true" applyAlignment="true" applyProtection="true">
      <alignment horizontal="center" vertical="center" textRotation="0" wrapText="true" indent="0" shrinkToFit="false"/>
      <protection locked="true" hidden="false"/>
    </xf>
    <xf numFmtId="174" fontId="0" fillId="0" borderId="47" xfId="0" applyFont="true" applyBorder="true" applyAlignment="true" applyProtection="true">
      <alignment horizontal="center" vertical="center" textRotation="0" wrapText="true" indent="0" shrinkToFit="false"/>
      <protection locked="true" hidden="false"/>
    </xf>
    <xf numFmtId="170" fontId="0" fillId="0" borderId="17" xfId="15" applyFont="true" applyBorder="true" applyAlignment="true" applyProtection="true">
      <alignment horizontal="general" vertical="bottom" textRotation="0" wrapText="false" indent="0" shrinkToFit="false"/>
      <protection locked="true" hidden="false"/>
    </xf>
    <xf numFmtId="174" fontId="0" fillId="26" borderId="92" xfId="0" applyFont="false" applyBorder="true" applyAlignment="true" applyProtection="true">
      <alignment horizontal="center" vertical="center" textRotation="0" wrapText="true" indent="0" shrinkToFit="false"/>
      <protection locked="true" hidden="false"/>
    </xf>
    <xf numFmtId="164" fontId="35" fillId="26" borderId="28" xfId="0" applyFont="true" applyBorder="true" applyAlignment="true" applyProtection="true">
      <alignment horizontal="left" vertical="bottom" textRotation="0" wrapText="false" indent="1" shrinkToFit="false"/>
      <protection locked="true" hidden="false"/>
    </xf>
    <xf numFmtId="164" fontId="35" fillId="26" borderId="28" xfId="0" applyFont="true" applyBorder="true" applyAlignment="true" applyProtection="true">
      <alignment horizontal="center" vertical="bottom" textRotation="0" wrapText="false" indent="0" shrinkToFit="false"/>
      <protection locked="true" hidden="false"/>
    </xf>
    <xf numFmtId="170" fontId="35" fillId="26" borderId="69" xfId="15" applyFont="true" applyBorder="true" applyAlignment="true" applyProtection="true">
      <alignment horizontal="general" vertical="bottom" textRotation="0" wrapText="false" indent="0" shrinkToFit="false"/>
      <protection locked="true" hidden="false"/>
    </xf>
    <xf numFmtId="174" fontId="0" fillId="29" borderId="47" xfId="0" applyFont="false" applyBorder="true" applyAlignment="true" applyProtection="true">
      <alignment horizontal="center" vertical="center" textRotation="0" wrapText="false" indent="0" shrinkToFit="false"/>
      <protection locked="true" hidden="false"/>
    </xf>
    <xf numFmtId="164" fontId="35" fillId="29" borderId="28" xfId="0" applyFont="true" applyBorder="true" applyAlignment="true" applyProtection="true">
      <alignment horizontal="left" vertical="bottom" textRotation="0" wrapText="false" indent="1" shrinkToFit="false"/>
      <protection locked="true" hidden="false"/>
    </xf>
    <xf numFmtId="164" fontId="35" fillId="29" borderId="28" xfId="0" applyFont="true" applyBorder="true" applyAlignment="true" applyProtection="true">
      <alignment horizontal="center" vertical="bottom" textRotation="0" wrapText="false" indent="0" shrinkToFit="false"/>
      <protection locked="true" hidden="false"/>
    </xf>
    <xf numFmtId="170" fontId="35" fillId="29" borderId="69" xfId="15" applyFont="true" applyBorder="true" applyAlignment="true" applyProtection="true">
      <alignment horizontal="general" vertical="bottom" textRotation="0" wrapText="false" indent="0" shrinkToFit="false"/>
      <protection locked="true" hidden="false"/>
    </xf>
    <xf numFmtId="174" fontId="0" fillId="29" borderId="92" xfId="0" applyFont="false" applyBorder="true" applyAlignment="true" applyProtection="true">
      <alignment horizontal="center" vertical="center" textRotation="0" wrapText="false" indent="0" shrinkToFit="false"/>
      <protection locked="true" hidden="false"/>
    </xf>
    <xf numFmtId="164" fontId="21" fillId="29" borderId="93" xfId="0" applyFont="true" applyBorder="true" applyAlignment="true" applyProtection="true">
      <alignment horizontal="center" vertical="center" textRotation="0" wrapText="false" indent="0" shrinkToFit="false"/>
      <protection locked="true" hidden="false"/>
    </xf>
    <xf numFmtId="164" fontId="17" fillId="3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center" vertical="center" textRotation="0" wrapText="false" indent="0" shrinkToFit="false"/>
      <protection locked="true" hidden="false"/>
    </xf>
    <xf numFmtId="171" fontId="25" fillId="0" borderId="37" xfId="13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cellXfs>
  <cellStyles count="134">
    <cellStyle name="Normal" xfId="0" builtinId="0"/>
    <cellStyle name="Comma" xfId="15" builtinId="3"/>
    <cellStyle name="Comma [0]" xfId="16" builtinId="6"/>
    <cellStyle name="Currency" xfId="17" builtinId="4"/>
    <cellStyle name="Currency [0]" xfId="18" builtinId="7"/>
    <cellStyle name="Percent" xfId="19" builtinId="5"/>
    <cellStyle name="20% - Accent1" xfId="21"/>
    <cellStyle name="20% - Accent2" xfId="22"/>
    <cellStyle name="20% - Accent3" xfId="23"/>
    <cellStyle name="20% - Accent4" xfId="24"/>
    <cellStyle name="20% - Accent5" xfId="25"/>
    <cellStyle name="20% - Accent6" xfId="26"/>
    <cellStyle name="20% - Ênfase1 2" xfId="27"/>
    <cellStyle name="20% - Ênfase2 2" xfId="28"/>
    <cellStyle name="20% - Ênfase3 2" xfId="29"/>
    <cellStyle name="20% - Ênfase4 2" xfId="30"/>
    <cellStyle name="20% - Ênfase5 2" xfId="31"/>
    <cellStyle name="20% - Ênfase6 2" xfId="32"/>
    <cellStyle name="40% - Accent1" xfId="33"/>
    <cellStyle name="40% - Accent2" xfId="34"/>
    <cellStyle name="40% - Accent3" xfId="35"/>
    <cellStyle name="40% - Accent4" xfId="36"/>
    <cellStyle name="40% - Accent5" xfId="37"/>
    <cellStyle name="40% - Accent6" xfId="38"/>
    <cellStyle name="40% - Ênfase1 2" xfId="39"/>
    <cellStyle name="40% - Ênfase2 2" xfId="40"/>
    <cellStyle name="40% - Ênfase3 2" xfId="41"/>
    <cellStyle name="40% - Ênfase4 2" xfId="42"/>
    <cellStyle name="40% - Ênfase5 2" xfId="43"/>
    <cellStyle name="40% - Ênfase6 2" xfId="44"/>
    <cellStyle name="60% - Accent1" xfId="45"/>
    <cellStyle name="60% - Accent2" xfId="46"/>
    <cellStyle name="60% - Accent3" xfId="47"/>
    <cellStyle name="60% - Accent4" xfId="48"/>
    <cellStyle name="60% - Accent5" xfId="49"/>
    <cellStyle name="60% - Accent6" xfId="50"/>
    <cellStyle name="60% - Ênfase1 2" xfId="51"/>
    <cellStyle name="60% - Ênfase2 2" xfId="52"/>
    <cellStyle name="60% - Ênfase3 2" xfId="53"/>
    <cellStyle name="60% - Ênfase4 2" xfId="54"/>
    <cellStyle name="60% - Ênfase5 2" xfId="55"/>
    <cellStyle name="60% - Ênfase6 2" xfId="56"/>
    <cellStyle name="Accent1" xfId="57"/>
    <cellStyle name="Accent2" xfId="58"/>
    <cellStyle name="Accent3" xfId="59"/>
    <cellStyle name="Accent4" xfId="60"/>
    <cellStyle name="Accent5" xfId="61"/>
    <cellStyle name="Accent6" xfId="62"/>
    <cellStyle name="Bad 1" xfId="63"/>
    <cellStyle name="Bom 2" xfId="64"/>
    <cellStyle name="Calculation" xfId="65"/>
    <cellStyle name="Check Cell" xfId="66"/>
    <cellStyle name="Cálculo 2" xfId="67"/>
    <cellStyle name="Célula de Verificação 2" xfId="68"/>
    <cellStyle name="Célula Vinculada 2" xfId="69"/>
    <cellStyle name="Entrada 2" xfId="70"/>
    <cellStyle name="Explanatory Text" xfId="71"/>
    <cellStyle name="Good 2" xfId="72"/>
    <cellStyle name="Heading 1 3" xfId="73"/>
    <cellStyle name="Heading 2 4" xfId="74"/>
    <cellStyle name="Heading 3" xfId="75"/>
    <cellStyle name="Heading 4" xfId="76"/>
    <cellStyle name="Incorreto 2" xfId="77"/>
    <cellStyle name="Input" xfId="78"/>
    <cellStyle name="Linked Cell" xfId="79"/>
    <cellStyle name="Moeda 2" xfId="80"/>
    <cellStyle name="Moeda 2 2" xfId="81"/>
    <cellStyle name="Moeda 3" xfId="82"/>
    <cellStyle name="Moeda 4" xfId="83"/>
    <cellStyle name="Moeda 4 2" xfId="84"/>
    <cellStyle name="Moeda 5" xfId="85"/>
    <cellStyle name="Moeda 6" xfId="86"/>
    <cellStyle name="Neutra 2" xfId="87"/>
    <cellStyle name="Neutral 5" xfId="88"/>
    <cellStyle name="Normal 2" xfId="89"/>
    <cellStyle name="Normal 2 2" xfId="90"/>
    <cellStyle name="Normal 3" xfId="91"/>
    <cellStyle name="Normal 3 2" xfId="92"/>
    <cellStyle name="Normal 4" xfId="93"/>
    <cellStyle name="Normal 5" xfId="94"/>
    <cellStyle name="Normal 6" xfId="95"/>
    <cellStyle name="Normal_LM-HE01" xfId="96"/>
    <cellStyle name="Normal_Tabela de Preços" xfId="97"/>
    <cellStyle name="Nota 2" xfId="98"/>
    <cellStyle name="Note 6" xfId="99"/>
    <cellStyle name="Output" xfId="100"/>
    <cellStyle name="Pivot Table Category" xfId="101"/>
    <cellStyle name="Pivot Table Corner" xfId="102"/>
    <cellStyle name="Pivot Table Field" xfId="103"/>
    <cellStyle name="Pivot Table Result" xfId="104"/>
    <cellStyle name="Pivot Table Title" xfId="105"/>
    <cellStyle name="Pivot Table Value" xfId="106"/>
    <cellStyle name="Porcentagem 2" xfId="107"/>
    <cellStyle name="Porcentagem 2 2" xfId="108"/>
    <cellStyle name="Porcentagem 3" xfId="109"/>
    <cellStyle name="Saída 2" xfId="110"/>
    <cellStyle name="Separador de milhares 2" xfId="111"/>
    <cellStyle name="Separador de milhares 2 2" xfId="112"/>
    <cellStyle name="Serenco" xfId="113"/>
    <cellStyle name="Texto de Aviso 2" xfId="114"/>
    <cellStyle name="Texto Explicativo 2" xfId="115"/>
    <cellStyle name="Title" xfId="116"/>
    <cellStyle name="Total 2" xfId="117"/>
    <cellStyle name="Título 1 2" xfId="118"/>
    <cellStyle name="Título 2 2" xfId="119"/>
    <cellStyle name="Título 3 2" xfId="120"/>
    <cellStyle name="Título 4 2" xfId="121"/>
    <cellStyle name="Título 5" xfId="122"/>
    <cellStyle name="Vírgula 2" xfId="123"/>
    <cellStyle name="Vírgula 2 2" xfId="124"/>
    <cellStyle name="Vírgula 2 2 2" xfId="125"/>
    <cellStyle name="Vírgula 2 3" xfId="126"/>
    <cellStyle name="Vírgula 2 3 2" xfId="127"/>
    <cellStyle name="Vírgula 2 4" xfId="128"/>
    <cellStyle name="Vírgula 3" xfId="129"/>
    <cellStyle name="Vírgula 3 2" xfId="130"/>
    <cellStyle name="Vírgula 3 2 2" xfId="131"/>
    <cellStyle name="Vírgula 3 3" xfId="132"/>
    <cellStyle name="Vírgula 3 3 2" xfId="133"/>
    <cellStyle name="Vírgula 3 4" xfId="134"/>
    <cellStyle name="Vírgula 4" xfId="135"/>
    <cellStyle name="Vírgula 4 2" xfId="136"/>
    <cellStyle name="Vírgula 4 2 2" xfId="137"/>
    <cellStyle name="Vírgula 4 3" xfId="138"/>
    <cellStyle name="Vírgula 5" xfId="139"/>
    <cellStyle name="Vírgula 7" xfId="140"/>
    <cellStyle name="Warning Text" xfId="141"/>
    <cellStyle name="Ênfase1 2" xfId="142"/>
    <cellStyle name="Ênfase2 2" xfId="143"/>
    <cellStyle name="Ênfase3 2" xfId="144"/>
    <cellStyle name="Ênfase4 2" xfId="145"/>
    <cellStyle name="Ênfase5 2" xfId="146"/>
    <cellStyle name="Ênfase6 2" xfId="147"/>
    <cellStyle name="*unknown*" xfId="20" builtinId="8"/>
  </cellStyles>
  <dxfs count="2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
      <numFmt numFmtId="164" formatCode="General"/>
      <fill>
        <patternFill>
          <bgColor theme="1" tint="0.24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24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4999"/>
        </patternFill>
      </fill>
    </dxf>
    <dxf>
      <numFmt numFmtId="164" formatCode="General"/>
      <fill>
        <patternFill>
          <bgColor theme="1" tint="0.2499"/>
        </patternFill>
      </fill>
    </dxf>
    <dxf>
      <numFmt numFmtId="164" formatCode="General"/>
      <fill>
        <patternFill>
          <bgColor theme="1" tint="0.4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ED7D31"/>
      <rgbColor rgb="FF800080"/>
      <rgbColor rgb="FF0563C1"/>
      <rgbColor rgb="FFC0C0C0"/>
      <rgbColor rgb="FF808080"/>
      <rgbColor rgb="FF9999FF"/>
      <rgbColor rgb="FF993366"/>
      <rgbColor rgb="FFFFFFCC"/>
      <rgbColor rgb="FFCCFFFF"/>
      <rgbColor rgb="FF660066"/>
      <rgbColor rgb="FFFF8080"/>
      <rgbColor rgb="FF0066CC"/>
      <rgbColor rgb="FFCCCCFF"/>
      <rgbColor rgb="FF000080"/>
      <rgbColor rgb="FFFF00FF"/>
      <rgbColor rgb="FFFFC000"/>
      <rgbColor rgb="FF00FFFF"/>
      <rgbColor rgb="FF800080"/>
      <rgbColor rgb="FF800000"/>
      <rgbColor rgb="FF008080"/>
      <rgbColor rgb="FF0000FF"/>
      <rgbColor rgb="FF00B0F0"/>
      <rgbColor rgb="FFD9D9D9"/>
      <rgbColor rgb="FFCCFFCC"/>
      <rgbColor rgb="FFFFFF99"/>
      <rgbColor rgb="FF99CCFF"/>
      <rgbColor rgb="FFFF99CC"/>
      <rgbColor rgb="FFCC99FF"/>
      <rgbColor rgb="FFFFCC99"/>
      <rgbColor rgb="FF3366FF"/>
      <rgbColor rgb="FF33CCCC"/>
      <rgbColor rgb="FF92D050"/>
      <rgbColor rgb="FFFFCC00"/>
      <rgbColor rgb="FFFF9900"/>
      <rgbColor rgb="FFFF6600"/>
      <rgbColor rgb="FF7F7F7F"/>
      <rgbColor rgb="FF969696"/>
      <rgbColor rgb="FF003366"/>
      <rgbColor rgb="FF339966"/>
      <rgbColor rgb="FF003300"/>
      <rgbColor rgb="FF40404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Relationship Id="rId18" Type="http://schemas.openxmlformats.org/officeDocument/2006/relationships/pivotCacheDefinition" Target="pivotCache/pivotCacheDefinition1.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318240</xdr:colOff>
      <xdr:row>0</xdr:row>
      <xdr:rowOff>28440</xdr:rowOff>
    </xdr:from>
    <xdr:to>
      <xdr:col>18</xdr:col>
      <xdr:colOff>628200</xdr:colOff>
      <xdr:row>2</xdr:row>
      <xdr:rowOff>9720</xdr:rowOff>
    </xdr:to>
    <xdr:pic>
      <xdr:nvPicPr>
        <xdr:cNvPr id="0" name="Imagem 1" descr="Logotipo&#10;&#10;Descrição gerada automaticamente"/>
        <xdr:cNvPicPr/>
      </xdr:nvPicPr>
      <xdr:blipFill>
        <a:blip r:embed="rId1"/>
        <a:stretch/>
      </xdr:blipFill>
      <xdr:spPr>
        <a:xfrm>
          <a:off x="13602600" y="28440"/>
          <a:ext cx="1422360" cy="488160"/>
        </a:xfrm>
        <a:prstGeom prst="rect">
          <a:avLst/>
        </a:prstGeom>
        <a:ln w="0">
          <a:noFill/>
        </a:ln>
      </xdr:spPr>
    </xdr:pic>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efreshOnLoad="1" r:id="rId1" recordCount="1436" createdVersion="3">
  <cacheSource type="worksheet">
    <worksheetSource ref="A5:BL1441" sheet="REDE"/>
  </cacheSource>
  <cacheFields count="64">
    <cacheField name="ITEM" numFmtId="0">
      <sharedItems containsSemiMixedTypes="0" containsString="0" containsNumber="1" containsInteger="1" minValue="1" maxValue="1436" count="143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sharedItems>
    </cacheField>
    <cacheField name="GOOGLE LINK" numFmtId="0">
      <sharedItems count="999">
        <s v="https://www.google.com/maps/dir/-15.917302,-47.760003/-15.9082709,-47.7691377/data=!4m3!4m2!3e0!5i0"/>
        <s v="https://www.google.com/maps/dir/-15.917302,-47.760003/-15.9087023,-47.7685795/data=!4m3!4m2!3e0!5i0"/>
        <s v="https://www.google.com/maps/dir/-15.917302,-47.760003/-15.9087206,-47.7685562/data=!4m3!4m2!3e0!5i0"/>
        <s v="https://www.google.com/maps/dir/-15.917302,-47.760003/-15.9087329,-47.7696502/data=!4m3!4m2!3e0!5i0"/>
        <s v="https://www.google.com/maps/dir/-15.917302,-47.760003/-15.9088783,-47.7683558/data=!4m3!4m2!3e0!5i0"/>
        <s v="https://www.google.com/maps/dir/-15.917302,-47.760003/-15.9090675,-47.7699696/data=!4m3!4m2!3e0!5i0"/>
        <s v="https://www.google.com/maps/dir/-15.917302,-47.760003/-15.9093262,-47.7703563/data=!4m3!4m2!3e0!5i0"/>
        <s v="https://www.google.com/maps/dir/-15.917302,-47.760003/-15.9093459,-47.7702693/data=!4m3!4m2!3e0!5i0"/>
        <s v="https://www.google.com/maps/dir/-15.917302,-47.760003/-15.9093691,-47.7702957/data=!4m3!4m2!3e0!5i0"/>
        <s v="https://www.google.com/maps/dir/-15.917302,-47.760003/-15.9094223,-47.7692309/data=!4m3!4m2!3e0!5i1"/>
        <s v="https://www.google.com/maps/dir/-15.917302,-47.760003/-15.9095214,-47.7705312/data=!4m3!4m2!3e0!5i0"/>
        <s v="https://www.google.com/maps/dir/-15.917302,-47.760003/-15.9096325,-47.7693914/data=!4m3!4m2!3e0!5i0"/>
        <s v="https://www.google.com/maps/dir/-15.917302,-47.760003/-15.9096640,-47.7694341/data=!4m3!4m2!3e0!5i0"/>
        <s v="https://www.google.com/maps/dir/-15.917302,-47.760003/-15.9096676,-47.7707634/data=!4m3!4m2!3e0!5i0"/>
        <s v="https://www.google.com/maps/dir/-15.917302,-47.760003/-15.9097086,-47.7706989/data=!4m3!4m2!3e0!5i0"/>
        <s v="https://www.google.com/maps/dir/-15.917302,-47.760003/-15.9098010,-47.7673501/data=!4m3!4m2!3e0!5i0"/>
        <s v="https://www.google.com/maps/dir/-15.917302,-47.760003/-15.9098332,-47.7708964/data=!4m3!4m2!3e0!5i2"/>
        <s v="https://www.google.com/maps/dir/-15.917302,-47.760003/-15.9098537,-47.7672185/data=!4m3!4m2!3e0!5i2"/>
        <s v="https://www.google.com/maps/dir/-15.917302,-47.760003/-15.9098606,-47.7696301/data=!4m3!4m2!3e0!5i0"/>
        <s v="https://www.google.com/maps/dir/-15.917302,-47.760003/-15.9098710,-47.7691512/data=!4m3!4m2!3e0!5i0"/>
        <s v="https://www.google.com/maps/dir/-15.917302,-47.760003/-15.9099196,-47.7707814/data=!4m3!4m2!3e0!5i2"/>
        <s v="https://www.google.com/maps/dir/-15.917302,-47.760003/-15.9099333,-47.7707930/data=!4m3!4m2!3e0!5i2"/>
        <s v="https://www.google.com/maps/dir/-15.917302,-47.760003/-15.9100486,-47.7697839/data=!4m3!4m2!3e0!5i0"/>
        <s v="https://www.google.com/maps/dir/-15.917302,-47.760003/-15.9101207,-47.7688223/data=!4m3!4m2!3e0!5i0"/>
        <s v="https://www.google.com/maps/dir/-15.917302,-47.760003/-15.9101359,-47.7674502/data=!4m3!4m2!3e0!5i0"/>
        <s v="https://www.google.com/maps/dir/-15.917302,-47.760003/-15.9102338,-47.7710546/data=!4m3!4m2!3e0!5i2"/>
        <s v="https://www.google.com/maps/dir/-15.917302,-47.760003/-15.9104333,-47.7700924/data=!4m3!4m2!3e0!5i2"/>
        <s v="https://www.google.com/maps/dir/-15.917302,-47.760003/-15.9110965,-47.7692988/data=!4m3!4m2!3e0!5i0"/>
        <s v="https://www.google.com/maps/dir/-15.917302,-47.760003/-15.9111062,-47.7678339/data=!4m3!4m2!3e0!5i0"/>
        <s v="https://www.google.com/maps/dir/-15.917302,-47.760003/-15.9112190,-47.7702074/data=!4m3!4m2!3e0!5i2"/>
        <s v="https://www.google.com/maps/dir/-15.917302,-47.760003/-15.9113070,-47.7678398/data=!4m3!4m2!3e0!5i0"/>
        <s v="https://www.google.com/maps/dir/-15.917302,-47.760003/-15.9114560,-47.7698841/data=!4m3!4m2!3e0!5i0"/>
        <s v="https://www.google.com/maps/dir/-15.917302,-47.760003/-15.9114826,-47.7680115/data=!4m3!4m2!3e0!5i0"/>
        <s v="https://www.google.com/maps/dir/-15.917302,-47.760003/-15.9115971,-47.7697050/data=!4m3!4m2!3e0!5i0"/>
        <s v="https://www.google.com/maps/dir/-15.917302,-47.760003/-15.9117158,-47.7698002/data=!4m3!4m2!3e0!5i0"/>
        <s v="https://www.google.com/maps/dir/-15.917302,-47.760003/-15.9117527,-47.7680347/data=!4m3!4m2!3e0!5i0"/>
        <s v="https://www.google.com/maps/dir/-15.917302,-47.760003/-15.9119164,-47.7681674/data=!4m3!4m2!3e0!5i0"/>
        <s v="https://www.google.com/maps/dir/-15.917302,-47.760003/-15.9119343,-47.7675738/data=!4m3!4m2!3e0!5i0"/>
        <s v="https://www.google.com/maps/dir/-15.917302,-47.760003/-15.9120146,-47.7700428/data=!4m3!4m2!3e0!5i0"/>
        <s v="https://www.google.com/maps/dir/-15.917302,-47.760003/-15.9121459,-47.7670256/data=!4m3!4m2!3e0!5i0"/>
        <s v="https://www.google.com/maps/dir/-15.917302,-47.760003/-15.9122096,-47.7670531/data=!4m3!4m2!3e0!5i0"/>
        <s v="https://www.google.com/maps/dir/-15.917302,-47.760003/-15.9122124,-47.7676848/data=!4m3!4m2!3e0!5i0"/>
        <s v="https://www.google.com/maps/dir/-15.917302,-47.760003/-15.9123200,-47.7683598/data=!4m3!4m2!3e0!5i0"/>
        <s v="https://www.google.com/maps/dir/-15.917302,-47.760003/-15.9123338,-47.7703037/data=!4m3!4m2!3e0!5i0"/>
        <s v="https://www.google.com/maps/dir/-15.917302,-47.760003/-15.9126332,-47.7705378/data=!4m3!4m2!3e0!5i2"/>
        <s v="https://www.google.com/maps/dir/-15.917302,-47.760003/-15.9127364,-47.7685246/data=!4m3!4m2!3e0!5i0"/>
        <s v="https://www.google.com/maps/dir/-15.917302,-47.760003/-15.9127616,-47.7723543/data=!4m3!4m2!3e0!5i2"/>
        <s v="https://www.google.com/maps/dir/-15.917302,-47.760003/-15.9127684,-47.7723544/data=!4m3!4m2!3e0!5i0"/>
        <s v="https://www.google.com/maps/dir/-15.917302,-47.760003/-15.9129259,-47.7707680/data=!4m3!4m2!3e0!5i2"/>
        <s v="https://www.google.com/maps/dir/-15.917302,-47.760003/-15.9130975,-47.7686678/data=!4m3!4m2!3e0!5i0"/>
        <s v="https://www.google.com/maps/dir/-15.917302,-47.760003/-15.9132261,-47.7710019/data=!4m3!4m2!3e0!5i0"/>
        <s v="https://www.google.com/maps/dir/-15.917302,-47.760003/-15.9132341,-47.7673643/data=!4m3!4m2!3e0!5i0"/>
        <s v="https://www.google.com/maps/dir/-15.917302,-47.760003/-15.9132438,-47.7710157/data=!4m3!4m2!3e0!5i0"/>
        <s v="https://www.google.com/maps/dir/-15.917302,-47.760003/-15.9133958,-47.7669409/data=!4m3!4m2!3e0!5i1"/>
        <s v="https://www.google.com/maps/dir/-15.917302,-47.760003/-15.9134183,-47.7687584/data=!4m3!4m2!3e0!5i0"/>
        <s v="https://www.google.com/maps/dir/-15.917302,-47.760003/-15.9134612,-47.7688191/data=!4m3!4m2!3e0!5i0"/>
        <s v="https://www.google.com/maps/dir/-15.917302,-47.760003/-15.9135542,-47.7684735/data=!4m3!4m2!3e0!5i0"/>
        <s v="https://www.google.com/maps/dir/-15.917302,-47.760003/-15.9135564,-47.7712594/data=!4m3!4m2!3e0!5i0"/>
        <s v="https://www.google.com/maps/dir/-15.917302,-47.760003/-15.9135573,-47.7684830/data=!4m3!4m2!3e0!5i0"/>
        <s v="https://www.google.com/maps/dir/-15.917302,-47.760003/-15.9137307,-47.7680790/data=!4m3!4m2!3e0!5i0"/>
        <s v="https://www.google.com/maps/dir/-15.917302,-47.760003/-15.9137328,-47.7718438/data=!4m3!4m2!3e0!5i0"/>
        <s v="https://www.google.com/maps/dir/-15.917302,-47.760003/-15.9137376,-47.7680634/data=!4m3!4m2!3e0!5i1"/>
        <s v="https://www.google.com/maps/dir/-15.917302,-47.760003/-15.9138102,-47.7671213/data=!4m3!4m2!3e0!5i0"/>
        <s v="https://www.google.com/maps/dir/-15.917302,-47.760003/-15.9138216,-47.7689947/data=!4m3!4m2!3e0!5i0"/>
        <s v="https://www.google.com/maps/dir/-15.917302,-47.760003/-15.9139025,-47.7676649/data=!4m3!4m2!3e0!5i0"/>
        <s v="https://www.google.com/maps/dir/-15.917302,-47.760003/-15.9139039,-47.7686253/data=!4m3!4m2!3e0!5i0"/>
        <s v="https://www.google.com/maps/dir/-15.917302,-47.760003/-15.9139424,-47.7720102/data=!4m3!4m2!3e0!5i0"/>
        <s v="https://www.google.com/maps/dir/-15.917302,-47.760003/-15.9139831,-47.7663431/data=!4m3!4m2!3e0!5i1"/>
        <s v="https://www.google.com/maps/dir/-15.917302,-47.760003/-15.9140329,-47.7726304/data=!4m3!4m2!3e0!5i0"/>
        <s v="https://www.google.com/maps/dir/-15.917302,-47.760003/-15.9140711,-47.7732031/data=!4m3!4m2!3e0!5i0"/>
        <s v="https://www.google.com/maps/dir/-15.917302,-47.760003/-15.9141590,-47.7691508/data=!4m3!4m2!3e0!5i1"/>
        <s v="https://www.google.com/maps/dir/-15.917302,-47.760003/-15.9142288,-47.7691227/data=!4m3!4m2!3e0!5i0"/>
        <s v="https://www.google.com/maps/dir/-15.917302,-47.760003/-15.9142846,-47.7722812/data=!4m3!4m2!3e0!5i0"/>
        <s v="https://www.google.com/maps/dir/-15.917302,-47.760003/-15.9143039,-47.7728664/data=!4m3!4m2!3e0!5i0"/>
        <s v="https://www.google.com/maps/dir/-15.917302,-47.760003/-15.9143891,-47.7679584/data=!4m3!4m2!3e0!5i1"/>
        <s v="https://www.google.com/maps/dir/-15.917302,-47.760003/-15.9144929,-47.7692936/data=!4m3!4m2!3e0!5i0"/>
        <s v="https://www.google.com/maps/dir/-15.917302,-47.760003/-15.9147565,-47.7689129/data=!4m3!4m2!3e0!5i0"/>
        <s v="https://www.google.com/maps/dir/-15.917302,-47.760003/-15.9148475,-47.7694979/data=!4m3!4m2!3e0!5i0"/>
        <s v="https://www.google.com/maps/dir/-15.917302,-47.760003/-15.9148615,-47.7738529/data=!4m3!4m2!3e0!5i1"/>
        <s v="https://www.google.com/maps/dir/-15.917302,-47.760003/-15.9148688,-47.7738534/data=!4m3!4m2!3e0!5i0"/>
        <s v="https://www.google.com/maps/dir/-15.917302,-47.760003/-15.9149640,-47.7719369/data=!4m3!4m2!3e0!5i0"/>
        <s v="https://www.google.com/maps/dir/-15.917302,-47.760003/-15.9150375,-47.7739814/data=!4m3!4m2!3e0!5i0"/>
        <s v="https://www.google.com/maps/dir/-15.917302,-47.760003/-15.9150491,-47.7719899/data=!4m3!4m2!3e0!5i0"/>
        <s v="https://www.google.com/maps/dir/-15.917302,-47.760003/-15.9150560,-47.7696015/data=!4m3!4m2!3e0!5i1"/>
        <s v="https://www.google.com/maps/dir/-15.917302,-47.760003/-15.9150851,-47.7700684/data=!4m3!4m2!3e0!5i0"/>
        <s v="https://www.google.com/maps/dir/-15.917302,-47.760003/-15.9151133,-47.7695872/data=!4m3!4m2!3e0!5i0"/>
        <s v="https://www.google.com/maps/dir/-15.917302,-47.760003/-15.9151224,-47.7687937/data=!4m3!4m2!3e0!5i0"/>
        <s v="https://www.google.com/maps/dir/-15.917302,-47.760003/-15.9151369,-47.7720574/data=!4m3!4m2!3e0!5i0"/>
        <s v="https://www.google.com/maps/dir/-15.917302,-47.760003/-15.9152646,-47.7702327/data=!4m3!4m2!3e0!5i0"/>
        <s v="https://www.google.com/maps/dir/-15.917302,-47.760003/-15.9152744,-47.7726751/data=!4m3!4m2!3e0!5i1"/>
        <s v="https://www.google.com/maps/dir/-15.917302,-47.760003/-15.9153081,-47.7697190/data=!4m3!4m2!3e0!5i0"/>
        <s v="https://www.google.com/maps/dir/-15.917302,-47.760003/-15.9153377,-47.7696141/data=!4m3!4m2!3e0!5i0"/>
        <s v="https://www.google.com/maps/dir/-15.917302,-47.760003/-15.9153806,-47.7670508/data=!4m3!4m2!3e0!5i0"/>
        <s v="https://www.google.com/maps/dir/-15.917302,-47.760003/-15.9154181,-47.7686818/data=!4m3!4m2!3e0!5i0"/>
        <s v="https://www.google.com/maps/dir/-15.917302,-47.760003/-15.9154352,-47.7740061/data=!4m3!4m2!3e0!5i0"/>
        <s v="https://www.google.com/maps/dir/-15.917302,-47.760003/-15.9154694,-47.7686635/data=!4m3!4m2!3e0!5i0"/>
        <s v="https://www.google.com/maps/dir/-15.917302,-47.760003/-15.9155082,-47.7696887/data=!4m3!4m2!3e0!5i0"/>
        <s v="https://www.google.com/maps/dir/-15.917302,-47.760003/-15.9155577,-47.7732931/data=!4m3!4m2!3e0!5i0"/>
        <s v="https://www.google.com/maps/dir/-15.917302,-47.760003/-15.9156051,-47.7705103/data=!4m3!4m2!3e0!5i0"/>
        <s v="https://www.google.com/maps/dir/-15.917302,-47.760003/-15.9156496,-47.7741520/data=!4m3!4m2!3e0!5i0"/>
        <s v="https://www.google.com/maps/dir/-15.917302,-47.760003/-15.9156663,-47.7733810/data=!4m3!4m2!3e0!5i0"/>
        <s v="https://www.google.com/maps/dir/-15.917302,-47.760003/-15.9157676,-47.7742254/data=!4m3!4m2!3e0!5i0"/>
        <s v="https://www.google.com/maps/dir/-15.917302,-47.760003/-15.9157875,-47.7685513/data=!4m3!4m2!3e0!5i0"/>
        <s v="https://www.google.com/maps/dir/-15.917302,-47.760003/-15.9157893,-47.7734805/data=!4m3!4m2!3e0!5i0"/>
        <s v="https://www.google.com/maps/dir/-15.917302,-47.760003/-15.9158206,-47.7685388/data=!4m3!4m2!3e0!5i0"/>
        <s v="https://www.google.com/maps/dir/-15.917302,-47.760003/-15.9158966,-47.7698603/data=!4m3!4m2!3e0!5i0"/>
        <s v="https://www.google.com/maps/dir/-15.917302,-47.760003/-15.9159843,-47.7700135/data=!4m3!4m2!3e0!5i0"/>
        <s v="https://www.google.com/maps/dir/-15.917302,-47.760003/-15.9160330,-47.7738753/data=!4m3!4m2!3e0!5i0"/>
        <s v="https://www.google.com/maps/dir/-15.917302,-47.760003/-15.9162132,-47.7692247/data=!4m3!4m2!3e0!5i0"/>
        <s v="https://www.google.com/maps/dir/-15.917302,-47.760003/-15.9162187,-47.7700180/data=!4m3!4m2!3e0!5i1"/>
        <s v="https://www.google.com/maps/dir/-15.917302,-47.760003/-15.9162366,-47.7700540/data=!4m3!4m2!3e0!5i0"/>
        <s v="https://www.google.com/maps/dir/-15.917302,-47.760003/-15.9162386,-47.7740237/data=!4m3!4m2!3e0!5i0"/>
        <s v="https://www.google.com/maps/dir/-15.917302,-47.760003/-15.9162613,-47.7700424/data=!4m3!4m2!3e0!5i0"/>
        <s v="https://www.google.com/maps/dir/-15.917302,-47.760003/-15.9162912,-47.7684186/data=!4m3!4m2!3e0!5i0"/>
        <s v="https://www.google.com/maps/dir/-15.917302,-47.760003/-15.9163035,-47.7691748/data=!4m3!4m2!3e0!5i0"/>
        <s v="https://www.google.com/maps/dir/-15.917302,-47.760003/-15.9163876,-47.7684137/data=!4m3!4m2!3e0!5i0"/>
        <s v="https://www.google.com/maps/dir/-15.917302,-47.760003/-15.9164504,-47.7702722/data=!4m3!4m2!3e0!5i0"/>
        <s v="https://www.google.com/maps/dir/-15.917302,-47.760003/-15.9165264,-47.7671754/data=!4m3!4m2!3e0!5i0"/>
        <s v="https://www.google.com/maps/dir/-15.917302,-47.760003/-15.9166131,-47.7742938/data=!4m3!4m2!3e0!5i0"/>
        <s v="https://www.google.com/maps/dir/-15.917302,-47.760003/-15.9166807,-47.7703448/data=!4m3!4m2!3e0!5i0"/>
        <s v="https://www.google.com/maps/dir/-15.917302,-47.760003/-15.9166993,-47.7663188/data=!4m3!4m2!3e0!5i0"/>
        <s v="https://www.google.com/maps/dir/-15.917302,-47.760003/-15.9167036,-47.7684258/data=!4m3!4m2!3e0!5i0"/>
        <s v="https://www.google.com/maps/dir/-15.917302,-47.760003/-15.9167114,-47.7691112/data=!4m3!4m2!3e0!5i0"/>
        <s v="https://www.google.com/maps/dir/-15.917302,-47.760003/-15.9167354,-47.7662970/data=!4m3!4m2!3e0!5i0"/>
        <s v="https://www.google.com/maps/dir/-15.917302,-47.760003/-15.9167763,-47.7663473/data=!4m3!4m2!3e0!5i0"/>
        <s v="https://www.google.com/maps/dir/-15.917302,-47.760003/-15.9167893,-47.7654018/data=!4m3!4m2!3e0!5i0"/>
        <s v="https://www.google.com/maps/dir/-15.917302,-47.760003/-15.9167948,-47.7653900/data=!4m3!4m2!3e0!5i0"/>
        <s v="https://www.google.com/maps/dir/-15.917302,-47.760003/-15.9167952,-47.7683712/data=!4m3!4m2!3e0!5i0"/>
        <s v="https://www.google.com/maps/dir/-15.917302,-47.760003/-15.9169717,-47.7706667/data=!4m3!4m2!3e0!5i0"/>
        <s v="https://www.google.com/maps/dir/-15.917302,-47.760003/-15.9169832,-47.7722396/data=!4m3!4m2!3e0!5i0"/>
        <s v="https://www.google.com/maps/dir/-15.917302,-47.760003/-15.9169915,-47.7689378/data=!4m3!4m2!3e0!5i0"/>
        <s v="https://www.google.com/maps/dir/-15.917302,-47.760003/-15.9170270,-47.7706146/data=!4m3!4m2!3e0!5i1"/>
        <s v="https://www.google.com/maps/dir/-15.917302,-47.760003/-15.9170948,-47.7667526/data=!4m3!4m2!3e0!5i0"/>
        <s v="https://www.google.com/maps/dir/-15.917302,-47.760003/-15.9171014,-47.7694822/data=!4m3!4m2!3e0!5i0"/>
        <s v="https://www.google.com/maps/dir/-15.917302,-47.760003/-15.9171465,-47.7707981/data=!4m3!4m2!3e0!5i0"/>
        <s v="https://www.google.com/maps/dir/-15.917302,-47.760003/-15.9172080,-47.7693892/data=!4m3!4m2!3e0!5i0"/>
        <s v="https://www.google.com/maps/dir/-15.917302,-47.760003/-15.9172410,-47.7754921/data=!4m3!4m2!3e0!5i0"/>
        <s v="https://www.google.com/maps/dir/-15.917302,-47.760003/-15.9172511,-47.7683068/data=!4m3!4m2!3e0!5i0"/>
        <s v="https://www.google.com/maps/dir/-15.917302,-47.760003/-15.9172585,-47.7683563/data=!4m3!4m2!3e0!5i0"/>
        <s v="https://www.google.com/maps/dir/-15.917302,-47.760003/-15.9173020,-47.7683066/data=!4m3!4m2!3e0!5i0"/>
        <s v="https://www.google.com/maps/dir/-15.917302,-47.760003/-15.9174413,-47.7710257/data=!4m3!4m2!3e0!5i0"/>
        <s v="https://www.google.com/maps/dir/-15.917302,-47.760003/-15.9175013,-47.7724965/data=!4m3!4m2!3e0!5i0"/>
        <s v="https://www.google.com/maps/dir/-15.917302,-47.760003/-15.9177351,-47.7712390/data=!4m3!4m2!3e0!5i0"/>
        <s v="https://www.google.com/maps/dir/-15.917302,-47.760003/-15.9177427,-47.7758087/data=!4m3!4m2!3e0!5i0"/>
        <s v="https://www.google.com/maps/dir/-15.917302,-47.760003/-15.9177469,-47.7711783/data=!4m3!4m2!3e0!5i0"/>
        <s v="https://www.google.com/maps/dir/-15.917302,-47.760003/-15.9177661,-47.7674641/data=!4m3!4m2!3e0!5i0"/>
        <s v="https://www.google.com/maps/dir/-15.917302,-47.760003/-15.9177707,-47.7712202/data=!4m3!4m2!3e0!5i0"/>
        <s v="https://www.google.com/maps/dir/-15.917302,-47.760003/-15.9177810,-47.7712044/data=!4m3!4m2!3e0!5i0"/>
        <s v="https://www.google.com/maps/dir/-15.917302,-47.760003/-15.9178023,-47.7654280/data=!4m3!4m2!3e0!5i1"/>
        <s v="https://www.google.com/maps/dir/-15.917302,-47.760003/-15.9178127,-47.7756909/data=!4m3!4m2!3e0!5i1"/>
        <s v="https://www.google.com/maps/dir/-15.917302,-47.760003/-15.9178216,-47.7712352/data=!4m3!4m2!3e0!5i0"/>
        <s v="https://www.google.com/maps/dir/-15.917302,-47.760003/-15.9179286,-47.7760603/data=!4m3!4m2!3e0!5i0"/>
        <s v="https://www.google.com/maps/dir/-15.917302,-47.760003/-15.9179960,-47.7682524/data=!4m3!4m2!3e0!5i0"/>
        <s v="https://www.google.com/maps/dir/-15.917302,-47.760003/-15.9180277,-47.7714702/data=!4m3!4m2!3e0!5i0"/>
        <s v="https://www.google.com/maps/dir/-15.917302,-47.760003/-15.9180588,-47.7758431/data=!4m3!4m2!3e0!5i0"/>
        <s v="https://www.google.com/maps/dir/-15.917302,-47.760003/-15.9180905,-47.7715402/data=!4m3!4m2!3e0!5i0"/>
        <s v="https://www.google.com/maps/dir/-15.917302,-47.760003/-15.9180951,-47.7652344/data=!4m3!4m2!3e0!5i1"/>
        <s v="https://www.google.com/maps/dir/-15.917302,-47.760003/-15.9181216,-47.7715645/data=!4m3!4m2!3e0!5i0"/>
        <s v="https://www.google.com/maps/dir/-15.917302,-47.760003/-15.9181415,-47.7715801/data=!4m3!4m2!3e0!5i0"/>
        <s v="https://www.google.com/maps/dir/-15.917302,-47.760003/-15.9181418,-47.7715333/data=!4m3!4m2!3e0!5i0"/>
        <s v="https://www.google.com/maps/dir/-15.917302,-47.760003/-15.9181918,-47.7756525/data=!4m3!4m2!3e0!5i0"/>
        <s v="https://www.google.com/maps/dir/-15.917302,-47.760003/-15.9182246,-47.7694141/data=!4m3!4m2!3e0!5i1"/>
        <s v="https://www.google.com/maps/dir/-15.917302,-47.760003/-15.9182458,-47.7681972/data=!4m3!4m2!3e0!5i1"/>
        <s v="https://www.google.com/maps/dir/-15.917302,-47.760003/-15.9182937,-47.7754796/data=!4m3!4m2!3e0!5i0"/>
        <s v="https://www.google.com/maps/dir/-15.917302,-47.760003/-15.9182959,-47.7660311/data=!4m3!4m2!3e0!5i1"/>
        <s v="https://www.google.com/maps/dir/-15.917302,-47.760003/-15.9183117,-47.7703160/data=!4m3!4m2!3e0!5i0"/>
        <s v="https://www.google.com/maps/dir/-15.917302,-47.760003/-15.9183254,-47.7743239/data=!4m3!4m2!3e0!5i1"/>
        <s v="https://www.google.com/maps/dir/-15.917302,-47.760003/-15.9183589,-47.7655495/data=!4m3!4m2!3e0!5i1"/>
        <s v="https://www.google.com/maps/dir/-15.917302,-47.760003/-15.9183657,-47.7763949/data=!4m3!4m2!3e0!5i1"/>
        <s v="https://www.google.com/maps/dir/-15.917302,-47.760003/-15.9183801,-47.7670170/data=!4m3!4m2!3e0!5i0"/>
        <s v="https://www.google.com/maps/dir/-15.917302,-47.760003/-15.9183855,-47.7650509/data=!4m3!4m2!3e0!5i1"/>
        <s v="https://www.google.com/maps/dir/-15.917302,-47.760003/-15.9183977,-47.7752847/data=!4m3!4m2!3e0!5i0"/>
        <s v="https://www.google.com/maps/dir/-15.917302,-47.760003/-15.9184104,-47.7681714/data=!4m3!4m2!3e0!5i0"/>
        <s v="https://www.google.com/maps/dir/-15.917302,-47.760003/-15.9184133,-47.7659481/data=!4m3!4m2!3e0!5i1"/>
        <s v="https://www.google.com/maps/dir/-15.917302,-47.760003/-15.9184434,-47.7681613/data=!4m3!4m2!3e0!5i0"/>
        <s v="https://www.google.com/maps/dir/-15.917302,-47.760003/-15.9184444,-47.7654847/data=!4m3!4m2!3e0!5i0"/>
        <s v="https://www.google.com/maps/dir/-15.917302,-47.760003/-15.9184473,-47.7751761/data=!4m3!4m2!3e0!5i0"/>
        <s v="https://www.google.com/maps/dir/-15.917302,-47.760003/-15.9184711,-47.7698556/data=!4m3!4m2!3e0!5i0"/>
        <s v="https://www.google.com/maps/dir/-15.917302,-47.760003/-15.9185174,-47.7765110/data=!4m3!4m2!3e0!5i2"/>
        <s v="https://www.google.com/maps/dir/-15.917302,-47.760003/-15.9185784,-47.7764308/data=!4m3!4m2!3e0!5i2"/>
        <s v="https://www.google.com/maps/dir/-15.917302,-47.760003/-15.9186117,-47.7752875/data=!4m3!4m2!3e0!5i0"/>
        <s v="https://www.google.com/maps/dir/-15.917302,-47.760003/-15.9186633,-47.7657762/data=!4m3!4m2!3e0!5i1"/>
        <s v="https://www.google.com/maps/dir/-15.917302,-47.760003/-15.9186755,-47.7765201/data=!4m3!4m2!3e0!5i2"/>
        <s v="https://www.google.com/maps/dir/-15.917302,-47.760003/-15.9187330,-47.7682286/data=!4m3!4m2!3e0!5i0"/>
        <s v="https://www.google.com/maps/dir/-15.917302,-47.760003/-15.9187338,-47.7681647/data=!4m3!4m2!3e0!5i0"/>
        <s v="https://www.google.com/maps/dir/-15.917302,-47.760003/-15.9187738,-47.7719690/data=!4m3!4m2!3e0!5i0"/>
        <s v="https://www.google.com/maps/dir/-15.917302,-47.760003/-15.9187777,-47.7745952/data=!4m3!4m2!3e0!5i0"/>
        <s v="https://www.google.com/maps/dir/-15.917302,-47.760003/-15.9187866,-47.7720749/data=!4m3!4m2!3e0!5i0"/>
        <s v="https://www.google.com/maps/dir/-15.917302,-47.760003/-15.9187976,-47.7720136/data=!4m3!4m2!3e0!5i0"/>
        <s v="https://www.google.com/maps/dir/-15.917302,-47.760003/-15.9187977,-47.7708829/data=!4m3!4m2!3e0!5i2"/>
        <s v="https://www.google.com/maps/dir/-15.917302,-47.760003/-15.9188280,-47.7750298/data=!4m3!4m2!3e0!5i0"/>
        <s v="https://www.google.com/maps/dir/-15.917302,-47.760003/-15.9188297,-47.7720148/data=!4m3!4m2!3e0!5i0"/>
        <s v="https://www.google.com/maps/dir/-15.917302,-47.760003/-15.9188332,-47.7766651/data=!4m3!4m2!3e0!5i2"/>
        <s v="https://www.google.com/maps/dir/-15.917302,-47.760003/-15.9188599,-47.7744472/data=!4m3!4m2!3e0!5i0"/>
        <s v="https://www.google.com/maps/dir/-15.917302,-47.760003/-15.9189367,-47.7676282/data=!4m3!4m2!3e0!5i0"/>
        <s v="https://www.google.com/maps/dir/-15.917302,-47.760003/-15.9189632,-47.7765141/data=!4m3!4m2!3e0!5i2"/>
        <s v="https://www.google.com/maps/dir/-15.917302,-47.760003/-15.9189784,-47.7681429/data=!4m3!4m2!3e0!5i0"/>
        <s v="https://www.google.com/maps/dir/-15.917302,-47.760003/-15.9189966,-47.7722341/data=!4m3!4m2!3e0!5i0"/>
        <s v="https://www.google.com/maps/dir/-15.917302,-47.760003/-15.9190110,-47.7722148/data=!4m3!4m2!3e0!5i0"/>
        <s v="https://www.google.com/maps/dir/-15.917302,-47.760003/-15.9190457,-47.7722690/data=!4m3!4m2!3e0!5i0"/>
        <s v="https://www.google.com/maps/dir/-15.917302,-47.760003/-15.9190467,-47.7765860/data=!4m3!4m2!3e0!5i2"/>
        <s v="https://www.google.com/maps/dir/-15.917302,-47.760003/-15.9190707,-47.7672314/data=!4m3!4m2!3e0!5i0"/>
        <s v="https://www.google.com/maps/dir/-15.917302,-47.760003/-15.9191130,-47.7739886/data=!4m3!4m2!3e0!5i0"/>
        <s v="https://www.google.com/maps/dir/-15.917302,-47.760003/-15.9192257,-47.7708478/data=!4m3!4m2!3e0!5i2"/>
        <s v="https://www.google.com/maps/dir/-15.917302,-47.760003/-15.9192697,-47.7737171/data=!4m3!4m2!3e0!5i0"/>
        <s v="https://www.google.com/maps/dir/-15.917302,-47.760003/-15.9193038,-47.7680527/data=!4m3!4m2!3e0!5i0"/>
        <s v="https://www.google.com/maps/dir/-15.917302,-47.760003/-15.9193237,-47.7670598/data=!4m3!4m2!3e0!5i0"/>
        <s v="https://www.google.com/maps/dir/-15.917302,-47.760003/-15.9193740,-47.7680949/data=!4m3!4m2!3e0!5i0"/>
        <s v="https://www.google.com/maps/dir/-15.917302,-47.760003/-15.9194020,-47.7724521/data=!4m3!4m2!3e0!5i0"/>
        <s v="https://www.google.com/maps/dir/-15.917302,-47.760003/-15.9194194,-47.7734490/data=!4m3!4m2!3e0!5i0"/>
        <s v="https://www.google.com/maps/dir/-15.917302,-47.760003/-15.9194259,-47.7734379/data=!4m3!4m2!3e0!5i0"/>
        <s v="https://www.google.com/maps/dir/-15.917302,-47.760003/-15.9194893,-47.7767504/data=!4m3!4m2!3e0!5i2"/>
        <s v="https://www.google.com/maps/dir/-15.917302,-47.760003/-15.9195531,-47.7768010/data=!4m3!4m2!3e0!5i2"/>
        <s v="https://www.google.com/maps/dir/-15.917302,-47.760003/-15.9195800,-47.7668810/data=!4m3!4m2!3e0!5i0"/>
        <s v="https://www.google.com/maps/dir/-15.917302,-47.760003/-15.9195881,-47.7661944/data=!4m3!4m2!3e0!5i1"/>
        <s v="https://www.google.com/maps/dir/-15.917302,-47.760003/-15.9196318,-47.7700913/data=!4m3!4m2!3e0!5i1"/>
        <s v="https://www.google.com/maps/dir/-15.917302,-47.760003/-15.9196830,-47.7708005/data=!4m3!4m2!3e0!5i2"/>
        <s v="https://www.google.com/maps/dir/-15.917302,-47.760003/-15.9197864,-47.7728395/data=!4m3!4m2!3e0!5i0"/>
        <s v="https://www.google.com/maps/dir/-15.917302,-47.760003/-15.9197933,-47.7727628/data=!4m3!4m2!3e0!5i0"/>
        <s v="https://www.google.com/maps/dir/-15.917302,-47.760003/-15.9198430,-47.7728005/data=!4m3!4m2!3e0!5i0"/>
        <s v="https://www.google.com/maps/dir/-15.917302,-47.760003/-15.9198628,-47.7770184/data=!4m3!4m2!3e0!5i2"/>
        <s v="https://www.google.com/maps/dir/-15.917302,-47.760003/-15.9199014,-47.7680342/data=!4m3!4m2!3e0!5i1"/>
        <s v="https://www.google.com/maps/dir/-15.917302,-47.760003/-15.9199091,-47.7707799/data=!4m3!4m2!3e0!5i2"/>
        <s v="https://www.google.com/maps/dir/-15.917302,-47.760003/-15.9199248,-47.7769106/data=!4m3!4m2!3e0!5i2"/>
        <s v="https://www.google.com/maps/dir/-15.917302,-47.760003/-15.9200452,-47.7679736/data=!4m3!4m2!3e0!5i0"/>
        <s v="https://www.google.com/maps/dir/-15.917302,-47.760003/-15.9200487,-47.7660041/data=!4m3!4m2!3e0!5i1"/>
        <s v="https://www.google.com/maps/dir/-15.917302,-47.760003/-15.9201280,-47.7770496/data=!4m3!4m2!3e0!5i2"/>
        <s v="https://www.google.com/maps/dir/-15.917302,-47.760003/-15.9201285,-47.7707566/data=!4m3!4m2!3e0!5i2"/>
        <s v="https://www.google.com/maps/dir/-15.917302,-47.760003/-15.9202592,-47.7768567/data=!4m3!4m2!3e0!5i1"/>
        <s v="https://www.google.com/maps/dir/-15.917302,-47.760003/-15.9203391,-47.7679464/data=!4m3!4m2!3e0!5i0"/>
        <s v="https://www.google.com/maps/dir/-15.917302,-47.760003/-15.9203438,-47.7679936/data=!4m3!4m2!3e0!5i1"/>
        <s v="https://www.google.com/maps/dir/-15.917302,-47.760003/-15.9203482,-47.7708392/data=!4m3!4m2!3e0!5i0"/>
        <s v="https://www.google.com/maps/dir/-15.917302,-47.760003/-15.9203744,-47.7679445/data=!4m3!4m2!3e0!5i0"/>
        <s v="https://www.google.com/maps/dir/-15.917302,-47.760003/-15.9204889,-47.7664818/data=!4m3!4m2!3e0!5i1"/>
        <s v="https://www.google.com/maps/dir/-15.917302,-47.760003/-15.9205085,-47.7734921/data=!4m3!4m2!3e0!5i2"/>
        <s v="https://www.google.com/maps/dir/-15.917302,-47.760003/-15.9205585,-47.7707053/data=!4m3!4m2!3e0!5i2"/>
        <s v="https://www.google.com/maps/dir/-15.917302,-47.760003/-15.9205828,-47.7707191/data=!4m3!4m2!3e0!5i2"/>
        <s v="https://www.google.com/maps/dir/-15.917302,-47.760003/-15.9206635,-47.7735867/data=!4m3!4m2!3e0!5i0"/>
        <s v="https://www.google.com/maps/dir/-15.917302,-47.760003/-15.9207081,-47.7750860/data=!4m3!4m2!3e0!5i2"/>
        <s v="https://www.google.com/maps/dir/-15.917302,-47.760003/-15.9207434,-47.7672418/data=!4m3!4m2!3e0!5i1"/>
        <s v="https://www.google.com/maps/dir/-15.917302,-47.760003/-15.9207503,-47.7679146/data=!4m3!4m2!3e0!5i1"/>
        <s v="https://www.google.com/maps/dir/-15.917302,-47.760003/-15.9207916,-47.7682559/data=!4m3!4m2!3e0!5i2"/>
        <s v="https://www.google.com/maps/dir/-15.917302,-47.760003/-15.9207955,-47.7681983/data=!4m3!4m2!3e0!5i1"/>
        <s v="https://www.google.com/maps/dir/-15.917302,-47.760003/-15.9208026,-47.7737893/data=!4m3!4m2!3e0!5i2"/>
        <s v="https://www.google.com/maps/dir/-15.917302,-47.760003/-15.9208181,-47.7686076/data=!4m3!4m2!3e0!5i2"/>
        <s v="https://www.google.com/maps/dir/-15.917302,-47.760003/-15.9208230,-47.7677516/data=!4m3!4m2!3e0!5i1"/>
        <s v="https://www.google.com/maps/dir/-15.917302,-47.760003/-15.9208272,-47.7676840/data=!4m3!4m2!3e0!5i1"/>
        <s v="https://www.google.com/maps/dir/-15.917302,-47.760003/-15.9208628,-47.7748759/data=!4m3!4m2!3e0!5i2"/>
        <s v="https://www.google.com/maps/dir/-15.917302,-47.760003/-15.9208717,-47.7703422/data=!4m3!4m2!3e0!5i1"/>
        <s v="https://www.google.com/maps/dir/-15.917302,-47.760003/-15.9208756,-47.7726715/data=!4m3!4m2!3e0!5i0"/>
        <s v="https://www.google.com/maps/dir/-15.917302,-47.760003/-15.9209208,-47.7706611/data=!4m3!4m2!3e0!5i1"/>
        <s v="https://www.google.com/maps/dir/-15.917302,-47.760003/-15.9209877,-47.7708879/data=!4m3!4m2!3e0!5i1"/>
        <s v="https://www.google.com/maps/dir/-15.917302,-47.760003/-15.9210544,-47.7739465/data=!4m3!4m2!3e0!5i2"/>
        <s v="https://www.google.com/maps/dir/-15.917302,-47.760003/-15.9210592,-47.7753623/data=!4m3!4m2!3e0!5i2"/>
        <s v="https://www.google.com/maps/dir/-15.917302,-47.760003/-15.9210803,-47.7738934/data=!4m3!4m2!3e0!5i1"/>
        <s v="https://www.google.com/maps/dir/-15.917302,-47.760003/-15.9210848,-47.7739625/data=!4m3!4m2!3e0!5i0"/>
        <s v="https://www.google.com/maps/dir/-15.917302,-47.760003/-15.9211127,-47.7768154/data=!4m3!4m2!3e0!5i1"/>
        <s v="https://www.google.com/maps/dir/-15.917302,-47.760003/-15.9211160,-47.7768256/data=!4m3!4m2!3e0!5i1"/>
        <s v="https://www.google.com/maps/dir/-15.917302,-47.760003/-15.9211304,-47.7726539/data=!4m3!4m2!3e0!5i2"/>
        <s v="https://www.google.com/maps/dir/-15.917302,-47.760003/-15.9211393,-47.7768366/data=!4m3!4m2!3e0!5i1"/>
        <s v="https://www.google.com/maps/dir/-15.917302,-47.760003/-15.9212447,-47.7740342/data=!4m3!4m2!3e0!5i1"/>
        <s v="https://www.google.com/maps/dir/-15.917302,-47.760003/-15.9213074,-47.7765997/data=!4m3!4m2!3e0!5i1"/>
        <s v="https://www.google.com/maps/dir/-15.917302,-47.760003/-15.9213102,-47.7726457/data=!4m3!4m2!3e0!5i1"/>
        <s v="https://www.google.com/maps/dir/-15.917302,-47.760003/-15.9213286,-47.7740771/data=!4m3!4m2!3e0!5i2"/>
        <s v="https://www.google.com/maps/dir/-15.917302,-47.760003/-15.9213337,-47.7733762/data=!4m3!4m2!3e0!5i2"/>
        <s v="https://www.google.com/maps/dir/-15.917302,-47.760003/-15.9213367,-47.7740611/data=!4m3!4m2!3e0!5i1"/>
        <s v="https://www.google.com/maps/dir/-15.917302,-47.760003/-15.9213399,-47.7766240/data=!4m3!4m2!3e0!5i1"/>
        <s v="https://www.google.com/maps/dir/-15.917302,-47.760003/-15.9213586,-47.7693364/data=!4m3!4m2!3e0!5i2"/>
        <s v="https://www.google.com/maps/dir/-15.917302,-47.760003/-15.9213926,-47.7690620/data=!4m3!4m2!3e0!5i0"/>
        <s v="https://www.google.com/maps/dir/-15.917302,-47.760003/-15.9214262,-47.7745568/data=!4m3!4m2!3e0!5i2"/>
        <s v="https://www.google.com/maps/dir/-15.917302,-47.760003/-15.9214362,-47.7764820/data=!4m3!4m2!3e0!5i1"/>
        <s v="https://www.google.com/maps/dir/-15.917302,-47.760003/-15.9215470,-47.7746714/data=!4m3!4m2!3e0!5i2"/>
        <s v="https://www.google.com/maps/dir/-15.917302,-47.760003/-15.9215569,-47.7772739/data=!4m3!4m2!3e0!5i1"/>
        <s v="https://www.google.com/maps/dir/-15.917302,-47.760003/-15.9215893,-47.7661711/data=!4m3!4m2!3e0!5i1"/>
        <s v="https://www.google.com/maps/dir/-15.917302,-47.760003/-15.9216397,-47.7741739/data=!4m3!4m2!3e0!5i2"/>
        <s v="https://www.google.com/maps/dir/-15.917302,-47.760003/-15.9216635,-47.7742465/data=!4m3!4m2!3e0!5i2"/>
        <s v="https://www.google.com/maps/dir/-15.917302,-47.760003/-15.9218017,-47.7704762/data=!4m3!4m2!3e0!5i2"/>
        <s v="https://www.google.com/maps/dir/-15.917302,-47.760003/-15.9218078,-47.7703409/data=!4m3!4m2!3e0!5i2"/>
        <s v="https://www.google.com/maps/dir/-15.917302,-47.760003/-15.9218178,-47.7774000/data=!4m3!4m2!3e0!5i1"/>
        <s v="https://www.google.com/maps/dir/-15.917302,-47.760003/-15.9218239,-47.7699959/data=!4m3!4m2!3e0!5i2"/>
        <s v="https://www.google.com/maps/dir/-15.917302,-47.760003/-15.9218735,-47.7768376/data=!4m3!4m2!3e0!5i1"/>
        <s v="https://www.google.com/maps/dir/-15.917302,-47.760003/-15.9219271,-47.7774384/data=!4m3!4m2!3e0!5i2"/>
        <s v="https://www.google.com/maps/dir/-15.917302,-47.760003/-15.9219514,-47.7764963/data=!4m3!4m2!3e0!5i1"/>
        <s v="https://www.google.com/maps/dir/-15.917302,-47.760003/-15.9219683,-47.7757648/data=!4m3!4m2!3e0!5i1"/>
        <s v="https://www.google.com/maps/dir/-15.917302,-47.760003/-15.9220204,-47.7735508/data=!4m3!4m2!3e0!5i2"/>
        <s v="https://www.google.com/maps/dir/-15.917302,-47.760003/-15.9220975,-47.7745015/data=!4m3!4m2!3e0!5i1"/>
        <s v="https://www.google.com/maps/dir/-15.917302,-47.760003/-15.9221346,-47.7660354/data=!4m3!4m2!3e0!5i1"/>
        <s v="https://www.google.com/maps/dir/-15.917302,-47.760003/-15.9221375,-47.7745527/data=!4m3!4m2!3e0!5i1"/>
        <s v="https://www.google.com/maps/dir/-15.917302,-47.760003/-15.9221478,-47.7745366/data=!4m3!4m2!3e0!5i1"/>
        <s v="https://www.google.com/maps/dir/-15.917302,-47.760003/-15.9221481,-47.7746061/data=!4m3!4m2!3e0!5i1"/>
        <s v="https://www.google.com/maps/dir/-15.917302,-47.760003/-15.9221698,-47.7745510/data=!4m3!4m2!3e0!5i1"/>
        <s v="https://www.google.com/maps/dir/-15.917302,-47.760003/-15.9221784,-47.7745548/data=!4m3!4m2!3e0!5i1"/>
        <s v="https://www.google.com/maps/dir/-15.917302,-47.760003/-15.9221973,-47.7670470/data=!4m3!4m2!3e0!5i1"/>
        <s v="https://www.google.com/maps/dir/-15.917302,-47.760003/-15.9222040,-47.7745975/data=!4m3!4m2!3e0!5i1"/>
        <s v="https://www.google.com/maps/dir/-15.917302,-47.760003/-15.9222126,-47.7745764/data=!4m3!4m2!3e0!5i1"/>
        <s v="https://www.google.com/maps/dir/-15.917302,-47.760003/-15.9222283,-47.7745853/data=!4m3!4m2!3e0!5i1"/>
        <s v="https://www.google.com/maps/dir/-15.917302,-47.760003/-15.9222428,-47.7743257/data=!4m3!4m2!3e0!5i1"/>
        <s v="https://www.google.com/maps/dir/-15.917302,-47.760003/-15.9222560,-47.7712231/data=!4m3!4m2!3e0!5i1"/>
        <s v="https://www.google.com/maps/dir/-15.917302,-47.760003/-15.9223221,-47.7736517/data=!4m3!4m2!3e0!5i2"/>
        <s v="https://www.google.com/maps/dir/-15.917302,-47.760003/-15.9223399,-47.7675273/data=!4m3!4m2!3e0!5i1"/>
        <s v="https://www.google.com/maps/dir/-15.917302,-47.760003/-15.9223500,-47.7729436/data=!4m3!4m2!3e0!5i2"/>
        <s v="https://www.google.com/maps/dir/-15.917302,-47.760003/-15.9223503,-47.7734470/data=!4m3!4m2!3e0!5i2"/>
        <s v="https://www.google.com/maps/dir/-15.917302,-47.760003/-15.9223595,-47.7729474/data=!4m3!4m2!3e0!5i2"/>
        <s v="https://www.google.com/maps/dir/-15.917302,-47.760003/-15.9223975,-47.7704684/data=!4m3!4m2!3e0!5i2"/>
        <s v="https://www.google.com/maps/dir/-15.917302,-47.760003/-15.9224032,-47.7729840/data=!4m3!4m2!3e0!5i2"/>
        <s v="https://www.google.com/maps/dir/-15.917302,-47.760003/-15.9224151,-47.7701631/data=!4m3!4m2!3e0!5i2"/>
        <s v="https://www.google.com/maps/dir/-15.917302,-47.760003/-15.9224363,-47.7761059/data=!4m3!4m2!3e0!5i1"/>
        <s v="https://www.google.com/maps/dir/-15.917302,-47.760003/-15.9224645,-47.7665561/data=!4m3!4m2!3e0!5i1"/>
        <s v="https://www.google.com/maps/dir/-15.917302,-47.760003/-15.9224763,-47.7723533/data=!4m3!4m2!3e0!5i1"/>
        <s v="https://www.google.com/maps/dir/-15.917302,-47.760003/-15.9225086,-47.7720516/data=!4m3!4m2!3e0!5i1"/>
        <s v="https://www.google.com/maps/dir/-15.917302,-47.760003/-15.9225237,-47.7718968/data=!4m3!4m2!3e0!5i0"/>
        <s v="https://www.google.com/maps/dir/-15.917302,-47.760003/-15.9225317,-47.7777789/data=!4m3!4m2!3e0!5i2"/>
        <s v="https://www.google.com/maps/dir/-15.917302,-47.760003/-15.9225340,-47.7748468/data=!4m3!4m2!3e0!5i1"/>
        <s v="https://www.google.com/maps/dir/-15.917302,-47.760003/-15.9225438,-47.7756944/data=!4m3!4m2!3e0!5i1"/>
        <s v="https://www.google.com/maps/dir/-15.917302,-47.760003/-15.9225484,-47.7712167/data=!4m3!4m2!3e0!5i0"/>
        <s v="https://www.google.com/maps/dir/-15.917302,-47.760003/-15.9225684,-47.7712463/data=!4m3!4m2!3e0!5i0"/>
        <s v="https://www.google.com/maps/dir/-15.917302,-47.760003/-15.9225821,-47.7713738/data=!4m3!4m2!3e0!5i0"/>
        <s v="https://www.google.com/maps/dir/-15.917302,-47.760003/-15.9225966,-47.7711451/data=!4m3!4m2!3e0!5i0"/>
        <s v="https://www.google.com/maps/dir/-15.917302,-47.760003/-15.9226056,-47.7748878/data=!4m3!4m2!3e0!5i1"/>
        <s v="https://www.google.com/maps/dir/-15.917302,-47.760003/-15.9226322,-47.7708574/data=!4m3!4m2!3e0!5i1"/>
        <s v="https://www.google.com/maps/dir/-15.917302,-47.760003/-15.9226902,-47.7701811/data=!4m3!4m2!3e0!5i1"/>
        <s v="https://www.google.com/maps/dir/-15.917302,-47.760003/-15.9226942,-47.7704786/data=!4m3!4m2!3e0!5i1"/>
        <s v="https://www.google.com/maps/dir/-15.917302,-47.760003/-15.9227396,-47.7701634/data=!4m3!4m2!3e0!5i2"/>
        <s v="https://www.google.com/maps/dir/-15.917302,-47.760003/-15.9227396,-47.7748797/data=!4m3!4m2!3e0!5i1"/>
        <s v="https://www.google.com/maps/dir/-15.917302,-47.760003/-15.9227640,-47.7748492/data=!4m3!4m2!3e0!5i1"/>
        <s v="https://www.google.com/maps/dir/-15.917302,-47.760003/-15.9227734,-47.7699289/data=!4m3!4m2!3e0!5i2"/>
        <s v="https://www.google.com/maps/dir/-15.917302,-47.760003/-15.9227841,-47.7770154/data=!4m3!4m2!3e0!5i2"/>
        <s v="https://www.google.com/maps/dir/-15.917302,-47.760003/-15.9228120,-47.7697016/data=!4m3!4m2!3e0!5i2"/>
        <s v="https://www.google.com/maps/dir/-15.917302,-47.760003/-15.9228496,-47.7693188/data=!4m3!4m2!3e0!5i2"/>
        <s v="https://www.google.com/maps/dir/-15.917302,-47.760003/-15.9228537,-47.7668939/data=!4m3!4m2!3e0!5i1"/>
        <s v="https://www.google.com/maps/dir/-15.917302,-47.760003/-15.9228573,-47.7780278/data=!4m3!4m2!3e0!5i2"/>
        <s v="https://www.google.com/maps/dir/-15.917302,-47.760003/-15.9228781,-47.7780384/data=!4m3!4m2!3e0!5i2"/>
        <s v="https://www.google.com/maps/dir/-15.917302,-47.760003/-15.9228897,-47.7750939/data=!4m3!4m2!3e0!5i1"/>
        <s v="https://www.google.com/maps/dir/-15.917302,-47.760003/-15.9229040,-47.7729996/data=!4m3!4m2!3e0!5i2"/>
        <s v="https://www.google.com/maps/dir/-15.917302,-47.760003/-15.9229045,-47.7692447/data=!4m3!4m2!3e0!5i2"/>
        <s v="https://www.google.com/maps/dir/-15.917302,-47.760003/-15.9229163,-47.7719989/data=!4m3!4m2!3e0!5i0"/>
        <s v="https://www.google.com/maps/dir/-15.917302,-47.760003/-15.9229356,-47.7688766/data=!4m3!4m2!3e0!5i2"/>
        <s v="https://www.google.com/maps/dir/-15.917302,-47.760003/-15.9229438,-47.7674952/data=!4m3!4m2!3e0!5i1"/>
        <s v="https://www.google.com/maps/dir/-15.917302,-47.760003/-15.9229481,-47.7771657/data=!4m3!4m2!3e0!5i2"/>
        <s v="https://www.google.com/maps/dir/-15.917302,-47.760003/-15.9229860,-47.7688387/data=!4m3!4m2!3e0!5i2"/>
        <s v="https://www.google.com/maps/dir/-15.917302,-47.760003/-15.9230123,-47.7716332/data=!4m3!4m2!3e0!5i0"/>
        <s v="https://www.google.com/maps/dir/-15.917302,-47.760003/-15.9230315,-47.7684771/data=!4m3!4m2!3e0!5i2"/>
        <s v="https://www.google.com/maps/dir/-15.917302,-47.760003/-15.9230786,-47.7767209/data=!4m3!4m2!3e0!5i2"/>
        <s v="https://www.google.com/maps/dir/-15.917302,-47.760003/-15.9230847,-47.7684773/data=!4m3!4m2!3e0!5i2"/>
        <s v="https://www.google.com/maps/dir/-15.917302,-47.760003/-15.9230851,-47.7752330/data=!4m3!4m2!3e0!5i1"/>
        <s v="https://www.google.com/maps/dir/-15.917302,-47.760003/-15.9231269,-47.7683443/data=!4m3!4m2!3e0!5i2"/>
        <s v="https://www.google.com/maps/dir/-15.917302,-47.760003/-15.9231315,-47.7751726/data=!4m3!4m2!3e0!5i1"/>
        <s v="https://www.google.com/maps/dir/-15.917302,-47.760003/-15.9231459,-47.7681473/data=!4m3!4m2!3e0!5i2"/>
        <s v="https://www.google.com/maps/dir/-15.917302,-47.760003/-15.9233072,-47.7764491/data=!4m3!4m2!3e0!5i2"/>
        <s v="https://www.google.com/maps/dir/-15.917302,-47.760003/-15.9233116,-47.7774307/data=!4m3!4m2!3e0!5i2"/>
        <s v="https://www.google.com/maps/dir/-15.917302,-47.760003/-15.9233190,-47.7774334/data=!4m3!4m2!3e0!5i2"/>
        <s v="https://www.google.com/maps/dir/-15.917302,-47.760003/-15.9233267,-47.7753231/data=!4m3!4m2!3e0!5i1"/>
        <s v="https://www.google.com/maps/dir/-15.917302,-47.760003/-15.9233426,-47.7749130/data=!4m3!4m2!3e0!5i1"/>
        <s v="https://www.google.com/maps/dir/-15.917302,-47.760003/-15.9234010,-47.7769732/data=!4m3!4m2!3e0!5i2"/>
        <s v="https://www.google.com/maps/dir/-15.917302,-47.760003/-15.9234193,-47.7754912/data=!4m3!4m2!3e0!5i2"/>
        <s v="https://www.google.com/maps/dir/-15.917302,-47.760003/-15.9234738,-47.7679782/data=!4m3!4m2!3e0!5i2"/>
        <s v="https://www.google.com/maps/dir/-15.917302,-47.760003/-15.9235612,-47.7748102/data=!4m3!4m2!3e0!5i1"/>
        <s v="https://www.google.com/maps/dir/-15.917302,-47.760003/-15.9235637,-47.7760944/data=!4m3!4m2!3e0!5i2"/>
        <s v="https://www.google.com/maps/dir/-15.917302,-47.760003/-15.9236518,-47.7786387/data=!4m3!4m2!3e0!5i2"/>
        <s v="https://www.google.com/maps/dir/-15.917302,-47.760003/-15.9236591,-47.7748873/data=!4m3!4m2!3e0!5i1"/>
        <s v="https://www.google.com/maps/dir/-15.917302,-47.760003/-15.9236889,-47.7755889/data=!4m3!4m2!3e0!5i2"/>
        <s v="https://www.google.com/maps/dir/-15.917302,-47.760003/-15.9237739,-47.7702811/data=!4m3!4m2!3e0!5i2"/>
        <s v="https://www.google.com/maps/dir/-15.917302,-47.760003/-15.9237755,-47.7773060/data=!4m3!4m2!3e0!5i2"/>
        <s v="https://www.google.com/maps/dir/-15.917302,-47.760003/-15.9238152,-47.7757762/data=!4m3!4m2!3e0!5i2"/>
        <s v="https://www.google.com/maps/dir/-15.917302,-47.760003/-15.9238692,-47.7757237/data=!4m3!4m2!3e0!5i2"/>
        <s v="https://www.google.com/maps/dir/-15.917302,-47.760003/-15.9239611,-47.7739278/data=!4m3!4m2!3e0!5i1"/>
        <s v="https://www.google.com/maps/dir/-15.917302,-47.760003/-15.9239785,-47.7699404/data=!4m3!4m2!3e0!5i2"/>
        <s v="https://www.google.com/maps/dir/-15.917302,-47.760003/-15.9240316,-47.7786110/data=!4m3!4m2!3e0!5i2"/>
        <s v="https://www.google.com/maps/dir/-15.917302,-47.760003/-15.9240434,-47.7676935/data=!4m3!4m2!3e0!5i2"/>
        <s v="https://www.google.com/maps/dir/-15.917302,-47.760003/-15.9240850,-47.7750448/data=!4m3!4m2!3e0!5i2"/>
        <s v="https://www.google.com/maps/dir/-15.917302,-47.760003/-15.9241179,-47.7773160/data=!4m3!4m2!3e0!5i2"/>
        <s v="https://www.google.com/maps/dir/-15.917302,-47.760003/-15.9241220,-47.7749895/data=!4m3!4m2!3e0!5i2"/>
        <s v="https://www.google.com/maps/dir/-15.917302,-47.760003/-15.9241500,-47.7707350/data=!4m3!4m2!3e0!5i2"/>
        <s v="https://www.google.com/maps/dir/-15.917302,-47.760003/-15.9241859,-47.7619124/data=!4m3!4m2!3e0!5i0"/>
        <s v="https://www.google.com/maps/dir/-15.917302,-47.760003/-15.9241914,-47.7619921/data=!4m3!4m2!3e0!5i0"/>
        <s v="https://www.google.com/maps/dir/-15.917302,-47.760003/-15.9242120,-47.7689978/data=!4m3!4m2!3e0!5i2"/>
        <s v="https://www.google.com/maps/dir/-15.917302,-47.760003/-15.9242345,-47.7705732/data=!4m3!4m2!3e0!5i2"/>
        <s v="https://www.google.com/maps/dir/-15.917302,-47.760003/-15.9242808,-47.7727767/data=!4m3!4m2!3e0!5i1"/>
        <s v="https://www.google.com/maps/dir/-15.917302,-47.760003/-15.9242890,-47.7612595/data=!4m3!4m2!3e0!5i0"/>
        <s v="https://www.google.com/maps/dir/-15.917302,-47.760003/-15.9243173,-47.7715810/data=!4m3!4m2!3e0!5i2"/>
        <s v="https://www.google.com/maps/dir/-15.917302,-47.760003/-15.9243270,-47.7734947/data=!4m3!4m2!3e0!5i0"/>
        <s v="https://www.google.com/maps/dir/-15.917302,-47.760003/-15.9243497,-47.7781506/data=!4m3!4m2!3e0!5i1"/>
        <s v="https://www.google.com/maps/dir/-15.917302,-47.760003/-15.9243775,-47.7752483/data=!4m3!4m2!3e0!5i0"/>
        <s v="https://www.google.com/maps/dir/-15.917302,-47.760003/-15.9243995,-47.7772441/data=!4m3!4m2!3e0!5i2"/>
        <s v="https://www.google.com/maps/dir/-15.917302,-47.760003/-15.9244033,-47.7702830/data=!4m3!4m2!3e0!5i2"/>
        <s v="https://www.google.com/maps/dir/-15.917302,-47.760003/-15.9244467,-47.7725001/data=!4m3!4m2!3e0!5i0"/>
        <s v="https://www.google.com/maps/dir/-15.917302,-47.760003/-15.9244564,-47.7758880/data=!4m3!4m2!3e0!5i2"/>
        <s v="https://www.google.com/maps/dir/-15.917302,-47.760003/-15.9244946,-47.7731280/data=!4m3!4m2!3e0!5i0"/>
        <s v="https://www.google.com/maps/dir/-15.917302,-47.760003/-15.9245601,-47.7758102/data=!4m3!4m2!3e0!5i2"/>
        <s v="https://www.google.com/maps/dir/-15.917302,-47.760003/-15.9246154,-47.7674754/data=!4m3!4m2!3e0!5i2"/>
        <s v="https://www.google.com/maps/dir/-15.917302,-47.760003/-15.9246237,-47.7723200/data=!4m3!4m2!3e0!5i2"/>
        <s v="https://www.google.com/maps/dir/-15.917302,-47.760003/-15.9246528,-47.7757377/data=!4m3!4m2!3e0!5i2"/>
        <s v="https://www.google.com/maps/dir/-15.917302,-47.760003/-15.9246571,-47.7697880/data=!4m3!4m2!3e0!5i2"/>
        <s v="https://www.google.com/maps/dir/-15.917302,-47.760003/-15.9246805,-47.7780607/data=!4m3!4m2!3e0!5i1"/>
        <s v="https://www.google.com/maps/dir/-15.917302,-47.760003/-15.9246948,-47.7757017/data=!4m3!4m2!3e0!5i2"/>
        <s v="https://www.google.com/maps/dir/-15.917302,-47.760003/-15.9247065,-47.7756680/data=!4m3!4m2!3e0!5i2"/>
        <s v="https://www.google.com/maps/dir/-15.917302,-47.760003/-15.9247181,-47.7756823/data=!4m3!4m2!3e0!5i2"/>
        <s v="https://www.google.com/maps/dir/-15.917302,-47.760003/-15.9247191,-47.7755604/data=!4m3!4m2!3e0!5i2"/>
        <s v="https://www.google.com/maps/dir/-15.917302,-47.760003/-15.9247383,-47.7723931/data=!4m3!4m2!3e0!5i2"/>
        <s v="https://www.google.com/maps/dir/-15.917302,-47.760003/-15.9247461,-47.7782442/data=!4m3!4m2!3e0!5i1"/>
        <s v="https://www.google.com/maps/dir/-15.917302,-47.760003/-15.9248066,-47.7755425/data=!4m3!4m2!3e0!5i2"/>
        <s v="https://www.google.com/maps/dir/-15.917302,-47.760003/-15.9248137,-47.7721609/data=!4m3!4m2!3e0!5i2"/>
        <s v="https://www.google.com/maps/dir/-15.917302,-47.760003/-15.9248237,-47.7755604/data=!4m3!4m2!3e0!5i2"/>
        <s v="https://www.google.com/maps/dir/-15.917302,-47.760003/-15.9248363,-47.7755493/data=!4m3!4m2!3e0!5i2"/>
        <s v="https://www.google.com/maps/dir/-15.917302,-47.760003/-15.9248611,-47.7679322/data=!4m3!4m2!3e0!5i2"/>
        <s v="https://www.google.com/maps/dir/-15.917302,-47.760003/-15.9249346,-47.7621333/data=!4m3!4m2!3e0!5i0"/>
        <s v="https://www.google.com/maps/dir/-15.917302,-47.760003/-15.9249379,-47.7614011/data=!4m3!4m2!3e0!5i0"/>
        <s v="https://www.google.com/maps/dir/-15.917302,-47.760003/-15.9249667,-47.7699448/data=!4m3!4m2!3e0!5i2"/>
        <s v="https://www.google.com/maps/dir/-15.917302,-47.760003/-15.9249887,-47.7706029/data=!4m3!4m2!3e0!5i2"/>
        <s v="https://www.google.com/maps/dir/-15.917302,-47.760003/-15.9249986,-47.7691538/data=!4m3!4m2!3e0!5i2"/>
        <s v="https://www.google.com/maps/dir/-15.917302,-47.760003/-15.9250257,-47.7759658/data=!4m3!4m2!3e0!5i2"/>
        <s v="https://www.google.com/maps/dir/-15.917302,-47.760003/-15.9251074,-47.7648589/data=!4m3!4m2!3e0!5i0"/>
        <s v="https://www.google.com/maps/dir/-15.917302,-47.760003/-15.9251339,-47.7751916/data=!4m3!4m2!3e0!5i2"/>
        <s v="https://www.google.com/maps/dir/-15.917302,-47.760003/-15.9252026,-47.7763640/data=!4m3!4m2!3e0!5i2"/>
        <s v="https://www.google.com/maps/dir/-15.917302,-47.760003/-15.9252151,-47.7751110/data=!4m3!4m2!3e0!5i0"/>
        <s v="https://www.google.com/maps/dir/-15.917302,-47.760003/-15.9252382,-47.7706542/data=!4m3!4m2!3e0!5i2"/>
        <s v="https://www.google.com/maps/dir/-15.917302,-47.760003/-15.9252547,-47.7701270/data=!4m3!4m2!3e0!5i0"/>
        <s v="https://www.google.com/maps/dir/-15.917302,-47.760003/-15.9252571,-47.7750677/data=!4m3!4m2!3e0!5i0"/>
        <s v="https://www.google.com/maps/dir/-15.917302,-47.760003/-15.9252698,-47.7750809/data=!4m3!4m2!3e0!5i0"/>
        <s v="https://www.google.com/maps/dir/-15.917302,-47.760003/-15.9252887,-47.7750359/data=!4m3!4m2!3e0!5i0"/>
        <s v="https://www.google.com/maps/dir/-15.917302,-47.760003/-15.9253497,-47.7675548/data=!4m3!4m2!3e0!5i2"/>
        <s v="https://www.google.com/maps/dir/-15.917302,-47.760003/-15.9253697,-47.7767380/data=!4m3!4m2!3e0!5i2"/>
        <s v="https://www.google.com/maps/dir/-15.917302,-47.760003/-15.9253972,-47.7779868/data=!4m3!4m2!3e0!5i2"/>
        <s v="https://www.google.com/maps/dir/-15.917302,-47.760003/-15.9254078,-47.7722446/data=!4m3!4m2!3e0!5i2"/>
        <s v="https://www.google.com/maps/dir/-15.917302,-47.760003/-15.9254182,-47.7645266/data=!4m3!4m2!3e0!5i0"/>
        <s v="https://www.google.com/maps/dir/-15.917302,-47.760003/-15.9254331,-47.7712888/data=!4m3!4m2!3e0!5i2"/>
        <s v="https://www.google.com/maps/dir/-15.917302,-47.760003/-15.9254461,-47.7748408/data=!4m3!4m2!3e0!5i2"/>
        <s v="https://www.google.com/maps/dir/-15.917302,-47.760003/-15.9254494,-47.7748811/data=!4m3!4m2!3e0!5i0"/>
        <s v="https://www.google.com/maps/dir/-15.917302,-47.760003/-15.9254728,-47.7748542/data=!4m3!4m2!3e0!5i2"/>
        <s v="https://www.google.com/maps/dir/-15.917302,-47.760003/-15.9254756,-47.7614877/data=!4m3!4m2!3e0!5i0"/>
        <s v="https://www.google.com/maps/dir/-15.917302,-47.760003/-15.9254881,-47.7749144/data=!4m3!4m2!3e0!5i0"/>
        <s v="https://www.google.com/maps/dir/-15.917302,-47.760003/-15.9255111,-47.7626742/data=!4m3!4m2!3e0!5i0"/>
        <s v="https://www.google.com/maps/dir/-15.917302,-47.760003/-15.9255245,-47.7771213/data=!4m3!4m2!3e0!5i0"/>
        <s v="https://www.google.com/maps/dir/-15.917302,-47.760003/-15.9255299,-47.7766991/data=!4m3!4m2!3e0!5i2"/>
        <s v="https://www.google.com/maps/dir/-15.917302,-47.760003/-15.9255316,-47.7636461/data=!4m3!4m2!3e0!5i0"/>
        <s v="https://www.google.com/maps/dir/-15.917302,-47.760003/-15.9255404,-47.7622556/data=!4m3!4m2!3e0!5i0"/>
        <s v="https://www.google.com/maps/dir/-15.917302,-47.760003/-15.9255425,-47.7622266/data=!4m3!4m2!3e0!5i0"/>
        <s v="https://www.google.com/maps/dir/-15.917302,-47.760003/-15.9255619,-47.7721016/data=!4m3!4m2!3e0!5i2"/>
        <s v="https://www.google.com/maps/dir/-15.917302,-47.760003/-15.9256327,-47.7642556/data=!4m3!4m2!3e0!5i0"/>
        <s v="https://www.google.com/maps/dir/-15.917302,-47.760003/-15.9256334,-47.7615405/data=!4m3!4m2!3e0!5i0"/>
        <s v="https://www.google.com/maps/dir/-15.917302,-47.760003/-15.9256501,-47.7746721/data=!4m3!4m2!3e0!5i2"/>
        <s v="https://www.google.com/maps/dir/-15.917302,-47.760003/-15.9256588,-47.7708830/data=!4m3!4m2!3e0!5i2"/>
        <s v="https://www.google.com/maps/dir/-15.917302,-47.760003/-15.9256698,-47.7613597/data=!4m3!4m2!3e0!5i0"/>
        <s v="https://www.google.com/maps/dir/-15.917302,-47.760003/-15.9257688,-47.7752715/data=!4m3!4m2!3e0!5i2"/>
        <s v="https://www.google.com/maps/dir/-15.917302,-47.760003/-15.9257876,-47.7746205/data=!4m3!4m2!3e0!5i2"/>
        <s v="https://www.google.com/maps/dir/-15.917302,-47.760003/-15.9257941,-47.7652056/data=!4m3!4m2!3e0!5i0"/>
        <s v="https://www.google.com/maps/dir/-15.917302,-47.760003/-15.9257950,-47.7677581/data=!4m3!4m2!3e0!5i2"/>
        <s v="https://www.google.com/maps/dir/-15.917302,-47.760003/-15.9258087,-47.7640115/data=!4m3!4m2!3e0!5i2"/>
        <s v="https://www.google.com/maps/dir/-15.917302,-47.760003/-15.9258240,-47.7639740/data=!4m3!4m2!3e0!5i2"/>
        <s v="https://www.google.com/maps/dir/-15.917302,-47.760003/-15.9258619,-47.7744156/data=!4m3!4m2!3e0!5i2"/>
        <s v="https://www.google.com/maps/dir/-15.917302,-47.760003/-15.9258662,-47.7757463/data=!4m3!4m2!3e0!5i2"/>
        <s v="https://www.google.com/maps/dir/-15.917302,-47.760003/-15.9258799,-47.7705175/data=!4m3!4m2!3e0!5i2"/>
        <s v="https://www.google.com/maps/dir/-15.917302,-47.760003/-15.9259290,-47.7640580/data=!4m3!4m2!3e0!5i2"/>
        <s v="https://www.google.com/maps/dir/-15.917302,-47.760003/-15.9259783,-47.7649742/data=!4m3!4m2!3e0!5i0"/>
        <s v="https://www.google.com/maps/dir/-15.917302,-47.760003/-15.9259880,-47.7703449/data=!4m3!4m2!3e0!5i2"/>
        <s v="https://www.google.com/maps/dir/-15.917302,-47.760003/-15.9259974,-47.7743292/data=!4m3!4m2!3e0!5i2"/>
        <s v="https://www.google.com/maps/dir/-15.917302,-47.760003/-15.9260821,-47.7721538/data=!4m3!4m2!3e0!5i2"/>
        <s v="https://www.google.com/maps/dir/-15.917302,-47.760003/-15.9260906,-47.7740937/data=!4m3!4m2!3e0!5i2"/>
        <s v="https://www.google.com/maps/dir/-15.917302,-47.760003/-15.9261063,-47.7679034/data=!4m3!4m2!3e0!5i2"/>
        <s v="https://www.google.com/maps/dir/-15.917302,-47.760003/-15.9261192,-47.7623671/data=!4m3!4m2!3e0!5i0"/>
        <s v="https://www.google.com/maps/dir/-15.917302,-47.760003/-15.9261563,-47.7717223/data=!4m3!4m2!3e0!5i2"/>
        <s v="https://www.google.com/maps/dir/-15.917302,-47.760003/-15.9262156,-47.7699715/data=!4m3!4m2!3e0!5i2"/>
        <s v="https://www.google.com/maps/dir/-15.917302,-47.760003/-15.9262292,-47.7765441/data=!4m3!4m2!3e0!5i2"/>
        <s v="https://www.google.com/maps/dir/-15.917302,-47.760003/-15.9262760,-47.7623977/data=!4m3!4m2!3e0!5i0"/>
        <s v="https://www.google.com/maps/dir/-15.917302,-47.760003/-15.9263319,-47.7643301/data=!4m3!4m2!3e0!5i0"/>
        <s v="https://www.google.com/maps/dir/-15.917302,-47.760003/-15.9264094,-47.7713471/data=!4m3!4m2!3e0!5i2"/>
        <s v="https://www.google.com/maps/dir/-15.917302,-47.760003/-15.9264174,-47.7713348/data=!4m3!4m2!3e0!5i2"/>
        <s v="https://www.google.com/maps/dir/-15.917302,-47.760003/-15.9264243,-47.7695753/data=!4m3!4m2!3e0!5i2"/>
        <s v="https://www.google.com/maps/dir/-15.917302,-47.760003/-15.9264569,-47.7680788/data=!4m3!4m2!3e0!5i2"/>
        <s v="https://www.google.com/maps/dir/-15.917302,-47.760003/-15.9264868,-47.7680777/data=!4m3!4m2!3e0!5i2"/>
        <s v="https://www.google.com/maps/dir/-15.917302,-47.760003/-15.9265056,-47.7734811/data=!4m3!4m2!3e0!5i2"/>
        <s v="https://www.google.com/maps/dir/-15.917302,-47.760003/-15.9265111,-47.7735691/data=!4m3!4m2!3e0!5i2"/>
        <s v="https://www.google.com/maps/dir/-15.917302,-47.760003/-15.9265306,-47.7760188/data=!4m3!4m2!3e0!5i2"/>
        <s v="https://www.google.com/maps/dir/-15.917302,-47.760003/-15.9265489,-47.7764733/data=!4m3!4m2!3e0!5i2"/>
        <s v="https://www.google.com/maps/dir/-15.917302,-47.760003/-15.9265531,-47.7764897/data=!4m3!4m2!3e0!5i2"/>
        <s v="https://www.google.com/maps/dir/-15.917302,-47.760003/-15.9265626,-47.7613324/data=!4m3!4m2!3e0!5i0"/>
        <s v="https://www.google.com/maps/dir/-15.917302,-47.760003/-15.9265632,-47.7628722/data=!4m3!4m2!3e0!5i0"/>
        <s v="https://www.google.com/maps/dir/-15.917302,-47.760003/-15.9265648,-47.7747554/data=!4m3!4m2!3e0!5i2"/>
        <s v="https://www.google.com/maps/dir/-15.917302,-47.760003/-15.9265885,-47.7764574/data=!4m3!4m2!3e0!5i2"/>
        <s v="https://www.google.com/maps/dir/-15.917302,-47.760003/-15.9266185,-47.7709537/data=!4m3!4m2!3e0!5i1"/>
        <s v="https://www.google.com/maps/dir/-15.917302,-47.760003/-15.9266283,-47.7734387/data=!4m3!4m2!3e0!5i2"/>
        <s v="https://www.google.com/maps/dir/-15.917302,-47.760003/-15.9266387,-47.7691846/data=!4m3!4m2!3e0!5i2"/>
        <s v="https://www.google.com/maps/dir/-15.917302,-47.760003/-15.9266427,-47.7732838/data=!4m3!4m2!3e0!5i2"/>
        <s v="https://www.google.com/maps/dir/-15.917302,-47.760003/-15.9266507,-47.7611713/data=!4m3!4m2!3e0!5i2"/>
        <s v="https://www.google.com/maps/dir/-15.917302,-47.760003/-15.9266524,-47.7768781/data=!4m3!4m2!3e0!5i2"/>
        <s v="https://www.google.com/maps/dir/-15.917302,-47.760003/-15.9266548,-47.7768902/data=!4m3!4m2!3e0!5i2"/>
        <s v="https://www.google.com/maps/dir/-15.917302,-47.760003/-15.9266609,-47.7709777/data=!4m3!4m2!3e0!5i0"/>
        <s v="https://www.google.com/maps/dir/-15.917302,-47.760003/-15.9266613,-47.7634360/data=!4m3!4m2!3e0!5i0"/>
        <s v="https://www.google.com/maps/dir/-15.917302,-47.760003/-15.9266638,-47.7681901/data=!4m3!4m2!3e0!5i2"/>
        <s v="https://www.google.com/maps/dir/-15.917302,-47.760003/-15.9267178,-47.7645061/data=!4m3!4m2!3e0!5i0"/>
        <s v="https://www.google.com/maps/dir/-15.917302,-47.760003/-15.9267251,-47.7772848/data=!4m3!4m2!3e0!5i2"/>
        <s v="https://www.google.com/maps/dir/-15.917302,-47.760003/-15.9267260,-47.7772929/data=!4m3!4m2!3e0!5i2"/>
        <s v="https://www.google.com/maps/dir/-15.917302,-47.760003/-15.9267795,-47.7645441/data=!4m3!4m2!3e0!5i0"/>
        <s v="https://www.google.com/maps/dir/-15.917302,-47.760003/-15.9267840,-47.7732140/data=!4m3!4m2!3e0!5i2"/>
        <s v="https://www.google.com/maps/dir/-15.917302,-47.760003/-15.9267937,-47.7630484/data=!4m3!4m2!3e0!5i1"/>
        <s v="https://www.google.com/maps/dir/-15.917302,-47.760003/-15.9268005,-47.7777125/data=!4m3!4m2!3e0!5i2"/>
        <s v="https://www.google.com/maps/dir/-15.917302,-47.760003/-15.9268027,-47.7621795/data=!4m3!4m2!3e0!5i0"/>
        <s v="https://www.google.com/maps/dir/-15.917302,-47.760003/-15.9268566,-47.7688021/data=!4m3!4m2!3e0!5i2"/>
        <s v="https://www.google.com/maps/dir/-15.917302,-47.760003/-15.9268939,-47.7704134/data=!4m3!4m2!3e0!5i1"/>
        <s v="https://www.google.com/maps/dir/-15.917302,-47.760003/-15.9269023,-47.7729162/data=!4m3!4m2!3e0!5i2"/>
        <s v="https://www.google.com/maps/dir/-15.917302,-47.760003/-15.9269274,-47.7759379/data=!4m3!4m2!3e0!5i2"/>
        <s v="https://www.google.com/maps/dir/-15.917302,-47.760003/-15.9269329,-47.7744500/data=!4m3!4m2!3e0!5i2"/>
        <s v="https://www.google.com/maps/dir/-15.917302,-47.760003/-15.9269979,-47.7727963/data=!4m3!4m2!3e0!5i2"/>
        <s v="https://www.google.com/maps/dir/-15.917302,-47.760003/-15.9270354,-47.7701788/data=!4m3!4m2!3e0!5i1"/>
        <s v="https://www.google.com/maps/dir/-15.917302,-47.760003/-15.9270405,-47.7636279/data=!4m3!4m2!3e0!5i0"/>
        <s v="https://www.google.com/maps/dir/-15.917302,-47.760003/-15.9270629,-47.7748279/data=!4m3!4m2!3e0!5i2"/>
        <s v="https://www.google.com/maps/dir/-15.917302,-47.760003/-15.9270731,-47.7636378/data=!4m3!4m2!3e0!5i0"/>
        <s v="https://www.google.com/maps/dir/-15.917302,-47.760003/-15.9270944,-47.7670947/data=!4m3!4m2!3e0!5i0"/>
        <s v="https://www.google.com/maps/dir/-15.917302,-47.760003/-15.9271222,-47.7700041/data=!4m3!4m2!3e0!5i1"/>
        <s v="https://www.google.com/maps/dir/-15.917302,-47.760003/-15.9271570,-47.7683769/data=!4m3!4m2!3e0!5i2"/>
        <s v="https://www.google.com/maps/dir/-15.917302,-47.760003/-15.9271657,-47.7725879/data=!4m3!4m2!3e0!5i0"/>
        <s v="https://www.google.com/maps/dir/-15.917302,-47.760003/-15.9271802,-47.7726632/data=!4m3!4m2!3e0!5i0"/>
        <s v="https://www.google.com/maps/dir/-15.917302,-47.760003/-15.9271882,-47.7752497/data=!4m3!4m2!3e0!5i2"/>
        <s v="https://www.google.com/maps/dir/-15.917302,-47.760003/-15.9272028,-47.7631997/data=!4m3!4m2!3e0!5i1"/>
        <s v="https://www.google.com/maps/dir/-15.917302,-47.760003/-15.9272386,-47.7725373/data=!4m3!4m2!3e0!5i0"/>
        <s v="https://www.google.com/maps/dir/-15.917302,-47.760003/-15.9272528,-47.7725437/data=!4m3!4m2!3e0!5i0"/>
        <s v="https://www.google.com/maps/dir/-15.917302,-47.760003/-15.9272652,-47.7696673/data=!4m3!4m2!3e0!5i2"/>
        <s v="https://www.google.com/maps/dir/-15.917302,-47.760003/-15.9272746,-47.7724092/data=!4m3!4m2!3e0!5i2"/>
        <s v="https://www.google.com/maps/dir/-15.917302,-47.760003/-15.9272799,-47.7725400/data=!4m3!4m2!3e0!5i0"/>
        <s v="https://www.google.com/maps/dir/-15.917302,-47.760003/-15.9272807,-47.7696169/data=!4m3!4m2!3e0!5i0"/>
        <s v="https://www.google.com/maps/dir/-15.917302,-47.760003/-15.9272937,-47.7616647/data=!4m3!4m2!3e0!5i0"/>
        <s v="https://www.google.com/maps/dir/-15.917302,-47.760003/-15.9273437,-47.7758443/data=!4m3!4m2!3e0!5i2"/>
        <s v="https://www.google.com/maps/dir/-15.917302,-47.760003/-15.9273464,-47.7758551/data=!4m3!4m2!3e0!5i2"/>
        <s v="https://www.google.com/maps/dir/-15.917302,-47.760003/-15.9273728,-47.7694340/data=!4m3!4m2!3e0!5i0"/>
        <s v="https://www.google.com/maps/dir/-15.917302,-47.760003/-15.9273860,-47.7642532/data=!4m3!4m2!3e0!5i1"/>
        <s v="https://www.google.com/maps/dir/-15.917302,-47.760003/-15.9274024,-47.7687183/data=!4m3!4m2!3e0!5i2"/>
        <s v="https://www.google.com/maps/dir/-15.917302,-47.760003/-15.9274468,-47.7721663/data=!4m3!4m2!3e0!5i2"/>
        <s v="https://www.google.com/maps/dir/-15.917302,-47.760003/-15.9274538,-47.7719007/data=!4m3!4m2!3e0!5i0"/>
        <s v="https://www.google.com/maps/dir/-15.917302,-47.760003/-15.9274684,-47.7762841/data=!4m3!4m2!3e0!5i2"/>
        <s v="https://www.google.com/maps/dir/-15.917302,-47.760003/-15.9274690,-47.7691683/data=!4m3!4m2!3e0!5i0"/>
        <s v="https://www.google.com/maps/dir/-15.917302,-47.760003/-15.9275194,-47.7709561/data=!4m3!4m2!3e0!5i0"/>
        <s v="https://www.google.com/maps/dir/-15.917302,-47.760003/-15.9275211,-47.7714506/data=!4m3!4m2!3e0!5i0"/>
        <s v="https://www.google.com/maps/dir/-15.917302,-47.760003/-15.9275365,-47.7704473/data=!4m3!4m2!3e0!5i0"/>
        <s v="https://www.google.com/maps/dir/-15.917302,-47.760003/-15.9275517,-47.7689086/data=!4m3!4m2!3e0!5i0"/>
        <s v="https://www.google.com/maps/dir/-15.917302,-47.760003/-15.9275736,-47.7701232/data=!4m3!4m2!3e0!5i0"/>
        <s v="https://www.google.com/maps/dir/-15.917302,-47.760003/-15.9275793,-47.7766753/data=!4m3!4m2!3e0!5i2"/>
        <s v="https://www.google.com/maps/dir/-15.917302,-47.760003/-15.9275835,-47.7716172/data=!4m3!4m2!3e0!5i2"/>
        <s v="https://www.google.com/maps/dir/-15.917302,-47.760003/-15.9275878,-47.7681824/data=!4m3!4m2!3e0!5i2"/>
        <s v="https://www.google.com/maps/dir/-15.917302,-47.760003/-15.9276944,-47.7770869/data=!4m3!4m2!3e0!5i2"/>
        <s v="https://www.google.com/maps/dir/-15.917302,-47.760003/-15.9277138,-47.7618330/data=!4m3!4m2!3e0!5i0"/>
        <s v="https://www.google.com/maps/dir/-15.917302,-47.760003/-15.9277511,-47.7699537/data=!4m3!4m2!3e0!5i0"/>
        <s v="https://www.google.com/maps/dir/-15.917302,-47.760003/-15.9277676,-47.7629283/data=!4m3!4m2!3e0!5i2"/>
        <s v="https://www.google.com/maps/dir/-15.917302,-47.760003/-15.9278133,-47.7757573/data=!4m3!4m2!3e0!5i2"/>
        <s v="https://www.google.com/maps/dir/-15.917302,-47.760003/-15.9278472,-47.7685773/data=!4m3!4m2!3e0!5i2"/>
        <s v="https://www.google.com/maps/dir/-15.917302,-47.760003/-15.9278794,-47.7650624/data=!4m3!4m2!3e0!5i2"/>
        <s v="https://www.google.com/maps/dir/-15.917302,-47.760003/-15.9279092,-47.7778215/data=!4m3!4m2!3e0!5i2"/>
        <s v="https://www.google.com/maps/dir/-15.917302,-47.760003/-15.9279104,-47.7741780/data=!4m3!4m2!3e0!5i2"/>
        <s v="https://www.google.com/maps/dir/-15.917302,-47.760003/-15.9279194,-47.7716869/data=!4m3!4m2!3e0!5i2"/>
        <s v="https://www.google.com/maps/dir/-15.917302,-47.760003/-15.9279220,-47.7716782/data=!4m3!4m2!3e0!5i0"/>
        <s v="https://www.google.com/maps/dir/-15.917302,-47.760003/-15.9279304,-47.7716509/data=!4m3!4m2!3e0!5i0"/>
        <s v="https://www.google.com/maps/dir/-15.917302,-47.760003/-15.9280080,-47.7630283/data=!4m3!4m2!3e0!5i2"/>
        <s v="https://www.google.com/maps/dir/-15.917302,-47.760003/-15.9280607,-47.7645287/data=!4m3!4m2!3e0!5i1"/>
        <s v="https://www.google.com/maps/dir/-15.917302,-47.760003/-15.9281453,-47.7697162/data=!4m3!4m2!3e0!5i0"/>
        <s v="https://www.google.com/maps/dir/-15.917302,-47.760003/-15.9281788,-47.7745238/data=!4m3!4m2!3e0!5i2"/>
        <s v="https://www.google.com/maps/dir/-15.917302,-47.760003/-15.9281927,-47.7640574/data=!4m3!4m2!3e0!5i0"/>
        <s v="https://www.google.com/maps/dir/-15.917302,-47.760003/-15.9282303,-47.7745993/data=!4m3!4m2!3e0!5i2"/>
        <s v="https://www.google.com/maps/dir/-15.917302,-47.760003/-15.9282303,-47.7776593/data=!4m3!4m2!3e0!5i2"/>
        <s v="https://www.google.com/maps/dir/-15.917302,-47.760003/-15.9282403,-47.7777327/data=!4m3!4m2!3e0!5i2"/>
        <s v="https://www.google.com/maps/dir/-15.917302,-47.760003/-15.9283129,-47.7636189/data=!4m3!4m2!3e0!5i1"/>
        <s v="https://www.google.com/maps/dir/-15.917302,-47.760003/-15.9284330,-47.7631716/data=!4m3!4m2!3e0!5i2"/>
        <s v="https://www.google.com/maps/dir/-15.917302,-47.760003/-15.9284573,-47.7694451/data=!4m3!4m2!3e0!5i2"/>
        <s v="https://www.google.com/maps/dir/-15.917302,-47.760003/-15.9284654,-47.7694375/data=!4m3!4m2!3e0!5i2"/>
        <s v="https://www.google.com/maps/dir/-15.917302,-47.760003/-15.9284982,-47.7695427/data=!4m3!4m2!3e0!5i2"/>
        <s v="https://www.google.com/maps/dir/-15.917302,-47.760003/-15.9285138,-47.7749549/data=!4m3!4m2!3e0!5i2"/>
        <s v="https://www.google.com/maps/dir/-15.917302,-47.760003/-15.9285677,-47.7743153/data=!4m3!4m2!3e0!5i2"/>
        <s v="https://www.google.com/maps/dir/-15.917302,-47.760003/-15.9285686,-47.7627531/data=!4m3!4m2!3e0!5i2"/>
        <s v="https://www.google.com/maps/dir/-15.917302,-47.760003/-15.9285730,-47.7739508/data=!4m3!4m2!3e0!5i0"/>
        <s v="https://www.google.com/maps/dir/-15.917302,-47.760003/-15.9285963,-47.7739738/data=!4m3!4m2!3e0!5i0"/>
        <s v="https://www.google.com/maps/dir/-15.917302,-47.760003/-15.9286088,-47.7739864/data=!4m3!4m2!3e0!5i0"/>
        <s v="https://www.google.com/maps/dir/-15.917302,-47.760003/-15.9286800,-47.7632305/data=!4m3!4m2!3e0!5i2"/>
        <s v="https://www.google.com/maps/dir/-15.917302,-47.760003/-15.9286902,-47.7678873/data=!4m3!4m2!3e0!5i0"/>
        <s v="https://www.google.com/maps/dir/-15.917302,-47.760003/-15.9286928,-47.7775572/data=!4m3!4m2!3e0!5i1"/>
        <s v="https://www.google.com/maps/dir/-15.917302,-47.760003/-15.9286981,-47.7751616/data=!4m3!4m2!3e0!5i2"/>
        <s v="https://www.google.com/maps/dir/-15.917302,-47.760003/-15.9287147,-47.7620821/data=!4m3!4m2!3e0!5i2"/>
        <s v="https://www.google.com/maps/dir/-15.917302,-47.760003/-15.9287407,-47.7681853/data=!4m3!4m2!3e0!5i0"/>
        <s v="https://www.google.com/maps/dir/-15.917302,-47.760003/-15.9287421,-47.7755737/data=!4m3!4m2!3e0!5i1"/>
        <s v="https://www.google.com/maps/dir/-15.917302,-47.760003/-15.9287765,-47.7620222/data=!4m3!4m2!3e0!5i0"/>
        <s v="https://www.google.com/maps/dir/-15.917302,-47.760003/-15.9287841,-47.7779867/data=!4m3!4m2!3e0!5i1"/>
        <s v="https://www.google.com/maps/dir/-15.917302,-47.760003/-15.9287848,-47.7628114/data=!4m3!4m2!3e0!5i2"/>
        <s v="https://www.google.com/maps/dir/-15.917302,-47.760003/-15.9288751,-47.7736574/data=!4m3!4m2!3e0!5i2"/>
        <s v="https://www.google.com/maps/dir/-15.917302,-47.760003/-15.9288984,-47.7736805/data=!4m3!4m2!3e0!5i0"/>
        <s v="https://www.google.com/maps/dir/-15.917302,-47.760003/-15.9289109,-47.7736930/data=!4m3!4m2!3e0!5i2"/>
        <s v="https://www.google.com/maps/dir/-15.917302,-47.760003/-15.9289156,-47.7693897/data=!4m3!4m2!3e0!5i2"/>
        <s v="https://www.google.com/maps/dir/-15.917302,-47.760003/-15.9289644,-47.7666908/data=!4m3!4m2!3e0!5i0"/>
        <s v="https://www.google.com/maps/dir/-15.917302,-47.760003/-15.9289773,-47.7620701/data=!4m3!4m2!3e0!5i0"/>
        <s v="https://www.google.com/maps/dir/-15.917302,-47.760003/-15.9289923,-47.7666731/data=!4m3!4m2!3e0!5i0"/>
        <s v="https://www.google.com/maps/dir/-15.917302,-47.760003/-15.9290203,-47.7666556/data=!4m3!4m2!3e0!5i0"/>
        <s v="https://www.google.com/maps/dir/-15.917302,-47.760003/-15.9290367,-47.7779480/data=!4m3!4m2!3e0!5i1"/>
        <s v="https://www.google.com/maps/dir/-15.917302,-47.760003/-15.9290434,-47.7667638/data=!4m3!4m2!3e0!5i0"/>
        <s v="https://www.google.com/maps/dir/-15.917302,-47.760003/-15.9290450,-47.7681310/data=!4m3!4m2!3e0!5i2"/>
        <s v="https://www.google.com/maps/dir/-15.917302,-47.760003/-15.9290469,-47.7634781/data=!4m3!4m2!3e0!5i0"/>
        <s v="https://www.google.com/maps/dir/-15.917302,-47.760003/-15.9290559,-47.7667181/data=!4m3!4m2!3e0!5i0"/>
        <s v="https://www.google.com/maps/dir/-15.917302,-47.760003/-15.9290809,-47.7677923/data=!4m3!4m2!3e0!5i0"/>
        <s v="https://www.google.com/maps/dir/-15.917302,-47.760003/-15.9292426,-47.7680772/data=!4m3!4m2!3e0!5i0"/>
        <s v="https://www.google.com/maps/dir/-15.917302,-47.760003/-15.9292499,-47.7693865/data=!4m3!4m2!3e0!5i2"/>
        <s v="https://www.google.com/maps/dir/-15.917302,-47.760003/-15.9292687,-47.7665130/data=!4m3!4m2!3e0!5i0"/>
        <s v="https://www.google.com/maps/dir/-15.917302,-47.760003/-15.9294004,-47.7622145/data=!4m3!4m2!3e0!5i0"/>
        <s v="https://www.google.com/maps/dir/-15.917302,-47.760003/-15.9294637,-47.7635690/data=!4m3!4m2!3e0!5i0"/>
        <s v="https://www.google.com/maps/dir/-15.917302,-47.760003/-15.9294966,-47.7686178/data=!4m3!4m2!3e0!5i0"/>
        <s v="https://www.google.com/maps/dir/-15.917302,-47.760003/-15.9295669,-47.7678088/data=!4m3!4m2!3e0!5i0"/>
        <s v="https://www.google.com/maps/dir/-15.917302,-47.760003/-15.9296073,-47.7694067/data=!4m3!4m2!3e0!5i2"/>
        <s v="https://www.google.com/maps/dir/-15.917302,-47.760003/-15.9296179,-47.7678307/data=!4m3!4m2!3e0!5i2"/>
        <s v="https://www.google.com/maps/dir/-15.917302,-47.760003/-15.9296260,-47.7661800/data=!4m3!4m2!3e0!5i2"/>
        <s v="https://www.google.com/maps/dir/-15.917302,-47.760003/-15.9296371,-47.7694121/data=!4m3!4m2!3e0!5i2"/>
        <s v="https://www.google.com/maps/dir/-15.917302,-47.760003/-15.9297307,-47.7694100/data=!4m3!4m2!3e0!5i2"/>
        <s v="https://www.google.com/maps/dir/-15.917302,-47.760003/-15.9297436,-47.7714837/data=!4m3!4m2!3e0!5i2"/>
        <s v="https://www.google.com/maps/dir/-15.917302,-47.760003/-15.9297958,-47.7753622/data=!4m3!4m2!3e0!5i2"/>
        <s v="https://www.google.com/maps/dir/-15.917302,-47.760003/-15.9297974,-47.7682011/data=!4m3!4m2!3e0!5i0"/>
        <s v="https://www.google.com/maps/dir/-15.917302,-47.760003/-15.9298270,-47.7623364/data=!4m3!4m2!3e0!5i0"/>
        <s v="https://www.google.com/maps/dir/-15.917302,-47.760003/-15.9298425,-47.7694478/data=!4m3!4m2!3e0!5i2"/>
        <s v="https://www.google.com/maps/dir/-15.917302,-47.760003/-15.9298439,-47.7694124/data=!4m3!4m2!3e0!5i2"/>
        <s v="https://www.google.com/maps/dir/-15.917302,-47.760003/-15.9298509,-47.7753513/data=!4m3!4m2!3e0!5i2"/>
        <s v="https://www.google.com/maps/dir/-15.917302,-47.760003/-15.9298751,-47.7694816/data=!4m3!4m2!3e0!5i2"/>
        <s v="https://www.google.com/maps/dir/-15.917302,-47.760003/-15.9298832,-47.7694139/data=!4m3!4m2!3e0!5i2"/>
        <s v="https://www.google.com/maps/dir/-15.917302,-47.760003/-15.9299166,-47.7659055/data=!4m3!4m2!3e0!5i2"/>
        <s v="https://www.google.com/maps/dir/-15.917302,-47.760003/-15.9299318,-47.7635691/data=!4m3!4m2!3e0!5i2"/>
        <s v="https://www.google.com/maps/dir/-15.917302,-47.760003/-15.9299521,-47.7671968/data=!4m3!4m2!3e0!5i0"/>
        <s v="https://www.google.com/maps/dir/-15.917302,-47.760003/-15.9300600,-47.7721599/data=!4m3!4m2!3e0!5i2"/>
        <s v="https://www.google.com/maps/dir/-15.917302,-47.760003/-15.9301334,-47.7716817/data=!4m3!4m2!3e0!5i2"/>
        <s v="https://www.google.com/maps/dir/-15.917302,-47.760003/-15.9301428,-47.7684760/data=!4m3!4m2!3e0!5i0"/>
        <s v="https://www.google.com/maps/dir/-15.917302,-47.760003/-15.9301520,-47.7695453/data=!4m3!4m2!3e0!5i2"/>
        <s v="https://www.google.com/maps/dir/-15.917302,-47.760003/-15.9302199,-47.7656400/data=!4m3!4m2!3e0!5i2"/>
        <s v="https://www.google.com/maps/dir/-15.917302,-47.760003/-15.9302260,-47.7706902/data=!4m3!4m2!3e0!5i2"/>
        <s v="https://www.google.com/maps/dir/-15.917302,-47.760003/-15.9302269,-47.7706737/data=!4m3!4m2!3e0!5i2"/>
        <s v="https://www.google.com/maps/dir/-15.917302,-47.760003/-15.9302278,-47.7624572/data=!4m3!4m2!3e0!5i2"/>
        <s v="https://www.google.com/maps/dir/-15.917302,-47.760003/-15.9302541,-47.7706779/data=!4m3!4m2!3e0!5i2"/>
        <s v="https://www.google.com/maps/dir/-15.917302,-47.760003/-15.9302716,-47.7752622/data=!4m3!4m2!3e0!5i2"/>
        <s v="https://www.google.com/maps/dir/-15.917302,-47.760003/-15.9302937,-47.7685962/data=!4m3!4m2!3e0!5i0"/>
        <s v="https://www.google.com/maps/dir/-15.917302,-47.760003/-15.9303549,-47.7635274/data=!4m3!4m2!3e0!5i2"/>
        <s v="https://www.google.com/maps/dir/-15.917302,-47.760003/-15.9303624,-47.7641277/data=!4m3!4m2!3e0!5i2"/>
        <s v="https://www.google.com/maps/dir/-15.917302,-47.760003/-15.9303984,-47.7713191/data=!4m3!4m2!3e0!5i2"/>
        <s v="https://www.google.com/maps/dir/-15.917302,-47.760003/-15.9304816,-47.7783201/data=!4m3!4m2!3e0!5i2"/>
        <s v="https://www.google.com/maps/dir/-15.917302,-47.760003/-15.9304995,-47.7625436/data=!4m3!4m2!3e0!5i2"/>
        <s v="https://www.google.com/maps/dir/-15.917302,-47.760003/-15.9305007,-47.7653801/data=!4m3!4m2!3e0!5i2"/>
        <s v="https://www.google.com/maps/dir/-15.917302,-47.760003/-15.9305015,-47.7666125/data=!4m3!4m2!3e0!5i2"/>
        <s v="https://www.google.com/maps/dir/-15.917302,-47.760003/-15.9305393,-47.7625517/data=!4m3!4m2!3e0!5i2"/>
        <s v="https://www.google.com/maps/dir/-15.917302,-47.760003/-15.9305540,-47.7669645/data=!4m3!4m2!3e0!5i2"/>
        <s v="https://www.google.com/maps/dir/-15.917302,-47.760003/-15.9305754,-47.7694757/data=!4m3!4m2!3e0!5i1"/>
        <s v="https://www.google.com/maps/dir/-15.917302,-47.760003/-15.9306017,-47.7710070/data=!4m3!4m2!3e0!5i2"/>
        <s v="https://www.google.com/maps/dir/-15.917302,-47.760003/-15.9306251,-47.7691549/data=!4m3!4m2!3e0!5i1"/>
        <s v="https://www.google.com/maps/dir/-15.917302,-47.760003/-15.9306568,-47.7632652/data=!4m3!4m2!3e0!5i2"/>
        <s v="https://www.google.com/maps/dir/-15.917302,-47.760003/-15.9306749,-47.7751717/data=!4m3!4m2!3e0!5i0"/>
        <s v="https://www.google.com/maps/dir/-15.917302,-47.760003/-15.9307309,-47.7688714/data=!4m3!4m2!3e0!5i0"/>
        <s v="https://www.google.com/maps/dir/-15.917302,-47.760003/-15.9307720,-47.7688979/data=!4m3!4m2!3e0!5i0"/>
        <s v="https://www.google.com/maps/dir/-15.917302,-47.760003/-15.9308126,-47.7672888/data=!4m3!4m2!3e0!5i0"/>
        <s v="https://www.google.com/maps/dir/-15.917302,-47.760003/-15.9308133,-47.7651106/data=!4m3!4m2!3e0!5i2"/>
        <s v="https://www.google.com/maps/dir/-15.917302,-47.760003/-15.9308240,-47.7663670/data=!4m3!4m2!3e0!5i2"/>
        <s v="https://www.google.com/maps/dir/-15.917302,-47.760003/-15.9308558,-47.7650843/data=!4m3!4m2!3e0!5i2"/>
        <s v="https://www.google.com/maps/dir/-15.917302,-47.760003/-15.9308586,-47.7706764/data=!4m3!4m2!3e0!5i2"/>
        <s v="https://www.google.com/maps/dir/-15.917302,-47.760003/-15.9308861,-47.7690100/data=!4m3!4m2!3e0!5i0"/>
        <s v="https://www.google.com/maps/dir/-15.917302,-47.760003/-15.9308994,-47.7693434/data=!4m3!4m2!3e0!5i1"/>
        <s v="https://www.google.com/maps/dir/-15.917302,-47.760003/-15.9309465,-47.7690545/data=!4m3!4m2!3e0!5i0"/>
        <s v="https://www.google.com/maps/dir/-15.917302,-47.760003/-15.9309715,-47.7693092/data=!4m3!4m2!3e0!5i1"/>
        <s v="https://www.google.com/maps/dir/-15.917302,-47.760003/-15.9309751,-47.7690757/data=!4m3!4m2!3e0!5i0"/>
        <s v="https://www.google.com/maps/dir/-15.917302,-47.760003/-15.9309752,-47.7630063/data=!4m3!4m2!3e0!5i2"/>
        <s v="https://www.google.com/maps/dir/-15.917302,-47.760003/-15.9310088,-47.7751032/data=!4m3!4m2!3e0!5i0"/>
        <s v="https://www.google.com/maps/dir/-15.917302,-47.760003/-15.9310230,-47.7690052/data=!4m3!4m2!3e0!5i0"/>
        <s v="https://www.google.com/maps/dir/-15.917302,-47.760003/-15.9310336,-47.7691243/data=!4m3!4m2!3e0!5i2"/>
        <s v="https://www.google.com/maps/dir/-15.917302,-47.760003/-15.9310534,-47.7692725/data=!4m3!4m2!3e0!5i2"/>
        <s v="https://www.google.com/maps/dir/-15.917302,-47.760003/-15.9310565,-47.7679795/data=!4m3!4m2!3e0!5i2"/>
        <s v="https://www.google.com/maps/dir/-15.917302,-47.760003/-15.9310581,-47.7692982/data=!4m3!4m2!3e0!5i1"/>
        <s v="https://www.google.com/maps/dir/-15.917302,-47.760003/-15.9310672,-47.7694653/data=!4m3!4m2!3e0!5i1"/>
        <s v="https://www.google.com/maps/dir/-15.917302,-47.760003/-15.9310854,-47.7699912/data=!4m3!4m2!3e0!5i1"/>
        <s v="https://www.google.com/maps/dir/-15.917302,-47.760003/-15.9310955,-47.7691644/data=!4m3!4m2!3e0!5i0"/>
        <s v="https://www.google.com/maps/dir/-15.917302,-47.760003/-15.9311001,-47.7692660/data=!4m3!4m2!3e0!5i1"/>
        <s v="https://www.google.com/maps/dir/-15.917302,-47.760003/-15.9311118,-47.7660923/data=!4m3!4m2!3e0!5i2"/>
        <s v="https://www.google.com/maps/dir/-15.917302,-47.760003/-15.9311442,-47.7691731/data=!4m3!4m2!3e0!5i1"/>
        <s v="https://www.google.com/maps/dir/-15.917302,-47.760003/-15.9311508,-47.7726834/data=!4m3!4m2!3e0!5i2"/>
        <s v="https://www.google.com/maps/dir/-15.917302,-47.760003/-15.9311545,-47.7692060/data=!4m3!4m2!3e0!5i1"/>
        <s v="https://www.google.com/maps/dir/-15.917302,-47.760003/-15.9311646,-47.7692392/data=!4m3!4m2!3e0!5i1"/>
        <s v="https://www.google.com/maps/dir/-15.917302,-47.760003/-15.9311671,-47.7647902/data=!4m3!4m2!3e0!5i2"/>
        <s v="https://www.google.com/maps/dir/-15.917302,-47.760003/-15.9311690,-47.7691671/data=!4m3!4m2!3e0!5i1"/>
        <s v="https://www.google.com/maps/dir/-15.917302,-47.760003/-15.9311976,-47.7643934/data=!4m3!4m2!3e0!5i1"/>
        <s v="https://www.google.com/maps/dir/-15.917302,-47.760003/-15.9312063,-47.7691581/data=!4m3!4m2!3e0!5i1"/>
        <s v="https://www.google.com/maps/dir/-15.917302,-47.760003/-15.9312465,-47.7627519/data=!4m3!4m2!3e0!5i2"/>
        <s v="https://www.google.com/maps/dir/-15.917302,-47.760003/-15.9312511,-47.7704120/data=!4m3!4m2!3e0!5i1"/>
        <s v="https://www.google.com/maps/dir/-15.917302,-47.760003/-15.9312529,-47.7691370/data=!4m3!4m2!3e0!5i1"/>
        <s v="https://www.google.com/maps/dir/-15.917302,-47.760003/-15.9312663,-47.7548872/data=!4m3!4m2!3e0!5i1"/>
        <s v="https://www.google.com/maps/dir/-15.917302,-47.760003/-15.9312784,-47.7691345/data=!4m3!4m2!3e0!5i1"/>
        <s v="https://www.google.com/maps/dir/-15.917302,-47.760003/-15.9312884,-47.7691603/data=!4m3!4m2!3e0!5i1"/>
        <s v="https://www.google.com/maps/dir/-15.917302,-47.760003/-15.9313064,-47.7691239/data=!4m3!4m2!3e0!5i1"/>
        <s v="https://www.google.com/maps/dir/-15.917302,-47.760003/-15.9313085,-47.7559788/data=!4m3!4m2!3e0!5i1"/>
        <s v="https://www.google.com/maps/dir/-15.917302,-47.760003/-15.9313164,-47.7569579/data=!4m3!4m2!3e0!5i1"/>
        <s v="https://www.google.com/maps/dir/-15.917302,-47.760003/-15.9313264,-47.7627094/data=!4m3!4m2!3e0!5i2"/>
        <s v="https://www.google.com/maps/dir/-15.917302,-47.760003/-15.9313293,-47.7573950/data=!4m3!4m2!3e0!5i0"/>
        <s v="https://www.google.com/maps/dir/-15.917302,-47.760003/-15.9313317,-47.7691144/data=!4m3!4m2!3e0!5i1"/>
        <s v="https://www.google.com/maps/dir/-15.917302,-47.760003/-15.9313340,-47.7583122/data=!4m3!4m2!3e0!5i1"/>
        <s v="https://www.google.com/maps/dir/-15.917302,-47.760003/-15.9313387,-47.7723305/data=!4m3!4m2!3e0!5i2"/>
        <s v="https://www.google.com/maps/dir/-15.917302,-47.760003/-15.9313466,-47.7586827/data=!4m3!4m2!3e0!5i1"/>
        <s v="https://www.google.com/maps/dir/-15.917302,-47.760003/-15.9313605,-47.7628309/data=!4m3!4m2!3e0!5i2"/>
        <s v="https://www.google.com/maps/dir/-15.917302,-47.760003/-15.9313737,-47.7676400/data=!4m3!4m2!3e0!5i2"/>
        <s v="https://www.google.com/maps/dir/-15.917302,-47.760003/-15.9313739,-47.7626674/data=!4m3!4m2!3e0!5i2"/>
        <s v="https://www.google.com/maps/dir/-15.917302,-47.760003/-15.9313911,-47.7676716/data=!4m3!4m2!3e0!5i2"/>
        <s v="https://www.google.com/maps/dir/-15.917302,-47.760003/-15.9313922,-47.7613642/data=!4m3!4m2!3e0!5i1"/>
        <s v="https://www.google.com/maps/dir/-15.917302,-47.760003/-15.9313923,-47.7608071/data=!4m3!4m2!3e0!5i1"/>
        <s v="https://www.google.com/maps/dir/-15.917302,-47.760003/-15.9314020,-47.7608014/data=!4m3!4m2!3e0!5i1"/>
        <s v="https://www.google.com/maps/dir/-15.917302,-47.760003/-15.9314178,-47.7626773/data=!4m3!4m2!3e0!5i2"/>
        <s v="https://www.google.com/maps/dir/-15.917302,-47.760003/-15.9314180,-47.7626676/data=!4m3!4m2!3e0!5i2"/>
        <s v="https://www.google.com/maps/dir/-15.917302,-47.760003/-15.9314487,-47.7645331/data=!4m3!4m2!3e0!5i1"/>
        <s v="https://www.google.com/maps/dir/-15.917302,-47.760003/-15.9314514,-47.7783243/data=!4m3!4m2!3e0!5i2"/>
        <s v="https://www.google.com/maps/dir/-15.917302,-47.760003/-15.9314746,-47.7559556/data=!4m3!4m2!3e0!5i1"/>
        <s v="https://www.google.com/maps/dir/-15.917302,-47.760003/-15.9314928,-47.7573684/data=!4m3!4m2!3e0!5i1"/>
        <s v="https://www.google.com/maps/dir/-15.917302,-47.760003/-15.9314928,-47.7641195/data=!4m3!4m2!3e0!5i2"/>
        <s v="https://www.google.com/maps/dir/-15.917302,-47.760003/-15.9314950,-47.7728583/data=!4m3!4m2!3e0!5i0"/>
        <s v="https://www.google.com/maps/dir/-15.917302,-47.760003/-15.9315436,-47.7660642/data=!4m3!4m2!3e0!5i2"/>
        <s v="https://www.google.com/maps/dir/-15.917302,-47.760003/-15.9315545,-47.7586391/data=!4m3!4m2!3e0!5i1"/>
        <s v="https://www.google.com/maps/dir/-15.917302,-47.760003/-15.9315625,-47.7783044/data=!4m3!4m2!3e0!5i2"/>
        <s v="https://www.google.com/maps/dir/-15.917302,-47.760003/-15.9315639,-47.7573508/data=!4m3!4m2!3e0!5i1"/>
        <s v="https://www.google.com/maps/dir/-15.917302,-47.760003/-15.9315645,-47.7660209/data=!4m3!4m2!3e0!5i2"/>
        <s v="https://www.google.com/maps/dir/-15.917302,-47.760003/-15.9315796,-47.7626190/data=!4m3!4m2!3e0!5i2"/>
        <s v="https://www.google.com/maps/dir/-15.917302,-47.760003/-15.9316345,-47.7719568/data=!4m3!4m2!3e0!5i2"/>
        <s v="https://www.google.com/maps/dir/-15.917302,-47.760003/-15.9316666,-47.7719169/data=!4m3!4m2!3e0!5i2"/>
        <s v="https://www.google.com/maps/dir/-15.917302,-47.760003/-15.9316722,-47.7654070/data=!4m3!4m2!3e0!5i2"/>
        <s v="https://www.google.com/maps/dir/-15.917302,-47.760003/-15.9317274,-47.7642719/data=!4m3!4m2!3e0!5i1"/>
        <s v="https://www.google.com/maps/dir/-15.917302,-47.760003/-15.9317290,-47.7689547/data=!4m3!4m2!3e0!5i2"/>
        <s v="https://www.google.com/maps/dir/-15.917302,-47.760003/-15.9317519,-47.7749427/data=!4m3!4m2!3e0!5i2"/>
        <s v="https://www.google.com/maps/dir/-15.917302,-47.760003/-15.9317707,-47.7638637/data=!4m3!4m2!3e0!5i1"/>
        <s v="https://www.google.com/maps/dir/-15.917302,-47.760003/-15.9317797,-47.7663931/data=!4m3!4m2!3e0!5i2"/>
        <s v="https://www.google.com/maps/dir/-15.917302,-47.760003/-15.9318058,-47.7663827/data=!4m3!4m2!3e0!5i2"/>
        <s v="https://www.google.com/maps/dir/-15.917302,-47.760003/-15.9318416,-47.7669139/data=!4m3!4m2!3e0!5i2"/>
        <s v="https://www.google.com/maps/dir/-15.917302,-47.760003/-15.9318736,-47.7632295/data=!4m3!4m2!3e0!5i2"/>
        <s v="https://www.google.com/maps/dir/-15.917302,-47.760003/-15.9318954,-47.7676762/data=!4m3!4m2!3e0!5i2"/>
        <s v="https://www.google.com/maps/dir/-15.917302,-47.760003/-15.9319452,-47.7606037/data=!4m3!4m2!3e0!5i1"/>
        <s v="https://www.google.com/maps/dir/-15.917302,-47.760003/-15.9319596,-47.7544509/data=!4m3!4m2!3e0!5i1"/>
        <s v="https://www.google.com/maps/dir/-15.917302,-47.760003/-15.9319660,-47.7567946/data=!4m3!4m2!3e0!5i1"/>
        <s v="https://www.google.com/maps/dir/-15.917302,-47.760003/-15.9319728,-47.7606830/data=!4m3!4m2!3e0!5i1"/>
        <s v="https://www.google.com/maps/dir/-15.917302,-47.760003/-15.9320117,-47.7721648/data=!4m3!4m2!3e0!5i2"/>
        <s v="https://www.google.com/maps/dir/-15.917302,-47.760003/-15.9320422,-47.7667359/data=!4m3!4m2!3e0!5i2"/>
        <s v="https://www.google.com/maps/dir/-15.917302,-47.760003/-15.9320607,-47.7639798/data=!4m3!4m2!3e0!5i1"/>
        <s v="https://www.google.com/maps/dir/-15.917302,-47.760003/-15.9321230,-47.7679965/data=!4m3!4m2!3e0!5i2"/>
        <s v="https://www.google.com/maps/dir/-15.917302,-47.760003/-15.9321372,-47.7687947/data=!4m3!4m2!3e0!5i2"/>
        <s v="https://www.google.com/maps/dir/-15.917302,-47.760003/-15.9321459,-47.7634993/data=!4m3!4m2!3e0!5i2"/>
        <s v="https://www.google.com/maps/dir/-15.917302,-47.760003/-15.9321531,-47.7557743/data=!4m3!4m2!3e0!5i1"/>
        <s v="https://www.google.com/maps/dir/-15.917302,-47.760003/-15.9321630,-47.7712144/data=!4m3!4m2!3e0!5i1"/>
        <s v="https://www.google.com/maps/dir/-15.917302,-47.760003/-15.9321944,-47.7712405/data=!4m3!4m2!3e0!5i1"/>
        <s v="https://www.google.com/maps/dir/-15.917302,-47.760003/-15.9322080,-47.7711995/data=!4m3!4m2!3e0!5i1"/>
        <s v="https://www.google.com/maps/dir/-15.917302,-47.760003/-15.9322088,-47.7636876/data=!4m3!4m2!3e0!5i2"/>
        <s v="https://www.google.com/maps/dir/-15.917302,-47.760003/-15.9322323,-47.7557429/data=!4m3!4m2!3e0!5i1"/>
        <s v="https://www.google.com/maps/dir/-15.917302,-47.760003/-15.9322407,-47.7637228/data=!4m3!4m2!3e0!5i2"/>
        <s v="https://www.google.com/maps/dir/-15.917302,-47.760003/-15.9322601,-47.7637018/data=!4m3!4m2!3e0!5i2"/>
        <s v="https://www.google.com/maps/dir/-15.917302,-47.760003/-15.9322714,-47.7606020/data=!4m3!4m2!3e0!5i1"/>
        <s v="https://www.google.com/maps/dir/-15.917302,-47.760003/-15.9322816,-47.7637641/data=!4m3!4m2!3e0!5i2"/>
        <s v="https://www.google.com/maps/dir/-15.917302,-47.760003/-15.9323090,-47.7702221/data=!4m3!4m2!3e0!5i2"/>
        <s v="https://www.google.com/maps/dir/-15.917302,-47.760003/-15.9323173,-47.7649486/data=!4m3!4m2!3e0!5i1"/>
        <s v="https://www.google.com/maps/dir/-15.917302,-47.760003/-15.9323200,-47.7673750/data=!4m3!4m2!3e0!5i2"/>
        <s v="https://www.google.com/maps/dir/-15.917302,-47.760003/-15.9323429,-47.7683223/data=!4m3!4m2!3e0!5i2"/>
        <s v="https://www.google.com/maps/dir/-15.917302,-47.760003/-15.9323572,-47.7566769/data=!4m3!4m2!3e0!5i1"/>
        <s v="https://www.google.com/maps/dir/-15.917302,-47.760003/-15.9324420,-47.7541592/data=!4m3!4m2!3e0!5i1"/>
        <s v="https://www.google.com/maps/dir/-15.917302,-47.760003/-15.9324527,-47.7698003/data=!4m3!4m2!3e0!5i2"/>
        <s v="https://www.google.com/maps/dir/-15.917302,-47.760003/-15.9325218,-47.7638876/data=!4m3!4m2!3e0!5i2"/>
        <s v="https://www.google.com/maps/dir/-15.917302,-47.760003/-15.9325430,-47.7686201/data=!4m3!4m2!3e0!5i2"/>
        <s v="https://www.google.com/maps/dir/-15.917302,-47.760003/-15.9325583,-47.7570613/data=!4m3!4m2!3e0!5i1"/>
        <s v="https://www.google.com/maps/dir/-15.917302,-47.760003/-15.9325782,-47.7670570/data=!4m3!4m2!3e0!5i2"/>
        <s v="https://www.google.com/maps/dir/-15.917302,-47.760003/-15.9326037,-47.7676280/data=!4m3!4m2!3e0!5i2"/>
        <s v="https://www.google.com/maps/dir/-15.917302,-47.760003/-15.9326155,-47.7715529/data=!4m3!4m2!3e0!5i2"/>
        <s v="https://www.google.com/maps/dir/-15.917302,-47.760003/-15.9326483,-47.7647219/data=!4m3!4m2!3e0!5i1"/>
        <s v="https://www.google.com/maps/dir/-15.917302,-47.760003/-15.9327558,-47.7747449/data=!4m3!4m2!3e0!5i2"/>
        <s v="https://www.google.com/maps/dir/-15.917302,-47.760003/-15.9328042,-47.7539350/data=!4m3!4m2!3e0!5i1"/>
        <s v="https://www.google.com/maps/dir/-15.917302,-47.760003/-15.9328163,-47.7555944/data=!4m3!4m2!3e0!5i1"/>
        <s v="https://www.google.com/maps/dir/-15.917302,-47.760003/-15.9328488,-47.7632791/data=!4m3!4m2!3e0!5i2"/>
        <s v="https://www.google.com/maps/dir/-15.917302,-47.760003/-15.9328974,-47.7678970/data=!4m3!4m2!3e0!5i2"/>
        <s v="https://www.google.com/maps/dir/-15.917302,-47.760003/-15.9329142,-47.7746941/data=!4m3!4m2!3e0!5i2"/>
        <s v="https://www.google.com/maps/dir/-15.917302,-47.760003/-15.9329285,-47.7642971/data=!4m3!4m2!3e0!5i2"/>
        <s v="https://www.google.com/maps/dir/-15.917302,-47.760003/-15.9329973,-47.7578975/data=!4m3!4m2!3e0!5i2"/>
        <s v="https://www.google.com/maps/dir/-15.917302,-47.760003/-15.9330479,-47.7564662/data=!4m3!4m2!3e0!5i1"/>
        <s v="https://www.google.com/maps/dir/-15.917302,-47.760003/-15.9330638,-47.7581687/data=!4m3!4m2!3e0!5i2"/>
        <s v="https://www.google.com/maps/dir/-15.917302,-47.760003/-15.9330875,-47.7710314/data=!4m3!4m2!3e0!5i2"/>
        <s v="https://www.google.com/maps/dir/-15.917302,-47.760003/-15.9331100,-47.7778625/data=!4m3!4m2!3e0!5i2"/>
        <s v="https://www.google.com/maps/dir/-15.917302,-47.760003/-15.9331313,-47.7746567/data=!4m3!4m2!3e0!5i2"/>
        <s v="https://www.google.com/maps/dir/-15.917302,-47.760003/-15.9331374,-47.7646240/data=!4m3!4m2!3e0!5i1"/>
        <s v="https://www.google.com/maps/dir/-15.917302,-47.760003/-15.9332313,-47.7682073/data=!4m3!4m2!3e0!5i2"/>
        <s v="https://www.google.com/maps/dir/-15.917302,-47.760003/-15.9332349,-47.7664376/data=!4m3!4m2!3e0!5i2"/>
        <s v="https://www.google.com/maps/dir/-15.917302,-47.760003/-15.9332652,-47.7621146/data=!4m3!4m2!3e0!5i2"/>
        <s v="https://www.google.com/maps/dir/-15.917302,-47.760003/-15.9332724,-47.7646460/data=!4m3!4m2!3e0!5i1"/>
        <s v="https://www.google.com/maps/dir/-15.917302,-47.760003/-15.9332763,-47.7621673/data=!4m3!4m2!3e0!5i2"/>
        <s v="https://www.google.com/maps/dir/-15.917302,-47.760003/-15.9333837,-47.7614989/data=!4m3!4m2!3e0!5i1"/>
        <s v="https://www.google.com/maps/dir/-15.917302,-47.760003/-15.9333996,-47.7549619/data=!4m3!4m2!3e0!5i1"/>
        <s v="https://www.google.com/maps/dir/-15.917302,-47.760003/-15.9334508,-47.7649457/data=!4m3!4m2!3e0!5i1"/>
        <s v="https://www.google.com/maps/dir/-15.917302,-47.760003/-15.9334725,-47.7635668/data=!4m3!4m2!3e0!5i2"/>
        <s v="https://www.google.com/maps/dir/-15.917302,-47.760003/-15.9334790,-47.7572819/data=!4m3!4m2!3e0!5i1"/>
        <s v="https://www.google.com/maps/dir/-15.917302,-47.760003/-15.9335033,-47.7620556/data=!4m3!4m2!3e0!5i2"/>
        <s v="https://www.google.com/maps/dir/-15.917302,-47.760003/-15.9335058,-47.7625390/data=!4m3!4m2!3e0!5i2"/>
        <s v="https://www.google.com/maps/dir/-15.917302,-47.760003/-15.9335375,-47.7635459/data=!4m3!4m2!3e0!5i2"/>
        <s v="https://www.google.com/maps/dir/-15.917302,-47.760003/-15.9335716,-47.7548744/data=!4m3!4m2!3e0!5i1"/>
        <s v="https://www.google.com/maps/dir/-15.917302,-47.760003/-15.9335937,-47.7549329/data=!4m3!4m2!3e0!5i1"/>
        <s v="https://www.google.com/maps/dir/-15.917302,-47.760003/-15.9336123,-47.7667991/data=!4m3!4m2!3e0!5i2"/>
        <s v="https://www.google.com/maps/dir/-15.917302,-47.760003/-15.9336398,-47.7756660/data=!4m3!4m2!3e0!5i2"/>
        <s v="https://www.google.com/maps/dir/-15.917302,-47.760003/-15.9336549,-47.7550960/data=!4m3!4m2!3e0!5i1"/>
        <s v="https://www.google.com/maps/dir/-15.917302,-47.760003/-15.9336826,-47.7745497/data=!4m3!4m2!3e0!5i2"/>
        <s v="https://www.google.com/maps/dir/-15.917302,-47.760003/-15.9337019,-47.7651921/data=!4m3!4m2!3e0!5i1"/>
        <s v="https://www.google.com/maps/dir/-15.917302,-47.760003/-15.9337250,-47.7664810/data=!4m3!4m2!3e0!5i2"/>
        <s v="https://www.google.com/maps/dir/-15.917302,-47.760003/-15.9337794,-47.7624659/data=!4m3!4m2!3e0!5i2"/>
        <s v="https://www.google.com/maps/dir/-15.917302,-47.760003/-15.9338110,-47.7721402/data=!4m3!4m2!3e0!5i2"/>
        <s v="https://www.google.com/maps/dir/-15.917302,-47.760003/-15.9338166,-47.7721815/data=!4m3!4m2!3e0!5i2"/>
        <s v="https://www.google.com/maps/dir/-15.917302,-47.760003/-15.9338615,-47.7567270/data=!4m3!4m2!3e0!5i1"/>
        <s v="https://www.google.com/maps/dir/-15.917302,-47.760003/-15.9338664,-47.7653539/data=!4m3!4m2!3e0!5i1"/>
        <s v="https://www.google.com/maps/dir/-15.917302,-47.760003/-15.9338831,-47.7629458/data=!4m3!4m2!3e0!5i2"/>
        <s v="https://www.google.com/maps/dir/-15.917302,-47.760003/-15.9338945,-47.7629884/data=!4m3!4m2!3e0!5i2"/>
        <s v="https://www.google.com/maps/dir/-15.917302,-47.760003/-15.9339322,-47.7670903/data=!4m3!4m2!3e0!5i1"/>
        <s v="https://www.google.com/maps/dir/-15.917302,-47.760003/-15.9339445,-47.7670969/data=!4m3!4m2!3e0!5i1"/>
        <s v="https://www.google.com/maps/dir/-15.917302,-47.760003/-15.9339773,-47.7552618/data=!4m3!4m2!3e0!5i2"/>
        <s v="https://www.google.com/maps/dir/-15.917302,-47.760003/-15.9339965,-47.7571332/data=!4m3!4m2!3e0!5i1"/>
        <s v="https://www.google.com/maps/dir/-15.917302,-47.760003/-15.9340339,-47.7655201/data=!4m3!4m2!3e0!5i1"/>
        <s v="https://www.google.com/maps/dir/-15.917302,-47.760003/-15.9340390,-47.7648761/data=!4m3!4m2!3e0!5i1"/>
        <s v="https://www.google.com/maps/dir/-15.917302,-47.760003/-15.9340800,-47.7668675/data=!4m3!4m2!3e0!5i2"/>
        <s v="https://www.google.com/maps/dir/-15.917302,-47.760003/-15.9341111,-47.7556986/data=!4m3!4m2!3e0!5i2"/>
        <s v="https://www.google.com/maps/dir/-15.917302,-47.760003/-15.9341368,-47.7575465/data=!4m3!4m2!3e0!5i1"/>
        <s v="https://www.google.com/maps/dir/-15.917302,-47.760003/-15.9341771,-47.7656573/data=!4m3!4m2!3e0!5i1"/>
        <s v="https://www.google.com/maps/dir/-15.917302,-47.760003/-15.9341974,-47.7744385/data=!4m3!4m2!3e0!5i2"/>
        <s v="https://www.google.com/maps/dir/-15.917302,-47.760003/-15.9342008,-47.7561145/data=!4m3!4m2!3e0!5i1"/>
        <s v="https://www.google.com/maps/dir/-15.917302,-47.760003/-15.9342839,-47.7618349/data=!4m3!4m2!3e0!5i2"/>
        <s v="https://www.google.com/maps/dir/-15.917302,-47.760003/-15.9343029,-47.7565816/data=!4m3!4m2!3e0!5i1"/>
        <s v="https://www.google.com/maps/dir/-15.917302,-47.760003/-15.9343176,-47.7618246/data=!4m3!4m2!3e0!5i2"/>
        <s v="https://www.google.com/maps/dir/-15.917302,-47.760003/-15.9343183,-47.7569992/data=!4m3!4m2!3e0!5i1"/>
        <s v="https://www.google.com/maps/dir/-15.917302,-47.760003/-15.9343287,-47.7651906/data=!4m3!4m2!3e0!5i1"/>
        <s v="https://www.google.com/maps/dir/-15.917302,-47.760003/-15.9343432,-47.7658290/data=!4m3!4m2!3e0!5i1"/>
        <s v="https://www.google.com/maps/dir/-15.917302,-47.760003/-15.9343535,-47.7638444/data=!4m3!4m2!3e0!5i2"/>
        <s v="https://www.google.com/maps/dir/-15.917302,-47.760003/-15.9343759,-47.7651837/data=!4m3!4m2!3e0!5i1"/>
        <s v="https://www.google.com/maps/dir/-15.917302,-47.760003/-15.9343882,-47.7528120/data=!4m3!4m2!3e0!5i1"/>
        <s v="https://www.google.com/maps/dir/-15.917302,-47.760003/-15.9343884,-47.7638333/data=!4m3!4m2!3e0!5i2"/>
        <s v="https://www.google.com/maps/dir/-15.917302,-47.760003/-15.9343954,-47.7623038/data=!4m3!4m2!3e0!5i2"/>
        <s v="https://www.google.com/maps/dir/-15.917302,-47.760003/-15.9344446,-47.7622908/data=!4m3!4m2!3e0!5i2"/>
        <s v="https://www.google.com/maps/dir/-15.917302,-47.760003/-15.9344706,-47.7642697/data=!4m3!4m2!3e0!5i1"/>
        <s v="https://www.google.com/maps/dir/-15.917302,-47.760003/-15.9345114,-47.7642517/data=!4m3!4m2!3e0!5i1"/>
        <s v="https://www.google.com/maps/dir/-15.917302,-47.760003/-15.9345210,-47.7743710/data=!4m3!4m2!3e0!5i2"/>
        <s v="https://www.google.com/maps/dir/-15.917302,-47.760003/-15.9345770,-47.7647017/data=!4m3!4m2!3e0!5i1"/>
        <s v="https://www.google.com/maps/dir/-15.917302,-47.760003/-15.9345890,-47.7559614/data=!4m3!4m2!3e0!5i1"/>
        <s v="https://www.google.com/maps/dir/-15.917302,-47.760003/-15.9346511,-47.7655167/data=!4m3!4m2!3e0!5i1"/>
        <s v="https://www.google.com/maps/dir/-15.917302,-47.760003/-15.9347092,-47.7564067/data=!4m3!4m2!3e0!5i1"/>
        <s v="https://www.google.com/maps/dir/-15.917302,-47.760003/-15.9347187,-47.7662325/data=!4m3!4m2!3e0!5i1"/>
        <s v="https://www.google.com/maps/dir/-15.917302,-47.760003/-15.9347383,-47.7524360/data=!4m3!4m2!3e0!5i1"/>
        <s v="https://www.google.com/maps/dir/-15.917302,-47.760003/-15.9347434,-47.7743460/data=!4m3!4m2!3e0!5i2"/>
        <s v="https://www.google.com/maps/dir/-15.917302,-47.760003/-15.9347717,-47.7661229/data=!4m3!4m2!3e0!5i1"/>
        <s v="https://www.google.com/maps/dir/-15.917302,-47.760003/-15.9347953,-47.7546852/data=!4m3!4m2!3e0!5i2"/>
        <s v="https://www.google.com/maps/dir/-15.917302,-47.760003/-15.9348482,-47.7548759/data=!4m3!4m2!3e0!5i2"/>
        <s v="https://www.google.com/maps/dir/-15.917302,-47.760003/-15.9348681,-47.7779642/data=!4m3!4m2!3e0!5i2"/>
        <s v="https://www.google.com/maps/dir/-15.917302,-47.760003/-15.9348904,-47.7779542/data=!4m3!4m2!3e0!5i2"/>
        <s v="https://www.google.com/maps/dir/-15.917302,-47.760003/-15.9349037,-47.7719077/data=!4m3!4m2!3e0!5i2"/>
        <s v="https://www.google.com/maps/dir/-15.917302,-47.760003/-15.9349571,-47.7645710/data=!4m3!4m2!3e0!5i1"/>
        <s v="https://www.google.com/maps/dir/-15.917302,-47.760003/-15.9350079,-47.7557906/data=!4m3!4m2!3e0!5i1"/>
        <s v="https://www.google.com/maps/dir/-15.917302,-47.760003/-15.9350198,-47.7649737/data=!4m3!4m2!3e0!5i1"/>
        <s v="https://www.google.com/maps/dir/-15.917302,-47.760003/-15.9350910,-47.7742668/data=!4m3!4m2!3e0!5i2"/>
        <s v="https://www.google.com/maps/dir/-15.917302,-47.760003/-15.9351312,-47.7562880/data=!4m3!4m2!3e0!5i0"/>
        <s v="https://www.google.com/maps/dir/-15.917302,-47.760003/-15.9351719,-47.7645284/data=!4m3!4m2!3e0!5i1"/>
        <s v="https://www.google.com/maps/dir/-15.917302,-47.760003/-15.9351876,-47.7667015/data=!4m3!4m2!3e0!5i1"/>
        <s v="https://www.google.com/maps/dir/-15.917302,-47.760003/-15.9352086,-47.7649073/data=!4m3!4m2!3e0!5i1"/>
        <s v="https://www.google.com/maps/dir/-15.917302,-47.760003/-15.9352429,-47.7742322/data=!4m3!4m2!3e0!5i2"/>
        <s v="https://www.google.com/maps/dir/-15.917302,-47.760003/-15.9352492,-47.7546902/data=!4m3!4m2!3e0!5i1"/>
        <s v="https://www.google.com/maps/dir/-15.917302,-47.760003/-15.9353404,-47.7652596/data=!4m3!4m2!3e0!5i1"/>
        <s v="https://www.google.com/maps/dir/-15.917302,-47.760003/-15.9353759,-47.7620093/data=!4m3!4m2!3e0!5i2"/>
        <s v="https://www.google.com/maps/dir/-15.917302,-47.760003/-15.9353774,-47.7661488/data=!4m3!4m2!3e0!5i1"/>
        <s v="https://www.google.com/maps/dir/-15.917302,-47.760003/-15.9353890,-47.7556463/data=!4m3!4m2!3e0!5i1"/>
        <s v="https://www.google.com/maps/dir/-15.917302,-47.760003/-15.9354124,-47.7661768/data=!4m3!4m2!3e0!5i1"/>
        <s v="https://www.google.com/maps/dir/-15.917302,-47.760003/-15.9354131,-47.7735041/data=!4m3!4m2!3e0!5i2"/>
        <s v="https://www.google.com/maps/dir/-15.917302,-47.760003/-15.9354480,-47.7615415/data=!4m3!4m2!3e0!5i2"/>
        <s v="https://www.google.com/maps/dir/-15.917302,-47.760003/-15.9354557,-47.7750060/data=!4m3!4m2!3e0!5i2"/>
        <s v="https://www.google.com/maps/dir/-15.917302,-47.760003/-15.9354603,-47.7566654/data=!4m3!4m2!3e0!5i1"/>
        <s v="https://www.google.com/maps/dir/-15.917302,-47.760003/-15.9354715,-47.7599753/data=!4m3!4m2!3e0!5i1"/>
        <s v="https://www.google.com/maps/dir/-15.917302,-47.760003/-15.9355193,-47.7717764/data=!4m3!4m2!3e0!5i2"/>
        <s v="https://www.google.com/maps/dir/-15.917302,-47.760003/-15.9355268,-47.7661247/data=!4m3!4m2!3e0!5i1"/>
        <s v="https://www.google.com/maps/dir/-15.917302,-47.760003/-15.9355294,-47.7561749/data=!4m3!4m2!3e0!5i0"/>
        <s v="https://www.google.com/maps/dir/-15.917302,-47.760003/-15.9355395,-47.7741639/data=!4m3!4m2!3e0!5i2"/>
        <s v="https://www.google.com/maps/dir/-15.917302,-47.760003/-15.9355767,-47.7571292/data=!4m3!4m2!3e0!5i1"/>
        <s v="https://www.google.com/maps/dir/-15.917302,-47.760003/-15.9356055,-47.7605369/data=!4m3!4m2!3e0!5i1"/>
        <s v="https://www.google.com/maps/dir/-15.917302,-47.760003/-15.9356683,-47.7623912/data=!4m3!4m2!3e0!5i2"/>
        <s v="https://www.google.com/maps/dir/-15.917302,-47.760003/-15.9356718,-47.7545028/data=!4m3!4m2!3e0!5i2"/>
        <s v="https://www.google.com/maps/dir/-15.917302,-47.760003/-15.9357398,-47.7651761/data=!4m3!4m2!3e0!5i0"/>
        <s v="https://www.google.com/maps/dir/-15.917302,-47.760003/-15.9357599,-47.7651112/data=!4m3!4m2!3e0!5i1"/>
        <s v="https://www.google.com/maps/dir/-15.917302,-47.760003/-15.9357659,-47.7645253/data=!4m3!4m2!3e0!5i1"/>
        <s v="https://www.google.com/maps/dir/-15.917302,-47.760003/-15.9357886,-47.7555074/data=!4m3!4m2!3e0!5i0"/>
        <s v="https://www.google.com/maps/dir/-15.917302,-47.760003/-15.9357962,-47.7628482/data=!4m3!4m2!3e0!5i2"/>
        <s v="https://www.google.com/maps/dir/-15.917302,-47.760003/-15.9358035,-47.7628460/data=!4m3!4m2!3e0!5i2"/>
        <s v="https://www.google.com/maps/dir/-15.917302,-47.760003/-15.9358074,-47.7638201/data=!4m3!4m2!3e0!5i1"/>
        <s v="https://www.google.com/maps/dir/-15.917302,-47.760003/-15.9358103,-47.7636237/data=!4m3!4m2!3e0!5i2"/>
        <s v="https://www.google.com/maps/dir/-15.917302,-47.760003/-15.9358110,-47.7645105/data=!4m3!4m2!3e0!5i1"/>
        <s v="https://www.google.com/maps/dir/-15.917302,-47.760003/-15.9358120,-47.7647162/data=!4m3!4m2!3e0!5i1"/>
        <s v="https://www.google.com/maps/dir/-15.917302,-47.760003/-15.9358168,-47.7628918/data=!4m3!4m2!3e0!5i2"/>
        <s v="https://www.google.com/maps/dir/-15.917302,-47.760003/-15.9358188,-47.7614309/data=!4m3!4m2!3e0!5i1"/>
        <s v="https://www.google.com/maps/dir/-15.917302,-47.760003/-15.9359137,-47.7698499/data=!4m3!4m2!3e0!5i2"/>
        <s v="https://www.google.com/maps/dir/-15.917302,-47.760003/-15.9359215,-47.7642827/data=!4m3!4m2!3e0!5i1"/>
        <s v="https://www.google.com/maps/dir/-15.917302,-47.760003/-15.9359240,-47.7560599/data=!4m3!4m2!3e0!5i1"/>
        <s v="https://www.google.com/maps/dir/-15.917302,-47.760003/-15.9359249,-47.7635445/data=!4m3!4m2!3e0!5i2"/>
        <s v="https://www.google.com/maps/dir/-15.917302,-47.760003/-15.9359382,-47.7635916/data=!4m3!4m2!3e0!5i2"/>
        <s v="https://www.google.com/maps/dir/-15.917302,-47.760003/-15.9360411,-47.7611031/data=!4m3!4m2!3e0!5i0"/>
        <s v="https://www.google.com/maps/dir/-15.917302,-47.760003/-15.9360566,-47.7607940/data=!4m3!4m2!3e0!5i1"/>
        <s v="https://www.google.com/maps/dir/-15.917302,-47.760003/-15.9361026,-47.7610896/data=!4m3!4m2!3e0!5i0"/>
        <s v="https://www.google.com/maps/dir/-15.917302,-47.760003/-15.9361033,-47.7650541/data=!4m3!4m2!3e0!5i2"/>
        <s v="https://www.google.com/maps/dir/-15.917302,-47.760003/-15.9361221,-47.7667441/data=!4m3!4m2!3e0!5i1"/>
        <s v="https://www.google.com/maps/dir/-15.917302,-47.760003/-15.9361233,-47.7649989/data=!4m3!4m2!3e0!5i1"/>
        <s v="https://www.google.com/maps/dir/-15.917302,-47.760003/-15.9361530,-47.7628046/data=!4m3!4m2!3e0!5i2"/>
        <s v="https://www.google.com/maps/dir/-15.917302,-47.760003/-15.9361573,-47.7564603/data=!4m3!4m2!3e0!5i0"/>
        <s v="https://www.google.com/maps/dir/-15.917302,-47.760003/-15.9361614,-47.7675034/data=!4m3!4m2!3e0!5i1"/>
        <s v="https://www.google.com/maps/dir/-15.917302,-47.760003/-15.9361711,-47.7694730/data=!4m3!4m2!3e0!5i1"/>
        <s v="https://www.google.com/maps/dir/-15.917302,-47.760003/-15.9361788,-47.7632573/data=!4m3!4m2!3e0!5i2"/>
        <s v="https://www.google.com/maps/dir/-15.917302,-47.760003/-15.9361909,-47.7674240/data=!4m3!4m2!3e0!5i2"/>
        <s v="https://www.google.com/maps/dir/-15.917302,-47.760003/-15.9362291,-47.7697715/data=!4m3!4m2!3e0!5i1"/>
        <s v="https://www.google.com/maps/dir/-15.917302,-47.760003/-15.9362301,-47.7634358/data=!4m3!4m2!3e0!5i2"/>
        <s v="https://www.google.com/maps/dir/-15.917302,-47.760003/-15.9362517,-47.7674664/data=!4m3!4m2!3e0!5i2"/>
        <s v="https://www.google.com/maps/dir/-15.917302,-47.760003/-15.9362593,-47.7673327/data=!4m3!4m2!3e0!5i2"/>
        <s v="https://www.google.com/maps/dir/-15.917302,-47.760003/-15.9362665,-47.7568852/data=!4m3!4m2!3e0!5i0"/>
        <s v="https://www.google.com/maps/dir/-15.917302,-47.760003/-15.9363070,-47.7673472/data=!4m3!4m2!3e0!5i2"/>
        <s v="https://www.google.com/maps/dir/-15.917302,-47.760003/-15.9363226,-47.7716032/data=!4m3!4m2!3e0!5i1"/>
        <s v="https://www.google.com/maps/dir/-15.917302,-47.760003/-15.9363387,-47.7602436/data=!4m3!4m2!3e0!5i1"/>
        <s v="https://www.google.com/maps/dir/-15.917302,-47.760003/-15.9363549,-47.7659080/data=!4m3!4m2!3e0!5i2"/>
        <s v="https://www.google.com/maps/dir/-15.917302,-47.760003/-15.9363571,-47.7610435/data=!4m3!4m2!3e0!5i0"/>
        <s v="https://www.google.com/maps/dir/-15.917302,-47.760003/-15.9363872,-47.7658520/data=!4m3!4m2!3e0!5i2"/>
        <s v="https://www.google.com/maps/dir/-15.917302,-47.760003/-15.9364467,-47.7607317/data=!4m3!4m2!3e0!5i1"/>
        <s v="https://www.google.com/maps/dir/-15.917302,-47.760003/-15.9364614,-47.7547535/data=!4m3!4m2!3e0!5i2"/>
        <s v="https://www.google.com/maps/dir/-15.917302,-47.760003/-15.9364682,-47.7627118/data=!4m3!4m2!3e0!5i2"/>
        <s v="https://www.google.com/maps/dir/-15.917302,-47.760003/-15.9364949,-47.7720876/data=!4m3!4m2!3e0!5i2"/>
        <s v="https://www.google.com/maps/dir/-15.917302,-47.760003/-15.9365710,-47.7552768/data=!4m3!4m2!3e0!5i1"/>
        <s v="https://www.google.com/maps/dir/-15.917302,-47.760003/-15.9366175,-47.7715380/data=!4m3!4m2!3e0!5i1"/>
        <s v="https://www.google.com/maps/dir/-15.917302,-47.760003/-15.9366249,-47.7669818/data=!4m3!4m2!3e0!5i1"/>
        <s v="https://www.google.com/maps/dir/-15.917302,-47.760003/-15.9366590,-47.7600336/data=!4m3!4m2!3e0!5i1"/>
        <s v="https://www.google.com/maps/dir/-15.917302,-47.760003/-15.9366794,-47.7672818/data=!4m3!4m2!3e0!5i2"/>
        <s v="https://www.google.com/maps/dir/-15.917302,-47.760003/-15.9367224,-47.7609679/data=!4m3!4m2!3e0!5i0"/>
        <s v="https://www.google.com/maps/dir/-15.917302,-47.760003/-15.9367725,-47.7626313/data=!4m3!4m2!3e0!5i1"/>
        <s v="https://www.google.com/maps/dir/-15.917302,-47.760003/-15.9368266,-47.7715001/data=!4m3!4m2!3e0!5i1"/>
        <s v="https://www.google.com/maps/dir/-15.917302,-47.760003/-15.9368852,-47.7657834/data=!4m3!4m2!3e0!5i2"/>
        <s v="https://www.google.com/maps/dir/-15.917302,-47.760003/-15.9369101,-47.7697454/data=!4m3!4m2!3e0!5i1"/>
        <s v="https://www.google.com/maps/dir/-15.917302,-47.760003/-15.9369458,-47.7719715/data=!4m3!4m2!3e0!5i2"/>
        <s v="https://www.google.com/maps/dir/-15.917302,-47.760003/-15.9369627,-47.7597617/data=!4m3!4m2!3e0!5i1"/>
        <s v="https://www.google.com/maps/dir/-15.917302,-47.760003/-15.9369736,-47.7714735/data=!4m3!4m2!3e0!5i1"/>
        <s v="https://www.google.com/maps/dir/-15.917302,-47.760003/-15.9369740,-47.7598799/data=!4m3!4m2!3e0!5i1"/>
        <s v="https://www.google.com/maps/dir/-15.917302,-47.760003/-15.9369915,-47.7701902/data=!4m3!4m2!3e0!5i1"/>
        <s v="https://www.google.com/maps/dir/-15.917302,-47.760003/-15.9370293,-47.7664684/data=!4m3!4m2!3e0!5i2"/>
        <s v="https://www.google.com/maps/dir/-15.917302,-47.760003/-15.9370299,-47.7566665/data=!4m3!4m2!3e0!5i1"/>
        <s v="https://www.google.com/maps/dir/-15.917302,-47.760003/-15.9370589,-47.7608886/data=!4m3!4m2!3e0!5i1"/>
        <s v="https://www.google.com/maps/dir/-15.917302,-47.760003/-15.9370949,-47.7743986/data=!4m3!4m2!3e0!5i2"/>
        <s v="https://www.google.com/maps/dir/-15.917302,-47.760003/-15.9371100,-47.7625464/data=!4m3!4m2!3e0!5i1"/>
        <s v="https://www.google.com/maps/dir/-15.917302,-47.760003/-15.9371433,-47.7605706/data=!4m3!4m2!3e0!5i1"/>
        <s v="https://www.google.com/maps/dir/-15.917302,-47.760003/-15.9371521,-47.7728633/data=!4m3!4m2!3e0!5i2"/>
        <s v="https://www.google.com/maps/dir/-15.917302,-47.760003/-15.9371756,-47.7711189/data=!4m3!4m2!3e0!5i1"/>
        <s v="https://www.google.com/maps/dir/-15.917302,-47.760003/-15.9372099,-47.7678300/data=!4m3!4m2!3e0!5i1"/>
        <s v="https://www.google.com/maps/dir/-15.917302,-47.760003/-15.9372668,-47.7733326/data=!4m3!4m2!3e0!5i2"/>
        <s v="https://www.google.com/maps/dir/-15.917302,-47.760003/-15.9372993,-47.7734750/data=!4m3!4m2!3e0!5i2"/>
        <s v="https://www.google.com/maps/dir/-15.917302,-47.760003/-15.9373346,-47.7656957/data=!4m3!4m2!3e0!5i2"/>
        <s v="https://www.google.com/maps/dir/-15.917302,-47.760003/-15.9373716,-47.7598830/data=!4m3!4m2!3e0!5i1"/>
        <s v="https://www.google.com/maps/dir/-15.917302,-47.760003/-15.9373790,-47.7713829/data=!4m3!4m2!3e0!5i1"/>
        <s v="https://www.google.com/maps/dir/-15.917302,-47.760003/-15.9374342,-47.7624871/data=!4m3!4m2!3e0!5i1"/>
        <s v="https://www.google.com/maps/dir/-15.917302,-47.760003/-15.9374544,-47.7663960/data=!4m3!4m2!3e0!5i0"/>
        <s v="https://www.google.com/maps/dir/-15.917302,-47.760003/-15.9374757,-47.7719019/data=!4m3!4m2!3e0!5i2"/>
        <s v="https://www.google.com/maps/dir/-15.917302,-47.760003/-15.9374968,-47.7741791/data=!4m3!4m2!3e0!5i2"/>
        <s v="https://www.google.com/maps/dir/-15.917302,-47.760003/-15.9375095,-47.7604919/data=!4m3!4m2!3e0!5i1"/>
        <s v="https://www.google.com/maps/dir/-15.917302,-47.760003/-15.9375882,-47.7607562/data=!4m3!4m2!3e0!5i1"/>
        <s v="https://www.google.com/maps/dir/-15.917302,-47.760003/-15.9375884,-47.7617283/data=!4m3!4m2!3e0!5i1"/>
        <s v="https://www.google.com/maps/dir/-15.917302,-47.760003/-15.9375884,-47.7723794/data=!4m3!4m2!3e0!5i2"/>
        <s v="https://www.google.com/maps/dir/-15.917302,-47.760003/-15.9376684,-47.7696044/data=!4m3!4m2!3e0!5i2"/>
        <s v="https://www.google.com/maps/dir/-15.917302,-47.760003/-15.9377100,-47.7685693/data=!4m3!4m2!3e0!5i2"/>
        <s v="https://www.google.com/maps/dir/-15.917302,-47.760003/-15.9377152,-47.7595071/data=!4m3!4m2!3e0!5i1"/>
        <s v="https://www.google.com/maps/dir/-15.917302,-47.760003/-15.9377264,-47.7595570/data=!4m3!4m2!3e0!5i1"/>
        <s v="https://www.google.com/maps/dir/-15.917302,-47.760003/-15.9377292,-47.7595038/data=!4m3!4m2!3e0!5i1"/>
        <s v="https://www.google.com/maps/dir/-15.917302,-47.760003/-15.9377381,-47.7629281/data=!4m3!4m2!3e0!5i1"/>
        <s v="https://www.google.com/maps/dir/-15.917302,-47.760003/-15.9377545,-47.7629388/data=!4m3!4m2!3e0!5i1"/>
        <s v="https://www.google.com/maps/dir/-15.917302,-47.760003/-15.9377589,-47.7700430/data=!4m3!4m2!3e0!5i2"/>
        <s v="https://www.google.com/maps/dir/-15.917302,-47.760003/-15.9377613,-47.7676680/data=!4m3!4m2!3e0!5i1"/>
        <s v="https://www.google.com/maps/dir/-15.917302,-47.760003/-15.9377628,-47.7733049/data=!4m3!4m2!3e0!5i2"/>
        <s v="https://www.google.com/maps/dir/-15.917302,-47.760003/-15.9377986,-47.7625546/data=!4m3!4m2!3e0!5i1"/>
        <s v="https://www.google.com/maps/dir/-15.917302,-47.760003/-15.9378691,-47.7705010/data=!4m3!4m2!3e0!5i2"/>
        <s v="https://www.google.com/maps/dir/-15.917302,-47.760003/-15.9379056,-47.7670735/data=!4m3!4m2!3e0!5i0"/>
        <s v="https://www.google.com/maps/dir/-15.917302,-47.760003/-15.9379131,-47.7707404/data=!4m3!4m2!3e0!5i1"/>
        <s v="https://www.google.com/maps/dir/-15.917302,-47.760003/-15.9379357,-47.7637891/data=!4m3!4m2!3e0!5i1"/>
        <s v="https://www.google.com/maps/dir/-15.917302,-47.760003/-15.9379429,-47.7708402/data=!4m3!4m2!3e0!5i2"/>
        <s v="https://www.google.com/maps/dir/-15.917302,-47.760003/-15.9379457,-47.7637722/data=!4m3!4m2!3e0!5i1"/>
        <s v="https://www.google.com/maps/dir/-15.917302,-47.760003/-15.9379561,-47.7705546/data=!4m3!4m2!3e0!5i1"/>
        <s v="https://www.google.com/maps/dir/-15.917302,-47.760003/-15.9379563,-47.7604093/data=!4m3!4m2!3e0!5i1"/>
        <s v="https://www.google.com/maps/dir/-15.917302,-47.760003/-15.9379586,-47.7709324/data=!4m3!4m2!3e0!5i1"/>
        <s v="https://www.google.com/maps/dir/-15.917302,-47.760003/-15.9379869,-47.7619052/data=!4m3!4m2!3e0!5i1"/>
        <s v="https://www.google.com/maps/dir/-15.917302,-47.760003/-15.9380135,-47.7606666/data=!4m3!4m2!3e0!5i1"/>
        <s v="https://www.google.com/maps/dir/-15.917302,-47.760003/-15.9380167,-47.7708228/data=!4m3!4m2!3e0!5i2"/>
        <s v="https://www.google.com/maps/dir/-15.917302,-47.760003/-15.9380235,-47.7712458/data=!4m3!4m2!3e0!5i0"/>
        <s v="https://www.google.com/maps/dir/-15.917302,-47.760003/-15.9380436,-47.7709430/data=!4m3!4m2!3e0!5i2"/>
        <s v="https://www.google.com/maps/dir/-15.917302,-47.760003/-15.9381140,-47.7624739/data=!4m3!4m2!3e0!5i1"/>
        <s v="https://www.google.com/maps/dir/-15.917302,-47.760003/-15.9381712,-47.7712144/data=!4m3!4m2!3e0!5i2"/>
        <s v="https://www.google.com/maps/dir/-15.917302,-47.760003/-15.9383334,-47.7636901/data=!4m3!4m2!3e0!5i1"/>
        <s v="https://www.google.com/maps/dir/-15.917302,-47.760003/-15.9383353,-47.7624299/data=!4m3!4m2!3e0!5i1"/>
        <s v="https://www.google.com/maps/dir/-15.917302,-47.760003/-15.9383476,-47.7636723/data=!4m3!4m2!3e0!5i1"/>
        <s v="https://www.google.com/maps/dir/-15.917302,-47.760003/-15.9383517,-47.7624389/data=!4m3!4m2!3e0!5i1"/>
        <s v="https://www.google.com/maps/dir/-15.917302,-47.760003/-15.9384169,-47.7627674/data=!4m3!4m2!3e0!5i1"/>
        <s v="https://www.google.com/maps/dir/-15.917302,-47.760003/-15.9384331,-47.7627776/data=!4m3!4m2!3e0!5i1"/>
        <s v="https://www.google.com/maps/dir/-15.917302,-47.760003/-15.9384510,-47.7623973/data=!4m3!4m2!3e0!5i1"/>
        <s v="https://www.google.com/maps/dir/-15.917302,-47.760003/-15.9384671,-47.7624080/data=!4m3!4m2!3e0!5i1"/>
        <s v="https://www.google.com/maps/dir/-15.917302,-47.760003/-15.9384739,-47.7642596/data=!4m3!4m2!3e0!5i1"/>
        <s v="https://www.google.com/maps/dir/-15.917302,-47.760003/-15.9385112,-47.7654679/data=!4m3!4m2!3e0!5i2"/>
        <s v="https://www.google.com/maps/dir/-15.917302,-47.760003/-15.9385518,-47.7645731/data=!4m3!4m2!3e0!5i1"/>
        <s v="https://www.google.com/maps/dir/-15.917302,-47.760003/-15.9385602,-47.7646076/data=!4m3!4m2!3e0!5i1"/>
        <s v="https://www.google.com/maps/dir/-15.917302,-47.760003/-15.9385777,-47.7646031/data=!4m3!4m2!3e0!5i1"/>
        <s v="https://www.google.com/maps/dir/-15.917302,-47.760003/-15.9386059,-47.7673064/data=!4m3!4m2!3e0!5i0"/>
        <s v="https://www.google.com/maps/dir/-15.917302,-47.760003/-15.9386064,-47.7654439/data=!4m3!4m2!3e0!5i2"/>
        <s v="https://www.google.com/maps/dir/-15.917302,-47.760003/-15.9386290,-47.7704198/data=!4m3!4m2!3e0!5i1"/>
        <s v="https://www.google.com/maps/dir/-15.917302,-47.760003/-15.9386385,-47.7674617/data=!4m3!4m2!3e0!5i0"/>
        <s v="https://www.google.com/maps/dir/-15.917302,-47.760003/-15.9386435,-47.7708473/data=!4m3!4m2!3e0!5i1"/>
        <s v="https://www.google.com/maps/dir/-15.917302,-47.760003/-15.9386819,-47.7678203/data=!4m3!4m2!3e0!5i0"/>
        <s v="https://www.google.com/maps/dir/-15.917302,-47.760003/-15.9387224,-47.7664617/data=!4m3!4m2!3e0!5i1"/>
        <s v="https://www.google.com/maps/dir/-15.917302,-47.760003/-15.9389687,-47.7653395/data=!4m3!4m2!3e0!5i1"/>
        <s v="https://www.google.com/maps/dir/-15.917302,-47.760003/-15.9389861,-47.7653002/data=!4m3!4m2!3e0!5i1"/>
        <s v="https://www.google.com/maps/dir/-15.917302,-47.760003/-15.9394353,-47.7667642/data=!4m3!4m2!3e0!5i1"/>
        <s v="https://www.google.com/maps/dir/-15.917302,-47.760003/-15.9396159,-47.7662758/data=!4m3!4m2!3e0!5i1"/>
        <s v="https://www.google.com/maps/dir/-15.917302,-47.760003/-15.9397286,-47.7666869/data=!4m3!4m2!3e0!5i1"/>
      </sharedItems>
    </cacheField>
    <cacheField name="DESCRIÇÃO" numFmtId="0">
      <sharedItems count="1">
        <s v="TUBO PEAD"/>
      </sharedItems>
    </cacheField>
    <cacheField name="PRESSÃO" numFmtId="0">
      <sharedItems count="1">
        <s v="PN10"/>
      </sharedItems>
    </cacheField>
    <cacheField name="RESINA" numFmtId="0">
      <sharedItems count="1">
        <s v="PE100"/>
      </sharedItems>
    </cacheField>
    <cacheField name="TIPO_CONEXÃO" numFmtId="0">
      <sharedItems count="1">
        <s v="TUBO PEAD"/>
      </sharedItems>
    </cacheField>
    <cacheField name="SOLDA" numFmtId="0">
      <sharedItems count="2">
        <s v="ELETROFUSÃO"/>
        <s v="TERMOFUSÃO"/>
      </sharedItems>
    </cacheField>
    <cacheField name="DIÂMETRO" numFmtId="0">
      <sharedItems containsSemiMixedTypes="0" containsString="0" containsNumber="1" containsInteger="1" minValue="63" maxValue="500" count="12">
        <n v="63"/>
        <n v="90"/>
        <n v="110"/>
        <n v="125"/>
        <n v="160"/>
        <n v="225"/>
        <n v="250"/>
        <n v="280"/>
        <n v="315"/>
        <n v="355"/>
        <n v="400"/>
        <n v="500"/>
      </sharedItems>
    </cacheField>
    <cacheField name="MATERIAL" numFmtId="0">
      <sharedItems count="1">
        <s v="PEAD"/>
      </sharedItems>
    </cacheField>
    <cacheField name="GRUPO" numFmtId="0">
      <sharedItems count="1">
        <s v="REDES"/>
      </sharedItems>
    </cacheField>
    <cacheField name="LOCAL" numFmtId="0">
      <sharedItems count="12">
        <s v="ADUTORA"/>
        <s v="Zona01"/>
        <s v="Zona02"/>
        <s v="Zona03"/>
        <s v="Zona04"/>
        <s v="Zona05"/>
        <s v="Zona06"/>
        <s v="Zona07"/>
        <s v="Zona08"/>
        <s v="Zona09"/>
        <s v="Zona10"/>
        <s v="Zona11"/>
      </sharedItems>
    </cacheField>
    <cacheField name="UNID." numFmtId="0">
      <sharedItems count="1">
        <s v="M"/>
      </sharedItems>
    </cacheField>
    <cacheField name="DISTÂNCIA" numFmtId="0">
      <sharedItems containsSemiMixedTypes="0" containsString="0" containsNumber="1" minValue="0.59" maxValue="907.56" count="1365">
        <n v="0.59"/>
        <n v="0.6"/>
        <n v="0.66"/>
        <n v="0.67"/>
        <n v="0.71"/>
        <n v="0.73"/>
        <n v="0.77"/>
        <n v="0.79"/>
        <n v="0.9"/>
        <n v="0.96"/>
        <n v="0.98"/>
        <n v="1.02"/>
        <n v="1.13"/>
        <n v="1.14"/>
        <n v="1.22"/>
        <n v="1.31"/>
        <n v="1.39"/>
        <n v="1.4"/>
        <n v="1.5"/>
        <n v="1.51"/>
        <n v="1.54"/>
        <n v="1.57"/>
        <n v="1.72"/>
        <n v="1.82"/>
        <n v="1.84"/>
        <n v="1.86"/>
        <n v="1.93"/>
        <n v="1.94"/>
        <n v="1.95"/>
        <n v="1.96"/>
        <n v="1.98"/>
        <n v="1.99"/>
        <n v="2"/>
        <n v="2.03"/>
        <n v="2.05"/>
        <n v="2.07"/>
        <n v="2.4"/>
        <n v="2.42"/>
        <n v="2.46"/>
        <n v="2.47"/>
        <n v="2.5"/>
        <n v="2.51"/>
        <n v="2.53"/>
        <n v="2.62"/>
        <n v="2.68"/>
        <n v="2.69"/>
        <n v="2.77"/>
        <n v="2.78"/>
        <n v="2.8"/>
        <n v="2.82"/>
        <n v="2.88"/>
        <n v="2.92"/>
        <n v="2.97"/>
        <n v="2.99"/>
        <n v="3.02"/>
        <n v="3.04"/>
        <n v="3.07"/>
        <n v="3.11"/>
        <n v="3.17"/>
        <n v="3.22"/>
        <n v="3.26"/>
        <n v="3.31"/>
        <n v="3.45"/>
        <n v="3.46"/>
        <n v="3.47"/>
        <n v="3.58"/>
        <n v="3.59"/>
        <n v="3.62"/>
        <n v="3.63"/>
        <n v="3.7"/>
        <n v="3.73"/>
        <n v="3.77"/>
        <n v="3.81"/>
        <n v="3.9"/>
        <n v="3.92"/>
        <n v="4.01"/>
        <n v="4.05"/>
        <n v="4.09"/>
        <n v="4.2"/>
        <n v="4.24"/>
        <n v="4.32"/>
        <n v="4.36"/>
        <n v="4.41"/>
        <n v="4.44"/>
        <n v="4.45"/>
        <n v="4.47"/>
        <n v="4.51"/>
        <n v="4.58"/>
        <n v="4.7"/>
        <n v="4.72"/>
        <n v="4.88"/>
        <n v="4.9"/>
        <n v="4.94"/>
        <n v="5.08"/>
        <n v="5.09"/>
        <n v="5.12"/>
        <n v="5.16"/>
        <n v="5.17"/>
        <n v="5.19"/>
        <n v="5.24"/>
        <n v="5.25"/>
        <n v="5.34"/>
        <n v="5.35"/>
        <n v="5.49"/>
        <n v="5.56"/>
        <n v="5.57"/>
        <n v="5.58"/>
        <n v="5.6"/>
        <n v="5.67"/>
        <n v="5.71"/>
        <n v="5.78"/>
        <n v="5.79"/>
        <n v="5.94"/>
        <n v="5.99"/>
        <n v="6"/>
        <n v="6.04"/>
        <n v="6.05"/>
        <n v="6.14"/>
        <n v="6.2"/>
        <n v="6.22"/>
        <n v="6.41"/>
        <n v="6.56"/>
        <n v="6.66"/>
        <n v="6.72"/>
        <n v="6.73"/>
        <n v="6.74"/>
        <n v="6.78"/>
        <n v="6.81"/>
        <n v="6.83"/>
        <n v="6.96"/>
        <n v="7.02"/>
        <n v="7.26"/>
        <n v="7.31"/>
        <n v="7.61"/>
        <n v="7.65"/>
        <n v="7.85"/>
        <n v="7.91"/>
        <n v="7.97"/>
        <n v="8.04"/>
        <n v="8.07"/>
        <n v="8.1"/>
        <n v="8.22"/>
        <n v="8.27"/>
        <n v="8.3"/>
        <n v="8.36"/>
        <n v="8.38"/>
        <n v="8.53"/>
        <n v="8.61"/>
        <n v="8.79"/>
        <n v="8.89"/>
        <n v="9.03"/>
        <n v="9.05"/>
        <n v="9.11"/>
        <n v="9.44"/>
        <n v="9.9"/>
        <n v="10.36"/>
        <n v="10.38"/>
        <n v="10.43"/>
        <n v="10.59"/>
        <n v="10.64"/>
        <n v="10.66"/>
        <n v="10.69"/>
        <n v="10.84"/>
        <n v="10.86"/>
        <n v="10.93"/>
        <n v="11.01"/>
        <n v="11.16"/>
        <n v="11.2"/>
        <n v="11.24"/>
        <n v="11.25"/>
        <n v="11.41"/>
        <n v="11.6"/>
        <n v="11.62"/>
        <n v="11.74"/>
        <n v="11.77"/>
        <n v="12.04"/>
        <n v="12.06"/>
        <n v="12.12"/>
        <n v="12.37"/>
        <n v="12.47"/>
        <n v="12.48"/>
        <n v="12.53"/>
        <n v="12.73"/>
        <n v="12.78"/>
        <n v="12.86"/>
        <n v="12.87"/>
        <n v="12.88"/>
        <n v="13.13"/>
        <n v="13.16"/>
        <n v="13.21"/>
        <n v="13.38"/>
        <n v="13.65"/>
        <n v="13.87"/>
        <n v="14.26"/>
        <n v="14.39"/>
        <n v="14.46"/>
        <n v="14.49"/>
        <n v="14.52"/>
        <n v="14.53"/>
        <n v="14.57"/>
        <n v="14.64"/>
        <n v="14.71"/>
        <n v="14.82"/>
        <n v="14.98"/>
        <n v="15"/>
        <n v="15.2"/>
        <n v="15.21"/>
        <n v="15.22"/>
        <n v="15.25"/>
        <n v="15.26"/>
        <n v="15.38"/>
        <n v="15.6"/>
        <n v="15.75"/>
        <n v="15.8"/>
        <n v="15.98"/>
        <n v="16.53"/>
        <n v="16.63"/>
        <n v="16.66"/>
        <n v="16.67"/>
        <n v="16.69"/>
        <n v="16.7"/>
        <n v="16.76"/>
        <n v="17.04"/>
        <n v="17.05"/>
        <n v="17.2"/>
        <n v="17.29"/>
        <n v="17.52"/>
        <n v="17.57"/>
        <n v="17.65"/>
        <n v="17.67"/>
        <n v="17.95"/>
        <n v="17.98"/>
        <n v="18.17"/>
        <n v="18.22"/>
        <n v="18.28"/>
        <n v="18.58"/>
        <n v="18.59"/>
        <n v="18.74"/>
        <n v="18.77"/>
        <n v="18.84"/>
        <n v="18.85"/>
        <n v="18.94"/>
        <n v="18.96"/>
        <n v="18.97"/>
        <n v="19.33"/>
        <n v="19.38"/>
        <n v="19.42"/>
        <n v="19.69"/>
        <n v="19.79"/>
        <n v="19.83"/>
        <n v="19.93"/>
        <n v="20.15"/>
        <n v="20.36"/>
        <n v="20.5"/>
        <n v="20.89"/>
        <n v="21.07"/>
        <n v="21.08"/>
        <n v="21.09"/>
        <n v="21.24"/>
        <n v="21.41"/>
        <n v="21.43"/>
        <n v="21.55"/>
        <n v="21.61"/>
        <n v="21.66"/>
        <n v="21.71"/>
        <n v="21.93"/>
        <n v="22.02"/>
        <n v="22.04"/>
        <n v="22.07"/>
        <n v="22.16"/>
        <n v="22.2"/>
        <n v="22.33"/>
        <n v="22.74"/>
        <n v="22.9"/>
        <n v="22.92"/>
        <n v="22.97"/>
        <n v="23.05"/>
        <n v="23.18"/>
        <n v="23.24"/>
        <n v="23.34"/>
        <n v="23.36"/>
        <n v="23.37"/>
        <n v="23.51"/>
        <n v="23.79"/>
        <n v="23.86"/>
        <n v="23.93"/>
        <n v="24.36"/>
        <n v="24.38"/>
        <n v="24.49"/>
        <n v="24.55"/>
        <n v="24.64"/>
        <n v="24.74"/>
        <n v="24.75"/>
        <n v="24.84"/>
        <n v="25"/>
        <n v="25.15"/>
        <n v="25.23"/>
        <n v="25.27"/>
        <n v="25.32"/>
        <n v="25.4"/>
        <n v="25.59"/>
        <n v="25.62"/>
        <n v="25.71"/>
        <n v="25.82"/>
        <n v="25.89"/>
        <n v="26.04"/>
        <n v="26.11"/>
        <n v="26.15"/>
        <n v="26.18"/>
        <n v="26.23"/>
        <n v="26.25"/>
        <n v="26.3"/>
        <n v="26.54"/>
        <n v="26.75"/>
        <n v="26.78"/>
        <n v="26.93"/>
        <n v="26.97"/>
        <n v="27.04"/>
        <n v="27.19"/>
        <n v="27.38"/>
        <n v="27.4"/>
        <n v="27.43"/>
        <n v="27.49"/>
        <n v="27.68"/>
        <n v="27.77"/>
        <n v="27.78"/>
        <n v="28.23"/>
        <n v="28.27"/>
        <n v="28.28"/>
        <n v="28.42"/>
        <n v="28.57"/>
        <n v="28.61"/>
        <n v="28.68"/>
        <n v="28.7"/>
        <n v="28.83"/>
        <n v="28.95"/>
        <n v="29.09"/>
        <n v="29.26"/>
        <n v="29.28"/>
        <n v="29.31"/>
        <n v="29.51"/>
        <n v="29.64"/>
        <n v="29.67"/>
        <n v="29.97"/>
        <n v="30.11"/>
        <n v="30.21"/>
        <n v="30.27"/>
        <n v="30.44"/>
        <n v="30.55"/>
        <n v="30.79"/>
        <n v="30.8"/>
        <n v="31.11"/>
        <n v="31.15"/>
        <n v="31.48"/>
        <n v="31.52"/>
        <n v="31.76"/>
        <n v="31.94"/>
        <n v="31.99"/>
        <n v="32.22"/>
        <n v="32.26"/>
        <n v="32.4"/>
        <n v="32.42"/>
        <n v="32.5"/>
        <n v="32.51"/>
        <n v="32.53"/>
        <n v="32.57"/>
        <n v="32.58"/>
        <n v="32.62"/>
        <n v="32.7"/>
        <n v="32.73"/>
        <n v="32.77"/>
        <n v="32.81"/>
        <n v="33.18"/>
        <n v="33.25"/>
        <n v="33.39"/>
        <n v="33.52"/>
        <n v="33.54"/>
        <n v="33.6"/>
        <n v="33.65"/>
        <n v="33.67"/>
        <n v="33.96"/>
        <n v="33.98"/>
        <n v="34.16"/>
        <n v="34.18"/>
        <n v="34.2"/>
        <n v="34.36"/>
        <n v="34.38"/>
        <n v="34.62"/>
        <n v="34.69"/>
        <n v="34.75"/>
        <n v="34.79"/>
        <n v="34.86"/>
        <n v="34.89"/>
        <n v="34.9"/>
        <n v="35.03"/>
        <n v="35.35"/>
        <n v="35.57"/>
        <n v="35.68"/>
        <n v="35.93"/>
        <n v="36.03"/>
        <n v="36.05"/>
        <n v="36.15"/>
        <n v="36.17"/>
        <n v="36.22"/>
        <n v="36.3"/>
        <n v="36.59"/>
        <n v="36.62"/>
        <n v="36.64"/>
        <n v="36.71"/>
        <n v="36.88"/>
        <n v="36.92"/>
        <n v="36.94"/>
        <n v="37.01"/>
        <n v="37.03"/>
        <n v="37.08"/>
        <n v="37.26"/>
        <n v="37.35"/>
        <n v="37.39"/>
        <n v="37.4"/>
        <n v="37.52"/>
        <n v="37.69"/>
        <n v="37.71"/>
        <n v="37.79"/>
        <n v="37.85"/>
        <n v="37.87"/>
        <n v="37.92"/>
        <n v="37.93"/>
        <n v="37.96"/>
        <n v="38.02"/>
        <n v="38.21"/>
        <n v="38.27"/>
        <n v="38.34"/>
        <n v="38.39"/>
        <n v="38.44"/>
        <n v="38.45"/>
        <n v="38.47"/>
        <n v="38.48"/>
        <n v="38.49"/>
        <n v="38.54"/>
        <n v="38.6"/>
        <n v="38.69"/>
        <n v="38.8"/>
        <n v="38.84"/>
        <n v="38.87"/>
        <n v="39"/>
        <n v="39.1"/>
        <n v="39.24"/>
        <n v="39.29"/>
        <n v="39.44"/>
        <n v="39.5"/>
        <n v="39.54"/>
        <n v="39.64"/>
        <n v="39.69"/>
        <n v="39.72"/>
        <n v="39.89"/>
        <n v="40.01"/>
        <n v="40.25"/>
        <n v="40.33"/>
        <n v="40.34"/>
        <n v="40.36"/>
        <n v="40.4"/>
        <n v="40.44"/>
        <n v="40.61"/>
        <n v="40.63"/>
        <n v="40.67"/>
        <n v="40.72"/>
        <n v="40.73"/>
        <n v="40.75"/>
        <n v="40.78"/>
        <n v="40.95"/>
        <n v="41.18"/>
        <n v="41.29"/>
        <n v="41.32"/>
        <n v="41.41"/>
        <n v="41.46"/>
        <n v="41.47"/>
        <n v="41.5"/>
        <n v="41.55"/>
        <n v="41.58"/>
        <n v="41.6"/>
        <n v="41.63"/>
        <n v="41.66"/>
        <n v="41.67"/>
        <n v="41.77"/>
        <n v="41.9"/>
        <n v="41.95"/>
        <n v="42.01"/>
        <n v="42.04"/>
        <n v="42.09"/>
        <n v="42.32"/>
        <n v="42.39"/>
        <n v="42.4"/>
        <n v="42.43"/>
        <n v="42.47"/>
        <n v="42.53"/>
        <n v="42.56"/>
        <n v="42.58"/>
        <n v="42.6"/>
        <n v="42.7"/>
        <n v="42.77"/>
        <n v="42.79"/>
        <n v="42.9"/>
        <n v="42.97"/>
        <n v="42.98"/>
        <n v="43.04"/>
        <n v="43.09"/>
        <n v="43.16"/>
        <n v="43.27"/>
        <n v="43.36"/>
        <n v="43.45"/>
        <n v="43.47"/>
        <n v="43.48"/>
        <n v="43.51"/>
        <n v="43.53"/>
        <n v="43.61"/>
        <n v="43.68"/>
        <n v="43.7"/>
        <n v="43.71"/>
        <n v="43.75"/>
        <n v="43.8"/>
        <n v="43.9"/>
        <n v="43.93"/>
        <n v="44.09"/>
        <n v="44.1"/>
        <n v="44.14"/>
        <n v="44.16"/>
        <n v="44.19"/>
        <n v="44.23"/>
        <n v="44.34"/>
        <n v="44.37"/>
        <n v="44.38"/>
        <n v="44.44"/>
        <n v="44.45"/>
        <n v="44.48"/>
        <n v="44.52"/>
        <n v="44.62"/>
        <n v="44.65"/>
        <n v="44.69"/>
        <n v="44.78"/>
        <n v="44.8"/>
        <n v="44.85"/>
        <n v="44.86"/>
        <n v="44.9"/>
        <n v="44.94"/>
        <n v="44.98"/>
        <n v="45"/>
        <n v="45.03"/>
        <n v="45.07"/>
        <n v="45.14"/>
        <n v="45.26"/>
        <n v="45.3"/>
        <n v="45.34"/>
        <n v="45.36"/>
        <n v="45.41"/>
        <n v="45.44"/>
        <n v="45.5"/>
        <n v="45.53"/>
        <n v="45.61"/>
        <n v="45.64"/>
        <n v="45.7"/>
        <n v="45.72"/>
        <n v="45.82"/>
        <n v="45.91"/>
        <n v="45.92"/>
        <n v="45.94"/>
        <n v="46"/>
        <n v="46.02"/>
        <n v="46.04"/>
        <n v="46.05"/>
        <n v="46.07"/>
        <n v="46.17"/>
        <n v="46.2"/>
        <n v="46.21"/>
        <n v="46.36"/>
        <n v="46.38"/>
        <n v="46.47"/>
        <n v="46.54"/>
        <n v="46.56"/>
        <n v="46.67"/>
        <n v="46.69"/>
        <n v="46.7"/>
        <n v="46.76"/>
        <n v="46.78"/>
        <n v="46.82"/>
        <n v="46.85"/>
        <n v="46.86"/>
        <n v="46.87"/>
        <n v="46.9"/>
        <n v="46.96"/>
        <n v="46.98"/>
        <n v="47.06"/>
        <n v="47.07"/>
        <n v="47.08"/>
        <n v="47.13"/>
        <n v="47.22"/>
        <n v="47.29"/>
        <n v="47.3"/>
        <n v="47.34"/>
        <n v="47.36"/>
        <n v="47.37"/>
        <n v="47.45"/>
        <n v="47.46"/>
        <n v="47.5"/>
        <n v="47.52"/>
        <n v="47.55"/>
        <n v="47.56"/>
        <n v="47.65"/>
        <n v="47.72"/>
        <n v="47.75"/>
        <n v="47.83"/>
        <n v="47.94"/>
        <n v="47.99"/>
        <n v="48.01"/>
        <n v="48.02"/>
        <n v="48.05"/>
        <n v="48.15"/>
        <n v="48.17"/>
        <n v="48.2"/>
        <n v="48.32"/>
        <n v="48.34"/>
        <n v="48.4"/>
        <n v="48.44"/>
        <n v="48.46"/>
        <n v="48.47"/>
        <n v="48.5"/>
        <n v="48.52"/>
        <n v="48.53"/>
        <n v="48.54"/>
        <n v="48.58"/>
        <n v="48.61"/>
        <n v="48.67"/>
        <n v="48.69"/>
        <n v="48.77"/>
        <n v="48.78"/>
        <n v="48.79"/>
        <n v="48.81"/>
        <n v="48.85"/>
        <n v="48.86"/>
        <n v="48.87"/>
        <n v="48.88"/>
        <n v="48.92"/>
        <n v="48.94"/>
        <n v="49"/>
        <n v="49.02"/>
        <n v="49.03"/>
        <n v="49.07"/>
        <n v="49.09"/>
        <n v="49.22"/>
        <n v="49.28"/>
        <n v="49.3"/>
        <n v="49.36"/>
        <n v="49.38"/>
        <n v="49.43"/>
        <n v="49.53"/>
        <n v="49.54"/>
        <n v="49.55"/>
        <n v="49.62"/>
        <n v="49.71"/>
        <n v="49.75"/>
        <n v="49.76"/>
        <n v="49.77"/>
        <n v="49.84"/>
        <n v="49.86"/>
        <n v="49.9"/>
        <n v="49.92"/>
        <n v="49.96"/>
        <n v="50.01"/>
        <n v="50.15"/>
        <n v="50.33"/>
        <n v="50.37"/>
        <n v="50.5"/>
        <n v="50.52"/>
        <n v="50.54"/>
        <n v="50.57"/>
        <n v="50.62"/>
        <n v="50.65"/>
        <n v="50.68"/>
        <n v="50.91"/>
        <n v="50.97"/>
        <n v="50.98"/>
        <n v="50.99"/>
        <n v="51.03"/>
        <n v="51.14"/>
        <n v="51.32"/>
        <n v="51.34"/>
        <n v="51.35"/>
        <n v="51.53"/>
        <n v="51.71"/>
        <n v="51.74"/>
        <n v="51.86"/>
        <n v="51.9"/>
        <n v="52.16"/>
        <n v="52.17"/>
        <n v="52.39"/>
        <n v="52.4"/>
        <n v="52.58"/>
        <n v="52.59"/>
        <n v="52.68"/>
        <n v="52.69"/>
        <n v="52.75"/>
        <n v="52.8"/>
        <n v="53.29"/>
        <n v="53.37"/>
        <n v="53.39"/>
        <n v="53.44"/>
        <n v="53.57"/>
        <n v="53.69"/>
        <n v="53.76"/>
        <n v="53.83"/>
        <n v="53.86"/>
        <n v="53.89"/>
        <n v="53.9"/>
        <n v="53.91"/>
        <n v="53.93"/>
        <n v="53.96"/>
        <n v="53.99"/>
        <n v="54.12"/>
        <n v="54.36"/>
        <n v="54.6"/>
        <n v="54.75"/>
        <n v="54.93"/>
        <n v="54.99"/>
        <n v="55.01"/>
        <n v="55.16"/>
        <n v="55.2"/>
        <n v="55.48"/>
        <n v="55.94"/>
        <n v="56.33"/>
        <n v="56.42"/>
        <n v="56.46"/>
        <n v="56.57"/>
        <n v="56.69"/>
        <n v="56.71"/>
        <n v="56.74"/>
        <n v="56.76"/>
        <n v="56.94"/>
        <n v="56.97"/>
        <n v="57.02"/>
        <n v="57.04"/>
        <n v="57.37"/>
        <n v="57.43"/>
        <n v="57.63"/>
        <n v="57.64"/>
        <n v="57.65"/>
        <n v="57.86"/>
        <n v="57.93"/>
        <n v="58.24"/>
        <n v="58.29"/>
        <n v="58.4"/>
        <n v="58.48"/>
        <n v="58.6"/>
        <n v="58.73"/>
        <n v="58.75"/>
        <n v="58.76"/>
        <n v="58.81"/>
        <n v="58.82"/>
        <n v="58.87"/>
        <n v="59.22"/>
        <n v="59.45"/>
        <n v="59.78"/>
        <n v="59.85"/>
        <n v="59.95"/>
        <n v="60.04"/>
        <n v="60.09"/>
        <n v="60.13"/>
        <n v="60.2"/>
        <n v="60.22"/>
        <n v="60.24"/>
        <n v="60.25"/>
        <n v="60.29"/>
        <n v="60.33"/>
        <n v="60.4"/>
        <n v="60.44"/>
        <n v="60.61"/>
        <n v="61.07"/>
        <n v="61.12"/>
        <n v="61.15"/>
        <n v="61.37"/>
        <n v="61.43"/>
        <n v="61.49"/>
        <n v="61.65"/>
        <n v="61.68"/>
        <n v="61.88"/>
        <n v="61.89"/>
        <n v="62.13"/>
        <n v="62.14"/>
        <n v="62.28"/>
        <n v="62.72"/>
        <n v="62.84"/>
        <n v="62.93"/>
        <n v="62.95"/>
        <n v="62.96"/>
        <n v="63.25"/>
        <n v="63.39"/>
        <n v="63.42"/>
        <n v="63.48"/>
        <n v="63.51"/>
        <n v="63.52"/>
        <n v="63.55"/>
        <n v="63.57"/>
        <n v="63.78"/>
        <n v="63.79"/>
        <n v="63.87"/>
        <n v="64"/>
        <n v="64.78"/>
        <n v="65.03"/>
        <n v="65.09"/>
        <n v="65.21"/>
        <n v="65.32"/>
        <n v="65.35"/>
        <n v="65.48"/>
        <n v="65.99"/>
        <n v="66.06"/>
        <n v="66.15"/>
        <n v="66.26"/>
        <n v="66.41"/>
        <n v="66.44"/>
        <n v="67.33"/>
        <n v="67.52"/>
        <n v="67.76"/>
        <n v="67.83"/>
        <n v="68.07"/>
        <n v="68.18"/>
        <n v="68.19"/>
        <n v="68.33"/>
        <n v="68.36"/>
        <n v="68.55"/>
        <n v="68.63"/>
        <n v="68.9"/>
        <n v="69.1"/>
        <n v="69.62"/>
        <n v="69.73"/>
        <n v="70.12"/>
        <n v="70.31"/>
        <n v="70.42"/>
        <n v="70.52"/>
        <n v="70.53"/>
        <n v="70.57"/>
        <n v="70.67"/>
        <n v="70.69"/>
        <n v="71.2"/>
        <n v="71.28"/>
        <n v="71.41"/>
        <n v="71.45"/>
        <n v="71.94"/>
        <n v="71.99"/>
        <n v="72.03"/>
        <n v="72.07"/>
        <n v="72.17"/>
        <n v="72.22"/>
        <n v="72.58"/>
        <n v="72.64"/>
        <n v="72.87"/>
        <n v="72.97"/>
        <n v="72.98"/>
        <n v="73.09"/>
        <n v="73.53"/>
        <n v="73.56"/>
        <n v="73.64"/>
        <n v="73.7"/>
        <n v="74.3"/>
        <n v="74.73"/>
        <n v="74.84"/>
        <n v="75.04"/>
        <n v="75.07"/>
        <n v="75.23"/>
        <n v="75.51"/>
        <n v="75.59"/>
        <n v="75.61"/>
        <n v="75.73"/>
        <n v="75.99"/>
        <n v="76"/>
        <n v="76.05"/>
        <n v="76.06"/>
        <n v="76.2"/>
        <n v="76.3"/>
        <n v="76.5"/>
        <n v="76.55"/>
        <n v="77.19"/>
        <n v="77.33"/>
        <n v="77.61"/>
        <n v="77.78"/>
        <n v="78.4"/>
        <n v="78.41"/>
        <n v="78.45"/>
        <n v="78.6"/>
        <n v="78.86"/>
        <n v="78.89"/>
        <n v="79"/>
        <n v="79.02"/>
        <n v="79.07"/>
        <n v="79.15"/>
        <n v="79.2"/>
        <n v="79.36"/>
        <n v="79.4"/>
        <n v="79.44"/>
        <n v="79.49"/>
        <n v="79.75"/>
        <n v="79.76"/>
        <n v="80.15"/>
        <n v="80.26"/>
        <n v="80.3"/>
        <n v="80.32"/>
        <n v="80.35"/>
        <n v="80.93"/>
        <n v="80.96"/>
        <n v="81.2"/>
        <n v="81.41"/>
        <n v="81.59"/>
        <n v="81.68"/>
        <n v="82.22"/>
        <n v="82.36"/>
        <n v="82.48"/>
        <n v="82.54"/>
        <n v="83.12"/>
        <n v="83.7"/>
        <n v="83.86"/>
        <n v="84.11"/>
        <n v="84.21"/>
        <n v="84.25"/>
        <n v="84.64"/>
        <n v="84.86"/>
        <n v="85.23"/>
        <n v="85.32"/>
        <n v="85.37"/>
        <n v="85.39"/>
        <n v="85.61"/>
        <n v="86.21"/>
        <n v="86.24"/>
        <n v="86.47"/>
        <n v="86.8"/>
        <n v="87.33"/>
        <n v="87.47"/>
        <n v="87.9"/>
        <n v="88.29"/>
        <n v="88.4"/>
        <n v="88.42"/>
        <n v="88.7"/>
        <n v="88.86"/>
        <n v="89.64"/>
        <n v="89.9"/>
        <n v="89.98"/>
        <n v="89.99"/>
        <n v="90.23"/>
        <n v="90.25"/>
        <n v="90.78"/>
        <n v="90.89"/>
        <n v="91.16"/>
        <n v="91.41"/>
        <n v="91.44"/>
        <n v="91.46"/>
        <n v="91.5"/>
        <n v="91.64"/>
        <n v="91.77"/>
        <n v="92.19"/>
        <n v="92.6"/>
        <n v="93.01"/>
        <n v="93.07"/>
        <n v="93.15"/>
        <n v="93.28"/>
        <n v="93.29"/>
        <n v="93.31"/>
        <n v="93.39"/>
        <n v="93.58"/>
        <n v="93.63"/>
        <n v="93.64"/>
        <n v="93.7"/>
        <n v="94.08"/>
        <n v="94.21"/>
        <n v="94.28"/>
        <n v="94.69"/>
        <n v="94.8"/>
        <n v="94.91"/>
        <n v="95.06"/>
        <n v="95.19"/>
        <n v="95.65"/>
        <n v="95.79"/>
        <n v="96.08"/>
        <n v="96.65"/>
        <n v="96.86"/>
        <n v="97.34"/>
        <n v="97.86"/>
        <n v="97.96"/>
        <n v="98.14"/>
        <n v="98.25"/>
        <n v="98.29"/>
        <n v="98.53"/>
        <n v="98.54"/>
        <n v="98.91"/>
        <n v="99.02"/>
        <n v="99.33"/>
        <n v="99.46"/>
        <n v="99.64"/>
        <n v="100.21"/>
        <n v="100.45"/>
        <n v="100.46"/>
        <n v="100.96"/>
        <n v="101.01"/>
        <n v="101.13"/>
        <n v="101.15"/>
        <n v="101.29"/>
        <n v="101.37"/>
        <n v="101.57"/>
        <n v="102.28"/>
        <n v="102.33"/>
        <n v="102.4"/>
        <n v="102.48"/>
        <n v="102.74"/>
        <n v="102.8"/>
        <n v="102.91"/>
        <n v="102.94"/>
        <n v="102.96"/>
        <n v="103.03"/>
        <n v="103.17"/>
        <n v="103.31"/>
        <n v="103.67"/>
        <n v="103.73"/>
        <n v="103.9"/>
        <n v="103.95"/>
        <n v="103.99"/>
        <n v="104.24"/>
        <n v="104.55"/>
        <n v="104.76"/>
        <n v="104.92"/>
        <n v="104.95"/>
        <n v="105.07"/>
        <n v="105.4"/>
        <n v="105.53"/>
        <n v="105.75"/>
        <n v="106.09"/>
        <n v="106.28"/>
        <n v="106.42"/>
        <n v="106.49"/>
        <n v="106.5"/>
        <n v="106.79"/>
        <n v="107.22"/>
        <n v="107.76"/>
        <n v="107.92"/>
        <n v="108.12"/>
        <n v="108.43"/>
        <n v="108.87"/>
        <n v="109.01"/>
        <n v="109.1"/>
        <n v="109.22"/>
        <n v="109.5"/>
        <n v="109.68"/>
        <n v="109.89"/>
        <n v="110.17"/>
        <n v="110.83"/>
        <n v="111.03"/>
        <n v="111.17"/>
        <n v="111.43"/>
        <n v="111.59"/>
        <n v="111.6"/>
        <n v="111.62"/>
        <n v="111.84"/>
        <n v="112.12"/>
        <n v="112.55"/>
        <n v="112.63"/>
        <n v="113.36"/>
        <n v="113.5"/>
        <n v="113.55"/>
        <n v="113.57"/>
        <n v="113.62"/>
        <n v="114"/>
        <n v="114.44"/>
        <n v="114.53"/>
        <n v="114.75"/>
        <n v="114.81"/>
        <n v="114.94"/>
        <n v="115.1"/>
        <n v="115.61"/>
        <n v="117.1"/>
        <n v="117.42"/>
        <n v="117.53"/>
        <n v="117.94"/>
        <n v="117.97"/>
        <n v="118.25"/>
        <n v="118.35"/>
        <n v="118.54"/>
        <n v="119.24"/>
        <n v="119.37"/>
        <n v="120.85"/>
        <n v="120.93"/>
        <n v="121.59"/>
        <n v="121.81"/>
        <n v="122.1"/>
        <n v="122.44"/>
        <n v="122.67"/>
        <n v="122.85"/>
        <n v="123.3"/>
        <n v="123.53"/>
        <n v="123.55"/>
        <n v="123.57"/>
        <n v="123.6"/>
        <n v="123.71"/>
        <n v="124.11"/>
        <n v="124.26"/>
        <n v="124.3"/>
        <n v="124.66"/>
        <n v="125.08"/>
        <n v="125.39"/>
        <n v="125.95"/>
        <n v="125.97"/>
        <n v="126.2"/>
        <n v="126.3"/>
        <n v="126.45"/>
        <n v="127.42"/>
        <n v="127.87"/>
        <n v="128.06"/>
        <n v="128.72"/>
        <n v="130.15"/>
        <n v="130.33"/>
        <n v="130.73"/>
        <n v="130.89"/>
        <n v="131.02"/>
        <n v="131.18"/>
        <n v="131.27"/>
        <n v="131.53"/>
        <n v="131.67"/>
        <n v="131.68"/>
        <n v="131.94"/>
        <n v="131.99"/>
        <n v="132.17"/>
        <n v="132.2"/>
        <n v="132.58"/>
        <n v="133.11"/>
        <n v="133.19"/>
        <n v="133.29"/>
        <n v="133.51"/>
        <n v="133.75"/>
        <n v="133.92"/>
        <n v="134.14"/>
        <n v="134.49"/>
        <n v="135.21"/>
        <n v="135.3"/>
        <n v="135.37"/>
        <n v="135.47"/>
        <n v="135.68"/>
        <n v="135.75"/>
        <n v="135.94"/>
        <n v="136.57"/>
        <n v="136.75"/>
        <n v="136.91"/>
        <n v="137.16"/>
        <n v="137.19"/>
        <n v="137.25"/>
        <n v="137.36"/>
        <n v="137.91"/>
        <n v="138.68"/>
        <n v="139.85"/>
        <n v="139.96"/>
        <n v="141.66"/>
        <n v="142.2"/>
        <n v="143.2"/>
        <n v="143.58"/>
        <n v="143.87"/>
        <n v="144.02"/>
        <n v="144.07"/>
        <n v="144.08"/>
        <n v="144.14"/>
        <n v="144.34"/>
        <n v="145.02"/>
        <n v="145.24"/>
        <n v="145.41"/>
        <n v="146.02"/>
        <n v="146.11"/>
        <n v="146.18"/>
        <n v="146.23"/>
        <n v="147.98"/>
        <n v="148.85"/>
        <n v="149.04"/>
        <n v="149.53"/>
        <n v="149.68"/>
        <n v="149.69"/>
        <n v="150.29"/>
        <n v="150.31"/>
        <n v="150.79"/>
        <n v="150.81"/>
        <n v="152.47"/>
        <n v="152.49"/>
        <n v="152.53"/>
        <n v="152.69"/>
        <n v="153.33"/>
        <n v="154.83"/>
        <n v="156.01"/>
        <n v="156.53"/>
        <n v="157.36"/>
        <n v="157.4"/>
        <n v="157.49"/>
        <n v="158.34"/>
        <n v="158.7"/>
        <n v="158.75"/>
        <n v="159.21"/>
        <n v="159.73"/>
        <n v="161.54"/>
        <n v="161.66"/>
        <n v="161.82"/>
        <n v="162.12"/>
        <n v="162.34"/>
        <n v="162.6"/>
        <n v="163.42"/>
        <n v="164.37"/>
        <n v="165.15"/>
        <n v="165.37"/>
        <n v="166.05"/>
        <n v="166.35"/>
        <n v="168.66"/>
        <n v="169.2"/>
        <n v="169.23"/>
        <n v="169.8"/>
        <n v="172.64"/>
        <n v="172.73"/>
        <n v="173.01"/>
        <n v="173.32"/>
        <n v="173.61"/>
        <n v="173.68"/>
        <n v="173.89"/>
        <n v="174.12"/>
        <n v="174.16"/>
        <n v="174.98"/>
        <n v="176.24"/>
        <n v="176.46"/>
        <n v="176.76"/>
        <n v="178.02"/>
        <n v="178.2"/>
        <n v="178.41"/>
        <n v="178.61"/>
        <n v="178.64"/>
        <n v="182.55"/>
        <n v="182.62"/>
        <n v="182.77"/>
        <n v="183.46"/>
        <n v="183.65"/>
        <n v="184.01"/>
        <n v="184.87"/>
        <n v="184.97"/>
        <n v="186.25"/>
        <n v="186.41"/>
        <n v="186.49"/>
        <n v="186.59"/>
        <n v="186.75"/>
        <n v="187.33"/>
        <n v="190.03"/>
        <n v="190.05"/>
        <n v="190.88"/>
        <n v="192.62"/>
        <n v="193.55"/>
        <n v="193.56"/>
        <n v="193.93"/>
        <n v="197.24"/>
        <n v="197.67"/>
        <n v="198.93"/>
        <n v="199.23"/>
        <n v="200.08"/>
        <n v="200.71"/>
        <n v="202.23"/>
        <n v="202.76"/>
        <n v="204.34"/>
        <n v="204.96"/>
        <n v="205.33"/>
        <n v="205.73"/>
        <n v="206.61"/>
        <n v="207.74"/>
        <n v="207.89"/>
        <n v="208.19"/>
        <n v="208.36"/>
        <n v="208.43"/>
        <n v="208.64"/>
        <n v="208.88"/>
        <n v="209.19"/>
        <n v="210.93"/>
        <n v="211.04"/>
        <n v="211.33"/>
        <n v="211.34"/>
        <n v="211.95"/>
        <n v="213.43"/>
        <n v="213.78"/>
        <n v="215.78"/>
        <n v="216.12"/>
        <n v="216.34"/>
        <n v="217.08"/>
        <n v="217.2"/>
        <n v="218.18"/>
        <n v="219.59"/>
        <n v="219.94"/>
        <n v="220.66"/>
        <n v="221.56"/>
        <n v="224.9"/>
        <n v="225.1"/>
        <n v="227.2"/>
        <n v="227.74"/>
        <n v="227.81"/>
        <n v="228.18"/>
        <n v="230.06"/>
        <n v="230.28"/>
        <n v="230.72"/>
        <n v="231.78"/>
        <n v="234.47"/>
        <n v="236.95"/>
        <n v="238.24"/>
        <n v="238.59"/>
        <n v="238.72"/>
        <n v="239.35"/>
        <n v="239.76"/>
        <n v="240.25"/>
        <n v="240.69"/>
        <n v="240.89"/>
        <n v="241.83"/>
        <n v="246.12"/>
        <n v="247.17"/>
        <n v="247.4"/>
        <n v="248.04"/>
        <n v="248.42"/>
        <n v="248.62"/>
        <n v="250.74"/>
        <n v="257.55"/>
        <n v="257.74"/>
        <n v="263.63"/>
        <n v="263.82"/>
        <n v="265.83"/>
        <n v="266.27"/>
        <n v="268.53"/>
        <n v="269.96"/>
        <n v="270.19"/>
        <n v="277.99"/>
        <n v="279.31"/>
        <n v="281.84"/>
        <n v="283.45"/>
        <n v="287.24"/>
        <n v="291.43"/>
        <n v="292.57"/>
        <n v="292.79"/>
        <n v="293.47"/>
        <n v="293.89"/>
        <n v="293.92"/>
        <n v="296.99"/>
        <n v="297.57"/>
        <n v="307.77"/>
        <n v="309.25"/>
        <n v="320.5"/>
        <n v="324.1"/>
        <n v="332.49"/>
        <n v="334.49"/>
        <n v="338.7"/>
        <n v="345.1"/>
        <n v="348.11"/>
        <n v="349.87"/>
        <n v="350.83"/>
        <n v="357.2"/>
        <n v="359.87"/>
        <n v="360.83"/>
        <n v="366.89"/>
        <n v="375.8"/>
        <n v="379.18"/>
        <n v="391.22"/>
        <n v="397.16"/>
        <n v="399.22"/>
        <n v="413.9"/>
        <n v="419.47"/>
        <n v="530.78"/>
        <n v="539.54"/>
        <n v="593.72"/>
        <n v="837.32"/>
        <n v="907.56"/>
      </sharedItems>
    </cacheField>
    <cacheField name="METODOLOGIA" numFmtId="0">
      <sharedItems count="2">
        <s v="MND"/>
        <s v="VCA"/>
      </sharedItems>
    </cacheField>
    <cacheField name="ACABAMENTO" numFmtId="0">
      <sharedItems count="1">
        <s v="VIA"/>
      </sharedItems>
    </cacheField>
    <cacheField name="FINALIDADE" numFmtId="0">
      <sharedItems count="1">
        <s v="REDE"/>
      </sharedItems>
    </cacheField>
    <cacheField name="CATEGORIA" numFmtId="0">
      <sharedItems count="1">
        <s v="LINEAR"/>
      </sharedItems>
    </cacheField>
    <cacheField name="PONTO" numFmtId="0">
      <sharedItems count="1436">
        <s v="Zona01_PB01_Rede_TR001"/>
        <s v="Zona01_PB01_Rede_TR002"/>
        <s v="Zona01_PB01_Rede_TR003"/>
        <s v="Zona01_PB01_Rede_TR004"/>
        <s v="Zona01_PB01_Rede_TR005"/>
        <s v="Zona01_PB01_Rede_TR006"/>
        <s v="Zona01_PB01_Rede_TR007"/>
        <s v="Zona01_PB01_Rede_TR008"/>
        <s v="Zona01_PB01_Rede_TR009"/>
        <s v="Zona01_PB01_Rede_TR010"/>
        <s v="Zona01_PB01_Rede_TR011"/>
        <s v="Zona01_PB01_Rede_TR012"/>
        <s v="Zona01_PB01_Rede_TR013"/>
        <s v="Zona01_PB01_Rede_TR014"/>
        <s v="Zona01_PB01_Rede_TR015"/>
        <s v="Zona01_PB01_Rede_TR016"/>
        <s v="Zona01_PB01_Rede_TR017"/>
        <s v="Zona01_PB01_Rede_TR018"/>
        <s v="Zona01_PB01_Rede_TR019"/>
        <s v="Zona01_PB01_Rede_TR020"/>
        <s v="Zona01_PB01_Rede_TR021"/>
        <s v="Zona01_PB01_Rede_TR022"/>
        <s v="Zona01_PB01_Rede_TR023"/>
        <s v="Zona01_PB01_Rede_TR024"/>
        <s v="Zona01_PB01_Rede_TR025"/>
        <s v="Zona01_PB01_Rede_TR026"/>
        <s v="Zona01_PB01_Rede_TR027"/>
        <s v="Zona01_PB01_Rede_TR028"/>
        <s v="Zona01_PB01_Rede_TR029"/>
        <s v="Zona01_PB01_Rede_TR030"/>
        <s v="Zona01_PB01_Rede_TR031"/>
        <s v="Zona01_PB01_Rede_TR032"/>
        <s v="Zona01_PB01_Rede_TR033"/>
        <s v="Zona01_PB01_Rede_TR034"/>
        <s v="Zona01_PB01_Rede_TR035"/>
        <s v="Zona01_PB01_Rede_TR036"/>
        <s v="Zona01_PB01_Rede_TR037"/>
        <s v="Zona01_PB01_Rede_TR038"/>
        <s v="Zona01_PB01_Rede_TR039"/>
        <s v="Zona01_PB01_Rede_TR040"/>
        <s v="Zona01_PB01_Rede_TR041"/>
        <s v="Zona01_PB01_Rede_TR042"/>
        <s v="Zona01_PB01_Rede_TR043"/>
        <s v="Zona01_PB01_Rede_TR044"/>
        <s v="Zona01_PB01_Rede_TR045"/>
        <s v="Zona01_PB01_Rede_TR046"/>
        <s v="Zona01_PB01_Rede_TR047"/>
        <s v="Zona01_PB01_Rede_TR048"/>
        <s v="Zona01_PB01_Rede_TR049"/>
        <s v="Zona01_PB01_Rede_TR050"/>
        <s v="Zona01_PB01_Rede_TR051"/>
        <s v="Zona01_PB01_Rede_TR052"/>
        <s v="Zona01_PB02_Rede_TR001"/>
        <s v="Zona01_PB02_Rede_TR002"/>
        <s v="Zona01_PB02_Rede_TR003"/>
        <s v="Zona01_PB02_Rede_TR004"/>
        <s v="Zona01_PB02_Rede_TR005"/>
        <s v="Zona01_PB02_Rede_TR006"/>
        <s v="Zona01_PB02_Rede_TR007"/>
        <s v="Zona01_PB02_Rede_TR008"/>
        <s v="Zona01_PB02_Rede_TR009"/>
        <s v="Zona01_PB02_Rede_TR010"/>
        <s v="Zona01_PB02_Rede_TR011"/>
        <s v="Zona01_PB02_Rede_TR012"/>
        <s v="Zona01_PB02_Rede_TR013"/>
        <s v="Zona01_PB02_Rede_TR014"/>
        <s v="Zona01_PB02_Rede_TR015"/>
        <s v="Zona01_PB02_Rede_TR016"/>
        <s v="Zona01_PB02_Rede_TR017"/>
        <s v="Zona01_PB02_Rede_TR018"/>
        <s v="Zona01_PB02_Rede_TR019"/>
        <s v="Zona01_PB02_Rede_TR020"/>
        <s v="Zona01_PB02_Rede_TR021"/>
        <s v="Zona01_PB02_Rede_TR022"/>
        <s v="Zona01_PB02_Rede_TR023"/>
        <s v="Zona01_PB02_Rede_TR024"/>
        <s v="Zona01_PB02_Rede_TR025"/>
        <s v="Zona01_PB02_Rede_TR026"/>
        <s v="Zona01_PB02_Rede_TR027"/>
        <s v="Zona01_PB02_Rede_TR028"/>
        <s v="Zona01_PB02_Rede_TR029"/>
        <s v="Zona01_PB02_Rede_TR030"/>
        <s v="Zona01_PB02_Rede_TR031"/>
        <s v="Zona01_PB02_Rede_TR032"/>
        <s v="Zona01_PB02_Rede_TR033"/>
        <s v="Zona01_PB02_Rede_TR034"/>
        <s v="Zona01_PB02_Rede_TR035"/>
        <s v="Zona01_PB02_Rede_TR036"/>
        <s v="Zona01_PB02_Rede_TR037"/>
        <s v="Zona01_PB02_Rede_TR038"/>
        <s v="Zona01_PB02_Rede_TR039"/>
        <s v="Zona01_PB02_Rede_TR040"/>
        <s v="Zona01_PB02_Rede_TR041"/>
        <s v="Zona01_PB02_Rede_TR042"/>
        <s v="Zona01_PB02_Rede_TR043"/>
        <s v="Zona01_PB02_Rede_TR044"/>
        <s v="Zona01_PB02_Rede_TR045"/>
        <s v="Zona01_PB02_Rede_TR046"/>
        <s v="Zona01_PB02_Rede_TR047"/>
        <s v="Zona01_PB02_Rede_TR048"/>
        <s v="Zona01_PB02_Rede_TR049"/>
        <s v="Zona01_PB02_Rede_TR050"/>
        <s v="Zona01_PB02_Rede_TR051"/>
        <s v="Zona01_PB02_Rede_TR052"/>
        <s v="Zona01_PB02_Rede_TR053"/>
        <s v="Zona01_PB02_Rede_TR054"/>
        <s v="Zona01_PB02_Rede_TR055"/>
        <s v="Zona01_PB02_Rede_TR056"/>
        <s v="Zona01_PB02_Rede_TR057"/>
        <s v="Zona01_PB02_Rede_TR058"/>
        <s v="Zona01_PB04_Rede_TR001"/>
        <s v="Zona01_PB04_Rede_TR002"/>
        <s v="Zona01_PB04_Rede_TR003"/>
        <s v="Zona01_PB05_Rede_TR001"/>
        <s v="Zona01_PB05_Rede_TR002"/>
        <s v="Zona01_PB05_Rede_TR003"/>
        <s v="Zona01_PB05_Rede_TR004"/>
        <s v="Zona01_PB05_Rede_TR005"/>
        <s v="Zona01_PB05_Rede_TR006"/>
        <s v="Zona01_PB05_Rede_TR007"/>
        <s v="Zona01_PB05_Rede_TR008"/>
        <s v="Zona01_PB05_Rede_TR009"/>
        <s v="Zona01_PB05_Rede_TR010"/>
        <s v="Zona01_PB05_Rede_TR011"/>
        <s v="Zona01_PB05_Rede_TR012"/>
        <s v="Zona01_PB05_Rede_TR013"/>
        <s v="Zona01_PB05_Rede_TR014"/>
        <s v="Zona01_PB05_Rede_TR015"/>
        <s v="Zona02_PB04_Rede_TR001"/>
        <s v="Zona02_PB04_Rede_TR002"/>
        <s v="Zona02_PB04_Rede_TR003"/>
        <s v="Zona02_PB04_Rede_TR004"/>
        <s v="Zona02_PB04_Rede_TR005"/>
        <s v="Zona02_PB04_Rede_TR006"/>
        <s v="Zona02_PB04_Rede_TR007"/>
        <s v="Zona02_PB04_Rede_TR008"/>
        <s v="Zona02_PB04_Rede_TR009"/>
        <s v="Zona02_PB04_Rede_TR010"/>
        <s v="Zona02_PB04_Rede_TR011"/>
        <s v="Zona02_PB04_Rede_TR012"/>
        <s v="Zona02_PB04_Rede_TR013"/>
        <s v="Zona02_PB04_Rede_TR014"/>
        <s v="Zona02_PB04_Rede_TR015"/>
        <s v="Zona02_PB04_Rede_TR016"/>
        <s v="Zona02_PB04_Rede_TR017"/>
        <s v="Zona02_PB04_Rede_TR018"/>
        <s v="Zona02_PB04_Rede_TR019"/>
        <s v="Zona02_PB04_Rede_TR020"/>
        <s v="Zona02_PB04_Rede_TR021"/>
        <s v="Zona02_PB04_Rede_TR022"/>
        <s v="Zona02_PB04_Rede_TR023"/>
        <s v="Zona02_PB04_Rede_TR024"/>
        <s v="Zona02_PB04_Rede_TR025"/>
        <s v="Zona02_PB04_Rede_TR026"/>
        <s v="Zona02_PB04_Rede_TR027"/>
        <s v="Zona02_PB04_Rede_TR028"/>
        <s v="Zona02_PB04_Rede_TR029"/>
        <s v="Zona02_PB04_Rede_TR030"/>
        <s v="Zona02_PB04_Rede_TR031"/>
        <s v="Zona02_PB04_Rede_TR032"/>
        <s v="Zona02_PB04_Rede_TR033"/>
        <s v="Zona02_PB04_Rede_TR034"/>
        <s v="Zona02_PB04_Rede_TR035"/>
        <s v="Zona02_PB04_Rede_TR036"/>
        <s v="Zona02_PB04_Rede_TR037"/>
        <s v="Zona02_PB04_Rede_TR038"/>
        <s v="Zona02_PB04_Rede_TR039"/>
        <s v="Zona02_PB04_Rede_TR040"/>
        <s v="Zona02_PB04_Rede_TR041"/>
        <s v="Zona02_PB04_Rede_TR042"/>
        <s v="Zona02_PB04_Rede_TR043"/>
        <s v="Zona02_PB04_Rede_TR044"/>
        <s v="Zona02_PB05_Rede_TR001"/>
        <s v="Zona02_PB05_Rede_TR002"/>
        <s v="Zona02_PB05_Rede_TR003"/>
        <s v="Zona02_PB05_Rede_TR004"/>
        <s v="Zona02_PB05_Rede_TR005"/>
        <s v="Zona02_PB07_Adutora_TR001"/>
        <s v="Zona02_PB07_Adutora_TR002"/>
        <s v="Zona02_PB07_Adutora_TR003"/>
        <s v="Zona02_PB07_Adutora_TR004"/>
        <s v="Zona02_PB07_Rede_TR001"/>
        <s v="Zona02_PB07_Rede_TR002"/>
        <s v="Zona02_PB07_Rede_TR003"/>
        <s v="Zona02_PB07_Rede_TR004"/>
        <s v="Zona02_PB07_Rede_TR005"/>
        <s v="Zona02_PB07_Rede_TR006"/>
        <s v="Zona02_PB07_Rede_TR007"/>
        <s v="Zona02_PB07_Rede_TR008"/>
        <s v="Zona02_PB07_Rede_TR009"/>
        <s v="Zona02_PB07_Rede_TR010"/>
        <s v="Zona02_PB07_Rede_TR011"/>
        <s v="Zona02_PB07_Rede_TR012"/>
        <s v="Zona02_PB07_Rede_TR013"/>
        <s v="Zona02_PB07_Rede_TR014"/>
        <s v="Zona02_PB07_Rede_TR015"/>
        <s v="Zona02_PB07_Rede_TR016"/>
        <s v="Zona02_PB07_Rede_TR017"/>
        <s v="Zona02_PB07_Rede_TR018"/>
        <s v="Zona02_PB07_Rede_TR019"/>
        <s v="Zona02_PB07_Rede_TR020"/>
        <s v="Zona02_PB07_Rede_TR021"/>
        <s v="Zona02_PB07_Rede_TR022"/>
        <s v="Zona02_PB07_Rede_TR023"/>
        <s v="Zona02_PB07_Rede_TR024"/>
        <s v="Zona02_PB07_Rede_TR025"/>
        <s v="Zona02_PB07_Rede_TR026"/>
        <s v="Zona02_PB07_Rede_TR027"/>
        <s v="Zona02_PB07_Rede_TR028"/>
        <s v="Zona02_PB07_Rede_TR029"/>
        <s v="Zona02_PB07_Rede_TR030"/>
        <s v="Zona02_PB07_Rede_TR031"/>
        <s v="Zona02_PB07_Rede_TR032"/>
        <s v="Zona02_PB07_Rede_TR033"/>
        <s v="Zona02_PB07_Rede_TR034"/>
        <s v="Zona02_PB07_Rede_TR035"/>
        <s v="Zona02_PB07_Rede_TR036"/>
        <s v="Zona02_PB07_Rede_TR037"/>
        <s v="Zona02_PB07_Rede_TR038"/>
        <s v="Zona02_PB07_Rede_TR039"/>
        <s v="Zona02_PB07_Rede_TR040"/>
        <s v="Zona02_PB07_Rede_TR041"/>
        <s v="Zona02_PB07_Rede_TR042"/>
        <s v="Zona02_PB07_Rede_TR043"/>
        <s v="Zona02_PB07_Rede_TR044"/>
        <s v="Zona02_PB07_Rede_TR045"/>
        <s v="Zona02_PB07_Rede_TR046"/>
        <s v="Zona02_PB07_Rede_TR047"/>
        <s v="Zona02_PB07_Rede_TR048"/>
        <s v="Zona02_PB07_Rede_TR049"/>
        <s v="Zona02_PB07_Rede_TR050"/>
        <s v="Zona02_PB07_Rede_TR051"/>
        <s v="Zona02_PB07_Rede_TR052"/>
        <s v="Zona02_PB07_Rede_TR053"/>
        <s v="Zona02_PB07_Rede_TR054"/>
        <s v="Zona02_PB07_Rede_TR055"/>
        <s v="Zona02_PB07_Rede_TR056"/>
        <s v="Zona02_PB07_Rede_TR057"/>
        <s v="Zona02_PB07_Rede_TR058"/>
        <s v="Zona02_PB07_Rede_TR059"/>
        <s v="Zona02_PB07_Rede_TR060"/>
        <s v="Zona02_PB07_Rede_TR061"/>
        <s v="Zona02_PB07_Rede_TR062"/>
        <s v="Zona02_PB07_Rede_TR063"/>
        <s v="Zona02_PB07_Rede_TR064"/>
        <s v="Zona02_PB07_Rede_TR065"/>
        <s v="Zona02_PB07_Rede_TR066"/>
        <s v="Zona02_PB10_Adutora_TR001"/>
        <s v="Zona02_PB10_Rede_TR001"/>
        <s v="Zona02_PB10_Rede_TR002"/>
        <s v="Zona02_PB10_Rede_TR003"/>
        <s v="Zona02_PB10_Rede_TR004"/>
        <s v="Zona02_PB10_Rede_TR005"/>
        <s v="Zona02_PB10_Rede_TR006"/>
        <s v="Zona02_PB10_Rede_TR007"/>
        <s v="Zona02_PB10_Rede_TR008"/>
        <s v="Zona02_PB10_Rede_TR009"/>
        <s v="Zona02_PB10_Rede_TR010"/>
        <s v="Zona03_PB05_Rede_TR001"/>
        <s v="Zona03_PB05_Rede_TR002"/>
        <s v="Zona03_PB05_Rede_TR003"/>
        <s v="Zona03_PB05_Rede_TR004"/>
        <s v="Zona03_PB05_Rede_TR005"/>
        <s v="Zona03_PB05_Rede_TR006"/>
        <s v="Zona03_PB05_Rede_TR007"/>
        <s v="Zona03_PB05_Rede_TR008"/>
        <s v="Zona03_PB05_Rede_TR009"/>
        <s v="Zona03_PB05_Rede_TR010"/>
        <s v="Zona03_PB05_Rede_TR011"/>
        <s v="Zona03_PB05_Rede_TR012"/>
        <s v="Zona03_PB05_Rede_TR013"/>
        <s v="Zona03_PB05_Rede_TR014"/>
        <s v="Zona03_PB05_Rede_TR015"/>
        <s v="Zona03_PB05_Rede_TR016"/>
        <s v="Zona03_PB05_Rede_TR017"/>
        <s v="Zona03_PB05_Rede_TR018"/>
        <s v="Zona03_PB05_Rede_TR019"/>
        <s v="Zona03_PB05_Rede_TR020"/>
        <s v="Zona03_PB05_Rede_TR021"/>
        <s v="Zona03_PB05_Rede_TR022"/>
        <s v="Zona03_PB05_Rede_TR023"/>
        <s v="Zona03_PB05_Rede_TR024"/>
        <s v="Zona03_PB05_Rede_TR025"/>
        <s v="Zona03_PB05_Rede_TR026"/>
        <s v="Zona03_PB05_Rede_TR027"/>
        <s v="Zona03_PB05_Rede_TR028"/>
        <s v="Zona03_PB05_Rede_TR029"/>
        <s v="Zona03_PB06_Rede_TR001"/>
        <s v="Zona03_PB06_Rede_TR002"/>
        <s v="Zona03_PB06_Rede_TR003"/>
        <s v="Zona03_PB06_Rede_TR004"/>
        <s v="Zona03_PB06_Rede_TR005"/>
        <s v="Zona03_PB06_Rede_TR006"/>
        <s v="Zona03_PB06_Rede_TR007"/>
        <s v="Zona03_PB06_Rede_TR008"/>
        <s v="Zona03_PB06_Rede_TR009"/>
        <s v="Zona03_PB06_Rede_TR010"/>
        <s v="Zona03_PB06_Rede_TR011"/>
        <s v="Zona03_PB06_Rede_TR012"/>
        <s v="Zona03_PB06_Rede_TR013"/>
        <s v="Zona03_PB06_Rede_TR014"/>
        <s v="Zona03_PB06_Rede_TR015"/>
        <s v="Zona03_PB06_Rede_TR016"/>
        <s v="Zona03_PB06_Rede_TR017"/>
        <s v="Zona03_PB06_Rede_TR018"/>
        <s v="Zona03_PB06_Rede_TR019"/>
        <s v="Zona03_PB06_Rede_TR020"/>
        <s v="Zona03_PB06_Rede_TR021"/>
        <s v="Zona03_PB07_Rede_TR001"/>
        <s v="Zona03_PB07_Rede_TR002"/>
        <s v="Zona03_PB07_Rede_TR003"/>
        <s v="Zona03_PB07_Rede_TR004"/>
        <s v="Zona03_PB07_Rede_TR005"/>
        <s v="Zona03_PB07_Rede_TR006"/>
        <s v="Zona03_PB07_Rede_TR007"/>
        <s v="Zona03_PB07_Rede_TR008"/>
        <s v="Zona03_PB07_Rede_TR009"/>
        <s v="Zona03_PB07_Rede_TR010"/>
        <s v="Zona03_PB07_Rede_TR011"/>
        <s v="Zona03_PB07_Rede_TR012"/>
        <s v="Zona03_PB07_Rede_TR013"/>
        <s v="Zona03_PB07_Rede_TR014"/>
        <s v="Zona03_PB07_Rede_TR015"/>
        <s v="Zona03_PB07_Rede_TR016"/>
        <s v="Zona03_PB07_Rede_TR017"/>
        <s v="Zona03_PB07_Rede_TR018"/>
        <s v="Zona03_PB07_Rede_TR019"/>
        <s v="Zona03_PB07_Rede_TR020"/>
        <s v="Zona03_PB07_Rede_TR021"/>
        <s v="Zona03_PB07_Rede_TR022"/>
        <s v="Zona03_PB07_Rede_TR023"/>
        <s v="Zona03_PB08_Rede_TR001"/>
        <s v="Zona03_PB08_Rede_TR002"/>
        <s v="Zona03_PB08_Rede_TR003"/>
        <s v="Zona03_PB08_Rede_TR004"/>
        <s v="Zona03_PB08_Rede_TR005"/>
        <s v="Zona03_PB08_Rede_TR006"/>
        <s v="Zona03_PB08_Rede_TR007"/>
        <s v="Zona03_PB08_Rede_TR008"/>
        <s v="Zona03_PB08_Rede_TR009"/>
        <s v="Zona03_PB08_Rede_TR010"/>
        <s v="Zona03_PB08_Rede_TR011"/>
        <s v="Zona03_PB08_Rede_TR012"/>
        <s v="Zona03_PB08_Rede_TR013"/>
        <s v="Zona03_PB08_Rede_TR014"/>
        <s v="Zona03_PB08_Rede_TR015"/>
        <s v="Zona03_PB08_Rede_TR016"/>
        <s v="Zona03_PB08_Rede_TR017"/>
        <s v="Zona03_PB08_Rede_TR018"/>
        <s v="Zona03_PB08_Rede_TR019"/>
        <s v="Zona03_PB08_Rede_TR020"/>
        <s v="Zona03_PB08_Rede_TR021"/>
        <s v="Zona03_PB08_Rede_TR022"/>
        <s v="Zona03_PB08_Rede_TR023"/>
        <s v="Zona03_PB08_Rede_TR024"/>
        <s v="Zona03_PB08_Rede_TR025"/>
        <s v="Zona03_PB08_Rede_TR026"/>
        <s v="Zona03_PB08_Rede_TR027"/>
        <s v="Zona03_PB08_Rede_TR028"/>
        <s v="Zona03_PB08_Rede_TR029"/>
        <s v="Zona03_PB08_Rede_TR030"/>
        <s v="Zona03_PB08_Rede_TR031"/>
        <s v="Zona03_PB08_Rede_TR032"/>
        <s v="Zona03_PB08_Rede_TR033"/>
        <s v="Zona03_PB08_Rede_TR034"/>
        <s v="Zona03_PB08_Rede_TR035"/>
        <s v="Zona03_PB08_Rede_TR036"/>
        <s v="Zona03_PB08_Rede_TR037"/>
        <s v="Zona03_PB08_Rede_TR038"/>
        <s v="Zona03_PB08_Rede_TR039"/>
        <s v="Zona03_PB08_Rede_TR040"/>
        <s v="Zona03_PB08_Rede_TR041"/>
        <s v="Zona03_PB09_Rede_TR001"/>
        <s v="Zona03_PB09_Rede_TR002"/>
        <s v="Zona03_PB09_Rede_TR003"/>
        <s v="Zona03_PB09_Rede_TR004"/>
        <s v="Zona04_PB01_Rede_TR001"/>
        <s v="Zona04_PB01_Rede_TR002"/>
        <s v="Zona04_PB01_Rede_TR003"/>
        <s v="Zona04_PB01_Rede_TR004"/>
        <s v="Zona04_PB01_Rede_TR005"/>
        <s v="Zona04_PB01_Rede_TR006"/>
        <s v="Zona04_PB01_Rede_TR007"/>
        <s v="Zona04_PB01_Rede_TR008"/>
        <s v="Zona04_PB02_Rede_TR001"/>
        <s v="Zona04_PB02_Rede_TR002"/>
        <s v="Zona04_PB02_Rede_TR003"/>
        <s v="Zona04_PB02_Rede_TR004"/>
        <s v="Zona04_PB02_Rede_TR005"/>
        <s v="Zona04_PB02_Rede_TR006"/>
        <s v="Zona04_PB02_Rede_TR007"/>
        <s v="Zona04_PB02_Rede_TR008"/>
        <s v="Zona04_PB02_Rede_TR009"/>
        <s v="Zona04_PB02_Rede_TR010"/>
        <s v="Zona04_PB02_Rede_TR011"/>
        <s v="Zona04_PB02_Rede_TR012"/>
        <s v="Zona04_PB02_Rede_TR013"/>
        <s v="Zona04_PB02_Rede_TR014"/>
        <s v="Zona04_PB02_Rede_TR015"/>
        <s v="Zona04_PB02_Rede_TR016"/>
        <s v="Zona04_PB02_Rede_TR017"/>
        <s v="Zona04_PB02_Rede_TR018"/>
        <s v="Zona04_PB02_Rede_TR019"/>
        <s v="Zona04_PB02_Rede_TR020"/>
        <s v="Zona04_PB02_Rede_TR021"/>
        <s v="Zona04_PB02_Rede_TR022"/>
        <s v="Zona04_PB02_Rede_TR023"/>
        <s v="Zona04_PB02_Rede_TR024"/>
        <s v="Zona04_PB03_Rede_TR001"/>
        <s v="Zona04_PB03_Rede_TR002"/>
        <s v="Zona04_PB03_Rede_TR003"/>
        <s v="Zona04_PB03_Rede_TR004"/>
        <s v="Zona04_PB03_Rede_TR005"/>
        <s v="Zona04_PB03_Rede_TR006"/>
        <s v="Zona04_PB03_Rede_TR007"/>
        <s v="Zona04_PB03_Rede_TR008"/>
        <s v="Zona04_PB03_Rede_TR009"/>
        <s v="Zona04_PB03_Rede_TR010"/>
        <s v="Zona04_PB03_Rede_TR011"/>
        <s v="Zona04_PB03_Rede_TR012"/>
        <s v="Zona04_PB03_Rede_TR013"/>
        <s v="Zona04_PB03_Rede_TR014"/>
        <s v="Zona04_PB03_Rede_TR015"/>
        <s v="Zona04_PB03_Rede_TR016"/>
        <s v="Zona04_PB03_Rede_TR017"/>
        <s v="Zona04_PB03_Rede_TR018"/>
        <s v="Zona04_PB03_Rede_TR019"/>
        <s v="Zona04_PB03_Rede_TR020"/>
        <s v="Zona04_PB05_Rede_TR001"/>
        <s v="Zona04_PB05_Rede_TR002"/>
        <s v="Zona04_PB05_Rede_TR003"/>
        <s v="Zona04_PB05_Rede_TR004"/>
        <s v="Zona04_PB05_Rede_TR005"/>
        <s v="Zona04_PB05_Rede_TR006"/>
        <s v="Zona04_PB05_Rede_TR007"/>
        <s v="Zona04_PB05_Rede_TR008"/>
        <s v="Zona04_PB05_Rede_TR009"/>
        <s v="Zona04_PB05_Rede_TR010"/>
        <s v="Zona04_PB05_Rede_TR011"/>
        <s v="Zona04_PB05_Rede_TR012"/>
        <s v="Zona04_PB05_Rede_TR013"/>
        <s v="Zona04_PB05_Rede_TR014"/>
        <s v="Zona04_PB05_Rede_TR015"/>
        <s v="Zona04_PB05_Rede_TR016"/>
        <s v="Zona04_PB05_Rede_TR017"/>
        <s v="Zona04_PB05_Rede_TR018"/>
        <s v="Zona04_PB05_Rede_TR019"/>
        <s v="Zona04_PB05_Rede_TR020"/>
        <s v="Zona04_PB05_Rede_TR021"/>
        <s v="Zona04_PB05_Rede_TR022"/>
        <s v="Zona04_PB05_Rede_TR023"/>
        <s v="Zona04_PB05_Rede_TR024"/>
        <s v="Zona04_PB05_Rede_TR025"/>
        <s v="Zona04_PB05_Rede_TR026"/>
        <s v="Zona04_PB05_Rede_TR027"/>
        <s v="Zona04_PB05_Rede_TR028"/>
        <s v="Zona04_PB05_Rede_TR029"/>
        <s v="Zona04_PB05_Rede_TR030"/>
        <s v="Zona04_PB05_Rede_TR031"/>
        <s v="Zona04_PB05_Rede_TR032"/>
        <s v="Zona04_PB05_Rede_TR033"/>
        <s v="Zona04_PB05_Rede_TR034"/>
        <s v="Zona04_PB05_Rede_TR035"/>
        <s v="Zona04_PB05_Rede_TR036"/>
        <s v="Zona04_PB05_Rede_TR037"/>
        <s v="Zona04_PB05_Rede_TR038"/>
        <s v="Zona04_PB05_Rede_TR039"/>
        <s v="Zona04_PB05_Rede_TR040"/>
        <s v="Zona04_PB05_Rede_TR041"/>
        <s v="Zona04_PB05_Rede_TR042"/>
        <s v="Zona04_PB06_Rede_TR001"/>
        <s v="Zona04_PB06_Rede_TR002"/>
        <s v="Zona04_PB06_Rede_TR003"/>
        <s v="Zona04_PB06_Rede_TR004"/>
        <s v="Zona05_PB07_Rede_TR001"/>
        <s v="Zona05_PB07_Rede_TR002"/>
        <s v="Zona05_PB07_Rede_TR003"/>
        <s v="Zona05_PB07_Rede_TR004"/>
        <s v="Zona05_PB07_Rede_TR005"/>
        <s v="Zona05_PB07_Rede_TR006"/>
        <s v="Zona05_PB07_Rede_TR007"/>
        <s v="Zona05_PB07_Rede_TR008"/>
        <s v="Zona05_PB07_Rede_TR009"/>
        <s v="Zona05_PB07_Rede_TR010"/>
        <s v="Zona05_PB07_Rede_TR011"/>
        <s v="Zona05_PB07_Rede_TR012"/>
        <s v="Zona05_PB07_Rede_TR013"/>
        <s v="Zona05_PB07_Rede_TR014"/>
        <s v="Zona05_PB07_Rede_TR015"/>
        <s v="Zona05_PB07_Rede_TR016"/>
        <s v="Zona05_PB07_Rede_TR017"/>
        <s v="Zona05_PB07_Rede_TR018"/>
        <s v="Zona05_PB07_Rede_TR019"/>
        <s v="Zona05_PB07_Rede_TR020"/>
        <s v="Zona05_PB07_Rede_TR021"/>
        <s v="Zona05_PB07_Rede_TR022"/>
        <s v="Zona05_PB08_Rede_TR001"/>
        <s v="Zona05_PB08_Rede_TR002"/>
        <s v="Zona05_PB08_Rede_TR003"/>
        <s v="Zona05_PB08_Rede_TR004"/>
        <s v="Zona05_PB08_Rede_TR005"/>
        <s v="Zona05_PB08_Rede_TR006"/>
        <s v="Zona05_PB08_Rede_TR007"/>
        <s v="Zona05_PB08_Rede_TR008"/>
        <s v="Zona05_PB08_Rede_TR009"/>
        <s v="Zona05_PB08_Rede_TR010"/>
        <s v="Zona05_PB08_Rede_TR011"/>
        <s v="Zona05_PB08_Rede_TR012"/>
        <s v="Zona05_PB08_Rede_TR013"/>
        <s v="Zona05_PB08_Rede_TR014"/>
        <s v="Zona05_PB08_Rede_TR015"/>
        <s v="Zona05_PB08_Rede_TR016"/>
        <s v="Zona05_PB08_Rede_TR017"/>
        <s v="Zona05_PB08_Rede_TR018"/>
        <s v="Zona05_PB08_Rede_TR019"/>
        <s v="Zona05_PB08_Rede_TR020"/>
        <s v="Zona05_PB08_Rede_TR021"/>
        <s v="Zona05_PB08_Rede_TR022"/>
        <s v="Zona05_PB08_Rede_TR023"/>
        <s v="Zona05_PB08_Rede_TR024"/>
        <s v="Zona05_PB08_Rede_TR025"/>
        <s v="Zona05_PB08_Rede_TR026"/>
        <s v="Zona05_PB08_Rede_TR027"/>
        <s v="Zona05_PB08_Rede_TR028"/>
        <s v="Zona05_PB08_Rede_TR029"/>
        <s v="Zona05_PB08_Rede_TR030"/>
        <s v="Zona05_PB08_Rede_TR031"/>
        <s v="Zona05_PB08_Rede_TR032"/>
        <s v="Zona05_PB08_Rede_TR033"/>
        <s v="Zona05_PB08_Rede_TR034"/>
        <s v="Zona05_PB08_Rede_TR035"/>
        <s v="Zona05_PB08_Rede_TR036"/>
        <s v="Zona05_PB08_Rede_TR037"/>
        <s v="Zona05_PB08_Rede_TR038"/>
        <s v="Zona05_PB08_Rede_TR039"/>
        <s v="Zona05_PB08_Rede_TR040"/>
        <s v="Zona05_PB08_Rede_TR041"/>
        <s v="Zona05_PB08_Rede_TR042"/>
        <s v="Zona05_PB08_Rede_TR043"/>
        <s v="Zona05_PB08_Rede_TR044"/>
        <s v="Zona05_PB08_Rede_TR045"/>
        <s v="Zona05_PB08_Rede_TR046"/>
        <s v="Zona05_PB08_Rede_TR047"/>
        <s v="Zona05_PB08_Rede_TR048"/>
        <s v="Zona05_PB08_Rede_TR049"/>
        <s v="Zona05_PB08_Rede_TR050"/>
        <s v="Zona05_PB09_Rede_TR001"/>
        <s v="Zona05_PB10_Rede_TR001"/>
        <s v="Zona05_PB10_Rede_TR002"/>
        <s v="Zona05_PB10_Rede_TR003"/>
        <s v="Zona05_PB10_Rede_TR004"/>
        <s v="Zona05_PB10_Rede_TR005"/>
        <s v="Zona05_PB10_Rede_TR006"/>
        <s v="Zona05_PB10_Rede_TR007"/>
        <s v="Zona05_PB10_Rede_TR008"/>
        <s v="Zona05_PB10_Rede_TR009"/>
        <s v="Zona05_PB10_Rede_TR010"/>
        <s v="Zona05_PB10_Rede_TR011"/>
        <s v="Zona05_PB10_Rede_TR012"/>
        <s v="Zona05_PB11_Rede_TR001"/>
        <s v="Zona05_PB11_Rede_TR002"/>
        <s v="Zona05_PB11_Rede_TR003"/>
        <s v="Zona05_PB11_Rede_TR004"/>
        <s v="Zona05_PB11_Rede_TR005"/>
        <s v="Zona05_PB11_Rede_TR006"/>
        <s v="Zona05_PB11_Rede_TR007"/>
        <s v="Zona05_PB11_Rede_TR008"/>
        <s v="Zona05_PB11_Rede_TR009"/>
        <s v="Zona05_PB11_Rede_TR010"/>
        <s v="Zona05_PB11_Rede_TR011"/>
        <s v="Zona05_PB11_Rede_TR012"/>
        <s v="Zona05_PB11_Rede_TR013"/>
        <s v="Zona05_PB11_Rede_TR014"/>
        <s v="Zona05_PB11_Rede_TR015"/>
        <s v="Zona05_PB11_Rede_TR016"/>
        <s v="Zona05_PB11_Rede_TR017"/>
        <s v="Zona05_PB11_Rede_TR018"/>
        <s v="Zona05_PB11_Rede_TR019"/>
        <s v="Zona05_PB11_Rede_TR020"/>
        <s v="Zona05_PB11_Rede_TR021"/>
        <s v="Zona05_PB11_Rede_TR022"/>
        <s v="Zona05_PB11_Rede_TR023"/>
        <s v="Zona05_PB11_Rede_TR024"/>
        <s v="Zona05_PB11_Rede_TR025"/>
        <s v="Zona05_PB11_Rede_TR026"/>
        <s v="Zona06_PB09_Rede_TR001"/>
        <s v="Zona06_PB12_Adutora_TR001"/>
        <s v="Zona06_PB12_Adutora_TR002"/>
        <s v="Zona06_PB12_Rede_TR001"/>
        <s v="Zona06_PB12_Rede_TR002"/>
        <s v="Zona06_PB12_Rede_TR003"/>
        <s v="Zona06_PB12_Rede_TR004"/>
        <s v="Zona06_PB12_Rede_TR005"/>
        <s v="Zona06_PB12_Rede_TR006"/>
        <s v="Zona06_PB12_Rede_TR007"/>
        <s v="Zona06_PB12_Rede_TR008"/>
        <s v="Zona06_PB12_Rede_TR009"/>
        <s v="Zona06_PB12_Rede_TR010"/>
        <s v="Zona06_PB12_Rede_TR011"/>
        <s v="Zona06_PB12_Rede_TR012"/>
        <s v="Zona06_PB12_Rede_TR013"/>
        <s v="Zona06_PB12_Rede_TR014"/>
        <s v="Zona06_PB12_Rede_TR015"/>
        <s v="Zona06_PB12_Rede_TR016"/>
        <s v="Zona06_PB12_Rede_TR017"/>
        <s v="Zona06_PB12_Rede_TR018"/>
        <s v="Zona06_PB12_Rede_TR019"/>
        <s v="Zona06_PB12_Rede_TR020"/>
        <s v="Zona06_PB12_Rede_TR021"/>
        <s v="Zona06_PB12_Rede_TR022"/>
        <s v="Zona06_PB12_Rede_TR023"/>
        <s v="Zona06_PB12_Rede_TR024"/>
        <s v="Zona06_PB12_Rede_TR025"/>
        <s v="Zona06_PB12_Rede_TR026"/>
        <s v="Zona06_PB12_Rede_TR027"/>
        <s v="Zona06_PB12_Rede_TR028"/>
        <s v="Zona06_PB12_Rede_TR029"/>
        <s v="Zona06_PB12_Rede_TR030"/>
        <s v="Zona06_PB12_Rede_TR031"/>
        <s v="Zona06_PB12_Rede_TR032"/>
        <s v="Zona06_PB12_Rede_TR033"/>
        <s v="Zona06_PB12_Rede_TR034"/>
        <s v="Zona06_PB12_Rede_TR035"/>
        <s v="Zona06_PB12_Rede_TR036"/>
        <s v="Zona06_PB12_Rede_TR037"/>
        <s v="Zona06_PB12_Rede_TR038"/>
        <s v="Zona06_PB12_Rede_TR039"/>
        <s v="Zona06_PB12_Rede_TR040"/>
        <s v="Zona06_PB12_Rede_TR041"/>
        <s v="Zona06_PB12_Rede_TR042"/>
        <s v="Zona06_PB12_Rede_TR043"/>
        <s v="Zona06_PB12_Rede_TR044"/>
        <s v="Zona06_PB12_Rede_TR045"/>
        <s v="Zona06_PB12_Rede_TR046"/>
        <s v="Zona06_PB12_Rede_TR047"/>
        <s v="Zona06_PB12_Rede_TR048"/>
        <s v="Zona06_PB12_Rede_TR049"/>
        <s v="Zona06_PB12_Rede_TR050"/>
        <s v="Zona06_PB12_Rede_TR051"/>
        <s v="Zona06_PB14_Rede_TR001"/>
        <s v="Zona06_PB14_Rede_TR002"/>
        <s v="Zona06_PB14_Rede_TR003"/>
        <s v="Zona06_PB14_Rede_TR004"/>
        <s v="Zona06_PB14_Rede_TR005"/>
        <s v="Zona06_PB14_Rede_TR006"/>
        <s v="Zona06_PB14_Rede_TR007"/>
        <s v="Zona06_PB14_Rede_TR008"/>
        <s v="Zona06_PB14_Rede_TR009"/>
        <s v="Zona06_PB14_Rede_TR010"/>
        <s v="Zona06_PB14_Rede_TR011"/>
        <s v="Zona06_PB14_Rede_TR012"/>
        <s v="Zona06_PB14_Rede_TR013"/>
        <s v="Zona06_PB14_Rede_TR014"/>
        <s v="Zona06_PB14_Rede_TR015"/>
        <s v="Zona06_PB14_Rede_TR016"/>
        <s v="Zona06_PB14_Rede_TR017"/>
        <s v="Zona06_PB14_Rede_TR018"/>
        <s v="Zona06_PB14_Rede_TR019"/>
        <s v="Zona06_PB14_Rede_TR020"/>
        <s v="Zona06_PB14_Rede_TR021"/>
        <s v="Zona06_PB14_Rede_TR022"/>
        <s v="Zona06_PB14_Rede_TR023"/>
        <s v="Zona06_PB14_Rede_TR024"/>
        <s v="Zona06_PB14_Rede_TR025"/>
        <s v="Zona06_PB15_Rede_TR001"/>
        <s v="Zona06_PB15_Rede_TR002"/>
        <s v="Zona06_PB15_Rede_TR003"/>
        <s v="Zona06_PB15_Rede_TR004"/>
        <s v="Zona06_PB15_Rede_TR005"/>
        <s v="Zona06_PB15_Rede_TR006"/>
        <s v="Zona06_PB15_Rede_TR007"/>
        <s v="Zona06_PB15_Rede_TR008"/>
        <s v="Zona06_PB15_Rede_TR009"/>
        <s v="Zona06_PB15_Rede_TR010"/>
        <s v="Zona06_PB15_Rede_TR011"/>
        <s v="Zona06_PB15_Rede_TR012"/>
        <s v="Zona06_PB15_Rede_TR013"/>
        <s v="Zona06_PB15_Rede_TR014"/>
        <s v="Zona06_PB15_Rede_TR015"/>
        <s v="Zona06_PB15_Rede_TR016"/>
        <s v="Zona06_PB15_Rede_TR017"/>
        <s v="Zona06_PB15_Rede_TR018"/>
        <s v="Zona06_PB15_Rede_TR019"/>
        <s v="Zona06_PB15_Rede_TR020"/>
        <s v="Zona06_PB15_Rede_TR021"/>
        <s v="Zona06_PB15_Rede_TR022"/>
        <s v="Zona06_PB15_Rede_TR023"/>
        <s v="Zona06_PB15_Rede_TR024"/>
        <s v="Zona06_PB15_Rede_TR025"/>
        <s v="Zona06_PB15_Rede_TR026"/>
        <s v="Zona06_PB15_Rede_TR027"/>
        <s v="Zona06_PB15_Rede_TR028"/>
        <s v="Zona06_PB15_Rede_TR029"/>
        <s v="Zona06_PB15_Rede_TR030"/>
        <s v="Zona06_PB15_Rede_TR031"/>
        <s v="Zona06_PB15_Rede_TR032"/>
        <s v="Zona06_PB18_Rede_TR001"/>
        <s v="Zona07_PB14_Rede_TR001"/>
        <s v="Zona07_PB14_Rede_TR002"/>
        <s v="Zona07_PB14_Rede_TR003"/>
        <s v="Zona07_PB14_Rede_TR004"/>
        <s v="Zona07_PB14_Rede_TR005"/>
        <s v="Zona07_PB14_Rede_TR006"/>
        <s v="Zona07_PB14_Rede_TR007"/>
        <s v="Zona07_PB14_Rede_TR008"/>
        <s v="Zona07_PB14_Rede_TR009"/>
        <s v="Zona07_PB14_Rede_TR010"/>
        <s v="Zona07_PB14_Rede_TR011"/>
        <s v="Zona07_PB14_Rede_TR012"/>
        <s v="Zona07_PB14_Rede_TR013"/>
        <s v="Zona07_PB14_Rede_TR014"/>
        <s v="Zona07_PB14_Rede_TR015"/>
        <s v="Zona07_PB14_Rede_TR016"/>
        <s v="Zona07_PB14_Rede_TR017"/>
        <s v="Zona07_PB14_Rede_TR018"/>
        <s v="Zona07_PB15_Adutora_TR001"/>
        <s v="Zona07_PB15_Rede_TR001"/>
        <s v="Zona07_PB15_Rede_TR002"/>
        <s v="Zona07_PB15_Rede_TR003"/>
        <s v="Zona07_PB15_Rede_TR004"/>
        <s v="Zona07_PB15_Rede_TR005"/>
        <s v="Zona07_PB15_Rede_TR006"/>
        <s v="Zona07_PB15_Rede_TR007"/>
        <s v="Zona07_PB15_Rede_TR008"/>
        <s v="Zona07_PB15_Rede_TR009"/>
        <s v="Zona07_PB15_Rede_TR010"/>
        <s v="Zona07_PB15_Rede_TR011"/>
        <s v="Zona07_PB15_Rede_TR012"/>
        <s v="Zona07_PB15_Rede_TR013"/>
        <s v="Zona07_PB15_Rede_TR014"/>
        <s v="Zona07_PB15_Rede_TR015"/>
        <s v="Zona07_PB15_Rede_TR016"/>
        <s v="Zona07_PB15_Rede_TR017"/>
        <s v="Zona07_PB15_Rede_TR018"/>
        <s v="Zona07_PB15_Rede_TR019"/>
        <s v="Zona07_PB15_Rede_TR020"/>
        <s v="Zona07_PB15_Rede_TR021"/>
        <s v="Zona07_PB15_Rede_TR022"/>
        <s v="Zona07_PB15_Rede_TR023"/>
        <s v="Zona07_PB15_Rede_TR024"/>
        <s v="Zona07_PB15_Rede_TR025"/>
        <s v="Zona07_PB15_Rede_TR026"/>
        <s v="Zona07_PB15_Rede_TR027"/>
        <s v="Zona07_PB15_Rede_TR028"/>
        <s v="Zona07_PB15_Rede_TR029"/>
        <s v="Zona07_PB15_Rede_TR030"/>
        <s v="Zona07_PB15_Rede_TR031"/>
        <s v="Zona07_PB15_Rede_TR032"/>
        <s v="Zona07_PB15_Rede_TR033"/>
        <s v="Zona07_PB15_Rede_TR034"/>
        <s v="Zona07_PB15_Rede_TR035"/>
        <s v="Zona07_PB15_Rede_TR036"/>
        <s v="Zona07_PB15_Rede_TR037"/>
        <s v="Zona07_PB15_Rede_TR038"/>
        <s v="Zona07_PB15_Rede_TR039"/>
        <s v="Zona07_PB15_Rede_TR040"/>
        <s v="Zona07_PB15_Rede_TR041"/>
        <s v="Zona07_PB17_Adutora_TR001"/>
        <s v="Zona07_PB17_Rede_TR001"/>
        <s v="Zona07_PB17_Rede_TR002"/>
        <s v="Zona07_PB17_Rede_TR003"/>
        <s v="Zona07_PB17_Rede_TR004"/>
        <s v="Zona07_PB17_Rede_TR005"/>
        <s v="Zona07_PB17_Rede_TR006"/>
        <s v="Zona07_PB17_Rede_TR007"/>
        <s v="Zona07_PB17_Rede_TR008"/>
        <s v="Zona07_PB17_Rede_TR009"/>
        <s v="Zona07_PB17_Rede_TR010"/>
        <s v="Zona07_PB17_Rede_TR011"/>
        <s v="Zona07_PB17_Rede_TR012"/>
        <s v="Zona07_PB17_Rede_TR013"/>
        <s v="Zona07_PB17_Rede_TR014"/>
        <s v="Zona07_PB17_Rede_TR015"/>
        <s v="Zona07_PB17_Rede_TR016"/>
        <s v="Zona07_PB17_Rede_TR017"/>
        <s v="Zona07_PB17_Rede_TR018"/>
        <s v="Zona07_PB17_Rede_TR019"/>
        <s v="Zona07_PB17_Rede_TR020"/>
        <s v="Zona07_PB18_Adutora_TR001"/>
        <s v="Zona07_PB18_Rede_TR001"/>
        <s v="Zona07_PB18_Rede_TR002"/>
        <s v="Zona07_PB18_Rede_TR003"/>
        <s v="Zona07_PB18_Rede_TR004"/>
        <s v="Zona07_PB18_Rede_TR005"/>
        <s v="Zona07_PB18_Rede_TR006"/>
        <s v="Zona07_PB18_Rede_TR007"/>
        <s v="Zona07_PB18_Rede_TR008"/>
        <s v="Zona07_PB18_Rede_TR009"/>
        <s v="Zona07_PB18_Rede_TR010"/>
        <s v="Zona07_PB18_Rede_TR011"/>
        <s v="Zona07_PB18_Rede_TR012"/>
        <s v="Zona07_PB18_Rede_TR013"/>
        <s v="Zona07_PB18_Rede_TR014"/>
        <s v="Zona07_PB18_Rede_TR015"/>
        <s v="Zona07_PB18_Rede_TR016"/>
        <s v="Zona07_PB18_Rede_TR017"/>
        <s v="Zona07_PB18_Rede_TR018"/>
        <s v="Zona07_PB18_Rede_TR019"/>
        <s v="Zona07_PB18_Rede_TR020"/>
        <s v="Zona07_PB18_Rede_TR021"/>
        <s v="Zona07_PB18_Rede_TR022"/>
        <s v="Zona07_PB18_Rede_TR023"/>
        <s v="Zona07_PB18_Rede_TR024"/>
        <s v="Zona07_PB18_Rede_TR025"/>
        <s v="Zona07_PB18_Rede_TR026"/>
        <s v="Zona07_PB18_Rede_TR027"/>
        <s v="Zona07_PB18_Rede_TR028"/>
        <s v="Zona07_PB18_Rede_TR029"/>
        <s v="Zona07_PB18_Rede_TR030"/>
        <s v="Zona07_PB18_Rede_TR031"/>
        <s v="Zona07_PB18_Rede_TR032"/>
        <s v="Zona07_PB18_Rede_TR033"/>
        <s v="Zona07_PB18_Rede_TR034"/>
        <s v="Zona07_PB18_Rede_TR035"/>
        <s v="Zona07_PB18_Rede_TR036"/>
        <s v="Zona07_PB18_Rede_TR037"/>
        <s v="Zona07_PB18_Rede_TR038"/>
        <s v="Zona07_PB18_Rede_TR039"/>
        <s v="Zona07_PB18_Rede_TR040"/>
        <s v="Zona07_PB18_Rede_TR041"/>
        <s v="Zona07_PB18_Rede_TR042"/>
        <s v="Zona07_PB18_Rede_TR043"/>
        <s v="Zona07_PB18_Rede_TR044"/>
        <s v="Zona07_PB18_Rede_TR045"/>
        <s v="Zona07_PB18_Rede_TR046"/>
        <s v="Zona07_PB18_Rede_TR047"/>
        <s v="Zona07_PB18_Rede_TR048"/>
        <s v="Zona07_PB18_Rede_TR049"/>
        <s v="Zona07_PB18_Rede_TR050"/>
        <s v="Zona07_PB18_Rede_TR051"/>
        <s v="Zona07_PB18_Rede_TR052"/>
        <s v="Zona07_PB18_Rede_TR053"/>
        <s v="Zona07_PB19_Adutora_TR001"/>
        <s v="Zona07_PB19_Rede_TR001"/>
        <s v="Zona07_PB19_Rede_TR002"/>
        <s v="Zona07_PB19_Rede_TR003"/>
        <s v="Zona07_PB19_Rede_TR004"/>
        <s v="Zona07_PB19_Rede_TR005"/>
        <s v="Zona07_PB19_Rede_TR006"/>
        <s v="Zona07_PB19_Rede_TR007"/>
        <s v="Zona07_PB19_Rede_TR008"/>
        <s v="Zona07_PB19_Rede_TR009"/>
        <s v="Zona07_PB19_Rede_TR010"/>
        <s v="Zona07_PB19_Rede_TR011"/>
        <s v="Zona07_PB19_Rede_TR012"/>
        <s v="Zona07_PB19_Rede_TR013"/>
        <s v="Zona07_PB19_Rede_TR014"/>
        <s v="Zona07_PB19_Rede_TR015"/>
        <s v="Zona07_PB19_Rede_TR016"/>
        <s v="Zona07_PB19_Rede_TR017"/>
        <s v="Zona07_PB19_Rede_TR018"/>
        <s v="Zona07_PB19_Rede_TR019"/>
        <s v="Zona07_PB20_Rede_TR001"/>
        <s v="Zona08_PB10_Adutora_TR001"/>
        <s v="Zona08_PB10_Adutora_TR002"/>
        <s v="Zona08_PB10_Adutora_TR003"/>
        <s v="Zona08_PB10_Adutora_TR004"/>
        <s v="Zona08_PB10_Adutora_TR005"/>
        <s v="Zona08_PB10_Adutora_TR006"/>
        <s v="Zona08_PB10_Adutora_TR007"/>
        <s v="Zona08_PB10_Rede_TR001"/>
        <s v="Zona08_PB10_Rede_TR002"/>
        <s v="Zona08_PB10_Rede_TR003"/>
        <s v="Zona08_PB10_Rede_TR004"/>
        <s v="Zona08_PB10_Rede_TR005"/>
        <s v="Zona08_PB10_Rede_TR006"/>
        <s v="Zona08_PB10_Rede_TR007"/>
        <s v="Zona08_PB10_Rede_TR008"/>
        <s v="Zona08_PB10_Rede_TR009"/>
        <s v="Zona08_PB10_Rede_TR010"/>
        <s v="Zona08_PB10_Rede_TR011"/>
        <s v="Zona08_PB10_Rede_TR012"/>
        <s v="Zona08_PB10_Rede_TR013"/>
        <s v="Zona08_PB10_Rede_TR014"/>
        <s v="Zona08_PB10_Rede_TR015"/>
        <s v="Zona08_PB10_Rede_TR016"/>
        <s v="Zona08_PB10_Rede_TR017"/>
        <s v="Zona08_PB10_Rede_TR018"/>
        <s v="Zona08_PB10_Rede_TR019"/>
        <s v="Zona08_PB10_Rede_TR020"/>
        <s v="Zona08_PB10_Rede_TR021"/>
        <s v="Zona08_PB10_Rede_TR022"/>
        <s v="Zona08_PB10_Rede_TR023"/>
        <s v="Zona08_PB10_Rede_TR024"/>
        <s v="Zona08_PB10_Rede_TR025"/>
        <s v="Zona08_PB10_Rede_TR026"/>
        <s v="Zona08_PB10_Rede_TR027"/>
        <s v="Zona08_PB10_Rede_TR028"/>
        <s v="Zona08_PB10_Rede_TR029"/>
        <s v="Zona08_PB10_Rede_TR030"/>
        <s v="Zona08_PB10_Rede_TR031"/>
        <s v="Zona08_PB10_Rede_TR032"/>
        <s v="Zona08_PB10_Rede_TR033"/>
        <s v="Zona08_PB10_Rede_TR034"/>
        <s v="Zona08_PB10_Rede_TR035"/>
        <s v="Zona08_PB10_Rede_TR036"/>
        <s v="Zona08_PB10_Rede_TR037"/>
        <s v="Zona08_PB10_Rede_TR038"/>
        <s v="Zona08_PB10_Rede_TR039"/>
        <s v="Zona08_PB10_Rede_TR040"/>
        <s v="Zona08_PB10_Rede_TR041"/>
        <s v="Zona08_PB10_Rede_TR042"/>
        <s v="Zona08_PB10_Rede_TR043"/>
        <s v="Zona08_PB10_Rede_TR044"/>
        <s v="Zona08_PB10_Rede_TR045"/>
        <s v="Zona08_PB10_Rede_TR046"/>
        <s v="Zona08_PB10_Rede_TR047"/>
        <s v="Zona08_PB10_Rede_TR048"/>
        <s v="Zona08_PB10_Rede_TR049"/>
        <s v="Zona08_PB10_Rede_TR050"/>
        <s v="Zona08_PB10_Rede_TR051"/>
        <s v="Zona08_PB10_Rede_TR052"/>
        <s v="Zona08_PB10_Rede_TR053"/>
        <s v="Zona08_PB10_Rede_TR054"/>
        <s v="Zona08_PB10_Rede_TR055"/>
        <s v="Zona08_PB10_Rede_TR056"/>
        <s v="Zona08_PB10_Rede_TR057"/>
        <s v="Zona08_PB10_Rede_TR058"/>
        <s v="Zona08_PB11_Rede_TR001"/>
        <s v="Zona08_PB13_Rede_TR001"/>
        <s v="Zona08_PB13_Rede_TR002"/>
        <s v="Zona08_PB13_Rede_TR003"/>
        <s v="Zona08_PB13_Rede_TR004"/>
        <s v="Zona08_PB13_Rede_TR005"/>
        <s v="Zona08_PB13_Rede_TR006"/>
        <s v="Zona08_PB13_Rede_TR007"/>
        <s v="Zona08_PB13_Rede_TR008"/>
        <s v="Zona08_PB13_Rede_TR009"/>
        <s v="Zona08_PB13_Rede_TR010"/>
        <s v="Zona08_PB13_Rede_TR011"/>
        <s v="Zona08_PB13_Rede_TR012"/>
        <s v="Zona08_PB13_Rede_TR013"/>
        <s v="Zona09_PB10_Rede_TR001"/>
        <s v="Zona09_PB11_Adutora_TR001"/>
        <s v="Zona09_PB11_Adutora_TR002"/>
        <s v="Zona09_PB11_Rede_TR001"/>
        <s v="Zona09_PB11_Rede_TR002"/>
        <s v="Zona09_PB11_Rede_TR003"/>
        <s v="Zona09_PB11_Rede_TR004"/>
        <s v="Zona09_PB11_Rede_TR005"/>
        <s v="Zona09_PB11_Rede_TR006"/>
        <s v="Zona09_PB11_Rede_TR007"/>
        <s v="Zona09_PB11_Rede_TR008"/>
        <s v="Zona09_PB11_Rede_TR009"/>
        <s v="Zona09_PB13_Rede_TR001"/>
        <s v="Zona09_PB13_Rede_TR002"/>
        <s v="Zona09_PB13_Rede_TR003"/>
        <s v="Zona09_PB13_Rede_TR004"/>
        <s v="Zona09_PB13_Rede_TR005"/>
        <s v="Zona09_PB13_Rede_TR006"/>
        <s v="Zona09_PB13_Rede_TR007"/>
        <s v="Zona09_PB13_Rede_TR008"/>
        <s v="Zona09_PB13_Rede_TR009"/>
        <s v="Zona09_PB13_Rede_TR010"/>
        <s v="Zona09_PB13_Rede_TR011"/>
        <s v="Zona09_PB13_Rede_TR012"/>
        <s v="Zona09_PB13_Rede_TR013"/>
        <s v="Zona09_PB13_Rede_TR014"/>
        <s v="Zona09_PB13_Rede_TR015"/>
        <s v="Zona09_PB13_Rede_TR016"/>
        <s v="Zona09_PB13_Rede_TR017"/>
        <s v="Zona09_PB13_Rede_TR018"/>
        <s v="Zona09_PB13_Rede_TR019"/>
        <s v="Zona09_PB13_Rede_TR020"/>
        <s v="Zona09_PB13_Rede_TR021"/>
        <s v="Zona09_PB13_Rede_TR022"/>
        <s v="Zona09_PB14_Adutora_TR001"/>
        <s v="Zona09_PB14_Adutora_TR002"/>
        <s v="Zona09_PB14_Adutora_TR003"/>
        <s v="Zona09_PB14_Adutora_TR004"/>
        <s v="Zona09_PB14_Rede_TR001"/>
        <s v="Zona09_PB14_Rede_TR002"/>
        <s v="Zona09_PB14_Rede_TR003"/>
        <s v="Zona09_PB14_Rede_TR004"/>
        <s v="Zona09_PB14_Rede_TR005"/>
        <s v="Zona09_PB14_Rede_TR006"/>
        <s v="Zona09_PB14_Rede_TR007"/>
        <s v="Zona09_PB14_Rede_TR008"/>
        <s v="Zona09_PB14_Rede_TR009"/>
        <s v="Zona09_PB14_Rede_TR010"/>
        <s v="Zona09_PB14_Rede_TR011"/>
        <s v="Zona09_PB14_Rede_TR012"/>
        <s v="Zona09_PB14_Rede_TR013"/>
        <s v="Zona09_PB14_Rede_TR014"/>
        <s v="Zona09_PB14_Rede_TR015"/>
        <s v="Zona09_PB14_Rede_TR016"/>
        <s v="Zona09_PB14_Rede_TR017"/>
        <s v="Zona09_PB14_Rede_TR018"/>
        <s v="Zona09_PB14_Rede_TR019"/>
        <s v="Zona09_PB14_Rede_TR020"/>
        <s v="Zona09_PB14_Rede_TR021"/>
        <s v="Zona09_PB14_Rede_TR022"/>
        <s v="Zona09_PB14_Rede_TR023"/>
        <s v="Zona09_PB14_Rede_TR024"/>
        <s v="Zona09_PB14_Rede_TR025"/>
        <s v="Zona09_PB14_Rede_TR026"/>
        <s v="Zona09_PB14_Rede_TR027"/>
        <s v="Zona09_PB14_Rede_TR028"/>
        <s v="Zona09_PB14_Rede_TR029"/>
        <s v="Zona09_PB14_Rede_TR030"/>
        <s v="Zona09_PB14_Rede_TR031"/>
        <s v="Zona09_PB14_Rede_TR032"/>
        <s v="Zona09_PB14_Rede_TR033"/>
        <s v="Zona09_PB14_Rede_TR034"/>
        <s v="Zona09_PB14_Rede_TR035"/>
        <s v="Zona09_PB14_Rede_TR036"/>
        <s v="Zona09_PB14_Rede_TR037"/>
        <s v="Zona09_PB14_Rede_TR038"/>
        <s v="Zona09_PB14_Rede_TR039"/>
        <s v="Zona09_PB14_Rede_TR040"/>
        <s v="Zona09_PB14_Rede_TR041"/>
        <s v="Zona09_PB14_Rede_TR042"/>
        <s v="Zona09_PB14_Rede_TR043"/>
        <s v="Zona09_PB14_Rede_TR044"/>
        <s v="Zona09_PB16_Rede_TR001"/>
        <s v="Zona09_PB16_Rede_TR002"/>
        <s v="Zona09_PB16_Rede_TR003"/>
        <s v="Zona09_PB16_Rede_TR004"/>
        <s v="Zona09_PB16_Rede_TR005"/>
        <s v="Zona09_PB16_Rede_TR006"/>
        <s v="Zona09_PB16_Rede_TR007"/>
        <s v="Zona09_PB16_Rede_TR008"/>
        <s v="Zona09_PB16_Rede_TR009"/>
        <s v="Zona09_PB16_Rede_TR010"/>
        <s v="Zona09_PB16_Rede_TR011"/>
        <s v="Zona09_PB16_Rede_TR012"/>
        <s v="Zona09_PB16_Rede_TR013"/>
        <s v="Zona09_PB16_Rede_TR014"/>
        <s v="Zona09_PB16_Rede_TR015"/>
        <s v="Zona09_PB16_Rede_TR016"/>
        <s v="Zona09_PB16_Rede_TR017"/>
        <s v="Zona09_PB16_Rede_TR018"/>
        <s v="Zona09_PB16_Rede_TR019"/>
        <s v="Zona09_PB16_Rede_TR020"/>
        <s v="Zona09_PB16_Rede_TR021"/>
        <s v="Zona09_PB16_Rede_TR022"/>
        <s v="Zona09_PB16_Rede_TR023"/>
        <s v="Zona09_PB16_Rede_TR024"/>
        <s v="Zona09_PB16_Rede_TR025"/>
        <s v="Zona09_PB16_Rede_TR026"/>
        <s v="Zona09_PB16_Rede_TR027"/>
        <s v="Zona09_PB16_Rede_TR028"/>
        <s v="Zona09_PB16_Rede_TR029"/>
        <s v="Zona09_PB16_Rede_TR030"/>
        <s v="Zona09_PB16_Rede_TR031"/>
        <s v="Zona09_PB16_Rede_TR032"/>
        <s v="Zona09_PB17_Rede_TR001"/>
        <s v="Zona09_PB17_Rede_TR002"/>
        <s v="Zona09_PB17_Rede_TR003"/>
        <s v="Zona09_PB17_Rede_TR004"/>
        <s v="Zona09_PB17_Rede_TR005"/>
        <s v="Zona09_PB17_Rede_TR006"/>
        <s v="Zona09_PB17_Rede_TR007"/>
        <s v="Zona09_PB17_Rede_TR008"/>
        <s v="Zona09_PB17_Rede_TR009"/>
        <s v="Zona09_PB17_Rede_TR010"/>
        <s v="Zona09_PB17_Rede_TR011"/>
        <s v="Zona09_PB21_Rede_TR001"/>
        <s v="Zona09_PB21_Rede_TR002"/>
        <s v="Zona09_PB21_Rede_TR003"/>
        <s v="Zona09_PB21_Rede_TR004"/>
        <s v="Zona09_PB21_Rede_TR005"/>
        <s v="Zona09_PB21_Rede_TR006"/>
        <s v="Zona09_PB21_Rede_TR007"/>
        <s v="Zona09_PB21_Rede_TR008"/>
        <s v="Zona09_PB21_Rede_TR009"/>
        <s v="Zona09_PB21_Rede_TR010"/>
        <s v="Zona09_PB21_Rede_TR011"/>
        <s v="Zona09_PB21_Rede_TR012"/>
        <s v="Zona09_PB22_Rede_TR001"/>
        <s v="Zona09_PB22_Rede_TR002"/>
        <s v="Zona09_PB22_Rede_TR003"/>
        <s v="Zona09_PB22_Rede_TR004"/>
        <s v="Zona09_PB22_Rede_TR005"/>
        <s v="Zona09_PB22_Rede_TR006"/>
        <s v="Zona09_PB22_Rede_TR007"/>
        <s v="Zona09_PB22_Rede_TR008"/>
        <s v="Zona09_PB22_Rede_TR009"/>
        <s v="Zona09_PB22_Rede_TR010"/>
        <s v="Zona09_PB22_Rede_TR011"/>
        <s v="Zona09_PB22_Rede_TR012"/>
        <s v="Zona09_PB22_Rede_TR013"/>
        <s v="Zona09_PB22_Rede_TR014"/>
        <s v="Zona09_PB22_Rede_TR015"/>
        <s v="Zona09_PB22_Rede_TR016"/>
        <s v="Zona09_PB22_Rede_TR017"/>
        <s v="Zona09_PB22_Rede_TR018"/>
        <s v="Zona09_PB22_Rede_TR019"/>
        <s v="Zona09_PB22_Rede_TR020"/>
        <s v="Zona09_PB22_Rede_TR021"/>
        <s v="Zona10_PB10_Rede_TR001"/>
        <s v="Zona10_PB10_Rede_TR002"/>
        <s v="Zona10_PB10_Rede_TR003"/>
        <s v="Zona10_PB10_Rede_TR004"/>
        <s v="Zona10_PB10_Rede_TR005"/>
        <s v="Zona10_PB10_Rede_TR006"/>
        <s v="Zona10_PB10_Rede_TR007"/>
        <s v="Zona10_PB10_Rede_TR008"/>
        <s v="Zona10_PB10_Rede_TR009"/>
        <s v="Zona10_PB10_Rede_TR010"/>
        <s v="Zona10_PB10_Rede_TR011"/>
        <s v="Zona10_PB10_Rede_TR012"/>
        <s v="Zona10_PB10_Rede_TR013"/>
        <s v="Zona10_PB10_Rede_TR014"/>
        <s v="Zona10_PB10_Rede_TR015"/>
        <s v="Zona10_PB10_Rede_TR016"/>
        <s v="Zona10_PB10_Rede_TR017"/>
        <s v="Zona10_PB11_Rede_TR001"/>
        <s v="Zona10_PB11_Rede_TR002"/>
        <s v="Zona10_PB11_Rede_TR003"/>
        <s v="Zona10_PB11_Rede_TR004"/>
        <s v="Zona10_PB11_Rede_TR005"/>
        <s v="Zona10_PB11_Rede_TR006"/>
        <s v="Zona10_PB11_Rede_TR007"/>
        <s v="Zona10_PB11_Rede_TR008"/>
        <s v="Zona10_PB11_Rede_TR009"/>
        <s v="Zona10_PB11_Rede_TR010"/>
        <s v="Zona10_PB11_Rede_TR011"/>
        <s v="Zona10_PB11_Rede_TR012"/>
        <s v="Zona10_PB11_Rede_TR013"/>
        <s v="Zona10_PB11_Rede_TR014"/>
        <s v="Zona10_PB11_Rede_TR015"/>
        <s v="Zona10_PB11_Rede_TR016"/>
        <s v="Zona10_PB11_Rede_TR017"/>
        <s v="Zona10_PB11_Rede_TR018"/>
        <s v="Zona10_PB11_Rede_TR019"/>
        <s v="Zona10_PB11_Rede_TR020"/>
        <s v="Zona10_PB11_Rede_TR021"/>
        <s v="Zona10_PB11_Rede_TR022"/>
        <s v="Zona10_PB11_Rede_TR023"/>
        <s v="Zona10_PB11_Rede_TR024"/>
        <s v="Zona10_PB11_Rede_TR025"/>
        <s v="Zona10_PB11_Rede_TR026"/>
        <s v="Zona10_PB11_Rede_TR027"/>
        <s v="Zona10_PB11_Rede_TR028"/>
        <s v="Zona10_PB11_Rede_TR029"/>
        <s v="Zona10_PB11_Rede_TR030"/>
        <s v="Zona10_PB11_Rede_TR031"/>
        <s v="Zona10_PB11_Rede_TR032"/>
        <s v="Zona10_PB11_Rede_TR033"/>
        <s v="Zona10_PB11_Rede_TR034"/>
        <s v="Zona10_PB11_Rede_TR035"/>
        <s v="Zona10_PB11_Rede_TR036"/>
        <s v="Zona10_PB11_Rede_TR037"/>
        <s v="Zona10_PB11_Rede_TR038"/>
        <s v="Zona10_PB11_Rede_TR039"/>
        <s v="Zona10_PB11_Rede_TR040"/>
        <s v="Zona10_PB11_Rede_TR041"/>
        <s v="Zona10_PB11_Rede_TR042"/>
        <s v="Zona10_PB11_Rede_TR043"/>
        <s v="Zona10_PB11_Rede_TR044"/>
        <s v="Zona10_PB11_Rede_TR045"/>
        <s v="Zona10_PB11_Rede_TR046"/>
        <s v="Zona10_PB11_Rede_TR047"/>
        <s v="Zona10_PB11_Rede_TR048"/>
        <s v="Zona10_PB11_Rede_TR049"/>
        <s v="Zona10_PB11_Rede_TR050"/>
        <s v="Zona10_PB11_Rede_TR051"/>
        <s v="Zona10_PB11_Rede_TR052"/>
        <s v="Zona10_PB11_Rede_TR053"/>
        <s v="Zona10_PB11_Rede_TR054"/>
        <s v="Zona10_PB11_Rede_TR055"/>
        <s v="Zona10_PB11_Rede_TR056"/>
        <s v="Zona10_PB11_Rede_TR057"/>
        <s v="Zona10_PB11_Rede_TR058"/>
        <s v="Zona10_PB11_Rede_TR059"/>
        <s v="Zona10_PB11_Rede_TR060"/>
        <s v="Zona10_PB11_Rede_TR061"/>
        <s v="Zona10_PB14_Adutora_TR001"/>
        <s v="Zona10_PB14_Adutora_TR002"/>
        <s v="Zona10_PB14_Rede_TR001"/>
        <s v="Zona10_PB14_Rede_TR002"/>
        <s v="Zona10_PB14_Rede_TR003"/>
        <s v="Zona10_PB14_Rede_TR004"/>
        <s v="Zona10_PB14_Rede_TR005"/>
        <s v="Zona10_PB14_Rede_TR006"/>
        <s v="Zona10_PB14_Rede_TR007"/>
        <s v="Zona10_PB14_Rede_TR008"/>
        <s v="Zona10_PB14_Rede_TR009"/>
        <s v="Zona10_PB14_Rede_TR010"/>
        <s v="Zona10_PB14_Rede_TR011"/>
        <s v="Zona10_PB14_Rede_TR012"/>
        <s v="Zona10_PB14_Rede_TR013"/>
        <s v="Zona10_PB14_Rede_TR014"/>
        <s v="Zona10_PB14_Rede_TR015"/>
        <s v="Zona10_PB14_Rede_TR016"/>
        <s v="Zona10_PB14_Rede_TR017"/>
        <s v="Zona10_PB14_Rede_TR018"/>
        <s v="Zona10_PB14_Rede_TR019"/>
        <s v="Zona10_PB14_Rede_TR020"/>
        <s v="Zona10_PB14_Rede_TR021"/>
        <s v="Zona10_PB14_Rede_TR022"/>
        <s v="Zona10_PB14_Rede_TR023"/>
        <s v="Zona10_PB14_Rede_TR024"/>
        <s v="Zona11_PB17_Adutora_TR001"/>
        <s v="Zona11_PB17_Adutora_TR002"/>
        <s v="Zona11_PB17_Adutora_TR003"/>
        <s v="Zona11_PB17_Rede_TR001"/>
        <s v="Zona11_PB17_Rede_TR002"/>
        <s v="Zona11_PB17_Rede_TR003"/>
        <s v="Zona11_PB17_Rede_TR004"/>
        <s v="Zona11_PB18_Rede_TR001"/>
        <s v="Zona11_PB18_Rede_TR002"/>
        <s v="Zona11_PB18_Rede_TR003"/>
        <s v="Zona11_PB18_Rede_TR004"/>
        <s v="Zona11_PB18_Rede_TR005"/>
        <s v="Zona11_PB18_Rede_TR006"/>
        <s v="Zona11_PB18_Rede_TR007"/>
        <s v="Zona11_PB18_Rede_TR008"/>
        <s v="Zona11_PB18_Rede_TR009"/>
        <s v="Zona11_PB18_Rede_TR010"/>
        <s v="Zona11_PB18_Rede_TR011"/>
        <s v="Zona11_PB18_Rede_TR012"/>
        <s v="Zona11_PB18_Rede_TR013"/>
        <s v="Zona11_PB18_Rede_TR014"/>
        <s v="Zona11_PB18_Rede_TR015"/>
        <s v="Zona11_PB18_Rede_TR016"/>
        <s v="Zona11_PB18_Rede_TR017"/>
        <s v="Zona11_PB18_Rede_TR018"/>
        <s v="Zona11_PB18_Rede_TR019"/>
        <s v="Zona11_PB18_Rede_TR020"/>
        <s v="Zona11_PB18_Rede_TR021"/>
        <s v="Zona11_PB18_Rede_TR022"/>
        <s v="Zona11_PB18_Rede_TR023"/>
        <s v="Zona11_PB18_Rede_TR024"/>
        <s v="Zona11_PB18_Rede_TR025"/>
        <s v="Zona11_PB18_Rede_TR026"/>
        <s v="Zona11_PB18_Rede_TR027"/>
        <s v="Zona11_PB18_Rede_TR028"/>
        <s v="Zona11_PB18_Rede_TR029"/>
        <s v="Zona11_PB18_Rede_TR030"/>
        <s v="Zona11_PB18_Rede_TR031"/>
        <s v="Zona11_PB18_Rede_TR032"/>
        <s v="Zona11_PB18_Rede_TR033"/>
        <s v="Zona11_PB18_Rede_TR034"/>
        <s v="Zona11_PB18_Rede_TR035"/>
        <s v="Zona11_PB19_Rede_TR001"/>
        <s v="Zona11_PB19_Rede_TR002"/>
        <s v="Zona11_PB19_Rede_TR003"/>
        <s v="Zona11_PB19_Rede_TR004"/>
        <s v="Zona11_PB19_Rede_TR005"/>
        <s v="Zona11_PB19_Rede_TR006"/>
        <s v="Zona11_PB19_Rede_TR007"/>
        <s v="Zona11_PB19_Rede_TR008"/>
        <s v="Zona11_PB19_Rede_TR009"/>
        <s v="Zona11_PB19_Rede_TR010"/>
        <s v="Zona11_PB19_Rede_TR011"/>
        <s v="Zona11_PB19_Rede_TR012"/>
        <s v="Zona11_PB19_Rede_TR013"/>
        <s v="Zona11_PB19_Rede_TR014"/>
        <s v="Zona11_PB19_Rede_TR015"/>
        <s v="Zona11_PB19_Rede_TR016"/>
        <s v="Zona11_PB19_Rede_TR017"/>
        <s v="Zona11_PB19_Rede_TR018"/>
        <s v="Zona11_PB19_Rede_TR019"/>
        <s v="Zona11_PB19_Rede_TR020"/>
        <s v="Zona11_PB20_Rede_TR001"/>
        <s v="Zona11_PB20_Rede_TR002"/>
        <s v="Zona11_PB20_Rede_TR003"/>
        <s v="Zona11_PB20_Rede_TR004"/>
        <s v="Zona11_PB20_Rede_TR005"/>
        <s v="Zona11_PB20_Rede_TR006"/>
        <s v="Zona11_PB20_Rede_TR007"/>
        <s v="Zona11_PB20_Rede_TR008"/>
        <s v="Zona11_PB20_Rede_TR009"/>
        <s v="Zona11_PB20_Rede_TR010"/>
        <s v="Zona11_PB20_Rede_TR011"/>
        <s v="Zona11_PB20_Rede_TR012"/>
        <s v="Zona11_PB20_Rede_TR013"/>
        <s v="Zona11_PB20_Rede_TR014"/>
        <s v="Zona11_PB20_Rede_TR015"/>
        <s v="Zona11_PB20_Rede_TR016"/>
        <s v="Zona11_PB20_Rede_TR017"/>
        <s v="Zona11_PB20_Rede_TR018"/>
        <s v="Zona11_PB22_Adutora_TR001"/>
        <s v="Zona11_PB22_Rede_TR001"/>
        <s v="Zona11_PB22_Rede_TR002"/>
        <s v="Zona11_PB22_Rede_TR003"/>
        <s v="Zona11_PB22_Rede_TR004"/>
        <s v="Zona11_PB22_Rede_TR005"/>
        <s v="Zona11_PB22_Rede_TR006"/>
        <s v="Zona11_PB22_Rede_TR007"/>
        <s v="Zona11_PB22_Rede_TR008"/>
        <s v="Zona11_PB22_Rede_TR009"/>
        <s v="Zona11_PB22_Rede_TR010"/>
        <s v="Zona11_PB22_Rede_TR011"/>
        <s v="Zona11_PB22_Rede_TR012"/>
        <s v="Zona11_PB22_Rede_TR013"/>
        <s v="Zona11_PB22_Rede_TR014"/>
        <s v="Zona11_PB22_Rede_TR015"/>
        <s v="Zona11_PB22_Rede_TR016"/>
        <s v="Zona11_PB22_Rede_TR017"/>
        <s v="Zona11_PB22_Rede_TR018"/>
        <s v="Zona11_PB22_Rede_TR019"/>
        <s v="Zona11_PB22_Rede_TR020"/>
        <s v="Zona11_PB22_Rede_TR021"/>
        <s v="Zona11_PB22_Rede_TR022"/>
        <s v="Zona11_PB22_Rede_TR023"/>
        <s v="Zona11_PB22_Rede_TR024"/>
        <s v="Zona11_PB22_Rede_TR025"/>
        <s v="Zona11_PB22_Rede_TR026"/>
        <s v="Zona11_PB22_Rede_TR027"/>
        <s v="Zona11_PB22_Rede_TR028"/>
        <s v="Zona11_PB22_Rede_TR029"/>
        <s v="Zona11_PB22_Rede_TR030"/>
        <s v="Zona11_PB22_Rede_TR031"/>
        <s v="Zona11_PB22_Rede_TR032"/>
        <s v="Zona11_PB23_Adutora_TR001"/>
        <s v="Zona11_PB23_Adutora_TR002"/>
        <s v="Zona11_PB23_Adutora_TR003"/>
        <s v="Zona11_PB23_Adutora_TR004"/>
        <s v="Zona11_PB23_Adutora_TR005"/>
        <s v="Zona11_PB23_Adutora_TR006"/>
        <s v="Zona11_PB23_Rede_TR001"/>
        <s v="Zona11_PB23_Rede_TR002"/>
        <s v="Zona11_PB23_Rede_TR003"/>
        <s v="Zona11_PB23_Rede_TR004"/>
        <s v="Zona11_PB23_Rede_TR005"/>
        <s v="Zona11_PB23_Rede_TR006"/>
        <s v="Zona11_PB23_Rede_TR007"/>
        <s v="Zona11_PB23_Rede_TR008"/>
        <s v="Zona11_PB23_Rede_TR009"/>
        <s v="Zona11_PB23_Rede_TR010"/>
        <s v="Zona11_PB23_Rede_TR011"/>
        <s v="Zona11_PB23_Rede_TR012"/>
        <s v="Zona11_PB23_Rede_TR013"/>
        <s v="Zona11_PB23_Rede_TR014"/>
        <s v="Zona11_PB23_Rede_TR015"/>
        <s v="Zona11_PB23_Rede_TR016"/>
        <s v="Zona11_PB23_Rede_TR017"/>
        <s v="Zona11_PB23_Rede_TR018"/>
        <s v="Zona11_PB23_Rede_TR019"/>
        <s v="Zona11_PB23_Rede_TR020"/>
        <s v="Zona11_PB23_Rede_TR021"/>
        <s v="Zona11_PB23_Rede_TR022"/>
        <s v="Zona11_PB23_Rede_TR023"/>
        <s v="Zona11_PB23_Rede_TR024"/>
        <s v="Zona11_PB23_Rede_TR025"/>
        <s v="Zona11_PB23_Rede_TR026"/>
        <s v="Zona11_PB23_Rede_TR027"/>
        <s v="Zona11_PB23_Rede_TR028"/>
        <s v="Zona11_PB23_Rede_TR029"/>
        <s v="Zona11_PB23_Rede_TR030"/>
        <s v="Zona11_PB23_Rede_TR031"/>
        <s v="Zona11_PB23_Rede_TR032"/>
        <s v="Zona11_PB23_Rede_TR033"/>
        <s v="Zona11_PB23_Rede_TR034"/>
        <s v="Zona11_PB23_Rede_TR035"/>
        <s v="Zona11_PB23_Rede_TR036"/>
        <s v="Zona11_PB23_Rede_TR037"/>
        <s v="Zona11_PB23_Rede_TR038"/>
        <s v="Zona11_PB23_Rede_TR039"/>
        <s v="Zona11_PB23_Rede_TR040"/>
        <s v="Zona11_PB23_Rede_TR041"/>
        <s v="Zona11_PB23_Rede_TR042"/>
        <s v="Zona11_PB23_Rede_TR043"/>
        <s v="Zona11_PB23_Rede_TR044"/>
        <s v="Zona11_PB23_Rede_TR045"/>
        <s v="Zona11_PB23_Rede_TR046"/>
        <s v="Zona11_PB23_Rede_TR047"/>
        <s v="Zona11_PB23_Rede_TR048"/>
        <s v="Zona11_PB23_Rede_TR049"/>
        <s v="Zona11_PB23_Rede_TR050"/>
        <s v="Zona11_PB23_Rede_TR051"/>
        <s v="Zona11_PB23_Rede_TR052"/>
        <s v="Zona11_PB23_Rede_TR053"/>
        <s v="Zona11_PB23_Rede_TR054"/>
        <s v="Zona11_PB23_Rede_TR055"/>
        <s v="Zona11_PB23_Rede_TR056"/>
        <s v="Zona11_PB23_Rede_TR057"/>
        <s v="Zona11_PB23_Rede_TR058"/>
        <s v="Zona11_PB23_Rede_TR059"/>
        <s v="Zona11_PB23_Rede_TR060"/>
        <s v="Zona11_PB23_Rede_TR061"/>
        <s v="Zona11_PB23_Rede_TR062"/>
        <s v="Zona11_PB23_Rede_TR063"/>
        <s v="Zona11_PB23_Rede_TR064"/>
        <s v="Zona11_PB23_Rede_TR065"/>
        <s v="Zona11_PB23_Rede_TR066"/>
        <s v="Zona11_PB23_Rede_TR067"/>
        <s v="Zona11_PB23_Rede_TR068"/>
        <s v="Zona11_PB23_Rede_TR069"/>
        <s v="Zona11_PB23_Rede_TR070"/>
        <s v="Zona11_PB23_Rede_TR071"/>
        <s v="Zona11_PB23_Rede_TR072"/>
        <s v="Zona11_PB23_Rede_TR073"/>
        <s v="Zona11_PB23_Rede_TR074"/>
        <s v="Zona11_PB23_Rede_TR075"/>
        <s v="Zona11_PB23_Rede_TR076"/>
        <s v="Zona11_PB23_Rede_TR077"/>
        <s v="Zona11_PB23_Rede_TR078"/>
        <s v="Zona11_PB23_Rede_TR079"/>
        <s v="Zona11_PB23_Rede_TR080"/>
        <s v="Zona11_PB23_Rede_TR081"/>
        <s v="Zona11_PB24_Rede_TR001"/>
        <s v="Zona11_PB24_Rede_TR002"/>
        <s v="Zona11_PB24_Rede_TR003"/>
        <s v="Zona11_PB24_Rede_TR004"/>
        <s v="Zona11_PB24_Rede_TR005"/>
        <s v="Zona11_PB24_Rede_TR006"/>
        <s v="Zona11_PB24_Rede_TR007"/>
        <s v="Zona11_PB24_Rede_TR008"/>
        <s v="Zona11_PB24_Rede_TR009"/>
        <s v="Zona11_PB24_Rede_TR010"/>
        <s v="Zona11_PB24_Rede_TR011"/>
        <s v="Zona11_PB24_Rede_TR012"/>
        <s v="Zona11_PB24_Rede_TR013"/>
        <s v="Zona11_PB24_Rede_TR014"/>
        <s v="Zona11_PB24_Rede_TR015"/>
        <s v="Zona11_PB24_Rede_TR016"/>
        <s v="Zona11_PB24_Rede_TR017"/>
        <s v="Zona11_PB24_Rede_TR018"/>
        <s v="Zona11_PB24_Rede_TR019"/>
        <s v="Zona11_PB24_Rede_TR020"/>
        <s v="Zona11_PB24_Rede_TR021"/>
        <s v="Zona11_PB24_Rede_TR022"/>
        <s v="Zona11_PB24_Rede_TR023"/>
        <s v="Zona11_PB24_Rede_TR024"/>
        <s v="Zona11_PB24_Rede_TR025"/>
        <s v="Zona11_PB24_Rede_TR026"/>
        <s v="Zona11_PB24_Rede_TR027"/>
        <s v="Zona11_PB24_Rede_TR028"/>
        <s v="Zona11_PB24_Rede_TR029"/>
        <s v="Zona11_PB24_Rede_TR030"/>
        <s v="Zona11_PB24_Rede_TR031"/>
        <s v="Zona11_PB24_Rede_TR032"/>
        <s v="Zona11_PB24_Rede_TR033"/>
        <s v="Zona11_PB24_Rede_TR034"/>
        <s v="Zona11_PB24_Rede_TR035"/>
        <s v="Zona11_PB24_Rede_TR036"/>
        <s v="Zona11_PB24_Rede_TR037"/>
        <s v="Zona11_PB24_Rede_TR038"/>
        <s v="Zona11_PB24_Rede_TR039"/>
        <s v="Zona11_PB24_Rede_TR040"/>
        <s v="Zona11_PB24_Rede_TR041"/>
        <s v="Zona11_PB25_Rede_TR001"/>
      </sharedItems>
    </cacheField>
    <cacheField name="CLASSIFICAÇÃO EXECUTIVA" numFmtId="0">
      <sharedItems count="3">
        <s v="PRIMÁRIA"/>
        <s v="SECUNDÁRIA"/>
        <s v="TERCIÁRIA"/>
      </sharedItems>
    </cacheField>
    <cacheField name="Nº DESENHO" numFmtId="0">
      <sharedItems count="25">
        <s v="A.RED.SSB-D014.V03.T01.002/037"/>
        <s v="A.RED.SSB-D014.V03.T01.003/037"/>
        <s v="A.RED.SSB-D014.V03.T01.004/037"/>
        <s v="A.RED.SSB-D014.V03.T01.005/037"/>
        <s v="A.RED.SSB-D014.V03.T01.006/037"/>
        <s v="A.RED.SSB-D014.V03.T01.007/037"/>
        <s v="A.RED.SSB-D014.V03.T01.008/037"/>
        <s v="A.RED.SSB-D014.V03.T01.009/037"/>
        <s v="A.RED.SSB-D014.V03.T01.010/037"/>
        <s v="A.RED.SSB-D014.V03.T01.011/037"/>
        <s v="A.RED.SSB-D014.V03.T01.012/037"/>
        <s v="A.RED.SSB-D014.V03.T01.013/037"/>
        <s v="A.RED.SSB-D014.V03.T01.014/037"/>
        <s v="A.RED.SSB-D014.V03.T01.015/037"/>
        <s v="A.RED.SSB-D014.V03.T01.016/037"/>
        <s v="A.RED.SSB-D014.V03.T01.017/037"/>
        <s v="A.RED.SSB-D014.V03.T01.018/037"/>
        <s v="A.RED.SSB-D014.V03.T01.019/037"/>
        <s v="A.RED.SSB-D014.V03.T01.020/037"/>
        <s v="A.RED.SSB-D014.V03.T01.021/037"/>
        <s v="A.RED.SSB-D014.V03.T01.022/037"/>
        <s v="A.RED.SSB-D014.V03.T01.023/037"/>
        <s v="A.RED.SSB-D014.V03.T01.024/037"/>
        <s v="A.RED.SSB-D014.V03.T01.025/037"/>
        <s v="A.RED.SSB-D014.V03.T01.026/037"/>
      </sharedItems>
    </cacheField>
    <cacheField name="PRANCHA" numFmtId="0">
      <sharedItems count="25">
        <s v="002/037"/>
        <s v="003/037"/>
        <s v="004/037"/>
        <s v="005/037"/>
        <s v="006/037"/>
        <s v="007/037"/>
        <s v="008/037"/>
        <s v="009/037"/>
        <s v="010/037"/>
        <s v="011/037"/>
        <s v="012/037"/>
        <s v="013/037"/>
        <s v="014/037"/>
        <s v="015/037"/>
        <s v="016/037"/>
        <s v="017/037"/>
        <s v="018/037"/>
        <s v="019/037"/>
        <s v="020/037"/>
        <s v="021/037"/>
        <s v="022/037"/>
        <s v="023/037"/>
        <s v="024/037"/>
        <s v="025/037"/>
        <s v="026/037"/>
      </sharedItems>
    </cacheField>
    <cacheField name="REVISÃO" numFmtId="0">
      <sharedItems containsBlank="1" count="2">
        <s v="REVISÃO 08"/>
        <m/>
      </sharedItems>
    </cacheField>
    <cacheField name="DATA REVISÃO" numFmtId="0">
      <sharedItems containsNonDate="0" containsDate="1" containsString="0" containsBlank="1" minDate="2025-08-13T00:00:00" maxDate="2025-08-13T00:00:00" count="2">
        <d v="2025-08-13T00:00:00"/>
        <m/>
      </sharedItems>
    </cacheField>
    <cacheField name="DELIMITIAÇÃO" numFmtId="0">
      <sharedItems containsBlank="1" count="6">
        <s v="BAIRRO CRIXÁ"/>
        <s v="SAI EPCT"/>
        <s v="ST BAIRRO RESID VITÓRIA"/>
        <s v="ST MORRO DA CRUZ"/>
        <s v="ST ZUMBI DOS PALMARES"/>
        <m/>
      </sharedItems>
    </cacheField>
    <cacheField name="CONJUNTO" numFmtId="0">
      <sharedItems containsBlank="1" count="129">
        <s v="CHÁCARA 02"/>
        <s v="CHÁCARA 04"/>
        <s v="CHÁCARA 05"/>
        <s v="CHÁCARA 1/2"/>
        <s v="CHÁCARA 10"/>
        <s v="CHÁCARA 10B"/>
        <s v="CHÁCARA 11"/>
        <s v="CHÁCARA 14"/>
        <s v="CHÁCARA 15"/>
        <s v="CHÁCARA 16"/>
        <s v="CHÁCARA 17"/>
        <s v="CHÁCARA 18"/>
        <s v="CHÁCARA 19"/>
        <s v="CHÁCARA 20"/>
        <s v="CHÁCARA 21"/>
        <s v="CHÁCARA 22"/>
        <s v="CHÁCARA 23"/>
        <s v="CHÁCARA 25"/>
        <s v="CHÁCARA 25A"/>
        <s v="CHÁCARA 25B"/>
        <s v="CHÁCARA 26"/>
        <s v="CHÁCARA 27"/>
        <s v="CHÁCARA 27A"/>
        <s v="CHÁCARA 27B"/>
        <s v="CHÁCARA 28"/>
        <s v="CHÁCARA 28/30"/>
        <s v="CHÁCARA 29"/>
        <s v="CHÁCARA 30"/>
        <s v="CHÁCARA 32"/>
        <s v="CHÁCARA 33"/>
        <s v="CHÁCARA 34"/>
        <s v="CHÁCARA 35"/>
        <s v="CHÁCARA 35S/N"/>
        <s v="CHÁCARA 37"/>
        <s v="CHÁCARA 37S/N"/>
        <s v="CHÁCARA 38"/>
        <s v="CHÁCARA 39"/>
        <s v="CHÁCARA 3A"/>
        <s v="CHÁCARA 4"/>
        <s v="CHÁCARA 40"/>
        <s v="CHÁCARA 41"/>
        <s v="CHÁCARA 42"/>
        <s v="CHÁCARA 42S/N"/>
        <s v="CHÁCARA 43"/>
        <s v="CHÁCARA 43S/N"/>
        <s v="CHÁCARA 44"/>
        <s v="CHÁCARA 45A"/>
        <s v="CHÁCARA 46"/>
        <s v="CHÁCARA 47"/>
        <s v="CHÁCARA 48"/>
        <s v="CHÁCARA 49"/>
        <s v="CHÁCARA 4S/N"/>
        <s v="CHÁCARA 5"/>
        <s v="CHÁCARA 50"/>
        <s v="CHÁCARA 50A"/>
        <s v="CHÁCARA 51"/>
        <s v="CHÁCARA 52"/>
        <s v="CHÁCARA 53"/>
        <s v="CHÁCARA 54"/>
        <s v="CHÁCARA 55"/>
        <s v="CHÁCARA 55B"/>
        <s v="CHÁCARA 56"/>
        <s v="CHÁCARA 57"/>
        <s v="CHÁCARA 58"/>
        <s v="CHÁCARA 59"/>
        <s v="CHÁCARA 60"/>
        <s v="CHÁCARA 61"/>
        <s v="CHÁCARA 62"/>
        <s v="CHÁCARA 64"/>
        <s v="CHÁCARA 66"/>
        <s v="CHÁCARA 67S/N"/>
        <s v="CHÁCARA 68"/>
        <s v="CHÁCARA 7"/>
        <s v="CHÁCARA 74"/>
        <s v="CHÁCARA 77"/>
        <s v="CHÁCARA 7A"/>
        <s v="CHÁCARA 8"/>
        <s v="CHÁCARA 8 CHÁCARA CRISTAL"/>
        <s v="CHÁCARA 85"/>
        <s v="CHÁCARA 9"/>
        <s v="CHÁCARA BURITIS 18/19"/>
        <s v="CHÁCARA GIRASSOL"/>
        <s v="CHÁCARA ROSA DE SARON"/>
        <s v="CHÁCARA VEREDA"/>
        <s v="Q 11"/>
        <s v="Q 12"/>
        <s v="Q 13"/>
        <s v="Q 14"/>
        <s v="Q 18 CJ B"/>
        <s v="Q 19"/>
        <s v="Q 20"/>
        <s v="Q 21"/>
        <s v="Q 25"/>
        <s v="Q 25B"/>
        <s v="Q 27"/>
        <s v="Q 28"/>
        <s v="Q 3"/>
        <s v="Q 3 CJ 2"/>
        <s v="Q 32"/>
        <s v="Q 33"/>
        <s v="Q 34"/>
        <s v="Q 35"/>
        <s v="Q 36"/>
        <s v="Q 36 CJ C"/>
        <s v="Q 37"/>
        <s v="Q 37 CJ B"/>
        <s v="Q 37 CJ H"/>
        <s v="Q 38"/>
        <s v="Q 4"/>
        <s v="Q 43"/>
        <s v="Q 44"/>
        <s v="Q 45"/>
        <s v="Q 46"/>
        <s v="Q 48"/>
        <s v="Q 5"/>
        <s v="Q 50"/>
        <s v="Q 53"/>
        <s v="Q 54"/>
        <s v="Q 6"/>
        <s v="Q 60 CJ D"/>
        <s v="Q 61"/>
        <s v="Q 62 CJ C"/>
        <s v="Q 66"/>
        <s v="Q 7 CJ F"/>
        <s v="Q 7 CJ H"/>
        <s v="Q 8"/>
        <s v="Q 9"/>
        <s v="RUA CAPAO COMPRIDO"/>
        <m/>
      </sharedItems>
    </cacheField>
    <cacheField name="LOTE" numFmtId="0">
      <sharedItems count="1">
        <s v="S/DEFINIÇÃO"/>
      </sharedItems>
    </cacheField>
    <cacheField name="DIST. CANTEIRO" numFmtId="0">
      <sharedItems containsSemiMixedTypes="0" containsString="0" containsNumber="1" minValue="1.2" maxValue="6.4" count="52">
        <n v="1.2"/>
        <n v="1.3"/>
        <n v="1.4"/>
        <n v="1.5"/>
        <n v="1.6"/>
        <n v="1.7"/>
        <n v="1.8"/>
        <n v="1.9"/>
        <n v="2"/>
        <n v="2.1"/>
        <n v="2.2"/>
        <n v="2.3"/>
        <n v="2.4"/>
        <n v="2.5"/>
        <n v="2.6"/>
        <n v="2.7"/>
        <n v="2.8"/>
        <n v="2.9"/>
        <n v="3"/>
        <n v="3.1"/>
        <n v="3.2"/>
        <n v="3.3"/>
        <n v="3.4"/>
        <n v="3.5"/>
        <n v="3.6"/>
        <n v="3.7"/>
        <n v="3.8"/>
        <n v="3.9"/>
        <n v="4"/>
        <n v="4.1"/>
        <n v="4.2"/>
        <n v="4.3"/>
        <n v="4.4"/>
        <n v="4.5"/>
        <n v="4.6"/>
        <n v="4.7"/>
        <n v="4.8"/>
        <n v="4.9"/>
        <n v="5"/>
        <n v="5.1"/>
        <n v="5.2"/>
        <n v="5.3"/>
        <n v="5.4"/>
        <n v="5.5"/>
        <n v="5.6"/>
        <n v="5.7"/>
        <n v="5.8"/>
        <n v="5.9"/>
        <n v="6"/>
        <n v="6.1"/>
        <n v="6.2"/>
        <n v="6.4"/>
      </sharedItems>
    </cacheField>
    <cacheField name="OBSERVAÇÕES" numFmtId="0">
      <sharedItems count="1421">
        <s v="TRECHO DE DIVISA DE ZONA A DIVISA DE ZONA; TRECHO DIVIDIDO NA DIVISA DE ZONA (TRECHO ORIGINAL ENTRE PONTOS DA REDE: 251,66 M)"/>
        <s v="TRECHO DE DIVISA DE ZONA A DIVISA DE ZONA; TRECHO DIVIDIDO NA DIVISA DE ZONA (TRECHO ORIGINAL ENTRE PONTOS DA REDE: 326,73 M)"/>
        <s v="TRECHO DE DIVISA DE ZONA A DIVISA DE ZONA; TRECHO DIVIDIDO NA DIVISA DE ZONA (TRECHO ORIGINAL ENTRE PONTOS DA REDE: 332,12 M)"/>
        <s v="TRECHO DE DIVISA DE ZONA A DIVISA DE ZONA; TRECHO DIVIDIDO NA DIVISA DE ZONA (TRECHO ORIGINAL ENTRE PONTOS DA REDE: 412,13 M)"/>
        <s v="TRECHO DE DIVISA DE ZONA A DIVISA DE ZONA; TRECHO DIVIDIDO NA DIVISA DE ZONA (TRECHO ORIGINAL ENTRE PONTOS DA REDE: 534,48 M)"/>
        <s v="TRECHO DE DIVISA DE ZONA A DIVISA DE ZONA; TRECHO DIVIDIDO NA DIVISA DE ZONA (TRECHO ORIGINAL ENTRE PONTOS DA REDE: 540,44 M)"/>
        <s v="TRECHO DE DIVISA DE ZONA A DIVISA DE ZONA; TRECHO DIVIDIDO NA DIVISA DE ZONA (TRECHO ORIGINAL ENTRE PONTOS DA REDE: 571,48 M)"/>
        <s v="TRECHO DE DIVISA DE ZONA A PONTA SEM NÓ NA TABELA; TRECHO DIVIDIDO NA DIVISA DE ZONA (TRECHO ORIGINAL ENTRE PONTOS DA REDE: 77,94 M)"/>
        <s v="TRECHO DE DIVISA DE ZONA A Zona02_PB05_CH_MV-01; TRECHO DIVIDIDO NA DIVISA DE ZONA (TRECHO ORIGINAL ENTRE PONTOS DA REDE: 88,97 M)"/>
        <s v="TRECHO DE DIVISA DE ZONA A Zona02_PB07_Rede_NÓ94.1; TRECHO DIVIDIDO NA DIVISA DE ZONA (TRECHO ORIGINAL ENTRE PONTOS DA REDE: 326,73 M)"/>
        <s v="TRECHO DE DIVISA DE ZONA A Zona02_PB10_CH_MV-02; TRECHO DIVIDIDO NA DIVISA DE ZONA (TRECHO ORIGINAL ENTRE PONTOS DA REDE: 22,27 M)"/>
        <s v="TRECHO DE DIVISA DE ZONA A Zona03_PB08_CH_VM-5.4; TRECHO DIVIDIDO NA DIVISA DE ZONA (TRECHO ORIGINAL ENTRE PONTOS DA REDE: 43,98 M)"/>
        <s v="TRECHO DE DIVISA DE ZONA A Zona03_PB08_Rede_NÓ6.1; TRECHO DIVIDIDO NA DIVISA DE ZONA (TRECHO ORIGINAL ENTRE PONTOS DA REDE: 332,12 M)"/>
        <s v="TRECHO DE DIVISA DE ZONA A Zona04_PB05_Rede_NÓ13.1; TRECHO DIVIDIDO NA DIVISA DE ZONA (TRECHO ORIGINAL ENTRE PONTOS DA REDE: 461,80 M)"/>
        <s v="TRECHO DE DIVISA DE ZONA A Zona05_PB10_Rede_NÓ13.1; TRECHO DIVIDIDO NA DIVISA DE ZONA (TRECHO ORIGINAL ENTRE PONTOS DA REDE: 412,13 M)"/>
        <s v="TRECHO DE DIVISA DE ZONA A Zona06_PB12_Adutora_NÓ42.1; TRECHO DIVIDIDO NA DIVISA DE ZONA (TRECHO ORIGINAL ENTRE PONTOS DA REDE: 716,45 M)"/>
        <s v="TRECHO DE DIVISA DE ZONA A Zona06_PB14_CH_VM-5.1; TRECHO DIVIDIDO NA DIVISA DE ZONA (TRECHO ORIGINAL ENTRE PONTOS DA REDE: 534,48 M)"/>
        <s v="TRECHO DE DIVISA DE ZONA A Zona06_PB15_Rede_NÓ1.3; TRECHO DIVIDIDO NA DIVISA DE ZONA (TRECHO ORIGINAL ENTRE PONTOS DA REDE: 130,60 M)"/>
        <s v="TRECHO DE DIVISA DE ZONA A Zona07_PB18_Rede_NÓ1.1; TRECHO DIVIDIDO NA DIVISA DE ZONA (TRECHO ORIGINAL ENTRE PONTOS DA REDE: 251,66 M)"/>
        <s v="TRECHO DE DIVISA DE ZONA A Zona09_PB14_Adutora_NÓ99.1; TRECHO DIVIDIDO NA DIVISA DE ZONA (TRECHO ORIGINAL ENTRE PONTOS DA REDE: 145,82 M)"/>
        <s v="TRECHO DE DIVISA DE ZONA A Zona10_PB10_Rede_NÓ13.2; TRECHO DIVIDIDO NA DIVISA DE ZONA (TRECHO ORIGINAL ENTRE PONTOS DA REDE: 24,33 M)"/>
        <s v="TRECHO DE DIVISA DE ZONA A Zona10_PB11_Rede_NÓ2.4; TRECHO DIVIDIDO NA DIVISA DE ZONA (TRECHO ORIGINAL ENTRE PONTOS DA REDE: 140,20 M)"/>
        <s v="TRECHO DE DIVISA DE ZONA A Zona10_PB11_Rede_NÓ54.4; INCLUI 4,05 M DE TUBO DESENHADO NO PRÓPRIO NÓ (NÓ54.4: anel de ponta/toco); TRECHO DIVIDIDO NA DIVISA DE ZONA (TRECHO ORIGINAL ENTRE PONTOS DA REDE: 427,48 M)"/>
        <s v="TRECHO DE DIVISA DE ZONA A Zona10_PB14_Rede_NÓ9.2; TRECHO DIVIDIDO NA DIVISA DE ZONA (TRECHO ORIGINAL ENTRE PONTOS DA REDE: 540,44 M)"/>
        <s v="TRECHO DE DIVISA DE ZONA A Zona11_PB17_Adutora_NÓ51.1; INCLUI 0,10 M DE TUBO DESENHADO NO PRÓPRIO NÓ (NÓ51.1: anel de ponta/toco); TRECHO DIVIDIDO NA DIVISA DE ZONA (TRECHO ORIGINAL ENTRE PONTOS DA REDE: 571,48 M)"/>
        <s v="TRECHO DE DIVISA DE ZONA A Zona11_PB17_Adutora_NÓ51.1; TRECHO DIVIDIDO NA DIVISA DE ZONA (TRECHO ORIGINAL ENTRE PONTOS DA REDE: 608,92 M)"/>
        <s v="TRECHO DE JUNÇÃO SEM NÓ NA TABELA A Zona04_PB05_CH_VM-4.1"/>
        <s v="TRECHO DE JUNÇÃO SEM NÓ NA TABELA A Zona04_PB05_Rede_NÓ54.2; INCLUI 4,00 M DE TUBO DESENHADO NO PRÓPRIO NÓ (NÓ54.2: anel de ponta/toco)"/>
        <s v="TRECHO DE JUNÇÃO SEM NÓ NA TABELA A Zona06_PB12_Rede_NÓ54.1; INCLUI 4,00 M DE TUBO DESENHADO NO PRÓPRIO NÓ (NÓ54.1: anel de ponta/toco)"/>
        <s v="TRECHO DE JUNÇÃO SEM NÓ NA TABELA A Zona06_PB12_Rede_NÓ54.2; INCLUI 4,00 M DE TUBO DESENHADO NO PRÓPRIO NÓ (NÓ54.2: anel de ponta/toco)"/>
        <s v="TRECHO DE LIMITE DA TRAVESSIA MND A LIMITE DA TRAVESSIA MND; TRAVESSIA MND (CAMADA MND DO DWG); ITEM BM 5.16.7; TRECHO DIVIDIDO NO LIMITE DA TRAVESSIA MND (TRECHO ORIGINAL ENTRE PONTOS DA REDE: 434,19 M)"/>
        <s v="TRECHO DE LIMITE DA TRAVESSIA MND A Zona02_PB04_Rede_NÓ2.3; TRAVESSIA MND (CAMADA MND DO DWG); ITEM BM 5.16.7; TRECHO DIVIDIDO NO LIMITE DA TRAVESSIA MND (TRECHO ORIGINAL ENTRE PONTOS DA REDE: 223,68 M)"/>
        <s v="TRECHO DE LIMITE DA TRAVESSIA MND A Zona09_PB13_Rede_NÓ2.1; TRAVESSIA MND (CAMADA MND DO DWG); ITEM BM 5.16.7; TRECHO DIVIDIDO NO LIMITE DA TRAVESSIA MND (TRECHO ORIGINAL ENTRE PONTOS DA REDE: 123,99 M)"/>
        <s v="TRECHO DE LIMITE DA TRAVESSIA MND A Zona09_PB16_Rede_NÓ1.1; TRECHO DIVIDIDO NO LIMITE DA TRAVESSIA MND (TRECHO ORIGINAL ENTRE PONTOS DA REDE: 434,19 M)"/>
        <s v="TRECHO DE LIMITE DA TRAVESSIA MND A Zona09_PB16_Rede_NÓ1.3; TRECHO DIVIDIDO NO LIMITE DA TRAVESSIA MND (TRECHO ORIGINAL ENTRE PONTOS DA REDE: 402,04 M)"/>
        <s v="TRECHO DE PONTA SEM NÓ NA TABELA A DIVISA DE ZONA; TRECHO DIVIDIDO NA DIVISA DE ZONA (TRECHO ORIGINAL ENTRE PONTOS DA REDE: 251,66 M)"/>
        <s v="TRECHO DE PONTA SEM NÓ NA TABELA A LIMITE DA TRAVESSIA MND; TRECHO DIVIDIDO NO LIMITE DA TRAVESSIA MND (TRECHO ORIGINAL ENTRE PONTOS DA REDE: 123,99 M)"/>
        <s v="TRECHO DE PONTA SEM NÓ NA TABELA A LIMITE DA TRAVESSIA MND; TRECHO DIVIDIDO NO LIMITE DA TRAVESSIA MND (TRECHO ORIGINAL ENTRE PONTOS DA REDE: 434,19 M)"/>
        <s v="TRECHO DE PONTA SEM NÓ NA TABELA A PONTA SEM NÓ NA TABELA"/>
        <s v="TRECHO DE PONTA SEM NÓ NA TABELA A PONTA SEM NÓ NA TABELA; INCLUI 0,08 M DE TUBO DESENHADO NO PRÓPRIO NÓ (nó: anel de ponta/toco)"/>
        <s v="TRECHO DE PONTA SEM NÓ NA TABELA A Zona02_PB07_Adutora_NÓ94.1"/>
        <s v="TRECHO DE PONTA SEM NÓ NA TABELA A Zona02_PB07_Rede_NÓ1.3; INCLUI 0,23 M DE TUBO DESENHADO NO PRÓPRIO NÓ (NÓ1.4: anel de ponta/toco)"/>
        <s v="TRECHO DE PONTA SEM NÓ NA TABELA A Zona03_PB06_Rede_NÓ2.6"/>
        <s v="TRECHO DE PONTA SEM NÓ NA TABELA A Zona04_PB03_Rede_NÓ1.3"/>
        <s v="TRECHO DE PONTA SEM NÓ NA TABELA A Zona06_PB12_Rede_NÓ107.1"/>
        <s v="TRECHO DE PONTA SEM NÓ NA TABELA A Zona07_PB14_Rede_NÓ59.1"/>
        <s v="TRECHO DE PONTA SEM NÓ NA TABELA A Zona07_PB14_Rede_NÓ60.2"/>
        <s v="TRECHO DE PONTA SEM NÓ NA TABELA A Zona07_PB15_Rede_NÓ2.1"/>
        <s v="TRECHO DE PONTA SEM NÓ NA TABELA A Zona07_PB15_Rede_NÓ56.1"/>
        <s v="TRECHO DE PONTA SEM NÓ NA TABELA A Zona07_PB17_Rede_NÓ56.1; INCLUI 0,15 M DE TUBO DESENHADO NO PRÓPRIO NÓ (NÓ56.1: anel de ponta/toco)"/>
        <s v="TRECHO DE PONTA SEM NÓ NA TABELA A Zona07_PB17_Rede_NÓ59.3"/>
        <s v="TRECHO DE PONTA SEM NÓ NA TABELA A Zona07_PB17_Rede_NÓ62.1; INCLUI 0,07 M DE TUBO DESENHADO NO PRÓPRIO NÓ (NÓ62.1: anel de ponta/toco)"/>
        <s v="TRECHO DE PONTA SEM NÓ NA TABELA A Zona07_PB19_Rede_NÓ54.9"/>
        <s v="TRECHO DE PONTA SEM NÓ NA TABELA A Zona08_PB10_Rede_NÓ1.13"/>
        <s v="TRECHO DE PONTA SEM NÓ NA TABELA A Zona08_PB10_Rede_NÓ54.4"/>
        <s v="TRECHO DE PONTA SEM NÓ NA TABELA A Zona08_PB10_Rede_NÓ60.1; INCLUI 0,55 M DE TUBO DESENHADO NO PRÓPRIO NÓ (NÓ60.1: anel de ponta/toco)"/>
        <s v="TRECHO DE PONTA SEM NÓ NA TABELA A Zona09_PB13_Rede_NÓ1.5"/>
        <s v="TRECHO DE PONTA SEM NÓ NA TABELA A Zona09_PB16_Rede_NÓ1.2"/>
        <s v="TRECHO DE PONTA SEM NÓ NA TABELA A Zona09_PB16_Rede_NÓ59.1"/>
        <s v="TRECHO DE PONTA SEM NÓ NA TABELA A Zona10_PB11_Rede_DF-17"/>
        <s v="TRECHO DE PONTA SEM NÓ NA TABELA A Zona11_PB18_Rede_NÓ54.11; INCLUI 4,01 M DE TUBO DESENHADO NO PRÓPRIO NÓ (NÓ54.11: anel de ponta/toco)"/>
        <s v="TRECHO DE PONTA SEM NÓ NA TABELA A Zona11_PB22_Rede_NÓ1.7"/>
        <s v="TRECHO DE PONTA SEM NÓ NA TABELA A Zona11_PB23_Adutora_NÓ39.2"/>
        <s v="TRECHO DE PONTA SEM NÓ NA TABELA A Zona11_PB23_Rede_NÓ79.1"/>
        <s v="TRECHO DE Zona01_PB01_Rede_DF-33 A Zona01_PB01_Rede_NÓ1.5"/>
        <s v="TRECHO DE Zona01_PB01_Rede_NÓ1.1 A Zona01_PB01_Rede_NÓ106.1"/>
        <s v="TRECHO DE Zona01_PB01_Rede_NÓ1.11 A Zona01_PB01_Rede_DF-41; INCLUI 0,46 M DE TUBO DESENHADO NO PRÓPRIO NÓ (DF-41: anel de ponta/toco)"/>
        <s v="TRECHO DE Zona01_PB01_Rede_NÓ1.11 A Zona04_PB01_Rede_NÓ74.1"/>
        <s v="TRECHO DE Zona01_PB01_Rede_NÓ1.2 A Zona01_PB01_Rede_NÓ2.4"/>
        <s v="TRECHO DE Zona01_PB01_Rede_NÓ1.3 A Zona01_PB01_Rede_NÓ2.6"/>
        <s v="TRECHO DE Zona01_PB01_Rede_NÓ1.3 A Zona01_PB01_Rede_NÓ57.3; INCLUI 0,42 M DE TUBO DESENHADO NO PRÓPRIO NÓ (NÓ57.3: anel de ponta/toco)"/>
        <s v="TRECHO DE Zona01_PB01_Rede_NÓ1.4 A Zona01_PB02_Rede_NÓ1.13"/>
        <s v="TRECHO DE Zona01_PB01_Rede_NÓ1.5 A Zona01_PB01_Rede_NÓ1.3"/>
        <s v="TRECHO DE Zona01_PB01_Rede_NÓ1.6 A Zona01_PB01_Rede_NÓ1.4"/>
        <s v="TRECHO DE Zona01_PB01_Rede_NÓ1.6 A Zona01_PB02_Rede_NÓ55.7; INCLUI 1,04 M DE TUBO DESENHADO NO PRÓPRIO NÓ (NÓ55.7: anel de ponta/toco)"/>
        <s v="TRECHO DE Zona01_PB01_Rede_NÓ1.7 A Zona01_PB01_Rede_NÓ1.5"/>
        <s v="TRECHO DE Zona01_PB01_Rede_NÓ1.7 A Zona01_PB01_Rede_NÓ54.1; INCLUI 3,98 M DE TUBO DESENHADO NO PRÓPRIO NÓ (NÓ54.1: anel de ponta/toco)"/>
        <s v="TRECHO DE Zona01_PB01_Rede_NÓ1.8 A Zona01_PB01_Rede_NÓ1.7; INCLUI 0,01 M DE TUBO DESENHADO NO PRÓPRIO NÓ (NÓ1.8: anel de ponta/toco)"/>
        <s v="TRECHO DE Zona01_PB01_Rede_NÓ1.8 A Zona01_PB01_Rede_NÓ2.7"/>
        <s v="TRECHO DE Zona01_PB01_Rede_NÓ1.9 A Zona01_PB01_Rede_NÓ1.8"/>
        <s v="TRECHO DE Zona01_PB01_Rede_NÓ105.1 A Zona01_PB01_Rede_NÓ1.6"/>
        <s v="TRECHO DE Zona01_PB01_Rede_NÓ105.1 A Zona01_PB01_Rede_NÓ57.1"/>
        <s v="TRECHO DE Zona01_PB01_Rede_NÓ106.1 A Zona01_PB01_Rede_NÓ106.2"/>
        <s v="TRECHO DE Zona01_PB01_Rede_NÓ106.2 A Zona01_PB01_Rede_NÓ1.1"/>
        <s v="TRECHO DE Zona01_PB01_Rede_NÓ106.2 A Zona01_PB01_Rede_NÓ57.2"/>
        <s v="TRECHO DE Zona01_PB01_Rede_NÓ107.1 A Zona01_PB01_Rede_NÓ113.1"/>
        <s v="TRECHO DE Zona01_PB01_Rede_NÓ107.2 A Zona01_PB01_Rede_NÓ1.9"/>
        <s v="TRECHO DE Zona01_PB01_Rede_NÓ113.1 A Zona01_PB01_Rede_NÓ59.1"/>
        <s v="TRECHO DE Zona01_PB01_Rede_NÓ2.1 A Zona01_PB01_Rede_NÓ2.2"/>
        <s v="TRECHO DE Zona01_PB01_Rede_NÓ2.2 A Zona01_PB01_Rede_NÓ1.1"/>
        <s v="TRECHO DE Zona01_PB01_Rede_NÓ2.3 A Zona01_PB01_Rede_NÓ2.1"/>
        <s v="TRECHO DE Zona01_PB01_Rede_NÓ2.4 A Zona01_PB01_Rede_NÓ2.3"/>
        <s v="TRECHO DE Zona01_PB01_Rede_NÓ2.5 A Zona01_PB01_Rede_NÓ1.2"/>
        <s v="TRECHO DE Zona01_PB01_Rede_NÓ2.6 A Zona01_PB01_Rede_NÓ2.5"/>
        <s v="TRECHO DE Zona01_PB01_Rede_NÓ2.7 A Zona01_PB01_Rede_DF-33"/>
        <s v="TRECHO DE Zona01_PB01_Rede_NÓ3.1 A Zona01_PB01_Rede_NÓ106.1"/>
        <s v="TRECHO DE Zona01_PB01_Rede_NÓ54.2 A Zona01_PB01_Rede_NÓ56.1; INCLUI 4,54 M DE TUBO DESENHADO NO PRÓPRIO NÓ (NÓ54.2, NÓ56.1: anel de ponta/toco)"/>
        <s v="TRECHO DE Zona01_PB01_Rede_NÓ56.1 A Zona01_PB01_Rede_NÓ56.3; INCLUI 0,17 M DE TUBO DESENHADO NO PRÓPRIO NÓ (NÓ56.1, NÓ56.3: anel de ponta/toco)"/>
        <s v="TRECHO DE Zona01_PB01_Rede_NÓ56.3 A Zona01_PB01_Rede_NÓ54.3; INCLUI 8,40 M DE TUBO DESENHADO NO PRÓPRIO NÓ (NÓ54.3, NÓ56.3: anel de ponta/toco)"/>
        <s v="TRECHO DE Zona01_PB01_Rede_NÓ56.3 A Zona01_PB01_Rede_NÓ56.4"/>
        <s v="TRECHO DE Zona01_PB01_Rede_NÓ56.4 A Zona01_PB01_Rede_NÓ113.1; INCLUI 0,48 M DE TUBO DESENHADO NO PRÓPRIO NÓ (NÓ113.1, NÓ56.4: anel de ponta/toco)"/>
        <s v="TRECHO DE Zona01_PB01_Rede_NÓ56.4 A Zona01_PB01_Rede_NÓ54.4; INCLUI 0,44 M DE TUBO DESENHADO NO PRÓPRIO NÓ (NÓ56.4: anel de ponta/toco)"/>
        <s v="TRECHO DE Zona01_PB01_Rede_NÓ57.1 A Zona01_PB01_Rede_NÓ107.1"/>
        <s v="TRECHO DE Zona01_PB01_Rede_NÓ57.1 A Zona01_PB01_Rede_NÓ3.1"/>
        <s v="TRECHO DE Zona01_PB01_Rede_NÓ57.2 A Zona01_PB01_Rede_NÓ1.2; INCLUI 0,37 M DE TUBO DESENHADO NO PRÓPRIO NÓ (NÓ57.2: anel de ponta/toco)"/>
        <s v="TRECHO DE Zona01_PB01_Rede_NÓ57.2 A Zona01_PB01_Rede_NÓ57.3"/>
        <s v="TRECHO DE Zona01_PB01_Rede_NÓ57.3 A Zona01_PB01_Rede_NÓ92.1"/>
        <s v="TRECHO DE Zona01_PB01_Rede_NÓ59.1 A Zona01_PB01_Rede_NÓ1.11"/>
        <s v="TRECHO DE Zona01_PB01_Rede_NÓ59.1 A Zona01_PB01_Rede_NÓ107.2"/>
        <s v="TRECHO DE Zona01_PB01_Rede_NÓ63.1 A Zona01_PB01_Rede_NÓ1.9; INCLUI 0,06 M DE TUBO DESENHADO NO PRÓPRIO NÓ (NÓ1.9, NÓ63.1: anel de ponta/toco)"/>
        <s v="TRECHO DE Zona01_PB01_Rede_NÓ63.1 A Zona01_PB01_Rede_NÓ107.2; INCLUI 0,34 M DE TUBO DESENHADO NO PRÓPRIO NÓ (NÓ63.1: anel de ponta/toco)"/>
        <s v="TRECHO DE Zona01_PB01_Rede_NÓ69.1 A Zona01_PB01_Rede_NÓ107.1"/>
        <s v="TRECHO DE Zona01_PB01_Rede_NÓ69.1 A Zona01_PB01_Rede_NÓ3.1"/>
        <s v="TRECHO DE Zona01_PB01_Rede_NÓ92.1 A Zona01_PB01_Rede_NÓ63.1"/>
        <s v="TRECHO DE Zona01_PB01_Rede_NÓ92.1 A Zona01_PB01_Rede_NÓ69.1"/>
        <s v="TRECHO DE Zona01_PB02_CH_VM-1.2 A Zona01_PB02_Rede_NÓ11.1"/>
        <s v="TRECHO DE Zona01_PB02_Rede_DF-29 A Zona01_PB02_Rede_NÓ2.2"/>
        <s v="TRECHO DE Zona01_PB02_Rede_DF-30 A Zona01_PB02_Rede_NÓ2.7"/>
        <s v="TRECHO DE Zona01_PB02_Rede_DF-31 A Zona01_PB05_Rede_NÓ56.5"/>
        <s v="TRECHO DE Zona01_PB02_Rede_DF-32 A Zona01_PB02_Rede_NÓ2.10"/>
        <s v="TRECHO DE Zona01_PB02_Rede_NÓ1.1 A Zona01_PB02_Rede_DF-30"/>
        <s v="TRECHO DE Zona01_PB02_Rede_NÓ1.1 A Zona01_PB05_Rede_NÓ56.4; INCLUI 0,55 M DE TUBO DESENHADO NO PRÓPRIO NÓ (NÓ1.1, NÓ56.4: anel de ponta/toco)"/>
        <s v="TRECHO DE Zona01_PB02_Rede_NÓ1.10 A Zona01_PB02_Rede_NÓ1.9"/>
        <s v="TRECHO DE Zona01_PB02_Rede_NÓ1.10 A Zona01_PB02_Rede_NÓ2.10"/>
        <s v="TRECHO DE Zona01_PB02_Rede_NÓ1.11 A Zona01_PB02_Rede_NÓ1.10"/>
        <s v="TRECHO DE Zona01_PB02_Rede_NÓ1.11 A Zona01_PB02_Rede_NÓ55.3"/>
        <s v="TRECHO DE Zona01_PB02_Rede_NÓ1.12 A Zona01_PB02_Rede_NÓ1.11"/>
        <s v="TRECHO DE Zona01_PB02_Rede_NÓ1.12 A Zona01_PB02_Rede_NÓ55.4"/>
        <s v="TRECHO DE Zona01_PB02_Rede_NÓ1.13 A Zona01_PB02_Rede_NÓ1.12"/>
        <s v="TRECHO DE Zona01_PB02_Rede_NÓ1.13 A Zona01_PB02_Rede_NÓ55.5"/>
        <s v="TRECHO DE Zona01_PB02_Rede_NÓ1.14 A Zona01_PB02_Rede_NÓ106.2"/>
        <s v="TRECHO DE Zona01_PB02_Rede_NÓ1.2 A Zona01_PB02_Rede_NÓ2.6"/>
        <s v="TRECHO DE Zona01_PB02_Rede_NÓ1.3 A Zona01_PB02_Rede_NÓ1.4"/>
        <s v="TRECHO DE Zona01_PB02_Rede_NÓ1.4 A Zona01_PB02_Rede_NÓ2.9"/>
        <s v="TRECHO DE Zona01_PB02_Rede_NÓ1.5 A Zona01_PB02_Rede_NÓ1.4"/>
        <s v="TRECHO DE Zona01_PB02_Rede_NÓ1.5 A Zona01_PB02_Rede_NÓ1.6"/>
        <s v="TRECHO DE Zona01_PB02_Rede_NÓ1.6 A Zona01_PB02_Rede_NÓ1.14"/>
        <s v="TRECHO DE Zona01_PB02_Rede_NÓ1.6 A Zona01_PB02_Rede_NÓ1.7"/>
        <s v="TRECHO DE Zona01_PB02_Rede_NÓ1.7 A Zona01_PB02_Rede_NÓ2.9"/>
        <s v="TRECHO DE Zona01_PB02_Rede_NÓ1.8 A Zona01_PB02_Rede_NÓ2.8"/>
        <s v="TRECHO DE Zona01_PB02_Rede_NÓ1.9 A Zona01_PB02_Rede_NÓ1.8"/>
        <s v="TRECHO DE Zona01_PB02_Rede_NÓ1.9 A Zona01_PB02_Rede_NÓ55.2"/>
        <s v="TRECHO DE Zona01_PB02_Rede_NÓ106.1 A Zona01_PB02_Rede_NÓ1.14"/>
        <s v="TRECHO DE Zona01_PB02_Rede_NÓ106.1 A Zona01_PB02_Rede_NÓ1.5"/>
        <s v="TRECHO DE Zona01_PB02_Rede_NÓ106.2 A Zona01_PB02_Rede_NÓ1.7"/>
        <s v="TRECHO DE Zona01_PB02_Rede_NÓ11.2 A Zona01_PB02_Rede_NÓ11.1"/>
        <s v="TRECHO DE Zona01_PB02_Rede_NÓ19.1 A Zona01_PB02_Rede_NÓ2.11"/>
        <s v="TRECHO DE Zona01_PB02_Rede_NÓ2.1 A Zona01_PB02_Rede_DF-29"/>
        <s v="TRECHO DE Zona01_PB02_Rede_NÓ2.11 A Zona01_PB02_Rede_NÓ1.3; INCLUI 1,30 M DE TUBO DESENHADO NO PRÓPRIO NÓ (NÓ1.3: anel de ponta/toco)"/>
        <s v="TRECHO DE Zona01_PB02_Rede_NÓ2.2 A Zona01_PB02_Rede_NÓ2.5"/>
        <s v="TRECHO DE Zona01_PB02_Rede_NÓ2.3 A Zona01_PB02_Rede_NÓ1.1"/>
        <s v="TRECHO DE Zona01_PB02_Rede_NÓ2.4 A Zona01_PB02_Rede_NÓ2.1"/>
        <s v="TRECHO DE Zona01_PB02_Rede_NÓ2.5 A Zona01_PB02_Rede_NÓ1.2"/>
        <s v="TRECHO DE Zona01_PB02_Rede_NÓ2.6 A Zona01_PB02_Rede_NÓ2.3"/>
        <s v="TRECHO DE Zona01_PB02_Rede_NÓ2.7 A Zona01_PB02_Rede_NÓ1.3"/>
        <s v="TRECHO DE Zona01_PB02_Rede_NÓ2.8 A Zona01_PB02_Rede_DF-32"/>
        <s v="TRECHO DE Zona01_PB02_Rede_NÓ4.1 A Zona01_PB02_Rede_NÓ19.1"/>
        <s v="TRECHO DE Zona01_PB02_Rede_NÓ55.1 A Zona01_PB02_CH_VM-1.2"/>
        <s v="TRECHO DE Zona01_PB02_Rede_NÓ55.1 A Zona01_PB02_Rede_NÓ1.8"/>
        <s v="TRECHO DE Zona01_PB02_Rede_NÓ55.1 A Zona01_PB02_Rede_NÓ55.2"/>
        <s v="TRECHO DE Zona01_PB02_Rede_NÓ55.2 A Zona01_PB02_Rede_NÓ55.3"/>
        <s v="TRECHO DE Zona01_PB02_Rede_NÓ55.3 A Zona01_PB02_Rede_NÓ55.4"/>
        <s v="TRECHO DE Zona01_PB02_Rede_NÓ55.4 A Zona01_PB02_Rede_NÓ55.5"/>
        <s v="TRECHO DE Zona01_PB02_Rede_NÓ55.5 A Zona01_PB02_Rede_NÓ55.6"/>
        <s v="TRECHO DE Zona01_PB02_Rede_NÓ55.6 A Zona01_PB01_Rede_NÓ1.4"/>
        <s v="TRECHO DE Zona01_PB02_Rede_NÓ55.6 A Zona01_PB02_Rede_NÓ55.7"/>
        <s v="TRECHO DE Zona01_PB02_Rede_NÓ55.7 A Zona01_PB03_Rede_NÓ83.1; INCLUI 0,18 M DE TUBO DESENHADO NO PRÓPRIO NÓ (NÓ55.7: anel de ponta/toco)"/>
        <s v="TRECHO DE Zona01_PB02_Rede_NÓ60.1 A Zona01_PB02_Rede_NÓ106.1; INCLUI 0,38 M DE TUBO DESENHADO NO PRÓPRIO NÓ (NÓ106.1: anel de ponta/toco)"/>
        <s v="TRECHO DE Zona01_PB02_Rede_NÓ60.1 A Zona01_PB05_Rede_NÓ60.3"/>
        <s v="TRECHO DE Zona01_PB02_Rede_NÓ77.1 A Zona01_PB02_Rede_NÓ106.2; INCLUI 0,41 M DE TUBO DESENHADO NO PRÓPRIO NÓ (NÓ106.2: anel de ponta/toco)"/>
        <s v="TRECHO DE Zona01_PB02_Rede_NÓ77.1 A Zona01_PB02_Rede_NÓ60.1"/>
        <s v="TRECHO DE Zona01_PB03_Rede_NÓ83.1 A Zona01_PB01_Rede_NÓ105.1"/>
        <s v="TRECHO DE Zona01_PB03_Rede_NÓ83.1 A Zona01_PB01_Rede_NÓ56.1"/>
        <s v="TRECHO DE Zona01_PB04_Rede_NÓ1.9 A Zona01_PB02_Rede_NÓ2.4"/>
        <s v="TRECHO DE Zona01_PB04_Rede_NÓ2.12 A Zona01_PB04_Rede_NÓ1.9"/>
        <s v="TRECHO DE Zona01_PB05_CH_VM-1.1 A Zona01_PB05_Rede_NÓ112.1"/>
        <s v="TRECHO DE Zona01_PB05_CH_VRP-16 A DIVISA DE ZONA; TRECHO DIVIDIDO NA DIVISA DE ZONA (TRECHO ORIGINAL ENTRE PONTOS DA REDE: 88,97 M)"/>
        <s v="TRECHO DE Zona01_PB05_Rede_NÓ106.1 A Zona01_PB04_Rede_NÓ1.9"/>
        <s v="TRECHO DE Zona01_PB05_Rede_NÓ106.1 A Zona01_PB04_Rede_NÓ2.12"/>
        <s v="TRECHO DE Zona01_PB05_Rede_NÓ11.3 A Zona01_PB02_Rede_NÓ11.2"/>
        <s v="TRECHO DE Zona01_PB05_Rede_NÓ112.1 A Zona01_PB05_CH_VRP-16"/>
        <s v="TRECHO DE Zona01_PB05_Rede_NÓ112.1 A Zona01_PB05_Rede_NÓ11.3"/>
        <s v="TRECHO DE Zona01_PB05_Rede_NÓ19.1 A Zona01_PB02_Rede_DF-28"/>
        <s v="TRECHO DE Zona01_PB05_Rede_NÓ56.3 A Zona01_PB02_Rede_NÓ1.2; INCLUI 1,28 M DE TUBO DESENHADO NO PRÓPRIO NÓ (NÓ1.2, NÓ56.3: anel de ponta/toco)"/>
        <s v="TRECHO DE Zona01_PB05_Rede_NÓ56.3 A Zona01_PB05_Rede_NÓ60.2"/>
        <s v="TRECHO DE Zona01_PB05_Rede_NÓ56.4 A Zona01_PB05_Rede_NÓ56.3"/>
        <s v="TRECHO DE Zona01_PB05_Rede_NÓ56.5 A Zona01_PB05_Rede_NÓ56.4"/>
        <s v="TRECHO DE Zona01_PB05_Rede_NÓ60.1 A Zona01_PB05_CH_VM-1.1"/>
        <s v="TRECHO DE Zona01_PB05_Rede_NÓ60.1 A Zona01_PB05_Rede_NÓ106.1"/>
        <s v="TRECHO DE Zona01_PB05_Rede_NÓ60.2 A Zona01_PB05_Rede_NÓ19.1"/>
        <s v="TRECHO DE Zona01_PB05_Rede_NÓ60.2 A Zona01_PB05_Rede_NÓ60.1"/>
        <s v="TRECHO DE Zona01_PB05_Rede_NÓ60.3 A Zona01_PB02_Rede_NÓ4.1; INCLUI 0,34 M DE TUBO DESENHADO NO PRÓPRIO NÓ (NÓ60.3: anel de ponta/toco)"/>
        <s v="TRECHO DE Zona01_PB05_Rede_NÓ60.3 A Zona01_PB05_Rede_NÓ56.5; INCLUI 0,07 M DE TUBO DESENHADO NO PRÓPRIO NÓ (NÓ60.3: anel de ponta/toco)"/>
        <s v="TRECHO DE Zona02_PB04_Rede_DF-26 A Zona02_PB04_Rede_NÓ2.3"/>
        <s v="TRECHO DE Zona02_PB04_Rede_DF-27 A Zona02_PB04_Rede_NÓ2.10"/>
        <s v="TRECHO DE Zona02_PB04_Rede_NÓ1.1 A Zona02_PB04_Rede_NÓ2.2"/>
        <s v="TRECHO DE Zona02_PB04_Rede_NÓ1.2 A Zona02_PB04_Rede_NÓ2.8"/>
        <s v="TRECHO DE Zona02_PB04_Rede_NÓ1.3 A Zona02_PB04_Rede_NÓ2.9"/>
        <s v="TRECHO DE Zona02_PB04_Rede_NÓ1.4 A Zona02_PB04_Rede_NÓ1.5"/>
        <s v="TRECHO DE Zona02_PB04_Rede_NÓ1.5 A Zona02_PB04_Rede_NÓ54.1; INCLUI 3,95 M DE TUBO DESENHADO NO PRÓPRIO NÓ (NÓ54.1: anel de ponta/toco)"/>
        <s v="TRECHO DE Zona02_PB04_Rede_NÓ1.6 A Zona02_PB04_Rede_NÓ1.4"/>
        <s v="TRECHO DE Zona02_PB04_Rede_NÓ1.6 A Zona02_PB04_Rede_NÓ54.2; INCLUI 3,94 M DE TUBO DESENHADO NO PRÓPRIO NÓ (NÓ54.2: anel de ponta/toco)"/>
        <s v="TRECHO DE Zona02_PB04_Rede_NÓ1.7 A Zona02_PB04_Rede_NÓ1.6"/>
        <s v="TRECHO DE Zona02_PB04_Rede_NÓ1.7 A Zona02_PB04_Rede_NÓ1.8"/>
        <s v="TRECHO DE Zona02_PB04_Rede_NÓ1.7 A Zona02_PB04_Rede_NÓ54.4; INCLUI 5,39 M DE TUBO DESENHADO NO PRÓPRIO NÓ (NÓ1.7, NÓ54.4: anel de ponta/toco)"/>
        <s v="TRECHO DE Zona02_PB04_Rede_NÓ1.8 A Zona02_PB04_Rede_NÓ110.1"/>
        <s v="TRECHO DE Zona02_PB04_Rede_NÓ1.8 A Zona02_PB04_Rede_NÓ54.6; INCLUI 5,14 M DE TUBO DESENHADO NO PRÓPRIO NÓ (NÓ54.6: anel de ponta/toco)"/>
        <s v="TRECHO DE Zona02_PB04_Rede_NÓ110.1 A Zona02_PB04_Rede_NÓ59.1; INCLUI 0,62 M DE TUBO DESENHADO NO PRÓPRIO NÓ (NÓ59.1: anel de ponta/toco)"/>
        <s v="TRECHO DE Zona02_PB04_Rede_NÓ2.1 A Zona02_PB04_Rede_NÓ1.1"/>
        <s v="TRECHO DE Zona02_PB04_Rede_NÓ2.10 A Zona02_PB04_Rede_NÓ1.5"/>
        <s v="TRECHO DE Zona02_PB04_Rede_NÓ2.2 A Zona02_PB04_Rede_DF-26"/>
        <s v="TRECHO DE Zona02_PB04_Rede_NÓ2.4 A Zona02_PB04_Rede_NÓ1.2"/>
        <s v="TRECHO DE Zona02_PB04_Rede_NÓ2.5 A Zona02_PB04_Rede_NÓ2.7"/>
        <s v="TRECHO DE Zona02_PB04_Rede_NÓ2.6 A Zona02_PB04_Rede_NÓ1.3"/>
        <s v="TRECHO DE Zona02_PB04_Rede_NÓ2.7 A Zona02_PB04_Rede_NÓ2.4"/>
        <s v="TRECHO DE Zona02_PB04_Rede_NÓ2.8 A Zona02_PB04_Rede_NÓ2.6"/>
        <s v="TRECHO DE Zona02_PB04_Rede_NÓ2.9 A Zona02_PB04_Rede_NÓ1.4"/>
        <s v="TRECHO DE Zona02_PB04_Rede_NÓ54.3 A Zona02_PB04_Rede_NÓ110.1; INCLUI 4,04 M DE TUBO DESENHADO NO PRÓPRIO NÓ (NÓ54.3: anel de ponta/toco)"/>
        <s v="TRECHO DE Zona02_PB04_Rede_NÓ54.5 A Zona02_PB04_Rede_NÓ59.5; INCLUI 4,33 M DE TUBO DESENHADO NO PRÓPRIO NÓ (NÓ54.5: anel de ponta/toco)"/>
        <s v="TRECHO DE Zona02_PB04_Rede_NÓ54.7 A Zona02_PB04_Rede_NÓ59.1; INCLUI 3,96 M DE TUBO DESENHADO NO PRÓPRIO NÓ (NÓ54.7: anel de ponta/toco)"/>
        <s v="TRECHO DE Zona02_PB04_Rede_NÓ59.1 A Zona02_PB04_Rede_NÓ59.2"/>
        <s v="TRECHO DE Zona02_PB04_Rede_NÓ59.2 A Zona02_PB04_Rede_NÓ54.8; INCLUI 4,01 M DE TUBO DESENHADO NO PRÓPRIO NÓ (NÓ54.8: anel de ponta/toco)"/>
        <s v="TRECHO DE Zona02_PB04_Rede_NÓ59.2 A Zona02_PB04_Rede_NÓ59.3"/>
        <s v="TRECHO DE Zona02_PB04_Rede_NÓ59.3 A Zona02_PB04_Rede_NÓ54.9; INCLUI 3,94 M DE TUBO DESENHADO NO PRÓPRIO NÓ (NÓ54.9: anel de ponta/toco)"/>
        <s v="TRECHO DE Zona02_PB04_Rede_NÓ59.4 A Zona02_PB04_Rede_NÓ54.10; INCLUI 4,00 M DE TUBO DESENHADO NO PRÓPRIO NÓ (NÓ54.10: anel de ponta/toco)"/>
        <s v="TRECHO DE Zona02_PB04_Rede_NÓ59.4 A Zona02_PB04_Rede_NÓ59.3"/>
        <s v="TRECHO DE Zona02_PB04_Rede_NÓ59.5 A Zona02_PB04_Rede_NÓ59.4"/>
        <s v="TRECHO DE Zona02_PB04_Rede_NÓ59.6 A Zona02_PB04_Rede_NÓ54.11; INCLUI 2,64 M DE TUBO DESENHADO NO PRÓPRIO NÓ (NÓ54.11, NÓ59.6: anel de ponta/toco)"/>
        <s v="TRECHO DE Zona02_PB04_Rede_NÓ59.6 A Zona02_PB04_Rede_NÓ59.5"/>
        <s v="TRECHO DE Zona02_PB04_Rede_NÓ59.6 A Zona02_PB05_Rede_NÓ62.1"/>
        <s v="TRECHO DE Zona02_PB05_CH_MV-01 A Zona02_PB05_Rede_NÓ11.1"/>
        <s v="TRECHO DE Zona02_PB05_Rede_NÓ11.1 A Zona02_PB05_Rede_NÓ11.2"/>
        <s v="TRECHO DE Zona02_PB05_Rede_NÓ11.2 A DIVISA DE ZONA; TRECHO DIVIDIDO NA DIVISA DE ZONA (TRECHO ORIGINAL ENTRE PONTOS DA REDE: 326,73 M)"/>
        <s v="TRECHO DE Zona02_PB05_Rede_NÓ62.1 A Zona02_PB05_Rede_NÓ75.1"/>
        <s v="TRECHO DE Zona02_PB05_Rede_NÓ62.1 A Zona02_PB07_Rede_NÓ56.15"/>
        <s v="TRECHO DE Zona02_PB05_Rede_NÓ75.1 A Zona02_PB04_Rede_DF-27; INCLUI 0,94 M DE TUBO DESENHADO NO PRÓPRIO NÓ (NÓ75.1: anel de ponta/toco)"/>
        <s v="TRECHO DE Zona02_PB07_CH_VM-2.2 A Zona02_PB07_Rede_NÓ9.1"/>
        <s v="TRECHO DE Zona02_PB07_CH_VRP-14 A Zona02_PB07_CH_VM-2.2"/>
        <s v="TRECHO DE Zona02_PB07_Rede_DF-22 A Zona02_PB07_Rede_NÓ2.1"/>
        <s v="TRECHO DE Zona02_PB07_Rede_DF-23 A Zona02_PB07_Rede_NÓ2.2"/>
        <s v="TRECHO DE Zona02_PB07_Rede_DF-24 A Zona02_PB07_Rede_NÓ1.2"/>
        <s v="TRECHO DE Zona02_PB07_Rede_DF-25 A Zona02_PB07_Rede_NÓ2.6"/>
        <s v="TRECHO DE Zona02_PB07_Rede_NÓ1.11 A Zona02_PB07_Rede_NÓ1.12"/>
        <s v="TRECHO DE Zona02_PB07_Rede_NÓ1.11 A Zona02_PB07_Rede_NÓ1.8"/>
        <s v="TRECHO DE Zona02_PB07_Rede_NÓ1.12 A Zona02_PB07_Rede_NÓ1.10; INCLUI 1,44 M DE TUBO DESENHADO NO PRÓPRIO NÓ (NÓ1.10: anel de ponta/toco)"/>
        <s v="TRECHO DE Zona02_PB07_Rede_NÓ1.13 A Zona02_PB04_Rede_NÓ1.1"/>
        <s v="TRECHO DE Zona02_PB07_Rede_NÓ1.14 A LIMITE DA TRAVESSIA MND; TRECHO DIVIDIDO NO LIMITE DA TRAVESSIA MND (TRECHO ORIGINAL ENTRE PONTOS DA REDE: 223,68 M)"/>
        <s v="TRECHO DE Zona02_PB07_Rede_NÓ1.14 A Zona02_PB07_Rede_NÓ1.13"/>
        <s v="TRECHO DE Zona02_PB07_Rede_NÓ1.2 A Zona02_PB07_Rede_NÓ106.1; INCLUI 0,05 M DE TUBO DESENHADO NO PRÓPRIO NÓ (NÓ106.1: anel de ponta/toco)"/>
        <s v="TRECHO DE Zona02_PB07_Rede_NÓ1.3 A Zona02_PB07_Rede_DF-22; INCLUI 0,51 M DE TUBO DESENHADO NO PRÓPRIO NÓ (NÓ1.3: anel de ponta/toco)"/>
        <s v="TRECHO DE Zona02_PB07_Rede_NÓ1.3 A Zona02_PB07_Rede_NÓ1.6"/>
        <s v="TRECHO DE Zona02_PB07_Rede_NÓ1.4 A Zona02_PB07_Rede_NÓ1.7"/>
        <s v="TRECHO DE Zona02_PB07_Rede_NÓ1.5 A Zona02_PB07_Rede_NÓ1.6"/>
        <s v="TRECHO DE Zona02_PB07_Rede_NÓ1.5 A Zona02_PB10_Rede_NÓ1.1; INCLUI 0,08 M DE TUBO DESENHADO NO PRÓPRIO NÓ (NÓ1.1: anel de ponta/toco)"/>
        <s v="TRECHO DE Zona02_PB07_Rede_NÓ1.6 A Zona02_PB07_Rede_NÓ1.1"/>
        <s v="TRECHO DE Zona02_PB07_Rede_NÓ1.7 A Zona02_PB07_Rede_NÓ2.3; INCLUI 0,49 M DE TUBO DESENHADO NO PRÓPRIO NÓ (NÓ1.7: anel de ponta/toco)"/>
        <s v="TRECHO DE Zona02_PB07_Rede_NÓ1.8 A Zona02_PB07_Rede_NÓ1.9"/>
        <s v="TRECHO DE Zona02_PB07_Rede_NÓ1.8 A Zona02_PB07_Rede_NÓ2.4"/>
        <s v="TRECHO DE Zona02_PB07_Rede_NÓ1.9 A Zona02_PB07_Rede_NÓ1.10"/>
        <s v="TRECHO DE Zona02_PB07_Rede_NÓ106.1 A Zona02_PB07_Rede_NÓ1.7"/>
        <s v="TRECHO DE Zona02_PB07_Rede_NÓ13.1 A DIVISA DE ZONA; TRECHO DIVIDIDO NA DIVISA DE ZONA (TRECHO ORIGINAL ENTRE PONTOS DA REDE: 412,13 M)"/>
        <s v="TRECHO DE Zona02_PB07_Rede_NÓ13.3 A DIVISA DE ZONA; TRECHO DIVIDIDO NA DIVISA DE ZONA (TRECHO ORIGINAL ENTRE PONTOS DA REDE: 461,80 M)"/>
        <s v="TRECHO DE Zona02_PB07_Rede_NÓ2.1 A Zona02_PB07_Rede_NÓ1.1"/>
        <s v="TRECHO DE Zona02_PB07_Rede_NÓ2.10 A Zona02_PB07_Rede_NÓ1.13"/>
        <s v="TRECHO DE Zona02_PB07_Rede_NÓ2.11 A Zona02_PB07_Rede_NÓ2.10"/>
        <s v="TRECHO DE Zona02_PB07_Rede_NÓ2.2 A PONTA SEM NÓ NA TABELA"/>
        <s v="TRECHO DE Zona02_PB07_Rede_NÓ2.3 A Zona02_PB07_Rede_DF-23"/>
        <s v="TRECHO DE Zona02_PB07_Rede_NÓ2.4 A Zona02_PB07_Rede_DF-24"/>
        <s v="TRECHO DE Zona02_PB07_Rede_NÓ2.5 A Zona02_PB04_Rede_NÓ2.1"/>
        <s v="TRECHO DE Zona02_PB07_Rede_NÓ2.6 A Zona02_PB07_Rede_NÓ2.9"/>
        <s v="TRECHO DE Zona02_PB07_Rede_NÓ2.7 A Zona02_PB07_Rede_DF-25"/>
        <s v="TRECHO DE Zona02_PB07_Rede_NÓ2.7 A Zona02_PB07_Rede_NÓ56.9; INCLUI 0,49 M DE TUBO DESENHADO NO PRÓPRIO NÓ (NÓ56.9: anel de ponta/toco)"/>
        <s v="TRECHO DE Zona02_PB07_Rede_NÓ2.8 A Zona02_PB07_Rede_NÓ1.9; INCLUI 1,00 M DE TUBO DESENHADO NO PRÓPRIO NÓ (NÓ2.8: anel de ponta/toco)"/>
        <s v="TRECHO DE Zona02_PB07_Rede_NÓ2.9 A Zona02_PB07_Rede_NÓ2.8"/>
        <s v="TRECHO DE Zona02_PB07_Rede_NÓ54.1 A Zona02_PB07_Rede_NÓ57.1; INCLUI 4,00 M DE TUBO DESENHADO NO PRÓPRIO NÓ (NÓ54.1: anel de ponta/toco)"/>
        <s v="TRECHO DE Zona02_PB07_Rede_NÓ54.3 A Zona02_PB07_Rede_NÓ1.10; INCLUI 2,01 M DE TUBO DESENHADO NO PRÓPRIO NÓ (NÓ54.3: anel de ponta/toco)"/>
        <s v="TRECHO DE Zona02_PB07_Rede_NÓ54.4 A Zona02_PB07_Rede_NÓ56.7; INCLUI 2,84 M DE TUBO DESENHADO NO PRÓPRIO NÓ (NÓ54.4, NÓ56.7: anel de ponta/toco)"/>
        <s v="TRECHO DE Zona02_PB07_Rede_NÓ54.8 A Zona02_PB07_Rede_NÓ1.14; INCLUI 3,96 M DE TUBO DESENHADO NO PRÓPRIO NÓ (NÓ54.8: anel de ponta/toco)"/>
        <s v="TRECHO DE Zona02_PB07_Rede_NÓ56.10 A Zona02_PB07_Rede_NÓ2.5; INCLUI 0,99 M DE TUBO DESENHADO NO PRÓPRIO NÓ (NÓ2.5: anel de ponta/toco)"/>
        <s v="TRECHO DE Zona02_PB07_Rede_NÓ56.10 A Zona02_PB07_Rede_NÓ75.1; INCLUI 0,06 M DE TUBO DESENHADO NO PRÓPRIO NÓ (NÓ56.10: anel de ponta/toco)"/>
        <s v="TRECHO DE Zona02_PB07_Rede_NÓ56.11 A Zona02_PB04_Rede_NÓ2.5"/>
        <s v="TRECHO DE Zona02_PB07_Rede_NÓ56.11 A Zona02_PB07_CH_VRP-14"/>
        <s v="TRECHO DE Zona02_PB07_Rede_NÓ56.13 A Zona02_PB04_Rede_NÓ1.2"/>
        <s v="TRECHO DE Zona02_PB07_Rede_NÓ56.13 A Zona02_PB07_Rede_NÓ56.11"/>
        <s v="TRECHO DE Zona02_PB07_Rede_NÓ56.15 A Zona02_PB04_Rede_NÓ1.3"/>
        <s v="TRECHO DE Zona02_PB07_Rede_NÓ56.15 A Zona02_PB07_Rede_NÓ56.13"/>
        <s v="TRECHO DE Zona02_PB07_Rede_NÓ56.3 A Zona02_PB07_Rede_NÓ1.2"/>
        <s v="TRECHO DE Zona02_PB07_Rede_NÓ56.3 A Zona02_PB07_Rede_NÓ62.1"/>
        <s v="TRECHO DE Zona02_PB07_Rede_NÓ56.5 A Zona02_PB07_Rede_NÓ1.11"/>
        <s v="TRECHO DE Zona02_PB07_Rede_NÓ56.5 A Zona02_PB07_Rede_NÓ56.3"/>
        <s v="TRECHO DE Zona02_PB07_Rede_NÓ56.5 A Zona02_PB07_Rede_NÓ56.7"/>
        <s v="TRECHO DE Zona02_PB07_Rede_NÓ56.7 A Zona02_PB07_Rede_NÓ56.8; INCLUI 0,05 M DE TUBO DESENHADO NO PRÓPRIO NÓ (NÓ56.8: anel de ponta/toco)"/>
        <s v="TRECHO DE Zona02_PB07_Rede_NÓ56.8 A Zona02_PB07_Rede_NÓ1.12; INCLUI 1,37 M DE TUBO DESENHADO NO PRÓPRIO NÓ (NÓ1.12, NÓ56.8: anel de ponta/toco)"/>
        <s v="TRECHO DE Zona02_PB07_Rede_NÓ56.8 A Zona02_PB07_Rede_NÓ56.9"/>
        <s v="TRECHO DE Zona02_PB07_Rede_NÓ56.9 A Zona02_PB07_Rede_NÓ56.10"/>
        <s v="TRECHO DE Zona02_PB07_Rede_NÓ57.1 A Zona02_PB07_Rede_NÓ106.1; INCLUI 0,54 M DE TUBO DESENHADO NO PRÓPRIO NÓ (NÓ106.1: anel de ponta/toco)"/>
        <s v="TRECHO DE Zona02_PB07_Rede_NÓ57.2 A Zona02_PB07_Rede_NÓ54.2; INCLUI 4,00 M DE TUBO DESENHADO NO PRÓPRIO NÓ (NÓ54.2: anel de ponta/toco)"/>
        <s v="TRECHO DE Zona02_PB07_Rede_NÓ57.2 A Zona02_PB07_Rede_NÓ57.1"/>
        <s v="TRECHO DE Zona02_PB07_Rede_NÓ62.1 A Zona02_PB10_Rede_NÓ56.1"/>
        <s v="TRECHO DE Zona02_PB07_Rede_NÓ68.1 A Zona02_PB07_Rede_NÓ57.2"/>
        <s v="TRECHO DE Zona02_PB07_Rede_NÓ68.1 A Zona02_PB07_Rede_NÓ62.1; INCLUI 0,34 M DE TUBO DESENHADO NO PRÓPRIO NÓ (NÓ62.1: anel de ponta/toco)"/>
        <s v="TRECHO DE Zona02_PB07_Rede_NÓ68.1 A Zona02_PB10_Rede_NÓ106.1"/>
        <s v="TRECHO DE Zona02_PB07_Rede_NÓ75.1 A Zona02_PB07_Rede_NÓ2.11"/>
        <s v="TRECHO DE Zona02_PB07_Rede_NÓ9.1 A Zona02_PB07_Rede_NÓ94.1"/>
        <s v="TRECHO DE Zona02_PB10_CH_MV-02 A PONTA SEM NÓ NA TABELA"/>
        <s v="TRECHO DE Zona02_PB10_CH_MV-02 A Zona08_PB10_CH_VRP-13"/>
        <s v="TRECHO DE Zona02_PB10_Rede_NÓ1.1 A Zona02_PB07_Rede_NÓ1.1"/>
        <s v="TRECHO DE Zona02_PB10_Rede_NÓ1.2 A Zona02_PB10_Rede_NÓ1.1"/>
        <s v="TRECHO DE Zona02_PB10_Rede_NÓ1.2 A Zona02_PB10_Rede_NÓ106.1; INCLUI 0,76 M DE TUBO DESENHADO NO PRÓPRIO NÓ (NÓ1.2: anel de ponta/toco)"/>
        <s v="TRECHO DE Zona02_PB10_Rede_NÓ106.1 A Zona02_PB07_Rede_NÓ1.5"/>
        <s v="TRECHO DE Zona02_PB10_Rede_NÓ2.1 A Zona02_PB10_Rede_NÓ1.2"/>
        <s v="TRECHO DE Zona02_PB10_Rede_NÓ2.2 A Zona02_PB10_Rede_NÓ2.1"/>
        <s v="TRECHO DE Zona02_PB10_Rede_NÓ2.2 A Zona02_PB10_Rede_NÓ56.1; INCLUI 1,06 M DE TUBO DESENHADO NO PRÓPRIO NÓ (NÓ2.2, NÓ56.1: anel de ponta/toco)"/>
        <s v="TRECHO DE Zona02_PB10_Rede_NÓ56.1 A Zona02_PB10_CH_MV-02"/>
        <s v="TRECHO DE Zona03_PB05_Rede_DF-45 A Zona03_PB05_Rede_NÓ54.8; INCLUI 4,06 M DE TUBO DESENHADO NO PRÓPRIO NÓ (NÓ54.8: anel de ponta/toco)"/>
        <s v="TRECHO DE Zona03_PB05_Rede_NÓ107.1 A Zona03_PB05_Rede_NÓ2.2"/>
        <s v="TRECHO DE Zona03_PB05_Rede_NÓ107.1 A Zona03_PB05_Rede_NÓ5.1; INCLUI 0,27 M DE TUBO DESENHADO NO PRÓPRIO NÓ (NÓ107.1: anel de ponta/toco)"/>
        <s v="TRECHO DE Zona03_PB05_Rede_NÓ107.1 A Zona03_PB05_Rede_NÓ59.1"/>
        <s v="TRECHO DE Zona03_PB05_Rede_NÓ107.2 A Zona03_PB05_Rede_NÓ5.5"/>
        <s v="TRECHO DE Zona03_PB05_Rede_NÓ107.2 A Zona03_PB06_Rede_NÓ107.1"/>
        <s v="TRECHO DE Zona03_PB05_Rede_NÓ108.1 A Zona03_PB05_Rede_NÓ113.1; INCLUI 0,42 M DE TUBO DESENHADO NO PRÓPRIO NÓ (NÓ113.1: anel de ponta/toco)"/>
        <s v="TRECHO DE Zona03_PB05_Rede_NÓ108.1 A Zona03_PB05_Rede_NÓ5.2"/>
        <s v="TRECHO DE Zona03_PB05_Rede_NÓ108.1 A Zona03_PB05_Rede_NÓ8.1"/>
        <s v="TRECHO DE Zona03_PB05_Rede_NÓ109.1 A Zona03_PB05_Rede_NÓ54.4; INCLUI 4,00 M DE TUBO DESENHADO NO PRÓPRIO NÓ (NÓ54.4: anel de ponta/toco)"/>
        <s v="TRECHO DE Zona03_PB05_Rede_NÓ109.1 A Zona03_PB05_Rede_NÓ78.1"/>
        <s v="TRECHO DE Zona03_PB05_Rede_NÓ113.1 A Zona03_PB05_Rede_NÓ5.4"/>
        <s v="TRECHO DE Zona03_PB05_Rede_NÓ113.1 A Zona03_PB08_Rede_NÓ113.1"/>
        <s v="TRECHO DE Zona03_PB05_Rede_NÓ2.2 A Zona03_PB05_Rede_DF-45"/>
        <s v="TRECHO DE Zona03_PB05_Rede_NÓ20.1 A Zona03_PB05_Rede_NÓ5.2"/>
        <s v="TRECHO DE Zona03_PB05_Rede_NÓ20.1 A Zona03_PB05_Rede_NÓ59.1"/>
        <s v="TRECHO DE Zona03_PB05_Rede_NÓ20.2 A Zona03_PB05_Rede_NÓ5.6"/>
        <s v="TRECHO DE Zona03_PB05_Rede_NÓ5.1 A Zona03_PB05_Rede_NÓ109.1"/>
        <s v="TRECHO DE Zona03_PB05_Rede_NÓ5.2 A Zona03_PB05_Rede_NÓ5.1"/>
        <s v="TRECHO DE Zona03_PB05_Rede_NÓ5.3 A Zona03_PB05_Rede_NÓ5.5"/>
        <s v="TRECHO DE Zona03_PB05_Rede_NÓ5.3 A Zona03_PB05_Rede_NÓ5.6"/>
        <s v="TRECHO DE Zona03_PB05_Rede_NÓ5.4 A Zona03_PB05_Rede_NÓ6.1"/>
        <s v="TRECHO DE Zona03_PB05_Rede_NÓ5.5 A Zona03_PB08_Rede_NÓ108.1"/>
        <s v="TRECHO DE Zona03_PB05_Rede_NÓ5.6 A Zona03_PB06_Rede_NÓ20.1"/>
        <s v="TRECHO DE Zona03_PB05_Rede_NÓ56.1 A Zona03_PB05_Rede_NÓ1.1"/>
        <s v="TRECHO DE Zona03_PB05_Rede_NÓ56.1 A Zona03_PB07_Rede_NÓ62.2"/>
        <s v="TRECHO DE Zona03_PB05_Rede_NÓ56.2 A Zona03_PB05_Rede_NÓ54.1; INCLUI 4,59 M DE TUBO DESENHADO NO PRÓPRIO NÓ (NÓ54.1, NÓ56.2: anel de ponta/toco)"/>
        <s v="TRECHO DE Zona03_PB05_Rede_NÓ56.2 A Zona03_PB05_Rede_NÓ8.1"/>
        <s v="TRECHO DE Zona03_PB05_Rede_NÓ59.1 A Zona03_PB05_Rede_NÓ5.4"/>
        <s v="TRECHO DE Zona03_PB05_Rede_NÓ78.1 A Zona03_PB05_Rede_NÓ56.2"/>
        <s v="TRECHO DE Zona03_PB05_Rede_NÓ8.1 A Zona03_PB05_Rede_NÓ56.1"/>
        <s v="TRECHO DE Zona03_PB06_Rede_DF-34 A Zona03_PB06_Rede_NÓ2.6"/>
        <s v="TRECHO DE Zona03_PB06_Rede_NÓ1.2 A Zona03_PB05_Rede_NÓ20.2; INCLUI 0,93 M DE TUBO DESENHADO NO PRÓPRIO NÓ (NÓ1.2: anel de ponta/toco)"/>
        <s v="TRECHO DE Zona03_PB06_Rede_NÓ1.2 A Zona03_PB06_Rede_NÓ1.3"/>
        <s v="TRECHO DE Zona03_PB06_Rede_NÓ1.2 A Zona03_PB06_Rede_NÓ1.5"/>
        <s v="TRECHO DE Zona03_PB06_Rede_NÓ1.3 A Zona03_PB05_Rede_NÓ107.2; INCLUI 0,42 M DE TUBO DESENHADO NO PRÓPRIO NÓ (NÓ107.2: anel de ponta/toco)"/>
        <s v="TRECHO DE Zona03_PB06_Rede_NÓ1.4 A Zona03_PB06_Rede_NÓ1.3"/>
        <s v="TRECHO DE Zona03_PB06_Rede_NÓ1.5 A Zona03_PB06_Rede_DF-34"/>
        <s v="TRECHO DE Zona03_PB06_Rede_NÓ1.5 A Zona03_PB06_Rede_NÓ1.6"/>
        <s v="TRECHO DE Zona03_PB06_Rede_NÓ1.6 A Zona03_PB06_Rede_NÓ2.4"/>
        <s v="TRECHO DE Zona03_PB06_Rede_NÓ1.6 A Zona03_PB06_Rede_NÓ2.7"/>
        <s v="TRECHO DE Zona03_PB06_Rede_NÓ107.1 A Zona03_PB06_Rede_NÓ1.4"/>
        <s v="TRECHO DE Zona03_PB06_Rede_NÓ2.3 A Zona03_PB06_Rede_NÓ59.1"/>
        <s v="TRECHO DE Zona03_PB06_Rede_NÓ2.3 A Zona03_PB09_Rede_NÓ107.1; INCLUI 0,50 M DE TUBO DESENHADO NO PRÓPRIO NÓ (NÓ2.3: anel de ponta/toco)"/>
        <s v="TRECHO DE Zona03_PB06_Rede_NÓ2.4 A Zona03_PB06_Rede_NÓ2.5"/>
        <s v="TRECHO DE Zona03_PB06_Rede_NÓ2.5 A Zona03_PB06_Rede_NÓ1.4"/>
        <s v="TRECHO DE Zona03_PB06_Rede_NÓ2.7 A Zona03_PB06_Rede_NÓ20.2"/>
        <s v="TRECHO DE Zona03_PB06_Rede_NÓ20.1 A PONTA SEM NÓ NA TABELA"/>
        <s v="TRECHO DE Zona03_PB06_Rede_NÓ59.1 A Zona03_PB06_Rede_NÓ20.2"/>
        <s v="TRECHO DE Zona03_PB07_CH_MV-03 A Zona03_PB07_Rede_NÓ13.2"/>
        <s v="TRECHO DE Zona03_PB07_CH_VM-3.1 A Zona03_PB07_Rede_NÓ12.1"/>
        <s v="TRECHO DE Zona03_PB07_Rede_NÓ1.17 A Zona03_PB07_Rede_NÓ56.14"/>
        <s v="TRECHO DE Zona03_PB07_Rede_NÓ1.17 A Zona03_PB08_Rede_NÓ54.1; INCLUI 3,84 M DE TUBO DESENHADO NO PRÓPRIO NÓ (NÓ54.1: anel de ponta/toco)"/>
        <s v="TRECHO DE Zona03_PB07_Rede_NÓ104.1 A Zona03_PB07_Rede_NÓ54.14; INCLUI 2,44 M DE TUBO DESENHADO NO PRÓPRIO NÓ (NÓ104.1, NÓ54.14: anel de ponta/toco)"/>
        <s v="TRECHO DE Zona03_PB07_Rede_NÓ12.1 A Zona02_PB07_Rede_NÓ13.3"/>
        <s v="TRECHO DE Zona03_PB07_Rede_NÓ12.1 A Zona03_PB07_Rede_NÓ85.1"/>
        <s v="TRECHO DE Zona03_PB07_Rede_NÓ13.2 A Zona02_PB07_Rede_NÓ13.1"/>
        <s v="TRECHO DE Zona03_PB07_Rede_NÓ56.12 A Zona03_PB07_Rede_NÓ1.17"/>
        <s v="TRECHO DE Zona03_PB07_Rede_NÓ56.12 A Zona03_PB07_Rede_NÓ72.1"/>
        <s v="TRECHO DE Zona03_PB07_Rede_NÓ56.14 A Zona03_PB07_Rede_NÓ72.1"/>
        <s v="TRECHO DE Zona03_PB07_Rede_NÓ62.2 A Zona03_PB07_Rede_NÓ56.12"/>
        <s v="TRECHO DE Zona03_PB07_Rede_NÓ72.1 A Zona03_PB07_CH_VM-3.1"/>
        <s v="TRECHO DE Zona03_PB07_Rede_NÓ85.1 A Zona03_PB07_CH_MV-03"/>
        <s v="TRECHO DE Zona03_PB07_Rede_NÓ85.1 A Zona05_PB07_CH_VM-3.2; INCLUI 0,12 M DE TUBO DESENHADO NO PRÓPRIO NÓ (NÓ85.1: anel de ponta/toco)"/>
        <s v="TRECHO DE Zona03_PB07_Rede_NÓ9.2 A Zona03_PB07_Rede_NÓ104.1"/>
        <s v="TRECHO DE Zona03_PB07_Rede_NÓ9.2 A Zona03_PB07_Rede_NÓ56.14; INCLUI 0,27 M DE TUBO DESENHADO NO PRÓPRIO NÓ (NÓ9.2: anel de ponta/toco)"/>
        <s v="TRECHO DE Zona03_PB08_CH_VM-5.4 A Zona03_PB08_Rede_NÓ54.11; INCLUI 4,05 M DE TUBO DESENHADO NO PRÓPRIO NÓ (NÓ54.11, VM-5.4: anel de ponta/toco)"/>
        <s v="TRECHO DE Zona03_PB08_CH_VM-5.4 A Zona03_PB08_Rede_NÓ56.3; INCLUI 0,03 M DE TUBO DESENHADO NO PRÓPRIO NÓ (nó: anel de ponta/toco)"/>
        <s v="TRECHO DE Zona03_PB08_CH_VRP-15 A Zona03_PB08_Rede_NÓ108.1; INCLUI 0,08 M DE TUBO DESENHADO NO PRÓPRIO NÓ (NÓ108.1: anel de ponta/toco)"/>
        <s v="TRECHO DE Zona03_PB08_Rede_NÓ1.1 A Zona03_PB08_Rede_NÓ54.2; INCLUI 4,06 M DE TUBO DESENHADO NO PRÓPRIO NÓ (NÓ54.2: anel de ponta/toco)"/>
        <s v="TRECHO DE Zona03_PB08_Rede_NÓ1.1 A Zona03_PB08_Rede_NÓ54.3; INCLUI 4,00 M DE TUBO DESENHADO NO PRÓPRIO NÓ (NÓ54.3: anel de ponta/toco)"/>
        <s v="TRECHO DE Zona03_PB08_Rede_NÓ1.5 A Zona03_PB08_Rede_NÓ54.7; INCLUI 4,00 M DE TUBO DESENHADO NO PRÓPRIO NÓ (NÓ54.7: anel de ponta/toco)"/>
        <s v="TRECHO DE Zona03_PB08_Rede_NÓ1.6 A Zona03_PB08_Rede_NÓ1.5"/>
        <s v="TRECHO DE Zona03_PB08_Rede_NÓ1.6 A Zona03_PB08_Rede_NÓ2.4"/>
        <s v="TRECHO DE Zona03_PB08_Rede_NÓ1.9 A Zona03_PB08_Rede_NÓ54.8; INCLUI 4,04 M DE TUBO DESENHADO NO PRÓPRIO NÓ (NÓ54.8: anel de ponta/toco)"/>
        <s v="TRECHO DE Zona03_PB08_Rede_NÓ104.1 A Zona03_PB08_Rede_NÓ1.5; INCLUI 0,95 M DE TUBO DESENHADO NO PRÓPRIO NÓ (NÓ104.1: anel de ponta/toco)"/>
        <s v="TRECHO DE Zona03_PB08_Rede_NÓ104.1 A Zona03_PB08_Rede_NÓ113.1"/>
        <s v="TRECHO DE Zona03_PB08_Rede_NÓ107.1 A Zona03_PB07_Rede_NÓ62.2"/>
        <s v="TRECHO DE Zona03_PB08_Rede_NÓ107.1 A Zona03_PB08_Rede_NÓ1.1"/>
        <s v="TRECHO DE Zona03_PB08_Rede_NÓ108.1 A Zona03_PB08_Rede_NÓ62.1"/>
        <s v="TRECHO DE Zona03_PB08_Rede_NÓ110.1 A Zona03_PB05_Rede_NÓ1.1"/>
        <s v="TRECHO DE Zona03_PB08_Rede_NÓ110.1 A Zona03_PB08_Rede_NÓ107.1"/>
        <s v="TRECHO DE Zona03_PB08_Rede_NÓ110.1 A Zona03_PB08_Rede_NÓ54.4; INCLUI 3,99 M DE TUBO DESENHADO NO PRÓPRIO NÓ (NÓ54.4: anel de ponta/toco)"/>
        <s v="TRECHO DE Zona03_PB08_Rede_NÓ113.1 A Zona03_PB05_Rede_NÓ6.1"/>
        <s v="TRECHO DE Zona03_PB08_Rede_NÓ113.1 A Zona03_PB08_CH_VRP-15; INCLUI 1,62 M DE TUBO DESENHADO NO PRÓPRIO NÓ (NÓ113.1: anel de ponta/toco)"/>
        <s v="TRECHO DE Zona03_PB08_Rede_NÓ2.2 A Zona03_PB08_Rede_NÓ1.6"/>
        <s v="TRECHO DE Zona03_PB08_Rede_NÓ2.3 A Zona03_PB08_Rede_NÓ2.2"/>
        <s v="TRECHO DE Zona03_PB08_Rede_NÓ2.4 A Zona03_PB08_Rede_NÓ58.1"/>
        <s v="TRECHO DE Zona03_PB08_Rede_NÓ27.1 A Zona03_PB09_Rede_NÓ59.1; INCLUI 2,05 M DE TUBO DESENHADO NO PRÓPRIO NÓ (NÓ27.1, NÓ59.1: anel de ponta/toco)"/>
        <s v="TRECHO DE Zona03_PB08_Rede_NÓ54.10 A Zona03_PB08_Rede_NÓ1.9; INCLUI 3,87 M DE TUBO DESENHADO NO PRÓPRIO NÓ (NÓ54.10: anel de ponta/toco)"/>
        <s v="TRECHO DE Zona03_PB08_Rede_NÓ54.6 A Zona03_PB05_Rede_NÓ1.1; INCLUI 3,97 M DE TUBO DESENHADO NO PRÓPRIO NÓ (NÓ54.6: anel de ponta/toco)"/>
        <s v="TRECHO DE Zona03_PB08_Rede_NÓ56.1 A Zona03_PB08_Rede_NÓ56.2; INCLUI 0,10 M DE TUBO DESENHADO NO PRÓPRIO NÓ (NÓ56.2: anel de ponta/toco)"/>
        <s v="TRECHO DE Zona03_PB08_Rede_NÓ56.1 A Zona03_PB08_Rede_NÓ56.2; INCLUI 0,47 M DE TUBO DESENHADO NO PRÓPRIO NÓ (NÓ56.2: anel de ponta/toco)"/>
        <s v="TRECHO DE Zona03_PB08_Rede_NÓ56.1 A Zona03_PB08_Rede_NÓ8.1"/>
        <s v="TRECHO DE Zona03_PB08_Rede_NÓ56.2 A Zona03_PB08_Rede_NÓ104.1"/>
        <s v="TRECHO DE Zona03_PB08_Rede_NÓ56.3 A Zona03_PB08_Rede_NÓ1.9"/>
        <s v="TRECHO DE Zona03_PB08_Rede_NÓ56.3 A Zona03_PB08_Rede_NÓ60.1"/>
        <s v="TRECHO DE Zona03_PB08_Rede_NÓ58.1 A Zona03_PB08_Rede_NÓ2.3"/>
        <s v="TRECHO DE Zona03_PB08_Rede_NÓ6.1 A Zona03_PB08_Rede_NÓ9.1"/>
        <s v="TRECHO DE Zona03_PB08_Rede_NÓ60.1 A Zona03_PB08_Rede_NÓ58.1"/>
        <s v="TRECHO DE Zona03_PB08_Rede_NÓ60.1 A Zona03_PB08_Rede_NÓ8.1"/>
        <s v="TRECHO DE Zona03_PB08_Rede_NÓ62.1 A Zona03_PB06_Rede_NÓ107.1"/>
        <s v="TRECHO DE Zona03_PB08_Rede_NÓ62.1 A Zona03_PB08_Rede_NÓ62.2"/>
        <s v="TRECHO DE Zona03_PB08_Rede_NÓ62.2 A Zona03_PB06_Rede_NÓ59.1; INCLUI 0,32 M DE TUBO DESENHADO NO PRÓPRIO NÓ (nó: anel de ponta/toco)"/>
        <s v="TRECHO DE Zona03_PB08_Rede_NÓ62.2 A Zona03_PB08_Rede_NÓ27.1"/>
        <s v="TRECHO DE Zona03_PB08_Rede_NÓ8.1 A Zona03_PB07_Rede_NÓ104.1"/>
        <s v="TRECHO DE Zona03_PB08_Rede_NÓ9.1 A Zona03_PB08_Rede_NÓ113.1"/>
        <s v="TRECHO DE Zona03_PB09_Rede_NÓ107.1 A Zona03_PB09_Rede_NÓ59.1"/>
        <s v="TRECHO DE Zona03_PB09_Rede_NÓ20.1 A Zona03_PB09_Rede_NÓ107.1"/>
        <s v="TRECHO DE Zona03_PB09_Rede_NÓ54.1 A Zona03_PB09_Rede_NÓ20.1; INCLUI 4,02 M DE TUBO DESENHADO NO PRÓPRIO NÓ (NÓ54.1: anel de ponta/toco)"/>
        <s v="TRECHO DE Zona03_PB09_Rede_NÓ54.3 A Zona03_PB09_Rede_NÓ59.1; INCLUI 4,00 M DE TUBO DESENHADO NO PRÓPRIO NÓ (NÓ54.3: anel de ponta/toco)"/>
        <s v="TRECHO DE Zona04_PB01_Rede_NÓ1.10 A Zona04_PB01_Rede_NÓ56.2; INCLUI 0,51 M DE TUBO DESENHADO NO PRÓPRIO NÓ (NÓ56.2: anel de ponta/toco)"/>
        <s v="TRECHO DE Zona04_PB01_Rede_NÓ2.8 A Zona04_PB01_Rede_DF-39; INCLUI 0,22 M DE TUBO DESENHADO NO PRÓPRIO NÓ (DF-39: anel de ponta/toco)"/>
        <s v="TRECHO DE Zona04_PB01_Rede_NÓ2.9 A Zona04_PB01_Rede_NÓ1.10"/>
        <s v="TRECHO DE Zona04_PB01_Rede_NÓ2.9 A Zona04_PB01_Rede_NÓ2.8"/>
        <s v="TRECHO DE Zona04_PB01_Rede_NÓ54.5 A Zona04_PB01_Rede_NÓ1.10; INCLUI 4,00 M DE TUBO DESENHADO NO PRÓPRIO NÓ (NÓ54.5: anel de ponta/toco)"/>
        <s v="TRECHO DE Zona04_PB01_Rede_NÓ56.2 A Zona04_PB02_Rede_NÓ60.3"/>
        <s v="TRECHO DE Zona04_PB01_Rede_NÓ74.1 A Zona04_PB01_Rede_DF-40; INCLUI 0,28 M DE TUBO DESENHADO NO PRÓPRIO NÓ (DF-40: anel de ponta/toco)"/>
        <s v="TRECHO DE Zona04_PB01_Rede_NÓ74.1 A Zona04_PB01_Rede_NÓ56.2"/>
        <s v="TRECHO DE Zona04_PB02_CH_VM-4.2 A Zona04_PB02_Rede_NÓ9.2"/>
        <s v="TRECHO DE Zona04_PB02_Rede_NÓ1.15 A Zona04_PB02_Rede_NÓ54.2; INCLUI 3,96 M DE TUBO DESENHADO NO PRÓPRIO NÓ (NÓ54.2: anel de ponta/toco)"/>
        <s v="TRECHO DE Zona04_PB02_Rede_NÓ40.1 A Zona04_PB02_Rede_NÓ56.2"/>
        <s v="TRECHO DE Zona04_PB02_Rede_NÓ54.4 A Zona04_PB02_Rede_NÓ58.1; INCLUI 4,00 M DE TUBO DESENHADO NO PRÓPRIO NÓ (NÓ54.4: anel de ponta/toco)"/>
        <s v="TRECHO DE Zona04_PB02_Rede_NÓ56.1 A Zona04_PB02_CH_VM-4.2"/>
        <s v="TRECHO DE Zona04_PB02_Rede_NÓ56.1 A Zona04_PB05_Rede_NÓ54.5; INCLUI 4,04 M DE TUBO DESENHADO NO PRÓPRIO NÓ (NÓ54.5: anel de ponta/toco)"/>
        <s v="TRECHO DE Zona04_PB02_Rede_NÓ56.2 A Zona04_PB02_Rede_NÓ54.1; INCLUI 3,96 M DE TUBO DESENHADO NO PRÓPRIO NÓ (NÓ54.1: anel de ponta/toco)"/>
        <s v="TRECHO DE Zona04_PB02_Rede_NÓ56.2 A Zona04_PB02_Rede_NÓ56.1"/>
        <s v="TRECHO DE Zona04_PB02_Rede_NÓ58.1 A Zona04_PB02_Rede_NÓ58.2"/>
        <s v="TRECHO DE Zona04_PB02_Rede_NÓ58.2 A Zona04_PB03_Rede_NÓ54.1; INCLUI 5,13 M DE TUBO DESENHADO NO PRÓPRIO NÓ (NÓ54.1: anel de ponta/toco)"/>
        <s v="TRECHO DE Zona04_PB02_Rede_NÓ58.2 A Zona04_PB03_Rede_NÓ57.1; INCLUI 0,37 M DE TUBO DESENHADO NO PRÓPRIO NÓ (NÓ58.2: anel de ponta/toco)"/>
        <s v="TRECHO DE Zona04_PB02_Rede_NÓ60.2 A Zona04_PB02_Rede_NÓ40.1; INCLUI 0,53 M DE TUBO DESENHADO NO PRÓPRIO NÓ (NÓ60.2: anel de ponta/toco)"/>
        <s v="TRECHO DE Zona04_PB02_Rede_NÓ60.3 A Zona04_PB02_Rede_NÓ58.1; INCLUI 0,38 M DE TUBO DESENHADO NO PRÓPRIO NÓ (NÓ58.1: anel de ponta/toco)"/>
        <s v="TRECHO DE Zona04_PB02_Rede_NÓ60.3 A Zona04_PB02_Rede_NÓ60.2"/>
        <s v="TRECHO DE Zona04_PB02_Rede_NÓ61.1 A Zona04_PB02_Rede_NÓ67.1"/>
        <s v="TRECHO DE Zona04_PB02_Rede_NÓ61.2 A Zona04_PB02_Rede_NÓ54.3; INCLUI 4,00 M DE TUBO DESENHADO NO PRÓPRIO NÓ (NÓ54.3: anel de ponta/toco)"/>
        <s v="TRECHO DE Zona04_PB02_Rede_NÓ61.2 A Zona04_PB02_Rede_NÓ61.1"/>
        <s v="TRECHO DE Zona04_PB02_Rede_NÓ61.3 A PONTA SEM NÓ NA TABELA; INCLUI 0,41 M DE TUBO DESENHADO NO PRÓPRIO NÓ (NÓ61.3: anel de ponta/toco)"/>
        <s v="TRECHO DE Zona04_PB02_Rede_NÓ61.3 A Zona04_PB02_Rede_NÓ61.2"/>
        <s v="TRECHO DE Zona04_PB02_Rede_NÓ61.4 A Zona04_PB02_Rede_NÓ1.15"/>
        <s v="TRECHO DE Zona04_PB02_Rede_NÓ61.4 A Zona04_PB02_Rede_NÓ61.3; INCLUI 0,13 M DE TUBO DESENHADO NO PRÓPRIO NÓ (NÓ61.3: anel de ponta/toco)"/>
        <s v="TRECHO DE Zona04_PB02_Rede_NÓ61.5 A Zona04_PB02_Rede_NÓ61.4"/>
        <s v="TRECHO DE Zona04_PB02_Rede_NÓ61.5 A Zona04_PB03_Rede_DF-37"/>
        <s v="TRECHO DE Zona04_PB02_Rede_NÓ67.1 A Zona04_PB02_Rede_NÓ60.2; INCLUI 0,45 M DE TUBO DESENHADO NO PRÓPRIO NÓ (NÓ60.2: anel de ponta/toco)"/>
        <s v="TRECHO DE Zona04_PB02_Rede_NÓ67.1 A Zona04_PB03_Rede_NÓ3.1"/>
        <s v="TRECHO DE Zona04_PB02_Rede_NÓ76.1 A Zona04_PB05_Rede_NÓ56.6"/>
        <s v="TRECHO DE Zona04_PB02_Rede_NÓ9.1 A Zona04_PB02_Rede_NÓ9.2"/>
        <s v="TRECHO DE Zona04_PB03_Rede_DF-36 A Zona04_PB03_Rede_NÓ61.1; INCLUI 0,53 M DE TUBO DESENHADO NO PRÓPRIO NÓ (NÓ61.1: anel de ponta/toco)"/>
        <s v="TRECHO DE Zona04_PB03_Rede_NÓ1.2 A Zona04_PB03_Rede_DF-38"/>
        <s v="TRECHO DE Zona04_PB03_Rede_NÓ1.2 A Zona04_PB03_Rede_NÓ54.8; INCLUI 4,31 M DE TUBO DESENHADO NO PRÓPRIO NÓ (NÓ1.2, NÓ54.8: anel de ponta/toco)"/>
        <s v="TRECHO DE Zona04_PB03_Rede_NÓ1.3 A Zona04_PB02_Rede_NÓ61.1"/>
        <s v="TRECHO DE Zona04_PB03_Rede_NÓ1.3 A Zona04_PB03_Rede_DF-37"/>
        <s v="TRECHO DE Zona04_PB03_Rede_NÓ105.1 A Zona04_PB03_Rede_NÓ106.1"/>
        <s v="TRECHO DE Zona04_PB03_Rede_NÓ106.1 A Zona04_PB03_Rede_NÓ1.1"/>
        <s v="TRECHO DE Zona04_PB03_Rede_NÓ106.1 A Zona04_PB03_Rede_NÓ54.4; INCLUI 6,52 M DE TUBO DESENHADO NO PRÓPRIO NÓ (NÓ54.4: anel de ponta/toco)"/>
        <s v="TRECHO DE Zona04_PB03_Rede_NÓ3.1 A Zona04_PB03_Rede_NÓ105.1"/>
        <s v="TRECHO DE Zona04_PB03_Rede_NÓ54.2 A Zona04_PB03_Rede_NÓ105.1; INCLUI 4,38 M DE TUBO DESENHADO NO PRÓPRIO NÓ (NÓ105.1, NÓ54.2: anel de ponta/toco)"/>
        <s v="TRECHO DE Zona04_PB03_Rede_NÓ54.5 A Zona04_PB03_Rede_NÓ1.2; INCLUI 3,78 M DE TUBO DESENHADO NO PRÓPRIO NÓ (NÓ1.1, NÓ54.5: anel de ponta/toco)"/>
        <s v="TRECHO DE Zona04_PB03_Rede_NÓ57.1 A Zona04_PB03_Rede_NÓ3.1"/>
        <s v="TRECHO DE Zona04_PB03_Rede_NÓ57.1 A Zona04_PB03_Rede_NÓ54.3; INCLUI 4,00 M DE TUBO DESENHADO NO PRÓPRIO NÓ (NÓ54.3: anel de ponta/toco)"/>
        <s v="TRECHO DE Zona04_PB03_Rede_NÓ61.1 A Zona04_PB02_Rede_NÓ61.5; INCLUI 0,22 M DE TUBO DESENHADO NO PRÓPRIO NÓ (NÓ61.1: anel de ponta/toco)"/>
        <s v="TRECHO DE Zona04_PB03_Rede_NÓ61.1 A Zona04_PB05_CH_VM-4.3"/>
        <s v="TRECHO DE Zona04_PB05_CH_MV-04 A Zona04_PB05_Rede_NÓ87.1"/>
        <s v="TRECHO DE Zona04_PB05_CH_VM-4.1 A Zona04_PB05_Rede_NÓ8.2"/>
        <s v="TRECHO DE Zona04_PB05_CH_VM-4.3 A Zona04_PB05_Rede_NÓ61.2"/>
        <s v="TRECHO DE Zona04_PB05_CH_VRP-17 A Zona04_PB05_CH_MV-04"/>
        <s v="TRECHO DE Zona04_PB05_Rede_NÓ1.2 A Zona04_PB05_Rede_NÓ1.3"/>
        <s v="TRECHO DE Zona04_PB05_Rede_NÓ1.3 A Zona04_PB05_Rede_NÓ106.2"/>
        <s v="TRECHO DE Zona04_PB05_Rede_NÓ1.4 A Zona04_PB05_Rede_NÓ1.2"/>
        <s v="TRECHO DE Zona04_PB05_Rede_NÓ1.4 A Zona04_PB05_Rede_NÓ1.3"/>
        <s v="TRECHO DE Zona04_PB05_Rede_NÓ1.4 A Zona04_PB05_Rede_NÓ2.1"/>
        <s v="TRECHO DE Zona04_PB05_Rede_NÓ1.5 A Zona04_PB05_Rede_NÓ54.11; INCLUI 4,02 M DE TUBO DESENHADO NO PRÓPRIO NÓ (NÓ54.11: anel de ponta/toco)"/>
        <s v="TRECHO DE Zona04_PB05_Rede_NÓ1.6 A Zona04_PB05_Rede_NÓ54.12; INCLUI 3,81 M DE TUBO DESENHADO NO PRÓPRIO NÓ (NÓ54.12: anel de ponta/toco)"/>
        <s v="TRECHO DE Zona04_PB05_Rede_NÓ1.6 A Zona04_PB06_Rede_NÓ1.1"/>
        <s v="TRECHO DE Zona04_PB05_Rede_NÓ1.7 A Zona04_PB03_Rede_NÓ54.6; INCLUI 3,96 M DE TUBO DESENHADO NO PRÓPRIO NÓ (NÓ54.6: anel de ponta/toco)"/>
        <s v="TRECHO DE Zona04_PB05_Rede_NÓ1.7 A Zona04_PB05_Rede_NÓ61.4; INCLUI 0,39 M DE TUBO DESENHADO NO PRÓPRIO NÓ (NÓ61.4: anel de ponta/toco)"/>
        <s v="TRECHO DE Zona04_PB05_Rede_NÓ1.7 A Zona04_PB06_Rede_NÓ1.1; INCLUI 0,58 M DE TUBO DESENHADO NO PRÓPRIO NÓ (nó: anel de ponta/toco)"/>
        <s v="TRECHO DE Zona04_PB05_Rede_NÓ106.2 A Zona04_PB05_Rede_NÓ54.10; INCLUI 3,98 M DE TUBO DESENHADO NO PRÓPRIO NÓ (NÓ54.10: anel de ponta/toco)"/>
        <s v="TRECHO DE Zona04_PB05_Rede_NÓ106.3 A Zona04_PB05_Rede_NÓ1.5"/>
        <s v="TRECHO DE Zona04_PB05_Rede_NÓ106.3 A Zona04_PB05_Rede_NÓ1.6; INCLUI 0,07 M DE TUBO DESENHADO NO PRÓPRIO NÓ (NÓ106.3: anel de ponta/toco)"/>
        <s v="TRECHO DE Zona04_PB05_Rede_NÓ13.1 A Zona04_PB05_Rede_NÓ87.1"/>
        <s v="TRECHO DE Zona04_PB05_Rede_NÓ2.1 A Zona04_PB05_Rede_NÓ61.3; INCLUI 0,43 M DE TUBO DESENHADO NO PRÓPRIO NÓ (NÓ61.3: anel de ponta/toco)"/>
        <s v="TRECHO DE Zona04_PB05_Rede_NÓ54.3 A Zona04_PB05_Rede_NÓ61.1; INCLUI 4,07 M DE TUBO DESENHADO NO PRÓPRIO NÓ (NÓ54.3, NÓ61.1: anel de ponta/toco)"/>
        <s v="TRECHO DE Zona04_PB05_Rede_NÓ54.7 A Zona04_PB02_Rede_NÓ1.15; INCLUI 4,04 M DE TUBO DESENHADO NO PRÓPRIO NÓ (NÓ54.7: anel de ponta/toco)"/>
        <s v="TRECHO DE Zona04_PB05_Rede_NÓ56.6 A Zona04_PB05_Rede_NÓ54.6; INCLUI 4,82 M DE TUBO DESENHADO NO PRÓPRIO NÓ (NÓ54.6: anel de ponta/toco)"/>
        <s v="TRECHO DE Zona04_PB05_Rede_NÓ56.6 A Zona04_PB05_Rede_NÓ73.1"/>
        <s v="TRECHO DE Zona04_PB05_Rede_NÓ61.1 A Zona04_PB05_Rede_NÓ70.1"/>
        <s v="TRECHO DE Zona04_PB05_Rede_NÓ61.1 A Zona04_PB05_Rede_NÓ73.1; INCLUI 0,05 M DE TUBO DESENHADO NO PRÓPRIO NÓ (NÓ61.1: anel de ponta/toco)"/>
        <s v="TRECHO DE Zona04_PB05_Rede_NÓ61.2 A Zona04_PB03_Rede_NÓ54.7; INCLUI 4,37 M DE TUBO DESENHADO NO PRÓPRIO NÓ (NÓ54.7, NÓ61.2: anel de ponta/toco)"/>
        <s v="TRECHO DE Zona04_PB05_Rede_NÓ61.2 A Zona04_PB05_Rede_NÓ61.3; INCLUI 0,19 M DE TUBO DESENHADO NO PRÓPRIO NÓ (NÓ61.2: anel de ponta/toco)"/>
        <s v="TRECHO DE Zona04_PB05_Rede_NÓ61.3 A Zona04_PB05_Rede_NÓ61.4"/>
        <s v="TRECHO DE Zona04_PB05_Rede_NÓ61.4 A Zona04_PB05_Rede_NÓ61.5; INCLUI 0,26 M DE TUBO DESENHADO NO PRÓPRIO NÓ (NÓ61.4: anel de ponta/toco)"/>
        <s v="TRECHO DE Zona04_PB05_Rede_NÓ61.5 A Zona04_PB05_Rede_NÓ54.9; INCLUI 4,46 M DE TUBO DESENHADO NO PRÓPRIO NÓ (NÓ54.9, NÓ61.5: anel de ponta/toco)"/>
        <s v="TRECHO DE Zona04_PB05_Rede_NÓ61.5 A Zona04_PB05_Rede_NÓ70.1"/>
        <s v="TRECHO DE Zona04_PB05_Rede_NÓ70.1 A Zona04_PB05_Rede_NÓ106.3; INCLUI 0,43 M DE TUBO DESENHADO NO PRÓPRIO NÓ (NÓ106.3, NÓ70.1: anel de ponta/toco)"/>
        <s v="TRECHO DE Zona04_PB05_Rede_NÓ73.1 A JUNÇÃO SEM NÓ NA TABELA; INCLUI 0,23 M DE TUBO DESENHADO NO PRÓPRIO NÓ (NÓ73.1: anel de ponta/toco)"/>
        <s v="TRECHO DE Zona04_PB05_Rede_NÓ8.2 A Zona04_PB05_CH_VRP-17"/>
        <s v="TRECHO DE Zona04_PB05_Rede_NÓ8.2 A Zona04_PB05_Rede_NÓ9.1"/>
        <s v="TRECHO DE Zona04_PB05_Rede_NÓ9.1 A Zona04_PB02_Rede_NÓ9.1"/>
        <s v="TRECHO DE Zona04_PB05_Rede_NÓ92.1 A Zona04_PB02_Rede_NÓ76.1; INCLUI 0,16 M DE TUBO DESENHADO NO PRÓPRIO NÓ (nó: anel de ponta/toco)"/>
        <s v="TRECHO DE Zona04_PB05_Rede_NÓ92.1 A Zona04_PB05_Rede_NÓ1.2"/>
        <s v="TRECHO DE Zona04_PB05_Rede_NÓ92.1 A Zona04_PB05_Rede_NÓ106.2; INCLUI 0,34 M DE TUBO DESENHADO NO PRÓPRIO NÓ (NÓ106.2: anel de ponta/toco)"/>
        <s v="TRECHO DE Zona04_PB06_Rede_DF-35 A Zona04_PB05_Rede_NÓ1.5"/>
        <s v="TRECHO DE Zona04_PB06_Rede_NÓ1.1 A Zona04_PB06_Rede_NÓ2.1; INCLUI 1,47 M DE TUBO DESENHADO NO PRÓPRIO NÓ (NÓ2.1: anel de ponta/toco)"/>
        <s v="TRECHO DE Zona04_PB06_Rede_NÓ2.1 A Zona04_PB06_Rede_NÓ2.2"/>
        <s v="TRECHO DE Zona04_PB06_Rede_NÓ2.2 A Zona04_PB06_Rede_DF-35"/>
        <s v="TRECHO DE Zona05_PB07_CH_VM-3.2 A DIVISA DE ZONA; TRECHO DIVIDIDO NA DIVISA DE ZONA (TRECHO ORIGINAL ENTRE PONTOS DA REDE: 332,12 M)"/>
        <s v="TRECHO DE Zona05_PB07_Rede_DF-43 A Zona05_PB07_Rede_NÓ54.10; INCLUI 7,05 M DE TUBO DESENHADO NO PRÓPRIO NÓ (NÓ54.10: anel de ponta/toco)"/>
        <s v="TRECHO DE Zona05_PB07_Rede_NÓ1.15 A Zona05_PB07_Rede_NÓ56.2"/>
        <s v="TRECHO DE Zona05_PB07_Rede_NÓ1.15 A Zona05_PB10_Rede_NÓ1.15"/>
        <s v="TRECHO DE Zona05_PB07_Rede_NÓ1.16 A Zona05_PB07_Rede_NÓ54.6; INCLUI 4,00 M DE TUBO DESENHADO NO PRÓPRIO NÓ (NÓ54.6: anel de ponta/toco)"/>
        <s v="TRECHO DE Zona05_PB07_Rede_NÓ1.16 A Zona05_PB07_Rede_NÓ56.4"/>
        <s v="TRECHO DE Zona05_PB07_Rede_NÓ11.1 A Zona05_PB07_Rede_NÓ71.1"/>
        <s v="TRECHO DE Zona05_PB07_Rede_NÓ41.1 A Zona05_PB07_Rede_NÓ11.1"/>
        <s v="TRECHO DE Zona05_PB07_Rede_NÓ54.12 A Zona05_PB07_Rede_NÓ55.2; INCLUI 4,94 M DE TUBO DESENHADO NO PRÓPRIO NÓ (NÓ54.12: anel de ponta/toco)"/>
        <s v="TRECHO DE Zona05_PB07_Rede_NÓ54.5 A Zona05_PB07_Rede_NÓ1.15; INCLUI 4,00 M DE TUBO DESENHADO NO PRÓPRIO NÓ (NÓ54.5: anel de ponta/toco)"/>
        <s v="TRECHO DE Zona05_PB07_Rede_NÓ54.7 A Zona05_PB07_Rede_NÓ56.6; INCLUI 4,00 M DE TUBO DESENHADO NO PRÓPRIO NÓ (NÓ54.7: anel de ponta/toco)"/>
        <s v="TRECHO DE Zona05_PB07_Rede_NÓ54.9 A Zona05_PB07_Rede_NÓ1.16"/>
        <s v="TRECHO DE Zona05_PB07_Rede_NÓ55.1 A Zona05_PB07_Rede_NÓ41.1"/>
        <s v="TRECHO DE Zona05_PB07_Rede_NÓ55.1 A Zona05_PB10_Rede_NÓ56.3; INCLUI 0,15 M DE TUBO DESENHADO NO PRÓPRIO NÓ (NÓ56.3: anel de ponta/toco)"/>
        <s v="TRECHO DE Zona05_PB07_Rede_NÓ55.2 A Zona05_PB07_Rede_NÓ55.1"/>
        <s v="TRECHO DE Zona05_PB07_Rede_NÓ56.1 A Zona05_PB10_Rede_NÓ1.15"/>
        <s v="TRECHO DE Zona05_PB07_Rede_NÓ56.1 A Zona05_PB10_Rede_NÓ56.2; INCLUI 0,18 M DE TUBO DESENHADO NO PRÓPRIO NÓ (NÓ56.2: anel de ponta/toco)"/>
        <s v="TRECHO DE Zona05_PB07_Rede_NÓ56.2 A Zona05_PB07_Rede_NÓ56.1"/>
        <s v="TRECHO DE Zona05_PB07_Rede_NÓ56.4 A Zona05_PB07_Rede_NÓ56.2"/>
        <s v="TRECHO DE Zona05_PB07_Rede_NÓ56.6 A Zona05_PB07_Rede_NÓ56.4"/>
        <s v="TRECHO DE Zona05_PB07_Rede_NÓ71.1 A Zona05_PB07_Rede_DF-43"/>
        <s v="TRECHO DE Zona05_PB07_Rede_NÓ71.1 A Zona05_PB07_Rede_NÓ56.6"/>
        <s v="TRECHO DE Zona05_PB08_CH_VM-5.2 A Zona05_PB08_Rede_NÓ55.8"/>
        <s v="TRECHO DE Zona05_PB08_Rede_DF-21 A Zona05_PB08_Rede_NÓ1.10"/>
        <s v="TRECHO DE Zona05_PB08_Rede_NÓ1.10 A Zona05_PB08_Rede_NÓ1.11; INCLUI 0,48 M DE TUBO DESENHADO NO PRÓPRIO NÓ (NÓ1.11: anel de ponta/toco)"/>
        <s v="TRECHO DE Zona05_PB08_Rede_NÓ1.10 A Zona05_PB08_Rede_NÓ54.12; INCLUI 3,88 M DE TUBO DESENHADO NO PRÓPRIO NÓ (NÓ54.12: anel de ponta/toco)"/>
        <s v="TRECHO DE Zona05_PB08_Rede_NÓ1.11 A DIVISA DE ZONA; TRECHO DIVIDIDO NA DIVISA DE ZONA (TRECHO ORIGINAL ENTRE PONTOS DA REDE: 43,98 M)"/>
        <s v="TRECHO DE Zona05_PB08_Rede_NÓ1.12 A Zona05_PB08_Rede_NÓ2.5"/>
        <s v="TRECHO DE Zona05_PB08_Rede_NÓ1.2 A Zona05_PB08_Rede_NÓ1.3"/>
        <s v="TRECHO DE Zona05_PB08_Rede_NÓ1.2 A Zona05_PB08_Rede_NÓ55.3"/>
        <s v="TRECHO DE Zona05_PB08_Rede_NÓ1.3 A Zona05_PB08_Rede_NÓ55.4"/>
        <s v="TRECHO DE Zona05_PB08_Rede_NÓ1.4 A Zona05_PB11_Rede_NÓ1.9"/>
        <s v="TRECHO DE Zona05_PB08_Rede_NÓ1.7 A Zona05_PB08_Rede_NÓ1.4"/>
        <s v="TRECHO DE Zona05_PB08_Rede_NÓ1.8 A Zona05_PB08_Rede_NÓ1.7"/>
        <s v="TRECHO DE Zona05_PB08_Rede_NÓ1.8 A Zona05_PB08_Rede_NÓ55.10"/>
        <s v="TRECHO DE Zona05_PB08_Rede_NÓ107.3 A Zona05_PB08_Rede_DF-21"/>
        <s v="TRECHO DE Zona05_PB08_Rede_NÓ107.3 A Zona05_PB08_Rede_NÓ107.4"/>
        <s v="TRECHO DE Zona05_PB08_Rede_NÓ107.4 A Zona05_PB08_Rede_NÓ107.2; INCLUI 0,17 M DE TUBO DESENHADO NO PRÓPRIO NÓ (NÓ107.2: anel de ponta/toco)"/>
        <s v="TRECHO DE Zona05_PB08_Rede_NÓ107.4 A Zona05_PB08_Rede_NÓ54.14; INCLUI 4,01 M DE TUBO DESENHADO NO PRÓPRIO NÓ (NÓ54.14: anel de ponta/toco)"/>
        <s v="TRECHO DE Zona05_PB08_Rede_NÓ110.2 A Zona05_PB08_Rede_NÓ1.12"/>
        <s v="TRECHO DE Zona05_PB08_Rede_NÓ110.2 A Zona05_PB08_Rede_NÓ107.5; INCLUI 0,40 M DE TUBO DESENHADO NO PRÓPRIO NÓ (NÓ110.2: anel de ponta/toco)"/>
        <s v="TRECHO DE Zona05_PB08_Rede_NÓ2.1 A Zona05_PB08_Rede_NÓ1.4"/>
        <s v="TRECHO DE Zona05_PB08_Rede_NÓ2.1 A Zona05_PB11_Rede_NÓ2.9"/>
        <s v="TRECHO DE Zona05_PB08_Rede_NÓ2.5 A Zona05_PB08_Rede_NÓ107.5"/>
        <s v="TRECHO DE Zona05_PB08_Rede_NÓ54.13 A Zona05_PB08_Rede_NÓ55.12; INCLUI 4,04 M DE TUBO DESENHADO NO PRÓPRIO NÓ (NÓ54.13: anel de ponta/toco)"/>
        <s v="TRECHO DE Zona05_PB08_Rede_NÓ54.15 A Zona05_PB08_Rede_NÓ110.2; INCLUI 4,02 M DE TUBO DESENHADO NO PRÓPRIO NÓ (NÓ110.2, NÓ54.15: anel de ponta/toco)"/>
        <s v="TRECHO DE Zona05_PB08_Rede_NÓ55.1 A Zona05_PB07_Rede_NÓ55.2"/>
        <s v="TRECHO DE Zona05_PB08_Rede_NÓ55.1 A Zona05_PB10_Rede_NÓ54.6; INCLUI 3,99 M DE TUBO DESENHADO NO PRÓPRIO NÓ (NÓ54.6: anel de ponta/toco)"/>
        <s v="TRECHO DE Zona05_PB08_Rede_NÓ55.10 A Zona05_PB08_Rede_NÓ55.9"/>
        <s v="TRECHO DE Zona05_PB08_Rede_NÓ55.11 A Zona05_PB08_Rede_NÓ54.9; INCLUI 4,05 M DE TUBO DESENHADO NO PRÓPRIO NÓ (NÓ54.9: anel de ponta/toco)"/>
        <s v="TRECHO DE Zona05_PB08_Rede_NÓ55.11 A Zona05_PB08_Rede_NÓ55.10"/>
        <s v="TRECHO DE Zona05_PB08_Rede_NÓ55.11 A Zona05_PB08_Rede_NÓ84.1"/>
        <s v="TRECHO DE Zona05_PB08_Rede_NÓ55.12 A Zona05_PB08_Rede_NÓ55.13"/>
        <s v="TRECHO DE Zona05_PB08_Rede_NÓ55.13 A Zona05_PB08_Rede_NÓ55.14"/>
        <s v="TRECHO DE Zona05_PB08_Rede_NÓ55.13 A Zona05_PB11_Rede_NÓ54.6; INCLUI 2,05 M DE TUBO DESENHADO NO PRÓPRIO NÓ (NÓ54.6: anel de ponta/toco)"/>
        <s v="TRECHO DE Zona05_PB08_Rede_NÓ55.14 A Zona05_PB11_Rede_NÓ54.7; INCLUI 4,91 M DE TUBO DESENHADO NO PRÓPRIO NÓ (NÓ54.7: anel de ponta/toco)"/>
        <s v="TRECHO DE Zona05_PB08_Rede_NÓ55.14 A Zona05_PB11_Rede_NÓ55.2"/>
        <s v="TRECHO DE Zona05_PB08_Rede_NÓ55.2 A Zona05_PB08_Rede_NÓ55.1"/>
        <s v="TRECHO DE Zona05_PB08_Rede_NÓ55.2 A Zona05_PB10_Rede_NÓ54.9; INCLUI 4,40 M DE TUBO DESENHADO NO PRÓPRIO NÓ (NÓ54.9: anel de ponta/toco)"/>
        <s v="TRECHO DE Zona05_PB08_Rede_NÓ55.3 A Zona05_PB08_Rede_NÓ55.2"/>
        <s v="TRECHO DE Zona05_PB08_Rede_NÓ55.4 A Zona05_PB08_Rede_NÓ55.3"/>
        <s v="TRECHO DE Zona05_PB08_Rede_NÓ55.5 A Zona05_PB08_Rede_NÓ55.4"/>
        <s v="TRECHO DE Zona05_PB08_Rede_NÓ55.5 A Zona05_PB11_Rede_NÓ2.3"/>
        <s v="TRECHO DE Zona05_PB08_Rede_NÓ55.6 A Zona05_PB08_Rede_NÓ55.5"/>
        <s v="TRECHO DE Zona05_PB08_Rede_NÓ55.6 A Zona05_PB11_Rede_NÓ2.5"/>
        <s v="TRECHO DE Zona05_PB08_Rede_NÓ55.7 A Zona05_PB08_Rede_NÓ54.5; INCLUI 4,00 M DE TUBO DESENHADO NO PRÓPRIO NÓ (NÓ54.5: anel de ponta/toco)"/>
        <s v="TRECHO DE Zona05_PB08_Rede_NÓ55.7 A Zona05_PB08_Rede_NÓ55.6; INCLUI 0,05 M DE TUBO DESENHADO NO PRÓPRIO NÓ (NÓ55.7: anel de ponta/toco)"/>
        <s v="TRECHO DE Zona05_PB08_Rede_NÓ55.8 A DIVISA DE ZONA; TRECHO DIVIDIDO NA DIVISA DE ZONA (TRECHO ORIGINAL ENTRE PONTOS DA REDE: 427,48 M)"/>
        <s v="TRECHO DE Zona05_PB08_Rede_NÓ55.8 A Zona05_PB08_Rede_NÓ55.7; INCLUI 0,05 M DE TUBO DESENHADO NO PRÓPRIO NÓ (NÓ55.8: anel de ponta/toco)"/>
        <s v="TRECHO DE Zona05_PB08_Rede_NÓ55.9 A Zona05_PB08_CH_VM-5.2"/>
        <s v="TRECHO DE Zona05_PB08_Rede_NÓ55.9 A Zona05_PB08_Rede_NÓ1.7"/>
        <s v="TRECHO DE Zona05_PB08_Rede_NÓ6.2 A Zona05_PB08_Rede_NÓ107.3"/>
        <s v="TRECHO DE Zona05_PB08_Rede_NÓ6.2 A Zona05_PB08_Rede_NÓ107.5"/>
        <s v="TRECHO DE Zona05_PB08_Rede_NÓ84.1 A Zona05_PB08_Rede_NÓ1.11"/>
        <s v="TRECHO DE Zona05_PB08_Rede_NÓ84.1 A Zona05_PB08_Rede_NÓ55.12"/>
        <s v="TRECHO DE Zona05_PB09_Rede_NÓ54.2 A Zona05_PB08_Rede_NÓ1.12; INCLUI 4,05 M DE TUBO DESENHADO NO PRÓPRIO NÓ (NÓ54.2: anel de ponta/toco)"/>
        <s v="TRECHO DE Zona05_PB10_CH_VM-5.3 A Zona05_PB10_Rede_NÓ111.1"/>
        <s v="TRECHO DE Zona05_PB10_CH_VRP-12 A DIVISA DE ZONA; TRECHO DIVIDIDO NA DIVISA DE ZONA (TRECHO ORIGINAL ENTRE PONTOS DA REDE: 24,33 M)"/>
        <s v="TRECHO DE Zona05_PB10_Rede_NÓ1.15 A Zona05_PB10_Rede_NÓ56.2; INCLUI 0,52 M DE TUBO DESENHADO NO PRÓPRIO NÓ (NÓ56.2: anel de ponta/toco)"/>
        <s v="TRECHO DE Zona05_PB10_Rede_NÓ1.18 A Zona05_PB08_Rede_NÓ1.2"/>
        <s v="TRECHO DE Zona05_PB10_Rede_NÓ1.18 A Zona05_PB10_Rede_NÓ54.7; INCLUI 4,04 M DE TUBO DESENHADO NO PRÓPRIO NÓ (NÓ54.7: anel de ponta/toco)"/>
        <s v="TRECHO DE Zona05_PB10_Rede_NÓ1.18 A Zona05_PB11_Rede_NÓ2.2"/>
        <s v="TRECHO DE Zona05_PB10_Rede_NÓ111.1 A Zona05_PB10_CH_VRP-12"/>
        <s v="TRECHO DE Zona05_PB10_Rede_NÓ111.1 A Zona05_PB10_Rede_NÓ13.1"/>
        <s v="TRECHO DE Zona05_PB10_Rede_NÓ56.2 A Zona05_PB10_Rede_NÓ56.3"/>
        <s v="TRECHO DE Zona05_PB10_Rede_NÓ56.3 A Zona05_PB10_CH_VM-5.3"/>
        <s v="TRECHO DE Zona05_PB11_CH_VRP-11 A DIVISA DE ZONA; TRECHO DIVIDIDO NA DIVISA DE ZONA (TRECHO ORIGINAL ENTRE PONTOS DA REDE: 534,48 M)"/>
        <s v="TRECHO DE Zona05_PB11_Rede_NÓ1.11 A Zona05_PB11_Rede_NÓ1.5"/>
        <s v="TRECHO DE Zona05_PB11_Rede_NÓ1.11 A Zona05_PB11_Rede_NÓ19.1; INCLUI 1,03 M DE TUBO DESENHADO NO PRÓPRIO NÓ (NÓ1.11: anel de ponta/toco)"/>
        <s v="TRECHO DE Zona05_PB11_Rede_NÓ1.14 A Zona05_PB11_Rede_NÓ1.11"/>
        <s v="TRECHO DE Zona05_PB11_Rede_NÓ1.14 A Zona05_PB11_Rede_NÓ19.2"/>
        <s v="TRECHO DE Zona05_PB11_Rede_NÓ1.15 A Zona05_PB11_Rede_NÓ1.14"/>
        <s v="TRECHO DE Zona05_PB11_Rede_NÓ1.15 A Zona05_PB11_Rede_NÓ19.3"/>
        <s v="TRECHO DE Zona05_PB11_Rede_NÓ1.5 A Zona05_PB11_Rede_NÓ1.9"/>
        <s v="TRECHO DE Zona05_PB11_Rede_NÓ1.5 A Zona05_PB11_Rede_NÓ2.9"/>
        <s v="TRECHO DE Zona05_PB11_Rede_NÓ1.9 A Zona05_PB11_Rede_NÓ1.15"/>
        <s v="TRECHO DE Zona05_PB11_Rede_NÓ19.3 A Zona05_PB11_Rede_NÓ82.3"/>
        <s v="TRECHO DE Zona05_PB11_Rede_NÓ2.2 A Zona05_PB08_Rede_NÓ1.3"/>
        <s v="TRECHO DE Zona05_PB11_Rede_NÓ2.3 A Zona05_PB11_Rede_NÓ2.5"/>
        <s v="TRECHO DE Zona05_PB11_Rede_NÓ54.5 A DIVISA DE ZONA; INCLUI 3,94 M DE TUBO DESENHADO NO PRÓPRIO NÓ (NÓ54.5: anel de ponta/toco); TRECHO DIVIDIDO NA DIVISA DE ZONA (TRECHO ORIGINAL ENTRE PONTOS DA REDE: 140,20 M)"/>
        <s v="TRECHO DE Zona05_PB11_Rede_NÓ54.9 A Zona05_PB11_Rede_NÓ55.2; INCLUI 4,00 M DE TUBO DESENHADO NO PRÓPRIO NÓ (NÓ54.9: anel de ponta/toco)"/>
        <s v="TRECHO DE Zona05_PB11_Rede_NÓ55.1 A Zona05_PB08_Rede_NÓ1.8"/>
        <s v="TRECHO DE Zona05_PB11_Rede_NÓ55.2 A Zona05_PB11_Rede_NÓ55.1"/>
        <s v="TRECHO DE Zona05_PB11_Rede_NÓ82.1 A Zona05_PB11_CH_VRP-11"/>
        <s v="TRECHO DE Zona05_PB11_Rede_NÓ82.1 A Zona05_PB11_Rede_NÓ19.1; INCLUI 0,35 M DE TUBO DESENHADO NO PRÓPRIO NÓ (NÓ19.1: anel de ponta/toco)"/>
        <s v="TRECHO DE Zona05_PB11_Rede_NÓ82.1 A Zona05_PB11_Rede_NÓ82.2"/>
        <s v="TRECHO DE Zona05_PB11_Rede_NÓ82.2 A Zona05_PB11_Rede_NÓ19.2"/>
        <s v="TRECHO DE Zona05_PB11_Rede_NÓ82.2 A Zona05_PB11_Rede_NÓ82.3"/>
        <s v="TRECHO DE Zona05_PB11_Rede_NÓ82.3 A Zona05_PB11_Rede_NÓ55.1"/>
        <s v="TRECHO DE Zona06_PB09_Rede_DF-20 A Zona06_PB12_Rede_NÓ1.15"/>
        <s v="TRECHO DE Zona06_PB09_Rede_NÓ2.1 A Zona06_PB09_Rede_DF-20"/>
        <s v="TRECHO DE Zona06_PB12_Adutora_NÓ42.1 A Zona06_PB12_Adutora_NÓ97.1; INCLUI 4,01 M DE TUBO DESENHADO NO PRÓPRIO NÓ (NÓ97.1: anel de ponta/toco)"/>
        <s v="TRECHO DE Zona06_PB12_Rede_DF-19 A Zona06_PB12_Rede_NÓ2.2"/>
        <s v="TRECHO DE Zona06_PB12_Rede_NÓ1.1 A Zona06_PB12_Rede_NÓ1.2"/>
        <s v="TRECHO DE Zona06_PB12_Rede_NÓ1.1 A Zona06_PB15_Rede_NÓ59.4"/>
        <s v="TRECHO DE Zona06_PB12_Rede_NÓ1.10 A Zona06_PB12_Rede_NÓ59.6"/>
        <s v="TRECHO DE Zona06_PB12_Rede_NÓ1.11 A Zona06_PB12_Rede_NÓ1.12"/>
        <s v="TRECHO DE Zona06_PB12_Rede_NÓ1.11 A Zona06_PB12_Rede_NÓ54.9; INCLUI 4,00 M DE TUBO DESENHADO NO PRÓPRIO NÓ (NÓ54.9: anel de ponta/toco)"/>
        <s v="TRECHO DE Zona06_PB12_Rede_NÓ1.12 A Zona06_PB12_Rede_NÓ54.11; INCLUI 4,01 M DE TUBO DESENHADO NO PRÓPRIO NÓ (NÓ54.11: anel de ponta/toco)"/>
        <s v="TRECHO DE Zona06_PB12_Rede_NÓ1.12 A Zona06_PB12_Rede_NÓ59.3"/>
        <s v="TRECHO DE Zona06_PB12_Rede_NÓ1.13 A Zona06_PB09_Rede_NÓ2.1"/>
        <s v="TRECHO DE Zona06_PB12_Rede_NÓ1.13 A Zona06_PB12_Rede_NÓ1.14"/>
        <s v="TRECHO DE Zona06_PB12_Rede_NÓ1.13 A Zona06_PB12_Rede_NÓ59.4"/>
        <s v="TRECHO DE Zona06_PB12_Rede_NÓ1.14 A Zona06_PB12_Rede_NÓ1.15"/>
        <s v="TRECHO DE Zona06_PB12_Rede_NÓ1.14 A Zona06_PB12_Rede_NÓ59.7"/>
        <s v="TRECHO DE Zona06_PB12_Rede_NÓ1.15 A Zona06_PB12_Rede_NÓ54.12; INCLUI 4,01 M DE TUBO DESENHADO NO PRÓPRIO NÓ (NÓ54.12: anel de ponta/toco)"/>
        <s v="TRECHO DE Zona06_PB12_Rede_NÓ1.2 A Zona06_PB12_Rede_NÓ1.3"/>
        <s v="TRECHO DE Zona06_PB12_Rede_NÓ1.3 A Zona06_PB12_Rede_NÓ1.5"/>
        <s v="TRECHO DE Zona06_PB12_Rede_NÓ1.3 A Zona06_PB12_Rede_NÓ1.8"/>
        <s v="TRECHO DE Zona06_PB12_Rede_NÓ1.4 A Zona06_PB12_Rede_NÓ2.1"/>
        <s v="TRECHO DE Zona06_PB12_Rede_NÓ1.4 A Zona06_PB12_Rede_NÓ54.3; INCLUI 4,00 M DE TUBO DESENHADO NO PRÓPRIO NÓ (NÓ54.3: anel de ponta/toco)"/>
        <s v="TRECHO DE Zona06_PB12_Rede_NÓ1.5 A Zona06_PB12_Rede_NÓ107.2"/>
        <s v="TRECHO DE Zona06_PB12_Rede_NÓ1.5 A Zona06_PB12_Rede_NÓ54.5; INCLUI 4,00 M DE TUBO DESENHADO NO PRÓPRIO NÓ (NÓ54.5: anel de ponta/toco)"/>
        <s v="TRECHO DE Zona06_PB12_Rede_NÓ1.6 A Zona06_PB12_Rede_NÓ1.1"/>
        <s v="TRECHO DE Zona06_PB12_Rede_NÓ1.6 A Zona06_PB12_Rede_NÓ1.7"/>
        <s v="TRECHO DE Zona06_PB12_Rede_NÓ1.7 A Zona06_PB12_Rede_NÓ1.2; INCLUI 1,63 M DE TUBO DESENHADO NO PRÓPRIO NÓ (NÓ1.7: anel de ponta/toco)"/>
        <s v="TRECHO DE Zona06_PB12_Rede_NÓ1.7 A Zona06_PB12_Rede_NÓ1.8"/>
        <s v="TRECHO DE Zona06_PB12_Rede_NÓ1.8 A Zona06_PB12_Rede_NÓ1.10"/>
        <s v="TRECHO DE Zona06_PB12_Rede_NÓ1.9 A Zona06_PB12_Rede_NÓ1.10; INCLUI 1,54 M DE TUBO DESENHADO NO PRÓPRIO NÓ (NÓ1.10: anel de ponta/toco)"/>
        <s v="TRECHO DE Zona06_PB12_Rede_NÓ1.9 A Zona06_PB12_Rede_NÓ59.5; INCLUI 0,18 M DE TUBO DESENHADO NO PRÓPRIO NÓ (NÓ1.9: anel de ponta/toco)"/>
        <s v="TRECHO DE Zona06_PB12_Rede_NÓ1.9 A Zona06_PB15_Rede_NÓ59.7"/>
        <s v="TRECHO DE Zona06_PB12_Rede_NÓ107.1 A Zona06_PB12_Rede_NÓ1.4"/>
        <s v="TRECHO DE Zona06_PB12_Rede_NÓ107.1 A Zona06_PB12_Rede_NÓ107.2"/>
        <s v="TRECHO DE Zona06_PB12_Rede_NÓ107.2 A Zona06_PB12_Rede_NÓ59.1"/>
        <s v="TRECHO DE Zona06_PB12_Rede_NÓ2.1 A JUNÇÃO SEM NÓ NA TABELA"/>
        <s v="TRECHO DE Zona06_PB12_Rede_NÓ54.13 A Zona06_PB12_Rede_NÓ59.9; INCLUI 4,00 M DE TUBO DESENHADO NO PRÓPRIO NÓ (NÓ54.13: anel de ponta/toco)"/>
        <s v="TRECHO DE Zona06_PB12_Rede_NÓ54.4 A Zona06_PB15_Rede_NÓ59.5; INCLUI 4,00 M DE TUBO DESENHADO NO PRÓPRIO NÓ (NÓ54.4: anel de ponta/toco)"/>
        <s v="TRECHO DE Zona06_PB12_Rede_NÓ54.6 A Zona06_PB12_Rede_NÓ59.2; INCLUI 4,00 M DE TUBO DESENHADO NO PRÓPRIO NÓ (NÓ54.6: anel de ponta/toco)"/>
        <s v="TRECHO DE Zona06_PB12_Rede_NÓ54.8 A Zona06_PB12_Rede_NÓ1.11; INCLUI 4,00 M DE TUBO DESENHADO NO PRÓPRIO NÓ (NÓ54.8: anel de ponta/toco)"/>
        <s v="TRECHO DE Zona06_PB12_Rede_NÓ59.1 A Zona06_PB12_Rede_NÓ2.2"/>
        <s v="TRECHO DE Zona06_PB12_Rede_NÓ59.1 A Zona06_PB12_Rede_NÓ59.2"/>
        <s v="TRECHO DE Zona06_PB12_Rede_NÓ59.2 A Zona06_PB12_Rede_NÓ59.3"/>
        <s v="TRECHO DE Zona06_PB12_Rede_NÓ59.3 A Zona06_PB12_Rede_NÓ59.4"/>
        <s v="TRECHO DE Zona06_PB12_Rede_NÓ59.4 A Zona06_PB12_Rede_NÓ59.7"/>
        <s v="TRECHO DE Zona06_PB12_Rede_NÓ59.5 A Zona06_PB15_Rede_NÓ6.3"/>
        <s v="TRECHO DE Zona06_PB12_Rede_NÓ59.6 A Zona06_PB12_Rede_NÓ59.5"/>
        <s v="TRECHO DE Zona06_PB12_Rede_NÓ59.7 A Zona06_PB12_Rede_NÓ59.8"/>
        <s v="TRECHO DE Zona06_PB12_Rede_NÓ59.8 A Zona06_PB12_Rede_NÓ54.10; INCLUI 3,97 M DE TUBO DESENHADO NO PRÓPRIO NÓ (NÓ54.10: anel de ponta/toco)"/>
        <s v="TRECHO DE Zona06_PB12_Rede_NÓ59.9 A Zona06_PB12_Rede_NÓ59.6"/>
        <s v="TRECHO DE Zona06_PB12_Rede_NÓ59.9 A Zona06_PB12_Rede_NÓ59.8; INCLUI 1,18 M DE TUBO DESENHADO NO PRÓPRIO NÓ (NÓ59.9: anel de ponta/toco)"/>
        <s v="TRECHO DE Zona06_PB14_CH_MV-05 A Zona06_PB14_Rede_NÓ79.1"/>
        <s v="TRECHO DE Zona06_PB14_CH_MV-06 A Zona09_PB14_Rede_NÓ9.3"/>
        <s v="TRECHO DE Zona06_PB14_CH_VM-5.1 A Zona06_PB14_CH_MV-05"/>
        <s v="TRECHO DE Zona06_PB14_CH_VM-6.1 A Zona06_PB14_Rede_NÓ8.4"/>
        <s v="TRECHO DE Zona06_PB14_CH_VRP-08 A Zona06_PB15_CH_VM-6.2"/>
        <s v="TRECHO DE Zona06_PB14_Rede_NÓ1.12 A Zona06_PB14_Rede_NÓ1.13"/>
        <s v="TRECHO DE Zona06_PB14_Rede_NÓ1.12 A Zona07_PB18_Rede_NÓ1.1"/>
        <s v="TRECHO DE Zona06_PB14_Rede_NÓ1.13 A Zona06_PB14_Rede_NÓ56.12; INCLUI 0,57 M DE TUBO DESENHADO NO PRÓPRIO NÓ (NÓ56.12: anel de ponta/toco)"/>
        <s v="TRECHO DE Zona06_PB14_Rede_NÓ54.3 A Zona06_PB14_Rede_NÓ56.7; INCLUI 4,02 M DE TUBO DESENHADO NO PRÓPRIO NÓ (NÓ54.3: anel de ponta/toco)"/>
        <s v="TRECHO DE Zona06_PB14_Rede_NÓ54.8 A Zona06_PB15_Rede_NÓ59.1; INCLUI 4,14 M DE TUBO DESENHADO NO PRÓPRIO NÓ (NÓ54.8: anel de ponta/toco)"/>
        <s v="TRECHO DE Zona06_PB14_Rede_NÓ56.10 A PONTA SEM NÓ NA TABELA"/>
        <s v="TRECHO DE Zona06_PB14_Rede_NÓ56.10 A Zona06_PB14_Rede_NÓ56.11; INCLUI 0,42 M DE TUBO DESENHADO NO PRÓPRIO NÓ (NÓ56.11: anel de ponta/toco)"/>
        <s v="TRECHO DE Zona06_PB14_Rede_NÓ56.11 A Zona06_PB14_Rede_NÓ1.12"/>
        <s v="TRECHO DE Zona06_PB14_Rede_NÓ56.11 A Zona06_PB14_Rede_NÓ9.6"/>
        <s v="TRECHO DE Zona06_PB14_Rede_NÓ56.12 A Zona06_PB14_CH_VRP-08"/>
        <s v="TRECHO DE Zona06_PB14_Rede_NÓ56.12 A Zona06_PB14_Rede_NÓ9.6"/>
        <s v="TRECHO DE Zona06_PB14_Rede_NÓ56.7 A Zona06_PB14_CH_VM-6.1"/>
        <s v="TRECHO DE Zona06_PB14_Rede_NÓ56.9 A Zona06_PB14_Rede_NÓ54.4; INCLUI 4,00 M DE TUBO DESENHADO NO PRÓPRIO NÓ (NÓ54.4: anel de ponta/toco)"/>
        <s v="TRECHO DE Zona06_PB14_Rede_NÓ56.9 A Zona06_PB14_Rede_NÓ56.10"/>
        <s v="TRECHO DE Zona06_PB14_Rede_NÓ56.9 A Zona06_PB14_Rede_NÓ56.7"/>
        <s v="TRECHO DE Zona06_PB14_Rede_NÓ6.1 A Zona07_PB18_Rede_NÓ107.1"/>
        <s v="TRECHO DE Zona06_PB14_Rede_NÓ8.4 A Zona06_PB14_CH_MV-06"/>
        <s v="TRECHO DE Zona06_PB14_Rede_NÓ8.4 A Zona06_PB14_Rede_NÓ9.5"/>
        <s v="TRECHO DE Zona06_PB14_Rede_NÓ9.5 A Zona06_PB14_Rede_NÓ56.12; INCLUI 0,80 M DE TUBO DESENHADO NO PRÓPRIO NÓ (NÓ56.12: anel de ponta/toco)"/>
        <s v="TRECHO DE Zona06_PB15_CH_VM-6.2 A Zona06_PB15_Rede_NÓ64.1"/>
        <s v="TRECHO DE Zona06_PB15_Rede_NÓ1.2 A Zona06_PB15_Rede_NÓ110.1"/>
        <s v="TRECHO DE Zona06_PB15_Rede_NÓ1.3 A Zona06_PB15_Rede_NÓ1.2"/>
        <s v="TRECHO DE Zona06_PB15_Rede_NÓ1.5 A Zona06_PB15_Rede_NÓ1.6"/>
        <s v="TRECHO DE Zona06_PB15_Rede_NÓ1.6 A Zona06_PB12_Rede_NÓ54.7; INCLUI 4,00 M DE TUBO DESENHADO NO PRÓPRIO NÓ (NÓ54.7: anel de ponta/toco)"/>
        <s v="TRECHO DE Zona06_PB15_Rede_NÓ1.6 A Zona06_PB15_Rede_NÓ1.5; INCLUI 1,09 M DE TUBO DESENHADO NO PRÓPRIO NÓ (NÓ1.5: anel de ponta/toco)"/>
        <s v="TRECHO DE Zona06_PB15_Rede_NÓ110.1 A Zona06_PB15_Rede_NÓ59.3; INCLUI 0,46 M DE TUBO DESENHADO NO PRÓPRIO NÓ (NÓ110.1: anel de ponta/toco)"/>
        <s v="TRECHO DE Zona06_PB15_Rede_NÓ2.3 A DIVISA DE ZONA; TRECHO DIVIDIDO NA DIVISA DE ZONA (TRECHO ORIGINAL ENTRE PONTOS DA REDE: 77,94 M)"/>
        <s v="TRECHO DE Zona06_PB15_Rede_NÓ54.1 A Zona06_PB15_Rede_NÓ59.3; INCLUI 4,00 M DE TUBO DESENHADO NO PRÓPRIO NÓ (NÓ54.1: anel de ponta/toco)"/>
        <s v="TRECHO DE Zona06_PB15_Rede_NÓ54.11 A Zona06_PB15_Rede_NÓ110.1; INCLUI 4,07 M DE TUBO DESENHADO NO PRÓPRIO NÓ (NÓ110.1, NÓ54.11: anel de ponta/toco)"/>
        <s v="TRECHO DE Zona06_PB15_Rede_NÓ54.2 A Zona06_PB15_Rede_NÓ1.2; INCLUI 4,42 M DE TUBO DESENHADO NO PRÓPRIO NÓ (NÓ1.2, NÓ54.2: anel de ponta/toco)"/>
        <s v="TRECHO DE Zona06_PB15_Rede_NÓ59.1 A Zona06_PB15_Rede_NÓ76.1"/>
        <s v="TRECHO DE Zona06_PB15_Rede_NÓ59.2 A Zona06_PB14_Rede_NÓ54.9; INCLUI 4,00 M DE TUBO DESENHADO NO PRÓPRIO NÓ (NÓ54.9: anel de ponta/toco)"/>
        <s v="TRECHO DE Zona06_PB15_Rede_NÓ59.2 A Zona06_PB15_Rede_NÓ59.1"/>
        <s v="TRECHO DE Zona06_PB15_Rede_NÓ59.3 A Zona06_PB15_Rede_NÓ59.2"/>
        <s v="TRECHO DE Zona06_PB15_Rede_NÓ59.4 A Zona06_PB15_Rede_NÓ59.5"/>
        <s v="TRECHO DE Zona06_PB15_Rede_NÓ59.4 A Zona06_PB15_Rede_NÓ6.2"/>
        <s v="TRECHO DE Zona06_PB15_Rede_NÓ59.5 A Zona06_PB15_Rede_NÓ59.6"/>
        <s v="TRECHO DE Zona06_PB15_Rede_NÓ59.6 A Zona06_PB12_Rede_NÓ1.6"/>
        <s v="TRECHO DE Zona06_PB15_Rede_NÓ59.6 A Zona06_PB15_Rede_NÓ59.7"/>
        <s v="TRECHO DE Zona06_PB15_Rede_NÓ59.7 A Zona06_PB15_Rede_NÓ59.8"/>
        <s v="TRECHO DE Zona06_PB15_Rede_NÓ59.8 A Zona06_PB15_Rede_NÓ1.5"/>
        <s v="TRECHO DE Zona06_PB15_Rede_NÓ59.8 A Zona06_PB15_Rede_NÓ6.3"/>
        <s v="TRECHO DE Zona06_PB15_Rede_NÓ6.1 A PONTA SEM NÓ NA TABELA"/>
        <s v="TRECHO DE Zona06_PB15_Rede_NÓ6.2 A Zona06_PB15_Rede_NÓ64.1"/>
        <s v="TRECHO DE Zona06_PB15_Rede_NÓ64.1 A Zona06_PB15_Rede_NÓ6.1"/>
        <s v="TRECHO DE Zona06_PB15_Rede_NÓ76.1 A Zona06_PB14_Rede_NÓ56.12"/>
        <s v="TRECHO DE Zona07_PB14_CH_VM-7.1 A Zona07_PB14_Rede_NÓ60.1"/>
        <s v="TRECHO DE Zona07_PB14_Rede_NÓ105.2 A PONTA SEM NÓ NA TABELA"/>
        <s v="TRECHO DE Zona07_PB14_Rede_NÓ105.2 A Zona07_PB14_Rede_NÓ57.6"/>
        <s v="TRECHO DE Zona07_PB14_Rede_NÓ107.1 A Zona07_PB14_Rede_NÓ54.7; INCLUI 4,01 M DE TUBO DESENHADO NO PRÓPRIO NÓ (NÓ54.7: anel de ponta/toco)"/>
        <s v="TRECHO DE Zona07_PB14_Rede_NÓ107.1 A Zona07_PB17_Rede_NÓ5.3"/>
        <s v="TRECHO DE Zona07_PB14_Rede_NÓ54.6 A Zona07_PB14_Rede_NÓ105.2; INCLUI 4,47 M DE TUBO DESENHADO NO PRÓPRIO NÓ (NÓ105.2, NÓ54.6: anel de ponta/toco)"/>
        <s v="TRECHO DE Zona07_PB14_Rede_NÓ56.8 A Zona07_PB14_Rede_NÓ60.2; INCLUI 0,06 M DE TUBO DESENHADO NO PRÓPRIO NÓ (NÓ56.8: anel de ponta/toco)"/>
        <s v="TRECHO DE Zona07_PB14_Rede_NÓ57.6 A Zona07_PB14_Rede_NÓ56.8; INCLUI 0,38 M DE TUBO DESENHADO NO PRÓPRIO NÓ (NÓ57.6: anel de ponta/toco)"/>
        <s v="TRECHO DE Zona07_PB14_Rede_NÓ57.6 A Zona07_PB14_Rede_NÓ60.1"/>
        <s v="TRECHO DE Zona07_PB14_Rede_NÓ59.1 A Zona07_PB14_Rede_NÓ107.1"/>
        <s v="TRECHO DE Zona07_PB14_Rede_NÓ60.1 A Zona07_PB14_Rede_NÓ56.8"/>
        <s v="TRECHO DE Zona07_PB14_Rede_NÓ60.2 A Zona07_PB17_Rede_NÓ73.1; INCLUI 0,06 M DE TUBO DESENHADO NO PRÓPRIO NÓ (NÓ60.2: anel de ponta/toco)"/>
        <s v="TRECHO DE Zona07_PB14_Rede_NÓ8.3 A Zona07_PB14_CH_VM-7.1"/>
        <s v="TRECHO DE Zona07_PB14_Rede_NÓ8.3 A Zona09_PB14_Rede_NÓ9.4"/>
        <s v="TRECHO DE Zona07_PB15_Adutora_NÓ90.1 A DIVISA DE ZONA; TRECHO DIVIDIDO NA DIVISA DE ZONA (TRECHO ORIGINAL ENTRE PONTOS DA REDE: 608,92 M)"/>
        <s v="TRECHO DE Zona07_PB15_Adutora_NÓ90.1 A DIVISA DE ZONA; TRECHO DIVIDIDO NA DIVISA DE ZONA (TRECHO ORIGINAL ENTRE PONTOS DA REDE: 716,45 M)"/>
        <s v="TRECHO DE Zona07_PB15_Adutora_NÓ90.1 A Zona07_PB20_Adutora_NÓ97.1; INCLUI 3,95 M DE TUBO DESENHADO NO PRÓPRIO NÓ (NÓ97.1: anel de ponta/toco)"/>
        <s v="TRECHO DE Zona07_PB15_CH_VRP-07 A Zona07_PB15_Rede_NÓ57.5"/>
        <s v="TRECHO DE Zona07_PB15_Rede_DF-14 A Zona07_PB15_Rede_NÓ4.1"/>
        <s v="TRECHO DE Zona07_PB15_Rede_DF-15 A Zona07_PB15_Rede_NÓ54.4; INCLUI 4,00 M DE TUBO DESENHADO NO PRÓPRIO NÓ (NÓ54.4: anel de ponta/toco)"/>
        <s v="TRECHO DE Zona07_PB15_Rede_DF-18 A PONTA SEM NÓ NA TABELA"/>
        <s v="TRECHO DE Zona07_PB15_Rede_NÓ1.1 A DIVISA DE ZONA; TRECHO DIVIDIDO NA DIVISA DE ZONA (TRECHO ORIGINAL ENTRE PONTOS DA REDE: 130,60 M)"/>
        <s v="TRECHO DE Zona07_PB15_Rede_NÓ1.1 A Zona06_PB14_Rede_NÓ1.13"/>
        <s v="TRECHO DE Zona07_PB15_Rede_NÓ1.10 A Zona07_PB15_Rede_DF-18; INCLUI 1,10 M DE TUBO DESENHADO NO PRÓPRIO NÓ (DF-18: anel de ponta/toco)"/>
        <s v="TRECHO DE Zona07_PB15_Rede_NÓ1.10 A Zona07_PB15_Rede_NÓ1.9"/>
        <s v="TRECHO DE Zona07_PB15_Rede_NÓ1.4 A PONTA SEM NÓ NA TABELA"/>
        <s v="TRECHO DE Zona07_PB15_Rede_NÓ1.4 A Zona07_PB15_Rede_DF-15"/>
        <s v="TRECHO DE Zona07_PB15_Rede_NÓ1.7 A Zona06_PB15_Rede_NÓ2.3"/>
        <s v="TRECHO DE Zona07_PB15_Rede_NÓ1.7 A Zona07_PB15_Rede_NÓ1.10"/>
        <s v="TRECHO DE Zona07_PB15_Rede_NÓ1.8 A Zona07_PB15_Rede_NÓ104.1"/>
        <s v="TRECHO DE Zona07_PB15_Rede_NÓ1.8 A Zona07_PB15_Rede_NÓ54.10; INCLUI 4,37 M DE TUBO DESENHADO NO PRÓPRIO NÓ (NÓ54.10: anel de ponta/toco)"/>
        <s v="TRECHO DE Zona07_PB15_Rede_NÓ1.9 A Zona07_PB15_Rede_NÓ106.2"/>
        <s v="TRECHO DE Zona07_PB15_Rede_NÓ104.1 A Zona07_PB15_Rede_NÓ56.1; INCLUI 0,22 M DE TUBO DESENHADO NO PRÓPRIO NÓ (NÓ104.1: anel de ponta/toco)"/>
        <s v="TRECHO DE Zona07_PB15_Rede_NÓ106.1 A Zona07_PB15_Rede_NÓ1.4"/>
        <s v="TRECHO DE Zona07_PB15_Rede_NÓ106.2 A Zona07_PB15_Rede_NÓ57.6"/>
        <s v="TRECHO DE Zona07_PB15_Rede_NÓ2.1 A Zona07_PB15_Rede_NÓ2.2"/>
        <s v="TRECHO DE Zona07_PB15_Rede_NÓ2.2 A Zona07_PB15_Rede_NÓ106.1"/>
        <s v="TRECHO DE Zona07_PB15_Rede_NÓ3.1 A Zona07_PB15_CH_VRP-07"/>
        <s v="TRECHO DE Zona07_PB15_Rede_NÓ54.3 A Zona07_PB15_Rede_NÓ57.2; INCLUI 4,48 M DE TUBO DESENHADO NO PRÓPRIO NÓ (NÓ54.3, NÓ57.2: anel de ponta/toco)"/>
        <s v="TRECHO DE Zona07_PB15_Rede_NÓ54.5 A Zona07_PB15_Rede_NÓ106.2; INCLUI 4,06 M DE TUBO DESENHADO NO PRÓPRIO NÓ (NÓ106.2, NÓ54.5: anel de ponta/toco)"/>
        <s v="TRECHO DE Zona07_PB15_Rede_NÓ54.6 A Zona07_PB15_Rede_NÓ57.6; INCLUI 4,48 M DE TUBO DESENHADO NO PRÓPRIO NÓ (NÓ54.6, NÓ57.6: anel de ponta/toco)"/>
        <s v="TRECHO DE Zona07_PB15_Rede_NÓ54.7 A Zona07_PB15_Rede_NÓ1.9; INCLUI 4,00 M DE TUBO DESENHADO NO PRÓPRIO NÓ (NÓ54.7: anel de ponta/toco)"/>
        <s v="TRECHO DE Zona07_PB15_Rede_NÓ54.9 A Zona07_PB15_Rede_NÓ1.7; INCLUI 4,00 M DE TUBO DESENHADO NO PRÓPRIO NÓ (NÓ54.9: anel de ponta/toco)"/>
        <s v="TRECHO DE Zona07_PB15_Rede_NÓ56.1 A Zona07_PB19_Rede_NÓ56.1"/>
        <s v="TRECHO DE Zona07_PB15_Rede_NÓ57.1 A Zona07_PB15_Rede_DF-14"/>
        <s v="TRECHO DE Zona07_PB15_Rede_NÓ57.2 A Zona07_PB15_Rede_NÓ4.1"/>
        <s v="TRECHO DE Zona07_PB15_Rede_NÓ57.3 A Zona07_PB15_Rede_NÓ57.2"/>
        <s v="TRECHO DE Zona07_PB15_Rede_NÓ57.3 A Zona07_PB18_Rede_NÓ54.1; INCLUI 4,47 M DE TUBO DESENHADO NO PRÓPRIO NÓ (NÓ57.3, NÓ54.1: anel de ponta/toco)"/>
        <s v="TRECHO DE Zona07_PB15_Rede_NÓ57.4 A Zona07_PB15_Rede_NÓ106.1"/>
        <s v="TRECHO DE Zona07_PB15_Rede_NÓ57.4 A Zona07_PB15_Rede_NÓ3.1"/>
        <s v="TRECHO DE Zona07_PB15_Rede_NÓ57.5 A Zona07_PB15_Rede_NÓ54.8; INCLUI 4,48 M DE TUBO DESENHADO NO PRÓPRIO NÓ (NÓ54.8, NÓ57.5: anel de ponta/toco)"/>
        <s v="TRECHO DE Zona07_PB15_Rede_NÓ57.6 A Zona07_PB15_Rede_NÓ57.5"/>
        <s v="TRECHO DE Zona07_PB15_Rede_NÓ60.1 A Zona07_PB15_Rede_NÓ3.1; INCLUI 0,53 M DE TUBO DESENHADO NO PRÓPRIO NÓ (NÓ60.1: anel de ponta/toco)"/>
        <s v="TRECHO DE Zona07_PB15_Rede_NÓ60.1 A Zona07_PB15_Rede_NÓ9.1"/>
        <s v="TRECHO DE Zona07_PB15_Rede_NÓ9.1 A Zona07_PB15_Rede_NÓ104.1"/>
        <s v="TRECHO DE Zona07_PB17_Rede_NÓ1.3 A Zona07_PB17_Rede_NÓ1.6"/>
        <s v="TRECHO DE Zona07_PB17_Rede_NÓ1.3 A Zona07_PB17_Rede_NÓ54.6; INCLUI 4,00 M DE TUBO DESENHADO NO PRÓPRIO NÓ (NÓ54.6: anel de ponta/toco)"/>
        <s v="TRECHO DE Zona07_PB17_Rede_NÓ1.5 A Zona07_PB18_Rede_NÓ56.2"/>
        <s v="TRECHO DE Zona07_PB17_Rede_NÓ1.6 A Zona07_PB17_Rede_NÓ54.8; INCLUI 0,21 M DE TUBO DESENHADO NO PRÓPRIO NÓ (NÓ1.6: anel de ponta/toco)"/>
        <s v="TRECHO DE Zona07_PB17_Rede_NÓ101.1 A Zona07_PB14_Rede_NÓ59.1"/>
        <s v="TRECHO DE Zona07_PB17_Rede_NÓ101.1 A Zona07_PB17_Rede_NÓ5.2"/>
        <s v="TRECHO DE Zona07_PB17_Rede_NÓ5.2 A Zona07_PB17_Rede_NÓ5.1"/>
        <s v="TRECHO DE Zona07_PB17_Rede_NÓ5.2 A Zona07_PB17_Rede_NÓ59.3"/>
        <s v="TRECHO DE Zona07_PB17_Rede_NÓ5.3 A Zona06_PB14_Rede_NÓ6.1"/>
        <s v="TRECHO DE Zona07_PB17_Rede_NÓ54.7 A Zona07_PB17_Rede_NÓ1.6; INCLUI 4,00 M DE TUBO DESENHADO NO PRÓPRIO NÓ (NÓ54.7: anel de ponta/toco)"/>
        <s v="TRECHO DE Zona07_PB17_Rede_NÓ56.1 A Zona07_PB17_Rede_NÓ56.2"/>
        <s v="TRECHO DE Zona07_PB17_Rede_NÓ56.1 A Zona07_PB17_Rede_NÓ63.1"/>
        <s v="TRECHO DE Zona07_PB17_Rede_NÓ56.2 A Zona07_PB17_Rede_NÓ1.5; INCLUI 0,51 M DE TUBO DESENHADO NO PRÓPRIO NÓ (NÓ56.2: anel de ponta/toco)"/>
        <s v="TRECHO DE Zona07_PB17_Rede_NÓ56.2 A Zona07_PB18_Rede_NÓ56.1; INCLUI 0,25 M DE TUBO DESENHADO NO PRÓPRIO NÓ (NÓ56.2, NÓ56.1: anel de ponta/toco)"/>
        <s v="TRECHO DE Zona07_PB17_Rede_NÓ59.3 A Zona07_PB17_Rede_NÓ5.3"/>
        <s v="TRECHO DE Zona07_PB17_Rede_NÓ62.1 A Zona07_PB17_Rede_NÓ5.1"/>
        <s v="TRECHO DE Zona07_PB17_Rede_NÓ63.1 A Zona07_PB17_Rede_NÓ1.3"/>
        <s v="TRECHO DE Zona07_PB17_Rede_NÓ63.1 A Zona07_PB17_Rede_NÓ5.1; INCLUI 1,47 M DE TUBO DESENHADO NO PRÓPRIO NÓ (NÓ5.1, NÓ63.1: anel de ponta/toco)"/>
        <s v="TRECHO DE Zona07_PB17_Rede_NÓ73.1 A Zona07_PB17_Rede_NÓ101.1"/>
        <s v="TRECHO DE Zona07_PB17_Rede_NÓ73.1 A Zona07_PB17_Rede_NÓ62.1; INCLUI 0,06 M DE TUBO DESENHADO NO PRÓPRIO NÓ (NÓ73.1: anel de ponta/toco)"/>
        <s v="TRECHO DE Zona07_PB18_CH_VM-7.2 A Zona07_PB15_Rede_NÓ60.1; INCLUI 0,24 M DE TUBO DESENHADO NO PRÓPRIO NÓ (NÓ60.1: anel de ponta/toco)"/>
        <s v="TRECHO DE Zona07_PB18_Rede_NÓ1.1 A Zona07_PB15_Rede_NÓ1.1"/>
        <s v="TRECHO DE Zona07_PB18_Rede_NÓ1.10 A Zona07_PB18_Rede_NÓ1.11"/>
        <s v="TRECHO DE Zona07_PB18_Rede_NÓ1.11 A Zona07_PB18_Rede_NÓ1.12"/>
        <s v="TRECHO DE Zona07_PB18_Rede_NÓ1.11 A Zona07_PB18_Rede_NÓ54.12; INCLUI 2,97 M DE TUBO DESENHADO NO PRÓPRIO NÓ (NÓ54.12: anel de ponta/toco)"/>
        <s v="TRECHO DE Zona07_PB18_Rede_NÓ1.12 A Zona07_PB15_Rede_NÓ1.8; INCLUI 0,49 M DE TUBO DESENHADO NO PRÓPRIO NÓ (NÓ1.8: anel de ponta/toco)"/>
        <s v="TRECHO DE Zona07_PB18_Rede_NÓ1.12 A Zona07_PB18_Rede_NÓ54.13; INCLUI 3,99 M DE TUBO DESENHADO NO PRÓPRIO NÓ (NÓ54.13: anel de ponta/toco)"/>
        <s v="TRECHO DE Zona07_PB18_Rede_NÓ1.4 A Zona07_PB18_Rede_NÓ56.3; INCLUI 0,44 M DE TUBO DESENHADO NO PRÓPRIO NÓ (NÓ56.3: anel de ponta/toco)"/>
        <s v="TRECHO DE Zona07_PB18_Rede_NÓ1.6 A Zona07_PB18_Rede_NÓ2.6"/>
        <s v="TRECHO DE Zona07_PB18_Rede_NÓ1.6 A Zona07_PB18_Rede_NÓ54.3; INCLUI 3,09 M DE TUBO DESENHADO NO PRÓPRIO NÓ (NÓ54.3: anel de ponta/toco)"/>
        <s v="TRECHO DE Zona07_PB18_Rede_NÓ1.7 A Zona07_PB18_Rede_NÓ1.8"/>
        <s v="TRECHO DE Zona07_PB18_Rede_NÓ1.7 A Zona07_PB18_Rede_NÓ2.5"/>
        <s v="TRECHO DE Zona07_PB18_Rede_NÓ1.8 A Zona07_PB18_Rede_NÓ1.9"/>
        <s v="TRECHO DE Zona07_PB18_Rede_NÓ1.9 A Zona07_PB18_Rede_NÓ1.10"/>
        <s v="TRECHO DE Zona07_PB18_Rede_NÓ107.1 A Zona07_PB18_Rede_NÓ56.6; INCLUI 0,01 M DE TUBO DESENHADO NO PRÓPRIO NÓ (nó: anel de ponta/toco)"/>
        <s v="TRECHO DE Zona07_PB18_Rede_NÓ2.1 A Zona07_PB17_Rede_NÓ54.9; INCLUI 3,96 M DE TUBO DESENHADO NO PRÓPRIO NÓ (NÓ54.9: anel de ponta/toco)"/>
        <s v="TRECHO DE Zona07_PB18_Rede_NÓ2.4 A Zona07_PB18_Rede_NÓ1.4"/>
        <s v="TRECHO DE Zona07_PB18_Rede_NÓ2.4 A Zona07_PB18_Rede_NÓ56.5; INCLUI 1,43 M DE TUBO DESENHADO NO PRÓPRIO NÓ (NÓ2.4: anel de ponta/toco)"/>
        <s v="TRECHO DE Zona07_PB18_Rede_NÓ2.5 A Zona07_PB18_Rede_NÓ1.6; INCLUI 0,04 M DE TUBO DESENHADO NO PRÓPRIO NÓ (nó: anel de ponta/toco)"/>
        <s v="TRECHO DE Zona07_PB18_Rede_NÓ2.6 A Zona07_PB18_Rede_NÓ54.7; INCLUI 3,00 M DE TUBO DESENHADO NO PRÓPRIO NÓ (NÓ54.7: anel de ponta/toco)"/>
        <s v="TRECHO DE Zona07_PB18_Rede_NÓ2.7 A Zona07_PB18_Rede_NÓ1.8"/>
        <s v="TRECHO DE Zona07_PB18_Rede_NÓ2.7 A Zona07_PB18_Rede_NÓ2.9"/>
        <s v="TRECHO DE Zona07_PB18_Rede_NÓ2.9 A Zona07_PB18_Rede_NÓ1.9; INCLUI 0,61 M DE TUBO DESENHADO NO PRÓPRIO NÓ (NÓ2.9: anel de ponta/toco)"/>
        <s v="TRECHO DE Zona07_PB18_Rede_NÓ54.10 A Zona07_PB18_Rede_NÓ1.10; INCLUI 4,00 M DE TUBO DESENHADO NO PRÓPRIO NÓ (NÓ54.10: anel de ponta/toco)"/>
        <s v="TRECHO DE Zona07_PB18_Rede_NÓ54.2 A Zona07_PB18_Rede_NÓ57.1; INCLUI 4,00 M DE TUBO DESENHADO NO PRÓPRIO NÓ (NÓ54.2: anel de ponta/toco)"/>
        <s v="TRECHO DE Zona07_PB18_Rede_NÓ54.5 A Zona07_PB18_Rede_NÓ57.2; INCLUI 4,37 M DE TUBO DESENHADO NO PRÓPRIO NÓ (NÓ54.5, NÓ57.2: anel de ponta/toco)"/>
        <s v="TRECHO DE Zona07_PB18_Rede_NÓ54.6 A Zona07_PB18_Rede_NÓ1.7; INCLUI 4,00 M DE TUBO DESENHADO NO PRÓPRIO NÓ (NÓ54.6: anel de ponta/toco)"/>
        <s v="TRECHO DE Zona07_PB18_Rede_NÓ54.9 A Zona07_PB15_Rede_NÓ57.4; INCLUI 5,89 M DE TUBO DESENHADO NO PRÓPRIO NÓ (NÓ57.4, NÓ54.9: anel de ponta/toco)"/>
        <s v="TRECHO DE Zona07_PB18_Rede_NÓ56.1 A Zona07_PB18_Rede_NÓ2.1; INCLUI 0,32 M DE TUBO DESENHADO NO PRÓPRIO NÓ (NÓ56.1: anel de ponta/toco)"/>
        <s v="TRECHO DE Zona07_PB18_Rede_NÓ56.1 A Zona07_PB18_Rede_NÓ56.2"/>
        <s v="TRECHO DE Zona07_PB18_Rede_NÓ56.2 A Zona07_PB18_Rede_NÓ56.3; INCLUI 0,53 M DE TUBO DESENHADO NO PRÓPRIO NÓ (NÓ56.3: anel de ponta/toco)"/>
        <s v="TRECHO DE Zona07_PB18_Rede_NÓ56.3 A Zona07_PB18_Rede_NÓ56.4"/>
        <s v="TRECHO DE Zona07_PB18_Rede_NÓ56.4 A Zona07_PB17_Rede_NÓ1.5; INCLUI 0,22 M DE TUBO DESENHADO NO PRÓPRIO NÓ (nó: anel de ponta/toco)"/>
        <s v="TRECHO DE Zona07_PB18_Rede_NÓ56.4 A Zona07_PB18_Rede_NÓ56.5"/>
        <s v="TRECHO DE Zona07_PB18_Rede_NÓ56.5 A Zona07_PB18_Rede_NÓ56.6; INCLUI 0,56 M DE TUBO DESENHADO NO PRÓPRIO NÓ (NÓ56.5: anel de ponta/toco)"/>
        <s v="TRECHO DE Zona07_PB18_Rede_NÓ56.6 A Zona07_PB18_Rede_NÓ56.7"/>
        <s v="TRECHO DE Zona07_PB18_Rede_NÓ56.7 A Zona07_PB18_Rede_NÓ56.8"/>
        <s v="TRECHO DE Zona07_PB18_Rede_NÓ56.7 A Zona07_PB18_Rede_NÓ92.1"/>
        <s v="TRECHO DE Zona07_PB18_Rede_NÓ56.8 A Zona07_PB15_Rede_NÓ57.1; INCLUI 0,36 M DE TUBO DESENHADO NO PRÓPRIO NÓ (NÓ57.1: anel de ponta/toco)"/>
        <s v="TRECHO DE Zona07_PB18_Rede_NÓ56.8 A Zona07_PB18_Rede_NÓ77.1"/>
        <s v="TRECHO DE Zona07_PB18_Rede_NÓ57.1 A Zona07_PB15_Rede_NÓ57.3"/>
        <s v="TRECHO DE Zona07_PB18_Rede_NÓ57.2 A Zona07_PB18_Rede_NÓ57.1; INCLUI 0,50 M DE TUBO DESENHADO NO PRÓPRIO NÓ (NÓ57.1, NÓ57.2: anel de ponta/toco)"/>
        <s v="TRECHO DE Zona07_PB18_Rede_NÓ77.1 A Zona07_PB18_Rede_NÓ57.2"/>
        <s v="TRECHO DE Zona07_PB18_Rede_NÓ9.1 A Zona07_PB18_CH_VM-7.2"/>
        <s v="TRECHO DE Zona07_PB18_Rede_NÓ9.2 A Zona07_PB18_Rede_NÓ9.1"/>
        <s v="TRECHO DE Zona07_PB18_Rede_NÓ92.1 A Zona07_PB15_Rede_NÓ57.1"/>
        <s v="TRECHO DE Zona07_PB18_Rede_NÓ92.1 A Zona07_PB18_Rede_NÓ107.1"/>
        <s v="TRECHO DE Zona07_PB19_Rede_DF-06 A Zona07_PB19_Rede_NÓ2.2"/>
        <s v="TRECHO DE Zona07_PB19_Rede_NÓ1.8 A Zona07_PB19_Rede_NÓ54.8; INCLUI 4,00 M DE TUBO DESENHADO NO PRÓPRIO NÓ (NÓ54.8: anel de ponta/toco)"/>
        <s v="TRECHO DE Zona07_PB19_Rede_NÓ1.8 A Zona07_PB19_Rede_NÓ56.5"/>
        <s v="TRECHO DE Zona07_PB19_Rede_NÓ2.1 A PONTA SEM NÓ NA TABELA"/>
        <s v="TRECHO DE Zona07_PB19_Rede_NÓ2.2 A Zona07_PB19_Rede_NÓ2.1"/>
        <s v="TRECHO DE Zona07_PB19_Rede_NÓ40.1 A Zona07_PB19_Rede_NÓ56.3"/>
        <s v="TRECHO DE Zona07_PB19_Rede_NÓ54.1 A Zona07_PB19_Rede_NÓ56.2; INCLUI 4,00 M DE TUBO DESENHADO NO PRÓPRIO NÓ (NÓ54.1: anel de ponta/toco)"/>
        <s v="TRECHO DE Zona07_PB19_Rede_NÓ54.3 A Zona07_PB19_Rede_NÓ56.3; INCLUI 4,00 M DE TUBO DESENHADO NO PRÓPRIO NÓ (NÓ54.3: anel de ponta/toco)"/>
        <s v="TRECHO DE Zona07_PB19_Rede_NÓ54.9 A PONTA SEM NÓ NA TABELA"/>
        <s v="TRECHO DE Zona07_PB19_Rede_NÓ54.9 A Zona07_PB19_Rede_NÓ1.8"/>
        <s v="TRECHO DE Zona07_PB19_Rede_NÓ56.1 A Zona07_PB19_Rede_DF-06"/>
        <s v="TRECHO DE Zona07_PB19_Rede_NÓ56.1 A Zona07_PB19_Rede_NÓ56.2; INCLUI 0,49 M DE TUBO DESENHADO NO PRÓPRIO NÓ (NÓ56.1: anel de ponta/toco)"/>
        <s v="TRECHO DE Zona07_PB19_Rede_NÓ56.2 A Zona07_PB19_Rede_NÓ40.1"/>
        <s v="TRECHO DE Zona07_PB19_Rede_NÓ56.3 A Zona07_PB19_Rede_NÓ56.4"/>
        <s v="TRECHO DE Zona07_PB19_Rede_NÓ56.4 A Zona07_PB19_Rede_NÓ54.6; INCLUI 3,99 M DE TUBO DESENHADO NO PRÓPRIO NÓ (NÓ54.6: anel de ponta/toco)"/>
        <s v="TRECHO DE Zona07_PB19_Rede_NÓ56.4 A Zona07_PB19_Rede_NÓ56.5"/>
        <s v="TRECHO DE Zona07_PB19_Rede_NÓ56.5 A Zona07_PB20_Rede_NÓ65.1"/>
        <s v="TRECHO DE Zona07_PB20_Rede_NÓ65.1 A Zona07_PB20_Rede_NÓ54.1; INCLUI 3,95 M DE TUBO DESENHADO NO PRÓPRIO NÓ (NÓ54.1: anel de ponta/toco)"/>
        <s v="TRECHO DE Zona08_PB10_Adutora_NÓ15.1 A DIVISA DE ZONA; TRECHO DIVIDIDO NA DIVISA DE ZONA (TRECHO ORIGINAL ENTRE PONTOS DA REDE: 22,27 M)"/>
        <s v="TRECHO DE Zona08_PB10_Adutora_NÓ17.1 A Zona08_PB10_Adutora_NÓ89.1"/>
        <s v="TRECHO DE Zona08_PB10_Adutora_NÓ88.1 A Zona08_PB10_Adutora_NÓ15.1"/>
        <s v="TRECHO DE Zona08_PB10_Adutora_NÓ88.1 A Zona08_PB10_Adutora_NÓ95.1"/>
        <s v="TRECHO DE Zona08_PB10_Adutora_NÓ89.1 A Zona08_PB10_CH_VRP-10"/>
        <s v="TRECHO DE Zona08_PB10_Adutora_NÓ89.1 A Zona10_PB10_Rede_NÓ13.2"/>
        <s v="TRECHO DE Zona08_PB10_Adutora_NÓ95.1 A Zona08_PB10_Adutora_NÓ17.1"/>
        <s v="TRECHO DE Zona08_PB10_CH_VM-2.1 A Zona08_PB10_Rede_NÓ88.1"/>
        <s v="TRECHO DE Zona08_PB10_CH_VM-8.1 A Zona08_PB10_CH_MV-08"/>
        <s v="TRECHO DE Zona08_PB10_CH_VRP-09 A Zona08_PB10_CH_MV-08"/>
        <s v="TRECHO DE Zona08_PB10_CH_VRP-10 A Zona08_PB11_Adutora_NÓ17.1"/>
        <s v="TRECHO DE Zona08_PB10_CH_VRP-13 A Zona08_PB10_CH_VM-2.1"/>
        <s v="TRECHO DE Zona08_PB10_Rede_NÓ1.10 A Zona08_PB10_Rede_NÓ1.12; INCLUI 0,25 M DE TUBO DESENHADO NO PRÓPRIO NÓ (nó: anel de ponta/toco)"/>
        <s v="TRECHO DE Zona08_PB10_Rede_NÓ1.11 A Zona08_PB10_Rede_NÓ105.2"/>
        <s v="TRECHO DE Zona08_PB10_Rede_NÓ1.12 A Zona08_PB10_Rede_NÓ1.11"/>
        <s v="TRECHO DE Zona08_PB10_Rede_NÓ1.12 A Zona08_PB10_Rede_NÓ1.14; INCLUI 0,28 M DE TUBO DESENHADO NO PRÓPRIO NÓ (NÓ1.14: anel de ponta/toco)"/>
        <s v="TRECHO DE Zona08_PB10_Rede_NÓ1.13 A Zona08_PB10_Rede_NÓ57.3"/>
        <s v="TRECHO DE Zona08_PB10_Rede_NÓ1.14 A Zona08_PB10_Rede_NÓ1.13"/>
        <s v="TRECHO DE Zona08_PB10_Rede_NÓ1.14 A Zona08_PB10_Rede_NÓ107.1"/>
        <s v="TRECHO DE Zona08_PB10_Rede_NÓ1.16 A Zona08_PB10_Rede_NÓ1.17"/>
        <s v="TRECHO DE Zona08_PB10_Rede_NÓ1.17 A Zona08_PB13_Rede_NÓ54.4; INCLUI 4,00 M DE TUBO DESENHADO NO PRÓPRIO NÓ (NÓ54.4: anel de ponta/toco)"/>
        <s v="TRECHO DE Zona08_PB10_Rede_NÓ1.3 A Zona08_PB10_Rede_NÓ2.3"/>
        <s v="TRECHO DE Zona08_PB10_Rede_NÓ1.3 A Zona08_PB13_Rede_NÓ2.5"/>
        <s v="TRECHO DE Zona08_PB10_Rede_NÓ1.4 A Zona08_PB10_Rede_NÓ1.6; INCLUI 0,21 M DE TUBO DESENHADO NO PRÓPRIO NÓ (NÓ1.5: anel de ponta/toco)"/>
        <s v="TRECHO DE Zona08_PB10_Rede_NÓ1.4 A Zona08_PB10_Rede_NÓ1.7; INCLUI 0,28 M DE TUBO DESENHADO NO PRÓPRIO NÓ (NÓ1.4: anel de ponta/toco)"/>
        <s v="TRECHO DE Zona08_PB10_Rede_NÓ1.4 A Zona08_PB10_Rede_NÓ2.4"/>
        <s v="TRECHO DE Zona08_PB10_Rede_NÓ1.5 A Zona08_PB10_Rede_NÓ1.8"/>
        <s v="TRECHO DE Zona08_PB10_Rede_NÓ1.6 A Zona08_PB10_Rede_NÓ1.8; INCLUI 0,27 M DE TUBO DESENHADO NO PRÓPRIO NÓ (NÓ1.8: anel de ponta/toco)"/>
        <s v="TRECHO DE Zona08_PB10_Rede_NÓ1.6 A Zona08_PB10_Rede_NÓ105.1; INCLUI 0,39 M DE TUBO DESENHADO NO PRÓPRIO NÓ (NÓ105.1: anel de ponta/toco)"/>
        <s v="TRECHO DE Zona08_PB10_Rede_NÓ1.7 A Zona08_PB10_Rede_NÓ1.10"/>
        <s v="TRECHO DE Zona08_PB10_Rede_NÓ1.7 A Zona08_PB10_Rede_NÓ1.3; INCLUI 0,19 M DE TUBO DESENHADO NO PRÓPRIO NÓ (NÓ1.3: anel de ponta/toco)"/>
        <s v="TRECHO DE Zona08_PB10_Rede_NÓ1.8 A Zona08_PB10_Rede_NÓ1.9"/>
        <s v="TRECHO DE Zona08_PB10_Rede_NÓ1.9 A Zona08_PB10_Rede_NÓ1.10; INCLUI 1,37 M DE TUBO DESENHADO NO PRÓPRIO NÓ (NÓ1.9: anel de ponta/toco)"/>
        <s v="TRECHO DE Zona08_PB10_Rede_NÓ1.9 A Zona08_PB10_Rede_NÓ1.11"/>
        <s v="TRECHO DE Zona08_PB10_Rede_NÓ105.1 A Zona08_PB10_Rede_NÓ57.1"/>
        <s v="TRECHO DE Zona08_PB10_Rede_NÓ105.1 A Zona08_PB10_Rede_NÓ57.2; INCLUI 0,21 M DE TUBO DESENHADO NO PRÓPRIO NÓ (NÓ105.1: anel de ponta/toco)"/>
        <s v="TRECHO DE Zona08_PB10_Rede_NÓ105.2 A Zona08_PB10_Rede_NÓ3.1; INCLUI 0,67 M DE TUBO DESENHADO NO PRÓPRIO NÓ (NÓ105.2: anel de ponta/toco)"/>
        <s v="TRECHO DE Zona08_PB10_Rede_NÓ105.2 A Zona08_PB10_Rede_NÓ4.1"/>
        <s v="TRECHO DE Zona08_PB10_Rede_NÓ107.1 A Zona08_PB10_Rede_NÓ59.1"/>
        <s v="TRECHO DE Zona08_PB10_Rede_NÓ2.4 A Zona08_PB10_Rede_NÓ2.3"/>
        <s v="TRECHO DE Zona08_PB10_Rede_NÓ3.1 A PONTA SEM NÓ NA TABELA"/>
        <s v="TRECHO DE Zona08_PB10_Rede_NÓ4.1 A Zona08_PB10_Rede_NÓ57.3"/>
        <s v="TRECHO DE Zona08_PB10_Rede_NÓ54.2 A Zona08_PB10_Rede_NÓ57.2; INCLUI 4,28 M DE TUBO DESENHADO NO PRÓPRIO NÓ (NÓ54.2, NÓ57.2: anel de ponta/toco)"/>
        <s v="TRECHO DE Zona08_PB10_Rede_NÓ54.3 A Zona08_PB10_Rede_NÓ57.4; INCLUI 4,00 M DE TUBO DESENHADO NO PRÓPRIO NÓ (NÓ54.3: anel de ponta/toco)"/>
        <s v="TRECHO DE Zona08_PB10_Rede_NÓ57.1 A Zona08_PB10_Rede_NÓ3.1"/>
        <s v="TRECHO DE Zona08_PB10_Rede_NÓ57.1 A Zona08_PB10_Rede_NÓ54.1; INCLUI 4,00 M DE TUBO DESENHADO NO PRÓPRIO NÓ (NÓ54.1: anel de ponta/toco)"/>
        <s v="TRECHO DE Zona08_PB10_Rede_NÓ57.2 A Zona08_PB10_Rede_NÓ57.4"/>
        <s v="TRECHO DE Zona08_PB10_Rede_NÓ57.3 A Zona08_PB10_Rede_NÓ60.2"/>
        <s v="TRECHO DE Zona08_PB10_Rede_NÓ57.4 A Zona08_PB10_Rede_NÓ77.1; INCLUI 0,52 M DE TUBO DESENHADO NO PRÓPRIO NÓ (NÓ77.1: anel de ponta/toco)"/>
        <s v="TRECHO DE Zona08_PB10_Rede_NÓ59.1 A Zona08_PB10_Rede_NÓ110.1"/>
        <s v="TRECHO DE Zona08_PB10_Rede_NÓ59.2 A Zona08_PB10_Rede_NÓ107.1; INCLUI 0,26 M DE TUBO DESENHADO NO PRÓPRIO NÓ (NÓ107.1: anel de ponta/toco)"/>
        <s v="TRECHO DE Zona08_PB10_Rede_NÓ59.3 A Zona08_PB10_Rede_NÓ59.2"/>
        <s v="TRECHO DE Zona08_PB10_Rede_NÓ59.3 A Zona08_PB13_Rede_NÓ1.7"/>
        <s v="TRECHO DE Zona08_PB10_Rede_NÓ59.5 A Zona08_PB10_Rede_NÓ1.17"/>
        <s v="TRECHO DE Zona08_PB10_Rede_NÓ59.5 A Zona08_PB10_Rede_NÓ59.3"/>
        <s v="TRECHO DE Zona08_PB10_Rede_NÓ60.2 A Zona08_PB10_Rede_NÓ60.1"/>
        <s v="TRECHO DE Zona08_PB10_Rede_NÓ62.1 A Zona08_PB10_CH_VRP-09"/>
        <s v="TRECHO DE Zona08_PB10_Rede_NÓ62.1 A Zona08_PB10_Rede_NÓ59.5"/>
        <s v="TRECHO DE Zona08_PB10_Rede_NÓ62.1 A Zona08_PB10_Rede_NÓ60.2"/>
        <s v="TRECHO DE Zona08_PB10_Rede_NÓ77.1 A Zona08_PB10_Rede_NÓ60.1; INCLUI 0,83 M DE TUBO DESENHADO NO PRÓPRIO NÓ (NÓ60.1, NÓ77.1: anel de ponta/toco)"/>
        <s v="TRECHO DE Zona08_PB11_Adutora_NÓ17.1 A Zona09_PB11_Adutora_NÓ96.1"/>
        <s v="TRECHO DE Zona08_PB13_Rede_DF-12 A Zona08_PB13_Rede_NÓ1.3"/>
        <s v="TRECHO DE Zona08_PB13_Rede_NÓ1.2 A Zona08_PB10_Rede_NÓ59.1; INCLUI 0,20 M DE TUBO DESENHADO NO PRÓPRIO NÓ (NÓ1.2: anel de ponta/toco)"/>
        <s v="TRECHO DE Zona08_PB13_Rede_NÓ1.2 A Zona08_PB13_Rede_NÓ1.3"/>
        <s v="TRECHO DE Zona08_PB13_Rede_NÓ1.3 A Zona08_PB10_Rede_NÓ110.1"/>
        <s v="TRECHO DE Zona08_PB13_Rede_NÓ1.4 A Zona08_PB10_Rede_NÓ110.1"/>
        <s v="TRECHO DE Zona08_PB13_Rede_NÓ1.4 A Zona08_PB13_Rede_NÓ2.4"/>
        <s v="TRECHO DE Zona08_PB13_Rede_NÓ1.4 A Zona08_PB13_Rede_NÓ54.1; INCLUI 4,05 M DE TUBO DESENHADO NO PRÓPRIO NÓ (NÓ54.1: anel de ponta/toco)"/>
        <s v="TRECHO DE Zona08_PB13_Rede_NÓ1.6 A Zona08_PB10_Rede_NÓ59.2; INCLUI 0,92 M DE TUBO DESENHADO NO PRÓPRIO NÓ (NÓ1.6: anel de ponta/toco)"/>
        <s v="TRECHO DE Zona08_PB13_Rede_NÓ1.6 A Zona08_PB13_Rede_NÓ2.7"/>
        <s v="TRECHO DE Zona08_PB13_Rede_NÓ1.7 A Zona08_PB10_Rede_NÓ1.16"/>
        <s v="TRECHO DE Zona08_PB13_Rede_NÓ1.7 A Zona08_PB13_Rede_NÓ1.6"/>
        <s v="TRECHO DE Zona08_PB13_Rede_NÓ2.4 A Zona08_PB13_Rede_DF-12"/>
        <s v="TRECHO DE Zona08_PB13_Rede_NÓ2.5 A Zona08_PB13_Rede_NÓ1.2"/>
        <s v="TRECHO DE Zona08_PB13_Rede_NÓ2.7 A Zona08_PB13_Rede_NÓ54.2; INCLUI 4,00 M DE TUBO DESENHADO NO PRÓPRIO NÓ (NÓ54.2: anel de ponta/toco)"/>
        <s v="TRECHO DE Zona08_PB13_Rede_NÓ54.3 A Zona08_PB10_Rede_NÓ1.16; INCLUI 4,00 M DE TUBO DESENHADO NO PRÓPRIO NÓ (NÓ54.3: anel de ponta/toco)"/>
        <s v="TRECHO DE Zona09_PB11_Adutora_NÓ96.1 A Zona09_PB14_Adutora_NÓ50.1"/>
        <s v="TRECHO DE Zona09_PB11_Rede_NÓ106.1 A Zona09_PB11_Rede_NÓ4.2"/>
        <s v="TRECHO DE Zona09_PB11_Rede_NÓ2.1 A Zona09_PB11_Rede_NÓ106.1"/>
        <s v="TRECHO DE Zona09_PB11_Rede_NÓ2.1 A Zona09_PB13_Rede_NÓ19.2"/>
        <s v="TRECHO DE Zona09_PB11_Rede_NÓ4.1 A Zona09_PB11_Rede_NÓ57.1"/>
        <s v="TRECHO DE Zona09_PB11_Rede_NÓ4.2 A Zona09_PB11_Rede_NÓ4.1"/>
        <s v="TRECHO DE Zona09_PB11_Rede_NÓ57.1 A Zona09_PB11_Rede_NÓ57.2"/>
        <s v="TRECHO DE Zona09_PB11_Rede_NÓ57.1 A Zona09_PB14_Rede_NÓ54.1; INCLUI 4,00 M DE TUBO DESENHADO NO PRÓPRIO NÓ (NÓ54.1: anel de ponta/toco)"/>
        <s v="TRECHO DE Zona09_PB11_Rede_NÓ57.2 A Zona09_PB14_Rede_NÓ3.1"/>
        <s v="TRECHO DE Zona09_PB11_Rede_NÓ57.2 A Zona09_PB14_Rede_NÓ54.10; INCLUI 4,00 M DE TUBO DESENHADO NO PRÓPRIO NÓ (NÓ54.10: anel de ponta/toco)"/>
        <s v="TRECHO DE Zona09_PB11_Rede_NÓ96.1 A Zona08_PB10_CH_VM-8.1"/>
        <s v="TRECHO DE Zona09_PB13_CH_VM-9.3 A Zona09_PB13_Rede_NÓ19.1"/>
        <s v="TRECHO DE Zona09_PB13_CH_VM-9.4 A Zona09_PB13_Rede_NÓ19.4"/>
        <s v="TRECHO DE Zona09_PB13_CH_VRP-03 A Zona09_PB16_Rede_NÓ59.1; INCLUI 0,07 M DE TUBO DESENHADO NO PRÓPRIO NÓ (NÓ59.1: anel de ponta/toco)"/>
        <s v="TRECHO DE Zona09_PB13_Rede_DF-11 A Zona09_PB13_Rede_NÓ1.1"/>
        <s v="TRECHO DE Zona09_PB13_Rede_DF-13 A Zona09_PB13_Rede_NÓ2.8"/>
        <s v="TRECHO DE Zona09_PB13_Rede_NÓ1.5 A Zona09_PB13_Rede_NÓ110.1"/>
        <s v="TRECHO DE Zona09_PB13_Rede_NÓ110.1 A Zona09_PB13_Rede_NÓ19.3"/>
        <s v="TRECHO DE Zona09_PB13_Rede_NÓ110.1 A Zona09_PB13_Rede_NÓ59.1; INCLUI 0,50 M DE TUBO DESENHADO NO PRÓPRIO NÓ (NÓ110.1: anel de ponta/toco)"/>
        <s v="TRECHO DE Zona09_PB13_Rede_NÓ19.1 A Zona09_PB13_Rede_NÓ2.6"/>
        <s v="TRECHO DE Zona09_PB13_Rede_NÓ19.2 A Zona09_PB13_CH_VM-9.3; INCLUI 0,79 M DE TUBO DESENHADO NO PRÓPRIO NÓ (VM-9.3: anel de ponta/toco)"/>
        <s v="TRECHO DE Zona09_PB13_Rede_NÓ19.3 A Zona09_PB13_CH_VM-9.4"/>
        <s v="TRECHO DE Zona09_PB13_Rede_NÓ19.4 A Zona09_PB11_Rede_NÓ106.1"/>
        <s v="TRECHO DE Zona09_PB13_Rede_NÓ2.1 A Zona09_PB13_Rede_NÓ1.1"/>
        <s v="TRECHO DE Zona09_PB13_Rede_NÓ2.2 A Zona09_PB13_Rede_DF-11"/>
        <s v="TRECHO DE Zona09_PB13_Rede_NÓ2.6 A Zona09_PB13_Rede_NÓ1.5"/>
        <s v="TRECHO DE Zona09_PB13_Rede_NÓ59.1 A Zona09_PB13_Rede_NÓ1.1"/>
        <s v="TRECHO DE Zona09_PB13_Rede_NÓ59.1 A Zona09_PB13_Rede_NÓ59.2"/>
        <s v="TRECHO DE Zona09_PB13_Rede_NÓ59.2 A Zona09_PB13_CH_VRP-03"/>
        <s v="TRECHO DE Zona09_PB13_Rede_NÓ59.2 A Zona09_PB13_Rede_NÓ2.2"/>
        <s v="TRECHO DE Zona09_PB14_Adutora_NÓ100.1 A DIVISA DE ZONA; INCLUI 0,05 M DE TUBO DESENHADO NO PRÓPRIO NÓ (NÓ100.1: anel de ponta/toco); TRECHO DIVIDIDO NA DIVISA DE ZONA (TRECHO ORIGINAL ENTRE PONTOS DA REDE: 571,48 M)"/>
        <s v="TRECHO DE Zona09_PB14_Adutora_NÓ50.1 A Zona10_PB14_Adutora_NÓ98.1"/>
        <s v="TRECHO DE Zona09_PB14_Adutora_NÓ99.1 A Zona09_PB14_CH_VRP-04"/>
        <s v="TRECHO DE Zona09_PB14_Adutora_NÓ99.1 A Zona09_PB14_Rede_NÓ86.1"/>
        <s v="TRECHO DE Zona09_PB14_CH_MV-07 A Zona07_PB14_Rede_NÓ8.3"/>
        <s v="TRECHO DE Zona09_PB14_CH_MV-09 A Zona09_PB14_Rede_NÓ8.2"/>
        <s v="TRECHO DE Zona09_PB14_CH_VM-9.1 A Zona09_PB14_Rede_NÓ56.2; INCLUI 0,06 M DE TUBO DESENHADO NO PRÓPRIO NÓ (NÓ56.2: anel de ponta/toco)"/>
        <s v="TRECHO DE Zona09_PB14_CH_VM-9.2 A Zona09_PB14_CH_VRP-06"/>
        <s v="TRECHO DE Zona09_PB14_CH_VRP-04 A Zona09_PB14_Adutora_NÓ100.1"/>
        <s v="TRECHO DE Zona09_PB14_CH_VRP-05 A Zona09_PB14_CH_VM-9.1"/>
        <s v="TRECHO DE Zona09_PB14_CH_VRP-05 A Zona09_PB14_Rede_NÓ8.2"/>
        <s v="TRECHO DE Zona09_PB14_CH_VRP-06 A Zona09_PB14_Rede_NÓ28.1"/>
        <s v="TRECHO DE Zona09_PB14_Rede_NÓ1.1 A Zona09_PB13_Rede_DF-13"/>
        <s v="TRECHO DE Zona09_PB14_Rede_NÓ1.2 A Zona09_PB14_Rede_NÓ1.1"/>
        <s v="TRECHO DE Zona09_PB14_Rede_NÓ1.2 A Zona09_PB14_Rede_NÓ105.1; INCLUI 1,07 M DE TUBO DESENHADO NO PRÓPRIO NÓ (NÓ1.2, NÓ105.1: anel de ponta/toco)"/>
        <s v="TRECHO DE Zona09_PB14_Rede_NÓ1.3 A Zona09_PB14_Rede_NÓ1.2"/>
        <s v="TRECHO DE Zona09_PB14_Rede_NÓ1.3 A Zona09_PB14_Rede_NÓ1.4"/>
        <s v="TRECHO DE Zona09_PB14_Rede_NÓ1.4 A Zona09_PB14_Rede_NÓ2.1"/>
        <s v="TRECHO DE Zona09_PB14_Rede_NÓ100.1 A Zona09_PB14_CH_MV-09"/>
        <s v="TRECHO DE Zona09_PB14_Rede_NÓ103.1 A Zona09_PB14_Rede_NÓ1.4"/>
        <s v="TRECHO DE Zona09_PB14_Rede_NÓ104.1 A Zona09_PB14_Rede_NÓ1.5"/>
        <s v="TRECHO DE Zona09_PB14_Rede_NÓ104.1 A Zona09_PB14_Rede_NÓ9.1"/>
        <s v="TRECHO DE Zona09_PB14_Rede_NÓ105.1 A Zona09_PB14_Rede_NÓ57.1; INCLUI 0,07 M DE TUBO DESENHADO NO PRÓPRIO NÓ (NÓ105.1: anel de ponta/toco)"/>
        <s v="TRECHO DE Zona09_PB14_Rede_NÓ2.1 A Zona09_PB13_Rede_NÓ2.8; INCLUI 0,79 M DE TUBO DESENHADO NO PRÓPRIO NÓ (NÓ2.1: anel de ponta/toco)"/>
        <s v="TRECHO DE Zona09_PB14_Rede_NÓ24.1 A Zona09_PB14_CH_MV-07"/>
        <s v="TRECHO DE Zona09_PB14_Rede_NÓ3.1 A Zona09_PB14_Rede_NÓ105.1"/>
        <s v="TRECHO DE Zona09_PB14_Rede_NÓ4.1 A Zona09_PB14_Rede_NÓ4.2"/>
        <s v="TRECHO DE Zona09_PB14_Rede_NÓ4.2 A Zona09_PB14_Rede_NÓ57.3"/>
        <s v="TRECHO DE Zona09_PB14_Rede_NÓ4.3 A Zona09_PB14_Rede_NÓ4.1"/>
        <s v="TRECHO DE Zona09_PB14_Rede_NÓ4.3 A Zona09_PB14_Rede_NÓ57.5"/>
        <s v="TRECHO DE Zona09_PB14_Rede_NÓ54.2 A Zona09_PB14_Rede_NÓ1.1; INCLUI 4,00 M DE TUBO DESENHADO NO PRÓPRIO NÓ (NÓ54.2: anel de ponta/toco)"/>
        <s v="TRECHO DE Zona09_PB14_Rede_NÓ56.1 A Zona09_PB14_Rede_NÓ104.1; INCLUI 0,77 M DE TUBO DESENHADO NO PRÓPRIO NÓ (NÓ104.1, NÓ56.1: anel de ponta/toco)"/>
        <s v="TRECHO DE Zona09_PB14_Rede_NÓ56.2 A Zona09_PB14_Rede_NÓ56.1"/>
        <s v="TRECHO DE Zona09_PB14_Rede_NÓ57.1 A Zona09_PB14_Rede_NÓ1.3; INCLUI 0,34 M DE TUBO DESENHADO NO PRÓPRIO NÓ (NÓ57.1: anel de ponta/toco)"/>
        <s v="TRECHO DE Zona09_PB14_Rede_NÓ57.1 A Zona09_PB14_Rede_NÓ57.2"/>
        <s v="TRECHO DE Zona09_PB14_Rede_NÓ57.2 A Zona09_PB14_Rede_NÓ57.3; INCLUI 0,41 M DE TUBO DESENHADO NO PRÓPRIO NÓ (NÓ57.3: anel de ponta/toco)"/>
        <s v="TRECHO DE Zona09_PB14_Rede_NÓ57.2 A Zona09_PB14_Rede_NÓ57.4; INCLUI 0,23 M DE TUBO DESENHADO NO PRÓPRIO NÓ (NÓ57.2: anel de ponta/toco)"/>
        <s v="TRECHO DE Zona09_PB14_Rede_NÓ57.3 A Zona09_PB14_Rede_NÓ3.1"/>
        <s v="TRECHO DE Zona09_PB14_Rede_NÓ57.4 A Zona09_PB14_Rede_NÓ103.1; INCLUI 0,09 M DE TUBO DESENHADO NO PRÓPRIO NÓ (NÓ57.4: anel de ponta/toco)"/>
        <s v="TRECHO DE Zona09_PB14_Rede_NÓ57.4 A Zona09_PB14_Rede_NÓ57.5; INCLUI 0,87 M DE TUBO DESENHADO NO PRÓPRIO NÓ (NÓ57.4, NÓ57.5: anel de ponta/toco)"/>
        <s v="TRECHO DE Zona09_PB14_Rede_NÓ57.5 A Zona09_PB14_CH_VM-9.2"/>
        <s v="TRECHO DE Zona09_PB14_Rede_NÓ8.2 A Zona09_PB14_Rede_NÓ28.1"/>
        <s v="TRECHO DE Zona09_PB14_Rede_NÓ86.1 A Zona06_PB14_Rede_NÓ79.1"/>
        <s v="TRECHO DE Zona09_PB14_Rede_NÓ86.1 A Zona09_PB14_Rede_NÓ24.1"/>
        <s v="TRECHO DE Zona09_PB14_Rede_NÓ9.1 A Zona09_PB17_Rede_NÓ108.1"/>
        <s v="TRECHO DE Zona09_PB14_Rede_NÓ9.3 A Zona06_PB14_Rede_NÓ79.1"/>
        <s v="TRECHO DE Zona09_PB14_Rede_NÓ9.4 A Zona07_PB18_Rede_NÓ9.2"/>
        <s v="TRECHO DE Zona09_PB16_CH_VRP-01 A Zona09_PB16_Rede_NÓ40.1"/>
        <s v="TRECHO DE Zona09_PB16_Rede_DF-09 A PONTA SEM NÓ NA TABELA"/>
        <s v="TRECHO DE Zona09_PB16_Rede_DF-10 A Zona09_PB16_Rede_NÓ59.3"/>
        <s v="TRECHO DE Zona09_PB16_Rede_NÓ1.1 A LIMITE DA TRAVESSIA MND; TRAVESSIA MND (CAMADA MND DO DWG); ITEM BM 5.16.7; TRECHO DIVIDIDO NO LIMITE DA TRAVESSIA MND (TRECHO ORIGINAL ENTRE PONTOS DA REDE: 402,04 M)"/>
        <s v="TRECHO DE Zona09_PB16_Rede_NÓ1.1 A Zona09_PB16_Rede_DF-09"/>
        <s v="TRECHO DE Zona09_PB16_Rede_NÓ1.2 A Zona09_PB16_Rede_NÓ54.4; INCLUI 4,00 M DE TUBO DESENHADO NO PRÓPRIO NÓ (NÓ54.4: anel de ponta/toco)"/>
        <s v="TRECHO DE Zona09_PB16_Rede_NÓ1.3 A Zona09_PB16_Rede_NÓ1.4"/>
        <s v="TRECHO DE Zona09_PB16_Rede_NÓ1.3 A Zona09_PB16_Rede_NÓ110.1"/>
        <s v="TRECHO DE Zona09_PB16_Rede_NÓ1.4 A Zona09_PB16_Rede_NÓ1.2"/>
        <s v="TRECHO DE Zona09_PB16_Rede_NÓ110.1 A Zona09_PB16_Rede_NÓ54.8; INCLUI 3,93 M DE TUBO DESENHADO NO PRÓPRIO NÓ (NÓ54.8: anel de ponta/toco)"/>
        <s v="TRECHO DE Zona09_PB16_Rede_NÓ110.1 A Zona09_PB16_Rede_NÓ59.6; INCLUI 0,47 M DE TUBO DESENHADO NO PRÓPRIO NÓ (NÓ110.1: anel de ponta/toco)"/>
        <s v="TRECHO DE Zona09_PB16_Rede_NÓ54.3 A Zona09_PB16_Rede_NÓ59.4; INCLUI 4,00 M DE TUBO DESENHADO NO PRÓPRIO NÓ (NÓ54.3: anel de ponta/toco)"/>
        <s v="TRECHO DE Zona09_PB16_Rede_NÓ54.7 A Zona09_PB16_Rede_NÓ1.4; INCLUI 4,00 M DE TUBO DESENHADO NO PRÓPRIO NÓ (NÓ54.7: anel de ponta/toco)"/>
        <s v="TRECHO DE Zona09_PB16_Rede_NÓ59.2 A Zona09_PB16_Rede_NÓ54.5; INCLUI 4,00 M DE TUBO DESENHADO NO PRÓPRIO NÓ (NÓ54.5: anel de ponta/toco)"/>
        <s v="TRECHO DE Zona09_PB16_Rede_NÓ59.2 A Zona09_PB16_Rede_NÓ59.1"/>
        <s v="TRECHO DE Zona09_PB16_Rede_NÓ59.3 A Zona09_PB16_Rede_NÓ59.2"/>
        <s v="TRECHO DE Zona09_PB16_Rede_NÓ59.3 A Zona09_PB16_Rede_NÓ59.4"/>
        <s v="TRECHO DE Zona09_PB16_Rede_NÓ59.4 A Zona09_PB16_Rede_NÓ64.1"/>
        <s v="TRECHO DE Zona09_PB16_Rede_NÓ59.5 A Zona09_PB16_Rede_NÓ54.1; INCLUI 4,00 M DE TUBO DESENHADO NO PRÓPRIO NÓ (NÓ54.1: anel de ponta/toco)"/>
        <s v="TRECHO DE Zona09_PB16_Rede_NÓ59.5 A Zona09_PB16_Rede_NÓ59.6"/>
        <s v="TRECHO DE Zona09_PB16_Rede_NÓ59.6 A Zona09_PB16_Rede_NÓ54.2; INCLUI 3,99 M DE TUBO DESENHADO NO PRÓPRIO NÓ (NÓ54.2: anel de ponta/toco)"/>
        <s v="TRECHO DE Zona09_PB16_Rede_NÓ64.1 A Zona09_PB16_Rede_NÓ40.1; INCLUI 0,55 M DE TUBO DESENHADO NO PRÓPRIO NÓ (NÓ64.1: anel de ponta/toco)"/>
        <s v="TRECHO DE Zona09_PB16_Rede_NÓ64.1 A Zona09_PB16_Rede_NÓ59.5"/>
        <s v="TRECHO DE Zona09_PB17_Rede_NÓ1.1 A Zona09_PB14_Rede_NÓ1.5"/>
        <s v="TRECHO DE Zona09_PB17_Rede_NÓ1.1 A Zona09_PB17_Rede_NÓ54.1; INCLUI 3,94 M DE TUBO DESENHADO NO PRÓPRIO NÓ (NÓ54.1: anel de ponta/toco)"/>
        <s v="TRECHO DE Zona09_PB17_Rede_NÓ1.1 A Zona09_PB17_Rede_NÓ54.2; INCLUI 4,04 M DE TUBO DESENHADO NO PRÓPRIO NÓ (NÓ54.2: anel de ponta/toco)"/>
        <s v="TRECHO DE Zona09_PB17_Rede_NÓ1.2 A PONTA SEM NÓ NA TABELA"/>
        <s v="TRECHO DE Zona09_PB17_Rede_NÓ1.2 A Zona09_PB17_Rede_NÓ2.2"/>
        <s v="TRECHO DE Zona09_PB17_Rede_NÓ108.1 A Zona09_PB16_CH_VRP-01"/>
        <s v="TRECHO DE Zona09_PB17_Rede_NÓ108.1 A Zona09_PB17_Rede_NÓ59.1"/>
        <s v="TRECHO DE Zona09_PB17_Rede_NÓ2.1 A Zona09_PB17_Rede_NÓ1.2; INCLUI 0,12 M DE TUBO DESENHADO NO PRÓPRIO NÓ (NÓ1.2: anel de ponta/toco)"/>
        <s v="TRECHO DE Zona09_PB17_Rede_NÓ2.2 A Zona09_PB22_Rede_NÓ2.9"/>
        <s v="TRECHO DE Zona09_PB17_Rede_NÓ54.3 A Zona09_PB14_Rede_NÓ1.5; INCLUI 4,10 M DE TUBO DESENHADO NO PRÓPRIO NÓ (NÓ1.5, NÓ54.3: anel de ponta/toco)"/>
        <s v="TRECHO DE Zona09_PB17_Rede_NÓ54.4 A Zona09_PB14_Rede_NÓ56.1; INCLUI 4,55 M DE TUBO DESENHADO NO PRÓPRIO NÓ (NÓ56.1, NÓ54.4: anel de ponta/toco)"/>
        <s v="TRECHO DE Zona09_PB17_Rede_NÓ54.5 A Zona09_PB14_Rede_NÓ56.2; INCLUI 4,46 M DE TUBO DESENHADO NO PRÓPRIO NÓ (NÓ56.2, NÓ54.5: anel de ponta/toco)"/>
        <s v="TRECHO DE Zona09_PB17_Rede_NÓ59.1 A Zona09_PB16_Rede_NÓ54.9; INCLUI 4,00 M DE TUBO DESENHADO NO PRÓPRIO NÓ (NÓ54.9: anel de ponta/toco)"/>
        <s v="TRECHO DE Zona09_PB17_Rede_NÓ59.1 A Zona09_PB17_Rede_NÓ59.2"/>
        <s v="TRECHO DE Zona09_PB17_Rede_NÓ59.2 A Zona09_PB16_Rede_NÓ54.6; INCLUI 5,41 M DE TUBO DESENHADO NO PRÓPRIO NÓ (NÓ54.6: anel de ponta/toco)"/>
        <s v="TRECHO DE Zona09_PB17_Rede_NÓ59.2 A Zona09_PB22_Rede_NÓ59.1"/>
        <s v="TRECHO DE Zona09_PB21_Rede_DF-01 A Zona09_PB21_Rede_NÓ2.1"/>
        <s v="TRECHO DE Zona09_PB21_Rede_NÓ1.1 A Zona09_PB21_Rede_DF-01"/>
        <s v="TRECHO DE Zona09_PB21_Rede_NÓ1.2 A Zona09_PB21_Rede_NÓ1.1; INCLUI 0,09 M DE TUBO DESENHADO NO PRÓPRIO NÓ (NÓ1.2: anel de ponta/toco)"/>
        <s v="TRECHO DE Zona09_PB21_Rede_NÓ1.2 A Zona09_PB21_Rede_NÓ1.4"/>
        <s v="TRECHO DE Zona09_PB21_Rede_NÓ1.3 A Zona09_PB21_Rede_NÓ1.2"/>
        <s v="TRECHO DE Zona09_PB21_Rede_NÓ1.3 A Zona09_PB21_Rede_NÓ2.1; INCLUI 1,15 M DE TUBO DESENHADO NO PRÓPRIO NÓ (NÓ1.3: anel de ponta/toco)"/>
        <s v="TRECHO DE Zona09_PB21_Rede_NÓ1.4 A Zona09_PB21_Rede_NÓ1.1"/>
        <s v="TRECHO DE Zona09_PB21_Rede_NÓ1.5 A Zona09_PB21_Rede_NÓ1.3"/>
        <s v="TRECHO DE Zona09_PB21_Rede_NÓ1.5 A Zona09_PB21_Rede_NÓ54.1; INCLUI 4,02 M DE TUBO DESENHADO NO PRÓPRIO NÓ (NÓ54.1: anel de ponta/toco)"/>
        <s v="TRECHO DE Zona09_PB21_Rede_NÓ1.6 A Zona09_PB21_Rede_NÓ1.4"/>
        <s v="TRECHO DE Zona09_PB21_Rede_NÓ1.6 A Zona09_PB22_Rede_NÓ2.1"/>
        <s v="TRECHO DE Zona09_PB22_Rede_NÓ1.1 A Zona09_PB21_Rede_NÓ1.5; INCLUI 1,03 M DE TUBO DESENHADO NO PRÓPRIO NÓ (NÓ1.1: anel de ponta/toco)"/>
        <s v="TRECHO DE Zona09_PB22_Rede_NÓ1.2 A Zona09_PB21_Rede_NÓ1.6"/>
        <s v="TRECHO DE Zona09_PB22_Rede_NÓ1.2 A Zona09_PB22_Rede_NÓ54.2; INCLUI 3,97 M DE TUBO DESENHADO NO PRÓPRIO NÓ (NÓ54.2: anel de ponta/toco)"/>
        <s v="TRECHO DE Zona09_PB22_Rede_NÓ1.3 A Zona09_PB22_Rede_NÓ2.1"/>
        <s v="TRECHO DE Zona09_PB22_Rede_NÓ107.1 A Zona09_PB22_Rede_NÓ1.3"/>
        <s v="TRECHO DE Zona09_PB22_Rede_NÓ2.2 A Zona09_PB22_Rede_NÓ1.3"/>
        <s v="TRECHO DE Zona09_PB22_Rede_NÓ54.1 A Zona09_PB22_Rede_NÓ1.1; INCLUI 4,02 M DE TUBO DESENHADO NO PRÓPRIO NÓ (NÓ54.1: anel de ponta/toco)"/>
        <s v="TRECHO DE Zona09_PB22_Rede_NÓ54.3 A Zona09_PB22_Rede_NÓ66.1; INCLUI 4,07 M DE TUBO DESENHADO NO PRÓPRIO NÓ (NÓ54.3: anel de ponta/toco)"/>
        <s v="TRECHO DE Zona09_PB22_Rede_NÓ54.4 A Zona09_PB22_Rede_NÓ2.2; INCLUI 3,98 M DE TUBO DESENHADO NO PRÓPRIO NÓ (NÓ54.4: anel de ponta/toco)"/>
        <s v="TRECHO DE Zona09_PB22_Rede_NÓ59.1 A Zona09_PB17_Rede_NÓ2.1"/>
        <s v="TRECHO DE Zona09_PB22_Rede_NÓ59.1 A Zona09_PB22_Rede_NÓ59.2"/>
        <s v="TRECHO DE Zona09_PB22_Rede_NÓ59.2 A PONTA SEM NÓ NA TABELA"/>
        <s v="TRECHO DE Zona09_PB22_Rede_NÓ59.2 A Zona09_PB22_Rede_NÓ59.3"/>
        <s v="TRECHO DE Zona09_PB22_Rede_NÓ59.3 A Zona09_PB22_Rede_NÓ1.1; INCLUI 1,40 M DE TUBO DESENHADO NO PRÓPRIO NÓ (NÓ59.3: anel de ponta/toco)"/>
        <s v="TRECHO DE Zona09_PB22_Rede_NÓ59.3 A Zona09_PB22_Rede_NÓ59.4"/>
        <s v="TRECHO DE Zona09_PB22_Rede_NÓ59.4 A Zona09_PB22_Rede_NÓ2.9"/>
        <s v="TRECHO DE Zona09_PB22_Rede_NÓ59.4 A Zona09_PB22_Rede_NÓ59.5"/>
        <s v="TRECHO DE Zona09_PB22_Rede_NÓ59.5 A Zona09_PB22_Rede_NÓ1.2; INCLUI 0,25 M DE TUBO DESENHADO NO PRÓPRIO NÓ (NÓ1.2: anel de ponta/toco)"/>
        <s v="TRECHO DE Zona09_PB22_Rede_NÓ59.5 A Zona09_PB22_Rede_NÓ107.1"/>
        <s v="TRECHO DE Zona09_PB22_Rede_NÓ66.1 A Zona09_PB22_Rede_NÓ107.1"/>
        <s v="TRECHO DE Zona10_PB07_Rede_NÓ54.13 A Zona10_PB10_Rede_NÓ59.4; INCLUI 4,00 M DE TUBO DESENHADO NO PRÓPRIO NÓ (NÓ54.13: anel de ponta/toco)"/>
        <s v="TRECHO DE Zona10_PB10_Rede_DF-42 A Zona10_PB07_Rede_NÓ54.11; INCLUI 3,99 M DE TUBO DESENHADO NO PRÓPRIO NÓ (NÓ54.11: anel de ponta/toco)"/>
        <s v="TRECHO DE Zona10_PB10_Rede_NÓ54.5 A Zona10_PB10_Rede_NÓ59.6; INCLUI 4,08 M DE TUBO DESENHADO NO PRÓPRIO NÓ (NÓ54.5: anel de ponta/toco)"/>
        <s v="TRECHO DE Zona10_PB10_Rede_NÓ54.8 A Zona10_PB10_Rede_NÓ59.7; INCLUI 4,07 M DE TUBO DESENHADO NO PRÓPRIO NÓ (NÓ54.8: anel de ponta/toco)"/>
        <s v="TRECHO DE Zona10_PB10_Rede_NÓ56.4 A Zona10_PB11_CH_VM-10.2"/>
        <s v="TRECHO DE Zona10_PB10_Rede_NÓ56.4 A Zona10_PB11_Rede_NÓ54.1; INCLUI 4,00 M DE TUBO DESENHADO NO PRÓPRIO NÓ (NÓ54.1: anel de ponta/toco)"/>
        <s v="TRECHO DE Zona10_PB10_Rede_NÓ59.4 A Zona10_PB10_Rede_NÓ59.6"/>
        <s v="TRECHO DE Zona10_PB10_Rede_NÓ59.6 A Zona10_PB10_Rede_NÓ59.7"/>
        <s v="TRECHO DE Zona10_PB10_Rede_NÓ59.7 A Zona10_PB10_Rede_NÓ59.8"/>
        <s v="TRECHO DE Zona10_PB10_Rede_NÓ59.8 A Zona10_PB10_Rede_NÓ59.9"/>
        <s v="TRECHO DE Zona10_PB10_Rede_NÓ59.9 A Zona10_PB10_Rede_NÓ91.1"/>
        <s v="TRECHO DE Zona10_PB10_Rede_NÓ66.1 A Zona10_PB10_Rede_DF-42"/>
        <s v="TRECHO DE Zona10_PB10_Rede_NÓ66.1 A Zona10_PB10_Rede_NÓ59.4"/>
        <s v="TRECHO DE Zona10_PB10_Rede_NÓ91.1 A Zona10_PB10_Rede_NÓ56.4"/>
        <s v="TRECHO DE Zona10_PB11_CH_VM-10.2 A DIVISA DE ZONA; TRECHO DIVIDIDO NA DIVISA DE ZONA (TRECHO ORIGINAL ENTRE PONTOS DA REDE: 540,44 M)"/>
        <s v="TRECHO DE Zona10_PB11_Rede_DF-16 A Zona10_PB11_Rede_NÓ1.26"/>
        <s v="TRECHO DE Zona10_PB11_Rede_NÓ1.1 A Zona10_PB11_Rede_NÓ2.7"/>
        <s v="TRECHO DE Zona10_PB11_Rede_NÓ1.1 A Zona10_PB11_Rede_NÓ75.1"/>
        <s v="TRECHO DE Zona10_PB11_Rede_NÓ1.10 A Zona10_PB11_Rede_NÓ1.12"/>
        <s v="TRECHO DE Zona10_PB11_Rede_NÓ1.10 A Zona10_PB11_Rede_NÓ56.3; INCLUI 0,42 M DE TUBO DESENHADO NO PRÓPRIO NÓ (NÓ56.3: anel de ponta/toco)"/>
        <s v="TRECHO DE Zona10_PB11_Rede_NÓ1.12 A Zona10_PB11_Rede_NÓ1.16"/>
        <s v="TRECHO DE Zona10_PB11_Rede_NÓ1.12 A Zona10_PB11_Rede_NÓ1.18"/>
        <s v="TRECHO DE Zona10_PB11_Rede_NÓ1.13 A Zona10_PB11_Rede_NÓ1.18"/>
        <s v="TRECHO DE Zona10_PB11_Rede_NÓ1.13 A Zona10_PB11_Rede_NÓ1.7; INCLUI 0,08 M DE TUBO DESENHADO NO PRÓPRIO NÓ (NÓ1.13: anel de ponta/toco)"/>
        <s v="TRECHO DE Zona10_PB11_Rede_NÓ1.16 A Zona10_PB11_Rede_NÓ1.17"/>
        <s v="TRECHO DE Zona10_PB11_Rede_NÓ1.17 A Zona10_PB11_Rede_NÓ1.19"/>
        <s v="TRECHO DE Zona10_PB11_Rede_NÓ1.18 A Zona10_PB11_Rede_NÓ1.20"/>
        <s v="TRECHO DE Zona10_PB11_Rede_NÓ1.19 A Zona10_PB11_Rede_NÓ1.21"/>
        <s v="TRECHO DE Zona10_PB11_Rede_NÓ1.19 A Zona10_PB11_Rede_NÓ56.5; INCLUI 0,60 M DE TUBO DESENHADO NO PRÓPRIO NÓ (NÓ1.19, NÓ56.5: anel de ponta/toco)"/>
        <s v="TRECHO DE Zona10_PB11_Rede_NÓ1.2 A Zona10_PB11_Rede_DF-16; INCLUI 0,51 M DE TUBO DESENHADO NO PRÓPRIO NÓ (nó: anel de ponta/toco)"/>
        <s v="TRECHO DE Zona10_PB11_Rede_NÓ1.2 A Zona10_PB11_Rede_NÓ1.1"/>
        <s v="TRECHO DE Zona10_PB11_Rede_NÓ1.20 A Zona10_PB11_Rede_NÓ1.17; INCLUI 1,28 M DE TUBO DESENHADO NO PRÓPRIO NÓ (NÓ1.20: anel de ponta/toco)"/>
        <s v="TRECHO DE Zona10_PB11_Rede_NÓ1.20 A Zona10_PB11_Rede_NÓ2.10"/>
        <s v="TRECHO DE Zona10_PB11_Rede_NÓ1.21 A Zona10_PB11_Rede_NÓ1.22"/>
        <s v="TRECHO DE Zona10_PB11_Rede_NÓ1.22 A Zona10_PB11_Rede_NÓ1.23"/>
        <s v="TRECHO DE Zona10_PB11_Rede_NÓ1.23 A Zona10_PB11_Rede_NÓ1.25"/>
        <s v="TRECHO DE Zona10_PB11_Rede_NÓ1.24 A Zona10_PB11_Rede_NÓ1.23"/>
        <s v="TRECHO DE Zona10_PB11_Rede_NÓ1.24 A Zona10_PB14_Rede_NÓ2.2"/>
        <s v="TRECHO DE Zona10_PB11_Rede_NÓ1.25 A Zona10_PB11_Rede_NÓ1.26"/>
        <s v="TRECHO DE Zona10_PB11_Rede_NÓ1.26 A Zona10_PB11_Rede_NÓ54.8; INCLUI 4,00 M DE TUBO DESENHADO NO PRÓPRIO NÓ (NÓ54.8: anel de ponta/toco)"/>
        <s v="TRECHO DE Zona10_PB11_Rede_NÓ1.27 A PONTA SEM NÓ NA TABELA"/>
        <s v="TRECHO DE Zona10_PB11_Rede_NÓ1.27 A Zona10_PB11_Rede_NÓ1.25"/>
        <s v="TRECHO DE Zona10_PB11_Rede_NÓ1.3 A Zona10_PB11_Rede_NÓ106.2"/>
        <s v="TRECHO DE Zona10_PB11_Rede_NÓ1.4 A Zona10_PB11_Rede_NÓ1.2"/>
        <s v="TRECHO DE Zona10_PB11_Rede_NÓ1.4 A Zona10_PB11_Rede_NÓ1.6"/>
        <s v="TRECHO DE Zona10_PB11_Rede_NÓ1.6 A Zona10_PB11_Rede_NÓ1.3"/>
        <s v="TRECHO DE Zona10_PB11_Rede_NÓ1.6 A Zona10_PB11_Rede_NÓ1.8"/>
        <s v="TRECHO DE Zona10_PB11_Rede_NÓ1.7 A Zona10_PB11_Rede_NÓ1.10"/>
        <s v="TRECHO DE Zona10_PB11_Rede_NÓ1.8 A Zona10_PB11_Rede_NÓ1.13"/>
        <s v="TRECHO DE Zona10_PB11_Rede_NÓ1.8 A Zona10_PB11_Rede_NÓ1.3"/>
        <s v="TRECHO DE Zona10_PB11_Rede_NÓ106.2 A Zona10_PB11_Rede_NÓ2.8"/>
        <s v="TRECHO DE Zona10_PB11_Rede_NÓ106.2 A Zona10_PB11_Rede_NÓ60.1"/>
        <s v="TRECHO DE Zona10_PB11_Rede_NÓ2.10 A Zona10_PB11_Rede_NÓ1.21"/>
        <s v="TRECHO DE Zona10_PB11_Rede_NÓ2.4 A Zona10_PB11_Rede_NÓ2.6"/>
        <s v="TRECHO DE Zona10_PB11_Rede_NÓ2.6 A Zona10_PB10_Rede_NÓ91.1; INCLUI 0,21 M DE TUBO DESENHADO NO PRÓPRIO NÓ (nó: anel de ponta/toco)"/>
        <s v="TRECHO DE Zona10_PB11_Rede_NÓ2.7 A Zona10_PB11_Rede_NÓ56.1; INCLUI 0,71 M DE TUBO DESENHADO NO PRÓPRIO NÓ (NÓ2.7, NÓ56.1: anel de ponta/toco)"/>
        <s v="TRECHO DE Zona10_PB11_Rede_NÓ2.8 A Zona10_PB11_Rede_NÓ1.4; INCLUI 1,68 M DE TUBO DESENHADO NO PRÓPRIO NÓ (NÓ1.4, NÓ2.8: anel de ponta/toco)"/>
        <s v="TRECHO DE Zona10_PB11_Rede_NÓ54.2 A Zona10_PB10_Rede_NÓ59.8; INCLUI 3,94 M DE TUBO DESENHADO NO PRÓPRIO NÓ (NÓ54.2: anel de ponta/toco)"/>
        <s v="TRECHO DE Zona10_PB11_Rede_NÓ54.3 A Zona10_PB10_Rede_NÓ59.9; INCLUI 3,99 M DE TUBO DESENHADO NO PRÓPRIO NÓ (NÓ54.3: anel de ponta/toco)"/>
        <s v="TRECHO DE Zona10_PB11_Rede_NÓ56.1 A Zona10_PB11_Rede_NÓ60.1"/>
        <s v="TRECHO DE Zona10_PB11_Rede_NÓ56.2 A Zona10_PB11_Rede_NÓ1.7; INCLUI 0,45 M DE TUBO DESENHADO NO PRÓPRIO NÓ (NÓ56.2: anel de ponta/toco)"/>
        <s v="TRECHO DE Zona10_PB11_Rede_NÓ56.2 A Zona10_PB11_Rede_NÓ56.3; INCLUI 0,39 M DE TUBO DESENHADO NO PRÓPRIO NÓ (NÓ56.2, NÓ56.3: anel de ponta/toco)"/>
        <s v="TRECHO DE Zona10_PB11_Rede_NÓ56.3 A Zona10_PB11_Rede_NÓ56.4; INCLUI 0,09 M DE TUBO DESENHADO NO PRÓPRIO NÓ (NÓ56.4: anel de ponta/toco)"/>
        <s v="TRECHO DE Zona10_PB11_Rede_NÓ56.4 A Zona10_PB11_Rede_NÓ1.16; INCLUI 0,45 M DE TUBO DESENHADO NO PRÓPRIO NÓ (NÓ56.4: anel de ponta/toco)"/>
        <s v="TRECHO DE Zona10_PB11_Rede_NÓ56.4 A Zona10_PB11_Rede_NÓ56.5"/>
        <s v="TRECHO DE Zona10_PB11_Rede_NÓ56.5 A Zona10_PB11_Rede_NÓ56.6"/>
        <s v="TRECHO DE Zona10_PB11_Rede_NÓ56.6 A Zona10_PB11_Rede_NÓ1.22; INCLUI 0,47 M DE TUBO DESENHADO NO PRÓPRIO NÓ (NÓ56.6: anel de ponta/toco)"/>
        <s v="TRECHO DE Zona10_PB11_Rede_NÓ56.6 A Zona10_PB14_Rede_NÓ56.3"/>
        <s v="TRECHO DE Zona10_PB11_Rede_NÓ60.1 A Zona10_PB11_Rede_NÓ56.2"/>
        <s v="TRECHO DE Zona10_PB11_Rede_NÓ75.1 A Zona10_PB11_Rede_NÓ56.1; INCLUI 0,10 M DE TUBO DESENHADO NO PRÓPRIO NÓ (NÓ56.1: anel de ponta/toco)"/>
        <s v="TRECHO DE Zona10_PB14_Adutora_NÓ98.1 A DIVISA DE ZONA; TRECHO DIVIDIDO NA DIVISA DE ZONA (TRECHO ORIGINAL ENTRE PONTOS DA REDE: 145,82 M)"/>
        <s v="TRECHO DE Zona10_PB14_CH_MV-10 A Zona10_PB14_CH_VM-10.1"/>
        <s v="TRECHO DE Zona10_PB14_CH_VM-10.1 A Zona10_PB14_Rede_NÓ8.1"/>
        <s v="TRECHO DE Zona10_PB14_Rede_NÓ1.10 A Zona10_PB11_Rede_NÓ1.27; INCLUI 0,45 M DE TUBO DESENHADO NO PRÓPRIO NÓ (NÓ1.27: anel de ponta/toco)"/>
        <s v="TRECHO DE Zona10_PB14_Rede_NÓ1.10 A Zona10_PB14_Rede_NÓ1.7"/>
        <s v="TRECHO DE Zona10_PB14_Rede_NÓ1.11 A Zona10_PB14_Rede_NÓ1.10"/>
        <s v="TRECHO DE Zona10_PB14_Rede_NÓ1.14 A Zona10_PB11_Rede_NÓ1.24; INCLUI 0,17 M DE TUBO DESENHADO NO PRÓPRIO NÓ (NÓ1.14: anel de ponta/toco)"/>
        <s v="TRECHO DE Zona10_PB14_Rede_NÓ1.6 A Zona10_PB14_Rede_NÓ1.9; INCLUI 0,64 M DE TUBO DESENHADO NO PRÓPRIO NÓ (NÓ1.9: anel de ponta/toco)"/>
        <s v="TRECHO DE Zona10_PB14_Rede_NÓ1.6 A Zona10_PB14_Rede_NÓ54.5; INCLUI 3,99 M DE TUBO DESENHADO NO PRÓPRIO NÓ (NÓ54.5: anel de ponta/toco)"/>
        <s v="TRECHO DE Zona10_PB14_Rede_NÓ1.7 A Zona10_PB14_Rede_NÓ1.8"/>
        <s v="TRECHO DE Zona10_PB14_Rede_NÓ1.7 A Zona10_PB14_Rede_NÓ56.5; INCLUI 0,51 M DE TUBO DESENHADO NO PRÓPRIO NÓ (NÓ56.5: anel de ponta/toco)"/>
        <s v="TRECHO DE Zona10_PB14_Rede_NÓ1.8 A Zona10_PB14_Rede_NÓ1.9"/>
        <s v="TRECHO DE Zona10_PB14_Rede_NÓ1.9 A Zona10_PB14_Rede_NÓ1.11"/>
        <s v="TRECHO DE Zona10_PB14_Rede_NÓ2.2 A Zona10_PB14_Rede_NÓ1.14"/>
        <s v="TRECHO DE Zona10_PB14_Rede_NÓ56.3 A Zona10_PB14_Rede_NÓ1.14; INCLUI 0,53 M DE TUBO DESENHADO NO PRÓPRIO NÓ (NÓ56.3: anel de ponta/toco)"/>
        <s v="TRECHO DE Zona10_PB14_Rede_NÓ56.4 A Zona10_PB14_CH_MV-10"/>
        <s v="TRECHO DE Zona10_PB14_Rede_NÓ56.4 A Zona10_PB14_Rede_NÓ1.6"/>
        <s v="TRECHO DE Zona10_PB14_Rede_NÓ56.4 A Zona10_PB14_Rede_NÓ56.6; INCLUI 0,80 M DE TUBO DESENHADO NO PRÓPRIO NÓ (NÓ56.4: anel de ponta/toco)"/>
        <s v="TRECHO DE Zona10_PB14_Rede_NÓ56.5 A Zona10_PB14_Rede_NÓ56.3; INCLUI 0,12 M DE TUBO DESENHADO NO PRÓPRIO NÓ (NÓ56.3: anel de ponta/toco)"/>
        <s v="TRECHO DE Zona10_PB14_Rede_NÓ56.5 A Zona10_PB14_Rede_NÓ56.6"/>
        <s v="TRECHO DE Zona10_PB14_Rede_NÓ56.6 A Zona10_PB14_Rede_NÓ1.8; INCLUI 0,51 M DE TUBO DESENHADO NO PRÓPRIO NÓ (NÓ56.6: anel de ponta/toco)"/>
        <s v="TRECHO DE Zona10_PB14_Rede_NÓ8.1 A Zona10_PB14_Rede_NÓ98.1"/>
        <s v="TRECHO DE Zona10_PB14_Rede_NÓ9.2 A Zona10_PB14_Rede_NÓ8.1"/>
        <s v="TRECHO DE Zona11_PB15_Rede_DF-05 A Zona11_PB18_Rede_NÓ1.18"/>
        <s v="TRECHO DE Zona11_PB17_Adutora_NÓ39.1 A Zona11_PB17_Adutora_NÓ51.1"/>
        <s v="TRECHO DE Zona11_PB17_Rede_NÓ1.4 A Zona11_PB18_Rede_NÓ1.2"/>
        <s v="TRECHO DE Zona11_PB17_Rede_NÓ1.4 A Zona11_PB23_Rede_NÓ1.4"/>
        <s v="TRECHO DE Zona11_PB17_Rede_NÓ2.3 A Zona11_PB17_Rede_NÓ1.4"/>
        <s v="TRECHO DE Zona11_PB17_Rede_NÓ3.1 A Zona11_PB17_Rede_NÓ57.1"/>
        <s v="TRECHO DE Zona11_PB17_Rede_NÓ57.1 A Zona11_PB17_Rede_NÓ19.1"/>
        <s v="TRECHO DE Zona11_PB17_Rede_NÓ57.1 A Zona11_PB17_Rede_NÓ2.3"/>
        <s v="TRECHO DE Zona11_PB18_Rede_DF-04 A Zona11_PB18_Rede_NÓ2.11"/>
        <s v="TRECHO DE Zona11_PB18_Rede_NÓ1.13 A Zona11_PB18_Rede_NÓ1.15"/>
        <s v="TRECHO DE Zona11_PB18_Rede_NÓ1.13 A Zona11_PB23_Rede_NÓ1.12"/>
        <s v="TRECHO DE Zona11_PB18_Rede_NÓ1.14 A Zona11_PB18_Rede_NÓ54.14; INCLUI 3,99 M DE TUBO DESENHADO NO PRÓPRIO NÓ (NÓ54.14: anel de ponta/toco)"/>
        <s v="TRECHO DE Zona11_PB18_Rede_NÓ1.15 A Zona11_PB18_Rede_NÓ1.14"/>
        <s v="TRECHO DE Zona11_PB18_Rede_NÓ1.16 A Zona11_PB18_Rede_NÓ1.15; INCLUI 0,14 M DE TUBO DESENHADO NO PRÓPRIO NÓ (NÓ1.15: anel de ponta/toco)"/>
        <s v="TRECHO DE Zona11_PB18_Rede_NÓ1.16 A Zona11_PB18_Rede_NÓ1.20"/>
        <s v="TRECHO DE Zona11_PB18_Rede_NÓ1.17 A Zona11_PB18_Rede_NÓ1.16"/>
        <s v="TRECHO DE Zona11_PB18_Rede_NÓ1.17 A Zona11_PB18_Rede_NÓ106.1"/>
        <s v="TRECHO DE Zona11_PB18_Rede_NÓ1.18 A Zona11_PB18_Rede_NÓ1.14"/>
        <s v="TRECHO DE Zona11_PB18_Rede_NÓ1.19 A Zona11_PB18_Rede_NÓ2.12"/>
        <s v="TRECHO DE Zona11_PB18_Rede_NÓ1.2 A Zona11_PB18_Rede_NÓ1.3"/>
        <s v="TRECHO DE Zona11_PB18_Rede_NÓ1.2 A Zona11_PB18_Rede_NÓ2.2"/>
        <s v="TRECHO DE Zona11_PB18_Rede_NÓ1.20 A Zona11_PB18_Rede_NÓ1.19; INCLUI 0,36 M DE TUBO DESENHADO NO PRÓPRIO NÓ (NÓ1.19: anel de ponta/toco)"/>
        <s v="TRECHO DE Zona11_PB18_Rede_NÓ1.20 A Zona11_PB18_Rede_NÓ106.1"/>
        <s v="TRECHO DE Zona11_PB18_Rede_NÓ1.3 A Zona11_PB17_Rede_NÓ19.1; INCLUI 0,41 M DE TUBO DESENHADO NO PRÓPRIO NÓ (NÓ19.1: anel de ponta/toco)"/>
        <s v="TRECHO DE Zona11_PB18_Rede_NÓ1.3 A Zona11_PB18_Rede_NÓ2.3"/>
        <s v="TRECHO DE Zona11_PB18_Rede_NÓ1.5 A Zona11_PB18_Rede_NÓ2.3"/>
        <s v="TRECHO DE Zona11_PB18_Rede_NÓ106.1 A Zona11_PB18_Rede_NÓ57.3; INCLUI 1,35 M DE TUBO DESENHADO NO PRÓPRIO NÓ (NÓ57.3: anel de ponta/toco)"/>
        <s v="TRECHO DE Zona11_PB18_Rede_NÓ2.10 A Zona11_PB18_Rede_NÓ2.8"/>
        <s v="TRECHO DE Zona11_PB18_Rede_NÓ2.11 A Zona11_PB18_Rede_NÓ1.13"/>
        <s v="TRECHO DE Zona11_PB18_Rede_NÓ2.12 A Zona11_PB18_Rede_NÓ1.18"/>
        <s v="TRECHO DE Zona11_PB18_Rede_NÓ2.13 A Zona11_PB18_Rede_NÓ1.19"/>
        <s v="TRECHO DE Zona11_PB18_Rede_NÓ2.13 A Zona11_PB18_Rede_NÓ54.16; INCLUI 5,53 M DE TUBO DESENHADO NO PRÓPRIO NÓ (NÓ2.13, NÓ54.16: anel de ponta/toco)"/>
        <s v="TRECHO DE Zona11_PB18_Rede_NÓ2.2 A Zona11_PB18_Rede_NÓ1.5"/>
        <s v="TRECHO DE Zona11_PB18_Rede_NÓ2.8 A Zona11_PB23_Rede_NÓ1.6"/>
        <s v="TRECHO DE Zona11_PB18_Rede_NÓ54.15 A Zona11_PB18_Rede_NÓ1.17; INCLUI 4,14 M DE TUBO DESENHADO NO PRÓPRIO NÓ (NÓ1.17, NÓ54.15: anel de ponta/toco)"/>
        <s v="TRECHO DE Zona11_PB18_Rede_NÓ54.4 A Zona11_PB23_Rede_NÓ2.2; INCLUI 3,63 M DE TUBO DESENHADO NO PRÓPRIO NÓ (NÓ54.4: anel de ponta/toco)"/>
        <s v="TRECHO DE Zona11_PB18_Rede_NÓ54.8 A Zona11_PB23_Rede_NÓ1.5; INCLUI 3,63 M DE TUBO DESENHADO NO PRÓPRIO NÓ (NÓ54.8: anel de ponta/toco)"/>
        <s v="TRECHO DE Zona11_PB18_Rede_NÓ57.3 A Zona11_PB23_Rede_NÓ57.3; INCLUI 0,09 M DE TUBO DESENHADO NO PRÓPRIO NÓ (NÓ57.3: anel de ponta/toco)"/>
        <s v="TRECHO DE Zona11_PB19_Rede_DF-07 A Zona11_PB19_Rede_NÓ1.2; INCLUI 0,11 M DE TUBO DESENHADO NO PRÓPRIO NÓ (nó: anel de ponta/toco)"/>
        <s v="TRECHO DE Zona11_PB19_Rede_NÓ1.1 A Zona11_PB19_Rede_NÓ1.3"/>
        <s v="TRECHO DE Zona11_PB19_Rede_NÓ1.1 A Zona11_PB19_Rede_NÓ106.1"/>
        <s v="TRECHO DE Zona11_PB19_Rede_NÓ1.2 A Zona11_PB19_Rede_NÓ1.3; INCLUI 0,58 M DE TUBO DESENHADO NO PRÓPRIO NÓ (NÓ1.2: anel de ponta/toco)"/>
        <s v="TRECHO DE Zona11_PB19_Rede_NÓ1.3 A Zona11_PB19_Rede_NÓ1.5"/>
        <s v="TRECHO DE Zona11_PB19_Rede_NÓ1.4 A PONTA SEM NÓ NA TABELA"/>
        <s v="TRECHO DE Zona11_PB19_Rede_NÓ1.4 A Zona11_PB19_Rede_NÓ1.2"/>
        <s v="TRECHO DE Zona11_PB19_Rede_NÓ1.5 A Zona11_PB24_Rede_NÓ1.2"/>
        <s v="TRECHO DE Zona11_PB19_Rede_NÓ1.6 A Zona11_PB19_Rede_NÓ1.4"/>
        <s v="TRECHO DE Zona11_PB19_Rede_NÓ1.6 A Zona11_PB19_Rede_NÓ1.9"/>
        <s v="TRECHO DE Zona11_PB19_Rede_NÓ1.7 A Zona11_PB19_Rede_NÓ1.5"/>
        <s v="TRECHO DE Zona11_PB19_Rede_NÓ1.7 A Zona11_PB19_Rede_NÓ1.6"/>
        <s v="TRECHO DE Zona11_PB19_Rede_NÓ1.9 A Zona11_PB19_Rede_NÓ19.1"/>
        <s v="TRECHO DE Zona11_PB19_Rede_NÓ106.1 A Zona11_PB24_Rede_NÓ57.1; INCLUI 0,44 M DE TUBO DESENHADO NO PRÓPRIO NÓ (NÓ106.1: anel de ponta/toco)"/>
        <s v="TRECHO DE Zona11_PB19_Rede_NÓ2.3 A Zona11_PB19_Rede_NÓ54.2; INCLUI 4,03 M DE TUBO DESENHADO NO PRÓPRIO NÓ (NÓ54.2: anel de ponta/toco)"/>
        <s v="TRECHO DE Zona11_PB19_Rede_NÓ2.4 A Zona11_PB19_Rede_NÓ106.1"/>
        <s v="TRECHO DE Zona11_PB19_Rede_NÓ2.4 A Zona11_PB19_Rede_NÓ2.3"/>
        <s v="TRECHO DE Zona11_PB19_Rede_NÓ3.1 A Zona11_PB19_Rede_NÓ19.1"/>
        <s v="TRECHO DE Zona11_PB19_Rede_NÓ3.1 A Zona11_PB20_Rede_NÓ3.1"/>
        <s v="TRECHO DE Zona11_PB19_Rede_NÓ4.1 A Zona11_PB19_Rede_NÓ3.1"/>
        <s v="TRECHO DE Zona11_PB19_Rede_NÓ54.10 A Zona11_PB19_Rede_NÓ1.9; INCLUI 4,10 M DE TUBO DESENHADO NO PRÓPRIO NÓ (NÓ54.10: anel de ponta/toco)"/>
        <s v="TRECHO DE Zona11_PB19_Rede_NÓ54.4 A Zona11_PB19_Rede_NÓ1.1; INCLUI 4,00 M DE TUBO DESENHADO NO PRÓPRIO NÓ (NÓ54.4: anel de ponta/toco)"/>
        <s v="TRECHO DE Zona11_PB19_Rede_NÓ54.5 A Zona11_PB24_Rede_NÓ1.1; INCLUI 4,00 M DE TUBO DESENHADO NO PRÓPRIO NÓ (NÓ54.5: anel de ponta/toco)"/>
        <s v="TRECHO DE Zona11_PB19_Rede_NÓ54.7 A PONTA SEM NÓ NA TABELA; INCLUI 4,02 M DE TUBO DESENHADO NO PRÓPRIO NÓ (NÓ54.7: anel de ponta/toco)"/>
        <s v="TRECHO DE Zona11_PB20_CH_VRP-02 A Zona11_PB20_Rede_NÓ2.5"/>
        <s v="TRECHO DE Zona11_PB20_Rede_DF-08 A Zona11_PB20_Rede_NÓ1.2; INCLUI 0,40 M DE TUBO DESENHADO NO PRÓPRIO NÓ (DF-08: anel de ponta/toco)"/>
        <s v="TRECHO DE Zona11_PB20_Rede_NÓ1.1 A Zona11_PB20_CH_VRP-02"/>
        <s v="TRECHO DE Zona11_PB20_Rede_NÓ1.1 A Zona11_PB20_Rede_NÓ1.3"/>
        <s v="TRECHO DE Zona11_PB20_Rede_NÓ1.2 A Zona11_PB20_Rede_NÓ1.3"/>
        <s v="TRECHO DE Zona11_PB20_Rede_NÓ1.2 A Zona11_PB20_Rede_NÓ2.1; INCLUI 0,20 M DE TUBO DESENHADO NO PRÓPRIO NÓ (NÓ1.2: anel de ponta/toco)"/>
        <s v="TRECHO DE Zona11_PB20_Rede_NÓ1.3 A Zona11_PB20_Rede_NÓ54.2; INCLUI 4,00 M DE TUBO DESENHADO NO PRÓPRIO NÓ (NÓ1.3, NÓ54.2: anel de ponta/toco)"/>
        <s v="TRECHO DE Zona11_PB20_Rede_NÓ1.4 A Zona11_PB20_Rede_NÓ106.2"/>
        <s v="TRECHO DE Zona11_PB20_Rede_NÓ1.4 A Zona11_PB20_Rede_NÓ2.4"/>
        <s v="TRECHO DE Zona11_PB20_Rede_NÓ106.1 A Zona11_PB20_Rede_NÓ3.1; INCLUI 0,46 M DE TUBO DESENHADO NO PRÓPRIO NÓ (NÓ106.1: anel de ponta/toco)"/>
        <s v="TRECHO DE Zona11_PB20_Rede_NÓ106.2 A Zona11_PB20_Rede_NÓ2.2"/>
        <s v="TRECHO DE Zona11_PB20_Rede_NÓ2.1 A Zona11_PB20_Rede_NÓ1.1"/>
        <s v="TRECHO DE Zona11_PB20_Rede_NÓ2.2 A Zona11_PB20_Rede_NÓ2.4"/>
        <s v="TRECHO DE Zona11_PB20_Rede_NÓ2.3 A Zona11_PB20_Rede_NÓ1.4"/>
        <s v="TRECHO DE Zona11_PB20_Rede_NÓ2.3 A Zona11_PB20_Rede_NÓ106.1"/>
        <s v="TRECHO DE Zona11_PB20_Rede_NÓ2.5 A Zona11_PB20_Rede_NÓ106.1"/>
        <s v="TRECHO DE Zona11_PB20_Rede_NÓ3.1 A Zona11_PB20_Rede_NÓ106.2; INCLUI 0,42 M DE TUBO DESENHADO NO PRÓPRIO NÓ (NÓ106.2: anel de ponta/toco)"/>
        <s v="TRECHO DE Zona11_PB22_Adutora_NÓ39.1 A Zona11_PB17_Adutora_NÓ39.1"/>
        <s v="TRECHO DE Zona11_PB22_Rede_DF-44 A Zona11_PB22_Rede_NÓ1.4"/>
        <s v="TRECHO DE Zona11_PB22_Rede_NÓ1.4 A Zona11_PB22_Rede_NÓ1.5"/>
        <s v="TRECHO DE Zona11_PB22_Rede_NÓ1.4 A Zona11_PB22_Rede_NÓ54.5; INCLUI 4,49 M DE TUBO DESENHADO NO PRÓPRIO NÓ (NÓ1.4, NÓ54.5: anel de ponta/toco)"/>
        <s v="TRECHO DE Zona11_PB22_Rede_NÓ1.5 A Zona11_PB22_Rede_NÓ1.6"/>
        <s v="TRECHO DE Zona11_PB22_Rede_NÓ1.6 A Zona11_PB22_Rede_NÓ57.1; INCLUI 0,52 M DE TUBO DESENHADO NO PRÓPRIO NÓ (NÓ57.1: anel de ponta/toco)"/>
        <s v="TRECHO DE Zona11_PB22_Rede_NÓ1.7 A Zona11_PB22_Rede_NÓ54.6; INCLUI 3,88 M DE TUBO DESENHADO NO PRÓPRIO NÓ (NÓ54.6: anel de ponta/toco)"/>
        <s v="TRECHO DE Zona11_PB22_Rede_NÓ1.7 A Zona11_PB22_Rede_NÓ93.1"/>
        <s v="TRECHO DE Zona11_PB22_Rede_NÓ1.8 A Zona11_PB22_Rede_NÓ2.10; INCLUI 0,48 M DE TUBO DESENHADO NO PRÓPRIO NÓ (NÓ1.8, NÓ2.10: anel de ponta/toco)"/>
        <s v="TRECHO DE Zona11_PB22_Rede_NÓ1.8 A Zona11_PB22_Rede_NÓ55.1"/>
        <s v="TRECHO DE Zona11_PB22_Rede_NÓ1.9 A Zona11_PB22_Rede_NÓ2.11; INCLUI 0,34 M DE TUBO DESENHADO NO PRÓPRIO NÓ (nó: anel de ponta/toco)"/>
        <s v="TRECHO DE Zona11_PB22_Rede_NÓ1.9 A Zona11_PB22_Rede_NÓ2.12"/>
        <s v="TRECHO DE Zona11_PB22_Rede_NÓ106.1 A Zona11_PB22_Rede_NÓ4.1"/>
        <s v="TRECHO DE Zona11_PB22_Rede_NÓ106.1 A Zona11_PB23_Rede_NÓ1.1"/>
        <s v="TRECHO DE Zona11_PB22_Rede_NÓ2.11 A Zona11_PB22_Rede_NÓ1.8"/>
        <s v="TRECHO DE Zona11_PB22_Rede_NÓ2.12 A Zona11_PB22_Rede_NÓ2.10"/>
        <s v="TRECHO DE Zona11_PB22_Rede_NÓ2.3 A Zona11_PB22_Rede_DF-44"/>
        <s v="TRECHO DE Zona11_PB22_Rede_NÓ2.3 A Zona11_PB22_Rede_NÓ2.4"/>
        <s v="TRECHO DE Zona11_PB22_Rede_NÓ2.4 A Zona11_PB22_Rede_NÓ2.5"/>
        <s v="TRECHO DE Zona11_PB22_Rede_NÓ2.5 A Zona11_PB22_Rede_NÓ2.6"/>
        <s v="TRECHO DE Zona11_PB22_Rede_NÓ2.6 A PONTA SEM NÓ NA TABELA"/>
        <s v="TRECHO DE Zona11_PB22_Rede_NÓ2.7 A Zona11_PB22_Rede_NÓ1.5"/>
        <s v="TRECHO DE Zona11_PB22_Rede_NÓ2.7 A Zona11_PB22_Rede_NÓ2.8"/>
        <s v="TRECHO DE Zona11_PB22_Rede_NÓ2.8 A Zona11_PB22_Rede_NÓ1.6"/>
        <s v="TRECHO DE Zona11_PB22_Rede_NÓ4.1 A Zona11_PB17_Rede_NÓ3.1"/>
        <s v="TRECHO DE Zona11_PB22_Rede_NÓ55.1 A Zona11_PB22_Rede_NÓ93.1"/>
        <s v="TRECHO DE Zona11_PB22_Rede_NÓ55.2 A Zona11_PB22_Rede_NÓ1.9"/>
        <s v="TRECHO DE Zona11_PB22_Rede_NÓ55.2 A Zona11_PB22_Rede_NÓ55.1"/>
        <s v="TRECHO DE Zona11_PB22_Rede_NÓ55.2 A Zona11_PB23_Rede_NÓ11.1; INCLUI 0,14 M DE TUBO DESENHADO NO PRÓPRIO NÓ (nó: anel de ponta/toco)"/>
        <s v="TRECHO DE Zona11_PB22_Rede_NÓ57.1 A Zona11_PB17_Rede_NÓ3.1; INCLUI 1,58 M DE TUBO DESENHADO NO PRÓPRIO NÓ (NÓ3.1, NÓ57.1: anel de ponta/toco)"/>
        <s v="TRECHO DE Zona11_PB22_Rede_NÓ93.1 A Zona11_PB22_Rede_NÓ57.1"/>
        <s v="TRECHO DE Zona11_PB23_Adutora_NÓ39.1 A Zona11_PB23_Adutora_NÓ39.4"/>
        <s v="TRECHO DE Zona11_PB23_Adutora_NÓ39.2 A Zona11_PB23_Adutora_NÓ39.1"/>
        <s v="TRECHO DE Zona11_PB23_Adutora_NÓ39.3 A Zona11_PB22_Adutora_NÓ39.1"/>
        <s v="TRECHO DE Zona11_PB23_Adutora_NÓ39.4 A Zona11_PB23_Adutora_NÓ39.3"/>
        <s v="TRECHO DE Zona11_PB23_CH_VM-11.1 A Zona11_PB23_Rede_NÓ41.1"/>
        <s v="TRECHO DE Zona11_PB23_CH_VM-11.2 A Zona11_PB23_Rede_NÓ11.5"/>
        <s v="TRECHO DE Zona11_PB23_Rede_NÓ1.1 A Zona11_PB23_Rede_NÓ1.2"/>
        <s v="TRECHO DE Zona11_PB23_Rede_NÓ1.1 A Zona11_PB23_Rede_NÓ2.1"/>
        <s v="TRECHO DE Zona11_PB23_Rede_NÓ1.10 A Zona11_PB23_Rede_NÓ1.11"/>
        <s v="TRECHO DE Zona11_PB23_Rede_NÓ1.10 A Zona11_PB23_Rede_NÓ57.4; INCLUI 0,38 M DE TUBO DESENHADO NO PRÓPRIO NÓ (NÓ57.4: anel de ponta/toco)"/>
        <s v="TRECHO DE Zona11_PB23_Rede_NÓ1.11 A Zona11_PB23_Rede_NÓ106.1"/>
        <s v="TRECHO DE Zona11_PB23_Rede_NÓ1.11 A Zona11_PB23_Rede_NÓ57.5; INCLUI 0,50 M DE TUBO DESENHADO NO PRÓPRIO NÓ (NÓ57.5: anel de ponta/toco)"/>
        <s v="TRECHO DE Zona11_PB23_Rede_NÓ1.12 A Zona11_PB18_Rede_NÓ57.3"/>
        <s v="TRECHO DE Zona11_PB23_Rede_NÓ1.2 A Zona11_PB23_Rede_NÓ1.3"/>
        <s v="TRECHO DE Zona11_PB23_Rede_NÓ1.3 A Zona11_PB23_Rede_NÓ81.1"/>
        <s v="TRECHO DE Zona11_PB23_Rede_NÓ1.4 A Zona11_PB18_Rede_NÓ1.5"/>
        <s v="TRECHO DE Zona11_PB23_Rede_NÓ1.6 A Zona11_PB23_Rede_NÓ2.5"/>
        <s v="TRECHO DE Zona11_PB23_Rede_NÓ1.6 A Zona11_PB23_Rede_NÓ2.6"/>
        <s v="TRECHO DE Zona11_PB23_Rede_NÓ1.7 A PONTA SEM NÓ NA TABELA; INCLUI 0,19 M DE TUBO DESENHADO NO PRÓPRIO NÓ (NÓ1.7: anel de ponta/toco)"/>
        <s v="TRECHO DE Zona11_PB23_Rede_NÓ1.7 A Zona11_PB23_Rede_NÓ1.12"/>
        <s v="TRECHO DE Zona11_PB23_Rede_NÓ1.8 A Zona11_PB23_Rede_NÓ2.11"/>
        <s v="TRECHO DE Zona11_PB23_Rede_NÓ1.8 A Zona11_PB23_Rede_NÓ57.3; INCLUI 0,63 M DE TUBO DESENHADO NO PRÓPRIO NÓ (NÓ1.8, NÓ57.3: anel de ponta/toco)"/>
        <s v="TRECHO DE Zona11_PB23_Rede_NÓ1.9 A Zona11_PB23_Rede_NÓ1.10"/>
        <s v="TRECHO DE Zona11_PB23_Rede_NÓ1.9 A Zona11_PB23_Rede_NÓ1.8"/>
        <s v="TRECHO DE Zona11_PB23_Rede_NÓ1.9 A Zona11_PB23_Rede_NÓ105.1"/>
        <s v="TRECHO DE Zona11_PB23_Rede_NÓ10.1 A Zona11_PB23_Rede_NÓ110.1"/>
        <s v="TRECHO DE Zona11_PB23_Rede_NÓ10.1 A Zona11_PB23_Rede_NÓ9.4"/>
        <s v="TRECHO DE Zona11_PB23_Rede_NÓ105.2 A Zona11_PB23_Rede_NÓ57.8"/>
        <s v="TRECHO DE Zona11_PB23_Rede_NÓ106.1 A Zona11_PB23_Rede_NÓ57.6; INCLUI 0,57 M DE TUBO DESENHADO NO PRÓPRIO NÓ (NÓ57.6: anel de ponta/toco)"/>
        <s v="TRECHO DE Zona11_PB23_Rede_NÓ11.1 A Zona11_PB23_Rede_NÓ81.2"/>
        <s v="TRECHO DE Zona11_PB23_Rede_NÓ11.2 A Zona11_PB23_Rede_NÓ9.2"/>
        <s v="TRECHO DE Zona11_PB23_Rede_NÓ11.3 A Zona11_PB23_Rede_NÓ11.2"/>
        <s v="TRECHO DE Zona11_PB23_Rede_NÓ11.3 A Zona11_PB23_Rede_NÓ9.2"/>
        <s v="TRECHO DE Zona11_PB23_Rede_NÓ11.4 A Zona11_PB23_Rede_NÓ83.1; INCLUI 1,48 M DE TUBO DESENHADO NO PRÓPRIO NÓ (NÓ83.1: anel de ponta/toco)"/>
        <s v="TRECHO DE Zona11_PB23_Rede_NÓ11.4 A Zona11_PB23_Rede_NÓ9.4; INCLUI 0,02 M DE TUBO DESENHADO NO PRÓPRIO NÓ (NÓ11.4: anel de ponta/toco)"/>
        <s v="TRECHO DE Zona11_PB23_Rede_NÓ11.4 A Zona11_PB23_Rede_NÓ9.5"/>
        <s v="TRECHO DE Zona11_PB23_Rede_NÓ11.5 A PONTA SEM NÓ NA TABELA"/>
        <s v="TRECHO DE Zona11_PB23_Rede_NÓ110.1 A Zona11_PB18_Rede_NÓ2.10"/>
        <s v="TRECHO DE Zona11_PB23_Rede_NÓ2.1 A Zona11_PB23_Rede_NÓ1.4"/>
        <s v="TRECHO DE Zona11_PB23_Rede_NÓ2.10 A Zona11_PB23_Rede_NÓ110.1"/>
        <s v="TRECHO DE Zona11_PB23_Rede_NÓ2.11 A Zona11_PB23_Rede_NÓ2.12"/>
        <s v="TRECHO DE Zona11_PB23_Rede_NÓ2.12 A Zona11_PB23_Rede_NÓ1.7"/>
        <s v="TRECHO DE Zona11_PB23_Rede_NÓ2.2 A Zona11_PB23_Rede_NÓ2.3"/>
        <s v="TRECHO DE Zona11_PB23_Rede_NÓ2.3 A Zona11_PB23_Rede_NÓ2.4"/>
        <s v="TRECHO DE Zona11_PB23_Rede_NÓ2.4 A Zona11_PB23_Rede_NÓ1.5"/>
        <s v="TRECHO DE Zona11_PB23_Rede_NÓ2.5 A Zona11_PB23_Rede_NÓ1.5"/>
        <s v="TRECHO DE Zona11_PB23_Rede_NÓ2.7 A Zona11_PB23_Rede_NÓ2.6; INCLUI 1,29 M DE TUBO DESENHADO NO PRÓPRIO NÓ (NÓ2.6: anel de ponta/toco)"/>
        <s v="TRECHO DE Zona11_PB23_Rede_NÓ2.7 A Zona11_PB23_Rede_NÓ2.8"/>
        <s v="TRECHO DE Zona11_PB23_Rede_NÓ2.8 A Zona11_PB23_Rede_NÓ2.9"/>
        <s v="TRECHO DE Zona11_PB23_Rede_NÓ2.9 A Zona11_PB23_Rede_NÓ2.10; INCLUI 1,11 M DE TUBO DESENHADO NO PRÓPRIO NÓ (NÓ2.10: anel de ponta/toco)"/>
        <s v="TRECHO DE Zona11_PB23_Rede_NÓ3.1 A Zona11_PB23_Rede_NÓ105.2"/>
        <s v="TRECHO DE Zona11_PB23_Rede_NÓ3.1 A Zona11_PB23_Rede_NÓ4.1"/>
        <s v="TRECHO DE Zona11_PB23_Rede_NÓ4.1 A Zona11_PB23_Rede_NÓ105.1"/>
        <s v="TRECHO DE Zona11_PB23_Rede_NÓ41.1 A Zona11_PB23_Rede_NÓ11.3"/>
        <s v="TRECHO DE Zona11_PB23_Rede_NÓ54.1 A Zona11_PB23_Rede_NÓ57.2; INCLUI 4,79 M DE TUBO DESENHADO NO PRÓPRIO NÓ (NÓ54.1, NÓ57.2: anel de ponta/toco)"/>
        <s v="TRECHO DE Zona11_PB23_Rede_NÓ54.2 A Zona11_PB23_Rede_NÓ57.1; INCLUI 4,00 M DE TUBO DESENHADO NO PRÓPRIO NÓ (NÓ54.2: anel de ponta/toco)"/>
        <s v="TRECHO DE Zona11_PB23_Rede_NÓ54.4 A Zona11_PB23_Rede_NÓ1.2; INCLUI 3,96 M DE TUBO DESENHADO NO PRÓPRIO NÓ (NÓ54.4: anel de ponta/toco)"/>
        <s v="TRECHO DE Zona11_PB23_Rede_NÓ54.5 A Zona11_PB23_Rede_NÓ1.3; INCLUI 4,11 M DE TUBO DESENHADO NO PRÓPRIO NÓ (NÓ54.5: anel de ponta/toco)"/>
        <s v="TRECHO DE Zona11_PB23_Rede_NÓ57.1 A Zona11_PB23_Rede_NÓ106.1; INCLUI 0,38 M DE TUBO DESENHADO NO PRÓPRIO NÓ (NÓ106.1: anel de ponta/toco)"/>
        <s v="TRECHO DE Zona11_PB23_Rede_NÓ57.1 A Zona11_PB23_Rede_NÓ57.2"/>
        <s v="TRECHO DE Zona11_PB23_Rede_NÓ57.2 A Zona11_PB23_Rede_NÓ83.1"/>
        <s v="TRECHO DE Zona11_PB23_Rede_NÓ57.3 A Zona11_PB23_Rede_NÓ105.1"/>
        <s v="TRECHO DE Zona11_PB23_Rede_NÓ57.4 A Zona11_PB23_Rede_NÓ3.1"/>
        <s v="TRECHO DE Zona11_PB23_Rede_NÓ57.5 A Zona11_PB23_Rede_NÓ57.4; INCLUI 0,08 M DE TUBO DESENHADO NO PRÓPRIO NÓ (NÓ57.4: anel de ponta/toco)"/>
        <s v="TRECHO DE Zona11_PB23_Rede_NÓ57.6 A Zona11_PB23_Rede_NÓ57.5"/>
        <s v="TRECHO DE Zona11_PB23_Rede_NÓ57.7 A Zona11_PB23_Rede_NÓ54.3; INCLUI 4,41 M DE TUBO DESENHADO NO PRÓPRIO NÓ (NÓ54.3, NÓ57.7: anel de ponta/toco)"/>
        <s v="TRECHO DE Zona11_PB23_Rede_NÓ57.7 A Zona11_PB23_Rede_NÓ57.6"/>
        <s v="TRECHO DE Zona11_PB23_Rede_NÓ57.8 A Zona11_PB23_Rede_NÓ57.9"/>
        <s v="TRECHO DE Zona11_PB23_Rede_NÓ60.1 A Zona11_PB23_Rede_NÓ57.7; INCLUI 0,43 M DE TUBO DESENHADO NO PRÓPRIO NÓ (NÓ60.1: anel de ponta/toco)"/>
        <s v="TRECHO DE Zona11_PB23_Rede_NÓ60.1 A Zona11_PB24_Rede_NÓ60.1"/>
        <s v="TRECHO DE Zona11_PB23_Rede_NÓ79.1 A Zona11_PB23_CH_VM-11.1"/>
        <s v="TRECHO DE Zona11_PB23_Rede_NÓ79.1 A Zona11_PB23_Rede_NÓ9.1"/>
        <s v="TRECHO DE Zona11_PB23_Rede_NÓ81.1 A Zona11_PB23_CH_VM-11.2"/>
        <s v="TRECHO DE Zona11_PB23_Rede_NÓ81.1 A Zona11_PB23_Rede_NÓ81.2"/>
        <s v="TRECHO DE Zona11_PB23_Rede_NÓ81.2 A Zona11_PB22_Rede_NÓ106.1"/>
        <s v="TRECHO DE Zona11_PB23_Rede_NÓ83.1 A Zona11_PB23_Rede_NÓ9.6"/>
        <s v="TRECHO DE Zona11_PB23_Rede_NÓ9.1 A Zona11_PB23_Rede_NÓ9.3"/>
        <s v="TRECHO DE Zona11_PB23_Rede_NÓ9.2 A Zona11_PB23_Rede_NÓ10.1"/>
        <s v="TRECHO DE Zona11_PB23_Rede_NÓ9.2 A Zona11_PB23_Rede_NÓ9.4"/>
        <s v="TRECHO DE Zona11_PB23_Rede_NÓ9.3 A Zona11_PB23_Rede_NÓ11.3"/>
        <s v="TRECHO DE Zona11_PB23_Rede_NÓ9.4 A Zona11_PB23_Rede_NÓ11.4"/>
        <s v="TRECHO DE Zona11_PB23_Rede_NÓ9.5 A Zona11_PB23_Rede_NÓ9.6"/>
        <s v="TRECHO DE Zona11_PB23_Rede_NÓ9.6 A Zona11_PB23_Rede_NÓ9.7"/>
        <s v="TRECHO DE Zona11_PB23_Rede_NÓ9.6 A Zona11_PB23_Rede_NÓ9.8"/>
        <s v="TRECHO DE Zona11_PB23_Rede_NÓ9.7 A Zona11_PB24_Rede_NÓ60.1; INCLUI 1,50 M DE TUBO DESENHADO NO PRÓPRIO NÓ (NÓ9.7: anel de ponta/toco)"/>
        <s v="TRECHO DE Zona11_PB23_Rede_NÓ9.8 A Zona11_PB23_Rede_NÓ60.1; INCLUI 1,14 M DE TUBO DESENHADO NO PRÓPRIO NÓ (NÓ60.1: anel de ponta/toco)"/>
        <s v="TRECHO DE Zona11_PB24_Rede_NÓ1.1 A Zona11_PB24_Rede_NÓ2.3"/>
        <s v="TRECHO DE Zona11_PB24_Rede_NÓ1.2 A Zona11_PB24_Rede_NÓ106.1"/>
        <s v="TRECHO DE Zona11_PB24_Rede_NÓ1.3 A Zona11_PB19_Rede_NÓ1.7"/>
        <s v="TRECHO DE Zona11_PB24_Rede_NÓ1.3 A Zona11_PB24_Rede_NÓ1.2"/>
        <s v="TRECHO DE Zona11_PB24_Rede_NÓ1.4 A Zona11_PB24_Rede_NÓ1.3"/>
        <s v="TRECHO DE Zona11_PB24_Rede_NÓ1.4 A Zona11_PB24_Rede_NÓ106.1"/>
        <s v="TRECHO DE Zona11_PB24_Rede_NÓ1.5 A Zona11_PB24_Rede_NÓ1.4"/>
        <s v="TRECHO DE Zona11_PB24_Rede_NÓ1.5 A Zona11_PB24_Rede_NÓ57.3"/>
        <s v="TRECHO DE Zona11_PB24_Rede_NÓ1.6 A Zona11_PB24_Rede_NÓ1.5"/>
        <s v="TRECHO DE Zona11_PB24_Rede_NÓ1.6 A Zona11_PB24_Rede_NÓ57.4"/>
        <s v="TRECHO DE Zona11_PB24_Rede_NÓ1.6 A Zona11_PB24_Rede_NÓ57.5; INCLUI 0,37 M DE TUBO DESENHADO NO PRÓPRIO NÓ (NÓ57.5: anel de ponta/toco)"/>
        <s v="TRECHO DE Zona11_PB24_Rede_NÓ106.1 A Zona11_PB24_Rede_NÓ57.3"/>
        <s v="TRECHO DE Zona11_PB24_Rede_NÓ2.1 A Zona11_PB24_Rede_NÓ2.2"/>
        <s v="TRECHO DE Zona11_PB24_Rede_NÓ2.2 A Zona11_PB24_Rede_NÓ65.1; INCLUI 0,62 M DE TUBO DESENHADO NO PRÓPRIO NÓ (NÓ65.1: anel de ponta/toco)"/>
        <s v="TRECHO DE Zona11_PB24_Rede_NÓ2.3 A Zona11_PB24_Rede_NÓ57.2"/>
        <s v="TRECHO DE Zona11_PB24_Rede_NÓ4.1 A Zona11_PB19_Rede_NÓ4.1"/>
        <s v="TRECHO DE Zona11_PB24_Rede_NÓ54.1 A Zona11_PB23_Rede_NÓ57.8; INCLUI 4,01 M DE TUBO DESENHADO NO PRÓPRIO NÓ (NÓ54.1: anel de ponta/toco)"/>
        <s v="TRECHO DE Zona11_PB24_Rede_NÓ54.2 A Zona11_PB23_Rede_NÓ57.9; INCLUI 4,37 M DE TUBO DESENHADO NO PRÓPRIO NÓ (NÓ57.9, NÓ54.2: anel de ponta/toco)"/>
        <s v="TRECHO DE Zona11_PB24_Rede_NÓ54.3 A Zona11_PB24_Rede_NÓ2.1; INCLUI 4,00 M DE TUBO DESENHADO NO PRÓPRIO NÓ (NÓ54.3: anel de ponta/toco)"/>
        <s v="TRECHO DE Zona11_PB24_Rede_NÓ54.5 A Zona11_PB24_Rede_NÓ57.7; INCLUI 4,41 M DE TUBO DESENHADO NO PRÓPRIO NÓ (NÓ54.5, NÓ57.7: anel de ponta/toco)"/>
        <s v="TRECHO DE Zona11_PB24_Rede_NÓ54.6 A Zona11_PB23_Rede_NÓ105.2; INCLUI 4,37 M DE TUBO DESENHADO NO PRÓPRIO NÓ (NÓ105.2, NÓ54.6: anel de ponta/toco)"/>
        <s v="TRECHO DE Zona11_PB24_Rede_NÓ57.1 A Zona11_PB24_Rede_NÓ1.1"/>
        <s v="TRECHO DE Zona11_PB24_Rede_NÓ57.1 A Zona11_PB24_Rede_NÓ57.2"/>
        <s v="TRECHO DE Zona11_PB24_Rede_NÓ57.2 A Zona11_PB24_Rede_NÓ60.2; INCLUI 1,65 M DE TUBO DESENHADO NO PRÓPRIO NÓ (NÓ57.2, NÓ60.2: anel de ponta/toco)"/>
        <s v="TRECHO DE Zona11_PB24_Rede_NÓ57.3 A Zona11_PB24_Rede_NÓ57.4"/>
        <s v="TRECHO DE Zona11_PB24_Rede_NÓ57.4 A Zona11_PB24_Rede_NÓ102.1; INCLUI 0,34 M DE TUBO DESENHADO NO PRÓPRIO NÓ (nó: anel de ponta/toco)"/>
        <s v="TRECHO DE Zona11_PB24_Rede_NÓ57.5 A Zona11_PB24_Rede_NÓ102.1; INCLUI 0,16 M DE TUBO DESENHADO NO PRÓPRIO NÓ (NÓ57.5: anel de ponta/toco)"/>
        <s v="TRECHO DE Zona11_PB24_Rede_NÓ57.5 A Zona11_PB24_Rede_NÓ4.1"/>
        <s v="TRECHO DE Zona11_PB24_Rede_NÓ57.6 A Zona11_PB23_Rede_NÓ57.9"/>
        <s v="TRECHO DE Zona11_PB24_Rede_NÓ57.6 A Zona11_PB24_Rede_NÓ54.4; INCLUI 4,35 M DE TUBO DESENHADO NO PRÓPRIO NÓ (NÓ54.4, NÓ57.6: anel de ponta/toco)"/>
        <s v="TRECHO DE Zona11_PB24_Rede_NÓ57.7 A Zona11_PB24_Rede_NÓ57.6"/>
        <s v="TRECHO DE Zona11_PB24_Rede_NÓ60.1 A Zona11_PB24_Rede_NÓ57.7; INCLUI 1,57 M DE TUBO DESENHADO NO PRÓPRIO NÓ (NÓ57.7, NÓ60.1: anel de ponta/toco)"/>
        <s v="TRECHO DE Zona11_PB24_Rede_NÓ60.1 A Zona11_PB24_Rede_NÓ65.1"/>
        <s v="TRECHO DE Zona11_PB24_Rede_NÓ60.1 A Zona11_PB24_Rede_NÓ65.1; INCLUI 0,36 M DE TUBO DESENHADO NO PRÓPRIO NÓ (nó: anel de ponta/toco)"/>
        <s v="TRECHO DE Zona11_PB24_Rede_NÓ60.2 A Zona11_PB24_CH_VM-11.3; INCLUI 0,36 M DE TUBO DESENHADO NO PRÓPRIO NÓ (NÓ60.2: anel de ponta/toco)"/>
        <s v="TRECHO DE Zona11_PB24_Rede_NÓ60.2 A Zona11_PB24_Rede_NÓ102.1"/>
        <s v="TRECHO DE Zona11_PB24_Rede_NÓ65.1 A Zona11_PB24_Rede_NÓ9.2"/>
        <s v="TRECHO DE Zona11_PB24_Rede_NÓ9.1 A Zona11_PB24_CH_VM-11.3"/>
        <s v="TRECHO DE Zona11_PB24_Rede_NÓ9.2 A Zona11_PB24_Rede_NÓ9.1"/>
      </sharedItems>
    </cacheField>
    <cacheField name="CÓDIGO BM" numFmtId="0">
      <sharedItems count="11">
        <s v="5.8.35"/>
        <s v="5.8.36"/>
        <s v="5.8.37"/>
        <s v="5.8.38"/>
        <s v="5.8.39"/>
        <s v="5.8.40"/>
        <s v="5.8.41"/>
        <s v="5.8.42"/>
        <s v="5.8.43"/>
        <s v="5.8.44"/>
        <s v="5.8.45"/>
      </sharedItems>
    </cacheField>
    <cacheField name="AGRUPAMENTO" numFmtId="0">
      <sharedItems count="69">
        <s v="TUBO PEADPEAD110VCAREDESZona01"/>
        <s v="TUBO PEADPEAD110VCAREDESZona02"/>
        <s v="TUBO PEADPEAD110VCAREDESZona03"/>
        <s v="TUBO PEADPEAD110VCAREDESZona04"/>
        <s v="TUBO PEADPEAD110VCAREDESZona05"/>
        <s v="TUBO PEADPEAD110VCAREDESZona06"/>
        <s v="TUBO PEADPEAD110VCAREDESZona07"/>
        <s v="TUBO PEADPEAD110VCAREDESZona08"/>
        <s v="TUBO PEADPEAD110VCAREDESZona09"/>
        <s v="TUBO PEADPEAD110VCAREDESZona10"/>
        <s v="TUBO PEADPEAD110VCAREDESZona11"/>
        <s v="TUBO PEADPEAD125VCAREDESZona03"/>
        <s v="TUBO PEADPEAD125VCAREDESZona04"/>
        <s v="TUBO PEADPEAD125VCAREDESZona07"/>
        <s v="TUBO PEADPEAD160VCAREDESZona01"/>
        <s v="TUBO PEADPEAD160VCAREDESZona02"/>
        <s v="TUBO PEADPEAD160VCAREDESZona03"/>
        <s v="TUBO PEADPEAD160VCAREDESZona04"/>
        <s v="TUBO PEADPEAD160VCAREDESZona05"/>
        <s v="TUBO PEADPEAD160VCAREDESZona06"/>
        <s v="TUBO PEADPEAD160VCAREDESZona07"/>
        <s v="TUBO PEADPEAD160VCAREDESZona08"/>
        <s v="TUBO PEADPEAD160VCAREDESZona09"/>
        <s v="TUBO PEADPEAD160VCAREDESZona10"/>
        <s v="TUBO PEADPEAD160VCAREDESZona11"/>
        <s v="TUBO PEADPEAD225VCAREDESZona01"/>
        <s v="TUBO PEADPEAD225VCAREDESZona02"/>
        <s v="TUBO PEADPEAD225VCAREDESZona03"/>
        <s v="TUBO PEADPEAD225VCAREDESZona04"/>
        <s v="TUBO PEADPEAD225VCAREDESZona05"/>
        <s v="TUBO PEADPEAD225VCAREDESZona06"/>
        <s v="TUBO PEADPEAD225VCAREDESZona09"/>
        <s v="TUBO PEADPEAD225VCAREDESZona10"/>
        <s v="TUBO PEADPEAD225VCAREDESZona11"/>
        <s v="TUBO PEADPEAD250VCAREDESZona02"/>
        <s v="TUBO PEADPEAD250VCAREDESZona03"/>
        <s v="TUBO PEADPEAD250VCAREDESZona04"/>
        <s v="TUBO PEADPEAD250VCAREDESZona05"/>
        <s v="TUBO PEADPEAD250VCAREDESZona08"/>
        <s v="TUBO PEADPEAD250VCAREDESZona09"/>
        <s v="TUBO PEADPEAD250VCAREDESZona10"/>
        <s v="TUBO PEADPEAD280VCAREDESADUTORA"/>
        <s v="TUBO PEADPEAD315VCAREDESADUTORA"/>
        <s v="TUBO PEADPEAD355VCAREDESADUTORA"/>
        <s v="TUBO PEADPEAD400VCAREDESADUTORA"/>
        <s v="TUBO PEADPEAD500VCAREDESADUTORA"/>
        <s v="TUBO PEADPEAD63MNDREDESZona02"/>
        <s v="TUBO PEADPEAD63MNDREDESZona09"/>
        <s v="TUBO PEADPEAD63VCAREDESZona01"/>
        <s v="TUBO PEADPEAD63VCAREDESZona02"/>
        <s v="TUBO PEADPEAD63VCAREDESZona03"/>
        <s v="TUBO PEADPEAD63VCAREDESZona04"/>
        <s v="TUBO PEADPEAD63VCAREDESZona05"/>
        <s v="TUBO PEADPEAD63VCAREDESZona06"/>
        <s v="TUBO PEADPEAD63VCAREDESZona07"/>
        <s v="TUBO PEADPEAD63VCAREDESZona08"/>
        <s v="TUBO PEADPEAD63VCAREDESZona09"/>
        <s v="TUBO PEADPEAD63VCAREDESZona10"/>
        <s v="TUBO PEADPEAD63VCAREDESZona11"/>
        <s v="TUBO PEADPEAD90VCAREDESZona01"/>
        <s v="TUBO PEADPEAD90VCAREDESZona02"/>
        <s v="TUBO PEADPEAD90VCAREDESZona03"/>
        <s v="TUBO PEADPEAD90VCAREDESZona04"/>
        <s v="TUBO PEADPEAD90VCAREDESZona05"/>
        <s v="TUBO PEADPEAD90VCAREDESZona07"/>
        <s v="TUBO PEADPEAD90VCAREDESZona08"/>
        <s v="TUBO PEADPEAD90VCAREDESZona09"/>
        <s v="TUBO PEADPEAD90VCAREDESZona10"/>
        <s v="TUBO PEADPEAD90VCAREDESZona11"/>
      </sharedItems>
    </cacheField>
    <cacheField name="RECOB." numFmtId="0">
      <sharedItems containsSemiMixedTypes="0" containsString="0" containsNumber="1" minValue="0" maxValue="1.2" count="2">
        <n v="0"/>
        <n v="1.2"/>
      </sharedItems>
    </cacheField>
    <cacheField name="PROF." numFmtId="0">
      <sharedItems containsSemiMixedTypes="0" containsString="0" containsNumber="1" minValue="0" maxValue="1.8" count="13">
        <n v="0"/>
        <n v="1.363"/>
        <n v="1.39"/>
        <n v="1.41"/>
        <n v="1.425"/>
        <n v="1.46"/>
        <n v="1.525"/>
        <n v="1.55"/>
        <n v="1.58"/>
        <n v="1.615"/>
        <n v="1.655"/>
        <n v="1.7"/>
        <n v="1.8"/>
      </sharedItems>
    </cacheField>
    <cacheField name="LARG." numFmtId="0">
      <sharedItems containsSemiMixedTypes="0" containsString="0" containsNumber="1" minValue="0" maxValue="1.2" count="8">
        <n v="0"/>
        <n v="0.65"/>
        <n v="0.75"/>
        <n v="0.8"/>
        <n v="0.85"/>
        <n v="0.9"/>
        <n v="1"/>
        <n v="1.2"/>
      </sharedItems>
    </cacheField>
    <cacheField name="LASTRO" numFmtId="0">
      <sharedItems containsSemiMixedTypes="0" containsString="0" containsNumber="1" minValue="0" maxValue="0.1" count="2">
        <n v="0"/>
        <n v="0.1"/>
      </sharedItems>
    </cacheField>
    <cacheField name="VOL. TUBO" numFmtId="0">
      <sharedItems containsSemiMixedTypes="0" containsString="0" containsNumber="1" minValue="0.00183917473320944" maxValue="105.938431269865" count="1408">
        <n v="0.00183917473320944"/>
        <n v="0.00187034718631468"/>
        <n v="0.00205738190494615"/>
        <n v="0.0020885543580514"/>
        <n v="0.00221324417047238"/>
        <n v="0.00227558907668286"/>
        <n v="0.00240027888910384"/>
        <n v="0.00246262379531433"/>
        <n v="0.00299255549810349"/>
        <n v="0.00352248720089265"/>
        <n v="0.00380303927883986"/>
        <n v="0.00408359135678706"/>
        <n v="0.00436414343473426"/>
        <n v="0.00567338646515454"/>
        <n v="0.00579807627757552"/>
        <n v="0.00601628344931223"/>
        <n v="0.00610980080862797"/>
        <n v="0.0062033181679437"/>
        <n v="0.00623449062104894"/>
        <n v="0.00725236664081204"/>
        <n v="0.00769959591699545"/>
        <n v="0.00788663063562691"/>
        <n v="0.00835421743220559"/>
        <n v="0.00863476951015279"/>
        <n v="0.00910235630673146"/>
        <n v="0.00988166763436258"/>
        <n v="0.00998790844392535"/>
        <n v="0.0100375298998888"/>
        <n v="0.0101622197123098"/>
        <n v="0.010318081977836"/>
        <n v="0.0107544963213094"/>
        <n v="0.0111597382116776"/>
        <n v="0.0111909106647829"/>
        <n v="0.0117055742272756"/>
        <n v="0.0117520148206773"/>
        <n v="0.0118767046330982"/>
        <n v="0.0121572567110454"/>
        <n v="0.0126248435076241"/>
        <n v="0.0130924303042028"/>
        <n v="0.0132096117101817"/>
        <n v="0.0135911895538867"/>
        <n v="0.0138405691787287"/>
        <n v="0.0147133978656755"/>
        <n v="0.0152121571153594"/>
        <n v="0.0158667786305696"/>
        <n v="0.0159602959898853"/>
        <n v="0.0163343654271482"/>
        <n v="0.0163655378802535"/>
        <n v="0.0166772624113059"/>
        <n v="0.0173318839265161"/>
        <n v="0.0176747809106738"/>
        <n v="0.0177994707230947"/>
        <n v="0.0180176778948315"/>
        <n v="0.0180488503479367"/>
        <n v="0.0180955736846772"/>
        <n v="0.0185164371445154"/>
        <n v="0.0187034718631468"/>
        <n v="0.0191398862066203"/>
        <n v="0.0193396443754988"/>
        <n v="0.0193892658314622"/>
        <n v="0.0195304961292043"/>
        <n v="0.0209790609398297"/>
        <n v="0.0212284405646717"/>
        <n v="0.0218830620798818"/>
        <n v="0.0238469266255122"/>
        <n v="0.0246574104062486"/>
        <n v="0.02484444512488"/>
        <n v="0.0250626522966168"/>
        <n v="0.0252496870152482"/>
        <n v="0.0257796187180374"/>
        <n v="0.0260601707959846"/>
        <n v="0.0261225157021951"/>
        <n v="0.0265901024987737"/>
        <n v="0.0277123108105626"/>
        <n v="0.028148725154036"/>
        <n v="0.028309676799661"/>
        <n v="0.0286913803070722"/>
        <n v="0.0295553182868094"/>
        <n v="0.030159289474462"/>
        <n v="0.0308607285741923"/>
        <n v="0.0328814795087976"/>
        <n v="0.0330116278384542"/>
        <n v="0.0333233523695066"/>
        <n v="0.0340714912440325"/>
        <n v="0.0343208708688744"/>
        <n v="0.0344970435309061"/>
        <n v="0.0347884576654531"/>
        <n v="0.0349131474778741"/>
        <n v="0.0361600456020839"/>
        <n v="0.0365964599455573"/>
        <n v="0.0375316335387146"/>
        <n v="0.0375939784449251"/>
        <n v="0.0385603244911877"/>
        <n v="0.0388049524571411"/>
        <n v="0.0388720490222402"/>
        <n v="0.0389032214753454"/>
        <n v="0.0390060143869709"/>
        <n v="0.0396825328029765"/>
        <n v="0.0398102621062899"/>
        <n v="0.0398383950685028"/>
        <n v="0.0401501195995552"/>
        <n v="0.0402123859659494"/>
        <n v="0.0410229482865021"/>
        <n v="0.0412176956150981"/>
        <n v="0.0414344655081958"/>
        <n v="0.0417087422548174"/>
        <n v="0.0423690893226387"/>
        <n v="0.0432361924569744"/>
        <n v="0.0442776068596945"/>
        <n v="0.044451918128079"/>
        <n v="0.0448571600184472"/>
        <n v="0.0451688845494996"/>
        <n v="0.0452624019088153"/>
        <n v="0.0452935743619206"/>
        <n v="0.0454182641743416"/>
        <n v="0.0456364713460783"/>
        <n v="0.045854678517815"/>
        <n v="0.0461975755019727"/>
        <n v="0.0474444736261825"/>
        <n v="0.0475379909854982"/>
        <n v="0.0475691634386034"/>
        <n v="0.047860200582032"/>
        <n v="0.0479432328758664"/>
        <n v="0.0486290268441818"/>
        <n v="0.0486569870187987"/>
        <n v="0.0490966136407604"/>
        <n v="0.0499395422196267"/>
        <n v="0.0500691329165873"/>
        <n v="0.0502654824574367"/>
        <n v="0.0504665443872664"/>
        <n v="0.0507029492344491"/>
        <n v="0.051839789514022"/>
        <n v="0.0520579966857587"/>
        <n v="0.0522450314043902"/>
        <n v="0.053117860091337"/>
        <n v="0.0536166193410209"/>
        <n v="0.0538971714189681"/>
        <n v="0.0546141378403888"/>
        <n v="0.0550817246369674"/>
        <n v="0.0558952164926696"/>
        <n v="0.0559195638357349"/>
        <n v="0.0559545533239143"/>
        <n v="0.0562973403523291"/>
        <n v="0.0566403472922297"/>
        <n v="0.0574950725515102"/>
        <n v="0.05757361236785"/>
        <n v="0.0579184178695447"/>
        <n v="0.0579495903226499"/>
        <n v="0.0584171771192286"/>
        <n v="0.0587289016502811"/>
        <n v="0.0587600741033863"/>
        <n v="0.0589205702180766"/>
        <n v="0.0591341435406492"/>
        <n v="0.0597153931594348"/>
        <n v="0.0600387808532137"/>
        <n v="0.0601175170190943"/>
        <n v="0.0605369039303852"/>
        <n v="0.0607207028085835"/>
        <n v="0.0612316043138736"/>
        <n v="0.0613785601642269"/>
        <n v="0.0618149745077003"/>
        <n v="0.0621266990387527"/>
        <n v="0.0628124930070681"/>
        <n v="0.0634671145222783"/>
        <n v="0.0651192545368562"/>
        <n v="0.0656803586927506"/>
        <n v="0.0657115311458559"/>
        <n v="0.0662102903955398"/>
        <n v="0.0665514987736462"/>
        <n v="0.0668025670045395"/>
        <n v="0.0671766364418024"/>
        <n v="0.0673636711604339"/>
        <n v="0.0675195334259601"/>
        <n v="0.0683611896598017"/>
        <n v="0.0686417417377489"/>
        <n v="0.0687040866439594"/>
        <n v="0.0687976040032751"/>
        <n v="0.0696080877840115"/>
        <n v="0.0697684896509221"/>
        <n v="0.0700722423906161"/>
        <n v="0.0708861583613265"/>
        <n v="0.0716031247827471"/>
        <n v="0.0718525044075891"/>
        <n v="0.0722577462979573"/>
        <n v="0.0727565055476412"/>
        <n v="0.0728188504538517"/>
        <n v="0.0728500229069569"/>
        <n v="0.0735083593554799"/>
        <n v="0.0741592659373772"/>
        <n v="0.0743774731091139"/>
        <n v="0.0758003475458145"/>
        <n v="0.0759360957643761"/>
        <n v="0.0763413376547443"/>
        <n v="0.0766045952651335"/>
        <n v="0.0771041084970543"/>
        <n v="0.0771206489823754"/>
        <n v="0.0783987195596905"/>
        <n v="0.0784141526336012"/>
        <n v="0.0786480991845324"/>
        <n v="0.0787727889969534"/>
        <n v="0.0788162764932607"/>
        <n v="0.0789286512624796"/>
        <n v="0.0804872739177419"/>
        <n v="0.081391275057794"/>
        <n v="0.0816094822295307"/>
        <n v="0.0818276894012674"/>
        <n v="0.0827316905413195"/>
        <n v="0.0833863120565296"/>
        <n v="0.083947416212424"/>
        <n v="0.0847578999931604"/>
        <n v="0.08535017660216"/>
        <n v="0.0855060388676863"/>
        <n v="0.0856930735863177"/>
        <n v="0.0862853501953174"/>
        <n v="0.0865659022732646"/>
        <n v="0.0865970747263699"/>
        <n v="0.0868587536864506"/>
        <n v="0.0876630014057696"/>
        <n v="0.0881245249285268"/>
        <n v="0.0885921117251055"/>
        <n v="0.0886683110549183"/>
        <n v="0.0891843883341052"/>
        <n v="0.0894649404120524"/>
        <n v="0.0898746826338968"/>
        <n v="0.0902442517396835"/>
        <n v="0.0912105977859461"/>
        <n v="0.0913664600514723"/>
        <n v="0.0919899091135772"/>
        <n v="0.092086363862024"/>
        <n v="0.0923951510039454"/>
        <n v="0.0934238419564184"/>
        <n v="0.0938602562998919"/>
        <n v="0.094499107019981"/>
        <n v="0.0948889472523649"/>
        <n v="0.0959799831110485"/>
        <n v="0.0971021914228373"/>
        <n v="0.0981182217569164"/>
        <n v="0.0981308823753104"/>
        <n v="0.098174770424681"/>
        <n v="0.0990037110622573"/>
        <n v="0.0995648152181517"/>
        <n v="0.0996473919810512"/>
        <n v="0.100515256951605"/>
        <n v="0.100562333717519"/>
        <n v="0.101061092967203"/>
        <n v="0.101310472592045"/>
        <n v="0.101341645045151"/>
        <n v="0.101559852216887"/>
        <n v="0.101610887389545"/>
        <n v="0.101660367473839"/>
        <n v="0.101684542029308"/>
        <n v="0.102027439013466"/>
        <n v="0.102139460353511"/>
        <n v="0.102152128825887"/>
        <n v="0.102276818638308"/>
        <n v="0.10294370807283"/>
        <n v="0.103648406574939"/>
        <n v="0.103747955792149"/>
        <n v="0.103949017721979"/>
        <n v="0.104173248897629"/>
        <n v="0.10449006280878"/>
        <n v="0.104552407714991"/>
        <n v="0.104895304699148"/>
        <n v="0.105923995651622"/>
        <n v="0.105986340557832"/>
        <n v="0.106547444713726"/>
        <n v="0.107170893775831"/>
        <n v="0.107919032650357"/>
        <n v="0.108324274540725"/>
        <n v="0.108448964353146"/>
        <n v="0.108791861337304"/>
        <n v="0.110137366200928"/>
        <n v="0.11019462172704"/>
        <n v="0.110382999476531"/>
        <n v="0.112376693444407"/>
        <n v="0.112594680704658"/>
        <n v="0.11268841797546"/>
        <n v="0.112906625147196"/>
        <n v="0.113156004772038"/>
        <n v="0.114153523271406"/>
        <n v="0.114215868177617"/>
        <n v="0.115088696864564"/>
        <n v="0.115151041770774"/>
        <n v="0.115369248942511"/>
        <n v="0.115431593848721"/>
        <n v="0.115910631750522"/>
        <n v="0.116584974613615"/>
        <n v="0.116959044050878"/>
        <n v="0.117488975753667"/>
        <n v="0.11780070028472"/>
        <n v="0.118050079909562"/>
        <n v="0.118205942175088"/>
        <n v="0.118237114628193"/>
        <n v="0.119515185205508"/>
        <n v="0.119671047471034"/>
        <n v="0.119920427095876"/>
        <n v="0.119951599548982"/>
        <n v="0.119982772002087"/>
        <n v="0.120071671220202"/>
        <n v="0.120491073839456"/>
        <n v="0.120754967622358"/>
        <n v="0.12094911804835"/>
        <n v="0.121441405617167"/>
        <n v="0.121884291641507"/>
        <n v="0.122065600807527"/>
        <n v="0.122307699791394"/>
        <n v="0.12232070598498"/>
        <n v="0.122476568250507"/>
        <n v="0.122944155047085"/>
        <n v="0.123255879578138"/>
        <n v="0.12356760410919"/>
        <n v="0.123723466374716"/>
        <n v="0.125749675826557"/>
        <n v="0.125936710545189"/>
        <n v="0.126653676966609"/>
        <n v="0.126965401497662"/>
        <n v="0.127995356941178"/>
        <n v="0.128711058871555"/>
        <n v="0.129240990574345"/>
        <n v="0.129615060011608"/>
        <n v="0.129770922277134"/>
        <n v="0.130207336620607"/>
        <n v="0.130612578510975"/>
        <n v="0.130768440776502"/>
        <n v="0.130955475495133"/>
        <n v="0.131048992854449"/>
        <n v="0.131204855119975"/>
        <n v="0.131896625968314"/>
        <n v="0.131921821541396"/>
        <n v="0.132171201166238"/>
        <n v="0.132264718525553"/>
        <n v="0.132389408337974"/>
        <n v="0.132794650228343"/>
        <n v="0.133324581931132"/>
        <n v="0.133979203446342"/>
        <n v="0.134041548352552"/>
        <n v="0.134883204586394"/>
        <n v="0.135163756664341"/>
        <n v="0.13563134346092"/>
        <n v="0.136161275163709"/>
        <n v="0.136254792523025"/>
        <n v="0.136319988424568"/>
        <n v="0.136847069132024"/>
        <n v="0.13694058649134"/>
        <n v="0.137325298073717"/>
        <n v="0.137470518194129"/>
        <n v="0.13759520800655"/>
        <n v="0.137657552912761"/>
        <n v="0.137751070272076"/>
        <n v="0.138113052431605"/>
        <n v="0.138218657068655"/>
        <n v="0.138312174427971"/>
        <n v="0.138343346881076"/>
        <n v="0.1384264262988"/>
        <n v="0.138561554052813"/>
        <n v="0.13877976122455"/>
        <n v="0.139091485755602"/>
        <n v="0.139185003114918"/>
        <n v="0.139309692927339"/>
        <n v="0.139590245005286"/>
        <n v="0.139808452177023"/>
        <n v="0.139964314442549"/>
        <n v="0.14008900425497"/>
        <n v="0.140276038973601"/>
        <n v="0.140369556332917"/>
        <n v="0.140494246145338"/>
        <n v="0.141086522754338"/>
        <n v="0.14133590237918"/>
        <n v="0.141371669411541"/>
        <n v="0.141554109550916"/>
        <n v="0.141834661628864"/>
        <n v="0.142177558613021"/>
        <n v="0.142458110690968"/>
        <n v="0.143455629190336"/>
        <n v="0.143549146549652"/>
        <n v="0.143611491455862"/>
        <n v="0.143934030919625"/>
        <n v="0.145076596751809"/>
        <n v="0.145481838642177"/>
        <n v="0.145544183548388"/>
        <n v="0.145575356001493"/>
        <n v="0.145762390720124"/>
        <n v="0.145949425438756"/>
        <n v="0.145970961056396"/>
        <n v="0.146074115251177"/>
        <n v="0.146105287704282"/>
        <n v="0.146198805063598"/>
        <n v="0.146697564313282"/>
        <n v="0.146728736766387"/>
        <n v="0.146915771485018"/>
        <n v="0.147196323562966"/>
        <n v="0.147445703187808"/>
        <n v="0.147570393000229"/>
        <n v="0.147663910359544"/>
        <n v="0.148256186968544"/>
        <n v="0.148536739046491"/>
        <n v="0.148754946218228"/>
        <n v="0.148848463577544"/>
        <n v="0.149440740186543"/>
        <n v="0.149596602452069"/>
        <n v="0.14965894735828"/>
        <n v="0.149783637170701"/>
        <n v="0.150095361701753"/>
        <n v="0.150157706607964"/>
        <n v="0.15025122396728"/>
        <n v="0.150874673029384"/>
        <n v="0.150999362841805"/>
        <n v="0.151092880201121"/>
        <n v="0.151186397560437"/>
        <n v="0.151279914919753"/>
        <n v="0.151435777185279"/>
        <n v="0.151488579503804"/>
        <n v="0.151529294544595"/>
        <n v="0.151778674169437"/>
        <n v="0.152059226247384"/>
        <n v="0.152308605872226"/>
        <n v="0.152339778325331"/>
        <n v="0.152370950778436"/>
        <n v="0.152557985497068"/>
        <n v="0.152745020215699"/>
        <n v="0.15280736512191"/>
        <n v="0.152838537575015"/>
        <n v="0.153008128600437"/>
        <n v="0.153867228527488"/>
        <n v="0.153929573433698"/>
        <n v="0.154397160230277"/>
        <n v="0.154677712308224"/>
        <n v="0.154958264386172"/>
        <n v="0.155145299104803"/>
        <n v="0.15536350627654"/>
        <n v="0.155612885901382"/>
        <n v="0.156329852322802"/>
        <n v="0.157015646291118"/>
        <n v="0.157089842855614"/>
        <n v="0.157420888181486"/>
        <n v="0.157452696807103"/>
        <n v="0.157483233087696"/>
        <n v="0.157545577993907"/>
        <n v="0.157639095353223"/>
        <n v="0.157888474978065"/>
        <n v="0.15798199233738"/>
        <n v="0.158917165930538"/>
        <n v="0.159043128087983"/>
        <n v="0.159073028196064"/>
        <n v="0.159415925180222"/>
        <n v="0.159440735908203"/>
        <n v="0.159977029336116"/>
        <n v="0.160039374242326"/>
        <n v="0.160631650851326"/>
        <n v="0.16119275500722"/>
        <n v="0.161286272366536"/>
        <n v="0.161660341803799"/>
        <n v="0.16178503161622"/>
        <n v="0.162256977372606"/>
        <n v="0.162479245052847"/>
        <n v="0.162621598469963"/>
        <n v="0.162626687850062"/>
        <n v="0.163312481818377"/>
        <n v="0.163343654271482"/>
        <n v="0.163904758427377"/>
        <n v="0.164216482958429"/>
        <n v="0.164247655411534"/>
        <n v="0.165272906320052"/>
        <n v="0.166367382222691"/>
        <n v="0.166429727128902"/>
        <n v="0.16688140175869"/>
        <n v="0.167364900722059"/>
        <n v="0.167801315065532"/>
        <n v="0.167894832424848"/>
        <n v="0.167988349784164"/>
        <n v="0.168019522237269"/>
        <n v="0.168206556955901"/>
        <n v="0.168300074315216"/>
        <n v="0.168705316205584"/>
        <n v="0.168840184778203"/>
        <n v="0.16945345508011"/>
        <n v="0.171230284907109"/>
        <n v="0.171417319625741"/>
        <n v="0.171479664531951"/>
        <n v="0.17194725132853"/>
        <n v="0.172944769827898"/>
        <n v="0.173720648965555"/>
        <n v="0.174378702670739"/>
        <n v="0.175594428341844"/>
        <n v="0.176778981559843"/>
        <n v="0.176872498919159"/>
        <n v="0.176934843825369"/>
        <n v="0.177589465340579"/>
        <n v="0.177745327606105"/>
        <n v="0.178377274676338"/>
        <n v="0.179646847245525"/>
        <n v="0.179678019698631"/>
        <n v="0.179709192151736"/>
        <n v="0.180363813666946"/>
        <n v="0.180582020838683"/>
        <n v="0.181548366884945"/>
        <n v="0.181704229150472"/>
        <n v="0.181754486778947"/>
        <n v="0.181961046495921"/>
        <n v="0.182047126134629"/>
        <n v="0.182296505759471"/>
        <n v="0.183075817087102"/>
        <n v="0.183138161993313"/>
        <n v="0.183356369165049"/>
        <n v="0.183512231430576"/>
        <n v="0.184603267289259"/>
        <n v="0.18532023371068"/>
        <n v="0.18656713183489"/>
        <n v="0.187159408443889"/>
        <n v="0.187439960521837"/>
        <n v="0.187658167693573"/>
        <n v="0.187720512599784"/>
        <n v="0.187782857505994"/>
        <n v="0.187814029959099"/>
        <n v="0.188063409583941"/>
        <n v="0.18807065880899"/>
        <n v="0.188281616755678"/>
        <n v="0.19037017111373"/>
        <n v="0.190526033379256"/>
        <n v="0.191305344706887"/>
        <n v="0.19167941414415"/>
        <n v="0.192178173393834"/>
        <n v="0.19256941948893"/>
        <n v="0.192895139815254"/>
        <n v="0.19292631226836"/>
        <n v="0.193674451142885"/>
        <n v="0.194142037939464"/>
        <n v="0.194350702523516"/>
        <n v="0.19482783190778"/>
        <n v="0.195513625876095"/>
        <n v="0.195887695313358"/>
        <n v="0.196168247391305"/>
        <n v="0.196230592297516"/>
        <n v="0.197165765890673"/>
        <n v="0.197602180234146"/>
        <n v="0.197695697593462"/>
        <n v="0.197882732312094"/>
        <n v="0.197976249671409"/>
        <n v="0.198163284390041"/>
        <n v="0.198817905905251"/>
        <n v="0.198849078358356"/>
        <n v="0.199098457983198"/>
        <n v="0.199503699873566"/>
        <n v="0.200521575893329"/>
        <n v="0.202714462543406"/>
        <n v="0.202901497262038"/>
        <n v="0.203275566699301"/>
        <n v="0.203511586701383"/>
        <n v="0.203618463683459"/>
        <n v="0.203711981042774"/>
        <n v="0.204117222933142"/>
        <n v="0.20570701804151"/>
        <n v="0.206205777291194"/>
        <n v="0.206358458694158"/>
        <n v="0.20701626107193"/>
        <n v="0.207109778431246"/>
        <n v="0.208028411539082"/>
        <n v="0.208130513300324"/>
        <n v="0.208300159303618"/>
        <n v="0.208702283163277"/>
        <n v="0.209634747132771"/>
        <n v="0.209884126757613"/>
        <n v="0.210476403366612"/>
        <n v="0.211224542241138"/>
        <n v="0.212322575997458"/>
        <n v="0.212564957724664"/>
        <n v="0.213001372068137"/>
        <n v="0.213094889427453"/>
        <n v="0.21375396415025"/>
        <n v="0.213929893338851"/>
        <n v="0.213936545661295"/>
        <n v="0.214199284908896"/>
        <n v="0.215401650957241"/>
        <n v="0.217365515502871"/>
        <n v="0.218353255795105"/>
        <n v="0.218438864194915"/>
        <n v="0.219173517782976"/>
        <n v="0.219516414767133"/>
        <n v="0.219828139298186"/>
        <n v="0.219859311751291"/>
        <n v="0.219984001563712"/>
        <n v="0.220295726094764"/>
        <n v="0.220358071000975"/>
        <n v="0.221467555862517"/>
        <n v="0.221947866109342"/>
        <n v="0.222197245734184"/>
        <n v="0.222602487624553"/>
        <n v="0.222727177436974"/>
        <n v="0.222851231076882"/>
        <n v="0.223423000939836"/>
        <n v="0.224254627639131"/>
        <n v="0.224535179717078"/>
        <n v="0.224659869529499"/>
        <n v="0.224971594060551"/>
        <n v="0.225993609128635"/>
        <n v="0.226194671058465"/>
        <n v="0.226436699356498"/>
        <n v="0.227465390308971"/>
        <n v="0.227839459746234"/>
        <n v="0.22857678368805"/>
        <n v="0.229211047682864"/>
        <n v="0.229212956200402"/>
        <n v="0.22930456504218"/>
        <n v="0.229553944667022"/>
        <n v="0.229740979385654"/>
        <n v="0.23169088740592"/>
        <n v="0.232951742055494"/>
        <n v="0.233294639039652"/>
        <n v="0.233633962462166"/>
        <n v="0.233918088101756"/>
        <n v="0.234011605461072"/>
        <n v="0.234510364710756"/>
        <n v="0.234620422555393"/>
        <n v="0.236649891409612"/>
        <n v="0.236879471146755"/>
        <n v="0.23691064359986"/>
        <n v="0.237066505865386"/>
        <n v="0.237097678318491"/>
        <n v="0.237845817193017"/>
        <n v="0.238625128520648"/>
        <n v="0.239008442094294"/>
        <n v="0.239546439836222"/>
        <n v="0.240620165519384"/>
        <n v="0.241491085688794"/>
        <n v="0.241929408549804"/>
        <n v="0.242459340252593"/>
        <n v="0.242491682948962"/>
        <n v="0.243081516969674"/>
        <n v="0.244392032345119"/>
        <n v="0.244423204798224"/>
        <n v="0.244547894610645"/>
        <n v="0.245015481407224"/>
        <n v="0.245562589767846"/>
        <n v="0.245919482547276"/>
        <n v="0.246135145028963"/>
        <n v="0.246262379531433"/>
        <n v="0.24648058670317"/>
        <n v="0.246729966328012"/>
        <n v="0.247466394915922"/>
        <n v="0.247509277655643"/>
        <n v="0.24778982973359"/>
        <n v="0.248511759871404"/>
        <n v="0.248600313514327"/>
        <n v="0.248631485967432"/>
        <n v="0.249847211638536"/>
        <n v="0.250190108622694"/>
        <n v="0.250377143341326"/>
        <n v="0.250925288427524"/>
        <n v="0.251930598076673"/>
        <n v="0.252278662980746"/>
        <n v="0.252372180340061"/>
        <n v="0.254616596963639"/>
        <n v="0.254866612760993"/>
        <n v="0.256299909431322"/>
        <n v="0.256736323774796"/>
        <n v="0.25675922598524"/>
        <n v="0.257110393212059"/>
        <n v="0.258565641761054"/>
        <n v="0.258731360773531"/>
        <n v="0.259105430210794"/>
        <n v="0.261412191740582"/>
        <n v="0.262503227599266"/>
        <n v="0.262627917411687"/>
        <n v="0.262866482103819"/>
        <n v="0.263051836070381"/>
        <n v="0.263439037364935"/>
        <n v="0.263820740872347"/>
        <n v="0.263843643082791"/>
        <n v="0.264529437051107"/>
        <n v="0.264647765138404"/>
        <n v="0.265093085897051"/>
        <n v="0.265602809305096"/>
        <n v="0.265682817816001"/>
        <n v="0.265963369893948"/>
        <n v="0.266119232159474"/>
        <n v="0.266181577065685"/>
        <n v="0.266867371034"/>
        <n v="0.268737718220315"/>
        <n v="0.268753826736646"/>
        <n v="0.26883123557963"/>
        <n v="0.269548202001051"/>
        <n v="0.270576892953524"/>
        <n v="0.272665447311576"/>
        <n v="0.273808649316272"/>
        <n v="0.27390760948486"/>
        <n v="0.274005862795101"/>
        <n v="0.275564485450363"/>
        <n v="0.276499659043521"/>
        <n v="0.276607808370621"/>
        <n v="0.276998418293205"/>
        <n v="0.278007387897795"/>
        <n v="0.278257144513755"/>
        <n v="0.278325474153971"/>
        <n v="0.279429869635414"/>
        <n v="0.28024035341615"/>
        <n v="0.280488460695967"/>
        <n v="0.280489733040992"/>
        <n v="0.281331389274834"/>
        <n v="0.284168082507411"/>
        <n v="0.284947393835042"/>
        <n v="0.285040911194358"/>
        <n v="0.285103256100568"/>
        <n v="0.285227945912989"/>
        <n v="0.285386989041077"/>
        <n v="0.285664360256463"/>
        <n v="0.287095230046467"/>
        <n v="0.287378845177251"/>
        <n v="0.288440617100366"/>
        <n v="0.288656915754566"/>
        <n v="0.289076789612718"/>
        <n v="0.289649344873835"/>
        <n v="0.289934986331881"/>
        <n v="0.290122021050513"/>
        <n v="0.290371400675355"/>
        <n v="0.290735550533814"/>
        <n v="0.290776642565723"/>
        <n v="0.290807815018828"/>
        <n v="0.29111953954988"/>
        <n v="0.291494245159656"/>
        <n v="0.29171181615888"/>
        <n v="0.291867678424406"/>
        <n v="0.291898850877512"/>
        <n v="0.292066800420772"/>
        <n v="0.292085885596143"/>
        <n v="0.292639355681889"/>
        <n v="0.292702187534961"/>
        <n v="0.293675680704511"/>
        <n v="0.293720848952888"/>
        <n v="0.293893887876247"/>
        <n v="0.295171958453562"/>
        <n v="0.295629366489943"/>
        <n v="0.296325339218456"/>
        <n v="0.298164513951666"/>
        <n v="0.298600928295139"/>
        <n v="0.298746611800468"/>
        <n v="0.298873846302938"/>
        <n v="0.29951001881529"/>
        <n v="0.30128175926219"/>
        <n v="0.301291301849876"/>
        <n v="0.301863857110992"/>
        <n v="0.301927474362227"/>
        <n v="0.3019363807774"/>
        <n v="0.30428131265793"/>
        <n v="0.305053626087925"/>
        <n v="0.305614133341215"/>
        <n v="0.305926454774872"/>
        <n v="0.306196898778456"/>
        <n v="0.306269351759029"/>
        <n v="0.307142180445976"/>
        <n v="0.307173352899082"/>
        <n v="0.308289199485747"/>
        <n v="0.308326733663976"/>
        <n v="0.308798137495628"/>
        <n v="0.309635976694396"/>
        <n v="0.310041218584764"/>
        <n v="0.310515803278979"/>
        <n v="0.310602322740658"/>
        <n v="0.310758491311468"/>
        <n v="0.312169851811094"/>
        <n v="0.312297086313564"/>
        <n v="0.312379152567657"/>
        <n v="0.313158463895289"/>
        <n v="0.314872948816077"/>
        <n v="0.315159862619148"/>
        <n v="0.315320083844481"/>
        <n v="0.316618606189971"/>
        <n v="0.317195614658674"/>
        <n v="0.317315780577674"/>
        <n v="0.318831850360443"/>
        <n v="0.319205919797706"/>
        <n v="0.319455299422548"/>
        <n v="0.320185625466728"/>
        <n v="0.320265783203284"/>
        <n v="0.320452817921916"/>
        <n v="0.320795714906073"/>
        <n v="0.3209515771716"/>
        <n v="0.321169784343336"/>
        <n v="0.32160619868681"/>
        <n v="0.322732671710626"/>
        <n v="0.323164821342072"/>
        <n v="0.323351856060704"/>
        <n v="0.323881787763493"/>
        <n v="0.324037650029019"/>
        <n v="0.32416233984144"/>
        <n v="0.325013467977132"/>
        <n v="0.325907997215334"/>
        <n v="0.32653399882147"/>
        <n v="0.326562618730544"/>
        <n v="0.327528964776806"/>
        <n v="0.328962897619648"/>
        <n v="0.329648691587963"/>
        <n v="0.329867228626928"/>
        <n v="0.330708554993541"/>
        <n v="0.330848976331175"/>
        <n v="0.331300831602541"/>
        <n v="0.331737245946014"/>
        <n v="0.331827582442768"/>
        <n v="0.331986625570856"/>
        <n v="0.332890626710908"/>
        <n v="0.334231042194434"/>
        <n v="0.335572360885847"/>
        <n v="0.335914354662117"/>
        <n v="0.337036562973906"/>
        <n v="0.338002909020169"/>
        <n v="0.338033013331772"/>
        <n v="0.340465532815483"/>
        <n v="0.34133836150243"/>
        <n v="0.341899465658324"/>
        <n v="0.342340333209384"/>
        <n v="0.342554087173534"/>
        <n v="0.342810590359718"/>
        <n v="0.343087835911398"/>
        <n v="0.343426915860481"/>
        <n v="0.343735003998037"/>
        <n v="0.345484297765427"/>
        <n v="0.346107746827532"/>
        <n v="0.346434221136093"/>
        <n v="0.347354644951742"/>
        <n v="0.347726397464423"/>
        <n v="0.347853404201426"/>
        <n v="0.347884576654531"/>
        <n v="0.348632715529057"/>
        <n v="0.348866795597676"/>
        <n v="0.350845959699529"/>
        <n v="0.351095339324371"/>
        <n v="0.351167226818267"/>
        <n v="0.353265810710865"/>
        <n v="0.353807342744528"/>
        <n v="0.354181412181791"/>
        <n v="0.35536596539979"/>
        <n v="0.357703899382683"/>
        <n v="0.357890934101315"/>
        <n v="0.358296175991683"/>
        <n v="0.358370113374785"/>
        <n v="0.358794935241367"/>
        <n v="0.360384730349734"/>
        <n v="0.361316141885689"/>
        <n v="0.361509349833885"/>
        <n v="0.364972170336304"/>
        <n v="0.366026944361784"/>
        <n v="0.366369841345941"/>
        <n v="0.367647911923256"/>
        <n v="0.367741429282572"/>
        <n v="0.368925982500571"/>
        <n v="0.369518259109571"/>
        <n v="0.370629393307256"/>
        <n v="0.371700330826938"/>
        <n v="0.372105572717306"/>
        <n v="0.375341782287641"/>
        <n v="0.376968475401724"/>
        <n v="0.379025857306671"/>
        <n v="0.379087346128883"/>
        <n v="0.379711651274986"/>
        <n v="0.381675515820616"/>
        <n v="0.382392482242037"/>
        <n v="0.38354840769698"/>
        <n v="0.384356346787667"/>
        <n v="0.385073313209088"/>
        <n v="0.385198003021509"/>
        <n v="0.385291520380825"/>
        <n v="0.385634417364982"/>
        <n v="0.386975099883884"/>
        <n v="0.387473592098192"/>
        <n v="0.388595800409981"/>
        <n v="0.3886527103609"/>
        <n v="0.389905043440401"/>
        <n v="0.390800774337793"/>
        <n v="0.392617046860557"/>
        <n v="0.393708082719241"/>
        <n v="0.394387687750029"/>
        <n v="0.398602157856764"/>
        <n v="0.399194434465764"/>
        <n v="0.40125181637071"/>
        <n v="0.402845640571656"/>
        <n v="0.404096779845948"/>
        <n v="0.404287631599653"/>
        <n v="0.404461204593764"/>
        <n v="0.404651270949307"/>
        <n v="0.406270581320655"/>
        <n v="0.406646967682499"/>
        <n v="0.407517479444864"/>
        <n v="0.408016238694548"/>
        <n v="0.408357564882379"/>
        <n v="0.408421480584916"/>
        <n v="0.409200791912548"/>
        <n v="0.410447690036757"/>
        <n v="0.410478862489863"/>
        <n v="0.411289346270599"/>
        <n v="0.411445208536125"/>
        <n v="0.412176956150981"/>
        <n v="0.413109223770934"/>
        <n v="0.413284383269335"/>
        <n v="0.414439688259729"/>
        <n v="0.414936523283913"/>
        <n v="0.415185902908754"/>
        <n v="0.415497627439807"/>
        <n v="0.416183421408122"/>
        <n v="0.416931560282648"/>
        <n v="0.417461491985437"/>
        <n v="0.419096313970512"/>
        <n v="0.421482738436014"/>
        <n v="0.421757242948103"/>
        <n v="0.421763290513961"/>
        <n v="0.421981497685698"/>
        <n v="0.42229322221675"/>
        <n v="0.422707574725814"/>
        <n v="0.42294784373196"/>
        <n v="0.424039610010936"/>
        <n v="0.425748636414489"/>
        <n v="0.426283296214222"/>
        <n v="0.427459233614368"/>
        <n v="0.427654884150852"/>
        <n v="0.427841918869484"/>
        <n v="0.42816471751464"/>
        <n v="0.428184815853642"/>
        <n v="0.430473591765488"/>
        <n v="0.431006877118435"/>
        <n v="0.432299579663534"/>
        <n v="0.433742418921548"/>
        <n v="0.435946756676847"/>
        <n v="0.43609625721725"/>
        <n v="0.436582418680393"/>
        <n v="0.437532750458104"/>
        <n v="0.439148314480213"/>
        <n v="0.440763878502321"/>
        <n v="0.441588970688897"/>
        <n v="0.44327228315658"/>
        <n v="0.446357484222038"/>
        <n v="0.446389528467104"/>
        <n v="0.447574081685104"/>
        <n v="0.448478082825156"/>
        <n v="0.448945669621735"/>
        <n v="0.449101531887261"/>
        <n v="0.44941189767949"/>
        <n v="0.449943188121102"/>
        <n v="0.451597660768226"/>
        <n v="0.451882760301539"/>
        <n v="0.452062914932259"/>
        <n v="0.453670522870972"/>
        <n v="0.455180160242783"/>
        <n v="0.455460712320731"/>
        <n v="0.455678919492467"/>
        <n v="0.455834781757994"/>
        <n v="0.457248993252952"/>
        <n v="0.461289961051411"/>
        <n v="0.463476807989612"/>
        <n v="0.464237073411781"/>
        <n v="0.464594241080567"/>
        <n v="0.466121691282724"/>
        <n v="0.466589278079303"/>
        <n v="0.466620450532408"/>
        <n v="0.468323500055938"/>
        <n v="0.468490797718723"/>
        <n v="0.470049420373985"/>
        <n v="0.470111765280196"/>
        <n v="0.471238898038469"/>
        <n v="0.47288509258895"/>
        <n v="0.474215557077745"/>
        <n v="0.475286392495666"/>
        <n v="0.475348737401877"/>
        <n v="0.475473427214298"/>
        <n v="0.476638510411827"/>
        <n v="0.477967223462717"/>
        <n v="0.481141198082584"/>
        <n v="0.482643091428504"/>
        <n v="0.483813908032626"/>
        <n v="0.486321440894923"/>
        <n v="0.487942408456396"/>
        <n v="0.490654411876552"/>
        <n v="0.490934963954499"/>
        <n v="0.493584622468445"/>
        <n v="0.49486269304576"/>
        <n v="0.495416595100496"/>
        <n v="0.496296625888601"/>
        <n v="0.499437833697091"/>
        <n v="0.499779481898169"/>
        <n v="0.501300012742506"/>
        <n v="0.503559807462123"/>
        <n v="0.503848629782731"/>
        <n v="0.503933876899386"/>
        <n v="0.50443263614907"/>
        <n v="0.505367809742228"/>
        <n v="0.505670753521813"/>
        <n v="0.506431804342145"/>
        <n v="0.506864087491279"/>
        <n v="0.510846527418602"/>
        <n v="0.512381611690908"/>
        <n v="0.514517478434322"/>
        <n v="0.514813063033117"/>
        <n v="0.51657208002977"/>
        <n v="0.516930221592279"/>
        <n v="0.517908042305709"/>
        <n v="0.518553757405746"/>
        <n v="0.520549336329214"/>
        <n v="0.521921623270211"/>
        <n v="0.527385441943426"/>
        <n v="0.527531423900056"/>
        <n v="0.528792875452234"/>
        <n v="0.529308253727056"/>
        <n v="0.533494268858331"/>
        <n v="0.537602686651063"/>
        <n v="0.538161230408945"/>
        <n v="0.538441782486892"/>
        <n v="0.538443848084062"/>
        <n v="0.540280957220102"/>
        <n v="0.54140316553189"/>
        <n v="0.542057787047101"/>
        <n v="0.542069246006305"/>
        <n v="0.542264024750827"/>
        <n v="0.542774753468521"/>
        <n v="0.542899443280942"/>
        <n v="0.543671458259635"/>
        <n v="0.545455584435572"/>
        <n v="0.550069107495148"/>
        <n v="0.550909687733506"/>
        <n v="0.551004281088306"/>
        <n v="0.553473227338835"/>
        <n v="0.554932010179567"/>
        <n v="0.556147735850671"/>
        <n v="0.556650948307942"/>
        <n v="0.556771184912776"/>
        <n v="0.556864702272092"/>
        <n v="0.558414952582932"/>
        <n v="0.558890118471788"/>
        <n v="0.560950217854379"/>
        <n v="0.561676711155522"/>
        <n v="0.569053131436243"/>
        <n v="0.569271338607979"/>
        <n v="0.569738925404558"/>
        <n v="0.573604309589608"/>
        <n v="0.575996090470584"/>
        <n v="0.576645614751714"/>
        <n v="0.580586939085183"/>
        <n v="0.581085698334867"/>
        <n v="0.581127882070223"/>
        <n v="0.581335077959709"/>
        <n v="0.581646802490761"/>
        <n v="0.584889153874733"/>
        <n v="0.590536166669561"/>
        <n v="0.592370126358966"/>
        <n v="0.592432471265176"/>
        <n v="0.595616514689498"/>
        <n v="0.596411730329937"/>
        <n v="0.596550745804859"/>
        <n v="0.603342829852012"/>
        <n v="0.604527383070011"/>
        <n v="0.616185880531373"/>
        <n v="0.621048783215791"/>
        <n v="0.623194593099954"/>
        <n v="0.625496006068249"/>
        <n v="0.625662306275367"/>
        <n v="0.629689835911251"/>
        <n v="0.630400519147364"/>
        <n v="0.632052659161942"/>
        <n v="0.636977906752571"/>
        <n v="0.638910598845096"/>
        <n v="0.639035288657517"/>
        <n v="0.64006397960999"/>
        <n v="0.6413108777342"/>
        <n v="0.644054053607461"/>
        <n v="0.644379137761273"/>
        <n v="0.647576540808354"/>
        <n v="0.64897930119809"/>
        <n v="0.649509232900879"/>
        <n v="0.649727440072616"/>
        <n v="0.651130200462352"/>
        <n v="0.65144065264838"/>
        <n v="0.652096546508614"/>
        <n v="0.654858705455485"/>
        <n v="0.656391802670437"/>
        <n v="0.658767451473137"/>
        <n v="0.658798623926242"/>
        <n v="0.660700143565662"/>
        <n v="0.661620983642337"/>
        <n v="0.662556981903566"/>
        <n v="0.66281223630667"/>
        <n v="0.665313666625238"/>
        <n v="0.667472199959648"/>
        <n v="0.674384850478864"/>
        <n v="0.680120581850229"/>
        <n v="0.684515897738069"/>
        <n v="0.685606933596752"/>
        <n v="0.686329609862821"/>
        <n v="0.686557375330206"/>
        <n v="0.68785135022033"/>
        <n v="0.68975080426258"/>
        <n v="0.692506766417942"/>
        <n v="0.700901887386497"/>
        <n v="0.701068470336954"/>
        <n v="0.701691919399059"/>
        <n v="0.706096510839208"/>
        <n v="0.70823813455116"/>
        <n v="0.71013965419058"/>
        <n v="0.711293034955474"/>
        <n v="0.714272505720175"/>
        <n v="0.71715345613926"/>
        <n v="0.719210838044206"/>
        <n v="0.719686255260474"/>
        <n v="0.722515118073362"/>
        <n v="0.723542363893215"/>
        <n v="0.724152814615715"/>
        <n v="0.72649330114264"/>
        <n v="0.727003809948848"/>
        <n v="0.728608378396669"/>
        <n v="0.732383787368121"/>
        <n v="0.738631276328774"/>
        <n v="0.74265252277935"/>
        <n v="0.743743558638034"/>
        <n v="0.744148800528402"/>
        <n v="0.745537635808701"/>
        <n v="0.746112665074032"/>
        <n v="0.747390735651348"/>
        <n v="0.748918185853504"/>
        <n v="0.75091322285224"/>
        <n v="0.751770555633423"/>
        <n v="0.752273995856161"/>
        <n v="0.753843433444133"/>
        <n v="0.758204537387975"/>
        <n v="0.761690919835296"/>
        <n v="0.767216415826283"/>
        <n v="0.769464005458441"/>
        <n v="0.770871438967249"/>
        <n v="0.771206489823754"/>
        <n v="0.773083120195376"/>
        <n v="0.77320152682249"/>
        <n v="0.77438608004049"/>
        <n v="0.774892677563844"/>
        <n v="0.775009529102594"/>
        <n v="0.77676663758171"/>
        <n v="0.781527721248226"/>
        <n v="0.781618089160906"/>
        <n v="0.784403849322587"/>
        <n v="0.7941946228275"/>
        <n v="0.797696713238089"/>
        <n v="0.798617985283754"/>
        <n v="0.799324058232648"/>
        <n v="0.802846529725578"/>
        <n v="0.803438806334578"/>
        <n v="0.810611015238833"/>
        <n v="0.810882763003369"/>
        <n v="0.813094444231496"/>
        <n v="0.816512497038602"/>
        <n v="0.819327364056218"/>
        <n v="0.819930549845707"/>
        <n v="0.822391657822566"/>
        <n v="0.827978524826041"/>
        <n v="0.82865732089672"/>
        <n v="0.82992474147494"/>
        <n v="0.830028908833351"/>
        <n v="0.835412318442598"/>
        <n v="0.837073883235136"/>
        <n v="0.841531544029187"/>
        <n v="0.842248510450607"/>
        <n v="0.85520356676205"/>
        <n v="0.862555678969614"/>
        <n v="0.863604185517749"/>
        <n v="0.863756552761448"/>
        <n v="0.866375855636379"/>
        <n v="0.875222580548888"/>
        <n v="0.878564418318217"/>
        <n v="0.880651252654291"/>
        <n v="0.881098929607427"/>
        <n v="0.883583183268162"/>
        <n v="0.89539754299505"/>
        <n v="0.911317123944144"/>
        <n v="0.916220741669353"/>
        <n v="0.917646647742964"/>
        <n v="0.919255143181602"/>
        <n v="0.927598687052767"/>
        <n v="0.92890611581343"/>
        <n v="0.936144345287301"/>
        <n v="0.940567707743555"/>
        <n v="0.941018526289346"/>
        <n v="0.941975141252364"/>
        <n v="0.946942784635852"/>
        <n v="0.948981874617573"/>
        <n v="0.951313525415159"/>
        <n v="0.955044166691297"/>
        <n v="0.959394589220117"/>
        <n v="0.965499387042444"/>
        <n v="0.971371809110167"/>
        <n v="0.971531244937336"/>
        <n v="0.971933368796996"/>
        <n v="0.975552483533931"/>
        <n v="0.976127198639998"/>
        <n v="0.978568412481378"/>
        <n v="0.980981155639334"/>
        <n v="0.981787759553144"/>
        <n v="0.983594960727121"/>
        <n v="0.983681747224177"/>
        <n v="0.989626818622014"/>
        <n v="0.990625845085855"/>
        <n v="0.991235314060652"/>
        <n v="0.993849119148438"/>
        <n v="0.999077122023093"/>
        <n v="1.00028310090299"/>
        <n v="1.00450540142941"/>
        <n v="1.00960577710252"/>
        <n v="1.00992386335869"/>
        <n v="1.01029920514098"/>
        <n v="1.01615835397974"/>
        <n v="1.01777548879818"/>
        <n v="1.01867123540353"/>
        <n v="1.02521478020188"/>
        <n v="1.03245300967575"/>
        <n v="1.03276245655213"/>
        <n v="1.03963311968553"/>
        <n v="1.04268738391733"/>
        <n v="1.05581098667464"/>
        <n v="1.05636445676039"/>
        <n v="1.05648383728122"/>
        <n v="1.06160698950106"/>
        <n v="1.07447495301017"/>
        <n v="1.075761356662"/>
        <n v="1.07708875809795"/>
        <n v="1.07729610321309"/>
        <n v="1.07910173359074"/>
        <n v="1.07929179994628"/>
        <n v="1.08090893476472"/>
        <n v="1.08514426504667"/>
        <n v="1.08680256258285"/>
        <n v="1.08755968641237"/>
        <n v="1.0906306167932"/>
        <n v="1.09779813687042"/>
        <n v="1.10064206362008"/>
        <n v="1.10081406581786"/>
        <n v="1.10445909869419"/>
        <n v="1.11348002491934"/>
        <n v="1.12180306989844"/>
        <n v="1.1241011213626"/>
        <n v="1.12479562539655"/>
        <n v="1.13439140809943"/>
        <n v="1.13982008020483"/>
        <n v="1.14484662845058"/>
        <n v="1.14630334569414"/>
        <n v="1.14847595336364"/>
        <n v="1.16712209116086"/>
        <n v="1.17098467932845"/>
        <n v="1.1714607876951"/>
        <n v="1.17413491136183"/>
        <n v="1.17609212358502"/>
        <n v="1.17822290880232"/>
        <n v="1.19174196738888"/>
        <n v="1.19713294038244"/>
        <n v="1.20169453291545"/>
        <n v="1.20194821652223"/>
        <n v="1.20536626932933"/>
        <n v="1.20818113634695"/>
        <n v="1.21432609157737"/>
        <n v="1.21521830389099"/>
        <n v="1.21952871038338"/>
        <n v="1.23695792870429"/>
        <n v="1.24446667286758"/>
        <n v="1.29022783402608"/>
        <n v="1.29188101862021"/>
        <n v="1.29341823917552"/>
        <n v="1.32821510845531"/>
        <n v="1.34187868030393"/>
        <n v="1.35107431835053"/>
        <n v="1.35822831387138"/>
        <n v="1.36697568591622"/>
        <n v="1.36923802532588"/>
        <n v="1.36980822439251"/>
        <n v="1.37930152834304"/>
        <n v="1.38531669652696"/>
        <n v="1.41866470254481"/>
        <n v="1.42844369507727"/>
        <n v="1.44744483284435"/>
        <n v="1.46734996389749"/>
        <n v="1.48506520852154"/>
        <n v="1.50494559953254"/>
        <n v="1.51821863214442"/>
        <n v="1.52022925144272"/>
        <n v="1.5230588446759"/>
        <n v="1.53120361997987"/>
        <n v="1.57156366080054"/>
        <n v="1.58557437863738"/>
        <n v="1.58879136951466"/>
        <n v="1.59082888870005"/>
        <n v="1.59562747512887"/>
        <n v="1.59723597056751"/>
        <n v="1.60037147638533"/>
        <n v="1.60796136788686"/>
        <n v="1.62820402380073"/>
        <n v="1.63734900366579"/>
        <n v="1.6404642854809"/>
        <n v="1.65643417903635"/>
        <n v="1.67486472503771"/>
        <n v="1.68320643893116"/>
        <n v="1.69778539233922"/>
        <n v="1.71607535206934"/>
        <n v="1.72760597885572"/>
        <n v="1.75861938883288"/>
        <n v="1.76696915305749"/>
        <n v="1.77689344425018"/>
        <n v="1.77778958355462"/>
        <n v="1.79480170047289"/>
        <n v="1.80116342559641"/>
        <n v="1.81418179285381"/>
        <n v="1.82524019899444"/>
        <n v="1.82581511045005"/>
        <n v="1.84330985453973"/>
        <n v="1.84514533004759"/>
        <n v="1.874434398357"/>
        <n v="1.89159063583826"/>
        <n v="1.906067094786"/>
        <n v="1.91134497044403"/>
        <n v="1.91390851004936"/>
        <n v="1.95713682496276"/>
        <n v="1.97014674918989"/>
        <n v="1.97623770829658"/>
        <n v="1.98644866981891"/>
        <n v="1.98843670892001"/>
        <n v="2.03161927439039"/>
        <n v="2.03816478268414"/>
        <n v="2.05385703798882"/>
        <n v="2.0574667279478"/>
        <n v="2.06973150566741"/>
        <n v="2.11919274040553"/>
        <n v="2.14110849075697"/>
        <n v="2.14350375880579"/>
        <n v="2.18896123005645"/>
        <n v="2.19358565444254"/>
        <n v="2.24425326075963"/>
        <n v="2.24489375296188"/>
        <n v="2.25430635725112"/>
        <n v="2.26992341068166"/>
        <n v="2.28346171152322"/>
        <n v="2.3244769707617"/>
        <n v="2.35443519830633"/>
        <n v="2.36695130343824"/>
        <n v="2.37755732023676"/>
        <n v="2.47004580795844"/>
        <n v="2.49839554006443"/>
        <n v="2.50333883610486"/>
        <n v="2.50535966557928"/>
        <n v="2.5374015544514"/>
        <n v="2.57570345938489"/>
        <n v="2.57806947135212"/>
        <n v="2.63753039550662"/>
        <n v="2.65803871234925"/>
        <n v="2.69697384455198"/>
        <n v="2.69704472673622"/>
        <n v="2.70408189428026"/>
        <n v="2.70651643223726"/>
        <n v="2.74590277568485"/>
        <n v="2.76955189978291"/>
        <n v="2.78038568204882"/>
        <n v="2.78247641195978"/>
        <n v="2.78802603538235"/>
        <n v="2.81406276989714"/>
        <n v="2.92022346884724"/>
        <n v="2.92364152165435"/>
        <n v="3.00551751304266"/>
        <n v="3.02770991989716"/>
        <n v="3.19477883546736"/>
        <n v="3.32797745524105"/>
        <n v="3.33404897574319"/>
        <n v="3.39111050850851"/>
        <n v="3.58292358956609"/>
        <n v="3.71007857047243"/>
        <n v="3.72278729450391"/>
        <n v="3.75483153957052"/>
        <n v="3.87285489238058"/>
        <n v="4.0142485529407"/>
        <n v="4.02180310152488"/>
        <n v="4.02284709203357"/>
        <n v="4.17289407320846"/>
        <n v="4.17987645923061"/>
        <n v="4.24321096712698"/>
        <n v="4.33432284821777"/>
        <n v="4.33851432186628"/>
        <n v="4.3670651159021"/>
        <n v="4.45472811730787"/>
        <n v="4.56316332933917"/>
        <n v="4.57898438994265"/>
        <n v="4.65888373050324"/>
        <n v="4.71429906871807"/>
        <n v="5.22973565935311"/>
        <n v="5.58932058733713"/>
        <n v="5.90056445471358"/>
        <n v="6.21784017998492"/>
        <n v="7.8811754563335"/>
        <n v="7.90961236763563"/>
        <n v="8.25453469730718"/>
        <n v="8.29568956106921"/>
        <n v="9.1561128840252"/>
        <n v="9.68947599139024"/>
        <n v="10.6695513865976"/>
        <n v="13.0821606341677"/>
        <n v="13.2200624144934"/>
        <n v="13.3667478915289"/>
        <n v="14.3120525319455"/>
        <n v="15.0843500576279"/>
        <n v="15.7913921878559"/>
        <n v="18.0096707605556"/>
        <n v="18.2475765036285"/>
        <n v="18.6129547248153"/>
        <n v="18.8652638848067"/>
        <n v="23.1447671193166"/>
        <n v="27.0785651785355"/>
        <n v="32.6897722601425"/>
        <n v="48.5317160117368"/>
        <n v="52.5365001241095"/>
        <n v="57.705166560219"/>
        <n v="65.2532960852088"/>
        <n v="74.6090556115733"/>
        <n v="105.938431269865"/>
      </sharedItems>
    </cacheField>
    <cacheField name="(H)-ENVOLTÓRIA" numFmtId="0">
      <sharedItems containsSemiMixedTypes="0" containsString="0" containsNumber="1" minValue="0" maxValue="0.8" count="13">
        <n v="0"/>
        <n v="0.363"/>
        <n v="0.39"/>
        <n v="0.41"/>
        <n v="0.425"/>
        <n v="0.46"/>
        <n v="0.525"/>
        <n v="0.55"/>
        <n v="0.58"/>
        <n v="0.615"/>
        <n v="0.655"/>
        <n v="0.7"/>
        <n v="0.8"/>
      </sharedItems>
    </cacheField>
    <cacheField name="DIST. BOTA FORA" numFmtId="0">
      <sharedItems containsSemiMixedTypes="0" containsString="0" containsNumber="1" minValue="1.2" maxValue="6.4" count="52">
        <n v="1.2"/>
        <n v="1.3"/>
        <n v="1.4"/>
        <n v="1.5"/>
        <n v="1.6"/>
        <n v="1.7"/>
        <n v="1.8"/>
        <n v="1.9"/>
        <n v="2"/>
        <n v="2.1"/>
        <n v="2.2"/>
        <n v="2.3"/>
        <n v="2.4"/>
        <n v="2.5"/>
        <n v="2.6"/>
        <n v="2.7"/>
        <n v="2.8"/>
        <n v="2.9"/>
        <n v="3"/>
        <n v="3.1"/>
        <n v="3.2"/>
        <n v="3.3"/>
        <n v="3.4"/>
        <n v="3.5"/>
        <n v="3.6"/>
        <n v="3.7"/>
        <n v="3.8"/>
        <n v="3.9"/>
        <n v="4"/>
        <n v="4.1"/>
        <n v="4.2"/>
        <n v="4.3"/>
        <n v="4.4"/>
        <n v="4.5"/>
        <n v="4.6"/>
        <n v="4.7"/>
        <n v="4.8"/>
        <n v="4.9"/>
        <n v="5"/>
        <n v="5.1"/>
        <n v="5.2"/>
        <n v="5.3"/>
        <n v="5.4"/>
        <n v="5.5"/>
        <n v="5.6"/>
        <n v="5.7"/>
        <n v="5.8"/>
        <n v="5.9"/>
        <n v="6"/>
        <n v="6.1"/>
        <n v="6.2"/>
        <n v="6.4"/>
      </sharedItems>
    </cacheField>
    <cacheField name="LOCAÇÃO C/ NOTA" numFmtId="0">
      <sharedItems containsSemiMixedTypes="0" containsString="0" containsNumber="1" minValue="0" maxValue="907.56" count="1363">
        <n v="0"/>
        <n v="0.59"/>
        <n v="0.6"/>
        <n v="0.66"/>
        <n v="0.67"/>
        <n v="0.71"/>
        <n v="0.73"/>
        <n v="0.77"/>
        <n v="0.79"/>
        <n v="0.9"/>
        <n v="0.96"/>
        <n v="0.98"/>
        <n v="1.02"/>
        <n v="1.13"/>
        <n v="1.14"/>
        <n v="1.22"/>
        <n v="1.31"/>
        <n v="1.39"/>
        <n v="1.4"/>
        <n v="1.5"/>
        <n v="1.51"/>
        <n v="1.54"/>
        <n v="1.57"/>
        <n v="1.72"/>
        <n v="1.82"/>
        <n v="1.84"/>
        <n v="1.86"/>
        <n v="1.93"/>
        <n v="1.94"/>
        <n v="1.95"/>
        <n v="1.96"/>
        <n v="1.98"/>
        <n v="1.99"/>
        <n v="2"/>
        <n v="2.03"/>
        <n v="2.05"/>
        <n v="2.07"/>
        <n v="2.4"/>
        <n v="2.42"/>
        <n v="2.46"/>
        <n v="2.47"/>
        <n v="2.5"/>
        <n v="2.51"/>
        <n v="2.53"/>
        <n v="2.62"/>
        <n v="2.68"/>
        <n v="2.69"/>
        <n v="2.77"/>
        <n v="2.78"/>
        <n v="2.8"/>
        <n v="2.82"/>
        <n v="2.88"/>
        <n v="2.92"/>
        <n v="2.97"/>
        <n v="2.99"/>
        <n v="3.02"/>
        <n v="3.04"/>
        <n v="3.07"/>
        <n v="3.11"/>
        <n v="3.17"/>
        <n v="3.22"/>
        <n v="3.26"/>
        <n v="3.31"/>
        <n v="3.45"/>
        <n v="3.46"/>
        <n v="3.47"/>
        <n v="3.58"/>
        <n v="3.59"/>
        <n v="3.62"/>
        <n v="3.63"/>
        <n v="3.7"/>
        <n v="3.73"/>
        <n v="3.77"/>
        <n v="3.81"/>
        <n v="3.9"/>
        <n v="3.92"/>
        <n v="4.01"/>
        <n v="4.05"/>
        <n v="4.09"/>
        <n v="4.2"/>
        <n v="4.24"/>
        <n v="4.32"/>
        <n v="4.36"/>
        <n v="4.41"/>
        <n v="4.44"/>
        <n v="4.45"/>
        <n v="4.47"/>
        <n v="4.51"/>
        <n v="4.58"/>
        <n v="4.7"/>
        <n v="4.72"/>
        <n v="4.88"/>
        <n v="4.9"/>
        <n v="4.94"/>
        <n v="5.08"/>
        <n v="5.09"/>
        <n v="5.12"/>
        <n v="5.16"/>
        <n v="5.17"/>
        <n v="5.19"/>
        <n v="5.24"/>
        <n v="5.25"/>
        <n v="5.34"/>
        <n v="5.35"/>
        <n v="5.49"/>
        <n v="5.56"/>
        <n v="5.57"/>
        <n v="5.58"/>
        <n v="5.6"/>
        <n v="5.67"/>
        <n v="5.71"/>
        <n v="5.78"/>
        <n v="5.79"/>
        <n v="5.94"/>
        <n v="5.99"/>
        <n v="6"/>
        <n v="6.04"/>
        <n v="6.05"/>
        <n v="6.14"/>
        <n v="6.2"/>
        <n v="6.22"/>
        <n v="6.41"/>
        <n v="6.56"/>
        <n v="6.66"/>
        <n v="6.72"/>
        <n v="6.73"/>
        <n v="6.74"/>
        <n v="6.78"/>
        <n v="6.81"/>
        <n v="6.83"/>
        <n v="6.96"/>
        <n v="7.02"/>
        <n v="7.26"/>
        <n v="7.31"/>
        <n v="7.61"/>
        <n v="7.65"/>
        <n v="7.85"/>
        <n v="7.91"/>
        <n v="7.97"/>
        <n v="8.04"/>
        <n v="8.07"/>
        <n v="8.1"/>
        <n v="8.22"/>
        <n v="8.27"/>
        <n v="8.3"/>
        <n v="8.36"/>
        <n v="8.38"/>
        <n v="8.53"/>
        <n v="8.61"/>
        <n v="8.79"/>
        <n v="8.89"/>
        <n v="9.03"/>
        <n v="9.05"/>
        <n v="9.11"/>
        <n v="9.44"/>
        <n v="9.9"/>
        <n v="10.36"/>
        <n v="10.38"/>
        <n v="10.43"/>
        <n v="10.59"/>
        <n v="10.64"/>
        <n v="10.66"/>
        <n v="10.69"/>
        <n v="10.84"/>
        <n v="10.86"/>
        <n v="10.93"/>
        <n v="11.01"/>
        <n v="11.16"/>
        <n v="11.2"/>
        <n v="11.24"/>
        <n v="11.25"/>
        <n v="11.41"/>
        <n v="11.6"/>
        <n v="11.62"/>
        <n v="11.74"/>
        <n v="11.77"/>
        <n v="12.04"/>
        <n v="12.06"/>
        <n v="12.12"/>
        <n v="12.37"/>
        <n v="12.47"/>
        <n v="12.48"/>
        <n v="12.53"/>
        <n v="12.73"/>
        <n v="12.78"/>
        <n v="12.86"/>
        <n v="12.87"/>
        <n v="12.88"/>
        <n v="13.13"/>
        <n v="13.16"/>
        <n v="13.21"/>
        <n v="13.38"/>
        <n v="13.65"/>
        <n v="13.87"/>
        <n v="14.26"/>
        <n v="14.39"/>
        <n v="14.46"/>
        <n v="14.49"/>
        <n v="14.52"/>
        <n v="14.53"/>
        <n v="14.57"/>
        <n v="14.64"/>
        <n v="14.71"/>
        <n v="14.82"/>
        <n v="14.98"/>
        <n v="15"/>
        <n v="15.2"/>
        <n v="15.21"/>
        <n v="15.22"/>
        <n v="15.25"/>
        <n v="15.26"/>
        <n v="15.38"/>
        <n v="15.6"/>
        <n v="15.75"/>
        <n v="15.8"/>
        <n v="15.98"/>
        <n v="16.53"/>
        <n v="16.63"/>
        <n v="16.66"/>
        <n v="16.67"/>
        <n v="16.69"/>
        <n v="16.7"/>
        <n v="16.76"/>
        <n v="17.04"/>
        <n v="17.05"/>
        <n v="17.2"/>
        <n v="17.29"/>
        <n v="17.52"/>
        <n v="17.57"/>
        <n v="17.65"/>
        <n v="17.67"/>
        <n v="17.98"/>
        <n v="18.17"/>
        <n v="18.22"/>
        <n v="18.28"/>
        <n v="18.58"/>
        <n v="18.59"/>
        <n v="18.74"/>
        <n v="18.77"/>
        <n v="18.84"/>
        <n v="18.85"/>
        <n v="18.94"/>
        <n v="18.96"/>
        <n v="18.97"/>
        <n v="19.33"/>
        <n v="19.38"/>
        <n v="19.42"/>
        <n v="19.69"/>
        <n v="19.79"/>
        <n v="19.83"/>
        <n v="19.93"/>
        <n v="20.15"/>
        <n v="20.36"/>
        <n v="20.5"/>
        <n v="20.89"/>
        <n v="21.07"/>
        <n v="21.08"/>
        <n v="21.09"/>
        <n v="21.24"/>
        <n v="21.41"/>
        <n v="21.43"/>
        <n v="21.55"/>
        <n v="21.61"/>
        <n v="21.66"/>
        <n v="21.71"/>
        <n v="21.93"/>
        <n v="22.02"/>
        <n v="22.04"/>
        <n v="22.07"/>
        <n v="22.16"/>
        <n v="22.2"/>
        <n v="22.33"/>
        <n v="22.74"/>
        <n v="22.9"/>
        <n v="22.92"/>
        <n v="22.97"/>
        <n v="23.05"/>
        <n v="23.18"/>
        <n v="23.24"/>
        <n v="23.34"/>
        <n v="23.36"/>
        <n v="23.37"/>
        <n v="23.51"/>
        <n v="23.79"/>
        <n v="23.86"/>
        <n v="23.93"/>
        <n v="24.36"/>
        <n v="24.38"/>
        <n v="24.49"/>
        <n v="24.55"/>
        <n v="24.64"/>
        <n v="24.74"/>
        <n v="24.75"/>
        <n v="24.84"/>
        <n v="25"/>
        <n v="25.15"/>
        <n v="25.23"/>
        <n v="25.27"/>
        <n v="25.32"/>
        <n v="25.4"/>
        <n v="25.59"/>
        <n v="25.62"/>
        <n v="25.71"/>
        <n v="25.82"/>
        <n v="25.89"/>
        <n v="26.04"/>
        <n v="26.11"/>
        <n v="26.15"/>
        <n v="26.18"/>
        <n v="26.23"/>
        <n v="26.25"/>
        <n v="26.3"/>
        <n v="26.54"/>
        <n v="26.75"/>
        <n v="26.78"/>
        <n v="26.93"/>
        <n v="26.97"/>
        <n v="27.04"/>
        <n v="27.19"/>
        <n v="27.38"/>
        <n v="27.4"/>
        <n v="27.43"/>
        <n v="27.49"/>
        <n v="27.68"/>
        <n v="27.77"/>
        <n v="27.78"/>
        <n v="28.23"/>
        <n v="28.27"/>
        <n v="28.28"/>
        <n v="28.42"/>
        <n v="28.57"/>
        <n v="28.61"/>
        <n v="28.68"/>
        <n v="28.7"/>
        <n v="28.83"/>
        <n v="28.95"/>
        <n v="29.09"/>
        <n v="29.26"/>
        <n v="29.28"/>
        <n v="29.31"/>
        <n v="29.51"/>
        <n v="29.64"/>
        <n v="29.67"/>
        <n v="29.97"/>
        <n v="30.11"/>
        <n v="30.21"/>
        <n v="30.27"/>
        <n v="30.44"/>
        <n v="30.55"/>
        <n v="30.79"/>
        <n v="30.8"/>
        <n v="31.11"/>
        <n v="31.15"/>
        <n v="31.48"/>
        <n v="31.52"/>
        <n v="31.76"/>
        <n v="31.94"/>
        <n v="31.99"/>
        <n v="32.22"/>
        <n v="32.26"/>
        <n v="32.4"/>
        <n v="32.42"/>
        <n v="32.5"/>
        <n v="32.51"/>
        <n v="32.53"/>
        <n v="32.57"/>
        <n v="32.58"/>
        <n v="32.62"/>
        <n v="32.7"/>
        <n v="32.73"/>
        <n v="32.77"/>
        <n v="32.81"/>
        <n v="33.18"/>
        <n v="33.25"/>
        <n v="33.39"/>
        <n v="33.52"/>
        <n v="33.54"/>
        <n v="33.6"/>
        <n v="33.65"/>
        <n v="33.67"/>
        <n v="33.96"/>
        <n v="33.98"/>
        <n v="34.16"/>
        <n v="34.18"/>
        <n v="34.2"/>
        <n v="34.36"/>
        <n v="34.38"/>
        <n v="34.62"/>
        <n v="34.69"/>
        <n v="34.75"/>
        <n v="34.79"/>
        <n v="34.86"/>
        <n v="34.89"/>
        <n v="34.9"/>
        <n v="35.03"/>
        <n v="35.35"/>
        <n v="35.57"/>
        <n v="35.68"/>
        <n v="35.93"/>
        <n v="36.03"/>
        <n v="36.05"/>
        <n v="36.15"/>
        <n v="36.17"/>
        <n v="36.22"/>
        <n v="36.3"/>
        <n v="36.59"/>
        <n v="36.62"/>
        <n v="36.64"/>
        <n v="36.71"/>
        <n v="36.88"/>
        <n v="36.92"/>
        <n v="36.94"/>
        <n v="37.01"/>
        <n v="37.03"/>
        <n v="37.08"/>
        <n v="37.26"/>
        <n v="37.35"/>
        <n v="37.39"/>
        <n v="37.4"/>
        <n v="37.52"/>
        <n v="37.69"/>
        <n v="37.71"/>
        <n v="37.79"/>
        <n v="37.85"/>
        <n v="37.87"/>
        <n v="37.92"/>
        <n v="37.93"/>
        <n v="37.96"/>
        <n v="38.02"/>
        <n v="38.21"/>
        <n v="38.27"/>
        <n v="38.34"/>
        <n v="38.39"/>
        <n v="38.44"/>
        <n v="38.45"/>
        <n v="38.47"/>
        <n v="38.48"/>
        <n v="38.49"/>
        <n v="38.54"/>
        <n v="38.6"/>
        <n v="38.69"/>
        <n v="38.8"/>
        <n v="38.84"/>
        <n v="38.87"/>
        <n v="39"/>
        <n v="39.1"/>
        <n v="39.24"/>
        <n v="39.29"/>
        <n v="39.44"/>
        <n v="39.5"/>
        <n v="39.54"/>
        <n v="39.64"/>
        <n v="39.69"/>
        <n v="39.72"/>
        <n v="39.89"/>
        <n v="40.01"/>
        <n v="40.25"/>
        <n v="40.33"/>
        <n v="40.34"/>
        <n v="40.36"/>
        <n v="40.4"/>
        <n v="40.44"/>
        <n v="40.61"/>
        <n v="40.63"/>
        <n v="40.67"/>
        <n v="40.72"/>
        <n v="40.73"/>
        <n v="40.75"/>
        <n v="40.78"/>
        <n v="40.95"/>
        <n v="41.18"/>
        <n v="41.29"/>
        <n v="41.32"/>
        <n v="41.41"/>
        <n v="41.46"/>
        <n v="41.47"/>
        <n v="41.5"/>
        <n v="41.55"/>
        <n v="41.58"/>
        <n v="41.6"/>
        <n v="41.63"/>
        <n v="41.66"/>
        <n v="41.67"/>
        <n v="41.77"/>
        <n v="41.9"/>
        <n v="41.95"/>
        <n v="42.01"/>
        <n v="42.04"/>
        <n v="42.09"/>
        <n v="42.32"/>
        <n v="42.39"/>
        <n v="42.4"/>
        <n v="42.43"/>
        <n v="42.47"/>
        <n v="42.53"/>
        <n v="42.56"/>
        <n v="42.58"/>
        <n v="42.6"/>
        <n v="42.7"/>
        <n v="42.77"/>
        <n v="42.79"/>
        <n v="42.9"/>
        <n v="42.97"/>
        <n v="42.98"/>
        <n v="43.04"/>
        <n v="43.09"/>
        <n v="43.16"/>
        <n v="43.27"/>
        <n v="43.36"/>
        <n v="43.45"/>
        <n v="43.47"/>
        <n v="43.48"/>
        <n v="43.51"/>
        <n v="43.53"/>
        <n v="43.61"/>
        <n v="43.68"/>
        <n v="43.7"/>
        <n v="43.71"/>
        <n v="43.75"/>
        <n v="43.8"/>
        <n v="43.9"/>
        <n v="43.93"/>
        <n v="44.09"/>
        <n v="44.1"/>
        <n v="44.14"/>
        <n v="44.16"/>
        <n v="44.19"/>
        <n v="44.23"/>
        <n v="44.34"/>
        <n v="44.37"/>
        <n v="44.38"/>
        <n v="44.44"/>
        <n v="44.45"/>
        <n v="44.48"/>
        <n v="44.52"/>
        <n v="44.62"/>
        <n v="44.65"/>
        <n v="44.69"/>
        <n v="44.78"/>
        <n v="44.8"/>
        <n v="44.85"/>
        <n v="44.86"/>
        <n v="44.9"/>
        <n v="44.94"/>
        <n v="44.98"/>
        <n v="45"/>
        <n v="45.03"/>
        <n v="45.07"/>
        <n v="45.14"/>
        <n v="45.26"/>
        <n v="45.3"/>
        <n v="45.34"/>
        <n v="45.36"/>
        <n v="45.41"/>
        <n v="45.44"/>
        <n v="45.5"/>
        <n v="45.53"/>
        <n v="45.61"/>
        <n v="45.64"/>
        <n v="45.7"/>
        <n v="45.72"/>
        <n v="45.82"/>
        <n v="45.91"/>
        <n v="45.92"/>
        <n v="45.94"/>
        <n v="46"/>
        <n v="46.02"/>
        <n v="46.04"/>
        <n v="46.05"/>
        <n v="46.07"/>
        <n v="46.17"/>
        <n v="46.2"/>
        <n v="46.21"/>
        <n v="46.36"/>
        <n v="46.38"/>
        <n v="46.47"/>
        <n v="46.54"/>
        <n v="46.56"/>
        <n v="46.67"/>
        <n v="46.69"/>
        <n v="46.7"/>
        <n v="46.76"/>
        <n v="46.78"/>
        <n v="46.82"/>
        <n v="46.85"/>
        <n v="46.86"/>
        <n v="46.87"/>
        <n v="46.9"/>
        <n v="46.96"/>
        <n v="46.98"/>
        <n v="47.06"/>
        <n v="47.07"/>
        <n v="47.08"/>
        <n v="47.13"/>
        <n v="47.22"/>
        <n v="47.29"/>
        <n v="47.3"/>
        <n v="47.34"/>
        <n v="47.36"/>
        <n v="47.37"/>
        <n v="47.45"/>
        <n v="47.46"/>
        <n v="47.5"/>
        <n v="47.52"/>
        <n v="47.55"/>
        <n v="47.56"/>
        <n v="47.65"/>
        <n v="47.72"/>
        <n v="47.75"/>
        <n v="47.83"/>
        <n v="47.94"/>
        <n v="47.99"/>
        <n v="48.01"/>
        <n v="48.02"/>
        <n v="48.05"/>
        <n v="48.15"/>
        <n v="48.17"/>
        <n v="48.2"/>
        <n v="48.32"/>
        <n v="48.34"/>
        <n v="48.4"/>
        <n v="48.44"/>
        <n v="48.46"/>
        <n v="48.47"/>
        <n v="48.5"/>
        <n v="48.52"/>
        <n v="48.53"/>
        <n v="48.54"/>
        <n v="48.58"/>
        <n v="48.61"/>
        <n v="48.67"/>
        <n v="48.69"/>
        <n v="48.77"/>
        <n v="48.78"/>
        <n v="48.79"/>
        <n v="48.81"/>
        <n v="48.85"/>
        <n v="48.86"/>
        <n v="48.87"/>
        <n v="48.88"/>
        <n v="48.92"/>
        <n v="48.94"/>
        <n v="49"/>
        <n v="49.02"/>
        <n v="49.03"/>
        <n v="49.07"/>
        <n v="49.09"/>
        <n v="49.22"/>
        <n v="49.28"/>
        <n v="49.3"/>
        <n v="49.36"/>
        <n v="49.38"/>
        <n v="49.43"/>
        <n v="49.53"/>
        <n v="49.54"/>
        <n v="49.55"/>
        <n v="49.62"/>
        <n v="49.71"/>
        <n v="49.75"/>
        <n v="49.76"/>
        <n v="49.77"/>
        <n v="49.84"/>
        <n v="49.86"/>
        <n v="49.9"/>
        <n v="49.92"/>
        <n v="49.96"/>
        <n v="50.01"/>
        <n v="50.15"/>
        <n v="50.33"/>
        <n v="50.37"/>
        <n v="50.5"/>
        <n v="50.52"/>
        <n v="50.54"/>
        <n v="50.57"/>
        <n v="50.62"/>
        <n v="50.65"/>
        <n v="50.68"/>
        <n v="50.91"/>
        <n v="50.97"/>
        <n v="50.98"/>
        <n v="50.99"/>
        <n v="51.03"/>
        <n v="51.14"/>
        <n v="51.32"/>
        <n v="51.34"/>
        <n v="51.35"/>
        <n v="51.53"/>
        <n v="51.71"/>
        <n v="51.74"/>
        <n v="51.86"/>
        <n v="51.9"/>
        <n v="52.16"/>
        <n v="52.17"/>
        <n v="52.39"/>
        <n v="52.4"/>
        <n v="52.58"/>
        <n v="52.59"/>
        <n v="52.68"/>
        <n v="52.69"/>
        <n v="52.75"/>
        <n v="52.8"/>
        <n v="53.29"/>
        <n v="53.37"/>
        <n v="53.39"/>
        <n v="53.44"/>
        <n v="53.57"/>
        <n v="53.69"/>
        <n v="53.76"/>
        <n v="53.83"/>
        <n v="53.86"/>
        <n v="53.89"/>
        <n v="53.9"/>
        <n v="53.91"/>
        <n v="53.93"/>
        <n v="53.96"/>
        <n v="53.99"/>
        <n v="54.12"/>
        <n v="54.36"/>
        <n v="54.6"/>
        <n v="54.75"/>
        <n v="54.93"/>
        <n v="54.99"/>
        <n v="55.01"/>
        <n v="55.16"/>
        <n v="55.2"/>
        <n v="55.48"/>
        <n v="55.94"/>
        <n v="56.33"/>
        <n v="56.42"/>
        <n v="56.46"/>
        <n v="56.57"/>
        <n v="56.69"/>
        <n v="56.71"/>
        <n v="56.74"/>
        <n v="56.76"/>
        <n v="56.94"/>
        <n v="56.97"/>
        <n v="57.02"/>
        <n v="57.04"/>
        <n v="57.37"/>
        <n v="57.43"/>
        <n v="57.63"/>
        <n v="57.64"/>
        <n v="57.65"/>
        <n v="57.86"/>
        <n v="57.93"/>
        <n v="58.24"/>
        <n v="58.29"/>
        <n v="58.4"/>
        <n v="58.48"/>
        <n v="58.6"/>
        <n v="58.73"/>
        <n v="58.75"/>
        <n v="58.76"/>
        <n v="58.81"/>
        <n v="58.82"/>
        <n v="58.87"/>
        <n v="59.22"/>
        <n v="59.45"/>
        <n v="59.78"/>
        <n v="59.85"/>
        <n v="59.95"/>
        <n v="60.04"/>
        <n v="60.09"/>
        <n v="60.13"/>
        <n v="60.2"/>
        <n v="60.22"/>
        <n v="60.24"/>
        <n v="60.25"/>
        <n v="60.29"/>
        <n v="60.33"/>
        <n v="60.4"/>
        <n v="60.44"/>
        <n v="60.61"/>
        <n v="61.07"/>
        <n v="61.12"/>
        <n v="61.15"/>
        <n v="61.37"/>
        <n v="61.43"/>
        <n v="61.49"/>
        <n v="61.65"/>
        <n v="61.68"/>
        <n v="61.88"/>
        <n v="61.89"/>
        <n v="62.13"/>
        <n v="62.14"/>
        <n v="62.28"/>
        <n v="62.72"/>
        <n v="62.84"/>
        <n v="62.93"/>
        <n v="62.95"/>
        <n v="62.96"/>
        <n v="63.25"/>
        <n v="63.39"/>
        <n v="63.42"/>
        <n v="63.48"/>
        <n v="63.51"/>
        <n v="63.52"/>
        <n v="63.55"/>
        <n v="63.57"/>
        <n v="63.78"/>
        <n v="63.79"/>
        <n v="63.87"/>
        <n v="64"/>
        <n v="64.78"/>
        <n v="65.03"/>
        <n v="65.09"/>
        <n v="65.21"/>
        <n v="65.32"/>
        <n v="65.35"/>
        <n v="65.48"/>
        <n v="65.99"/>
        <n v="66.06"/>
        <n v="66.15"/>
        <n v="66.26"/>
        <n v="66.41"/>
        <n v="66.44"/>
        <n v="67.33"/>
        <n v="67.52"/>
        <n v="67.76"/>
        <n v="67.83"/>
        <n v="68.07"/>
        <n v="68.18"/>
        <n v="68.19"/>
        <n v="68.33"/>
        <n v="68.36"/>
        <n v="68.55"/>
        <n v="68.63"/>
        <n v="68.9"/>
        <n v="69.1"/>
        <n v="69.62"/>
        <n v="69.73"/>
        <n v="70.12"/>
        <n v="70.31"/>
        <n v="70.42"/>
        <n v="70.52"/>
        <n v="70.53"/>
        <n v="70.57"/>
        <n v="70.67"/>
        <n v="70.69"/>
        <n v="71.2"/>
        <n v="71.28"/>
        <n v="71.41"/>
        <n v="71.45"/>
        <n v="71.94"/>
        <n v="71.99"/>
        <n v="72.03"/>
        <n v="72.07"/>
        <n v="72.17"/>
        <n v="72.22"/>
        <n v="72.58"/>
        <n v="72.64"/>
        <n v="72.87"/>
        <n v="72.97"/>
        <n v="72.98"/>
        <n v="73.09"/>
        <n v="73.53"/>
        <n v="73.56"/>
        <n v="73.64"/>
        <n v="73.7"/>
        <n v="74.3"/>
        <n v="74.73"/>
        <n v="74.84"/>
        <n v="75.04"/>
        <n v="75.07"/>
        <n v="75.23"/>
        <n v="75.51"/>
        <n v="75.59"/>
        <n v="75.61"/>
        <n v="75.73"/>
        <n v="75.99"/>
        <n v="76"/>
        <n v="76.05"/>
        <n v="76.06"/>
        <n v="76.2"/>
        <n v="76.3"/>
        <n v="76.5"/>
        <n v="76.55"/>
        <n v="77.19"/>
        <n v="77.33"/>
        <n v="77.61"/>
        <n v="77.78"/>
        <n v="78.4"/>
        <n v="78.41"/>
        <n v="78.45"/>
        <n v="78.6"/>
        <n v="78.86"/>
        <n v="78.89"/>
        <n v="79"/>
        <n v="79.02"/>
        <n v="79.07"/>
        <n v="79.15"/>
        <n v="79.2"/>
        <n v="79.36"/>
        <n v="79.4"/>
        <n v="79.44"/>
        <n v="79.49"/>
        <n v="79.75"/>
        <n v="79.76"/>
        <n v="80.15"/>
        <n v="80.26"/>
        <n v="80.3"/>
        <n v="80.32"/>
        <n v="80.35"/>
        <n v="80.93"/>
        <n v="80.96"/>
        <n v="81.2"/>
        <n v="81.41"/>
        <n v="81.59"/>
        <n v="81.68"/>
        <n v="82.22"/>
        <n v="82.36"/>
        <n v="82.48"/>
        <n v="82.54"/>
        <n v="83.12"/>
        <n v="83.7"/>
        <n v="83.86"/>
        <n v="84.11"/>
        <n v="84.21"/>
        <n v="84.25"/>
        <n v="84.64"/>
        <n v="84.86"/>
        <n v="85.23"/>
        <n v="85.32"/>
        <n v="85.37"/>
        <n v="85.39"/>
        <n v="85.61"/>
        <n v="86.21"/>
        <n v="86.24"/>
        <n v="86.47"/>
        <n v="86.8"/>
        <n v="87.33"/>
        <n v="87.47"/>
        <n v="87.9"/>
        <n v="88.29"/>
        <n v="88.4"/>
        <n v="88.42"/>
        <n v="88.7"/>
        <n v="88.86"/>
        <n v="89.64"/>
        <n v="89.9"/>
        <n v="89.98"/>
        <n v="89.99"/>
        <n v="90.23"/>
        <n v="90.25"/>
        <n v="90.78"/>
        <n v="90.89"/>
        <n v="91.16"/>
        <n v="91.41"/>
        <n v="91.44"/>
        <n v="91.46"/>
        <n v="91.5"/>
        <n v="91.64"/>
        <n v="91.77"/>
        <n v="92.19"/>
        <n v="92.6"/>
        <n v="93.01"/>
        <n v="93.07"/>
        <n v="93.15"/>
        <n v="93.28"/>
        <n v="93.29"/>
        <n v="93.31"/>
        <n v="93.39"/>
        <n v="93.58"/>
        <n v="93.63"/>
        <n v="93.64"/>
        <n v="93.7"/>
        <n v="94.08"/>
        <n v="94.21"/>
        <n v="94.28"/>
        <n v="94.69"/>
        <n v="94.8"/>
        <n v="94.91"/>
        <n v="95.06"/>
        <n v="95.19"/>
        <n v="95.65"/>
        <n v="95.79"/>
        <n v="96.08"/>
        <n v="96.65"/>
        <n v="96.86"/>
        <n v="97.34"/>
        <n v="97.86"/>
        <n v="97.96"/>
        <n v="98.14"/>
        <n v="98.25"/>
        <n v="98.29"/>
        <n v="98.53"/>
        <n v="98.54"/>
        <n v="98.91"/>
        <n v="99.02"/>
        <n v="99.33"/>
        <n v="99.46"/>
        <n v="99.64"/>
        <n v="100.21"/>
        <n v="100.45"/>
        <n v="100.46"/>
        <n v="100.96"/>
        <n v="101.01"/>
        <n v="101.13"/>
        <n v="101.15"/>
        <n v="101.29"/>
        <n v="101.37"/>
        <n v="101.57"/>
        <n v="102.28"/>
        <n v="102.33"/>
        <n v="102.4"/>
        <n v="102.48"/>
        <n v="102.74"/>
        <n v="102.8"/>
        <n v="102.91"/>
        <n v="102.94"/>
        <n v="102.96"/>
        <n v="103.03"/>
        <n v="103.17"/>
        <n v="103.31"/>
        <n v="103.67"/>
        <n v="103.73"/>
        <n v="103.9"/>
        <n v="103.95"/>
        <n v="103.99"/>
        <n v="104.24"/>
        <n v="104.55"/>
        <n v="104.76"/>
        <n v="104.92"/>
        <n v="104.95"/>
        <n v="105.07"/>
        <n v="105.4"/>
        <n v="105.53"/>
        <n v="105.75"/>
        <n v="106.09"/>
        <n v="106.28"/>
        <n v="106.42"/>
        <n v="106.49"/>
        <n v="106.5"/>
        <n v="106.79"/>
        <n v="107.22"/>
        <n v="107.76"/>
        <n v="107.92"/>
        <n v="108.43"/>
        <n v="108.87"/>
        <n v="109.01"/>
        <n v="109.1"/>
        <n v="109.22"/>
        <n v="109.5"/>
        <n v="109.68"/>
        <n v="109.89"/>
        <n v="110.17"/>
        <n v="111.03"/>
        <n v="111.17"/>
        <n v="111.43"/>
        <n v="111.59"/>
        <n v="111.6"/>
        <n v="111.62"/>
        <n v="111.84"/>
        <n v="112.12"/>
        <n v="112.55"/>
        <n v="112.63"/>
        <n v="113.36"/>
        <n v="113.5"/>
        <n v="113.55"/>
        <n v="113.57"/>
        <n v="113.62"/>
        <n v="114"/>
        <n v="114.44"/>
        <n v="114.53"/>
        <n v="114.75"/>
        <n v="114.81"/>
        <n v="114.94"/>
        <n v="115.1"/>
        <n v="115.61"/>
        <n v="117.1"/>
        <n v="117.42"/>
        <n v="117.53"/>
        <n v="117.94"/>
        <n v="117.97"/>
        <n v="118.25"/>
        <n v="118.35"/>
        <n v="118.54"/>
        <n v="119.24"/>
        <n v="119.37"/>
        <n v="120.85"/>
        <n v="120.93"/>
        <n v="121.59"/>
        <n v="121.81"/>
        <n v="122.1"/>
        <n v="122.44"/>
        <n v="122.67"/>
        <n v="122.85"/>
        <n v="123.3"/>
        <n v="123.53"/>
        <n v="123.55"/>
        <n v="123.57"/>
        <n v="123.6"/>
        <n v="123.71"/>
        <n v="124.11"/>
        <n v="124.26"/>
        <n v="124.3"/>
        <n v="124.66"/>
        <n v="125.08"/>
        <n v="125.39"/>
        <n v="125.95"/>
        <n v="125.97"/>
        <n v="126.2"/>
        <n v="126.3"/>
        <n v="126.45"/>
        <n v="127.42"/>
        <n v="127.87"/>
        <n v="128.06"/>
        <n v="128.72"/>
        <n v="130.15"/>
        <n v="130.33"/>
        <n v="130.73"/>
        <n v="130.89"/>
        <n v="131.02"/>
        <n v="131.18"/>
        <n v="131.27"/>
        <n v="131.53"/>
        <n v="131.67"/>
        <n v="131.68"/>
        <n v="131.94"/>
        <n v="131.99"/>
        <n v="132.17"/>
        <n v="132.2"/>
        <n v="132.58"/>
        <n v="133.11"/>
        <n v="133.19"/>
        <n v="133.29"/>
        <n v="133.51"/>
        <n v="133.75"/>
        <n v="133.92"/>
        <n v="134.14"/>
        <n v="134.49"/>
        <n v="135.21"/>
        <n v="135.3"/>
        <n v="135.37"/>
        <n v="135.47"/>
        <n v="135.68"/>
        <n v="135.75"/>
        <n v="135.94"/>
        <n v="136.57"/>
        <n v="136.75"/>
        <n v="136.91"/>
        <n v="137.16"/>
        <n v="137.19"/>
        <n v="137.25"/>
        <n v="137.36"/>
        <n v="137.91"/>
        <n v="138.68"/>
        <n v="139.85"/>
        <n v="139.96"/>
        <n v="141.66"/>
        <n v="142.2"/>
        <n v="143.2"/>
        <n v="143.58"/>
        <n v="143.87"/>
        <n v="144.02"/>
        <n v="144.07"/>
        <n v="144.08"/>
        <n v="144.14"/>
        <n v="144.34"/>
        <n v="145.02"/>
        <n v="145.24"/>
        <n v="145.41"/>
        <n v="146.02"/>
        <n v="146.11"/>
        <n v="146.18"/>
        <n v="146.23"/>
        <n v="147.98"/>
        <n v="148.85"/>
        <n v="149.04"/>
        <n v="149.53"/>
        <n v="149.68"/>
        <n v="149.69"/>
        <n v="150.29"/>
        <n v="150.31"/>
        <n v="150.79"/>
        <n v="150.81"/>
        <n v="152.47"/>
        <n v="152.49"/>
        <n v="152.53"/>
        <n v="152.69"/>
        <n v="153.33"/>
        <n v="154.83"/>
        <n v="156.01"/>
        <n v="156.53"/>
        <n v="157.36"/>
        <n v="157.4"/>
        <n v="157.49"/>
        <n v="158.34"/>
        <n v="158.7"/>
        <n v="158.75"/>
        <n v="159.21"/>
        <n v="159.73"/>
        <n v="161.54"/>
        <n v="161.66"/>
        <n v="161.82"/>
        <n v="162.12"/>
        <n v="162.34"/>
        <n v="162.6"/>
        <n v="163.42"/>
        <n v="164.37"/>
        <n v="165.15"/>
        <n v="165.37"/>
        <n v="166.05"/>
        <n v="166.35"/>
        <n v="168.66"/>
        <n v="169.2"/>
        <n v="169.23"/>
        <n v="169.8"/>
        <n v="172.64"/>
        <n v="172.73"/>
        <n v="173.01"/>
        <n v="173.32"/>
        <n v="173.61"/>
        <n v="173.68"/>
        <n v="173.89"/>
        <n v="174.12"/>
        <n v="174.16"/>
        <n v="174.98"/>
        <n v="176.24"/>
        <n v="176.46"/>
        <n v="176.76"/>
        <n v="178.02"/>
        <n v="178.2"/>
        <n v="178.41"/>
        <n v="178.61"/>
        <n v="178.64"/>
        <n v="182.55"/>
        <n v="182.62"/>
        <n v="182.77"/>
        <n v="183.46"/>
        <n v="183.65"/>
        <n v="184.01"/>
        <n v="184.87"/>
        <n v="184.97"/>
        <n v="186.25"/>
        <n v="186.41"/>
        <n v="186.49"/>
        <n v="186.59"/>
        <n v="186.75"/>
        <n v="187.33"/>
        <n v="190.03"/>
        <n v="190.05"/>
        <n v="190.88"/>
        <n v="192.62"/>
        <n v="193.55"/>
        <n v="193.56"/>
        <n v="193.93"/>
        <n v="197.24"/>
        <n v="197.67"/>
        <n v="198.93"/>
        <n v="199.23"/>
        <n v="200.08"/>
        <n v="200.71"/>
        <n v="202.23"/>
        <n v="202.76"/>
        <n v="204.34"/>
        <n v="204.96"/>
        <n v="205.33"/>
        <n v="205.73"/>
        <n v="206.61"/>
        <n v="207.74"/>
        <n v="207.89"/>
        <n v="208.19"/>
        <n v="208.36"/>
        <n v="208.43"/>
        <n v="208.64"/>
        <n v="208.88"/>
        <n v="209.19"/>
        <n v="210.93"/>
        <n v="211.04"/>
        <n v="211.33"/>
        <n v="211.34"/>
        <n v="211.95"/>
        <n v="213.43"/>
        <n v="213.78"/>
        <n v="215.78"/>
        <n v="216.12"/>
        <n v="216.34"/>
        <n v="217.08"/>
        <n v="217.2"/>
        <n v="218.18"/>
        <n v="219.59"/>
        <n v="219.94"/>
        <n v="220.66"/>
        <n v="221.56"/>
        <n v="224.9"/>
        <n v="225.1"/>
        <n v="227.2"/>
        <n v="227.74"/>
        <n v="227.81"/>
        <n v="228.18"/>
        <n v="230.06"/>
        <n v="230.28"/>
        <n v="230.72"/>
        <n v="231.78"/>
        <n v="234.47"/>
        <n v="236.95"/>
        <n v="238.24"/>
        <n v="238.59"/>
        <n v="238.72"/>
        <n v="239.35"/>
        <n v="239.76"/>
        <n v="240.25"/>
        <n v="240.69"/>
        <n v="240.89"/>
        <n v="241.83"/>
        <n v="246.12"/>
        <n v="247.17"/>
        <n v="247.4"/>
        <n v="248.04"/>
        <n v="248.42"/>
        <n v="248.62"/>
        <n v="250.74"/>
        <n v="257.55"/>
        <n v="257.74"/>
        <n v="263.63"/>
        <n v="263.82"/>
        <n v="265.83"/>
        <n v="266.27"/>
        <n v="268.53"/>
        <n v="269.96"/>
        <n v="270.19"/>
        <n v="277.99"/>
        <n v="279.31"/>
        <n v="281.84"/>
        <n v="283.45"/>
        <n v="287.24"/>
        <n v="291.43"/>
        <n v="292.57"/>
        <n v="292.79"/>
        <n v="293.47"/>
        <n v="293.89"/>
        <n v="293.92"/>
        <n v="296.99"/>
        <n v="297.57"/>
        <n v="307.77"/>
        <n v="309.25"/>
        <n v="320.5"/>
        <n v="324.1"/>
        <n v="332.49"/>
        <n v="334.49"/>
        <n v="338.7"/>
        <n v="345.1"/>
        <n v="348.11"/>
        <n v="349.87"/>
        <n v="350.83"/>
        <n v="357.2"/>
        <n v="359.87"/>
        <n v="360.83"/>
        <n v="366.89"/>
        <n v="375.8"/>
        <n v="379.18"/>
        <n v="391.22"/>
        <n v="397.16"/>
        <n v="399.22"/>
        <n v="413.9"/>
        <n v="419.47"/>
        <n v="530.78"/>
        <n v="539.54"/>
        <n v="593.72"/>
        <n v="837.32"/>
        <n v="907.56"/>
      </sharedItems>
    </cacheField>
    <cacheField name="CADASTRO" numFmtId="0">
      <sharedItems containsSemiMixedTypes="0" containsString="0" containsNumber="1" minValue="0" maxValue="907.56" count="1363">
        <n v="0"/>
        <n v="0.59"/>
        <n v="0.6"/>
        <n v="0.66"/>
        <n v="0.67"/>
        <n v="0.71"/>
        <n v="0.73"/>
        <n v="0.77"/>
        <n v="0.79"/>
        <n v="0.9"/>
        <n v="0.96"/>
        <n v="0.98"/>
        <n v="1.02"/>
        <n v="1.13"/>
        <n v="1.14"/>
        <n v="1.22"/>
        <n v="1.31"/>
        <n v="1.39"/>
        <n v="1.4"/>
        <n v="1.5"/>
        <n v="1.51"/>
        <n v="1.54"/>
        <n v="1.57"/>
        <n v="1.72"/>
        <n v="1.82"/>
        <n v="1.84"/>
        <n v="1.86"/>
        <n v="1.93"/>
        <n v="1.94"/>
        <n v="1.95"/>
        <n v="1.96"/>
        <n v="1.98"/>
        <n v="1.99"/>
        <n v="2"/>
        <n v="2.03"/>
        <n v="2.05"/>
        <n v="2.07"/>
        <n v="2.4"/>
        <n v="2.42"/>
        <n v="2.46"/>
        <n v="2.47"/>
        <n v="2.5"/>
        <n v="2.51"/>
        <n v="2.53"/>
        <n v="2.62"/>
        <n v="2.68"/>
        <n v="2.69"/>
        <n v="2.77"/>
        <n v="2.78"/>
        <n v="2.8"/>
        <n v="2.82"/>
        <n v="2.88"/>
        <n v="2.92"/>
        <n v="2.97"/>
        <n v="2.99"/>
        <n v="3.02"/>
        <n v="3.04"/>
        <n v="3.07"/>
        <n v="3.11"/>
        <n v="3.17"/>
        <n v="3.22"/>
        <n v="3.26"/>
        <n v="3.31"/>
        <n v="3.45"/>
        <n v="3.46"/>
        <n v="3.47"/>
        <n v="3.58"/>
        <n v="3.59"/>
        <n v="3.62"/>
        <n v="3.63"/>
        <n v="3.7"/>
        <n v="3.73"/>
        <n v="3.77"/>
        <n v="3.81"/>
        <n v="3.9"/>
        <n v="3.92"/>
        <n v="4.01"/>
        <n v="4.05"/>
        <n v="4.09"/>
        <n v="4.2"/>
        <n v="4.24"/>
        <n v="4.32"/>
        <n v="4.36"/>
        <n v="4.41"/>
        <n v="4.44"/>
        <n v="4.45"/>
        <n v="4.47"/>
        <n v="4.51"/>
        <n v="4.58"/>
        <n v="4.7"/>
        <n v="4.72"/>
        <n v="4.88"/>
        <n v="4.9"/>
        <n v="4.94"/>
        <n v="5.08"/>
        <n v="5.09"/>
        <n v="5.12"/>
        <n v="5.16"/>
        <n v="5.17"/>
        <n v="5.19"/>
        <n v="5.24"/>
        <n v="5.25"/>
        <n v="5.34"/>
        <n v="5.35"/>
        <n v="5.49"/>
        <n v="5.56"/>
        <n v="5.57"/>
        <n v="5.58"/>
        <n v="5.6"/>
        <n v="5.67"/>
        <n v="5.71"/>
        <n v="5.78"/>
        <n v="5.79"/>
        <n v="5.94"/>
        <n v="5.99"/>
        <n v="6"/>
        <n v="6.04"/>
        <n v="6.05"/>
        <n v="6.14"/>
        <n v="6.2"/>
        <n v="6.22"/>
        <n v="6.41"/>
        <n v="6.56"/>
        <n v="6.66"/>
        <n v="6.72"/>
        <n v="6.73"/>
        <n v="6.74"/>
        <n v="6.78"/>
        <n v="6.81"/>
        <n v="6.83"/>
        <n v="6.96"/>
        <n v="7.02"/>
        <n v="7.26"/>
        <n v="7.31"/>
        <n v="7.61"/>
        <n v="7.65"/>
        <n v="7.85"/>
        <n v="7.91"/>
        <n v="7.97"/>
        <n v="8.04"/>
        <n v="8.07"/>
        <n v="8.1"/>
        <n v="8.22"/>
        <n v="8.27"/>
        <n v="8.3"/>
        <n v="8.36"/>
        <n v="8.38"/>
        <n v="8.53"/>
        <n v="8.61"/>
        <n v="8.79"/>
        <n v="8.89"/>
        <n v="9.03"/>
        <n v="9.05"/>
        <n v="9.11"/>
        <n v="9.44"/>
        <n v="9.9"/>
        <n v="10.36"/>
        <n v="10.38"/>
        <n v="10.43"/>
        <n v="10.59"/>
        <n v="10.64"/>
        <n v="10.66"/>
        <n v="10.69"/>
        <n v="10.84"/>
        <n v="10.86"/>
        <n v="10.93"/>
        <n v="11.01"/>
        <n v="11.16"/>
        <n v="11.2"/>
        <n v="11.24"/>
        <n v="11.25"/>
        <n v="11.41"/>
        <n v="11.6"/>
        <n v="11.62"/>
        <n v="11.74"/>
        <n v="11.77"/>
        <n v="12.04"/>
        <n v="12.06"/>
        <n v="12.12"/>
        <n v="12.37"/>
        <n v="12.47"/>
        <n v="12.48"/>
        <n v="12.53"/>
        <n v="12.73"/>
        <n v="12.78"/>
        <n v="12.86"/>
        <n v="12.87"/>
        <n v="12.88"/>
        <n v="13.13"/>
        <n v="13.16"/>
        <n v="13.21"/>
        <n v="13.38"/>
        <n v="13.65"/>
        <n v="13.87"/>
        <n v="14.26"/>
        <n v="14.39"/>
        <n v="14.46"/>
        <n v="14.49"/>
        <n v="14.52"/>
        <n v="14.53"/>
        <n v="14.57"/>
        <n v="14.64"/>
        <n v="14.71"/>
        <n v="14.82"/>
        <n v="14.98"/>
        <n v="15"/>
        <n v="15.2"/>
        <n v="15.21"/>
        <n v="15.22"/>
        <n v="15.25"/>
        <n v="15.26"/>
        <n v="15.38"/>
        <n v="15.6"/>
        <n v="15.75"/>
        <n v="15.8"/>
        <n v="15.98"/>
        <n v="16.53"/>
        <n v="16.63"/>
        <n v="16.66"/>
        <n v="16.67"/>
        <n v="16.69"/>
        <n v="16.7"/>
        <n v="16.76"/>
        <n v="17.04"/>
        <n v="17.05"/>
        <n v="17.2"/>
        <n v="17.29"/>
        <n v="17.52"/>
        <n v="17.57"/>
        <n v="17.65"/>
        <n v="17.67"/>
        <n v="17.98"/>
        <n v="18.17"/>
        <n v="18.22"/>
        <n v="18.28"/>
        <n v="18.58"/>
        <n v="18.59"/>
        <n v="18.74"/>
        <n v="18.77"/>
        <n v="18.84"/>
        <n v="18.85"/>
        <n v="18.94"/>
        <n v="18.96"/>
        <n v="18.97"/>
        <n v="19.33"/>
        <n v="19.38"/>
        <n v="19.42"/>
        <n v="19.69"/>
        <n v="19.79"/>
        <n v="19.83"/>
        <n v="19.93"/>
        <n v="20.15"/>
        <n v="20.36"/>
        <n v="20.5"/>
        <n v="20.89"/>
        <n v="21.07"/>
        <n v="21.08"/>
        <n v="21.09"/>
        <n v="21.24"/>
        <n v="21.41"/>
        <n v="21.43"/>
        <n v="21.55"/>
        <n v="21.61"/>
        <n v="21.66"/>
        <n v="21.71"/>
        <n v="21.93"/>
        <n v="22.02"/>
        <n v="22.04"/>
        <n v="22.07"/>
        <n v="22.16"/>
        <n v="22.2"/>
        <n v="22.33"/>
        <n v="22.74"/>
        <n v="22.9"/>
        <n v="22.92"/>
        <n v="22.97"/>
        <n v="23.05"/>
        <n v="23.18"/>
        <n v="23.24"/>
        <n v="23.34"/>
        <n v="23.36"/>
        <n v="23.37"/>
        <n v="23.51"/>
        <n v="23.79"/>
        <n v="23.86"/>
        <n v="23.93"/>
        <n v="24.36"/>
        <n v="24.38"/>
        <n v="24.49"/>
        <n v="24.55"/>
        <n v="24.64"/>
        <n v="24.74"/>
        <n v="24.75"/>
        <n v="24.84"/>
        <n v="25"/>
        <n v="25.15"/>
        <n v="25.23"/>
        <n v="25.27"/>
        <n v="25.32"/>
        <n v="25.4"/>
        <n v="25.59"/>
        <n v="25.62"/>
        <n v="25.71"/>
        <n v="25.82"/>
        <n v="25.89"/>
        <n v="26.04"/>
        <n v="26.11"/>
        <n v="26.15"/>
        <n v="26.18"/>
        <n v="26.23"/>
        <n v="26.25"/>
        <n v="26.3"/>
        <n v="26.54"/>
        <n v="26.75"/>
        <n v="26.78"/>
        <n v="26.93"/>
        <n v="26.97"/>
        <n v="27.04"/>
        <n v="27.19"/>
        <n v="27.38"/>
        <n v="27.4"/>
        <n v="27.43"/>
        <n v="27.49"/>
        <n v="27.68"/>
        <n v="27.77"/>
        <n v="27.78"/>
        <n v="28.23"/>
        <n v="28.27"/>
        <n v="28.28"/>
        <n v="28.42"/>
        <n v="28.57"/>
        <n v="28.61"/>
        <n v="28.68"/>
        <n v="28.7"/>
        <n v="28.83"/>
        <n v="28.95"/>
        <n v="29.09"/>
        <n v="29.26"/>
        <n v="29.28"/>
        <n v="29.31"/>
        <n v="29.51"/>
        <n v="29.64"/>
        <n v="29.67"/>
        <n v="29.97"/>
        <n v="30.11"/>
        <n v="30.21"/>
        <n v="30.27"/>
        <n v="30.44"/>
        <n v="30.55"/>
        <n v="30.79"/>
        <n v="30.8"/>
        <n v="31.11"/>
        <n v="31.15"/>
        <n v="31.48"/>
        <n v="31.52"/>
        <n v="31.76"/>
        <n v="31.94"/>
        <n v="31.99"/>
        <n v="32.22"/>
        <n v="32.26"/>
        <n v="32.4"/>
        <n v="32.42"/>
        <n v="32.5"/>
        <n v="32.51"/>
        <n v="32.53"/>
        <n v="32.57"/>
        <n v="32.58"/>
        <n v="32.62"/>
        <n v="32.7"/>
        <n v="32.73"/>
        <n v="32.77"/>
        <n v="32.81"/>
        <n v="33.18"/>
        <n v="33.25"/>
        <n v="33.39"/>
        <n v="33.52"/>
        <n v="33.54"/>
        <n v="33.6"/>
        <n v="33.65"/>
        <n v="33.67"/>
        <n v="33.96"/>
        <n v="33.98"/>
        <n v="34.16"/>
        <n v="34.18"/>
        <n v="34.2"/>
        <n v="34.36"/>
        <n v="34.38"/>
        <n v="34.62"/>
        <n v="34.69"/>
        <n v="34.75"/>
        <n v="34.79"/>
        <n v="34.86"/>
        <n v="34.89"/>
        <n v="34.9"/>
        <n v="35.03"/>
        <n v="35.35"/>
        <n v="35.57"/>
        <n v="35.68"/>
        <n v="35.93"/>
        <n v="36.03"/>
        <n v="36.05"/>
        <n v="36.15"/>
        <n v="36.17"/>
        <n v="36.22"/>
        <n v="36.3"/>
        <n v="36.59"/>
        <n v="36.62"/>
        <n v="36.64"/>
        <n v="36.71"/>
        <n v="36.88"/>
        <n v="36.92"/>
        <n v="36.94"/>
        <n v="37.01"/>
        <n v="37.03"/>
        <n v="37.08"/>
        <n v="37.26"/>
        <n v="37.35"/>
        <n v="37.39"/>
        <n v="37.4"/>
        <n v="37.52"/>
        <n v="37.69"/>
        <n v="37.71"/>
        <n v="37.79"/>
        <n v="37.85"/>
        <n v="37.87"/>
        <n v="37.92"/>
        <n v="37.93"/>
        <n v="37.96"/>
        <n v="38.02"/>
        <n v="38.21"/>
        <n v="38.27"/>
        <n v="38.34"/>
        <n v="38.39"/>
        <n v="38.44"/>
        <n v="38.45"/>
        <n v="38.47"/>
        <n v="38.48"/>
        <n v="38.49"/>
        <n v="38.54"/>
        <n v="38.6"/>
        <n v="38.69"/>
        <n v="38.8"/>
        <n v="38.84"/>
        <n v="38.87"/>
        <n v="39"/>
        <n v="39.1"/>
        <n v="39.24"/>
        <n v="39.29"/>
        <n v="39.44"/>
        <n v="39.5"/>
        <n v="39.54"/>
        <n v="39.64"/>
        <n v="39.69"/>
        <n v="39.72"/>
        <n v="39.89"/>
        <n v="40.01"/>
        <n v="40.25"/>
        <n v="40.33"/>
        <n v="40.34"/>
        <n v="40.36"/>
        <n v="40.4"/>
        <n v="40.44"/>
        <n v="40.61"/>
        <n v="40.63"/>
        <n v="40.67"/>
        <n v="40.72"/>
        <n v="40.73"/>
        <n v="40.75"/>
        <n v="40.78"/>
        <n v="40.95"/>
        <n v="41.18"/>
        <n v="41.29"/>
        <n v="41.32"/>
        <n v="41.41"/>
        <n v="41.46"/>
        <n v="41.47"/>
        <n v="41.5"/>
        <n v="41.55"/>
        <n v="41.58"/>
        <n v="41.6"/>
        <n v="41.63"/>
        <n v="41.66"/>
        <n v="41.67"/>
        <n v="41.77"/>
        <n v="41.9"/>
        <n v="41.95"/>
        <n v="42.01"/>
        <n v="42.04"/>
        <n v="42.09"/>
        <n v="42.32"/>
        <n v="42.39"/>
        <n v="42.4"/>
        <n v="42.43"/>
        <n v="42.47"/>
        <n v="42.53"/>
        <n v="42.56"/>
        <n v="42.58"/>
        <n v="42.6"/>
        <n v="42.7"/>
        <n v="42.77"/>
        <n v="42.79"/>
        <n v="42.9"/>
        <n v="42.97"/>
        <n v="42.98"/>
        <n v="43.04"/>
        <n v="43.09"/>
        <n v="43.16"/>
        <n v="43.27"/>
        <n v="43.36"/>
        <n v="43.45"/>
        <n v="43.47"/>
        <n v="43.48"/>
        <n v="43.51"/>
        <n v="43.53"/>
        <n v="43.61"/>
        <n v="43.68"/>
        <n v="43.7"/>
        <n v="43.71"/>
        <n v="43.75"/>
        <n v="43.8"/>
        <n v="43.9"/>
        <n v="43.93"/>
        <n v="44.09"/>
        <n v="44.1"/>
        <n v="44.14"/>
        <n v="44.16"/>
        <n v="44.19"/>
        <n v="44.23"/>
        <n v="44.34"/>
        <n v="44.37"/>
        <n v="44.38"/>
        <n v="44.44"/>
        <n v="44.45"/>
        <n v="44.48"/>
        <n v="44.52"/>
        <n v="44.62"/>
        <n v="44.65"/>
        <n v="44.69"/>
        <n v="44.78"/>
        <n v="44.8"/>
        <n v="44.85"/>
        <n v="44.86"/>
        <n v="44.9"/>
        <n v="44.94"/>
        <n v="44.98"/>
        <n v="45"/>
        <n v="45.03"/>
        <n v="45.07"/>
        <n v="45.14"/>
        <n v="45.26"/>
        <n v="45.3"/>
        <n v="45.34"/>
        <n v="45.36"/>
        <n v="45.41"/>
        <n v="45.44"/>
        <n v="45.5"/>
        <n v="45.53"/>
        <n v="45.61"/>
        <n v="45.64"/>
        <n v="45.7"/>
        <n v="45.72"/>
        <n v="45.82"/>
        <n v="45.91"/>
        <n v="45.92"/>
        <n v="45.94"/>
        <n v="46"/>
        <n v="46.02"/>
        <n v="46.04"/>
        <n v="46.05"/>
        <n v="46.07"/>
        <n v="46.17"/>
        <n v="46.2"/>
        <n v="46.21"/>
        <n v="46.36"/>
        <n v="46.38"/>
        <n v="46.47"/>
        <n v="46.54"/>
        <n v="46.56"/>
        <n v="46.67"/>
        <n v="46.69"/>
        <n v="46.7"/>
        <n v="46.76"/>
        <n v="46.78"/>
        <n v="46.82"/>
        <n v="46.85"/>
        <n v="46.86"/>
        <n v="46.87"/>
        <n v="46.9"/>
        <n v="46.96"/>
        <n v="46.98"/>
        <n v="47.06"/>
        <n v="47.07"/>
        <n v="47.08"/>
        <n v="47.13"/>
        <n v="47.22"/>
        <n v="47.29"/>
        <n v="47.3"/>
        <n v="47.34"/>
        <n v="47.36"/>
        <n v="47.37"/>
        <n v="47.45"/>
        <n v="47.46"/>
        <n v="47.5"/>
        <n v="47.52"/>
        <n v="47.55"/>
        <n v="47.56"/>
        <n v="47.65"/>
        <n v="47.72"/>
        <n v="47.75"/>
        <n v="47.83"/>
        <n v="47.94"/>
        <n v="47.99"/>
        <n v="48.01"/>
        <n v="48.02"/>
        <n v="48.05"/>
        <n v="48.15"/>
        <n v="48.17"/>
        <n v="48.2"/>
        <n v="48.32"/>
        <n v="48.34"/>
        <n v="48.4"/>
        <n v="48.44"/>
        <n v="48.46"/>
        <n v="48.47"/>
        <n v="48.5"/>
        <n v="48.52"/>
        <n v="48.53"/>
        <n v="48.54"/>
        <n v="48.58"/>
        <n v="48.61"/>
        <n v="48.67"/>
        <n v="48.69"/>
        <n v="48.77"/>
        <n v="48.78"/>
        <n v="48.79"/>
        <n v="48.81"/>
        <n v="48.85"/>
        <n v="48.86"/>
        <n v="48.87"/>
        <n v="48.88"/>
        <n v="48.92"/>
        <n v="48.94"/>
        <n v="49"/>
        <n v="49.02"/>
        <n v="49.03"/>
        <n v="49.07"/>
        <n v="49.09"/>
        <n v="49.22"/>
        <n v="49.28"/>
        <n v="49.3"/>
        <n v="49.36"/>
        <n v="49.38"/>
        <n v="49.43"/>
        <n v="49.53"/>
        <n v="49.54"/>
        <n v="49.55"/>
        <n v="49.62"/>
        <n v="49.71"/>
        <n v="49.75"/>
        <n v="49.76"/>
        <n v="49.77"/>
        <n v="49.84"/>
        <n v="49.86"/>
        <n v="49.9"/>
        <n v="49.92"/>
        <n v="49.96"/>
        <n v="50.01"/>
        <n v="50.15"/>
        <n v="50.33"/>
        <n v="50.37"/>
        <n v="50.5"/>
        <n v="50.52"/>
        <n v="50.54"/>
        <n v="50.57"/>
        <n v="50.62"/>
        <n v="50.65"/>
        <n v="50.68"/>
        <n v="50.91"/>
        <n v="50.97"/>
        <n v="50.98"/>
        <n v="50.99"/>
        <n v="51.03"/>
        <n v="51.14"/>
        <n v="51.32"/>
        <n v="51.34"/>
        <n v="51.35"/>
        <n v="51.53"/>
        <n v="51.71"/>
        <n v="51.74"/>
        <n v="51.86"/>
        <n v="51.9"/>
        <n v="52.16"/>
        <n v="52.17"/>
        <n v="52.39"/>
        <n v="52.4"/>
        <n v="52.58"/>
        <n v="52.59"/>
        <n v="52.68"/>
        <n v="52.69"/>
        <n v="52.75"/>
        <n v="52.8"/>
        <n v="53.29"/>
        <n v="53.37"/>
        <n v="53.39"/>
        <n v="53.44"/>
        <n v="53.57"/>
        <n v="53.69"/>
        <n v="53.76"/>
        <n v="53.83"/>
        <n v="53.86"/>
        <n v="53.89"/>
        <n v="53.9"/>
        <n v="53.91"/>
        <n v="53.93"/>
        <n v="53.96"/>
        <n v="53.99"/>
        <n v="54.12"/>
        <n v="54.36"/>
        <n v="54.6"/>
        <n v="54.75"/>
        <n v="54.93"/>
        <n v="54.99"/>
        <n v="55.01"/>
        <n v="55.16"/>
        <n v="55.2"/>
        <n v="55.48"/>
        <n v="55.94"/>
        <n v="56.33"/>
        <n v="56.42"/>
        <n v="56.46"/>
        <n v="56.57"/>
        <n v="56.69"/>
        <n v="56.71"/>
        <n v="56.74"/>
        <n v="56.76"/>
        <n v="56.94"/>
        <n v="56.97"/>
        <n v="57.02"/>
        <n v="57.04"/>
        <n v="57.37"/>
        <n v="57.43"/>
        <n v="57.63"/>
        <n v="57.64"/>
        <n v="57.65"/>
        <n v="57.86"/>
        <n v="57.93"/>
        <n v="58.24"/>
        <n v="58.29"/>
        <n v="58.4"/>
        <n v="58.48"/>
        <n v="58.6"/>
        <n v="58.73"/>
        <n v="58.75"/>
        <n v="58.76"/>
        <n v="58.81"/>
        <n v="58.82"/>
        <n v="58.87"/>
        <n v="59.22"/>
        <n v="59.45"/>
        <n v="59.78"/>
        <n v="59.85"/>
        <n v="59.95"/>
        <n v="60.04"/>
        <n v="60.09"/>
        <n v="60.13"/>
        <n v="60.2"/>
        <n v="60.22"/>
        <n v="60.24"/>
        <n v="60.25"/>
        <n v="60.29"/>
        <n v="60.33"/>
        <n v="60.4"/>
        <n v="60.44"/>
        <n v="60.61"/>
        <n v="61.07"/>
        <n v="61.12"/>
        <n v="61.15"/>
        <n v="61.37"/>
        <n v="61.43"/>
        <n v="61.49"/>
        <n v="61.65"/>
        <n v="61.68"/>
        <n v="61.88"/>
        <n v="61.89"/>
        <n v="62.13"/>
        <n v="62.14"/>
        <n v="62.28"/>
        <n v="62.72"/>
        <n v="62.84"/>
        <n v="62.93"/>
        <n v="62.95"/>
        <n v="62.96"/>
        <n v="63.25"/>
        <n v="63.39"/>
        <n v="63.42"/>
        <n v="63.48"/>
        <n v="63.51"/>
        <n v="63.52"/>
        <n v="63.55"/>
        <n v="63.57"/>
        <n v="63.78"/>
        <n v="63.79"/>
        <n v="63.87"/>
        <n v="64"/>
        <n v="64.78"/>
        <n v="65.03"/>
        <n v="65.09"/>
        <n v="65.21"/>
        <n v="65.32"/>
        <n v="65.35"/>
        <n v="65.48"/>
        <n v="65.99"/>
        <n v="66.06"/>
        <n v="66.15"/>
        <n v="66.26"/>
        <n v="66.41"/>
        <n v="66.44"/>
        <n v="67.33"/>
        <n v="67.52"/>
        <n v="67.76"/>
        <n v="67.83"/>
        <n v="68.07"/>
        <n v="68.18"/>
        <n v="68.19"/>
        <n v="68.33"/>
        <n v="68.36"/>
        <n v="68.55"/>
        <n v="68.63"/>
        <n v="68.9"/>
        <n v="69.1"/>
        <n v="69.62"/>
        <n v="69.73"/>
        <n v="70.12"/>
        <n v="70.31"/>
        <n v="70.42"/>
        <n v="70.52"/>
        <n v="70.53"/>
        <n v="70.57"/>
        <n v="70.67"/>
        <n v="70.69"/>
        <n v="71.2"/>
        <n v="71.28"/>
        <n v="71.41"/>
        <n v="71.45"/>
        <n v="71.94"/>
        <n v="71.99"/>
        <n v="72.03"/>
        <n v="72.07"/>
        <n v="72.17"/>
        <n v="72.22"/>
        <n v="72.58"/>
        <n v="72.64"/>
        <n v="72.87"/>
        <n v="72.97"/>
        <n v="72.98"/>
        <n v="73.09"/>
        <n v="73.53"/>
        <n v="73.56"/>
        <n v="73.64"/>
        <n v="73.7"/>
        <n v="74.3"/>
        <n v="74.73"/>
        <n v="74.84"/>
        <n v="75.04"/>
        <n v="75.07"/>
        <n v="75.23"/>
        <n v="75.51"/>
        <n v="75.59"/>
        <n v="75.61"/>
        <n v="75.73"/>
        <n v="75.99"/>
        <n v="76"/>
        <n v="76.05"/>
        <n v="76.06"/>
        <n v="76.2"/>
        <n v="76.3"/>
        <n v="76.5"/>
        <n v="76.55"/>
        <n v="77.19"/>
        <n v="77.33"/>
        <n v="77.61"/>
        <n v="77.78"/>
        <n v="78.4"/>
        <n v="78.41"/>
        <n v="78.45"/>
        <n v="78.6"/>
        <n v="78.86"/>
        <n v="78.89"/>
        <n v="79"/>
        <n v="79.02"/>
        <n v="79.07"/>
        <n v="79.15"/>
        <n v="79.2"/>
        <n v="79.36"/>
        <n v="79.4"/>
        <n v="79.44"/>
        <n v="79.49"/>
        <n v="79.75"/>
        <n v="79.76"/>
        <n v="80.15"/>
        <n v="80.26"/>
        <n v="80.3"/>
        <n v="80.32"/>
        <n v="80.35"/>
        <n v="80.93"/>
        <n v="80.96"/>
        <n v="81.2"/>
        <n v="81.41"/>
        <n v="81.59"/>
        <n v="81.68"/>
        <n v="82.22"/>
        <n v="82.36"/>
        <n v="82.48"/>
        <n v="82.54"/>
        <n v="83.12"/>
        <n v="83.7"/>
        <n v="83.86"/>
        <n v="84.11"/>
        <n v="84.21"/>
        <n v="84.25"/>
        <n v="84.64"/>
        <n v="84.86"/>
        <n v="85.23"/>
        <n v="85.32"/>
        <n v="85.37"/>
        <n v="85.39"/>
        <n v="85.61"/>
        <n v="86.21"/>
        <n v="86.24"/>
        <n v="86.47"/>
        <n v="86.8"/>
        <n v="87.33"/>
        <n v="87.47"/>
        <n v="87.9"/>
        <n v="88.29"/>
        <n v="88.4"/>
        <n v="88.42"/>
        <n v="88.7"/>
        <n v="88.86"/>
        <n v="89.64"/>
        <n v="89.9"/>
        <n v="89.98"/>
        <n v="89.99"/>
        <n v="90.23"/>
        <n v="90.25"/>
        <n v="90.78"/>
        <n v="90.89"/>
        <n v="91.16"/>
        <n v="91.41"/>
        <n v="91.44"/>
        <n v="91.46"/>
        <n v="91.5"/>
        <n v="91.64"/>
        <n v="91.77"/>
        <n v="92.19"/>
        <n v="92.6"/>
        <n v="93.01"/>
        <n v="93.07"/>
        <n v="93.15"/>
        <n v="93.28"/>
        <n v="93.29"/>
        <n v="93.31"/>
        <n v="93.39"/>
        <n v="93.58"/>
        <n v="93.63"/>
        <n v="93.64"/>
        <n v="93.7"/>
        <n v="94.08"/>
        <n v="94.21"/>
        <n v="94.28"/>
        <n v="94.69"/>
        <n v="94.8"/>
        <n v="94.91"/>
        <n v="95.06"/>
        <n v="95.19"/>
        <n v="95.65"/>
        <n v="95.79"/>
        <n v="96.08"/>
        <n v="96.65"/>
        <n v="96.86"/>
        <n v="97.34"/>
        <n v="97.86"/>
        <n v="97.96"/>
        <n v="98.14"/>
        <n v="98.25"/>
        <n v="98.29"/>
        <n v="98.53"/>
        <n v="98.54"/>
        <n v="98.91"/>
        <n v="99.02"/>
        <n v="99.33"/>
        <n v="99.46"/>
        <n v="99.64"/>
        <n v="100.21"/>
        <n v="100.45"/>
        <n v="100.46"/>
        <n v="100.96"/>
        <n v="101.01"/>
        <n v="101.13"/>
        <n v="101.15"/>
        <n v="101.29"/>
        <n v="101.37"/>
        <n v="101.57"/>
        <n v="102.28"/>
        <n v="102.33"/>
        <n v="102.4"/>
        <n v="102.48"/>
        <n v="102.74"/>
        <n v="102.8"/>
        <n v="102.91"/>
        <n v="102.94"/>
        <n v="102.96"/>
        <n v="103.03"/>
        <n v="103.17"/>
        <n v="103.31"/>
        <n v="103.67"/>
        <n v="103.73"/>
        <n v="103.9"/>
        <n v="103.95"/>
        <n v="103.99"/>
        <n v="104.24"/>
        <n v="104.55"/>
        <n v="104.76"/>
        <n v="104.92"/>
        <n v="104.95"/>
        <n v="105.07"/>
        <n v="105.4"/>
        <n v="105.53"/>
        <n v="105.75"/>
        <n v="106.09"/>
        <n v="106.28"/>
        <n v="106.42"/>
        <n v="106.49"/>
        <n v="106.5"/>
        <n v="106.79"/>
        <n v="107.22"/>
        <n v="107.76"/>
        <n v="107.92"/>
        <n v="108.43"/>
        <n v="108.87"/>
        <n v="109.01"/>
        <n v="109.1"/>
        <n v="109.22"/>
        <n v="109.5"/>
        <n v="109.68"/>
        <n v="109.89"/>
        <n v="110.17"/>
        <n v="111.03"/>
        <n v="111.17"/>
        <n v="111.43"/>
        <n v="111.59"/>
        <n v="111.6"/>
        <n v="111.62"/>
        <n v="111.84"/>
        <n v="112.12"/>
        <n v="112.55"/>
        <n v="112.63"/>
        <n v="113.36"/>
        <n v="113.5"/>
        <n v="113.55"/>
        <n v="113.57"/>
        <n v="113.62"/>
        <n v="114"/>
        <n v="114.44"/>
        <n v="114.53"/>
        <n v="114.75"/>
        <n v="114.81"/>
        <n v="114.94"/>
        <n v="115.1"/>
        <n v="115.61"/>
        <n v="117.1"/>
        <n v="117.42"/>
        <n v="117.53"/>
        <n v="117.94"/>
        <n v="117.97"/>
        <n v="118.25"/>
        <n v="118.35"/>
        <n v="118.54"/>
        <n v="119.24"/>
        <n v="119.37"/>
        <n v="120.85"/>
        <n v="120.93"/>
        <n v="121.59"/>
        <n v="121.81"/>
        <n v="122.1"/>
        <n v="122.44"/>
        <n v="122.67"/>
        <n v="122.85"/>
        <n v="123.3"/>
        <n v="123.53"/>
        <n v="123.55"/>
        <n v="123.57"/>
        <n v="123.6"/>
        <n v="123.71"/>
        <n v="124.11"/>
        <n v="124.26"/>
        <n v="124.3"/>
        <n v="124.66"/>
        <n v="125.08"/>
        <n v="125.39"/>
        <n v="125.95"/>
        <n v="125.97"/>
        <n v="126.2"/>
        <n v="126.3"/>
        <n v="126.45"/>
        <n v="127.42"/>
        <n v="127.87"/>
        <n v="128.06"/>
        <n v="128.72"/>
        <n v="130.15"/>
        <n v="130.33"/>
        <n v="130.73"/>
        <n v="130.89"/>
        <n v="131.02"/>
        <n v="131.18"/>
        <n v="131.27"/>
        <n v="131.53"/>
        <n v="131.67"/>
        <n v="131.68"/>
        <n v="131.94"/>
        <n v="131.99"/>
        <n v="132.17"/>
        <n v="132.2"/>
        <n v="132.58"/>
        <n v="133.11"/>
        <n v="133.19"/>
        <n v="133.29"/>
        <n v="133.51"/>
        <n v="133.75"/>
        <n v="133.92"/>
        <n v="134.14"/>
        <n v="134.49"/>
        <n v="135.21"/>
        <n v="135.3"/>
        <n v="135.37"/>
        <n v="135.47"/>
        <n v="135.68"/>
        <n v="135.75"/>
        <n v="135.94"/>
        <n v="136.57"/>
        <n v="136.75"/>
        <n v="136.91"/>
        <n v="137.16"/>
        <n v="137.19"/>
        <n v="137.25"/>
        <n v="137.36"/>
        <n v="137.91"/>
        <n v="138.68"/>
        <n v="139.85"/>
        <n v="139.96"/>
        <n v="141.66"/>
        <n v="142.2"/>
        <n v="143.2"/>
        <n v="143.58"/>
        <n v="143.87"/>
        <n v="144.02"/>
        <n v="144.07"/>
        <n v="144.08"/>
        <n v="144.14"/>
        <n v="144.34"/>
        <n v="145.02"/>
        <n v="145.24"/>
        <n v="145.41"/>
        <n v="146.02"/>
        <n v="146.11"/>
        <n v="146.18"/>
        <n v="146.23"/>
        <n v="147.98"/>
        <n v="148.85"/>
        <n v="149.04"/>
        <n v="149.53"/>
        <n v="149.68"/>
        <n v="149.69"/>
        <n v="150.29"/>
        <n v="150.31"/>
        <n v="150.79"/>
        <n v="150.81"/>
        <n v="152.47"/>
        <n v="152.49"/>
        <n v="152.53"/>
        <n v="152.69"/>
        <n v="153.33"/>
        <n v="154.83"/>
        <n v="156.01"/>
        <n v="156.53"/>
        <n v="157.36"/>
        <n v="157.4"/>
        <n v="157.49"/>
        <n v="158.34"/>
        <n v="158.7"/>
        <n v="158.75"/>
        <n v="159.21"/>
        <n v="159.73"/>
        <n v="161.54"/>
        <n v="161.66"/>
        <n v="161.82"/>
        <n v="162.12"/>
        <n v="162.34"/>
        <n v="162.6"/>
        <n v="163.42"/>
        <n v="164.37"/>
        <n v="165.15"/>
        <n v="165.37"/>
        <n v="166.05"/>
        <n v="166.35"/>
        <n v="168.66"/>
        <n v="169.2"/>
        <n v="169.23"/>
        <n v="169.8"/>
        <n v="172.64"/>
        <n v="172.73"/>
        <n v="173.01"/>
        <n v="173.32"/>
        <n v="173.61"/>
        <n v="173.68"/>
        <n v="173.89"/>
        <n v="174.12"/>
        <n v="174.16"/>
        <n v="174.98"/>
        <n v="176.24"/>
        <n v="176.46"/>
        <n v="176.76"/>
        <n v="178.02"/>
        <n v="178.2"/>
        <n v="178.41"/>
        <n v="178.61"/>
        <n v="178.64"/>
        <n v="182.55"/>
        <n v="182.62"/>
        <n v="182.77"/>
        <n v="183.46"/>
        <n v="183.65"/>
        <n v="184.01"/>
        <n v="184.87"/>
        <n v="184.97"/>
        <n v="186.25"/>
        <n v="186.41"/>
        <n v="186.49"/>
        <n v="186.59"/>
        <n v="186.75"/>
        <n v="187.33"/>
        <n v="190.03"/>
        <n v="190.05"/>
        <n v="190.88"/>
        <n v="192.62"/>
        <n v="193.55"/>
        <n v="193.56"/>
        <n v="193.93"/>
        <n v="197.24"/>
        <n v="197.67"/>
        <n v="198.93"/>
        <n v="199.23"/>
        <n v="200.08"/>
        <n v="200.71"/>
        <n v="202.23"/>
        <n v="202.76"/>
        <n v="204.34"/>
        <n v="204.96"/>
        <n v="205.33"/>
        <n v="205.73"/>
        <n v="206.61"/>
        <n v="207.74"/>
        <n v="207.89"/>
        <n v="208.19"/>
        <n v="208.36"/>
        <n v="208.43"/>
        <n v="208.64"/>
        <n v="208.88"/>
        <n v="209.19"/>
        <n v="210.93"/>
        <n v="211.04"/>
        <n v="211.33"/>
        <n v="211.34"/>
        <n v="211.95"/>
        <n v="213.43"/>
        <n v="213.78"/>
        <n v="215.78"/>
        <n v="216.12"/>
        <n v="216.34"/>
        <n v="217.08"/>
        <n v="217.2"/>
        <n v="218.18"/>
        <n v="219.59"/>
        <n v="219.94"/>
        <n v="220.66"/>
        <n v="221.56"/>
        <n v="224.9"/>
        <n v="225.1"/>
        <n v="227.2"/>
        <n v="227.74"/>
        <n v="227.81"/>
        <n v="228.18"/>
        <n v="230.06"/>
        <n v="230.28"/>
        <n v="230.72"/>
        <n v="231.78"/>
        <n v="234.47"/>
        <n v="236.95"/>
        <n v="238.24"/>
        <n v="238.59"/>
        <n v="238.72"/>
        <n v="239.35"/>
        <n v="239.76"/>
        <n v="240.25"/>
        <n v="240.69"/>
        <n v="240.89"/>
        <n v="241.83"/>
        <n v="246.12"/>
        <n v="247.17"/>
        <n v="247.4"/>
        <n v="248.04"/>
        <n v="248.42"/>
        <n v="248.62"/>
        <n v="250.74"/>
        <n v="257.55"/>
        <n v="257.74"/>
        <n v="263.63"/>
        <n v="263.82"/>
        <n v="265.83"/>
        <n v="266.27"/>
        <n v="268.53"/>
        <n v="269.96"/>
        <n v="270.19"/>
        <n v="277.99"/>
        <n v="279.31"/>
        <n v="281.84"/>
        <n v="283.45"/>
        <n v="287.24"/>
        <n v="291.43"/>
        <n v="292.57"/>
        <n v="292.79"/>
        <n v="293.47"/>
        <n v="293.89"/>
        <n v="293.92"/>
        <n v="296.99"/>
        <n v="297.57"/>
        <n v="307.77"/>
        <n v="309.25"/>
        <n v="320.5"/>
        <n v="324.1"/>
        <n v="332.49"/>
        <n v="334.49"/>
        <n v="338.7"/>
        <n v="345.1"/>
        <n v="348.11"/>
        <n v="349.87"/>
        <n v="350.83"/>
        <n v="357.2"/>
        <n v="359.87"/>
        <n v="360.83"/>
        <n v="366.89"/>
        <n v="375.8"/>
        <n v="379.18"/>
        <n v="391.22"/>
        <n v="397.16"/>
        <n v="399.22"/>
        <n v="413.9"/>
        <n v="419.47"/>
        <n v="530.78"/>
        <n v="539.54"/>
        <n v="593.72"/>
        <n v="837.32"/>
        <n v="907.56"/>
      </sharedItems>
    </cacheField>
    <cacheField name="FURO SOND." numFmtId="0">
      <sharedItems containsSemiMixedTypes="0" containsString="0" containsNumber="1" containsInteger="1" minValue="0" maxValue="9" count="9">
        <n v="0"/>
        <n v="1"/>
        <n v="2"/>
        <n v="3"/>
        <n v="4"/>
        <n v="5"/>
        <n v="6"/>
        <n v="8"/>
        <n v="9"/>
      </sharedItems>
    </cacheField>
    <cacheField name="TAPUME DESC. MÓVEL" numFmtId="0">
      <sharedItems containsSemiMixedTypes="0" containsString="0" containsNumber="1" minValue="0" maxValue="1815.12" count="1363">
        <n v="0"/>
        <n v="1.18"/>
        <n v="1.2"/>
        <n v="1.32"/>
        <n v="1.34"/>
        <n v="1.42"/>
        <n v="1.46"/>
        <n v="1.54"/>
        <n v="1.58"/>
        <n v="1.8"/>
        <n v="1.92"/>
        <n v="1.96"/>
        <n v="2.04"/>
        <n v="2.26"/>
        <n v="2.28"/>
        <n v="2.44"/>
        <n v="2.62"/>
        <n v="2.78"/>
        <n v="2.8"/>
        <n v="3"/>
        <n v="3.02"/>
        <n v="3.08"/>
        <n v="3.14"/>
        <n v="3.44"/>
        <n v="3.64"/>
        <n v="3.68"/>
        <n v="3.72"/>
        <n v="3.86"/>
        <n v="3.88"/>
        <n v="3.9"/>
        <n v="3.92"/>
        <n v="3.96"/>
        <n v="3.98"/>
        <n v="4"/>
        <n v="4.06"/>
        <n v="4.1"/>
        <n v="4.14"/>
        <n v="4.8"/>
        <n v="4.84"/>
        <n v="4.92"/>
        <n v="4.94"/>
        <n v="5"/>
        <n v="5.02"/>
        <n v="5.06"/>
        <n v="5.24"/>
        <n v="5.36"/>
        <n v="5.38"/>
        <n v="5.54"/>
        <n v="5.56"/>
        <n v="5.6"/>
        <n v="5.64"/>
        <n v="5.76"/>
        <n v="5.84"/>
        <n v="5.94"/>
        <n v="5.98"/>
        <n v="6.04"/>
        <n v="6.08"/>
        <n v="6.14"/>
        <n v="6.22"/>
        <n v="6.34"/>
        <n v="6.44"/>
        <n v="6.52"/>
        <n v="6.62"/>
        <n v="6.9"/>
        <n v="6.92"/>
        <n v="6.94"/>
        <n v="7.16"/>
        <n v="7.18"/>
        <n v="7.24"/>
        <n v="7.26"/>
        <n v="7.4"/>
        <n v="7.46"/>
        <n v="7.54"/>
        <n v="7.62"/>
        <n v="7.8"/>
        <n v="7.84"/>
        <n v="8.02"/>
        <n v="8.1"/>
        <n v="8.18"/>
        <n v="8.4"/>
        <n v="8.48"/>
        <n v="8.64"/>
        <n v="8.72"/>
        <n v="8.82"/>
        <n v="8.88"/>
        <n v="8.9"/>
        <n v="8.94"/>
        <n v="9.02"/>
        <n v="9.16"/>
        <n v="9.4"/>
        <n v="9.44"/>
        <n v="9.76"/>
        <n v="9.8"/>
        <n v="9.88"/>
        <n v="10.16"/>
        <n v="10.18"/>
        <n v="10.24"/>
        <n v="10.32"/>
        <n v="10.34"/>
        <n v="10.38"/>
        <n v="10.48"/>
        <n v="10.5"/>
        <n v="10.68"/>
        <n v="10.7"/>
        <n v="10.98"/>
        <n v="11.12"/>
        <n v="11.14"/>
        <n v="11.16"/>
        <n v="11.2"/>
        <n v="11.34"/>
        <n v="11.42"/>
        <n v="11.56"/>
        <n v="11.58"/>
        <n v="11.88"/>
        <n v="11.98"/>
        <n v="12"/>
        <n v="12.08"/>
        <n v="12.1"/>
        <n v="12.28"/>
        <n v="12.4"/>
        <n v="12.44"/>
        <n v="12.82"/>
        <n v="13.12"/>
        <n v="13.32"/>
        <n v="13.44"/>
        <n v="13.46"/>
        <n v="13.48"/>
        <n v="13.56"/>
        <n v="13.62"/>
        <n v="13.66"/>
        <n v="13.92"/>
        <n v="14.04"/>
        <n v="14.52"/>
        <n v="14.62"/>
        <n v="15.22"/>
        <n v="15.3"/>
        <n v="15.7"/>
        <n v="15.82"/>
        <n v="15.94"/>
        <n v="16.08"/>
        <n v="16.14"/>
        <n v="16.2"/>
        <n v="16.44"/>
        <n v="16.54"/>
        <n v="16.6"/>
        <n v="16.72"/>
        <n v="16.76"/>
        <n v="17.06"/>
        <n v="17.22"/>
        <n v="17.58"/>
        <n v="17.78"/>
        <n v="18.06"/>
        <n v="18.1"/>
        <n v="18.22"/>
        <n v="18.88"/>
        <n v="19.8"/>
        <n v="20.72"/>
        <n v="20.76"/>
        <n v="20.86"/>
        <n v="21.18"/>
        <n v="21.28"/>
        <n v="21.32"/>
        <n v="21.38"/>
        <n v="21.68"/>
        <n v="21.72"/>
        <n v="21.86"/>
        <n v="22.02"/>
        <n v="22.32"/>
        <n v="22.4"/>
        <n v="22.48"/>
        <n v="22.5"/>
        <n v="22.82"/>
        <n v="23.2"/>
        <n v="23.24"/>
        <n v="23.48"/>
        <n v="23.54"/>
        <n v="24.08"/>
        <n v="24.12"/>
        <n v="24.24"/>
        <n v="24.74"/>
        <n v="24.94"/>
        <n v="24.96"/>
        <n v="25.06"/>
        <n v="25.46"/>
        <n v="25.56"/>
        <n v="25.72"/>
        <n v="25.74"/>
        <n v="25.76"/>
        <n v="26.26"/>
        <n v="26.32"/>
        <n v="26.42"/>
        <n v="26.76"/>
        <n v="27.3"/>
        <n v="27.74"/>
        <n v="28.52"/>
        <n v="28.78"/>
        <n v="28.92"/>
        <n v="28.98"/>
        <n v="29.04"/>
        <n v="29.06"/>
        <n v="29.14"/>
        <n v="29.28"/>
        <n v="29.42"/>
        <n v="29.64"/>
        <n v="29.96"/>
        <n v="30"/>
        <n v="30.4"/>
        <n v="30.42"/>
        <n v="30.44"/>
        <n v="30.5"/>
        <n v="30.52"/>
        <n v="30.76"/>
        <n v="31.2"/>
        <n v="31.5"/>
        <n v="31.6"/>
        <n v="31.96"/>
        <n v="33.06"/>
        <n v="33.26"/>
        <n v="33.32"/>
        <n v="33.34"/>
        <n v="33.38"/>
        <n v="33.4"/>
        <n v="33.52"/>
        <n v="34.08"/>
        <n v="34.1"/>
        <n v="34.4"/>
        <n v="34.58"/>
        <n v="35.04"/>
        <n v="35.14"/>
        <n v="35.3"/>
        <n v="35.34"/>
        <n v="35.96"/>
        <n v="36.34"/>
        <n v="36.44"/>
        <n v="36.56"/>
        <n v="37.16"/>
        <n v="37.18"/>
        <n v="37.48"/>
        <n v="37.54"/>
        <n v="37.68"/>
        <n v="37.7"/>
        <n v="37.88"/>
        <n v="37.92"/>
        <n v="37.94"/>
        <n v="38.66"/>
        <n v="38.76"/>
        <n v="38.84"/>
        <n v="39.38"/>
        <n v="39.58"/>
        <n v="39.66"/>
        <n v="39.86"/>
        <n v="40.3"/>
        <n v="40.72"/>
        <n v="41"/>
        <n v="41.78"/>
        <n v="42.14"/>
        <n v="42.16"/>
        <n v="42.18"/>
        <n v="42.48"/>
        <n v="42.82"/>
        <n v="42.86"/>
        <n v="43.1"/>
        <n v="43.22"/>
        <n v="43.32"/>
        <n v="43.42"/>
        <n v="43.86"/>
        <n v="44.04"/>
        <n v="44.08"/>
        <n v="44.14"/>
        <n v="44.32"/>
        <n v="44.4"/>
        <n v="44.66"/>
        <n v="45.48"/>
        <n v="45.8"/>
        <n v="45.84"/>
        <n v="45.94"/>
        <n v="46.1"/>
        <n v="46.36"/>
        <n v="46.48"/>
        <n v="46.68"/>
        <n v="46.72"/>
        <n v="46.74"/>
        <n v="47.02"/>
        <n v="47.58"/>
        <n v="47.72"/>
        <n v="47.86"/>
        <n v="48.72"/>
        <n v="48.76"/>
        <n v="48.98"/>
        <n v="49.1"/>
        <n v="49.28"/>
        <n v="49.48"/>
        <n v="49.5"/>
        <n v="49.68"/>
        <n v="50"/>
        <n v="50.3"/>
        <n v="50.46"/>
        <n v="50.54"/>
        <n v="50.64"/>
        <n v="50.8"/>
        <n v="51.18"/>
        <n v="51.24"/>
        <n v="51.42"/>
        <n v="51.64"/>
        <n v="51.78"/>
        <n v="52.08"/>
        <n v="52.22"/>
        <n v="52.3"/>
        <n v="52.36"/>
        <n v="52.46"/>
        <n v="52.5"/>
        <n v="52.6"/>
        <n v="53.08"/>
        <n v="53.5"/>
        <n v="53.56"/>
        <n v="53.86"/>
        <n v="53.94"/>
        <n v="54.08"/>
        <n v="54.38"/>
        <n v="54.76"/>
        <n v="54.8"/>
        <n v="54.86"/>
        <n v="54.98"/>
        <n v="55.36"/>
        <n v="55.54"/>
        <n v="55.56"/>
        <n v="56.46"/>
        <n v="56.54"/>
        <n v="56.56"/>
        <n v="56.84"/>
        <n v="57.14"/>
        <n v="57.22"/>
        <n v="57.36"/>
        <n v="57.4"/>
        <n v="57.66"/>
        <n v="57.9"/>
        <n v="58.18"/>
        <n v="58.52"/>
        <n v="58.56"/>
        <n v="58.62"/>
        <n v="59.02"/>
        <n v="59.28"/>
        <n v="59.34"/>
        <n v="59.94"/>
        <n v="60.22"/>
        <n v="60.42"/>
        <n v="60.54"/>
        <n v="60.88"/>
        <n v="61.1"/>
        <n v="61.58"/>
        <n v="61.6"/>
        <n v="62.22"/>
        <n v="62.3"/>
        <n v="62.96"/>
        <n v="63.04"/>
        <n v="63.52"/>
        <n v="63.88"/>
        <n v="63.98"/>
        <n v="64.44"/>
        <n v="64.52"/>
        <n v="64.8"/>
        <n v="64.84"/>
        <n v="65"/>
        <n v="65.02"/>
        <n v="65.06"/>
        <n v="65.14"/>
        <n v="65.16"/>
        <n v="65.24"/>
        <n v="65.4"/>
        <n v="65.46"/>
        <n v="65.54"/>
        <n v="65.62"/>
        <n v="66.36"/>
        <n v="66.5"/>
        <n v="66.78"/>
        <n v="67.04"/>
        <n v="67.08"/>
        <n v="67.2"/>
        <n v="67.3"/>
        <n v="67.34"/>
        <n v="67.92"/>
        <n v="67.96"/>
        <n v="68.32"/>
        <n v="68.36"/>
        <n v="68.4"/>
        <n v="68.72"/>
        <n v="68.76"/>
        <n v="69.24"/>
        <n v="69.38"/>
        <n v="69.5"/>
        <n v="69.58"/>
        <n v="69.72"/>
        <n v="69.78"/>
        <n v="69.8"/>
        <n v="70.06"/>
        <n v="70.7"/>
        <n v="71.14"/>
        <n v="71.36"/>
        <n v="71.86"/>
        <n v="72.06"/>
        <n v="72.1"/>
        <n v="72.3"/>
        <n v="72.34"/>
        <n v="72.44"/>
        <n v="72.6"/>
        <n v="73.18"/>
        <n v="73.24"/>
        <n v="73.28"/>
        <n v="73.42"/>
        <n v="73.76"/>
        <n v="73.84"/>
        <n v="73.88"/>
        <n v="74.02"/>
        <n v="74.06"/>
        <n v="74.16"/>
        <n v="74.52"/>
        <n v="74.7"/>
        <n v="74.78"/>
        <n v="74.8"/>
        <n v="75.04"/>
        <n v="75.38"/>
        <n v="75.42"/>
        <n v="75.58"/>
        <n v="75.7"/>
        <n v="75.74"/>
        <n v="75.84"/>
        <n v="75.86"/>
        <n v="75.92"/>
        <n v="76.04"/>
        <n v="76.42"/>
        <n v="76.54"/>
        <n v="76.68"/>
        <n v="76.78"/>
        <n v="76.88"/>
        <n v="76.9"/>
        <n v="76.94"/>
        <n v="76.96"/>
        <n v="76.98"/>
        <n v="77.08"/>
        <n v="77.2"/>
        <n v="77.38"/>
        <n v="77.6"/>
        <n v="77.68"/>
        <n v="77.74"/>
        <n v="78"/>
        <n v="78.2"/>
        <n v="78.48"/>
        <n v="78.58"/>
        <n v="78.88"/>
        <n v="79"/>
        <n v="79.08"/>
        <n v="79.28"/>
        <n v="79.38"/>
        <n v="79.44"/>
        <n v="79.78"/>
        <n v="80.02"/>
        <n v="80.5"/>
        <n v="80.66"/>
        <n v="80.68"/>
        <n v="80.72"/>
        <n v="80.8"/>
        <n v="80.88"/>
        <n v="81.22"/>
        <n v="81.26"/>
        <n v="81.34"/>
        <n v="81.44"/>
        <n v="81.46"/>
        <n v="81.5"/>
        <n v="81.56"/>
        <n v="81.9"/>
        <n v="82.36"/>
        <n v="82.58"/>
        <n v="82.64"/>
        <n v="82.82"/>
        <n v="82.92"/>
        <n v="82.94"/>
        <n v="83"/>
        <n v="83.1"/>
        <n v="83.16"/>
        <n v="83.2"/>
        <n v="83.26"/>
        <n v="83.32"/>
        <n v="83.34"/>
        <n v="83.54"/>
        <n v="83.8"/>
        <n v="83.9"/>
        <n v="84.02"/>
        <n v="84.08"/>
        <n v="84.18"/>
        <n v="84.64"/>
        <n v="84.78"/>
        <n v="84.8"/>
        <n v="84.86"/>
        <n v="84.94"/>
        <n v="85.06"/>
        <n v="85.12"/>
        <n v="85.16"/>
        <n v="85.2"/>
        <n v="85.4"/>
        <n v="85.54"/>
        <n v="85.58"/>
        <n v="85.8"/>
        <n v="85.94"/>
        <n v="85.96"/>
        <n v="86.08"/>
        <n v="86.18"/>
        <n v="86.32"/>
        <n v="86.54"/>
        <n v="86.72"/>
        <n v="86.9"/>
        <n v="86.94"/>
        <n v="86.96"/>
        <n v="87.02"/>
        <n v="87.06"/>
        <n v="87.22"/>
        <n v="87.36"/>
        <n v="87.4"/>
        <n v="87.42"/>
        <n v="87.5"/>
        <n v="87.6"/>
        <n v="87.8"/>
        <n v="87.86"/>
        <n v="88.18"/>
        <n v="88.2"/>
        <n v="88.28"/>
        <n v="88.32"/>
        <n v="88.38"/>
        <n v="88.46"/>
        <n v="88.68"/>
        <n v="88.74"/>
        <n v="88.76"/>
        <n v="88.88"/>
        <n v="88.9"/>
        <n v="88.96"/>
        <n v="89.04"/>
        <n v="89.24"/>
        <n v="89.3"/>
        <n v="89.38"/>
        <n v="89.56"/>
        <n v="89.6"/>
        <n v="89.7"/>
        <n v="89.72"/>
        <n v="89.8"/>
        <n v="89.88"/>
        <n v="89.96"/>
        <n v="90"/>
        <n v="90.06"/>
        <n v="90.14"/>
        <n v="90.28"/>
        <n v="90.52"/>
        <n v="90.6"/>
        <n v="90.68"/>
        <n v="90.72"/>
        <n v="90.82"/>
        <n v="90.88"/>
        <n v="91"/>
        <n v="91.06"/>
        <n v="91.22"/>
        <n v="91.28"/>
        <n v="91.4"/>
        <n v="91.44"/>
        <n v="91.64"/>
        <n v="91.82"/>
        <n v="91.84"/>
        <n v="91.88"/>
        <n v="92"/>
        <n v="92.04"/>
        <n v="92.08"/>
        <n v="92.1"/>
        <n v="92.14"/>
        <n v="92.34"/>
        <n v="92.4"/>
        <n v="92.42"/>
        <n v="92.72"/>
        <n v="92.76"/>
        <n v="92.94"/>
        <n v="93.08"/>
        <n v="93.12"/>
        <n v="93.34"/>
        <n v="93.38"/>
        <n v="93.4"/>
        <n v="93.52"/>
        <n v="93.56"/>
        <n v="93.64"/>
        <n v="93.7"/>
        <n v="93.72"/>
        <n v="93.74"/>
        <n v="93.8"/>
        <n v="93.92"/>
        <n v="93.96"/>
        <n v="94.12"/>
        <n v="94.14"/>
        <n v="94.16"/>
        <n v="94.26"/>
        <n v="94.44"/>
        <n v="94.58"/>
        <n v="94.6"/>
        <n v="94.68"/>
        <n v="94.72"/>
        <n v="94.74"/>
        <n v="94.9"/>
        <n v="94.92"/>
        <n v="95"/>
        <n v="95.04"/>
        <n v="95.1"/>
        <n v="95.12"/>
        <n v="95.3"/>
        <n v="95.44"/>
        <n v="95.5"/>
        <n v="95.66"/>
        <n v="95.88"/>
        <n v="95.98"/>
        <n v="96.02"/>
        <n v="96.04"/>
        <n v="96.1"/>
        <n v="96.3"/>
        <n v="96.34"/>
        <n v="96.4"/>
        <n v="96.64"/>
        <n v="96.68"/>
        <n v="96.8"/>
        <n v="96.88"/>
        <n v="96.92"/>
        <n v="96.94"/>
        <n v="97"/>
        <n v="97.04"/>
        <n v="97.06"/>
        <n v="97.08"/>
        <n v="97.16"/>
        <n v="97.22"/>
        <n v="97.34"/>
        <n v="97.38"/>
        <n v="97.54"/>
        <n v="97.56"/>
        <n v="97.58"/>
        <n v="97.62"/>
        <n v="97.7"/>
        <n v="97.72"/>
        <n v="97.74"/>
        <n v="97.76"/>
        <n v="97.84"/>
        <n v="97.88"/>
        <n v="98"/>
        <n v="98.04"/>
        <n v="98.06"/>
        <n v="98.14"/>
        <n v="98.18"/>
        <n v="98.44"/>
        <n v="98.56"/>
        <n v="98.6"/>
        <n v="98.72"/>
        <n v="98.76"/>
        <n v="98.86"/>
        <n v="99.06"/>
        <n v="99.08"/>
        <n v="99.1"/>
        <n v="99.24"/>
        <n v="99.42"/>
        <n v="99.5"/>
        <n v="99.52"/>
        <n v="99.54"/>
        <n v="99.68"/>
        <n v="99.72"/>
        <n v="99.8"/>
        <n v="99.84"/>
        <n v="99.92"/>
        <n v="100.02"/>
        <n v="100.3"/>
        <n v="100.66"/>
        <n v="100.74"/>
        <n v="101"/>
        <n v="101.04"/>
        <n v="101.08"/>
        <n v="101.14"/>
        <n v="101.24"/>
        <n v="101.3"/>
        <n v="101.36"/>
        <n v="101.82"/>
        <n v="101.94"/>
        <n v="101.96"/>
        <n v="101.98"/>
        <n v="102.06"/>
        <n v="102.28"/>
        <n v="102.64"/>
        <n v="102.68"/>
        <n v="102.7"/>
        <n v="103.06"/>
        <n v="103.42"/>
        <n v="103.48"/>
        <n v="103.72"/>
        <n v="103.8"/>
        <n v="104.32"/>
        <n v="104.34"/>
        <n v="104.78"/>
        <n v="104.8"/>
        <n v="105.16"/>
        <n v="105.18"/>
        <n v="105.36"/>
        <n v="105.38"/>
        <n v="105.5"/>
        <n v="105.6"/>
        <n v="106.58"/>
        <n v="106.74"/>
        <n v="106.78"/>
        <n v="106.88"/>
        <n v="107.14"/>
        <n v="107.38"/>
        <n v="107.52"/>
        <n v="107.66"/>
        <n v="107.72"/>
        <n v="107.78"/>
        <n v="107.8"/>
        <n v="107.82"/>
        <n v="107.86"/>
        <n v="107.92"/>
        <n v="107.98"/>
        <n v="108.24"/>
        <n v="108.72"/>
        <n v="109.2"/>
        <n v="109.5"/>
        <n v="109.86"/>
        <n v="109.98"/>
        <n v="110.02"/>
        <n v="110.32"/>
        <n v="110.4"/>
        <n v="110.96"/>
        <n v="111.88"/>
        <n v="112.66"/>
        <n v="112.84"/>
        <n v="112.92"/>
        <n v="113.14"/>
        <n v="113.38"/>
        <n v="113.42"/>
        <n v="113.48"/>
        <n v="113.52"/>
        <n v="113.88"/>
        <n v="113.94"/>
        <n v="114.04"/>
        <n v="114.08"/>
        <n v="114.74"/>
        <n v="114.86"/>
        <n v="115.26"/>
        <n v="115.28"/>
        <n v="115.3"/>
        <n v="115.72"/>
        <n v="115.86"/>
        <n v="116.48"/>
        <n v="116.58"/>
        <n v="116.8"/>
        <n v="116.96"/>
        <n v="117.2"/>
        <n v="117.46"/>
        <n v="117.5"/>
        <n v="117.52"/>
        <n v="117.62"/>
        <n v="117.64"/>
        <n v="117.74"/>
        <n v="118.44"/>
        <n v="118.9"/>
        <n v="119.56"/>
        <n v="119.7"/>
        <n v="119.9"/>
        <n v="120.08"/>
        <n v="120.18"/>
        <n v="120.26"/>
        <n v="120.4"/>
        <n v="120.44"/>
        <n v="120.48"/>
        <n v="120.5"/>
        <n v="120.58"/>
        <n v="120.66"/>
        <n v="120.8"/>
        <n v="120.88"/>
        <n v="121.22"/>
        <n v="122.14"/>
        <n v="122.24"/>
        <n v="122.3"/>
        <n v="122.74"/>
        <n v="122.86"/>
        <n v="122.98"/>
        <n v="123.3"/>
        <n v="123.36"/>
        <n v="123.76"/>
        <n v="123.78"/>
        <n v="124.26"/>
        <n v="124.28"/>
        <n v="124.56"/>
        <n v="125.44"/>
        <n v="125.68"/>
        <n v="125.86"/>
        <n v="125.9"/>
        <n v="125.92"/>
        <n v="126.5"/>
        <n v="126.78"/>
        <n v="126.84"/>
        <n v="126.96"/>
        <n v="127.02"/>
        <n v="127.04"/>
        <n v="127.1"/>
        <n v="127.14"/>
        <n v="127.56"/>
        <n v="127.58"/>
        <n v="127.74"/>
        <n v="128"/>
        <n v="129.56"/>
        <n v="130.06"/>
        <n v="130.18"/>
        <n v="130.42"/>
        <n v="130.64"/>
        <n v="130.7"/>
        <n v="130.96"/>
        <n v="131.98"/>
        <n v="132.12"/>
        <n v="132.3"/>
        <n v="132.52"/>
        <n v="132.82"/>
        <n v="132.88"/>
        <n v="134.66"/>
        <n v="135.04"/>
        <n v="135.52"/>
        <n v="135.66"/>
        <n v="136.14"/>
        <n v="136.36"/>
        <n v="136.38"/>
        <n v="136.66"/>
        <n v="136.72"/>
        <n v="137.1"/>
        <n v="137.26"/>
        <n v="137.8"/>
        <n v="138.2"/>
        <n v="139.24"/>
        <n v="139.46"/>
        <n v="140.24"/>
        <n v="140.62"/>
        <n v="140.84"/>
        <n v="141.04"/>
        <n v="141.06"/>
        <n v="141.14"/>
        <n v="141.34"/>
        <n v="141.38"/>
        <n v="142.4"/>
        <n v="142.56"/>
        <n v="142.82"/>
        <n v="142.9"/>
        <n v="143.88"/>
        <n v="143.98"/>
        <n v="144.06"/>
        <n v="144.14"/>
        <n v="144.34"/>
        <n v="144.44"/>
        <n v="145.16"/>
        <n v="145.28"/>
        <n v="145.74"/>
        <n v="145.94"/>
        <n v="145.96"/>
        <n v="146.18"/>
        <n v="147.06"/>
        <n v="147.12"/>
        <n v="147.28"/>
        <n v="147.4"/>
        <n v="148.6"/>
        <n v="149.46"/>
        <n v="149.68"/>
        <n v="150.08"/>
        <n v="150.14"/>
        <n v="150.46"/>
        <n v="151.02"/>
        <n v="151.18"/>
        <n v="151.22"/>
        <n v="151.46"/>
        <n v="151.98"/>
        <n v="152"/>
        <n v="152.1"/>
        <n v="152.12"/>
        <n v="152.4"/>
        <n v="152.6"/>
        <n v="153"/>
        <n v="153.1"/>
        <n v="154.38"/>
        <n v="154.66"/>
        <n v="155.22"/>
        <n v="155.56"/>
        <n v="156.8"/>
        <n v="156.82"/>
        <n v="156.9"/>
        <n v="157.2"/>
        <n v="157.72"/>
        <n v="157.78"/>
        <n v="158"/>
        <n v="158.04"/>
        <n v="158.14"/>
        <n v="158.3"/>
        <n v="158.4"/>
        <n v="158.72"/>
        <n v="158.8"/>
        <n v="158.88"/>
        <n v="158.98"/>
        <n v="159.5"/>
        <n v="159.52"/>
        <n v="160.3"/>
        <n v="160.52"/>
        <n v="160.6"/>
        <n v="160.64"/>
        <n v="160.7"/>
        <n v="161.86"/>
        <n v="161.92"/>
        <n v="162.4"/>
        <n v="162.82"/>
        <n v="163.18"/>
        <n v="163.36"/>
        <n v="164.44"/>
        <n v="164.72"/>
        <n v="164.96"/>
        <n v="165.08"/>
        <n v="166.24"/>
        <n v="167.4"/>
        <n v="167.72"/>
        <n v="168.22"/>
        <n v="168.42"/>
        <n v="168.5"/>
        <n v="169.28"/>
        <n v="169.72"/>
        <n v="170.46"/>
        <n v="170.64"/>
        <n v="170.74"/>
        <n v="170.78"/>
        <n v="171.22"/>
        <n v="172.42"/>
        <n v="172.48"/>
        <n v="172.94"/>
        <n v="173.6"/>
        <n v="174.66"/>
        <n v="174.94"/>
        <n v="175.8"/>
        <n v="176.58"/>
        <n v="176.8"/>
        <n v="176.84"/>
        <n v="177.4"/>
        <n v="177.72"/>
        <n v="179.28"/>
        <n v="179.8"/>
        <n v="179.96"/>
        <n v="179.98"/>
        <n v="180.46"/>
        <n v="180.5"/>
        <n v="181.56"/>
        <n v="181.78"/>
        <n v="182.32"/>
        <n v="182.82"/>
        <n v="182.88"/>
        <n v="182.92"/>
        <n v="183"/>
        <n v="183.28"/>
        <n v="183.54"/>
        <n v="184.38"/>
        <n v="185.2"/>
        <n v="186.02"/>
        <n v="186.14"/>
        <n v="186.3"/>
        <n v="186.56"/>
        <n v="186.58"/>
        <n v="186.62"/>
        <n v="186.78"/>
        <n v="187.16"/>
        <n v="187.26"/>
        <n v="187.28"/>
        <n v="187.4"/>
        <n v="188.16"/>
        <n v="188.42"/>
        <n v="188.56"/>
        <n v="189.38"/>
        <n v="189.6"/>
        <n v="189.82"/>
        <n v="190.12"/>
        <n v="190.38"/>
        <n v="191.3"/>
        <n v="191.58"/>
        <n v="192.16"/>
        <n v="193.3"/>
        <n v="193.72"/>
        <n v="194.68"/>
        <n v="195.72"/>
        <n v="195.92"/>
        <n v="196.28"/>
        <n v="196.5"/>
        <n v="196.58"/>
        <n v="197.06"/>
        <n v="197.08"/>
        <n v="197.82"/>
        <n v="198.04"/>
        <n v="198.66"/>
        <n v="198.92"/>
        <n v="199.28"/>
        <n v="200.42"/>
        <n v="200.9"/>
        <n v="200.92"/>
        <n v="201.92"/>
        <n v="202.02"/>
        <n v="202.26"/>
        <n v="202.3"/>
        <n v="202.58"/>
        <n v="202.74"/>
        <n v="203.14"/>
        <n v="204.56"/>
        <n v="204.66"/>
        <n v="204.8"/>
        <n v="204.96"/>
        <n v="205.48"/>
        <n v="205.6"/>
        <n v="205.82"/>
        <n v="205.88"/>
        <n v="205.92"/>
        <n v="206.06"/>
        <n v="206.34"/>
        <n v="206.62"/>
        <n v="207.34"/>
        <n v="207.46"/>
        <n v="207.8"/>
        <n v="207.9"/>
        <n v="207.98"/>
        <n v="208.48"/>
        <n v="209.1"/>
        <n v="209.52"/>
        <n v="209.84"/>
        <n v="209.9"/>
        <n v="210.14"/>
        <n v="210.8"/>
        <n v="211.06"/>
        <n v="211.5"/>
        <n v="212.18"/>
        <n v="212.56"/>
        <n v="212.84"/>
        <n v="212.98"/>
        <n v="213"/>
        <n v="213.58"/>
        <n v="214.44"/>
        <n v="215.52"/>
        <n v="215.84"/>
        <n v="216.86"/>
        <n v="217.74"/>
        <n v="218.02"/>
        <n v="218.2"/>
        <n v="218.44"/>
        <n v="219"/>
        <n v="219.36"/>
        <n v="219.78"/>
        <n v="220.34"/>
        <n v="222.06"/>
        <n v="222.34"/>
        <n v="222.86"/>
        <n v="223.18"/>
        <n v="223.2"/>
        <n v="223.24"/>
        <n v="223.68"/>
        <n v="224.24"/>
        <n v="225.1"/>
        <n v="225.26"/>
        <n v="226.72"/>
        <n v="227"/>
        <n v="227.1"/>
        <n v="227.14"/>
        <n v="227.24"/>
        <n v="228"/>
        <n v="228.88"/>
        <n v="229.06"/>
        <n v="229.5"/>
        <n v="229.62"/>
        <n v="229.88"/>
        <n v="230.2"/>
        <n v="231.22"/>
        <n v="234.2"/>
        <n v="234.84"/>
        <n v="235.06"/>
        <n v="235.88"/>
        <n v="235.94"/>
        <n v="236.5"/>
        <n v="236.7"/>
        <n v="237.08"/>
        <n v="238.48"/>
        <n v="238.74"/>
        <n v="241.7"/>
        <n v="241.86"/>
        <n v="243.18"/>
        <n v="243.62"/>
        <n v="244.2"/>
        <n v="244.88"/>
        <n v="245.34"/>
        <n v="245.7"/>
        <n v="246.6"/>
        <n v="247.06"/>
        <n v="247.1"/>
        <n v="247.14"/>
        <n v="247.2"/>
        <n v="247.42"/>
        <n v="248.22"/>
        <n v="248.52"/>
        <n v="248.6"/>
        <n v="249.32"/>
        <n v="250.16"/>
        <n v="250.78"/>
        <n v="251.9"/>
        <n v="251.94"/>
        <n v="252.4"/>
        <n v="252.6"/>
        <n v="252.9"/>
        <n v="254.84"/>
        <n v="255.74"/>
        <n v="256.12"/>
        <n v="257.44"/>
        <n v="260.3"/>
        <n v="260.66"/>
        <n v="261.46"/>
        <n v="261.78"/>
        <n v="262.04"/>
        <n v="262.36"/>
        <n v="262.54"/>
        <n v="263.06"/>
        <n v="263.34"/>
        <n v="263.36"/>
        <n v="263.88"/>
        <n v="263.98"/>
        <n v="264.34"/>
        <n v="264.4"/>
        <n v="265.16"/>
        <n v="266.22"/>
        <n v="266.38"/>
        <n v="266.58"/>
        <n v="267.02"/>
        <n v="267.5"/>
        <n v="267.84"/>
        <n v="268.28"/>
        <n v="268.98"/>
        <n v="270.42"/>
        <n v="270.6"/>
        <n v="270.74"/>
        <n v="270.94"/>
        <n v="271.36"/>
        <n v="271.5"/>
        <n v="271.88"/>
        <n v="273.14"/>
        <n v="273.5"/>
        <n v="273.82"/>
        <n v="274.32"/>
        <n v="274.38"/>
        <n v="274.5"/>
        <n v="274.72"/>
        <n v="275.82"/>
        <n v="277.36"/>
        <n v="279.7"/>
        <n v="279.92"/>
        <n v="283.32"/>
        <n v="284.4"/>
        <n v="286.4"/>
        <n v="287.16"/>
        <n v="287.74"/>
        <n v="288.04"/>
        <n v="288.14"/>
        <n v="288.16"/>
        <n v="288.28"/>
        <n v="288.68"/>
        <n v="290.04"/>
        <n v="290.48"/>
        <n v="290.82"/>
        <n v="292.04"/>
        <n v="292.22"/>
        <n v="292.36"/>
        <n v="292.46"/>
        <n v="295.96"/>
        <n v="297.7"/>
        <n v="298.08"/>
        <n v="299.06"/>
        <n v="299.36"/>
        <n v="299.38"/>
        <n v="300.58"/>
        <n v="300.62"/>
        <n v="301.58"/>
        <n v="301.62"/>
        <n v="304.94"/>
        <n v="304.98"/>
        <n v="305.06"/>
        <n v="305.38"/>
        <n v="306.66"/>
        <n v="309.66"/>
        <n v="312.02"/>
        <n v="313.06"/>
        <n v="314.72"/>
        <n v="314.8"/>
        <n v="314.98"/>
        <n v="316.68"/>
        <n v="317.4"/>
        <n v="317.5"/>
        <n v="318.42"/>
        <n v="319.46"/>
        <n v="323.08"/>
        <n v="323.32"/>
        <n v="323.64"/>
        <n v="324.24"/>
        <n v="324.68"/>
        <n v="325.2"/>
        <n v="326.84"/>
        <n v="328.74"/>
        <n v="330.3"/>
        <n v="330.74"/>
        <n v="332.1"/>
        <n v="332.7"/>
        <n v="337.32"/>
        <n v="338.4"/>
        <n v="338.46"/>
        <n v="339.6"/>
        <n v="345.28"/>
        <n v="345.46"/>
        <n v="346.02"/>
        <n v="346.64"/>
        <n v="347.22"/>
        <n v="347.36"/>
        <n v="347.78"/>
        <n v="348.24"/>
        <n v="348.32"/>
        <n v="349.96"/>
        <n v="352.48"/>
        <n v="352.92"/>
        <n v="353.52"/>
        <n v="356.04"/>
        <n v="356.4"/>
        <n v="356.82"/>
        <n v="357.22"/>
        <n v="357.28"/>
        <n v="365.1"/>
        <n v="365.24"/>
        <n v="365.54"/>
        <n v="366.92"/>
        <n v="367.3"/>
        <n v="368.02"/>
        <n v="369.74"/>
        <n v="369.94"/>
        <n v="372.5"/>
        <n v="372.82"/>
        <n v="372.98"/>
        <n v="373.18"/>
        <n v="373.5"/>
        <n v="374.66"/>
        <n v="380.06"/>
        <n v="380.1"/>
        <n v="381.76"/>
        <n v="385.24"/>
        <n v="387.1"/>
        <n v="387.12"/>
        <n v="387.86"/>
        <n v="394.48"/>
        <n v="395.34"/>
        <n v="397.86"/>
        <n v="398.46"/>
        <n v="400.16"/>
        <n v="401.42"/>
        <n v="404.46"/>
        <n v="405.52"/>
        <n v="408.68"/>
        <n v="409.92"/>
        <n v="410.66"/>
        <n v="411.46"/>
        <n v="413.22"/>
        <n v="415.48"/>
        <n v="415.78"/>
        <n v="416.38"/>
        <n v="416.72"/>
        <n v="416.86"/>
        <n v="417.28"/>
        <n v="417.76"/>
        <n v="418.38"/>
        <n v="421.86"/>
        <n v="422.08"/>
        <n v="422.66"/>
        <n v="422.68"/>
        <n v="423.9"/>
        <n v="426.86"/>
        <n v="427.56"/>
        <n v="431.56"/>
        <n v="432.24"/>
        <n v="432.68"/>
        <n v="434.16"/>
        <n v="434.4"/>
        <n v="436.36"/>
        <n v="439.18"/>
        <n v="439.88"/>
        <n v="441.32"/>
        <n v="443.12"/>
        <n v="449.8"/>
        <n v="450.2"/>
        <n v="454.4"/>
        <n v="455.48"/>
        <n v="455.62"/>
        <n v="456.36"/>
        <n v="460.12"/>
        <n v="460.56"/>
        <n v="461.44"/>
        <n v="463.56"/>
        <n v="468.94"/>
        <n v="473.9"/>
        <n v="476.48"/>
        <n v="477.18"/>
        <n v="477.44"/>
        <n v="478.7"/>
        <n v="479.52"/>
        <n v="480.5"/>
        <n v="481.38"/>
        <n v="481.78"/>
        <n v="483.66"/>
        <n v="492.24"/>
        <n v="494.34"/>
        <n v="494.8"/>
        <n v="496.08"/>
        <n v="496.84"/>
        <n v="497.24"/>
        <n v="501.48"/>
        <n v="515.1"/>
        <n v="515.48"/>
        <n v="527.26"/>
        <n v="527.64"/>
        <n v="531.66"/>
        <n v="532.54"/>
        <n v="537.06"/>
        <n v="539.92"/>
        <n v="540.38"/>
        <n v="555.98"/>
        <n v="558.62"/>
        <n v="563.68"/>
        <n v="566.9"/>
        <n v="574.48"/>
        <n v="582.86"/>
        <n v="585.14"/>
        <n v="585.58"/>
        <n v="586.94"/>
        <n v="587.78"/>
        <n v="587.84"/>
        <n v="593.98"/>
        <n v="595.14"/>
        <n v="615.54"/>
        <n v="618.5"/>
        <n v="641"/>
        <n v="648.2"/>
        <n v="664.98"/>
        <n v="668.98"/>
        <n v="677.4"/>
        <n v="690.2"/>
        <n v="696.22"/>
        <n v="699.74"/>
        <n v="701.66"/>
        <n v="714.4"/>
        <n v="719.74"/>
        <n v="721.66"/>
        <n v="733.78"/>
        <n v="751.6"/>
        <n v="758.36"/>
        <n v="782.44"/>
        <n v="794.32"/>
        <n v="798.44"/>
        <n v="827.8"/>
        <n v="838.94"/>
        <n v="1061.56"/>
        <n v="1079.08"/>
        <n v="1187.44"/>
        <n v="1674.64"/>
        <n v="1815.12"/>
      </sharedItems>
    </cacheField>
    <cacheField name="VOL. TOTAL ESC." numFmtId="0">
      <sharedItems containsSemiMixedTypes="0" containsString="0" containsNumber="1" minValue="0" maxValue="1217.04462" count="1406">
        <n v="0"/>
        <n v="0.5227105"/>
        <n v="0.53157"/>
        <n v="0.584727"/>
        <n v="0.5935865"/>
        <n v="0.6290245"/>
        <n v="0.6467435"/>
        <n v="0.6821815"/>
        <n v="0.6999005"/>
        <n v="0.850512"/>
        <n v="0.9855"/>
        <n v="1.0011235"/>
        <n v="1.02165"/>
        <n v="1.080859"/>
        <n v="1.1605945"/>
        <n v="1.18845"/>
        <n v="1.24033"/>
        <n v="1.34385"/>
        <n v="1.469925"/>
        <n v="1.612429"/>
        <n v="1.636725"/>
        <n v="1.6425"/>
        <n v="1.647867"/>
        <n v="1.7098835"/>
        <n v="1.736462"/>
        <n v="1.7630405"/>
        <n v="1.8422"/>
        <n v="1.8788"/>
        <n v="1.9182"/>
        <n v="2.11335"/>
        <n v="2.1243"/>
        <n v="2.1681"/>
        <n v="2.1882965"/>
        <n v="2.19"/>
        <n v="2.2414535"/>
        <n v="2.24475"/>
        <n v="2.374346"/>
        <n v="2.4540815"/>
        <n v="2.50002"/>
        <n v="2.586974"/>
        <n v="2.635"/>
        <n v="2.6499"/>
        <n v="2.674525"/>
        <n v="2.727225"/>
        <n v="2.7375"/>
        <n v="2.74845"/>
        <n v="2.7729"/>
        <n v="2.8084615"/>
        <n v="2.852759"/>
        <n v="2.888197"/>
        <n v="2.9324945"/>
        <n v="3.0441"/>
        <n v="3.0565275"/>
        <n v="3.066"/>
        <n v="3.1692"/>
        <n v="3.171701"/>
        <n v="3.1805605"/>
        <n v="3.1964"/>
        <n v="3.200475"/>
        <n v="3.24105"/>
        <n v="3.25215"/>
        <n v="3.27405"/>
        <n v="3.288825"/>
        <n v="3.3069"/>
        <n v="3.3400315"/>
        <n v="3.3754695"/>
        <n v="3.3794"/>
        <n v="3.455205"/>
        <n v="3.5880975"/>
        <n v="3.62445"/>
        <n v="3.65895"/>
        <n v="3.71535"/>
        <n v="3.72099"/>
        <n v="3.7454"/>
        <n v="3.7944"/>
        <n v="3.79965"/>
        <n v="3.838725"/>
        <n v="3.862742"/>
        <n v="3.909915"/>
        <n v="3.933618"/>
        <n v="4.12815"/>
        <n v="4.168125"/>
        <n v="4.17195"/>
        <n v="4.181684"/>
        <n v="4.2705"/>
        <n v="4.2924"/>
        <n v="4.323436"/>
        <n v="4.360925"/>
        <n v="4.4164"/>
        <n v="4.5094855"/>
        <n v="4.536064"/>
        <n v="4.6107"/>
        <n v="4.639125"/>
        <n v="4.642378"/>
        <n v="4.6482"/>
        <n v="4.6512375"/>
        <n v="4.701675"/>
        <n v="4.7304"/>
        <n v="4.7398325"/>
        <n v="4.7742"/>
        <n v="4.82895"/>
        <n v="4.8922"/>
        <n v="4.89465"/>
        <n v="4.925882"/>
        <n v="4.9898"/>
        <n v="5.0151"/>
        <n v="5.0233365"/>
        <n v="5.0587745"/>
        <n v="5.120791"/>
        <n v="5.1296505"/>
        <n v="5.1465"/>
        <n v="5.184"/>
        <n v="5.262543"/>
        <n v="5.3157"/>
        <n v="5.3436"/>
        <n v="5.439733"/>
        <n v="5.510609"/>
        <n v="5.5626"/>
        <n v="5.5862"/>
        <n v="5.6064"/>
        <n v="5.6502"/>
        <n v="5.66115"/>
        <n v="5.862875"/>
        <n v="5.9624435"/>
        <n v="5.978"/>
        <n v="6.01155"/>
        <n v="6.0333195"/>
        <n v="6.1025625"/>
        <n v="6.132"/>
        <n v="6.219369"/>
        <n v="6.3318"/>
        <n v="6.397875"/>
        <n v="6.4018125"/>
        <n v="6.4294"/>
        <n v="6.50845"/>
        <n v="6.5148"/>
        <n v="6.5565"/>
        <n v="6.6138"/>
        <n v="6.7775175"/>
        <n v="6.7954"/>
        <n v="6.94305"/>
        <n v="7.0078645"/>
        <n v="7.0610215"/>
        <n v="7.123038"/>
        <n v="7.176195"/>
        <n v="7.1832"/>
        <n v="7.2558"/>
        <n v="7.3268065"/>
        <n v="7.35165"/>
        <n v="7.406542"/>
        <n v="7.4241"/>
        <n v="7.424261"/>
        <n v="7.47885"/>
        <n v="7.5571535"/>
        <n v="7.8202"/>
        <n v="7.8760955"/>
        <n v="7.9497"/>
        <n v="7.992"/>
        <n v="8.0001285"/>
        <n v="8.0568"/>
        <n v="8.183625"/>
        <n v="8.308725"/>
        <n v="8.33295"/>
        <n v="8.770905"/>
        <n v="8.83665"/>
        <n v="8.8536"/>
        <n v="8.87995"/>
        <n v="9.0009"/>
        <n v="9.0885"/>
        <n v="9.163575"/>
        <n v="9.3822105"/>
        <n v="9.434625"/>
        <n v="9.4708055"/>
        <n v="9.6834335"/>
        <n v="9.7543095"/>
        <n v="9.887202"/>
        <n v="9.90975"/>
        <n v="9.92264"/>
        <n v="10.27702"/>
        <n v="10.401053"/>
        <n v="10.5042"/>
        <n v="10.666838"/>
        <n v="10.684557"/>
        <n v="10.9592015"/>
        <n v="11.0477965"/>
        <n v="11.056656"/>
        <n v="11.1470625"/>
        <n v="11.2781435"/>
        <n v="11.322441"/>
        <n v="11.3442"/>
        <n v="11.3661"/>
        <n v="11.411036"/>
        <n v="11.5168"/>
        <n v="11.6508"/>
        <n v="11.659102"/>
        <n v="11.854011"/>
        <n v="11.8917"/>
        <n v="12.09805"/>
        <n v="12.2881265"/>
        <n v="12.3078"/>
        <n v="12.31875"/>
        <n v="12.633647"/>
        <n v="12.6351"/>
        <n v="12.7239"/>
        <n v="12.7488205"/>
        <n v="12.8374155"/>
        <n v="12.863994"/>
        <n v="12.8728535"/>
        <n v="12.88815"/>
        <n v="12.9082915"/>
        <n v="12.95442"/>
        <n v="12.970308"/>
        <n v="13.0323245"/>
        <n v="13.129779"/>
        <n v="13.2248"/>
        <n v="13.484159"/>
        <n v="13.5107375"/>
        <n v="13.519597"/>
        <n v="13.610025"/>
        <n v="13.625911"/>
        <n v="13.6656"/>
        <n v="13.72035"/>
        <n v="13.82082"/>
        <n v="13.9202"/>
        <n v="13.9537125"/>
        <n v="14.0817"/>
        <n v="14.46495"/>
        <n v="14.7333485"/>
        <n v="14.795365"/>
        <n v="14.848522"/>
        <n v="15.096588"/>
        <n v="15.15852"/>
        <n v="15.23834"/>
        <n v="15.3180755"/>
        <n v="15.521844"/>
        <n v="15.6547365"/>
        <n v="15.8337"/>
        <n v="16.0977115"/>
        <n v="16.460951"/>
        <n v="16.4698105"/>
        <n v="16.4715"/>
        <n v="16.4952"/>
        <n v="16.602703"/>
        <n v="16.644"/>
        <n v="16.65915"/>
        <n v="16.691298"/>
        <n v="16.7001575"/>
        <n v="16.8064715"/>
        <n v="17.205149"/>
        <n v="17.36805"/>
        <n v="17.4443555"/>
        <n v="17.480475"/>
        <n v="17.5683885"/>
        <n v="17.6569835"/>
        <n v="17.8518925"/>
        <n v="18.037942"/>
        <n v="18.27555"/>
        <n v="18.2756"/>
        <n v="18.3"/>
        <n v="18.5074955"/>
        <n v="18.6669665"/>
        <n v="18.66975"/>
        <n v="18.675826"/>
        <n v="18.817578"/>
        <n v="18.9859085"/>
        <n v="18.99435"/>
        <n v="19.0922225"/>
        <n v="19.1453795"/>
        <n v="19.189677"/>
        <n v="19.23915"/>
        <n v="19.3311"/>
        <n v="19.4288835"/>
        <n v="19.508619"/>
        <n v="19.526338"/>
        <n v="19.5529165"/>
        <n v="19.6881"/>
        <n v="19.74495"/>
        <n v="19.7832635"/>
        <n v="19.849275"/>
        <n v="20.146503"/>
        <n v="20.3374"/>
        <n v="20.3502715"/>
        <n v="20.4211475"/>
        <n v="20.536321"/>
        <n v="20.678073"/>
        <n v="20.695792"/>
        <n v="20.7046515"/>
        <n v="20.927925"/>
        <n v="21.0767505"/>
        <n v="21.138767"/>
        <n v="21.16635"/>
        <n v="21.581742"/>
        <n v="21.6969155"/>
        <n v="21.918403"/>
        <n v="22.2816425"/>
        <n v="22.3525185"/>
        <n v="22.3879565"/>
        <n v="22.432254"/>
        <n v="22.4475"/>
        <n v="22.59075"/>
        <n v="22.632675"/>
        <n v="22.875229"/>
        <n v="23.09355"/>
        <n v="23.1321545"/>
        <n v="23.194171"/>
        <n v="23.2561875"/>
        <n v="23.44395"/>
        <n v="23.513113"/>
        <n v="23.6991625"/>
        <n v="23.8586335"/>
        <n v="24.0889805"/>
        <n v="24.257311"/>
        <n v="24.3016085"/>
        <n v="24.309"/>
        <n v="24.3547655"/>
        <n v="24.523096"/>
        <n v="24.6028315"/>
        <n v="24.611691"/>
        <n v="24.861825"/>
        <n v="25.0458065"/>
        <n v="25.0983"/>
        <n v="25.178699"/>
        <n v="25.3470295"/>
        <n v="25.426765"/>
        <n v="25.53315"/>
        <n v="25.6482525"/>
        <n v="25.78185"/>
        <n v="25.801875"/>
        <n v="25.857"/>
        <n v="25.922897"/>
        <n v="25.9671945"/>
        <n v="26.0625"/>
        <n v="26.1443845"/>
        <n v="26.20335"/>
        <n v="26.259558"/>
        <n v="26.5519215"/>
        <n v="26.596125"/>
        <n v="26.6759545"/>
        <n v="26.968318"/>
        <n v="26.9808"/>
        <n v="27.0352"/>
        <n v="27.1998"/>
        <n v="27.2784005"/>
        <n v="27.5373"/>
        <n v="27.53925"/>
        <n v="27.5973425"/>
        <n v="27.653625"/>
        <n v="27.66795"/>
        <n v="27.889706"/>
        <n v="27.9624"/>
        <n v="28.02105"/>
        <n v="28.137772"/>
        <n v="28.15245"/>
        <n v="28.297243"/>
        <n v="28.34955"/>
        <n v="28.3608"/>
        <n v="28.580747"/>
        <n v="28.72185"/>
        <n v="28.722499"/>
        <n v="28.793375"/>
        <n v="28.7985"/>
        <n v="28.8022345"/>
        <n v="28.864251"/>
        <n v="28.899689"/>
        <n v="28.9971435"/>
        <n v="29.0325815"/>
        <n v="29.0680195"/>
        <n v="29.2716"/>
        <n v="29.3241"/>
        <n v="29.4578375"/>
        <n v="29.53215"/>
        <n v="29.6088"/>
        <n v="29.697044"/>
        <n v="29.714763"/>
        <n v="29.784225"/>
        <n v="29.8122175"/>
        <n v="29.9061"/>
        <n v="29.951"/>
        <n v="30.003"/>
        <n v="30.104581"/>
        <n v="30.17075"/>
        <n v="30.1708125"/>
        <n v="30.1828"/>
        <n v="30.281771"/>
        <n v="30.458961"/>
        <n v="30.671589"/>
        <n v="30.7867625"/>
        <n v="30.8222005"/>
        <n v="30.919655"/>
        <n v="30.9636"/>
        <n v="30.988"/>
        <n v="31.2564"/>
        <n v="31.3183325"/>
        <n v="31.4046"/>
        <n v="31.556475"/>
        <n v="31.848375"/>
        <n v="31.85355"/>
        <n v="31.9384975"/>
        <n v="31.947075"/>
        <n v="32.0270925"/>
        <n v="32.089109"/>
        <n v="32.159985"/>
        <n v="32.443489"/>
        <n v="32.461208"/>
        <n v="32.48865"/>
        <n v="32.571"/>
        <n v="32.709274"/>
        <n v="32.726993"/>
        <n v="32.7890095"/>
        <n v="32.8067285"/>
        <n v="32.8596"/>
        <n v="33.13453"/>
        <n v="33.240844"/>
        <n v="33.349575"/>
        <n v="33.3914555"/>
        <n v="33.4800505"/>
        <n v="33.5509265"/>
        <n v="33.595224"/>
        <n v="33.6040835"/>
        <n v="33.967323"/>
        <n v="34.0116205"/>
        <n v="34.07265"/>
        <n v="34.0824965"/>
        <n v="34.08975"/>
        <n v="34.091356"/>
        <n v="34.1002155"/>
        <n v="34.37486"/>
        <n v="34.58025"/>
        <n v="34.640645"/>
        <n v="34.764678"/>
        <n v="34.8089755"/>
        <n v="34.941868"/>
        <n v="35.028"/>
        <n v="35.030463"/>
        <n v="35.08785"/>
        <n v="35.100975"/>
        <n v="35.119058"/>
        <n v="35.1633555"/>
        <n v="35.1726"/>
        <n v="35.309925"/>
        <n v="35.478"/>
        <n v="35.66415"/>
        <n v="35.739223"/>
        <n v="35.79238"/>
        <n v="35.9127"/>
        <n v="35.9961485"/>
        <n v="36.0847435"/>
        <n v="36.1665"/>
        <n v="36.3357"/>
        <n v="36.518775"/>
        <n v="36.5808755"/>
        <n v="36.731487"/>
        <n v="36.837801"/>
        <n v="36.8820985"/>
        <n v="37.0061315"/>
        <n v="37.121305"/>
        <n v="37.1656025"/>
        <n v="37.2187595"/>
        <n v="37.245338"/>
        <n v="37.2886875"/>
        <n v="37.2896355"/>
        <n v="37.457025"/>
        <n v="37.493404"/>
        <n v="37.561275"/>
        <n v="37.56428"/>
        <n v="37.5908585"/>
        <n v="37.615275"/>
        <n v="37.6262965"/>
        <n v="37.74147"/>
        <n v="37.8920815"/>
        <n v="37.9542"/>
        <n v="38.078131"/>
        <n v="38.1717"/>
        <n v="38.249775"/>
        <n v="38.3350565"/>
        <n v="38.414792"/>
        <n v="38.4474"/>
        <n v="38.5476845"/>
        <n v="38.693925"/>
        <n v="38.698296"/>
        <n v="38.7248745"/>
        <n v="38.820825"/>
        <n v="38.893205"/>
        <n v="38.9197835"/>
        <n v="39.070395"/>
        <n v="39.105833"/>
        <n v="39.123552"/>
        <n v="39.1501305"/>
        <n v="39.283023"/>
        <n v="39.3096015"/>
        <n v="39.318461"/>
        <n v="39.3804775"/>
        <n v="39.442494"/>
        <n v="39.531089"/>
        <n v="39.5576675"/>
        <n v="39.5733"/>
        <n v="39.5931055"/>
        <n v="39.672841"/>
        <n v="39.6866"/>
        <n v="39.7348575"/>
        <n v="39.779155"/>
        <n v="39.814593"/>
        <n v="39.821625"/>
        <n v="39.833925"/>
        <n v="39.86775"/>
        <n v="39.878325"/>
        <n v="39.8943285"/>
        <n v="39.9297665"/>
        <n v="40.098097"/>
        <n v="40.168973"/>
        <n v="40.20615"/>
        <n v="40.2309895"/>
        <n v="40.2405"/>
        <n v="40.310725"/>
        <n v="40.334325"/>
        <n v="40.4081795"/>
        <n v="40.487915"/>
        <n v="40.6026"/>
        <n v="40.771419"/>
        <n v="40.7979975"/>
        <n v="40.8157165"/>
        <n v="40.94205"/>
        <n v="40.9536"/>
        <n v="41.232113"/>
        <n v="41.2425"/>
        <n v="41.29245"/>
        <n v="41.3472865"/>
        <n v="41.3650055"/>
        <n v="41.373865"/>
        <n v="41.427022"/>
        <n v="41.480179"/>
        <n v="41.51025"/>
        <n v="41.515617"/>
        <n v="41.5244765"/>
        <n v="41.551055"/>
        <n v="41.6752"/>
        <n v="41.692807"/>
        <n v="41.7016665"/>
        <n v="41.7548235"/>
        <n v="41.834559"/>
        <n v="41.905435"/>
        <n v="41.90565"/>
        <n v="41.940873"/>
        <n v="41.9436"/>
        <n v="41.9674515"/>
        <n v="41.9823"/>
        <n v="42.0753"/>
        <n v="42.10275"/>
        <n v="42.135782"/>
        <n v="42.183675"/>
        <n v="42.2013"/>
        <n v="42.2155175"/>
        <n v="42.277534"/>
        <n v="42.3041125"/>
        <n v="42.3218"/>
        <n v="42.398475"/>
        <n v="42.472443"/>
        <n v="42.5167405"/>
        <n v="42.5344595"/>
        <n v="42.56265"/>
        <n v="42.5698975"/>
        <n v="42.6584925"/>
        <n v="42.6762115"/>
        <n v="42.70279"/>
        <n v="42.87998"/>
        <n v="42.915418"/>
        <n v="42.9419965"/>
        <n v="42.968575"/>
        <n v="42.9951535"/>
        <n v="43.039451"/>
        <n v="43.0614"/>
        <n v="43.0660295"/>
        <n v="43.0761"/>
        <n v="43.1369055"/>
        <n v="43.169925"/>
        <n v="43.216641"/>
        <n v="43.232475"/>
        <n v="43.2525"/>
        <n v="43.287517"/>
        <n v="43.2963765"/>
        <n v="43.305236"/>
        <n v="43.358393"/>
        <n v="43.368"/>
        <n v="43.41155"/>
        <n v="43.429269"/>
        <n v="43.4381285"/>
        <n v="43.440975"/>
        <n v="43.4934"/>
        <n v="43.5296"/>
        <n v="43.730492"/>
        <n v="43.748211"/>
        <n v="43.8811035"/>
        <n v="43.88625"/>
        <n v="43.960839"/>
        <n v="44.0405745"/>
        <n v="44.0937315"/>
        <n v="44.155748"/>
        <n v="44.16135"/>
        <n v="44.226624"/>
        <n v="44.2818"/>
        <n v="44.4303925"/>
        <n v="44.46795"/>
        <n v="44.62125"/>
        <n v="44.6253015"/>
        <n v="44.6541"/>
        <n v="44.740475"/>
        <n v="44.758194"/>
        <n v="44.775913"/>
        <n v="44.8024915"/>
        <n v="44.827425"/>
        <n v="44.8692"/>
        <n v="44.8733675"/>
        <n v="44.899946"/>
        <n v="45.0072"/>
        <n v="45.02835"/>
        <n v="45.165731"/>
        <n v="45.2100285"/>
        <n v="45.250425"/>
        <n v="45.307483"/>
        <n v="45.3279"/>
        <n v="45.440775"/>
        <n v="45.4539375"/>
        <n v="45.466954"/>
        <n v="45.484673"/>
        <n v="45.49725"/>
        <n v="45.55725"/>
        <n v="45.567"/>
        <n v="45.609375"/>
        <n v="45.6530035"/>
        <n v="45.8124745"/>
        <n v="45.839053"/>
        <n v="45.945367"/>
        <n v="45.963825"/>
        <n v="45.969525"/>
        <n v="45.980805"/>
        <n v="46.117575"/>
        <n v="46.177"/>
        <n v="46.2200115"/>
        <n v="46.4149205"/>
        <n v="46.42378"/>
        <n v="46.583251"/>
        <n v="46.63575"/>
        <n v="46.671846"/>
        <n v="46.6807055"/>
        <n v="46.76655"/>
        <n v="46.93185"/>
        <n v="46.9755"/>
        <n v="47.0376"/>
        <n v="47.18355"/>
        <n v="47.26695"/>
        <n v="47.2831515"/>
        <n v="47.3008705"/>
        <n v="47.3712"/>
        <n v="47.376"/>
        <n v="47.465025"/>
        <n v="47.56635"/>
        <n v="47.5666555"/>
        <n v="47.66535"/>
        <n v="47.6906885"/>
        <n v="47.717267"/>
        <n v="47.7438455"/>
        <n v="47.752705"/>
        <n v="47.76735"/>
        <n v="47.805862"/>
        <n v="47.8324405"/>
        <n v="47.861175"/>
        <n v="47.947614"/>
        <n v="47.955"/>
        <n v="47.961"/>
        <n v="48.132225"/>
        <n v="48.160242"/>
        <n v="48.444975"/>
        <n v="48.4785"/>
        <n v="48.58155"/>
        <n v="48.6652335"/>
        <n v="48.6873"/>
        <n v="48.7183905"/>
        <n v="48.7361095"/>
        <n v="48.8122"/>
        <n v="48.867075"/>
        <n v="48.869002"/>
        <n v="48.9558"/>
        <n v="48.97665"/>
        <n v="49.04685"/>
        <n v="49.0809"/>
        <n v="49.105"/>
        <n v="49.152506"/>
        <n v="49.3728"/>
        <n v="49.466625"/>
        <n v="49.47705"/>
        <n v="49.560043"/>
        <n v="49.862775"/>
        <n v="49.9055635"/>
        <n v="49.959"/>
        <n v="49.9758"/>
        <n v="50.009175"/>
        <n v="50.0634"/>
        <n v="50.1984"/>
        <n v="50.2396"/>
        <n v="50.2422245"/>
        <n v="50.2524"/>
        <n v="50.268803"/>
        <n v="50.284125"/>
        <n v="50.286522"/>
        <n v="50.4725715"/>
        <n v="50.516869"/>
        <n v="50.51955"/>
        <n v="50.589"/>
        <n v="50.60295"/>
        <n v="50.8252"/>
        <n v="50.884425"/>
        <n v="50.9832"/>
        <n v="51.0572985"/>
        <n v="51.066158"/>
        <n v="51.0750175"/>
        <n v="51.155475"/>
        <n v="51.176325"/>
        <n v="51.2241"/>
        <n v="51.261067"/>
        <n v="51.30075"/>
        <n v="51.3230835"/>
        <n v="51.574275"/>
        <n v="51.597728"/>
        <n v="51.6420255"/>
        <n v="51.64545"/>
        <n v="51.658875"/>
        <n v="51.73948"/>
        <n v="51.810356"/>
        <n v="51.97905"/>
        <n v="52.0125"/>
        <n v="52.0318435"/>
        <n v="52.0495625"/>
        <n v="52.094"/>
        <n v="52.111579"/>
        <n v="52.1136"/>
        <n v="52.1558765"/>
        <n v="52.465959"/>
        <n v="52.469025"/>
        <n v="52.5819"/>
        <n v="52.6212"/>
        <n v="52.6552"/>
        <n v="52.6697275"/>
        <n v="52.76925"/>
        <n v="52.9104"/>
        <n v="52.9323"/>
        <n v="53.009"/>
        <n v="53.0241075"/>
        <n v="53.1294"/>
        <n v="53.192438"/>
        <n v="53.2721735"/>
        <n v="53.29365"/>
        <n v="53.33419"/>
        <n v="53.351909"/>
        <n v="53.369628"/>
        <n v="53.3784875"/>
        <n v="53.42505"/>
        <n v="53.4493635"/>
        <n v="53.51138"/>
        <n v="53.5674"/>
        <n v="53.837325"/>
        <n v="53.8959"/>
        <n v="53.9606"/>
        <n v="53.9835"/>
        <n v="54.1049665"/>
        <n v="54.12585"/>
        <n v="54.149264"/>
        <n v="54.2168"/>
        <n v="54.3707515"/>
        <n v="54.3768"/>
        <n v="54.4741875"/>
        <n v="54.47625"/>
        <n v="54.4770655"/>
        <n v="54.6188175"/>
        <n v="54.66168"/>
        <n v="54.7062"/>
        <n v="54.822586"/>
        <n v="54.8314455"/>
        <n v="55.0440735"/>
        <n v="55.0708"/>
        <n v="55.176966"/>
        <n v="55.266"/>
        <n v="55.4289"/>
        <n v="55.566784"/>
        <n v="55.613925"/>
        <n v="55.673098"/>
        <n v="55.7528335"/>
        <n v="55.7705525"/>
        <n v="55.783125"/>
        <n v="55.83405"/>
        <n v="56.0224"/>
        <n v="56.0363375"/>
        <n v="56.1603705"/>
        <n v="56.186949"/>
        <n v="56.222025"/>
        <n v="56.22825"/>
        <n v="56.240106"/>
        <n v="56.2666845"/>
        <n v="56.3198415"/>
        <n v="56.354175"/>
        <n v="56.505891"/>
        <n v="56.5147505"/>
        <n v="56.5592"/>
        <n v="56.5856265"/>
        <n v="56.7008"/>
        <n v="57.546"/>
        <n v="57.6133285"/>
        <n v="57.6664855"/>
        <n v="57.7018125"/>
        <n v="57.7727995"/>
        <n v="57.816"/>
        <n v="57.870254"/>
        <n v="57.8968325"/>
        <n v="58.012006"/>
        <n v="58.4638405"/>
        <n v="58.5168"/>
        <n v="58.6055925"/>
        <n v="58.65915"/>
        <n v="58.8359395"/>
        <n v="58.862518"/>
        <n v="58.8672"/>
        <n v="59.6510135"/>
        <n v="59.787"/>
        <n v="59.808225"/>
        <n v="59.819344"/>
        <n v="59.822775"/>
        <n v="59.95125"/>
        <n v="60.031972"/>
        <n v="60.3198"/>
        <n v="60.4129305"/>
        <n v="60.451"/>
        <n v="60.5369635"/>
        <n v="60.563542"/>
        <n v="60.8027485"/>
        <n v="60.9512"/>
        <n v="61.0122"/>
        <n v="61.219145"/>
        <n v="61.5888"/>
        <n v="61.7772935"/>
        <n v="61.7799"/>
        <n v="62.07555"/>
        <n v="62.1387"/>
        <n v="62.191575"/>
        <n v="62.2911445"/>
        <n v="62.3493"/>
        <n v="62.388599"/>
        <n v="62.477194"/>
        <n v="62.4860535"/>
        <n v="62.5214915"/>
        <n v="62.6100865"/>
        <n v="62.6278055"/>
        <n v="62.852325"/>
        <n v="63.07964"/>
        <n v="63.150516"/>
        <n v="63.2656895"/>
        <n v="63.3011275"/>
        <n v="63.735243"/>
        <n v="63.7728"/>
        <n v="63.8149785"/>
        <n v="63.8504165"/>
        <n v="63.9390115"/>
        <n v="64.040775"/>
        <n v="64.095075"/>
        <n v="64.167"/>
        <n v="64.355408"/>
        <n v="64.6477715"/>
        <n v="64.666125"/>
        <n v="64.7540855"/>
        <n v="65.1439035"/>
        <n v="65.170482"/>
        <n v="65.241358"/>
        <n v="65.294515"/>
        <n v="65.4591"/>
        <n v="65.64525"/>
        <n v="65.71305"/>
        <n v="65.7702"/>
        <n v="65.79855"/>
        <n v="66.1818"/>
        <n v="66.2070435"/>
        <n v="66.2196"/>
        <n v="66.250875"/>
        <n v="66.304498"/>
        <n v="66.481688"/>
        <n v="66.5082665"/>
        <n v="66.6500185"/>
        <n v="67.3233405"/>
        <n v="67.3322"/>
        <n v="67.3764975"/>
        <n v="67.385357"/>
        <n v="67.597985"/>
        <n v="67.8194725"/>
        <n v="68.3864805"/>
        <n v="68.7585795"/>
        <n v="68.8812"/>
        <n v="68.909191"/>
        <n v="69.45848"/>
        <n v="69.4673395"/>
        <n v="69.5027775"/>
        <n v="69.63567"/>
        <n v="69.8925955"/>
        <n v="69.99005"/>
        <n v="70.0520665"/>
        <n v="70.0646"/>
        <n v="70.06995"/>
        <n v="70.1229425"/>
        <n v="70.34443"/>
        <n v="70.4241655"/>
        <n v="70.6545125"/>
        <n v="70.663372"/>
        <n v="71.0088925"/>
        <n v="71.07765"/>
        <n v="71.106347"/>
        <n v="71.159504"/>
        <n v="71.463375"/>
        <n v="71.6999335"/>
        <n v="71.726512"/>
        <n v="72.3357"/>
        <n v="72.364396"/>
        <n v="72.842809"/>
        <n v="72.966842"/>
        <n v="73.073156"/>
        <n v="73.62315"/>
        <n v="73.640164"/>
        <n v="74.295767"/>
        <n v="74.6058495"/>
        <n v="74.6412875"/>
        <n v="74.986808"/>
        <n v="75.181717"/>
        <n v="75.4455"/>
        <n v="75.5095185"/>
        <n v="75.589254"/>
        <n v="75.6335515"/>
        <n v="75.6512705"/>
        <n v="75.8461795"/>
        <n v="76.37265"/>
        <n v="76.3777495"/>
        <n v="76.404328"/>
        <n v="76.6080965"/>
        <n v="76.75335"/>
        <n v="76.8112"/>
        <n v="76.90046"/>
        <n v="77.060025"/>
        <n v="77.4940465"/>
        <n v="77.875005"/>
        <n v="78.31798"/>
        <n v="78.57225"/>
        <n v="78.583765"/>
        <n v="78.725517"/>
        <n v="78.82905"/>
        <n v="79.0316"/>
        <n v="79.416558"/>
        <n v="79.646905"/>
        <n v="79.717781"/>
        <n v="79.9131"/>
        <n v="79.9569875"/>
        <n v="80.084475"/>
        <n v="80.5815"/>
        <n v="80.763202"/>
        <n v="80.89875"/>
        <n v="80.9846895"/>
        <n v="81.011268"/>
        <n v="81.028987"/>
        <n v="81.064425"/>
        <n v="81.188458"/>
        <n v="81.2634"/>
        <n v="81.6757305"/>
        <n v="82.03897"/>
        <n v="82.4022095"/>
        <n v="82.4553665"/>
        <n v="82.5262425"/>
        <n v="82.566"/>
        <n v="82.641416"/>
        <n v="82.6464375"/>
        <n v="82.6502755"/>
        <n v="82.68345"/>
        <n v="82.7388705"/>
        <n v="82.7526"/>
        <n v="82.79295"/>
        <n v="82.907201"/>
        <n v="82.9514985"/>
        <n v="82.960358"/>
        <n v="83.013515"/>
        <n v="83.0454"/>
        <n v="83.4653495"/>
        <n v="83.527366"/>
        <n v="83.71275"/>
        <n v="83.8906055"/>
        <n v="84.218407"/>
        <n v="84.651"/>
        <n v="84.7411175"/>
        <n v="84.758625"/>
        <n v="84.8651505"/>
        <n v="84.869925"/>
        <n v="85.5464"/>
        <n v="85.6270675"/>
        <n v="85.813117"/>
        <n v="86.3517"/>
        <n v="86.5269"/>
        <n v="86.699067"/>
        <n v="86.8992"/>
        <n v="86.947133"/>
        <n v="86.9868"/>
        <n v="87.0445875"/>
        <n v="87.28605"/>
        <n v="87.2926535"/>
        <n v="87.301513"/>
        <n v="87.42405"/>
        <n v="87.6293145"/>
        <n v="88.0014135"/>
        <n v="88.116587"/>
        <n v="88.276058"/>
        <n v="88.7810495"/>
        <n v="88.946325"/>
        <n v="89.002537"/>
        <n v="89.34105"/>
        <n v="89.4898095"/>
        <n v="89.9859415"/>
        <n v="90.614966"/>
        <n v="90.72128"/>
        <n v="90.792156"/>
        <n v="90.8064"/>
        <n v="91.022503"/>
        <n v="91.07566"/>
        <n v="91.1731145"/>
        <n v="91.217412"/>
        <n v="91.2794285"/>
        <n v="91.4034615"/>
        <n v="91.8464365"/>
        <n v="91.8995935"/>
        <n v="92.042325"/>
        <n v="92.050205"/>
        <n v="92.0945025"/>
        <n v="92.1299405"/>
        <n v="92.2198"/>
        <n v="92.351475"/>
        <n v="92.6260725"/>
        <n v="92.812122"/>
        <n v="93.0867665"/>
        <n v="93.4943035"/>
        <n v="93.6892125"/>
        <n v="93.9904355"/>
        <n v="94.158766"/>
        <n v="94.282799"/>
        <n v="94.353675"/>
        <n v="94.6106005"/>
        <n v="94.991559"/>
        <n v="95.164425"/>
        <n v="95.469972"/>
        <n v="96.0635585"/>
        <n v="96.116175"/>
        <n v="96.763459"/>
        <n v="96.8199"/>
        <n v="97.011525"/>
        <n v="97.170996"/>
        <n v="97.3570455"/>
        <n v="97.6051115"/>
        <n v="98.027"/>
        <n v="98.3670285"/>
        <n v="98.7214085"/>
        <n v="98.80185"/>
        <n v="98.8631605"/>
        <n v="98.87202"/>
        <n v="99.084648"/>
        <n v="99.4041"/>
        <n v="99.7136725"/>
        <n v="99.7845485"/>
        <n v="100.48815"/>
        <n v="100.555325"/>
        <n v="100.661639"/>
        <n v="100.9983"/>
        <n v="101.6627625"/>
        <n v="101.7159195"/>
        <n v="101.831093"/>
        <n v="101.972845"/>
        <n v="102.114"/>
        <n v="102.1233"/>
        <n v="102.4246795"/>
        <n v="103.0176"/>
        <n v="103.806"/>
        <n v="104.028249"/>
        <n v="104.1257035"/>
        <n v="104.23305"/>
        <n v="104.488943"/>
        <n v="104.5155215"/>
        <n v="104.71365"/>
        <n v="104.719125"/>
        <n v="104.8521825"/>
        <n v="105.020513"/>
        <n v="105.594825"/>
        <n v="105.640678"/>
        <n v="105.7558515"/>
        <n v="106.5873"/>
        <n v="107.1379335"/>
        <n v="107.62755"/>
        <n v="107.7226605"/>
        <n v="107.9175695"/>
        <n v="108.475718"/>
        <n v="108.6794865"/>
        <n v="109.237635"/>
        <n v="109.250325"/>
        <n v="109.3791"/>
        <n v="109.4414035"/>
        <n v="109.4768415"/>
        <n v="109.50342"/>
        <n v="109.6008745"/>
        <n v="110.123585"/>
        <n v="110.2338"/>
        <n v="110.442527"/>
        <n v="110.814626"/>
        <n v="111.00015"/>
        <n v="111.5854025"/>
        <n v="111.895485"/>
        <n v="112.05135"/>
        <n v="112.5066"/>
        <n v="112.7193"/>
        <n v="113.2864265"/>
        <n v="113.454757"/>
        <n v="113.8382"/>
        <n v="114.039484"/>
        <n v="115.413"/>
        <n v="115.4658635"/>
        <n v="115.8202435"/>
        <n v="115.9619955"/>
        <n v="116.077169"/>
        <n v="116.2986565"/>
        <n v="116.60655"/>
        <n v="116.6530365"/>
        <n v="116.661896"/>
        <n v="116.892243"/>
        <n v="116.9365405"/>
        <n v="117.459251"/>
        <n v="117.562275"/>
        <n v="117.9288045"/>
        <n v="117.9996805"/>
        <n v="118.0882755"/>
        <n v="118.2831845"/>
        <n v="118.4958125"/>
        <n v="118.646424"/>
        <n v="119.21265"/>
        <n v="119.397525"/>
        <n v="119.4645"/>
        <n v="119.7892995"/>
        <n v="119.869035"/>
        <n v="119.8782"/>
        <n v="119.9310515"/>
        <n v="120.0196465"/>
        <n v="120.079125"/>
        <n v="120.100275"/>
        <n v="120.205696"/>
        <n v="121.0203"/>
        <n v="121.1536625"/>
        <n v="121.5434805"/>
        <n v="121.5966375"/>
        <n v="121.694092"/>
        <n v="122.2239"/>
        <n v="122.7714"/>
        <n v="122.863546"/>
        <n v="123.1712"/>
        <n v="123.275625"/>
        <n v="123.403"/>
        <n v="123.9001075"/>
        <n v="125.043925"/>
        <n v="125.503677"/>
        <n v="125.98209"/>
        <n v="126.59295"/>
        <n v="126.86804"/>
        <n v="127.204701"/>
        <n v="127.28925"/>
        <n v="127.4616265"/>
        <n v="127.594519"/>
        <n v="127.6388165"/>
        <n v="127.798875"/>
        <n v="127.878023"/>
        <n v="128.039"/>
        <n v="128.2245"/>
        <n v="128.480469"/>
        <n v="129.366419"/>
        <n v="129.4461545"/>
        <n v="129.48375"/>
        <n v="129.508171"/>
        <n v="129.5524685"/>
        <n v="130.654125"/>
        <n v="130.719075"/>
        <n v="131.102881"/>
        <n v="132.041988"/>
        <n v="132.4761035"/>
        <n v="132.608996"/>
        <n v="132.6178555"/>
        <n v="132.6425625"/>
        <n v="132.83535"/>
        <n v="132.9922"/>
        <n v="133.1494255"/>
        <n v="133.213275"/>
        <n v="133.5924005"/>
        <n v="133.6101195"/>
        <n v="133.720875"/>
        <n v="134.52075"/>
        <n v="135.0807965"/>
        <n v="135.0985155"/>
        <n v="135.1339535"/>
        <n v="135.681375"/>
        <n v="135.8427135"/>
        <n v="136.0647"/>
        <n v="137.1716385"/>
        <n v="138.189"/>
        <n v="138.2170595"/>
        <n v="138.6777535"/>
        <n v="139.44853"/>
        <n v="139.5282655"/>
        <n v="140.281323"/>
        <n v="140.6445625"/>
        <n v="141.0520995"/>
        <n v="141.519375"/>
        <n v="143.116363"/>
        <n v="143.222677"/>
        <n v="143.364429"/>
        <n v="143.630214"/>
        <n v="143.6421"/>
        <n v="143.75655"/>
        <n v="144.05547"/>
        <n v="144.759"/>
        <n v="145.6236015"/>
        <n v="146.3146425"/>
        <n v="146.58975"/>
        <n v="146.8833"/>
        <n v="146.992455"/>
        <n v="147.26655"/>
        <n v="147.3777825"/>
        <n v="149.54415"/>
        <n v="149.9293185"/>
        <n v="150.43431"/>
        <n v="152.3646"/>
        <n v="152.42805"/>
        <n v="152.950408"/>
        <n v="153.0301435"/>
        <n v="153.2562"/>
        <n v="153.552854"/>
        <n v="153.871796"/>
        <n v="154.0578455"/>
        <n v="154.261614"/>
        <n v="154.297052"/>
        <n v="155.023531"/>
        <n v="155.176125"/>
        <n v="156.334737"/>
        <n v="156.600522"/>
        <n v="157.716819"/>
        <n v="158.0623395"/>
        <n v="158.2395295"/>
        <n v="158.266108"/>
        <n v="158.952825"/>
        <n v="159.0378"/>
        <n v="159.179325"/>
        <n v="159.22395"/>
        <n v="160.4666"/>
        <n v="161.7301725"/>
        <n v="161.792189"/>
        <n v="161.9250815"/>
        <n v="163.0236595"/>
        <n v="165.0081875"/>
        <n v="165.1499395"/>
        <n v="165.2208155"/>
        <n v="165.3094105"/>
        <n v="165.44475"/>
        <n v="166.518525"/>
        <n v="168.3570785"/>
        <n v="168.3747975"/>
        <n v="169.23945"/>
        <n v="170.36535"/>
        <n v="171.4756225"/>
        <n v="171.8122835"/>
        <n v="173.107125"/>
        <n v="174.878775"/>
        <n v="175.1257365"/>
        <n v="176.5078185"/>
        <n v="177.8190245"/>
        <n v="178.929"/>
        <n v="179.1656685"/>
        <n v="179.635222"/>
        <n v="180.362925"/>
        <n v="180.988425"/>
        <n v="181.035023"/>
        <n v="181.584312"/>
        <n v="181.9121135"/>
        <n v="182.2664935"/>
        <n v="183.0461295"/>
        <n v="184.047253"/>
        <n v="184.4459305"/>
        <n v="184.596542"/>
        <n v="184.6585585"/>
        <n v="184.6827"/>
        <n v="185.057236"/>
        <n v="185.3318805"/>
        <n v="186.3738"/>
        <n v="187.2278135"/>
        <n v="187.236673"/>
        <n v="187.7771025"/>
        <n v="189.0883085"/>
        <n v="191.25705"/>
        <n v="191.666423"/>
        <n v="192.726975"/>
        <n v="193.296571"/>
        <n v="194.5457605"/>
        <n v="194.855843"/>
        <n v="195.129"/>
        <n v="195.291525"/>
        <n v="195.493727"/>
        <n v="197.6866875"/>
        <n v="198.9924"/>
        <n v="198.998685"/>
        <n v="199.250155"/>
        <n v="199.427345"/>
        <n v="201.28784"/>
        <n v="201.8282695"/>
        <n v="202.156071"/>
        <n v="203.821657"/>
        <n v="204.406384"/>
        <n v="204.49125"/>
        <n v="205.345491"/>
        <n v="207.5328"/>
        <n v="208.5813"/>
        <n v="209.9258525"/>
        <n v="210.9189"/>
        <n v="211.068728"/>
        <n v="211.3788105"/>
        <n v="211.493984"/>
        <n v="212.0521325"/>
        <n v="212.415372"/>
        <n v="212.8494875"/>
        <n v="213.4164955"/>
        <n v="214.2492885"/>
        <n v="218.050014"/>
        <n v="218.74135"/>
        <n v="219.0876"/>
        <n v="219.18403"/>
        <n v="219.751038"/>
        <n v="219.894525"/>
        <n v="220.087699"/>
        <n v="220.264889"/>
        <n v="222.143103"/>
        <n v="223.76592"/>
        <n v="226.07235"/>
        <n v="227.63955"/>
        <n v="228.1764225"/>
        <n v="228.344753"/>
        <n v="228.5469"/>
        <n v="231.0888"/>
        <n v="233.731329"/>
        <n v="235.5120885"/>
        <n v="235.9019065"/>
        <n v="236.2791"/>
        <n v="237.834"/>
        <n v="237.9041535"/>
        <n v="239.171062"/>
        <n v="239.3748305"/>
        <n v="242.6082"/>
        <n v="242.6946"/>
        <n v="249.3753"/>
        <n v="249.696148"/>
        <n v="250.919325"/>
        <n v="251.1225275"/>
        <n v="254.480278"/>
        <n v="254.5408"/>
        <n v="256.74465"/>
        <n v="260.398424"/>
        <n v="263.6321415"/>
        <n v="266.935275"/>
        <n v="272.6688315"/>
        <n v="278.788725"/>
        <n v="280.9416"/>
        <n v="281.33946"/>
        <n v="283.946975"/>
        <n v="287.136395"/>
        <n v="291.180675"/>
        <n v="296.3414155"/>
        <n v="297.8856"/>
        <n v="300.071265"/>
        <n v="304.39905"/>
        <n v="305.741345"/>
        <n v="308.187225"/>
        <n v="308.4080545"/>
        <n v="308.68776"/>
        <n v="309.392775"/>
        <n v="309.625425"/>
        <n v="309.9673265"/>
        <n v="316.46134"/>
        <n v="318.8268265"/>
        <n v="319.6773385"/>
        <n v="321.34965"/>
        <n v="332.94001"/>
        <n v="338.62875"/>
        <n v="346.601359"/>
        <n v="353.688959"/>
        <n v="366.694705"/>
        <n v="371.002725"/>
        <n v="405.6378"/>
        <n v="431.674965"/>
        <n v="483.377575"/>
        <n v="484.5352"/>
        <n v="499.56965"/>
        <n v="533.8872"/>
        <n v="609.699645"/>
        <n v="634.8024"/>
        <n v="878.4409"/>
        <n v="993.7782"/>
        <n v="1009.324"/>
        <n v="1165.4064"/>
        <n v="1217.04462"/>
      </sharedItems>
    </cacheField>
    <cacheField name="LASTRO2" numFmtId="0">
      <sharedItems containsSemiMixedTypes="0" containsString="0" containsNumber="1" minValue="0" maxValue="75.3588" count="1393">
        <n v="0"/>
        <n v="0.03835"/>
        <n v="0.039"/>
        <n v="0.0429"/>
        <n v="0.04355"/>
        <n v="0.04615"/>
        <n v="0.04745"/>
        <n v="0.05005"/>
        <n v="0.05135"/>
        <n v="0.0624"/>
        <n v="0.0675"/>
        <n v="0.07345"/>
        <n v="0.0735"/>
        <n v="0.0793"/>
        <n v="0.08515"/>
        <n v="0.0855"/>
        <n v="0.0867"/>
        <n v="0.091"/>
        <n v="0.10425"/>
        <n v="0.1125"/>
        <n v="0.11775"/>
        <n v="0.1183"/>
        <n v="0.1208"/>
        <n v="0.1209"/>
        <n v="0.1232"/>
        <n v="0.12545"/>
        <n v="0.1274"/>
        <n v="0.12935"/>
        <n v="0.138"/>
        <n v="0.14475"/>
        <n v="0.1455"/>
        <n v="0.1485"/>
        <n v="0.15"/>
        <n v="0.15375"/>
        <n v="0.1548"/>
        <n v="0.16055"/>
        <n v="0.16445"/>
        <n v="0.17"/>
        <n v="0.17255"/>
        <n v="0.1742"/>
        <n v="0.1755"/>
        <n v="0.17595"/>
        <n v="0.18005"/>
        <n v="0.1815"/>
        <n v="0.1875"/>
        <n v="0.18825"/>
        <n v="0.1898"/>
        <n v="0.20605"/>
        <n v="0.2085"/>
        <n v="0.2091"/>
        <n v="0.2093"/>
        <n v="0.2096"/>
        <n v="0.21"/>
        <n v="0.2119"/>
        <n v="0.21515"/>
        <n v="0.2216"/>
        <n v="0.22275"/>
        <n v="0.22425"/>
        <n v="0.2265"/>
        <n v="0.228"/>
        <n v="0.23025"/>
        <n v="0.2327"/>
        <n v="0.23325"/>
        <n v="0.23335"/>
        <n v="0.2397"/>
        <n v="0.2421"/>
        <n v="0.2448"/>
        <n v="0.24505"/>
        <n v="0.2456"/>
        <n v="0.24765"/>
        <n v="0.24825"/>
        <n v="0.2535"/>
        <n v="0.2595"/>
        <n v="0.26025"/>
        <n v="0.26325"/>
        <n v="0.27225"/>
        <n v="0.273"/>
        <n v="0.28135"/>
        <n v="0.28275"/>
        <n v="0.2834"/>
        <n v="0.28575"/>
        <n v="0.288"/>
        <n v="0.2886"/>
        <n v="0.2896"/>
        <n v="0.2925"/>
        <n v="0.294"/>
        <n v="0.3048"/>
        <n v="0.3068"/>
        <n v="0.3172"/>
        <n v="0.3208"/>
        <n v="0.324"/>
        <n v="0.327"/>
        <n v="0.3272"/>
        <n v="0.33075"/>
        <n v="0.33085"/>
        <n v="0.3328"/>
        <n v="0.33375"/>
        <n v="0.33525"/>
        <n v="0.33825"/>
        <n v="0.3406"/>
        <n v="0.34125"/>
        <n v="0.3435"/>
        <n v="0.34775"/>
        <n v="0.3525"/>
        <n v="0.3604"/>
        <n v="0.3614"/>
        <n v="0.366"/>
        <n v="0.36855"/>
        <n v="0.37115"/>
        <n v="0.3757"/>
        <n v="0.37635"/>
        <n v="0.37825"/>
        <n v="0.381"/>
        <n v="0.384"/>
        <n v="0.3861"/>
        <n v="0.387"/>
        <n v="0.38775"/>
        <n v="0.39"/>
        <n v="0.392"/>
        <n v="0.3991"/>
        <n v="0.4043"/>
        <n v="0.41175"/>
        <n v="0.4148"/>
        <n v="0.4152"/>
        <n v="0.4199"/>
        <n v="0.42"/>
        <n v="0.4272"/>
        <n v="0.42825"/>
        <n v="0.43745"/>
        <n v="0.44265"/>
        <n v="0.444"/>
        <n v="0.4456"/>
        <n v="0.4476"/>
        <n v="0.44925"/>
        <n v="0.453"/>
        <n v="0.45375"/>
        <n v="0.4563"/>
        <n v="0.465"/>
        <n v="0.4743"/>
        <n v="0.492"/>
        <n v="0.49725"/>
        <n v="0.4995"/>
        <n v="0.5085"/>
        <n v="0.51225"/>
        <n v="0.5128"/>
        <n v="0.51415"/>
        <n v="0.51805"/>
        <n v="0.522"/>
        <n v="0.5226"/>
        <n v="0.5265"/>
        <n v="0.53755"/>
        <n v="0.5434"/>
        <n v="0.5445"/>
        <n v="0.5447"/>
        <n v="0.55445"/>
        <n v="0.57075"/>
        <n v="0.5712"/>
        <n v="0.5729"/>
        <n v="0.57785"/>
        <n v="0.58695"/>
        <n v="0.58875"/>
        <n v="0.59775"/>
        <n v="0.60525"/>
        <n v="0.6165"/>
        <n v="0.6225"/>
        <n v="0.6435"/>
        <n v="0.65925"/>
        <n v="0.67875"/>
        <n v="0.68835"/>
        <n v="0.6888"/>
        <n v="0.69485"/>
        <n v="0.71045"/>
        <n v="0.71565"/>
        <n v="0.7254"/>
        <n v="0.728"/>
        <n v="0.731"/>
        <n v="0.754"/>
        <n v="0.7552"/>
        <n v="0.7631"/>
        <n v="0.777"/>
        <n v="0.7785"/>
        <n v="0.78225"/>
        <n v="0.7826"/>
        <n v="0.7839"/>
        <n v="0.798"/>
        <n v="0.80405"/>
        <n v="0.81055"/>
        <n v="0.8112"/>
        <n v="0.8145"/>
        <n v="0.8199"/>
        <n v="0.82745"/>
        <n v="0.8307"/>
        <n v="0.8372"/>
        <n v="0.843"/>
        <n v="0.84375"/>
        <n v="0.8554"/>
        <n v="0.8672"/>
        <n v="0.8697"/>
        <n v="0.8715"/>
        <n v="0.88275"/>
        <n v="0.90155"/>
        <n v="0.909"/>
        <n v="0.9128"/>
        <n v="0.9269"/>
        <n v="0.93535"/>
        <n v="0.936"/>
        <n v="0.93975"/>
        <n v="0.94185"/>
        <n v="0.9438"/>
        <n v="0.94445"/>
        <n v="0.94705"/>
        <n v="0.9516"/>
        <n v="0.95615"/>
        <n v="0.9594"/>
        <n v="0.9633"/>
        <n v="0.9645"/>
        <n v="0.96525"/>
        <n v="0.9893"/>
        <n v="0.99075"/>
        <n v="0.99125"/>
        <n v="0.9919"/>
        <n v="0.9997"/>
        <n v="1.014"/>
        <n v="1.02375"/>
        <n v="1.044"/>
        <n v="1.08095"/>
        <n v="1.0845"/>
        <n v="1.0855"/>
        <n v="1.0894"/>
        <n v="1.1076"/>
        <n v="1.118"/>
        <n v="1.12385"/>
        <n v="1.1388"/>
        <n v="1.14"/>
        <n v="1.14855"/>
        <n v="1.18105"/>
        <n v="1.185"/>
        <n v="1.1984"/>
        <n v="1.1985"/>
        <n v="1.2"/>
        <n v="1.2077"/>
        <n v="1.20835"/>
        <n v="1.2181"/>
        <n v="1.2246"/>
        <n v="1.22525"/>
        <n v="1.23305"/>
        <n v="1.23975"/>
        <n v="1.2495"/>
        <n v="1.25175"/>
        <n v="1.2623"/>
        <n v="1.27875"/>
        <n v="1.27985"/>
        <n v="1.28895"/>
        <n v="1.29545"/>
        <n v="1.30975"/>
        <n v="1.31775"/>
        <n v="1.3234"/>
        <n v="1.3336"/>
        <n v="1.3485"/>
        <n v="1.35785"/>
        <n v="1.365"/>
        <n v="1.3665"/>
        <n v="1.36955"/>
        <n v="1.3702"/>
        <n v="1.371"/>
        <n v="1.3806"/>
        <n v="1.39295"/>
        <n v="1.40075"/>
        <n v="1.40465"/>
        <n v="1.40775"/>
        <n v="1.4079"/>
        <n v="1.4205"/>
        <n v="1.42545"/>
        <n v="1.4313"/>
        <n v="1.4326"/>
        <n v="1.43455"/>
        <n v="1.44975"/>
        <n v="1.45145"/>
        <n v="1.4781"/>
        <n v="1.48425"/>
        <n v="1.49305"/>
        <n v="1.49825"/>
        <n v="1.5067"/>
        <n v="1.5171"/>
        <n v="1.5184"/>
        <n v="1.51905"/>
        <n v="1.521"/>
        <n v="1.5375"/>
        <n v="1.54635"/>
        <n v="1.5509"/>
        <n v="1.5756"/>
        <n v="1.58175"/>
        <n v="1.5834"/>
        <n v="1.5885"/>
        <n v="1.59185"/>
        <n v="1.60575"/>
        <n v="1.6081"/>
        <n v="1.62825"/>
        <n v="1.63475"/>
        <n v="1.63995"/>
        <n v="1.64255"/>
        <n v="1.6458"/>
        <n v="1.6473"/>
        <n v="1.665"/>
        <n v="1.6783"/>
        <n v="1.69715"/>
        <n v="1.7017"/>
        <n v="1.70625"/>
        <n v="1.7251"/>
        <n v="1.73875"/>
        <n v="1.75045"/>
        <n v="1.76325"/>
        <n v="1.76735"/>
        <n v="1.7728"/>
        <n v="1.7797"/>
        <n v="1.78295"/>
        <n v="1.78685"/>
        <n v="1.79475"/>
        <n v="1.7992"/>
        <n v="1.80505"/>
        <n v="1.8057"/>
        <n v="1.8285"/>
        <n v="1.8336"/>
        <n v="1.83755"/>
        <n v="1.8473"/>
        <n v="1.848"/>
        <n v="1.85625"/>
        <n v="1.85965"/>
        <n v="1.863"/>
        <n v="1.8655"/>
        <n v="1.875"/>
        <n v="1.88175"/>
        <n v="1.88625"/>
        <n v="1.9019"/>
        <n v="1.90515"/>
        <n v="1.91815"/>
        <n v="1.91925"/>
        <n v="1.9266"/>
        <n v="1.92825"/>
        <n v="1.94175"/>
        <n v="1.9465"/>
        <n v="1.94805"/>
        <n v="1.953"/>
        <n v="1.95715"/>
        <n v="1.96125"/>
        <n v="1.964"/>
        <n v="1.96725"/>
        <n v="1.9725"/>
        <n v="1.9786"/>
        <n v="1.9792"/>
        <n v="1.9905"/>
        <n v="2.00135"/>
        <n v="2.0085"/>
        <n v="2.02275"/>
        <n v="2.02475"/>
        <n v="2.028"/>
        <n v="2.032"/>
        <n v="2.0462"/>
        <n v="2.0496"/>
        <n v="2.055"/>
        <n v="2.0644"/>
        <n v="2.076"/>
        <n v="2.0761"/>
        <n v="2.0969"/>
        <n v="2.1073"/>
        <n v="2.1125"/>
        <n v="2.11315"/>
        <n v="2.11725"/>
        <n v="2.1177"/>
        <n v="2.1203"/>
        <n v="2.121"/>
        <n v="2.12745"/>
        <n v="2.13005"/>
        <n v="2.13265"/>
        <n v="2.14275"/>
        <n v="2.151"/>
        <n v="2.16125"/>
        <n v="2.1788"/>
        <n v="2.1801"/>
        <n v="2.18175"/>
        <n v="2.18725"/>
        <n v="2.196"/>
        <n v="2.2087"/>
        <n v="2.2217"/>
        <n v="2.22525"/>
        <n v="2.2347"/>
        <n v="2.2503"/>
        <n v="2.25875"/>
        <n v="2.26135"/>
        <n v="2.26575"/>
        <n v="2.2685"/>
        <n v="2.27025"/>
        <n v="2.2752"/>
        <n v="2.29125"/>
        <n v="2.29775"/>
        <n v="2.3064"/>
        <n v="2.31"/>
        <n v="2.34325"/>
        <n v="2.34975"/>
        <n v="2.3543"/>
        <n v="2.3595"/>
        <n v="2.364"/>
        <n v="2.3803"/>
        <n v="2.3816"/>
        <n v="2.39925"/>
        <n v="2.3998"/>
        <n v="2.4011"/>
        <n v="2.40565"/>
        <n v="2.40695"/>
        <n v="2.4165"/>
        <n v="2.43"/>
        <n v="2.431"/>
        <n v="2.4388"/>
        <n v="2.44275"/>
        <n v="2.44985"/>
        <n v="2.4525"/>
        <n v="2.45635"/>
        <n v="2.46155"/>
        <n v="2.4648"/>
        <n v="2.46545"/>
        <n v="2.4885"/>
        <n v="2.4888"/>
        <n v="2.4921"/>
        <n v="2.49535"/>
        <n v="2.50055"/>
        <n v="2.5012"/>
        <n v="2.50185"/>
        <n v="2.50425"/>
        <n v="2.52"/>
        <n v="2.522"/>
        <n v="2.52525"/>
        <n v="2.5415"/>
        <n v="2.547"/>
        <n v="2.5506"/>
        <n v="2.55385"/>
        <n v="2.5636"/>
        <n v="2.565"/>
        <n v="2.5701"/>
        <n v="2.5766"/>
        <n v="2.577"/>
        <n v="2.57985"/>
        <n v="2.6024"/>
        <n v="2.6145"/>
        <n v="2.61675"/>
        <n v="2.6221"/>
        <n v="2.626"/>
        <n v="2.62725"/>
        <n v="2.64095"/>
        <n v="2.64745"/>
        <n v="2.66775"/>
        <n v="2.68385"/>
        <n v="2.69475"/>
        <n v="2.6949"/>
        <n v="2.70225"/>
        <n v="2.7027"/>
        <n v="2.70595"/>
        <n v="2.71275"/>
        <n v="2.71505"/>
        <n v="2.7235"/>
        <n v="2.72675"/>
        <n v="2.73065"/>
        <n v="2.7326"/>
        <n v="2.7328"/>
        <n v="2.73585"/>
        <n v="2.74425"/>
        <n v="2.7504"/>
        <n v="2.7508"/>
        <n v="2.75325"/>
        <n v="2.756"/>
        <n v="2.75795"/>
        <n v="2.76055"/>
        <n v="2.766"/>
        <n v="2.769"/>
        <n v="2.7752"/>
        <n v="2.78005"/>
        <n v="2.781"/>
        <n v="2.7888"/>
        <n v="2.7937"/>
        <n v="2.7945"/>
        <n v="2.80425"/>
        <n v="2.81255"/>
        <n v="2.8184"/>
        <n v="2.82815"/>
        <n v="2.82825"/>
        <n v="2.8392"/>
        <n v="2.84115"/>
        <n v="2.847"/>
        <n v="2.8515"/>
        <n v="2.8535"/>
        <n v="2.8544"/>
        <n v="2.85545"/>
        <n v="2.86575"/>
        <n v="2.8665"/>
        <n v="2.8691"/>
        <n v="2.87025"/>
        <n v="2.8704"/>
        <n v="2.87235"/>
        <n v="2.8755"/>
        <n v="2.8821"/>
        <n v="2.88375"/>
        <n v="2.88405"/>
        <n v="2.8847"/>
        <n v="2.88925"/>
        <n v="2.8905"/>
        <n v="2.8938"/>
        <n v="2.895"/>
        <n v="2.9003"/>
        <n v="2.90175"/>
        <n v="2.90225"/>
        <n v="2.90485"/>
        <n v="2.9107"/>
        <n v="2.913"/>
        <n v="2.91525"/>
        <n v="2.9185"/>
        <n v="2.9211"/>
        <n v="2.925"/>
        <n v="2.92695"/>
        <n v="2.92955"/>
        <n v="2.9419"/>
        <n v="2.9471"/>
        <n v="2.95165"/>
        <n v="2.9575"/>
        <n v="2.9625"/>
        <n v="2.96465"/>
        <n v="2.9705"/>
        <n v="2.979"/>
        <n v="2.988"/>
        <n v="2.9913"/>
        <n v="2.99175"/>
        <n v="2.99325"/>
        <n v="2.99455"/>
        <n v="3.02475"/>
        <n v="3.0251"/>
        <n v="3.027"/>
        <n v="3.028"/>
        <n v="3.033"/>
        <n v="3.03355"/>
        <n v="3.03485"/>
        <n v="3.0355"/>
        <n v="3.0394"/>
        <n v="3.0433"/>
        <n v="3.04575"/>
        <n v="3.0459"/>
        <n v="3.04655"/>
        <n v="3.0485"/>
        <n v="3.05025"/>
        <n v="3.054"/>
        <n v="3.05625"/>
        <n v="3.0585"/>
        <n v="3.0589"/>
        <n v="3.05955"/>
        <n v="3.06345"/>
        <n v="3.0693"/>
        <n v="3.0745"/>
        <n v="3.0771"/>
        <n v="3.07905"/>
        <n v="3.0914"/>
        <n v="3.09725"/>
        <n v="3.099"/>
        <n v="3.1018"/>
        <n v="3.10375"/>
        <n v="3.10575"/>
        <n v="3.11025"/>
        <n v="3.1125"/>
        <n v="3.1161"/>
        <n v="3.11625"/>
        <n v="3.11935"/>
        <n v="3.12"/>
        <n v="3.12065"/>
        <n v="3.12325"/>
        <n v="3.12525"/>
        <n v="3.12975"/>
        <n v="3.13105"/>
        <n v="3.133"/>
        <n v="3.146"/>
        <n v="3.1486"/>
        <n v="3.15055"/>
        <n v="3.1525"/>
        <n v="3.15445"/>
        <n v="3.1577"/>
        <n v="3.15965"/>
        <n v="3.16485"/>
        <n v="3.1707"/>
        <n v="3.1759"/>
        <n v="3.17655"/>
        <n v="3.1772"/>
        <n v="3.17925"/>
        <n v="3.1811"/>
        <n v="3.185"/>
        <n v="3.1863"/>
        <n v="3.18695"/>
        <n v="3.18975"/>
        <n v="3.192"/>
        <n v="3.1935"/>
        <n v="3.2008"/>
        <n v="3.2084"/>
        <n v="3.20925"/>
        <n v="3.2097"/>
        <n v="3.2175"/>
        <n v="3.21945"/>
        <n v="3.22"/>
        <n v="3.22275"/>
        <n v="3.2253"/>
        <n v="3.228"/>
        <n v="3.23115"/>
        <n v="3.23175"/>
        <n v="3.23505"/>
        <n v="3.2396"/>
        <n v="3.2448"/>
        <n v="3.25975"/>
        <n v="3.26025"/>
        <n v="3.261"/>
        <n v="3.26475"/>
        <n v="3.27075"/>
        <n v="3.27405"/>
        <n v="3.276"/>
        <n v="3.2775"/>
        <n v="3.28125"/>
        <n v="3.2825"/>
        <n v="3.2838"/>
        <n v="3.285"/>
        <n v="3.2851"/>
        <n v="3.28705"/>
        <n v="3.29225"/>
        <n v="3.2942"/>
        <n v="3.2944"/>
        <n v="3.30675"/>
        <n v="3.3075"/>
        <n v="3.3137"/>
        <n v="3.31695"/>
        <n v="3.3241"/>
        <n v="3.3285"/>
        <n v="3.3328"/>
        <n v="3.3358"/>
        <n v="3.336"/>
        <n v="3.3371"/>
        <n v="3.34945"/>
        <n v="3.36"/>
        <n v="3.36115"/>
        <n v="3.3631"/>
        <n v="3.3645"/>
        <n v="3.3709"/>
        <n v="3.3735"/>
        <n v="3.39105"/>
        <n v="3.4005"/>
        <n v="3.402"/>
        <n v="3.40535"/>
        <n v="3.406"/>
        <n v="3.408"/>
        <n v="3.41475"/>
        <n v="3.416"/>
        <n v="3.4177"/>
        <n v="3.423"/>
        <n v="3.4242"/>
        <n v="3.42485"/>
        <n v="3.429"/>
        <n v="3.4365"/>
        <n v="3.44325"/>
        <n v="3.4455"/>
        <n v="3.45"/>
        <n v="3.4528"/>
        <n v="3.453"/>
        <n v="3.4596"/>
        <n v="3.46275"/>
        <n v="3.465"/>
        <n v="3.46575"/>
        <n v="3.46905"/>
        <n v="3.47035"/>
        <n v="3.476"/>
        <n v="3.4785"/>
        <n v="3.48525"/>
        <n v="3.48985"/>
        <n v="3.492"/>
        <n v="3.49895"/>
        <n v="3.5009"/>
        <n v="3.50285"/>
        <n v="3.5035"/>
        <n v="3.5074"/>
        <n v="3.5085"/>
        <n v="3.50935"/>
        <n v="3.51375"/>
        <n v="3.5178"/>
        <n v="3.522"/>
        <n v="3.5235"/>
        <n v="3.531"/>
        <n v="3.5334"/>
        <n v="3.5384"/>
        <n v="3.54675"/>
        <n v="3.552"/>
        <n v="3.5552"/>
        <n v="3.55875"/>
        <n v="3.5595"/>
        <n v="3.5625"/>
        <n v="3.564"/>
        <n v="3.56625"/>
        <n v="3.57045"/>
        <n v="3.57435"/>
        <n v="3.57565"/>
        <n v="3.5854"/>
        <n v="3.58725"/>
        <n v="3.6015"/>
        <n v="3.6062"/>
        <n v="3.6112"/>
        <n v="3.624"/>
        <n v="3.6255"/>
        <n v="3.6345"/>
        <n v="3.6361"/>
        <n v="3.639"/>
        <n v="3.6405"/>
        <n v="3.65025"/>
        <n v="3.65775"/>
        <n v="3.65925"/>
        <n v="3.66075"/>
        <n v="3.66145"/>
        <n v="3.66375"/>
        <n v="3.669"/>
        <n v="3.6736"/>
        <n v="3.68025"/>
        <n v="3.68175"/>
        <n v="3.68615"/>
        <n v="3.6881"/>
        <n v="3.6894"/>
        <n v="3.6915"/>
        <n v="3.696"/>
        <n v="3.6975"/>
        <n v="3.70305"/>
        <n v="3.7063"/>
        <n v="3.70725"/>
        <n v="3.7088"/>
        <n v="3.7155"/>
        <n v="3.73125"/>
        <n v="3.732"/>
        <n v="3.7395"/>
        <n v="3.7425"/>
        <n v="3.74595"/>
        <n v="3.7466"/>
        <n v="3.747"/>
        <n v="3.74725"/>
        <n v="3.7609"/>
        <n v="3.76545"/>
        <n v="3.77475"/>
        <n v="3.7856"/>
        <n v="3.78885"/>
        <n v="3.796"/>
        <n v="3.7965"/>
        <n v="3.8012"/>
        <n v="3.81745"/>
        <n v="3.81825"/>
        <n v="3.81875"/>
        <n v="3.82275"/>
        <n v="3.8233"/>
        <n v="3.82425"/>
        <n v="3.82655"/>
        <n v="3.8493"/>
        <n v="3.85125"/>
        <n v="3.86425"/>
        <n v="3.89025"/>
        <n v="3.9026"/>
        <n v="3.90845"/>
        <n v="3.912"/>
        <n v="3.913"/>
        <n v="3.9143"/>
        <n v="3.9156"/>
        <n v="3.91625"/>
        <n v="3.92145"/>
        <n v="3.926"/>
        <n v="3.94425"/>
        <n v="3.95625"/>
        <n v="3.96"/>
        <n v="3.964"/>
        <n v="3.96955"/>
        <n v="3.9728"/>
        <n v="3.98905"/>
        <n v="3.99675"/>
        <n v="3.9968"/>
        <n v="3.99685"/>
        <n v="4.0008"/>
        <n v="4.00725"/>
        <n v="4.008"/>
        <n v="4.01775"/>
        <n v="4.0222"/>
        <n v="4.02285"/>
        <n v="4.032"/>
        <n v="4.03845"/>
        <n v="4.04475"/>
        <n v="4.0482"/>
        <n v="4.04925"/>
        <n v="4.0768"/>
        <n v="4.0846"/>
        <n v="4.09045"/>
        <n v="4.09175"/>
        <n v="4.095"/>
        <n v="4.10625"/>
        <n v="4.11125"/>
        <n v="4.12035"/>
        <n v="4.1223"/>
        <n v="4.1262"/>
        <n v="4.12815"/>
        <n v="4.13205"/>
        <n v="4.14"/>
        <n v="4.1457"/>
        <n v="4.14635"/>
        <n v="4.15155"/>
        <n v="4.16"/>
        <n v="4.22695"/>
        <n v="4.23085"/>
        <n v="4.2315"/>
        <n v="4.23865"/>
        <n v="4.24275"/>
        <n v="4.2458"/>
        <n v="4.24775"/>
        <n v="4.25175"/>
        <n v="4.2562"/>
        <n v="4.2705"/>
        <n v="4.278"/>
        <n v="4.28935"/>
        <n v="4.29975"/>
        <n v="4.30275"/>
        <n v="4.3128"/>
        <n v="4.31665"/>
        <n v="4.3186"/>
        <n v="4.368"/>
        <n v="4.37645"/>
        <n v="4.3888"/>
        <n v="4.395"/>
        <n v="4.4044"/>
        <n v="4.407"/>
        <n v="4.41075"/>
        <n v="4.43235"/>
        <n v="4.44145"/>
        <n v="4.4434"/>
        <n v="4.46095"/>
        <n v="4.4835"/>
        <n v="4.4915"/>
        <n v="4.49625"/>
        <n v="4.50675"/>
        <n v="4.5168"/>
        <n v="4.52175"/>
        <n v="4.53245"/>
        <n v="4.533"/>
        <n v="4.54575"/>
        <n v="4.57015"/>
        <n v="4.5773"/>
        <n v="4.5838"/>
        <n v="4.58445"/>
        <n v="4.58625"/>
        <n v="4.58705"/>
        <n v="4.59355"/>
        <n v="4.5944"/>
        <n v="4.59485"/>
        <n v="4.60725"/>
        <n v="4.628"/>
        <n v="4.6332"/>
        <n v="4.64165"/>
        <n v="4.64425"/>
        <n v="4.6605"/>
        <n v="4.6761"/>
        <n v="4.68195"/>
        <n v="4.68455"/>
        <n v="4.69105"/>
        <n v="4.7216"/>
        <n v="4.74305"/>
        <n v="4.75085"/>
        <n v="4.764"/>
        <n v="4.76625"/>
        <n v="4.77945"/>
        <n v="4.7814"/>
        <n v="4.7866"/>
        <n v="4.7905"/>
        <n v="4.85745"/>
        <n v="4.8646"/>
        <n v="4.8776"/>
        <n v="4.87955"/>
        <n v="4.88995"/>
        <n v="4.93935"/>
        <n v="4.94"/>
        <n v="4.94325"/>
        <n v="4.9439"/>
        <n v="4.9545"/>
        <n v="4.9595"/>
        <n v="4.9695"/>
        <n v="4.97575"/>
        <n v="5.01735"/>
        <n v="5.0368"/>
        <n v="5.04465"/>
        <n v="5.0448"/>
        <n v="5.0557"/>
        <n v="5.096"/>
        <n v="5.09665"/>
        <n v="5.09925"/>
        <n v="5.109"/>
        <n v="5.1135"/>
        <n v="5.12785"/>
        <n v="5.135"/>
        <n v="5.13955"/>
        <n v="5.14125"/>
        <n v="5.14475"/>
        <n v="5.161"/>
        <n v="5.16685"/>
        <n v="5.1675"/>
        <n v="5.1824"/>
        <n v="5.18375"/>
        <n v="5.1844"/>
        <n v="5.20975"/>
        <n v="5.2169"/>
        <n v="5.2208"/>
        <n v="5.2215"/>
        <n v="5.2428"/>
        <n v="5.26045"/>
        <n v="5.2624"/>
        <n v="5.3092"/>
        <n v="5.3443"/>
        <n v="5.3534"/>
        <n v="5.3612"/>
        <n v="5.39925"/>
        <n v="5.4028"/>
        <n v="5.4165"/>
        <n v="5.4264"/>
        <n v="5.4435"/>
        <n v="5.4456"/>
        <n v="5.4509"/>
        <n v="5.46525"/>
        <n v="5.4735"/>
        <n v="5.47365"/>
        <n v="5.47625"/>
        <n v="5.5016"/>
        <n v="5.5159"/>
        <n v="5.53995"/>
        <n v="5.5458"/>
        <n v="5.54905"/>
        <n v="5.55035"/>
        <n v="5.56465"/>
        <n v="5.5725"/>
        <n v="5.60365"/>
        <n v="5.6056"/>
        <n v="5.6096"/>
        <n v="5.62055"/>
        <n v="5.642"/>
        <n v="5.66325"/>
        <n v="5.67075"/>
        <n v="5.67975"/>
        <n v="5.68555"/>
        <n v="5.7135"/>
        <n v="5.715"/>
        <n v="5.7375"/>
        <n v="5.746"/>
        <n v="5.7655"/>
        <n v="5.7759"/>
        <n v="5.79975"/>
        <n v="5.8266"/>
        <n v="5.8435"/>
        <n v="5.8487"/>
        <n v="5.86625"/>
        <n v="5.9145"/>
        <n v="5.9254"/>
        <n v="5.9265"/>
        <n v="5.94"/>
        <n v="5.94165"/>
        <n v="5.9436"/>
        <n v="5.9449"/>
        <n v="5.9475"/>
        <n v="5.952"/>
        <n v="5.9566"/>
        <n v="5.958"/>
        <n v="5.99235"/>
        <n v="6.01125"/>
        <n v="6.019"/>
        <n v="6.0225"/>
        <n v="6.04565"/>
        <n v="6.0472"/>
        <n v="6.04955"/>
        <n v="6.05475"/>
        <n v="6.0632"/>
        <n v="6.06385"/>
        <n v="6.07035"/>
        <n v="6.0827"/>
        <n v="6.08595"/>
        <n v="6.0866"/>
        <n v="6.09"/>
        <n v="6.0905"/>
        <n v="6.10575"/>
        <n v="6.11925"/>
        <n v="6.12365"/>
        <n v="6.1282"/>
        <n v="6.15485"/>
        <n v="6.1789"/>
        <n v="6.1905"/>
        <n v="6.21725"/>
        <n v="6.22635"/>
        <n v="6.28225"/>
        <n v="6.2895"/>
        <n v="6.2959"/>
        <n v="6.30825"/>
        <n v="6.3609"/>
        <n v="6.3791"/>
        <n v="6.38625"/>
        <n v="6.40445"/>
        <n v="6.4051"/>
        <n v="6.428"/>
        <n v="6.42915"/>
        <n v="6.45645"/>
        <n v="6.4649"/>
        <n v="6.4766"/>
        <n v="6.51365"/>
        <n v="6.5299"/>
        <n v="6.54975"/>
        <n v="6.56565"/>
        <n v="6.60205"/>
        <n v="6.62175"/>
        <n v="6.6315"/>
        <n v="6.6482"/>
        <n v="6.656"/>
        <n v="6.6612"/>
        <n v="6.6781"/>
        <n v="6.682"/>
        <n v="6.68915"/>
        <n v="6.6924"/>
        <n v="6.696"/>
        <n v="6.69695"/>
        <n v="6.70605"/>
        <n v="6.73855"/>
        <n v="6.74245"/>
        <n v="6.74925"/>
        <n v="6.7535"/>
        <n v="6.75675"/>
        <n v="6.75935"/>
        <n v="6.76725"/>
        <n v="6.79575"/>
        <n v="6.8085"/>
        <n v="6.8094"/>
        <n v="6.81675"/>
        <n v="6.82955"/>
        <n v="6.85945"/>
        <n v="6.87375"/>
        <n v="6.88275"/>
        <n v="6.89585"/>
        <n v="6.9082"/>
        <n v="6.9173"/>
        <n v="6.9225"/>
        <n v="6.94135"/>
        <n v="6.9693"/>
        <n v="7.0044"/>
        <n v="7.04795"/>
        <n v="7.056"/>
        <n v="7.0993"/>
        <n v="7.11"/>
        <n v="7.1175"/>
        <n v="7.1292"/>
        <n v="7.13925"/>
        <n v="7.14285"/>
        <n v="7.16105"/>
        <n v="7.21695"/>
        <n v="7.24295"/>
        <n v="7.25335"/>
        <n v="7.254"/>
        <n v="7.2696"/>
        <n v="7.3005"/>
        <n v="7.31575"/>
        <n v="7.32095"/>
        <n v="7.347"/>
        <n v="7.37175"/>
        <n v="7.3775"/>
        <n v="7.3853"/>
        <n v="7.41"/>
        <n v="7.4265"/>
        <n v="7.45875"/>
        <n v="7.46265"/>
        <n v="7.4648"/>
        <n v="7.4711"/>
        <n v="7.4815"/>
        <n v="7.51465"/>
        <n v="7.53375"/>
        <n v="7.59675"/>
        <n v="7.60275"/>
        <n v="7.6323"/>
        <n v="7.63945"/>
        <n v="7.6661"/>
        <n v="7.66805"/>
        <n v="7.67475"/>
        <n v="7.69275"/>
        <n v="7.7051"/>
        <n v="7.7205"/>
        <n v="7.74825"/>
        <n v="7.7506"/>
        <n v="7.75905"/>
        <n v="7.818"/>
        <n v="7.86045"/>
        <n v="7.869"/>
        <n v="7.90335"/>
        <n v="7.905"/>
        <n v="7.91765"/>
        <n v="7.9586"/>
        <n v="7.97355"/>
        <n v="7.98675"/>
        <n v="8.0145"/>
        <n v="8.02945"/>
        <n v="8.03205"/>
        <n v="8.034"/>
        <n v="8.04115"/>
        <n v="8.06735"/>
        <n v="8.0768"/>
        <n v="8.0795"/>
        <n v="8.092"/>
        <n v="8.094"/>
        <n v="8.1029"/>
        <n v="8.1302"/>
        <n v="8.16525"/>
        <n v="8.1825"/>
        <n v="8.18675"/>
        <n v="8.2095"/>
        <n v="8.31155"/>
        <n v="8.3239"/>
        <n v="8.33775"/>
        <n v="8.3668"/>
        <n v="8.3715"/>
        <n v="8.396"/>
        <n v="8.409"/>
        <n v="8.47145"/>
        <n v="8.49745"/>
        <n v="8.502"/>
        <n v="8.50785"/>
        <n v="8.51625"/>
        <n v="8.5163"/>
        <n v="8.51775"/>
        <n v="8.53255"/>
        <n v="8.55855"/>
        <n v="8.5592"/>
        <n v="8.5761"/>
        <n v="8.57935"/>
        <n v="8.583"/>
        <n v="8.58975"/>
        <n v="8.6177"/>
        <n v="8.65215"/>
        <n v="8.65735"/>
        <n v="8.66385"/>
        <n v="8.67075"/>
        <n v="8.67815"/>
        <n v="8.69375"/>
        <n v="8.7048"/>
        <n v="8.7208"/>
        <n v="8.7825"/>
        <n v="8.78865"/>
        <n v="8.7945"/>
        <n v="8.79905"/>
        <n v="8.80555"/>
        <n v="8.8192"/>
        <n v="8.86875"/>
        <n v="8.88875"/>
        <n v="8.91735"/>
        <n v="8.92125"/>
        <n v="8.9284"/>
        <n v="9.0142"/>
        <n v="9.06375"/>
        <n v="9.09025"/>
        <n v="9.1017"/>
        <n v="9.1575"/>
        <n v="9.2079"/>
        <n v="9.21375"/>
        <n v="9.243"/>
        <n v="9.26625"/>
        <n v="9.308"/>
        <n v="9.30825"/>
        <n v="9.3195"/>
        <n v="9.3327"/>
        <n v="9.35155"/>
        <n v="9.3613"/>
        <n v="9.36455"/>
        <n v="9.3821"/>
        <n v="9.40425"/>
        <n v="9.4263"/>
        <n v="9.44775"/>
        <n v="9.465"/>
        <n v="9.48375"/>
        <n v="9.4913"/>
        <n v="9.49715"/>
        <n v="9.5017"/>
        <n v="9.50495"/>
        <n v="9.5565"/>
        <n v="9.6187"/>
        <n v="9.6876"/>
        <n v="9.71945"/>
        <n v="9.7292"/>
        <n v="9.72985"/>
        <n v="9.76125"/>
        <n v="9.76885"/>
        <n v="9.80135"/>
        <n v="9.80265"/>
        <n v="9.8385"/>
        <n v="9.91055"/>
        <n v="9.91185"/>
        <n v="9.91445"/>
        <n v="9.915"/>
        <n v="9.96645"/>
        <n v="10.0605"/>
        <n v="10.06395"/>
        <n v="10.08675"/>
        <n v="10.14065"/>
        <n v="10.17445"/>
        <n v="10.18125"/>
        <n v="10.1955"/>
        <n v="10.231"/>
        <n v="10.23685"/>
        <n v="10.24275"/>
        <n v="10.287"/>
        <n v="10.2921"/>
        <n v="10.31875"/>
        <n v="10.34865"/>
        <n v="10.497"/>
        <n v="10.5001"/>
        <n v="10.5079"/>
        <n v="10.5183"/>
        <n v="10.5224"/>
        <n v="10.5378"/>
        <n v="10.569"/>
        <n v="10.68405"/>
        <n v="10.73475"/>
        <n v="10.806"/>
        <n v="10.8105"/>
        <n v="10.81275"/>
        <n v="10.893"/>
        <n v="10.90575"/>
        <n v="10.99995"/>
        <n v="11.037"/>
        <n v="11.16375"/>
        <n v="11.2216"/>
        <n v="11.22745"/>
        <n v="11.2658"/>
        <n v="11.27325"/>
        <n v="11.2892"/>
        <n v="11.30285"/>
        <n v="11.3178"/>
        <n v="11.3204"/>
        <n v="11.3737"/>
        <n v="11.45175"/>
        <n v="11.4699"/>
        <n v="11.4894"/>
        <n v="11.5296"/>
        <n v="11.5713"/>
        <n v="11.59665"/>
        <n v="11.60965"/>
        <n v="11.6116"/>
        <n v="11.86575"/>
        <n v="11.8703"/>
        <n v="11.88005"/>
        <n v="11.9025"/>
        <n v="11.96065"/>
        <n v="11.97975"/>
        <n v="12.10625"/>
        <n v="12.11665"/>
        <n v="12.12185"/>
        <n v="12.12835"/>
        <n v="12.1755"/>
        <n v="12.2565"/>
        <n v="12.3219"/>
        <n v="12.35195"/>
        <n v="12.35325"/>
        <n v="12.40275"/>
        <n v="12.45375"/>
        <n v="12.58075"/>
        <n v="12.60545"/>
        <n v="12.6495"/>
        <n v="12.69"/>
        <n v="12.84855"/>
        <n v="12.94995"/>
        <n v="12.97575"/>
        <n v="13.02075"/>
        <n v="13.04615"/>
        <n v="13.14495"/>
        <n v="13.1794"/>
        <n v="13.217"/>
        <n v="13.218"/>
        <n v="13.2821"/>
        <n v="13.3224"/>
        <n v="13.34645"/>
        <n v="13.365"/>
        <n v="13.37245"/>
        <n v="13.42965"/>
        <n v="13.5031"/>
        <n v="13.53235"/>
        <n v="13.5434"/>
        <n v="13.54795"/>
        <n v="13.5772"/>
        <n v="13.59735"/>
        <n v="13.73645"/>
        <n v="13.7371"/>
        <n v="13.7595"/>
        <n v="13.77675"/>
        <n v="13.86525"/>
        <n v="13.87275"/>
        <n v="13.87295"/>
        <n v="14.00625"/>
        <n v="14.04975"/>
        <n v="14.0621"/>
        <n v="14.1624"/>
        <n v="14.1817"/>
        <n v="14.27335"/>
        <n v="14.2961"/>
        <n v="14.316"/>
        <n v="14.3429"/>
        <n v="14.4465"/>
        <n v="14.6185"/>
        <n v="14.6315"/>
        <n v="14.768"/>
        <n v="14.793"/>
        <n v="14.80765"/>
        <n v="14.8317"/>
        <n v="14.9539"/>
        <n v="14.9968"/>
        <n v="15.006"/>
        <n v="15.0657"/>
        <n v="15.40175"/>
        <n v="15.4856"/>
        <n v="15.50835"/>
        <n v="15.5168"/>
        <n v="15.55775"/>
        <n v="15.5844"/>
        <n v="15.59175"/>
        <n v="15.61625"/>
        <n v="15.65785"/>
        <n v="15.71895"/>
        <n v="15.81975"/>
        <n v="15.828"/>
        <n v="15.9144"/>
        <n v="15.9978"/>
        <n v="16.0335"/>
        <n v="16.081"/>
        <n v="16.1226"/>
        <n v="16.1473"/>
        <n v="16.1603"/>
        <n v="16.1835"/>
        <n v="16.209"/>
        <n v="16.29"/>
        <n v="16.2981"/>
        <n v="16.5285"/>
        <n v="16.5492"/>
        <n v="16.617"/>
        <n v="16.6912"/>
        <n v="16.74075"/>
        <n v="16.7531"/>
        <n v="17.0805"/>
        <n v="17.1483"/>
        <n v="17.27895"/>
        <n v="17.30755"/>
        <n v="17.4204"/>
        <n v="17.45445"/>
        <n v="17.5474"/>
        <n v="17.56235"/>
        <n v="17.58525"/>
        <n v="18.05175"/>
        <n v="18.3196"/>
        <n v="18.4224"/>
        <n v="18.42425"/>
        <n v="18.6706"/>
        <n v="19.1048"/>
        <n v="19.34205"/>
        <n v="19.5372"/>
        <n v="19.77225"/>
        <n v="20.00505"/>
        <n v="20.8325"/>
        <n v="20.84925"/>
        <n v="20.94825"/>
        <n v="21.0665"/>
        <n v="21.74185"/>
        <n v="21.85725"/>
        <n v="21.94275"/>
        <n v="21.95925"/>
        <n v="22.01025"/>
        <n v="22.0155"/>
        <n v="22.4315"/>
        <n v="22.62715"/>
        <n v="22.74155"/>
        <n v="23.19375"/>
        <n v="23.218"/>
        <n v="23.39155"/>
        <n v="23.45395"/>
        <n v="24.427"/>
        <n v="25.4293"/>
        <n v="25.9493"/>
        <n v="26.31225"/>
        <n v="26.5992"/>
        <n v="26.7291"/>
        <n v="26.9035"/>
        <n v="29.6604"/>
        <n v="31.18565"/>
        <n v="31.7728"/>
        <n v="32.2303"/>
        <n v="35.2668"/>
        <n v="37.7523"/>
        <n v="53.078"/>
        <n v="59.372"/>
        <n v="64.7448"/>
        <n v="68.067"/>
        <n v="75.3588"/>
      </sharedItems>
    </cacheField>
    <cacheField name="ATERRO AREIA" numFmtId="0">
      <sharedItems containsSemiMixedTypes="0" containsString="0" containsNumber="1" minValue="0" maxValue="412.019968730135" count="1406">
        <n v="0"/>
        <n v="0.137371325266791"/>
        <n v="0.139699652813685"/>
        <n v="0.153669618095054"/>
        <n v="0.155997945641949"/>
        <n v="0.165311255829528"/>
        <n v="0.169967910923317"/>
        <n v="0.179281221110896"/>
        <n v="0.183937876204686"/>
        <n v="0.223519444501897"/>
        <n v="0.263101012799107"/>
        <n v="0.280415509378951"/>
        <n v="0.28405596072116"/>
        <n v="0.292404426315323"/>
        <n v="0.305010908643213"/>
        <n v="0.325965856565266"/>
        <n v="0.326197633359188"/>
        <n v="0.414215388289818"/>
        <n v="0.423755613534846"/>
        <n v="0.426780867083413"/>
        <n v="0.433068923722425"/>
        <n v="0.449237091556075"/>
        <n v="0.449367216550688"/>
        <n v="0.456352199191372"/>
        <n v="0.463337181832056"/>
        <n v="0.487340710525538"/>
        <n v="0.526494425772724"/>
        <n v="0.574161219146786"/>
        <n v="0.575096904083005"/>
        <n v="0.585568395686127"/>
        <n v="0.589066869364373"/>
        <n v="0.623991782567795"/>
        <n v="0.627045047542859"/>
        <n v="0.630293985613029"/>
        <n v="0.64328973789371"/>
        <n v="0.644946730489847"/>
        <n v="0.649787614034051"/>
        <n v="0.666032304384902"/>
        <n v="0.679871643693269"/>
        <n v="0.738079832365638"/>
        <n v="0.749721470100111"/>
        <n v="0.75903478028769"/>
        <n v="0.770676418022164"/>
        <n v="0.786243012981201"/>
        <n v="0.803273003678691"/>
        <n v="0.812234517542563"/>
        <n v="0.815483455612734"/>
        <n v="0.817978451647448"/>
        <n v="0.833541261788322"/>
        <n v="0.835869589335217"/>
        <n v="0.836825229575319"/>
        <n v="0.849377608018949"/>
        <n v="0.866114112610455"/>
        <n v="0.869860355624501"/>
        <n v="0.877779485179323"/>
        <n v="0.878444503870796"/>
        <n v="0.887092795366902"/>
        <n v="0.897828328779798"/>
        <n v="0.90320478350733"/>
        <n v="0.908047743288955"/>
        <n v="0.909702659647671"/>
        <n v="0.926769681713191"/>
        <n v="0.942972656492376"/>
        <n v="0.964934606840565"/>
        <n v="0.971432482980906"/>
        <n v="0.977897569695797"/>
        <n v="0.981179297191417"/>
        <n v="0.996226751102371"/>
        <n v="1.01515081044611"/>
        <n v="1.02929503237764"/>
        <n v="1.0310685204912"/>
        <n v="1.03377743082127"/>
        <n v="1.05326263379907"/>
        <n v="1.07539850122635"/>
        <n v="1.08172795646909"/>
        <n v="1.09897060213432"/>
        <n v="1.12738151034908"/>
        <n v="1.13622384288464"/>
        <n v="1.16733439919247"/>
        <n v="1.1799235737012"/>
        <n v="1.18511872136943"/>
        <n v="1.19210370401011"/>
        <n v="1.19526479941797"/>
        <n v="1.20502833058846"/>
        <n v="1.22004363457285"/>
        <n v="1.22237196211975"/>
        <n v="1.22484965245419"/>
        <n v="1.23784540473487"/>
        <n v="1.24565523758869"/>
        <n v="1.2670858473664"/>
        <n v="1.27331532320034"/>
        <n v="1.27358372350674"/>
        <n v="1.27928025286723"/>
        <n v="1.29048361969293"/>
        <n v="1.29455011607348"/>
        <n v="1.2992655344918"/>
        <n v="1.32016171908933"/>
        <n v="1.32947502927691"/>
        <n v="1.34577332210517"/>
        <n v="1.34810164965206"/>
        <n v="1.37646596908038"/>
        <n v="1.38302656285548"/>
        <n v="1.38494575494715"/>
        <n v="1.39699652813685"/>
        <n v="1.40354124631355"/>
        <n v="1.41653699859423"/>
        <n v="1.42959311379338"/>
        <n v="1.43278168894508"/>
        <n v="1.44821973416854"/>
        <n v="1.4487114204962"/>
        <n v="1.4522753173661"/>
        <n v="1.48801363613798"/>
        <n v="1.5247592640918"/>
        <n v="1.52700089298002"/>
        <n v="1.55517840153004"/>
        <n v="1.56696443906017"/>
        <n v="1.58548177824308"/>
        <n v="1.58559105943533"/>
        <n v="1.63448593792012"/>
        <n v="1.65046053964649"/>
        <n v="1.66345629192717"/>
        <n v="1.67645204420785"/>
        <n v="1.67970098227802"/>
        <n v="1.74999025760938"/>
        <n v="1.77406948669968"/>
        <n v="1.78117057337449"/>
        <n v="1.78366700052347"/>
        <n v="1.80287992744849"/>
        <n v="1.81940531929534"/>
        <n v="1.83276110196153"/>
        <n v="1.83580414064452"/>
        <n v="1.84170708959375"/>
        <n v="1.84757942978192"/>
        <n v="1.85567705487512"/>
        <n v="1.86193613580508"/>
        <n v="1.86317216809222"/>
        <n v="1.87197534770338"/>
        <n v="1.88594531298475"/>
        <n v="1.90568091067736"/>
        <n v="1.92552688128196"/>
        <n v="1.94648182920402"/>
        <n v="1.95113848429781"/>
        <n v="1.96235859438283"/>
        <n v="1.97344154130584"/>
        <n v="1.98606339750123"/>
        <n v="1.99152239314031"/>
        <n v="2.03047742400254"/>
        <n v="2.04185356016378"/>
        <n v="2.06695831705104"/>
        <n v="2.06988318918944"/>
        <n v="2.10247977484596"/>
        <n v="2.11793244413748"/>
        <n v="2.13130337403169"/>
        <n v="2.20278001157543"/>
        <n v="2.21902470192628"/>
        <n v="2.24618545778037"/>
        <n v="2.28052205076555"/>
        <n v="2.30504427142581"/>
        <n v="2.33474239051514"/>
        <n v="2.3587290389436"/>
        <n v="2.43733338723901"/>
        <n v="2.46569887216155"/>
        <n v="2.47244187139956"/>
        <n v="2.48898214763049"/>
        <n v="2.51515543616427"/>
        <n v="2.54486200875597"/>
        <n v="2.56348862913113"/>
        <n v="2.58955138763215"/>
        <n v="2.59841354233455"/>
        <n v="2.60772685252213"/>
        <n v="2.62189302262739"/>
        <n v="2.67062709367995"/>
        <n v="2.69661859824131"/>
        <n v="2.70085995439792"/>
        <n v="2.73345654005444"/>
        <n v="2.80330636646129"/>
        <n v="2.80796302155507"/>
        <n v="2.81173277137307"/>
        <n v="2.82010102366883"/>
        <n v="2.82550669885736"/>
        <n v="2.84841621263188"/>
        <n v="2.88014117550881"/>
        <n v="2.90342445097776"/>
        <n v="2.90575277852465"/>
        <n v="2.94028895350408"/>
        <n v="2.96396096719702"/>
        <n v="2.9756026049315"/>
        <n v="2.99888588040045"/>
        <n v="3.0640790517135"/>
        <n v="3.11530225774518"/>
        <n v="3.19656714305882"/>
        <n v="3.22939030754303"/>
        <n v="3.27385966679062"/>
        <n v="3.32019508187192"/>
        <n v="3.35046333998155"/>
        <n v="3.36589984069638"/>
        <n v="3.37239771683672"/>
        <n v="3.3737466154505"/>
        <n v="3.38073159809119"/>
        <n v="3.38305992563808"/>
        <n v="3.39237323582566"/>
        <n v="3.40867152865392"/>
        <n v="3.42496982148219"/>
        <n v="3.45058142449803"/>
        <n v="3.45687010666115"/>
        <n v="3.46799589150295"/>
        <n v="3.52834674420489"/>
        <n v="3.54371452637382"/>
        <n v="3.5506995090145"/>
        <n v="3.5530278365614"/>
        <n v="3.58096776712413"/>
        <n v="3.58945821771236"/>
        <n v="3.63219097315582"/>
        <n v="3.65180639087136"/>
        <n v="3.65505532894153"/>
        <n v="3.66711588635924"/>
        <n v="3.77526603753783"/>
        <n v="3.82400010859039"/>
        <n v="3.83521730020861"/>
        <n v="3.87200871048598"/>
        <n v="3.88830700331424"/>
        <n v="3.90227696859561"/>
        <n v="3.96747013990866"/>
        <n v="4.00472338065898"/>
        <n v="4.02567832858103"/>
        <n v="4.05467471157248"/>
        <n v="4.06450763610679"/>
        <n v="4.07091940192333"/>
        <n v="4.07922986215961"/>
        <n v="4.11415477536303"/>
        <n v="4.12179312288157"/>
        <n v="4.17813435823895"/>
        <n v="4.19446978214562"/>
        <n v="4.23057115270777"/>
        <n v="4.29184719069491"/>
        <n v="4.32603258213046"/>
        <n v="4.32836090967735"/>
        <n v="4.33852947712903"/>
        <n v="4.36328582288077"/>
        <n v="4.38656909834972"/>
        <n v="4.38889742589661"/>
        <n v="4.41683735645935"/>
        <n v="4.5209847430484"/>
        <n v="4.52161209606961"/>
        <n v="4.57248963252616"/>
        <n v="4.58447693983577"/>
        <n v="4.6170735254923"/>
        <n v="4.64035680096125"/>
        <n v="4.69158000699293"/>
        <n v="4.69796444946619"/>
        <n v="4.74047488547772"/>
        <n v="4.76706365944217"/>
        <n v="4.86387624546314"/>
        <n v="4.90578614130725"/>
        <n v="4.90811446885414"/>
        <n v="4.90812819732957"/>
        <n v="4.92588515714439"/>
        <n v="4.93838586665878"/>
        <n v="4.94536770960446"/>
        <n v="4.98960593299546"/>
        <n v="5.0175458635582"/>
        <n v="5.03151582883957"/>
        <n v="5.04315746657404"/>
        <n v="5.1060223103402"/>
        <n v="5.12697725826225"/>
        <n v="5.13163391335604"/>
        <n v="5.13861889599673"/>
        <n v="5.19915541221599"/>
        <n v="5.21343936824948"/>
        <n v="5.29461684163867"/>
        <n v="5.34092749427983"/>
        <n v="5.34816837521725"/>
        <n v="5.36679499559241"/>
        <n v="5.39706325370204"/>
        <n v="5.41945892616055"/>
        <n v="5.42247763911415"/>
        <n v="5.43431649445236"/>
        <n v="5.43897314954615"/>
        <n v="5.44130147709304"/>
        <n v="5.44737935103445"/>
        <n v="5.53909123406262"/>
        <n v="5.53943940964028"/>
        <n v="5.55538952689089"/>
        <n v="5.59339772532366"/>
        <n v="5.67180590423562"/>
        <n v="5.6959834853105"/>
        <n v="5.70207416234526"/>
        <n v="5.70358826967006"/>
        <n v="5.70838418928913"/>
        <n v="5.76028235101762"/>
        <n v="5.84159065016612"/>
        <n v="5.85574378044031"/>
        <n v="5.87437040081547"/>
        <n v="5.88368371100305"/>
        <n v="5.89532534873752"/>
        <n v="5.89735434119101"/>
        <n v="6.01174172608226"/>
        <n v="6.07926322494221"/>
        <n v="6.09556151777047"/>
        <n v="6.11185981059873"/>
        <n v="6.17938130945868"/>
        <n v="6.2120619475684"/>
        <n v="6.22827618794347"/>
        <n v="6.27018608378758"/>
        <n v="6.2801972896391"/>
        <n v="6.33072260000684"/>
        <n v="6.33858776369333"/>
        <n v="6.37496082339784"/>
        <n v="6.38660246113231"/>
        <n v="6.40057242641368"/>
        <n v="6.44481064980468"/>
        <n v="6.46576559772674"/>
        <n v="6.46809392527363"/>
        <n v="6.58218197507147"/>
        <n v="6.6171068882749"/>
        <n v="6.66032304384902"/>
        <n v="6.6613451116659"/>
        <n v="6.68230005958795"/>
        <n v="6.74050824826032"/>
        <n v="6.81268640221405"/>
        <n v="6.82432803994853"/>
        <n v="6.85201038998906"/>
        <n v="6.87089459088642"/>
        <n v="6.90116284899606"/>
        <n v="6.95597640823451"/>
        <n v="6.97799765804358"/>
        <n v="7.00590199906016"/>
        <n v="7.01059424370011"/>
        <n v="7.0819223031929"/>
        <n v="7.08742905274764"/>
        <n v="7.15345687191202"/>
        <n v="7.16892051688895"/>
        <n v="7.21264251577796"/>
        <n v="7.25274030857716"/>
        <n v="7.26515911259408"/>
        <n v="7.32957511762469"/>
        <n v="7.39476828893774"/>
        <n v="7.43667818478185"/>
        <n v="7.4946165579057"/>
        <n v="7.51118466628248"/>
        <n v="7.5484379070328"/>
        <n v="7.56706452740796"/>
        <n v="7.56939285495485"/>
        <n v="7.58569114778311"/>
        <n v="7.58967568164947"/>
        <n v="7.5941098152218"/>
        <n v="7.59500445797069"/>
        <n v="7.62061606098653"/>
        <n v="7.62992937117411"/>
        <n v="7.63924268136169"/>
        <n v="7.74168909342506"/>
        <n v="7.75983360508408"/>
        <n v="7.77470880191742"/>
        <n v="7.7926132401286"/>
        <n v="7.80455393719122"/>
        <n v="7.80921059228501"/>
        <n v="7.83482219530085"/>
        <n v="7.91165700434838"/>
        <n v="7.95822355528627"/>
        <n v="8.00479010622417"/>
        <n v="8.0053834048995"/>
        <n v="8.06066996734964"/>
        <n v="8.07036216630291"/>
        <n v="8.09093822545927"/>
        <n v="8.10025153564686"/>
        <n v="8.10883647458484"/>
        <n v="8.1258631386627"/>
        <n v="8.12649743741715"/>
        <n v="8.17107924647819"/>
        <n v="8.17497051322105"/>
        <n v="8.23063787827296"/>
        <n v="8.24854816392962"/>
        <n v="8.31403252156568"/>
        <n v="8.35301977840772"/>
        <n v="8.39362080655559"/>
        <n v="8.41150066367079"/>
        <n v="8.41690408202454"/>
        <n v="8.42610107039257"/>
        <n v="8.42734617326335"/>
        <n v="8.4332023748528"/>
        <n v="8.45182899522796"/>
        <n v="8.52196455805657"/>
        <n v="8.52633547672859"/>
        <n v="8.53099213182238"/>
        <n v="8.54470712454777"/>
        <n v="8.59618530313544"/>
        <n v="8.60084195822923"/>
        <n v="8.61714025105749"/>
        <n v="8.62179690615128"/>
        <n v="8.65187827886391"/>
        <n v="8.66140558051107"/>
        <n v="8.70065615191594"/>
        <n v="8.70794502538638"/>
        <n v="8.71508287605586"/>
        <n v="8.72534285548625"/>
        <n v="8.73565502955597"/>
        <n v="8.73588495594912"/>
        <n v="8.74152429747649"/>
        <n v="8.76238597524917"/>
        <n v="8.77546652424633"/>
        <n v="8.78512854174037"/>
        <n v="8.79874979971528"/>
        <n v="8.81737642009044"/>
        <n v="8.82901805782491"/>
        <n v="8.83134638537181"/>
        <n v="8.90209031226649"/>
        <n v="8.92680781479449"/>
        <n v="8.93844945252897"/>
        <n v="8.95707607290412"/>
        <n v="8.95940440045102"/>
        <n v="8.96173272799791"/>
        <n v="9.00247976995353"/>
        <n v="9.01907842410667"/>
        <n v="9.03391088195165"/>
        <n v="9.10376070835849"/>
        <n v="9.13635729401502"/>
        <n v="9.14799893174949"/>
        <n v="9.15356341329862"/>
        <n v="9.17829781246504"/>
        <n v="9.18292384495292"/>
        <n v="9.20620712042186"/>
        <n v="9.22949039589081"/>
        <n v="9.24113203362528"/>
        <n v="9.31795438524829"/>
        <n v="9.33487280136"/>
        <n v="9.35672158846092"/>
        <n v="9.39247332417344"/>
        <n v="9.40644328945481"/>
        <n v="9.40711825277582"/>
        <n v="9.45116084612527"/>
        <n v="9.45999482303339"/>
        <n v="9.48327809850234"/>
        <n v="9.5816488786374"/>
        <n v="9.60145310122154"/>
        <n v="9.61366444112844"/>
        <n v="9.61424603584975"/>
        <n v="9.63427571509111"/>
        <n v="9.63959925419514"/>
        <n v="9.65324600942565"/>
        <n v="9.65807613664131"/>
        <n v="9.68118593998839"/>
        <n v="9.69282757772287"/>
        <n v="9.72542416337939"/>
        <n v="9.74172876459647"/>
        <n v="9.74449150868853"/>
        <n v="9.75569242148903"/>
        <n v="9.7673340592235"/>
        <n v="9.78130402450487"/>
        <n v="9.78828900714555"/>
        <n v="9.79993064488003"/>
        <n v="9.85348217845861"/>
        <n v="9.87210879883376"/>
        <n v="9.87909378147445"/>
        <n v="9.88752991615552"/>
        <n v="9.88840709166203"/>
        <n v="9.91867534977166"/>
        <n v="9.95010921942233"/>
        <n v="9.95825691806887"/>
        <n v="10.0071517965537"/>
        <n v="10.0234237689231"/>
        <n v="10.0267305286479"/>
        <n v="10.0746732954136"/>
        <n v="10.0956282433357"/>
        <n v="10.1199673282894"/>
        <n v="10.1305531565391"/>
        <n v="10.1701347248363"/>
        <n v="10.177119707477"/>
        <n v="10.1914865320229"/>
        <n v="10.221357930868"/>
        <n v="10.2283429135087"/>
        <n v="10.2391660011785"/>
        <n v="10.2679244818059"/>
        <n v="10.2772377919935"/>
        <n v="10.280948216312"/>
        <n v="10.2818944470872"/>
        <n v="10.2888794297279"/>
        <n v="10.3095620437996"/>
        <n v="10.3238043429313"/>
        <n v="10.330789325572"/>
        <n v="10.3331176531189"/>
        <n v="10.3494159459472"/>
        <n v="10.3657142387755"/>
        <n v="10.3889975142444"/>
        <n v="10.3959824968851"/>
        <n v="10.4052958070727"/>
        <n v="10.4262507549947"/>
        <n v="10.442549047823"/>
        <n v="10.4541906855575"/>
        <n v="10.463503995745"/>
        <n v="10.4774739610264"/>
        <n v="10.4844589436671"/>
        <n v="10.4937722538547"/>
        <n v="10.5265593473516"/>
        <n v="10.5380104772457"/>
        <n v="10.5527795774446"/>
        <n v="10.5566370976208"/>
        <n v="10.5729353904491"/>
        <n v="10.5817912945445"/>
        <n v="10.5938903383711"/>
        <n v="10.5997419866682"/>
        <n v="10.619501941387"/>
        <n v="10.640456889309"/>
        <n v="10.6930227824854"/>
        <n v="10.7149633708097"/>
        <n v="10.7219483534503"/>
        <n v="10.7266050085441"/>
        <n v="10.778539996002"/>
        <n v="10.8360364032482"/>
        <n v="10.8618089143112"/>
        <n v="10.8663046613578"/>
        <n v="10.8709613164516"/>
        <n v="10.8732896439985"/>
        <n v="10.8872596092799"/>
        <n v="10.9012295745612"/>
        <n v="10.9036986025356"/>
        <n v="10.9105428847488"/>
        <n v="10.9128712122957"/>
        <n v="10.9198561949364"/>
        <n v="10.9333434830303"/>
        <n v="10.9394582044023"/>
        <n v="10.9571094356867"/>
        <n v="10.9594377632336"/>
        <n v="10.9622966543059"/>
        <n v="10.973407728515"/>
        <n v="10.994362676437"/>
        <n v="11.0129892968122"/>
        <n v="11.0223026069998"/>
        <n v="11.0292875896405"/>
        <n v="11.0449374102322"/>
        <n v="11.070689854971"/>
        <n v="11.0735258130315"/>
        <n v="11.0944807609535"/>
        <n v="11.1107790537818"/>
        <n v="11.1177640364225"/>
        <n v="11.1620022598135"/>
        <n v="11.1736438975479"/>
        <n v="11.1783005526417"/>
        <n v="11.1876138628293"/>
        <n v="11.2108971382982"/>
        <n v="11.215553793392"/>
        <n v="11.2225387760327"/>
        <n v="11.2374548866252"/>
        <n v="11.2691053269706"/>
        <n v="11.2784186371582"/>
        <n v="11.2854036197989"/>
        <n v="11.2923886024396"/>
        <n v="11.2993735850802"/>
        <n v="11.3110152228147"/>
        <n v="11.3180002054554"/>
        <n v="11.3257981126135"/>
        <n v="11.3298338581143"/>
        <n v="11.3366268258306"/>
        <n v="11.3575817737526"/>
        <n v="11.3762083941278"/>
        <n v="11.3785367216747"/>
        <n v="11.3808650492216"/>
        <n v="11.3948350145029"/>
        <n v="11.4088049797843"/>
        <n v="11.4134616348781"/>
        <n v="11.415789962425"/>
        <n v="11.419376006747"/>
        <n v="11.4926247714725"/>
        <n v="11.4972814265663"/>
        <n v="11.5322063397697"/>
        <n v="11.5485407740148"/>
        <n v="11.5531612876918"/>
        <n v="11.5741162356138"/>
        <n v="11.5880862008952"/>
        <n v="11.6043844937235"/>
        <n v="11.6218706066927"/>
        <n v="11.6230111140986"/>
        <n v="11.6372436392265"/>
        <n v="11.6765626476772"/>
        <n v="11.7277858537089"/>
        <n v="11.7580541118185"/>
        <n v="11.7627107669123"/>
        <n v="11.7673674220061"/>
        <n v="11.7743524046468"/>
        <n v="11.7929790250219"/>
        <n v="11.7999640076626"/>
        <n v="11.8232335178962"/>
        <n v="11.8292420712957"/>
        <n v="11.8489859626351"/>
        <n v="11.8661542591277"/>
        <n v="11.8698138340695"/>
        <n v="11.8814554718039"/>
        <n v="11.8870876538711"/>
        <n v="11.9033522348616"/>
        <n v="11.9036114895882"/>
        <n v="11.9070670748198"/>
        <n v="11.923381914103"/>
        <n v="11.9489769706639"/>
        <n v="11.9536336257577"/>
        <n v="11.9978718491487"/>
        <n v="12.0397817449928"/>
        <n v="12.0467667276335"/>
        <n v="12.0470623641913"/>
        <n v="12.0747066581962"/>
        <n v="12.0840199683838"/>
        <n v="12.1344249001161"/>
        <n v="12.1468848121499"/>
        <n v="12.1477794443666"/>
        <n v="12.1981080181816"/>
        <n v="12.2004363457285"/>
        <n v="12.2423462415726"/>
        <n v="12.251745462612"/>
        <n v="12.2656295170416"/>
        <n v="12.2679578445885"/>
        <n v="12.3153913506837"/>
        <n v="12.36686231225"/>
        <n v="12.3691817608245"/>
        <n v="12.4262841177773"/>
        <n v="12.4309407728711"/>
        <n v="12.4336859945416"/>
        <n v="12.4412921916294"/>
        <n v="12.4564285610328"/>
        <n v="12.4921668798046"/>
        <n v="12.5007905992779"/>
        <n v="12.5042426121022"/>
        <n v="12.518549525846"/>
        <n v="12.5214073224362"/>
        <n v="12.5333871849345"/>
        <n v="12.5403721675752"/>
        <n v="12.5473571502158"/>
        <n v="12.5496854777627"/>
        <n v="12.5636554430441"/>
        <n v="12.5706404256848"/>
        <n v="12.6009086837944"/>
        <n v="12.615836539304"/>
        <n v="12.6286222787518"/>
        <n v="12.6320793594283"/>
        <n v="12.6567885449199"/>
        <n v="12.6827387954062"/>
        <n v="12.6886987290507"/>
        <n v="12.7512780323175"/>
        <n v="12.7895032150929"/>
        <n v="12.8034731803743"/>
        <n v="12.8049174351176"/>
        <n v="12.8081298354681"/>
        <n v="12.8333053771725"/>
        <n v="12.8361630109589"/>
        <n v="12.8430547486715"/>
        <n v="12.9047820147162"/>
        <n v="12.9175612301721"/>
        <n v="12.9539157762291"/>
        <n v="12.9735093828996"/>
        <n v="12.9889716861286"/>
        <n v="12.9956353117403"/>
        <n v="13.0021232103873"/>
        <n v="13.0246642973293"/>
        <n v="13.0278756551262"/>
        <n v="13.0345158767298"/>
        <n v="13.0726243140838"/>
        <n v="13.1029672369966"/>
        <n v="13.1108557548403"/>
        <n v="13.1154690716582"/>
        <n v="13.1366081995792"/>
        <n v="13.1387055557685"/>
        <n v="13.1416536860295"/>
        <n v="13.1623606443181"/>
        <n v="13.190498471657"/>
        <n v="13.1939375029614"/>
        <n v="13.2039455184402"/>
        <n v="13.2109305010808"/>
        <n v="13.2110041510471"/>
        <n v="13.2155871561746"/>
        <n v="13.2250927570519"/>
        <n v="13.2394226359438"/>
        <n v="13.2491694501543"/>
        <n v="13.2548924252742"/>
        <n v="13.2644820346594"/>
        <n v="13.2761236723939"/>
        <n v="13.2968456335101"/>
        <n v="13.3502513635855"/>
        <n v="13.4038907663856"/>
        <n v="13.4181516527545"/>
        <n v="13.4204799803014"/>
        <n v="13.4228083078483"/>
        <n v="13.4370533881995"/>
        <n v="13.4427761536971"/>
        <n v="13.4713899811847"/>
        <n v="13.4717031863331"/>
        <n v="13.4880014791613"/>
        <n v="13.4993376815574"/>
        <n v="13.5515086981501"/>
        <n v="13.5601796331151"/>
        <n v="13.5669352974552"/>
        <n v="13.5718212708495"/>
        <n v="13.577261142889"/>
        <n v="13.5801225256378"/>
        <n v="13.5974328738654"/>
        <n v="13.6160594942405"/>
        <n v="13.6742676829129"/>
        <n v="13.6789243380067"/>
        <n v="13.6859936873421"/>
        <n v="13.6899675813196"/>
        <n v="13.695222630835"/>
        <n v="13.7068642685694"/>
        <n v="13.7197672495419"/>
        <n v="13.7704266855198"/>
        <n v="13.7883557327107"/>
        <n v="13.8210861214977"/>
        <n v="13.8419072662893"/>
        <n v="13.8662608005143"/>
        <n v="13.8891518625044"/>
        <n v="13.9018490516921"/>
        <n v="13.9350403681651"/>
        <n v="13.9379443210304"/>
        <n v="13.966409196721"/>
        <n v="13.9792785915561"/>
        <n v="13.9996741443636"/>
        <n v="14.0002335394782"/>
        <n v="14.0165318323064"/>
        <n v="14.0211884874002"/>
        <n v="14.025845142494"/>
        <n v="14.0281734700409"/>
        <n v="14.0408051481889"/>
        <n v="14.0465279136864"/>
        <n v="14.0468000904161"/>
        <n v="14.0630983832443"/>
        <n v="14.0922631023205"/>
        <n v="14.1426274194511"/>
        <n v="14.1608023392318"/>
        <n v="14.1697422396985"/>
        <n v="14.1752901373809"/>
        <n v="14.2019347914785"/>
        <n v="14.2190963288863"/>
        <n v="14.2303487473457"/>
        <n v="14.2307379666207"/>
        <n v="14.2668543853413"/>
        <n v="14.2889461552931"/>
        <n v="14.3168860858559"/>
        <n v="14.3541393266062"/>
        <n v="14.3920544004675"/>
        <n v="14.4013393745333"/>
        <n v="14.4076908601847"/>
        <n v="14.4100191877316"/>
        <n v="14.4658990488571"/>
        <n v="14.4788127054961"/>
        <n v="14.5008239620605"/>
        <n v="14.5332981920104"/>
        <n v="14.5571379265882"/>
        <n v="14.6032703741239"/>
        <n v="14.6312103046866"/>
        <n v="14.6521652526087"/>
        <n v="14.6568219077025"/>
        <n v="14.6852764999441"/>
        <n v="14.7266717341093"/>
        <n v="14.7592683197659"/>
        <n v="14.7662533024065"/>
        <n v="14.7802232676879"/>
        <n v="14.7872082503286"/>
        <n v="14.80117821561"/>
        <n v="14.828153352257"/>
        <n v="14.8283149074111"/>
        <n v="14.8500730940947"/>
        <n v="14.8524014216416"/>
        <n v="14.8541448568184"/>
        <n v="14.8700344429223"/>
        <n v="14.8710280420168"/>
        <n v="14.9012963001264"/>
        <n v="14.9249724175572"/>
        <n v="15.0100938841866"/>
        <n v="15.1270556547127"/>
        <n v="15.1411140374566"/>
        <n v="15.155084002738"/>
        <n v="15.1710110919674"/>
        <n v="15.1830239333007"/>
        <n v="15.1985322922564"/>
        <n v="15.2086355363165"/>
        <n v="15.2133711113"/>
        <n v="15.2156205189572"/>
        <n v="15.2212748587476"/>
        <n v="15.2458887770669"/>
        <n v="15.3046285236147"/>
        <n v="15.3646334819585"/>
        <n v="15.4018867227088"/>
        <n v="15.4314371640886"/>
        <n v="15.4324558333087"/>
        <n v="15.4624232389281"/>
        <n v="15.4694082215688"/>
        <n v="15.5707959761993"/>
        <n v="15.6014006129576"/>
        <n v="15.6211914939318"/>
        <n v="15.6582509963342"/>
        <n v="15.6716455181018"/>
        <n v="15.6766293732424"/>
        <n v="15.6988687550627"/>
        <n v="15.705366631203"/>
        <n v="15.7193249872575"/>
        <n v="15.7208675966334"/>
        <n v="15.7638475164661"/>
        <n v="15.7767474577589"/>
        <n v="15.7948327731817"/>
        <n v="15.8125815875186"/>
        <n v="15.8407658209637"/>
        <n v="15.8515688443607"/>
        <n v="15.8768655422753"/>
        <n v="15.8802431956579"/>
        <n v="15.8938050392729"/>
        <n v="15.9094621279319"/>
        <n v="15.9164471105725"/>
        <n v="15.9793119543387"/>
        <n v="15.991273181378"/>
        <n v="16.0172646859393"/>
        <n v="16.0595008808516"/>
        <n v="16.0887433490428"/>
        <n v="16.163466899097"/>
        <n v="16.2316945985706"/>
        <n v="16.2354279844971"/>
        <n v="16.2362146076608"/>
        <n v="16.370470982217"/>
        <n v="16.3960825852329"/>
        <n v="16.4111246479307"/>
        <n v="16.4157528296637"/>
        <n v="16.4193658607018"/>
        <n v="16.4216941882487"/>
        <n v="16.4310074984363"/>
        <n v="16.4461245112018"/>
        <n v="16.4542907739052"/>
        <n v="16.458947428999"/>
        <n v="16.5213940211443"/>
        <n v="16.5467555180964"/>
        <n v="16.5663352197981"/>
        <n v="16.5776921338907"/>
        <n v="16.5963187542658"/>
        <n v="16.6265870123754"/>
        <n v="16.635900322563"/>
        <n v="16.6832969903243"/>
        <n v="16.7499883723609"/>
        <n v="16.7709433202829"/>
        <n v="16.7802566304705"/>
        <n v="16.8035399059395"/>
        <n v="16.8179806111671"/>
        <n v="16.8576723133489"/>
        <n v="16.8978308469425"/>
        <n v="16.9129713006435"/>
        <n v="16.989806109691"/>
        <n v="16.9977307539937"/>
        <n v="17.0177460402538"/>
        <n v="17.1201924523171"/>
        <n v="17.1271774349578"/>
        <n v="17.145804055333"/>
        <n v="17.1543930104989"/>
        <n v="17.1597740206143"/>
        <n v="17.1639982995271"/>
        <n v="17.2248365744036"/>
        <n v="17.251276592303"/>
        <n v="17.3553267726612"/>
        <n v="17.3623250469898"/>
        <n v="17.3995917579445"/>
        <n v="17.404561241902"/>
        <n v="17.4252033609603"/>
        <n v="17.46058488955"/>
        <n v="17.4662910652353"/>
        <n v="17.4717699118982"/>
        <n v="17.4787548945389"/>
        <n v="17.5102850474171"/>
        <n v="17.5160081352892"/>
        <n v="17.5251848815282"/>
        <n v="17.5774742256622"/>
        <n v="17.6278901454603"/>
        <n v="17.6929610288532"/>
        <n v="17.6952893564001"/>
        <n v="17.6987286965618"/>
        <n v="17.7069309941346"/>
        <n v="17.7092593216815"/>
        <n v="17.7392018631296"/>
        <n v="17.7472366706608"/>
        <n v="17.765139182807"/>
        <n v="17.7879359341821"/>
        <n v="17.8233473714794"/>
        <n v="17.9723603344806"/>
        <n v="18.0615789095294"/>
        <n v="18.0701500914502"/>
        <n v="18.1097316597474"/>
        <n v="18.1755032201541"/>
        <n v="18.1840873684003"/>
        <n v="18.2224971179298"/>
        <n v="18.2540879676549"/>
        <n v="18.2564162952018"/>
        <n v="18.2657296053894"/>
        <n v="18.3006545185928"/>
        <n v="18.3305085919006"/>
        <n v="18.3681760174527"/>
        <n v="18.3937876204686"/>
        <n v="18.4100859132968"/>
        <n v="18.4182299197952"/>
        <n v="18.428712533672"/>
        <n v="18.4869207223444"/>
        <n v="18.4994533715494"/>
        <n v="18.5078756702664"/>
        <n v="18.5175138333304"/>
        <n v="18.5684121864857"/>
        <n v="18.5707405140326"/>
        <n v="18.6615452883615"/>
        <n v="18.6871568913773"/>
        <n v="18.7011268566587"/>
        <n v="18.8408532508101"/>
        <n v="18.8431548370193"/>
        <n v="18.8501398196599"/>
        <n v="18.9218153206716"/>
        <n v="18.9967513301811"/>
        <n v="19.01576329108"/>
        <n v="19.0177794030364"/>
        <n v="19.0387770911977"/>
        <n v="19.1435090905687"/>
        <n v="19.1761056762252"/>
        <n v="19.2040456067879"/>
        <n v="19.3530585697892"/>
        <n v="19.4221517834778"/>
        <n v="19.4773837306707"/>
        <n v="19.5089075810785"/>
        <n v="19.5228688636531"/>
        <n v="19.5253548082594"/>
        <n v="19.6068462724007"/>
        <n v="19.6147787427827"/>
        <n v="19.6161595825883"/>
        <n v="19.636581696109"/>
        <n v="19.7069643569172"/>
        <n v="19.7452601640888"/>
        <n v="19.7581875629489"/>
        <n v="19.844335682184"/>
        <n v="19.8652906301061"/>
        <n v="19.8769322678405"/>
        <n v="19.8815889229343"/>
        <n v="19.932812128966"/>
        <n v="20.0725117817797"/>
        <n v="20.0794967644204"/>
        <n v="20.133048297999"/>
        <n v="20.2098831070465"/>
        <n v="20.3658810526884"/>
        <n v="20.4659991372049"/>
        <n v="20.4986962411942"/>
        <n v="20.5824155145496"/>
        <n v="20.6522653409565"/>
        <n v="20.6895185817068"/>
        <n v="20.7465290163577"/>
        <n v="20.8711281303646"/>
        <n v="20.9316646465839"/>
        <n v="20.950291266959"/>
        <n v="21.0131561107252"/>
        <n v="21.2250339174926"/>
        <n v="21.283242106165"/>
        <n v="21.2902270888056"/>
        <n v="21.2948837438994"/>
        <n v="21.304197054087"/>
        <n v="21.3367936397435"/>
        <n v="21.4624848915447"/>
        <n v="21.4648516548228"/>
        <n v="21.4683062470381"/>
        <n v="21.5213203901372"/>
        <n v="21.5603130842454"/>
        <n v="21.6285991957374"/>
        <n v="21.6557745136681"/>
        <n v="21.6697444789495"/>
        <n v="21.6883710993246"/>
        <n v="21.7150182335821"/>
        <n v="21.7186393574343"/>
        <n v="21.7209676849812"/>
        <n v="21.7442509604501"/>
        <n v="21.7884891838411"/>
        <n v="21.8001308215756"/>
        <n v="21.8024591491225"/>
        <n v="21.8164291144039"/>
        <n v="21.8371382884768"/>
        <n v="21.9351738192955"/>
        <n v="21.9514721121238"/>
        <n v="22.0469335415464"/>
        <n v="22.1330816607815"/>
        <n v="22.1411534891608"/>
        <n v="22.2704529860483"/>
        <n v="22.3030495717049"/>
        <n v="22.385183303473"/>
        <n v="22.5032857407378"/>
        <n v="22.5521806192226"/>
        <n v="22.5672887447395"/>
        <n v="22.6621513702173"/>
        <n v="22.7073471853843"/>
        <n v="22.7850133739121"/>
        <n v="22.7967461900512"/>
        <n v="22.8502065452251"/>
        <n v="22.875818148241"/>
        <n v="22.941011319554"/>
        <n v="22.9433396471009"/>
        <n v="22.9769034725814"/>
        <n v="23.029487766336"/>
        <n v="23.1272775233056"/>
        <n v="23.1575457814152"/>
        <n v="23.1994556772593"/>
        <n v="23.2344279199702"/>
        <n v="23.2945169576943"/>
        <n v="23.3321703474323"/>
        <n v="23.3891051671557"/>
        <n v="23.3903785361047"/>
        <n v="23.5184365511839"/>
        <n v="23.64882289381"/>
        <n v="23.6999556253824"/>
        <n v="23.7107500361025"/>
        <n v="23.8141341496396"/>
        <n v="23.8420740802023"/>
        <n v="23.8607007005775"/>
        <n v="23.8844340801647"/>
        <n v="23.9212372167967"/>
        <n v="23.9352071820781"/>
        <n v="23.9398611638951"/>
        <n v="23.9608187850939"/>
        <n v="23.9724604228284"/>
        <n v="23.9887587156567"/>
        <n v="23.9955557311417"/>
        <n v="24.0213553013132"/>
        <n v="24.1377716786579"/>
        <n v="24.1517416439393"/>
        <n v="24.1913232122365"/>
        <n v="24.202964849971"/>
        <n v="24.2122781601586"/>
        <n v="24.3426645027847"/>
        <n v="24.3915593812695"/>
        <n v="24.4637375352232"/>
        <n v="24.5327313678556"/>
        <n v="24.5652207485573"/>
        <n v="24.5708406023804"/>
        <n v="24.5966461506774"/>
        <n v="24.622063808412"/>
        <n v="24.6318965406151"/>
        <n v="24.7012269450065"/>
        <n v="24.7454651683975"/>
        <n v="24.778061754054"/>
        <n v="24.7966883744291"/>
        <n v="24.8642098732891"/>
        <n v="24.9643279578056"/>
        <n v="25.0645009417674"/>
        <n v="25.0900576453379"/>
        <n v="25.2460555909798"/>
        <n v="25.2631482888445"/>
        <n v="25.4299934671845"/>
        <n v="25.4951866384976"/>
        <n v="25.5370965343417"/>
        <n v="25.5859914128265"/>
        <n v="25.6211256213626"/>
        <n v="25.6511845841395"/>
        <n v="25.6731086304853"/>
        <n v="25.7835725248711"/>
        <n v="25.791626155448"/>
        <n v="25.8076900801028"/>
        <n v="25.8095640294325"/>
        <n v="25.8514207531725"/>
        <n v="25.8828835677627"/>
        <n v="25.9445538550483"/>
        <n v="25.9818070957986"/>
        <n v="25.9841354233455"/>
        <n v="26.0240502585251"/>
        <n v="26.0400152844709"/>
        <n v="26.2053265403005"/>
        <n v="26.2239531606756"/>
        <n v="26.4265176572555"/>
        <n v="26.4544575878182"/>
        <n v="26.5080857145191"/>
        <n v="26.5429340346002"/>
        <n v="26.6623739646177"/>
        <n v="26.7175586006173"/>
        <n v="26.7315285658987"/>
        <n v="26.7617968240083"/>
        <n v="26.7990500647586"/>
        <n v="26.8167214332379"/>
        <n v="26.9177947696503"/>
        <n v="27.0849184472386"/>
        <n v="27.3392220556382"/>
        <n v="27.3648336586541"/>
        <n v="27.4602950880767"/>
        <n v="27.4672800707174"/>
        <n v="27.5557565174994"/>
        <n v="27.5999947408904"/>
        <n v="27.7629776691731"/>
        <n v="27.7932459272827"/>
        <n v="28.0301054069001"/>
        <n v="28.1564650245983"/>
        <n v="28.3101346426933"/>
        <n v="28.361357848725"/>
        <n v="28.5080424841794"/>
        <n v="28.561594017758"/>
        <n v="28.7082786532123"/>
        <n v="28.7271104164454"/>
        <n v="28.7422824869573"/>
        <n v="28.7425897113425"/>
        <n v="28.7618301867909"/>
        <n v="28.7711434969785"/>
        <n v="28.7781284796192"/>
        <n v="28.803740082635"/>
        <n v="28.9411114079018"/>
        <n v="28.9829458622387"/>
        <n v="29.02493119959"/>
        <n v="29.1227209565596"/>
        <n v="29.3151682071462"/>
        <n v="29.3252854531394"/>
        <n v="29.4067769172808"/>
        <n v="29.4938598010056"/>
        <n v="29.5076314737107"/>
        <n v="29.7723243421432"/>
        <n v="29.8155046699524"/>
        <n v="29.8165625655342"/>
        <n v="29.9702321836293"/>
        <n v="30.0216278000404"/>
        <n v="30.3450929186794"/>
        <n v="30.4382260205551"/>
        <n v="30.4754792613055"/>
        <n v="30.5057475194151"/>
        <n v="30.5522211645326"/>
        <n v="30.5639557080875"/>
        <n v="30.5660093641617"/>
        <n v="30.6570888099632"/>
        <n v="30.6594171375101"/>
        <n v="30.7199536537294"/>
        <n v="30.7315952914639"/>
        <n v="30.7860372404469"/>
        <n v="30.799932905214"/>
        <n v="30.8689666167307"/>
        <n v="30.8800426246698"/>
        <n v="30.9266414899506"/>
        <n v="30.9923679767161"/>
        <n v="31.0109945970912"/>
        <n v="31.0342778725602"/>
        <n v="31.0631741549141"/>
        <n v="31.0855010785919"/>
        <n v="31.1413809397174"/>
        <n v="31.1809625080146"/>
        <n v="31.481316761564"/>
        <n v="31.502271709486"/>
        <n v="31.5185700023143"/>
        <n v="31.5418532777833"/>
        <n v="31.590748156268"/>
        <n v="31.6251631750372"/>
        <n v="31.826022544759"/>
        <n v="31.8398792037858"/>
        <n v="31.9338122917034"/>
        <n v="31.9423256158492"/>
        <n v="31.9562955811305"/>
        <n v="31.9819071841464"/>
        <n v="32.1038653026928"/>
        <n v="32.2892464203365"/>
        <n v="32.5616607433232"/>
        <n v="32.7714166216033"/>
        <n v="32.9344852173159"/>
        <n v="32.9830880293111"/>
        <n v="33.1088177168434"/>
        <n v="33.1282911627188"/>
        <n v="33.2463832720522"/>
        <n v="33.3416504715329"/>
        <n v="33.4301269183149"/>
        <n v="33.4445684943326"/>
        <n v="33.4976484171748"/>
        <n v="33.5325733303783"/>
        <n v="33.5442149681127"/>
        <n v="33.6070798118789"/>
        <n v="33.7654060850677"/>
        <n v="33.7809038967869"/>
        <n v="33.8358510041438"/>
        <n v="33.8375232664093"/>
        <n v="33.8434832000537"/>
        <n v="33.9982388397572"/>
        <n v="34.0191937876793"/>
        <n v="34.0354920805075"/>
        <n v="34.047133718242"/>
        <n v="34.1027403135876"/>
        <n v="34.2438072595945"/>
        <n v="34.4545910389486"/>
        <n v="34.597941509243"/>
        <n v="34.7013937589194"/>
        <n v="34.8154818087173"/>
        <n v="34.8504067219207"/>
        <n v="34.8527350494676"/>
        <n v="34.9374833624183"/>
        <n v="34.9924347022813"/>
        <n v="35.108851079626"/>
        <n v="35.1135077347198"/>
        <n v="35.3711887699435"/>
        <n v="35.4459143455575"/>
        <n v="35.4801214295276"/>
        <n v="35.5000101075043"/>
        <n v="35.5046667625981"/>
        <n v="35.5139800727857"/>
        <n v="35.7002462765373"/>
        <n v="35.8788782867619"/>
        <n v="36.0128990466364"/>
        <n v="36.0494954085715"/>
        <n v="36.2646467392404"/>
        <n v="36.3242380591051"/>
        <n v="36.4270936427489"/>
        <n v="36.4453110915436"/>
        <n v="36.4597389847612"/>
        <n v="36.6478755881235"/>
        <n v="36.6688305360455"/>
        <n v="36.8174900886382"/>
        <n v="36.8667383775316"/>
        <n v="36.9621998069542"/>
        <n v="37.0693028741114"/>
        <n v="37.240896475174"/>
        <n v="37.5386420596176"/>
        <n v="37.5609730292383"/>
        <n v="37.6118031925379"/>
        <n v="37.6397431231006"/>
        <n v="37.6769963638509"/>
        <n v="37.6816804670846"/>
        <n v="37.7468461902578"/>
        <n v="37.8586059125087"/>
        <n v="38.0370036553241"/>
        <n v="38.0450648016937"/>
        <n v="38.2707198883091"/>
        <n v="38.3889514470593"/>
        <n v="38.4186926797632"/>
        <n v="38.4523294369669"/>
        <n v="38.4611968984751"/>
        <n v="38.7317287425943"/>
        <n v="38.8432708144823"/>
        <n v="39.4022870760999"/>
        <n v="39.535001746273"/>
        <n v="39.7115412694968"/>
        <n v="39.9061059267916"/>
        <n v="39.9132041920416"/>
        <n v="40.1962467695911"/>
        <n v="40.2172017175131"/>
        <n v="40.3545730427799"/>
        <n v="40.3713044599356"/>
        <n v="40.4383928344681"/>
        <n v="40.4872877129529"/>
        <n v="40.5096689813798"/>
        <n v="40.5408392465315"/>
        <n v="40.5501525567191"/>
        <n v="40.7410754155644"/>
        <n v="41.0015984455486"/>
        <n v="41.0856678925048"/>
        <n v="41.1555177189117"/>
        <n v="41.4488869898204"/>
        <n v="41.4498771517822"/>
        <n v="41.5396917641493"/>
        <n v="41.5862583150872"/>
        <n v="41.5932432977279"/>
        <n v="42.0365435610688"/>
        <n v="42.5036193685638"/>
        <n v="42.519917661392"/>
        <n v="42.5548425745955"/>
        <n v="42.5916822153641"/>
        <n v="42.6195696044934"/>
        <n v="42.8435551904104"/>
        <n v="42.9353619746741"/>
        <n v="42.9509612876507"/>
        <n v="42.9532417756075"/>
        <n v="43.3651005609148"/>
        <n v="43.4023538016651"/>
        <n v="43.4209804220403"/>
        <n v="43.4442636975092"/>
        <n v="43.5812552732638"/>
        <n v="43.6904531908898"/>
        <n v="43.6949681057197"/>
        <n v="44.245208373641"/>
        <n v="44.2498650287348"/>
        <n v="44.3707472243151"/>
        <n v="44.7918813049227"/>
        <n v="45.064779670148"/>
        <n v="45.15325611693"/>
        <n v="45.4101442228975"/>
        <n v="45.4721372301029"/>
        <n v="45.7048666460203"/>
        <n v="46.0240506194686"/>
        <n v="46.3872697167842"/>
        <n v="46.4516875434479"/>
        <n v="46.7318621937246"/>
        <n v="46.7607168803145"/>
        <n v="47.0857679808526"/>
        <n v="47.1875765311528"/>
        <n v="47.2091693408381"/>
        <n v="47.2428084783457"/>
        <n v="47.5132605432396"/>
        <n v="47.5770450932474"/>
        <n v="47.7214014011549"/>
        <n v="47.80754952039"/>
        <n v="47.9006826222658"/>
        <n v="48.0942795436665"/>
        <n v="48.1055754463925"/>
        <n v="48.3686764591917"/>
        <n v="48.4734511988019"/>
        <n v="48.5130327670991"/>
        <n v="48.5293310599274"/>
        <n v="48.6341057995376"/>
        <n v="48.7062839534914"/>
        <n v="49.2045460485269"/>
        <n v="49.2068743760738"/>
        <n v="49.2797113391995"/>
        <n v="49.3489023564343"/>
        <n v="49.5047829363799"/>
        <n v="49.6764659013058"/>
        <n v="49.6934948333748"/>
        <n v="50.0128643406469"/>
        <n v="50.3710381495211"/>
        <n v="50.4210386321131"/>
        <n v="50.7994504181498"/>
        <n v="51.1277446022619"/>
        <n v="51.2092360664033"/>
        <n v="51.3768756497797"/>
        <n v="52.364086529663"/>
        <n v="52.4106530806009"/>
        <n v="52.4949279088391"/>
        <n v="52.5189352749623"/>
        <n v="52.898382876415"/>
        <n v="52.8996018654488"/>
        <n v="53.0416298458094"/>
        <n v="53.1277779650445"/>
        <n v="53.5655035438608"/>
        <n v="53.6022830326111"/>
        <n v="53.7191731619558"/>
        <n v="53.9659758819266"/>
        <n v="54.6180739084226"/>
        <n v="54.7965894914915"/>
        <n v="55.1697212236712"/>
        <n v="55.4700754772207"/>
        <n v="55.551566941362"/>
        <n v="55.5818351994716"/>
        <n v="55.728519834926"/>
        <n v="55.8239812643487"/>
        <n v="55.9380693141465"/>
        <n v="56.0870822771478"/>
        <n v="56.3059450665559"/>
        <n v="56.6892640893183"/>
        <n v="57.3047975841737"/>
        <n v="57.6028235101762"/>
        <n v="57.7518364731775"/>
        <n v="57.8403129199595"/>
        <n v="57.8868794708974"/>
        <n v="57.8960764104339"/>
        <n v="58.3804849108391"/>
        <n v="58.776865601643"/>
        <n v="59.9660759702744"/>
        <n v="60.0103141936654"/>
        <n v="60.3551463196961"/>
        <n v="60.6739184604295"/>
        <n v="61.4259373421774"/>
        <n v="61.8939311791033"/>
        <n v="61.9963775911667"/>
        <n v="62.5225796167649"/>
        <n v="62.5810451076194"/>
        <n v="62.8555304559708"/>
        <n v="62.9090819895494"/>
        <n v="63.7057307256096"/>
        <n v="64.4030429620112"/>
        <n v="65.0047529079664"/>
        <n v="65.1101336134024"/>
        <n v="65.6215835816818"/>
        <n v="65.9964443167318"/>
        <n v="66.878880457005"/>
        <n v="67.5421735407694"/>
        <n v="68.4342032583307"/>
        <n v="68.565589032873"/>
        <n v="68.8706213800201"/>
        <n v="69.2840428129472"/>
        <n v="70.1055856781337"/>
        <n v="70.5669348840979"/>
        <n v="71.6589369107799"/>
        <n v="71.9834718826921"/>
        <n v="72.4524440086098"/>
        <n v="73.3715361151933"/>
        <n v="73.4891893658323"/>
        <n v="73.9913156100574"/>
        <n v="74.6228978779769"/>
        <n v="75.461095794859"/>
        <n v="75.6409876323644"/>
        <n v="76.1778509312819"/>
        <n v="77.8802281160827"/>
        <n v="78.5608653344207"/>
        <n v="78.8604540133254"/>
        <n v="79.3331104389308"/>
        <n v="79.9212815557498"/>
        <n v="80.350583643338"/>
        <n v="81.0514102349533"/>
        <n v="81.4611958832068"/>
        <n v="83.1678599750807"/>
        <n v="83.7895234301016"/>
        <n v="84.0130428746035"/>
        <n v="86.8451731002171"/>
        <n v="87.1848893179512"/>
        <n v="87.2504485880402"/>
        <n v="87.3382224680545"/>
        <n v="87.4985492123049"/>
        <n v="87.5614871159748"/>
        <n v="90.3172294126629"/>
        <n v="91.0888302896166"/>
        <n v="92.0511099423721"/>
        <n v="92.9514923271324"/>
        <n v="95.3465855452864"/>
        <n v="96.3694771659739"/>
        <n v="99.9490121084711"/>
        <n v="100.473409820015"/>
        <n v="104.546176024257"/>
        <n v="105.315034821464"/>
        <n v="126.425737585507"/>
        <n v="141.239197880683"/>
        <n v="151.015807812144"/>
        <n v="153.511404239444"/>
        <n v="158.653695275185"/>
        <n v="188.751483988263"/>
        <n v="199.486872739858"/>
        <n v="224.429233439781"/>
        <n v="294.860623496371"/>
        <n v="295.124399875891"/>
        <n v="340.994944388427"/>
        <n v="398.203323914791"/>
        <n v="412.019968730135"/>
      </sharedItems>
    </cacheField>
    <cacheField name="REATERRO" numFmtId="0">
      <sharedItems containsSemiMixedTypes="0" containsString="0" containsNumber="1" minValue="0" maxValue="678.2292" count="1393">
        <n v="0"/>
        <n v="0.34515"/>
        <n v="0.351"/>
        <n v="0.3861"/>
        <n v="0.39195"/>
        <n v="0.41535"/>
        <n v="0.42705"/>
        <n v="0.45045"/>
        <n v="0.46215"/>
        <n v="0.5616"/>
        <n v="0.6075"/>
        <n v="0.66105"/>
        <n v="0.6615"/>
        <n v="0.7137"/>
        <n v="0.76635"/>
        <n v="0.7695"/>
        <n v="0.7803"/>
        <n v="0.819"/>
        <n v="0.93825"/>
        <n v="1.0125"/>
        <n v="1.05975"/>
        <n v="1.0647"/>
        <n v="1.0872"/>
        <n v="1.0881"/>
        <n v="1.1088"/>
        <n v="1.12905"/>
        <n v="1.1466"/>
        <n v="1.16415"/>
        <n v="1.242"/>
        <n v="1.30275"/>
        <n v="1.3095"/>
        <n v="1.3365"/>
        <n v="1.35"/>
        <n v="1.38375"/>
        <n v="1.3932"/>
        <n v="1.44495"/>
        <n v="1.48005"/>
        <n v="1.53"/>
        <n v="1.55295"/>
        <n v="1.5678"/>
        <n v="1.5795"/>
        <n v="1.58355"/>
        <n v="1.62045"/>
        <n v="1.6335"/>
        <n v="1.6875"/>
        <n v="1.69425"/>
        <n v="1.7082"/>
        <n v="1.85445"/>
        <n v="1.8765"/>
        <n v="1.8819"/>
        <n v="1.8837"/>
        <n v="1.8864"/>
        <n v="1.89"/>
        <n v="1.9071"/>
        <n v="1.93635"/>
        <n v="1.9944"/>
        <n v="2.00475"/>
        <n v="2.01825"/>
        <n v="2.0385"/>
        <n v="2.052"/>
        <n v="2.07225"/>
        <n v="2.0943"/>
        <n v="2.09925"/>
        <n v="2.10015"/>
        <n v="2.1573"/>
        <n v="2.1789"/>
        <n v="2.2032"/>
        <n v="2.20545"/>
        <n v="2.2104"/>
        <n v="2.22885"/>
        <n v="2.23425"/>
        <n v="2.2815"/>
        <n v="2.3355"/>
        <n v="2.34225"/>
        <n v="2.36925"/>
        <n v="2.45025"/>
        <n v="2.457"/>
        <n v="2.53215"/>
        <n v="2.54475"/>
        <n v="2.5506"/>
        <n v="2.57175"/>
        <n v="2.592"/>
        <n v="2.5974"/>
        <n v="2.6064"/>
        <n v="2.6325"/>
        <n v="2.646"/>
        <n v="2.7432"/>
        <n v="2.7612"/>
        <n v="2.8548"/>
        <n v="2.8872"/>
        <n v="2.916"/>
        <n v="2.943"/>
        <n v="2.9448"/>
        <n v="2.97675"/>
        <n v="2.97765"/>
        <n v="2.9952"/>
        <n v="3.00375"/>
        <n v="3.01725"/>
        <n v="3.04425"/>
        <n v="3.0654"/>
        <n v="3.07125"/>
        <n v="3.0915"/>
        <n v="3.12975"/>
        <n v="3.1725"/>
        <n v="3.2436"/>
        <n v="3.2526"/>
        <n v="3.294"/>
        <n v="3.31695"/>
        <n v="3.34035"/>
        <n v="3.3813"/>
        <n v="3.38715"/>
        <n v="3.40425"/>
        <n v="3.429"/>
        <n v="3.456"/>
        <n v="3.4749"/>
        <n v="3.483"/>
        <n v="3.48975"/>
        <n v="3.51"/>
        <n v="3.528"/>
        <n v="3.5919"/>
        <n v="3.6387"/>
        <n v="3.70575"/>
        <n v="3.7332"/>
        <n v="3.7368"/>
        <n v="3.7791"/>
        <n v="3.78"/>
        <n v="3.8448"/>
        <n v="3.85425"/>
        <n v="3.93705"/>
        <n v="3.98385"/>
        <n v="3.996"/>
        <n v="4.0104"/>
        <n v="4.0284"/>
        <n v="4.04325"/>
        <n v="4.077"/>
        <n v="4.08375"/>
        <n v="4.1067"/>
        <n v="4.185"/>
        <n v="4.2687"/>
        <n v="4.428"/>
        <n v="4.47525"/>
        <n v="4.4955"/>
        <n v="4.5765"/>
        <n v="4.61025"/>
        <n v="4.6152"/>
        <n v="4.62735"/>
        <n v="4.66245"/>
        <n v="4.698"/>
        <n v="4.7034"/>
        <n v="4.7385"/>
        <n v="4.83795"/>
        <n v="4.8906"/>
        <n v="4.9005"/>
        <n v="4.9023"/>
        <n v="4.99005"/>
        <n v="5.13675"/>
        <n v="5.1408"/>
        <n v="5.1561"/>
        <n v="5.20065"/>
        <n v="5.28255"/>
        <n v="5.29875"/>
        <n v="5.37975"/>
        <n v="5.44725"/>
        <n v="5.5485"/>
        <n v="5.6025"/>
        <n v="5.7915"/>
        <n v="5.93325"/>
        <n v="6.10875"/>
        <n v="6.19515"/>
        <n v="6.1992"/>
        <n v="6.25365"/>
        <n v="6.39405"/>
        <n v="6.44085"/>
        <n v="6.5286"/>
        <n v="6.552"/>
        <n v="6.579"/>
        <n v="6.786"/>
        <n v="6.7968"/>
        <n v="6.8679"/>
        <n v="6.993"/>
        <n v="7.0065"/>
        <n v="7.04025"/>
        <n v="7.0434"/>
        <n v="7.0551"/>
        <n v="7.182"/>
        <n v="7.23645"/>
        <n v="7.29495"/>
        <n v="7.3008"/>
        <n v="7.3305"/>
        <n v="7.3791"/>
        <n v="7.44705"/>
        <n v="7.4763"/>
        <n v="7.5348"/>
        <n v="7.587"/>
        <n v="7.59375"/>
        <n v="7.6986"/>
        <n v="7.8048"/>
        <n v="7.8273"/>
        <n v="7.8435"/>
        <n v="7.94475"/>
        <n v="8.11395"/>
        <n v="8.181"/>
        <n v="8.2152"/>
        <n v="8.3421"/>
        <n v="8.41815"/>
        <n v="8.424"/>
        <n v="8.45775"/>
        <n v="8.47665"/>
        <n v="8.4942"/>
        <n v="8.50005"/>
        <n v="8.52345"/>
        <n v="8.5644"/>
        <n v="8.60535"/>
        <n v="8.6346"/>
        <n v="8.6697"/>
        <n v="8.6805"/>
        <n v="8.68725"/>
        <n v="8.9037"/>
        <n v="8.91675"/>
        <n v="8.92125"/>
        <n v="8.9271"/>
        <n v="8.9973"/>
        <n v="9.126"/>
        <n v="9.21375"/>
        <n v="9.396"/>
        <n v="9.72855"/>
        <n v="9.7605"/>
        <n v="9.7695"/>
        <n v="9.8046"/>
        <n v="9.9684"/>
        <n v="10.062"/>
        <n v="10.11465"/>
        <n v="10.2492"/>
        <n v="10.26"/>
        <n v="10.33695"/>
        <n v="10.62945"/>
        <n v="10.665"/>
        <n v="10.7856"/>
        <n v="10.7865"/>
        <n v="10.8"/>
        <n v="10.8693"/>
        <n v="10.87515"/>
        <n v="10.9629"/>
        <n v="11.0214"/>
        <n v="11.02725"/>
        <n v="11.09745"/>
        <n v="11.15775"/>
        <n v="11.2455"/>
        <n v="11.26575"/>
        <n v="11.3607"/>
        <n v="11.50875"/>
        <n v="11.51865"/>
        <n v="11.60055"/>
        <n v="11.65905"/>
        <n v="11.78775"/>
        <n v="11.85975"/>
        <n v="11.9106"/>
        <n v="12.0024"/>
        <n v="12.1365"/>
        <n v="12.22065"/>
        <n v="12.285"/>
        <n v="12.2985"/>
        <n v="12.32595"/>
        <n v="12.3318"/>
        <n v="12.339"/>
        <n v="12.4254"/>
        <n v="12.53655"/>
        <n v="12.60675"/>
        <n v="12.64185"/>
        <n v="12.66975"/>
        <n v="12.6711"/>
        <n v="12.7845"/>
        <n v="12.82905"/>
        <n v="12.8817"/>
        <n v="12.8934"/>
        <n v="12.91095"/>
        <n v="13.04775"/>
        <n v="13.06305"/>
        <n v="13.3029"/>
        <n v="13.35825"/>
        <n v="13.43745"/>
        <n v="13.48425"/>
        <n v="13.5603"/>
        <n v="13.6539"/>
        <n v="13.6656"/>
        <n v="13.67145"/>
        <n v="13.689"/>
        <n v="13.8375"/>
        <n v="13.91715"/>
        <n v="13.9581"/>
        <n v="14.1804"/>
        <n v="14.23575"/>
        <n v="14.2506"/>
        <n v="14.2965"/>
        <n v="14.32665"/>
        <n v="14.45175"/>
        <n v="14.4729"/>
        <n v="14.65425"/>
        <n v="14.71275"/>
        <n v="14.75955"/>
        <n v="14.78295"/>
        <n v="14.8122"/>
        <n v="14.8257"/>
        <n v="14.985"/>
        <n v="15.1047"/>
        <n v="15.27435"/>
        <n v="15.3153"/>
        <n v="15.35625"/>
        <n v="15.5259"/>
        <n v="15.64875"/>
        <n v="15.75405"/>
        <n v="15.86925"/>
        <n v="15.90615"/>
        <n v="15.9552"/>
        <n v="16.0173"/>
        <n v="16.04655"/>
        <n v="16.08165"/>
        <n v="16.15275"/>
        <n v="16.1928"/>
        <n v="16.24545"/>
        <n v="16.2513"/>
        <n v="16.4565"/>
        <n v="16.5024"/>
        <n v="16.53795"/>
        <n v="16.6257"/>
        <n v="16.632"/>
        <n v="16.70625"/>
        <n v="16.73685"/>
        <n v="16.767"/>
        <n v="16.7895"/>
        <n v="16.875"/>
        <n v="16.93575"/>
        <n v="16.97625"/>
        <n v="17.1171"/>
        <n v="17.14635"/>
        <n v="17.26335"/>
        <n v="17.27325"/>
        <n v="17.3394"/>
        <n v="17.35425"/>
        <n v="17.47575"/>
        <n v="17.5185"/>
        <n v="17.53245"/>
        <n v="17.577"/>
        <n v="17.61435"/>
        <n v="17.65125"/>
        <n v="17.676"/>
        <n v="17.70525"/>
        <n v="17.7525"/>
        <n v="17.8074"/>
        <n v="17.8128"/>
        <n v="17.9145"/>
        <n v="18.01215"/>
        <n v="18.0765"/>
        <n v="18.20475"/>
        <n v="18.22275"/>
        <n v="18.252"/>
        <n v="18.288"/>
        <n v="18.4158"/>
        <n v="18.4464"/>
        <n v="18.495"/>
        <n v="18.5796"/>
        <n v="18.684"/>
        <n v="18.6849"/>
        <n v="18.8721"/>
        <n v="18.9657"/>
        <n v="19.0125"/>
        <n v="19.01835"/>
        <n v="19.05525"/>
        <n v="19.0593"/>
        <n v="19.0827"/>
        <n v="19.089"/>
        <n v="19.14705"/>
        <n v="19.17045"/>
        <n v="19.19385"/>
        <n v="19.28475"/>
        <n v="19.359"/>
        <n v="19.45125"/>
        <n v="19.6092"/>
        <n v="19.6209"/>
        <n v="19.63575"/>
        <n v="19.68525"/>
        <n v="19.764"/>
        <n v="19.8783"/>
        <n v="19.9953"/>
        <n v="20.02725"/>
        <n v="20.1123"/>
        <n v="20.2527"/>
        <n v="20.32875"/>
        <n v="20.35215"/>
        <n v="20.39175"/>
        <n v="20.4165"/>
        <n v="20.43225"/>
        <n v="20.4768"/>
        <n v="20.62125"/>
        <n v="20.67975"/>
        <n v="20.7576"/>
        <n v="20.79"/>
        <n v="21.08925"/>
        <n v="21.14775"/>
        <n v="21.1887"/>
        <n v="21.2355"/>
        <n v="21.276"/>
        <n v="21.4227"/>
        <n v="21.4344"/>
        <n v="21.59325"/>
        <n v="21.5982"/>
        <n v="21.6099"/>
        <n v="21.65085"/>
        <n v="21.66255"/>
        <n v="21.7485"/>
        <n v="21.87"/>
        <n v="21.879"/>
        <n v="21.9492"/>
        <n v="21.98475"/>
        <n v="22.04865"/>
        <n v="22.0725"/>
        <n v="22.10715"/>
        <n v="22.15395"/>
        <n v="22.1832"/>
        <n v="22.18905"/>
        <n v="22.3965"/>
        <n v="22.3992"/>
        <n v="22.4289"/>
        <n v="22.45815"/>
        <n v="22.50495"/>
        <n v="22.5108"/>
        <n v="22.51665"/>
        <n v="22.53825"/>
        <n v="22.68"/>
        <n v="22.698"/>
        <n v="22.72725"/>
        <n v="22.8735"/>
        <n v="22.923"/>
        <n v="22.9554"/>
        <n v="22.98465"/>
        <n v="23.0724"/>
        <n v="23.085"/>
        <n v="23.1309"/>
        <n v="23.1894"/>
        <n v="23.193"/>
        <n v="23.21865"/>
        <n v="23.4216"/>
        <n v="23.5305"/>
        <n v="23.55075"/>
        <n v="23.5989"/>
        <n v="23.634"/>
        <n v="23.64525"/>
        <n v="23.76855"/>
        <n v="23.82705"/>
        <n v="24.00975"/>
        <n v="24.15465"/>
        <n v="24.25275"/>
        <n v="24.2541"/>
        <n v="24.32025"/>
        <n v="24.3243"/>
        <n v="24.35355"/>
        <n v="24.41475"/>
        <n v="24.43545"/>
        <n v="24.5115"/>
        <n v="24.54075"/>
        <n v="24.57585"/>
        <n v="24.5934"/>
        <n v="24.5952"/>
        <n v="24.62265"/>
        <n v="24.69825"/>
        <n v="24.7536"/>
        <n v="24.7572"/>
        <n v="24.77925"/>
        <n v="24.804"/>
        <n v="24.82155"/>
        <n v="24.84495"/>
        <n v="24.894"/>
        <n v="24.921"/>
        <n v="24.9768"/>
        <n v="25.02045"/>
        <n v="25.029"/>
        <n v="25.0992"/>
        <n v="25.1433"/>
        <n v="25.1505"/>
        <n v="25.23825"/>
        <n v="25.31295"/>
        <n v="25.3656"/>
        <n v="25.45335"/>
        <n v="25.45425"/>
        <n v="25.5528"/>
        <n v="25.57035"/>
        <n v="25.623"/>
        <n v="25.6635"/>
        <n v="25.6815"/>
        <n v="25.6896"/>
        <n v="25.69905"/>
        <n v="25.79175"/>
        <n v="25.7985"/>
        <n v="25.8219"/>
        <n v="25.83225"/>
        <n v="25.8336"/>
        <n v="25.85115"/>
        <n v="25.8795"/>
        <n v="25.9389"/>
        <n v="25.95375"/>
        <n v="25.95645"/>
        <n v="25.9623"/>
        <n v="26.00325"/>
        <n v="26.0145"/>
        <n v="26.0442"/>
        <n v="26.055"/>
        <n v="26.1027"/>
        <n v="26.11575"/>
        <n v="26.12025"/>
        <n v="26.14365"/>
        <n v="26.1963"/>
        <n v="26.217"/>
        <n v="26.23725"/>
        <n v="26.2665"/>
        <n v="26.2899"/>
        <n v="26.325"/>
        <n v="26.34255"/>
        <n v="26.36595"/>
        <n v="26.4771"/>
        <n v="26.5239"/>
        <n v="26.56485"/>
        <n v="26.6175"/>
        <n v="26.6625"/>
        <n v="26.68185"/>
        <n v="26.7345"/>
        <n v="26.811"/>
        <n v="26.892"/>
        <n v="26.9217"/>
        <n v="26.92575"/>
        <n v="26.93925"/>
        <n v="26.95095"/>
        <n v="27.22275"/>
        <n v="27.2259"/>
        <n v="27.243"/>
        <n v="27.252"/>
        <n v="27.297"/>
        <n v="27.30195"/>
        <n v="27.31365"/>
        <n v="27.3195"/>
        <n v="27.3546"/>
        <n v="27.3897"/>
        <n v="27.41175"/>
        <n v="27.4131"/>
        <n v="27.41895"/>
        <n v="27.4365"/>
        <n v="27.45225"/>
        <n v="27.486"/>
        <n v="27.50625"/>
        <n v="27.5265"/>
        <n v="27.5301"/>
        <n v="27.53595"/>
        <n v="27.57105"/>
        <n v="27.6237"/>
        <n v="27.6705"/>
        <n v="27.6939"/>
        <n v="27.71145"/>
        <n v="27.8226"/>
        <n v="27.87525"/>
        <n v="27.891"/>
        <n v="27.9162"/>
        <n v="27.93375"/>
        <n v="27.95175"/>
        <n v="27.99225"/>
        <n v="28.0125"/>
        <n v="28.0449"/>
        <n v="28.04625"/>
        <n v="28.07415"/>
        <n v="28.08"/>
        <n v="28.08585"/>
        <n v="28.10925"/>
        <n v="28.12725"/>
        <n v="28.16775"/>
        <n v="28.17945"/>
        <n v="28.197"/>
        <n v="28.314"/>
        <n v="28.3374"/>
        <n v="28.35495"/>
        <n v="28.3725"/>
        <n v="28.39005"/>
        <n v="28.4193"/>
        <n v="28.43685"/>
        <n v="28.48365"/>
        <n v="28.5363"/>
        <n v="28.5831"/>
        <n v="28.58895"/>
        <n v="28.5948"/>
        <n v="28.61325"/>
        <n v="28.6299"/>
        <n v="28.665"/>
        <n v="28.6767"/>
        <n v="28.68255"/>
        <n v="28.70775"/>
        <n v="28.728"/>
        <n v="28.7415"/>
        <n v="28.8072"/>
        <n v="28.8756"/>
        <n v="28.88325"/>
        <n v="28.8873"/>
        <n v="28.9575"/>
        <n v="28.97505"/>
        <n v="28.98"/>
        <n v="29.00475"/>
        <n v="29.0277"/>
        <n v="29.052"/>
        <n v="29.08035"/>
        <n v="29.08575"/>
        <n v="29.11545"/>
        <n v="29.1564"/>
        <n v="29.2032"/>
        <n v="29.33775"/>
        <n v="29.34225"/>
        <n v="29.349"/>
        <n v="29.38275"/>
        <n v="29.43675"/>
        <n v="29.46645"/>
        <n v="29.484"/>
        <n v="29.4975"/>
        <n v="29.53125"/>
        <n v="29.5425"/>
        <n v="29.5542"/>
        <n v="29.565"/>
        <n v="29.5659"/>
        <n v="29.58345"/>
        <n v="29.63025"/>
        <n v="29.6478"/>
        <n v="29.6496"/>
        <n v="29.76075"/>
        <n v="29.7675"/>
        <n v="29.8233"/>
        <n v="29.85255"/>
        <n v="29.9169"/>
        <n v="29.9565"/>
        <n v="29.9952"/>
        <n v="30.0222"/>
        <n v="30.024"/>
        <n v="30.0339"/>
        <n v="30.14505"/>
        <n v="30.24"/>
        <n v="30.25035"/>
        <n v="30.2679"/>
        <n v="30.2805"/>
        <n v="30.3381"/>
        <n v="30.3615"/>
        <n v="30.51945"/>
        <n v="30.6045"/>
        <n v="30.618"/>
        <n v="30.64815"/>
        <n v="30.654"/>
        <n v="30.672"/>
        <n v="30.73275"/>
        <n v="30.744"/>
        <n v="30.7593"/>
        <n v="30.807"/>
        <n v="30.8178"/>
        <n v="30.82365"/>
        <n v="30.861"/>
        <n v="30.9285"/>
        <n v="30.98925"/>
        <n v="31.0095"/>
        <n v="31.05"/>
        <n v="31.0752"/>
        <n v="31.077"/>
        <n v="31.1364"/>
        <n v="31.16475"/>
        <n v="31.185"/>
        <n v="31.19175"/>
        <n v="31.22145"/>
        <n v="31.23315"/>
        <n v="31.284"/>
        <n v="31.3065"/>
        <n v="31.36725"/>
        <n v="31.40865"/>
        <n v="31.428"/>
        <n v="31.49055"/>
        <n v="31.5081"/>
        <n v="31.52565"/>
        <n v="31.5315"/>
        <n v="31.5666"/>
        <n v="31.5765"/>
        <n v="31.58415"/>
        <n v="31.62375"/>
        <n v="31.6602"/>
        <n v="31.698"/>
        <n v="31.7115"/>
        <n v="31.779"/>
        <n v="31.8006"/>
        <n v="31.8456"/>
        <n v="31.92075"/>
        <n v="31.968"/>
        <n v="31.9968"/>
        <n v="32.02875"/>
        <n v="32.0355"/>
        <n v="32.0625"/>
        <n v="32.076"/>
        <n v="32.09625"/>
        <n v="32.13405"/>
        <n v="32.16915"/>
        <n v="32.18085"/>
        <n v="32.2686"/>
        <n v="32.28525"/>
        <n v="32.4135"/>
        <n v="32.4558"/>
        <n v="32.5008"/>
        <n v="32.616"/>
        <n v="32.6295"/>
        <n v="32.7105"/>
        <n v="32.7249"/>
        <n v="32.751"/>
        <n v="32.7645"/>
        <n v="32.85225"/>
        <n v="32.91975"/>
        <n v="32.93325"/>
        <n v="32.94675"/>
        <n v="32.95305"/>
        <n v="32.97375"/>
        <n v="33.021"/>
        <n v="33.0624"/>
        <n v="33.12225"/>
        <n v="33.13575"/>
        <n v="33.17535"/>
        <n v="33.1929"/>
        <n v="33.2046"/>
        <n v="33.2235"/>
        <n v="33.264"/>
        <n v="33.2775"/>
        <n v="33.32745"/>
        <n v="33.3567"/>
        <n v="33.36525"/>
        <n v="33.3792"/>
        <n v="33.4395"/>
        <n v="33.58125"/>
        <n v="33.588"/>
        <n v="33.6555"/>
        <n v="33.6825"/>
        <n v="33.71355"/>
        <n v="33.7194"/>
        <n v="33.723"/>
        <n v="33.72525"/>
        <n v="33.8481"/>
        <n v="33.88905"/>
        <n v="33.97275"/>
        <n v="34.0704"/>
        <n v="34.09965"/>
        <n v="34.164"/>
        <n v="34.1685"/>
        <n v="34.2108"/>
        <n v="34.35705"/>
        <n v="34.36425"/>
        <n v="34.36875"/>
        <n v="34.40475"/>
        <n v="34.4097"/>
        <n v="34.41825"/>
        <n v="34.43895"/>
        <n v="34.6437"/>
        <n v="34.66125"/>
        <n v="34.77825"/>
        <n v="35.01225"/>
        <n v="35.1234"/>
        <n v="35.17605"/>
        <n v="35.208"/>
        <n v="35.217"/>
        <n v="35.2287"/>
        <n v="35.2404"/>
        <n v="35.24625"/>
        <n v="35.29305"/>
        <n v="35.334"/>
        <n v="35.49825"/>
        <n v="35.60625"/>
        <n v="35.64"/>
        <n v="35.676"/>
        <n v="35.72595"/>
        <n v="35.7552"/>
        <n v="35.90145"/>
        <n v="35.97075"/>
        <n v="35.9712"/>
        <n v="35.97165"/>
        <n v="36.0072"/>
        <n v="36.06525"/>
        <n v="36.072"/>
        <n v="36.15975"/>
        <n v="36.1998"/>
        <n v="36.20565"/>
        <n v="36.288"/>
        <n v="36.34605"/>
        <n v="36.40275"/>
        <n v="36.4338"/>
        <n v="36.44325"/>
        <n v="36.6912"/>
        <n v="36.7614"/>
        <n v="36.81405"/>
        <n v="36.82575"/>
        <n v="36.855"/>
        <n v="36.95625"/>
        <n v="37.00125"/>
        <n v="37.08315"/>
        <n v="37.1007"/>
        <n v="37.1358"/>
        <n v="37.15335"/>
        <n v="37.18845"/>
        <n v="37.26"/>
        <n v="37.3113"/>
        <n v="37.31715"/>
        <n v="37.36395"/>
        <n v="37.44"/>
        <n v="38.04255"/>
        <n v="38.07765"/>
        <n v="38.0835"/>
        <n v="38.14785"/>
        <n v="38.18475"/>
        <n v="38.2122"/>
        <n v="38.22975"/>
        <n v="38.26575"/>
        <n v="38.3058"/>
        <n v="38.4345"/>
        <n v="38.502"/>
        <n v="38.60415"/>
        <n v="38.69775"/>
        <n v="38.72475"/>
        <n v="38.8152"/>
        <n v="38.84985"/>
        <n v="38.8674"/>
        <n v="39.312"/>
        <n v="39.38805"/>
        <n v="39.4992"/>
        <n v="39.555"/>
        <n v="39.6396"/>
        <n v="39.663"/>
        <n v="39.69675"/>
        <n v="39.89115"/>
        <n v="39.97305"/>
        <n v="39.9906"/>
        <n v="40.14855"/>
        <n v="40.3515"/>
        <n v="40.4235"/>
        <n v="40.46625"/>
        <n v="40.56075"/>
        <n v="40.6512"/>
        <n v="40.69575"/>
        <n v="40.79205"/>
        <n v="40.797"/>
        <n v="40.91175"/>
        <n v="41.13135"/>
        <n v="41.1957"/>
        <n v="41.2542"/>
        <n v="41.26005"/>
        <n v="41.27625"/>
        <n v="41.28345"/>
        <n v="41.34195"/>
        <n v="41.3496"/>
        <n v="41.35365"/>
        <n v="41.46525"/>
        <n v="41.652"/>
        <n v="41.6988"/>
        <n v="41.77485"/>
        <n v="41.79825"/>
        <n v="41.9445"/>
        <n v="42.0849"/>
        <n v="42.13755"/>
        <n v="42.16095"/>
        <n v="42.21945"/>
        <n v="42.4944"/>
        <n v="42.68745"/>
        <n v="42.75765"/>
        <n v="42.876"/>
        <n v="42.89625"/>
        <n v="43.01505"/>
        <n v="43.0326"/>
        <n v="43.0794"/>
        <n v="43.1145"/>
        <n v="43.71705"/>
        <n v="43.7814"/>
        <n v="43.8984"/>
        <n v="43.91595"/>
        <n v="44.00955"/>
        <n v="44.45415"/>
        <n v="44.46"/>
        <n v="44.48925"/>
        <n v="44.4951"/>
        <n v="44.5905"/>
        <n v="44.6355"/>
        <n v="44.7255"/>
        <n v="44.78175"/>
        <n v="45.15615"/>
        <n v="45.3312"/>
        <n v="45.40185"/>
        <n v="45.4032"/>
        <n v="45.5013"/>
        <n v="45.864"/>
        <n v="45.86985"/>
        <n v="45.89325"/>
        <n v="45.981"/>
        <n v="46.0215"/>
        <n v="46.15065"/>
        <n v="46.215"/>
        <n v="46.25595"/>
        <n v="46.27125"/>
        <n v="46.30275"/>
        <n v="46.449"/>
        <n v="46.50165"/>
        <n v="46.5075"/>
        <n v="46.6416"/>
        <n v="46.65375"/>
        <n v="46.6596"/>
        <n v="46.88775"/>
        <n v="46.9521"/>
        <n v="46.9872"/>
        <n v="46.9935"/>
        <n v="47.1852"/>
        <n v="47.34405"/>
        <n v="47.3616"/>
        <n v="47.7828"/>
        <n v="48.0987"/>
        <n v="48.1806"/>
        <n v="48.2508"/>
        <n v="48.59325"/>
        <n v="48.6252"/>
        <n v="48.7485"/>
        <n v="48.8376"/>
        <n v="48.9915"/>
        <n v="49.0104"/>
        <n v="49.0581"/>
        <n v="49.18725"/>
        <n v="49.2615"/>
        <n v="49.26285"/>
        <n v="49.28625"/>
        <n v="49.5144"/>
        <n v="49.6431"/>
        <n v="49.85955"/>
        <n v="49.9122"/>
        <n v="49.94145"/>
        <n v="49.95315"/>
        <n v="50.08185"/>
        <n v="50.1525"/>
        <n v="50.43285"/>
        <n v="50.4504"/>
        <n v="50.4864"/>
        <n v="50.58495"/>
        <n v="50.778"/>
        <n v="50.96925"/>
        <n v="51.03675"/>
        <n v="51.11775"/>
        <n v="51.16995"/>
        <n v="51.4215"/>
        <n v="51.435"/>
        <n v="51.6375"/>
        <n v="51.714"/>
        <n v="51.8895"/>
        <n v="51.9831"/>
        <n v="52.19775"/>
        <n v="52.4394"/>
        <n v="52.5915"/>
        <n v="52.6383"/>
        <n v="52.79625"/>
        <n v="53.2305"/>
        <n v="53.3286"/>
        <n v="53.3385"/>
        <n v="53.46"/>
        <n v="53.47485"/>
        <n v="53.4924"/>
        <n v="53.5041"/>
        <n v="53.5275"/>
        <n v="53.568"/>
        <n v="53.6094"/>
        <n v="53.622"/>
        <n v="53.93115"/>
        <n v="54.10125"/>
        <n v="54.171"/>
        <n v="54.2025"/>
        <n v="54.41085"/>
        <n v="54.4248"/>
        <n v="54.44595"/>
        <n v="54.49275"/>
        <n v="54.5688"/>
        <n v="54.57465"/>
        <n v="54.63315"/>
        <n v="54.7443"/>
        <n v="54.77355"/>
        <n v="54.7794"/>
        <n v="54.81"/>
        <n v="54.8145"/>
        <n v="54.95175"/>
        <n v="55.07325"/>
        <n v="55.11285"/>
        <n v="55.1538"/>
        <n v="55.39365"/>
        <n v="55.6101"/>
        <n v="55.7145"/>
        <n v="55.95525"/>
        <n v="56.03715"/>
        <n v="56.54025"/>
        <n v="56.6055"/>
        <n v="56.6631"/>
        <n v="56.77425"/>
        <n v="57.2481"/>
        <n v="57.4119"/>
        <n v="57.47625"/>
        <n v="57.64005"/>
        <n v="57.6459"/>
        <n v="57.852"/>
        <n v="57.86235"/>
        <n v="58.10805"/>
        <n v="58.1841"/>
        <n v="58.2894"/>
        <n v="58.62285"/>
        <n v="58.7691"/>
        <n v="58.94775"/>
        <n v="59.09085"/>
        <n v="59.41845"/>
        <n v="59.59575"/>
        <n v="59.6835"/>
        <n v="59.8338"/>
        <n v="59.904"/>
        <n v="59.9508"/>
        <n v="60.1029"/>
        <n v="60.138"/>
        <n v="60.20235"/>
        <n v="60.2316"/>
        <n v="60.264"/>
        <n v="60.27255"/>
        <n v="60.35445"/>
        <n v="60.64695"/>
        <n v="60.68205"/>
        <n v="60.74325"/>
        <n v="60.7815"/>
        <n v="60.81075"/>
        <n v="60.83415"/>
        <n v="60.90525"/>
        <n v="61.16175"/>
        <n v="61.2765"/>
        <n v="61.2846"/>
        <n v="61.35075"/>
        <n v="61.46595"/>
        <n v="61.73505"/>
        <n v="61.86375"/>
        <n v="61.94475"/>
        <n v="62.06265"/>
        <n v="62.1738"/>
        <n v="62.2557"/>
        <n v="62.3025"/>
        <n v="62.47215"/>
        <n v="62.7237"/>
        <n v="63.0396"/>
        <n v="63.43155"/>
        <n v="63.504"/>
        <n v="63.8937"/>
        <n v="63.99"/>
        <n v="64.0575"/>
        <n v="64.1628"/>
        <n v="64.25325"/>
        <n v="64.28565"/>
        <n v="64.44945"/>
        <n v="64.95255"/>
        <n v="65.18655"/>
        <n v="65.28015"/>
        <n v="65.286"/>
        <n v="65.4264"/>
        <n v="65.7045"/>
        <n v="65.84175"/>
        <n v="65.88855"/>
        <n v="66.123"/>
        <n v="66.34575"/>
        <n v="66.3975"/>
        <n v="66.4677"/>
        <n v="66.69"/>
        <n v="66.8385"/>
        <n v="67.12875"/>
        <n v="67.16385"/>
        <n v="67.1832"/>
        <n v="67.2399"/>
        <n v="67.3335"/>
        <n v="67.63185"/>
        <n v="67.80375"/>
        <n v="68.37075"/>
        <n v="68.42475"/>
        <n v="68.6907"/>
        <n v="68.75505"/>
        <n v="68.9949"/>
        <n v="69.01245"/>
        <n v="69.07275"/>
        <n v="69.23475"/>
        <n v="69.3459"/>
        <n v="69.4845"/>
        <n v="69.73425"/>
        <n v="69.7554"/>
        <n v="69.83145"/>
        <n v="70.362"/>
        <n v="70.74405"/>
        <n v="70.821"/>
        <n v="71.13015"/>
        <n v="71.145"/>
        <n v="71.25885"/>
        <n v="71.6274"/>
        <n v="71.76195"/>
        <n v="71.88075"/>
        <n v="72.1305"/>
        <n v="72.26505"/>
        <n v="72.28845"/>
        <n v="72.306"/>
        <n v="72.37035"/>
        <n v="72.60615"/>
        <n v="72.6912"/>
        <n v="72.7155"/>
        <n v="72.828"/>
        <n v="72.846"/>
        <n v="72.9261"/>
        <n v="73.1718"/>
        <n v="73.48725"/>
        <n v="73.6425"/>
        <n v="73.68075"/>
        <n v="73.8855"/>
        <n v="74.80395"/>
        <n v="74.9151"/>
        <n v="75.03975"/>
        <n v="75.3012"/>
        <n v="75.3435"/>
        <n v="75.564"/>
        <n v="75.681"/>
        <n v="76.24305"/>
        <n v="76.47705"/>
        <n v="76.518"/>
        <n v="76.57065"/>
        <n v="76.64625"/>
        <n v="76.6467"/>
        <n v="76.65975"/>
        <n v="76.79295"/>
        <n v="77.02695"/>
        <n v="77.0328"/>
        <n v="77.1849"/>
        <n v="77.21415"/>
        <n v="77.247"/>
        <n v="77.30775"/>
        <n v="77.5593"/>
        <n v="77.86935"/>
        <n v="77.91615"/>
        <n v="77.97465"/>
        <n v="78.03675"/>
        <n v="78.10335"/>
        <n v="78.24375"/>
        <n v="78.3432"/>
        <n v="78.4872"/>
        <n v="79.0425"/>
        <n v="79.09785"/>
        <n v="79.1505"/>
        <n v="79.19145"/>
        <n v="79.24995"/>
        <n v="79.3728"/>
        <n v="79.81875"/>
        <n v="79.99875"/>
        <n v="80.25615"/>
        <n v="80.29125"/>
        <n v="80.3556"/>
        <n v="81.1278"/>
        <n v="81.57375"/>
        <n v="81.81225"/>
        <n v="81.9153"/>
        <n v="82.4175"/>
        <n v="82.8711"/>
        <n v="82.92375"/>
        <n v="83.187"/>
        <n v="83.39625"/>
        <n v="83.772"/>
        <n v="83.77425"/>
        <n v="83.8755"/>
        <n v="83.9943"/>
        <n v="84.16395"/>
        <n v="84.2517"/>
        <n v="84.28095"/>
        <n v="84.4389"/>
        <n v="84.63825"/>
        <n v="84.8367"/>
        <n v="85.02975"/>
        <n v="85.185"/>
        <n v="85.3537500000001"/>
        <n v="85.4217"/>
        <n v="85.47435"/>
        <n v="85.5153"/>
        <n v="85.54455"/>
        <n v="86.0085"/>
        <n v="86.5683"/>
        <n v="87.1884"/>
        <n v="87.47505"/>
        <n v="87.5628"/>
        <n v="87.56865"/>
        <n v="87.85125"/>
        <n v="87.91965"/>
        <n v="88.21215"/>
        <n v="88.22385"/>
        <n v="88.5465"/>
        <n v="89.19495"/>
        <n v="89.20665"/>
        <n v="89.23005"/>
        <n v="89.235"/>
        <n v="89.69805"/>
        <n v="90.5445"/>
        <n v="90.57555"/>
        <n v="90.78075"/>
        <n v="91.26585"/>
        <n v="91.57005"/>
        <n v="91.63125"/>
        <n v="91.7595"/>
        <n v="92.079"/>
        <n v="92.13165"/>
        <n v="92.18475"/>
        <n v="92.583"/>
        <n v="92.6289"/>
        <n v="92.86875"/>
        <n v="93.13785"/>
        <n v="94.473"/>
        <n v="94.5009"/>
        <n v="94.5711"/>
        <n v="94.6647"/>
        <n v="94.7016"/>
        <n v="94.8402"/>
        <n v="95.121"/>
        <n v="96.15645"/>
        <n v="96.61275"/>
        <n v="97.254"/>
        <n v="97.2945"/>
        <n v="97.31475"/>
        <n v="98.037"/>
        <n v="98.15175"/>
        <n v="98.99955"/>
        <n v="99.333"/>
        <n v="100.47375"/>
        <n v="100.9944"/>
        <n v="101.04705"/>
        <n v="101.3922"/>
        <n v="101.45925"/>
        <n v="101.6028"/>
        <n v="101.72565"/>
        <n v="101.8602"/>
        <n v="101.8836"/>
        <n v="102.3633"/>
        <n v="103.06575"/>
        <n v="103.2291"/>
        <n v="103.4046"/>
        <n v="103.7664"/>
        <n v="104.1417"/>
        <n v="104.36985"/>
        <n v="104.48685"/>
        <n v="104.5044"/>
        <n v="106.79175"/>
        <n v="106.8327"/>
        <n v="106.92045"/>
        <n v="107.1225"/>
        <n v="107.64585"/>
        <n v="107.81775"/>
        <n v="108.95625"/>
        <n v="109.04985"/>
        <n v="109.09665"/>
        <n v="109.15515"/>
        <n v="109.5795"/>
        <n v="110.3085"/>
        <n v="110.8971"/>
        <n v="111.16755"/>
        <n v="111.17925"/>
        <n v="111.62475"/>
        <n v="112.08375"/>
        <n v="113.22675"/>
        <n v="113.44905"/>
        <n v="113.8455"/>
        <n v="114.21"/>
        <n v="115.63695"/>
        <n v="116.54955"/>
        <n v="116.78175"/>
        <n v="117.18675"/>
        <n v="117.41535"/>
        <n v="118.30455"/>
        <n v="118.6146"/>
        <n v="118.953"/>
        <n v="118.962"/>
        <n v="119.5389"/>
        <n v="119.9016"/>
        <n v="120.11805"/>
        <n v="120.285"/>
        <n v="120.35205"/>
        <n v="120.86685"/>
        <n v="121.5279"/>
        <n v="121.79115"/>
        <n v="121.8906"/>
        <n v="121.93155"/>
        <n v="122.1948"/>
        <n v="122.37615"/>
        <n v="123.62805"/>
        <n v="123.6339"/>
        <n v="123.8355"/>
        <n v="123.99075"/>
        <n v="124.78725"/>
        <n v="124.85475"/>
        <n v="124.85655"/>
        <n v="126.05625"/>
        <n v="126.44775"/>
        <n v="126.5589"/>
        <n v="127.4616"/>
        <n v="127.6353"/>
        <n v="128.46015"/>
        <n v="128.6649"/>
        <n v="128.844"/>
        <n v="129.0861"/>
        <n v="130.0185"/>
        <n v="131.5665"/>
        <n v="131.6835"/>
        <n v="132.912"/>
        <n v="133.137"/>
        <n v="133.26885"/>
        <n v="133.4853"/>
        <n v="134.5851"/>
        <n v="134.9712"/>
        <n v="135.054"/>
        <n v="135.5913"/>
        <n v="138.61575"/>
        <n v="139.3704"/>
        <n v="139.57515"/>
        <n v="139.6512"/>
        <n v="140.01975"/>
        <n v="140.2596"/>
        <n v="140.32575"/>
        <n v="140.54625"/>
        <n v="140.92065"/>
        <n v="141.47055"/>
        <n v="142.37775"/>
        <n v="142.452"/>
        <n v="143.2296"/>
        <n v="143.9802"/>
        <n v="144.3015"/>
        <n v="144.729"/>
        <n v="145.1034"/>
        <n v="145.3257"/>
        <n v="145.4427"/>
        <n v="145.6515"/>
        <n v="145.881"/>
        <n v="146.61"/>
        <n v="146.6829"/>
        <n v="148.7565"/>
        <n v="148.9428"/>
        <n v="149.553"/>
        <n v="150.2208"/>
        <n v="150.66675"/>
        <n v="150.7779"/>
        <n v="153.7245"/>
        <n v="154.3347"/>
        <n v="155.51055"/>
        <n v="155.76795"/>
        <n v="156.7836"/>
        <n v="157.09005"/>
        <n v="157.9266"/>
        <n v="158.06115"/>
        <n v="158.26725"/>
        <n v="162.46575"/>
        <n v="164.8764"/>
        <n v="165.8016"/>
        <n v="165.81825"/>
        <n v="168.0354"/>
        <n v="171.9432"/>
        <n v="174.07845"/>
        <n v="175.8348"/>
        <n v="177.95025"/>
        <n v="180.04545"/>
        <n v="187.4925"/>
        <n v="187.64325"/>
        <n v="188.53425"/>
        <n v="189.5985"/>
        <n v="195.67665"/>
        <n v="196.71525"/>
        <n v="197.48475"/>
        <n v="197.63325"/>
        <n v="198.09225"/>
        <n v="198.1395"/>
        <n v="201.8835"/>
        <n v="203.64435"/>
        <n v="204.67395"/>
        <n v="208.74375"/>
        <n v="208.962"/>
        <n v="210.52395"/>
        <n v="211.08555"/>
        <n v="219.843"/>
        <n v="228.8637"/>
        <n v="233.5437"/>
        <n v="236.81025"/>
        <n v="239.3928"/>
        <n v="240.5619"/>
        <n v="242.1315"/>
        <n v="266.9436"/>
        <n v="280.67085"/>
        <n v="285.9552"/>
        <n v="290.0727"/>
        <n v="317.4012"/>
        <n v="339.7707"/>
        <n v="477.702"/>
        <n v="534.348"/>
        <n v="582.7032"/>
        <n v="612.603"/>
        <n v="678.2292"/>
      </sharedItems>
    </cacheField>
    <cacheField name="ESCAV. EXT. ROCHA" numFmtId="0">
      <sharedItems containsSemiMixedTypes="0" containsString="0" containsNumber="1" minValue="0" maxValue="13.2418056924198" count="1406">
        <n v="0"/>
        <n v="0.00568724495441062"/>
        <n v="0.00578363893668877"/>
        <n v="0.00636200283035764"/>
        <n v="0.00645839681263579"/>
        <n v="0.00684397274174837"/>
        <n v="0.00703676070630467"/>
        <n v="0.00742233663541725"/>
        <n v="0.00761512459997354"/>
        <n v="0.00925382229870203"/>
        <n v="0.0107225316931106"/>
        <n v="0.0108925199974305"/>
        <n v="0.0111158543929644"/>
        <n v="0.0117600658379338"/>
        <n v="0.0126276116784371"/>
        <n v="0.0129306877632443"/>
        <n v="0.0134951575189405"/>
        <n v="0.0146214857592964"/>
        <n v="0.0159932190755916"/>
        <n v="0.0175437047746226"/>
        <n v="0.0178080524458715"/>
        <n v="0.0178708861551843"/>
        <n v="0.0179292807037352"/>
        <n v="0.0186040385796822"/>
        <n v="0.0188932205265166"/>
        <n v="0.0191824024733511"/>
        <n v="0.0200436812633671"/>
        <n v="0.0204419000964141"/>
        <n v="0.0208705837582188"/>
        <n v="0.0229938735196704"/>
        <n v="0.023113012760705"/>
        <n v="0.0235895697248432"/>
        <n v="0.0238093136227021"/>
        <n v="0.0238278482069124"/>
        <n v="0.024387677516371"/>
        <n v="0.0244235444120852"/>
        <n v="0.0258335872505432"/>
        <n v="0.0267011330910465"/>
        <n v="0.0272009575681484"/>
        <n v="0.0281470428252187"/>
        <n v="0.0286695799201891"/>
        <n v="0.0288316963303639"/>
        <n v="0.0290996236189919"/>
        <n v="0.0296730152173957"/>
        <n v="0.0297848102586404"/>
        <n v="0.029903949499675"/>
        <n v="0.0301699727365056"/>
        <n v="0.0305568923821723"/>
        <n v="0.0310388622935631"/>
        <n v="0.0314244382226756"/>
        <n v="0.0319064081340664"/>
        <n v="0.0331207090076082"/>
        <n v="0.0332559238859604"/>
        <n v="0.0333589874896773"/>
        <n v="0.0344818340353181"/>
        <n v="0.0345090456555763"/>
        <n v="0.0346054396378545"/>
        <n v="0.0347777780861071"/>
        <n v="0.0348221152922456"/>
        <n v="0.0352635833018325"/>
        <n v="0.0353843545872648"/>
        <n v="0.035622633069334"/>
        <n v="0.0357833894425107"/>
        <n v="0.0359800507924377"/>
        <n v="0.0363405313188611"/>
        <n v="0.0367261072479737"/>
        <n v="0.0367688722513423"/>
        <n v="0.037593653088477"/>
        <n v="0.0390395628226492"/>
        <n v="0.0394350887824399"/>
        <n v="0.0398104589939187"/>
        <n v="0.0404241076874666"/>
        <n v="0.0404854725568214"/>
        <n v="0.0407510605818126"/>
        <n v="0.0412841950850722"/>
        <n v="0.0413413166389929"/>
        <n v="0.0417664642046026"/>
        <n v="0.0420277762732717"/>
        <n v="0.042541032475767"/>
        <n v="0.0427989281314969"/>
        <n v="0.0449154938700298"/>
        <n v="0.0453504337020258"/>
        <n v="0.045392050834168"/>
        <n v="0.045497959635285"/>
        <n v="0.0464643040034791"/>
        <n v="0.0467025824855482"/>
        <n v="0.0470402633517353"/>
        <n v="0.0474481547679129"/>
        <n v="0.0480517391876748"/>
        <n v="0.0490645369795764"/>
        <n v="0.0493537189264108"/>
        <n v="0.0501657806975392"/>
        <n v="0.0504750531109097"/>
        <n v="0.0505104467137486"/>
        <n v="0.0505737917969726"/>
        <n v="0.0506068406960267"/>
        <n v="0.0511556156247647"/>
        <n v="0.0514681521269307"/>
        <n v="0.0515707805188082"/>
        <n v="0.0519447090910689"/>
        <n v="0.0525404052962417"/>
        <n v="0.0532285840172861"/>
        <n v="0.0532552407424491"/>
        <n v="0.0535950541466492"/>
        <n v="0.0542905009054115"/>
        <n v="0.0545657723938293"/>
        <n v="0.0546553879517088"/>
        <n v="0.0550409638808214"/>
        <n v="0.0557157217567685"/>
        <n v="0.0558121157390466"/>
        <n v="0.055995443286244"/>
        <n v="0.0564034543856775"/>
        <n v="0.0572580254732188"/>
        <n v="0.0578363893668877"/>
        <n v="0.0581399496248661"/>
        <n v="0.0591859051187817"/>
        <n v="0.0599570569770069"/>
        <n v="0.0605227344455574"/>
        <n v="0.0607795094308008"/>
        <n v="0.0609992914096956"/>
        <n v="0.0614758483738339"/>
        <n v="0.0615949876148684"/>
        <n v="0.0637898153224207"/>
        <n v="0.0648731500731923"/>
        <n v="0.0650424093976813"/>
        <n v="0.0654074433279744"/>
        <n v="0.0656443019314175"/>
        <n v="0.0663976862662994"/>
        <n v="0.0667179749793546"/>
        <n v="0.0676685755592586"/>
        <n v="0.0688918581171359"/>
        <n v="0.0696107736743376"/>
        <n v="0.0696536148397781"/>
        <n v="0.0699537750052613"/>
        <n v="0.070813862402867"/>
        <n v="0.0708829522823711"/>
        <n v="0.071336660624941"/>
        <n v="0.0719601015848753"/>
        <n v="0.0737413964427818"/>
        <n v="0.0739359633357316"/>
        <n v="0.0755424390379008"/>
        <n v="0.0762476399820136"/>
        <n v="0.0768260038756825"/>
        <n v="0.0775007617516295"/>
        <n v="0.0780791256452984"/>
        <n v="0.0781553421186725"/>
        <n v="0.0789452516071756"/>
        <n v="0.0797178233440268"/>
        <n v="0.0799881279773275"/>
        <n v="0.0805853691845302"/>
        <n v="0.0807764054214329"/>
        <n v="0.0807781571490865"/>
        <n v="0.0813721016266057"/>
        <n v="0.0822240668832586"/>
        <n v="0.0850860906610484"/>
        <n v="0.0856942502452719"/>
        <n v="0.0864950889910918"/>
        <n v="0.0869553255112528"/>
        <n v="0.0870437659971659"/>
        <n v="0.0876603686910737"/>
        <n v="0.0890402622293576"/>
        <n v="0.0904013872570675"/>
        <n v="0.0906649624273015"/>
        <n v="0.0954300424553647"/>
        <n v="0.0961453675148913"/>
        <n v="0.0963297885318352"/>
        <n v="0.0966164843310371"/>
        <n v="0.0979324561304098"/>
        <n v="0.0988855700586863"/>
        <n v="0.099702408279752"/>
        <n v="0.102081227232557"/>
        <n v="0.102651512506457"/>
        <n v="0.103045167055338"/>
        <n v="0.105358622630014"/>
        <n v="0.106129774488239"/>
        <n v="0.107575684222411"/>
        <n v="0.107821013136278"/>
        <n v="0.107961260151524"/>
        <n v="0.111817019442649"/>
        <n v="0.113166535194544"/>
        <n v="0.114288805084497"/>
        <n v="0.116058354662888"/>
        <n v="0.116251142627444"/>
        <n v="0.119239356078067"/>
        <n v="0.120203295900848"/>
        <n v="0.120299689883126"/>
        <n v="0.121283339362084"/>
        <n v="0.12270953944008"/>
        <n v="0.123191509351471"/>
        <n v="0.123428253711806"/>
        <n v="0.123666532193875"/>
        <n v="0.124155449174252"/>
        <n v="0.125306192798798"/>
        <n v="0.126764152460774"/>
        <n v="0.12685448067804"/>
        <n v="0.12897514828816"/>
        <n v="0.129385215763534"/>
        <n v="0.131630364840016"/>
        <n v="0.133698453419789"/>
        <n v="0.133912506922847"/>
        <n v="0.134031646163882"/>
        <n v="0.137457818728636"/>
        <n v="0.137473627798702"/>
        <n v="0.138439798082161"/>
        <n v="0.138710940498252"/>
        <n v="0.139674880321034"/>
        <n v="0.139964062267868"/>
        <n v="0.140060456250146"/>
        <n v="0.140226886697679"/>
        <n v="0.140446032179259"/>
        <n v="0.140947923912598"/>
        <n v="0.141120790055206"/>
        <n v="0.141795547931153"/>
        <n v="0.142855881736213"/>
        <n v="0.143889738340993"/>
        <n v="0.146711641027338"/>
        <n v="0.147000822974173"/>
        <n v="0.147097216956451"/>
        <n v="0.148081100361773"/>
        <n v="0.148253944743789"/>
        <n v="0.148685772811133"/>
        <n v="0.149281469016306"/>
        <n v="0.150374612353908"/>
        <n v="0.151455896168886"/>
        <n v="0.15182052208808"/>
        <n v="0.153213063970446"/>
        <n v="0.157382937406656"/>
        <n v="0.160303192528557"/>
        <n v="0.160977950404504"/>
        <n v="0.161556314298173"/>
        <n v="0.164255345801961"/>
        <n v="0.164929184292897"/>
        <n v="0.165797649518411"/>
        <n v="0.166665195358915"/>
        <n v="0.168882256951312"/>
        <n v="0.170328166685484"/>
        <n v="0.172275342535976"/>
        <n v="0.175147865799392"/>
        <n v="0.179100019072796"/>
        <n v="0.179196413055074"/>
        <n v="0.17921479531514"/>
        <n v="0.179472658329982"/>
        <n v="0.180642322789246"/>
        <n v="0.181091646372534"/>
        <n v="0.181256482856705"/>
        <n v="0.181606262612027"/>
        <n v="0.181702656594305"/>
        <n v="0.182859384381643"/>
        <n v="0.18719711358416"/>
        <n v="0.188969524680395"/>
        <n v="0.18979975110567"/>
        <n v="0.190192741956496"/>
        <n v="0.191149266857564"/>
        <n v="0.192113206680345"/>
        <n v="0.194233874290464"/>
        <n v="0.196258147918305"/>
        <n v="0.198843393286684"/>
        <n v="0.198843937301483"/>
        <n v="0.199109416523514"/>
        <n v="0.201367028979047"/>
        <n v="0.203102120660054"/>
        <n v="0.203132405963928"/>
        <n v="0.203198514642332"/>
        <n v="0.204740818358782"/>
        <n v="0.206572304022067"/>
        <n v="0.206664150040624"/>
        <n v="0.207729031809405"/>
        <n v="0.208307395703074"/>
        <n v="0.208789365614464"/>
        <n v="0.209327646497725"/>
        <n v="0.210328089713536"/>
        <n v="0.211392003135974"/>
        <n v="0.212259548976478"/>
        <n v="0.212452336941034"/>
        <n v="0.212741518887868"/>
        <n v="0.214212355380142"/>
        <n v="0.214830900206883"/>
        <n v="0.2152477624271"/>
        <n v="0.215965987085507"/>
        <n v="0.219199915700504"/>
        <n v="0.221276931563132"/>
        <n v="0.221416977292902"/>
        <n v="0.222188129151127"/>
        <n v="0.223441250920743"/>
        <n v="0.224983554637193"/>
        <n v="0.225176342601749"/>
        <n v="0.225272736584027"/>
        <n v="0.22770201834961"/>
        <n v="0.22932128383971"/>
        <n v="0.229996041715657"/>
        <n v="0.230296152919808"/>
        <n v="0.234815740829564"/>
        <n v="0.23606886259918"/>
        <n v="0.238478712156133"/>
        <n v="0.242430865429537"/>
        <n v="0.243202017287763"/>
        <n v="0.243587593216875"/>
        <n v="0.244069563128266"/>
        <n v="0.244235444120852"/>
        <n v="0.245794046520687"/>
        <n v="0.246250202929854"/>
        <n v="0.248889262242173"/>
        <n v="0.251264659341891"/>
        <n v="0.25168468772824"/>
        <n v="0.252359445604187"/>
        <n v="0.253034203480134"/>
        <n v="0.255077115054997"/>
        <n v="0.2558296289662"/>
        <n v="0.257853902594041"/>
        <n v="0.259588994275047"/>
        <n v="0.262095237814279"/>
        <n v="0.263926723477564"/>
        <n v="0.264408693388955"/>
        <n v="0.264489115096727"/>
        <n v="0.264987057282624"/>
        <n v="0.266818542945908"/>
        <n v="0.267686088786412"/>
        <n v="0.26778248276869"/>
        <n v="0.270504014724575"/>
        <n v="0.272505787900319"/>
        <n v="0.273076932717602"/>
        <n v="0.273951697634491"/>
        <n v="0.275783183297776"/>
        <n v="0.276650729138279"/>
        <n v="0.277808229426632"/>
        <n v="0.279060578695233"/>
        <n v="0.280514159038075"/>
        <n v="0.280732036965172"/>
        <n v="0.281331813281339"/>
        <n v="0.282048792145856"/>
        <n v="0.282530762057246"/>
        <n v="0.283567714106234"/>
        <n v="0.284458641702809"/>
        <n v="0.285100203795706"/>
        <n v="0.285711763472425"/>
        <n v="0.288892764887604"/>
        <n v="0.289373712051172"/>
        <n v="0.290242280639498"/>
        <n v="0.293423282054677"/>
        <n v="0.29355908990916"/>
        <n v="0.294150978010738"/>
        <n v="0.295941874729851"/>
        <n v="0.296797071434412"/>
        <n v="0.299613974624752"/>
        <n v="0.299635191201923"/>
        <n v="0.300267254796425"/>
        <n v="0.300879625055195"/>
        <n v="0.301035485295178"/>
        <n v="0.303448256211604"/>
        <n v="0.30423918844793"/>
        <n v="0.304877317807444"/>
        <n v="0.306147287715392"/>
        <n v="0.306306988699858"/>
        <n v="0.307882379396399"/>
        <n v="0.30845149503848"/>
        <n v="0.30857389836831"/>
        <n v="0.310966986829299"/>
        <n v="0.312502229233655"/>
        <n v="0.31250929054575"/>
        <n v="0.313280442403975"/>
        <n v="0.313336203920897"/>
        <n v="0.313376836386253"/>
        <n v="0.3140515942622"/>
        <n v="0.314437170191313"/>
        <n v="0.315497503996372"/>
        <n v="0.315883079925485"/>
        <n v="0.316268655854597"/>
        <n v="0.31848367195135"/>
        <n v="0.319054887490556"/>
        <n v="0.320509991074836"/>
        <n v="0.321318533070213"/>
        <n v="0.322152507757455"/>
        <n v="0.323112628596346"/>
        <n v="0.323305416560902"/>
        <n v="0.324061183680605"/>
        <n v="0.324365750365962"/>
        <n v="0.325387219753763"/>
        <n v="0.325875745043485"/>
        <n v="0.326441520434699"/>
        <n v="0.32754675178114"/>
        <n v="0.328266690086165"/>
        <n v="0.328267370104664"/>
        <n v="0.328397797652783"/>
        <n v="0.329474631426703"/>
        <n v="0.331402511072266"/>
        <n v="0.333715966646942"/>
        <n v="0.334969088416558"/>
        <n v="0.33535466434567"/>
        <n v="0.33641499815073"/>
        <n v="0.336893132757786"/>
        <n v="0.337158611979817"/>
        <n v="0.340078883422162"/>
        <n v="0.340752727353247"/>
        <n v="0.341691343287123"/>
        <n v="0.343343788239829"/>
        <n v="0.346519746637818"/>
        <n v="0.34657605216954"/>
        <n v="0.347500306112717"/>
        <n v="0.347593631851527"/>
        <n v="0.348464245935498"/>
        <n v="0.349139003811445"/>
        <n v="0.34991015566967"/>
        <n v="0.352994763102571"/>
        <n v="0.353187551067127"/>
        <n v="0.353486128149545"/>
        <n v="0.354382120523901"/>
        <n v="0.355886582570915"/>
        <n v="0.356079370535472"/>
        <n v="0.356754128411419"/>
        <n v="0.356946916375975"/>
        <n v="0.35752217394514"/>
        <n v="0.360513493720266"/>
        <n v="0.361670221507604"/>
        <n v="0.362853246970337"/>
        <n v="0.363308919206333"/>
        <n v="0.364272859029114"/>
        <n v="0.365044010887339"/>
        <n v="0.36552598079873"/>
        <n v="0.365622374781008"/>
        <n v="0.369574528054412"/>
        <n v="0.370056497965803"/>
        <n v="0.370720516989613"/>
        <n v="0.370827649824028"/>
        <n v="0.370906570050955"/>
        <n v="0.370924043806306"/>
        <n v="0.371020437788584"/>
        <n v="0.374008651239207"/>
        <n v="0.376243355231544"/>
        <n v="0.376900470707551"/>
        <n v="0.378249986459445"/>
        <n v="0.378731956370836"/>
        <n v="0.380177866105008"/>
        <n v="0.381115007758779"/>
        <n v="0.38114180592779"/>
        <n v="0.381766193473475"/>
        <n v="0.381908997358276"/>
        <n v="0.382105745750571"/>
        <n v="0.382587715661962"/>
        <n v="0.382688298558194"/>
        <n v="0.384182435204319"/>
        <n v="0.38601114095198"/>
        <n v="0.388036508049568"/>
        <n v="0.388853324510041"/>
        <n v="0.38943168840371"/>
        <n v="0.390740805616613"/>
        <n v="0.391648749996108"/>
        <n v="0.392612689818889"/>
        <n v="0.393502224737578"/>
        <n v="0.395343170818222"/>
        <n v="0.397335081005656"/>
        <n v="0.398010752826465"/>
        <n v="0.399649450525194"/>
        <n v="0.400806178312532"/>
        <n v="0.401288148223922"/>
        <n v="0.402637663975816"/>
        <n v="0.403890785745432"/>
        <n v="0.404372755656823"/>
        <n v="0.404951119550492"/>
        <n v="0.405240301497326"/>
        <n v="0.405711956888123"/>
        <n v="0.405722271408717"/>
        <n v="0.40754351871348"/>
        <n v="0.407939333001114"/>
        <n v="0.408677789569905"/>
        <n v="0.40871048485934"/>
        <n v="0.408999666806174"/>
        <n v="0.409265325553089"/>
        <n v="0.409385242735287"/>
        <n v="0.410638364504902"/>
        <n v="0.412277062203631"/>
        <n v="0.412952929869768"/>
        <n v="0.414301335831472"/>
        <n v="0.415319394246482"/>
        <n v="0.416168873355503"/>
        <n v="0.417096761317538"/>
        <n v="0.417964307158042"/>
        <n v="0.418319091849517"/>
        <n v="0.419410216892214"/>
        <n v="0.421001356817192"/>
        <n v="0.421048914590942"/>
        <n v="0.421338096537777"/>
        <n v="0.422382066377675"/>
        <n v="0.423169582201061"/>
        <n v="0.423458764147896"/>
        <n v="0.425097461846624"/>
        <n v="0.425483037775737"/>
        <n v="0.425675825740293"/>
        <n v="0.425965007687128"/>
        <n v="0.4274109174213"/>
        <n v="0.427700099368134"/>
        <n v="0.427796493350412"/>
        <n v="0.42847125122636"/>
        <n v="0.429146009102307"/>
        <n v="0.430109948925088"/>
        <n v="0.430399130871922"/>
        <n v="0.430569217098906"/>
        <n v="0.430784706801035"/>
        <n v="0.431652252641538"/>
        <n v="0.431801954633994"/>
        <n v="0.432327010517485"/>
        <n v="0.432808980428876"/>
        <n v="0.433194556357989"/>
        <n v="0.433271066599354"/>
        <n v="0.433404894239969"/>
        <n v="0.433772920251658"/>
        <n v="0.433887979381698"/>
        <n v="0.434062102198492"/>
        <n v="0.434447678127605"/>
        <n v="0.436279163790889"/>
        <n v="0.437050315649115"/>
        <n v="0.437454812412945"/>
        <n v="0.437725073525061"/>
        <n v="0.437828550580026"/>
        <n v="0.438592619365565"/>
        <n v="0.438849394350808"/>
        <n v="0.439652953170624"/>
        <n v="0.440520499011128"/>
        <n v="0.441768305756155"/>
        <n v="0.443605106444028"/>
        <n v="0.443894288390863"/>
        <n v="0.444087076355419"/>
        <n v="0.445461622228226"/>
        <n v="0.445587289646852"/>
        <n v="0.448617593522492"/>
        <n v="0.448730607156887"/>
        <n v="0.449274077941332"/>
        <n v="0.449870715292108"/>
        <n v="0.450063503256664"/>
        <n v="0.450159897238942"/>
        <n v="0.450738261132611"/>
        <n v="0.45131662502628"/>
        <n v="0.451643806406842"/>
        <n v="0.451702200955393"/>
        <n v="0.451798594937671"/>
        <n v="0.452087776884505"/>
        <n v="0.45343851122955"/>
        <n v="0.453630080600956"/>
        <n v="0.453726474583234"/>
        <n v="0.454304838476903"/>
        <n v="0.455172384317406"/>
        <n v="0.455943536175631"/>
        <n v="0.455945875439268"/>
        <n v="0.456329112104744"/>
        <n v="0.456358782671895"/>
        <n v="0.456618294051578"/>
        <n v="0.45677985012651"/>
        <n v="0.457791717653105"/>
        <n v="0.45809038177789"/>
        <n v="0.458449779714863"/>
        <n v="0.458970869730467"/>
        <n v="0.459162634947201"/>
        <n v="0.459317325555366"/>
        <n v="0.459992083431313"/>
        <n v="0.460281265378148"/>
        <n v="0.46047371061338"/>
        <n v="0.461307957308022"/>
        <n v="0.462112751041432"/>
        <n v="0.462594720952823"/>
        <n v="0.46278750891738"/>
        <n v="0.463094229901341"/>
        <n v="0.463173084846492"/>
        <n v="0.464137024669274"/>
        <n v="0.46432981263383"/>
        <n v="0.464618994580664"/>
        <n v="0.466546874226227"/>
        <n v="0.46693245015534"/>
        <n v="0.467221632102174"/>
        <n v="0.467510814049009"/>
        <n v="0.467799995995843"/>
        <n v="0.468281965907234"/>
        <n v="0.468520777523806"/>
        <n v="0.468571147854068"/>
        <n v="0.468680717874784"/>
        <n v="0.469342299712293"/>
        <n v="0.469701561645567"/>
        <n v="0.470209845552797"/>
        <n v="0.470382124159422"/>
        <n v="0.470600002086519"/>
        <n v="0.470980997411022"/>
        <n v="0.4710773913933"/>
        <n v="0.471173785375578"/>
        <n v="0.471752149269247"/>
        <n v="0.471856676272774"/>
        <n v="0.472330513162916"/>
        <n v="0.472523301127472"/>
        <n v="0.47261969510975"/>
        <n v="0.472650665872271"/>
        <n v="0.473221065389279"/>
        <n v="0.473614932103932"/>
        <n v="0.475800696524929"/>
        <n v="0.475993484489486"/>
        <n v="0.477439394223658"/>
        <n v="0.477495389666944"/>
        <n v="0.478306940064161"/>
        <n v="0.479174485904664"/>
        <n v="0.479752849798333"/>
        <n v="0.48042760767428"/>
        <n v="0.480488559092388"/>
        <n v="0.481198759532505"/>
        <n v="0.481799090743768"/>
        <n v="0.483415821124903"/>
        <n v="0.483824457841355"/>
        <n v="0.485492407215839"/>
        <n v="0.485536488735022"/>
        <n v="0.485849824938943"/>
        <n v="0.486789610504638"/>
        <n v="0.486982398469194"/>
        <n v="0.48717518643375"/>
        <n v="0.487464368380585"/>
        <n v="0.487735652240524"/>
        <n v="0.488190176605293"/>
        <n v="0.48823552023881"/>
        <n v="0.488524702185645"/>
        <n v="0.489691657451208"/>
        <n v="0.489921775711289"/>
        <n v="0.491416521653989"/>
        <n v="0.49189849156538"/>
        <n v="0.492338017442133"/>
        <n v="0.492958825370439"/>
        <n v="0.493180968373563"/>
        <n v="0.494409081782857"/>
        <n v="0.494552293678758"/>
        <n v="0.494693917051446"/>
        <n v="0.494886705016002"/>
        <n v="0.495023546498604"/>
        <n v="0.495676364257698"/>
        <n v="0.49578244714355"/>
        <n v="0.49624349968591"/>
        <n v="0.496718190679287"/>
        <n v="0.498453282360294"/>
        <n v="0.498742464307128"/>
        <n v="0.499899192094466"/>
        <n v="0.500100020597755"/>
        <n v="0.500162038284869"/>
        <n v="0.500284768023578"/>
        <n v="0.501772866105432"/>
        <n v="0.502419427694334"/>
        <n v="0.502887405545088"/>
        <n v="0.505008073155208"/>
        <n v="0.505104467137486"/>
        <n v="0.506839558818492"/>
        <n v="0.507410763477403"/>
        <n v="0.507803498641274"/>
        <n v="0.507899892623552"/>
        <n v="0.508833906192227"/>
        <n v="0.510632419118529"/>
        <n v="0.51110734403827"/>
        <n v="0.511783010418932"/>
        <n v="0.513370989617927"/>
        <n v="0.514278406303066"/>
        <n v="0.514454683418466"/>
        <n v="0.514647471383022"/>
        <n v="0.515412677159492"/>
        <n v="0.515464902580219"/>
        <n v="0.516433520930274"/>
        <n v="0.517535966920943"/>
        <n v="0.517539290851366"/>
        <n v="0.518613116223447"/>
        <n v="0.518888806603261"/>
        <n v="0.519177988550095"/>
        <n v="0.51946717049693"/>
        <n v="0.519563564479208"/>
        <n v="0.519722906413906"/>
        <n v="0.520141928372876"/>
        <n v="0.520431110319711"/>
        <n v="0.520743750184689"/>
        <n v="0.521684232089327"/>
        <n v="0.521764593955471"/>
        <n v="0.521829875731381"/>
        <n v="0.523692854411394"/>
        <n v="0.523997687664002"/>
        <n v="0.527095666980668"/>
        <n v="0.527460428903562"/>
        <n v="0.528581643404805"/>
        <n v="0.529492144653857"/>
        <n v="0.529732234705207"/>
        <n v="0.530070508547525"/>
        <n v="0.530263296512082"/>
        <n v="0.53109118367372"/>
        <n v="0.531688239915891"/>
        <n v="0.531709206246254"/>
        <n v="0.532653594177151"/>
        <n v="0.532880448348436"/>
        <n v="0.533644245126575"/>
        <n v="0.534014719204861"/>
        <n v="0.534276934338096"/>
        <n v="0.534793813679155"/>
        <n v="0.53719067760285"/>
        <n v="0.538211521373633"/>
        <n v="0.538324948459275"/>
        <n v="0.539227936863949"/>
        <n v="0.542521750628047"/>
        <n v="0.542987302172797"/>
        <n v="0.543568707109194"/>
        <n v="0.54375149608174"/>
        <n v="0.544114625960236"/>
        <n v="0.544704610010016"/>
        <n v="0.546173449967977"/>
        <n v="0.546621718162554"/>
        <n v="0.546650273499367"/>
        <n v="0.546760985951161"/>
        <n v="0.546939455446201"/>
        <n v="0.547106163341282"/>
        <n v="0.547132243410757"/>
        <n v="0.549156517038598"/>
        <n v="0.549638486949989"/>
        <n v="0.549667657023525"/>
        <n v="0.550423293579675"/>
        <n v="0.550575073708665"/>
        <n v="0.552993219491307"/>
        <n v="0.553637605021012"/>
        <n v="0.55471230625692"/>
        <n v="0.555518519868956"/>
        <n v="0.555614913851234"/>
        <n v="0.555711307833512"/>
        <n v="0.556586709247717"/>
        <n v="0.556813563419002"/>
        <n v="0.55733336955968"/>
        <n v="0.557735581461353"/>
        <n v="0.558167344246922"/>
        <n v="0.5584103393373"/>
        <n v="0.561143377206189"/>
        <n v="0.561398552787923"/>
        <n v="0.561880522699314"/>
        <n v="0.561917782272914"/>
        <n v="0.562063850246511"/>
        <n v="0.562940856504373"/>
        <n v="0.563712008362598"/>
        <n v="0.565547449013474"/>
        <n v="0.565911394914168"/>
        <n v="0.566121857919552"/>
        <n v="0.566314645884108"/>
        <n v="0.566798139036937"/>
        <n v="0.566989403760056"/>
        <n v="0.567011392838241"/>
        <n v="0.567471373671446"/>
        <n v="0.570845163051181"/>
        <n v="0.570878522038671"/>
        <n v="0.572106635447966"/>
        <n v="0.572534231080172"/>
        <n v="0.572904161143658"/>
        <n v="0.573062224643579"/>
        <n v="0.574145058900735"/>
        <n v="0.575680812679002"/>
        <n v="0.575919091161072"/>
        <n v="0.576753609863113"/>
        <n v="0.576917983934705"/>
        <n v="0.578063597499694"/>
        <n v="0.578749469597989"/>
        <n v="0.579617015438493"/>
        <n v="0.579850686115212"/>
        <n v="0.58029177331444"/>
        <n v="0.580484561278996"/>
        <n v="0.580677349243552"/>
        <n v="0.58077374322583"/>
        <n v="0.581280357007627"/>
        <n v="0.581544895084056"/>
        <n v="0.582219652960002"/>
        <n v="0.582829167141076"/>
        <n v="0.585766031034798"/>
        <n v="0.586403344372113"/>
        <n v="0.587107299522335"/>
        <n v="0.587356458300389"/>
        <n v="0.588678049772638"/>
        <n v="0.588905268433839"/>
        <n v="0.589160019684029"/>
        <n v="0.589894831353665"/>
        <n v="0.591569869240983"/>
        <n v="0.591635678711247"/>
        <n v="0.592695283536476"/>
        <n v="0.592717724146945"/>
        <n v="0.592726597028321"/>
        <n v="0.594268900744771"/>
        <n v="0.594735257431423"/>
        <n v="0.595219648208671"/>
        <n v="0.596485962337168"/>
        <n v="0.596582356319446"/>
        <n v="0.598895811894122"/>
        <n v="0.599186604124762"/>
        <n v="0.600341721628294"/>
        <n v="0.601310437901013"/>
        <n v="0.603082838116952"/>
        <n v="0.604583056848532"/>
        <n v="0.605095964881556"/>
        <n v="0.60573978463587"/>
        <n v="0.606607330476374"/>
        <n v="0.60680011844093"/>
        <n v="0.6069369109622"/>
        <n v="0.60749099003523"/>
        <n v="0.609540293783985"/>
        <n v="0.609691937909274"/>
        <n v="0.611041453661168"/>
        <n v="0.611330635608003"/>
        <n v="0.611712272869969"/>
        <n v="0.611780002712475"/>
        <n v="0.611908999501672"/>
        <n v="0.612198181448506"/>
        <n v="0.612776545342175"/>
        <n v="0.613150103984372"/>
        <n v="0.614800818970016"/>
        <n v="0.614897212952294"/>
        <n v="0.615380836668675"/>
        <n v="0.615668364810519"/>
        <n v="0.616921486580135"/>
        <n v="0.626117512746565"/>
        <n v="0.626850066754784"/>
        <n v="0.627428430648453"/>
        <n v="0.627812798864711"/>
        <n v="0.628585158435791"/>
        <n v="0.629055192662486"/>
        <n v="0.62964549224085"/>
        <n v="0.629934674187685"/>
        <n v="0.631187795957301"/>
        <n v="0.636103889053486"/>
        <n v="0.636680104088698"/>
        <n v="0.637646192769937"/>
        <n v="0.638228914222147"/>
        <n v="0.640152436309168"/>
        <n v="0.640441618256003"/>
        <n v="0.640492559801804"/>
        <n v="0.649020682678758"/>
        <n v="0.650500256048707"/>
        <n v="0.650731190330987"/>
        <n v="0.650852168342043"/>
        <n v="0.650889498637567"/>
        <n v="0.652287344664226"/>
        <n v="0.653165623916718"/>
        <n v="0.656297277749457"/>
        <n v="0.657310565154678"/>
        <n v="0.657724772582675"/>
        <n v="0.658660080906572"/>
        <n v="0.658949262853407"/>
        <n v="0.661551900374917"/>
        <n v="0.663167096634318"/>
        <n v="0.663830794689396"/>
        <n v="0.66608241754199"/>
        <n v="0.670104373354285"/>
        <n v="0.672155238425513"/>
        <n v="0.672183597916997"/>
        <n v="0.675400357424931"/>
        <n v="0.676087448116376"/>
        <n v="0.676662743766578"/>
        <n v="0.677746089397645"/>
        <n v="0.678378838450795"/>
        <n v="0.678806423202705"/>
        <n v="0.679770363025486"/>
        <n v="0.679866757007765"/>
        <n v="0.680252332936877"/>
        <n v="0.681216272759659"/>
        <n v="0.681409060724215"/>
        <n v="0.683851899338595"/>
        <n v="0.6863251538204"/>
        <n v="0.687096305678626"/>
        <n v="0.688349427448241"/>
        <n v="0.688735003377354"/>
        <n v="0.693458308508983"/>
        <n v="0.693866939785288"/>
        <n v="0.694325854349487"/>
        <n v="0.694711430278599"/>
        <n v="0.695675370101381"/>
        <n v="0.696782587101839"/>
        <n v="0.697373387173819"/>
        <n v="0.698155952462532"/>
        <n v="0.700205887268453"/>
        <n v="0.703386888683632"/>
        <n v="0.703586580195991"/>
        <n v="0.70454361647097"/>
        <n v="0.708784951691208"/>
        <n v="0.709074133638043"/>
        <n v="0.709845285496268"/>
        <n v="0.710423649389937"/>
        <n v="0.71221438290461"/>
        <n v="0.714239750002198"/>
        <n v="0.714977434069974"/>
        <n v="0.71559924298551"/>
        <n v="0.715907699376682"/>
        <n v="0.720077572812891"/>
        <n v="0.720352229564586"/>
        <n v="0.72048884800112"/>
        <n v="0.720829129258048"/>
        <n v="0.721412563369646"/>
        <n v="0.723340443015208"/>
        <n v="0.723629624962043"/>
        <n v="0.725171928678493"/>
        <n v="0.732497871331632"/>
        <n v="0.73259426531391"/>
        <n v="0.733076235225301"/>
        <n v="0.733172629207579"/>
        <n v="0.735486084782255"/>
        <n v="0.737895934339208"/>
        <n v="0.74406514920501"/>
        <n v="0.748113696460692"/>
        <n v="0.749447843794508"/>
        <n v="0.749752394159421"/>
        <n v="0.755728821060666"/>
        <n v="0.755825215042944"/>
        <n v="0.756210790972056"/>
        <n v="0.757656700706229"/>
        <n v="0.760452126192295"/>
        <n v="0.761512459997354"/>
        <n v="0.762187217873301"/>
        <n v="0.762323586063028"/>
        <n v="0.762381795646547"/>
        <n v="0.762958369731527"/>
        <n v="0.76536821928848"/>
        <n v="0.766235765128983"/>
        <n v="0.768742008668215"/>
        <n v="0.768838402650493"/>
        <n v="0.772597767959341"/>
        <n v="0.773345869910522"/>
        <n v="0.773658101764401"/>
        <n v="0.77423646565807"/>
        <n v="0.777542672079295"/>
        <n v="0.780116498577037"/>
        <n v="0.780405680523871"/>
        <n v="0.787033826274315"/>
        <n v="0.787346047247897"/>
        <n v="0.792551322290917"/>
        <n v="0.793900838042811"/>
        <n v="0.795057565830149"/>
        <n v="0.801041663340064"/>
        <n v="0.801226780695951"/>
        <n v="0.808359935384533"/>
        <n v="0.811733724764268"/>
        <n v="0.812119300693381"/>
        <n v="0.815878666002229"/>
        <n v="0.817999333612348"/>
        <n v="0.820869370728131"/>
        <n v="0.821565910956639"/>
        <n v="0.822433456797143"/>
        <n v="0.822915426708534"/>
        <n v="0.82310821467309"/>
        <n v="0.825228882283209"/>
        <n v="0.830957037150523"/>
        <n v="0.831012521219897"/>
        <n v="0.831301703166732"/>
        <n v="0.833518764759129"/>
        <n v="0.835099165831971"/>
        <n v="0.835728590954697"/>
        <n v="0.836699766174308"/>
        <n v="0.838435880603138"/>
        <n v="0.843158162986944"/>
        <n v="0.847303104224904"/>
        <n v="0.852122803338812"/>
        <n v="0.85488933619889"/>
        <n v="0.855014622807156"/>
        <n v="0.856556926523606"/>
        <n v="0.85768339620781"/>
        <n v="0.85988720015955"/>
        <n v="0.864075657141302"/>
        <n v="0.866581900680534"/>
        <n v="0.867353052538759"/>
        <n v="0.869478181070232"/>
        <n v="0.869955690060269"/>
        <n v="0.871342791794643"/>
        <n v="0.876750570906533"/>
        <n v="0.87872754244758"/>
        <n v="0.88020234480774"/>
        <n v="0.881137392004533"/>
        <n v="0.881426573951368"/>
        <n v="0.881619361915924"/>
        <n v="0.882004937845037"/>
        <n v="0.883354453596931"/>
        <n v="0.884169844738631"/>
        <n v="0.888656122622229"/>
        <n v="0.892608275895633"/>
        <n v="0.896560429169037"/>
        <n v="0.897138793062706"/>
        <n v="0.897909944920931"/>
        <n v="0.89834251828855"/>
        <n v="0.899163066690547"/>
        <n v="0.899217702096835"/>
        <n v="0.899259460672825"/>
        <n v="0.899620409051976"/>
        <n v="0.900223400495607"/>
        <n v="0.900372781519331"/>
        <n v="0.900811801462321"/>
        <n v="0.902054886158891"/>
        <n v="0.902536856070282"/>
        <n v="0.90263325005256"/>
        <n v="0.903211613946229"/>
        <n v="0.903558532183707"/>
        <n v="0.908127707042415"/>
        <n v="0.908802464918362"/>
        <n v="0.910819497709225"/>
        <n v="0.912754618191765"/>
        <n v="0.916321195536057"/>
        <n v="0.921027935417049"/>
        <n v="0.922008440490468"/>
        <n v="0.922198927272423"/>
        <n v="0.923357956242362"/>
        <n v="0.923409904215542"/>
        <n v="0.930770152441921"/>
        <n v="0.931647838718282"/>
        <n v="0.933672112346123"/>
        <n v="0.939532054798554"/>
        <n v="0.941438282655107"/>
        <n v="0.943311510573938"/>
        <n v="0.945489016850282"/>
        <n v="0.946010542077726"/>
        <n v="0.946442130778559"/>
        <n v="0.947070875882786"/>
        <n v="0.949698059352038"/>
        <n v="0.949769907386574"/>
        <n v="0.949866301368852"/>
        <n v="0.951199540197953"/>
        <n v="0.953432878713143"/>
        <n v="0.957481425968825"/>
        <n v="0.958734547738441"/>
        <n v="0.960469639419448"/>
        <n v="0.965964096409302"/>
        <n v="0.967762342768353"/>
        <n v="0.968373945966256"/>
        <n v="0.972057067600989"/>
        <n v="0.973675614991554"/>
        <n v="0.97907367799913"/>
        <n v="0.985917650740878"/>
        <n v="0.987074378528216"/>
        <n v="0.987845530386441"/>
        <n v="0.98800050932245"/>
        <n v="0.990351773925673"/>
        <n v="0.990930137819342"/>
        <n v="0.991990471624402"/>
        <n v="0.992472441535792"/>
        <n v="0.99314719941174"/>
        <n v="0.994496715163634"/>
        <n v="0.999316414277541"/>
        <n v="0.99989477817121"/>
        <n v="1.00144773913758"/>
        <n v="1.00153347586994"/>
        <n v="1.00201544578133"/>
        <n v="1.00240102171044"/>
        <n v="1.0033787196675"/>
        <n v="1.00481138264131"/>
        <n v="1.00779908471802"/>
        <n v="1.00982335834586"/>
        <n v="1.01281157179648"/>
        <n v="1.01724569498128"/>
        <n v="1.0193663625914"/>
        <n v="1.02264375798885"/>
        <n v="1.02447524365214"/>
        <n v="1.02582475940403"/>
        <n v="1.02659591126226"/>
        <n v="1.02939133674832"/>
        <n v="1.03353627798628"/>
        <n v="1.03541711123201"/>
        <n v="1.0387415530293"/>
        <n v="1.04519994984194"/>
        <n v="1.04577243293563"/>
        <n v="1.05281507444191"/>
        <n v="1.0534291692276"/>
        <n v="1.0555141059457"/>
        <n v="1.05724919762671"/>
        <n v="1.05927347125455"/>
        <n v="1.06197250275834"/>
        <n v="1.06656277451096"/>
        <n v="1.07026238523426"/>
        <n v="1.07411814452538"/>
        <n v="1.07499337185485"/>
        <n v="1.07566044824183"/>
        <n v="1.07575684222411"/>
        <n v="1.07807029779879"/>
        <n v="1.08154603011175"/>
        <n v="1.08491427054053"/>
        <n v="1.08568542239876"/>
        <n v="1.09334081497417"/>
        <n v="1.09407169885696"/>
        <n v="1.0952284266443"/>
        <n v="1.09889139797087"/>
        <n v="1.10612094664173"/>
        <n v="1.1066993105354"/>
        <n v="1.10795243230501"/>
        <n v="1.10949473602146"/>
        <n v="1.11103054420121"/>
        <n v="1.11113173095387"/>
        <n v="1.11441082911765"/>
        <n v="1.12086197965316"/>
        <n v="1.12944000500765"/>
        <n v="1.13185813990999"/>
        <n v="1.13291847371505"/>
        <n v="1.13408643540799"/>
        <n v="1.13687062698846"/>
        <n v="1.13715980893529"/>
        <n v="1.13931550565833"/>
        <n v="1.13937507527885"/>
        <n v="1.14082278026186"/>
        <n v="1.14265426592514"/>
        <n v="1.14890295047282"/>
        <n v="1.14940184468461"/>
        <n v="1.15065496645423"/>
        <n v="1.15970137223042"/>
        <n v="1.16569242768962"/>
        <n v="1.17101960012871"/>
        <n v="1.17205443051998"/>
        <n v="1.1741750981301"/>
        <n v="1.18024791901362"/>
        <n v="1.18246498060602"/>
        <n v="1.18853780148954"/>
        <n v="1.18867587244559"/>
        <n v="1.19007698256104"/>
        <n v="1.19075486308194"/>
        <n v="1.19114043901105"/>
        <n v="1.19142962095789"/>
        <n v="1.19248995476295"/>
        <n v="1.19817719971736"/>
        <n v="1.19937637153933"/>
        <n v="1.20164738307937"/>
        <n v="1.20569593033505"/>
        <n v="1.20771448636735"/>
        <n v="1.21408220679325"/>
        <n v="1.21745599617299"/>
        <n v="1.21915185350667"/>
        <n v="1.22410510825379"/>
        <n v="1.22641934720978"/>
        <n v="1.23258985139065"/>
        <n v="1.23442133705394"/>
        <n v="1.23859331038727"/>
        <n v="1.2407833398843"/>
        <n v="1.25572760050428"/>
        <n v="1.25630277103108"/>
        <n v="1.2601585303222"/>
        <n v="1.26170083403865"/>
        <n v="1.26295395580827"/>
        <n v="1.26536380536522"/>
        <n v="1.26871377777705"/>
        <n v="1.26921956465635"/>
        <n v="1.26931595863863"/>
        <n v="1.27182220217786"/>
        <n v="1.27230417208925"/>
        <n v="1.27799141704366"/>
        <n v="1.27911234865721"/>
        <n v="1.2831002981044"/>
        <n v="1.28387144996263"/>
        <n v="1.28483538978541"/>
        <n v="1.28695605739553"/>
        <n v="1.2892695129702"/>
        <n v="1.29090821066893"/>
        <n v="1.29706891714327"/>
        <n v="1.29908041186348"/>
        <n v="1.29980911968707"/>
        <n v="1.30334303438281"/>
        <n v="1.30421058022332"/>
        <n v="1.30431029813602"/>
        <n v="1.30488533809926"/>
        <n v="1.30584927792205"/>
        <n v="1.30649642160678"/>
        <n v="1.30672653986686"/>
        <n v="1.30787355154989"/>
        <n v="1.31673668418036"/>
        <n v="1.31818770765365"/>
        <n v="1.32242904287389"/>
        <n v="1.32300740676756"/>
        <n v="1.32406774057262"/>
        <n v="1.32983220842778"/>
        <n v="1.33578917047951"/>
        <n v="1.33679174623333"/>
        <n v="1.34013911281427"/>
        <n v="1.34127528772249"/>
        <n v="1.34266116542356"/>
        <n v="1.34806984215987"/>
        <n v="1.36051491511257"/>
        <n v="1.36551715295222"/>
        <n v="1.37072242799524"/>
        <n v="1.37736876560057"/>
        <n v="1.38036182622305"/>
        <n v="1.38402479754962"/>
        <n v="1.38494471569485"/>
        <n v="1.38682022303569"/>
        <n v="1.38826613276986"/>
        <n v="1.38874810268125"/>
        <n v="1.39048958653615"/>
        <n v="1.39135074020276"/>
        <n v="1.39310221760952"/>
        <n v="1.39512051251472"/>
        <n v="1.39790553099768"/>
        <n v="1.40754492922549"/>
        <n v="1.40841247506599"/>
        <n v="1.40882152523369"/>
        <n v="1.40908723294194"/>
        <n v="1.40956920285333"/>
        <n v="1.42155555164701"/>
        <n v="1.42226222687123"/>
        <n v="1.42643814975201"/>
        <n v="1.43665591187349"/>
        <n v="1.44137921700512"/>
        <n v="1.44282512673929"/>
        <n v="1.44292152072157"/>
        <n v="1.44319034019447"/>
        <n v="1.44528792525666"/>
        <n v="1.44699449968189"/>
        <n v="1.44870515965826"/>
        <n v="1.44939986111675"/>
        <n v="1.45352485877217"/>
        <n v="1.45371764673672"/>
        <n v="1.45492269935868"/>
        <n v="1.46362557610959"/>
        <n v="1.46971904779489"/>
        <n v="1.46991183575945"/>
        <n v="1.47029741168856"/>
        <n v="1.47625351963706"/>
        <n v="1.47800893027081"/>
        <n v="1.48042420909546"/>
        <n v="1.49246802761254"/>
        <n v="1.50353722185617"/>
        <n v="1.50384251752136"/>
        <n v="1.50885500459982"/>
        <n v="1.51724128105802"/>
        <n v="1.51810882689852"/>
        <n v="1.52630231539217"/>
        <n v="1.53025446866557"/>
        <n v="1.53468859185036"/>
        <n v="1.53977268759685"/>
        <n v="1.55714838972117"/>
        <n v="1.55830511750851"/>
        <n v="1.55984742122496"/>
        <n v="1.5627392406933"/>
        <n v="1.56286856389138"/>
        <n v="1.56411381376685"/>
        <n v="1.56736615184266"/>
        <n v="1.57502076647691"/>
        <n v="1.58442788670589"/>
        <n v="1.59194661732358"/>
        <n v="1.59493986835125"/>
        <n v="1.59813377923761"/>
        <n v="1.59932141794584"/>
        <n v="1.60230365267382"/>
        <n v="1.60351389519696"/>
        <n v="1.62708461480901"/>
        <n v="1.63127536209307"/>
        <n v="1.63676981908292"/>
        <n v="1.6577719456196"/>
        <n v="1.65846230039984"/>
        <n v="1.66414571004991"/>
        <n v="1.66501325589042"/>
        <n v="1.66747281751973"/>
        <n v="1.67070050084483"/>
        <n v="1.67417068420684"/>
        <n v="1.67619495783468"/>
        <n v="1.67841201942708"/>
        <n v="1.67879759535619"/>
        <n v="1.686701901903"/>
        <n v="1.68836216978852"/>
        <n v="1.70096821128017"/>
        <n v="1.70386003074851"/>
        <n v="1.71600567251556"/>
        <n v="1.7197650378244"/>
        <n v="1.72169291746997"/>
        <n v="1.7219820994168"/>
        <n v="1.72945378363466"/>
        <n v="1.73037833678597"/>
        <n v="1.73191817067524"/>
        <n v="1.73240370388356"/>
        <n v="1.74592410368919"/>
        <n v="1.75967214648756"/>
        <n v="1.7603469043635"/>
        <n v="1.76179281409768"/>
        <n v="1.77374566790017"/>
        <n v="1.79533791993047"/>
        <n v="1.79688022364692"/>
        <n v="1.79765137550515"/>
        <n v="1.79861531532793"/>
        <n v="1.80008784914638"/>
        <n v="1.81177083896755"/>
        <n v="1.83177484523161"/>
        <n v="1.83196763319617"/>
        <n v="1.84137530832024"/>
        <n v="1.85362543356963"/>
        <n v="1.86570552699352"/>
        <n v="1.86936849832009"/>
        <n v="1.88345675709361"/>
        <n v="1.90273283347524"/>
        <n v="1.90541984769211"/>
        <n v="1.9204573089275"/>
        <n v="1.93472361830467"/>
        <n v="1.94680048028065"/>
        <n v="1.94937550361095"/>
        <n v="1.95448438467169"/>
        <n v="1.96240200870078"/>
        <n v="1.96920763383933"/>
        <n v="1.96971463387164"/>
        <n v="1.97569106077288"/>
        <n v="1.97925763811717"/>
        <n v="1.9831133974083"/>
        <n v="1.99159606784878"/>
        <n v="2.00248858784621"/>
        <n v="2.00682631704872"/>
        <n v="2.00846501474745"/>
        <n v="2.0091397726234"/>
        <n v="2.00940243928892"/>
        <n v="2.01347750182592"/>
        <n v="2.01646571527654"/>
        <n v="2.02780210782897"/>
        <n v="2.03709402748406"/>
        <n v="2.03719042146634"/>
        <n v="2.04307045438531"/>
        <n v="2.05733676376247"/>
        <n v="2.08093331319719"/>
        <n v="2.08538741260541"/>
        <n v="2.09692653227278"/>
        <n v="2.10312390534459"/>
        <n v="2.11671545684581"/>
        <n v="2.12008924622555"/>
        <n v="2.12306127523589"/>
        <n v="2.12482959534084"/>
        <n v="2.12702961294957"/>
        <n v="2.15088967227275"/>
        <n v="2.16509621074392"/>
        <n v="2.16516459340419"/>
        <n v="2.16790066143551"/>
        <n v="2.16982854108107"/>
        <n v="2.19007127735948"/>
        <n v="2.19595131027845"/>
        <n v="2.19951788762274"/>
        <n v="2.21763995629103"/>
        <n v="2.22400195912139"/>
        <n v="2.22492532632044"/>
        <n v="2.23421972124287"/>
        <n v="2.25801829057329"/>
        <n v="2.26942628091345"/>
        <n v="2.28405541008067"/>
        <n v="2.29486006080773"/>
        <n v="2.29649023379455"/>
        <n v="2.29986402317429"/>
        <n v="2.3011171449439"/>
        <n v="2.30718996582743"/>
        <n v="2.31114211910083"/>
        <n v="2.31586542423246"/>
        <n v="2.32203463909826"/>
        <n v="2.33109567343241"/>
        <n v="2.37244869182973"/>
        <n v="2.37997063213474"/>
        <n v="2.38373793461951"/>
        <n v="2.38478712156133"/>
        <n v="2.39095633642714"/>
        <n v="2.39251751745712"/>
        <n v="2.39461930775371"/>
        <n v="2.39654718739927"/>
        <n v="2.41698271164224"/>
        <n v="2.43463944093155"/>
        <n v="2.45973408199998"/>
        <n v="2.4767856818675"/>
        <n v="2.48262701357365"/>
        <n v="2.48445849923694"/>
        <n v="2.4866579184294"/>
        <n v="2.51431454279339"/>
        <n v="2.54306604046205"/>
        <n v="2.56244123089996"/>
        <n v="2.5666825661202"/>
        <n v="2.57078654304377"/>
        <n v="2.58770431527068"/>
        <n v="2.58846760611506"/>
        <n v="2.60225194558083"/>
        <n v="2.60446900717323"/>
        <n v="2.63964902436175"/>
        <n v="2.64058908193485"/>
        <n v="2.71327707532111"/>
        <n v="2.71676799652727"/>
        <n v="2.73007652432918"/>
        <n v="2.73228742767405"/>
        <n v="2.76882074695747"/>
        <n v="2.76947924423107"/>
        <n v="2.79345778453737"/>
        <n v="2.83321192711927"/>
        <n v="2.86839573065079"/>
        <n v="2.90433480080841"/>
        <n v="2.9667175925745"/>
        <n v="3.03330384525052"/>
        <n v="3.05672776246899"/>
        <n v="3.06105659702954"/>
        <n v="3.08942713201458"/>
        <n v="3.12412896563472"/>
        <n v="3.16813192908049"/>
        <n v="3.22428231322171"/>
        <n v="3.24108349763699"/>
        <n v="3.26486417976081"/>
        <n v="3.31195176151978"/>
        <n v="3.32655632841882"/>
        <n v="3.35316822676235"/>
        <n v="3.35557091708454"/>
        <n v="3.35861419571315"/>
        <n v="3.36628496758694"/>
        <n v="3.36881626844782"/>
        <n v="3.3725362579655"/>
        <n v="3.44319304697538"/>
        <n v="3.46893024024364"/>
        <n v="3.47818406254235"/>
        <n v="3.49637930664128"/>
        <n v="3.62248585401273"/>
        <n v="3.68438102899382"/>
        <n v="3.77112537468563"/>
        <n v="3.84824056050815"/>
        <n v="3.98974692649247"/>
        <n v="4.0366194592013"/>
        <n v="4.41345932666022"/>
        <n v="4.69675138846767"/>
        <n v="5.25929108845908"/>
        <n v="5.27188639109859"/>
        <n v="5.43546565706865"/>
        <n v="5.80885075854496"/>
        <n v="6.63371259948326"/>
        <n v="6.90683800391948"/>
        <n v="9.55769699723446"/>
        <n v="10.8126009593327"/>
        <n v="10.9817438646546"/>
        <n v="12.6799665746868"/>
        <n v="13.2418056924198"/>
      </sharedItems>
    </cacheField>
    <cacheField name="ESCAV. MAN. 1ª CAT. &lt;1,50" numFmtId="0">
      <sharedItems containsSemiMixedTypes="0" containsString="0" containsNumber="1" minValue="0" maxValue="10.5745473923862" count="1406">
        <n v="0"/>
        <n v="0.00454167979046478"/>
        <n v="0.00461865741403198"/>
        <n v="0.00508052315543518"/>
        <n v="0.00515750077900238"/>
        <n v="0.00546541127327117"/>
        <n v="0.00561936652040557"/>
        <n v="0.00592727701467437"/>
        <n v="0.00608123226180877"/>
        <n v="0.00738985186245116"/>
        <n v="0.00856272340713079"/>
        <n v="0.00869847146309356"/>
        <n v="0.00887682026270439"/>
        <n v="0.00939127007519836"/>
        <n v="0.0100840686873032"/>
        <n v="0.0103260970402888"/>
        <n v="0.0107768672994079"/>
        <n v="0.0116763225273188"/>
        <n v="0.0127717516024624"/>
        <n v="0.0140099274892303"/>
        <n v="0.0142210283800468"/>
        <n v="0.0142712056785513"/>
        <n v="0.0143178379834991"/>
        <n v="0.0148566813484695"/>
        <n v="0.0150876142191711"/>
        <n v="0.0153185470898727"/>
        <n v="0.0160063410051916"/>
        <n v="0.0163243477801292"/>
        <n v="0.0166666829422205"/>
        <n v="0.018362284639736"/>
        <n v="0.0184574260109264"/>
        <n v="0.0188379914956877"/>
        <n v="0.0190134730210983"/>
        <n v="0.0190282742380684"/>
        <n v="0.0194753387625015"/>
        <n v="0.0195039810940201"/>
        <n v="0.0206300031160095"/>
        <n v="0.0213228017281143"/>
        <n v="0.0217219480185643"/>
        <n v="0.0224774660816223"/>
        <n v="0.0228947500535663"/>
        <n v="0.0230242118280628"/>
        <n v="0.0232381713043698"/>
        <n v="0.0236960663054412"/>
        <n v="0.0237853427975855"/>
        <n v="0.0238804841687759"/>
        <n v="0.0240929231208858"/>
        <n v="0.0244019066708023"/>
        <n v="0.0247867947886383"/>
        <n v="0.0250947052829071"/>
        <n v="0.0254795934007431"/>
        <n v="0.0264493011909151"/>
        <n v="0.0265572801306839"/>
        <n v="0.0266395839332958"/>
        <n v="0.0275362587741034"/>
        <n v="0.0275579892370575"/>
        <n v="0.0276349668606247"/>
        <n v="0.0277725916778822"/>
        <n v="0.0278079981699005"/>
        <n v="0.0281605425658866"/>
        <n v="0.0282569872435316"/>
        <n v="0.0284472699859123"/>
        <n v="0.0285756456716965"/>
        <n v="0.0287326940994833"/>
        <n v="0.0290205640848343"/>
        <n v="0.0293284745791031"/>
        <n v="0.0293626255525701"/>
        <n v="0.0300212731912079"/>
        <n v="0.0311759375447159"/>
        <n v="0.0314917938640032"/>
        <n v="0.0317915543485756"/>
        <n v="0.0322815975755285"/>
        <n v="0.0323306018982239"/>
        <n v="0.0325426933019459"/>
        <n v="0.0329684400771355"/>
        <n v="0.0330140558030487"/>
        <n v="0.0333535671344882"/>
        <n v="0.033562243875299"/>
        <n v="0.0339721163778709"/>
        <n v="0.0341780648638366"/>
        <n v="0.035868296938759"/>
        <n v="0.0362156281089265"/>
        <n v="0.0362488624235203"/>
        <n v="0.0363334383237182"/>
        <n v="0.0371051347642334"/>
        <n v="0.0372954175066141"/>
        <n v="0.0375650803007934"/>
        <n v="0.0378908113386523"/>
        <n v="0.0383728175091349"/>
        <n v="0.0391816103957046"/>
        <n v="0.0394125432664062"/>
        <n v="0.0400610338034074"/>
        <n v="0.0403080103765658"/>
        <n v="0.0403362747492126"/>
        <n v="0.0403868604170729"/>
        <n v="0.0404132523727798"/>
        <n v="0.04085148916816"/>
        <n v="0.0411010723542278"/>
        <n v="0.0411830286084518"/>
        <n v="0.0414816378389892"/>
        <n v="0.0419573446949409"/>
        <n v="0.0425069055833235"/>
        <n v="0.0425281929220829"/>
        <n v="0.042799558703363"/>
        <n v="0.0433549236498237"/>
        <n v="0.0435747480051767"/>
        <n v="0.0436463125626022"/>
        <n v="0.043954223056871"/>
        <n v="0.0444930664218414"/>
        <n v="0.0445700440454086"/>
        <n v="0.0447164444594608"/>
        <n v="0.0450422710731264"/>
        <n v="0.0457247083989166"/>
        <n v="0.0461865741403198"/>
        <n v="0.0464289891408869"/>
        <n v="0.0472642608702606"/>
        <n v="0.0478800818587982"/>
        <n v="0.0483318165646938"/>
        <n v="0.0485368701135607"/>
        <n v="0.0487123820494552"/>
        <n v="0.0490929475342165"/>
        <n v="0.0491880889054069"/>
        <n v="0.0509408188691851"/>
        <n v="0.0518059406607254"/>
        <n v="0.0519411065731384"/>
        <n v="0.0522326127834978"/>
        <n v="0.0524217616492629"/>
        <n v="0.0530233939748641"/>
        <n v="0.0532791678665916"/>
        <n v="0.0540382917441741"/>
        <n v="0.0550151720642017"/>
        <n v="0.0555892785574804"/>
        <n v="0.0556234903519153"/>
        <n v="0.0558631901307019"/>
        <n v="0.0565500326323089"/>
        <n v="0.0566052059388896"/>
        <n v="0.0569675251332857"/>
        <n v="0.0574653881989666"/>
        <n v="0.0588878820289077"/>
        <n v="0.0590432578800777"/>
        <n v="0.0603261458669502"/>
        <n v="0.0608893002416549"/>
        <n v="0.0613511659830581"/>
        <n v="0.0618900093480285"/>
        <n v="0.0623518750894317"/>
        <n v="0.0624127395008644"/>
        <n v="0.063043539824921"/>
        <n v="0.0636604946900741"/>
        <n v="0.0638763526494501"/>
        <n v="0.0643532933021789"/>
        <n v="0.064505849667052"/>
        <n v="0.0645072485493133"/>
        <n v="0.0649815565230037"/>
        <n v="0.0656619129028213"/>
        <n v="0.06794744757833"/>
        <n v="0.0684331073512405"/>
        <n v="0.0690726354841884"/>
        <n v="0.0694401679044031"/>
        <n v="0.0695107940811813"/>
        <n v="0.0700031962928172"/>
        <n v="0.0711051419002341"/>
        <n v="0.0721920994834224"/>
        <n v="0.0724025834758504"/>
        <n v="0.0762078473315276"/>
        <n v="0.0767790865506061"/>
        <n v="0.0769263601799829"/>
        <n v="0.0771553076805186"/>
        <n v="0.0782062071184612"/>
        <n v="0.078967338087984"/>
        <n v="0.0796196429685424"/>
        <n v="0.0815193033576644"/>
        <n v="0.081974717732117"/>
        <n v="0.0822890795933364"/>
        <n v="0.0841365425589492"/>
        <n v="0.0847523635474868"/>
        <n v="0.0859070279009948"/>
        <n v="0.0861029409272596"/>
        <n v="0.0862149383952636"/>
        <n v="0.0892940433379516"/>
        <n v="0.0903717300678924"/>
        <n v="0.091267944407086"/>
        <n v="0.0926810587749083"/>
        <n v="0.0928350140220427"/>
        <n v="0.0952213203526259"/>
        <n v="0.0959910965882979"/>
        <n v="0.0960680742118651"/>
        <n v="0.0968535900451546"/>
        <n v="0.0979925148010451"/>
        <n v="0.0983774029188811"/>
        <n v="0.0985664605531944"/>
        <n v="0.0987567432955751"/>
        <n v="0.0991471791545531"/>
        <n v="0.100066131847026"/>
        <n v="0.101230418946524"/>
        <n v="0.101302552614435"/>
        <n v="0.102996060332913"/>
        <n v="0.103323529112712"/>
        <n v="0.105116444358842"/>
        <n v="0.106767963887706"/>
        <n v="0.106938901217945"/>
        <n v="0.107034042589135"/>
        <n v="0.109770091206827"/>
        <n v="0.109782715902018"/>
        <n v="0.110554273323178"/>
        <n v="0.1107708003132"/>
        <n v="0.111540576548872"/>
        <n v="0.111771509419574"/>
        <n v="0.111848487043141"/>
        <n v="0.111981393891033"/>
        <n v="0.11215639753741"/>
        <n v="0.112557194682702"/>
        <n v="0.11269524090238"/>
        <n v="0.113234084267351"/>
        <n v="0.11408083812659"/>
        <n v="0.11490644801078"/>
        <n v="0.117159943069278"/>
        <n v="0.117390875939979"/>
        <n v="0.117467853563547"/>
        <n v="0.118253556204095"/>
        <n v="0.118391585046353"/>
        <n v="0.118736431245547"/>
        <n v="0.119212138101499"/>
        <n v="0.120085092764831"/>
        <n v="0.120948576734594"/>
        <n v="0.121239757118339"/>
        <n v="0.12235180335078"/>
        <n v="0.125681751342442"/>
        <n v="0.128013787992253"/>
        <n v="0.128552631357223"/>
        <n v="0.129014497098627"/>
        <n v="0.131169870558508"/>
        <n v="0.131707979727509"/>
        <n v="0.132401512535583"/>
        <n v="0.133094311147688"/>
        <n v="0.134864796489734"/>
        <n v="0.136019460843242"/>
        <n v="0.137574422741235"/>
        <n v="0.139868342021602"/>
        <n v="0.143024424587857"/>
        <n v="0.143101402211424"/>
        <n v="0.143116081786459"/>
        <n v="0.143322004206295"/>
        <n v="0.144256066564932"/>
        <n v="0.14461488420932"/>
        <n v="0.144746518161241"/>
        <n v="0.145025842800604"/>
        <n v="0.145102820424171"/>
        <n v="0.146026551906978"/>
        <n v="0.149490544967502"/>
        <n v="0.150905944465975"/>
        <n v="0.151568940803816"/>
        <n v="0.151882772653744"/>
        <n v="0.152646627533757"/>
        <n v="0.153416403769429"/>
        <n v="0.155109911487907"/>
        <n v="0.156726441582818"/>
        <n v="0.158790948516681"/>
        <n v="0.158791382952166"/>
        <n v="0.159003387468791"/>
        <n v="0.16080625563188"/>
        <n v="0.16219185285609"/>
        <n v="0.162216037879533"/>
        <n v="0.162268830479657"/>
        <n v="0.163500472456732"/>
        <n v="0.164963047304509"/>
        <n v="0.165036393047422"/>
        <n v="0.165886778787315"/>
        <n v="0.166348644528718"/>
        <n v="0.166733532646554"/>
        <n v="0.167163389181431"/>
        <n v="0.167962316038139"/>
        <n v="0.168811928482869"/>
        <n v="0.169504727094974"/>
        <n v="0.169658682342108"/>
        <n v="0.16988961521281"/>
        <n v="0.171064185400235"/>
        <n v="0.171558138546552"/>
        <n v="0.171891033425557"/>
        <n v="0.17246458818577"/>
        <n v="0.175047115991812"/>
        <n v="0.176705764606983"/>
        <n v="0.176817601333858"/>
        <n v="0.177433422322395"/>
        <n v="0.178434131428769"/>
        <n v="0.179665773405844"/>
        <n v="0.179819728652978"/>
        <n v="0.179896706276546"/>
        <n v="0.181836664901246"/>
        <n v="0.183129766466368"/>
        <n v="0.183668609831338"/>
        <n v="0.183908270510931"/>
        <n v="0.187517491009698"/>
        <n v="0.188518200116072"/>
        <n v="0.190442640705252"/>
        <n v="0.193598723271507"/>
        <n v="0.194214544260045"/>
        <n v="0.194522454754313"/>
        <n v="0.194907342872149"/>
        <n v="0.195039810940201"/>
        <n v="0.196284468604404"/>
        <n v="0.196648742758482"/>
        <n v="0.19875622405051"/>
        <n v="0.200653151840432"/>
        <n v="0.200988575133958"/>
        <n v="0.201527418498929"/>
        <n v="0.202066261863899"/>
        <n v="0.203697675718522"/>
        <n v="0.204298612947348"/>
        <n v="0.205915143042259"/>
        <n v="0.207300740266469"/>
        <n v="0.209302158479216"/>
        <n v="0.210764733326993"/>
        <n v="0.211149621444829"/>
        <n v="0.211213844042559"/>
        <n v="0.211611487186232"/>
        <n v="0.213074062034009"/>
        <n v="0.213766860646113"/>
        <n v="0.213843838269681"/>
        <n v="0.216017179981217"/>
        <n v="0.217615741824473"/>
        <n v="0.218071842606992"/>
        <n v="0.218770406177981"/>
        <n v="0.220232981025758"/>
        <n v="0.220925779637863"/>
        <n v="0.221850128019058"/>
        <n v="0.222850220227043"/>
        <n v="0.224011010120888"/>
        <n v="0.224185001532585"/>
        <n v="0.224663966654674"/>
        <n v="0.225236526557626"/>
        <n v="0.225621414675462"/>
        <n v="0.226449496497561"/>
        <n v="0.227160967146806"/>
        <n v="0.227673301258489"/>
        <n v="0.22816167625318"/>
        <n v="0.230701937830897"/>
        <n v="0.231086009210022"/>
        <n v="0.231779624560838"/>
        <n v="0.234319886138556"/>
        <n v="0.234428338613003"/>
        <n v="0.234901004420561"/>
        <n v="0.23633116603681"/>
        <n v="0.237014102963408"/>
        <n v="0.2392636055598"/>
        <n v="0.23928054854371"/>
        <n v="0.239785297411827"/>
        <n v="0.24027431971539"/>
        <n v="0.240398785481811"/>
        <n v="0.242325558989544"/>
        <n v="0.242957176052313"/>
        <n v="0.243466768876085"/>
        <n v="0.244480932449426"/>
        <n v="0.24460846533037"/>
        <n v="0.245866529673636"/>
        <n v="0.246321010011796"/>
        <n v="0.246418757995895"/>
        <n v="0.248329813627786"/>
        <n v="0.249555816632267"/>
        <n v="0.249561455604861"/>
        <n v="0.250177276593399"/>
        <n v="0.2502218062306"/>
        <n v="0.250254254216966"/>
        <n v="0.250793097581936"/>
        <n v="0.251101008076205"/>
        <n v="0.251947761935444"/>
        <n v="0.252255672429713"/>
        <n v="0.252563582923982"/>
        <n v="0.254332434788604"/>
        <n v="0.254788592047736"/>
        <n v="0.255950598360939"/>
        <n v="0.256596278100353"/>
        <n v="0.257262267698685"/>
        <n v="0.258028994197253"/>
        <n v="0.258182949444388"/>
        <n v="0.258786484597413"/>
        <n v="0.259029703303627"/>
        <n v="0.259845421091826"/>
        <n v="0.260235544157255"/>
        <n v="0.260687357061537"/>
        <n v="0.261569964881344"/>
        <n v="0.262144888113335"/>
        <n v="0.262145431157691"/>
        <n v="0.262249587065193"/>
        <n v="0.263109517352688"/>
        <n v="0.264649069824032"/>
        <n v="0.266496532789645"/>
        <n v="0.267497241896019"/>
        <n v="0.267805152390288"/>
        <n v="0.268651906249527"/>
        <n v="0.269033731597194"/>
        <n v="0.269245736113819"/>
        <n v="0.271577785796695"/>
        <n v="0.272115899310051"/>
        <n v="0.272865452573901"/>
        <n v="0.274185050359247"/>
        <n v="0.276721284720019"/>
        <n v="0.276766248792705"/>
        <n v="0.277504332959755"/>
        <n v="0.277578860367187"/>
        <n v="0.278274109195427"/>
        <n v="0.278812952560397"/>
        <n v="0.279428773548935"/>
        <n v="0.281892057503085"/>
        <n v="0.282046012750219"/>
        <n v="0.282284448321745"/>
        <n v="0.282999963565355"/>
        <n v="0.284201386210101"/>
        <n v="0.284355341457235"/>
        <n v="0.284894184822206"/>
        <n v="0.28504814006934"/>
        <n v="0.285507525184125"/>
        <n v="0.287896312141327"/>
        <n v="0.288820043624133"/>
        <n v="0.289764775718279"/>
        <n v="0.290128663224775"/>
        <n v="0.290898439460447"/>
        <n v="0.291514260448985"/>
        <n v="0.291899148566821"/>
        <n v="0.291976126190388"/>
        <n v="0.295132208756643"/>
        <n v="0.295517096874479"/>
        <n v="0.296047364482978"/>
        <n v="0.296132917863017"/>
        <n v="0.29619594141881"/>
        <n v="0.296209895486584"/>
        <n v="0.296286873110151"/>
        <n v="0.298673179440735"/>
        <n v="0.300457753525555"/>
        <n v="0.300982508147751"/>
        <n v="0.302060194877691"/>
        <n v="0.302445082995527"/>
        <n v="0.303599747349035"/>
        <n v="0.304348123292722"/>
        <n v="0.304369523584707"/>
        <n v="0.304868142568132"/>
        <n v="0.304982181882915"/>
        <n v="0.305139299820379"/>
        <n v="0.305524187938215"/>
        <n v="0.305604510715016"/>
        <n v="0.306797687774259"/>
        <n v="0.308258042656708"/>
        <n v="0.309875445966944"/>
        <n v="0.310527733470083"/>
        <n v="0.310989599211487"/>
        <n v="0.31203502476232"/>
        <n v="0.312760084553532"/>
        <n v="0.313529860789204"/>
        <n v="0.314240219283608"/>
        <n v="0.315710348964467"/>
        <n v="0.317301034492382"/>
        <n v="0.317840607708967"/>
        <n v="0.31914922730961"/>
        <n v="0.320072958792416"/>
        <n v="0.320457846910252"/>
        <n v="0.321535533640193"/>
        <n v="0.322536242746566"/>
        <n v="0.322921130864403"/>
        <n v="0.323382996605806"/>
        <n v="0.323613929476507"/>
        <n v="0.32399058069755"/>
        <n v="0.323998817594343"/>
        <n v="0.325453216366295"/>
        <n v="0.325769302936389"/>
        <n v="0.326359014352285"/>
        <n v="0.326385123924926"/>
        <n v="0.326616056795628"/>
        <n v="0.326828204675963"/>
        <n v="0.326923967289897"/>
        <n v="0.32792467639627"/>
        <n v="0.329233295996913"/>
        <n v="0.329773025610272"/>
        <n v="0.330849826091824"/>
        <n v="0.331662819969533"/>
        <n v="0.332341190979184"/>
        <n v="0.333082177175273"/>
        <n v="0.333774975787378"/>
        <n v="0.334058297233202"/>
        <n v="0.334929640140886"/>
        <n v="0.336200281391439"/>
        <n v="0.336238259741528"/>
        <n v="0.33646919261223"/>
        <n v="0.337302878652083"/>
        <n v="0.337931767460006"/>
        <n v="0.338162700330708"/>
        <n v="0.33947131993135"/>
        <n v="0.339779230425619"/>
        <n v="0.339933185672754"/>
        <n v="0.340164118543455"/>
        <n v="0.341318782896963"/>
        <n v="0.341549715767665"/>
        <n v="0.341626693391232"/>
        <n v="0.342165536756202"/>
        <n v="0.342704380121173"/>
        <n v="0.343474156356845"/>
        <n v="0.343705089227546"/>
        <n v="0.343840915481896"/>
        <n v="0.344012999721815"/>
        <n v="0.34470579833392"/>
        <n v="0.344825346290651"/>
        <n v="0.34524464169889"/>
        <n v="0.345629529816726"/>
        <n v="0.345937440310995"/>
        <n v="0.34599853931759"/>
        <n v="0.346105410446872"/>
        <n v="0.346399306052398"/>
        <n v="0.346491189157452"/>
        <n v="0.3466302389231"/>
        <n v="0.346938149417369"/>
        <n v="0.348400724265146"/>
        <n v="0.349016545253683"/>
        <n v="0.349339565414116"/>
        <n v="0.349555388618654"/>
        <n v="0.349638022592234"/>
        <n v="0.350248187230758"/>
        <n v="0.350453240779625"/>
        <n v="0.351094941089998"/>
        <n v="0.351787739702102"/>
        <n v="0.352784204373789"/>
        <n v="0.354251023656253"/>
        <n v="0.354481956526954"/>
        <n v="0.354635911774089"/>
        <n v="0.355733586880689"/>
        <n v="0.355833941477698"/>
        <n v="0.358253860081747"/>
        <n v="0.358344109709378"/>
        <n v="0.35877811075878"/>
        <n v="0.359254569188121"/>
        <n v="0.359408524435255"/>
        <n v="0.359485502058822"/>
        <n v="0.359947367800225"/>
        <n v="0.360409233541629"/>
        <n v="0.36067051173095"/>
        <n v="0.360717144035897"/>
        <n v="0.360794121659465"/>
        <n v="0.361025054530166"/>
        <n v="0.362103714395593"/>
        <n v="0.362256696507241"/>
        <n v="0.362333674130809"/>
        <n v="0.362795539872212"/>
        <n v="0.363488338484317"/>
        <n v="0.364104159472854"/>
        <n v="0.364106027545439"/>
        <n v="0.364412069967123"/>
        <n v="0.364435764078469"/>
        <n v="0.364643002837825"/>
        <n v="0.364772017143772"/>
        <n v="0.365580067145662"/>
        <n v="0.365818572226865"/>
        <n v="0.366105577685602"/>
        <n v="0.366521706059156"/>
        <n v="0.366674844567579"/>
        <n v="0.366798376297706"/>
        <n v="0.367337219662677"/>
        <n v="0.367568152533378"/>
        <n v="0.367721834086157"/>
        <n v="0.368388040902232"/>
        <n v="0.369030727381155"/>
        <n v="0.369415615498991"/>
        <n v="0.369569570746125"/>
        <n v="0.36981450981686"/>
        <n v="0.369877481240394"/>
        <n v="0.370647257476066"/>
        <n v="0.370801212723201"/>
        <n v="0.371032145593902"/>
        <n v="0.372571698065246"/>
        <n v="0.372879608559515"/>
        <n v="0.373110541430217"/>
        <n v="0.373341474300918"/>
        <n v="0.37357240717162"/>
        <n v="0.373957295289456"/>
        <n v="0.374148003778612"/>
        <n v="0.374188228160157"/>
        <n v="0.374275727811169"/>
        <n v="0.374804049148695"/>
        <n v="0.37509094599856"/>
        <n v="0.3754968477608"/>
        <n v="0.375634424790154"/>
        <n v="0.375808416201851"/>
        <n v="0.376112668749337"/>
        <n v="0.376189646372905"/>
        <n v="0.376266623996472"/>
        <n v="0.376728489737875"/>
        <n v="0.376811962171941"/>
        <n v="0.377190355479278"/>
        <n v="0.377344310726413"/>
        <n v="0.37742128834998"/>
        <n v="0.377446020762135"/>
        <n v="0.377901526368039"/>
        <n v="0.378216057659097"/>
        <n v="0.379961549927697"/>
        <n v="0.380115505174832"/>
        <n v="0.38127016952834"/>
        <n v="0.381314885972799"/>
        <n v="0.381962968140445"/>
        <n v="0.382655766752549"/>
        <n v="0.383117632493953"/>
        <n v="0.383656475858923"/>
        <n v="0.38370515001065"/>
        <n v="0.384272296847461"/>
        <n v="0.384751705093743"/>
        <n v="0.386042782189506"/>
        <n v="0.386369108403979"/>
        <n v="0.387701087600644"/>
        <n v="0.387736289907985"/>
        <n v="0.387986511714215"/>
        <n v="0.388736999014358"/>
        <n v="0.388890954261493"/>
        <n v="0.389044909508627"/>
        <n v="0.389275842379329"/>
        <n v="0.389492482322577"/>
        <n v="0.389855453170201"/>
        <n v="0.389891663367866"/>
        <n v="0.390122596238568"/>
        <n v="0.39105449510849"/>
        <n v="0.391238261318597"/>
        <n v="0.392431924945584"/>
        <n v="0.39281681306342"/>
        <n v="0.393167806524725"/>
        <n v="0.393663566922659"/>
        <n v="0.393840964308558"/>
        <n v="0.394821702415691"/>
        <n v="0.394936067557088"/>
        <n v="0.395049164146869"/>
        <n v="0.395203119394003"/>
        <n v="0.395312397295871"/>
        <n v="0.395833719877736"/>
        <n v="0.395918434797289"/>
        <n v="0.396286618870732"/>
        <n v="0.39666569424178"/>
        <n v="0.398051291465989"/>
        <n v="0.398282224336691"/>
        <n v="0.399205955819497"/>
        <n v="0.399366332023098"/>
        <n v="0.399415857668376"/>
        <n v="0.399513866313766"/>
        <n v="0.400702221139127"/>
        <n v="0.401218547712916"/>
        <n v="0.40159226215008"/>
        <n v="0.403285769868559"/>
        <n v="0.403362747492126"/>
        <n v="0.404748344716336"/>
        <n v="0.405204493286758"/>
        <n v="0.405518120952008"/>
        <n v="0.405595098575575"/>
        <n v="0.406340976515223"/>
        <n v="0.407777220228261"/>
        <n v="0.408156482406568"/>
        <n v="0.408696051278798"/>
        <n v="0.409964168459184"/>
        <n v="0.410688806847976"/>
        <n v="0.410829576978144"/>
        <n v="0.410983532225279"/>
        <n v="0.411594604833967"/>
        <n v="0.411636310640516"/>
        <n v="0.412409823021358"/>
        <n v="0.413290206531482"/>
        <n v="0.413292860932295"/>
        <n v="0.414150388791559"/>
        <n v="0.414370547662236"/>
        <n v="0.414601480532937"/>
        <n v="0.414832413403639"/>
        <n v="0.414909391027206"/>
        <n v="0.41503663718073"/>
        <n v="0.415371256768609"/>
        <n v="0.415602189639311"/>
        <n v="0.415851855368121"/>
        <n v="0.416602898745684"/>
        <n v="0.416667073555512"/>
        <n v="0.416719205813698"/>
        <n v="0.418206930131695"/>
        <n v="0.418450361711297"/>
        <n v="0.420924324089666"/>
        <n v="0.421215613082283"/>
        <n v="0.422110984616636"/>
        <n v="0.422838086254628"/>
        <n v="0.423029815667173"/>
        <n v="0.423299951996031"/>
        <n v="0.423453907243165"/>
        <n v="0.424115035508422"/>
        <n v="0.424591828453086"/>
        <n v="0.424608571596673"/>
        <n v="0.425362734221018"/>
        <n v="0.425543893818216"/>
        <n v="0.426153841238998"/>
        <n v="0.426449691804207"/>
        <n v="0.426659089707922"/>
        <n v="0.427071855550824"/>
        <n v="0.428985926164979"/>
        <n v="0.429801144352371"/>
        <n v="0.42989172415097"/>
        <n v="0.430612826234915"/>
        <n v="0.433243176699133"/>
        <n v="0.433614953554036"/>
        <n v="0.434079247789799"/>
        <n v="0.434225218112721"/>
        <n v="0.434515203798884"/>
        <n v="0.434986349082244"/>
        <n v="0.43615932489144"/>
        <n v="0.436517299730987"/>
        <n v="0.436540103249589"/>
        <n v="0.436628515215119"/>
        <n v="0.436771036120291"/>
        <n v="0.43690416453028"/>
        <n v="0.436924991367425"/>
        <n v="0.438541521462336"/>
        <n v="0.438926409580172"/>
        <n v="0.438949704010872"/>
        <n v="0.439553134899381"/>
        <n v="0.439674342399664"/>
        <n v="0.441605408129989"/>
        <n v="0.442119996961838"/>
        <n v="0.442978224262233"/>
        <n v="0.443622044617772"/>
        <n v="0.443699022241339"/>
        <n v="0.443775999864906"/>
        <n v="0.444475071725412"/>
        <n v="0.444656231322611"/>
        <n v="0.44507133442842"/>
        <n v="0.445392529959817"/>
        <n v="0.445737324026753"/>
        <n v="0.445931373324788"/>
        <n v="0.448113903346829"/>
        <n v="0.448317679655371"/>
        <n v="0.448702567773207"/>
        <n v="0.448732322259567"/>
        <n v="0.448848968187259"/>
        <n v="0.449549321632446"/>
        <n v="0.450165142620983"/>
        <n v="0.451630875814736"/>
        <n v="0.451921513154125"/>
        <n v="0.452089583210163"/>
        <n v="0.452243538457298"/>
        <n v="0.452629642994492"/>
        <n v="0.452782381822268"/>
        <n v="0.452799941704567"/>
        <n v="0.453167269940104"/>
        <n v="0.455861486764956"/>
        <n v="0.45588812634889"/>
        <n v="0.456868864456023"/>
        <n v="0.457210330747144"/>
        <n v="0.457505746876868"/>
        <n v="0.457631972107002"/>
        <n v="0.458496694217896"/>
        <n v="0.459723105591733"/>
        <n v="0.459913388334114"/>
        <n v="0.460579812367931"/>
        <n v="0.46071107704969"/>
        <n v="0.46162593301554"/>
        <n v="0.462173651897467"/>
        <n v="0.462866450509571"/>
        <n v="0.463053053583395"/>
        <n v="0.463405293874542"/>
        <n v="0.463559249121676"/>
        <n v="0.463713204368811"/>
        <n v="0.463790181992378"/>
        <n v="0.464194750037679"/>
        <n v="0.464406002980915"/>
        <n v="0.464944846345886"/>
        <n v="0.465431587863154"/>
        <n v="0.467776887828318"/>
        <n v="0.468285828998864"/>
        <n v="0.468847988516308"/>
        <n v="0.469046959968387"/>
        <n v="0.470102347124888"/>
        <n v="0.470283797793861"/>
        <n v="0.470487235242724"/>
        <n v="0.471074035940871"/>
        <n v="0.472411675831904"/>
        <n v="0.472464229492511"/>
        <n v="0.4733104012082"/>
        <n v="0.473328321671952"/>
        <n v="0.473335407314711"/>
        <n v="0.474567049291786"/>
        <n v="0.474939469111205"/>
        <n v="0.475326290466949"/>
        <n v="0.476337534633831"/>
        <n v="0.476414512257399"/>
        <n v="0.478261975223011"/>
        <n v="0.478494194022748"/>
        <n v="0.479416639576519"/>
        <n v="0.480190230155749"/>
        <n v="0.481605620965512"/>
        <n v="0.482803655013476"/>
        <n v="0.483213249477338"/>
        <n v="0.483727386496283"/>
        <n v="0.484420185108387"/>
        <n v="0.484574140355522"/>
        <n v="0.484683379158197"/>
        <n v="0.485125851699554"/>
        <n v="0.486762370171125"/>
        <n v="0.486883469062538"/>
        <n v="0.487961155792479"/>
        <n v="0.48819208866318"/>
        <n v="0.488496853844538"/>
        <n v="0.488550941062407"/>
        <n v="0.488653954404583"/>
        <n v="0.488884887275285"/>
        <n v="0.489346753016688"/>
        <n v="0.489645066831096"/>
        <n v="0.490963283111599"/>
        <n v="0.491040260735166"/>
        <n v="0.491426469536877"/>
        <n v="0.491656081723704"/>
        <n v="0.492656790830078"/>
        <n v="0.500000488266614"/>
        <n v="0.500585486057499"/>
        <n v="0.501047351798902"/>
        <n v="0.501354297846395"/>
        <n v="0.501971083281709"/>
        <n v="0.502346439885006"/>
        <n v="0.502817837140948"/>
        <n v="0.50304877001165"/>
        <n v="0.504049479118023"/>
        <n v="0.50797533791995"/>
        <n v="0.508435487641188"/>
        <n v="0.509206979897026"/>
        <n v="0.509672325466663"/>
        <n v="0.511208398109773"/>
        <n v="0.511439330980474"/>
        <n v="0.511480011519279"/>
        <n v="0.518290339477955"/>
        <n v="0.519471886699268"/>
        <n v="0.519656304562603"/>
        <n v="0.519752914325732"/>
        <n v="0.519782725288705"/>
        <n v="0.520899007267123"/>
        <n v="0.521600377291345"/>
        <n v="0.524101231226228"/>
        <n v="0.524910415104734"/>
        <n v="0.525241189938573"/>
        <n v="0.525988101834675"/>
        <n v="0.526219034705377"/>
        <n v="0.528297430541691"/>
        <n v="0.529587282529386"/>
        <n v="0.530117293820949"/>
        <n v="0.531915378849349"/>
        <n v="0.535127203832671"/>
        <n v="0.536764969134083"/>
        <n v="0.53678761625591"/>
        <n v="0.539356433278049"/>
        <n v="0.539905125295462"/>
        <n v="0.540364540820731"/>
        <n v="0.541229671300981"/>
        <n v="0.541734967557808"/>
        <n v="0.54207642516022"/>
        <n v="0.542846201395892"/>
        <n v="0.542923179019459"/>
        <n v="0.543231089513728"/>
        <n v="0.5440008657494"/>
        <n v="0.544154820996534"/>
        <n v="0.546105605753518"/>
        <n v="0.548080679798461"/>
        <n v="0.548696500786999"/>
        <n v="0.549697209893373"/>
        <n v="0.550005120387641"/>
        <n v="0.553777023942434"/>
        <n v="0.554103345812553"/>
        <n v="0.554469822554539"/>
        <n v="0.554777733048808"/>
        <n v="0.55554750928448"/>
        <n v="0.556431702793807"/>
        <n v="0.556903499730394"/>
        <n v="0.557528435175405"/>
        <n v="0.559165457592138"/>
        <n v="0.561705719169856"/>
        <n v="0.561865187403293"/>
        <n v="0.562629450652662"/>
        <n v="0.566016466089619"/>
        <n v="0.566247398960321"/>
        <n v="0.566863219948858"/>
        <n v="0.567325085690261"/>
        <n v="0.568755116975865"/>
        <n v="0.570372520286101"/>
        <n v="0.570961614803608"/>
        <n v="0.571458174562835"/>
        <n v="0.571704499482766"/>
        <n v="0.575034447474428"/>
        <n v="0.575253780917683"/>
        <n v="0.575362880701003"/>
        <n v="0.5756346200968"/>
        <n v="0.576100534776922"/>
        <n v="0.577640087248266"/>
        <n v="0.577871020118968"/>
        <n v="0.579102662096043"/>
        <n v="0.58495296148715"/>
        <n v="0.585029939110717"/>
        <n v="0.585414827228553"/>
        <n v="0.58549180485212"/>
        <n v="0.587339267817733"/>
        <n v="0.589263708406913"/>
        <n v="0.594190276315214"/>
        <n v="0.597423336505036"/>
        <n v="0.598488750432529"/>
        <n v="0.598731956105679"/>
        <n v="0.603504568766845"/>
        <n v="0.603581546390412"/>
        <n v="0.603889456884681"/>
        <n v="0.605044121238189"/>
        <n v="0.607276472321638"/>
        <n v="0.608123226180877"/>
        <n v="0.608662069545848"/>
        <n v="0.608770969488844"/>
        <n v="0.608817454085727"/>
        <n v="0.609277890534385"/>
        <n v="0.611202331123565"/>
        <n v="0.61189512973567"/>
        <n v="0.613896547948417"/>
        <n v="0.613973525571984"/>
        <n v="0.616975652891105"/>
        <n v="0.617573066848148"/>
        <n v="0.617822406750344"/>
        <n v="0.618284272491747"/>
        <n v="0.620924519396312"/>
        <n v="0.622979907529347"/>
        <n v="0.623210840400048"/>
        <n v="0.6285038980834"/>
        <n v="0.628753229296887"/>
        <n v="0.632910020969515"/>
        <n v="0.633987707699456"/>
        <n v="0.634911439182263"/>
        <n v="0.639690177383766"/>
        <n v="0.639838007090564"/>
        <n v="0.645534351234536"/>
        <n v="0.648228568059388"/>
        <n v="0.648536478553657"/>
        <n v="0.651538605872778"/>
        <n v="0.653232113591256"/>
        <n v="0.655524047501457"/>
        <n v="0.656080285663243"/>
        <n v="0.656773084275347"/>
        <n v="0.657157972393183"/>
        <n v="0.657311927640318"/>
        <n v="0.659005435358796"/>
        <n v="0.663579784697724"/>
        <n v="0.663624092772828"/>
        <n v="0.66385502564353"/>
        <n v="0.665625510985575"/>
        <n v="0.666887576479657"/>
        <n v="0.667390218335672"/>
        <n v="0.668165772563293"/>
        <n v="0.669552186526214"/>
        <n v="0.673323273342295"/>
        <n v="0.676633311155685"/>
        <n v="0.680482192334045"/>
        <n v="0.682691470548891"/>
        <n v="0.682791521041061"/>
        <n v="0.684023163018136"/>
        <n v="0.684922731199273"/>
        <n v="0.686682629348552"/>
        <n v="0.690027417656378"/>
        <n v="0.692028835869125"/>
        <n v="0.692644656857662"/>
        <n v="0.694341726947117"/>
        <n v="0.694723052693977"/>
        <n v="0.695830754571568"/>
        <n v="0.700149260509092"/>
        <n v="0.701728016438592"/>
        <n v="0.702905753660702"/>
        <n v="0.703652457027772"/>
        <n v="0.703883389898473"/>
        <n v="0.704037345145608"/>
        <n v="0.704345255639877"/>
        <n v="0.705422942369818"/>
        <n v="0.706074091651986"/>
        <n v="0.709656711666013"/>
        <n v="0.712812794232269"/>
        <n v="0.715968876798524"/>
        <n v="0.716430742539927"/>
        <n v="0.717046563528465"/>
        <n v="0.717392004904273"/>
        <n v="0.718047272634838"/>
        <n v="0.718090902990585"/>
        <n v="0.718124250258405"/>
        <n v="0.718412493858273"/>
        <n v="0.718894026494077"/>
        <n v="0.719013318133873"/>
        <n v="0.719363907570177"/>
        <n v="0.720356601341854"/>
        <n v="0.72074148945969"/>
        <n v="0.720818467083257"/>
        <n v="0.721280332824661"/>
        <n v="0.721557372333373"/>
        <n v="0.725206191626588"/>
        <n v="0.725745034991558"/>
        <n v="0.727355782750165"/>
        <n v="0.728901117557813"/>
        <n v="0.7317492896298"/>
        <n v="0.735507964624078"/>
        <n v="0.736290969420265"/>
        <n v="0.736443087005298"/>
        <n v="0.737368656150205"/>
        <n v="0.737410140394657"/>
        <n v="0.743287835287442"/>
        <n v="0.743988731776984"/>
        <n v="0.745605261871896"/>
        <n v="0.750284853207038"/>
        <n v="0.751807115146083"/>
        <n v="0.753303024228616"/>
        <n v="0.755041921766555"/>
        <n v="0.755458397688497"/>
        <n v="0.755803052736078"/>
        <n v="0.756305151547736"/>
        <n v="0.758403149113129"/>
        <n v="0.758460525007618"/>
        <n v="0.758537502631185"/>
        <n v="0.759602191051418"/>
        <n v="0.761385674703172"/>
        <n v="0.764618734892994"/>
        <n v="0.765619443999367"/>
        <n v="0.767005041223577"/>
        <n v="0.771392765766908"/>
        <n v="0.772828796606558"/>
        <n v="0.773317206356088"/>
        <n v="0.776258447542001"/>
        <n v="0.777550975652284"/>
        <n v="0.781861722572047"/>
        <n v="0.787327133845318"/>
        <n v="0.788250865328124"/>
        <n v="0.788866686316662"/>
        <n v="0.788990448297597"/>
        <n v="0.790868104529409"/>
        <n v="0.791329970270812"/>
        <n v="0.792176724130051"/>
        <n v="0.792561612247887"/>
        <n v="0.793100455612858"/>
        <n v="0.794178142342799"/>
        <n v="0.798027023521159"/>
        <n v="0.798488889262562"/>
        <n v="0.799729041830786"/>
        <n v="0.799797508863204"/>
        <n v="0.80018239698104"/>
        <n v="0.800490307475309"/>
        <n v="0.801271070584394"/>
        <n v="0.802415156433845"/>
        <n v="0.804801054395072"/>
        <n v="0.806417584489983"/>
        <n v="0.808803890820567"/>
        <n v="0.812344861504658"/>
        <n v="0.814038369223136"/>
        <n v="0.816655608424421"/>
        <n v="0.818118183272198"/>
        <n v="0.819195870002139"/>
        <n v="0.819811690990676"/>
        <n v="0.822044042074125"/>
        <n v="0.825354079887515"/>
        <n v="0.826856062378126"/>
        <n v="0.829510871560143"/>
        <n v="0.834668372339146"/>
        <n v="0.835125541832957"/>
        <n v="0.840749604600955"/>
        <n v="0.841240004065005"/>
        <n v="0.842904978060836"/>
        <n v="0.844290575285046"/>
        <n v="0.845907105379957"/>
        <n v="0.848062478839838"/>
        <n v="0.851728145541157"/>
        <n v="0.854682554466618"/>
        <n v="0.857761659409305"/>
        <n v="0.858460592250457"/>
        <n v="0.858993301386381"/>
        <n v="0.859070279009948"/>
        <n v="0.860917741975561"/>
        <n v="0.863693367665926"/>
        <n v="0.866383153248832"/>
        <n v="0.866998974237369"/>
        <n v="0.87311236341377"/>
        <n v="0.873696027487716"/>
        <n v="0.874619758970522"/>
        <n v="0.877544908666076"/>
        <n v="0.883318230433616"/>
        <n v="0.883780096175019"/>
        <n v="0.884780805281393"/>
        <n v="0.886012447258468"/>
        <n v="0.887238902075854"/>
        <n v="0.887319707076043"/>
        <n v="0.889938306060395"/>
        <n v="0.895090020158739"/>
        <n v="0.901940198884443"/>
        <n v="0.903871255926058"/>
        <n v="0.904718009785297"/>
        <n v="0.905650712360867"/>
        <n v="0.907874092351553"/>
        <n v="0.908105025222254"/>
        <n v="0.909826506241604"/>
        <n v="0.9098740769272"/>
        <n v="0.911030174917808"/>
        <n v="0.912492749765585"/>
        <n v="0.917482780009518"/>
        <n v="0.917881183415288"/>
        <n v="0.918881892521662"/>
        <n v="0.92610610716679"/>
        <n v="0.930890401798145"/>
        <n v="0.935144537429873"/>
        <n v="0.93597092495358"/>
        <n v="0.937664432672059"/>
        <n v="0.942514022956792"/>
        <n v="0.944284508298838"/>
        <n v="0.949134098583572"/>
        <n v="0.949244358309636"/>
        <n v="0.950363246900964"/>
        <n v="0.950904583925617"/>
        <n v="0.951212494419886"/>
        <n v="0.951443427290587"/>
        <n v="0.952290181149827"/>
        <n v="0.956831860940291"/>
        <n v="0.957789487079629"/>
        <n v="0.959603055388711"/>
        <n v="0.962836115578533"/>
        <n v="0.964448079756498"/>
        <n v="0.969533168828879"/>
        <n v="0.972227385653731"/>
        <n v="0.973581651390771"/>
        <n v="0.977537186480671"/>
        <n v="0.979385275033382"/>
        <n v="0.984312872553782"/>
        <n v="0.985775447401559"/>
        <n v="0.989107072314192"/>
        <n v="0.990855970556994"/>
        <n v="1.00279005234621"/>
        <n v="1.00324936795131"/>
        <n v="1.006328472894"/>
        <n v="1.00756011487108"/>
        <n v="1.00856082397745"/>
        <n v="1.01048526456663"/>
        <n v="1.01316046180595"/>
        <n v="1.01356436950932"/>
        <n v="1.01364134713288"/>
        <n v="1.01564276534563"/>
        <n v="1.01602765346347"/>
        <n v="1.02056933325393"/>
        <n v="1.02146447888183"/>
        <n v="1.02464914730299"/>
        <n v="1.02526496829153"/>
        <n v="1.0260347445272"/>
        <n v="1.02772825224568"/>
        <n v="1.0295757152113"/>
        <n v="1.03088433481194"/>
        <n v="1.03580410814925"/>
        <n v="1.03741043335463"/>
        <n v="1.03799235968663"/>
        <n v="1.04081444825211"/>
        <n v="1.04150724686421"/>
        <n v="1.04158687888859"/>
        <n v="1.04204609022918"/>
        <n v="1.04281586646485"/>
        <n v="1.04333265788461"/>
        <n v="1.04351642409472"/>
        <n v="1.04443239655976"/>
        <n v="1.05151025423439"/>
        <n v="1.05266900228146"/>
        <n v="1.05605601771841"/>
        <n v="1.05651788345982"/>
        <n v="1.05736463731905"/>
        <n v="1.0619679852266"/>
        <n v="1.06672505378612"/>
        <n v="1.06752568362992"/>
        <n v="1.07019879992328"/>
        <n v="1.07110611843346"/>
        <n v="1.07221284283121"/>
        <n v="1.07653206558729"/>
        <n v="1.08647036379199"/>
        <n v="1.09046501545295"/>
        <n v="1.09462180712558"/>
        <n v="1.09992939233155"/>
        <n v="1.1023195694823"/>
        <n v="1.10524471917785"/>
        <n v="1.10597934089409"/>
        <n v="1.1074770702613"/>
        <n v="1.10863173461481"/>
        <n v="1.10901662273265"/>
        <n v="1.1104073245738"/>
        <n v="1.11109501856896"/>
        <n v="1.11249370098997"/>
        <n v="1.11410545663891"/>
        <n v="1.11632949697153"/>
        <n v="1.12402725932825"/>
        <n v="1.12472005794035"/>
        <n v="1.1250467143258"/>
        <n v="1.12525890130532"/>
        <n v="1.12564378942316"/>
        <n v="1.1352157629383"/>
        <n v="1.13578009463317"/>
        <n v="1.13911487354742"/>
        <n v="1.14727450164554"/>
        <n v="1.15104640520034"/>
        <n v="1.15220106955384"/>
        <n v="1.15227804717741"/>
        <n v="1.15249271912791"/>
        <n v="1.15416779374877"/>
        <n v="1.15553061786486"/>
        <n v="1.15689670459144"/>
        <n v="1.15745147436129"/>
        <n v="1.1607455857698"/>
        <n v="1.16089954101694"/>
        <n v="1.16186186340387"/>
        <n v="1.16881174507335"/>
        <n v="1.17367782652909"/>
        <n v="1.17383178177623"/>
        <n v="1.1741396922705"/>
        <n v="1.1788960787663"/>
        <n v="1.18029790215587"/>
        <n v="1.18222667841119"/>
        <n v="1.19184454569095"/>
        <n v="1.20068410442212"/>
        <n v="1.20092790527188"/>
        <n v="1.20493074169738"/>
        <n v="1.21162779494772"/>
        <n v="1.21232059355983"/>
        <n v="1.21886369156304"/>
        <n v="1.22201977412929"/>
        <n v="1.22556074481339"/>
        <n v="1.22962076598176"/>
        <n v="1.24349653110454"/>
        <n v="1.24442026258735"/>
        <n v="1.24565190456442"/>
        <n v="1.24796123327144"/>
        <n v="1.24806450727491"/>
        <n v="1.24905893009982"/>
        <n v="1.25165615920267"/>
        <n v="1.25776892713632"/>
        <n v="1.26528119857406"/>
        <n v="1.2712854532123"/>
        <n v="1.27367578241548"/>
        <n v="1.27622635314725"/>
        <n v="1.27717476925431"/>
        <n v="1.27955630113891"/>
        <n v="1.28052276804037"/>
        <n v="1.2993457063465"/>
        <n v="1.30269232362772"/>
        <n v="1.30708004817105"/>
        <n v="1.32385177761352"/>
        <n v="1.32440307624384"/>
        <n v="1.32894169326413"/>
        <n v="1.32963449187624"/>
        <n v="1.33159863118003"/>
        <n v="1.3341761716667"/>
        <n v="1.33694736611512"/>
        <n v="1.33856389621003"/>
        <n v="1.34033438155208"/>
        <n v="1.34064229204635"/>
        <n v="1.34695445717886"/>
        <n v="1.34828030214648"/>
        <n v="1.3583471454668"/>
        <n v="1.36065647417382"/>
        <n v="1.37035565474329"/>
        <n v="1.37335778206241"/>
        <n v="1.37489733453375"/>
        <n v="1.37512826740445"/>
        <n v="1.38109495206196"/>
        <n v="1.38183327516853"/>
        <n v="1.3830629448085"/>
        <n v="1.38345067847876"/>
        <n v="1.39424770358467"/>
        <n v="1.40522651821923"/>
        <n v="1.4057653615842"/>
        <n v="1.40692002593771"/>
        <n v="1.41646525126004"/>
        <n v="1.43370823893909"/>
        <n v="1.43493988091617"/>
        <n v="1.43555570190471"/>
        <n v="1.43632547814038"/>
        <n v="1.43750140376652"/>
        <n v="1.44683112302222"/>
        <n v="1.46280578064749"/>
        <n v="1.46295973589463"/>
        <n v="1.47047245045656"/>
        <n v="1.48025506870526"/>
        <n v="1.48990190414315"/>
        <n v="1.4928270538387"/>
        <n v="1.5040775557368"/>
        <n v="1.51947090827281"/>
        <n v="1.52161668505284"/>
        <n v="1.53362519432932"/>
        <n v="1.54501788261726"/>
        <n v="1.55466213750838"/>
        <n v="1.55671848139948"/>
        <n v="1.56079829544854"/>
        <n v="1.56712109556172"/>
        <n v="1.57255588347766"/>
        <n v="1.57296075997216"/>
        <n v="1.57773337263332"/>
        <n v="1.58058154470531"/>
        <n v="1.583660649648"/>
        <n v="1.59043468052191"/>
        <n v="1.59913315198501"/>
        <n v="1.60259714504553"/>
        <n v="1.60390576464617"/>
        <n v="1.60444460801114"/>
        <n v="1.60465436649631"/>
        <n v="1.60790860107167"/>
        <n v="1.61029490740225"/>
        <n v="1.61934784346617"/>
        <n v="1.62676811884563"/>
        <n v="1.6268450964692"/>
        <n v="1.6315407315068"/>
        <n v="1.64293341979474"/>
        <n v="1.6617769850977"/>
        <n v="1.6653339082528"/>
        <n v="1.67454873670016"/>
        <n v="1.67949779098916"/>
        <n v="1.69035163591214"/>
        <n v="1.69304585273699"/>
        <n v="1.6954192346119"/>
        <n v="1.69683136715552"/>
        <n v="1.69858824163383"/>
        <n v="1.71764223879696"/>
        <n v="1.72898719565818"/>
        <n v="1.72904180419863"/>
        <n v="1.73122675402632"/>
        <n v="1.73276630649766"/>
        <n v="1.74893160744678"/>
        <n v="1.75362724248437"/>
        <n v="1.75647541455636"/>
        <n v="1.77094720778699"/>
        <n v="1.77602773094243"/>
        <n v="1.77676510697964"/>
        <n v="1.78418735904055"/>
        <n v="1.80319225196082"/>
        <n v="1.81230236407891"/>
        <n v="1.8239847904248"/>
        <n v="1.83261309186837"/>
        <n v="1.83391490386496"/>
        <n v="1.83660912068982"/>
        <n v="1.83760982979619"/>
        <n v="1.84245942008092"/>
        <n v="1.84561550264718"/>
        <n v="1.84938740620197"/>
        <n v="1.85431397411027"/>
        <n v="1.86154987072559"/>
        <n v="1.89457327123592"/>
        <n v="1.90058008904352"/>
        <n v="1.90358855477637"/>
        <n v="1.90442640705252"/>
        <n v="1.90935297496082"/>
        <n v="1.91059969184922"/>
        <n v="1.91227812465637"/>
        <n v="1.91381767712772"/>
        <n v="1.93013693332396"/>
        <n v="1.94423711912953"/>
        <n v="1.96427701983771"/>
        <n v="1.97789396567602"/>
        <n v="1.98255869497323"/>
        <n v="1.984021269821"/>
        <n v="1.98577766642027"/>
        <n v="2.00786349760098"/>
        <n v="2.03082366494986"/>
        <n v="2.04629616728687"/>
        <n v="2.04968318272382"/>
        <n v="2.0529605075452"/>
        <n v="2.06647058225423"/>
        <n v="2.06708012565001"/>
        <n v="2.07808792582012"/>
        <n v="2.07985841116217"/>
        <n v="2.10795222009322"/>
        <n v="2.10870292461111"/>
        <n v="2.16674958748885"/>
        <n v="2.16953734261795"/>
        <n v="2.18016517247992"/>
        <n v="2.18193074001227"/>
        <n v="2.21110525934424"/>
        <n v="2.21163111743257"/>
        <n v="2.23077973029995"/>
        <n v="2.26252631188713"/>
        <n v="2.29062314448916"/>
        <n v="2.31932311256357"/>
        <n v="2.3691403205277"/>
        <n v="2.42231429853034"/>
        <n v="2.44102000442088"/>
        <n v="2.44447689446122"/>
        <n v="2.46713283532875"/>
        <n v="2.49484477981294"/>
        <n v="2.52998435466935"/>
        <n v="2.57482453069926"/>
        <n v="2.58824150153952"/>
        <n v="2.60723211022105"/>
        <n v="2.64483497772032"/>
        <n v="2.65649778930406"/>
        <n v="2.67774933057959"/>
        <n v="2.67966805399779"/>
        <n v="2.68209833388815"/>
        <n v="2.68822400455571"/>
        <n v="2.69024543286689"/>
        <n v="2.69321611574561"/>
        <n v="2.74964071382037"/>
        <n v="2.77019373931281"/>
        <n v="2.77758359117526"/>
        <n v="2.79211382032297"/>
        <n v="2.89281909365536"/>
        <n v="2.94224690406133"/>
        <n v="3.01151858919598"/>
        <n v="3.07310068804974"/>
        <n v="3.18610383944639"/>
        <n v="3.22353497459849"/>
        <n v="3.52446908663322"/>
        <n v="3.75069845467059"/>
        <n v="4.19992742357648"/>
        <n v="4.20998569114034"/>
        <n v="4.34061566265564"/>
        <n v="4.6387908921436"/>
        <n v="5.2975032182251"/>
        <n v="5.51561376903379"/>
        <n v="7.6325179667286"/>
        <n v="8.63465028375069"/>
        <n v="8.76972322696994"/>
        <n v="10.1258778894977"/>
        <n v="10.5745473923862"/>
      </sharedItems>
    </cacheField>
    <cacheField name="ESCAV. MAN. 1ª CAT. &gt;1,50&lt;3,00" numFmtId="0">
      <sharedItems containsSemiMixedTypes="0" containsString="0" containsNumber="1" minValue="0" maxValue="1.46343434565442" count="1406">
        <n v="0"/>
        <n v="0.000628532829416062"/>
        <n v="0.000639185928219724"/>
        <n v="0.000703104521041696"/>
        <n v="0.000713757619845358"/>
        <n v="0.000756370015060006"/>
        <n v="0.000777676212667331"/>
        <n v="0.000820288607881979"/>
        <n v="0.000841594805489303"/>
        <n v="0.00102269748515156"/>
        <n v="0.00118501369953259"/>
        <n v="0.00120380016481381"/>
        <n v="0.00122848223858698"/>
        <n v="0.00129967805404677"/>
        <n v="0.00139555594327973"/>
        <n v="0.00142905076733587"/>
        <n v="0.00149143383251269"/>
        <n v="0.00161591137505517"/>
        <n v="0.00176751015959963"/>
        <n v="0.0019388639822665"/>
        <n v="0.00196807868834853"/>
        <n v="0.00197502283255431"/>
        <n v="0.00198147637748114"/>
        <n v="0.00205604806910678"/>
        <n v="0.00208800736551776"/>
        <n v="0.00211996666192875"/>
        <n v="0.00221515194041495"/>
        <n v="0.00225916158161525"/>
        <n v="0.00230653808061229"/>
        <n v="0.00254119604455322"/>
        <n v="0.00255436286343691"/>
        <n v="0.00260703013897169"/>
        <n v="0.00263131540450453"/>
        <n v="0.00263336377673908"/>
        <n v="0.0026952339973265"/>
        <n v="0.00269919787115756"/>
        <n v="0.00285503047938143"/>
        <n v="0.00295090836861439"/>
        <n v="0.00300614708179144"/>
        <n v="0.00311070485066932"/>
        <n v="0.00316845367657876"/>
        <n v="0.00318637016985429"/>
        <n v="0.00321598048172744"/>
        <n v="0.00327934955525902"/>
        <n v="0.00329170472092386"/>
        <n v="0.00330487153980755"/>
        <n v="0.00333427142306841"/>
        <n v="0.00337703232076087"/>
        <n v="0.00343029781477918"/>
        <n v="0.00347291020999383"/>
        <n v="0.00352617570401214"/>
        <n v="0.00366037564966733"/>
        <n v="0.00367531908726341"/>
        <n v="0.00368670928743472"/>
        <n v="0.003810802046229"/>
        <n v="0.00381380937171102"/>
        <n v="0.00382446247051468"/>
        <n v="0.00384350866482594"/>
        <n v="0.00384840864536942"/>
        <n v="0.00389719802219188"/>
        <n v="0.00391054520845754"/>
        <n v="0.00393687884622493"/>
        <n v="0.00395464503334882"/>
        <n v="0.00397637930287602"/>
        <n v="0.0040162182489806"/>
        <n v="0.00405883064419525"/>
        <n v="0.00406355687082743"/>
        <n v="0.0041547085334282"/>
        <n v="0.00431450501548314"/>
        <n v="0.00435821705050319"/>
        <n v="0.00439970154835592"/>
        <n v="0.00446751968397605"/>
        <n v="0.00447430149753807"/>
        <n v="0.0045036532828304"/>
        <n v="0.00456257329427342"/>
        <n v="0.00456888615264231"/>
        <n v="0.00461587185564509"/>
        <n v="0.00464475107839666"/>
        <n v="0.00470147421512731"/>
        <n v="0.00472997586882596"/>
        <n v="0.00496389071915317"/>
        <n v="0.00501195862644776"/>
        <n v="0.00501655799468796"/>
        <n v="0.00502826263532849"/>
        <n v="0.00513505936464122"/>
        <n v="0.00516139300240861"/>
        <n v="0.00519871221618709"/>
        <n v="0.00524379083473785"/>
        <n v="0.00531049670483584"/>
        <n v="0.00542242729106399"/>
        <n v="0.00545438658747498"/>
        <n v="0.00554413258694562"/>
        <n v="0.00557831220582863"/>
        <n v="0.00558222377311892"/>
        <n v="0.00558922443243772"/>
        <n v="0.00559287687192258"/>
        <n v="0.00565352540410947"/>
        <n v="0.00568806575775642"/>
        <n v="0.0056994078599592"/>
        <n v="0.0057407330332912"/>
        <n v="0.00580656712770968"/>
        <n v="0.0058826220404397"/>
        <n v="0.00588556804101185"/>
        <n v="0.00592312293483611"/>
        <n v="0.0059999810836405"/>
        <n v="0.0060304030487325"/>
        <n v="0.00604030702167639"/>
        <n v="0.00608291941689104"/>
        <n v="0.00615749110851667"/>
        <n v="0.00616814420732034"/>
        <n v="0.00618840487533685"/>
        <n v="0.00623349672082896"/>
        <n v="0.00632794068937527"/>
        <n v="0.00639185928219724"/>
        <n v="0.00642540761524337"/>
        <n v="0.00654100266544851"/>
        <n v="0.0066262274558778"/>
        <n v="0.00668874399291727"/>
        <n v="0.00671712179434698"/>
        <n v="0.00674141126845206"/>
        <n v="0.00679407854398684"/>
        <n v="0.00680724536287053"/>
        <n v="0.00704980943038775"/>
        <n v="0.00716953549486457"/>
        <n v="0.00718824139604852"/>
        <n v="0.00722858356714879"/>
        <n v="0.00725476028529386"/>
        <n v="0.00733802147615813"/>
        <n v="0.00737341857486944"/>
        <n v="0.00747847536017077"/>
        <n v="0.00761366792765139"/>
        <n v="0.00769311975940848"/>
        <n v="0.00769785440318515"/>
        <n v="0.00773102697085218"/>
        <n v="0.00782608058114954"/>
        <n v="0.00783371613365287"/>
        <n v="0.0078838582658401"/>
        <n v="0.00795275860575204"/>
        <n v="0.00814962058480148"/>
        <n v="0.00817112338285515"/>
        <n v="0.00834866500917274"/>
        <n v="0.00842660115369669"/>
        <n v="0.00849051974651867"/>
        <n v="0.0085650914381443"/>
        <n v="0.00862901003096627"/>
        <n v="0.0086374331877042"/>
        <n v="0.00872473100057692"/>
        <n v="0.00881011271062853"/>
        <n v="0.00883998575765474"/>
        <n v="0.00890599059986148"/>
        <n v="0.0089271032031455"/>
        <n v="0.00892729679746881"/>
        <n v="0.00899293729756397"/>
        <n v="0.00908709327952374"/>
        <n v="0.00940339333646347"/>
        <n v="0.00947060483645557"/>
        <n v="0.00955911050956288"/>
        <n v="0.00960997411127797"/>
        <n v="0.00961974821970684"/>
        <n v="0.00968789282028834"/>
        <n v="0.00984039344174264"/>
        <n v="0.00999081983830432"/>
        <n v="0.0100199491704922"/>
        <n v="0.0105465678156254"/>
        <n v="0.0106256228391422"/>
        <n v="0.0106460043533046"/>
        <n v="0.0106776888900704"/>
        <n v="0.0108231251223976"/>
        <n v="0.0109284596734672"/>
        <n v="0.0110187335481424"/>
        <n v="0.0112816316330781"/>
        <n v="0.0113446574073594"/>
        <n v="0.0113881626211147"/>
        <n v="0.0116438369924026"/>
        <n v="0.0117290617828319"/>
        <n v="0.0118888582648869"/>
        <n v="0.0119159710897444"/>
        <n v="0.0119314706601015"/>
        <n v="0.012357594612248"/>
        <n v="0.0125067379954993"/>
        <n v="0.0126307670244852"/>
        <n v="0.0128263309596091"/>
        <n v="0.0128476371572164"/>
        <n v="0.01317788322013"/>
        <n v="0.0132844142081666"/>
        <n v="0.0132950673069703"/>
        <n v="0.0134037765317564"/>
        <n v="0.0135613947770618"/>
        <n v="0.0136146602710801"/>
        <n v="0.0136408243635085"/>
        <n v="0.0136671580012759"/>
        <n v="0.0137211912591167"/>
        <n v="0.0138483670976935"/>
        <n v="0.0140094952922519"/>
        <n v="0.0140194780256193"/>
        <n v="0.0142538461992998"/>
        <n v="0.0142991653076932"/>
        <n v="0.0145472907028211"/>
        <n v="0.0147758480406793"/>
        <n v="0.0147995044252737"/>
        <n v="0.0148126712441574"/>
        <n v="0.0151913188940221"/>
        <n v="0.0151930660527288"/>
        <n v="0.0152998435428541"/>
        <n v="0.0153298091784697"/>
        <n v="0.0154363401665063"/>
        <n v="0.0154682994629173"/>
        <n v="0.015478952561721"/>
        <n v="0.0154973458261095"/>
        <n v="0.0155215649569356"/>
        <n v="0.0155770321354632"/>
        <n v="0.0155961366485613"/>
        <n v="0.0156707083401869"/>
        <n v="0.0157878924270272"/>
        <n v="0.0159021503537073"/>
        <n v="0.0162140163791737"/>
        <n v="0.0162459756755846"/>
        <n v="0.0162566287743883"/>
        <n v="0.0163653638518326"/>
        <n v="0.0163844659600323"/>
        <n v="0.0164321899668519"/>
        <n v="0.0164980240612704"/>
        <n v="0.0166188341337128"/>
        <n v="0.016738333536513"/>
        <n v="0.0167786306157678"/>
        <n v="0.0169325290844323"/>
        <n v="0.0173933677453617"/>
        <n v="0.01771610331049"/>
        <n v="0.0177906750021156"/>
        <n v="0.0178545935949376"/>
        <n v="0.0181528803614402"/>
        <n v="0.0182273504461073"/>
        <n v="0.0183233299422988"/>
        <n v="0.0184192078315317"/>
        <n v="0.0186642291040159"/>
        <n v="0.0188240255860709"/>
        <n v="0.0190392201058236"/>
        <n v="0.019356680526254"/>
        <n v="0.0197934575772041"/>
        <n v="0.0198041106760078"/>
        <n v="0.0198061422139534"/>
        <n v="0.0198346402603044"/>
        <n v="0.0199639071580627"/>
        <n v="0.020013564703217"/>
        <n v="0.0200317818087959"/>
        <n v="0.0200704381460993"/>
        <n v="0.020081091244903"/>
        <n v="0.0202089284305469"/>
        <n v="0.0206883178767117"/>
        <n v="0.0208841980559787"/>
        <n v="0.0209759515444106"/>
        <n v="0.021019383408764"/>
        <n v="0.0211250949276619"/>
        <n v="0.0212316259156985"/>
        <n v="0.0214659940893791"/>
        <n v="0.021689709164256"/>
        <n v="0.0219754207168877"/>
        <n v="0.0219754808393483"/>
        <n v="0.0220048206001485"/>
        <n v="0.0222543234008501"/>
        <n v="0.022446079179316"/>
        <n v="0.0224494261967007"/>
        <n v="0.0224567322781196"/>
        <n v="0.0226271818589782"/>
        <n v="0.0228295907362478"/>
        <n v="0.0228397412112804"/>
        <n v="0.0229574279218918"/>
        <n v="0.0230213465147137"/>
        <n v="0.023074612008732"/>
        <n v="0.0231341007786529"/>
        <n v="0.0232446659837995"/>
        <n v="0.0233622456764309"/>
        <n v="0.0234581235656639"/>
        <n v="0.0234794297632712"/>
        <n v="0.0235113890596822"/>
        <n v="0.0236739403528844"/>
        <n v="0.0237422995906504"/>
        <n v="0.0237883696285774"/>
        <n v="0.0238677451048095"/>
        <n v="0.0242251466795275"/>
        <n v="0.0244546906269651"/>
        <n v="0.0244701679520118"/>
        <n v="0.0245553927424411"/>
        <n v="0.0246938830268887"/>
        <n v="0.0248643326077473"/>
        <n v="0.0248856388053546"/>
        <n v="0.0248962919041582"/>
        <n v="0.0251647669485444"/>
        <n v="0.025343722053912"/>
        <n v="0.0254182937455377"/>
        <n v="0.0254514609021832"/>
        <n v="0.0259509486857208"/>
        <n v="0.0260894389701684"/>
        <n v="0.0263557664402599"/>
        <n v="0.0267925434912101"/>
        <n v="0.0268777682816394"/>
        <n v="0.026920380676854"/>
        <n v="0.0269736461708723"/>
        <n v="0.0269919787115756"/>
        <n v="0.0271642295613555"/>
        <n v="0.0272146422446156"/>
        <n v="0.0275063011110555"/>
        <n v="0.0277688210257136"/>
        <n v="0.0278152409763617"/>
        <n v="0.0278898126679873"/>
        <n v="0.0279643843596129"/>
        <n v="0.0281901592299919"/>
        <n v="0.0282733242249191"/>
        <n v="0.028497039299796"/>
        <n v="0.0286887950782619"/>
        <n v="0.0289657756471572"/>
        <n v="0.0291681845244267"/>
        <n v="0.029221450018445"/>
        <n v="0.0292303379218038"/>
        <n v="0.029285368611267"/>
        <n v="0.0294877774885366"/>
        <n v="0.0295836553777696"/>
        <n v="0.0295943084765732"/>
        <n v="0.0298950819080485"/>
        <n v="0.0301163103179527"/>
        <n v="0.0301794310857217"/>
        <n v="0.0302761068000076"/>
        <n v="0.0304785156772772"/>
        <n v="0.0305743935665101"/>
        <n v="0.0307023161260482"/>
        <n v="0.0308407210366017"/>
        <n v="0.0310013652453519"/>
        <n v="0.0310254442908446"/>
        <n v="0.031091729303718"/>
        <n v="0.0311709670995152"/>
        <n v="0.0312242325935335"/>
        <n v="0.0313388326170148"/>
        <n v="0.0314372945696068"/>
        <n v="0.0315081975886831"/>
        <n v="0.0315757848540544"/>
        <n v="0.0319273371145752"/>
        <n v="0.0319804895783675"/>
        <n v="0.0320764804978265"/>
        <n v="0.0324280327583473"/>
        <n v="0.0324430417294255"/>
        <n v="0.0325084549666194"/>
        <n v="0.0327063781070994"/>
        <n v="0.0328008912164755"/>
        <n v="0.0331122047165284"/>
        <n v="0.033114549492494"/>
        <n v="0.0331844027734073"/>
        <n v="0.0332520796212449"/>
        <n v="0.0332693047062229"/>
        <n v="0.0335359550339282"/>
        <n v="0.0336233658770269"/>
        <n v="0.0336938895233766"/>
        <n v="0.0338342418004307"/>
        <n v="0.0338518913499809"/>
        <n v="0.0340259975788966"/>
        <n v="0.0340888940898874"/>
        <n v="0.0341024216435351"/>
        <n v="0.0343668967406138"/>
        <n v="0.0345365659319331"/>
        <n v="0.0345373463214724"/>
        <n v="0.0346225711119017"/>
        <n v="0.034628733664119"/>
        <n v="0.0346332242107054"/>
        <n v="0.034707795902331"/>
        <n v="0.0347504082975457"/>
        <n v="0.0348675923843859"/>
        <n v="0.0349102047796006"/>
        <n v="0.0349528171748152"/>
        <n v="0.0351976123868474"/>
        <n v="0.0352607409705363"/>
        <n v="0.0354215535221764"/>
        <n v="0.0355109105293266"/>
        <n v="0.0356030782615124"/>
        <n v="0.0357091871898752"/>
        <n v="0.0357304933874826"/>
        <n v="0.0358140179147245"/>
        <n v="0.0358476774743228"/>
        <n v="0.0359605664125739"/>
        <n v="0.0360145563822431"/>
        <n v="0.0360770837413255"/>
        <n v="0.0361992297348437"/>
        <n v="0.0362787945968268"/>
        <n v="0.0362788697499026"/>
        <n v="0.036293284109845"/>
        <n v="0.0364122917109169"/>
        <n v="0.0366253536869902"/>
        <n v="0.0368810280582781"/>
        <n v="0.0370195183427257"/>
        <n v="0.0370621307379403"/>
        <n v="0.0371793148247806"/>
        <n v="0.0372321564554513"/>
        <n v="0.0372614962162515"/>
        <n v="0.0375842335850537"/>
        <n v="0.0376587042709454"/>
        <n v="0.0377624365584385"/>
        <n v="0.0379450585326815"/>
        <n v="0.0382960534579921"/>
        <n v="0.03830227613267"/>
        <n v="0.0384044211872017"/>
        <n v="0.0384147351953273"/>
        <n v="0.0385109521752384"/>
        <n v="0.038585523866864"/>
        <n v="0.0386707486572933"/>
        <n v="0.0390116478190105"/>
        <n v="0.0390329540166178"/>
        <n v="0.0390659516279243"/>
        <n v="0.039164973320625"/>
        <n v="0.0393312407831203"/>
        <n v="0.0393525469807277"/>
        <n v="0.0394271186723533"/>
        <n v="0.0394484248699606"/>
        <n v="0.0395120001635323"/>
        <n v="0.0398425895256961"/>
        <n v="0.0399704267113401"/>
        <n v="0.0401011702167321"/>
        <n v="0.0401515293910023"/>
        <n v="0.0402580603790389"/>
        <n v="0.0403432851694682"/>
        <n v="0.0403965506634866"/>
        <n v="0.0404072037622902"/>
        <n v="0.0408439808132404"/>
        <n v="0.0408972463072587"/>
        <n v="0.0409706311815109"/>
        <n v="0.040982471097688"/>
        <n v="0.0409911930630554"/>
        <n v="0.0409931241964916"/>
        <n v="0.0410037772952953"/>
        <n v="0.0413340233582088"/>
        <n v="0.0415809944020921"/>
        <n v="0.0416536163223187"/>
        <n v="0.0418027597055699"/>
        <n v="0.0418560251995883"/>
        <n v="0.0420158216816432"/>
        <n v="0.0421193910372679"/>
        <n v="0.0421223526696798"/>
        <n v="0.0421913576226733"/>
        <n v="0.0422071397685955"/>
        <n v="0.0422288836577164"/>
        <n v="0.0422821491517347"/>
        <n v="0.0422932651934854"/>
        <n v="0.0424583915316775"/>
        <n v="0.0426604931831732"/>
        <n v="0.042884329104196"/>
        <n v="0.0429746005739728"/>
        <n v="0.0430385191667947"/>
        <n v="0.0431831978561177"/>
        <n v="0.043283540439279"/>
        <n v="0.0433900714273156"/>
        <n v="0.0434883794664083"/>
        <n v="0.0436918338732687"/>
        <n v="0.0439119722629611"/>
        <n v="0.0439866449603207"/>
        <n v="0.0441677476399829"/>
        <n v="0.0442955848256269"/>
        <n v="0.0443488503196452"/>
        <n v="0.0444979937028964"/>
        <n v="0.044636483987344"/>
        <n v="0.0446897494813624"/>
        <n v="0.0447536680741843"/>
        <n v="0.0447856273705953"/>
        <n v="0.0448377529427596"/>
        <n v="0.0448388928646136"/>
        <n v="0.0450401702371737"/>
        <n v="0.0450839141370979"/>
        <n v="0.0451655255676417"/>
        <n v="0.0451691389275271"/>
        <n v="0.0452010982239381"/>
        <n v="0.0452304578251504"/>
        <n v="0.0452437106191528"/>
        <n v="0.0453822009036004"/>
        <n v="0.0455633035832626"/>
        <n v="0.045637997924708"/>
        <n v="0.0457870186581396"/>
        <n v="0.0458995306285623"/>
        <n v="0.0459934118508768"/>
        <n v="0.0460959585234458"/>
        <n v="0.0461918364126787"/>
        <n v="0.0462310458766202"/>
        <n v="0.0463516328947336"/>
        <n v="0.0465274796688853"/>
        <n v="0.0465327355743959"/>
        <n v="0.0465646948708069"/>
        <n v="0.0466800704740306"/>
        <n v="0.0467671037480765"/>
        <n v="0.0467990630444874"/>
        <n v="0.0469801657241497"/>
        <n v="0.0470227781193644"/>
        <n v="0.0470440843169717"/>
        <n v="0.0470760436133827"/>
        <n v="0.0472358400954376"/>
        <n v="0.0472677993918486"/>
        <n v="0.0472784524906522"/>
        <n v="0.0473530241822779"/>
        <n v="0.0474275958739035"/>
        <n v="0.0475341268619401"/>
        <n v="0.0475660861583511"/>
        <n v="0.0475848834456753"/>
        <n v="0.0476086985535658"/>
        <n v="0.0477045764427987"/>
        <n v="0.0477211209415221"/>
        <n v="0.0477791481344244"/>
        <n v="0.0478324136284427"/>
        <n v="0.0478750260236573"/>
        <n v="0.047883481646524"/>
        <n v="0.0478982717718454"/>
        <n v="0.0479389446164793"/>
        <n v="0.0479516605169081"/>
        <n v="0.0479709039128903"/>
        <n v="0.0480135163081049"/>
        <n v="0.0482159251853745"/>
        <n v="0.0483011499758038"/>
        <n v="0.0483458534302001"/>
        <n v="0.0483757216674294"/>
        <n v="0.0483871575606708"/>
        <n v="0.0484715995566624"/>
        <n v="0.0484999773580921"/>
        <n v="0.0485887836435027"/>
        <n v="0.0486846615327356"/>
        <n v="0.0488225644207426"/>
        <n v="0.0490255606944528"/>
        <n v="0.0490575199908638"/>
        <n v="0.0490788261884711"/>
        <n v="0.0492307358061372"/>
        <n v="0.0492446240945488"/>
        <n v="0.0495795218322432"/>
        <n v="0.04959201167222"/>
        <n v="0.0496520740104154"/>
        <n v="0.0497180121166909"/>
        <n v="0.0497393183142982"/>
        <n v="0.0497499714131018"/>
        <n v="0.0498138900059238"/>
        <n v="0.0498778085987458"/>
        <n v="0.0499139674490336"/>
        <n v="0.0499204209939604"/>
        <n v="0.0499310740927641"/>
        <n v="0.0499630333891751"/>
        <n v="0.0501123114467382"/>
        <n v="0.0501334829700337"/>
        <n v="0.0501441360688373"/>
        <n v="0.0502080546616593"/>
        <n v="0.0503039325508923"/>
        <n v="0.0503891573413216"/>
        <n v="0.0503894158679024"/>
        <n v="0.0504317697365362"/>
        <n v="0.0504350488155404"/>
        <n v="0.0504637290329472"/>
        <n v="0.0504815836000883"/>
        <n v="0.0505934113769087"/>
        <n v="0.0506264186078089"/>
        <n v="0.0506661379102168"/>
        <n v="0.0507237268103809"/>
        <n v="0.0507449199777622"/>
        <n v="0.0507620157994497"/>
        <n v="0.0508365874910754"/>
        <n v="0.0508685467874864"/>
        <n v="0.0508898151079435"/>
        <n v="0.0509820129013597"/>
        <n v="0.0510709556647559"/>
        <n v="0.0511242211587743"/>
        <n v="0.0511455273563816"/>
        <n v="0.0511794250009241"/>
        <n v="0.0511881397515962"/>
        <n v="0.0512946707396328"/>
        <n v="0.0513159769372402"/>
        <n v="0.0513479362336512"/>
        <n v="0.0515609982097244"/>
        <n v="0.051603610604939"/>
        <n v="0.05163556990135"/>
        <n v="0.051667529197761"/>
        <n v="0.051699488494172"/>
        <n v="0.0517527539881903"/>
        <n v="0.0517791465459691"/>
        <n v="0.0517847132846013"/>
        <n v="0.051796822549402"/>
        <n v="0.0518699380750306"/>
        <n v="0.0519096423468233"/>
        <n v="0.0519658159642636"/>
        <n v="0.0519848555451041"/>
        <n v="0.0520089345905969"/>
        <n v="0.0520510407546928"/>
        <n v="0.0520616938534965"/>
        <n v="0.0520723469523002"/>
        <n v="0.0521362655451221"/>
        <n v="0.0521478174747126"/>
        <n v="0.0522001841379441"/>
        <n v="0.0522214903355514"/>
        <n v="0.0522321434343551"/>
        <n v="0.0522355662060403"/>
        <n v="0.0522986046060382"/>
        <n v="0.0523421332675533"/>
        <n v="0.052583695694876"/>
        <n v="0.0526050018924833"/>
        <n v="0.0527647983745382"/>
        <n v="0.0527709867794135"/>
        <n v="0.0528606762637712"/>
        <n v="0.0529565541530041"/>
        <n v="0.0530204727458261"/>
        <n v="0.0530950444374517"/>
        <n v="0.0531017805579436"/>
        <n v="0.053180269227881"/>
        <n v="0.0532466155656643"/>
        <n v="0.0534252905003653"/>
        <n v="0.0534704514866871"/>
        <n v="0.0536547869510588"/>
        <n v="0.0536596586740458"/>
        <n v="0.0536942874077099"/>
        <n v="0.0537981489584934"/>
        <n v="0.0538194551561007"/>
        <n v="0.0538407613537081"/>
        <n v="0.0538727206501191"/>
        <n v="0.0539027019175745"/>
        <n v="0.0539529342334527"/>
        <n v="0.0539579454405484"/>
        <n v="0.0539899047369593"/>
        <n v="0.0541188722248636"/>
        <n v="0.0541443040257212"/>
        <n v="0.0543094977010692"/>
        <n v="0.0543627631950875"/>
        <n v="0.0544113379347254"/>
        <n v="0.0544799472819278"/>
        <n v="0.0545044976875121"/>
        <n v="0.0546402241424434"/>
        <n v="0.0546560513802111"/>
        <n v="0.0546717030603937"/>
        <n v="0.054693009258001"/>
        <n v="0.0547081324617545"/>
        <n v="0.0547802794145419"/>
        <n v="0.0547920032943698"/>
        <n v="0.0548429570797759"/>
        <n v="0.0548954181352706"/>
        <n v="0.0550871739137365"/>
        <n v="0.0551191332101475"/>
        <n v="0.0552469703957915"/>
        <n v="0.0552691652033673"/>
        <n v="0.0552760191638821"/>
        <n v="0.0552895827910061"/>
        <n v="0.0554540417698849"/>
        <n v="0.0555254973143748"/>
        <n v="0.055577216458705"/>
        <n v="0.0558115846323856"/>
        <n v="0.0558222377311892"/>
        <n v="0.0560139935096551"/>
        <n v="0.0560771208908949"/>
        <n v="0.0561205244976918"/>
        <n v="0.0561311775964954"/>
        <n v="0.0562344012479713"/>
        <n v="0.0564331661029006"/>
        <n v="0.0564856530110534"/>
        <n v="0.0565603251071883"/>
        <n v="0.0567358225698436"/>
        <n v="0.056836106834218"/>
        <n v="0.0568555883151444"/>
        <n v="0.0568768945127518"/>
        <n v="0.0569614621646861"/>
        <n v="0.0569672339209091"/>
        <n v="0.0570742819621073"/>
        <n v="0.057196120128627"/>
        <n v="0.0571964874768616"/>
        <n v="0.0573151626007262"/>
        <n v="0.0573456308601129"/>
        <n v="0.0573775901565239"/>
        <n v="0.0574095494529349"/>
        <n v="0.0574202025517385"/>
        <n v="0.0574378124204647"/>
        <n v="0.0574841211445605"/>
        <n v="0.0575160804409715"/>
        <n v="0.057550632217886"/>
        <n v="0.0576545707254191"/>
        <n v="0.0576634520153072"/>
        <n v="0.057670666710586"/>
        <n v="0.0578765560771029"/>
        <n v="0.057910245096707"/>
        <n v="0.0582526220685071"/>
        <n v="0.058292934178377"/>
        <n v="0.0584168465697894"/>
        <n v="0.0585174717285157"/>
        <n v="0.0585440055740771"/>
        <n v="0.0585813903213377"/>
        <n v="0.058602696518945"/>
        <n v="0.0586941914807961"/>
        <n v="0.0587601758813663"/>
        <n v="0.0587624930009999"/>
        <n v="0.0588668631878006"/>
        <n v="0.0588919342538942"/>
        <n v="0.0589763461886554"/>
        <n v="0.0590172895843623"/>
        <n v="0.0590462686103985"/>
        <n v="0.0591033921627171"/>
        <n v="0.0593682845096728"/>
        <n v="0.0594811043070941"/>
        <n v="0.0594936398401409"/>
        <n v="0.0595934347076856"/>
        <n v="0.0599574545628727"/>
        <n v="0.0600089055610284"/>
        <n v="0.0600731602384055"/>
        <n v="0.0600933613851859"/>
        <n v="0.0601334931276739"/>
        <n v="0.0601986959362555"/>
        <n v="0.0603610265800271"/>
        <n v="0.0604105674876077"/>
        <n v="0.0604137233155676"/>
        <n v="0.0604259588375357"/>
        <n v="0.0604456826119785"/>
        <n v="0.060464106538822"/>
        <n v="0.0604669888095859"/>
        <n v="0.0606907038844628"/>
        <n v="0.0607439693784811"/>
        <n v="0.0607471931448215"/>
        <n v="0.0608307032426729"/>
        <n v="0.0608474774091959"/>
        <n v="0.0611147217468125"/>
        <n v="0.0611859368014597"/>
        <n v="0.0613047087224859"/>
        <n v="0.0613938084055045"/>
        <n v="0.0614044615043081"/>
        <n v="0.0614151146031118"/>
        <n v="0.0615118606606766"/>
        <n v="0.0615369317267703"/>
        <n v="0.0615943787379272"/>
        <n v="0.0616388296779887"/>
        <n v="0.061686546470113"/>
        <n v="0.0617134013696143"/>
        <n v="0.0620154463911325"/>
        <n v="0.0620436474325279"/>
        <n v="0.0620969129265462"/>
        <n v="0.0621010307138765"/>
        <n v="0.0621171735945627"/>
        <n v="0.0622140970133865"/>
        <n v="0.0622993218038157"/>
        <n v="0.0625021677713743"/>
        <n v="0.0625423896975533"/>
        <n v="0.0625656492739073"/>
        <n v="0.0625869554715146"/>
        <n v="0.0626403893084228"/>
        <n v="0.0626615271631403"/>
        <n v="0.062663957313"/>
        <n v="0.0627147926571586"/>
        <n v="0.0630876511152867"/>
        <n v="0.0630913378245742"/>
        <n v="0.0632270642795054"/>
        <n v="0.0632743205335812"/>
        <n v="0.0633152038068273"/>
        <n v="0.063332672387771"/>
        <n v="0.063452343139584"/>
        <n v="0.0636220688460163"/>
        <n v="0.0636484024837837"/>
        <n v="0.0637406303384302"/>
        <n v="0.0637587963399175"/>
        <n v="0.0638854052236902"/>
        <n v="0.063961205217187"/>
        <n v="0.06405708310642"/>
        <n v="0.0640829075069456"/>
        <n v="0.0641316547980456"/>
        <n v="0.0641529609956529"/>
        <n v="0.0641742671932603"/>
        <n v="0.0641849202920639"/>
        <n v="0.06424090933355"/>
        <n v="0.0642701450824932"/>
        <n v="0.0643447167741189"/>
        <n v="0.064412077979038"/>
        <n v="0.0647366490828902"/>
        <n v="0.0648070825455489"/>
        <n v="0.0648848810096379"/>
        <n v="0.0649124170966184"/>
        <n v="0.0650584743939642"/>
        <n v="0.0650835857421065"/>
        <n v="0.0651117398879825"/>
        <n v="0.06519294849804"/>
        <n v="0.0653780673580741"/>
        <n v="0.0653853403721397"/>
        <n v="0.0655024438948827"/>
        <n v="0.0655049239463847"/>
        <n v="0.065505904543718"/>
        <n v="0.0656763541245766"/>
        <n v="0.0657278941039741"/>
        <n v="0.0657814271429423"/>
        <n v="0.0659213753970609"/>
        <n v="0.0659320284958645"/>
        <n v="0.0661877028671524"/>
        <n v="0.0662198401260469"/>
        <n v="0.0663474993492073"/>
        <n v="0.0664545582124485"/>
        <n v="0.0666504371892662"/>
        <n v="0.0668162356965685"/>
        <n v="0.0668729203549243"/>
        <n v="0.0669440728822124"/>
        <n v="0.0670399507714454"/>
        <n v="0.0670612569690527"/>
        <n v="0.0670763747617847"/>
        <n v="0.067137609487963"/>
        <n v="0.0673640907972547"/>
        <n v="0.0673808499331626"/>
        <n v="0.0675299933164138"/>
        <n v="0.0675619526128248"/>
        <n v="0.0676041297214243"/>
        <n v="0.067611614967776"/>
        <n v="0.0676258712056468"/>
        <n v="0.0676578305020578"/>
        <n v="0.0677217490948797"/>
        <n v="0.0677630333849385"/>
        <n v="0.0679454641697567"/>
        <n v="0.0679561172685603"/>
        <n v="0.068009565534859"/>
        <n v="0.0680413420589896"/>
        <n v="0.0681798323434372"/>
        <n v="0.0691961424183687"/>
        <n v="0.0692771015202144"/>
        <n v="0.0693410201130364"/>
        <n v="0.0693834990363884"/>
        <n v="0.0694688572986803"/>
        <n v="0.0695208037059118"/>
        <n v="0.0695860413855206"/>
        <n v="0.0696180006819316"/>
        <n v="0.0697564909663792"/>
        <n v="0.070299799005366"/>
        <n v="0.0703634801144683"/>
        <n v="0.0704702485862246"/>
        <n v="0.0705346487599564"/>
        <n v="0.0707472291551198"/>
        <n v="0.0707791884515307"/>
        <n v="0.0707848183187466"/>
        <n v="0.0717273142450567"/>
        <n v="0.071890831104977"/>
        <n v="0.0719163530895255"/>
        <n v="0.0719297231223263"/>
        <n v="0.0719338487255765"/>
        <n v="0.0720883333882324"/>
        <n v="0.0721853974936142"/>
        <n v="0.0725314960457289"/>
        <n v="0.0726434807421716"/>
        <n v="0.0726892573824906"/>
        <n v="0.0727926241254229"/>
        <n v="0.0728245834218339"/>
        <n v="0.0731122170895327"/>
        <n v="0.0732907224788947"/>
        <n v="0.0733640718808952"/>
        <n v="0.0736129127333049"/>
        <n v="0.0740574040971818"/>
        <n v="0.0742840579579356"/>
        <n v="0.0742871921418096"/>
        <n v="0.0746426962516693"/>
        <n v="0.0747186309194781"/>
        <n v="0.074782210421622"/>
        <n v="0.074901937688548"/>
        <n v="0.0749718667237617"/>
        <n v="0.0750191217753883"/>
        <n v="0.0751256527634249"/>
        <n v="0.0751363058622285"/>
        <n v="0.0751789182574432"/>
        <n v="0.0752854492454798"/>
        <n v="0.0753067554430871"/>
        <n v="0.0755767287391929"/>
        <n v="0.0758500634820739"/>
        <n v="0.0759352882725032"/>
        <n v="0.0760737785569508"/>
        <n v="0.0761163909521655"/>
        <n v="0.0766383927935449"/>
        <n v="0.0766835531786421"/>
        <n v="0.0767342706827778"/>
        <n v="0.0767768830779925"/>
        <n v="0.0768834140660291"/>
        <n v="0.0770057795065288"/>
        <n v="0.0770710724988013"/>
        <n v="0.0771575586584552"/>
        <n v="0.0773841097098012"/>
        <n v="0.0777356619703221"/>
        <n v="0.0777577311219551"/>
        <n v="0.077863499155966"/>
        <n v="0.0783322355033272"/>
        <n v="0.0783641947997382"/>
        <n v="0.0784494195901674"/>
        <n v="0.0785133381829894"/>
        <n v="0.0787112432867312"/>
        <n v="0.0789350792077541"/>
        <n v="0.0790166052644038"/>
        <n v="0.0790853252369338"/>
        <n v="0.0791194146721258"/>
        <n v="0.0795802533330551"/>
        <n v="0.0796106073597666"/>
        <n v="0.0796257059133112"/>
        <n v="0.0796633125124516"/>
        <n v="0.0797277914466069"/>
        <n v="0.0799408534226801"/>
        <n v="0.0799728127190911"/>
        <n v="0.0801432622999497"/>
        <n v="0.080952897809028"/>
        <n v="0.0809635509078317"/>
        <n v="0.08101681640185"/>
        <n v="0.0810274695006537"/>
        <n v="0.0812831438719415"/>
        <n v="0.0815494713420331"/>
        <n v="0.0822312696654675"/>
        <n v="0.0826786998152213"/>
        <n v="0.082826144738959"/>
        <n v="0.0828598024948835"/>
        <n v="0.0835202946207106"/>
        <n v="0.0835309477195142"/>
        <n v="0.0835735601147289"/>
        <n v="0.0837333565967838"/>
        <n v="0.08404229646209"/>
        <n v="0.0841594805489303"/>
        <n v="0.0842340522405559"/>
        <n v="0.0842491231377686"/>
        <n v="0.0842555562410588"/>
        <n v="0.0843192770309852"/>
        <n v="0.0845856045010768"/>
        <n v="0.0846814823903097"/>
        <n v="0.084958462959205"/>
        <n v="0.0849691160580086"/>
        <n v="0.0853845869113514"/>
        <n v="0.0854672643131227"/>
        <n v="0.0855017709981917"/>
        <n v="0.0855656895910137"/>
        <n v="0.0859310790358546"/>
        <n v="0.0862155286180371"/>
        <n v="0.0862474879144481"/>
        <n v="0.086980005545692"/>
        <n v="0.0870145110283117"/>
        <n v="0.0875897783637095"/>
        <n v="0.0877389217469608"/>
        <n v="0.0878667589326047"/>
        <n v="0.088528098785127"/>
        <n v="0.0885485572560391"/>
        <n v="0.0893368865675101"/>
        <n v="0.0897097450256382"/>
        <n v="0.0897523574208529"/>
        <n v="0.0901678282741957"/>
        <n v="0.0904021964478763"/>
        <n v="0.0907193821086615"/>
        <n v="0.0907963611036118"/>
        <n v="0.0908922389928447"/>
        <n v="0.0909455044868631"/>
        <n v="0.0909668106844704"/>
        <n v="0.0912011788581509"/>
        <n v="0.0918342328966083"/>
        <n v="0.0918403647863706"/>
        <n v="0.0918723240827816"/>
        <n v="0.0921173453552659"/>
        <n v="0.0922920053120442"/>
        <n v="0.0923615669990234"/>
        <n v="0.0924688976157867"/>
        <n v="0.0926607664244787"/>
        <n v="0.0931826552356321"/>
        <n v="0.0936407384841896"/>
        <n v="0.0941733934243726"/>
        <n v="0.0944791401857934"/>
        <n v="0.0944929863884825"/>
        <n v="0.0946634359693411"/>
        <n v="0.0947879291437233"/>
        <n v="0.0950314852318414"/>
        <n v="0.0954943776760267"/>
        <n v="0.0957713582449219"/>
        <n v="0.0958565830353512"/>
        <n v="0.0960914442132092"/>
        <n v="0.0961442167030501"/>
        <n v="0.0962975139471081"/>
        <n v="0.0968951612672605"/>
        <n v="0.0971136486941834"/>
        <n v="0.0972766382801238"/>
        <n v="0.0973799761642749"/>
        <n v="0.0974119354606859"/>
        <n v="0.0974332416582932"/>
        <n v="0.0974758540535079"/>
        <n v="0.0976249974367592"/>
        <n v="0.097715111385689"/>
        <n v="0.0982109178709606"/>
        <n v="0.0986476949219107"/>
        <n v="0.0990844719728609"/>
        <n v="0.0991483905656828"/>
        <n v="0.0992336153561121"/>
        <n v="0.0992814217307029"/>
        <n v="0.0993721056405597"/>
        <n v="0.0993781437392834"/>
        <n v="0.0993827587393634"/>
        <n v="0.0994226493907841"/>
        <n v="0.0994892897274"/>
        <n v="0.0995057987538716"/>
        <n v="0.0995543175796211"/>
        <n v="0.0996916986046696"/>
        <n v="0.0997449640986879"/>
        <n v="0.0997556171974916"/>
        <n v="0.0998195357903135"/>
        <n v="0.099857875883474"/>
        <n v="0.1003628438293"/>
        <n v="0.100437415520926"/>
        <n v="0.100660330365852"/>
        <n v="0.100874192571876"/>
        <n v="0.101268357227612"/>
        <n v="0.101788528340064"/>
        <n v="0.101896890057028"/>
        <n v="0.101917941936626"/>
        <n v="0.102046033440279"/>
        <n v="0.102051774534047"/>
        <n v="0.102865201365494"/>
        <n v="0.102962199937394"/>
        <n v="0.103185915012271"/>
        <n v="0.103833533716822"/>
        <n v="0.104044202818961"/>
        <n v="0.104251224892637"/>
        <n v="0.104491874661007"/>
        <n v="0.104549511659139"/>
        <n v="0.104597209212076"/>
        <n v="0.10466669574598"/>
        <n v="0.104957042139103"/>
        <n v="0.104964982512482"/>
        <n v="0.104975635611286"/>
        <n v="0.105122980130514"/>
        <n v="0.105369800267021"/>
        <n v="0.105817230416775"/>
        <n v="0.105955720701223"/>
        <n v="0.106147476479689"/>
        <n v="0.106754703111498"/>
        <n v="0.106953438506421"/>
        <n v="0.107021030581589"/>
        <n v="0.107428075272071"/>
        <n v="0.107606951015791"/>
        <n v="0.108203524548796"/>
        <n v="0.108959894563856"/>
        <n v="0.1090877317495"/>
        <n v="0.109172956539929"/>
        <n v="0.109190084226521"/>
        <n v="0.109449937108824"/>
        <n v="0.109513855701646"/>
        <n v="0.109631039788486"/>
        <n v="0.109684305282505"/>
        <n v="0.10975887697413"/>
        <n v="0.109908020357382"/>
        <n v="0.110440675297565"/>
        <n v="0.110504593890387"/>
        <n v="0.110676221270249"/>
        <n v="0.110685696570049"/>
        <n v="0.110738962064067"/>
        <n v="0.110781574459282"/>
        <n v="0.110889625944348"/>
        <n v="0.111047958444486"/>
        <n v="0.111378147992287"/>
        <n v="0.111601863067164"/>
        <n v="0.111932109130077"/>
        <n v="0.112422151675046"/>
        <n v="0.112656519848726"/>
        <n v="0.113018725208051"/>
        <n v="0.11322113408532"/>
        <n v="0.113370277468572"/>
        <n v="0.113455502259001"/>
        <n v="0.113764442124307"/>
        <n v="0.114222525372865"/>
        <n v="0.11443038795854"/>
        <n v="0.114797792708262"/>
        <n v="0.115511550328108"/>
        <n v="0.11557481899713"/>
        <n v="0.116353145133597"/>
        <n v="0.116421012569635"/>
        <n v="0.1166514319001"/>
        <n v="0.116843187678566"/>
        <n v="0.117066902753442"/>
        <n v="0.117365189519945"/>
        <n v="0.117872489014796"/>
        <n v="0.11828135601706"/>
        <n v="0.118707479969206"/>
        <n v="0.118804206787584"/>
        <n v="0.118877929550065"/>
        <n v="0.118888582648869"/>
        <n v="0.119144257020157"/>
        <n v="0.119528381826187"/>
        <n v="0.119900627035217"/>
        <n v="0.119985851825646"/>
        <n v="0.120831896895673"/>
        <n v="0.120912671421564"/>
        <n v="0.121040508607208"/>
        <n v="0.121445326361748"/>
        <n v="0.122244308772022"/>
        <n v="0.122308227364844"/>
        <n v="0.122446717649292"/>
        <n v="0.12261716723015"/>
        <n v="0.122786898948829"/>
        <n v="0.122798081726511"/>
        <n v="0.123160475269137"/>
        <n v="0.123873432057807"/>
        <n v="0.124821443017433"/>
        <n v="0.1250886861526"/>
        <n v="0.12520587023944"/>
        <n v="0.125334948953897"/>
        <n v="0.12564264729039"/>
        <n v="0.125674606586801"/>
        <n v="0.125912846045724"/>
        <n v="0.125919429455165"/>
        <n v="0.126079424341341"/>
        <n v="0.12628183321861"/>
        <n v="0.126972414231097"/>
        <n v="0.127027550134866"/>
        <n v="0.127166040419314"/>
        <n v="0.128165815013891"/>
        <n v="0.128827923832685"/>
        <n v="0.129416662807842"/>
        <n v="0.129531028353727"/>
        <n v="0.129765396527408"/>
        <n v="0.130436541752038"/>
        <n v="0.130681563024523"/>
        <n v="0.131352708249153"/>
        <n v="0.131367967329668"/>
        <n v="0.131522812727088"/>
        <n v="0.131597729521637"/>
        <n v="0.131640341916852"/>
        <n v="0.131672301213263"/>
        <n v="0.131789485300103"/>
        <n v="0.132418018129519"/>
        <n v="0.132550546069544"/>
        <n v="0.132801529686451"/>
        <n v="0.133248959836205"/>
        <n v="0.133472043024021"/>
        <n v="0.134175779432124"/>
        <n v="0.134548637890252"/>
        <n v="0.134736057636855"/>
        <n v="0.135283472641129"/>
        <n v="0.135539233588761"/>
        <n v="0.136221174402427"/>
        <n v="0.136423583279696"/>
        <n v="0.136884654013324"/>
        <n v="0.137126687800738"/>
        <n v="0.13877827103415"/>
        <n v="0.138841836708128"/>
        <n v="0.139267960660274"/>
        <n v="0.139438410241133"/>
        <n v="0.13957690052558"/>
        <n v="0.139843227995672"/>
        <n v="0.140213454292473"/>
        <n v="0.140269351947818"/>
        <n v="0.140280005046622"/>
        <n v="0.140556985615517"/>
        <n v="0.140610251109536"/>
        <n v="0.141238783938952"/>
        <n v="0.141362665066684"/>
        <n v="0.141803398175546"/>
        <n v="0.141888622965975"/>
        <n v="0.141995153954012"/>
        <n v="0.142229522127692"/>
        <n v="0.14248519649898"/>
        <n v="0.142666299178642"/>
        <n v="0.143347157186792"/>
        <n v="0.143569459985068"/>
        <n v="0.143649994021117"/>
        <n v="0.144040548924315"/>
        <n v="0.144136426813548"/>
        <n v="0.144147447260586"/>
        <n v="0.144210998505173"/>
        <n v="0.14431752949321"/>
        <n v="0.144389049368733"/>
        <n v="0.14441448116959"/>
        <n v="0.144541244568087"/>
        <n v="0.145520764506894"/>
        <n v="0.145681126140079"/>
        <n v="0.14614986248744"/>
        <n v="0.146213781080262"/>
        <n v="0.146330965167102"/>
        <n v="0.146968032379808"/>
        <n v="0.147626373323993"/>
        <n v="0.147737174209186"/>
        <n v="0.1481071125194"/>
        <n v="0.14823267827848"/>
        <n v="0.148385840247002"/>
        <n v="0.148983586769214"/>
        <n v="0.150358969222045"/>
        <n v="0.150911797652677"/>
        <n v="0.151487064988075"/>
        <n v="0.152221593114403"/>
        <n v="0.152552374868441"/>
        <n v="0.15295719262298"/>
        <n v="0.1530588585015"/>
        <n v="0.153266132488286"/>
        <n v="0.153425928970341"/>
        <n v="0.153479194464359"/>
        <n v="0.153671656681738"/>
        <n v="0.153766828132058"/>
        <n v="0.153960394799039"/>
        <n v="0.154183449128073"/>
        <n v="0.154491238850707"/>
        <n v="0.155556548731073"/>
        <n v="0.155652426620306"/>
        <n v="0.155697633299698"/>
        <n v="0.155726998311932"/>
        <n v="0.15578026380595"/>
        <n v="0.157104949797507"/>
        <n v="0.157183048873899"/>
        <n v="0.157644556096591"/>
        <n v="0.158773784569779"/>
        <n v="0.159295786411159"/>
        <n v="0.159455582893214"/>
        <n v="0.159466235992017"/>
        <n v="0.159495944904726"/>
        <n v="0.159727762082401"/>
        <n v="0.159916366241479"/>
        <n v="0.160105421920237"/>
        <n v="0.16018219770127"/>
        <n v="0.16063807686042"/>
        <n v="0.160659383058028"/>
        <n v="0.160792560921852"/>
        <n v="0.161754369986198"/>
        <n v="0.162427797459435"/>
        <n v="0.162449103657043"/>
        <n v="0.162491716052257"/>
        <n v="0.163149962604179"/>
        <n v="0.16334396395655"/>
        <n v="0.163610891448799"/>
        <n v="0.1649419287771"/>
        <n v="0.166165254312236"/>
        <n v="0.166198994435932"/>
        <n v="0.166752955573722"/>
        <n v="0.167679775169641"/>
        <n v="0.167775653058874"/>
        <n v="0.168681166457185"/>
        <n v="0.169117943508135"/>
        <n v="0.169607986053104"/>
        <n v="0.17016986111039"/>
        <n v="0.172090158074357"/>
        <n v="0.172217995260001"/>
        <n v="0.17238844484086"/>
        <n v="0.172708037804969"/>
        <n v="0.172722330116317"/>
        <n v="0.172859950428758"/>
        <n v="0.173219386547545"/>
        <n v="0.174065345642453"/>
        <n v="0.175104985035793"/>
        <n v="0.175935926742479"/>
        <n v="0.176266729539378"/>
        <n v="0.17661970850589"/>
        <n v="0.176750961849749"/>
        <n v="0.17708054716682"/>
        <n v="0.177214298598918"/>
        <n v="0.179819245494628"/>
        <n v="0.180282391054373"/>
        <n v="0.180889617686182"/>
        <n v="0.183210693377781"/>
        <n v="0.183286988780353"/>
        <n v="0.183915097746422"/>
        <n v="0.184010975635655"/>
        <n v="0.184282797096201"/>
        <n v="0.184639508465071"/>
        <n v="0.185023020022003"/>
        <n v="0.18524673509688"/>
        <n v="0.185491756369364"/>
        <n v="0.185534368764579"/>
        <n v="0.186407922866479"/>
        <n v="0.186591409401706"/>
        <n v="0.187984581489421"/>
        <n v="0.188304174453531"/>
        <n v="0.189646464902792"/>
        <n v="0.190061935756135"/>
        <n v="0.190274997732208"/>
        <n v="0.190306957028619"/>
        <n v="0.191132699344907"/>
        <n v="0.191234877466792"/>
        <n v="0.19140505409168"/>
        <n v="0.191458713387815"/>
        <n v="0.192952936902502"/>
        <n v="0.194472318660851"/>
        <n v="0.194546890352477"/>
        <n v="0.194706686834532"/>
        <n v="0.196027671086186"/>
        <n v="0.198413965218206"/>
        <n v="0.198584414799065"/>
        <n v="0.198669639589494"/>
        <n v="0.19877617057753"/>
        <n v="0.19893890945281"/>
        <n v="0.200230069356631"/>
        <n v="0.20244083656599"/>
        <n v="0.202462142763598"/>
        <n v="0.203501843481847"/>
        <n v="0.204855681050902"/>
        <n v="0.206190727344879"/>
        <n v="0.206595545099418"/>
        <n v="0.208152526242212"/>
        <n v="0.210282845390641"/>
        <n v="0.210579804051988"/>
        <n v="0.212241687465359"/>
        <n v="0.213818346088301"/>
        <n v="0.215153035254862"/>
        <n v="0.215437617106458"/>
        <n v="0.216002231343052"/>
        <n v="0.216877257242789"/>
        <n v="0.217629389225598"/>
        <n v="0.217685420954031"/>
        <n v="0.218345913079858"/>
        <n v="0.218740077735593"/>
        <n v="0.21916620168774"/>
        <n v="0.220103674382462"/>
        <n v="0.221307474547276"/>
        <n v="0.221786863993441"/>
        <n v="0.221967966673103"/>
        <n v="0.222042538364728"/>
        <n v="0.222071567292407"/>
        <n v="0.222521927810893"/>
        <n v="0.222852173873807"/>
        <n v="0.224105029156719"/>
        <n v="0.22513193701779"/>
        <n v="0.225142590116594"/>
        <n v="0.225792429143617"/>
        <n v="0.227369087766559"/>
        <n v="0.229976889276701"/>
        <n v="0.230469139518425"/>
        <n v="0.231744399436301"/>
        <n v="0.232429309698299"/>
        <n v="0.233931396629615"/>
        <n v="0.234304255087743"/>
        <n v="0.234632712507452"/>
        <n v="0.234828140565815"/>
        <n v="0.235071278201607"/>
        <n v="0.237708201829242"/>
        <n v="0.239278254797431"/>
        <n v="0.239285812190736"/>
        <n v="0.23958819209436"/>
        <n v="0.239801254070433"/>
        <n v="0.242038404819202"/>
        <n v="0.242688243846225"/>
        <n v="0.243082408501961"/>
        <n v="0.245085191077049"/>
        <n v="0.245788295598091"/>
        <n v="0.245890342653012"/>
        <n v="0.246917524071279"/>
        <n v="0.249547652057186"/>
        <n v="0.250808420057145"/>
        <n v="0.252425176152773"/>
        <n v="0.253619265337741"/>
        <n v="0.253799425898445"/>
        <n v="0.254172284356573"/>
        <n v="0.254310774641021"/>
        <n v="0.254981919865652"/>
        <n v="0.255418696916602"/>
        <n v="0.255940698757981"/>
        <n v="0.256622497081415"/>
        <n v="0.25762388836896"/>
        <n v="0.262194067755731"/>
        <n v="0.263025364184934"/>
        <n v="0.263441712224978"/>
        <n v="0.263557664402599"/>
        <n v="0.264239462726034"/>
        <n v="0.264411998556277"/>
        <n v="0.264644280480573"/>
        <n v="0.264857342456646"/>
        <n v="0.267115799403023"/>
        <n v="0.269067154427715"/>
        <n v="0.271840519366338"/>
        <n v="0.273724997773144"/>
        <n v="0.274370559688317"/>
        <n v="0.274572968565586"/>
        <n v="0.274816040066671"/>
        <n v="0.277872545721508"/>
        <n v="0.281050052638213"/>
        <n v="0.283191325497749"/>
        <n v="0.28366006184511"/>
        <n v="0.28411361787238"/>
        <n v="0.285983306153865"/>
        <n v="0.286067662174737"/>
        <n v="0.287591055303661"/>
        <n v="0.287836076576145"/>
        <n v="0.291724039187156"/>
        <n v="0.29182793079917"/>
        <n v="0.29986113325728"/>
        <n v="0.300246936682412"/>
        <n v="0.301717744903572"/>
        <n v="0.301962085589801"/>
        <n v="0.305999610036389"/>
        <n v="0.306072384667666"/>
        <n v="0.308722402366007"/>
        <n v="0.313115880037235"/>
        <n v="0.317004261100572"/>
        <n v="0.320976111378487"/>
        <n v="0.327870421880307"/>
        <n v="0.335229283003778"/>
        <n v="0.33781800585348"/>
        <n v="0.338296412297413"/>
        <n v="0.341431816657369"/>
        <n v="0.345266932226688"/>
        <n v="0.350129973530336"/>
        <n v="0.356335501883692"/>
        <n v="0.358192305320634"/>
        <n v="0.360820456480034"/>
        <n v="0.366024398147849"/>
        <n v="0.367638439714378"/>
        <n v="0.370579486195771"/>
        <n v="0.37084502245428"/>
        <n v="0.371181354112661"/>
        <n v="0.372029098844651"/>
        <n v="0.372308848654084"/>
        <n v="0.372719967843725"/>
        <n v="0.380528689266809"/>
        <n v="0.383373066647387"/>
        <n v="0.384395764132538"/>
        <n v="0.38640663377981"/>
        <n v="0.40034345304162"/>
        <n v="0.407183873978281"/>
        <n v="0.416770531396867"/>
        <n v="0.425293010439797"/>
        <n v="0.440931759483573"/>
        <n v="0.44611193474269"/>
        <n v="0.487758853422892"/>
        <n v="0.519067221989092"/>
        <n v="0.581236984699991"/>
        <n v="0.582628969970332"/>
        <n v="0.600707132542567"/>
        <n v="0.641972243536372"/>
        <n v="0.733132858371543"/>
        <n v="0.763317646368509"/>
        <n v="1.05628056897995"/>
        <n v="1.19496781460866"/>
        <n v="1.21366084958603"/>
        <n v="1.40134200864836"/>
        <n v="1.46343434565442"/>
      </sharedItems>
    </cacheField>
    <cacheField name="ESCAV. MEC. 1ª CAT. &lt;1,50" numFmtId="0">
      <sharedItems containsSemiMixedTypes="0" containsString="0" containsNumber="1" minValue="0" maxValue="835.388857289883" count="1406">
        <n v="0"/>
        <n v="0.358792537358592"/>
        <n v="0.364873766805348"/>
        <n v="0.401361143485883"/>
        <n v="0.407442372932638"/>
        <n v="0.431767290719662"/>
        <n v="0.443929749613173"/>
        <n v="0.468254667400196"/>
        <n v="0.480417126293708"/>
        <n v="0.583798026888556"/>
        <n v="0.67645483602662"/>
        <n v="0.687178927483405"/>
        <n v="0.701268476130488"/>
        <n v="0.741909992504207"/>
        <n v="0.796641057525009"/>
        <n v="0.815761288559956"/>
        <n v="0.851372122545812"/>
        <n v="0.922429052657913"/>
        <n v="1.00896790953468"/>
        <n v="1.10678375930955"/>
        <n v="1.12346072196415"/>
        <n v="1.12742472671103"/>
        <n v="1.13110867709658"/>
        <n v="1.17367728322387"/>
        <n v="1.19192097156414"/>
        <n v="1.2101646599044"/>
        <n v="1.26450035406214"/>
        <n v="1.28962287765278"/>
        <n v="1.31666734293888"/>
        <n v="1.45061981503486"/>
        <n v="1.4581359798796"/>
        <n v="1.48820063925856"/>
        <n v="1.50206367334868"/>
        <n v="1.50323296894804"/>
        <n v="1.53855105002922"/>
        <n v="1.54081379317175"/>
        <n v="1.62976949173055"/>
        <n v="1.68450055675136"/>
        <n v="1.71603309910022"/>
        <n v="1.77571899845269"/>
        <n v="1.8086844169763"/>
        <n v="1.81891189242713"/>
        <n v="1.83581468323094"/>
        <n v="1.87198837157047"/>
        <n v="1.87904121118505"/>
        <n v="1.8865573760298"/>
        <n v="1.90334004547764"/>
        <n v="1.92774973462159"/>
        <n v="1.95815588185537"/>
        <n v="1.98248079964239"/>
        <n v="2.01288694687617"/>
        <n v="2.08949382683778"/>
        <n v="2.09802415913075"/>
        <n v="2.10452615652726"/>
        <n v="2.17536343615988"/>
        <n v="2.17708014193858"/>
        <n v="2.18316137138533"/>
        <n v="2.19403372691577"/>
        <n v="2.19683083849041"/>
        <n v="2.22468183288085"/>
        <n v="2.23230095888785"/>
        <n v="2.24733328857733"/>
        <n v="2.25747496305961"/>
        <n v="2.26988178311155"/>
        <n v="2.29262350142694"/>
        <n v="2.31694841921396"/>
        <n v="2.31964634486896"/>
        <n v="2.37167948423476"/>
        <n v="2.4628979259361"/>
        <n v="2.48785056360901"/>
        <n v="2.51153163092806"/>
        <n v="2.55024502793658"/>
        <n v="2.55411636763744"/>
        <n v="2.57087158077534"/>
        <n v="2.60450556044587"/>
        <n v="2.60810920112486"/>
        <n v="2.63493058389273"/>
        <n v="2.65141603878553"/>
        <n v="2.68379595149977"/>
        <n v="2.70006587435957"/>
        <n v="2.83359414646706"/>
        <n v="2.86103329620848"/>
        <n v="2.86365880584602"/>
        <n v="2.87034029886874"/>
        <n v="2.93130428944869"/>
        <n v="2.94633661913817"/>
        <n v="2.96763997001683"/>
        <n v="2.99337271009578"/>
        <n v="3.03145117993705"/>
        <n v="3.0953457883987"/>
        <n v="3.11358947673897"/>
        <n v="3.16482020544692"/>
        <n v="3.18433134569456"/>
        <n v="3.18656423010004"/>
        <n v="3.1905604960111"/>
        <n v="3.19264545954679"/>
        <n v="3.22726615035561"/>
        <n v="3.24698321292777"/>
        <n v="3.25345775401435"/>
        <n v="3.27704787230674"/>
        <n v="3.31462869653044"/>
        <n v="3.35804398661535"/>
        <n v="3.35972568559888"/>
        <n v="3.38116357239622"/>
        <n v="3.42503738285706"/>
        <n v="3.44240349889102"/>
        <n v="3.44805709631054"/>
        <n v="3.47238201409756"/>
        <n v="3.51495062022485"/>
        <n v="3.52103184967161"/>
        <n v="3.5325974770279"/>
        <n v="3.55833776759208"/>
        <n v="3.61225029137294"/>
        <n v="3.64873766805348"/>
        <n v="3.66788844423323"/>
        <n v="3.73387488030806"/>
        <n v="3.78252471588211"/>
        <n v="3.81821174112803"/>
        <n v="3.83441096398976"/>
        <n v="3.84827640050699"/>
        <n v="3.87834105988595"/>
        <n v="3.88585722473069"/>
        <n v="4.02432282777227"/>
        <n v="4.09266741766665"/>
        <n v="4.1033455198043"/>
        <n v="4.12637449976238"/>
        <n v="4.1413172532407"/>
        <n v="4.18884618496164"/>
        <n v="4.20905231305452"/>
        <n v="4.26902307162257"/>
        <n v="4.34619658118047"/>
        <n v="4.39155097315455"/>
        <n v="4.39425370366379"/>
        <n v="4.41318997742217"/>
        <n v="4.46745050993146"/>
        <n v="4.47180919913366"/>
        <n v="4.50043240224103"/>
        <n v="4.53976356622309"/>
        <n v="4.65214052676819"/>
        <n v="4.66441521332856"/>
        <n v="4.76576331737658"/>
        <n v="4.81025249238384"/>
        <n v="4.84673986906437"/>
        <n v="4.88930847519166"/>
        <n v="4.9257958518722"/>
        <n v="4.93060413814958"/>
        <n v="4.98043734068184"/>
        <n v="5.02917675246704"/>
        <n v="5.04622952336388"/>
        <n v="5.08390781748785"/>
        <n v="5.09595976473387"/>
        <n v="5.09607027638136"/>
        <n v="5.13354058895757"/>
        <n v="5.18728871808269"/>
        <n v="5.36784587386644"/>
        <n v="5.4062129781659"/>
        <n v="5.4567356772814"/>
        <n v="5.48577072503779"/>
        <n v="5.49135019042048"/>
        <n v="5.53024994713269"/>
        <n v="5.61730360982075"/>
        <n v="5.70317321914285"/>
        <n v="5.71980144684731"/>
        <n v="6.02041715228824"/>
        <n v="6.06554502970536"/>
        <n v="6.07717964104037"/>
        <n v="6.09526648521013"/>
        <n v="6.17828750237646"/>
        <n v="6.23841682113438"/>
        <n v="6.28994888284387"/>
        <n v="6.44002198411439"/>
        <n v="6.47599970304175"/>
        <n v="6.50083427858195"/>
        <n v="6.64678378530409"/>
        <n v="6.69543362087813"/>
        <n v="6.78665206257947"/>
        <n v="6.8021291844899"/>
        <n v="6.81097698036649"/>
        <n v="7.05422615823673"/>
        <n v="7.13936337049131"/>
        <n v="7.21016427051326"/>
        <n v="7.32180025389398"/>
        <n v="7.33396271278749"/>
        <n v="7.52248082563692"/>
        <n v="7.58329312010448"/>
        <n v="7.58937434955123"/>
        <n v="7.65143007165498"/>
        <n v="7.74140508572013"/>
        <n v="7.77181123295391"/>
        <n v="7.78674677915087"/>
        <n v="7.80177910884035"/>
        <n v="7.83262352742147"/>
        <n v="7.90522075652093"/>
        <n v="7.99719939480359"/>
        <n v="8.00289795193063"/>
        <n v="8.13668499975926"/>
        <n v="8.16255502138788"/>
        <n v="8.3041952602657"/>
        <n v="8.43466524265029"/>
        <n v="8.44816928548801"/>
        <n v="8.45568545033275"/>
        <n v="8.67183319107377"/>
        <n v="8.67283054153216"/>
        <n v="8.73378354958814"/>
        <n v="8.75088917388159"/>
        <n v="8.81170146834915"/>
        <n v="8.82994515668942"/>
        <n v="8.83602638613617"/>
        <n v="8.84652602225924"/>
        <n v="8.8603513039232"/>
        <n v="8.89201426374426"/>
        <n v="8.90291991005049"/>
        <n v="8.94548851617778"/>
        <n v="9.01238204009209"/>
        <n v="9.07760519075073"/>
        <n v="9.25563121796232"/>
        <n v="9.27387490630259"/>
        <n v="9.27995613574935"/>
        <n v="9.34202661561968"/>
        <n v="9.35293088911042"/>
        <n v="9.38017372623579"/>
        <n v="9.41775455045949"/>
        <n v="9.48671793693904"/>
        <n v="9.55493313897286"/>
        <n v="9.57793637864038"/>
        <n v="9.66578799033592"/>
        <n v="9.92885375990183"/>
        <n v="10.1130845699549"/>
        <n v="10.1556531760822"/>
        <n v="10.1921405527627"/>
        <n v="10.3624149772719"/>
        <n v="10.4049255819444"/>
        <n v="10.45971464842"/>
        <n v="10.5144457134408"/>
        <n v="10.6543139907162"/>
        <n v="10.7455324324175"/>
        <n v="10.8683743654944"/>
        <n v="11.0495939047553"/>
        <n v="11.2989243120723"/>
        <n v="11.305005541519"/>
        <n v="11.3061652274099"/>
        <n v="11.3224330910465"/>
        <n v="11.3962239832204"/>
        <n v="11.4245705640051"/>
        <n v="11.4349696413931"/>
        <n v="11.4570362776879"/>
        <n v="11.4631175071347"/>
        <n v="11.5360922604957"/>
        <n v="11.8097475855998"/>
        <n v="11.9215640942183"/>
        <n v="11.9739407806622"/>
        <n v="11.9987334853297"/>
        <n v="12.0590779929167"/>
        <n v="12.1198902873843"/>
        <n v="12.2536773352129"/>
        <n v="12.3813831535948"/>
        <n v="12.5444791258714"/>
        <n v="12.5445134462588"/>
        <n v="12.5612617953193"/>
        <n v="12.7036883142729"/>
        <n v="12.8131504443145"/>
        <n v="12.8150610602821"/>
        <n v="12.8192316737612"/>
        <n v="12.9165313449093"/>
        <n v="13.0320747043977"/>
        <n v="13.0378690154056"/>
        <n v="13.1050494577587"/>
        <n v="13.1415368344393"/>
        <n v="13.1719429816731"/>
        <n v="13.2059016322086"/>
        <n v="13.2690168246719"/>
        <n v="13.3361361767355"/>
        <n v="13.3908672417563"/>
        <n v="13.4030297006498"/>
        <n v="13.42127338899"/>
        <n v="13.5140643908429"/>
        <n v="13.5530866713382"/>
        <n v="13.5793853546057"/>
        <n v="13.6246961596878"/>
        <n v="13.8287157619227"/>
        <n v="13.9597489418648"/>
        <n v="13.9685840391981"/>
        <n v="14.0172338747721"/>
        <n v="14.0962898575799"/>
        <n v="14.193589528728"/>
        <n v="14.2057519876215"/>
        <n v="14.2118332170683"/>
        <n v="14.3650898774758"/>
        <n v="14.467244853832"/>
        <n v="14.5098134599593"/>
        <n v="14.5287466448828"/>
        <n v="14.8138749322971"/>
        <n v="14.8929309151049"/>
        <n v="15.0449616512738"/>
        <n v="15.2942920585908"/>
        <n v="15.3429418941649"/>
        <n v="15.3672668119519"/>
        <n v="15.3976729591857"/>
        <n v="15.4081379317175"/>
        <n v="15.5064658416726"/>
        <n v="15.5352434865234"/>
        <n v="15.7017344315235"/>
        <n v="15.8515916575571"/>
        <n v="15.8780900854794"/>
        <n v="15.9206586916067"/>
        <n v="15.963227297734"/>
        <n v="16.0921089325888"/>
        <n v="16.1395829516899"/>
        <n v="16.2672887700718"/>
        <n v="16.3767509001134"/>
        <n v="16.534862865729"/>
        <n v="16.6504062252174"/>
        <n v="16.6808123724512"/>
        <n v="16.6858859553233"/>
        <n v="16.7172997491317"/>
        <n v="16.83284310862"/>
        <n v="16.8875741736409"/>
        <n v="16.8936554030876"/>
        <n v="17.0653493188204"/>
        <n v="17.1916356459786"/>
        <n v="17.2276675911181"/>
        <n v="17.28285408768"/>
        <n v="17.3983974471683"/>
        <n v="17.4531285121891"/>
        <n v="17.5261520005003"/>
        <n v="17.605159248358"/>
        <n v="17.696861607522"/>
        <n v="17.7106069226832"/>
        <n v="17.7484451498126"/>
        <n v="17.7936773612075"/>
        <n v="17.8240835084412"/>
        <n v="17.8895019421043"/>
        <n v="17.9457080973764"/>
        <n v="17.9861824734633"/>
        <n v="18.0247640801842"/>
        <n v="18.2254446519271"/>
        <n v="18.2557862768326"/>
        <n v="18.3105818641817"/>
        <n v="18.5112624359246"/>
        <n v="18.5198301774399"/>
        <n v="18.5571707589517"/>
        <n v="18.6701534743347"/>
        <n v="18.7241054665611"/>
        <n v="18.9018160894123"/>
        <n v="18.9031545845216"/>
        <n v="18.9430297266443"/>
        <n v="18.9816624707424"/>
        <n v="18.9914952617379"/>
        <n v="19.1437102983872"/>
        <n v="19.1936080232478"/>
        <n v="19.2338658376902"/>
        <n v="19.3139847228964"/>
        <n v="19.3240598158271"/>
        <n v="19.423446852938"/>
        <n v="19.4593507830324"/>
        <n v="19.4670728702017"/>
        <n v="19.6180461952342"/>
        <n v="19.7149003877536"/>
        <n v="19.7153458663823"/>
        <n v="19.7639957019563"/>
        <n v="19.7675135416668"/>
        <n v="19.7700769314031"/>
        <n v="19.8126455375304"/>
        <n v="19.8369704553174"/>
        <n v="19.9038639792317"/>
        <n v="19.9281888970188"/>
        <n v="19.9525138148058"/>
        <n v="20.0922530474245"/>
        <n v="20.1282894542143"/>
        <n v="20.220087910463"/>
        <n v="20.2710965862644"/>
        <n v="20.3237097401776"/>
        <n v="20.3842811055254"/>
        <n v="20.3964435644189"/>
        <n v="20.4441228194368"/>
        <n v="20.4633370883333"/>
        <n v="20.5277787637704"/>
        <n v="20.5585984716725"/>
        <n v="20.5942916745882"/>
        <n v="20.6640176600762"/>
        <n v="20.7094365743786"/>
        <n v="20.7094794748629"/>
        <n v="20.7177077877466"/>
        <n v="20.7856422490113"/>
        <n v="20.9072668379464"/>
        <n v="21.0532163446686"/>
        <n v="21.1322723274764"/>
        <n v="21.1565972452634"/>
        <n v="21.2234907691777"/>
        <n v="21.2536549576802"/>
        <n v="21.2704033067406"/>
        <n v="21.4546351464053"/>
        <n v="21.4971460942817"/>
        <n v="21.556360774715"/>
        <n v="21.6606089514999"/>
        <n v="21.8609713732514"/>
        <n v="21.8645235333493"/>
        <n v="21.9228321555546"/>
        <n v="21.9287198180164"/>
        <n v="21.9836444500222"/>
        <n v="22.0262130561495"/>
        <n v="22.0748628917235"/>
        <n v="22.2694622340197"/>
        <n v="22.2816246929132"/>
        <n v="22.3004610943442"/>
        <n v="22.3569867724232"/>
        <n v="22.4518991174224"/>
        <n v="22.4640615763159"/>
        <n v="22.5066301824432"/>
        <n v="22.5187926413367"/>
        <n v="22.5550840486051"/>
        <n v="22.7437981308667"/>
        <n v="22.8167728842278"/>
        <n v="22.8914066851167"/>
        <n v="22.9201537848226"/>
        <n v="22.9809660792902"/>
        <n v="23.0296159148642"/>
        <n v="23.060022062098"/>
        <n v="23.0661032915447"/>
        <n v="23.3154336988617"/>
        <n v="23.3458398460955"/>
        <n v="23.3877309677752"/>
        <n v="23.3944896816695"/>
        <n v="23.3994685402724"/>
        <n v="23.4005709111163"/>
        <n v="23.4066521405631"/>
        <n v="23.5951702534125"/>
        <n v="23.7361515408519"/>
        <n v="23.7776071368152"/>
        <n v="23.8627443490698"/>
        <n v="23.8931504963035"/>
        <n v="23.9843689380049"/>
        <n v="24.0434906101882"/>
        <n v="24.0451812324724"/>
        <n v="24.0845721139286"/>
        <n v="24.0935812156261"/>
        <n v="24.10599352694"/>
        <n v="24.1363996741738"/>
        <n v="24.1427451706036"/>
        <n v="24.2370061146497"/>
        <n v="24.3523740969583"/>
        <n v="24.4801488993189"/>
        <n v="24.5316795882129"/>
        <n v="24.5681669648934"/>
        <n v="24.6507555451783"/>
        <n v="24.7080352421688"/>
        <n v="24.7688475366364"/>
        <n v="24.8249658317166"/>
        <n v="24.9411060227422"/>
        <n v="25.0667701212765"/>
        <n v="25.1093963856547"/>
        <n v="25.2127772862495"/>
        <n v="25.2857520396106"/>
        <n v="25.3161581868444"/>
        <n v="25.401295399099"/>
        <n v="25.4803513819068"/>
        <n v="25.5107575291406"/>
        <n v="25.5472449058211"/>
        <n v="25.5654885941614"/>
        <n v="25.5952440268497"/>
        <n v="25.5958947413952"/>
        <n v="25.7107921911923"/>
        <n v="25.7357630186705"/>
        <n v="25.7823501989607"/>
        <n v="25.7844128542446"/>
        <n v="25.8026565425849"/>
        <n v="25.8194162173731"/>
        <n v="25.8269814603719"/>
        <n v="25.9060374431797"/>
        <n v="26.0094183437745"/>
        <n v="26.0520569634922"/>
        <n v="26.1371241621564"/>
        <n v="26.2013506487644"/>
        <n v="26.254941933719"/>
        <n v="26.3134798161123"/>
        <n v="26.3682108811331"/>
        <n v="26.3905932649923"/>
        <n v="26.4594293228345"/>
        <n v="26.5598099351612"/>
        <n v="26.5628102234293"/>
        <n v="26.5810539117696"/>
        <n v="26.6469150784303"/>
        <n v="26.696597271258"/>
        <n v="26.7148409595982"/>
        <n v="26.8182218601931"/>
        <n v="26.8425467779801"/>
        <n v="26.8547092368736"/>
        <n v="26.8729529252139"/>
        <n v="26.9641713669152"/>
        <n v="26.9824150552555"/>
        <n v="26.9884962847022"/>
        <n v="27.0310648908295"/>
        <n v="27.0736334969568"/>
        <n v="27.1344457914244"/>
        <n v="27.1526894797646"/>
        <n v="27.1634197488912"/>
        <n v="27.1770143975517"/>
        <n v="27.2317454625725"/>
        <n v="27.2411897467824"/>
        <n v="27.2743140686998"/>
        <n v="27.3047202159335"/>
        <n v="27.3290451337206"/>
        <n v="27.3338719530072"/>
        <n v="27.3423147683122"/>
        <n v="27.3655325104011"/>
        <n v="27.3727912723402"/>
        <n v="27.3837761987414"/>
        <n v="27.4081011165284"/>
        <n v="27.5236444760167"/>
        <n v="27.5722943115908"/>
        <n v="27.5978128924522"/>
        <n v="27.6148629177181"/>
        <n v="27.621390998609"/>
        <n v="27.6695939827389"/>
        <n v="27.6857932056006"/>
        <n v="27.7364875066532"/>
        <n v="27.791218571674"/>
        <n v="27.8699392442967"/>
        <n v="27.9858179139702"/>
        <n v="28.0040616023104"/>
        <n v="28.016224061204"/>
        <n v="28.1029403544837"/>
        <n v="28.1108683639775"/>
        <n v="28.3020418452015"/>
        <n v="28.3091715624839"/>
        <n v="28.3434576295154"/>
        <n v="28.3810978280093"/>
        <n v="28.3932602869028"/>
        <n v="28.3993415163496"/>
        <n v="28.4358288930301"/>
        <n v="28.4723162697106"/>
        <n v="28.4929572371121"/>
        <n v="28.4966411874977"/>
        <n v="28.5027224169444"/>
        <n v="28.5209661052847"/>
        <n v="28.6061801952071"/>
        <n v="28.6182657764328"/>
        <n v="28.6243470058795"/>
        <n v="28.6608343825601"/>
        <n v="28.7155654475809"/>
        <n v="28.7642152831549"/>
        <n v="28.7643628608208"/>
        <n v="28.7885402009419"/>
        <n v="28.7904120348718"/>
        <n v="28.8067838892822"/>
        <n v="28.816976014734"/>
        <n v="28.8808119353332"/>
        <n v="28.8996538280261"/>
        <n v="28.9223272487706"/>
        <n v="28.9552013750637"/>
        <n v="28.9672993116288"/>
        <n v="28.9770583137914"/>
        <n v="29.0196269199187"/>
        <n v="29.0378706082589"/>
        <n v="29.0500114453084"/>
        <n v="29.1026417594153"/>
        <n v="29.1534139677473"/>
        <n v="29.1838201149811"/>
        <n v="29.1959825738746"/>
        <n v="29.2153327515052"/>
        <n v="29.2203074916616"/>
        <n v="29.2811197861292"/>
        <n v="29.2932822450227"/>
        <n v="29.3115259333629"/>
        <n v="29.4331505222981"/>
        <n v="29.4574754400851"/>
        <n v="29.4757191284254"/>
        <n v="29.4939628167656"/>
        <n v="29.5122065051059"/>
        <n v="29.5426126523397"/>
        <n v="29.5576786160088"/>
        <n v="29.5608563406799"/>
        <n v="29.56776880991"/>
        <n v="29.609506176254"/>
        <n v="29.6321710169015"/>
        <n v="29.6642372412748"/>
        <n v="29.6751058215626"/>
        <n v="29.6888511367239"/>
        <n v="29.7128870768488"/>
        <n v="29.7189683062956"/>
        <n v="29.7250495357423"/>
        <n v="29.7615369124229"/>
        <n v="29.7681312316615"/>
        <n v="29.7980242891034"/>
        <n v="29.8101867479969"/>
        <n v="29.8162679774437"/>
        <n v="29.8182218370994"/>
        <n v="29.8542067633082"/>
        <n v="29.8790547237994"/>
        <n v="30.0169485491866"/>
        <n v="30.0291110080801"/>
        <n v="30.1203294497815"/>
        <n v="30.1238620472585"/>
        <n v="30.1750605148023"/>
        <n v="30.2297915798231"/>
        <n v="30.2662789565036"/>
        <n v="30.3088475626309"/>
        <n v="30.3126928188373"/>
        <n v="30.3574973982049"/>
        <n v="30.3953706321294"/>
        <n v="30.4973656754803"/>
        <n v="30.52314543449"/>
        <n v="30.6283717423164"/>
        <n v="30.6311527233089"/>
        <n v="30.6509202368506"/>
        <n v="30.7102087061168"/>
        <n v="30.7223711650103"/>
        <n v="30.7345336239038"/>
        <n v="30.7527773122441"/>
        <n v="30.7698918598383"/>
        <n v="30.7985665435267"/>
        <n v="30.8014271478181"/>
        <n v="30.8196708361584"/>
        <n v="30.8932908128029"/>
        <n v="30.9078083366811"/>
        <n v="31.0021077195611"/>
        <n v="31.0325138667948"/>
        <n v="31.0602423374022"/>
        <n v="31.0994073907091"/>
        <n v="31.1134217777078"/>
        <n v="31.190900052306"/>
        <n v="31.199934894294"/>
        <n v="31.2088695207508"/>
        <n v="31.2210319796443"/>
        <n v="31.2296649298956"/>
        <n v="31.2708493947983"/>
        <n v="31.277541870345"/>
        <n v="31.3066283986825"/>
        <n v="31.3365753391326"/>
        <n v="31.4460374691742"/>
        <n v="31.4642811575145"/>
        <n v="31.5372559108756"/>
        <n v="31.5499256250951"/>
        <n v="31.5538381492609"/>
        <n v="31.5615808286626"/>
        <n v="31.6554608164083"/>
        <n v="31.6962505968556"/>
        <n v="31.725774023725"/>
        <n v="31.8595610715536"/>
        <n v="31.8656423010004"/>
        <n v="31.975104431042"/>
        <n v="32.0111401514241"/>
        <n v="32.0359167255095"/>
        <n v="32.0419979549563"/>
        <n v="32.1009222849119"/>
        <n v="32.2143854857188"/>
        <n v="32.2443471839355"/>
        <n v="32.2869731051098"/>
        <n v="32.3871543159856"/>
        <n v="32.4444007222003"/>
        <n v="32.4555215573357"/>
        <n v="32.4676840162292"/>
        <n v="32.5159587299688"/>
        <n v="32.519253487161"/>
        <n v="32.5803609369603"/>
        <n v="32.6499112020647"/>
        <n v="32.6501208996319"/>
        <n v="32.7178655691542"/>
        <n v="32.7352581118865"/>
        <n v="32.7535018002267"/>
        <n v="32.771745488567"/>
        <n v="32.7778267180137"/>
        <n v="32.7878791594887"/>
        <n v="32.8143140946943"/>
        <n v="32.8325577830345"/>
        <n v="32.8522813664803"/>
        <n v="32.9116137658424"/>
        <n v="32.9166835734719"/>
        <n v="32.9208020199622"/>
        <n v="33.0383321866782"/>
        <n v="33.0575632725645"/>
        <n v="33.2530062099835"/>
        <n v="33.2760180297478"/>
        <n v="33.3467523482182"/>
        <n v="33.4041933510296"/>
        <n v="33.4193399676092"/>
        <n v="33.4406807277101"/>
        <n v="33.4528431866036"/>
        <n v="33.5050722953816"/>
        <n v="33.5427389205739"/>
        <n v="33.544061628305"/>
        <n v="33.6036404480487"/>
        <n v="33.6179520496024"/>
        <n v="33.6661378735385"/>
        <n v="33.6895100573708"/>
        <n v="33.7060524841067"/>
        <n v="33.7386609706012"/>
        <n v="33.8898724791224"/>
        <n v="33.954274686114"/>
        <n v="33.9614304868908"/>
        <n v="34.0183975251519"/>
        <n v="34.2261951156339"/>
        <n v="34.2555654735754"/>
        <n v="34.2922447012216"/>
        <n v="34.3037763513944"/>
        <n v="34.3266852099965"/>
        <n v="34.3639056701523"/>
        <n v="34.4565707161833"/>
        <n v="34.4848507154165"/>
        <n v="34.4866521925521"/>
        <n v="34.4936367345958"/>
        <n v="34.5048958808924"/>
        <n v="34.515413020413"/>
        <n v="34.5170583397859"/>
        <n v="34.6447641581678"/>
        <n v="34.6751703054016"/>
        <n v="34.677010564575"/>
        <n v="34.7246815826998"/>
        <n v="34.7342569707897"/>
        <n v="34.8868110928667"/>
        <n v="34.9274635917644"/>
        <n v="34.9952635171105"/>
        <n v="35.0461253016537"/>
        <n v="35.0522065311004"/>
        <n v="35.0582877605472"/>
        <n v="35.1135144119623"/>
        <n v="35.127826013516"/>
        <n v="35.1606191436947"/>
        <n v="35.185993578929"/>
        <n v="35.2132322976079"/>
        <n v="35.2285621850563"/>
        <n v="35.4009819769831"/>
        <n v="35.4170802979058"/>
        <n v="35.4474864451395"/>
        <n v="35.4498370484739"/>
        <n v="35.4590520724958"/>
        <n v="35.5143799690539"/>
        <n v="35.5630298046279"/>
        <n v="35.6788226733328"/>
        <n v="35.701783012516"/>
        <n v="35.7150605407968"/>
        <n v="35.7272229996903"/>
        <n v="35.7577252440089"/>
        <n v="35.7697916058176"/>
        <n v="35.7711788358771"/>
        <n v="35.8001977530514"/>
        <n v="36.0130407836878"/>
        <n v="36.0151453098444"/>
        <n v="36.0926235844425"/>
        <n v="36.1195994089538"/>
        <n v="36.1429372723987"/>
        <n v="36.1529090609632"/>
        <n v="36.2212220761012"/>
        <n v="36.3181085297847"/>
        <n v="36.3331408594742"/>
        <n v="36.3857883337748"/>
        <n v="36.3961582388335"/>
        <n v="36.4684318266796"/>
        <n v="36.5117015983218"/>
        <n v="36.5664326633426"/>
        <n v="36.5811742993507"/>
        <n v="36.6090012694699"/>
        <n v="36.6211637283634"/>
        <n v="36.6333261872569"/>
        <n v="36.6394074167037"/>
        <n v="36.6713682774875"/>
        <n v="36.6880572522777"/>
        <n v="36.730625858405"/>
        <n v="36.7690784204692"/>
        <n v="36.9543570319501"/>
        <n v="36.9945633658114"/>
        <n v="37.0389739471314"/>
        <n v="37.0546926845693"/>
        <n v="37.1380682313377"/>
        <n v="37.1524028275509"/>
        <n v="37.1684743785714"/>
        <n v="37.2148316122659"/>
        <n v="37.3205051147403"/>
        <n v="37.3246568520064"/>
        <n v="37.3915043866016"/>
        <n v="37.3929201025826"/>
        <n v="37.3934798681014"/>
        <n v="37.4907795392495"/>
        <n v="37.5202006913643"/>
        <n v="37.5507595643221"/>
        <n v="37.6306478165249"/>
        <n v="37.6367290459716"/>
        <n v="37.7826785526938"/>
        <n v="37.8010238293808"/>
        <n v="37.8738969943951"/>
        <n v="37.9350106218642"/>
        <n v="38.046826444075"/>
        <n v="38.1414710900524"/>
        <n v="38.1738290377187"/>
        <n v="38.2144458434134"/>
        <n v="38.2691769084342"/>
        <n v="38.2813393673277"/>
        <n v="38.2899692287442"/>
        <n v="38.3249245433304"/>
        <n v="38.4542094427374"/>
        <n v="38.4637762507304"/>
        <n v="38.548913462985"/>
        <n v="38.5671571513253"/>
        <n v="38.5912335895074"/>
        <n v="38.595506477741"/>
        <n v="38.6036445280058"/>
        <n v="38.6218882163461"/>
        <n v="38.6583755930266"/>
        <n v="38.6819423734555"/>
        <n v="38.7860814114085"/>
        <n v="38.7921626408552"/>
        <n v="38.8226731220668"/>
        <n v="38.8408124764293"/>
        <n v="38.9198684592371"/>
        <n v="39.5000202881663"/>
        <n v="39.546235092253"/>
        <n v="39.5827224689335"/>
        <n v="39.6069711954604"/>
        <n v="39.6556972222946"/>
        <n v="39.6853503802284"/>
        <n v="39.7225907462089"/>
        <n v="39.7408344345491"/>
        <n v="39.819890417357"/>
        <n v="40.1300331191415"/>
        <n v="40.1663849302917"/>
        <n v="40.2273327902896"/>
        <n v="40.2640950732734"/>
        <n v="40.3854447559053"/>
        <n v="40.4036884442455"/>
        <n v="40.4069022053234"/>
        <n v="40.9449178650068"/>
        <n v="41.0382600522816"/>
        <n v="41.0528290567409"/>
        <n v="41.0604612244951"/>
        <n v="41.0628162894798"/>
        <n v="41.1510025249527"/>
        <n v="41.2064107312173"/>
        <n v="41.4039781006175"/>
        <n v="41.4679035974278"/>
        <n v="41.4940347972047"/>
        <n v="41.5530408096824"/>
        <n v="41.5712844980226"/>
        <n v="41.735477693085"/>
        <n v="41.8373759529434"/>
        <n v="41.8792468255945"/>
        <n v="42.0212954770826"/>
        <n v="42.2750295333093"/>
        <n v="42.4044129322282"/>
        <n v="42.4062020540243"/>
        <n v="42.6091385048323"/>
        <n v="42.6524851541424"/>
        <n v="42.6887789638379"/>
        <n v="42.75712424014"/>
        <n v="42.7970426259508"/>
        <n v="42.8240177640543"/>
        <n v="42.8848300585219"/>
        <n v="42.8909112879686"/>
        <n v="42.9152362057557"/>
        <n v="42.9760485002232"/>
        <n v="42.9882109591167"/>
        <n v="43.1423228835787"/>
        <n v="43.2983536609013"/>
        <n v="43.3470034964753"/>
        <n v="43.4260594792832"/>
        <n v="43.4503843970702"/>
        <n v="43.7483646399612"/>
        <n v="43.774144055767"/>
        <n v="43.803095704982"/>
        <n v="43.827420622769"/>
        <n v="43.8882329172366"/>
        <n v="43.9580841721387"/>
        <n v="43.9953561128756"/>
        <n v="44.0447259901777"/>
        <n v="44.1740507012341"/>
        <n v="44.374731272977"/>
        <n v="44.3873292575869"/>
        <n v="44.4477060263381"/>
        <n v="44.7152801219954"/>
        <n v="44.7335238103357"/>
        <n v="44.7821736459097"/>
        <n v="44.8186610225902"/>
        <n v="44.931633441857"/>
        <n v="45.0594082442176"/>
        <n v="45.1059466895577"/>
        <n v="45.1451748923775"/>
        <n v="45.164634552044"/>
        <n v="45.4277003216099"/>
        <n v="45.4450276556061"/>
        <n v="45.4536465344986"/>
        <n v="45.4751139368291"/>
        <n v="45.5119211795204"/>
        <n v="45.6335457684555"/>
        <n v="45.6517894567958"/>
        <n v="45.7490891279439"/>
        <n v="46.2112625658973"/>
        <n v="46.2173437953441"/>
        <n v="46.2477499425778"/>
        <n v="46.2538311720246"/>
        <n v="46.3997806787467"/>
        <n v="46.5518114149156"/>
        <n v="46.941010099508"/>
        <n v="47.1964217362717"/>
        <n v="47.2805893975818"/>
        <n v="47.2998026368666"/>
        <n v="47.6768388625655"/>
        <n v="47.6829200920122"/>
        <n v="47.7072450097992"/>
        <n v="47.7984634515006"/>
        <n v="47.9748191054565"/>
        <n v="48.0417126293708"/>
        <n v="48.0842812354981"/>
        <n v="48.0928843270124"/>
        <n v="48.0965566084662"/>
        <n v="48.1329310710721"/>
        <n v="48.284961807241"/>
        <n v="48.3396928722618"/>
        <n v="48.4978048378775"/>
        <n v="48.5038860673242"/>
        <n v="48.7410540157477"/>
        <n v="48.7882496965068"/>
        <n v="48.807947539662"/>
        <n v="48.8444349163426"/>
        <n v="49.05301432525"/>
        <n v="49.2153899125947"/>
        <n v="49.2336336009349"/>
        <n v="49.6517849643539"/>
        <n v="49.6714821211014"/>
        <n v="49.9998685112262"/>
        <n v="50.0850057234807"/>
        <n v="50.1579804768418"/>
        <n v="50.5355006200033"/>
        <n v="50.5471791614342"/>
        <n v="50.9971901404941"/>
        <n v="51.2100331711306"/>
        <n v="51.2343580889176"/>
        <n v="51.4715260373411"/>
        <n v="51.6053130851697"/>
        <n v="51.7863757802601"/>
        <n v="51.8303185746997"/>
        <n v="51.8850496397205"/>
        <n v="51.9154557869543"/>
        <n v="51.9276182458478"/>
        <n v="52.0614052936764"/>
        <n v="52.4227787241689"/>
        <n v="52.4262790604817"/>
        <n v="52.444522748822"/>
        <n v="52.5843910260974"/>
        <n v="52.6840941539764"/>
        <n v="52.7238028422201"/>
        <n v="52.7850715978403"/>
        <n v="52.8945982502103"/>
        <n v="53.192513970773"/>
        <n v="53.4540068369835"/>
        <n v="53.7580683093212"/>
        <n v="53.9326012075013"/>
        <n v="53.9405051927239"/>
        <n v="54.037804863872"/>
        <n v="54.1088707172848"/>
        <n v="54.2479026067188"/>
        <n v="54.512140760719"/>
        <n v="54.6702527263346"/>
        <n v="54.7189025619087"/>
        <n v="54.8529710369141"/>
        <n v="54.8830957569711"/>
        <n v="54.9706041647924"/>
        <n v="55.3117659759301"/>
        <n v="55.4364876366259"/>
        <n v="55.529528834103"/>
        <n v="55.5885183727947"/>
        <n v="55.606762061135"/>
        <n v="55.6189245200285"/>
        <n v="55.6432494378155"/>
        <n v="55.7283866500701"/>
        <n v="55.7798274195491"/>
        <n v="56.0628542696417"/>
        <n v="56.3121846769587"/>
        <n v="56.5615150842757"/>
        <n v="56.5980024609562"/>
        <n v="56.6466522965303"/>
        <n v="56.6739421525864"/>
        <n v="56.7257082793381"/>
        <n v="56.7291550758466"/>
        <n v="56.7317895087848"/>
        <n v="56.7545607426334"/>
        <n v="56.7926018032524"/>
        <n v="56.8020258384338"/>
        <n v="56.8297223910808"/>
        <n v="56.9081451627407"/>
        <n v="56.9385513099745"/>
        <n v="56.9446325394213"/>
        <n v="56.9811199161018"/>
        <n v="57.0030060271589"/>
        <n v="57.2912626178864"/>
        <n v="57.3338312240137"/>
        <n v="57.461080238039"/>
        <n v="57.5831616313306"/>
        <n v="57.8081671208606"/>
        <n v="58.1051023079547"/>
        <n v="58.1669596582192"/>
        <n v="58.1789769418739"/>
        <n v="58.2520968704738"/>
        <n v="58.2553741242684"/>
        <n v="58.7197118058525"/>
        <n v="58.7750826028948"/>
        <n v="58.9027884212767"/>
        <n v="59.2724759656214"/>
        <n v="59.3927346031372"/>
        <n v="59.5109113659522"/>
        <n v="59.6482842078584"/>
        <n v="59.6811857904614"/>
        <n v="59.7084135266163"/>
        <n v="59.7480793143757"/>
        <n v="59.9138210453185"/>
        <n v="59.9183537388849"/>
        <n v="59.9244349683316"/>
        <n v="60.0085453145946"/>
        <n v="60.1494404578616"/>
        <n v="60.4048520946253"/>
        <n v="60.4839080774332"/>
        <n v="60.5933702074748"/>
        <n v="60.9400002859398"/>
        <n v="61.0534466697569"/>
        <n v="61.0920310221088"/>
        <n v="61.3243889682355"/>
        <n v="61.4264986416803"/>
        <n v="61.7670474906986"/>
        <n v="62.1988147814183"/>
        <n v="62.2717895347794"/>
        <n v="62.3204393703534"/>
        <n v="62.3302165623213"/>
        <n v="62.4785513359691"/>
        <n v="62.5150387126496"/>
        <n v="62.5819322365639"/>
        <n v="62.6123383837977"/>
        <n v="62.654906989925"/>
        <n v="62.7400442021796"/>
        <n v="63.0441056745174"/>
        <n v="63.0805930511979"/>
        <n v="63.1785650587355"/>
        <n v="63.1839739517927"/>
        <n v="63.2143800990265"/>
        <n v="63.2387050168135"/>
        <n v="63.3003852738789"/>
        <n v="63.3907680141466"/>
        <n v="63.5792538658319"/>
        <n v="63.7069596842137"/>
        <n v="63.8954777970632"/>
        <n v="64.1752143516139"/>
        <n v="64.3090013994426"/>
        <n v="64.5157632006323"/>
        <n v="64.6313065601206"/>
        <n v="64.7164437723752"/>
        <n v="64.7650936079492"/>
        <n v="64.9414492619052"/>
        <n v="65.2029421281157"/>
        <n v="65.3215986899468"/>
        <n v="65.5313285182405"/>
        <n v="65.9387708911731"/>
        <n v="65.9748872644657"/>
        <n v="66.4191880174668"/>
        <n v="66.457929557193"/>
        <n v="66.589462441976"/>
        <n v="66.6989245720176"/>
        <n v="66.8266303903995"/>
        <n v="66.9969048149086"/>
        <n v="67.2864923502602"/>
        <n v="67.5198905473296"/>
        <n v="67.7631397251998"/>
        <n v="67.818355394091"/>
        <n v="67.8604393963479"/>
        <n v="67.8665206257947"/>
        <n v="68.0124701325168"/>
        <n v="68.2317444605517"/>
        <n v="68.4442374232365"/>
        <n v="68.4928872588105"/>
        <n v="68.975844780181"/>
        <n v="69.0219542206783"/>
        <n v="69.0949289740394"/>
        <n v="69.3260156930161"/>
        <n v="69.7821079015228"/>
        <n v="69.8185952782033"/>
        <n v="69.8976512610111"/>
        <n v="69.9949509321592"/>
        <n v="70.0918408178816"/>
        <n v="70.0982244099415"/>
        <n v="70.3050936339438"/>
        <n v="70.712078859316"/>
        <n v="71.2532427281373"/>
        <n v="71.4057961638066"/>
        <n v="71.4726896877209"/>
        <n v="71.5463731570821"/>
        <n v="71.7220200950379"/>
        <n v="71.7402637833781"/>
        <n v="71.8762607209527"/>
        <n v="71.8800188033751"/>
        <n v="71.9713505023549"/>
        <n v="72.0868938618432"/>
        <n v="72.4811060686298"/>
        <n v="72.5125799231161"/>
        <n v="72.591635905924"/>
        <n v="73.1623485987013"/>
        <n v="73.5403076996179"/>
        <n v="73.8763842589516"/>
        <n v="73.9416688431037"/>
        <n v="74.0754558909324"/>
        <n v="74.458573346078"/>
        <n v="74.5984416233534"/>
        <n v="74.981559078499"/>
        <n v="74.9902695928259"/>
        <n v="75.0786617506233"/>
        <n v="75.1214273557744"/>
        <n v="75.1457522735614"/>
        <n v="75.1639959619017"/>
        <n v="75.230889485816"/>
        <n v="75.5896820231746"/>
        <n v="75.6653344531621"/>
        <n v="75.8086062832578"/>
        <n v="76.0640179200215"/>
        <n v="76.1913630311316"/>
        <n v="76.5930848818893"/>
        <n v="76.8059279125257"/>
        <n v="76.9129148562267"/>
        <n v="77.2254019836758"/>
        <n v="77.3714009117558"/>
        <n v="77.7606809356664"/>
        <n v="77.8762242951547"/>
        <n v="78.1394225414161"/>
        <n v="78.2775854386406"/>
        <n v="79.2203774635619"/>
        <n v="79.2566633795683"/>
        <n v="79.4999125574386"/>
        <n v="79.5972122285866"/>
        <n v="79.6762682113944"/>
        <n v="79.8282989475634"/>
        <n v="80.0396394316386"/>
        <n v="80.0715481254336"/>
        <n v="80.0776293548803"/>
        <n v="80.235741320496"/>
        <n v="80.2661474677298"/>
        <n v="80.6249400050884"/>
        <n v="80.6956564769573"/>
        <n v="80.9472451657664"/>
        <n v="80.9958950013405"/>
        <n v="81.056707295808"/>
        <n v="81.1904943436366"/>
        <n v="81.3364438503588"/>
        <n v="81.4398247509536"/>
        <n v="81.8284866646868"/>
        <n v="81.9553862971682"/>
        <n v="82.0013584561158"/>
        <n v="82.2243033495851"/>
        <n v="82.279034414606"/>
        <n v="82.2853253416198"/>
        <n v="82.3216030207332"/>
        <n v="82.3824153152008"/>
        <n v="82.4232418184627"/>
        <n v="82.4377593423409"/>
        <n v="82.5101211335826"/>
        <n v="83.0692716310425"/>
        <n v="83.1608126843855"/>
        <n v="83.4283867800428"/>
        <n v="83.4648741567233"/>
        <n v="83.5317676806376"/>
        <n v="83.8954319969903"/>
        <n v="84.2712402392273"/>
        <n v="84.3344899676094"/>
        <n v="84.5456660570289"/>
        <n v="84.6173441861533"/>
        <n v="84.704775373103"/>
        <n v="85.0459938128798"/>
        <n v="85.8311190076103"/>
        <n v="86.1466963427426"/>
        <n v="86.4750827328674"/>
        <n v="86.8943817700417"/>
        <n v="87.083205677543"/>
        <n v="87.3142923965198"/>
        <n v="87.3723274852374"/>
        <n v="87.4906480504757"/>
        <n v="87.581866492177"/>
        <n v="87.6122726394108"/>
        <n v="87.7221380340045"/>
        <n v="87.7764658344732"/>
        <n v="87.8869616945839"/>
        <n v="88.014290331908"/>
        <n v="88.1899894368526"/>
        <n v="88.7981123815282"/>
        <n v="88.852843446549"/>
        <n v="88.8786492890531"/>
        <n v="88.8954120526763"/>
        <n v="88.92581819991"/>
        <n v="89.6820037575611"/>
        <n v="89.7265859408183"/>
        <n v="89.9900333530923"/>
        <n v="90.6346436744484"/>
        <n v="90.9326239173394"/>
        <n v="91.0238423590408"/>
        <n v="91.0299235884875"/>
        <n v="91.0468826647267"/>
        <n v="91.1792134985171"/>
        <n v="91.2868765538503"/>
        <n v="91.3947973552929"/>
        <n v="91.438624146823"/>
        <n v="91.6988588276307"/>
        <n v="91.7110212865242"/>
        <n v="91.7870447198997"/>
        <n v="92.3360851176336"/>
        <n v="92.7205053746856"/>
        <n v="92.7326678335791"/>
        <n v="92.7569927513662"/>
        <n v="93.132747110595"/>
        <n v="93.2434911071067"/>
        <n v="93.395864360742"/>
        <n v="94.15567552412"/>
        <n v="94.8540003406216"/>
        <n v="94.8732605988372"/>
        <n v="95.1894845300685"/>
        <n v="95.7185514919363"/>
        <n v="95.773282556957"/>
        <n v="96.2901870599313"/>
        <n v="96.5395174672483"/>
        <n v="96.819254021799"/>
        <n v="97.1399955456263"/>
        <n v="98.2361804828931"/>
        <n v="98.3091552362542"/>
        <n v="98.4064549074023"/>
        <n v="98.588891790805"/>
        <n v="98.5970504333022"/>
        <n v="98.6756098001041"/>
        <n v="98.8807908042492"/>
        <n v="99.3636992474657"/>
        <n v="99.957168416325"/>
        <n v="100.431504313172"/>
        <n v="100.620340232809"/>
        <n v="100.821835227345"/>
        <n v="100.89676006512"/>
        <n v="101.084900996911"/>
        <n v="101.161251846783"/>
        <n v="102.648263284617"/>
        <n v="102.912645927448"/>
        <n v="103.259276005913"/>
        <n v="104.58424201853"/>
        <n v="104.627794590165"/>
        <n v="104.986345168792"/>
        <n v="105.041076233813"/>
        <n v="105.196243166984"/>
        <n v="105.399868771171"/>
        <n v="105.618793031255"/>
        <n v="105.746498849637"/>
        <n v="105.886367126912"/>
        <n v="105.910692044699"/>
        <n v="106.409352859333"/>
        <n v="106.514094563289"/>
        <n v="107.309374817453"/>
        <n v="107.491811700855"/>
        <n v="108.258046611147"/>
        <n v="108.49521455957"/>
        <n v="108.616839148505"/>
        <n v="108.635082836846"/>
        <n v="109.106450706589"/>
        <n v="109.164778205007"/>
        <n v="109.261922061596"/>
        <n v="109.292553007368"/>
        <n v="110.14551759589"/>
        <n v="111.012843550527"/>
        <n v="111.055412156654"/>
        <n v="111.146630598356"/>
        <n v="111.900703049753"/>
        <n v="113.262898445827"/>
        <n v="113.360198116975"/>
        <n v="113.408847952549"/>
        <n v="113.469660247016"/>
        <n v="113.562558328478"/>
        <n v="114.299605808493"/>
        <n v="115.5616031767"/>
        <n v="115.573765635594"/>
        <n v="116.167269811248"/>
        <n v="116.940096295147"/>
        <n v="117.702195941958"/>
        <n v="117.933282660935"/>
        <n v="118.822071899457"/>
        <n v="120.038146186871"/>
        <n v="120.207662474022"/>
        <n v="121.156334267716"/>
        <n v="122.056356225836"/>
        <n v="122.818252009545"/>
        <n v="122.980703101742"/>
        <n v="123.303008262421"/>
        <n v="123.802509240139"/>
        <n v="124.231857286749"/>
        <n v="124.263842515008"/>
        <n v="124.640878740707"/>
        <n v="124.865884230237"/>
        <n v="125.109133408107"/>
        <n v="125.644281599422"/>
        <n v="126.331460526905"/>
        <n v="126.605115852009"/>
        <n v="126.708496752604"/>
        <n v="126.751065358731"/>
        <n v="126.767636271389"/>
        <n v="127.024720683835"/>
        <n v="127.213238796685"/>
        <n v="127.928420414671"/>
        <n v="128.51462189829"/>
        <n v="128.520703127737"/>
        <n v="128.891658123989"/>
        <n v="129.791680082109"/>
        <n v="131.280321051938"/>
        <n v="131.561317851115"/>
        <n v="132.289288961473"/>
        <n v="132.680264069318"/>
        <n v="133.537717421311"/>
        <n v="133.750560451947"/>
        <n v="133.938057533271"/>
        <n v="134.049615952576"/>
        <n v="134.188408972113"/>
        <n v="135.693674051201"/>
        <n v="136.589925228355"/>
        <n v="136.594239301053"/>
        <n v="136.766850257538"/>
        <n v="136.888474846473"/>
        <n v="138.165533030292"/>
        <n v="138.536488026544"/>
        <n v="138.761493516074"/>
        <n v="139.904764652064"/>
        <n v="140.30612579555"/>
        <n v="140.364378475524"/>
        <n v="140.950736116906"/>
        <n v="142.452121962603"/>
        <n v="143.171820486777"/>
        <n v="144.094731740879"/>
        <n v="144.776367239386"/>
        <n v="144.87921033951"/>
        <n v="145.092053370147"/>
        <n v="145.171109352954"/>
        <n v="145.5542268081"/>
        <n v="145.803557215417"/>
        <n v="146.101537458308"/>
        <n v="146.4907361429"/>
        <n v="147.062371710895"/>
        <n v="149.671219143554"/>
        <n v="150.145757530686"/>
        <n v="150.383426213562"/>
        <n v="150.449616512738"/>
        <n v="150.838815197331"/>
        <n v="150.937305785922"/>
        <n v="151.069901916308"/>
        <n v="151.191526505243"/>
        <n v="152.480747147955"/>
        <n v="153.594661310955"/>
        <n v="155.177812734046"/>
        <n v="156.253550957304"/>
        <n v="156.622064401196"/>
        <n v="156.737607760684"/>
        <n v="156.876363027795"/>
        <n v="158.621142883398"/>
        <n v="160.434995264311"/>
        <n v="161.657322383109"/>
        <n v="161.924896478767"/>
        <n v="162.183805019804"/>
        <n v="163.251100427758"/>
        <n v="163.299254333733"/>
        <n v="164.16887014462"/>
        <n v="164.308738421895"/>
        <n v="166.528148300064"/>
        <n v="166.587453929524"/>
        <n v="171.173138174114"/>
        <n v="171.393370727365"/>
        <n v="172.232968897803"/>
        <n v="172.372448668293"/>
        <n v="174.677234628614"/>
        <n v="174.718777398361"/>
        <n v="176.231517114624"/>
        <n v="178.739495899046"/>
        <n v="180.959144647112"/>
        <n v="183.22644107544"/>
        <n v="187.161998682803"/>
        <n v="191.362741000452"/>
        <n v="192.840491081741"/>
        <n v="193.113585268511"/>
        <n v="194.903403768523"/>
        <n v="197.092646369355"/>
        <n v="199.868671497966"/>
        <n v="203.411043764535"/>
        <n v="204.47098397026"/>
        <n v="205.971241361619"/>
        <n v="208.941866518933"/>
        <n v="209.863228207543"/>
        <n v="211.542099191146"/>
        <n v="211.693678271016"/>
        <n v="211.88567029348"/>
        <n v="212.369598052203"/>
        <n v="212.529290814863"/>
        <n v="212.763974653645"/>
        <n v="217.221515838117"/>
        <n v="218.845204100401"/>
        <n v="219.429002127289"/>
        <n v="220.576889698591"/>
        <n v="228.532602609083"/>
        <n v="232.437397823591"/>
        <n v="237.90985841598"/>
        <n v="242.774841973385"/>
        <n v="251.702086801222"/>
        <n v="254.65914510939"/>
        <n v="278.432928955047"/>
        <n v="296.305040756846"/>
        <n v="331.794112872217"/>
        <n v="332.588715641934"/>
        <n v="342.908478614537"/>
        <n v="366.46431083989"/>
        <n v="418.502560511378"/>
        <n v="435.733286049015"/>
        <n v="602.968640252234"/>
        <n v="682.137056649243"/>
        <n v="692.80781422398"/>
        <n v="799.94398296943"/>
        <n v="835.388857289883"/>
      </sharedItems>
    </cacheField>
    <cacheField name="ESCAV. MEC. 1ª CAT. &gt;1,50&lt;3,00" numFmtId="0">
      <sharedItems containsSemiMixedTypes="0" containsString="0" containsNumber="1" minValue="0" maxValue="115.615438198716" count="1406">
        <n v="0"/>
        <n v="0.0496558651305404"/>
        <n v="0.0504974899632614"/>
        <n v="0.0555472389595875"/>
        <n v="0.0563888637923085"/>
        <n v="0.0597553631231926"/>
        <n v="0.0614386127886347"/>
        <n v="0.0648051121195188"/>
        <n v="0.0664883617849608"/>
        <n v="0.0807959839412182"/>
        <n v="0.0936194223880093"/>
        <n v="0.0951036060974756"/>
        <n v="0.0970535594953929"/>
        <n v="0.102678229591965"/>
        <n v="0.110252853086454"/>
        <n v="0.112899038596682"/>
        <n v="0.117827476580943"/>
        <n v="0.127661553298961"/>
        <n v="0.139638284580106"/>
        <n v="0.153175719555226"/>
        <n v="0.155483763681395"/>
        <n v="0.156032370646682"/>
        <n v="0.15654221888611"/>
        <n v="0.162433592715157"/>
        <n v="0.164958467213321"/>
        <n v="0.167483341711484"/>
        <n v="0.17500324700476"/>
        <n v="0.178480132706841"/>
        <n v="0.182223009664819"/>
        <n v="0.200761650232064"/>
        <n v="0.201801866036376"/>
        <n v="0.20596272925362"/>
        <n v="0.207881333682093"/>
        <n v="0.208043160862243"/>
        <n v="0.212931082678419"/>
        <n v="0.213244239883799"/>
        <n v="0.225555455169234"/>
        <n v="0.233130078663723"/>
        <n v="0.23749409270266"/>
        <n v="0.245754451154539"/>
        <n v="0.250316771174434"/>
        <n v="0.251732224643314"/>
        <n v="0.25407152274205"/>
        <n v="0.259077858165539"/>
        <n v="0.260053951077804"/>
        <n v="0.261094166882115"/>
        <n v="0.263416840527358"/>
        <n v="0.266795071972564"/>
        <n v="0.271003196136169"/>
        <n v="0.274369695467054"/>
        <n v="0.278577819630659"/>
        <n v="0.289179993598518"/>
        <n v="0.290360567288753"/>
        <n v="0.29126042520714"/>
        <n v="0.301064102924484"/>
        <n v="0.301301690114126"/>
        <n v="0.302143314946847"/>
        <n v="0.303648017981769"/>
        <n v="0.304035130255976"/>
        <n v="0.307889628544554"/>
        <n v="0.308944093880431"/>
        <n v="0.311024525489053"/>
        <n v="0.312428104348295"/>
        <n v="0.314145172901987"/>
        <n v="0.317292561935826"/>
        <n v="0.32065906126671"/>
        <n v="0.321032446492175"/>
        <n v="0.328233684761199"/>
        <n v="0.340858057252014"/>
        <n v="0.344311431227012"/>
        <n v="0.347588823487171"/>
        <n v="0.352946647355952"/>
        <n v="0.35348242974283"/>
        <n v="0.355801303512988"/>
        <n v="0.360456150491185"/>
        <n v="0.360954884095991"/>
        <n v="0.36466688706891"/>
        <n v="0.366948427066366"/>
        <n v="0.37142971475009"/>
        <n v="0.373681425728134"/>
        <n v="0.392161358225328"/>
        <n v="0.395958858387642"/>
        <n v="0.396322221442573"/>
        <n v="0.397246921044323"/>
        <n v="0.405684163681374"/>
        <n v="0.407764595289996"/>
        <n v="0.410712918367859"/>
        <n v="0.414274256293688"/>
        <n v="0.419544208051146"/>
        <n v="0.428387039855001"/>
        <n v="0.430911914353164"/>
        <n v="0.438002101272851"/>
        <n v="0.44070238750459"/>
        <n v="0.441011412345816"/>
        <n v="0.441564484164328"/>
        <n v="0.441853037178537"/>
        <n v="0.446644442167573"/>
        <n v="0.449373227462444"/>
        <n v="0.450269285505747"/>
        <n v="0.453534090679689"/>
        <n v="0.458735169701245"/>
        <n v="0.464743722178203"/>
        <n v="0.464976464527113"/>
        <n v="0.467943406992889"/>
        <n v="0.474015417383753"/>
        <n v="0.476418838374536"/>
        <n v="0.47720128015282"/>
        <n v="0.480567779483704"/>
        <n v="0.486459153312751"/>
        <n v="0.487300778145472"/>
        <n v="0.488901428026271"/>
        <n v="0.492463810917747"/>
        <n v="0.499925150636288"/>
        <n v="0.504974899632614"/>
        <n v="0.507625312503872"/>
        <n v="0.516757647290708"/>
        <n v="0.523490645952476"/>
        <n v="0.528429628590097"/>
        <n v="0.5306715548898"/>
        <n v="0.532590491807342"/>
        <n v="0.536751355024587"/>
        <n v="0.537791570828898"/>
        <n v="0.556954815863115"/>
        <n v="0.566413512421249"/>
        <n v="0.567891331339949"/>
        <n v="0.571078476566857"/>
        <n v="0.573146511083017"/>
        <n v="0.579724379844471"/>
        <n v="0.58252085041428"/>
        <n v="0.590820632570158"/>
        <n v="0.601501226460068"/>
        <n v="0.60777814511485"/>
        <n v="0.608152195318455"/>
        <n v="0.610772921665618"/>
        <n v="0.618282424800851"/>
        <n v="0.618885654970475"/>
        <n v="0.622847024745797"/>
        <n v="0.628290345803973"/>
        <n v="0.643842997031583"/>
        <n v="0.645541778686432"/>
        <n v="0.659568067591139"/>
        <n v="0.665725242682329"/>
        <n v="0.670774991678655"/>
        <n v="0.676666365507702"/>
        <n v="0.681716114504029"/>
        <n v="0.682381567628156"/>
        <n v="0.689278340906056"/>
        <n v="0.696023736660286"/>
        <n v="0.69838379157667"/>
        <n v="0.703598360154775"/>
        <n v="0.705266315323003"/>
        <n v="0.705281609820217"/>
        <n v="0.710467394344559"/>
        <n v="0.717905982311033"/>
        <n v="0.742894578344709"/>
        <n v="0.74820447628899"/>
        <n v="0.755196673929941"/>
        <n v="0.759215041831527"/>
        <n v="0.759987223947084"/>
        <n v="0.765370839467999"/>
        <n v="0.777418818406974"/>
        <n v="0.78930292773294"/>
        <n v="0.791604227080834"/>
        <n v="0.833208584393813"/>
        <n v="0.83945415407915"/>
        <n v="0.841064351146097"/>
        <n v="0.843567518857842"/>
        <n v="0.855057391143818"/>
        <n v="0.863379117578308"/>
        <n v="0.870511008127044"/>
        <n v="0.891280697851564"/>
        <n v="0.896259911666638"/>
        <n v="0.899696946178774"/>
        <n v="0.919895942164078"/>
        <n v="0.926628940825846"/>
        <n v="0.939253313316662"/>
        <n v="0.941395302901649"/>
        <n v="0.942619812647546"/>
        <n v="0.976284805956387"/>
        <n v="0.988067553614481"/>
        <n v="0.997866196497339"/>
        <n v="1.01331629859611"/>
        <n v="1.01499954826155"/>
        <n v="1.04108991807591"/>
        <n v="1.04950616640312"/>
        <n v="1.05034779123584"/>
        <n v="1.05893612640592"/>
        <n v="1.07138841205386"/>
        <n v="1.07559653621747"/>
        <n v="1.07766357326642"/>
        <n v="1.07974400487504"/>
        <n v="1.08401278454468"/>
        <n v="1.09406003425492"/>
        <n v="1.10678961578713"/>
        <n v="1.10757827986087"/>
        <n v="1.12609402618073"/>
        <n v="1.12967436348198"/>
        <n v="1.14927696907281"/>
        <n v="1.16733364298406"/>
        <n v="1.1692025640458"/>
        <n v="1.17024277985012"/>
        <n v="1.20015701146018"/>
        <n v="1.20029504192261"/>
        <n v="1.20873076460963"/>
        <n v="1.21109813428555"/>
        <n v="1.21951438261276"/>
        <n v="1.22203925711093"/>
        <n v="1.22288088194365"/>
        <n v="1.2243340016743"/>
        <n v="1.22624738127453"/>
        <n v="1.23062944472012"/>
        <n v="1.23213875510358"/>
        <n v="1.23803012893263"/>
        <n v="1.24728800209256"/>
        <n v="1.25631470035205"/>
        <n v="1.2809529954014"/>
        <n v="1.28347786989956"/>
        <n v="1.28431949473228"/>
        <n v="1.29290987233523"/>
        <n v="1.29441899272493"/>
        <n v="1.2981893237804"/>
        <n v="1.30339040280195"/>
        <n v="1.3129347390448"/>
        <n v="1.3223755286916"/>
        <n v="1.32555911153561"/>
        <n v="1.33771752434422"/>
        <n v="1.37412507749511"/>
        <n v="1.39962209681506"/>
        <n v="1.40551347064411"/>
        <n v="1.41056321964043"/>
        <n v="1.43412871495662"/>
        <n v="1.44001206154956"/>
        <n v="1.44759471228016"/>
        <n v="1.45516933577465"/>
        <n v="1.47452670692723"/>
        <n v="1.48715107941805"/>
        <n v="1.50415205303402"/>
        <n v="1.5292323210541"/>
        <n v="1.56373893919566"/>
        <n v="1.56458056402838"/>
        <n v="1.56474106125225"/>
        <n v="1.56699248723967"/>
        <n v="1.5772049365192"/>
        <n v="1.58112802255305"/>
        <n v="1.5825672252412"/>
        <n v="1.58562118484641"/>
        <n v="1.58646280967913"/>
        <n v="1.59656230767178"/>
        <n v="1.63443542514423"/>
        <n v="1.64991051142168"/>
        <n v="1.65715929562769"/>
        <n v="1.66059053533033"/>
        <n v="1.66894204328579"/>
        <n v="1.677358291613"/>
        <n v="1.69587403793286"/>
        <n v="1.71354815942"/>
        <n v="1.73612017739542"/>
        <n v="1.73612492723927"/>
        <n v="1.73844285104066"/>
        <n v="1.75815427555422"/>
        <n v="1.7733035225432"/>
        <n v="1.77356794635062"/>
        <n v="1.77414514737592"/>
        <n v="1.78761114469945"/>
        <n v="1.80360201652115"/>
        <n v="1.80440393265924"/>
        <n v="1.8137015145138"/>
        <n v="1.81875126351013"/>
        <n v="1.82295938767374"/>
        <n v="1.8276591681748"/>
        <n v="1.8363941310247"/>
        <n v="1.8456832581572"/>
        <n v="1.85325788165169"/>
        <n v="1.85494113131713"/>
        <n v="1.8574660058153"/>
        <n v="1.87030801615156"/>
        <n v="1.87570858861504"/>
        <n v="1.87934825146604"/>
        <n v="1.88561913781913"/>
        <n v="1.91385486960761"/>
        <n v="1.93198948845652"/>
        <n v="1.93321224076019"/>
        <n v="1.93994523942196"/>
        <n v="1.95088636224733"/>
        <n v="1.96435235957087"/>
        <n v="1.96603560923631"/>
        <n v="1.96687723406903"/>
        <n v="1.98808751930957"/>
        <n v="2.00222547704331"/>
        <n v="2.00811685087236"/>
        <n v="2.01073714973358"/>
        <n v="2.05019809250841"/>
        <n v="2.06113921533379"/>
        <n v="2.08217983615181"/>
        <n v="2.11668645429337"/>
        <n v="2.12341945295514"/>
        <n v="2.12678595228603"/>
        <n v="2.13099407644963"/>
        <n v="2.13244239883799"/>
        <n v="2.14605070148343"/>
        <n v="2.1500334455561"/>
        <n v="2.17307531808568"/>
        <n v="2.19381513129235"/>
        <n v="2.19748243823459"/>
        <n v="2.20337381206364"/>
        <n v="2.20926518589269"/>
        <n v="2.22710203703031"/>
        <n v="2.2336723060416"/>
        <n v="2.25134642752874"/>
        <n v="2.26649567451772"/>
        <n v="2.28837792016846"/>
        <n v="2.30436879199016"/>
        <n v="2.30857691615377"/>
        <n v="2.3092790855709"/>
        <n v="2.31362666515009"/>
        <n v="2.32961753697179"/>
        <n v="2.33719216046628"/>
        <n v="2.338033785299"/>
        <n v="2.36179573415705"/>
        <n v="2.37927340210233"/>
        <n v="2.3842601206707"/>
        <n v="2.39189777459315"/>
        <n v="2.40788864641485"/>
        <n v="2.41546326990934"/>
        <n v="2.42556951268026"/>
        <n v="2.43650389072736"/>
        <n v="2.44919523601654"/>
        <n v="2.45109754848059"/>
        <n v="2.45633425133106"/>
        <n v="2.46259426054171"/>
        <n v="2.46680238470532"/>
        <n v="2.47585610957635"/>
        <n v="2.48363488135974"/>
        <n v="2.48923641971674"/>
        <n v="2.49457600418511"/>
        <n v="2.52234962366491"/>
        <n v="2.52654881812206"/>
        <n v="2.534132371323"/>
        <n v="2.56190599080279"/>
        <n v="2.56309174182283"/>
        <n v="2.5682595719374"/>
        <n v="2.58389605790906"/>
        <n v="2.59136285994803"/>
        <n v="2.61595750393235"/>
        <n v="2.6161427478427"/>
        <n v="2.62166135392599"/>
        <n v="2.62700801566171"/>
        <n v="2.62836884592625"/>
        <n v="2.64943497340578"/>
        <n v="2.65634067639013"/>
        <n v="2.6619122432324"/>
        <n v="2.67300046872197"/>
        <n v="2.67439483288413"/>
        <n v="2.68814971571095"/>
        <n v="2.69311871736173"/>
        <n v="2.69418743222918"/>
        <n v="2.71508171035802"/>
        <n v="2.72848605470832"/>
        <n v="2.72854770768156"/>
        <n v="2.73528070634333"/>
        <n v="2.73576756533849"/>
        <n v="2.73612233117605"/>
        <n v="2.74201370500509"/>
        <n v="2.74538020433598"/>
        <n v="2.75463807749591"/>
        <n v="2.75800457682679"/>
        <n v="2.76137107615768"/>
        <n v="2.78071058789736"/>
        <n v="2.78569792394543"/>
        <n v="2.7984025687974"/>
        <n v="2.80546202422734"/>
        <n v="2.81274353485752"/>
        <n v="2.82112643928087"/>
        <n v="2.82280968894631"/>
        <n v="2.82940836202385"/>
        <n v="2.83206756210624"/>
        <n v="2.84098610642115"/>
        <n v="2.84525146620321"/>
        <n v="2.85019130381273"/>
        <n v="2.85984118158604"/>
        <n v="2.86612702994727"/>
        <n v="2.86613296725209"/>
        <n v="2.86727174231639"/>
        <n v="2.87667367824046"/>
        <n v="2.89350617489488"/>
        <n v="2.91370517088018"/>
        <n v="2.92464629370555"/>
        <n v="2.92801279303644"/>
        <n v="2.93727066619637"/>
        <n v="2.9414453039608"/>
        <n v="2.94376322776218"/>
        <n v="2.96926038957745"/>
        <n v="2.97514378366882"/>
        <n v="2.98333892676456"/>
        <n v="2.99776657747504"/>
        <n v="3.0254961659023"/>
        <n v="3.02598777474132"/>
        <n v="3.03405752195929"/>
        <n v="3.03487235767267"/>
        <n v="3.0424737702865"/>
        <n v="3.04836514411555"/>
        <n v="3.05509814277731"/>
        <n v="3.08203013742439"/>
        <n v="3.08371338708983"/>
        <n v="3.08632029139137"/>
        <n v="3.09414328422106"/>
        <n v="3.10727888240602"/>
        <n v="3.10896213207146"/>
        <n v="3.11485350590051"/>
        <n v="3.11653675556595"/>
        <n v="3.12155938295386"/>
        <n v="3.14767687437663"/>
        <n v="3.15777637236928"/>
        <n v="3.1681054778139"/>
        <n v="3.17208399452554"/>
        <n v="3.18050024285275"/>
        <n v="3.18723324151451"/>
        <n v="3.19144136567812"/>
        <n v="3.19228299051084"/>
        <n v="3.2267896086524"/>
        <n v="3.23099773281601"/>
        <n v="3.23679534472735"/>
        <n v="3.23773073147778"/>
        <n v="3.23841979132587"/>
        <n v="3.2385723563105"/>
        <n v="3.23941398114322"/>
        <n v="3.26550435095757"/>
        <n v="3.28501575954638"/>
        <n v="3.2907530959392"/>
        <n v="3.30253584359729"/>
        <n v="3.3067439677609"/>
        <n v="3.31936834025171"/>
        <n v="3.32755061127061"/>
        <n v="3.32778458857893"/>
        <n v="3.33323617436541"/>
        <n v="3.33448300837743"/>
        <n v="3.33620083690614"/>
        <n v="3.34040896106974"/>
        <n v="3.34128715970015"/>
        <n v="3.35433260584874"/>
        <n v="3.37029920596833"/>
        <n v="3.38798287464162"/>
        <n v="3.39511457519661"/>
        <n v="3.40016432419293"/>
        <n v="3.41159434844633"/>
        <n v="3.41952169534552"/>
        <n v="3.42793794367273"/>
        <n v="3.43570455585585"/>
        <n v="3.45177802746219"/>
        <n v="3.46916958073838"/>
        <n v="3.4750689343051"/>
        <n v="3.48937655646136"/>
        <n v="3.49947605445401"/>
        <n v="3.50368417861762"/>
        <n v="3.51546692627571"/>
        <n v="3.52640804910109"/>
        <n v="3.53061617326469"/>
        <n v="3.53566592226102"/>
        <n v="3.53819079675918"/>
        <n v="3.54230886388329"/>
        <n v="3.54239892092279"/>
        <n v="3.55830040068313"/>
        <n v="3.56175629207537"/>
        <n v="3.56820382512143"/>
        <n v="3.56848929073714"/>
        <n v="3.5710141652353"/>
        <n v="3.57333365648516"/>
        <n v="3.57438066456619"/>
        <n v="3.58532178739156"/>
        <n v="3.59962940954782"/>
        <n v="3.60553047305833"/>
        <n v="3.61730353103496"/>
        <n v="3.62619229382889"/>
        <n v="3.63360917500895"/>
        <n v="3.64171065118387"/>
        <n v="3.64928527467836"/>
        <n v="3.65238293284703"/>
        <n v="3.66190964716917"/>
        <n v="3.6758020379756"/>
        <n v="3.67621726932543"/>
        <n v="3.67874214382359"/>
        <n v="3.68785714168036"/>
        <n v="3.69473301564529"/>
        <n v="3.69725789014345"/>
        <n v="3.71156551229971"/>
        <n v="3.7149320116306"/>
        <n v="3.71661526129604"/>
        <n v="3.7191401357942"/>
        <n v="3.73176450828502"/>
        <n v="3.73428938278318"/>
        <n v="3.7351310076159"/>
        <n v="3.74102238144495"/>
        <n v="3.74691375527399"/>
        <n v="3.75533000360121"/>
        <n v="3.75785487809937"/>
        <n v="3.75933991678073"/>
        <n v="3.76122137743025"/>
        <n v="3.76879600092474"/>
        <n v="3.77010306295684"/>
        <n v="3.77468737475379"/>
        <n v="3.77889549891739"/>
        <n v="3.78226199824828"/>
        <n v="3.78293001628809"/>
        <n v="3.78409847787649"/>
        <n v="3.7873117472446"/>
        <n v="3.78831633922"/>
        <n v="3.78983662174277"/>
        <n v="3.79320312107365"/>
        <n v="3.80919399289535"/>
        <n v="3.81592699155712"/>
        <n v="3.81945869045729"/>
        <n v="3.82181836538617"/>
        <n v="3.82272183318588"/>
        <n v="3.82939298888066"/>
        <n v="3.83163491518036"/>
        <n v="3.83865086204059"/>
        <n v="3.84622548553508"/>
        <n v="3.85712020238598"/>
        <n v="3.87315748018215"/>
        <n v="3.87568235468031"/>
        <n v="3.87736560434575"/>
        <n v="3.88936689231963"/>
        <n v="3.89046410625021"/>
        <n v="3.91692197148364"/>
        <n v="3.91790870404614"/>
        <n v="3.92265379805759"/>
        <n v="3.92786309430901"/>
        <n v="3.92954634397446"/>
        <n v="3.93038796880718"/>
        <n v="3.9354377178035"/>
        <n v="3.94048746679983"/>
        <n v="3.94334411789129"/>
        <n v="3.94385396613071"/>
        <n v="3.94469559096344"/>
        <n v="3.9472204654616"/>
        <n v="3.95901385276993"/>
        <n v="3.96068646278513"/>
        <n v="3.96152808761785"/>
        <n v="3.96657783661418"/>
        <n v="3.97415246010867"/>
        <n v="3.98088545877044"/>
        <n v="3.98090588309902"/>
        <n v="3.98425195810132"/>
        <n v="3.98451101458519"/>
        <n v="3.98677683259949"/>
        <n v="3.9881873937292"/>
        <n v="3.99702210330006"/>
        <n v="3.99962976757662"/>
        <n v="4.00276770442119"/>
        <n v="4.00731738985643"/>
        <n v="4.00899170981542"/>
        <n v="4.01034232791568"/>
        <n v="4.01623370174472"/>
        <n v="4.01875857624289"/>
        <n v="4.0204388335067"/>
        <n v="4.0277227190588"/>
        <n v="4.03474944806458"/>
        <n v="4.03895757222819"/>
        <n v="4.04064082189363"/>
        <n v="4.04331883135769"/>
        <n v="4.04400732122452"/>
        <n v="4.05242356955173"/>
        <n v="4.05410681921717"/>
        <n v="4.05663169371533"/>
        <n v="4.07346419036975"/>
        <n v="4.07683068970064"/>
        <n v="4.0793555641988"/>
        <n v="4.08188043869696"/>
        <n v="4.08440531319512"/>
        <n v="4.08861343735873"/>
        <n v="4.09069852381433"/>
        <n v="4.09113831185689"/>
        <n v="4.09209497790779"/>
        <n v="4.09787131051866"/>
        <n v="4.10100805990226"/>
        <n v="4.10544593401315"/>
        <n v="4.10695011456525"/>
        <n v="4.1088524270293"/>
        <n v="4.11217893267492"/>
        <n v="4.11302055750764"/>
        <n v="4.11386218234036"/>
        <n v="4.11891193133669"/>
        <n v="4.11982456633505"/>
        <n v="4.12396168033301"/>
        <n v="4.12564492999846"/>
        <n v="4.12648655483118"/>
        <n v="4.12675696344186"/>
        <n v="4.13173717472414"/>
        <n v="4.13517606167538"/>
        <n v="4.15426017431097"/>
        <n v="4.15594342397641"/>
        <n v="4.16856779646723"/>
        <n v="4.16905669789525"/>
        <n v="4.17614241996172"/>
        <n v="4.18371704345621"/>
        <n v="4.18876679245253"/>
        <n v="4.19465816628158"/>
        <n v="4.19519033878713"/>
        <n v="4.20139116494335"/>
        <n v="4.20663271263455"/>
        <n v="4.22074853609593"/>
        <n v="4.22431638130784"/>
        <n v="4.2388794025682"/>
        <n v="4.23926428241579"/>
        <n v="4.24200004998113"/>
        <n v="4.25020540524117"/>
        <n v="4.25188865490661"/>
        <n v="4.25357190457205"/>
        <n v="4.25609677907021"/>
        <n v="4.25846538370554"/>
        <n v="4.26243387824664"/>
        <n v="4.26282977773198"/>
        <n v="4.26535465223015"/>
        <n v="4.27554344728728"/>
        <n v="4.27755263123807"/>
        <n v="4.29060339721177"/>
        <n v="4.29481152137538"/>
        <n v="4.2986490627214"/>
        <n v="4.30406939453531"/>
        <n v="4.30600894577519"/>
        <n v="4.31673171827853"/>
        <n v="4.31798211467344"/>
        <n v="4.31921864152429"/>
        <n v="4.32090189118973"/>
        <n v="4.3220966669131"/>
        <n v="4.32779647953946"/>
        <n v="4.32872269909124"/>
        <n v="4.33274819175861"/>
        <n v="4.33689276301143"/>
        <n v="4.35204201000041"/>
        <n v="4.35456688449857"/>
        <n v="4.36466638249123"/>
        <n v="4.36641983484885"/>
        <n v="4.36696131704835"/>
        <n v="4.36803288182211"/>
        <n v="4.3810256047039"/>
        <n v="4.38667079412593"/>
        <n v="4.39075675230558"/>
        <n v="4.40927249862544"/>
        <n v="4.41011412345816"/>
        <n v="4.42526337044714"/>
        <n v="4.43025061149833"/>
        <n v="4.43367961877435"/>
        <n v="4.43452124360707"/>
        <n v="4.4426762030238"/>
        <n v="4.45837918680943"/>
        <n v="4.46252580049511"/>
        <n v="4.4684251065634"/>
        <n v="4.48228990077702"/>
        <n v="4.49021264032767"/>
        <n v="4.4917517322321"/>
        <n v="4.49343498189754"/>
        <n v="4.50011606476597"/>
        <n v="4.50057204977608"/>
        <n v="4.50902914676045"/>
        <n v="4.51865470533322"/>
        <n v="4.51868372687917"/>
        <n v="4.52805939616672"/>
        <n v="4.53046647453727"/>
        <n v="4.53299134903543"/>
        <n v="4.53551622353359"/>
        <n v="4.53635784836631"/>
        <n v="4.53774907763153"/>
        <n v="4.54140759736264"/>
        <n v="4.5439324718608"/>
        <n v="4.54666215962601"/>
        <n v="4.55487359468618"/>
        <n v="4.55557524162048"/>
        <n v="4.55614522288312"/>
        <n v="4.5724110631656"/>
        <n v="4.57507259067148"/>
        <n v="4.60212133648052"/>
        <n v="4.6053061067855"/>
        <n v="4.61509553497128"/>
        <n v="4.62304520613658"/>
        <n v="4.62514145472524"/>
        <n v="4.62809495513291"/>
        <n v="4.62977820479835"/>
        <n v="4.63700656467579"/>
        <n v="4.64221951830698"/>
        <n v="4.64240257728916"/>
        <n v="4.65064811622821"/>
        <n v="4.65262880111588"/>
        <n v="4.65929758188872"/>
        <n v="4.66253222555418"/>
        <n v="4.66482165029244"/>
        <n v="4.66933457193624"/>
        <n v="4.69026181398144"/>
        <n v="4.69917489597591"/>
        <n v="4.70016523841974"/>
        <n v="4.7080493142414"/>
        <n v="4.73680790884147"/>
        <n v="4.74087268271752"/>
        <n v="4.745948983341"/>
        <n v="4.74754493087638"/>
        <n v="4.7507154516498"/>
        <n v="4.75586665731087"/>
        <n v="4.76869123572019"/>
        <n v="4.77260510705696"/>
        <n v="4.77285442636092"/>
        <n v="4.77382106708392"/>
        <n v="4.77537930085908"/>
        <n v="4.7768348430101"/>
        <n v="4.77706255052453"/>
        <n v="4.79473667201167"/>
        <n v="4.79894479617527"/>
        <n v="4.7991994828028"/>
        <n v="4.80579701591781"/>
        <n v="4.80712222235344"/>
        <n v="4.82823527829026"/>
        <n v="4.83386146833686"/>
        <n v="4.84324478487301"/>
        <n v="4.85028391097126"/>
        <n v="4.85112553580398"/>
        <n v="4.8519671606367"/>
        <n v="4.85961037187646"/>
        <n v="4.86159105676412"/>
        <n v="4.86612953256786"/>
        <n v="4.86964128212384"/>
        <n v="4.87341104319804"/>
        <n v="4.87553265595289"/>
        <n v="4.89939506400847"/>
        <n v="4.90162302576724"/>
        <n v="4.90583114993084"/>
        <n v="4.90615646673649"/>
        <n v="4.90743179981164"/>
        <n v="4.91508902309078"/>
        <n v="4.92182202175254"/>
        <n v="4.93784742493907"/>
        <n v="4.94102507047827"/>
        <n v="4.94286264257057"/>
        <n v="4.94454589223601"/>
        <n v="4.94876731596241"/>
        <n v="4.95043726606506"/>
        <n v="4.95062925475369"/>
        <n v="4.95464539022866"/>
        <n v="4.9841022593739"/>
        <n v="4.98439351979911"/>
        <n v="4.99511629230245"/>
        <n v="4.99884966957272"/>
        <n v="5.00207956339432"/>
        <n v="5.00345963052648"/>
        <n v="5.01291395722827"/>
        <n v="5.02632276643179"/>
        <n v="5.02840319804041"/>
        <n v="5.03568945851444"/>
        <n v="5.03712462383532"/>
        <n v="5.04712708251801"/>
        <n v="5.05311549565702"/>
        <n v="5.06069011915151"/>
        <n v="5.06273031958268"/>
        <n v="5.06658149298056"/>
        <n v="5.068264742646"/>
        <n v="5.06994799231144"/>
        <n v="5.07078961714416"/>
        <n v="5.07521290923441"/>
        <n v="5.07752261580593"/>
        <n v="5.08341398963498"/>
        <n v="5.08873571469046"/>
        <n v="5.11437774674331"/>
        <n v="5.1199421888198"/>
        <n v="5.12608848676856"/>
        <n v="5.12826391525429"/>
        <n v="5.13980285342729"/>
        <n v="5.14178672071033"/>
        <n v="5.14401097759089"/>
        <n v="5.15042668668313"/>
        <n v="5.16505159840892"/>
        <n v="5.16562618702009"/>
        <n v="5.17487769538926"/>
        <n v="5.17507362644829"/>
        <n v="5.17515109640157"/>
        <n v="5.18861709372511"/>
        <n v="5.19268889737007"/>
        <n v="5.19691815833883"/>
        <n v="5.20797446487769"/>
        <n v="5.20881608971041"/>
        <n v="5.22901508569572"/>
        <n v="5.23155401973169"/>
        <n v="5.24163945818653"/>
        <n v="5.25009741014279"/>
        <n v="5.26557240142337"/>
        <n v="5.27867095082626"/>
        <n v="5.28314919860991"/>
        <n v="5.28877044881891"/>
        <n v="5.2963450723134"/>
        <n v="5.29802832197884"/>
        <n v="5.29922267021626"/>
        <n v="5.30406038618288"/>
        <n v="5.32195304798581"/>
        <n v="5.32327706696047"/>
        <n v="5.33505981461857"/>
        <n v="5.33758468911673"/>
        <n v="5.3409167995781"/>
        <n v="5.34150815513809"/>
        <n v="5.34263443811306"/>
        <n v="5.34515931261122"/>
        <n v="5.35020906160754"/>
        <n v="5.35347063688766"/>
        <n v="5.36788318309469"/>
        <n v="5.36872480792741"/>
        <n v="5.37294737161633"/>
        <n v="5.37545780658917"/>
        <n v="5.38639892941455"/>
        <n v="5.46669028994458"/>
        <n v="5.47308628718481"/>
        <n v="5.47813603618114"/>
        <n v="5.48149199085867"/>
        <n v="5.48823553417379"/>
        <n v="5.49233944676321"/>
        <n v="5.49749340733372"/>
        <n v="5.50001828183189"/>
        <n v="5.51095940465726"/>
        <n v="5.55388227112603"/>
        <n v="5.55891325823913"/>
        <n v="5.56734826844957"/>
        <n v="5.57243606369517"/>
        <n v="5.58923051410031"/>
        <n v="5.59175538859848"/>
        <n v="5.59220016397709"/>
        <n v="5.66665999871065"/>
        <n v="5.67957829153923"/>
        <n v="5.68159460025581"/>
        <n v="5.68265087053235"/>
        <n v="5.6829768048177"/>
        <n v="5.6951815286039"/>
        <n v="5.70284986651765"/>
        <n v="5.73019262766133"/>
        <n v="5.73903973432466"/>
        <n v="5.74265621793765"/>
        <n v="5.75082248198275"/>
        <n v="5.75334735648091"/>
        <n v="5.77607122696438"/>
        <n v="5.79017365586609"/>
        <n v="5.79596846536956"/>
        <n v="5.81562759410227"/>
        <n v="5.85074366470891"/>
        <n v="5.86864995856369"/>
        <n v="5.86889756792387"/>
        <n v="5.89698339464027"/>
        <n v="5.90298244742952"/>
        <n v="5.9080054073065"/>
        <n v="5.91746419886151"/>
        <n v="5.92298878974805"/>
        <n v="5.92672207202145"/>
        <n v="5.93513832034865"/>
        <n v="5.93597994518138"/>
        <n v="5.93934644451226"/>
        <n v="5.94776269283947"/>
        <n v="5.94944594250491"/>
        <n v="5.97077459385432"/>
        <n v="5.99236880897368"/>
        <n v="5.99910180763545"/>
        <n v="6.01004293046083"/>
        <n v="6.01340942979171"/>
        <n v="6.05464904659504"/>
        <n v="6.05821684430851"/>
        <n v="6.06222367008953"/>
        <n v="6.06559016942041"/>
        <n v="6.07400641774762"/>
        <n v="6.08367363245101"/>
        <n v="6.08883196287786"/>
        <n v="6.09566461326372"/>
        <n v="6.11356278488551"/>
        <n v="6.1413364043653"/>
        <n v="6.14307992954927"/>
        <n v="6.15143590235796"/>
        <n v="6.18846739499768"/>
        <n v="6.19099226949585"/>
        <n v="6.19772526815761"/>
        <n v="6.20277501715394"/>
        <n v="6.21841007817244"/>
        <n v="6.23609374684573"/>
        <n v="6.24253453511352"/>
        <n v="6.24796360664013"/>
        <n v="6.25065676810609"/>
        <n v="6.28706432125698"/>
        <n v="6.28946237492421"/>
        <n v="6.29065520321159"/>
        <n v="6.29362623054308"/>
        <n v="6.29872024808414"/>
        <n v="6.31555274473856"/>
        <n v="6.31807761923672"/>
        <n v="6.33154361656026"/>
        <n v="6.39550710384705"/>
        <n v="6.39634872867978"/>
        <n v="6.40055685284338"/>
        <n v="6.4013984776761"/>
        <n v="6.42159747366141"/>
        <n v="6.44263809447943"/>
        <n v="6.49650208377358"/>
        <n v="6.53185032674786"/>
        <n v="6.54349889131704"/>
        <n v="6.54615794890412"/>
        <n v="6.59833868853282"/>
        <n v="6.59918031336554"/>
        <n v="6.60254681269643"/>
        <n v="6.61517118518724"/>
        <n v="6.63957830533615"/>
        <n v="6.64883617849608"/>
        <n v="6.65472755232513"/>
        <n v="6.65591819568434"/>
        <n v="6.65642642897686"/>
        <n v="6.6614605509869"/>
        <n v="6.68250117180492"/>
        <n v="6.69007579529941"/>
        <n v="6.71195804095016"/>
        <n v="6.71279966578288"/>
        <n v="6.745623034259"/>
        <n v="6.75215478203662"/>
        <n v="6.75488090741893"/>
        <n v="6.75993065641526"/>
        <n v="6.78879745245835"/>
        <n v="6.81126977121124"/>
        <n v="6.8137946457094"/>
        <n v="6.87166560327988"/>
        <n v="6.87439163366532"/>
        <n v="6.91983937463225"/>
        <n v="6.93162212229035"/>
        <n v="6.941721620283"/>
        <n v="6.99396933271006"/>
        <n v="6.99558560957714"/>
        <n v="7.0578658471985"/>
        <n v="7.08732271634374"/>
        <n v="7.09068921567462"/>
        <n v="7.12351258415074"/>
        <n v="7.1420283304706"/>
        <n v="7.16708689170427"/>
        <n v="7.17316844928128"/>
        <n v="7.18074307277577"/>
        <n v="7.18495119693937"/>
        <n v="7.18663444660482"/>
        <n v="7.20515019292468"/>
        <n v="7.25516324631314"/>
        <n v="7.25564768288794"/>
        <n v="7.2581725573861"/>
        <n v="7.27752992853869"/>
        <n v="7.29132855742741"/>
        <n v="7.296824126768"/>
        <n v="7.30530354801848"/>
        <n v="7.32046172471391"/>
        <n v="7.36169241181079"/>
        <n v="7.39788227961779"/>
        <n v="7.43996352125384"/>
        <n v="7.4641183771956"/>
        <n v="7.46521226623547"/>
        <n v="7.47867826355901"/>
        <n v="7.48851357523643"/>
        <n v="7.50775519269426"/>
        <n v="7.54432500051125"/>
        <n v="7.566207246162"/>
        <n v="7.57294024482377"/>
        <n v="7.59149493986324"/>
        <n v="7.59566411530723"/>
        <n v="7.60777502967729"/>
        <n v="7.65499085252093"/>
        <n v="7.67225197508485"/>
        <n v="7.68512861178282"/>
        <n v="7.69329259590287"/>
        <n v="7.69581747040103"/>
        <n v="7.69750072006648"/>
        <n v="7.70086721939736"/>
        <n v="7.71264996705546"/>
        <n v="7.71976922301954"/>
        <n v="7.75893933285511"/>
        <n v="7.79344595099667"/>
        <n v="7.82795256913824"/>
        <n v="7.83300231813456"/>
        <n v="7.83973531679633"/>
        <n v="7.84351215513787"/>
        <n v="7.8506764396217"/>
        <n v="7.85115346644009"/>
        <n v="7.85151806445442"/>
        <n v="7.85466953835398"/>
        <n v="7.85993431278163"/>
        <n v="7.86123857240586"/>
        <n v="7.86507169639709"/>
        <n v="7.87592518460333"/>
        <n v="7.88013330876694"/>
        <n v="7.88097493359966"/>
        <n v="7.88602468259599"/>
        <n v="7.88905365802251"/>
        <n v="7.92894754906476"/>
        <n v="7.93483892289381"/>
        <n v="7.95244982395923"/>
        <n v="7.96934554103537"/>
        <n v="8.00048565984604"/>
        <n v="8.04158064390398"/>
        <n v="8.05014152497659"/>
        <n v="8.05180468280252"/>
        <n v="8.06192427263468"/>
        <n v="8.06237783522442"/>
        <n v="8.12664084766474"/>
        <n v="8.13430400824869"/>
        <n v="8.15197812973583"/>
        <n v="8.20314183279823"/>
        <n v="8.21978528566721"/>
        <n v="8.23614061300793"/>
        <n v="8.2551526230138"/>
        <n v="8.25970610832412"/>
        <n v="8.26347434944829"/>
        <n v="8.26896398148405"/>
        <n v="8.29190216492227"/>
        <n v="8.29252947680024"/>
        <n v="8.29337110163296"/>
        <n v="8.30501173396291"/>
        <n v="8.32451122044364"/>
        <n v="8.35985946341792"/>
        <n v="8.3708005862433"/>
        <n v="8.38594983323227"/>
        <n v="8.43392244869737"/>
        <n v="8.44962310505951"/>
        <n v="8.4549630695154"/>
        <n v="8.4871207473752"/>
        <n v="8.50125243531506"/>
        <n v="8.54838342594743"/>
        <n v="8.60813878907062"/>
        <n v="8.61823828706327"/>
        <n v="8.62497128572504"/>
        <n v="8.62632442124254"/>
        <n v="8.64685353137579"/>
        <n v="8.65190328037212"/>
        <n v="8.66116115353205"/>
        <n v="8.66536927769565"/>
        <n v="8.6712606515247"/>
        <n v="8.6830433991828"/>
        <n v="8.72512464081885"/>
        <n v="8.73017438981517"/>
        <n v="8.74373343657983"/>
        <n v="8.74448201197143"/>
        <n v="8.74869013613503"/>
        <n v="8.75205663546592"/>
        <n v="8.76059300734423"/>
        <n v="8.77310172113717"/>
        <n v="8.7991876260983"/>
        <n v="8.81686174758544"/>
        <n v="8.84295211739979"/>
        <n v="8.88166685970496"/>
        <n v="8.90018260602482"/>
        <n v="8.92879785033733"/>
        <n v="8.94478872215903"/>
        <n v="8.95657146981713"/>
        <n v="8.9633044684789"/>
        <n v="8.98771158862781"/>
        <n v="9.02390145643481"/>
        <n v="9.04032318659262"/>
        <n v="9.06934919740174"/>
        <n v="9.12573806119405"/>
        <n v="9.13073646437831"/>
        <n v="9.19222642297902"/>
        <n v="9.19758814171976"/>
        <n v="9.2157919182952"/>
        <n v="9.23094116528418"/>
        <n v="9.24861528677132"/>
        <n v="9.27218078208751"/>
        <n v="9.31225887207447"/>
        <n v="9.34456051770152"/>
        <n v="9.37822551101036"/>
        <n v="9.38586720230009"/>
        <n v="9.3916915083339"/>
        <n v="9.39253313316662"/>
        <n v="9.41273212915192"/>
        <n v="9.4430790715372"/>
        <n v="9.47248749227512"/>
        <n v="9.47922049093688"/>
        <n v="9.54606043616401"/>
        <n v="9.55244185138361"/>
        <n v="9.56254134937626"/>
        <n v="9.59452309301966"/>
        <n v="9.65764495547374"/>
        <n v="9.66269470447007"/>
        <n v="9.67363582729544"/>
        <n v="9.68710182461898"/>
        <n v="9.70051110880688"/>
        <n v="9.70139457976397"/>
        <n v="9.73002469108775"/>
        <n v="9.7863502869599"/>
        <n v="9.86124582487031"/>
        <n v="9.88235878581025"/>
        <n v="9.89161665897018"/>
        <n v="9.90181424123845"/>
        <n v="9.92612327711175"/>
        <n v="9.92864815160991"/>
        <n v="9.94746974037561"/>
        <n v="9.94798984827777"/>
        <n v="9.96062989525331"/>
        <n v="9.97662076707501"/>
        <n v="10.0311786135595"/>
        <n v="10.0355345053655"/>
        <n v="10.0464756281909"/>
        <n v="10.1254606391654"/>
        <n v="10.1777691020953"/>
        <n v="10.2242811405749"/>
        <n v="10.2333163410549"/>
        <n v="10.2518320873748"/>
        <n v="10.3048544518362"/>
        <n v="10.3242118229888"/>
        <n v="10.3772341874502"/>
        <n v="10.3784396978207"/>
        <n v="10.39067292067"/>
        <n v="10.3965915586028"/>
        <n v="10.3999580579337"/>
        <n v="10.4024829324318"/>
        <n v="10.4117408055918"/>
        <n v="10.4613966707223"/>
        <n v="10.4718667515326"/>
        <n v="10.4916951647003"/>
        <n v="10.5270434076746"/>
        <n v="10.5446676083028"/>
        <n v="10.6002647681213"/>
        <n v="10.6297216372665"/>
        <n v="10.6445283255167"/>
        <n v="10.6877756538192"/>
        <n v="10.7079814895796"/>
        <n v="10.7618567360037"/>
        <n v="10.7778476078254"/>
        <n v="10.8142734953736"/>
        <n v="10.833394846785"/>
        <n v="10.9638745774402"/>
        <n v="10.9688964448531"/>
        <n v="11.0025614381619"/>
        <n v="11.0160274354855"/>
        <n v="11.0269685583108"/>
        <n v="11.0480091791289"/>
        <n v="11.0772581001101"/>
        <n v="11.0816741724377"/>
        <n v="11.0825157972704"/>
        <n v="11.1043980429212"/>
        <n v="11.1086061670848"/>
        <n v="11.1582620322153"/>
        <n v="11.1680489904823"/>
        <n v="11.2028681483495"/>
        <n v="11.2096011470113"/>
        <n v="11.2180173953385"/>
        <n v="11.2365331416584"/>
        <n v="11.2567321376437"/>
        <n v="11.2710397597999"/>
        <n v="11.3248294615362"/>
        <n v="11.3423920091912"/>
        <n v="11.3487544250353"/>
        <n v="11.379609363221"/>
        <n v="11.3871839867154"/>
        <n v="11.3880546330941"/>
        <n v="11.3930753605445"/>
        <n v="11.4014916088717"/>
        <n v="11.4071418806267"/>
        <n v="11.4091510645774"/>
        <n v="11.4191657303588"/>
        <n v="11.4965505664369"/>
        <n v="11.50921958746"/>
        <n v="11.5462510800997"/>
        <n v="11.551300829096"/>
        <n v="11.560558702256"/>
        <n v="11.6108888077218"/>
        <n v="11.6628995979373"/>
        <n v="11.6716531801751"/>
        <n v="11.7008793494043"/>
        <n v="11.7107993982961"/>
        <n v="11.7228996255175"/>
        <n v="11.7701232856035"/>
        <n v="11.8787823760828"/>
        <n v="11.922457380326"/>
        <n v="11.9679051212929"/>
        <n v="12.0259349136419"/>
        <n v="12.0520676045651"/>
        <n v="12.0840493482084"/>
        <n v="12.0920812391709"/>
        <n v="12.1084564683574"/>
        <n v="12.1210808408482"/>
        <n v="12.1252889650118"/>
        <n v="12.1404940226661"/>
        <n v="12.1480128354952"/>
        <n v="12.1633051477811"/>
        <n v="12.1809270684843"/>
        <n v="12.2052433241203"/>
        <n v="12.2894058073924"/>
        <n v="12.2969804308869"/>
        <n v="12.3005518859801"/>
        <n v="12.3028718047159"/>
        <n v="12.3070799288795"/>
        <n v="12.4117338560231"/>
        <n v="12.4179039031911"/>
        <n v="12.4543642746057"/>
        <n v="12.5435765068741"/>
        <n v="12.5848161236775"/>
        <n v="12.5974404961683"/>
        <n v="12.598282121001"/>
        <n v="12.6006292088437"/>
        <n v="12.6189434192887"/>
        <n v="12.6338436794628"/>
        <n v="12.6487796109643"/>
        <n v="12.654845114069"/>
        <n v="12.6908608526003"/>
        <n v="12.6925441022658"/>
        <n v="12.7030655288881"/>
        <n v="12.7790511559633"/>
        <n v="12.8322538244974"/>
        <n v="12.8339370741629"/>
        <n v="12.8373035734938"/>
        <n v="12.8893069064545"/>
        <n v="12.9046335601115"/>
        <n v="12.9257215843711"/>
        <n v="13.0308772850196"/>
        <n v="13.1275234504075"/>
        <n v="13.1301890152807"/>
        <n v="13.1739535065822"/>
        <n v="13.2471748670289"/>
        <n v="13.2547494905234"/>
        <n v="13.3262876013047"/>
        <n v="13.3607942194462"/>
        <n v="13.3995089617514"/>
        <n v="13.4438986749996"/>
        <n v="13.5956075477754"/>
        <n v="13.6057070457681"/>
        <n v="13.6191730430916"/>
        <n v="13.6444217880732"/>
        <n v="13.6455509209545"/>
        <n v="13.6564233135393"/>
        <n v="13.6848197800438"/>
        <n v="13.7516529329943"/>
        <n v="13.8337873754355"/>
        <n v="13.8994341123877"/>
        <n v="13.9255684657561"/>
        <n v="13.9534547990306"/>
        <n v="13.9638241831511"/>
        <n v="13.9898623521815"/>
        <n v="14.0004290923142"/>
        <n v="14.2062272394783"/>
        <n v="14.2428170441379"/>
        <n v="14.290789659603"/>
        <n v="14.474161181512"/>
        <n v="14.4801887333644"/>
        <n v="14.5298111120957"/>
        <n v="14.5373857355902"/>
        <n v="14.5588603971398"/>
        <n v="14.5870416007208"/>
        <n v="14.6173400946987"/>
        <n v="14.6350142161859"/>
        <n v="14.6543715873385"/>
        <n v="14.6577380866693"/>
        <n v="14.7267513229525"/>
        <n v="14.7412472764176"/>
        <n v="14.8513117981952"/>
        <n v="14.8765605431768"/>
        <n v="14.9826052720997"/>
        <n v="15.0154286405758"/>
        <n v="15.0322611372302"/>
        <n v="15.0347860117284"/>
        <n v="15.100021982184"/>
        <n v="15.1080943418161"/>
        <n v="15.1215387748485"/>
        <n v="15.1257780104894"/>
        <n v="15.2438258798252"/>
        <n v="15.3638613213223"/>
        <n v="15.3697526951513"/>
        <n v="15.3823770676421"/>
        <n v="15.4867385468995"/>
        <n v="15.6752625094291"/>
        <n v="15.6887285067526"/>
        <n v="15.6954615054144"/>
        <n v="15.7038777537416"/>
        <n v="15.7167345835907"/>
        <n v="15.8187398553052"/>
        <n v="15.9933966961976"/>
        <n v="15.995079945863"/>
        <n v="16.077219233145"/>
        <n v="16.1841762170787"/>
        <n v="16.2896486373154"/>
        <n v="16.3216303809588"/>
        <n v="16.4446362798061"/>
        <n v="16.612937497131"/>
        <n v="16.6363980683965"/>
        <n v="16.7676915423009"/>
        <n v="16.8922520175437"/>
        <n v="16.9976962237079"/>
        <n v="17.0201789921172"/>
        <n v="17.0647851082515"/>
        <n v="17.1339146207122"/>
        <n v="17.193335167342"/>
        <n v="17.1977618318214"/>
        <n v="17.2499425714501"/>
        <n v="17.2810826902608"/>
        <n v="17.3147476835696"/>
        <n v="17.3888106688491"/>
        <n v="17.4839142749465"/>
        <n v="17.521787392419"/>
        <n v="17.5360950145752"/>
        <n v="17.5419863884043"/>
        <n v="17.5442797555129"/>
        <n v="17.5798595058767"/>
        <n v="17.6059498756911"/>
        <n v="17.704928974387"/>
        <n v="17.7860575898934"/>
        <n v="17.7868992147261"/>
        <n v="17.8382383295221"/>
        <n v="17.9627988047648"/>
        <n v="18.1688224745151"/>
        <n v="18.2077116310866"/>
        <n v="18.3084607590952"/>
        <n v="18.3625706003073"/>
        <n v="18.481239701721"/>
        <n v="18.5106965708662"/>
        <n v="18.5366456328258"/>
        <n v="18.5520850002775"/>
        <n v="18.5712935588221"/>
        <n v="18.779617957939"/>
        <n v="18.9036565678373"/>
        <n v="18.90425362321"/>
        <n v="18.9281424878958"/>
        <n v="18.9449749845502"/>
        <n v="19.1217161994216"/>
        <n v="19.1730553142176"/>
        <n v="19.2041954330283"/>
        <n v="19.3624209015799"/>
        <n v="19.4179681405394"/>
        <n v="19.4260301455119"/>
        <n v="19.5071803728079"/>
        <n v="19.7149678970738"/>
        <n v="19.8145721227195"/>
        <n v="19.9423004113246"/>
        <n v="20.0366368226426"/>
        <n v="20.0508700147457"/>
        <n v="20.0803268838909"/>
        <n v="20.0912680067163"/>
        <n v="20.1442903711777"/>
        <n v="20.1787969893193"/>
        <n v="20.2200366061226"/>
        <n v="20.2739005954167"/>
        <n v="20.3530133296925"/>
        <n v="20.7140703829298"/>
        <n v="20.7797451439608"/>
        <n v="20.8126378126588"/>
        <n v="20.8217983615181"/>
        <n v="20.8756623508123"/>
        <n v="20.8892931677176"/>
        <n v="20.9076440944557"/>
        <n v="20.9244765911101"/>
        <n v="21.1029010556469"/>
        <n v="21.2570636027615"/>
        <n v="21.4761672500252"/>
        <n v="21.6250463558258"/>
        <n v="21.67604756673"/>
        <n v="21.6920384385517"/>
        <n v="21.711241772268"/>
        <n v="21.9527143341839"/>
        <n v="22.203746336846"/>
        <n v="22.372912928223"/>
        <n v="22.4099444208627"/>
        <n v="22.4457766254274"/>
        <n v="22.5934872696396"/>
        <n v="22.6001516330576"/>
        <n v="22.7205039841367"/>
        <n v="22.7398613552893"/>
        <n v="23.0470213603193"/>
        <n v="23.0552290905012"/>
        <n v="23.6898747273836"/>
        <n v="23.7203542854093"/>
        <n v="23.8365522805573"/>
        <n v="23.8558558834774"/>
        <n v="24.1748316950787"/>
        <n v="24.1805810960749"/>
        <n v="24.389939963685"/>
        <n v="24.7370370833363"/>
        <n v="25.0442301472795"/>
        <n v="25.3580175144439"/>
        <n v="25.9026874766549"/>
        <n v="26.4840582473765"/>
        <n v="26.6885746491762"/>
        <n v="26.7263701067016"/>
        <n v="26.9740758887088"/>
        <n v="27.2770608284884"/>
        <n v="27.6612547986308"/>
        <n v="28.1515090296855"/>
        <n v="28.2982017348611"/>
        <n v="28.5058330842611"/>
        <n v="28.9169591440474"/>
        <n v="29.0444729772025"/>
        <n v="29.2768239389786"/>
        <n v="29.2978020518515"/>
        <n v="29.3243732008609"/>
        <n v="29.3913474241738"/>
        <n v="29.4134484476326"/>
        <n v="29.4459280224104"/>
        <n v="30.0628390247949"/>
        <n v="30.2875528551315"/>
        <n v="30.3683488390727"/>
        <n v="30.5272132091212"/>
        <n v="31.628261213656"/>
        <n v="32.1686737483243"/>
        <n v="32.9260467057119"/>
        <n v="33.5993465718887"/>
        <n v="34.8348518263231"/>
        <n v="35.2441002728335"/>
        <n v="38.5343242361673"/>
        <n v="41.0077735998621"/>
        <n v="45.919360088094"/>
        <n v="46.0293308479539"/>
        <n v="47.4575566469609"/>
        <n v="50.7176167268915"/>
        <n v="57.9195622476655"/>
        <n v="60.3042455794237"/>
        <n v="83.4491422222253"/>
        <n v="94.4058255360686"/>
        <n v="95.8826279881838"/>
        <n v="110.709968559401"/>
        <n v="115.615438198716"/>
      </sharedItems>
    </cacheField>
    <cacheField name="ESCAV. MEC. 2ª CAT. &lt;1,50" numFmtId="0">
      <sharedItems containsSemiMixedTypes="0" containsString="0" containsNumber="1" minValue="0" maxValue="211.490818944848" count="1406">
        <n v="0"/>
        <n v="0.0908335404465871"/>
        <n v="0.0923730919795801"/>
        <n v="0.101610401177538"/>
        <n v="0.103149952710531"/>
        <n v="0.109308158842503"/>
        <n v="0.112387261908489"/>
        <n v="0.118545468040461"/>
        <n v="0.121624571106447"/>
        <n v="0.147796947167328"/>
        <n v="0.171254363763712"/>
        <n v="0.173969323228209"/>
        <n v="0.177536297046368"/>
        <n v="0.187825287025146"/>
        <n v="0.201681250822083"/>
        <n v="0.20652181493149"/>
        <n v="0.21553721461902"/>
        <n v="0.233526308212952"/>
        <n v="0.255434876362632"/>
        <n v="0.280198379004726"/>
        <n v="0.284420394247753"/>
        <n v="0.285423939606186"/>
        <n v="0.286356585136698"/>
        <n v="0.297133445867649"/>
        <n v="0.301752100466628"/>
        <n v="0.306370755065607"/>
        <n v="0.320126624987833"/>
        <n v="0.326486756610108"/>
        <n v="0.333333455678896"/>
        <n v="0.367245468959959"/>
        <n v="0.369148295224001"/>
        <n v="0.376759600280166"/>
        <n v="0.380269228649271"/>
        <n v="0.380565252808248"/>
        <n v="0.389506537847229"/>
        <n v="0.390079384128454"/>
        <n v="0.412599810842124"/>
        <n v="0.426455774639061"/>
        <n v="0.434438695582501"/>
        <n v="0.449549047633956"/>
        <n v="0.45789472198618"/>
        <n v="0.46048395589798"/>
        <n v="0.464763142815972"/>
        <n v="0.473921037255696"/>
        <n v="0.47570656601031"/>
        <n v="0.477609392274351"/>
        <n v="0.481858168726936"/>
        <n v="0.488037835958781"/>
        <n v="0.495735593623747"/>
        <n v="0.501893799755718"/>
        <n v="0.509591557420683"/>
        <n v="0.528985701403465"/>
        <n v="0.531145278882585"/>
        <n v="0.532791353931547"/>
        <n v="0.550724839817306"/>
        <n v="0.551159448811495"/>
        <n v="0.552699000344488"/>
        <n v="0.555451495012002"/>
        <n v="0.556159624420766"/>
        <n v="0.563210508043001"/>
        <n v="0.565139400420248"/>
        <n v="0.568945052948331"/>
        <n v="0.571512565099126"/>
        <n v="0.574653531740454"/>
        <n v="0.580410927938362"/>
        <n v="0.586569134070334"/>
        <n v="0.587252153123376"/>
        <n v="0.600425097867271"/>
        <n v="0.623518370862166"/>
        <n v="0.62983549339765"/>
        <n v="0.635830699435041"/>
        <n v="0.645631558000513"/>
        <n v="0.646611643857061"/>
        <n v="0.650853469346124"/>
        <n v="0.659368399660099"/>
        <n v="0.66028071362231"/>
        <n v="0.667070936112485"/>
        <n v="0.671244468384948"/>
        <n v="0.679441913440073"/>
        <n v="0.683560880648893"/>
        <n v="0.717365501543547"/>
        <n v="0.724312120712958"/>
        <n v="0.724976806599712"/>
        <n v="0.726668323572697"/>
        <n v="0.742102242976084"/>
        <n v="0.745907895504166"/>
        <n v="0.751301148100585"/>
        <n v="0.757815764887127"/>
        <n v="0.767455882421163"/>
        <n v="0.783631730293438"/>
        <n v="0.788250384892417"/>
        <n v="0.801220187727393"/>
        <n v="0.806159716179938"/>
        <n v="0.806725003288333"/>
        <n v="0.807736716028903"/>
        <n v="0.808264554821326"/>
        <n v="0.817029285386858"/>
        <n v="0.822020946065816"/>
        <n v="0.823660070151256"/>
        <n v="0.829632251121981"/>
        <n v="0.839146382442187"/>
        <n v="0.850137593510736"/>
        <n v="0.850563340026434"/>
        <n v="0.855990652344109"/>
        <n v="0.867097944503468"/>
        <n v="0.871494428930888"/>
        <n v="0.872925719207032"/>
        <n v="0.879083925339004"/>
        <n v="0.889860786069955"/>
        <n v="0.891400337602948"/>
        <n v="0.894328344099383"/>
        <n v="0.900844872400894"/>
        <n v="0.914493610597843"/>
        <n v="0.923730919795801"/>
        <n v="0.928579216852125"/>
        <n v="0.945284641257703"/>
        <n v="0.957601053521647"/>
        <n v="0.96663574213295"/>
        <n v="0.970736810610701"/>
        <n v="0.974247047189115"/>
        <n v="0.98185835224528"/>
        <n v="0.983761178509321"/>
        <n v="1.01881575641925"/>
        <n v="1.03611818170429"/>
        <n v="1.03882149830489"/>
        <n v="1.04465161895864"/>
        <n v="1.04843459396823"/>
        <n v="1.06046723314641"/>
        <n v="1.06558270786309"/>
        <n v="1.08076517616109"/>
        <n v="1.10030277065355"/>
        <n v="1.11178489352081"/>
        <n v="1.11246912899247"/>
        <n v="1.11726312164628"/>
        <n v="1.13099996330586"/>
        <n v="1.13210342876492"/>
        <n v="1.1393498082362"/>
        <n v="1.14930706348091"/>
        <n v="1.17775692273965"/>
        <n v="1.18086443786903"/>
        <n v="1.20652218196818"/>
        <n v="1.21778526259746"/>
        <n v="1.22702257179542"/>
        <n v="1.23779943252637"/>
        <n v="1.24703674172433"/>
        <n v="1.24825402921105"/>
        <n v="1.26087002800278"/>
        <n v="1.27320911778521"/>
        <n v="1.27752627434144"/>
        <n v="1.28706508158215"/>
        <n v="1.29011620701996"/>
        <n v="1.29014418464814"/>
        <n v="1.29963033834017"/>
        <n v="1.31323745764303"/>
        <n v="1.35894812329272"/>
        <n v="1.36866131283078"/>
        <n v="1.38145186769394"/>
        <n v="1.38880251161804"/>
        <n v="1.39021503429268"/>
        <n v="1.40006307252306"/>
        <n v="1.42210197123877"/>
        <n v="1.44384110965261"/>
        <n v="1.44805078693538"/>
        <n v="1.52415601766307"/>
        <n v="1.53558079508128"/>
        <n v="1.53852626587356"/>
        <n v="1.54310521309343"/>
        <n v="1.5641231890419"/>
        <n v="1.57934579915423"/>
        <n v="1.59239188881385"/>
        <n v="1.63038507343959"/>
        <n v="1.63949335537718"/>
        <n v="1.64578058876952"/>
        <n v="1.68272982556135"/>
        <n v="1.69504623782529"/>
        <n v="1.71813951082019"/>
        <n v="1.72205776895732"/>
        <n v="1.72429771695216"/>
        <n v="1.78587977827188"/>
        <n v="1.80743349973378"/>
        <n v="1.82535777559288"/>
        <n v="1.85362004572357"/>
        <n v="1.85669914878956"/>
        <n v="1.90442524631234"/>
        <n v="1.91982076164227"/>
        <n v="1.92136031317527"/>
        <n v="1.93707062026568"/>
        <n v="1.95984910150009"/>
        <n v="1.96754685916506"/>
        <n v="1.97132800954672"/>
        <n v="1.97513366207481"/>
        <n v="1.98294237449499"/>
        <n v="2.00132141714248"/>
        <n v="2.02460714493988"/>
        <n v="2.02604981741879"/>
        <n v="2.05991995114464"/>
        <n v="2.06646932274879"/>
        <n v="2.1023276058159"/>
        <n v="2.13535797626129"/>
        <n v="2.13877672078235"/>
        <n v="2.1406795470464"/>
        <n v="2.19540048604802"/>
        <n v="2.19565297979794"/>
        <n v="2.21108411881592"/>
        <n v="2.21541465597693"/>
        <n v="2.23081017130686"/>
        <n v="2.23542882590584"/>
        <n v="2.23696837743883"/>
        <n v="2.23962651277654"/>
        <n v="2.2431265835708"/>
        <n v="2.25114252159097"/>
        <n v="2.25390344430175"/>
        <n v="2.26468030503271"/>
        <n v="2.28161537189563"/>
        <n v="2.29812755951531"/>
        <n v="2.34319743321535"/>
        <n v="2.34781608781433"/>
        <n v="2.34935563934732"/>
        <n v="2.36506968258063"/>
        <n v="2.36783025774324"/>
        <n v="2.37472717752347"/>
        <n v="2.38424130884367"/>
        <n v="2.40170039146908"/>
        <n v="2.41897006033853"/>
        <n v="2.42479366446398"/>
        <n v="2.44703457555703"/>
        <n v="2.51363349479848"/>
        <n v="2.56027419936736"/>
        <n v="2.57105106009831"/>
        <n v="2.58028836929627"/>
        <n v="2.62339581222007"/>
        <n v="2.63415798904059"/>
        <n v="2.64802863674796"/>
        <n v="2.6618846005449"/>
        <n v="2.69729428580374"/>
        <n v="2.72038755879863"/>
        <n v="2.75148677780363"/>
        <n v="2.79736513544828"/>
        <n v="2.860486748301"/>
        <n v="2.86202629983399"/>
        <n v="2.86231989115573"/>
        <n v="2.86643833704229"/>
        <n v="2.88511957282888"/>
        <n v="2.89229592134268"/>
        <n v="2.8949285987765"/>
        <n v="2.90051508815881"/>
        <n v="2.90205463969181"/>
        <n v="2.92052925808772"/>
        <n v="2.98980907707241"/>
        <n v="3.01811704978826"/>
        <n v="3.03137696846322"/>
        <n v="3.03765360163619"/>
        <n v="3.05293068992512"/>
        <n v="3.06832620525505"/>
        <n v="3.1021963389809"/>
        <n v="3.13452692117375"/>
        <n v="3.17581703468483"/>
        <n v="3.17582572338923"/>
        <n v="3.18006581113742"/>
        <n v="3.21612315242238"/>
        <n v="3.24383508001625"/>
        <n v="3.24431878019031"/>
        <n v="3.24537463154925"/>
        <n v="3.27000745607714"/>
        <n v="3.299258935204"/>
        <n v="3.30072584916819"/>
        <n v="3.31773355359992"/>
        <n v="3.32697086279788"/>
        <n v="3.33466862046284"/>
        <n v="3.34326574592046"/>
        <n v="3.35924427331576"/>
        <n v="3.37623651185365"/>
        <n v="3.39009247565059"/>
        <n v="3.39317157871658"/>
        <n v="3.39779023331555"/>
        <n v="3.42128162274615"/>
        <n v="3.43116067965124"/>
        <n v="3.43781857317337"/>
        <n v="3.44928966138604"/>
        <n v="3.50094018602609"/>
        <n v="3.53411313811071"/>
        <n v="3.53634987128492"/>
        <n v="3.54866628354887"/>
        <n v="3.56868045347778"/>
        <n v="3.59331327800567"/>
        <n v="3.59639238107165"/>
        <n v="3.59793193260464"/>
        <n v="3.63673108145071"/>
        <n v="3.66259309699035"/>
        <n v="3.6733699577213"/>
        <n v="3.67816316839172"/>
        <n v="3.75034753437095"/>
        <n v="3.77036170429986"/>
        <n v="3.80885049262468"/>
        <n v="3.8719721054774"/>
        <n v="3.88428851774134"/>
        <n v="3.89044672387331"/>
        <n v="3.89814448153828"/>
        <n v="3.90079384128454"/>
        <n v="3.92568697939631"/>
        <n v="3.9329724580374"/>
        <n v="3.97512205818793"/>
        <n v="4.01306059086298"/>
        <n v="4.01976905264473"/>
        <n v="4.03054591337568"/>
        <n v="4.04132277410663"/>
        <n v="4.07395103131229"/>
        <n v="4.08596976856343"/>
        <n v="4.11830035075628"/>
        <n v="4.14601227835015"/>
        <n v="4.18604061820797"/>
        <n v="4.21529209733484"/>
        <n v="4.2229898549998"/>
        <n v="4.22427430617155"/>
        <n v="4.23222716419776"/>
        <n v="4.26147864332463"/>
        <n v="4.27533460712156"/>
        <n v="4.27687415865456"/>
        <n v="4.32034096639243"/>
        <n v="4.35231218377122"/>
        <n v="4.36143419386176"/>
        <n v="4.37540545676611"/>
        <n v="4.40465693589298"/>
        <n v="4.41851289968991"/>
        <n v="4.43699985604608"/>
        <n v="4.45700168801474"/>
        <n v="4.4802174717417"/>
        <n v="4.48369729785471"/>
        <n v="4.49327659445793"/>
        <n v="4.50472778553752"/>
        <n v="4.51242554320249"/>
        <n v="4.52898716955021"/>
        <n v="4.54321657386235"/>
        <n v="4.55346324985069"/>
        <n v="4.56323074379126"/>
        <n v="4.61403594438002"/>
        <n v="4.62171736728072"/>
        <n v="4.63558966584193"/>
        <n v="4.6863948664307"/>
        <n v="4.68856391459762"/>
        <n v="4.69801722498701"/>
        <n v="4.72662043987844"/>
        <n v="4.74027917008545"/>
        <n v="4.78526919459204"/>
        <n v="4.78560805406372"/>
        <n v="4.7957030252732"/>
        <n v="4.80548346538333"/>
        <n v="4.8079727791945"/>
        <n v="4.84650822586197"/>
        <n v="4.85914055941797"/>
        <n v="4.86933240968153"/>
        <n v="4.88961566878577"/>
        <n v="4.89216632485003"/>
        <n v="4.91732759637965"/>
        <n v="4.92641719760277"/>
        <n v="4.92837215609322"/>
        <n v="4.96659324543542"/>
        <n v="4.99111329058017"/>
        <n v="4.99122606996331"/>
        <n v="5.00354248222725"/>
        <n v="5.00443307442846"/>
        <n v="5.00508203376025"/>
        <n v="5.0158588944912"/>
        <n v="5.02201710062317"/>
        <n v="5.03895216748609"/>
        <n v="5.04511037361807"/>
        <n v="5.05126857975004"/>
        <n v="5.08664559548033"/>
        <n v="5.09576873510244"/>
        <n v="5.11900884720173"/>
        <n v="5.13192243411922"/>
        <n v="5.14524221796751"/>
        <n v="5.16057673859254"/>
        <n v="5.16365584165853"/>
        <n v="5.17572653736198"/>
        <n v="5.18059090852145"/>
        <n v="5.19690525434189"/>
        <n v="5.2047077108949"/>
        <n v="5.213743963473"/>
        <n v="5.23139610911022"/>
        <n v="5.24289456674176"/>
        <n v="5.24290542762226"/>
        <n v="5.24498854450264"/>
        <n v="5.26218713977008"/>
        <n v="5.29297817042994"/>
        <n v="5.32992740722177"/>
        <n v="5.34994157715068"/>
        <n v="5.35609978328265"/>
        <n v="5.37303485014558"/>
        <n v="5.38067135244451"/>
        <n v="5.38491144019269"/>
        <n v="5.4315524054227"/>
        <n v="5.44231466913026"/>
        <n v="5.45730572527028"/>
        <n v="5.4836976648914"/>
        <n v="5.53442232119036"/>
        <n v="5.53532160209597"/>
        <n v="5.55008327643977"/>
        <n v="5.55157382367994"/>
        <n v="5.5654787917697"/>
        <n v="5.57625565250065"/>
        <n v="5.5885720647646"/>
        <n v="5.63783771382037"/>
        <n v="5.64091681688636"/>
        <n v="5.64568552541036"/>
        <n v="5.65999582156048"/>
        <n v="5.68402425981016"/>
        <n v="5.68710336287615"/>
        <n v="5.6978802236071"/>
        <n v="5.70095932667308"/>
        <n v="5.71014702336891"/>
        <n v="5.75792273339382"/>
        <n v="5.77639735178974"/>
        <n v="5.79529198215645"/>
        <n v="5.80256972785062"/>
        <n v="5.81796524318055"/>
        <n v="5.8302816554445"/>
        <n v="5.83797941310946"/>
        <n v="5.83951896464245"/>
        <n v="5.90264057749517"/>
        <n v="5.91033833516013"/>
        <n v="5.92094368086619"/>
        <n v="5.92265474742408"/>
        <n v="5.92391521777168"/>
        <n v="5.92419429895707"/>
        <n v="5.92573385049006"/>
        <n v="5.97345994801284"/>
        <n v="6.00915140795544"/>
        <n v="6.01964649400264"/>
        <n v="6.04120021546454"/>
        <n v="6.0488979731295"/>
        <n v="6.0719912461244"/>
        <n v="6.08695875587549"/>
        <n v="6.08738676145433"/>
        <n v="6.0973591350447"/>
        <n v="6.09963991995023"/>
        <n v="6.10278227678426"/>
        <n v="6.11048003444922"/>
        <n v="6.11208648900611"/>
        <n v="6.13595001564624"/>
        <n v="6.16515709549362"/>
        <n v="6.19750514198232"/>
        <n v="6.21055088409377"/>
        <n v="6.21978819329173"/>
        <n v="6.24069669156474"/>
        <n v="6.25519787855057"/>
        <n v="6.27059339388049"/>
        <n v="6.28480055510936"/>
        <n v="6.31420313080578"/>
        <n v="6.34601682197376"/>
        <n v="6.3568082797281"/>
        <n v="6.38298065578898"/>
        <n v="6.4014552741849"/>
        <n v="6.40915303184987"/>
        <n v="6.43070675331177"/>
        <n v="6.45072092324068"/>
        <n v="6.45841868090564"/>
        <n v="6.4676559901036"/>
        <n v="6.47227464470258"/>
        <n v="6.47980766453208"/>
        <n v="6.47997240236754"/>
        <n v="6.50906036007756"/>
        <n v="6.51538208762638"/>
        <n v="6.52717630875577"/>
        <n v="6.52769849989033"/>
        <n v="6.53231715448931"/>
        <n v="6.53656010950994"/>
        <n v="6.53847536062128"/>
        <n v="6.55848953055019"/>
        <n v="6.58466190661107"/>
        <n v="6.595456492299"/>
        <n v="6.61699248880392"/>
        <n v="6.63325235644776"/>
        <n v="6.64681976837151"/>
        <n v="6.66163948326072"/>
        <n v="6.67549544705765"/>
        <n v="6.68116187252047"/>
        <n v="6.69858872005255"/>
        <n v="6.72400152957461"/>
        <n v="6.72476109611343"/>
        <n v="6.72937975071241"/>
        <n v="6.74605346134692"/>
        <n v="6.75863122983928"/>
        <n v="6.76324988443826"/>
        <n v="6.78942226049914"/>
        <n v="6.79558046663111"/>
        <n v="6.79865956969709"/>
        <n v="6.80327822429607"/>
        <n v="6.82637149729097"/>
        <n v="6.83099015188995"/>
        <n v="6.83252970342294"/>
        <n v="6.84330656415389"/>
        <n v="6.85408342488484"/>
        <n v="6.86947894021477"/>
        <n v="6.87409759481375"/>
        <n v="6.87681411824504"/>
        <n v="6.88025580094572"/>
        <n v="6.89411176474266"/>
        <n v="6.89650272242001"/>
        <n v="6.90488862547361"/>
        <n v="6.91258638313858"/>
        <n v="6.91874458927055"/>
        <n v="6.91996656865765"/>
        <n v="6.92210398994054"/>
        <n v="6.92798189846851"/>
        <n v="6.92981955944953"/>
        <n v="6.93260055306749"/>
        <n v="6.93875875919946"/>
        <n v="6.96801023832632"/>
        <n v="6.98032665059027"/>
        <n v="6.98678704986134"/>
        <n v="6.99110351132122"/>
        <n v="6.99275618978553"/>
        <n v="7.00495947511816"/>
        <n v="7.00906054359591"/>
        <n v="7.02189454198108"/>
        <n v="7.03575050577802"/>
        <n v="7.05567978706492"/>
        <n v="7.08501615483379"/>
        <n v="7.08963480943277"/>
        <n v="7.09271391249876"/>
        <n v="7.1146674012502"/>
        <n v="7.11667449196706"/>
        <n v="7.16507283454943"/>
        <n v="7.1668778260019"/>
        <n v="7.17555784169952"/>
        <n v="7.18508700447834"/>
        <n v="7.18816610754432"/>
        <n v="7.18970565907732"/>
        <n v="7.19894296827527"/>
        <n v="7.20818027747323"/>
        <n v="7.21340583807469"/>
        <n v="7.2143384836052"/>
        <n v="7.2158780351382"/>
        <n v="7.22049668973718"/>
        <n v="7.24206987389694"/>
        <n v="7.24512951426507"/>
        <n v="7.24666906579806"/>
        <n v="7.25590637499602"/>
        <n v="7.26976233879295"/>
        <n v="7.2820787510569"/>
        <n v="7.28211611248582"/>
        <n v="7.28823695718887"/>
        <n v="7.28871083912696"/>
        <n v="7.29285561178785"/>
        <n v="7.29543589633411"/>
        <n v="7.31159688652186"/>
        <n v="7.31636698523857"/>
        <n v="7.32210709091472"/>
        <n v="7.33042965331323"/>
        <n v="7.33349242161494"/>
        <n v="7.33596305471165"/>
        <n v="7.3467399154426"/>
        <n v="7.35135857004158"/>
        <n v="7.35443219922379"/>
        <n v="7.36775632742428"/>
        <n v="7.38061004916845"/>
        <n v="7.38830780683341"/>
        <n v="7.3913869098994"/>
        <n v="7.3962856883283"/>
        <n v="7.39754511603137"/>
        <n v="7.4129406313613"/>
        <n v="7.41601973442729"/>
        <n v="7.42063838902627"/>
        <n v="7.45142941968613"/>
        <n v="7.4575876258181"/>
        <n v="7.46220628041708"/>
        <n v="7.46682493501606"/>
        <n v="7.47144358961504"/>
        <n v="7.47914134728"/>
        <n v="7.4829555147384"/>
        <n v="7.48376000187898"/>
        <n v="7.48550999383259"/>
        <n v="7.49607641414292"/>
        <n v="7.50181434764297"/>
        <n v="7.50993237793986"/>
        <n v="7.51268391684989"/>
        <n v="7.5161637429629"/>
        <n v="7.5222487902038"/>
        <n v="7.5237883417368"/>
        <n v="7.52532789326979"/>
        <n v="7.53456520246775"/>
        <n v="7.53623465013155"/>
        <n v="7.54380251166571"/>
        <n v="7.54688161473169"/>
        <n v="7.54842116626469"/>
        <n v="7.54891581420629"/>
        <n v="7.5580259207718"/>
        <n v="7.56431654275886"/>
        <n v="7.59922636685346"/>
        <n v="7.60230546991944"/>
        <n v="7.62539874291434"/>
        <n v="7.62629307125844"/>
        <n v="7.63925470671127"/>
        <n v="7.65311067050821"/>
        <n v="7.66234797970617"/>
        <n v="7.67312484043712"/>
        <n v="7.67409832287832"/>
        <n v="7.68544125270106"/>
        <n v="7.69502941178277"/>
        <n v="7.7208509379599"/>
        <n v="7.72737745827148"/>
        <n v="7.75401702596805"/>
        <n v="7.75472107168575"/>
        <n v="7.75972550476018"/>
        <n v="7.77473524161466"/>
        <n v="7.77781434468064"/>
        <n v="7.78089344774663"/>
        <n v="7.78551210234561"/>
        <n v="7.78984489856976"/>
        <n v="7.79710431109764"/>
        <n v="7.79782851460955"/>
        <n v="7.80244716920853"/>
        <n v="7.82108513524721"/>
        <n v="7.82476045720926"/>
        <n v="7.84863371519832"/>
        <n v="7.85633147286329"/>
        <n v="7.86335133781081"/>
        <n v="7.87326653972621"/>
        <n v="7.87681448528173"/>
        <n v="7.89642923546928"/>
        <n v="7.89871653690311"/>
        <n v="7.90097846732008"/>
        <n v="7.90405757038607"/>
        <n v="7.90624312709135"/>
        <n v="7.91666957237377"/>
        <n v="7.91836386973216"/>
        <n v="7.92572754671287"/>
        <n v="7.93330904951294"/>
        <n v="7.96102097710681"/>
        <n v="7.96563963170579"/>
        <n v="7.98411425010171"/>
        <n v="7.98732177221875"/>
        <n v="7.98831228452058"/>
        <n v="7.99027245623368"/>
        <n v="8.01403953825495"/>
        <n v="8.02436606343674"/>
        <n v="8.03184034762449"/>
        <n v="8.06571048135034"/>
        <n v="8.06725003288333"/>
        <n v="8.0949619604772"/>
        <n v="8.10408492632523"/>
        <n v="8.11035747580713"/>
        <n v="8.11189702734012"/>
        <n v="8.1268145770409"/>
        <n v="8.15553943379396"/>
        <n v="8.16312467273692"/>
        <n v="8.17391604360422"/>
        <n v="8.1992783717537"/>
        <n v="8.21377113069626"/>
        <n v="8.21658653158365"/>
        <n v="8.21966563464964"/>
        <n v="8.23188707937447"/>
        <n v="8.23272119499706"/>
        <n v="8.24819143318485"/>
        <n v="8.26579909265553"/>
        <n v="8.26585218063942"/>
        <n v="8.28300272737152"/>
        <n v="8.28740590210133"/>
        <n v="8.29202455670031"/>
        <n v="8.29664321129929"/>
        <n v="8.29818276283228"/>
        <n v="8.30072768435163"/>
        <n v="8.30742007203024"/>
        <n v="8.31203872662921"/>
        <n v="8.31703203816201"/>
        <n v="8.33205289655812"/>
        <n v="8.33333639197239"/>
        <n v="8.33437903650063"/>
        <n v="8.36413350472533"/>
        <n v="8.36900213334996"/>
        <n v="8.41848135075993"/>
        <n v="8.42430712706148"/>
        <n v="8.44221454683404"/>
        <n v="8.45675657073056"/>
        <n v="8.4605911566443"/>
        <n v="8.46599387992851"/>
        <n v="8.4690729829945"/>
        <n v="8.48229554024053"/>
        <n v="8.49183139332174"/>
        <n v="8.49216625598939"/>
        <n v="8.50724949928312"/>
        <n v="8.51087268901876"/>
        <n v="8.52307162999919"/>
        <n v="8.52898863769696"/>
        <n v="8.53317659321873"/>
        <n v="8.54143190504517"/>
        <n v="8.57971329399592"/>
        <n v="8.5960176478063"/>
        <n v="8.59782924267412"/>
        <n v="8.61225127556285"/>
        <n v="8.66485825278346"/>
        <n v="8.67229378534958"/>
        <n v="8.68157966440514"/>
        <n v="8.68449906908422"/>
        <n v="8.69029877927256"/>
        <n v="8.69972167919655"/>
        <n v="8.72318118108199"/>
        <n v="8.73034067350925"/>
        <n v="8.73079674360331"/>
        <n v="8.73256498183617"/>
        <n v="8.73541539820229"/>
        <n v="8.73807796477924"/>
        <n v="8.73849450126827"/>
        <n v="8.77082508346113"/>
        <n v="8.77852284112609"/>
        <n v="8.77898872945613"/>
        <n v="8.79105733987053"/>
        <n v="8.79348148839869"/>
        <n v="8.83210277946565"/>
        <n v="8.84239454982983"/>
        <n v="8.85955908537601"/>
        <n v="8.87243548463867"/>
        <n v="8.87397503617166"/>
        <n v="8.87551458770465"/>
        <n v="8.88949601639316"/>
        <n v="8.8931192061288"/>
        <n v="8.90142126318492"/>
        <n v="8.90784516989751"/>
        <n v="8.91474104703321"/>
        <n v="8.91862203062846"/>
        <n v="8.96227260446443"/>
        <n v="8.96634812815124"/>
        <n v="8.97404588581621"/>
        <n v="8.9746409751807"/>
        <n v="8.97697389231264"/>
        <n v="8.99098095267913"/>
        <n v="9.00329736494307"/>
        <n v="9.03261201095094"/>
        <n v="9.03842475419589"/>
        <n v="9.04178615326789"/>
        <n v="9.04486525633388"/>
        <n v="9.05258734237117"/>
        <n v="9.05564211706484"/>
        <n v="9.05599331449676"/>
        <n v="9.0633398747298"/>
        <n v="9.11722417838455"/>
        <n v="9.11775696973849"/>
        <n v="9.13737171992603"/>
        <n v="9.14420104158602"/>
        <n v="9.15010936057939"/>
        <n v="9.15263386364339"/>
        <n v="9.16992829532038"/>
        <n v="9.19445650784727"/>
        <n v="9.19826216037535"/>
        <n v="9.21159063292805"/>
        <n v="9.21421592496311"/>
        <n v="9.2325130331281"/>
        <n v="9.24346740408998"/>
        <n v="9.25732336788692"/>
        <n v="9.26105542708871"/>
        <n v="9.26810022861787"/>
        <n v="9.27117933168385"/>
        <n v="9.27425843474984"/>
        <n v="9.27579798628283"/>
        <n v="9.28388934225721"/>
        <n v="9.28811439854678"/>
        <n v="9.29889125927773"/>
        <n v="9.30862608368974"/>
        <n v="9.35553205440402"/>
        <n v="9.36571087161098"/>
        <n v="9.37695405510719"/>
        <n v="9.38093348172331"/>
        <n v="9.40204121198826"/>
        <n v="9.40567022315585"/>
        <n v="9.40973896965322"/>
        <n v="9.42147497646312"/>
        <n v="9.44822775797805"/>
        <n v="9.44927883054956"/>
        <n v="9.46620225454858"/>
        <n v="9.46656066360517"/>
        <n v="9.46670237637397"/>
        <n v="9.49133520090185"/>
        <n v="9.49878359275048"/>
        <n v="9.50652001515003"/>
        <n v="9.52674488616069"/>
        <n v="9.52828443769369"/>
        <n v="9.56523367448552"/>
        <n v="9.56987804764953"/>
        <n v="9.58832694748041"/>
        <n v="9.60379874963499"/>
        <n v="9.63210654857676"/>
        <n v="9.6560672149321"/>
        <n v="9.66425909921641"/>
        <n v="9.67454183332802"/>
        <n v="9.68839779712496"/>
        <n v="9.69147690019094"/>
        <n v="9.69366167491283"/>
        <n v="9.70251112034628"/>
        <n v="9.73524146982867"/>
        <n v="9.73766344618073"/>
        <n v="9.75921716764264"/>
        <n v="9.76383582224162"/>
        <n v="9.76993112215372"/>
        <n v="9.77101286585177"/>
        <n v="9.77307313143957"/>
        <n v="9.77769178603855"/>
        <n v="9.78692909523651"/>
        <n v="9.79289536788824"/>
        <n v="9.81925967742936"/>
        <n v="9.82079922896235"/>
        <n v="9.8285234002887"/>
        <n v="9.8331156412263"/>
        <n v="9.85312981115521"/>
        <n v="10.0000036703669"/>
        <n v="10.0117036190535"/>
        <n v="10.0209409282514"/>
        <n v="10.0270798454596"/>
        <n v="10.0394155466474"/>
        <n v="10.0469226741377"/>
        <n v="10.0563506135103"/>
        <n v="10.0609692681093"/>
        <n v="10.0809834380382"/>
        <n v="10.1595005662208"/>
        <n v="10.1687035550364"/>
        <n v="10.1841333907487"/>
        <n v="10.1934402964689"/>
        <n v="10.2241617306065"/>
        <n v="10.2287803852055"/>
        <n v="10.2295939954857"/>
        <n v="10.3658004716419"/>
        <n v="10.3894314016652"/>
        <n v="10.3931197566838"/>
        <n v="10.3950519507687"/>
        <n v="10.3956481696648"/>
        <n v="10.4179737956258"/>
        <n v="10.4320011875606"/>
        <n v="10.482018235773"/>
        <n v="10.4982019034793"/>
        <n v="10.5048173961239"/>
        <n v="10.5197556249412"/>
        <n v="10.5243742795402"/>
        <n v="10.565942170931"/>
        <n v="10.5917391949617"/>
        <n v="10.6023394143321"/>
        <n v="10.6383010929816"/>
        <n v="10.7025375534962"/>
        <n v="10.7352928395602"/>
        <n v="10.7357457817207"/>
        <n v="10.7871220908498"/>
        <n v="10.7980959245095"/>
        <n v="10.8072842294147"/>
        <n v="10.8245868284738"/>
        <n v="10.8346927474508"/>
        <n v="10.8415218953367"/>
        <n v="10.8569174106666"/>
        <n v="10.8584569621996"/>
        <n v="10.8646151683316"/>
        <n v="10.8800106836615"/>
        <n v="10.8830897867275"/>
        <n v="10.9221054580873"/>
        <n v="10.9616069149102"/>
        <n v="10.9739233271741"/>
        <n v="10.993937497103"/>
        <n v="11.000095703235"/>
        <n v="11.0755337283517"/>
        <n v="11.0820601617762"/>
        <n v="11.0893896921486"/>
        <n v="11.0955478982806"/>
        <n v="11.1109434136105"/>
        <n v="11.1286272730188"/>
        <n v="11.1380632059994"/>
        <n v="11.1505619072817"/>
        <n v="11.1833023356612"/>
        <n v="11.2341075362499"/>
        <n v="11.2372968989748"/>
        <n v="11.2525821546458"/>
        <n v="11.3203224220975"/>
        <n v="11.3249410766965"/>
        <n v="11.3372574889605"/>
        <n v="11.3464947981584"/>
        <n v="11.3750954064385"/>
        <n v="11.4074434529272"/>
        <n v="11.4192253360964"/>
        <n v="11.4291565252279"/>
        <n v="11.4340830206238"/>
        <n v="11.5006819398653"/>
        <n v="11.5050686060567"/>
        <n v="11.5072506003932"/>
        <n v="11.5126853849966"/>
        <n v="11.5220036729196"/>
        <n v="11.5527947035795"/>
        <n v="11.5574133581785"/>
        <n v="11.5820461827064"/>
        <n v="11.6990520992138"/>
        <n v="11.7005916507468"/>
        <n v="11.7082894084118"/>
        <n v="11.7098289599448"/>
        <n v="11.7467781967366"/>
        <n v="11.7852669850614"/>
        <n v="11.883798283173"/>
        <n v="11.9484594475587"/>
        <n v="11.9697677131212"/>
        <n v="11.9746318236196"/>
        <n v="12.0700840186651"/>
        <n v="12.0716235701981"/>
        <n v="12.0777817763301"/>
        <n v="12.100875049325"/>
        <n v="12.1455220437818"/>
        <n v="12.1624571106447"/>
        <n v="12.1732339713757"/>
        <n v="12.1754119689081"/>
        <n v="12.1763416602791"/>
        <n v="12.1855503836396"/>
        <n v="12.2240391719644"/>
        <n v="12.2378951357614"/>
        <n v="12.2779234756192"/>
        <n v="12.2794630271522"/>
        <n v="12.3395055369389"/>
        <n v="12.3514538087973"/>
        <n v="12.3564406038018"/>
        <n v="12.3656779129998"/>
        <n v="12.4184828189067"/>
        <n v="12.4595905565124"/>
        <n v="12.4642092111113"/>
        <n v="12.5700703002564"/>
        <n v="12.5750569214868"/>
        <n v="12.6581927042685"/>
        <n v="12.6797464257304"/>
        <n v="12.6982210441263"/>
        <n v="12.7937957499039"/>
        <n v="12.7967523422378"/>
        <n v="12.9106791556793"/>
        <n v="12.9645634593341"/>
        <n v="12.970721665466"/>
        <n v="13.0307641752528"/>
        <n v="13.0646343089786"/>
        <n v="13.1104729592441"/>
        <n v="13.1215977156994"/>
        <n v="13.1354536794963"/>
        <n v="13.1431514371613"/>
        <n v="13.1462305402272"/>
        <n v="13.1801006739531"/>
        <n v="13.2715876049707"/>
        <n v="13.2724737659327"/>
        <n v="13.2770924205316"/>
        <n v="13.3125021057905"/>
        <n v="13.3377434002876"/>
        <n v="13.3477962312808"/>
        <n v="13.3633073063793"/>
        <n v="13.3910355687374"/>
        <n v="13.4664572590898"/>
        <n v="13.5326579750085"/>
        <n v="13.6096355516581"/>
        <n v="13.6538210890241"/>
        <n v="13.6558220976479"/>
        <n v="13.6804549221758"/>
        <n v="13.6984462748329"/>
        <n v="13.7336442163655"/>
        <n v="13.8005399417493"/>
        <n v="13.8405682816071"/>
        <n v="13.852884693871"/>
        <n v="13.886826074973"/>
        <n v="13.8944525852618"/>
        <n v="13.9166066093109"/>
        <n v="14.0029766754191"/>
        <n v="14.0345517747642"/>
        <n v="14.0581065048499"/>
        <n v="14.073040563089"/>
        <n v="14.077659217688"/>
        <n v="14.080738320754"/>
        <n v="14.086896526886"/>
        <n v="14.1084502483479"/>
        <n v="14.1214732260538"/>
        <n v="14.1931255826625"/>
        <n v="14.2562471955152"/>
        <n v="14.3193688083679"/>
        <n v="14.3286061175659"/>
        <n v="14.3409225298298"/>
        <n v="14.3478313531351"/>
        <n v="14.3609366997587"/>
        <n v="14.3618093063418"/>
        <n v="14.3624762512917"/>
        <n v="14.3682411197754"/>
        <n v="14.3778717666216"/>
        <n v="14.3802575979634"/>
        <n v="14.3872693824158"/>
        <n v="14.4071232457485"/>
        <n v="14.4148210034135"/>
        <n v="14.4163605549465"/>
        <n v="14.4255978641444"/>
        <n v="14.4311386509416"/>
        <n v="14.5041149923271"/>
        <n v="14.514891853058"/>
        <n v="14.5471067885953"/>
        <n v="14.5780134659107"/>
        <n v="14.6349768726315"/>
        <n v="14.7101503266991"/>
        <n v="14.7258104130781"/>
        <n v="14.7288527629244"/>
        <n v="14.74736413454"/>
        <n v="14.7481938189233"/>
        <n v="14.8657476451304"/>
        <n v="14.8797655663774"/>
        <n v="14.9120961485702"/>
        <n v="15.0056879182292"/>
        <n v="15.0361331384539"/>
        <n v="15.0660513018695"/>
        <n v="15.1008292314313"/>
        <n v="15.1091587447933"/>
        <n v="15.1160518415436"/>
        <n v="15.1260938116562"/>
        <n v="15.1680537373897"/>
        <n v="15.16920125458"/>
        <n v="15.170740806113"/>
        <n v="15.1920345615392"/>
        <n v="15.2277042128338"/>
        <n v="15.2923653772195"/>
        <n v="15.3123795471484"/>
        <n v="15.3400914747423"/>
        <n v="15.4278459121229"/>
        <n v="15.4565665114108"/>
        <n v="15.4663347004477"/>
        <n v="15.5251594883125"/>
        <n v="15.5510100347623"/>
        <n v="15.6372249206099"/>
        <n v="15.7465330794524"/>
        <n v="15.7650076978483"/>
        <n v="15.7773241101123"/>
        <n v="15.7797993482223"/>
        <n v="15.8173524499701"/>
        <n v="15.8265897591681"/>
        <n v="15.843524826031"/>
        <n v="15.8512225836959"/>
        <n v="15.8619994444269"/>
        <n v="15.8835531658888"/>
        <n v="15.9605307425384"/>
        <n v="15.9697680517364"/>
        <n v="15.9945710879835"/>
        <n v="15.9959404277973"/>
        <n v="16.0036381854623"/>
        <n v="16.0097963915942"/>
        <n v="16.0254116442585"/>
        <n v="16.0482933473012"/>
        <n v="16.0960112774418"/>
        <n v="16.1283418596347"/>
        <n v="16.1760679571575"/>
        <n v="16.2468873276751"/>
        <n v="16.280757461401"/>
        <n v="16.3331022135228"/>
        <n v="16.3623536926496"/>
        <n v="16.3839074141115"/>
        <n v="16.3962238263755"/>
        <n v="16.4408708208323"/>
        <n v="16.507071536751"/>
        <n v="16.5371111682541"/>
        <n v="16.5902073195326"/>
        <n v="16.6933572722431"/>
        <n v="16.7025006565465"/>
        <n v="16.8149818433496"/>
        <n v="16.8247898266526"/>
        <n v="16.8580892862734"/>
        <n v="16.8858012138672"/>
        <n v="16.9181317960601"/>
        <n v="16.9612392389839"/>
        <n v="17.0345525283261"/>
        <n v="17.0936406708213"/>
        <n v="17.155222732141"/>
        <n v="17.1692013804441"/>
        <n v="17.1798555566689"/>
        <n v="17.1813951082019"/>
        <n v="17.2183443449937"/>
        <n v="17.2738568249664"/>
        <n v="17.3276525038362"/>
        <n v="17.3399689161002"/>
        <n v="17.4622366251065"/>
        <n v="17.4739098994706"/>
        <n v="17.4923845178665"/>
        <n v="17.5508874761202"/>
        <n v="17.6663538410947"/>
        <n v="17.6755911502926"/>
        <n v="17.6956053202216"/>
        <n v="17.7202381447494"/>
        <n v="17.7447672261468"/>
        <n v="17.7463833251655"/>
        <n v="17.7987552729321"/>
        <n v="17.9017894921"/>
        <n v="18.038792983111"/>
        <n v="18.0774141004038"/>
        <n v="18.0943491672667"/>
        <n v="18.1130032074086"/>
        <n v="18.1574707801195"/>
        <n v="18.1620894347184"/>
        <n v="18.1965190341207"/>
        <n v="18.1974704472528"/>
        <n v="18.2205923929722"/>
        <n v="18.249843872099"/>
        <n v="18.3496444161496"/>
        <n v="18.3576124794085"/>
        <n v="18.3776266493375"/>
        <n v="18.5221108541774"/>
        <n v="18.6177966884844"/>
        <n v="18.7028793492613"/>
        <n v="18.7194070896619"/>
        <n v="18.7532772233877"/>
        <n v="18.8502689699663"/>
        <n v="18.8856786552251"/>
        <n v="18.9826704018037"/>
        <n v="18.9848755949809"/>
        <n v="19.0072533531683"/>
        <n v="19.0180800870625"/>
        <n v="19.0242382931945"/>
        <n v="19.0288569477935"/>
        <n v="19.0457920146564"/>
        <n v="19.136625555103"/>
        <n v="19.1557780662164"/>
        <n v="19.1920494102908"/>
        <n v="19.2567105746765"/>
        <n v="19.2889498385861"/>
        <n v="19.3906515580469"/>
        <n v="19.4445358617016"/>
        <n v="19.471621159934"/>
        <n v="19.5507318135144"/>
        <n v="19.5876935620405"/>
        <n v="19.6862454523815"/>
        <n v="19.7154969315084"/>
        <n v="19.7821293891488"/>
        <n v="19.8171073326859"/>
        <n v="20.0557888229947"/>
        <n v="20.0649751294978"/>
        <n v="20.1265571908175"/>
        <n v="20.1511900153454"/>
        <n v="20.1712041852743"/>
        <n v="20.2096929735991"/>
        <n v="20.2631968857752"/>
        <n v="20.2712750349188"/>
        <n v="20.2728145864518"/>
        <n v="20.3128429263097"/>
        <n v="20.3205406839746"/>
        <n v="20.4113742244212"/>
        <n v="20.4292771260675"/>
        <n v="20.4929704556698"/>
        <n v="20.5052868679338"/>
        <n v="20.5206823832637"/>
        <n v="20.5545525169896"/>
        <n v="20.5915017537814"/>
        <n v="20.6176741298423"/>
        <n v="20.716069536617"/>
        <n v="20.7481960211434"/>
        <n v="20.7598345406899"/>
        <n v="20.8162762775984"/>
        <n v="20.8301322413953"/>
        <n v="20.8317248809122"/>
        <n v="20.8409091021263"/>
        <n v="20.8563046174562"/>
        <n v="20.8666404395517"/>
        <n v="20.8703157615137"/>
        <n v="20.888635199649"/>
        <n v="21.030192266863"/>
        <n v="21.0533672136793"/>
        <n v="21.121107481131"/>
        <n v="21.1303447903289"/>
        <n v="21.1472798571919"/>
        <n v="21.2393467592283"/>
        <n v="21.3344880724304"/>
        <n v="21.3505006595469"/>
        <n v="21.4039629528289"/>
        <n v="21.4221093119725"/>
        <n v="21.4442437864366"/>
        <n v="21.5306281889071"/>
        <n v="21.7293940318542"/>
        <n v="21.8092870163789"/>
        <n v="21.8924227991605"/>
        <n v="21.9985744385808"/>
        <n v="22.0463779524598"/>
        <n v="22.1048809107135"/>
        <n v="22.1195733360832"/>
        <n v="22.1495279051703"/>
        <n v="22.1726211781652"/>
        <n v="22.1803189358302"/>
        <n v="22.2081329557008"/>
        <n v="22.221886827221"/>
        <n v="22.2498604585914"/>
        <n v="22.2820955519229"/>
        <n v="22.3265763314645"/>
        <n v="22.4805314847638"/>
        <n v="22.4943874485607"/>
        <n v="22.5009205722877"/>
        <n v="22.5051643092917"/>
        <n v="22.5128620669567"/>
        <n v="22.7043014205778"/>
        <n v="22.715588047596"/>
        <n v="22.7822835852304"/>
        <n v="22.9454760477277"/>
        <n v="23.0209140728444"/>
        <n v="23.0440073458392"/>
        <n v="23.0455468973722"/>
        <n v="23.0498403337655"/>
        <n v="23.0833418057635"/>
        <n v="23.1105982714726"/>
        <n v="23.1379199893518"/>
        <n v="23.1490153779861"/>
        <n v="23.2148975660015"/>
        <n v="23.2179766690675"/>
        <n v="23.2372231050754"/>
        <n v="23.3762206537466"/>
        <n v="23.4735422235443"/>
        <n v="23.4766213266103"/>
        <n v="23.4827795327423"/>
        <n v="23.5779072046784"/>
        <n v="23.6059436553817"/>
        <n v="23.6445191569764"/>
        <n v="23.8368763853306"/>
        <n v="24.0136674522005"/>
        <n v="24.0185434662238"/>
        <n v="24.0986001459394"/>
        <n v="24.2325411293098"/>
        <n v="24.2463970931068"/>
        <n v="24.3772589734112"/>
        <n v="24.4403805862639"/>
        <n v="24.5111999567816"/>
        <n v="24.5924003306577"/>
        <n v="24.8699154639689"/>
        <n v="24.8883900823649"/>
        <n v="24.9130229068927"/>
        <n v="24.9592094528825"/>
        <n v="24.961274931693"/>
        <n v="24.9811633760692"/>
        <n v="25.0331079264662"/>
        <n v="25.1553632106252"/>
        <n v="25.305608547806"/>
        <n v="25.4256935673794"/>
        <n v="25.473500122305"/>
        <n v="25.5245115058492"/>
        <n v="25.5434798164292"/>
        <n v="25.5911104250906"/>
        <n v="25.6104397513386"/>
        <n v="25.9868982880112"/>
        <n v="26.0538305928406"/>
        <n v="26.1415850302212"/>
        <n v="26.4770194146245"/>
        <n v="26.4880453805106"/>
        <n v="26.5788176655912"/>
        <n v="26.5926736293881"/>
        <n v="26.6319563915212"/>
        <n v="26.6835071698347"/>
        <n v="26.7389310250225"/>
        <n v="26.7712616072153"/>
        <n v="26.8066712924741"/>
        <n v="26.8128294986061"/>
        <n v="26.9390727243115"/>
        <n v="26.965589607502"/>
        <n v="27.1669263511945"/>
        <n v="27.2131128971843"/>
        <n v="27.4070963903414"/>
        <n v="27.4671389001281"/>
        <n v="27.497929930788"/>
        <n v="27.502548585387"/>
        <n v="27.6218822058037"/>
        <n v="27.636648658935"/>
        <n v="27.6612420367449"/>
        <n v="27.6689967054237"/>
        <n v="27.8849370759269"/>
        <n v="28.1045132347872"/>
        <n v="28.1152900955182"/>
        <n v="28.1383833685131"/>
        <n v="28.3292877586042"/>
        <n v="28.6741473019946"/>
        <n v="28.6987801265225"/>
        <n v="28.7110965387865"/>
        <n v="28.7264920541164"/>
        <n v="28.7500105523047"/>
        <n v="28.9366048236902"/>
        <n v="29.256097781466"/>
        <n v="29.259176884532"/>
        <n v="29.4094310841913"/>
        <n v="29.6050833299158"/>
        <n v="29.7980199210795"/>
        <n v="29.8565228793333"/>
        <n v="30.0815327801525"/>
        <n v="30.3893996432291"/>
        <n v="30.4323151526727"/>
        <n v="30.6724851918196"/>
        <n v="30.9003388187025"/>
        <n v="31.0932237989621"/>
        <n v="31.1343506517175"/>
        <n v="31.2159468829661"/>
        <n v="31.3424028081553"/>
        <n v="31.4510985002245"/>
        <n v="31.459196025179"/>
        <n v="31.5546482202246"/>
        <n v="31.6116116269453"/>
        <n v="31.673193688265"/>
        <n v="31.8086742231684"/>
        <n v="31.9826435463966"/>
        <n v="32.0519233653813"/>
        <n v="32.0780957414422"/>
        <n v="32.0888726021731"/>
        <n v="32.0930677693195"/>
        <n v="32.1581524211578"/>
        <n v="32.2058785186806"/>
        <n v="32.3869371296045"/>
        <n v="32.5353425467411"/>
        <n v="32.5368820982741"/>
        <n v="32.6307947417867"/>
        <n v="32.8586483686696"/>
        <n v="33.2355194450273"/>
        <n v="33.3066578647706"/>
        <n v="33.4909543213899"/>
        <n v="33.5899353468413"/>
        <n v="33.8070121129933"/>
        <n v="33.8608964166481"/>
        <n v="33.9083640252149"/>
        <n v="33.9366066588737"/>
        <n v="33.9717441270236"/>
        <n v="34.3528238380195"/>
        <n v="34.5797228369498"/>
        <n v="34.5808150070931"/>
        <n v="34.6245139770126"/>
        <n v="34.6553050076725"/>
        <n v="34.978610829601"/>
        <n v="35.0725234731136"/>
        <n v="35.1294868798343"/>
        <n v="35.418922568037"/>
        <n v="35.5205329692145"/>
        <n v="35.5352804809702"/>
        <n v="35.6837254317118"/>
        <n v="36.0638230584491"/>
        <n v="36.2460251897594"/>
        <n v="36.4796735742692"/>
        <n v="36.6522394979624"/>
        <n v="36.6782757220253"/>
        <n v="36.73216002568"/>
        <n v="36.7521741956089"/>
        <n v="36.8491659421875"/>
        <n v="36.9122875550402"/>
        <n v="36.9877255801569"/>
        <n v="37.0862568782684"/>
        <n v="37.2309747223698"/>
        <n v="37.8914423300237"/>
        <n v="38.0115786129532"/>
        <n v="38.0717478909371"/>
        <n v="38.0885049262469"/>
        <n v="38.1870362243584"/>
        <n v="38.2119705469291"/>
        <n v="38.2455391826122"/>
        <n v="38.276330213272"/>
        <n v="38.6027151382665"/>
        <n v="38.8847186824978"/>
        <n v="39.2855164523766"/>
        <n v="39.5578552031533"/>
        <n v="39.6511497322348"/>
        <n v="39.6804012113616"/>
        <n v="39.7155291219367"/>
        <n v="40.1572454763263"/>
        <n v="40.6164485434214"/>
        <n v="40.925898401553"/>
        <n v="40.9936386690046"/>
        <n v="41.0591851254819"/>
        <n v="41.3293864549757"/>
        <n v="41.3415773154611"/>
        <n v="41.5617331846791"/>
        <n v="41.5971428699379"/>
        <n v="42.1590187060977"/>
        <n v="42.1740327873044"/>
        <n v="43.3349653372752"/>
        <n v="43.3907204058747"/>
        <n v="43.6032768735616"/>
        <n v="43.6385882026866"/>
        <n v="44.222078233691"/>
        <n v="44.2325953890473"/>
        <n v="44.615567412975"/>
        <n v="45.2504986577303"/>
        <n v="45.8124349672727"/>
        <n v="46.3864339789106"/>
        <n v="47.3827775309256"/>
        <n v="48.4462564427918"/>
        <n v="48.8203703325816"/>
        <n v="48.8895080912493"/>
        <n v="49.3426266324257"/>
        <n v="49.8968651843032"/>
        <n v="50.5996562530828"/>
        <n v="51.4964592270829"/>
        <n v="51.7647984803364"/>
        <n v="52.144610422473"/>
        <n v="52.8966673140824"/>
        <n v="53.1299234035885"/>
        <n v="53.5549539700445"/>
        <n v="53.5933284150194"/>
        <n v="53.6419339832017"/>
        <n v="53.7644473218815"/>
        <n v="53.804875863464"/>
        <n v="53.8642894848261"/>
        <n v="54.99278075851"/>
        <n v="55.4038410178191"/>
        <n v="55.5516379649865"/>
        <n v="55.8422423708183"/>
        <n v="57.856346609877"/>
        <n v="58.8449022154753"/>
        <n v="60.2303350737522"/>
        <n v="61.4619763001466"/>
        <n v="63.7220379505803"/>
        <n v="64.4706601973397"/>
        <n v="70.489338769672"/>
        <n v="75.0139233727016"/>
        <n v="83.9984972747547"/>
        <n v="84.1996625034224"/>
        <n v="86.8122603413598"/>
        <n v="92.7757612963871"/>
        <n v="105.949999788367"/>
        <n v="110.312208145791"/>
        <n v="152.650266294797"/>
        <n v="172.692900419327"/>
        <n v="175.394357637184"/>
        <n v="202.517434356324"/>
        <n v="211.490818944848"/>
      </sharedItems>
    </cacheField>
    <cacheField name="ESCAV. MEC. 2ª CAT. &gt;1,50&lt;3,00" numFmtId="0">
      <sharedItems containsSemiMixedTypes="0" containsString="0" containsNumber="1" minValue="0" maxValue="29.2697181360925" count="1406">
        <n v="0"/>
        <n v="0.0125710994899891"/>
        <n v="0.0127841689728703"/>
        <n v="0.0140625858701573"/>
        <n v="0.0142756553530385"/>
        <n v="0.0151279332845632"/>
        <n v="0.0155540722503255"/>
        <n v="0.0164063501818502"/>
        <n v="0.0168324891476125"/>
        <n v="0.0204546703565924"/>
        <n v="0.0237011090218855"/>
        <n v="0.0240768515655724"/>
        <n v="0.024570510433495"/>
        <n v="0.0259944769115029"/>
        <n v="0.0279121022574334"/>
        <n v="0.0285820223410043"/>
        <n v="0.029829727603364"/>
        <n v="0.0323193661685041"/>
        <n v="0.0353514486849264"/>
        <n v="0.0387786458843732"/>
        <n v="0.0393629605924358"/>
        <n v="0.0395018483698091"/>
        <n v="0.0396309238158979"/>
        <n v="0.0411224101960661"/>
        <n v="0.0417616186447096"/>
        <n v="0.0424008270933531"/>
        <n v="0.0443045997362937"/>
        <n v="0.0451848235721141"/>
        <n v="0.0461323869363579"/>
        <n v="0.0508257115691544"/>
        <n v="0.0510890572249531"/>
        <n v="0.052142439848148"/>
        <n v="0.0526281622716493"/>
        <n v="0.0526691311597455"/>
        <n v="0.0539065791689363"/>
        <n v="0.0539858594387391"/>
        <n v="0.0571026214121539"/>
        <n v="0.0590202467580844"/>
        <n v="0.0601250599461127"/>
        <n v="0.062216289001302"/>
        <n v="0.0633713062127531"/>
        <n v="0.063729648703292"/>
        <n v="0.0643218758059444"/>
        <n v="0.0655893019301995"/>
        <n v="0.0658364139496818"/>
        <n v="0.0660997596054806"/>
        <n v="0.0666877779876065"/>
        <n v="0.0675430260733313"/>
        <n v="0.0686083734877371"/>
        <n v="0.0694606514192618"/>
        <n v="0.0705259988336677"/>
        <n v="0.0732100923120462"/>
        <n v="0.0735089715940041"/>
        <n v="0.0737367836236437"/>
        <n v="0.0762187262426783"/>
        <n v="0.0762788748714593"/>
        <n v="0.0764919443543405"/>
        <n v="0.0768728816616486"/>
        <n v="0.0769708847253363"/>
        <n v="0.0779467066416863"/>
        <n v="0.078213659772222"/>
        <n v="0.0787403510838195"/>
        <n v="0.0790956873454109"/>
        <n v="0.0795303880512157"/>
        <n v="0.0803271950462016"/>
        <n v="0.0811794729777263"/>
        <n v="0.0812740008407506"/>
        <n v="0.0830970983236568"/>
        <n v="0.0862931405668744"/>
        <n v="0.0871674120693788"/>
        <n v="0.0879971312588816"/>
        <n v="0.0893535417599819"/>
        <n v="0.0894891828100919"/>
        <n v="0.0900762391989547"/>
        <n v="0.0912546809463645"/>
        <n v="0.0913809425621584"/>
        <n v="0.0923206897311388"/>
        <n v="0.0928982945361907"/>
        <n v="0.0940327972413042"/>
        <n v="0.0946028503992401"/>
        <n v="0.0992813122361202"/>
        <n v="0.100242704253522"/>
        <n v="0.100334694859315"/>
        <n v="0.100568795919913"/>
        <n v="0.102704805761504"/>
        <n v="0.103231497073101"/>
        <n v="0.103977907646012"/>
        <n v="0.104879511782106"/>
        <n v="0.106213676188995"/>
        <n v="0.108452366786516"/>
        <n v="0.10909157523516"/>
        <n v="0.110886558464949"/>
        <n v="0.111570174927605"/>
        <n v="0.111648409029734"/>
        <n v="0.111788427149191"/>
        <n v="0.111861478512615"/>
        <n v="0.113074491892921"/>
        <n v="0.11376532330505"/>
        <n v="0.113992173341427"/>
        <n v="0.114818705928245"/>
        <n v="0.116135434207239"/>
        <n v="0.117656586054661"/>
        <n v="0.117715508142031"/>
        <n v="0.118466632481931"/>
        <n v="0.120003849616848"/>
        <n v="0.120612310355817"/>
        <n v="0.120810396793624"/>
        <n v="0.121662674725149"/>
        <n v="0.123154161105317"/>
        <n v="0.123367230588198"/>
        <n v="0.123772458225402"/>
        <n v="0.124674326909644"/>
        <n v="0.126563272831416"/>
        <n v="0.127841689728703"/>
        <n v="0.128512680029779"/>
        <n v="0.130824662489039"/>
        <n v="0.132529218352089"/>
        <n v="0.133779593145754"/>
        <n v="0.134347169171037"/>
        <n v="0.134832975768948"/>
        <n v="0.135886358392143"/>
        <n v="0.136149704047942"/>
        <n v="0.141001156323376"/>
        <n v="0.143395761979028"/>
        <n v="0.143769893183999"/>
        <n v="0.144576765033501"/>
        <n v="0.145100317842078"/>
        <n v="0.146765600330157"/>
        <n v="0.147473567247287"/>
        <n v="0.149574776982582"/>
        <n v="0.15227872359693"/>
        <n v="0.153867816218565"/>
        <n v="0.15396251243041"/>
        <n v="0.154625987159118"/>
        <n v="0.1565271263455"/>
        <n v="0.156679842776032"/>
        <n v="0.157682720752909"/>
        <n v="0.159060776102431"/>
        <n v="0.162998154404096"/>
        <n v="0.163428225517322"/>
        <n v="0.166979183150078"/>
        <n v="0.168537960959006"/>
        <n v="0.169816377856293"/>
        <n v="0.171307864236462"/>
        <n v="0.172586281133749"/>
        <n v="0.172754750203965"/>
        <n v="0.174500767976658"/>
        <n v="0.176208462342729"/>
        <n v="0.176805944333581"/>
        <n v="0.178126087688659"/>
        <n v="0.178548354631537"/>
        <n v="0.178552226654422"/>
        <n v="0.179865082910531"/>
        <n v="0.181748268897639"/>
        <n v="0.188074492920293"/>
        <n v="0.189418770281361"/>
        <n v="0.191188946109876"/>
        <n v="0.192206253985701"/>
        <n v="0.192401743041698"/>
        <n v="0.193764683072072"/>
        <n v="0.196814802962179"/>
        <n v="0.199823436892811"/>
        <n v="0.200406044062832"/>
        <n v="0.21093878805236"/>
        <n v="0.212519944229573"/>
        <n v="0.21292758887485"/>
        <n v="0.213561301936978"/>
        <n v="0.216470129066554"/>
        <n v="0.218576894312944"/>
        <n v="0.220382435418797"/>
        <n v="0.22564058237116"/>
        <n v="0.226901142268499"/>
        <n v="0.227771277199972"/>
        <n v="0.23288494478912"/>
        <n v="0.23458950065217"/>
        <n v="0.237785542895387"/>
        <n v="0.238327818497848"/>
        <n v="0.238637820826912"/>
        <n v="0.247160600142159"/>
        <n v="0.250143572902495"/>
        <n v="0.252624240880456"/>
        <n v="0.25653565738893"/>
        <n v="0.256961796354692"/>
        <n v="0.263566950324009"/>
        <n v="0.265697645152821"/>
        <n v="0.265910714635702"/>
        <n v="0.26808497573442"/>
        <n v="0.271237451707731"/>
        <n v="0.272302799122137"/>
        <n v="0.272826099407482"/>
        <n v="0.273352790719079"/>
        <n v="0.274433493950949"/>
        <n v="0.276977100338154"/>
        <n v="0.280199777769846"/>
        <n v="0.280399439471621"/>
        <n v="0.285086968095007"/>
        <n v="0.285993382197418"/>
        <n v="0.290956064943908"/>
        <n v="0.295527372756185"/>
        <n v="0.29600051711777"/>
        <n v="0.296263862773568"/>
        <n v="0.30383708258855"/>
        <n v="0.303872026993836"/>
        <n v="0.306007652038121"/>
        <n v="0.306606985866005"/>
        <n v="0.308737680694817"/>
        <n v="0.309376889143461"/>
        <n v="0.309589958626342"/>
        <n v="0.309957836875102"/>
        <n v="0.310442236557867"/>
        <n v="0.311551619213895"/>
        <n v="0.311933722938035"/>
        <n v="0.313425209318203"/>
        <n v="0.315768973629896"/>
        <n v="0.318054212676439"/>
        <n v="0.324291752945143"/>
        <n v="0.324930961393786"/>
        <n v="0.325144030876667"/>
        <n v="0.327318809046765"/>
        <n v="0.327700864671241"/>
        <n v="0.328655378436812"/>
        <n v="0.329972106715805"/>
        <n v="0.332388393294627"/>
        <n v="0.334778465557027"/>
        <n v="0.335584435537845"/>
        <n v="0.338662513357163"/>
        <n v="0.347879611310119"/>
        <n v="0.354334550031388"/>
        <n v="0.355826036411556"/>
        <n v="0.357104453308843"/>
        <n v="0.363070398829516"/>
        <n v="0.364559852998916"/>
        <n v="0.366479510555615"/>
        <n v="0.368397135901545"/>
        <n v="0.373297734007812"/>
        <n v="0.37649377625103"/>
        <n v="0.38079781828496"/>
        <n v="0.387147250395088"/>
        <n v="0.395883099193216"/>
        <n v="0.396096168676097"/>
        <n v="0.396136800866551"/>
        <n v="0.396706781874993"/>
        <n v="0.399292210919315"/>
        <n v="0.400285396814066"/>
        <n v="0.400649751762499"/>
        <n v="0.401422905748127"/>
        <n v="0.401635975231008"/>
        <n v="0.404192809025582"/>
        <n v="0.413780935755235"/>
        <n v="0.417698677369414"/>
        <n v="0.419533811793026"/>
        <n v="0.420402479684773"/>
        <n v="0.422516784553363"/>
        <n v="0.424647479382174"/>
        <n v="0.42933500800556"/>
        <n v="0.433809467146065"/>
        <n v="0.439523899528076"/>
        <n v="0.439525102019655"/>
        <n v="0.440111917910202"/>
        <n v="0.445102149738767"/>
        <n v="0.448937400430628"/>
        <n v="0.44900434313683"/>
        <n v="0.449150469913509"/>
        <n v="0.452559581639608"/>
        <n v="0.45660790181435"/>
        <n v="0.456810918467631"/>
        <n v="0.459164735608924"/>
        <n v="0.460443152506211"/>
        <n v="0.461508499920617"/>
        <n v="0.462698317238364"/>
        <n v="0.464909699252126"/>
        <n v="0.467261375958409"/>
        <n v="0.469179001304339"/>
        <n v="0.469605140270101"/>
        <n v="0.470244348718745"/>
        <n v="0.473495489126112"/>
        <n v="0.474862722051423"/>
        <n v="0.475784155273655"/>
        <n v="0.477371720730985"/>
        <n v="0.484520004071783"/>
        <n v="0.489111044770871"/>
        <n v="0.48942060217805"/>
        <n v="0.4911251580411"/>
        <n v="0.493895061318555"/>
        <n v="0.497304173044654"/>
        <n v="0.497730312010416"/>
        <n v="0.497943381493297"/>
        <n v="0.503313071564528"/>
        <n v="0.506892299774306"/>
        <n v="0.508383786154475"/>
        <n v="0.50904715265894"/>
        <n v="0.519037260298533"/>
        <n v="0.521807163575988"/>
        <n v="0.527133900648018"/>
        <n v="0.535869749446146"/>
        <n v="0.537574305309195"/>
        <n v="0.53842658324072"/>
        <n v="0.539491930655126"/>
        <n v="0.539858594387391"/>
        <n v="0.543303732761196"/>
        <n v="0.544312021950179"/>
        <n v="0.550145404799184"/>
        <n v="0.555395988079516"/>
        <n v="0.556324419802738"/>
        <n v="0.557815906182906"/>
        <n v="0.559307392563075"/>
        <n v="0.563823049065075"/>
        <n v="0.565486407566629"/>
        <n v="0.569960866707133"/>
        <n v="0.573796117398994"/>
        <n v="0.579335923953905"/>
        <n v="0.583384244128647"/>
        <n v="0.584449591543053"/>
        <n v="0.584627355873175"/>
        <n v="0.58572800844034"/>
        <n v="0.589776328615082"/>
        <n v="0.591693953961013"/>
        <n v="0.591907023443894"/>
        <n v="0.597922704016274"/>
        <n v="0.602347428105071"/>
        <n v="0.603609887939105"/>
        <n v="0.605543470348289"/>
        <n v="0.609591790523031"/>
        <n v="0.611509415868962"/>
        <n v="0.614067957201578"/>
        <n v="0.616836152940991"/>
        <n v="0.620049150315472"/>
        <n v="0.620530748192858"/>
        <n v="0.621856495158694"/>
        <n v="0.623441306910307"/>
        <n v="0.624506654324713"/>
        <n v="0.626798735548341"/>
        <n v="0.628768043982336"/>
        <n v="0.630186154326355"/>
        <n v="0.631537947259792"/>
        <n v="0.63856924019487"/>
        <n v="0.639632326925108"/>
        <n v="0.641552212955207"/>
        <n v="0.648583505890285"/>
        <n v="0.648883695888064"/>
        <n v="0.650192006726005"/>
        <n v="0.654150609004039"/>
        <n v="0.656040937791126"/>
        <n v="0.662267427162219"/>
        <n v="0.662314324333799"/>
        <n v="0.663711439174848"/>
        <n v="0.665065023820738"/>
        <n v="0.665409537658119"/>
        <n v="0.670742732109927"/>
        <n v="0.672491010566789"/>
        <n v="0.673901533188943"/>
        <n v="0.6767086776306"/>
        <n v="0.677061681058528"/>
        <n v="0.680543928322461"/>
        <n v="0.681801902862905"/>
        <n v="0.682072463468178"/>
        <n v="0.687362151774658"/>
        <n v="0.690755655160062"/>
        <n v="0.690771263500757"/>
        <n v="0.692475819363807"/>
        <n v="0.692599074750653"/>
        <n v="0.692688888846688"/>
        <n v="0.694180375226856"/>
        <n v="0.695032653158381"/>
        <n v="0.697376417470073"/>
        <n v="0.698228695401598"/>
        <n v="0.699080973333123"/>
        <n v="0.703977050071053"/>
        <n v="0.705239666228992"/>
        <n v="0.708456030579894"/>
        <n v="0.710243233689168"/>
        <n v="0.712086653279759"/>
        <n v="0.714208906617686"/>
        <n v="0.714635045583448"/>
        <n v="0.716305594984644"/>
        <n v="0.716978809895141"/>
        <n v="0.719236668208431"/>
        <n v="0.720316505646364"/>
        <n v="0.721567096888513"/>
        <n v="0.72401010283022"/>
        <n v="0.725601456136023"/>
        <n v="0.725602959250497"/>
        <n v="0.72589125660656"/>
        <n v="0.728271492487843"/>
        <n v="0.732532882145467"/>
        <n v="0.737646549734615"/>
        <n v="0.74041645301207"/>
        <n v="0.741268730943595"/>
        <n v="0.743612495255288"/>
        <n v="0.744669365104062"/>
        <n v="0.745256180994609"/>
        <n v="0.751711155790625"/>
        <n v="0.75320062198494"/>
        <n v="0.75527534083075"/>
        <n v="0.758927909001931"/>
        <n v="0.765948054840073"/>
        <n v="0.766072512718498"/>
        <n v="0.768115485786622"/>
        <n v="0.768321773216998"/>
        <n v="0.770246180615434"/>
        <n v="0.771737666995602"/>
        <n v="0.773442222858652"/>
        <n v="0.780260446310849"/>
        <n v="0.780686585276611"/>
        <n v="0.781346560754824"/>
        <n v="0.78332706438542"/>
        <n v="0.786652530797284"/>
        <n v="0.787078669763047"/>
        <n v="0.788570156143215"/>
        <n v="0.788996295108977"/>
        <n v="0.790267845779348"/>
        <n v="0.796879865975581"/>
        <n v="0.799436699770155"/>
        <n v="0.802051662007657"/>
        <n v="0.803058880979135"/>
        <n v="0.805189575807946"/>
        <n v="0.806894131670995"/>
        <n v="0.807959479085401"/>
        <n v="0.808172548568283"/>
        <n v="0.816908397366411"/>
        <n v="0.817973744780816"/>
        <n v="0.819441493977215"/>
        <n v="0.819678300643866"/>
        <n v="0.81985274609723"/>
        <n v="0.819891370126747"/>
        <n v="0.820104439609628"/>
        <n v="0.826709593578944"/>
        <n v="0.831649188487118"/>
        <n v="0.83310167806538"/>
        <n v="0.836084650825716"/>
        <n v="0.837149998240122"/>
        <n v="0.840346040483339"/>
        <n v="0.84241750057697"/>
        <n v="0.842476735312151"/>
        <n v="0.843856882997021"/>
        <n v="0.844172537036506"/>
        <n v="0.844607430140963"/>
        <n v="0.845672777555369"/>
        <n v="0.845895106223408"/>
        <n v="0.849197749345103"/>
        <n v="0.853239924787877"/>
        <n v="0.857716800936455"/>
        <n v="0.859522293942645"/>
        <n v="0.860800710839932"/>
        <n v="0.863694386575613"/>
        <n v="0.865701308946199"/>
        <n v="0.867832003775011"/>
        <n v="0.869798233830564"/>
        <n v="0.873867465333865"/>
        <n v="0.878270388250335"/>
        <n v="0.879763894816356"/>
        <n v="0.883386076025336"/>
        <n v="0.88594290981991"/>
        <n v="0.887008257234316"/>
        <n v="0.889991229994652"/>
        <n v="0.892761133272108"/>
        <n v="0.893826480686514"/>
        <n v="0.8951048975838"/>
        <n v="0.895744106032444"/>
        <n v="0.896786654206512"/>
        <n v="0.89680945344685"/>
        <n v="0.900835142730076"/>
        <n v="0.901710051553117"/>
        <n v="0.903342337672269"/>
        <n v="0.903414607416166"/>
        <n v="0.90405381586481"/>
        <n v="0.904641028577578"/>
        <n v="0.904906093796334"/>
        <n v="0.90767599707379"/>
        <n v="0.91129817828277"/>
        <n v="0.912792117745759"/>
        <n v="0.915772637423274"/>
        <n v="0.918022956114364"/>
        <n v="0.919900646714956"/>
        <n v="0.921951652426828"/>
        <n v="0.923869277772759"/>
        <n v="0.924653494680912"/>
        <n v="0.927065320015976"/>
        <n v="0.930582379411121"/>
        <n v="0.930687501224956"/>
        <n v="0.9313267096736"/>
        <n v="0.933634303038597"/>
        <n v="0.935375029848342"/>
        <n v="0.936014238296985"/>
        <n v="0.939636419505965"/>
        <n v="0.94048869743749"/>
        <n v="0.940914836403252"/>
        <n v="0.941554044851896"/>
        <n v="0.944750087095114"/>
        <n v="0.945389295543757"/>
        <n v="0.945602365026638"/>
        <n v="0.947093851406806"/>
        <n v="0.948585337786975"/>
        <n v="0.950716032615786"/>
        <n v="0.95135524106443"/>
        <n v="0.951731200056601"/>
        <n v="0.952207518995954"/>
        <n v="0.954125144341885"/>
        <n v="0.954456045974591"/>
        <n v="0.955616630722053"/>
        <n v="0.956681978136459"/>
        <n v="0.957534256067984"/>
        <n v="0.957703374483653"/>
        <n v="0.957999187412084"/>
        <n v="0.958812672965271"/>
        <n v="0.959066999934227"/>
        <n v="0.959451881413914"/>
        <n v="0.960304159345439"/>
        <n v="0.964352479520181"/>
        <n v="0.966057035383231"/>
        <n v="0.966951135971873"/>
        <n v="0.967548521763399"/>
        <n v="0.967777247686638"/>
        <n v="0.969466147109329"/>
        <n v="0.970033723134612"/>
        <n v="0.971809911421022"/>
        <n v="0.973727536766953"/>
        <n v="0.976485691701681"/>
        <n v="0.98054576021915"/>
        <n v="0.981184968667794"/>
        <n v="0.981611107633556"/>
        <n v="0.984649407031442"/>
        <n v="0.984927182586188"/>
        <n v="0.991625373328971"/>
        <n v="0.99187517892959"/>
        <n v="0.993076468017001"/>
        <n v="0.994395276606426"/>
        <n v="0.994821415572189"/>
        <n v="0.99503448505507"/>
        <n v="0.996312901952357"/>
        <n v="0.997591318849644"/>
        <n v="0.99831452133508"/>
        <n v="0.998443596781169"/>
        <n v="0.99865666626405"/>
        <n v="0.999295874712693"/>
        <n v="1.00228154105417"/>
        <n v="1.00270498643879"/>
        <n v="1.00291805592167"/>
        <n v="1.00419647281896"/>
        <n v="1.00611409816489"/>
        <n v="1.00781865402794"/>
        <n v="1.00782382474173"/>
        <n v="1.00867093195946"/>
        <n v="1.00873651585018"/>
        <n v="1.00931014040811"/>
        <n v="1.00966724433232"/>
        <n v="1.01190387866924"/>
        <n v="1.01256404654611"/>
        <n v="1.01335846058285"/>
        <n v="1.0145102791667"/>
        <n v="1.0149341574483"/>
        <n v="1.01527608592878"/>
        <n v="1.01676757230895"/>
        <n v="1.01740678075759"/>
        <n v="1.01783216215366"/>
        <n v="1.01967618299004"/>
        <n v="1.02145510093234"/>
        <n v="1.02252044834674"/>
        <n v="1.0229465873125"/>
        <n v="1.02362456408965"/>
        <n v="1.02379886524403"/>
        <n v="1.02592956007284"/>
        <n v="1.0263556990386"/>
        <n v="1.02699490748725"/>
        <n v="1.03125629714487"/>
        <n v="1.03210857507639"/>
        <n v="1.03274778352504"/>
        <n v="1.03338699197368"/>
        <n v="1.03402620042232"/>
        <n v="1.03509154783673"/>
        <n v="1.03561941759008"/>
        <n v="1.03573075628537"/>
        <n v="1.0359729501143"/>
        <n v="1.03743531214842"/>
        <n v="1.03822942556227"/>
        <n v="1.03935293749435"/>
        <n v="1.03973374252759"/>
        <n v="1.04021534040497"/>
        <n v="1.0410574933574"/>
        <n v="1.04127056284028"/>
        <n v="1.04148363232317"/>
        <n v="1.04276204922045"/>
        <n v="1.04299309595244"/>
        <n v="1.04404046611774"/>
        <n v="1.0444666050835"/>
        <n v="1.04467967456638"/>
        <n v="1.04474813241197"/>
        <n v="1.04600894483255"/>
        <n v="1.04687954873573"/>
        <n v="1.05171096750146"/>
        <n v="1.05213710646722"/>
        <n v="1.05533314871044"/>
        <n v="1.05545692116867"/>
        <n v="1.05725077405637"/>
        <n v="1.0591683994023"/>
        <n v="1.06044681629959"/>
        <n v="1.06193830267976"/>
        <n v="1.06207302983627"/>
        <n v="1.06364285854281"/>
        <n v="1.06496983205005"/>
        <n v="1.06854345664907"/>
        <n v="1.06944670819863"/>
        <n v="1.07313354737981"/>
        <n v="1.07323098527246"/>
        <n v="1.07392358434721"/>
        <n v="1.07600088854991"/>
        <n v="1.07642702751568"/>
        <n v="1.07685316648144"/>
        <n v="1.07749237493008"/>
        <n v="1.07809202140578"/>
        <n v="1.07909670312002"/>
        <n v="1.07919693079313"/>
        <n v="1.07983613924178"/>
        <n v="1.08241557987804"/>
        <n v="1.08292423381595"/>
        <n v="1.08622822372821"/>
        <n v="1.08729357114262"/>
        <n v="1.08826510016403"/>
        <n v="1.08963733545431"/>
        <n v="1.09012836086567"/>
        <n v="1.09284298560524"/>
        <n v="1.09315954151341"/>
        <n v="1.09347258614617"/>
        <n v="1.09389872511193"/>
        <n v="1.09420119984371"/>
        <n v="1.0956441897385"/>
        <n v="1.0958786755964"/>
        <n v="1.0968977872096"/>
        <n v="1.09794704528668"/>
        <n v="1.10178229597854"/>
        <n v="1.10242150442718"/>
        <n v="1.10497833822175"/>
        <n v="1.10542225001305"/>
        <n v="1.10555933405306"/>
        <n v="1.10583061615328"/>
        <n v="1.10911991161845"/>
        <n v="1.11054907286008"/>
        <n v="1.11158349219107"/>
        <n v="1.11627102081446"/>
        <n v="1.11648409029734"/>
        <n v="1.1203193409892"/>
        <n v="1.12158193309731"/>
        <n v="1.12245003581801"/>
        <n v="1.12266310530089"/>
        <n v="1.12472765106794"/>
        <n v="1.12870308822808"/>
        <n v="1.12975286337654"/>
        <n v="1.13124635791765"/>
        <n v="1.13475643083672"/>
        <n v="1.13676218679047"/>
        <n v="1.13715183013681"/>
        <n v="1.13757796910257"/>
        <n v="1.13926938173266"/>
        <n v="1.13938482092425"/>
        <n v="1.14152585718064"/>
        <n v="1.14396270636546"/>
        <n v="1.14397005358901"/>
        <n v="1.14634363969186"/>
        <n v="1.14695302634934"/>
        <n v="1.14759223479799"/>
        <n v="1.14823144324663"/>
        <n v="1.14844451272951"/>
        <n v="1.148796722513"/>
        <n v="1.1497229296268"/>
        <n v="1.15036213807544"/>
        <n v="1.15105319796097"/>
        <n v="1.1531320413529"/>
        <n v="1.15330967340895"/>
        <n v="1.15345397239843"/>
        <n v="1.15757190481068"/>
        <n v="1.15824570894205"/>
        <n v="1.16509348963726"/>
        <n v="1.16589976024097"/>
        <n v="1.16837809538527"/>
        <n v="1.17039066946627"/>
        <n v="1.17092136507483"/>
        <n v="1.17166908636356"/>
        <n v="1.17209522532932"/>
        <n v="1.17392518903915"/>
        <n v="1.17524492354709"/>
        <n v="1.17529126757254"/>
        <n v="1.177378744854"/>
        <n v="1.17788018384244"/>
        <n v="1.17956848201934"/>
        <n v="1.18038737878464"/>
        <n v="1.18096697972571"/>
        <n v="1.18210949102474"/>
        <n v="1.18740752462278"/>
        <n v="1.18966400007075"/>
        <n v="1.18991471956497"/>
        <n v="1.19191068723727"/>
        <n v="1.19919134085109"/>
        <n v="1.20022039706964"/>
        <n v="1.20150553589485"/>
        <n v="1.20190957306539"/>
        <n v="1.20271223619437"/>
        <n v="1.20401633831178"/>
        <n v="1.20726306557505"/>
        <n v="1.20825391863614"/>
        <n v="1.20831703741912"/>
        <n v="1.20856175648036"/>
        <n v="1.20895624586777"/>
        <n v="1.20932473738723"/>
        <n v="1.20938238483353"/>
        <n v="1.21385684397403"/>
        <n v="1.21492219138844"/>
        <n v="1.2149866689869"/>
        <n v="1.21665692979012"/>
        <n v="1.21699242494066"/>
        <n v="1.22233750000927"/>
        <n v="1.22376185128458"/>
        <n v="1.22613737339887"/>
        <n v="1.22791942984419"/>
        <n v="1.22813249932707"/>
        <n v="1.22834556880995"/>
        <n v="1.23028055813428"/>
        <n v="1.23078199712272"/>
        <n v="1.23193097782645"/>
        <n v="1.23282002795046"/>
        <n v="1.23377439741704"/>
        <n v="1.23431151433063"/>
        <n v="1.2403526275999"/>
        <n v="1.24091666829994"/>
        <n v="1.24198201571435"/>
        <n v="1.24206437436259"/>
        <n v="1.24238724335155"/>
        <n v="1.24432578002604"/>
        <n v="1.24603033588909"/>
        <n v="1.25008739817761"/>
        <n v="1.25089186504395"/>
        <n v="1.25135707296112"/>
        <n v="1.25178321192688"/>
        <n v="1.25285192631771"/>
        <n v="1.25327469830705"/>
        <n v="1.25332330301667"/>
        <n v="1.25434004572146"/>
        <n v="1.2617974776223"/>
        <n v="1.26187121440592"/>
        <n v="1.26458583914549"/>
        <n v="1.26553099752657"/>
        <n v="1.26634869180029"/>
        <n v="1.26669807572856"/>
        <n v="1.26909157509196"/>
        <n v="1.27248620881945"/>
        <n v="1.27301290013105"/>
        <n v="1.27485752221322"/>
        <n v="1.27522085504381"/>
        <n v="1.27775312193543"/>
        <n v="1.27926917521855"/>
        <n v="1.28118680056448"/>
        <n v="1.28170330677241"/>
        <n v="1.28267828694465"/>
        <n v="1.28310442591041"/>
        <n v="1.28353056487618"/>
        <n v="1.28374363435906"/>
        <n v="1.28486345464199"/>
        <n v="1.28544819022211"/>
        <n v="1.28693967660227"/>
        <n v="1.28828694816737"/>
        <n v="1.29477859895655"/>
        <n v="1.29618731784134"/>
        <n v="1.29774334194455"/>
        <n v="1.29829408308773"/>
        <n v="1.30121533195531"/>
        <n v="1.30171757661311"/>
        <n v="1.30228067936972"/>
        <n v="1.30390490879529"/>
        <n v="1.30760741644175"/>
        <n v="1.30775288184806"/>
        <n v="1.31009503482104"/>
        <n v="1.31014463759867"/>
        <n v="1.31016425023632"/>
        <n v="1.31357336196242"/>
        <n v="1.31460419786851"/>
        <n v="1.31567489637044"/>
        <n v="1.31847396006869"/>
        <n v="1.31868702955157"/>
        <n v="1.32380069714072"/>
        <n v="1.32444346496443"/>
        <n v="1.32699673938393"/>
        <n v="1.32913799208881"/>
        <n v="1.33305570965316"/>
        <n v="1.33637179663071"/>
        <n v="1.33750552974121"/>
        <n v="1.33892863042528"/>
        <n v="1.34084625577121"/>
        <n v="1.34127239473697"/>
        <n v="1.34157476124451"/>
        <n v="1.34279949891771"/>
        <n v="1.34732928469577"/>
        <n v="1.34766447922341"/>
        <n v="1.35064745198374"/>
        <n v="1.35128666043239"/>
        <n v="1.35213023232488"/>
        <n v="1.35227994252647"/>
        <n v="1.35256507732968"/>
        <n v="1.35320428577832"/>
        <n v="1.35448270267561"/>
        <n v="1.35530841756815"/>
        <n v="1.35895716181611"/>
        <n v="1.35917023129899"/>
        <n v="1.3602392342878"/>
        <n v="1.36087478716204"/>
        <n v="1.3636446904395"/>
        <n v="1.38397160809074"/>
        <n v="1.38559084717626"/>
        <n v="1.38686926407354"/>
        <n v="1.38771887247376"/>
        <n v="1.38942609786812"/>
        <n v="1.39046506261728"/>
        <n v="1.39176986217981"/>
        <n v="1.39240907062845"/>
        <n v="1.39517897390591"/>
        <n v="1.40604551753285"/>
        <n v="1.4073191845884"/>
        <n v="1.40945462925895"/>
        <n v="1.41074267811378"/>
        <n v="1.41499443581386"/>
        <n v="1.4156336442625"/>
        <n v="1.41574624557396"/>
        <n v="1.43459682823893"/>
        <n v="1.43786728066105"/>
        <n v="1.43837773833633"/>
        <n v="1.43864514841367"/>
        <n v="1.43872766338582"/>
        <n v="1.44181746549803"/>
        <n v="1.44375881600282"/>
        <n v="1.45068103092676"/>
        <n v="1.45292080376671"/>
        <n v="1.45383636883003"/>
        <n v="1.45590377652704"/>
        <n v="1.45654298497569"/>
        <n v="1.46229586101348"/>
        <n v="1.46586609458625"/>
        <n v="1.46733313431261"/>
        <n v="1.47231012670889"/>
        <n v="1.48120026720152"/>
        <n v="1.48573350413041"/>
        <n v="1.48579619001642"/>
        <n v="1.49290652272299"/>
        <n v="1.49442526958725"/>
        <n v="1.49569690443203"/>
        <n v="1.49809153413752"/>
        <n v="1.49949016411795"/>
        <n v="1.50043529844921"/>
        <n v="1.50256599327802"/>
        <n v="1.5027790627609"/>
        <n v="1.50363134069243"/>
        <n v="1.50576203552124"/>
        <n v="1.506188174487"/>
        <n v="1.51158783064838"/>
        <n v="1.51705471811394"/>
        <n v="1.51875927397699"/>
        <n v="1.52152917725444"/>
        <n v="1.52238145518597"/>
        <n v="1.53282185984715"/>
        <n v="1.53372509937179"/>
        <n v="1.53473948519308"/>
        <n v="1.5355917631246"/>
        <n v="1.53772245795341"/>
        <n v="1.54016985298938"/>
        <n v="1.54147575884417"/>
        <n v="1.54320554298054"/>
        <n v="1.54773672364883"/>
        <n v="1.55476801658391"/>
        <n v="1.55520941516781"/>
        <n v="1.55732485037848"/>
        <n v="1.56669990762525"/>
        <n v="1.5673391160739"/>
        <n v="1.56904367193695"/>
        <n v="1.57032208883423"/>
        <n v="1.57428033036479"/>
        <n v="1.57875720651337"/>
        <n v="1.58038778509448"/>
        <n v="1.58176223296927"/>
        <n v="1.58244404569455"/>
        <n v="1.59166114364751"/>
        <n v="1.59226824557099"/>
        <n v="1.59257022728122"/>
        <n v="1.59332238576388"/>
        <n v="1.59461200988269"/>
        <n v="1.59887339954031"/>
        <n v="1.59951260798895"/>
        <n v="1.60292171971505"/>
        <n v="1.61911500041402"/>
        <n v="1.6193280698969"/>
        <n v="1.62039341731131"/>
        <n v="1.62060648679419"/>
        <n v="1.62572015438334"/>
        <n v="1.63104689145537"/>
        <n v="1.64468333835976"/>
        <n v="1.65363225664077"/>
        <n v="1.656581259014"/>
        <n v="1.65725443784975"/>
        <n v="1.67046474578838"/>
        <n v="1.67067781527126"/>
        <n v="1.67153009320279"/>
        <n v="1.67472613544601"/>
        <n v="1.68090515044956"/>
        <n v="1.68324891476125"/>
        <n v="1.68474040114142"/>
        <n v="1.68504182970553"/>
        <n v="1.68517049630448"/>
        <n v="1.68644495700447"/>
        <n v="1.6917716940765"/>
        <n v="1.69368931942243"/>
        <n v="1.69922912597734"/>
        <n v="1.69944219546022"/>
        <n v="1.70775190529259"/>
        <n v="1.70940551158744"/>
        <n v="1.71009566960428"/>
        <n v="1.71137408650157"/>
        <n v="1.71868213287355"/>
        <n v="1.72437132495732"/>
        <n v="1.72501053340596"/>
        <n v="1.73966140220639"/>
        <n v="1.74035153617341"/>
        <n v="1.75185728824899"/>
        <n v="1.75484026100933"/>
        <n v="1.7573970948039"/>
        <n v="1.7706243578738"/>
        <n v="1.7710335417083"/>
        <n v="1.7868006834415"/>
        <n v="1.79425811534234"/>
        <n v="1.79511039327387"/>
        <n v="1.80342010310623"/>
        <n v="1.80810763172962"/>
        <n v="1.81445156845323"/>
        <n v="1.81599120259622"/>
        <n v="1.81790882794215"/>
        <n v="1.81897417535656"/>
        <n v="1.81940031432232"/>
        <n v="1.82408784294571"/>
        <n v="1.83674936980244"/>
        <n v="1.83687201191858"/>
        <n v="1.83751122036722"/>
        <n v="1.84241181847349"/>
        <n v="1.84590514068486"/>
        <n v="1.84729642344175"/>
        <n v="1.84944311140857"/>
        <n v="1.8532806227846"/>
        <n v="1.8637187667616"/>
        <n v="1.8728807545255"/>
        <n v="1.88353422866955"/>
        <n v="1.88964937934535"/>
        <n v="1.88992631315599"/>
        <n v="1.89333542488209"/>
        <n v="1.89582537609504"/>
        <n v="1.90069666948153"/>
        <n v="1.90995484454682"/>
        <n v="1.91549465110173"/>
        <n v="1.91719920696478"/>
        <n v="1.92189659601911"/>
        <n v="1.92295208300257"/>
        <n v="1.9260181359061"/>
        <n v="1.93797150344705"/>
        <n v="1.94234140594476"/>
        <n v="1.94560131251574"/>
        <n v="1.94766814301679"/>
        <n v="1.94830735146543"/>
        <n v="1.94873349043119"/>
        <n v="1.94958576836272"/>
        <n v="1.95256874112305"/>
        <n v="1.95437108360131"/>
        <n v="1.96428756268152"/>
        <n v="1.97302341147965"/>
        <n v="1.98175926027777"/>
        <n v="1.98303767717506"/>
        <n v="1.98474223303811"/>
        <n v="1.98569839421714"/>
        <n v="1.98751213631557"/>
        <n v="1.98763290254484"/>
        <n v="1.98772520579845"/>
        <n v="1.98852304693619"/>
        <n v="1.98985590062726"/>
        <n v="1.99018609278993"/>
        <n v="1.99115650349418"/>
        <n v="1.993904220802"/>
        <n v="1.99496956821641"/>
        <n v="1.99518263769929"/>
        <n v="1.99646105459657"/>
        <n v="1.9972278834765"/>
        <n v="2.00732759822351"/>
        <n v="2.00881908460368"/>
        <n v="2.01327753858127"/>
        <n v="2.01755493340181"/>
        <n v="2.02543850426841"/>
        <n v="2.03584229306101"/>
        <n v="2.0380096037584"/>
        <n v="2.03843065618479"/>
        <n v="2.04099257651874"/>
        <n v="2.04110740243962"/>
        <n v="2.05737651225756"/>
        <n v="2.05931655204652"/>
        <n v="2.06379101118703"/>
        <n v="2.07674384162876"/>
        <n v="2.08095737212154"/>
        <n v="2.08509795947514"/>
        <n v="2.0899111244187"/>
        <n v="2.09106390499581"/>
        <n v="2.09201788966509"/>
        <n v="2.09340766930751"/>
        <n v="2.09921480176534"/>
        <n v="2.09937361482818"/>
        <n v="2.09958668431106"/>
        <n v="2.10253367852335"/>
        <n v="2.10747025517767"/>
        <n v="2.11641917345867"/>
        <n v="2.11918907673613"/>
        <n v="2.12302432742799"/>
        <n v="2.13516928795222"/>
        <n v="2.13914413589148"/>
        <n v="2.14049602502425"/>
        <n v="2.14863720566182"/>
        <n v="2.15221484658271"/>
        <n v="2.16414673762406"/>
        <n v="2.17927467090862"/>
        <n v="2.18183150470319"/>
        <n v="2.18353606056624"/>
        <n v="2.18387862636727"/>
        <n v="2.18907586712115"/>
        <n v="2.19035428401844"/>
        <n v="2.19269804833013"/>
        <n v="2.19376339574454"/>
        <n v="2.19525488212471"/>
        <n v="2.19823785488504"/>
        <n v="2.2088913290291"/>
        <n v="2.21016974592639"/>
        <n v="2.21360241446252"/>
        <n v="2.21379192713537"/>
        <n v="2.21485727454978"/>
        <n v="2.2157095524813"/>
        <n v="2.21787065832214"/>
        <n v="2.22103741989541"/>
        <n v="2.22764144352265"/>
        <n v="2.23211590266315"/>
        <n v="2.23872105663247"/>
        <n v="2.248522252845"/>
        <n v="2.25320978146839"/>
        <n v="2.26045414388635"/>
        <n v="2.26450246406109"/>
        <n v="2.26748543682142"/>
        <n v="2.26918999268447"/>
        <n v="2.27536900768803"/>
        <n v="2.28453099545192"/>
        <n v="2.28868839363779"/>
        <n v="2.2960367475275"/>
        <n v="2.31031240288054"/>
        <n v="2.31157782084386"/>
        <n v="2.32714489202815"/>
        <n v="2.32850228857235"/>
        <n v="2.33311083754883"/>
        <n v="2.33694608824069"/>
        <n v="2.34142054738119"/>
        <n v="2.34738649290186"/>
        <n v="2.35753284027232"/>
        <n v="2.36571046842964"/>
        <n v="2.37423324774489"/>
        <n v="2.37616785227192"/>
        <n v="2.37764235947099"/>
        <n v="2.37785542895387"/>
        <n v="2.38296909654302"/>
        <n v="2.39065186334085"/>
        <n v="2.39809702982758"/>
        <n v="2.39980158569063"/>
        <n v="2.41672308326492"/>
        <n v="2.41833863070129"/>
        <n v="2.42089546449587"/>
        <n v="2.42899210484535"/>
        <n v="2.44497231606144"/>
        <n v="2.44625073295873"/>
        <n v="2.44902063623618"/>
        <n v="2.45242974796228"/>
        <n v="2.45582450193893"/>
        <n v="2.45604816537262"/>
        <n v="2.46329629158922"/>
        <n v="2.47755592975443"/>
        <n v="2.49651681697194"/>
        <n v="2.50186186799071"/>
        <n v="2.50420563230241"/>
        <n v="2.50678729754809"/>
        <n v="2.51294148110053"/>
        <n v="2.51358068954918"/>
        <n v="2.51834564660533"/>
        <n v="2.51847731943323"/>
        <n v="2.52167732989866"/>
        <n v="2.5257256500734"/>
        <n v="2.53953775694766"/>
        <n v="2.54064051387509"/>
        <n v="2.54341041715254"/>
        <n v="2.56340661354481"/>
        <n v="2.576649256482"/>
        <n v="2.58842445084569"/>
        <n v="2.59071184235216"/>
        <n v="2.59539937097555"/>
        <n v="2.60882274839706"/>
        <n v="2.61372334650333"/>
        <n v="2.62714672392484"/>
        <n v="2.62745191628759"/>
        <n v="2.63054893334928"/>
        <n v="2.63204732203111"/>
        <n v="2.63289959996263"/>
        <n v="2.63353880841128"/>
        <n v="2.63588257272297"/>
        <n v="2.64845367221296"/>
        <n v="2.65110432440053"/>
        <n v="2.65612417359668"/>
        <n v="2.66507309187769"/>
        <n v="2.6695349128317"/>
        <n v="2.68361013688835"/>
        <n v="2.69106756878919"/>
        <n v="2.69481609578838"/>
        <n v="2.70576478161508"/>
        <n v="2.7108801807921"/>
        <n v="2.72451947760154"/>
        <n v="2.72856779777628"/>
        <n v="2.73778953734673"/>
        <n v="2.74263038364644"/>
        <n v="2.77566321211859"/>
        <n v="2.77693457039031"/>
        <n v="2.78545734970555"/>
        <n v="2.78886646143165"/>
        <n v="2.79163636470911"/>
        <n v="2.79696310178114"/>
        <n v="2.80436788860065"/>
        <n v="2.80548588109638"/>
        <n v="2.80569895057926"/>
        <n v="2.81123875713417"/>
        <n v="2.81230410454858"/>
        <n v="2.82487520403857"/>
        <n v="2.82735291388725"/>
        <n v="2.83616788663127"/>
        <n v="2.83787244249432"/>
        <n v="2.84000313732313"/>
        <n v="2.84469066594652"/>
        <n v="2.84980433353567"/>
        <n v="2.85342651474465"/>
        <n v="2.86704415468075"/>
        <n v="2.87149036729406"/>
        <n v="2.87310110476412"/>
        <n v="2.88091247803632"/>
        <n v="2.88283010338225"/>
        <n v="2.88305052008868"/>
        <n v="2.88432158976242"/>
        <n v="2.88645228459123"/>
        <n v="2.88788273249885"/>
        <n v="2.88839138643676"/>
        <n v="2.89092674373173"/>
        <n v="2.91051783273596"/>
        <n v="2.91372517840002"/>
        <n v="2.92310023564679"/>
        <n v="2.92437865254408"/>
        <n v="2.92672241685577"/>
        <n v="2.9394642100254"/>
        <n v="2.95263149281533"/>
        <n v="2.95484758859608"/>
        <n v="2.96224661548093"/>
        <n v="2.96475801914365"/>
        <n v="2.96782136644113"/>
        <n v="2.97977671809318"/>
        <n v="3.0072853363262"/>
        <n v="3.01834229449467"/>
        <n v="3.02984804657025"/>
        <n v="3.04453912668909"/>
        <n v="3.05115499485837"/>
        <n v="3.05925163520786"/>
        <n v="3.0612850244181"/>
        <n v="3.06543065021141"/>
        <n v="3.06862669245463"/>
        <n v="3.06969203986903"/>
        <n v="3.07354141983695"/>
        <n v="3.07544491590683"/>
        <n v="3.07931638564505"/>
        <n v="3.0837776294031"/>
        <n v="3.08993364074275"/>
        <n v="3.11124058903086"/>
        <n v="3.11315821437679"/>
        <n v="3.11406237981995"/>
        <n v="3.11464970075696"/>
        <n v="3.11571504817137"/>
        <n v="3.14220970145515"/>
        <n v="3.14377173801626"/>
        <n v="3.15300220767557"/>
        <n v="3.17558757286098"/>
        <n v="3.18602797752215"/>
        <n v="3.18922401976537"/>
        <n v="3.18943708924825"/>
        <n v="3.19003128843709"/>
        <n v="3.19466779534278"/>
        <n v="3.19844001142607"/>
        <n v="3.20222125822112"/>
        <n v="3.20375682794258"/>
        <n v="3.21287473236518"/>
        <n v="3.21330087133094"/>
        <n v="3.21596452245248"/>
        <n v="3.23520138148737"/>
        <n v="3.24867040548922"/>
        <n v="3.24909654445498"/>
        <n v="3.24994882238651"/>
        <n v="3.26311421726466"/>
        <n v="3.266994381017"/>
        <n v="3.27233311895499"/>
        <n v="3.29895480344918"/>
        <n v="3.32342217617994"/>
        <n v="3.32409700242915"/>
        <n v="3.33517661553897"/>
        <n v="3.35371366054964"/>
        <n v="3.35563128589557"/>
        <n v="3.37374219194047"/>
        <n v="3.38247804073859"/>
        <n v="3.39227923695113"/>
        <n v="3.40351713402749"/>
        <n v="3.44192442646244"/>
        <n v="3.44448126025701"/>
        <n v="3.44789037198311"/>
        <n v="3.45428245646955"/>
        <n v="3.45456831276771"/>
        <n v="3.45732081599201"/>
        <n v="3.46450979164784"/>
        <n v="3.48142956965918"/>
        <n v="3.50222309011781"/>
        <n v="3.51884250978254"/>
        <n v="3.52545879882388"/>
        <n v="3.53251862688413"/>
        <n v="3.53514378625022"/>
        <n v="3.54173572483708"/>
        <n v="3.54441084772828"/>
        <n v="3.59651162124322"/>
        <n v="3.60577485879806"/>
        <n v="3.61791981932229"/>
        <n v="3.66434296872245"/>
        <n v="3.66586893053618"/>
        <n v="3.67843155246054"/>
        <n v="3.68034917780647"/>
        <n v="3.68578579855899"/>
        <n v="3.69292027729646"/>
        <n v="3.70059077868018"/>
        <n v="3.70506523782069"/>
        <n v="3.70996583592695"/>
        <n v="3.71081811385848"/>
        <n v="3.72828981145473"/>
        <n v="3.73195967145482"/>
        <n v="3.75982409492115"/>
        <n v="3.76621617940758"/>
        <n v="3.79306293425061"/>
        <n v="3.80137264408298"/>
        <n v="3.8056340337406"/>
        <n v="3.80627324218924"/>
        <n v="3.82278867038222"/>
        <n v="3.82483230482072"/>
        <n v="3.82823595723505"/>
        <n v="3.8293091809693"/>
        <n v="3.85919470418192"/>
        <n v="3.88958340999578"/>
        <n v="3.89107489637595"/>
        <n v="3.89427093861917"/>
        <n v="3.92069155449643"/>
        <n v="3.96841911866181"/>
        <n v="3.97182823038791"/>
        <n v="3.97353278625096"/>
        <n v="3.97566348107977"/>
        <n v="3.97891837326087"/>
        <n v="4.00474248116546"/>
        <n v="4.0489593831909"/>
        <n v="4.04938552215666"/>
        <n v="4.07018026915671"/>
        <n v="4.09725797453239"/>
        <n v="4.12395984116507"/>
        <n v="4.13205648151455"/>
        <n v="4.16319720151208"/>
        <n v="4.20580508563042"/>
        <n v="4.21174446811211"/>
        <n v="4.24498330744158"/>
        <n v="4.27651759090799"/>
        <n v="4.30321231474068"/>
        <n v="4.30890415230593"/>
        <n v="4.32019683489863"/>
        <n v="4.33769796948874"/>
        <n v="4.3527411391419"/>
        <n v="4.35386181319385"/>
        <n v="4.36707212113249"/>
        <n v="4.37495569199909"/>
        <n v="4.38347847131434"/>
        <n v="4.40222858580788"/>
        <n v="4.42630543737345"/>
        <n v="4.4358935641031"/>
        <n v="4.43951574531209"/>
        <n v="4.44100723169225"/>
        <n v="4.44158783070134"/>
        <n v="4.45059535842191"/>
        <n v="4.45720051239122"/>
        <n v="4.48225850088592"/>
        <n v="4.50279738172779"/>
        <n v="4.50301045121067"/>
        <n v="4.51600768966642"/>
        <n v="4.54754197313284"/>
        <n v="4.59969984094795"/>
        <n v="4.60954519265126"/>
        <n v="4.63505128963287"/>
        <n v="4.6487499775014"/>
        <n v="4.67879277458764"/>
        <n v="4.68625020648848"/>
        <n v="4.69281958633332"/>
        <n v="4.69672828521083"/>
        <n v="4.70159120925592"/>
        <n v="4.75433153994206"/>
        <n v="4.78573370565869"/>
        <n v="4.78588485885017"/>
        <n v="4.79193266999754"/>
        <n v="4.79619405965517"/>
        <n v="4.84093865106021"/>
        <n v="4.85393588951596"/>
        <n v="4.86181946038257"/>
        <n v="4.90187652316423"/>
        <n v="4.91593910903438"/>
        <n v="4.91798012204123"/>
        <n v="4.93852447421979"/>
        <n v="4.99112888728275"/>
        <n v="5.01634513569416"/>
        <n v="5.04868139686935"/>
        <n v="5.07256402199509"/>
        <n v="5.07616736016102"/>
        <n v="5.08362479206187"/>
        <n v="5.08639469533932"/>
        <n v="5.09981807276083"/>
        <n v="5.10855392155896"/>
        <n v="5.11899432622014"/>
        <n v="5.13263077312453"/>
        <n v="5.15265930451537"/>
        <n v="5.24406611267139"/>
        <n v="5.26069262703643"/>
        <n v="5.26901988122094"/>
        <n v="5.27133900648018"/>
        <n v="5.28497545338457"/>
        <n v="5.28842629156846"/>
        <n v="5.29307209373406"/>
        <n v="5.29733348339168"/>
        <n v="5.34250421376249"/>
        <n v="5.38153268929731"/>
        <n v="5.43700194234789"/>
        <n v="5.47469283839974"/>
        <n v="5.48760453160457"/>
        <n v="5.49165285177931"/>
        <n v="5.49651445308367"/>
        <n v="5.55764671997634"/>
        <n v="5.62119909737106"/>
        <n v="5.66402606343018"/>
        <n v="5.67340112067695"/>
        <n v="5.68247256082494"/>
        <n v="5.71986764394836"/>
        <n v="5.72155482380809"/>
        <n v="5.7520237598601"/>
        <n v="5.75692435796637"/>
        <n v="5.8346863498766"/>
        <n v="5.8367642553251"/>
        <n v="5.99743396516022"/>
        <n v="6.00515030552293"/>
        <n v="6.03456750636521"/>
        <n v="6.0394544922668"/>
        <n v="6.12020782627876"/>
        <n v="6.12166337018564"/>
        <n v="6.17466559151276"/>
        <n v="6.26253824084339"/>
        <n v="6.34030860209501"/>
        <n v="6.41974840645558"/>
        <n v="6.55763947463381"/>
        <n v="6.70482188259508"/>
        <n v="6.75659816375742"/>
        <n v="6.76616662974976"/>
        <n v="6.82887692634154"/>
        <n v="6.90558194017876"/>
        <n v="7.00284619304028"/>
        <n v="7.1269611328923"/>
        <n v="7.16409851004542"/>
        <n v="7.21666338518527"/>
        <n v="7.32074588554882"/>
        <n v="7.35302785422922"/>
        <n v="7.4118508562936"/>
        <n v="7.41716176857645"/>
        <n v="7.4238886387434"/>
        <n v="7.44084413075462"/>
        <n v="7.44643932407166"/>
        <n v="7.45466199756354"/>
        <n v="7.61084192851544"/>
        <n v="7.66773148044471"/>
        <n v="7.6881861508013"/>
        <n v="7.72840496072525"/>
        <n v="8.00715116667442"/>
        <n v="8.14396440557564"/>
        <n v="8.33570430927718"/>
        <n v="8.50615989558212"/>
        <n v="8.81894589645168"/>
        <n v="8.92255305189406"/>
        <n v="9.75552077239754"/>
        <n v="10.3817102054628"/>
        <n v="11.6251492681985"/>
        <n v="11.6529899544811"/>
        <n v="12.0145659448759"/>
        <n v="12.839897242607"/>
        <n v="14.6631737765092"/>
        <n v="15.266890806448"/>
        <n v="21.1263556978013"/>
        <n v="23.9001983376693"/>
        <n v="24.2740722094424"/>
        <n v="28.0278276420122"/>
        <n v="29.2697181360925"/>
      </sharedItems>
    </cacheField>
    <cacheField name="ESGOT. VALA" numFmtId="0">
      <sharedItems containsSemiMixedTypes="0" containsString="0" containsNumber="1" minValue="0" maxValue="73.1470467523054" count="1363">
        <n v="0"/>
        <n v="0.0475525117720704"/>
        <n v="0.0483584865478682"/>
        <n v="0.053194335202655"/>
        <n v="0.0540003099784528"/>
        <n v="0.057224209081644"/>
        <n v="0.0588361586332396"/>
        <n v="0.0620600577364308"/>
        <n v="0.0636720072880264"/>
        <n v="0.0725377298218023"/>
        <n v="0.0773735784765891"/>
        <n v="0.0789855280281847"/>
        <n v="0.0822094271313759"/>
        <n v="0.0910751496651517"/>
        <n v="0.0918811244409495"/>
        <n v="0.098328922647332"/>
        <n v="0.105582695629512"/>
        <n v="0.112030493835895"/>
        <n v="0.112836468611692"/>
        <n v="0.12089621636967"/>
        <n v="0.121702191145468"/>
        <n v="0.124120115472862"/>
        <n v="0.126538039800255"/>
        <n v="0.138627661437222"/>
        <n v="0.1466874091952"/>
        <n v="0.148299358746796"/>
        <n v="0.149911308298391"/>
        <n v="0.155553131728976"/>
        <n v="0.156359106504774"/>
        <n v="0.157165081280572"/>
        <n v="0.157971056056369"/>
        <n v="0.159583005607965"/>
        <n v="0.160388980383763"/>
        <n v="0.161194955159561"/>
        <n v="0.163612879486954"/>
        <n v="0.16522482903855"/>
        <n v="0.166836778590145"/>
        <n v="0.193433946191473"/>
        <n v="0.195045895743068"/>
        <n v="0.19826979484626"/>
        <n v="0.199075769622057"/>
        <n v="0.201493693949451"/>
        <n v="0.202299668725249"/>
        <n v="0.203911618276844"/>
        <n v="0.211165391259024"/>
        <n v="0.216001239913811"/>
        <n v="0.216807214689609"/>
        <n v="0.223255012895991"/>
        <n v="0.224060987671789"/>
        <n v="0.225672937223385"/>
        <n v="0.22728488677498"/>
        <n v="0.232120735429767"/>
        <n v="0.235344634532958"/>
        <n v="0.239374508411947"/>
        <n v="0.240986457963543"/>
        <n v="0.243404382290936"/>
        <n v="0.245016331842532"/>
        <n v="0.247434256169925"/>
        <n v="0.250658155273117"/>
        <n v="0.255494003927904"/>
        <n v="0.259523877806893"/>
        <n v="0.262747776910084"/>
        <n v="0.266777650789073"/>
        <n v="0.278061297650242"/>
        <n v="0.27886727242604"/>
        <n v="0.279673247201838"/>
        <n v="0.288538969735613"/>
        <n v="0.289344944511411"/>
        <n v="0.291762868838805"/>
        <n v="0.292568843614602"/>
        <n v="0.298210667045187"/>
        <n v="0.30062859137258"/>
        <n v="0.303852490475772"/>
        <n v="0.307076389578963"/>
        <n v="0.314330162561143"/>
        <n v="0.315942112112739"/>
        <n v="0.323195885094919"/>
        <n v="0.32641978419811"/>
        <n v="0.329643683301301"/>
        <n v="0.338509405835077"/>
        <n v="0.341733304938268"/>
        <n v="0.348181103144651"/>
        <n v="0.351405002247842"/>
        <n v="0.355434876126831"/>
        <n v="0.357852800454225"/>
        <n v="0.358658775230022"/>
        <n v="0.360270724781618"/>
        <n v="0.363494623884809"/>
        <n v="0.369136447315394"/>
        <n v="0.378808144624967"/>
        <n v="0.380420094176563"/>
        <n v="0.393315690589328"/>
        <n v="0.394927640140923"/>
        <n v="0.398151539244115"/>
        <n v="0.409435186105284"/>
        <n v="0.410241160881082"/>
        <n v="0.412659085208475"/>
        <n v="0.415882984311666"/>
        <n v="0.416688959087464"/>
        <n v="0.41830090863906"/>
        <n v="0.422330782518049"/>
        <n v="0.423136757293847"/>
        <n v="0.430390530276027"/>
        <n v="0.431196505051825"/>
        <n v="0.442480151912994"/>
        <n v="0.448121975343578"/>
        <n v="0.448927950119376"/>
        <n v="0.449733924895174"/>
        <n v="0.45134587444677"/>
        <n v="0.456987697877354"/>
        <n v="0.460211596980545"/>
        <n v="0.46585342041113"/>
        <n v="0.466659395186928"/>
        <n v="0.478749016823895"/>
        <n v="0.482778890702884"/>
        <n v="0.483584865478682"/>
        <n v="0.486808764581873"/>
        <n v="0.487614739357671"/>
        <n v="0.494868512339851"/>
        <n v="0.499704360994638"/>
        <n v="0.501316310546233"/>
        <n v="0.516629831286392"/>
        <n v="0.528719452923359"/>
        <n v="0.536779200681337"/>
        <n v="0.541615049336124"/>
        <n v="0.542421024111921"/>
        <n v="0.543226998887719"/>
        <n v="0.54645089799091"/>
        <n v="0.548868822318304"/>
        <n v="0.550480771869899"/>
        <n v="0.560958443955271"/>
        <n v="0.565794292610058"/>
        <n v="0.585137687229205"/>
        <n v="0.589167561108194"/>
        <n v="0.613346804382128"/>
        <n v="0.616570703485319"/>
        <n v="0.632690199001275"/>
        <n v="0.637526047656062"/>
        <n v="0.642361896310849"/>
        <n v="0.648003719741433"/>
        <n v="0.650421644068827"/>
        <n v="0.65283956839622"/>
        <n v="0.662511265705794"/>
        <n v="0.666541139584783"/>
        <n v="0.668959063912176"/>
        <n v="0.673794912566963"/>
        <n v="0.675406862118559"/>
        <n v="0.687496483755526"/>
        <n v="0.693944281961908"/>
        <n v="0.708451827926269"/>
        <n v="0.716511575684247"/>
        <n v="0.727795222545416"/>
        <n v="0.729407172097012"/>
        <n v="0.734243020751798"/>
        <n v="0.760840188353126"/>
        <n v="0.797915028039825"/>
        <n v="0.834989867726524"/>
        <n v="0.836601817278119"/>
        <n v="0.840631691157108"/>
        <n v="0.853527287569873"/>
        <n v="0.857557161448862"/>
        <n v="0.859169111000458"/>
        <n v="0.861587035327851"/>
        <n v="0.873676656964818"/>
        <n v="0.875288606516414"/>
        <n v="0.880930429946999"/>
        <n v="0.887378228153381"/>
        <n v="0.899467849790348"/>
        <n v="0.902691748893539"/>
        <n v="0.905915647996731"/>
        <n v="0.906721622772528"/>
        <n v="0.919617219185293"/>
        <n v="0.934930739925451"/>
        <n v="0.936542689477047"/>
        <n v="0.946214386786621"/>
        <n v="0.948632311114014"/>
        <n v="0.970393630060555"/>
        <n v="0.97200557961215"/>
        <n v="0.976841428266937"/>
        <n v="0.996990797661882"/>
        <n v="1.00505054541986"/>
        <n v="1.00585652019566"/>
        <n v="1.00988639407465"/>
        <n v="1.0260058895906"/>
        <n v="1.03003576346959"/>
        <n v="1.03648356167597"/>
        <n v="1.03728953645177"/>
        <n v="1.03809551122757"/>
        <n v="1.05824488062252"/>
        <n v="1.06066280494991"/>
        <n v="1.0646926788289"/>
        <n v="1.07839425001746"/>
        <n v="1.100155568964"/>
        <n v="1.11788701403155"/>
        <n v="1.14932003028767"/>
        <n v="1.15979770237304"/>
        <n v="1.16543952580362"/>
        <n v="1.16785745013102"/>
        <n v="1.17027537445841"/>
        <n v="1.17108134923421"/>
        <n v="1.1743052483374"/>
        <n v="1.17994707176798"/>
        <n v="1.18558889519857"/>
        <n v="1.19445461773234"/>
        <n v="1.20735021414511"/>
        <n v="1.2089621636967"/>
        <n v="1.22508165921266"/>
        <n v="1.22588763398846"/>
        <n v="1.22669360876426"/>
        <n v="1.22911153309165"/>
        <n v="1.22991750786745"/>
        <n v="1.23958920517702"/>
        <n v="1.25732065024457"/>
        <n v="1.26941027188154"/>
        <n v="1.27344014576053"/>
        <n v="1.28794769172489"/>
        <n v="1.33227630439377"/>
        <n v="1.34033605215175"/>
        <n v="1.34275397647914"/>
        <n v="1.34355995125494"/>
        <n v="1.34517190080653"/>
        <n v="1.34597787558233"/>
        <n v="1.35081372423712"/>
        <n v="1.37338101795946"/>
        <n v="1.37418699273525"/>
        <n v="1.38627661437222"/>
        <n v="1.3935303873544"/>
        <n v="1.41206780719775"/>
        <n v="1.41609768107674"/>
        <n v="1.42254547928312"/>
        <n v="1.42415742883472"/>
        <n v="1.44914264688445"/>
        <n v="1.46445616762461"/>
        <n v="1.4684860415036"/>
        <n v="1.47332189015838"/>
        <n v="1.49750113343232"/>
        <n v="1.49830710820812"/>
        <n v="1.51039672984508"/>
        <n v="1.51281465417248"/>
        <n v="1.51845647760306"/>
        <n v="1.51926245237886"/>
        <n v="1.52651622536104"/>
        <n v="1.52812817491263"/>
        <n v="1.52893414968843"/>
        <n v="1.55794924161715"/>
        <n v="1.56197911549614"/>
        <n v="1.56520301459933"/>
        <n v="1.58696433354587"/>
        <n v="1.59502408130385"/>
        <n v="1.59824798040704"/>
        <n v="1.60630772816502"/>
        <n v="1.62403917323257"/>
        <n v="1.64096464352433"/>
        <n v="1.6522482903855"/>
        <n v="1.68368130664161"/>
        <n v="1.69818885260597"/>
        <n v="1.69899482738177"/>
        <n v="1.69980080215757"/>
        <n v="1.71189042379453"/>
        <n v="1.7255919949831"/>
        <n v="1.72720394453469"/>
        <n v="1.73687564184427"/>
        <n v="1.74171149049905"/>
        <n v="1.74574136437804"/>
        <n v="1.74977123825703"/>
        <n v="1.76750268332458"/>
        <n v="1.77475645630676"/>
        <n v="1.77636840585836"/>
        <n v="1.77878633018575"/>
        <n v="1.78604010316793"/>
        <n v="1.78926400227112"/>
        <n v="1.79974167435649"/>
        <n v="1.8327866401642"/>
        <n v="1.84568223657697"/>
        <n v="1.84729418612856"/>
        <n v="1.85132406000755"/>
        <n v="1.85777185821394"/>
        <n v="1.86824953029931"/>
        <n v="1.87308537895409"/>
        <n v="1.88114512671207"/>
        <n v="1.88275707626367"/>
        <n v="1.88356305103947"/>
        <n v="1.89484669790063"/>
        <n v="1.91741399162297"/>
        <n v="1.92305581505356"/>
        <n v="1.92869763848414"/>
        <n v="1.96335455384345"/>
        <n v="1.96496650339504"/>
        <n v="1.97383222592882"/>
        <n v="1.97866807458361"/>
        <n v="1.98592184756579"/>
        <n v="1.99398159532376"/>
        <n v="1.99478757009956"/>
        <n v="2.00204134308174"/>
        <n v="2.01493693949451"/>
        <n v="2.02702656113147"/>
        <n v="2.03347435933786"/>
        <n v="2.03669825844105"/>
        <n v="2.04072813232004"/>
        <n v="2.04717593052642"/>
        <n v="2.06248945126658"/>
        <n v="2.06490737559397"/>
        <n v="2.07216114857615"/>
        <n v="2.08102687110993"/>
        <n v="2.08666869454051"/>
        <n v="2.09875831617748"/>
        <n v="2.10440013960806"/>
        <n v="2.10762403871125"/>
        <n v="2.11004196303865"/>
        <n v="2.11407183691764"/>
        <n v="2.11568378646923"/>
        <n v="2.11971366034822"/>
        <n v="2.13905705496737"/>
        <n v="2.15598252525912"/>
        <n v="2.15840044958652"/>
        <n v="2.17049007122348"/>
        <n v="2.17371397032667"/>
        <n v="2.17935579375726"/>
        <n v="2.19144541539423"/>
        <n v="2.20675893613438"/>
        <n v="2.20837088568598"/>
        <n v="2.21078881001337"/>
        <n v="2.21562465866816"/>
        <n v="2.23093817940832"/>
        <n v="2.2381919523905"/>
        <n v="2.2389979271663"/>
        <n v="2.2752667920772"/>
        <n v="2.27849069118039"/>
        <n v="2.27929666595619"/>
        <n v="2.29058031281736"/>
        <n v="2.30266993445432"/>
        <n v="2.30589383355751"/>
        <n v="2.3115356569881"/>
        <n v="2.31314760653969"/>
        <n v="2.32362527862507"/>
        <n v="2.33329697593464"/>
        <n v="2.34458062279581"/>
        <n v="2.35828219398437"/>
        <n v="2.35989414353597"/>
        <n v="2.36231206786336"/>
        <n v="2.37843156337932"/>
        <n v="2.38890923546469"/>
        <n v="2.39132715979208"/>
        <n v="2.41550640306602"/>
        <n v="2.42679004992718"/>
        <n v="2.43484979768516"/>
        <n v="2.43968564633995"/>
        <n v="2.45338721752851"/>
        <n v="2.46225294006229"/>
        <n v="2.48159633468144"/>
        <n v="2.48240230945723"/>
        <n v="2.50738752750697"/>
        <n v="2.51061142661016"/>
        <n v="2.53720859421148"/>
        <n v="2.54043249331467"/>
        <n v="2.55977588793382"/>
        <n v="2.57428343389818"/>
        <n v="2.57831330777717"/>
        <n v="2.59685072762052"/>
        <n v="2.60007462672371"/>
        <n v="2.61135827358488"/>
        <n v="2.61297022313648"/>
        <n v="2.61941802134286"/>
        <n v="2.62022399611866"/>
        <n v="2.62183594567025"/>
        <n v="2.62505984477344"/>
        <n v="2.62586581954924"/>
        <n v="2.62908971865243"/>
        <n v="2.63553751685882"/>
        <n v="2.63795544118621"/>
        <n v="2.6411793402894"/>
        <n v="2.64440323939259"/>
        <n v="2.67422430609711"/>
        <n v="2.67986612952769"/>
        <n v="2.69114977638886"/>
        <n v="2.70162744847424"/>
        <n v="2.70323939802583"/>
        <n v="2.70807524668062"/>
        <n v="2.71210512055961"/>
        <n v="2.7137170701112"/>
        <n v="2.73709033860934"/>
        <n v="2.73870228816093"/>
        <n v="2.75320983412529"/>
        <n v="2.75482178367689"/>
        <n v="2.75643373322849"/>
        <n v="2.76932932964125"/>
        <n v="2.77094127919285"/>
        <n v="2.79028467381199"/>
        <n v="2.79592649724258"/>
        <n v="2.80076234589737"/>
        <n v="2.80398624500056"/>
        <n v="2.80962806843114"/>
        <n v="2.81204599275853"/>
        <n v="2.81285196753433"/>
        <n v="2.8233296396197"/>
        <n v="2.84912083244523"/>
        <n v="2.86685227751279"/>
        <n v="2.87571800004656"/>
        <n v="2.89586736944151"/>
        <n v="2.90392711719948"/>
        <n v="2.90553906675108"/>
        <n v="2.91359881450906"/>
        <n v="2.91521076406065"/>
        <n v="2.91924063793964"/>
        <n v="2.92568843614602"/>
        <n v="2.94906170464416"/>
        <n v="2.95147962897155"/>
        <n v="2.95309157852315"/>
        <n v="2.95873340195373"/>
        <n v="2.9724349731423"/>
        <n v="2.97565887224549"/>
        <n v="2.97727082179708"/>
        <n v="2.98291264522767"/>
        <n v="2.98452459477926"/>
        <n v="2.98855446865825"/>
        <n v="3.00306201462261"/>
        <n v="3.01031578760479"/>
        <n v="3.01353968670799"/>
        <n v="3.01434566148378"/>
        <n v="3.02401735879336"/>
        <n v="3.03771892998192"/>
        <n v="3.03933087953351"/>
        <n v="3.0457786777399"/>
        <n v="3.05061452639468"/>
        <n v="3.05222647594628"/>
        <n v="3.05625634982527"/>
        <n v="3.05706232460107"/>
        <n v="3.05948024892846"/>
        <n v="3.06431609758325"/>
        <n v="3.0796296183234"/>
        <n v="3.08446546697819"/>
        <n v="3.09010729040878"/>
        <n v="3.09413716428777"/>
        <n v="3.09816703816675"/>
        <n v="3.09897301294255"/>
        <n v="3.10058496249415"/>
        <n v="3.10139093726995"/>
        <n v="3.10219691204574"/>
        <n v="3.10622678592473"/>
        <n v="3.11106263457952"/>
        <n v="3.1183164075617"/>
        <n v="3.12718213009547"/>
        <n v="3.13040602919867"/>
        <n v="3.13282395352606"/>
        <n v="3.14330162561143"/>
        <n v="3.15136137336941"/>
        <n v="3.16264502023058"/>
        <n v="3.16667489410957"/>
        <n v="3.17876451574653"/>
        <n v="3.18360036440132"/>
        <n v="3.18682426350451"/>
        <n v="3.19488401126249"/>
        <n v="3.19891388514148"/>
        <n v="3.20133180946887"/>
        <n v="3.21503338065744"/>
        <n v="3.22470507796701"/>
        <n v="3.24404847258616"/>
        <n v="3.25049627079254"/>
        <n v="3.25130224556834"/>
        <n v="3.25291419511993"/>
        <n v="3.25613809422312"/>
        <n v="3.25936199332631"/>
        <n v="3.27306356451488"/>
        <n v="3.27467551406647"/>
        <n v="3.27789941316966"/>
        <n v="3.28192928704865"/>
        <n v="3.28273526182445"/>
        <n v="3.28434721137605"/>
        <n v="3.28676513570344"/>
        <n v="3.300466706892"/>
        <n v="3.31900412673535"/>
        <n v="3.32786984926913"/>
        <n v="3.33028777359652"/>
        <n v="3.3375415465787"/>
        <n v="3.34157142045769"/>
        <n v="3.34237739523349"/>
        <n v="3.34479531956088"/>
        <n v="3.34882519343987"/>
        <n v="3.35124311776726"/>
        <n v="3.35285506731886"/>
        <n v="3.35527299164625"/>
        <n v="3.35769091597365"/>
        <n v="3.35849689074945"/>
        <n v="3.36655663850742"/>
        <n v="3.37703431059279"/>
        <n v="3.38106418447178"/>
        <n v="3.38590003312657"/>
        <n v="3.38831795745396"/>
        <n v="3.39234783133295"/>
        <n v="3.4108852511763"/>
        <n v="3.41652707460689"/>
        <n v="3.41733304938268"/>
        <n v="3.41975097371008"/>
        <n v="3.42297487281327"/>
        <n v="3.42781072146806"/>
        <n v="3.43022864579545"/>
        <n v="3.43184059534704"/>
        <n v="3.43345254489864"/>
        <n v="3.44151229265662"/>
        <n v="3.4471541160872"/>
        <n v="3.4487660656388"/>
        <n v="3.45763178817257"/>
        <n v="3.46327361160316"/>
        <n v="3.46407958637896"/>
        <n v="3.46891543503374"/>
        <n v="3.47294530891273"/>
        <n v="3.47858713234332"/>
        <n v="3.48745285487709"/>
        <n v="3.49470662785927"/>
        <n v="3.50196040084145"/>
        <n v="3.50357235039305"/>
        <n v="3.50437832516885"/>
        <n v="3.50679624949624"/>
        <n v="3.50840819904784"/>
        <n v="3.51485599725422"/>
        <n v="3.5204978206848"/>
        <n v="3.5221097702364"/>
        <n v="3.5229157450122"/>
        <n v="3.52613964411539"/>
        <n v="3.53016951799438"/>
        <n v="3.53822926575235"/>
        <n v="3.54064719007975"/>
        <n v="3.55354278649251"/>
        <n v="3.55434876126831"/>
        <n v="3.5575726603715"/>
        <n v="3.5591846099231"/>
        <n v="3.56160253425049"/>
        <n v="3.56482643335368"/>
        <n v="3.57369215588746"/>
        <n v="3.57611008021485"/>
        <n v="3.57691605499065"/>
        <n v="3.58175190364544"/>
        <n v="3.58255787842123"/>
        <n v="3.58497580274863"/>
        <n v="3.58819970185182"/>
        <n v="3.5962594496098"/>
        <n v="3.59867737393719"/>
        <n v="3.60190127304038"/>
        <n v="3.60915504602256"/>
        <n v="3.61076699557416"/>
        <n v="3.61479686945315"/>
        <n v="3.61560284422894"/>
        <n v="3.61882674333214"/>
        <n v="3.62205064243533"/>
        <n v="3.62527454153852"/>
        <n v="3.62688649109011"/>
        <n v="3.62930441541751"/>
        <n v="3.6325283145207"/>
        <n v="3.63817013795128"/>
        <n v="3.64784183526086"/>
        <n v="3.65106573436405"/>
        <n v="3.65428963346724"/>
        <n v="3.65590158301883"/>
        <n v="3.65993145689782"/>
        <n v="3.66234938122522"/>
        <n v="3.66718522988"/>
        <n v="3.6696031542074"/>
        <n v="3.67605095241378"/>
        <n v="3.67846887674117"/>
        <n v="3.68330472539596"/>
        <n v="3.68491667494755"/>
        <n v="3.69297642270553"/>
        <n v="3.70023019568771"/>
        <n v="3.70103617046351"/>
        <n v="3.70264812001511"/>
        <n v="3.70748396866989"/>
        <n v="3.70909591822149"/>
        <n v="3.71070786777308"/>
        <n v="3.71151384254888"/>
        <n v="3.71312579210048"/>
        <n v="3.72118553985846"/>
        <n v="3.72360346418585"/>
        <n v="3.72440943896165"/>
        <n v="3.73649906059861"/>
        <n v="3.73811101015021"/>
        <n v="3.74536478313239"/>
        <n v="3.75100660656297"/>
        <n v="3.75261855611457"/>
        <n v="3.76148427864835"/>
        <n v="3.76309622819994"/>
        <n v="3.76390220297574"/>
        <n v="3.76873805163053"/>
        <n v="3.77035000118212"/>
        <n v="3.77357390028531"/>
        <n v="3.77599182461271"/>
        <n v="3.7767977993885"/>
        <n v="3.7776037741643"/>
        <n v="3.7800216984917"/>
        <n v="3.78485754714648"/>
        <n v="3.78646949669808"/>
        <n v="3.79291729490446"/>
        <n v="3.79372326968026"/>
        <n v="3.79452924445606"/>
        <n v="3.79855911833505"/>
        <n v="3.80581289131723"/>
        <n v="3.81145471474781"/>
        <n v="3.81226068952361"/>
        <n v="3.8154845886268"/>
        <n v="3.81709653817839"/>
        <n v="3.81790251295419"/>
        <n v="3.82435031116057"/>
        <n v="3.82515628593637"/>
        <n v="3.82838018503956"/>
        <n v="3.82999213459116"/>
        <n v="3.83241005891855"/>
        <n v="3.83321603369435"/>
        <n v="3.84046980667653"/>
        <n v="3.84611163010712"/>
        <n v="3.84852955443451"/>
        <n v="3.85497735264089"/>
        <n v="3.86384307517467"/>
        <n v="3.86787294905366"/>
        <n v="3.86948489860525"/>
        <n v="3.87029087338105"/>
        <n v="3.87270879770844"/>
        <n v="3.88076854546642"/>
        <n v="3.88238049501802"/>
        <n v="3.88479841934541"/>
        <n v="3.89447011665498"/>
        <n v="3.89608206620658"/>
        <n v="3.90091791486137"/>
        <n v="3.90414181396456"/>
        <n v="3.90575376351615"/>
        <n v="3.90655973829195"/>
        <n v="3.90897766261934"/>
        <n v="3.91058961217094"/>
        <n v="3.91139558694674"/>
        <n v="3.91220156172254"/>
        <n v="3.91542546082573"/>
        <n v="3.91784338515312"/>
        <n v="3.92267923380791"/>
        <n v="3.9242911833595"/>
        <n v="3.93073898156589"/>
        <n v="3.93154495634168"/>
        <n v="3.93235093111748"/>
        <n v="3.93396288066908"/>
        <n v="3.93718677977227"/>
        <n v="3.93799275454807"/>
        <n v="3.93879872932386"/>
        <n v="3.93960470409966"/>
        <n v="3.94282860320285"/>
        <n v="3.94444055275445"/>
        <n v="3.94927640140923"/>
        <n v="3.95088835096083"/>
        <n v="3.95169432573663"/>
        <n v="3.95491822483982"/>
        <n v="3.95653017439142"/>
        <n v="3.96700784647679"/>
        <n v="3.97184369513157"/>
        <n v="3.97345564468317"/>
        <n v="3.97829149333796"/>
        <n v="3.97990344288955"/>
        <n v="3.98393331676854"/>
        <n v="3.99199306452652"/>
        <n v="3.99279903930232"/>
        <n v="3.99360501407811"/>
        <n v="3.9992468375087"/>
        <n v="4.00650061049088"/>
        <n v="4.00972450959407"/>
        <n v="4.01053048436987"/>
        <n v="4.01133645914567"/>
        <n v="4.01697828257625"/>
        <n v="4.01859023212785"/>
        <n v="4.02181413123104"/>
        <n v="4.02342608078263"/>
        <n v="4.02664997988582"/>
        <n v="4.03067985376481"/>
        <n v="4.04196350062598"/>
        <n v="4.05647104659034"/>
        <n v="4.05969494569353"/>
        <n v="4.0701726177789"/>
        <n v="4.0717845673305"/>
        <n v="4.0733965168821"/>
        <n v="4.07581444120949"/>
        <n v="4.07984431508848"/>
        <n v="4.08226223941587"/>
        <n v="4.08468016374327"/>
        <n v="4.10321758358661"/>
        <n v="4.1080534322414"/>
        <n v="4.1088594070172"/>
        <n v="4.109665381793"/>
        <n v="4.11288928089619"/>
        <n v="4.12175500342996"/>
        <n v="4.13626254939432"/>
        <n v="4.13787449894592"/>
        <n v="4.13868047372172"/>
        <n v="4.15318801968608"/>
        <n v="4.16769556565044"/>
        <n v="4.17011348997783"/>
        <n v="4.17978518728741"/>
        <n v="4.1830090863906"/>
        <n v="4.20396443056134"/>
        <n v="4.20477040533714"/>
        <n v="4.22250185040469"/>
        <n v="4.22330782518049"/>
        <n v="4.23781537114485"/>
        <n v="4.23862134592065"/>
        <n v="4.24587511890283"/>
        <n v="4.24668109367862"/>
        <n v="4.25151694233341"/>
        <n v="4.2555468162124"/>
        <n v="4.29503958022649"/>
        <n v="4.30148737843287"/>
        <n v="4.30309932798447"/>
        <n v="4.30712920186346"/>
        <n v="4.31760687394883"/>
        <n v="4.3272785712584"/>
        <n v="4.33292039468899"/>
        <n v="4.33856221811957"/>
        <n v="4.34098014244697"/>
        <n v="4.34339806677436"/>
        <n v="4.34420404155016"/>
        <n v="4.34501001632596"/>
        <n v="4.34662196587755"/>
        <n v="4.34903989020494"/>
        <n v="4.35145781453234"/>
        <n v="4.36193548661771"/>
        <n v="4.38127888123686"/>
        <n v="4.400622275856"/>
        <n v="4.41271189749297"/>
        <n v="4.42721944345733"/>
        <n v="4.43205529211212"/>
        <n v="4.43366724166371"/>
        <n v="4.44575686330068"/>
        <n v="4.44898076240387"/>
        <n v="4.47154805612621"/>
        <n v="4.50862289581291"/>
        <n v="4.54005591206902"/>
        <n v="4.5473096850512"/>
        <n v="4.5505335841544"/>
        <n v="4.55939930668817"/>
        <n v="4.56907100399774"/>
        <n v="4.57068295354934"/>
        <n v="4.57310087787673"/>
        <n v="4.57471282742833"/>
        <n v="4.58922037339269"/>
        <n v="4.59163829772008"/>
        <n v="4.59566817159907"/>
        <n v="4.59728012115067"/>
        <n v="4.623877288752"/>
        <n v="4.62871313740678"/>
        <n v="4.64483263292274"/>
        <n v="4.64563860769854"/>
        <n v="4.64644458247433"/>
        <n v="4.66337005276609"/>
        <n v="4.66901187619667"/>
        <n v="4.6939970942464"/>
        <n v="4.69802696812539"/>
        <n v="4.70689269065917"/>
        <n v="4.71334048886555"/>
        <n v="4.72301218617513"/>
        <n v="4.7334898582605"/>
        <n v="4.73510180781209"/>
        <n v="4.73590778258789"/>
        <n v="4.73993765646688"/>
        <n v="4.74074363124268"/>
        <n v="4.74477350512167"/>
        <n v="4.77298262227459"/>
        <n v="4.79152004211794"/>
        <n v="4.81811720971927"/>
        <n v="4.82375903314985"/>
        <n v="4.83181878090783"/>
        <n v="4.83907255389001"/>
        <n v="4.843102427769"/>
        <n v="4.84632632687219"/>
        <n v="4.85196815030277"/>
        <n v="4.85358009985437"/>
        <n v="4.85519204940596"/>
        <n v="4.85599802418176"/>
        <n v="4.85922192328495"/>
        <n v="4.86244582238814"/>
        <n v="4.86808764581873"/>
        <n v="4.87131154492192"/>
        <n v="4.88501311611048"/>
        <n v="4.92208795579718"/>
        <n v="4.92611782967617"/>
        <n v="4.92853575400356"/>
        <n v="4.94626719907112"/>
        <n v="4.9511030477259"/>
        <n v="4.95593889638069"/>
        <n v="4.96883449279345"/>
        <n v="4.97125241712085"/>
        <n v="4.9873719126368"/>
        <n v="4.9881778874126"/>
        <n v="5.00752128203175"/>
        <n v="5.00832725680755"/>
        <n v="5.01961090366872"/>
        <n v="5.05507379380382"/>
        <n v="5.06474549111339"/>
        <n v="5.07199926409557"/>
        <n v="5.07361121364717"/>
        <n v="5.07441718842297"/>
        <n v="5.0977904569211"/>
        <n v="5.10907410378227"/>
        <n v="5.11149202810967"/>
        <n v="5.11632787676445"/>
        <n v="5.11874580109185"/>
        <n v="5.11955177586764"/>
        <n v="5.12196970019504"/>
        <n v="5.12358164974663"/>
        <n v="5.14050712003839"/>
        <n v="5.14131309481418"/>
        <n v="5.14776089302057"/>
        <n v="5.15823856510594"/>
        <n v="5.22110459761817"/>
        <n v="5.24125396701311"/>
        <n v="5.2460898156679"/>
        <n v="5.25576151297747"/>
        <n v="5.26462723551125"/>
        <n v="5.26704515983864"/>
        <n v="5.27752283192401"/>
        <n v="5.3186275454897"/>
        <n v="5.32426936892029"/>
        <n v="5.33152314190247"/>
        <n v="5.34038886443624"/>
        <n v="5.35247848607321"/>
        <n v="5.3548964104006"/>
        <n v="5.42662816544661"/>
        <n v="5.44194168618676"/>
        <n v="5.46128508080591"/>
        <n v="5.4669269042365"/>
        <n v="5.48627029885564"/>
        <n v="5.49513602138942"/>
        <n v="5.49594199616522"/>
        <n v="5.50722564302639"/>
        <n v="5.50964356735378"/>
        <n v="5.52495708809394"/>
        <n v="5.53140488630032"/>
        <n v="5.55316620524686"/>
        <n v="5.56928570076282"/>
        <n v="5.6111963891043"/>
        <n v="5.62006211163808"/>
        <n v="5.65149512789419"/>
        <n v="5.66680864863435"/>
        <n v="5.67567437116813"/>
        <n v="5.68373411892611"/>
        <n v="5.6845400937019"/>
        <n v="5.68776399280509"/>
        <n v="5.69582374056307"/>
        <n v="5.69743569011467"/>
        <n v="5.73854040368036"/>
        <n v="5.74498820188674"/>
        <n v="5.75546587397211"/>
        <n v="5.7586897730753"/>
        <n v="5.79818253708939"/>
        <n v="5.80221241096838"/>
        <n v="5.80543631007157"/>
        <n v="5.80866020917476"/>
        <n v="5.81671995693274"/>
        <n v="5.82074983081173"/>
        <n v="5.84976492274045"/>
        <n v="5.85460077139524"/>
        <n v="5.87313819123859"/>
        <n v="5.88119793899657"/>
        <n v="5.88200391377237"/>
        <n v="5.89086963630614"/>
        <n v="5.92633252644125"/>
        <n v="5.92875045076864"/>
        <n v="5.93519824897502"/>
        <n v="5.94003409762981"/>
        <n v="5.98839258417768"/>
        <n v="6.02304949953698"/>
        <n v="6.03191522207076"/>
        <n v="6.04803471758671"/>
        <n v="6.05045264191411"/>
        <n v="6.06334823832687"/>
        <n v="6.08591553204921"/>
        <n v="6.09236333025559"/>
        <n v="6.09397527980719"/>
        <n v="6.10364697711676"/>
        <n v="6.1246023212875"/>
        <n v="6.1254082960633"/>
        <n v="6.12943816994229"/>
        <n v="6.13024414471809"/>
        <n v="6.14152779157926"/>
        <n v="6.14958753933724"/>
        <n v="6.16570703485319"/>
        <n v="6.16973690873218"/>
        <n v="6.22131929438324"/>
        <n v="6.23260294124441"/>
        <n v="6.25517023496675"/>
        <n v="6.26887180615531"/>
        <n v="6.31884224225477"/>
        <n v="6.31964821703057"/>
        <n v="6.32287211613376"/>
        <n v="6.33496173777073"/>
        <n v="6.35591708194147"/>
        <n v="6.35833500626887"/>
        <n v="6.36720072880264"/>
        <n v="6.36881267835424"/>
        <n v="6.37284255223323"/>
        <n v="6.37929035043961"/>
        <n v="6.3833202243186"/>
        <n v="6.39621582073136"/>
        <n v="6.39943971983455"/>
        <n v="6.40266361893775"/>
        <n v="6.40669349281673"/>
        <n v="6.42764883698748"/>
        <n v="6.42845481176328"/>
        <n v="6.45988782801939"/>
        <n v="6.46875355055317"/>
        <n v="6.47197744965636"/>
        <n v="6.47358939920795"/>
        <n v="6.47600732353535"/>
        <n v="6.52275386053162"/>
        <n v="6.52517178485901"/>
        <n v="6.54451517947816"/>
        <n v="6.56144064976991"/>
        <n v="6.57594819573427"/>
        <n v="6.58320196871645"/>
        <n v="6.62672460660954"/>
        <n v="6.6380082534707"/>
        <n v="6.64767995078028"/>
        <n v="6.65251579943507"/>
        <n v="6.69926233643134"/>
        <n v="6.74600887342761"/>
        <n v="6.75890446984038"/>
        <n v="6.77905383923532"/>
        <n v="6.7871135869933"/>
        <n v="6.79033748609649"/>
        <n v="6.8217705023526"/>
        <n v="6.83950194742016"/>
        <n v="6.86932301412467"/>
        <n v="6.87657678710685"/>
        <n v="6.88060666098584"/>
        <n v="6.88221861053744"/>
        <n v="6.89995005560499"/>
        <n v="6.94830854215286"/>
        <n v="6.95072646648025"/>
        <n v="6.9692638863236"/>
        <n v="6.99586105392493"/>
        <n v="7.03857771704221"/>
        <n v="7.04986136390338"/>
        <n v="7.08451827926269"/>
        <n v="7.1159512955188"/>
        <n v="7.12481701805258"/>
        <n v="7.12642896760417"/>
        <n v="7.14899626132651"/>
        <n v="7.16189185773928"/>
        <n v="7.22475789025151"/>
        <n v="7.24571323442225"/>
        <n v="7.25216103262863"/>
        <n v="7.25296700740443"/>
        <n v="7.27231040202358"/>
        <n v="7.27392235157517"/>
        <n v="7.31663901469245"/>
        <n v="7.32550473722623"/>
        <n v="7.34726605617277"/>
        <n v="7.36741542556772"/>
        <n v="7.36983334989511"/>
        <n v="7.3714452994467"/>
        <n v="7.3746691985499"/>
        <n v="7.38595284541107"/>
        <n v="7.39643051749644"/>
        <n v="7.43028145807995"/>
        <n v="7.46332642388765"/>
        <n v="7.49637138969537"/>
        <n v="7.50120723835015"/>
        <n v="7.50765503655653"/>
        <n v="7.51813270864191"/>
        <n v="7.5189386834177"/>
        <n v="7.5205506329693"/>
        <n v="7.52699843117568"/>
        <n v="7.54231195191584"/>
        <n v="7.54634182579483"/>
        <n v="7.54714780057063"/>
        <n v="7.55198364922541"/>
        <n v="7.58261069070573"/>
        <n v="7.5930883627911"/>
        <n v="7.59873018622169"/>
        <n v="7.6317751520294"/>
        <n v="7.64064087456317"/>
        <n v="7.64950659709695"/>
        <n v="7.66159621873391"/>
        <n v="7.67207389081929"/>
        <n v="7.70914873050598"/>
        <n v="7.72043237736716"/>
        <n v="7.74380564586529"/>
        <n v="7.78974620808576"/>
        <n v="7.80667167837752"/>
        <n v="7.84535846761581"/>
        <n v="7.8872691559573"/>
        <n v="7.89532890371528"/>
        <n v="7.90983644967964"/>
        <n v="7.91870217221341"/>
        <n v="7.92192607131661"/>
        <n v="7.94126946593575"/>
        <n v="7.94207544071155"/>
        <n v="7.97189650741607"/>
        <n v="7.98076222994984"/>
        <n v="8.00574744799958"/>
        <n v="8.01622512008495"/>
        <n v="8.03073266604931"/>
        <n v="8.07667322826978"/>
        <n v="8.09601662288893"/>
        <n v="8.09682259766473"/>
        <n v="8.13712133645462"/>
        <n v="8.14115121033361"/>
        <n v="8.15082290764318"/>
        <n v="8.15243485719478"/>
        <n v="8.16371850405595"/>
        <n v="8.17016630226233"/>
        <n v="8.18628579777828"/>
        <n v="8.24351000685993"/>
        <n v="8.24753988073892"/>
        <n v="8.2531817041695"/>
        <n v="8.25962950237588"/>
        <n v="8.28058484654663"/>
        <n v="8.28542069520141"/>
        <n v="8.29428641773519"/>
        <n v="8.29670434206258"/>
        <n v="8.29831629161418"/>
        <n v="8.30395811504476"/>
        <n v="8.31524176190593"/>
        <n v="8.3265254087671"/>
        <n v="8.35554050069582"/>
        <n v="8.36037634935061"/>
        <n v="8.37407792053917"/>
        <n v="8.37810779441816"/>
        <n v="8.38133169352135"/>
        <n v="8.4014810629163"/>
        <n v="8.42646628096603"/>
        <n v="8.44339175125778"/>
        <n v="8.45628734767055"/>
        <n v="8.45870527199794"/>
        <n v="8.46837696930751"/>
        <n v="8.49497413690884"/>
        <n v="8.50545180899421"/>
        <n v="8.52318325406177"/>
        <n v="8.55058639643889"/>
        <n v="8.56589991717905"/>
        <n v="8.57718356404022"/>
        <n v="8.5828253874708"/>
        <n v="8.5836313622466"/>
        <n v="8.60700463074474"/>
        <n v="8.64166154610404"/>
        <n v="8.68518418399713"/>
        <n v="8.69807978040989"/>
        <n v="8.73918449397558"/>
        <n v="8.77464738411068"/>
        <n v="8.78593103097185"/>
        <n v="8.79318480395403"/>
        <n v="8.8028565012636"/>
        <n v="8.82542379498594"/>
        <n v="8.8399313409503"/>
        <n v="8.85685681124206"/>
        <n v="8.8794241049644"/>
        <n v="8.948737935683"/>
        <n v="8.96002158254418"/>
        <n v="8.98097692671492"/>
        <n v="8.99387252312768"/>
        <n v="8.99467849790348"/>
        <n v="8.99629044745508"/>
        <n v="9.01402189252263"/>
        <n v="9.03658918624497"/>
        <n v="9.07124610160427"/>
        <n v="9.07769389981065"/>
        <n v="9.13653005844389"/>
        <n v="9.14781370530506"/>
        <n v="9.15184357918405"/>
        <n v="9.15345552873565"/>
        <n v="9.15748540261464"/>
        <n v="9.18811244409495"/>
        <n v="9.22357533423006"/>
        <n v="9.23082910721224"/>
        <n v="9.24856055227979"/>
        <n v="9.25339640093458"/>
        <n v="9.26387407301995"/>
        <n v="9.27676966943271"/>
        <n v="9.3178743829984"/>
        <n v="9.43796462459227"/>
        <n v="9.4637558174178"/>
        <n v="9.47262153995158"/>
        <n v="9.50566650575929"/>
        <n v="9.50808443008668"/>
        <n v="9.53065172380902"/>
        <n v="9.538711471567"/>
        <n v="9.55402499230715"/>
        <n v="9.610443226613"/>
        <n v="9.62092089869837"/>
        <n v="9.74020516551645"/>
        <n v="9.74665296372283"/>
        <n v="9.79984729892549"/>
        <n v="9.81757874399304"/>
        <n v="9.84095201249117"/>
        <n v="9.8683551548683"/>
        <n v="9.88689257471165"/>
        <n v="9.90140012067601"/>
        <n v="9.93766898558691"/>
        <n v="9.95620640543026"/>
        <n v="9.95781835498186"/>
        <n v="9.95943030453345"/>
        <n v="9.96184822886084"/>
        <n v="9.97071395139462"/>
        <n v="10.0029529424265"/>
        <n v="10.0150425640635"/>
        <n v="10.0182664631667"/>
        <n v="10.0472815550954"/>
        <n v="10.0811324956789"/>
        <n v="10.1061177137287"/>
        <n v="10.1512523011733"/>
        <n v="10.1528642507249"/>
        <n v="10.1714016705683"/>
        <n v="10.1794614183263"/>
        <n v="10.1915510399632"/>
        <n v="10.2697305932156"/>
        <n v="10.3059994581265"/>
        <n v="10.3213129788667"/>
        <n v="10.3745073140693"/>
        <n v="10.4897617070084"/>
        <n v="10.5042692529728"/>
        <n v="10.5365082440047"/>
        <n v="10.5494038404174"/>
        <n v="10.5598815125028"/>
        <n v="10.5727771089156"/>
        <n v="10.5800308818978"/>
        <n v="10.6009862260685"/>
        <n v="10.6122698729297"/>
        <n v="10.6130758477055"/>
        <n v="10.6340311918762"/>
        <n v="10.6380610657552"/>
        <n v="10.6525686117196"/>
        <n v="10.654986536047"/>
        <n v="10.6856135775273"/>
        <n v="10.7283302406446"/>
        <n v="10.7347780388509"/>
        <n v="10.7428377866089"/>
        <n v="10.7605692316765"/>
        <n v="10.7799126262956"/>
        <n v="10.7936141974842"/>
        <n v="10.8113456425517"/>
        <n v="10.8395547597047"/>
        <n v="10.8975849435621"/>
        <n v="10.9048387165443"/>
        <n v="10.9104805399749"/>
        <n v="10.9185402877328"/>
        <n v="10.9354657580246"/>
        <n v="10.9411075814552"/>
        <n v="10.9564211021953"/>
        <n v="11.0071975130706"/>
        <n v="11.021705059035"/>
        <n v="11.0346006554477"/>
        <n v="11.0547500248427"/>
        <n v="11.0571679491701"/>
        <n v="11.0620037978248"/>
        <n v="11.0708695203586"/>
        <n v="11.1151981330275"/>
        <n v="11.1772581907639"/>
        <n v="11.2715572395323"/>
        <n v="11.2804229620661"/>
        <n v="11.4174386739517"/>
        <n v="11.4609613118448"/>
        <n v="11.5415587894245"/>
        <n v="11.5721858309049"/>
        <n v="11.595559099403"/>
        <n v="11.60764872104"/>
        <n v="11.6116785949189"/>
        <n v="11.6124845696947"/>
        <n v="11.6173204183495"/>
        <n v="11.6334399138655"/>
        <n v="11.6882461986197"/>
        <n v="11.7059776436873"/>
        <n v="11.7196792148759"/>
        <n v="11.7688436761995"/>
        <n v="11.7760974491817"/>
        <n v="11.7817392726123"/>
        <n v="11.7857691464913"/>
        <n v="11.9268147322559"/>
        <n v="11.9969345377503"/>
        <n v="12.0122480584905"/>
        <n v="12.0517408225045"/>
        <n v="12.0638304441415"/>
        <n v="12.0646364189173"/>
        <n v="12.1129949054652"/>
        <n v="12.1146068550168"/>
        <n v="12.1532936442551"/>
        <n v="12.1549055938067"/>
        <n v="12.2886974065891"/>
        <n v="12.2903093561407"/>
        <n v="12.2935332552439"/>
        <n v="12.3064288516567"/>
        <n v="12.3580112373077"/>
        <n v="12.4789074536774"/>
        <n v="12.5740124772215"/>
        <n v="12.615923165563"/>
        <n v="12.6828190719542"/>
        <n v="12.6860429710574"/>
        <n v="12.6932967440396"/>
        <n v="12.7618045999824"/>
        <n v="12.7908196919111"/>
        <n v="12.7948495657901"/>
        <n v="12.8319244054768"/>
        <n v="12.8738350938183"/>
        <n v="13.0197165282377"/>
        <n v="13.0293882255473"/>
        <n v="13.04228382196"/>
        <n v="13.066463065234"/>
        <n v="13.0841945103015"/>
        <n v="13.1051498544723"/>
        <n v="13.1712397860877"/>
        <n v="13.2478073897885"/>
        <n v="13.3106734223007"/>
        <n v="13.3284048673683"/>
        <n v="13.3832111521225"/>
        <n v="13.4073903953965"/>
        <n v="13.5935705686057"/>
        <n v="13.6370932064988"/>
        <n v="13.6395111308262"/>
        <n v="13.6854516930467"/>
        <n v="13.9143485293733"/>
        <n v="13.9216023023554"/>
        <n v="13.9441695960778"/>
        <n v="13.9691548141275"/>
        <n v="13.9925280826257"/>
        <n v="13.9981699060562"/>
        <n v="14.015095376348"/>
        <n v="14.0336327961913"/>
        <n v="14.0368566952945"/>
        <n v="14.10294662691"/>
        <n v="14.2044994486605"/>
        <n v="14.222230893728"/>
        <n v="14.246410137002"/>
        <n v="14.3479629587525"/>
        <n v="14.3624705047168"/>
        <n v="14.3793959750086"/>
        <n v="14.3955154705246"/>
        <n v="14.397933394852"/>
        <n v="14.7130695321889"/>
        <n v="14.7187113556195"/>
        <n v="14.7308009772564"/>
        <n v="14.7864132367865"/>
        <n v="14.8017267575266"/>
        <n v="14.8307418494554"/>
        <n v="14.900055680174"/>
        <n v="14.908115427932"/>
        <n v="15.0112801992341"/>
        <n v="15.0241757956468"/>
        <n v="15.0306235938532"/>
        <n v="15.0386833416112"/>
        <n v="15.051578938024"/>
        <n v="15.0983254750202"/>
        <n v="15.3159386644856"/>
        <n v="15.3175506140372"/>
        <n v="15.3844465204285"/>
        <n v="15.5246861314173"/>
        <n v="15.5996417855665"/>
        <n v="15.6004477603423"/>
        <n v="15.6302688270468"/>
        <n v="15.8970464778359"/>
        <n v="15.9317033931952"/>
        <n v="16.0332562149457"/>
        <n v="16.0574354582196"/>
        <n v="16.1259433141624"/>
        <n v="16.1767197250377"/>
        <n v="16.299227890959"/>
        <n v="16.3419445540763"/>
        <n v="16.4692885686523"/>
        <n v="16.5192590047518"/>
        <n v="16.5490800714563"/>
        <n v="16.5813190624882"/>
        <n v="16.6522448427584"/>
        <n v="16.7433199924236"/>
        <n v="16.7554096140605"/>
        <n v="16.7795888573345"/>
        <n v="16.793290428523"/>
        <n v="16.7989322519536"/>
        <n v="16.8158577222454"/>
        <n v="16.8352011168645"/>
        <n v="16.8601863349142"/>
        <n v="17.0004259459031"/>
        <n v="17.0092916684368"/>
        <n v="17.032664936935"/>
        <n v="17.0334709117108"/>
        <n v="17.0826353730344"/>
        <n v="17.2019196398525"/>
        <n v="17.2301287570054"/>
        <n v="17.391323712165"/>
        <n v="17.4187268545421"/>
        <n v="17.4364582996097"/>
        <n v="17.4961004330187"/>
        <n v="17.5057721303283"/>
        <n v="17.5847576583565"/>
        <n v="17.698400101744"/>
        <n v="17.7266092188969"/>
        <n v="17.7846394027543"/>
        <n v="17.8571771325761"/>
        <n v="18.1263727076926"/>
        <n v="18.1424922032085"/>
        <n v="18.3117469061261"/>
        <n v="18.3552695440192"/>
        <n v="18.3609113674498"/>
        <n v="18.3907324341543"/>
        <n v="18.5422556920043"/>
        <n v="18.5599871370718"/>
        <n v="18.5954500272069"/>
        <n v="18.6808833534415"/>
        <n v="18.8976905681311"/>
        <n v="19.0975723125289"/>
        <n v="19.2015430586069"/>
        <n v="19.2297521757598"/>
        <n v="19.2402298478452"/>
        <n v="19.2910062587204"/>
        <n v="19.3240512245281"/>
        <n v="19.3635439885422"/>
        <n v="19.3990068786773"/>
        <n v="19.4151263741933"/>
        <n v="19.4908880031183"/>
        <n v="19.8366511819355"/>
        <n v="19.9212785333943"/>
        <n v="19.9398159532376"/>
        <n v="19.9913983388887"/>
        <n v="20.022025380369"/>
        <n v="20.038144875885"/>
        <n v="20.2090115283541"/>
        <n v="20.7578803506724"/>
        <n v="20.7731938714126"/>
        <n v="21.2479130143575"/>
        <n v="21.2632265350976"/>
        <n v="21.425227465033"/>
        <n v="21.4606903551681"/>
        <n v="21.6428406544984"/>
        <n v="21.7580950474375"/>
        <n v="21.7766324672808"/>
        <n v="22.4052927924031"/>
        <n v="22.5116814628084"/>
        <n v="22.7155930810853"/>
        <n v="22.8453550199887"/>
        <n v="23.1508194600161"/>
        <n v="23.4885228910754"/>
        <n v="23.5804040155163"/>
        <n v="23.5981354605839"/>
        <n v="23.6529417453381"/>
        <n v="23.6867926859216"/>
        <n v="23.689210610249"/>
        <n v="23.936644866419"/>
        <n v="23.9833914034152"/>
        <n v="24.805485674729"/>
        <n v="24.9247699415471"/>
        <n v="25.8314915643196"/>
        <n v="26.1216424836068"/>
        <n v="26.7978553205011"/>
        <n v="26.9590502756607"/>
        <n v="27.2983656562716"/>
        <n v="27.8141895127822"/>
        <n v="28.0567879202973"/>
        <n v="28.1986394808377"/>
        <n v="28.2760130593143"/>
        <n v="28.7894189914975"/>
        <n v="29.0046142566355"/>
        <n v="29.0819878351121"/>
        <n v="29.5704085492456"/>
        <n v="30.2885320744814"/>
        <n v="30.5609515487011"/>
        <n v="31.5313451787616"/>
        <n v="32.0100941955855"/>
        <n v="32.1761249993999"/>
        <n v="33.3592959702711"/>
        <n v="33.8082239203904"/>
        <n v="42.7795291497958"/>
        <n v="43.4855630533947"/>
        <n v="47.8523343886672"/>
        <n v="67.4858799271016"/>
        <n v="73.1470467523054"/>
      </sharedItems>
    </cacheField>
    <cacheField name="CARGA" numFmtId="0">
      <sharedItems containsSemiMixedTypes="0" containsString="0" containsNumber="1" minValue="0" maxValue="576.363216712657" count="1405">
        <n v="0"/>
        <n v="0.175628589204775"/>
        <n v="0.178605344954008"/>
        <n v="0.196465879449409"/>
        <n v="0.199442635198642"/>
        <n v="0.211349658195576"/>
        <n v="0.217303169694043"/>
        <n v="0.229210192690977"/>
        <n v="0.235163704189444"/>
        <n v="0.285768551926413"/>
        <n v="0.336373399663382"/>
        <n v="0.356231461401041"/>
        <n v="0.363164201406483"/>
        <n v="0.373887248117711"/>
        <n v="0.389955003149584"/>
        <n v="0.41439169999713"/>
        <n v="0.416745804892686"/>
        <n v="0.525890218632233"/>
        <n v="0.541769546360491"/>
        <n v="0.553676569357425"/>
        <n v="0.557418409197714"/>
        <n v="0.570697341224117"/>
        <n v="0.57451385960206"/>
        <n v="0.58344412684976"/>
        <n v="0.59237439409746"/>
        <n v="0.623145413529518"/>
        <n v="0.668842743855016"/>
        <n v="0.735258670060667"/>
        <n v="0.746785376531407"/>
        <n v="0.753119204556068"/>
        <n v="0.761622172091634"/>
        <n v="0.79777054079457"/>
        <n v="0.801780432074647"/>
        <n v="0.805934734831511"/>
        <n v="0.822551945858964"/>
        <n v="0.824561342537671"/>
        <n v="0.830860551372691"/>
        <n v="0.851632065157008"/>
        <n v="0.869212678776173"/>
        <n v="0.94363157250701"/>
        <n v="0.958515351253177"/>
        <n v="0.970422374250111"/>
        <n v="0.985306152996278"/>
        <n v="1.00534126716096"/>
        <n v="1.02698073348555"/>
        <n v="1.03857568921586"/>
        <n v="1.04272999197273"/>
        <n v="1.06567855822558"/>
        <n v="1.06865531397482"/>
        <n v="1.09297727293669"/>
        <n v="1.094777470798"/>
        <n v="1.10504453332568"/>
        <n v="1.10937193203075"/>
        <n v="1.11594957806245"/>
        <n v="1.12223691746102"/>
        <n v="1.13123147748948"/>
        <n v="1.13414394045795"/>
        <n v="1.15489616640804"/>
        <n v="1.16093474220105"/>
        <n v="1.16320477192177"/>
        <n v="1.17663207190377"/>
        <n v="1.18041545477163"/>
        <n v="1.20558607843956"/>
        <n v="1.23382791878845"/>
        <n v="1.24213652430217"/>
        <n v="1.25023741467806"/>
        <n v="1.25459943257276"/>
        <n v="1.29574681225979"/>
        <n v="1.29786550666579"/>
        <n v="1.3090504722788"/>
        <n v="1.32167955265966"/>
        <n v="1.34436204571213"/>
        <n v="1.36993079006093"/>
        <n v="1.37336798103238"/>
        <n v="1.3750742125218"/>
        <n v="1.4050287136382"/>
        <n v="1.44154305663162"/>
        <n v="1.45265680562593"/>
        <n v="1.51516867635984"/>
        <n v="1.51829874566319"/>
        <n v="1.5189169454782"/>
        <n v="1.52409894360754"/>
        <n v="1.54109795484074"/>
        <n v="1.55982001259834"/>
        <n v="1.56279676834757"/>
        <n v="1.56617213933752"/>
        <n v="1.57388727302884"/>
        <n v="1.58278935036498"/>
        <n v="1.59256432583991"/>
        <n v="1.61758163595371"/>
        <n v="1.62017807517675"/>
        <n v="1.62848668069047"/>
        <n v="1.63939172542724"/>
        <n v="1.649554930386"/>
        <n v="1.65507619657381"/>
        <n v="1.68782050981538"/>
        <n v="1.69972753281231"/>
        <n v="1.71218104444571"/>
        <n v="1.72056482305695"/>
        <n v="1.72354157880618"/>
        <n v="1.76819291504468"/>
        <n v="1.78605344954008"/>
        <n v="1.79030666426735"/>
        <n v="1.79465879096501"/>
        <n v="1.80887738671023"/>
        <n v="1.81127600199247"/>
        <n v="1.82772803002935"/>
        <n v="1.83204751577678"/>
        <n v="1.85154207602322"/>
        <n v="1.85697333231796"/>
        <n v="1.88427303614878"/>
        <n v="1.90267066264346"/>
        <n v="1.95252229572582"/>
        <n v="1.98318500655029"/>
        <n v="2.00335661923412"/>
        <n v="2.0227497947109"/>
        <n v="2.02717066522799"/>
        <n v="2.02729974534937"/>
        <n v="2.0896825359619"/>
        <n v="2.11038580048664"/>
        <n v="2.12700301151409"/>
        <n v="2.14362022254154"/>
        <n v="2.14777452529841"/>
        <n v="2.22385019453347"/>
        <n v="2.2772181481636"/>
        <n v="2.28071221351804"/>
        <n v="2.28894663505396"/>
        <n v="2.31711181862579"/>
        <n v="2.32640954384353"/>
        <n v="2.33290064190113"/>
        <n v="2.34569737807183"/>
        <n v="2.35461379764367"/>
        <n v="2.37247433213908"/>
        <n v="2.39331162238371"/>
        <n v="2.41117215687911"/>
        <n v="2.42091993156218"/>
        <n v="2.42334327483702"/>
        <n v="2.43187443228415"/>
        <n v="2.46177700461608"/>
        <n v="2.48856780635918"/>
        <n v="2.49452131785765"/>
        <n v="2.50919886514553"/>
        <n v="2.52997037892984"/>
        <n v="2.53917265409615"/>
        <n v="2.56379827280716"/>
        <n v="2.56676563191921"/>
        <n v="2.64094960972034"/>
        <n v="2.64633586106855"/>
        <n v="2.66686454596554"/>
        <n v="2.68801044155782"/>
        <n v="2.69965386415364"/>
        <n v="2.72522260850243"/>
        <n v="2.75469837568208"/>
        <n v="2.81661726915342"/>
        <n v="2.83738878293774"/>
        <n v="2.85348670612059"/>
        <n v="2.89710688506765"/>
        <n v="2.94698819174113"/>
        <n v="3.01602380148287"/>
        <n v="3.04940659149338"/>
        <n v="3.15238433843824"/>
        <n v="3.16142439797309"/>
        <n v="3.17012865136842"/>
        <n v="3.18215189593058"/>
        <n v="3.19517810787261"/>
        <n v="3.25359403391218"/>
        <n v="3.27740807990605"/>
        <n v="3.28968849559125"/>
        <n v="3.32205941614455"/>
        <n v="3.33396643914149"/>
        <n v="3.35252232478881"/>
        <n v="3.41483686614176"/>
        <n v="3.44807128819667"/>
        <n v="3.45303666911082"/>
        <n v="3.49471124960009"/>
        <n v="3.5840139220771"/>
        <n v="3.58996743357556"/>
        <n v="3.6724036370673"/>
        <n v="3.6822468618018"/>
        <n v="3.68333340979666"/>
        <n v="3.71201441929414"/>
        <n v="3.71499117504337"/>
        <n v="3.75964399496143"/>
        <n v="3.78941006877421"/>
        <n v="3.80429384752037"/>
        <n v="3.83406140501271"/>
        <n v="3.91741056599125"/>
        <n v="3.95252233724437"/>
        <n v="3.98289919247438"/>
        <n v="3.98456981565446"/>
        <n v="4.06212916444555"/>
        <n v="4.12876022418682"/>
        <n v="4.24485369840693"/>
        <n v="4.25816032578504"/>
        <n v="4.28355152314696"/>
        <n v="4.30385765611054"/>
        <n v="4.31216626162427"/>
        <n v="4.3133190806393"/>
        <n v="4.322249347887"/>
        <n v="4.32522610363623"/>
        <n v="4.33713312663317"/>
        <n v="4.3579704168778"/>
        <n v="4.37880770712243"/>
        <n v="4.4056380736537"/>
        <n v="4.411552020364"/>
        <n v="4.42017813330272"/>
        <n v="4.51157279395371"/>
        <n v="4.53062225033334"/>
        <n v="4.53955251758104"/>
        <n v="4.54252927333027"/>
        <n v="4.57825034232108"/>
        <n v="4.64373896880421"/>
        <n v="4.66864500295131"/>
        <n v="4.66943629871452"/>
        <n v="4.67359060147139"/>
        <n v="4.68839030504272"/>
        <n v="4.82729980347534"/>
        <n v="4.86921375093298"/>
        <n v="4.88961434482829"/>
        <n v="4.95034481097526"/>
        <n v="4.97118210121989"/>
        <n v="4.98904263571529"/>
        <n v="5.07239179669383"/>
        <n v="5.12001988868157"/>
        <n v="5.14681069042467"/>
        <n v="5.18456984056559"/>
        <n v="5.20534135434991"/>
        <n v="5.21527607265704"/>
        <n v="5.25992740889554"/>
        <n v="5.3424333453264"/>
        <n v="5.36102879576189"/>
        <n v="5.40876519635721"/>
        <n v="5.45900110244459"/>
        <n v="5.48783394181663"/>
        <n v="5.51465886818952"/>
        <n v="5.53081218207579"/>
        <n v="5.53378893782502"/>
        <n v="5.57844027406352"/>
        <n v="5.60820783155586"/>
        <n v="5.61118458730509"/>
        <n v="5.64292791140619"/>
        <n v="5.64690565629589"/>
        <n v="5.74332356136373"/>
        <n v="5.7808596650114"/>
        <n v="5.80875382978433"/>
        <n v="5.8612320702407"/>
        <n v="5.90290665072997"/>
        <n v="5.9326742082223"/>
        <n v="5.99816283470544"/>
        <n v="6.00712178642456"/>
        <n v="6.0559348438177"/>
        <n v="6.06067470543934"/>
        <n v="6.21844276014872"/>
        <n v="6.25393188056893"/>
        <n v="6.27202436363492"/>
        <n v="6.27500111938415"/>
        <n v="6.31454019043245"/>
        <n v="6.32262921137189"/>
        <n v="6.37918757060732"/>
        <n v="6.41490863959813"/>
        <n v="6.43276917409353"/>
        <n v="6.4476529528397"/>
        <n v="6.45293781941825"/>
        <n v="6.528025358069"/>
        <n v="6.5548161598121"/>
        <n v="6.56076967131057"/>
        <n v="6.56969993855827"/>
        <n v="6.62299717012956"/>
        <n v="6.64709558803834"/>
        <n v="6.76914257375691"/>
        <n v="6.83760795598928"/>
        <n v="6.86142200198315"/>
        <n v="6.88471824381196"/>
        <n v="6.90011982672318"/>
        <n v="6.91602388244404"/>
        <n v="6.93353130120511"/>
        <n v="6.94774791871092"/>
        <n v="6.95370143020938"/>
        <n v="6.95667818595862"/>
        <n v="7.02195860274406"/>
        <n v="7.08170192742642"/>
        <n v="7.08308620045219"/>
        <n v="7.10140964296907"/>
        <n v="7.10253921767106"/>
        <n v="7.25137700513273"/>
        <n v="7.29007482987277"/>
        <n v="7.29910994380909"/>
        <n v="7.3644937236036"/>
        <n v="7.40850658307316"/>
        <n v="7.41839778011331"/>
        <n v="7.46943635684049"/>
        <n v="7.48654070932217"/>
        <n v="7.48731469549057"/>
        <n v="7.51035475531604"/>
        <n v="7.52226177831298"/>
        <n v="7.53714555705914"/>
        <n v="7.68598334452082"/>
        <n v="7.77230926124859"/>
        <n v="7.79314655149322"/>
        <n v="7.81398384173786"/>
        <n v="7.89161737450674"/>
        <n v="7.90030975846563"/>
        <n v="7.96282162919953"/>
        <n v="8.01640323268573"/>
        <n v="8.03026722901706"/>
        <n v="8.0937988821658"/>
        <n v="8.15035724140124"/>
        <n v="8.16524102014741"/>
        <n v="8.18310155464281"/>
        <n v="8.23965991387824"/>
        <n v="8.24431273296593"/>
        <n v="8.26645071562134"/>
        <n v="8.26942747137058"/>
        <n v="8.41528850308302"/>
        <n v="8.45993983932152"/>
        <n v="8.51632065157008"/>
        <n v="8.51649819855696"/>
        <n v="8.54328900030006"/>
        <n v="8.61770789403089"/>
        <n v="8.70998732225713"/>
        <n v="8.7248711010033"/>
        <n v="8.76142451422503"/>
        <n v="8.78440621598797"/>
        <n v="8.823104040728"/>
        <n v="8.89436220244466"/>
        <n v="8.89473312233367"/>
        <n v="8.92133698045271"/>
        <n v="8.96301156094198"/>
        <n v="8.99666190783242"/>
        <n v="9.06124450066668"/>
        <n v="9.08753728063881"/>
        <n v="9.16543095188985"/>
        <n v="9.22255212023687"/>
        <n v="9.22388743183729"/>
        <n v="9.27259415886226"/>
        <n v="9.37082709858696"/>
        <n v="9.4541762595655"/>
        <n v="9.5077578630517"/>
        <n v="9.51520791266234"/>
        <n v="9.60301404702717"/>
        <n v="9.64732957712616"/>
        <n v="9.65064213901491"/>
        <n v="9.67445618500877"/>
        <n v="9.67743294075801"/>
        <n v="9.69827023100264"/>
        <n v="9.71017725399958"/>
        <n v="9.74292156724114"/>
        <n v="9.75482859023808"/>
        <n v="9.76673561323501"/>
        <n v="9.85192898790169"/>
        <n v="9.89354619944812"/>
        <n v="9.89771286620129"/>
        <n v="9.94124649717425"/>
        <n v="9.97808527143059"/>
        <n v="9.98403878292906"/>
        <n v="10.0167830961706"/>
        <n v="10.1150160358953"/>
        <n v="10.17455115088"/>
        <n v="10.1936203896537"/>
        <n v="10.2340862658647"/>
        <n v="10.2362019929116"/>
        <n v="10.3055284038463"/>
        <n v="10.3192880480488"/>
        <n v="10.3442262285863"/>
        <n v="10.3561332515832"/>
        <n v="10.385237604314"/>
        <n v="10.3888775648248"/>
        <n v="10.4480714335116"/>
        <n v="10.4724037782304"/>
        <n v="10.5228315735403"/>
        <n v="10.5909497747566"/>
        <n v="10.6308607548136"/>
        <n v="10.6807123878959"/>
        <n v="10.6842732188304"/>
        <n v="10.6994067503018"/>
        <n v="10.7312044759867"/>
        <n v="10.7554898375195"/>
        <n v="10.760972033479"/>
        <n v="10.7818093237236"/>
        <n v="10.8056233697175"/>
        <n v="10.8967361312528"/>
        <n v="10.900879553693"/>
        <n v="10.9068330651914"/>
        <n v="10.9258162505509"/>
        <n v="10.9594463204874"/>
        <n v="10.99018222617"/>
        <n v="10.9946218899614"/>
        <n v="10.9961357376684"/>
        <n v="11.0031901393975"/>
        <n v="11.0169730279131"/>
        <n v="11.0229265394115"/>
        <n v="11.0777450370876"/>
        <n v="11.1049705569406"/>
        <n v="11.1252227828803"/>
        <n v="11.1330665021332"/>
        <n v="11.168787571124"/>
        <n v="11.2041545352607"/>
        <n v="11.2193924188609"/>
        <n v="11.2332346545588"/>
        <n v="11.2491599763533"/>
        <n v="11.2729740223471"/>
        <n v="11.2878578010933"/>
        <n v="11.2908345568426"/>
        <n v="11.3353118080131"/>
        <n v="11.3827895538059"/>
        <n v="11.4128815425611"/>
        <n v="11.4277653213073"/>
        <n v="11.4295996437984"/>
        <n v="11.4515793673012"/>
        <n v="11.4545561230504"/>
        <n v="11.4575328787996"/>
        <n v="11.4575670034294"/>
        <n v="11.5498123070259"/>
        <n v="11.6284127043054"/>
        <n v="11.6391149795029"/>
        <n v="11.652819233002"/>
        <n v="11.6807895599921"/>
        <n v="11.6956733387383"/>
        <n v="11.7403246749768"/>
        <n v="11.7700922324691"/>
        <n v="11.7998597899615"/>
        <n v="11.8147435687076"/>
        <n v="11.8864987630756"/>
        <n v="11.9145403066844"/>
        <n v="12.0082326924078"/>
        <n v="12.0260932269032"/>
        <n v="12.0356085584558"/>
        <n v="12.0848667197158"/>
        <n v="12.0945586091356"/>
        <n v="12.1243261666279"/>
        <n v="12.1414443667855"/>
        <n v="12.1900596002378"/>
        <n v="12.2136501051786"/>
        <n v="12.2354107386669"/>
        <n v="12.2390952095643"/>
        <n v="12.291024488585"/>
        <n v="12.3258162796139"/>
        <n v="12.341629336322"/>
        <n v="12.371661977895"/>
        <n v="12.3773504053128"/>
        <n v="12.3922341840589"/>
        <n v="12.4339087645482"/>
        <n v="12.4726065892882"/>
        <n v="12.4874903680344"/>
        <n v="12.5053509025298"/>
        <n v="12.5142811697775"/>
        <n v="12.5145897751252"/>
        <n v="12.5291649485237"/>
        <n v="12.5532643555521"/>
        <n v="12.5618202409919"/>
        <n v="12.597630330756"/>
        <n v="12.6214443767499"/>
        <n v="12.6303746439976"/>
        <n v="12.6327153957772"/>
        <n v="12.6422816669945"/>
        <n v="12.6706234084335"/>
        <n v="12.6809794917346"/>
        <n v="12.7315843394715"/>
        <n v="12.7334572376311"/>
        <n v="12.7940962102055"/>
        <n v="12.8483682192451"/>
        <n v="12.8804221269332"/>
        <n v="12.9072129286763"/>
        <n v="12.9391694080736"/>
        <n v="12.9518642649148"/>
        <n v="12.9997035339594"/>
        <n v="13.0024691126518"/>
        <n v="13.0113993798995"/>
        <n v="13.0606085797341"/>
        <n v="13.0679577391349"/>
        <n v="13.0768880063826"/>
        <n v="13.0969587288567"/>
        <n v="13.1274928541196"/>
        <n v="13.1393998771165"/>
        <n v="13.145353388615"/>
        <n v="13.1542836558627"/>
        <n v="13.1989349921012"/>
        <n v="13.2078652593489"/>
        <n v="13.2108420150981"/>
        <n v="13.2316793053428"/>
        <n v="13.2525165955874"/>
        <n v="13.2822841530797"/>
        <n v="13.2912144203274"/>
        <n v="13.3031214433244"/>
        <n v="13.3299122450675"/>
        <n v="13.3507495353121"/>
        <n v="13.3656333140583"/>
        <n v="13.3775403370552"/>
        <n v="13.3954008715506"/>
        <n v="13.4043311387983"/>
        <n v="13.4059349963984"/>
        <n v="13.4162381617952"/>
        <n v="13.4574928609702"/>
        <n v="13.4599409322376"/>
        <n v="13.4727965210307"/>
        <n v="13.4966105670246"/>
        <n v="13.5174478572692"/>
        <n v="13.5305640791043"/>
        <n v="13.5442386590123"/>
        <n v="13.5769829722539"/>
        <n v="13.5884646737781"/>
        <n v="13.603773773997"/>
        <n v="13.6844958330416"/>
        <n v="13.6990299579724"/>
        <n v="13.7079602252201"/>
        <n v="13.7139137367186"/>
        <n v="13.798516606922"/>
        <n v="13.8433979134917"/>
        <n v="13.8538212569326"/>
        <n v="13.8887985079059"/>
        <n v="13.8893919797284"/>
        <n v="13.8925190816726"/>
        <n v="13.8984725931711"/>
        <n v="13.9014493489203"/>
        <n v="13.9193098834157"/>
        <n v="13.9371704179111"/>
        <n v="13.949077440908"/>
        <n v="13.9520541966573"/>
        <n v="13.960984463905"/>
        <n v="14.0086125558927"/>
        <n v="14.0115893116419"/>
        <n v="14.0261130508158"/>
        <n v="14.0294498461373"/>
        <n v="14.0311575613063"/>
        <n v="14.0562406478804"/>
        <n v="14.0638726955166"/>
        <n v="14.0800546938743"/>
        <n v="14.0919617168712"/>
        <n v="14.1008919841189"/>
        <n v="14.1574503433544"/>
        <n v="14.1842411450975"/>
        <n v="14.2050784353421"/>
        <n v="14.2140087025898"/>
        <n v="14.2581605333778"/>
        <n v="14.2671367946917"/>
        <n v="14.2705670618252"/>
        <n v="14.2854508405714"/>
        <n v="14.2914043520699"/>
        <n v="14.3033113750668"/>
        <n v="14.3330789325592"/>
        <n v="14.3390324440576"/>
        <n v="14.3479627113053"/>
        <n v="14.3844216635953"/>
        <n v="14.40749782629"/>
        <n v="14.4194048492869"/>
        <n v="14.4283351165346"/>
        <n v="14.4372653837823"/>
        <n v="14.44619565103"/>
        <n v="14.4610794297762"/>
        <n v="14.4700096970239"/>
        <n v="14.481899410426"/>
        <n v="14.4938237430178"/>
        <n v="14.5114988175687"/>
        <n v="14.5206145447609"/>
        <n v="14.5444285907547"/>
        <n v="14.547405346504"/>
        <n v="14.5503821022532"/>
        <n v="14.5682426367486"/>
        <n v="14.586103171244"/>
        <n v="14.5920566827425"/>
        <n v="14.5950334384917"/>
        <n v="14.6709201858633"/>
        <n v="14.6932663782164"/>
        <n v="14.6992198897149"/>
        <n v="14.7438712259534"/>
        <n v="14.7551931846454"/>
        <n v="14.7706620276965"/>
        <n v="14.7836056481432"/>
        <n v="14.7974528294396"/>
        <n v="14.815313363935"/>
        <n v="14.8361506541796"/>
        <n v="14.8599647001735"/>
        <n v="14.9284300824059"/>
        <n v="14.993918708889"/>
        <n v="15.0198816174398"/>
        <n v="15.032616533629"/>
        <n v="15.0385700451275"/>
        <n v="15.044523556626"/>
        <n v="15.0525967516501"/>
        <n v="15.0534538238737"/>
        <n v="15.0744068411237"/>
        <n v="15.0772678698675"/>
        <n v="15.0861981371152"/>
        <n v="15.0919142598847"/>
        <n v="15.121662034983"/>
        <n v="15.1268549134291"/>
        <n v="15.1471071393688"/>
        <n v="15.1755008095922"/>
        <n v="15.1903845883384"/>
        <n v="15.22312890158"/>
        <n v="15.2767105050662"/>
        <n v="15.2826640165646"/>
        <n v="15.3392223758001"/>
        <n v="15.385756995955"/>
        <n v="15.3928039792863"/>
        <n v="15.401734246534"/>
        <n v="15.4041546224497"/>
        <n v="15.4059350379169"/>
        <n v="15.4374553155248"/>
        <n v="15.4493623385217"/>
        <n v="15.529734743751"/>
        <n v="15.5329380079125"/>
        <n v="15.5952233702341"/>
        <n v="15.5982001259834"/>
        <n v="15.6451041823478"/>
        <n v="15.6517817294696"/>
        <n v="15.6658756961321"/>
        <n v="15.6815492869619"/>
        <n v="15.6845260427112"/>
        <n v="15.7010389016098"/>
        <n v="15.805044838487"/>
        <n v="15.8850151665566"/>
        <n v="15.886945433659"/>
        <n v="15.8928989451575"/>
        <n v="15.8985166505164"/>
        <n v="15.9031902411179"/>
        <n v="15.9275967698145"/>
        <n v="15.97329410014"/>
        <n v="15.9822016176345"/>
        <n v="16.0106828249518"/>
        <n v="16.0238761981238"/>
        <n v="16.0267807481346"/>
        <n v="16.0328064653715"/>
        <n v="16.0377599768492"/>
        <n v="16.0417367326192"/>
        <n v="16.0447134883684"/>
        <n v="16.0625740228638"/>
        <n v="16.0715042901115"/>
        <n v="16.0880319858057"/>
        <n v="16.1020774856028"/>
        <n v="16.1096442513385"/>
        <n v="16.1102021148515"/>
        <n v="16.1477748159283"/>
        <n v="16.1816442528331"/>
        <n v="16.1890952915635"/>
        <n v="16.2571961831849"/>
        <n v="16.3066768963783"/>
        <n v="16.3513193305394"/>
        <n v="16.3691798650348"/>
        <n v="16.3751333765333"/>
        <n v="16.4094958896107"/>
        <n v="16.4197847127718"/>
        <n v="16.4463653265778"/>
        <n v="16.4811576121665"/>
        <n v="16.4993326867278"/>
        <n v="16.5008905502616"/>
        <n v="16.5150408967473"/>
        <n v="16.5175077612891"/>
        <n v="16.5502228954994"/>
        <n v="16.5639840233815"/>
        <n v="16.651971661212"/>
        <n v="16.6556383279548"/>
        <n v="16.6847184472529"/>
        <n v="16.6883534621651"/>
        <n v="16.7210685963754"/>
        <n v="16.7543030184303"/>
        <n v="16.7680651354321"/>
        <n v="16.7828638498838"/>
        <n v="16.7906531675529"/>
        <n v="16.8000003487558"/>
        <n v="16.8284869962314"/>
        <n v="16.8706234956225"/>
        <n v="16.881181853903"/>
        <n v="16.8901121211507"/>
        <n v="16.8919142972514"/>
        <n v="16.8941645445781"/>
        <n v="16.8960656326492"/>
        <n v="16.9287837342186"/>
        <n v="16.9412466424892"/>
        <n v="16.9495552480029"/>
        <n v="16.9585775033831"/>
        <n v="16.9734612821292"/>
        <n v="17.0029677120197"/>
        <n v="17.0176561396243"/>
        <n v="17.0700300279519"/>
        <n v="17.0773000577765"/>
        <n v="17.113650206899"/>
        <n v="17.1550433828325"/>
        <n v="17.1562812661421"/>
        <n v="17.1580201385817"/>
        <n v="17.160996894331"/>
        <n v="17.2154306244422"/>
        <n v="17.2235087650649"/>
        <n v="17.2443460553095"/>
        <n v="17.2481457586525"/>
        <n v="17.2517807735647"/>
        <n v="17.2611279547677"/>
        <n v="17.3366254835357"/>
        <n v="17.3515092622819"/>
        <n v="17.3808608949387"/>
        <n v="17.3842535755235"/>
        <n v="17.3862763253182"/>
        <n v="17.4080676215173"/>
        <n v="17.4186947236173"/>
        <n v="17.4824865152482"/>
        <n v="17.4830122323709"/>
        <n v="17.4884400267466"/>
        <n v="17.5092773169913"/>
        <n v="17.5241610957374"/>
        <n v="17.5473297411244"/>
        <n v="17.6152822647903"/>
        <n v="17.6283475469606"/>
        <n v="17.6443623840883"/>
        <n v="17.6458955196295"/>
        <n v="17.6661724735618"/>
        <n v="17.696812929193"/>
        <n v="17.7425077867192"/>
        <n v="17.8158831591623"/>
        <n v="17.8219588269442"/>
        <n v="17.8370181744379"/>
        <n v="17.8442882042624"/>
        <n v="17.8724415183978"/>
        <n v="17.8916175820995"/>
        <n v="17.8992323201409"/>
        <n v="17.9008905793246"/>
        <n v="17.9200696103855"/>
        <n v="17.926023121884"/>
        <n v="17.9319766333824"/>
        <n v="17.9349533891317"/>
        <n v="17.9587674351255"/>
        <n v="17.9786353880602"/>
        <n v="17.9796047253702"/>
        <n v="17.9899855366638"/>
        <n v="18.0078638753139"/>
        <n v="18.0836799006266"/>
        <n v="18.124184352506"/>
        <n v="18.1790473605688"/>
        <n v="18.193931139315"/>
        <n v="18.1958460750619"/>
        <n v="18.2683500330458"/>
        <n v="18.2950300533821"/>
        <n v="18.3040711020366"/>
        <n v="18.3516991940243"/>
        <n v="18.4201645762567"/>
        <n v="18.4231413320059"/>
        <n v="18.4515582465424"/>
        <n v="18.4718104724821"/>
        <n v="18.4818253094853"/>
        <n v="18.4945834699875"/>
        <n v="18.539234806226"/>
        <n v="18.6445107728032"/>
        <n v="18.6702120591923"/>
        <n v="18.7059331281831"/>
        <n v="18.7190903984859"/>
        <n v="18.7327239299262"/>
        <n v="18.7386774414247"/>
        <n v="18.8261131504604"/>
        <n v="18.8279801139017"/>
        <n v="18.869654694391"/>
        <n v="18.8785849616387"/>
        <n v="18.8790805106104"/>
        <n v="18.8964454961341"/>
        <n v="18.9053757633818"/>
        <n v="18.9232362978772"/>
        <n v="18.9602377823248"/>
        <n v="18.9857481686111"/>
        <n v="18.9887249243603"/>
        <n v="18.9934722043797"/>
        <n v="19.0125389703542"/>
        <n v="19.0512367950942"/>
        <n v="19.1928787367092"/>
        <n v="19.261202180264"/>
        <n v="19.3424336359563"/>
        <n v="19.3578426372653"/>
        <n v="19.3757031717606"/>
        <n v="19.4114242407515"/>
        <n v="19.4338282966072"/>
        <n v="19.444168553993"/>
        <n v="19.4530988212407"/>
        <n v="19.4629084159053"/>
        <n v="19.4917966459808"/>
        <n v="19.603635421794"/>
        <n v="19.6436111891917"/>
        <n v="19.6912392811794"/>
        <n v="19.7329380951014"/>
        <n v="19.7686349306595"/>
        <n v="19.7775651979072"/>
        <n v="19.7873396788223"/>
        <n v="19.8510760797497"/>
        <n v="19.8968105020641"/>
        <n v="19.9060340433041"/>
        <n v="19.9489618384583"/>
        <n v="19.9573446279498"/>
        <n v="20.0424964595889"/>
        <n v="20.0652823156505"/>
        <n v="20.0735909211642"/>
        <n v="20.0818995266779"/>
        <n v="20.0990548188244"/>
        <n v="20.1566769763015"/>
        <n v="20.1616473028142"/>
        <n v="20.170496956806"/>
        <n v="20.2189915176544"/>
        <n v="20.2522259397094"/>
        <n v="20.2540063551766"/>
        <n v="20.2688431507368"/>
        <n v="20.298497454023"/>
        <n v="20.322849086576"/>
        <n v="20.3401720345123"/>
        <n v="20.34910230176"/>
        <n v="20.3659747056711"/>
        <n v="20.4294747069893"/>
        <n v="20.4474781692819"/>
        <n v="20.4807125913368"/>
        <n v="20.5347185271761"/>
        <n v="20.5693822272033"/>
        <n v="20.6033634346347"/>
        <n v="20.6676562153957"/>
        <n v="20.7548965732898"/>
        <n v="20.756917839405"/>
        <n v="20.8540805516099"/>
        <n v="20.9295696728605"/>
        <n v="20.9623139861021"/>
        <n v="20.9920815435944"/>
        <n v="20.9950582993437"/>
        <n v="21.0069653223406"/>
        <n v="21.0272630477867"/>
        <n v="21.0290805552428"/>
        <n v="21.0367328798329"/>
        <n v="21.0426863913314"/>
        <n v="21.1177056807226"/>
        <n v="21.1827897572468"/>
        <n v="21.1945009345423"/>
        <n v="21.2183149805362"/>
        <n v="21.2570128052762"/>
        <n v="21.2689198282731"/>
        <n v="21.3323446564938"/>
        <n v="21.345203212646"/>
        <n v="21.4025968834715"/>
        <n v="21.4147808599856"/>
        <n v="21.4415716617287"/>
        <n v="21.4534786847256"/>
        <n v="21.4832462422179"/>
        <n v="21.4886255697282"/>
        <n v="21.5804158782608"/>
        <n v="21.6231537624319"/>
        <n v="21.7213867021566"/>
        <n v="21.7571077711474"/>
        <n v="21.8743822542941"/>
        <n v="21.8880850241137"/>
        <n v="21.8970152913614"/>
        <n v="21.9155049059886"/>
        <n v="21.9208293373553"/>
        <n v="21.934718556239"/>
        <n v="21.9386898718507"/>
        <n v="21.9782398232157"/>
        <n v="22.0344218224038"/>
        <n v="22.2005939326783"/>
        <n v="22.2311577315324"/>
        <n v="22.2452957140217"/>
        <n v="22.2500746458717"/>
        <n v="22.2545998685175"/>
        <n v="22.2780400272633"/>
        <n v="22.324431719621"/>
        <n v="22.3298966059857"/>
        <n v="22.3335316208979"/>
        <n v="22.337575142248"/>
        <n v="22.3465054094957"/>
        <n v="22.3941335014834"/>
        <n v="22.4035612959422"/>
        <n v="22.6203669384251"/>
        <n v="22.6233436941744"/>
        <n v="22.6382274729205"/>
        <n v="22.6412042286698"/>
        <n v="22.6824930524745"/>
        <n v="22.7101884041869"/>
        <n v="22.7126463666514"/>
        <n v="22.7448075938274"/>
        <n v="22.7870652603822"/>
        <n v="22.9277947390702"/>
        <n v="22.9310835620861"/>
        <n v="22.9775776283331"/>
        <n v="23.0896147226471"/>
        <n v="23.1005197673839"/>
        <n v="23.102601369801"/>
        <n v="23.1353862369504"/>
        <n v="23.1532062175379"/>
        <n v="23.2693179904726"/>
        <n v="23.3377650739904"/>
        <n v="23.3407418297396"/>
        <n v="23.3526488527366"/>
        <n v="23.3973001889751"/>
        <n v="23.4385761542236"/>
        <n v="23.4836261057028"/>
        <n v="23.5099411408683"/>
        <n v="23.5163704189444"/>
        <n v="23.537207709189"/>
        <n v="23.5507423286589"/>
        <n v="23.5610217551829"/>
        <n v="23.6354406489137"/>
        <n v="23.6545998975805"/>
        <n v="23.6622314506568"/>
        <n v="23.7396271001369"/>
        <n v="23.7426038558862"/>
        <n v="23.8586973301063"/>
        <n v="23.8914416433478"/>
        <n v="23.9093021778432"/>
        <n v="24.0908842785465"/>
        <n v="24.0998145457942"/>
        <n v="24.1946592559728"/>
        <n v="24.314140959739"/>
        <n v="24.3442141552199"/>
        <n v="24.4748857701976"/>
        <n v="24.5054406669743"/>
        <n v="24.5165603506869"/>
        <n v="24.5522814196777"/>
        <n v="24.7082102062974"/>
        <n v="24.7329381988978"/>
        <n v="24.7427937876286"/>
        <n v="24.7835316717582"/>
        <n v="24.826113275016"/>
        <n v="24.8344218805297"/>
        <n v="24.9050450273964"/>
        <n v="24.9180272235116"/>
        <n v="24.9630737130719"/>
        <n v="24.9632052659925"/>
        <n v="25.067260164295"/>
        <n v="25.0686948824257"/>
        <n v="25.079167187292"/>
        <n v="25.1086058624827"/>
        <n v="25.1952606615121"/>
        <n v="25.2607492879952"/>
        <n v="25.3708892507169"/>
        <n v="25.39768005246"/>
        <n v="25.4125638312061"/>
        <n v="25.4185173427046"/>
        <n v="25.4840059691877"/>
        <n v="25.6626113141417"/>
        <n v="25.6715415813894"/>
        <n v="25.7400069636218"/>
        <n v="25.8382399033465"/>
        <n v="26.0376825385452"/>
        <n v="26.1656830357622"/>
        <n v="26.3145208232239"/>
        <n v="26.3399115260259"/>
        <n v="26.4038234957009"/>
        <n v="26.4514515876886"/>
        <n v="26.6617216217273"/>
        <n v="26.6836385361288"/>
        <n v="26.7610341856089"/>
        <n v="26.7848482316028"/>
        <n v="26.8652206368321"/>
        <n v="27.1361054100123"/>
        <n v="27.2105243037431"/>
        <n v="27.2194545709908"/>
        <n v="27.2254080824893"/>
        <n v="27.2373151054862"/>
        <n v="27.2789896859755"/>
        <n v="27.323591071669"/>
        <n v="27.4427112521834"/>
        <n v="27.44332401184"/>
        <n v="27.4597928549118"/>
        <n v="27.5647582379019"/>
        <n v="27.5695109580797"/>
        <n v="27.6868052236205"/>
        <n v="27.7046657581159"/>
        <n v="27.7284798041098"/>
        <n v="27.7671776288498"/>
        <n v="27.770154384599"/>
        <n v="27.7999219420914"/>
        <n v="27.8564803013268"/>
        <n v="27.871364080073"/>
        <n v="27.8743408358222"/>
        <n v="27.8922013703176"/>
        <n v="27.9228492443465"/>
        <n v="28.0440159135285"/>
        <n v="28.0648532037731"/>
        <n v="28.1105347081834"/>
        <n v="28.1869001894917"/>
        <n v="28.2970401522134"/>
        <n v="28.4025723007938"/>
        <n v="28.4726687414181"/>
        <n v="28.5143433219074"/>
        <n v="28.6231459947892"/>
        <n v="28.651558458287"/>
        <n v="28.7703443163415"/>
        <n v="28.7893181050638"/>
        <n v="28.8293774530764"/>
        <n v="28.8328561870754"/>
        <n v="28.9428789391121"/>
        <n v="29.1305317619987"/>
        <n v="29.1891697454119"/>
        <n v="29.2138809229773"/>
        <n v="29.2466252362188"/>
        <n v="29.3299743971974"/>
        <n v="29.3329511529466"/>
        <n v="29.4430911156683"/>
        <n v="29.5163210875149"/>
        <n v="29.5681148571361"/>
        <n v="29.5926564006722"/>
        <n v="29.6068126818761"/>
        <n v="29.6603942853623"/>
        <n v="29.8300693630686"/>
        <n v="29.9044882567994"/>
        <n v="29.90682554666"/>
        <n v="30.0682098230073"/>
        <n v="30.1173967676485"/>
        <n v="30.2349081449643"/>
        <n v="30.3181015195895"/>
        <n v="30.3238136858802"/>
        <n v="30.4462578031599"/>
        <n v="30.4819788721507"/>
        <n v="30.4832350541748"/>
        <n v="30.5057929181446"/>
        <n v="30.5831885676247"/>
        <n v="30.6010491021201"/>
        <n v="30.6337934153616"/>
        <n v="30.6486771941078"/>
        <n v="30.6695144843524"/>
        <n v="30.7111890648417"/>
        <n v="30.8600268523034"/>
        <n v="30.8778873867988"/>
        <n v="30.9284922345358"/>
        <n v="30.9433760132819"/>
        <n v="30.9552830362788"/>
        <n v="31.1219813582359"/>
        <n v="31.1374882823956"/>
        <n v="31.1844932289698"/>
        <n v="31.2280421912982"/>
        <n v="31.2767726571961"/>
        <n v="31.3691401170759"/>
        <n v="31.4106831446446"/>
        <n v="31.4137034216608"/>
        <n v="31.4791920481439"/>
        <n v="31.5804017436179"/>
        <n v="31.6369601028533"/>
        <n v="31.6786346833426"/>
        <n v="31.7024487293364"/>
        <n v="31.7887746460642"/>
        <n v="31.8220333015519"/>
        <n v="31.9167751432813"/>
        <n v="32.0375872130494"/>
        <n v="32.0775199537399"/>
        <n v="32.093546660304"/>
        <n v="32.2769625889385"/>
        <n v="32.512126293128"/>
        <n v="32.5954754541065"/>
        <n v="32.6490570575927"/>
        <n v="32.7115689283266"/>
        <n v="32.7608315406252"/>
        <n v="32.7949180893051"/>
        <n v="32.827300384735"/>
        <n v="32.9685466784684"/>
        <n v="33.0017811005233"/>
        <n v="33.0402825850021"/>
        <n v="33.0509190837392"/>
        <n v="33.1699893137085"/>
        <n v="33.2176174056963"/>
        <n v="33.2205941614455"/>
        <n v="33.2920362994271"/>
        <n v="33.5033859576227"/>
        <n v="33.5272000036166"/>
        <n v="33.5459947616724"/>
        <n v="33.6646891261542"/>
        <n v="33.7074190973677"/>
        <n v="33.7861777537999"/>
        <n v="33.8218988227907"/>
        <n v="33.8949561932489"/>
        <n v="33.9350155412616"/>
        <n v="34.0466624278523"/>
        <n v="34.1582722224541"/>
        <n v="34.1761327569495"/>
        <n v="34.2148305816895"/>
        <n v="34.2624586736772"/>
        <n v="34.3871668859595"/>
        <n v="34.4142732168881"/>
        <n v="34.6785368227697"/>
        <n v="34.9530660074994"/>
        <n v="34.985810320741"/>
        <n v="35.1078573064595"/>
        <n v="35.1167875737072"/>
        <n v="35.2299042921781"/>
        <n v="35.2864626514135"/>
        <n v="35.4948355538599"/>
        <n v="35.5335333785999"/>
        <n v="35.6086060804551"/>
        <n v="35.9979072754803"/>
        <n v="36.1943731549298"/>
        <n v="36.2598617814129"/>
        <n v="36.4473973936146"/>
        <n v="36.5137247936067"/>
        <n v="36.515862775847"/>
        <n v="36.7033983880487"/>
        <n v="36.7323449761867"/>
        <n v="36.7718637702811"/>
        <n v="36.783770793278"/>
        <n v="36.7927010605257"/>
        <n v="36.8190660462362"/>
        <n v="36.8254453737672"/>
        <n v="37.001073962972"/>
        <n v="37.1082371699444"/>
        <n v="37.2332609114122"/>
        <n v="37.383779213251"/>
        <n v="37.4630571575278"/>
        <n v="37.484273775179"/>
        <n v="37.4922386615956"/>
        <n v="37.5964251128187"/>
        <n v="37.7127604268065"/>
        <n v="38.0637757654484"/>
        <n v="38.1203341246838"/>
        <n v="38.1240363997359"/>
        <n v="38.138576459385"/>
        <n v="38.3168000041332"/>
        <n v="38.7960576797598"/>
        <n v="38.9151279097292"/>
        <n v="38.9627560017169"/>
        <n v="39.0014538264569"/>
        <n v="39.0758727201878"/>
        <n v="39.0836803365714"/>
        <n v="39.0861284078388"/>
        <n v="39.1949429501571"/>
        <n v="39.1979197059063"/>
        <n v="39.2290809330616"/>
        <n v="39.2753153553864"/>
        <n v="39.2901991341326"/>
        <n v="39.3827901350656"/>
        <n v="39.4379830145496"/>
        <n v="39.4658277233373"/>
        <n v="39.5448079425832"/>
        <n v="39.6235957780467"/>
        <n v="39.6474098240406"/>
        <n v="39.6771773815329"/>
        <n v="39.737884108807"/>
        <n v="39.742666008016"/>
        <n v="39.8141081459977"/>
        <n v="39.8647129937346"/>
        <n v="40.2487144853857"/>
        <n v="40.2755052871288"/>
        <n v="40.2963425773735"/>
        <n v="40.3261101348658"/>
        <n v="40.3886220055997"/>
        <n v="40.4379830353089"/>
        <n v="40.7071348707677"/>
        <n v="40.8326417972109"/>
        <n v="40.838112123734"/>
        <n v="40.8559726582294"/>
        <n v="40.8887169714709"/>
        <n v="41.2816487303698"/>
        <n v="41.3946596130323"/>
        <n v="41.6299291530301"/>
        <n v="41.6318257900625"/>
        <n v="42.0598673419751"/>
        <n v="42.1121670463249"/>
        <n v="42.1687219436413"/>
        <n v="42.3294667540999"/>
        <n v="42.5109801109837"/>
        <n v="42.6271423290233"/>
        <n v="42.7402590474942"/>
        <n v="42.7643925791524"/>
        <n v="42.8265849642219"/>
        <n v="42.8712363004604"/>
        <n v="42.8861200792066"/>
        <n v="42.8884281900359"/>
        <n v="42.9603124645252"/>
        <n v="42.9664924844359"/>
        <n v="42.9678792302609"/>
        <n v="42.9840513374216"/>
        <n v="43.1689118753838"/>
        <n v="43.2970335397646"/>
        <n v="43.4665874503071"/>
        <n v="43.4933782520502"/>
        <n v="43.5142155422949"/>
        <n v="43.529099321041"/>
        <n v="43.7863510573408"/>
        <n v="44.0500315771569"/>
        <n v="44.2391700578389"/>
        <n v="44.3655676865756"/>
        <n v="44.3835320786399"/>
        <n v="44.5114287182881"/>
        <n v="44.5560800545266"/>
        <n v="44.5590568102758"/>
        <n v="44.7376621552298"/>
        <n v="44.8864999426915"/>
        <n v="44.89245345419"/>
        <n v="44.9091997453388"/>
        <n v="45.2278941139724"/>
        <n v="45.3234430773803"/>
        <n v="45.3865949085627"/>
        <n v="45.3925484200612"/>
        <n v="45.4044554430581"/>
        <n v="45.579451984772"/>
        <n v="45.6425959029968"/>
        <n v="45.7221819580614"/>
        <n v="46.0891092653818"/>
        <n v="46.1473797908249"/>
        <n v="46.3173600119599"/>
        <n v="46.3703273721099"/>
        <n v="46.4403664437913"/>
        <n v="46.5780425099531"/>
        <n v="46.5951577427515"/>
        <n v="46.743695332383"/>
        <n v="46.8541354929348"/>
        <n v="46.8809262946779"/>
        <n v="47.1339505333628"/>
        <n v="47.2559975190813"/>
        <n v="47.3097190830056"/>
        <n v="47.3929282835461"/>
        <n v="47.6592739864046"/>
        <n v="47.8408763640618"/>
        <n v="48.0278941720984"/>
        <n v="48.0865123731175"/>
        <n v="48.1222334421083"/>
        <n v="48.169861534096"/>
        <n v="48.259164206573"/>
        <n v="48.3366107957178"/>
        <n v="48.4020484825362"/>
        <n v="48.6468852828711"/>
        <n v="48.9289342501505"/>
        <n v="49.1246300999104"/>
        <n v="49.1611211985907"/>
        <n v="49.3453274338687"/>
        <n v="49.5183318884988"/>
        <n v="49.9307626586827"/>
        <n v="50.0247290305641"/>
        <n v="50.375637544278"/>
        <n v="50.5453126219843"/>
        <n v="51.0356093680675"/>
        <n v="51.3907112547666"/>
        <n v="51.4175020565097"/>
        <n v="51.4313067056588"/>
        <n v="51.5931306457145"/>
        <n v="51.6213660567853"/>
        <n v="51.7002938526869"/>
        <n v="51.7628057234208"/>
        <n v="51.8312711056532"/>
        <n v="51.8431781286501"/>
        <n v="51.8672364872109"/>
        <n v="51.9040564681928"/>
        <n v="52.0872721000872"/>
        <n v="52.4273007916168"/>
        <n v="52.5278319509738"/>
        <n v="52.6171346234508"/>
        <n v="52.9922058478542"/>
        <n v="53.1082993220743"/>
        <n v="53.167834437059"/>
        <n v="53.1767647043067"/>
        <n v="53.419140574818"/>
        <n v="53.9119694673435"/>
        <n v="54.1071969689235"/>
        <n v="54.340676202257"/>
        <n v="54.3615134925016"/>
        <n v="54.4061648287401"/>
        <n v="54.4961435645348"/>
        <n v="54.510980360095"/>
        <n v="54.5336806573022"/>
        <n v="54.7752825416451"/>
        <n v="54.9198824457349"/>
        <n v="55.4420758294734"/>
        <n v="55.4897039214611"/>
        <n v="55.5030426952296"/>
        <n v="55.513517967455"/>
        <n v="55.5432855249473"/>
        <n v="55.7258171805664"/>
        <n v="55.8712177770566"/>
        <n v="56.5672895026836"/>
        <n v="56.5732430141821"/>
        <n v="56.7353127504842"/>
        <n v="56.8680278867704"/>
        <n v="57.6151075264138"/>
        <n v="57.6876866574952"/>
        <n v="57.7282242448847"/>
        <n v="58.0620931934575"/>
        <n v="58.1436213850609"/>
        <n v="58.841530895098"/>
        <n v="59.0108320855562"/>
        <n v="59.3059047919784"/>
        <n v="59.4034136960798"/>
        <n v="59.746464642865"/>
        <n v="60.1989315167485"/>
        <n v="60.3370932406848"/>
        <n v="60.3566995714578"/>
        <n v="60.359422618003"/>
        <n v="60.4077163875515"/>
        <n v="60.8270269798367"/>
        <n v="61.0115858362892"/>
        <n v="61.1217257990108"/>
        <n v="61.2407960289802"/>
        <n v="61.5027505349127"/>
        <n v="61.8391239345761"/>
        <n v="61.9730779432916"/>
        <n v="62.0236827910286"/>
        <n v="62.0445200812732"/>
        <n v="62.1784740899887"/>
        <n v="62.2707535182149"/>
        <n v="62.5658024857643"/>
        <n v="62.8893929969328"/>
        <n v="62.9077792485509"/>
        <n v="62.9107560043001"/>
        <n v="63.0923381050034"/>
        <n v="63.1074938916682"/>
        <n v="63.5328979558899"/>
        <n v="64.0148381241538"/>
        <n v="64.3690962917454"/>
        <n v="64.3991338789169"/>
        <n v="64.9468569367758"/>
        <n v="65.0494573345536"/>
        <n v="65.3665794974178"/>
        <n v="65.4707659486409"/>
        <n v="65.6850923625857"/>
        <n v="66.6783396631257"/>
        <n v="66.6879835802398"/>
        <n v="66.9472368002607"/>
        <n v="67.0067719152454"/>
        <n v="67.2005206828679"/>
        <n v="67.6318906225844"/>
        <n v="67.8134727232877"/>
        <n v="67.9236126860093"/>
        <n v="68.0947343512827"/>
        <n v="68.4832427668652"/>
        <n v="68.6797086463146"/>
        <n v="68.9952447557334"/>
        <n v="69.3851646451334"/>
        <n v="70.066470297259"/>
        <n v="70.5342274780871"/>
        <n v="70.9182289697382"/>
        <n v="71.0224154209614"/>
        <n v="71.0611132457014"/>
        <n v="71.2486488579031"/>
        <n v="71.3706958436217"/>
        <n v="71.5165568753341"/>
        <n v="71.707069243285"/>
        <n v="71.986884283713"/>
        <n v="72.0395044628469"/>
        <n v="73.2639125001341"/>
        <n v="73.644937236036"/>
        <n v="73.835449603987"/>
        <n v="73.9485663224578"/>
        <n v="74.0081014374425"/>
        <n v="74.0296751273068"/>
        <n v="74.6234436856271"/>
        <n v="74.63917365628"/>
        <n v="76.666344321508"/>
        <n v="76.6733695442058"/>
        <n v="76.7229026807434"/>
        <n v="77.581603984425"/>
        <n v="78.5327701762774"/>
        <n v="79.1310980818733"/>
        <n v="79.2620753348396"/>
        <n v="79.9348221341664"/>
        <n v="80.0201797027039"/>
        <n v="80.3604982063067"/>
        <n v="80.4289635885391"/>
        <n v="80.8811589490639"/>
        <n v="81.7664705401426"/>
        <n v="83.119289559324"/>
        <n v="83.8968840363961"/>
        <n v="84.3761417120227"/>
        <n v="85.5043321409822"/>
        <n v="86.3638000124344"/>
        <n v="87.1430136784619"/>
        <n v="87.4911739230782"/>
        <n v="87.4928049814701"/>
        <n v="87.6724053808464"/>
        <n v="88.5793208299403"/>
        <n v="89.6415448875997"/>
        <n v="90.2314558790743"/>
        <n v="91.6156116941585"/>
        <n v="92.0427318810667"/>
        <n v="94.6100909848084"/>
        <n v="95.2565004937763"/>
        <n v="95.4050217629327"/>
        <n v="96.4766538326567"/>
        <n v="97.4059367401774"/>
        <n v="98.3827913598628"/>
        <n v="98.702623216156"/>
        <n v="99.5695030561103"/>
        <n v="99.7413225453349"/>
        <n v="100.822717226538"/>
        <n v="101.529601514209"/>
        <n v="102.637390854713"/>
        <n v="102.727840906047"/>
        <n v="103.184967522856"/>
        <n v="103.623844386566"/>
        <n v="104.147753398431"/>
        <n v="106.32971536262"/>
        <n v="107.124509147665"/>
        <n v="107.410277699591"/>
        <n v="110.25912691798"/>
        <n v="110.690432564915"/>
        <n v="110.773666988008"/>
        <n v="111.866481056194"/>
        <n v="113.8872427203"/>
        <n v="115.485462338047"/>
        <n v="116.456638421512"/>
        <n v="116.892954948868"/>
        <n v="118.838043020899"/>
        <n v="121.916323005672"/>
        <n v="123.200655376547"/>
        <n v="123.207920460773"/>
        <n v="128.471812756002"/>
        <n v="131.407480472731"/>
        <n v="132.732421153055"/>
        <n v="147.322258251182"/>
        <n v="164.436205193992"/>
        <n v="189.03369828622"/>
        <n v="196.41939082332"/>
        <n v="200.501215833872"/>
        <n v="207.217561176068"/>
        <n v="264.039174620728"/>
        <n v="266.992038183511"/>
        <n v="313.94778099804"/>
        <n v="377.0279010019"/>
        <n v="396.37874215534"/>
        <n v="469.80812053428"/>
        <n v="532.952948749177"/>
        <n v="576.363216712657"/>
      </sharedItems>
    </cacheField>
    <cacheField name="CARGA DE ROCHA" numFmtId="0">
      <sharedItems containsSemiMixedTypes="0" containsString="0" containsNumber="1" minValue="0" maxValue="6.33998328734342" count="1405">
        <n v="0"/>
        <n v="0.00193191079522532"/>
        <n v="0.00196465504599186"/>
        <n v="0.00216112055059104"/>
        <n v="0.00219386480135757"/>
        <n v="0.0023248418044237"/>
        <n v="0.00239033030595676"/>
        <n v="0.00252130730902288"/>
        <n v="0.00258679581055594"/>
        <n v="0.00314344807358697"/>
        <n v="0.00370010033661799"/>
        <n v="0.00391853859895867"/>
        <n v="0.00399479859351677"/>
        <n v="0.00411275188228898"/>
        <n v="0.00428949685041555"/>
        <n v="0.00455830000287029"/>
        <n v="0.00458419510731433"/>
        <n v="0.00578478136776718"/>
        <n v="0.00595945363950863"/>
        <n v="0.00609043064257475"/>
        <n v="0.0061315908022856"/>
        <n v="0.00627765877588276"/>
        <n v="0.00631964039794047"/>
        <n v="0.00641787315024006"/>
        <n v="0.00651610590253965"/>
        <n v="0.00685458647048164"/>
        <n v="0.00735725614498362"/>
        <n v="0.00808782993933314"/>
        <n v="0.00821462346859307"/>
        <n v="0.00828429544393232"/>
        <n v="0.00837782790836645"/>
        <n v="0.00877545920543029"/>
        <n v="0.00881956792535304"/>
        <n v="0.00886526516848958"/>
        <n v="0.00904805414103576"/>
        <n v="0.00907015746232906"/>
        <n v="0.00913944862730885"/>
        <n v="0.00936793484299157"/>
        <n v="0.00956132122382703"/>
        <n v="0.0103799274929903"/>
        <n v="0.010543648746823"/>
        <n v="0.0106746257498891"/>
        <n v="0.0108383470037217"/>
        <n v="0.0110587328390437"/>
        <n v="0.0112967665144532"/>
        <n v="0.0114243107841361"/>
        <n v="0.0114700080272726"/>
        <n v="0.0117224417744181"/>
        <n v="0.0117551860251846"/>
        <n v="0.0120227270633051"/>
        <n v="0.0120425292019976"/>
        <n v="0.0121554666743208"/>
        <n v="0.0122030679692547"/>
        <n v="0.0122754219375542"/>
        <n v="0.0123445825389822"/>
        <n v="0.0124435225105208"/>
        <n v="0.0124755595420483"/>
        <n v="0.0127038335919593"/>
        <n v="0.0127702577989471"/>
        <n v="0.0127952280782324"/>
        <n v="0.0129429280962273"/>
        <n v="0.0129845452283695"/>
        <n v="0.013261421560445"/>
        <n v="0.0135720812115536"/>
        <n v="0.0136634756978267"/>
        <n v="0.013752585321943"/>
        <n v="0.0138005674272364"/>
        <n v="0.0142531877402078"/>
        <n v="0.0142764933342075"/>
        <n v="0.0143995277212046"/>
        <n v="0.0145384473403397"/>
        <n v="0.0147879542878653"/>
        <n v="0.0150692099390747"/>
        <n v="0.0151070189676222"/>
        <n v="0.0151257874781961"/>
        <n v="0.0154552863618026"/>
        <n v="0.0158569433683809"/>
        <n v="0.0159791943740671"/>
        <n v="0.0166668236401642"/>
        <n v="0.0167012543368084"/>
        <n v="0.016708054521799"/>
        <n v="0.0167650563924638"/>
        <n v="0.0169520451592602"/>
        <n v="0.0171579874016622"/>
        <n v="0.0171907316524287"/>
        <n v="0.0172278606624772"/>
        <n v="0.0173127269711593"/>
        <n v="0.0174106496350234"/>
        <n v="0.017518174160094"/>
        <n v="0.0177933640462919"/>
        <n v="0.0178219248232523"/>
        <n v="0.0179133193095253"/>
        <n v="0.0180332745727588"/>
        <n v="0.0181450696140035"/>
        <n v="0.0182058034261912"/>
        <n v="0.018565990184623"/>
        <n v="0.0186969671876892"/>
        <n v="0.0188339555542869"/>
        <n v="0.0189261769430549"/>
        <n v="0.0189589211938214"/>
        <n v="0.0194500849553194"/>
        <n v="0.0196465504599186"/>
        <n v="0.0196933357326536"/>
        <n v="0.0197412090349871"/>
        <n v="0.0198976132897699"/>
        <n v="0.0199239980075333"/>
        <n v="0.02010496997065"/>
        <n v="0.020152484223216"/>
        <n v="0.0203669239767822"/>
        <n v="0.0204266676820353"/>
        <n v="0.0207269638512183"/>
        <n v="0.0209293373565373"/>
        <n v="0.0214777042741758"/>
        <n v="0.0218149934497074"/>
        <n v="0.0220368807658753"/>
        <n v="0.0222502052891031"/>
        <n v="0.0222988347720076"/>
        <n v="0.0223002546506336"/>
        <n v="0.0229864640381047"/>
        <n v="0.0232141995133645"/>
        <n v="0.0233969884859106"/>
        <n v="0.0235797774584568"/>
        <n v="0.0236254747015934"/>
        <n v="0.0244623054665313"/>
        <n v="0.0250493518363962"/>
        <n v="0.0250877864819628"/>
        <n v="0.025178364946037"/>
        <n v="0.0254881813742068"/>
        <n v="0.0255904561564648"/>
        <n v="0.0256618580988656"/>
        <n v="0.0258026219281702"/>
        <n v="0.025900702356326"/>
        <n v="0.0260971678609251"/>
        <n v="0.0263263776162909"/>
        <n v="0.02652284312089"/>
        <n v="0.0266300684378212"/>
        <n v="0.0266567251629841"/>
        <n v="0.0267505677158538"/>
        <n v="0.0270794953839211"/>
        <n v="0.0273741936408199"/>
        <n v="0.0274396821423529"/>
        <n v="0.0276011348544727"/>
        <n v="0.0278296210701554"/>
        <n v="0.0279308459038509"/>
        <n v="0.0282017271928387"/>
        <n v="0.0282343680807934"/>
        <n v="0.0290503902796603"/>
        <n v="0.029109638931446"/>
        <n v="0.0293354540344644"/>
        <n v="0.0295680584421774"/>
        <n v="0.0296961358463636"/>
        <n v="0.029977391497573"/>
        <n v="0.0303016243179228"/>
        <n v="0.030982730846577"/>
        <n v="0.0312112170622597"/>
        <n v="0.0313882938794138"/>
        <n v="0.0318681149323475"/>
        <n v="0.0324168082588656"/>
        <n v="0.0331761985171311"/>
        <n v="0.0335434085066212"/>
        <n v="0.0346761615617562"/>
        <n v="0.0347756020269102"/>
        <n v="0.0348713486315772"/>
        <n v="0.0350036040694216"/>
        <n v="0.0351468921273946"/>
        <n v="0.0357894660878183"/>
        <n v="0.0360514200939505"/>
        <n v="0.036186504408751"/>
        <n v="0.0365425838554485"/>
        <n v="0.0366735608585146"/>
        <n v="0.0368776752111912"/>
        <n v="0.0375631338582394"/>
        <n v="0.0379287118033317"/>
        <n v="0.0379833308891759"/>
        <n v="0.0384417503999073"/>
        <n v="0.0394240779229032"/>
        <n v="0.0394895664244363"/>
        <n v="0.0403963629327051"/>
        <n v="0.0405046381981987"/>
        <n v="0.0405165902033382"/>
        <n v="0.0408320807058641"/>
        <n v="0.0408648249566306"/>
        <n v="0.0413560050385725"/>
        <n v="0.0416834312257939"/>
        <n v="0.0418471524796265"/>
        <n v="0.0421745949872918"/>
        <n v="0.0430914340087547"/>
        <n v="0.0434776627556264"/>
        <n v="0.0438118075256184"/>
        <n v="0.0438301843455369"/>
        <n v="0.0446833355544522"/>
        <n v="0.0454162758131784"/>
        <n v="0.0466933015930731"/>
        <n v="0.0468396742149578"/>
        <n v="0.047118976853038"/>
        <n v="0.0473423438894598"/>
        <n v="0.0474337383757329"/>
        <n v="0.0474464193607033"/>
        <n v="0.0475446521130029"/>
        <n v="0.0475773963637694"/>
        <n v="0.0477083733668356"/>
        <n v="0.0479375831222013"/>
        <n v="0.048166792877567"/>
        <n v="0.0484619263463052"/>
        <n v="0.0485269796359988"/>
        <n v="0.0486218666972831"/>
        <n v="0.049627206046287"/>
        <n v="0.0498367496666601"/>
        <n v="0.0499349824189597"/>
        <n v="0.0499677266697262"/>
        <n v="0.0503606576789246"/>
        <n v="0.0510810311957882"/>
        <n v="0.0513549970486878"/>
        <n v="0.0513637012854757"/>
        <n v="0.0514093985286123"/>
        <n v="0.0515721949572862"/>
        <n v="0.0531001965246644"/>
        <n v="0.0535612490670242"/>
        <n v="0.0537856551717126"/>
        <n v="0.0544536890247409"/>
        <n v="0.0546828987801066"/>
        <n v="0.0548793642847058"/>
        <n v="0.0557962033061687"/>
        <n v="0.0563201113184332"/>
        <n v="0.056614809575332"/>
        <n v="0.0570301594344072"/>
        <n v="0.0572586456500899"/>
        <n v="0.0573679273429622"/>
        <n v="0.0578590911044601"/>
        <n v="0.0587666546735959"/>
        <n v="0.0589712042381118"/>
        <n v="0.0594963036427867"/>
        <n v="0.0600488975554154"/>
        <n v="0.0603660581833749"/>
        <n v="0.0606611318104852"/>
        <n v="0.0608388179242144"/>
        <n v="0.060871562174981"/>
        <n v="0.0613627259364789"/>
        <n v="0.0616901684441443"/>
        <n v="0.0617229126949108"/>
        <n v="0.0620720885938059"/>
        <n v="0.0621158437041092"/>
        <n v="0.0631764386362724"/>
        <n v="0.063589334988603"/>
        <n v="0.063896170215673"/>
        <n v="0.0644734297592994"/>
        <n v="0.0649318492700308"/>
        <n v="0.0652592917776961"/>
        <n v="0.0659796652945598"/>
        <n v="0.066078213575443"/>
        <n v="0.0666151561822974"/>
        <n v="0.066667294560657"/>
        <n v="0.0684027398512831"/>
        <n v="0.068793119431073"/>
        <n v="0.0689921363650807"/>
        <n v="0.0690248806158472"/>
        <n v="0.0694598095675472"/>
        <n v="0.0695487886281117"/>
        <n v="0.0701709293926758"/>
        <n v="0.0705638604018741"/>
        <n v="0.0707603259064733"/>
        <n v="0.070924047160306"/>
        <n v="0.0709821805817533"/>
        <n v="0.0718081419310023"/>
        <n v="0.0721028401879011"/>
        <n v="0.0721683286894342"/>
        <n v="0.0722665614417338"/>
        <n v="0.0728528298704357"/>
        <n v="0.0731179119616636"/>
        <n v="0.0744604262430913"/>
        <n v="0.0752135440107215"/>
        <n v="0.0754754980168538"/>
        <n v="0.0757317561880379"/>
        <n v="0.0759011732768187"/>
        <n v="0.0760761175559598"/>
        <n v="0.0762686987948923"/>
        <n v="0.0764250812890832"/>
        <n v="0.0764905697906162"/>
        <n v="0.0765233140413828"/>
        <n v="0.0772413972559416"/>
        <n v="0.0778985725735771"/>
        <n v="0.0779137995478079"/>
        <n v="0.078115357030928"/>
        <n v="0.0781277823289428"/>
        <n v="0.0797649948672693"/>
        <n v="0.0801906701272342"/>
        <n v="0.0802900561909082"/>
        <n v="0.0810092763963975"/>
        <n v="0.0814934169268372"/>
        <n v="0.0816022198866861"/>
        <n v="0.0821636431595065"/>
        <n v="0.0823517906778253"/>
        <n v="0.0823603045094334"/>
        <n v="0.0826137446839575"/>
        <n v="0.0827447216870236"/>
        <n v="0.0829084429408563"/>
        <n v="0.0845456554791828"/>
        <n v="0.0854952387514122"/>
        <n v="0.085724448506778"/>
        <n v="0.0859536582621437"/>
        <n v="0.0868076254932579"/>
        <n v="0.0869032415343731"/>
        <n v="0.0875908708004702"/>
        <n v="0.0881802673142678"/>
        <n v="0.08833277098294"/>
        <n v="0.0890316178341976"/>
        <n v="0.0896537585987617"/>
        <n v="0.0898174798525943"/>
        <n v="0.0900139453571935"/>
        <n v="0.0906360861217576"/>
        <n v="0.0906872670340706"/>
        <n v="0.0909307843786564"/>
        <n v="0.0909635286294229"/>
        <n v="0.0925679969169829"/>
        <n v="0.0930591606784809"/>
        <n v="0.0936793484299157"/>
        <n v="0.093681301443045"/>
        <n v="0.0939759996999437"/>
        <n v="0.094794605969107"/>
        <n v="0.0958096777428695"/>
        <n v="0.0959733989967021"/>
        <n v="0.0963754857749718"/>
        <n v="0.0966282840120328"/>
        <n v="0.0970539592719977"/>
        <n v="0.0978377975553412"/>
        <n v="0.0978418776663356"/>
        <n v="0.0981345195472932"/>
        <n v="0.0985929390580246"/>
        <n v="0.0989630921675786"/>
        <n v="0.0996734993333201"/>
        <n v="0.0999627193611905"/>
        <n v="0.100819548110149"/>
        <n v="0.101447879763128"/>
        <n v="0.101462568162708"/>
        <n v="0.101998341137744"/>
        <n v="0.103078901413039"/>
        <n v="0.103995740434502"/>
        <n v="0.1045851369483"/>
        <n v="0.104667087337658"/>
        <n v="0.105632952972829"/>
        <n v="0.10612042287384"/>
        <n v="0.106156860985093"/>
        <n v="0.106418814991225"/>
        <n v="0.106451559241992"/>
        <n v="0.106680768997358"/>
        <n v="0.106811746000424"/>
        <n v="0.107171932758856"/>
        <n v="0.107302909761922"/>
        <n v="0.107433886764988"/>
        <n v="0.108371012098315"/>
        <n v="0.108828800551879"/>
        <n v="0.108874633798715"/>
        <n v="0.10935350282575"/>
        <n v="0.109758728569412"/>
        <n v="0.109824217070945"/>
        <n v="0.110184403829377"/>
        <n v="0.111264964104672"/>
        <n v="0.111919849120003"/>
        <n v="0.112129610346295"/>
        <n v="0.112574734135333"/>
        <n v="0.112598007088445"/>
        <n v="0.11336059615373"/>
        <n v="0.113511951951176"/>
        <n v="0.113786271413695"/>
        <n v="0.113917248416761"/>
        <n v="0.114237395685969"/>
        <n v="0.114277435175193"/>
        <n v="0.114928566488409"/>
        <n v="0.115196221769637"/>
        <n v="0.115750926459687"/>
        <n v="0.116500225243426"/>
        <n v="0.116939245186417"/>
        <n v="0.117487612104055"/>
        <n v="0.117526781169601"/>
        <n v="0.11769324969817"/>
        <n v="0.118043024013344"/>
        <n v="0.118310162480513"/>
        <n v="0.118370466521009"/>
        <n v="0.118599676276375"/>
        <n v="0.118861630282507"/>
        <n v="0.119863868747155"/>
        <n v="0.119909446307036"/>
        <n v="0.119974934808569"/>
        <n v="0.120183749449111"/>
        <n v="0.120553679512598"/>
        <n v="0.120891773830032"/>
        <n v="0.12094061003856"/>
        <n v="0.120957262331565"/>
        <n v="0.121034860602529"/>
        <n v="0.121186472086931"/>
        <n v="0.121251960588464"/>
        <n v="0.121854962912391"/>
        <n v="0.122154443059375"/>
        <n v="0.122377217119665"/>
        <n v="0.122463497866826"/>
        <n v="0.122856428876024"/>
        <n v="0.12324546473926"/>
        <n v="0.123413081139055"/>
        <n v="0.123565345441216"/>
        <n v="0.12374052364672"/>
        <n v="0.124002477652853"/>
        <n v="0.124166198906685"/>
        <n v="0.124198943157452"/>
        <n v="0.124688191986856"/>
        <n v="0.125210446194131"/>
        <n v="0.12554145743888"/>
        <n v="0.125705178692712"/>
        <n v="0.125725356201616"/>
        <n v="0.125967132698844"/>
        <n v="0.125999876949611"/>
        <n v="0.126032621200378"/>
        <n v="0.126032996570589"/>
        <n v="0.12704769297414"/>
        <n v="0.127912295694579"/>
        <n v="0.128030020497136"/>
        <n v="0.128180766998007"/>
        <n v="0.128488440007867"/>
        <n v="0.1286521612617"/>
        <n v="0.129143325023198"/>
        <n v="0.129470767530863"/>
        <n v="0.129798210038529"/>
        <n v="0.129961931292361"/>
        <n v="0.130751236924437"/>
        <n v="0.131059693315609"/>
        <n v="0.132090307592186"/>
        <n v="0.132286773096785"/>
        <n v="0.13239144154416"/>
        <n v="0.132933280284207"/>
        <n v="0.133039890864415"/>
        <n v="0.13336733337208"/>
        <n v="0.133555633214543"/>
        <n v="0.1340903997622"/>
        <n v="0.13434989482144"/>
        <n v="0.134589261333108"/>
        <n v="0.134629790435651"/>
        <n v="0.135201011415006"/>
        <n v="0.135583720386127"/>
        <n v="0.135757663678037"/>
        <n v="0.136088022105027"/>
        <n v="0.136150594687236"/>
        <n v="0.136314315941068"/>
        <n v="0.1367727354518"/>
        <n v="0.137198410711765"/>
        <n v="0.137362131965597"/>
        <n v="0.137558597470196"/>
        <n v="0.137656830222496"/>
        <n v="0.137660224874843"/>
        <n v="0.137820551476329"/>
        <n v="0.138085644447853"/>
        <n v="0.138179759008122"/>
        <n v="0.138573669243959"/>
        <n v="0.138835623250091"/>
        <n v="0.138933856002391"/>
        <n v="0.138959604222839"/>
        <n v="0.139064833005457"/>
        <n v="0.13937659156646"/>
        <n v="0.139490508265422"/>
        <n v="0.140047160528453"/>
        <n v="0.1400677623689"/>
        <n v="0.14073478979455"/>
        <n v="0.141331780754945"/>
        <n v="0.141684373066779"/>
        <n v="0.141979071323678"/>
        <n v="0.142330591926358"/>
        <n v="0.142470235085176"/>
        <n v="0.142996466040633"/>
        <n v="0.143026887348207"/>
        <n v="0.143125120100507"/>
        <n v="0.143666420265903"/>
        <n v="0.143747260865071"/>
        <n v="0.14384549361737"/>
        <n v="0.144066271143348"/>
        <n v="0.144402145880401"/>
        <n v="0.144533122883468"/>
        <n v="0.144598611385001"/>
        <n v="0.1446968441373"/>
        <n v="0.145188007898798"/>
        <n v="0.145286240651098"/>
        <n v="0.145318984901864"/>
        <n v="0.14554819465723"/>
        <n v="0.145777404412596"/>
        <n v="0.146104846920261"/>
        <n v="0.146203079672561"/>
        <n v="0.146334056675627"/>
        <n v="0.146628754932525"/>
        <n v="0.146857964687891"/>
        <n v="0.147021685941724"/>
        <n v="0.14715266294479"/>
        <n v="0.147349128449389"/>
        <n v="0.147447361201689"/>
        <n v="0.147465003601628"/>
        <n v="0.147578338204755"/>
        <n v="0.148032139029841"/>
        <n v="0.148059067762403"/>
        <n v="0.148200478969319"/>
        <n v="0.148462432975451"/>
        <n v="0.148691642730817"/>
        <n v="0.148835920895725"/>
        <n v="0.148986340987716"/>
        <n v="0.149346527746148"/>
        <n v="0.14947282622194"/>
        <n v="0.149641226003046"/>
        <n v="0.150529166958373"/>
        <n v="0.150689042027575"/>
        <n v="0.150787274779875"/>
        <n v="0.150852763281408"/>
        <n v="0.151783393078032"/>
        <n v="0.152277086508346"/>
        <n v="0.152391743067435"/>
        <n v="0.152776492094053"/>
        <n v="0.152783020271644"/>
        <n v="0.1528174183274"/>
        <n v="0.152882906828933"/>
        <n v="0.152915651079699"/>
        <n v="0.153112116584299"/>
        <n v="0.153308582088898"/>
        <n v="0.153439559091964"/>
        <n v="0.15347230334273"/>
        <n v="0.15357053609503"/>
        <n v="0.154094444107295"/>
        <n v="0.154127188358061"/>
        <n v="0.154286949184155"/>
        <n v="0.15432365386266"/>
        <n v="0.154342438693678"/>
        <n v="0.154618352119559"/>
        <n v="0.154702304483378"/>
        <n v="0.154880306125691"/>
        <n v="0.155011283128757"/>
        <n v="0.155109515881057"/>
        <n v="0.155731656645621"/>
        <n v="0.15602635490252"/>
        <n v="0.156255564657886"/>
        <n v="0.156353797410185"/>
        <n v="0.156839466622211"/>
        <n v="0.156938205308274"/>
        <n v="0.156975938174749"/>
        <n v="0.157139659428582"/>
        <n v="0.157205147930115"/>
        <n v="0.157336124933181"/>
        <n v="0.157663567440846"/>
        <n v="0.157729055942379"/>
        <n v="0.157827288694679"/>
        <n v="0.158228336404682"/>
        <n v="0.15848217371001"/>
        <n v="0.158613150713076"/>
        <n v="0.158711383465375"/>
        <n v="0.158809616217675"/>
        <n v="0.158907848969975"/>
        <n v="0.159071570223807"/>
        <n v="0.159169802976107"/>
        <n v="0.159300589573993"/>
        <n v="0.159431756982239"/>
        <n v="0.159626182431341"/>
        <n v="0.159726455239138"/>
        <n v="0.15998840924527"/>
        <n v="0.160021153496037"/>
        <n v="0.160053897746803"/>
        <n v="0.160250363251402"/>
        <n v="0.160446828756002"/>
        <n v="0.160512317257535"/>
        <n v="0.160545061508301"/>
        <n v="0.161379814136706"/>
        <n v="0.161625621783597"/>
        <n v="0.16169111028513"/>
        <n v="0.162182274046628"/>
        <n v="0.162306815354619"/>
        <n v="0.162476972303526"/>
        <n v="0.162619351856785"/>
        <n v="0.162771670560425"/>
        <n v="0.162968136065024"/>
        <n v="0.16319734582039"/>
        <n v="0.163459299826522"/>
        <n v="0.164212417594153"/>
        <n v="0.164932791111016"/>
        <n v="0.165218382560176"/>
        <n v="0.165358466370981"/>
        <n v="0.165423954872514"/>
        <n v="0.165489443374047"/>
        <n v="0.165578248349876"/>
        <n v="0.165587676126347"/>
        <n v="0.165818158876343"/>
        <n v="0.165849630132479"/>
        <n v="0.165947862884779"/>
        <n v="0.166010740115275"/>
        <n v="0.166337965017021"/>
        <n v="0.166395086570942"/>
        <n v="0.166617860631232"/>
        <n v="0.166930190407775"/>
        <n v="0.167093911661607"/>
        <n v="0.167454098420039"/>
        <n v="0.168043494933837"/>
        <n v="0.16810898343537"/>
        <n v="0.168731124199934"/>
        <n v="0.169243004044987"/>
        <n v="0.169320520713731"/>
        <n v="0.169418753466031"/>
        <n v="0.169445377550306"/>
        <n v="0.169464962083079"/>
        <n v="0.169811684475229"/>
        <n v="0.169942661478295"/>
        <n v="0.170826756248992"/>
        <n v="0.170861992087539"/>
        <n v="0.171547129765856"/>
        <n v="0.171579874016622"/>
        <n v="0.172095817652226"/>
        <n v="0.17216927053042"/>
        <n v="0.172324303867908"/>
        <n v="0.172496713038085"/>
        <n v="0.172529457288851"/>
        <n v="0.172711098390171"/>
        <n v="0.173855161512983"/>
        <n v="0.174734833443361"/>
        <n v="0.174756066340976"/>
        <n v="0.174821554842509"/>
        <n v="0.174883349483555"/>
        <n v="0.174934758882083"/>
        <n v="0.175203230185511"/>
        <n v="0.175705899860013"/>
        <n v="0.175803882365505"/>
        <n v="0.176117175048241"/>
        <n v="0.176262301876236"/>
        <n v="0.176294251865396"/>
        <n v="0.176360534628536"/>
        <n v="0.176415023150828"/>
        <n v="0.176458767380835"/>
        <n v="0.176491511631602"/>
        <n v="0.176687977136201"/>
        <n v="0.1767862098885"/>
        <n v="0.17696801419426"/>
        <n v="0.177122514397245"/>
        <n v="0.17720574866153"/>
        <n v="0.177211885148465"/>
        <n v="0.177625184071747"/>
        <n v="0.177997747166862"/>
        <n v="0.178079708436516"/>
        <n v="0.178828816815076"/>
        <n v="0.17937310362172"/>
        <n v="0.179864169460554"/>
        <n v="0.180060634965154"/>
        <n v="0.180126123466687"/>
        <n v="0.18050411038935"/>
        <n v="0.180617287228185"/>
        <n v="0.180909673422187"/>
        <n v="0.181292387833455"/>
        <n v="0.181492313272178"/>
        <n v="0.181509449738354"/>
        <n v="0.181665103252714"/>
        <n v="0.1816922387109"/>
        <n v="0.1820521045006"/>
        <n v="0.18220347661849"/>
        <n v="0.183171338787974"/>
        <n v="0.18321167204519"/>
        <n v="0.183531552747146"/>
        <n v="0.18357153783489"/>
        <n v="0.183931403624591"/>
        <n v="0.184296981569683"/>
        <n v="0.184448364567869"/>
        <n v="0.184611150116247"/>
        <n v="0.184696832447128"/>
        <n v="0.184799651244185"/>
        <n v="0.18511300376855"/>
        <n v="0.185576504377506"/>
        <n v="0.185692646096997"/>
        <n v="0.185790878849296"/>
        <n v="0.185810702748581"/>
        <n v="0.185835455421947"/>
        <n v="0.18585636735083"/>
        <n v="0.186216265781418"/>
        <n v="0.186353357510827"/>
        <n v="0.1864447519971"/>
        <n v="0.186543996616927"/>
        <n v="0.186707717870759"/>
        <n v="0.187032287980285"/>
        <n v="0.18719386037566"/>
        <n v="0.18776997204806"/>
        <n v="0.187849942223549"/>
        <n v="0.188249793100994"/>
        <n v="0.188705117167518"/>
        <n v="0.188718733857943"/>
        <n v="0.188737861418284"/>
        <n v="0.188770605669051"/>
        <n v="0.189369375557839"/>
        <n v="0.189458234935148"/>
        <n v="0.189687444690514"/>
        <n v="0.18972924134754"/>
        <n v="0.189769226435284"/>
        <n v="0.189872045232341"/>
        <n v="0.190702516464276"/>
        <n v="0.190866237718109"/>
        <n v="0.191189105061312"/>
        <n v="0.191226424476541"/>
        <n v="0.19124867468183"/>
        <n v="0.191488378482673"/>
        <n v="0.191605276382735"/>
        <n v="0.192306984751836"/>
        <n v="0.192312767629152"/>
        <n v="0.192372473253369"/>
        <n v="0.192601683008735"/>
        <n v="0.192765404262568"/>
        <n v="0.19302025887557"/>
        <n v="0.193767735209732"/>
        <n v="0.193911453039396"/>
        <n v="0.194087615911688"/>
        <n v="0.194104480370464"/>
        <n v="0.194327526438154"/>
        <n v="0.194664570807026"/>
        <n v="0.195167213280788"/>
        <n v="0.195974340837688"/>
        <n v="0.196041173055775"/>
        <n v="0.196206825562145"/>
        <n v="0.196286795737634"/>
        <n v="0.196596481602252"/>
        <n v="0.196807417900511"/>
        <n v="0.19689117985915"/>
        <n v="0.196909420675369"/>
        <n v="0.197120389614516"/>
        <n v="0.197185878116049"/>
        <n v="0.197251366617582"/>
        <n v="0.197284110868349"/>
        <n v="0.197546064874481"/>
        <n v="0.197764611939782"/>
        <n v="0.197775274629847"/>
        <n v="0.197889463336208"/>
        <n v="0.198086124686135"/>
        <n v="0.198920099373377"/>
        <n v="0.199365647493958"/>
        <n v="0.199969139431204"/>
        <n v="0.200132860685037"/>
        <n v="0.200153924938064"/>
        <n v="0.2009514669542"/>
        <n v="0.201244946617949"/>
        <n v="0.201344397963399"/>
        <n v="0.201868305975663"/>
        <n v="0.202621423743293"/>
        <n v="0.20265416799406"/>
        <n v="0.202966753457558"/>
        <n v="0.203189527517848"/>
        <n v="0.203299690514695"/>
        <n v="0.203440030012457"/>
        <n v="0.203931193773955"/>
        <n v="0.205089227196811"/>
        <n v="0.205371940807682"/>
        <n v="0.20576487181688"/>
        <n v="0.205909601514071"/>
        <n v="0.206059570073779"/>
        <n v="0.206125058575312"/>
        <n v="0.207086849539637"/>
        <n v="0.207107386098308"/>
        <n v="0.20756580560904"/>
        <n v="0.207664038361339"/>
        <n v="0.207669489389627"/>
        <n v="0.207860503865938"/>
        <n v="0.207958736618238"/>
        <n v="0.208155202122837"/>
        <n v="0.208562217675188"/>
        <n v="0.208842831388934"/>
        <n v="0.208875575639701"/>
        <n v="0.20892779562028"/>
        <n v="0.209137529645833"/>
        <n v="0.209563204905798"/>
        <n v="0.211121263290834"/>
        <n v="0.211872819735991"/>
        <n v="0.21276636404375"/>
        <n v="0.212935862734751"/>
        <n v="0.21313232823935"/>
        <n v="0.213525259248548"/>
        <n v="0.213771703392754"/>
        <n v="0.21388544600698"/>
        <n v="0.21398367875928"/>
        <n v="0.21409158409471"/>
        <n v="0.214409354019245"/>
        <n v="0.21563957820596"/>
        <n v="0.216079310808338"/>
        <n v="0.216603218820602"/>
        <n v="0.217061904898585"/>
        <n v="0.217454569340532"/>
        <n v="0.217552802092831"/>
        <n v="0.217660321177754"/>
        <n v="0.218361420250281"/>
        <n v="0.218864497935882"/>
        <n v="0.218965956695941"/>
        <n v="0.219438161541685"/>
        <n v="0.219530372050157"/>
        <n v="0.220467040411053"/>
        <n v="0.220717684349509"/>
        <n v="0.220809078835782"/>
        <n v="0.220900473322055"/>
        <n v="0.221089181175617"/>
        <n v="0.221723023698513"/>
        <n v="0.221777697185837"/>
        <n v="0.221875043194014"/>
        <n v="0.222408482345561"/>
        <n v="0.222774060290653"/>
        <n v="0.222793644823426"/>
        <n v="0.222956849263199"/>
        <n v="0.223283045976974"/>
        <n v="0.223550913423974"/>
        <n v="0.223741465487706"/>
        <n v="0.223839698240005"/>
        <n v="0.224025294328916"/>
        <n v="0.224723793010702"/>
        <n v="0.224921830718071"/>
        <n v="0.225287408663163"/>
        <n v="0.225881472823938"/>
        <n v="0.226262772796729"/>
        <n v="0.22663656536529"/>
        <n v="0.227343784604308"/>
        <n v="0.228303426710175"/>
        <n v="0.22832566059502"/>
        <n v="0.22939444839006"/>
        <n v="0.230224827139479"/>
        <n v="0.230585013897911"/>
        <n v="0.230912456405576"/>
        <n v="0.230945200656343"/>
        <n v="0.231076177659409"/>
        <n v="0.231299452213315"/>
        <n v="0.231319444757187"/>
        <n v="0.231403620167074"/>
        <n v="0.231469108668607"/>
        <n v="0.232294319277433"/>
        <n v="0.233010242753239"/>
        <n v="0.2331390654577"/>
        <n v="0.233401019463832"/>
        <n v="0.233826694723797"/>
        <n v="0.233957671726864"/>
        <n v="0.234655343506155"/>
        <n v="0.234796787353958"/>
        <n v="0.235428116528482"/>
        <n v="0.235562140014424"/>
        <n v="0.235856838271322"/>
        <n v="0.235987815274388"/>
        <n v="0.236315257782054"/>
        <n v="0.236374430271768"/>
        <n v="0.237384121739165"/>
        <n v="0.237854237568081"/>
        <n v="0.238934797843376"/>
        <n v="0.239327728852575"/>
        <n v="0.240617745705875"/>
        <n v="0.240768475886302"/>
        <n v="0.240866708638601"/>
        <n v="0.241070094011447"/>
        <n v="0.241128662644734"/>
        <n v="0.241281443760954"/>
        <n v="0.241325128149333"/>
        <n v="0.241760176784289"/>
        <n v="0.242378177596231"/>
        <n v="0.244206067321692"/>
        <n v="0.244542268467626"/>
        <n v="0.244697785978286"/>
        <n v="0.244750354128337"/>
        <n v="0.244800131482467"/>
        <n v="0.245057972736717"/>
        <n v="0.245568280379001"/>
        <n v="0.245628394014317"/>
        <n v="0.245668379102062"/>
        <n v="0.245712857752048"/>
        <n v="0.245811090504348"/>
        <n v="0.246334998516612"/>
        <n v="0.246438704057792"/>
        <n v="0.248823561574868"/>
        <n v="0.248856305825635"/>
        <n v="0.249020027079468"/>
        <n v="0.249052771330234"/>
        <n v="0.249506947525532"/>
        <n v="0.249811595813109"/>
        <n v="0.249838633348631"/>
        <n v="0.25019240617258"/>
        <n v="0.250657239617794"/>
        <n v="0.252205260929785"/>
        <n v="0.252241437913934"/>
        <n v="0.252752871666852"/>
        <n v="0.253985277352913"/>
        <n v="0.254105232616146"/>
        <n v="0.254128130199047"/>
        <n v="0.254488763049614"/>
        <n v="0.254684782462078"/>
        <n v="0.255962009527448"/>
        <n v="0.256714926009603"/>
        <n v="0.256747670260369"/>
        <n v="0.256878647263435"/>
        <n v="0.257369811024933"/>
        <n v="0.257823845776383"/>
        <n v="0.258319394297162"/>
        <n v="0.258608859131693"/>
        <n v="0.258679581055594"/>
        <n v="0.25890879081096"/>
        <n v="0.259057671341069"/>
        <n v="0.259170744817092"/>
        <n v="0.259989351086256"/>
        <n v="0.260200102419483"/>
        <n v="0.260284049343154"/>
        <n v="0.261135399863084"/>
        <n v="0.261168144113851"/>
        <n v="0.262445169893745"/>
        <n v="0.262805356652177"/>
        <n v="0.263001822156776"/>
        <n v="0.264999221453535"/>
        <n v="0.265097454205834"/>
        <n v="0.266140744027234"/>
        <n v="0.267455040261025"/>
        <n v="0.267785844780149"/>
        <n v="0.269223229802417"/>
        <n v="0.269559333025687"/>
        <n v="0.269681649313149"/>
        <n v="0.270074580322347"/>
        <n v="0.271789793702589"/>
        <n v="0.272061801102212"/>
        <n v="0.272170212371405"/>
        <n v="0.272618328241839"/>
        <n v="0.273086724983988"/>
        <n v="0.273178119470261"/>
        <n v="0.273954972603583"/>
        <n v="0.274097776488384"/>
        <n v="0.274593286928128"/>
        <n v="0.274594734007494"/>
        <n v="0.275739335704957"/>
        <n v="0.275755117574283"/>
        <n v="0.275870312708023"/>
        <n v="0.276194137517273"/>
        <n v="0.277147338487918"/>
        <n v="0.277867712004781"/>
        <n v="0.279079249283143"/>
        <n v="0.279373947540042"/>
        <n v="0.279537668793875"/>
        <n v="0.279603157295408"/>
        <n v="0.280323530812271"/>
        <n v="0.282288185858263"/>
        <n v="0.282386418610563"/>
        <n v="0.283139536378193"/>
        <n v="0.284220096653488"/>
        <n v="0.286413961454846"/>
        <n v="0.287821964237807"/>
        <n v="0.289459176776133"/>
        <n v="0.289738473974066"/>
        <n v="0.290441504299129"/>
        <n v="0.290965412311394"/>
        <n v="0.29327837827275"/>
        <n v="0.293519463871183"/>
        <n v="0.294370814391113"/>
        <n v="0.294632768397245"/>
        <n v="0.295516863167942"/>
        <n v="0.298496589987696"/>
        <n v="0.299315196256859"/>
        <n v="0.299413429009159"/>
        <n v="0.299478917510692"/>
        <n v="0.299609894513758"/>
        <n v="0.300068314024489"/>
        <n v="0.30055892833104"/>
        <n v="0.301869247816649"/>
        <n v="0.301875988160011"/>
        <n v="0.30205714508816"/>
        <n v="0.303211762098076"/>
        <n v="0.303264041920284"/>
        <n v="0.304554276379504"/>
        <n v="0.304750741884103"/>
        <n v="0.305012695890236"/>
        <n v="0.3054383711502"/>
        <n v="0.305471115400967"/>
        <n v="0.305798557908632"/>
        <n v="0.306420698673196"/>
        <n v="0.306584419927029"/>
        <n v="0.306617164177796"/>
        <n v="0.306813629682395"/>
        <n v="0.307150755653487"/>
        <n v="0.308483586471488"/>
        <n v="0.308712796226854"/>
        <n v="0.30921529181662"/>
        <n v="0.310055310508281"/>
        <n v="0.311266847786643"/>
        <n v="0.312427699206159"/>
        <n v="0.313198758581868"/>
        <n v="0.3136571780926"/>
        <n v="0.31485400521079"/>
        <n v="0.315166541712956"/>
        <n v="0.316473183658521"/>
        <n v="0.316681894936252"/>
        <n v="0.31712254692364"/>
        <n v="0.317160812924619"/>
        <n v="0.318371060887906"/>
        <n v="0.320435238001272"/>
        <n v="0.321080254588144"/>
        <n v="0.321352077022734"/>
        <n v="0.321712263781166"/>
        <n v="0.322629102802629"/>
        <n v="0.322661847053396"/>
        <n v="0.323873384331757"/>
        <n v="0.324678912485147"/>
        <n v="0.325248642863952"/>
        <n v="0.325518599327781"/>
        <n v="0.325674318123917"/>
        <n v="0.326263714637714"/>
        <n v="0.328130136931406"/>
        <n v="0.32894874320057"/>
        <n v="0.328974453339982"/>
        <n v="0.330749676992729"/>
        <n v="0.331290732351466"/>
        <n v="0.332583355035655"/>
        <n v="0.3334984804105"/>
        <n v="0.333561314119813"/>
        <n v="0.334908196840078"/>
        <n v="0.335301127849277"/>
        <n v="0.335314945825177"/>
        <n v="0.335563081855409"/>
        <n v="0.336414432375339"/>
        <n v="0.336610897879938"/>
        <n v="0.33697108463837"/>
        <n v="0.337134805892202"/>
        <n v="0.337364015647568"/>
        <n v="0.3378224351583"/>
        <n v="0.339459647696626"/>
        <n v="0.339656113201225"/>
        <n v="0.340212765464256"/>
        <n v="0.340376486718089"/>
        <n v="0.340507463721155"/>
        <n v="0.342341141764081"/>
        <n v="0.342511717604384"/>
        <n v="0.343028771030178"/>
        <n v="0.343507808701801"/>
        <n v="0.34404384280394"/>
        <n v="0.345059882924045"/>
        <n v="0.345516855355411"/>
        <n v="0.345550078339201"/>
        <n v="0.346270451856065"/>
        <n v="0.347383756382127"/>
        <n v="0.348005897146691"/>
        <n v="0.348464316657422"/>
        <n v="0.348726270663554"/>
        <n v="0.349675853935784"/>
        <n v="0.350041698448128"/>
        <n v="0.351083856718745"/>
        <n v="0.352412786950635"/>
        <n v="0.352852046260137"/>
        <n v="0.35302833969598"/>
        <n v="0.355045911061495"/>
        <n v="0.357632706872051"/>
        <n v="0.358549545893514"/>
        <n v="0.359138942407311"/>
        <n v="0.359826571673408"/>
        <n v="0.360368459374788"/>
        <n v="0.360743410694871"/>
        <n v="0.361099615264973"/>
        <n v="0.362653321531615"/>
        <n v="0.363018899476707"/>
        <n v="0.363442414997919"/>
        <n v="0.363559416260793"/>
        <n v="0.364869186291454"/>
        <n v="0.365393094303719"/>
        <n v="0.365425838554485"/>
        <n v="0.366211700572882"/>
        <n v="0.368536542377306"/>
        <n v="0.368798496383438"/>
        <n v="0.369005238327595"/>
        <n v="0.370310873845782"/>
        <n v="0.370780902632329"/>
        <n v="0.371647246200126"/>
        <n v="0.372040177209324"/>
        <n v="0.372843806751064"/>
        <n v="0.373284458738453"/>
        <n v="0.374512572147747"/>
        <n v="0.375740277545942"/>
        <n v="0.375936743050542"/>
        <n v="0.376362418310506"/>
        <n v="0.376886326322771"/>
        <n v="0.378258114040546"/>
        <n v="0.378556283111864"/>
        <n v="0.381463177230295"/>
        <n v="0.384482992500606"/>
        <n v="0.384843179259038"/>
        <n v="0.386185693540466"/>
        <n v="0.386283926292765"/>
        <n v="0.387528207821893"/>
        <n v="0.388150348586458"/>
        <n v="0.390442446140115"/>
        <n v="0.39086812140008"/>
        <n v="0.391693919544889"/>
        <n v="0.395976224519658"/>
        <n v="0.39813734507025"/>
        <n v="0.398857718587113"/>
        <n v="0.400920606385405"/>
        <n v="0.401650206393264"/>
        <n v="0.401673724153035"/>
        <n v="0.403736611951326"/>
        <n v="0.404055023813324"/>
        <n v="0.404489729718957"/>
        <n v="0.404620706722023"/>
        <n v="0.404718939474322"/>
        <n v="0.4050089537638"/>
        <n v="0.405079126232754"/>
        <n v="0.407011037027979"/>
        <n v="0.408189830055574"/>
        <n v="0.409565088587769"/>
        <n v="0.411220786748974"/>
        <n v="0.412092842472163"/>
        <n v="0.412326224821039"/>
        <n v="0.412413838404457"/>
        <n v="0.413559887181286"/>
        <n v="0.414839573193549"/>
        <n v="0.418700734551631"/>
        <n v="0.419322875316195"/>
        <n v="0.419363600264066"/>
        <n v="0.419523540615044"/>
        <n v="0.421483995866786"/>
        <n v="0.426755820240198"/>
        <n v="0.428065590270859"/>
        <n v="0.428589498283123"/>
        <n v="0.429015173543088"/>
        <n v="0.429833779812251"/>
        <n v="0.429919663428608"/>
        <n v="0.429946592161171"/>
        <n v="0.431143549842913"/>
        <n v="0.431176294093679"/>
        <n v="0.431519066938387"/>
        <n v="0.432027644613609"/>
        <n v="0.432191365867442"/>
        <n v="0.433209864934439"/>
        <n v="0.433816985450396"/>
        <n v="0.434123276662667"/>
        <n v="0.434992057416765"/>
        <n v="0.435858721953293"/>
        <n v="0.436120675959425"/>
        <n v="0.436448118467091"/>
        <n v="0.437115891193015"/>
        <n v="0.437168491983954"/>
        <n v="0.437954354002351"/>
        <n v="0.438511006265382"/>
        <n v="0.442735014614265"/>
        <n v="0.443029712871163"/>
        <n v="0.443258922626529"/>
        <n v="0.443586365134194"/>
        <n v="0.444273994400291"/>
        <n v="0.444816964691122"/>
        <n v="0.44777762923231"/>
        <n v="0.449158202789093"/>
        <n v="0.449218376266038"/>
        <n v="0.449414841770637"/>
        <n v="0.449775028529069"/>
        <n v="0.454097269630251"/>
        <n v="0.455340386967709"/>
        <n v="0.457928346969935"/>
        <n v="0.457949209937486"/>
        <n v="0.462657658024948"/>
        <n v="0.463232953675149"/>
        <n v="0.463855056358677"/>
        <n v="0.46562324590007"/>
        <n v="0.467619889016257"/>
        <n v="0.468897670976723"/>
        <n v="0.470141952505851"/>
        <n v="0.470407420847586"/>
        <n v="0.47109153577808"/>
        <n v="0.471582699539578"/>
        <n v="0.471746420793411"/>
        <n v="0.471771809964092"/>
        <n v="0.472562535474794"/>
        <n v="0.472630515564107"/>
        <n v="0.472645769739078"/>
        <n v="0.472823662578431"/>
        <n v="0.474857124616232"/>
        <n v="0.47626646023545"/>
        <n v="0.478131549692885"/>
        <n v="0.478426247949783"/>
        <n v="0.478655457705149"/>
        <n v="0.478819178958982"/>
        <n v="0.481648942659176"/>
        <n v="0.484549422843125"/>
        <n v="0.48662994216106"/>
        <n v="0.488020313424377"/>
        <n v="0.488217921360054"/>
        <n v="0.489624781711937"/>
        <n v="0.490115945473435"/>
        <n v="0.490148689724201"/>
        <n v="0.492113344770193"/>
        <n v="0.49375055730852"/>
        <n v="0.493816045810053"/>
        <n v="0.494000254661225"/>
        <n v="0.497505886027557"/>
        <n v="0.498556922619698"/>
        <n v="0.499251591437297"/>
        <n v="0.49931707993883"/>
        <n v="0.499448056941896"/>
        <n v="0.501373015227987"/>
        <n v="0.502067597003219"/>
        <n v="0.502943041938607"/>
        <n v="0.506979234618198"/>
        <n v="0.507620209175112"/>
        <n v="0.509489988040116"/>
        <n v="0.510072627890107"/>
        <n v="0.510843056208649"/>
        <n v="0.512357490046934"/>
        <n v="0.512545757248509"/>
        <n v="0.514179667617004"/>
        <n v="0.515394507065197"/>
        <n v="0.515689205322096"/>
        <n v="0.518472466637251"/>
        <n v="0.519814980918678"/>
        <n v="0.520405916994358"/>
        <n v="0.521321216453939"/>
        <n v="0.524251013595418"/>
        <n v="0.526248635938245"/>
        <n v="0.528305827901588"/>
        <n v="0.528950626882541"/>
        <n v="0.529343557891739"/>
        <n v="0.529867465904003"/>
        <n v="0.530849793426999"/>
        <n v="0.531701704282172"/>
        <n v="0.532421517463793"/>
        <n v="0.535114717128933"/>
        <n v="0.538217249849469"/>
        <n v="0.540369900089636"/>
        <n v="0.540771301409258"/>
        <n v="0.542797566131265"/>
        <n v="0.544700611501242"/>
        <n v="0.549237341317322"/>
        <n v="0.550270969435887"/>
        <n v="0.554130955722003"/>
        <n v="0.555997378015695"/>
        <n v="0.561390631932446"/>
        <n v="0.56529674523339"/>
        <n v="0.565591443490289"/>
        <n v="0.565743294341202"/>
        <n v="0.567523354285514"/>
        <n v="0.567833943214699"/>
        <n v="0.568702147313109"/>
        <n v="0.569389776579206"/>
        <n v="0.570142894346836"/>
        <n v="0.570273871349903"/>
        <n v="0.570538512789143"/>
        <n v="0.570943531807181"/>
        <n v="0.572958899912758"/>
        <n v="0.576699208383188"/>
        <n v="0.577805049026205"/>
        <n v="0.578787376549201"/>
        <n v="0.582913152145783"/>
        <n v="0.584190177925678"/>
        <n v="0.584845062941009"/>
        <n v="0.584943295693308"/>
        <n v="0.587609425182038"/>
        <n v="0.59303053265651"/>
        <n v="0.595178031076528"/>
        <n v="0.597746297743022"/>
        <n v="0.597975507498388"/>
        <n v="0.598466671259886"/>
        <n v="0.599456435465187"/>
        <n v="0.599619639904961"/>
        <n v="0.599869342697814"/>
        <n v="0.602526958354935"/>
        <n v="0.604117554265115"/>
        <n v="0.609861670526638"/>
        <n v="0.610385578538903"/>
        <n v="0.610532304770407"/>
        <n v="0.610647532545035"/>
        <n v="0.610974975052701"/>
        <n v="0.612982819433604"/>
        <n v="0.614582222943384"/>
        <n v="0.622238997316387"/>
        <n v="0.62230448581792"/>
        <n v="0.624087249515785"/>
        <n v="0.625547113229557"/>
        <n v="0.633764973586206"/>
        <n v="0.634563342504837"/>
        <n v="0.635009255115334"/>
        <n v="0.638681806542518"/>
        <n v="0.639578614939073"/>
        <n v="0.647255604902017"/>
        <n v="0.649117914443827"/>
        <n v="0.652363708021596"/>
        <n v="0.65343630392023"/>
        <n v="0.657209857135042"/>
        <n v="0.662186983251555"/>
        <n v="0.663706759315168"/>
        <n v="0.663922428542181"/>
        <n v="0.663952381997027"/>
        <n v="0.66448361244849"/>
        <n v="0.669096020163293"/>
        <n v="0.671126163710818"/>
        <n v="0.672337700989179"/>
        <n v="0.673647471019841"/>
        <n v="0.676528965087295"/>
        <n v="0.680229065423913"/>
        <n v="0.681702556708407"/>
        <n v="0.682259208971438"/>
        <n v="0.682488418726804"/>
        <n v="0.683961910011298"/>
        <n v="0.68497698178506"/>
        <n v="0.688222514235726"/>
        <n v="0.691782003067183"/>
        <n v="0.691984251449098"/>
        <n v="0.692016995699865"/>
        <n v="0.694014394996623"/>
        <n v="0.694181108331851"/>
        <n v="0.69886054411007"/>
        <n v="0.704161875846192"/>
        <n v="0.708058708254661"/>
        <n v="0.70838912108313"/>
        <n v="0.714414063224172"/>
        <n v="0.715542665446388"/>
        <n v="0.719031002582253"/>
        <n v="0.720177051359081"/>
        <n v="0.722534637414271"/>
        <n v="0.733460336874308"/>
        <n v="0.733566419760161"/>
        <n v="0.736418199739281"/>
        <n v="0.737073084754611"/>
        <n v="0.739204317132132"/>
        <n v="0.743949377415583"/>
        <n v="0.745946776712341"/>
        <n v="0.747158313990703"/>
        <n v="0.749040648717273"/>
        <n v="0.75331423313481"/>
        <n v="0.755475353685402"/>
        <n v="0.758946244266654"/>
        <n v="0.763235354866562"/>
        <n v="0.770729702740955"/>
        <n v="0.77587502191295"/>
        <n v="0.780099030261833"/>
        <n v="0.781245079038661"/>
        <n v="0.781670754298626"/>
        <n v="0.783733642096918"/>
        <n v="0.785076156378345"/>
        <n v="0.786680624665905"/>
        <n v="0.788776256714963"/>
        <n v="0.791854216287017"/>
        <n v="0.792433037153118"/>
        <n v="0.805901499865859"/>
        <n v="0.810092763963975"/>
        <n v="0.812188396013033"/>
        <n v="0.813432677542161"/>
        <n v="0.814087562557492"/>
        <n v="0.814324872693218"/>
        <n v="0.820856314372949"/>
        <n v="0.821029343719996"/>
        <n v="0.843328178492004"/>
        <n v="0.843405455794237"/>
        <n v="0.843950319256568"/>
        <n v="0.853396015574964"/>
        <n v="0.863858823722619"/>
        <n v="0.870440418126692"/>
        <n v="0.871881165160419"/>
        <n v="0.879281365833655"/>
        <n v="0.880220297296115"/>
        <n v="0.883963793693269"/>
        <n v="0.884716911460899"/>
        <n v="0.889691050936164"/>
        <n v="0.899429459857441"/>
        <n v="0.914310440675977"/>
        <n v="0.922863963603907"/>
        <n v="0.928135787977319"/>
        <n v="0.940545859017834"/>
        <n v="0.949999987565618"/>
        <n v="0.958571321538076"/>
        <n v="0.962401076921798"/>
        <n v="0.962419018529877"/>
        <n v="0.96439461915363"/>
        <n v="0.974370670059661"/>
        <n v="0.986055112400352"/>
        <n v="0.992544120925741"/>
        <n v="1.00776980584152"/>
        <n v="1.01246811893327"/>
        <n v="1.04070901519166"/>
        <n v="1.04781950622371"/>
        <n v="1.04945323706732"/>
        <n v="1.06124116734327"/>
        <n v="1.07146325982255"/>
        <n v="1.08220864013723"/>
        <n v="1.08572678384395"/>
        <n v="1.09526244388969"/>
        <n v="1.09715245466508"/>
        <n v="1.1090477734624"/>
        <n v="1.11682348579097"/>
        <n v="1.12900914528664"/>
        <n v="1.13000409395298"/>
        <n v="1.13503247714388"/>
        <n v="1.13986011343371"/>
        <n v="1.14562310156862"/>
        <n v="1.16962463738048"/>
        <n v="1.17836735233515"/>
        <n v="1.18151080040874"/>
        <n v="1.21284808202042"/>
        <n v="1.21759243508464"/>
        <n v="1.21850801199176"/>
        <n v="1.23052894380623"/>
        <n v="1.25275727970041"/>
        <n v="1.27033766195279"/>
        <n v="1.28102057848822"/>
        <n v="1.28582005113189"/>
        <n v="1.30721597910145"/>
        <n v="1.34107699432816"/>
        <n v="1.35520462345271"/>
        <n v="1.35528453922672"/>
        <n v="1.41318724399763"/>
        <n v="1.44547952726895"/>
        <n v="1.46005384694515"/>
        <n v="1.6205417488185"/>
        <n v="1.80879480600828"/>
        <n v="2.07936671377981"/>
        <n v="2.16060917667975"/>
        <n v="2.205509166128"/>
        <n v="2.27938882393201"/>
        <n v="2.90442537927248"/>
        <n v="2.93690681648949"/>
        <n v="3.45341900195974"/>
        <n v="4.14729899810021"/>
        <n v="4.36015784465983"/>
        <n v="5.16787946571982"/>
        <n v="5.86247125082362"/>
        <n v="6.33998328734342"/>
      </sharedItems>
    </cacheField>
    <cacheField name="ESC. PONTALETE &gt;=1,25 M &lt;1,5 M" numFmtId="0">
      <sharedItems containsSemiMixedTypes="0" containsString="0" containsNumber="1" minValue="0" maxValue="2650.0752" count="1275">
        <n v="0"/>
        <n v="1.60834"/>
        <n v="1.6356"/>
        <n v="1.79916"/>
        <n v="1.82642"/>
        <n v="1.93546"/>
        <n v="1.98998"/>
        <n v="2.09902"/>
        <n v="2.15354"/>
        <n v="2.61696"/>
        <n v="2.628"/>
        <n v="2.7244"/>
        <n v="3.08038"/>
        <n v="3.1692"/>
        <n v="3.32572"/>
        <n v="3.57106"/>
        <n v="3.8164"/>
        <n v="3.9198"/>
        <n v="4.3646"/>
        <n v="4.38"/>
        <n v="4.96132"/>
        <n v="5.07036"/>
        <n v="5.1152"/>
        <n v="5.26118"/>
        <n v="5.34296"/>
        <n v="5.42474"/>
        <n v="5.6356"/>
        <n v="5.6648"/>
        <n v="5.7816"/>
        <n v="5.84"/>
        <n v="5.986"/>
        <n v="6.73322"/>
        <n v="6.89678"/>
        <n v="7.0664"/>
        <n v="7.3"/>
        <n v="7.30568"/>
        <n v="7.3292"/>
        <n v="7.55102"/>
        <n v="7.95992"/>
        <n v="8.1176"/>
        <n v="8.176"/>
        <n v="8.4512"/>
        <n v="8.5346"/>
        <n v="8.64142"/>
        <n v="8.6724"/>
        <n v="8.7308"/>
        <n v="8.7702"/>
        <n v="8.77772"/>
        <n v="8.8184"/>
        <n v="8.88676"/>
        <n v="9.02306"/>
        <n v="9.4047"/>
        <n v="9.6652"/>
        <n v="9.7572"/>
        <n v="9.75908"/>
        <n v="9.78634"/>
        <n v="10.1324"/>
        <n v="10.2366"/>
        <n v="10.27702"/>
        <n v="10.38606"/>
        <n v="10.6314"/>
        <n v="11.0084"/>
        <n v="11.0403"/>
        <n v="11.115"/>
        <n v="11.1252"/>
        <n v="11.388"/>
        <n v="11.4464"/>
        <n v="11.4492"/>
        <n v="11.88536"/>
        <n v="12.10344"/>
        <n v="12.2952"/>
        <n v="12.371"/>
        <n v="12.5378"/>
        <n v="12.6144"/>
        <n v="12.7312"/>
        <n v="12.86672"/>
        <n v="12.8772"/>
        <n v="13.0524"/>
        <n v="13.30288"/>
        <n v="13.3736"/>
        <n v="13.724"/>
        <n v="13.87534"/>
        <n v="13.95712"/>
        <n v="14.2496"/>
        <n v="14.28424"/>
        <n v="14.3115"/>
        <n v="14.5841"/>
        <n v="14.8336"/>
        <n v="14.9504"/>
        <n v="15.0672"/>
        <n v="15.0964"/>
        <n v="15.15656"/>
        <n v="15.45642"/>
        <n v="15.56546"/>
        <n v="15.75628"/>
        <n v="15.78354"/>
        <n v="16.0308"/>
        <n v="16.19244"/>
        <n v="16.2735"/>
        <n v="16.352"/>
        <n v="16.356"/>
        <n v="16.73764"/>
        <n v="16.95572"/>
        <n v="17.061"/>
        <n v="17.0715"/>
        <n v="17.484"/>
        <n v="17.6368"/>
        <n v="18.34598"/>
        <n v="18.5148"/>
        <n v="18.56406"/>
        <n v="19.13652"/>
        <n v="19.1552"/>
        <n v="19.3488"/>
        <n v="19.7976"/>
        <n v="19.9436"/>
        <n v="20.8539"/>
        <n v="21.1992"/>
        <n v="21.56266"/>
        <n v="21.72622"/>
        <n v="21.823"/>
        <n v="21.91704"/>
        <n v="22.0806"/>
        <n v="22.1566"/>
        <n v="22.2212"/>
        <n v="22.54402"/>
        <n v="22.78936"/>
        <n v="22.84388"/>
        <n v="23.25278"/>
        <n v="23.5644"/>
        <n v="24.0024"/>
        <n v="24.23414"/>
        <n v="24.236"/>
        <n v="24.4362"/>
        <n v="24.61578"/>
        <n v="25.159"/>
        <n v="26.426"/>
        <n v="26.9874"/>
        <n v="28.86834"/>
        <n v="29.14094"/>
        <n v="29.7255"/>
        <n v="29.79518"/>
        <n v="30.01326"/>
        <n v="30.2512"/>
        <n v="30.3096"/>
        <n v="30.42216"/>
        <n v="30.5312"/>
        <n v="31.0688"/>
        <n v="31.6216"/>
        <n v="31.7112"/>
        <n v="32.00324"/>
        <n v="32.8208"/>
        <n v="32.82104"/>
        <n v="32.85"/>
        <n v="32.87556"/>
        <n v="33.6936"/>
        <n v="33.72062"/>
        <n v="33.9304"/>
        <n v="33.99322"/>
        <n v="34.02048"/>
        <n v="34.3684"/>
        <n v="34.70198"/>
        <n v="34.83828"/>
        <n v="35.11088"/>
        <n v="35.87416"/>
        <n v="36.2934"/>
        <n v="36.4416"/>
        <n v="36.47388"/>
        <n v="36.5876"/>
        <n v="37.5512"/>
        <n v="37.80962"/>
        <n v="38.5732"/>
        <n v="38.87276"/>
        <n v="39.22714"/>
        <n v="39.49974"/>
        <n v="39.58152"/>
        <n v="39.60878"/>
        <n v="39.71782"/>
        <n v="39.90864"/>
        <n v="40.09946"/>
        <n v="40.39932"/>
        <n v="41.48972"/>
        <n v="41.5715"/>
        <n v="41.59876"/>
        <n v="41.92588"/>
        <n v="42.2232"/>
        <n v="42.5256"/>
        <n v="42.9345"/>
        <n v="43.924"/>
        <n v="44.384"/>
        <n v="44.4244"/>
        <n v="45.33338"/>
        <n v="45.5242"/>
        <n v="45.68776"/>
        <n v="46.3148"/>
        <n v="46.45104"/>
        <n v="46.6146"/>
        <n v="46.8872"/>
        <n v="47.13254"/>
        <n v="47.75952"/>
        <n v="48.16842"/>
        <n v="48.7348"/>
        <n v="49.53142"/>
        <n v="49.786"/>
        <n v="50.64908"/>
        <n v="50.6516"/>
        <n v="50.67634"/>
        <n v="51.08524"/>
        <n v="51.3044"/>
        <n v="51.35784"/>
        <n v="51.3851"/>
        <n v="51.5496"/>
        <n v="51.71222"/>
        <n v="52.5016"/>
        <n v="52.6532"/>
        <n v="52.9314"/>
        <n v="52.93892"/>
        <n v="53.67494"/>
        <n v="54.05658"/>
        <n v="54.32918"/>
        <n v="54.9289"/>
        <n v="55.50136"/>
        <n v="55.8078"/>
        <n v="56.4436"/>
        <n v="56.94614"/>
        <n v="57.43682"/>
        <n v="57.46408"/>
        <n v="57.90024"/>
        <n v="58.41818"/>
        <n v="58.7453"/>
        <n v="58.90886"/>
        <n v="59.04516"/>
        <n v="59.78118"/>
        <n v="59.86"/>
        <n v="60.02652"/>
        <n v="60.08104"/>
        <n v="60.16282"/>
        <n v="60.3538"/>
        <n v="60.87158"/>
        <n v="61.5828"/>
        <n v="61.98924"/>
        <n v="62.5172"/>
        <n v="62.61622"/>
        <n v="62.8343"/>
        <n v="63.18868"/>
        <n v="63.62484"/>
        <n v="63.67936"/>
        <n v="63.70662"/>
        <n v="64.824"/>
        <n v="64.85154"/>
        <n v="65.04236"/>
        <n v="66.2982"/>
        <n v="66.40536"/>
        <n v="66.75974"/>
        <n v="67.44124"/>
        <n v="68.5589"/>
        <n v="68.7516"/>
        <n v="68.77698"/>
        <n v="68.805"/>
        <n v="68.88602"/>
        <n v="69.02232"/>
        <n v="69.5"/>
        <n v="69.8756"/>
        <n v="70.38532"/>
        <n v="70.923"/>
        <n v="71.17586"/>
        <n v="71.36668"/>
        <n v="71.5575"/>
        <n v="71.9488"/>
        <n v="72.34804"/>
        <n v="72.5328"/>
        <n v="72.9205"/>
        <n v="73.41118"/>
        <n v="73.4328"/>
        <n v="73.438"/>
        <n v="73.743"/>
        <n v="73.7812"/>
        <n v="74.11994"/>
        <n v="74.63788"/>
        <n v="74.7228"/>
        <n v="74.77418"/>
        <n v="74.93774"/>
        <n v="75.0732"/>
        <n v="75.45568"/>
        <n v="75.5988"/>
        <n v="75.70102"/>
        <n v="75.72828"/>
        <n v="76.5916"/>
        <n v="76.796"/>
        <n v="77.06402"/>
        <n v="77.47292"/>
        <n v="77.99086"/>
        <n v="78.0576"/>
        <n v="78.1976"/>
        <n v="78.2362"/>
        <n v="78.7524"/>
        <n v="78.9177"/>
        <n v="78.9568"/>
        <n v="79.4246"/>
        <n v="79.7496"/>
        <n v="79.76276"/>
        <n v="79.89906"/>
        <n v="80.008"/>
        <n v="80.44426"/>
        <n v="80.4555"/>
        <n v="80.79864"/>
        <n v="81.69822"/>
        <n v="82.07986"/>
        <n v="82.5696"/>
        <n v="82.97944"/>
        <n v="83.7456"/>
        <n v="83.93354"/>
        <n v="84.1506"/>
        <n v="84.9149"/>
        <n v="84.929"/>
        <n v="84.9428"/>
        <n v="85.1922"/>
        <n v="85.81448"/>
        <n v="86.57776"/>
        <n v="86.6364"/>
        <n v="86.856"/>
        <n v="87.06844"/>
        <n v="87.6256"/>
        <n v="87.94076"/>
        <n v="88.37692"/>
        <n v="88.595"/>
        <n v="88.62226"/>
        <n v="88.81308"/>
        <n v="88.92212"/>
        <n v="88.9322"/>
        <n v="89.22198"/>
        <n v="89.33102"/>
        <n v="89.44006"/>
        <n v="90.6395"/>
        <n v="90.8604"/>
        <n v="90.906"/>
        <n v="91.37552"/>
        <n v="91.43004"/>
        <n v="91.7299"/>
        <n v="92.214"/>
        <n v="92.62948"/>
        <n v="93.17468"/>
        <n v="93.408"/>
        <n v="93.5676"/>
        <n v="93.6026"/>
        <n v="93.71988"/>
        <n v="94.1598"/>
        <n v="94.37412"/>
        <n v="94.608"/>
        <n v="94.7285"/>
        <n v="94.83754"/>
        <n v="95.1044"/>
        <n v="95.1374"/>
        <n v="95.7672"/>
        <n v="96.3641"/>
        <n v="96.444"/>
        <n v="96.8952"/>
        <n v="97.3834"/>
        <n v="98.2723"/>
        <n v="98.5449"/>
        <n v="98.73572"/>
        <n v="98.9538"/>
        <n v="99.4365"/>
        <n v="99.82612"/>
        <n v="99.88064"/>
        <n v="99.8854"/>
        <n v="100.1634"/>
        <n v="100.3074"/>
        <n v="100.64392"/>
        <n v="100.69844"/>
        <n v="100.88926"/>
        <n v="100.94378"/>
        <n v="101.7912"/>
        <n v="101.9524"/>
        <n v="101.9994"/>
        <n v="102.27952"/>
        <n v="102.5264"/>
        <n v="102.74294"/>
        <n v="103.01554"/>
        <n v="103.1838"/>
        <n v="103.23362"/>
        <n v="103.36992"/>
        <n v="103.39718"/>
        <n v="103.5222"/>
        <n v="104.51484"/>
        <n v="104.65114"/>
        <n v="104.86922"/>
        <n v="104.89648"/>
        <n v="104.92374"/>
        <n v="105.5288"/>
        <n v="105.7688"/>
        <n v="106.191"/>
        <n v="106.2238"/>
        <n v="106.3422"/>
        <n v="106.5866"/>
        <n v="106.96824"/>
        <n v="107.10454"/>
        <n v="107.2164"/>
        <n v="107.308"/>
        <n v="107.51344"/>
        <n v="107.5582"/>
        <n v="107.78604"/>
        <n v="108.05864"/>
        <n v="108.19494"/>
        <n v="108.2736"/>
        <n v="109.1788"/>
        <n v="109.96684"/>
        <n v="109.98"/>
        <n v="110.1132"/>
        <n v="110.1304"/>
        <n v="110.694"/>
        <n v="110.75738"/>
        <n v="111.02998"/>
        <n v="111.7484"/>
        <n v="111.9528"/>
        <n v="112.2008"/>
        <n v="112.274"/>
        <n v="112.4898"/>
        <n v="112.5368"/>
        <n v="112.55654"/>
        <n v="113.01996"/>
        <n v="113.0626"/>
        <n v="113.34708"/>
        <n v="113.48338"/>
        <n v="113.5004"/>
        <n v="113.86502"/>
        <n v="114.2194"/>
        <n v="114.3557"/>
        <n v="114.51926"/>
        <n v="114.60104"/>
        <n v="114.73734"/>
        <n v="114.8304"/>
        <n v="114.8696"/>
        <n v="115.1198"/>
        <n v="115.2866"/>
        <n v="115.34"/>
        <n v="115.36432"/>
        <n v="115.5824"/>
        <n v="115.648"/>
        <n v="115.66418"/>
        <n v="115.77322"/>
        <n v="115.8426"/>
        <n v="115.9824"/>
        <n v="116.1276"/>
        <n v="116.59102"/>
        <n v="117.03"/>
        <n v="117.16348"/>
        <n v="117.7636"/>
        <n v="117.95402"/>
        <n v="118.0848"/>
        <n v="118.19936"/>
        <n v="118.5812"/>
        <n v="118.60826"/>
        <n v="118.99"/>
        <n v="119.07168"/>
        <n v="119.0776"/>
        <n v="119.15346"/>
        <n v="119.5398"/>
        <n v="119.6512"/>
        <n v="119.6714"/>
        <n v="119.75318"/>
        <n v="120.0192"/>
        <n v="120.0756"/>
        <n v="120.2166"/>
        <n v="120.32564"/>
        <n v="120.38016"/>
        <n v="120.46194"/>
        <n v="120.6678"/>
        <n v="120.87084"/>
        <n v="120.8744"/>
        <n v="120.95262"/>
        <n v="120.97988"/>
        <n v="121.1707"/>
        <n v="121.1754"/>
        <n v="121.2105"/>
        <n v="121.326"/>
        <n v="121.36152"/>
        <n v="121.486"/>
        <n v="121.625"/>
        <n v="121.63412"/>
        <n v="121.7159"/>
        <n v="121.82494"/>
        <n v="122.07028"/>
        <n v="122.2611"/>
        <n v="122.3974"/>
        <n v="122.50644"/>
        <n v="122.5702"/>
        <n v="122.5854"/>
        <n v="122.67"/>
        <n v="122.75178"/>
        <n v="122.86082"/>
        <n v="122.9802"/>
        <n v="123.37876"/>
        <n v="123.59684"/>
        <n v="123.78766"/>
        <n v="124.033"/>
        <n v="124.33286"/>
        <n v="124.362"/>
        <n v="124.5782"/>
        <n v="124.7108"/>
        <n v="125.1516"/>
        <n v="125.268"/>
        <n v="125.4336"/>
        <n v="125.45052"/>
        <n v="125.5323"/>
        <n v="125.58682"/>
        <n v="125.8228"/>
        <n v="126.0452"/>
        <n v="126.3232"/>
        <n v="126.336"/>
        <n v="126.5734"/>
        <n v="126.8436"/>
        <n v="126.86804"/>
        <n v="127.1076"/>
        <n v="127.22242"/>
        <n v="127.27694"/>
        <n v="127.3042"/>
        <n v="127.3796"/>
        <n v="127.46776"/>
        <n v="127.6298"/>
        <n v="127.63132"/>
        <n v="127.74036"/>
        <n v="127.76762"/>
        <n v="127.8494"/>
        <n v="127.88"/>
        <n v="127.896"/>
        <n v="128.28556"/>
        <n v="128.31282"/>
        <n v="128.3526"/>
        <n v="128.47638"/>
        <n v="128.72172"/>
        <n v="128.9398"/>
        <n v="129.04884"/>
        <n v="129.13062"/>
        <n v="129.1866"/>
        <n v="129.276"/>
        <n v="129.5508"/>
        <n v="129.64856"/>
        <n v="129.8328"/>
        <n v="129.8939"/>
        <n v="130.08472"/>
        <n v="130.1665"/>
        <n v="130.3122"/>
        <n v="130.5488"/>
        <n v="130.6044"/>
        <n v="130.68444"/>
        <n v="130.7916"/>
        <n v="130.82074"/>
        <n v="130.87526"/>
        <n v="130.8824"/>
        <n v="130.9843"/>
        <n v="131.2569"/>
        <n v="131.31142"/>
        <n v="131.3932"/>
        <n v="131.6608"/>
        <n v="131.911"/>
        <n v="131.9384"/>
        <n v="131.9388"/>
        <n v="132.04744"/>
        <n v="132.12922"/>
        <n v="132.211"/>
        <n v="132.29278"/>
        <n v="132.42908"/>
        <n v="132.51086"/>
        <n v="132.72894"/>
        <n v="132.9674"/>
        <n v="132.97428"/>
        <n v="133.19236"/>
        <n v="133.21962"/>
        <n v="133.24688"/>
        <n v="133.2688"/>
        <n v="133.3578"/>
        <n v="133.41044"/>
        <n v="133.5024"/>
        <n v="133.574"/>
        <n v="133.62852"/>
        <n v="133.65578"/>
        <n v="134.0064"/>
        <n v="134.091"/>
        <n v="134.55536"/>
        <n v="134.60988"/>
        <n v="134.7188"/>
        <n v="134.904"/>
        <n v="134.9412"/>
        <n v="135.01878"/>
        <n v="135.26412"/>
        <n v="135.50946"/>
        <n v="135.67302"/>
        <n v="135.6918"/>
        <n v="135.86384"/>
        <n v="135.9552"/>
        <n v="136.08192"/>
        <n v="136.4146"/>
        <n v="136.4702"/>
        <n v="136.5976"/>
        <n v="136.7089"/>
        <n v="136.802"/>
        <n v="137.30862"/>
        <n v="137.5314"/>
        <n v="137.663"/>
        <n v="137.71752"/>
        <n v="137.7212"/>
        <n v="137.757"/>
        <n v="137.77204"/>
        <n v="137.85382"/>
        <n v="138.0719"/>
        <n v="138.15368"/>
        <n v="138.6108"/>
        <n v="138.7"/>
        <n v="138.9696"/>
        <n v="138.97148"/>
        <n v="139.10778"/>
        <n v="139.40764"/>
        <n v="139.89832"/>
        <n v="139.9174"/>
        <n v="139.95284"/>
        <n v="140.2184"/>
        <n v="140.3232"/>
        <n v="140.47078"/>
        <n v="140.718"/>
        <n v="140.96146"/>
        <n v="141.04324"/>
        <n v="141.0944"/>
        <n v="141.1528"/>
        <n v="141.37036"/>
        <n v="141.4794"/>
        <n v="141.6784"/>
        <n v="142.1164"/>
        <n v="142.21542"/>
        <n v="142.4668"/>
        <n v="142.81514"/>
        <n v="142.8424"/>
        <n v="142.8464"/>
        <n v="143.33308"/>
        <n v="143.5662"/>
        <n v="143.60568"/>
        <n v="143.63294"/>
        <n v="143.7224"/>
        <n v="143.956"/>
        <n v="144.3356"/>
        <n v="145.0048"/>
        <n v="145.2645"/>
        <n v="145.27"/>
        <n v="145.48662"/>
        <n v="145.54114"/>
        <n v="145.8832"/>
        <n v="146.35894"/>
        <n v="146.74058"/>
        <n v="146.82236"/>
        <n v="146.90414"/>
        <n v="146.9314"/>
        <n v="147.09496"/>
        <n v="147.17674"/>
        <n v="147.53112"/>
        <n v="147.8104"/>
        <n v="148.18536"/>
        <n v="148.3038"/>
        <n v="148.755"/>
        <n v="148.8908"/>
        <n v="149.73918"/>
        <n v="149.90274"/>
        <n v="149.9254"/>
        <n v="149.942"/>
        <n v="149.95726"/>
        <n v="150.2778"/>
        <n v="150.36616"/>
        <n v="151.23848"/>
        <n v="152.49244"/>
        <n v="153.456"/>
        <n v="153.55558"/>
        <n v="153.8715"/>
        <n v="154.176"/>
        <n v="154.59146"/>
        <n v="154.67324"/>
        <n v="154.72776"/>
        <n v="155.30022"/>
        <n v="155.43652"/>
        <n v="156.0448"/>
        <n v="156.4244"/>
        <n v="156.9792"/>
        <n v="157.09938"/>
        <n v="157.12664"/>
        <n v="157.1539"/>
        <n v="157.72636"/>
        <n v="157.91718"/>
        <n v="158.76224"/>
        <n v="158.89854"/>
        <n v="159.1984"/>
        <n v="159.41648"/>
        <n v="159.432"/>
        <n v="159.4886"/>
        <n v="159.5274"/>
        <n v="159.87"/>
        <n v="160.09798"/>
        <n v="160.1525"/>
        <n v="160.34332"/>
        <n v="160.47962"/>
        <n v="160.8528"/>
        <n v="161.43372"/>
        <n v="162.0607"/>
        <n v="163.1511"/>
        <n v="163.66904"/>
        <n v="163.91438"/>
        <n v="164.1052"/>
        <n v="164.15972"/>
        <n v="164.21424"/>
        <n v="164.2368"/>
        <n v="164.2415"/>
        <n v="164.45958"/>
        <n v="164.6504"/>
        <n v="164.7464"/>
        <n v="165.5348"/>
        <n v="165.7032"/>
        <n v="165.8442"/>
        <n v="166.2648"/>
        <n v="166.47682"/>
        <n v="166.61312"/>
        <n v="167.29462"/>
        <n v="167.6062"/>
        <n v="167.62174"/>
        <n v="168.0579"/>
        <n v="168.68488"/>
        <n v="168.71214"/>
        <n v="169.36638"/>
        <n v="169.77528"/>
        <n v="170.0608"/>
        <n v="170.7754"/>
        <n v="170.9202"/>
        <n v="170.97472"/>
        <n v="171.112"/>
        <n v="171.30184"/>
        <n v="171.54718"/>
        <n v="171.6017"/>
        <n v="172.4195"/>
        <n v="172.443"/>
        <n v="172.80114"/>
        <n v="172.88292"/>
        <n v="173.04648"/>
        <n v="173.12826"/>
        <n v="173.29182"/>
        <n v="173.86428"/>
        <n v="173.89154"/>
        <n v="174.10962"/>
        <n v="174.464"/>
        <n v="174.5576"/>
        <n v="175.054"/>
        <n v="175.2348"/>
        <n v="175.4628"/>
        <n v="176.4848"/>
        <n v="176.5856"/>
        <n v="176.669"/>
        <n v="177.27178"/>
        <n v="177.43534"/>
        <n v="177.76246"/>
        <n v="178.06232"/>
        <n v="178.1441"/>
        <n v="178.49848"/>
        <n v="179.88874"/>
        <n v="180.3249"/>
        <n v="181.03366"/>
        <n v="181.11544"/>
        <n v="183.54158"/>
        <n v="184.05952"/>
        <n v="184.71376"/>
        <n v="185.88594"/>
        <n v="186.26758"/>
        <n v="186.34936"/>
        <n v="186.8532"/>
        <n v="187.08538"/>
        <n v="188.3666"/>
        <n v="189.5404"/>
        <n v="190.08398"/>
        <n v="190.569"/>
        <n v="191.66506"/>
        <n v="191.96492"/>
        <n v="192.23752"/>
        <n v="192.26478"/>
        <n v="192.37382"/>
        <n v="192.64642"/>
        <n v="192.70094"/>
        <n v="192.8952"/>
        <n v="194.0912"/>
        <n v="194.30928"/>
        <n v="194.66366"/>
        <n v="194.7727"/>
        <n v="196.10844"/>
        <n v="196.3284"/>
        <n v="196.35378"/>
        <n v="196.46282"/>
        <n v="196.73542"/>
        <n v="198.01664"/>
        <n v="198.91622"/>
        <n v="199.24334"/>
        <n v="200.44278"/>
        <n v="200.52456"/>
        <n v="200.74264"/>
        <n v="200.9062"/>
        <n v="201.188"/>
        <n v="203.6604"/>
        <n v="203.71398"/>
        <n v="204.01384"/>
        <n v="204.55904"/>
        <n v="204.64082"/>
        <n v="204.6756"/>
        <n v="205.07698"/>
        <n v="205.4934"/>
        <n v="207.14874"/>
        <n v="207.176"/>
        <n v="207.3123"/>
        <n v="207.33956"/>
        <n v="207.9938"/>
        <n v="208.6753"/>
        <n v="209.526"/>
        <n v="210.2108"/>
        <n v="210.41994"/>
        <n v="211.56486"/>
        <n v="212.02828"/>
        <n v="213.1016"/>
        <n v="213.5586"/>
        <n v="213.7184"/>
        <n v="213.74566"/>
        <n v="213.8547"/>
        <n v="214.2636"/>
        <n v="214.884"/>
        <n v="215.05414"/>
        <n v="215.354"/>
        <n v="215.54482"/>
        <n v="215.73"/>
        <n v="215.7629"/>
        <n v="216.4444"/>
        <n v="216.68974"/>
        <n v="217.3985"/>
        <n v="217.42576"/>
        <n v="218.4889"/>
        <n v="218.78876"/>
        <n v="218.95232"/>
        <n v="220.176"/>
        <n v="220.3905"/>
        <n v="220.4892"/>
        <n v="220.61518"/>
        <n v="220.69696"/>
        <n v="220.7812"/>
        <n v="222.65968"/>
        <n v="223.234"/>
        <n v="224.13172"/>
        <n v="224.51336"/>
        <n v="224.84048"/>
        <n v="225.736"/>
        <n v="226.023"/>
        <n v="226.3198"/>
        <n v="226.58512"/>
        <n v="228.60236"/>
        <n v="229.55646"/>
        <n v="229.6655"/>
        <n v="230.2712"/>
        <n v="230.72864"/>
        <n v="230.7384"/>
        <n v="231.32836"/>
        <n v="231.7312"/>
        <n v="231.9648"/>
        <n v="232.33698"/>
        <n v="232.58232"/>
        <n v="232.71862"/>
        <n v="232.7628"/>
        <n v="232.77314"/>
        <n v="233.1308"/>
        <n v="233.37286"/>
        <n v="235.00846"/>
        <n v="235.09024"/>
        <n v="235.71722"/>
        <n v="236.6168"/>
        <n v="237.1902"/>
        <n v="238.2428"/>
        <n v="238.44322"/>
        <n v="239.6154"/>
        <n v="240.9784"/>
        <n v="241.7962"/>
        <n v="242.23236"/>
        <n v="244.35864"/>
        <n v="245.0674"/>
        <n v="245.28548"/>
        <n v="245.4462"/>
        <n v="246.0215"/>
        <n v="246.2706"/>
        <n v="248.50216"/>
        <n v="249.18366"/>
        <n v="249.26544"/>
        <n v="249.31996"/>
        <n v="249.429"/>
        <n v="249.81064"/>
        <n v="251.30994"/>
        <n v="252.4276"/>
        <n v="253.54526"/>
        <n v="253.70882"/>
        <n v="253.7718"/>
        <n v="253.9269"/>
        <n v="254.28128"/>
        <n v="254.30854"/>
        <n v="254.58114"/>
        <n v="255.09908"/>
        <n v="255.23538"/>
        <n v="255.26264"/>
        <n v="255.4262"/>
        <n v="256.3098"/>
        <n v="256.81646"/>
        <n v="257.00728"/>
        <n v="258.12494"/>
        <n v="258.1864"/>
        <n v="259.13356"/>
        <n v="260.7419"/>
        <n v="261.12354"/>
        <n v="263.4679"/>
        <n v="263.4716"/>
        <n v="264.04036"/>
        <n v="265.0776"/>
        <n v="266.76636"/>
        <n v="267.52964"/>
        <n v="267.8295"/>
        <n v="267.9684"/>
        <n v="268.59278"/>
        <n v="268.62004"/>
        <n v="269.62866"/>
        <n v="270.77358"/>
        <n v="271.12796"/>
        <n v="271.61864"/>
        <n v="272.3288"/>
        <n v="273.17246"/>
        <n v="273.85396"/>
        <n v="274.7136"/>
        <n v="275.35326"/>
        <n v="276.816"/>
        <n v="276.87982"/>
        <n v="277.9548"/>
        <n v="278.81528"/>
        <n v="279.1424"/>
        <n v="279.2364"/>
        <n v="279.251"/>
        <n v="279.36048"/>
        <n v="280.06924"/>
        <n v="280.2328"/>
        <n v="280.53266"/>
        <n v="280.66896"/>
        <n v="280.85978"/>
        <n v="281.24142"/>
        <n v="281.5862"/>
        <n v="282.60442"/>
        <n v="282.76798"/>
        <n v="283.2314"/>
        <n v="283.3677"/>
        <n v="283.47674"/>
        <n v="284.2328"/>
        <n v="285.0033"/>
        <n v="285.57576"/>
        <n v="286.42082"/>
        <n v="287.0068"/>
        <n v="287.67478"/>
        <n v="288.2745"/>
        <n v="289.20134"/>
        <n v="289.71928"/>
        <n v="290.10092"/>
        <n v="290.319"/>
        <n v="291.10954"/>
        <n v="291.3342"/>
        <n v="291.6776"/>
        <n v="292.28172"/>
        <n v="293.75376"/>
        <n v="293.9568"/>
        <n v="295.58018"/>
        <n v="296.0004"/>
        <n v="297.73372"/>
        <n v="298.497"/>
        <n v="298.8036"/>
        <n v="298.98768"/>
        <n v="299.56014"/>
        <n v="300.0176"/>
        <n v="300.32342"/>
        <n v="300.5848"/>
        <n v="302.66778"/>
        <n v="303.75818"/>
        <n v="304.19434"/>
        <n v="304.2216"/>
        <n v="304.87584"/>
        <n v="306.8113"/>
        <n v="307.02938"/>
        <n v="307.768"/>
        <n v="309.401"/>
        <n v="309.72812"/>
        <n v="310.764"/>
        <n v="310.9508"/>
        <n v="312.8085"/>
        <n v="312.97206"/>
        <n v="313.32644"/>
        <n v="313.4994"/>
        <n v="313.7626"/>
        <n v="315.15286"/>
        <n v="317.9004"/>
        <n v="318.3934"/>
        <n v="318.572"/>
        <n v="319.6752"/>
        <n v="320.08692"/>
        <n v="320.211"/>
        <n v="320.2674"/>
        <n v="320.38678"/>
        <n v="321.50444"/>
        <n v="321.58622"/>
        <n v="322.6221"/>
        <n v="322.7208"/>
        <n v="323.14004"/>
        <n v="325.04824"/>
        <n v="325.40262"/>
        <n v="325.9304"/>
        <n v="327.3904"/>
        <n v="328.735"/>
        <n v="329.65518"/>
        <n v="331.45434"/>
        <n v="332.05406"/>
        <n v="333.77144"/>
        <n v="334.39842"/>
        <n v="336.1158"/>
        <n v="336.74278"/>
        <n v="336.85182"/>
        <n v="336.9336"/>
        <n v="337.23346"/>
        <n v="337.5812"/>
        <n v="338.8418"/>
        <n v="339.438"/>
        <n v="339.82316"/>
        <n v="340.797"/>
        <n v="340.96808"/>
        <n v="341.932"/>
        <n v="343.3397"/>
        <n v="344.2938"/>
        <n v="345.29"/>
        <n v="348.411"/>
        <n v="348.57362"/>
        <n v="348.5842"/>
        <n v="349.09156"/>
        <n v="350.89072"/>
        <n v="353.7135"/>
        <n v="354.2276"/>
        <n v="355.2354"/>
        <n v="355.27958"/>
        <n v="356.36998"/>
        <n v="356.589"/>
        <n v="356.80614"/>
        <n v="357.16052"/>
        <n v="357.84202"/>
        <n v="358.722"/>
        <n v="358.93242"/>
        <n v="358.95968"/>
        <n v="359.66844"/>
        <n v="359.80474"/>
        <n v="361.41308"/>
        <n v="361.817"/>
        <n v="362.8392"/>
        <n v="362.85786"/>
        <n v="363.07594"/>
        <n v="363.34854"/>
        <n v="363.94826"/>
        <n v="364.6025"/>
        <n v="365.06592"/>
        <n v="368.504"/>
        <n v="368.58246"/>
        <n v="368.8278"/>
        <n v="369.01862"/>
        <n v="369.29122"/>
        <n v="369.86368"/>
        <n v="372.7805"/>
        <n v="373.97994"/>
        <n v="374.1435"/>
        <n v="374.44336"/>
        <n v="377.385"/>
        <n v="378.04168"/>
        <n v="381.2311"/>
        <n v="383.0456"/>
        <n v="383.3508"/>
        <n v="386.024"/>
        <n v="386.16516"/>
        <n v="387.6372"/>
        <n v="390.3632"/>
        <n v="390.906"/>
        <n v="391.39908"/>
        <n v="391.6888"/>
        <n v="392.18962"/>
        <n v="392.59852"/>
        <n v="392.7108"/>
        <n v="392.73482"/>
        <n v="393.47084"/>
        <n v="395.32452"/>
        <n v="398.05052"/>
        <n v="398.29586"/>
        <n v="398.48668"/>
        <n v="398.62298"/>
        <n v="398.7844"/>
        <n v="403.39348"/>
        <n v="406.28304"/>
        <n v="406.3056"/>
        <n v="406.4748"/>
        <n v="407.61878"/>
        <n v="408.02768"/>
        <n v="408.05494"/>
        <n v="408.6832"/>
        <n v="409.69054"/>
        <n v="411.05354"/>
        <n v="411.10806"/>
        <n v="413.803"/>
        <n v="415.63322"/>
        <n v="415.68774"/>
        <n v="415.79678"/>
        <n v="417.97758"/>
        <n v="422.06658"/>
        <n v="423.8742"/>
        <n v="424.1008"/>
        <n v="424.4782"/>
        <n v="424.5972"/>
        <n v="425.28326"/>
        <n v="426.70078"/>
        <n v="429.0724"/>
        <n v="429.31774"/>
        <n v="431.63484"/>
        <n v="432.7525"/>
        <n v="434.00646"/>
        <n v="440.35804"/>
        <n v="440.68516"/>
        <n v="441.12132"/>
        <n v="441.186"/>
        <n v="441.93912"/>
        <n v="443.2476"/>
        <n v="444.0494"/>
        <n v="448.07262"/>
        <n v="450.1989"/>
        <n v="451.3052"/>
        <n v="453.4701"/>
        <n v="454.3076"/>
        <n v="461.32098"/>
        <n v="461.619"/>
        <n v="462.8748"/>
        <n v="466.3434"/>
        <n v="470.61664"/>
        <n v="470.86198"/>
        <n v="472.47032"/>
        <n v="473.45168"/>
        <n v="474.02414"/>
        <n v="474.65112"/>
        <n v="474.76016"/>
        <n v="476.99548"/>
        <n v="477.144"/>
        <n v="480.9678"/>
        <n v="481.02996"/>
        <n v="481.84776"/>
        <n v="482.6358"/>
        <n v="485.28252"/>
        <n v="486.34566"/>
        <n v="486.89086"/>
        <n v="486.97264"/>
        <n v="492.4872"/>
        <n v="496.9968"/>
        <n v="497.6313"/>
        <n v="497.82212"/>
        <n v="498.23102"/>
        <n v="501.61126"/>
        <n v="507.7175"/>
        <n v="508.15366"/>
        <n v="508.37174"/>
        <n v="508.64434"/>
        <n v="510.0188"/>
        <n v="513.9386"/>
        <n v="518.02178"/>
        <n v="518.0763"/>
        <n v="520.344"/>
        <n v="520.7774"/>
        <n v="527.1645"/>
        <n v="527.6173"/>
        <n v="528.65318"/>
        <n v="530.6464"/>
        <n v="538.84842"/>
        <n v="543.10098"/>
        <n v="545.31"/>
        <n v="547.13546"/>
        <n v="551.27898"/>
        <n v="552.72376"/>
        <n v="556.2168"/>
        <n v="557.03084"/>
        <n v="558.72096"/>
        <n v="559.72958"/>
        <n v="560.81998"/>
        <n v="562.4504"/>
        <n v="563.21886"/>
        <n v="566.29924"/>
        <n v="567.52594"/>
        <n v="567.98936"/>
        <n v="568.18018"/>
        <n v="569.40688"/>
        <n v="570.25194"/>
        <n v="576.08558"/>
        <n v="576.11284"/>
        <n v="577.7757"/>
        <n v="581.81018"/>
        <n v="584.2336"/>
        <n v="586.3854"/>
        <n v="589.74284"/>
        <n v="594.75868"/>
        <n v="598.60234"/>
        <n v="599.55644"/>
        <n v="601.51916"/>
        <n v="602.8596"/>
        <n v="607.0388"/>
        <n v="609.4584"/>
        <n v="613.0774"/>
        <n v="613.6226"/>
        <n v="616.2368"/>
        <n v="619.3472"/>
        <n v="621.01006"/>
        <n v="622.01868"/>
        <n v="627.14356"/>
        <n v="628.94272"/>
        <n v="630.0776"/>
        <n v="631.83228"/>
        <n v="634.224"/>
        <n v="645.9257"/>
        <n v="646.9552"/>
        <n v="649.44224"/>
        <n v="650.39634"/>
        <n v="650.75072"/>
        <n v="652.4681"/>
        <n v="653.58576"/>
        <n v="654.9215"/>
        <n v="656.66614"/>
        <n v="659.22858"/>
        <n v="665.0008"/>
        <n v="669.1182"/>
        <n v="670.92312"/>
        <n v="674.4124"/>
        <n v="676.15704"/>
        <n v="677.19292"/>
        <n v="677.73812"/>
        <n v="683.51724"/>
        <n v="684.6524"/>
        <n v="702.0813"/>
        <n v="702.59924"/>
        <n v="719.17332"/>
        <n v="724.65258"/>
        <n v="725.85202"/>
        <n v="732.01278"/>
        <n v="735.91096"/>
        <n v="736.53794"/>
        <n v="743.4366"/>
        <n v="768.29584"/>
        <n v="772.6847"/>
        <n v="776.4818"/>
        <n v="783.01624"/>
        <n v="801.22592"/>
        <n v="811.17582"/>
        <n v="811.7308"/>
        <n v="821.8326"/>
        <n v="825.0474"/>
        <n v="825.6678"/>
        <n v="838.98102"/>
        <n v="856.9324"/>
        <n v="873.683"/>
        <n v="883.4966"/>
        <n v="903.01"/>
        <n v="911.81974"/>
        <n v="923.2962"/>
        <n v="940.7426"/>
        <n v="948.94786"/>
        <n v="953.74562"/>
        <n v="973.7272"/>
        <n v="981.00562"/>
        <n v="983.62258"/>
        <n v="989.3406"/>
        <n v="1024.4308"/>
        <n v="1066.46572"/>
        <n v="1088.27372"/>
        <n v="1128.2914"/>
        <n v="2650.0752"/>
      </sharedItems>
    </cacheField>
    <cacheField name="ESC. DESCONTÍNUO &gt;=1,5 M &lt;3,0 M" numFmtId="0">
      <sharedItems containsSemiMixedTypes="0" containsString="0" containsNumber="1" minValue="0" maxValue="2704.5436" count="132">
        <n v="0"/>
        <n v="3.162"/>
        <n v="4.6055"/>
        <n v="4.697"/>
        <n v="5.5556"/>
        <n v="6.162"/>
        <n v="6.2"/>
        <n v="6.293"/>
        <n v="6.417"/>
        <n v="7.626"/>
        <n v="7.991"/>
        <n v="8.4485"/>
        <n v="8.64"/>
        <n v="8.6887"/>
        <n v="8.742"/>
        <n v="8.928"/>
        <n v="9.3635"/>
        <n v="10.261"/>
        <n v="11.041"/>
        <n v="11.6205"/>
        <n v="12.2305"/>
        <n v="12.4745"/>
        <n v="13.144"/>
        <n v="13.32"/>
        <n v="13.428"/>
        <n v="13.795"/>
        <n v="14.945"/>
        <n v="15.128"/>
        <n v="15.314"/>
        <n v="15.8295"/>
        <n v="16.287"/>
        <n v="16.9885"/>
        <n v="17.298"/>
        <n v="19.5505"/>
        <n v="20.832"/>
        <n v="20.894"/>
        <n v="24.1961"/>
        <n v="26.2605"/>
        <n v="28.7876"/>
        <n v="28.792"/>
        <n v="33.062"/>
        <n v="33.6856"/>
        <n v="34.8005"/>
        <n v="36.656"/>
        <n v="45.1815"/>
        <n v="45.689"/>
        <n v="45.75"/>
        <n v="47.268"/>
        <n v="50.8435"/>
        <n v="51.714"/>
        <n v="55.774"/>
        <n v="60.078"/>
        <n v="67.588"/>
        <n v="68.256"/>
        <n v="69.906"/>
        <n v="70.99"/>
        <n v="74.8775"/>
        <n v="75.457"/>
        <n v="77.47"/>
        <n v="78.141"/>
        <n v="83.664"/>
        <n v="87.9315"/>
        <n v="94.8855"/>
        <n v="99.2165"/>
        <n v="104.188"/>
        <n v="104.859"/>
        <n v="105.8045"/>
        <n v="108.824"/>
        <n v="113.9175"/>
        <n v="115.4425"/>
        <n v="121.4704"/>
        <n v="122.0305"/>
        <n v="122.7625"/>
        <n v="124.8975"/>
        <n v="125.599"/>
        <n v="127.063"/>
        <n v="130.235"/>
        <n v="131.638"/>
        <n v="132.5225"/>
        <n v="134.9015"/>
        <n v="135.542"/>
        <n v="137.677"/>
        <n v="138.165"/>
        <n v="140.056"/>
        <n v="141.398"/>
        <n v="151.1275"/>
        <n v="151.344"/>
        <n v="152.378"/>
        <n v="152.5305"/>
        <n v="164.4255"/>
        <n v="172.203"/>
        <n v="175.1615"/>
        <n v="191.208"/>
        <n v="192.028"/>
        <n v="197.579"/>
        <n v="206.8815"/>
        <n v="207.6135"/>
        <n v="213.866"/>
        <n v="230.5495"/>
        <n v="245.0675"/>
        <n v="255.285"/>
        <n v="284.5955"/>
        <n v="294.221"/>
        <n v="307.928"/>
        <n v="308.5075"/>
        <n v="320.0975"/>
        <n v="326.6499"/>
        <n v="332.4805"/>
        <n v="345.888"/>
        <n v="401.1665"/>
        <n v="437.4827"/>
        <n v="442.2193"/>
        <n v="496.476"/>
        <n v="497.2576"/>
        <n v="593.1895"/>
        <n v="606.7365"/>
        <n v="625.1988"/>
        <n v="636.352"/>
        <n v="685.9728"/>
        <n v="702.354"/>
        <n v="889.812"/>
        <n v="959.2777"/>
        <n v="1014.0945"/>
        <n v="1058.004"/>
        <n v="1137.359"/>
        <n v="1175.458"/>
        <n v="1211.338"/>
        <n v="1354.8881"/>
        <n v="1756.8818"/>
        <n v="1942.344"/>
        <n v="2018.648"/>
        <n v="2704.5436"/>
      </sharedItems>
    </cacheField>
    <cacheField name="ESC. CONTÍNUO MISTO &gt;=3,0 M" numFmtId="0">
      <sharedItems containsSemiMixedTypes="0" containsString="0" containsNumber="1" containsInteger="1" minValue="0" maxValue="0" count="1">
        <n v="0"/>
      </sharedItems>
    </cacheField>
    <cacheField name="TRANSPORTE A GRANEL" numFmtId="0">
      <sharedItems containsSemiMixedTypes="0" containsString="0" containsNumber="1" minValue="0" maxValue="2389.08312" count="1428">
        <n v="0"/>
        <n v="0.44028985"/>
        <n v="0.44390125"/>
        <n v="0.5645822"/>
        <n v="0.7469579"/>
        <n v="0.83333055"/>
        <n v="0.866736"/>
        <n v="0.87967685"/>
        <n v="0.993135"/>
        <n v="1.1038846"/>
        <n v="1.1749088"/>
        <n v="1.1845392"/>
        <n v="1.2387102"/>
        <n v="1.3524"/>
        <n v="1.39430135"/>
        <n v="1.4406"/>
        <n v="1.48869"/>
        <n v="1.50822"/>
        <n v="1.5420678"/>
        <n v="1.5498"/>
        <n v="1.5504944"/>
        <n v="1.61700435"/>
        <n v="1.643187"/>
        <n v="1.665405"/>
        <n v="1.679301"/>
        <n v="1.70969695"/>
        <n v="2.0211802"/>
        <n v="2.0422467"/>
        <n v="2.07204075"/>
        <n v="2.0813702"/>
        <n v="2.1525"/>
        <n v="2.17857705"/>
        <n v="2.197845"/>
        <n v="2.23608"/>
        <n v="2.38141735"/>
        <n v="2.59569375"/>
        <n v="2.654085"/>
        <n v="2.6712322"/>
        <n v="2.835"/>
        <n v="2.8602288"/>
        <n v="2.9157975"/>
        <n v="2.916095"/>
        <n v="2.9884335"/>
        <n v="3.024"/>
        <n v="3.087"/>
        <n v="3.0931641"/>
        <n v="3.16863"/>
        <n v="3.1978947"/>
        <n v="3.2592"/>
        <n v="3.378375"/>
        <n v="3.406"/>
        <n v="3.41788915"/>
        <n v="3.431142"/>
        <n v="3.4625"/>
        <n v="3.4974975"/>
        <n v="3.56664"/>
        <n v="3.5939449"/>
        <n v="3.6897"/>
        <n v="3.775"/>
        <n v="3.8262783"/>
        <n v="3.85"/>
        <n v="3.8675"/>
        <n v="3.8894778"/>
        <n v="3.9312"/>
        <n v="4.04928225"/>
        <n v="4.07484"/>
        <n v="4.08072"/>
        <n v="4.1440815"/>
        <n v="4.1820012"/>
        <n v="4.2"/>
        <n v="4.2945"/>
        <n v="4.3300686"/>
        <n v="4.3427085"/>
        <n v="4.4173441"/>
        <n v="4.436003"/>
        <n v="4.4394"/>
        <n v="4.44528"/>
        <n v="4.4603325"/>
        <n v="4.536"/>
        <n v="4.5973122"/>
        <n v="4.632075"/>
        <n v="4.725"/>
        <n v="4.72882735"/>
        <n v="4.7585"/>
        <n v="4.7736"/>
        <n v="4.803162"/>
        <n v="4.87539"/>
        <n v="4.935"/>
        <n v="4.94852085"/>
        <n v="4.95298125"/>
        <n v="4.99125575"/>
        <n v="5.0125"/>
        <n v="5.12367375"/>
        <n v="5.13912"/>
        <n v="5.2542"/>
        <n v="5.2557908"/>
        <n v="5.292"/>
        <n v="5.300685"/>
        <n v="5.376"/>
        <n v="5.39595"/>
        <n v="5.4784938"/>
        <n v="5.560275"/>
        <n v="5.5608"/>
        <n v="5.611"/>
        <n v="5.6133"/>
        <n v="5.6511"/>
        <n v="5.6711018"/>
        <n v="5.7276804"/>
        <n v="5.8209749"/>
        <n v="5.9154732"/>
        <n v="6.0978489"/>
        <n v="6.1502142"/>
        <n v="6.20568"/>
        <n v="6.2559"/>
        <n v="6.2621676"/>
        <n v="6.298215"/>
        <n v="6.37"/>
        <n v="6.408"/>
        <n v="6.49194"/>
        <n v="6.747"/>
        <n v="6.8887455"/>
        <n v="6.92406"/>
        <n v="6.93504"/>
        <n v="6.9625"/>
        <n v="6.96864"/>
        <n v="7.011225"/>
        <n v="7.1322225"/>
        <n v="7.2009"/>
        <n v="7.43904"/>
        <n v="7.4676"/>
        <n v="7.70432"/>
        <n v="7.74522"/>
        <n v="7.8644254"/>
        <n v="7.97667975"/>
        <n v="8.0492087"/>
        <n v="8.05793625"/>
        <n v="8.2404"/>
        <n v="8.28364875"/>
        <n v="8.28576"/>
        <n v="8.3664"/>
        <n v="8.36641"/>
        <n v="8.41125155"/>
        <n v="8.5374"/>
        <n v="8.6562"/>
        <n v="8.6962512"/>
        <n v="8.89056"/>
        <n v="9.0349875"/>
        <n v="9.19926"/>
        <n v="9.4367"/>
        <n v="9.4879125"/>
        <n v="9.522058"/>
        <n v="9.525"/>
        <n v="9.552725"/>
        <n v="9.5611815"/>
        <n v="9.5886375"/>
        <n v="9.6432"/>
        <n v="9.7713"/>
        <n v="9.7902"/>
        <n v="9.8405775"/>
        <n v="9.859122"/>
        <n v="9.89352"/>
        <n v="9.91368"/>
        <n v="10.009597"/>
        <n v="10.06236"/>
        <n v="10.063768"/>
        <n v="10.0740003"/>
        <n v="10.1682"/>
        <n v="10.2112335"/>
        <n v="10.3378275"/>
        <n v="10.3761"/>
        <n v="10.5079702"/>
        <n v="10.5417"/>
        <n v="10.584"/>
        <n v="10.6458053"/>
        <n v="10.790325"/>
        <n v="10.94688"/>
        <n v="10.9527743"/>
        <n v="11.13525"/>
        <n v="11.1456"/>
        <n v="11.172"/>
        <n v="11.193"/>
        <n v="11.50441565"/>
        <n v="11.5817598"/>
        <n v="11.628708"/>
        <n v="11.91762"/>
        <n v="11.95992"/>
        <n v="12.02166"/>
        <n v="12.3184854"/>
        <n v="12.3672393"/>
        <n v="12.7575"/>
        <n v="12.850565"/>
        <n v="12.916774"/>
        <n v="13.145496"/>
        <n v="13.1803875"/>
        <n v="13.3284736"/>
        <n v="13.3573648"/>
        <n v="13.35826765"/>
        <n v="13.65741195"/>
        <n v="13.8262449"/>
        <n v="13.9356"/>
        <n v="13.968675"/>
        <n v="14.04924885"/>
        <n v="14.3829"/>
        <n v="14.4225"/>
        <n v="14.4438"/>
        <n v="14.47992"/>
        <n v="14.523015"/>
        <n v="14.5364625"/>
        <n v="14.6273738"/>
        <n v="14.69388375"/>
        <n v="14.80222575"/>
        <n v="14.8266027"/>
        <n v="15.0974577"/>
        <n v="15.2437194"/>
        <n v="15.68461115"/>
        <n v="15.7312584"/>
        <n v="15.7691781"/>
        <n v="15.7914484"/>
        <n v="15.9431272"/>
        <n v="16.09944"/>
        <n v="16.1553"/>
        <n v="16.2145841"/>
        <n v="16.27928835"/>
        <n v="16.3078786"/>
        <n v="16.35934105"/>
        <n v="16.3801066"/>
        <n v="17.2299894"/>
        <n v="17.3148573"/>
        <n v="17.55621"/>
        <n v="17.6230301"/>
        <n v="17.6453004"/>
        <n v="17.6525232"/>
        <n v="17.8980984"/>
        <n v="17.982"/>
        <n v="18.0666304"/>
        <n v="18.081"/>
        <n v="18.1278"/>
        <n v="18.1382565"/>
        <n v="18.19125"/>
        <n v="18.6143594"/>
        <n v="18.6522791"/>
        <n v="18.793215"/>
        <n v="18.8165978"/>
        <n v="18.9947602"/>
        <n v="19.0230495"/>
        <n v="19.0549502"/>
        <n v="19.2288993"/>
        <n v="19.4798916"/>
        <n v="19.5328588"/>
        <n v="19.6182"/>
        <n v="19.74984375"/>
        <n v="19.7904"/>
        <n v="19.7995005"/>
        <n v="19.96701"/>
        <n v="19.9680325"/>
        <n v="20.023605"/>
        <n v="20.0360472"/>
        <n v="20.0486871"/>
        <n v="20.187726"/>
        <n v="20.37294"/>
        <n v="20.44224"/>
        <n v="20.45707625"/>
        <n v="20.7077676"/>
        <n v="20.8474084"/>
        <n v="20.9763"/>
        <n v="21.018348"/>
        <n v="21.06468"/>
        <n v="21.186216"/>
        <n v="21.2254016"/>
        <n v="21.6015891"/>
        <n v="21.721"/>
        <n v="21.873046"/>
        <n v="21.92511035"/>
        <n v="22.0144925"/>
        <n v="22.1991"/>
        <n v="22.2089062"/>
        <n v="22.2600677"/>
        <n v="22.26518385"/>
        <n v="22.36269165"/>
        <n v="22.37625"/>
        <n v="22.44033675"/>
        <n v="22.4406377"/>
        <n v="22.6777863"/>
        <n v="22.9341957"/>
        <n v="22.93810805"/>
        <n v="23.0437415"/>
        <n v="23.076846"/>
        <n v="23.16562625"/>
        <n v="23.3905"/>
        <n v="23.4006682"/>
        <n v="23.40277485"/>
        <n v="23.46356675"/>
        <n v="23.5100775"/>
        <n v="23.54394"/>
        <n v="23.6"/>
        <n v="23.6817"/>
        <n v="23.68548"/>
        <n v="23.72832"/>
        <n v="23.7973203"/>
        <n v="23.8183868"/>
        <n v="23.9483972"/>
        <n v="24.05342875"/>
        <n v="24.0886399"/>
        <n v="24.1169292"/>
        <n v="24.12144"/>
        <n v="24.402"/>
        <n v="24.5611314"/>
        <n v="24.59152735"/>
        <n v="24.7417014"/>
        <n v="24.8133275"/>
        <n v="24.8193465"/>
        <n v="24.835725"/>
        <n v="25.02248775"/>
        <n v="25.08996"/>
        <n v="25.2394727"/>
        <n v="25.333971"/>
        <n v="25.5440341"/>
        <n v="25.71768225"/>
        <n v="25.807275"/>
        <n v="25.880715"/>
        <n v="25.96566505"/>
        <n v="26.0002743"/>
        <n v="26.09568"/>
        <n v="26.17677"/>
        <n v="26.2283944"/>
        <n v="26.2687217"/>
        <n v="26.2783521"/>
        <n v="26.54379"/>
        <n v="26.63136"/>
        <n v="26.63724"/>
        <n v="26.67735"/>
        <n v="26.67831465"/>
        <n v="26.760474"/>
        <n v="26.856778"/>
        <n v="26.901"/>
        <n v="26.9609067"/>
        <n v="27"/>
        <n v="27.0873057"/>
        <n v="27.1113817"/>
        <n v="27.1793964"/>
        <n v="27.241994"/>
        <n v="27.3069992"/>
        <n v="27.31512485"/>
        <n v="27.4321944"/>
        <n v="27.452985"/>
        <n v="27.4538628"/>
        <n v="27.49810245"/>
        <n v="27.5055"/>
        <n v="27.68688"/>
        <n v="27.96036165"/>
        <n v="28.096692"/>
        <n v="28.19269505"/>
        <n v="28.29080475"/>
        <n v="28.34949"/>
        <n v="28.3729641"/>
        <n v="28.392"/>
        <n v="28.48401465"/>
        <n v="28.638402"/>
        <n v="28.6817388"/>
        <n v="28.775985"/>
        <n v="28.8105454"/>
        <n v="28.81566155"/>
        <n v="28.84966875"/>
        <n v="28.9044"/>
        <n v="28.981485"/>
        <n v="29.1312"/>
        <n v="29.1602493"/>
        <n v="29.4299005"/>
        <n v="29.43742425"/>
        <n v="29.5201725"/>
        <n v="29.6303332"/>
        <n v="29.6526035"/>
        <n v="30.0131416"/>
        <n v="30.0197625"/>
        <n v="30.0324024"/>
        <n v="30.2978403"/>
        <n v="30.522349"/>
        <n v="30.5388"/>
        <n v="30.6138378"/>
        <n v="30.69238575"/>
        <n v="30.7041228"/>
        <n v="30.7366254"/>
        <n v="30.86452915"/>
        <n v="30.9460866"/>
        <n v="31.36959"/>
        <n v="31.436"/>
        <n v="31.83358815"/>
        <n v="31.9410273"/>
        <n v="31.9578"/>
        <n v="31.9602881"/>
        <n v="32.2382025"/>
        <n v="32.276475"/>
        <n v="32.2811008"/>
        <n v="32.52336555"/>
        <n v="32.5242684"/>
        <n v="32.61804"/>
        <n v="32.64408"/>
        <n v="32.64976455"/>
        <n v="32.719284"/>
        <n v="32.803785"/>
        <n v="32.9203186"/>
        <n v="32.94589935"/>
        <n v="33.07590975"/>
        <n v="33.21795815"/>
        <n v="33.24745125"/>
        <n v="33.27114"/>
        <n v="33.38287875"/>
        <n v="33.6695625"/>
        <n v="33.770925"/>
        <n v="33.97875975"/>
        <n v="33.9822"/>
        <n v="34.2631575"/>
        <n v="34.47713295"/>
        <n v="34.51746025"/>
        <n v="34.68599225"/>
        <n v="34.6947198"/>
        <n v="34.84970905"/>
        <n v="35.11334125"/>
        <n v="35.16269705"/>
        <n v="35.16699375"/>
        <n v="35.4242226"/>
        <n v="35.53578"/>
        <n v="35.608404"/>
        <n v="35.698689"/>
        <n v="35.7462391"/>
        <n v="35.81424"/>
        <n v="35.90905305"/>
        <n v="35.92590625"/>
        <n v="36.12672"/>
        <n v="36.246418"/>
        <n v="36.40686"/>
        <n v="36.498"/>
        <n v="36.5148"/>
        <n v="36.58378295"/>
        <n v="36.6282"/>
        <n v="36.811005"/>
        <n v="36.85311"/>
        <n v="36.860356"/>
        <n v="37.2955297"/>
        <n v="37.33353"/>
        <n v="37.37025"/>
        <n v="37.476075"/>
        <n v="37.479"/>
        <n v="37.611"/>
        <n v="37.67013"/>
        <n v="37.811358"/>
        <n v="37.93635"/>
        <n v="37.9955394"/>
        <n v="38.0442933"/>
        <n v="38.0583"/>
        <n v="38.0664"/>
        <n v="38.08492155"/>
        <n v="38.1325725"/>
        <n v="38.172225"/>
        <n v="38.40693805"/>
        <n v="38.8430146"/>
        <n v="38.8773"/>
        <n v="38.930892"/>
        <n v="39.0831"/>
        <n v="39.32544"/>
        <n v="39.38424"/>
        <n v="39.4106063"/>
        <n v="39.5881668"/>
        <n v="39.78765"/>
        <n v="39.8054527"/>
        <n v="39.80635555"/>
        <n v="39.95334"/>
        <n v="40.01"/>
        <n v="40.0239424"/>
        <n v="40.0973742"/>
        <n v="40.11392645"/>
        <n v="40.152749"/>
        <n v="40.23135"/>
        <n v="40.4205945"/>
        <n v="40.5075"/>
        <n v="40.50787"/>
        <n v="40.65264"/>
        <n v="40.76142"/>
        <n v="40.8623891"/>
        <n v="41.076"/>
        <n v="41.07915"/>
        <n v="41.1428745"/>
        <n v="41.17932"/>
        <n v="41.2775"/>
        <n v="41.29164"/>
        <n v="41.4414"/>
        <n v="41.5738349"/>
        <n v="41.65599425"/>
        <n v="41.9018704"/>
        <n v="41.91642"/>
        <n v="41.9748"/>
        <n v="42.170625"/>
        <n v="42.2347211"/>
        <n v="42.45948"/>
        <n v="42.4845096"/>
        <n v="42.488121"/>
        <n v="42.56245565"/>
        <n v="42.6133162"/>
        <n v="42.6943125"/>
        <n v="42.740919"/>
        <n v="42.771014"/>
        <n v="42.819"/>
        <n v="42.83932965"/>
        <n v="42.9341289"/>
        <n v="42.96211725"/>
        <n v="43.04412"/>
        <n v="43.2072"/>
        <n v="43.212"/>
        <n v="43.218"/>
        <n v="43.22472"/>
        <n v="43.2790176"/>
        <n v="43.295"/>
        <n v="43.3656912"/>
        <n v="43.4902845"/>
        <n v="43.602405"/>
        <n v="43.61818825"/>
        <n v="43.67844"/>
        <n v="43.72713215"/>
        <n v="43.7551205"/>
        <n v="43.770168"/>
        <n v="43.8460074"/>
        <n v="43.96066935"/>
        <n v="43.99738525"/>
        <n v="44.0139375"/>
        <n v="44.1"/>
        <n v="44.1222795"/>
        <n v="44.1282985"/>
        <n v="44.23"/>
        <n v="44.282875"/>
        <n v="44.35431195"/>
        <n v="44.45"/>
        <n v="44.595"/>
        <n v="44.6946864"/>
        <n v="44.92130175"/>
        <n v="45.2135242"/>
        <n v="45.2406097"/>
        <n v="45.5752661"/>
        <n v="45.587906"/>
        <n v="45.6583283"/>
        <n v="45.8918655"/>
        <n v="45.9544631"/>
        <n v="45.97703435"/>
        <n v="46.10718"/>
        <n v="46.1332274"/>
        <n v="46.15970625"/>
        <n v="46.20876585"/>
        <n v="46.375875"/>
        <n v="46.38732"/>
        <n v="46.42764"/>
        <n v="46.5238605"/>
        <n v="46.556965"/>
        <n v="46.611136"/>
        <n v="46.6496576"/>
        <n v="46.67712"/>
        <n v="46.71195425"/>
        <n v="46.7688375"/>
        <n v="46.80163735"/>
        <n v="46.97784"/>
        <n v="47.05428"/>
        <n v="47.2064151"/>
        <n v="47.30934"/>
        <n v="47.3960136"/>
        <n v="47.397"/>
        <n v="47.4552"/>
        <n v="47.53476"/>
        <n v="47.5946406"/>
        <n v="47.6193375"/>
        <n v="47.8588747"/>
        <n v="47.8973963"/>
        <n v="48.0749568"/>
        <n v="48.24258595"/>
        <n v="48.296456"/>
        <n v="48.37896"/>
        <n v="48.4180398"/>
        <n v="48.4225875"/>
        <n v="48.49182"/>
        <n v="48.645558"/>
        <n v="48.6849825"/>
        <n v="48.7322316"/>
        <n v="48.7436677"/>
        <n v="48.7563076"/>
        <n v="48.8219147"/>
        <n v="48.9115978"/>
        <n v="48.9888"/>
        <n v="49.02156"/>
        <n v="49.14"/>
        <n v="49.278"/>
        <n v="49.30734705"/>
        <n v="49.3225425"/>
        <n v="49.3425582"/>
        <n v="49.3475325"/>
        <n v="49.9871931"/>
        <n v="49.999833"/>
        <n v="50.1055875"/>
        <n v="50.1533175"/>
        <n v="50.1689669"/>
        <n v="50.204479"/>
        <n v="50.27640605"/>
        <n v="50.29687065"/>
        <n v="50.84459965"/>
        <n v="51.0121125"/>
        <n v="51.04112"/>
        <n v="51.0844568"/>
        <n v="51.1344145"/>
        <n v="51.2108558"/>
        <n v="51.2566002"/>
        <n v="51.30324745"/>
        <n v="51.50292"/>
        <n v="51.5100001"/>
        <n v="51.92667"/>
        <n v="51.9538275"/>
        <n v="52.088426"/>
        <n v="52.200435"/>
        <n v="52.3219632"/>
        <n v="52.353"/>
        <n v="52.38156"/>
        <n v="52.4303052"/>
        <n v="52.47875815"/>
        <n v="52.4880876"/>
        <n v="52.581984"/>
        <n v="52.74720555"/>
        <n v="52.887"/>
        <n v="52.9368"/>
        <n v="52.9575696"/>
        <n v="52.9768304"/>
        <n v="53.1279"/>
        <n v="53.135732"/>
        <n v="53.1766612"/>
        <n v="53.375"/>
        <n v="53.43744"/>
        <n v="53.5299765"/>
        <n v="53.5980375"/>
        <n v="53.6310957"/>
        <n v="53.6527641"/>
        <n v="53.75117475"/>
        <n v="53.95545"/>
        <n v="53.9759844"/>
        <n v="54.07258935"/>
        <n v="54.1464"/>
        <n v="54.171"/>
        <n v="54.21704535"/>
        <n v="54.403965"/>
        <n v="54.6091832"/>
        <n v="54.7602601"/>
        <n v="54.8120235"/>
        <n v="54.8643888"/>
        <n v="54.90802655"/>
        <n v="55.01366"/>
        <n v="55.0352475"/>
        <n v="55.0368"/>
        <n v="55.12353"/>
        <n v="55.2189079"/>
        <n v="55.2547275"/>
        <n v="55.301"/>
        <n v="55.30356"/>
        <n v="55.32393945"/>
        <n v="55.34019075"/>
        <n v="55.4223501"/>
        <n v="55.4524425"/>
        <n v="55.471104"/>
        <n v="55.4975876"/>
        <n v="55.50636"/>
        <n v="55.5162465"/>
        <n v="55.632"/>
        <n v="55.6552854"/>
        <n v="55.8012"/>
        <n v="56.0392976"/>
        <n v="56.08554"/>
        <n v="56.205422"/>
        <n v="56.283669"/>
        <n v="56.4413668"/>
        <n v="56.572581"/>
        <n v="56.61200545"/>
        <n v="56.6971743"/>
        <n v="56.72997785"/>
        <n v="56.76912"/>
        <n v="56.8344075"/>
        <n v="56.837417"/>
        <n v="57.0185889"/>
        <n v="57.05380005"/>
        <n v="57.0787789"/>
        <n v="57.1305423"/>
        <n v="57.1907323"/>
        <n v="57.252728"/>
        <n v="57.794438"/>
        <n v="57.8221254"/>
        <n v="57.8317558"/>
        <n v="57.85914225"/>
        <n v="57.97008"/>
        <n v="58.27248"/>
        <n v="58.43682"/>
        <n v="58.4842154"/>
        <n v="58.6675"/>
        <n v="58.67110535"/>
        <n v="58.721364"/>
        <n v="58.7586818"/>
        <n v="58.92183"/>
        <n v="58.9573088"/>
        <n v="59.010276"/>
        <n v="59.0205"/>
        <n v="59.443644"/>
        <n v="59.52912"/>
        <n v="59.5676354"/>
        <n v="59.5718487"/>
        <n v="59.78"/>
        <n v="59.852936"/>
        <n v="59.88092435"/>
        <n v="59.9137279"/>
        <n v="60.6209604"/>
        <n v="60.7360275"/>
        <n v="60.813675"/>
        <n v="60.858"/>
        <n v="60.9050572"/>
        <n v="60.908715"/>
        <n v="60.91258095"/>
        <n v="60.97572"/>
        <n v="61.1337792"/>
        <n v="61.3504632"/>
        <n v="61.3662"/>
        <n v="61.3769468"/>
        <n v="61.4226912"/>
        <n v="61.5466826"/>
        <n v="61.7537362"/>
        <n v="61.7663761"/>
        <n v="61.7711913"/>
        <n v="61.7838312"/>
        <n v="61.79292"/>
        <n v="61.884"/>
        <n v="61.9164"/>
        <n v="61.95687745"/>
        <n v="62.00924275"/>
        <n v="62.3016"/>
        <n v="62.331675"/>
        <n v="62.456895"/>
        <n v="62.6842736"/>
        <n v="62.68626"/>
        <n v="62.7502725"/>
        <n v="62.95032"/>
        <n v="62.98672835"/>
        <n v="62.99575685"/>
        <n v="63.06316965"/>
        <n v="63.295804"/>
        <n v="63.3252971"/>
        <n v="63.38052"/>
        <n v="63.387135"/>
        <n v="63.3969232"/>
        <n v="63.4793835"/>
        <n v="63.495"/>
        <n v="63.52458"/>
        <n v="63.6174"/>
        <n v="63.79488"/>
        <n v="63.83475"/>
        <n v="64.23165"/>
        <n v="64.842687"/>
        <n v="64.89315"/>
        <n v="64.8932466"/>
        <n v="64.90678935"/>
        <n v="65.0304798"/>
        <n v="65.30615"/>
        <n v="65.3537001"/>
        <n v="65.47635"/>
        <n v="65.570986"/>
        <n v="65.74722"/>
        <n v="65.8292011"/>
        <n v="65.9423583"/>
        <n v="65.9982225"/>
        <n v="66.203865"/>
        <n v="66.2186304"/>
        <n v="66.2493273"/>
        <n v="66.263925"/>
        <n v="66.4326075"/>
        <n v="66.4575847"/>
        <n v="66.4781175"/>
        <n v="66.528"/>
        <n v="66.65892025"/>
        <n v="66.7229325"/>
        <n v="66.8554406"/>
        <n v="66.898"/>
        <n v="66.91914"/>
        <n v="66.96648"/>
        <n v="67.2653345"/>
        <n v="67.4877"/>
        <n v="67.6342992"/>
        <n v="67.9876145"/>
        <n v="68.022045"/>
        <n v="68.14206"/>
        <n v="68.1718275"/>
        <n v="68.1796206"/>
        <n v="68.22858"/>
        <n v="68.3078253"/>
        <n v="68.37264"/>
        <n v="68.5154808"/>
        <n v="68.6075715"/>
        <n v="68.640676"/>
        <n v="68.79717"/>
        <n v="68.9025025"/>
        <n v="68.985"/>
        <n v="69.0217425"/>
        <n v="69.18268695"/>
        <n v="69.35292"/>
        <n v="69.5068101"/>
        <n v="69.50891675"/>
        <n v="69.54234"/>
        <n v="69.85146"/>
        <n v="69.93042"/>
        <n v="70.003605"/>
        <n v="70.006"/>
        <n v="70.03728"/>
        <n v="70.0756056"/>
        <n v="70.10307"/>
        <n v="70.21915875"/>
        <n v="70.30192"/>
        <n v="70.5448575"/>
        <n v="70.72325"/>
        <n v="70.75698"/>
        <n v="70.78344"/>
        <n v="70.8845592"/>
        <n v="71.3779425"/>
        <n v="71.668233"/>
        <n v="71.8644524"/>
        <n v="72.0022875"/>
        <n v="72.45"/>
        <n v="72.8238"/>
        <n v="73.07685"/>
        <n v="73.144"/>
        <n v="73.15308"/>
        <n v="73.1844191"/>
        <n v="73.293363"/>
        <n v="73.2942"/>
        <n v="73.36224"/>
        <n v="73.4125392"/>
        <n v="73.516066"/>
        <n v="73.7352"/>
        <n v="73.889244"/>
        <n v="73.9663575"/>
        <n v="73.96704"/>
        <n v="73.9819366"/>
        <n v="74.21427"/>
        <n v="74.280479"/>
        <n v="74.3298348"/>
        <n v="74.34084"/>
        <n v="74.4237312"/>
        <n v="74.4363711"/>
        <n v="74.491144"/>
        <n v="74.7433401"/>
        <n v="74.84355645"/>
        <n v="74.9221044"/>
        <n v="75.38916"/>
        <n v="76.0038975"/>
        <n v="76.0398327"/>
        <n v="76.22766"/>
        <n v="76.26528"/>
        <n v="76.36576155"/>
        <n v="76.4316"/>
        <n v="76.5652914"/>
        <n v="76.63005"/>
        <n v="76.64727"/>
        <n v="76.712155"/>
        <n v="76.73904"/>
        <n v="76.94862"/>
        <n v="76.9499055"/>
        <n v="77.0868"/>
        <n v="77.175"/>
        <n v="77.67732"/>
        <n v="77.68992"/>
        <n v="77.855765"/>
        <n v="77.995575"/>
        <n v="78.096525"/>
        <n v="78.17688"/>
        <n v="78.3216"/>
        <n v="78.55512"/>
        <n v="78.59208"/>
        <n v="78.6898125"/>
        <n v="78.818805"/>
        <n v="78.9644648"/>
        <n v="78.96928"/>
        <n v="79.023451"/>
        <n v="79.24163975"/>
        <n v="79.34121"/>
        <n v="79.39813375"/>
        <n v="79.444781"/>
        <n v="79.992"/>
        <n v="80.25102605"/>
        <n v="80.34432"/>
        <n v="80.3686975"/>
        <n v="81.10683"/>
        <n v="81.144"/>
        <n v="81.166215"/>
        <n v="81.83448"/>
        <n v="81.9546"/>
        <n v="82.05687"/>
        <n v="82.08603"/>
        <n v="82.42569075"/>
        <n v="82.6143675"/>
        <n v="82.7179132"/>
        <n v="82.7895393"/>
        <n v="82.791345"/>
        <n v="82.87245"/>
        <n v="82.9231611"/>
        <n v="82.9837575"/>
        <n v="83.2332375"/>
        <n v="83.278884"/>
        <n v="83.333055"/>
        <n v="83.3354626"/>
        <n v="83.5605"/>
        <n v="83.5774264"/>
        <n v="83.7315128"/>
        <n v="84.0896433"/>
        <n v="84.284057"/>
        <n v="84.3070725"/>
        <n v="84.3339"/>
        <n v="84.49863435"/>
        <n v="84.52485"/>
        <n v="84.6048697"/>
        <n v="85.29024"/>
        <n v="85.361458"/>
        <n v="85.4613734"/>
        <n v="85.49772"/>
        <n v="85.5757344"/>
        <n v="85.59018"/>
        <n v="85.64525385"/>
        <n v="85.7743614"/>
        <n v="85.82448"/>
        <n v="86.023548"/>
        <n v="86.11512"/>
        <n v="86.2403625"/>
        <n v="86.3377398"/>
        <n v="86.5784998"/>
        <n v="86.6043815"/>
        <n v="86.725"/>
        <n v="86.91436"/>
        <n v="87.4229655"/>
        <n v="87.450051"/>
        <n v="88.0445475"/>
        <n v="88.0748232"/>
        <n v="88.0796384"/>
        <n v="88.2180754"/>
        <n v="88.42663375"/>
        <n v="88.8139564"/>
        <n v="88.9499858"/>
        <n v="89.0358"/>
        <n v="89.20729805"/>
        <n v="89.396064"/>
        <n v="89.45298"/>
        <n v="89.495055"/>
        <n v="89.775"/>
        <n v="89.941917"/>
        <n v="90.018"/>
        <n v="90.05356945"/>
        <n v="90.1404"/>
        <n v="90.18538555"/>
        <n v="90.34519"/>
        <n v="90.6028032"/>
        <n v="90.6900787"/>
        <n v="90.700311"/>
        <n v="90.7279984"/>
        <n v="90.98470875"/>
        <n v="91.5075"/>
        <n v="91.6603415"/>
        <n v="92.1456"/>
        <n v="92.668524"/>
        <n v="92.97097875"/>
        <n v="93.159"/>
        <n v="93.29781045"/>
        <n v="93.39288"/>
        <n v="93.59033385"/>
        <n v="94.03044"/>
        <n v="94.2647628"/>
        <n v="94.751098"/>
        <n v="95.124276"/>
        <n v="95.2043287"/>
        <n v="95.39712"/>
        <n v="95.49876"/>
        <n v="95.64191"/>
        <n v="95.6802"/>
        <n v="96.6663438"/>
        <n v="96.74970695"/>
        <n v="97.0727625"/>
        <n v="97.459648"/>
        <n v="97.5673881"/>
        <n v="98.4269013"/>
        <n v="98.843355"/>
        <n v="99.0354222"/>
        <n v="99.28852115"/>
        <n v="99.67734855"/>
        <n v="99.6776495"/>
        <n v="99.6884837"/>
        <n v="99.7161711"/>
        <n v="100.1796341"/>
        <n v="100.1940797"/>
        <n v="100.22266995"/>
        <n v="100.4375"/>
        <n v="100.7685"/>
        <n v="100.7833398"/>
        <n v="100.8230652"/>
        <n v="100.95036705"/>
        <n v="101.00694565"/>
        <n v="101.2076793"/>
        <n v="101.21821255"/>
        <n v="101.4297804"/>
        <n v="101.4478374"/>
        <n v="101.4594"/>
        <n v="101.5080274"/>
        <n v="101.5392"/>
        <n v="101.8499066"/>
        <n v="101.920245"/>
        <n v="102.05406"/>
        <n v="102.3458722"/>
        <n v="102.418"/>
        <n v="103.2108025"/>
        <n v="103.4280884"/>
        <n v="103.51152"/>
        <n v="103.9144236"/>
        <n v="104.38841985"/>
        <n v="105.00295975"/>
        <n v="105.0459956"/>
        <n v="105.33761615"/>
        <n v="105.4294059"/>
        <n v="105.4323"/>
        <n v="106.1300175"/>
        <n v="106.2455"/>
        <n v="106.6338"/>
        <n v="106.7493726"/>
        <n v="106.9786965"/>
        <n v="107.0706"/>
        <n v="107.0762043"/>
        <n v="107.384979"/>
        <n v="107.63928175"/>
        <n v="108.20628"/>
        <n v="109.90014"/>
        <n v="110.0429694"/>
        <n v="110.316232"/>
        <n v="110.36655"/>
        <n v="110.985"/>
        <n v="111.0474"/>
        <n v="111.0722184"/>
        <n v="111.1805604"/>
        <n v="111.5723973"/>
        <n v="111.9136746"/>
        <n v="112.13397"/>
        <n v="112.308521"/>
        <n v="112.3181514"/>
        <n v="112.4427447"/>
        <n v="112.6776"/>
        <n v="112.705775"/>
        <n v="114.469342"/>
        <n v="114.76457395"/>
        <n v="115.2020625"/>
        <n v="115.719"/>
        <n v="115.81947"/>
        <n v="115.83936"/>
        <n v="115.93948275"/>
        <n v="116.04222"/>
        <n v="116.1642924"/>
        <n v="116.4942"/>
        <n v="116.6088"/>
        <n v="117.0344175"/>
        <n v="117.4752306"/>
        <n v="117.50442275"/>
        <n v="117.61697805"/>
        <n v="117.8385075"/>
        <n v="118.3443742"/>
        <n v="118.62018"/>
        <n v="118.622452"/>
        <n v="119.19696555"/>
        <n v="119.3346"/>
        <n v="119.3501491"/>
        <n v="119.392"/>
        <n v="119.71722"/>
        <n v="119.729948"/>
        <n v="120.75966"/>
        <n v="120.814"/>
        <n v="120.8645295"/>
        <n v="120.9367575"/>
        <n v="121.0908439"/>
        <n v="121.3183621"/>
        <n v="121.3803578"/>
        <n v="121.67799735"/>
        <n v="121.74841965"/>
        <n v="122.1261119"/>
        <n v="122.291505"/>
        <n v="122.46769015"/>
        <n v="122.89725"/>
        <n v="122.94786"/>
        <n v="123.59646"/>
        <n v="123.9504"/>
        <n v="124.18430895"/>
        <n v="124.6396463"/>
        <n v="124.7203125"/>
        <n v="124.9056861"/>
        <n v="124.987995"/>
        <n v="125.4630455"/>
        <n v="125.656335"/>
        <n v="126.114975"/>
        <n v="126.321"/>
        <n v="126.423076"/>
        <n v="126.4784508"/>
        <n v="127.6154399"/>
        <n v="127.77584625"/>
        <n v="127.80834885"/>
        <n v="127.8732"/>
        <n v="128.1132112"/>
        <n v="128.4286068"/>
        <n v="128.5802856"/>
        <n v="128.8047943"/>
        <n v="128.877"/>
        <n v="129.08558065"/>
        <n v="129.1870008"/>
        <n v="129.60108"/>
        <n v="129.715469"/>
        <n v="129.722"/>
        <n v="129.8749725"/>
        <n v="129.9369682"/>
        <n v="129.99168"/>
        <n v="130.02822"/>
        <n v="130.1404104"/>
        <n v="130.2288897"/>
        <n v="130.50305515"/>
        <n v="131.3917605"/>
        <n v="132.032784"/>
        <n v="132.7460355"/>
        <n v="133.0309575"/>
        <n v="133.14825"/>
        <n v="133.772275"/>
        <n v="133.93569085"/>
        <n v="133.9522431"/>
        <n v="134.38169875"/>
        <n v="134.53999845"/>
        <n v="134.7485568"/>
        <n v="134.8773634"/>
        <n v="134.8887995"/>
        <n v="134.9074584"/>
        <n v="134.9116717"/>
        <n v="134.91387"/>
        <n v="135.63786405"/>
        <n v="135.79974"/>
        <n v="136.07244"/>
        <n v="136.2244156"/>
        <n v="136.3128"/>
        <n v="136.3863267"/>
        <n v="137.27984725"/>
        <n v="137.49291985"/>
        <n v="138.0456"/>
        <n v="138.105"/>
        <n v="138.2976"/>
        <n v="138.5369154"/>
        <n v="138.701836"/>
        <n v="139.0304734"/>
        <n v="139.7882655"/>
        <n v="139.878585"/>
        <n v="140.41755"/>
        <n v="140.91084"/>
        <n v="141.05075075"/>
        <n v="141.3231105"/>
        <n v="141.76533"/>
        <n v="141.8238913"/>
        <n v="141.8702376"/>
        <n v="142.85712"/>
        <n v="142.97382125"/>
        <n v="143.19201"/>
        <n v="144.3007098"/>
        <n v="145.1566116"/>
        <n v="145.485249"/>
        <n v="145.56259315"/>
        <n v="145.6489658"/>
        <n v="146.27945605"/>
        <n v="146.370042"/>
        <n v="146.9171691"/>
        <n v="147.6851935"/>
        <n v="148.34276925"/>
        <n v="148.860585"/>
        <n v="148.8963"/>
        <n v="148.9269132"/>
        <n v="149.75121525"/>
        <n v="150.9342497"/>
        <n v="152.509422"/>
        <n v="152.7375421"/>
        <n v="154.4222602"/>
        <n v="154.54173735"/>
        <n v="155.97288"/>
        <n v="156.32316"/>
        <n v="157.372774"/>
        <n v="157.4"/>
        <n v="157.7405349"/>
        <n v="158.1040825"/>
        <n v="158.414061"/>
        <n v="158.4664263"/>
        <n v="158.55400275"/>
        <n v="158.781"/>
        <n v="158.8269644"/>
        <n v="159.62388"/>
        <n v="159.7009232"/>
        <n v="159.941145"/>
        <n v="160.10736"/>
        <n v="160.1132247"/>
        <n v="160.7016375"/>
        <n v="161.14758985"/>
        <n v="161.922618"/>
        <n v="161.94402"/>
        <n v="162.5954603"/>
        <n v="163.764952"/>
        <n v="164.14264425"/>
        <n v="164.4125"/>
        <n v="164.4444971"/>
        <n v="164.4493725"/>
        <n v="165.39760575"/>
        <n v="165.67447975"/>
        <n v="166.0864803"/>
        <n v="166.6709252"/>
        <n v="166.87404"/>
        <n v="167.0928571"/>
        <n v="167.4148736"/>
        <n v="167.90692685"/>
        <n v="169.3060434"/>
        <n v="169.810725"/>
        <n v="170.2143105"/>
        <n v="171.0112261"/>
        <n v="171.270645"/>
        <n v="171.718785"/>
        <n v="172.0964518"/>
        <n v="173.431466"/>
        <n v="173.91027745"/>
        <n v="173.9641475"/>
        <n v="174.12165"/>
        <n v="174.1236"/>
        <n v="175.69190145"/>
        <n v="176.133997"/>
        <n v="176.9714625"/>
        <n v="177.07248"/>
        <n v="177.94203"/>
        <n v="178.1061525"/>
        <n v="178.25418975"/>
        <n v="178.5307628"/>
        <n v="179.172"/>
        <n v="179.20278415"/>
        <n v="179.360181"/>
        <n v="179.9091"/>
        <n v="180.75809375"/>
        <n v="180.81275625"/>
        <n v="180.919102"/>
        <n v="181.83399"/>
        <n v="181.9724025"/>
        <n v="182.393757"/>
        <n v="182.5917821"/>
        <n v="183.02846055"/>
        <n v="183.12596835"/>
        <n v="183.32820675"/>
        <n v="183.7605"/>
        <n v="184.945845"/>
        <n v="185.1955"/>
        <n v="187.1210796"/>
        <n v="187.1391366"/>
        <n v="187.47414"/>
        <n v="187.5216"/>
        <n v="188.8118167"/>
        <n v="189.3630375"/>
        <n v="190.1570632"/>
        <n v="190.808319"/>
        <n v="191.1321412"/>
        <n v="191.656998"/>
        <n v="192.717"/>
        <n v="192.8346"/>
        <n v="193.5096462"/>
        <n v="193.9917681"/>
        <n v="194.45372635"/>
        <n v="195.2748"/>
        <n v="197.32177985"/>
        <n v="197.86228605"/>
        <n v="198.4349939"/>
        <n v="199.3601142"/>
        <n v="199.86288"/>
        <n v="199.8864"/>
        <n v="201.2283"/>
        <n v="201.922875"/>
        <n v="202.3"/>
        <n v="203.4432225"/>
        <n v="204.5073225"/>
        <n v="205.6782585"/>
        <n v="206.4366525"/>
        <n v="207.824032"/>
        <n v="208.642616"/>
        <n v="209.55312"/>
        <n v="210.5455275"/>
        <n v="210.90576"/>
        <n v="212.2654521"/>
        <n v="212.95312285"/>
        <n v="214.005545"/>
        <n v="214.583369"/>
        <n v="214.93134"/>
        <n v="216.174"/>
        <n v="217.4532282"/>
        <n v="217.899838"/>
        <n v="219.837956"/>
        <n v="220.2809544"/>
        <n v="220.8280815"/>
        <n v="221.3890875"/>
        <n v="221.592"/>
        <n v="223.06263525"/>
        <n v="223.4397256"/>
        <n v="223.942914"/>
        <n v="224.84064785"/>
        <n v="226.2794898"/>
        <n v="226.3047696"/>
        <n v="227.5356551"/>
        <n v="230.06333415"/>
        <n v="231.2343306"/>
        <n v="231.49074"/>
        <n v="231.5635875"/>
        <n v="233.275"/>
        <n v="233.76276"/>
        <n v="234.14508"/>
        <n v="234.221715"/>
        <n v="236.3805756"/>
        <n v="238.716"/>
        <n v="239.0128125"/>
        <n v="239.0710686"/>
        <n v="239.121225"/>
        <n v="240.3020025"/>
        <n v="243.7743152"/>
        <n v="244.0032"/>
        <n v="249.2516052"/>
        <n v="251.1150876"/>
        <n v="251.19486"/>
        <n v="252.7691088"/>
        <n v="254.1907966"/>
        <n v="254.9657025"/>
        <n v="255.78191925"/>
        <n v="256.88460005"/>
        <n v="258.4931778"/>
        <n v="258.8355"/>
        <n v="260.0406627"/>
        <n v="260.2176213"/>
        <n v="260.30862"/>
        <n v="260.6600178"/>
        <n v="262.3886746"/>
        <n v="262.496"/>
        <n v="263.42003025"/>
        <n v="264.0222312"/>
        <n v="264.4140681"/>
        <n v="266.56392"/>
        <n v="266.9763564"/>
        <n v="267.3086052"/>
        <n v="269.4384"/>
        <n v="269.58918"/>
        <n v="272.4873528"/>
        <n v="272.79747"/>
        <n v="274.28131575"/>
        <n v="274.8249"/>
        <n v="276.4665137"/>
        <n v="276.6236096"/>
        <n v="277.5029855"/>
        <n v="278.1175"/>
        <n v="278.6799375"/>
        <n v="286.5718128"/>
        <n v="288.8722746"/>
        <n v="290.374617"/>
        <n v="291.470075"/>
        <n v="291.692778"/>
        <n v="292.7063776"/>
        <n v="294.016112"/>
        <n v="296.869118"/>
        <n v="299.364"/>
        <n v="303.396975"/>
        <n v="304.5090347"/>
        <n v="305.795295"/>
        <n v="306.08256"/>
        <n v="306.3333"/>
        <n v="312.3776734"/>
        <n v="312.596765"/>
        <n v="314.2531938"/>
        <n v="316.129"/>
        <n v="319.284"/>
        <n v="324.18183525"/>
        <n v="325.5261789"/>
        <n v="325.9758645"/>
        <n v="332.7669675"/>
        <n v="333.1022942"/>
        <n v="337.059"/>
        <n v="339.08608305"/>
        <n v="341.21711"/>
        <n v="346.695552"/>
        <n v="347.9800584"/>
        <n v="348.776974"/>
        <n v="349.493235"/>
        <n v="350.9076285"/>
        <n v="363.47085775"/>
        <n v="377.1493362"/>
        <n v="379.0561554"/>
        <n v="380.7667552"/>
        <n v="385.29414"/>
        <n v="388.32192"/>
        <n v="391.6780875"/>
        <n v="391.9726125"/>
        <n v="392.59258545"/>
        <n v="395.5909503"/>
        <n v="410.5857"/>
        <n v="412.024626"/>
        <n v="413.6257125"/>
        <n v="423.50797515"/>
        <n v="431.4009"/>
        <n v="435.01248"/>
        <n v="440.00846175"/>
        <n v="444.04179365"/>
        <n v="446.66496"/>
        <n v="449.047575"/>
        <n v="459.9671648"/>
        <n v="463.697741"/>
        <n v="482.7244019"/>
        <n v="483.74703"/>
        <n v="496.45"/>
        <n v="498.735"/>
        <n v="502.23474"/>
        <n v="518.126544"/>
        <n v="527.037485"/>
        <n v="532.5285"/>
        <n v="542.464"/>
        <n v="570.7152"/>
        <n v="581.603932"/>
        <n v="595.7712"/>
        <n v="649.784421"/>
        <n v="796.08841"/>
        <n v="1041.08004"/>
        <n v="1242.29059"/>
        <n v="1364.82516"/>
        <n v="1614.9184"/>
        <n v="1715.2884"/>
        <n v="1831.972428"/>
        <n v="2389.08312"/>
      </sharedItems>
    </cacheField>
    <cacheField name="PLACA SINALIZAÇÃO" numFmtId="0">
      <sharedItems containsSemiMixedTypes="0" containsString="0" containsNumber="1" minValue="0" maxValue="18.1512" count="1363">
        <n v="0"/>
        <n v="0.0118"/>
        <n v="0.012"/>
        <n v="0.0132"/>
        <n v="0.0134"/>
        <n v="0.0142"/>
        <n v="0.0146"/>
        <n v="0.0154"/>
        <n v="0.0158"/>
        <n v="0.018"/>
        <n v="0.0192"/>
        <n v="0.0196"/>
        <n v="0.0204"/>
        <n v="0.0226"/>
        <n v="0.0228"/>
        <n v="0.0244"/>
        <n v="0.0262"/>
        <n v="0.0278"/>
        <n v="0.028"/>
        <n v="0.03"/>
        <n v="0.0302"/>
        <n v="0.0308"/>
        <n v="0.0314"/>
        <n v="0.0344"/>
        <n v="0.0364"/>
        <n v="0.0368"/>
        <n v="0.0372"/>
        <n v="0.0386"/>
        <n v="0.0388"/>
        <n v="0.039"/>
        <n v="0.0392"/>
        <n v="0.0396"/>
        <n v="0.0398"/>
        <n v="0.04"/>
        <n v="0.0406"/>
        <n v="0.041"/>
        <n v="0.0414"/>
        <n v="0.048"/>
        <n v="0.0484"/>
        <n v="0.0492"/>
        <n v="0.0494"/>
        <n v="0.05"/>
        <n v="0.0502"/>
        <n v="0.0506"/>
        <n v="0.0524"/>
        <n v="0.0536"/>
        <n v="0.0538"/>
        <n v="0.0554"/>
        <n v="0.0556"/>
        <n v="0.056"/>
        <n v="0.0564"/>
        <n v="0.0576"/>
        <n v="0.0584"/>
        <n v="0.0594"/>
        <n v="0.0598"/>
        <n v="0.0604"/>
        <n v="0.0608"/>
        <n v="0.0614"/>
        <n v="0.0622"/>
        <n v="0.0634"/>
        <n v="0.0644"/>
        <n v="0.0652"/>
        <n v="0.0662"/>
        <n v="0.069"/>
        <n v="0.0692"/>
        <n v="0.0694"/>
        <n v="0.0716"/>
        <n v="0.0718"/>
        <n v="0.0724"/>
        <n v="0.0726"/>
        <n v="0.074"/>
        <n v="0.0746"/>
        <n v="0.0754"/>
        <n v="0.0762"/>
        <n v="0.078"/>
        <n v="0.0784"/>
        <n v="0.0802"/>
        <n v="0.081"/>
        <n v="0.0818"/>
        <n v="0.084"/>
        <n v="0.0848"/>
        <n v="0.0864"/>
        <n v="0.0872"/>
        <n v="0.0882"/>
        <n v="0.0888"/>
        <n v="0.089"/>
        <n v="0.0894"/>
        <n v="0.0902"/>
        <n v="0.0916"/>
        <n v="0.094"/>
        <n v="0.0944"/>
        <n v="0.0976"/>
        <n v="0.098"/>
        <n v="0.0988"/>
        <n v="0.1016"/>
        <n v="0.1018"/>
        <n v="0.1024"/>
        <n v="0.1032"/>
        <n v="0.1034"/>
        <n v="0.1038"/>
        <n v="0.1048"/>
        <n v="0.105"/>
        <n v="0.1068"/>
        <n v="0.107"/>
        <n v="0.1098"/>
        <n v="0.1112"/>
        <n v="0.1114"/>
        <n v="0.1116"/>
        <n v="0.112"/>
        <n v="0.1134"/>
        <n v="0.1142"/>
        <n v="0.1156"/>
        <n v="0.1158"/>
        <n v="0.1188"/>
        <n v="0.1198"/>
        <n v="0.12"/>
        <n v="0.1208"/>
        <n v="0.121"/>
        <n v="0.1228"/>
        <n v="0.124"/>
        <n v="0.1244"/>
        <n v="0.1282"/>
        <n v="0.1312"/>
        <n v="0.1332"/>
        <n v="0.1344"/>
        <n v="0.1346"/>
        <n v="0.1348"/>
        <n v="0.1356"/>
        <n v="0.1362"/>
        <n v="0.1366"/>
        <n v="0.1392"/>
        <n v="0.1404"/>
        <n v="0.1452"/>
        <n v="0.1462"/>
        <n v="0.1522"/>
        <n v="0.153"/>
        <n v="0.157"/>
        <n v="0.1582"/>
        <n v="0.1594"/>
        <n v="0.1608"/>
        <n v="0.1614"/>
        <n v="0.162"/>
        <n v="0.1644"/>
        <n v="0.1654"/>
        <n v="0.166"/>
        <n v="0.1672"/>
        <n v="0.1676"/>
        <n v="0.1706"/>
        <n v="0.1722"/>
        <n v="0.1758"/>
        <n v="0.1778"/>
        <n v="0.1806"/>
        <n v="0.181"/>
        <n v="0.1822"/>
        <n v="0.1888"/>
        <n v="0.198"/>
        <n v="0.2072"/>
        <n v="0.2076"/>
        <n v="0.2086"/>
        <n v="0.2118"/>
        <n v="0.2128"/>
        <n v="0.2132"/>
        <n v="0.2138"/>
        <n v="0.2168"/>
        <n v="0.2172"/>
        <n v="0.2186"/>
        <n v="0.2202"/>
        <n v="0.2232"/>
        <n v="0.224"/>
        <n v="0.2248"/>
        <n v="0.225"/>
        <n v="0.2282"/>
        <n v="0.232"/>
        <n v="0.2324"/>
        <n v="0.2348"/>
        <n v="0.2354"/>
        <n v="0.2408"/>
        <n v="0.2412"/>
        <n v="0.2424"/>
        <n v="0.2474"/>
        <n v="0.2494"/>
        <n v="0.2496"/>
        <n v="0.2506"/>
        <n v="0.2546"/>
        <n v="0.2556"/>
        <n v="0.2572"/>
        <n v="0.2574"/>
        <n v="0.2576"/>
        <n v="0.2626"/>
        <n v="0.2632"/>
        <n v="0.2642"/>
        <n v="0.2676"/>
        <n v="0.273"/>
        <n v="0.2774"/>
        <n v="0.2852"/>
        <n v="0.2878"/>
        <n v="0.2892"/>
        <n v="0.2898"/>
        <n v="0.2904"/>
        <n v="0.2906"/>
        <n v="0.2914"/>
        <n v="0.2928"/>
        <n v="0.2942"/>
        <n v="0.2964"/>
        <n v="0.2996"/>
        <n v="0.3"/>
        <n v="0.304"/>
        <n v="0.3042"/>
        <n v="0.3044"/>
        <n v="0.305"/>
        <n v="0.3052"/>
        <n v="0.3076"/>
        <n v="0.312"/>
        <n v="0.315"/>
        <n v="0.316"/>
        <n v="0.3196"/>
        <n v="0.3306"/>
        <n v="0.3326"/>
        <n v="0.3332"/>
        <n v="0.3334"/>
        <n v="0.3338"/>
        <n v="0.334"/>
        <n v="0.3352"/>
        <n v="0.3408"/>
        <n v="0.341"/>
        <n v="0.344"/>
        <n v="0.3458"/>
        <n v="0.3504"/>
        <n v="0.3514"/>
        <n v="0.353"/>
        <n v="0.3534"/>
        <n v="0.3596"/>
        <n v="0.3634"/>
        <n v="0.3644"/>
        <n v="0.3656"/>
        <n v="0.3716"/>
        <n v="0.3718"/>
        <n v="0.3748"/>
        <n v="0.3754"/>
        <n v="0.3768"/>
        <n v="0.377"/>
        <n v="0.3788"/>
        <n v="0.3792"/>
        <n v="0.3794"/>
        <n v="0.3866"/>
        <n v="0.3876"/>
        <n v="0.3884"/>
        <n v="0.3938"/>
        <n v="0.3958"/>
        <n v="0.3966"/>
        <n v="0.3986"/>
        <n v="0.403"/>
        <n v="0.4072"/>
        <n v="0.41"/>
        <n v="0.4178"/>
        <n v="0.4214"/>
        <n v="0.4216"/>
        <n v="0.4218"/>
        <n v="0.4248"/>
        <n v="0.4282"/>
        <n v="0.4286"/>
        <n v="0.431"/>
        <n v="0.4322"/>
        <n v="0.4332"/>
        <n v="0.4342"/>
        <n v="0.4386"/>
        <n v="0.4404"/>
        <n v="0.4408"/>
        <n v="0.4414"/>
        <n v="0.4432"/>
        <n v="0.444"/>
        <n v="0.4466"/>
        <n v="0.4548"/>
        <n v="0.458"/>
        <n v="0.4584"/>
        <n v="0.4594"/>
        <n v="0.461"/>
        <n v="0.4636"/>
        <n v="0.4648"/>
        <n v="0.4668"/>
        <n v="0.4672"/>
        <n v="0.4674"/>
        <n v="0.4702"/>
        <n v="0.4758"/>
        <n v="0.4772"/>
        <n v="0.4786"/>
        <n v="0.4872"/>
        <n v="0.4876"/>
        <n v="0.4898"/>
        <n v="0.491"/>
        <n v="0.4928"/>
        <n v="0.4948"/>
        <n v="0.495"/>
        <n v="0.4968"/>
        <n v="0.5"/>
        <n v="0.503"/>
        <n v="0.5046"/>
        <n v="0.5054"/>
        <n v="0.5064"/>
        <n v="0.508"/>
        <n v="0.5118"/>
        <n v="0.5124"/>
        <n v="0.5142"/>
        <n v="0.5164"/>
        <n v="0.5178"/>
        <n v="0.5208"/>
        <n v="0.5222"/>
        <n v="0.523"/>
        <n v="0.5236"/>
        <n v="0.5246"/>
        <n v="0.525"/>
        <n v="0.526"/>
        <n v="0.5308"/>
        <n v="0.535"/>
        <n v="0.5356"/>
        <n v="0.5386"/>
        <n v="0.5394"/>
        <n v="0.5408"/>
        <n v="0.5438"/>
        <n v="0.5476"/>
        <n v="0.548"/>
        <n v="0.5486"/>
        <n v="0.5498"/>
        <n v="0.5536"/>
        <n v="0.5554"/>
        <n v="0.5556"/>
        <n v="0.5646"/>
        <n v="0.5654"/>
        <n v="0.5656"/>
        <n v="0.5684"/>
        <n v="0.5714"/>
        <n v="0.5722"/>
        <n v="0.5736"/>
        <n v="0.574"/>
        <n v="0.5766"/>
        <n v="0.579"/>
        <n v="0.5818"/>
        <n v="0.5852"/>
        <n v="0.5856"/>
        <n v="0.5862"/>
        <n v="0.5902"/>
        <n v="0.5928"/>
        <n v="0.5934"/>
        <n v="0.5994"/>
        <n v="0.6022"/>
        <n v="0.6042"/>
        <n v="0.6054"/>
        <n v="0.6088"/>
        <n v="0.611"/>
        <n v="0.6158"/>
        <n v="0.616"/>
        <n v="0.6222"/>
        <n v="0.623"/>
        <n v="0.6296"/>
        <n v="0.6304"/>
        <n v="0.6352"/>
        <n v="0.6388"/>
        <n v="0.6398"/>
        <n v="0.6444"/>
        <n v="0.6452"/>
        <n v="0.648"/>
        <n v="0.6484"/>
        <n v="0.65"/>
        <n v="0.6502"/>
        <n v="0.6506"/>
        <n v="0.6514"/>
        <n v="0.6516"/>
        <n v="0.6524"/>
        <n v="0.654"/>
        <n v="0.6546"/>
        <n v="0.6554"/>
        <n v="0.6562"/>
        <n v="0.6636"/>
        <n v="0.665"/>
        <n v="0.6678"/>
        <n v="0.6704"/>
        <n v="0.6708"/>
        <n v="0.672"/>
        <n v="0.673"/>
        <n v="0.6734"/>
        <n v="0.6792"/>
        <n v="0.6796"/>
        <n v="0.6832"/>
        <n v="0.6836"/>
        <n v="0.684"/>
        <n v="0.6872"/>
        <n v="0.6876"/>
        <n v="0.6924"/>
        <n v="0.6938"/>
        <n v="0.695"/>
        <n v="0.6958"/>
        <n v="0.6972"/>
        <n v="0.6978"/>
        <n v="0.698"/>
        <n v="0.7006"/>
        <n v="0.707"/>
        <n v="0.7114"/>
        <n v="0.7136"/>
        <n v="0.7186"/>
        <n v="0.7206"/>
        <n v="0.721"/>
        <n v="0.723"/>
        <n v="0.7234"/>
        <n v="0.7244"/>
        <n v="0.726"/>
        <n v="0.7318"/>
        <n v="0.7324"/>
        <n v="0.7328"/>
        <n v="0.7342"/>
        <n v="0.7376"/>
        <n v="0.7384"/>
        <n v="0.7388"/>
        <n v="0.7402"/>
        <n v="0.7406"/>
        <n v="0.7416"/>
        <n v="0.7452"/>
        <n v="0.747"/>
        <n v="0.7478"/>
        <n v="0.748"/>
        <n v="0.7504"/>
        <n v="0.7538"/>
        <n v="0.7542"/>
        <n v="0.7558"/>
        <n v="0.757"/>
        <n v="0.7574"/>
        <n v="0.7584"/>
        <n v="0.7586"/>
        <n v="0.7592"/>
        <n v="0.7604"/>
        <n v="0.7642"/>
        <n v="0.7654"/>
        <n v="0.7668"/>
        <n v="0.7678"/>
        <n v="0.7688"/>
        <n v="0.769"/>
        <n v="0.7694"/>
        <n v="0.7696"/>
        <n v="0.7698"/>
        <n v="0.7708"/>
        <n v="0.772"/>
        <n v="0.7738"/>
        <n v="0.776"/>
        <n v="0.7768"/>
        <n v="0.7774"/>
        <n v="0.78"/>
        <n v="0.782"/>
        <n v="0.7848"/>
        <n v="0.7858"/>
        <n v="0.7888"/>
        <n v="0.79"/>
        <n v="0.7908"/>
        <n v="0.7928"/>
        <n v="0.7938"/>
        <n v="0.7944"/>
        <n v="0.7978"/>
        <n v="0.8002"/>
        <n v="0.805"/>
        <n v="0.8066"/>
        <n v="0.8068"/>
        <n v="0.8072"/>
        <n v="0.808"/>
        <n v="0.8088"/>
        <n v="0.8122"/>
        <n v="0.8126"/>
        <n v="0.8134"/>
        <n v="0.8144"/>
        <n v="0.8146"/>
        <n v="0.815"/>
        <n v="0.8156"/>
        <n v="0.819"/>
        <n v="0.8236"/>
        <n v="0.8258"/>
        <n v="0.8264"/>
        <n v="0.8282"/>
        <n v="0.8292"/>
        <n v="0.8294"/>
        <n v="0.83"/>
        <n v="0.831"/>
        <n v="0.8316"/>
        <n v="0.832"/>
        <n v="0.8326"/>
        <n v="0.8332"/>
        <n v="0.8334"/>
        <n v="0.8354"/>
        <n v="0.838"/>
        <n v="0.839"/>
        <n v="0.8402"/>
        <n v="0.8408"/>
        <n v="0.8418"/>
        <n v="0.8464"/>
        <n v="0.8478"/>
        <n v="0.848"/>
        <n v="0.8486"/>
        <n v="0.8494"/>
        <n v="0.8506"/>
        <n v="0.8512"/>
        <n v="0.8516"/>
        <n v="0.852"/>
        <n v="0.854"/>
        <n v="0.8554"/>
        <n v="0.8558"/>
        <n v="0.858"/>
        <n v="0.8594"/>
        <n v="0.8596"/>
        <n v="0.8608"/>
        <n v="0.8618"/>
        <n v="0.8632"/>
        <n v="0.8654"/>
        <n v="0.8672"/>
        <n v="0.869"/>
        <n v="0.8694"/>
        <n v="0.8696"/>
        <n v="0.8702"/>
        <n v="0.8706"/>
        <n v="0.8722"/>
        <n v="0.8736"/>
        <n v="0.874"/>
        <n v="0.8742"/>
        <n v="0.875"/>
        <n v="0.876"/>
        <n v="0.878"/>
        <n v="0.8786"/>
        <n v="0.8818"/>
        <n v="0.882"/>
        <n v="0.8828"/>
        <n v="0.8832"/>
        <n v="0.8838"/>
        <n v="0.8846"/>
        <n v="0.8868"/>
        <n v="0.8874"/>
        <n v="0.8876"/>
        <n v="0.8888"/>
        <n v="0.889"/>
        <n v="0.8896"/>
        <n v="0.8904"/>
        <n v="0.8924"/>
        <n v="0.893"/>
        <n v="0.8938"/>
        <n v="0.8956"/>
        <n v="0.896"/>
        <n v="0.897"/>
        <n v="0.8972"/>
        <n v="0.898"/>
        <n v="0.8988"/>
        <n v="0.8996"/>
        <n v="0.9"/>
        <n v="0.9006"/>
        <n v="0.9014"/>
        <n v="0.9028"/>
        <n v="0.9052"/>
        <n v="0.906"/>
        <n v="0.9068"/>
        <n v="0.9072"/>
        <n v="0.9082"/>
        <n v="0.9088"/>
        <n v="0.91"/>
        <n v="0.9106"/>
        <n v="0.9122"/>
        <n v="0.9128"/>
        <n v="0.914"/>
        <n v="0.9144"/>
        <n v="0.9164"/>
        <n v="0.9182"/>
        <n v="0.9184"/>
        <n v="0.9188"/>
        <n v="0.92"/>
        <n v="0.9204"/>
        <n v="0.9208"/>
        <n v="0.921"/>
        <n v="0.9214"/>
        <n v="0.9234"/>
        <n v="0.924"/>
        <n v="0.9242"/>
        <n v="0.9272"/>
        <n v="0.9276"/>
        <n v="0.9294"/>
        <n v="0.9308"/>
        <n v="0.9312"/>
        <n v="0.9334"/>
        <n v="0.9338"/>
        <n v="0.934"/>
        <n v="0.9352"/>
        <n v="0.9356"/>
        <n v="0.9364"/>
        <n v="0.937"/>
        <n v="0.9372"/>
        <n v="0.9374"/>
        <n v="0.938"/>
        <n v="0.9392"/>
        <n v="0.9396"/>
        <n v="0.9412"/>
        <n v="0.9414"/>
        <n v="0.9416"/>
        <n v="0.9426"/>
        <n v="0.9444"/>
        <n v="0.9458"/>
        <n v="0.946"/>
        <n v="0.9468"/>
        <n v="0.9472"/>
        <n v="0.9474"/>
        <n v="0.949"/>
        <n v="0.9492"/>
        <n v="0.95"/>
        <n v="0.9504"/>
        <n v="0.951"/>
        <n v="0.9512"/>
        <n v="0.953"/>
        <n v="0.9544"/>
        <n v="0.955"/>
        <n v="0.9566"/>
        <n v="0.9588"/>
        <n v="0.9598"/>
        <n v="0.9602"/>
        <n v="0.9604"/>
        <n v="0.961"/>
        <n v="0.963"/>
        <n v="0.9634"/>
        <n v="0.964"/>
        <n v="0.9664"/>
        <n v="0.9668"/>
        <n v="0.968"/>
        <n v="0.9688"/>
        <n v="0.9692"/>
        <n v="0.9694"/>
        <n v="0.97"/>
        <n v="0.9704"/>
        <n v="0.9706"/>
        <n v="0.9708"/>
        <n v="0.9716"/>
        <n v="0.9722"/>
        <n v="0.9734"/>
        <n v="0.9738"/>
        <n v="0.9754"/>
        <n v="0.9756"/>
        <n v="0.9758"/>
        <n v="0.9762"/>
        <n v="0.977"/>
        <n v="0.9772"/>
        <n v="0.9774"/>
        <n v="0.9776"/>
        <n v="0.9784"/>
        <n v="0.9788"/>
        <n v="0.98"/>
        <n v="0.9804"/>
        <n v="0.9806"/>
        <n v="0.9814"/>
        <n v="0.9818"/>
        <n v="0.9844"/>
        <n v="0.9856"/>
        <n v="0.986"/>
        <n v="0.9872"/>
        <n v="0.9876"/>
        <n v="0.9886"/>
        <n v="0.9906"/>
        <n v="0.9908"/>
        <n v="0.991"/>
        <n v="0.9924"/>
        <n v="0.9942"/>
        <n v="0.995"/>
        <n v="0.9952"/>
        <n v="0.9954"/>
        <n v="0.9968"/>
        <n v="0.9972"/>
        <n v="0.998"/>
        <n v="0.9984"/>
        <n v="0.9992"/>
        <n v="1.0002"/>
        <n v="1.003"/>
        <n v="1.0066"/>
        <n v="1.0074"/>
        <n v="1.01"/>
        <n v="1.0104"/>
        <n v="1.0108"/>
        <n v="1.0114"/>
        <n v="1.0124"/>
        <n v="1.013"/>
        <n v="1.0136"/>
        <n v="1.0182"/>
        <n v="1.0194"/>
        <n v="1.0196"/>
        <n v="1.0198"/>
        <n v="1.0206"/>
        <n v="1.0228"/>
        <n v="1.0264"/>
        <n v="1.0268"/>
        <n v="1.027"/>
        <n v="1.0306"/>
        <n v="1.0342"/>
        <n v="1.0348"/>
        <n v="1.0372"/>
        <n v="1.038"/>
        <n v="1.0432"/>
        <n v="1.0434"/>
        <n v="1.0478"/>
        <n v="1.048"/>
        <n v="1.0516"/>
        <n v="1.0518"/>
        <n v="1.0536"/>
        <n v="1.0538"/>
        <n v="1.055"/>
        <n v="1.056"/>
        <n v="1.0658"/>
        <n v="1.0674"/>
        <n v="1.0678"/>
        <n v="1.0688"/>
        <n v="1.0714"/>
        <n v="1.0738"/>
        <n v="1.0752"/>
        <n v="1.0766"/>
        <n v="1.0772"/>
        <n v="1.0778"/>
        <n v="1.078"/>
        <n v="1.0782"/>
        <n v="1.0786"/>
        <n v="1.0792"/>
        <n v="1.0798"/>
        <n v="1.0824"/>
        <n v="1.0872"/>
        <n v="1.092"/>
        <n v="1.095"/>
        <n v="1.0986"/>
        <n v="1.0998"/>
        <n v="1.1002"/>
        <n v="1.1032"/>
        <n v="1.104"/>
        <n v="1.1096"/>
        <n v="1.1188"/>
        <n v="1.1266"/>
        <n v="1.1284"/>
        <n v="1.1292"/>
        <n v="1.1314"/>
        <n v="1.1338"/>
        <n v="1.1342"/>
        <n v="1.1348"/>
        <n v="1.1352"/>
        <n v="1.1388"/>
        <n v="1.1394"/>
        <n v="1.1404"/>
        <n v="1.1408"/>
        <n v="1.1474"/>
        <n v="1.1486"/>
        <n v="1.1526"/>
        <n v="1.1528"/>
        <n v="1.153"/>
        <n v="1.1572"/>
        <n v="1.1586"/>
        <n v="1.1648"/>
        <n v="1.1658"/>
        <n v="1.168"/>
        <n v="1.1696"/>
        <n v="1.172"/>
        <n v="1.1746"/>
        <n v="1.175"/>
        <n v="1.1752"/>
        <n v="1.1762"/>
        <n v="1.1764"/>
        <n v="1.1774"/>
        <n v="1.1844"/>
        <n v="1.189"/>
        <n v="1.1956"/>
        <n v="1.197"/>
        <n v="1.199"/>
        <n v="1.2008"/>
        <n v="1.2018"/>
        <n v="1.2026"/>
        <n v="1.204"/>
        <n v="1.2044"/>
        <n v="1.2048"/>
        <n v="1.205"/>
        <n v="1.2058"/>
        <n v="1.2066"/>
        <n v="1.208"/>
        <n v="1.2088"/>
        <n v="1.2122"/>
        <n v="1.2214"/>
        <n v="1.2224"/>
        <n v="1.223"/>
        <n v="1.2274"/>
        <n v="1.2286"/>
        <n v="1.2298"/>
        <n v="1.233"/>
        <n v="1.2336"/>
        <n v="1.2376"/>
        <n v="1.2378"/>
        <n v="1.2426"/>
        <n v="1.2428"/>
        <n v="1.2456"/>
        <n v="1.2544"/>
        <n v="1.2568"/>
        <n v="1.2586"/>
        <n v="1.259"/>
        <n v="1.2592"/>
        <n v="1.265"/>
        <n v="1.2678"/>
        <n v="1.2684"/>
        <n v="1.2696"/>
        <n v="1.2702"/>
        <n v="1.2704"/>
        <n v="1.271"/>
        <n v="1.2714"/>
        <n v="1.2756"/>
        <n v="1.2758"/>
        <n v="1.2774"/>
        <n v="1.28"/>
        <n v="1.2956"/>
        <n v="1.3006"/>
        <n v="1.3018"/>
        <n v="1.3042"/>
        <n v="1.3064"/>
        <n v="1.307"/>
        <n v="1.3096"/>
        <n v="1.3198"/>
        <n v="1.3212"/>
        <n v="1.323"/>
        <n v="1.3252"/>
        <n v="1.3282"/>
        <n v="1.3288"/>
        <n v="1.3466"/>
        <n v="1.3504"/>
        <n v="1.3552"/>
        <n v="1.3566"/>
        <n v="1.3614"/>
        <n v="1.3636"/>
        <n v="1.3638"/>
        <n v="1.3666"/>
        <n v="1.3672"/>
        <n v="1.371"/>
        <n v="1.3726"/>
        <n v="1.378"/>
        <n v="1.382"/>
        <n v="1.3924"/>
        <n v="1.3946"/>
        <n v="1.4024"/>
        <n v="1.4062"/>
        <n v="1.4084"/>
        <n v="1.4104"/>
        <n v="1.4106"/>
        <n v="1.4114"/>
        <n v="1.4134"/>
        <n v="1.4138"/>
        <n v="1.424"/>
        <n v="1.4256"/>
        <n v="1.4282"/>
        <n v="1.429"/>
        <n v="1.4388"/>
        <n v="1.4398"/>
        <n v="1.4406"/>
        <n v="1.4414"/>
        <n v="1.4434"/>
        <n v="1.4444"/>
        <n v="1.4516"/>
        <n v="1.4528"/>
        <n v="1.4574"/>
        <n v="1.4594"/>
        <n v="1.4596"/>
        <n v="1.4618"/>
        <n v="1.4706"/>
        <n v="1.4712"/>
        <n v="1.4728"/>
        <n v="1.474"/>
        <n v="1.486"/>
        <n v="1.4946"/>
        <n v="1.4968"/>
        <n v="1.5008"/>
        <n v="1.5014"/>
        <n v="1.5046"/>
        <n v="1.5102"/>
        <n v="1.5118"/>
        <n v="1.5122"/>
        <n v="1.5146"/>
        <n v="1.5198"/>
        <n v="1.52"/>
        <n v="1.521"/>
        <n v="1.5212"/>
        <n v="1.524"/>
        <n v="1.526"/>
        <n v="1.53"/>
        <n v="1.531"/>
        <n v="1.5438"/>
        <n v="1.5466"/>
        <n v="1.5522"/>
        <n v="1.5556"/>
        <n v="1.568"/>
        <n v="1.5682"/>
        <n v="1.569"/>
        <n v="1.572"/>
        <n v="1.5772"/>
        <n v="1.5778"/>
        <n v="1.58"/>
        <n v="1.5804"/>
        <n v="1.5814"/>
        <n v="1.583"/>
        <n v="1.584"/>
        <n v="1.5872"/>
        <n v="1.588"/>
        <n v="1.5888"/>
        <n v="1.5898"/>
        <n v="1.595"/>
        <n v="1.5952"/>
        <n v="1.603"/>
        <n v="1.6052"/>
        <n v="1.606"/>
        <n v="1.6064"/>
        <n v="1.607"/>
        <n v="1.6186"/>
        <n v="1.6192"/>
        <n v="1.624"/>
        <n v="1.6282"/>
        <n v="1.6318"/>
        <n v="1.6336"/>
        <n v="1.6444"/>
        <n v="1.6472"/>
        <n v="1.6496"/>
        <n v="1.6508"/>
        <n v="1.6624"/>
        <n v="1.674"/>
        <n v="1.6772"/>
        <n v="1.6822"/>
        <n v="1.6842"/>
        <n v="1.685"/>
        <n v="1.6928"/>
        <n v="1.6972"/>
        <n v="1.7046"/>
        <n v="1.7064"/>
        <n v="1.7074"/>
        <n v="1.7078"/>
        <n v="1.7122"/>
        <n v="1.7242"/>
        <n v="1.7248"/>
        <n v="1.7294"/>
        <n v="1.736"/>
        <n v="1.7466"/>
        <n v="1.7494"/>
        <n v="1.758"/>
        <n v="1.7658"/>
        <n v="1.768"/>
        <n v="1.7684"/>
        <n v="1.774"/>
        <n v="1.7772"/>
        <n v="1.7928"/>
        <n v="1.798"/>
        <n v="1.7996"/>
        <n v="1.7998"/>
        <n v="1.8046"/>
        <n v="1.805"/>
        <n v="1.8156"/>
        <n v="1.8178"/>
        <n v="1.8232"/>
        <n v="1.8282"/>
        <n v="1.8288"/>
        <n v="1.8292"/>
        <n v="1.83"/>
        <n v="1.8328"/>
        <n v="1.8354"/>
        <n v="1.8438"/>
        <n v="1.852"/>
        <n v="1.8602"/>
        <n v="1.8614"/>
        <n v="1.863"/>
        <n v="1.8656"/>
        <n v="1.8658"/>
        <n v="1.8662"/>
        <n v="1.8678"/>
        <n v="1.8716"/>
        <n v="1.8726"/>
        <n v="1.8728"/>
        <n v="1.874"/>
        <n v="1.8816"/>
        <n v="1.8842"/>
        <n v="1.8856"/>
        <n v="1.8938"/>
        <n v="1.896"/>
        <n v="1.8982"/>
        <n v="1.9012"/>
        <n v="1.9038"/>
        <n v="1.913"/>
        <n v="1.9158"/>
        <n v="1.9216"/>
        <n v="1.933"/>
        <n v="1.9372"/>
        <n v="1.9468"/>
        <n v="1.9572"/>
        <n v="1.9592"/>
        <n v="1.9628"/>
        <n v="1.965"/>
        <n v="1.9658"/>
        <n v="1.9706"/>
        <n v="1.9708"/>
        <n v="1.9782"/>
        <n v="1.9804"/>
        <n v="1.9866"/>
        <n v="1.9892"/>
        <n v="1.9928"/>
        <n v="2.0042"/>
        <n v="2.009"/>
        <n v="2.0092"/>
        <n v="2.0192"/>
        <n v="2.0202"/>
        <n v="2.0226"/>
        <n v="2.023"/>
        <n v="2.0258"/>
        <n v="2.0274"/>
        <n v="2.0314"/>
        <n v="2.0456"/>
        <n v="2.0466"/>
        <n v="2.048"/>
        <n v="2.0496"/>
        <n v="2.0548"/>
        <n v="2.056"/>
        <n v="2.0582"/>
        <n v="2.0588"/>
        <n v="2.0592"/>
        <n v="2.0606"/>
        <n v="2.0634"/>
        <n v="2.0662"/>
        <n v="2.0734"/>
        <n v="2.0746"/>
        <n v="2.078"/>
        <n v="2.079"/>
        <n v="2.0798"/>
        <n v="2.0848"/>
        <n v="2.091"/>
        <n v="2.0952"/>
        <n v="2.0984"/>
        <n v="2.099"/>
        <n v="2.1014"/>
        <n v="2.108"/>
        <n v="2.1106"/>
        <n v="2.115"/>
        <n v="2.1218"/>
        <n v="2.1256"/>
        <n v="2.1284"/>
        <n v="2.1298"/>
        <n v="2.13"/>
        <n v="2.1358"/>
        <n v="2.1444"/>
        <n v="2.1552"/>
        <n v="2.1584"/>
        <n v="2.1686"/>
        <n v="2.1774"/>
        <n v="2.1802"/>
        <n v="2.182"/>
        <n v="2.1844"/>
        <n v="2.19"/>
        <n v="2.1936"/>
        <n v="2.1978"/>
        <n v="2.2034"/>
        <n v="2.2206"/>
        <n v="2.2234"/>
        <n v="2.2286"/>
        <n v="2.2318"/>
        <n v="2.232"/>
        <n v="2.2324"/>
        <n v="2.2368"/>
        <n v="2.2424"/>
        <n v="2.251"/>
        <n v="2.2526"/>
        <n v="2.2672"/>
        <n v="2.27"/>
        <n v="2.271"/>
        <n v="2.2714"/>
        <n v="2.2724"/>
        <n v="2.28"/>
        <n v="2.2888"/>
        <n v="2.2906"/>
        <n v="2.295"/>
        <n v="2.2962"/>
        <n v="2.2988"/>
        <n v="2.302"/>
        <n v="2.3122"/>
        <n v="2.342"/>
        <n v="2.3484"/>
        <n v="2.3506"/>
        <n v="2.3588"/>
        <n v="2.3594"/>
        <n v="2.365"/>
        <n v="2.367"/>
        <n v="2.3708"/>
        <n v="2.3848"/>
        <n v="2.3874"/>
        <n v="2.417"/>
        <n v="2.4186"/>
        <n v="2.4318"/>
        <n v="2.4362"/>
        <n v="2.442"/>
        <n v="2.4488"/>
        <n v="2.4534"/>
        <n v="2.457"/>
        <n v="2.466"/>
        <n v="2.4706"/>
        <n v="2.471"/>
        <n v="2.4714"/>
        <n v="2.472"/>
        <n v="2.4742"/>
        <n v="2.4822"/>
        <n v="2.4852"/>
        <n v="2.486"/>
        <n v="2.4932"/>
        <n v="2.5016"/>
        <n v="2.5078"/>
        <n v="2.519"/>
        <n v="2.5194"/>
        <n v="2.524"/>
        <n v="2.526"/>
        <n v="2.529"/>
        <n v="2.5484"/>
        <n v="2.5574"/>
        <n v="2.5612"/>
        <n v="2.5744"/>
        <n v="2.603"/>
        <n v="2.6066"/>
        <n v="2.6146"/>
        <n v="2.6178"/>
        <n v="2.6204"/>
        <n v="2.6236"/>
        <n v="2.6254"/>
        <n v="2.6306"/>
        <n v="2.6334"/>
        <n v="2.6336"/>
        <n v="2.6388"/>
        <n v="2.6398"/>
        <n v="2.6434"/>
        <n v="2.644"/>
        <n v="2.6516"/>
        <n v="2.6622"/>
        <n v="2.6638"/>
        <n v="2.6658"/>
        <n v="2.6702"/>
        <n v="2.675"/>
        <n v="2.6784"/>
        <n v="2.6828"/>
        <n v="2.6898"/>
        <n v="2.7042"/>
        <n v="2.706"/>
        <n v="2.7074"/>
        <n v="2.7094"/>
        <n v="2.7136"/>
        <n v="2.715"/>
        <n v="2.7188"/>
        <n v="2.7314"/>
        <n v="2.735"/>
        <n v="2.7382"/>
        <n v="2.7432"/>
        <n v="2.7438"/>
        <n v="2.745"/>
        <n v="2.7472"/>
        <n v="2.7582"/>
        <n v="2.7736"/>
        <n v="2.797"/>
        <n v="2.7992"/>
        <n v="2.8332"/>
        <n v="2.844"/>
        <n v="2.864"/>
        <n v="2.8716"/>
        <n v="2.8774"/>
        <n v="2.8804"/>
        <n v="2.8814"/>
        <n v="2.8816"/>
        <n v="2.8828"/>
        <n v="2.8868"/>
        <n v="2.9004"/>
        <n v="2.9048"/>
        <n v="2.9082"/>
        <n v="2.9204"/>
        <n v="2.9222"/>
        <n v="2.9236"/>
        <n v="2.9246"/>
        <n v="2.9596"/>
        <n v="2.977"/>
        <n v="2.9808"/>
        <n v="2.9906"/>
        <n v="2.9936"/>
        <n v="2.9938"/>
        <n v="3.0058"/>
        <n v="3.0062"/>
        <n v="3.0158"/>
        <n v="3.0162"/>
        <n v="3.0494"/>
        <n v="3.0498"/>
        <n v="3.0506"/>
        <n v="3.0538"/>
        <n v="3.0666"/>
        <n v="3.0966"/>
        <n v="3.1202"/>
        <n v="3.1306"/>
        <n v="3.1472"/>
        <n v="3.148"/>
        <n v="3.1498"/>
        <n v="3.1668"/>
        <n v="3.174"/>
        <n v="3.175"/>
        <n v="3.1842"/>
        <n v="3.1946"/>
        <n v="3.2308"/>
        <n v="3.2332"/>
        <n v="3.2364"/>
        <n v="3.2424"/>
        <n v="3.2468"/>
        <n v="3.252"/>
        <n v="3.2684"/>
        <n v="3.2874"/>
        <n v="3.303"/>
        <n v="3.3074"/>
        <n v="3.321"/>
        <n v="3.327"/>
        <n v="3.3732"/>
        <n v="3.384"/>
        <n v="3.3846"/>
        <n v="3.396"/>
        <n v="3.4528"/>
        <n v="3.4546"/>
        <n v="3.4602"/>
        <n v="3.4664"/>
        <n v="3.4722"/>
        <n v="3.4736"/>
        <n v="3.4778"/>
        <n v="3.4824"/>
        <n v="3.4832"/>
        <n v="3.4996"/>
        <n v="3.5248"/>
        <n v="3.5292"/>
        <n v="3.5352"/>
        <n v="3.5604"/>
        <n v="3.564"/>
        <n v="3.5682"/>
        <n v="3.5722"/>
        <n v="3.5728"/>
        <n v="3.651"/>
        <n v="3.6524"/>
        <n v="3.6554"/>
        <n v="3.6692"/>
        <n v="3.673"/>
        <n v="3.6802"/>
        <n v="3.6974"/>
        <n v="3.6994"/>
        <n v="3.725"/>
        <n v="3.7282"/>
        <n v="3.7298"/>
        <n v="3.7318"/>
        <n v="3.735"/>
        <n v="3.7466"/>
        <n v="3.8006"/>
        <n v="3.801"/>
        <n v="3.8176"/>
        <n v="3.8524"/>
        <n v="3.871"/>
        <n v="3.8712"/>
        <n v="3.8786"/>
        <n v="3.9448"/>
        <n v="3.9534"/>
        <n v="3.9786"/>
        <n v="3.9846"/>
        <n v="4.0016"/>
        <n v="4.0142"/>
        <n v="4.0446"/>
        <n v="4.0552"/>
        <n v="4.0868"/>
        <n v="4.0992"/>
        <n v="4.1066"/>
        <n v="4.1146"/>
        <n v="4.1322"/>
        <n v="4.1548"/>
        <n v="4.1578"/>
        <n v="4.1638"/>
        <n v="4.1672"/>
        <n v="4.1686"/>
        <n v="4.1728"/>
        <n v="4.1776"/>
        <n v="4.1838"/>
        <n v="4.2186"/>
        <n v="4.2208"/>
        <n v="4.2266"/>
        <n v="4.2268"/>
        <n v="4.239"/>
        <n v="4.2686"/>
        <n v="4.2756"/>
        <n v="4.3156"/>
        <n v="4.3224"/>
        <n v="4.3268"/>
        <n v="4.3416"/>
        <n v="4.344"/>
        <n v="4.3636"/>
        <n v="4.3918"/>
        <n v="4.3988"/>
        <n v="4.4132"/>
        <n v="4.4312"/>
        <n v="4.498"/>
        <n v="4.502"/>
        <n v="4.544"/>
        <n v="4.5548"/>
        <n v="4.5562"/>
        <n v="4.5636"/>
        <n v="4.6012"/>
        <n v="4.6056"/>
        <n v="4.6144"/>
        <n v="4.6356"/>
        <n v="4.6894"/>
        <n v="4.739"/>
        <n v="4.7648"/>
        <n v="4.7718"/>
        <n v="4.7744"/>
        <n v="4.787"/>
        <n v="4.7952"/>
        <n v="4.805"/>
        <n v="4.8138"/>
        <n v="4.8178"/>
        <n v="4.8366"/>
        <n v="4.9224"/>
        <n v="4.9434"/>
        <n v="4.948"/>
        <n v="4.9608"/>
        <n v="4.9684"/>
        <n v="4.9724"/>
        <n v="5.0148"/>
        <n v="5.151"/>
        <n v="5.1548"/>
        <n v="5.2726"/>
        <n v="5.2764"/>
        <n v="5.3166"/>
        <n v="5.3254"/>
        <n v="5.3706"/>
        <n v="5.3992"/>
        <n v="5.4038"/>
        <n v="5.5598"/>
        <n v="5.5862"/>
        <n v="5.6368"/>
        <n v="5.669"/>
        <n v="5.7448"/>
        <n v="5.8286"/>
        <n v="5.8514"/>
        <n v="5.8558"/>
        <n v="5.8694"/>
        <n v="5.8778"/>
        <n v="5.8784"/>
        <n v="5.9398"/>
        <n v="5.9514"/>
        <n v="6.1554"/>
        <n v="6.185"/>
        <n v="6.41"/>
        <n v="6.482"/>
        <n v="6.6498"/>
        <n v="6.6898"/>
        <n v="6.774"/>
        <n v="6.902"/>
        <n v="6.9622"/>
        <n v="6.9974"/>
        <n v="7.0166"/>
        <n v="7.144"/>
        <n v="7.1974"/>
        <n v="7.2166"/>
        <n v="7.3378"/>
        <n v="7.516"/>
        <n v="7.5836"/>
        <n v="7.8244"/>
        <n v="7.9432"/>
        <n v="7.9844"/>
        <n v="8.278"/>
        <n v="8.3894"/>
        <n v="10.6156"/>
        <n v="10.7908"/>
        <n v="11.8744"/>
        <n v="16.7464"/>
        <n v="18.1512"/>
      </sharedItems>
    </cacheField>
    <cacheField name="SINALIZAÇÃO NOTURNA" numFmtId="0">
      <sharedItems containsSemiMixedTypes="0" containsString="0" containsNumber="1" minValue="0" maxValue="907.56" count="1363">
        <n v="0"/>
        <n v="0.59"/>
        <n v="0.6"/>
        <n v="0.66"/>
        <n v="0.67"/>
        <n v="0.71"/>
        <n v="0.73"/>
        <n v="0.77"/>
        <n v="0.79"/>
        <n v="0.9"/>
        <n v="0.96"/>
        <n v="0.98"/>
        <n v="1.02"/>
        <n v="1.13"/>
        <n v="1.14"/>
        <n v="1.22"/>
        <n v="1.31"/>
        <n v="1.39"/>
        <n v="1.4"/>
        <n v="1.5"/>
        <n v="1.51"/>
        <n v="1.54"/>
        <n v="1.57"/>
        <n v="1.72"/>
        <n v="1.82"/>
        <n v="1.84"/>
        <n v="1.86"/>
        <n v="1.93"/>
        <n v="1.94"/>
        <n v="1.95"/>
        <n v="1.96"/>
        <n v="1.98"/>
        <n v="1.99"/>
        <n v="2"/>
        <n v="2.03"/>
        <n v="2.05"/>
        <n v="2.07"/>
        <n v="2.4"/>
        <n v="2.42"/>
        <n v="2.46"/>
        <n v="2.47"/>
        <n v="2.5"/>
        <n v="2.51"/>
        <n v="2.53"/>
        <n v="2.62"/>
        <n v="2.68"/>
        <n v="2.69"/>
        <n v="2.77"/>
        <n v="2.78"/>
        <n v="2.8"/>
        <n v="2.82"/>
        <n v="2.88"/>
        <n v="2.92"/>
        <n v="2.97"/>
        <n v="2.99"/>
        <n v="3.02"/>
        <n v="3.04"/>
        <n v="3.07"/>
        <n v="3.11"/>
        <n v="3.17"/>
        <n v="3.22"/>
        <n v="3.26"/>
        <n v="3.31"/>
        <n v="3.45"/>
        <n v="3.46"/>
        <n v="3.47"/>
        <n v="3.58"/>
        <n v="3.59"/>
        <n v="3.62"/>
        <n v="3.63"/>
        <n v="3.7"/>
        <n v="3.73"/>
        <n v="3.77"/>
        <n v="3.81"/>
        <n v="3.9"/>
        <n v="3.92"/>
        <n v="4.01"/>
        <n v="4.05"/>
        <n v="4.09"/>
        <n v="4.2"/>
        <n v="4.24"/>
        <n v="4.32"/>
        <n v="4.36"/>
        <n v="4.41"/>
        <n v="4.44"/>
        <n v="4.45"/>
        <n v="4.47"/>
        <n v="4.51"/>
        <n v="4.58"/>
        <n v="4.7"/>
        <n v="4.72"/>
        <n v="4.88"/>
        <n v="4.9"/>
        <n v="4.94"/>
        <n v="5.08"/>
        <n v="5.09"/>
        <n v="5.12"/>
        <n v="5.16"/>
        <n v="5.17"/>
        <n v="5.19"/>
        <n v="5.24"/>
        <n v="5.25"/>
        <n v="5.34"/>
        <n v="5.35"/>
        <n v="5.49"/>
        <n v="5.56"/>
        <n v="5.57"/>
        <n v="5.58"/>
        <n v="5.6"/>
        <n v="5.67"/>
        <n v="5.71"/>
        <n v="5.78"/>
        <n v="5.79"/>
        <n v="5.94"/>
        <n v="5.99"/>
        <n v="6"/>
        <n v="6.04"/>
        <n v="6.05"/>
        <n v="6.14"/>
        <n v="6.2"/>
        <n v="6.22"/>
        <n v="6.41"/>
        <n v="6.56"/>
        <n v="6.66"/>
        <n v="6.72"/>
        <n v="6.73"/>
        <n v="6.74"/>
        <n v="6.78"/>
        <n v="6.81"/>
        <n v="6.83"/>
        <n v="6.96"/>
        <n v="7.02"/>
        <n v="7.26"/>
        <n v="7.31"/>
        <n v="7.61"/>
        <n v="7.65"/>
        <n v="7.85"/>
        <n v="7.91"/>
        <n v="7.97"/>
        <n v="8.04"/>
        <n v="8.07"/>
        <n v="8.1"/>
        <n v="8.22"/>
        <n v="8.27"/>
        <n v="8.3"/>
        <n v="8.36"/>
        <n v="8.38"/>
        <n v="8.53"/>
        <n v="8.61"/>
        <n v="8.79"/>
        <n v="8.89"/>
        <n v="9.03"/>
        <n v="9.05"/>
        <n v="9.11"/>
        <n v="9.44"/>
        <n v="9.9"/>
        <n v="10.36"/>
        <n v="10.38"/>
        <n v="10.43"/>
        <n v="10.59"/>
        <n v="10.64"/>
        <n v="10.66"/>
        <n v="10.69"/>
        <n v="10.84"/>
        <n v="10.86"/>
        <n v="10.93"/>
        <n v="11.01"/>
        <n v="11.16"/>
        <n v="11.2"/>
        <n v="11.24"/>
        <n v="11.25"/>
        <n v="11.41"/>
        <n v="11.6"/>
        <n v="11.62"/>
        <n v="11.74"/>
        <n v="11.77"/>
        <n v="12.04"/>
        <n v="12.06"/>
        <n v="12.12"/>
        <n v="12.37"/>
        <n v="12.47"/>
        <n v="12.48"/>
        <n v="12.53"/>
        <n v="12.73"/>
        <n v="12.78"/>
        <n v="12.86"/>
        <n v="12.87"/>
        <n v="12.88"/>
        <n v="13.13"/>
        <n v="13.16"/>
        <n v="13.21"/>
        <n v="13.38"/>
        <n v="13.65"/>
        <n v="13.87"/>
        <n v="14.26"/>
        <n v="14.39"/>
        <n v="14.46"/>
        <n v="14.49"/>
        <n v="14.52"/>
        <n v="14.53"/>
        <n v="14.57"/>
        <n v="14.64"/>
        <n v="14.71"/>
        <n v="14.82"/>
        <n v="14.98"/>
        <n v="15"/>
        <n v="15.2"/>
        <n v="15.21"/>
        <n v="15.22"/>
        <n v="15.25"/>
        <n v="15.26"/>
        <n v="15.38"/>
        <n v="15.6"/>
        <n v="15.75"/>
        <n v="15.8"/>
        <n v="15.98"/>
        <n v="16.53"/>
        <n v="16.63"/>
        <n v="16.66"/>
        <n v="16.67"/>
        <n v="16.69"/>
        <n v="16.7"/>
        <n v="16.76"/>
        <n v="17.04"/>
        <n v="17.05"/>
        <n v="17.2"/>
        <n v="17.29"/>
        <n v="17.52"/>
        <n v="17.57"/>
        <n v="17.65"/>
        <n v="17.67"/>
        <n v="17.98"/>
        <n v="18.17"/>
        <n v="18.22"/>
        <n v="18.28"/>
        <n v="18.58"/>
        <n v="18.59"/>
        <n v="18.74"/>
        <n v="18.77"/>
        <n v="18.84"/>
        <n v="18.85"/>
        <n v="18.94"/>
        <n v="18.96"/>
        <n v="18.97"/>
        <n v="19.33"/>
        <n v="19.38"/>
        <n v="19.42"/>
        <n v="19.69"/>
        <n v="19.79"/>
        <n v="19.83"/>
        <n v="19.93"/>
        <n v="20.15"/>
        <n v="20.36"/>
        <n v="20.5"/>
        <n v="20.89"/>
        <n v="21.07"/>
        <n v="21.08"/>
        <n v="21.09"/>
        <n v="21.24"/>
        <n v="21.41"/>
        <n v="21.43"/>
        <n v="21.55"/>
        <n v="21.61"/>
        <n v="21.66"/>
        <n v="21.71"/>
        <n v="21.93"/>
        <n v="22.02"/>
        <n v="22.04"/>
        <n v="22.07"/>
        <n v="22.16"/>
        <n v="22.2"/>
        <n v="22.33"/>
        <n v="22.74"/>
        <n v="22.9"/>
        <n v="22.92"/>
        <n v="22.97"/>
        <n v="23.05"/>
        <n v="23.18"/>
        <n v="23.24"/>
        <n v="23.34"/>
        <n v="23.36"/>
        <n v="23.37"/>
        <n v="23.51"/>
        <n v="23.79"/>
        <n v="23.86"/>
        <n v="23.93"/>
        <n v="24.36"/>
        <n v="24.38"/>
        <n v="24.49"/>
        <n v="24.55"/>
        <n v="24.64"/>
        <n v="24.74"/>
        <n v="24.75"/>
        <n v="24.84"/>
        <n v="25"/>
        <n v="25.15"/>
        <n v="25.23"/>
        <n v="25.27"/>
        <n v="25.32"/>
        <n v="25.4"/>
        <n v="25.59"/>
        <n v="25.62"/>
        <n v="25.71"/>
        <n v="25.82"/>
        <n v="25.89"/>
        <n v="26.04"/>
        <n v="26.11"/>
        <n v="26.15"/>
        <n v="26.18"/>
        <n v="26.23"/>
        <n v="26.25"/>
        <n v="26.3"/>
        <n v="26.54"/>
        <n v="26.75"/>
        <n v="26.78"/>
        <n v="26.93"/>
        <n v="26.97"/>
        <n v="27.04"/>
        <n v="27.19"/>
        <n v="27.38"/>
        <n v="27.4"/>
        <n v="27.43"/>
        <n v="27.49"/>
        <n v="27.68"/>
        <n v="27.77"/>
        <n v="27.78"/>
        <n v="28.23"/>
        <n v="28.27"/>
        <n v="28.28"/>
        <n v="28.42"/>
        <n v="28.57"/>
        <n v="28.61"/>
        <n v="28.68"/>
        <n v="28.7"/>
        <n v="28.83"/>
        <n v="28.95"/>
        <n v="29.09"/>
        <n v="29.26"/>
        <n v="29.28"/>
        <n v="29.31"/>
        <n v="29.51"/>
        <n v="29.64"/>
        <n v="29.67"/>
        <n v="29.97"/>
        <n v="30.11"/>
        <n v="30.21"/>
        <n v="30.27"/>
        <n v="30.44"/>
        <n v="30.55"/>
        <n v="30.79"/>
        <n v="30.8"/>
        <n v="31.11"/>
        <n v="31.15"/>
        <n v="31.48"/>
        <n v="31.52"/>
        <n v="31.76"/>
        <n v="31.94"/>
        <n v="31.99"/>
        <n v="32.22"/>
        <n v="32.26"/>
        <n v="32.4"/>
        <n v="32.42"/>
        <n v="32.5"/>
        <n v="32.51"/>
        <n v="32.53"/>
        <n v="32.57"/>
        <n v="32.58"/>
        <n v="32.62"/>
        <n v="32.7"/>
        <n v="32.73"/>
        <n v="32.77"/>
        <n v="32.81"/>
        <n v="33.18"/>
        <n v="33.25"/>
        <n v="33.39"/>
        <n v="33.52"/>
        <n v="33.54"/>
        <n v="33.6"/>
        <n v="33.65"/>
        <n v="33.67"/>
        <n v="33.96"/>
        <n v="33.98"/>
        <n v="34.16"/>
        <n v="34.18"/>
        <n v="34.2"/>
        <n v="34.36"/>
        <n v="34.38"/>
        <n v="34.62"/>
        <n v="34.69"/>
        <n v="34.75"/>
        <n v="34.79"/>
        <n v="34.86"/>
        <n v="34.89"/>
        <n v="34.9"/>
        <n v="35.03"/>
        <n v="35.35"/>
        <n v="35.57"/>
        <n v="35.68"/>
        <n v="35.93"/>
        <n v="36.03"/>
        <n v="36.05"/>
        <n v="36.15"/>
        <n v="36.17"/>
        <n v="36.22"/>
        <n v="36.3"/>
        <n v="36.59"/>
        <n v="36.62"/>
        <n v="36.64"/>
        <n v="36.71"/>
        <n v="36.88"/>
        <n v="36.92"/>
        <n v="36.94"/>
        <n v="37.01"/>
        <n v="37.03"/>
        <n v="37.08"/>
        <n v="37.26"/>
        <n v="37.35"/>
        <n v="37.39"/>
        <n v="37.4"/>
        <n v="37.52"/>
        <n v="37.69"/>
        <n v="37.71"/>
        <n v="37.79"/>
        <n v="37.85"/>
        <n v="37.87"/>
        <n v="37.92"/>
        <n v="37.93"/>
        <n v="37.96"/>
        <n v="38.02"/>
        <n v="38.21"/>
        <n v="38.27"/>
        <n v="38.34"/>
        <n v="38.39"/>
        <n v="38.44"/>
        <n v="38.45"/>
        <n v="38.47"/>
        <n v="38.48"/>
        <n v="38.49"/>
        <n v="38.54"/>
        <n v="38.6"/>
        <n v="38.69"/>
        <n v="38.8"/>
        <n v="38.84"/>
        <n v="38.87"/>
        <n v="39"/>
        <n v="39.1"/>
        <n v="39.24"/>
        <n v="39.29"/>
        <n v="39.44"/>
        <n v="39.5"/>
        <n v="39.54"/>
        <n v="39.64"/>
        <n v="39.69"/>
        <n v="39.72"/>
        <n v="39.89"/>
        <n v="40.01"/>
        <n v="40.25"/>
        <n v="40.33"/>
        <n v="40.34"/>
        <n v="40.36"/>
        <n v="40.4"/>
        <n v="40.44"/>
        <n v="40.61"/>
        <n v="40.63"/>
        <n v="40.67"/>
        <n v="40.72"/>
        <n v="40.73"/>
        <n v="40.75"/>
        <n v="40.78"/>
        <n v="40.95"/>
        <n v="41.18"/>
        <n v="41.29"/>
        <n v="41.32"/>
        <n v="41.41"/>
        <n v="41.46"/>
        <n v="41.47"/>
        <n v="41.5"/>
        <n v="41.55"/>
        <n v="41.58"/>
        <n v="41.6"/>
        <n v="41.63"/>
        <n v="41.66"/>
        <n v="41.67"/>
        <n v="41.77"/>
        <n v="41.9"/>
        <n v="41.95"/>
        <n v="42.01"/>
        <n v="42.04"/>
        <n v="42.09"/>
        <n v="42.32"/>
        <n v="42.39"/>
        <n v="42.4"/>
        <n v="42.43"/>
        <n v="42.47"/>
        <n v="42.53"/>
        <n v="42.56"/>
        <n v="42.58"/>
        <n v="42.6"/>
        <n v="42.7"/>
        <n v="42.77"/>
        <n v="42.79"/>
        <n v="42.9"/>
        <n v="42.97"/>
        <n v="42.98"/>
        <n v="43.04"/>
        <n v="43.09"/>
        <n v="43.16"/>
        <n v="43.27"/>
        <n v="43.36"/>
        <n v="43.45"/>
        <n v="43.47"/>
        <n v="43.48"/>
        <n v="43.51"/>
        <n v="43.53"/>
        <n v="43.61"/>
        <n v="43.68"/>
        <n v="43.7"/>
        <n v="43.71"/>
        <n v="43.75"/>
        <n v="43.8"/>
        <n v="43.9"/>
        <n v="43.93"/>
        <n v="44.09"/>
        <n v="44.1"/>
        <n v="44.14"/>
        <n v="44.16"/>
        <n v="44.19"/>
        <n v="44.23"/>
        <n v="44.34"/>
        <n v="44.37"/>
        <n v="44.38"/>
        <n v="44.44"/>
        <n v="44.45"/>
        <n v="44.48"/>
        <n v="44.52"/>
        <n v="44.62"/>
        <n v="44.65"/>
        <n v="44.69"/>
        <n v="44.78"/>
        <n v="44.8"/>
        <n v="44.85"/>
        <n v="44.86"/>
        <n v="44.9"/>
        <n v="44.94"/>
        <n v="44.98"/>
        <n v="45"/>
        <n v="45.03"/>
        <n v="45.07"/>
        <n v="45.14"/>
        <n v="45.26"/>
        <n v="45.3"/>
        <n v="45.34"/>
        <n v="45.36"/>
        <n v="45.41"/>
        <n v="45.44"/>
        <n v="45.5"/>
        <n v="45.53"/>
        <n v="45.61"/>
        <n v="45.64"/>
        <n v="45.7"/>
        <n v="45.72"/>
        <n v="45.82"/>
        <n v="45.91"/>
        <n v="45.92"/>
        <n v="45.94"/>
        <n v="46"/>
        <n v="46.02"/>
        <n v="46.04"/>
        <n v="46.05"/>
        <n v="46.07"/>
        <n v="46.17"/>
        <n v="46.2"/>
        <n v="46.21"/>
        <n v="46.36"/>
        <n v="46.38"/>
        <n v="46.47"/>
        <n v="46.54"/>
        <n v="46.56"/>
        <n v="46.67"/>
        <n v="46.69"/>
        <n v="46.7"/>
        <n v="46.76"/>
        <n v="46.78"/>
        <n v="46.82"/>
        <n v="46.85"/>
        <n v="46.86"/>
        <n v="46.87"/>
        <n v="46.9"/>
        <n v="46.96"/>
        <n v="46.98"/>
        <n v="47.06"/>
        <n v="47.07"/>
        <n v="47.08"/>
        <n v="47.13"/>
        <n v="47.22"/>
        <n v="47.29"/>
        <n v="47.3"/>
        <n v="47.34"/>
        <n v="47.36"/>
        <n v="47.37"/>
        <n v="47.45"/>
        <n v="47.46"/>
        <n v="47.5"/>
        <n v="47.52"/>
        <n v="47.55"/>
        <n v="47.56"/>
        <n v="47.65"/>
        <n v="47.72"/>
        <n v="47.75"/>
        <n v="47.83"/>
        <n v="47.94"/>
        <n v="47.99"/>
        <n v="48.01"/>
        <n v="48.02"/>
        <n v="48.05"/>
        <n v="48.15"/>
        <n v="48.17"/>
        <n v="48.2"/>
        <n v="48.32"/>
        <n v="48.34"/>
        <n v="48.4"/>
        <n v="48.44"/>
        <n v="48.46"/>
        <n v="48.47"/>
        <n v="48.5"/>
        <n v="48.52"/>
        <n v="48.53"/>
        <n v="48.54"/>
        <n v="48.58"/>
        <n v="48.61"/>
        <n v="48.67"/>
        <n v="48.69"/>
        <n v="48.77"/>
        <n v="48.78"/>
        <n v="48.79"/>
        <n v="48.81"/>
        <n v="48.85"/>
        <n v="48.86"/>
        <n v="48.87"/>
        <n v="48.88"/>
        <n v="48.92"/>
        <n v="48.94"/>
        <n v="49"/>
        <n v="49.02"/>
        <n v="49.03"/>
        <n v="49.07"/>
        <n v="49.09"/>
        <n v="49.22"/>
        <n v="49.28"/>
        <n v="49.3"/>
        <n v="49.36"/>
        <n v="49.38"/>
        <n v="49.43"/>
        <n v="49.53"/>
        <n v="49.54"/>
        <n v="49.55"/>
        <n v="49.62"/>
        <n v="49.71"/>
        <n v="49.75"/>
        <n v="49.76"/>
        <n v="49.77"/>
        <n v="49.84"/>
        <n v="49.86"/>
        <n v="49.9"/>
        <n v="49.92"/>
        <n v="49.96"/>
        <n v="50.01"/>
        <n v="50.15"/>
        <n v="50.33"/>
        <n v="50.37"/>
        <n v="50.5"/>
        <n v="50.52"/>
        <n v="50.54"/>
        <n v="50.57"/>
        <n v="50.62"/>
        <n v="50.65"/>
        <n v="50.68"/>
        <n v="50.91"/>
        <n v="50.97"/>
        <n v="50.98"/>
        <n v="50.99"/>
        <n v="51.03"/>
        <n v="51.14"/>
        <n v="51.32"/>
        <n v="51.34"/>
        <n v="51.35"/>
        <n v="51.53"/>
        <n v="51.71"/>
        <n v="51.74"/>
        <n v="51.86"/>
        <n v="51.9"/>
        <n v="52.16"/>
        <n v="52.17"/>
        <n v="52.39"/>
        <n v="52.4"/>
        <n v="52.58"/>
        <n v="52.59"/>
        <n v="52.68"/>
        <n v="52.69"/>
        <n v="52.75"/>
        <n v="52.8"/>
        <n v="53.29"/>
        <n v="53.37"/>
        <n v="53.39"/>
        <n v="53.44"/>
        <n v="53.57"/>
        <n v="53.69"/>
        <n v="53.76"/>
        <n v="53.83"/>
        <n v="53.86"/>
        <n v="53.89"/>
        <n v="53.9"/>
        <n v="53.91"/>
        <n v="53.93"/>
        <n v="53.96"/>
        <n v="53.99"/>
        <n v="54.12"/>
        <n v="54.36"/>
        <n v="54.6"/>
        <n v="54.75"/>
        <n v="54.93"/>
        <n v="54.99"/>
        <n v="55.01"/>
        <n v="55.16"/>
        <n v="55.2"/>
        <n v="55.48"/>
        <n v="55.94"/>
        <n v="56.33"/>
        <n v="56.42"/>
        <n v="56.46"/>
        <n v="56.57"/>
        <n v="56.69"/>
        <n v="56.71"/>
        <n v="56.74"/>
        <n v="56.76"/>
        <n v="56.94"/>
        <n v="56.97"/>
        <n v="57.02"/>
        <n v="57.04"/>
        <n v="57.37"/>
        <n v="57.43"/>
        <n v="57.63"/>
        <n v="57.64"/>
        <n v="57.65"/>
        <n v="57.86"/>
        <n v="57.93"/>
        <n v="58.24"/>
        <n v="58.29"/>
        <n v="58.4"/>
        <n v="58.48"/>
        <n v="58.6"/>
        <n v="58.73"/>
        <n v="58.75"/>
        <n v="58.76"/>
        <n v="58.81"/>
        <n v="58.82"/>
        <n v="58.87"/>
        <n v="59.22"/>
        <n v="59.45"/>
        <n v="59.78"/>
        <n v="59.85"/>
        <n v="59.95"/>
        <n v="60.04"/>
        <n v="60.09"/>
        <n v="60.13"/>
        <n v="60.2"/>
        <n v="60.22"/>
        <n v="60.24"/>
        <n v="60.25"/>
        <n v="60.29"/>
        <n v="60.33"/>
        <n v="60.4"/>
        <n v="60.44"/>
        <n v="60.61"/>
        <n v="61.07"/>
        <n v="61.12"/>
        <n v="61.15"/>
        <n v="61.37"/>
        <n v="61.43"/>
        <n v="61.49"/>
        <n v="61.65"/>
        <n v="61.68"/>
        <n v="61.88"/>
        <n v="61.89"/>
        <n v="62.13"/>
        <n v="62.14"/>
        <n v="62.28"/>
        <n v="62.72"/>
        <n v="62.84"/>
        <n v="62.93"/>
        <n v="62.95"/>
        <n v="62.96"/>
        <n v="63.25"/>
        <n v="63.39"/>
        <n v="63.42"/>
        <n v="63.48"/>
        <n v="63.51"/>
        <n v="63.52"/>
        <n v="63.55"/>
        <n v="63.57"/>
        <n v="63.78"/>
        <n v="63.79"/>
        <n v="63.87"/>
        <n v="64"/>
        <n v="64.78"/>
        <n v="65.03"/>
        <n v="65.09"/>
        <n v="65.21"/>
        <n v="65.32"/>
        <n v="65.35"/>
        <n v="65.48"/>
        <n v="65.99"/>
        <n v="66.06"/>
        <n v="66.15"/>
        <n v="66.26"/>
        <n v="66.41"/>
        <n v="66.44"/>
        <n v="67.33"/>
        <n v="67.52"/>
        <n v="67.76"/>
        <n v="67.83"/>
        <n v="68.07"/>
        <n v="68.18"/>
        <n v="68.19"/>
        <n v="68.33"/>
        <n v="68.36"/>
        <n v="68.55"/>
        <n v="68.63"/>
        <n v="68.9"/>
        <n v="69.1"/>
        <n v="69.62"/>
        <n v="69.73"/>
        <n v="70.12"/>
        <n v="70.31"/>
        <n v="70.42"/>
        <n v="70.52"/>
        <n v="70.53"/>
        <n v="70.57"/>
        <n v="70.67"/>
        <n v="70.69"/>
        <n v="71.2"/>
        <n v="71.28"/>
        <n v="71.41"/>
        <n v="71.45"/>
        <n v="71.94"/>
        <n v="71.99"/>
        <n v="72.03"/>
        <n v="72.07"/>
        <n v="72.17"/>
        <n v="72.22"/>
        <n v="72.58"/>
        <n v="72.64"/>
        <n v="72.87"/>
        <n v="72.97"/>
        <n v="72.98"/>
        <n v="73.09"/>
        <n v="73.53"/>
        <n v="73.56"/>
        <n v="73.64"/>
        <n v="73.7"/>
        <n v="74.3"/>
        <n v="74.73"/>
        <n v="74.84"/>
        <n v="75.04"/>
        <n v="75.07"/>
        <n v="75.23"/>
        <n v="75.51"/>
        <n v="75.59"/>
        <n v="75.61"/>
        <n v="75.73"/>
        <n v="75.99"/>
        <n v="76"/>
        <n v="76.05"/>
        <n v="76.06"/>
        <n v="76.2"/>
        <n v="76.3"/>
        <n v="76.5"/>
        <n v="76.55"/>
        <n v="77.19"/>
        <n v="77.33"/>
        <n v="77.61"/>
        <n v="77.78"/>
        <n v="78.4"/>
        <n v="78.41"/>
        <n v="78.45"/>
        <n v="78.6"/>
        <n v="78.86"/>
        <n v="78.89"/>
        <n v="79"/>
        <n v="79.02"/>
        <n v="79.07"/>
        <n v="79.15"/>
        <n v="79.2"/>
        <n v="79.36"/>
        <n v="79.4"/>
        <n v="79.44"/>
        <n v="79.49"/>
        <n v="79.75"/>
        <n v="79.76"/>
        <n v="80.15"/>
        <n v="80.26"/>
        <n v="80.3"/>
        <n v="80.32"/>
        <n v="80.35"/>
        <n v="80.93"/>
        <n v="80.96"/>
        <n v="81.2"/>
        <n v="81.41"/>
        <n v="81.59"/>
        <n v="81.68"/>
        <n v="82.22"/>
        <n v="82.36"/>
        <n v="82.48"/>
        <n v="82.54"/>
        <n v="83.12"/>
        <n v="83.7"/>
        <n v="83.86"/>
        <n v="84.11"/>
        <n v="84.21"/>
        <n v="84.25"/>
        <n v="84.64"/>
        <n v="84.86"/>
        <n v="85.23"/>
        <n v="85.32"/>
        <n v="85.37"/>
        <n v="85.39"/>
        <n v="85.61"/>
        <n v="86.21"/>
        <n v="86.24"/>
        <n v="86.47"/>
        <n v="86.8"/>
        <n v="87.33"/>
        <n v="87.47"/>
        <n v="87.9"/>
        <n v="88.29"/>
        <n v="88.4"/>
        <n v="88.42"/>
        <n v="88.7"/>
        <n v="88.86"/>
        <n v="89.64"/>
        <n v="89.9"/>
        <n v="89.98"/>
        <n v="89.99"/>
        <n v="90.23"/>
        <n v="90.25"/>
        <n v="90.78"/>
        <n v="90.89"/>
        <n v="91.16"/>
        <n v="91.41"/>
        <n v="91.44"/>
        <n v="91.46"/>
        <n v="91.5"/>
        <n v="91.64"/>
        <n v="91.77"/>
        <n v="92.19"/>
        <n v="92.6"/>
        <n v="93.01"/>
        <n v="93.07"/>
        <n v="93.15"/>
        <n v="93.28"/>
        <n v="93.29"/>
        <n v="93.31"/>
        <n v="93.39"/>
        <n v="93.58"/>
        <n v="93.63"/>
        <n v="93.64"/>
        <n v="93.7"/>
        <n v="94.08"/>
        <n v="94.21"/>
        <n v="94.28"/>
        <n v="94.69"/>
        <n v="94.8"/>
        <n v="94.91"/>
        <n v="95.06"/>
        <n v="95.19"/>
        <n v="95.65"/>
        <n v="95.79"/>
        <n v="96.08"/>
        <n v="96.65"/>
        <n v="96.86"/>
        <n v="97.34"/>
        <n v="97.86"/>
        <n v="97.96"/>
        <n v="98.14"/>
        <n v="98.25"/>
        <n v="98.29"/>
        <n v="98.53"/>
        <n v="98.54"/>
        <n v="98.91"/>
        <n v="99.02"/>
        <n v="99.33"/>
        <n v="99.46"/>
        <n v="99.64"/>
        <n v="100.21"/>
        <n v="100.45"/>
        <n v="100.46"/>
        <n v="100.96"/>
        <n v="101.01"/>
        <n v="101.13"/>
        <n v="101.15"/>
        <n v="101.29"/>
        <n v="101.37"/>
        <n v="101.57"/>
        <n v="102.28"/>
        <n v="102.33"/>
        <n v="102.4"/>
        <n v="102.48"/>
        <n v="102.74"/>
        <n v="102.8"/>
        <n v="102.91"/>
        <n v="102.94"/>
        <n v="102.96"/>
        <n v="103.03"/>
        <n v="103.17"/>
        <n v="103.31"/>
        <n v="103.67"/>
        <n v="103.73"/>
        <n v="103.9"/>
        <n v="103.95"/>
        <n v="103.99"/>
        <n v="104.24"/>
        <n v="104.55"/>
        <n v="104.76"/>
        <n v="104.92"/>
        <n v="104.95"/>
        <n v="105.07"/>
        <n v="105.4"/>
        <n v="105.53"/>
        <n v="105.75"/>
        <n v="106.09"/>
        <n v="106.28"/>
        <n v="106.42"/>
        <n v="106.49"/>
        <n v="106.5"/>
        <n v="106.79"/>
        <n v="107.22"/>
        <n v="107.76"/>
        <n v="107.92"/>
        <n v="108.43"/>
        <n v="108.87"/>
        <n v="109.01"/>
        <n v="109.1"/>
        <n v="109.22"/>
        <n v="109.5"/>
        <n v="109.68"/>
        <n v="109.89"/>
        <n v="110.17"/>
        <n v="111.03"/>
        <n v="111.17"/>
        <n v="111.43"/>
        <n v="111.59"/>
        <n v="111.6"/>
        <n v="111.62"/>
        <n v="111.84"/>
        <n v="112.12"/>
        <n v="112.55"/>
        <n v="112.63"/>
        <n v="113.36"/>
        <n v="113.5"/>
        <n v="113.55"/>
        <n v="113.57"/>
        <n v="113.62"/>
        <n v="114"/>
        <n v="114.44"/>
        <n v="114.53"/>
        <n v="114.75"/>
        <n v="114.81"/>
        <n v="114.94"/>
        <n v="115.1"/>
        <n v="115.61"/>
        <n v="117.1"/>
        <n v="117.42"/>
        <n v="117.53"/>
        <n v="117.94"/>
        <n v="117.97"/>
        <n v="118.25"/>
        <n v="118.35"/>
        <n v="118.54"/>
        <n v="119.24"/>
        <n v="119.37"/>
        <n v="120.85"/>
        <n v="120.93"/>
        <n v="121.59"/>
        <n v="121.81"/>
        <n v="122.1"/>
        <n v="122.44"/>
        <n v="122.67"/>
        <n v="122.85"/>
        <n v="123.3"/>
        <n v="123.53"/>
        <n v="123.55"/>
        <n v="123.57"/>
        <n v="123.6"/>
        <n v="123.71"/>
        <n v="124.11"/>
        <n v="124.26"/>
        <n v="124.3"/>
        <n v="124.66"/>
        <n v="125.08"/>
        <n v="125.39"/>
        <n v="125.95"/>
        <n v="125.97"/>
        <n v="126.2"/>
        <n v="126.3"/>
        <n v="126.45"/>
        <n v="127.42"/>
        <n v="127.87"/>
        <n v="128.06"/>
        <n v="128.72"/>
        <n v="130.15"/>
        <n v="130.33"/>
        <n v="130.73"/>
        <n v="130.89"/>
        <n v="131.02"/>
        <n v="131.18"/>
        <n v="131.27"/>
        <n v="131.53"/>
        <n v="131.67"/>
        <n v="131.68"/>
        <n v="131.94"/>
        <n v="131.99"/>
        <n v="132.17"/>
        <n v="132.2"/>
        <n v="132.58"/>
        <n v="133.11"/>
        <n v="133.19"/>
        <n v="133.29"/>
        <n v="133.51"/>
        <n v="133.75"/>
        <n v="133.92"/>
        <n v="134.14"/>
        <n v="134.49"/>
        <n v="135.21"/>
        <n v="135.3"/>
        <n v="135.37"/>
        <n v="135.47"/>
        <n v="135.68"/>
        <n v="135.75"/>
        <n v="135.94"/>
        <n v="136.57"/>
        <n v="136.75"/>
        <n v="136.91"/>
        <n v="137.16"/>
        <n v="137.19"/>
        <n v="137.25"/>
        <n v="137.36"/>
        <n v="137.91"/>
        <n v="138.68"/>
        <n v="139.85"/>
        <n v="139.96"/>
        <n v="141.66"/>
        <n v="142.2"/>
        <n v="143.2"/>
        <n v="143.58"/>
        <n v="143.87"/>
        <n v="144.02"/>
        <n v="144.07"/>
        <n v="144.08"/>
        <n v="144.14"/>
        <n v="144.34"/>
        <n v="145.02"/>
        <n v="145.24"/>
        <n v="145.41"/>
        <n v="146.02"/>
        <n v="146.11"/>
        <n v="146.18"/>
        <n v="146.23"/>
        <n v="147.98"/>
        <n v="148.85"/>
        <n v="149.04"/>
        <n v="149.53"/>
        <n v="149.68"/>
        <n v="149.69"/>
        <n v="150.29"/>
        <n v="150.31"/>
        <n v="150.79"/>
        <n v="150.81"/>
        <n v="152.47"/>
        <n v="152.49"/>
        <n v="152.53"/>
        <n v="152.69"/>
        <n v="153.33"/>
        <n v="154.83"/>
        <n v="156.01"/>
        <n v="156.53"/>
        <n v="157.36"/>
        <n v="157.4"/>
        <n v="157.49"/>
        <n v="158.34"/>
        <n v="158.7"/>
        <n v="158.75"/>
        <n v="159.21"/>
        <n v="159.73"/>
        <n v="161.54"/>
        <n v="161.66"/>
        <n v="161.82"/>
        <n v="162.12"/>
        <n v="162.34"/>
        <n v="162.6"/>
        <n v="163.42"/>
        <n v="164.37"/>
        <n v="165.15"/>
        <n v="165.37"/>
        <n v="166.05"/>
        <n v="166.35"/>
        <n v="168.66"/>
        <n v="169.2"/>
        <n v="169.23"/>
        <n v="169.8"/>
        <n v="172.64"/>
        <n v="172.73"/>
        <n v="173.01"/>
        <n v="173.32"/>
        <n v="173.61"/>
        <n v="173.68"/>
        <n v="173.89"/>
        <n v="174.12"/>
        <n v="174.16"/>
        <n v="174.98"/>
        <n v="176.24"/>
        <n v="176.46"/>
        <n v="176.76"/>
        <n v="178.02"/>
        <n v="178.2"/>
        <n v="178.41"/>
        <n v="178.61"/>
        <n v="178.64"/>
        <n v="182.55"/>
        <n v="182.62"/>
        <n v="182.77"/>
        <n v="183.46"/>
        <n v="183.65"/>
        <n v="184.01"/>
        <n v="184.87"/>
        <n v="184.97"/>
        <n v="186.25"/>
        <n v="186.41"/>
        <n v="186.49"/>
        <n v="186.59"/>
        <n v="186.75"/>
        <n v="187.33"/>
        <n v="190.03"/>
        <n v="190.05"/>
        <n v="190.88"/>
        <n v="192.62"/>
        <n v="193.55"/>
        <n v="193.56"/>
        <n v="193.93"/>
        <n v="197.24"/>
        <n v="197.67"/>
        <n v="198.93"/>
        <n v="199.23"/>
        <n v="200.08"/>
        <n v="200.71"/>
        <n v="202.23"/>
        <n v="202.76"/>
        <n v="204.34"/>
        <n v="204.96"/>
        <n v="205.33"/>
        <n v="205.73"/>
        <n v="206.61"/>
        <n v="207.74"/>
        <n v="207.89"/>
        <n v="208.19"/>
        <n v="208.36"/>
        <n v="208.43"/>
        <n v="208.64"/>
        <n v="208.88"/>
        <n v="209.19"/>
        <n v="210.93"/>
        <n v="211.04"/>
        <n v="211.33"/>
        <n v="211.34"/>
        <n v="211.95"/>
        <n v="213.43"/>
        <n v="213.78"/>
        <n v="215.78"/>
        <n v="216.12"/>
        <n v="216.34"/>
        <n v="217.08"/>
        <n v="217.2"/>
        <n v="218.18"/>
        <n v="219.59"/>
        <n v="219.94"/>
        <n v="220.66"/>
        <n v="221.56"/>
        <n v="224.9"/>
        <n v="225.1"/>
        <n v="227.2"/>
        <n v="227.74"/>
        <n v="227.81"/>
        <n v="228.18"/>
        <n v="230.06"/>
        <n v="230.28"/>
        <n v="230.72"/>
        <n v="231.78"/>
        <n v="234.47"/>
        <n v="236.95"/>
        <n v="238.24"/>
        <n v="238.59"/>
        <n v="238.72"/>
        <n v="239.35"/>
        <n v="239.76"/>
        <n v="240.25"/>
        <n v="240.69"/>
        <n v="240.89"/>
        <n v="241.83"/>
        <n v="246.12"/>
        <n v="247.17"/>
        <n v="247.4"/>
        <n v="248.04"/>
        <n v="248.42"/>
        <n v="248.62"/>
        <n v="250.74"/>
        <n v="257.55"/>
        <n v="257.74"/>
        <n v="263.63"/>
        <n v="263.82"/>
        <n v="265.83"/>
        <n v="266.27"/>
        <n v="268.53"/>
        <n v="269.96"/>
        <n v="270.19"/>
        <n v="277.99"/>
        <n v="279.31"/>
        <n v="281.84"/>
        <n v="283.45"/>
        <n v="287.24"/>
        <n v="291.43"/>
        <n v="292.57"/>
        <n v="292.79"/>
        <n v="293.47"/>
        <n v="293.89"/>
        <n v="293.92"/>
        <n v="296.99"/>
        <n v="297.57"/>
        <n v="307.77"/>
        <n v="309.25"/>
        <n v="320.5"/>
        <n v="324.1"/>
        <n v="332.49"/>
        <n v="334.49"/>
        <n v="338.7"/>
        <n v="345.1"/>
        <n v="348.11"/>
        <n v="349.87"/>
        <n v="350.83"/>
        <n v="357.2"/>
        <n v="359.87"/>
        <n v="360.83"/>
        <n v="366.89"/>
        <n v="375.8"/>
        <n v="379.18"/>
        <n v="391.22"/>
        <n v="397.16"/>
        <n v="399.22"/>
        <n v="413.9"/>
        <n v="419.47"/>
        <n v="530.78"/>
        <n v="539.54"/>
        <n v="593.72"/>
        <n v="837.32"/>
        <n v="907.56"/>
      </sharedItems>
    </cacheField>
    <cacheField name="PASSADIÇO - CHAPA DE AÇO (VEÍCULOS)" numFmtId="0">
      <sharedItems containsSemiMixedTypes="0" containsString="0" containsNumber="1" minValue="0" maxValue="61.71408" count="1363">
        <n v="0"/>
        <n v="0.04012"/>
        <n v="0.0408"/>
        <n v="0.04488"/>
        <n v="0.04556"/>
        <n v="0.04828"/>
        <n v="0.04964"/>
        <n v="0.05236"/>
        <n v="0.05372"/>
        <n v="0.0612"/>
        <n v="0.06528"/>
        <n v="0.06664"/>
        <n v="0.06936"/>
        <n v="0.07684"/>
        <n v="0.07752"/>
        <n v="0.08296"/>
        <n v="0.08908"/>
        <n v="0.09452"/>
        <n v="0.0952"/>
        <n v="0.102"/>
        <n v="0.10268"/>
        <n v="0.10472"/>
        <n v="0.10676"/>
        <n v="0.11696"/>
        <n v="0.12376"/>
        <n v="0.12512"/>
        <n v="0.12648"/>
        <n v="0.13124"/>
        <n v="0.13192"/>
        <n v="0.1326"/>
        <n v="0.13328"/>
        <n v="0.13464"/>
        <n v="0.13532"/>
        <n v="0.136"/>
        <n v="0.13804"/>
        <n v="0.1394"/>
        <n v="0.14076"/>
        <n v="0.1632"/>
        <n v="0.16456"/>
        <n v="0.16728"/>
        <n v="0.16796"/>
        <n v="0.17"/>
        <n v="0.17068"/>
        <n v="0.17204"/>
        <n v="0.17816"/>
        <n v="0.18224"/>
        <n v="0.18292"/>
        <n v="0.18836"/>
        <n v="0.18904"/>
        <n v="0.1904"/>
        <n v="0.19176"/>
        <n v="0.19584"/>
        <n v="0.19856"/>
        <n v="0.20196"/>
        <n v="0.20332"/>
        <n v="0.20536"/>
        <n v="0.20672"/>
        <n v="0.20876"/>
        <n v="0.21148"/>
        <n v="0.21556"/>
        <n v="0.21896"/>
        <n v="0.22168"/>
        <n v="0.22508"/>
        <n v="0.2346"/>
        <n v="0.23528"/>
        <n v="0.23596"/>
        <n v="0.24344"/>
        <n v="0.24412"/>
        <n v="0.24616"/>
        <n v="0.24684"/>
        <n v="0.2516"/>
        <n v="0.25364"/>
        <n v="0.25636"/>
        <n v="0.25908"/>
        <n v="0.2652"/>
        <n v="0.26656"/>
        <n v="0.27268"/>
        <n v="0.2754"/>
        <n v="0.27812"/>
        <n v="0.2856"/>
        <n v="0.28832"/>
        <n v="0.29376"/>
        <n v="0.29648"/>
        <n v="0.29988"/>
        <n v="0.30192"/>
        <n v="0.3026"/>
        <n v="0.30396"/>
        <n v="0.30668"/>
        <n v="0.31144"/>
        <n v="0.3196"/>
        <n v="0.32096"/>
        <n v="0.33184"/>
        <n v="0.3332"/>
        <n v="0.33592"/>
        <n v="0.34544"/>
        <n v="0.34612"/>
        <n v="0.34816"/>
        <n v="0.35088"/>
        <n v="0.35156"/>
        <n v="0.35292"/>
        <n v="0.35632"/>
        <n v="0.357"/>
        <n v="0.36312"/>
        <n v="0.3638"/>
        <n v="0.37332"/>
        <n v="0.37808"/>
        <n v="0.37876"/>
        <n v="0.37944"/>
        <n v="0.3808"/>
        <n v="0.38556"/>
        <n v="0.38828"/>
        <n v="0.39304"/>
        <n v="0.39372"/>
        <n v="0.40392"/>
        <n v="0.40732"/>
        <n v="0.408"/>
        <n v="0.41072"/>
        <n v="0.4114"/>
        <n v="0.41752"/>
        <n v="0.4216"/>
        <n v="0.42296"/>
        <n v="0.43588"/>
        <n v="0.44608"/>
        <n v="0.45288"/>
        <n v="0.45696"/>
        <n v="0.45764"/>
        <n v="0.45832"/>
        <n v="0.46104"/>
        <n v="0.46308"/>
        <n v="0.46444"/>
        <n v="0.47328"/>
        <n v="0.47736"/>
        <n v="0.49368"/>
        <n v="0.49708"/>
        <n v="0.51748"/>
        <n v="0.5202"/>
        <n v="0.5338"/>
        <n v="0.53788"/>
        <n v="0.54196"/>
        <n v="0.54672"/>
        <n v="0.54876"/>
        <n v="0.5508"/>
        <n v="0.55896"/>
        <n v="0.56236"/>
        <n v="0.5644"/>
        <n v="0.56848"/>
        <n v="0.56984"/>
        <n v="0.58004"/>
        <n v="0.58548"/>
        <n v="0.59772"/>
        <n v="0.60452"/>
        <n v="0.61404"/>
        <n v="0.6154"/>
        <n v="0.61948"/>
        <n v="0.64192"/>
        <n v="0.6732"/>
        <n v="0.70448"/>
        <n v="0.70584"/>
        <n v="0.70924"/>
        <n v="0.72012"/>
        <n v="0.72352"/>
        <n v="0.72488"/>
        <n v="0.72692"/>
        <n v="0.73712"/>
        <n v="0.73848"/>
        <n v="0.74324"/>
        <n v="0.74868"/>
        <n v="0.75888"/>
        <n v="0.7616"/>
        <n v="0.76432"/>
        <n v="0.765"/>
        <n v="0.77588"/>
        <n v="0.7888"/>
        <n v="0.79016"/>
        <n v="0.79832"/>
        <n v="0.80036"/>
        <n v="0.81872"/>
        <n v="0.82008"/>
        <n v="0.82416"/>
        <n v="0.84116"/>
        <n v="0.84796"/>
        <n v="0.84864"/>
        <n v="0.85204"/>
        <n v="0.86564"/>
        <n v="0.86904"/>
        <n v="0.87448"/>
        <n v="0.87516"/>
        <n v="0.87584"/>
        <n v="0.89284"/>
        <n v="0.89488"/>
        <n v="0.89828"/>
        <n v="0.90984"/>
        <n v="0.9282"/>
        <n v="0.94316"/>
        <n v="0.96968"/>
        <n v="0.97852"/>
        <n v="0.98328"/>
        <n v="0.98532"/>
        <n v="0.98736"/>
        <n v="0.98804"/>
        <n v="0.99076"/>
        <n v="0.99552"/>
        <n v="1.00028"/>
        <n v="1.00776"/>
        <n v="1.01864"/>
        <n v="1.02"/>
        <n v="1.0336"/>
        <n v="1.03428"/>
        <n v="1.03496"/>
        <n v="1.037"/>
        <n v="1.03768"/>
        <n v="1.04584"/>
        <n v="1.0608"/>
        <n v="1.071"/>
        <n v="1.0744"/>
        <n v="1.08664"/>
        <n v="1.12404"/>
        <n v="1.13084"/>
        <n v="1.13288"/>
        <n v="1.13356"/>
        <n v="1.13492"/>
        <n v="1.1356"/>
        <n v="1.13968"/>
        <n v="1.15872"/>
        <n v="1.1594"/>
        <n v="1.1696"/>
        <n v="1.17572"/>
        <n v="1.19136"/>
        <n v="1.19476"/>
        <n v="1.2002"/>
        <n v="1.20156"/>
        <n v="1.22264"/>
        <n v="1.23556"/>
        <n v="1.23896"/>
        <n v="1.24304"/>
        <n v="1.26344"/>
        <n v="1.26412"/>
        <n v="1.27432"/>
        <n v="1.27636"/>
        <n v="1.28112"/>
        <n v="1.2818"/>
        <n v="1.28792"/>
        <n v="1.28928"/>
        <n v="1.28996"/>
        <n v="1.31444"/>
        <n v="1.31784"/>
        <n v="1.32056"/>
        <n v="1.33892"/>
        <n v="1.34572"/>
        <n v="1.34844"/>
        <n v="1.35524"/>
        <n v="1.3702"/>
        <n v="1.38448"/>
        <n v="1.394"/>
        <n v="1.42052"/>
        <n v="1.43276"/>
        <n v="1.43344"/>
        <n v="1.43412"/>
        <n v="1.44432"/>
        <n v="1.45588"/>
        <n v="1.45724"/>
        <n v="1.4654"/>
        <n v="1.46948"/>
        <n v="1.47288"/>
        <n v="1.47628"/>
        <n v="1.49124"/>
        <n v="1.49736"/>
        <n v="1.49872"/>
        <n v="1.50076"/>
        <n v="1.50688"/>
        <n v="1.5096"/>
        <n v="1.51844"/>
        <n v="1.54632"/>
        <n v="1.5572"/>
        <n v="1.55856"/>
        <n v="1.56196"/>
        <n v="1.5674"/>
        <n v="1.57624"/>
        <n v="1.58032"/>
        <n v="1.58712"/>
        <n v="1.58848"/>
        <n v="1.58916"/>
        <n v="1.59868"/>
        <n v="1.61772"/>
        <n v="1.62248"/>
        <n v="1.62724"/>
        <n v="1.65648"/>
        <n v="1.65784"/>
        <n v="1.66532"/>
        <n v="1.6694"/>
        <n v="1.67552"/>
        <n v="1.68232"/>
        <n v="1.683"/>
        <n v="1.68912"/>
        <n v="1.7"/>
        <n v="1.7102"/>
        <n v="1.71564"/>
        <n v="1.71836"/>
        <n v="1.72176"/>
        <n v="1.7272"/>
        <n v="1.74012"/>
        <n v="1.74216"/>
        <n v="1.74828"/>
        <n v="1.75576"/>
        <n v="1.76052"/>
        <n v="1.77072"/>
        <n v="1.77548"/>
        <n v="1.7782"/>
        <n v="1.78024"/>
        <n v="1.78364"/>
        <n v="1.785"/>
        <n v="1.7884"/>
        <n v="1.80472"/>
        <n v="1.819"/>
        <n v="1.82104"/>
        <n v="1.83124"/>
        <n v="1.83396"/>
        <n v="1.83872"/>
        <n v="1.84892"/>
        <n v="1.86184"/>
        <n v="1.8632"/>
        <n v="1.86524"/>
        <n v="1.86932"/>
        <n v="1.88224"/>
        <n v="1.88836"/>
        <n v="1.88904"/>
        <n v="1.91964"/>
        <n v="1.92236"/>
        <n v="1.92304"/>
        <n v="1.93256"/>
        <n v="1.94276"/>
        <n v="1.94548"/>
        <n v="1.95024"/>
        <n v="1.9516"/>
        <n v="1.96044"/>
        <n v="1.9686"/>
        <n v="1.97812"/>
        <n v="1.98968"/>
        <n v="1.99104"/>
        <n v="1.99308"/>
        <n v="2.00668"/>
        <n v="2.01552"/>
        <n v="2.01756"/>
        <n v="2.03796"/>
        <n v="2.04748"/>
        <n v="2.05428"/>
        <n v="2.05836"/>
        <n v="2.06992"/>
        <n v="2.0774"/>
        <n v="2.09372"/>
        <n v="2.0944"/>
        <n v="2.11548"/>
        <n v="2.1182"/>
        <n v="2.14064"/>
        <n v="2.14336"/>
        <n v="2.15968"/>
        <n v="2.17192"/>
        <n v="2.17532"/>
        <n v="2.19096"/>
        <n v="2.19368"/>
        <n v="2.2032"/>
        <n v="2.20456"/>
        <n v="2.21"/>
        <n v="2.21068"/>
        <n v="2.21204"/>
        <n v="2.21476"/>
        <n v="2.21544"/>
        <n v="2.21816"/>
        <n v="2.2236"/>
        <n v="2.22564"/>
        <n v="2.22836"/>
        <n v="2.23108"/>
        <n v="2.25624"/>
        <n v="2.261"/>
        <n v="2.27052"/>
        <n v="2.27936"/>
        <n v="2.28072"/>
        <n v="2.2848"/>
        <n v="2.2882"/>
        <n v="2.28956"/>
        <n v="2.30928"/>
        <n v="2.31064"/>
        <n v="2.32288"/>
        <n v="2.32424"/>
        <n v="2.3256"/>
        <n v="2.33648"/>
        <n v="2.33784"/>
        <n v="2.35416"/>
        <n v="2.35892"/>
        <n v="2.363"/>
        <n v="2.36572"/>
        <n v="2.37048"/>
        <n v="2.37252"/>
        <n v="2.3732"/>
        <n v="2.38204"/>
        <n v="2.4038"/>
        <n v="2.41876"/>
        <n v="2.42624"/>
        <n v="2.44324"/>
        <n v="2.45004"/>
        <n v="2.4514"/>
        <n v="2.4582"/>
        <n v="2.45956"/>
        <n v="2.46296"/>
        <n v="2.4684"/>
        <n v="2.48812"/>
        <n v="2.49016"/>
        <n v="2.49152"/>
        <n v="2.49628"/>
        <n v="2.50784"/>
        <n v="2.51056"/>
        <n v="2.51192"/>
        <n v="2.51668"/>
        <n v="2.51804"/>
        <n v="2.52144"/>
        <n v="2.53368"/>
        <n v="2.5398"/>
        <n v="2.54252"/>
        <n v="2.5432"/>
        <n v="2.55136"/>
        <n v="2.56292"/>
        <n v="2.56428"/>
        <n v="2.56972"/>
        <n v="2.5738"/>
        <n v="2.57516"/>
        <n v="2.57856"/>
        <n v="2.57924"/>
        <n v="2.58128"/>
        <n v="2.58536"/>
        <n v="2.59828"/>
        <n v="2.60236"/>
        <n v="2.60712"/>
        <n v="2.61052"/>
        <n v="2.61392"/>
        <n v="2.6146"/>
        <n v="2.61596"/>
        <n v="2.61664"/>
        <n v="2.61732"/>
        <n v="2.62072"/>
        <n v="2.6248"/>
        <n v="2.63092"/>
        <n v="2.6384"/>
        <n v="2.64112"/>
        <n v="2.64316"/>
        <n v="2.652"/>
        <n v="2.6588"/>
        <n v="2.66832"/>
        <n v="2.67172"/>
        <n v="2.68192"/>
        <n v="2.686"/>
        <n v="2.68872"/>
        <n v="2.69552"/>
        <n v="2.69892"/>
        <n v="2.70096"/>
        <n v="2.71252"/>
        <n v="2.72068"/>
        <n v="2.737"/>
        <n v="2.74244"/>
        <n v="2.74312"/>
        <n v="2.74448"/>
        <n v="2.7472"/>
        <n v="2.74992"/>
        <n v="2.76148"/>
        <n v="2.76284"/>
        <n v="2.76556"/>
        <n v="2.76896"/>
        <n v="2.76964"/>
        <n v="2.771"/>
        <n v="2.77304"/>
        <n v="2.7846"/>
        <n v="2.80024"/>
        <n v="2.80772"/>
        <n v="2.80976"/>
        <n v="2.81588"/>
        <n v="2.81928"/>
        <n v="2.81996"/>
        <n v="2.822"/>
        <n v="2.8254"/>
        <n v="2.82744"/>
        <n v="2.8288"/>
        <n v="2.83084"/>
        <n v="2.83288"/>
        <n v="2.83356"/>
        <n v="2.84036"/>
        <n v="2.8492"/>
        <n v="2.8526"/>
        <n v="2.85668"/>
        <n v="2.85872"/>
        <n v="2.86212"/>
        <n v="2.87776"/>
        <n v="2.88252"/>
        <n v="2.8832"/>
        <n v="2.88524"/>
        <n v="2.88796"/>
        <n v="2.89204"/>
        <n v="2.89408"/>
        <n v="2.89544"/>
        <n v="2.8968"/>
        <n v="2.9036"/>
        <n v="2.90836"/>
        <n v="2.90972"/>
        <n v="2.9172"/>
        <n v="2.92196"/>
        <n v="2.92264"/>
        <n v="2.92672"/>
        <n v="2.93012"/>
        <n v="2.93488"/>
        <n v="2.94236"/>
        <n v="2.94848"/>
        <n v="2.9546"/>
        <n v="2.95596"/>
        <n v="2.95664"/>
        <n v="2.95868"/>
        <n v="2.96004"/>
        <n v="2.96548"/>
        <n v="2.97024"/>
        <n v="2.9716"/>
        <n v="2.97228"/>
        <n v="2.975"/>
        <n v="2.9784"/>
        <n v="2.9852"/>
        <n v="2.98724"/>
        <n v="2.99812"/>
        <n v="2.9988"/>
        <n v="3.00152"/>
        <n v="3.00288"/>
        <n v="3.00492"/>
        <n v="3.00764"/>
        <n v="3.01512"/>
        <n v="3.01716"/>
        <n v="3.01784"/>
        <n v="3.02192"/>
        <n v="3.0226"/>
        <n v="3.02464"/>
        <n v="3.02736"/>
        <n v="3.03416"/>
        <n v="3.0362"/>
        <n v="3.03892"/>
        <n v="3.04504"/>
        <n v="3.0464"/>
        <n v="3.0498"/>
        <n v="3.05048"/>
        <n v="3.0532"/>
        <n v="3.05592"/>
        <n v="3.05864"/>
        <n v="3.06"/>
        <n v="3.06204"/>
        <n v="3.06476"/>
        <n v="3.06952"/>
        <n v="3.07768"/>
        <n v="3.0804"/>
        <n v="3.08312"/>
        <n v="3.08448"/>
        <n v="3.08788"/>
        <n v="3.08992"/>
        <n v="3.094"/>
        <n v="3.09604"/>
        <n v="3.10148"/>
        <n v="3.10352"/>
        <n v="3.1076"/>
        <n v="3.10896"/>
        <n v="3.11576"/>
        <n v="3.12188"/>
        <n v="3.12256"/>
        <n v="3.12392"/>
        <n v="3.128"/>
        <n v="3.12936"/>
        <n v="3.13072"/>
        <n v="3.1314"/>
        <n v="3.13276"/>
        <n v="3.13956"/>
        <n v="3.1416"/>
        <n v="3.14228"/>
        <n v="3.15248"/>
        <n v="3.15384"/>
        <n v="3.15996"/>
        <n v="3.16472"/>
        <n v="3.16608"/>
        <n v="3.17356"/>
        <n v="3.17492"/>
        <n v="3.1756"/>
        <n v="3.17968"/>
        <n v="3.18104"/>
        <n v="3.18376"/>
        <n v="3.1858"/>
        <n v="3.18648"/>
        <n v="3.18716"/>
        <n v="3.1892"/>
        <n v="3.19328"/>
        <n v="3.19464"/>
        <n v="3.20008"/>
        <n v="3.20076"/>
        <n v="3.20144"/>
        <n v="3.20484"/>
        <n v="3.21096"/>
        <n v="3.21572"/>
        <n v="3.2164"/>
        <n v="3.21912"/>
        <n v="3.22048"/>
        <n v="3.22116"/>
        <n v="3.2266"/>
        <n v="3.22728"/>
        <n v="3.23"/>
        <n v="3.23136"/>
        <n v="3.2334"/>
        <n v="3.23408"/>
        <n v="3.2402"/>
        <n v="3.24496"/>
        <n v="3.247"/>
        <n v="3.25244"/>
        <n v="3.25992"/>
        <n v="3.26332"/>
        <n v="3.26468"/>
        <n v="3.26536"/>
        <n v="3.2674"/>
        <n v="3.2742"/>
        <n v="3.27556"/>
        <n v="3.2776"/>
        <n v="3.28576"/>
        <n v="3.28712"/>
        <n v="3.2912"/>
        <n v="3.29392"/>
        <n v="3.29528"/>
        <n v="3.29596"/>
        <n v="3.298"/>
        <n v="3.29936"/>
        <n v="3.30004"/>
        <n v="3.30072"/>
        <n v="3.30344"/>
        <n v="3.30548"/>
        <n v="3.30956"/>
        <n v="3.31092"/>
        <n v="3.31636"/>
        <n v="3.31704"/>
        <n v="3.31772"/>
        <n v="3.31908"/>
        <n v="3.3218"/>
        <n v="3.32248"/>
        <n v="3.32316"/>
        <n v="3.32384"/>
        <n v="3.32656"/>
        <n v="3.32792"/>
        <n v="3.332"/>
        <n v="3.33336"/>
        <n v="3.33404"/>
        <n v="3.33676"/>
        <n v="3.33812"/>
        <n v="3.34696"/>
        <n v="3.35104"/>
        <n v="3.3524"/>
        <n v="3.35648"/>
        <n v="3.35784"/>
        <n v="3.36124"/>
        <n v="3.36804"/>
        <n v="3.36872"/>
        <n v="3.3694"/>
        <n v="3.37416"/>
        <n v="3.38028"/>
        <n v="3.383"/>
        <n v="3.38368"/>
        <n v="3.38436"/>
        <n v="3.38912"/>
        <n v="3.39048"/>
        <n v="3.3932"/>
        <n v="3.39456"/>
        <n v="3.39728"/>
        <n v="3.40068"/>
        <n v="3.4102"/>
        <n v="3.42244"/>
        <n v="3.42516"/>
        <n v="3.434"/>
        <n v="3.43536"/>
        <n v="3.43672"/>
        <n v="3.43876"/>
        <n v="3.44216"/>
        <n v="3.4442"/>
        <n v="3.44624"/>
        <n v="3.46188"/>
        <n v="3.46596"/>
        <n v="3.46664"/>
        <n v="3.46732"/>
        <n v="3.47004"/>
        <n v="3.47752"/>
        <n v="3.48976"/>
        <n v="3.49112"/>
        <n v="3.4918"/>
        <n v="3.50404"/>
        <n v="3.51628"/>
        <n v="3.51832"/>
        <n v="3.52648"/>
        <n v="3.5292"/>
        <n v="3.54688"/>
        <n v="3.54756"/>
        <n v="3.56252"/>
        <n v="3.5632"/>
        <n v="3.57544"/>
        <n v="3.57612"/>
        <n v="3.58224"/>
        <n v="3.58292"/>
        <n v="3.587"/>
        <n v="3.5904"/>
        <n v="3.62372"/>
        <n v="3.62916"/>
        <n v="3.63052"/>
        <n v="3.63392"/>
        <n v="3.64276"/>
        <n v="3.65092"/>
        <n v="3.65568"/>
        <n v="3.66044"/>
        <n v="3.66248"/>
        <n v="3.66452"/>
        <n v="3.6652"/>
        <n v="3.66588"/>
        <n v="3.66724"/>
        <n v="3.66928"/>
        <n v="3.67132"/>
        <n v="3.68016"/>
        <n v="3.69648"/>
        <n v="3.7128"/>
        <n v="3.723"/>
        <n v="3.73524"/>
        <n v="3.73932"/>
        <n v="3.74068"/>
        <n v="3.75088"/>
        <n v="3.7536"/>
        <n v="3.77264"/>
        <n v="3.80392"/>
        <n v="3.83044"/>
        <n v="3.83656"/>
        <n v="3.83928"/>
        <n v="3.84676"/>
        <n v="3.85492"/>
        <n v="3.85628"/>
        <n v="3.85832"/>
        <n v="3.85968"/>
        <n v="3.87192"/>
        <n v="3.87396"/>
        <n v="3.87736"/>
        <n v="3.87872"/>
        <n v="3.90116"/>
        <n v="3.90524"/>
        <n v="3.91884"/>
        <n v="3.91952"/>
        <n v="3.9202"/>
        <n v="3.93448"/>
        <n v="3.93924"/>
        <n v="3.96032"/>
        <n v="3.96372"/>
        <n v="3.9712"/>
        <n v="3.97664"/>
        <n v="3.9848"/>
        <n v="3.99364"/>
        <n v="3.995"/>
        <n v="3.99568"/>
        <n v="3.99908"/>
        <n v="3.99976"/>
        <n v="4.00316"/>
        <n v="4.02696"/>
        <n v="4.0426"/>
        <n v="4.06504"/>
        <n v="4.0698"/>
        <n v="4.0766"/>
        <n v="4.08272"/>
        <n v="4.08612"/>
        <n v="4.08884"/>
        <n v="4.0936"/>
        <n v="4.09496"/>
        <n v="4.09632"/>
        <n v="4.097"/>
        <n v="4.09972"/>
        <n v="4.10244"/>
        <n v="4.1072"/>
        <n v="4.10992"/>
        <n v="4.12148"/>
        <n v="4.15276"/>
        <n v="4.15616"/>
        <n v="4.1582"/>
        <n v="4.17316"/>
        <n v="4.17724"/>
        <n v="4.18132"/>
        <n v="4.1922"/>
        <n v="4.19424"/>
        <n v="4.20784"/>
        <n v="4.20852"/>
        <n v="4.22484"/>
        <n v="4.22552"/>
        <n v="4.23504"/>
        <n v="4.26496"/>
        <n v="4.27312"/>
        <n v="4.27924"/>
        <n v="4.2806"/>
        <n v="4.28128"/>
        <n v="4.301"/>
        <n v="4.31052"/>
        <n v="4.31256"/>
        <n v="4.31664"/>
        <n v="4.31868"/>
        <n v="4.31936"/>
        <n v="4.3214"/>
        <n v="4.32276"/>
        <n v="4.33704"/>
        <n v="4.33772"/>
        <n v="4.34316"/>
        <n v="4.352"/>
        <n v="4.40504"/>
        <n v="4.42204"/>
        <n v="4.42612"/>
        <n v="4.43428"/>
        <n v="4.44176"/>
        <n v="4.4438"/>
        <n v="4.45264"/>
        <n v="4.48732"/>
        <n v="4.49208"/>
        <n v="4.4982"/>
        <n v="4.50568"/>
        <n v="4.51588"/>
        <n v="4.51792"/>
        <n v="4.57844"/>
        <n v="4.59136"/>
        <n v="4.60768"/>
        <n v="4.61244"/>
        <n v="4.62876"/>
        <n v="4.63624"/>
        <n v="4.63692"/>
        <n v="4.64644"/>
        <n v="4.64848"/>
        <n v="4.6614"/>
        <n v="4.66684"/>
        <n v="4.6852"/>
        <n v="4.6988"/>
        <n v="4.73416"/>
        <n v="4.74164"/>
        <n v="4.76816"/>
        <n v="4.78108"/>
        <n v="4.78856"/>
        <n v="4.79536"/>
        <n v="4.79604"/>
        <n v="4.79876"/>
        <n v="4.80556"/>
        <n v="4.80692"/>
        <n v="4.8416"/>
        <n v="4.84704"/>
        <n v="4.85588"/>
        <n v="4.8586"/>
        <n v="4.89192"/>
        <n v="4.89532"/>
        <n v="4.89804"/>
        <n v="4.90076"/>
        <n v="4.90756"/>
        <n v="4.91096"/>
        <n v="4.93544"/>
        <n v="4.93952"/>
        <n v="4.95516"/>
        <n v="4.96196"/>
        <n v="4.96264"/>
        <n v="4.97012"/>
        <n v="5.00004"/>
        <n v="5.00208"/>
        <n v="5.00752"/>
        <n v="5.0116"/>
        <n v="5.0524"/>
        <n v="5.08164"/>
        <n v="5.08912"/>
        <n v="5.10272"/>
        <n v="5.10476"/>
        <n v="5.11564"/>
        <n v="5.13468"/>
        <n v="5.14012"/>
        <n v="5.14148"/>
        <n v="5.14964"/>
        <n v="5.16732"/>
        <n v="5.168"/>
        <n v="5.1714"/>
        <n v="5.17208"/>
        <n v="5.1816"/>
        <n v="5.1884"/>
        <n v="5.202"/>
        <n v="5.2054"/>
        <n v="5.24892"/>
        <n v="5.25844"/>
        <n v="5.27748"/>
        <n v="5.28904"/>
        <n v="5.3312"/>
        <n v="5.33188"/>
        <n v="5.3346"/>
        <n v="5.3448"/>
        <n v="5.36248"/>
        <n v="5.36452"/>
        <n v="5.372"/>
        <n v="5.37336"/>
        <n v="5.37676"/>
        <n v="5.3822"/>
        <n v="5.3856"/>
        <n v="5.39648"/>
        <n v="5.3992"/>
        <n v="5.40192"/>
        <n v="5.40532"/>
        <n v="5.423"/>
        <n v="5.42368"/>
        <n v="5.4502"/>
        <n v="5.45768"/>
        <n v="5.4604"/>
        <n v="5.46176"/>
        <n v="5.4638"/>
        <n v="5.50324"/>
        <n v="5.50528"/>
        <n v="5.5216"/>
        <n v="5.53588"/>
        <n v="5.54812"/>
        <n v="5.55424"/>
        <n v="5.59096"/>
        <n v="5.60048"/>
        <n v="5.60864"/>
        <n v="5.61272"/>
        <n v="5.65216"/>
        <n v="5.6916"/>
        <n v="5.70248"/>
        <n v="5.71948"/>
        <n v="5.72628"/>
        <n v="5.729"/>
        <n v="5.75552"/>
        <n v="5.77048"/>
        <n v="5.79564"/>
        <n v="5.80176"/>
        <n v="5.80516"/>
        <n v="5.80652"/>
        <n v="5.82148"/>
        <n v="5.86228"/>
        <n v="5.86432"/>
        <n v="5.87996"/>
        <n v="5.9024"/>
        <n v="5.93844"/>
        <n v="5.94796"/>
        <n v="5.9772"/>
        <n v="6.00372"/>
        <n v="6.0112"/>
        <n v="6.01256"/>
        <n v="6.0316"/>
        <n v="6.04248"/>
        <n v="6.09552"/>
        <n v="6.1132"/>
        <n v="6.11864"/>
        <n v="6.11932"/>
        <n v="6.13564"/>
        <n v="6.137"/>
        <n v="6.17304"/>
        <n v="6.18052"/>
        <n v="6.19888"/>
        <n v="6.21588"/>
        <n v="6.21792"/>
        <n v="6.21928"/>
        <n v="6.222"/>
        <n v="6.23152"/>
        <n v="6.24036"/>
        <n v="6.26892"/>
        <n v="6.2968"/>
        <n v="6.32468"/>
        <n v="6.32876"/>
        <n v="6.3342"/>
        <n v="6.34304"/>
        <n v="6.34372"/>
        <n v="6.34508"/>
        <n v="6.35052"/>
        <n v="6.36344"/>
        <n v="6.36684"/>
        <n v="6.36752"/>
        <n v="6.3716"/>
        <n v="6.39744"/>
        <n v="6.40628"/>
        <n v="6.41104"/>
        <n v="6.43892"/>
        <n v="6.4464"/>
        <n v="6.45388"/>
        <n v="6.46408"/>
        <n v="6.47292"/>
        <n v="6.5042"/>
        <n v="6.51372"/>
        <n v="6.53344"/>
        <n v="6.5722"/>
        <n v="6.58648"/>
        <n v="6.61912"/>
        <n v="6.65448"/>
        <n v="6.66128"/>
        <n v="6.67352"/>
        <n v="6.681"/>
        <n v="6.68372"/>
        <n v="6.70004"/>
        <n v="6.70072"/>
        <n v="6.72588"/>
        <n v="6.73336"/>
        <n v="6.75444"/>
        <n v="6.76328"/>
        <n v="6.77552"/>
        <n v="6.81428"/>
        <n v="6.8306"/>
        <n v="6.83128"/>
        <n v="6.86528"/>
        <n v="6.86868"/>
        <n v="6.87684"/>
        <n v="6.8782"/>
        <n v="6.88772"/>
        <n v="6.89316"/>
        <n v="6.90676"/>
        <n v="6.95504"/>
        <n v="6.95844"/>
        <n v="6.9632"/>
        <n v="6.96864"/>
        <n v="6.98632"/>
        <n v="6.9904"/>
        <n v="6.99788"/>
        <n v="6.99992"/>
        <n v="7.00128"/>
        <n v="7.00604"/>
        <n v="7.01556"/>
        <n v="7.02508"/>
        <n v="7.04956"/>
        <n v="7.05364"/>
        <n v="7.0652"/>
        <n v="7.0686"/>
        <n v="7.07132"/>
        <n v="7.08832"/>
        <n v="7.1094"/>
        <n v="7.12368"/>
        <n v="7.13456"/>
        <n v="7.1366"/>
        <n v="7.14476"/>
        <n v="7.1672"/>
        <n v="7.17604"/>
        <n v="7.191"/>
        <n v="7.21412"/>
        <n v="7.22704"/>
        <n v="7.23656"/>
        <n v="7.24132"/>
        <n v="7.242"/>
        <n v="7.26172"/>
        <n v="7.29096"/>
        <n v="7.32768"/>
        <n v="7.33856"/>
        <n v="7.37324"/>
        <n v="7.40316"/>
        <n v="7.41268"/>
        <n v="7.4188"/>
        <n v="7.42696"/>
        <n v="7.446"/>
        <n v="7.45824"/>
        <n v="7.47252"/>
        <n v="7.49156"/>
        <n v="7.55004"/>
        <n v="7.55956"/>
        <n v="7.57724"/>
        <n v="7.58812"/>
        <n v="7.5888"/>
        <n v="7.59016"/>
        <n v="7.60512"/>
        <n v="7.62416"/>
        <n v="7.6534"/>
        <n v="7.65884"/>
        <n v="7.70848"/>
        <n v="7.718"/>
        <n v="7.7214"/>
        <n v="7.72276"/>
        <n v="7.72616"/>
        <n v="7.752"/>
        <n v="7.78192"/>
        <n v="7.78804"/>
        <n v="7.803"/>
        <n v="7.80708"/>
        <n v="7.81592"/>
        <n v="7.8268"/>
        <n v="7.86148"/>
        <n v="7.9628"/>
        <n v="7.98456"/>
        <n v="7.99204"/>
        <n v="8.01992"/>
        <n v="8.02196"/>
        <n v="8.041"/>
        <n v="8.0478"/>
        <n v="8.06072"/>
        <n v="8.10832"/>
        <n v="8.11716"/>
        <n v="8.2178"/>
        <n v="8.22324"/>
        <n v="8.26812"/>
        <n v="8.28308"/>
        <n v="8.3028"/>
        <n v="8.32592"/>
        <n v="8.34156"/>
        <n v="8.3538"/>
        <n v="8.3844"/>
        <n v="8.40004"/>
        <n v="8.4014"/>
        <n v="8.40276"/>
        <n v="8.4048"/>
        <n v="8.41228"/>
        <n v="8.43948"/>
        <n v="8.44968"/>
        <n v="8.4524"/>
        <n v="8.47688"/>
        <n v="8.50544"/>
        <n v="8.52652"/>
        <n v="8.5646"/>
        <n v="8.56596"/>
        <n v="8.5816"/>
        <n v="8.5884"/>
        <n v="8.5986"/>
        <n v="8.66456"/>
        <n v="8.69516"/>
        <n v="8.70808"/>
        <n v="8.75296"/>
        <n v="8.8502"/>
        <n v="8.86244"/>
        <n v="8.88964"/>
        <n v="8.90052"/>
        <n v="8.90936"/>
        <n v="8.92024"/>
        <n v="8.92636"/>
        <n v="8.94404"/>
        <n v="8.95356"/>
        <n v="8.95424"/>
        <n v="8.97192"/>
        <n v="8.97532"/>
        <n v="8.98756"/>
        <n v="8.9896"/>
        <n v="9.01544"/>
        <n v="9.05148"/>
        <n v="9.05692"/>
        <n v="9.06372"/>
        <n v="9.07868"/>
        <n v="9.095"/>
        <n v="9.10656"/>
        <n v="9.12152"/>
        <n v="9.14532"/>
        <n v="9.19428"/>
        <n v="9.2004"/>
        <n v="9.20516"/>
        <n v="9.21196"/>
        <n v="9.22624"/>
        <n v="9.231"/>
        <n v="9.24392"/>
        <n v="9.28676"/>
        <n v="9.299"/>
        <n v="9.30988"/>
        <n v="9.32688"/>
        <n v="9.32892"/>
        <n v="9.333"/>
        <n v="9.34048"/>
        <n v="9.37788"/>
        <n v="9.43024"/>
        <n v="9.5098"/>
        <n v="9.51728"/>
        <n v="9.63288"/>
        <n v="9.6696"/>
        <n v="9.7376"/>
        <n v="9.76344"/>
        <n v="9.78316"/>
        <n v="9.79336"/>
        <n v="9.79676"/>
        <n v="9.79744"/>
        <n v="9.80152"/>
        <n v="9.81512"/>
        <n v="9.86136"/>
        <n v="9.87632"/>
        <n v="9.88788"/>
        <n v="9.92936"/>
        <n v="9.93548"/>
        <n v="9.94024"/>
        <n v="9.94364"/>
        <n v="10.06264"/>
        <n v="10.1218"/>
        <n v="10.13472"/>
        <n v="10.16804"/>
        <n v="10.17824"/>
        <n v="10.17892"/>
        <n v="10.21972"/>
        <n v="10.22108"/>
        <n v="10.25372"/>
        <n v="10.25508"/>
        <n v="10.36796"/>
        <n v="10.36932"/>
        <n v="10.37204"/>
        <n v="10.38292"/>
        <n v="10.42644"/>
        <n v="10.52844"/>
        <n v="10.60868"/>
        <n v="10.64404"/>
        <n v="10.70048"/>
        <n v="10.7032"/>
        <n v="10.70932"/>
        <n v="10.76712"/>
        <n v="10.7916"/>
        <n v="10.795"/>
        <n v="10.82628"/>
        <n v="10.86164"/>
        <n v="10.98472"/>
        <n v="10.99288"/>
        <n v="11.00376"/>
        <n v="11.02416"/>
        <n v="11.03912"/>
        <n v="11.0568"/>
        <n v="11.11256"/>
        <n v="11.17716"/>
        <n v="11.2302"/>
        <n v="11.24516"/>
        <n v="11.2914"/>
        <n v="11.3118"/>
        <n v="11.46888"/>
        <n v="11.5056"/>
        <n v="11.50764"/>
        <n v="11.5464"/>
        <n v="11.73952"/>
        <n v="11.74564"/>
        <n v="11.76468"/>
        <n v="11.78576"/>
        <n v="11.80548"/>
        <n v="11.81024"/>
        <n v="11.82452"/>
        <n v="11.84016"/>
        <n v="11.84288"/>
        <n v="11.89864"/>
        <n v="11.98432"/>
        <n v="11.99928"/>
        <n v="12.01968"/>
        <n v="12.10536"/>
        <n v="12.1176"/>
        <n v="12.13188"/>
        <n v="12.14548"/>
        <n v="12.14752"/>
        <n v="12.4134"/>
        <n v="12.41816"/>
        <n v="12.42836"/>
        <n v="12.47528"/>
        <n v="12.4882"/>
        <n v="12.51268"/>
        <n v="12.57116"/>
        <n v="12.57796"/>
        <n v="12.665"/>
        <n v="12.67588"/>
        <n v="12.68132"/>
        <n v="12.68812"/>
        <n v="12.699"/>
        <n v="12.73844"/>
        <n v="12.92204"/>
        <n v="12.9234"/>
        <n v="12.97984"/>
        <n v="13.09816"/>
        <n v="13.1614"/>
        <n v="13.16208"/>
        <n v="13.18724"/>
        <n v="13.41232"/>
        <n v="13.44156"/>
        <n v="13.52724"/>
        <n v="13.54764"/>
        <n v="13.60544"/>
        <n v="13.64828"/>
        <n v="13.75164"/>
        <n v="13.78768"/>
        <n v="13.89512"/>
        <n v="13.93728"/>
        <n v="13.96244"/>
        <n v="13.98964"/>
        <n v="14.04948"/>
        <n v="14.12632"/>
        <n v="14.13652"/>
        <n v="14.15692"/>
        <n v="14.16848"/>
        <n v="14.17324"/>
        <n v="14.18752"/>
        <n v="14.20384"/>
        <n v="14.22492"/>
        <n v="14.34324"/>
        <n v="14.35072"/>
        <n v="14.37044"/>
        <n v="14.37112"/>
        <n v="14.4126"/>
        <n v="14.51324"/>
        <n v="14.53704"/>
        <n v="14.67304"/>
        <n v="14.69616"/>
        <n v="14.71112"/>
        <n v="14.76144"/>
        <n v="14.7696"/>
        <n v="14.83624"/>
        <n v="14.93212"/>
        <n v="14.95592"/>
        <n v="15.00488"/>
        <n v="15.06608"/>
        <n v="15.2932"/>
        <n v="15.3068"/>
        <n v="15.4496"/>
        <n v="15.48632"/>
        <n v="15.49108"/>
        <n v="15.51624"/>
        <n v="15.64408"/>
        <n v="15.65904"/>
        <n v="15.68896"/>
        <n v="15.76104"/>
        <n v="15.94396"/>
        <n v="16.1126"/>
        <n v="16.20032"/>
        <n v="16.22412"/>
        <n v="16.23296"/>
        <n v="16.2758"/>
        <n v="16.30368"/>
        <n v="16.337"/>
        <n v="16.36692"/>
        <n v="16.38052"/>
        <n v="16.44444"/>
        <n v="16.73616"/>
        <n v="16.80756"/>
        <n v="16.8232"/>
        <n v="16.86672"/>
        <n v="16.89256"/>
        <n v="16.90616"/>
        <n v="17.05032"/>
        <n v="17.5134"/>
        <n v="17.52632"/>
        <n v="17.92684"/>
        <n v="17.93976"/>
        <n v="18.07644"/>
        <n v="18.10636"/>
        <n v="18.26004"/>
        <n v="18.35728"/>
        <n v="18.37292"/>
        <n v="18.90332"/>
        <n v="18.99308"/>
        <n v="19.16512"/>
        <n v="19.2746"/>
        <n v="19.53232"/>
        <n v="19.81724"/>
        <n v="19.89476"/>
        <n v="19.90972"/>
        <n v="19.95596"/>
        <n v="19.98452"/>
        <n v="19.98656"/>
        <n v="20.19532"/>
        <n v="20.23476"/>
        <n v="20.92836"/>
        <n v="21.029"/>
        <n v="21.794"/>
        <n v="22.0388"/>
        <n v="22.60932"/>
        <n v="22.74532"/>
        <n v="23.0316"/>
        <n v="23.4668"/>
        <n v="23.67148"/>
        <n v="23.79116"/>
        <n v="23.85644"/>
        <n v="24.2896"/>
        <n v="24.47116"/>
        <n v="24.53644"/>
        <n v="24.94852"/>
        <n v="25.5544"/>
        <n v="25.78424"/>
        <n v="26.60296"/>
        <n v="27.00688"/>
        <n v="27.14696"/>
        <n v="28.1452"/>
        <n v="28.52396"/>
        <n v="36.09304"/>
        <n v="36.68872"/>
        <n v="40.37296"/>
        <n v="56.93776"/>
        <n v="61.71408"/>
      </sharedItems>
    </cacheField>
    <cacheField name="PASSADIÇO - TÁBUAS (PEDESTRE)" numFmtId="0">
      <sharedItems containsSemiMixedTypes="0" containsString="0" containsNumber="1" minValue="0" maxValue="45.378" count="1363">
        <n v="0"/>
        <n v="0.0295"/>
        <n v="0.03"/>
        <n v="0.033"/>
        <n v="0.0335"/>
        <n v="0.0355"/>
        <n v="0.0365"/>
        <n v="0.0385"/>
        <n v="0.0395"/>
        <n v="0.045"/>
        <n v="0.048"/>
        <n v="0.049"/>
        <n v="0.051"/>
        <n v="0.0565"/>
        <n v="0.057"/>
        <n v="0.061"/>
        <n v="0.0655"/>
        <n v="0.0695"/>
        <n v="0.07"/>
        <n v="0.075"/>
        <n v="0.0755"/>
        <n v="0.077"/>
        <n v="0.0785"/>
        <n v="0.086"/>
        <n v="0.091"/>
        <n v="0.092"/>
        <n v="0.093"/>
        <n v="0.0965"/>
        <n v="0.097"/>
        <n v="0.0975"/>
        <n v="0.098"/>
        <n v="0.099"/>
        <n v="0.0995"/>
        <n v="0.1"/>
        <n v="0.1015"/>
        <n v="0.1025"/>
        <n v="0.1035"/>
        <n v="0.12"/>
        <n v="0.121"/>
        <n v="0.123"/>
        <n v="0.1235"/>
        <n v="0.125"/>
        <n v="0.1255"/>
        <n v="0.1265"/>
        <n v="0.131"/>
        <n v="0.134"/>
        <n v="0.1345"/>
        <n v="0.1385"/>
        <n v="0.139"/>
        <n v="0.14"/>
        <n v="0.141"/>
        <n v="0.144"/>
        <n v="0.146"/>
        <n v="0.1485"/>
        <n v="0.1495"/>
        <n v="0.151"/>
        <n v="0.152"/>
        <n v="0.1535"/>
        <n v="0.1555"/>
        <n v="0.1585"/>
        <n v="0.161"/>
        <n v="0.163"/>
        <n v="0.1655"/>
        <n v="0.1725"/>
        <n v="0.173"/>
        <n v="0.1735"/>
        <n v="0.179"/>
        <n v="0.1795"/>
        <n v="0.181"/>
        <n v="0.1815"/>
        <n v="0.185"/>
        <n v="0.1865"/>
        <n v="0.1885"/>
        <n v="0.1905"/>
        <n v="0.195"/>
        <n v="0.196"/>
        <n v="0.2005"/>
        <n v="0.2025"/>
        <n v="0.2045"/>
        <n v="0.21"/>
        <n v="0.212"/>
        <n v="0.216"/>
        <n v="0.218"/>
        <n v="0.2205"/>
        <n v="0.222"/>
        <n v="0.2225"/>
        <n v="0.2235"/>
        <n v="0.2255"/>
        <n v="0.229"/>
        <n v="0.235"/>
        <n v="0.236"/>
        <n v="0.244"/>
        <n v="0.245"/>
        <n v="0.247"/>
        <n v="0.254"/>
        <n v="0.2545"/>
        <n v="0.256"/>
        <n v="0.258"/>
        <n v="0.2585"/>
        <n v="0.2595"/>
        <n v="0.262"/>
        <n v="0.2625"/>
        <n v="0.267"/>
        <n v="0.2675"/>
        <n v="0.2745"/>
        <n v="0.278"/>
        <n v="0.2785"/>
        <n v="0.279"/>
        <n v="0.28"/>
        <n v="0.2835"/>
        <n v="0.2855"/>
        <n v="0.289"/>
        <n v="0.2895"/>
        <n v="0.297"/>
        <n v="0.2995"/>
        <n v="0.3"/>
        <n v="0.302"/>
        <n v="0.3025"/>
        <n v="0.307"/>
        <n v="0.31"/>
        <n v="0.311"/>
        <n v="0.3205"/>
        <n v="0.328"/>
        <n v="0.333"/>
        <n v="0.336"/>
        <n v="0.3365"/>
        <n v="0.337"/>
        <n v="0.339"/>
        <n v="0.3405"/>
        <n v="0.3415"/>
        <n v="0.348"/>
        <n v="0.351"/>
        <n v="0.363"/>
        <n v="0.3655"/>
        <n v="0.3805"/>
        <n v="0.3825"/>
        <n v="0.3925"/>
        <n v="0.3955"/>
        <n v="0.3985"/>
        <n v="0.402"/>
        <n v="0.4035"/>
        <n v="0.405"/>
        <n v="0.411"/>
        <n v="0.4135"/>
        <n v="0.415"/>
        <n v="0.418"/>
        <n v="0.419"/>
        <n v="0.4265"/>
        <n v="0.4305"/>
        <n v="0.4395"/>
        <n v="0.4445"/>
        <n v="0.4515"/>
        <n v="0.4525"/>
        <n v="0.4555"/>
        <n v="0.472"/>
        <n v="0.495"/>
        <n v="0.518"/>
        <n v="0.519"/>
        <n v="0.5215"/>
        <n v="0.5295"/>
        <n v="0.532"/>
        <n v="0.533"/>
        <n v="0.5345"/>
        <n v="0.542"/>
        <n v="0.543"/>
        <n v="0.5465"/>
        <n v="0.5505"/>
        <n v="0.558"/>
        <n v="0.56"/>
        <n v="0.562"/>
        <n v="0.5625"/>
        <n v="0.5705"/>
        <n v="0.58"/>
        <n v="0.581"/>
        <n v="0.587"/>
        <n v="0.5885"/>
        <n v="0.602"/>
        <n v="0.603"/>
        <n v="0.606"/>
        <n v="0.6185"/>
        <n v="0.6235"/>
        <n v="0.624"/>
        <n v="0.6265"/>
        <n v="0.6365"/>
        <n v="0.639"/>
        <n v="0.643"/>
        <n v="0.6435"/>
        <n v="0.644"/>
        <n v="0.6565"/>
        <n v="0.658"/>
        <n v="0.6605"/>
        <n v="0.669"/>
        <n v="0.6825"/>
        <n v="0.6935"/>
        <n v="0.713"/>
        <n v="0.7195"/>
        <n v="0.723"/>
        <n v="0.7245"/>
        <n v="0.726"/>
        <n v="0.7265"/>
        <n v="0.7285"/>
        <n v="0.732"/>
        <n v="0.7355"/>
        <n v="0.741"/>
        <n v="0.749"/>
        <n v="0.75"/>
        <n v="0.76"/>
        <n v="0.7605"/>
        <n v="0.761"/>
        <n v="0.7625"/>
        <n v="0.763"/>
        <n v="0.769"/>
        <n v="0.78"/>
        <n v="0.7875"/>
        <n v="0.79"/>
        <n v="0.799"/>
        <n v="0.8265"/>
        <n v="0.8315"/>
        <n v="0.833"/>
        <n v="0.8335"/>
        <n v="0.8345"/>
        <n v="0.835"/>
        <n v="0.838"/>
        <n v="0.852"/>
        <n v="0.8525"/>
        <n v="0.86"/>
        <n v="0.8645"/>
        <n v="0.876"/>
        <n v="0.8785"/>
        <n v="0.8825"/>
        <n v="0.8835"/>
        <n v="0.899"/>
        <n v="0.9085"/>
        <n v="0.911"/>
        <n v="0.914"/>
        <n v="0.929"/>
        <n v="0.9295"/>
        <n v="0.937"/>
        <n v="0.9385"/>
        <n v="0.942"/>
        <n v="0.9425"/>
        <n v="0.947"/>
        <n v="0.948"/>
        <n v="0.9485"/>
        <n v="0.9665"/>
        <n v="0.969"/>
        <n v="0.971"/>
        <n v="0.9845"/>
        <n v="0.9895"/>
        <n v="0.9915"/>
        <n v="0.9965"/>
        <n v="1.0075"/>
        <n v="1.018"/>
        <n v="1.025"/>
        <n v="1.0445"/>
        <n v="1.0535"/>
        <n v="1.054"/>
        <n v="1.0545"/>
        <n v="1.062"/>
        <n v="1.0705"/>
        <n v="1.0715"/>
        <n v="1.0775"/>
        <n v="1.0805"/>
        <n v="1.083"/>
        <n v="1.0855"/>
        <n v="1.0965"/>
        <n v="1.101"/>
        <n v="1.102"/>
        <n v="1.1035"/>
        <n v="1.108"/>
        <n v="1.11"/>
        <n v="1.1165"/>
        <n v="1.137"/>
        <n v="1.145"/>
        <n v="1.146"/>
        <n v="1.1485"/>
        <n v="1.1525"/>
        <n v="1.159"/>
        <n v="1.162"/>
        <n v="1.167"/>
        <n v="1.168"/>
        <n v="1.1685"/>
        <n v="1.1755"/>
        <n v="1.1895"/>
        <n v="1.193"/>
        <n v="1.1965"/>
        <n v="1.218"/>
        <n v="1.219"/>
        <n v="1.2245"/>
        <n v="1.2275"/>
        <n v="1.232"/>
        <n v="1.237"/>
        <n v="1.2375"/>
        <n v="1.242"/>
        <n v="1.25"/>
        <n v="1.2575"/>
        <n v="1.2615"/>
        <n v="1.2635"/>
        <n v="1.266"/>
        <n v="1.27"/>
        <n v="1.2795"/>
        <n v="1.281"/>
        <n v="1.2855"/>
        <n v="1.291"/>
        <n v="1.2945"/>
        <n v="1.302"/>
        <n v="1.3055"/>
        <n v="1.3075"/>
        <n v="1.309"/>
        <n v="1.3115"/>
        <n v="1.3125"/>
        <n v="1.315"/>
        <n v="1.327"/>
        <n v="1.3375"/>
        <n v="1.339"/>
        <n v="1.3465"/>
        <n v="1.3485"/>
        <n v="1.352"/>
        <n v="1.3595"/>
        <n v="1.369"/>
        <n v="1.37"/>
        <n v="1.3715"/>
        <n v="1.3745"/>
        <n v="1.384"/>
        <n v="1.3885"/>
        <n v="1.389"/>
        <n v="1.4115"/>
        <n v="1.4135"/>
        <n v="1.414"/>
        <n v="1.421"/>
        <n v="1.4285"/>
        <n v="1.4305"/>
        <n v="1.434"/>
        <n v="1.435"/>
        <n v="1.4415"/>
        <n v="1.4475"/>
        <n v="1.4545"/>
        <n v="1.463"/>
        <n v="1.464"/>
        <n v="1.4655"/>
        <n v="1.4755"/>
        <n v="1.482"/>
        <n v="1.4835"/>
        <n v="1.4985"/>
        <n v="1.5055"/>
        <n v="1.5105"/>
        <n v="1.5135"/>
        <n v="1.522"/>
        <n v="1.5275"/>
        <n v="1.5395"/>
        <n v="1.54"/>
        <n v="1.5555"/>
        <n v="1.5575"/>
        <n v="1.574"/>
        <n v="1.576"/>
        <n v="1.588"/>
        <n v="1.597"/>
        <n v="1.5995"/>
        <n v="1.611"/>
        <n v="1.613"/>
        <n v="1.62"/>
        <n v="1.621"/>
        <n v="1.625"/>
        <n v="1.6255"/>
        <n v="1.6265"/>
        <n v="1.6285"/>
        <n v="1.629"/>
        <n v="1.631"/>
        <n v="1.635"/>
        <n v="1.6365"/>
        <n v="1.6385"/>
        <n v="1.6405"/>
        <n v="1.659"/>
        <n v="1.6625"/>
        <n v="1.6695"/>
        <n v="1.676"/>
        <n v="1.677"/>
        <n v="1.68"/>
        <n v="1.6825"/>
        <n v="1.6835"/>
        <n v="1.698"/>
        <n v="1.699"/>
        <n v="1.708"/>
        <n v="1.709"/>
        <n v="1.71"/>
        <n v="1.718"/>
        <n v="1.719"/>
        <n v="1.731"/>
        <n v="1.7345"/>
        <n v="1.7375"/>
        <n v="1.7395"/>
        <n v="1.743"/>
        <n v="1.7445"/>
        <n v="1.745"/>
        <n v="1.7515"/>
        <n v="1.7675"/>
        <n v="1.7785"/>
        <n v="1.784"/>
        <n v="1.7965"/>
        <n v="1.8015"/>
        <n v="1.8025"/>
        <n v="1.8075"/>
        <n v="1.8085"/>
        <n v="1.811"/>
        <n v="1.815"/>
        <n v="1.8295"/>
        <n v="1.831"/>
        <n v="1.832"/>
        <n v="1.8355"/>
        <n v="1.844"/>
        <n v="1.846"/>
        <n v="1.847"/>
        <n v="1.8505"/>
        <n v="1.8515"/>
        <n v="1.854"/>
        <n v="1.863"/>
        <n v="1.8675"/>
        <n v="1.8695"/>
        <n v="1.87"/>
        <n v="1.876"/>
        <n v="1.8845"/>
        <n v="1.8855"/>
        <n v="1.8895"/>
        <n v="1.8925"/>
        <n v="1.8935"/>
        <n v="1.896"/>
        <n v="1.8965"/>
        <n v="1.898"/>
        <n v="1.901"/>
        <n v="1.9105"/>
        <n v="1.9135"/>
        <n v="1.917"/>
        <n v="1.9195"/>
        <n v="1.922"/>
        <n v="1.9225"/>
        <n v="1.9235"/>
        <n v="1.924"/>
        <n v="1.9245"/>
        <n v="1.927"/>
        <n v="1.93"/>
        <n v="1.9345"/>
        <n v="1.94"/>
        <n v="1.942"/>
        <n v="1.9435"/>
        <n v="1.95"/>
        <n v="1.955"/>
        <n v="1.962"/>
        <n v="1.9645"/>
        <n v="1.972"/>
        <n v="1.975"/>
        <n v="1.977"/>
        <n v="1.982"/>
        <n v="1.9845"/>
        <n v="1.986"/>
        <n v="1.9945"/>
        <n v="2.0005"/>
        <n v="2.0125"/>
        <n v="2.0165"/>
        <n v="2.017"/>
        <n v="2.018"/>
        <n v="2.02"/>
        <n v="2.022"/>
        <n v="2.0305"/>
        <n v="2.0315"/>
        <n v="2.0335"/>
        <n v="2.036"/>
        <n v="2.0365"/>
        <n v="2.0375"/>
        <n v="2.039"/>
        <n v="2.0475"/>
        <n v="2.059"/>
        <n v="2.0645"/>
        <n v="2.066"/>
        <n v="2.0705"/>
        <n v="2.073"/>
        <n v="2.0735"/>
        <n v="2.075"/>
        <n v="2.0775"/>
        <n v="2.079"/>
        <n v="2.08"/>
        <n v="2.0815"/>
        <n v="2.083"/>
        <n v="2.0835"/>
        <n v="2.0885"/>
        <n v="2.095"/>
        <n v="2.0975"/>
        <n v="2.1005"/>
        <n v="2.102"/>
        <n v="2.1045"/>
        <n v="2.116"/>
        <n v="2.1195"/>
        <n v="2.12"/>
        <n v="2.1215"/>
        <n v="2.1235"/>
        <n v="2.1265"/>
        <n v="2.128"/>
        <n v="2.129"/>
        <n v="2.13"/>
        <n v="2.135"/>
        <n v="2.1385"/>
        <n v="2.1395"/>
        <n v="2.145"/>
        <n v="2.1485"/>
        <n v="2.149"/>
        <n v="2.152"/>
        <n v="2.1545"/>
        <n v="2.158"/>
        <n v="2.1635"/>
        <n v="2.168"/>
        <n v="2.1725"/>
        <n v="2.1735"/>
        <n v="2.174"/>
        <n v="2.1755"/>
        <n v="2.1765"/>
        <n v="2.1805"/>
        <n v="2.184"/>
        <n v="2.185"/>
        <n v="2.1855"/>
        <n v="2.1875"/>
        <n v="2.19"/>
        <n v="2.195"/>
        <n v="2.1965"/>
        <n v="2.2045"/>
        <n v="2.205"/>
        <n v="2.207"/>
        <n v="2.208"/>
        <n v="2.2095"/>
        <n v="2.2115"/>
        <n v="2.217"/>
        <n v="2.2185"/>
        <n v="2.219"/>
        <n v="2.222"/>
        <n v="2.2225"/>
        <n v="2.224"/>
        <n v="2.226"/>
        <n v="2.231"/>
        <n v="2.2325"/>
        <n v="2.2345"/>
        <n v="2.239"/>
        <n v="2.24"/>
        <n v="2.2425"/>
        <n v="2.243"/>
        <n v="2.245"/>
        <n v="2.247"/>
        <n v="2.249"/>
        <n v="2.25"/>
        <n v="2.2515"/>
        <n v="2.2535"/>
        <n v="2.257"/>
        <n v="2.263"/>
        <n v="2.265"/>
        <n v="2.267"/>
        <n v="2.268"/>
        <n v="2.2705"/>
        <n v="2.272"/>
        <n v="2.275"/>
        <n v="2.2765"/>
        <n v="2.2805"/>
        <n v="2.282"/>
        <n v="2.285"/>
        <n v="2.286"/>
        <n v="2.291"/>
        <n v="2.2955"/>
        <n v="2.296"/>
        <n v="2.297"/>
        <n v="2.3"/>
        <n v="2.301"/>
        <n v="2.302"/>
        <n v="2.3025"/>
        <n v="2.3035"/>
        <n v="2.3085"/>
        <n v="2.31"/>
        <n v="2.3105"/>
        <n v="2.318"/>
        <n v="2.319"/>
        <n v="2.3235"/>
        <n v="2.327"/>
        <n v="2.328"/>
        <n v="2.3335"/>
        <n v="2.3345"/>
        <n v="2.335"/>
        <n v="2.338"/>
        <n v="2.339"/>
        <n v="2.341"/>
        <n v="2.3425"/>
        <n v="2.343"/>
        <n v="2.3435"/>
        <n v="2.345"/>
        <n v="2.348"/>
        <n v="2.349"/>
        <n v="2.353"/>
        <n v="2.3535"/>
        <n v="2.354"/>
        <n v="2.3565"/>
        <n v="2.361"/>
        <n v="2.3645"/>
        <n v="2.365"/>
        <n v="2.367"/>
        <n v="2.368"/>
        <n v="2.3685"/>
        <n v="2.3725"/>
        <n v="2.373"/>
        <n v="2.375"/>
        <n v="2.376"/>
        <n v="2.3775"/>
        <n v="2.378"/>
        <n v="2.3825"/>
        <n v="2.386"/>
        <n v="2.3875"/>
        <n v="2.3915"/>
        <n v="2.397"/>
        <n v="2.3995"/>
        <n v="2.4005"/>
        <n v="2.401"/>
        <n v="2.4025"/>
        <n v="2.4075"/>
        <n v="2.4085"/>
        <n v="2.41"/>
        <n v="2.416"/>
        <n v="2.417"/>
        <n v="2.42"/>
        <n v="2.422"/>
        <n v="2.423"/>
        <n v="2.4235"/>
        <n v="2.425"/>
        <n v="2.426"/>
        <n v="2.4265"/>
        <n v="2.427"/>
        <n v="2.429"/>
        <n v="2.4305"/>
        <n v="2.4335"/>
        <n v="2.4345"/>
        <n v="2.4385"/>
        <n v="2.439"/>
        <n v="2.4395"/>
        <n v="2.4405"/>
        <n v="2.4425"/>
        <n v="2.443"/>
        <n v="2.4435"/>
        <n v="2.444"/>
        <n v="2.446"/>
        <n v="2.447"/>
        <n v="2.45"/>
        <n v="2.451"/>
        <n v="2.4515"/>
        <n v="2.4535"/>
        <n v="2.4545"/>
        <n v="2.461"/>
        <n v="2.464"/>
        <n v="2.465"/>
        <n v="2.468"/>
        <n v="2.469"/>
        <n v="2.4715"/>
        <n v="2.4765"/>
        <n v="2.477"/>
        <n v="2.4775"/>
        <n v="2.481"/>
        <n v="2.4855"/>
        <n v="2.4875"/>
        <n v="2.488"/>
        <n v="2.4885"/>
        <n v="2.492"/>
        <n v="2.493"/>
        <n v="2.495"/>
        <n v="2.496"/>
        <n v="2.498"/>
        <n v="2.5005"/>
        <n v="2.5075"/>
        <n v="2.5165"/>
        <n v="2.5185"/>
        <n v="2.525"/>
        <n v="2.526"/>
        <n v="2.527"/>
        <n v="2.5285"/>
        <n v="2.531"/>
        <n v="2.5325"/>
        <n v="2.534"/>
        <n v="2.5455"/>
        <n v="2.5485"/>
        <n v="2.549"/>
        <n v="2.5495"/>
        <n v="2.5515"/>
        <n v="2.557"/>
        <n v="2.566"/>
        <n v="2.567"/>
        <n v="2.5675"/>
        <n v="2.5765"/>
        <n v="2.5855"/>
        <n v="2.587"/>
        <n v="2.593"/>
        <n v="2.595"/>
        <n v="2.608"/>
        <n v="2.6085"/>
        <n v="2.6195"/>
        <n v="2.62"/>
        <n v="2.629"/>
        <n v="2.6295"/>
        <n v="2.634"/>
        <n v="2.6345"/>
        <n v="2.6375"/>
        <n v="2.64"/>
        <n v="2.6645"/>
        <n v="2.6685"/>
        <n v="2.6695"/>
        <n v="2.672"/>
        <n v="2.6785"/>
        <n v="2.6845"/>
        <n v="2.688"/>
        <n v="2.6915"/>
        <n v="2.693"/>
        <n v="2.6945"/>
        <n v="2.695"/>
        <n v="2.6955"/>
        <n v="2.6965"/>
        <n v="2.698"/>
        <n v="2.6995"/>
        <n v="2.706"/>
        <n v="2.718"/>
        <n v="2.73"/>
        <n v="2.7375"/>
        <n v="2.7465"/>
        <n v="2.7495"/>
        <n v="2.7505"/>
        <n v="2.758"/>
        <n v="2.76"/>
        <n v="2.774"/>
        <n v="2.797"/>
        <n v="2.8165"/>
        <n v="2.821"/>
        <n v="2.823"/>
        <n v="2.8285"/>
        <n v="2.8345"/>
        <n v="2.8355"/>
        <n v="2.837"/>
        <n v="2.838"/>
        <n v="2.847"/>
        <n v="2.8485"/>
        <n v="2.851"/>
        <n v="2.852"/>
        <n v="2.8685"/>
        <n v="2.8715"/>
        <n v="2.8815"/>
        <n v="2.882"/>
        <n v="2.8825"/>
        <n v="2.893"/>
        <n v="2.8965"/>
        <n v="2.912"/>
        <n v="2.9145"/>
        <n v="2.92"/>
        <n v="2.924"/>
        <n v="2.93"/>
        <n v="2.9365"/>
        <n v="2.9375"/>
        <n v="2.938"/>
        <n v="2.9405"/>
        <n v="2.941"/>
        <n v="2.9435"/>
        <n v="2.961"/>
        <n v="2.9725"/>
        <n v="2.989"/>
        <n v="2.9925"/>
        <n v="2.9975"/>
        <n v="3.002"/>
        <n v="3.0045"/>
        <n v="3.0065"/>
        <n v="3.01"/>
        <n v="3.011"/>
        <n v="3.012"/>
        <n v="3.0125"/>
        <n v="3.0145"/>
        <n v="3.0165"/>
        <n v="3.02"/>
        <n v="3.022"/>
        <n v="3.0305"/>
        <n v="3.0535"/>
        <n v="3.056"/>
        <n v="3.0575"/>
        <n v="3.0685"/>
        <n v="3.0715"/>
        <n v="3.0745"/>
        <n v="3.0825"/>
        <n v="3.084"/>
        <n v="3.094"/>
        <n v="3.0945"/>
        <n v="3.1065"/>
        <n v="3.107"/>
        <n v="3.114"/>
        <n v="3.136"/>
        <n v="3.142"/>
        <n v="3.1465"/>
        <n v="3.1475"/>
        <n v="3.148"/>
        <n v="3.1625"/>
        <n v="3.1695"/>
        <n v="3.171"/>
        <n v="3.174"/>
        <n v="3.1755"/>
        <n v="3.176"/>
        <n v="3.1775"/>
        <n v="3.1785"/>
        <n v="3.189"/>
        <n v="3.1895"/>
        <n v="3.1935"/>
        <n v="3.2"/>
        <n v="3.239"/>
        <n v="3.2515"/>
        <n v="3.2545"/>
        <n v="3.2605"/>
        <n v="3.266"/>
        <n v="3.2675"/>
        <n v="3.274"/>
        <n v="3.2995"/>
        <n v="3.303"/>
        <n v="3.3075"/>
        <n v="3.313"/>
        <n v="3.3205"/>
        <n v="3.322"/>
        <n v="3.3665"/>
        <n v="3.376"/>
        <n v="3.388"/>
        <n v="3.3915"/>
        <n v="3.4035"/>
        <n v="3.409"/>
        <n v="3.4095"/>
        <n v="3.4165"/>
        <n v="3.418"/>
        <n v="3.4275"/>
        <n v="3.4315"/>
        <n v="3.445"/>
        <n v="3.455"/>
        <n v="3.481"/>
        <n v="3.4865"/>
        <n v="3.506"/>
        <n v="3.5155"/>
        <n v="3.521"/>
        <n v="3.526"/>
        <n v="3.5265"/>
        <n v="3.5285"/>
        <n v="3.5335"/>
        <n v="3.5345"/>
        <n v="3.56"/>
        <n v="3.564"/>
        <n v="3.5705"/>
        <n v="3.5725"/>
        <n v="3.597"/>
        <n v="3.5995"/>
        <n v="3.6015"/>
        <n v="3.6035"/>
        <n v="3.6085"/>
        <n v="3.611"/>
        <n v="3.629"/>
        <n v="3.632"/>
        <n v="3.6435"/>
        <n v="3.6485"/>
        <n v="3.649"/>
        <n v="3.6545"/>
        <n v="3.6765"/>
        <n v="3.678"/>
        <n v="3.682"/>
        <n v="3.685"/>
        <n v="3.715"/>
        <n v="3.7365"/>
        <n v="3.742"/>
        <n v="3.752"/>
        <n v="3.7535"/>
        <n v="3.7615"/>
        <n v="3.7755"/>
        <n v="3.7795"/>
        <n v="3.7805"/>
        <n v="3.7865"/>
        <n v="3.7995"/>
        <n v="3.8"/>
        <n v="3.8025"/>
        <n v="3.803"/>
        <n v="3.81"/>
        <n v="3.815"/>
        <n v="3.825"/>
        <n v="3.8275"/>
        <n v="3.8595"/>
        <n v="3.8665"/>
        <n v="3.8805"/>
        <n v="3.889"/>
        <n v="3.92"/>
        <n v="3.9205"/>
        <n v="3.9225"/>
        <n v="3.93"/>
        <n v="3.943"/>
        <n v="3.9445"/>
        <n v="3.95"/>
        <n v="3.951"/>
        <n v="3.9535"/>
        <n v="3.9575"/>
        <n v="3.96"/>
        <n v="3.968"/>
        <n v="3.97"/>
        <n v="3.972"/>
        <n v="3.9745"/>
        <n v="3.9875"/>
        <n v="3.988"/>
        <n v="4.0075"/>
        <n v="4.013"/>
        <n v="4.015"/>
        <n v="4.016"/>
        <n v="4.0175"/>
        <n v="4.0465"/>
        <n v="4.048"/>
        <n v="4.06"/>
        <n v="4.0705"/>
        <n v="4.0795"/>
        <n v="4.084"/>
        <n v="4.111"/>
        <n v="4.118"/>
        <n v="4.124"/>
        <n v="4.127"/>
        <n v="4.156"/>
        <n v="4.185"/>
        <n v="4.193"/>
        <n v="4.2055"/>
        <n v="4.2105"/>
        <n v="4.2125"/>
        <n v="4.232"/>
        <n v="4.243"/>
        <n v="4.2615"/>
        <n v="4.266"/>
        <n v="4.2685"/>
        <n v="4.2695"/>
        <n v="4.2805"/>
        <n v="4.3105"/>
        <n v="4.312"/>
        <n v="4.3235"/>
        <n v="4.34"/>
        <n v="4.3665"/>
        <n v="4.3735"/>
        <n v="4.395"/>
        <n v="4.4145"/>
        <n v="4.42"/>
        <n v="4.421"/>
        <n v="4.435"/>
        <n v="4.443"/>
        <n v="4.482"/>
        <n v="4.495"/>
        <n v="4.499"/>
        <n v="4.4995"/>
        <n v="4.5115"/>
        <n v="4.5125"/>
        <n v="4.539"/>
        <n v="4.5445"/>
        <n v="4.558"/>
        <n v="4.5705"/>
        <n v="4.572"/>
        <n v="4.573"/>
        <n v="4.575"/>
        <n v="4.582"/>
        <n v="4.5885"/>
        <n v="4.6095"/>
        <n v="4.63"/>
        <n v="4.6505"/>
        <n v="4.6535"/>
        <n v="4.6575"/>
        <n v="4.664"/>
        <n v="4.6645"/>
        <n v="4.6655"/>
        <n v="4.6695"/>
        <n v="4.679"/>
        <n v="4.6815"/>
        <n v="4.682"/>
        <n v="4.685"/>
        <n v="4.704"/>
        <n v="4.7105"/>
        <n v="4.714"/>
        <n v="4.7345"/>
        <n v="4.74"/>
        <n v="4.7455"/>
        <n v="4.753"/>
        <n v="4.7595"/>
        <n v="4.7825"/>
        <n v="4.7895"/>
        <n v="4.804"/>
        <n v="4.8325"/>
        <n v="4.843"/>
        <n v="4.867"/>
        <n v="4.893"/>
        <n v="4.898"/>
        <n v="4.907"/>
        <n v="4.9125"/>
        <n v="4.9145"/>
        <n v="4.9265"/>
        <n v="4.927"/>
        <n v="4.9455"/>
        <n v="4.951"/>
        <n v="4.9665"/>
        <n v="4.973"/>
        <n v="4.982"/>
        <n v="5.0105"/>
        <n v="5.0225"/>
        <n v="5.023"/>
        <n v="5.048"/>
        <n v="5.0505"/>
        <n v="5.0565"/>
        <n v="5.0575"/>
        <n v="5.0645"/>
        <n v="5.0685"/>
        <n v="5.0785"/>
        <n v="5.114"/>
        <n v="5.1165"/>
        <n v="5.12"/>
        <n v="5.124"/>
        <n v="5.137"/>
        <n v="5.14"/>
        <n v="5.1455"/>
        <n v="5.147"/>
        <n v="5.148"/>
        <n v="5.1515"/>
        <n v="5.1585"/>
        <n v="5.1655"/>
        <n v="5.1835"/>
        <n v="5.1865"/>
        <n v="5.195"/>
        <n v="5.1975"/>
        <n v="5.1995"/>
        <n v="5.212"/>
        <n v="5.2275"/>
        <n v="5.238"/>
        <n v="5.246"/>
        <n v="5.2475"/>
        <n v="5.2535"/>
        <n v="5.27"/>
        <n v="5.2765"/>
        <n v="5.2875"/>
        <n v="5.3045"/>
        <n v="5.314"/>
        <n v="5.321"/>
        <n v="5.3245"/>
        <n v="5.325"/>
        <n v="5.3395"/>
        <n v="5.361"/>
        <n v="5.388"/>
        <n v="5.396"/>
        <n v="5.4215"/>
        <n v="5.4435"/>
        <n v="5.4505"/>
        <n v="5.455"/>
        <n v="5.461"/>
        <n v="5.475"/>
        <n v="5.484"/>
        <n v="5.4945"/>
        <n v="5.5085"/>
        <n v="5.5515"/>
        <n v="5.5585"/>
        <n v="5.5715"/>
        <n v="5.5795"/>
        <n v="5.58"/>
        <n v="5.581"/>
        <n v="5.592"/>
        <n v="5.606"/>
        <n v="5.6275"/>
        <n v="5.6315"/>
        <n v="5.668"/>
        <n v="5.675"/>
        <n v="5.6775"/>
        <n v="5.6785"/>
        <n v="5.681"/>
        <n v="5.7"/>
        <n v="5.722"/>
        <n v="5.7265"/>
        <n v="5.7375"/>
        <n v="5.7405"/>
        <n v="5.747"/>
        <n v="5.755"/>
        <n v="5.7805"/>
        <n v="5.855"/>
        <n v="5.871"/>
        <n v="5.8765"/>
        <n v="5.897"/>
        <n v="5.8985"/>
        <n v="5.9125"/>
        <n v="5.9175"/>
        <n v="5.927"/>
        <n v="5.962"/>
        <n v="5.9685"/>
        <n v="6.0425"/>
        <n v="6.0465"/>
        <n v="6.0795"/>
        <n v="6.0905"/>
        <n v="6.105"/>
        <n v="6.122"/>
        <n v="6.1335"/>
        <n v="6.1425"/>
        <n v="6.165"/>
        <n v="6.1765"/>
        <n v="6.1775"/>
        <n v="6.1785"/>
        <n v="6.18"/>
        <n v="6.1855"/>
        <n v="6.2055"/>
        <n v="6.213"/>
        <n v="6.215"/>
        <n v="6.233"/>
        <n v="6.254"/>
        <n v="6.2695"/>
        <n v="6.2975"/>
        <n v="6.2985"/>
        <n v="6.31"/>
        <n v="6.315"/>
        <n v="6.3225"/>
        <n v="6.371"/>
        <n v="6.3935"/>
        <n v="6.403"/>
        <n v="6.436"/>
        <n v="6.5075"/>
        <n v="6.5165"/>
        <n v="6.5365"/>
        <n v="6.5445"/>
        <n v="6.551"/>
        <n v="6.559"/>
        <n v="6.5635"/>
        <n v="6.5765"/>
        <n v="6.5835"/>
        <n v="6.584"/>
        <n v="6.597"/>
        <n v="6.5995"/>
        <n v="6.6085"/>
        <n v="6.61"/>
        <n v="6.629"/>
        <n v="6.6555"/>
        <n v="6.6595"/>
        <n v="6.6645"/>
        <n v="6.6755"/>
        <n v="6.6875"/>
        <n v="6.696"/>
        <n v="6.707"/>
        <n v="6.7245"/>
        <n v="6.7605"/>
        <n v="6.765"/>
        <n v="6.7685"/>
        <n v="6.7735"/>
        <n v="6.784"/>
        <n v="6.7875"/>
        <n v="6.797"/>
        <n v="6.8285"/>
        <n v="6.8375"/>
        <n v="6.8455"/>
        <n v="6.858"/>
        <n v="6.8595"/>
        <n v="6.8625"/>
        <n v="6.868"/>
        <n v="6.8955"/>
        <n v="6.934"/>
        <n v="6.9925"/>
        <n v="6.998"/>
        <n v="7.083"/>
        <n v="7.11"/>
        <n v="7.16"/>
        <n v="7.179"/>
        <n v="7.1935"/>
        <n v="7.201"/>
        <n v="7.2035"/>
        <n v="7.204"/>
        <n v="7.207"/>
        <n v="7.217"/>
        <n v="7.251"/>
        <n v="7.262"/>
        <n v="7.2705"/>
        <n v="7.301"/>
        <n v="7.3055"/>
        <n v="7.309"/>
        <n v="7.3115"/>
        <n v="7.399"/>
        <n v="7.4425"/>
        <n v="7.452"/>
        <n v="7.4765"/>
        <n v="7.484"/>
        <n v="7.4845"/>
        <n v="7.5145"/>
        <n v="7.5155"/>
        <n v="7.5395"/>
        <n v="7.5405"/>
        <n v="7.6235"/>
        <n v="7.6245"/>
        <n v="7.6265"/>
        <n v="7.6345"/>
        <n v="7.6665"/>
        <n v="7.7415"/>
        <n v="7.8005"/>
        <n v="7.8265"/>
        <n v="7.868"/>
        <n v="7.87"/>
        <n v="7.8745"/>
        <n v="7.917"/>
        <n v="7.935"/>
        <n v="7.9375"/>
        <n v="7.9605"/>
        <n v="7.9865"/>
        <n v="8.077"/>
        <n v="8.083"/>
        <n v="8.091"/>
        <n v="8.106"/>
        <n v="8.117"/>
        <n v="8.13"/>
        <n v="8.171"/>
        <n v="8.2185"/>
        <n v="8.2575"/>
        <n v="8.2685"/>
        <n v="8.3025"/>
        <n v="8.3175"/>
        <n v="8.433"/>
        <n v="8.46"/>
        <n v="8.4615"/>
        <n v="8.49"/>
        <n v="8.632"/>
        <n v="8.6365"/>
        <n v="8.6505"/>
        <n v="8.666"/>
        <n v="8.6805"/>
        <n v="8.684"/>
        <n v="8.6945"/>
        <n v="8.706"/>
        <n v="8.708"/>
        <n v="8.749"/>
        <n v="8.812"/>
        <n v="8.823"/>
        <n v="8.838"/>
        <n v="8.901"/>
        <n v="8.91"/>
        <n v="8.9205"/>
        <n v="8.9305"/>
        <n v="8.932"/>
        <n v="9.1275"/>
        <n v="9.131"/>
        <n v="9.1385"/>
        <n v="9.173"/>
        <n v="9.1825"/>
        <n v="9.2005"/>
        <n v="9.2435"/>
        <n v="9.2485"/>
        <n v="9.3125"/>
        <n v="9.3205"/>
        <n v="9.3245"/>
        <n v="9.3295"/>
        <n v="9.3375"/>
        <n v="9.3665"/>
        <n v="9.5015"/>
        <n v="9.5025"/>
        <n v="9.544"/>
        <n v="9.631"/>
        <n v="9.6775"/>
        <n v="9.678"/>
        <n v="9.6965"/>
        <n v="9.862"/>
        <n v="9.8835"/>
        <n v="9.9465"/>
        <n v="9.9615"/>
        <n v="10.004"/>
        <n v="10.0355"/>
        <n v="10.1115"/>
        <n v="10.138"/>
        <n v="10.217"/>
        <n v="10.248"/>
        <n v="10.2665"/>
        <n v="10.2865"/>
        <n v="10.3305"/>
        <n v="10.387"/>
        <n v="10.3945"/>
        <n v="10.4095"/>
        <n v="10.418"/>
        <n v="10.4215"/>
        <n v="10.432"/>
        <n v="10.444"/>
        <n v="10.4595"/>
        <n v="10.5465"/>
        <n v="10.552"/>
        <n v="10.5665"/>
        <n v="10.567"/>
        <n v="10.5975"/>
        <n v="10.6715"/>
        <n v="10.689"/>
        <n v="10.789"/>
        <n v="10.806"/>
        <n v="10.817"/>
        <n v="10.854"/>
        <n v="10.86"/>
        <n v="10.909"/>
        <n v="10.9795"/>
        <n v="10.997"/>
        <n v="11.033"/>
        <n v="11.078"/>
        <n v="11.245"/>
        <n v="11.255"/>
        <n v="11.36"/>
        <n v="11.387"/>
        <n v="11.3905"/>
        <n v="11.409"/>
        <n v="11.503"/>
        <n v="11.514"/>
        <n v="11.536"/>
        <n v="11.589"/>
        <n v="11.7235"/>
        <n v="11.8475"/>
        <n v="11.912"/>
        <n v="11.9295"/>
        <n v="11.936"/>
        <n v="11.9675"/>
        <n v="11.988"/>
        <n v="12.0125"/>
        <n v="12.0345"/>
        <n v="12.0445"/>
        <n v="12.0915"/>
        <n v="12.306"/>
        <n v="12.3585"/>
        <n v="12.37"/>
        <n v="12.402"/>
        <n v="12.421"/>
        <n v="12.431"/>
        <n v="12.537"/>
        <n v="12.8775"/>
        <n v="12.887"/>
        <n v="13.1815"/>
        <n v="13.191"/>
        <n v="13.2915"/>
        <n v="13.3135"/>
        <n v="13.4265"/>
        <n v="13.498"/>
        <n v="13.5095"/>
        <n v="13.8995"/>
        <n v="13.9655"/>
        <n v="14.092"/>
        <n v="14.1725"/>
        <n v="14.362"/>
        <n v="14.5715"/>
        <n v="14.6285"/>
        <n v="14.6395"/>
        <n v="14.6735"/>
        <n v="14.6945"/>
        <n v="14.696"/>
        <n v="14.8495"/>
        <n v="14.8785"/>
        <n v="15.3885"/>
        <n v="15.4625"/>
        <n v="16.025"/>
        <n v="16.205"/>
        <n v="16.6245"/>
        <n v="16.7245"/>
        <n v="16.935"/>
        <n v="17.255"/>
        <n v="17.4055"/>
        <n v="17.4935"/>
        <n v="17.5415"/>
        <n v="17.86"/>
        <n v="17.9935"/>
        <n v="18.0415"/>
        <n v="18.3445"/>
        <n v="18.79"/>
        <n v="18.959"/>
        <n v="19.561"/>
        <n v="19.858"/>
        <n v="19.961"/>
        <n v="20.695"/>
        <n v="20.9735"/>
        <n v="26.539"/>
        <n v="26.977"/>
        <n v="29.686"/>
        <n v="41.866"/>
        <n v="45.378"/>
      </sharedItems>
    </cacheField>
    <cacheField name="APOIO AGRUPAMENTO BLOCO" numFmtId="0">
      <sharedItems count="12">
        <s v="ADUTORAREDES"/>
        <s v="Zona01REDES"/>
        <s v="Zona02REDES"/>
        <s v="Zona03REDES"/>
        <s v="Zona04REDES"/>
        <s v="Zona05REDES"/>
        <s v="Zona06REDES"/>
        <s v="Zona07REDES"/>
        <s v="Zona08REDES"/>
        <s v="Zona09REDES"/>
        <s v="Zona10REDES"/>
        <s v="Zona11REDES"/>
      </sharedItems>
    </cacheField>
  </cacheFields>
</pivotCacheDefinition>
</file>

<file path=xl/pivotCache/pivotCacheRecords1.xml><?xml version="1.0" encoding="utf-8"?>
<pivotCacheRecords xmlns="http://schemas.openxmlformats.org/spreadsheetml/2006/main" xmlns:r="http://schemas.openxmlformats.org/officeDocument/2006/relationships" count="1436">
  <r>
    <x v="0"/>
    <x v="1"/>
    <x v="0"/>
    <x v="0"/>
    <x v="0"/>
    <x v="0"/>
    <x v="0"/>
    <x v="0"/>
    <x v="0"/>
    <x v="0"/>
    <x v="1"/>
    <x v="0"/>
    <x v="877"/>
    <x v="1"/>
    <x v="0"/>
    <x v="0"/>
    <x v="0"/>
    <x v="0"/>
    <x v="2"/>
    <x v="0"/>
    <x v="0"/>
    <x v="0"/>
    <x v="0"/>
    <x v="2"/>
    <x v="128"/>
    <x v="0"/>
    <x v="4"/>
    <x v="78"/>
    <x v="9"/>
    <x v="48"/>
    <x v="1"/>
    <x v="1"/>
    <x v="1"/>
    <x v="1"/>
    <x v="619"/>
    <x v="1"/>
    <x v="4"/>
    <x v="877"/>
    <x v="877"/>
    <x v="1"/>
    <x v="877"/>
    <x v="889"/>
    <x v="881"/>
    <x v="871"/>
    <x v="881"/>
    <x v="889"/>
    <x v="889"/>
    <x v="889"/>
    <x v="889"/>
    <x v="889"/>
    <x v="889"/>
    <x v="889"/>
    <x v="877"/>
    <x v="867"/>
    <x v="867"/>
    <x v="810"/>
    <x v="0"/>
    <x v="0"/>
    <x v="437"/>
    <x v="877"/>
    <x v="877"/>
    <x v="877"/>
    <x v="877"/>
    <x v="1"/>
  </r>
  <r>
    <x v="1"/>
    <x v="0"/>
    <x v="0"/>
    <x v="0"/>
    <x v="0"/>
    <x v="0"/>
    <x v="0"/>
    <x v="0"/>
    <x v="0"/>
    <x v="0"/>
    <x v="1"/>
    <x v="0"/>
    <x v="864"/>
    <x v="1"/>
    <x v="0"/>
    <x v="0"/>
    <x v="0"/>
    <x v="1"/>
    <x v="2"/>
    <x v="0"/>
    <x v="0"/>
    <x v="0"/>
    <x v="0"/>
    <x v="2"/>
    <x v="128"/>
    <x v="0"/>
    <x v="5"/>
    <x v="94"/>
    <x v="9"/>
    <x v="48"/>
    <x v="1"/>
    <x v="1"/>
    <x v="1"/>
    <x v="1"/>
    <x v="610"/>
    <x v="1"/>
    <x v="5"/>
    <x v="864"/>
    <x v="864"/>
    <x v="1"/>
    <x v="864"/>
    <x v="882"/>
    <x v="872"/>
    <x v="856"/>
    <x v="872"/>
    <x v="882"/>
    <x v="882"/>
    <x v="882"/>
    <x v="882"/>
    <x v="882"/>
    <x v="882"/>
    <x v="882"/>
    <x v="864"/>
    <x v="856"/>
    <x v="856"/>
    <x v="801"/>
    <x v="0"/>
    <x v="0"/>
    <x v="454"/>
    <x v="864"/>
    <x v="864"/>
    <x v="864"/>
    <x v="864"/>
    <x v="1"/>
  </r>
  <r>
    <x v="2"/>
    <x v="2"/>
    <x v="0"/>
    <x v="0"/>
    <x v="0"/>
    <x v="0"/>
    <x v="0"/>
    <x v="0"/>
    <x v="0"/>
    <x v="0"/>
    <x v="1"/>
    <x v="0"/>
    <x v="59"/>
    <x v="1"/>
    <x v="0"/>
    <x v="0"/>
    <x v="0"/>
    <x v="2"/>
    <x v="2"/>
    <x v="0"/>
    <x v="0"/>
    <x v="0"/>
    <x v="0"/>
    <x v="2"/>
    <x v="128"/>
    <x v="0"/>
    <x v="4"/>
    <x v="79"/>
    <x v="9"/>
    <x v="48"/>
    <x v="1"/>
    <x v="1"/>
    <x v="1"/>
    <x v="1"/>
    <x v="27"/>
    <x v="1"/>
    <x v="4"/>
    <x v="60"/>
    <x v="60"/>
    <x v="0"/>
    <x v="60"/>
    <x v="48"/>
    <x v="50"/>
    <x v="40"/>
    <x v="50"/>
    <x v="48"/>
    <x v="48"/>
    <x v="48"/>
    <x v="48"/>
    <x v="48"/>
    <x v="48"/>
    <x v="48"/>
    <x v="60"/>
    <x v="40"/>
    <x v="40"/>
    <x v="47"/>
    <x v="0"/>
    <x v="0"/>
    <x v="20"/>
    <x v="60"/>
    <x v="60"/>
    <x v="60"/>
    <x v="60"/>
    <x v="1"/>
  </r>
  <r>
    <x v="3"/>
    <x v="4"/>
    <x v="0"/>
    <x v="0"/>
    <x v="0"/>
    <x v="0"/>
    <x v="0"/>
    <x v="0"/>
    <x v="0"/>
    <x v="0"/>
    <x v="1"/>
    <x v="0"/>
    <x v="323"/>
    <x v="1"/>
    <x v="0"/>
    <x v="0"/>
    <x v="0"/>
    <x v="3"/>
    <x v="2"/>
    <x v="0"/>
    <x v="0"/>
    <x v="0"/>
    <x v="0"/>
    <x v="2"/>
    <x v="128"/>
    <x v="0"/>
    <x v="4"/>
    <x v="86"/>
    <x v="9"/>
    <x v="48"/>
    <x v="1"/>
    <x v="1"/>
    <x v="1"/>
    <x v="1"/>
    <x v="213"/>
    <x v="1"/>
    <x v="4"/>
    <x v="323"/>
    <x v="323"/>
    <x v="0"/>
    <x v="323"/>
    <x v="315"/>
    <x v="318"/>
    <x v="310"/>
    <x v="318"/>
    <x v="315"/>
    <x v="315"/>
    <x v="315"/>
    <x v="315"/>
    <x v="315"/>
    <x v="315"/>
    <x v="315"/>
    <x v="323"/>
    <x v="309"/>
    <x v="309"/>
    <x v="282"/>
    <x v="0"/>
    <x v="0"/>
    <x v="194"/>
    <x v="323"/>
    <x v="323"/>
    <x v="323"/>
    <x v="323"/>
    <x v="1"/>
  </r>
  <r>
    <x v="4"/>
    <x v="3"/>
    <x v="0"/>
    <x v="0"/>
    <x v="0"/>
    <x v="0"/>
    <x v="0"/>
    <x v="0"/>
    <x v="0"/>
    <x v="0"/>
    <x v="1"/>
    <x v="0"/>
    <x v="676"/>
    <x v="1"/>
    <x v="0"/>
    <x v="0"/>
    <x v="0"/>
    <x v="4"/>
    <x v="2"/>
    <x v="0"/>
    <x v="0"/>
    <x v="0"/>
    <x v="0"/>
    <x v="2"/>
    <x v="128"/>
    <x v="0"/>
    <x v="6"/>
    <x v="64"/>
    <x v="9"/>
    <x v="48"/>
    <x v="1"/>
    <x v="1"/>
    <x v="1"/>
    <x v="1"/>
    <x v="440"/>
    <x v="1"/>
    <x v="6"/>
    <x v="676"/>
    <x v="676"/>
    <x v="1"/>
    <x v="676"/>
    <x v="612"/>
    <x v="624"/>
    <x v="579"/>
    <x v="624"/>
    <x v="612"/>
    <x v="612"/>
    <x v="612"/>
    <x v="612"/>
    <x v="612"/>
    <x v="612"/>
    <x v="612"/>
    <x v="676"/>
    <x v="582"/>
    <x v="582"/>
    <x v="605"/>
    <x v="0"/>
    <x v="0"/>
    <x v="345"/>
    <x v="676"/>
    <x v="676"/>
    <x v="676"/>
    <x v="676"/>
    <x v="1"/>
  </r>
  <r>
    <x v="5"/>
    <x v="1"/>
    <x v="0"/>
    <x v="0"/>
    <x v="0"/>
    <x v="0"/>
    <x v="0"/>
    <x v="0"/>
    <x v="0"/>
    <x v="0"/>
    <x v="1"/>
    <x v="0"/>
    <x v="1029"/>
    <x v="1"/>
    <x v="0"/>
    <x v="0"/>
    <x v="0"/>
    <x v="5"/>
    <x v="2"/>
    <x v="0"/>
    <x v="0"/>
    <x v="0"/>
    <x v="0"/>
    <x v="2"/>
    <x v="128"/>
    <x v="0"/>
    <x v="4"/>
    <x v="77"/>
    <x v="9"/>
    <x v="48"/>
    <x v="1"/>
    <x v="1"/>
    <x v="1"/>
    <x v="1"/>
    <x v="792"/>
    <x v="1"/>
    <x v="4"/>
    <x v="1029"/>
    <x v="1029"/>
    <x v="1"/>
    <x v="1029"/>
    <x v="1039"/>
    <x v="1035"/>
    <x v="1025"/>
    <x v="1035"/>
    <x v="1039"/>
    <x v="1039"/>
    <x v="1039"/>
    <x v="1039"/>
    <x v="1039"/>
    <x v="1039"/>
    <x v="1039"/>
    <x v="1029"/>
    <x v="1023"/>
    <x v="1023"/>
    <x v="956"/>
    <x v="0"/>
    <x v="0"/>
    <x v="602"/>
    <x v="1029"/>
    <x v="1029"/>
    <x v="1029"/>
    <x v="1029"/>
    <x v="1"/>
  </r>
  <r>
    <x v="6"/>
    <x v="11"/>
    <x v="0"/>
    <x v="0"/>
    <x v="0"/>
    <x v="0"/>
    <x v="0"/>
    <x v="0"/>
    <x v="0"/>
    <x v="0"/>
    <x v="1"/>
    <x v="0"/>
    <x v="1135"/>
    <x v="1"/>
    <x v="0"/>
    <x v="0"/>
    <x v="0"/>
    <x v="6"/>
    <x v="2"/>
    <x v="0"/>
    <x v="0"/>
    <x v="0"/>
    <x v="0"/>
    <x v="2"/>
    <x v="128"/>
    <x v="0"/>
    <x v="6"/>
    <x v="109"/>
    <x v="9"/>
    <x v="48"/>
    <x v="1"/>
    <x v="1"/>
    <x v="1"/>
    <x v="1"/>
    <x v="902"/>
    <x v="1"/>
    <x v="6"/>
    <x v="1133"/>
    <x v="1133"/>
    <x v="1"/>
    <x v="1133"/>
    <x v="1141"/>
    <x v="1142"/>
    <x v="1127"/>
    <x v="1142"/>
    <x v="1141"/>
    <x v="1141"/>
    <x v="1141"/>
    <x v="1141"/>
    <x v="1141"/>
    <x v="1141"/>
    <x v="1141"/>
    <x v="1133"/>
    <x v="1126"/>
    <x v="1126"/>
    <x v="1062"/>
    <x v="0"/>
    <x v="0"/>
    <x v="827"/>
    <x v="1133"/>
    <x v="1133"/>
    <x v="1133"/>
    <x v="1133"/>
    <x v="1"/>
  </r>
  <r>
    <x v="7"/>
    <x v="5"/>
    <x v="0"/>
    <x v="0"/>
    <x v="0"/>
    <x v="0"/>
    <x v="0"/>
    <x v="0"/>
    <x v="0"/>
    <x v="0"/>
    <x v="1"/>
    <x v="0"/>
    <x v="534"/>
    <x v="1"/>
    <x v="0"/>
    <x v="0"/>
    <x v="0"/>
    <x v="7"/>
    <x v="2"/>
    <x v="0"/>
    <x v="0"/>
    <x v="0"/>
    <x v="0"/>
    <x v="2"/>
    <x v="128"/>
    <x v="0"/>
    <x v="6"/>
    <x v="72"/>
    <x v="9"/>
    <x v="48"/>
    <x v="1"/>
    <x v="1"/>
    <x v="1"/>
    <x v="1"/>
    <x v="355"/>
    <x v="1"/>
    <x v="6"/>
    <x v="534"/>
    <x v="534"/>
    <x v="0"/>
    <x v="534"/>
    <x v="492"/>
    <x v="504"/>
    <x v="481"/>
    <x v="504"/>
    <x v="492"/>
    <x v="492"/>
    <x v="492"/>
    <x v="492"/>
    <x v="492"/>
    <x v="492"/>
    <x v="492"/>
    <x v="534"/>
    <x v="480"/>
    <x v="480"/>
    <x v="475"/>
    <x v="0"/>
    <x v="0"/>
    <x v="303"/>
    <x v="534"/>
    <x v="534"/>
    <x v="534"/>
    <x v="534"/>
    <x v="1"/>
  </r>
  <r>
    <x v="8"/>
    <x v="9"/>
    <x v="0"/>
    <x v="0"/>
    <x v="0"/>
    <x v="0"/>
    <x v="0"/>
    <x v="0"/>
    <x v="0"/>
    <x v="0"/>
    <x v="1"/>
    <x v="0"/>
    <x v="771"/>
    <x v="1"/>
    <x v="0"/>
    <x v="0"/>
    <x v="0"/>
    <x v="8"/>
    <x v="2"/>
    <x v="0"/>
    <x v="0"/>
    <x v="0"/>
    <x v="0"/>
    <x v="2"/>
    <x v="128"/>
    <x v="0"/>
    <x v="6"/>
    <x v="76"/>
    <x v="9"/>
    <x v="48"/>
    <x v="1"/>
    <x v="1"/>
    <x v="1"/>
    <x v="1"/>
    <x v="516"/>
    <x v="1"/>
    <x v="6"/>
    <x v="771"/>
    <x v="771"/>
    <x v="1"/>
    <x v="771"/>
    <x v="757"/>
    <x v="765"/>
    <x v="719"/>
    <x v="765"/>
    <x v="757"/>
    <x v="757"/>
    <x v="757"/>
    <x v="757"/>
    <x v="757"/>
    <x v="757"/>
    <x v="757"/>
    <x v="771"/>
    <x v="721"/>
    <x v="721"/>
    <x v="708"/>
    <x v="0"/>
    <x v="0"/>
    <x v="398"/>
    <x v="771"/>
    <x v="771"/>
    <x v="771"/>
    <x v="771"/>
    <x v="1"/>
  </r>
  <r>
    <x v="9"/>
    <x v="15"/>
    <x v="0"/>
    <x v="0"/>
    <x v="0"/>
    <x v="0"/>
    <x v="0"/>
    <x v="2"/>
    <x v="0"/>
    <x v="0"/>
    <x v="1"/>
    <x v="0"/>
    <x v="1176"/>
    <x v="1"/>
    <x v="0"/>
    <x v="0"/>
    <x v="0"/>
    <x v="9"/>
    <x v="1"/>
    <x v="0"/>
    <x v="0"/>
    <x v="0"/>
    <x v="0"/>
    <x v="3"/>
    <x v="128"/>
    <x v="0"/>
    <x v="3"/>
    <x v="108"/>
    <x v="1"/>
    <x v="0"/>
    <x v="1"/>
    <x v="3"/>
    <x v="2"/>
    <x v="1"/>
    <x v="1266"/>
    <x v="3"/>
    <x v="3"/>
    <x v="1174"/>
    <x v="1174"/>
    <x v="2"/>
    <x v="1174"/>
    <x v="1248"/>
    <x v="1227"/>
    <x v="1257"/>
    <x v="1227"/>
    <x v="1248"/>
    <x v="1248"/>
    <x v="1248"/>
    <x v="1248"/>
    <x v="1248"/>
    <x v="1248"/>
    <x v="1248"/>
    <x v="1174"/>
    <x v="1256"/>
    <x v="1256"/>
    <x v="1110"/>
    <x v="0"/>
    <x v="0"/>
    <x v="925"/>
    <x v="1174"/>
    <x v="1174"/>
    <x v="1174"/>
    <x v="1174"/>
    <x v="1"/>
  </r>
  <r>
    <x v="10"/>
    <x v="8"/>
    <x v="0"/>
    <x v="0"/>
    <x v="0"/>
    <x v="0"/>
    <x v="0"/>
    <x v="0"/>
    <x v="0"/>
    <x v="0"/>
    <x v="1"/>
    <x v="0"/>
    <x v="138"/>
    <x v="1"/>
    <x v="0"/>
    <x v="0"/>
    <x v="0"/>
    <x v="10"/>
    <x v="2"/>
    <x v="0"/>
    <x v="0"/>
    <x v="0"/>
    <x v="0"/>
    <x v="2"/>
    <x v="128"/>
    <x v="0"/>
    <x v="7"/>
    <x v="93"/>
    <x v="9"/>
    <x v="48"/>
    <x v="1"/>
    <x v="1"/>
    <x v="1"/>
    <x v="1"/>
    <x v="67"/>
    <x v="1"/>
    <x v="7"/>
    <x v="139"/>
    <x v="139"/>
    <x v="0"/>
    <x v="139"/>
    <x v="143"/>
    <x v="148"/>
    <x v="136"/>
    <x v="148"/>
    <x v="143"/>
    <x v="143"/>
    <x v="143"/>
    <x v="143"/>
    <x v="143"/>
    <x v="143"/>
    <x v="143"/>
    <x v="139"/>
    <x v="133"/>
    <x v="133"/>
    <x v="120"/>
    <x v="0"/>
    <x v="0"/>
    <x v="79"/>
    <x v="139"/>
    <x v="139"/>
    <x v="139"/>
    <x v="139"/>
    <x v="1"/>
  </r>
  <r>
    <x v="11"/>
    <x v="7"/>
    <x v="0"/>
    <x v="0"/>
    <x v="0"/>
    <x v="0"/>
    <x v="0"/>
    <x v="0"/>
    <x v="0"/>
    <x v="0"/>
    <x v="1"/>
    <x v="0"/>
    <x v="72"/>
    <x v="1"/>
    <x v="0"/>
    <x v="0"/>
    <x v="0"/>
    <x v="11"/>
    <x v="2"/>
    <x v="0"/>
    <x v="0"/>
    <x v="0"/>
    <x v="0"/>
    <x v="2"/>
    <x v="128"/>
    <x v="0"/>
    <x v="7"/>
    <x v="69"/>
    <x v="9"/>
    <x v="48"/>
    <x v="1"/>
    <x v="1"/>
    <x v="1"/>
    <x v="1"/>
    <x v="35"/>
    <x v="1"/>
    <x v="7"/>
    <x v="73"/>
    <x v="73"/>
    <x v="0"/>
    <x v="73"/>
    <x v="65"/>
    <x v="69"/>
    <x v="56"/>
    <x v="69"/>
    <x v="65"/>
    <x v="65"/>
    <x v="65"/>
    <x v="65"/>
    <x v="65"/>
    <x v="65"/>
    <x v="65"/>
    <x v="73"/>
    <x v="56"/>
    <x v="56"/>
    <x v="59"/>
    <x v="0"/>
    <x v="0"/>
    <x v="31"/>
    <x v="73"/>
    <x v="73"/>
    <x v="73"/>
    <x v="73"/>
    <x v="1"/>
  </r>
  <r>
    <x v="12"/>
    <x v="9"/>
    <x v="0"/>
    <x v="0"/>
    <x v="0"/>
    <x v="0"/>
    <x v="0"/>
    <x v="0"/>
    <x v="0"/>
    <x v="0"/>
    <x v="1"/>
    <x v="0"/>
    <x v="1017"/>
    <x v="1"/>
    <x v="0"/>
    <x v="0"/>
    <x v="0"/>
    <x v="12"/>
    <x v="2"/>
    <x v="0"/>
    <x v="0"/>
    <x v="0"/>
    <x v="0"/>
    <x v="2"/>
    <x v="128"/>
    <x v="0"/>
    <x v="6"/>
    <x v="75"/>
    <x v="9"/>
    <x v="48"/>
    <x v="1"/>
    <x v="1"/>
    <x v="1"/>
    <x v="1"/>
    <x v="781"/>
    <x v="1"/>
    <x v="6"/>
    <x v="1017"/>
    <x v="1017"/>
    <x v="1"/>
    <x v="1017"/>
    <x v="1029"/>
    <x v="1023"/>
    <x v="1013"/>
    <x v="1023"/>
    <x v="1029"/>
    <x v="1029"/>
    <x v="1029"/>
    <x v="1029"/>
    <x v="1029"/>
    <x v="1029"/>
    <x v="1029"/>
    <x v="1017"/>
    <x v="1011"/>
    <x v="1011"/>
    <x v="946"/>
    <x v="0"/>
    <x v="0"/>
    <x v="669"/>
    <x v="1017"/>
    <x v="1017"/>
    <x v="1017"/>
    <x v="1017"/>
    <x v="1"/>
  </r>
  <r>
    <x v="13"/>
    <x v="6"/>
    <x v="0"/>
    <x v="0"/>
    <x v="0"/>
    <x v="0"/>
    <x v="0"/>
    <x v="0"/>
    <x v="0"/>
    <x v="0"/>
    <x v="1"/>
    <x v="0"/>
    <x v="331"/>
    <x v="1"/>
    <x v="0"/>
    <x v="0"/>
    <x v="0"/>
    <x v="13"/>
    <x v="2"/>
    <x v="0"/>
    <x v="0"/>
    <x v="0"/>
    <x v="0"/>
    <x v="2"/>
    <x v="128"/>
    <x v="0"/>
    <x v="7"/>
    <x v="92"/>
    <x v="9"/>
    <x v="48"/>
    <x v="1"/>
    <x v="1"/>
    <x v="1"/>
    <x v="1"/>
    <x v="221"/>
    <x v="1"/>
    <x v="7"/>
    <x v="331"/>
    <x v="331"/>
    <x v="0"/>
    <x v="331"/>
    <x v="322"/>
    <x v="327"/>
    <x v="316"/>
    <x v="327"/>
    <x v="322"/>
    <x v="322"/>
    <x v="322"/>
    <x v="322"/>
    <x v="322"/>
    <x v="322"/>
    <x v="322"/>
    <x v="331"/>
    <x v="316"/>
    <x v="316"/>
    <x v="290"/>
    <x v="0"/>
    <x v="0"/>
    <x v="224"/>
    <x v="331"/>
    <x v="331"/>
    <x v="331"/>
    <x v="331"/>
    <x v="1"/>
  </r>
  <r>
    <x v="14"/>
    <x v="11"/>
    <x v="0"/>
    <x v="0"/>
    <x v="0"/>
    <x v="0"/>
    <x v="0"/>
    <x v="2"/>
    <x v="0"/>
    <x v="0"/>
    <x v="1"/>
    <x v="0"/>
    <x v="1208"/>
    <x v="1"/>
    <x v="0"/>
    <x v="0"/>
    <x v="0"/>
    <x v="14"/>
    <x v="1"/>
    <x v="0"/>
    <x v="0"/>
    <x v="0"/>
    <x v="0"/>
    <x v="2"/>
    <x v="128"/>
    <x v="0"/>
    <x v="6"/>
    <x v="110"/>
    <x v="1"/>
    <x v="0"/>
    <x v="1"/>
    <x v="3"/>
    <x v="2"/>
    <x v="1"/>
    <x v="1282"/>
    <x v="3"/>
    <x v="6"/>
    <x v="1206"/>
    <x v="1206"/>
    <x v="2"/>
    <x v="1206"/>
    <x v="1274"/>
    <x v="1261"/>
    <x v="1294"/>
    <x v="1261"/>
    <x v="1274"/>
    <x v="1274"/>
    <x v="1274"/>
    <x v="1274"/>
    <x v="1274"/>
    <x v="1274"/>
    <x v="1274"/>
    <x v="1206"/>
    <x v="1290"/>
    <x v="1290"/>
    <x v="1145"/>
    <x v="0"/>
    <x v="0"/>
    <x v="1054"/>
    <x v="1206"/>
    <x v="1206"/>
    <x v="1206"/>
    <x v="1206"/>
    <x v="1"/>
  </r>
  <r>
    <x v="15"/>
    <x v="23"/>
    <x v="0"/>
    <x v="0"/>
    <x v="0"/>
    <x v="0"/>
    <x v="0"/>
    <x v="2"/>
    <x v="0"/>
    <x v="0"/>
    <x v="1"/>
    <x v="0"/>
    <x v="1250"/>
    <x v="1"/>
    <x v="0"/>
    <x v="0"/>
    <x v="0"/>
    <x v="15"/>
    <x v="1"/>
    <x v="0"/>
    <x v="0"/>
    <x v="0"/>
    <x v="0"/>
    <x v="2"/>
    <x v="128"/>
    <x v="0"/>
    <x v="6"/>
    <x v="85"/>
    <x v="1"/>
    <x v="0"/>
    <x v="1"/>
    <x v="3"/>
    <x v="2"/>
    <x v="1"/>
    <x v="1303"/>
    <x v="3"/>
    <x v="6"/>
    <x v="1248"/>
    <x v="1248"/>
    <x v="2"/>
    <x v="1248"/>
    <x v="1318"/>
    <x v="1303"/>
    <x v="1330"/>
    <x v="1303"/>
    <x v="1318"/>
    <x v="1318"/>
    <x v="1318"/>
    <x v="1318"/>
    <x v="1318"/>
    <x v="1318"/>
    <x v="1318"/>
    <x v="1248"/>
    <x v="1328"/>
    <x v="1328"/>
    <x v="1180"/>
    <x v="0"/>
    <x v="0"/>
    <x v="1135"/>
    <x v="1248"/>
    <x v="1248"/>
    <x v="1248"/>
    <x v="1248"/>
    <x v="1"/>
  </r>
  <r>
    <x v="16"/>
    <x v="7"/>
    <x v="0"/>
    <x v="0"/>
    <x v="0"/>
    <x v="0"/>
    <x v="0"/>
    <x v="0"/>
    <x v="0"/>
    <x v="0"/>
    <x v="1"/>
    <x v="0"/>
    <x v="939"/>
    <x v="1"/>
    <x v="0"/>
    <x v="0"/>
    <x v="0"/>
    <x v="16"/>
    <x v="2"/>
    <x v="0"/>
    <x v="0"/>
    <x v="0"/>
    <x v="0"/>
    <x v="2"/>
    <x v="128"/>
    <x v="0"/>
    <x v="7"/>
    <x v="70"/>
    <x v="9"/>
    <x v="48"/>
    <x v="1"/>
    <x v="1"/>
    <x v="1"/>
    <x v="1"/>
    <x v="693"/>
    <x v="1"/>
    <x v="7"/>
    <x v="939"/>
    <x v="939"/>
    <x v="1"/>
    <x v="939"/>
    <x v="949"/>
    <x v="949"/>
    <x v="938"/>
    <x v="949"/>
    <x v="949"/>
    <x v="949"/>
    <x v="949"/>
    <x v="949"/>
    <x v="949"/>
    <x v="949"/>
    <x v="949"/>
    <x v="939"/>
    <x v="937"/>
    <x v="937"/>
    <x v="877"/>
    <x v="0"/>
    <x v="0"/>
    <x v="605"/>
    <x v="939"/>
    <x v="939"/>
    <x v="939"/>
    <x v="939"/>
    <x v="1"/>
  </r>
  <r>
    <x v="17"/>
    <x v="10"/>
    <x v="0"/>
    <x v="0"/>
    <x v="0"/>
    <x v="0"/>
    <x v="0"/>
    <x v="0"/>
    <x v="0"/>
    <x v="0"/>
    <x v="1"/>
    <x v="0"/>
    <x v="321"/>
    <x v="1"/>
    <x v="0"/>
    <x v="0"/>
    <x v="0"/>
    <x v="17"/>
    <x v="2"/>
    <x v="0"/>
    <x v="0"/>
    <x v="0"/>
    <x v="0"/>
    <x v="2"/>
    <x v="128"/>
    <x v="0"/>
    <x v="7"/>
    <x v="68"/>
    <x v="9"/>
    <x v="48"/>
    <x v="1"/>
    <x v="1"/>
    <x v="1"/>
    <x v="1"/>
    <x v="211"/>
    <x v="1"/>
    <x v="7"/>
    <x v="321"/>
    <x v="321"/>
    <x v="0"/>
    <x v="321"/>
    <x v="312"/>
    <x v="315"/>
    <x v="308"/>
    <x v="315"/>
    <x v="312"/>
    <x v="312"/>
    <x v="312"/>
    <x v="312"/>
    <x v="312"/>
    <x v="312"/>
    <x v="312"/>
    <x v="321"/>
    <x v="307"/>
    <x v="307"/>
    <x v="279"/>
    <x v="0"/>
    <x v="0"/>
    <x v="214"/>
    <x v="321"/>
    <x v="321"/>
    <x v="321"/>
    <x v="321"/>
    <x v="1"/>
  </r>
  <r>
    <x v="18"/>
    <x v="12"/>
    <x v="0"/>
    <x v="0"/>
    <x v="0"/>
    <x v="0"/>
    <x v="0"/>
    <x v="0"/>
    <x v="0"/>
    <x v="0"/>
    <x v="1"/>
    <x v="0"/>
    <x v="109"/>
    <x v="1"/>
    <x v="0"/>
    <x v="0"/>
    <x v="0"/>
    <x v="18"/>
    <x v="2"/>
    <x v="0"/>
    <x v="0"/>
    <x v="0"/>
    <x v="0"/>
    <x v="2"/>
    <x v="128"/>
    <x v="0"/>
    <x v="6"/>
    <x v="113"/>
    <x v="9"/>
    <x v="48"/>
    <x v="1"/>
    <x v="1"/>
    <x v="1"/>
    <x v="1"/>
    <x v="51"/>
    <x v="1"/>
    <x v="6"/>
    <x v="110"/>
    <x v="110"/>
    <x v="0"/>
    <x v="110"/>
    <x v="107"/>
    <x v="108"/>
    <x v="97"/>
    <x v="108"/>
    <x v="107"/>
    <x v="107"/>
    <x v="107"/>
    <x v="107"/>
    <x v="107"/>
    <x v="107"/>
    <x v="107"/>
    <x v="110"/>
    <x v="96"/>
    <x v="96"/>
    <x v="93"/>
    <x v="0"/>
    <x v="0"/>
    <x v="45"/>
    <x v="110"/>
    <x v="110"/>
    <x v="110"/>
    <x v="110"/>
    <x v="1"/>
  </r>
  <r>
    <x v="19"/>
    <x v="14"/>
    <x v="0"/>
    <x v="0"/>
    <x v="0"/>
    <x v="0"/>
    <x v="0"/>
    <x v="0"/>
    <x v="0"/>
    <x v="0"/>
    <x v="1"/>
    <x v="0"/>
    <x v="142"/>
    <x v="1"/>
    <x v="0"/>
    <x v="0"/>
    <x v="0"/>
    <x v="19"/>
    <x v="2"/>
    <x v="0"/>
    <x v="0"/>
    <x v="0"/>
    <x v="0"/>
    <x v="2"/>
    <x v="128"/>
    <x v="0"/>
    <x v="7"/>
    <x v="91"/>
    <x v="9"/>
    <x v="48"/>
    <x v="1"/>
    <x v="1"/>
    <x v="1"/>
    <x v="1"/>
    <x v="69"/>
    <x v="1"/>
    <x v="7"/>
    <x v="143"/>
    <x v="143"/>
    <x v="0"/>
    <x v="143"/>
    <x v="147"/>
    <x v="150"/>
    <x v="139"/>
    <x v="150"/>
    <x v="147"/>
    <x v="147"/>
    <x v="147"/>
    <x v="147"/>
    <x v="147"/>
    <x v="147"/>
    <x v="147"/>
    <x v="143"/>
    <x v="138"/>
    <x v="138"/>
    <x v="124"/>
    <x v="0"/>
    <x v="0"/>
    <x v="82"/>
    <x v="143"/>
    <x v="143"/>
    <x v="143"/>
    <x v="143"/>
    <x v="1"/>
  </r>
  <r>
    <x v="20"/>
    <x v="18"/>
    <x v="0"/>
    <x v="0"/>
    <x v="0"/>
    <x v="0"/>
    <x v="0"/>
    <x v="1"/>
    <x v="0"/>
    <x v="0"/>
    <x v="1"/>
    <x v="0"/>
    <x v="346"/>
    <x v="1"/>
    <x v="0"/>
    <x v="0"/>
    <x v="0"/>
    <x v="20"/>
    <x v="1"/>
    <x v="0"/>
    <x v="0"/>
    <x v="0"/>
    <x v="0"/>
    <x v="2"/>
    <x v="128"/>
    <x v="0"/>
    <x v="6"/>
    <x v="106"/>
    <x v="10"/>
    <x v="59"/>
    <x v="1"/>
    <x v="2"/>
    <x v="2"/>
    <x v="1"/>
    <x v="522"/>
    <x v="2"/>
    <x v="6"/>
    <x v="346"/>
    <x v="346"/>
    <x v="0"/>
    <x v="346"/>
    <x v="394"/>
    <x v="391"/>
    <x v="390"/>
    <x v="391"/>
    <x v="394"/>
    <x v="394"/>
    <x v="394"/>
    <x v="394"/>
    <x v="394"/>
    <x v="394"/>
    <x v="394"/>
    <x v="346"/>
    <x v="388"/>
    <x v="388"/>
    <x v="311"/>
    <x v="0"/>
    <x v="0"/>
    <x v="255"/>
    <x v="346"/>
    <x v="346"/>
    <x v="346"/>
    <x v="346"/>
    <x v="1"/>
  </r>
  <r>
    <x v="21"/>
    <x v="12"/>
    <x v="0"/>
    <x v="0"/>
    <x v="0"/>
    <x v="0"/>
    <x v="0"/>
    <x v="2"/>
    <x v="0"/>
    <x v="0"/>
    <x v="1"/>
    <x v="0"/>
    <x v="428"/>
    <x v="1"/>
    <x v="0"/>
    <x v="0"/>
    <x v="0"/>
    <x v="21"/>
    <x v="1"/>
    <x v="0"/>
    <x v="0"/>
    <x v="0"/>
    <x v="0"/>
    <x v="2"/>
    <x v="128"/>
    <x v="0"/>
    <x v="6"/>
    <x v="114"/>
    <x v="1"/>
    <x v="0"/>
    <x v="1"/>
    <x v="3"/>
    <x v="2"/>
    <x v="1"/>
    <x v="836"/>
    <x v="3"/>
    <x v="6"/>
    <x v="428"/>
    <x v="428"/>
    <x v="0"/>
    <x v="428"/>
    <x v="510"/>
    <x v="487"/>
    <x v="550"/>
    <x v="487"/>
    <x v="510"/>
    <x v="510"/>
    <x v="510"/>
    <x v="510"/>
    <x v="510"/>
    <x v="510"/>
    <x v="510"/>
    <x v="428"/>
    <x v="542"/>
    <x v="542"/>
    <x v="396"/>
    <x v="0"/>
    <x v="0"/>
    <x v="323"/>
    <x v="428"/>
    <x v="428"/>
    <x v="428"/>
    <x v="428"/>
    <x v="1"/>
  </r>
  <r>
    <x v="22"/>
    <x v="13"/>
    <x v="0"/>
    <x v="0"/>
    <x v="0"/>
    <x v="0"/>
    <x v="0"/>
    <x v="0"/>
    <x v="0"/>
    <x v="0"/>
    <x v="1"/>
    <x v="0"/>
    <x v="280"/>
    <x v="1"/>
    <x v="0"/>
    <x v="0"/>
    <x v="0"/>
    <x v="22"/>
    <x v="2"/>
    <x v="0"/>
    <x v="0"/>
    <x v="0"/>
    <x v="0"/>
    <x v="2"/>
    <x v="128"/>
    <x v="0"/>
    <x v="7"/>
    <x v="90"/>
    <x v="9"/>
    <x v="48"/>
    <x v="1"/>
    <x v="1"/>
    <x v="1"/>
    <x v="1"/>
    <x v="185"/>
    <x v="1"/>
    <x v="7"/>
    <x v="280"/>
    <x v="280"/>
    <x v="0"/>
    <x v="280"/>
    <x v="285"/>
    <x v="284"/>
    <x v="277"/>
    <x v="284"/>
    <x v="285"/>
    <x v="285"/>
    <x v="285"/>
    <x v="285"/>
    <x v="285"/>
    <x v="285"/>
    <x v="285"/>
    <x v="280"/>
    <x v="277"/>
    <x v="277"/>
    <x v="245"/>
    <x v="0"/>
    <x v="0"/>
    <x v="195"/>
    <x v="280"/>
    <x v="280"/>
    <x v="280"/>
    <x v="280"/>
    <x v="1"/>
  </r>
  <r>
    <x v="23"/>
    <x v="15"/>
    <x v="0"/>
    <x v="0"/>
    <x v="0"/>
    <x v="0"/>
    <x v="0"/>
    <x v="0"/>
    <x v="0"/>
    <x v="0"/>
    <x v="1"/>
    <x v="0"/>
    <x v="209"/>
    <x v="1"/>
    <x v="0"/>
    <x v="0"/>
    <x v="0"/>
    <x v="23"/>
    <x v="2"/>
    <x v="0"/>
    <x v="0"/>
    <x v="0"/>
    <x v="0"/>
    <x v="3"/>
    <x v="128"/>
    <x v="0"/>
    <x v="3"/>
    <x v="107"/>
    <x v="9"/>
    <x v="48"/>
    <x v="1"/>
    <x v="1"/>
    <x v="1"/>
    <x v="1"/>
    <x v="120"/>
    <x v="1"/>
    <x v="3"/>
    <x v="210"/>
    <x v="210"/>
    <x v="0"/>
    <x v="210"/>
    <x v="217"/>
    <x v="220"/>
    <x v="209"/>
    <x v="220"/>
    <x v="217"/>
    <x v="217"/>
    <x v="217"/>
    <x v="217"/>
    <x v="217"/>
    <x v="217"/>
    <x v="217"/>
    <x v="210"/>
    <x v="209"/>
    <x v="209"/>
    <x v="182"/>
    <x v="0"/>
    <x v="0"/>
    <x v="120"/>
    <x v="210"/>
    <x v="210"/>
    <x v="210"/>
    <x v="210"/>
    <x v="1"/>
  </r>
  <r>
    <x v="24"/>
    <x v="22"/>
    <x v="0"/>
    <x v="0"/>
    <x v="0"/>
    <x v="0"/>
    <x v="0"/>
    <x v="0"/>
    <x v="0"/>
    <x v="0"/>
    <x v="1"/>
    <x v="0"/>
    <x v="992"/>
    <x v="1"/>
    <x v="0"/>
    <x v="0"/>
    <x v="0"/>
    <x v="24"/>
    <x v="2"/>
    <x v="0"/>
    <x v="0"/>
    <x v="0"/>
    <x v="0"/>
    <x v="2"/>
    <x v="128"/>
    <x v="0"/>
    <x v="6"/>
    <x v="104"/>
    <x v="9"/>
    <x v="48"/>
    <x v="1"/>
    <x v="1"/>
    <x v="1"/>
    <x v="1"/>
    <x v="756"/>
    <x v="1"/>
    <x v="6"/>
    <x v="992"/>
    <x v="992"/>
    <x v="1"/>
    <x v="992"/>
    <x v="1009"/>
    <x v="1002"/>
    <x v="989"/>
    <x v="1002"/>
    <x v="1009"/>
    <x v="1009"/>
    <x v="1009"/>
    <x v="1009"/>
    <x v="1009"/>
    <x v="1009"/>
    <x v="1009"/>
    <x v="992"/>
    <x v="990"/>
    <x v="990"/>
    <x v="923"/>
    <x v="0"/>
    <x v="0"/>
    <x v="636"/>
    <x v="992"/>
    <x v="992"/>
    <x v="992"/>
    <x v="992"/>
    <x v="1"/>
  </r>
  <r>
    <x v="25"/>
    <x v="16"/>
    <x v="0"/>
    <x v="0"/>
    <x v="0"/>
    <x v="0"/>
    <x v="0"/>
    <x v="0"/>
    <x v="0"/>
    <x v="0"/>
    <x v="1"/>
    <x v="0"/>
    <x v="211"/>
    <x v="1"/>
    <x v="0"/>
    <x v="0"/>
    <x v="0"/>
    <x v="25"/>
    <x v="2"/>
    <x v="0"/>
    <x v="0"/>
    <x v="0"/>
    <x v="0"/>
    <x v="2"/>
    <x v="128"/>
    <x v="0"/>
    <x v="9"/>
    <x v="88"/>
    <x v="9"/>
    <x v="48"/>
    <x v="1"/>
    <x v="1"/>
    <x v="1"/>
    <x v="1"/>
    <x v="123"/>
    <x v="1"/>
    <x v="9"/>
    <x v="212"/>
    <x v="212"/>
    <x v="0"/>
    <x v="212"/>
    <x v="222"/>
    <x v="222"/>
    <x v="212"/>
    <x v="222"/>
    <x v="222"/>
    <x v="222"/>
    <x v="222"/>
    <x v="222"/>
    <x v="222"/>
    <x v="222"/>
    <x v="222"/>
    <x v="212"/>
    <x v="211"/>
    <x v="211"/>
    <x v="185"/>
    <x v="0"/>
    <x v="0"/>
    <x v="159"/>
    <x v="212"/>
    <x v="212"/>
    <x v="212"/>
    <x v="212"/>
    <x v="1"/>
  </r>
  <r>
    <x v="26"/>
    <x v="24"/>
    <x v="0"/>
    <x v="0"/>
    <x v="0"/>
    <x v="0"/>
    <x v="0"/>
    <x v="2"/>
    <x v="0"/>
    <x v="0"/>
    <x v="1"/>
    <x v="0"/>
    <x v="444"/>
    <x v="1"/>
    <x v="0"/>
    <x v="0"/>
    <x v="0"/>
    <x v="26"/>
    <x v="1"/>
    <x v="0"/>
    <x v="0"/>
    <x v="0"/>
    <x v="0"/>
    <x v="2"/>
    <x v="128"/>
    <x v="0"/>
    <x v="3"/>
    <x v="87"/>
    <x v="1"/>
    <x v="0"/>
    <x v="1"/>
    <x v="3"/>
    <x v="2"/>
    <x v="1"/>
    <x v="845"/>
    <x v="3"/>
    <x v="3"/>
    <x v="444"/>
    <x v="444"/>
    <x v="0"/>
    <x v="444"/>
    <x v="524"/>
    <x v="515"/>
    <x v="569"/>
    <x v="515"/>
    <x v="524"/>
    <x v="524"/>
    <x v="524"/>
    <x v="524"/>
    <x v="524"/>
    <x v="524"/>
    <x v="524"/>
    <x v="444"/>
    <x v="565"/>
    <x v="565"/>
    <x v="406"/>
    <x v="0"/>
    <x v="0"/>
    <x v="279"/>
    <x v="444"/>
    <x v="444"/>
    <x v="444"/>
    <x v="444"/>
    <x v="1"/>
  </r>
  <r>
    <x v="27"/>
    <x v="20"/>
    <x v="0"/>
    <x v="0"/>
    <x v="0"/>
    <x v="0"/>
    <x v="0"/>
    <x v="0"/>
    <x v="0"/>
    <x v="0"/>
    <x v="1"/>
    <x v="0"/>
    <x v="29"/>
    <x v="1"/>
    <x v="0"/>
    <x v="0"/>
    <x v="0"/>
    <x v="27"/>
    <x v="2"/>
    <x v="0"/>
    <x v="0"/>
    <x v="0"/>
    <x v="0"/>
    <x v="2"/>
    <x v="128"/>
    <x v="0"/>
    <x v="9"/>
    <x v="89"/>
    <x v="9"/>
    <x v="48"/>
    <x v="1"/>
    <x v="1"/>
    <x v="1"/>
    <x v="1"/>
    <x v="16"/>
    <x v="1"/>
    <x v="9"/>
    <x v="30"/>
    <x v="30"/>
    <x v="0"/>
    <x v="30"/>
    <x v="24"/>
    <x v="26"/>
    <x v="23"/>
    <x v="26"/>
    <x v="24"/>
    <x v="24"/>
    <x v="24"/>
    <x v="24"/>
    <x v="24"/>
    <x v="24"/>
    <x v="24"/>
    <x v="30"/>
    <x v="23"/>
    <x v="23"/>
    <x v="24"/>
    <x v="0"/>
    <x v="0"/>
    <x v="12"/>
    <x v="30"/>
    <x v="30"/>
    <x v="30"/>
    <x v="30"/>
    <x v="1"/>
  </r>
  <r>
    <x v="28"/>
    <x v="22"/>
    <x v="0"/>
    <x v="0"/>
    <x v="0"/>
    <x v="0"/>
    <x v="0"/>
    <x v="1"/>
    <x v="0"/>
    <x v="0"/>
    <x v="1"/>
    <x v="0"/>
    <x v="312"/>
    <x v="1"/>
    <x v="0"/>
    <x v="0"/>
    <x v="0"/>
    <x v="28"/>
    <x v="1"/>
    <x v="0"/>
    <x v="0"/>
    <x v="0"/>
    <x v="0"/>
    <x v="2"/>
    <x v="128"/>
    <x v="0"/>
    <x v="6"/>
    <x v="105"/>
    <x v="10"/>
    <x v="59"/>
    <x v="1"/>
    <x v="2"/>
    <x v="2"/>
    <x v="1"/>
    <x v="474"/>
    <x v="2"/>
    <x v="6"/>
    <x v="312"/>
    <x v="312"/>
    <x v="0"/>
    <x v="312"/>
    <x v="347"/>
    <x v="350"/>
    <x v="345"/>
    <x v="350"/>
    <x v="347"/>
    <x v="347"/>
    <x v="347"/>
    <x v="347"/>
    <x v="347"/>
    <x v="347"/>
    <x v="347"/>
    <x v="312"/>
    <x v="340"/>
    <x v="340"/>
    <x v="275"/>
    <x v="0"/>
    <x v="0"/>
    <x v="228"/>
    <x v="312"/>
    <x v="312"/>
    <x v="312"/>
    <x v="312"/>
    <x v="1"/>
  </r>
  <r>
    <x v="29"/>
    <x v="19"/>
    <x v="0"/>
    <x v="0"/>
    <x v="0"/>
    <x v="0"/>
    <x v="0"/>
    <x v="2"/>
    <x v="0"/>
    <x v="0"/>
    <x v="1"/>
    <x v="0"/>
    <x v="539"/>
    <x v="1"/>
    <x v="0"/>
    <x v="0"/>
    <x v="0"/>
    <x v="29"/>
    <x v="1"/>
    <x v="0"/>
    <x v="0"/>
    <x v="0"/>
    <x v="0"/>
    <x v="2"/>
    <x v="128"/>
    <x v="0"/>
    <x v="5"/>
    <x v="111"/>
    <x v="1"/>
    <x v="0"/>
    <x v="1"/>
    <x v="3"/>
    <x v="2"/>
    <x v="1"/>
    <x v="908"/>
    <x v="3"/>
    <x v="5"/>
    <x v="539"/>
    <x v="539"/>
    <x v="0"/>
    <x v="539"/>
    <x v="653"/>
    <x v="637"/>
    <x v="673"/>
    <x v="637"/>
    <x v="653"/>
    <x v="653"/>
    <x v="653"/>
    <x v="653"/>
    <x v="653"/>
    <x v="653"/>
    <x v="653"/>
    <x v="539"/>
    <x v="669"/>
    <x v="669"/>
    <x v="508"/>
    <x v="0"/>
    <x v="0"/>
    <x v="365"/>
    <x v="539"/>
    <x v="539"/>
    <x v="539"/>
    <x v="539"/>
    <x v="1"/>
  </r>
  <r>
    <x v="30"/>
    <x v="17"/>
    <x v="0"/>
    <x v="0"/>
    <x v="0"/>
    <x v="0"/>
    <x v="0"/>
    <x v="0"/>
    <x v="0"/>
    <x v="0"/>
    <x v="1"/>
    <x v="0"/>
    <x v="978"/>
    <x v="1"/>
    <x v="0"/>
    <x v="0"/>
    <x v="0"/>
    <x v="30"/>
    <x v="2"/>
    <x v="0"/>
    <x v="0"/>
    <x v="0"/>
    <x v="0"/>
    <x v="3"/>
    <x v="128"/>
    <x v="0"/>
    <x v="39"/>
    <x v="66"/>
    <x v="9"/>
    <x v="48"/>
    <x v="1"/>
    <x v="1"/>
    <x v="1"/>
    <x v="1"/>
    <x v="737"/>
    <x v="1"/>
    <x v="39"/>
    <x v="978"/>
    <x v="978"/>
    <x v="1"/>
    <x v="978"/>
    <x v="993"/>
    <x v="989"/>
    <x v="974"/>
    <x v="989"/>
    <x v="993"/>
    <x v="993"/>
    <x v="993"/>
    <x v="993"/>
    <x v="993"/>
    <x v="993"/>
    <x v="993"/>
    <x v="978"/>
    <x v="974"/>
    <x v="974"/>
    <x v="910"/>
    <x v="0"/>
    <x v="0"/>
    <x v="1169"/>
    <x v="978"/>
    <x v="978"/>
    <x v="978"/>
    <x v="978"/>
    <x v="1"/>
  </r>
  <r>
    <x v="31"/>
    <x v="21"/>
    <x v="0"/>
    <x v="0"/>
    <x v="0"/>
    <x v="0"/>
    <x v="0"/>
    <x v="0"/>
    <x v="0"/>
    <x v="0"/>
    <x v="1"/>
    <x v="0"/>
    <x v="512"/>
    <x v="1"/>
    <x v="0"/>
    <x v="0"/>
    <x v="0"/>
    <x v="31"/>
    <x v="2"/>
    <x v="0"/>
    <x v="0"/>
    <x v="0"/>
    <x v="0"/>
    <x v="2"/>
    <x v="128"/>
    <x v="0"/>
    <x v="9"/>
    <x v="65"/>
    <x v="9"/>
    <x v="48"/>
    <x v="1"/>
    <x v="1"/>
    <x v="1"/>
    <x v="1"/>
    <x v="338"/>
    <x v="1"/>
    <x v="9"/>
    <x v="512"/>
    <x v="512"/>
    <x v="0"/>
    <x v="512"/>
    <x v="477"/>
    <x v="482"/>
    <x v="464"/>
    <x v="482"/>
    <x v="477"/>
    <x v="477"/>
    <x v="477"/>
    <x v="477"/>
    <x v="477"/>
    <x v="477"/>
    <x v="477"/>
    <x v="512"/>
    <x v="464"/>
    <x v="464"/>
    <x v="451"/>
    <x v="0"/>
    <x v="0"/>
    <x v="346"/>
    <x v="512"/>
    <x v="512"/>
    <x v="512"/>
    <x v="512"/>
    <x v="1"/>
  </r>
  <r>
    <x v="32"/>
    <x v="26"/>
    <x v="0"/>
    <x v="0"/>
    <x v="0"/>
    <x v="0"/>
    <x v="0"/>
    <x v="0"/>
    <x v="0"/>
    <x v="0"/>
    <x v="1"/>
    <x v="0"/>
    <x v="960"/>
    <x v="1"/>
    <x v="0"/>
    <x v="0"/>
    <x v="0"/>
    <x v="32"/>
    <x v="2"/>
    <x v="0"/>
    <x v="0"/>
    <x v="0"/>
    <x v="0"/>
    <x v="2"/>
    <x v="128"/>
    <x v="0"/>
    <x v="10"/>
    <x v="83"/>
    <x v="9"/>
    <x v="48"/>
    <x v="1"/>
    <x v="1"/>
    <x v="1"/>
    <x v="1"/>
    <x v="716"/>
    <x v="1"/>
    <x v="10"/>
    <x v="960"/>
    <x v="960"/>
    <x v="1"/>
    <x v="960"/>
    <x v="972"/>
    <x v="973"/>
    <x v="959"/>
    <x v="973"/>
    <x v="972"/>
    <x v="972"/>
    <x v="972"/>
    <x v="972"/>
    <x v="972"/>
    <x v="972"/>
    <x v="972"/>
    <x v="960"/>
    <x v="957"/>
    <x v="957"/>
    <x v="896"/>
    <x v="0"/>
    <x v="0"/>
    <x v="723"/>
    <x v="960"/>
    <x v="960"/>
    <x v="960"/>
    <x v="960"/>
    <x v="1"/>
  </r>
  <r>
    <x v="33"/>
    <x v="26"/>
    <x v="0"/>
    <x v="0"/>
    <x v="0"/>
    <x v="0"/>
    <x v="0"/>
    <x v="1"/>
    <x v="0"/>
    <x v="0"/>
    <x v="1"/>
    <x v="0"/>
    <x v="713"/>
    <x v="1"/>
    <x v="0"/>
    <x v="0"/>
    <x v="0"/>
    <x v="33"/>
    <x v="1"/>
    <x v="0"/>
    <x v="0"/>
    <x v="0"/>
    <x v="0"/>
    <x v="2"/>
    <x v="128"/>
    <x v="0"/>
    <x v="10"/>
    <x v="84"/>
    <x v="10"/>
    <x v="59"/>
    <x v="1"/>
    <x v="2"/>
    <x v="2"/>
    <x v="1"/>
    <x v="811"/>
    <x v="2"/>
    <x v="10"/>
    <x v="713"/>
    <x v="713"/>
    <x v="1"/>
    <x v="713"/>
    <x v="793"/>
    <x v="784"/>
    <x v="777"/>
    <x v="784"/>
    <x v="793"/>
    <x v="793"/>
    <x v="793"/>
    <x v="793"/>
    <x v="793"/>
    <x v="793"/>
    <x v="793"/>
    <x v="713"/>
    <x v="771"/>
    <x v="771"/>
    <x v="660"/>
    <x v="0"/>
    <x v="0"/>
    <x v="514"/>
    <x v="713"/>
    <x v="713"/>
    <x v="713"/>
    <x v="713"/>
    <x v="1"/>
  </r>
  <r>
    <x v="34"/>
    <x v="19"/>
    <x v="0"/>
    <x v="0"/>
    <x v="0"/>
    <x v="0"/>
    <x v="0"/>
    <x v="1"/>
    <x v="0"/>
    <x v="0"/>
    <x v="1"/>
    <x v="0"/>
    <x v="1242"/>
    <x v="1"/>
    <x v="0"/>
    <x v="0"/>
    <x v="0"/>
    <x v="34"/>
    <x v="1"/>
    <x v="0"/>
    <x v="0"/>
    <x v="0"/>
    <x v="0"/>
    <x v="2"/>
    <x v="128"/>
    <x v="0"/>
    <x v="5"/>
    <x v="112"/>
    <x v="10"/>
    <x v="59"/>
    <x v="1"/>
    <x v="2"/>
    <x v="2"/>
    <x v="1"/>
    <x v="1242"/>
    <x v="2"/>
    <x v="5"/>
    <x v="1240"/>
    <x v="1240"/>
    <x v="2"/>
    <x v="1240"/>
    <x v="1303"/>
    <x v="1291"/>
    <x v="1308"/>
    <x v="1291"/>
    <x v="1303"/>
    <x v="1303"/>
    <x v="1303"/>
    <x v="1303"/>
    <x v="1303"/>
    <x v="1303"/>
    <x v="1303"/>
    <x v="1240"/>
    <x v="1306"/>
    <x v="1306"/>
    <x v="1169"/>
    <x v="0"/>
    <x v="0"/>
    <x v="1056"/>
    <x v="1240"/>
    <x v="1240"/>
    <x v="1240"/>
    <x v="1240"/>
    <x v="1"/>
  </r>
  <r>
    <x v="35"/>
    <x v="28"/>
    <x v="0"/>
    <x v="0"/>
    <x v="0"/>
    <x v="0"/>
    <x v="1"/>
    <x v="4"/>
    <x v="0"/>
    <x v="0"/>
    <x v="1"/>
    <x v="0"/>
    <x v="1071"/>
    <x v="1"/>
    <x v="0"/>
    <x v="0"/>
    <x v="0"/>
    <x v="35"/>
    <x v="1"/>
    <x v="0"/>
    <x v="0"/>
    <x v="0"/>
    <x v="0"/>
    <x v="2"/>
    <x v="128"/>
    <x v="0"/>
    <x v="4"/>
    <x v="100"/>
    <x v="2"/>
    <x v="14"/>
    <x v="1"/>
    <x v="5"/>
    <x v="2"/>
    <x v="1"/>
    <x v="1328"/>
    <x v="5"/>
    <x v="4"/>
    <x v="1069"/>
    <x v="1069"/>
    <x v="1"/>
    <x v="1069"/>
    <x v="1163"/>
    <x v="1135"/>
    <x v="1198"/>
    <x v="1135"/>
    <x v="1163"/>
    <x v="1163"/>
    <x v="1163"/>
    <x v="1163"/>
    <x v="1163"/>
    <x v="1163"/>
    <x v="1163"/>
    <x v="1069"/>
    <x v="1198"/>
    <x v="1198"/>
    <x v="1022"/>
    <x v="0"/>
    <x v="0"/>
    <x v="864"/>
    <x v="1069"/>
    <x v="1069"/>
    <x v="1069"/>
    <x v="1069"/>
    <x v="1"/>
  </r>
  <r>
    <x v="36"/>
    <x v="25"/>
    <x v="0"/>
    <x v="0"/>
    <x v="0"/>
    <x v="0"/>
    <x v="0"/>
    <x v="0"/>
    <x v="0"/>
    <x v="0"/>
    <x v="1"/>
    <x v="0"/>
    <x v="1134"/>
    <x v="1"/>
    <x v="0"/>
    <x v="0"/>
    <x v="0"/>
    <x v="36"/>
    <x v="2"/>
    <x v="0"/>
    <x v="0"/>
    <x v="0"/>
    <x v="0"/>
    <x v="2"/>
    <x v="128"/>
    <x v="0"/>
    <x v="11"/>
    <x v="82"/>
    <x v="9"/>
    <x v="48"/>
    <x v="1"/>
    <x v="1"/>
    <x v="1"/>
    <x v="1"/>
    <x v="900"/>
    <x v="1"/>
    <x v="11"/>
    <x v="1132"/>
    <x v="1132"/>
    <x v="1"/>
    <x v="1132"/>
    <x v="1140"/>
    <x v="1141"/>
    <x v="1126"/>
    <x v="1141"/>
    <x v="1140"/>
    <x v="1140"/>
    <x v="1140"/>
    <x v="1140"/>
    <x v="1140"/>
    <x v="1140"/>
    <x v="1140"/>
    <x v="1132"/>
    <x v="1125"/>
    <x v="1125"/>
    <x v="1061"/>
    <x v="0"/>
    <x v="0"/>
    <x v="965"/>
    <x v="1132"/>
    <x v="1132"/>
    <x v="1132"/>
    <x v="1132"/>
    <x v="1"/>
  </r>
  <r>
    <x v="37"/>
    <x v="28"/>
    <x v="0"/>
    <x v="0"/>
    <x v="0"/>
    <x v="0"/>
    <x v="0"/>
    <x v="0"/>
    <x v="0"/>
    <x v="0"/>
    <x v="1"/>
    <x v="0"/>
    <x v="1098"/>
    <x v="1"/>
    <x v="0"/>
    <x v="0"/>
    <x v="0"/>
    <x v="37"/>
    <x v="2"/>
    <x v="0"/>
    <x v="0"/>
    <x v="0"/>
    <x v="0"/>
    <x v="2"/>
    <x v="128"/>
    <x v="0"/>
    <x v="4"/>
    <x v="101"/>
    <x v="9"/>
    <x v="48"/>
    <x v="1"/>
    <x v="1"/>
    <x v="1"/>
    <x v="1"/>
    <x v="862"/>
    <x v="1"/>
    <x v="4"/>
    <x v="1096"/>
    <x v="1096"/>
    <x v="1"/>
    <x v="1096"/>
    <x v="1104"/>
    <x v="1101"/>
    <x v="1089"/>
    <x v="1101"/>
    <x v="1104"/>
    <x v="1104"/>
    <x v="1104"/>
    <x v="1104"/>
    <x v="1104"/>
    <x v="1104"/>
    <x v="1104"/>
    <x v="1096"/>
    <x v="1088"/>
    <x v="1088"/>
    <x v="1023"/>
    <x v="0"/>
    <x v="0"/>
    <x v="705"/>
    <x v="1096"/>
    <x v="1096"/>
    <x v="1096"/>
    <x v="1096"/>
    <x v="1"/>
  </r>
  <r>
    <x v="38"/>
    <x v="29"/>
    <x v="0"/>
    <x v="0"/>
    <x v="0"/>
    <x v="0"/>
    <x v="0"/>
    <x v="1"/>
    <x v="0"/>
    <x v="0"/>
    <x v="1"/>
    <x v="0"/>
    <x v="1213"/>
    <x v="1"/>
    <x v="0"/>
    <x v="0"/>
    <x v="0"/>
    <x v="38"/>
    <x v="1"/>
    <x v="0"/>
    <x v="0"/>
    <x v="0"/>
    <x v="0"/>
    <x v="2"/>
    <x v="128"/>
    <x v="0"/>
    <x v="10"/>
    <x v="95"/>
    <x v="10"/>
    <x v="59"/>
    <x v="1"/>
    <x v="2"/>
    <x v="2"/>
    <x v="1"/>
    <x v="1224"/>
    <x v="2"/>
    <x v="10"/>
    <x v="1211"/>
    <x v="1211"/>
    <x v="2"/>
    <x v="1211"/>
    <x v="1277"/>
    <x v="1264"/>
    <x v="1289"/>
    <x v="1264"/>
    <x v="1277"/>
    <x v="1277"/>
    <x v="1277"/>
    <x v="1277"/>
    <x v="1277"/>
    <x v="1277"/>
    <x v="1277"/>
    <x v="1211"/>
    <x v="1284"/>
    <x v="1284"/>
    <x v="1146"/>
    <x v="0"/>
    <x v="0"/>
    <x v="1149"/>
    <x v="1211"/>
    <x v="1211"/>
    <x v="1211"/>
    <x v="1211"/>
    <x v="1"/>
  </r>
  <r>
    <x v="39"/>
    <x v="31"/>
    <x v="0"/>
    <x v="0"/>
    <x v="0"/>
    <x v="0"/>
    <x v="0"/>
    <x v="0"/>
    <x v="0"/>
    <x v="0"/>
    <x v="1"/>
    <x v="0"/>
    <x v="1240"/>
    <x v="1"/>
    <x v="0"/>
    <x v="0"/>
    <x v="0"/>
    <x v="39"/>
    <x v="2"/>
    <x v="0"/>
    <x v="0"/>
    <x v="0"/>
    <x v="0"/>
    <x v="2"/>
    <x v="128"/>
    <x v="0"/>
    <x v="8"/>
    <x v="102"/>
    <x v="9"/>
    <x v="48"/>
    <x v="1"/>
    <x v="1"/>
    <x v="1"/>
    <x v="1"/>
    <x v="1036"/>
    <x v="1"/>
    <x v="8"/>
    <x v="1238"/>
    <x v="1238"/>
    <x v="2"/>
    <x v="1238"/>
    <x v="1260"/>
    <x v="1250"/>
    <x v="1250"/>
    <x v="1250"/>
    <x v="1260"/>
    <x v="1260"/>
    <x v="1260"/>
    <x v="1260"/>
    <x v="1260"/>
    <x v="1260"/>
    <x v="1260"/>
    <x v="1238"/>
    <x v="1250"/>
    <x v="1250"/>
    <x v="1163"/>
    <x v="0"/>
    <x v="0"/>
    <x v="1040"/>
    <x v="1238"/>
    <x v="1238"/>
    <x v="1238"/>
    <x v="1238"/>
    <x v="1"/>
  </r>
  <r>
    <x v="40"/>
    <x v="32"/>
    <x v="0"/>
    <x v="0"/>
    <x v="0"/>
    <x v="0"/>
    <x v="0"/>
    <x v="0"/>
    <x v="0"/>
    <x v="0"/>
    <x v="1"/>
    <x v="0"/>
    <x v="1146"/>
    <x v="1"/>
    <x v="0"/>
    <x v="0"/>
    <x v="0"/>
    <x v="40"/>
    <x v="2"/>
    <x v="0"/>
    <x v="0"/>
    <x v="0"/>
    <x v="0"/>
    <x v="2"/>
    <x v="128"/>
    <x v="0"/>
    <x v="5"/>
    <x v="98"/>
    <x v="9"/>
    <x v="48"/>
    <x v="1"/>
    <x v="1"/>
    <x v="1"/>
    <x v="1"/>
    <x v="912"/>
    <x v="1"/>
    <x v="5"/>
    <x v="1144"/>
    <x v="1144"/>
    <x v="1"/>
    <x v="1144"/>
    <x v="1151"/>
    <x v="1149"/>
    <x v="1136"/>
    <x v="1149"/>
    <x v="1151"/>
    <x v="1151"/>
    <x v="1151"/>
    <x v="1151"/>
    <x v="1151"/>
    <x v="1151"/>
    <x v="1151"/>
    <x v="1144"/>
    <x v="1134"/>
    <x v="1134"/>
    <x v="1068"/>
    <x v="0"/>
    <x v="0"/>
    <x v="810"/>
    <x v="1144"/>
    <x v="1144"/>
    <x v="1144"/>
    <x v="1144"/>
    <x v="1"/>
  </r>
  <r>
    <x v="41"/>
    <x v="32"/>
    <x v="0"/>
    <x v="0"/>
    <x v="0"/>
    <x v="0"/>
    <x v="1"/>
    <x v="4"/>
    <x v="0"/>
    <x v="0"/>
    <x v="1"/>
    <x v="0"/>
    <x v="560"/>
    <x v="1"/>
    <x v="0"/>
    <x v="0"/>
    <x v="0"/>
    <x v="41"/>
    <x v="1"/>
    <x v="0"/>
    <x v="0"/>
    <x v="0"/>
    <x v="0"/>
    <x v="2"/>
    <x v="128"/>
    <x v="0"/>
    <x v="5"/>
    <x v="99"/>
    <x v="2"/>
    <x v="14"/>
    <x v="1"/>
    <x v="5"/>
    <x v="2"/>
    <x v="1"/>
    <x v="1167"/>
    <x v="5"/>
    <x v="5"/>
    <x v="560"/>
    <x v="560"/>
    <x v="0"/>
    <x v="560"/>
    <x v="696"/>
    <x v="655"/>
    <x v="757"/>
    <x v="655"/>
    <x v="696"/>
    <x v="696"/>
    <x v="696"/>
    <x v="696"/>
    <x v="696"/>
    <x v="696"/>
    <x v="696"/>
    <x v="560"/>
    <x v="757"/>
    <x v="757"/>
    <x v="572"/>
    <x v="0"/>
    <x v="0"/>
    <x v="396"/>
    <x v="560"/>
    <x v="560"/>
    <x v="560"/>
    <x v="560"/>
    <x v="1"/>
  </r>
  <r>
    <x v="42"/>
    <x v="31"/>
    <x v="0"/>
    <x v="0"/>
    <x v="0"/>
    <x v="0"/>
    <x v="0"/>
    <x v="1"/>
    <x v="0"/>
    <x v="0"/>
    <x v="1"/>
    <x v="0"/>
    <x v="511"/>
    <x v="1"/>
    <x v="0"/>
    <x v="0"/>
    <x v="0"/>
    <x v="42"/>
    <x v="1"/>
    <x v="0"/>
    <x v="0"/>
    <x v="0"/>
    <x v="0"/>
    <x v="2"/>
    <x v="128"/>
    <x v="0"/>
    <x v="8"/>
    <x v="103"/>
    <x v="10"/>
    <x v="59"/>
    <x v="1"/>
    <x v="2"/>
    <x v="2"/>
    <x v="1"/>
    <x v="688"/>
    <x v="2"/>
    <x v="8"/>
    <x v="511"/>
    <x v="511"/>
    <x v="0"/>
    <x v="511"/>
    <x v="619"/>
    <x v="611"/>
    <x v="614"/>
    <x v="611"/>
    <x v="619"/>
    <x v="619"/>
    <x v="619"/>
    <x v="619"/>
    <x v="619"/>
    <x v="619"/>
    <x v="619"/>
    <x v="511"/>
    <x v="610"/>
    <x v="610"/>
    <x v="468"/>
    <x v="0"/>
    <x v="0"/>
    <x v="388"/>
    <x v="511"/>
    <x v="511"/>
    <x v="511"/>
    <x v="511"/>
    <x v="1"/>
  </r>
  <r>
    <x v="43"/>
    <x v="27"/>
    <x v="0"/>
    <x v="0"/>
    <x v="0"/>
    <x v="0"/>
    <x v="0"/>
    <x v="0"/>
    <x v="0"/>
    <x v="0"/>
    <x v="1"/>
    <x v="0"/>
    <x v="1185"/>
    <x v="1"/>
    <x v="0"/>
    <x v="0"/>
    <x v="0"/>
    <x v="43"/>
    <x v="2"/>
    <x v="0"/>
    <x v="0"/>
    <x v="0"/>
    <x v="0"/>
    <x v="2"/>
    <x v="128"/>
    <x v="0"/>
    <x v="7"/>
    <x v="96"/>
    <x v="9"/>
    <x v="48"/>
    <x v="1"/>
    <x v="1"/>
    <x v="1"/>
    <x v="1"/>
    <x v="966"/>
    <x v="1"/>
    <x v="7"/>
    <x v="1183"/>
    <x v="1183"/>
    <x v="2"/>
    <x v="1183"/>
    <x v="1204"/>
    <x v="1196"/>
    <x v="1186"/>
    <x v="1196"/>
    <x v="1204"/>
    <x v="1204"/>
    <x v="1204"/>
    <x v="1204"/>
    <x v="1204"/>
    <x v="1204"/>
    <x v="1204"/>
    <x v="1183"/>
    <x v="1186"/>
    <x v="1186"/>
    <x v="1114"/>
    <x v="0"/>
    <x v="0"/>
    <x v="941"/>
    <x v="1183"/>
    <x v="1183"/>
    <x v="1183"/>
    <x v="1183"/>
    <x v="1"/>
  </r>
  <r>
    <x v="44"/>
    <x v="33"/>
    <x v="0"/>
    <x v="0"/>
    <x v="0"/>
    <x v="0"/>
    <x v="0"/>
    <x v="1"/>
    <x v="0"/>
    <x v="0"/>
    <x v="1"/>
    <x v="0"/>
    <x v="292"/>
    <x v="1"/>
    <x v="0"/>
    <x v="0"/>
    <x v="0"/>
    <x v="44"/>
    <x v="1"/>
    <x v="0"/>
    <x v="0"/>
    <x v="0"/>
    <x v="0"/>
    <x v="2"/>
    <x v="128"/>
    <x v="0"/>
    <x v="8"/>
    <x v="81"/>
    <x v="10"/>
    <x v="59"/>
    <x v="1"/>
    <x v="2"/>
    <x v="2"/>
    <x v="1"/>
    <x v="435"/>
    <x v="2"/>
    <x v="8"/>
    <x v="292"/>
    <x v="292"/>
    <x v="0"/>
    <x v="292"/>
    <x v="327"/>
    <x v="326"/>
    <x v="328"/>
    <x v="326"/>
    <x v="327"/>
    <x v="327"/>
    <x v="327"/>
    <x v="327"/>
    <x v="327"/>
    <x v="327"/>
    <x v="327"/>
    <x v="292"/>
    <x v="328"/>
    <x v="328"/>
    <x v="257"/>
    <x v="0"/>
    <x v="0"/>
    <x v="238"/>
    <x v="292"/>
    <x v="292"/>
    <x v="292"/>
    <x v="292"/>
    <x v="1"/>
  </r>
  <r>
    <x v="45"/>
    <x v="33"/>
    <x v="0"/>
    <x v="0"/>
    <x v="0"/>
    <x v="0"/>
    <x v="0"/>
    <x v="0"/>
    <x v="0"/>
    <x v="0"/>
    <x v="1"/>
    <x v="0"/>
    <x v="216"/>
    <x v="1"/>
    <x v="0"/>
    <x v="0"/>
    <x v="0"/>
    <x v="45"/>
    <x v="2"/>
    <x v="0"/>
    <x v="0"/>
    <x v="0"/>
    <x v="0"/>
    <x v="2"/>
    <x v="128"/>
    <x v="0"/>
    <x v="8"/>
    <x v="80"/>
    <x v="9"/>
    <x v="48"/>
    <x v="1"/>
    <x v="1"/>
    <x v="1"/>
    <x v="1"/>
    <x v="131"/>
    <x v="1"/>
    <x v="8"/>
    <x v="217"/>
    <x v="217"/>
    <x v="0"/>
    <x v="217"/>
    <x v="227"/>
    <x v="225"/>
    <x v="219"/>
    <x v="225"/>
    <x v="227"/>
    <x v="227"/>
    <x v="227"/>
    <x v="227"/>
    <x v="227"/>
    <x v="227"/>
    <x v="227"/>
    <x v="217"/>
    <x v="219"/>
    <x v="219"/>
    <x v="190"/>
    <x v="0"/>
    <x v="0"/>
    <x v="162"/>
    <x v="217"/>
    <x v="217"/>
    <x v="217"/>
    <x v="217"/>
    <x v="1"/>
  </r>
  <r>
    <x v="46"/>
    <x v="36"/>
    <x v="0"/>
    <x v="0"/>
    <x v="0"/>
    <x v="0"/>
    <x v="1"/>
    <x v="4"/>
    <x v="0"/>
    <x v="0"/>
    <x v="1"/>
    <x v="0"/>
    <x v="680"/>
    <x v="1"/>
    <x v="0"/>
    <x v="0"/>
    <x v="0"/>
    <x v="46"/>
    <x v="1"/>
    <x v="0"/>
    <x v="0"/>
    <x v="0"/>
    <x v="0"/>
    <x v="2"/>
    <x v="128"/>
    <x v="0"/>
    <x v="5"/>
    <x v="97"/>
    <x v="2"/>
    <x v="14"/>
    <x v="1"/>
    <x v="5"/>
    <x v="2"/>
    <x v="1"/>
    <x v="1203"/>
    <x v="5"/>
    <x v="5"/>
    <x v="680"/>
    <x v="680"/>
    <x v="1"/>
    <x v="680"/>
    <x v="788"/>
    <x v="751"/>
    <x v="823"/>
    <x v="751"/>
    <x v="788"/>
    <x v="788"/>
    <x v="788"/>
    <x v="788"/>
    <x v="788"/>
    <x v="788"/>
    <x v="788"/>
    <x v="680"/>
    <x v="820"/>
    <x v="820"/>
    <x v="657"/>
    <x v="0"/>
    <x v="0"/>
    <x v="430"/>
    <x v="680"/>
    <x v="680"/>
    <x v="680"/>
    <x v="680"/>
    <x v="1"/>
  </r>
  <r>
    <x v="47"/>
    <x v="42"/>
    <x v="0"/>
    <x v="0"/>
    <x v="0"/>
    <x v="0"/>
    <x v="0"/>
    <x v="1"/>
    <x v="0"/>
    <x v="0"/>
    <x v="1"/>
    <x v="0"/>
    <x v="1235"/>
    <x v="1"/>
    <x v="0"/>
    <x v="0"/>
    <x v="0"/>
    <x v="47"/>
    <x v="1"/>
    <x v="0"/>
    <x v="0"/>
    <x v="0"/>
    <x v="0"/>
    <x v="2"/>
    <x v="128"/>
    <x v="0"/>
    <x v="6"/>
    <x v="171"/>
    <x v="10"/>
    <x v="59"/>
    <x v="1"/>
    <x v="2"/>
    <x v="2"/>
    <x v="1"/>
    <x v="1240"/>
    <x v="2"/>
    <x v="6"/>
    <x v="1233"/>
    <x v="1233"/>
    <x v="2"/>
    <x v="1233"/>
    <x v="1298"/>
    <x v="1287"/>
    <x v="1303"/>
    <x v="1287"/>
    <x v="1298"/>
    <x v="1298"/>
    <x v="1298"/>
    <x v="1298"/>
    <x v="1298"/>
    <x v="1298"/>
    <x v="1298"/>
    <x v="1233"/>
    <x v="1302"/>
    <x v="1302"/>
    <x v="1165"/>
    <x v="0"/>
    <x v="0"/>
    <x v="1080"/>
    <x v="1233"/>
    <x v="1233"/>
    <x v="1233"/>
    <x v="1233"/>
    <x v="1"/>
  </r>
  <r>
    <x v="48"/>
    <x v="34"/>
    <x v="0"/>
    <x v="0"/>
    <x v="0"/>
    <x v="0"/>
    <x v="0"/>
    <x v="0"/>
    <x v="0"/>
    <x v="0"/>
    <x v="1"/>
    <x v="0"/>
    <x v="488"/>
    <x v="1"/>
    <x v="0"/>
    <x v="0"/>
    <x v="0"/>
    <x v="48"/>
    <x v="2"/>
    <x v="0"/>
    <x v="0"/>
    <x v="0"/>
    <x v="0"/>
    <x v="2"/>
    <x v="128"/>
    <x v="0"/>
    <x v="8"/>
    <x v="73"/>
    <x v="9"/>
    <x v="48"/>
    <x v="1"/>
    <x v="1"/>
    <x v="1"/>
    <x v="1"/>
    <x v="326"/>
    <x v="1"/>
    <x v="8"/>
    <x v="488"/>
    <x v="488"/>
    <x v="0"/>
    <x v="488"/>
    <x v="460"/>
    <x v="463"/>
    <x v="449"/>
    <x v="463"/>
    <x v="460"/>
    <x v="460"/>
    <x v="460"/>
    <x v="460"/>
    <x v="460"/>
    <x v="460"/>
    <x v="460"/>
    <x v="488"/>
    <x v="447"/>
    <x v="447"/>
    <x v="429"/>
    <x v="0"/>
    <x v="0"/>
    <x v="315"/>
    <x v="488"/>
    <x v="488"/>
    <x v="488"/>
    <x v="488"/>
    <x v="1"/>
  </r>
  <r>
    <x v="49"/>
    <x v="42"/>
    <x v="0"/>
    <x v="0"/>
    <x v="0"/>
    <x v="0"/>
    <x v="1"/>
    <x v="4"/>
    <x v="0"/>
    <x v="0"/>
    <x v="1"/>
    <x v="0"/>
    <x v="658"/>
    <x v="1"/>
    <x v="0"/>
    <x v="0"/>
    <x v="0"/>
    <x v="49"/>
    <x v="1"/>
    <x v="0"/>
    <x v="0"/>
    <x v="0"/>
    <x v="0"/>
    <x v="2"/>
    <x v="128"/>
    <x v="0"/>
    <x v="6"/>
    <x v="172"/>
    <x v="2"/>
    <x v="14"/>
    <x v="1"/>
    <x v="5"/>
    <x v="2"/>
    <x v="1"/>
    <x v="1195"/>
    <x v="5"/>
    <x v="6"/>
    <x v="658"/>
    <x v="658"/>
    <x v="0"/>
    <x v="658"/>
    <x v="770"/>
    <x v="730"/>
    <x v="807"/>
    <x v="730"/>
    <x v="770"/>
    <x v="770"/>
    <x v="770"/>
    <x v="770"/>
    <x v="770"/>
    <x v="770"/>
    <x v="770"/>
    <x v="658"/>
    <x v="806"/>
    <x v="806"/>
    <x v="641"/>
    <x v="0"/>
    <x v="0"/>
    <x v="443"/>
    <x v="658"/>
    <x v="658"/>
    <x v="658"/>
    <x v="658"/>
    <x v="1"/>
  </r>
  <r>
    <x v="50"/>
    <x v="38"/>
    <x v="0"/>
    <x v="0"/>
    <x v="0"/>
    <x v="0"/>
    <x v="0"/>
    <x v="0"/>
    <x v="0"/>
    <x v="0"/>
    <x v="1"/>
    <x v="0"/>
    <x v="547"/>
    <x v="1"/>
    <x v="0"/>
    <x v="0"/>
    <x v="0"/>
    <x v="50"/>
    <x v="2"/>
    <x v="0"/>
    <x v="0"/>
    <x v="0"/>
    <x v="0"/>
    <x v="2"/>
    <x v="128"/>
    <x v="0"/>
    <x v="9"/>
    <x v="71"/>
    <x v="9"/>
    <x v="48"/>
    <x v="1"/>
    <x v="1"/>
    <x v="1"/>
    <x v="1"/>
    <x v="365"/>
    <x v="1"/>
    <x v="9"/>
    <x v="547"/>
    <x v="547"/>
    <x v="0"/>
    <x v="547"/>
    <x v="507"/>
    <x v="517"/>
    <x v="491"/>
    <x v="517"/>
    <x v="507"/>
    <x v="507"/>
    <x v="507"/>
    <x v="507"/>
    <x v="507"/>
    <x v="507"/>
    <x v="507"/>
    <x v="547"/>
    <x v="491"/>
    <x v="491"/>
    <x v="489"/>
    <x v="0"/>
    <x v="0"/>
    <x v="356"/>
    <x v="547"/>
    <x v="547"/>
    <x v="547"/>
    <x v="547"/>
    <x v="1"/>
  </r>
  <r>
    <x v="51"/>
    <x v="34"/>
    <x v="0"/>
    <x v="0"/>
    <x v="0"/>
    <x v="0"/>
    <x v="0"/>
    <x v="0"/>
    <x v="0"/>
    <x v="0"/>
    <x v="1"/>
    <x v="0"/>
    <x v="1226"/>
    <x v="1"/>
    <x v="0"/>
    <x v="0"/>
    <x v="0"/>
    <x v="51"/>
    <x v="2"/>
    <x v="0"/>
    <x v="0"/>
    <x v="0"/>
    <x v="0"/>
    <x v="2"/>
    <x v="128"/>
    <x v="0"/>
    <x v="8"/>
    <x v="74"/>
    <x v="9"/>
    <x v="48"/>
    <x v="1"/>
    <x v="1"/>
    <x v="1"/>
    <x v="1"/>
    <x v="1018"/>
    <x v="1"/>
    <x v="8"/>
    <x v="1224"/>
    <x v="1224"/>
    <x v="2"/>
    <x v="1224"/>
    <x v="1245"/>
    <x v="1238"/>
    <x v="1234"/>
    <x v="1238"/>
    <x v="1245"/>
    <x v="1245"/>
    <x v="1245"/>
    <x v="1245"/>
    <x v="1245"/>
    <x v="1245"/>
    <x v="1245"/>
    <x v="1224"/>
    <x v="1232"/>
    <x v="1232"/>
    <x v="1151"/>
    <x v="0"/>
    <x v="0"/>
    <x v="1026"/>
    <x v="1224"/>
    <x v="1224"/>
    <x v="1224"/>
    <x v="1224"/>
    <x v="1"/>
  </r>
  <r>
    <x v="52"/>
    <x v="43"/>
    <x v="0"/>
    <x v="0"/>
    <x v="0"/>
    <x v="0"/>
    <x v="0"/>
    <x v="0"/>
    <x v="0"/>
    <x v="0"/>
    <x v="1"/>
    <x v="0"/>
    <x v="478"/>
    <x v="1"/>
    <x v="0"/>
    <x v="0"/>
    <x v="0"/>
    <x v="52"/>
    <x v="2"/>
    <x v="1"/>
    <x v="1"/>
    <x v="0"/>
    <x v="0"/>
    <x v="2"/>
    <x v="128"/>
    <x v="0"/>
    <x v="9"/>
    <x v="128"/>
    <x v="9"/>
    <x v="48"/>
    <x v="1"/>
    <x v="1"/>
    <x v="1"/>
    <x v="1"/>
    <x v="319"/>
    <x v="1"/>
    <x v="9"/>
    <x v="478"/>
    <x v="478"/>
    <x v="0"/>
    <x v="478"/>
    <x v="452"/>
    <x v="454"/>
    <x v="440"/>
    <x v="454"/>
    <x v="452"/>
    <x v="452"/>
    <x v="452"/>
    <x v="452"/>
    <x v="452"/>
    <x v="452"/>
    <x v="452"/>
    <x v="478"/>
    <x v="439"/>
    <x v="439"/>
    <x v="421"/>
    <x v="0"/>
    <x v="0"/>
    <x v="326"/>
    <x v="478"/>
    <x v="478"/>
    <x v="478"/>
    <x v="478"/>
    <x v="1"/>
  </r>
  <r>
    <x v="53"/>
    <x v="45"/>
    <x v="0"/>
    <x v="0"/>
    <x v="0"/>
    <x v="0"/>
    <x v="1"/>
    <x v="5"/>
    <x v="0"/>
    <x v="0"/>
    <x v="1"/>
    <x v="0"/>
    <x v="655"/>
    <x v="1"/>
    <x v="0"/>
    <x v="0"/>
    <x v="0"/>
    <x v="53"/>
    <x v="1"/>
    <x v="1"/>
    <x v="1"/>
    <x v="0"/>
    <x v="0"/>
    <x v="2"/>
    <x v="128"/>
    <x v="0"/>
    <x v="6"/>
    <x v="166"/>
    <x v="3"/>
    <x v="25"/>
    <x v="1"/>
    <x v="6"/>
    <x v="3"/>
    <x v="1"/>
    <x v="1309"/>
    <x v="6"/>
    <x v="6"/>
    <x v="655"/>
    <x v="655"/>
    <x v="0"/>
    <x v="655"/>
    <x v="829"/>
    <x v="769"/>
    <x v="898"/>
    <x v="769"/>
    <x v="829"/>
    <x v="829"/>
    <x v="829"/>
    <x v="829"/>
    <x v="829"/>
    <x v="829"/>
    <x v="829"/>
    <x v="655"/>
    <x v="902"/>
    <x v="902"/>
    <x v="0"/>
    <x v="85"/>
    <x v="0"/>
    <x v="531"/>
    <x v="655"/>
    <x v="655"/>
    <x v="655"/>
    <x v="655"/>
    <x v="1"/>
  </r>
  <r>
    <x v="54"/>
    <x v="49"/>
    <x v="0"/>
    <x v="0"/>
    <x v="0"/>
    <x v="0"/>
    <x v="0"/>
    <x v="0"/>
    <x v="0"/>
    <x v="0"/>
    <x v="1"/>
    <x v="0"/>
    <x v="1243"/>
    <x v="1"/>
    <x v="0"/>
    <x v="0"/>
    <x v="0"/>
    <x v="54"/>
    <x v="2"/>
    <x v="1"/>
    <x v="1"/>
    <x v="0"/>
    <x v="0"/>
    <x v="2"/>
    <x v="128"/>
    <x v="0"/>
    <x v="13"/>
    <x v="164"/>
    <x v="9"/>
    <x v="48"/>
    <x v="1"/>
    <x v="1"/>
    <x v="1"/>
    <x v="1"/>
    <x v="1039"/>
    <x v="1"/>
    <x v="13"/>
    <x v="1241"/>
    <x v="1241"/>
    <x v="2"/>
    <x v="1241"/>
    <x v="1263"/>
    <x v="1254"/>
    <x v="1254"/>
    <x v="1254"/>
    <x v="1263"/>
    <x v="1263"/>
    <x v="1263"/>
    <x v="1263"/>
    <x v="1263"/>
    <x v="1263"/>
    <x v="1263"/>
    <x v="1241"/>
    <x v="1253"/>
    <x v="1253"/>
    <x v="1166"/>
    <x v="0"/>
    <x v="0"/>
    <x v="1158"/>
    <x v="1241"/>
    <x v="1241"/>
    <x v="1241"/>
    <x v="1241"/>
    <x v="1"/>
  </r>
  <r>
    <x v="55"/>
    <x v="46"/>
    <x v="0"/>
    <x v="0"/>
    <x v="0"/>
    <x v="0"/>
    <x v="0"/>
    <x v="0"/>
    <x v="0"/>
    <x v="0"/>
    <x v="1"/>
    <x v="0"/>
    <x v="590"/>
    <x v="1"/>
    <x v="0"/>
    <x v="0"/>
    <x v="0"/>
    <x v="55"/>
    <x v="2"/>
    <x v="1"/>
    <x v="1"/>
    <x v="0"/>
    <x v="0"/>
    <x v="1"/>
    <x v="128"/>
    <x v="0"/>
    <x v="18"/>
    <x v="119"/>
    <x v="9"/>
    <x v="48"/>
    <x v="1"/>
    <x v="1"/>
    <x v="1"/>
    <x v="1"/>
    <x v="387"/>
    <x v="1"/>
    <x v="18"/>
    <x v="590"/>
    <x v="590"/>
    <x v="0"/>
    <x v="590"/>
    <x v="536"/>
    <x v="549"/>
    <x v="520"/>
    <x v="549"/>
    <x v="536"/>
    <x v="536"/>
    <x v="536"/>
    <x v="536"/>
    <x v="536"/>
    <x v="536"/>
    <x v="536"/>
    <x v="590"/>
    <x v="519"/>
    <x v="519"/>
    <x v="525"/>
    <x v="0"/>
    <x v="0"/>
    <x v="495"/>
    <x v="590"/>
    <x v="590"/>
    <x v="590"/>
    <x v="590"/>
    <x v="1"/>
  </r>
  <r>
    <x v="56"/>
    <x v="44"/>
    <x v="0"/>
    <x v="0"/>
    <x v="0"/>
    <x v="0"/>
    <x v="0"/>
    <x v="0"/>
    <x v="0"/>
    <x v="0"/>
    <x v="1"/>
    <x v="0"/>
    <x v="466"/>
    <x v="1"/>
    <x v="0"/>
    <x v="0"/>
    <x v="0"/>
    <x v="56"/>
    <x v="2"/>
    <x v="1"/>
    <x v="1"/>
    <x v="0"/>
    <x v="0"/>
    <x v="2"/>
    <x v="128"/>
    <x v="0"/>
    <x v="11"/>
    <x v="126"/>
    <x v="9"/>
    <x v="48"/>
    <x v="1"/>
    <x v="1"/>
    <x v="1"/>
    <x v="1"/>
    <x v="315"/>
    <x v="1"/>
    <x v="11"/>
    <x v="466"/>
    <x v="466"/>
    <x v="0"/>
    <x v="466"/>
    <x v="446"/>
    <x v="448"/>
    <x v="431"/>
    <x v="448"/>
    <x v="446"/>
    <x v="446"/>
    <x v="446"/>
    <x v="446"/>
    <x v="446"/>
    <x v="446"/>
    <x v="446"/>
    <x v="466"/>
    <x v="429"/>
    <x v="429"/>
    <x v="411"/>
    <x v="0"/>
    <x v="0"/>
    <x v="351"/>
    <x v="466"/>
    <x v="466"/>
    <x v="466"/>
    <x v="466"/>
    <x v="1"/>
  </r>
  <r>
    <x v="57"/>
    <x v="47"/>
    <x v="0"/>
    <x v="0"/>
    <x v="0"/>
    <x v="0"/>
    <x v="0"/>
    <x v="0"/>
    <x v="0"/>
    <x v="0"/>
    <x v="1"/>
    <x v="0"/>
    <x v="0"/>
    <x v="1"/>
    <x v="0"/>
    <x v="0"/>
    <x v="0"/>
    <x v="57"/>
    <x v="2"/>
    <x v="1"/>
    <x v="1"/>
    <x v="0"/>
    <x v="0"/>
    <x v="1"/>
    <x v="128"/>
    <x v="0"/>
    <x v="13"/>
    <x v="155"/>
    <x v="9"/>
    <x v="48"/>
    <x v="1"/>
    <x v="1"/>
    <x v="1"/>
    <x v="1"/>
    <x v="0"/>
    <x v="1"/>
    <x v="13"/>
    <x v="1"/>
    <x v="1"/>
    <x v="0"/>
    <x v="1"/>
    <x v="1"/>
    <x v="1"/>
    <x v="1"/>
    <x v="1"/>
    <x v="1"/>
    <x v="1"/>
    <x v="1"/>
    <x v="1"/>
    <x v="1"/>
    <x v="1"/>
    <x v="1"/>
    <x v="1"/>
    <x v="1"/>
    <x v="1"/>
    <x v="1"/>
    <x v="0"/>
    <x v="0"/>
    <x v="2"/>
    <x v="1"/>
    <x v="1"/>
    <x v="1"/>
    <x v="1"/>
    <x v="1"/>
  </r>
  <r>
    <x v="58"/>
    <x v="50"/>
    <x v="0"/>
    <x v="0"/>
    <x v="0"/>
    <x v="0"/>
    <x v="0"/>
    <x v="0"/>
    <x v="0"/>
    <x v="0"/>
    <x v="1"/>
    <x v="0"/>
    <x v="1157"/>
    <x v="1"/>
    <x v="0"/>
    <x v="0"/>
    <x v="0"/>
    <x v="58"/>
    <x v="2"/>
    <x v="1"/>
    <x v="1"/>
    <x v="0"/>
    <x v="0"/>
    <x v="2"/>
    <x v="108"/>
    <x v="0"/>
    <x v="11"/>
    <x v="123"/>
    <x v="9"/>
    <x v="48"/>
    <x v="1"/>
    <x v="1"/>
    <x v="1"/>
    <x v="1"/>
    <x v="931"/>
    <x v="1"/>
    <x v="11"/>
    <x v="1155"/>
    <x v="1155"/>
    <x v="1"/>
    <x v="1155"/>
    <x v="1168"/>
    <x v="1165"/>
    <x v="1151"/>
    <x v="1165"/>
    <x v="1168"/>
    <x v="1168"/>
    <x v="1168"/>
    <x v="1168"/>
    <x v="1168"/>
    <x v="1168"/>
    <x v="1168"/>
    <x v="1155"/>
    <x v="1149"/>
    <x v="1149"/>
    <x v="1083"/>
    <x v="0"/>
    <x v="0"/>
    <x v="986"/>
    <x v="1155"/>
    <x v="1155"/>
    <x v="1155"/>
    <x v="1155"/>
    <x v="1"/>
  </r>
  <r>
    <x v="59"/>
    <x v="43"/>
    <x v="0"/>
    <x v="0"/>
    <x v="0"/>
    <x v="0"/>
    <x v="0"/>
    <x v="0"/>
    <x v="0"/>
    <x v="0"/>
    <x v="1"/>
    <x v="0"/>
    <x v="1256"/>
    <x v="1"/>
    <x v="0"/>
    <x v="0"/>
    <x v="0"/>
    <x v="59"/>
    <x v="2"/>
    <x v="1"/>
    <x v="1"/>
    <x v="0"/>
    <x v="0"/>
    <x v="2"/>
    <x v="128"/>
    <x v="0"/>
    <x v="9"/>
    <x v="129"/>
    <x v="9"/>
    <x v="48"/>
    <x v="1"/>
    <x v="1"/>
    <x v="1"/>
    <x v="1"/>
    <x v="1052"/>
    <x v="1"/>
    <x v="9"/>
    <x v="1254"/>
    <x v="1254"/>
    <x v="2"/>
    <x v="1254"/>
    <x v="1275"/>
    <x v="1267"/>
    <x v="1268"/>
    <x v="1267"/>
    <x v="1275"/>
    <x v="1275"/>
    <x v="1275"/>
    <x v="1275"/>
    <x v="1275"/>
    <x v="1275"/>
    <x v="1275"/>
    <x v="1254"/>
    <x v="1267"/>
    <x v="1267"/>
    <x v="1178"/>
    <x v="0"/>
    <x v="0"/>
    <x v="1099"/>
    <x v="1254"/>
    <x v="1254"/>
    <x v="1254"/>
    <x v="1254"/>
    <x v="1"/>
  </r>
  <r>
    <x v="60"/>
    <x v="49"/>
    <x v="0"/>
    <x v="0"/>
    <x v="0"/>
    <x v="0"/>
    <x v="1"/>
    <x v="5"/>
    <x v="0"/>
    <x v="0"/>
    <x v="1"/>
    <x v="0"/>
    <x v="498"/>
    <x v="1"/>
    <x v="0"/>
    <x v="0"/>
    <x v="0"/>
    <x v="60"/>
    <x v="1"/>
    <x v="1"/>
    <x v="1"/>
    <x v="0"/>
    <x v="0"/>
    <x v="2"/>
    <x v="128"/>
    <x v="0"/>
    <x v="13"/>
    <x v="165"/>
    <x v="3"/>
    <x v="25"/>
    <x v="1"/>
    <x v="6"/>
    <x v="3"/>
    <x v="1"/>
    <x v="1289"/>
    <x v="6"/>
    <x v="13"/>
    <x v="498"/>
    <x v="498"/>
    <x v="0"/>
    <x v="498"/>
    <x v="732"/>
    <x v="650"/>
    <x v="810"/>
    <x v="650"/>
    <x v="732"/>
    <x v="732"/>
    <x v="732"/>
    <x v="732"/>
    <x v="732"/>
    <x v="732"/>
    <x v="732"/>
    <x v="498"/>
    <x v="819"/>
    <x v="819"/>
    <x v="0"/>
    <x v="76"/>
    <x v="0"/>
    <x v="628"/>
    <x v="498"/>
    <x v="498"/>
    <x v="498"/>
    <x v="498"/>
    <x v="1"/>
  </r>
  <r>
    <x v="61"/>
    <x v="48"/>
    <x v="0"/>
    <x v="0"/>
    <x v="0"/>
    <x v="0"/>
    <x v="0"/>
    <x v="0"/>
    <x v="0"/>
    <x v="0"/>
    <x v="1"/>
    <x v="0"/>
    <x v="480"/>
    <x v="1"/>
    <x v="0"/>
    <x v="0"/>
    <x v="0"/>
    <x v="61"/>
    <x v="2"/>
    <x v="1"/>
    <x v="1"/>
    <x v="0"/>
    <x v="0"/>
    <x v="2"/>
    <x v="128"/>
    <x v="0"/>
    <x v="11"/>
    <x v="124"/>
    <x v="9"/>
    <x v="48"/>
    <x v="1"/>
    <x v="1"/>
    <x v="1"/>
    <x v="1"/>
    <x v="320"/>
    <x v="1"/>
    <x v="11"/>
    <x v="480"/>
    <x v="480"/>
    <x v="0"/>
    <x v="480"/>
    <x v="453"/>
    <x v="455"/>
    <x v="441"/>
    <x v="455"/>
    <x v="453"/>
    <x v="453"/>
    <x v="453"/>
    <x v="453"/>
    <x v="453"/>
    <x v="453"/>
    <x v="453"/>
    <x v="480"/>
    <x v="440"/>
    <x v="440"/>
    <x v="422"/>
    <x v="0"/>
    <x v="0"/>
    <x v="361"/>
    <x v="480"/>
    <x v="480"/>
    <x v="480"/>
    <x v="480"/>
    <x v="1"/>
  </r>
  <r>
    <x v="62"/>
    <x v="57"/>
    <x v="0"/>
    <x v="0"/>
    <x v="0"/>
    <x v="0"/>
    <x v="0"/>
    <x v="0"/>
    <x v="0"/>
    <x v="0"/>
    <x v="1"/>
    <x v="0"/>
    <x v="1168"/>
    <x v="1"/>
    <x v="0"/>
    <x v="0"/>
    <x v="0"/>
    <x v="62"/>
    <x v="2"/>
    <x v="1"/>
    <x v="1"/>
    <x v="0"/>
    <x v="0"/>
    <x v="2"/>
    <x v="108"/>
    <x v="0"/>
    <x v="11"/>
    <x v="139"/>
    <x v="9"/>
    <x v="48"/>
    <x v="1"/>
    <x v="1"/>
    <x v="1"/>
    <x v="1"/>
    <x v="942"/>
    <x v="1"/>
    <x v="11"/>
    <x v="1166"/>
    <x v="1166"/>
    <x v="1"/>
    <x v="1166"/>
    <x v="1179"/>
    <x v="1176"/>
    <x v="1162"/>
    <x v="1176"/>
    <x v="1179"/>
    <x v="1179"/>
    <x v="1179"/>
    <x v="1179"/>
    <x v="1179"/>
    <x v="1179"/>
    <x v="1179"/>
    <x v="1166"/>
    <x v="1161"/>
    <x v="1161"/>
    <x v="1091"/>
    <x v="0"/>
    <x v="0"/>
    <x v="998"/>
    <x v="1166"/>
    <x v="1166"/>
    <x v="1166"/>
    <x v="1166"/>
    <x v="1"/>
  </r>
  <r>
    <x v="63"/>
    <x v="44"/>
    <x v="0"/>
    <x v="0"/>
    <x v="0"/>
    <x v="0"/>
    <x v="0"/>
    <x v="0"/>
    <x v="0"/>
    <x v="0"/>
    <x v="1"/>
    <x v="0"/>
    <x v="1273"/>
    <x v="1"/>
    <x v="0"/>
    <x v="0"/>
    <x v="0"/>
    <x v="63"/>
    <x v="2"/>
    <x v="1"/>
    <x v="1"/>
    <x v="0"/>
    <x v="0"/>
    <x v="2"/>
    <x v="128"/>
    <x v="0"/>
    <x v="11"/>
    <x v="127"/>
    <x v="9"/>
    <x v="48"/>
    <x v="1"/>
    <x v="1"/>
    <x v="1"/>
    <x v="1"/>
    <x v="1070"/>
    <x v="1"/>
    <x v="11"/>
    <x v="1271"/>
    <x v="1271"/>
    <x v="2"/>
    <x v="1271"/>
    <x v="1292"/>
    <x v="1283"/>
    <x v="1285"/>
    <x v="1283"/>
    <x v="1292"/>
    <x v="1292"/>
    <x v="1292"/>
    <x v="1292"/>
    <x v="1292"/>
    <x v="1292"/>
    <x v="1292"/>
    <x v="1271"/>
    <x v="1285"/>
    <x v="1285"/>
    <x v="1193"/>
    <x v="0"/>
    <x v="0"/>
    <x v="1165"/>
    <x v="1271"/>
    <x v="1271"/>
    <x v="1271"/>
    <x v="1271"/>
    <x v="1"/>
  </r>
  <r>
    <x v="64"/>
    <x v="50"/>
    <x v="0"/>
    <x v="0"/>
    <x v="0"/>
    <x v="0"/>
    <x v="0"/>
    <x v="0"/>
    <x v="0"/>
    <x v="0"/>
    <x v="1"/>
    <x v="0"/>
    <x v="39"/>
    <x v="1"/>
    <x v="0"/>
    <x v="0"/>
    <x v="0"/>
    <x v="64"/>
    <x v="2"/>
    <x v="1"/>
    <x v="1"/>
    <x v="0"/>
    <x v="0"/>
    <x v="2"/>
    <x v="108"/>
    <x v="0"/>
    <x v="11"/>
    <x v="122"/>
    <x v="9"/>
    <x v="48"/>
    <x v="1"/>
    <x v="1"/>
    <x v="1"/>
    <x v="1"/>
    <x v="20"/>
    <x v="1"/>
    <x v="11"/>
    <x v="40"/>
    <x v="40"/>
    <x v="0"/>
    <x v="40"/>
    <x v="32"/>
    <x v="35"/>
    <x v="28"/>
    <x v="35"/>
    <x v="32"/>
    <x v="32"/>
    <x v="32"/>
    <x v="32"/>
    <x v="32"/>
    <x v="32"/>
    <x v="32"/>
    <x v="40"/>
    <x v="27"/>
    <x v="27"/>
    <x v="31"/>
    <x v="0"/>
    <x v="0"/>
    <x v="25"/>
    <x v="40"/>
    <x v="40"/>
    <x v="40"/>
    <x v="40"/>
    <x v="1"/>
  </r>
  <r>
    <x v="65"/>
    <x v="55"/>
    <x v="0"/>
    <x v="0"/>
    <x v="0"/>
    <x v="0"/>
    <x v="1"/>
    <x v="5"/>
    <x v="0"/>
    <x v="0"/>
    <x v="1"/>
    <x v="0"/>
    <x v="509"/>
    <x v="1"/>
    <x v="0"/>
    <x v="0"/>
    <x v="0"/>
    <x v="65"/>
    <x v="1"/>
    <x v="1"/>
    <x v="1"/>
    <x v="0"/>
    <x v="0"/>
    <x v="2"/>
    <x v="128"/>
    <x v="0"/>
    <x v="7"/>
    <x v="163"/>
    <x v="3"/>
    <x v="25"/>
    <x v="1"/>
    <x v="6"/>
    <x v="3"/>
    <x v="1"/>
    <x v="1291"/>
    <x v="6"/>
    <x v="7"/>
    <x v="509"/>
    <x v="509"/>
    <x v="0"/>
    <x v="509"/>
    <x v="745"/>
    <x v="668"/>
    <x v="821"/>
    <x v="668"/>
    <x v="745"/>
    <x v="745"/>
    <x v="745"/>
    <x v="745"/>
    <x v="745"/>
    <x v="745"/>
    <x v="745"/>
    <x v="509"/>
    <x v="832"/>
    <x v="832"/>
    <x v="0"/>
    <x v="78"/>
    <x v="0"/>
    <x v="483"/>
    <x v="509"/>
    <x v="509"/>
    <x v="509"/>
    <x v="509"/>
    <x v="1"/>
  </r>
  <r>
    <x v="66"/>
    <x v="52"/>
    <x v="0"/>
    <x v="0"/>
    <x v="0"/>
    <x v="0"/>
    <x v="0"/>
    <x v="0"/>
    <x v="0"/>
    <x v="0"/>
    <x v="1"/>
    <x v="0"/>
    <x v="508"/>
    <x v="1"/>
    <x v="0"/>
    <x v="0"/>
    <x v="0"/>
    <x v="66"/>
    <x v="2"/>
    <x v="1"/>
    <x v="1"/>
    <x v="0"/>
    <x v="0"/>
    <x v="2"/>
    <x v="108"/>
    <x v="0"/>
    <x v="11"/>
    <x v="140"/>
    <x v="9"/>
    <x v="48"/>
    <x v="1"/>
    <x v="1"/>
    <x v="1"/>
    <x v="1"/>
    <x v="337"/>
    <x v="1"/>
    <x v="11"/>
    <x v="508"/>
    <x v="508"/>
    <x v="0"/>
    <x v="508"/>
    <x v="475"/>
    <x v="481"/>
    <x v="462"/>
    <x v="481"/>
    <x v="475"/>
    <x v="475"/>
    <x v="475"/>
    <x v="475"/>
    <x v="475"/>
    <x v="475"/>
    <x v="475"/>
    <x v="508"/>
    <x v="462"/>
    <x v="462"/>
    <x v="449"/>
    <x v="0"/>
    <x v="0"/>
    <x v="372"/>
    <x v="508"/>
    <x v="508"/>
    <x v="508"/>
    <x v="508"/>
    <x v="1"/>
  </r>
  <r>
    <x v="67"/>
    <x v="48"/>
    <x v="0"/>
    <x v="0"/>
    <x v="0"/>
    <x v="0"/>
    <x v="0"/>
    <x v="0"/>
    <x v="0"/>
    <x v="0"/>
    <x v="1"/>
    <x v="0"/>
    <x v="1286"/>
    <x v="1"/>
    <x v="0"/>
    <x v="0"/>
    <x v="0"/>
    <x v="67"/>
    <x v="2"/>
    <x v="1"/>
    <x v="1"/>
    <x v="0"/>
    <x v="0"/>
    <x v="2"/>
    <x v="128"/>
    <x v="0"/>
    <x v="11"/>
    <x v="125"/>
    <x v="9"/>
    <x v="48"/>
    <x v="1"/>
    <x v="1"/>
    <x v="1"/>
    <x v="1"/>
    <x v="1084"/>
    <x v="1"/>
    <x v="11"/>
    <x v="1284"/>
    <x v="1284"/>
    <x v="2"/>
    <x v="1284"/>
    <x v="1304"/>
    <x v="1298"/>
    <x v="1298"/>
    <x v="1298"/>
    <x v="1304"/>
    <x v="1304"/>
    <x v="1304"/>
    <x v="1304"/>
    <x v="1304"/>
    <x v="1304"/>
    <x v="1304"/>
    <x v="1284"/>
    <x v="1297"/>
    <x v="1297"/>
    <x v="1203"/>
    <x v="0"/>
    <x v="0"/>
    <x v="1176"/>
    <x v="1284"/>
    <x v="1284"/>
    <x v="1284"/>
    <x v="1284"/>
    <x v="1"/>
  </r>
  <r>
    <x v="68"/>
    <x v="60"/>
    <x v="0"/>
    <x v="0"/>
    <x v="0"/>
    <x v="0"/>
    <x v="0"/>
    <x v="0"/>
    <x v="0"/>
    <x v="0"/>
    <x v="1"/>
    <x v="0"/>
    <x v="529"/>
    <x v="1"/>
    <x v="0"/>
    <x v="0"/>
    <x v="0"/>
    <x v="68"/>
    <x v="2"/>
    <x v="1"/>
    <x v="1"/>
    <x v="0"/>
    <x v="0"/>
    <x v="3"/>
    <x v="128"/>
    <x v="0"/>
    <x v="13"/>
    <x v="138"/>
    <x v="9"/>
    <x v="48"/>
    <x v="1"/>
    <x v="1"/>
    <x v="1"/>
    <x v="1"/>
    <x v="351"/>
    <x v="1"/>
    <x v="13"/>
    <x v="529"/>
    <x v="529"/>
    <x v="0"/>
    <x v="529"/>
    <x v="489"/>
    <x v="500"/>
    <x v="478"/>
    <x v="500"/>
    <x v="489"/>
    <x v="489"/>
    <x v="489"/>
    <x v="489"/>
    <x v="489"/>
    <x v="489"/>
    <x v="489"/>
    <x v="529"/>
    <x v="477"/>
    <x v="477"/>
    <x v="469"/>
    <x v="0"/>
    <x v="0"/>
    <x v="406"/>
    <x v="529"/>
    <x v="529"/>
    <x v="529"/>
    <x v="529"/>
    <x v="1"/>
  </r>
  <r>
    <x v="69"/>
    <x v="63"/>
    <x v="0"/>
    <x v="0"/>
    <x v="0"/>
    <x v="0"/>
    <x v="1"/>
    <x v="5"/>
    <x v="0"/>
    <x v="0"/>
    <x v="1"/>
    <x v="0"/>
    <x v="527"/>
    <x v="1"/>
    <x v="0"/>
    <x v="0"/>
    <x v="0"/>
    <x v="69"/>
    <x v="1"/>
    <x v="1"/>
    <x v="1"/>
    <x v="0"/>
    <x v="0"/>
    <x v="2"/>
    <x v="128"/>
    <x v="0"/>
    <x v="8"/>
    <x v="162"/>
    <x v="3"/>
    <x v="25"/>
    <x v="1"/>
    <x v="6"/>
    <x v="3"/>
    <x v="1"/>
    <x v="1292"/>
    <x v="6"/>
    <x v="8"/>
    <x v="527"/>
    <x v="527"/>
    <x v="0"/>
    <x v="527"/>
    <x v="761"/>
    <x v="686"/>
    <x v="833"/>
    <x v="686"/>
    <x v="761"/>
    <x v="761"/>
    <x v="761"/>
    <x v="761"/>
    <x v="761"/>
    <x v="761"/>
    <x v="761"/>
    <x v="527"/>
    <x v="837"/>
    <x v="837"/>
    <x v="0"/>
    <x v="79"/>
    <x v="0"/>
    <x v="527"/>
    <x v="527"/>
    <x v="527"/>
    <x v="527"/>
    <x v="527"/>
    <x v="1"/>
  </r>
  <r>
    <x v="70"/>
    <x v="68"/>
    <x v="0"/>
    <x v="0"/>
    <x v="0"/>
    <x v="0"/>
    <x v="0"/>
    <x v="0"/>
    <x v="0"/>
    <x v="0"/>
    <x v="1"/>
    <x v="0"/>
    <x v="904"/>
    <x v="1"/>
    <x v="0"/>
    <x v="0"/>
    <x v="0"/>
    <x v="70"/>
    <x v="2"/>
    <x v="1"/>
    <x v="1"/>
    <x v="0"/>
    <x v="0"/>
    <x v="3"/>
    <x v="128"/>
    <x v="0"/>
    <x v="14"/>
    <x v="133"/>
    <x v="9"/>
    <x v="48"/>
    <x v="1"/>
    <x v="1"/>
    <x v="1"/>
    <x v="1"/>
    <x v="649"/>
    <x v="1"/>
    <x v="14"/>
    <x v="904"/>
    <x v="904"/>
    <x v="1"/>
    <x v="904"/>
    <x v="913"/>
    <x v="908"/>
    <x v="899"/>
    <x v="908"/>
    <x v="913"/>
    <x v="913"/>
    <x v="913"/>
    <x v="913"/>
    <x v="913"/>
    <x v="913"/>
    <x v="913"/>
    <x v="904"/>
    <x v="896"/>
    <x v="896"/>
    <x v="838"/>
    <x v="0"/>
    <x v="0"/>
    <x v="742"/>
    <x v="904"/>
    <x v="904"/>
    <x v="904"/>
    <x v="904"/>
    <x v="1"/>
  </r>
  <r>
    <x v="71"/>
    <x v="66"/>
    <x v="0"/>
    <x v="0"/>
    <x v="0"/>
    <x v="0"/>
    <x v="0"/>
    <x v="0"/>
    <x v="0"/>
    <x v="0"/>
    <x v="1"/>
    <x v="0"/>
    <x v="337"/>
    <x v="1"/>
    <x v="0"/>
    <x v="0"/>
    <x v="0"/>
    <x v="71"/>
    <x v="2"/>
    <x v="1"/>
    <x v="1"/>
    <x v="0"/>
    <x v="0"/>
    <x v="3"/>
    <x v="128"/>
    <x v="0"/>
    <x v="13"/>
    <x v="137"/>
    <x v="9"/>
    <x v="48"/>
    <x v="1"/>
    <x v="1"/>
    <x v="1"/>
    <x v="1"/>
    <x v="225"/>
    <x v="1"/>
    <x v="13"/>
    <x v="337"/>
    <x v="337"/>
    <x v="0"/>
    <x v="337"/>
    <x v="329"/>
    <x v="333"/>
    <x v="319"/>
    <x v="333"/>
    <x v="329"/>
    <x v="329"/>
    <x v="329"/>
    <x v="329"/>
    <x v="329"/>
    <x v="329"/>
    <x v="329"/>
    <x v="337"/>
    <x v="319"/>
    <x v="319"/>
    <x v="299"/>
    <x v="0"/>
    <x v="0"/>
    <x v="273"/>
    <x v="337"/>
    <x v="337"/>
    <x v="337"/>
    <x v="337"/>
    <x v="1"/>
  </r>
  <r>
    <x v="72"/>
    <x v="52"/>
    <x v="0"/>
    <x v="0"/>
    <x v="0"/>
    <x v="0"/>
    <x v="0"/>
    <x v="0"/>
    <x v="0"/>
    <x v="0"/>
    <x v="1"/>
    <x v="0"/>
    <x v="1296"/>
    <x v="1"/>
    <x v="0"/>
    <x v="0"/>
    <x v="0"/>
    <x v="72"/>
    <x v="2"/>
    <x v="1"/>
    <x v="1"/>
    <x v="0"/>
    <x v="0"/>
    <x v="2"/>
    <x v="108"/>
    <x v="0"/>
    <x v="11"/>
    <x v="141"/>
    <x v="9"/>
    <x v="48"/>
    <x v="1"/>
    <x v="1"/>
    <x v="1"/>
    <x v="1"/>
    <x v="1096"/>
    <x v="1"/>
    <x v="11"/>
    <x v="1294"/>
    <x v="1294"/>
    <x v="2"/>
    <x v="1294"/>
    <x v="1314"/>
    <x v="1307"/>
    <x v="1309"/>
    <x v="1307"/>
    <x v="1314"/>
    <x v="1314"/>
    <x v="1314"/>
    <x v="1314"/>
    <x v="1314"/>
    <x v="1314"/>
    <x v="1314"/>
    <x v="1294"/>
    <x v="1308"/>
    <x v="1308"/>
    <x v="1214"/>
    <x v="0"/>
    <x v="0"/>
    <x v="1191"/>
    <x v="1294"/>
    <x v="1294"/>
    <x v="1294"/>
    <x v="1294"/>
    <x v="1"/>
  </r>
  <r>
    <x v="73"/>
    <x v="70"/>
    <x v="0"/>
    <x v="0"/>
    <x v="0"/>
    <x v="0"/>
    <x v="1"/>
    <x v="5"/>
    <x v="0"/>
    <x v="0"/>
    <x v="1"/>
    <x v="0"/>
    <x v="469"/>
    <x v="1"/>
    <x v="0"/>
    <x v="0"/>
    <x v="0"/>
    <x v="73"/>
    <x v="1"/>
    <x v="1"/>
    <x v="1"/>
    <x v="0"/>
    <x v="0"/>
    <x v="2"/>
    <x v="128"/>
    <x v="0"/>
    <x v="12"/>
    <x v="161"/>
    <x v="3"/>
    <x v="25"/>
    <x v="1"/>
    <x v="6"/>
    <x v="3"/>
    <x v="1"/>
    <x v="1283"/>
    <x v="6"/>
    <x v="12"/>
    <x v="469"/>
    <x v="469"/>
    <x v="0"/>
    <x v="469"/>
    <x v="693"/>
    <x v="615"/>
    <x v="781"/>
    <x v="615"/>
    <x v="693"/>
    <x v="693"/>
    <x v="693"/>
    <x v="693"/>
    <x v="693"/>
    <x v="693"/>
    <x v="693"/>
    <x v="469"/>
    <x v="792"/>
    <x v="792"/>
    <x v="0"/>
    <x v="73"/>
    <x v="0"/>
    <x v="585"/>
    <x v="469"/>
    <x v="469"/>
    <x v="469"/>
    <x v="469"/>
    <x v="1"/>
  </r>
  <r>
    <x v="74"/>
    <x v="72"/>
    <x v="0"/>
    <x v="0"/>
    <x v="0"/>
    <x v="0"/>
    <x v="0"/>
    <x v="0"/>
    <x v="0"/>
    <x v="0"/>
    <x v="1"/>
    <x v="0"/>
    <x v="608"/>
    <x v="1"/>
    <x v="0"/>
    <x v="0"/>
    <x v="0"/>
    <x v="74"/>
    <x v="2"/>
    <x v="1"/>
    <x v="1"/>
    <x v="0"/>
    <x v="0"/>
    <x v="3"/>
    <x v="128"/>
    <x v="0"/>
    <x v="13"/>
    <x v="135"/>
    <x v="9"/>
    <x v="48"/>
    <x v="1"/>
    <x v="1"/>
    <x v="1"/>
    <x v="1"/>
    <x v="397"/>
    <x v="1"/>
    <x v="13"/>
    <x v="608"/>
    <x v="608"/>
    <x v="0"/>
    <x v="608"/>
    <x v="553"/>
    <x v="560"/>
    <x v="533"/>
    <x v="560"/>
    <x v="553"/>
    <x v="553"/>
    <x v="553"/>
    <x v="553"/>
    <x v="553"/>
    <x v="553"/>
    <x v="553"/>
    <x v="608"/>
    <x v="532"/>
    <x v="532"/>
    <x v="540"/>
    <x v="0"/>
    <x v="0"/>
    <x v="427"/>
    <x v="608"/>
    <x v="608"/>
    <x v="608"/>
    <x v="608"/>
    <x v="1"/>
  </r>
  <r>
    <x v="75"/>
    <x v="72"/>
    <x v="0"/>
    <x v="0"/>
    <x v="0"/>
    <x v="0"/>
    <x v="0"/>
    <x v="0"/>
    <x v="0"/>
    <x v="0"/>
    <x v="1"/>
    <x v="0"/>
    <x v="578"/>
    <x v="1"/>
    <x v="0"/>
    <x v="0"/>
    <x v="0"/>
    <x v="75"/>
    <x v="2"/>
    <x v="1"/>
    <x v="1"/>
    <x v="0"/>
    <x v="0"/>
    <x v="3"/>
    <x v="128"/>
    <x v="0"/>
    <x v="13"/>
    <x v="134"/>
    <x v="9"/>
    <x v="48"/>
    <x v="1"/>
    <x v="1"/>
    <x v="1"/>
    <x v="1"/>
    <x v="378"/>
    <x v="1"/>
    <x v="13"/>
    <x v="578"/>
    <x v="578"/>
    <x v="0"/>
    <x v="578"/>
    <x v="526"/>
    <x v="536"/>
    <x v="509"/>
    <x v="536"/>
    <x v="526"/>
    <x v="526"/>
    <x v="526"/>
    <x v="526"/>
    <x v="526"/>
    <x v="526"/>
    <x v="526"/>
    <x v="578"/>
    <x v="511"/>
    <x v="511"/>
    <x v="513"/>
    <x v="0"/>
    <x v="0"/>
    <x v="417"/>
    <x v="578"/>
    <x v="578"/>
    <x v="578"/>
    <x v="578"/>
    <x v="1"/>
  </r>
  <r>
    <x v="76"/>
    <x v="73"/>
    <x v="0"/>
    <x v="0"/>
    <x v="0"/>
    <x v="0"/>
    <x v="0"/>
    <x v="0"/>
    <x v="0"/>
    <x v="0"/>
    <x v="1"/>
    <x v="0"/>
    <x v="446"/>
    <x v="1"/>
    <x v="0"/>
    <x v="0"/>
    <x v="0"/>
    <x v="76"/>
    <x v="2"/>
    <x v="1"/>
    <x v="1"/>
    <x v="0"/>
    <x v="0"/>
    <x v="3"/>
    <x v="76"/>
    <x v="0"/>
    <x v="14"/>
    <x v="132"/>
    <x v="9"/>
    <x v="48"/>
    <x v="1"/>
    <x v="1"/>
    <x v="1"/>
    <x v="1"/>
    <x v="306"/>
    <x v="1"/>
    <x v="14"/>
    <x v="446"/>
    <x v="446"/>
    <x v="0"/>
    <x v="446"/>
    <x v="429"/>
    <x v="433"/>
    <x v="415"/>
    <x v="433"/>
    <x v="429"/>
    <x v="429"/>
    <x v="429"/>
    <x v="429"/>
    <x v="429"/>
    <x v="429"/>
    <x v="429"/>
    <x v="446"/>
    <x v="416"/>
    <x v="416"/>
    <x v="394"/>
    <x v="0"/>
    <x v="0"/>
    <x v="380"/>
    <x v="446"/>
    <x v="446"/>
    <x v="446"/>
    <x v="446"/>
    <x v="1"/>
  </r>
  <r>
    <x v="77"/>
    <x v="77"/>
    <x v="0"/>
    <x v="0"/>
    <x v="0"/>
    <x v="0"/>
    <x v="0"/>
    <x v="0"/>
    <x v="0"/>
    <x v="0"/>
    <x v="1"/>
    <x v="0"/>
    <x v="1299"/>
    <x v="1"/>
    <x v="0"/>
    <x v="0"/>
    <x v="0"/>
    <x v="77"/>
    <x v="2"/>
    <x v="1"/>
    <x v="1"/>
    <x v="0"/>
    <x v="0"/>
    <x v="2"/>
    <x v="108"/>
    <x v="0"/>
    <x v="9"/>
    <x v="158"/>
    <x v="9"/>
    <x v="48"/>
    <x v="1"/>
    <x v="1"/>
    <x v="1"/>
    <x v="1"/>
    <x v="1105"/>
    <x v="1"/>
    <x v="9"/>
    <x v="1297"/>
    <x v="1297"/>
    <x v="2"/>
    <x v="1297"/>
    <x v="1319"/>
    <x v="1310"/>
    <x v="1313"/>
    <x v="1310"/>
    <x v="1319"/>
    <x v="1319"/>
    <x v="1319"/>
    <x v="1319"/>
    <x v="1319"/>
    <x v="1319"/>
    <x v="1319"/>
    <x v="1297"/>
    <x v="1312"/>
    <x v="1312"/>
    <x v="1218"/>
    <x v="0"/>
    <x v="0"/>
    <x v="1173"/>
    <x v="1297"/>
    <x v="1297"/>
    <x v="1297"/>
    <x v="1297"/>
    <x v="1"/>
  </r>
  <r>
    <x v="78"/>
    <x v="69"/>
    <x v="0"/>
    <x v="0"/>
    <x v="0"/>
    <x v="0"/>
    <x v="0"/>
    <x v="0"/>
    <x v="0"/>
    <x v="0"/>
    <x v="1"/>
    <x v="0"/>
    <x v="528"/>
    <x v="1"/>
    <x v="0"/>
    <x v="0"/>
    <x v="0"/>
    <x v="78"/>
    <x v="2"/>
    <x v="1"/>
    <x v="1"/>
    <x v="0"/>
    <x v="0"/>
    <x v="3"/>
    <x v="76"/>
    <x v="0"/>
    <x v="14"/>
    <x v="154"/>
    <x v="9"/>
    <x v="48"/>
    <x v="1"/>
    <x v="1"/>
    <x v="1"/>
    <x v="1"/>
    <x v="350"/>
    <x v="1"/>
    <x v="14"/>
    <x v="528"/>
    <x v="528"/>
    <x v="0"/>
    <x v="528"/>
    <x v="488"/>
    <x v="498"/>
    <x v="477"/>
    <x v="498"/>
    <x v="488"/>
    <x v="488"/>
    <x v="488"/>
    <x v="488"/>
    <x v="488"/>
    <x v="488"/>
    <x v="488"/>
    <x v="528"/>
    <x v="476"/>
    <x v="476"/>
    <x v="467"/>
    <x v="0"/>
    <x v="0"/>
    <x v="415"/>
    <x v="528"/>
    <x v="528"/>
    <x v="528"/>
    <x v="528"/>
    <x v="1"/>
  </r>
  <r>
    <x v="79"/>
    <x v="75"/>
    <x v="0"/>
    <x v="0"/>
    <x v="0"/>
    <x v="0"/>
    <x v="1"/>
    <x v="5"/>
    <x v="0"/>
    <x v="0"/>
    <x v="1"/>
    <x v="0"/>
    <x v="455"/>
    <x v="1"/>
    <x v="0"/>
    <x v="0"/>
    <x v="0"/>
    <x v="79"/>
    <x v="1"/>
    <x v="1"/>
    <x v="1"/>
    <x v="0"/>
    <x v="0"/>
    <x v="2"/>
    <x v="108"/>
    <x v="0"/>
    <x v="8"/>
    <x v="160"/>
    <x v="3"/>
    <x v="25"/>
    <x v="1"/>
    <x v="6"/>
    <x v="3"/>
    <x v="1"/>
    <x v="1278"/>
    <x v="6"/>
    <x v="8"/>
    <x v="455"/>
    <x v="455"/>
    <x v="0"/>
    <x v="455"/>
    <x v="678"/>
    <x v="594"/>
    <x v="770"/>
    <x v="594"/>
    <x v="678"/>
    <x v="678"/>
    <x v="678"/>
    <x v="678"/>
    <x v="678"/>
    <x v="678"/>
    <x v="678"/>
    <x v="455"/>
    <x v="777"/>
    <x v="777"/>
    <x v="0"/>
    <x v="71"/>
    <x v="0"/>
    <x v="467"/>
    <x v="455"/>
    <x v="455"/>
    <x v="455"/>
    <x v="455"/>
    <x v="1"/>
  </r>
  <r>
    <x v="80"/>
    <x v="84"/>
    <x v="0"/>
    <x v="0"/>
    <x v="0"/>
    <x v="0"/>
    <x v="0"/>
    <x v="0"/>
    <x v="0"/>
    <x v="0"/>
    <x v="1"/>
    <x v="0"/>
    <x v="1308"/>
    <x v="1"/>
    <x v="0"/>
    <x v="0"/>
    <x v="0"/>
    <x v="80"/>
    <x v="2"/>
    <x v="1"/>
    <x v="1"/>
    <x v="0"/>
    <x v="0"/>
    <x v="3"/>
    <x v="118"/>
    <x v="0"/>
    <x v="10"/>
    <x v="144"/>
    <x v="9"/>
    <x v="48"/>
    <x v="1"/>
    <x v="1"/>
    <x v="1"/>
    <x v="1"/>
    <x v="1116"/>
    <x v="1"/>
    <x v="10"/>
    <x v="1306"/>
    <x v="1306"/>
    <x v="2"/>
    <x v="1306"/>
    <x v="1328"/>
    <x v="1319"/>
    <x v="1321"/>
    <x v="1319"/>
    <x v="1328"/>
    <x v="1328"/>
    <x v="1328"/>
    <x v="1328"/>
    <x v="1328"/>
    <x v="1328"/>
    <x v="1328"/>
    <x v="1306"/>
    <x v="1320"/>
    <x v="1320"/>
    <x v="1227"/>
    <x v="0"/>
    <x v="0"/>
    <x v="1194"/>
    <x v="1306"/>
    <x v="1306"/>
    <x v="1306"/>
    <x v="1306"/>
    <x v="1"/>
  </r>
  <r>
    <x v="81"/>
    <x v="78"/>
    <x v="0"/>
    <x v="0"/>
    <x v="0"/>
    <x v="0"/>
    <x v="0"/>
    <x v="0"/>
    <x v="0"/>
    <x v="0"/>
    <x v="1"/>
    <x v="0"/>
    <x v="1055"/>
    <x v="1"/>
    <x v="0"/>
    <x v="0"/>
    <x v="0"/>
    <x v="81"/>
    <x v="2"/>
    <x v="1"/>
    <x v="1"/>
    <x v="0"/>
    <x v="0"/>
    <x v="3"/>
    <x v="85"/>
    <x v="0"/>
    <x v="21"/>
    <x v="117"/>
    <x v="9"/>
    <x v="48"/>
    <x v="1"/>
    <x v="1"/>
    <x v="1"/>
    <x v="1"/>
    <x v="821"/>
    <x v="1"/>
    <x v="21"/>
    <x v="1053"/>
    <x v="1053"/>
    <x v="1"/>
    <x v="1053"/>
    <x v="1061"/>
    <x v="1055"/>
    <x v="1052"/>
    <x v="1055"/>
    <x v="1061"/>
    <x v="1061"/>
    <x v="1061"/>
    <x v="1061"/>
    <x v="1061"/>
    <x v="1061"/>
    <x v="1061"/>
    <x v="1053"/>
    <x v="1048"/>
    <x v="1048"/>
    <x v="980"/>
    <x v="0"/>
    <x v="0"/>
    <x v="1035"/>
    <x v="1053"/>
    <x v="1053"/>
    <x v="1053"/>
    <x v="1053"/>
    <x v="1"/>
  </r>
  <r>
    <x v="82"/>
    <x v="66"/>
    <x v="0"/>
    <x v="0"/>
    <x v="0"/>
    <x v="0"/>
    <x v="0"/>
    <x v="0"/>
    <x v="0"/>
    <x v="0"/>
    <x v="1"/>
    <x v="0"/>
    <x v="1305"/>
    <x v="1"/>
    <x v="0"/>
    <x v="0"/>
    <x v="0"/>
    <x v="82"/>
    <x v="2"/>
    <x v="1"/>
    <x v="1"/>
    <x v="0"/>
    <x v="0"/>
    <x v="3"/>
    <x v="128"/>
    <x v="0"/>
    <x v="13"/>
    <x v="136"/>
    <x v="9"/>
    <x v="48"/>
    <x v="1"/>
    <x v="1"/>
    <x v="1"/>
    <x v="1"/>
    <x v="1112"/>
    <x v="1"/>
    <x v="13"/>
    <x v="1303"/>
    <x v="1303"/>
    <x v="2"/>
    <x v="1303"/>
    <x v="1326"/>
    <x v="1317"/>
    <x v="1319"/>
    <x v="1317"/>
    <x v="1326"/>
    <x v="1326"/>
    <x v="1326"/>
    <x v="1326"/>
    <x v="1326"/>
    <x v="1326"/>
    <x v="1326"/>
    <x v="1303"/>
    <x v="1318"/>
    <x v="1318"/>
    <x v="1225"/>
    <x v="0"/>
    <x v="0"/>
    <x v="1237"/>
    <x v="1303"/>
    <x v="1303"/>
    <x v="1303"/>
    <x v="1303"/>
    <x v="1"/>
  </r>
  <r>
    <x v="83"/>
    <x v="77"/>
    <x v="0"/>
    <x v="0"/>
    <x v="0"/>
    <x v="0"/>
    <x v="1"/>
    <x v="5"/>
    <x v="0"/>
    <x v="0"/>
    <x v="1"/>
    <x v="0"/>
    <x v="548"/>
    <x v="1"/>
    <x v="0"/>
    <x v="0"/>
    <x v="0"/>
    <x v="83"/>
    <x v="1"/>
    <x v="1"/>
    <x v="1"/>
    <x v="0"/>
    <x v="0"/>
    <x v="2"/>
    <x v="108"/>
    <x v="0"/>
    <x v="9"/>
    <x v="159"/>
    <x v="3"/>
    <x v="25"/>
    <x v="1"/>
    <x v="6"/>
    <x v="3"/>
    <x v="1"/>
    <x v="1296"/>
    <x v="6"/>
    <x v="9"/>
    <x v="548"/>
    <x v="548"/>
    <x v="0"/>
    <x v="548"/>
    <x v="778"/>
    <x v="702"/>
    <x v="845"/>
    <x v="702"/>
    <x v="778"/>
    <x v="778"/>
    <x v="778"/>
    <x v="778"/>
    <x v="778"/>
    <x v="778"/>
    <x v="778"/>
    <x v="548"/>
    <x v="852"/>
    <x v="852"/>
    <x v="0"/>
    <x v="81"/>
    <x v="0"/>
    <x v="562"/>
    <x v="548"/>
    <x v="548"/>
    <x v="548"/>
    <x v="548"/>
    <x v="1"/>
  </r>
  <r>
    <x v="84"/>
    <x v="80"/>
    <x v="0"/>
    <x v="0"/>
    <x v="0"/>
    <x v="0"/>
    <x v="0"/>
    <x v="0"/>
    <x v="0"/>
    <x v="0"/>
    <x v="1"/>
    <x v="0"/>
    <x v="1093"/>
    <x v="1"/>
    <x v="0"/>
    <x v="0"/>
    <x v="0"/>
    <x v="84"/>
    <x v="2"/>
    <x v="1"/>
    <x v="1"/>
    <x v="0"/>
    <x v="0"/>
    <x v="3"/>
    <x v="118"/>
    <x v="0"/>
    <x v="13"/>
    <x v="148"/>
    <x v="9"/>
    <x v="48"/>
    <x v="1"/>
    <x v="1"/>
    <x v="1"/>
    <x v="1"/>
    <x v="858"/>
    <x v="1"/>
    <x v="13"/>
    <x v="1091"/>
    <x v="1091"/>
    <x v="1"/>
    <x v="1091"/>
    <x v="1101"/>
    <x v="1096"/>
    <x v="1086"/>
    <x v="1096"/>
    <x v="1101"/>
    <x v="1101"/>
    <x v="1101"/>
    <x v="1101"/>
    <x v="1101"/>
    <x v="1101"/>
    <x v="1101"/>
    <x v="1091"/>
    <x v="1084"/>
    <x v="1084"/>
    <x v="1019"/>
    <x v="0"/>
    <x v="0"/>
    <x v="961"/>
    <x v="1091"/>
    <x v="1091"/>
    <x v="1091"/>
    <x v="1091"/>
    <x v="1"/>
  </r>
  <r>
    <x v="85"/>
    <x v="79"/>
    <x v="0"/>
    <x v="0"/>
    <x v="0"/>
    <x v="0"/>
    <x v="0"/>
    <x v="0"/>
    <x v="0"/>
    <x v="0"/>
    <x v="1"/>
    <x v="0"/>
    <x v="3"/>
    <x v="1"/>
    <x v="0"/>
    <x v="0"/>
    <x v="0"/>
    <x v="85"/>
    <x v="2"/>
    <x v="1"/>
    <x v="1"/>
    <x v="0"/>
    <x v="0"/>
    <x v="3"/>
    <x v="85"/>
    <x v="0"/>
    <x v="16"/>
    <x v="120"/>
    <x v="9"/>
    <x v="48"/>
    <x v="1"/>
    <x v="1"/>
    <x v="1"/>
    <x v="1"/>
    <x v="3"/>
    <x v="1"/>
    <x v="16"/>
    <x v="4"/>
    <x v="4"/>
    <x v="0"/>
    <x v="4"/>
    <x v="4"/>
    <x v="4"/>
    <x v="4"/>
    <x v="4"/>
    <x v="4"/>
    <x v="4"/>
    <x v="4"/>
    <x v="4"/>
    <x v="4"/>
    <x v="4"/>
    <x v="4"/>
    <x v="4"/>
    <x v="4"/>
    <x v="4"/>
    <x v="4"/>
    <x v="0"/>
    <x v="0"/>
    <x v="3"/>
    <x v="4"/>
    <x v="4"/>
    <x v="4"/>
    <x v="4"/>
    <x v="1"/>
  </r>
  <r>
    <x v="86"/>
    <x v="77"/>
    <x v="0"/>
    <x v="0"/>
    <x v="0"/>
    <x v="0"/>
    <x v="1"/>
    <x v="5"/>
    <x v="0"/>
    <x v="0"/>
    <x v="1"/>
    <x v="0"/>
    <x v="301"/>
    <x v="1"/>
    <x v="0"/>
    <x v="0"/>
    <x v="0"/>
    <x v="86"/>
    <x v="1"/>
    <x v="1"/>
    <x v="1"/>
    <x v="0"/>
    <x v="0"/>
    <x v="2"/>
    <x v="108"/>
    <x v="0"/>
    <x v="9"/>
    <x v="157"/>
    <x v="3"/>
    <x v="25"/>
    <x v="1"/>
    <x v="6"/>
    <x v="3"/>
    <x v="1"/>
    <x v="1202"/>
    <x v="6"/>
    <x v="9"/>
    <x v="301"/>
    <x v="301"/>
    <x v="0"/>
    <x v="301"/>
    <x v="391"/>
    <x v="358"/>
    <x v="443"/>
    <x v="358"/>
    <x v="391"/>
    <x v="391"/>
    <x v="391"/>
    <x v="391"/>
    <x v="391"/>
    <x v="391"/>
    <x v="391"/>
    <x v="301"/>
    <x v="455"/>
    <x v="455"/>
    <x v="0"/>
    <x v="59"/>
    <x v="0"/>
    <x v="334"/>
    <x v="301"/>
    <x v="301"/>
    <x v="301"/>
    <x v="301"/>
    <x v="1"/>
  </r>
  <r>
    <x v="87"/>
    <x v="98"/>
    <x v="0"/>
    <x v="0"/>
    <x v="0"/>
    <x v="0"/>
    <x v="0"/>
    <x v="0"/>
    <x v="0"/>
    <x v="0"/>
    <x v="1"/>
    <x v="0"/>
    <x v="1303"/>
    <x v="1"/>
    <x v="0"/>
    <x v="0"/>
    <x v="0"/>
    <x v="87"/>
    <x v="2"/>
    <x v="1"/>
    <x v="1"/>
    <x v="0"/>
    <x v="0"/>
    <x v="3"/>
    <x v="118"/>
    <x v="0"/>
    <x v="11"/>
    <x v="143"/>
    <x v="9"/>
    <x v="48"/>
    <x v="1"/>
    <x v="1"/>
    <x v="1"/>
    <x v="1"/>
    <x v="1110"/>
    <x v="1"/>
    <x v="11"/>
    <x v="1301"/>
    <x v="1301"/>
    <x v="2"/>
    <x v="1301"/>
    <x v="1324"/>
    <x v="1314"/>
    <x v="1317"/>
    <x v="1314"/>
    <x v="1324"/>
    <x v="1324"/>
    <x v="1324"/>
    <x v="1324"/>
    <x v="1324"/>
    <x v="1324"/>
    <x v="1324"/>
    <x v="1301"/>
    <x v="1316"/>
    <x v="1316"/>
    <x v="1223"/>
    <x v="0"/>
    <x v="0"/>
    <x v="1206"/>
    <x v="1301"/>
    <x v="1301"/>
    <x v="1301"/>
    <x v="1301"/>
    <x v="1"/>
  </r>
  <r>
    <x v="88"/>
    <x v="81"/>
    <x v="0"/>
    <x v="0"/>
    <x v="0"/>
    <x v="0"/>
    <x v="0"/>
    <x v="0"/>
    <x v="0"/>
    <x v="0"/>
    <x v="1"/>
    <x v="0"/>
    <x v="277"/>
    <x v="1"/>
    <x v="0"/>
    <x v="0"/>
    <x v="0"/>
    <x v="88"/>
    <x v="2"/>
    <x v="1"/>
    <x v="1"/>
    <x v="0"/>
    <x v="0"/>
    <x v="3"/>
    <x v="7"/>
    <x v="0"/>
    <x v="16"/>
    <x v="150"/>
    <x v="9"/>
    <x v="48"/>
    <x v="1"/>
    <x v="1"/>
    <x v="1"/>
    <x v="1"/>
    <x v="183"/>
    <x v="1"/>
    <x v="16"/>
    <x v="277"/>
    <x v="277"/>
    <x v="0"/>
    <x v="277"/>
    <x v="283"/>
    <x v="282"/>
    <x v="273"/>
    <x v="282"/>
    <x v="283"/>
    <x v="283"/>
    <x v="283"/>
    <x v="283"/>
    <x v="283"/>
    <x v="283"/>
    <x v="283"/>
    <x v="277"/>
    <x v="273"/>
    <x v="273"/>
    <x v="243"/>
    <x v="0"/>
    <x v="0"/>
    <x v="248"/>
    <x v="277"/>
    <x v="277"/>
    <x v="277"/>
    <x v="277"/>
    <x v="1"/>
  </r>
  <r>
    <x v="89"/>
    <x v="82"/>
    <x v="0"/>
    <x v="0"/>
    <x v="0"/>
    <x v="0"/>
    <x v="0"/>
    <x v="0"/>
    <x v="0"/>
    <x v="0"/>
    <x v="1"/>
    <x v="0"/>
    <x v="165"/>
    <x v="1"/>
    <x v="0"/>
    <x v="0"/>
    <x v="0"/>
    <x v="89"/>
    <x v="2"/>
    <x v="1"/>
    <x v="1"/>
    <x v="0"/>
    <x v="0"/>
    <x v="3"/>
    <x v="76"/>
    <x v="0"/>
    <x v="13"/>
    <x v="146"/>
    <x v="9"/>
    <x v="48"/>
    <x v="1"/>
    <x v="1"/>
    <x v="1"/>
    <x v="1"/>
    <x v="84"/>
    <x v="1"/>
    <x v="13"/>
    <x v="166"/>
    <x v="166"/>
    <x v="0"/>
    <x v="166"/>
    <x v="174"/>
    <x v="172"/>
    <x v="166"/>
    <x v="172"/>
    <x v="174"/>
    <x v="174"/>
    <x v="174"/>
    <x v="174"/>
    <x v="174"/>
    <x v="174"/>
    <x v="174"/>
    <x v="166"/>
    <x v="166"/>
    <x v="166"/>
    <x v="141"/>
    <x v="0"/>
    <x v="0"/>
    <x v="137"/>
    <x v="166"/>
    <x v="166"/>
    <x v="166"/>
    <x v="166"/>
    <x v="1"/>
  </r>
  <r>
    <x v="90"/>
    <x v="83"/>
    <x v="0"/>
    <x v="0"/>
    <x v="0"/>
    <x v="0"/>
    <x v="1"/>
    <x v="5"/>
    <x v="0"/>
    <x v="0"/>
    <x v="1"/>
    <x v="0"/>
    <x v="98"/>
    <x v="1"/>
    <x v="0"/>
    <x v="0"/>
    <x v="0"/>
    <x v="90"/>
    <x v="1"/>
    <x v="1"/>
    <x v="1"/>
    <x v="0"/>
    <x v="0"/>
    <x v="2"/>
    <x v="108"/>
    <x v="0"/>
    <x v="14"/>
    <x v="115"/>
    <x v="3"/>
    <x v="25"/>
    <x v="1"/>
    <x v="6"/>
    <x v="3"/>
    <x v="1"/>
    <x v="553"/>
    <x v="6"/>
    <x v="14"/>
    <x v="99"/>
    <x v="99"/>
    <x v="0"/>
    <x v="99"/>
    <x v="130"/>
    <x v="123"/>
    <x v="143"/>
    <x v="123"/>
    <x v="130"/>
    <x v="130"/>
    <x v="130"/>
    <x v="130"/>
    <x v="130"/>
    <x v="130"/>
    <x v="130"/>
    <x v="99"/>
    <x v="145"/>
    <x v="145"/>
    <x v="0"/>
    <x v="29"/>
    <x v="0"/>
    <x v="119"/>
    <x v="99"/>
    <x v="99"/>
    <x v="99"/>
    <x v="99"/>
    <x v="1"/>
  </r>
  <r>
    <x v="91"/>
    <x v="85"/>
    <x v="0"/>
    <x v="0"/>
    <x v="0"/>
    <x v="0"/>
    <x v="1"/>
    <x v="5"/>
    <x v="0"/>
    <x v="0"/>
    <x v="1"/>
    <x v="0"/>
    <x v="77"/>
    <x v="1"/>
    <x v="0"/>
    <x v="0"/>
    <x v="0"/>
    <x v="91"/>
    <x v="1"/>
    <x v="1"/>
    <x v="1"/>
    <x v="0"/>
    <x v="0"/>
    <x v="2"/>
    <x v="108"/>
    <x v="0"/>
    <x v="9"/>
    <x v="145"/>
    <x v="3"/>
    <x v="25"/>
    <x v="1"/>
    <x v="6"/>
    <x v="3"/>
    <x v="1"/>
    <x v="455"/>
    <x v="6"/>
    <x v="9"/>
    <x v="78"/>
    <x v="78"/>
    <x v="0"/>
    <x v="78"/>
    <x v="104"/>
    <x v="92"/>
    <x v="114"/>
    <x v="92"/>
    <x v="104"/>
    <x v="104"/>
    <x v="104"/>
    <x v="104"/>
    <x v="104"/>
    <x v="104"/>
    <x v="104"/>
    <x v="78"/>
    <x v="115"/>
    <x v="115"/>
    <x v="0"/>
    <x v="21"/>
    <x v="0"/>
    <x v="70"/>
    <x v="78"/>
    <x v="78"/>
    <x v="78"/>
    <x v="78"/>
    <x v="1"/>
  </r>
  <r>
    <x v="92"/>
    <x v="87"/>
    <x v="0"/>
    <x v="0"/>
    <x v="0"/>
    <x v="0"/>
    <x v="0"/>
    <x v="1"/>
    <x v="0"/>
    <x v="0"/>
    <x v="1"/>
    <x v="0"/>
    <x v="177"/>
    <x v="1"/>
    <x v="0"/>
    <x v="0"/>
    <x v="0"/>
    <x v="92"/>
    <x v="1"/>
    <x v="1"/>
    <x v="1"/>
    <x v="0"/>
    <x v="0"/>
    <x v="3"/>
    <x v="76"/>
    <x v="0"/>
    <x v="13"/>
    <x v="156"/>
    <x v="10"/>
    <x v="59"/>
    <x v="1"/>
    <x v="2"/>
    <x v="2"/>
    <x v="1"/>
    <x v="194"/>
    <x v="2"/>
    <x v="13"/>
    <x v="178"/>
    <x v="178"/>
    <x v="0"/>
    <x v="178"/>
    <x v="202"/>
    <x v="201"/>
    <x v="205"/>
    <x v="201"/>
    <x v="202"/>
    <x v="202"/>
    <x v="202"/>
    <x v="202"/>
    <x v="202"/>
    <x v="202"/>
    <x v="202"/>
    <x v="178"/>
    <x v="203"/>
    <x v="203"/>
    <x v="154"/>
    <x v="0"/>
    <x v="0"/>
    <x v="177"/>
    <x v="178"/>
    <x v="178"/>
    <x v="178"/>
    <x v="178"/>
    <x v="1"/>
  </r>
  <r>
    <x v="93"/>
    <x v="88"/>
    <x v="0"/>
    <x v="0"/>
    <x v="0"/>
    <x v="0"/>
    <x v="0"/>
    <x v="0"/>
    <x v="0"/>
    <x v="0"/>
    <x v="1"/>
    <x v="0"/>
    <x v="312"/>
    <x v="1"/>
    <x v="0"/>
    <x v="0"/>
    <x v="0"/>
    <x v="93"/>
    <x v="2"/>
    <x v="1"/>
    <x v="1"/>
    <x v="0"/>
    <x v="0"/>
    <x v="3"/>
    <x v="128"/>
    <x v="0"/>
    <x v="13"/>
    <x v="130"/>
    <x v="9"/>
    <x v="48"/>
    <x v="1"/>
    <x v="1"/>
    <x v="1"/>
    <x v="1"/>
    <x v="206"/>
    <x v="1"/>
    <x v="13"/>
    <x v="312"/>
    <x v="312"/>
    <x v="0"/>
    <x v="312"/>
    <x v="307"/>
    <x v="308"/>
    <x v="300"/>
    <x v="308"/>
    <x v="307"/>
    <x v="307"/>
    <x v="307"/>
    <x v="307"/>
    <x v="307"/>
    <x v="307"/>
    <x v="307"/>
    <x v="312"/>
    <x v="301"/>
    <x v="301"/>
    <x v="268"/>
    <x v="0"/>
    <x v="0"/>
    <x v="254"/>
    <x v="312"/>
    <x v="312"/>
    <x v="312"/>
    <x v="312"/>
    <x v="1"/>
  </r>
  <r>
    <x v="94"/>
    <x v="90"/>
    <x v="0"/>
    <x v="0"/>
    <x v="0"/>
    <x v="0"/>
    <x v="0"/>
    <x v="1"/>
    <x v="0"/>
    <x v="0"/>
    <x v="1"/>
    <x v="0"/>
    <x v="556"/>
    <x v="1"/>
    <x v="0"/>
    <x v="0"/>
    <x v="0"/>
    <x v="94"/>
    <x v="1"/>
    <x v="1"/>
    <x v="1"/>
    <x v="0"/>
    <x v="0"/>
    <x v="3"/>
    <x v="118"/>
    <x v="0"/>
    <x v="10"/>
    <x v="169"/>
    <x v="10"/>
    <x v="59"/>
    <x v="1"/>
    <x v="2"/>
    <x v="2"/>
    <x v="1"/>
    <x v="710"/>
    <x v="2"/>
    <x v="10"/>
    <x v="556"/>
    <x v="556"/>
    <x v="0"/>
    <x v="556"/>
    <x v="654"/>
    <x v="649"/>
    <x v="650"/>
    <x v="649"/>
    <x v="654"/>
    <x v="654"/>
    <x v="654"/>
    <x v="654"/>
    <x v="654"/>
    <x v="654"/>
    <x v="654"/>
    <x v="556"/>
    <x v="648"/>
    <x v="648"/>
    <x v="509"/>
    <x v="0"/>
    <x v="0"/>
    <x v="435"/>
    <x v="556"/>
    <x v="556"/>
    <x v="556"/>
    <x v="556"/>
    <x v="1"/>
  </r>
  <r>
    <x v="95"/>
    <x v="97"/>
    <x v="0"/>
    <x v="0"/>
    <x v="0"/>
    <x v="0"/>
    <x v="0"/>
    <x v="0"/>
    <x v="0"/>
    <x v="0"/>
    <x v="1"/>
    <x v="0"/>
    <x v="963"/>
    <x v="1"/>
    <x v="0"/>
    <x v="0"/>
    <x v="0"/>
    <x v="95"/>
    <x v="2"/>
    <x v="1"/>
    <x v="1"/>
    <x v="0"/>
    <x v="0"/>
    <x v="3"/>
    <x v="7"/>
    <x v="0"/>
    <x v="15"/>
    <x v="153"/>
    <x v="9"/>
    <x v="48"/>
    <x v="1"/>
    <x v="1"/>
    <x v="1"/>
    <x v="1"/>
    <x v="719"/>
    <x v="1"/>
    <x v="15"/>
    <x v="963"/>
    <x v="963"/>
    <x v="1"/>
    <x v="963"/>
    <x v="977"/>
    <x v="975"/>
    <x v="961"/>
    <x v="975"/>
    <x v="977"/>
    <x v="977"/>
    <x v="977"/>
    <x v="977"/>
    <x v="977"/>
    <x v="977"/>
    <x v="977"/>
    <x v="963"/>
    <x v="959"/>
    <x v="959"/>
    <x v="898"/>
    <x v="0"/>
    <x v="0"/>
    <x v="849"/>
    <x v="963"/>
    <x v="963"/>
    <x v="963"/>
    <x v="963"/>
    <x v="1"/>
  </r>
  <r>
    <x v="96"/>
    <x v="98"/>
    <x v="0"/>
    <x v="0"/>
    <x v="0"/>
    <x v="0"/>
    <x v="0"/>
    <x v="0"/>
    <x v="0"/>
    <x v="0"/>
    <x v="1"/>
    <x v="0"/>
    <x v="611"/>
    <x v="1"/>
    <x v="0"/>
    <x v="0"/>
    <x v="0"/>
    <x v="96"/>
    <x v="2"/>
    <x v="1"/>
    <x v="1"/>
    <x v="0"/>
    <x v="0"/>
    <x v="3"/>
    <x v="118"/>
    <x v="0"/>
    <x v="11"/>
    <x v="142"/>
    <x v="9"/>
    <x v="48"/>
    <x v="1"/>
    <x v="1"/>
    <x v="1"/>
    <x v="1"/>
    <x v="399"/>
    <x v="1"/>
    <x v="11"/>
    <x v="611"/>
    <x v="611"/>
    <x v="0"/>
    <x v="611"/>
    <x v="557"/>
    <x v="566"/>
    <x v="535"/>
    <x v="566"/>
    <x v="557"/>
    <x v="557"/>
    <x v="557"/>
    <x v="557"/>
    <x v="557"/>
    <x v="557"/>
    <x v="557"/>
    <x v="611"/>
    <x v="536"/>
    <x v="536"/>
    <x v="546"/>
    <x v="0"/>
    <x v="0"/>
    <x v="403"/>
    <x v="611"/>
    <x v="611"/>
    <x v="611"/>
    <x v="611"/>
    <x v="1"/>
  </r>
  <r>
    <x v="97"/>
    <x v="99"/>
    <x v="0"/>
    <x v="0"/>
    <x v="0"/>
    <x v="0"/>
    <x v="0"/>
    <x v="0"/>
    <x v="0"/>
    <x v="0"/>
    <x v="1"/>
    <x v="0"/>
    <x v="329"/>
    <x v="1"/>
    <x v="0"/>
    <x v="0"/>
    <x v="0"/>
    <x v="97"/>
    <x v="2"/>
    <x v="1"/>
    <x v="1"/>
    <x v="0"/>
    <x v="0"/>
    <x v="3"/>
    <x v="7"/>
    <x v="0"/>
    <x v="16"/>
    <x v="116"/>
    <x v="9"/>
    <x v="48"/>
    <x v="1"/>
    <x v="1"/>
    <x v="1"/>
    <x v="1"/>
    <x v="219"/>
    <x v="1"/>
    <x v="16"/>
    <x v="329"/>
    <x v="329"/>
    <x v="0"/>
    <x v="329"/>
    <x v="321"/>
    <x v="324"/>
    <x v="314"/>
    <x v="324"/>
    <x v="321"/>
    <x v="321"/>
    <x v="321"/>
    <x v="321"/>
    <x v="321"/>
    <x v="321"/>
    <x v="321"/>
    <x v="329"/>
    <x v="314"/>
    <x v="314"/>
    <x v="289"/>
    <x v="0"/>
    <x v="0"/>
    <x v="300"/>
    <x v="329"/>
    <x v="329"/>
    <x v="329"/>
    <x v="329"/>
    <x v="1"/>
  </r>
  <r>
    <x v="98"/>
    <x v="90"/>
    <x v="0"/>
    <x v="0"/>
    <x v="0"/>
    <x v="0"/>
    <x v="1"/>
    <x v="4"/>
    <x v="0"/>
    <x v="0"/>
    <x v="1"/>
    <x v="0"/>
    <x v="908"/>
    <x v="1"/>
    <x v="0"/>
    <x v="0"/>
    <x v="0"/>
    <x v="98"/>
    <x v="1"/>
    <x v="1"/>
    <x v="1"/>
    <x v="0"/>
    <x v="0"/>
    <x v="3"/>
    <x v="118"/>
    <x v="0"/>
    <x v="10"/>
    <x v="170"/>
    <x v="2"/>
    <x v="14"/>
    <x v="1"/>
    <x v="5"/>
    <x v="2"/>
    <x v="1"/>
    <x v="1285"/>
    <x v="5"/>
    <x v="10"/>
    <x v="908"/>
    <x v="908"/>
    <x v="1"/>
    <x v="908"/>
    <x v="1013"/>
    <x v="981"/>
    <x v="1057"/>
    <x v="981"/>
    <x v="1013"/>
    <x v="1013"/>
    <x v="1013"/>
    <x v="1013"/>
    <x v="1013"/>
    <x v="1013"/>
    <x v="1013"/>
    <x v="908"/>
    <x v="1056"/>
    <x v="1056"/>
    <x v="871"/>
    <x v="0"/>
    <x v="0"/>
    <x v="847"/>
    <x v="908"/>
    <x v="908"/>
    <x v="908"/>
    <x v="908"/>
    <x v="1"/>
  </r>
  <r>
    <x v="99"/>
    <x v="100"/>
    <x v="0"/>
    <x v="0"/>
    <x v="0"/>
    <x v="0"/>
    <x v="0"/>
    <x v="0"/>
    <x v="0"/>
    <x v="0"/>
    <x v="1"/>
    <x v="0"/>
    <x v="207"/>
    <x v="1"/>
    <x v="0"/>
    <x v="0"/>
    <x v="0"/>
    <x v="99"/>
    <x v="2"/>
    <x v="1"/>
    <x v="1"/>
    <x v="0"/>
    <x v="0"/>
    <x v="3"/>
    <x v="7"/>
    <x v="0"/>
    <x v="15"/>
    <x v="131"/>
    <x v="9"/>
    <x v="48"/>
    <x v="1"/>
    <x v="1"/>
    <x v="1"/>
    <x v="1"/>
    <x v="118"/>
    <x v="1"/>
    <x v="15"/>
    <x v="208"/>
    <x v="208"/>
    <x v="0"/>
    <x v="208"/>
    <x v="215"/>
    <x v="217"/>
    <x v="207"/>
    <x v="217"/>
    <x v="215"/>
    <x v="215"/>
    <x v="215"/>
    <x v="215"/>
    <x v="215"/>
    <x v="215"/>
    <x v="215"/>
    <x v="208"/>
    <x v="207"/>
    <x v="207"/>
    <x v="180"/>
    <x v="0"/>
    <x v="0"/>
    <x v="188"/>
    <x v="208"/>
    <x v="208"/>
    <x v="208"/>
    <x v="208"/>
    <x v="1"/>
  </r>
  <r>
    <x v="100"/>
    <x v="94"/>
    <x v="0"/>
    <x v="0"/>
    <x v="0"/>
    <x v="0"/>
    <x v="0"/>
    <x v="0"/>
    <x v="0"/>
    <x v="0"/>
    <x v="1"/>
    <x v="0"/>
    <x v="827"/>
    <x v="1"/>
    <x v="0"/>
    <x v="0"/>
    <x v="0"/>
    <x v="100"/>
    <x v="2"/>
    <x v="1"/>
    <x v="1"/>
    <x v="0"/>
    <x v="0"/>
    <x v="3"/>
    <x v="7"/>
    <x v="0"/>
    <x v="16"/>
    <x v="149"/>
    <x v="9"/>
    <x v="48"/>
    <x v="1"/>
    <x v="1"/>
    <x v="1"/>
    <x v="1"/>
    <x v="570"/>
    <x v="1"/>
    <x v="16"/>
    <x v="827"/>
    <x v="827"/>
    <x v="1"/>
    <x v="827"/>
    <x v="832"/>
    <x v="831"/>
    <x v="802"/>
    <x v="831"/>
    <x v="832"/>
    <x v="832"/>
    <x v="832"/>
    <x v="832"/>
    <x v="832"/>
    <x v="832"/>
    <x v="832"/>
    <x v="827"/>
    <x v="800"/>
    <x v="800"/>
    <x v="767"/>
    <x v="0"/>
    <x v="0"/>
    <x v="686"/>
    <x v="827"/>
    <x v="827"/>
    <x v="827"/>
    <x v="827"/>
    <x v="1"/>
  </r>
  <r>
    <x v="101"/>
    <x v="101"/>
    <x v="0"/>
    <x v="0"/>
    <x v="0"/>
    <x v="0"/>
    <x v="0"/>
    <x v="0"/>
    <x v="0"/>
    <x v="0"/>
    <x v="1"/>
    <x v="0"/>
    <x v="208"/>
    <x v="1"/>
    <x v="0"/>
    <x v="0"/>
    <x v="0"/>
    <x v="101"/>
    <x v="2"/>
    <x v="1"/>
    <x v="1"/>
    <x v="0"/>
    <x v="0"/>
    <x v="3"/>
    <x v="7"/>
    <x v="0"/>
    <x v="16"/>
    <x v="147"/>
    <x v="9"/>
    <x v="48"/>
    <x v="1"/>
    <x v="1"/>
    <x v="1"/>
    <x v="1"/>
    <x v="119"/>
    <x v="1"/>
    <x v="16"/>
    <x v="209"/>
    <x v="209"/>
    <x v="0"/>
    <x v="209"/>
    <x v="216"/>
    <x v="219"/>
    <x v="208"/>
    <x v="219"/>
    <x v="216"/>
    <x v="216"/>
    <x v="216"/>
    <x v="216"/>
    <x v="216"/>
    <x v="216"/>
    <x v="216"/>
    <x v="209"/>
    <x v="208"/>
    <x v="208"/>
    <x v="181"/>
    <x v="0"/>
    <x v="0"/>
    <x v="190"/>
    <x v="209"/>
    <x v="209"/>
    <x v="209"/>
    <x v="209"/>
    <x v="1"/>
  </r>
  <r>
    <x v="102"/>
    <x v="103"/>
    <x v="0"/>
    <x v="0"/>
    <x v="0"/>
    <x v="0"/>
    <x v="0"/>
    <x v="0"/>
    <x v="0"/>
    <x v="0"/>
    <x v="1"/>
    <x v="0"/>
    <x v="225"/>
    <x v="1"/>
    <x v="0"/>
    <x v="0"/>
    <x v="0"/>
    <x v="102"/>
    <x v="2"/>
    <x v="1"/>
    <x v="1"/>
    <x v="0"/>
    <x v="0"/>
    <x v="3"/>
    <x v="7"/>
    <x v="0"/>
    <x v="15"/>
    <x v="152"/>
    <x v="9"/>
    <x v="48"/>
    <x v="1"/>
    <x v="1"/>
    <x v="1"/>
    <x v="1"/>
    <x v="136"/>
    <x v="1"/>
    <x v="15"/>
    <x v="226"/>
    <x v="226"/>
    <x v="0"/>
    <x v="226"/>
    <x v="233"/>
    <x v="231"/>
    <x v="224"/>
    <x v="231"/>
    <x v="233"/>
    <x v="233"/>
    <x v="233"/>
    <x v="233"/>
    <x v="233"/>
    <x v="233"/>
    <x v="233"/>
    <x v="226"/>
    <x v="224"/>
    <x v="224"/>
    <x v="197"/>
    <x v="0"/>
    <x v="0"/>
    <x v="201"/>
    <x v="226"/>
    <x v="226"/>
    <x v="226"/>
    <x v="226"/>
    <x v="1"/>
  </r>
  <r>
    <x v="103"/>
    <x v="106"/>
    <x v="0"/>
    <x v="0"/>
    <x v="0"/>
    <x v="0"/>
    <x v="0"/>
    <x v="1"/>
    <x v="0"/>
    <x v="0"/>
    <x v="1"/>
    <x v="0"/>
    <x v="822"/>
    <x v="1"/>
    <x v="0"/>
    <x v="0"/>
    <x v="0"/>
    <x v="103"/>
    <x v="1"/>
    <x v="1"/>
    <x v="1"/>
    <x v="0"/>
    <x v="0"/>
    <x v="3"/>
    <x v="128"/>
    <x v="0"/>
    <x v="10"/>
    <x v="167"/>
    <x v="10"/>
    <x v="59"/>
    <x v="1"/>
    <x v="2"/>
    <x v="2"/>
    <x v="1"/>
    <x v="918"/>
    <x v="2"/>
    <x v="10"/>
    <x v="822"/>
    <x v="822"/>
    <x v="1"/>
    <x v="822"/>
    <x v="909"/>
    <x v="891"/>
    <x v="912"/>
    <x v="891"/>
    <x v="909"/>
    <x v="909"/>
    <x v="909"/>
    <x v="909"/>
    <x v="909"/>
    <x v="909"/>
    <x v="909"/>
    <x v="822"/>
    <x v="908"/>
    <x v="908"/>
    <x v="769"/>
    <x v="0"/>
    <x v="0"/>
    <x v="650"/>
    <x v="822"/>
    <x v="822"/>
    <x v="822"/>
    <x v="822"/>
    <x v="1"/>
  </r>
  <r>
    <x v="104"/>
    <x v="116"/>
    <x v="0"/>
    <x v="0"/>
    <x v="0"/>
    <x v="0"/>
    <x v="0"/>
    <x v="1"/>
    <x v="0"/>
    <x v="0"/>
    <x v="1"/>
    <x v="0"/>
    <x v="1306"/>
    <x v="1"/>
    <x v="0"/>
    <x v="0"/>
    <x v="0"/>
    <x v="104"/>
    <x v="1"/>
    <x v="1"/>
    <x v="1"/>
    <x v="0"/>
    <x v="0"/>
    <x v="3"/>
    <x v="125"/>
    <x v="0"/>
    <x v="11"/>
    <x v="191"/>
    <x v="10"/>
    <x v="59"/>
    <x v="1"/>
    <x v="2"/>
    <x v="2"/>
    <x v="1"/>
    <x v="1274"/>
    <x v="2"/>
    <x v="11"/>
    <x v="1304"/>
    <x v="1304"/>
    <x v="2"/>
    <x v="1304"/>
    <x v="1357"/>
    <x v="1348"/>
    <x v="1352"/>
    <x v="1348"/>
    <x v="1357"/>
    <x v="1357"/>
    <x v="1357"/>
    <x v="1357"/>
    <x v="1357"/>
    <x v="1357"/>
    <x v="1357"/>
    <x v="1304"/>
    <x v="1349"/>
    <x v="1349"/>
    <x v="1229"/>
    <x v="0"/>
    <x v="0"/>
    <x v="1275"/>
    <x v="1304"/>
    <x v="1304"/>
    <x v="1304"/>
    <x v="1304"/>
    <x v="1"/>
  </r>
  <r>
    <x v="105"/>
    <x v="107"/>
    <x v="0"/>
    <x v="0"/>
    <x v="0"/>
    <x v="0"/>
    <x v="0"/>
    <x v="0"/>
    <x v="0"/>
    <x v="0"/>
    <x v="1"/>
    <x v="0"/>
    <x v="606"/>
    <x v="1"/>
    <x v="0"/>
    <x v="0"/>
    <x v="0"/>
    <x v="105"/>
    <x v="2"/>
    <x v="1"/>
    <x v="1"/>
    <x v="0"/>
    <x v="0"/>
    <x v="3"/>
    <x v="7"/>
    <x v="0"/>
    <x v="16"/>
    <x v="151"/>
    <x v="9"/>
    <x v="48"/>
    <x v="1"/>
    <x v="1"/>
    <x v="1"/>
    <x v="1"/>
    <x v="395"/>
    <x v="1"/>
    <x v="16"/>
    <x v="606"/>
    <x v="606"/>
    <x v="0"/>
    <x v="606"/>
    <x v="551"/>
    <x v="557"/>
    <x v="531"/>
    <x v="557"/>
    <x v="551"/>
    <x v="551"/>
    <x v="551"/>
    <x v="551"/>
    <x v="551"/>
    <x v="551"/>
    <x v="551"/>
    <x v="606"/>
    <x v="530"/>
    <x v="530"/>
    <x v="538"/>
    <x v="0"/>
    <x v="0"/>
    <x v="471"/>
    <x v="606"/>
    <x v="606"/>
    <x v="606"/>
    <x v="606"/>
    <x v="1"/>
  </r>
  <r>
    <x v="106"/>
    <x v="79"/>
    <x v="0"/>
    <x v="0"/>
    <x v="0"/>
    <x v="0"/>
    <x v="0"/>
    <x v="0"/>
    <x v="0"/>
    <x v="0"/>
    <x v="1"/>
    <x v="0"/>
    <x v="1358"/>
    <x v="1"/>
    <x v="0"/>
    <x v="0"/>
    <x v="0"/>
    <x v="106"/>
    <x v="2"/>
    <x v="1"/>
    <x v="1"/>
    <x v="0"/>
    <x v="0"/>
    <x v="3"/>
    <x v="85"/>
    <x v="0"/>
    <x v="16"/>
    <x v="121"/>
    <x v="9"/>
    <x v="48"/>
    <x v="1"/>
    <x v="1"/>
    <x v="1"/>
    <x v="1"/>
    <x v="1253"/>
    <x v="1"/>
    <x v="16"/>
    <x v="1356"/>
    <x v="1356"/>
    <x v="4"/>
    <x v="1356"/>
    <x v="1391"/>
    <x v="1381"/>
    <x v="1388"/>
    <x v="1381"/>
    <x v="1391"/>
    <x v="1391"/>
    <x v="1391"/>
    <x v="1391"/>
    <x v="1391"/>
    <x v="1391"/>
    <x v="1391"/>
    <x v="1356"/>
    <x v="1387"/>
    <x v="1387"/>
    <x v="1273"/>
    <x v="0"/>
    <x v="0"/>
    <x v="1382"/>
    <x v="1356"/>
    <x v="1356"/>
    <x v="1356"/>
    <x v="1356"/>
    <x v="1"/>
  </r>
  <r>
    <x v="107"/>
    <x v="111"/>
    <x v="0"/>
    <x v="0"/>
    <x v="0"/>
    <x v="0"/>
    <x v="0"/>
    <x v="0"/>
    <x v="0"/>
    <x v="0"/>
    <x v="1"/>
    <x v="0"/>
    <x v="324"/>
    <x v="1"/>
    <x v="0"/>
    <x v="0"/>
    <x v="0"/>
    <x v="107"/>
    <x v="2"/>
    <x v="1"/>
    <x v="1"/>
    <x v="0"/>
    <x v="0"/>
    <x v="3"/>
    <x v="11"/>
    <x v="0"/>
    <x v="16"/>
    <x v="173"/>
    <x v="9"/>
    <x v="48"/>
    <x v="1"/>
    <x v="1"/>
    <x v="1"/>
    <x v="1"/>
    <x v="214"/>
    <x v="1"/>
    <x v="16"/>
    <x v="324"/>
    <x v="324"/>
    <x v="0"/>
    <x v="324"/>
    <x v="316"/>
    <x v="319"/>
    <x v="311"/>
    <x v="319"/>
    <x v="316"/>
    <x v="316"/>
    <x v="316"/>
    <x v="316"/>
    <x v="316"/>
    <x v="316"/>
    <x v="316"/>
    <x v="324"/>
    <x v="311"/>
    <x v="311"/>
    <x v="284"/>
    <x v="0"/>
    <x v="0"/>
    <x v="289"/>
    <x v="324"/>
    <x v="324"/>
    <x v="324"/>
    <x v="324"/>
    <x v="1"/>
  </r>
  <r>
    <x v="108"/>
    <x v="89"/>
    <x v="0"/>
    <x v="0"/>
    <x v="0"/>
    <x v="0"/>
    <x v="0"/>
    <x v="0"/>
    <x v="0"/>
    <x v="0"/>
    <x v="1"/>
    <x v="0"/>
    <x v="1329"/>
    <x v="1"/>
    <x v="0"/>
    <x v="0"/>
    <x v="0"/>
    <x v="108"/>
    <x v="2"/>
    <x v="1"/>
    <x v="1"/>
    <x v="0"/>
    <x v="0"/>
    <x v="3"/>
    <x v="4"/>
    <x v="0"/>
    <x v="20"/>
    <x v="118"/>
    <x v="9"/>
    <x v="48"/>
    <x v="1"/>
    <x v="1"/>
    <x v="1"/>
    <x v="1"/>
    <x v="1163"/>
    <x v="1"/>
    <x v="20"/>
    <x v="1327"/>
    <x v="1327"/>
    <x v="3"/>
    <x v="1327"/>
    <x v="1359"/>
    <x v="1352"/>
    <x v="1348"/>
    <x v="1352"/>
    <x v="1359"/>
    <x v="1359"/>
    <x v="1359"/>
    <x v="1359"/>
    <x v="1359"/>
    <x v="1359"/>
    <x v="1359"/>
    <x v="1327"/>
    <x v="1346"/>
    <x v="1346"/>
    <x v="1249"/>
    <x v="0"/>
    <x v="0"/>
    <x v="1349"/>
    <x v="1327"/>
    <x v="1327"/>
    <x v="1327"/>
    <x v="1327"/>
    <x v="1"/>
  </r>
  <r>
    <x v="109"/>
    <x v="106"/>
    <x v="0"/>
    <x v="0"/>
    <x v="0"/>
    <x v="0"/>
    <x v="1"/>
    <x v="4"/>
    <x v="0"/>
    <x v="0"/>
    <x v="1"/>
    <x v="0"/>
    <x v="750"/>
    <x v="1"/>
    <x v="0"/>
    <x v="0"/>
    <x v="0"/>
    <x v="109"/>
    <x v="1"/>
    <x v="1"/>
    <x v="1"/>
    <x v="0"/>
    <x v="0"/>
    <x v="3"/>
    <x v="128"/>
    <x v="0"/>
    <x v="10"/>
    <x v="168"/>
    <x v="2"/>
    <x v="14"/>
    <x v="1"/>
    <x v="5"/>
    <x v="2"/>
    <x v="1"/>
    <x v="1241"/>
    <x v="5"/>
    <x v="10"/>
    <x v="750"/>
    <x v="750"/>
    <x v="1"/>
    <x v="750"/>
    <x v="862"/>
    <x v="824"/>
    <x v="905"/>
    <x v="824"/>
    <x v="862"/>
    <x v="862"/>
    <x v="862"/>
    <x v="862"/>
    <x v="862"/>
    <x v="862"/>
    <x v="862"/>
    <x v="750"/>
    <x v="900"/>
    <x v="900"/>
    <x v="728"/>
    <x v="0"/>
    <x v="0"/>
    <x v="638"/>
    <x v="750"/>
    <x v="750"/>
    <x v="750"/>
    <x v="750"/>
    <x v="1"/>
  </r>
  <r>
    <x v="110"/>
    <x v="118"/>
    <x v="0"/>
    <x v="0"/>
    <x v="0"/>
    <x v="0"/>
    <x v="0"/>
    <x v="0"/>
    <x v="0"/>
    <x v="0"/>
    <x v="1"/>
    <x v="0"/>
    <x v="673"/>
    <x v="1"/>
    <x v="0"/>
    <x v="0"/>
    <x v="0"/>
    <x v="110"/>
    <x v="2"/>
    <x v="3"/>
    <x v="3"/>
    <x v="0"/>
    <x v="0"/>
    <x v="3"/>
    <x v="90"/>
    <x v="0"/>
    <x v="16"/>
    <x v="174"/>
    <x v="9"/>
    <x v="48"/>
    <x v="1"/>
    <x v="1"/>
    <x v="1"/>
    <x v="1"/>
    <x v="438"/>
    <x v="1"/>
    <x v="16"/>
    <x v="673"/>
    <x v="673"/>
    <x v="1"/>
    <x v="673"/>
    <x v="608"/>
    <x v="622"/>
    <x v="577"/>
    <x v="622"/>
    <x v="608"/>
    <x v="608"/>
    <x v="608"/>
    <x v="608"/>
    <x v="608"/>
    <x v="608"/>
    <x v="608"/>
    <x v="673"/>
    <x v="579"/>
    <x v="579"/>
    <x v="603"/>
    <x v="0"/>
    <x v="0"/>
    <x v="497"/>
    <x v="673"/>
    <x v="673"/>
    <x v="673"/>
    <x v="673"/>
    <x v="1"/>
  </r>
  <r>
    <x v="111"/>
    <x v="141"/>
    <x v="0"/>
    <x v="0"/>
    <x v="0"/>
    <x v="0"/>
    <x v="0"/>
    <x v="0"/>
    <x v="0"/>
    <x v="0"/>
    <x v="1"/>
    <x v="0"/>
    <x v="1289"/>
    <x v="1"/>
    <x v="0"/>
    <x v="0"/>
    <x v="0"/>
    <x v="111"/>
    <x v="2"/>
    <x v="3"/>
    <x v="3"/>
    <x v="0"/>
    <x v="0"/>
    <x v="3"/>
    <x v="81"/>
    <x v="0"/>
    <x v="14"/>
    <x v="177"/>
    <x v="9"/>
    <x v="48"/>
    <x v="1"/>
    <x v="1"/>
    <x v="1"/>
    <x v="1"/>
    <x v="1089"/>
    <x v="1"/>
    <x v="14"/>
    <x v="1287"/>
    <x v="1287"/>
    <x v="2"/>
    <x v="1287"/>
    <x v="1309"/>
    <x v="1301"/>
    <x v="1300"/>
    <x v="1301"/>
    <x v="1309"/>
    <x v="1309"/>
    <x v="1309"/>
    <x v="1309"/>
    <x v="1309"/>
    <x v="1309"/>
    <x v="1309"/>
    <x v="1287"/>
    <x v="1301"/>
    <x v="1301"/>
    <x v="1208"/>
    <x v="0"/>
    <x v="0"/>
    <x v="1226"/>
    <x v="1287"/>
    <x v="1287"/>
    <x v="1287"/>
    <x v="1287"/>
    <x v="1"/>
  </r>
  <r>
    <x v="112"/>
    <x v="141"/>
    <x v="0"/>
    <x v="0"/>
    <x v="0"/>
    <x v="0"/>
    <x v="0"/>
    <x v="0"/>
    <x v="0"/>
    <x v="0"/>
    <x v="1"/>
    <x v="0"/>
    <x v="1285"/>
    <x v="1"/>
    <x v="0"/>
    <x v="0"/>
    <x v="0"/>
    <x v="112"/>
    <x v="2"/>
    <x v="3"/>
    <x v="3"/>
    <x v="0"/>
    <x v="0"/>
    <x v="3"/>
    <x v="81"/>
    <x v="0"/>
    <x v="14"/>
    <x v="178"/>
    <x v="9"/>
    <x v="48"/>
    <x v="1"/>
    <x v="1"/>
    <x v="1"/>
    <x v="1"/>
    <x v="1081"/>
    <x v="1"/>
    <x v="14"/>
    <x v="1283"/>
    <x v="1283"/>
    <x v="2"/>
    <x v="1283"/>
    <x v="1301"/>
    <x v="1296"/>
    <x v="1297"/>
    <x v="1296"/>
    <x v="1301"/>
    <x v="1301"/>
    <x v="1301"/>
    <x v="1301"/>
    <x v="1301"/>
    <x v="1301"/>
    <x v="1301"/>
    <x v="1283"/>
    <x v="1296"/>
    <x v="1296"/>
    <x v="1202"/>
    <x v="0"/>
    <x v="0"/>
    <x v="1219"/>
    <x v="1283"/>
    <x v="1283"/>
    <x v="1283"/>
    <x v="1283"/>
    <x v="1"/>
  </r>
  <r>
    <x v="113"/>
    <x v="140"/>
    <x v="0"/>
    <x v="0"/>
    <x v="0"/>
    <x v="0"/>
    <x v="0"/>
    <x v="0"/>
    <x v="0"/>
    <x v="0"/>
    <x v="1"/>
    <x v="0"/>
    <x v="1340"/>
    <x v="1"/>
    <x v="0"/>
    <x v="0"/>
    <x v="0"/>
    <x v="113"/>
    <x v="2"/>
    <x v="4"/>
    <x v="4"/>
    <x v="0"/>
    <x v="0"/>
    <x v="3"/>
    <x v="87"/>
    <x v="0"/>
    <x v="12"/>
    <x v="183"/>
    <x v="9"/>
    <x v="48"/>
    <x v="1"/>
    <x v="1"/>
    <x v="1"/>
    <x v="1"/>
    <x v="1194"/>
    <x v="1"/>
    <x v="12"/>
    <x v="1338"/>
    <x v="1338"/>
    <x v="3"/>
    <x v="1338"/>
    <x v="1369"/>
    <x v="1358"/>
    <x v="1362"/>
    <x v="1358"/>
    <x v="1369"/>
    <x v="1369"/>
    <x v="1369"/>
    <x v="1369"/>
    <x v="1369"/>
    <x v="1369"/>
    <x v="1369"/>
    <x v="1338"/>
    <x v="1359"/>
    <x v="1359"/>
    <x v="1258"/>
    <x v="0"/>
    <x v="0"/>
    <x v="1306"/>
    <x v="1338"/>
    <x v="1338"/>
    <x v="1338"/>
    <x v="1338"/>
    <x v="1"/>
  </r>
  <r>
    <x v="114"/>
    <x v="129"/>
    <x v="0"/>
    <x v="0"/>
    <x v="0"/>
    <x v="0"/>
    <x v="0"/>
    <x v="0"/>
    <x v="0"/>
    <x v="0"/>
    <x v="1"/>
    <x v="0"/>
    <x v="1181"/>
    <x v="1"/>
    <x v="0"/>
    <x v="0"/>
    <x v="0"/>
    <x v="114"/>
    <x v="2"/>
    <x v="4"/>
    <x v="4"/>
    <x v="0"/>
    <x v="0"/>
    <x v="3"/>
    <x v="9"/>
    <x v="0"/>
    <x v="14"/>
    <x v="182"/>
    <x v="9"/>
    <x v="48"/>
    <x v="1"/>
    <x v="1"/>
    <x v="1"/>
    <x v="1"/>
    <x v="960"/>
    <x v="1"/>
    <x v="14"/>
    <x v="1179"/>
    <x v="1179"/>
    <x v="2"/>
    <x v="1179"/>
    <x v="1198"/>
    <x v="1190"/>
    <x v="1180"/>
    <x v="1190"/>
    <x v="1198"/>
    <x v="1198"/>
    <x v="1198"/>
    <x v="1198"/>
    <x v="1198"/>
    <x v="1198"/>
    <x v="1198"/>
    <x v="1179"/>
    <x v="1178"/>
    <x v="1178"/>
    <x v="1107"/>
    <x v="0"/>
    <x v="0"/>
    <x v="1066"/>
    <x v="1179"/>
    <x v="1179"/>
    <x v="1179"/>
    <x v="1179"/>
    <x v="1"/>
  </r>
  <r>
    <x v="115"/>
    <x v="159"/>
    <x v="0"/>
    <x v="0"/>
    <x v="0"/>
    <x v="0"/>
    <x v="1"/>
    <x v="5"/>
    <x v="0"/>
    <x v="0"/>
    <x v="1"/>
    <x v="0"/>
    <x v="1356"/>
    <x v="1"/>
    <x v="0"/>
    <x v="0"/>
    <x v="0"/>
    <x v="115"/>
    <x v="1"/>
    <x v="4"/>
    <x v="4"/>
    <x v="0"/>
    <x v="0"/>
    <x v="3"/>
    <x v="81"/>
    <x v="0"/>
    <x v="13"/>
    <x v="179"/>
    <x v="3"/>
    <x v="25"/>
    <x v="1"/>
    <x v="6"/>
    <x v="3"/>
    <x v="1"/>
    <x v="1394"/>
    <x v="6"/>
    <x v="13"/>
    <x v="1354"/>
    <x v="1354"/>
    <x v="4"/>
    <x v="1354"/>
    <x v="1396"/>
    <x v="1384"/>
    <x v="1395"/>
    <x v="1384"/>
    <x v="1396"/>
    <x v="1396"/>
    <x v="1396"/>
    <x v="1396"/>
    <x v="1396"/>
    <x v="1396"/>
    <x v="1396"/>
    <x v="1354"/>
    <x v="1394"/>
    <x v="1394"/>
    <x v="0"/>
    <x v="126"/>
    <x v="0"/>
    <x v="1409"/>
    <x v="1354"/>
    <x v="1354"/>
    <x v="1354"/>
    <x v="1354"/>
    <x v="1"/>
  </r>
  <r>
    <x v="116"/>
    <x v="116"/>
    <x v="0"/>
    <x v="0"/>
    <x v="0"/>
    <x v="0"/>
    <x v="1"/>
    <x v="4"/>
    <x v="0"/>
    <x v="0"/>
    <x v="1"/>
    <x v="0"/>
    <x v="845"/>
    <x v="1"/>
    <x v="0"/>
    <x v="0"/>
    <x v="0"/>
    <x v="116"/>
    <x v="1"/>
    <x v="4"/>
    <x v="4"/>
    <x v="0"/>
    <x v="0"/>
    <x v="3"/>
    <x v="125"/>
    <x v="0"/>
    <x v="11"/>
    <x v="192"/>
    <x v="2"/>
    <x v="14"/>
    <x v="1"/>
    <x v="5"/>
    <x v="2"/>
    <x v="1"/>
    <x v="1267"/>
    <x v="5"/>
    <x v="11"/>
    <x v="845"/>
    <x v="845"/>
    <x v="1"/>
    <x v="845"/>
    <x v="947"/>
    <x v="914"/>
    <x v="993"/>
    <x v="914"/>
    <x v="947"/>
    <x v="947"/>
    <x v="947"/>
    <x v="947"/>
    <x v="947"/>
    <x v="947"/>
    <x v="947"/>
    <x v="845"/>
    <x v="993"/>
    <x v="993"/>
    <x v="812"/>
    <x v="0"/>
    <x v="0"/>
    <x v="802"/>
    <x v="845"/>
    <x v="845"/>
    <x v="845"/>
    <x v="845"/>
    <x v="1"/>
  </r>
  <r>
    <x v="117"/>
    <x v="128"/>
    <x v="0"/>
    <x v="0"/>
    <x v="0"/>
    <x v="0"/>
    <x v="1"/>
    <x v="4"/>
    <x v="0"/>
    <x v="0"/>
    <x v="1"/>
    <x v="0"/>
    <x v="285"/>
    <x v="1"/>
    <x v="0"/>
    <x v="0"/>
    <x v="0"/>
    <x v="117"/>
    <x v="1"/>
    <x v="4"/>
    <x v="4"/>
    <x v="0"/>
    <x v="0"/>
    <x v="3"/>
    <x v="4"/>
    <x v="0"/>
    <x v="12"/>
    <x v="186"/>
    <x v="2"/>
    <x v="14"/>
    <x v="1"/>
    <x v="5"/>
    <x v="2"/>
    <x v="1"/>
    <x v="963"/>
    <x v="5"/>
    <x v="12"/>
    <x v="285"/>
    <x v="285"/>
    <x v="0"/>
    <x v="285"/>
    <x v="333"/>
    <x v="317"/>
    <x v="352"/>
    <x v="317"/>
    <x v="333"/>
    <x v="333"/>
    <x v="333"/>
    <x v="333"/>
    <x v="333"/>
    <x v="333"/>
    <x v="333"/>
    <x v="285"/>
    <x v="352"/>
    <x v="352"/>
    <x v="261"/>
    <x v="0"/>
    <x v="0"/>
    <x v="304"/>
    <x v="285"/>
    <x v="285"/>
    <x v="285"/>
    <x v="285"/>
    <x v="1"/>
  </r>
  <r>
    <x v="118"/>
    <x v="134"/>
    <x v="0"/>
    <x v="0"/>
    <x v="0"/>
    <x v="0"/>
    <x v="1"/>
    <x v="4"/>
    <x v="0"/>
    <x v="0"/>
    <x v="1"/>
    <x v="0"/>
    <x v="467"/>
    <x v="1"/>
    <x v="0"/>
    <x v="0"/>
    <x v="0"/>
    <x v="118"/>
    <x v="1"/>
    <x v="4"/>
    <x v="4"/>
    <x v="0"/>
    <x v="0"/>
    <x v="3"/>
    <x v="85"/>
    <x v="0"/>
    <x v="12"/>
    <x v="185"/>
    <x v="2"/>
    <x v="14"/>
    <x v="1"/>
    <x v="5"/>
    <x v="2"/>
    <x v="1"/>
    <x v="1142"/>
    <x v="5"/>
    <x v="12"/>
    <x v="467"/>
    <x v="467"/>
    <x v="0"/>
    <x v="467"/>
    <x v="602"/>
    <x v="547"/>
    <x v="667"/>
    <x v="547"/>
    <x v="602"/>
    <x v="602"/>
    <x v="602"/>
    <x v="602"/>
    <x v="602"/>
    <x v="602"/>
    <x v="602"/>
    <x v="467"/>
    <x v="667"/>
    <x v="667"/>
    <x v="452"/>
    <x v="0"/>
    <x v="0"/>
    <x v="479"/>
    <x v="467"/>
    <x v="467"/>
    <x v="467"/>
    <x v="467"/>
    <x v="1"/>
  </r>
  <r>
    <x v="119"/>
    <x v="142"/>
    <x v="0"/>
    <x v="0"/>
    <x v="0"/>
    <x v="0"/>
    <x v="0"/>
    <x v="1"/>
    <x v="0"/>
    <x v="0"/>
    <x v="1"/>
    <x v="0"/>
    <x v="1139"/>
    <x v="1"/>
    <x v="0"/>
    <x v="0"/>
    <x v="0"/>
    <x v="119"/>
    <x v="1"/>
    <x v="4"/>
    <x v="4"/>
    <x v="0"/>
    <x v="0"/>
    <x v="3"/>
    <x v="9"/>
    <x v="0"/>
    <x v="13"/>
    <x v="189"/>
    <x v="10"/>
    <x v="59"/>
    <x v="1"/>
    <x v="2"/>
    <x v="2"/>
    <x v="1"/>
    <x v="1155"/>
    <x v="2"/>
    <x v="13"/>
    <x v="1137"/>
    <x v="1137"/>
    <x v="1"/>
    <x v="1137"/>
    <x v="1211"/>
    <x v="1198"/>
    <x v="1213"/>
    <x v="1198"/>
    <x v="1211"/>
    <x v="1211"/>
    <x v="1211"/>
    <x v="1211"/>
    <x v="1211"/>
    <x v="1211"/>
    <x v="1211"/>
    <x v="1137"/>
    <x v="1209"/>
    <x v="1209"/>
    <x v="1070"/>
    <x v="0"/>
    <x v="0"/>
    <x v="1088"/>
    <x v="1137"/>
    <x v="1137"/>
    <x v="1137"/>
    <x v="1137"/>
    <x v="1"/>
  </r>
  <r>
    <x v="120"/>
    <x v="140"/>
    <x v="0"/>
    <x v="0"/>
    <x v="0"/>
    <x v="0"/>
    <x v="1"/>
    <x v="4"/>
    <x v="0"/>
    <x v="0"/>
    <x v="1"/>
    <x v="0"/>
    <x v="457"/>
    <x v="1"/>
    <x v="0"/>
    <x v="0"/>
    <x v="0"/>
    <x v="120"/>
    <x v="1"/>
    <x v="4"/>
    <x v="4"/>
    <x v="0"/>
    <x v="0"/>
    <x v="3"/>
    <x v="87"/>
    <x v="0"/>
    <x v="12"/>
    <x v="184"/>
    <x v="2"/>
    <x v="14"/>
    <x v="1"/>
    <x v="5"/>
    <x v="2"/>
    <x v="1"/>
    <x v="1139"/>
    <x v="5"/>
    <x v="12"/>
    <x v="457"/>
    <x v="457"/>
    <x v="0"/>
    <x v="457"/>
    <x v="597"/>
    <x v="531"/>
    <x v="653"/>
    <x v="531"/>
    <x v="597"/>
    <x v="597"/>
    <x v="597"/>
    <x v="597"/>
    <x v="597"/>
    <x v="597"/>
    <x v="597"/>
    <x v="457"/>
    <x v="655"/>
    <x v="655"/>
    <x v="446"/>
    <x v="0"/>
    <x v="0"/>
    <x v="476"/>
    <x v="457"/>
    <x v="457"/>
    <x v="457"/>
    <x v="457"/>
    <x v="1"/>
  </r>
  <r>
    <x v="121"/>
    <x v="153"/>
    <x v="0"/>
    <x v="0"/>
    <x v="0"/>
    <x v="0"/>
    <x v="0"/>
    <x v="1"/>
    <x v="0"/>
    <x v="0"/>
    <x v="1"/>
    <x v="0"/>
    <x v="1101"/>
    <x v="1"/>
    <x v="0"/>
    <x v="0"/>
    <x v="0"/>
    <x v="121"/>
    <x v="1"/>
    <x v="4"/>
    <x v="4"/>
    <x v="0"/>
    <x v="0"/>
    <x v="3"/>
    <x v="81"/>
    <x v="0"/>
    <x v="13"/>
    <x v="188"/>
    <x v="10"/>
    <x v="59"/>
    <x v="1"/>
    <x v="2"/>
    <x v="2"/>
    <x v="1"/>
    <x v="1133"/>
    <x v="2"/>
    <x v="13"/>
    <x v="1099"/>
    <x v="1099"/>
    <x v="1"/>
    <x v="1099"/>
    <x v="1181"/>
    <x v="1168"/>
    <x v="1182"/>
    <x v="1168"/>
    <x v="1181"/>
    <x v="1181"/>
    <x v="1181"/>
    <x v="1181"/>
    <x v="1181"/>
    <x v="1181"/>
    <x v="1181"/>
    <x v="1099"/>
    <x v="1179"/>
    <x v="1179"/>
    <x v="1034"/>
    <x v="0"/>
    <x v="0"/>
    <x v="1047"/>
    <x v="1099"/>
    <x v="1099"/>
    <x v="1099"/>
    <x v="1099"/>
    <x v="1"/>
  </r>
  <r>
    <x v="122"/>
    <x v="142"/>
    <x v="0"/>
    <x v="0"/>
    <x v="0"/>
    <x v="0"/>
    <x v="1"/>
    <x v="4"/>
    <x v="0"/>
    <x v="0"/>
    <x v="1"/>
    <x v="0"/>
    <x v="468"/>
    <x v="1"/>
    <x v="0"/>
    <x v="0"/>
    <x v="0"/>
    <x v="122"/>
    <x v="1"/>
    <x v="4"/>
    <x v="4"/>
    <x v="0"/>
    <x v="0"/>
    <x v="3"/>
    <x v="9"/>
    <x v="0"/>
    <x v="13"/>
    <x v="190"/>
    <x v="2"/>
    <x v="14"/>
    <x v="1"/>
    <x v="5"/>
    <x v="2"/>
    <x v="1"/>
    <x v="1143"/>
    <x v="5"/>
    <x v="13"/>
    <x v="468"/>
    <x v="468"/>
    <x v="0"/>
    <x v="468"/>
    <x v="604"/>
    <x v="548"/>
    <x v="668"/>
    <x v="548"/>
    <x v="604"/>
    <x v="604"/>
    <x v="604"/>
    <x v="604"/>
    <x v="604"/>
    <x v="604"/>
    <x v="604"/>
    <x v="468"/>
    <x v="668"/>
    <x v="668"/>
    <x v="454"/>
    <x v="0"/>
    <x v="0"/>
    <x v="501"/>
    <x v="468"/>
    <x v="468"/>
    <x v="468"/>
    <x v="468"/>
    <x v="1"/>
  </r>
  <r>
    <x v="123"/>
    <x v="153"/>
    <x v="0"/>
    <x v="0"/>
    <x v="0"/>
    <x v="0"/>
    <x v="1"/>
    <x v="4"/>
    <x v="0"/>
    <x v="0"/>
    <x v="1"/>
    <x v="0"/>
    <x v="159"/>
    <x v="1"/>
    <x v="0"/>
    <x v="0"/>
    <x v="0"/>
    <x v="123"/>
    <x v="1"/>
    <x v="4"/>
    <x v="4"/>
    <x v="0"/>
    <x v="0"/>
    <x v="3"/>
    <x v="81"/>
    <x v="0"/>
    <x v="13"/>
    <x v="187"/>
    <x v="2"/>
    <x v="14"/>
    <x v="1"/>
    <x v="5"/>
    <x v="2"/>
    <x v="1"/>
    <x v="569"/>
    <x v="5"/>
    <x v="13"/>
    <x v="160"/>
    <x v="160"/>
    <x v="0"/>
    <x v="160"/>
    <x v="193"/>
    <x v="184"/>
    <x v="204"/>
    <x v="184"/>
    <x v="193"/>
    <x v="193"/>
    <x v="193"/>
    <x v="193"/>
    <x v="193"/>
    <x v="193"/>
    <x v="193"/>
    <x v="160"/>
    <x v="205"/>
    <x v="205"/>
    <x v="146"/>
    <x v="0"/>
    <x v="0"/>
    <x v="179"/>
    <x v="160"/>
    <x v="160"/>
    <x v="160"/>
    <x v="160"/>
    <x v="1"/>
  </r>
  <r>
    <x v="124"/>
    <x v="155"/>
    <x v="0"/>
    <x v="0"/>
    <x v="0"/>
    <x v="0"/>
    <x v="1"/>
    <x v="4"/>
    <x v="0"/>
    <x v="0"/>
    <x v="1"/>
    <x v="0"/>
    <x v="80"/>
    <x v="1"/>
    <x v="0"/>
    <x v="0"/>
    <x v="0"/>
    <x v="124"/>
    <x v="1"/>
    <x v="4"/>
    <x v="4"/>
    <x v="0"/>
    <x v="0"/>
    <x v="3"/>
    <x v="81"/>
    <x v="0"/>
    <x v="13"/>
    <x v="175"/>
    <x v="2"/>
    <x v="14"/>
    <x v="1"/>
    <x v="5"/>
    <x v="2"/>
    <x v="1"/>
    <x v="216"/>
    <x v="5"/>
    <x v="13"/>
    <x v="81"/>
    <x v="81"/>
    <x v="0"/>
    <x v="81"/>
    <x v="97"/>
    <x v="90"/>
    <x v="104"/>
    <x v="90"/>
    <x v="97"/>
    <x v="97"/>
    <x v="97"/>
    <x v="97"/>
    <x v="97"/>
    <x v="97"/>
    <x v="97"/>
    <x v="81"/>
    <x v="103"/>
    <x v="103"/>
    <x v="73"/>
    <x v="0"/>
    <x v="0"/>
    <x v="78"/>
    <x v="81"/>
    <x v="81"/>
    <x v="81"/>
    <x v="81"/>
    <x v="1"/>
  </r>
  <r>
    <x v="125"/>
    <x v="157"/>
    <x v="0"/>
    <x v="0"/>
    <x v="0"/>
    <x v="0"/>
    <x v="1"/>
    <x v="5"/>
    <x v="0"/>
    <x v="0"/>
    <x v="1"/>
    <x v="0"/>
    <x v="46"/>
    <x v="1"/>
    <x v="0"/>
    <x v="0"/>
    <x v="0"/>
    <x v="125"/>
    <x v="1"/>
    <x v="4"/>
    <x v="4"/>
    <x v="0"/>
    <x v="0"/>
    <x v="3"/>
    <x v="81"/>
    <x v="0"/>
    <x v="13"/>
    <x v="180"/>
    <x v="3"/>
    <x v="25"/>
    <x v="1"/>
    <x v="6"/>
    <x v="3"/>
    <x v="1"/>
    <x v="271"/>
    <x v="6"/>
    <x v="13"/>
    <x v="47"/>
    <x v="47"/>
    <x v="0"/>
    <x v="47"/>
    <x v="66"/>
    <x v="55"/>
    <x v="72"/>
    <x v="55"/>
    <x v="66"/>
    <x v="66"/>
    <x v="66"/>
    <x v="66"/>
    <x v="66"/>
    <x v="66"/>
    <x v="66"/>
    <x v="47"/>
    <x v="72"/>
    <x v="72"/>
    <x v="0"/>
    <x v="11"/>
    <x v="0"/>
    <x v="53"/>
    <x v="47"/>
    <x v="47"/>
    <x v="47"/>
    <x v="47"/>
    <x v="1"/>
  </r>
  <r>
    <x v="126"/>
    <x v="157"/>
    <x v="0"/>
    <x v="0"/>
    <x v="0"/>
    <x v="0"/>
    <x v="1"/>
    <x v="5"/>
    <x v="0"/>
    <x v="0"/>
    <x v="1"/>
    <x v="0"/>
    <x v="75"/>
    <x v="1"/>
    <x v="0"/>
    <x v="0"/>
    <x v="0"/>
    <x v="126"/>
    <x v="1"/>
    <x v="4"/>
    <x v="4"/>
    <x v="0"/>
    <x v="0"/>
    <x v="3"/>
    <x v="81"/>
    <x v="0"/>
    <x v="13"/>
    <x v="181"/>
    <x v="3"/>
    <x v="25"/>
    <x v="1"/>
    <x v="6"/>
    <x v="3"/>
    <x v="1"/>
    <x v="445"/>
    <x v="6"/>
    <x v="13"/>
    <x v="76"/>
    <x v="76"/>
    <x v="0"/>
    <x v="76"/>
    <x v="101"/>
    <x v="89"/>
    <x v="112"/>
    <x v="89"/>
    <x v="101"/>
    <x v="101"/>
    <x v="101"/>
    <x v="101"/>
    <x v="101"/>
    <x v="101"/>
    <x v="101"/>
    <x v="76"/>
    <x v="113"/>
    <x v="113"/>
    <x v="0"/>
    <x v="20"/>
    <x v="0"/>
    <x v="91"/>
    <x v="76"/>
    <x v="76"/>
    <x v="76"/>
    <x v="76"/>
    <x v="1"/>
  </r>
  <r>
    <x v="127"/>
    <x v="158"/>
    <x v="0"/>
    <x v="0"/>
    <x v="0"/>
    <x v="0"/>
    <x v="1"/>
    <x v="5"/>
    <x v="0"/>
    <x v="0"/>
    <x v="1"/>
    <x v="0"/>
    <x v="903"/>
    <x v="1"/>
    <x v="0"/>
    <x v="0"/>
    <x v="0"/>
    <x v="127"/>
    <x v="1"/>
    <x v="4"/>
    <x v="4"/>
    <x v="0"/>
    <x v="0"/>
    <x v="3"/>
    <x v="81"/>
    <x v="0"/>
    <x v="13"/>
    <x v="176"/>
    <x v="3"/>
    <x v="25"/>
    <x v="1"/>
    <x v="6"/>
    <x v="3"/>
    <x v="1"/>
    <x v="1355"/>
    <x v="6"/>
    <x v="13"/>
    <x v="903"/>
    <x v="903"/>
    <x v="1"/>
    <x v="903"/>
    <x v="1055"/>
    <x v="998"/>
    <x v="1107"/>
    <x v="998"/>
    <x v="1055"/>
    <x v="1055"/>
    <x v="1055"/>
    <x v="1055"/>
    <x v="1055"/>
    <x v="1055"/>
    <x v="1055"/>
    <x v="903"/>
    <x v="1121"/>
    <x v="1121"/>
    <x v="0"/>
    <x v="99"/>
    <x v="0"/>
    <x v="991"/>
    <x v="903"/>
    <x v="903"/>
    <x v="903"/>
    <x v="903"/>
    <x v="1"/>
  </r>
  <r>
    <x v="128"/>
    <x v="136"/>
    <x v="0"/>
    <x v="0"/>
    <x v="0"/>
    <x v="0"/>
    <x v="0"/>
    <x v="0"/>
    <x v="0"/>
    <x v="0"/>
    <x v="2"/>
    <x v="0"/>
    <x v="806"/>
    <x v="1"/>
    <x v="0"/>
    <x v="0"/>
    <x v="0"/>
    <x v="128"/>
    <x v="2"/>
    <x v="3"/>
    <x v="3"/>
    <x v="0"/>
    <x v="0"/>
    <x v="3"/>
    <x v="20"/>
    <x v="0"/>
    <x v="20"/>
    <x v="194"/>
    <x v="9"/>
    <x v="49"/>
    <x v="1"/>
    <x v="1"/>
    <x v="1"/>
    <x v="1"/>
    <x v="545"/>
    <x v="1"/>
    <x v="20"/>
    <x v="806"/>
    <x v="806"/>
    <x v="1"/>
    <x v="806"/>
    <x v="806"/>
    <x v="805"/>
    <x v="765"/>
    <x v="805"/>
    <x v="806"/>
    <x v="806"/>
    <x v="806"/>
    <x v="806"/>
    <x v="806"/>
    <x v="806"/>
    <x v="806"/>
    <x v="806"/>
    <x v="764"/>
    <x v="764"/>
    <x v="751"/>
    <x v="0"/>
    <x v="0"/>
    <x v="734"/>
    <x v="806"/>
    <x v="806"/>
    <x v="806"/>
    <x v="806"/>
    <x v="2"/>
  </r>
  <r>
    <x v="129"/>
    <x v="149"/>
    <x v="0"/>
    <x v="0"/>
    <x v="0"/>
    <x v="0"/>
    <x v="0"/>
    <x v="0"/>
    <x v="0"/>
    <x v="0"/>
    <x v="2"/>
    <x v="0"/>
    <x v="296"/>
    <x v="1"/>
    <x v="0"/>
    <x v="0"/>
    <x v="0"/>
    <x v="129"/>
    <x v="2"/>
    <x v="3"/>
    <x v="3"/>
    <x v="0"/>
    <x v="0"/>
    <x v="3"/>
    <x v="24"/>
    <x v="0"/>
    <x v="31"/>
    <x v="199"/>
    <x v="9"/>
    <x v="49"/>
    <x v="1"/>
    <x v="1"/>
    <x v="1"/>
    <x v="1"/>
    <x v="198"/>
    <x v="1"/>
    <x v="31"/>
    <x v="296"/>
    <x v="296"/>
    <x v="0"/>
    <x v="296"/>
    <x v="295"/>
    <x v="299"/>
    <x v="292"/>
    <x v="299"/>
    <x v="295"/>
    <x v="295"/>
    <x v="295"/>
    <x v="295"/>
    <x v="295"/>
    <x v="295"/>
    <x v="295"/>
    <x v="296"/>
    <x v="293"/>
    <x v="293"/>
    <x v="256"/>
    <x v="0"/>
    <x v="0"/>
    <x v="397"/>
    <x v="296"/>
    <x v="296"/>
    <x v="296"/>
    <x v="296"/>
    <x v="2"/>
  </r>
  <r>
    <x v="130"/>
    <x v="143"/>
    <x v="0"/>
    <x v="0"/>
    <x v="0"/>
    <x v="0"/>
    <x v="0"/>
    <x v="0"/>
    <x v="0"/>
    <x v="0"/>
    <x v="2"/>
    <x v="0"/>
    <x v="202"/>
    <x v="1"/>
    <x v="0"/>
    <x v="0"/>
    <x v="0"/>
    <x v="130"/>
    <x v="2"/>
    <x v="3"/>
    <x v="3"/>
    <x v="0"/>
    <x v="0"/>
    <x v="3"/>
    <x v="24"/>
    <x v="0"/>
    <x v="19"/>
    <x v="209"/>
    <x v="9"/>
    <x v="49"/>
    <x v="1"/>
    <x v="1"/>
    <x v="1"/>
    <x v="1"/>
    <x v="117"/>
    <x v="1"/>
    <x v="19"/>
    <x v="203"/>
    <x v="203"/>
    <x v="0"/>
    <x v="203"/>
    <x v="213"/>
    <x v="214"/>
    <x v="203"/>
    <x v="214"/>
    <x v="213"/>
    <x v="213"/>
    <x v="213"/>
    <x v="213"/>
    <x v="213"/>
    <x v="213"/>
    <x v="213"/>
    <x v="203"/>
    <x v="204"/>
    <x v="204"/>
    <x v="179"/>
    <x v="0"/>
    <x v="0"/>
    <x v="198"/>
    <x v="203"/>
    <x v="203"/>
    <x v="203"/>
    <x v="203"/>
    <x v="2"/>
  </r>
  <r>
    <x v="131"/>
    <x v="154"/>
    <x v="0"/>
    <x v="0"/>
    <x v="0"/>
    <x v="0"/>
    <x v="0"/>
    <x v="0"/>
    <x v="0"/>
    <x v="0"/>
    <x v="2"/>
    <x v="0"/>
    <x v="355"/>
    <x v="1"/>
    <x v="0"/>
    <x v="0"/>
    <x v="0"/>
    <x v="131"/>
    <x v="2"/>
    <x v="3"/>
    <x v="3"/>
    <x v="0"/>
    <x v="0"/>
    <x v="3"/>
    <x v="24"/>
    <x v="0"/>
    <x v="19"/>
    <x v="198"/>
    <x v="9"/>
    <x v="49"/>
    <x v="1"/>
    <x v="1"/>
    <x v="1"/>
    <x v="1"/>
    <x v="239"/>
    <x v="1"/>
    <x v="19"/>
    <x v="355"/>
    <x v="355"/>
    <x v="0"/>
    <x v="355"/>
    <x v="351"/>
    <x v="360"/>
    <x v="336"/>
    <x v="360"/>
    <x v="351"/>
    <x v="351"/>
    <x v="351"/>
    <x v="351"/>
    <x v="351"/>
    <x v="351"/>
    <x v="351"/>
    <x v="355"/>
    <x v="336"/>
    <x v="336"/>
    <x v="317"/>
    <x v="0"/>
    <x v="0"/>
    <x v="370"/>
    <x v="355"/>
    <x v="355"/>
    <x v="355"/>
    <x v="355"/>
    <x v="2"/>
  </r>
  <r>
    <x v="132"/>
    <x v="160"/>
    <x v="0"/>
    <x v="0"/>
    <x v="0"/>
    <x v="0"/>
    <x v="0"/>
    <x v="0"/>
    <x v="0"/>
    <x v="0"/>
    <x v="2"/>
    <x v="0"/>
    <x v="815"/>
    <x v="1"/>
    <x v="0"/>
    <x v="0"/>
    <x v="0"/>
    <x v="132"/>
    <x v="2"/>
    <x v="3"/>
    <x v="3"/>
    <x v="0"/>
    <x v="0"/>
    <x v="3"/>
    <x v="25"/>
    <x v="0"/>
    <x v="19"/>
    <x v="201"/>
    <x v="9"/>
    <x v="49"/>
    <x v="1"/>
    <x v="1"/>
    <x v="1"/>
    <x v="1"/>
    <x v="554"/>
    <x v="1"/>
    <x v="19"/>
    <x v="815"/>
    <x v="815"/>
    <x v="1"/>
    <x v="815"/>
    <x v="817"/>
    <x v="819"/>
    <x v="779"/>
    <x v="819"/>
    <x v="817"/>
    <x v="817"/>
    <x v="817"/>
    <x v="817"/>
    <x v="817"/>
    <x v="817"/>
    <x v="817"/>
    <x v="815"/>
    <x v="775"/>
    <x v="775"/>
    <x v="758"/>
    <x v="0"/>
    <x v="0"/>
    <x v="729"/>
    <x v="815"/>
    <x v="815"/>
    <x v="815"/>
    <x v="815"/>
    <x v="2"/>
  </r>
  <r>
    <x v="133"/>
    <x v="151"/>
    <x v="0"/>
    <x v="0"/>
    <x v="0"/>
    <x v="0"/>
    <x v="0"/>
    <x v="0"/>
    <x v="0"/>
    <x v="0"/>
    <x v="2"/>
    <x v="0"/>
    <x v="319"/>
    <x v="1"/>
    <x v="0"/>
    <x v="0"/>
    <x v="0"/>
    <x v="133"/>
    <x v="2"/>
    <x v="3"/>
    <x v="3"/>
    <x v="0"/>
    <x v="0"/>
    <x v="3"/>
    <x v="25"/>
    <x v="0"/>
    <x v="19"/>
    <x v="216"/>
    <x v="9"/>
    <x v="49"/>
    <x v="1"/>
    <x v="1"/>
    <x v="1"/>
    <x v="1"/>
    <x v="210"/>
    <x v="1"/>
    <x v="19"/>
    <x v="319"/>
    <x v="319"/>
    <x v="0"/>
    <x v="319"/>
    <x v="311"/>
    <x v="314"/>
    <x v="307"/>
    <x v="314"/>
    <x v="311"/>
    <x v="311"/>
    <x v="311"/>
    <x v="311"/>
    <x v="311"/>
    <x v="311"/>
    <x v="311"/>
    <x v="319"/>
    <x v="306"/>
    <x v="306"/>
    <x v="277"/>
    <x v="0"/>
    <x v="0"/>
    <x v="316"/>
    <x v="319"/>
    <x v="319"/>
    <x v="319"/>
    <x v="319"/>
    <x v="2"/>
  </r>
  <r>
    <x v="134"/>
    <x v="163"/>
    <x v="0"/>
    <x v="0"/>
    <x v="0"/>
    <x v="0"/>
    <x v="0"/>
    <x v="0"/>
    <x v="0"/>
    <x v="0"/>
    <x v="2"/>
    <x v="0"/>
    <x v="843"/>
    <x v="1"/>
    <x v="0"/>
    <x v="0"/>
    <x v="0"/>
    <x v="134"/>
    <x v="2"/>
    <x v="3"/>
    <x v="3"/>
    <x v="0"/>
    <x v="0"/>
    <x v="3"/>
    <x v="27"/>
    <x v="0"/>
    <x v="19"/>
    <x v="204"/>
    <x v="9"/>
    <x v="49"/>
    <x v="1"/>
    <x v="1"/>
    <x v="1"/>
    <x v="1"/>
    <x v="587"/>
    <x v="1"/>
    <x v="19"/>
    <x v="843"/>
    <x v="843"/>
    <x v="1"/>
    <x v="843"/>
    <x v="854"/>
    <x v="854"/>
    <x v="827"/>
    <x v="854"/>
    <x v="854"/>
    <x v="854"/>
    <x v="854"/>
    <x v="854"/>
    <x v="854"/>
    <x v="854"/>
    <x v="854"/>
    <x v="843"/>
    <x v="824"/>
    <x v="824"/>
    <x v="783"/>
    <x v="0"/>
    <x v="0"/>
    <x v="774"/>
    <x v="843"/>
    <x v="843"/>
    <x v="843"/>
    <x v="843"/>
    <x v="2"/>
  </r>
  <r>
    <x v="135"/>
    <x v="171"/>
    <x v="0"/>
    <x v="0"/>
    <x v="0"/>
    <x v="0"/>
    <x v="0"/>
    <x v="0"/>
    <x v="0"/>
    <x v="0"/>
    <x v="2"/>
    <x v="0"/>
    <x v="870"/>
    <x v="1"/>
    <x v="0"/>
    <x v="0"/>
    <x v="0"/>
    <x v="135"/>
    <x v="2"/>
    <x v="3"/>
    <x v="3"/>
    <x v="0"/>
    <x v="0"/>
    <x v="3"/>
    <x v="27"/>
    <x v="0"/>
    <x v="18"/>
    <x v="206"/>
    <x v="9"/>
    <x v="49"/>
    <x v="1"/>
    <x v="1"/>
    <x v="1"/>
    <x v="1"/>
    <x v="614"/>
    <x v="1"/>
    <x v="18"/>
    <x v="870"/>
    <x v="870"/>
    <x v="1"/>
    <x v="870"/>
    <x v="884"/>
    <x v="874"/>
    <x v="862"/>
    <x v="874"/>
    <x v="884"/>
    <x v="884"/>
    <x v="884"/>
    <x v="884"/>
    <x v="884"/>
    <x v="884"/>
    <x v="884"/>
    <x v="870"/>
    <x v="859"/>
    <x v="859"/>
    <x v="805"/>
    <x v="0"/>
    <x v="0"/>
    <x v="792"/>
    <x v="870"/>
    <x v="870"/>
    <x v="870"/>
    <x v="870"/>
    <x v="2"/>
  </r>
  <r>
    <x v="136"/>
    <x v="199"/>
    <x v="0"/>
    <x v="0"/>
    <x v="0"/>
    <x v="0"/>
    <x v="0"/>
    <x v="0"/>
    <x v="0"/>
    <x v="0"/>
    <x v="2"/>
    <x v="0"/>
    <x v="1357"/>
    <x v="1"/>
    <x v="0"/>
    <x v="0"/>
    <x v="0"/>
    <x v="136"/>
    <x v="2"/>
    <x v="3"/>
    <x v="3"/>
    <x v="0"/>
    <x v="0"/>
    <x v="3"/>
    <x v="20"/>
    <x v="0"/>
    <x v="14"/>
    <x v="235"/>
    <x v="9"/>
    <x v="49"/>
    <x v="1"/>
    <x v="1"/>
    <x v="1"/>
    <x v="1"/>
    <x v="1252"/>
    <x v="1"/>
    <x v="14"/>
    <x v="1355"/>
    <x v="1355"/>
    <x v="4"/>
    <x v="1355"/>
    <x v="1390"/>
    <x v="1377"/>
    <x v="1386"/>
    <x v="1377"/>
    <x v="1390"/>
    <x v="1390"/>
    <x v="1390"/>
    <x v="1390"/>
    <x v="1390"/>
    <x v="1390"/>
    <x v="1390"/>
    <x v="1355"/>
    <x v="1384"/>
    <x v="1384"/>
    <x v="1272"/>
    <x v="0"/>
    <x v="0"/>
    <x v="1367"/>
    <x v="1355"/>
    <x v="1355"/>
    <x v="1355"/>
    <x v="1355"/>
    <x v="2"/>
  </r>
  <r>
    <x v="137"/>
    <x v="160"/>
    <x v="0"/>
    <x v="0"/>
    <x v="0"/>
    <x v="0"/>
    <x v="0"/>
    <x v="0"/>
    <x v="0"/>
    <x v="0"/>
    <x v="2"/>
    <x v="0"/>
    <x v="295"/>
    <x v="1"/>
    <x v="0"/>
    <x v="0"/>
    <x v="0"/>
    <x v="137"/>
    <x v="2"/>
    <x v="3"/>
    <x v="3"/>
    <x v="0"/>
    <x v="0"/>
    <x v="3"/>
    <x v="25"/>
    <x v="0"/>
    <x v="19"/>
    <x v="200"/>
    <x v="9"/>
    <x v="49"/>
    <x v="1"/>
    <x v="1"/>
    <x v="1"/>
    <x v="1"/>
    <x v="196"/>
    <x v="1"/>
    <x v="19"/>
    <x v="295"/>
    <x v="295"/>
    <x v="0"/>
    <x v="295"/>
    <x v="294"/>
    <x v="298"/>
    <x v="291"/>
    <x v="298"/>
    <x v="294"/>
    <x v="294"/>
    <x v="294"/>
    <x v="294"/>
    <x v="294"/>
    <x v="294"/>
    <x v="294"/>
    <x v="295"/>
    <x v="291"/>
    <x v="291"/>
    <x v="254"/>
    <x v="0"/>
    <x v="0"/>
    <x v="291"/>
    <x v="295"/>
    <x v="295"/>
    <x v="295"/>
    <x v="295"/>
    <x v="2"/>
  </r>
  <r>
    <x v="138"/>
    <x v="168"/>
    <x v="0"/>
    <x v="0"/>
    <x v="0"/>
    <x v="0"/>
    <x v="0"/>
    <x v="0"/>
    <x v="0"/>
    <x v="0"/>
    <x v="2"/>
    <x v="0"/>
    <x v="767"/>
    <x v="1"/>
    <x v="0"/>
    <x v="0"/>
    <x v="0"/>
    <x v="138"/>
    <x v="2"/>
    <x v="3"/>
    <x v="3"/>
    <x v="0"/>
    <x v="0"/>
    <x v="3"/>
    <x v="28"/>
    <x v="0"/>
    <x v="29"/>
    <x v="197"/>
    <x v="9"/>
    <x v="49"/>
    <x v="1"/>
    <x v="1"/>
    <x v="1"/>
    <x v="1"/>
    <x v="512"/>
    <x v="1"/>
    <x v="29"/>
    <x v="767"/>
    <x v="767"/>
    <x v="1"/>
    <x v="767"/>
    <x v="753"/>
    <x v="762"/>
    <x v="714"/>
    <x v="762"/>
    <x v="753"/>
    <x v="753"/>
    <x v="753"/>
    <x v="753"/>
    <x v="753"/>
    <x v="753"/>
    <x v="753"/>
    <x v="767"/>
    <x v="717"/>
    <x v="717"/>
    <x v="704"/>
    <x v="0"/>
    <x v="0"/>
    <x v="839"/>
    <x v="767"/>
    <x v="767"/>
    <x v="767"/>
    <x v="767"/>
    <x v="2"/>
  </r>
  <r>
    <x v="139"/>
    <x v="163"/>
    <x v="0"/>
    <x v="0"/>
    <x v="0"/>
    <x v="0"/>
    <x v="0"/>
    <x v="0"/>
    <x v="0"/>
    <x v="0"/>
    <x v="2"/>
    <x v="0"/>
    <x v="252"/>
    <x v="1"/>
    <x v="0"/>
    <x v="0"/>
    <x v="0"/>
    <x v="139"/>
    <x v="2"/>
    <x v="3"/>
    <x v="3"/>
    <x v="0"/>
    <x v="0"/>
    <x v="3"/>
    <x v="27"/>
    <x v="0"/>
    <x v="19"/>
    <x v="202"/>
    <x v="9"/>
    <x v="49"/>
    <x v="1"/>
    <x v="1"/>
    <x v="1"/>
    <x v="1"/>
    <x v="163"/>
    <x v="1"/>
    <x v="19"/>
    <x v="252"/>
    <x v="252"/>
    <x v="0"/>
    <x v="252"/>
    <x v="255"/>
    <x v="256"/>
    <x v="250"/>
    <x v="256"/>
    <x v="255"/>
    <x v="255"/>
    <x v="255"/>
    <x v="255"/>
    <x v="255"/>
    <x v="255"/>
    <x v="255"/>
    <x v="252"/>
    <x v="251"/>
    <x v="251"/>
    <x v="220"/>
    <x v="0"/>
    <x v="0"/>
    <x v="243"/>
    <x v="252"/>
    <x v="252"/>
    <x v="252"/>
    <x v="252"/>
    <x v="2"/>
  </r>
  <r>
    <x v="140"/>
    <x v="163"/>
    <x v="0"/>
    <x v="0"/>
    <x v="0"/>
    <x v="0"/>
    <x v="0"/>
    <x v="0"/>
    <x v="0"/>
    <x v="0"/>
    <x v="2"/>
    <x v="0"/>
    <x v="284"/>
    <x v="1"/>
    <x v="0"/>
    <x v="0"/>
    <x v="0"/>
    <x v="140"/>
    <x v="2"/>
    <x v="3"/>
    <x v="3"/>
    <x v="0"/>
    <x v="0"/>
    <x v="3"/>
    <x v="27"/>
    <x v="0"/>
    <x v="19"/>
    <x v="203"/>
    <x v="9"/>
    <x v="49"/>
    <x v="1"/>
    <x v="1"/>
    <x v="1"/>
    <x v="1"/>
    <x v="189"/>
    <x v="1"/>
    <x v="19"/>
    <x v="284"/>
    <x v="284"/>
    <x v="0"/>
    <x v="284"/>
    <x v="289"/>
    <x v="289"/>
    <x v="282"/>
    <x v="289"/>
    <x v="289"/>
    <x v="289"/>
    <x v="289"/>
    <x v="289"/>
    <x v="289"/>
    <x v="289"/>
    <x v="289"/>
    <x v="284"/>
    <x v="283"/>
    <x v="283"/>
    <x v="249"/>
    <x v="0"/>
    <x v="0"/>
    <x v="276"/>
    <x v="284"/>
    <x v="284"/>
    <x v="284"/>
    <x v="284"/>
    <x v="2"/>
  </r>
  <r>
    <x v="141"/>
    <x v="171"/>
    <x v="0"/>
    <x v="0"/>
    <x v="0"/>
    <x v="0"/>
    <x v="0"/>
    <x v="0"/>
    <x v="0"/>
    <x v="0"/>
    <x v="2"/>
    <x v="0"/>
    <x v="186"/>
    <x v="1"/>
    <x v="0"/>
    <x v="0"/>
    <x v="0"/>
    <x v="141"/>
    <x v="2"/>
    <x v="3"/>
    <x v="3"/>
    <x v="0"/>
    <x v="0"/>
    <x v="3"/>
    <x v="27"/>
    <x v="0"/>
    <x v="18"/>
    <x v="205"/>
    <x v="9"/>
    <x v="49"/>
    <x v="1"/>
    <x v="1"/>
    <x v="1"/>
    <x v="1"/>
    <x v="100"/>
    <x v="1"/>
    <x v="18"/>
    <x v="187"/>
    <x v="187"/>
    <x v="0"/>
    <x v="187"/>
    <x v="191"/>
    <x v="192"/>
    <x v="187"/>
    <x v="192"/>
    <x v="191"/>
    <x v="191"/>
    <x v="191"/>
    <x v="191"/>
    <x v="191"/>
    <x v="191"/>
    <x v="191"/>
    <x v="187"/>
    <x v="185"/>
    <x v="185"/>
    <x v="162"/>
    <x v="0"/>
    <x v="0"/>
    <x v="183"/>
    <x v="187"/>
    <x v="187"/>
    <x v="187"/>
    <x v="187"/>
    <x v="2"/>
  </r>
  <r>
    <x v="142"/>
    <x v="178"/>
    <x v="0"/>
    <x v="0"/>
    <x v="0"/>
    <x v="0"/>
    <x v="0"/>
    <x v="0"/>
    <x v="0"/>
    <x v="0"/>
    <x v="2"/>
    <x v="0"/>
    <x v="254"/>
    <x v="1"/>
    <x v="0"/>
    <x v="0"/>
    <x v="0"/>
    <x v="142"/>
    <x v="2"/>
    <x v="3"/>
    <x v="3"/>
    <x v="0"/>
    <x v="0"/>
    <x v="3"/>
    <x v="28"/>
    <x v="0"/>
    <x v="33"/>
    <x v="213"/>
    <x v="9"/>
    <x v="49"/>
    <x v="1"/>
    <x v="1"/>
    <x v="1"/>
    <x v="1"/>
    <x v="164"/>
    <x v="1"/>
    <x v="33"/>
    <x v="254"/>
    <x v="254"/>
    <x v="0"/>
    <x v="254"/>
    <x v="259"/>
    <x v="259"/>
    <x v="252"/>
    <x v="259"/>
    <x v="259"/>
    <x v="259"/>
    <x v="259"/>
    <x v="259"/>
    <x v="259"/>
    <x v="259"/>
    <x v="259"/>
    <x v="254"/>
    <x v="252"/>
    <x v="252"/>
    <x v="223"/>
    <x v="0"/>
    <x v="0"/>
    <x v="352"/>
    <x v="254"/>
    <x v="254"/>
    <x v="254"/>
    <x v="254"/>
    <x v="2"/>
  </r>
  <r>
    <x v="143"/>
    <x v="180"/>
    <x v="0"/>
    <x v="0"/>
    <x v="0"/>
    <x v="0"/>
    <x v="0"/>
    <x v="0"/>
    <x v="0"/>
    <x v="0"/>
    <x v="2"/>
    <x v="0"/>
    <x v="303"/>
    <x v="1"/>
    <x v="0"/>
    <x v="0"/>
    <x v="0"/>
    <x v="143"/>
    <x v="2"/>
    <x v="3"/>
    <x v="3"/>
    <x v="0"/>
    <x v="0"/>
    <x v="3"/>
    <x v="27"/>
    <x v="0"/>
    <x v="19"/>
    <x v="217"/>
    <x v="9"/>
    <x v="49"/>
    <x v="1"/>
    <x v="1"/>
    <x v="1"/>
    <x v="1"/>
    <x v="202"/>
    <x v="1"/>
    <x v="19"/>
    <x v="303"/>
    <x v="303"/>
    <x v="0"/>
    <x v="303"/>
    <x v="301"/>
    <x v="304"/>
    <x v="296"/>
    <x v="304"/>
    <x v="301"/>
    <x v="301"/>
    <x v="301"/>
    <x v="301"/>
    <x v="301"/>
    <x v="301"/>
    <x v="301"/>
    <x v="303"/>
    <x v="296"/>
    <x v="296"/>
    <x v="262"/>
    <x v="0"/>
    <x v="0"/>
    <x v="302"/>
    <x v="303"/>
    <x v="303"/>
    <x v="303"/>
    <x v="303"/>
    <x v="2"/>
  </r>
  <r>
    <x v="144"/>
    <x v="166"/>
    <x v="0"/>
    <x v="0"/>
    <x v="0"/>
    <x v="0"/>
    <x v="0"/>
    <x v="0"/>
    <x v="0"/>
    <x v="0"/>
    <x v="2"/>
    <x v="0"/>
    <x v="783"/>
    <x v="1"/>
    <x v="0"/>
    <x v="0"/>
    <x v="0"/>
    <x v="144"/>
    <x v="2"/>
    <x v="3"/>
    <x v="3"/>
    <x v="0"/>
    <x v="0"/>
    <x v="3"/>
    <x v="24"/>
    <x v="0"/>
    <x v="29"/>
    <x v="219"/>
    <x v="9"/>
    <x v="49"/>
    <x v="1"/>
    <x v="1"/>
    <x v="1"/>
    <x v="1"/>
    <x v="524"/>
    <x v="1"/>
    <x v="29"/>
    <x v="783"/>
    <x v="783"/>
    <x v="1"/>
    <x v="783"/>
    <x v="776"/>
    <x v="781"/>
    <x v="736"/>
    <x v="781"/>
    <x v="776"/>
    <x v="776"/>
    <x v="776"/>
    <x v="776"/>
    <x v="776"/>
    <x v="776"/>
    <x v="776"/>
    <x v="783"/>
    <x v="734"/>
    <x v="734"/>
    <x v="721"/>
    <x v="0"/>
    <x v="0"/>
    <x v="852"/>
    <x v="783"/>
    <x v="783"/>
    <x v="783"/>
    <x v="783"/>
    <x v="2"/>
  </r>
  <r>
    <x v="145"/>
    <x v="179"/>
    <x v="0"/>
    <x v="0"/>
    <x v="0"/>
    <x v="0"/>
    <x v="0"/>
    <x v="0"/>
    <x v="0"/>
    <x v="0"/>
    <x v="2"/>
    <x v="0"/>
    <x v="164"/>
    <x v="1"/>
    <x v="0"/>
    <x v="0"/>
    <x v="0"/>
    <x v="145"/>
    <x v="2"/>
    <x v="3"/>
    <x v="3"/>
    <x v="0"/>
    <x v="0"/>
    <x v="3"/>
    <x v="28"/>
    <x v="0"/>
    <x v="33"/>
    <x v="215"/>
    <x v="9"/>
    <x v="49"/>
    <x v="1"/>
    <x v="1"/>
    <x v="1"/>
    <x v="1"/>
    <x v="83"/>
    <x v="1"/>
    <x v="33"/>
    <x v="165"/>
    <x v="165"/>
    <x v="0"/>
    <x v="165"/>
    <x v="173"/>
    <x v="171"/>
    <x v="165"/>
    <x v="171"/>
    <x v="173"/>
    <x v="173"/>
    <x v="173"/>
    <x v="173"/>
    <x v="173"/>
    <x v="173"/>
    <x v="173"/>
    <x v="165"/>
    <x v="165"/>
    <x v="165"/>
    <x v="140"/>
    <x v="0"/>
    <x v="0"/>
    <x v="210"/>
    <x v="165"/>
    <x v="165"/>
    <x v="165"/>
    <x v="165"/>
    <x v="2"/>
  </r>
  <r>
    <x v="146"/>
    <x v="176"/>
    <x v="0"/>
    <x v="0"/>
    <x v="0"/>
    <x v="0"/>
    <x v="0"/>
    <x v="2"/>
    <x v="0"/>
    <x v="0"/>
    <x v="2"/>
    <x v="0"/>
    <x v="849"/>
    <x v="1"/>
    <x v="0"/>
    <x v="0"/>
    <x v="0"/>
    <x v="146"/>
    <x v="1"/>
    <x v="3"/>
    <x v="3"/>
    <x v="0"/>
    <x v="0"/>
    <x v="3"/>
    <x v="27"/>
    <x v="0"/>
    <x v="18"/>
    <x v="207"/>
    <x v="1"/>
    <x v="1"/>
    <x v="1"/>
    <x v="3"/>
    <x v="2"/>
    <x v="1"/>
    <x v="1082"/>
    <x v="3"/>
    <x v="18"/>
    <x v="849"/>
    <x v="849"/>
    <x v="1"/>
    <x v="849"/>
    <x v="933"/>
    <x v="916"/>
    <x v="951"/>
    <x v="916"/>
    <x v="933"/>
    <x v="933"/>
    <x v="933"/>
    <x v="933"/>
    <x v="933"/>
    <x v="933"/>
    <x v="933"/>
    <x v="849"/>
    <x v="947"/>
    <x v="947"/>
    <x v="797"/>
    <x v="0"/>
    <x v="0"/>
    <x v="897"/>
    <x v="849"/>
    <x v="849"/>
    <x v="849"/>
    <x v="849"/>
    <x v="2"/>
  </r>
  <r>
    <x v="147"/>
    <x v="193"/>
    <x v="0"/>
    <x v="0"/>
    <x v="0"/>
    <x v="0"/>
    <x v="0"/>
    <x v="0"/>
    <x v="0"/>
    <x v="0"/>
    <x v="2"/>
    <x v="0"/>
    <x v="793"/>
    <x v="1"/>
    <x v="0"/>
    <x v="0"/>
    <x v="0"/>
    <x v="147"/>
    <x v="2"/>
    <x v="3"/>
    <x v="3"/>
    <x v="0"/>
    <x v="0"/>
    <x v="3"/>
    <x v="27"/>
    <x v="0"/>
    <x v="17"/>
    <x v="221"/>
    <x v="9"/>
    <x v="49"/>
    <x v="1"/>
    <x v="1"/>
    <x v="1"/>
    <x v="1"/>
    <x v="534"/>
    <x v="1"/>
    <x v="17"/>
    <x v="793"/>
    <x v="793"/>
    <x v="1"/>
    <x v="793"/>
    <x v="791"/>
    <x v="794"/>
    <x v="748"/>
    <x v="794"/>
    <x v="791"/>
    <x v="791"/>
    <x v="791"/>
    <x v="791"/>
    <x v="791"/>
    <x v="791"/>
    <x v="791"/>
    <x v="793"/>
    <x v="748"/>
    <x v="748"/>
    <x v="734"/>
    <x v="0"/>
    <x v="0"/>
    <x v="655"/>
    <x v="793"/>
    <x v="793"/>
    <x v="793"/>
    <x v="793"/>
    <x v="2"/>
  </r>
  <r>
    <x v="148"/>
    <x v="182"/>
    <x v="0"/>
    <x v="0"/>
    <x v="0"/>
    <x v="0"/>
    <x v="0"/>
    <x v="0"/>
    <x v="0"/>
    <x v="0"/>
    <x v="2"/>
    <x v="0"/>
    <x v="194"/>
    <x v="1"/>
    <x v="0"/>
    <x v="0"/>
    <x v="0"/>
    <x v="148"/>
    <x v="2"/>
    <x v="3"/>
    <x v="3"/>
    <x v="0"/>
    <x v="0"/>
    <x v="3"/>
    <x v="30"/>
    <x v="0"/>
    <x v="32"/>
    <x v="196"/>
    <x v="9"/>
    <x v="49"/>
    <x v="1"/>
    <x v="1"/>
    <x v="1"/>
    <x v="1"/>
    <x v="110"/>
    <x v="1"/>
    <x v="32"/>
    <x v="195"/>
    <x v="195"/>
    <x v="0"/>
    <x v="195"/>
    <x v="204"/>
    <x v="204"/>
    <x v="194"/>
    <x v="204"/>
    <x v="204"/>
    <x v="204"/>
    <x v="204"/>
    <x v="204"/>
    <x v="204"/>
    <x v="204"/>
    <x v="204"/>
    <x v="195"/>
    <x v="194"/>
    <x v="194"/>
    <x v="172"/>
    <x v="0"/>
    <x v="0"/>
    <x v="245"/>
    <x v="195"/>
    <x v="195"/>
    <x v="195"/>
    <x v="195"/>
    <x v="2"/>
  </r>
  <r>
    <x v="149"/>
    <x v="192"/>
    <x v="0"/>
    <x v="0"/>
    <x v="0"/>
    <x v="0"/>
    <x v="0"/>
    <x v="0"/>
    <x v="0"/>
    <x v="0"/>
    <x v="2"/>
    <x v="0"/>
    <x v="281"/>
    <x v="1"/>
    <x v="0"/>
    <x v="0"/>
    <x v="0"/>
    <x v="149"/>
    <x v="2"/>
    <x v="3"/>
    <x v="3"/>
    <x v="0"/>
    <x v="0"/>
    <x v="3"/>
    <x v="30"/>
    <x v="0"/>
    <x v="32"/>
    <x v="211"/>
    <x v="9"/>
    <x v="49"/>
    <x v="1"/>
    <x v="1"/>
    <x v="1"/>
    <x v="1"/>
    <x v="186"/>
    <x v="1"/>
    <x v="32"/>
    <x v="281"/>
    <x v="281"/>
    <x v="0"/>
    <x v="281"/>
    <x v="286"/>
    <x v="285"/>
    <x v="278"/>
    <x v="285"/>
    <x v="286"/>
    <x v="286"/>
    <x v="286"/>
    <x v="286"/>
    <x v="286"/>
    <x v="286"/>
    <x v="286"/>
    <x v="281"/>
    <x v="278"/>
    <x v="278"/>
    <x v="246"/>
    <x v="0"/>
    <x v="0"/>
    <x v="383"/>
    <x v="281"/>
    <x v="281"/>
    <x v="281"/>
    <x v="281"/>
    <x v="2"/>
  </r>
  <r>
    <x v="150"/>
    <x v="186"/>
    <x v="0"/>
    <x v="0"/>
    <x v="0"/>
    <x v="0"/>
    <x v="0"/>
    <x v="2"/>
    <x v="0"/>
    <x v="0"/>
    <x v="2"/>
    <x v="0"/>
    <x v="234"/>
    <x v="1"/>
    <x v="0"/>
    <x v="0"/>
    <x v="0"/>
    <x v="150"/>
    <x v="1"/>
    <x v="3"/>
    <x v="3"/>
    <x v="0"/>
    <x v="0"/>
    <x v="3"/>
    <x v="27"/>
    <x v="0"/>
    <x v="18"/>
    <x v="220"/>
    <x v="1"/>
    <x v="1"/>
    <x v="1"/>
    <x v="3"/>
    <x v="2"/>
    <x v="1"/>
    <x v="481"/>
    <x v="3"/>
    <x v="18"/>
    <x v="234"/>
    <x v="234"/>
    <x v="0"/>
    <x v="234"/>
    <x v="270"/>
    <x v="264"/>
    <x v="279"/>
    <x v="264"/>
    <x v="270"/>
    <x v="270"/>
    <x v="270"/>
    <x v="270"/>
    <x v="270"/>
    <x v="270"/>
    <x v="270"/>
    <x v="234"/>
    <x v="274"/>
    <x v="274"/>
    <x v="210"/>
    <x v="0"/>
    <x v="0"/>
    <x v="264"/>
    <x v="234"/>
    <x v="234"/>
    <x v="234"/>
    <x v="234"/>
    <x v="2"/>
  </r>
  <r>
    <x v="151"/>
    <x v="202"/>
    <x v="0"/>
    <x v="0"/>
    <x v="0"/>
    <x v="0"/>
    <x v="0"/>
    <x v="0"/>
    <x v="0"/>
    <x v="0"/>
    <x v="2"/>
    <x v="0"/>
    <x v="741"/>
    <x v="1"/>
    <x v="0"/>
    <x v="0"/>
    <x v="0"/>
    <x v="151"/>
    <x v="2"/>
    <x v="3"/>
    <x v="3"/>
    <x v="0"/>
    <x v="0"/>
    <x v="3"/>
    <x v="27"/>
    <x v="0"/>
    <x v="17"/>
    <x v="223"/>
    <x v="9"/>
    <x v="49"/>
    <x v="1"/>
    <x v="1"/>
    <x v="1"/>
    <x v="1"/>
    <x v="490"/>
    <x v="1"/>
    <x v="17"/>
    <x v="741"/>
    <x v="741"/>
    <x v="1"/>
    <x v="741"/>
    <x v="712"/>
    <x v="734"/>
    <x v="675"/>
    <x v="734"/>
    <x v="712"/>
    <x v="712"/>
    <x v="712"/>
    <x v="712"/>
    <x v="712"/>
    <x v="712"/>
    <x v="712"/>
    <x v="741"/>
    <x v="677"/>
    <x v="677"/>
    <x v="679"/>
    <x v="0"/>
    <x v="0"/>
    <x v="598"/>
    <x v="741"/>
    <x v="741"/>
    <x v="741"/>
    <x v="741"/>
    <x v="2"/>
  </r>
  <r>
    <x v="152"/>
    <x v="195"/>
    <x v="0"/>
    <x v="0"/>
    <x v="0"/>
    <x v="0"/>
    <x v="0"/>
    <x v="0"/>
    <x v="0"/>
    <x v="0"/>
    <x v="2"/>
    <x v="0"/>
    <x v="263"/>
    <x v="1"/>
    <x v="0"/>
    <x v="0"/>
    <x v="0"/>
    <x v="152"/>
    <x v="2"/>
    <x v="3"/>
    <x v="3"/>
    <x v="0"/>
    <x v="0"/>
    <x v="3"/>
    <x v="30"/>
    <x v="0"/>
    <x v="32"/>
    <x v="214"/>
    <x v="9"/>
    <x v="49"/>
    <x v="1"/>
    <x v="1"/>
    <x v="1"/>
    <x v="1"/>
    <x v="172"/>
    <x v="1"/>
    <x v="32"/>
    <x v="263"/>
    <x v="263"/>
    <x v="0"/>
    <x v="263"/>
    <x v="268"/>
    <x v="270"/>
    <x v="262"/>
    <x v="270"/>
    <x v="268"/>
    <x v="268"/>
    <x v="268"/>
    <x v="268"/>
    <x v="268"/>
    <x v="268"/>
    <x v="268"/>
    <x v="263"/>
    <x v="261"/>
    <x v="261"/>
    <x v="230"/>
    <x v="0"/>
    <x v="0"/>
    <x v="358"/>
    <x v="263"/>
    <x v="263"/>
    <x v="263"/>
    <x v="263"/>
    <x v="2"/>
  </r>
  <r>
    <x v="153"/>
    <x v="204"/>
    <x v="0"/>
    <x v="0"/>
    <x v="0"/>
    <x v="0"/>
    <x v="0"/>
    <x v="0"/>
    <x v="0"/>
    <x v="0"/>
    <x v="2"/>
    <x v="0"/>
    <x v="851"/>
    <x v="1"/>
    <x v="0"/>
    <x v="0"/>
    <x v="0"/>
    <x v="153"/>
    <x v="2"/>
    <x v="3"/>
    <x v="3"/>
    <x v="0"/>
    <x v="0"/>
    <x v="3"/>
    <x v="27"/>
    <x v="0"/>
    <x v="17"/>
    <x v="224"/>
    <x v="9"/>
    <x v="49"/>
    <x v="1"/>
    <x v="1"/>
    <x v="1"/>
    <x v="1"/>
    <x v="596"/>
    <x v="1"/>
    <x v="17"/>
    <x v="851"/>
    <x v="851"/>
    <x v="1"/>
    <x v="851"/>
    <x v="863"/>
    <x v="860"/>
    <x v="836"/>
    <x v="860"/>
    <x v="863"/>
    <x v="863"/>
    <x v="863"/>
    <x v="863"/>
    <x v="863"/>
    <x v="863"/>
    <x v="863"/>
    <x v="851"/>
    <x v="834"/>
    <x v="834"/>
    <x v="789"/>
    <x v="0"/>
    <x v="0"/>
    <x v="745"/>
    <x v="851"/>
    <x v="851"/>
    <x v="851"/>
    <x v="851"/>
    <x v="2"/>
  </r>
  <r>
    <x v="154"/>
    <x v="193"/>
    <x v="0"/>
    <x v="0"/>
    <x v="0"/>
    <x v="0"/>
    <x v="0"/>
    <x v="2"/>
    <x v="0"/>
    <x v="0"/>
    <x v="2"/>
    <x v="0"/>
    <x v="730"/>
    <x v="1"/>
    <x v="0"/>
    <x v="0"/>
    <x v="0"/>
    <x v="154"/>
    <x v="1"/>
    <x v="3"/>
    <x v="3"/>
    <x v="0"/>
    <x v="0"/>
    <x v="3"/>
    <x v="27"/>
    <x v="0"/>
    <x v="17"/>
    <x v="222"/>
    <x v="1"/>
    <x v="1"/>
    <x v="1"/>
    <x v="3"/>
    <x v="2"/>
    <x v="1"/>
    <x v="1000"/>
    <x v="3"/>
    <x v="17"/>
    <x v="730"/>
    <x v="730"/>
    <x v="1"/>
    <x v="730"/>
    <x v="824"/>
    <x v="808"/>
    <x v="834"/>
    <x v="808"/>
    <x v="824"/>
    <x v="824"/>
    <x v="824"/>
    <x v="824"/>
    <x v="824"/>
    <x v="824"/>
    <x v="824"/>
    <x v="730"/>
    <x v="827"/>
    <x v="827"/>
    <x v="690"/>
    <x v="0"/>
    <x v="0"/>
    <x v="736"/>
    <x v="730"/>
    <x v="730"/>
    <x v="730"/>
    <x v="730"/>
    <x v="2"/>
  </r>
  <r>
    <x v="155"/>
    <x v="200"/>
    <x v="0"/>
    <x v="0"/>
    <x v="0"/>
    <x v="0"/>
    <x v="0"/>
    <x v="0"/>
    <x v="0"/>
    <x v="0"/>
    <x v="2"/>
    <x v="0"/>
    <x v="175"/>
    <x v="1"/>
    <x v="0"/>
    <x v="0"/>
    <x v="0"/>
    <x v="155"/>
    <x v="2"/>
    <x v="3"/>
    <x v="3"/>
    <x v="0"/>
    <x v="0"/>
    <x v="3"/>
    <x v="30"/>
    <x v="0"/>
    <x v="32"/>
    <x v="212"/>
    <x v="9"/>
    <x v="49"/>
    <x v="1"/>
    <x v="1"/>
    <x v="1"/>
    <x v="1"/>
    <x v="90"/>
    <x v="1"/>
    <x v="32"/>
    <x v="176"/>
    <x v="176"/>
    <x v="0"/>
    <x v="176"/>
    <x v="181"/>
    <x v="182"/>
    <x v="175"/>
    <x v="182"/>
    <x v="181"/>
    <x v="181"/>
    <x v="181"/>
    <x v="181"/>
    <x v="181"/>
    <x v="181"/>
    <x v="181"/>
    <x v="176"/>
    <x v="175"/>
    <x v="175"/>
    <x v="151"/>
    <x v="0"/>
    <x v="0"/>
    <x v="218"/>
    <x v="176"/>
    <x v="176"/>
    <x v="176"/>
    <x v="176"/>
    <x v="2"/>
  </r>
  <r>
    <x v="156"/>
    <x v="210"/>
    <x v="0"/>
    <x v="0"/>
    <x v="0"/>
    <x v="0"/>
    <x v="0"/>
    <x v="0"/>
    <x v="0"/>
    <x v="0"/>
    <x v="2"/>
    <x v="0"/>
    <x v="844"/>
    <x v="1"/>
    <x v="0"/>
    <x v="0"/>
    <x v="0"/>
    <x v="156"/>
    <x v="2"/>
    <x v="3"/>
    <x v="3"/>
    <x v="0"/>
    <x v="0"/>
    <x v="3"/>
    <x v="27"/>
    <x v="0"/>
    <x v="16"/>
    <x v="227"/>
    <x v="9"/>
    <x v="49"/>
    <x v="1"/>
    <x v="1"/>
    <x v="1"/>
    <x v="1"/>
    <x v="590"/>
    <x v="1"/>
    <x v="16"/>
    <x v="844"/>
    <x v="844"/>
    <x v="1"/>
    <x v="844"/>
    <x v="855"/>
    <x v="856"/>
    <x v="829"/>
    <x v="856"/>
    <x v="855"/>
    <x v="855"/>
    <x v="855"/>
    <x v="855"/>
    <x v="855"/>
    <x v="855"/>
    <x v="855"/>
    <x v="844"/>
    <x v="828"/>
    <x v="828"/>
    <x v="784"/>
    <x v="0"/>
    <x v="0"/>
    <x v="708"/>
    <x v="844"/>
    <x v="844"/>
    <x v="844"/>
    <x v="844"/>
    <x v="2"/>
  </r>
  <r>
    <x v="157"/>
    <x v="204"/>
    <x v="0"/>
    <x v="0"/>
    <x v="0"/>
    <x v="0"/>
    <x v="0"/>
    <x v="2"/>
    <x v="0"/>
    <x v="0"/>
    <x v="2"/>
    <x v="0"/>
    <x v="380"/>
    <x v="1"/>
    <x v="0"/>
    <x v="0"/>
    <x v="0"/>
    <x v="157"/>
    <x v="1"/>
    <x v="3"/>
    <x v="3"/>
    <x v="0"/>
    <x v="0"/>
    <x v="3"/>
    <x v="27"/>
    <x v="0"/>
    <x v="17"/>
    <x v="225"/>
    <x v="1"/>
    <x v="1"/>
    <x v="1"/>
    <x v="3"/>
    <x v="2"/>
    <x v="1"/>
    <x v="778"/>
    <x v="3"/>
    <x v="17"/>
    <x v="380"/>
    <x v="380"/>
    <x v="0"/>
    <x v="380"/>
    <x v="444"/>
    <x v="432"/>
    <x v="463"/>
    <x v="432"/>
    <x v="444"/>
    <x v="444"/>
    <x v="444"/>
    <x v="444"/>
    <x v="444"/>
    <x v="444"/>
    <x v="444"/>
    <x v="380"/>
    <x v="460"/>
    <x v="460"/>
    <x v="352"/>
    <x v="0"/>
    <x v="0"/>
    <x v="444"/>
    <x v="380"/>
    <x v="380"/>
    <x v="380"/>
    <x v="380"/>
    <x v="2"/>
  </r>
  <r>
    <x v="158"/>
    <x v="209"/>
    <x v="0"/>
    <x v="0"/>
    <x v="0"/>
    <x v="0"/>
    <x v="0"/>
    <x v="2"/>
    <x v="0"/>
    <x v="0"/>
    <x v="2"/>
    <x v="0"/>
    <x v="372"/>
    <x v="1"/>
    <x v="0"/>
    <x v="0"/>
    <x v="0"/>
    <x v="158"/>
    <x v="1"/>
    <x v="3"/>
    <x v="3"/>
    <x v="0"/>
    <x v="0"/>
    <x v="3"/>
    <x v="27"/>
    <x v="0"/>
    <x v="16"/>
    <x v="226"/>
    <x v="1"/>
    <x v="1"/>
    <x v="1"/>
    <x v="3"/>
    <x v="2"/>
    <x v="1"/>
    <x v="764"/>
    <x v="3"/>
    <x v="16"/>
    <x v="372"/>
    <x v="372"/>
    <x v="0"/>
    <x v="372"/>
    <x v="434"/>
    <x v="420"/>
    <x v="453"/>
    <x v="420"/>
    <x v="434"/>
    <x v="434"/>
    <x v="434"/>
    <x v="434"/>
    <x v="434"/>
    <x v="434"/>
    <x v="434"/>
    <x v="372"/>
    <x v="448"/>
    <x v="448"/>
    <x v="342"/>
    <x v="0"/>
    <x v="0"/>
    <x v="421"/>
    <x v="372"/>
    <x v="372"/>
    <x v="372"/>
    <x v="372"/>
    <x v="2"/>
  </r>
  <r>
    <x v="159"/>
    <x v="210"/>
    <x v="0"/>
    <x v="0"/>
    <x v="0"/>
    <x v="0"/>
    <x v="0"/>
    <x v="2"/>
    <x v="0"/>
    <x v="0"/>
    <x v="2"/>
    <x v="0"/>
    <x v="16"/>
    <x v="1"/>
    <x v="0"/>
    <x v="0"/>
    <x v="0"/>
    <x v="159"/>
    <x v="1"/>
    <x v="3"/>
    <x v="3"/>
    <x v="0"/>
    <x v="0"/>
    <x v="3"/>
    <x v="27"/>
    <x v="0"/>
    <x v="16"/>
    <x v="228"/>
    <x v="1"/>
    <x v="1"/>
    <x v="1"/>
    <x v="3"/>
    <x v="2"/>
    <x v="1"/>
    <x v="39"/>
    <x v="3"/>
    <x v="16"/>
    <x v="17"/>
    <x v="17"/>
    <x v="0"/>
    <x v="17"/>
    <x v="18"/>
    <x v="18"/>
    <x v="17"/>
    <x v="18"/>
    <x v="18"/>
    <x v="18"/>
    <x v="18"/>
    <x v="18"/>
    <x v="18"/>
    <x v="18"/>
    <x v="18"/>
    <x v="17"/>
    <x v="17"/>
    <x v="17"/>
    <x v="17"/>
    <x v="0"/>
    <x v="0"/>
    <x v="16"/>
    <x v="17"/>
    <x v="17"/>
    <x v="17"/>
    <x v="17"/>
    <x v="2"/>
  </r>
  <r>
    <x v="160"/>
    <x v="190"/>
    <x v="0"/>
    <x v="0"/>
    <x v="0"/>
    <x v="0"/>
    <x v="0"/>
    <x v="0"/>
    <x v="0"/>
    <x v="0"/>
    <x v="2"/>
    <x v="0"/>
    <x v="1292"/>
    <x v="1"/>
    <x v="0"/>
    <x v="0"/>
    <x v="0"/>
    <x v="160"/>
    <x v="2"/>
    <x v="3"/>
    <x v="3"/>
    <x v="0"/>
    <x v="0"/>
    <x v="3"/>
    <x v="27"/>
    <x v="0"/>
    <x v="18"/>
    <x v="218"/>
    <x v="9"/>
    <x v="49"/>
    <x v="1"/>
    <x v="1"/>
    <x v="1"/>
    <x v="1"/>
    <x v="1092"/>
    <x v="1"/>
    <x v="18"/>
    <x v="1290"/>
    <x v="1290"/>
    <x v="2"/>
    <x v="1290"/>
    <x v="1311"/>
    <x v="1304"/>
    <x v="1305"/>
    <x v="1304"/>
    <x v="1311"/>
    <x v="1311"/>
    <x v="1311"/>
    <x v="1311"/>
    <x v="1311"/>
    <x v="1311"/>
    <x v="1311"/>
    <x v="1290"/>
    <x v="1304"/>
    <x v="1304"/>
    <x v="1211"/>
    <x v="0"/>
    <x v="0"/>
    <x v="1277"/>
    <x v="1290"/>
    <x v="1290"/>
    <x v="1290"/>
    <x v="1290"/>
    <x v="2"/>
  </r>
  <r>
    <x v="161"/>
    <x v="234"/>
    <x v="0"/>
    <x v="0"/>
    <x v="0"/>
    <x v="0"/>
    <x v="0"/>
    <x v="0"/>
    <x v="0"/>
    <x v="0"/>
    <x v="2"/>
    <x v="0"/>
    <x v="1355"/>
    <x v="1"/>
    <x v="0"/>
    <x v="0"/>
    <x v="0"/>
    <x v="161"/>
    <x v="2"/>
    <x v="3"/>
    <x v="3"/>
    <x v="0"/>
    <x v="0"/>
    <x v="3"/>
    <x v="98"/>
    <x v="0"/>
    <x v="29"/>
    <x v="284"/>
    <x v="9"/>
    <x v="49"/>
    <x v="1"/>
    <x v="1"/>
    <x v="1"/>
    <x v="1"/>
    <x v="1250"/>
    <x v="1"/>
    <x v="29"/>
    <x v="1353"/>
    <x v="1353"/>
    <x v="4"/>
    <x v="1353"/>
    <x v="1389"/>
    <x v="1376"/>
    <x v="1384"/>
    <x v="1376"/>
    <x v="1389"/>
    <x v="1389"/>
    <x v="1389"/>
    <x v="1389"/>
    <x v="1389"/>
    <x v="1389"/>
    <x v="1389"/>
    <x v="1353"/>
    <x v="1382"/>
    <x v="1382"/>
    <x v="1271"/>
    <x v="0"/>
    <x v="0"/>
    <x v="1407"/>
    <x v="1353"/>
    <x v="1353"/>
    <x v="1353"/>
    <x v="1353"/>
    <x v="2"/>
  </r>
  <r>
    <x v="162"/>
    <x v="212"/>
    <x v="0"/>
    <x v="0"/>
    <x v="0"/>
    <x v="0"/>
    <x v="0"/>
    <x v="0"/>
    <x v="0"/>
    <x v="0"/>
    <x v="2"/>
    <x v="0"/>
    <x v="149"/>
    <x v="1"/>
    <x v="0"/>
    <x v="0"/>
    <x v="0"/>
    <x v="162"/>
    <x v="2"/>
    <x v="3"/>
    <x v="3"/>
    <x v="0"/>
    <x v="0"/>
    <x v="3"/>
    <x v="128"/>
    <x v="0"/>
    <x v="31"/>
    <x v="193"/>
    <x v="9"/>
    <x v="49"/>
    <x v="1"/>
    <x v="1"/>
    <x v="1"/>
    <x v="1"/>
    <x v="73"/>
    <x v="1"/>
    <x v="31"/>
    <x v="150"/>
    <x v="150"/>
    <x v="0"/>
    <x v="150"/>
    <x v="155"/>
    <x v="158"/>
    <x v="149"/>
    <x v="158"/>
    <x v="155"/>
    <x v="155"/>
    <x v="155"/>
    <x v="155"/>
    <x v="155"/>
    <x v="155"/>
    <x v="155"/>
    <x v="150"/>
    <x v="147"/>
    <x v="147"/>
    <x v="130"/>
    <x v="0"/>
    <x v="0"/>
    <x v="181"/>
    <x v="150"/>
    <x v="150"/>
    <x v="150"/>
    <x v="150"/>
    <x v="2"/>
  </r>
  <r>
    <x v="163"/>
    <x v="211"/>
    <x v="0"/>
    <x v="0"/>
    <x v="0"/>
    <x v="0"/>
    <x v="0"/>
    <x v="0"/>
    <x v="0"/>
    <x v="0"/>
    <x v="2"/>
    <x v="0"/>
    <x v="230"/>
    <x v="0"/>
    <x v="0"/>
    <x v="0"/>
    <x v="0"/>
    <x v="163"/>
    <x v="2"/>
    <x v="3"/>
    <x v="3"/>
    <x v="0"/>
    <x v="0"/>
    <x v="3"/>
    <x v="30"/>
    <x v="0"/>
    <x v="32"/>
    <x v="31"/>
    <x v="9"/>
    <x v="46"/>
    <x v="0"/>
    <x v="0"/>
    <x v="0"/>
    <x v="0"/>
    <x v="141"/>
    <x v="0"/>
    <x v="32"/>
    <x v="0"/>
    <x v="0"/>
    <x v="0"/>
    <x v="0"/>
    <x v="0"/>
    <x v="0"/>
    <x v="0"/>
    <x v="0"/>
    <x v="0"/>
    <x v="0"/>
    <x v="0"/>
    <x v="0"/>
    <x v="0"/>
    <x v="0"/>
    <x v="0"/>
    <x v="0"/>
    <x v="0"/>
    <x v="0"/>
    <x v="0"/>
    <x v="0"/>
    <x v="0"/>
    <x v="0"/>
    <x v="0"/>
    <x v="0"/>
    <x v="0"/>
    <x v="0"/>
    <x v="2"/>
  </r>
  <r>
    <x v="164"/>
    <x v="210"/>
    <x v="0"/>
    <x v="0"/>
    <x v="0"/>
    <x v="0"/>
    <x v="0"/>
    <x v="2"/>
    <x v="0"/>
    <x v="0"/>
    <x v="2"/>
    <x v="0"/>
    <x v="869"/>
    <x v="1"/>
    <x v="0"/>
    <x v="0"/>
    <x v="0"/>
    <x v="164"/>
    <x v="1"/>
    <x v="3"/>
    <x v="3"/>
    <x v="0"/>
    <x v="0"/>
    <x v="3"/>
    <x v="27"/>
    <x v="0"/>
    <x v="16"/>
    <x v="229"/>
    <x v="1"/>
    <x v="1"/>
    <x v="1"/>
    <x v="3"/>
    <x v="2"/>
    <x v="1"/>
    <x v="1097"/>
    <x v="3"/>
    <x v="16"/>
    <x v="869"/>
    <x v="869"/>
    <x v="1"/>
    <x v="869"/>
    <x v="954"/>
    <x v="940"/>
    <x v="976"/>
    <x v="940"/>
    <x v="954"/>
    <x v="954"/>
    <x v="954"/>
    <x v="954"/>
    <x v="954"/>
    <x v="954"/>
    <x v="954"/>
    <x v="869"/>
    <x v="973"/>
    <x v="973"/>
    <x v="817"/>
    <x v="0"/>
    <x v="0"/>
    <x v="885"/>
    <x v="869"/>
    <x v="869"/>
    <x v="869"/>
    <x v="869"/>
    <x v="2"/>
  </r>
  <r>
    <x v="165"/>
    <x v="220"/>
    <x v="0"/>
    <x v="0"/>
    <x v="0"/>
    <x v="0"/>
    <x v="0"/>
    <x v="0"/>
    <x v="0"/>
    <x v="0"/>
    <x v="2"/>
    <x v="0"/>
    <x v="474"/>
    <x v="1"/>
    <x v="0"/>
    <x v="0"/>
    <x v="0"/>
    <x v="165"/>
    <x v="2"/>
    <x v="3"/>
    <x v="3"/>
    <x v="0"/>
    <x v="0"/>
    <x v="3"/>
    <x v="128"/>
    <x v="0"/>
    <x v="31"/>
    <x v="210"/>
    <x v="9"/>
    <x v="49"/>
    <x v="1"/>
    <x v="1"/>
    <x v="1"/>
    <x v="1"/>
    <x v="318"/>
    <x v="1"/>
    <x v="31"/>
    <x v="474"/>
    <x v="474"/>
    <x v="0"/>
    <x v="474"/>
    <x v="451"/>
    <x v="452"/>
    <x v="438"/>
    <x v="452"/>
    <x v="451"/>
    <x v="451"/>
    <x v="451"/>
    <x v="451"/>
    <x v="451"/>
    <x v="451"/>
    <x v="451"/>
    <x v="474"/>
    <x v="437"/>
    <x v="437"/>
    <x v="419"/>
    <x v="0"/>
    <x v="0"/>
    <x v="633"/>
    <x v="474"/>
    <x v="474"/>
    <x v="474"/>
    <x v="474"/>
    <x v="2"/>
  </r>
  <r>
    <x v="166"/>
    <x v="243"/>
    <x v="0"/>
    <x v="0"/>
    <x v="0"/>
    <x v="0"/>
    <x v="0"/>
    <x v="0"/>
    <x v="0"/>
    <x v="0"/>
    <x v="2"/>
    <x v="0"/>
    <x v="1353"/>
    <x v="1"/>
    <x v="0"/>
    <x v="0"/>
    <x v="0"/>
    <x v="166"/>
    <x v="2"/>
    <x v="3"/>
    <x v="3"/>
    <x v="0"/>
    <x v="0"/>
    <x v="3"/>
    <x v="100"/>
    <x v="0"/>
    <x v="29"/>
    <x v="282"/>
    <x v="9"/>
    <x v="49"/>
    <x v="1"/>
    <x v="1"/>
    <x v="1"/>
    <x v="1"/>
    <x v="1238"/>
    <x v="1"/>
    <x v="29"/>
    <x v="1351"/>
    <x v="1351"/>
    <x v="4"/>
    <x v="1351"/>
    <x v="1387"/>
    <x v="1375"/>
    <x v="1381"/>
    <x v="1375"/>
    <x v="1387"/>
    <x v="1387"/>
    <x v="1387"/>
    <x v="1387"/>
    <x v="1387"/>
    <x v="1387"/>
    <x v="1387"/>
    <x v="1351"/>
    <x v="1379"/>
    <x v="1379"/>
    <x v="1270"/>
    <x v="0"/>
    <x v="0"/>
    <x v="1406"/>
    <x v="1351"/>
    <x v="1351"/>
    <x v="1351"/>
    <x v="1351"/>
    <x v="2"/>
  </r>
  <r>
    <x v="167"/>
    <x v="223"/>
    <x v="0"/>
    <x v="0"/>
    <x v="0"/>
    <x v="0"/>
    <x v="0"/>
    <x v="0"/>
    <x v="0"/>
    <x v="0"/>
    <x v="2"/>
    <x v="0"/>
    <x v="190"/>
    <x v="1"/>
    <x v="0"/>
    <x v="0"/>
    <x v="0"/>
    <x v="167"/>
    <x v="2"/>
    <x v="3"/>
    <x v="3"/>
    <x v="0"/>
    <x v="0"/>
    <x v="3"/>
    <x v="128"/>
    <x v="0"/>
    <x v="31"/>
    <x v="195"/>
    <x v="9"/>
    <x v="49"/>
    <x v="1"/>
    <x v="1"/>
    <x v="1"/>
    <x v="1"/>
    <x v="105"/>
    <x v="1"/>
    <x v="31"/>
    <x v="191"/>
    <x v="191"/>
    <x v="0"/>
    <x v="191"/>
    <x v="195"/>
    <x v="197"/>
    <x v="189"/>
    <x v="197"/>
    <x v="195"/>
    <x v="195"/>
    <x v="195"/>
    <x v="195"/>
    <x v="195"/>
    <x v="195"/>
    <x v="195"/>
    <x v="191"/>
    <x v="188"/>
    <x v="188"/>
    <x v="166"/>
    <x v="0"/>
    <x v="0"/>
    <x v="227"/>
    <x v="191"/>
    <x v="191"/>
    <x v="191"/>
    <x v="191"/>
    <x v="2"/>
  </r>
  <r>
    <x v="168"/>
    <x v="226"/>
    <x v="0"/>
    <x v="0"/>
    <x v="0"/>
    <x v="0"/>
    <x v="0"/>
    <x v="0"/>
    <x v="0"/>
    <x v="0"/>
    <x v="2"/>
    <x v="0"/>
    <x v="315"/>
    <x v="1"/>
    <x v="0"/>
    <x v="0"/>
    <x v="0"/>
    <x v="168"/>
    <x v="2"/>
    <x v="3"/>
    <x v="3"/>
    <x v="0"/>
    <x v="0"/>
    <x v="3"/>
    <x v="128"/>
    <x v="0"/>
    <x v="31"/>
    <x v="208"/>
    <x v="9"/>
    <x v="49"/>
    <x v="1"/>
    <x v="1"/>
    <x v="1"/>
    <x v="1"/>
    <x v="208"/>
    <x v="1"/>
    <x v="31"/>
    <x v="315"/>
    <x v="315"/>
    <x v="0"/>
    <x v="315"/>
    <x v="309"/>
    <x v="310"/>
    <x v="303"/>
    <x v="310"/>
    <x v="309"/>
    <x v="309"/>
    <x v="309"/>
    <x v="309"/>
    <x v="309"/>
    <x v="309"/>
    <x v="309"/>
    <x v="315"/>
    <x v="303"/>
    <x v="303"/>
    <x v="271"/>
    <x v="0"/>
    <x v="0"/>
    <x v="416"/>
    <x v="315"/>
    <x v="315"/>
    <x v="315"/>
    <x v="315"/>
    <x v="2"/>
  </r>
  <r>
    <x v="169"/>
    <x v="252"/>
    <x v="0"/>
    <x v="0"/>
    <x v="0"/>
    <x v="0"/>
    <x v="0"/>
    <x v="0"/>
    <x v="0"/>
    <x v="0"/>
    <x v="2"/>
    <x v="0"/>
    <x v="1350"/>
    <x v="1"/>
    <x v="0"/>
    <x v="0"/>
    <x v="0"/>
    <x v="169"/>
    <x v="2"/>
    <x v="3"/>
    <x v="3"/>
    <x v="0"/>
    <x v="0"/>
    <x v="3"/>
    <x v="100"/>
    <x v="0"/>
    <x v="29"/>
    <x v="280"/>
    <x v="9"/>
    <x v="49"/>
    <x v="1"/>
    <x v="1"/>
    <x v="1"/>
    <x v="1"/>
    <x v="1228"/>
    <x v="1"/>
    <x v="29"/>
    <x v="1348"/>
    <x v="1348"/>
    <x v="4"/>
    <x v="1348"/>
    <x v="1384"/>
    <x v="1373"/>
    <x v="1375"/>
    <x v="1373"/>
    <x v="1384"/>
    <x v="1384"/>
    <x v="1384"/>
    <x v="1384"/>
    <x v="1384"/>
    <x v="1384"/>
    <x v="1384"/>
    <x v="1348"/>
    <x v="1374"/>
    <x v="1374"/>
    <x v="1267"/>
    <x v="0"/>
    <x v="0"/>
    <x v="1402"/>
    <x v="1348"/>
    <x v="1348"/>
    <x v="1348"/>
    <x v="1348"/>
    <x v="2"/>
  </r>
  <r>
    <x v="170"/>
    <x v="217"/>
    <x v="0"/>
    <x v="0"/>
    <x v="0"/>
    <x v="0"/>
    <x v="1"/>
    <x v="4"/>
    <x v="0"/>
    <x v="0"/>
    <x v="2"/>
    <x v="0"/>
    <x v="1032"/>
    <x v="1"/>
    <x v="0"/>
    <x v="0"/>
    <x v="0"/>
    <x v="170"/>
    <x v="1"/>
    <x v="3"/>
    <x v="3"/>
    <x v="0"/>
    <x v="0"/>
    <x v="3"/>
    <x v="25"/>
    <x v="0"/>
    <x v="15"/>
    <x v="234"/>
    <x v="2"/>
    <x v="15"/>
    <x v="1"/>
    <x v="5"/>
    <x v="2"/>
    <x v="1"/>
    <x v="1319"/>
    <x v="5"/>
    <x v="15"/>
    <x v="1032"/>
    <x v="1032"/>
    <x v="1"/>
    <x v="1032"/>
    <x v="1124"/>
    <x v="1093"/>
    <x v="1166"/>
    <x v="1093"/>
    <x v="1124"/>
    <x v="1124"/>
    <x v="1124"/>
    <x v="1124"/>
    <x v="1124"/>
    <x v="1124"/>
    <x v="1124"/>
    <x v="1032"/>
    <x v="1164"/>
    <x v="1164"/>
    <x v="987"/>
    <x v="0"/>
    <x v="0"/>
    <x v="1070"/>
    <x v="1032"/>
    <x v="1032"/>
    <x v="1032"/>
    <x v="1032"/>
    <x v="2"/>
  </r>
  <r>
    <x v="171"/>
    <x v="238"/>
    <x v="0"/>
    <x v="0"/>
    <x v="0"/>
    <x v="0"/>
    <x v="0"/>
    <x v="0"/>
    <x v="0"/>
    <x v="0"/>
    <x v="2"/>
    <x v="0"/>
    <x v="1261"/>
    <x v="1"/>
    <x v="0"/>
    <x v="0"/>
    <x v="0"/>
    <x v="171"/>
    <x v="2"/>
    <x v="3"/>
    <x v="3"/>
    <x v="0"/>
    <x v="0"/>
    <x v="3"/>
    <x v="128"/>
    <x v="0"/>
    <x v="30"/>
    <x v="246"/>
    <x v="9"/>
    <x v="49"/>
    <x v="1"/>
    <x v="1"/>
    <x v="1"/>
    <x v="1"/>
    <x v="1058"/>
    <x v="1"/>
    <x v="30"/>
    <x v="1259"/>
    <x v="1259"/>
    <x v="2"/>
    <x v="1259"/>
    <x v="1282"/>
    <x v="1275"/>
    <x v="1276"/>
    <x v="1275"/>
    <x v="1282"/>
    <x v="1282"/>
    <x v="1282"/>
    <x v="1282"/>
    <x v="1282"/>
    <x v="1282"/>
    <x v="1282"/>
    <x v="1259"/>
    <x v="1275"/>
    <x v="1275"/>
    <x v="1184"/>
    <x v="0"/>
    <x v="0"/>
    <x v="1330"/>
    <x v="1259"/>
    <x v="1259"/>
    <x v="1259"/>
    <x v="1259"/>
    <x v="2"/>
  </r>
  <r>
    <x v="172"/>
    <x v="187"/>
    <x v="0"/>
    <x v="0"/>
    <x v="0"/>
    <x v="0"/>
    <x v="1"/>
    <x v="5"/>
    <x v="0"/>
    <x v="0"/>
    <x v="2"/>
    <x v="0"/>
    <x v="147"/>
    <x v="1"/>
    <x v="0"/>
    <x v="0"/>
    <x v="0"/>
    <x v="172"/>
    <x v="1"/>
    <x v="4"/>
    <x v="4"/>
    <x v="0"/>
    <x v="0"/>
    <x v="3"/>
    <x v="83"/>
    <x v="0"/>
    <x v="14"/>
    <x v="8"/>
    <x v="3"/>
    <x v="26"/>
    <x v="1"/>
    <x v="6"/>
    <x v="3"/>
    <x v="1"/>
    <x v="808"/>
    <x v="6"/>
    <x v="14"/>
    <x v="148"/>
    <x v="148"/>
    <x v="0"/>
    <x v="148"/>
    <x v="180"/>
    <x v="169"/>
    <x v="192"/>
    <x v="169"/>
    <x v="180"/>
    <x v="180"/>
    <x v="180"/>
    <x v="180"/>
    <x v="180"/>
    <x v="180"/>
    <x v="180"/>
    <x v="148"/>
    <x v="193"/>
    <x v="193"/>
    <x v="0"/>
    <x v="37"/>
    <x v="0"/>
    <x v="180"/>
    <x v="148"/>
    <x v="148"/>
    <x v="148"/>
    <x v="148"/>
    <x v="2"/>
  </r>
  <r>
    <x v="173"/>
    <x v="187"/>
    <x v="0"/>
    <x v="0"/>
    <x v="0"/>
    <x v="0"/>
    <x v="1"/>
    <x v="5"/>
    <x v="0"/>
    <x v="0"/>
    <x v="2"/>
    <x v="0"/>
    <x v="334"/>
    <x v="1"/>
    <x v="0"/>
    <x v="0"/>
    <x v="0"/>
    <x v="173"/>
    <x v="1"/>
    <x v="4"/>
    <x v="4"/>
    <x v="0"/>
    <x v="0"/>
    <x v="3"/>
    <x v="83"/>
    <x v="0"/>
    <x v="14"/>
    <x v="230"/>
    <x v="3"/>
    <x v="26"/>
    <x v="1"/>
    <x v="6"/>
    <x v="3"/>
    <x v="1"/>
    <x v="1234"/>
    <x v="6"/>
    <x v="14"/>
    <x v="334"/>
    <x v="334"/>
    <x v="0"/>
    <x v="334"/>
    <x v="438"/>
    <x v="395"/>
    <x v="522"/>
    <x v="395"/>
    <x v="438"/>
    <x v="438"/>
    <x v="438"/>
    <x v="438"/>
    <x v="438"/>
    <x v="438"/>
    <x v="438"/>
    <x v="334"/>
    <x v="533"/>
    <x v="533"/>
    <x v="0"/>
    <x v="61"/>
    <x v="0"/>
    <x v="442"/>
    <x v="334"/>
    <x v="334"/>
    <x v="334"/>
    <x v="334"/>
    <x v="2"/>
  </r>
  <r>
    <x v="174"/>
    <x v="197"/>
    <x v="0"/>
    <x v="0"/>
    <x v="0"/>
    <x v="0"/>
    <x v="1"/>
    <x v="5"/>
    <x v="0"/>
    <x v="0"/>
    <x v="2"/>
    <x v="0"/>
    <x v="43"/>
    <x v="1"/>
    <x v="0"/>
    <x v="0"/>
    <x v="0"/>
    <x v="174"/>
    <x v="1"/>
    <x v="4"/>
    <x v="4"/>
    <x v="0"/>
    <x v="0"/>
    <x v="3"/>
    <x v="20"/>
    <x v="0"/>
    <x v="14"/>
    <x v="231"/>
    <x v="3"/>
    <x v="26"/>
    <x v="1"/>
    <x v="6"/>
    <x v="3"/>
    <x v="1"/>
    <x v="259"/>
    <x v="6"/>
    <x v="14"/>
    <x v="44"/>
    <x v="44"/>
    <x v="0"/>
    <x v="44"/>
    <x v="57"/>
    <x v="51"/>
    <x v="67"/>
    <x v="51"/>
    <x v="57"/>
    <x v="57"/>
    <x v="57"/>
    <x v="57"/>
    <x v="57"/>
    <x v="57"/>
    <x v="57"/>
    <x v="44"/>
    <x v="67"/>
    <x v="67"/>
    <x v="0"/>
    <x v="10"/>
    <x v="0"/>
    <x v="50"/>
    <x v="44"/>
    <x v="44"/>
    <x v="44"/>
    <x v="44"/>
    <x v="2"/>
  </r>
  <r>
    <x v="175"/>
    <x v="217"/>
    <x v="0"/>
    <x v="0"/>
    <x v="0"/>
    <x v="0"/>
    <x v="1"/>
    <x v="4"/>
    <x v="0"/>
    <x v="0"/>
    <x v="2"/>
    <x v="0"/>
    <x v="1004"/>
    <x v="1"/>
    <x v="0"/>
    <x v="0"/>
    <x v="0"/>
    <x v="175"/>
    <x v="1"/>
    <x v="4"/>
    <x v="4"/>
    <x v="0"/>
    <x v="0"/>
    <x v="3"/>
    <x v="25"/>
    <x v="0"/>
    <x v="15"/>
    <x v="233"/>
    <x v="2"/>
    <x v="15"/>
    <x v="1"/>
    <x v="5"/>
    <x v="2"/>
    <x v="1"/>
    <x v="1316"/>
    <x v="5"/>
    <x v="15"/>
    <x v="1004"/>
    <x v="1004"/>
    <x v="1"/>
    <x v="1004"/>
    <x v="1111"/>
    <x v="1078"/>
    <x v="1146"/>
    <x v="1078"/>
    <x v="1111"/>
    <x v="1111"/>
    <x v="1111"/>
    <x v="1111"/>
    <x v="1111"/>
    <x v="1111"/>
    <x v="1111"/>
    <x v="1004"/>
    <x v="1144"/>
    <x v="1144"/>
    <x v="970"/>
    <x v="0"/>
    <x v="0"/>
    <x v="1052"/>
    <x v="1004"/>
    <x v="1004"/>
    <x v="1004"/>
    <x v="1004"/>
    <x v="2"/>
  </r>
  <r>
    <x v="176"/>
    <x v="198"/>
    <x v="0"/>
    <x v="0"/>
    <x v="0"/>
    <x v="0"/>
    <x v="1"/>
    <x v="5"/>
    <x v="0"/>
    <x v="0"/>
    <x v="2"/>
    <x v="0"/>
    <x v="1295"/>
    <x v="1"/>
    <x v="0"/>
    <x v="0"/>
    <x v="0"/>
    <x v="176"/>
    <x v="1"/>
    <x v="4"/>
    <x v="4"/>
    <x v="0"/>
    <x v="0"/>
    <x v="3"/>
    <x v="20"/>
    <x v="0"/>
    <x v="14"/>
    <x v="232"/>
    <x v="3"/>
    <x v="26"/>
    <x v="1"/>
    <x v="6"/>
    <x v="3"/>
    <x v="1"/>
    <x v="1386"/>
    <x v="6"/>
    <x v="14"/>
    <x v="1293"/>
    <x v="1293"/>
    <x v="2"/>
    <x v="1293"/>
    <x v="1367"/>
    <x v="1350"/>
    <x v="1382"/>
    <x v="1350"/>
    <x v="1367"/>
    <x v="1367"/>
    <x v="1367"/>
    <x v="1367"/>
    <x v="1367"/>
    <x v="1367"/>
    <x v="1367"/>
    <x v="1293"/>
    <x v="1380"/>
    <x v="1380"/>
    <x v="0"/>
    <x v="119"/>
    <x v="0"/>
    <x v="1361"/>
    <x v="1293"/>
    <x v="1293"/>
    <x v="1293"/>
    <x v="1293"/>
    <x v="2"/>
  </r>
  <r>
    <x v="177"/>
    <x v="265"/>
    <x v="0"/>
    <x v="0"/>
    <x v="0"/>
    <x v="0"/>
    <x v="1"/>
    <x v="7"/>
    <x v="0"/>
    <x v="0"/>
    <x v="0"/>
    <x v="0"/>
    <x v="1187"/>
    <x v="1"/>
    <x v="0"/>
    <x v="0"/>
    <x v="0"/>
    <x v="177"/>
    <x v="0"/>
    <x v="6"/>
    <x v="6"/>
    <x v="0"/>
    <x v="0"/>
    <x v="3"/>
    <x v="128"/>
    <x v="0"/>
    <x v="24"/>
    <x v="40"/>
    <x v="0"/>
    <x v="41"/>
    <x v="1"/>
    <x v="8"/>
    <x v="5"/>
    <x v="1"/>
    <x v="1387"/>
    <x v="8"/>
    <x v="24"/>
    <x v="1185"/>
    <x v="1185"/>
    <x v="2"/>
    <x v="1185"/>
    <x v="1338"/>
    <x v="1293"/>
    <x v="1358"/>
    <x v="1293"/>
    <x v="1338"/>
    <x v="1338"/>
    <x v="1338"/>
    <x v="1338"/>
    <x v="1338"/>
    <x v="1338"/>
    <x v="1338"/>
    <x v="1185"/>
    <x v="1358"/>
    <x v="1358"/>
    <x v="0"/>
    <x v="113"/>
    <x v="0"/>
    <x v="1380"/>
    <x v="1185"/>
    <x v="1185"/>
    <x v="1185"/>
    <x v="1185"/>
    <x v="0"/>
  </r>
  <r>
    <x v="178"/>
    <x v="318"/>
    <x v="0"/>
    <x v="0"/>
    <x v="0"/>
    <x v="0"/>
    <x v="1"/>
    <x v="7"/>
    <x v="0"/>
    <x v="0"/>
    <x v="0"/>
    <x v="0"/>
    <x v="152"/>
    <x v="1"/>
    <x v="0"/>
    <x v="0"/>
    <x v="0"/>
    <x v="178"/>
    <x v="0"/>
    <x v="6"/>
    <x v="6"/>
    <x v="0"/>
    <x v="0"/>
    <x v="3"/>
    <x v="110"/>
    <x v="0"/>
    <x v="26"/>
    <x v="38"/>
    <x v="0"/>
    <x v="41"/>
    <x v="1"/>
    <x v="8"/>
    <x v="5"/>
    <x v="1"/>
    <x v="1024"/>
    <x v="8"/>
    <x v="26"/>
    <x v="153"/>
    <x v="153"/>
    <x v="0"/>
    <x v="153"/>
    <x v="210"/>
    <x v="189"/>
    <x v="232"/>
    <x v="189"/>
    <x v="210"/>
    <x v="210"/>
    <x v="210"/>
    <x v="210"/>
    <x v="210"/>
    <x v="210"/>
    <x v="210"/>
    <x v="153"/>
    <x v="234"/>
    <x v="234"/>
    <x v="0"/>
    <x v="38"/>
    <x v="0"/>
    <x v="267"/>
    <x v="153"/>
    <x v="153"/>
    <x v="153"/>
    <x v="153"/>
    <x v="0"/>
  </r>
  <r>
    <x v="179"/>
    <x v="323"/>
    <x v="0"/>
    <x v="0"/>
    <x v="0"/>
    <x v="0"/>
    <x v="1"/>
    <x v="7"/>
    <x v="0"/>
    <x v="0"/>
    <x v="0"/>
    <x v="0"/>
    <x v="433"/>
    <x v="1"/>
    <x v="0"/>
    <x v="0"/>
    <x v="0"/>
    <x v="179"/>
    <x v="0"/>
    <x v="6"/>
    <x v="6"/>
    <x v="0"/>
    <x v="0"/>
    <x v="3"/>
    <x v="66"/>
    <x v="0"/>
    <x v="26"/>
    <x v="38"/>
    <x v="0"/>
    <x v="41"/>
    <x v="1"/>
    <x v="8"/>
    <x v="5"/>
    <x v="1"/>
    <x v="1330"/>
    <x v="8"/>
    <x v="26"/>
    <x v="433"/>
    <x v="433"/>
    <x v="0"/>
    <x v="433"/>
    <x v="773"/>
    <x v="662"/>
    <x v="864"/>
    <x v="662"/>
    <x v="773"/>
    <x v="773"/>
    <x v="773"/>
    <x v="773"/>
    <x v="773"/>
    <x v="773"/>
    <x v="773"/>
    <x v="433"/>
    <x v="876"/>
    <x v="876"/>
    <x v="0"/>
    <x v="70"/>
    <x v="0"/>
    <x v="942"/>
    <x v="433"/>
    <x v="433"/>
    <x v="433"/>
    <x v="433"/>
    <x v="0"/>
  </r>
  <r>
    <x v="180"/>
    <x v="388"/>
    <x v="0"/>
    <x v="0"/>
    <x v="0"/>
    <x v="0"/>
    <x v="1"/>
    <x v="7"/>
    <x v="0"/>
    <x v="0"/>
    <x v="0"/>
    <x v="0"/>
    <x v="1281"/>
    <x v="1"/>
    <x v="0"/>
    <x v="0"/>
    <x v="0"/>
    <x v="180"/>
    <x v="0"/>
    <x v="6"/>
    <x v="6"/>
    <x v="0"/>
    <x v="0"/>
    <x v="3"/>
    <x v="128"/>
    <x v="0"/>
    <x v="27"/>
    <x v="304"/>
    <x v="0"/>
    <x v="41"/>
    <x v="1"/>
    <x v="8"/>
    <x v="5"/>
    <x v="1"/>
    <x v="1391"/>
    <x v="8"/>
    <x v="27"/>
    <x v="1279"/>
    <x v="1279"/>
    <x v="2"/>
    <x v="1279"/>
    <x v="1379"/>
    <x v="1355"/>
    <x v="1389"/>
    <x v="1355"/>
    <x v="1379"/>
    <x v="1379"/>
    <x v="1379"/>
    <x v="1379"/>
    <x v="1379"/>
    <x v="1379"/>
    <x v="1379"/>
    <x v="1279"/>
    <x v="1389"/>
    <x v="1389"/>
    <x v="0"/>
    <x v="118"/>
    <x v="0"/>
    <x v="1412"/>
    <x v="1279"/>
    <x v="1279"/>
    <x v="1279"/>
    <x v="1279"/>
    <x v="0"/>
  </r>
  <r>
    <x v="181"/>
    <x v="228"/>
    <x v="0"/>
    <x v="0"/>
    <x v="0"/>
    <x v="0"/>
    <x v="0"/>
    <x v="0"/>
    <x v="0"/>
    <x v="0"/>
    <x v="2"/>
    <x v="0"/>
    <x v="297"/>
    <x v="1"/>
    <x v="0"/>
    <x v="0"/>
    <x v="0"/>
    <x v="181"/>
    <x v="2"/>
    <x v="6"/>
    <x v="6"/>
    <x v="0"/>
    <x v="0"/>
    <x v="3"/>
    <x v="128"/>
    <x v="0"/>
    <x v="30"/>
    <x v="268"/>
    <x v="9"/>
    <x v="49"/>
    <x v="1"/>
    <x v="1"/>
    <x v="1"/>
    <x v="1"/>
    <x v="199"/>
    <x v="1"/>
    <x v="30"/>
    <x v="297"/>
    <x v="297"/>
    <x v="0"/>
    <x v="297"/>
    <x v="296"/>
    <x v="300"/>
    <x v="293"/>
    <x v="300"/>
    <x v="296"/>
    <x v="296"/>
    <x v="296"/>
    <x v="296"/>
    <x v="296"/>
    <x v="296"/>
    <x v="296"/>
    <x v="297"/>
    <x v="294"/>
    <x v="294"/>
    <x v="258"/>
    <x v="0"/>
    <x v="0"/>
    <x v="387"/>
    <x v="297"/>
    <x v="297"/>
    <x v="297"/>
    <x v="297"/>
    <x v="2"/>
  </r>
  <r>
    <x v="182"/>
    <x v="253"/>
    <x v="0"/>
    <x v="0"/>
    <x v="0"/>
    <x v="0"/>
    <x v="0"/>
    <x v="0"/>
    <x v="0"/>
    <x v="0"/>
    <x v="2"/>
    <x v="0"/>
    <x v="1265"/>
    <x v="1"/>
    <x v="0"/>
    <x v="0"/>
    <x v="0"/>
    <x v="182"/>
    <x v="2"/>
    <x v="6"/>
    <x v="6"/>
    <x v="0"/>
    <x v="0"/>
    <x v="3"/>
    <x v="128"/>
    <x v="0"/>
    <x v="29"/>
    <x v="245"/>
    <x v="9"/>
    <x v="49"/>
    <x v="1"/>
    <x v="1"/>
    <x v="1"/>
    <x v="1"/>
    <x v="1062"/>
    <x v="1"/>
    <x v="29"/>
    <x v="1263"/>
    <x v="1263"/>
    <x v="2"/>
    <x v="1263"/>
    <x v="1285"/>
    <x v="1278"/>
    <x v="1280"/>
    <x v="1278"/>
    <x v="1285"/>
    <x v="1285"/>
    <x v="1285"/>
    <x v="1285"/>
    <x v="1285"/>
    <x v="1285"/>
    <x v="1285"/>
    <x v="1263"/>
    <x v="1278"/>
    <x v="1278"/>
    <x v="1188"/>
    <x v="0"/>
    <x v="0"/>
    <x v="1327"/>
    <x v="1263"/>
    <x v="1263"/>
    <x v="1263"/>
    <x v="1263"/>
    <x v="2"/>
  </r>
  <r>
    <x v="183"/>
    <x v="234"/>
    <x v="0"/>
    <x v="0"/>
    <x v="0"/>
    <x v="0"/>
    <x v="1"/>
    <x v="4"/>
    <x v="0"/>
    <x v="0"/>
    <x v="2"/>
    <x v="0"/>
    <x v="558"/>
    <x v="1"/>
    <x v="0"/>
    <x v="0"/>
    <x v="0"/>
    <x v="183"/>
    <x v="1"/>
    <x v="6"/>
    <x v="6"/>
    <x v="0"/>
    <x v="0"/>
    <x v="3"/>
    <x v="98"/>
    <x v="0"/>
    <x v="29"/>
    <x v="285"/>
    <x v="2"/>
    <x v="15"/>
    <x v="1"/>
    <x v="5"/>
    <x v="2"/>
    <x v="1"/>
    <x v="1166"/>
    <x v="5"/>
    <x v="29"/>
    <x v="558"/>
    <x v="558"/>
    <x v="0"/>
    <x v="558"/>
    <x v="694"/>
    <x v="652"/>
    <x v="753"/>
    <x v="652"/>
    <x v="694"/>
    <x v="694"/>
    <x v="694"/>
    <x v="694"/>
    <x v="694"/>
    <x v="694"/>
    <x v="694"/>
    <x v="558"/>
    <x v="754"/>
    <x v="754"/>
    <x v="569"/>
    <x v="0"/>
    <x v="0"/>
    <x v="871"/>
    <x v="558"/>
    <x v="558"/>
    <x v="558"/>
    <x v="558"/>
    <x v="2"/>
  </r>
  <r>
    <x v="184"/>
    <x v="247"/>
    <x v="0"/>
    <x v="0"/>
    <x v="0"/>
    <x v="0"/>
    <x v="0"/>
    <x v="0"/>
    <x v="0"/>
    <x v="0"/>
    <x v="2"/>
    <x v="0"/>
    <x v="359"/>
    <x v="1"/>
    <x v="0"/>
    <x v="0"/>
    <x v="0"/>
    <x v="184"/>
    <x v="2"/>
    <x v="6"/>
    <x v="6"/>
    <x v="0"/>
    <x v="0"/>
    <x v="3"/>
    <x v="128"/>
    <x v="0"/>
    <x v="29"/>
    <x v="277"/>
    <x v="9"/>
    <x v="49"/>
    <x v="1"/>
    <x v="1"/>
    <x v="1"/>
    <x v="1"/>
    <x v="243"/>
    <x v="1"/>
    <x v="29"/>
    <x v="359"/>
    <x v="359"/>
    <x v="0"/>
    <x v="359"/>
    <x v="356"/>
    <x v="363"/>
    <x v="339"/>
    <x v="363"/>
    <x v="356"/>
    <x v="356"/>
    <x v="356"/>
    <x v="356"/>
    <x v="356"/>
    <x v="356"/>
    <x v="356"/>
    <x v="359"/>
    <x v="339"/>
    <x v="339"/>
    <x v="322"/>
    <x v="0"/>
    <x v="0"/>
    <x v="464"/>
    <x v="359"/>
    <x v="359"/>
    <x v="359"/>
    <x v="359"/>
    <x v="2"/>
  </r>
  <r>
    <x v="185"/>
    <x v="243"/>
    <x v="0"/>
    <x v="0"/>
    <x v="0"/>
    <x v="0"/>
    <x v="1"/>
    <x v="5"/>
    <x v="0"/>
    <x v="0"/>
    <x v="2"/>
    <x v="0"/>
    <x v="397"/>
    <x v="1"/>
    <x v="0"/>
    <x v="0"/>
    <x v="0"/>
    <x v="185"/>
    <x v="1"/>
    <x v="6"/>
    <x v="6"/>
    <x v="0"/>
    <x v="0"/>
    <x v="3"/>
    <x v="100"/>
    <x v="0"/>
    <x v="29"/>
    <x v="1"/>
    <x v="3"/>
    <x v="26"/>
    <x v="1"/>
    <x v="6"/>
    <x v="3"/>
    <x v="1"/>
    <x v="1265"/>
    <x v="6"/>
    <x v="29"/>
    <x v="397"/>
    <x v="397"/>
    <x v="0"/>
    <x v="397"/>
    <x v="588"/>
    <x v="489"/>
    <x v="686"/>
    <x v="489"/>
    <x v="588"/>
    <x v="588"/>
    <x v="588"/>
    <x v="588"/>
    <x v="588"/>
    <x v="588"/>
    <x v="588"/>
    <x v="397"/>
    <x v="703"/>
    <x v="703"/>
    <x v="0"/>
    <x v="67"/>
    <x v="0"/>
    <x v="824"/>
    <x v="397"/>
    <x v="397"/>
    <x v="397"/>
    <x v="397"/>
    <x v="2"/>
  </r>
  <r>
    <x v="186"/>
    <x v="238"/>
    <x v="0"/>
    <x v="0"/>
    <x v="0"/>
    <x v="0"/>
    <x v="0"/>
    <x v="0"/>
    <x v="0"/>
    <x v="0"/>
    <x v="2"/>
    <x v="0"/>
    <x v="638"/>
    <x v="1"/>
    <x v="0"/>
    <x v="0"/>
    <x v="0"/>
    <x v="186"/>
    <x v="2"/>
    <x v="6"/>
    <x v="6"/>
    <x v="0"/>
    <x v="0"/>
    <x v="3"/>
    <x v="128"/>
    <x v="0"/>
    <x v="30"/>
    <x v="247"/>
    <x v="9"/>
    <x v="49"/>
    <x v="1"/>
    <x v="1"/>
    <x v="1"/>
    <x v="1"/>
    <x v="416"/>
    <x v="1"/>
    <x v="30"/>
    <x v="638"/>
    <x v="638"/>
    <x v="0"/>
    <x v="638"/>
    <x v="579"/>
    <x v="584"/>
    <x v="554"/>
    <x v="584"/>
    <x v="579"/>
    <x v="579"/>
    <x v="579"/>
    <x v="579"/>
    <x v="579"/>
    <x v="579"/>
    <x v="579"/>
    <x v="638"/>
    <x v="555"/>
    <x v="555"/>
    <x v="567"/>
    <x v="0"/>
    <x v="0"/>
    <x v="724"/>
    <x v="638"/>
    <x v="638"/>
    <x v="638"/>
    <x v="638"/>
    <x v="2"/>
  </r>
  <r>
    <x v="187"/>
    <x v="243"/>
    <x v="0"/>
    <x v="0"/>
    <x v="0"/>
    <x v="0"/>
    <x v="1"/>
    <x v="4"/>
    <x v="0"/>
    <x v="0"/>
    <x v="2"/>
    <x v="0"/>
    <x v="365"/>
    <x v="1"/>
    <x v="0"/>
    <x v="0"/>
    <x v="0"/>
    <x v="187"/>
    <x v="1"/>
    <x v="6"/>
    <x v="6"/>
    <x v="0"/>
    <x v="0"/>
    <x v="3"/>
    <x v="100"/>
    <x v="0"/>
    <x v="29"/>
    <x v="283"/>
    <x v="2"/>
    <x v="15"/>
    <x v="1"/>
    <x v="5"/>
    <x v="2"/>
    <x v="1"/>
    <x v="1068"/>
    <x v="5"/>
    <x v="29"/>
    <x v="365"/>
    <x v="365"/>
    <x v="0"/>
    <x v="365"/>
    <x v="441"/>
    <x v="413"/>
    <x v="497"/>
    <x v="413"/>
    <x v="441"/>
    <x v="441"/>
    <x v="441"/>
    <x v="441"/>
    <x v="441"/>
    <x v="441"/>
    <x v="441"/>
    <x v="365"/>
    <x v="497"/>
    <x v="497"/>
    <x v="350"/>
    <x v="0"/>
    <x v="0"/>
    <x v="667"/>
    <x v="365"/>
    <x v="365"/>
    <x v="365"/>
    <x v="365"/>
    <x v="2"/>
  </r>
  <r>
    <x v="188"/>
    <x v="252"/>
    <x v="0"/>
    <x v="0"/>
    <x v="0"/>
    <x v="0"/>
    <x v="1"/>
    <x v="4"/>
    <x v="0"/>
    <x v="0"/>
    <x v="2"/>
    <x v="0"/>
    <x v="71"/>
    <x v="1"/>
    <x v="0"/>
    <x v="0"/>
    <x v="0"/>
    <x v="188"/>
    <x v="1"/>
    <x v="6"/>
    <x v="6"/>
    <x v="0"/>
    <x v="0"/>
    <x v="3"/>
    <x v="100"/>
    <x v="0"/>
    <x v="29"/>
    <x v="281"/>
    <x v="2"/>
    <x v="15"/>
    <x v="1"/>
    <x v="5"/>
    <x v="2"/>
    <x v="1"/>
    <x v="190"/>
    <x v="5"/>
    <x v="29"/>
    <x v="72"/>
    <x v="72"/>
    <x v="0"/>
    <x v="72"/>
    <x v="80"/>
    <x v="78"/>
    <x v="86"/>
    <x v="78"/>
    <x v="80"/>
    <x v="80"/>
    <x v="80"/>
    <x v="80"/>
    <x v="80"/>
    <x v="80"/>
    <x v="80"/>
    <x v="72"/>
    <x v="85"/>
    <x v="85"/>
    <x v="61"/>
    <x v="0"/>
    <x v="0"/>
    <x v="118"/>
    <x v="72"/>
    <x v="72"/>
    <x v="72"/>
    <x v="72"/>
    <x v="2"/>
  </r>
  <r>
    <x v="189"/>
    <x v="256"/>
    <x v="0"/>
    <x v="0"/>
    <x v="0"/>
    <x v="0"/>
    <x v="0"/>
    <x v="0"/>
    <x v="0"/>
    <x v="0"/>
    <x v="2"/>
    <x v="0"/>
    <x v="9"/>
    <x v="1"/>
    <x v="0"/>
    <x v="0"/>
    <x v="0"/>
    <x v="189"/>
    <x v="2"/>
    <x v="6"/>
    <x v="6"/>
    <x v="0"/>
    <x v="0"/>
    <x v="3"/>
    <x v="41"/>
    <x v="0"/>
    <x v="29"/>
    <x v="270"/>
    <x v="9"/>
    <x v="49"/>
    <x v="1"/>
    <x v="1"/>
    <x v="1"/>
    <x v="1"/>
    <x v="8"/>
    <x v="1"/>
    <x v="29"/>
    <x v="10"/>
    <x v="10"/>
    <x v="0"/>
    <x v="10"/>
    <x v="9"/>
    <x v="9"/>
    <x v="9"/>
    <x v="9"/>
    <x v="9"/>
    <x v="9"/>
    <x v="9"/>
    <x v="9"/>
    <x v="9"/>
    <x v="9"/>
    <x v="9"/>
    <x v="10"/>
    <x v="9"/>
    <x v="9"/>
    <x v="9"/>
    <x v="0"/>
    <x v="0"/>
    <x v="11"/>
    <x v="10"/>
    <x v="10"/>
    <x v="10"/>
    <x v="10"/>
    <x v="2"/>
  </r>
  <r>
    <x v="190"/>
    <x v="255"/>
    <x v="0"/>
    <x v="0"/>
    <x v="0"/>
    <x v="0"/>
    <x v="1"/>
    <x v="4"/>
    <x v="0"/>
    <x v="0"/>
    <x v="2"/>
    <x v="0"/>
    <x v="244"/>
    <x v="1"/>
    <x v="0"/>
    <x v="0"/>
    <x v="0"/>
    <x v="190"/>
    <x v="1"/>
    <x v="6"/>
    <x v="6"/>
    <x v="0"/>
    <x v="0"/>
    <x v="3"/>
    <x v="100"/>
    <x v="0"/>
    <x v="17"/>
    <x v="237"/>
    <x v="2"/>
    <x v="15"/>
    <x v="1"/>
    <x v="5"/>
    <x v="2"/>
    <x v="1"/>
    <x v="864"/>
    <x v="5"/>
    <x v="17"/>
    <x v="244"/>
    <x v="244"/>
    <x v="0"/>
    <x v="244"/>
    <x v="290"/>
    <x v="276"/>
    <x v="304"/>
    <x v="276"/>
    <x v="290"/>
    <x v="290"/>
    <x v="290"/>
    <x v="290"/>
    <x v="290"/>
    <x v="290"/>
    <x v="290"/>
    <x v="244"/>
    <x v="304"/>
    <x v="304"/>
    <x v="222"/>
    <x v="0"/>
    <x v="0"/>
    <x v="293"/>
    <x v="244"/>
    <x v="244"/>
    <x v="244"/>
    <x v="244"/>
    <x v="2"/>
  </r>
  <r>
    <x v="191"/>
    <x v="257"/>
    <x v="0"/>
    <x v="0"/>
    <x v="0"/>
    <x v="0"/>
    <x v="0"/>
    <x v="0"/>
    <x v="0"/>
    <x v="0"/>
    <x v="2"/>
    <x v="0"/>
    <x v="46"/>
    <x v="1"/>
    <x v="0"/>
    <x v="0"/>
    <x v="0"/>
    <x v="191"/>
    <x v="2"/>
    <x v="6"/>
    <x v="6"/>
    <x v="0"/>
    <x v="0"/>
    <x v="3"/>
    <x v="41"/>
    <x v="0"/>
    <x v="29"/>
    <x v="241"/>
    <x v="9"/>
    <x v="49"/>
    <x v="1"/>
    <x v="1"/>
    <x v="1"/>
    <x v="1"/>
    <x v="23"/>
    <x v="1"/>
    <x v="29"/>
    <x v="47"/>
    <x v="47"/>
    <x v="0"/>
    <x v="47"/>
    <x v="37"/>
    <x v="42"/>
    <x v="35"/>
    <x v="42"/>
    <x v="37"/>
    <x v="37"/>
    <x v="37"/>
    <x v="37"/>
    <x v="37"/>
    <x v="37"/>
    <x v="37"/>
    <x v="47"/>
    <x v="35"/>
    <x v="35"/>
    <x v="37"/>
    <x v="0"/>
    <x v="0"/>
    <x v="51"/>
    <x v="47"/>
    <x v="47"/>
    <x v="47"/>
    <x v="47"/>
    <x v="2"/>
  </r>
  <r>
    <x v="192"/>
    <x v="265"/>
    <x v="0"/>
    <x v="0"/>
    <x v="0"/>
    <x v="0"/>
    <x v="1"/>
    <x v="5"/>
    <x v="0"/>
    <x v="0"/>
    <x v="2"/>
    <x v="0"/>
    <x v="386"/>
    <x v="1"/>
    <x v="0"/>
    <x v="0"/>
    <x v="0"/>
    <x v="192"/>
    <x v="1"/>
    <x v="6"/>
    <x v="6"/>
    <x v="0"/>
    <x v="0"/>
    <x v="3"/>
    <x v="128"/>
    <x v="0"/>
    <x v="24"/>
    <x v="9"/>
    <x v="3"/>
    <x v="26"/>
    <x v="1"/>
    <x v="6"/>
    <x v="3"/>
    <x v="1"/>
    <x v="1260"/>
    <x v="6"/>
    <x v="24"/>
    <x v="386"/>
    <x v="386"/>
    <x v="0"/>
    <x v="386"/>
    <x v="543"/>
    <x v="465"/>
    <x v="652"/>
    <x v="465"/>
    <x v="543"/>
    <x v="543"/>
    <x v="543"/>
    <x v="543"/>
    <x v="543"/>
    <x v="543"/>
    <x v="543"/>
    <x v="386"/>
    <x v="672"/>
    <x v="672"/>
    <x v="0"/>
    <x v="65"/>
    <x v="0"/>
    <x v="727"/>
    <x v="386"/>
    <x v="386"/>
    <x v="386"/>
    <x v="386"/>
    <x v="2"/>
  </r>
  <r>
    <x v="193"/>
    <x v="259"/>
    <x v="0"/>
    <x v="0"/>
    <x v="0"/>
    <x v="0"/>
    <x v="0"/>
    <x v="0"/>
    <x v="0"/>
    <x v="0"/>
    <x v="2"/>
    <x v="0"/>
    <x v="353"/>
    <x v="1"/>
    <x v="0"/>
    <x v="0"/>
    <x v="0"/>
    <x v="193"/>
    <x v="2"/>
    <x v="6"/>
    <x v="6"/>
    <x v="0"/>
    <x v="0"/>
    <x v="3"/>
    <x v="128"/>
    <x v="0"/>
    <x v="29"/>
    <x v="269"/>
    <x v="9"/>
    <x v="49"/>
    <x v="1"/>
    <x v="1"/>
    <x v="1"/>
    <x v="1"/>
    <x v="237"/>
    <x v="1"/>
    <x v="29"/>
    <x v="353"/>
    <x v="353"/>
    <x v="0"/>
    <x v="353"/>
    <x v="348"/>
    <x v="357"/>
    <x v="335"/>
    <x v="357"/>
    <x v="348"/>
    <x v="348"/>
    <x v="348"/>
    <x v="348"/>
    <x v="348"/>
    <x v="348"/>
    <x v="348"/>
    <x v="353"/>
    <x v="335"/>
    <x v="335"/>
    <x v="316"/>
    <x v="0"/>
    <x v="0"/>
    <x v="455"/>
    <x v="353"/>
    <x v="353"/>
    <x v="353"/>
    <x v="353"/>
    <x v="2"/>
  </r>
  <r>
    <x v="194"/>
    <x v="289"/>
    <x v="0"/>
    <x v="0"/>
    <x v="0"/>
    <x v="0"/>
    <x v="0"/>
    <x v="0"/>
    <x v="0"/>
    <x v="0"/>
    <x v="2"/>
    <x v="0"/>
    <x v="1343"/>
    <x v="1"/>
    <x v="0"/>
    <x v="0"/>
    <x v="0"/>
    <x v="194"/>
    <x v="2"/>
    <x v="6"/>
    <x v="6"/>
    <x v="0"/>
    <x v="0"/>
    <x v="3"/>
    <x v="128"/>
    <x v="0"/>
    <x v="27"/>
    <x v="278"/>
    <x v="9"/>
    <x v="49"/>
    <x v="1"/>
    <x v="1"/>
    <x v="1"/>
    <x v="1"/>
    <x v="1207"/>
    <x v="1"/>
    <x v="27"/>
    <x v="1341"/>
    <x v="1341"/>
    <x v="3"/>
    <x v="1341"/>
    <x v="1372"/>
    <x v="1362"/>
    <x v="1366"/>
    <x v="1362"/>
    <x v="1372"/>
    <x v="1372"/>
    <x v="1372"/>
    <x v="1372"/>
    <x v="1372"/>
    <x v="1372"/>
    <x v="1372"/>
    <x v="1341"/>
    <x v="1364"/>
    <x v="1364"/>
    <x v="1261"/>
    <x v="0"/>
    <x v="0"/>
    <x v="1393"/>
    <x v="1341"/>
    <x v="1341"/>
    <x v="1341"/>
    <x v="1341"/>
    <x v="2"/>
  </r>
  <r>
    <x v="195"/>
    <x v="260"/>
    <x v="0"/>
    <x v="0"/>
    <x v="0"/>
    <x v="0"/>
    <x v="1"/>
    <x v="4"/>
    <x v="0"/>
    <x v="0"/>
    <x v="2"/>
    <x v="0"/>
    <x v="155"/>
    <x v="1"/>
    <x v="0"/>
    <x v="0"/>
    <x v="0"/>
    <x v="195"/>
    <x v="1"/>
    <x v="6"/>
    <x v="6"/>
    <x v="0"/>
    <x v="0"/>
    <x v="3"/>
    <x v="100"/>
    <x v="0"/>
    <x v="25"/>
    <x v="236"/>
    <x v="2"/>
    <x v="15"/>
    <x v="1"/>
    <x v="5"/>
    <x v="2"/>
    <x v="1"/>
    <x v="558"/>
    <x v="5"/>
    <x v="25"/>
    <x v="156"/>
    <x v="156"/>
    <x v="0"/>
    <x v="156"/>
    <x v="189"/>
    <x v="179"/>
    <x v="195"/>
    <x v="179"/>
    <x v="189"/>
    <x v="189"/>
    <x v="189"/>
    <x v="189"/>
    <x v="189"/>
    <x v="189"/>
    <x v="189"/>
    <x v="156"/>
    <x v="195"/>
    <x v="195"/>
    <x v="142"/>
    <x v="0"/>
    <x v="0"/>
    <x v="219"/>
    <x v="156"/>
    <x v="156"/>
    <x v="156"/>
    <x v="156"/>
    <x v="2"/>
  </r>
  <r>
    <x v="196"/>
    <x v="271"/>
    <x v="0"/>
    <x v="0"/>
    <x v="0"/>
    <x v="0"/>
    <x v="0"/>
    <x v="0"/>
    <x v="0"/>
    <x v="0"/>
    <x v="2"/>
    <x v="0"/>
    <x v="952"/>
    <x v="1"/>
    <x v="0"/>
    <x v="0"/>
    <x v="0"/>
    <x v="196"/>
    <x v="2"/>
    <x v="6"/>
    <x v="6"/>
    <x v="0"/>
    <x v="0"/>
    <x v="3"/>
    <x v="128"/>
    <x v="0"/>
    <x v="28"/>
    <x v="263"/>
    <x v="9"/>
    <x v="49"/>
    <x v="1"/>
    <x v="1"/>
    <x v="1"/>
    <x v="1"/>
    <x v="704"/>
    <x v="1"/>
    <x v="28"/>
    <x v="952"/>
    <x v="952"/>
    <x v="1"/>
    <x v="952"/>
    <x v="962"/>
    <x v="962"/>
    <x v="947"/>
    <x v="962"/>
    <x v="962"/>
    <x v="962"/>
    <x v="962"/>
    <x v="962"/>
    <x v="962"/>
    <x v="962"/>
    <x v="962"/>
    <x v="952"/>
    <x v="946"/>
    <x v="946"/>
    <x v="888"/>
    <x v="0"/>
    <x v="0"/>
    <x v="1031"/>
    <x v="952"/>
    <x v="952"/>
    <x v="952"/>
    <x v="952"/>
    <x v="2"/>
  </r>
  <r>
    <x v="197"/>
    <x v="263"/>
    <x v="0"/>
    <x v="0"/>
    <x v="0"/>
    <x v="0"/>
    <x v="1"/>
    <x v="4"/>
    <x v="0"/>
    <x v="0"/>
    <x v="2"/>
    <x v="0"/>
    <x v="27"/>
    <x v="1"/>
    <x v="0"/>
    <x v="0"/>
    <x v="0"/>
    <x v="197"/>
    <x v="1"/>
    <x v="6"/>
    <x v="6"/>
    <x v="0"/>
    <x v="0"/>
    <x v="3"/>
    <x v="128"/>
    <x v="0"/>
    <x v="28"/>
    <x v="303"/>
    <x v="2"/>
    <x v="15"/>
    <x v="1"/>
    <x v="5"/>
    <x v="2"/>
    <x v="1"/>
    <x v="96"/>
    <x v="5"/>
    <x v="28"/>
    <x v="28"/>
    <x v="28"/>
    <x v="0"/>
    <x v="28"/>
    <x v="30"/>
    <x v="30"/>
    <x v="33"/>
    <x v="30"/>
    <x v="30"/>
    <x v="30"/>
    <x v="30"/>
    <x v="30"/>
    <x v="30"/>
    <x v="30"/>
    <x v="30"/>
    <x v="28"/>
    <x v="33"/>
    <x v="33"/>
    <x v="27"/>
    <x v="0"/>
    <x v="0"/>
    <x v="48"/>
    <x v="28"/>
    <x v="28"/>
    <x v="28"/>
    <x v="28"/>
    <x v="2"/>
  </r>
  <r>
    <x v="198"/>
    <x v="261"/>
    <x v="0"/>
    <x v="0"/>
    <x v="0"/>
    <x v="0"/>
    <x v="0"/>
    <x v="0"/>
    <x v="0"/>
    <x v="0"/>
    <x v="2"/>
    <x v="0"/>
    <x v="83"/>
    <x v="1"/>
    <x v="0"/>
    <x v="0"/>
    <x v="0"/>
    <x v="198"/>
    <x v="2"/>
    <x v="6"/>
    <x v="6"/>
    <x v="0"/>
    <x v="0"/>
    <x v="3"/>
    <x v="128"/>
    <x v="0"/>
    <x v="29"/>
    <x v="273"/>
    <x v="9"/>
    <x v="49"/>
    <x v="1"/>
    <x v="1"/>
    <x v="1"/>
    <x v="1"/>
    <x v="41"/>
    <x v="1"/>
    <x v="29"/>
    <x v="84"/>
    <x v="84"/>
    <x v="0"/>
    <x v="84"/>
    <x v="79"/>
    <x v="82"/>
    <x v="71"/>
    <x v="82"/>
    <x v="79"/>
    <x v="79"/>
    <x v="79"/>
    <x v="79"/>
    <x v="79"/>
    <x v="79"/>
    <x v="79"/>
    <x v="84"/>
    <x v="70"/>
    <x v="70"/>
    <x v="69"/>
    <x v="0"/>
    <x v="0"/>
    <x v="100"/>
    <x v="84"/>
    <x v="84"/>
    <x v="84"/>
    <x v="84"/>
    <x v="2"/>
  </r>
  <r>
    <x v="199"/>
    <x v="266"/>
    <x v="0"/>
    <x v="0"/>
    <x v="0"/>
    <x v="0"/>
    <x v="0"/>
    <x v="0"/>
    <x v="0"/>
    <x v="0"/>
    <x v="2"/>
    <x v="0"/>
    <x v="236"/>
    <x v="1"/>
    <x v="0"/>
    <x v="0"/>
    <x v="0"/>
    <x v="199"/>
    <x v="2"/>
    <x v="6"/>
    <x v="6"/>
    <x v="0"/>
    <x v="0"/>
    <x v="3"/>
    <x v="128"/>
    <x v="0"/>
    <x v="29"/>
    <x v="272"/>
    <x v="9"/>
    <x v="49"/>
    <x v="1"/>
    <x v="1"/>
    <x v="1"/>
    <x v="1"/>
    <x v="147"/>
    <x v="1"/>
    <x v="29"/>
    <x v="236"/>
    <x v="236"/>
    <x v="0"/>
    <x v="236"/>
    <x v="239"/>
    <x v="241"/>
    <x v="236"/>
    <x v="241"/>
    <x v="239"/>
    <x v="239"/>
    <x v="239"/>
    <x v="239"/>
    <x v="239"/>
    <x v="239"/>
    <x v="239"/>
    <x v="236"/>
    <x v="236"/>
    <x v="236"/>
    <x v="205"/>
    <x v="0"/>
    <x v="0"/>
    <x v="284"/>
    <x v="236"/>
    <x v="236"/>
    <x v="236"/>
    <x v="236"/>
    <x v="2"/>
  </r>
  <r>
    <x v="200"/>
    <x v="269"/>
    <x v="0"/>
    <x v="0"/>
    <x v="0"/>
    <x v="0"/>
    <x v="0"/>
    <x v="0"/>
    <x v="0"/>
    <x v="0"/>
    <x v="2"/>
    <x v="0"/>
    <x v="232"/>
    <x v="1"/>
    <x v="0"/>
    <x v="0"/>
    <x v="0"/>
    <x v="200"/>
    <x v="2"/>
    <x v="6"/>
    <x v="6"/>
    <x v="0"/>
    <x v="0"/>
    <x v="3"/>
    <x v="128"/>
    <x v="0"/>
    <x v="28"/>
    <x v="264"/>
    <x v="9"/>
    <x v="49"/>
    <x v="1"/>
    <x v="1"/>
    <x v="1"/>
    <x v="1"/>
    <x v="143"/>
    <x v="1"/>
    <x v="28"/>
    <x v="232"/>
    <x v="232"/>
    <x v="0"/>
    <x v="232"/>
    <x v="237"/>
    <x v="235"/>
    <x v="233"/>
    <x v="235"/>
    <x v="237"/>
    <x v="237"/>
    <x v="237"/>
    <x v="237"/>
    <x v="237"/>
    <x v="237"/>
    <x v="237"/>
    <x v="232"/>
    <x v="231"/>
    <x v="231"/>
    <x v="201"/>
    <x v="0"/>
    <x v="0"/>
    <x v="271"/>
    <x v="232"/>
    <x v="232"/>
    <x v="232"/>
    <x v="232"/>
    <x v="2"/>
  </r>
  <r>
    <x v="201"/>
    <x v="275"/>
    <x v="0"/>
    <x v="0"/>
    <x v="0"/>
    <x v="0"/>
    <x v="0"/>
    <x v="0"/>
    <x v="0"/>
    <x v="0"/>
    <x v="2"/>
    <x v="0"/>
    <x v="491"/>
    <x v="1"/>
    <x v="0"/>
    <x v="0"/>
    <x v="0"/>
    <x v="201"/>
    <x v="2"/>
    <x v="6"/>
    <x v="6"/>
    <x v="0"/>
    <x v="0"/>
    <x v="3"/>
    <x v="128"/>
    <x v="0"/>
    <x v="28"/>
    <x v="302"/>
    <x v="9"/>
    <x v="49"/>
    <x v="1"/>
    <x v="1"/>
    <x v="1"/>
    <x v="1"/>
    <x v="329"/>
    <x v="1"/>
    <x v="28"/>
    <x v="491"/>
    <x v="491"/>
    <x v="0"/>
    <x v="491"/>
    <x v="464"/>
    <x v="468"/>
    <x v="451"/>
    <x v="468"/>
    <x v="464"/>
    <x v="464"/>
    <x v="464"/>
    <x v="464"/>
    <x v="464"/>
    <x v="464"/>
    <x v="464"/>
    <x v="491"/>
    <x v="451"/>
    <x v="451"/>
    <x v="436"/>
    <x v="0"/>
    <x v="0"/>
    <x v="601"/>
    <x v="491"/>
    <x v="491"/>
    <x v="491"/>
    <x v="491"/>
    <x v="2"/>
  </r>
  <r>
    <x v="202"/>
    <x v="270"/>
    <x v="0"/>
    <x v="0"/>
    <x v="0"/>
    <x v="0"/>
    <x v="0"/>
    <x v="0"/>
    <x v="0"/>
    <x v="0"/>
    <x v="2"/>
    <x v="0"/>
    <x v="395"/>
    <x v="1"/>
    <x v="0"/>
    <x v="0"/>
    <x v="0"/>
    <x v="202"/>
    <x v="2"/>
    <x v="6"/>
    <x v="6"/>
    <x v="0"/>
    <x v="0"/>
    <x v="3"/>
    <x v="128"/>
    <x v="0"/>
    <x v="29"/>
    <x v="258"/>
    <x v="9"/>
    <x v="49"/>
    <x v="1"/>
    <x v="1"/>
    <x v="1"/>
    <x v="1"/>
    <x v="272"/>
    <x v="1"/>
    <x v="29"/>
    <x v="395"/>
    <x v="395"/>
    <x v="0"/>
    <x v="395"/>
    <x v="392"/>
    <x v="394"/>
    <x v="370"/>
    <x v="394"/>
    <x v="392"/>
    <x v="392"/>
    <x v="392"/>
    <x v="392"/>
    <x v="392"/>
    <x v="392"/>
    <x v="392"/>
    <x v="395"/>
    <x v="369"/>
    <x v="369"/>
    <x v="353"/>
    <x v="0"/>
    <x v="0"/>
    <x v="515"/>
    <x v="395"/>
    <x v="395"/>
    <x v="395"/>
    <x v="395"/>
    <x v="2"/>
  </r>
  <r>
    <x v="203"/>
    <x v="280"/>
    <x v="0"/>
    <x v="0"/>
    <x v="0"/>
    <x v="0"/>
    <x v="0"/>
    <x v="0"/>
    <x v="0"/>
    <x v="0"/>
    <x v="2"/>
    <x v="0"/>
    <x v="780"/>
    <x v="1"/>
    <x v="0"/>
    <x v="0"/>
    <x v="0"/>
    <x v="203"/>
    <x v="2"/>
    <x v="6"/>
    <x v="6"/>
    <x v="0"/>
    <x v="0"/>
    <x v="3"/>
    <x v="112"/>
    <x v="0"/>
    <x v="28"/>
    <x v="256"/>
    <x v="9"/>
    <x v="49"/>
    <x v="1"/>
    <x v="1"/>
    <x v="1"/>
    <x v="1"/>
    <x v="521"/>
    <x v="1"/>
    <x v="28"/>
    <x v="780"/>
    <x v="780"/>
    <x v="1"/>
    <x v="780"/>
    <x v="772"/>
    <x v="777"/>
    <x v="732"/>
    <x v="777"/>
    <x v="772"/>
    <x v="772"/>
    <x v="772"/>
    <x v="772"/>
    <x v="772"/>
    <x v="772"/>
    <x v="772"/>
    <x v="780"/>
    <x v="732"/>
    <x v="732"/>
    <x v="719"/>
    <x v="0"/>
    <x v="0"/>
    <x v="837"/>
    <x v="780"/>
    <x v="780"/>
    <x v="780"/>
    <x v="780"/>
    <x v="2"/>
  </r>
  <r>
    <x v="204"/>
    <x v="272"/>
    <x v="0"/>
    <x v="0"/>
    <x v="0"/>
    <x v="0"/>
    <x v="0"/>
    <x v="0"/>
    <x v="0"/>
    <x v="0"/>
    <x v="2"/>
    <x v="0"/>
    <x v="356"/>
    <x v="1"/>
    <x v="0"/>
    <x v="0"/>
    <x v="0"/>
    <x v="204"/>
    <x v="2"/>
    <x v="6"/>
    <x v="6"/>
    <x v="0"/>
    <x v="0"/>
    <x v="3"/>
    <x v="128"/>
    <x v="0"/>
    <x v="29"/>
    <x v="267"/>
    <x v="9"/>
    <x v="49"/>
    <x v="1"/>
    <x v="1"/>
    <x v="1"/>
    <x v="1"/>
    <x v="240"/>
    <x v="1"/>
    <x v="29"/>
    <x v="356"/>
    <x v="356"/>
    <x v="0"/>
    <x v="356"/>
    <x v="353"/>
    <x v="362"/>
    <x v="337"/>
    <x v="362"/>
    <x v="353"/>
    <x v="353"/>
    <x v="353"/>
    <x v="353"/>
    <x v="353"/>
    <x v="353"/>
    <x v="353"/>
    <x v="356"/>
    <x v="337"/>
    <x v="337"/>
    <x v="320"/>
    <x v="0"/>
    <x v="0"/>
    <x v="461"/>
    <x v="356"/>
    <x v="356"/>
    <x v="356"/>
    <x v="356"/>
    <x v="2"/>
  </r>
  <r>
    <x v="205"/>
    <x v="280"/>
    <x v="0"/>
    <x v="0"/>
    <x v="0"/>
    <x v="0"/>
    <x v="0"/>
    <x v="0"/>
    <x v="0"/>
    <x v="0"/>
    <x v="2"/>
    <x v="0"/>
    <x v="748"/>
    <x v="1"/>
    <x v="0"/>
    <x v="0"/>
    <x v="0"/>
    <x v="205"/>
    <x v="2"/>
    <x v="6"/>
    <x v="6"/>
    <x v="0"/>
    <x v="0"/>
    <x v="3"/>
    <x v="112"/>
    <x v="0"/>
    <x v="28"/>
    <x v="257"/>
    <x v="9"/>
    <x v="49"/>
    <x v="1"/>
    <x v="1"/>
    <x v="1"/>
    <x v="1"/>
    <x v="499"/>
    <x v="1"/>
    <x v="28"/>
    <x v="748"/>
    <x v="748"/>
    <x v="1"/>
    <x v="748"/>
    <x v="726"/>
    <x v="743"/>
    <x v="690"/>
    <x v="743"/>
    <x v="726"/>
    <x v="726"/>
    <x v="726"/>
    <x v="726"/>
    <x v="726"/>
    <x v="726"/>
    <x v="726"/>
    <x v="748"/>
    <x v="690"/>
    <x v="690"/>
    <x v="686"/>
    <x v="0"/>
    <x v="0"/>
    <x v="811"/>
    <x v="748"/>
    <x v="748"/>
    <x v="748"/>
    <x v="748"/>
    <x v="2"/>
  </r>
  <r>
    <x v="206"/>
    <x v="287"/>
    <x v="0"/>
    <x v="0"/>
    <x v="0"/>
    <x v="0"/>
    <x v="1"/>
    <x v="6"/>
    <x v="0"/>
    <x v="0"/>
    <x v="2"/>
    <x v="0"/>
    <x v="972"/>
    <x v="1"/>
    <x v="0"/>
    <x v="0"/>
    <x v="0"/>
    <x v="206"/>
    <x v="1"/>
    <x v="6"/>
    <x v="6"/>
    <x v="0"/>
    <x v="0"/>
    <x v="3"/>
    <x v="128"/>
    <x v="0"/>
    <x v="27"/>
    <x v="261"/>
    <x v="4"/>
    <x v="34"/>
    <x v="1"/>
    <x v="7"/>
    <x v="4"/>
    <x v="1"/>
    <x v="1376"/>
    <x v="7"/>
    <x v="27"/>
    <x v="972"/>
    <x v="972"/>
    <x v="1"/>
    <x v="972"/>
    <x v="1160"/>
    <x v="1099"/>
    <x v="1216"/>
    <x v="1099"/>
    <x v="1160"/>
    <x v="1160"/>
    <x v="1160"/>
    <x v="1160"/>
    <x v="1160"/>
    <x v="1160"/>
    <x v="1160"/>
    <x v="972"/>
    <x v="1225"/>
    <x v="1225"/>
    <x v="0"/>
    <x v="102"/>
    <x v="0"/>
    <x v="1276"/>
    <x v="972"/>
    <x v="972"/>
    <x v="972"/>
    <x v="972"/>
    <x v="2"/>
  </r>
  <r>
    <x v="207"/>
    <x v="282"/>
    <x v="0"/>
    <x v="0"/>
    <x v="0"/>
    <x v="0"/>
    <x v="0"/>
    <x v="0"/>
    <x v="0"/>
    <x v="0"/>
    <x v="2"/>
    <x v="0"/>
    <x v="612"/>
    <x v="1"/>
    <x v="0"/>
    <x v="0"/>
    <x v="0"/>
    <x v="207"/>
    <x v="2"/>
    <x v="6"/>
    <x v="6"/>
    <x v="0"/>
    <x v="0"/>
    <x v="3"/>
    <x v="45"/>
    <x v="0"/>
    <x v="28"/>
    <x v="275"/>
    <x v="9"/>
    <x v="49"/>
    <x v="1"/>
    <x v="1"/>
    <x v="1"/>
    <x v="1"/>
    <x v="400"/>
    <x v="1"/>
    <x v="28"/>
    <x v="612"/>
    <x v="612"/>
    <x v="0"/>
    <x v="612"/>
    <x v="558"/>
    <x v="568"/>
    <x v="536"/>
    <x v="568"/>
    <x v="558"/>
    <x v="558"/>
    <x v="558"/>
    <x v="558"/>
    <x v="558"/>
    <x v="558"/>
    <x v="558"/>
    <x v="612"/>
    <x v="537"/>
    <x v="537"/>
    <x v="547"/>
    <x v="0"/>
    <x v="0"/>
    <x v="684"/>
    <x v="612"/>
    <x v="612"/>
    <x v="612"/>
    <x v="612"/>
    <x v="2"/>
  </r>
  <r>
    <x v="208"/>
    <x v="283"/>
    <x v="0"/>
    <x v="0"/>
    <x v="0"/>
    <x v="0"/>
    <x v="0"/>
    <x v="0"/>
    <x v="0"/>
    <x v="0"/>
    <x v="2"/>
    <x v="0"/>
    <x v="782"/>
    <x v="1"/>
    <x v="0"/>
    <x v="0"/>
    <x v="0"/>
    <x v="208"/>
    <x v="2"/>
    <x v="6"/>
    <x v="6"/>
    <x v="0"/>
    <x v="0"/>
    <x v="3"/>
    <x v="45"/>
    <x v="0"/>
    <x v="28"/>
    <x v="244"/>
    <x v="9"/>
    <x v="49"/>
    <x v="1"/>
    <x v="1"/>
    <x v="1"/>
    <x v="1"/>
    <x v="523"/>
    <x v="1"/>
    <x v="28"/>
    <x v="782"/>
    <x v="782"/>
    <x v="1"/>
    <x v="782"/>
    <x v="775"/>
    <x v="780"/>
    <x v="735"/>
    <x v="780"/>
    <x v="775"/>
    <x v="775"/>
    <x v="775"/>
    <x v="775"/>
    <x v="775"/>
    <x v="775"/>
    <x v="775"/>
    <x v="782"/>
    <x v="733"/>
    <x v="733"/>
    <x v="720"/>
    <x v="0"/>
    <x v="0"/>
    <x v="843"/>
    <x v="782"/>
    <x v="782"/>
    <x v="782"/>
    <x v="782"/>
    <x v="2"/>
  </r>
  <r>
    <x v="209"/>
    <x v="256"/>
    <x v="0"/>
    <x v="0"/>
    <x v="0"/>
    <x v="0"/>
    <x v="0"/>
    <x v="0"/>
    <x v="0"/>
    <x v="0"/>
    <x v="2"/>
    <x v="0"/>
    <x v="1319"/>
    <x v="1"/>
    <x v="0"/>
    <x v="0"/>
    <x v="0"/>
    <x v="209"/>
    <x v="2"/>
    <x v="6"/>
    <x v="6"/>
    <x v="0"/>
    <x v="0"/>
    <x v="3"/>
    <x v="41"/>
    <x v="0"/>
    <x v="29"/>
    <x v="271"/>
    <x v="9"/>
    <x v="49"/>
    <x v="1"/>
    <x v="1"/>
    <x v="1"/>
    <x v="1"/>
    <x v="1144"/>
    <x v="1"/>
    <x v="29"/>
    <x v="1317"/>
    <x v="1317"/>
    <x v="3"/>
    <x v="1317"/>
    <x v="1345"/>
    <x v="1340"/>
    <x v="1335"/>
    <x v="1340"/>
    <x v="1345"/>
    <x v="1345"/>
    <x v="1345"/>
    <x v="1345"/>
    <x v="1345"/>
    <x v="1345"/>
    <x v="1345"/>
    <x v="1317"/>
    <x v="1334"/>
    <x v="1334"/>
    <x v="1239"/>
    <x v="0"/>
    <x v="0"/>
    <x v="1373"/>
    <x v="1317"/>
    <x v="1317"/>
    <x v="1317"/>
    <x v="1317"/>
    <x v="2"/>
  </r>
  <r>
    <x v="210"/>
    <x v="289"/>
    <x v="0"/>
    <x v="0"/>
    <x v="0"/>
    <x v="0"/>
    <x v="1"/>
    <x v="4"/>
    <x v="0"/>
    <x v="0"/>
    <x v="2"/>
    <x v="0"/>
    <x v="812"/>
    <x v="1"/>
    <x v="0"/>
    <x v="0"/>
    <x v="0"/>
    <x v="210"/>
    <x v="1"/>
    <x v="6"/>
    <x v="6"/>
    <x v="0"/>
    <x v="0"/>
    <x v="3"/>
    <x v="128"/>
    <x v="0"/>
    <x v="27"/>
    <x v="279"/>
    <x v="2"/>
    <x v="15"/>
    <x v="1"/>
    <x v="5"/>
    <x v="2"/>
    <x v="1"/>
    <x v="1256"/>
    <x v="5"/>
    <x v="27"/>
    <x v="812"/>
    <x v="812"/>
    <x v="1"/>
    <x v="812"/>
    <x v="915"/>
    <x v="878"/>
    <x v="948"/>
    <x v="878"/>
    <x v="915"/>
    <x v="915"/>
    <x v="915"/>
    <x v="915"/>
    <x v="915"/>
    <x v="915"/>
    <x v="915"/>
    <x v="812"/>
    <x v="949"/>
    <x v="949"/>
    <x v="779"/>
    <x v="0"/>
    <x v="0"/>
    <x v="1028"/>
    <x v="812"/>
    <x v="812"/>
    <x v="812"/>
    <x v="812"/>
    <x v="2"/>
  </r>
  <r>
    <x v="211"/>
    <x v="278"/>
    <x v="0"/>
    <x v="0"/>
    <x v="0"/>
    <x v="0"/>
    <x v="0"/>
    <x v="0"/>
    <x v="0"/>
    <x v="0"/>
    <x v="2"/>
    <x v="0"/>
    <x v="183"/>
    <x v="1"/>
    <x v="0"/>
    <x v="0"/>
    <x v="0"/>
    <x v="211"/>
    <x v="2"/>
    <x v="6"/>
    <x v="6"/>
    <x v="0"/>
    <x v="0"/>
    <x v="3"/>
    <x v="113"/>
    <x v="0"/>
    <x v="29"/>
    <x v="240"/>
    <x v="9"/>
    <x v="49"/>
    <x v="1"/>
    <x v="1"/>
    <x v="1"/>
    <x v="1"/>
    <x v="99"/>
    <x v="1"/>
    <x v="29"/>
    <x v="184"/>
    <x v="184"/>
    <x v="0"/>
    <x v="184"/>
    <x v="188"/>
    <x v="191"/>
    <x v="186"/>
    <x v="191"/>
    <x v="188"/>
    <x v="188"/>
    <x v="188"/>
    <x v="188"/>
    <x v="188"/>
    <x v="188"/>
    <x v="188"/>
    <x v="184"/>
    <x v="184"/>
    <x v="184"/>
    <x v="161"/>
    <x v="0"/>
    <x v="0"/>
    <x v="216"/>
    <x v="184"/>
    <x v="184"/>
    <x v="184"/>
    <x v="184"/>
    <x v="2"/>
  </r>
  <r>
    <x v="212"/>
    <x v="306"/>
    <x v="0"/>
    <x v="0"/>
    <x v="0"/>
    <x v="0"/>
    <x v="0"/>
    <x v="0"/>
    <x v="0"/>
    <x v="0"/>
    <x v="2"/>
    <x v="0"/>
    <x v="993"/>
    <x v="1"/>
    <x v="0"/>
    <x v="0"/>
    <x v="0"/>
    <x v="212"/>
    <x v="2"/>
    <x v="6"/>
    <x v="6"/>
    <x v="0"/>
    <x v="0"/>
    <x v="3"/>
    <x v="112"/>
    <x v="0"/>
    <x v="27"/>
    <x v="243"/>
    <x v="9"/>
    <x v="49"/>
    <x v="1"/>
    <x v="1"/>
    <x v="1"/>
    <x v="1"/>
    <x v="760"/>
    <x v="1"/>
    <x v="27"/>
    <x v="993"/>
    <x v="993"/>
    <x v="1"/>
    <x v="993"/>
    <x v="1010"/>
    <x v="1003"/>
    <x v="992"/>
    <x v="1003"/>
    <x v="1010"/>
    <x v="1010"/>
    <x v="1010"/>
    <x v="1010"/>
    <x v="1010"/>
    <x v="1010"/>
    <x v="1010"/>
    <x v="993"/>
    <x v="991"/>
    <x v="991"/>
    <x v="925"/>
    <x v="0"/>
    <x v="0"/>
    <x v="1059"/>
    <x v="993"/>
    <x v="993"/>
    <x v="993"/>
    <x v="993"/>
    <x v="2"/>
  </r>
  <r>
    <x v="213"/>
    <x v="293"/>
    <x v="0"/>
    <x v="0"/>
    <x v="0"/>
    <x v="0"/>
    <x v="1"/>
    <x v="6"/>
    <x v="0"/>
    <x v="0"/>
    <x v="2"/>
    <x v="0"/>
    <x v="61"/>
    <x v="1"/>
    <x v="0"/>
    <x v="0"/>
    <x v="0"/>
    <x v="213"/>
    <x v="1"/>
    <x v="6"/>
    <x v="6"/>
    <x v="0"/>
    <x v="0"/>
    <x v="3"/>
    <x v="128"/>
    <x v="0"/>
    <x v="27"/>
    <x v="260"/>
    <x v="4"/>
    <x v="34"/>
    <x v="1"/>
    <x v="7"/>
    <x v="4"/>
    <x v="1"/>
    <x v="454"/>
    <x v="7"/>
    <x v="27"/>
    <x v="62"/>
    <x v="62"/>
    <x v="0"/>
    <x v="62"/>
    <x v="87"/>
    <x v="77"/>
    <x v="102"/>
    <x v="77"/>
    <x v="87"/>
    <x v="87"/>
    <x v="87"/>
    <x v="87"/>
    <x v="87"/>
    <x v="87"/>
    <x v="87"/>
    <x v="62"/>
    <x v="104"/>
    <x v="104"/>
    <x v="0"/>
    <x v="17"/>
    <x v="0"/>
    <x v="126"/>
    <x v="62"/>
    <x v="62"/>
    <x v="62"/>
    <x v="62"/>
    <x v="2"/>
  </r>
  <r>
    <x v="214"/>
    <x v="306"/>
    <x v="0"/>
    <x v="0"/>
    <x v="0"/>
    <x v="0"/>
    <x v="0"/>
    <x v="0"/>
    <x v="0"/>
    <x v="0"/>
    <x v="2"/>
    <x v="0"/>
    <x v="794"/>
    <x v="1"/>
    <x v="0"/>
    <x v="0"/>
    <x v="0"/>
    <x v="214"/>
    <x v="2"/>
    <x v="6"/>
    <x v="6"/>
    <x v="0"/>
    <x v="0"/>
    <x v="3"/>
    <x v="112"/>
    <x v="0"/>
    <x v="27"/>
    <x v="242"/>
    <x v="9"/>
    <x v="49"/>
    <x v="1"/>
    <x v="1"/>
    <x v="1"/>
    <x v="1"/>
    <x v="535"/>
    <x v="1"/>
    <x v="27"/>
    <x v="794"/>
    <x v="794"/>
    <x v="1"/>
    <x v="794"/>
    <x v="792"/>
    <x v="795"/>
    <x v="749"/>
    <x v="795"/>
    <x v="792"/>
    <x v="792"/>
    <x v="792"/>
    <x v="792"/>
    <x v="792"/>
    <x v="792"/>
    <x v="792"/>
    <x v="794"/>
    <x v="749"/>
    <x v="749"/>
    <x v="735"/>
    <x v="0"/>
    <x v="0"/>
    <x v="842"/>
    <x v="794"/>
    <x v="794"/>
    <x v="794"/>
    <x v="794"/>
    <x v="2"/>
  </r>
  <r>
    <x v="215"/>
    <x v="318"/>
    <x v="0"/>
    <x v="0"/>
    <x v="0"/>
    <x v="0"/>
    <x v="0"/>
    <x v="0"/>
    <x v="0"/>
    <x v="0"/>
    <x v="2"/>
    <x v="0"/>
    <x v="1076"/>
    <x v="1"/>
    <x v="0"/>
    <x v="0"/>
    <x v="0"/>
    <x v="215"/>
    <x v="2"/>
    <x v="6"/>
    <x v="6"/>
    <x v="0"/>
    <x v="0"/>
    <x v="3"/>
    <x v="110"/>
    <x v="0"/>
    <x v="26"/>
    <x v="292"/>
    <x v="9"/>
    <x v="49"/>
    <x v="1"/>
    <x v="1"/>
    <x v="1"/>
    <x v="1"/>
    <x v="842"/>
    <x v="1"/>
    <x v="26"/>
    <x v="1074"/>
    <x v="1074"/>
    <x v="1"/>
    <x v="1074"/>
    <x v="1082"/>
    <x v="1077"/>
    <x v="1070"/>
    <x v="1077"/>
    <x v="1082"/>
    <x v="1082"/>
    <x v="1082"/>
    <x v="1082"/>
    <x v="1082"/>
    <x v="1082"/>
    <x v="1082"/>
    <x v="1074"/>
    <x v="1069"/>
    <x v="1069"/>
    <x v="1003"/>
    <x v="0"/>
    <x v="0"/>
    <x v="1132"/>
    <x v="1074"/>
    <x v="1074"/>
    <x v="1074"/>
    <x v="1074"/>
    <x v="2"/>
  </r>
  <r>
    <x v="216"/>
    <x v="312"/>
    <x v="0"/>
    <x v="0"/>
    <x v="0"/>
    <x v="0"/>
    <x v="1"/>
    <x v="4"/>
    <x v="0"/>
    <x v="0"/>
    <x v="2"/>
    <x v="0"/>
    <x v="665"/>
    <x v="1"/>
    <x v="0"/>
    <x v="0"/>
    <x v="0"/>
    <x v="216"/>
    <x v="1"/>
    <x v="6"/>
    <x v="6"/>
    <x v="0"/>
    <x v="0"/>
    <x v="3"/>
    <x v="110"/>
    <x v="0"/>
    <x v="27"/>
    <x v="294"/>
    <x v="2"/>
    <x v="15"/>
    <x v="1"/>
    <x v="5"/>
    <x v="2"/>
    <x v="1"/>
    <x v="1196"/>
    <x v="5"/>
    <x v="27"/>
    <x v="665"/>
    <x v="665"/>
    <x v="0"/>
    <x v="665"/>
    <x v="774"/>
    <x v="736"/>
    <x v="808"/>
    <x v="736"/>
    <x v="774"/>
    <x v="774"/>
    <x v="774"/>
    <x v="774"/>
    <x v="774"/>
    <x v="774"/>
    <x v="774"/>
    <x v="665"/>
    <x v="807"/>
    <x v="807"/>
    <x v="644"/>
    <x v="0"/>
    <x v="0"/>
    <x v="888"/>
    <x v="665"/>
    <x v="665"/>
    <x v="665"/>
    <x v="665"/>
    <x v="2"/>
  </r>
  <r>
    <x v="217"/>
    <x v="281"/>
    <x v="0"/>
    <x v="0"/>
    <x v="0"/>
    <x v="0"/>
    <x v="0"/>
    <x v="0"/>
    <x v="0"/>
    <x v="0"/>
    <x v="2"/>
    <x v="0"/>
    <x v="1094"/>
    <x v="1"/>
    <x v="0"/>
    <x v="0"/>
    <x v="0"/>
    <x v="217"/>
    <x v="2"/>
    <x v="6"/>
    <x v="6"/>
    <x v="0"/>
    <x v="0"/>
    <x v="3"/>
    <x v="113"/>
    <x v="0"/>
    <x v="29"/>
    <x v="248"/>
    <x v="9"/>
    <x v="49"/>
    <x v="1"/>
    <x v="1"/>
    <x v="1"/>
    <x v="1"/>
    <x v="859"/>
    <x v="1"/>
    <x v="29"/>
    <x v="1092"/>
    <x v="1092"/>
    <x v="1"/>
    <x v="1092"/>
    <x v="1102"/>
    <x v="1097"/>
    <x v="1087"/>
    <x v="1097"/>
    <x v="1102"/>
    <x v="1102"/>
    <x v="1102"/>
    <x v="1102"/>
    <x v="1102"/>
    <x v="1102"/>
    <x v="1102"/>
    <x v="1092"/>
    <x v="1085"/>
    <x v="1085"/>
    <x v="1020"/>
    <x v="0"/>
    <x v="0"/>
    <x v="1175"/>
    <x v="1092"/>
    <x v="1092"/>
    <x v="1092"/>
    <x v="1092"/>
    <x v="2"/>
  </r>
  <r>
    <x v="218"/>
    <x v="318"/>
    <x v="0"/>
    <x v="0"/>
    <x v="0"/>
    <x v="0"/>
    <x v="1"/>
    <x v="4"/>
    <x v="0"/>
    <x v="0"/>
    <x v="2"/>
    <x v="0"/>
    <x v="151"/>
    <x v="1"/>
    <x v="0"/>
    <x v="0"/>
    <x v="0"/>
    <x v="218"/>
    <x v="1"/>
    <x v="6"/>
    <x v="6"/>
    <x v="0"/>
    <x v="0"/>
    <x v="3"/>
    <x v="110"/>
    <x v="0"/>
    <x v="26"/>
    <x v="293"/>
    <x v="2"/>
    <x v="15"/>
    <x v="1"/>
    <x v="5"/>
    <x v="2"/>
    <x v="1"/>
    <x v="498"/>
    <x v="5"/>
    <x v="26"/>
    <x v="152"/>
    <x v="152"/>
    <x v="0"/>
    <x v="152"/>
    <x v="176"/>
    <x v="167"/>
    <x v="184"/>
    <x v="167"/>
    <x v="176"/>
    <x v="176"/>
    <x v="176"/>
    <x v="176"/>
    <x v="176"/>
    <x v="176"/>
    <x v="176"/>
    <x v="152"/>
    <x v="182"/>
    <x v="182"/>
    <x v="135"/>
    <x v="0"/>
    <x v="0"/>
    <x v="204"/>
    <x v="152"/>
    <x v="152"/>
    <x v="152"/>
    <x v="152"/>
    <x v="2"/>
  </r>
  <r>
    <x v="219"/>
    <x v="313"/>
    <x v="0"/>
    <x v="0"/>
    <x v="0"/>
    <x v="0"/>
    <x v="0"/>
    <x v="0"/>
    <x v="0"/>
    <x v="0"/>
    <x v="2"/>
    <x v="0"/>
    <x v="916"/>
    <x v="1"/>
    <x v="0"/>
    <x v="0"/>
    <x v="0"/>
    <x v="219"/>
    <x v="2"/>
    <x v="6"/>
    <x v="6"/>
    <x v="0"/>
    <x v="0"/>
    <x v="3"/>
    <x v="110"/>
    <x v="0"/>
    <x v="27"/>
    <x v="276"/>
    <x v="9"/>
    <x v="49"/>
    <x v="1"/>
    <x v="1"/>
    <x v="1"/>
    <x v="1"/>
    <x v="660"/>
    <x v="1"/>
    <x v="27"/>
    <x v="916"/>
    <x v="916"/>
    <x v="1"/>
    <x v="916"/>
    <x v="922"/>
    <x v="920"/>
    <x v="914"/>
    <x v="920"/>
    <x v="922"/>
    <x v="922"/>
    <x v="922"/>
    <x v="922"/>
    <x v="922"/>
    <x v="922"/>
    <x v="922"/>
    <x v="916"/>
    <x v="913"/>
    <x v="913"/>
    <x v="850"/>
    <x v="0"/>
    <x v="0"/>
    <x v="980"/>
    <x v="916"/>
    <x v="916"/>
    <x v="916"/>
    <x v="916"/>
    <x v="2"/>
  </r>
  <r>
    <x v="220"/>
    <x v="354"/>
    <x v="0"/>
    <x v="0"/>
    <x v="0"/>
    <x v="0"/>
    <x v="0"/>
    <x v="0"/>
    <x v="0"/>
    <x v="0"/>
    <x v="2"/>
    <x v="0"/>
    <x v="1321"/>
    <x v="1"/>
    <x v="0"/>
    <x v="0"/>
    <x v="0"/>
    <x v="220"/>
    <x v="2"/>
    <x v="6"/>
    <x v="6"/>
    <x v="0"/>
    <x v="0"/>
    <x v="3"/>
    <x v="49"/>
    <x v="0"/>
    <x v="26"/>
    <x v="286"/>
    <x v="9"/>
    <x v="49"/>
    <x v="1"/>
    <x v="1"/>
    <x v="1"/>
    <x v="1"/>
    <x v="1148"/>
    <x v="1"/>
    <x v="26"/>
    <x v="1319"/>
    <x v="1319"/>
    <x v="3"/>
    <x v="1319"/>
    <x v="1347"/>
    <x v="1342"/>
    <x v="1337"/>
    <x v="1342"/>
    <x v="1347"/>
    <x v="1347"/>
    <x v="1347"/>
    <x v="1347"/>
    <x v="1347"/>
    <x v="1347"/>
    <x v="1347"/>
    <x v="1319"/>
    <x v="1336"/>
    <x v="1336"/>
    <x v="1241"/>
    <x v="0"/>
    <x v="0"/>
    <x v="1363"/>
    <x v="1319"/>
    <x v="1319"/>
    <x v="1319"/>
    <x v="1319"/>
    <x v="2"/>
  </r>
  <r>
    <x v="221"/>
    <x v="311"/>
    <x v="0"/>
    <x v="0"/>
    <x v="0"/>
    <x v="0"/>
    <x v="0"/>
    <x v="0"/>
    <x v="0"/>
    <x v="0"/>
    <x v="2"/>
    <x v="0"/>
    <x v="540"/>
    <x v="1"/>
    <x v="0"/>
    <x v="0"/>
    <x v="0"/>
    <x v="221"/>
    <x v="2"/>
    <x v="6"/>
    <x v="6"/>
    <x v="0"/>
    <x v="0"/>
    <x v="3"/>
    <x v="128"/>
    <x v="0"/>
    <x v="29"/>
    <x v="266"/>
    <x v="9"/>
    <x v="49"/>
    <x v="1"/>
    <x v="1"/>
    <x v="1"/>
    <x v="1"/>
    <x v="360"/>
    <x v="1"/>
    <x v="29"/>
    <x v="540"/>
    <x v="540"/>
    <x v="0"/>
    <x v="540"/>
    <x v="499"/>
    <x v="512"/>
    <x v="486"/>
    <x v="512"/>
    <x v="499"/>
    <x v="499"/>
    <x v="499"/>
    <x v="499"/>
    <x v="499"/>
    <x v="499"/>
    <x v="499"/>
    <x v="540"/>
    <x v="485"/>
    <x v="485"/>
    <x v="482"/>
    <x v="0"/>
    <x v="0"/>
    <x v="656"/>
    <x v="540"/>
    <x v="540"/>
    <x v="540"/>
    <x v="540"/>
    <x v="2"/>
  </r>
  <r>
    <x v="222"/>
    <x v="332"/>
    <x v="0"/>
    <x v="0"/>
    <x v="0"/>
    <x v="0"/>
    <x v="1"/>
    <x v="4"/>
    <x v="0"/>
    <x v="0"/>
    <x v="2"/>
    <x v="0"/>
    <x v="434"/>
    <x v="1"/>
    <x v="0"/>
    <x v="0"/>
    <x v="0"/>
    <x v="222"/>
    <x v="1"/>
    <x v="6"/>
    <x v="6"/>
    <x v="0"/>
    <x v="0"/>
    <x v="3"/>
    <x v="110"/>
    <x v="0"/>
    <x v="26"/>
    <x v="291"/>
    <x v="2"/>
    <x v="15"/>
    <x v="1"/>
    <x v="5"/>
    <x v="2"/>
    <x v="1"/>
    <x v="1123"/>
    <x v="5"/>
    <x v="26"/>
    <x v="434"/>
    <x v="434"/>
    <x v="0"/>
    <x v="434"/>
    <x v="547"/>
    <x v="499"/>
    <x v="616"/>
    <x v="499"/>
    <x v="547"/>
    <x v="547"/>
    <x v="547"/>
    <x v="547"/>
    <x v="547"/>
    <x v="547"/>
    <x v="547"/>
    <x v="434"/>
    <x v="617"/>
    <x v="617"/>
    <x v="415"/>
    <x v="0"/>
    <x v="0"/>
    <x v="718"/>
    <x v="434"/>
    <x v="434"/>
    <x v="434"/>
    <x v="434"/>
    <x v="2"/>
  </r>
  <r>
    <x v="223"/>
    <x v="338"/>
    <x v="0"/>
    <x v="0"/>
    <x v="0"/>
    <x v="0"/>
    <x v="0"/>
    <x v="0"/>
    <x v="0"/>
    <x v="0"/>
    <x v="2"/>
    <x v="0"/>
    <x v="905"/>
    <x v="1"/>
    <x v="0"/>
    <x v="0"/>
    <x v="0"/>
    <x v="223"/>
    <x v="2"/>
    <x v="6"/>
    <x v="6"/>
    <x v="0"/>
    <x v="0"/>
    <x v="3"/>
    <x v="53"/>
    <x v="0"/>
    <x v="28"/>
    <x v="255"/>
    <x v="9"/>
    <x v="49"/>
    <x v="1"/>
    <x v="1"/>
    <x v="1"/>
    <x v="1"/>
    <x v="650"/>
    <x v="1"/>
    <x v="28"/>
    <x v="905"/>
    <x v="905"/>
    <x v="1"/>
    <x v="905"/>
    <x v="914"/>
    <x v="909"/>
    <x v="900"/>
    <x v="909"/>
    <x v="914"/>
    <x v="914"/>
    <x v="914"/>
    <x v="914"/>
    <x v="914"/>
    <x v="914"/>
    <x v="914"/>
    <x v="905"/>
    <x v="897"/>
    <x v="897"/>
    <x v="839"/>
    <x v="0"/>
    <x v="0"/>
    <x v="978"/>
    <x v="905"/>
    <x v="905"/>
    <x v="905"/>
    <x v="905"/>
    <x v="2"/>
  </r>
  <r>
    <x v="224"/>
    <x v="344"/>
    <x v="0"/>
    <x v="0"/>
    <x v="0"/>
    <x v="0"/>
    <x v="0"/>
    <x v="0"/>
    <x v="0"/>
    <x v="0"/>
    <x v="2"/>
    <x v="0"/>
    <x v="1075"/>
    <x v="1"/>
    <x v="0"/>
    <x v="0"/>
    <x v="0"/>
    <x v="224"/>
    <x v="2"/>
    <x v="6"/>
    <x v="6"/>
    <x v="0"/>
    <x v="0"/>
    <x v="3"/>
    <x v="110"/>
    <x v="0"/>
    <x v="26"/>
    <x v="288"/>
    <x v="9"/>
    <x v="49"/>
    <x v="1"/>
    <x v="1"/>
    <x v="1"/>
    <x v="1"/>
    <x v="841"/>
    <x v="1"/>
    <x v="26"/>
    <x v="1073"/>
    <x v="1073"/>
    <x v="1"/>
    <x v="1073"/>
    <x v="1081"/>
    <x v="1076"/>
    <x v="1069"/>
    <x v="1076"/>
    <x v="1081"/>
    <x v="1081"/>
    <x v="1081"/>
    <x v="1081"/>
    <x v="1081"/>
    <x v="1081"/>
    <x v="1081"/>
    <x v="1073"/>
    <x v="1068"/>
    <x v="1068"/>
    <x v="1002"/>
    <x v="0"/>
    <x v="0"/>
    <x v="1129"/>
    <x v="1073"/>
    <x v="1073"/>
    <x v="1073"/>
    <x v="1073"/>
    <x v="2"/>
  </r>
  <r>
    <x v="225"/>
    <x v="326"/>
    <x v="0"/>
    <x v="0"/>
    <x v="0"/>
    <x v="0"/>
    <x v="0"/>
    <x v="0"/>
    <x v="0"/>
    <x v="0"/>
    <x v="2"/>
    <x v="0"/>
    <x v="283"/>
    <x v="1"/>
    <x v="0"/>
    <x v="0"/>
    <x v="0"/>
    <x v="225"/>
    <x v="2"/>
    <x v="6"/>
    <x v="6"/>
    <x v="0"/>
    <x v="0"/>
    <x v="3"/>
    <x v="49"/>
    <x v="0"/>
    <x v="28"/>
    <x v="259"/>
    <x v="9"/>
    <x v="49"/>
    <x v="1"/>
    <x v="1"/>
    <x v="1"/>
    <x v="1"/>
    <x v="188"/>
    <x v="1"/>
    <x v="28"/>
    <x v="283"/>
    <x v="283"/>
    <x v="0"/>
    <x v="283"/>
    <x v="288"/>
    <x v="288"/>
    <x v="280"/>
    <x v="288"/>
    <x v="288"/>
    <x v="288"/>
    <x v="288"/>
    <x v="288"/>
    <x v="288"/>
    <x v="288"/>
    <x v="288"/>
    <x v="283"/>
    <x v="280"/>
    <x v="280"/>
    <x v="248"/>
    <x v="0"/>
    <x v="0"/>
    <x v="357"/>
    <x v="283"/>
    <x v="283"/>
    <x v="283"/>
    <x v="283"/>
    <x v="2"/>
  </r>
  <r>
    <x v="226"/>
    <x v="330"/>
    <x v="0"/>
    <x v="0"/>
    <x v="0"/>
    <x v="0"/>
    <x v="0"/>
    <x v="0"/>
    <x v="0"/>
    <x v="0"/>
    <x v="2"/>
    <x v="0"/>
    <x v="42"/>
    <x v="1"/>
    <x v="0"/>
    <x v="0"/>
    <x v="0"/>
    <x v="226"/>
    <x v="2"/>
    <x v="6"/>
    <x v="6"/>
    <x v="0"/>
    <x v="0"/>
    <x v="3"/>
    <x v="128"/>
    <x v="0"/>
    <x v="30"/>
    <x v="239"/>
    <x v="9"/>
    <x v="49"/>
    <x v="1"/>
    <x v="1"/>
    <x v="1"/>
    <x v="1"/>
    <x v="21"/>
    <x v="1"/>
    <x v="30"/>
    <x v="43"/>
    <x v="43"/>
    <x v="0"/>
    <x v="43"/>
    <x v="34"/>
    <x v="36"/>
    <x v="30"/>
    <x v="36"/>
    <x v="34"/>
    <x v="34"/>
    <x v="34"/>
    <x v="34"/>
    <x v="34"/>
    <x v="34"/>
    <x v="34"/>
    <x v="43"/>
    <x v="29"/>
    <x v="29"/>
    <x v="32"/>
    <x v="0"/>
    <x v="0"/>
    <x v="47"/>
    <x v="43"/>
    <x v="43"/>
    <x v="43"/>
    <x v="43"/>
    <x v="2"/>
  </r>
  <r>
    <x v="227"/>
    <x v="342"/>
    <x v="0"/>
    <x v="0"/>
    <x v="0"/>
    <x v="0"/>
    <x v="0"/>
    <x v="1"/>
    <x v="0"/>
    <x v="0"/>
    <x v="2"/>
    <x v="0"/>
    <x v="562"/>
    <x v="1"/>
    <x v="0"/>
    <x v="0"/>
    <x v="0"/>
    <x v="227"/>
    <x v="1"/>
    <x v="6"/>
    <x v="6"/>
    <x v="0"/>
    <x v="0"/>
    <x v="3"/>
    <x v="53"/>
    <x v="0"/>
    <x v="28"/>
    <x v="295"/>
    <x v="10"/>
    <x v="60"/>
    <x v="1"/>
    <x v="2"/>
    <x v="2"/>
    <x v="1"/>
    <x v="722"/>
    <x v="2"/>
    <x v="28"/>
    <x v="562"/>
    <x v="562"/>
    <x v="0"/>
    <x v="562"/>
    <x v="665"/>
    <x v="657"/>
    <x v="656"/>
    <x v="657"/>
    <x v="665"/>
    <x v="665"/>
    <x v="665"/>
    <x v="665"/>
    <x v="665"/>
    <x v="665"/>
    <x v="665"/>
    <x v="562"/>
    <x v="653"/>
    <x v="653"/>
    <x v="518"/>
    <x v="0"/>
    <x v="0"/>
    <x v="781"/>
    <x v="562"/>
    <x v="562"/>
    <x v="562"/>
    <x v="562"/>
    <x v="2"/>
  </r>
  <r>
    <x v="228"/>
    <x v="331"/>
    <x v="0"/>
    <x v="0"/>
    <x v="0"/>
    <x v="0"/>
    <x v="0"/>
    <x v="0"/>
    <x v="0"/>
    <x v="0"/>
    <x v="2"/>
    <x v="0"/>
    <x v="260"/>
    <x v="1"/>
    <x v="0"/>
    <x v="0"/>
    <x v="0"/>
    <x v="228"/>
    <x v="2"/>
    <x v="6"/>
    <x v="6"/>
    <x v="0"/>
    <x v="0"/>
    <x v="3"/>
    <x v="128"/>
    <x v="0"/>
    <x v="30"/>
    <x v="265"/>
    <x v="9"/>
    <x v="49"/>
    <x v="1"/>
    <x v="1"/>
    <x v="1"/>
    <x v="1"/>
    <x v="169"/>
    <x v="1"/>
    <x v="30"/>
    <x v="260"/>
    <x v="260"/>
    <x v="0"/>
    <x v="260"/>
    <x v="264"/>
    <x v="266"/>
    <x v="259"/>
    <x v="266"/>
    <x v="264"/>
    <x v="264"/>
    <x v="264"/>
    <x v="264"/>
    <x v="264"/>
    <x v="264"/>
    <x v="264"/>
    <x v="260"/>
    <x v="258"/>
    <x v="258"/>
    <x v="227"/>
    <x v="0"/>
    <x v="0"/>
    <x v="337"/>
    <x v="260"/>
    <x v="260"/>
    <x v="260"/>
    <x v="260"/>
    <x v="2"/>
  </r>
  <r>
    <x v="229"/>
    <x v="344"/>
    <x v="0"/>
    <x v="0"/>
    <x v="0"/>
    <x v="0"/>
    <x v="1"/>
    <x v="4"/>
    <x v="0"/>
    <x v="0"/>
    <x v="2"/>
    <x v="0"/>
    <x v="311"/>
    <x v="1"/>
    <x v="0"/>
    <x v="0"/>
    <x v="0"/>
    <x v="229"/>
    <x v="1"/>
    <x v="6"/>
    <x v="6"/>
    <x v="0"/>
    <x v="0"/>
    <x v="3"/>
    <x v="110"/>
    <x v="0"/>
    <x v="26"/>
    <x v="290"/>
    <x v="2"/>
    <x v="15"/>
    <x v="1"/>
    <x v="5"/>
    <x v="2"/>
    <x v="1"/>
    <x v="997"/>
    <x v="5"/>
    <x v="26"/>
    <x v="311"/>
    <x v="311"/>
    <x v="0"/>
    <x v="311"/>
    <x v="360"/>
    <x v="347"/>
    <x v="384"/>
    <x v="347"/>
    <x v="360"/>
    <x v="360"/>
    <x v="360"/>
    <x v="360"/>
    <x v="360"/>
    <x v="360"/>
    <x v="360"/>
    <x v="311"/>
    <x v="383"/>
    <x v="383"/>
    <x v="287"/>
    <x v="0"/>
    <x v="0"/>
    <x v="490"/>
    <x v="311"/>
    <x v="311"/>
    <x v="311"/>
    <x v="311"/>
    <x v="2"/>
  </r>
  <r>
    <x v="230"/>
    <x v="349"/>
    <x v="0"/>
    <x v="0"/>
    <x v="0"/>
    <x v="0"/>
    <x v="0"/>
    <x v="0"/>
    <x v="0"/>
    <x v="0"/>
    <x v="2"/>
    <x v="0"/>
    <x v="650"/>
    <x v="1"/>
    <x v="0"/>
    <x v="0"/>
    <x v="0"/>
    <x v="230"/>
    <x v="2"/>
    <x v="6"/>
    <x v="6"/>
    <x v="0"/>
    <x v="0"/>
    <x v="3"/>
    <x v="53"/>
    <x v="0"/>
    <x v="29"/>
    <x v="251"/>
    <x v="9"/>
    <x v="49"/>
    <x v="1"/>
    <x v="1"/>
    <x v="1"/>
    <x v="1"/>
    <x v="423"/>
    <x v="1"/>
    <x v="29"/>
    <x v="650"/>
    <x v="650"/>
    <x v="0"/>
    <x v="650"/>
    <x v="589"/>
    <x v="595"/>
    <x v="561"/>
    <x v="595"/>
    <x v="589"/>
    <x v="589"/>
    <x v="589"/>
    <x v="589"/>
    <x v="589"/>
    <x v="589"/>
    <x v="589"/>
    <x v="650"/>
    <x v="562"/>
    <x v="562"/>
    <x v="578"/>
    <x v="0"/>
    <x v="0"/>
    <x v="712"/>
    <x v="650"/>
    <x v="650"/>
    <x v="650"/>
    <x v="650"/>
    <x v="2"/>
  </r>
  <r>
    <x v="231"/>
    <x v="350"/>
    <x v="0"/>
    <x v="0"/>
    <x v="0"/>
    <x v="0"/>
    <x v="0"/>
    <x v="0"/>
    <x v="0"/>
    <x v="0"/>
    <x v="2"/>
    <x v="0"/>
    <x v="765"/>
    <x v="1"/>
    <x v="0"/>
    <x v="0"/>
    <x v="0"/>
    <x v="231"/>
    <x v="2"/>
    <x v="6"/>
    <x v="6"/>
    <x v="0"/>
    <x v="0"/>
    <x v="3"/>
    <x v="53"/>
    <x v="0"/>
    <x v="29"/>
    <x v="41"/>
    <x v="9"/>
    <x v="49"/>
    <x v="1"/>
    <x v="1"/>
    <x v="1"/>
    <x v="1"/>
    <x v="510"/>
    <x v="1"/>
    <x v="29"/>
    <x v="765"/>
    <x v="765"/>
    <x v="1"/>
    <x v="765"/>
    <x v="751"/>
    <x v="760"/>
    <x v="712"/>
    <x v="760"/>
    <x v="751"/>
    <x v="751"/>
    <x v="751"/>
    <x v="751"/>
    <x v="751"/>
    <x v="751"/>
    <x v="751"/>
    <x v="765"/>
    <x v="715"/>
    <x v="715"/>
    <x v="702"/>
    <x v="0"/>
    <x v="0"/>
    <x v="838"/>
    <x v="765"/>
    <x v="765"/>
    <x v="765"/>
    <x v="765"/>
    <x v="2"/>
  </r>
  <r>
    <x v="232"/>
    <x v="348"/>
    <x v="0"/>
    <x v="0"/>
    <x v="0"/>
    <x v="0"/>
    <x v="0"/>
    <x v="1"/>
    <x v="0"/>
    <x v="0"/>
    <x v="2"/>
    <x v="0"/>
    <x v="440"/>
    <x v="1"/>
    <x v="0"/>
    <x v="0"/>
    <x v="0"/>
    <x v="232"/>
    <x v="1"/>
    <x v="6"/>
    <x v="6"/>
    <x v="0"/>
    <x v="0"/>
    <x v="3"/>
    <x v="49"/>
    <x v="0"/>
    <x v="27"/>
    <x v="297"/>
    <x v="10"/>
    <x v="60"/>
    <x v="1"/>
    <x v="2"/>
    <x v="2"/>
    <x v="1"/>
    <x v="634"/>
    <x v="2"/>
    <x v="27"/>
    <x v="440"/>
    <x v="440"/>
    <x v="0"/>
    <x v="440"/>
    <x v="514"/>
    <x v="507"/>
    <x v="529"/>
    <x v="507"/>
    <x v="514"/>
    <x v="514"/>
    <x v="514"/>
    <x v="514"/>
    <x v="514"/>
    <x v="514"/>
    <x v="514"/>
    <x v="440"/>
    <x v="525"/>
    <x v="525"/>
    <x v="399"/>
    <x v="0"/>
    <x v="0"/>
    <x v="658"/>
    <x v="440"/>
    <x v="440"/>
    <x v="440"/>
    <x v="440"/>
    <x v="2"/>
  </r>
  <r>
    <x v="233"/>
    <x v="344"/>
    <x v="0"/>
    <x v="0"/>
    <x v="0"/>
    <x v="0"/>
    <x v="1"/>
    <x v="4"/>
    <x v="0"/>
    <x v="0"/>
    <x v="2"/>
    <x v="0"/>
    <x v="571"/>
    <x v="1"/>
    <x v="0"/>
    <x v="0"/>
    <x v="0"/>
    <x v="233"/>
    <x v="1"/>
    <x v="6"/>
    <x v="6"/>
    <x v="0"/>
    <x v="0"/>
    <x v="3"/>
    <x v="110"/>
    <x v="0"/>
    <x v="26"/>
    <x v="289"/>
    <x v="2"/>
    <x v="15"/>
    <x v="1"/>
    <x v="5"/>
    <x v="2"/>
    <x v="1"/>
    <x v="1169"/>
    <x v="5"/>
    <x v="26"/>
    <x v="571"/>
    <x v="571"/>
    <x v="0"/>
    <x v="571"/>
    <x v="707"/>
    <x v="664"/>
    <x v="762"/>
    <x v="664"/>
    <x v="707"/>
    <x v="707"/>
    <x v="707"/>
    <x v="707"/>
    <x v="707"/>
    <x v="707"/>
    <x v="707"/>
    <x v="571"/>
    <x v="760"/>
    <x v="760"/>
    <x v="581"/>
    <x v="0"/>
    <x v="0"/>
    <x v="832"/>
    <x v="571"/>
    <x v="571"/>
    <x v="571"/>
    <x v="571"/>
    <x v="2"/>
  </r>
  <r>
    <x v="234"/>
    <x v="353"/>
    <x v="0"/>
    <x v="0"/>
    <x v="0"/>
    <x v="0"/>
    <x v="0"/>
    <x v="0"/>
    <x v="0"/>
    <x v="0"/>
    <x v="2"/>
    <x v="0"/>
    <x v="633"/>
    <x v="1"/>
    <x v="0"/>
    <x v="0"/>
    <x v="0"/>
    <x v="234"/>
    <x v="2"/>
    <x v="6"/>
    <x v="6"/>
    <x v="0"/>
    <x v="0"/>
    <x v="3"/>
    <x v="53"/>
    <x v="0"/>
    <x v="28"/>
    <x v="274"/>
    <x v="9"/>
    <x v="49"/>
    <x v="1"/>
    <x v="1"/>
    <x v="1"/>
    <x v="1"/>
    <x v="414"/>
    <x v="1"/>
    <x v="28"/>
    <x v="633"/>
    <x v="633"/>
    <x v="0"/>
    <x v="633"/>
    <x v="575"/>
    <x v="582"/>
    <x v="552"/>
    <x v="582"/>
    <x v="575"/>
    <x v="575"/>
    <x v="575"/>
    <x v="575"/>
    <x v="575"/>
    <x v="575"/>
    <x v="575"/>
    <x v="633"/>
    <x v="553"/>
    <x v="553"/>
    <x v="565"/>
    <x v="0"/>
    <x v="0"/>
    <x v="694"/>
    <x v="633"/>
    <x v="633"/>
    <x v="633"/>
    <x v="633"/>
    <x v="2"/>
  </r>
  <r>
    <x v="235"/>
    <x v="357"/>
    <x v="0"/>
    <x v="0"/>
    <x v="0"/>
    <x v="0"/>
    <x v="0"/>
    <x v="1"/>
    <x v="0"/>
    <x v="0"/>
    <x v="2"/>
    <x v="0"/>
    <x v="601"/>
    <x v="1"/>
    <x v="0"/>
    <x v="0"/>
    <x v="0"/>
    <x v="235"/>
    <x v="1"/>
    <x v="6"/>
    <x v="6"/>
    <x v="0"/>
    <x v="0"/>
    <x v="3"/>
    <x v="49"/>
    <x v="0"/>
    <x v="27"/>
    <x v="299"/>
    <x v="10"/>
    <x v="60"/>
    <x v="1"/>
    <x v="2"/>
    <x v="2"/>
    <x v="1"/>
    <x v="740"/>
    <x v="2"/>
    <x v="27"/>
    <x v="601"/>
    <x v="601"/>
    <x v="0"/>
    <x v="601"/>
    <x v="689"/>
    <x v="691"/>
    <x v="689"/>
    <x v="691"/>
    <x v="689"/>
    <x v="689"/>
    <x v="689"/>
    <x v="689"/>
    <x v="689"/>
    <x v="689"/>
    <x v="689"/>
    <x v="601"/>
    <x v="685"/>
    <x v="685"/>
    <x v="556"/>
    <x v="0"/>
    <x v="0"/>
    <x v="784"/>
    <x v="601"/>
    <x v="601"/>
    <x v="601"/>
    <x v="601"/>
    <x v="2"/>
  </r>
  <r>
    <x v="236"/>
    <x v="350"/>
    <x v="0"/>
    <x v="0"/>
    <x v="0"/>
    <x v="0"/>
    <x v="0"/>
    <x v="0"/>
    <x v="0"/>
    <x v="0"/>
    <x v="2"/>
    <x v="0"/>
    <x v="1138"/>
    <x v="1"/>
    <x v="0"/>
    <x v="0"/>
    <x v="0"/>
    <x v="236"/>
    <x v="2"/>
    <x v="6"/>
    <x v="6"/>
    <x v="0"/>
    <x v="0"/>
    <x v="3"/>
    <x v="53"/>
    <x v="0"/>
    <x v="29"/>
    <x v="249"/>
    <x v="9"/>
    <x v="49"/>
    <x v="1"/>
    <x v="1"/>
    <x v="1"/>
    <x v="1"/>
    <x v="906"/>
    <x v="1"/>
    <x v="29"/>
    <x v="1136"/>
    <x v="1136"/>
    <x v="1"/>
    <x v="1136"/>
    <x v="1147"/>
    <x v="1145"/>
    <x v="1130"/>
    <x v="1145"/>
    <x v="1147"/>
    <x v="1147"/>
    <x v="1147"/>
    <x v="1147"/>
    <x v="1147"/>
    <x v="1147"/>
    <x v="1147"/>
    <x v="1136"/>
    <x v="1129"/>
    <x v="1129"/>
    <x v="1065"/>
    <x v="0"/>
    <x v="0"/>
    <x v="1211"/>
    <x v="1136"/>
    <x v="1136"/>
    <x v="1136"/>
    <x v="1136"/>
    <x v="2"/>
  </r>
  <r>
    <x v="237"/>
    <x v="350"/>
    <x v="0"/>
    <x v="0"/>
    <x v="0"/>
    <x v="0"/>
    <x v="0"/>
    <x v="0"/>
    <x v="0"/>
    <x v="0"/>
    <x v="2"/>
    <x v="0"/>
    <x v="709"/>
    <x v="1"/>
    <x v="0"/>
    <x v="0"/>
    <x v="0"/>
    <x v="237"/>
    <x v="2"/>
    <x v="6"/>
    <x v="6"/>
    <x v="0"/>
    <x v="0"/>
    <x v="3"/>
    <x v="53"/>
    <x v="0"/>
    <x v="29"/>
    <x v="250"/>
    <x v="9"/>
    <x v="49"/>
    <x v="1"/>
    <x v="1"/>
    <x v="1"/>
    <x v="1"/>
    <x v="468"/>
    <x v="1"/>
    <x v="29"/>
    <x v="709"/>
    <x v="709"/>
    <x v="1"/>
    <x v="709"/>
    <x v="659"/>
    <x v="674"/>
    <x v="622"/>
    <x v="674"/>
    <x v="659"/>
    <x v="659"/>
    <x v="659"/>
    <x v="659"/>
    <x v="659"/>
    <x v="659"/>
    <x v="659"/>
    <x v="709"/>
    <x v="622"/>
    <x v="622"/>
    <x v="647"/>
    <x v="0"/>
    <x v="0"/>
    <x v="771"/>
    <x v="709"/>
    <x v="709"/>
    <x v="709"/>
    <x v="709"/>
    <x v="2"/>
  </r>
  <r>
    <x v="238"/>
    <x v="348"/>
    <x v="0"/>
    <x v="0"/>
    <x v="0"/>
    <x v="0"/>
    <x v="0"/>
    <x v="0"/>
    <x v="0"/>
    <x v="0"/>
    <x v="2"/>
    <x v="0"/>
    <x v="896"/>
    <x v="1"/>
    <x v="0"/>
    <x v="0"/>
    <x v="0"/>
    <x v="238"/>
    <x v="2"/>
    <x v="6"/>
    <x v="6"/>
    <x v="0"/>
    <x v="0"/>
    <x v="3"/>
    <x v="49"/>
    <x v="0"/>
    <x v="27"/>
    <x v="296"/>
    <x v="9"/>
    <x v="49"/>
    <x v="1"/>
    <x v="1"/>
    <x v="1"/>
    <x v="1"/>
    <x v="640"/>
    <x v="1"/>
    <x v="27"/>
    <x v="896"/>
    <x v="896"/>
    <x v="1"/>
    <x v="896"/>
    <x v="905"/>
    <x v="898"/>
    <x v="891"/>
    <x v="898"/>
    <x v="905"/>
    <x v="905"/>
    <x v="905"/>
    <x v="905"/>
    <x v="905"/>
    <x v="905"/>
    <x v="905"/>
    <x v="896"/>
    <x v="890"/>
    <x v="890"/>
    <x v="829"/>
    <x v="0"/>
    <x v="0"/>
    <x v="963"/>
    <x v="896"/>
    <x v="896"/>
    <x v="896"/>
    <x v="896"/>
    <x v="2"/>
  </r>
  <r>
    <x v="239"/>
    <x v="354"/>
    <x v="0"/>
    <x v="0"/>
    <x v="0"/>
    <x v="0"/>
    <x v="1"/>
    <x v="4"/>
    <x v="0"/>
    <x v="0"/>
    <x v="2"/>
    <x v="0"/>
    <x v="704"/>
    <x v="1"/>
    <x v="0"/>
    <x v="0"/>
    <x v="0"/>
    <x v="239"/>
    <x v="1"/>
    <x v="6"/>
    <x v="6"/>
    <x v="0"/>
    <x v="0"/>
    <x v="3"/>
    <x v="49"/>
    <x v="0"/>
    <x v="26"/>
    <x v="287"/>
    <x v="2"/>
    <x v="15"/>
    <x v="1"/>
    <x v="5"/>
    <x v="2"/>
    <x v="1"/>
    <x v="1212"/>
    <x v="5"/>
    <x v="26"/>
    <x v="704"/>
    <x v="704"/>
    <x v="1"/>
    <x v="704"/>
    <x v="814"/>
    <x v="778"/>
    <x v="849"/>
    <x v="778"/>
    <x v="814"/>
    <x v="814"/>
    <x v="814"/>
    <x v="814"/>
    <x v="814"/>
    <x v="814"/>
    <x v="814"/>
    <x v="704"/>
    <x v="846"/>
    <x v="846"/>
    <x v="676"/>
    <x v="0"/>
    <x v="0"/>
    <x v="914"/>
    <x v="704"/>
    <x v="704"/>
    <x v="704"/>
    <x v="704"/>
    <x v="2"/>
  </r>
  <r>
    <x v="240"/>
    <x v="357"/>
    <x v="0"/>
    <x v="0"/>
    <x v="0"/>
    <x v="0"/>
    <x v="0"/>
    <x v="2"/>
    <x v="0"/>
    <x v="0"/>
    <x v="2"/>
    <x v="0"/>
    <x v="530"/>
    <x v="1"/>
    <x v="0"/>
    <x v="0"/>
    <x v="0"/>
    <x v="240"/>
    <x v="1"/>
    <x v="6"/>
    <x v="6"/>
    <x v="0"/>
    <x v="0"/>
    <x v="3"/>
    <x v="49"/>
    <x v="0"/>
    <x v="27"/>
    <x v="300"/>
    <x v="1"/>
    <x v="1"/>
    <x v="1"/>
    <x v="3"/>
    <x v="2"/>
    <x v="1"/>
    <x v="901"/>
    <x v="3"/>
    <x v="27"/>
    <x v="530"/>
    <x v="530"/>
    <x v="0"/>
    <x v="530"/>
    <x v="645"/>
    <x v="631"/>
    <x v="666"/>
    <x v="631"/>
    <x v="645"/>
    <x v="645"/>
    <x v="645"/>
    <x v="645"/>
    <x v="645"/>
    <x v="645"/>
    <x v="645"/>
    <x v="530"/>
    <x v="658"/>
    <x v="658"/>
    <x v="499"/>
    <x v="0"/>
    <x v="0"/>
    <x v="766"/>
    <x v="530"/>
    <x v="530"/>
    <x v="530"/>
    <x v="530"/>
    <x v="2"/>
  </r>
  <r>
    <x v="241"/>
    <x v="358"/>
    <x v="0"/>
    <x v="0"/>
    <x v="0"/>
    <x v="0"/>
    <x v="0"/>
    <x v="0"/>
    <x v="0"/>
    <x v="0"/>
    <x v="2"/>
    <x v="0"/>
    <x v="492"/>
    <x v="1"/>
    <x v="0"/>
    <x v="0"/>
    <x v="0"/>
    <x v="241"/>
    <x v="2"/>
    <x v="6"/>
    <x v="6"/>
    <x v="0"/>
    <x v="0"/>
    <x v="3"/>
    <x v="53"/>
    <x v="0"/>
    <x v="31"/>
    <x v="238"/>
    <x v="9"/>
    <x v="49"/>
    <x v="1"/>
    <x v="1"/>
    <x v="1"/>
    <x v="1"/>
    <x v="330"/>
    <x v="1"/>
    <x v="31"/>
    <x v="492"/>
    <x v="492"/>
    <x v="0"/>
    <x v="492"/>
    <x v="465"/>
    <x v="469"/>
    <x v="452"/>
    <x v="469"/>
    <x v="465"/>
    <x v="465"/>
    <x v="465"/>
    <x v="465"/>
    <x v="465"/>
    <x v="465"/>
    <x v="465"/>
    <x v="492"/>
    <x v="452"/>
    <x v="452"/>
    <x v="438"/>
    <x v="0"/>
    <x v="0"/>
    <x v="646"/>
    <x v="492"/>
    <x v="492"/>
    <x v="492"/>
    <x v="492"/>
    <x v="2"/>
  </r>
  <r>
    <x v="242"/>
    <x v="362"/>
    <x v="0"/>
    <x v="0"/>
    <x v="0"/>
    <x v="0"/>
    <x v="0"/>
    <x v="0"/>
    <x v="0"/>
    <x v="0"/>
    <x v="2"/>
    <x v="0"/>
    <x v="1018"/>
    <x v="1"/>
    <x v="0"/>
    <x v="0"/>
    <x v="0"/>
    <x v="242"/>
    <x v="2"/>
    <x v="6"/>
    <x v="6"/>
    <x v="0"/>
    <x v="0"/>
    <x v="3"/>
    <x v="53"/>
    <x v="0"/>
    <x v="30"/>
    <x v="254"/>
    <x v="9"/>
    <x v="49"/>
    <x v="1"/>
    <x v="1"/>
    <x v="1"/>
    <x v="1"/>
    <x v="782"/>
    <x v="1"/>
    <x v="30"/>
    <x v="1018"/>
    <x v="1018"/>
    <x v="1"/>
    <x v="1018"/>
    <x v="1030"/>
    <x v="1024"/>
    <x v="1014"/>
    <x v="1024"/>
    <x v="1030"/>
    <x v="1030"/>
    <x v="1030"/>
    <x v="1030"/>
    <x v="1030"/>
    <x v="1030"/>
    <x v="1030"/>
    <x v="1018"/>
    <x v="1012"/>
    <x v="1012"/>
    <x v="947"/>
    <x v="0"/>
    <x v="0"/>
    <x v="1118"/>
    <x v="1018"/>
    <x v="1018"/>
    <x v="1018"/>
    <x v="1018"/>
    <x v="2"/>
  </r>
  <r>
    <x v="243"/>
    <x v="370"/>
    <x v="0"/>
    <x v="0"/>
    <x v="0"/>
    <x v="0"/>
    <x v="0"/>
    <x v="0"/>
    <x v="0"/>
    <x v="0"/>
    <x v="2"/>
    <x v="0"/>
    <x v="426"/>
    <x v="1"/>
    <x v="0"/>
    <x v="0"/>
    <x v="0"/>
    <x v="243"/>
    <x v="2"/>
    <x v="6"/>
    <x v="6"/>
    <x v="0"/>
    <x v="0"/>
    <x v="3"/>
    <x v="53"/>
    <x v="0"/>
    <x v="29"/>
    <x v="252"/>
    <x v="9"/>
    <x v="49"/>
    <x v="1"/>
    <x v="1"/>
    <x v="1"/>
    <x v="1"/>
    <x v="292"/>
    <x v="1"/>
    <x v="29"/>
    <x v="426"/>
    <x v="426"/>
    <x v="0"/>
    <x v="426"/>
    <x v="418"/>
    <x v="419"/>
    <x v="404"/>
    <x v="419"/>
    <x v="418"/>
    <x v="418"/>
    <x v="418"/>
    <x v="418"/>
    <x v="418"/>
    <x v="418"/>
    <x v="418"/>
    <x v="426"/>
    <x v="402"/>
    <x v="402"/>
    <x v="381"/>
    <x v="0"/>
    <x v="0"/>
    <x v="556"/>
    <x v="426"/>
    <x v="426"/>
    <x v="426"/>
    <x v="426"/>
    <x v="2"/>
  </r>
  <r>
    <x v="244"/>
    <x v="367"/>
    <x v="0"/>
    <x v="0"/>
    <x v="0"/>
    <x v="0"/>
    <x v="0"/>
    <x v="0"/>
    <x v="0"/>
    <x v="0"/>
    <x v="2"/>
    <x v="0"/>
    <x v="447"/>
    <x v="1"/>
    <x v="0"/>
    <x v="0"/>
    <x v="0"/>
    <x v="244"/>
    <x v="2"/>
    <x v="6"/>
    <x v="6"/>
    <x v="0"/>
    <x v="0"/>
    <x v="3"/>
    <x v="53"/>
    <x v="0"/>
    <x v="31"/>
    <x v="262"/>
    <x v="9"/>
    <x v="49"/>
    <x v="1"/>
    <x v="1"/>
    <x v="1"/>
    <x v="1"/>
    <x v="307"/>
    <x v="1"/>
    <x v="31"/>
    <x v="447"/>
    <x v="447"/>
    <x v="0"/>
    <x v="447"/>
    <x v="430"/>
    <x v="434"/>
    <x v="416"/>
    <x v="434"/>
    <x v="430"/>
    <x v="430"/>
    <x v="430"/>
    <x v="430"/>
    <x v="430"/>
    <x v="430"/>
    <x v="430"/>
    <x v="447"/>
    <x v="417"/>
    <x v="417"/>
    <x v="395"/>
    <x v="0"/>
    <x v="0"/>
    <x v="599"/>
    <x v="447"/>
    <x v="447"/>
    <x v="447"/>
    <x v="447"/>
    <x v="2"/>
  </r>
  <r>
    <x v="245"/>
    <x v="363"/>
    <x v="0"/>
    <x v="0"/>
    <x v="0"/>
    <x v="0"/>
    <x v="1"/>
    <x v="4"/>
    <x v="0"/>
    <x v="0"/>
    <x v="2"/>
    <x v="0"/>
    <x v="893"/>
    <x v="1"/>
    <x v="0"/>
    <x v="0"/>
    <x v="0"/>
    <x v="245"/>
    <x v="1"/>
    <x v="6"/>
    <x v="6"/>
    <x v="0"/>
    <x v="0"/>
    <x v="3"/>
    <x v="49"/>
    <x v="0"/>
    <x v="27"/>
    <x v="298"/>
    <x v="2"/>
    <x v="15"/>
    <x v="1"/>
    <x v="5"/>
    <x v="2"/>
    <x v="1"/>
    <x v="1279"/>
    <x v="5"/>
    <x v="27"/>
    <x v="893"/>
    <x v="893"/>
    <x v="1"/>
    <x v="893"/>
    <x v="998"/>
    <x v="961"/>
    <x v="1042"/>
    <x v="961"/>
    <x v="998"/>
    <x v="998"/>
    <x v="998"/>
    <x v="998"/>
    <x v="998"/>
    <x v="998"/>
    <x v="998"/>
    <x v="893"/>
    <x v="1041"/>
    <x v="1041"/>
    <x v="857"/>
    <x v="0"/>
    <x v="0"/>
    <x v="1113"/>
    <x v="893"/>
    <x v="893"/>
    <x v="893"/>
    <x v="893"/>
    <x v="2"/>
  </r>
  <r>
    <x v="246"/>
    <x v="357"/>
    <x v="0"/>
    <x v="0"/>
    <x v="0"/>
    <x v="0"/>
    <x v="0"/>
    <x v="1"/>
    <x v="0"/>
    <x v="0"/>
    <x v="2"/>
    <x v="0"/>
    <x v="1201"/>
    <x v="1"/>
    <x v="0"/>
    <x v="0"/>
    <x v="0"/>
    <x v="246"/>
    <x v="1"/>
    <x v="6"/>
    <x v="6"/>
    <x v="0"/>
    <x v="0"/>
    <x v="3"/>
    <x v="49"/>
    <x v="0"/>
    <x v="27"/>
    <x v="301"/>
    <x v="10"/>
    <x v="60"/>
    <x v="1"/>
    <x v="2"/>
    <x v="2"/>
    <x v="1"/>
    <x v="1206"/>
    <x v="2"/>
    <x v="27"/>
    <x v="1199"/>
    <x v="1199"/>
    <x v="2"/>
    <x v="1199"/>
    <x v="1266"/>
    <x v="1252"/>
    <x v="1267"/>
    <x v="1252"/>
    <x v="1266"/>
    <x v="1266"/>
    <x v="1266"/>
    <x v="1266"/>
    <x v="1266"/>
    <x v="1266"/>
    <x v="1266"/>
    <x v="1199"/>
    <x v="1265"/>
    <x v="1265"/>
    <x v="1132"/>
    <x v="0"/>
    <x v="0"/>
    <x v="1311"/>
    <x v="1199"/>
    <x v="1199"/>
    <x v="1199"/>
    <x v="1199"/>
    <x v="2"/>
  </r>
  <r>
    <x v="247"/>
    <x v="388"/>
    <x v="0"/>
    <x v="0"/>
    <x v="0"/>
    <x v="0"/>
    <x v="1"/>
    <x v="7"/>
    <x v="0"/>
    <x v="0"/>
    <x v="0"/>
    <x v="0"/>
    <x v="171"/>
    <x v="1"/>
    <x v="0"/>
    <x v="0"/>
    <x v="0"/>
    <x v="247"/>
    <x v="0"/>
    <x v="9"/>
    <x v="9"/>
    <x v="0"/>
    <x v="0"/>
    <x v="3"/>
    <x v="128"/>
    <x v="0"/>
    <x v="27"/>
    <x v="10"/>
    <x v="0"/>
    <x v="41"/>
    <x v="1"/>
    <x v="8"/>
    <x v="5"/>
    <x v="1"/>
    <x v="1094"/>
    <x v="8"/>
    <x v="27"/>
    <x v="172"/>
    <x v="172"/>
    <x v="0"/>
    <x v="172"/>
    <x v="241"/>
    <x v="224"/>
    <x v="270"/>
    <x v="224"/>
    <x v="241"/>
    <x v="241"/>
    <x v="241"/>
    <x v="241"/>
    <x v="241"/>
    <x v="241"/>
    <x v="241"/>
    <x v="172"/>
    <x v="279"/>
    <x v="279"/>
    <x v="0"/>
    <x v="43"/>
    <x v="0"/>
    <x v="348"/>
    <x v="172"/>
    <x v="172"/>
    <x v="172"/>
    <x v="172"/>
    <x v="0"/>
  </r>
  <r>
    <x v="248"/>
    <x v="381"/>
    <x v="0"/>
    <x v="0"/>
    <x v="0"/>
    <x v="0"/>
    <x v="0"/>
    <x v="0"/>
    <x v="0"/>
    <x v="0"/>
    <x v="2"/>
    <x v="0"/>
    <x v="486"/>
    <x v="1"/>
    <x v="0"/>
    <x v="0"/>
    <x v="0"/>
    <x v="248"/>
    <x v="2"/>
    <x v="9"/>
    <x v="9"/>
    <x v="0"/>
    <x v="0"/>
    <x v="3"/>
    <x v="53"/>
    <x v="0"/>
    <x v="27"/>
    <x v="306"/>
    <x v="9"/>
    <x v="49"/>
    <x v="1"/>
    <x v="1"/>
    <x v="1"/>
    <x v="1"/>
    <x v="324"/>
    <x v="1"/>
    <x v="27"/>
    <x v="486"/>
    <x v="486"/>
    <x v="0"/>
    <x v="486"/>
    <x v="457"/>
    <x v="460"/>
    <x v="447"/>
    <x v="460"/>
    <x v="457"/>
    <x v="457"/>
    <x v="457"/>
    <x v="457"/>
    <x v="457"/>
    <x v="457"/>
    <x v="457"/>
    <x v="486"/>
    <x v="444"/>
    <x v="444"/>
    <x v="427"/>
    <x v="0"/>
    <x v="0"/>
    <x v="587"/>
    <x v="486"/>
    <x v="486"/>
    <x v="486"/>
    <x v="486"/>
    <x v="2"/>
  </r>
  <r>
    <x v="249"/>
    <x v="370"/>
    <x v="0"/>
    <x v="0"/>
    <x v="0"/>
    <x v="0"/>
    <x v="0"/>
    <x v="0"/>
    <x v="0"/>
    <x v="0"/>
    <x v="2"/>
    <x v="0"/>
    <x v="956"/>
    <x v="1"/>
    <x v="0"/>
    <x v="0"/>
    <x v="0"/>
    <x v="249"/>
    <x v="2"/>
    <x v="9"/>
    <x v="9"/>
    <x v="0"/>
    <x v="0"/>
    <x v="3"/>
    <x v="53"/>
    <x v="0"/>
    <x v="29"/>
    <x v="253"/>
    <x v="9"/>
    <x v="49"/>
    <x v="1"/>
    <x v="1"/>
    <x v="1"/>
    <x v="1"/>
    <x v="711"/>
    <x v="1"/>
    <x v="29"/>
    <x v="956"/>
    <x v="956"/>
    <x v="1"/>
    <x v="956"/>
    <x v="966"/>
    <x v="968"/>
    <x v="954"/>
    <x v="968"/>
    <x v="966"/>
    <x v="966"/>
    <x v="966"/>
    <x v="966"/>
    <x v="966"/>
    <x v="966"/>
    <x v="966"/>
    <x v="956"/>
    <x v="953"/>
    <x v="953"/>
    <x v="891"/>
    <x v="0"/>
    <x v="0"/>
    <x v="1046"/>
    <x v="956"/>
    <x v="956"/>
    <x v="956"/>
    <x v="956"/>
    <x v="2"/>
  </r>
  <r>
    <x v="250"/>
    <x v="383"/>
    <x v="0"/>
    <x v="0"/>
    <x v="0"/>
    <x v="0"/>
    <x v="0"/>
    <x v="0"/>
    <x v="0"/>
    <x v="0"/>
    <x v="2"/>
    <x v="0"/>
    <x v="363"/>
    <x v="1"/>
    <x v="0"/>
    <x v="0"/>
    <x v="0"/>
    <x v="250"/>
    <x v="2"/>
    <x v="9"/>
    <x v="9"/>
    <x v="0"/>
    <x v="0"/>
    <x v="3"/>
    <x v="115"/>
    <x v="0"/>
    <x v="29"/>
    <x v="309"/>
    <x v="9"/>
    <x v="49"/>
    <x v="1"/>
    <x v="1"/>
    <x v="1"/>
    <x v="1"/>
    <x v="246"/>
    <x v="1"/>
    <x v="29"/>
    <x v="363"/>
    <x v="363"/>
    <x v="0"/>
    <x v="363"/>
    <x v="361"/>
    <x v="366"/>
    <x v="342"/>
    <x v="366"/>
    <x v="361"/>
    <x v="361"/>
    <x v="361"/>
    <x v="361"/>
    <x v="361"/>
    <x v="361"/>
    <x v="361"/>
    <x v="363"/>
    <x v="343"/>
    <x v="343"/>
    <x v="325"/>
    <x v="0"/>
    <x v="0"/>
    <x v="470"/>
    <x v="363"/>
    <x v="363"/>
    <x v="363"/>
    <x v="363"/>
    <x v="2"/>
  </r>
  <r>
    <x v="251"/>
    <x v="386"/>
    <x v="0"/>
    <x v="0"/>
    <x v="0"/>
    <x v="0"/>
    <x v="1"/>
    <x v="4"/>
    <x v="0"/>
    <x v="0"/>
    <x v="2"/>
    <x v="0"/>
    <x v="195"/>
    <x v="1"/>
    <x v="0"/>
    <x v="0"/>
    <x v="0"/>
    <x v="251"/>
    <x v="1"/>
    <x v="9"/>
    <x v="9"/>
    <x v="0"/>
    <x v="0"/>
    <x v="3"/>
    <x v="128"/>
    <x v="0"/>
    <x v="27"/>
    <x v="313"/>
    <x v="2"/>
    <x v="15"/>
    <x v="1"/>
    <x v="5"/>
    <x v="2"/>
    <x v="1"/>
    <x v="714"/>
    <x v="5"/>
    <x v="27"/>
    <x v="196"/>
    <x v="196"/>
    <x v="0"/>
    <x v="196"/>
    <x v="236"/>
    <x v="226"/>
    <x v="249"/>
    <x v="226"/>
    <x v="236"/>
    <x v="236"/>
    <x v="236"/>
    <x v="236"/>
    <x v="236"/>
    <x v="236"/>
    <x v="236"/>
    <x v="196"/>
    <x v="249"/>
    <x v="249"/>
    <x v="184"/>
    <x v="0"/>
    <x v="0"/>
    <x v="296"/>
    <x v="196"/>
    <x v="196"/>
    <x v="196"/>
    <x v="196"/>
    <x v="2"/>
  </r>
  <r>
    <x v="252"/>
    <x v="393"/>
    <x v="0"/>
    <x v="0"/>
    <x v="0"/>
    <x v="0"/>
    <x v="0"/>
    <x v="0"/>
    <x v="0"/>
    <x v="0"/>
    <x v="2"/>
    <x v="0"/>
    <x v="425"/>
    <x v="1"/>
    <x v="0"/>
    <x v="0"/>
    <x v="0"/>
    <x v="252"/>
    <x v="2"/>
    <x v="9"/>
    <x v="9"/>
    <x v="0"/>
    <x v="0"/>
    <x v="3"/>
    <x v="115"/>
    <x v="0"/>
    <x v="26"/>
    <x v="307"/>
    <x v="9"/>
    <x v="49"/>
    <x v="1"/>
    <x v="1"/>
    <x v="1"/>
    <x v="1"/>
    <x v="291"/>
    <x v="1"/>
    <x v="26"/>
    <x v="425"/>
    <x v="425"/>
    <x v="0"/>
    <x v="425"/>
    <x v="417"/>
    <x v="418"/>
    <x v="403"/>
    <x v="418"/>
    <x v="417"/>
    <x v="417"/>
    <x v="417"/>
    <x v="417"/>
    <x v="417"/>
    <x v="417"/>
    <x v="417"/>
    <x v="425"/>
    <x v="401"/>
    <x v="401"/>
    <x v="380"/>
    <x v="0"/>
    <x v="0"/>
    <x v="512"/>
    <x v="425"/>
    <x v="425"/>
    <x v="425"/>
    <x v="425"/>
    <x v="2"/>
  </r>
  <r>
    <x v="253"/>
    <x v="393"/>
    <x v="0"/>
    <x v="0"/>
    <x v="0"/>
    <x v="0"/>
    <x v="0"/>
    <x v="0"/>
    <x v="0"/>
    <x v="0"/>
    <x v="2"/>
    <x v="0"/>
    <x v="964"/>
    <x v="1"/>
    <x v="0"/>
    <x v="0"/>
    <x v="0"/>
    <x v="253"/>
    <x v="2"/>
    <x v="9"/>
    <x v="9"/>
    <x v="0"/>
    <x v="0"/>
    <x v="3"/>
    <x v="115"/>
    <x v="0"/>
    <x v="26"/>
    <x v="308"/>
    <x v="9"/>
    <x v="49"/>
    <x v="1"/>
    <x v="1"/>
    <x v="1"/>
    <x v="1"/>
    <x v="720"/>
    <x v="1"/>
    <x v="26"/>
    <x v="964"/>
    <x v="964"/>
    <x v="1"/>
    <x v="964"/>
    <x v="978"/>
    <x v="976"/>
    <x v="962"/>
    <x v="976"/>
    <x v="978"/>
    <x v="978"/>
    <x v="978"/>
    <x v="978"/>
    <x v="978"/>
    <x v="978"/>
    <x v="978"/>
    <x v="964"/>
    <x v="960"/>
    <x v="960"/>
    <x v="899"/>
    <x v="0"/>
    <x v="0"/>
    <x v="1025"/>
    <x v="964"/>
    <x v="964"/>
    <x v="964"/>
    <x v="964"/>
    <x v="2"/>
  </r>
  <r>
    <x v="254"/>
    <x v="388"/>
    <x v="0"/>
    <x v="0"/>
    <x v="0"/>
    <x v="0"/>
    <x v="1"/>
    <x v="4"/>
    <x v="0"/>
    <x v="0"/>
    <x v="2"/>
    <x v="0"/>
    <x v="184"/>
    <x v="1"/>
    <x v="0"/>
    <x v="0"/>
    <x v="0"/>
    <x v="254"/>
    <x v="1"/>
    <x v="9"/>
    <x v="9"/>
    <x v="0"/>
    <x v="0"/>
    <x v="3"/>
    <x v="128"/>
    <x v="0"/>
    <x v="27"/>
    <x v="305"/>
    <x v="2"/>
    <x v="15"/>
    <x v="1"/>
    <x v="5"/>
    <x v="2"/>
    <x v="1"/>
    <x v="657"/>
    <x v="5"/>
    <x v="27"/>
    <x v="185"/>
    <x v="185"/>
    <x v="0"/>
    <x v="185"/>
    <x v="225"/>
    <x v="215"/>
    <x v="231"/>
    <x v="215"/>
    <x v="225"/>
    <x v="225"/>
    <x v="225"/>
    <x v="225"/>
    <x v="225"/>
    <x v="225"/>
    <x v="225"/>
    <x v="185"/>
    <x v="229"/>
    <x v="229"/>
    <x v="168"/>
    <x v="0"/>
    <x v="0"/>
    <x v="266"/>
    <x v="185"/>
    <x v="185"/>
    <x v="185"/>
    <x v="185"/>
    <x v="2"/>
  </r>
  <r>
    <x v="255"/>
    <x v="399"/>
    <x v="0"/>
    <x v="0"/>
    <x v="0"/>
    <x v="0"/>
    <x v="0"/>
    <x v="0"/>
    <x v="0"/>
    <x v="0"/>
    <x v="2"/>
    <x v="0"/>
    <x v="251"/>
    <x v="1"/>
    <x v="0"/>
    <x v="0"/>
    <x v="0"/>
    <x v="255"/>
    <x v="2"/>
    <x v="9"/>
    <x v="9"/>
    <x v="0"/>
    <x v="0"/>
    <x v="3"/>
    <x v="53"/>
    <x v="0"/>
    <x v="26"/>
    <x v="310"/>
    <x v="9"/>
    <x v="49"/>
    <x v="1"/>
    <x v="1"/>
    <x v="1"/>
    <x v="1"/>
    <x v="162"/>
    <x v="1"/>
    <x v="26"/>
    <x v="251"/>
    <x v="251"/>
    <x v="0"/>
    <x v="251"/>
    <x v="254"/>
    <x v="254"/>
    <x v="248"/>
    <x v="254"/>
    <x v="254"/>
    <x v="254"/>
    <x v="254"/>
    <x v="254"/>
    <x v="254"/>
    <x v="254"/>
    <x v="254"/>
    <x v="251"/>
    <x v="248"/>
    <x v="248"/>
    <x v="219"/>
    <x v="0"/>
    <x v="0"/>
    <x v="285"/>
    <x v="251"/>
    <x v="251"/>
    <x v="251"/>
    <x v="251"/>
    <x v="2"/>
  </r>
  <r>
    <x v="256"/>
    <x v="422"/>
    <x v="0"/>
    <x v="0"/>
    <x v="0"/>
    <x v="0"/>
    <x v="0"/>
    <x v="0"/>
    <x v="0"/>
    <x v="0"/>
    <x v="2"/>
    <x v="0"/>
    <x v="1314"/>
    <x v="1"/>
    <x v="0"/>
    <x v="0"/>
    <x v="0"/>
    <x v="256"/>
    <x v="2"/>
    <x v="9"/>
    <x v="9"/>
    <x v="0"/>
    <x v="0"/>
    <x v="5"/>
    <x v="128"/>
    <x v="0"/>
    <x v="30"/>
    <x v="312"/>
    <x v="9"/>
    <x v="49"/>
    <x v="1"/>
    <x v="1"/>
    <x v="1"/>
    <x v="1"/>
    <x v="1127"/>
    <x v="1"/>
    <x v="30"/>
    <x v="1312"/>
    <x v="1312"/>
    <x v="2"/>
    <x v="1312"/>
    <x v="1336"/>
    <x v="1328"/>
    <x v="1327"/>
    <x v="1328"/>
    <x v="1336"/>
    <x v="1336"/>
    <x v="1336"/>
    <x v="1336"/>
    <x v="1336"/>
    <x v="1336"/>
    <x v="1336"/>
    <x v="1312"/>
    <x v="1326"/>
    <x v="1326"/>
    <x v="1234"/>
    <x v="0"/>
    <x v="0"/>
    <x v="1369"/>
    <x v="1312"/>
    <x v="1312"/>
    <x v="1312"/>
    <x v="1312"/>
    <x v="2"/>
  </r>
  <r>
    <x v="257"/>
    <x v="422"/>
    <x v="0"/>
    <x v="0"/>
    <x v="0"/>
    <x v="0"/>
    <x v="0"/>
    <x v="0"/>
    <x v="0"/>
    <x v="0"/>
    <x v="2"/>
    <x v="0"/>
    <x v="878"/>
    <x v="1"/>
    <x v="0"/>
    <x v="0"/>
    <x v="0"/>
    <x v="257"/>
    <x v="2"/>
    <x v="9"/>
    <x v="9"/>
    <x v="0"/>
    <x v="0"/>
    <x v="5"/>
    <x v="128"/>
    <x v="0"/>
    <x v="30"/>
    <x v="311"/>
    <x v="9"/>
    <x v="49"/>
    <x v="1"/>
    <x v="1"/>
    <x v="1"/>
    <x v="1"/>
    <x v="622"/>
    <x v="1"/>
    <x v="30"/>
    <x v="878"/>
    <x v="878"/>
    <x v="1"/>
    <x v="878"/>
    <x v="890"/>
    <x v="882"/>
    <x v="872"/>
    <x v="882"/>
    <x v="890"/>
    <x v="890"/>
    <x v="890"/>
    <x v="890"/>
    <x v="890"/>
    <x v="890"/>
    <x v="890"/>
    <x v="878"/>
    <x v="870"/>
    <x v="870"/>
    <x v="813"/>
    <x v="0"/>
    <x v="0"/>
    <x v="979"/>
    <x v="878"/>
    <x v="878"/>
    <x v="878"/>
    <x v="878"/>
    <x v="2"/>
  </r>
  <r>
    <x v="258"/>
    <x v="194"/>
    <x v="0"/>
    <x v="0"/>
    <x v="0"/>
    <x v="0"/>
    <x v="0"/>
    <x v="2"/>
    <x v="0"/>
    <x v="0"/>
    <x v="3"/>
    <x v="0"/>
    <x v="942"/>
    <x v="1"/>
    <x v="0"/>
    <x v="0"/>
    <x v="0"/>
    <x v="258"/>
    <x v="1"/>
    <x v="4"/>
    <x v="4"/>
    <x v="0"/>
    <x v="0"/>
    <x v="3"/>
    <x v="12"/>
    <x v="0"/>
    <x v="14"/>
    <x v="337"/>
    <x v="1"/>
    <x v="2"/>
    <x v="1"/>
    <x v="3"/>
    <x v="2"/>
    <x v="1"/>
    <x v="1153"/>
    <x v="3"/>
    <x v="14"/>
    <x v="942"/>
    <x v="942"/>
    <x v="1"/>
    <x v="942"/>
    <x v="1045"/>
    <x v="1022"/>
    <x v="1064"/>
    <x v="1022"/>
    <x v="1045"/>
    <x v="1045"/>
    <x v="1045"/>
    <x v="1045"/>
    <x v="1045"/>
    <x v="1045"/>
    <x v="1045"/>
    <x v="942"/>
    <x v="1058"/>
    <x v="1058"/>
    <x v="893"/>
    <x v="0"/>
    <x v="0"/>
    <x v="944"/>
    <x v="942"/>
    <x v="942"/>
    <x v="942"/>
    <x v="942"/>
    <x v="3"/>
  </r>
  <r>
    <x v="259"/>
    <x v="184"/>
    <x v="0"/>
    <x v="0"/>
    <x v="0"/>
    <x v="0"/>
    <x v="0"/>
    <x v="0"/>
    <x v="0"/>
    <x v="0"/>
    <x v="3"/>
    <x v="0"/>
    <x v="127"/>
    <x v="1"/>
    <x v="0"/>
    <x v="0"/>
    <x v="0"/>
    <x v="259"/>
    <x v="2"/>
    <x v="4"/>
    <x v="4"/>
    <x v="0"/>
    <x v="0"/>
    <x v="3"/>
    <x v="99"/>
    <x v="0"/>
    <x v="13"/>
    <x v="327"/>
    <x v="9"/>
    <x v="50"/>
    <x v="1"/>
    <x v="1"/>
    <x v="1"/>
    <x v="1"/>
    <x v="62"/>
    <x v="1"/>
    <x v="13"/>
    <x v="128"/>
    <x v="128"/>
    <x v="0"/>
    <x v="128"/>
    <x v="126"/>
    <x v="129"/>
    <x v="117"/>
    <x v="129"/>
    <x v="126"/>
    <x v="126"/>
    <x v="126"/>
    <x v="126"/>
    <x v="126"/>
    <x v="126"/>
    <x v="126"/>
    <x v="128"/>
    <x v="116"/>
    <x v="116"/>
    <x v="109"/>
    <x v="0"/>
    <x v="0"/>
    <x v="92"/>
    <x v="128"/>
    <x v="128"/>
    <x v="128"/>
    <x v="128"/>
    <x v="3"/>
  </r>
  <r>
    <x v="260"/>
    <x v="189"/>
    <x v="0"/>
    <x v="0"/>
    <x v="0"/>
    <x v="0"/>
    <x v="0"/>
    <x v="0"/>
    <x v="0"/>
    <x v="0"/>
    <x v="3"/>
    <x v="0"/>
    <x v="1202"/>
    <x v="1"/>
    <x v="0"/>
    <x v="0"/>
    <x v="0"/>
    <x v="260"/>
    <x v="2"/>
    <x v="4"/>
    <x v="4"/>
    <x v="0"/>
    <x v="0"/>
    <x v="3"/>
    <x v="99"/>
    <x v="0"/>
    <x v="25"/>
    <x v="323"/>
    <x v="9"/>
    <x v="50"/>
    <x v="1"/>
    <x v="1"/>
    <x v="1"/>
    <x v="1"/>
    <x v="986"/>
    <x v="1"/>
    <x v="25"/>
    <x v="1200"/>
    <x v="1200"/>
    <x v="2"/>
    <x v="1200"/>
    <x v="1220"/>
    <x v="1214"/>
    <x v="1207"/>
    <x v="1214"/>
    <x v="1220"/>
    <x v="1220"/>
    <x v="1220"/>
    <x v="1220"/>
    <x v="1220"/>
    <x v="1220"/>
    <x v="1220"/>
    <x v="1200"/>
    <x v="1206"/>
    <x v="1206"/>
    <x v="1128"/>
    <x v="0"/>
    <x v="0"/>
    <x v="1244"/>
    <x v="1200"/>
    <x v="1200"/>
    <x v="1200"/>
    <x v="1200"/>
    <x v="3"/>
  </r>
  <r>
    <x v="261"/>
    <x v="183"/>
    <x v="0"/>
    <x v="0"/>
    <x v="0"/>
    <x v="0"/>
    <x v="0"/>
    <x v="0"/>
    <x v="0"/>
    <x v="0"/>
    <x v="3"/>
    <x v="0"/>
    <x v="1027"/>
    <x v="1"/>
    <x v="0"/>
    <x v="0"/>
    <x v="0"/>
    <x v="261"/>
    <x v="2"/>
    <x v="4"/>
    <x v="4"/>
    <x v="0"/>
    <x v="0"/>
    <x v="3"/>
    <x v="99"/>
    <x v="0"/>
    <x v="13"/>
    <x v="314"/>
    <x v="9"/>
    <x v="50"/>
    <x v="1"/>
    <x v="1"/>
    <x v="1"/>
    <x v="1"/>
    <x v="789"/>
    <x v="1"/>
    <x v="13"/>
    <x v="1027"/>
    <x v="1027"/>
    <x v="1"/>
    <x v="1027"/>
    <x v="1037"/>
    <x v="1032"/>
    <x v="1021"/>
    <x v="1032"/>
    <x v="1037"/>
    <x v="1037"/>
    <x v="1037"/>
    <x v="1037"/>
    <x v="1037"/>
    <x v="1037"/>
    <x v="1037"/>
    <x v="1027"/>
    <x v="1021"/>
    <x v="1021"/>
    <x v="954"/>
    <x v="0"/>
    <x v="0"/>
    <x v="879"/>
    <x v="1027"/>
    <x v="1027"/>
    <x v="1027"/>
    <x v="1027"/>
    <x v="3"/>
  </r>
  <r>
    <x v="262"/>
    <x v="196"/>
    <x v="0"/>
    <x v="0"/>
    <x v="0"/>
    <x v="0"/>
    <x v="0"/>
    <x v="0"/>
    <x v="0"/>
    <x v="0"/>
    <x v="3"/>
    <x v="0"/>
    <x v="318"/>
    <x v="1"/>
    <x v="0"/>
    <x v="0"/>
    <x v="0"/>
    <x v="262"/>
    <x v="2"/>
    <x v="4"/>
    <x v="4"/>
    <x v="0"/>
    <x v="0"/>
    <x v="3"/>
    <x v="99"/>
    <x v="0"/>
    <x v="13"/>
    <x v="315"/>
    <x v="9"/>
    <x v="50"/>
    <x v="1"/>
    <x v="1"/>
    <x v="1"/>
    <x v="1"/>
    <x v="209"/>
    <x v="1"/>
    <x v="13"/>
    <x v="318"/>
    <x v="318"/>
    <x v="0"/>
    <x v="318"/>
    <x v="310"/>
    <x v="312"/>
    <x v="305"/>
    <x v="312"/>
    <x v="310"/>
    <x v="310"/>
    <x v="310"/>
    <x v="310"/>
    <x v="310"/>
    <x v="310"/>
    <x v="310"/>
    <x v="318"/>
    <x v="305"/>
    <x v="305"/>
    <x v="276"/>
    <x v="0"/>
    <x v="0"/>
    <x v="261"/>
    <x v="318"/>
    <x v="318"/>
    <x v="318"/>
    <x v="318"/>
    <x v="3"/>
  </r>
  <r>
    <x v="263"/>
    <x v="189"/>
    <x v="0"/>
    <x v="0"/>
    <x v="0"/>
    <x v="0"/>
    <x v="1"/>
    <x v="3"/>
    <x v="0"/>
    <x v="0"/>
    <x v="3"/>
    <x v="0"/>
    <x v="1096"/>
    <x v="1"/>
    <x v="0"/>
    <x v="0"/>
    <x v="0"/>
    <x v="263"/>
    <x v="1"/>
    <x v="4"/>
    <x v="4"/>
    <x v="0"/>
    <x v="0"/>
    <x v="3"/>
    <x v="99"/>
    <x v="0"/>
    <x v="25"/>
    <x v="324"/>
    <x v="2"/>
    <x v="11"/>
    <x v="1"/>
    <x v="4"/>
    <x v="2"/>
    <x v="1"/>
    <x v="1273"/>
    <x v="4"/>
    <x v="25"/>
    <x v="1094"/>
    <x v="1094"/>
    <x v="1"/>
    <x v="1094"/>
    <x v="1187"/>
    <x v="1161"/>
    <x v="1205"/>
    <x v="1161"/>
    <x v="1187"/>
    <x v="1187"/>
    <x v="1187"/>
    <x v="1187"/>
    <x v="1187"/>
    <x v="1187"/>
    <x v="1187"/>
    <x v="1094"/>
    <x v="1203"/>
    <x v="1203"/>
    <x v="1037"/>
    <x v="0"/>
    <x v="0"/>
    <x v="1238"/>
    <x v="1094"/>
    <x v="1094"/>
    <x v="1094"/>
    <x v="1094"/>
    <x v="3"/>
  </r>
  <r>
    <x v="264"/>
    <x v="203"/>
    <x v="0"/>
    <x v="0"/>
    <x v="0"/>
    <x v="0"/>
    <x v="0"/>
    <x v="2"/>
    <x v="0"/>
    <x v="0"/>
    <x v="3"/>
    <x v="0"/>
    <x v="604"/>
    <x v="1"/>
    <x v="0"/>
    <x v="0"/>
    <x v="0"/>
    <x v="264"/>
    <x v="1"/>
    <x v="4"/>
    <x v="4"/>
    <x v="0"/>
    <x v="0"/>
    <x v="3"/>
    <x v="40"/>
    <x v="0"/>
    <x v="24"/>
    <x v="331"/>
    <x v="1"/>
    <x v="2"/>
    <x v="1"/>
    <x v="3"/>
    <x v="2"/>
    <x v="1"/>
    <x v="936"/>
    <x v="3"/>
    <x v="24"/>
    <x v="604"/>
    <x v="604"/>
    <x v="0"/>
    <x v="604"/>
    <x v="702"/>
    <x v="694"/>
    <x v="723"/>
    <x v="694"/>
    <x v="702"/>
    <x v="702"/>
    <x v="702"/>
    <x v="702"/>
    <x v="702"/>
    <x v="702"/>
    <x v="702"/>
    <x v="604"/>
    <x v="722"/>
    <x v="722"/>
    <x v="577"/>
    <x v="0"/>
    <x v="0"/>
    <x v="760"/>
    <x v="604"/>
    <x v="604"/>
    <x v="604"/>
    <x v="604"/>
    <x v="3"/>
  </r>
  <r>
    <x v="265"/>
    <x v="196"/>
    <x v="0"/>
    <x v="0"/>
    <x v="0"/>
    <x v="0"/>
    <x v="0"/>
    <x v="2"/>
    <x v="0"/>
    <x v="0"/>
    <x v="3"/>
    <x v="0"/>
    <x v="1330"/>
    <x v="1"/>
    <x v="0"/>
    <x v="0"/>
    <x v="0"/>
    <x v="265"/>
    <x v="1"/>
    <x v="4"/>
    <x v="4"/>
    <x v="0"/>
    <x v="0"/>
    <x v="3"/>
    <x v="99"/>
    <x v="0"/>
    <x v="13"/>
    <x v="316"/>
    <x v="1"/>
    <x v="2"/>
    <x v="1"/>
    <x v="3"/>
    <x v="2"/>
    <x v="1"/>
    <x v="1346"/>
    <x v="3"/>
    <x v="13"/>
    <x v="1328"/>
    <x v="1328"/>
    <x v="3"/>
    <x v="1328"/>
    <x v="1377"/>
    <x v="1363"/>
    <x v="1377"/>
    <x v="1363"/>
    <x v="1377"/>
    <x v="1377"/>
    <x v="1377"/>
    <x v="1377"/>
    <x v="1377"/>
    <x v="1377"/>
    <x v="1377"/>
    <x v="1328"/>
    <x v="1376"/>
    <x v="1376"/>
    <x v="1253"/>
    <x v="0"/>
    <x v="0"/>
    <x v="1352"/>
    <x v="1328"/>
    <x v="1328"/>
    <x v="1328"/>
    <x v="1328"/>
    <x v="3"/>
  </r>
  <r>
    <x v="266"/>
    <x v="205"/>
    <x v="0"/>
    <x v="0"/>
    <x v="0"/>
    <x v="0"/>
    <x v="0"/>
    <x v="2"/>
    <x v="0"/>
    <x v="0"/>
    <x v="3"/>
    <x v="0"/>
    <x v="776"/>
    <x v="1"/>
    <x v="0"/>
    <x v="0"/>
    <x v="0"/>
    <x v="266"/>
    <x v="1"/>
    <x v="4"/>
    <x v="4"/>
    <x v="0"/>
    <x v="0"/>
    <x v="3"/>
    <x v="12"/>
    <x v="0"/>
    <x v="14"/>
    <x v="334"/>
    <x v="1"/>
    <x v="2"/>
    <x v="1"/>
    <x v="3"/>
    <x v="2"/>
    <x v="1"/>
    <x v="1034"/>
    <x v="3"/>
    <x v="14"/>
    <x v="776"/>
    <x v="776"/>
    <x v="1"/>
    <x v="776"/>
    <x v="865"/>
    <x v="845"/>
    <x v="878"/>
    <x v="845"/>
    <x v="865"/>
    <x v="865"/>
    <x v="865"/>
    <x v="865"/>
    <x v="865"/>
    <x v="865"/>
    <x v="865"/>
    <x v="776"/>
    <x v="874"/>
    <x v="874"/>
    <x v="733"/>
    <x v="0"/>
    <x v="0"/>
    <x v="710"/>
    <x v="776"/>
    <x v="776"/>
    <x v="776"/>
    <x v="776"/>
    <x v="3"/>
  </r>
  <r>
    <x v="267"/>
    <x v="201"/>
    <x v="0"/>
    <x v="0"/>
    <x v="0"/>
    <x v="0"/>
    <x v="0"/>
    <x v="2"/>
    <x v="0"/>
    <x v="0"/>
    <x v="3"/>
    <x v="0"/>
    <x v="754"/>
    <x v="1"/>
    <x v="0"/>
    <x v="0"/>
    <x v="0"/>
    <x v="267"/>
    <x v="1"/>
    <x v="4"/>
    <x v="4"/>
    <x v="0"/>
    <x v="0"/>
    <x v="3"/>
    <x v="12"/>
    <x v="0"/>
    <x v="15"/>
    <x v="330"/>
    <x v="1"/>
    <x v="2"/>
    <x v="1"/>
    <x v="3"/>
    <x v="2"/>
    <x v="1"/>
    <x v="1023"/>
    <x v="3"/>
    <x v="15"/>
    <x v="754"/>
    <x v="754"/>
    <x v="1"/>
    <x v="754"/>
    <x v="841"/>
    <x v="827"/>
    <x v="859"/>
    <x v="827"/>
    <x v="841"/>
    <x v="841"/>
    <x v="841"/>
    <x v="841"/>
    <x v="841"/>
    <x v="841"/>
    <x v="841"/>
    <x v="754"/>
    <x v="849"/>
    <x v="849"/>
    <x v="712"/>
    <x v="0"/>
    <x v="0"/>
    <x v="709"/>
    <x v="754"/>
    <x v="754"/>
    <x v="754"/>
    <x v="754"/>
    <x v="3"/>
  </r>
  <r>
    <x v="268"/>
    <x v="191"/>
    <x v="0"/>
    <x v="0"/>
    <x v="0"/>
    <x v="0"/>
    <x v="1"/>
    <x v="4"/>
    <x v="0"/>
    <x v="0"/>
    <x v="3"/>
    <x v="0"/>
    <x v="886"/>
    <x v="1"/>
    <x v="0"/>
    <x v="0"/>
    <x v="0"/>
    <x v="268"/>
    <x v="1"/>
    <x v="4"/>
    <x v="4"/>
    <x v="0"/>
    <x v="0"/>
    <x v="3"/>
    <x v="40"/>
    <x v="0"/>
    <x v="14"/>
    <x v="343"/>
    <x v="2"/>
    <x v="16"/>
    <x v="1"/>
    <x v="5"/>
    <x v="2"/>
    <x v="1"/>
    <x v="1276"/>
    <x v="5"/>
    <x v="14"/>
    <x v="886"/>
    <x v="886"/>
    <x v="1"/>
    <x v="886"/>
    <x v="995"/>
    <x v="953"/>
    <x v="1039"/>
    <x v="953"/>
    <x v="995"/>
    <x v="995"/>
    <x v="995"/>
    <x v="995"/>
    <x v="995"/>
    <x v="995"/>
    <x v="995"/>
    <x v="886"/>
    <x v="1038"/>
    <x v="1038"/>
    <x v="853"/>
    <x v="0"/>
    <x v="0"/>
    <x v="924"/>
    <x v="886"/>
    <x v="886"/>
    <x v="886"/>
    <x v="886"/>
    <x v="3"/>
  </r>
  <r>
    <x v="269"/>
    <x v="196"/>
    <x v="0"/>
    <x v="0"/>
    <x v="0"/>
    <x v="0"/>
    <x v="0"/>
    <x v="2"/>
    <x v="0"/>
    <x v="0"/>
    <x v="3"/>
    <x v="0"/>
    <x v="523"/>
    <x v="1"/>
    <x v="0"/>
    <x v="0"/>
    <x v="0"/>
    <x v="269"/>
    <x v="1"/>
    <x v="4"/>
    <x v="4"/>
    <x v="0"/>
    <x v="0"/>
    <x v="3"/>
    <x v="99"/>
    <x v="0"/>
    <x v="13"/>
    <x v="317"/>
    <x v="1"/>
    <x v="2"/>
    <x v="1"/>
    <x v="3"/>
    <x v="2"/>
    <x v="1"/>
    <x v="899"/>
    <x v="3"/>
    <x v="13"/>
    <x v="523"/>
    <x v="523"/>
    <x v="0"/>
    <x v="523"/>
    <x v="641"/>
    <x v="627"/>
    <x v="658"/>
    <x v="627"/>
    <x v="641"/>
    <x v="641"/>
    <x v="641"/>
    <x v="641"/>
    <x v="641"/>
    <x v="641"/>
    <x v="641"/>
    <x v="523"/>
    <x v="652"/>
    <x v="652"/>
    <x v="496"/>
    <x v="0"/>
    <x v="0"/>
    <x v="491"/>
    <x v="523"/>
    <x v="523"/>
    <x v="523"/>
    <x v="523"/>
    <x v="3"/>
  </r>
  <r>
    <x v="270"/>
    <x v="216"/>
    <x v="0"/>
    <x v="0"/>
    <x v="0"/>
    <x v="0"/>
    <x v="0"/>
    <x v="2"/>
    <x v="0"/>
    <x v="0"/>
    <x v="3"/>
    <x v="0"/>
    <x v="677"/>
    <x v="1"/>
    <x v="0"/>
    <x v="0"/>
    <x v="0"/>
    <x v="270"/>
    <x v="1"/>
    <x v="4"/>
    <x v="4"/>
    <x v="0"/>
    <x v="0"/>
    <x v="3"/>
    <x v="40"/>
    <x v="0"/>
    <x v="24"/>
    <x v="332"/>
    <x v="1"/>
    <x v="2"/>
    <x v="1"/>
    <x v="3"/>
    <x v="2"/>
    <x v="1"/>
    <x v="965"/>
    <x v="3"/>
    <x v="24"/>
    <x v="677"/>
    <x v="677"/>
    <x v="1"/>
    <x v="677"/>
    <x v="759"/>
    <x v="747"/>
    <x v="766"/>
    <x v="747"/>
    <x v="759"/>
    <x v="759"/>
    <x v="759"/>
    <x v="759"/>
    <x v="759"/>
    <x v="759"/>
    <x v="759"/>
    <x v="677"/>
    <x v="761"/>
    <x v="761"/>
    <x v="633"/>
    <x v="0"/>
    <x v="0"/>
    <x v="809"/>
    <x v="677"/>
    <x v="677"/>
    <x v="677"/>
    <x v="677"/>
    <x v="3"/>
  </r>
  <r>
    <x v="271"/>
    <x v="215"/>
    <x v="0"/>
    <x v="0"/>
    <x v="0"/>
    <x v="0"/>
    <x v="0"/>
    <x v="0"/>
    <x v="0"/>
    <x v="0"/>
    <x v="3"/>
    <x v="0"/>
    <x v="1280"/>
    <x v="1"/>
    <x v="0"/>
    <x v="0"/>
    <x v="0"/>
    <x v="271"/>
    <x v="2"/>
    <x v="4"/>
    <x v="4"/>
    <x v="0"/>
    <x v="0"/>
    <x v="3"/>
    <x v="99"/>
    <x v="0"/>
    <x v="17"/>
    <x v="329"/>
    <x v="9"/>
    <x v="50"/>
    <x v="1"/>
    <x v="1"/>
    <x v="1"/>
    <x v="1"/>
    <x v="1078"/>
    <x v="1"/>
    <x v="17"/>
    <x v="1278"/>
    <x v="1278"/>
    <x v="2"/>
    <x v="1278"/>
    <x v="1297"/>
    <x v="1292"/>
    <x v="1293"/>
    <x v="1292"/>
    <x v="1297"/>
    <x v="1297"/>
    <x v="1297"/>
    <x v="1297"/>
    <x v="1297"/>
    <x v="1297"/>
    <x v="1297"/>
    <x v="1278"/>
    <x v="1292"/>
    <x v="1292"/>
    <x v="1199"/>
    <x v="0"/>
    <x v="0"/>
    <x v="1254"/>
    <x v="1278"/>
    <x v="1278"/>
    <x v="1278"/>
    <x v="1278"/>
    <x v="3"/>
  </r>
  <r>
    <x v="272"/>
    <x v="208"/>
    <x v="0"/>
    <x v="0"/>
    <x v="0"/>
    <x v="0"/>
    <x v="0"/>
    <x v="0"/>
    <x v="0"/>
    <x v="0"/>
    <x v="3"/>
    <x v="0"/>
    <x v="1088"/>
    <x v="1"/>
    <x v="0"/>
    <x v="0"/>
    <x v="0"/>
    <x v="272"/>
    <x v="2"/>
    <x v="4"/>
    <x v="4"/>
    <x v="0"/>
    <x v="0"/>
    <x v="3"/>
    <x v="40"/>
    <x v="0"/>
    <x v="15"/>
    <x v="340"/>
    <x v="9"/>
    <x v="50"/>
    <x v="1"/>
    <x v="1"/>
    <x v="1"/>
    <x v="1"/>
    <x v="854"/>
    <x v="1"/>
    <x v="15"/>
    <x v="1086"/>
    <x v="1086"/>
    <x v="1"/>
    <x v="1086"/>
    <x v="1096"/>
    <x v="1092"/>
    <x v="1080"/>
    <x v="1092"/>
    <x v="1096"/>
    <x v="1096"/>
    <x v="1096"/>
    <x v="1096"/>
    <x v="1096"/>
    <x v="1096"/>
    <x v="1096"/>
    <x v="1086"/>
    <x v="1080"/>
    <x v="1080"/>
    <x v="1016"/>
    <x v="0"/>
    <x v="0"/>
    <x v="984"/>
    <x v="1086"/>
    <x v="1086"/>
    <x v="1086"/>
    <x v="1086"/>
    <x v="3"/>
  </r>
  <r>
    <x v="273"/>
    <x v="207"/>
    <x v="0"/>
    <x v="0"/>
    <x v="0"/>
    <x v="0"/>
    <x v="0"/>
    <x v="2"/>
    <x v="0"/>
    <x v="0"/>
    <x v="3"/>
    <x v="0"/>
    <x v="753"/>
    <x v="1"/>
    <x v="0"/>
    <x v="0"/>
    <x v="0"/>
    <x v="273"/>
    <x v="1"/>
    <x v="4"/>
    <x v="4"/>
    <x v="0"/>
    <x v="0"/>
    <x v="3"/>
    <x v="99"/>
    <x v="0"/>
    <x v="14"/>
    <x v="342"/>
    <x v="1"/>
    <x v="2"/>
    <x v="1"/>
    <x v="3"/>
    <x v="2"/>
    <x v="1"/>
    <x v="1022"/>
    <x v="3"/>
    <x v="14"/>
    <x v="753"/>
    <x v="753"/>
    <x v="1"/>
    <x v="753"/>
    <x v="840"/>
    <x v="826"/>
    <x v="857"/>
    <x v="826"/>
    <x v="840"/>
    <x v="840"/>
    <x v="840"/>
    <x v="840"/>
    <x v="840"/>
    <x v="840"/>
    <x v="840"/>
    <x v="753"/>
    <x v="847"/>
    <x v="847"/>
    <x v="711"/>
    <x v="0"/>
    <x v="0"/>
    <x v="690"/>
    <x v="753"/>
    <x v="753"/>
    <x v="753"/>
    <x v="753"/>
    <x v="3"/>
  </r>
  <r>
    <x v="274"/>
    <x v="208"/>
    <x v="0"/>
    <x v="0"/>
    <x v="0"/>
    <x v="0"/>
    <x v="1"/>
    <x v="4"/>
    <x v="0"/>
    <x v="0"/>
    <x v="3"/>
    <x v="0"/>
    <x v="718"/>
    <x v="1"/>
    <x v="0"/>
    <x v="0"/>
    <x v="0"/>
    <x v="274"/>
    <x v="1"/>
    <x v="4"/>
    <x v="4"/>
    <x v="0"/>
    <x v="0"/>
    <x v="3"/>
    <x v="40"/>
    <x v="0"/>
    <x v="15"/>
    <x v="341"/>
    <x v="2"/>
    <x v="16"/>
    <x v="1"/>
    <x v="5"/>
    <x v="2"/>
    <x v="1"/>
    <x v="1223"/>
    <x v="5"/>
    <x v="15"/>
    <x v="718"/>
    <x v="718"/>
    <x v="1"/>
    <x v="718"/>
    <x v="821"/>
    <x v="791"/>
    <x v="867"/>
    <x v="791"/>
    <x v="821"/>
    <x v="821"/>
    <x v="821"/>
    <x v="821"/>
    <x v="821"/>
    <x v="821"/>
    <x v="821"/>
    <x v="718"/>
    <x v="863"/>
    <x v="863"/>
    <x v="688"/>
    <x v="0"/>
    <x v="0"/>
    <x v="728"/>
    <x v="718"/>
    <x v="718"/>
    <x v="718"/>
    <x v="718"/>
    <x v="3"/>
  </r>
  <r>
    <x v="275"/>
    <x v="205"/>
    <x v="0"/>
    <x v="0"/>
    <x v="0"/>
    <x v="0"/>
    <x v="0"/>
    <x v="2"/>
    <x v="0"/>
    <x v="0"/>
    <x v="3"/>
    <x v="0"/>
    <x v="913"/>
    <x v="1"/>
    <x v="0"/>
    <x v="0"/>
    <x v="0"/>
    <x v="275"/>
    <x v="1"/>
    <x v="4"/>
    <x v="4"/>
    <x v="0"/>
    <x v="0"/>
    <x v="3"/>
    <x v="12"/>
    <x v="0"/>
    <x v="14"/>
    <x v="333"/>
    <x v="1"/>
    <x v="2"/>
    <x v="1"/>
    <x v="3"/>
    <x v="2"/>
    <x v="1"/>
    <x v="1131"/>
    <x v="3"/>
    <x v="14"/>
    <x v="913"/>
    <x v="913"/>
    <x v="1"/>
    <x v="913"/>
    <x v="1002"/>
    <x v="986"/>
    <x v="1022"/>
    <x v="986"/>
    <x v="1002"/>
    <x v="1002"/>
    <x v="1002"/>
    <x v="1002"/>
    <x v="1002"/>
    <x v="1002"/>
    <x v="1002"/>
    <x v="913"/>
    <x v="1017"/>
    <x v="1017"/>
    <x v="862"/>
    <x v="0"/>
    <x v="0"/>
    <x v="891"/>
    <x v="913"/>
    <x v="913"/>
    <x v="913"/>
    <x v="913"/>
    <x v="3"/>
  </r>
  <r>
    <x v="276"/>
    <x v="206"/>
    <x v="0"/>
    <x v="0"/>
    <x v="0"/>
    <x v="0"/>
    <x v="0"/>
    <x v="2"/>
    <x v="0"/>
    <x v="0"/>
    <x v="3"/>
    <x v="0"/>
    <x v="1103"/>
    <x v="1"/>
    <x v="0"/>
    <x v="0"/>
    <x v="0"/>
    <x v="276"/>
    <x v="1"/>
    <x v="4"/>
    <x v="4"/>
    <x v="0"/>
    <x v="0"/>
    <x v="3"/>
    <x v="12"/>
    <x v="0"/>
    <x v="16"/>
    <x v="318"/>
    <x v="1"/>
    <x v="2"/>
    <x v="1"/>
    <x v="3"/>
    <x v="2"/>
    <x v="1"/>
    <x v="1243"/>
    <x v="3"/>
    <x v="16"/>
    <x v="1101"/>
    <x v="1101"/>
    <x v="1"/>
    <x v="1101"/>
    <x v="1191"/>
    <x v="1170"/>
    <x v="1197"/>
    <x v="1170"/>
    <x v="1191"/>
    <x v="1191"/>
    <x v="1191"/>
    <x v="1191"/>
    <x v="1191"/>
    <x v="1191"/>
    <x v="1191"/>
    <x v="1101"/>
    <x v="1196"/>
    <x v="1196"/>
    <x v="1039"/>
    <x v="0"/>
    <x v="0"/>
    <x v="1133"/>
    <x v="1101"/>
    <x v="1101"/>
    <x v="1101"/>
    <x v="1101"/>
    <x v="3"/>
  </r>
  <r>
    <x v="277"/>
    <x v="215"/>
    <x v="0"/>
    <x v="0"/>
    <x v="0"/>
    <x v="0"/>
    <x v="0"/>
    <x v="2"/>
    <x v="0"/>
    <x v="0"/>
    <x v="3"/>
    <x v="0"/>
    <x v="874"/>
    <x v="1"/>
    <x v="0"/>
    <x v="0"/>
    <x v="0"/>
    <x v="277"/>
    <x v="1"/>
    <x v="4"/>
    <x v="4"/>
    <x v="0"/>
    <x v="0"/>
    <x v="3"/>
    <x v="99"/>
    <x v="0"/>
    <x v="17"/>
    <x v="328"/>
    <x v="1"/>
    <x v="2"/>
    <x v="1"/>
    <x v="3"/>
    <x v="2"/>
    <x v="1"/>
    <x v="1100"/>
    <x v="3"/>
    <x v="17"/>
    <x v="874"/>
    <x v="874"/>
    <x v="1"/>
    <x v="874"/>
    <x v="955"/>
    <x v="943"/>
    <x v="978"/>
    <x v="943"/>
    <x v="955"/>
    <x v="955"/>
    <x v="955"/>
    <x v="955"/>
    <x v="955"/>
    <x v="955"/>
    <x v="955"/>
    <x v="874"/>
    <x v="976"/>
    <x v="976"/>
    <x v="822"/>
    <x v="0"/>
    <x v="0"/>
    <x v="912"/>
    <x v="874"/>
    <x v="874"/>
    <x v="874"/>
    <x v="874"/>
    <x v="3"/>
  </r>
  <r>
    <x v="278"/>
    <x v="222"/>
    <x v="0"/>
    <x v="0"/>
    <x v="0"/>
    <x v="0"/>
    <x v="0"/>
    <x v="2"/>
    <x v="0"/>
    <x v="0"/>
    <x v="3"/>
    <x v="0"/>
    <x v="295"/>
    <x v="1"/>
    <x v="0"/>
    <x v="0"/>
    <x v="0"/>
    <x v="278"/>
    <x v="1"/>
    <x v="4"/>
    <x v="4"/>
    <x v="0"/>
    <x v="0"/>
    <x v="3"/>
    <x v="40"/>
    <x v="0"/>
    <x v="23"/>
    <x v="321"/>
    <x v="1"/>
    <x v="2"/>
    <x v="1"/>
    <x v="3"/>
    <x v="2"/>
    <x v="1"/>
    <x v="620"/>
    <x v="3"/>
    <x v="23"/>
    <x v="295"/>
    <x v="295"/>
    <x v="0"/>
    <x v="295"/>
    <x v="336"/>
    <x v="332"/>
    <x v="338"/>
    <x v="332"/>
    <x v="336"/>
    <x v="336"/>
    <x v="336"/>
    <x v="336"/>
    <x v="336"/>
    <x v="336"/>
    <x v="336"/>
    <x v="295"/>
    <x v="338"/>
    <x v="338"/>
    <x v="263"/>
    <x v="0"/>
    <x v="0"/>
    <x v="407"/>
    <x v="295"/>
    <x v="295"/>
    <x v="295"/>
    <x v="295"/>
    <x v="3"/>
  </r>
  <r>
    <x v="279"/>
    <x v="218"/>
    <x v="0"/>
    <x v="0"/>
    <x v="0"/>
    <x v="0"/>
    <x v="1"/>
    <x v="4"/>
    <x v="0"/>
    <x v="0"/>
    <x v="3"/>
    <x v="0"/>
    <x v="128"/>
    <x v="1"/>
    <x v="0"/>
    <x v="0"/>
    <x v="0"/>
    <x v="279"/>
    <x v="1"/>
    <x v="4"/>
    <x v="4"/>
    <x v="0"/>
    <x v="0"/>
    <x v="3"/>
    <x v="40"/>
    <x v="0"/>
    <x v="15"/>
    <x v="344"/>
    <x v="2"/>
    <x v="16"/>
    <x v="1"/>
    <x v="5"/>
    <x v="2"/>
    <x v="1"/>
    <x v="344"/>
    <x v="5"/>
    <x v="15"/>
    <x v="129"/>
    <x v="129"/>
    <x v="0"/>
    <x v="129"/>
    <x v="152"/>
    <x v="143"/>
    <x v="154"/>
    <x v="143"/>
    <x v="152"/>
    <x v="152"/>
    <x v="152"/>
    <x v="152"/>
    <x v="152"/>
    <x v="152"/>
    <x v="152"/>
    <x v="129"/>
    <x v="154"/>
    <x v="154"/>
    <x v="114"/>
    <x v="0"/>
    <x v="0"/>
    <x v="131"/>
    <x v="129"/>
    <x v="129"/>
    <x v="129"/>
    <x v="129"/>
    <x v="3"/>
  </r>
  <r>
    <x v="280"/>
    <x v="232"/>
    <x v="0"/>
    <x v="0"/>
    <x v="0"/>
    <x v="0"/>
    <x v="0"/>
    <x v="2"/>
    <x v="0"/>
    <x v="0"/>
    <x v="3"/>
    <x v="0"/>
    <x v="1160"/>
    <x v="1"/>
    <x v="0"/>
    <x v="0"/>
    <x v="0"/>
    <x v="280"/>
    <x v="1"/>
    <x v="4"/>
    <x v="4"/>
    <x v="0"/>
    <x v="0"/>
    <x v="3"/>
    <x v="12"/>
    <x v="0"/>
    <x v="15"/>
    <x v="415"/>
    <x v="1"/>
    <x v="2"/>
    <x v="1"/>
    <x v="3"/>
    <x v="2"/>
    <x v="1"/>
    <x v="1262"/>
    <x v="3"/>
    <x v="15"/>
    <x v="1158"/>
    <x v="1158"/>
    <x v="1"/>
    <x v="1158"/>
    <x v="1231"/>
    <x v="1217"/>
    <x v="1246"/>
    <x v="1217"/>
    <x v="1231"/>
    <x v="1231"/>
    <x v="1231"/>
    <x v="1231"/>
    <x v="1231"/>
    <x v="1231"/>
    <x v="1231"/>
    <x v="1158"/>
    <x v="1243"/>
    <x v="1243"/>
    <x v="1096"/>
    <x v="0"/>
    <x v="0"/>
    <x v="1170"/>
    <x v="1158"/>
    <x v="1158"/>
    <x v="1158"/>
    <x v="1158"/>
    <x v="3"/>
  </r>
  <r>
    <x v="281"/>
    <x v="227"/>
    <x v="0"/>
    <x v="0"/>
    <x v="0"/>
    <x v="0"/>
    <x v="0"/>
    <x v="2"/>
    <x v="0"/>
    <x v="0"/>
    <x v="3"/>
    <x v="0"/>
    <x v="1332"/>
    <x v="1"/>
    <x v="0"/>
    <x v="0"/>
    <x v="0"/>
    <x v="281"/>
    <x v="1"/>
    <x v="4"/>
    <x v="4"/>
    <x v="0"/>
    <x v="0"/>
    <x v="3"/>
    <x v="40"/>
    <x v="0"/>
    <x v="23"/>
    <x v="325"/>
    <x v="1"/>
    <x v="2"/>
    <x v="1"/>
    <x v="3"/>
    <x v="2"/>
    <x v="1"/>
    <x v="1348"/>
    <x v="3"/>
    <x v="23"/>
    <x v="1330"/>
    <x v="1330"/>
    <x v="3"/>
    <x v="1330"/>
    <x v="1381"/>
    <x v="1365"/>
    <x v="1379"/>
    <x v="1365"/>
    <x v="1381"/>
    <x v="1381"/>
    <x v="1381"/>
    <x v="1381"/>
    <x v="1381"/>
    <x v="1381"/>
    <x v="1381"/>
    <x v="1330"/>
    <x v="1378"/>
    <x v="1378"/>
    <x v="1255"/>
    <x v="0"/>
    <x v="0"/>
    <x v="1392"/>
    <x v="1330"/>
    <x v="1330"/>
    <x v="1330"/>
    <x v="1330"/>
    <x v="3"/>
  </r>
  <r>
    <x v="282"/>
    <x v="222"/>
    <x v="0"/>
    <x v="0"/>
    <x v="0"/>
    <x v="0"/>
    <x v="1"/>
    <x v="4"/>
    <x v="0"/>
    <x v="0"/>
    <x v="3"/>
    <x v="0"/>
    <x v="293"/>
    <x v="1"/>
    <x v="0"/>
    <x v="0"/>
    <x v="0"/>
    <x v="282"/>
    <x v="1"/>
    <x v="4"/>
    <x v="4"/>
    <x v="0"/>
    <x v="0"/>
    <x v="3"/>
    <x v="40"/>
    <x v="0"/>
    <x v="23"/>
    <x v="320"/>
    <x v="2"/>
    <x v="16"/>
    <x v="1"/>
    <x v="5"/>
    <x v="2"/>
    <x v="1"/>
    <x v="974"/>
    <x v="5"/>
    <x v="23"/>
    <x v="293"/>
    <x v="293"/>
    <x v="0"/>
    <x v="293"/>
    <x v="341"/>
    <x v="328"/>
    <x v="362"/>
    <x v="328"/>
    <x v="341"/>
    <x v="341"/>
    <x v="341"/>
    <x v="341"/>
    <x v="341"/>
    <x v="341"/>
    <x v="341"/>
    <x v="293"/>
    <x v="362"/>
    <x v="362"/>
    <x v="269"/>
    <x v="0"/>
    <x v="0"/>
    <x v="432"/>
    <x v="293"/>
    <x v="293"/>
    <x v="293"/>
    <x v="293"/>
    <x v="3"/>
  </r>
  <r>
    <x v="283"/>
    <x v="222"/>
    <x v="0"/>
    <x v="0"/>
    <x v="0"/>
    <x v="0"/>
    <x v="1"/>
    <x v="4"/>
    <x v="0"/>
    <x v="0"/>
    <x v="3"/>
    <x v="0"/>
    <x v="1282"/>
    <x v="1"/>
    <x v="0"/>
    <x v="0"/>
    <x v="0"/>
    <x v="283"/>
    <x v="1"/>
    <x v="4"/>
    <x v="4"/>
    <x v="0"/>
    <x v="0"/>
    <x v="3"/>
    <x v="40"/>
    <x v="0"/>
    <x v="23"/>
    <x v="322"/>
    <x v="2"/>
    <x v="16"/>
    <x v="1"/>
    <x v="5"/>
    <x v="2"/>
    <x v="1"/>
    <x v="1372"/>
    <x v="5"/>
    <x v="23"/>
    <x v="1280"/>
    <x v="1280"/>
    <x v="2"/>
    <x v="1280"/>
    <x v="1349"/>
    <x v="1331"/>
    <x v="1355"/>
    <x v="1331"/>
    <x v="1349"/>
    <x v="1349"/>
    <x v="1349"/>
    <x v="1349"/>
    <x v="1349"/>
    <x v="1349"/>
    <x v="1349"/>
    <x v="1280"/>
    <x v="1354"/>
    <x v="1354"/>
    <x v="1217"/>
    <x v="0"/>
    <x v="0"/>
    <x v="1371"/>
    <x v="1280"/>
    <x v="1280"/>
    <x v="1280"/>
    <x v="1280"/>
    <x v="3"/>
  </r>
  <r>
    <x v="284"/>
    <x v="219"/>
    <x v="0"/>
    <x v="0"/>
    <x v="0"/>
    <x v="0"/>
    <x v="0"/>
    <x v="0"/>
    <x v="0"/>
    <x v="0"/>
    <x v="3"/>
    <x v="0"/>
    <x v="586"/>
    <x v="1"/>
    <x v="0"/>
    <x v="0"/>
    <x v="0"/>
    <x v="284"/>
    <x v="2"/>
    <x v="4"/>
    <x v="4"/>
    <x v="0"/>
    <x v="0"/>
    <x v="3"/>
    <x v="43"/>
    <x v="0"/>
    <x v="15"/>
    <x v="338"/>
    <x v="9"/>
    <x v="50"/>
    <x v="1"/>
    <x v="1"/>
    <x v="1"/>
    <x v="1"/>
    <x v="385"/>
    <x v="1"/>
    <x v="15"/>
    <x v="586"/>
    <x v="586"/>
    <x v="0"/>
    <x v="586"/>
    <x v="533"/>
    <x v="543"/>
    <x v="516"/>
    <x v="543"/>
    <x v="533"/>
    <x v="533"/>
    <x v="533"/>
    <x v="533"/>
    <x v="533"/>
    <x v="533"/>
    <x v="533"/>
    <x v="586"/>
    <x v="517"/>
    <x v="517"/>
    <x v="521"/>
    <x v="0"/>
    <x v="0"/>
    <x v="451"/>
    <x v="586"/>
    <x v="586"/>
    <x v="586"/>
    <x v="586"/>
    <x v="3"/>
  </r>
  <r>
    <x v="285"/>
    <x v="221"/>
    <x v="0"/>
    <x v="0"/>
    <x v="0"/>
    <x v="0"/>
    <x v="0"/>
    <x v="2"/>
    <x v="0"/>
    <x v="0"/>
    <x v="3"/>
    <x v="0"/>
    <x v="574"/>
    <x v="1"/>
    <x v="0"/>
    <x v="0"/>
    <x v="0"/>
    <x v="285"/>
    <x v="1"/>
    <x v="4"/>
    <x v="4"/>
    <x v="0"/>
    <x v="0"/>
    <x v="3"/>
    <x v="99"/>
    <x v="0"/>
    <x v="20"/>
    <x v="335"/>
    <x v="1"/>
    <x v="2"/>
    <x v="1"/>
    <x v="3"/>
    <x v="2"/>
    <x v="1"/>
    <x v="924"/>
    <x v="3"/>
    <x v="20"/>
    <x v="574"/>
    <x v="574"/>
    <x v="0"/>
    <x v="574"/>
    <x v="683"/>
    <x v="669"/>
    <x v="701"/>
    <x v="669"/>
    <x v="683"/>
    <x v="683"/>
    <x v="683"/>
    <x v="683"/>
    <x v="683"/>
    <x v="683"/>
    <x v="683"/>
    <x v="574"/>
    <x v="699"/>
    <x v="699"/>
    <x v="545"/>
    <x v="0"/>
    <x v="0"/>
    <x v="675"/>
    <x v="574"/>
    <x v="574"/>
    <x v="574"/>
    <x v="574"/>
    <x v="3"/>
  </r>
  <r>
    <x v="286"/>
    <x v="224"/>
    <x v="0"/>
    <x v="0"/>
    <x v="0"/>
    <x v="0"/>
    <x v="0"/>
    <x v="2"/>
    <x v="0"/>
    <x v="0"/>
    <x v="3"/>
    <x v="0"/>
    <x v="368"/>
    <x v="1"/>
    <x v="0"/>
    <x v="0"/>
    <x v="0"/>
    <x v="286"/>
    <x v="1"/>
    <x v="4"/>
    <x v="4"/>
    <x v="0"/>
    <x v="0"/>
    <x v="3"/>
    <x v="89"/>
    <x v="0"/>
    <x v="15"/>
    <x v="336"/>
    <x v="1"/>
    <x v="2"/>
    <x v="1"/>
    <x v="3"/>
    <x v="2"/>
    <x v="1"/>
    <x v="757"/>
    <x v="3"/>
    <x v="15"/>
    <x v="368"/>
    <x v="368"/>
    <x v="0"/>
    <x v="368"/>
    <x v="427"/>
    <x v="415"/>
    <x v="444"/>
    <x v="415"/>
    <x v="427"/>
    <x v="427"/>
    <x v="427"/>
    <x v="427"/>
    <x v="427"/>
    <x v="427"/>
    <x v="427"/>
    <x v="368"/>
    <x v="438"/>
    <x v="438"/>
    <x v="338"/>
    <x v="0"/>
    <x v="0"/>
    <x v="408"/>
    <x v="368"/>
    <x v="368"/>
    <x v="368"/>
    <x v="368"/>
    <x v="3"/>
  </r>
  <r>
    <x v="287"/>
    <x v="126"/>
    <x v="0"/>
    <x v="0"/>
    <x v="0"/>
    <x v="0"/>
    <x v="0"/>
    <x v="0"/>
    <x v="0"/>
    <x v="0"/>
    <x v="3"/>
    <x v="0"/>
    <x v="15"/>
    <x v="1"/>
    <x v="0"/>
    <x v="0"/>
    <x v="0"/>
    <x v="287"/>
    <x v="2"/>
    <x v="5"/>
    <x v="5"/>
    <x v="0"/>
    <x v="0"/>
    <x v="3"/>
    <x v="12"/>
    <x v="0"/>
    <x v="16"/>
    <x v="345"/>
    <x v="9"/>
    <x v="50"/>
    <x v="1"/>
    <x v="1"/>
    <x v="1"/>
    <x v="1"/>
    <x v="11"/>
    <x v="1"/>
    <x v="16"/>
    <x v="16"/>
    <x v="16"/>
    <x v="0"/>
    <x v="16"/>
    <x v="14"/>
    <x v="14"/>
    <x v="14"/>
    <x v="14"/>
    <x v="14"/>
    <x v="14"/>
    <x v="14"/>
    <x v="14"/>
    <x v="14"/>
    <x v="14"/>
    <x v="14"/>
    <x v="16"/>
    <x v="14"/>
    <x v="14"/>
    <x v="15"/>
    <x v="0"/>
    <x v="0"/>
    <x v="9"/>
    <x v="16"/>
    <x v="16"/>
    <x v="16"/>
    <x v="16"/>
    <x v="3"/>
  </r>
  <r>
    <x v="288"/>
    <x v="125"/>
    <x v="0"/>
    <x v="0"/>
    <x v="0"/>
    <x v="0"/>
    <x v="0"/>
    <x v="0"/>
    <x v="0"/>
    <x v="0"/>
    <x v="3"/>
    <x v="0"/>
    <x v="1196"/>
    <x v="1"/>
    <x v="0"/>
    <x v="0"/>
    <x v="0"/>
    <x v="288"/>
    <x v="2"/>
    <x v="5"/>
    <x v="5"/>
    <x v="0"/>
    <x v="0"/>
    <x v="3"/>
    <x v="12"/>
    <x v="0"/>
    <x v="16"/>
    <x v="42"/>
    <x v="9"/>
    <x v="50"/>
    <x v="1"/>
    <x v="1"/>
    <x v="1"/>
    <x v="1"/>
    <x v="979"/>
    <x v="1"/>
    <x v="16"/>
    <x v="1194"/>
    <x v="1194"/>
    <x v="2"/>
    <x v="1194"/>
    <x v="1213"/>
    <x v="1209"/>
    <x v="1200"/>
    <x v="1209"/>
    <x v="1213"/>
    <x v="1213"/>
    <x v="1213"/>
    <x v="1213"/>
    <x v="1213"/>
    <x v="1213"/>
    <x v="1213"/>
    <x v="1194"/>
    <x v="1200"/>
    <x v="1200"/>
    <x v="1122"/>
    <x v="0"/>
    <x v="0"/>
    <x v="1137"/>
    <x v="1194"/>
    <x v="1194"/>
    <x v="1194"/>
    <x v="1194"/>
    <x v="3"/>
  </r>
  <r>
    <x v="289"/>
    <x v="148"/>
    <x v="0"/>
    <x v="0"/>
    <x v="0"/>
    <x v="0"/>
    <x v="0"/>
    <x v="0"/>
    <x v="0"/>
    <x v="0"/>
    <x v="3"/>
    <x v="0"/>
    <x v="1102"/>
    <x v="1"/>
    <x v="0"/>
    <x v="0"/>
    <x v="0"/>
    <x v="289"/>
    <x v="2"/>
    <x v="5"/>
    <x v="5"/>
    <x v="0"/>
    <x v="0"/>
    <x v="3"/>
    <x v="12"/>
    <x v="0"/>
    <x v="19"/>
    <x v="351"/>
    <x v="9"/>
    <x v="50"/>
    <x v="1"/>
    <x v="1"/>
    <x v="1"/>
    <x v="1"/>
    <x v="867"/>
    <x v="1"/>
    <x v="19"/>
    <x v="1100"/>
    <x v="1100"/>
    <x v="1"/>
    <x v="1100"/>
    <x v="1109"/>
    <x v="1108"/>
    <x v="1094"/>
    <x v="1108"/>
    <x v="1109"/>
    <x v="1109"/>
    <x v="1109"/>
    <x v="1109"/>
    <x v="1109"/>
    <x v="1109"/>
    <x v="1109"/>
    <x v="1100"/>
    <x v="1094"/>
    <x v="1094"/>
    <x v="1029"/>
    <x v="0"/>
    <x v="0"/>
    <x v="1058"/>
    <x v="1100"/>
    <x v="1100"/>
    <x v="1100"/>
    <x v="1100"/>
    <x v="3"/>
  </r>
  <r>
    <x v="290"/>
    <x v="148"/>
    <x v="0"/>
    <x v="0"/>
    <x v="0"/>
    <x v="0"/>
    <x v="0"/>
    <x v="0"/>
    <x v="0"/>
    <x v="0"/>
    <x v="3"/>
    <x v="0"/>
    <x v="437"/>
    <x v="1"/>
    <x v="0"/>
    <x v="0"/>
    <x v="0"/>
    <x v="290"/>
    <x v="2"/>
    <x v="5"/>
    <x v="5"/>
    <x v="0"/>
    <x v="0"/>
    <x v="3"/>
    <x v="12"/>
    <x v="0"/>
    <x v="19"/>
    <x v="352"/>
    <x v="9"/>
    <x v="50"/>
    <x v="1"/>
    <x v="1"/>
    <x v="1"/>
    <x v="1"/>
    <x v="297"/>
    <x v="1"/>
    <x v="19"/>
    <x v="437"/>
    <x v="437"/>
    <x v="0"/>
    <x v="437"/>
    <x v="425"/>
    <x v="426"/>
    <x v="410"/>
    <x v="426"/>
    <x v="425"/>
    <x v="425"/>
    <x v="425"/>
    <x v="425"/>
    <x v="425"/>
    <x v="425"/>
    <x v="425"/>
    <x v="437"/>
    <x v="410"/>
    <x v="410"/>
    <x v="387"/>
    <x v="0"/>
    <x v="0"/>
    <x v="426"/>
    <x v="437"/>
    <x v="437"/>
    <x v="437"/>
    <x v="437"/>
    <x v="3"/>
  </r>
  <r>
    <x v="291"/>
    <x v="164"/>
    <x v="0"/>
    <x v="0"/>
    <x v="0"/>
    <x v="0"/>
    <x v="0"/>
    <x v="0"/>
    <x v="0"/>
    <x v="0"/>
    <x v="3"/>
    <x v="0"/>
    <x v="920"/>
    <x v="1"/>
    <x v="0"/>
    <x v="0"/>
    <x v="0"/>
    <x v="291"/>
    <x v="2"/>
    <x v="5"/>
    <x v="5"/>
    <x v="0"/>
    <x v="0"/>
    <x v="3"/>
    <x v="89"/>
    <x v="0"/>
    <x v="19"/>
    <x v="348"/>
    <x v="9"/>
    <x v="50"/>
    <x v="1"/>
    <x v="1"/>
    <x v="1"/>
    <x v="1"/>
    <x v="667"/>
    <x v="1"/>
    <x v="19"/>
    <x v="920"/>
    <x v="920"/>
    <x v="1"/>
    <x v="920"/>
    <x v="925"/>
    <x v="925"/>
    <x v="919"/>
    <x v="925"/>
    <x v="925"/>
    <x v="925"/>
    <x v="925"/>
    <x v="925"/>
    <x v="925"/>
    <x v="925"/>
    <x v="925"/>
    <x v="920"/>
    <x v="919"/>
    <x v="919"/>
    <x v="854"/>
    <x v="0"/>
    <x v="0"/>
    <x v="874"/>
    <x v="920"/>
    <x v="920"/>
    <x v="920"/>
    <x v="920"/>
    <x v="3"/>
  </r>
  <r>
    <x v="292"/>
    <x v="169"/>
    <x v="0"/>
    <x v="0"/>
    <x v="0"/>
    <x v="0"/>
    <x v="0"/>
    <x v="0"/>
    <x v="0"/>
    <x v="0"/>
    <x v="3"/>
    <x v="0"/>
    <x v="928"/>
    <x v="1"/>
    <x v="0"/>
    <x v="0"/>
    <x v="0"/>
    <x v="292"/>
    <x v="2"/>
    <x v="5"/>
    <x v="5"/>
    <x v="0"/>
    <x v="0"/>
    <x v="3"/>
    <x v="12"/>
    <x v="0"/>
    <x v="15"/>
    <x v="361"/>
    <x v="9"/>
    <x v="50"/>
    <x v="1"/>
    <x v="1"/>
    <x v="1"/>
    <x v="1"/>
    <x v="679"/>
    <x v="1"/>
    <x v="15"/>
    <x v="928"/>
    <x v="928"/>
    <x v="1"/>
    <x v="928"/>
    <x v="935"/>
    <x v="934"/>
    <x v="928"/>
    <x v="934"/>
    <x v="935"/>
    <x v="935"/>
    <x v="935"/>
    <x v="935"/>
    <x v="935"/>
    <x v="935"/>
    <x v="935"/>
    <x v="928"/>
    <x v="927"/>
    <x v="927"/>
    <x v="867"/>
    <x v="0"/>
    <x v="0"/>
    <x v="808"/>
    <x v="928"/>
    <x v="928"/>
    <x v="928"/>
    <x v="928"/>
    <x v="3"/>
  </r>
  <r>
    <x v="293"/>
    <x v="156"/>
    <x v="0"/>
    <x v="0"/>
    <x v="0"/>
    <x v="0"/>
    <x v="0"/>
    <x v="0"/>
    <x v="0"/>
    <x v="0"/>
    <x v="3"/>
    <x v="0"/>
    <x v="536"/>
    <x v="1"/>
    <x v="0"/>
    <x v="0"/>
    <x v="0"/>
    <x v="293"/>
    <x v="2"/>
    <x v="5"/>
    <x v="5"/>
    <x v="0"/>
    <x v="0"/>
    <x v="3"/>
    <x v="12"/>
    <x v="0"/>
    <x v="19"/>
    <x v="353"/>
    <x v="9"/>
    <x v="50"/>
    <x v="1"/>
    <x v="1"/>
    <x v="1"/>
    <x v="1"/>
    <x v="357"/>
    <x v="1"/>
    <x v="19"/>
    <x v="536"/>
    <x v="536"/>
    <x v="0"/>
    <x v="536"/>
    <x v="494"/>
    <x v="508"/>
    <x v="483"/>
    <x v="508"/>
    <x v="494"/>
    <x v="494"/>
    <x v="494"/>
    <x v="494"/>
    <x v="494"/>
    <x v="494"/>
    <x v="494"/>
    <x v="536"/>
    <x v="482"/>
    <x v="482"/>
    <x v="479"/>
    <x v="0"/>
    <x v="0"/>
    <x v="487"/>
    <x v="536"/>
    <x v="536"/>
    <x v="536"/>
    <x v="536"/>
    <x v="3"/>
  </r>
  <r>
    <x v="294"/>
    <x v="156"/>
    <x v="0"/>
    <x v="0"/>
    <x v="0"/>
    <x v="0"/>
    <x v="0"/>
    <x v="0"/>
    <x v="0"/>
    <x v="0"/>
    <x v="3"/>
    <x v="0"/>
    <x v="420"/>
    <x v="1"/>
    <x v="0"/>
    <x v="0"/>
    <x v="0"/>
    <x v="294"/>
    <x v="2"/>
    <x v="5"/>
    <x v="5"/>
    <x v="0"/>
    <x v="0"/>
    <x v="3"/>
    <x v="12"/>
    <x v="0"/>
    <x v="19"/>
    <x v="354"/>
    <x v="9"/>
    <x v="50"/>
    <x v="1"/>
    <x v="1"/>
    <x v="1"/>
    <x v="1"/>
    <x v="288"/>
    <x v="1"/>
    <x v="19"/>
    <x v="420"/>
    <x v="420"/>
    <x v="0"/>
    <x v="420"/>
    <x v="414"/>
    <x v="414"/>
    <x v="399"/>
    <x v="414"/>
    <x v="414"/>
    <x v="414"/>
    <x v="414"/>
    <x v="414"/>
    <x v="414"/>
    <x v="414"/>
    <x v="414"/>
    <x v="420"/>
    <x v="397"/>
    <x v="397"/>
    <x v="376"/>
    <x v="0"/>
    <x v="0"/>
    <x v="418"/>
    <x v="420"/>
    <x v="420"/>
    <x v="420"/>
    <x v="420"/>
    <x v="3"/>
  </r>
  <r>
    <x v="295"/>
    <x v="164"/>
    <x v="0"/>
    <x v="0"/>
    <x v="0"/>
    <x v="0"/>
    <x v="0"/>
    <x v="0"/>
    <x v="0"/>
    <x v="0"/>
    <x v="3"/>
    <x v="0"/>
    <x v="212"/>
    <x v="1"/>
    <x v="0"/>
    <x v="0"/>
    <x v="0"/>
    <x v="295"/>
    <x v="2"/>
    <x v="5"/>
    <x v="5"/>
    <x v="0"/>
    <x v="0"/>
    <x v="3"/>
    <x v="89"/>
    <x v="0"/>
    <x v="19"/>
    <x v="347"/>
    <x v="9"/>
    <x v="50"/>
    <x v="1"/>
    <x v="1"/>
    <x v="1"/>
    <x v="1"/>
    <x v="125"/>
    <x v="1"/>
    <x v="19"/>
    <x v="213"/>
    <x v="213"/>
    <x v="0"/>
    <x v="213"/>
    <x v="224"/>
    <x v="223"/>
    <x v="215"/>
    <x v="223"/>
    <x v="224"/>
    <x v="224"/>
    <x v="224"/>
    <x v="224"/>
    <x v="224"/>
    <x v="224"/>
    <x v="224"/>
    <x v="213"/>
    <x v="215"/>
    <x v="215"/>
    <x v="186"/>
    <x v="0"/>
    <x v="0"/>
    <x v="209"/>
    <x v="213"/>
    <x v="213"/>
    <x v="213"/>
    <x v="213"/>
    <x v="3"/>
  </r>
  <r>
    <x v="296"/>
    <x v="167"/>
    <x v="0"/>
    <x v="0"/>
    <x v="0"/>
    <x v="0"/>
    <x v="0"/>
    <x v="0"/>
    <x v="0"/>
    <x v="0"/>
    <x v="3"/>
    <x v="0"/>
    <x v="173"/>
    <x v="1"/>
    <x v="0"/>
    <x v="0"/>
    <x v="0"/>
    <x v="296"/>
    <x v="2"/>
    <x v="5"/>
    <x v="5"/>
    <x v="0"/>
    <x v="0"/>
    <x v="3"/>
    <x v="12"/>
    <x v="0"/>
    <x v="19"/>
    <x v="358"/>
    <x v="9"/>
    <x v="50"/>
    <x v="1"/>
    <x v="1"/>
    <x v="1"/>
    <x v="1"/>
    <x v="89"/>
    <x v="1"/>
    <x v="19"/>
    <x v="174"/>
    <x v="174"/>
    <x v="0"/>
    <x v="174"/>
    <x v="179"/>
    <x v="178"/>
    <x v="174"/>
    <x v="178"/>
    <x v="179"/>
    <x v="179"/>
    <x v="179"/>
    <x v="179"/>
    <x v="179"/>
    <x v="179"/>
    <x v="179"/>
    <x v="174"/>
    <x v="174"/>
    <x v="174"/>
    <x v="149"/>
    <x v="0"/>
    <x v="0"/>
    <x v="176"/>
    <x v="174"/>
    <x v="174"/>
    <x v="174"/>
    <x v="174"/>
    <x v="3"/>
  </r>
  <r>
    <x v="297"/>
    <x v="181"/>
    <x v="0"/>
    <x v="0"/>
    <x v="0"/>
    <x v="0"/>
    <x v="0"/>
    <x v="0"/>
    <x v="0"/>
    <x v="0"/>
    <x v="3"/>
    <x v="0"/>
    <x v="373"/>
    <x v="1"/>
    <x v="0"/>
    <x v="0"/>
    <x v="0"/>
    <x v="297"/>
    <x v="2"/>
    <x v="5"/>
    <x v="5"/>
    <x v="0"/>
    <x v="0"/>
    <x v="3"/>
    <x v="12"/>
    <x v="0"/>
    <x v="18"/>
    <x v="350"/>
    <x v="9"/>
    <x v="50"/>
    <x v="1"/>
    <x v="1"/>
    <x v="1"/>
    <x v="1"/>
    <x v="256"/>
    <x v="1"/>
    <x v="18"/>
    <x v="373"/>
    <x v="373"/>
    <x v="0"/>
    <x v="373"/>
    <x v="369"/>
    <x v="376"/>
    <x v="350"/>
    <x v="376"/>
    <x v="369"/>
    <x v="369"/>
    <x v="369"/>
    <x v="369"/>
    <x v="369"/>
    <x v="369"/>
    <x v="369"/>
    <x v="373"/>
    <x v="351"/>
    <x v="351"/>
    <x v="332"/>
    <x v="0"/>
    <x v="0"/>
    <x v="373"/>
    <x v="373"/>
    <x v="373"/>
    <x v="373"/>
    <x v="373"/>
    <x v="3"/>
  </r>
  <r>
    <x v="298"/>
    <x v="175"/>
    <x v="0"/>
    <x v="0"/>
    <x v="0"/>
    <x v="0"/>
    <x v="0"/>
    <x v="0"/>
    <x v="0"/>
    <x v="0"/>
    <x v="3"/>
    <x v="0"/>
    <x v="450"/>
    <x v="1"/>
    <x v="0"/>
    <x v="0"/>
    <x v="0"/>
    <x v="298"/>
    <x v="2"/>
    <x v="5"/>
    <x v="5"/>
    <x v="0"/>
    <x v="0"/>
    <x v="3"/>
    <x v="12"/>
    <x v="0"/>
    <x v="18"/>
    <x v="359"/>
    <x v="9"/>
    <x v="50"/>
    <x v="1"/>
    <x v="1"/>
    <x v="1"/>
    <x v="1"/>
    <x v="309"/>
    <x v="1"/>
    <x v="18"/>
    <x v="450"/>
    <x v="450"/>
    <x v="0"/>
    <x v="450"/>
    <x v="433"/>
    <x v="437"/>
    <x v="420"/>
    <x v="437"/>
    <x v="433"/>
    <x v="433"/>
    <x v="433"/>
    <x v="433"/>
    <x v="433"/>
    <x v="433"/>
    <x v="433"/>
    <x v="450"/>
    <x v="419"/>
    <x v="419"/>
    <x v="400"/>
    <x v="0"/>
    <x v="0"/>
    <x v="423"/>
    <x v="450"/>
    <x v="450"/>
    <x v="450"/>
    <x v="450"/>
    <x v="3"/>
  </r>
  <r>
    <x v="299"/>
    <x v="164"/>
    <x v="0"/>
    <x v="0"/>
    <x v="0"/>
    <x v="0"/>
    <x v="0"/>
    <x v="0"/>
    <x v="0"/>
    <x v="0"/>
    <x v="3"/>
    <x v="0"/>
    <x v="1212"/>
    <x v="1"/>
    <x v="0"/>
    <x v="0"/>
    <x v="0"/>
    <x v="299"/>
    <x v="2"/>
    <x v="5"/>
    <x v="5"/>
    <x v="0"/>
    <x v="0"/>
    <x v="3"/>
    <x v="89"/>
    <x v="0"/>
    <x v="19"/>
    <x v="346"/>
    <x v="9"/>
    <x v="50"/>
    <x v="1"/>
    <x v="1"/>
    <x v="1"/>
    <x v="1"/>
    <x v="1002"/>
    <x v="1"/>
    <x v="19"/>
    <x v="1210"/>
    <x v="1210"/>
    <x v="2"/>
    <x v="1210"/>
    <x v="1233"/>
    <x v="1225"/>
    <x v="1220"/>
    <x v="1225"/>
    <x v="1233"/>
    <x v="1233"/>
    <x v="1233"/>
    <x v="1233"/>
    <x v="1233"/>
    <x v="1233"/>
    <x v="1233"/>
    <x v="1210"/>
    <x v="1217"/>
    <x v="1217"/>
    <x v="1138"/>
    <x v="0"/>
    <x v="0"/>
    <x v="1196"/>
    <x v="1210"/>
    <x v="1210"/>
    <x v="1210"/>
    <x v="1210"/>
    <x v="3"/>
  </r>
  <r>
    <x v="300"/>
    <x v="173"/>
    <x v="0"/>
    <x v="0"/>
    <x v="0"/>
    <x v="0"/>
    <x v="0"/>
    <x v="0"/>
    <x v="0"/>
    <x v="0"/>
    <x v="3"/>
    <x v="0"/>
    <x v="1186"/>
    <x v="1"/>
    <x v="0"/>
    <x v="0"/>
    <x v="0"/>
    <x v="300"/>
    <x v="2"/>
    <x v="5"/>
    <x v="5"/>
    <x v="0"/>
    <x v="0"/>
    <x v="3"/>
    <x v="12"/>
    <x v="0"/>
    <x v="18"/>
    <x v="349"/>
    <x v="9"/>
    <x v="50"/>
    <x v="1"/>
    <x v="1"/>
    <x v="1"/>
    <x v="1"/>
    <x v="967"/>
    <x v="1"/>
    <x v="18"/>
    <x v="1184"/>
    <x v="1184"/>
    <x v="2"/>
    <x v="1184"/>
    <x v="1205"/>
    <x v="1197"/>
    <x v="1188"/>
    <x v="1197"/>
    <x v="1205"/>
    <x v="1205"/>
    <x v="1205"/>
    <x v="1205"/>
    <x v="1205"/>
    <x v="1205"/>
    <x v="1205"/>
    <x v="1184"/>
    <x v="1188"/>
    <x v="1188"/>
    <x v="1115"/>
    <x v="0"/>
    <x v="0"/>
    <x v="1153"/>
    <x v="1184"/>
    <x v="1184"/>
    <x v="1184"/>
    <x v="1184"/>
    <x v="3"/>
  </r>
  <r>
    <x v="301"/>
    <x v="170"/>
    <x v="0"/>
    <x v="0"/>
    <x v="0"/>
    <x v="0"/>
    <x v="0"/>
    <x v="0"/>
    <x v="0"/>
    <x v="0"/>
    <x v="3"/>
    <x v="0"/>
    <x v="1238"/>
    <x v="1"/>
    <x v="0"/>
    <x v="0"/>
    <x v="0"/>
    <x v="301"/>
    <x v="2"/>
    <x v="5"/>
    <x v="5"/>
    <x v="0"/>
    <x v="0"/>
    <x v="3"/>
    <x v="12"/>
    <x v="0"/>
    <x v="19"/>
    <x v="360"/>
    <x v="9"/>
    <x v="50"/>
    <x v="1"/>
    <x v="1"/>
    <x v="1"/>
    <x v="1"/>
    <x v="1033"/>
    <x v="1"/>
    <x v="19"/>
    <x v="1236"/>
    <x v="1236"/>
    <x v="2"/>
    <x v="1236"/>
    <x v="1258"/>
    <x v="1248"/>
    <x v="1248"/>
    <x v="1248"/>
    <x v="1258"/>
    <x v="1258"/>
    <x v="1258"/>
    <x v="1258"/>
    <x v="1258"/>
    <x v="1258"/>
    <x v="1258"/>
    <x v="1236"/>
    <x v="1247"/>
    <x v="1247"/>
    <x v="1161"/>
    <x v="0"/>
    <x v="0"/>
    <x v="1221"/>
    <x v="1236"/>
    <x v="1236"/>
    <x v="1236"/>
    <x v="1236"/>
    <x v="3"/>
  </r>
  <r>
    <x v="302"/>
    <x v="213"/>
    <x v="0"/>
    <x v="0"/>
    <x v="0"/>
    <x v="0"/>
    <x v="0"/>
    <x v="0"/>
    <x v="0"/>
    <x v="0"/>
    <x v="3"/>
    <x v="0"/>
    <x v="1192"/>
    <x v="1"/>
    <x v="0"/>
    <x v="0"/>
    <x v="0"/>
    <x v="302"/>
    <x v="2"/>
    <x v="5"/>
    <x v="5"/>
    <x v="0"/>
    <x v="0"/>
    <x v="3"/>
    <x v="12"/>
    <x v="0"/>
    <x v="16"/>
    <x v="355"/>
    <x v="9"/>
    <x v="50"/>
    <x v="1"/>
    <x v="1"/>
    <x v="1"/>
    <x v="1"/>
    <x v="971"/>
    <x v="1"/>
    <x v="16"/>
    <x v="1190"/>
    <x v="1190"/>
    <x v="2"/>
    <x v="1190"/>
    <x v="1209"/>
    <x v="1205"/>
    <x v="1194"/>
    <x v="1205"/>
    <x v="1209"/>
    <x v="1209"/>
    <x v="1209"/>
    <x v="1209"/>
    <x v="1209"/>
    <x v="1209"/>
    <x v="1209"/>
    <x v="1190"/>
    <x v="1193"/>
    <x v="1193"/>
    <x v="1119"/>
    <x v="0"/>
    <x v="0"/>
    <x v="1123"/>
    <x v="1190"/>
    <x v="1190"/>
    <x v="1190"/>
    <x v="1190"/>
    <x v="3"/>
  </r>
  <r>
    <x v="303"/>
    <x v="206"/>
    <x v="0"/>
    <x v="0"/>
    <x v="0"/>
    <x v="0"/>
    <x v="0"/>
    <x v="2"/>
    <x v="0"/>
    <x v="0"/>
    <x v="3"/>
    <x v="0"/>
    <x v="384"/>
    <x v="1"/>
    <x v="0"/>
    <x v="0"/>
    <x v="0"/>
    <x v="303"/>
    <x v="1"/>
    <x v="5"/>
    <x v="5"/>
    <x v="0"/>
    <x v="0"/>
    <x v="3"/>
    <x v="12"/>
    <x v="0"/>
    <x v="16"/>
    <x v="319"/>
    <x v="1"/>
    <x v="2"/>
    <x v="1"/>
    <x v="3"/>
    <x v="2"/>
    <x v="1"/>
    <x v="784"/>
    <x v="3"/>
    <x v="16"/>
    <x v="384"/>
    <x v="384"/>
    <x v="0"/>
    <x v="384"/>
    <x v="447"/>
    <x v="436"/>
    <x v="467"/>
    <x v="436"/>
    <x v="447"/>
    <x v="447"/>
    <x v="447"/>
    <x v="447"/>
    <x v="447"/>
    <x v="447"/>
    <x v="447"/>
    <x v="384"/>
    <x v="463"/>
    <x v="463"/>
    <x v="354"/>
    <x v="0"/>
    <x v="0"/>
    <x v="434"/>
    <x v="384"/>
    <x v="384"/>
    <x v="384"/>
    <x v="384"/>
    <x v="3"/>
  </r>
  <r>
    <x v="304"/>
    <x v="214"/>
    <x v="0"/>
    <x v="0"/>
    <x v="0"/>
    <x v="0"/>
    <x v="0"/>
    <x v="2"/>
    <x v="0"/>
    <x v="0"/>
    <x v="3"/>
    <x v="0"/>
    <x v="63"/>
    <x v="1"/>
    <x v="0"/>
    <x v="0"/>
    <x v="0"/>
    <x v="304"/>
    <x v="1"/>
    <x v="5"/>
    <x v="5"/>
    <x v="0"/>
    <x v="0"/>
    <x v="3"/>
    <x v="12"/>
    <x v="0"/>
    <x v="23"/>
    <x v="362"/>
    <x v="1"/>
    <x v="2"/>
    <x v="1"/>
    <x v="3"/>
    <x v="2"/>
    <x v="1"/>
    <x v="80"/>
    <x v="3"/>
    <x v="23"/>
    <x v="64"/>
    <x v="64"/>
    <x v="0"/>
    <x v="64"/>
    <x v="70"/>
    <x v="72"/>
    <x v="70"/>
    <x v="72"/>
    <x v="70"/>
    <x v="70"/>
    <x v="70"/>
    <x v="70"/>
    <x v="70"/>
    <x v="70"/>
    <x v="70"/>
    <x v="64"/>
    <x v="69"/>
    <x v="69"/>
    <x v="53"/>
    <x v="0"/>
    <x v="0"/>
    <x v="80"/>
    <x v="64"/>
    <x v="64"/>
    <x v="64"/>
    <x v="64"/>
    <x v="3"/>
  </r>
  <r>
    <x v="305"/>
    <x v="225"/>
    <x v="0"/>
    <x v="0"/>
    <x v="0"/>
    <x v="0"/>
    <x v="0"/>
    <x v="0"/>
    <x v="0"/>
    <x v="0"/>
    <x v="3"/>
    <x v="0"/>
    <x v="720"/>
    <x v="1"/>
    <x v="0"/>
    <x v="0"/>
    <x v="0"/>
    <x v="305"/>
    <x v="2"/>
    <x v="5"/>
    <x v="5"/>
    <x v="0"/>
    <x v="0"/>
    <x v="3"/>
    <x v="12"/>
    <x v="0"/>
    <x v="23"/>
    <x v="356"/>
    <x v="9"/>
    <x v="50"/>
    <x v="1"/>
    <x v="1"/>
    <x v="1"/>
    <x v="1"/>
    <x v="476"/>
    <x v="1"/>
    <x v="23"/>
    <x v="720"/>
    <x v="720"/>
    <x v="1"/>
    <x v="720"/>
    <x v="674"/>
    <x v="695"/>
    <x v="635"/>
    <x v="695"/>
    <x v="674"/>
    <x v="674"/>
    <x v="674"/>
    <x v="674"/>
    <x v="674"/>
    <x v="674"/>
    <x v="674"/>
    <x v="720"/>
    <x v="637"/>
    <x v="637"/>
    <x v="658"/>
    <x v="0"/>
    <x v="0"/>
    <x v="687"/>
    <x v="720"/>
    <x v="720"/>
    <x v="720"/>
    <x v="720"/>
    <x v="3"/>
  </r>
  <r>
    <x v="306"/>
    <x v="225"/>
    <x v="0"/>
    <x v="0"/>
    <x v="0"/>
    <x v="0"/>
    <x v="0"/>
    <x v="0"/>
    <x v="0"/>
    <x v="0"/>
    <x v="3"/>
    <x v="0"/>
    <x v="865"/>
    <x v="1"/>
    <x v="0"/>
    <x v="0"/>
    <x v="0"/>
    <x v="306"/>
    <x v="2"/>
    <x v="5"/>
    <x v="5"/>
    <x v="0"/>
    <x v="0"/>
    <x v="3"/>
    <x v="12"/>
    <x v="0"/>
    <x v="23"/>
    <x v="357"/>
    <x v="9"/>
    <x v="50"/>
    <x v="1"/>
    <x v="1"/>
    <x v="1"/>
    <x v="1"/>
    <x v="611"/>
    <x v="1"/>
    <x v="23"/>
    <x v="865"/>
    <x v="865"/>
    <x v="1"/>
    <x v="865"/>
    <x v="883"/>
    <x v="873"/>
    <x v="858"/>
    <x v="873"/>
    <x v="883"/>
    <x v="883"/>
    <x v="883"/>
    <x v="883"/>
    <x v="883"/>
    <x v="883"/>
    <x v="883"/>
    <x v="865"/>
    <x v="857"/>
    <x v="857"/>
    <x v="803"/>
    <x v="0"/>
    <x v="0"/>
    <x v="877"/>
    <x v="865"/>
    <x v="865"/>
    <x v="865"/>
    <x v="865"/>
    <x v="3"/>
  </r>
  <r>
    <x v="307"/>
    <x v="245"/>
    <x v="0"/>
    <x v="0"/>
    <x v="0"/>
    <x v="0"/>
    <x v="0"/>
    <x v="2"/>
    <x v="0"/>
    <x v="0"/>
    <x v="3"/>
    <x v="0"/>
    <x v="1279"/>
    <x v="1"/>
    <x v="0"/>
    <x v="0"/>
    <x v="0"/>
    <x v="307"/>
    <x v="1"/>
    <x v="5"/>
    <x v="5"/>
    <x v="0"/>
    <x v="0"/>
    <x v="3"/>
    <x v="12"/>
    <x v="0"/>
    <x v="21"/>
    <x v="417"/>
    <x v="1"/>
    <x v="2"/>
    <x v="1"/>
    <x v="3"/>
    <x v="2"/>
    <x v="1"/>
    <x v="1315"/>
    <x v="3"/>
    <x v="21"/>
    <x v="1277"/>
    <x v="1277"/>
    <x v="2"/>
    <x v="1277"/>
    <x v="1343"/>
    <x v="1330"/>
    <x v="1343"/>
    <x v="1330"/>
    <x v="1343"/>
    <x v="1343"/>
    <x v="1343"/>
    <x v="1343"/>
    <x v="1343"/>
    <x v="1343"/>
    <x v="1343"/>
    <x v="1277"/>
    <x v="1342"/>
    <x v="1342"/>
    <x v="1206"/>
    <x v="0"/>
    <x v="0"/>
    <x v="1345"/>
    <x v="1277"/>
    <x v="1277"/>
    <x v="1277"/>
    <x v="1277"/>
    <x v="3"/>
  </r>
  <r>
    <x v="308"/>
    <x v="188"/>
    <x v="0"/>
    <x v="0"/>
    <x v="0"/>
    <x v="0"/>
    <x v="1"/>
    <x v="6"/>
    <x v="0"/>
    <x v="0"/>
    <x v="3"/>
    <x v="0"/>
    <x v="1352"/>
    <x v="1"/>
    <x v="0"/>
    <x v="0"/>
    <x v="0"/>
    <x v="308"/>
    <x v="1"/>
    <x v="6"/>
    <x v="6"/>
    <x v="0"/>
    <x v="0"/>
    <x v="3"/>
    <x v="83"/>
    <x v="0"/>
    <x v="14"/>
    <x v="13"/>
    <x v="4"/>
    <x v="35"/>
    <x v="1"/>
    <x v="7"/>
    <x v="4"/>
    <x v="1"/>
    <x v="1395"/>
    <x v="7"/>
    <x v="14"/>
    <x v="1350"/>
    <x v="1350"/>
    <x v="4"/>
    <x v="1350"/>
    <x v="1395"/>
    <x v="1383"/>
    <x v="1396"/>
    <x v="1383"/>
    <x v="1395"/>
    <x v="1395"/>
    <x v="1395"/>
    <x v="1395"/>
    <x v="1395"/>
    <x v="1395"/>
    <x v="1395"/>
    <x v="1350"/>
    <x v="1395"/>
    <x v="1395"/>
    <x v="0"/>
    <x v="124"/>
    <x v="0"/>
    <x v="1413"/>
    <x v="1350"/>
    <x v="1350"/>
    <x v="1350"/>
    <x v="1350"/>
    <x v="3"/>
  </r>
  <r>
    <x v="309"/>
    <x v="219"/>
    <x v="0"/>
    <x v="0"/>
    <x v="0"/>
    <x v="0"/>
    <x v="1"/>
    <x v="4"/>
    <x v="0"/>
    <x v="0"/>
    <x v="3"/>
    <x v="0"/>
    <x v="1097"/>
    <x v="1"/>
    <x v="0"/>
    <x v="0"/>
    <x v="0"/>
    <x v="309"/>
    <x v="1"/>
    <x v="6"/>
    <x v="6"/>
    <x v="0"/>
    <x v="0"/>
    <x v="3"/>
    <x v="43"/>
    <x v="0"/>
    <x v="15"/>
    <x v="339"/>
    <x v="2"/>
    <x v="16"/>
    <x v="1"/>
    <x v="5"/>
    <x v="2"/>
    <x v="1"/>
    <x v="1333"/>
    <x v="5"/>
    <x v="15"/>
    <x v="1095"/>
    <x v="1095"/>
    <x v="1"/>
    <x v="1095"/>
    <x v="1201"/>
    <x v="1162"/>
    <x v="1222"/>
    <x v="1162"/>
    <x v="1201"/>
    <x v="1201"/>
    <x v="1201"/>
    <x v="1201"/>
    <x v="1201"/>
    <x v="1201"/>
    <x v="1201"/>
    <x v="1095"/>
    <x v="1220"/>
    <x v="1220"/>
    <x v="1053"/>
    <x v="0"/>
    <x v="0"/>
    <x v="1151"/>
    <x v="1095"/>
    <x v="1095"/>
    <x v="1095"/>
    <x v="1095"/>
    <x v="3"/>
  </r>
  <r>
    <x v="310"/>
    <x v="237"/>
    <x v="0"/>
    <x v="0"/>
    <x v="0"/>
    <x v="0"/>
    <x v="1"/>
    <x v="5"/>
    <x v="0"/>
    <x v="0"/>
    <x v="3"/>
    <x v="0"/>
    <x v="203"/>
    <x v="1"/>
    <x v="0"/>
    <x v="0"/>
    <x v="0"/>
    <x v="310"/>
    <x v="1"/>
    <x v="6"/>
    <x v="6"/>
    <x v="0"/>
    <x v="0"/>
    <x v="3"/>
    <x v="43"/>
    <x v="0"/>
    <x v="17"/>
    <x v="1"/>
    <x v="3"/>
    <x v="27"/>
    <x v="1"/>
    <x v="6"/>
    <x v="3"/>
    <x v="1"/>
    <x v="1041"/>
    <x v="6"/>
    <x v="17"/>
    <x v="204"/>
    <x v="204"/>
    <x v="0"/>
    <x v="204"/>
    <x v="257"/>
    <x v="237"/>
    <x v="285"/>
    <x v="237"/>
    <x v="257"/>
    <x v="257"/>
    <x v="257"/>
    <x v="257"/>
    <x v="257"/>
    <x v="257"/>
    <x v="257"/>
    <x v="204"/>
    <x v="288"/>
    <x v="288"/>
    <x v="0"/>
    <x v="45"/>
    <x v="0"/>
    <x v="270"/>
    <x v="204"/>
    <x v="204"/>
    <x v="204"/>
    <x v="204"/>
    <x v="3"/>
  </r>
  <r>
    <x v="311"/>
    <x v="237"/>
    <x v="0"/>
    <x v="0"/>
    <x v="0"/>
    <x v="0"/>
    <x v="1"/>
    <x v="4"/>
    <x v="0"/>
    <x v="0"/>
    <x v="3"/>
    <x v="0"/>
    <x v="735"/>
    <x v="1"/>
    <x v="0"/>
    <x v="0"/>
    <x v="0"/>
    <x v="311"/>
    <x v="1"/>
    <x v="6"/>
    <x v="6"/>
    <x v="0"/>
    <x v="0"/>
    <x v="3"/>
    <x v="43"/>
    <x v="0"/>
    <x v="17"/>
    <x v="374"/>
    <x v="2"/>
    <x v="16"/>
    <x v="1"/>
    <x v="5"/>
    <x v="2"/>
    <x v="1"/>
    <x v="1233"/>
    <x v="5"/>
    <x v="17"/>
    <x v="735"/>
    <x v="735"/>
    <x v="1"/>
    <x v="735"/>
    <x v="843"/>
    <x v="813"/>
    <x v="890"/>
    <x v="813"/>
    <x v="843"/>
    <x v="843"/>
    <x v="843"/>
    <x v="843"/>
    <x v="843"/>
    <x v="843"/>
    <x v="843"/>
    <x v="735"/>
    <x v="889"/>
    <x v="889"/>
    <x v="713"/>
    <x v="0"/>
    <x v="0"/>
    <x v="799"/>
    <x v="735"/>
    <x v="735"/>
    <x v="735"/>
    <x v="735"/>
    <x v="3"/>
  </r>
  <r>
    <x v="312"/>
    <x v="258"/>
    <x v="0"/>
    <x v="0"/>
    <x v="0"/>
    <x v="0"/>
    <x v="0"/>
    <x v="2"/>
    <x v="0"/>
    <x v="0"/>
    <x v="3"/>
    <x v="0"/>
    <x v="1062"/>
    <x v="1"/>
    <x v="0"/>
    <x v="0"/>
    <x v="0"/>
    <x v="312"/>
    <x v="1"/>
    <x v="6"/>
    <x v="6"/>
    <x v="0"/>
    <x v="0"/>
    <x v="3"/>
    <x v="43"/>
    <x v="0"/>
    <x v="29"/>
    <x v="391"/>
    <x v="1"/>
    <x v="2"/>
    <x v="1"/>
    <x v="3"/>
    <x v="2"/>
    <x v="1"/>
    <x v="1217"/>
    <x v="3"/>
    <x v="29"/>
    <x v="1060"/>
    <x v="1060"/>
    <x v="1"/>
    <x v="1060"/>
    <x v="1146"/>
    <x v="1123"/>
    <x v="1158"/>
    <x v="1123"/>
    <x v="1146"/>
    <x v="1146"/>
    <x v="1146"/>
    <x v="1146"/>
    <x v="1146"/>
    <x v="1146"/>
    <x v="1146"/>
    <x v="1060"/>
    <x v="1154"/>
    <x v="1154"/>
    <x v="1000"/>
    <x v="0"/>
    <x v="0"/>
    <x v="1230"/>
    <x v="1060"/>
    <x v="1060"/>
    <x v="1060"/>
    <x v="1060"/>
    <x v="3"/>
  </r>
  <r>
    <x v="313"/>
    <x v="252"/>
    <x v="0"/>
    <x v="0"/>
    <x v="0"/>
    <x v="0"/>
    <x v="1"/>
    <x v="5"/>
    <x v="0"/>
    <x v="0"/>
    <x v="3"/>
    <x v="0"/>
    <x v="170"/>
    <x v="1"/>
    <x v="0"/>
    <x v="0"/>
    <x v="0"/>
    <x v="313"/>
    <x v="1"/>
    <x v="6"/>
    <x v="6"/>
    <x v="0"/>
    <x v="0"/>
    <x v="3"/>
    <x v="100"/>
    <x v="0"/>
    <x v="29"/>
    <x v="1"/>
    <x v="3"/>
    <x v="27"/>
    <x v="1"/>
    <x v="6"/>
    <x v="3"/>
    <x v="1"/>
    <x v="938"/>
    <x v="6"/>
    <x v="29"/>
    <x v="171"/>
    <x v="171"/>
    <x v="0"/>
    <x v="171"/>
    <x v="223"/>
    <x v="202"/>
    <x v="237"/>
    <x v="202"/>
    <x v="223"/>
    <x v="223"/>
    <x v="223"/>
    <x v="223"/>
    <x v="223"/>
    <x v="223"/>
    <x v="223"/>
    <x v="171"/>
    <x v="240"/>
    <x v="240"/>
    <x v="0"/>
    <x v="42"/>
    <x v="0"/>
    <x v="288"/>
    <x v="171"/>
    <x v="171"/>
    <x v="171"/>
    <x v="171"/>
    <x v="3"/>
  </r>
  <r>
    <x v="314"/>
    <x v="254"/>
    <x v="0"/>
    <x v="0"/>
    <x v="0"/>
    <x v="0"/>
    <x v="0"/>
    <x v="0"/>
    <x v="0"/>
    <x v="0"/>
    <x v="3"/>
    <x v="0"/>
    <x v="784"/>
    <x v="1"/>
    <x v="0"/>
    <x v="0"/>
    <x v="0"/>
    <x v="314"/>
    <x v="2"/>
    <x v="6"/>
    <x v="6"/>
    <x v="0"/>
    <x v="0"/>
    <x v="3"/>
    <x v="43"/>
    <x v="0"/>
    <x v="25"/>
    <x v="371"/>
    <x v="9"/>
    <x v="50"/>
    <x v="1"/>
    <x v="1"/>
    <x v="1"/>
    <x v="1"/>
    <x v="525"/>
    <x v="1"/>
    <x v="25"/>
    <x v="784"/>
    <x v="784"/>
    <x v="1"/>
    <x v="784"/>
    <x v="777"/>
    <x v="783"/>
    <x v="737"/>
    <x v="783"/>
    <x v="777"/>
    <x v="777"/>
    <x v="777"/>
    <x v="777"/>
    <x v="777"/>
    <x v="777"/>
    <x v="777"/>
    <x v="784"/>
    <x v="738"/>
    <x v="738"/>
    <x v="722"/>
    <x v="0"/>
    <x v="0"/>
    <x v="798"/>
    <x v="784"/>
    <x v="784"/>
    <x v="784"/>
    <x v="784"/>
    <x v="3"/>
  </r>
  <r>
    <x v="315"/>
    <x v="254"/>
    <x v="0"/>
    <x v="0"/>
    <x v="0"/>
    <x v="0"/>
    <x v="1"/>
    <x v="4"/>
    <x v="0"/>
    <x v="0"/>
    <x v="3"/>
    <x v="0"/>
    <x v="828"/>
    <x v="1"/>
    <x v="0"/>
    <x v="0"/>
    <x v="0"/>
    <x v="315"/>
    <x v="1"/>
    <x v="6"/>
    <x v="6"/>
    <x v="0"/>
    <x v="0"/>
    <x v="3"/>
    <x v="43"/>
    <x v="0"/>
    <x v="25"/>
    <x v="372"/>
    <x v="2"/>
    <x v="16"/>
    <x v="1"/>
    <x v="5"/>
    <x v="2"/>
    <x v="1"/>
    <x v="1264"/>
    <x v="5"/>
    <x v="25"/>
    <x v="828"/>
    <x v="828"/>
    <x v="1"/>
    <x v="828"/>
    <x v="927"/>
    <x v="899"/>
    <x v="973"/>
    <x v="899"/>
    <x v="927"/>
    <x v="927"/>
    <x v="927"/>
    <x v="927"/>
    <x v="927"/>
    <x v="927"/>
    <x v="927"/>
    <x v="828"/>
    <x v="972"/>
    <x v="972"/>
    <x v="796"/>
    <x v="0"/>
    <x v="0"/>
    <x v="1024"/>
    <x v="828"/>
    <x v="828"/>
    <x v="828"/>
    <x v="828"/>
    <x v="3"/>
  </r>
  <r>
    <x v="316"/>
    <x v="264"/>
    <x v="0"/>
    <x v="0"/>
    <x v="0"/>
    <x v="0"/>
    <x v="0"/>
    <x v="0"/>
    <x v="0"/>
    <x v="0"/>
    <x v="3"/>
    <x v="0"/>
    <x v="924"/>
    <x v="1"/>
    <x v="0"/>
    <x v="0"/>
    <x v="0"/>
    <x v="316"/>
    <x v="2"/>
    <x v="6"/>
    <x v="6"/>
    <x v="0"/>
    <x v="0"/>
    <x v="3"/>
    <x v="43"/>
    <x v="0"/>
    <x v="29"/>
    <x v="366"/>
    <x v="9"/>
    <x v="50"/>
    <x v="1"/>
    <x v="1"/>
    <x v="1"/>
    <x v="1"/>
    <x v="674"/>
    <x v="1"/>
    <x v="29"/>
    <x v="924"/>
    <x v="924"/>
    <x v="1"/>
    <x v="924"/>
    <x v="930"/>
    <x v="929"/>
    <x v="924"/>
    <x v="929"/>
    <x v="930"/>
    <x v="930"/>
    <x v="930"/>
    <x v="930"/>
    <x v="930"/>
    <x v="930"/>
    <x v="930"/>
    <x v="924"/>
    <x v="923"/>
    <x v="923"/>
    <x v="861"/>
    <x v="0"/>
    <x v="0"/>
    <x v="1016"/>
    <x v="924"/>
    <x v="924"/>
    <x v="924"/>
    <x v="924"/>
    <x v="3"/>
  </r>
  <r>
    <x v="317"/>
    <x v="264"/>
    <x v="0"/>
    <x v="0"/>
    <x v="0"/>
    <x v="0"/>
    <x v="0"/>
    <x v="0"/>
    <x v="0"/>
    <x v="0"/>
    <x v="3"/>
    <x v="0"/>
    <x v="883"/>
    <x v="1"/>
    <x v="0"/>
    <x v="0"/>
    <x v="0"/>
    <x v="317"/>
    <x v="2"/>
    <x v="6"/>
    <x v="6"/>
    <x v="0"/>
    <x v="0"/>
    <x v="3"/>
    <x v="43"/>
    <x v="0"/>
    <x v="29"/>
    <x v="365"/>
    <x v="9"/>
    <x v="50"/>
    <x v="1"/>
    <x v="1"/>
    <x v="1"/>
    <x v="1"/>
    <x v="629"/>
    <x v="1"/>
    <x v="29"/>
    <x v="883"/>
    <x v="883"/>
    <x v="1"/>
    <x v="883"/>
    <x v="895"/>
    <x v="888"/>
    <x v="880"/>
    <x v="888"/>
    <x v="895"/>
    <x v="895"/>
    <x v="895"/>
    <x v="895"/>
    <x v="895"/>
    <x v="895"/>
    <x v="895"/>
    <x v="883"/>
    <x v="878"/>
    <x v="878"/>
    <x v="819"/>
    <x v="0"/>
    <x v="0"/>
    <x v="976"/>
    <x v="883"/>
    <x v="883"/>
    <x v="883"/>
    <x v="883"/>
    <x v="3"/>
  </r>
  <r>
    <x v="318"/>
    <x v="284"/>
    <x v="0"/>
    <x v="0"/>
    <x v="0"/>
    <x v="0"/>
    <x v="1"/>
    <x v="4"/>
    <x v="0"/>
    <x v="0"/>
    <x v="3"/>
    <x v="0"/>
    <x v="889"/>
    <x v="1"/>
    <x v="0"/>
    <x v="0"/>
    <x v="0"/>
    <x v="318"/>
    <x v="1"/>
    <x v="6"/>
    <x v="6"/>
    <x v="0"/>
    <x v="0"/>
    <x v="3"/>
    <x v="35"/>
    <x v="0"/>
    <x v="29"/>
    <x v="373"/>
    <x v="2"/>
    <x v="16"/>
    <x v="1"/>
    <x v="5"/>
    <x v="2"/>
    <x v="1"/>
    <x v="1277"/>
    <x v="5"/>
    <x v="29"/>
    <x v="889"/>
    <x v="889"/>
    <x v="1"/>
    <x v="889"/>
    <x v="996"/>
    <x v="955"/>
    <x v="1041"/>
    <x v="955"/>
    <x v="996"/>
    <x v="996"/>
    <x v="996"/>
    <x v="996"/>
    <x v="996"/>
    <x v="996"/>
    <x v="996"/>
    <x v="889"/>
    <x v="1040"/>
    <x v="1040"/>
    <x v="855"/>
    <x v="0"/>
    <x v="0"/>
    <x v="1136"/>
    <x v="889"/>
    <x v="889"/>
    <x v="889"/>
    <x v="889"/>
    <x v="3"/>
  </r>
  <r>
    <x v="319"/>
    <x v="274"/>
    <x v="0"/>
    <x v="0"/>
    <x v="0"/>
    <x v="0"/>
    <x v="1"/>
    <x v="6"/>
    <x v="0"/>
    <x v="0"/>
    <x v="3"/>
    <x v="0"/>
    <x v="781"/>
    <x v="1"/>
    <x v="0"/>
    <x v="0"/>
    <x v="0"/>
    <x v="319"/>
    <x v="1"/>
    <x v="6"/>
    <x v="6"/>
    <x v="0"/>
    <x v="0"/>
    <x v="3"/>
    <x v="35"/>
    <x v="0"/>
    <x v="28"/>
    <x v="375"/>
    <x v="4"/>
    <x v="35"/>
    <x v="1"/>
    <x v="7"/>
    <x v="4"/>
    <x v="1"/>
    <x v="1354"/>
    <x v="7"/>
    <x v="28"/>
    <x v="781"/>
    <x v="781"/>
    <x v="1"/>
    <x v="781"/>
    <x v="963"/>
    <x v="907"/>
    <x v="1044"/>
    <x v="907"/>
    <x v="963"/>
    <x v="963"/>
    <x v="963"/>
    <x v="963"/>
    <x v="963"/>
    <x v="963"/>
    <x v="963"/>
    <x v="781"/>
    <x v="1053"/>
    <x v="1053"/>
    <x v="0"/>
    <x v="92"/>
    <x v="0"/>
    <x v="1138"/>
    <x v="781"/>
    <x v="781"/>
    <x v="781"/>
    <x v="781"/>
    <x v="3"/>
  </r>
  <r>
    <x v="320"/>
    <x v="285"/>
    <x v="0"/>
    <x v="0"/>
    <x v="0"/>
    <x v="0"/>
    <x v="1"/>
    <x v="6"/>
    <x v="0"/>
    <x v="0"/>
    <x v="3"/>
    <x v="0"/>
    <x v="123"/>
    <x v="1"/>
    <x v="0"/>
    <x v="0"/>
    <x v="0"/>
    <x v="320"/>
    <x v="1"/>
    <x v="6"/>
    <x v="6"/>
    <x v="0"/>
    <x v="0"/>
    <x v="3"/>
    <x v="35"/>
    <x v="0"/>
    <x v="27"/>
    <x v="364"/>
    <x v="4"/>
    <x v="35"/>
    <x v="1"/>
    <x v="7"/>
    <x v="4"/>
    <x v="1"/>
    <x v="791"/>
    <x v="7"/>
    <x v="27"/>
    <x v="124"/>
    <x v="124"/>
    <x v="0"/>
    <x v="124"/>
    <x v="165"/>
    <x v="156"/>
    <x v="177"/>
    <x v="156"/>
    <x v="165"/>
    <x v="165"/>
    <x v="165"/>
    <x v="165"/>
    <x v="165"/>
    <x v="165"/>
    <x v="165"/>
    <x v="124"/>
    <x v="177"/>
    <x v="177"/>
    <x v="0"/>
    <x v="34"/>
    <x v="0"/>
    <x v="205"/>
    <x v="124"/>
    <x v="124"/>
    <x v="124"/>
    <x v="124"/>
    <x v="3"/>
  </r>
  <r>
    <x v="321"/>
    <x v="288"/>
    <x v="0"/>
    <x v="0"/>
    <x v="0"/>
    <x v="0"/>
    <x v="1"/>
    <x v="6"/>
    <x v="0"/>
    <x v="0"/>
    <x v="3"/>
    <x v="0"/>
    <x v="35"/>
    <x v="1"/>
    <x v="0"/>
    <x v="0"/>
    <x v="0"/>
    <x v="321"/>
    <x v="1"/>
    <x v="6"/>
    <x v="6"/>
    <x v="0"/>
    <x v="0"/>
    <x v="3"/>
    <x v="35"/>
    <x v="0"/>
    <x v="27"/>
    <x v="368"/>
    <x v="4"/>
    <x v="35"/>
    <x v="1"/>
    <x v="7"/>
    <x v="4"/>
    <x v="1"/>
    <x v="248"/>
    <x v="7"/>
    <x v="27"/>
    <x v="36"/>
    <x v="36"/>
    <x v="0"/>
    <x v="36"/>
    <x v="43"/>
    <x v="41"/>
    <x v="52"/>
    <x v="41"/>
    <x v="43"/>
    <x v="43"/>
    <x v="43"/>
    <x v="43"/>
    <x v="43"/>
    <x v="43"/>
    <x v="43"/>
    <x v="36"/>
    <x v="55"/>
    <x v="55"/>
    <x v="0"/>
    <x v="8"/>
    <x v="0"/>
    <x v="77"/>
    <x v="36"/>
    <x v="36"/>
    <x v="36"/>
    <x v="36"/>
    <x v="3"/>
  </r>
  <r>
    <x v="322"/>
    <x v="288"/>
    <x v="0"/>
    <x v="0"/>
    <x v="0"/>
    <x v="0"/>
    <x v="1"/>
    <x v="6"/>
    <x v="0"/>
    <x v="0"/>
    <x v="3"/>
    <x v="0"/>
    <x v="50"/>
    <x v="1"/>
    <x v="0"/>
    <x v="0"/>
    <x v="0"/>
    <x v="322"/>
    <x v="1"/>
    <x v="6"/>
    <x v="6"/>
    <x v="0"/>
    <x v="0"/>
    <x v="3"/>
    <x v="35"/>
    <x v="0"/>
    <x v="27"/>
    <x v="369"/>
    <x v="4"/>
    <x v="35"/>
    <x v="1"/>
    <x v="7"/>
    <x v="4"/>
    <x v="1"/>
    <x v="368"/>
    <x v="7"/>
    <x v="27"/>
    <x v="51"/>
    <x v="51"/>
    <x v="0"/>
    <x v="51"/>
    <x v="74"/>
    <x v="66"/>
    <x v="83"/>
    <x v="66"/>
    <x v="74"/>
    <x v="74"/>
    <x v="74"/>
    <x v="74"/>
    <x v="74"/>
    <x v="74"/>
    <x v="74"/>
    <x v="51"/>
    <x v="86"/>
    <x v="86"/>
    <x v="0"/>
    <x v="15"/>
    <x v="0"/>
    <x v="112"/>
    <x v="51"/>
    <x v="51"/>
    <x v="51"/>
    <x v="51"/>
    <x v="3"/>
  </r>
  <r>
    <x v="323"/>
    <x v="300"/>
    <x v="0"/>
    <x v="0"/>
    <x v="0"/>
    <x v="0"/>
    <x v="0"/>
    <x v="0"/>
    <x v="0"/>
    <x v="0"/>
    <x v="3"/>
    <x v="0"/>
    <x v="451"/>
    <x v="1"/>
    <x v="0"/>
    <x v="0"/>
    <x v="0"/>
    <x v="323"/>
    <x v="2"/>
    <x v="6"/>
    <x v="6"/>
    <x v="0"/>
    <x v="0"/>
    <x v="3"/>
    <x v="43"/>
    <x v="0"/>
    <x v="29"/>
    <x v="367"/>
    <x v="9"/>
    <x v="50"/>
    <x v="1"/>
    <x v="1"/>
    <x v="1"/>
    <x v="1"/>
    <x v="310"/>
    <x v="1"/>
    <x v="29"/>
    <x v="451"/>
    <x v="451"/>
    <x v="0"/>
    <x v="451"/>
    <x v="436"/>
    <x v="438"/>
    <x v="421"/>
    <x v="438"/>
    <x v="436"/>
    <x v="436"/>
    <x v="436"/>
    <x v="436"/>
    <x v="436"/>
    <x v="436"/>
    <x v="436"/>
    <x v="451"/>
    <x v="420"/>
    <x v="420"/>
    <x v="401"/>
    <x v="0"/>
    <x v="0"/>
    <x v="582"/>
    <x v="451"/>
    <x v="451"/>
    <x v="451"/>
    <x v="451"/>
    <x v="3"/>
  </r>
  <r>
    <x v="324"/>
    <x v="290"/>
    <x v="0"/>
    <x v="0"/>
    <x v="0"/>
    <x v="0"/>
    <x v="1"/>
    <x v="6"/>
    <x v="0"/>
    <x v="0"/>
    <x v="3"/>
    <x v="0"/>
    <x v="11"/>
    <x v="1"/>
    <x v="0"/>
    <x v="0"/>
    <x v="0"/>
    <x v="324"/>
    <x v="1"/>
    <x v="6"/>
    <x v="6"/>
    <x v="0"/>
    <x v="0"/>
    <x v="3"/>
    <x v="128"/>
    <x v="0"/>
    <x v="27"/>
    <x v="376"/>
    <x v="4"/>
    <x v="35"/>
    <x v="1"/>
    <x v="7"/>
    <x v="4"/>
    <x v="1"/>
    <x v="127"/>
    <x v="7"/>
    <x v="27"/>
    <x v="12"/>
    <x v="12"/>
    <x v="0"/>
    <x v="12"/>
    <x v="17"/>
    <x v="16"/>
    <x v="19"/>
    <x v="16"/>
    <x v="17"/>
    <x v="17"/>
    <x v="17"/>
    <x v="17"/>
    <x v="17"/>
    <x v="17"/>
    <x v="17"/>
    <x v="12"/>
    <x v="20"/>
    <x v="20"/>
    <x v="0"/>
    <x v="1"/>
    <x v="0"/>
    <x v="32"/>
    <x v="12"/>
    <x v="12"/>
    <x v="12"/>
    <x v="12"/>
    <x v="3"/>
  </r>
  <r>
    <x v="325"/>
    <x v="302"/>
    <x v="0"/>
    <x v="0"/>
    <x v="0"/>
    <x v="0"/>
    <x v="1"/>
    <x v="4"/>
    <x v="0"/>
    <x v="0"/>
    <x v="3"/>
    <x v="0"/>
    <x v="866"/>
    <x v="1"/>
    <x v="0"/>
    <x v="0"/>
    <x v="0"/>
    <x v="325"/>
    <x v="1"/>
    <x v="6"/>
    <x v="6"/>
    <x v="0"/>
    <x v="0"/>
    <x v="3"/>
    <x v="43"/>
    <x v="0"/>
    <x v="29"/>
    <x v="379"/>
    <x v="2"/>
    <x v="16"/>
    <x v="1"/>
    <x v="5"/>
    <x v="2"/>
    <x v="1"/>
    <x v="1271"/>
    <x v="5"/>
    <x v="29"/>
    <x v="866"/>
    <x v="866"/>
    <x v="1"/>
    <x v="866"/>
    <x v="973"/>
    <x v="938"/>
    <x v="1019"/>
    <x v="938"/>
    <x v="973"/>
    <x v="973"/>
    <x v="973"/>
    <x v="973"/>
    <x v="973"/>
    <x v="973"/>
    <x v="973"/>
    <x v="866"/>
    <x v="1019"/>
    <x v="1019"/>
    <x v="837"/>
    <x v="0"/>
    <x v="0"/>
    <x v="1114"/>
    <x v="866"/>
    <x v="866"/>
    <x v="866"/>
    <x v="866"/>
    <x v="3"/>
  </r>
  <r>
    <x v="326"/>
    <x v="291"/>
    <x v="0"/>
    <x v="0"/>
    <x v="0"/>
    <x v="0"/>
    <x v="1"/>
    <x v="6"/>
    <x v="0"/>
    <x v="0"/>
    <x v="3"/>
    <x v="0"/>
    <x v="84"/>
    <x v="1"/>
    <x v="0"/>
    <x v="0"/>
    <x v="0"/>
    <x v="326"/>
    <x v="1"/>
    <x v="6"/>
    <x v="6"/>
    <x v="0"/>
    <x v="0"/>
    <x v="3"/>
    <x v="128"/>
    <x v="0"/>
    <x v="27"/>
    <x v="363"/>
    <x v="4"/>
    <x v="35"/>
    <x v="1"/>
    <x v="7"/>
    <x v="4"/>
    <x v="1"/>
    <x v="575"/>
    <x v="7"/>
    <x v="27"/>
    <x v="85"/>
    <x v="85"/>
    <x v="0"/>
    <x v="85"/>
    <x v="122"/>
    <x v="111"/>
    <x v="134"/>
    <x v="111"/>
    <x v="122"/>
    <x v="122"/>
    <x v="122"/>
    <x v="122"/>
    <x v="122"/>
    <x v="122"/>
    <x v="122"/>
    <x v="85"/>
    <x v="137"/>
    <x v="137"/>
    <x v="0"/>
    <x v="25"/>
    <x v="0"/>
    <x v="154"/>
    <x v="85"/>
    <x v="85"/>
    <x v="85"/>
    <x v="85"/>
    <x v="3"/>
  </r>
  <r>
    <x v="327"/>
    <x v="294"/>
    <x v="0"/>
    <x v="0"/>
    <x v="0"/>
    <x v="0"/>
    <x v="1"/>
    <x v="6"/>
    <x v="0"/>
    <x v="0"/>
    <x v="3"/>
    <x v="0"/>
    <x v="38"/>
    <x v="1"/>
    <x v="0"/>
    <x v="0"/>
    <x v="0"/>
    <x v="327"/>
    <x v="1"/>
    <x v="6"/>
    <x v="6"/>
    <x v="0"/>
    <x v="0"/>
    <x v="3"/>
    <x v="128"/>
    <x v="0"/>
    <x v="27"/>
    <x v="370"/>
    <x v="4"/>
    <x v="35"/>
    <x v="1"/>
    <x v="7"/>
    <x v="4"/>
    <x v="1"/>
    <x v="300"/>
    <x v="7"/>
    <x v="27"/>
    <x v="39"/>
    <x v="39"/>
    <x v="0"/>
    <x v="39"/>
    <x v="59"/>
    <x v="49"/>
    <x v="69"/>
    <x v="49"/>
    <x v="59"/>
    <x v="59"/>
    <x v="59"/>
    <x v="59"/>
    <x v="59"/>
    <x v="59"/>
    <x v="59"/>
    <x v="39"/>
    <x v="71"/>
    <x v="71"/>
    <x v="0"/>
    <x v="9"/>
    <x v="0"/>
    <x v="97"/>
    <x v="39"/>
    <x v="39"/>
    <x v="39"/>
    <x v="39"/>
    <x v="3"/>
  </r>
  <r>
    <x v="328"/>
    <x v="290"/>
    <x v="0"/>
    <x v="0"/>
    <x v="0"/>
    <x v="0"/>
    <x v="1"/>
    <x v="4"/>
    <x v="0"/>
    <x v="0"/>
    <x v="3"/>
    <x v="0"/>
    <x v="300"/>
    <x v="1"/>
    <x v="0"/>
    <x v="0"/>
    <x v="0"/>
    <x v="328"/>
    <x v="1"/>
    <x v="6"/>
    <x v="6"/>
    <x v="0"/>
    <x v="0"/>
    <x v="3"/>
    <x v="128"/>
    <x v="0"/>
    <x v="27"/>
    <x v="377"/>
    <x v="2"/>
    <x v="16"/>
    <x v="1"/>
    <x v="5"/>
    <x v="2"/>
    <x v="1"/>
    <x v="987"/>
    <x v="5"/>
    <x v="27"/>
    <x v="300"/>
    <x v="300"/>
    <x v="0"/>
    <x v="300"/>
    <x v="350"/>
    <x v="336"/>
    <x v="372"/>
    <x v="336"/>
    <x v="350"/>
    <x v="350"/>
    <x v="350"/>
    <x v="350"/>
    <x v="350"/>
    <x v="350"/>
    <x v="350"/>
    <x v="300"/>
    <x v="371"/>
    <x v="371"/>
    <x v="278"/>
    <x v="0"/>
    <x v="0"/>
    <x v="489"/>
    <x v="300"/>
    <x v="300"/>
    <x v="300"/>
    <x v="300"/>
    <x v="3"/>
  </r>
  <r>
    <x v="329"/>
    <x v="296"/>
    <x v="0"/>
    <x v="0"/>
    <x v="0"/>
    <x v="0"/>
    <x v="1"/>
    <x v="4"/>
    <x v="0"/>
    <x v="0"/>
    <x v="3"/>
    <x v="0"/>
    <x v="1089"/>
    <x v="1"/>
    <x v="0"/>
    <x v="0"/>
    <x v="0"/>
    <x v="329"/>
    <x v="1"/>
    <x v="6"/>
    <x v="6"/>
    <x v="0"/>
    <x v="0"/>
    <x v="3"/>
    <x v="35"/>
    <x v="0"/>
    <x v="27"/>
    <x v="519"/>
    <x v="2"/>
    <x v="16"/>
    <x v="1"/>
    <x v="5"/>
    <x v="2"/>
    <x v="1"/>
    <x v="1332"/>
    <x v="5"/>
    <x v="27"/>
    <x v="1087"/>
    <x v="1087"/>
    <x v="1"/>
    <x v="1087"/>
    <x v="1195"/>
    <x v="1157"/>
    <x v="1218"/>
    <x v="1157"/>
    <x v="1195"/>
    <x v="1195"/>
    <x v="1195"/>
    <x v="1195"/>
    <x v="1195"/>
    <x v="1195"/>
    <x v="1195"/>
    <x v="1087"/>
    <x v="1215"/>
    <x v="1215"/>
    <x v="1046"/>
    <x v="0"/>
    <x v="0"/>
    <x v="1272"/>
    <x v="1087"/>
    <x v="1087"/>
    <x v="1087"/>
    <x v="1087"/>
    <x v="3"/>
  </r>
  <r>
    <x v="330"/>
    <x v="302"/>
    <x v="0"/>
    <x v="0"/>
    <x v="0"/>
    <x v="0"/>
    <x v="1"/>
    <x v="4"/>
    <x v="0"/>
    <x v="0"/>
    <x v="3"/>
    <x v="0"/>
    <x v="8"/>
    <x v="1"/>
    <x v="0"/>
    <x v="0"/>
    <x v="0"/>
    <x v="330"/>
    <x v="1"/>
    <x v="6"/>
    <x v="6"/>
    <x v="0"/>
    <x v="0"/>
    <x v="3"/>
    <x v="43"/>
    <x v="0"/>
    <x v="29"/>
    <x v="378"/>
    <x v="2"/>
    <x v="16"/>
    <x v="1"/>
    <x v="5"/>
    <x v="2"/>
    <x v="1"/>
    <x v="54"/>
    <x v="5"/>
    <x v="29"/>
    <x v="9"/>
    <x v="9"/>
    <x v="0"/>
    <x v="9"/>
    <x v="10"/>
    <x v="10"/>
    <x v="13"/>
    <x v="10"/>
    <x v="10"/>
    <x v="10"/>
    <x v="10"/>
    <x v="10"/>
    <x v="10"/>
    <x v="10"/>
    <x v="10"/>
    <x v="9"/>
    <x v="13"/>
    <x v="13"/>
    <x v="10"/>
    <x v="0"/>
    <x v="0"/>
    <x v="19"/>
    <x v="9"/>
    <x v="9"/>
    <x v="9"/>
    <x v="9"/>
    <x v="3"/>
  </r>
  <r>
    <x v="331"/>
    <x v="230"/>
    <x v="0"/>
    <x v="0"/>
    <x v="0"/>
    <x v="0"/>
    <x v="1"/>
    <x v="4"/>
    <x v="0"/>
    <x v="0"/>
    <x v="3"/>
    <x v="0"/>
    <x v="96"/>
    <x v="1"/>
    <x v="0"/>
    <x v="0"/>
    <x v="0"/>
    <x v="331"/>
    <x v="1"/>
    <x v="7"/>
    <x v="7"/>
    <x v="0"/>
    <x v="0"/>
    <x v="3"/>
    <x v="29"/>
    <x v="0"/>
    <x v="20"/>
    <x v="382"/>
    <x v="2"/>
    <x v="16"/>
    <x v="1"/>
    <x v="5"/>
    <x v="2"/>
    <x v="1"/>
    <x v="257"/>
    <x v="5"/>
    <x v="20"/>
    <x v="97"/>
    <x v="97"/>
    <x v="0"/>
    <x v="97"/>
    <x v="120"/>
    <x v="115"/>
    <x v="121"/>
    <x v="115"/>
    <x v="120"/>
    <x v="120"/>
    <x v="120"/>
    <x v="120"/>
    <x v="120"/>
    <x v="120"/>
    <x v="120"/>
    <x v="97"/>
    <x v="121"/>
    <x v="121"/>
    <x v="89"/>
    <x v="0"/>
    <x v="0"/>
    <x v="122"/>
    <x v="97"/>
    <x v="97"/>
    <x v="97"/>
    <x v="97"/>
    <x v="3"/>
  </r>
  <r>
    <x v="332"/>
    <x v="229"/>
    <x v="0"/>
    <x v="0"/>
    <x v="0"/>
    <x v="0"/>
    <x v="1"/>
    <x v="4"/>
    <x v="0"/>
    <x v="0"/>
    <x v="3"/>
    <x v="0"/>
    <x v="74"/>
    <x v="1"/>
    <x v="0"/>
    <x v="0"/>
    <x v="0"/>
    <x v="332"/>
    <x v="1"/>
    <x v="7"/>
    <x v="7"/>
    <x v="0"/>
    <x v="0"/>
    <x v="3"/>
    <x v="12"/>
    <x v="0"/>
    <x v="15"/>
    <x v="393"/>
    <x v="2"/>
    <x v="16"/>
    <x v="1"/>
    <x v="5"/>
    <x v="2"/>
    <x v="1"/>
    <x v="200"/>
    <x v="5"/>
    <x v="15"/>
    <x v="75"/>
    <x v="75"/>
    <x v="0"/>
    <x v="75"/>
    <x v="85"/>
    <x v="85"/>
    <x v="91"/>
    <x v="85"/>
    <x v="85"/>
    <x v="85"/>
    <x v="85"/>
    <x v="85"/>
    <x v="85"/>
    <x v="85"/>
    <x v="85"/>
    <x v="75"/>
    <x v="91"/>
    <x v="91"/>
    <x v="66"/>
    <x v="0"/>
    <x v="0"/>
    <x v="76"/>
    <x v="75"/>
    <x v="75"/>
    <x v="75"/>
    <x v="75"/>
    <x v="3"/>
  </r>
  <r>
    <x v="333"/>
    <x v="227"/>
    <x v="0"/>
    <x v="0"/>
    <x v="0"/>
    <x v="0"/>
    <x v="0"/>
    <x v="2"/>
    <x v="0"/>
    <x v="0"/>
    <x v="3"/>
    <x v="0"/>
    <x v="603"/>
    <x v="1"/>
    <x v="0"/>
    <x v="0"/>
    <x v="0"/>
    <x v="333"/>
    <x v="1"/>
    <x v="7"/>
    <x v="7"/>
    <x v="0"/>
    <x v="0"/>
    <x v="3"/>
    <x v="40"/>
    <x v="0"/>
    <x v="23"/>
    <x v="326"/>
    <x v="1"/>
    <x v="2"/>
    <x v="1"/>
    <x v="3"/>
    <x v="2"/>
    <x v="1"/>
    <x v="935"/>
    <x v="3"/>
    <x v="23"/>
    <x v="603"/>
    <x v="603"/>
    <x v="0"/>
    <x v="603"/>
    <x v="700"/>
    <x v="693"/>
    <x v="722"/>
    <x v="693"/>
    <x v="700"/>
    <x v="700"/>
    <x v="700"/>
    <x v="700"/>
    <x v="700"/>
    <x v="700"/>
    <x v="700"/>
    <x v="603"/>
    <x v="720"/>
    <x v="720"/>
    <x v="576"/>
    <x v="0"/>
    <x v="0"/>
    <x v="749"/>
    <x v="603"/>
    <x v="603"/>
    <x v="603"/>
    <x v="603"/>
    <x v="3"/>
  </r>
  <r>
    <x v="334"/>
    <x v="235"/>
    <x v="0"/>
    <x v="0"/>
    <x v="0"/>
    <x v="0"/>
    <x v="0"/>
    <x v="2"/>
    <x v="0"/>
    <x v="0"/>
    <x v="3"/>
    <x v="0"/>
    <x v="1331"/>
    <x v="1"/>
    <x v="0"/>
    <x v="0"/>
    <x v="0"/>
    <x v="334"/>
    <x v="1"/>
    <x v="7"/>
    <x v="7"/>
    <x v="0"/>
    <x v="0"/>
    <x v="3"/>
    <x v="40"/>
    <x v="0"/>
    <x v="23"/>
    <x v="397"/>
    <x v="1"/>
    <x v="2"/>
    <x v="1"/>
    <x v="3"/>
    <x v="2"/>
    <x v="1"/>
    <x v="1347"/>
    <x v="3"/>
    <x v="23"/>
    <x v="1329"/>
    <x v="1329"/>
    <x v="3"/>
    <x v="1329"/>
    <x v="1380"/>
    <x v="1364"/>
    <x v="1378"/>
    <x v="1364"/>
    <x v="1380"/>
    <x v="1380"/>
    <x v="1380"/>
    <x v="1380"/>
    <x v="1380"/>
    <x v="1380"/>
    <x v="1380"/>
    <x v="1329"/>
    <x v="1377"/>
    <x v="1377"/>
    <x v="1254"/>
    <x v="0"/>
    <x v="0"/>
    <x v="1391"/>
    <x v="1329"/>
    <x v="1329"/>
    <x v="1329"/>
    <x v="1329"/>
    <x v="3"/>
  </r>
  <r>
    <x v="335"/>
    <x v="231"/>
    <x v="0"/>
    <x v="0"/>
    <x v="0"/>
    <x v="0"/>
    <x v="0"/>
    <x v="0"/>
    <x v="0"/>
    <x v="0"/>
    <x v="3"/>
    <x v="0"/>
    <x v="1274"/>
    <x v="1"/>
    <x v="0"/>
    <x v="0"/>
    <x v="0"/>
    <x v="335"/>
    <x v="2"/>
    <x v="7"/>
    <x v="7"/>
    <x v="0"/>
    <x v="0"/>
    <x v="3"/>
    <x v="40"/>
    <x v="0"/>
    <x v="18"/>
    <x v="404"/>
    <x v="9"/>
    <x v="50"/>
    <x v="1"/>
    <x v="1"/>
    <x v="1"/>
    <x v="1"/>
    <x v="1071"/>
    <x v="1"/>
    <x v="18"/>
    <x v="1272"/>
    <x v="1272"/>
    <x v="2"/>
    <x v="1272"/>
    <x v="1293"/>
    <x v="1284"/>
    <x v="1286"/>
    <x v="1284"/>
    <x v="1293"/>
    <x v="1293"/>
    <x v="1293"/>
    <x v="1293"/>
    <x v="1293"/>
    <x v="1293"/>
    <x v="1293"/>
    <x v="1272"/>
    <x v="1286"/>
    <x v="1286"/>
    <x v="1194"/>
    <x v="0"/>
    <x v="0"/>
    <x v="1257"/>
    <x v="1272"/>
    <x v="1272"/>
    <x v="1272"/>
    <x v="1272"/>
    <x v="3"/>
  </r>
  <r>
    <x v="336"/>
    <x v="235"/>
    <x v="0"/>
    <x v="0"/>
    <x v="0"/>
    <x v="0"/>
    <x v="1"/>
    <x v="4"/>
    <x v="0"/>
    <x v="0"/>
    <x v="3"/>
    <x v="0"/>
    <x v="1333"/>
    <x v="1"/>
    <x v="0"/>
    <x v="0"/>
    <x v="0"/>
    <x v="336"/>
    <x v="1"/>
    <x v="7"/>
    <x v="7"/>
    <x v="0"/>
    <x v="0"/>
    <x v="3"/>
    <x v="40"/>
    <x v="0"/>
    <x v="23"/>
    <x v="398"/>
    <x v="2"/>
    <x v="16"/>
    <x v="1"/>
    <x v="5"/>
    <x v="2"/>
    <x v="1"/>
    <x v="1380"/>
    <x v="5"/>
    <x v="23"/>
    <x v="1331"/>
    <x v="1331"/>
    <x v="3"/>
    <x v="1331"/>
    <x v="1386"/>
    <x v="1366"/>
    <x v="1387"/>
    <x v="1366"/>
    <x v="1386"/>
    <x v="1386"/>
    <x v="1386"/>
    <x v="1386"/>
    <x v="1386"/>
    <x v="1386"/>
    <x v="1386"/>
    <x v="1331"/>
    <x v="1385"/>
    <x v="1385"/>
    <x v="1257"/>
    <x v="0"/>
    <x v="0"/>
    <x v="1399"/>
    <x v="1331"/>
    <x v="1331"/>
    <x v="1331"/>
    <x v="1331"/>
    <x v="3"/>
  </r>
  <r>
    <x v="337"/>
    <x v="236"/>
    <x v="0"/>
    <x v="0"/>
    <x v="0"/>
    <x v="0"/>
    <x v="1"/>
    <x v="4"/>
    <x v="0"/>
    <x v="0"/>
    <x v="3"/>
    <x v="0"/>
    <x v="41"/>
    <x v="1"/>
    <x v="0"/>
    <x v="0"/>
    <x v="0"/>
    <x v="337"/>
    <x v="1"/>
    <x v="7"/>
    <x v="7"/>
    <x v="0"/>
    <x v="0"/>
    <x v="3"/>
    <x v="40"/>
    <x v="0"/>
    <x v="23"/>
    <x v="420"/>
    <x v="2"/>
    <x v="16"/>
    <x v="1"/>
    <x v="5"/>
    <x v="2"/>
    <x v="1"/>
    <x v="129"/>
    <x v="5"/>
    <x v="23"/>
    <x v="42"/>
    <x v="42"/>
    <x v="0"/>
    <x v="42"/>
    <x v="45"/>
    <x v="45"/>
    <x v="46"/>
    <x v="45"/>
    <x v="45"/>
    <x v="45"/>
    <x v="45"/>
    <x v="45"/>
    <x v="45"/>
    <x v="45"/>
    <x v="45"/>
    <x v="42"/>
    <x v="46"/>
    <x v="46"/>
    <x v="36"/>
    <x v="0"/>
    <x v="0"/>
    <x v="57"/>
    <x v="42"/>
    <x v="42"/>
    <x v="42"/>
    <x v="42"/>
    <x v="3"/>
  </r>
  <r>
    <x v="338"/>
    <x v="249"/>
    <x v="0"/>
    <x v="0"/>
    <x v="0"/>
    <x v="0"/>
    <x v="0"/>
    <x v="0"/>
    <x v="0"/>
    <x v="0"/>
    <x v="3"/>
    <x v="0"/>
    <x v="835"/>
    <x v="1"/>
    <x v="0"/>
    <x v="0"/>
    <x v="0"/>
    <x v="338"/>
    <x v="2"/>
    <x v="7"/>
    <x v="7"/>
    <x v="0"/>
    <x v="0"/>
    <x v="3"/>
    <x v="43"/>
    <x v="0"/>
    <x v="17"/>
    <x v="394"/>
    <x v="9"/>
    <x v="50"/>
    <x v="1"/>
    <x v="1"/>
    <x v="1"/>
    <x v="1"/>
    <x v="578"/>
    <x v="1"/>
    <x v="17"/>
    <x v="835"/>
    <x v="835"/>
    <x v="1"/>
    <x v="835"/>
    <x v="845"/>
    <x v="843"/>
    <x v="815"/>
    <x v="843"/>
    <x v="845"/>
    <x v="845"/>
    <x v="845"/>
    <x v="845"/>
    <x v="845"/>
    <x v="845"/>
    <x v="845"/>
    <x v="835"/>
    <x v="812"/>
    <x v="812"/>
    <x v="774"/>
    <x v="0"/>
    <x v="0"/>
    <x v="721"/>
    <x v="835"/>
    <x v="835"/>
    <x v="835"/>
    <x v="835"/>
    <x v="3"/>
  </r>
  <r>
    <x v="339"/>
    <x v="232"/>
    <x v="0"/>
    <x v="0"/>
    <x v="0"/>
    <x v="0"/>
    <x v="1"/>
    <x v="4"/>
    <x v="0"/>
    <x v="0"/>
    <x v="3"/>
    <x v="0"/>
    <x v="763"/>
    <x v="1"/>
    <x v="0"/>
    <x v="0"/>
    <x v="0"/>
    <x v="339"/>
    <x v="1"/>
    <x v="7"/>
    <x v="7"/>
    <x v="0"/>
    <x v="0"/>
    <x v="3"/>
    <x v="12"/>
    <x v="0"/>
    <x v="15"/>
    <x v="416"/>
    <x v="2"/>
    <x v="16"/>
    <x v="1"/>
    <x v="5"/>
    <x v="2"/>
    <x v="1"/>
    <x v="1247"/>
    <x v="5"/>
    <x v="15"/>
    <x v="763"/>
    <x v="763"/>
    <x v="1"/>
    <x v="763"/>
    <x v="875"/>
    <x v="835"/>
    <x v="913"/>
    <x v="835"/>
    <x v="875"/>
    <x v="875"/>
    <x v="875"/>
    <x v="875"/>
    <x v="875"/>
    <x v="875"/>
    <x v="875"/>
    <x v="763"/>
    <x v="914"/>
    <x v="914"/>
    <x v="746"/>
    <x v="0"/>
    <x v="0"/>
    <x v="785"/>
    <x v="763"/>
    <x v="763"/>
    <x v="763"/>
    <x v="763"/>
    <x v="3"/>
  </r>
  <r>
    <x v="340"/>
    <x v="246"/>
    <x v="0"/>
    <x v="0"/>
    <x v="0"/>
    <x v="0"/>
    <x v="0"/>
    <x v="2"/>
    <x v="0"/>
    <x v="0"/>
    <x v="3"/>
    <x v="0"/>
    <x v="989"/>
    <x v="1"/>
    <x v="0"/>
    <x v="0"/>
    <x v="0"/>
    <x v="340"/>
    <x v="1"/>
    <x v="7"/>
    <x v="7"/>
    <x v="0"/>
    <x v="0"/>
    <x v="3"/>
    <x v="89"/>
    <x v="0"/>
    <x v="21"/>
    <x v="402"/>
    <x v="1"/>
    <x v="2"/>
    <x v="1"/>
    <x v="3"/>
    <x v="2"/>
    <x v="1"/>
    <x v="1172"/>
    <x v="3"/>
    <x v="21"/>
    <x v="989"/>
    <x v="989"/>
    <x v="1"/>
    <x v="989"/>
    <x v="1083"/>
    <x v="1064"/>
    <x v="1097"/>
    <x v="1064"/>
    <x v="1083"/>
    <x v="1083"/>
    <x v="1083"/>
    <x v="1083"/>
    <x v="1083"/>
    <x v="1083"/>
    <x v="1083"/>
    <x v="989"/>
    <x v="1092"/>
    <x v="1092"/>
    <x v="934"/>
    <x v="0"/>
    <x v="0"/>
    <x v="1090"/>
    <x v="989"/>
    <x v="989"/>
    <x v="989"/>
    <x v="989"/>
    <x v="3"/>
  </r>
  <r>
    <x v="341"/>
    <x v="250"/>
    <x v="0"/>
    <x v="0"/>
    <x v="0"/>
    <x v="0"/>
    <x v="1"/>
    <x v="4"/>
    <x v="0"/>
    <x v="0"/>
    <x v="3"/>
    <x v="0"/>
    <x v="443"/>
    <x v="1"/>
    <x v="0"/>
    <x v="0"/>
    <x v="0"/>
    <x v="341"/>
    <x v="1"/>
    <x v="7"/>
    <x v="7"/>
    <x v="0"/>
    <x v="0"/>
    <x v="3"/>
    <x v="33"/>
    <x v="0"/>
    <x v="22"/>
    <x v="390"/>
    <x v="2"/>
    <x v="16"/>
    <x v="1"/>
    <x v="5"/>
    <x v="2"/>
    <x v="1"/>
    <x v="1129"/>
    <x v="5"/>
    <x v="22"/>
    <x v="443"/>
    <x v="443"/>
    <x v="0"/>
    <x v="443"/>
    <x v="559"/>
    <x v="512"/>
    <x v="629"/>
    <x v="512"/>
    <x v="559"/>
    <x v="559"/>
    <x v="559"/>
    <x v="559"/>
    <x v="559"/>
    <x v="559"/>
    <x v="559"/>
    <x v="443"/>
    <x v="632"/>
    <x v="632"/>
    <x v="423"/>
    <x v="0"/>
    <x v="0"/>
    <x v="661"/>
    <x v="443"/>
    <x v="443"/>
    <x v="443"/>
    <x v="443"/>
    <x v="3"/>
  </r>
  <r>
    <x v="342"/>
    <x v="248"/>
    <x v="0"/>
    <x v="0"/>
    <x v="0"/>
    <x v="0"/>
    <x v="0"/>
    <x v="0"/>
    <x v="0"/>
    <x v="0"/>
    <x v="3"/>
    <x v="0"/>
    <x v="1046"/>
    <x v="1"/>
    <x v="0"/>
    <x v="0"/>
    <x v="0"/>
    <x v="342"/>
    <x v="2"/>
    <x v="7"/>
    <x v="7"/>
    <x v="0"/>
    <x v="0"/>
    <x v="3"/>
    <x v="29"/>
    <x v="0"/>
    <x v="22"/>
    <x v="385"/>
    <x v="9"/>
    <x v="50"/>
    <x v="1"/>
    <x v="1"/>
    <x v="1"/>
    <x v="1"/>
    <x v="809"/>
    <x v="1"/>
    <x v="22"/>
    <x v="1045"/>
    <x v="1045"/>
    <x v="1"/>
    <x v="1045"/>
    <x v="1053"/>
    <x v="1049"/>
    <x v="1038"/>
    <x v="1049"/>
    <x v="1053"/>
    <x v="1053"/>
    <x v="1053"/>
    <x v="1053"/>
    <x v="1053"/>
    <x v="1053"/>
    <x v="1053"/>
    <x v="1045"/>
    <x v="1037"/>
    <x v="1037"/>
    <x v="972"/>
    <x v="0"/>
    <x v="0"/>
    <x v="1042"/>
    <x v="1045"/>
    <x v="1045"/>
    <x v="1045"/>
    <x v="1045"/>
    <x v="3"/>
  </r>
  <r>
    <x v="343"/>
    <x v="245"/>
    <x v="0"/>
    <x v="0"/>
    <x v="0"/>
    <x v="0"/>
    <x v="1"/>
    <x v="4"/>
    <x v="0"/>
    <x v="0"/>
    <x v="3"/>
    <x v="0"/>
    <x v="131"/>
    <x v="1"/>
    <x v="0"/>
    <x v="0"/>
    <x v="0"/>
    <x v="343"/>
    <x v="1"/>
    <x v="7"/>
    <x v="7"/>
    <x v="0"/>
    <x v="0"/>
    <x v="3"/>
    <x v="12"/>
    <x v="0"/>
    <x v="21"/>
    <x v="418"/>
    <x v="2"/>
    <x v="16"/>
    <x v="1"/>
    <x v="5"/>
    <x v="2"/>
    <x v="1"/>
    <x v="383"/>
    <x v="5"/>
    <x v="21"/>
    <x v="132"/>
    <x v="132"/>
    <x v="0"/>
    <x v="132"/>
    <x v="156"/>
    <x v="152"/>
    <x v="159"/>
    <x v="152"/>
    <x v="156"/>
    <x v="156"/>
    <x v="156"/>
    <x v="156"/>
    <x v="156"/>
    <x v="156"/>
    <x v="156"/>
    <x v="132"/>
    <x v="158"/>
    <x v="158"/>
    <x v="116"/>
    <x v="0"/>
    <x v="0"/>
    <x v="163"/>
    <x v="132"/>
    <x v="132"/>
    <x v="132"/>
    <x v="132"/>
    <x v="3"/>
  </r>
  <r>
    <x v="344"/>
    <x v="250"/>
    <x v="0"/>
    <x v="0"/>
    <x v="0"/>
    <x v="0"/>
    <x v="0"/>
    <x v="0"/>
    <x v="0"/>
    <x v="0"/>
    <x v="3"/>
    <x v="0"/>
    <x v="387"/>
    <x v="1"/>
    <x v="0"/>
    <x v="0"/>
    <x v="0"/>
    <x v="344"/>
    <x v="2"/>
    <x v="7"/>
    <x v="7"/>
    <x v="0"/>
    <x v="0"/>
    <x v="3"/>
    <x v="33"/>
    <x v="0"/>
    <x v="22"/>
    <x v="389"/>
    <x v="9"/>
    <x v="50"/>
    <x v="1"/>
    <x v="1"/>
    <x v="1"/>
    <x v="1"/>
    <x v="267"/>
    <x v="1"/>
    <x v="22"/>
    <x v="387"/>
    <x v="387"/>
    <x v="0"/>
    <x v="387"/>
    <x v="385"/>
    <x v="386"/>
    <x v="361"/>
    <x v="386"/>
    <x v="385"/>
    <x v="385"/>
    <x v="385"/>
    <x v="385"/>
    <x v="385"/>
    <x v="385"/>
    <x v="385"/>
    <x v="387"/>
    <x v="361"/>
    <x v="361"/>
    <x v="346"/>
    <x v="0"/>
    <x v="0"/>
    <x v="420"/>
    <x v="387"/>
    <x v="387"/>
    <x v="387"/>
    <x v="387"/>
    <x v="3"/>
  </r>
  <r>
    <x v="345"/>
    <x v="249"/>
    <x v="0"/>
    <x v="0"/>
    <x v="0"/>
    <x v="0"/>
    <x v="0"/>
    <x v="0"/>
    <x v="0"/>
    <x v="0"/>
    <x v="3"/>
    <x v="0"/>
    <x v="848"/>
    <x v="1"/>
    <x v="0"/>
    <x v="0"/>
    <x v="0"/>
    <x v="345"/>
    <x v="2"/>
    <x v="7"/>
    <x v="7"/>
    <x v="0"/>
    <x v="0"/>
    <x v="3"/>
    <x v="43"/>
    <x v="0"/>
    <x v="17"/>
    <x v="396"/>
    <x v="9"/>
    <x v="50"/>
    <x v="1"/>
    <x v="1"/>
    <x v="1"/>
    <x v="1"/>
    <x v="593"/>
    <x v="1"/>
    <x v="17"/>
    <x v="848"/>
    <x v="848"/>
    <x v="1"/>
    <x v="848"/>
    <x v="859"/>
    <x v="859"/>
    <x v="832"/>
    <x v="859"/>
    <x v="859"/>
    <x v="859"/>
    <x v="859"/>
    <x v="859"/>
    <x v="859"/>
    <x v="859"/>
    <x v="859"/>
    <x v="848"/>
    <x v="831"/>
    <x v="831"/>
    <x v="788"/>
    <x v="0"/>
    <x v="0"/>
    <x v="738"/>
    <x v="848"/>
    <x v="848"/>
    <x v="848"/>
    <x v="848"/>
    <x v="3"/>
  </r>
  <r>
    <x v="346"/>
    <x v="251"/>
    <x v="0"/>
    <x v="0"/>
    <x v="0"/>
    <x v="0"/>
    <x v="1"/>
    <x v="4"/>
    <x v="0"/>
    <x v="0"/>
    <x v="3"/>
    <x v="0"/>
    <x v="304"/>
    <x v="1"/>
    <x v="0"/>
    <x v="0"/>
    <x v="0"/>
    <x v="346"/>
    <x v="1"/>
    <x v="7"/>
    <x v="7"/>
    <x v="0"/>
    <x v="0"/>
    <x v="3"/>
    <x v="46"/>
    <x v="0"/>
    <x v="23"/>
    <x v="408"/>
    <x v="2"/>
    <x v="16"/>
    <x v="1"/>
    <x v="5"/>
    <x v="2"/>
    <x v="1"/>
    <x v="993"/>
    <x v="5"/>
    <x v="23"/>
    <x v="304"/>
    <x v="304"/>
    <x v="0"/>
    <x v="304"/>
    <x v="354"/>
    <x v="339"/>
    <x v="375"/>
    <x v="339"/>
    <x v="354"/>
    <x v="354"/>
    <x v="354"/>
    <x v="354"/>
    <x v="354"/>
    <x v="354"/>
    <x v="354"/>
    <x v="304"/>
    <x v="376"/>
    <x v="376"/>
    <x v="283"/>
    <x v="0"/>
    <x v="0"/>
    <x v="449"/>
    <x v="304"/>
    <x v="304"/>
    <x v="304"/>
    <x v="304"/>
    <x v="3"/>
  </r>
  <r>
    <x v="347"/>
    <x v="249"/>
    <x v="0"/>
    <x v="0"/>
    <x v="0"/>
    <x v="0"/>
    <x v="0"/>
    <x v="2"/>
    <x v="0"/>
    <x v="0"/>
    <x v="3"/>
    <x v="0"/>
    <x v="328"/>
    <x v="1"/>
    <x v="0"/>
    <x v="0"/>
    <x v="0"/>
    <x v="347"/>
    <x v="1"/>
    <x v="7"/>
    <x v="7"/>
    <x v="0"/>
    <x v="0"/>
    <x v="3"/>
    <x v="43"/>
    <x v="0"/>
    <x v="17"/>
    <x v="395"/>
    <x v="1"/>
    <x v="2"/>
    <x v="1"/>
    <x v="3"/>
    <x v="2"/>
    <x v="1"/>
    <x v="678"/>
    <x v="3"/>
    <x v="17"/>
    <x v="328"/>
    <x v="328"/>
    <x v="0"/>
    <x v="328"/>
    <x v="376"/>
    <x v="370"/>
    <x v="378"/>
    <x v="370"/>
    <x v="376"/>
    <x v="376"/>
    <x v="376"/>
    <x v="376"/>
    <x v="376"/>
    <x v="376"/>
    <x v="376"/>
    <x v="328"/>
    <x v="374"/>
    <x v="374"/>
    <x v="298"/>
    <x v="0"/>
    <x v="0"/>
    <x v="384"/>
    <x v="328"/>
    <x v="328"/>
    <x v="328"/>
    <x v="328"/>
    <x v="3"/>
  </r>
  <r>
    <x v="348"/>
    <x v="258"/>
    <x v="0"/>
    <x v="0"/>
    <x v="0"/>
    <x v="0"/>
    <x v="0"/>
    <x v="0"/>
    <x v="0"/>
    <x v="0"/>
    <x v="3"/>
    <x v="0"/>
    <x v="250"/>
    <x v="1"/>
    <x v="0"/>
    <x v="0"/>
    <x v="0"/>
    <x v="348"/>
    <x v="2"/>
    <x v="7"/>
    <x v="7"/>
    <x v="0"/>
    <x v="0"/>
    <x v="3"/>
    <x v="43"/>
    <x v="0"/>
    <x v="29"/>
    <x v="392"/>
    <x v="9"/>
    <x v="50"/>
    <x v="1"/>
    <x v="1"/>
    <x v="1"/>
    <x v="1"/>
    <x v="161"/>
    <x v="1"/>
    <x v="29"/>
    <x v="250"/>
    <x v="250"/>
    <x v="0"/>
    <x v="250"/>
    <x v="253"/>
    <x v="253"/>
    <x v="247"/>
    <x v="253"/>
    <x v="253"/>
    <x v="253"/>
    <x v="253"/>
    <x v="253"/>
    <x v="253"/>
    <x v="253"/>
    <x v="253"/>
    <x v="250"/>
    <x v="247"/>
    <x v="247"/>
    <x v="218"/>
    <x v="0"/>
    <x v="0"/>
    <x v="307"/>
    <x v="250"/>
    <x v="250"/>
    <x v="250"/>
    <x v="250"/>
    <x v="3"/>
  </r>
  <r>
    <x v="349"/>
    <x v="267"/>
    <x v="0"/>
    <x v="0"/>
    <x v="0"/>
    <x v="0"/>
    <x v="0"/>
    <x v="0"/>
    <x v="0"/>
    <x v="0"/>
    <x v="3"/>
    <x v="0"/>
    <x v="171"/>
    <x v="1"/>
    <x v="0"/>
    <x v="0"/>
    <x v="0"/>
    <x v="349"/>
    <x v="2"/>
    <x v="7"/>
    <x v="7"/>
    <x v="0"/>
    <x v="0"/>
    <x v="3"/>
    <x v="128"/>
    <x v="0"/>
    <x v="25"/>
    <x v="388"/>
    <x v="9"/>
    <x v="50"/>
    <x v="1"/>
    <x v="1"/>
    <x v="1"/>
    <x v="1"/>
    <x v="88"/>
    <x v="1"/>
    <x v="25"/>
    <x v="172"/>
    <x v="172"/>
    <x v="0"/>
    <x v="172"/>
    <x v="178"/>
    <x v="176"/>
    <x v="173"/>
    <x v="176"/>
    <x v="178"/>
    <x v="178"/>
    <x v="178"/>
    <x v="178"/>
    <x v="178"/>
    <x v="178"/>
    <x v="178"/>
    <x v="172"/>
    <x v="173"/>
    <x v="173"/>
    <x v="147"/>
    <x v="0"/>
    <x v="0"/>
    <x v="191"/>
    <x v="172"/>
    <x v="172"/>
    <x v="172"/>
    <x v="172"/>
    <x v="3"/>
  </r>
  <r>
    <x v="350"/>
    <x v="315"/>
    <x v="0"/>
    <x v="0"/>
    <x v="0"/>
    <x v="0"/>
    <x v="1"/>
    <x v="4"/>
    <x v="0"/>
    <x v="0"/>
    <x v="3"/>
    <x v="0"/>
    <x v="1325"/>
    <x v="1"/>
    <x v="0"/>
    <x v="0"/>
    <x v="0"/>
    <x v="350"/>
    <x v="1"/>
    <x v="7"/>
    <x v="7"/>
    <x v="0"/>
    <x v="0"/>
    <x v="3"/>
    <x v="46"/>
    <x v="0"/>
    <x v="21"/>
    <x v="412"/>
    <x v="2"/>
    <x v="16"/>
    <x v="1"/>
    <x v="5"/>
    <x v="2"/>
    <x v="1"/>
    <x v="1379"/>
    <x v="5"/>
    <x v="21"/>
    <x v="1323"/>
    <x v="1323"/>
    <x v="3"/>
    <x v="1323"/>
    <x v="1375"/>
    <x v="1359"/>
    <x v="1383"/>
    <x v="1359"/>
    <x v="1375"/>
    <x v="1375"/>
    <x v="1375"/>
    <x v="1375"/>
    <x v="1375"/>
    <x v="1375"/>
    <x v="1375"/>
    <x v="1323"/>
    <x v="1381"/>
    <x v="1381"/>
    <x v="1252"/>
    <x v="0"/>
    <x v="0"/>
    <x v="1389"/>
    <x v="1323"/>
    <x v="1323"/>
    <x v="1323"/>
    <x v="1323"/>
    <x v="3"/>
  </r>
  <r>
    <x v="351"/>
    <x v="277"/>
    <x v="0"/>
    <x v="0"/>
    <x v="0"/>
    <x v="0"/>
    <x v="0"/>
    <x v="0"/>
    <x v="0"/>
    <x v="0"/>
    <x v="3"/>
    <x v="0"/>
    <x v="1015"/>
    <x v="1"/>
    <x v="0"/>
    <x v="0"/>
    <x v="0"/>
    <x v="351"/>
    <x v="2"/>
    <x v="7"/>
    <x v="7"/>
    <x v="0"/>
    <x v="0"/>
    <x v="3"/>
    <x v="33"/>
    <x v="0"/>
    <x v="24"/>
    <x v="386"/>
    <x v="9"/>
    <x v="50"/>
    <x v="1"/>
    <x v="1"/>
    <x v="1"/>
    <x v="1"/>
    <x v="779"/>
    <x v="1"/>
    <x v="24"/>
    <x v="1015"/>
    <x v="1015"/>
    <x v="1"/>
    <x v="1015"/>
    <x v="1026"/>
    <x v="1020"/>
    <x v="1011"/>
    <x v="1020"/>
    <x v="1026"/>
    <x v="1026"/>
    <x v="1026"/>
    <x v="1026"/>
    <x v="1026"/>
    <x v="1026"/>
    <x v="1026"/>
    <x v="1015"/>
    <x v="1009"/>
    <x v="1009"/>
    <x v="944"/>
    <x v="0"/>
    <x v="0"/>
    <x v="1041"/>
    <x v="1015"/>
    <x v="1015"/>
    <x v="1015"/>
    <x v="1015"/>
    <x v="3"/>
  </r>
  <r>
    <x v="352"/>
    <x v="262"/>
    <x v="0"/>
    <x v="0"/>
    <x v="0"/>
    <x v="0"/>
    <x v="0"/>
    <x v="0"/>
    <x v="0"/>
    <x v="0"/>
    <x v="3"/>
    <x v="0"/>
    <x v="757"/>
    <x v="1"/>
    <x v="0"/>
    <x v="0"/>
    <x v="0"/>
    <x v="352"/>
    <x v="2"/>
    <x v="7"/>
    <x v="7"/>
    <x v="0"/>
    <x v="0"/>
    <x v="3"/>
    <x v="43"/>
    <x v="0"/>
    <x v="27"/>
    <x v="383"/>
    <x v="9"/>
    <x v="50"/>
    <x v="1"/>
    <x v="1"/>
    <x v="1"/>
    <x v="1"/>
    <x v="505"/>
    <x v="1"/>
    <x v="27"/>
    <x v="757"/>
    <x v="757"/>
    <x v="1"/>
    <x v="757"/>
    <x v="736"/>
    <x v="753"/>
    <x v="700"/>
    <x v="753"/>
    <x v="736"/>
    <x v="736"/>
    <x v="736"/>
    <x v="736"/>
    <x v="736"/>
    <x v="736"/>
    <x v="736"/>
    <x v="757"/>
    <x v="701"/>
    <x v="701"/>
    <x v="697"/>
    <x v="0"/>
    <x v="0"/>
    <x v="800"/>
    <x v="757"/>
    <x v="757"/>
    <x v="757"/>
    <x v="757"/>
    <x v="3"/>
  </r>
  <r>
    <x v="353"/>
    <x v="268"/>
    <x v="0"/>
    <x v="0"/>
    <x v="0"/>
    <x v="0"/>
    <x v="0"/>
    <x v="0"/>
    <x v="0"/>
    <x v="0"/>
    <x v="3"/>
    <x v="0"/>
    <x v="375"/>
    <x v="1"/>
    <x v="0"/>
    <x v="0"/>
    <x v="0"/>
    <x v="353"/>
    <x v="2"/>
    <x v="7"/>
    <x v="7"/>
    <x v="0"/>
    <x v="0"/>
    <x v="3"/>
    <x v="128"/>
    <x v="0"/>
    <x v="20"/>
    <x v="403"/>
    <x v="9"/>
    <x v="50"/>
    <x v="1"/>
    <x v="1"/>
    <x v="1"/>
    <x v="1"/>
    <x v="260"/>
    <x v="1"/>
    <x v="20"/>
    <x v="375"/>
    <x v="375"/>
    <x v="0"/>
    <x v="375"/>
    <x v="372"/>
    <x v="377"/>
    <x v="354"/>
    <x v="377"/>
    <x v="372"/>
    <x v="372"/>
    <x v="372"/>
    <x v="372"/>
    <x v="372"/>
    <x v="372"/>
    <x v="372"/>
    <x v="375"/>
    <x v="353"/>
    <x v="353"/>
    <x v="335"/>
    <x v="0"/>
    <x v="0"/>
    <x v="392"/>
    <x v="375"/>
    <x v="375"/>
    <x v="375"/>
    <x v="375"/>
    <x v="3"/>
  </r>
  <r>
    <x v="354"/>
    <x v="297"/>
    <x v="0"/>
    <x v="0"/>
    <x v="0"/>
    <x v="0"/>
    <x v="1"/>
    <x v="4"/>
    <x v="0"/>
    <x v="0"/>
    <x v="3"/>
    <x v="0"/>
    <x v="1225"/>
    <x v="1"/>
    <x v="0"/>
    <x v="0"/>
    <x v="0"/>
    <x v="354"/>
    <x v="1"/>
    <x v="7"/>
    <x v="7"/>
    <x v="0"/>
    <x v="0"/>
    <x v="3"/>
    <x v="34"/>
    <x v="0"/>
    <x v="24"/>
    <x v="405"/>
    <x v="2"/>
    <x v="16"/>
    <x v="1"/>
    <x v="5"/>
    <x v="2"/>
    <x v="1"/>
    <x v="1359"/>
    <x v="5"/>
    <x v="24"/>
    <x v="1223"/>
    <x v="1223"/>
    <x v="2"/>
    <x v="1223"/>
    <x v="1302"/>
    <x v="1274"/>
    <x v="1328"/>
    <x v="1274"/>
    <x v="1302"/>
    <x v="1302"/>
    <x v="1302"/>
    <x v="1302"/>
    <x v="1302"/>
    <x v="1302"/>
    <x v="1302"/>
    <x v="1223"/>
    <x v="1327"/>
    <x v="1327"/>
    <x v="1168"/>
    <x v="0"/>
    <x v="0"/>
    <x v="1342"/>
    <x v="1223"/>
    <x v="1223"/>
    <x v="1223"/>
    <x v="1223"/>
    <x v="3"/>
  </r>
  <r>
    <x v="355"/>
    <x v="262"/>
    <x v="0"/>
    <x v="0"/>
    <x v="0"/>
    <x v="0"/>
    <x v="0"/>
    <x v="0"/>
    <x v="0"/>
    <x v="0"/>
    <x v="3"/>
    <x v="0"/>
    <x v="925"/>
    <x v="1"/>
    <x v="0"/>
    <x v="0"/>
    <x v="0"/>
    <x v="355"/>
    <x v="2"/>
    <x v="7"/>
    <x v="7"/>
    <x v="0"/>
    <x v="0"/>
    <x v="3"/>
    <x v="43"/>
    <x v="0"/>
    <x v="27"/>
    <x v="384"/>
    <x v="9"/>
    <x v="50"/>
    <x v="1"/>
    <x v="1"/>
    <x v="1"/>
    <x v="1"/>
    <x v="675"/>
    <x v="1"/>
    <x v="27"/>
    <x v="925"/>
    <x v="925"/>
    <x v="1"/>
    <x v="925"/>
    <x v="931"/>
    <x v="930"/>
    <x v="925"/>
    <x v="930"/>
    <x v="931"/>
    <x v="931"/>
    <x v="931"/>
    <x v="931"/>
    <x v="931"/>
    <x v="931"/>
    <x v="931"/>
    <x v="925"/>
    <x v="924"/>
    <x v="924"/>
    <x v="863"/>
    <x v="0"/>
    <x v="0"/>
    <x v="990"/>
    <x v="925"/>
    <x v="925"/>
    <x v="925"/>
    <x v="925"/>
    <x v="3"/>
  </r>
  <r>
    <x v="356"/>
    <x v="297"/>
    <x v="0"/>
    <x v="0"/>
    <x v="0"/>
    <x v="0"/>
    <x v="0"/>
    <x v="0"/>
    <x v="0"/>
    <x v="0"/>
    <x v="3"/>
    <x v="0"/>
    <x v="1227"/>
    <x v="1"/>
    <x v="0"/>
    <x v="0"/>
    <x v="0"/>
    <x v="356"/>
    <x v="2"/>
    <x v="7"/>
    <x v="7"/>
    <x v="0"/>
    <x v="0"/>
    <x v="3"/>
    <x v="34"/>
    <x v="0"/>
    <x v="24"/>
    <x v="406"/>
    <x v="9"/>
    <x v="50"/>
    <x v="1"/>
    <x v="1"/>
    <x v="1"/>
    <x v="1"/>
    <x v="1020"/>
    <x v="1"/>
    <x v="24"/>
    <x v="1225"/>
    <x v="1225"/>
    <x v="2"/>
    <x v="1225"/>
    <x v="1246"/>
    <x v="1239"/>
    <x v="1235"/>
    <x v="1239"/>
    <x v="1246"/>
    <x v="1246"/>
    <x v="1246"/>
    <x v="1246"/>
    <x v="1246"/>
    <x v="1246"/>
    <x v="1246"/>
    <x v="1225"/>
    <x v="1233"/>
    <x v="1233"/>
    <x v="1152"/>
    <x v="0"/>
    <x v="0"/>
    <x v="1262"/>
    <x v="1225"/>
    <x v="1225"/>
    <x v="1225"/>
    <x v="1225"/>
    <x v="3"/>
  </r>
  <r>
    <x v="357"/>
    <x v="276"/>
    <x v="0"/>
    <x v="0"/>
    <x v="0"/>
    <x v="0"/>
    <x v="0"/>
    <x v="0"/>
    <x v="0"/>
    <x v="0"/>
    <x v="3"/>
    <x v="0"/>
    <x v="197"/>
    <x v="1"/>
    <x v="0"/>
    <x v="0"/>
    <x v="0"/>
    <x v="357"/>
    <x v="2"/>
    <x v="7"/>
    <x v="7"/>
    <x v="0"/>
    <x v="0"/>
    <x v="3"/>
    <x v="33"/>
    <x v="0"/>
    <x v="24"/>
    <x v="399"/>
    <x v="9"/>
    <x v="50"/>
    <x v="1"/>
    <x v="1"/>
    <x v="1"/>
    <x v="1"/>
    <x v="112"/>
    <x v="1"/>
    <x v="24"/>
    <x v="198"/>
    <x v="198"/>
    <x v="0"/>
    <x v="198"/>
    <x v="206"/>
    <x v="208"/>
    <x v="198"/>
    <x v="208"/>
    <x v="206"/>
    <x v="206"/>
    <x v="206"/>
    <x v="206"/>
    <x v="206"/>
    <x v="206"/>
    <x v="206"/>
    <x v="198"/>
    <x v="198"/>
    <x v="198"/>
    <x v="174"/>
    <x v="0"/>
    <x v="0"/>
    <x v="215"/>
    <x v="198"/>
    <x v="198"/>
    <x v="198"/>
    <x v="198"/>
    <x v="3"/>
  </r>
  <r>
    <x v="358"/>
    <x v="277"/>
    <x v="0"/>
    <x v="0"/>
    <x v="0"/>
    <x v="0"/>
    <x v="0"/>
    <x v="0"/>
    <x v="0"/>
    <x v="0"/>
    <x v="3"/>
    <x v="0"/>
    <x v="412"/>
    <x v="1"/>
    <x v="0"/>
    <x v="0"/>
    <x v="0"/>
    <x v="358"/>
    <x v="2"/>
    <x v="7"/>
    <x v="7"/>
    <x v="0"/>
    <x v="0"/>
    <x v="3"/>
    <x v="33"/>
    <x v="0"/>
    <x v="24"/>
    <x v="387"/>
    <x v="9"/>
    <x v="50"/>
    <x v="1"/>
    <x v="1"/>
    <x v="1"/>
    <x v="1"/>
    <x v="283"/>
    <x v="1"/>
    <x v="24"/>
    <x v="412"/>
    <x v="412"/>
    <x v="0"/>
    <x v="412"/>
    <x v="408"/>
    <x v="407"/>
    <x v="387"/>
    <x v="407"/>
    <x v="408"/>
    <x v="408"/>
    <x v="408"/>
    <x v="408"/>
    <x v="408"/>
    <x v="408"/>
    <x v="408"/>
    <x v="412"/>
    <x v="389"/>
    <x v="389"/>
    <x v="369"/>
    <x v="0"/>
    <x v="0"/>
    <x v="469"/>
    <x v="412"/>
    <x v="412"/>
    <x v="412"/>
    <x v="412"/>
    <x v="3"/>
  </r>
  <r>
    <x v="359"/>
    <x v="328"/>
    <x v="0"/>
    <x v="0"/>
    <x v="0"/>
    <x v="0"/>
    <x v="0"/>
    <x v="0"/>
    <x v="0"/>
    <x v="0"/>
    <x v="3"/>
    <x v="0"/>
    <x v="1209"/>
    <x v="1"/>
    <x v="0"/>
    <x v="0"/>
    <x v="0"/>
    <x v="359"/>
    <x v="2"/>
    <x v="7"/>
    <x v="7"/>
    <x v="0"/>
    <x v="0"/>
    <x v="3"/>
    <x v="128"/>
    <x v="0"/>
    <x v="23"/>
    <x v="409"/>
    <x v="9"/>
    <x v="50"/>
    <x v="1"/>
    <x v="1"/>
    <x v="1"/>
    <x v="1"/>
    <x v="996"/>
    <x v="1"/>
    <x v="23"/>
    <x v="1207"/>
    <x v="1207"/>
    <x v="2"/>
    <x v="1207"/>
    <x v="1228"/>
    <x v="1221"/>
    <x v="1214"/>
    <x v="1221"/>
    <x v="1228"/>
    <x v="1228"/>
    <x v="1228"/>
    <x v="1228"/>
    <x v="1228"/>
    <x v="1228"/>
    <x v="1228"/>
    <x v="1207"/>
    <x v="1213"/>
    <x v="1213"/>
    <x v="1133"/>
    <x v="0"/>
    <x v="0"/>
    <x v="1231"/>
    <x v="1207"/>
    <x v="1207"/>
    <x v="1207"/>
    <x v="1207"/>
    <x v="3"/>
  </r>
  <r>
    <x v="360"/>
    <x v="303"/>
    <x v="0"/>
    <x v="0"/>
    <x v="0"/>
    <x v="0"/>
    <x v="0"/>
    <x v="0"/>
    <x v="0"/>
    <x v="0"/>
    <x v="3"/>
    <x v="0"/>
    <x v="811"/>
    <x v="1"/>
    <x v="0"/>
    <x v="0"/>
    <x v="0"/>
    <x v="360"/>
    <x v="2"/>
    <x v="7"/>
    <x v="7"/>
    <x v="0"/>
    <x v="0"/>
    <x v="3"/>
    <x v="33"/>
    <x v="0"/>
    <x v="23"/>
    <x v="400"/>
    <x v="9"/>
    <x v="50"/>
    <x v="1"/>
    <x v="1"/>
    <x v="1"/>
    <x v="1"/>
    <x v="551"/>
    <x v="1"/>
    <x v="23"/>
    <x v="811"/>
    <x v="811"/>
    <x v="1"/>
    <x v="811"/>
    <x v="813"/>
    <x v="815"/>
    <x v="775"/>
    <x v="815"/>
    <x v="813"/>
    <x v="813"/>
    <x v="813"/>
    <x v="813"/>
    <x v="813"/>
    <x v="813"/>
    <x v="813"/>
    <x v="811"/>
    <x v="772"/>
    <x v="772"/>
    <x v="756"/>
    <x v="0"/>
    <x v="0"/>
    <x v="801"/>
    <x v="811"/>
    <x v="811"/>
    <x v="811"/>
    <x v="811"/>
    <x v="3"/>
  </r>
  <r>
    <x v="361"/>
    <x v="279"/>
    <x v="0"/>
    <x v="0"/>
    <x v="0"/>
    <x v="0"/>
    <x v="0"/>
    <x v="0"/>
    <x v="0"/>
    <x v="0"/>
    <x v="3"/>
    <x v="0"/>
    <x v="875"/>
    <x v="1"/>
    <x v="0"/>
    <x v="0"/>
    <x v="0"/>
    <x v="361"/>
    <x v="2"/>
    <x v="7"/>
    <x v="7"/>
    <x v="0"/>
    <x v="0"/>
    <x v="3"/>
    <x v="33"/>
    <x v="0"/>
    <x v="23"/>
    <x v="401"/>
    <x v="9"/>
    <x v="50"/>
    <x v="1"/>
    <x v="1"/>
    <x v="1"/>
    <x v="1"/>
    <x v="618"/>
    <x v="1"/>
    <x v="23"/>
    <x v="875"/>
    <x v="875"/>
    <x v="1"/>
    <x v="875"/>
    <x v="888"/>
    <x v="879"/>
    <x v="869"/>
    <x v="879"/>
    <x v="888"/>
    <x v="888"/>
    <x v="888"/>
    <x v="888"/>
    <x v="888"/>
    <x v="888"/>
    <x v="888"/>
    <x v="875"/>
    <x v="865"/>
    <x v="865"/>
    <x v="809"/>
    <x v="0"/>
    <x v="0"/>
    <x v="884"/>
    <x v="875"/>
    <x v="875"/>
    <x v="875"/>
    <x v="875"/>
    <x v="3"/>
  </r>
  <r>
    <x v="362"/>
    <x v="336"/>
    <x v="0"/>
    <x v="0"/>
    <x v="0"/>
    <x v="0"/>
    <x v="0"/>
    <x v="0"/>
    <x v="0"/>
    <x v="0"/>
    <x v="3"/>
    <x v="0"/>
    <x v="1127"/>
    <x v="1"/>
    <x v="0"/>
    <x v="0"/>
    <x v="0"/>
    <x v="362"/>
    <x v="2"/>
    <x v="7"/>
    <x v="7"/>
    <x v="0"/>
    <x v="0"/>
    <x v="3"/>
    <x v="14"/>
    <x v="0"/>
    <x v="24"/>
    <x v="380"/>
    <x v="9"/>
    <x v="50"/>
    <x v="1"/>
    <x v="1"/>
    <x v="1"/>
    <x v="1"/>
    <x v="894"/>
    <x v="1"/>
    <x v="24"/>
    <x v="1125"/>
    <x v="1125"/>
    <x v="1"/>
    <x v="1125"/>
    <x v="1132"/>
    <x v="1133"/>
    <x v="1120"/>
    <x v="1133"/>
    <x v="1132"/>
    <x v="1132"/>
    <x v="1132"/>
    <x v="1132"/>
    <x v="1132"/>
    <x v="1132"/>
    <x v="1132"/>
    <x v="1125"/>
    <x v="1119"/>
    <x v="1119"/>
    <x v="1055"/>
    <x v="0"/>
    <x v="0"/>
    <x v="1160"/>
    <x v="1125"/>
    <x v="1125"/>
    <x v="1125"/>
    <x v="1125"/>
    <x v="3"/>
  </r>
  <r>
    <x v="363"/>
    <x v="305"/>
    <x v="0"/>
    <x v="0"/>
    <x v="0"/>
    <x v="0"/>
    <x v="0"/>
    <x v="0"/>
    <x v="0"/>
    <x v="0"/>
    <x v="3"/>
    <x v="0"/>
    <x v="370"/>
    <x v="1"/>
    <x v="0"/>
    <x v="0"/>
    <x v="0"/>
    <x v="363"/>
    <x v="2"/>
    <x v="7"/>
    <x v="7"/>
    <x v="0"/>
    <x v="0"/>
    <x v="3"/>
    <x v="33"/>
    <x v="0"/>
    <x v="23"/>
    <x v="411"/>
    <x v="9"/>
    <x v="50"/>
    <x v="1"/>
    <x v="1"/>
    <x v="1"/>
    <x v="1"/>
    <x v="253"/>
    <x v="1"/>
    <x v="23"/>
    <x v="370"/>
    <x v="370"/>
    <x v="0"/>
    <x v="370"/>
    <x v="365"/>
    <x v="372"/>
    <x v="348"/>
    <x v="372"/>
    <x v="365"/>
    <x v="365"/>
    <x v="365"/>
    <x v="365"/>
    <x v="365"/>
    <x v="365"/>
    <x v="365"/>
    <x v="370"/>
    <x v="347"/>
    <x v="347"/>
    <x v="330"/>
    <x v="0"/>
    <x v="0"/>
    <x v="413"/>
    <x v="370"/>
    <x v="370"/>
    <x v="370"/>
    <x v="370"/>
    <x v="3"/>
  </r>
  <r>
    <x v="364"/>
    <x v="297"/>
    <x v="0"/>
    <x v="0"/>
    <x v="0"/>
    <x v="0"/>
    <x v="1"/>
    <x v="4"/>
    <x v="0"/>
    <x v="0"/>
    <x v="3"/>
    <x v="0"/>
    <x v="360"/>
    <x v="1"/>
    <x v="0"/>
    <x v="0"/>
    <x v="0"/>
    <x v="364"/>
    <x v="1"/>
    <x v="7"/>
    <x v="7"/>
    <x v="0"/>
    <x v="0"/>
    <x v="3"/>
    <x v="34"/>
    <x v="0"/>
    <x v="24"/>
    <x v="407"/>
    <x v="2"/>
    <x v="16"/>
    <x v="1"/>
    <x v="5"/>
    <x v="2"/>
    <x v="1"/>
    <x v="1066"/>
    <x v="5"/>
    <x v="24"/>
    <x v="360"/>
    <x v="360"/>
    <x v="0"/>
    <x v="360"/>
    <x v="440"/>
    <x v="410"/>
    <x v="492"/>
    <x v="410"/>
    <x v="440"/>
    <x v="440"/>
    <x v="440"/>
    <x v="440"/>
    <x v="440"/>
    <x v="440"/>
    <x v="440"/>
    <x v="360"/>
    <x v="493"/>
    <x v="493"/>
    <x v="347"/>
    <x v="0"/>
    <x v="0"/>
    <x v="583"/>
    <x v="360"/>
    <x v="360"/>
    <x v="360"/>
    <x v="360"/>
    <x v="3"/>
  </r>
  <r>
    <x v="365"/>
    <x v="314"/>
    <x v="0"/>
    <x v="0"/>
    <x v="0"/>
    <x v="0"/>
    <x v="1"/>
    <x v="4"/>
    <x v="0"/>
    <x v="0"/>
    <x v="3"/>
    <x v="0"/>
    <x v="1241"/>
    <x v="1"/>
    <x v="0"/>
    <x v="0"/>
    <x v="0"/>
    <x v="365"/>
    <x v="1"/>
    <x v="7"/>
    <x v="7"/>
    <x v="0"/>
    <x v="0"/>
    <x v="3"/>
    <x v="46"/>
    <x v="0"/>
    <x v="21"/>
    <x v="419"/>
    <x v="2"/>
    <x v="16"/>
    <x v="1"/>
    <x v="5"/>
    <x v="2"/>
    <x v="1"/>
    <x v="1362"/>
    <x v="5"/>
    <x v="21"/>
    <x v="1239"/>
    <x v="1239"/>
    <x v="2"/>
    <x v="1239"/>
    <x v="1315"/>
    <x v="1290"/>
    <x v="1334"/>
    <x v="1290"/>
    <x v="1315"/>
    <x v="1315"/>
    <x v="1315"/>
    <x v="1315"/>
    <x v="1315"/>
    <x v="1315"/>
    <x v="1315"/>
    <x v="1239"/>
    <x v="1333"/>
    <x v="1333"/>
    <x v="1176"/>
    <x v="0"/>
    <x v="0"/>
    <x v="1329"/>
    <x v="1239"/>
    <x v="1239"/>
    <x v="1239"/>
    <x v="1239"/>
    <x v="3"/>
  </r>
  <r>
    <x v="366"/>
    <x v="315"/>
    <x v="0"/>
    <x v="0"/>
    <x v="0"/>
    <x v="0"/>
    <x v="1"/>
    <x v="4"/>
    <x v="0"/>
    <x v="0"/>
    <x v="3"/>
    <x v="0"/>
    <x v="1207"/>
    <x v="1"/>
    <x v="0"/>
    <x v="0"/>
    <x v="0"/>
    <x v="366"/>
    <x v="1"/>
    <x v="7"/>
    <x v="7"/>
    <x v="0"/>
    <x v="0"/>
    <x v="3"/>
    <x v="46"/>
    <x v="0"/>
    <x v="21"/>
    <x v="12"/>
    <x v="2"/>
    <x v="16"/>
    <x v="1"/>
    <x v="5"/>
    <x v="2"/>
    <x v="1"/>
    <x v="1358"/>
    <x v="5"/>
    <x v="21"/>
    <x v="1205"/>
    <x v="1205"/>
    <x v="2"/>
    <x v="1205"/>
    <x v="1288"/>
    <x v="1260"/>
    <x v="1312"/>
    <x v="1260"/>
    <x v="1288"/>
    <x v="1288"/>
    <x v="1288"/>
    <x v="1288"/>
    <x v="1288"/>
    <x v="1288"/>
    <x v="1288"/>
    <x v="1205"/>
    <x v="1311"/>
    <x v="1311"/>
    <x v="1154"/>
    <x v="0"/>
    <x v="0"/>
    <x v="1309"/>
    <x v="1205"/>
    <x v="1205"/>
    <x v="1205"/>
    <x v="1205"/>
    <x v="3"/>
  </r>
  <r>
    <x v="367"/>
    <x v="320"/>
    <x v="0"/>
    <x v="0"/>
    <x v="0"/>
    <x v="0"/>
    <x v="0"/>
    <x v="1"/>
    <x v="0"/>
    <x v="0"/>
    <x v="3"/>
    <x v="0"/>
    <x v="348"/>
    <x v="1"/>
    <x v="0"/>
    <x v="0"/>
    <x v="0"/>
    <x v="367"/>
    <x v="1"/>
    <x v="7"/>
    <x v="7"/>
    <x v="0"/>
    <x v="0"/>
    <x v="3"/>
    <x v="33"/>
    <x v="0"/>
    <x v="22"/>
    <x v="413"/>
    <x v="10"/>
    <x v="61"/>
    <x v="1"/>
    <x v="2"/>
    <x v="2"/>
    <x v="1"/>
    <x v="527"/>
    <x v="2"/>
    <x v="22"/>
    <x v="348"/>
    <x v="348"/>
    <x v="0"/>
    <x v="348"/>
    <x v="395"/>
    <x v="393"/>
    <x v="397"/>
    <x v="393"/>
    <x v="395"/>
    <x v="395"/>
    <x v="395"/>
    <x v="395"/>
    <x v="395"/>
    <x v="395"/>
    <x v="395"/>
    <x v="348"/>
    <x v="392"/>
    <x v="392"/>
    <x v="313"/>
    <x v="0"/>
    <x v="0"/>
    <x v="453"/>
    <x v="348"/>
    <x v="348"/>
    <x v="348"/>
    <x v="348"/>
    <x v="3"/>
  </r>
  <r>
    <x v="368"/>
    <x v="320"/>
    <x v="0"/>
    <x v="0"/>
    <x v="0"/>
    <x v="0"/>
    <x v="1"/>
    <x v="4"/>
    <x v="0"/>
    <x v="0"/>
    <x v="3"/>
    <x v="0"/>
    <x v="1056"/>
    <x v="1"/>
    <x v="0"/>
    <x v="0"/>
    <x v="0"/>
    <x v="368"/>
    <x v="1"/>
    <x v="7"/>
    <x v="7"/>
    <x v="0"/>
    <x v="0"/>
    <x v="3"/>
    <x v="33"/>
    <x v="0"/>
    <x v="22"/>
    <x v="414"/>
    <x v="2"/>
    <x v="16"/>
    <x v="1"/>
    <x v="5"/>
    <x v="2"/>
    <x v="1"/>
    <x v="1325"/>
    <x v="5"/>
    <x v="22"/>
    <x v="1054"/>
    <x v="1054"/>
    <x v="1"/>
    <x v="1054"/>
    <x v="1154"/>
    <x v="1116"/>
    <x v="1187"/>
    <x v="1116"/>
    <x v="1154"/>
    <x v="1154"/>
    <x v="1154"/>
    <x v="1154"/>
    <x v="1154"/>
    <x v="1154"/>
    <x v="1154"/>
    <x v="1054"/>
    <x v="1187"/>
    <x v="1187"/>
    <x v="1010"/>
    <x v="0"/>
    <x v="0"/>
    <x v="1193"/>
    <x v="1054"/>
    <x v="1054"/>
    <x v="1054"/>
    <x v="1054"/>
    <x v="3"/>
  </r>
  <r>
    <x v="369"/>
    <x v="328"/>
    <x v="0"/>
    <x v="0"/>
    <x v="0"/>
    <x v="0"/>
    <x v="1"/>
    <x v="4"/>
    <x v="0"/>
    <x v="0"/>
    <x v="3"/>
    <x v="0"/>
    <x v="967"/>
    <x v="1"/>
    <x v="0"/>
    <x v="0"/>
    <x v="0"/>
    <x v="369"/>
    <x v="1"/>
    <x v="7"/>
    <x v="7"/>
    <x v="0"/>
    <x v="0"/>
    <x v="3"/>
    <x v="128"/>
    <x v="0"/>
    <x v="23"/>
    <x v="410"/>
    <x v="2"/>
    <x v="16"/>
    <x v="1"/>
    <x v="5"/>
    <x v="2"/>
    <x v="1"/>
    <x v="1304"/>
    <x v="5"/>
    <x v="23"/>
    <x v="967"/>
    <x v="967"/>
    <x v="1"/>
    <x v="967"/>
    <x v="1076"/>
    <x v="1043"/>
    <x v="1109"/>
    <x v="1043"/>
    <x v="1076"/>
    <x v="1076"/>
    <x v="1076"/>
    <x v="1076"/>
    <x v="1076"/>
    <x v="1076"/>
    <x v="1076"/>
    <x v="967"/>
    <x v="1107"/>
    <x v="1107"/>
    <x v="927"/>
    <x v="0"/>
    <x v="0"/>
    <x v="1144"/>
    <x v="967"/>
    <x v="967"/>
    <x v="967"/>
    <x v="967"/>
    <x v="3"/>
  </r>
  <r>
    <x v="370"/>
    <x v="336"/>
    <x v="0"/>
    <x v="0"/>
    <x v="0"/>
    <x v="0"/>
    <x v="1"/>
    <x v="4"/>
    <x v="0"/>
    <x v="0"/>
    <x v="3"/>
    <x v="0"/>
    <x v="625"/>
    <x v="1"/>
    <x v="0"/>
    <x v="0"/>
    <x v="0"/>
    <x v="370"/>
    <x v="1"/>
    <x v="7"/>
    <x v="7"/>
    <x v="0"/>
    <x v="0"/>
    <x v="3"/>
    <x v="14"/>
    <x v="0"/>
    <x v="24"/>
    <x v="381"/>
    <x v="2"/>
    <x v="16"/>
    <x v="1"/>
    <x v="5"/>
    <x v="2"/>
    <x v="1"/>
    <x v="1183"/>
    <x v="5"/>
    <x v="24"/>
    <x v="625"/>
    <x v="625"/>
    <x v="0"/>
    <x v="625"/>
    <x v="747"/>
    <x v="707"/>
    <x v="791"/>
    <x v="707"/>
    <x v="747"/>
    <x v="747"/>
    <x v="747"/>
    <x v="747"/>
    <x v="747"/>
    <x v="747"/>
    <x v="747"/>
    <x v="625"/>
    <x v="788"/>
    <x v="788"/>
    <x v="625"/>
    <x v="0"/>
    <x v="0"/>
    <x v="829"/>
    <x v="625"/>
    <x v="625"/>
    <x v="625"/>
    <x v="625"/>
    <x v="3"/>
  </r>
  <r>
    <x v="371"/>
    <x v="336"/>
    <x v="0"/>
    <x v="0"/>
    <x v="0"/>
    <x v="0"/>
    <x v="0"/>
    <x v="0"/>
    <x v="0"/>
    <x v="0"/>
    <x v="3"/>
    <x v="0"/>
    <x v="66"/>
    <x v="1"/>
    <x v="0"/>
    <x v="0"/>
    <x v="0"/>
    <x v="371"/>
    <x v="2"/>
    <x v="7"/>
    <x v="7"/>
    <x v="0"/>
    <x v="0"/>
    <x v="3"/>
    <x v="14"/>
    <x v="0"/>
    <x v="24"/>
    <x v="11"/>
    <x v="9"/>
    <x v="50"/>
    <x v="1"/>
    <x v="1"/>
    <x v="1"/>
    <x v="1"/>
    <x v="32"/>
    <x v="1"/>
    <x v="24"/>
    <x v="67"/>
    <x v="67"/>
    <x v="0"/>
    <x v="67"/>
    <x v="56"/>
    <x v="63"/>
    <x v="49"/>
    <x v="63"/>
    <x v="56"/>
    <x v="56"/>
    <x v="56"/>
    <x v="56"/>
    <x v="56"/>
    <x v="56"/>
    <x v="56"/>
    <x v="67"/>
    <x v="48"/>
    <x v="48"/>
    <x v="55"/>
    <x v="0"/>
    <x v="0"/>
    <x v="62"/>
    <x v="67"/>
    <x v="67"/>
    <x v="67"/>
    <x v="67"/>
    <x v="3"/>
  </r>
  <r>
    <x v="372"/>
    <x v="233"/>
    <x v="0"/>
    <x v="0"/>
    <x v="0"/>
    <x v="0"/>
    <x v="0"/>
    <x v="2"/>
    <x v="0"/>
    <x v="0"/>
    <x v="3"/>
    <x v="0"/>
    <x v="396"/>
    <x v="1"/>
    <x v="0"/>
    <x v="0"/>
    <x v="0"/>
    <x v="372"/>
    <x v="1"/>
    <x v="8"/>
    <x v="8"/>
    <x v="0"/>
    <x v="0"/>
    <x v="3"/>
    <x v="89"/>
    <x v="0"/>
    <x v="23"/>
    <x v="421"/>
    <x v="1"/>
    <x v="2"/>
    <x v="1"/>
    <x v="3"/>
    <x v="2"/>
    <x v="1"/>
    <x v="804"/>
    <x v="3"/>
    <x v="23"/>
    <x v="396"/>
    <x v="396"/>
    <x v="0"/>
    <x v="396"/>
    <x v="466"/>
    <x v="449"/>
    <x v="499"/>
    <x v="449"/>
    <x v="466"/>
    <x v="466"/>
    <x v="466"/>
    <x v="466"/>
    <x v="466"/>
    <x v="466"/>
    <x v="466"/>
    <x v="396"/>
    <x v="492"/>
    <x v="492"/>
    <x v="366"/>
    <x v="0"/>
    <x v="0"/>
    <x v="566"/>
    <x v="396"/>
    <x v="396"/>
    <x v="396"/>
    <x v="396"/>
    <x v="3"/>
  </r>
  <r>
    <x v="373"/>
    <x v="273"/>
    <x v="0"/>
    <x v="0"/>
    <x v="0"/>
    <x v="0"/>
    <x v="0"/>
    <x v="2"/>
    <x v="0"/>
    <x v="0"/>
    <x v="3"/>
    <x v="0"/>
    <x v="1106"/>
    <x v="1"/>
    <x v="0"/>
    <x v="0"/>
    <x v="0"/>
    <x v="373"/>
    <x v="1"/>
    <x v="8"/>
    <x v="8"/>
    <x v="0"/>
    <x v="0"/>
    <x v="3"/>
    <x v="89"/>
    <x v="0"/>
    <x v="24"/>
    <x v="422"/>
    <x v="1"/>
    <x v="2"/>
    <x v="1"/>
    <x v="3"/>
    <x v="2"/>
    <x v="1"/>
    <x v="1244"/>
    <x v="3"/>
    <x v="24"/>
    <x v="1104"/>
    <x v="1104"/>
    <x v="1"/>
    <x v="1104"/>
    <x v="1194"/>
    <x v="1172"/>
    <x v="1202"/>
    <x v="1172"/>
    <x v="1194"/>
    <x v="1194"/>
    <x v="1194"/>
    <x v="1194"/>
    <x v="1194"/>
    <x v="1194"/>
    <x v="1194"/>
    <x v="1104"/>
    <x v="1197"/>
    <x v="1197"/>
    <x v="1042"/>
    <x v="0"/>
    <x v="0"/>
    <x v="1223"/>
    <x v="1104"/>
    <x v="1104"/>
    <x v="1104"/>
    <x v="1104"/>
    <x v="3"/>
  </r>
  <r>
    <x v="374"/>
    <x v="307"/>
    <x v="0"/>
    <x v="0"/>
    <x v="0"/>
    <x v="0"/>
    <x v="0"/>
    <x v="0"/>
    <x v="0"/>
    <x v="0"/>
    <x v="3"/>
    <x v="0"/>
    <x v="1276"/>
    <x v="1"/>
    <x v="0"/>
    <x v="0"/>
    <x v="0"/>
    <x v="374"/>
    <x v="2"/>
    <x v="8"/>
    <x v="8"/>
    <x v="0"/>
    <x v="0"/>
    <x v="3"/>
    <x v="89"/>
    <x v="0"/>
    <x v="24"/>
    <x v="424"/>
    <x v="9"/>
    <x v="50"/>
    <x v="1"/>
    <x v="1"/>
    <x v="1"/>
    <x v="1"/>
    <x v="1076"/>
    <x v="1"/>
    <x v="24"/>
    <x v="1274"/>
    <x v="1274"/>
    <x v="2"/>
    <x v="1274"/>
    <x v="1295"/>
    <x v="1289"/>
    <x v="1291"/>
    <x v="1289"/>
    <x v="1295"/>
    <x v="1295"/>
    <x v="1295"/>
    <x v="1295"/>
    <x v="1295"/>
    <x v="1295"/>
    <x v="1295"/>
    <x v="1274"/>
    <x v="1289"/>
    <x v="1289"/>
    <x v="1196"/>
    <x v="0"/>
    <x v="0"/>
    <x v="1305"/>
    <x v="1274"/>
    <x v="1274"/>
    <x v="1274"/>
    <x v="1274"/>
    <x v="3"/>
  </r>
  <r>
    <x v="375"/>
    <x v="286"/>
    <x v="0"/>
    <x v="0"/>
    <x v="0"/>
    <x v="0"/>
    <x v="0"/>
    <x v="0"/>
    <x v="0"/>
    <x v="0"/>
    <x v="3"/>
    <x v="0"/>
    <x v="813"/>
    <x v="1"/>
    <x v="0"/>
    <x v="0"/>
    <x v="0"/>
    <x v="375"/>
    <x v="2"/>
    <x v="8"/>
    <x v="8"/>
    <x v="0"/>
    <x v="0"/>
    <x v="3"/>
    <x v="89"/>
    <x v="0"/>
    <x v="24"/>
    <x v="423"/>
    <x v="9"/>
    <x v="50"/>
    <x v="1"/>
    <x v="1"/>
    <x v="1"/>
    <x v="1"/>
    <x v="552"/>
    <x v="1"/>
    <x v="24"/>
    <x v="813"/>
    <x v="813"/>
    <x v="1"/>
    <x v="813"/>
    <x v="815"/>
    <x v="816"/>
    <x v="776"/>
    <x v="816"/>
    <x v="815"/>
    <x v="815"/>
    <x v="815"/>
    <x v="815"/>
    <x v="815"/>
    <x v="815"/>
    <x v="815"/>
    <x v="813"/>
    <x v="773"/>
    <x v="773"/>
    <x v="757"/>
    <x v="0"/>
    <x v="0"/>
    <x v="818"/>
    <x v="813"/>
    <x v="813"/>
    <x v="813"/>
    <x v="813"/>
    <x v="3"/>
  </r>
  <r>
    <x v="376"/>
    <x v="17"/>
    <x v="0"/>
    <x v="0"/>
    <x v="0"/>
    <x v="0"/>
    <x v="0"/>
    <x v="0"/>
    <x v="0"/>
    <x v="0"/>
    <x v="4"/>
    <x v="0"/>
    <x v="1219"/>
    <x v="1"/>
    <x v="0"/>
    <x v="0"/>
    <x v="0"/>
    <x v="376"/>
    <x v="2"/>
    <x v="0"/>
    <x v="0"/>
    <x v="0"/>
    <x v="0"/>
    <x v="3"/>
    <x v="128"/>
    <x v="0"/>
    <x v="39"/>
    <x v="67"/>
    <x v="9"/>
    <x v="51"/>
    <x v="1"/>
    <x v="1"/>
    <x v="1"/>
    <x v="1"/>
    <x v="1010"/>
    <x v="1"/>
    <x v="39"/>
    <x v="1217"/>
    <x v="1217"/>
    <x v="2"/>
    <x v="1217"/>
    <x v="1239"/>
    <x v="1231"/>
    <x v="1227"/>
    <x v="1231"/>
    <x v="1239"/>
    <x v="1239"/>
    <x v="1239"/>
    <x v="1239"/>
    <x v="1239"/>
    <x v="1239"/>
    <x v="1239"/>
    <x v="1217"/>
    <x v="1224"/>
    <x v="1224"/>
    <x v="1143"/>
    <x v="0"/>
    <x v="0"/>
    <x v="1341"/>
    <x v="1217"/>
    <x v="1217"/>
    <x v="1217"/>
    <x v="1217"/>
    <x v="4"/>
  </r>
  <r>
    <x v="377"/>
    <x v="30"/>
    <x v="0"/>
    <x v="0"/>
    <x v="0"/>
    <x v="0"/>
    <x v="1"/>
    <x v="4"/>
    <x v="0"/>
    <x v="0"/>
    <x v="4"/>
    <x v="0"/>
    <x v="707"/>
    <x v="1"/>
    <x v="0"/>
    <x v="0"/>
    <x v="0"/>
    <x v="377"/>
    <x v="1"/>
    <x v="0"/>
    <x v="0"/>
    <x v="0"/>
    <x v="0"/>
    <x v="3"/>
    <x v="52"/>
    <x v="0"/>
    <x v="4"/>
    <x v="432"/>
    <x v="2"/>
    <x v="17"/>
    <x v="1"/>
    <x v="5"/>
    <x v="2"/>
    <x v="1"/>
    <x v="1218"/>
    <x v="5"/>
    <x v="4"/>
    <x v="707"/>
    <x v="707"/>
    <x v="1"/>
    <x v="707"/>
    <x v="819"/>
    <x v="782"/>
    <x v="854"/>
    <x v="782"/>
    <x v="819"/>
    <x v="819"/>
    <x v="819"/>
    <x v="819"/>
    <x v="819"/>
    <x v="819"/>
    <x v="819"/>
    <x v="707"/>
    <x v="854"/>
    <x v="854"/>
    <x v="678"/>
    <x v="0"/>
    <x v="0"/>
    <x v="428"/>
    <x v="707"/>
    <x v="707"/>
    <x v="707"/>
    <x v="707"/>
    <x v="4"/>
  </r>
  <r>
    <x v="378"/>
    <x v="30"/>
    <x v="0"/>
    <x v="0"/>
    <x v="0"/>
    <x v="0"/>
    <x v="0"/>
    <x v="0"/>
    <x v="0"/>
    <x v="0"/>
    <x v="4"/>
    <x v="0"/>
    <x v="1217"/>
    <x v="1"/>
    <x v="0"/>
    <x v="0"/>
    <x v="0"/>
    <x v="378"/>
    <x v="2"/>
    <x v="0"/>
    <x v="0"/>
    <x v="0"/>
    <x v="0"/>
    <x v="3"/>
    <x v="52"/>
    <x v="0"/>
    <x v="4"/>
    <x v="431"/>
    <x v="9"/>
    <x v="51"/>
    <x v="1"/>
    <x v="1"/>
    <x v="1"/>
    <x v="1"/>
    <x v="1006"/>
    <x v="1"/>
    <x v="4"/>
    <x v="1215"/>
    <x v="1215"/>
    <x v="2"/>
    <x v="1215"/>
    <x v="1237"/>
    <x v="1229"/>
    <x v="1224"/>
    <x v="1229"/>
    <x v="1237"/>
    <x v="1237"/>
    <x v="1237"/>
    <x v="1237"/>
    <x v="1237"/>
    <x v="1237"/>
    <x v="1237"/>
    <x v="1215"/>
    <x v="1222"/>
    <x v="1222"/>
    <x v="1141"/>
    <x v="0"/>
    <x v="0"/>
    <x v="906"/>
    <x v="1215"/>
    <x v="1215"/>
    <x v="1215"/>
    <x v="1215"/>
    <x v="4"/>
  </r>
  <r>
    <x v="379"/>
    <x v="37"/>
    <x v="0"/>
    <x v="0"/>
    <x v="0"/>
    <x v="0"/>
    <x v="0"/>
    <x v="0"/>
    <x v="0"/>
    <x v="0"/>
    <x v="4"/>
    <x v="0"/>
    <x v="708"/>
    <x v="1"/>
    <x v="0"/>
    <x v="0"/>
    <x v="0"/>
    <x v="379"/>
    <x v="2"/>
    <x v="0"/>
    <x v="0"/>
    <x v="0"/>
    <x v="0"/>
    <x v="3"/>
    <x v="128"/>
    <x v="0"/>
    <x v="6"/>
    <x v="425"/>
    <x v="9"/>
    <x v="51"/>
    <x v="1"/>
    <x v="1"/>
    <x v="1"/>
    <x v="1"/>
    <x v="467"/>
    <x v="1"/>
    <x v="6"/>
    <x v="708"/>
    <x v="708"/>
    <x v="1"/>
    <x v="708"/>
    <x v="658"/>
    <x v="673"/>
    <x v="621"/>
    <x v="673"/>
    <x v="658"/>
    <x v="658"/>
    <x v="658"/>
    <x v="658"/>
    <x v="658"/>
    <x v="658"/>
    <x v="658"/>
    <x v="708"/>
    <x v="620"/>
    <x v="620"/>
    <x v="646"/>
    <x v="0"/>
    <x v="0"/>
    <x v="366"/>
    <x v="708"/>
    <x v="708"/>
    <x v="708"/>
    <x v="708"/>
    <x v="4"/>
  </r>
  <r>
    <x v="380"/>
    <x v="39"/>
    <x v="0"/>
    <x v="0"/>
    <x v="0"/>
    <x v="0"/>
    <x v="0"/>
    <x v="0"/>
    <x v="0"/>
    <x v="0"/>
    <x v="4"/>
    <x v="0"/>
    <x v="792"/>
    <x v="1"/>
    <x v="0"/>
    <x v="0"/>
    <x v="0"/>
    <x v="380"/>
    <x v="2"/>
    <x v="0"/>
    <x v="0"/>
    <x v="0"/>
    <x v="0"/>
    <x v="3"/>
    <x v="128"/>
    <x v="0"/>
    <x v="6"/>
    <x v="427"/>
    <x v="9"/>
    <x v="51"/>
    <x v="1"/>
    <x v="1"/>
    <x v="1"/>
    <x v="1"/>
    <x v="533"/>
    <x v="1"/>
    <x v="6"/>
    <x v="792"/>
    <x v="792"/>
    <x v="1"/>
    <x v="792"/>
    <x v="790"/>
    <x v="793"/>
    <x v="747"/>
    <x v="793"/>
    <x v="790"/>
    <x v="790"/>
    <x v="790"/>
    <x v="790"/>
    <x v="790"/>
    <x v="790"/>
    <x v="790"/>
    <x v="792"/>
    <x v="747"/>
    <x v="747"/>
    <x v="732"/>
    <x v="0"/>
    <x v="0"/>
    <x v="411"/>
    <x v="792"/>
    <x v="792"/>
    <x v="792"/>
    <x v="792"/>
    <x v="4"/>
  </r>
  <r>
    <x v="381"/>
    <x v="41"/>
    <x v="0"/>
    <x v="0"/>
    <x v="0"/>
    <x v="0"/>
    <x v="0"/>
    <x v="0"/>
    <x v="0"/>
    <x v="0"/>
    <x v="4"/>
    <x v="0"/>
    <x v="412"/>
    <x v="1"/>
    <x v="0"/>
    <x v="0"/>
    <x v="0"/>
    <x v="381"/>
    <x v="2"/>
    <x v="0"/>
    <x v="0"/>
    <x v="0"/>
    <x v="0"/>
    <x v="3"/>
    <x v="75"/>
    <x v="0"/>
    <x v="6"/>
    <x v="429"/>
    <x v="9"/>
    <x v="51"/>
    <x v="1"/>
    <x v="1"/>
    <x v="1"/>
    <x v="1"/>
    <x v="283"/>
    <x v="1"/>
    <x v="6"/>
    <x v="412"/>
    <x v="412"/>
    <x v="0"/>
    <x v="412"/>
    <x v="408"/>
    <x v="407"/>
    <x v="387"/>
    <x v="407"/>
    <x v="408"/>
    <x v="408"/>
    <x v="408"/>
    <x v="408"/>
    <x v="408"/>
    <x v="408"/>
    <x v="408"/>
    <x v="412"/>
    <x v="389"/>
    <x v="389"/>
    <x v="369"/>
    <x v="0"/>
    <x v="0"/>
    <x v="257"/>
    <x v="412"/>
    <x v="412"/>
    <x v="412"/>
    <x v="412"/>
    <x v="4"/>
  </r>
  <r>
    <x v="382"/>
    <x v="39"/>
    <x v="0"/>
    <x v="0"/>
    <x v="0"/>
    <x v="0"/>
    <x v="0"/>
    <x v="0"/>
    <x v="0"/>
    <x v="0"/>
    <x v="4"/>
    <x v="0"/>
    <x v="134"/>
    <x v="1"/>
    <x v="0"/>
    <x v="0"/>
    <x v="0"/>
    <x v="382"/>
    <x v="2"/>
    <x v="0"/>
    <x v="0"/>
    <x v="0"/>
    <x v="0"/>
    <x v="3"/>
    <x v="128"/>
    <x v="0"/>
    <x v="6"/>
    <x v="428"/>
    <x v="9"/>
    <x v="51"/>
    <x v="1"/>
    <x v="1"/>
    <x v="1"/>
    <x v="1"/>
    <x v="64"/>
    <x v="1"/>
    <x v="6"/>
    <x v="135"/>
    <x v="135"/>
    <x v="0"/>
    <x v="135"/>
    <x v="138"/>
    <x v="140"/>
    <x v="125"/>
    <x v="140"/>
    <x v="138"/>
    <x v="138"/>
    <x v="138"/>
    <x v="138"/>
    <x v="138"/>
    <x v="138"/>
    <x v="138"/>
    <x v="135"/>
    <x v="124"/>
    <x v="124"/>
    <x v="115"/>
    <x v="0"/>
    <x v="0"/>
    <x v="67"/>
    <x v="135"/>
    <x v="135"/>
    <x v="135"/>
    <x v="135"/>
    <x v="4"/>
  </r>
  <r>
    <x v="383"/>
    <x v="40"/>
    <x v="0"/>
    <x v="0"/>
    <x v="0"/>
    <x v="0"/>
    <x v="0"/>
    <x v="0"/>
    <x v="0"/>
    <x v="0"/>
    <x v="4"/>
    <x v="0"/>
    <x v="733"/>
    <x v="1"/>
    <x v="0"/>
    <x v="0"/>
    <x v="0"/>
    <x v="383"/>
    <x v="2"/>
    <x v="0"/>
    <x v="0"/>
    <x v="0"/>
    <x v="0"/>
    <x v="3"/>
    <x v="75"/>
    <x v="0"/>
    <x v="6"/>
    <x v="426"/>
    <x v="9"/>
    <x v="51"/>
    <x v="1"/>
    <x v="1"/>
    <x v="1"/>
    <x v="1"/>
    <x v="485"/>
    <x v="1"/>
    <x v="6"/>
    <x v="733"/>
    <x v="733"/>
    <x v="1"/>
    <x v="733"/>
    <x v="701"/>
    <x v="720"/>
    <x v="663"/>
    <x v="720"/>
    <x v="701"/>
    <x v="701"/>
    <x v="701"/>
    <x v="701"/>
    <x v="701"/>
    <x v="701"/>
    <x v="701"/>
    <x v="733"/>
    <x v="663"/>
    <x v="663"/>
    <x v="672"/>
    <x v="0"/>
    <x v="0"/>
    <x v="381"/>
    <x v="733"/>
    <x v="733"/>
    <x v="733"/>
    <x v="733"/>
    <x v="4"/>
  </r>
  <r>
    <x v="384"/>
    <x v="35"/>
    <x v="0"/>
    <x v="0"/>
    <x v="0"/>
    <x v="0"/>
    <x v="1"/>
    <x v="4"/>
    <x v="0"/>
    <x v="0"/>
    <x v="4"/>
    <x v="0"/>
    <x v="1254"/>
    <x v="1"/>
    <x v="0"/>
    <x v="0"/>
    <x v="0"/>
    <x v="384"/>
    <x v="1"/>
    <x v="1"/>
    <x v="1"/>
    <x v="0"/>
    <x v="0"/>
    <x v="3"/>
    <x v="128"/>
    <x v="0"/>
    <x v="5"/>
    <x v="430"/>
    <x v="2"/>
    <x v="17"/>
    <x v="1"/>
    <x v="5"/>
    <x v="2"/>
    <x v="1"/>
    <x v="1366"/>
    <x v="5"/>
    <x v="5"/>
    <x v="1252"/>
    <x v="1252"/>
    <x v="2"/>
    <x v="1252"/>
    <x v="1331"/>
    <x v="1308"/>
    <x v="1344"/>
    <x v="1308"/>
    <x v="1331"/>
    <x v="1331"/>
    <x v="1331"/>
    <x v="1331"/>
    <x v="1331"/>
    <x v="1331"/>
    <x v="1331"/>
    <x v="1252"/>
    <x v="1343"/>
    <x v="1343"/>
    <x v="1197"/>
    <x v="0"/>
    <x v="0"/>
    <x v="1157"/>
    <x v="1252"/>
    <x v="1252"/>
    <x v="1252"/>
    <x v="1252"/>
    <x v="4"/>
  </r>
  <r>
    <x v="385"/>
    <x v="54"/>
    <x v="0"/>
    <x v="0"/>
    <x v="0"/>
    <x v="0"/>
    <x v="0"/>
    <x v="1"/>
    <x v="0"/>
    <x v="0"/>
    <x v="4"/>
    <x v="0"/>
    <x v="379"/>
    <x v="1"/>
    <x v="0"/>
    <x v="0"/>
    <x v="0"/>
    <x v="385"/>
    <x v="1"/>
    <x v="1"/>
    <x v="1"/>
    <x v="0"/>
    <x v="0"/>
    <x v="2"/>
    <x v="128"/>
    <x v="0"/>
    <x v="7"/>
    <x v="445"/>
    <x v="10"/>
    <x v="62"/>
    <x v="1"/>
    <x v="2"/>
    <x v="2"/>
    <x v="1"/>
    <x v="571"/>
    <x v="2"/>
    <x v="7"/>
    <x v="379"/>
    <x v="379"/>
    <x v="0"/>
    <x v="379"/>
    <x v="435"/>
    <x v="430"/>
    <x v="436"/>
    <x v="430"/>
    <x v="435"/>
    <x v="435"/>
    <x v="435"/>
    <x v="435"/>
    <x v="435"/>
    <x v="435"/>
    <x v="435"/>
    <x v="379"/>
    <x v="434"/>
    <x v="434"/>
    <x v="343"/>
    <x v="0"/>
    <x v="0"/>
    <x v="292"/>
    <x v="379"/>
    <x v="379"/>
    <x v="379"/>
    <x v="379"/>
    <x v="4"/>
  </r>
  <r>
    <x v="386"/>
    <x v="58"/>
    <x v="0"/>
    <x v="0"/>
    <x v="0"/>
    <x v="0"/>
    <x v="0"/>
    <x v="0"/>
    <x v="0"/>
    <x v="0"/>
    <x v="4"/>
    <x v="0"/>
    <x v="6"/>
    <x v="1"/>
    <x v="0"/>
    <x v="0"/>
    <x v="0"/>
    <x v="386"/>
    <x v="2"/>
    <x v="1"/>
    <x v="1"/>
    <x v="0"/>
    <x v="0"/>
    <x v="3"/>
    <x v="124"/>
    <x v="0"/>
    <x v="7"/>
    <x v="441"/>
    <x v="9"/>
    <x v="51"/>
    <x v="1"/>
    <x v="1"/>
    <x v="1"/>
    <x v="1"/>
    <x v="6"/>
    <x v="1"/>
    <x v="7"/>
    <x v="7"/>
    <x v="7"/>
    <x v="0"/>
    <x v="7"/>
    <x v="7"/>
    <x v="7"/>
    <x v="7"/>
    <x v="7"/>
    <x v="7"/>
    <x v="7"/>
    <x v="7"/>
    <x v="7"/>
    <x v="7"/>
    <x v="7"/>
    <x v="7"/>
    <x v="7"/>
    <x v="7"/>
    <x v="7"/>
    <x v="7"/>
    <x v="0"/>
    <x v="0"/>
    <x v="1"/>
    <x v="7"/>
    <x v="7"/>
    <x v="7"/>
    <x v="7"/>
    <x v="4"/>
  </r>
  <r>
    <x v="387"/>
    <x v="65"/>
    <x v="0"/>
    <x v="0"/>
    <x v="0"/>
    <x v="0"/>
    <x v="0"/>
    <x v="0"/>
    <x v="0"/>
    <x v="0"/>
    <x v="4"/>
    <x v="0"/>
    <x v="549"/>
    <x v="1"/>
    <x v="0"/>
    <x v="0"/>
    <x v="0"/>
    <x v="387"/>
    <x v="2"/>
    <x v="1"/>
    <x v="1"/>
    <x v="0"/>
    <x v="0"/>
    <x v="3"/>
    <x v="72"/>
    <x v="0"/>
    <x v="8"/>
    <x v="436"/>
    <x v="9"/>
    <x v="51"/>
    <x v="1"/>
    <x v="1"/>
    <x v="1"/>
    <x v="1"/>
    <x v="366"/>
    <x v="1"/>
    <x v="8"/>
    <x v="549"/>
    <x v="549"/>
    <x v="0"/>
    <x v="549"/>
    <x v="508"/>
    <x v="518"/>
    <x v="493"/>
    <x v="518"/>
    <x v="508"/>
    <x v="508"/>
    <x v="508"/>
    <x v="508"/>
    <x v="508"/>
    <x v="508"/>
    <x v="508"/>
    <x v="549"/>
    <x v="494"/>
    <x v="494"/>
    <x v="491"/>
    <x v="0"/>
    <x v="0"/>
    <x v="340"/>
    <x v="549"/>
    <x v="549"/>
    <x v="549"/>
    <x v="549"/>
    <x v="4"/>
  </r>
  <r>
    <x v="388"/>
    <x v="54"/>
    <x v="0"/>
    <x v="0"/>
    <x v="0"/>
    <x v="0"/>
    <x v="1"/>
    <x v="4"/>
    <x v="0"/>
    <x v="0"/>
    <x v="4"/>
    <x v="0"/>
    <x v="980"/>
    <x v="1"/>
    <x v="0"/>
    <x v="0"/>
    <x v="0"/>
    <x v="388"/>
    <x v="1"/>
    <x v="1"/>
    <x v="1"/>
    <x v="0"/>
    <x v="0"/>
    <x v="2"/>
    <x v="128"/>
    <x v="0"/>
    <x v="7"/>
    <x v="446"/>
    <x v="2"/>
    <x v="17"/>
    <x v="1"/>
    <x v="5"/>
    <x v="2"/>
    <x v="1"/>
    <x v="1308"/>
    <x v="5"/>
    <x v="7"/>
    <x v="980"/>
    <x v="980"/>
    <x v="1"/>
    <x v="980"/>
    <x v="1090"/>
    <x v="1056"/>
    <x v="1131"/>
    <x v="1056"/>
    <x v="1090"/>
    <x v="1090"/>
    <x v="1090"/>
    <x v="1090"/>
    <x v="1090"/>
    <x v="1090"/>
    <x v="1090"/>
    <x v="980"/>
    <x v="1130"/>
    <x v="1130"/>
    <x v="949"/>
    <x v="0"/>
    <x v="0"/>
    <x v="863"/>
    <x v="980"/>
    <x v="980"/>
    <x v="980"/>
    <x v="980"/>
    <x v="4"/>
  </r>
  <r>
    <x v="389"/>
    <x v="76"/>
    <x v="0"/>
    <x v="0"/>
    <x v="0"/>
    <x v="0"/>
    <x v="0"/>
    <x v="1"/>
    <x v="0"/>
    <x v="0"/>
    <x v="4"/>
    <x v="0"/>
    <x v="797"/>
    <x v="1"/>
    <x v="0"/>
    <x v="0"/>
    <x v="0"/>
    <x v="389"/>
    <x v="1"/>
    <x v="1"/>
    <x v="1"/>
    <x v="0"/>
    <x v="0"/>
    <x v="3"/>
    <x v="72"/>
    <x v="0"/>
    <x v="9"/>
    <x v="456"/>
    <x v="10"/>
    <x v="62"/>
    <x v="1"/>
    <x v="2"/>
    <x v="2"/>
    <x v="1"/>
    <x v="874"/>
    <x v="2"/>
    <x v="9"/>
    <x v="797"/>
    <x v="797"/>
    <x v="1"/>
    <x v="797"/>
    <x v="878"/>
    <x v="863"/>
    <x v="876"/>
    <x v="863"/>
    <x v="878"/>
    <x v="878"/>
    <x v="878"/>
    <x v="878"/>
    <x v="878"/>
    <x v="878"/>
    <x v="878"/>
    <x v="797"/>
    <x v="871"/>
    <x v="871"/>
    <x v="748"/>
    <x v="0"/>
    <x v="0"/>
    <x v="584"/>
    <x v="797"/>
    <x v="797"/>
    <x v="797"/>
    <x v="797"/>
    <x v="4"/>
  </r>
  <r>
    <x v="390"/>
    <x v="71"/>
    <x v="0"/>
    <x v="0"/>
    <x v="0"/>
    <x v="0"/>
    <x v="1"/>
    <x v="4"/>
    <x v="0"/>
    <x v="0"/>
    <x v="4"/>
    <x v="0"/>
    <x v="1132"/>
    <x v="1"/>
    <x v="0"/>
    <x v="0"/>
    <x v="0"/>
    <x v="390"/>
    <x v="1"/>
    <x v="1"/>
    <x v="1"/>
    <x v="0"/>
    <x v="0"/>
    <x v="2"/>
    <x v="128"/>
    <x v="0"/>
    <x v="8"/>
    <x v="444"/>
    <x v="2"/>
    <x v="17"/>
    <x v="1"/>
    <x v="5"/>
    <x v="2"/>
    <x v="1"/>
    <x v="1342"/>
    <x v="5"/>
    <x v="8"/>
    <x v="1130"/>
    <x v="1130"/>
    <x v="1"/>
    <x v="1130"/>
    <x v="1223"/>
    <x v="1193"/>
    <x v="1251"/>
    <x v="1193"/>
    <x v="1223"/>
    <x v="1223"/>
    <x v="1223"/>
    <x v="1223"/>
    <x v="1223"/>
    <x v="1223"/>
    <x v="1223"/>
    <x v="1130"/>
    <x v="1251"/>
    <x v="1251"/>
    <x v="1081"/>
    <x v="0"/>
    <x v="0"/>
    <x v="1043"/>
    <x v="1130"/>
    <x v="1130"/>
    <x v="1130"/>
    <x v="1130"/>
    <x v="4"/>
  </r>
  <r>
    <x v="391"/>
    <x v="86"/>
    <x v="0"/>
    <x v="0"/>
    <x v="0"/>
    <x v="0"/>
    <x v="1"/>
    <x v="3"/>
    <x v="0"/>
    <x v="0"/>
    <x v="4"/>
    <x v="0"/>
    <x v="494"/>
    <x v="1"/>
    <x v="0"/>
    <x v="0"/>
    <x v="0"/>
    <x v="391"/>
    <x v="1"/>
    <x v="1"/>
    <x v="1"/>
    <x v="0"/>
    <x v="0"/>
    <x v="3"/>
    <x v="22"/>
    <x v="0"/>
    <x v="9"/>
    <x v="447"/>
    <x v="2"/>
    <x v="12"/>
    <x v="1"/>
    <x v="4"/>
    <x v="2"/>
    <x v="1"/>
    <x v="994"/>
    <x v="4"/>
    <x v="9"/>
    <x v="494"/>
    <x v="494"/>
    <x v="0"/>
    <x v="494"/>
    <x v="621"/>
    <x v="591"/>
    <x v="651"/>
    <x v="591"/>
    <x v="621"/>
    <x v="621"/>
    <x v="621"/>
    <x v="621"/>
    <x v="621"/>
    <x v="621"/>
    <x v="621"/>
    <x v="494"/>
    <x v="649"/>
    <x v="649"/>
    <x v="473"/>
    <x v="0"/>
    <x v="0"/>
    <x v="419"/>
    <x v="494"/>
    <x v="494"/>
    <x v="494"/>
    <x v="494"/>
    <x v="4"/>
  </r>
  <r>
    <x v="392"/>
    <x v="93"/>
    <x v="0"/>
    <x v="0"/>
    <x v="0"/>
    <x v="0"/>
    <x v="1"/>
    <x v="3"/>
    <x v="0"/>
    <x v="0"/>
    <x v="4"/>
    <x v="0"/>
    <x v="392"/>
    <x v="1"/>
    <x v="0"/>
    <x v="0"/>
    <x v="0"/>
    <x v="392"/>
    <x v="1"/>
    <x v="1"/>
    <x v="1"/>
    <x v="0"/>
    <x v="0"/>
    <x v="3"/>
    <x v="22"/>
    <x v="0"/>
    <x v="9"/>
    <x v="449"/>
    <x v="2"/>
    <x v="12"/>
    <x v="1"/>
    <x v="4"/>
    <x v="2"/>
    <x v="1"/>
    <x v="913"/>
    <x v="4"/>
    <x v="9"/>
    <x v="392"/>
    <x v="392"/>
    <x v="0"/>
    <x v="392"/>
    <x v="459"/>
    <x v="443"/>
    <x v="502"/>
    <x v="443"/>
    <x v="459"/>
    <x v="459"/>
    <x v="459"/>
    <x v="459"/>
    <x v="459"/>
    <x v="459"/>
    <x v="459"/>
    <x v="392"/>
    <x v="500"/>
    <x v="500"/>
    <x v="361"/>
    <x v="0"/>
    <x v="0"/>
    <x v="362"/>
    <x v="392"/>
    <x v="392"/>
    <x v="392"/>
    <x v="392"/>
    <x v="4"/>
  </r>
  <r>
    <x v="393"/>
    <x v="91"/>
    <x v="0"/>
    <x v="0"/>
    <x v="0"/>
    <x v="0"/>
    <x v="1"/>
    <x v="4"/>
    <x v="0"/>
    <x v="0"/>
    <x v="4"/>
    <x v="0"/>
    <x v="253"/>
    <x v="1"/>
    <x v="0"/>
    <x v="0"/>
    <x v="0"/>
    <x v="393"/>
    <x v="1"/>
    <x v="1"/>
    <x v="1"/>
    <x v="0"/>
    <x v="0"/>
    <x v="3"/>
    <x v="22"/>
    <x v="0"/>
    <x v="9"/>
    <x v="435"/>
    <x v="2"/>
    <x v="17"/>
    <x v="1"/>
    <x v="5"/>
    <x v="2"/>
    <x v="1"/>
    <x v="889"/>
    <x v="5"/>
    <x v="9"/>
    <x v="253"/>
    <x v="253"/>
    <x v="0"/>
    <x v="253"/>
    <x v="298"/>
    <x v="287"/>
    <x v="315"/>
    <x v="287"/>
    <x v="298"/>
    <x v="298"/>
    <x v="298"/>
    <x v="298"/>
    <x v="298"/>
    <x v="298"/>
    <x v="298"/>
    <x v="253"/>
    <x v="315"/>
    <x v="315"/>
    <x v="232"/>
    <x v="0"/>
    <x v="0"/>
    <x v="235"/>
    <x v="253"/>
    <x v="253"/>
    <x v="253"/>
    <x v="253"/>
    <x v="4"/>
  </r>
  <r>
    <x v="394"/>
    <x v="95"/>
    <x v="0"/>
    <x v="0"/>
    <x v="0"/>
    <x v="0"/>
    <x v="1"/>
    <x v="3"/>
    <x v="0"/>
    <x v="0"/>
    <x v="4"/>
    <x v="0"/>
    <x v="113"/>
    <x v="1"/>
    <x v="0"/>
    <x v="0"/>
    <x v="0"/>
    <x v="394"/>
    <x v="1"/>
    <x v="1"/>
    <x v="1"/>
    <x v="0"/>
    <x v="0"/>
    <x v="3"/>
    <x v="72"/>
    <x v="0"/>
    <x v="9"/>
    <x v="451"/>
    <x v="2"/>
    <x v="12"/>
    <x v="1"/>
    <x v="4"/>
    <x v="2"/>
    <x v="1"/>
    <x v="187"/>
    <x v="4"/>
    <x v="9"/>
    <x v="114"/>
    <x v="114"/>
    <x v="0"/>
    <x v="114"/>
    <x v="132"/>
    <x v="133"/>
    <x v="130"/>
    <x v="133"/>
    <x v="132"/>
    <x v="132"/>
    <x v="132"/>
    <x v="132"/>
    <x v="132"/>
    <x v="132"/>
    <x v="132"/>
    <x v="114"/>
    <x v="129"/>
    <x v="129"/>
    <x v="104"/>
    <x v="0"/>
    <x v="0"/>
    <x v="89"/>
    <x v="114"/>
    <x v="114"/>
    <x v="114"/>
    <x v="114"/>
    <x v="4"/>
  </r>
  <r>
    <x v="395"/>
    <x v="93"/>
    <x v="0"/>
    <x v="0"/>
    <x v="0"/>
    <x v="0"/>
    <x v="0"/>
    <x v="0"/>
    <x v="0"/>
    <x v="0"/>
    <x v="4"/>
    <x v="0"/>
    <x v="413"/>
    <x v="1"/>
    <x v="0"/>
    <x v="0"/>
    <x v="0"/>
    <x v="395"/>
    <x v="2"/>
    <x v="1"/>
    <x v="1"/>
    <x v="0"/>
    <x v="0"/>
    <x v="3"/>
    <x v="22"/>
    <x v="0"/>
    <x v="9"/>
    <x v="448"/>
    <x v="9"/>
    <x v="51"/>
    <x v="1"/>
    <x v="1"/>
    <x v="1"/>
    <x v="1"/>
    <x v="284"/>
    <x v="1"/>
    <x v="9"/>
    <x v="413"/>
    <x v="413"/>
    <x v="0"/>
    <x v="413"/>
    <x v="409"/>
    <x v="408"/>
    <x v="388"/>
    <x v="408"/>
    <x v="409"/>
    <x v="409"/>
    <x v="409"/>
    <x v="409"/>
    <x v="409"/>
    <x v="409"/>
    <x v="409"/>
    <x v="413"/>
    <x v="390"/>
    <x v="390"/>
    <x v="370"/>
    <x v="0"/>
    <x v="0"/>
    <x v="290"/>
    <x v="413"/>
    <x v="413"/>
    <x v="413"/>
    <x v="413"/>
    <x v="4"/>
  </r>
  <r>
    <x v="396"/>
    <x v="102"/>
    <x v="0"/>
    <x v="0"/>
    <x v="0"/>
    <x v="0"/>
    <x v="1"/>
    <x v="3"/>
    <x v="0"/>
    <x v="0"/>
    <x v="4"/>
    <x v="0"/>
    <x v="415"/>
    <x v="1"/>
    <x v="0"/>
    <x v="0"/>
    <x v="0"/>
    <x v="396"/>
    <x v="1"/>
    <x v="1"/>
    <x v="1"/>
    <x v="0"/>
    <x v="0"/>
    <x v="3"/>
    <x v="72"/>
    <x v="0"/>
    <x v="10"/>
    <x v="453"/>
    <x v="2"/>
    <x v="12"/>
    <x v="1"/>
    <x v="4"/>
    <x v="2"/>
    <x v="1"/>
    <x v="943"/>
    <x v="4"/>
    <x v="10"/>
    <x v="415"/>
    <x v="415"/>
    <x v="0"/>
    <x v="415"/>
    <x v="502"/>
    <x v="478"/>
    <x v="560"/>
    <x v="478"/>
    <x v="502"/>
    <x v="502"/>
    <x v="502"/>
    <x v="502"/>
    <x v="502"/>
    <x v="502"/>
    <x v="502"/>
    <x v="415"/>
    <x v="552"/>
    <x v="552"/>
    <x v="390"/>
    <x v="0"/>
    <x v="0"/>
    <x v="391"/>
    <x v="415"/>
    <x v="415"/>
    <x v="415"/>
    <x v="415"/>
    <x v="4"/>
  </r>
  <r>
    <x v="397"/>
    <x v="96"/>
    <x v="0"/>
    <x v="0"/>
    <x v="0"/>
    <x v="0"/>
    <x v="1"/>
    <x v="4"/>
    <x v="0"/>
    <x v="0"/>
    <x v="4"/>
    <x v="0"/>
    <x v="582"/>
    <x v="1"/>
    <x v="0"/>
    <x v="0"/>
    <x v="0"/>
    <x v="397"/>
    <x v="1"/>
    <x v="1"/>
    <x v="1"/>
    <x v="0"/>
    <x v="0"/>
    <x v="3"/>
    <x v="22"/>
    <x v="0"/>
    <x v="10"/>
    <x v="440"/>
    <x v="2"/>
    <x v="17"/>
    <x v="1"/>
    <x v="5"/>
    <x v="2"/>
    <x v="1"/>
    <x v="1171"/>
    <x v="5"/>
    <x v="10"/>
    <x v="582"/>
    <x v="582"/>
    <x v="0"/>
    <x v="582"/>
    <x v="717"/>
    <x v="678"/>
    <x v="768"/>
    <x v="678"/>
    <x v="717"/>
    <x v="717"/>
    <x v="717"/>
    <x v="717"/>
    <x v="717"/>
    <x v="717"/>
    <x v="717"/>
    <x v="582"/>
    <x v="766"/>
    <x v="766"/>
    <x v="593"/>
    <x v="0"/>
    <x v="0"/>
    <x v="509"/>
    <x v="582"/>
    <x v="582"/>
    <x v="582"/>
    <x v="582"/>
    <x v="4"/>
  </r>
  <r>
    <x v="398"/>
    <x v="96"/>
    <x v="0"/>
    <x v="0"/>
    <x v="0"/>
    <x v="0"/>
    <x v="0"/>
    <x v="0"/>
    <x v="0"/>
    <x v="0"/>
    <x v="4"/>
    <x v="0"/>
    <x v="801"/>
    <x v="1"/>
    <x v="0"/>
    <x v="0"/>
    <x v="0"/>
    <x v="398"/>
    <x v="2"/>
    <x v="1"/>
    <x v="1"/>
    <x v="0"/>
    <x v="0"/>
    <x v="3"/>
    <x v="22"/>
    <x v="0"/>
    <x v="10"/>
    <x v="439"/>
    <x v="9"/>
    <x v="51"/>
    <x v="1"/>
    <x v="1"/>
    <x v="1"/>
    <x v="1"/>
    <x v="540"/>
    <x v="1"/>
    <x v="10"/>
    <x v="801"/>
    <x v="801"/>
    <x v="1"/>
    <x v="801"/>
    <x v="800"/>
    <x v="801"/>
    <x v="756"/>
    <x v="801"/>
    <x v="800"/>
    <x v="800"/>
    <x v="800"/>
    <x v="800"/>
    <x v="800"/>
    <x v="800"/>
    <x v="800"/>
    <x v="801"/>
    <x v="756"/>
    <x v="756"/>
    <x v="740"/>
    <x v="0"/>
    <x v="0"/>
    <x v="492"/>
    <x v="801"/>
    <x v="801"/>
    <x v="801"/>
    <x v="801"/>
    <x v="4"/>
  </r>
  <r>
    <x v="399"/>
    <x v="104"/>
    <x v="0"/>
    <x v="0"/>
    <x v="0"/>
    <x v="0"/>
    <x v="1"/>
    <x v="3"/>
    <x v="0"/>
    <x v="0"/>
    <x v="4"/>
    <x v="0"/>
    <x v="73"/>
    <x v="1"/>
    <x v="0"/>
    <x v="0"/>
    <x v="0"/>
    <x v="399"/>
    <x v="1"/>
    <x v="1"/>
    <x v="1"/>
    <x v="0"/>
    <x v="0"/>
    <x v="3"/>
    <x v="72"/>
    <x v="0"/>
    <x v="10"/>
    <x v="454"/>
    <x v="2"/>
    <x v="12"/>
    <x v="1"/>
    <x v="4"/>
    <x v="2"/>
    <x v="1"/>
    <x v="121"/>
    <x v="4"/>
    <x v="10"/>
    <x v="74"/>
    <x v="74"/>
    <x v="0"/>
    <x v="74"/>
    <x v="81"/>
    <x v="84"/>
    <x v="82"/>
    <x v="84"/>
    <x v="81"/>
    <x v="81"/>
    <x v="81"/>
    <x v="81"/>
    <x v="81"/>
    <x v="81"/>
    <x v="81"/>
    <x v="74"/>
    <x v="80"/>
    <x v="80"/>
    <x v="63"/>
    <x v="0"/>
    <x v="0"/>
    <x v="49"/>
    <x v="74"/>
    <x v="74"/>
    <x v="74"/>
    <x v="74"/>
    <x v="4"/>
  </r>
  <r>
    <x v="400"/>
    <x v="102"/>
    <x v="0"/>
    <x v="0"/>
    <x v="0"/>
    <x v="0"/>
    <x v="0"/>
    <x v="0"/>
    <x v="0"/>
    <x v="0"/>
    <x v="4"/>
    <x v="0"/>
    <x v="927"/>
    <x v="1"/>
    <x v="0"/>
    <x v="0"/>
    <x v="0"/>
    <x v="400"/>
    <x v="2"/>
    <x v="1"/>
    <x v="1"/>
    <x v="0"/>
    <x v="0"/>
    <x v="3"/>
    <x v="72"/>
    <x v="0"/>
    <x v="10"/>
    <x v="452"/>
    <x v="9"/>
    <x v="51"/>
    <x v="1"/>
    <x v="1"/>
    <x v="1"/>
    <x v="1"/>
    <x v="677"/>
    <x v="1"/>
    <x v="10"/>
    <x v="927"/>
    <x v="927"/>
    <x v="1"/>
    <x v="927"/>
    <x v="934"/>
    <x v="933"/>
    <x v="927"/>
    <x v="933"/>
    <x v="934"/>
    <x v="934"/>
    <x v="934"/>
    <x v="934"/>
    <x v="934"/>
    <x v="934"/>
    <x v="934"/>
    <x v="927"/>
    <x v="926"/>
    <x v="926"/>
    <x v="866"/>
    <x v="0"/>
    <x v="0"/>
    <x v="680"/>
    <x v="927"/>
    <x v="927"/>
    <x v="927"/>
    <x v="927"/>
    <x v="4"/>
  </r>
  <r>
    <x v="401"/>
    <x v="113"/>
    <x v="0"/>
    <x v="0"/>
    <x v="0"/>
    <x v="0"/>
    <x v="1"/>
    <x v="3"/>
    <x v="0"/>
    <x v="0"/>
    <x v="4"/>
    <x v="0"/>
    <x v="715"/>
    <x v="1"/>
    <x v="0"/>
    <x v="0"/>
    <x v="0"/>
    <x v="401"/>
    <x v="1"/>
    <x v="1"/>
    <x v="1"/>
    <x v="0"/>
    <x v="0"/>
    <x v="3"/>
    <x v="72"/>
    <x v="0"/>
    <x v="10"/>
    <x v="473"/>
    <x v="2"/>
    <x v="12"/>
    <x v="1"/>
    <x v="4"/>
    <x v="2"/>
    <x v="1"/>
    <x v="1074"/>
    <x v="4"/>
    <x v="10"/>
    <x v="715"/>
    <x v="715"/>
    <x v="1"/>
    <x v="715"/>
    <x v="807"/>
    <x v="786"/>
    <x v="822"/>
    <x v="786"/>
    <x v="807"/>
    <x v="807"/>
    <x v="807"/>
    <x v="807"/>
    <x v="807"/>
    <x v="807"/>
    <x v="807"/>
    <x v="715"/>
    <x v="815"/>
    <x v="815"/>
    <x v="669"/>
    <x v="0"/>
    <x v="0"/>
    <x v="555"/>
    <x v="715"/>
    <x v="715"/>
    <x v="715"/>
    <x v="715"/>
    <x v="4"/>
  </r>
  <r>
    <x v="402"/>
    <x v="105"/>
    <x v="0"/>
    <x v="0"/>
    <x v="0"/>
    <x v="0"/>
    <x v="1"/>
    <x v="4"/>
    <x v="0"/>
    <x v="0"/>
    <x v="4"/>
    <x v="0"/>
    <x v="449"/>
    <x v="1"/>
    <x v="0"/>
    <x v="0"/>
    <x v="0"/>
    <x v="402"/>
    <x v="1"/>
    <x v="1"/>
    <x v="1"/>
    <x v="0"/>
    <x v="0"/>
    <x v="3"/>
    <x v="21"/>
    <x v="0"/>
    <x v="10"/>
    <x v="437"/>
    <x v="2"/>
    <x v="17"/>
    <x v="1"/>
    <x v="5"/>
    <x v="2"/>
    <x v="1"/>
    <x v="1132"/>
    <x v="5"/>
    <x v="10"/>
    <x v="449"/>
    <x v="449"/>
    <x v="0"/>
    <x v="449"/>
    <x v="577"/>
    <x v="522"/>
    <x v="639"/>
    <x v="522"/>
    <x v="577"/>
    <x v="577"/>
    <x v="577"/>
    <x v="577"/>
    <x v="577"/>
    <x v="577"/>
    <x v="577"/>
    <x v="449"/>
    <x v="640"/>
    <x v="640"/>
    <x v="434"/>
    <x v="0"/>
    <x v="0"/>
    <x v="431"/>
    <x v="449"/>
    <x v="449"/>
    <x v="449"/>
    <x v="449"/>
    <x v="4"/>
  </r>
  <r>
    <x v="403"/>
    <x v="108"/>
    <x v="0"/>
    <x v="0"/>
    <x v="0"/>
    <x v="0"/>
    <x v="0"/>
    <x v="0"/>
    <x v="0"/>
    <x v="0"/>
    <x v="4"/>
    <x v="0"/>
    <x v="325"/>
    <x v="1"/>
    <x v="0"/>
    <x v="0"/>
    <x v="0"/>
    <x v="403"/>
    <x v="2"/>
    <x v="1"/>
    <x v="1"/>
    <x v="0"/>
    <x v="0"/>
    <x v="3"/>
    <x v="23"/>
    <x v="0"/>
    <x v="11"/>
    <x v="434"/>
    <x v="9"/>
    <x v="51"/>
    <x v="1"/>
    <x v="1"/>
    <x v="1"/>
    <x v="1"/>
    <x v="215"/>
    <x v="1"/>
    <x v="11"/>
    <x v="325"/>
    <x v="325"/>
    <x v="0"/>
    <x v="325"/>
    <x v="317"/>
    <x v="320"/>
    <x v="312"/>
    <x v="320"/>
    <x v="317"/>
    <x v="317"/>
    <x v="317"/>
    <x v="317"/>
    <x v="317"/>
    <x v="317"/>
    <x v="317"/>
    <x v="325"/>
    <x v="312"/>
    <x v="312"/>
    <x v="285"/>
    <x v="0"/>
    <x v="0"/>
    <x v="246"/>
    <x v="325"/>
    <x v="325"/>
    <x v="325"/>
    <x v="325"/>
    <x v="4"/>
  </r>
  <r>
    <x v="404"/>
    <x v="109"/>
    <x v="0"/>
    <x v="0"/>
    <x v="0"/>
    <x v="0"/>
    <x v="1"/>
    <x v="4"/>
    <x v="0"/>
    <x v="0"/>
    <x v="4"/>
    <x v="0"/>
    <x v="64"/>
    <x v="1"/>
    <x v="0"/>
    <x v="0"/>
    <x v="0"/>
    <x v="404"/>
    <x v="1"/>
    <x v="1"/>
    <x v="1"/>
    <x v="0"/>
    <x v="0"/>
    <x v="3"/>
    <x v="21"/>
    <x v="0"/>
    <x v="16"/>
    <x v="433"/>
    <x v="2"/>
    <x v="17"/>
    <x v="1"/>
    <x v="5"/>
    <x v="2"/>
    <x v="1"/>
    <x v="178"/>
    <x v="5"/>
    <x v="16"/>
    <x v="65"/>
    <x v="65"/>
    <x v="0"/>
    <x v="65"/>
    <x v="75"/>
    <x v="73"/>
    <x v="76"/>
    <x v="73"/>
    <x v="75"/>
    <x v="75"/>
    <x v="75"/>
    <x v="75"/>
    <x v="75"/>
    <x v="75"/>
    <x v="75"/>
    <x v="65"/>
    <x v="76"/>
    <x v="76"/>
    <x v="56"/>
    <x v="0"/>
    <x v="0"/>
    <x v="66"/>
    <x v="65"/>
    <x v="65"/>
    <x v="65"/>
    <x v="65"/>
    <x v="4"/>
  </r>
  <r>
    <x v="405"/>
    <x v="110"/>
    <x v="0"/>
    <x v="0"/>
    <x v="0"/>
    <x v="0"/>
    <x v="1"/>
    <x v="4"/>
    <x v="0"/>
    <x v="0"/>
    <x v="4"/>
    <x v="0"/>
    <x v="37"/>
    <x v="1"/>
    <x v="0"/>
    <x v="0"/>
    <x v="0"/>
    <x v="405"/>
    <x v="1"/>
    <x v="1"/>
    <x v="1"/>
    <x v="0"/>
    <x v="0"/>
    <x v="3"/>
    <x v="21"/>
    <x v="0"/>
    <x v="10"/>
    <x v="459"/>
    <x v="2"/>
    <x v="17"/>
    <x v="1"/>
    <x v="5"/>
    <x v="2"/>
    <x v="1"/>
    <x v="124"/>
    <x v="5"/>
    <x v="10"/>
    <x v="38"/>
    <x v="38"/>
    <x v="0"/>
    <x v="38"/>
    <x v="41"/>
    <x v="43"/>
    <x v="43"/>
    <x v="43"/>
    <x v="41"/>
    <x v="41"/>
    <x v="41"/>
    <x v="41"/>
    <x v="41"/>
    <x v="41"/>
    <x v="41"/>
    <x v="38"/>
    <x v="43"/>
    <x v="43"/>
    <x v="33"/>
    <x v="0"/>
    <x v="0"/>
    <x v="33"/>
    <x v="38"/>
    <x v="38"/>
    <x v="38"/>
    <x v="38"/>
    <x v="4"/>
  </r>
  <r>
    <x v="406"/>
    <x v="114"/>
    <x v="0"/>
    <x v="0"/>
    <x v="0"/>
    <x v="0"/>
    <x v="0"/>
    <x v="0"/>
    <x v="0"/>
    <x v="0"/>
    <x v="4"/>
    <x v="0"/>
    <x v="210"/>
    <x v="1"/>
    <x v="0"/>
    <x v="0"/>
    <x v="0"/>
    <x v="406"/>
    <x v="2"/>
    <x v="1"/>
    <x v="1"/>
    <x v="0"/>
    <x v="0"/>
    <x v="3"/>
    <x v="23"/>
    <x v="0"/>
    <x v="11"/>
    <x v="496"/>
    <x v="9"/>
    <x v="51"/>
    <x v="1"/>
    <x v="1"/>
    <x v="1"/>
    <x v="1"/>
    <x v="122"/>
    <x v="1"/>
    <x v="11"/>
    <x v="211"/>
    <x v="211"/>
    <x v="0"/>
    <x v="211"/>
    <x v="219"/>
    <x v="221"/>
    <x v="210"/>
    <x v="221"/>
    <x v="219"/>
    <x v="219"/>
    <x v="219"/>
    <x v="219"/>
    <x v="219"/>
    <x v="219"/>
    <x v="219"/>
    <x v="211"/>
    <x v="210"/>
    <x v="210"/>
    <x v="183"/>
    <x v="0"/>
    <x v="0"/>
    <x v="173"/>
    <x v="211"/>
    <x v="211"/>
    <x v="211"/>
    <x v="211"/>
    <x v="4"/>
  </r>
  <r>
    <x v="407"/>
    <x v="105"/>
    <x v="0"/>
    <x v="0"/>
    <x v="0"/>
    <x v="0"/>
    <x v="0"/>
    <x v="0"/>
    <x v="0"/>
    <x v="0"/>
    <x v="4"/>
    <x v="0"/>
    <x v="1013"/>
    <x v="1"/>
    <x v="0"/>
    <x v="0"/>
    <x v="0"/>
    <x v="407"/>
    <x v="2"/>
    <x v="1"/>
    <x v="1"/>
    <x v="0"/>
    <x v="0"/>
    <x v="3"/>
    <x v="21"/>
    <x v="0"/>
    <x v="10"/>
    <x v="438"/>
    <x v="9"/>
    <x v="51"/>
    <x v="1"/>
    <x v="1"/>
    <x v="1"/>
    <x v="1"/>
    <x v="777"/>
    <x v="1"/>
    <x v="10"/>
    <x v="1013"/>
    <x v="1013"/>
    <x v="1"/>
    <x v="1013"/>
    <x v="1025"/>
    <x v="1019"/>
    <x v="1010"/>
    <x v="1019"/>
    <x v="1025"/>
    <x v="1025"/>
    <x v="1025"/>
    <x v="1025"/>
    <x v="1025"/>
    <x v="1025"/>
    <x v="1025"/>
    <x v="1013"/>
    <x v="1008"/>
    <x v="1008"/>
    <x v="942"/>
    <x v="0"/>
    <x v="0"/>
    <x v="789"/>
    <x v="1013"/>
    <x v="1013"/>
    <x v="1013"/>
    <x v="1013"/>
    <x v="4"/>
  </r>
  <r>
    <x v="408"/>
    <x v="51"/>
    <x v="0"/>
    <x v="0"/>
    <x v="0"/>
    <x v="0"/>
    <x v="0"/>
    <x v="0"/>
    <x v="0"/>
    <x v="0"/>
    <x v="4"/>
    <x v="0"/>
    <x v="383"/>
    <x v="1"/>
    <x v="0"/>
    <x v="0"/>
    <x v="0"/>
    <x v="408"/>
    <x v="2"/>
    <x v="2"/>
    <x v="2"/>
    <x v="0"/>
    <x v="0"/>
    <x v="3"/>
    <x v="123"/>
    <x v="0"/>
    <x v="9"/>
    <x v="467"/>
    <x v="9"/>
    <x v="51"/>
    <x v="1"/>
    <x v="1"/>
    <x v="1"/>
    <x v="1"/>
    <x v="265"/>
    <x v="1"/>
    <x v="9"/>
    <x v="383"/>
    <x v="383"/>
    <x v="0"/>
    <x v="383"/>
    <x v="383"/>
    <x v="383"/>
    <x v="358"/>
    <x v="383"/>
    <x v="383"/>
    <x v="383"/>
    <x v="383"/>
    <x v="383"/>
    <x v="383"/>
    <x v="383"/>
    <x v="383"/>
    <x v="383"/>
    <x v="357"/>
    <x v="357"/>
    <x v="340"/>
    <x v="0"/>
    <x v="0"/>
    <x v="269"/>
    <x v="383"/>
    <x v="383"/>
    <x v="383"/>
    <x v="383"/>
    <x v="4"/>
  </r>
  <r>
    <x v="409"/>
    <x v="53"/>
    <x v="0"/>
    <x v="0"/>
    <x v="0"/>
    <x v="0"/>
    <x v="0"/>
    <x v="0"/>
    <x v="0"/>
    <x v="0"/>
    <x v="4"/>
    <x v="0"/>
    <x v="818"/>
    <x v="1"/>
    <x v="0"/>
    <x v="0"/>
    <x v="0"/>
    <x v="409"/>
    <x v="2"/>
    <x v="2"/>
    <x v="2"/>
    <x v="0"/>
    <x v="0"/>
    <x v="3"/>
    <x v="128"/>
    <x v="0"/>
    <x v="15"/>
    <x v="462"/>
    <x v="9"/>
    <x v="51"/>
    <x v="1"/>
    <x v="1"/>
    <x v="1"/>
    <x v="1"/>
    <x v="562"/>
    <x v="1"/>
    <x v="15"/>
    <x v="818"/>
    <x v="818"/>
    <x v="1"/>
    <x v="818"/>
    <x v="823"/>
    <x v="823"/>
    <x v="790"/>
    <x v="823"/>
    <x v="823"/>
    <x v="823"/>
    <x v="823"/>
    <x v="823"/>
    <x v="823"/>
    <x v="823"/>
    <x v="823"/>
    <x v="818"/>
    <x v="787"/>
    <x v="787"/>
    <x v="761"/>
    <x v="0"/>
    <x v="0"/>
    <x v="645"/>
    <x v="818"/>
    <x v="818"/>
    <x v="818"/>
    <x v="818"/>
    <x v="4"/>
  </r>
  <r>
    <x v="410"/>
    <x v="51"/>
    <x v="0"/>
    <x v="0"/>
    <x v="0"/>
    <x v="0"/>
    <x v="0"/>
    <x v="0"/>
    <x v="0"/>
    <x v="0"/>
    <x v="4"/>
    <x v="0"/>
    <x v="610"/>
    <x v="1"/>
    <x v="0"/>
    <x v="0"/>
    <x v="0"/>
    <x v="410"/>
    <x v="2"/>
    <x v="2"/>
    <x v="2"/>
    <x v="0"/>
    <x v="0"/>
    <x v="3"/>
    <x v="123"/>
    <x v="0"/>
    <x v="9"/>
    <x v="466"/>
    <x v="9"/>
    <x v="51"/>
    <x v="1"/>
    <x v="1"/>
    <x v="1"/>
    <x v="1"/>
    <x v="398"/>
    <x v="1"/>
    <x v="9"/>
    <x v="610"/>
    <x v="610"/>
    <x v="0"/>
    <x v="610"/>
    <x v="556"/>
    <x v="564"/>
    <x v="534"/>
    <x v="564"/>
    <x v="556"/>
    <x v="556"/>
    <x v="556"/>
    <x v="556"/>
    <x v="556"/>
    <x v="556"/>
    <x v="556"/>
    <x v="610"/>
    <x v="535"/>
    <x v="535"/>
    <x v="544"/>
    <x v="0"/>
    <x v="0"/>
    <x v="375"/>
    <x v="610"/>
    <x v="610"/>
    <x v="610"/>
    <x v="610"/>
    <x v="4"/>
  </r>
  <r>
    <x v="411"/>
    <x v="56"/>
    <x v="0"/>
    <x v="0"/>
    <x v="0"/>
    <x v="0"/>
    <x v="0"/>
    <x v="0"/>
    <x v="0"/>
    <x v="0"/>
    <x v="4"/>
    <x v="0"/>
    <x v="553"/>
    <x v="1"/>
    <x v="0"/>
    <x v="0"/>
    <x v="0"/>
    <x v="411"/>
    <x v="2"/>
    <x v="2"/>
    <x v="2"/>
    <x v="0"/>
    <x v="0"/>
    <x v="3"/>
    <x v="124"/>
    <x v="0"/>
    <x v="7"/>
    <x v="442"/>
    <x v="9"/>
    <x v="51"/>
    <x v="1"/>
    <x v="1"/>
    <x v="1"/>
    <x v="1"/>
    <x v="369"/>
    <x v="1"/>
    <x v="7"/>
    <x v="553"/>
    <x v="553"/>
    <x v="0"/>
    <x v="553"/>
    <x v="511"/>
    <x v="520"/>
    <x v="496"/>
    <x v="520"/>
    <x v="511"/>
    <x v="511"/>
    <x v="511"/>
    <x v="511"/>
    <x v="511"/>
    <x v="511"/>
    <x v="511"/>
    <x v="553"/>
    <x v="496"/>
    <x v="496"/>
    <x v="493"/>
    <x v="0"/>
    <x v="0"/>
    <x v="320"/>
    <x v="553"/>
    <x v="553"/>
    <x v="553"/>
    <x v="553"/>
    <x v="4"/>
  </r>
  <r>
    <x v="412"/>
    <x v="53"/>
    <x v="0"/>
    <x v="0"/>
    <x v="0"/>
    <x v="0"/>
    <x v="0"/>
    <x v="0"/>
    <x v="0"/>
    <x v="0"/>
    <x v="4"/>
    <x v="0"/>
    <x v="492"/>
    <x v="1"/>
    <x v="0"/>
    <x v="0"/>
    <x v="0"/>
    <x v="412"/>
    <x v="2"/>
    <x v="2"/>
    <x v="2"/>
    <x v="0"/>
    <x v="0"/>
    <x v="3"/>
    <x v="128"/>
    <x v="0"/>
    <x v="15"/>
    <x v="461"/>
    <x v="9"/>
    <x v="51"/>
    <x v="1"/>
    <x v="1"/>
    <x v="1"/>
    <x v="1"/>
    <x v="330"/>
    <x v="1"/>
    <x v="15"/>
    <x v="492"/>
    <x v="492"/>
    <x v="0"/>
    <x v="492"/>
    <x v="465"/>
    <x v="469"/>
    <x v="452"/>
    <x v="469"/>
    <x v="465"/>
    <x v="465"/>
    <x v="465"/>
    <x v="465"/>
    <x v="465"/>
    <x v="465"/>
    <x v="465"/>
    <x v="492"/>
    <x v="452"/>
    <x v="452"/>
    <x v="438"/>
    <x v="0"/>
    <x v="0"/>
    <x v="412"/>
    <x v="492"/>
    <x v="492"/>
    <x v="492"/>
    <x v="492"/>
    <x v="4"/>
  </r>
  <r>
    <x v="413"/>
    <x v="64"/>
    <x v="0"/>
    <x v="0"/>
    <x v="0"/>
    <x v="0"/>
    <x v="0"/>
    <x v="1"/>
    <x v="0"/>
    <x v="0"/>
    <x v="4"/>
    <x v="0"/>
    <x v="901"/>
    <x v="1"/>
    <x v="0"/>
    <x v="0"/>
    <x v="0"/>
    <x v="413"/>
    <x v="1"/>
    <x v="2"/>
    <x v="2"/>
    <x v="0"/>
    <x v="0"/>
    <x v="3"/>
    <x v="124"/>
    <x v="0"/>
    <x v="8"/>
    <x v="465"/>
    <x v="10"/>
    <x v="62"/>
    <x v="1"/>
    <x v="2"/>
    <x v="2"/>
    <x v="1"/>
    <x v="985"/>
    <x v="2"/>
    <x v="8"/>
    <x v="901"/>
    <x v="901"/>
    <x v="1"/>
    <x v="901"/>
    <x v="984"/>
    <x v="967"/>
    <x v="985"/>
    <x v="967"/>
    <x v="984"/>
    <x v="984"/>
    <x v="984"/>
    <x v="984"/>
    <x v="984"/>
    <x v="984"/>
    <x v="984"/>
    <x v="901"/>
    <x v="980"/>
    <x v="980"/>
    <x v="842"/>
    <x v="0"/>
    <x v="0"/>
    <x v="699"/>
    <x v="901"/>
    <x v="901"/>
    <x v="901"/>
    <x v="901"/>
    <x v="4"/>
  </r>
  <r>
    <x v="414"/>
    <x v="59"/>
    <x v="0"/>
    <x v="0"/>
    <x v="0"/>
    <x v="0"/>
    <x v="0"/>
    <x v="0"/>
    <x v="0"/>
    <x v="0"/>
    <x v="4"/>
    <x v="0"/>
    <x v="535"/>
    <x v="1"/>
    <x v="0"/>
    <x v="0"/>
    <x v="0"/>
    <x v="414"/>
    <x v="2"/>
    <x v="2"/>
    <x v="2"/>
    <x v="0"/>
    <x v="0"/>
    <x v="3"/>
    <x v="72"/>
    <x v="0"/>
    <x v="8"/>
    <x v="472"/>
    <x v="9"/>
    <x v="51"/>
    <x v="1"/>
    <x v="1"/>
    <x v="1"/>
    <x v="1"/>
    <x v="356"/>
    <x v="1"/>
    <x v="8"/>
    <x v="535"/>
    <x v="535"/>
    <x v="0"/>
    <x v="535"/>
    <x v="493"/>
    <x v="506"/>
    <x v="482"/>
    <x v="506"/>
    <x v="493"/>
    <x v="493"/>
    <x v="493"/>
    <x v="493"/>
    <x v="493"/>
    <x v="493"/>
    <x v="493"/>
    <x v="535"/>
    <x v="481"/>
    <x v="481"/>
    <x v="478"/>
    <x v="0"/>
    <x v="0"/>
    <x v="333"/>
    <x v="535"/>
    <x v="535"/>
    <x v="535"/>
    <x v="535"/>
    <x v="4"/>
  </r>
  <r>
    <x v="415"/>
    <x v="62"/>
    <x v="0"/>
    <x v="0"/>
    <x v="0"/>
    <x v="0"/>
    <x v="0"/>
    <x v="0"/>
    <x v="0"/>
    <x v="0"/>
    <x v="4"/>
    <x v="0"/>
    <x v="715"/>
    <x v="1"/>
    <x v="0"/>
    <x v="0"/>
    <x v="0"/>
    <x v="415"/>
    <x v="2"/>
    <x v="2"/>
    <x v="2"/>
    <x v="0"/>
    <x v="0"/>
    <x v="3"/>
    <x v="128"/>
    <x v="0"/>
    <x v="10"/>
    <x v="470"/>
    <x v="9"/>
    <x v="51"/>
    <x v="1"/>
    <x v="1"/>
    <x v="1"/>
    <x v="1"/>
    <x v="472"/>
    <x v="1"/>
    <x v="10"/>
    <x v="715"/>
    <x v="715"/>
    <x v="1"/>
    <x v="715"/>
    <x v="664"/>
    <x v="679"/>
    <x v="626"/>
    <x v="679"/>
    <x v="664"/>
    <x v="664"/>
    <x v="664"/>
    <x v="664"/>
    <x v="664"/>
    <x v="664"/>
    <x v="664"/>
    <x v="715"/>
    <x v="627"/>
    <x v="627"/>
    <x v="651"/>
    <x v="0"/>
    <x v="0"/>
    <x v="424"/>
    <x v="715"/>
    <x v="715"/>
    <x v="715"/>
    <x v="715"/>
    <x v="4"/>
  </r>
  <r>
    <x v="416"/>
    <x v="56"/>
    <x v="0"/>
    <x v="0"/>
    <x v="0"/>
    <x v="0"/>
    <x v="0"/>
    <x v="1"/>
    <x v="0"/>
    <x v="0"/>
    <x v="4"/>
    <x v="0"/>
    <x v="589"/>
    <x v="1"/>
    <x v="0"/>
    <x v="0"/>
    <x v="0"/>
    <x v="416"/>
    <x v="1"/>
    <x v="2"/>
    <x v="2"/>
    <x v="0"/>
    <x v="0"/>
    <x v="3"/>
    <x v="124"/>
    <x v="0"/>
    <x v="7"/>
    <x v="443"/>
    <x v="10"/>
    <x v="62"/>
    <x v="1"/>
    <x v="2"/>
    <x v="2"/>
    <x v="1"/>
    <x v="735"/>
    <x v="2"/>
    <x v="7"/>
    <x v="589"/>
    <x v="589"/>
    <x v="0"/>
    <x v="589"/>
    <x v="682"/>
    <x v="683"/>
    <x v="679"/>
    <x v="683"/>
    <x v="682"/>
    <x v="682"/>
    <x v="682"/>
    <x v="682"/>
    <x v="682"/>
    <x v="682"/>
    <x v="682"/>
    <x v="589"/>
    <x v="675"/>
    <x v="675"/>
    <x v="543"/>
    <x v="0"/>
    <x v="0"/>
    <x v="399"/>
    <x v="589"/>
    <x v="589"/>
    <x v="589"/>
    <x v="589"/>
    <x v="4"/>
  </r>
  <r>
    <x v="417"/>
    <x v="59"/>
    <x v="0"/>
    <x v="0"/>
    <x v="0"/>
    <x v="0"/>
    <x v="0"/>
    <x v="1"/>
    <x v="0"/>
    <x v="0"/>
    <x v="4"/>
    <x v="0"/>
    <x v="24"/>
    <x v="1"/>
    <x v="0"/>
    <x v="0"/>
    <x v="0"/>
    <x v="417"/>
    <x v="1"/>
    <x v="2"/>
    <x v="2"/>
    <x v="0"/>
    <x v="0"/>
    <x v="3"/>
    <x v="72"/>
    <x v="0"/>
    <x v="8"/>
    <x v="471"/>
    <x v="10"/>
    <x v="62"/>
    <x v="1"/>
    <x v="2"/>
    <x v="2"/>
    <x v="1"/>
    <x v="33"/>
    <x v="2"/>
    <x v="8"/>
    <x v="25"/>
    <x v="25"/>
    <x v="0"/>
    <x v="25"/>
    <x v="28"/>
    <x v="28"/>
    <x v="26"/>
    <x v="28"/>
    <x v="28"/>
    <x v="28"/>
    <x v="28"/>
    <x v="28"/>
    <x v="28"/>
    <x v="28"/>
    <x v="28"/>
    <x v="25"/>
    <x v="26"/>
    <x v="26"/>
    <x v="22"/>
    <x v="0"/>
    <x v="0"/>
    <x v="13"/>
    <x v="25"/>
    <x v="25"/>
    <x v="25"/>
    <x v="25"/>
    <x v="4"/>
  </r>
  <r>
    <x v="418"/>
    <x v="61"/>
    <x v="0"/>
    <x v="0"/>
    <x v="0"/>
    <x v="0"/>
    <x v="0"/>
    <x v="1"/>
    <x v="0"/>
    <x v="0"/>
    <x v="4"/>
    <x v="0"/>
    <x v="575"/>
    <x v="1"/>
    <x v="0"/>
    <x v="0"/>
    <x v="0"/>
    <x v="418"/>
    <x v="1"/>
    <x v="2"/>
    <x v="2"/>
    <x v="0"/>
    <x v="0"/>
    <x v="3"/>
    <x v="72"/>
    <x v="0"/>
    <x v="13"/>
    <x v="468"/>
    <x v="10"/>
    <x v="62"/>
    <x v="1"/>
    <x v="2"/>
    <x v="2"/>
    <x v="1"/>
    <x v="730"/>
    <x v="2"/>
    <x v="13"/>
    <x v="575"/>
    <x v="575"/>
    <x v="0"/>
    <x v="575"/>
    <x v="671"/>
    <x v="670"/>
    <x v="672"/>
    <x v="670"/>
    <x v="671"/>
    <x v="671"/>
    <x v="671"/>
    <x v="671"/>
    <x v="671"/>
    <x v="671"/>
    <x v="671"/>
    <x v="575"/>
    <x v="664"/>
    <x v="664"/>
    <x v="533"/>
    <x v="0"/>
    <x v="0"/>
    <x v="498"/>
    <x v="575"/>
    <x v="575"/>
    <x v="575"/>
    <x v="575"/>
    <x v="4"/>
  </r>
  <r>
    <x v="419"/>
    <x v="67"/>
    <x v="0"/>
    <x v="0"/>
    <x v="0"/>
    <x v="0"/>
    <x v="0"/>
    <x v="0"/>
    <x v="0"/>
    <x v="0"/>
    <x v="4"/>
    <x v="0"/>
    <x v="61"/>
    <x v="1"/>
    <x v="0"/>
    <x v="0"/>
    <x v="0"/>
    <x v="419"/>
    <x v="2"/>
    <x v="2"/>
    <x v="2"/>
    <x v="0"/>
    <x v="0"/>
    <x v="3"/>
    <x v="72"/>
    <x v="0"/>
    <x v="18"/>
    <x v="464"/>
    <x v="9"/>
    <x v="51"/>
    <x v="1"/>
    <x v="1"/>
    <x v="1"/>
    <x v="1"/>
    <x v="29"/>
    <x v="1"/>
    <x v="18"/>
    <x v="62"/>
    <x v="62"/>
    <x v="0"/>
    <x v="62"/>
    <x v="50"/>
    <x v="54"/>
    <x v="42"/>
    <x v="54"/>
    <x v="50"/>
    <x v="50"/>
    <x v="50"/>
    <x v="50"/>
    <x v="50"/>
    <x v="50"/>
    <x v="50"/>
    <x v="62"/>
    <x v="42"/>
    <x v="42"/>
    <x v="50"/>
    <x v="0"/>
    <x v="0"/>
    <x v="42"/>
    <x v="62"/>
    <x v="62"/>
    <x v="62"/>
    <x v="62"/>
    <x v="4"/>
  </r>
  <r>
    <x v="420"/>
    <x v="67"/>
    <x v="0"/>
    <x v="0"/>
    <x v="0"/>
    <x v="0"/>
    <x v="0"/>
    <x v="0"/>
    <x v="0"/>
    <x v="0"/>
    <x v="4"/>
    <x v="0"/>
    <x v="616"/>
    <x v="1"/>
    <x v="0"/>
    <x v="0"/>
    <x v="0"/>
    <x v="420"/>
    <x v="2"/>
    <x v="2"/>
    <x v="2"/>
    <x v="0"/>
    <x v="0"/>
    <x v="3"/>
    <x v="72"/>
    <x v="0"/>
    <x v="18"/>
    <x v="43"/>
    <x v="9"/>
    <x v="51"/>
    <x v="1"/>
    <x v="1"/>
    <x v="1"/>
    <x v="1"/>
    <x v="403"/>
    <x v="1"/>
    <x v="18"/>
    <x v="616"/>
    <x v="616"/>
    <x v="0"/>
    <x v="616"/>
    <x v="562"/>
    <x v="572"/>
    <x v="539"/>
    <x v="572"/>
    <x v="562"/>
    <x v="562"/>
    <x v="562"/>
    <x v="562"/>
    <x v="562"/>
    <x v="562"/>
    <x v="562"/>
    <x v="616"/>
    <x v="540"/>
    <x v="540"/>
    <x v="551"/>
    <x v="0"/>
    <x v="0"/>
    <x v="513"/>
    <x v="616"/>
    <x v="616"/>
    <x v="616"/>
    <x v="616"/>
    <x v="4"/>
  </r>
  <r>
    <x v="421"/>
    <x v="74"/>
    <x v="0"/>
    <x v="0"/>
    <x v="0"/>
    <x v="0"/>
    <x v="0"/>
    <x v="0"/>
    <x v="0"/>
    <x v="0"/>
    <x v="4"/>
    <x v="0"/>
    <x v="824"/>
    <x v="1"/>
    <x v="0"/>
    <x v="0"/>
    <x v="0"/>
    <x v="421"/>
    <x v="2"/>
    <x v="2"/>
    <x v="2"/>
    <x v="0"/>
    <x v="0"/>
    <x v="3"/>
    <x v="72"/>
    <x v="0"/>
    <x v="10"/>
    <x v="469"/>
    <x v="9"/>
    <x v="51"/>
    <x v="1"/>
    <x v="1"/>
    <x v="1"/>
    <x v="1"/>
    <x v="566"/>
    <x v="1"/>
    <x v="10"/>
    <x v="824"/>
    <x v="824"/>
    <x v="1"/>
    <x v="824"/>
    <x v="830"/>
    <x v="829"/>
    <x v="800"/>
    <x v="829"/>
    <x v="830"/>
    <x v="830"/>
    <x v="830"/>
    <x v="830"/>
    <x v="830"/>
    <x v="830"/>
    <x v="830"/>
    <x v="824"/>
    <x v="797"/>
    <x v="797"/>
    <x v="764"/>
    <x v="0"/>
    <x v="0"/>
    <x v="535"/>
    <x v="824"/>
    <x v="824"/>
    <x v="824"/>
    <x v="824"/>
    <x v="4"/>
  </r>
  <r>
    <x v="422"/>
    <x v="67"/>
    <x v="0"/>
    <x v="0"/>
    <x v="0"/>
    <x v="0"/>
    <x v="0"/>
    <x v="0"/>
    <x v="0"/>
    <x v="0"/>
    <x v="4"/>
    <x v="0"/>
    <x v="1344"/>
    <x v="1"/>
    <x v="0"/>
    <x v="0"/>
    <x v="0"/>
    <x v="422"/>
    <x v="2"/>
    <x v="2"/>
    <x v="2"/>
    <x v="0"/>
    <x v="0"/>
    <x v="3"/>
    <x v="72"/>
    <x v="0"/>
    <x v="18"/>
    <x v="463"/>
    <x v="9"/>
    <x v="51"/>
    <x v="1"/>
    <x v="1"/>
    <x v="1"/>
    <x v="1"/>
    <x v="1208"/>
    <x v="1"/>
    <x v="18"/>
    <x v="1342"/>
    <x v="1342"/>
    <x v="3"/>
    <x v="1342"/>
    <x v="1374"/>
    <x v="1367"/>
    <x v="1368"/>
    <x v="1367"/>
    <x v="1374"/>
    <x v="1374"/>
    <x v="1374"/>
    <x v="1374"/>
    <x v="1374"/>
    <x v="1374"/>
    <x v="1374"/>
    <x v="1342"/>
    <x v="1366"/>
    <x v="1366"/>
    <x v="1262"/>
    <x v="0"/>
    <x v="0"/>
    <x v="1364"/>
    <x v="1342"/>
    <x v="1342"/>
    <x v="1342"/>
    <x v="1342"/>
    <x v="4"/>
  </r>
  <r>
    <x v="423"/>
    <x v="76"/>
    <x v="0"/>
    <x v="0"/>
    <x v="0"/>
    <x v="0"/>
    <x v="0"/>
    <x v="1"/>
    <x v="0"/>
    <x v="0"/>
    <x v="4"/>
    <x v="0"/>
    <x v="1182"/>
    <x v="1"/>
    <x v="0"/>
    <x v="0"/>
    <x v="0"/>
    <x v="423"/>
    <x v="1"/>
    <x v="2"/>
    <x v="2"/>
    <x v="0"/>
    <x v="0"/>
    <x v="3"/>
    <x v="72"/>
    <x v="0"/>
    <x v="9"/>
    <x v="457"/>
    <x v="10"/>
    <x v="62"/>
    <x v="1"/>
    <x v="2"/>
    <x v="2"/>
    <x v="1"/>
    <x v="1180"/>
    <x v="2"/>
    <x v="9"/>
    <x v="1180"/>
    <x v="1180"/>
    <x v="2"/>
    <x v="1180"/>
    <x v="1250"/>
    <x v="1233"/>
    <x v="1252"/>
    <x v="1233"/>
    <x v="1250"/>
    <x v="1250"/>
    <x v="1250"/>
    <x v="1250"/>
    <x v="1250"/>
    <x v="1250"/>
    <x v="1250"/>
    <x v="1180"/>
    <x v="1248"/>
    <x v="1248"/>
    <x v="1112"/>
    <x v="0"/>
    <x v="0"/>
    <x v="1060"/>
    <x v="1180"/>
    <x v="1180"/>
    <x v="1180"/>
    <x v="1180"/>
    <x v="4"/>
  </r>
  <r>
    <x v="424"/>
    <x v="95"/>
    <x v="0"/>
    <x v="0"/>
    <x v="0"/>
    <x v="0"/>
    <x v="0"/>
    <x v="0"/>
    <x v="0"/>
    <x v="0"/>
    <x v="4"/>
    <x v="0"/>
    <x v="1315"/>
    <x v="1"/>
    <x v="0"/>
    <x v="0"/>
    <x v="0"/>
    <x v="424"/>
    <x v="2"/>
    <x v="2"/>
    <x v="2"/>
    <x v="0"/>
    <x v="0"/>
    <x v="3"/>
    <x v="72"/>
    <x v="0"/>
    <x v="9"/>
    <x v="450"/>
    <x v="9"/>
    <x v="51"/>
    <x v="1"/>
    <x v="1"/>
    <x v="1"/>
    <x v="1"/>
    <x v="1130"/>
    <x v="1"/>
    <x v="9"/>
    <x v="1313"/>
    <x v="1313"/>
    <x v="3"/>
    <x v="1313"/>
    <x v="1337"/>
    <x v="1332"/>
    <x v="1329"/>
    <x v="1332"/>
    <x v="1337"/>
    <x v="1337"/>
    <x v="1337"/>
    <x v="1337"/>
    <x v="1337"/>
    <x v="1337"/>
    <x v="1337"/>
    <x v="1313"/>
    <x v="1329"/>
    <x v="1329"/>
    <x v="1235"/>
    <x v="0"/>
    <x v="0"/>
    <x v="1186"/>
    <x v="1313"/>
    <x v="1313"/>
    <x v="1313"/>
    <x v="1313"/>
    <x v="4"/>
  </r>
  <r>
    <x v="425"/>
    <x v="104"/>
    <x v="0"/>
    <x v="0"/>
    <x v="0"/>
    <x v="0"/>
    <x v="0"/>
    <x v="0"/>
    <x v="0"/>
    <x v="0"/>
    <x v="4"/>
    <x v="0"/>
    <x v="1341"/>
    <x v="1"/>
    <x v="0"/>
    <x v="0"/>
    <x v="0"/>
    <x v="425"/>
    <x v="2"/>
    <x v="2"/>
    <x v="2"/>
    <x v="0"/>
    <x v="0"/>
    <x v="3"/>
    <x v="72"/>
    <x v="0"/>
    <x v="10"/>
    <x v="455"/>
    <x v="9"/>
    <x v="51"/>
    <x v="1"/>
    <x v="1"/>
    <x v="1"/>
    <x v="1"/>
    <x v="1199"/>
    <x v="1"/>
    <x v="10"/>
    <x v="1339"/>
    <x v="1339"/>
    <x v="3"/>
    <x v="1339"/>
    <x v="1370"/>
    <x v="1361"/>
    <x v="1363"/>
    <x v="1361"/>
    <x v="1370"/>
    <x v="1370"/>
    <x v="1370"/>
    <x v="1370"/>
    <x v="1370"/>
    <x v="1370"/>
    <x v="1370"/>
    <x v="1339"/>
    <x v="1360"/>
    <x v="1360"/>
    <x v="1259"/>
    <x v="0"/>
    <x v="0"/>
    <x v="1287"/>
    <x v="1339"/>
    <x v="1339"/>
    <x v="1339"/>
    <x v="1339"/>
    <x v="4"/>
  </r>
  <r>
    <x v="426"/>
    <x v="92"/>
    <x v="0"/>
    <x v="0"/>
    <x v="0"/>
    <x v="0"/>
    <x v="0"/>
    <x v="0"/>
    <x v="0"/>
    <x v="0"/>
    <x v="4"/>
    <x v="0"/>
    <x v="1224"/>
    <x v="1"/>
    <x v="0"/>
    <x v="0"/>
    <x v="0"/>
    <x v="426"/>
    <x v="2"/>
    <x v="2"/>
    <x v="2"/>
    <x v="0"/>
    <x v="0"/>
    <x v="3"/>
    <x v="86"/>
    <x v="0"/>
    <x v="12"/>
    <x v="460"/>
    <x v="9"/>
    <x v="51"/>
    <x v="1"/>
    <x v="1"/>
    <x v="1"/>
    <x v="1"/>
    <x v="1017"/>
    <x v="1"/>
    <x v="12"/>
    <x v="1222"/>
    <x v="1222"/>
    <x v="2"/>
    <x v="1222"/>
    <x v="1244"/>
    <x v="1237"/>
    <x v="1232"/>
    <x v="1237"/>
    <x v="1244"/>
    <x v="1244"/>
    <x v="1244"/>
    <x v="1244"/>
    <x v="1244"/>
    <x v="1244"/>
    <x v="1244"/>
    <x v="1222"/>
    <x v="1231"/>
    <x v="1231"/>
    <x v="1150"/>
    <x v="0"/>
    <x v="0"/>
    <x v="1103"/>
    <x v="1222"/>
    <x v="1222"/>
    <x v="1222"/>
    <x v="1222"/>
    <x v="4"/>
  </r>
  <r>
    <x v="427"/>
    <x v="127"/>
    <x v="0"/>
    <x v="0"/>
    <x v="0"/>
    <x v="0"/>
    <x v="0"/>
    <x v="0"/>
    <x v="0"/>
    <x v="0"/>
    <x v="4"/>
    <x v="0"/>
    <x v="1259"/>
    <x v="1"/>
    <x v="0"/>
    <x v="0"/>
    <x v="0"/>
    <x v="427"/>
    <x v="2"/>
    <x v="2"/>
    <x v="2"/>
    <x v="0"/>
    <x v="0"/>
    <x v="3"/>
    <x v="72"/>
    <x v="0"/>
    <x v="11"/>
    <x v="501"/>
    <x v="9"/>
    <x v="51"/>
    <x v="1"/>
    <x v="1"/>
    <x v="1"/>
    <x v="1"/>
    <x v="1055"/>
    <x v="1"/>
    <x v="11"/>
    <x v="1257"/>
    <x v="1257"/>
    <x v="2"/>
    <x v="1257"/>
    <x v="1280"/>
    <x v="1272"/>
    <x v="1274"/>
    <x v="1272"/>
    <x v="1280"/>
    <x v="1280"/>
    <x v="1280"/>
    <x v="1280"/>
    <x v="1280"/>
    <x v="1280"/>
    <x v="1280"/>
    <x v="1257"/>
    <x v="1273"/>
    <x v="1273"/>
    <x v="1182"/>
    <x v="0"/>
    <x v="0"/>
    <x v="1156"/>
    <x v="1257"/>
    <x v="1257"/>
    <x v="1257"/>
    <x v="1257"/>
    <x v="4"/>
  </r>
  <r>
    <x v="428"/>
    <x v="113"/>
    <x v="0"/>
    <x v="0"/>
    <x v="0"/>
    <x v="0"/>
    <x v="1"/>
    <x v="3"/>
    <x v="0"/>
    <x v="0"/>
    <x v="4"/>
    <x v="0"/>
    <x v="157"/>
    <x v="1"/>
    <x v="0"/>
    <x v="0"/>
    <x v="0"/>
    <x v="428"/>
    <x v="1"/>
    <x v="4"/>
    <x v="4"/>
    <x v="0"/>
    <x v="0"/>
    <x v="3"/>
    <x v="72"/>
    <x v="0"/>
    <x v="10"/>
    <x v="474"/>
    <x v="2"/>
    <x v="12"/>
    <x v="1"/>
    <x v="4"/>
    <x v="2"/>
    <x v="1"/>
    <x v="316"/>
    <x v="4"/>
    <x v="10"/>
    <x v="158"/>
    <x v="158"/>
    <x v="0"/>
    <x v="158"/>
    <x v="186"/>
    <x v="181"/>
    <x v="190"/>
    <x v="181"/>
    <x v="186"/>
    <x v="186"/>
    <x v="186"/>
    <x v="186"/>
    <x v="186"/>
    <x v="186"/>
    <x v="186"/>
    <x v="158"/>
    <x v="190"/>
    <x v="190"/>
    <x v="139"/>
    <x v="0"/>
    <x v="0"/>
    <x v="146"/>
    <x v="158"/>
    <x v="158"/>
    <x v="158"/>
    <x v="158"/>
    <x v="4"/>
  </r>
  <r>
    <x v="429"/>
    <x v="121"/>
    <x v="0"/>
    <x v="0"/>
    <x v="0"/>
    <x v="0"/>
    <x v="0"/>
    <x v="0"/>
    <x v="0"/>
    <x v="0"/>
    <x v="4"/>
    <x v="0"/>
    <x v="1100"/>
    <x v="1"/>
    <x v="0"/>
    <x v="0"/>
    <x v="0"/>
    <x v="429"/>
    <x v="2"/>
    <x v="4"/>
    <x v="4"/>
    <x v="0"/>
    <x v="0"/>
    <x v="3"/>
    <x v="18"/>
    <x v="0"/>
    <x v="11"/>
    <x v="481"/>
    <x v="9"/>
    <x v="51"/>
    <x v="1"/>
    <x v="1"/>
    <x v="1"/>
    <x v="1"/>
    <x v="865"/>
    <x v="1"/>
    <x v="11"/>
    <x v="1098"/>
    <x v="1098"/>
    <x v="1"/>
    <x v="1098"/>
    <x v="1107"/>
    <x v="1105"/>
    <x v="1092"/>
    <x v="1105"/>
    <x v="1107"/>
    <x v="1107"/>
    <x v="1107"/>
    <x v="1107"/>
    <x v="1107"/>
    <x v="1107"/>
    <x v="1107"/>
    <x v="1098"/>
    <x v="1090"/>
    <x v="1090"/>
    <x v="1027"/>
    <x v="0"/>
    <x v="0"/>
    <x v="927"/>
    <x v="1098"/>
    <x v="1098"/>
    <x v="1098"/>
    <x v="1098"/>
    <x v="4"/>
  </r>
  <r>
    <x v="430"/>
    <x v="117"/>
    <x v="0"/>
    <x v="0"/>
    <x v="0"/>
    <x v="0"/>
    <x v="0"/>
    <x v="0"/>
    <x v="0"/>
    <x v="0"/>
    <x v="4"/>
    <x v="0"/>
    <x v="526"/>
    <x v="1"/>
    <x v="0"/>
    <x v="0"/>
    <x v="0"/>
    <x v="430"/>
    <x v="2"/>
    <x v="4"/>
    <x v="4"/>
    <x v="0"/>
    <x v="0"/>
    <x v="3"/>
    <x v="72"/>
    <x v="0"/>
    <x v="13"/>
    <x v="487"/>
    <x v="9"/>
    <x v="51"/>
    <x v="1"/>
    <x v="1"/>
    <x v="1"/>
    <x v="1"/>
    <x v="348"/>
    <x v="1"/>
    <x v="13"/>
    <x v="526"/>
    <x v="526"/>
    <x v="0"/>
    <x v="526"/>
    <x v="487"/>
    <x v="496"/>
    <x v="475"/>
    <x v="496"/>
    <x v="487"/>
    <x v="487"/>
    <x v="487"/>
    <x v="487"/>
    <x v="487"/>
    <x v="487"/>
    <x v="487"/>
    <x v="526"/>
    <x v="475"/>
    <x v="475"/>
    <x v="465"/>
    <x v="0"/>
    <x v="0"/>
    <x v="404"/>
    <x v="526"/>
    <x v="526"/>
    <x v="526"/>
    <x v="526"/>
    <x v="4"/>
  </r>
  <r>
    <x v="431"/>
    <x v="112"/>
    <x v="0"/>
    <x v="0"/>
    <x v="0"/>
    <x v="0"/>
    <x v="1"/>
    <x v="4"/>
    <x v="0"/>
    <x v="0"/>
    <x v="4"/>
    <x v="0"/>
    <x v="731"/>
    <x v="1"/>
    <x v="0"/>
    <x v="0"/>
    <x v="0"/>
    <x v="431"/>
    <x v="1"/>
    <x v="4"/>
    <x v="4"/>
    <x v="0"/>
    <x v="0"/>
    <x v="3"/>
    <x v="21"/>
    <x v="0"/>
    <x v="10"/>
    <x v="458"/>
    <x v="2"/>
    <x v="17"/>
    <x v="1"/>
    <x v="5"/>
    <x v="2"/>
    <x v="1"/>
    <x v="1232"/>
    <x v="5"/>
    <x v="10"/>
    <x v="731"/>
    <x v="731"/>
    <x v="1"/>
    <x v="731"/>
    <x v="839"/>
    <x v="811"/>
    <x v="887"/>
    <x v="811"/>
    <x v="839"/>
    <x v="839"/>
    <x v="839"/>
    <x v="839"/>
    <x v="839"/>
    <x v="839"/>
    <x v="839"/>
    <x v="731"/>
    <x v="886"/>
    <x v="886"/>
    <x v="710"/>
    <x v="0"/>
    <x v="0"/>
    <x v="615"/>
    <x v="731"/>
    <x v="731"/>
    <x v="731"/>
    <x v="731"/>
    <x v="4"/>
  </r>
  <r>
    <x v="432"/>
    <x v="115"/>
    <x v="0"/>
    <x v="0"/>
    <x v="0"/>
    <x v="0"/>
    <x v="1"/>
    <x v="3"/>
    <x v="0"/>
    <x v="0"/>
    <x v="4"/>
    <x v="0"/>
    <x v="552"/>
    <x v="1"/>
    <x v="0"/>
    <x v="0"/>
    <x v="0"/>
    <x v="432"/>
    <x v="1"/>
    <x v="4"/>
    <x v="4"/>
    <x v="0"/>
    <x v="0"/>
    <x v="3"/>
    <x v="72"/>
    <x v="0"/>
    <x v="11"/>
    <x v="477"/>
    <x v="2"/>
    <x v="12"/>
    <x v="1"/>
    <x v="4"/>
    <x v="2"/>
    <x v="1"/>
    <x v="1019"/>
    <x v="4"/>
    <x v="11"/>
    <x v="552"/>
    <x v="552"/>
    <x v="0"/>
    <x v="552"/>
    <x v="672"/>
    <x v="645"/>
    <x v="705"/>
    <x v="645"/>
    <x v="672"/>
    <x v="672"/>
    <x v="672"/>
    <x v="672"/>
    <x v="672"/>
    <x v="672"/>
    <x v="672"/>
    <x v="552"/>
    <x v="704"/>
    <x v="704"/>
    <x v="534"/>
    <x v="0"/>
    <x v="0"/>
    <x v="480"/>
    <x v="552"/>
    <x v="552"/>
    <x v="552"/>
    <x v="552"/>
    <x v="4"/>
  </r>
  <r>
    <x v="433"/>
    <x v="133"/>
    <x v="0"/>
    <x v="0"/>
    <x v="0"/>
    <x v="0"/>
    <x v="0"/>
    <x v="2"/>
    <x v="0"/>
    <x v="0"/>
    <x v="4"/>
    <x v="0"/>
    <x v="1050"/>
    <x v="1"/>
    <x v="0"/>
    <x v="0"/>
    <x v="0"/>
    <x v="433"/>
    <x v="1"/>
    <x v="4"/>
    <x v="4"/>
    <x v="0"/>
    <x v="0"/>
    <x v="3"/>
    <x v="19"/>
    <x v="0"/>
    <x v="12"/>
    <x v="512"/>
    <x v="1"/>
    <x v="3"/>
    <x v="1"/>
    <x v="3"/>
    <x v="2"/>
    <x v="1"/>
    <x v="1210"/>
    <x v="3"/>
    <x v="12"/>
    <x v="1048"/>
    <x v="1048"/>
    <x v="1"/>
    <x v="1048"/>
    <x v="1130"/>
    <x v="1112"/>
    <x v="1145"/>
    <x v="1112"/>
    <x v="1130"/>
    <x v="1130"/>
    <x v="1130"/>
    <x v="1130"/>
    <x v="1130"/>
    <x v="1130"/>
    <x v="1130"/>
    <x v="1048"/>
    <x v="1140"/>
    <x v="1140"/>
    <x v="991"/>
    <x v="0"/>
    <x v="0"/>
    <x v="1006"/>
    <x v="1048"/>
    <x v="1048"/>
    <x v="1048"/>
    <x v="1048"/>
    <x v="4"/>
  </r>
  <r>
    <x v="434"/>
    <x v="122"/>
    <x v="0"/>
    <x v="0"/>
    <x v="0"/>
    <x v="0"/>
    <x v="0"/>
    <x v="0"/>
    <x v="0"/>
    <x v="0"/>
    <x v="4"/>
    <x v="0"/>
    <x v="401"/>
    <x v="1"/>
    <x v="0"/>
    <x v="0"/>
    <x v="0"/>
    <x v="434"/>
    <x v="2"/>
    <x v="4"/>
    <x v="4"/>
    <x v="0"/>
    <x v="0"/>
    <x v="3"/>
    <x v="21"/>
    <x v="0"/>
    <x v="11"/>
    <x v="479"/>
    <x v="9"/>
    <x v="51"/>
    <x v="1"/>
    <x v="1"/>
    <x v="1"/>
    <x v="1"/>
    <x v="276"/>
    <x v="1"/>
    <x v="11"/>
    <x v="401"/>
    <x v="401"/>
    <x v="0"/>
    <x v="401"/>
    <x v="399"/>
    <x v="398"/>
    <x v="376"/>
    <x v="398"/>
    <x v="399"/>
    <x v="399"/>
    <x v="399"/>
    <x v="399"/>
    <x v="399"/>
    <x v="399"/>
    <x v="399"/>
    <x v="401"/>
    <x v="377"/>
    <x v="377"/>
    <x v="358"/>
    <x v="0"/>
    <x v="0"/>
    <x v="312"/>
    <x v="401"/>
    <x v="401"/>
    <x v="401"/>
    <x v="401"/>
    <x v="4"/>
  </r>
  <r>
    <x v="435"/>
    <x v="121"/>
    <x v="0"/>
    <x v="0"/>
    <x v="0"/>
    <x v="0"/>
    <x v="0"/>
    <x v="0"/>
    <x v="0"/>
    <x v="0"/>
    <x v="4"/>
    <x v="0"/>
    <x v="796"/>
    <x v="1"/>
    <x v="0"/>
    <x v="0"/>
    <x v="0"/>
    <x v="435"/>
    <x v="2"/>
    <x v="4"/>
    <x v="4"/>
    <x v="0"/>
    <x v="0"/>
    <x v="3"/>
    <x v="18"/>
    <x v="0"/>
    <x v="11"/>
    <x v="482"/>
    <x v="9"/>
    <x v="51"/>
    <x v="1"/>
    <x v="1"/>
    <x v="1"/>
    <x v="1"/>
    <x v="537"/>
    <x v="1"/>
    <x v="11"/>
    <x v="796"/>
    <x v="796"/>
    <x v="1"/>
    <x v="796"/>
    <x v="796"/>
    <x v="797"/>
    <x v="751"/>
    <x v="797"/>
    <x v="796"/>
    <x v="796"/>
    <x v="796"/>
    <x v="796"/>
    <x v="796"/>
    <x v="796"/>
    <x v="796"/>
    <x v="796"/>
    <x v="752"/>
    <x v="752"/>
    <x v="737"/>
    <x v="0"/>
    <x v="0"/>
    <x v="521"/>
    <x v="796"/>
    <x v="796"/>
    <x v="796"/>
    <x v="796"/>
    <x v="4"/>
  </r>
  <r>
    <x v="436"/>
    <x v="119"/>
    <x v="0"/>
    <x v="0"/>
    <x v="0"/>
    <x v="0"/>
    <x v="1"/>
    <x v="4"/>
    <x v="0"/>
    <x v="0"/>
    <x v="4"/>
    <x v="0"/>
    <x v="613"/>
    <x v="1"/>
    <x v="0"/>
    <x v="0"/>
    <x v="0"/>
    <x v="436"/>
    <x v="1"/>
    <x v="4"/>
    <x v="4"/>
    <x v="0"/>
    <x v="0"/>
    <x v="3"/>
    <x v="19"/>
    <x v="0"/>
    <x v="11"/>
    <x v="498"/>
    <x v="2"/>
    <x v="17"/>
    <x v="1"/>
    <x v="5"/>
    <x v="2"/>
    <x v="1"/>
    <x v="1179"/>
    <x v="5"/>
    <x v="11"/>
    <x v="613"/>
    <x v="613"/>
    <x v="0"/>
    <x v="613"/>
    <x v="738"/>
    <x v="700"/>
    <x v="782"/>
    <x v="700"/>
    <x v="738"/>
    <x v="738"/>
    <x v="738"/>
    <x v="738"/>
    <x v="738"/>
    <x v="738"/>
    <x v="738"/>
    <x v="613"/>
    <x v="781"/>
    <x v="781"/>
    <x v="615"/>
    <x v="0"/>
    <x v="0"/>
    <x v="547"/>
    <x v="613"/>
    <x v="613"/>
    <x v="613"/>
    <x v="613"/>
    <x v="4"/>
  </r>
  <r>
    <x v="437"/>
    <x v="133"/>
    <x v="0"/>
    <x v="0"/>
    <x v="0"/>
    <x v="0"/>
    <x v="0"/>
    <x v="0"/>
    <x v="0"/>
    <x v="0"/>
    <x v="4"/>
    <x v="0"/>
    <x v="755"/>
    <x v="1"/>
    <x v="0"/>
    <x v="0"/>
    <x v="0"/>
    <x v="437"/>
    <x v="2"/>
    <x v="4"/>
    <x v="4"/>
    <x v="0"/>
    <x v="0"/>
    <x v="3"/>
    <x v="19"/>
    <x v="0"/>
    <x v="12"/>
    <x v="513"/>
    <x v="9"/>
    <x v="51"/>
    <x v="1"/>
    <x v="1"/>
    <x v="1"/>
    <x v="1"/>
    <x v="503"/>
    <x v="1"/>
    <x v="12"/>
    <x v="755"/>
    <x v="755"/>
    <x v="1"/>
    <x v="755"/>
    <x v="733"/>
    <x v="750"/>
    <x v="696"/>
    <x v="750"/>
    <x v="733"/>
    <x v="733"/>
    <x v="733"/>
    <x v="733"/>
    <x v="733"/>
    <x v="733"/>
    <x v="733"/>
    <x v="755"/>
    <x v="697"/>
    <x v="697"/>
    <x v="694"/>
    <x v="0"/>
    <x v="0"/>
    <x v="494"/>
    <x v="755"/>
    <x v="755"/>
    <x v="755"/>
    <x v="755"/>
    <x v="4"/>
  </r>
  <r>
    <x v="438"/>
    <x v="117"/>
    <x v="0"/>
    <x v="0"/>
    <x v="0"/>
    <x v="0"/>
    <x v="0"/>
    <x v="0"/>
    <x v="0"/>
    <x v="0"/>
    <x v="4"/>
    <x v="0"/>
    <x v="1171"/>
    <x v="1"/>
    <x v="0"/>
    <x v="0"/>
    <x v="0"/>
    <x v="438"/>
    <x v="2"/>
    <x v="4"/>
    <x v="4"/>
    <x v="0"/>
    <x v="0"/>
    <x v="3"/>
    <x v="72"/>
    <x v="0"/>
    <x v="13"/>
    <x v="488"/>
    <x v="9"/>
    <x v="51"/>
    <x v="1"/>
    <x v="1"/>
    <x v="1"/>
    <x v="1"/>
    <x v="947"/>
    <x v="1"/>
    <x v="13"/>
    <x v="1169"/>
    <x v="1169"/>
    <x v="1"/>
    <x v="1169"/>
    <x v="1183"/>
    <x v="1179"/>
    <x v="1167"/>
    <x v="1179"/>
    <x v="1183"/>
    <x v="1183"/>
    <x v="1183"/>
    <x v="1183"/>
    <x v="1183"/>
    <x v="1183"/>
    <x v="1183"/>
    <x v="1169"/>
    <x v="1165"/>
    <x v="1165"/>
    <x v="1094"/>
    <x v="0"/>
    <x v="0"/>
    <x v="1039"/>
    <x v="1169"/>
    <x v="1169"/>
    <x v="1169"/>
    <x v="1169"/>
    <x v="4"/>
  </r>
  <r>
    <x v="439"/>
    <x v="121"/>
    <x v="0"/>
    <x v="0"/>
    <x v="0"/>
    <x v="0"/>
    <x v="0"/>
    <x v="0"/>
    <x v="0"/>
    <x v="0"/>
    <x v="4"/>
    <x v="0"/>
    <x v="783"/>
    <x v="1"/>
    <x v="0"/>
    <x v="0"/>
    <x v="0"/>
    <x v="439"/>
    <x v="2"/>
    <x v="4"/>
    <x v="4"/>
    <x v="0"/>
    <x v="0"/>
    <x v="3"/>
    <x v="18"/>
    <x v="0"/>
    <x v="11"/>
    <x v="483"/>
    <x v="9"/>
    <x v="51"/>
    <x v="1"/>
    <x v="1"/>
    <x v="1"/>
    <x v="1"/>
    <x v="524"/>
    <x v="1"/>
    <x v="11"/>
    <x v="783"/>
    <x v="783"/>
    <x v="1"/>
    <x v="783"/>
    <x v="776"/>
    <x v="781"/>
    <x v="736"/>
    <x v="781"/>
    <x v="776"/>
    <x v="776"/>
    <x v="776"/>
    <x v="776"/>
    <x v="776"/>
    <x v="776"/>
    <x v="776"/>
    <x v="783"/>
    <x v="734"/>
    <x v="734"/>
    <x v="721"/>
    <x v="0"/>
    <x v="0"/>
    <x v="502"/>
    <x v="783"/>
    <x v="783"/>
    <x v="783"/>
    <x v="783"/>
    <x v="4"/>
  </r>
  <r>
    <x v="440"/>
    <x v="127"/>
    <x v="0"/>
    <x v="0"/>
    <x v="0"/>
    <x v="0"/>
    <x v="1"/>
    <x v="3"/>
    <x v="0"/>
    <x v="0"/>
    <x v="4"/>
    <x v="0"/>
    <x v="678"/>
    <x v="1"/>
    <x v="0"/>
    <x v="0"/>
    <x v="0"/>
    <x v="440"/>
    <x v="1"/>
    <x v="4"/>
    <x v="4"/>
    <x v="0"/>
    <x v="0"/>
    <x v="3"/>
    <x v="72"/>
    <x v="0"/>
    <x v="11"/>
    <x v="502"/>
    <x v="2"/>
    <x v="12"/>
    <x v="1"/>
    <x v="4"/>
    <x v="2"/>
    <x v="1"/>
    <x v="1049"/>
    <x v="4"/>
    <x v="11"/>
    <x v="678"/>
    <x v="678"/>
    <x v="1"/>
    <x v="678"/>
    <x v="769"/>
    <x v="749"/>
    <x v="783"/>
    <x v="749"/>
    <x v="769"/>
    <x v="769"/>
    <x v="769"/>
    <x v="769"/>
    <x v="769"/>
    <x v="769"/>
    <x v="769"/>
    <x v="678"/>
    <x v="778"/>
    <x v="778"/>
    <x v="640"/>
    <x v="0"/>
    <x v="0"/>
    <x v="544"/>
    <x v="678"/>
    <x v="678"/>
    <x v="678"/>
    <x v="678"/>
    <x v="4"/>
  </r>
  <r>
    <x v="441"/>
    <x v="146"/>
    <x v="0"/>
    <x v="0"/>
    <x v="0"/>
    <x v="0"/>
    <x v="1"/>
    <x v="4"/>
    <x v="0"/>
    <x v="0"/>
    <x v="4"/>
    <x v="0"/>
    <x v="1272"/>
    <x v="1"/>
    <x v="0"/>
    <x v="0"/>
    <x v="0"/>
    <x v="441"/>
    <x v="1"/>
    <x v="4"/>
    <x v="4"/>
    <x v="0"/>
    <x v="0"/>
    <x v="3"/>
    <x v="26"/>
    <x v="0"/>
    <x v="13"/>
    <x v="511"/>
    <x v="2"/>
    <x v="17"/>
    <x v="1"/>
    <x v="5"/>
    <x v="2"/>
    <x v="1"/>
    <x v="1369"/>
    <x v="5"/>
    <x v="13"/>
    <x v="1270"/>
    <x v="1270"/>
    <x v="2"/>
    <x v="1270"/>
    <x v="1344"/>
    <x v="1321"/>
    <x v="1351"/>
    <x v="1321"/>
    <x v="1344"/>
    <x v="1344"/>
    <x v="1344"/>
    <x v="1344"/>
    <x v="1344"/>
    <x v="1344"/>
    <x v="1344"/>
    <x v="1270"/>
    <x v="1351"/>
    <x v="1351"/>
    <x v="1209"/>
    <x v="0"/>
    <x v="0"/>
    <x v="1296"/>
    <x v="1270"/>
    <x v="1270"/>
    <x v="1270"/>
    <x v="1270"/>
    <x v="4"/>
  </r>
  <r>
    <x v="442"/>
    <x v="130"/>
    <x v="0"/>
    <x v="0"/>
    <x v="0"/>
    <x v="0"/>
    <x v="0"/>
    <x v="0"/>
    <x v="0"/>
    <x v="0"/>
    <x v="4"/>
    <x v="0"/>
    <x v="711"/>
    <x v="1"/>
    <x v="0"/>
    <x v="0"/>
    <x v="0"/>
    <x v="442"/>
    <x v="2"/>
    <x v="4"/>
    <x v="4"/>
    <x v="0"/>
    <x v="0"/>
    <x v="3"/>
    <x v="93"/>
    <x v="0"/>
    <x v="12"/>
    <x v="480"/>
    <x v="9"/>
    <x v="51"/>
    <x v="1"/>
    <x v="1"/>
    <x v="1"/>
    <x v="1"/>
    <x v="470"/>
    <x v="1"/>
    <x v="12"/>
    <x v="711"/>
    <x v="711"/>
    <x v="1"/>
    <x v="711"/>
    <x v="661"/>
    <x v="676"/>
    <x v="624"/>
    <x v="676"/>
    <x v="661"/>
    <x v="661"/>
    <x v="661"/>
    <x v="661"/>
    <x v="661"/>
    <x v="661"/>
    <x v="661"/>
    <x v="711"/>
    <x v="625"/>
    <x v="625"/>
    <x v="649"/>
    <x v="0"/>
    <x v="0"/>
    <x v="457"/>
    <x v="711"/>
    <x v="711"/>
    <x v="711"/>
    <x v="711"/>
    <x v="4"/>
  </r>
  <r>
    <x v="443"/>
    <x v="133"/>
    <x v="0"/>
    <x v="0"/>
    <x v="0"/>
    <x v="0"/>
    <x v="0"/>
    <x v="1"/>
    <x v="0"/>
    <x v="0"/>
    <x v="4"/>
    <x v="0"/>
    <x v="213"/>
    <x v="1"/>
    <x v="0"/>
    <x v="0"/>
    <x v="0"/>
    <x v="443"/>
    <x v="1"/>
    <x v="4"/>
    <x v="4"/>
    <x v="0"/>
    <x v="0"/>
    <x v="3"/>
    <x v="19"/>
    <x v="0"/>
    <x v="12"/>
    <x v="514"/>
    <x v="10"/>
    <x v="62"/>
    <x v="1"/>
    <x v="2"/>
    <x v="2"/>
    <x v="1"/>
    <x v="242"/>
    <x v="2"/>
    <x v="12"/>
    <x v="214"/>
    <x v="214"/>
    <x v="0"/>
    <x v="214"/>
    <x v="240"/>
    <x v="236"/>
    <x v="242"/>
    <x v="236"/>
    <x v="240"/>
    <x v="240"/>
    <x v="240"/>
    <x v="240"/>
    <x v="240"/>
    <x v="240"/>
    <x v="240"/>
    <x v="214"/>
    <x v="242"/>
    <x v="242"/>
    <x v="187"/>
    <x v="0"/>
    <x v="0"/>
    <x v="199"/>
    <x v="214"/>
    <x v="214"/>
    <x v="214"/>
    <x v="214"/>
    <x v="4"/>
  </r>
  <r>
    <x v="444"/>
    <x v="138"/>
    <x v="0"/>
    <x v="0"/>
    <x v="0"/>
    <x v="0"/>
    <x v="0"/>
    <x v="0"/>
    <x v="0"/>
    <x v="0"/>
    <x v="4"/>
    <x v="0"/>
    <x v="111"/>
    <x v="1"/>
    <x v="0"/>
    <x v="0"/>
    <x v="0"/>
    <x v="444"/>
    <x v="2"/>
    <x v="4"/>
    <x v="4"/>
    <x v="0"/>
    <x v="0"/>
    <x v="3"/>
    <x v="19"/>
    <x v="0"/>
    <x v="12"/>
    <x v="494"/>
    <x v="9"/>
    <x v="51"/>
    <x v="1"/>
    <x v="1"/>
    <x v="1"/>
    <x v="1"/>
    <x v="53"/>
    <x v="1"/>
    <x v="12"/>
    <x v="112"/>
    <x v="112"/>
    <x v="0"/>
    <x v="112"/>
    <x v="109"/>
    <x v="110"/>
    <x v="99"/>
    <x v="110"/>
    <x v="109"/>
    <x v="109"/>
    <x v="109"/>
    <x v="109"/>
    <x v="109"/>
    <x v="109"/>
    <x v="109"/>
    <x v="112"/>
    <x v="99"/>
    <x v="99"/>
    <x v="95"/>
    <x v="0"/>
    <x v="0"/>
    <x v="68"/>
    <x v="112"/>
    <x v="112"/>
    <x v="112"/>
    <x v="112"/>
    <x v="4"/>
  </r>
  <r>
    <x v="445"/>
    <x v="119"/>
    <x v="0"/>
    <x v="0"/>
    <x v="0"/>
    <x v="0"/>
    <x v="0"/>
    <x v="0"/>
    <x v="0"/>
    <x v="0"/>
    <x v="4"/>
    <x v="0"/>
    <x v="1239"/>
    <x v="1"/>
    <x v="0"/>
    <x v="0"/>
    <x v="0"/>
    <x v="445"/>
    <x v="2"/>
    <x v="4"/>
    <x v="4"/>
    <x v="0"/>
    <x v="0"/>
    <x v="3"/>
    <x v="19"/>
    <x v="0"/>
    <x v="11"/>
    <x v="497"/>
    <x v="9"/>
    <x v="51"/>
    <x v="1"/>
    <x v="1"/>
    <x v="1"/>
    <x v="1"/>
    <x v="1035"/>
    <x v="1"/>
    <x v="11"/>
    <x v="1237"/>
    <x v="1237"/>
    <x v="2"/>
    <x v="1237"/>
    <x v="1259"/>
    <x v="1249"/>
    <x v="1249"/>
    <x v="1249"/>
    <x v="1259"/>
    <x v="1259"/>
    <x v="1259"/>
    <x v="1259"/>
    <x v="1259"/>
    <x v="1259"/>
    <x v="1259"/>
    <x v="1237"/>
    <x v="1249"/>
    <x v="1249"/>
    <x v="1162"/>
    <x v="0"/>
    <x v="0"/>
    <x v="1106"/>
    <x v="1237"/>
    <x v="1237"/>
    <x v="1237"/>
    <x v="1237"/>
    <x v="4"/>
  </r>
  <r>
    <x v="446"/>
    <x v="137"/>
    <x v="0"/>
    <x v="0"/>
    <x v="0"/>
    <x v="0"/>
    <x v="1"/>
    <x v="3"/>
    <x v="0"/>
    <x v="0"/>
    <x v="4"/>
    <x v="0"/>
    <x v="109"/>
    <x v="1"/>
    <x v="0"/>
    <x v="0"/>
    <x v="0"/>
    <x v="446"/>
    <x v="1"/>
    <x v="4"/>
    <x v="4"/>
    <x v="0"/>
    <x v="0"/>
    <x v="3"/>
    <x v="10"/>
    <x v="0"/>
    <x v="12"/>
    <x v="503"/>
    <x v="2"/>
    <x v="12"/>
    <x v="1"/>
    <x v="4"/>
    <x v="2"/>
    <x v="1"/>
    <x v="179"/>
    <x v="4"/>
    <x v="12"/>
    <x v="110"/>
    <x v="110"/>
    <x v="0"/>
    <x v="110"/>
    <x v="127"/>
    <x v="127"/>
    <x v="123"/>
    <x v="127"/>
    <x v="127"/>
    <x v="127"/>
    <x v="127"/>
    <x v="127"/>
    <x v="127"/>
    <x v="127"/>
    <x v="127"/>
    <x v="110"/>
    <x v="123"/>
    <x v="123"/>
    <x v="98"/>
    <x v="0"/>
    <x v="0"/>
    <x v="99"/>
    <x v="110"/>
    <x v="110"/>
    <x v="110"/>
    <x v="110"/>
    <x v="4"/>
  </r>
  <r>
    <x v="447"/>
    <x v="131"/>
    <x v="0"/>
    <x v="0"/>
    <x v="0"/>
    <x v="0"/>
    <x v="1"/>
    <x v="4"/>
    <x v="0"/>
    <x v="0"/>
    <x v="4"/>
    <x v="0"/>
    <x v="854"/>
    <x v="1"/>
    <x v="0"/>
    <x v="0"/>
    <x v="0"/>
    <x v="447"/>
    <x v="1"/>
    <x v="4"/>
    <x v="4"/>
    <x v="0"/>
    <x v="0"/>
    <x v="3"/>
    <x v="19"/>
    <x v="0"/>
    <x v="16"/>
    <x v="508"/>
    <x v="2"/>
    <x v="17"/>
    <x v="1"/>
    <x v="5"/>
    <x v="2"/>
    <x v="1"/>
    <x v="1268"/>
    <x v="5"/>
    <x v="16"/>
    <x v="854"/>
    <x v="854"/>
    <x v="1"/>
    <x v="854"/>
    <x v="952"/>
    <x v="922"/>
    <x v="998"/>
    <x v="922"/>
    <x v="952"/>
    <x v="952"/>
    <x v="952"/>
    <x v="952"/>
    <x v="952"/>
    <x v="952"/>
    <x v="952"/>
    <x v="854"/>
    <x v="997"/>
    <x v="997"/>
    <x v="816"/>
    <x v="0"/>
    <x v="0"/>
    <x v="922"/>
    <x v="854"/>
    <x v="854"/>
    <x v="854"/>
    <x v="854"/>
    <x v="4"/>
  </r>
  <r>
    <x v="448"/>
    <x v="145"/>
    <x v="0"/>
    <x v="0"/>
    <x v="0"/>
    <x v="0"/>
    <x v="0"/>
    <x v="0"/>
    <x v="0"/>
    <x v="0"/>
    <x v="4"/>
    <x v="0"/>
    <x v="1033"/>
    <x v="1"/>
    <x v="0"/>
    <x v="0"/>
    <x v="0"/>
    <x v="448"/>
    <x v="2"/>
    <x v="4"/>
    <x v="4"/>
    <x v="0"/>
    <x v="0"/>
    <x v="3"/>
    <x v="10"/>
    <x v="0"/>
    <x v="14"/>
    <x v="486"/>
    <x v="9"/>
    <x v="51"/>
    <x v="1"/>
    <x v="1"/>
    <x v="1"/>
    <x v="1"/>
    <x v="797"/>
    <x v="1"/>
    <x v="14"/>
    <x v="1033"/>
    <x v="1033"/>
    <x v="1"/>
    <x v="1033"/>
    <x v="1042"/>
    <x v="1038"/>
    <x v="1028"/>
    <x v="1038"/>
    <x v="1042"/>
    <x v="1042"/>
    <x v="1042"/>
    <x v="1042"/>
    <x v="1042"/>
    <x v="1042"/>
    <x v="1042"/>
    <x v="1033"/>
    <x v="1026"/>
    <x v="1026"/>
    <x v="959"/>
    <x v="0"/>
    <x v="0"/>
    <x v="902"/>
    <x v="1033"/>
    <x v="1033"/>
    <x v="1033"/>
    <x v="1033"/>
    <x v="4"/>
  </r>
  <r>
    <x v="449"/>
    <x v="135"/>
    <x v="0"/>
    <x v="0"/>
    <x v="0"/>
    <x v="0"/>
    <x v="0"/>
    <x v="0"/>
    <x v="0"/>
    <x v="0"/>
    <x v="4"/>
    <x v="0"/>
    <x v="965"/>
    <x v="1"/>
    <x v="0"/>
    <x v="0"/>
    <x v="0"/>
    <x v="449"/>
    <x v="2"/>
    <x v="4"/>
    <x v="4"/>
    <x v="0"/>
    <x v="0"/>
    <x v="3"/>
    <x v="19"/>
    <x v="0"/>
    <x v="12"/>
    <x v="490"/>
    <x v="9"/>
    <x v="51"/>
    <x v="1"/>
    <x v="1"/>
    <x v="1"/>
    <x v="1"/>
    <x v="721"/>
    <x v="1"/>
    <x v="12"/>
    <x v="965"/>
    <x v="965"/>
    <x v="1"/>
    <x v="965"/>
    <x v="979"/>
    <x v="977"/>
    <x v="963"/>
    <x v="977"/>
    <x v="979"/>
    <x v="979"/>
    <x v="979"/>
    <x v="979"/>
    <x v="979"/>
    <x v="979"/>
    <x v="979"/>
    <x v="965"/>
    <x v="961"/>
    <x v="961"/>
    <x v="900"/>
    <x v="0"/>
    <x v="0"/>
    <x v="782"/>
    <x v="965"/>
    <x v="965"/>
    <x v="965"/>
    <x v="965"/>
    <x v="4"/>
  </r>
  <r>
    <x v="450"/>
    <x v="145"/>
    <x v="0"/>
    <x v="0"/>
    <x v="0"/>
    <x v="0"/>
    <x v="0"/>
    <x v="0"/>
    <x v="0"/>
    <x v="0"/>
    <x v="4"/>
    <x v="0"/>
    <x v="770"/>
    <x v="1"/>
    <x v="0"/>
    <x v="0"/>
    <x v="0"/>
    <x v="450"/>
    <x v="2"/>
    <x v="4"/>
    <x v="4"/>
    <x v="0"/>
    <x v="0"/>
    <x v="3"/>
    <x v="10"/>
    <x v="0"/>
    <x v="14"/>
    <x v="485"/>
    <x v="9"/>
    <x v="51"/>
    <x v="1"/>
    <x v="1"/>
    <x v="1"/>
    <x v="1"/>
    <x v="514"/>
    <x v="1"/>
    <x v="14"/>
    <x v="770"/>
    <x v="770"/>
    <x v="1"/>
    <x v="770"/>
    <x v="756"/>
    <x v="764"/>
    <x v="718"/>
    <x v="764"/>
    <x v="756"/>
    <x v="756"/>
    <x v="756"/>
    <x v="756"/>
    <x v="756"/>
    <x v="756"/>
    <x v="756"/>
    <x v="770"/>
    <x v="719"/>
    <x v="719"/>
    <x v="707"/>
    <x v="0"/>
    <x v="0"/>
    <x v="559"/>
    <x v="770"/>
    <x v="770"/>
    <x v="770"/>
    <x v="770"/>
    <x v="4"/>
  </r>
  <r>
    <x v="451"/>
    <x v="124"/>
    <x v="0"/>
    <x v="0"/>
    <x v="0"/>
    <x v="0"/>
    <x v="0"/>
    <x v="0"/>
    <x v="0"/>
    <x v="0"/>
    <x v="4"/>
    <x v="0"/>
    <x v="1322"/>
    <x v="1"/>
    <x v="0"/>
    <x v="0"/>
    <x v="0"/>
    <x v="451"/>
    <x v="2"/>
    <x v="4"/>
    <x v="4"/>
    <x v="0"/>
    <x v="0"/>
    <x v="3"/>
    <x v="10"/>
    <x v="0"/>
    <x v="16"/>
    <x v="515"/>
    <x v="9"/>
    <x v="51"/>
    <x v="1"/>
    <x v="1"/>
    <x v="1"/>
    <x v="1"/>
    <x v="1150"/>
    <x v="1"/>
    <x v="16"/>
    <x v="1320"/>
    <x v="1320"/>
    <x v="3"/>
    <x v="1320"/>
    <x v="1350"/>
    <x v="1344"/>
    <x v="1338"/>
    <x v="1344"/>
    <x v="1350"/>
    <x v="1350"/>
    <x v="1350"/>
    <x v="1350"/>
    <x v="1350"/>
    <x v="1350"/>
    <x v="1350"/>
    <x v="1320"/>
    <x v="1337"/>
    <x v="1337"/>
    <x v="1242"/>
    <x v="0"/>
    <x v="0"/>
    <x v="1301"/>
    <x v="1320"/>
    <x v="1320"/>
    <x v="1320"/>
    <x v="1320"/>
    <x v="4"/>
  </r>
  <r>
    <x v="452"/>
    <x v="161"/>
    <x v="0"/>
    <x v="0"/>
    <x v="0"/>
    <x v="0"/>
    <x v="1"/>
    <x v="3"/>
    <x v="0"/>
    <x v="0"/>
    <x v="4"/>
    <x v="0"/>
    <x v="1236"/>
    <x v="1"/>
    <x v="0"/>
    <x v="0"/>
    <x v="0"/>
    <x v="452"/>
    <x v="1"/>
    <x v="4"/>
    <x v="4"/>
    <x v="0"/>
    <x v="0"/>
    <x v="3"/>
    <x v="19"/>
    <x v="0"/>
    <x v="14"/>
    <x v="500"/>
    <x v="2"/>
    <x v="12"/>
    <x v="1"/>
    <x v="4"/>
    <x v="2"/>
    <x v="1"/>
    <x v="1326"/>
    <x v="4"/>
    <x v="14"/>
    <x v="1234"/>
    <x v="1234"/>
    <x v="2"/>
    <x v="1234"/>
    <x v="1305"/>
    <x v="1288"/>
    <x v="1322"/>
    <x v="1288"/>
    <x v="1305"/>
    <x v="1305"/>
    <x v="1305"/>
    <x v="1305"/>
    <x v="1305"/>
    <x v="1305"/>
    <x v="1305"/>
    <x v="1234"/>
    <x v="1321"/>
    <x v="1321"/>
    <x v="1170"/>
    <x v="0"/>
    <x v="0"/>
    <x v="1255"/>
    <x v="1234"/>
    <x v="1234"/>
    <x v="1234"/>
    <x v="1234"/>
    <x v="4"/>
  </r>
  <r>
    <x v="453"/>
    <x v="139"/>
    <x v="0"/>
    <x v="0"/>
    <x v="0"/>
    <x v="0"/>
    <x v="1"/>
    <x v="3"/>
    <x v="0"/>
    <x v="0"/>
    <x v="4"/>
    <x v="0"/>
    <x v="879"/>
    <x v="1"/>
    <x v="0"/>
    <x v="0"/>
    <x v="0"/>
    <x v="453"/>
    <x v="1"/>
    <x v="4"/>
    <x v="4"/>
    <x v="0"/>
    <x v="0"/>
    <x v="3"/>
    <x v="10"/>
    <x v="0"/>
    <x v="12"/>
    <x v="504"/>
    <x v="2"/>
    <x v="12"/>
    <x v="1"/>
    <x v="4"/>
    <x v="2"/>
    <x v="1"/>
    <x v="1175"/>
    <x v="4"/>
    <x v="12"/>
    <x v="879"/>
    <x v="879"/>
    <x v="1"/>
    <x v="879"/>
    <x v="971"/>
    <x v="948"/>
    <x v="997"/>
    <x v="948"/>
    <x v="971"/>
    <x v="971"/>
    <x v="971"/>
    <x v="971"/>
    <x v="971"/>
    <x v="971"/>
    <x v="971"/>
    <x v="879"/>
    <x v="995"/>
    <x v="995"/>
    <x v="836"/>
    <x v="0"/>
    <x v="0"/>
    <x v="823"/>
    <x v="879"/>
    <x v="879"/>
    <x v="879"/>
    <x v="879"/>
    <x v="4"/>
  </r>
  <r>
    <x v="454"/>
    <x v="144"/>
    <x v="0"/>
    <x v="0"/>
    <x v="0"/>
    <x v="0"/>
    <x v="1"/>
    <x v="4"/>
    <x v="0"/>
    <x v="0"/>
    <x v="4"/>
    <x v="0"/>
    <x v="317"/>
    <x v="1"/>
    <x v="0"/>
    <x v="0"/>
    <x v="0"/>
    <x v="454"/>
    <x v="1"/>
    <x v="4"/>
    <x v="4"/>
    <x v="0"/>
    <x v="0"/>
    <x v="3"/>
    <x v="26"/>
    <x v="0"/>
    <x v="13"/>
    <x v="26"/>
    <x v="2"/>
    <x v="17"/>
    <x v="1"/>
    <x v="5"/>
    <x v="2"/>
    <x v="1"/>
    <x v="1011"/>
    <x v="5"/>
    <x v="13"/>
    <x v="317"/>
    <x v="317"/>
    <x v="0"/>
    <x v="317"/>
    <x v="371"/>
    <x v="355"/>
    <x v="400"/>
    <x v="355"/>
    <x v="371"/>
    <x v="371"/>
    <x v="371"/>
    <x v="371"/>
    <x v="371"/>
    <x v="371"/>
    <x v="371"/>
    <x v="317"/>
    <x v="398"/>
    <x v="398"/>
    <x v="296"/>
    <x v="0"/>
    <x v="0"/>
    <x v="355"/>
    <x v="317"/>
    <x v="317"/>
    <x v="317"/>
    <x v="317"/>
    <x v="4"/>
  </r>
  <r>
    <x v="455"/>
    <x v="144"/>
    <x v="0"/>
    <x v="0"/>
    <x v="0"/>
    <x v="0"/>
    <x v="1"/>
    <x v="4"/>
    <x v="0"/>
    <x v="0"/>
    <x v="4"/>
    <x v="0"/>
    <x v="88"/>
    <x v="1"/>
    <x v="0"/>
    <x v="0"/>
    <x v="0"/>
    <x v="455"/>
    <x v="1"/>
    <x v="4"/>
    <x v="4"/>
    <x v="0"/>
    <x v="0"/>
    <x v="3"/>
    <x v="26"/>
    <x v="0"/>
    <x v="13"/>
    <x v="476"/>
    <x v="2"/>
    <x v="17"/>
    <x v="1"/>
    <x v="5"/>
    <x v="2"/>
    <x v="1"/>
    <x v="232"/>
    <x v="5"/>
    <x v="13"/>
    <x v="89"/>
    <x v="89"/>
    <x v="0"/>
    <x v="89"/>
    <x v="110"/>
    <x v="103"/>
    <x v="113"/>
    <x v="103"/>
    <x v="110"/>
    <x v="110"/>
    <x v="110"/>
    <x v="110"/>
    <x v="110"/>
    <x v="110"/>
    <x v="110"/>
    <x v="89"/>
    <x v="112"/>
    <x v="112"/>
    <x v="80"/>
    <x v="0"/>
    <x v="0"/>
    <x v="87"/>
    <x v="89"/>
    <x v="89"/>
    <x v="89"/>
    <x v="89"/>
    <x v="4"/>
  </r>
  <r>
    <x v="456"/>
    <x v="147"/>
    <x v="0"/>
    <x v="0"/>
    <x v="0"/>
    <x v="0"/>
    <x v="1"/>
    <x v="4"/>
    <x v="0"/>
    <x v="0"/>
    <x v="4"/>
    <x v="0"/>
    <x v="34"/>
    <x v="1"/>
    <x v="0"/>
    <x v="0"/>
    <x v="0"/>
    <x v="456"/>
    <x v="1"/>
    <x v="4"/>
    <x v="4"/>
    <x v="0"/>
    <x v="0"/>
    <x v="3"/>
    <x v="26"/>
    <x v="0"/>
    <x v="13"/>
    <x v="510"/>
    <x v="2"/>
    <x v="17"/>
    <x v="1"/>
    <x v="5"/>
    <x v="2"/>
    <x v="1"/>
    <x v="103"/>
    <x v="5"/>
    <x v="13"/>
    <x v="35"/>
    <x v="35"/>
    <x v="0"/>
    <x v="35"/>
    <x v="35"/>
    <x v="33"/>
    <x v="37"/>
    <x v="33"/>
    <x v="35"/>
    <x v="35"/>
    <x v="35"/>
    <x v="35"/>
    <x v="35"/>
    <x v="35"/>
    <x v="35"/>
    <x v="35"/>
    <x v="37"/>
    <x v="37"/>
    <x v="30"/>
    <x v="0"/>
    <x v="0"/>
    <x v="30"/>
    <x v="35"/>
    <x v="35"/>
    <x v="35"/>
    <x v="35"/>
    <x v="4"/>
  </r>
  <r>
    <x v="457"/>
    <x v="147"/>
    <x v="0"/>
    <x v="0"/>
    <x v="0"/>
    <x v="0"/>
    <x v="1"/>
    <x v="5"/>
    <x v="0"/>
    <x v="0"/>
    <x v="4"/>
    <x v="0"/>
    <x v="105"/>
    <x v="1"/>
    <x v="0"/>
    <x v="0"/>
    <x v="0"/>
    <x v="457"/>
    <x v="1"/>
    <x v="4"/>
    <x v="4"/>
    <x v="0"/>
    <x v="0"/>
    <x v="3"/>
    <x v="26"/>
    <x v="0"/>
    <x v="13"/>
    <x v="509"/>
    <x v="3"/>
    <x v="28"/>
    <x v="1"/>
    <x v="6"/>
    <x v="3"/>
    <x v="1"/>
    <x v="583"/>
    <x v="6"/>
    <x v="13"/>
    <x v="106"/>
    <x v="106"/>
    <x v="0"/>
    <x v="106"/>
    <x v="139"/>
    <x v="131"/>
    <x v="151"/>
    <x v="131"/>
    <x v="139"/>
    <x v="139"/>
    <x v="139"/>
    <x v="139"/>
    <x v="139"/>
    <x v="139"/>
    <x v="139"/>
    <x v="106"/>
    <x v="152"/>
    <x v="152"/>
    <x v="0"/>
    <x v="31"/>
    <x v="0"/>
    <x v="123"/>
    <x v="106"/>
    <x v="106"/>
    <x v="106"/>
    <x v="106"/>
    <x v="4"/>
  </r>
  <r>
    <x v="458"/>
    <x v="165"/>
    <x v="0"/>
    <x v="0"/>
    <x v="0"/>
    <x v="0"/>
    <x v="0"/>
    <x v="0"/>
    <x v="0"/>
    <x v="0"/>
    <x v="4"/>
    <x v="0"/>
    <x v="1074"/>
    <x v="1"/>
    <x v="0"/>
    <x v="0"/>
    <x v="0"/>
    <x v="458"/>
    <x v="2"/>
    <x v="4"/>
    <x v="4"/>
    <x v="0"/>
    <x v="0"/>
    <x v="3"/>
    <x v="92"/>
    <x v="0"/>
    <x v="13"/>
    <x v="27"/>
    <x v="9"/>
    <x v="51"/>
    <x v="1"/>
    <x v="1"/>
    <x v="1"/>
    <x v="1"/>
    <x v="840"/>
    <x v="1"/>
    <x v="13"/>
    <x v="1072"/>
    <x v="1072"/>
    <x v="1"/>
    <x v="1072"/>
    <x v="1079"/>
    <x v="1075"/>
    <x v="1068"/>
    <x v="1075"/>
    <x v="1079"/>
    <x v="1079"/>
    <x v="1079"/>
    <x v="1079"/>
    <x v="1079"/>
    <x v="1079"/>
    <x v="1079"/>
    <x v="1072"/>
    <x v="1067"/>
    <x v="1067"/>
    <x v="1001"/>
    <x v="0"/>
    <x v="0"/>
    <x v="937"/>
    <x v="1072"/>
    <x v="1072"/>
    <x v="1072"/>
    <x v="1072"/>
    <x v="4"/>
  </r>
  <r>
    <x v="459"/>
    <x v="152"/>
    <x v="0"/>
    <x v="0"/>
    <x v="0"/>
    <x v="0"/>
    <x v="0"/>
    <x v="0"/>
    <x v="0"/>
    <x v="0"/>
    <x v="4"/>
    <x v="0"/>
    <x v="983"/>
    <x v="1"/>
    <x v="0"/>
    <x v="0"/>
    <x v="0"/>
    <x v="459"/>
    <x v="2"/>
    <x v="4"/>
    <x v="4"/>
    <x v="0"/>
    <x v="0"/>
    <x v="3"/>
    <x v="10"/>
    <x v="0"/>
    <x v="12"/>
    <x v="505"/>
    <x v="9"/>
    <x v="51"/>
    <x v="1"/>
    <x v="1"/>
    <x v="1"/>
    <x v="1"/>
    <x v="745"/>
    <x v="1"/>
    <x v="12"/>
    <x v="983"/>
    <x v="983"/>
    <x v="1"/>
    <x v="983"/>
    <x v="999"/>
    <x v="994"/>
    <x v="981"/>
    <x v="994"/>
    <x v="999"/>
    <x v="999"/>
    <x v="999"/>
    <x v="999"/>
    <x v="999"/>
    <x v="999"/>
    <x v="999"/>
    <x v="983"/>
    <x v="981"/>
    <x v="981"/>
    <x v="915"/>
    <x v="0"/>
    <x v="0"/>
    <x v="816"/>
    <x v="983"/>
    <x v="983"/>
    <x v="983"/>
    <x v="983"/>
    <x v="4"/>
  </r>
  <r>
    <x v="460"/>
    <x v="172"/>
    <x v="0"/>
    <x v="0"/>
    <x v="0"/>
    <x v="0"/>
    <x v="0"/>
    <x v="0"/>
    <x v="0"/>
    <x v="0"/>
    <x v="4"/>
    <x v="0"/>
    <x v="1022"/>
    <x v="1"/>
    <x v="0"/>
    <x v="0"/>
    <x v="0"/>
    <x v="460"/>
    <x v="2"/>
    <x v="4"/>
    <x v="4"/>
    <x v="0"/>
    <x v="0"/>
    <x v="3"/>
    <x v="10"/>
    <x v="0"/>
    <x v="13"/>
    <x v="492"/>
    <x v="9"/>
    <x v="51"/>
    <x v="1"/>
    <x v="1"/>
    <x v="1"/>
    <x v="1"/>
    <x v="787"/>
    <x v="1"/>
    <x v="13"/>
    <x v="1022"/>
    <x v="1022"/>
    <x v="1"/>
    <x v="1022"/>
    <x v="1035"/>
    <x v="1029"/>
    <x v="1017"/>
    <x v="1029"/>
    <x v="1035"/>
    <x v="1035"/>
    <x v="1035"/>
    <x v="1035"/>
    <x v="1035"/>
    <x v="1035"/>
    <x v="1035"/>
    <x v="1022"/>
    <x v="1016"/>
    <x v="1016"/>
    <x v="951"/>
    <x v="0"/>
    <x v="0"/>
    <x v="873"/>
    <x v="1022"/>
    <x v="1022"/>
    <x v="1022"/>
    <x v="1022"/>
    <x v="4"/>
  </r>
  <r>
    <x v="461"/>
    <x v="152"/>
    <x v="0"/>
    <x v="0"/>
    <x v="0"/>
    <x v="0"/>
    <x v="1"/>
    <x v="3"/>
    <x v="0"/>
    <x v="0"/>
    <x v="4"/>
    <x v="0"/>
    <x v="326"/>
    <x v="1"/>
    <x v="0"/>
    <x v="0"/>
    <x v="0"/>
    <x v="461"/>
    <x v="1"/>
    <x v="4"/>
    <x v="4"/>
    <x v="0"/>
    <x v="0"/>
    <x v="3"/>
    <x v="10"/>
    <x v="0"/>
    <x v="12"/>
    <x v="506"/>
    <x v="2"/>
    <x v="12"/>
    <x v="1"/>
    <x v="4"/>
    <x v="2"/>
    <x v="1"/>
    <x v="816"/>
    <x v="4"/>
    <x v="12"/>
    <x v="326"/>
    <x v="326"/>
    <x v="0"/>
    <x v="326"/>
    <x v="381"/>
    <x v="367"/>
    <x v="389"/>
    <x v="367"/>
    <x v="381"/>
    <x v="381"/>
    <x v="381"/>
    <x v="381"/>
    <x v="381"/>
    <x v="381"/>
    <x v="381"/>
    <x v="326"/>
    <x v="386"/>
    <x v="386"/>
    <x v="303"/>
    <x v="0"/>
    <x v="0"/>
    <x v="330"/>
    <x v="326"/>
    <x v="326"/>
    <x v="326"/>
    <x v="326"/>
    <x v="4"/>
  </r>
  <r>
    <x v="462"/>
    <x v="161"/>
    <x v="0"/>
    <x v="0"/>
    <x v="0"/>
    <x v="0"/>
    <x v="1"/>
    <x v="3"/>
    <x v="0"/>
    <x v="0"/>
    <x v="4"/>
    <x v="0"/>
    <x v="1144"/>
    <x v="1"/>
    <x v="0"/>
    <x v="0"/>
    <x v="0"/>
    <x v="462"/>
    <x v="1"/>
    <x v="4"/>
    <x v="4"/>
    <x v="0"/>
    <x v="0"/>
    <x v="3"/>
    <x v="19"/>
    <x v="0"/>
    <x v="14"/>
    <x v="499"/>
    <x v="2"/>
    <x v="12"/>
    <x v="1"/>
    <x v="4"/>
    <x v="2"/>
    <x v="1"/>
    <x v="1288"/>
    <x v="4"/>
    <x v="14"/>
    <x v="1142"/>
    <x v="1142"/>
    <x v="1"/>
    <x v="1142"/>
    <x v="1222"/>
    <x v="1203"/>
    <x v="1237"/>
    <x v="1203"/>
    <x v="1222"/>
    <x v="1222"/>
    <x v="1222"/>
    <x v="1222"/>
    <x v="1222"/>
    <x v="1222"/>
    <x v="1222"/>
    <x v="1142"/>
    <x v="1235"/>
    <x v="1235"/>
    <x v="1079"/>
    <x v="0"/>
    <x v="0"/>
    <x v="1150"/>
    <x v="1142"/>
    <x v="1142"/>
    <x v="1142"/>
    <x v="1142"/>
    <x v="4"/>
  </r>
  <r>
    <x v="463"/>
    <x v="162"/>
    <x v="0"/>
    <x v="0"/>
    <x v="0"/>
    <x v="0"/>
    <x v="0"/>
    <x v="1"/>
    <x v="0"/>
    <x v="0"/>
    <x v="4"/>
    <x v="0"/>
    <x v="241"/>
    <x v="1"/>
    <x v="0"/>
    <x v="0"/>
    <x v="0"/>
    <x v="463"/>
    <x v="1"/>
    <x v="4"/>
    <x v="4"/>
    <x v="0"/>
    <x v="0"/>
    <x v="3"/>
    <x v="10"/>
    <x v="0"/>
    <x v="15"/>
    <x v="507"/>
    <x v="10"/>
    <x v="62"/>
    <x v="1"/>
    <x v="2"/>
    <x v="2"/>
    <x v="1"/>
    <x v="299"/>
    <x v="2"/>
    <x v="15"/>
    <x v="241"/>
    <x v="241"/>
    <x v="0"/>
    <x v="241"/>
    <x v="276"/>
    <x v="271"/>
    <x v="274"/>
    <x v="271"/>
    <x v="276"/>
    <x v="276"/>
    <x v="276"/>
    <x v="276"/>
    <x v="276"/>
    <x v="276"/>
    <x v="276"/>
    <x v="241"/>
    <x v="272"/>
    <x v="272"/>
    <x v="213"/>
    <x v="0"/>
    <x v="0"/>
    <x v="241"/>
    <x v="241"/>
    <x v="241"/>
    <x v="241"/>
    <x v="241"/>
    <x v="4"/>
  </r>
  <r>
    <x v="464"/>
    <x v="150"/>
    <x v="0"/>
    <x v="0"/>
    <x v="0"/>
    <x v="0"/>
    <x v="1"/>
    <x v="5"/>
    <x v="0"/>
    <x v="0"/>
    <x v="4"/>
    <x v="0"/>
    <x v="1118"/>
    <x v="1"/>
    <x v="0"/>
    <x v="0"/>
    <x v="0"/>
    <x v="464"/>
    <x v="1"/>
    <x v="4"/>
    <x v="4"/>
    <x v="0"/>
    <x v="0"/>
    <x v="3"/>
    <x v="26"/>
    <x v="0"/>
    <x v="13"/>
    <x v="478"/>
    <x v="3"/>
    <x v="28"/>
    <x v="1"/>
    <x v="6"/>
    <x v="3"/>
    <x v="1"/>
    <x v="1378"/>
    <x v="6"/>
    <x v="13"/>
    <x v="1116"/>
    <x v="1116"/>
    <x v="1"/>
    <x v="1116"/>
    <x v="1252"/>
    <x v="1211"/>
    <x v="1292"/>
    <x v="1211"/>
    <x v="1252"/>
    <x v="1252"/>
    <x v="1252"/>
    <x v="1252"/>
    <x v="1252"/>
    <x v="1252"/>
    <x v="1252"/>
    <x v="1116"/>
    <x v="1294"/>
    <x v="1294"/>
    <x v="0"/>
    <x v="109"/>
    <x v="0"/>
    <x v="1202"/>
    <x v="1116"/>
    <x v="1116"/>
    <x v="1116"/>
    <x v="1116"/>
    <x v="4"/>
  </r>
  <r>
    <x v="465"/>
    <x v="177"/>
    <x v="0"/>
    <x v="0"/>
    <x v="0"/>
    <x v="0"/>
    <x v="0"/>
    <x v="0"/>
    <x v="0"/>
    <x v="0"/>
    <x v="4"/>
    <x v="0"/>
    <x v="751"/>
    <x v="1"/>
    <x v="0"/>
    <x v="0"/>
    <x v="0"/>
    <x v="465"/>
    <x v="2"/>
    <x v="4"/>
    <x v="4"/>
    <x v="0"/>
    <x v="0"/>
    <x v="3"/>
    <x v="19"/>
    <x v="0"/>
    <x v="14"/>
    <x v="495"/>
    <x v="9"/>
    <x v="51"/>
    <x v="1"/>
    <x v="1"/>
    <x v="1"/>
    <x v="1"/>
    <x v="501"/>
    <x v="1"/>
    <x v="14"/>
    <x v="751"/>
    <x v="751"/>
    <x v="1"/>
    <x v="751"/>
    <x v="730"/>
    <x v="746"/>
    <x v="692"/>
    <x v="746"/>
    <x v="730"/>
    <x v="730"/>
    <x v="730"/>
    <x v="730"/>
    <x v="730"/>
    <x v="730"/>
    <x v="730"/>
    <x v="751"/>
    <x v="694"/>
    <x v="694"/>
    <x v="692"/>
    <x v="0"/>
    <x v="0"/>
    <x v="540"/>
    <x v="751"/>
    <x v="751"/>
    <x v="751"/>
    <x v="751"/>
    <x v="4"/>
  </r>
  <r>
    <x v="466"/>
    <x v="172"/>
    <x v="0"/>
    <x v="0"/>
    <x v="0"/>
    <x v="0"/>
    <x v="0"/>
    <x v="0"/>
    <x v="0"/>
    <x v="0"/>
    <x v="4"/>
    <x v="0"/>
    <x v="62"/>
    <x v="1"/>
    <x v="0"/>
    <x v="0"/>
    <x v="0"/>
    <x v="466"/>
    <x v="2"/>
    <x v="4"/>
    <x v="4"/>
    <x v="0"/>
    <x v="0"/>
    <x v="3"/>
    <x v="10"/>
    <x v="0"/>
    <x v="13"/>
    <x v="491"/>
    <x v="9"/>
    <x v="51"/>
    <x v="1"/>
    <x v="1"/>
    <x v="1"/>
    <x v="1"/>
    <x v="30"/>
    <x v="1"/>
    <x v="13"/>
    <x v="63"/>
    <x v="63"/>
    <x v="0"/>
    <x v="63"/>
    <x v="52"/>
    <x v="57"/>
    <x v="44"/>
    <x v="57"/>
    <x v="52"/>
    <x v="52"/>
    <x v="52"/>
    <x v="52"/>
    <x v="52"/>
    <x v="52"/>
    <x v="52"/>
    <x v="63"/>
    <x v="44"/>
    <x v="44"/>
    <x v="51"/>
    <x v="0"/>
    <x v="0"/>
    <x v="35"/>
    <x v="63"/>
    <x v="63"/>
    <x v="63"/>
    <x v="63"/>
    <x v="4"/>
  </r>
  <r>
    <x v="467"/>
    <x v="174"/>
    <x v="0"/>
    <x v="0"/>
    <x v="0"/>
    <x v="0"/>
    <x v="0"/>
    <x v="0"/>
    <x v="0"/>
    <x v="0"/>
    <x v="4"/>
    <x v="0"/>
    <x v="349"/>
    <x v="1"/>
    <x v="0"/>
    <x v="0"/>
    <x v="0"/>
    <x v="467"/>
    <x v="2"/>
    <x v="4"/>
    <x v="4"/>
    <x v="0"/>
    <x v="0"/>
    <x v="3"/>
    <x v="14"/>
    <x v="0"/>
    <x v="13"/>
    <x v="484"/>
    <x v="9"/>
    <x v="51"/>
    <x v="1"/>
    <x v="1"/>
    <x v="1"/>
    <x v="1"/>
    <x v="234"/>
    <x v="1"/>
    <x v="13"/>
    <x v="349"/>
    <x v="349"/>
    <x v="0"/>
    <x v="349"/>
    <x v="342"/>
    <x v="351"/>
    <x v="331"/>
    <x v="351"/>
    <x v="342"/>
    <x v="342"/>
    <x v="342"/>
    <x v="342"/>
    <x v="342"/>
    <x v="342"/>
    <x v="342"/>
    <x v="349"/>
    <x v="331"/>
    <x v="331"/>
    <x v="310"/>
    <x v="0"/>
    <x v="0"/>
    <x v="287"/>
    <x v="349"/>
    <x v="349"/>
    <x v="349"/>
    <x v="349"/>
    <x v="4"/>
  </r>
  <r>
    <x v="468"/>
    <x v="185"/>
    <x v="0"/>
    <x v="0"/>
    <x v="0"/>
    <x v="0"/>
    <x v="1"/>
    <x v="5"/>
    <x v="0"/>
    <x v="0"/>
    <x v="4"/>
    <x v="0"/>
    <x v="91"/>
    <x v="1"/>
    <x v="0"/>
    <x v="0"/>
    <x v="0"/>
    <x v="468"/>
    <x v="1"/>
    <x v="4"/>
    <x v="4"/>
    <x v="0"/>
    <x v="0"/>
    <x v="3"/>
    <x v="26"/>
    <x v="0"/>
    <x v="14"/>
    <x v="475"/>
    <x v="3"/>
    <x v="28"/>
    <x v="1"/>
    <x v="6"/>
    <x v="3"/>
    <x v="1"/>
    <x v="528"/>
    <x v="6"/>
    <x v="14"/>
    <x v="92"/>
    <x v="92"/>
    <x v="0"/>
    <x v="92"/>
    <x v="124"/>
    <x v="118"/>
    <x v="135"/>
    <x v="118"/>
    <x v="124"/>
    <x v="124"/>
    <x v="124"/>
    <x v="124"/>
    <x v="124"/>
    <x v="124"/>
    <x v="124"/>
    <x v="92"/>
    <x v="136"/>
    <x v="136"/>
    <x v="0"/>
    <x v="26"/>
    <x v="0"/>
    <x v="116"/>
    <x v="92"/>
    <x v="92"/>
    <x v="92"/>
    <x v="92"/>
    <x v="4"/>
  </r>
  <r>
    <x v="469"/>
    <x v="188"/>
    <x v="0"/>
    <x v="0"/>
    <x v="0"/>
    <x v="0"/>
    <x v="1"/>
    <x v="6"/>
    <x v="0"/>
    <x v="0"/>
    <x v="4"/>
    <x v="0"/>
    <x v="33"/>
    <x v="1"/>
    <x v="0"/>
    <x v="0"/>
    <x v="0"/>
    <x v="469"/>
    <x v="1"/>
    <x v="4"/>
    <x v="4"/>
    <x v="0"/>
    <x v="0"/>
    <x v="3"/>
    <x v="83"/>
    <x v="0"/>
    <x v="14"/>
    <x v="493"/>
    <x v="4"/>
    <x v="36"/>
    <x v="1"/>
    <x v="7"/>
    <x v="4"/>
    <x v="1"/>
    <x v="241"/>
    <x v="7"/>
    <x v="14"/>
    <x v="34"/>
    <x v="34"/>
    <x v="0"/>
    <x v="34"/>
    <x v="42"/>
    <x v="38"/>
    <x v="51"/>
    <x v="38"/>
    <x v="42"/>
    <x v="42"/>
    <x v="42"/>
    <x v="42"/>
    <x v="42"/>
    <x v="42"/>
    <x v="42"/>
    <x v="34"/>
    <x v="52"/>
    <x v="52"/>
    <x v="0"/>
    <x v="7"/>
    <x v="0"/>
    <x v="41"/>
    <x v="34"/>
    <x v="34"/>
    <x v="34"/>
    <x v="34"/>
    <x v="4"/>
  </r>
  <r>
    <x v="470"/>
    <x v="117"/>
    <x v="0"/>
    <x v="0"/>
    <x v="0"/>
    <x v="0"/>
    <x v="0"/>
    <x v="0"/>
    <x v="0"/>
    <x v="0"/>
    <x v="4"/>
    <x v="0"/>
    <x v="949"/>
    <x v="1"/>
    <x v="0"/>
    <x v="0"/>
    <x v="0"/>
    <x v="470"/>
    <x v="2"/>
    <x v="5"/>
    <x v="5"/>
    <x v="0"/>
    <x v="0"/>
    <x v="3"/>
    <x v="72"/>
    <x v="0"/>
    <x v="13"/>
    <x v="489"/>
    <x v="9"/>
    <x v="51"/>
    <x v="1"/>
    <x v="1"/>
    <x v="1"/>
    <x v="1"/>
    <x v="700"/>
    <x v="1"/>
    <x v="13"/>
    <x v="949"/>
    <x v="949"/>
    <x v="1"/>
    <x v="949"/>
    <x v="959"/>
    <x v="958"/>
    <x v="944"/>
    <x v="958"/>
    <x v="959"/>
    <x v="959"/>
    <x v="959"/>
    <x v="959"/>
    <x v="959"/>
    <x v="959"/>
    <x v="959"/>
    <x v="949"/>
    <x v="943"/>
    <x v="943"/>
    <x v="885"/>
    <x v="0"/>
    <x v="0"/>
    <x v="794"/>
    <x v="949"/>
    <x v="949"/>
    <x v="949"/>
    <x v="949"/>
    <x v="4"/>
  </r>
  <r>
    <x v="471"/>
    <x v="120"/>
    <x v="0"/>
    <x v="0"/>
    <x v="0"/>
    <x v="0"/>
    <x v="0"/>
    <x v="0"/>
    <x v="0"/>
    <x v="0"/>
    <x v="4"/>
    <x v="0"/>
    <x v="58"/>
    <x v="1"/>
    <x v="0"/>
    <x v="0"/>
    <x v="0"/>
    <x v="471"/>
    <x v="2"/>
    <x v="5"/>
    <x v="5"/>
    <x v="0"/>
    <x v="0"/>
    <x v="3"/>
    <x v="10"/>
    <x v="0"/>
    <x v="16"/>
    <x v="517"/>
    <x v="9"/>
    <x v="51"/>
    <x v="1"/>
    <x v="1"/>
    <x v="1"/>
    <x v="1"/>
    <x v="25"/>
    <x v="1"/>
    <x v="16"/>
    <x v="59"/>
    <x v="59"/>
    <x v="0"/>
    <x v="59"/>
    <x v="47"/>
    <x v="47"/>
    <x v="39"/>
    <x v="47"/>
    <x v="47"/>
    <x v="47"/>
    <x v="47"/>
    <x v="47"/>
    <x v="47"/>
    <x v="47"/>
    <x v="47"/>
    <x v="59"/>
    <x v="39"/>
    <x v="39"/>
    <x v="43"/>
    <x v="0"/>
    <x v="0"/>
    <x v="37"/>
    <x v="59"/>
    <x v="59"/>
    <x v="59"/>
    <x v="59"/>
    <x v="4"/>
  </r>
  <r>
    <x v="472"/>
    <x v="123"/>
    <x v="0"/>
    <x v="0"/>
    <x v="0"/>
    <x v="0"/>
    <x v="0"/>
    <x v="0"/>
    <x v="0"/>
    <x v="0"/>
    <x v="4"/>
    <x v="0"/>
    <x v="130"/>
    <x v="1"/>
    <x v="0"/>
    <x v="0"/>
    <x v="0"/>
    <x v="472"/>
    <x v="2"/>
    <x v="5"/>
    <x v="5"/>
    <x v="0"/>
    <x v="0"/>
    <x v="3"/>
    <x v="10"/>
    <x v="0"/>
    <x v="16"/>
    <x v="518"/>
    <x v="9"/>
    <x v="51"/>
    <x v="1"/>
    <x v="1"/>
    <x v="1"/>
    <x v="1"/>
    <x v="63"/>
    <x v="1"/>
    <x v="16"/>
    <x v="131"/>
    <x v="131"/>
    <x v="0"/>
    <x v="131"/>
    <x v="129"/>
    <x v="136"/>
    <x v="118"/>
    <x v="136"/>
    <x v="129"/>
    <x v="129"/>
    <x v="129"/>
    <x v="129"/>
    <x v="129"/>
    <x v="129"/>
    <x v="129"/>
    <x v="131"/>
    <x v="118"/>
    <x v="118"/>
    <x v="110"/>
    <x v="0"/>
    <x v="0"/>
    <x v="109"/>
    <x v="131"/>
    <x v="131"/>
    <x v="131"/>
    <x v="131"/>
    <x v="4"/>
  </r>
  <r>
    <x v="473"/>
    <x v="132"/>
    <x v="0"/>
    <x v="0"/>
    <x v="0"/>
    <x v="0"/>
    <x v="0"/>
    <x v="0"/>
    <x v="0"/>
    <x v="0"/>
    <x v="4"/>
    <x v="0"/>
    <x v="809"/>
    <x v="1"/>
    <x v="0"/>
    <x v="0"/>
    <x v="0"/>
    <x v="473"/>
    <x v="2"/>
    <x v="5"/>
    <x v="5"/>
    <x v="0"/>
    <x v="0"/>
    <x v="3"/>
    <x v="10"/>
    <x v="0"/>
    <x v="14"/>
    <x v="516"/>
    <x v="9"/>
    <x v="51"/>
    <x v="1"/>
    <x v="1"/>
    <x v="1"/>
    <x v="1"/>
    <x v="549"/>
    <x v="1"/>
    <x v="14"/>
    <x v="809"/>
    <x v="809"/>
    <x v="1"/>
    <x v="809"/>
    <x v="811"/>
    <x v="810"/>
    <x v="771"/>
    <x v="810"/>
    <x v="811"/>
    <x v="811"/>
    <x v="811"/>
    <x v="811"/>
    <x v="811"/>
    <x v="811"/>
    <x v="811"/>
    <x v="809"/>
    <x v="768"/>
    <x v="768"/>
    <x v="754"/>
    <x v="0"/>
    <x v="0"/>
    <x v="603"/>
    <x v="809"/>
    <x v="809"/>
    <x v="809"/>
    <x v="809"/>
    <x v="4"/>
  </r>
  <r>
    <x v="474"/>
    <x v="298"/>
    <x v="0"/>
    <x v="0"/>
    <x v="0"/>
    <x v="0"/>
    <x v="1"/>
    <x v="5"/>
    <x v="0"/>
    <x v="0"/>
    <x v="5"/>
    <x v="0"/>
    <x v="999"/>
    <x v="1"/>
    <x v="0"/>
    <x v="0"/>
    <x v="0"/>
    <x v="474"/>
    <x v="1"/>
    <x v="6"/>
    <x v="6"/>
    <x v="0"/>
    <x v="0"/>
    <x v="3"/>
    <x v="65"/>
    <x v="0"/>
    <x v="28"/>
    <x v="526"/>
    <x v="3"/>
    <x v="29"/>
    <x v="1"/>
    <x v="6"/>
    <x v="3"/>
    <x v="1"/>
    <x v="1365"/>
    <x v="6"/>
    <x v="28"/>
    <x v="999"/>
    <x v="999"/>
    <x v="1"/>
    <x v="999"/>
    <x v="1158"/>
    <x v="1102"/>
    <x v="1211"/>
    <x v="1102"/>
    <x v="1158"/>
    <x v="1158"/>
    <x v="1158"/>
    <x v="1158"/>
    <x v="1158"/>
    <x v="1158"/>
    <x v="1158"/>
    <x v="999"/>
    <x v="1212"/>
    <x v="1212"/>
    <x v="0"/>
    <x v="104"/>
    <x v="0"/>
    <x v="1274"/>
    <x v="999"/>
    <x v="999"/>
    <x v="999"/>
    <x v="999"/>
    <x v="5"/>
  </r>
  <r>
    <x v="475"/>
    <x v="301"/>
    <x v="0"/>
    <x v="0"/>
    <x v="0"/>
    <x v="0"/>
    <x v="1"/>
    <x v="5"/>
    <x v="0"/>
    <x v="0"/>
    <x v="5"/>
    <x v="0"/>
    <x v="269"/>
    <x v="1"/>
    <x v="0"/>
    <x v="0"/>
    <x v="0"/>
    <x v="475"/>
    <x v="1"/>
    <x v="6"/>
    <x v="6"/>
    <x v="0"/>
    <x v="0"/>
    <x v="3"/>
    <x v="65"/>
    <x v="0"/>
    <x v="27"/>
    <x v="531"/>
    <x v="3"/>
    <x v="29"/>
    <x v="1"/>
    <x v="6"/>
    <x v="3"/>
    <x v="1"/>
    <x v="1161"/>
    <x v="6"/>
    <x v="27"/>
    <x v="269"/>
    <x v="269"/>
    <x v="0"/>
    <x v="269"/>
    <x v="340"/>
    <x v="313"/>
    <x v="377"/>
    <x v="313"/>
    <x v="340"/>
    <x v="340"/>
    <x v="340"/>
    <x v="340"/>
    <x v="340"/>
    <x v="340"/>
    <x v="340"/>
    <x v="269"/>
    <x v="384"/>
    <x v="384"/>
    <x v="0"/>
    <x v="52"/>
    <x v="0"/>
    <x v="507"/>
    <x v="269"/>
    <x v="269"/>
    <x v="269"/>
    <x v="269"/>
    <x v="5"/>
  </r>
  <r>
    <x v="476"/>
    <x v="304"/>
    <x v="0"/>
    <x v="0"/>
    <x v="0"/>
    <x v="0"/>
    <x v="1"/>
    <x v="4"/>
    <x v="0"/>
    <x v="0"/>
    <x v="5"/>
    <x v="0"/>
    <x v="462"/>
    <x v="1"/>
    <x v="0"/>
    <x v="0"/>
    <x v="0"/>
    <x v="476"/>
    <x v="1"/>
    <x v="6"/>
    <x v="6"/>
    <x v="0"/>
    <x v="0"/>
    <x v="3"/>
    <x v="64"/>
    <x v="0"/>
    <x v="29"/>
    <x v="2"/>
    <x v="2"/>
    <x v="18"/>
    <x v="1"/>
    <x v="5"/>
    <x v="2"/>
    <x v="1"/>
    <x v="1141"/>
    <x v="5"/>
    <x v="29"/>
    <x v="462"/>
    <x v="462"/>
    <x v="0"/>
    <x v="462"/>
    <x v="601"/>
    <x v="541"/>
    <x v="661"/>
    <x v="541"/>
    <x v="601"/>
    <x v="601"/>
    <x v="601"/>
    <x v="601"/>
    <x v="601"/>
    <x v="601"/>
    <x v="601"/>
    <x v="462"/>
    <x v="661"/>
    <x v="661"/>
    <x v="450"/>
    <x v="0"/>
    <x v="0"/>
    <x v="804"/>
    <x v="462"/>
    <x v="462"/>
    <x v="462"/>
    <x v="462"/>
    <x v="5"/>
  </r>
  <r>
    <x v="477"/>
    <x v="304"/>
    <x v="0"/>
    <x v="0"/>
    <x v="0"/>
    <x v="0"/>
    <x v="1"/>
    <x v="5"/>
    <x v="0"/>
    <x v="0"/>
    <x v="5"/>
    <x v="0"/>
    <x v="665"/>
    <x v="1"/>
    <x v="0"/>
    <x v="0"/>
    <x v="0"/>
    <x v="477"/>
    <x v="1"/>
    <x v="6"/>
    <x v="6"/>
    <x v="0"/>
    <x v="0"/>
    <x v="3"/>
    <x v="64"/>
    <x v="0"/>
    <x v="29"/>
    <x v="533"/>
    <x v="3"/>
    <x v="29"/>
    <x v="1"/>
    <x v="6"/>
    <x v="3"/>
    <x v="1"/>
    <x v="1311"/>
    <x v="6"/>
    <x v="29"/>
    <x v="665"/>
    <x v="665"/>
    <x v="0"/>
    <x v="665"/>
    <x v="833"/>
    <x v="774"/>
    <x v="902"/>
    <x v="774"/>
    <x v="833"/>
    <x v="833"/>
    <x v="833"/>
    <x v="833"/>
    <x v="833"/>
    <x v="833"/>
    <x v="833"/>
    <x v="665"/>
    <x v="905"/>
    <x v="905"/>
    <x v="0"/>
    <x v="87"/>
    <x v="0"/>
    <x v="1008"/>
    <x v="665"/>
    <x v="665"/>
    <x v="665"/>
    <x v="665"/>
    <x v="5"/>
  </r>
  <r>
    <x v="478"/>
    <x v="295"/>
    <x v="0"/>
    <x v="0"/>
    <x v="0"/>
    <x v="0"/>
    <x v="1"/>
    <x v="5"/>
    <x v="0"/>
    <x v="0"/>
    <x v="5"/>
    <x v="0"/>
    <x v="804"/>
    <x v="1"/>
    <x v="0"/>
    <x v="0"/>
    <x v="0"/>
    <x v="478"/>
    <x v="1"/>
    <x v="6"/>
    <x v="6"/>
    <x v="0"/>
    <x v="0"/>
    <x v="3"/>
    <x v="128"/>
    <x v="0"/>
    <x v="27"/>
    <x v="525"/>
    <x v="3"/>
    <x v="29"/>
    <x v="1"/>
    <x v="6"/>
    <x v="3"/>
    <x v="1"/>
    <x v="1337"/>
    <x v="6"/>
    <x v="27"/>
    <x v="804"/>
    <x v="804"/>
    <x v="1"/>
    <x v="804"/>
    <x v="948"/>
    <x v="900"/>
    <x v="1024"/>
    <x v="900"/>
    <x v="948"/>
    <x v="948"/>
    <x v="948"/>
    <x v="948"/>
    <x v="948"/>
    <x v="948"/>
    <x v="948"/>
    <x v="804"/>
    <x v="1030"/>
    <x v="1030"/>
    <x v="0"/>
    <x v="94"/>
    <x v="0"/>
    <x v="1094"/>
    <x v="804"/>
    <x v="804"/>
    <x v="804"/>
    <x v="804"/>
    <x v="5"/>
  </r>
  <r>
    <x v="479"/>
    <x v="323"/>
    <x v="0"/>
    <x v="0"/>
    <x v="0"/>
    <x v="0"/>
    <x v="0"/>
    <x v="0"/>
    <x v="0"/>
    <x v="0"/>
    <x v="5"/>
    <x v="0"/>
    <x v="78"/>
    <x v="1"/>
    <x v="0"/>
    <x v="0"/>
    <x v="0"/>
    <x v="479"/>
    <x v="2"/>
    <x v="6"/>
    <x v="6"/>
    <x v="0"/>
    <x v="0"/>
    <x v="3"/>
    <x v="66"/>
    <x v="0"/>
    <x v="26"/>
    <x v="539"/>
    <x v="9"/>
    <x v="52"/>
    <x v="1"/>
    <x v="1"/>
    <x v="1"/>
    <x v="1"/>
    <x v="38"/>
    <x v="1"/>
    <x v="26"/>
    <x v="79"/>
    <x v="79"/>
    <x v="0"/>
    <x v="79"/>
    <x v="72"/>
    <x v="76"/>
    <x v="65"/>
    <x v="76"/>
    <x v="72"/>
    <x v="72"/>
    <x v="72"/>
    <x v="72"/>
    <x v="72"/>
    <x v="72"/>
    <x v="72"/>
    <x v="79"/>
    <x v="65"/>
    <x v="65"/>
    <x v="67"/>
    <x v="0"/>
    <x v="0"/>
    <x v="85"/>
    <x v="79"/>
    <x v="79"/>
    <x v="79"/>
    <x v="79"/>
    <x v="5"/>
  </r>
  <r>
    <x v="480"/>
    <x v="323"/>
    <x v="0"/>
    <x v="0"/>
    <x v="0"/>
    <x v="0"/>
    <x v="1"/>
    <x v="4"/>
    <x v="0"/>
    <x v="0"/>
    <x v="5"/>
    <x v="0"/>
    <x v="705"/>
    <x v="1"/>
    <x v="0"/>
    <x v="0"/>
    <x v="0"/>
    <x v="480"/>
    <x v="1"/>
    <x v="6"/>
    <x v="6"/>
    <x v="0"/>
    <x v="0"/>
    <x v="3"/>
    <x v="66"/>
    <x v="0"/>
    <x v="26"/>
    <x v="540"/>
    <x v="2"/>
    <x v="18"/>
    <x v="1"/>
    <x v="5"/>
    <x v="2"/>
    <x v="1"/>
    <x v="1214"/>
    <x v="5"/>
    <x v="26"/>
    <x v="705"/>
    <x v="705"/>
    <x v="1"/>
    <x v="705"/>
    <x v="816"/>
    <x v="779"/>
    <x v="851"/>
    <x v="779"/>
    <x v="816"/>
    <x v="816"/>
    <x v="816"/>
    <x v="816"/>
    <x v="816"/>
    <x v="816"/>
    <x v="816"/>
    <x v="705"/>
    <x v="850"/>
    <x v="850"/>
    <x v="677"/>
    <x v="0"/>
    <x v="0"/>
    <x v="917"/>
    <x v="705"/>
    <x v="705"/>
    <x v="705"/>
    <x v="705"/>
    <x v="5"/>
  </r>
  <r>
    <x v="481"/>
    <x v="324"/>
    <x v="0"/>
    <x v="0"/>
    <x v="0"/>
    <x v="0"/>
    <x v="0"/>
    <x v="0"/>
    <x v="0"/>
    <x v="0"/>
    <x v="5"/>
    <x v="0"/>
    <x v="1028"/>
    <x v="1"/>
    <x v="0"/>
    <x v="0"/>
    <x v="0"/>
    <x v="481"/>
    <x v="2"/>
    <x v="6"/>
    <x v="6"/>
    <x v="0"/>
    <x v="0"/>
    <x v="3"/>
    <x v="66"/>
    <x v="0"/>
    <x v="26"/>
    <x v="520"/>
    <x v="9"/>
    <x v="52"/>
    <x v="1"/>
    <x v="1"/>
    <x v="1"/>
    <x v="1"/>
    <x v="790"/>
    <x v="1"/>
    <x v="26"/>
    <x v="1028"/>
    <x v="1028"/>
    <x v="1"/>
    <x v="1028"/>
    <x v="1038"/>
    <x v="1033"/>
    <x v="1023"/>
    <x v="1033"/>
    <x v="1038"/>
    <x v="1038"/>
    <x v="1038"/>
    <x v="1038"/>
    <x v="1038"/>
    <x v="1038"/>
    <x v="1038"/>
    <x v="1028"/>
    <x v="1022"/>
    <x v="1022"/>
    <x v="955"/>
    <x v="0"/>
    <x v="0"/>
    <x v="1073"/>
    <x v="1028"/>
    <x v="1028"/>
    <x v="1028"/>
    <x v="1028"/>
    <x v="5"/>
  </r>
  <r>
    <x v="482"/>
    <x v="365"/>
    <x v="0"/>
    <x v="0"/>
    <x v="0"/>
    <x v="0"/>
    <x v="0"/>
    <x v="0"/>
    <x v="0"/>
    <x v="0"/>
    <x v="5"/>
    <x v="0"/>
    <x v="1258"/>
    <x v="1"/>
    <x v="0"/>
    <x v="0"/>
    <x v="0"/>
    <x v="482"/>
    <x v="2"/>
    <x v="6"/>
    <x v="6"/>
    <x v="0"/>
    <x v="0"/>
    <x v="3"/>
    <x v="64"/>
    <x v="0"/>
    <x v="25"/>
    <x v="527"/>
    <x v="9"/>
    <x v="52"/>
    <x v="1"/>
    <x v="1"/>
    <x v="1"/>
    <x v="1"/>
    <x v="1054"/>
    <x v="1"/>
    <x v="25"/>
    <x v="1256"/>
    <x v="1256"/>
    <x v="2"/>
    <x v="1256"/>
    <x v="1279"/>
    <x v="1271"/>
    <x v="1273"/>
    <x v="1271"/>
    <x v="1279"/>
    <x v="1279"/>
    <x v="1279"/>
    <x v="1279"/>
    <x v="1279"/>
    <x v="1279"/>
    <x v="1279"/>
    <x v="1256"/>
    <x v="1272"/>
    <x v="1272"/>
    <x v="1181"/>
    <x v="0"/>
    <x v="0"/>
    <x v="1303"/>
    <x v="1256"/>
    <x v="1256"/>
    <x v="1256"/>
    <x v="1256"/>
    <x v="5"/>
  </r>
  <r>
    <x v="483"/>
    <x v="346"/>
    <x v="0"/>
    <x v="0"/>
    <x v="0"/>
    <x v="0"/>
    <x v="1"/>
    <x v="4"/>
    <x v="0"/>
    <x v="0"/>
    <x v="5"/>
    <x v="0"/>
    <x v="316"/>
    <x v="1"/>
    <x v="0"/>
    <x v="0"/>
    <x v="0"/>
    <x v="483"/>
    <x v="1"/>
    <x v="6"/>
    <x v="6"/>
    <x v="0"/>
    <x v="0"/>
    <x v="3"/>
    <x v="66"/>
    <x v="0"/>
    <x v="26"/>
    <x v="538"/>
    <x v="2"/>
    <x v="18"/>
    <x v="1"/>
    <x v="5"/>
    <x v="2"/>
    <x v="1"/>
    <x v="1008"/>
    <x v="5"/>
    <x v="26"/>
    <x v="316"/>
    <x v="316"/>
    <x v="0"/>
    <x v="316"/>
    <x v="370"/>
    <x v="353"/>
    <x v="398"/>
    <x v="353"/>
    <x v="370"/>
    <x v="370"/>
    <x v="370"/>
    <x v="370"/>
    <x v="370"/>
    <x v="370"/>
    <x v="370"/>
    <x v="316"/>
    <x v="396"/>
    <x v="396"/>
    <x v="294"/>
    <x v="0"/>
    <x v="0"/>
    <x v="505"/>
    <x v="316"/>
    <x v="316"/>
    <x v="316"/>
    <x v="316"/>
    <x v="5"/>
  </r>
  <r>
    <x v="484"/>
    <x v="352"/>
    <x v="0"/>
    <x v="0"/>
    <x v="0"/>
    <x v="0"/>
    <x v="0"/>
    <x v="0"/>
    <x v="0"/>
    <x v="0"/>
    <x v="5"/>
    <x v="0"/>
    <x v="458"/>
    <x v="1"/>
    <x v="0"/>
    <x v="0"/>
    <x v="0"/>
    <x v="484"/>
    <x v="2"/>
    <x v="6"/>
    <x v="6"/>
    <x v="0"/>
    <x v="0"/>
    <x v="3"/>
    <x v="66"/>
    <x v="0"/>
    <x v="26"/>
    <x v="529"/>
    <x v="9"/>
    <x v="52"/>
    <x v="1"/>
    <x v="1"/>
    <x v="1"/>
    <x v="1"/>
    <x v="312"/>
    <x v="1"/>
    <x v="26"/>
    <x v="458"/>
    <x v="458"/>
    <x v="0"/>
    <x v="458"/>
    <x v="442"/>
    <x v="444"/>
    <x v="426"/>
    <x v="444"/>
    <x v="442"/>
    <x v="442"/>
    <x v="442"/>
    <x v="442"/>
    <x v="442"/>
    <x v="442"/>
    <x v="442"/>
    <x v="458"/>
    <x v="424"/>
    <x v="424"/>
    <x v="405"/>
    <x v="0"/>
    <x v="0"/>
    <x v="543"/>
    <x v="458"/>
    <x v="458"/>
    <x v="458"/>
    <x v="458"/>
    <x v="5"/>
  </r>
  <r>
    <x v="485"/>
    <x v="308"/>
    <x v="0"/>
    <x v="0"/>
    <x v="0"/>
    <x v="0"/>
    <x v="0"/>
    <x v="0"/>
    <x v="0"/>
    <x v="0"/>
    <x v="5"/>
    <x v="0"/>
    <x v="1300"/>
    <x v="1"/>
    <x v="0"/>
    <x v="0"/>
    <x v="0"/>
    <x v="485"/>
    <x v="2"/>
    <x v="6"/>
    <x v="6"/>
    <x v="0"/>
    <x v="0"/>
    <x v="3"/>
    <x v="64"/>
    <x v="0"/>
    <x v="22"/>
    <x v="566"/>
    <x v="9"/>
    <x v="52"/>
    <x v="1"/>
    <x v="1"/>
    <x v="1"/>
    <x v="1"/>
    <x v="1106"/>
    <x v="1"/>
    <x v="22"/>
    <x v="1298"/>
    <x v="1298"/>
    <x v="2"/>
    <x v="1298"/>
    <x v="1321"/>
    <x v="1311"/>
    <x v="1314"/>
    <x v="1311"/>
    <x v="1321"/>
    <x v="1321"/>
    <x v="1321"/>
    <x v="1321"/>
    <x v="1321"/>
    <x v="1321"/>
    <x v="1321"/>
    <x v="1298"/>
    <x v="1313"/>
    <x v="1313"/>
    <x v="1220"/>
    <x v="0"/>
    <x v="0"/>
    <x v="1318"/>
    <x v="1298"/>
    <x v="1298"/>
    <x v="1298"/>
    <x v="1298"/>
    <x v="5"/>
  </r>
  <r>
    <x v="486"/>
    <x v="359"/>
    <x v="0"/>
    <x v="0"/>
    <x v="0"/>
    <x v="0"/>
    <x v="0"/>
    <x v="0"/>
    <x v="0"/>
    <x v="0"/>
    <x v="5"/>
    <x v="0"/>
    <x v="758"/>
    <x v="1"/>
    <x v="0"/>
    <x v="0"/>
    <x v="0"/>
    <x v="486"/>
    <x v="2"/>
    <x v="6"/>
    <x v="6"/>
    <x v="0"/>
    <x v="0"/>
    <x v="3"/>
    <x v="66"/>
    <x v="0"/>
    <x v="26"/>
    <x v="524"/>
    <x v="9"/>
    <x v="52"/>
    <x v="1"/>
    <x v="1"/>
    <x v="1"/>
    <x v="1"/>
    <x v="506"/>
    <x v="1"/>
    <x v="26"/>
    <x v="758"/>
    <x v="758"/>
    <x v="1"/>
    <x v="758"/>
    <x v="741"/>
    <x v="755"/>
    <x v="702"/>
    <x v="755"/>
    <x v="741"/>
    <x v="741"/>
    <x v="741"/>
    <x v="741"/>
    <x v="741"/>
    <x v="741"/>
    <x v="741"/>
    <x v="758"/>
    <x v="705"/>
    <x v="705"/>
    <x v="698"/>
    <x v="0"/>
    <x v="0"/>
    <x v="783"/>
    <x v="758"/>
    <x v="758"/>
    <x v="758"/>
    <x v="758"/>
    <x v="5"/>
  </r>
  <r>
    <x v="487"/>
    <x v="351"/>
    <x v="0"/>
    <x v="0"/>
    <x v="0"/>
    <x v="0"/>
    <x v="1"/>
    <x v="4"/>
    <x v="0"/>
    <x v="0"/>
    <x v="5"/>
    <x v="0"/>
    <x v="647"/>
    <x v="1"/>
    <x v="0"/>
    <x v="0"/>
    <x v="0"/>
    <x v="487"/>
    <x v="1"/>
    <x v="6"/>
    <x v="6"/>
    <x v="0"/>
    <x v="0"/>
    <x v="3"/>
    <x v="120"/>
    <x v="0"/>
    <x v="26"/>
    <x v="537"/>
    <x v="2"/>
    <x v="18"/>
    <x v="1"/>
    <x v="5"/>
    <x v="2"/>
    <x v="1"/>
    <x v="1190"/>
    <x v="5"/>
    <x v="26"/>
    <x v="647"/>
    <x v="647"/>
    <x v="0"/>
    <x v="647"/>
    <x v="760"/>
    <x v="722"/>
    <x v="803"/>
    <x v="722"/>
    <x v="760"/>
    <x v="760"/>
    <x v="760"/>
    <x v="760"/>
    <x v="760"/>
    <x v="760"/>
    <x v="760"/>
    <x v="647"/>
    <x v="801"/>
    <x v="801"/>
    <x v="636"/>
    <x v="0"/>
    <x v="0"/>
    <x v="870"/>
    <x v="647"/>
    <x v="647"/>
    <x v="647"/>
    <x v="647"/>
    <x v="5"/>
  </r>
  <r>
    <x v="488"/>
    <x v="356"/>
    <x v="0"/>
    <x v="0"/>
    <x v="0"/>
    <x v="0"/>
    <x v="0"/>
    <x v="0"/>
    <x v="0"/>
    <x v="0"/>
    <x v="5"/>
    <x v="0"/>
    <x v="226"/>
    <x v="1"/>
    <x v="0"/>
    <x v="0"/>
    <x v="0"/>
    <x v="488"/>
    <x v="2"/>
    <x v="6"/>
    <x v="6"/>
    <x v="0"/>
    <x v="0"/>
    <x v="3"/>
    <x v="66"/>
    <x v="0"/>
    <x v="26"/>
    <x v="530"/>
    <x v="9"/>
    <x v="52"/>
    <x v="1"/>
    <x v="1"/>
    <x v="1"/>
    <x v="1"/>
    <x v="137"/>
    <x v="1"/>
    <x v="26"/>
    <x v="227"/>
    <x v="227"/>
    <x v="0"/>
    <x v="227"/>
    <x v="234"/>
    <x v="232"/>
    <x v="228"/>
    <x v="232"/>
    <x v="234"/>
    <x v="234"/>
    <x v="234"/>
    <x v="234"/>
    <x v="234"/>
    <x v="234"/>
    <x v="234"/>
    <x v="227"/>
    <x v="227"/>
    <x v="227"/>
    <x v="198"/>
    <x v="0"/>
    <x v="0"/>
    <x v="256"/>
    <x v="227"/>
    <x v="227"/>
    <x v="227"/>
    <x v="227"/>
    <x v="5"/>
  </r>
  <r>
    <x v="489"/>
    <x v="360"/>
    <x v="0"/>
    <x v="0"/>
    <x v="0"/>
    <x v="0"/>
    <x v="1"/>
    <x v="6"/>
    <x v="0"/>
    <x v="0"/>
    <x v="5"/>
    <x v="0"/>
    <x v="1354"/>
    <x v="1"/>
    <x v="0"/>
    <x v="0"/>
    <x v="0"/>
    <x v="489"/>
    <x v="1"/>
    <x v="6"/>
    <x v="6"/>
    <x v="0"/>
    <x v="0"/>
    <x v="3"/>
    <x v="66"/>
    <x v="0"/>
    <x v="26"/>
    <x v="3"/>
    <x v="4"/>
    <x v="37"/>
    <x v="1"/>
    <x v="7"/>
    <x v="4"/>
    <x v="1"/>
    <x v="1397"/>
    <x v="7"/>
    <x v="26"/>
    <x v="1352"/>
    <x v="1352"/>
    <x v="4"/>
    <x v="1352"/>
    <x v="1397"/>
    <x v="1385"/>
    <x v="1397"/>
    <x v="1385"/>
    <x v="1397"/>
    <x v="1397"/>
    <x v="1397"/>
    <x v="1397"/>
    <x v="1397"/>
    <x v="1397"/>
    <x v="1397"/>
    <x v="1352"/>
    <x v="1396"/>
    <x v="1396"/>
    <x v="0"/>
    <x v="125"/>
    <x v="0"/>
    <x v="1420"/>
    <x v="1352"/>
    <x v="1352"/>
    <x v="1352"/>
    <x v="1352"/>
    <x v="5"/>
  </r>
  <r>
    <x v="490"/>
    <x v="359"/>
    <x v="0"/>
    <x v="0"/>
    <x v="0"/>
    <x v="0"/>
    <x v="0"/>
    <x v="0"/>
    <x v="0"/>
    <x v="0"/>
    <x v="5"/>
    <x v="0"/>
    <x v="249"/>
    <x v="1"/>
    <x v="0"/>
    <x v="0"/>
    <x v="0"/>
    <x v="490"/>
    <x v="2"/>
    <x v="6"/>
    <x v="6"/>
    <x v="0"/>
    <x v="0"/>
    <x v="3"/>
    <x v="66"/>
    <x v="0"/>
    <x v="26"/>
    <x v="523"/>
    <x v="9"/>
    <x v="52"/>
    <x v="1"/>
    <x v="1"/>
    <x v="1"/>
    <x v="1"/>
    <x v="160"/>
    <x v="1"/>
    <x v="26"/>
    <x v="249"/>
    <x v="249"/>
    <x v="0"/>
    <x v="249"/>
    <x v="252"/>
    <x v="252"/>
    <x v="246"/>
    <x v="252"/>
    <x v="252"/>
    <x v="252"/>
    <x v="252"/>
    <x v="252"/>
    <x v="252"/>
    <x v="252"/>
    <x v="252"/>
    <x v="249"/>
    <x v="246"/>
    <x v="246"/>
    <x v="217"/>
    <x v="0"/>
    <x v="0"/>
    <x v="282"/>
    <x v="249"/>
    <x v="249"/>
    <x v="249"/>
    <x v="249"/>
    <x v="5"/>
  </r>
  <r>
    <x v="491"/>
    <x v="301"/>
    <x v="0"/>
    <x v="0"/>
    <x v="0"/>
    <x v="0"/>
    <x v="0"/>
    <x v="0"/>
    <x v="0"/>
    <x v="0"/>
    <x v="5"/>
    <x v="0"/>
    <x v="1351"/>
    <x v="1"/>
    <x v="0"/>
    <x v="0"/>
    <x v="0"/>
    <x v="491"/>
    <x v="2"/>
    <x v="6"/>
    <x v="6"/>
    <x v="0"/>
    <x v="0"/>
    <x v="3"/>
    <x v="65"/>
    <x v="0"/>
    <x v="27"/>
    <x v="532"/>
    <x v="9"/>
    <x v="52"/>
    <x v="1"/>
    <x v="1"/>
    <x v="1"/>
    <x v="1"/>
    <x v="1230"/>
    <x v="1"/>
    <x v="27"/>
    <x v="1349"/>
    <x v="1349"/>
    <x v="4"/>
    <x v="1349"/>
    <x v="1385"/>
    <x v="1374"/>
    <x v="1376"/>
    <x v="1374"/>
    <x v="1385"/>
    <x v="1385"/>
    <x v="1385"/>
    <x v="1385"/>
    <x v="1385"/>
    <x v="1385"/>
    <x v="1385"/>
    <x v="1349"/>
    <x v="1375"/>
    <x v="1375"/>
    <x v="1268"/>
    <x v="0"/>
    <x v="0"/>
    <x v="1398"/>
    <x v="1349"/>
    <x v="1349"/>
    <x v="1349"/>
    <x v="1349"/>
    <x v="5"/>
  </r>
  <r>
    <x v="492"/>
    <x v="360"/>
    <x v="0"/>
    <x v="0"/>
    <x v="0"/>
    <x v="0"/>
    <x v="1"/>
    <x v="4"/>
    <x v="0"/>
    <x v="0"/>
    <x v="5"/>
    <x v="0"/>
    <x v="290"/>
    <x v="1"/>
    <x v="0"/>
    <x v="0"/>
    <x v="0"/>
    <x v="492"/>
    <x v="1"/>
    <x v="6"/>
    <x v="6"/>
    <x v="0"/>
    <x v="0"/>
    <x v="3"/>
    <x v="66"/>
    <x v="0"/>
    <x v="26"/>
    <x v="536"/>
    <x v="2"/>
    <x v="18"/>
    <x v="1"/>
    <x v="5"/>
    <x v="2"/>
    <x v="1"/>
    <x v="972"/>
    <x v="5"/>
    <x v="26"/>
    <x v="290"/>
    <x v="290"/>
    <x v="0"/>
    <x v="290"/>
    <x v="339"/>
    <x v="325"/>
    <x v="360"/>
    <x v="325"/>
    <x v="339"/>
    <x v="339"/>
    <x v="339"/>
    <x v="339"/>
    <x v="339"/>
    <x v="339"/>
    <x v="339"/>
    <x v="290"/>
    <x v="360"/>
    <x v="360"/>
    <x v="267"/>
    <x v="0"/>
    <x v="0"/>
    <x v="459"/>
    <x v="290"/>
    <x v="290"/>
    <x v="290"/>
    <x v="290"/>
    <x v="5"/>
  </r>
  <r>
    <x v="493"/>
    <x v="369"/>
    <x v="0"/>
    <x v="0"/>
    <x v="0"/>
    <x v="0"/>
    <x v="0"/>
    <x v="0"/>
    <x v="0"/>
    <x v="0"/>
    <x v="5"/>
    <x v="0"/>
    <x v="853"/>
    <x v="1"/>
    <x v="0"/>
    <x v="0"/>
    <x v="0"/>
    <x v="493"/>
    <x v="2"/>
    <x v="6"/>
    <x v="6"/>
    <x v="0"/>
    <x v="0"/>
    <x v="3"/>
    <x v="66"/>
    <x v="0"/>
    <x v="27"/>
    <x v="521"/>
    <x v="9"/>
    <x v="52"/>
    <x v="1"/>
    <x v="1"/>
    <x v="1"/>
    <x v="1"/>
    <x v="597"/>
    <x v="1"/>
    <x v="27"/>
    <x v="853"/>
    <x v="853"/>
    <x v="1"/>
    <x v="853"/>
    <x v="864"/>
    <x v="861"/>
    <x v="837"/>
    <x v="861"/>
    <x v="864"/>
    <x v="864"/>
    <x v="864"/>
    <x v="864"/>
    <x v="864"/>
    <x v="864"/>
    <x v="864"/>
    <x v="853"/>
    <x v="835"/>
    <x v="835"/>
    <x v="790"/>
    <x v="0"/>
    <x v="0"/>
    <x v="920"/>
    <x v="853"/>
    <x v="853"/>
    <x v="853"/>
    <x v="853"/>
    <x v="5"/>
  </r>
  <r>
    <x v="494"/>
    <x v="371"/>
    <x v="0"/>
    <x v="0"/>
    <x v="0"/>
    <x v="0"/>
    <x v="0"/>
    <x v="0"/>
    <x v="0"/>
    <x v="0"/>
    <x v="5"/>
    <x v="0"/>
    <x v="167"/>
    <x v="1"/>
    <x v="0"/>
    <x v="0"/>
    <x v="0"/>
    <x v="494"/>
    <x v="2"/>
    <x v="6"/>
    <x v="6"/>
    <x v="0"/>
    <x v="0"/>
    <x v="3"/>
    <x v="66"/>
    <x v="0"/>
    <x v="27"/>
    <x v="528"/>
    <x v="9"/>
    <x v="52"/>
    <x v="1"/>
    <x v="1"/>
    <x v="1"/>
    <x v="1"/>
    <x v="87"/>
    <x v="1"/>
    <x v="27"/>
    <x v="168"/>
    <x v="168"/>
    <x v="0"/>
    <x v="168"/>
    <x v="177"/>
    <x v="174"/>
    <x v="169"/>
    <x v="174"/>
    <x v="177"/>
    <x v="177"/>
    <x v="177"/>
    <x v="177"/>
    <x v="177"/>
    <x v="177"/>
    <x v="177"/>
    <x v="168"/>
    <x v="169"/>
    <x v="169"/>
    <x v="145"/>
    <x v="0"/>
    <x v="0"/>
    <x v="192"/>
    <x v="168"/>
    <x v="168"/>
    <x v="168"/>
    <x v="168"/>
    <x v="5"/>
  </r>
  <r>
    <x v="495"/>
    <x v="364"/>
    <x v="0"/>
    <x v="0"/>
    <x v="0"/>
    <x v="0"/>
    <x v="0"/>
    <x v="0"/>
    <x v="0"/>
    <x v="0"/>
    <x v="5"/>
    <x v="0"/>
    <x v="871"/>
    <x v="1"/>
    <x v="0"/>
    <x v="0"/>
    <x v="0"/>
    <x v="495"/>
    <x v="2"/>
    <x v="6"/>
    <x v="6"/>
    <x v="0"/>
    <x v="0"/>
    <x v="3"/>
    <x v="66"/>
    <x v="0"/>
    <x v="26"/>
    <x v="534"/>
    <x v="9"/>
    <x v="52"/>
    <x v="1"/>
    <x v="1"/>
    <x v="1"/>
    <x v="1"/>
    <x v="615"/>
    <x v="1"/>
    <x v="26"/>
    <x v="871"/>
    <x v="871"/>
    <x v="1"/>
    <x v="871"/>
    <x v="885"/>
    <x v="875"/>
    <x v="863"/>
    <x v="875"/>
    <x v="885"/>
    <x v="885"/>
    <x v="885"/>
    <x v="885"/>
    <x v="885"/>
    <x v="885"/>
    <x v="885"/>
    <x v="871"/>
    <x v="860"/>
    <x v="860"/>
    <x v="806"/>
    <x v="0"/>
    <x v="0"/>
    <x v="930"/>
    <x v="871"/>
    <x v="871"/>
    <x v="871"/>
    <x v="871"/>
    <x v="5"/>
  </r>
  <r>
    <x v="496"/>
    <x v="240"/>
    <x v="0"/>
    <x v="0"/>
    <x v="0"/>
    <x v="0"/>
    <x v="0"/>
    <x v="2"/>
    <x v="0"/>
    <x v="0"/>
    <x v="5"/>
    <x v="0"/>
    <x v="350"/>
    <x v="1"/>
    <x v="0"/>
    <x v="0"/>
    <x v="0"/>
    <x v="496"/>
    <x v="1"/>
    <x v="7"/>
    <x v="7"/>
    <x v="0"/>
    <x v="0"/>
    <x v="3"/>
    <x v="89"/>
    <x v="0"/>
    <x v="21"/>
    <x v="590"/>
    <x v="1"/>
    <x v="4"/>
    <x v="1"/>
    <x v="3"/>
    <x v="2"/>
    <x v="1"/>
    <x v="725"/>
    <x v="3"/>
    <x v="21"/>
    <x v="350"/>
    <x v="350"/>
    <x v="0"/>
    <x v="350"/>
    <x v="405"/>
    <x v="396"/>
    <x v="418"/>
    <x v="396"/>
    <x v="405"/>
    <x v="405"/>
    <x v="405"/>
    <x v="405"/>
    <x v="405"/>
    <x v="405"/>
    <x v="405"/>
    <x v="350"/>
    <x v="415"/>
    <x v="415"/>
    <x v="319"/>
    <x v="0"/>
    <x v="0"/>
    <x v="456"/>
    <x v="350"/>
    <x v="350"/>
    <x v="350"/>
    <x v="350"/>
    <x v="5"/>
  </r>
  <r>
    <x v="497"/>
    <x v="239"/>
    <x v="0"/>
    <x v="0"/>
    <x v="0"/>
    <x v="0"/>
    <x v="0"/>
    <x v="0"/>
    <x v="0"/>
    <x v="0"/>
    <x v="5"/>
    <x v="0"/>
    <x v="644"/>
    <x v="1"/>
    <x v="0"/>
    <x v="0"/>
    <x v="0"/>
    <x v="497"/>
    <x v="2"/>
    <x v="7"/>
    <x v="7"/>
    <x v="0"/>
    <x v="0"/>
    <x v="3"/>
    <x v="89"/>
    <x v="0"/>
    <x v="22"/>
    <x v="562"/>
    <x v="9"/>
    <x v="52"/>
    <x v="1"/>
    <x v="1"/>
    <x v="1"/>
    <x v="1"/>
    <x v="421"/>
    <x v="1"/>
    <x v="22"/>
    <x v="644"/>
    <x v="644"/>
    <x v="0"/>
    <x v="644"/>
    <x v="585"/>
    <x v="590"/>
    <x v="559"/>
    <x v="590"/>
    <x v="585"/>
    <x v="585"/>
    <x v="585"/>
    <x v="585"/>
    <x v="585"/>
    <x v="585"/>
    <x v="585"/>
    <x v="644"/>
    <x v="560"/>
    <x v="560"/>
    <x v="575"/>
    <x v="0"/>
    <x v="0"/>
    <x v="595"/>
    <x v="644"/>
    <x v="644"/>
    <x v="644"/>
    <x v="644"/>
    <x v="5"/>
  </r>
  <r>
    <x v="498"/>
    <x v="242"/>
    <x v="0"/>
    <x v="0"/>
    <x v="0"/>
    <x v="0"/>
    <x v="0"/>
    <x v="0"/>
    <x v="0"/>
    <x v="0"/>
    <x v="5"/>
    <x v="0"/>
    <x v="117"/>
    <x v="1"/>
    <x v="0"/>
    <x v="0"/>
    <x v="0"/>
    <x v="498"/>
    <x v="2"/>
    <x v="7"/>
    <x v="7"/>
    <x v="0"/>
    <x v="0"/>
    <x v="3"/>
    <x v="29"/>
    <x v="0"/>
    <x v="21"/>
    <x v="554"/>
    <x v="9"/>
    <x v="52"/>
    <x v="1"/>
    <x v="1"/>
    <x v="1"/>
    <x v="1"/>
    <x v="57"/>
    <x v="1"/>
    <x v="21"/>
    <x v="118"/>
    <x v="118"/>
    <x v="0"/>
    <x v="118"/>
    <x v="115"/>
    <x v="119"/>
    <x v="106"/>
    <x v="119"/>
    <x v="115"/>
    <x v="115"/>
    <x v="115"/>
    <x v="115"/>
    <x v="115"/>
    <x v="115"/>
    <x v="115"/>
    <x v="118"/>
    <x v="106"/>
    <x v="106"/>
    <x v="101"/>
    <x v="0"/>
    <x v="0"/>
    <x v="110"/>
    <x v="118"/>
    <x v="118"/>
    <x v="118"/>
    <x v="118"/>
    <x v="5"/>
  </r>
  <r>
    <x v="499"/>
    <x v="241"/>
    <x v="0"/>
    <x v="0"/>
    <x v="0"/>
    <x v="0"/>
    <x v="0"/>
    <x v="0"/>
    <x v="0"/>
    <x v="0"/>
    <x v="5"/>
    <x v="0"/>
    <x v="422"/>
    <x v="1"/>
    <x v="0"/>
    <x v="0"/>
    <x v="0"/>
    <x v="499"/>
    <x v="2"/>
    <x v="7"/>
    <x v="7"/>
    <x v="0"/>
    <x v="0"/>
    <x v="3"/>
    <x v="29"/>
    <x v="0"/>
    <x v="27"/>
    <x v="542"/>
    <x v="9"/>
    <x v="52"/>
    <x v="1"/>
    <x v="1"/>
    <x v="1"/>
    <x v="1"/>
    <x v="289"/>
    <x v="1"/>
    <x v="27"/>
    <x v="422"/>
    <x v="422"/>
    <x v="0"/>
    <x v="422"/>
    <x v="415"/>
    <x v="416"/>
    <x v="401"/>
    <x v="416"/>
    <x v="415"/>
    <x v="415"/>
    <x v="415"/>
    <x v="415"/>
    <x v="415"/>
    <x v="415"/>
    <x v="415"/>
    <x v="422"/>
    <x v="399"/>
    <x v="399"/>
    <x v="377"/>
    <x v="0"/>
    <x v="0"/>
    <x v="529"/>
    <x v="422"/>
    <x v="422"/>
    <x v="422"/>
    <x v="422"/>
    <x v="5"/>
  </r>
  <r>
    <x v="500"/>
    <x v="244"/>
    <x v="0"/>
    <x v="0"/>
    <x v="0"/>
    <x v="0"/>
    <x v="0"/>
    <x v="0"/>
    <x v="0"/>
    <x v="0"/>
    <x v="5"/>
    <x v="0"/>
    <x v="487"/>
    <x v="1"/>
    <x v="0"/>
    <x v="0"/>
    <x v="0"/>
    <x v="500"/>
    <x v="2"/>
    <x v="7"/>
    <x v="7"/>
    <x v="0"/>
    <x v="0"/>
    <x v="3"/>
    <x v="29"/>
    <x v="0"/>
    <x v="27"/>
    <x v="544"/>
    <x v="9"/>
    <x v="52"/>
    <x v="1"/>
    <x v="1"/>
    <x v="1"/>
    <x v="1"/>
    <x v="325"/>
    <x v="1"/>
    <x v="27"/>
    <x v="487"/>
    <x v="487"/>
    <x v="0"/>
    <x v="487"/>
    <x v="458"/>
    <x v="461"/>
    <x v="448"/>
    <x v="461"/>
    <x v="458"/>
    <x v="458"/>
    <x v="458"/>
    <x v="458"/>
    <x v="458"/>
    <x v="458"/>
    <x v="458"/>
    <x v="487"/>
    <x v="445"/>
    <x v="445"/>
    <x v="428"/>
    <x v="0"/>
    <x v="0"/>
    <x v="589"/>
    <x v="487"/>
    <x v="487"/>
    <x v="487"/>
    <x v="487"/>
    <x v="5"/>
  </r>
  <r>
    <x v="501"/>
    <x v="240"/>
    <x v="0"/>
    <x v="0"/>
    <x v="0"/>
    <x v="0"/>
    <x v="0"/>
    <x v="2"/>
    <x v="0"/>
    <x v="0"/>
    <x v="5"/>
    <x v="0"/>
    <x v="345"/>
    <x v="1"/>
    <x v="0"/>
    <x v="0"/>
    <x v="0"/>
    <x v="501"/>
    <x v="1"/>
    <x v="7"/>
    <x v="7"/>
    <x v="0"/>
    <x v="0"/>
    <x v="3"/>
    <x v="89"/>
    <x v="0"/>
    <x v="21"/>
    <x v="591"/>
    <x v="1"/>
    <x v="4"/>
    <x v="1"/>
    <x v="3"/>
    <x v="2"/>
    <x v="1"/>
    <x v="705"/>
    <x v="3"/>
    <x v="21"/>
    <x v="345"/>
    <x v="345"/>
    <x v="0"/>
    <x v="345"/>
    <x v="398"/>
    <x v="389"/>
    <x v="411"/>
    <x v="389"/>
    <x v="398"/>
    <x v="398"/>
    <x v="398"/>
    <x v="398"/>
    <x v="398"/>
    <x v="398"/>
    <x v="398"/>
    <x v="345"/>
    <x v="407"/>
    <x v="407"/>
    <x v="315"/>
    <x v="0"/>
    <x v="0"/>
    <x v="452"/>
    <x v="345"/>
    <x v="345"/>
    <x v="345"/>
    <x v="345"/>
    <x v="5"/>
  </r>
  <r>
    <x v="502"/>
    <x v="292"/>
    <x v="0"/>
    <x v="0"/>
    <x v="0"/>
    <x v="0"/>
    <x v="0"/>
    <x v="0"/>
    <x v="0"/>
    <x v="0"/>
    <x v="5"/>
    <x v="0"/>
    <x v="1200"/>
    <x v="1"/>
    <x v="0"/>
    <x v="0"/>
    <x v="0"/>
    <x v="502"/>
    <x v="2"/>
    <x v="7"/>
    <x v="7"/>
    <x v="0"/>
    <x v="0"/>
    <x v="3"/>
    <x v="89"/>
    <x v="0"/>
    <x v="23"/>
    <x v="546"/>
    <x v="9"/>
    <x v="52"/>
    <x v="1"/>
    <x v="1"/>
    <x v="1"/>
    <x v="1"/>
    <x v="984"/>
    <x v="1"/>
    <x v="23"/>
    <x v="1198"/>
    <x v="1198"/>
    <x v="2"/>
    <x v="1198"/>
    <x v="1218"/>
    <x v="1213"/>
    <x v="1204"/>
    <x v="1213"/>
    <x v="1218"/>
    <x v="1218"/>
    <x v="1218"/>
    <x v="1218"/>
    <x v="1218"/>
    <x v="1218"/>
    <x v="1218"/>
    <x v="1198"/>
    <x v="1204"/>
    <x v="1204"/>
    <x v="1126"/>
    <x v="0"/>
    <x v="0"/>
    <x v="1217"/>
    <x v="1198"/>
    <x v="1198"/>
    <x v="1198"/>
    <x v="1198"/>
    <x v="5"/>
  </r>
  <r>
    <x v="503"/>
    <x v="299"/>
    <x v="0"/>
    <x v="0"/>
    <x v="0"/>
    <x v="0"/>
    <x v="0"/>
    <x v="2"/>
    <x v="0"/>
    <x v="0"/>
    <x v="5"/>
    <x v="0"/>
    <x v="1204"/>
    <x v="1"/>
    <x v="0"/>
    <x v="0"/>
    <x v="0"/>
    <x v="503"/>
    <x v="1"/>
    <x v="7"/>
    <x v="7"/>
    <x v="0"/>
    <x v="0"/>
    <x v="3"/>
    <x v="89"/>
    <x v="0"/>
    <x v="23"/>
    <x v="559"/>
    <x v="1"/>
    <x v="4"/>
    <x v="1"/>
    <x v="3"/>
    <x v="2"/>
    <x v="1"/>
    <x v="1275"/>
    <x v="3"/>
    <x v="23"/>
    <x v="1202"/>
    <x v="1202"/>
    <x v="2"/>
    <x v="1202"/>
    <x v="1270"/>
    <x v="1256"/>
    <x v="1287"/>
    <x v="1256"/>
    <x v="1270"/>
    <x v="1270"/>
    <x v="1270"/>
    <x v="1270"/>
    <x v="1270"/>
    <x v="1270"/>
    <x v="1270"/>
    <x v="1202"/>
    <x v="1283"/>
    <x v="1283"/>
    <x v="1136"/>
    <x v="0"/>
    <x v="0"/>
    <x v="1295"/>
    <x v="1202"/>
    <x v="1202"/>
    <x v="1202"/>
    <x v="1202"/>
    <x v="5"/>
  </r>
  <r>
    <x v="504"/>
    <x v="244"/>
    <x v="0"/>
    <x v="0"/>
    <x v="0"/>
    <x v="0"/>
    <x v="0"/>
    <x v="0"/>
    <x v="0"/>
    <x v="0"/>
    <x v="5"/>
    <x v="0"/>
    <x v="1309"/>
    <x v="1"/>
    <x v="0"/>
    <x v="0"/>
    <x v="0"/>
    <x v="504"/>
    <x v="2"/>
    <x v="7"/>
    <x v="7"/>
    <x v="0"/>
    <x v="0"/>
    <x v="3"/>
    <x v="29"/>
    <x v="0"/>
    <x v="27"/>
    <x v="543"/>
    <x v="9"/>
    <x v="52"/>
    <x v="1"/>
    <x v="1"/>
    <x v="1"/>
    <x v="1"/>
    <x v="1119"/>
    <x v="1"/>
    <x v="27"/>
    <x v="1307"/>
    <x v="1307"/>
    <x v="2"/>
    <x v="1307"/>
    <x v="1329"/>
    <x v="1323"/>
    <x v="1323"/>
    <x v="1323"/>
    <x v="1329"/>
    <x v="1329"/>
    <x v="1329"/>
    <x v="1329"/>
    <x v="1329"/>
    <x v="1329"/>
    <x v="1329"/>
    <x v="1307"/>
    <x v="1322"/>
    <x v="1322"/>
    <x v="1230"/>
    <x v="0"/>
    <x v="0"/>
    <x v="1354"/>
    <x v="1307"/>
    <x v="1307"/>
    <x v="1307"/>
    <x v="1307"/>
    <x v="5"/>
  </r>
  <r>
    <x v="505"/>
    <x v="242"/>
    <x v="0"/>
    <x v="0"/>
    <x v="0"/>
    <x v="0"/>
    <x v="0"/>
    <x v="2"/>
    <x v="0"/>
    <x v="0"/>
    <x v="5"/>
    <x v="0"/>
    <x v="1318"/>
    <x v="1"/>
    <x v="0"/>
    <x v="0"/>
    <x v="0"/>
    <x v="505"/>
    <x v="1"/>
    <x v="7"/>
    <x v="7"/>
    <x v="0"/>
    <x v="0"/>
    <x v="3"/>
    <x v="29"/>
    <x v="0"/>
    <x v="21"/>
    <x v="555"/>
    <x v="1"/>
    <x v="4"/>
    <x v="1"/>
    <x v="3"/>
    <x v="2"/>
    <x v="1"/>
    <x v="1335"/>
    <x v="3"/>
    <x v="21"/>
    <x v="1316"/>
    <x v="1316"/>
    <x v="3"/>
    <x v="1316"/>
    <x v="1366"/>
    <x v="1356"/>
    <x v="1367"/>
    <x v="1356"/>
    <x v="1366"/>
    <x v="1366"/>
    <x v="1366"/>
    <x v="1366"/>
    <x v="1366"/>
    <x v="1366"/>
    <x v="1366"/>
    <x v="1316"/>
    <x v="1365"/>
    <x v="1365"/>
    <x v="1245"/>
    <x v="0"/>
    <x v="0"/>
    <x v="1375"/>
    <x v="1316"/>
    <x v="1316"/>
    <x v="1316"/>
    <x v="1316"/>
    <x v="5"/>
  </r>
  <r>
    <x v="506"/>
    <x v="299"/>
    <x v="0"/>
    <x v="0"/>
    <x v="0"/>
    <x v="0"/>
    <x v="0"/>
    <x v="0"/>
    <x v="0"/>
    <x v="0"/>
    <x v="5"/>
    <x v="0"/>
    <x v="714"/>
    <x v="1"/>
    <x v="0"/>
    <x v="0"/>
    <x v="0"/>
    <x v="506"/>
    <x v="2"/>
    <x v="7"/>
    <x v="7"/>
    <x v="0"/>
    <x v="0"/>
    <x v="3"/>
    <x v="89"/>
    <x v="0"/>
    <x v="23"/>
    <x v="558"/>
    <x v="9"/>
    <x v="52"/>
    <x v="1"/>
    <x v="1"/>
    <x v="1"/>
    <x v="1"/>
    <x v="471"/>
    <x v="1"/>
    <x v="23"/>
    <x v="714"/>
    <x v="714"/>
    <x v="1"/>
    <x v="714"/>
    <x v="663"/>
    <x v="677"/>
    <x v="625"/>
    <x v="677"/>
    <x v="663"/>
    <x v="663"/>
    <x v="663"/>
    <x v="663"/>
    <x v="663"/>
    <x v="663"/>
    <x v="663"/>
    <x v="714"/>
    <x v="626"/>
    <x v="626"/>
    <x v="650"/>
    <x v="0"/>
    <x v="0"/>
    <x v="677"/>
    <x v="714"/>
    <x v="714"/>
    <x v="714"/>
    <x v="714"/>
    <x v="5"/>
  </r>
  <r>
    <x v="507"/>
    <x v="308"/>
    <x v="0"/>
    <x v="0"/>
    <x v="0"/>
    <x v="0"/>
    <x v="1"/>
    <x v="5"/>
    <x v="0"/>
    <x v="0"/>
    <x v="5"/>
    <x v="0"/>
    <x v="821"/>
    <x v="1"/>
    <x v="0"/>
    <x v="0"/>
    <x v="0"/>
    <x v="507"/>
    <x v="1"/>
    <x v="7"/>
    <x v="7"/>
    <x v="0"/>
    <x v="0"/>
    <x v="3"/>
    <x v="64"/>
    <x v="0"/>
    <x v="22"/>
    <x v="565"/>
    <x v="3"/>
    <x v="29"/>
    <x v="1"/>
    <x v="6"/>
    <x v="3"/>
    <x v="1"/>
    <x v="1344"/>
    <x v="6"/>
    <x v="22"/>
    <x v="821"/>
    <x v="821"/>
    <x v="1"/>
    <x v="821"/>
    <x v="981"/>
    <x v="919"/>
    <x v="1047"/>
    <x v="919"/>
    <x v="981"/>
    <x v="981"/>
    <x v="981"/>
    <x v="981"/>
    <x v="981"/>
    <x v="981"/>
    <x v="981"/>
    <x v="821"/>
    <x v="1052"/>
    <x v="1052"/>
    <x v="0"/>
    <x v="96"/>
    <x v="0"/>
    <x v="1048"/>
    <x v="821"/>
    <x v="821"/>
    <x v="821"/>
    <x v="821"/>
    <x v="5"/>
  </r>
  <r>
    <x v="508"/>
    <x v="309"/>
    <x v="0"/>
    <x v="0"/>
    <x v="0"/>
    <x v="0"/>
    <x v="1"/>
    <x v="5"/>
    <x v="0"/>
    <x v="0"/>
    <x v="5"/>
    <x v="0"/>
    <x v="364"/>
    <x v="1"/>
    <x v="0"/>
    <x v="0"/>
    <x v="0"/>
    <x v="508"/>
    <x v="1"/>
    <x v="7"/>
    <x v="7"/>
    <x v="0"/>
    <x v="0"/>
    <x v="3"/>
    <x v="43"/>
    <x v="0"/>
    <x v="22"/>
    <x v="576"/>
    <x v="3"/>
    <x v="29"/>
    <x v="1"/>
    <x v="6"/>
    <x v="3"/>
    <x v="1"/>
    <x v="1255"/>
    <x v="6"/>
    <x v="22"/>
    <x v="364"/>
    <x v="364"/>
    <x v="0"/>
    <x v="364"/>
    <x v="498"/>
    <x v="441"/>
    <x v="610"/>
    <x v="441"/>
    <x v="498"/>
    <x v="498"/>
    <x v="498"/>
    <x v="498"/>
    <x v="498"/>
    <x v="498"/>
    <x v="498"/>
    <x v="364"/>
    <x v="628"/>
    <x v="628"/>
    <x v="0"/>
    <x v="63"/>
    <x v="0"/>
    <x v="653"/>
    <x v="364"/>
    <x v="364"/>
    <x v="364"/>
    <x v="364"/>
    <x v="5"/>
  </r>
  <r>
    <x v="509"/>
    <x v="310"/>
    <x v="0"/>
    <x v="0"/>
    <x v="0"/>
    <x v="0"/>
    <x v="1"/>
    <x v="5"/>
    <x v="0"/>
    <x v="0"/>
    <x v="5"/>
    <x v="0"/>
    <x v="218"/>
    <x v="1"/>
    <x v="0"/>
    <x v="0"/>
    <x v="0"/>
    <x v="509"/>
    <x v="1"/>
    <x v="7"/>
    <x v="7"/>
    <x v="0"/>
    <x v="0"/>
    <x v="3"/>
    <x v="63"/>
    <x v="0"/>
    <x v="21"/>
    <x v="578"/>
    <x v="3"/>
    <x v="29"/>
    <x v="1"/>
    <x v="6"/>
    <x v="3"/>
    <x v="1"/>
    <x v="1075"/>
    <x v="6"/>
    <x v="21"/>
    <x v="219"/>
    <x v="219"/>
    <x v="0"/>
    <x v="219"/>
    <x v="280"/>
    <x v="257"/>
    <x v="306"/>
    <x v="257"/>
    <x v="280"/>
    <x v="280"/>
    <x v="280"/>
    <x v="280"/>
    <x v="280"/>
    <x v="280"/>
    <x v="280"/>
    <x v="219"/>
    <x v="310"/>
    <x v="310"/>
    <x v="0"/>
    <x v="48"/>
    <x v="0"/>
    <x v="347"/>
    <x v="219"/>
    <x v="219"/>
    <x v="219"/>
    <x v="219"/>
    <x v="5"/>
  </r>
  <r>
    <x v="510"/>
    <x v="316"/>
    <x v="0"/>
    <x v="0"/>
    <x v="0"/>
    <x v="0"/>
    <x v="1"/>
    <x v="5"/>
    <x v="0"/>
    <x v="0"/>
    <x v="5"/>
    <x v="0"/>
    <x v="729"/>
    <x v="1"/>
    <x v="0"/>
    <x v="0"/>
    <x v="0"/>
    <x v="510"/>
    <x v="1"/>
    <x v="7"/>
    <x v="7"/>
    <x v="0"/>
    <x v="0"/>
    <x v="3"/>
    <x v="62"/>
    <x v="0"/>
    <x v="21"/>
    <x v="579"/>
    <x v="3"/>
    <x v="29"/>
    <x v="1"/>
    <x v="6"/>
    <x v="3"/>
    <x v="1"/>
    <x v="1324"/>
    <x v="6"/>
    <x v="21"/>
    <x v="729"/>
    <x v="729"/>
    <x v="1"/>
    <x v="729"/>
    <x v="892"/>
    <x v="836"/>
    <x v="950"/>
    <x v="836"/>
    <x v="892"/>
    <x v="892"/>
    <x v="892"/>
    <x v="892"/>
    <x v="892"/>
    <x v="892"/>
    <x v="892"/>
    <x v="729"/>
    <x v="963"/>
    <x v="963"/>
    <x v="0"/>
    <x v="90"/>
    <x v="0"/>
    <x v="962"/>
    <x v="729"/>
    <x v="729"/>
    <x v="729"/>
    <x v="729"/>
    <x v="5"/>
  </r>
  <r>
    <x v="511"/>
    <x v="317"/>
    <x v="0"/>
    <x v="0"/>
    <x v="0"/>
    <x v="0"/>
    <x v="1"/>
    <x v="5"/>
    <x v="0"/>
    <x v="0"/>
    <x v="5"/>
    <x v="0"/>
    <x v="289"/>
    <x v="1"/>
    <x v="0"/>
    <x v="0"/>
    <x v="0"/>
    <x v="511"/>
    <x v="1"/>
    <x v="7"/>
    <x v="7"/>
    <x v="0"/>
    <x v="0"/>
    <x v="3"/>
    <x v="62"/>
    <x v="0"/>
    <x v="21"/>
    <x v="580"/>
    <x v="3"/>
    <x v="29"/>
    <x v="1"/>
    <x v="6"/>
    <x v="3"/>
    <x v="1"/>
    <x v="1184"/>
    <x v="6"/>
    <x v="21"/>
    <x v="289"/>
    <x v="289"/>
    <x v="0"/>
    <x v="289"/>
    <x v="377"/>
    <x v="345"/>
    <x v="424"/>
    <x v="345"/>
    <x v="377"/>
    <x v="377"/>
    <x v="377"/>
    <x v="377"/>
    <x v="377"/>
    <x v="377"/>
    <x v="377"/>
    <x v="289"/>
    <x v="430"/>
    <x v="430"/>
    <x v="0"/>
    <x v="56"/>
    <x v="0"/>
    <x v="474"/>
    <x v="289"/>
    <x v="289"/>
    <x v="289"/>
    <x v="289"/>
    <x v="5"/>
  </r>
  <r>
    <x v="512"/>
    <x v="337"/>
    <x v="0"/>
    <x v="0"/>
    <x v="0"/>
    <x v="0"/>
    <x v="0"/>
    <x v="0"/>
    <x v="0"/>
    <x v="0"/>
    <x v="5"/>
    <x v="0"/>
    <x v="838"/>
    <x v="1"/>
    <x v="0"/>
    <x v="0"/>
    <x v="0"/>
    <x v="512"/>
    <x v="2"/>
    <x v="7"/>
    <x v="7"/>
    <x v="0"/>
    <x v="0"/>
    <x v="3"/>
    <x v="89"/>
    <x v="0"/>
    <x v="24"/>
    <x v="564"/>
    <x v="9"/>
    <x v="52"/>
    <x v="1"/>
    <x v="1"/>
    <x v="1"/>
    <x v="1"/>
    <x v="581"/>
    <x v="1"/>
    <x v="24"/>
    <x v="838"/>
    <x v="838"/>
    <x v="1"/>
    <x v="838"/>
    <x v="848"/>
    <x v="847"/>
    <x v="819"/>
    <x v="847"/>
    <x v="848"/>
    <x v="848"/>
    <x v="848"/>
    <x v="848"/>
    <x v="848"/>
    <x v="848"/>
    <x v="848"/>
    <x v="838"/>
    <x v="817"/>
    <x v="817"/>
    <x v="777"/>
    <x v="0"/>
    <x v="0"/>
    <x v="854"/>
    <x v="838"/>
    <x v="838"/>
    <x v="838"/>
    <x v="838"/>
    <x v="5"/>
  </r>
  <r>
    <x v="513"/>
    <x v="319"/>
    <x v="0"/>
    <x v="0"/>
    <x v="0"/>
    <x v="0"/>
    <x v="1"/>
    <x v="5"/>
    <x v="0"/>
    <x v="0"/>
    <x v="5"/>
    <x v="0"/>
    <x v="351"/>
    <x v="1"/>
    <x v="0"/>
    <x v="0"/>
    <x v="0"/>
    <x v="513"/>
    <x v="1"/>
    <x v="7"/>
    <x v="7"/>
    <x v="0"/>
    <x v="0"/>
    <x v="3"/>
    <x v="62"/>
    <x v="0"/>
    <x v="22"/>
    <x v="582"/>
    <x v="3"/>
    <x v="29"/>
    <x v="1"/>
    <x v="6"/>
    <x v="3"/>
    <x v="1"/>
    <x v="1251"/>
    <x v="6"/>
    <x v="22"/>
    <x v="351"/>
    <x v="351"/>
    <x v="0"/>
    <x v="351"/>
    <x v="470"/>
    <x v="421"/>
    <x v="581"/>
    <x v="421"/>
    <x v="470"/>
    <x v="470"/>
    <x v="470"/>
    <x v="470"/>
    <x v="470"/>
    <x v="470"/>
    <x v="470"/>
    <x v="351"/>
    <x v="593"/>
    <x v="593"/>
    <x v="0"/>
    <x v="62"/>
    <x v="0"/>
    <x v="621"/>
    <x v="351"/>
    <x v="351"/>
    <x v="351"/>
    <x v="351"/>
    <x v="5"/>
  </r>
  <r>
    <x v="514"/>
    <x v="321"/>
    <x v="0"/>
    <x v="0"/>
    <x v="0"/>
    <x v="0"/>
    <x v="1"/>
    <x v="5"/>
    <x v="0"/>
    <x v="0"/>
    <x v="5"/>
    <x v="0"/>
    <x v="470"/>
    <x v="1"/>
    <x v="0"/>
    <x v="0"/>
    <x v="0"/>
    <x v="514"/>
    <x v="1"/>
    <x v="7"/>
    <x v="7"/>
    <x v="0"/>
    <x v="0"/>
    <x v="3"/>
    <x v="61"/>
    <x v="0"/>
    <x v="22"/>
    <x v="585"/>
    <x v="3"/>
    <x v="29"/>
    <x v="1"/>
    <x v="6"/>
    <x v="3"/>
    <x v="1"/>
    <x v="1284"/>
    <x v="6"/>
    <x v="22"/>
    <x v="470"/>
    <x v="470"/>
    <x v="0"/>
    <x v="470"/>
    <x v="698"/>
    <x v="625"/>
    <x v="784"/>
    <x v="625"/>
    <x v="698"/>
    <x v="698"/>
    <x v="698"/>
    <x v="698"/>
    <x v="698"/>
    <x v="698"/>
    <x v="698"/>
    <x v="470"/>
    <x v="799"/>
    <x v="799"/>
    <x v="0"/>
    <x v="74"/>
    <x v="0"/>
    <x v="806"/>
    <x v="470"/>
    <x v="470"/>
    <x v="470"/>
    <x v="470"/>
    <x v="5"/>
  </r>
  <r>
    <x v="515"/>
    <x v="322"/>
    <x v="0"/>
    <x v="0"/>
    <x v="0"/>
    <x v="0"/>
    <x v="1"/>
    <x v="5"/>
    <x v="0"/>
    <x v="0"/>
    <x v="5"/>
    <x v="0"/>
    <x v="382"/>
    <x v="1"/>
    <x v="0"/>
    <x v="0"/>
    <x v="0"/>
    <x v="515"/>
    <x v="1"/>
    <x v="7"/>
    <x v="7"/>
    <x v="0"/>
    <x v="0"/>
    <x v="3"/>
    <x v="61"/>
    <x v="0"/>
    <x v="23"/>
    <x v="587"/>
    <x v="3"/>
    <x v="29"/>
    <x v="1"/>
    <x v="6"/>
    <x v="3"/>
    <x v="1"/>
    <x v="1259"/>
    <x v="6"/>
    <x v="23"/>
    <x v="382"/>
    <x v="382"/>
    <x v="0"/>
    <x v="382"/>
    <x v="535"/>
    <x v="462"/>
    <x v="646"/>
    <x v="462"/>
    <x v="535"/>
    <x v="535"/>
    <x v="535"/>
    <x v="535"/>
    <x v="535"/>
    <x v="535"/>
    <x v="535"/>
    <x v="382"/>
    <x v="665"/>
    <x v="665"/>
    <x v="0"/>
    <x v="64"/>
    <x v="0"/>
    <x v="704"/>
    <x v="382"/>
    <x v="382"/>
    <x v="382"/>
    <x v="382"/>
    <x v="5"/>
  </r>
  <r>
    <x v="516"/>
    <x v="335"/>
    <x v="0"/>
    <x v="0"/>
    <x v="0"/>
    <x v="0"/>
    <x v="0"/>
    <x v="0"/>
    <x v="0"/>
    <x v="0"/>
    <x v="5"/>
    <x v="0"/>
    <x v="555"/>
    <x v="1"/>
    <x v="0"/>
    <x v="0"/>
    <x v="0"/>
    <x v="516"/>
    <x v="2"/>
    <x v="7"/>
    <x v="7"/>
    <x v="0"/>
    <x v="0"/>
    <x v="3"/>
    <x v="64"/>
    <x v="0"/>
    <x v="22"/>
    <x v="548"/>
    <x v="9"/>
    <x v="52"/>
    <x v="1"/>
    <x v="1"/>
    <x v="1"/>
    <x v="1"/>
    <x v="370"/>
    <x v="1"/>
    <x v="22"/>
    <x v="555"/>
    <x v="555"/>
    <x v="0"/>
    <x v="555"/>
    <x v="513"/>
    <x v="521"/>
    <x v="498"/>
    <x v="521"/>
    <x v="513"/>
    <x v="513"/>
    <x v="513"/>
    <x v="513"/>
    <x v="513"/>
    <x v="513"/>
    <x v="513"/>
    <x v="555"/>
    <x v="498"/>
    <x v="498"/>
    <x v="494"/>
    <x v="0"/>
    <x v="0"/>
    <x v="550"/>
    <x v="555"/>
    <x v="555"/>
    <x v="555"/>
    <x v="555"/>
    <x v="5"/>
  </r>
  <r>
    <x v="517"/>
    <x v="325"/>
    <x v="0"/>
    <x v="0"/>
    <x v="0"/>
    <x v="0"/>
    <x v="1"/>
    <x v="5"/>
    <x v="0"/>
    <x v="0"/>
    <x v="5"/>
    <x v="0"/>
    <x v="299"/>
    <x v="1"/>
    <x v="0"/>
    <x v="0"/>
    <x v="0"/>
    <x v="517"/>
    <x v="1"/>
    <x v="7"/>
    <x v="7"/>
    <x v="0"/>
    <x v="0"/>
    <x v="3"/>
    <x v="61"/>
    <x v="0"/>
    <x v="23"/>
    <x v="541"/>
    <x v="3"/>
    <x v="29"/>
    <x v="1"/>
    <x v="6"/>
    <x v="3"/>
    <x v="1"/>
    <x v="1198"/>
    <x v="6"/>
    <x v="23"/>
    <x v="299"/>
    <x v="299"/>
    <x v="0"/>
    <x v="299"/>
    <x v="390"/>
    <x v="356"/>
    <x v="439"/>
    <x v="356"/>
    <x v="390"/>
    <x v="390"/>
    <x v="390"/>
    <x v="390"/>
    <x v="390"/>
    <x v="390"/>
    <x v="390"/>
    <x v="299"/>
    <x v="449"/>
    <x v="449"/>
    <x v="0"/>
    <x v="58"/>
    <x v="0"/>
    <x v="530"/>
    <x v="299"/>
    <x v="299"/>
    <x v="299"/>
    <x v="299"/>
    <x v="5"/>
  </r>
  <r>
    <x v="518"/>
    <x v="327"/>
    <x v="0"/>
    <x v="0"/>
    <x v="0"/>
    <x v="0"/>
    <x v="1"/>
    <x v="5"/>
    <x v="0"/>
    <x v="0"/>
    <x v="5"/>
    <x v="0"/>
    <x v="291"/>
    <x v="1"/>
    <x v="0"/>
    <x v="0"/>
    <x v="0"/>
    <x v="518"/>
    <x v="1"/>
    <x v="7"/>
    <x v="7"/>
    <x v="0"/>
    <x v="0"/>
    <x v="3"/>
    <x v="33"/>
    <x v="0"/>
    <x v="23"/>
    <x v="588"/>
    <x v="3"/>
    <x v="29"/>
    <x v="1"/>
    <x v="6"/>
    <x v="3"/>
    <x v="1"/>
    <x v="1189"/>
    <x v="6"/>
    <x v="23"/>
    <x v="291"/>
    <x v="291"/>
    <x v="0"/>
    <x v="291"/>
    <x v="382"/>
    <x v="349"/>
    <x v="428"/>
    <x v="349"/>
    <x v="382"/>
    <x v="382"/>
    <x v="382"/>
    <x v="382"/>
    <x v="382"/>
    <x v="382"/>
    <x v="382"/>
    <x v="291"/>
    <x v="433"/>
    <x v="433"/>
    <x v="0"/>
    <x v="57"/>
    <x v="0"/>
    <x v="511"/>
    <x v="291"/>
    <x v="291"/>
    <x v="291"/>
    <x v="291"/>
    <x v="5"/>
  </r>
  <r>
    <x v="519"/>
    <x v="340"/>
    <x v="0"/>
    <x v="0"/>
    <x v="0"/>
    <x v="0"/>
    <x v="0"/>
    <x v="0"/>
    <x v="0"/>
    <x v="0"/>
    <x v="5"/>
    <x v="0"/>
    <x v="723"/>
    <x v="1"/>
    <x v="0"/>
    <x v="0"/>
    <x v="0"/>
    <x v="519"/>
    <x v="2"/>
    <x v="7"/>
    <x v="7"/>
    <x v="0"/>
    <x v="0"/>
    <x v="3"/>
    <x v="62"/>
    <x v="0"/>
    <x v="22"/>
    <x v="549"/>
    <x v="9"/>
    <x v="52"/>
    <x v="1"/>
    <x v="1"/>
    <x v="1"/>
    <x v="1"/>
    <x v="479"/>
    <x v="1"/>
    <x v="22"/>
    <x v="723"/>
    <x v="723"/>
    <x v="1"/>
    <x v="723"/>
    <x v="680"/>
    <x v="698"/>
    <x v="641"/>
    <x v="698"/>
    <x v="680"/>
    <x v="680"/>
    <x v="680"/>
    <x v="680"/>
    <x v="680"/>
    <x v="680"/>
    <x v="680"/>
    <x v="723"/>
    <x v="641"/>
    <x v="641"/>
    <x v="664"/>
    <x v="0"/>
    <x v="0"/>
    <x v="670"/>
    <x v="723"/>
    <x v="723"/>
    <x v="723"/>
    <x v="723"/>
    <x v="5"/>
  </r>
  <r>
    <x v="520"/>
    <x v="334"/>
    <x v="0"/>
    <x v="0"/>
    <x v="0"/>
    <x v="0"/>
    <x v="1"/>
    <x v="5"/>
    <x v="0"/>
    <x v="0"/>
    <x v="5"/>
    <x v="0"/>
    <x v="666"/>
    <x v="1"/>
    <x v="0"/>
    <x v="0"/>
    <x v="0"/>
    <x v="520"/>
    <x v="1"/>
    <x v="7"/>
    <x v="7"/>
    <x v="0"/>
    <x v="0"/>
    <x v="3"/>
    <x v="60"/>
    <x v="0"/>
    <x v="24"/>
    <x v="567"/>
    <x v="3"/>
    <x v="29"/>
    <x v="1"/>
    <x v="6"/>
    <x v="3"/>
    <x v="1"/>
    <x v="1312"/>
    <x v="6"/>
    <x v="24"/>
    <x v="666"/>
    <x v="666"/>
    <x v="1"/>
    <x v="666"/>
    <x v="834"/>
    <x v="776"/>
    <x v="903"/>
    <x v="776"/>
    <x v="834"/>
    <x v="834"/>
    <x v="834"/>
    <x v="834"/>
    <x v="834"/>
    <x v="834"/>
    <x v="834"/>
    <x v="666"/>
    <x v="906"/>
    <x v="906"/>
    <x v="0"/>
    <x v="88"/>
    <x v="0"/>
    <x v="947"/>
    <x v="666"/>
    <x v="666"/>
    <x v="666"/>
    <x v="666"/>
    <x v="5"/>
  </r>
  <r>
    <x v="521"/>
    <x v="339"/>
    <x v="0"/>
    <x v="0"/>
    <x v="0"/>
    <x v="0"/>
    <x v="1"/>
    <x v="5"/>
    <x v="0"/>
    <x v="0"/>
    <x v="5"/>
    <x v="0"/>
    <x v="531"/>
    <x v="1"/>
    <x v="0"/>
    <x v="0"/>
    <x v="0"/>
    <x v="521"/>
    <x v="1"/>
    <x v="7"/>
    <x v="7"/>
    <x v="0"/>
    <x v="0"/>
    <x v="3"/>
    <x v="60"/>
    <x v="0"/>
    <x v="24"/>
    <x v="569"/>
    <x v="3"/>
    <x v="29"/>
    <x v="1"/>
    <x v="6"/>
    <x v="3"/>
    <x v="1"/>
    <x v="1293"/>
    <x v="6"/>
    <x v="24"/>
    <x v="531"/>
    <x v="531"/>
    <x v="0"/>
    <x v="531"/>
    <x v="766"/>
    <x v="689"/>
    <x v="835"/>
    <x v="689"/>
    <x v="766"/>
    <x v="766"/>
    <x v="766"/>
    <x v="766"/>
    <x v="766"/>
    <x v="766"/>
    <x v="766"/>
    <x v="531"/>
    <x v="844"/>
    <x v="844"/>
    <x v="0"/>
    <x v="80"/>
    <x v="0"/>
    <x v="881"/>
    <x v="531"/>
    <x v="531"/>
    <x v="531"/>
    <x v="531"/>
    <x v="5"/>
  </r>
  <r>
    <x v="522"/>
    <x v="341"/>
    <x v="0"/>
    <x v="0"/>
    <x v="0"/>
    <x v="0"/>
    <x v="0"/>
    <x v="0"/>
    <x v="0"/>
    <x v="0"/>
    <x v="5"/>
    <x v="0"/>
    <x v="460"/>
    <x v="1"/>
    <x v="0"/>
    <x v="0"/>
    <x v="0"/>
    <x v="522"/>
    <x v="2"/>
    <x v="7"/>
    <x v="7"/>
    <x v="0"/>
    <x v="0"/>
    <x v="3"/>
    <x v="91"/>
    <x v="0"/>
    <x v="24"/>
    <x v="545"/>
    <x v="9"/>
    <x v="52"/>
    <x v="1"/>
    <x v="1"/>
    <x v="1"/>
    <x v="1"/>
    <x v="313"/>
    <x v="1"/>
    <x v="24"/>
    <x v="460"/>
    <x v="460"/>
    <x v="0"/>
    <x v="460"/>
    <x v="443"/>
    <x v="445"/>
    <x v="427"/>
    <x v="445"/>
    <x v="443"/>
    <x v="443"/>
    <x v="443"/>
    <x v="443"/>
    <x v="443"/>
    <x v="443"/>
    <x v="443"/>
    <x v="460"/>
    <x v="425"/>
    <x v="425"/>
    <x v="408"/>
    <x v="0"/>
    <x v="0"/>
    <x v="519"/>
    <x v="460"/>
    <x v="460"/>
    <x v="460"/>
    <x v="460"/>
    <x v="5"/>
  </r>
  <r>
    <x v="523"/>
    <x v="335"/>
    <x v="0"/>
    <x v="0"/>
    <x v="0"/>
    <x v="0"/>
    <x v="0"/>
    <x v="0"/>
    <x v="0"/>
    <x v="0"/>
    <x v="5"/>
    <x v="0"/>
    <x v="463"/>
    <x v="1"/>
    <x v="0"/>
    <x v="0"/>
    <x v="0"/>
    <x v="523"/>
    <x v="2"/>
    <x v="7"/>
    <x v="7"/>
    <x v="0"/>
    <x v="0"/>
    <x v="3"/>
    <x v="64"/>
    <x v="0"/>
    <x v="22"/>
    <x v="547"/>
    <x v="9"/>
    <x v="52"/>
    <x v="1"/>
    <x v="1"/>
    <x v="1"/>
    <x v="1"/>
    <x v="314"/>
    <x v="1"/>
    <x v="22"/>
    <x v="463"/>
    <x v="463"/>
    <x v="0"/>
    <x v="463"/>
    <x v="445"/>
    <x v="447"/>
    <x v="430"/>
    <x v="447"/>
    <x v="445"/>
    <x v="445"/>
    <x v="445"/>
    <x v="445"/>
    <x v="445"/>
    <x v="445"/>
    <x v="445"/>
    <x v="463"/>
    <x v="428"/>
    <x v="428"/>
    <x v="410"/>
    <x v="0"/>
    <x v="0"/>
    <x v="486"/>
    <x v="463"/>
    <x v="463"/>
    <x v="463"/>
    <x v="463"/>
    <x v="5"/>
  </r>
  <r>
    <x v="524"/>
    <x v="339"/>
    <x v="0"/>
    <x v="0"/>
    <x v="0"/>
    <x v="0"/>
    <x v="1"/>
    <x v="5"/>
    <x v="0"/>
    <x v="0"/>
    <x v="5"/>
    <x v="0"/>
    <x v="456"/>
    <x v="1"/>
    <x v="0"/>
    <x v="0"/>
    <x v="0"/>
    <x v="524"/>
    <x v="1"/>
    <x v="7"/>
    <x v="7"/>
    <x v="0"/>
    <x v="0"/>
    <x v="3"/>
    <x v="60"/>
    <x v="0"/>
    <x v="24"/>
    <x v="570"/>
    <x v="3"/>
    <x v="29"/>
    <x v="1"/>
    <x v="6"/>
    <x v="3"/>
    <x v="1"/>
    <x v="1281"/>
    <x v="6"/>
    <x v="24"/>
    <x v="456"/>
    <x v="456"/>
    <x v="0"/>
    <x v="456"/>
    <x v="685"/>
    <x v="600"/>
    <x v="774"/>
    <x v="600"/>
    <x v="685"/>
    <x v="685"/>
    <x v="685"/>
    <x v="685"/>
    <x v="685"/>
    <x v="685"/>
    <x v="685"/>
    <x v="456"/>
    <x v="780"/>
    <x v="780"/>
    <x v="0"/>
    <x v="72"/>
    <x v="0"/>
    <x v="821"/>
    <x v="456"/>
    <x v="456"/>
    <x v="456"/>
    <x v="456"/>
    <x v="5"/>
  </r>
  <r>
    <x v="525"/>
    <x v="343"/>
    <x v="0"/>
    <x v="0"/>
    <x v="0"/>
    <x v="0"/>
    <x v="0"/>
    <x v="2"/>
    <x v="0"/>
    <x v="0"/>
    <x v="5"/>
    <x v="0"/>
    <x v="118"/>
    <x v="1"/>
    <x v="0"/>
    <x v="0"/>
    <x v="0"/>
    <x v="525"/>
    <x v="1"/>
    <x v="7"/>
    <x v="7"/>
    <x v="0"/>
    <x v="0"/>
    <x v="3"/>
    <x v="60"/>
    <x v="0"/>
    <x v="24"/>
    <x v="592"/>
    <x v="1"/>
    <x v="4"/>
    <x v="1"/>
    <x v="3"/>
    <x v="2"/>
    <x v="1"/>
    <x v="151"/>
    <x v="3"/>
    <x v="24"/>
    <x v="119"/>
    <x v="119"/>
    <x v="0"/>
    <x v="119"/>
    <x v="136"/>
    <x v="137"/>
    <x v="132"/>
    <x v="137"/>
    <x v="136"/>
    <x v="136"/>
    <x v="136"/>
    <x v="136"/>
    <x v="136"/>
    <x v="136"/>
    <x v="136"/>
    <x v="119"/>
    <x v="130"/>
    <x v="130"/>
    <x v="105"/>
    <x v="0"/>
    <x v="0"/>
    <x v="142"/>
    <x v="119"/>
    <x v="119"/>
    <x v="119"/>
    <x v="119"/>
    <x v="5"/>
  </r>
  <r>
    <x v="526"/>
    <x v="347"/>
    <x v="0"/>
    <x v="0"/>
    <x v="0"/>
    <x v="0"/>
    <x v="0"/>
    <x v="2"/>
    <x v="0"/>
    <x v="0"/>
    <x v="5"/>
    <x v="0"/>
    <x v="408"/>
    <x v="1"/>
    <x v="0"/>
    <x v="0"/>
    <x v="0"/>
    <x v="526"/>
    <x v="1"/>
    <x v="7"/>
    <x v="7"/>
    <x v="0"/>
    <x v="0"/>
    <x v="3"/>
    <x v="91"/>
    <x v="0"/>
    <x v="25"/>
    <x v="556"/>
    <x v="1"/>
    <x v="4"/>
    <x v="1"/>
    <x v="3"/>
    <x v="2"/>
    <x v="1"/>
    <x v="822"/>
    <x v="3"/>
    <x v="25"/>
    <x v="408"/>
    <x v="408"/>
    <x v="0"/>
    <x v="408"/>
    <x v="481"/>
    <x v="467"/>
    <x v="519"/>
    <x v="467"/>
    <x v="481"/>
    <x v="481"/>
    <x v="481"/>
    <x v="481"/>
    <x v="481"/>
    <x v="481"/>
    <x v="481"/>
    <x v="408"/>
    <x v="509"/>
    <x v="509"/>
    <x v="382"/>
    <x v="0"/>
    <x v="0"/>
    <x v="610"/>
    <x v="408"/>
    <x v="408"/>
    <x v="408"/>
    <x v="408"/>
    <x v="5"/>
  </r>
  <r>
    <x v="527"/>
    <x v="343"/>
    <x v="0"/>
    <x v="0"/>
    <x v="0"/>
    <x v="0"/>
    <x v="1"/>
    <x v="5"/>
    <x v="0"/>
    <x v="0"/>
    <x v="5"/>
    <x v="0"/>
    <x v="204"/>
    <x v="1"/>
    <x v="0"/>
    <x v="0"/>
    <x v="0"/>
    <x v="527"/>
    <x v="1"/>
    <x v="7"/>
    <x v="7"/>
    <x v="0"/>
    <x v="0"/>
    <x v="3"/>
    <x v="60"/>
    <x v="0"/>
    <x v="24"/>
    <x v="593"/>
    <x v="3"/>
    <x v="29"/>
    <x v="1"/>
    <x v="6"/>
    <x v="3"/>
    <x v="1"/>
    <x v="1042"/>
    <x v="6"/>
    <x v="24"/>
    <x v="205"/>
    <x v="205"/>
    <x v="0"/>
    <x v="205"/>
    <x v="258"/>
    <x v="239"/>
    <x v="287"/>
    <x v="239"/>
    <x v="258"/>
    <x v="258"/>
    <x v="258"/>
    <x v="258"/>
    <x v="258"/>
    <x v="258"/>
    <x v="258"/>
    <x v="205"/>
    <x v="289"/>
    <x v="289"/>
    <x v="0"/>
    <x v="46"/>
    <x v="0"/>
    <x v="336"/>
    <x v="205"/>
    <x v="205"/>
    <x v="205"/>
    <x v="205"/>
    <x v="5"/>
  </r>
  <r>
    <x v="528"/>
    <x v="347"/>
    <x v="0"/>
    <x v="0"/>
    <x v="0"/>
    <x v="0"/>
    <x v="0"/>
    <x v="0"/>
    <x v="0"/>
    <x v="0"/>
    <x v="5"/>
    <x v="0"/>
    <x v="898"/>
    <x v="1"/>
    <x v="0"/>
    <x v="0"/>
    <x v="0"/>
    <x v="528"/>
    <x v="2"/>
    <x v="7"/>
    <x v="7"/>
    <x v="0"/>
    <x v="0"/>
    <x v="3"/>
    <x v="91"/>
    <x v="0"/>
    <x v="25"/>
    <x v="557"/>
    <x v="9"/>
    <x v="52"/>
    <x v="1"/>
    <x v="1"/>
    <x v="1"/>
    <x v="1"/>
    <x v="643"/>
    <x v="1"/>
    <x v="25"/>
    <x v="898"/>
    <x v="898"/>
    <x v="1"/>
    <x v="898"/>
    <x v="907"/>
    <x v="902"/>
    <x v="894"/>
    <x v="902"/>
    <x v="907"/>
    <x v="907"/>
    <x v="907"/>
    <x v="907"/>
    <x v="907"/>
    <x v="907"/>
    <x v="907"/>
    <x v="898"/>
    <x v="892"/>
    <x v="892"/>
    <x v="831"/>
    <x v="0"/>
    <x v="0"/>
    <x v="938"/>
    <x v="898"/>
    <x v="898"/>
    <x v="898"/>
    <x v="898"/>
    <x v="5"/>
  </r>
  <r>
    <x v="529"/>
    <x v="345"/>
    <x v="0"/>
    <x v="0"/>
    <x v="0"/>
    <x v="0"/>
    <x v="1"/>
    <x v="5"/>
    <x v="0"/>
    <x v="0"/>
    <x v="5"/>
    <x v="0"/>
    <x v="740"/>
    <x v="1"/>
    <x v="0"/>
    <x v="0"/>
    <x v="0"/>
    <x v="529"/>
    <x v="1"/>
    <x v="7"/>
    <x v="7"/>
    <x v="0"/>
    <x v="0"/>
    <x v="3"/>
    <x v="60"/>
    <x v="0"/>
    <x v="25"/>
    <x v="571"/>
    <x v="3"/>
    <x v="29"/>
    <x v="1"/>
    <x v="6"/>
    <x v="3"/>
    <x v="1"/>
    <x v="1327"/>
    <x v="6"/>
    <x v="25"/>
    <x v="740"/>
    <x v="740"/>
    <x v="1"/>
    <x v="740"/>
    <x v="901"/>
    <x v="848"/>
    <x v="965"/>
    <x v="848"/>
    <x v="901"/>
    <x v="901"/>
    <x v="901"/>
    <x v="901"/>
    <x v="901"/>
    <x v="901"/>
    <x v="901"/>
    <x v="740"/>
    <x v="969"/>
    <x v="969"/>
    <x v="0"/>
    <x v="91"/>
    <x v="0"/>
    <x v="1020"/>
    <x v="740"/>
    <x v="740"/>
    <x v="740"/>
    <x v="740"/>
    <x v="5"/>
  </r>
  <r>
    <x v="530"/>
    <x v="327"/>
    <x v="0"/>
    <x v="0"/>
    <x v="0"/>
    <x v="0"/>
    <x v="0"/>
    <x v="0"/>
    <x v="0"/>
    <x v="0"/>
    <x v="5"/>
    <x v="0"/>
    <x v="1090"/>
    <x v="1"/>
    <x v="0"/>
    <x v="0"/>
    <x v="0"/>
    <x v="530"/>
    <x v="2"/>
    <x v="7"/>
    <x v="7"/>
    <x v="0"/>
    <x v="0"/>
    <x v="3"/>
    <x v="33"/>
    <x v="0"/>
    <x v="23"/>
    <x v="589"/>
    <x v="9"/>
    <x v="52"/>
    <x v="1"/>
    <x v="1"/>
    <x v="1"/>
    <x v="1"/>
    <x v="856"/>
    <x v="1"/>
    <x v="23"/>
    <x v="1088"/>
    <x v="1088"/>
    <x v="1"/>
    <x v="1088"/>
    <x v="1097"/>
    <x v="1094"/>
    <x v="1081"/>
    <x v="1094"/>
    <x v="1097"/>
    <x v="1097"/>
    <x v="1097"/>
    <x v="1097"/>
    <x v="1097"/>
    <x v="1097"/>
    <x v="1097"/>
    <x v="1088"/>
    <x v="1081"/>
    <x v="1081"/>
    <x v="1017"/>
    <x v="0"/>
    <x v="0"/>
    <x v="1111"/>
    <x v="1088"/>
    <x v="1088"/>
    <x v="1088"/>
    <x v="1088"/>
    <x v="5"/>
  </r>
  <r>
    <x v="531"/>
    <x v="321"/>
    <x v="0"/>
    <x v="0"/>
    <x v="0"/>
    <x v="0"/>
    <x v="0"/>
    <x v="0"/>
    <x v="0"/>
    <x v="0"/>
    <x v="5"/>
    <x v="0"/>
    <x v="1206"/>
    <x v="1"/>
    <x v="0"/>
    <x v="0"/>
    <x v="0"/>
    <x v="531"/>
    <x v="2"/>
    <x v="7"/>
    <x v="7"/>
    <x v="0"/>
    <x v="0"/>
    <x v="3"/>
    <x v="61"/>
    <x v="0"/>
    <x v="22"/>
    <x v="584"/>
    <x v="9"/>
    <x v="52"/>
    <x v="1"/>
    <x v="1"/>
    <x v="1"/>
    <x v="1"/>
    <x v="992"/>
    <x v="1"/>
    <x v="22"/>
    <x v="1204"/>
    <x v="1204"/>
    <x v="2"/>
    <x v="1204"/>
    <x v="1226"/>
    <x v="1218"/>
    <x v="1212"/>
    <x v="1218"/>
    <x v="1226"/>
    <x v="1226"/>
    <x v="1226"/>
    <x v="1226"/>
    <x v="1226"/>
    <x v="1226"/>
    <x v="1226"/>
    <x v="1204"/>
    <x v="1210"/>
    <x v="1210"/>
    <x v="1131"/>
    <x v="0"/>
    <x v="0"/>
    <x v="1215"/>
    <x v="1204"/>
    <x v="1204"/>
    <x v="1204"/>
    <x v="1204"/>
    <x v="5"/>
  </r>
  <r>
    <x v="532"/>
    <x v="339"/>
    <x v="0"/>
    <x v="0"/>
    <x v="0"/>
    <x v="0"/>
    <x v="0"/>
    <x v="0"/>
    <x v="0"/>
    <x v="0"/>
    <x v="5"/>
    <x v="0"/>
    <x v="1079"/>
    <x v="1"/>
    <x v="0"/>
    <x v="0"/>
    <x v="0"/>
    <x v="532"/>
    <x v="2"/>
    <x v="7"/>
    <x v="7"/>
    <x v="0"/>
    <x v="0"/>
    <x v="3"/>
    <x v="60"/>
    <x v="0"/>
    <x v="24"/>
    <x v="568"/>
    <x v="9"/>
    <x v="52"/>
    <x v="1"/>
    <x v="1"/>
    <x v="1"/>
    <x v="1"/>
    <x v="844"/>
    <x v="1"/>
    <x v="24"/>
    <x v="1077"/>
    <x v="1077"/>
    <x v="1"/>
    <x v="1077"/>
    <x v="1086"/>
    <x v="1080"/>
    <x v="1072"/>
    <x v="1080"/>
    <x v="1086"/>
    <x v="1086"/>
    <x v="1086"/>
    <x v="1086"/>
    <x v="1086"/>
    <x v="1086"/>
    <x v="1086"/>
    <x v="1077"/>
    <x v="1071"/>
    <x v="1071"/>
    <x v="1006"/>
    <x v="0"/>
    <x v="0"/>
    <x v="1102"/>
    <x v="1077"/>
    <x v="1077"/>
    <x v="1077"/>
    <x v="1077"/>
    <x v="5"/>
  </r>
  <r>
    <x v="533"/>
    <x v="366"/>
    <x v="0"/>
    <x v="0"/>
    <x v="0"/>
    <x v="0"/>
    <x v="0"/>
    <x v="0"/>
    <x v="0"/>
    <x v="0"/>
    <x v="5"/>
    <x v="0"/>
    <x v="1152"/>
    <x v="1"/>
    <x v="0"/>
    <x v="0"/>
    <x v="0"/>
    <x v="533"/>
    <x v="2"/>
    <x v="7"/>
    <x v="7"/>
    <x v="0"/>
    <x v="0"/>
    <x v="3"/>
    <x v="117"/>
    <x v="0"/>
    <x v="25"/>
    <x v="553"/>
    <x v="9"/>
    <x v="52"/>
    <x v="1"/>
    <x v="1"/>
    <x v="1"/>
    <x v="1"/>
    <x v="925"/>
    <x v="1"/>
    <x v="25"/>
    <x v="1150"/>
    <x v="1150"/>
    <x v="1"/>
    <x v="1150"/>
    <x v="1161"/>
    <x v="1156"/>
    <x v="1143"/>
    <x v="1156"/>
    <x v="1161"/>
    <x v="1161"/>
    <x v="1161"/>
    <x v="1161"/>
    <x v="1161"/>
    <x v="1161"/>
    <x v="1161"/>
    <x v="1150"/>
    <x v="1142"/>
    <x v="1142"/>
    <x v="1076"/>
    <x v="0"/>
    <x v="0"/>
    <x v="1183"/>
    <x v="1150"/>
    <x v="1150"/>
    <x v="1150"/>
    <x v="1150"/>
    <x v="5"/>
  </r>
  <r>
    <x v="534"/>
    <x v="309"/>
    <x v="0"/>
    <x v="0"/>
    <x v="0"/>
    <x v="0"/>
    <x v="0"/>
    <x v="0"/>
    <x v="0"/>
    <x v="0"/>
    <x v="5"/>
    <x v="0"/>
    <x v="1313"/>
    <x v="1"/>
    <x v="0"/>
    <x v="0"/>
    <x v="0"/>
    <x v="534"/>
    <x v="2"/>
    <x v="7"/>
    <x v="7"/>
    <x v="0"/>
    <x v="0"/>
    <x v="3"/>
    <x v="43"/>
    <x v="0"/>
    <x v="22"/>
    <x v="577"/>
    <x v="9"/>
    <x v="52"/>
    <x v="1"/>
    <x v="1"/>
    <x v="1"/>
    <x v="1"/>
    <x v="1125"/>
    <x v="1"/>
    <x v="22"/>
    <x v="1311"/>
    <x v="1311"/>
    <x v="2"/>
    <x v="1311"/>
    <x v="1335"/>
    <x v="1327"/>
    <x v="1326"/>
    <x v="1327"/>
    <x v="1335"/>
    <x v="1335"/>
    <x v="1335"/>
    <x v="1335"/>
    <x v="1335"/>
    <x v="1335"/>
    <x v="1335"/>
    <x v="1311"/>
    <x v="1325"/>
    <x v="1325"/>
    <x v="1233"/>
    <x v="0"/>
    <x v="0"/>
    <x v="1324"/>
    <x v="1311"/>
    <x v="1311"/>
    <x v="1311"/>
    <x v="1311"/>
    <x v="5"/>
  </r>
  <r>
    <x v="535"/>
    <x v="377"/>
    <x v="0"/>
    <x v="0"/>
    <x v="0"/>
    <x v="0"/>
    <x v="0"/>
    <x v="0"/>
    <x v="0"/>
    <x v="0"/>
    <x v="5"/>
    <x v="0"/>
    <x v="1212"/>
    <x v="1"/>
    <x v="0"/>
    <x v="0"/>
    <x v="0"/>
    <x v="535"/>
    <x v="2"/>
    <x v="7"/>
    <x v="7"/>
    <x v="0"/>
    <x v="0"/>
    <x v="3"/>
    <x v="63"/>
    <x v="0"/>
    <x v="24"/>
    <x v="598"/>
    <x v="9"/>
    <x v="52"/>
    <x v="1"/>
    <x v="1"/>
    <x v="1"/>
    <x v="1"/>
    <x v="1002"/>
    <x v="1"/>
    <x v="24"/>
    <x v="1210"/>
    <x v="1210"/>
    <x v="2"/>
    <x v="1210"/>
    <x v="1233"/>
    <x v="1225"/>
    <x v="1220"/>
    <x v="1225"/>
    <x v="1233"/>
    <x v="1233"/>
    <x v="1233"/>
    <x v="1233"/>
    <x v="1233"/>
    <x v="1233"/>
    <x v="1233"/>
    <x v="1210"/>
    <x v="1217"/>
    <x v="1217"/>
    <x v="1138"/>
    <x v="0"/>
    <x v="0"/>
    <x v="1251"/>
    <x v="1210"/>
    <x v="1210"/>
    <x v="1210"/>
    <x v="1210"/>
    <x v="5"/>
  </r>
  <r>
    <x v="536"/>
    <x v="317"/>
    <x v="0"/>
    <x v="0"/>
    <x v="0"/>
    <x v="0"/>
    <x v="0"/>
    <x v="0"/>
    <x v="0"/>
    <x v="0"/>
    <x v="5"/>
    <x v="0"/>
    <x v="1316"/>
    <x v="1"/>
    <x v="0"/>
    <x v="0"/>
    <x v="0"/>
    <x v="536"/>
    <x v="2"/>
    <x v="7"/>
    <x v="7"/>
    <x v="0"/>
    <x v="0"/>
    <x v="3"/>
    <x v="62"/>
    <x v="0"/>
    <x v="21"/>
    <x v="581"/>
    <x v="9"/>
    <x v="52"/>
    <x v="1"/>
    <x v="1"/>
    <x v="1"/>
    <x v="1"/>
    <x v="1136"/>
    <x v="1"/>
    <x v="21"/>
    <x v="1314"/>
    <x v="1314"/>
    <x v="3"/>
    <x v="1314"/>
    <x v="1341"/>
    <x v="1337"/>
    <x v="1331"/>
    <x v="1337"/>
    <x v="1341"/>
    <x v="1341"/>
    <x v="1341"/>
    <x v="1341"/>
    <x v="1341"/>
    <x v="1341"/>
    <x v="1341"/>
    <x v="1314"/>
    <x v="1330"/>
    <x v="1330"/>
    <x v="1237"/>
    <x v="0"/>
    <x v="0"/>
    <x v="1326"/>
    <x v="1314"/>
    <x v="1314"/>
    <x v="1314"/>
    <x v="1314"/>
    <x v="5"/>
  </r>
  <r>
    <x v="537"/>
    <x v="375"/>
    <x v="0"/>
    <x v="0"/>
    <x v="0"/>
    <x v="0"/>
    <x v="0"/>
    <x v="0"/>
    <x v="0"/>
    <x v="0"/>
    <x v="5"/>
    <x v="0"/>
    <x v="1154"/>
    <x v="1"/>
    <x v="0"/>
    <x v="0"/>
    <x v="0"/>
    <x v="537"/>
    <x v="2"/>
    <x v="7"/>
    <x v="7"/>
    <x v="0"/>
    <x v="0"/>
    <x v="3"/>
    <x v="60"/>
    <x v="0"/>
    <x v="26"/>
    <x v="563"/>
    <x v="9"/>
    <x v="52"/>
    <x v="1"/>
    <x v="1"/>
    <x v="1"/>
    <x v="1"/>
    <x v="928"/>
    <x v="1"/>
    <x v="26"/>
    <x v="1152"/>
    <x v="1152"/>
    <x v="1"/>
    <x v="1152"/>
    <x v="1164"/>
    <x v="1160"/>
    <x v="1147"/>
    <x v="1160"/>
    <x v="1164"/>
    <x v="1164"/>
    <x v="1164"/>
    <x v="1164"/>
    <x v="1164"/>
    <x v="1164"/>
    <x v="1164"/>
    <x v="1152"/>
    <x v="1145"/>
    <x v="1145"/>
    <x v="1078"/>
    <x v="0"/>
    <x v="0"/>
    <x v="1200"/>
    <x v="1152"/>
    <x v="1152"/>
    <x v="1152"/>
    <x v="1152"/>
    <x v="5"/>
  </r>
  <r>
    <x v="538"/>
    <x v="319"/>
    <x v="0"/>
    <x v="0"/>
    <x v="0"/>
    <x v="0"/>
    <x v="0"/>
    <x v="0"/>
    <x v="0"/>
    <x v="0"/>
    <x v="5"/>
    <x v="0"/>
    <x v="1324"/>
    <x v="1"/>
    <x v="0"/>
    <x v="0"/>
    <x v="0"/>
    <x v="538"/>
    <x v="2"/>
    <x v="7"/>
    <x v="7"/>
    <x v="0"/>
    <x v="0"/>
    <x v="3"/>
    <x v="62"/>
    <x v="0"/>
    <x v="22"/>
    <x v="583"/>
    <x v="9"/>
    <x v="52"/>
    <x v="1"/>
    <x v="1"/>
    <x v="1"/>
    <x v="1"/>
    <x v="1152"/>
    <x v="1"/>
    <x v="22"/>
    <x v="1322"/>
    <x v="1322"/>
    <x v="3"/>
    <x v="1322"/>
    <x v="1352"/>
    <x v="1346"/>
    <x v="1341"/>
    <x v="1346"/>
    <x v="1352"/>
    <x v="1352"/>
    <x v="1352"/>
    <x v="1352"/>
    <x v="1352"/>
    <x v="1352"/>
    <x v="1352"/>
    <x v="1322"/>
    <x v="1340"/>
    <x v="1340"/>
    <x v="1244"/>
    <x v="0"/>
    <x v="0"/>
    <x v="1348"/>
    <x v="1322"/>
    <x v="1322"/>
    <x v="1322"/>
    <x v="1322"/>
    <x v="5"/>
  </r>
  <r>
    <x v="539"/>
    <x v="355"/>
    <x v="0"/>
    <x v="0"/>
    <x v="0"/>
    <x v="0"/>
    <x v="1"/>
    <x v="5"/>
    <x v="0"/>
    <x v="0"/>
    <x v="5"/>
    <x v="0"/>
    <x v="832"/>
    <x v="1"/>
    <x v="0"/>
    <x v="0"/>
    <x v="0"/>
    <x v="539"/>
    <x v="1"/>
    <x v="7"/>
    <x v="7"/>
    <x v="0"/>
    <x v="0"/>
    <x v="3"/>
    <x v="60"/>
    <x v="0"/>
    <x v="25"/>
    <x v="572"/>
    <x v="3"/>
    <x v="29"/>
    <x v="1"/>
    <x v="6"/>
    <x v="3"/>
    <x v="1"/>
    <x v="1349"/>
    <x v="6"/>
    <x v="25"/>
    <x v="832"/>
    <x v="832"/>
    <x v="1"/>
    <x v="832"/>
    <x v="992"/>
    <x v="935"/>
    <x v="1059"/>
    <x v="935"/>
    <x v="992"/>
    <x v="992"/>
    <x v="992"/>
    <x v="992"/>
    <x v="992"/>
    <x v="992"/>
    <x v="992"/>
    <x v="832"/>
    <x v="1065"/>
    <x v="1065"/>
    <x v="0"/>
    <x v="97"/>
    <x v="0"/>
    <x v="1110"/>
    <x v="832"/>
    <x v="832"/>
    <x v="832"/>
    <x v="832"/>
    <x v="5"/>
  </r>
  <r>
    <x v="540"/>
    <x v="385"/>
    <x v="0"/>
    <x v="0"/>
    <x v="0"/>
    <x v="0"/>
    <x v="0"/>
    <x v="0"/>
    <x v="0"/>
    <x v="0"/>
    <x v="5"/>
    <x v="0"/>
    <x v="1234"/>
    <x v="1"/>
    <x v="0"/>
    <x v="0"/>
    <x v="0"/>
    <x v="540"/>
    <x v="2"/>
    <x v="7"/>
    <x v="7"/>
    <x v="0"/>
    <x v="0"/>
    <x v="3"/>
    <x v="63"/>
    <x v="0"/>
    <x v="24"/>
    <x v="616"/>
    <x v="9"/>
    <x v="52"/>
    <x v="1"/>
    <x v="1"/>
    <x v="1"/>
    <x v="1"/>
    <x v="1029"/>
    <x v="1"/>
    <x v="24"/>
    <x v="1232"/>
    <x v="1232"/>
    <x v="2"/>
    <x v="1232"/>
    <x v="1256"/>
    <x v="1245"/>
    <x v="1243"/>
    <x v="1245"/>
    <x v="1256"/>
    <x v="1256"/>
    <x v="1256"/>
    <x v="1256"/>
    <x v="1256"/>
    <x v="1256"/>
    <x v="1256"/>
    <x v="1232"/>
    <x v="1244"/>
    <x v="1244"/>
    <x v="1159"/>
    <x v="0"/>
    <x v="0"/>
    <x v="1269"/>
    <x v="1232"/>
    <x v="1232"/>
    <x v="1232"/>
    <x v="1232"/>
    <x v="5"/>
  </r>
  <r>
    <x v="541"/>
    <x v="322"/>
    <x v="0"/>
    <x v="0"/>
    <x v="0"/>
    <x v="0"/>
    <x v="0"/>
    <x v="0"/>
    <x v="0"/>
    <x v="0"/>
    <x v="5"/>
    <x v="0"/>
    <x v="1327"/>
    <x v="1"/>
    <x v="0"/>
    <x v="0"/>
    <x v="0"/>
    <x v="541"/>
    <x v="2"/>
    <x v="7"/>
    <x v="7"/>
    <x v="0"/>
    <x v="0"/>
    <x v="3"/>
    <x v="61"/>
    <x v="0"/>
    <x v="23"/>
    <x v="586"/>
    <x v="9"/>
    <x v="52"/>
    <x v="1"/>
    <x v="1"/>
    <x v="1"/>
    <x v="1"/>
    <x v="1159"/>
    <x v="1"/>
    <x v="23"/>
    <x v="1325"/>
    <x v="1325"/>
    <x v="3"/>
    <x v="1325"/>
    <x v="1356"/>
    <x v="1349"/>
    <x v="1346"/>
    <x v="1349"/>
    <x v="1356"/>
    <x v="1356"/>
    <x v="1356"/>
    <x v="1356"/>
    <x v="1356"/>
    <x v="1356"/>
    <x v="1356"/>
    <x v="1325"/>
    <x v="1344"/>
    <x v="1344"/>
    <x v="1246"/>
    <x v="0"/>
    <x v="0"/>
    <x v="1360"/>
    <x v="1325"/>
    <x v="1325"/>
    <x v="1325"/>
    <x v="1325"/>
    <x v="5"/>
  </r>
  <r>
    <x v="542"/>
    <x v="366"/>
    <x v="0"/>
    <x v="0"/>
    <x v="0"/>
    <x v="0"/>
    <x v="0"/>
    <x v="0"/>
    <x v="0"/>
    <x v="0"/>
    <x v="5"/>
    <x v="0"/>
    <x v="503"/>
    <x v="1"/>
    <x v="0"/>
    <x v="0"/>
    <x v="0"/>
    <x v="542"/>
    <x v="2"/>
    <x v="7"/>
    <x v="7"/>
    <x v="0"/>
    <x v="0"/>
    <x v="3"/>
    <x v="117"/>
    <x v="0"/>
    <x v="25"/>
    <x v="552"/>
    <x v="9"/>
    <x v="52"/>
    <x v="1"/>
    <x v="1"/>
    <x v="1"/>
    <x v="1"/>
    <x v="334"/>
    <x v="1"/>
    <x v="25"/>
    <x v="503"/>
    <x v="503"/>
    <x v="0"/>
    <x v="503"/>
    <x v="471"/>
    <x v="477"/>
    <x v="458"/>
    <x v="477"/>
    <x v="471"/>
    <x v="471"/>
    <x v="471"/>
    <x v="471"/>
    <x v="471"/>
    <x v="471"/>
    <x v="471"/>
    <x v="503"/>
    <x v="459"/>
    <x v="459"/>
    <x v="445"/>
    <x v="0"/>
    <x v="0"/>
    <x v="567"/>
    <x v="503"/>
    <x v="503"/>
    <x v="503"/>
    <x v="503"/>
    <x v="5"/>
  </r>
  <r>
    <x v="543"/>
    <x v="355"/>
    <x v="0"/>
    <x v="0"/>
    <x v="0"/>
    <x v="0"/>
    <x v="0"/>
    <x v="0"/>
    <x v="0"/>
    <x v="0"/>
    <x v="5"/>
    <x v="0"/>
    <x v="1121"/>
    <x v="1"/>
    <x v="0"/>
    <x v="0"/>
    <x v="0"/>
    <x v="543"/>
    <x v="2"/>
    <x v="7"/>
    <x v="7"/>
    <x v="0"/>
    <x v="0"/>
    <x v="3"/>
    <x v="60"/>
    <x v="0"/>
    <x v="25"/>
    <x v="573"/>
    <x v="9"/>
    <x v="52"/>
    <x v="1"/>
    <x v="1"/>
    <x v="1"/>
    <x v="1"/>
    <x v="887"/>
    <x v="1"/>
    <x v="25"/>
    <x v="1119"/>
    <x v="1119"/>
    <x v="1"/>
    <x v="1119"/>
    <x v="1127"/>
    <x v="1127"/>
    <x v="1112"/>
    <x v="1127"/>
    <x v="1127"/>
    <x v="1127"/>
    <x v="1127"/>
    <x v="1127"/>
    <x v="1127"/>
    <x v="1127"/>
    <x v="1127"/>
    <x v="1119"/>
    <x v="1112"/>
    <x v="1112"/>
    <x v="1049"/>
    <x v="0"/>
    <x v="0"/>
    <x v="1167"/>
    <x v="1119"/>
    <x v="1119"/>
    <x v="1119"/>
    <x v="1119"/>
    <x v="5"/>
  </r>
  <r>
    <x v="544"/>
    <x v="361"/>
    <x v="0"/>
    <x v="0"/>
    <x v="0"/>
    <x v="0"/>
    <x v="0"/>
    <x v="0"/>
    <x v="0"/>
    <x v="0"/>
    <x v="5"/>
    <x v="0"/>
    <x v="760"/>
    <x v="1"/>
    <x v="0"/>
    <x v="0"/>
    <x v="0"/>
    <x v="544"/>
    <x v="2"/>
    <x v="7"/>
    <x v="7"/>
    <x v="0"/>
    <x v="0"/>
    <x v="3"/>
    <x v="61"/>
    <x v="0"/>
    <x v="24"/>
    <x v="551"/>
    <x v="9"/>
    <x v="52"/>
    <x v="1"/>
    <x v="1"/>
    <x v="1"/>
    <x v="1"/>
    <x v="507"/>
    <x v="1"/>
    <x v="24"/>
    <x v="760"/>
    <x v="760"/>
    <x v="1"/>
    <x v="760"/>
    <x v="746"/>
    <x v="756"/>
    <x v="706"/>
    <x v="756"/>
    <x v="746"/>
    <x v="746"/>
    <x v="746"/>
    <x v="746"/>
    <x v="746"/>
    <x v="746"/>
    <x v="746"/>
    <x v="760"/>
    <x v="707"/>
    <x v="707"/>
    <x v="699"/>
    <x v="0"/>
    <x v="0"/>
    <x v="753"/>
    <x v="760"/>
    <x v="760"/>
    <x v="760"/>
    <x v="760"/>
    <x v="5"/>
  </r>
  <r>
    <x v="545"/>
    <x v="372"/>
    <x v="0"/>
    <x v="0"/>
    <x v="0"/>
    <x v="0"/>
    <x v="0"/>
    <x v="0"/>
    <x v="0"/>
    <x v="0"/>
    <x v="5"/>
    <x v="0"/>
    <x v="247"/>
    <x v="1"/>
    <x v="0"/>
    <x v="0"/>
    <x v="0"/>
    <x v="545"/>
    <x v="2"/>
    <x v="7"/>
    <x v="7"/>
    <x v="0"/>
    <x v="0"/>
    <x v="3"/>
    <x v="61"/>
    <x v="0"/>
    <x v="25"/>
    <x v="560"/>
    <x v="9"/>
    <x v="52"/>
    <x v="1"/>
    <x v="1"/>
    <x v="1"/>
    <x v="1"/>
    <x v="159"/>
    <x v="1"/>
    <x v="25"/>
    <x v="247"/>
    <x v="247"/>
    <x v="0"/>
    <x v="247"/>
    <x v="250"/>
    <x v="251"/>
    <x v="245"/>
    <x v="251"/>
    <x v="250"/>
    <x v="250"/>
    <x v="250"/>
    <x v="250"/>
    <x v="250"/>
    <x v="250"/>
    <x v="250"/>
    <x v="247"/>
    <x v="245"/>
    <x v="245"/>
    <x v="216"/>
    <x v="0"/>
    <x v="0"/>
    <x v="272"/>
    <x v="247"/>
    <x v="247"/>
    <x v="247"/>
    <x v="247"/>
    <x v="5"/>
  </r>
  <r>
    <x v="546"/>
    <x v="329"/>
    <x v="0"/>
    <x v="0"/>
    <x v="0"/>
    <x v="0"/>
    <x v="0"/>
    <x v="0"/>
    <x v="0"/>
    <x v="0"/>
    <x v="5"/>
    <x v="0"/>
    <x v="894"/>
    <x v="1"/>
    <x v="0"/>
    <x v="0"/>
    <x v="0"/>
    <x v="546"/>
    <x v="2"/>
    <x v="8"/>
    <x v="8"/>
    <x v="0"/>
    <x v="0"/>
    <x v="3"/>
    <x v="128"/>
    <x v="0"/>
    <x v="24"/>
    <x v="594"/>
    <x v="9"/>
    <x v="52"/>
    <x v="1"/>
    <x v="1"/>
    <x v="1"/>
    <x v="1"/>
    <x v="639"/>
    <x v="1"/>
    <x v="24"/>
    <x v="894"/>
    <x v="894"/>
    <x v="1"/>
    <x v="894"/>
    <x v="904"/>
    <x v="897"/>
    <x v="889"/>
    <x v="897"/>
    <x v="904"/>
    <x v="904"/>
    <x v="904"/>
    <x v="904"/>
    <x v="904"/>
    <x v="904"/>
    <x v="904"/>
    <x v="894"/>
    <x v="888"/>
    <x v="888"/>
    <x v="828"/>
    <x v="0"/>
    <x v="0"/>
    <x v="923"/>
    <x v="894"/>
    <x v="894"/>
    <x v="894"/>
    <x v="894"/>
    <x v="5"/>
  </r>
  <r>
    <x v="547"/>
    <x v="369"/>
    <x v="0"/>
    <x v="0"/>
    <x v="0"/>
    <x v="0"/>
    <x v="0"/>
    <x v="0"/>
    <x v="0"/>
    <x v="0"/>
    <x v="5"/>
    <x v="0"/>
    <x v="445"/>
    <x v="1"/>
    <x v="0"/>
    <x v="0"/>
    <x v="0"/>
    <x v="547"/>
    <x v="2"/>
    <x v="9"/>
    <x v="9"/>
    <x v="0"/>
    <x v="0"/>
    <x v="3"/>
    <x v="66"/>
    <x v="0"/>
    <x v="27"/>
    <x v="522"/>
    <x v="9"/>
    <x v="52"/>
    <x v="1"/>
    <x v="1"/>
    <x v="1"/>
    <x v="1"/>
    <x v="303"/>
    <x v="1"/>
    <x v="27"/>
    <x v="445"/>
    <x v="445"/>
    <x v="0"/>
    <x v="445"/>
    <x v="428"/>
    <x v="431"/>
    <x v="414"/>
    <x v="431"/>
    <x v="428"/>
    <x v="428"/>
    <x v="428"/>
    <x v="428"/>
    <x v="428"/>
    <x v="428"/>
    <x v="428"/>
    <x v="445"/>
    <x v="414"/>
    <x v="414"/>
    <x v="393"/>
    <x v="0"/>
    <x v="0"/>
    <x v="539"/>
    <x v="445"/>
    <x v="445"/>
    <x v="445"/>
    <x v="445"/>
    <x v="5"/>
  </r>
  <r>
    <x v="548"/>
    <x v="377"/>
    <x v="0"/>
    <x v="0"/>
    <x v="0"/>
    <x v="0"/>
    <x v="0"/>
    <x v="0"/>
    <x v="0"/>
    <x v="0"/>
    <x v="5"/>
    <x v="0"/>
    <x v="393"/>
    <x v="1"/>
    <x v="0"/>
    <x v="0"/>
    <x v="0"/>
    <x v="548"/>
    <x v="2"/>
    <x v="9"/>
    <x v="9"/>
    <x v="0"/>
    <x v="0"/>
    <x v="3"/>
    <x v="63"/>
    <x v="0"/>
    <x v="24"/>
    <x v="600"/>
    <x v="9"/>
    <x v="52"/>
    <x v="1"/>
    <x v="1"/>
    <x v="1"/>
    <x v="1"/>
    <x v="270"/>
    <x v="1"/>
    <x v="24"/>
    <x v="393"/>
    <x v="393"/>
    <x v="0"/>
    <x v="393"/>
    <x v="388"/>
    <x v="390"/>
    <x v="366"/>
    <x v="390"/>
    <x v="388"/>
    <x v="388"/>
    <x v="388"/>
    <x v="388"/>
    <x v="388"/>
    <x v="388"/>
    <x v="388"/>
    <x v="393"/>
    <x v="366"/>
    <x v="366"/>
    <x v="351"/>
    <x v="0"/>
    <x v="0"/>
    <x v="445"/>
    <x v="393"/>
    <x v="393"/>
    <x v="393"/>
    <x v="393"/>
    <x v="5"/>
  </r>
  <r>
    <x v="549"/>
    <x v="364"/>
    <x v="0"/>
    <x v="0"/>
    <x v="0"/>
    <x v="0"/>
    <x v="1"/>
    <x v="4"/>
    <x v="0"/>
    <x v="0"/>
    <x v="5"/>
    <x v="0"/>
    <x v="1042"/>
    <x v="1"/>
    <x v="0"/>
    <x v="0"/>
    <x v="0"/>
    <x v="549"/>
    <x v="1"/>
    <x v="9"/>
    <x v="9"/>
    <x v="0"/>
    <x v="0"/>
    <x v="3"/>
    <x v="66"/>
    <x v="0"/>
    <x v="26"/>
    <x v="535"/>
    <x v="2"/>
    <x v="18"/>
    <x v="1"/>
    <x v="5"/>
    <x v="2"/>
    <x v="1"/>
    <x v="1322"/>
    <x v="5"/>
    <x v="26"/>
    <x v="1041"/>
    <x v="1041"/>
    <x v="1"/>
    <x v="1041"/>
    <x v="1139"/>
    <x v="1107"/>
    <x v="1176"/>
    <x v="1107"/>
    <x v="1139"/>
    <x v="1139"/>
    <x v="1139"/>
    <x v="1139"/>
    <x v="1139"/>
    <x v="1139"/>
    <x v="1139"/>
    <x v="1041"/>
    <x v="1175"/>
    <x v="1175"/>
    <x v="996"/>
    <x v="0"/>
    <x v="0"/>
    <x v="1224"/>
    <x v="1041"/>
    <x v="1041"/>
    <x v="1041"/>
    <x v="1041"/>
    <x v="5"/>
  </r>
  <r>
    <x v="550"/>
    <x v="382"/>
    <x v="0"/>
    <x v="0"/>
    <x v="0"/>
    <x v="0"/>
    <x v="0"/>
    <x v="0"/>
    <x v="0"/>
    <x v="0"/>
    <x v="5"/>
    <x v="0"/>
    <x v="681"/>
    <x v="1"/>
    <x v="0"/>
    <x v="0"/>
    <x v="0"/>
    <x v="550"/>
    <x v="2"/>
    <x v="9"/>
    <x v="9"/>
    <x v="0"/>
    <x v="0"/>
    <x v="3"/>
    <x v="66"/>
    <x v="0"/>
    <x v="23"/>
    <x v="597"/>
    <x v="9"/>
    <x v="52"/>
    <x v="1"/>
    <x v="1"/>
    <x v="1"/>
    <x v="1"/>
    <x v="443"/>
    <x v="1"/>
    <x v="23"/>
    <x v="681"/>
    <x v="681"/>
    <x v="1"/>
    <x v="681"/>
    <x v="616"/>
    <x v="629"/>
    <x v="585"/>
    <x v="629"/>
    <x v="616"/>
    <x v="616"/>
    <x v="616"/>
    <x v="616"/>
    <x v="616"/>
    <x v="616"/>
    <x v="616"/>
    <x v="681"/>
    <x v="588"/>
    <x v="588"/>
    <x v="610"/>
    <x v="0"/>
    <x v="0"/>
    <x v="634"/>
    <x v="681"/>
    <x v="681"/>
    <x v="681"/>
    <x v="681"/>
    <x v="5"/>
  </r>
  <r>
    <x v="551"/>
    <x v="377"/>
    <x v="0"/>
    <x v="0"/>
    <x v="0"/>
    <x v="0"/>
    <x v="0"/>
    <x v="0"/>
    <x v="0"/>
    <x v="0"/>
    <x v="5"/>
    <x v="0"/>
    <x v="986"/>
    <x v="1"/>
    <x v="0"/>
    <x v="0"/>
    <x v="0"/>
    <x v="551"/>
    <x v="2"/>
    <x v="9"/>
    <x v="9"/>
    <x v="0"/>
    <x v="0"/>
    <x v="3"/>
    <x v="63"/>
    <x v="0"/>
    <x v="24"/>
    <x v="599"/>
    <x v="9"/>
    <x v="52"/>
    <x v="1"/>
    <x v="1"/>
    <x v="1"/>
    <x v="1"/>
    <x v="748"/>
    <x v="1"/>
    <x v="24"/>
    <x v="986"/>
    <x v="986"/>
    <x v="1"/>
    <x v="986"/>
    <x v="1003"/>
    <x v="996"/>
    <x v="983"/>
    <x v="996"/>
    <x v="1003"/>
    <x v="1003"/>
    <x v="1003"/>
    <x v="1003"/>
    <x v="1003"/>
    <x v="1003"/>
    <x v="1003"/>
    <x v="986"/>
    <x v="983"/>
    <x v="983"/>
    <x v="918"/>
    <x v="0"/>
    <x v="0"/>
    <x v="1022"/>
    <x v="986"/>
    <x v="986"/>
    <x v="986"/>
    <x v="986"/>
    <x v="5"/>
  </r>
  <r>
    <x v="552"/>
    <x v="397"/>
    <x v="0"/>
    <x v="0"/>
    <x v="0"/>
    <x v="0"/>
    <x v="1"/>
    <x v="4"/>
    <x v="0"/>
    <x v="0"/>
    <x v="5"/>
    <x v="0"/>
    <x v="772"/>
    <x v="1"/>
    <x v="0"/>
    <x v="0"/>
    <x v="0"/>
    <x v="552"/>
    <x v="1"/>
    <x v="9"/>
    <x v="9"/>
    <x v="0"/>
    <x v="0"/>
    <x v="3"/>
    <x v="66"/>
    <x v="0"/>
    <x v="28"/>
    <x v="603"/>
    <x v="2"/>
    <x v="18"/>
    <x v="1"/>
    <x v="5"/>
    <x v="2"/>
    <x v="1"/>
    <x v="1249"/>
    <x v="5"/>
    <x v="28"/>
    <x v="772"/>
    <x v="772"/>
    <x v="1"/>
    <x v="772"/>
    <x v="876"/>
    <x v="839"/>
    <x v="918"/>
    <x v="839"/>
    <x v="876"/>
    <x v="876"/>
    <x v="876"/>
    <x v="876"/>
    <x v="876"/>
    <x v="876"/>
    <x v="876"/>
    <x v="772"/>
    <x v="918"/>
    <x v="918"/>
    <x v="747"/>
    <x v="0"/>
    <x v="0"/>
    <x v="1003"/>
    <x v="772"/>
    <x v="772"/>
    <x v="772"/>
    <x v="772"/>
    <x v="5"/>
  </r>
  <r>
    <x v="553"/>
    <x v="412"/>
    <x v="0"/>
    <x v="0"/>
    <x v="0"/>
    <x v="0"/>
    <x v="1"/>
    <x v="4"/>
    <x v="0"/>
    <x v="0"/>
    <x v="5"/>
    <x v="0"/>
    <x v="180"/>
    <x v="1"/>
    <x v="0"/>
    <x v="0"/>
    <x v="0"/>
    <x v="553"/>
    <x v="1"/>
    <x v="9"/>
    <x v="9"/>
    <x v="0"/>
    <x v="0"/>
    <x v="3"/>
    <x v="65"/>
    <x v="0"/>
    <x v="27"/>
    <x v="604"/>
    <x v="2"/>
    <x v="18"/>
    <x v="1"/>
    <x v="5"/>
    <x v="2"/>
    <x v="1"/>
    <x v="647"/>
    <x v="5"/>
    <x v="27"/>
    <x v="181"/>
    <x v="181"/>
    <x v="0"/>
    <x v="181"/>
    <x v="220"/>
    <x v="205"/>
    <x v="225"/>
    <x v="205"/>
    <x v="220"/>
    <x v="220"/>
    <x v="220"/>
    <x v="220"/>
    <x v="220"/>
    <x v="220"/>
    <x v="220"/>
    <x v="181"/>
    <x v="225"/>
    <x v="225"/>
    <x v="165"/>
    <x v="0"/>
    <x v="0"/>
    <x v="260"/>
    <x v="181"/>
    <x v="181"/>
    <x v="181"/>
    <x v="181"/>
    <x v="5"/>
  </r>
  <r>
    <x v="554"/>
    <x v="418"/>
    <x v="0"/>
    <x v="0"/>
    <x v="0"/>
    <x v="0"/>
    <x v="1"/>
    <x v="6"/>
    <x v="0"/>
    <x v="0"/>
    <x v="5"/>
    <x v="0"/>
    <x v="273"/>
    <x v="1"/>
    <x v="0"/>
    <x v="0"/>
    <x v="0"/>
    <x v="554"/>
    <x v="1"/>
    <x v="9"/>
    <x v="9"/>
    <x v="0"/>
    <x v="0"/>
    <x v="3"/>
    <x v="65"/>
    <x v="0"/>
    <x v="23"/>
    <x v="14"/>
    <x v="4"/>
    <x v="37"/>
    <x v="1"/>
    <x v="7"/>
    <x v="4"/>
    <x v="1"/>
    <x v="1229"/>
    <x v="7"/>
    <x v="23"/>
    <x v="273"/>
    <x v="273"/>
    <x v="0"/>
    <x v="273"/>
    <x v="380"/>
    <x v="340"/>
    <x v="432"/>
    <x v="340"/>
    <x v="380"/>
    <x v="380"/>
    <x v="380"/>
    <x v="380"/>
    <x v="380"/>
    <x v="380"/>
    <x v="380"/>
    <x v="273"/>
    <x v="446"/>
    <x v="446"/>
    <x v="0"/>
    <x v="55"/>
    <x v="0"/>
    <x v="528"/>
    <x v="273"/>
    <x v="273"/>
    <x v="273"/>
    <x v="273"/>
    <x v="5"/>
  </r>
  <r>
    <x v="555"/>
    <x v="414"/>
    <x v="0"/>
    <x v="0"/>
    <x v="0"/>
    <x v="0"/>
    <x v="1"/>
    <x v="4"/>
    <x v="0"/>
    <x v="0"/>
    <x v="5"/>
    <x v="0"/>
    <x v="121"/>
    <x v="1"/>
    <x v="0"/>
    <x v="0"/>
    <x v="0"/>
    <x v="555"/>
    <x v="1"/>
    <x v="9"/>
    <x v="9"/>
    <x v="0"/>
    <x v="0"/>
    <x v="3"/>
    <x v="65"/>
    <x v="0"/>
    <x v="23"/>
    <x v="595"/>
    <x v="2"/>
    <x v="18"/>
    <x v="1"/>
    <x v="5"/>
    <x v="2"/>
    <x v="1"/>
    <x v="327"/>
    <x v="5"/>
    <x v="23"/>
    <x v="122"/>
    <x v="122"/>
    <x v="0"/>
    <x v="122"/>
    <x v="145"/>
    <x v="139"/>
    <x v="152"/>
    <x v="139"/>
    <x v="145"/>
    <x v="145"/>
    <x v="145"/>
    <x v="145"/>
    <x v="145"/>
    <x v="145"/>
    <x v="145"/>
    <x v="122"/>
    <x v="151"/>
    <x v="151"/>
    <x v="111"/>
    <x v="0"/>
    <x v="0"/>
    <x v="155"/>
    <x v="122"/>
    <x v="122"/>
    <x v="122"/>
    <x v="122"/>
    <x v="5"/>
  </r>
  <r>
    <x v="556"/>
    <x v="417"/>
    <x v="0"/>
    <x v="0"/>
    <x v="0"/>
    <x v="0"/>
    <x v="1"/>
    <x v="6"/>
    <x v="0"/>
    <x v="0"/>
    <x v="5"/>
    <x v="0"/>
    <x v="32"/>
    <x v="1"/>
    <x v="0"/>
    <x v="0"/>
    <x v="0"/>
    <x v="556"/>
    <x v="1"/>
    <x v="9"/>
    <x v="9"/>
    <x v="0"/>
    <x v="0"/>
    <x v="3"/>
    <x v="65"/>
    <x v="0"/>
    <x v="23"/>
    <x v="602"/>
    <x v="4"/>
    <x v="37"/>
    <x v="1"/>
    <x v="7"/>
    <x v="4"/>
    <x v="1"/>
    <x v="238"/>
    <x v="7"/>
    <x v="23"/>
    <x v="33"/>
    <x v="33"/>
    <x v="0"/>
    <x v="33"/>
    <x v="40"/>
    <x v="37"/>
    <x v="50"/>
    <x v="37"/>
    <x v="40"/>
    <x v="40"/>
    <x v="40"/>
    <x v="40"/>
    <x v="40"/>
    <x v="40"/>
    <x v="40"/>
    <x v="33"/>
    <x v="49"/>
    <x v="49"/>
    <x v="0"/>
    <x v="6"/>
    <x v="0"/>
    <x v="61"/>
    <x v="33"/>
    <x v="33"/>
    <x v="33"/>
    <x v="33"/>
    <x v="5"/>
  </r>
  <r>
    <x v="557"/>
    <x v="417"/>
    <x v="0"/>
    <x v="0"/>
    <x v="0"/>
    <x v="0"/>
    <x v="1"/>
    <x v="6"/>
    <x v="0"/>
    <x v="0"/>
    <x v="5"/>
    <x v="0"/>
    <x v="90"/>
    <x v="1"/>
    <x v="0"/>
    <x v="0"/>
    <x v="0"/>
    <x v="557"/>
    <x v="1"/>
    <x v="9"/>
    <x v="9"/>
    <x v="0"/>
    <x v="0"/>
    <x v="3"/>
    <x v="65"/>
    <x v="0"/>
    <x v="23"/>
    <x v="601"/>
    <x v="4"/>
    <x v="37"/>
    <x v="1"/>
    <x v="7"/>
    <x v="4"/>
    <x v="1"/>
    <x v="621"/>
    <x v="7"/>
    <x v="23"/>
    <x v="91"/>
    <x v="91"/>
    <x v="0"/>
    <x v="91"/>
    <x v="133"/>
    <x v="122"/>
    <x v="147"/>
    <x v="122"/>
    <x v="133"/>
    <x v="133"/>
    <x v="133"/>
    <x v="133"/>
    <x v="133"/>
    <x v="133"/>
    <x v="133"/>
    <x v="91"/>
    <x v="148"/>
    <x v="148"/>
    <x v="0"/>
    <x v="27"/>
    <x v="0"/>
    <x v="148"/>
    <x v="91"/>
    <x v="91"/>
    <x v="91"/>
    <x v="91"/>
    <x v="5"/>
  </r>
  <r>
    <x v="558"/>
    <x v="419"/>
    <x v="0"/>
    <x v="0"/>
    <x v="0"/>
    <x v="0"/>
    <x v="1"/>
    <x v="6"/>
    <x v="0"/>
    <x v="0"/>
    <x v="5"/>
    <x v="0"/>
    <x v="92"/>
    <x v="1"/>
    <x v="0"/>
    <x v="0"/>
    <x v="0"/>
    <x v="558"/>
    <x v="1"/>
    <x v="9"/>
    <x v="9"/>
    <x v="0"/>
    <x v="0"/>
    <x v="3"/>
    <x v="65"/>
    <x v="0"/>
    <x v="23"/>
    <x v="596"/>
    <x v="4"/>
    <x v="37"/>
    <x v="1"/>
    <x v="7"/>
    <x v="4"/>
    <x v="1"/>
    <x v="626"/>
    <x v="7"/>
    <x v="23"/>
    <x v="93"/>
    <x v="93"/>
    <x v="0"/>
    <x v="93"/>
    <x v="134"/>
    <x v="124"/>
    <x v="148"/>
    <x v="124"/>
    <x v="134"/>
    <x v="134"/>
    <x v="134"/>
    <x v="134"/>
    <x v="134"/>
    <x v="134"/>
    <x v="134"/>
    <x v="93"/>
    <x v="150"/>
    <x v="150"/>
    <x v="0"/>
    <x v="28"/>
    <x v="0"/>
    <x v="152"/>
    <x v="93"/>
    <x v="93"/>
    <x v="93"/>
    <x v="93"/>
    <x v="5"/>
  </r>
  <r>
    <x v="559"/>
    <x v="368"/>
    <x v="0"/>
    <x v="0"/>
    <x v="0"/>
    <x v="0"/>
    <x v="0"/>
    <x v="0"/>
    <x v="0"/>
    <x v="0"/>
    <x v="5"/>
    <x v="0"/>
    <x v="954"/>
    <x v="1"/>
    <x v="0"/>
    <x v="0"/>
    <x v="0"/>
    <x v="559"/>
    <x v="2"/>
    <x v="10"/>
    <x v="10"/>
    <x v="0"/>
    <x v="0"/>
    <x v="3"/>
    <x v="59"/>
    <x v="0"/>
    <x v="26"/>
    <x v="574"/>
    <x v="9"/>
    <x v="52"/>
    <x v="1"/>
    <x v="1"/>
    <x v="1"/>
    <x v="1"/>
    <x v="706"/>
    <x v="1"/>
    <x v="26"/>
    <x v="954"/>
    <x v="954"/>
    <x v="1"/>
    <x v="954"/>
    <x v="964"/>
    <x v="964"/>
    <x v="949"/>
    <x v="964"/>
    <x v="964"/>
    <x v="964"/>
    <x v="964"/>
    <x v="964"/>
    <x v="964"/>
    <x v="964"/>
    <x v="964"/>
    <x v="954"/>
    <x v="948"/>
    <x v="948"/>
    <x v="889"/>
    <x v="0"/>
    <x v="0"/>
    <x v="1017"/>
    <x v="954"/>
    <x v="954"/>
    <x v="954"/>
    <x v="954"/>
    <x v="5"/>
  </r>
  <r>
    <x v="560"/>
    <x v="368"/>
    <x v="0"/>
    <x v="0"/>
    <x v="0"/>
    <x v="0"/>
    <x v="1"/>
    <x v="5"/>
    <x v="0"/>
    <x v="0"/>
    <x v="5"/>
    <x v="0"/>
    <x v="820"/>
    <x v="1"/>
    <x v="0"/>
    <x v="0"/>
    <x v="0"/>
    <x v="560"/>
    <x v="1"/>
    <x v="10"/>
    <x v="10"/>
    <x v="0"/>
    <x v="0"/>
    <x v="3"/>
    <x v="59"/>
    <x v="0"/>
    <x v="26"/>
    <x v="575"/>
    <x v="3"/>
    <x v="29"/>
    <x v="1"/>
    <x v="6"/>
    <x v="3"/>
    <x v="1"/>
    <x v="1341"/>
    <x v="6"/>
    <x v="26"/>
    <x v="820"/>
    <x v="820"/>
    <x v="1"/>
    <x v="820"/>
    <x v="975"/>
    <x v="917"/>
    <x v="1043"/>
    <x v="917"/>
    <x v="975"/>
    <x v="975"/>
    <x v="975"/>
    <x v="975"/>
    <x v="975"/>
    <x v="975"/>
    <x v="975"/>
    <x v="820"/>
    <x v="1051"/>
    <x v="1051"/>
    <x v="0"/>
    <x v="95"/>
    <x v="0"/>
    <x v="1105"/>
    <x v="820"/>
    <x v="820"/>
    <x v="820"/>
    <x v="820"/>
    <x v="5"/>
  </r>
  <r>
    <x v="561"/>
    <x v="376"/>
    <x v="0"/>
    <x v="0"/>
    <x v="0"/>
    <x v="0"/>
    <x v="0"/>
    <x v="0"/>
    <x v="0"/>
    <x v="0"/>
    <x v="5"/>
    <x v="0"/>
    <x v="404"/>
    <x v="1"/>
    <x v="0"/>
    <x v="0"/>
    <x v="0"/>
    <x v="561"/>
    <x v="2"/>
    <x v="10"/>
    <x v="10"/>
    <x v="0"/>
    <x v="0"/>
    <x v="3"/>
    <x v="61"/>
    <x v="0"/>
    <x v="25"/>
    <x v="550"/>
    <x v="9"/>
    <x v="52"/>
    <x v="1"/>
    <x v="1"/>
    <x v="1"/>
    <x v="1"/>
    <x v="278"/>
    <x v="1"/>
    <x v="25"/>
    <x v="404"/>
    <x v="404"/>
    <x v="0"/>
    <x v="404"/>
    <x v="401"/>
    <x v="400"/>
    <x v="380"/>
    <x v="400"/>
    <x v="401"/>
    <x v="401"/>
    <x v="401"/>
    <x v="401"/>
    <x v="401"/>
    <x v="401"/>
    <x v="401"/>
    <x v="404"/>
    <x v="379"/>
    <x v="379"/>
    <x v="360"/>
    <x v="0"/>
    <x v="0"/>
    <x v="473"/>
    <x v="404"/>
    <x v="404"/>
    <x v="404"/>
    <x v="404"/>
    <x v="5"/>
  </r>
  <r>
    <x v="562"/>
    <x v="372"/>
    <x v="0"/>
    <x v="0"/>
    <x v="0"/>
    <x v="0"/>
    <x v="0"/>
    <x v="0"/>
    <x v="0"/>
    <x v="0"/>
    <x v="5"/>
    <x v="0"/>
    <x v="847"/>
    <x v="1"/>
    <x v="0"/>
    <x v="0"/>
    <x v="0"/>
    <x v="562"/>
    <x v="2"/>
    <x v="10"/>
    <x v="10"/>
    <x v="0"/>
    <x v="0"/>
    <x v="3"/>
    <x v="61"/>
    <x v="0"/>
    <x v="25"/>
    <x v="561"/>
    <x v="9"/>
    <x v="52"/>
    <x v="1"/>
    <x v="1"/>
    <x v="1"/>
    <x v="1"/>
    <x v="592"/>
    <x v="1"/>
    <x v="25"/>
    <x v="847"/>
    <x v="847"/>
    <x v="1"/>
    <x v="847"/>
    <x v="858"/>
    <x v="858"/>
    <x v="831"/>
    <x v="858"/>
    <x v="858"/>
    <x v="858"/>
    <x v="858"/>
    <x v="858"/>
    <x v="858"/>
    <x v="858"/>
    <x v="858"/>
    <x v="847"/>
    <x v="830"/>
    <x v="830"/>
    <x v="787"/>
    <x v="0"/>
    <x v="0"/>
    <x v="882"/>
    <x v="847"/>
    <x v="847"/>
    <x v="847"/>
    <x v="847"/>
    <x v="5"/>
  </r>
  <r>
    <x v="563"/>
    <x v="384"/>
    <x v="0"/>
    <x v="0"/>
    <x v="0"/>
    <x v="0"/>
    <x v="0"/>
    <x v="0"/>
    <x v="0"/>
    <x v="0"/>
    <x v="5"/>
    <x v="0"/>
    <x v="762"/>
    <x v="1"/>
    <x v="0"/>
    <x v="0"/>
    <x v="0"/>
    <x v="563"/>
    <x v="2"/>
    <x v="10"/>
    <x v="10"/>
    <x v="0"/>
    <x v="0"/>
    <x v="3"/>
    <x v="58"/>
    <x v="0"/>
    <x v="25"/>
    <x v="614"/>
    <x v="9"/>
    <x v="52"/>
    <x v="1"/>
    <x v="1"/>
    <x v="1"/>
    <x v="1"/>
    <x v="508"/>
    <x v="1"/>
    <x v="25"/>
    <x v="762"/>
    <x v="762"/>
    <x v="1"/>
    <x v="762"/>
    <x v="748"/>
    <x v="757"/>
    <x v="709"/>
    <x v="757"/>
    <x v="748"/>
    <x v="748"/>
    <x v="748"/>
    <x v="748"/>
    <x v="748"/>
    <x v="748"/>
    <x v="748"/>
    <x v="762"/>
    <x v="711"/>
    <x v="711"/>
    <x v="700"/>
    <x v="0"/>
    <x v="0"/>
    <x v="776"/>
    <x v="762"/>
    <x v="762"/>
    <x v="762"/>
    <x v="762"/>
    <x v="5"/>
  </r>
  <r>
    <x v="564"/>
    <x v="379"/>
    <x v="0"/>
    <x v="0"/>
    <x v="0"/>
    <x v="0"/>
    <x v="0"/>
    <x v="0"/>
    <x v="0"/>
    <x v="0"/>
    <x v="5"/>
    <x v="0"/>
    <x v="863"/>
    <x v="1"/>
    <x v="0"/>
    <x v="0"/>
    <x v="0"/>
    <x v="564"/>
    <x v="2"/>
    <x v="10"/>
    <x v="10"/>
    <x v="0"/>
    <x v="0"/>
    <x v="3"/>
    <x v="62"/>
    <x v="0"/>
    <x v="27"/>
    <x v="618"/>
    <x v="9"/>
    <x v="52"/>
    <x v="1"/>
    <x v="1"/>
    <x v="1"/>
    <x v="1"/>
    <x v="609"/>
    <x v="1"/>
    <x v="27"/>
    <x v="863"/>
    <x v="863"/>
    <x v="1"/>
    <x v="863"/>
    <x v="881"/>
    <x v="871"/>
    <x v="855"/>
    <x v="871"/>
    <x v="881"/>
    <x v="881"/>
    <x v="881"/>
    <x v="881"/>
    <x v="881"/>
    <x v="881"/>
    <x v="881"/>
    <x v="863"/>
    <x v="855"/>
    <x v="855"/>
    <x v="800"/>
    <x v="0"/>
    <x v="0"/>
    <x v="934"/>
    <x v="863"/>
    <x v="863"/>
    <x v="863"/>
    <x v="863"/>
    <x v="5"/>
  </r>
  <r>
    <x v="565"/>
    <x v="404"/>
    <x v="0"/>
    <x v="0"/>
    <x v="0"/>
    <x v="0"/>
    <x v="0"/>
    <x v="0"/>
    <x v="0"/>
    <x v="0"/>
    <x v="5"/>
    <x v="0"/>
    <x v="802"/>
    <x v="1"/>
    <x v="0"/>
    <x v="0"/>
    <x v="0"/>
    <x v="565"/>
    <x v="2"/>
    <x v="10"/>
    <x v="10"/>
    <x v="0"/>
    <x v="0"/>
    <x v="3"/>
    <x v="58"/>
    <x v="0"/>
    <x v="22"/>
    <x v="619"/>
    <x v="9"/>
    <x v="52"/>
    <x v="1"/>
    <x v="1"/>
    <x v="1"/>
    <x v="1"/>
    <x v="541"/>
    <x v="1"/>
    <x v="22"/>
    <x v="802"/>
    <x v="802"/>
    <x v="1"/>
    <x v="802"/>
    <x v="802"/>
    <x v="802"/>
    <x v="759"/>
    <x v="802"/>
    <x v="802"/>
    <x v="802"/>
    <x v="802"/>
    <x v="802"/>
    <x v="802"/>
    <x v="802"/>
    <x v="802"/>
    <x v="802"/>
    <x v="758"/>
    <x v="758"/>
    <x v="741"/>
    <x v="0"/>
    <x v="0"/>
    <x v="759"/>
    <x v="802"/>
    <x v="802"/>
    <x v="802"/>
    <x v="802"/>
    <x v="5"/>
  </r>
  <r>
    <x v="566"/>
    <x v="420"/>
    <x v="0"/>
    <x v="0"/>
    <x v="0"/>
    <x v="0"/>
    <x v="0"/>
    <x v="0"/>
    <x v="0"/>
    <x v="0"/>
    <x v="5"/>
    <x v="0"/>
    <x v="1337"/>
    <x v="1"/>
    <x v="0"/>
    <x v="0"/>
    <x v="0"/>
    <x v="566"/>
    <x v="2"/>
    <x v="10"/>
    <x v="10"/>
    <x v="0"/>
    <x v="0"/>
    <x v="3"/>
    <x v="62"/>
    <x v="0"/>
    <x v="20"/>
    <x v="620"/>
    <x v="9"/>
    <x v="52"/>
    <x v="1"/>
    <x v="1"/>
    <x v="1"/>
    <x v="1"/>
    <x v="1168"/>
    <x v="1"/>
    <x v="20"/>
    <x v="1335"/>
    <x v="1335"/>
    <x v="3"/>
    <x v="1335"/>
    <x v="1363"/>
    <x v="1354"/>
    <x v="1353"/>
    <x v="1354"/>
    <x v="1363"/>
    <x v="1363"/>
    <x v="1363"/>
    <x v="1363"/>
    <x v="1363"/>
    <x v="1363"/>
    <x v="1363"/>
    <x v="1335"/>
    <x v="1352"/>
    <x v="1352"/>
    <x v="1251"/>
    <x v="0"/>
    <x v="0"/>
    <x v="1353"/>
    <x v="1335"/>
    <x v="1335"/>
    <x v="1335"/>
    <x v="1335"/>
    <x v="5"/>
  </r>
  <r>
    <x v="567"/>
    <x v="408"/>
    <x v="0"/>
    <x v="0"/>
    <x v="0"/>
    <x v="0"/>
    <x v="0"/>
    <x v="0"/>
    <x v="0"/>
    <x v="0"/>
    <x v="5"/>
    <x v="0"/>
    <x v="859"/>
    <x v="1"/>
    <x v="0"/>
    <x v="0"/>
    <x v="0"/>
    <x v="567"/>
    <x v="2"/>
    <x v="10"/>
    <x v="10"/>
    <x v="0"/>
    <x v="0"/>
    <x v="3"/>
    <x v="56"/>
    <x v="0"/>
    <x v="26"/>
    <x v="612"/>
    <x v="9"/>
    <x v="52"/>
    <x v="1"/>
    <x v="1"/>
    <x v="1"/>
    <x v="1"/>
    <x v="604"/>
    <x v="1"/>
    <x v="26"/>
    <x v="859"/>
    <x v="859"/>
    <x v="1"/>
    <x v="859"/>
    <x v="870"/>
    <x v="868"/>
    <x v="844"/>
    <x v="868"/>
    <x v="870"/>
    <x v="870"/>
    <x v="870"/>
    <x v="870"/>
    <x v="870"/>
    <x v="870"/>
    <x v="870"/>
    <x v="859"/>
    <x v="843"/>
    <x v="843"/>
    <x v="795"/>
    <x v="0"/>
    <x v="0"/>
    <x v="908"/>
    <x v="859"/>
    <x v="859"/>
    <x v="859"/>
    <x v="859"/>
    <x v="5"/>
  </r>
  <r>
    <x v="568"/>
    <x v="390"/>
    <x v="0"/>
    <x v="0"/>
    <x v="0"/>
    <x v="0"/>
    <x v="0"/>
    <x v="0"/>
    <x v="0"/>
    <x v="0"/>
    <x v="5"/>
    <x v="0"/>
    <x v="298"/>
    <x v="1"/>
    <x v="0"/>
    <x v="0"/>
    <x v="0"/>
    <x v="568"/>
    <x v="2"/>
    <x v="10"/>
    <x v="10"/>
    <x v="0"/>
    <x v="0"/>
    <x v="3"/>
    <x v="62"/>
    <x v="0"/>
    <x v="24"/>
    <x v="617"/>
    <x v="9"/>
    <x v="52"/>
    <x v="1"/>
    <x v="1"/>
    <x v="1"/>
    <x v="1"/>
    <x v="201"/>
    <x v="1"/>
    <x v="24"/>
    <x v="298"/>
    <x v="298"/>
    <x v="0"/>
    <x v="298"/>
    <x v="297"/>
    <x v="301"/>
    <x v="294"/>
    <x v="301"/>
    <x v="297"/>
    <x v="297"/>
    <x v="297"/>
    <x v="297"/>
    <x v="297"/>
    <x v="297"/>
    <x v="297"/>
    <x v="298"/>
    <x v="295"/>
    <x v="295"/>
    <x v="259"/>
    <x v="0"/>
    <x v="0"/>
    <x v="343"/>
    <x v="298"/>
    <x v="298"/>
    <x v="298"/>
    <x v="298"/>
    <x v="5"/>
  </r>
  <r>
    <x v="569"/>
    <x v="392"/>
    <x v="0"/>
    <x v="0"/>
    <x v="0"/>
    <x v="0"/>
    <x v="0"/>
    <x v="0"/>
    <x v="0"/>
    <x v="0"/>
    <x v="5"/>
    <x v="0"/>
    <x v="431"/>
    <x v="1"/>
    <x v="0"/>
    <x v="0"/>
    <x v="0"/>
    <x v="569"/>
    <x v="2"/>
    <x v="10"/>
    <x v="10"/>
    <x v="0"/>
    <x v="0"/>
    <x v="3"/>
    <x v="58"/>
    <x v="0"/>
    <x v="26"/>
    <x v="610"/>
    <x v="9"/>
    <x v="52"/>
    <x v="1"/>
    <x v="1"/>
    <x v="1"/>
    <x v="1"/>
    <x v="293"/>
    <x v="1"/>
    <x v="26"/>
    <x v="431"/>
    <x v="431"/>
    <x v="0"/>
    <x v="431"/>
    <x v="419"/>
    <x v="422"/>
    <x v="406"/>
    <x v="422"/>
    <x v="419"/>
    <x v="419"/>
    <x v="419"/>
    <x v="419"/>
    <x v="419"/>
    <x v="419"/>
    <x v="419"/>
    <x v="431"/>
    <x v="405"/>
    <x v="405"/>
    <x v="383"/>
    <x v="0"/>
    <x v="0"/>
    <x v="520"/>
    <x v="431"/>
    <x v="431"/>
    <x v="431"/>
    <x v="431"/>
    <x v="5"/>
  </r>
  <r>
    <x v="570"/>
    <x v="392"/>
    <x v="0"/>
    <x v="0"/>
    <x v="0"/>
    <x v="0"/>
    <x v="0"/>
    <x v="0"/>
    <x v="0"/>
    <x v="0"/>
    <x v="5"/>
    <x v="0"/>
    <x v="881"/>
    <x v="1"/>
    <x v="0"/>
    <x v="0"/>
    <x v="0"/>
    <x v="570"/>
    <x v="2"/>
    <x v="10"/>
    <x v="10"/>
    <x v="0"/>
    <x v="0"/>
    <x v="3"/>
    <x v="58"/>
    <x v="0"/>
    <x v="26"/>
    <x v="611"/>
    <x v="9"/>
    <x v="52"/>
    <x v="1"/>
    <x v="1"/>
    <x v="1"/>
    <x v="1"/>
    <x v="625"/>
    <x v="1"/>
    <x v="26"/>
    <x v="881"/>
    <x v="881"/>
    <x v="1"/>
    <x v="881"/>
    <x v="893"/>
    <x v="886"/>
    <x v="875"/>
    <x v="886"/>
    <x v="893"/>
    <x v="893"/>
    <x v="893"/>
    <x v="893"/>
    <x v="893"/>
    <x v="893"/>
    <x v="893"/>
    <x v="881"/>
    <x v="875"/>
    <x v="875"/>
    <x v="815"/>
    <x v="0"/>
    <x v="0"/>
    <x v="939"/>
    <x v="881"/>
    <x v="881"/>
    <x v="881"/>
    <x v="881"/>
    <x v="5"/>
  </r>
  <r>
    <x v="571"/>
    <x v="408"/>
    <x v="0"/>
    <x v="0"/>
    <x v="0"/>
    <x v="0"/>
    <x v="0"/>
    <x v="0"/>
    <x v="0"/>
    <x v="0"/>
    <x v="5"/>
    <x v="0"/>
    <x v="768"/>
    <x v="1"/>
    <x v="0"/>
    <x v="0"/>
    <x v="0"/>
    <x v="571"/>
    <x v="2"/>
    <x v="10"/>
    <x v="10"/>
    <x v="0"/>
    <x v="0"/>
    <x v="3"/>
    <x v="56"/>
    <x v="0"/>
    <x v="26"/>
    <x v="613"/>
    <x v="9"/>
    <x v="52"/>
    <x v="1"/>
    <x v="1"/>
    <x v="1"/>
    <x v="1"/>
    <x v="513"/>
    <x v="1"/>
    <x v="26"/>
    <x v="768"/>
    <x v="768"/>
    <x v="1"/>
    <x v="768"/>
    <x v="754"/>
    <x v="763"/>
    <x v="715"/>
    <x v="763"/>
    <x v="754"/>
    <x v="754"/>
    <x v="754"/>
    <x v="754"/>
    <x v="754"/>
    <x v="754"/>
    <x v="754"/>
    <x v="768"/>
    <x v="718"/>
    <x v="718"/>
    <x v="706"/>
    <x v="0"/>
    <x v="0"/>
    <x v="795"/>
    <x v="768"/>
    <x v="768"/>
    <x v="768"/>
    <x v="768"/>
    <x v="5"/>
  </r>
  <r>
    <x v="572"/>
    <x v="389"/>
    <x v="0"/>
    <x v="0"/>
    <x v="0"/>
    <x v="0"/>
    <x v="1"/>
    <x v="5"/>
    <x v="0"/>
    <x v="0"/>
    <x v="5"/>
    <x v="0"/>
    <x v="915"/>
    <x v="1"/>
    <x v="0"/>
    <x v="0"/>
    <x v="0"/>
    <x v="572"/>
    <x v="1"/>
    <x v="10"/>
    <x v="10"/>
    <x v="0"/>
    <x v="0"/>
    <x v="3"/>
    <x v="59"/>
    <x v="0"/>
    <x v="21"/>
    <x v="621"/>
    <x v="3"/>
    <x v="29"/>
    <x v="1"/>
    <x v="6"/>
    <x v="3"/>
    <x v="1"/>
    <x v="1356"/>
    <x v="6"/>
    <x v="21"/>
    <x v="915"/>
    <x v="915"/>
    <x v="1"/>
    <x v="915"/>
    <x v="1073"/>
    <x v="1017"/>
    <x v="1132"/>
    <x v="1017"/>
    <x v="1073"/>
    <x v="1073"/>
    <x v="1073"/>
    <x v="1073"/>
    <x v="1073"/>
    <x v="1073"/>
    <x v="1073"/>
    <x v="915"/>
    <x v="1137"/>
    <x v="1137"/>
    <x v="0"/>
    <x v="100"/>
    <x v="0"/>
    <x v="1143"/>
    <x v="915"/>
    <x v="915"/>
    <x v="915"/>
    <x v="915"/>
    <x v="5"/>
  </r>
  <r>
    <x v="573"/>
    <x v="407"/>
    <x v="0"/>
    <x v="0"/>
    <x v="0"/>
    <x v="0"/>
    <x v="0"/>
    <x v="0"/>
    <x v="0"/>
    <x v="0"/>
    <x v="5"/>
    <x v="0"/>
    <x v="418"/>
    <x v="1"/>
    <x v="0"/>
    <x v="0"/>
    <x v="0"/>
    <x v="573"/>
    <x v="2"/>
    <x v="10"/>
    <x v="10"/>
    <x v="0"/>
    <x v="0"/>
    <x v="3"/>
    <x v="57"/>
    <x v="0"/>
    <x v="26"/>
    <x v="608"/>
    <x v="9"/>
    <x v="52"/>
    <x v="1"/>
    <x v="1"/>
    <x v="1"/>
    <x v="1"/>
    <x v="286"/>
    <x v="1"/>
    <x v="26"/>
    <x v="418"/>
    <x v="418"/>
    <x v="0"/>
    <x v="418"/>
    <x v="411"/>
    <x v="411"/>
    <x v="392"/>
    <x v="411"/>
    <x v="411"/>
    <x v="411"/>
    <x v="411"/>
    <x v="411"/>
    <x v="411"/>
    <x v="411"/>
    <x v="411"/>
    <x v="418"/>
    <x v="394"/>
    <x v="394"/>
    <x v="372"/>
    <x v="0"/>
    <x v="0"/>
    <x v="500"/>
    <x v="418"/>
    <x v="418"/>
    <x v="418"/>
    <x v="418"/>
    <x v="5"/>
  </r>
  <r>
    <x v="574"/>
    <x v="416"/>
    <x v="0"/>
    <x v="0"/>
    <x v="0"/>
    <x v="0"/>
    <x v="0"/>
    <x v="0"/>
    <x v="0"/>
    <x v="0"/>
    <x v="5"/>
    <x v="0"/>
    <x v="744"/>
    <x v="1"/>
    <x v="0"/>
    <x v="0"/>
    <x v="0"/>
    <x v="574"/>
    <x v="2"/>
    <x v="10"/>
    <x v="10"/>
    <x v="0"/>
    <x v="0"/>
    <x v="3"/>
    <x v="56"/>
    <x v="0"/>
    <x v="16"/>
    <x v="606"/>
    <x v="9"/>
    <x v="52"/>
    <x v="1"/>
    <x v="1"/>
    <x v="1"/>
    <x v="1"/>
    <x v="493"/>
    <x v="1"/>
    <x v="16"/>
    <x v="744"/>
    <x v="744"/>
    <x v="1"/>
    <x v="744"/>
    <x v="718"/>
    <x v="738"/>
    <x v="681"/>
    <x v="738"/>
    <x v="718"/>
    <x v="718"/>
    <x v="718"/>
    <x v="718"/>
    <x v="718"/>
    <x v="718"/>
    <x v="718"/>
    <x v="744"/>
    <x v="682"/>
    <x v="682"/>
    <x v="682"/>
    <x v="0"/>
    <x v="0"/>
    <x v="580"/>
    <x v="744"/>
    <x v="744"/>
    <x v="744"/>
    <x v="744"/>
    <x v="5"/>
  </r>
  <r>
    <x v="575"/>
    <x v="407"/>
    <x v="0"/>
    <x v="0"/>
    <x v="0"/>
    <x v="0"/>
    <x v="0"/>
    <x v="0"/>
    <x v="0"/>
    <x v="0"/>
    <x v="5"/>
    <x v="0"/>
    <x v="944"/>
    <x v="1"/>
    <x v="0"/>
    <x v="0"/>
    <x v="0"/>
    <x v="575"/>
    <x v="2"/>
    <x v="10"/>
    <x v="10"/>
    <x v="0"/>
    <x v="0"/>
    <x v="3"/>
    <x v="57"/>
    <x v="0"/>
    <x v="26"/>
    <x v="609"/>
    <x v="9"/>
    <x v="52"/>
    <x v="1"/>
    <x v="1"/>
    <x v="1"/>
    <x v="1"/>
    <x v="697"/>
    <x v="1"/>
    <x v="26"/>
    <x v="944"/>
    <x v="944"/>
    <x v="1"/>
    <x v="944"/>
    <x v="953"/>
    <x v="952"/>
    <x v="941"/>
    <x v="952"/>
    <x v="953"/>
    <x v="953"/>
    <x v="953"/>
    <x v="953"/>
    <x v="953"/>
    <x v="953"/>
    <x v="953"/>
    <x v="944"/>
    <x v="940"/>
    <x v="940"/>
    <x v="881"/>
    <x v="0"/>
    <x v="0"/>
    <x v="1009"/>
    <x v="944"/>
    <x v="944"/>
    <x v="944"/>
    <x v="944"/>
    <x v="5"/>
  </r>
  <r>
    <x v="576"/>
    <x v="409"/>
    <x v="0"/>
    <x v="0"/>
    <x v="0"/>
    <x v="0"/>
    <x v="0"/>
    <x v="1"/>
    <x v="0"/>
    <x v="0"/>
    <x v="5"/>
    <x v="0"/>
    <x v="1215"/>
    <x v="1"/>
    <x v="0"/>
    <x v="0"/>
    <x v="0"/>
    <x v="576"/>
    <x v="1"/>
    <x v="10"/>
    <x v="10"/>
    <x v="0"/>
    <x v="0"/>
    <x v="3"/>
    <x v="58"/>
    <x v="0"/>
    <x v="21"/>
    <x v="615"/>
    <x v="10"/>
    <x v="63"/>
    <x v="1"/>
    <x v="2"/>
    <x v="2"/>
    <x v="1"/>
    <x v="1226"/>
    <x v="2"/>
    <x v="21"/>
    <x v="1213"/>
    <x v="1213"/>
    <x v="2"/>
    <x v="1213"/>
    <x v="1278"/>
    <x v="1265"/>
    <x v="1290"/>
    <x v="1265"/>
    <x v="1278"/>
    <x v="1278"/>
    <x v="1278"/>
    <x v="1278"/>
    <x v="1278"/>
    <x v="1278"/>
    <x v="1278"/>
    <x v="1213"/>
    <x v="1288"/>
    <x v="1288"/>
    <x v="1149"/>
    <x v="0"/>
    <x v="0"/>
    <x v="1282"/>
    <x v="1213"/>
    <x v="1213"/>
    <x v="1213"/>
    <x v="1213"/>
    <x v="5"/>
  </r>
  <r>
    <x v="577"/>
    <x v="416"/>
    <x v="0"/>
    <x v="0"/>
    <x v="0"/>
    <x v="0"/>
    <x v="0"/>
    <x v="0"/>
    <x v="0"/>
    <x v="0"/>
    <x v="5"/>
    <x v="0"/>
    <x v="984"/>
    <x v="1"/>
    <x v="0"/>
    <x v="0"/>
    <x v="0"/>
    <x v="577"/>
    <x v="2"/>
    <x v="10"/>
    <x v="10"/>
    <x v="0"/>
    <x v="0"/>
    <x v="3"/>
    <x v="56"/>
    <x v="0"/>
    <x v="16"/>
    <x v="607"/>
    <x v="9"/>
    <x v="52"/>
    <x v="1"/>
    <x v="1"/>
    <x v="1"/>
    <x v="1"/>
    <x v="747"/>
    <x v="1"/>
    <x v="16"/>
    <x v="984"/>
    <x v="984"/>
    <x v="1"/>
    <x v="984"/>
    <x v="1001"/>
    <x v="995"/>
    <x v="982"/>
    <x v="995"/>
    <x v="1001"/>
    <x v="1001"/>
    <x v="1001"/>
    <x v="1001"/>
    <x v="1001"/>
    <x v="1001"/>
    <x v="1001"/>
    <x v="984"/>
    <x v="982"/>
    <x v="982"/>
    <x v="916"/>
    <x v="0"/>
    <x v="0"/>
    <x v="896"/>
    <x v="984"/>
    <x v="984"/>
    <x v="984"/>
    <x v="984"/>
    <x v="5"/>
  </r>
  <r>
    <x v="578"/>
    <x v="446"/>
    <x v="0"/>
    <x v="0"/>
    <x v="0"/>
    <x v="0"/>
    <x v="1"/>
    <x v="5"/>
    <x v="0"/>
    <x v="0"/>
    <x v="5"/>
    <x v="0"/>
    <x v="712"/>
    <x v="1"/>
    <x v="0"/>
    <x v="0"/>
    <x v="0"/>
    <x v="578"/>
    <x v="1"/>
    <x v="10"/>
    <x v="10"/>
    <x v="0"/>
    <x v="0"/>
    <x v="3"/>
    <x v="58"/>
    <x v="0"/>
    <x v="19"/>
    <x v="627"/>
    <x v="3"/>
    <x v="29"/>
    <x v="1"/>
    <x v="6"/>
    <x v="3"/>
    <x v="1"/>
    <x v="1320"/>
    <x v="6"/>
    <x v="19"/>
    <x v="712"/>
    <x v="712"/>
    <x v="1"/>
    <x v="712"/>
    <x v="874"/>
    <x v="818"/>
    <x v="933"/>
    <x v="818"/>
    <x v="874"/>
    <x v="874"/>
    <x v="874"/>
    <x v="874"/>
    <x v="874"/>
    <x v="874"/>
    <x v="874"/>
    <x v="712"/>
    <x v="936"/>
    <x v="936"/>
    <x v="0"/>
    <x v="89"/>
    <x v="0"/>
    <x v="904"/>
    <x v="712"/>
    <x v="712"/>
    <x v="712"/>
    <x v="712"/>
    <x v="5"/>
  </r>
  <r>
    <x v="579"/>
    <x v="458"/>
    <x v="0"/>
    <x v="0"/>
    <x v="0"/>
    <x v="0"/>
    <x v="0"/>
    <x v="1"/>
    <x v="0"/>
    <x v="0"/>
    <x v="5"/>
    <x v="0"/>
    <x v="1199"/>
    <x v="1"/>
    <x v="0"/>
    <x v="0"/>
    <x v="0"/>
    <x v="579"/>
    <x v="1"/>
    <x v="10"/>
    <x v="10"/>
    <x v="0"/>
    <x v="0"/>
    <x v="3"/>
    <x v="116"/>
    <x v="0"/>
    <x v="19"/>
    <x v="625"/>
    <x v="10"/>
    <x v="63"/>
    <x v="1"/>
    <x v="2"/>
    <x v="2"/>
    <x v="1"/>
    <x v="1205"/>
    <x v="2"/>
    <x v="19"/>
    <x v="1197"/>
    <x v="1197"/>
    <x v="2"/>
    <x v="1197"/>
    <x v="1265"/>
    <x v="1251"/>
    <x v="1265"/>
    <x v="1251"/>
    <x v="1265"/>
    <x v="1265"/>
    <x v="1265"/>
    <x v="1265"/>
    <x v="1265"/>
    <x v="1265"/>
    <x v="1265"/>
    <x v="1197"/>
    <x v="1263"/>
    <x v="1263"/>
    <x v="1130"/>
    <x v="0"/>
    <x v="0"/>
    <x v="1248"/>
    <x v="1197"/>
    <x v="1197"/>
    <x v="1197"/>
    <x v="1197"/>
    <x v="5"/>
  </r>
  <r>
    <x v="580"/>
    <x v="458"/>
    <x v="0"/>
    <x v="0"/>
    <x v="0"/>
    <x v="0"/>
    <x v="1"/>
    <x v="5"/>
    <x v="0"/>
    <x v="0"/>
    <x v="5"/>
    <x v="0"/>
    <x v="423"/>
    <x v="1"/>
    <x v="0"/>
    <x v="0"/>
    <x v="0"/>
    <x v="580"/>
    <x v="1"/>
    <x v="10"/>
    <x v="10"/>
    <x v="0"/>
    <x v="0"/>
    <x v="3"/>
    <x v="116"/>
    <x v="0"/>
    <x v="19"/>
    <x v="626"/>
    <x v="3"/>
    <x v="29"/>
    <x v="1"/>
    <x v="6"/>
    <x v="3"/>
    <x v="1"/>
    <x v="1270"/>
    <x v="6"/>
    <x v="19"/>
    <x v="423"/>
    <x v="423"/>
    <x v="0"/>
    <x v="423"/>
    <x v="636"/>
    <x v="534"/>
    <x v="733"/>
    <x v="534"/>
    <x v="636"/>
    <x v="636"/>
    <x v="636"/>
    <x v="636"/>
    <x v="636"/>
    <x v="636"/>
    <x v="636"/>
    <x v="423"/>
    <x v="743"/>
    <x v="743"/>
    <x v="0"/>
    <x v="69"/>
    <x v="0"/>
    <x v="692"/>
    <x v="423"/>
    <x v="423"/>
    <x v="423"/>
    <x v="423"/>
    <x v="5"/>
  </r>
  <r>
    <x v="581"/>
    <x v="468"/>
    <x v="0"/>
    <x v="0"/>
    <x v="0"/>
    <x v="0"/>
    <x v="0"/>
    <x v="1"/>
    <x v="0"/>
    <x v="0"/>
    <x v="5"/>
    <x v="0"/>
    <x v="1194"/>
    <x v="1"/>
    <x v="0"/>
    <x v="0"/>
    <x v="0"/>
    <x v="581"/>
    <x v="1"/>
    <x v="10"/>
    <x v="10"/>
    <x v="0"/>
    <x v="0"/>
    <x v="3"/>
    <x v="56"/>
    <x v="0"/>
    <x v="19"/>
    <x v="623"/>
    <x v="10"/>
    <x v="63"/>
    <x v="1"/>
    <x v="2"/>
    <x v="2"/>
    <x v="1"/>
    <x v="1200"/>
    <x v="2"/>
    <x v="19"/>
    <x v="1192"/>
    <x v="1192"/>
    <x v="2"/>
    <x v="1192"/>
    <x v="1262"/>
    <x v="1246"/>
    <x v="1262"/>
    <x v="1246"/>
    <x v="1262"/>
    <x v="1262"/>
    <x v="1262"/>
    <x v="1262"/>
    <x v="1262"/>
    <x v="1262"/>
    <x v="1262"/>
    <x v="1192"/>
    <x v="1260"/>
    <x v="1260"/>
    <x v="1127"/>
    <x v="0"/>
    <x v="0"/>
    <x v="1241"/>
    <x v="1192"/>
    <x v="1192"/>
    <x v="1192"/>
    <x v="1192"/>
    <x v="5"/>
  </r>
  <r>
    <x v="582"/>
    <x v="468"/>
    <x v="0"/>
    <x v="0"/>
    <x v="0"/>
    <x v="0"/>
    <x v="1"/>
    <x v="5"/>
    <x v="0"/>
    <x v="0"/>
    <x v="5"/>
    <x v="0"/>
    <x v="506"/>
    <x v="1"/>
    <x v="0"/>
    <x v="0"/>
    <x v="0"/>
    <x v="582"/>
    <x v="1"/>
    <x v="10"/>
    <x v="10"/>
    <x v="0"/>
    <x v="0"/>
    <x v="3"/>
    <x v="56"/>
    <x v="0"/>
    <x v="19"/>
    <x v="624"/>
    <x v="3"/>
    <x v="29"/>
    <x v="1"/>
    <x v="6"/>
    <x v="3"/>
    <x v="1"/>
    <x v="1290"/>
    <x v="6"/>
    <x v="19"/>
    <x v="506"/>
    <x v="506"/>
    <x v="0"/>
    <x v="506"/>
    <x v="740"/>
    <x v="660"/>
    <x v="813"/>
    <x v="660"/>
    <x v="740"/>
    <x v="740"/>
    <x v="740"/>
    <x v="740"/>
    <x v="740"/>
    <x v="740"/>
    <x v="740"/>
    <x v="506"/>
    <x v="826"/>
    <x v="826"/>
    <x v="0"/>
    <x v="77"/>
    <x v="0"/>
    <x v="777"/>
    <x v="506"/>
    <x v="506"/>
    <x v="506"/>
    <x v="506"/>
    <x v="5"/>
  </r>
  <r>
    <x v="583"/>
    <x v="468"/>
    <x v="0"/>
    <x v="0"/>
    <x v="0"/>
    <x v="0"/>
    <x v="1"/>
    <x v="5"/>
    <x v="0"/>
    <x v="0"/>
    <x v="5"/>
    <x v="0"/>
    <x v="67"/>
    <x v="1"/>
    <x v="0"/>
    <x v="0"/>
    <x v="0"/>
    <x v="583"/>
    <x v="1"/>
    <x v="10"/>
    <x v="10"/>
    <x v="0"/>
    <x v="0"/>
    <x v="3"/>
    <x v="56"/>
    <x v="0"/>
    <x v="19"/>
    <x v="622"/>
    <x v="3"/>
    <x v="29"/>
    <x v="1"/>
    <x v="6"/>
    <x v="3"/>
    <x v="1"/>
    <x v="376"/>
    <x v="6"/>
    <x v="19"/>
    <x v="68"/>
    <x v="68"/>
    <x v="0"/>
    <x v="68"/>
    <x v="88"/>
    <x v="83"/>
    <x v="100"/>
    <x v="83"/>
    <x v="88"/>
    <x v="88"/>
    <x v="88"/>
    <x v="88"/>
    <x v="88"/>
    <x v="88"/>
    <x v="88"/>
    <x v="68"/>
    <x v="102"/>
    <x v="102"/>
    <x v="0"/>
    <x v="18"/>
    <x v="0"/>
    <x v="103"/>
    <x v="68"/>
    <x v="68"/>
    <x v="68"/>
    <x v="68"/>
    <x v="5"/>
  </r>
  <r>
    <x v="584"/>
    <x v="469"/>
    <x v="0"/>
    <x v="0"/>
    <x v="0"/>
    <x v="0"/>
    <x v="1"/>
    <x v="5"/>
    <x v="0"/>
    <x v="0"/>
    <x v="5"/>
    <x v="0"/>
    <x v="56"/>
    <x v="1"/>
    <x v="0"/>
    <x v="0"/>
    <x v="0"/>
    <x v="584"/>
    <x v="1"/>
    <x v="10"/>
    <x v="10"/>
    <x v="0"/>
    <x v="0"/>
    <x v="3"/>
    <x v="56"/>
    <x v="0"/>
    <x v="19"/>
    <x v="605"/>
    <x v="3"/>
    <x v="29"/>
    <x v="1"/>
    <x v="6"/>
    <x v="3"/>
    <x v="1"/>
    <x v="304"/>
    <x v="6"/>
    <x v="19"/>
    <x v="57"/>
    <x v="57"/>
    <x v="0"/>
    <x v="57"/>
    <x v="73"/>
    <x v="68"/>
    <x v="78"/>
    <x v="68"/>
    <x v="73"/>
    <x v="73"/>
    <x v="73"/>
    <x v="73"/>
    <x v="73"/>
    <x v="73"/>
    <x v="73"/>
    <x v="57"/>
    <x v="79"/>
    <x v="79"/>
    <x v="0"/>
    <x v="16"/>
    <x v="0"/>
    <x v="83"/>
    <x v="57"/>
    <x v="57"/>
    <x v="57"/>
    <x v="57"/>
    <x v="5"/>
  </r>
  <r>
    <x v="585"/>
    <x v="374"/>
    <x v="0"/>
    <x v="0"/>
    <x v="0"/>
    <x v="0"/>
    <x v="0"/>
    <x v="0"/>
    <x v="0"/>
    <x v="0"/>
    <x v="6"/>
    <x v="0"/>
    <x v="146"/>
    <x v="1"/>
    <x v="0"/>
    <x v="0"/>
    <x v="0"/>
    <x v="585"/>
    <x v="2"/>
    <x v="8"/>
    <x v="8"/>
    <x v="0"/>
    <x v="0"/>
    <x v="3"/>
    <x v="78"/>
    <x v="0"/>
    <x v="2"/>
    <x v="629"/>
    <x v="9"/>
    <x v="53"/>
    <x v="1"/>
    <x v="1"/>
    <x v="1"/>
    <x v="1"/>
    <x v="72"/>
    <x v="1"/>
    <x v="2"/>
    <x v="147"/>
    <x v="147"/>
    <x v="0"/>
    <x v="147"/>
    <x v="153"/>
    <x v="154"/>
    <x v="144"/>
    <x v="154"/>
    <x v="153"/>
    <x v="153"/>
    <x v="153"/>
    <x v="153"/>
    <x v="153"/>
    <x v="153"/>
    <x v="153"/>
    <x v="147"/>
    <x v="143"/>
    <x v="143"/>
    <x v="127"/>
    <x v="0"/>
    <x v="0"/>
    <x v="56"/>
    <x v="147"/>
    <x v="147"/>
    <x v="147"/>
    <x v="147"/>
    <x v="6"/>
  </r>
  <r>
    <x v="586"/>
    <x v="429"/>
    <x v="0"/>
    <x v="0"/>
    <x v="0"/>
    <x v="0"/>
    <x v="1"/>
    <x v="8"/>
    <x v="0"/>
    <x v="0"/>
    <x v="0"/>
    <x v="0"/>
    <x v="1248"/>
    <x v="1"/>
    <x v="0"/>
    <x v="0"/>
    <x v="0"/>
    <x v="586"/>
    <x v="0"/>
    <x v="11"/>
    <x v="11"/>
    <x v="0"/>
    <x v="0"/>
    <x v="3"/>
    <x v="78"/>
    <x v="0"/>
    <x v="1"/>
    <x v="630"/>
    <x v="5"/>
    <x v="42"/>
    <x v="1"/>
    <x v="9"/>
    <x v="5"/>
    <x v="1"/>
    <x v="1393"/>
    <x v="9"/>
    <x v="1"/>
    <x v="1246"/>
    <x v="1246"/>
    <x v="2"/>
    <x v="1246"/>
    <x v="1368"/>
    <x v="1343"/>
    <x v="1385"/>
    <x v="1343"/>
    <x v="1368"/>
    <x v="1368"/>
    <x v="1368"/>
    <x v="1368"/>
    <x v="1368"/>
    <x v="1368"/>
    <x v="1368"/>
    <x v="1246"/>
    <x v="1386"/>
    <x v="1386"/>
    <x v="0"/>
    <x v="116"/>
    <x v="0"/>
    <x v="1197"/>
    <x v="1246"/>
    <x v="1246"/>
    <x v="1246"/>
    <x v="1246"/>
    <x v="0"/>
  </r>
  <r>
    <x v="587"/>
    <x v="429"/>
    <x v="0"/>
    <x v="0"/>
    <x v="0"/>
    <x v="0"/>
    <x v="1"/>
    <x v="8"/>
    <x v="0"/>
    <x v="0"/>
    <x v="0"/>
    <x v="0"/>
    <x v="1359"/>
    <x v="1"/>
    <x v="0"/>
    <x v="0"/>
    <x v="0"/>
    <x v="587"/>
    <x v="0"/>
    <x v="11"/>
    <x v="11"/>
    <x v="0"/>
    <x v="0"/>
    <x v="3"/>
    <x v="78"/>
    <x v="0"/>
    <x v="1"/>
    <x v="15"/>
    <x v="5"/>
    <x v="42"/>
    <x v="1"/>
    <x v="9"/>
    <x v="5"/>
    <x v="1"/>
    <x v="1401"/>
    <x v="9"/>
    <x v="1"/>
    <x v="1357"/>
    <x v="1357"/>
    <x v="4"/>
    <x v="1357"/>
    <x v="1399"/>
    <x v="1387"/>
    <x v="1399"/>
    <x v="1387"/>
    <x v="1399"/>
    <x v="1399"/>
    <x v="1399"/>
    <x v="1399"/>
    <x v="1399"/>
    <x v="1399"/>
    <x v="1399"/>
    <x v="1357"/>
    <x v="1398"/>
    <x v="1398"/>
    <x v="0"/>
    <x v="127"/>
    <x v="0"/>
    <x v="1384"/>
    <x v="1357"/>
    <x v="1357"/>
    <x v="1357"/>
    <x v="1357"/>
    <x v="0"/>
  </r>
  <r>
    <x v="588"/>
    <x v="378"/>
    <x v="0"/>
    <x v="0"/>
    <x v="0"/>
    <x v="0"/>
    <x v="0"/>
    <x v="0"/>
    <x v="0"/>
    <x v="0"/>
    <x v="6"/>
    <x v="0"/>
    <x v="637"/>
    <x v="1"/>
    <x v="0"/>
    <x v="0"/>
    <x v="0"/>
    <x v="588"/>
    <x v="2"/>
    <x v="11"/>
    <x v="11"/>
    <x v="0"/>
    <x v="0"/>
    <x v="3"/>
    <x v="128"/>
    <x v="0"/>
    <x v="0"/>
    <x v="644"/>
    <x v="9"/>
    <x v="53"/>
    <x v="1"/>
    <x v="1"/>
    <x v="1"/>
    <x v="1"/>
    <x v="415"/>
    <x v="1"/>
    <x v="0"/>
    <x v="637"/>
    <x v="637"/>
    <x v="0"/>
    <x v="637"/>
    <x v="578"/>
    <x v="583"/>
    <x v="553"/>
    <x v="583"/>
    <x v="578"/>
    <x v="578"/>
    <x v="578"/>
    <x v="578"/>
    <x v="578"/>
    <x v="578"/>
    <x v="578"/>
    <x v="637"/>
    <x v="554"/>
    <x v="554"/>
    <x v="566"/>
    <x v="0"/>
    <x v="0"/>
    <x v="230"/>
    <x v="637"/>
    <x v="637"/>
    <x v="637"/>
    <x v="637"/>
    <x v="6"/>
  </r>
  <r>
    <x v="589"/>
    <x v="373"/>
    <x v="0"/>
    <x v="0"/>
    <x v="0"/>
    <x v="0"/>
    <x v="0"/>
    <x v="0"/>
    <x v="0"/>
    <x v="0"/>
    <x v="6"/>
    <x v="0"/>
    <x v="841"/>
    <x v="1"/>
    <x v="0"/>
    <x v="0"/>
    <x v="0"/>
    <x v="589"/>
    <x v="2"/>
    <x v="11"/>
    <x v="11"/>
    <x v="0"/>
    <x v="0"/>
    <x v="3"/>
    <x v="78"/>
    <x v="0"/>
    <x v="2"/>
    <x v="628"/>
    <x v="9"/>
    <x v="53"/>
    <x v="1"/>
    <x v="1"/>
    <x v="1"/>
    <x v="1"/>
    <x v="585"/>
    <x v="1"/>
    <x v="2"/>
    <x v="841"/>
    <x v="841"/>
    <x v="1"/>
    <x v="841"/>
    <x v="852"/>
    <x v="852"/>
    <x v="825"/>
    <x v="852"/>
    <x v="852"/>
    <x v="852"/>
    <x v="852"/>
    <x v="852"/>
    <x v="852"/>
    <x v="852"/>
    <x v="852"/>
    <x v="841"/>
    <x v="822"/>
    <x v="822"/>
    <x v="781"/>
    <x v="0"/>
    <x v="0"/>
    <x v="374"/>
    <x v="841"/>
    <x v="841"/>
    <x v="841"/>
    <x v="841"/>
    <x v="6"/>
  </r>
  <r>
    <x v="590"/>
    <x v="405"/>
    <x v="0"/>
    <x v="0"/>
    <x v="0"/>
    <x v="0"/>
    <x v="0"/>
    <x v="0"/>
    <x v="0"/>
    <x v="0"/>
    <x v="6"/>
    <x v="0"/>
    <x v="918"/>
    <x v="1"/>
    <x v="0"/>
    <x v="0"/>
    <x v="0"/>
    <x v="590"/>
    <x v="2"/>
    <x v="11"/>
    <x v="11"/>
    <x v="0"/>
    <x v="0"/>
    <x v="3"/>
    <x v="78"/>
    <x v="0"/>
    <x v="1"/>
    <x v="639"/>
    <x v="9"/>
    <x v="53"/>
    <x v="1"/>
    <x v="1"/>
    <x v="1"/>
    <x v="1"/>
    <x v="661"/>
    <x v="1"/>
    <x v="1"/>
    <x v="918"/>
    <x v="918"/>
    <x v="1"/>
    <x v="918"/>
    <x v="923"/>
    <x v="923"/>
    <x v="915"/>
    <x v="923"/>
    <x v="923"/>
    <x v="923"/>
    <x v="923"/>
    <x v="923"/>
    <x v="923"/>
    <x v="923"/>
    <x v="923"/>
    <x v="918"/>
    <x v="915"/>
    <x v="915"/>
    <x v="851"/>
    <x v="0"/>
    <x v="0"/>
    <x v="401"/>
    <x v="918"/>
    <x v="918"/>
    <x v="918"/>
    <x v="918"/>
    <x v="6"/>
  </r>
  <r>
    <x v="591"/>
    <x v="406"/>
    <x v="0"/>
    <x v="0"/>
    <x v="0"/>
    <x v="0"/>
    <x v="0"/>
    <x v="0"/>
    <x v="0"/>
    <x v="0"/>
    <x v="6"/>
    <x v="0"/>
    <x v="858"/>
    <x v="1"/>
    <x v="0"/>
    <x v="0"/>
    <x v="0"/>
    <x v="591"/>
    <x v="2"/>
    <x v="11"/>
    <x v="11"/>
    <x v="0"/>
    <x v="0"/>
    <x v="3"/>
    <x v="78"/>
    <x v="0"/>
    <x v="1"/>
    <x v="642"/>
    <x v="9"/>
    <x v="53"/>
    <x v="1"/>
    <x v="1"/>
    <x v="1"/>
    <x v="1"/>
    <x v="603"/>
    <x v="1"/>
    <x v="1"/>
    <x v="858"/>
    <x v="858"/>
    <x v="1"/>
    <x v="858"/>
    <x v="869"/>
    <x v="867"/>
    <x v="842"/>
    <x v="867"/>
    <x v="869"/>
    <x v="869"/>
    <x v="869"/>
    <x v="869"/>
    <x v="869"/>
    <x v="869"/>
    <x v="869"/>
    <x v="858"/>
    <x v="841"/>
    <x v="841"/>
    <x v="794"/>
    <x v="0"/>
    <x v="0"/>
    <x v="360"/>
    <x v="858"/>
    <x v="858"/>
    <x v="858"/>
    <x v="858"/>
    <x v="6"/>
  </r>
  <r>
    <x v="592"/>
    <x v="405"/>
    <x v="0"/>
    <x v="0"/>
    <x v="0"/>
    <x v="0"/>
    <x v="0"/>
    <x v="0"/>
    <x v="0"/>
    <x v="0"/>
    <x v="6"/>
    <x v="0"/>
    <x v="884"/>
    <x v="1"/>
    <x v="0"/>
    <x v="0"/>
    <x v="0"/>
    <x v="592"/>
    <x v="2"/>
    <x v="11"/>
    <x v="11"/>
    <x v="0"/>
    <x v="0"/>
    <x v="3"/>
    <x v="78"/>
    <x v="0"/>
    <x v="1"/>
    <x v="640"/>
    <x v="9"/>
    <x v="53"/>
    <x v="1"/>
    <x v="1"/>
    <x v="1"/>
    <x v="1"/>
    <x v="630"/>
    <x v="1"/>
    <x v="1"/>
    <x v="884"/>
    <x v="884"/>
    <x v="1"/>
    <x v="884"/>
    <x v="896"/>
    <x v="889"/>
    <x v="881"/>
    <x v="889"/>
    <x v="896"/>
    <x v="896"/>
    <x v="896"/>
    <x v="896"/>
    <x v="896"/>
    <x v="896"/>
    <x v="896"/>
    <x v="884"/>
    <x v="879"/>
    <x v="879"/>
    <x v="820"/>
    <x v="0"/>
    <x v="0"/>
    <x v="379"/>
    <x v="884"/>
    <x v="884"/>
    <x v="884"/>
    <x v="884"/>
    <x v="6"/>
  </r>
  <r>
    <x v="593"/>
    <x v="405"/>
    <x v="0"/>
    <x v="0"/>
    <x v="0"/>
    <x v="0"/>
    <x v="0"/>
    <x v="0"/>
    <x v="0"/>
    <x v="0"/>
    <x v="6"/>
    <x v="0"/>
    <x v="823"/>
    <x v="1"/>
    <x v="0"/>
    <x v="0"/>
    <x v="0"/>
    <x v="593"/>
    <x v="2"/>
    <x v="11"/>
    <x v="11"/>
    <x v="0"/>
    <x v="0"/>
    <x v="3"/>
    <x v="78"/>
    <x v="0"/>
    <x v="1"/>
    <x v="641"/>
    <x v="9"/>
    <x v="53"/>
    <x v="1"/>
    <x v="1"/>
    <x v="1"/>
    <x v="1"/>
    <x v="565"/>
    <x v="1"/>
    <x v="1"/>
    <x v="823"/>
    <x v="823"/>
    <x v="1"/>
    <x v="823"/>
    <x v="828"/>
    <x v="828"/>
    <x v="797"/>
    <x v="828"/>
    <x v="828"/>
    <x v="828"/>
    <x v="828"/>
    <x v="828"/>
    <x v="828"/>
    <x v="828"/>
    <x v="828"/>
    <x v="823"/>
    <x v="795"/>
    <x v="795"/>
    <x v="763"/>
    <x v="0"/>
    <x v="0"/>
    <x v="331"/>
    <x v="823"/>
    <x v="823"/>
    <x v="823"/>
    <x v="823"/>
    <x v="6"/>
  </r>
  <r>
    <x v="594"/>
    <x v="406"/>
    <x v="0"/>
    <x v="0"/>
    <x v="0"/>
    <x v="0"/>
    <x v="0"/>
    <x v="0"/>
    <x v="0"/>
    <x v="0"/>
    <x v="6"/>
    <x v="0"/>
    <x v="887"/>
    <x v="1"/>
    <x v="0"/>
    <x v="0"/>
    <x v="0"/>
    <x v="594"/>
    <x v="2"/>
    <x v="11"/>
    <x v="11"/>
    <x v="0"/>
    <x v="0"/>
    <x v="3"/>
    <x v="78"/>
    <x v="0"/>
    <x v="1"/>
    <x v="643"/>
    <x v="9"/>
    <x v="53"/>
    <x v="1"/>
    <x v="1"/>
    <x v="1"/>
    <x v="1"/>
    <x v="633"/>
    <x v="1"/>
    <x v="1"/>
    <x v="887"/>
    <x v="887"/>
    <x v="1"/>
    <x v="887"/>
    <x v="898"/>
    <x v="892"/>
    <x v="884"/>
    <x v="892"/>
    <x v="898"/>
    <x v="898"/>
    <x v="898"/>
    <x v="898"/>
    <x v="898"/>
    <x v="898"/>
    <x v="898"/>
    <x v="887"/>
    <x v="882"/>
    <x v="882"/>
    <x v="823"/>
    <x v="0"/>
    <x v="0"/>
    <x v="382"/>
    <x v="887"/>
    <x v="887"/>
    <x v="887"/>
    <x v="887"/>
    <x v="6"/>
  </r>
  <r>
    <x v="595"/>
    <x v="434"/>
    <x v="0"/>
    <x v="0"/>
    <x v="0"/>
    <x v="0"/>
    <x v="0"/>
    <x v="2"/>
    <x v="0"/>
    <x v="0"/>
    <x v="6"/>
    <x v="0"/>
    <x v="1020"/>
    <x v="1"/>
    <x v="0"/>
    <x v="0"/>
    <x v="0"/>
    <x v="595"/>
    <x v="1"/>
    <x v="11"/>
    <x v="11"/>
    <x v="0"/>
    <x v="0"/>
    <x v="3"/>
    <x v="41"/>
    <x v="0"/>
    <x v="4"/>
    <x v="669"/>
    <x v="1"/>
    <x v="5"/>
    <x v="1"/>
    <x v="3"/>
    <x v="2"/>
    <x v="1"/>
    <x v="1191"/>
    <x v="3"/>
    <x v="4"/>
    <x v="1020"/>
    <x v="1020"/>
    <x v="1"/>
    <x v="1020"/>
    <x v="1105"/>
    <x v="1085"/>
    <x v="1122"/>
    <x v="1085"/>
    <x v="1105"/>
    <x v="1105"/>
    <x v="1105"/>
    <x v="1105"/>
    <x v="1105"/>
    <x v="1105"/>
    <x v="1105"/>
    <x v="1020"/>
    <x v="1115"/>
    <x v="1115"/>
    <x v="965"/>
    <x v="0"/>
    <x v="0"/>
    <x v="750"/>
    <x v="1020"/>
    <x v="1020"/>
    <x v="1020"/>
    <x v="1020"/>
    <x v="6"/>
  </r>
  <r>
    <x v="596"/>
    <x v="434"/>
    <x v="0"/>
    <x v="0"/>
    <x v="0"/>
    <x v="0"/>
    <x v="0"/>
    <x v="0"/>
    <x v="0"/>
    <x v="0"/>
    <x v="6"/>
    <x v="0"/>
    <x v="112"/>
    <x v="1"/>
    <x v="0"/>
    <x v="0"/>
    <x v="0"/>
    <x v="596"/>
    <x v="2"/>
    <x v="11"/>
    <x v="11"/>
    <x v="0"/>
    <x v="0"/>
    <x v="3"/>
    <x v="41"/>
    <x v="0"/>
    <x v="4"/>
    <x v="668"/>
    <x v="9"/>
    <x v="53"/>
    <x v="1"/>
    <x v="1"/>
    <x v="1"/>
    <x v="1"/>
    <x v="55"/>
    <x v="1"/>
    <x v="4"/>
    <x v="113"/>
    <x v="113"/>
    <x v="0"/>
    <x v="113"/>
    <x v="112"/>
    <x v="114"/>
    <x v="101"/>
    <x v="114"/>
    <x v="112"/>
    <x v="112"/>
    <x v="112"/>
    <x v="112"/>
    <x v="112"/>
    <x v="112"/>
    <x v="112"/>
    <x v="113"/>
    <x v="100"/>
    <x v="100"/>
    <x v="97"/>
    <x v="0"/>
    <x v="0"/>
    <x v="39"/>
    <x v="113"/>
    <x v="113"/>
    <x v="113"/>
    <x v="113"/>
    <x v="6"/>
  </r>
  <r>
    <x v="597"/>
    <x v="431"/>
    <x v="0"/>
    <x v="0"/>
    <x v="0"/>
    <x v="0"/>
    <x v="0"/>
    <x v="2"/>
    <x v="0"/>
    <x v="0"/>
    <x v="6"/>
    <x v="0"/>
    <x v="544"/>
    <x v="1"/>
    <x v="0"/>
    <x v="0"/>
    <x v="0"/>
    <x v="597"/>
    <x v="1"/>
    <x v="11"/>
    <x v="11"/>
    <x v="0"/>
    <x v="0"/>
    <x v="3"/>
    <x v="42"/>
    <x v="0"/>
    <x v="3"/>
    <x v="670"/>
    <x v="1"/>
    <x v="5"/>
    <x v="1"/>
    <x v="3"/>
    <x v="2"/>
    <x v="1"/>
    <x v="910"/>
    <x v="3"/>
    <x v="3"/>
    <x v="544"/>
    <x v="544"/>
    <x v="0"/>
    <x v="544"/>
    <x v="655"/>
    <x v="642"/>
    <x v="674"/>
    <x v="642"/>
    <x v="655"/>
    <x v="655"/>
    <x v="655"/>
    <x v="655"/>
    <x v="655"/>
    <x v="655"/>
    <x v="655"/>
    <x v="544"/>
    <x v="673"/>
    <x v="673"/>
    <x v="510"/>
    <x v="0"/>
    <x v="0"/>
    <x v="318"/>
    <x v="544"/>
    <x v="544"/>
    <x v="544"/>
    <x v="544"/>
    <x v="6"/>
  </r>
  <r>
    <x v="598"/>
    <x v="435"/>
    <x v="0"/>
    <x v="0"/>
    <x v="0"/>
    <x v="0"/>
    <x v="0"/>
    <x v="2"/>
    <x v="0"/>
    <x v="0"/>
    <x v="6"/>
    <x v="0"/>
    <x v="57"/>
    <x v="1"/>
    <x v="0"/>
    <x v="0"/>
    <x v="0"/>
    <x v="598"/>
    <x v="1"/>
    <x v="11"/>
    <x v="11"/>
    <x v="0"/>
    <x v="0"/>
    <x v="3"/>
    <x v="41"/>
    <x v="0"/>
    <x v="2"/>
    <x v="671"/>
    <x v="1"/>
    <x v="5"/>
    <x v="1"/>
    <x v="3"/>
    <x v="2"/>
    <x v="1"/>
    <x v="77"/>
    <x v="3"/>
    <x v="2"/>
    <x v="58"/>
    <x v="58"/>
    <x v="0"/>
    <x v="58"/>
    <x v="62"/>
    <x v="62"/>
    <x v="61"/>
    <x v="62"/>
    <x v="62"/>
    <x v="62"/>
    <x v="62"/>
    <x v="62"/>
    <x v="62"/>
    <x v="62"/>
    <x v="62"/>
    <x v="58"/>
    <x v="60"/>
    <x v="60"/>
    <x v="46"/>
    <x v="0"/>
    <x v="0"/>
    <x v="23"/>
    <x v="58"/>
    <x v="58"/>
    <x v="58"/>
    <x v="58"/>
    <x v="6"/>
  </r>
  <r>
    <x v="599"/>
    <x v="438"/>
    <x v="0"/>
    <x v="0"/>
    <x v="0"/>
    <x v="0"/>
    <x v="0"/>
    <x v="0"/>
    <x v="0"/>
    <x v="0"/>
    <x v="6"/>
    <x v="0"/>
    <x v="419"/>
    <x v="1"/>
    <x v="0"/>
    <x v="0"/>
    <x v="0"/>
    <x v="599"/>
    <x v="2"/>
    <x v="11"/>
    <x v="11"/>
    <x v="0"/>
    <x v="0"/>
    <x v="3"/>
    <x v="57"/>
    <x v="0"/>
    <x v="4"/>
    <x v="648"/>
    <x v="9"/>
    <x v="53"/>
    <x v="1"/>
    <x v="1"/>
    <x v="1"/>
    <x v="1"/>
    <x v="287"/>
    <x v="1"/>
    <x v="4"/>
    <x v="419"/>
    <x v="419"/>
    <x v="0"/>
    <x v="419"/>
    <x v="412"/>
    <x v="412"/>
    <x v="396"/>
    <x v="412"/>
    <x v="412"/>
    <x v="412"/>
    <x v="412"/>
    <x v="412"/>
    <x v="412"/>
    <x v="412"/>
    <x v="412"/>
    <x v="419"/>
    <x v="395"/>
    <x v="395"/>
    <x v="374"/>
    <x v="0"/>
    <x v="0"/>
    <x v="234"/>
    <x v="419"/>
    <x v="419"/>
    <x v="419"/>
    <x v="419"/>
    <x v="6"/>
  </r>
  <r>
    <x v="600"/>
    <x v="436"/>
    <x v="0"/>
    <x v="0"/>
    <x v="0"/>
    <x v="0"/>
    <x v="0"/>
    <x v="2"/>
    <x v="0"/>
    <x v="0"/>
    <x v="6"/>
    <x v="0"/>
    <x v="860"/>
    <x v="1"/>
    <x v="0"/>
    <x v="0"/>
    <x v="0"/>
    <x v="600"/>
    <x v="1"/>
    <x v="11"/>
    <x v="11"/>
    <x v="0"/>
    <x v="0"/>
    <x v="3"/>
    <x v="41"/>
    <x v="0"/>
    <x v="2"/>
    <x v="672"/>
    <x v="1"/>
    <x v="5"/>
    <x v="1"/>
    <x v="3"/>
    <x v="2"/>
    <x v="1"/>
    <x v="1090"/>
    <x v="3"/>
    <x v="2"/>
    <x v="860"/>
    <x v="860"/>
    <x v="1"/>
    <x v="860"/>
    <x v="944"/>
    <x v="932"/>
    <x v="970"/>
    <x v="932"/>
    <x v="944"/>
    <x v="944"/>
    <x v="944"/>
    <x v="944"/>
    <x v="944"/>
    <x v="944"/>
    <x v="944"/>
    <x v="860"/>
    <x v="966"/>
    <x v="966"/>
    <x v="811"/>
    <x v="0"/>
    <x v="0"/>
    <x v="463"/>
    <x v="860"/>
    <x v="860"/>
    <x v="860"/>
    <x v="860"/>
    <x v="6"/>
  </r>
  <r>
    <x v="601"/>
    <x v="411"/>
    <x v="0"/>
    <x v="0"/>
    <x v="0"/>
    <x v="0"/>
    <x v="0"/>
    <x v="0"/>
    <x v="0"/>
    <x v="0"/>
    <x v="6"/>
    <x v="0"/>
    <x v="1197"/>
    <x v="1"/>
    <x v="0"/>
    <x v="0"/>
    <x v="0"/>
    <x v="601"/>
    <x v="2"/>
    <x v="11"/>
    <x v="11"/>
    <x v="0"/>
    <x v="0"/>
    <x v="3"/>
    <x v="74"/>
    <x v="0"/>
    <x v="5"/>
    <x v="631"/>
    <x v="9"/>
    <x v="53"/>
    <x v="1"/>
    <x v="1"/>
    <x v="1"/>
    <x v="1"/>
    <x v="980"/>
    <x v="1"/>
    <x v="5"/>
    <x v="1195"/>
    <x v="1195"/>
    <x v="2"/>
    <x v="1195"/>
    <x v="1214"/>
    <x v="1210"/>
    <x v="1201"/>
    <x v="1210"/>
    <x v="1214"/>
    <x v="1214"/>
    <x v="1214"/>
    <x v="1214"/>
    <x v="1214"/>
    <x v="1214"/>
    <x v="1214"/>
    <x v="1195"/>
    <x v="1201"/>
    <x v="1201"/>
    <x v="1123"/>
    <x v="0"/>
    <x v="0"/>
    <x v="895"/>
    <x v="1195"/>
    <x v="1195"/>
    <x v="1195"/>
    <x v="1195"/>
    <x v="6"/>
  </r>
  <r>
    <x v="602"/>
    <x v="439"/>
    <x v="0"/>
    <x v="0"/>
    <x v="0"/>
    <x v="0"/>
    <x v="0"/>
    <x v="2"/>
    <x v="0"/>
    <x v="0"/>
    <x v="6"/>
    <x v="0"/>
    <x v="248"/>
    <x v="1"/>
    <x v="0"/>
    <x v="0"/>
    <x v="0"/>
    <x v="602"/>
    <x v="1"/>
    <x v="11"/>
    <x v="11"/>
    <x v="0"/>
    <x v="0"/>
    <x v="3"/>
    <x v="41"/>
    <x v="0"/>
    <x v="1"/>
    <x v="675"/>
    <x v="1"/>
    <x v="5"/>
    <x v="1"/>
    <x v="3"/>
    <x v="2"/>
    <x v="1"/>
    <x v="515"/>
    <x v="3"/>
    <x v="1"/>
    <x v="248"/>
    <x v="248"/>
    <x v="0"/>
    <x v="248"/>
    <x v="287"/>
    <x v="279"/>
    <x v="295"/>
    <x v="279"/>
    <x v="287"/>
    <x v="287"/>
    <x v="287"/>
    <x v="287"/>
    <x v="287"/>
    <x v="287"/>
    <x v="287"/>
    <x v="248"/>
    <x v="292"/>
    <x v="292"/>
    <x v="221"/>
    <x v="0"/>
    <x v="0"/>
    <x v="158"/>
    <x v="248"/>
    <x v="248"/>
    <x v="248"/>
    <x v="248"/>
    <x v="6"/>
  </r>
  <r>
    <x v="603"/>
    <x v="448"/>
    <x v="0"/>
    <x v="0"/>
    <x v="0"/>
    <x v="0"/>
    <x v="0"/>
    <x v="2"/>
    <x v="0"/>
    <x v="0"/>
    <x v="6"/>
    <x v="0"/>
    <x v="648"/>
    <x v="1"/>
    <x v="0"/>
    <x v="0"/>
    <x v="0"/>
    <x v="603"/>
    <x v="1"/>
    <x v="11"/>
    <x v="11"/>
    <x v="0"/>
    <x v="0"/>
    <x v="3"/>
    <x v="41"/>
    <x v="0"/>
    <x v="7"/>
    <x v="662"/>
    <x v="1"/>
    <x v="5"/>
    <x v="1"/>
    <x v="3"/>
    <x v="2"/>
    <x v="1"/>
    <x v="951"/>
    <x v="3"/>
    <x v="7"/>
    <x v="648"/>
    <x v="648"/>
    <x v="0"/>
    <x v="648"/>
    <x v="734"/>
    <x v="723"/>
    <x v="746"/>
    <x v="723"/>
    <x v="734"/>
    <x v="734"/>
    <x v="734"/>
    <x v="734"/>
    <x v="734"/>
    <x v="734"/>
    <x v="734"/>
    <x v="648"/>
    <x v="740"/>
    <x v="740"/>
    <x v="608"/>
    <x v="0"/>
    <x v="0"/>
    <x v="425"/>
    <x v="648"/>
    <x v="648"/>
    <x v="648"/>
    <x v="648"/>
    <x v="6"/>
  </r>
  <r>
    <x v="604"/>
    <x v="424"/>
    <x v="0"/>
    <x v="0"/>
    <x v="0"/>
    <x v="0"/>
    <x v="0"/>
    <x v="0"/>
    <x v="0"/>
    <x v="0"/>
    <x v="6"/>
    <x v="0"/>
    <x v="799"/>
    <x v="1"/>
    <x v="0"/>
    <x v="0"/>
    <x v="0"/>
    <x v="604"/>
    <x v="2"/>
    <x v="11"/>
    <x v="11"/>
    <x v="0"/>
    <x v="0"/>
    <x v="3"/>
    <x v="74"/>
    <x v="0"/>
    <x v="5"/>
    <x v="663"/>
    <x v="9"/>
    <x v="53"/>
    <x v="1"/>
    <x v="1"/>
    <x v="1"/>
    <x v="1"/>
    <x v="538"/>
    <x v="1"/>
    <x v="5"/>
    <x v="799"/>
    <x v="799"/>
    <x v="1"/>
    <x v="799"/>
    <x v="797"/>
    <x v="798"/>
    <x v="752"/>
    <x v="798"/>
    <x v="797"/>
    <x v="797"/>
    <x v="797"/>
    <x v="797"/>
    <x v="797"/>
    <x v="797"/>
    <x v="797"/>
    <x v="799"/>
    <x v="753"/>
    <x v="753"/>
    <x v="738"/>
    <x v="0"/>
    <x v="0"/>
    <x v="393"/>
    <x v="799"/>
    <x v="799"/>
    <x v="799"/>
    <x v="799"/>
    <x v="6"/>
  </r>
  <r>
    <x v="605"/>
    <x v="447"/>
    <x v="0"/>
    <x v="0"/>
    <x v="0"/>
    <x v="0"/>
    <x v="0"/>
    <x v="0"/>
    <x v="0"/>
    <x v="0"/>
    <x v="6"/>
    <x v="0"/>
    <x v="367"/>
    <x v="1"/>
    <x v="0"/>
    <x v="0"/>
    <x v="0"/>
    <x v="605"/>
    <x v="2"/>
    <x v="11"/>
    <x v="11"/>
    <x v="0"/>
    <x v="0"/>
    <x v="3"/>
    <x v="41"/>
    <x v="0"/>
    <x v="7"/>
    <x v="660"/>
    <x v="9"/>
    <x v="53"/>
    <x v="1"/>
    <x v="1"/>
    <x v="1"/>
    <x v="1"/>
    <x v="250"/>
    <x v="1"/>
    <x v="7"/>
    <x v="367"/>
    <x v="367"/>
    <x v="0"/>
    <x v="367"/>
    <x v="363"/>
    <x v="369"/>
    <x v="346"/>
    <x v="369"/>
    <x v="363"/>
    <x v="363"/>
    <x v="363"/>
    <x v="363"/>
    <x v="363"/>
    <x v="363"/>
    <x v="363"/>
    <x v="367"/>
    <x v="345"/>
    <x v="345"/>
    <x v="327"/>
    <x v="0"/>
    <x v="0"/>
    <x v="240"/>
    <x v="367"/>
    <x v="367"/>
    <x v="367"/>
    <x v="367"/>
    <x v="6"/>
  </r>
  <r>
    <x v="606"/>
    <x v="459"/>
    <x v="0"/>
    <x v="0"/>
    <x v="0"/>
    <x v="0"/>
    <x v="0"/>
    <x v="0"/>
    <x v="0"/>
    <x v="0"/>
    <x v="6"/>
    <x v="0"/>
    <x v="807"/>
    <x v="1"/>
    <x v="0"/>
    <x v="0"/>
    <x v="0"/>
    <x v="606"/>
    <x v="2"/>
    <x v="11"/>
    <x v="11"/>
    <x v="0"/>
    <x v="0"/>
    <x v="3"/>
    <x v="41"/>
    <x v="0"/>
    <x v="3"/>
    <x v="638"/>
    <x v="9"/>
    <x v="53"/>
    <x v="1"/>
    <x v="1"/>
    <x v="1"/>
    <x v="1"/>
    <x v="546"/>
    <x v="1"/>
    <x v="3"/>
    <x v="807"/>
    <x v="807"/>
    <x v="1"/>
    <x v="807"/>
    <x v="808"/>
    <x v="807"/>
    <x v="767"/>
    <x v="807"/>
    <x v="808"/>
    <x v="808"/>
    <x v="808"/>
    <x v="808"/>
    <x v="808"/>
    <x v="808"/>
    <x v="808"/>
    <x v="807"/>
    <x v="765"/>
    <x v="765"/>
    <x v="752"/>
    <x v="0"/>
    <x v="0"/>
    <x v="368"/>
    <x v="807"/>
    <x v="807"/>
    <x v="807"/>
    <x v="807"/>
    <x v="6"/>
  </r>
  <r>
    <x v="607"/>
    <x v="447"/>
    <x v="0"/>
    <x v="0"/>
    <x v="0"/>
    <x v="0"/>
    <x v="0"/>
    <x v="2"/>
    <x v="0"/>
    <x v="0"/>
    <x v="6"/>
    <x v="0"/>
    <x v="81"/>
    <x v="1"/>
    <x v="0"/>
    <x v="0"/>
    <x v="0"/>
    <x v="607"/>
    <x v="1"/>
    <x v="11"/>
    <x v="11"/>
    <x v="0"/>
    <x v="0"/>
    <x v="3"/>
    <x v="41"/>
    <x v="0"/>
    <x v="7"/>
    <x v="661"/>
    <x v="1"/>
    <x v="5"/>
    <x v="1"/>
    <x v="3"/>
    <x v="2"/>
    <x v="1"/>
    <x v="104"/>
    <x v="3"/>
    <x v="7"/>
    <x v="82"/>
    <x v="82"/>
    <x v="0"/>
    <x v="82"/>
    <x v="91"/>
    <x v="91"/>
    <x v="95"/>
    <x v="91"/>
    <x v="91"/>
    <x v="91"/>
    <x v="91"/>
    <x v="91"/>
    <x v="91"/>
    <x v="91"/>
    <x v="91"/>
    <x v="82"/>
    <x v="93"/>
    <x v="93"/>
    <x v="70"/>
    <x v="0"/>
    <x v="0"/>
    <x v="46"/>
    <x v="82"/>
    <x v="82"/>
    <x v="82"/>
    <x v="82"/>
    <x v="6"/>
  </r>
  <r>
    <x v="608"/>
    <x v="438"/>
    <x v="0"/>
    <x v="0"/>
    <x v="0"/>
    <x v="0"/>
    <x v="0"/>
    <x v="0"/>
    <x v="0"/>
    <x v="0"/>
    <x v="6"/>
    <x v="0"/>
    <x v="732"/>
    <x v="1"/>
    <x v="0"/>
    <x v="0"/>
    <x v="0"/>
    <x v="608"/>
    <x v="2"/>
    <x v="11"/>
    <x v="11"/>
    <x v="0"/>
    <x v="0"/>
    <x v="3"/>
    <x v="57"/>
    <x v="0"/>
    <x v="4"/>
    <x v="649"/>
    <x v="9"/>
    <x v="53"/>
    <x v="1"/>
    <x v="1"/>
    <x v="1"/>
    <x v="1"/>
    <x v="484"/>
    <x v="1"/>
    <x v="4"/>
    <x v="732"/>
    <x v="732"/>
    <x v="1"/>
    <x v="732"/>
    <x v="699"/>
    <x v="719"/>
    <x v="662"/>
    <x v="719"/>
    <x v="699"/>
    <x v="699"/>
    <x v="699"/>
    <x v="699"/>
    <x v="699"/>
    <x v="699"/>
    <x v="699"/>
    <x v="732"/>
    <x v="662"/>
    <x v="662"/>
    <x v="671"/>
    <x v="0"/>
    <x v="0"/>
    <x v="341"/>
    <x v="732"/>
    <x v="732"/>
    <x v="732"/>
    <x v="732"/>
    <x v="6"/>
  </r>
  <r>
    <x v="609"/>
    <x v="445"/>
    <x v="0"/>
    <x v="0"/>
    <x v="0"/>
    <x v="0"/>
    <x v="0"/>
    <x v="0"/>
    <x v="0"/>
    <x v="0"/>
    <x v="6"/>
    <x v="0"/>
    <x v="441"/>
    <x v="1"/>
    <x v="0"/>
    <x v="0"/>
    <x v="0"/>
    <x v="609"/>
    <x v="2"/>
    <x v="11"/>
    <x v="11"/>
    <x v="0"/>
    <x v="0"/>
    <x v="3"/>
    <x v="74"/>
    <x v="0"/>
    <x v="6"/>
    <x v="28"/>
    <x v="9"/>
    <x v="53"/>
    <x v="1"/>
    <x v="1"/>
    <x v="1"/>
    <x v="1"/>
    <x v="301"/>
    <x v="1"/>
    <x v="6"/>
    <x v="441"/>
    <x v="441"/>
    <x v="0"/>
    <x v="441"/>
    <x v="426"/>
    <x v="429"/>
    <x v="413"/>
    <x v="429"/>
    <x v="426"/>
    <x v="426"/>
    <x v="426"/>
    <x v="426"/>
    <x v="426"/>
    <x v="426"/>
    <x v="426"/>
    <x v="441"/>
    <x v="412"/>
    <x v="412"/>
    <x v="389"/>
    <x v="0"/>
    <x v="0"/>
    <x v="265"/>
    <x v="441"/>
    <x v="441"/>
    <x v="441"/>
    <x v="441"/>
    <x v="6"/>
  </r>
  <r>
    <x v="610"/>
    <x v="452"/>
    <x v="0"/>
    <x v="0"/>
    <x v="0"/>
    <x v="0"/>
    <x v="0"/>
    <x v="0"/>
    <x v="0"/>
    <x v="0"/>
    <x v="6"/>
    <x v="0"/>
    <x v="201"/>
    <x v="1"/>
    <x v="0"/>
    <x v="0"/>
    <x v="0"/>
    <x v="610"/>
    <x v="2"/>
    <x v="11"/>
    <x v="11"/>
    <x v="0"/>
    <x v="0"/>
    <x v="3"/>
    <x v="41"/>
    <x v="0"/>
    <x v="7"/>
    <x v="650"/>
    <x v="9"/>
    <x v="53"/>
    <x v="1"/>
    <x v="1"/>
    <x v="1"/>
    <x v="1"/>
    <x v="116"/>
    <x v="1"/>
    <x v="7"/>
    <x v="202"/>
    <x v="202"/>
    <x v="0"/>
    <x v="202"/>
    <x v="212"/>
    <x v="212"/>
    <x v="202"/>
    <x v="212"/>
    <x v="212"/>
    <x v="212"/>
    <x v="212"/>
    <x v="212"/>
    <x v="212"/>
    <x v="212"/>
    <x v="212"/>
    <x v="202"/>
    <x v="202"/>
    <x v="202"/>
    <x v="178"/>
    <x v="0"/>
    <x v="0"/>
    <x v="141"/>
    <x v="202"/>
    <x v="202"/>
    <x v="202"/>
    <x v="202"/>
    <x v="6"/>
  </r>
  <r>
    <x v="611"/>
    <x v="453"/>
    <x v="0"/>
    <x v="0"/>
    <x v="0"/>
    <x v="0"/>
    <x v="0"/>
    <x v="0"/>
    <x v="0"/>
    <x v="0"/>
    <x v="6"/>
    <x v="0"/>
    <x v="240"/>
    <x v="1"/>
    <x v="0"/>
    <x v="0"/>
    <x v="0"/>
    <x v="611"/>
    <x v="2"/>
    <x v="11"/>
    <x v="11"/>
    <x v="0"/>
    <x v="0"/>
    <x v="3"/>
    <x v="74"/>
    <x v="0"/>
    <x v="6"/>
    <x v="29"/>
    <x v="9"/>
    <x v="53"/>
    <x v="1"/>
    <x v="1"/>
    <x v="1"/>
    <x v="1"/>
    <x v="150"/>
    <x v="1"/>
    <x v="6"/>
    <x v="240"/>
    <x v="240"/>
    <x v="0"/>
    <x v="240"/>
    <x v="246"/>
    <x v="244"/>
    <x v="240"/>
    <x v="244"/>
    <x v="246"/>
    <x v="246"/>
    <x v="246"/>
    <x v="246"/>
    <x v="246"/>
    <x v="246"/>
    <x v="246"/>
    <x v="240"/>
    <x v="239"/>
    <x v="239"/>
    <x v="209"/>
    <x v="0"/>
    <x v="0"/>
    <x v="167"/>
    <x v="240"/>
    <x v="240"/>
    <x v="240"/>
    <x v="240"/>
    <x v="6"/>
  </r>
  <r>
    <x v="612"/>
    <x v="475"/>
    <x v="0"/>
    <x v="0"/>
    <x v="0"/>
    <x v="0"/>
    <x v="0"/>
    <x v="2"/>
    <x v="0"/>
    <x v="0"/>
    <x v="6"/>
    <x v="0"/>
    <x v="1140"/>
    <x v="1"/>
    <x v="0"/>
    <x v="0"/>
    <x v="0"/>
    <x v="612"/>
    <x v="1"/>
    <x v="11"/>
    <x v="11"/>
    <x v="0"/>
    <x v="0"/>
    <x v="3"/>
    <x v="41"/>
    <x v="0"/>
    <x v="3"/>
    <x v="678"/>
    <x v="1"/>
    <x v="5"/>
    <x v="1"/>
    <x v="3"/>
    <x v="2"/>
    <x v="1"/>
    <x v="1254"/>
    <x v="3"/>
    <x v="3"/>
    <x v="1138"/>
    <x v="1138"/>
    <x v="1"/>
    <x v="1138"/>
    <x v="1217"/>
    <x v="1199"/>
    <x v="1225"/>
    <x v="1199"/>
    <x v="1217"/>
    <x v="1217"/>
    <x v="1217"/>
    <x v="1217"/>
    <x v="1217"/>
    <x v="1217"/>
    <x v="1217"/>
    <x v="1138"/>
    <x v="1218"/>
    <x v="1218"/>
    <x v="1074"/>
    <x v="0"/>
    <x v="0"/>
    <x v="866"/>
    <x v="1138"/>
    <x v="1138"/>
    <x v="1138"/>
    <x v="1138"/>
    <x v="6"/>
  </r>
  <r>
    <x v="613"/>
    <x v="476"/>
    <x v="0"/>
    <x v="0"/>
    <x v="0"/>
    <x v="0"/>
    <x v="0"/>
    <x v="0"/>
    <x v="0"/>
    <x v="0"/>
    <x v="6"/>
    <x v="0"/>
    <x v="1087"/>
    <x v="1"/>
    <x v="0"/>
    <x v="0"/>
    <x v="0"/>
    <x v="613"/>
    <x v="2"/>
    <x v="11"/>
    <x v="11"/>
    <x v="0"/>
    <x v="0"/>
    <x v="3"/>
    <x v="41"/>
    <x v="0"/>
    <x v="4"/>
    <x v="666"/>
    <x v="9"/>
    <x v="53"/>
    <x v="1"/>
    <x v="1"/>
    <x v="1"/>
    <x v="1"/>
    <x v="853"/>
    <x v="1"/>
    <x v="4"/>
    <x v="1085"/>
    <x v="1085"/>
    <x v="1"/>
    <x v="1085"/>
    <x v="1095"/>
    <x v="1091"/>
    <x v="1079"/>
    <x v="1091"/>
    <x v="1095"/>
    <x v="1095"/>
    <x v="1095"/>
    <x v="1095"/>
    <x v="1095"/>
    <x v="1095"/>
    <x v="1095"/>
    <x v="1085"/>
    <x v="1078"/>
    <x v="1078"/>
    <x v="1015"/>
    <x v="0"/>
    <x v="0"/>
    <x v="697"/>
    <x v="1085"/>
    <x v="1085"/>
    <x v="1085"/>
    <x v="1085"/>
    <x v="6"/>
  </r>
  <r>
    <x v="614"/>
    <x v="464"/>
    <x v="0"/>
    <x v="0"/>
    <x v="0"/>
    <x v="0"/>
    <x v="0"/>
    <x v="0"/>
    <x v="0"/>
    <x v="0"/>
    <x v="6"/>
    <x v="0"/>
    <x v="703"/>
    <x v="1"/>
    <x v="0"/>
    <x v="0"/>
    <x v="0"/>
    <x v="614"/>
    <x v="2"/>
    <x v="11"/>
    <x v="11"/>
    <x v="0"/>
    <x v="0"/>
    <x v="3"/>
    <x v="39"/>
    <x v="0"/>
    <x v="5"/>
    <x v="646"/>
    <x v="9"/>
    <x v="53"/>
    <x v="1"/>
    <x v="1"/>
    <x v="1"/>
    <x v="1"/>
    <x v="464"/>
    <x v="1"/>
    <x v="5"/>
    <x v="703"/>
    <x v="703"/>
    <x v="1"/>
    <x v="703"/>
    <x v="651"/>
    <x v="667"/>
    <x v="612"/>
    <x v="667"/>
    <x v="651"/>
    <x v="651"/>
    <x v="651"/>
    <x v="651"/>
    <x v="651"/>
    <x v="651"/>
    <x v="651"/>
    <x v="703"/>
    <x v="613"/>
    <x v="613"/>
    <x v="643"/>
    <x v="0"/>
    <x v="0"/>
    <x v="342"/>
    <x v="703"/>
    <x v="703"/>
    <x v="703"/>
    <x v="703"/>
    <x v="6"/>
  </r>
  <r>
    <x v="615"/>
    <x v="459"/>
    <x v="0"/>
    <x v="0"/>
    <x v="0"/>
    <x v="0"/>
    <x v="0"/>
    <x v="0"/>
    <x v="0"/>
    <x v="0"/>
    <x v="6"/>
    <x v="0"/>
    <x v="736"/>
    <x v="1"/>
    <x v="0"/>
    <x v="0"/>
    <x v="0"/>
    <x v="615"/>
    <x v="2"/>
    <x v="11"/>
    <x v="11"/>
    <x v="0"/>
    <x v="0"/>
    <x v="3"/>
    <x v="41"/>
    <x v="0"/>
    <x v="3"/>
    <x v="637"/>
    <x v="9"/>
    <x v="53"/>
    <x v="1"/>
    <x v="1"/>
    <x v="1"/>
    <x v="1"/>
    <x v="487"/>
    <x v="1"/>
    <x v="3"/>
    <x v="736"/>
    <x v="736"/>
    <x v="1"/>
    <x v="736"/>
    <x v="704"/>
    <x v="725"/>
    <x v="670"/>
    <x v="725"/>
    <x v="704"/>
    <x v="704"/>
    <x v="704"/>
    <x v="704"/>
    <x v="704"/>
    <x v="704"/>
    <x v="704"/>
    <x v="736"/>
    <x v="670"/>
    <x v="670"/>
    <x v="674"/>
    <x v="0"/>
    <x v="0"/>
    <x v="317"/>
    <x v="736"/>
    <x v="736"/>
    <x v="736"/>
    <x v="736"/>
    <x v="6"/>
  </r>
  <r>
    <x v="616"/>
    <x v="452"/>
    <x v="0"/>
    <x v="0"/>
    <x v="0"/>
    <x v="0"/>
    <x v="0"/>
    <x v="0"/>
    <x v="0"/>
    <x v="0"/>
    <x v="6"/>
    <x v="0"/>
    <x v="1047"/>
    <x v="1"/>
    <x v="0"/>
    <x v="0"/>
    <x v="0"/>
    <x v="616"/>
    <x v="2"/>
    <x v="11"/>
    <x v="11"/>
    <x v="0"/>
    <x v="0"/>
    <x v="3"/>
    <x v="41"/>
    <x v="0"/>
    <x v="7"/>
    <x v="651"/>
    <x v="9"/>
    <x v="53"/>
    <x v="1"/>
    <x v="1"/>
    <x v="1"/>
    <x v="1"/>
    <x v="812"/>
    <x v="1"/>
    <x v="7"/>
    <x v="1046"/>
    <x v="1046"/>
    <x v="1"/>
    <x v="1046"/>
    <x v="1054"/>
    <x v="1050"/>
    <x v="1040"/>
    <x v="1050"/>
    <x v="1054"/>
    <x v="1054"/>
    <x v="1054"/>
    <x v="1054"/>
    <x v="1054"/>
    <x v="1054"/>
    <x v="1054"/>
    <x v="1046"/>
    <x v="1039"/>
    <x v="1039"/>
    <x v="974"/>
    <x v="0"/>
    <x v="0"/>
    <x v="739"/>
    <x v="1046"/>
    <x v="1046"/>
    <x v="1046"/>
    <x v="1046"/>
    <x v="6"/>
  </r>
  <r>
    <x v="617"/>
    <x v="463"/>
    <x v="0"/>
    <x v="0"/>
    <x v="0"/>
    <x v="0"/>
    <x v="0"/>
    <x v="0"/>
    <x v="0"/>
    <x v="0"/>
    <x v="6"/>
    <x v="0"/>
    <x v="229"/>
    <x v="1"/>
    <x v="0"/>
    <x v="0"/>
    <x v="0"/>
    <x v="617"/>
    <x v="2"/>
    <x v="11"/>
    <x v="11"/>
    <x v="0"/>
    <x v="0"/>
    <x v="3"/>
    <x v="41"/>
    <x v="0"/>
    <x v="3"/>
    <x v="635"/>
    <x v="9"/>
    <x v="53"/>
    <x v="1"/>
    <x v="1"/>
    <x v="1"/>
    <x v="1"/>
    <x v="138"/>
    <x v="1"/>
    <x v="3"/>
    <x v="230"/>
    <x v="230"/>
    <x v="0"/>
    <x v="230"/>
    <x v="235"/>
    <x v="234"/>
    <x v="229"/>
    <x v="234"/>
    <x v="235"/>
    <x v="235"/>
    <x v="235"/>
    <x v="235"/>
    <x v="235"/>
    <x v="235"/>
    <x v="235"/>
    <x v="230"/>
    <x v="228"/>
    <x v="228"/>
    <x v="199"/>
    <x v="0"/>
    <x v="0"/>
    <x v="133"/>
    <x v="230"/>
    <x v="230"/>
    <x v="230"/>
    <x v="230"/>
    <x v="6"/>
  </r>
  <r>
    <x v="618"/>
    <x v="442"/>
    <x v="0"/>
    <x v="0"/>
    <x v="0"/>
    <x v="0"/>
    <x v="0"/>
    <x v="0"/>
    <x v="0"/>
    <x v="0"/>
    <x v="6"/>
    <x v="0"/>
    <x v="1167"/>
    <x v="1"/>
    <x v="0"/>
    <x v="0"/>
    <x v="0"/>
    <x v="618"/>
    <x v="2"/>
    <x v="11"/>
    <x v="11"/>
    <x v="0"/>
    <x v="0"/>
    <x v="3"/>
    <x v="41"/>
    <x v="0"/>
    <x v="1"/>
    <x v="676"/>
    <x v="9"/>
    <x v="53"/>
    <x v="1"/>
    <x v="1"/>
    <x v="1"/>
    <x v="1"/>
    <x v="941"/>
    <x v="1"/>
    <x v="1"/>
    <x v="1165"/>
    <x v="1165"/>
    <x v="1"/>
    <x v="1165"/>
    <x v="1178"/>
    <x v="1175"/>
    <x v="1161"/>
    <x v="1175"/>
    <x v="1178"/>
    <x v="1178"/>
    <x v="1178"/>
    <x v="1178"/>
    <x v="1178"/>
    <x v="1178"/>
    <x v="1178"/>
    <x v="1165"/>
    <x v="1160"/>
    <x v="1160"/>
    <x v="1090"/>
    <x v="0"/>
    <x v="0"/>
    <x v="682"/>
    <x v="1165"/>
    <x v="1165"/>
    <x v="1165"/>
    <x v="1165"/>
    <x v="6"/>
  </r>
  <r>
    <x v="619"/>
    <x v="463"/>
    <x v="0"/>
    <x v="0"/>
    <x v="0"/>
    <x v="0"/>
    <x v="0"/>
    <x v="0"/>
    <x v="0"/>
    <x v="0"/>
    <x v="6"/>
    <x v="0"/>
    <x v="657"/>
    <x v="1"/>
    <x v="0"/>
    <x v="0"/>
    <x v="0"/>
    <x v="619"/>
    <x v="2"/>
    <x v="11"/>
    <x v="11"/>
    <x v="0"/>
    <x v="0"/>
    <x v="3"/>
    <x v="41"/>
    <x v="0"/>
    <x v="3"/>
    <x v="636"/>
    <x v="9"/>
    <x v="53"/>
    <x v="1"/>
    <x v="1"/>
    <x v="1"/>
    <x v="1"/>
    <x v="427"/>
    <x v="1"/>
    <x v="3"/>
    <x v="657"/>
    <x v="657"/>
    <x v="0"/>
    <x v="657"/>
    <x v="594"/>
    <x v="604"/>
    <x v="566"/>
    <x v="604"/>
    <x v="594"/>
    <x v="594"/>
    <x v="594"/>
    <x v="594"/>
    <x v="594"/>
    <x v="594"/>
    <x v="594"/>
    <x v="657"/>
    <x v="568"/>
    <x v="568"/>
    <x v="585"/>
    <x v="0"/>
    <x v="0"/>
    <x v="280"/>
    <x v="657"/>
    <x v="657"/>
    <x v="657"/>
    <x v="657"/>
    <x v="6"/>
  </r>
  <r>
    <x v="620"/>
    <x v="464"/>
    <x v="0"/>
    <x v="0"/>
    <x v="0"/>
    <x v="0"/>
    <x v="0"/>
    <x v="0"/>
    <x v="0"/>
    <x v="0"/>
    <x v="6"/>
    <x v="0"/>
    <x v="1006"/>
    <x v="1"/>
    <x v="0"/>
    <x v="0"/>
    <x v="0"/>
    <x v="620"/>
    <x v="2"/>
    <x v="11"/>
    <x v="11"/>
    <x v="0"/>
    <x v="0"/>
    <x v="3"/>
    <x v="39"/>
    <x v="0"/>
    <x v="5"/>
    <x v="647"/>
    <x v="9"/>
    <x v="53"/>
    <x v="1"/>
    <x v="1"/>
    <x v="1"/>
    <x v="1"/>
    <x v="770"/>
    <x v="1"/>
    <x v="5"/>
    <x v="1006"/>
    <x v="1006"/>
    <x v="1"/>
    <x v="1006"/>
    <x v="1018"/>
    <x v="1012"/>
    <x v="1001"/>
    <x v="1012"/>
    <x v="1018"/>
    <x v="1018"/>
    <x v="1018"/>
    <x v="1018"/>
    <x v="1018"/>
    <x v="1018"/>
    <x v="1018"/>
    <x v="1006"/>
    <x v="1002"/>
    <x v="1002"/>
    <x v="936"/>
    <x v="0"/>
    <x v="0"/>
    <x v="616"/>
    <x v="1006"/>
    <x v="1006"/>
    <x v="1006"/>
    <x v="1006"/>
    <x v="6"/>
  </r>
  <r>
    <x v="621"/>
    <x v="489"/>
    <x v="0"/>
    <x v="0"/>
    <x v="0"/>
    <x v="0"/>
    <x v="0"/>
    <x v="0"/>
    <x v="0"/>
    <x v="0"/>
    <x v="6"/>
    <x v="0"/>
    <x v="624"/>
    <x v="1"/>
    <x v="0"/>
    <x v="0"/>
    <x v="0"/>
    <x v="621"/>
    <x v="2"/>
    <x v="11"/>
    <x v="11"/>
    <x v="0"/>
    <x v="0"/>
    <x v="3"/>
    <x v="39"/>
    <x v="0"/>
    <x v="5"/>
    <x v="645"/>
    <x v="9"/>
    <x v="53"/>
    <x v="1"/>
    <x v="1"/>
    <x v="1"/>
    <x v="1"/>
    <x v="408"/>
    <x v="1"/>
    <x v="5"/>
    <x v="624"/>
    <x v="624"/>
    <x v="0"/>
    <x v="624"/>
    <x v="567"/>
    <x v="577"/>
    <x v="545"/>
    <x v="577"/>
    <x v="567"/>
    <x v="567"/>
    <x v="567"/>
    <x v="567"/>
    <x v="567"/>
    <x v="567"/>
    <x v="567"/>
    <x v="624"/>
    <x v="546"/>
    <x v="546"/>
    <x v="559"/>
    <x v="0"/>
    <x v="0"/>
    <x v="309"/>
    <x v="624"/>
    <x v="624"/>
    <x v="624"/>
    <x v="624"/>
    <x v="6"/>
  </r>
  <r>
    <x v="622"/>
    <x v="483"/>
    <x v="0"/>
    <x v="0"/>
    <x v="0"/>
    <x v="0"/>
    <x v="0"/>
    <x v="0"/>
    <x v="0"/>
    <x v="0"/>
    <x v="6"/>
    <x v="0"/>
    <x v="306"/>
    <x v="1"/>
    <x v="0"/>
    <x v="0"/>
    <x v="0"/>
    <x v="622"/>
    <x v="2"/>
    <x v="11"/>
    <x v="11"/>
    <x v="0"/>
    <x v="0"/>
    <x v="4"/>
    <x v="128"/>
    <x v="0"/>
    <x v="5"/>
    <x v="664"/>
    <x v="9"/>
    <x v="53"/>
    <x v="1"/>
    <x v="1"/>
    <x v="1"/>
    <x v="1"/>
    <x v="203"/>
    <x v="1"/>
    <x v="5"/>
    <x v="306"/>
    <x v="306"/>
    <x v="0"/>
    <x v="306"/>
    <x v="303"/>
    <x v="305"/>
    <x v="297"/>
    <x v="305"/>
    <x v="303"/>
    <x v="303"/>
    <x v="303"/>
    <x v="303"/>
    <x v="303"/>
    <x v="303"/>
    <x v="303"/>
    <x v="306"/>
    <x v="297"/>
    <x v="297"/>
    <x v="264"/>
    <x v="0"/>
    <x v="0"/>
    <x v="196"/>
    <x v="306"/>
    <x v="306"/>
    <x v="306"/>
    <x v="306"/>
    <x v="6"/>
  </r>
  <r>
    <x v="623"/>
    <x v="496"/>
    <x v="0"/>
    <x v="0"/>
    <x v="0"/>
    <x v="0"/>
    <x v="0"/>
    <x v="0"/>
    <x v="0"/>
    <x v="0"/>
    <x v="6"/>
    <x v="0"/>
    <x v="914"/>
    <x v="1"/>
    <x v="0"/>
    <x v="0"/>
    <x v="0"/>
    <x v="623"/>
    <x v="2"/>
    <x v="11"/>
    <x v="11"/>
    <x v="0"/>
    <x v="0"/>
    <x v="3"/>
    <x v="40"/>
    <x v="0"/>
    <x v="4"/>
    <x v="667"/>
    <x v="9"/>
    <x v="53"/>
    <x v="1"/>
    <x v="1"/>
    <x v="1"/>
    <x v="1"/>
    <x v="659"/>
    <x v="1"/>
    <x v="4"/>
    <x v="914"/>
    <x v="914"/>
    <x v="1"/>
    <x v="914"/>
    <x v="921"/>
    <x v="915"/>
    <x v="909"/>
    <x v="915"/>
    <x v="921"/>
    <x v="921"/>
    <x v="921"/>
    <x v="921"/>
    <x v="921"/>
    <x v="921"/>
    <x v="921"/>
    <x v="914"/>
    <x v="907"/>
    <x v="907"/>
    <x v="849"/>
    <x v="0"/>
    <x v="0"/>
    <x v="468"/>
    <x v="914"/>
    <x v="914"/>
    <x v="914"/>
    <x v="914"/>
    <x v="6"/>
  </r>
  <r>
    <x v="624"/>
    <x v="487"/>
    <x v="0"/>
    <x v="0"/>
    <x v="0"/>
    <x v="0"/>
    <x v="0"/>
    <x v="0"/>
    <x v="0"/>
    <x v="0"/>
    <x v="6"/>
    <x v="0"/>
    <x v="497"/>
    <x v="1"/>
    <x v="0"/>
    <x v="0"/>
    <x v="0"/>
    <x v="624"/>
    <x v="2"/>
    <x v="11"/>
    <x v="11"/>
    <x v="0"/>
    <x v="0"/>
    <x v="3"/>
    <x v="40"/>
    <x v="0"/>
    <x v="6"/>
    <x v="656"/>
    <x v="9"/>
    <x v="53"/>
    <x v="1"/>
    <x v="1"/>
    <x v="1"/>
    <x v="1"/>
    <x v="332"/>
    <x v="1"/>
    <x v="6"/>
    <x v="497"/>
    <x v="497"/>
    <x v="0"/>
    <x v="497"/>
    <x v="468"/>
    <x v="472"/>
    <x v="455"/>
    <x v="472"/>
    <x v="468"/>
    <x v="468"/>
    <x v="468"/>
    <x v="468"/>
    <x v="468"/>
    <x v="468"/>
    <x v="468"/>
    <x v="497"/>
    <x v="456"/>
    <x v="456"/>
    <x v="442"/>
    <x v="0"/>
    <x v="0"/>
    <x v="286"/>
    <x v="497"/>
    <x v="497"/>
    <x v="497"/>
    <x v="497"/>
    <x v="6"/>
  </r>
  <r>
    <x v="625"/>
    <x v="492"/>
    <x v="0"/>
    <x v="0"/>
    <x v="0"/>
    <x v="0"/>
    <x v="0"/>
    <x v="0"/>
    <x v="0"/>
    <x v="0"/>
    <x v="6"/>
    <x v="0"/>
    <x v="140"/>
    <x v="1"/>
    <x v="0"/>
    <x v="0"/>
    <x v="0"/>
    <x v="625"/>
    <x v="2"/>
    <x v="11"/>
    <x v="11"/>
    <x v="0"/>
    <x v="0"/>
    <x v="3"/>
    <x v="128"/>
    <x v="0"/>
    <x v="5"/>
    <x v="632"/>
    <x v="9"/>
    <x v="53"/>
    <x v="1"/>
    <x v="1"/>
    <x v="1"/>
    <x v="1"/>
    <x v="68"/>
    <x v="1"/>
    <x v="5"/>
    <x v="141"/>
    <x v="141"/>
    <x v="0"/>
    <x v="141"/>
    <x v="144"/>
    <x v="149"/>
    <x v="137"/>
    <x v="149"/>
    <x v="144"/>
    <x v="144"/>
    <x v="144"/>
    <x v="144"/>
    <x v="144"/>
    <x v="144"/>
    <x v="144"/>
    <x v="141"/>
    <x v="134"/>
    <x v="134"/>
    <x v="121"/>
    <x v="0"/>
    <x v="0"/>
    <x v="67"/>
    <x v="141"/>
    <x v="141"/>
    <x v="141"/>
    <x v="141"/>
    <x v="6"/>
  </r>
  <r>
    <x v="626"/>
    <x v="504"/>
    <x v="0"/>
    <x v="0"/>
    <x v="0"/>
    <x v="0"/>
    <x v="0"/>
    <x v="0"/>
    <x v="0"/>
    <x v="0"/>
    <x v="6"/>
    <x v="0"/>
    <x v="551"/>
    <x v="1"/>
    <x v="0"/>
    <x v="0"/>
    <x v="0"/>
    <x v="626"/>
    <x v="2"/>
    <x v="11"/>
    <x v="11"/>
    <x v="0"/>
    <x v="0"/>
    <x v="3"/>
    <x v="40"/>
    <x v="0"/>
    <x v="6"/>
    <x v="655"/>
    <x v="9"/>
    <x v="53"/>
    <x v="1"/>
    <x v="1"/>
    <x v="1"/>
    <x v="1"/>
    <x v="367"/>
    <x v="1"/>
    <x v="6"/>
    <x v="551"/>
    <x v="551"/>
    <x v="0"/>
    <x v="551"/>
    <x v="509"/>
    <x v="519"/>
    <x v="495"/>
    <x v="519"/>
    <x v="509"/>
    <x v="509"/>
    <x v="509"/>
    <x v="509"/>
    <x v="509"/>
    <x v="509"/>
    <x v="509"/>
    <x v="551"/>
    <x v="495"/>
    <x v="495"/>
    <x v="492"/>
    <x v="0"/>
    <x v="0"/>
    <x v="306"/>
    <x v="551"/>
    <x v="551"/>
    <x v="551"/>
    <x v="551"/>
    <x v="6"/>
  </r>
  <r>
    <x v="627"/>
    <x v="504"/>
    <x v="0"/>
    <x v="0"/>
    <x v="0"/>
    <x v="0"/>
    <x v="0"/>
    <x v="0"/>
    <x v="0"/>
    <x v="0"/>
    <x v="6"/>
    <x v="0"/>
    <x v="1005"/>
    <x v="1"/>
    <x v="0"/>
    <x v="0"/>
    <x v="0"/>
    <x v="627"/>
    <x v="2"/>
    <x v="11"/>
    <x v="11"/>
    <x v="0"/>
    <x v="0"/>
    <x v="3"/>
    <x v="40"/>
    <x v="0"/>
    <x v="6"/>
    <x v="654"/>
    <x v="9"/>
    <x v="53"/>
    <x v="1"/>
    <x v="1"/>
    <x v="1"/>
    <x v="1"/>
    <x v="769"/>
    <x v="1"/>
    <x v="6"/>
    <x v="1005"/>
    <x v="1005"/>
    <x v="1"/>
    <x v="1005"/>
    <x v="1017"/>
    <x v="1011"/>
    <x v="1000"/>
    <x v="1011"/>
    <x v="1017"/>
    <x v="1017"/>
    <x v="1017"/>
    <x v="1017"/>
    <x v="1017"/>
    <x v="1017"/>
    <x v="1017"/>
    <x v="1005"/>
    <x v="1000"/>
    <x v="1000"/>
    <x v="933"/>
    <x v="0"/>
    <x v="0"/>
    <x v="659"/>
    <x v="1005"/>
    <x v="1005"/>
    <x v="1005"/>
    <x v="1005"/>
    <x v="6"/>
  </r>
  <r>
    <x v="628"/>
    <x v="475"/>
    <x v="0"/>
    <x v="0"/>
    <x v="0"/>
    <x v="0"/>
    <x v="0"/>
    <x v="2"/>
    <x v="0"/>
    <x v="0"/>
    <x v="6"/>
    <x v="0"/>
    <x v="931"/>
    <x v="1"/>
    <x v="0"/>
    <x v="0"/>
    <x v="0"/>
    <x v="628"/>
    <x v="1"/>
    <x v="11"/>
    <x v="11"/>
    <x v="0"/>
    <x v="0"/>
    <x v="3"/>
    <x v="41"/>
    <x v="0"/>
    <x v="3"/>
    <x v="677"/>
    <x v="1"/>
    <x v="5"/>
    <x v="1"/>
    <x v="3"/>
    <x v="2"/>
    <x v="1"/>
    <x v="1147"/>
    <x v="3"/>
    <x v="3"/>
    <x v="931"/>
    <x v="931"/>
    <x v="1"/>
    <x v="931"/>
    <x v="1033"/>
    <x v="1005"/>
    <x v="1051"/>
    <x v="1005"/>
    <x v="1033"/>
    <x v="1033"/>
    <x v="1033"/>
    <x v="1033"/>
    <x v="1033"/>
    <x v="1033"/>
    <x v="1033"/>
    <x v="931"/>
    <x v="1043"/>
    <x v="1043"/>
    <x v="882"/>
    <x v="0"/>
    <x v="0"/>
    <x v="593"/>
    <x v="931"/>
    <x v="931"/>
    <x v="931"/>
    <x v="931"/>
    <x v="6"/>
  </r>
  <r>
    <x v="629"/>
    <x v="506"/>
    <x v="0"/>
    <x v="0"/>
    <x v="0"/>
    <x v="0"/>
    <x v="0"/>
    <x v="0"/>
    <x v="0"/>
    <x v="0"/>
    <x v="6"/>
    <x v="0"/>
    <x v="1007"/>
    <x v="1"/>
    <x v="0"/>
    <x v="0"/>
    <x v="0"/>
    <x v="629"/>
    <x v="2"/>
    <x v="11"/>
    <x v="11"/>
    <x v="0"/>
    <x v="0"/>
    <x v="3"/>
    <x v="40"/>
    <x v="0"/>
    <x v="6"/>
    <x v="652"/>
    <x v="9"/>
    <x v="53"/>
    <x v="1"/>
    <x v="1"/>
    <x v="1"/>
    <x v="1"/>
    <x v="772"/>
    <x v="1"/>
    <x v="6"/>
    <x v="1007"/>
    <x v="1007"/>
    <x v="1"/>
    <x v="1007"/>
    <x v="1020"/>
    <x v="1013"/>
    <x v="1003"/>
    <x v="1013"/>
    <x v="1020"/>
    <x v="1020"/>
    <x v="1020"/>
    <x v="1020"/>
    <x v="1020"/>
    <x v="1020"/>
    <x v="1020"/>
    <x v="1007"/>
    <x v="1003"/>
    <x v="1003"/>
    <x v="937"/>
    <x v="0"/>
    <x v="0"/>
    <x v="664"/>
    <x v="1007"/>
    <x v="1007"/>
    <x v="1007"/>
    <x v="1007"/>
    <x v="6"/>
  </r>
  <r>
    <x v="630"/>
    <x v="513"/>
    <x v="0"/>
    <x v="0"/>
    <x v="0"/>
    <x v="0"/>
    <x v="0"/>
    <x v="0"/>
    <x v="0"/>
    <x v="0"/>
    <x v="6"/>
    <x v="0"/>
    <x v="656"/>
    <x v="1"/>
    <x v="0"/>
    <x v="0"/>
    <x v="0"/>
    <x v="630"/>
    <x v="2"/>
    <x v="11"/>
    <x v="11"/>
    <x v="0"/>
    <x v="0"/>
    <x v="3"/>
    <x v="40"/>
    <x v="0"/>
    <x v="7"/>
    <x v="657"/>
    <x v="9"/>
    <x v="53"/>
    <x v="1"/>
    <x v="1"/>
    <x v="1"/>
    <x v="1"/>
    <x v="426"/>
    <x v="1"/>
    <x v="7"/>
    <x v="656"/>
    <x v="656"/>
    <x v="0"/>
    <x v="656"/>
    <x v="593"/>
    <x v="602"/>
    <x v="565"/>
    <x v="602"/>
    <x v="593"/>
    <x v="593"/>
    <x v="593"/>
    <x v="593"/>
    <x v="593"/>
    <x v="593"/>
    <x v="593"/>
    <x v="656"/>
    <x v="566"/>
    <x v="566"/>
    <x v="584"/>
    <x v="0"/>
    <x v="0"/>
    <x v="354"/>
    <x v="656"/>
    <x v="656"/>
    <x v="656"/>
    <x v="656"/>
    <x v="6"/>
  </r>
  <r>
    <x v="631"/>
    <x v="494"/>
    <x v="0"/>
    <x v="0"/>
    <x v="0"/>
    <x v="0"/>
    <x v="0"/>
    <x v="0"/>
    <x v="0"/>
    <x v="0"/>
    <x v="6"/>
    <x v="0"/>
    <x v="1190"/>
    <x v="1"/>
    <x v="0"/>
    <x v="0"/>
    <x v="0"/>
    <x v="631"/>
    <x v="2"/>
    <x v="11"/>
    <x v="11"/>
    <x v="0"/>
    <x v="0"/>
    <x v="3"/>
    <x v="40"/>
    <x v="0"/>
    <x v="6"/>
    <x v="634"/>
    <x v="9"/>
    <x v="53"/>
    <x v="1"/>
    <x v="1"/>
    <x v="1"/>
    <x v="1"/>
    <x v="970"/>
    <x v="1"/>
    <x v="6"/>
    <x v="1188"/>
    <x v="1188"/>
    <x v="2"/>
    <x v="1188"/>
    <x v="1208"/>
    <x v="1204"/>
    <x v="1193"/>
    <x v="1204"/>
    <x v="1208"/>
    <x v="1208"/>
    <x v="1208"/>
    <x v="1208"/>
    <x v="1208"/>
    <x v="1208"/>
    <x v="1208"/>
    <x v="1188"/>
    <x v="1192"/>
    <x v="1192"/>
    <x v="1118"/>
    <x v="0"/>
    <x v="0"/>
    <x v="921"/>
    <x v="1188"/>
    <x v="1188"/>
    <x v="1188"/>
    <x v="1188"/>
    <x v="6"/>
  </r>
  <r>
    <x v="632"/>
    <x v="506"/>
    <x v="0"/>
    <x v="0"/>
    <x v="0"/>
    <x v="0"/>
    <x v="0"/>
    <x v="0"/>
    <x v="0"/>
    <x v="0"/>
    <x v="6"/>
    <x v="0"/>
    <x v="71"/>
    <x v="1"/>
    <x v="0"/>
    <x v="0"/>
    <x v="0"/>
    <x v="632"/>
    <x v="2"/>
    <x v="11"/>
    <x v="11"/>
    <x v="0"/>
    <x v="0"/>
    <x v="3"/>
    <x v="40"/>
    <x v="0"/>
    <x v="6"/>
    <x v="653"/>
    <x v="9"/>
    <x v="53"/>
    <x v="1"/>
    <x v="1"/>
    <x v="1"/>
    <x v="1"/>
    <x v="34"/>
    <x v="1"/>
    <x v="6"/>
    <x v="72"/>
    <x v="72"/>
    <x v="0"/>
    <x v="72"/>
    <x v="64"/>
    <x v="67"/>
    <x v="54"/>
    <x v="67"/>
    <x v="64"/>
    <x v="64"/>
    <x v="64"/>
    <x v="64"/>
    <x v="64"/>
    <x v="64"/>
    <x v="64"/>
    <x v="72"/>
    <x v="54"/>
    <x v="54"/>
    <x v="58"/>
    <x v="0"/>
    <x v="0"/>
    <x v="27"/>
    <x v="72"/>
    <x v="72"/>
    <x v="72"/>
    <x v="72"/>
    <x v="6"/>
  </r>
  <r>
    <x v="633"/>
    <x v="447"/>
    <x v="0"/>
    <x v="0"/>
    <x v="0"/>
    <x v="0"/>
    <x v="0"/>
    <x v="2"/>
    <x v="0"/>
    <x v="0"/>
    <x v="6"/>
    <x v="0"/>
    <x v="1348"/>
    <x v="1"/>
    <x v="0"/>
    <x v="0"/>
    <x v="0"/>
    <x v="633"/>
    <x v="1"/>
    <x v="11"/>
    <x v="11"/>
    <x v="0"/>
    <x v="0"/>
    <x v="3"/>
    <x v="41"/>
    <x v="0"/>
    <x v="7"/>
    <x v="44"/>
    <x v="1"/>
    <x v="5"/>
    <x v="1"/>
    <x v="3"/>
    <x v="2"/>
    <x v="1"/>
    <x v="1357"/>
    <x v="3"/>
    <x v="7"/>
    <x v="1346"/>
    <x v="1346"/>
    <x v="4"/>
    <x v="1346"/>
    <x v="1392"/>
    <x v="1378"/>
    <x v="1391"/>
    <x v="1378"/>
    <x v="1392"/>
    <x v="1392"/>
    <x v="1392"/>
    <x v="1392"/>
    <x v="1392"/>
    <x v="1392"/>
    <x v="1392"/>
    <x v="1346"/>
    <x v="1390"/>
    <x v="1390"/>
    <x v="1269"/>
    <x v="0"/>
    <x v="0"/>
    <x v="1325"/>
    <x v="1346"/>
    <x v="1346"/>
    <x v="1346"/>
    <x v="1346"/>
    <x v="6"/>
  </r>
  <r>
    <x v="634"/>
    <x v="492"/>
    <x v="0"/>
    <x v="0"/>
    <x v="0"/>
    <x v="0"/>
    <x v="0"/>
    <x v="0"/>
    <x v="0"/>
    <x v="0"/>
    <x v="6"/>
    <x v="0"/>
    <x v="1131"/>
    <x v="1"/>
    <x v="0"/>
    <x v="0"/>
    <x v="0"/>
    <x v="634"/>
    <x v="2"/>
    <x v="11"/>
    <x v="11"/>
    <x v="0"/>
    <x v="0"/>
    <x v="3"/>
    <x v="128"/>
    <x v="0"/>
    <x v="5"/>
    <x v="633"/>
    <x v="9"/>
    <x v="53"/>
    <x v="1"/>
    <x v="1"/>
    <x v="1"/>
    <x v="1"/>
    <x v="898"/>
    <x v="1"/>
    <x v="5"/>
    <x v="1129"/>
    <x v="1129"/>
    <x v="1"/>
    <x v="1129"/>
    <x v="1136"/>
    <x v="1138"/>
    <x v="1125"/>
    <x v="1138"/>
    <x v="1136"/>
    <x v="1136"/>
    <x v="1136"/>
    <x v="1136"/>
    <x v="1136"/>
    <x v="1136"/>
    <x v="1136"/>
    <x v="1129"/>
    <x v="1124"/>
    <x v="1124"/>
    <x v="1059"/>
    <x v="0"/>
    <x v="0"/>
    <x v="791"/>
    <x v="1129"/>
    <x v="1129"/>
    <x v="1129"/>
    <x v="1129"/>
    <x v="6"/>
  </r>
  <r>
    <x v="635"/>
    <x v="513"/>
    <x v="0"/>
    <x v="0"/>
    <x v="0"/>
    <x v="0"/>
    <x v="0"/>
    <x v="0"/>
    <x v="0"/>
    <x v="0"/>
    <x v="6"/>
    <x v="0"/>
    <x v="1189"/>
    <x v="1"/>
    <x v="0"/>
    <x v="0"/>
    <x v="0"/>
    <x v="635"/>
    <x v="2"/>
    <x v="11"/>
    <x v="11"/>
    <x v="0"/>
    <x v="0"/>
    <x v="3"/>
    <x v="40"/>
    <x v="0"/>
    <x v="7"/>
    <x v="658"/>
    <x v="9"/>
    <x v="53"/>
    <x v="1"/>
    <x v="1"/>
    <x v="1"/>
    <x v="1"/>
    <x v="969"/>
    <x v="1"/>
    <x v="7"/>
    <x v="1187"/>
    <x v="1187"/>
    <x v="2"/>
    <x v="1187"/>
    <x v="1207"/>
    <x v="1201"/>
    <x v="1191"/>
    <x v="1201"/>
    <x v="1207"/>
    <x v="1207"/>
    <x v="1207"/>
    <x v="1207"/>
    <x v="1207"/>
    <x v="1207"/>
    <x v="1207"/>
    <x v="1187"/>
    <x v="1191"/>
    <x v="1191"/>
    <x v="1117"/>
    <x v="0"/>
    <x v="0"/>
    <x v="948"/>
    <x v="1187"/>
    <x v="1187"/>
    <x v="1187"/>
    <x v="1187"/>
    <x v="6"/>
  </r>
  <r>
    <x v="636"/>
    <x v="520"/>
    <x v="0"/>
    <x v="0"/>
    <x v="0"/>
    <x v="0"/>
    <x v="0"/>
    <x v="2"/>
    <x v="0"/>
    <x v="0"/>
    <x v="6"/>
    <x v="0"/>
    <x v="663"/>
    <x v="1"/>
    <x v="0"/>
    <x v="0"/>
    <x v="0"/>
    <x v="636"/>
    <x v="1"/>
    <x v="11"/>
    <x v="11"/>
    <x v="0"/>
    <x v="0"/>
    <x v="3"/>
    <x v="40"/>
    <x v="0"/>
    <x v="4"/>
    <x v="674"/>
    <x v="1"/>
    <x v="5"/>
    <x v="1"/>
    <x v="3"/>
    <x v="2"/>
    <x v="1"/>
    <x v="957"/>
    <x v="3"/>
    <x v="4"/>
    <x v="663"/>
    <x v="663"/>
    <x v="0"/>
    <x v="663"/>
    <x v="742"/>
    <x v="733"/>
    <x v="758"/>
    <x v="733"/>
    <x v="742"/>
    <x v="742"/>
    <x v="742"/>
    <x v="742"/>
    <x v="742"/>
    <x v="742"/>
    <x v="742"/>
    <x v="663"/>
    <x v="750"/>
    <x v="750"/>
    <x v="618"/>
    <x v="0"/>
    <x v="0"/>
    <x v="377"/>
    <x v="663"/>
    <x v="663"/>
    <x v="663"/>
    <x v="663"/>
    <x v="6"/>
  </r>
  <r>
    <x v="637"/>
    <x v="554"/>
    <x v="0"/>
    <x v="0"/>
    <x v="0"/>
    <x v="0"/>
    <x v="0"/>
    <x v="0"/>
    <x v="0"/>
    <x v="0"/>
    <x v="6"/>
    <x v="0"/>
    <x v="1122"/>
    <x v="1"/>
    <x v="0"/>
    <x v="0"/>
    <x v="0"/>
    <x v="637"/>
    <x v="2"/>
    <x v="11"/>
    <x v="11"/>
    <x v="0"/>
    <x v="0"/>
    <x v="3"/>
    <x v="128"/>
    <x v="0"/>
    <x v="8"/>
    <x v="721"/>
    <x v="9"/>
    <x v="53"/>
    <x v="1"/>
    <x v="1"/>
    <x v="1"/>
    <x v="1"/>
    <x v="888"/>
    <x v="1"/>
    <x v="8"/>
    <x v="1120"/>
    <x v="1120"/>
    <x v="1"/>
    <x v="1120"/>
    <x v="1128"/>
    <x v="1128"/>
    <x v="1113"/>
    <x v="1128"/>
    <x v="1128"/>
    <x v="1128"/>
    <x v="1128"/>
    <x v="1128"/>
    <x v="1128"/>
    <x v="1128"/>
    <x v="1128"/>
    <x v="1120"/>
    <x v="1113"/>
    <x v="1113"/>
    <x v="1050"/>
    <x v="0"/>
    <x v="0"/>
    <x v="880"/>
    <x v="1120"/>
    <x v="1120"/>
    <x v="1120"/>
    <x v="1120"/>
    <x v="6"/>
  </r>
  <r>
    <x v="638"/>
    <x v="541"/>
    <x v="0"/>
    <x v="0"/>
    <x v="0"/>
    <x v="0"/>
    <x v="0"/>
    <x v="0"/>
    <x v="0"/>
    <x v="0"/>
    <x v="6"/>
    <x v="0"/>
    <x v="288"/>
    <x v="1"/>
    <x v="0"/>
    <x v="0"/>
    <x v="0"/>
    <x v="638"/>
    <x v="2"/>
    <x v="11"/>
    <x v="11"/>
    <x v="0"/>
    <x v="0"/>
    <x v="3"/>
    <x v="40"/>
    <x v="0"/>
    <x v="10"/>
    <x v="707"/>
    <x v="9"/>
    <x v="53"/>
    <x v="1"/>
    <x v="1"/>
    <x v="1"/>
    <x v="1"/>
    <x v="192"/>
    <x v="1"/>
    <x v="10"/>
    <x v="288"/>
    <x v="288"/>
    <x v="0"/>
    <x v="288"/>
    <x v="292"/>
    <x v="294"/>
    <x v="286"/>
    <x v="294"/>
    <x v="292"/>
    <x v="292"/>
    <x v="292"/>
    <x v="292"/>
    <x v="292"/>
    <x v="292"/>
    <x v="292"/>
    <x v="288"/>
    <x v="285"/>
    <x v="285"/>
    <x v="252"/>
    <x v="0"/>
    <x v="0"/>
    <x v="221"/>
    <x v="288"/>
    <x v="288"/>
    <x v="288"/>
    <x v="288"/>
    <x v="6"/>
  </r>
  <r>
    <x v="639"/>
    <x v="599"/>
    <x v="0"/>
    <x v="0"/>
    <x v="0"/>
    <x v="0"/>
    <x v="1"/>
    <x v="4"/>
    <x v="0"/>
    <x v="0"/>
    <x v="6"/>
    <x v="0"/>
    <x v="1104"/>
    <x v="1"/>
    <x v="0"/>
    <x v="0"/>
    <x v="0"/>
    <x v="639"/>
    <x v="1"/>
    <x v="13"/>
    <x v="13"/>
    <x v="0"/>
    <x v="0"/>
    <x v="3"/>
    <x v="49"/>
    <x v="0"/>
    <x v="10"/>
    <x v="683"/>
    <x v="2"/>
    <x v="19"/>
    <x v="1"/>
    <x v="5"/>
    <x v="2"/>
    <x v="1"/>
    <x v="1336"/>
    <x v="5"/>
    <x v="10"/>
    <x v="1102"/>
    <x v="1102"/>
    <x v="1"/>
    <x v="1102"/>
    <x v="1203"/>
    <x v="1171"/>
    <x v="1229"/>
    <x v="1171"/>
    <x v="1203"/>
    <x v="1203"/>
    <x v="1203"/>
    <x v="1203"/>
    <x v="1203"/>
    <x v="1203"/>
    <x v="1203"/>
    <x v="1102"/>
    <x v="1228"/>
    <x v="1228"/>
    <x v="1060"/>
    <x v="0"/>
    <x v="0"/>
    <x v="1055"/>
    <x v="1102"/>
    <x v="1102"/>
    <x v="1102"/>
    <x v="1102"/>
    <x v="6"/>
  </r>
  <r>
    <x v="640"/>
    <x v="591"/>
    <x v="0"/>
    <x v="0"/>
    <x v="0"/>
    <x v="0"/>
    <x v="1"/>
    <x v="4"/>
    <x v="0"/>
    <x v="0"/>
    <x v="6"/>
    <x v="0"/>
    <x v="1133"/>
    <x v="1"/>
    <x v="0"/>
    <x v="0"/>
    <x v="0"/>
    <x v="640"/>
    <x v="1"/>
    <x v="13"/>
    <x v="13"/>
    <x v="0"/>
    <x v="0"/>
    <x v="3"/>
    <x v="107"/>
    <x v="0"/>
    <x v="9"/>
    <x v="729"/>
    <x v="2"/>
    <x v="19"/>
    <x v="1"/>
    <x v="5"/>
    <x v="2"/>
    <x v="1"/>
    <x v="1343"/>
    <x v="5"/>
    <x v="9"/>
    <x v="1131"/>
    <x v="1131"/>
    <x v="1"/>
    <x v="1131"/>
    <x v="1225"/>
    <x v="1195"/>
    <x v="1253"/>
    <x v="1195"/>
    <x v="1225"/>
    <x v="1225"/>
    <x v="1225"/>
    <x v="1225"/>
    <x v="1225"/>
    <x v="1225"/>
    <x v="1225"/>
    <x v="1131"/>
    <x v="1252"/>
    <x v="1252"/>
    <x v="1084"/>
    <x v="0"/>
    <x v="0"/>
    <x v="1062"/>
    <x v="1131"/>
    <x v="1131"/>
    <x v="1131"/>
    <x v="1131"/>
    <x v="6"/>
  </r>
  <r>
    <x v="641"/>
    <x v="601"/>
    <x v="0"/>
    <x v="0"/>
    <x v="0"/>
    <x v="0"/>
    <x v="1"/>
    <x v="4"/>
    <x v="0"/>
    <x v="0"/>
    <x v="6"/>
    <x v="0"/>
    <x v="169"/>
    <x v="1"/>
    <x v="0"/>
    <x v="0"/>
    <x v="0"/>
    <x v="641"/>
    <x v="1"/>
    <x v="13"/>
    <x v="13"/>
    <x v="0"/>
    <x v="0"/>
    <x v="3"/>
    <x v="102"/>
    <x v="0"/>
    <x v="15"/>
    <x v="694"/>
    <x v="2"/>
    <x v="19"/>
    <x v="1"/>
    <x v="5"/>
    <x v="2"/>
    <x v="1"/>
    <x v="595"/>
    <x v="5"/>
    <x v="15"/>
    <x v="170"/>
    <x v="170"/>
    <x v="0"/>
    <x v="170"/>
    <x v="200"/>
    <x v="194"/>
    <x v="214"/>
    <x v="194"/>
    <x v="200"/>
    <x v="200"/>
    <x v="200"/>
    <x v="200"/>
    <x v="200"/>
    <x v="200"/>
    <x v="200"/>
    <x v="170"/>
    <x v="214"/>
    <x v="214"/>
    <x v="152"/>
    <x v="0"/>
    <x v="0"/>
    <x v="189"/>
    <x v="170"/>
    <x v="170"/>
    <x v="170"/>
    <x v="170"/>
    <x v="6"/>
  </r>
  <r>
    <x v="642"/>
    <x v="601"/>
    <x v="0"/>
    <x v="0"/>
    <x v="0"/>
    <x v="0"/>
    <x v="1"/>
    <x v="4"/>
    <x v="0"/>
    <x v="0"/>
    <x v="6"/>
    <x v="0"/>
    <x v="121"/>
    <x v="1"/>
    <x v="0"/>
    <x v="0"/>
    <x v="0"/>
    <x v="642"/>
    <x v="1"/>
    <x v="13"/>
    <x v="13"/>
    <x v="0"/>
    <x v="0"/>
    <x v="3"/>
    <x v="102"/>
    <x v="0"/>
    <x v="15"/>
    <x v="693"/>
    <x v="2"/>
    <x v="19"/>
    <x v="1"/>
    <x v="5"/>
    <x v="2"/>
    <x v="1"/>
    <x v="327"/>
    <x v="5"/>
    <x v="15"/>
    <x v="122"/>
    <x v="122"/>
    <x v="0"/>
    <x v="122"/>
    <x v="145"/>
    <x v="139"/>
    <x v="152"/>
    <x v="139"/>
    <x v="145"/>
    <x v="145"/>
    <x v="145"/>
    <x v="145"/>
    <x v="145"/>
    <x v="145"/>
    <x v="145"/>
    <x v="122"/>
    <x v="151"/>
    <x v="151"/>
    <x v="111"/>
    <x v="0"/>
    <x v="0"/>
    <x v="128"/>
    <x v="122"/>
    <x v="122"/>
    <x v="122"/>
    <x v="122"/>
    <x v="6"/>
  </r>
  <r>
    <x v="643"/>
    <x v="607"/>
    <x v="0"/>
    <x v="0"/>
    <x v="0"/>
    <x v="0"/>
    <x v="1"/>
    <x v="4"/>
    <x v="0"/>
    <x v="0"/>
    <x v="6"/>
    <x v="0"/>
    <x v="501"/>
    <x v="1"/>
    <x v="0"/>
    <x v="0"/>
    <x v="0"/>
    <x v="643"/>
    <x v="1"/>
    <x v="13"/>
    <x v="13"/>
    <x v="0"/>
    <x v="0"/>
    <x v="3"/>
    <x v="49"/>
    <x v="0"/>
    <x v="11"/>
    <x v="692"/>
    <x v="2"/>
    <x v="19"/>
    <x v="1"/>
    <x v="5"/>
    <x v="2"/>
    <x v="1"/>
    <x v="1154"/>
    <x v="5"/>
    <x v="11"/>
    <x v="501"/>
    <x v="501"/>
    <x v="0"/>
    <x v="501"/>
    <x v="646"/>
    <x v="598"/>
    <x v="707"/>
    <x v="598"/>
    <x v="646"/>
    <x v="646"/>
    <x v="646"/>
    <x v="646"/>
    <x v="646"/>
    <x v="646"/>
    <x v="646"/>
    <x v="501"/>
    <x v="708"/>
    <x v="708"/>
    <x v="500"/>
    <x v="0"/>
    <x v="0"/>
    <x v="485"/>
    <x v="501"/>
    <x v="501"/>
    <x v="501"/>
    <x v="501"/>
    <x v="6"/>
  </r>
  <r>
    <x v="644"/>
    <x v="619"/>
    <x v="0"/>
    <x v="0"/>
    <x v="0"/>
    <x v="0"/>
    <x v="1"/>
    <x v="4"/>
    <x v="0"/>
    <x v="0"/>
    <x v="6"/>
    <x v="0"/>
    <x v="618"/>
    <x v="1"/>
    <x v="0"/>
    <x v="0"/>
    <x v="0"/>
    <x v="644"/>
    <x v="1"/>
    <x v="13"/>
    <x v="13"/>
    <x v="0"/>
    <x v="0"/>
    <x v="3"/>
    <x v="49"/>
    <x v="0"/>
    <x v="11"/>
    <x v="690"/>
    <x v="2"/>
    <x v="19"/>
    <x v="1"/>
    <x v="5"/>
    <x v="2"/>
    <x v="1"/>
    <x v="1181"/>
    <x v="5"/>
    <x v="11"/>
    <x v="618"/>
    <x v="618"/>
    <x v="0"/>
    <x v="618"/>
    <x v="743"/>
    <x v="703"/>
    <x v="787"/>
    <x v="703"/>
    <x v="743"/>
    <x v="743"/>
    <x v="743"/>
    <x v="743"/>
    <x v="743"/>
    <x v="743"/>
    <x v="743"/>
    <x v="618"/>
    <x v="785"/>
    <x v="785"/>
    <x v="621"/>
    <x v="0"/>
    <x v="0"/>
    <x v="553"/>
    <x v="618"/>
    <x v="618"/>
    <x v="618"/>
    <x v="618"/>
    <x v="6"/>
  </r>
  <r>
    <x v="645"/>
    <x v="642"/>
    <x v="0"/>
    <x v="0"/>
    <x v="0"/>
    <x v="0"/>
    <x v="1"/>
    <x v="5"/>
    <x v="0"/>
    <x v="0"/>
    <x v="6"/>
    <x v="0"/>
    <x v="1252"/>
    <x v="1"/>
    <x v="0"/>
    <x v="0"/>
    <x v="0"/>
    <x v="645"/>
    <x v="1"/>
    <x v="13"/>
    <x v="13"/>
    <x v="0"/>
    <x v="0"/>
    <x v="3"/>
    <x v="47"/>
    <x v="0"/>
    <x v="12"/>
    <x v="16"/>
    <x v="3"/>
    <x v="30"/>
    <x v="1"/>
    <x v="6"/>
    <x v="3"/>
    <x v="1"/>
    <x v="1383"/>
    <x v="6"/>
    <x v="12"/>
    <x v="1250"/>
    <x v="1250"/>
    <x v="2"/>
    <x v="1250"/>
    <x v="1354"/>
    <x v="1322"/>
    <x v="1364"/>
    <x v="1322"/>
    <x v="1354"/>
    <x v="1354"/>
    <x v="1354"/>
    <x v="1354"/>
    <x v="1354"/>
    <x v="1354"/>
    <x v="1354"/>
    <x v="1250"/>
    <x v="1362"/>
    <x v="1362"/>
    <x v="0"/>
    <x v="115"/>
    <x v="0"/>
    <x v="1313"/>
    <x v="1250"/>
    <x v="1250"/>
    <x v="1250"/>
    <x v="1250"/>
    <x v="6"/>
  </r>
  <r>
    <x v="646"/>
    <x v="636"/>
    <x v="0"/>
    <x v="0"/>
    <x v="0"/>
    <x v="0"/>
    <x v="0"/>
    <x v="0"/>
    <x v="0"/>
    <x v="0"/>
    <x v="6"/>
    <x v="0"/>
    <x v="1150"/>
    <x v="1"/>
    <x v="0"/>
    <x v="0"/>
    <x v="0"/>
    <x v="646"/>
    <x v="2"/>
    <x v="13"/>
    <x v="13"/>
    <x v="0"/>
    <x v="0"/>
    <x v="3"/>
    <x v="102"/>
    <x v="0"/>
    <x v="27"/>
    <x v="686"/>
    <x v="9"/>
    <x v="53"/>
    <x v="1"/>
    <x v="1"/>
    <x v="1"/>
    <x v="1"/>
    <x v="919"/>
    <x v="1"/>
    <x v="27"/>
    <x v="1148"/>
    <x v="1148"/>
    <x v="1"/>
    <x v="1148"/>
    <x v="1159"/>
    <x v="1153"/>
    <x v="1140"/>
    <x v="1153"/>
    <x v="1159"/>
    <x v="1159"/>
    <x v="1159"/>
    <x v="1159"/>
    <x v="1159"/>
    <x v="1159"/>
    <x v="1159"/>
    <x v="1148"/>
    <x v="1138"/>
    <x v="1138"/>
    <x v="1072"/>
    <x v="0"/>
    <x v="0"/>
    <x v="1201"/>
    <x v="1148"/>
    <x v="1148"/>
    <x v="1148"/>
    <x v="1148"/>
    <x v="6"/>
  </r>
  <r>
    <x v="647"/>
    <x v="627"/>
    <x v="0"/>
    <x v="0"/>
    <x v="0"/>
    <x v="0"/>
    <x v="0"/>
    <x v="0"/>
    <x v="0"/>
    <x v="0"/>
    <x v="6"/>
    <x v="0"/>
    <x v="605"/>
    <x v="1"/>
    <x v="0"/>
    <x v="0"/>
    <x v="0"/>
    <x v="647"/>
    <x v="2"/>
    <x v="13"/>
    <x v="13"/>
    <x v="0"/>
    <x v="0"/>
    <x v="3"/>
    <x v="49"/>
    <x v="0"/>
    <x v="11"/>
    <x v="696"/>
    <x v="9"/>
    <x v="53"/>
    <x v="1"/>
    <x v="1"/>
    <x v="1"/>
    <x v="1"/>
    <x v="394"/>
    <x v="1"/>
    <x v="11"/>
    <x v="605"/>
    <x v="605"/>
    <x v="0"/>
    <x v="605"/>
    <x v="548"/>
    <x v="556"/>
    <x v="530"/>
    <x v="556"/>
    <x v="548"/>
    <x v="548"/>
    <x v="548"/>
    <x v="548"/>
    <x v="548"/>
    <x v="548"/>
    <x v="548"/>
    <x v="605"/>
    <x v="529"/>
    <x v="529"/>
    <x v="536"/>
    <x v="0"/>
    <x v="0"/>
    <x v="400"/>
    <x v="605"/>
    <x v="605"/>
    <x v="605"/>
    <x v="605"/>
    <x v="6"/>
  </r>
  <r>
    <x v="648"/>
    <x v="619"/>
    <x v="0"/>
    <x v="0"/>
    <x v="0"/>
    <x v="0"/>
    <x v="0"/>
    <x v="0"/>
    <x v="0"/>
    <x v="0"/>
    <x v="6"/>
    <x v="0"/>
    <x v="51"/>
    <x v="1"/>
    <x v="0"/>
    <x v="0"/>
    <x v="0"/>
    <x v="648"/>
    <x v="2"/>
    <x v="13"/>
    <x v="13"/>
    <x v="0"/>
    <x v="0"/>
    <x v="3"/>
    <x v="49"/>
    <x v="0"/>
    <x v="11"/>
    <x v="689"/>
    <x v="9"/>
    <x v="53"/>
    <x v="1"/>
    <x v="1"/>
    <x v="1"/>
    <x v="1"/>
    <x v="24"/>
    <x v="1"/>
    <x v="11"/>
    <x v="52"/>
    <x v="52"/>
    <x v="0"/>
    <x v="52"/>
    <x v="39"/>
    <x v="46"/>
    <x v="38"/>
    <x v="46"/>
    <x v="39"/>
    <x v="39"/>
    <x v="39"/>
    <x v="39"/>
    <x v="39"/>
    <x v="39"/>
    <x v="39"/>
    <x v="52"/>
    <x v="38"/>
    <x v="38"/>
    <x v="38"/>
    <x v="0"/>
    <x v="0"/>
    <x v="26"/>
    <x v="52"/>
    <x v="52"/>
    <x v="52"/>
    <x v="52"/>
    <x v="6"/>
  </r>
  <r>
    <x v="649"/>
    <x v="627"/>
    <x v="0"/>
    <x v="0"/>
    <x v="0"/>
    <x v="0"/>
    <x v="1"/>
    <x v="4"/>
    <x v="0"/>
    <x v="0"/>
    <x v="6"/>
    <x v="0"/>
    <x v="257"/>
    <x v="1"/>
    <x v="0"/>
    <x v="0"/>
    <x v="0"/>
    <x v="649"/>
    <x v="1"/>
    <x v="13"/>
    <x v="13"/>
    <x v="0"/>
    <x v="0"/>
    <x v="3"/>
    <x v="49"/>
    <x v="0"/>
    <x v="11"/>
    <x v="697"/>
    <x v="2"/>
    <x v="19"/>
    <x v="1"/>
    <x v="5"/>
    <x v="2"/>
    <x v="1"/>
    <x v="907"/>
    <x v="5"/>
    <x v="11"/>
    <x v="257"/>
    <x v="257"/>
    <x v="0"/>
    <x v="257"/>
    <x v="302"/>
    <x v="291"/>
    <x v="321"/>
    <x v="291"/>
    <x v="302"/>
    <x v="302"/>
    <x v="302"/>
    <x v="302"/>
    <x v="302"/>
    <x v="302"/>
    <x v="302"/>
    <x v="257"/>
    <x v="321"/>
    <x v="321"/>
    <x v="238"/>
    <x v="0"/>
    <x v="0"/>
    <x v="259"/>
    <x v="257"/>
    <x v="257"/>
    <x v="257"/>
    <x v="257"/>
    <x v="6"/>
  </r>
  <r>
    <x v="650"/>
    <x v="656"/>
    <x v="0"/>
    <x v="0"/>
    <x v="0"/>
    <x v="0"/>
    <x v="1"/>
    <x v="4"/>
    <x v="0"/>
    <x v="0"/>
    <x v="6"/>
    <x v="0"/>
    <x v="1264"/>
    <x v="1"/>
    <x v="0"/>
    <x v="0"/>
    <x v="0"/>
    <x v="650"/>
    <x v="1"/>
    <x v="13"/>
    <x v="13"/>
    <x v="0"/>
    <x v="0"/>
    <x v="3"/>
    <x v="47"/>
    <x v="0"/>
    <x v="12"/>
    <x v="702"/>
    <x v="2"/>
    <x v="19"/>
    <x v="1"/>
    <x v="5"/>
    <x v="2"/>
    <x v="1"/>
    <x v="1368"/>
    <x v="5"/>
    <x v="12"/>
    <x v="1262"/>
    <x v="1262"/>
    <x v="2"/>
    <x v="1262"/>
    <x v="1340"/>
    <x v="1316"/>
    <x v="1349"/>
    <x v="1316"/>
    <x v="1340"/>
    <x v="1340"/>
    <x v="1340"/>
    <x v="1340"/>
    <x v="1340"/>
    <x v="1340"/>
    <x v="1340"/>
    <x v="1262"/>
    <x v="1347"/>
    <x v="1347"/>
    <x v="1205"/>
    <x v="0"/>
    <x v="0"/>
    <x v="1281"/>
    <x v="1262"/>
    <x v="1262"/>
    <x v="1262"/>
    <x v="1262"/>
    <x v="6"/>
  </r>
  <r>
    <x v="651"/>
    <x v="607"/>
    <x v="0"/>
    <x v="0"/>
    <x v="0"/>
    <x v="0"/>
    <x v="0"/>
    <x v="0"/>
    <x v="0"/>
    <x v="0"/>
    <x v="6"/>
    <x v="0"/>
    <x v="1178"/>
    <x v="1"/>
    <x v="0"/>
    <x v="0"/>
    <x v="0"/>
    <x v="651"/>
    <x v="2"/>
    <x v="13"/>
    <x v="13"/>
    <x v="0"/>
    <x v="0"/>
    <x v="3"/>
    <x v="49"/>
    <x v="0"/>
    <x v="11"/>
    <x v="691"/>
    <x v="9"/>
    <x v="53"/>
    <x v="1"/>
    <x v="1"/>
    <x v="1"/>
    <x v="1"/>
    <x v="954"/>
    <x v="1"/>
    <x v="11"/>
    <x v="1176"/>
    <x v="1176"/>
    <x v="2"/>
    <x v="1176"/>
    <x v="1193"/>
    <x v="1186"/>
    <x v="1174"/>
    <x v="1186"/>
    <x v="1193"/>
    <x v="1193"/>
    <x v="1193"/>
    <x v="1193"/>
    <x v="1193"/>
    <x v="1193"/>
    <x v="1193"/>
    <x v="1176"/>
    <x v="1172"/>
    <x v="1172"/>
    <x v="1103"/>
    <x v="0"/>
    <x v="0"/>
    <x v="1013"/>
    <x v="1176"/>
    <x v="1176"/>
    <x v="1176"/>
    <x v="1176"/>
    <x v="6"/>
  </r>
  <r>
    <x v="652"/>
    <x v="619"/>
    <x v="0"/>
    <x v="0"/>
    <x v="0"/>
    <x v="0"/>
    <x v="0"/>
    <x v="0"/>
    <x v="0"/>
    <x v="0"/>
    <x v="6"/>
    <x v="0"/>
    <x v="834"/>
    <x v="1"/>
    <x v="0"/>
    <x v="0"/>
    <x v="0"/>
    <x v="652"/>
    <x v="2"/>
    <x v="13"/>
    <x v="13"/>
    <x v="0"/>
    <x v="0"/>
    <x v="3"/>
    <x v="49"/>
    <x v="0"/>
    <x v="11"/>
    <x v="38"/>
    <x v="9"/>
    <x v="53"/>
    <x v="1"/>
    <x v="1"/>
    <x v="1"/>
    <x v="1"/>
    <x v="577"/>
    <x v="1"/>
    <x v="11"/>
    <x v="834"/>
    <x v="834"/>
    <x v="1"/>
    <x v="834"/>
    <x v="844"/>
    <x v="842"/>
    <x v="812"/>
    <x v="842"/>
    <x v="844"/>
    <x v="844"/>
    <x v="844"/>
    <x v="844"/>
    <x v="844"/>
    <x v="844"/>
    <x v="844"/>
    <x v="834"/>
    <x v="811"/>
    <x v="811"/>
    <x v="773"/>
    <x v="0"/>
    <x v="0"/>
    <x v="579"/>
    <x v="834"/>
    <x v="834"/>
    <x v="834"/>
    <x v="834"/>
    <x v="6"/>
  </r>
  <r>
    <x v="653"/>
    <x v="627"/>
    <x v="0"/>
    <x v="0"/>
    <x v="0"/>
    <x v="0"/>
    <x v="1"/>
    <x v="4"/>
    <x v="0"/>
    <x v="0"/>
    <x v="6"/>
    <x v="0"/>
    <x v="895"/>
    <x v="1"/>
    <x v="0"/>
    <x v="0"/>
    <x v="0"/>
    <x v="653"/>
    <x v="1"/>
    <x v="13"/>
    <x v="13"/>
    <x v="0"/>
    <x v="0"/>
    <x v="3"/>
    <x v="49"/>
    <x v="0"/>
    <x v="11"/>
    <x v="698"/>
    <x v="2"/>
    <x v="19"/>
    <x v="1"/>
    <x v="5"/>
    <x v="2"/>
    <x v="1"/>
    <x v="1280"/>
    <x v="5"/>
    <x v="11"/>
    <x v="895"/>
    <x v="895"/>
    <x v="1"/>
    <x v="895"/>
    <x v="1000"/>
    <x v="963"/>
    <x v="1045"/>
    <x v="963"/>
    <x v="1000"/>
    <x v="1000"/>
    <x v="1000"/>
    <x v="1000"/>
    <x v="1000"/>
    <x v="1000"/>
    <x v="1000"/>
    <x v="895"/>
    <x v="1042"/>
    <x v="1042"/>
    <x v="858"/>
    <x v="0"/>
    <x v="0"/>
    <x v="858"/>
    <x v="895"/>
    <x v="895"/>
    <x v="895"/>
    <x v="895"/>
    <x v="6"/>
  </r>
  <r>
    <x v="654"/>
    <x v="644"/>
    <x v="0"/>
    <x v="0"/>
    <x v="0"/>
    <x v="0"/>
    <x v="0"/>
    <x v="0"/>
    <x v="0"/>
    <x v="0"/>
    <x v="6"/>
    <x v="0"/>
    <x v="546"/>
    <x v="1"/>
    <x v="0"/>
    <x v="0"/>
    <x v="0"/>
    <x v="654"/>
    <x v="2"/>
    <x v="13"/>
    <x v="13"/>
    <x v="0"/>
    <x v="0"/>
    <x v="3"/>
    <x v="103"/>
    <x v="0"/>
    <x v="12"/>
    <x v="684"/>
    <x v="9"/>
    <x v="53"/>
    <x v="1"/>
    <x v="1"/>
    <x v="1"/>
    <x v="1"/>
    <x v="364"/>
    <x v="1"/>
    <x v="12"/>
    <x v="546"/>
    <x v="546"/>
    <x v="0"/>
    <x v="546"/>
    <x v="506"/>
    <x v="516"/>
    <x v="490"/>
    <x v="516"/>
    <x v="506"/>
    <x v="506"/>
    <x v="506"/>
    <x v="506"/>
    <x v="506"/>
    <x v="506"/>
    <x v="506"/>
    <x v="546"/>
    <x v="489"/>
    <x v="489"/>
    <x v="488"/>
    <x v="0"/>
    <x v="0"/>
    <x v="394"/>
    <x v="546"/>
    <x v="546"/>
    <x v="546"/>
    <x v="546"/>
    <x v="6"/>
  </r>
  <r>
    <x v="655"/>
    <x v="642"/>
    <x v="0"/>
    <x v="0"/>
    <x v="0"/>
    <x v="0"/>
    <x v="1"/>
    <x v="5"/>
    <x v="0"/>
    <x v="0"/>
    <x v="6"/>
    <x v="0"/>
    <x v="101"/>
    <x v="1"/>
    <x v="0"/>
    <x v="0"/>
    <x v="0"/>
    <x v="655"/>
    <x v="1"/>
    <x v="13"/>
    <x v="13"/>
    <x v="0"/>
    <x v="0"/>
    <x v="3"/>
    <x v="47"/>
    <x v="0"/>
    <x v="12"/>
    <x v="681"/>
    <x v="3"/>
    <x v="30"/>
    <x v="1"/>
    <x v="6"/>
    <x v="3"/>
    <x v="1"/>
    <x v="564"/>
    <x v="6"/>
    <x v="12"/>
    <x v="102"/>
    <x v="102"/>
    <x v="0"/>
    <x v="102"/>
    <x v="135"/>
    <x v="126"/>
    <x v="146"/>
    <x v="126"/>
    <x v="135"/>
    <x v="135"/>
    <x v="135"/>
    <x v="135"/>
    <x v="135"/>
    <x v="135"/>
    <x v="135"/>
    <x v="102"/>
    <x v="146"/>
    <x v="146"/>
    <x v="0"/>
    <x v="30"/>
    <x v="0"/>
    <x v="117"/>
    <x v="102"/>
    <x v="102"/>
    <x v="102"/>
    <x v="102"/>
    <x v="6"/>
  </r>
  <r>
    <x v="656"/>
    <x v="639"/>
    <x v="0"/>
    <x v="0"/>
    <x v="0"/>
    <x v="0"/>
    <x v="0"/>
    <x v="0"/>
    <x v="0"/>
    <x v="0"/>
    <x v="6"/>
    <x v="0"/>
    <x v="410"/>
    <x v="1"/>
    <x v="0"/>
    <x v="0"/>
    <x v="0"/>
    <x v="656"/>
    <x v="2"/>
    <x v="13"/>
    <x v="13"/>
    <x v="0"/>
    <x v="0"/>
    <x v="3"/>
    <x v="49"/>
    <x v="0"/>
    <x v="33"/>
    <x v="687"/>
    <x v="9"/>
    <x v="53"/>
    <x v="1"/>
    <x v="1"/>
    <x v="1"/>
    <x v="1"/>
    <x v="281"/>
    <x v="1"/>
    <x v="33"/>
    <x v="410"/>
    <x v="410"/>
    <x v="0"/>
    <x v="410"/>
    <x v="406"/>
    <x v="405"/>
    <x v="385"/>
    <x v="405"/>
    <x v="406"/>
    <x v="406"/>
    <x v="406"/>
    <x v="406"/>
    <x v="406"/>
    <x v="406"/>
    <x v="406"/>
    <x v="410"/>
    <x v="385"/>
    <x v="385"/>
    <x v="367"/>
    <x v="0"/>
    <x v="0"/>
    <x v="592"/>
    <x v="410"/>
    <x v="410"/>
    <x v="410"/>
    <x v="410"/>
    <x v="6"/>
  </r>
  <r>
    <x v="657"/>
    <x v="649"/>
    <x v="0"/>
    <x v="0"/>
    <x v="0"/>
    <x v="0"/>
    <x v="1"/>
    <x v="4"/>
    <x v="0"/>
    <x v="0"/>
    <x v="6"/>
    <x v="0"/>
    <x v="141"/>
    <x v="1"/>
    <x v="0"/>
    <x v="0"/>
    <x v="0"/>
    <x v="657"/>
    <x v="1"/>
    <x v="13"/>
    <x v="13"/>
    <x v="0"/>
    <x v="0"/>
    <x v="3"/>
    <x v="49"/>
    <x v="0"/>
    <x v="12"/>
    <x v="695"/>
    <x v="2"/>
    <x v="19"/>
    <x v="1"/>
    <x v="5"/>
    <x v="2"/>
    <x v="1"/>
    <x v="462"/>
    <x v="5"/>
    <x v="12"/>
    <x v="142"/>
    <x v="142"/>
    <x v="0"/>
    <x v="142"/>
    <x v="167"/>
    <x v="163"/>
    <x v="171"/>
    <x v="163"/>
    <x v="167"/>
    <x v="167"/>
    <x v="167"/>
    <x v="167"/>
    <x v="167"/>
    <x v="167"/>
    <x v="167"/>
    <x v="142"/>
    <x v="171"/>
    <x v="171"/>
    <x v="129"/>
    <x v="0"/>
    <x v="0"/>
    <x v="138"/>
    <x v="142"/>
    <x v="142"/>
    <x v="142"/>
    <x v="142"/>
    <x v="6"/>
  </r>
  <r>
    <x v="658"/>
    <x v="643"/>
    <x v="0"/>
    <x v="0"/>
    <x v="0"/>
    <x v="0"/>
    <x v="1"/>
    <x v="5"/>
    <x v="0"/>
    <x v="0"/>
    <x v="6"/>
    <x v="0"/>
    <x v="573"/>
    <x v="1"/>
    <x v="0"/>
    <x v="0"/>
    <x v="0"/>
    <x v="658"/>
    <x v="1"/>
    <x v="13"/>
    <x v="13"/>
    <x v="0"/>
    <x v="0"/>
    <x v="3"/>
    <x v="47"/>
    <x v="0"/>
    <x v="12"/>
    <x v="679"/>
    <x v="3"/>
    <x v="30"/>
    <x v="1"/>
    <x v="6"/>
    <x v="3"/>
    <x v="1"/>
    <x v="1301"/>
    <x v="6"/>
    <x v="12"/>
    <x v="573"/>
    <x v="573"/>
    <x v="0"/>
    <x v="573"/>
    <x v="801"/>
    <x v="728"/>
    <x v="861"/>
    <x v="728"/>
    <x v="801"/>
    <x v="801"/>
    <x v="801"/>
    <x v="801"/>
    <x v="801"/>
    <x v="801"/>
    <x v="801"/>
    <x v="573"/>
    <x v="868"/>
    <x v="868"/>
    <x v="0"/>
    <x v="84"/>
    <x v="0"/>
    <x v="663"/>
    <x v="573"/>
    <x v="573"/>
    <x v="573"/>
    <x v="573"/>
    <x v="6"/>
  </r>
  <r>
    <x v="659"/>
    <x v="651"/>
    <x v="0"/>
    <x v="0"/>
    <x v="0"/>
    <x v="0"/>
    <x v="1"/>
    <x v="4"/>
    <x v="0"/>
    <x v="0"/>
    <x v="6"/>
    <x v="0"/>
    <x v="73"/>
    <x v="1"/>
    <x v="0"/>
    <x v="0"/>
    <x v="0"/>
    <x v="659"/>
    <x v="1"/>
    <x v="13"/>
    <x v="13"/>
    <x v="0"/>
    <x v="0"/>
    <x v="3"/>
    <x v="49"/>
    <x v="0"/>
    <x v="12"/>
    <x v="682"/>
    <x v="2"/>
    <x v="19"/>
    <x v="1"/>
    <x v="5"/>
    <x v="2"/>
    <x v="1"/>
    <x v="197"/>
    <x v="5"/>
    <x v="12"/>
    <x v="74"/>
    <x v="74"/>
    <x v="0"/>
    <x v="74"/>
    <x v="84"/>
    <x v="84"/>
    <x v="89"/>
    <x v="84"/>
    <x v="84"/>
    <x v="84"/>
    <x v="84"/>
    <x v="84"/>
    <x v="84"/>
    <x v="84"/>
    <x v="84"/>
    <x v="74"/>
    <x v="90"/>
    <x v="90"/>
    <x v="65"/>
    <x v="0"/>
    <x v="0"/>
    <x v="63"/>
    <x v="74"/>
    <x v="74"/>
    <x v="74"/>
    <x v="74"/>
    <x v="6"/>
  </r>
  <r>
    <x v="660"/>
    <x v="653"/>
    <x v="0"/>
    <x v="0"/>
    <x v="0"/>
    <x v="0"/>
    <x v="1"/>
    <x v="4"/>
    <x v="0"/>
    <x v="0"/>
    <x v="6"/>
    <x v="0"/>
    <x v="163"/>
    <x v="1"/>
    <x v="0"/>
    <x v="0"/>
    <x v="0"/>
    <x v="660"/>
    <x v="1"/>
    <x v="13"/>
    <x v="13"/>
    <x v="0"/>
    <x v="0"/>
    <x v="3"/>
    <x v="49"/>
    <x v="0"/>
    <x v="12"/>
    <x v="701"/>
    <x v="2"/>
    <x v="19"/>
    <x v="1"/>
    <x v="5"/>
    <x v="2"/>
    <x v="1"/>
    <x v="574"/>
    <x v="5"/>
    <x v="12"/>
    <x v="164"/>
    <x v="164"/>
    <x v="0"/>
    <x v="164"/>
    <x v="196"/>
    <x v="188"/>
    <x v="206"/>
    <x v="188"/>
    <x v="196"/>
    <x v="196"/>
    <x v="196"/>
    <x v="196"/>
    <x v="196"/>
    <x v="196"/>
    <x v="196"/>
    <x v="164"/>
    <x v="206"/>
    <x v="206"/>
    <x v="148"/>
    <x v="0"/>
    <x v="0"/>
    <x v="175"/>
    <x v="164"/>
    <x v="164"/>
    <x v="164"/>
    <x v="164"/>
    <x v="6"/>
  </r>
  <r>
    <x v="661"/>
    <x v="653"/>
    <x v="0"/>
    <x v="0"/>
    <x v="0"/>
    <x v="0"/>
    <x v="1"/>
    <x v="4"/>
    <x v="0"/>
    <x v="0"/>
    <x v="6"/>
    <x v="0"/>
    <x v="143"/>
    <x v="1"/>
    <x v="0"/>
    <x v="0"/>
    <x v="0"/>
    <x v="661"/>
    <x v="1"/>
    <x v="13"/>
    <x v="13"/>
    <x v="0"/>
    <x v="0"/>
    <x v="3"/>
    <x v="49"/>
    <x v="0"/>
    <x v="12"/>
    <x v="700"/>
    <x v="2"/>
    <x v="19"/>
    <x v="1"/>
    <x v="5"/>
    <x v="2"/>
    <x v="1"/>
    <x v="465"/>
    <x v="5"/>
    <x v="12"/>
    <x v="144"/>
    <x v="144"/>
    <x v="0"/>
    <x v="144"/>
    <x v="168"/>
    <x v="164"/>
    <x v="172"/>
    <x v="164"/>
    <x v="168"/>
    <x v="168"/>
    <x v="168"/>
    <x v="168"/>
    <x v="168"/>
    <x v="168"/>
    <x v="168"/>
    <x v="144"/>
    <x v="172"/>
    <x v="172"/>
    <x v="131"/>
    <x v="0"/>
    <x v="0"/>
    <x v="139"/>
    <x v="144"/>
    <x v="144"/>
    <x v="144"/>
    <x v="144"/>
    <x v="6"/>
  </r>
  <r>
    <x v="662"/>
    <x v="657"/>
    <x v="0"/>
    <x v="0"/>
    <x v="0"/>
    <x v="0"/>
    <x v="1"/>
    <x v="4"/>
    <x v="0"/>
    <x v="0"/>
    <x v="6"/>
    <x v="0"/>
    <x v="139"/>
    <x v="1"/>
    <x v="0"/>
    <x v="0"/>
    <x v="0"/>
    <x v="662"/>
    <x v="1"/>
    <x v="13"/>
    <x v="13"/>
    <x v="0"/>
    <x v="0"/>
    <x v="3"/>
    <x v="49"/>
    <x v="0"/>
    <x v="18"/>
    <x v="680"/>
    <x v="2"/>
    <x v="19"/>
    <x v="1"/>
    <x v="5"/>
    <x v="2"/>
    <x v="1"/>
    <x v="453"/>
    <x v="5"/>
    <x v="18"/>
    <x v="140"/>
    <x v="140"/>
    <x v="0"/>
    <x v="140"/>
    <x v="164"/>
    <x v="162"/>
    <x v="170"/>
    <x v="162"/>
    <x v="164"/>
    <x v="164"/>
    <x v="164"/>
    <x v="164"/>
    <x v="164"/>
    <x v="164"/>
    <x v="164"/>
    <x v="140"/>
    <x v="170"/>
    <x v="170"/>
    <x v="128"/>
    <x v="0"/>
    <x v="0"/>
    <x v="166"/>
    <x v="140"/>
    <x v="140"/>
    <x v="140"/>
    <x v="140"/>
    <x v="6"/>
  </r>
  <r>
    <x v="663"/>
    <x v="690"/>
    <x v="0"/>
    <x v="0"/>
    <x v="0"/>
    <x v="0"/>
    <x v="0"/>
    <x v="0"/>
    <x v="0"/>
    <x v="0"/>
    <x v="6"/>
    <x v="0"/>
    <x v="1230"/>
    <x v="1"/>
    <x v="0"/>
    <x v="0"/>
    <x v="0"/>
    <x v="663"/>
    <x v="2"/>
    <x v="13"/>
    <x v="13"/>
    <x v="0"/>
    <x v="0"/>
    <x v="3"/>
    <x v="128"/>
    <x v="0"/>
    <x v="28"/>
    <x v="35"/>
    <x v="9"/>
    <x v="53"/>
    <x v="1"/>
    <x v="1"/>
    <x v="1"/>
    <x v="1"/>
    <x v="1027"/>
    <x v="1"/>
    <x v="28"/>
    <x v="1228"/>
    <x v="1228"/>
    <x v="2"/>
    <x v="1228"/>
    <x v="1254"/>
    <x v="1242"/>
    <x v="1239"/>
    <x v="1242"/>
    <x v="1254"/>
    <x v="1254"/>
    <x v="1254"/>
    <x v="1254"/>
    <x v="1254"/>
    <x v="1254"/>
    <x v="1254"/>
    <x v="1228"/>
    <x v="1239"/>
    <x v="1239"/>
    <x v="1157"/>
    <x v="0"/>
    <x v="0"/>
    <x v="1292"/>
    <x v="1228"/>
    <x v="1228"/>
    <x v="1228"/>
    <x v="1228"/>
    <x v="6"/>
  </r>
  <r>
    <x v="664"/>
    <x v="524"/>
    <x v="0"/>
    <x v="0"/>
    <x v="0"/>
    <x v="0"/>
    <x v="0"/>
    <x v="0"/>
    <x v="0"/>
    <x v="0"/>
    <x v="6"/>
    <x v="0"/>
    <x v="921"/>
    <x v="1"/>
    <x v="0"/>
    <x v="0"/>
    <x v="0"/>
    <x v="664"/>
    <x v="2"/>
    <x v="14"/>
    <x v="14"/>
    <x v="0"/>
    <x v="0"/>
    <x v="3"/>
    <x v="40"/>
    <x v="0"/>
    <x v="9"/>
    <x v="665"/>
    <x v="9"/>
    <x v="53"/>
    <x v="1"/>
    <x v="1"/>
    <x v="1"/>
    <x v="1"/>
    <x v="668"/>
    <x v="1"/>
    <x v="9"/>
    <x v="921"/>
    <x v="921"/>
    <x v="1"/>
    <x v="921"/>
    <x v="926"/>
    <x v="926"/>
    <x v="921"/>
    <x v="926"/>
    <x v="926"/>
    <x v="926"/>
    <x v="926"/>
    <x v="926"/>
    <x v="926"/>
    <x v="926"/>
    <x v="926"/>
    <x v="921"/>
    <x v="920"/>
    <x v="920"/>
    <x v="856"/>
    <x v="0"/>
    <x v="0"/>
    <x v="632"/>
    <x v="921"/>
    <x v="921"/>
    <x v="921"/>
    <x v="921"/>
    <x v="6"/>
  </r>
  <r>
    <x v="665"/>
    <x v="513"/>
    <x v="0"/>
    <x v="0"/>
    <x v="0"/>
    <x v="0"/>
    <x v="0"/>
    <x v="0"/>
    <x v="0"/>
    <x v="0"/>
    <x v="6"/>
    <x v="0"/>
    <x v="1114"/>
    <x v="1"/>
    <x v="0"/>
    <x v="0"/>
    <x v="0"/>
    <x v="665"/>
    <x v="2"/>
    <x v="14"/>
    <x v="14"/>
    <x v="0"/>
    <x v="0"/>
    <x v="3"/>
    <x v="40"/>
    <x v="0"/>
    <x v="7"/>
    <x v="659"/>
    <x v="9"/>
    <x v="53"/>
    <x v="1"/>
    <x v="1"/>
    <x v="1"/>
    <x v="1"/>
    <x v="881"/>
    <x v="1"/>
    <x v="7"/>
    <x v="1112"/>
    <x v="1112"/>
    <x v="1"/>
    <x v="1112"/>
    <x v="1121"/>
    <x v="1120"/>
    <x v="1105"/>
    <x v="1120"/>
    <x v="1121"/>
    <x v="1121"/>
    <x v="1121"/>
    <x v="1121"/>
    <x v="1121"/>
    <x v="1121"/>
    <x v="1121"/>
    <x v="1112"/>
    <x v="1104"/>
    <x v="1104"/>
    <x v="1043"/>
    <x v="0"/>
    <x v="0"/>
    <x v="845"/>
    <x v="1112"/>
    <x v="1112"/>
    <x v="1112"/>
    <x v="1112"/>
    <x v="6"/>
  </r>
  <r>
    <x v="666"/>
    <x v="550"/>
    <x v="0"/>
    <x v="0"/>
    <x v="0"/>
    <x v="0"/>
    <x v="0"/>
    <x v="0"/>
    <x v="0"/>
    <x v="0"/>
    <x v="6"/>
    <x v="0"/>
    <x v="333"/>
    <x v="1"/>
    <x v="0"/>
    <x v="0"/>
    <x v="0"/>
    <x v="666"/>
    <x v="2"/>
    <x v="14"/>
    <x v="14"/>
    <x v="0"/>
    <x v="0"/>
    <x v="3"/>
    <x v="40"/>
    <x v="0"/>
    <x v="9"/>
    <x v="706"/>
    <x v="9"/>
    <x v="53"/>
    <x v="1"/>
    <x v="1"/>
    <x v="1"/>
    <x v="1"/>
    <x v="222"/>
    <x v="1"/>
    <x v="9"/>
    <x v="333"/>
    <x v="333"/>
    <x v="0"/>
    <x v="333"/>
    <x v="323"/>
    <x v="329"/>
    <x v="317"/>
    <x v="329"/>
    <x v="323"/>
    <x v="323"/>
    <x v="323"/>
    <x v="323"/>
    <x v="323"/>
    <x v="323"/>
    <x v="323"/>
    <x v="333"/>
    <x v="317"/>
    <x v="317"/>
    <x v="293"/>
    <x v="0"/>
    <x v="0"/>
    <x v="237"/>
    <x v="333"/>
    <x v="333"/>
    <x v="333"/>
    <x v="333"/>
    <x v="6"/>
  </r>
  <r>
    <x v="667"/>
    <x v="544"/>
    <x v="0"/>
    <x v="0"/>
    <x v="0"/>
    <x v="0"/>
    <x v="0"/>
    <x v="2"/>
    <x v="0"/>
    <x v="0"/>
    <x v="6"/>
    <x v="0"/>
    <x v="773"/>
    <x v="1"/>
    <x v="0"/>
    <x v="0"/>
    <x v="0"/>
    <x v="667"/>
    <x v="1"/>
    <x v="14"/>
    <x v="14"/>
    <x v="0"/>
    <x v="0"/>
    <x v="3"/>
    <x v="40"/>
    <x v="0"/>
    <x v="9"/>
    <x v="718"/>
    <x v="1"/>
    <x v="5"/>
    <x v="1"/>
    <x v="3"/>
    <x v="2"/>
    <x v="1"/>
    <x v="1030"/>
    <x v="3"/>
    <x v="9"/>
    <x v="773"/>
    <x v="773"/>
    <x v="1"/>
    <x v="773"/>
    <x v="861"/>
    <x v="840"/>
    <x v="873"/>
    <x v="840"/>
    <x v="861"/>
    <x v="861"/>
    <x v="861"/>
    <x v="861"/>
    <x v="861"/>
    <x v="861"/>
    <x v="861"/>
    <x v="773"/>
    <x v="869"/>
    <x v="869"/>
    <x v="726"/>
    <x v="0"/>
    <x v="0"/>
    <x v="577"/>
    <x v="773"/>
    <x v="773"/>
    <x v="773"/>
    <x v="773"/>
    <x v="6"/>
  </r>
  <r>
    <x v="668"/>
    <x v="541"/>
    <x v="0"/>
    <x v="0"/>
    <x v="0"/>
    <x v="0"/>
    <x v="0"/>
    <x v="0"/>
    <x v="0"/>
    <x v="0"/>
    <x v="6"/>
    <x v="0"/>
    <x v="1229"/>
    <x v="1"/>
    <x v="0"/>
    <x v="0"/>
    <x v="0"/>
    <x v="668"/>
    <x v="2"/>
    <x v="14"/>
    <x v="14"/>
    <x v="0"/>
    <x v="0"/>
    <x v="3"/>
    <x v="40"/>
    <x v="0"/>
    <x v="10"/>
    <x v="708"/>
    <x v="9"/>
    <x v="53"/>
    <x v="1"/>
    <x v="1"/>
    <x v="1"/>
    <x v="1"/>
    <x v="1026"/>
    <x v="1"/>
    <x v="10"/>
    <x v="1227"/>
    <x v="1227"/>
    <x v="2"/>
    <x v="1227"/>
    <x v="1253"/>
    <x v="1241"/>
    <x v="1238"/>
    <x v="1241"/>
    <x v="1253"/>
    <x v="1253"/>
    <x v="1253"/>
    <x v="1253"/>
    <x v="1253"/>
    <x v="1253"/>
    <x v="1253"/>
    <x v="1227"/>
    <x v="1238"/>
    <x v="1238"/>
    <x v="1156"/>
    <x v="0"/>
    <x v="0"/>
    <x v="1072"/>
    <x v="1227"/>
    <x v="1227"/>
    <x v="1227"/>
    <x v="1227"/>
    <x v="6"/>
  </r>
  <r>
    <x v="669"/>
    <x v="551"/>
    <x v="0"/>
    <x v="0"/>
    <x v="0"/>
    <x v="0"/>
    <x v="0"/>
    <x v="2"/>
    <x v="0"/>
    <x v="0"/>
    <x v="6"/>
    <x v="0"/>
    <x v="696"/>
    <x v="1"/>
    <x v="0"/>
    <x v="0"/>
    <x v="0"/>
    <x v="669"/>
    <x v="1"/>
    <x v="14"/>
    <x v="14"/>
    <x v="0"/>
    <x v="0"/>
    <x v="3"/>
    <x v="128"/>
    <x v="0"/>
    <x v="8"/>
    <x v="720"/>
    <x v="1"/>
    <x v="5"/>
    <x v="1"/>
    <x v="3"/>
    <x v="2"/>
    <x v="1"/>
    <x v="975"/>
    <x v="3"/>
    <x v="8"/>
    <x v="696"/>
    <x v="696"/>
    <x v="1"/>
    <x v="696"/>
    <x v="783"/>
    <x v="766"/>
    <x v="785"/>
    <x v="766"/>
    <x v="783"/>
    <x v="783"/>
    <x v="783"/>
    <x v="783"/>
    <x v="783"/>
    <x v="783"/>
    <x v="783"/>
    <x v="696"/>
    <x v="779"/>
    <x v="779"/>
    <x v="655"/>
    <x v="0"/>
    <x v="0"/>
    <x v="472"/>
    <x v="696"/>
    <x v="696"/>
    <x v="696"/>
    <x v="696"/>
    <x v="6"/>
  </r>
  <r>
    <x v="670"/>
    <x v="539"/>
    <x v="0"/>
    <x v="0"/>
    <x v="0"/>
    <x v="0"/>
    <x v="0"/>
    <x v="2"/>
    <x v="0"/>
    <x v="0"/>
    <x v="6"/>
    <x v="0"/>
    <x v="1065"/>
    <x v="1"/>
    <x v="0"/>
    <x v="0"/>
    <x v="0"/>
    <x v="670"/>
    <x v="1"/>
    <x v="14"/>
    <x v="14"/>
    <x v="0"/>
    <x v="0"/>
    <x v="3"/>
    <x v="40"/>
    <x v="0"/>
    <x v="4"/>
    <x v="673"/>
    <x v="1"/>
    <x v="5"/>
    <x v="1"/>
    <x v="3"/>
    <x v="2"/>
    <x v="1"/>
    <x v="1221"/>
    <x v="3"/>
    <x v="4"/>
    <x v="1063"/>
    <x v="1063"/>
    <x v="1"/>
    <x v="1063"/>
    <x v="1148"/>
    <x v="1129"/>
    <x v="1163"/>
    <x v="1129"/>
    <x v="1148"/>
    <x v="1148"/>
    <x v="1148"/>
    <x v="1148"/>
    <x v="1148"/>
    <x v="1148"/>
    <x v="1148"/>
    <x v="1063"/>
    <x v="1157"/>
    <x v="1157"/>
    <x v="1005"/>
    <x v="0"/>
    <x v="0"/>
    <x v="807"/>
    <x v="1063"/>
    <x v="1063"/>
    <x v="1063"/>
    <x v="1063"/>
    <x v="6"/>
  </r>
  <r>
    <x v="671"/>
    <x v="559"/>
    <x v="0"/>
    <x v="0"/>
    <x v="0"/>
    <x v="0"/>
    <x v="0"/>
    <x v="0"/>
    <x v="0"/>
    <x v="0"/>
    <x v="6"/>
    <x v="0"/>
    <x v="621"/>
    <x v="1"/>
    <x v="0"/>
    <x v="0"/>
    <x v="0"/>
    <x v="671"/>
    <x v="2"/>
    <x v="14"/>
    <x v="14"/>
    <x v="0"/>
    <x v="0"/>
    <x v="4"/>
    <x v="128"/>
    <x v="0"/>
    <x v="9"/>
    <x v="724"/>
    <x v="9"/>
    <x v="53"/>
    <x v="1"/>
    <x v="1"/>
    <x v="1"/>
    <x v="1"/>
    <x v="406"/>
    <x v="1"/>
    <x v="9"/>
    <x v="621"/>
    <x v="621"/>
    <x v="0"/>
    <x v="621"/>
    <x v="565"/>
    <x v="575"/>
    <x v="543"/>
    <x v="575"/>
    <x v="565"/>
    <x v="565"/>
    <x v="565"/>
    <x v="565"/>
    <x v="565"/>
    <x v="565"/>
    <x v="565"/>
    <x v="621"/>
    <x v="544"/>
    <x v="544"/>
    <x v="557"/>
    <x v="0"/>
    <x v="0"/>
    <x v="378"/>
    <x v="621"/>
    <x v="621"/>
    <x v="621"/>
    <x v="621"/>
    <x v="6"/>
  </r>
  <r>
    <x v="672"/>
    <x v="554"/>
    <x v="0"/>
    <x v="0"/>
    <x v="0"/>
    <x v="0"/>
    <x v="0"/>
    <x v="2"/>
    <x v="0"/>
    <x v="0"/>
    <x v="6"/>
    <x v="0"/>
    <x v="636"/>
    <x v="1"/>
    <x v="0"/>
    <x v="0"/>
    <x v="0"/>
    <x v="672"/>
    <x v="1"/>
    <x v="14"/>
    <x v="14"/>
    <x v="0"/>
    <x v="0"/>
    <x v="3"/>
    <x v="128"/>
    <x v="0"/>
    <x v="8"/>
    <x v="722"/>
    <x v="1"/>
    <x v="5"/>
    <x v="1"/>
    <x v="3"/>
    <x v="2"/>
    <x v="1"/>
    <x v="946"/>
    <x v="3"/>
    <x v="8"/>
    <x v="636"/>
    <x v="636"/>
    <x v="0"/>
    <x v="636"/>
    <x v="725"/>
    <x v="714"/>
    <x v="741"/>
    <x v="714"/>
    <x v="725"/>
    <x v="725"/>
    <x v="725"/>
    <x v="725"/>
    <x v="725"/>
    <x v="725"/>
    <x v="725"/>
    <x v="636"/>
    <x v="737"/>
    <x v="737"/>
    <x v="601"/>
    <x v="0"/>
    <x v="0"/>
    <x v="440"/>
    <x v="636"/>
    <x v="636"/>
    <x v="636"/>
    <x v="636"/>
    <x v="6"/>
  </r>
  <r>
    <x v="673"/>
    <x v="558"/>
    <x v="0"/>
    <x v="0"/>
    <x v="0"/>
    <x v="0"/>
    <x v="0"/>
    <x v="2"/>
    <x v="0"/>
    <x v="0"/>
    <x v="6"/>
    <x v="0"/>
    <x v="659"/>
    <x v="1"/>
    <x v="0"/>
    <x v="0"/>
    <x v="0"/>
    <x v="673"/>
    <x v="1"/>
    <x v="14"/>
    <x v="14"/>
    <x v="0"/>
    <x v="0"/>
    <x v="3"/>
    <x v="128"/>
    <x v="0"/>
    <x v="8"/>
    <x v="723"/>
    <x v="1"/>
    <x v="5"/>
    <x v="1"/>
    <x v="3"/>
    <x v="2"/>
    <x v="1"/>
    <x v="956"/>
    <x v="3"/>
    <x v="8"/>
    <x v="659"/>
    <x v="659"/>
    <x v="0"/>
    <x v="659"/>
    <x v="739"/>
    <x v="731"/>
    <x v="754"/>
    <x v="731"/>
    <x v="739"/>
    <x v="739"/>
    <x v="739"/>
    <x v="739"/>
    <x v="739"/>
    <x v="739"/>
    <x v="739"/>
    <x v="659"/>
    <x v="746"/>
    <x v="746"/>
    <x v="616"/>
    <x v="0"/>
    <x v="0"/>
    <x v="450"/>
    <x v="659"/>
    <x v="659"/>
    <x v="659"/>
    <x v="659"/>
    <x v="6"/>
  </r>
  <r>
    <x v="674"/>
    <x v="544"/>
    <x v="0"/>
    <x v="0"/>
    <x v="0"/>
    <x v="0"/>
    <x v="0"/>
    <x v="2"/>
    <x v="0"/>
    <x v="0"/>
    <x v="6"/>
    <x v="0"/>
    <x v="185"/>
    <x v="1"/>
    <x v="0"/>
    <x v="0"/>
    <x v="0"/>
    <x v="674"/>
    <x v="1"/>
    <x v="14"/>
    <x v="14"/>
    <x v="0"/>
    <x v="0"/>
    <x v="3"/>
    <x v="40"/>
    <x v="0"/>
    <x v="9"/>
    <x v="38"/>
    <x v="1"/>
    <x v="5"/>
    <x v="1"/>
    <x v="3"/>
    <x v="2"/>
    <x v="1"/>
    <x v="305"/>
    <x v="3"/>
    <x v="9"/>
    <x v="186"/>
    <x v="186"/>
    <x v="0"/>
    <x v="186"/>
    <x v="218"/>
    <x v="216"/>
    <x v="218"/>
    <x v="216"/>
    <x v="218"/>
    <x v="218"/>
    <x v="218"/>
    <x v="218"/>
    <x v="218"/>
    <x v="218"/>
    <x v="218"/>
    <x v="186"/>
    <x v="217"/>
    <x v="217"/>
    <x v="164"/>
    <x v="0"/>
    <x v="0"/>
    <x v="168"/>
    <x v="186"/>
    <x v="186"/>
    <x v="186"/>
    <x v="186"/>
    <x v="6"/>
  </r>
  <r>
    <x v="675"/>
    <x v="544"/>
    <x v="0"/>
    <x v="0"/>
    <x v="0"/>
    <x v="0"/>
    <x v="0"/>
    <x v="2"/>
    <x v="0"/>
    <x v="0"/>
    <x v="6"/>
    <x v="0"/>
    <x v="1277"/>
    <x v="1"/>
    <x v="0"/>
    <x v="0"/>
    <x v="0"/>
    <x v="675"/>
    <x v="1"/>
    <x v="14"/>
    <x v="14"/>
    <x v="0"/>
    <x v="0"/>
    <x v="3"/>
    <x v="40"/>
    <x v="0"/>
    <x v="9"/>
    <x v="719"/>
    <x v="1"/>
    <x v="5"/>
    <x v="1"/>
    <x v="3"/>
    <x v="2"/>
    <x v="1"/>
    <x v="1313"/>
    <x v="3"/>
    <x v="9"/>
    <x v="1275"/>
    <x v="1275"/>
    <x v="2"/>
    <x v="1275"/>
    <x v="1339"/>
    <x v="1324"/>
    <x v="1342"/>
    <x v="1324"/>
    <x v="1339"/>
    <x v="1339"/>
    <x v="1339"/>
    <x v="1339"/>
    <x v="1339"/>
    <x v="1339"/>
    <x v="1339"/>
    <x v="1275"/>
    <x v="1341"/>
    <x v="1341"/>
    <x v="1204"/>
    <x v="0"/>
    <x v="0"/>
    <x v="1218"/>
    <x v="1275"/>
    <x v="1275"/>
    <x v="1275"/>
    <x v="1275"/>
    <x v="6"/>
  </r>
  <r>
    <x v="676"/>
    <x v="559"/>
    <x v="0"/>
    <x v="0"/>
    <x v="0"/>
    <x v="0"/>
    <x v="0"/>
    <x v="2"/>
    <x v="0"/>
    <x v="0"/>
    <x v="6"/>
    <x v="0"/>
    <x v="1082"/>
    <x v="1"/>
    <x v="0"/>
    <x v="0"/>
    <x v="0"/>
    <x v="676"/>
    <x v="1"/>
    <x v="14"/>
    <x v="14"/>
    <x v="0"/>
    <x v="0"/>
    <x v="4"/>
    <x v="128"/>
    <x v="0"/>
    <x v="9"/>
    <x v="725"/>
    <x v="1"/>
    <x v="5"/>
    <x v="1"/>
    <x v="3"/>
    <x v="2"/>
    <x v="1"/>
    <x v="1235"/>
    <x v="3"/>
    <x v="9"/>
    <x v="1080"/>
    <x v="1080"/>
    <x v="1"/>
    <x v="1080"/>
    <x v="1170"/>
    <x v="1152"/>
    <x v="1183"/>
    <x v="1152"/>
    <x v="1170"/>
    <x v="1170"/>
    <x v="1170"/>
    <x v="1170"/>
    <x v="1170"/>
    <x v="1170"/>
    <x v="1170"/>
    <x v="1080"/>
    <x v="1181"/>
    <x v="1181"/>
    <x v="1026"/>
    <x v="0"/>
    <x v="0"/>
    <x v="977"/>
    <x v="1080"/>
    <x v="1080"/>
    <x v="1080"/>
    <x v="1080"/>
    <x v="6"/>
  </r>
  <r>
    <x v="677"/>
    <x v="565"/>
    <x v="0"/>
    <x v="0"/>
    <x v="0"/>
    <x v="0"/>
    <x v="0"/>
    <x v="0"/>
    <x v="0"/>
    <x v="0"/>
    <x v="6"/>
    <x v="0"/>
    <x v="262"/>
    <x v="1"/>
    <x v="0"/>
    <x v="0"/>
    <x v="0"/>
    <x v="677"/>
    <x v="2"/>
    <x v="14"/>
    <x v="14"/>
    <x v="0"/>
    <x v="0"/>
    <x v="4"/>
    <x v="128"/>
    <x v="0"/>
    <x v="9"/>
    <x v="710"/>
    <x v="9"/>
    <x v="53"/>
    <x v="1"/>
    <x v="1"/>
    <x v="1"/>
    <x v="1"/>
    <x v="171"/>
    <x v="1"/>
    <x v="9"/>
    <x v="262"/>
    <x v="262"/>
    <x v="0"/>
    <x v="262"/>
    <x v="267"/>
    <x v="268"/>
    <x v="261"/>
    <x v="268"/>
    <x v="267"/>
    <x v="267"/>
    <x v="267"/>
    <x v="267"/>
    <x v="267"/>
    <x v="267"/>
    <x v="267"/>
    <x v="262"/>
    <x v="260"/>
    <x v="260"/>
    <x v="229"/>
    <x v="0"/>
    <x v="0"/>
    <x v="197"/>
    <x v="262"/>
    <x v="262"/>
    <x v="262"/>
    <x v="262"/>
    <x v="6"/>
  </r>
  <r>
    <x v="678"/>
    <x v="583"/>
    <x v="0"/>
    <x v="0"/>
    <x v="0"/>
    <x v="0"/>
    <x v="0"/>
    <x v="2"/>
    <x v="0"/>
    <x v="0"/>
    <x v="6"/>
    <x v="0"/>
    <x v="1014"/>
    <x v="1"/>
    <x v="0"/>
    <x v="0"/>
    <x v="0"/>
    <x v="678"/>
    <x v="1"/>
    <x v="14"/>
    <x v="14"/>
    <x v="0"/>
    <x v="0"/>
    <x v="3"/>
    <x v="70"/>
    <x v="0"/>
    <x v="9"/>
    <x v="726"/>
    <x v="1"/>
    <x v="5"/>
    <x v="1"/>
    <x v="3"/>
    <x v="2"/>
    <x v="1"/>
    <x v="1187"/>
    <x v="3"/>
    <x v="9"/>
    <x v="1014"/>
    <x v="1014"/>
    <x v="1"/>
    <x v="1014"/>
    <x v="1098"/>
    <x v="1082"/>
    <x v="1114"/>
    <x v="1082"/>
    <x v="1098"/>
    <x v="1098"/>
    <x v="1098"/>
    <x v="1098"/>
    <x v="1098"/>
    <x v="1098"/>
    <x v="1098"/>
    <x v="1014"/>
    <x v="1108"/>
    <x v="1108"/>
    <x v="961"/>
    <x v="0"/>
    <x v="0"/>
    <x v="899"/>
    <x v="1014"/>
    <x v="1014"/>
    <x v="1014"/>
    <x v="1014"/>
    <x v="6"/>
  </r>
  <r>
    <x v="679"/>
    <x v="585"/>
    <x v="0"/>
    <x v="0"/>
    <x v="0"/>
    <x v="0"/>
    <x v="0"/>
    <x v="2"/>
    <x v="0"/>
    <x v="0"/>
    <x v="6"/>
    <x v="0"/>
    <x v="68"/>
    <x v="1"/>
    <x v="0"/>
    <x v="0"/>
    <x v="0"/>
    <x v="679"/>
    <x v="1"/>
    <x v="14"/>
    <x v="14"/>
    <x v="0"/>
    <x v="0"/>
    <x v="3"/>
    <x v="107"/>
    <x v="0"/>
    <x v="9"/>
    <x v="728"/>
    <x v="1"/>
    <x v="5"/>
    <x v="1"/>
    <x v="3"/>
    <x v="2"/>
    <x v="1"/>
    <x v="85"/>
    <x v="3"/>
    <x v="9"/>
    <x v="69"/>
    <x v="69"/>
    <x v="0"/>
    <x v="69"/>
    <x v="76"/>
    <x v="75"/>
    <x v="74"/>
    <x v="75"/>
    <x v="76"/>
    <x v="76"/>
    <x v="76"/>
    <x v="76"/>
    <x v="76"/>
    <x v="76"/>
    <x v="76"/>
    <x v="69"/>
    <x v="73"/>
    <x v="73"/>
    <x v="57"/>
    <x v="0"/>
    <x v="0"/>
    <x v="40"/>
    <x v="69"/>
    <x v="69"/>
    <x v="69"/>
    <x v="69"/>
    <x v="6"/>
  </r>
  <r>
    <x v="680"/>
    <x v="586"/>
    <x v="0"/>
    <x v="0"/>
    <x v="0"/>
    <x v="0"/>
    <x v="0"/>
    <x v="2"/>
    <x v="0"/>
    <x v="0"/>
    <x v="6"/>
    <x v="0"/>
    <x v="68"/>
    <x v="1"/>
    <x v="0"/>
    <x v="0"/>
    <x v="0"/>
    <x v="680"/>
    <x v="1"/>
    <x v="14"/>
    <x v="14"/>
    <x v="0"/>
    <x v="0"/>
    <x v="3"/>
    <x v="107"/>
    <x v="0"/>
    <x v="9"/>
    <x v="727"/>
    <x v="1"/>
    <x v="5"/>
    <x v="1"/>
    <x v="3"/>
    <x v="2"/>
    <x v="1"/>
    <x v="85"/>
    <x v="3"/>
    <x v="9"/>
    <x v="69"/>
    <x v="69"/>
    <x v="0"/>
    <x v="69"/>
    <x v="76"/>
    <x v="75"/>
    <x v="74"/>
    <x v="75"/>
    <x v="76"/>
    <x v="76"/>
    <x v="76"/>
    <x v="76"/>
    <x v="76"/>
    <x v="76"/>
    <x v="76"/>
    <x v="69"/>
    <x v="73"/>
    <x v="73"/>
    <x v="57"/>
    <x v="0"/>
    <x v="0"/>
    <x v="40"/>
    <x v="69"/>
    <x v="69"/>
    <x v="69"/>
    <x v="69"/>
    <x v="6"/>
  </r>
  <r>
    <x v="681"/>
    <x v="588"/>
    <x v="0"/>
    <x v="0"/>
    <x v="0"/>
    <x v="0"/>
    <x v="1"/>
    <x v="4"/>
    <x v="0"/>
    <x v="0"/>
    <x v="6"/>
    <x v="0"/>
    <x v="168"/>
    <x v="1"/>
    <x v="0"/>
    <x v="0"/>
    <x v="0"/>
    <x v="681"/>
    <x v="1"/>
    <x v="14"/>
    <x v="14"/>
    <x v="0"/>
    <x v="0"/>
    <x v="3"/>
    <x v="111"/>
    <x v="0"/>
    <x v="9"/>
    <x v="703"/>
    <x v="2"/>
    <x v="19"/>
    <x v="1"/>
    <x v="5"/>
    <x v="2"/>
    <x v="1"/>
    <x v="594"/>
    <x v="5"/>
    <x v="9"/>
    <x v="169"/>
    <x v="169"/>
    <x v="0"/>
    <x v="169"/>
    <x v="199"/>
    <x v="193"/>
    <x v="213"/>
    <x v="193"/>
    <x v="199"/>
    <x v="199"/>
    <x v="199"/>
    <x v="199"/>
    <x v="199"/>
    <x v="199"/>
    <x v="199"/>
    <x v="169"/>
    <x v="213"/>
    <x v="213"/>
    <x v="150"/>
    <x v="0"/>
    <x v="0"/>
    <x v="161"/>
    <x v="169"/>
    <x v="169"/>
    <x v="169"/>
    <x v="169"/>
    <x v="6"/>
  </r>
  <r>
    <x v="682"/>
    <x v="595"/>
    <x v="0"/>
    <x v="0"/>
    <x v="0"/>
    <x v="0"/>
    <x v="0"/>
    <x v="2"/>
    <x v="0"/>
    <x v="0"/>
    <x v="6"/>
    <x v="0"/>
    <x v="358"/>
    <x v="1"/>
    <x v="0"/>
    <x v="0"/>
    <x v="0"/>
    <x v="682"/>
    <x v="1"/>
    <x v="14"/>
    <x v="14"/>
    <x v="0"/>
    <x v="0"/>
    <x v="3"/>
    <x v="107"/>
    <x v="0"/>
    <x v="9"/>
    <x v="714"/>
    <x v="1"/>
    <x v="5"/>
    <x v="1"/>
    <x v="3"/>
    <x v="2"/>
    <x v="1"/>
    <x v="746"/>
    <x v="3"/>
    <x v="9"/>
    <x v="358"/>
    <x v="358"/>
    <x v="0"/>
    <x v="358"/>
    <x v="421"/>
    <x v="409"/>
    <x v="433"/>
    <x v="409"/>
    <x v="421"/>
    <x v="421"/>
    <x v="421"/>
    <x v="421"/>
    <x v="421"/>
    <x v="421"/>
    <x v="421"/>
    <x v="358"/>
    <x v="431"/>
    <x v="431"/>
    <x v="333"/>
    <x v="0"/>
    <x v="0"/>
    <x v="319"/>
    <x v="358"/>
    <x v="358"/>
    <x v="358"/>
    <x v="358"/>
    <x v="6"/>
  </r>
  <r>
    <x v="683"/>
    <x v="602"/>
    <x v="0"/>
    <x v="0"/>
    <x v="0"/>
    <x v="0"/>
    <x v="0"/>
    <x v="2"/>
    <x v="0"/>
    <x v="0"/>
    <x v="6"/>
    <x v="0"/>
    <x v="701"/>
    <x v="1"/>
    <x v="0"/>
    <x v="0"/>
    <x v="0"/>
    <x v="683"/>
    <x v="1"/>
    <x v="14"/>
    <x v="14"/>
    <x v="0"/>
    <x v="0"/>
    <x v="3"/>
    <x v="107"/>
    <x v="0"/>
    <x v="15"/>
    <x v="716"/>
    <x v="1"/>
    <x v="5"/>
    <x v="1"/>
    <x v="3"/>
    <x v="2"/>
    <x v="1"/>
    <x v="983"/>
    <x v="3"/>
    <x v="15"/>
    <x v="701"/>
    <x v="701"/>
    <x v="1"/>
    <x v="701"/>
    <x v="798"/>
    <x v="773"/>
    <x v="798"/>
    <x v="773"/>
    <x v="798"/>
    <x v="798"/>
    <x v="798"/>
    <x v="798"/>
    <x v="798"/>
    <x v="798"/>
    <x v="798"/>
    <x v="701"/>
    <x v="789"/>
    <x v="789"/>
    <x v="663"/>
    <x v="0"/>
    <x v="0"/>
    <x v="648"/>
    <x v="701"/>
    <x v="701"/>
    <x v="701"/>
    <x v="701"/>
    <x v="6"/>
  </r>
  <r>
    <x v="684"/>
    <x v="616"/>
    <x v="0"/>
    <x v="0"/>
    <x v="0"/>
    <x v="0"/>
    <x v="0"/>
    <x v="0"/>
    <x v="0"/>
    <x v="0"/>
    <x v="6"/>
    <x v="0"/>
    <x v="1053"/>
    <x v="1"/>
    <x v="0"/>
    <x v="0"/>
    <x v="0"/>
    <x v="684"/>
    <x v="2"/>
    <x v="14"/>
    <x v="14"/>
    <x v="0"/>
    <x v="0"/>
    <x v="3"/>
    <x v="102"/>
    <x v="0"/>
    <x v="10"/>
    <x v="688"/>
    <x v="9"/>
    <x v="53"/>
    <x v="1"/>
    <x v="1"/>
    <x v="1"/>
    <x v="1"/>
    <x v="820"/>
    <x v="1"/>
    <x v="10"/>
    <x v="1051"/>
    <x v="1051"/>
    <x v="1"/>
    <x v="1051"/>
    <x v="1060"/>
    <x v="1054"/>
    <x v="1050"/>
    <x v="1054"/>
    <x v="1060"/>
    <x v="1060"/>
    <x v="1060"/>
    <x v="1060"/>
    <x v="1060"/>
    <x v="1060"/>
    <x v="1060"/>
    <x v="1051"/>
    <x v="1047"/>
    <x v="1047"/>
    <x v="979"/>
    <x v="0"/>
    <x v="0"/>
    <x v="833"/>
    <x v="1051"/>
    <x v="1051"/>
    <x v="1051"/>
    <x v="1051"/>
    <x v="6"/>
  </r>
  <r>
    <x v="685"/>
    <x v="614"/>
    <x v="0"/>
    <x v="0"/>
    <x v="0"/>
    <x v="0"/>
    <x v="0"/>
    <x v="2"/>
    <x v="0"/>
    <x v="0"/>
    <x v="6"/>
    <x v="0"/>
    <x v="514"/>
    <x v="1"/>
    <x v="0"/>
    <x v="0"/>
    <x v="0"/>
    <x v="685"/>
    <x v="1"/>
    <x v="14"/>
    <x v="14"/>
    <x v="0"/>
    <x v="0"/>
    <x v="3"/>
    <x v="107"/>
    <x v="0"/>
    <x v="26"/>
    <x v="717"/>
    <x v="1"/>
    <x v="5"/>
    <x v="1"/>
    <x v="3"/>
    <x v="2"/>
    <x v="1"/>
    <x v="892"/>
    <x v="3"/>
    <x v="26"/>
    <x v="514"/>
    <x v="514"/>
    <x v="0"/>
    <x v="514"/>
    <x v="635"/>
    <x v="613"/>
    <x v="647"/>
    <x v="613"/>
    <x v="635"/>
    <x v="635"/>
    <x v="635"/>
    <x v="635"/>
    <x v="635"/>
    <x v="635"/>
    <x v="635"/>
    <x v="514"/>
    <x v="644"/>
    <x v="644"/>
    <x v="490"/>
    <x v="0"/>
    <x v="0"/>
    <x v="744"/>
    <x v="514"/>
    <x v="514"/>
    <x v="514"/>
    <x v="514"/>
    <x v="6"/>
  </r>
  <r>
    <x v="686"/>
    <x v="602"/>
    <x v="0"/>
    <x v="0"/>
    <x v="0"/>
    <x v="0"/>
    <x v="0"/>
    <x v="0"/>
    <x v="0"/>
    <x v="0"/>
    <x v="6"/>
    <x v="0"/>
    <x v="1019"/>
    <x v="1"/>
    <x v="0"/>
    <x v="0"/>
    <x v="0"/>
    <x v="686"/>
    <x v="2"/>
    <x v="14"/>
    <x v="14"/>
    <x v="0"/>
    <x v="0"/>
    <x v="3"/>
    <x v="107"/>
    <x v="0"/>
    <x v="15"/>
    <x v="715"/>
    <x v="9"/>
    <x v="53"/>
    <x v="1"/>
    <x v="1"/>
    <x v="1"/>
    <x v="1"/>
    <x v="783"/>
    <x v="1"/>
    <x v="15"/>
    <x v="1019"/>
    <x v="1019"/>
    <x v="1"/>
    <x v="1019"/>
    <x v="1031"/>
    <x v="1025"/>
    <x v="1015"/>
    <x v="1025"/>
    <x v="1031"/>
    <x v="1031"/>
    <x v="1031"/>
    <x v="1031"/>
    <x v="1031"/>
    <x v="1031"/>
    <x v="1031"/>
    <x v="1019"/>
    <x v="1013"/>
    <x v="1013"/>
    <x v="948"/>
    <x v="0"/>
    <x v="0"/>
    <x v="911"/>
    <x v="1019"/>
    <x v="1019"/>
    <x v="1019"/>
    <x v="1019"/>
    <x v="6"/>
  </r>
  <r>
    <x v="687"/>
    <x v="621"/>
    <x v="0"/>
    <x v="0"/>
    <x v="0"/>
    <x v="0"/>
    <x v="0"/>
    <x v="2"/>
    <x v="0"/>
    <x v="0"/>
    <x v="6"/>
    <x v="0"/>
    <x v="533"/>
    <x v="1"/>
    <x v="0"/>
    <x v="0"/>
    <x v="0"/>
    <x v="687"/>
    <x v="1"/>
    <x v="14"/>
    <x v="14"/>
    <x v="0"/>
    <x v="0"/>
    <x v="3"/>
    <x v="107"/>
    <x v="0"/>
    <x v="25"/>
    <x v="709"/>
    <x v="1"/>
    <x v="5"/>
    <x v="1"/>
    <x v="3"/>
    <x v="2"/>
    <x v="1"/>
    <x v="905"/>
    <x v="3"/>
    <x v="25"/>
    <x v="533"/>
    <x v="533"/>
    <x v="0"/>
    <x v="533"/>
    <x v="647"/>
    <x v="634"/>
    <x v="669"/>
    <x v="634"/>
    <x v="647"/>
    <x v="647"/>
    <x v="647"/>
    <x v="647"/>
    <x v="647"/>
    <x v="647"/>
    <x v="647"/>
    <x v="533"/>
    <x v="660"/>
    <x v="660"/>
    <x v="501"/>
    <x v="0"/>
    <x v="0"/>
    <x v="737"/>
    <x v="533"/>
    <x v="533"/>
    <x v="533"/>
    <x v="533"/>
    <x v="6"/>
  </r>
  <r>
    <x v="688"/>
    <x v="634"/>
    <x v="0"/>
    <x v="0"/>
    <x v="0"/>
    <x v="0"/>
    <x v="0"/>
    <x v="0"/>
    <x v="0"/>
    <x v="0"/>
    <x v="6"/>
    <x v="0"/>
    <x v="1015"/>
    <x v="1"/>
    <x v="0"/>
    <x v="0"/>
    <x v="0"/>
    <x v="688"/>
    <x v="2"/>
    <x v="14"/>
    <x v="14"/>
    <x v="0"/>
    <x v="0"/>
    <x v="3"/>
    <x v="106"/>
    <x v="0"/>
    <x v="27"/>
    <x v="711"/>
    <x v="9"/>
    <x v="53"/>
    <x v="1"/>
    <x v="1"/>
    <x v="1"/>
    <x v="1"/>
    <x v="779"/>
    <x v="1"/>
    <x v="27"/>
    <x v="1015"/>
    <x v="1015"/>
    <x v="1"/>
    <x v="1015"/>
    <x v="1026"/>
    <x v="1020"/>
    <x v="1011"/>
    <x v="1020"/>
    <x v="1026"/>
    <x v="1026"/>
    <x v="1026"/>
    <x v="1026"/>
    <x v="1026"/>
    <x v="1026"/>
    <x v="1026"/>
    <x v="1015"/>
    <x v="1009"/>
    <x v="1009"/>
    <x v="944"/>
    <x v="0"/>
    <x v="0"/>
    <x v="1077"/>
    <x v="1015"/>
    <x v="1015"/>
    <x v="1015"/>
    <x v="1015"/>
    <x v="6"/>
  </r>
  <r>
    <x v="689"/>
    <x v="633"/>
    <x v="0"/>
    <x v="0"/>
    <x v="0"/>
    <x v="0"/>
    <x v="0"/>
    <x v="0"/>
    <x v="0"/>
    <x v="0"/>
    <x v="6"/>
    <x v="0"/>
    <x v="471"/>
    <x v="1"/>
    <x v="0"/>
    <x v="0"/>
    <x v="0"/>
    <x v="689"/>
    <x v="2"/>
    <x v="14"/>
    <x v="14"/>
    <x v="0"/>
    <x v="0"/>
    <x v="3"/>
    <x v="107"/>
    <x v="0"/>
    <x v="25"/>
    <x v="704"/>
    <x v="9"/>
    <x v="53"/>
    <x v="1"/>
    <x v="1"/>
    <x v="1"/>
    <x v="1"/>
    <x v="317"/>
    <x v="1"/>
    <x v="25"/>
    <x v="471"/>
    <x v="471"/>
    <x v="0"/>
    <x v="471"/>
    <x v="450"/>
    <x v="450"/>
    <x v="434"/>
    <x v="450"/>
    <x v="450"/>
    <x v="450"/>
    <x v="450"/>
    <x v="450"/>
    <x v="450"/>
    <x v="450"/>
    <x v="450"/>
    <x v="471"/>
    <x v="435"/>
    <x v="435"/>
    <x v="418"/>
    <x v="0"/>
    <x v="0"/>
    <x v="541"/>
    <x v="471"/>
    <x v="471"/>
    <x v="471"/>
    <x v="471"/>
    <x v="6"/>
  </r>
  <r>
    <x v="690"/>
    <x v="646"/>
    <x v="0"/>
    <x v="0"/>
    <x v="0"/>
    <x v="0"/>
    <x v="0"/>
    <x v="0"/>
    <x v="0"/>
    <x v="0"/>
    <x v="6"/>
    <x v="0"/>
    <x v="1034"/>
    <x v="1"/>
    <x v="0"/>
    <x v="0"/>
    <x v="0"/>
    <x v="690"/>
    <x v="2"/>
    <x v="14"/>
    <x v="14"/>
    <x v="0"/>
    <x v="0"/>
    <x v="3"/>
    <x v="102"/>
    <x v="0"/>
    <x v="26"/>
    <x v="712"/>
    <x v="9"/>
    <x v="53"/>
    <x v="1"/>
    <x v="1"/>
    <x v="1"/>
    <x v="1"/>
    <x v="798"/>
    <x v="1"/>
    <x v="26"/>
    <x v="1034"/>
    <x v="1034"/>
    <x v="1"/>
    <x v="1034"/>
    <x v="1043"/>
    <x v="1039"/>
    <x v="1029"/>
    <x v="1039"/>
    <x v="1043"/>
    <x v="1043"/>
    <x v="1043"/>
    <x v="1043"/>
    <x v="1043"/>
    <x v="1043"/>
    <x v="1043"/>
    <x v="1034"/>
    <x v="1027"/>
    <x v="1027"/>
    <x v="960"/>
    <x v="0"/>
    <x v="0"/>
    <x v="1079"/>
    <x v="1034"/>
    <x v="1034"/>
    <x v="1034"/>
    <x v="1034"/>
    <x v="6"/>
  </r>
  <r>
    <x v="691"/>
    <x v="645"/>
    <x v="0"/>
    <x v="0"/>
    <x v="0"/>
    <x v="0"/>
    <x v="0"/>
    <x v="0"/>
    <x v="0"/>
    <x v="0"/>
    <x v="6"/>
    <x v="0"/>
    <x v="537"/>
    <x v="1"/>
    <x v="0"/>
    <x v="0"/>
    <x v="0"/>
    <x v="691"/>
    <x v="2"/>
    <x v="14"/>
    <x v="14"/>
    <x v="0"/>
    <x v="0"/>
    <x v="3"/>
    <x v="107"/>
    <x v="0"/>
    <x v="24"/>
    <x v="705"/>
    <x v="9"/>
    <x v="53"/>
    <x v="1"/>
    <x v="1"/>
    <x v="1"/>
    <x v="1"/>
    <x v="358"/>
    <x v="1"/>
    <x v="24"/>
    <x v="537"/>
    <x v="537"/>
    <x v="0"/>
    <x v="537"/>
    <x v="496"/>
    <x v="509"/>
    <x v="484"/>
    <x v="509"/>
    <x v="496"/>
    <x v="496"/>
    <x v="496"/>
    <x v="496"/>
    <x v="496"/>
    <x v="496"/>
    <x v="496"/>
    <x v="537"/>
    <x v="483"/>
    <x v="483"/>
    <x v="480"/>
    <x v="0"/>
    <x v="0"/>
    <x v="573"/>
    <x v="537"/>
    <x v="537"/>
    <x v="537"/>
    <x v="537"/>
    <x v="6"/>
  </r>
  <r>
    <x v="692"/>
    <x v="665"/>
    <x v="0"/>
    <x v="0"/>
    <x v="0"/>
    <x v="0"/>
    <x v="0"/>
    <x v="0"/>
    <x v="0"/>
    <x v="0"/>
    <x v="6"/>
    <x v="0"/>
    <x v="1031"/>
    <x v="1"/>
    <x v="0"/>
    <x v="0"/>
    <x v="0"/>
    <x v="692"/>
    <x v="2"/>
    <x v="14"/>
    <x v="14"/>
    <x v="0"/>
    <x v="0"/>
    <x v="3"/>
    <x v="111"/>
    <x v="0"/>
    <x v="27"/>
    <x v="713"/>
    <x v="9"/>
    <x v="53"/>
    <x v="1"/>
    <x v="1"/>
    <x v="1"/>
    <x v="1"/>
    <x v="795"/>
    <x v="1"/>
    <x v="27"/>
    <x v="1031"/>
    <x v="1031"/>
    <x v="1"/>
    <x v="1031"/>
    <x v="1041"/>
    <x v="1037"/>
    <x v="1027"/>
    <x v="1037"/>
    <x v="1041"/>
    <x v="1041"/>
    <x v="1041"/>
    <x v="1041"/>
    <x v="1041"/>
    <x v="1041"/>
    <x v="1041"/>
    <x v="1031"/>
    <x v="1025"/>
    <x v="1025"/>
    <x v="958"/>
    <x v="0"/>
    <x v="0"/>
    <x v="1089"/>
    <x v="1031"/>
    <x v="1031"/>
    <x v="1031"/>
    <x v="1031"/>
    <x v="6"/>
  </r>
  <r>
    <x v="693"/>
    <x v="645"/>
    <x v="0"/>
    <x v="0"/>
    <x v="0"/>
    <x v="0"/>
    <x v="0"/>
    <x v="0"/>
    <x v="0"/>
    <x v="0"/>
    <x v="6"/>
    <x v="0"/>
    <x v="819"/>
    <x v="1"/>
    <x v="0"/>
    <x v="0"/>
    <x v="0"/>
    <x v="693"/>
    <x v="2"/>
    <x v="14"/>
    <x v="14"/>
    <x v="0"/>
    <x v="0"/>
    <x v="3"/>
    <x v="107"/>
    <x v="0"/>
    <x v="24"/>
    <x v="17"/>
    <x v="9"/>
    <x v="53"/>
    <x v="1"/>
    <x v="1"/>
    <x v="1"/>
    <x v="1"/>
    <x v="563"/>
    <x v="1"/>
    <x v="24"/>
    <x v="819"/>
    <x v="819"/>
    <x v="1"/>
    <x v="819"/>
    <x v="826"/>
    <x v="825"/>
    <x v="792"/>
    <x v="825"/>
    <x v="826"/>
    <x v="826"/>
    <x v="826"/>
    <x v="826"/>
    <x v="826"/>
    <x v="826"/>
    <x v="826"/>
    <x v="819"/>
    <x v="790"/>
    <x v="790"/>
    <x v="762"/>
    <x v="0"/>
    <x v="0"/>
    <x v="830"/>
    <x v="819"/>
    <x v="819"/>
    <x v="819"/>
    <x v="819"/>
    <x v="6"/>
  </r>
  <r>
    <x v="694"/>
    <x v="704"/>
    <x v="0"/>
    <x v="0"/>
    <x v="0"/>
    <x v="0"/>
    <x v="0"/>
    <x v="0"/>
    <x v="0"/>
    <x v="0"/>
    <x v="6"/>
    <x v="0"/>
    <x v="1166"/>
    <x v="1"/>
    <x v="0"/>
    <x v="0"/>
    <x v="0"/>
    <x v="694"/>
    <x v="2"/>
    <x v="14"/>
    <x v="14"/>
    <x v="0"/>
    <x v="0"/>
    <x v="3"/>
    <x v="102"/>
    <x v="0"/>
    <x v="26"/>
    <x v="752"/>
    <x v="9"/>
    <x v="53"/>
    <x v="1"/>
    <x v="1"/>
    <x v="1"/>
    <x v="1"/>
    <x v="940"/>
    <x v="1"/>
    <x v="26"/>
    <x v="1164"/>
    <x v="1164"/>
    <x v="1"/>
    <x v="1164"/>
    <x v="1176"/>
    <x v="1174"/>
    <x v="1160"/>
    <x v="1174"/>
    <x v="1176"/>
    <x v="1176"/>
    <x v="1176"/>
    <x v="1176"/>
    <x v="1176"/>
    <x v="1176"/>
    <x v="1176"/>
    <x v="1164"/>
    <x v="1159"/>
    <x v="1159"/>
    <x v="1089"/>
    <x v="0"/>
    <x v="0"/>
    <x v="1210"/>
    <x v="1164"/>
    <x v="1164"/>
    <x v="1164"/>
    <x v="1164"/>
    <x v="6"/>
  </r>
  <r>
    <x v="695"/>
    <x v="644"/>
    <x v="0"/>
    <x v="0"/>
    <x v="0"/>
    <x v="0"/>
    <x v="0"/>
    <x v="0"/>
    <x v="0"/>
    <x v="0"/>
    <x v="6"/>
    <x v="0"/>
    <x v="1156"/>
    <x v="1"/>
    <x v="0"/>
    <x v="0"/>
    <x v="0"/>
    <x v="695"/>
    <x v="2"/>
    <x v="14"/>
    <x v="14"/>
    <x v="0"/>
    <x v="0"/>
    <x v="3"/>
    <x v="103"/>
    <x v="0"/>
    <x v="12"/>
    <x v="685"/>
    <x v="9"/>
    <x v="53"/>
    <x v="1"/>
    <x v="1"/>
    <x v="1"/>
    <x v="1"/>
    <x v="930"/>
    <x v="1"/>
    <x v="12"/>
    <x v="1154"/>
    <x v="1154"/>
    <x v="1"/>
    <x v="1154"/>
    <x v="1167"/>
    <x v="1164"/>
    <x v="1150"/>
    <x v="1164"/>
    <x v="1167"/>
    <x v="1167"/>
    <x v="1167"/>
    <x v="1167"/>
    <x v="1167"/>
    <x v="1167"/>
    <x v="1167"/>
    <x v="1154"/>
    <x v="1148"/>
    <x v="1148"/>
    <x v="1082"/>
    <x v="0"/>
    <x v="0"/>
    <x v="1012"/>
    <x v="1154"/>
    <x v="1154"/>
    <x v="1154"/>
    <x v="1154"/>
    <x v="6"/>
  </r>
  <r>
    <x v="696"/>
    <x v="727"/>
    <x v="0"/>
    <x v="0"/>
    <x v="0"/>
    <x v="0"/>
    <x v="0"/>
    <x v="0"/>
    <x v="0"/>
    <x v="0"/>
    <x v="6"/>
    <x v="0"/>
    <x v="335"/>
    <x v="1"/>
    <x v="0"/>
    <x v="0"/>
    <x v="0"/>
    <x v="696"/>
    <x v="2"/>
    <x v="17"/>
    <x v="17"/>
    <x v="0"/>
    <x v="0"/>
    <x v="3"/>
    <x v="102"/>
    <x v="0"/>
    <x v="27"/>
    <x v="0"/>
    <x v="9"/>
    <x v="53"/>
    <x v="1"/>
    <x v="1"/>
    <x v="1"/>
    <x v="1"/>
    <x v="224"/>
    <x v="1"/>
    <x v="27"/>
    <x v="335"/>
    <x v="335"/>
    <x v="0"/>
    <x v="335"/>
    <x v="325"/>
    <x v="331"/>
    <x v="318"/>
    <x v="331"/>
    <x v="325"/>
    <x v="325"/>
    <x v="325"/>
    <x v="325"/>
    <x v="325"/>
    <x v="325"/>
    <x v="325"/>
    <x v="335"/>
    <x v="318"/>
    <x v="318"/>
    <x v="295"/>
    <x v="0"/>
    <x v="0"/>
    <x v="409"/>
    <x v="335"/>
    <x v="335"/>
    <x v="335"/>
    <x v="335"/>
    <x v="6"/>
  </r>
  <r>
    <x v="697"/>
    <x v="659"/>
    <x v="0"/>
    <x v="0"/>
    <x v="0"/>
    <x v="0"/>
    <x v="0"/>
    <x v="1"/>
    <x v="0"/>
    <x v="0"/>
    <x v="7"/>
    <x v="0"/>
    <x v="1191"/>
    <x v="1"/>
    <x v="0"/>
    <x v="0"/>
    <x v="0"/>
    <x v="697"/>
    <x v="1"/>
    <x v="13"/>
    <x v="13"/>
    <x v="0"/>
    <x v="0"/>
    <x v="3"/>
    <x v="48"/>
    <x v="0"/>
    <x v="29"/>
    <x v="738"/>
    <x v="10"/>
    <x v="64"/>
    <x v="1"/>
    <x v="2"/>
    <x v="2"/>
    <x v="1"/>
    <x v="1197"/>
    <x v="2"/>
    <x v="29"/>
    <x v="1189"/>
    <x v="1189"/>
    <x v="2"/>
    <x v="1189"/>
    <x v="1261"/>
    <x v="1244"/>
    <x v="1260"/>
    <x v="1244"/>
    <x v="1261"/>
    <x v="1261"/>
    <x v="1261"/>
    <x v="1261"/>
    <x v="1261"/>
    <x v="1261"/>
    <x v="1261"/>
    <x v="1189"/>
    <x v="1258"/>
    <x v="1258"/>
    <x v="1124"/>
    <x v="0"/>
    <x v="0"/>
    <x v="1316"/>
    <x v="1189"/>
    <x v="1189"/>
    <x v="1189"/>
    <x v="1189"/>
    <x v="7"/>
  </r>
  <r>
    <x v="698"/>
    <x v="692"/>
    <x v="0"/>
    <x v="0"/>
    <x v="0"/>
    <x v="0"/>
    <x v="0"/>
    <x v="1"/>
    <x v="0"/>
    <x v="0"/>
    <x v="7"/>
    <x v="0"/>
    <x v="654"/>
    <x v="1"/>
    <x v="0"/>
    <x v="0"/>
    <x v="0"/>
    <x v="698"/>
    <x v="1"/>
    <x v="13"/>
    <x v="13"/>
    <x v="0"/>
    <x v="0"/>
    <x v="3"/>
    <x v="112"/>
    <x v="0"/>
    <x v="28"/>
    <x v="732"/>
    <x v="10"/>
    <x v="64"/>
    <x v="1"/>
    <x v="2"/>
    <x v="2"/>
    <x v="1"/>
    <x v="763"/>
    <x v="2"/>
    <x v="28"/>
    <x v="654"/>
    <x v="654"/>
    <x v="0"/>
    <x v="654"/>
    <x v="724"/>
    <x v="729"/>
    <x v="724"/>
    <x v="729"/>
    <x v="724"/>
    <x v="724"/>
    <x v="724"/>
    <x v="724"/>
    <x v="724"/>
    <x v="724"/>
    <x v="724"/>
    <x v="654"/>
    <x v="723"/>
    <x v="723"/>
    <x v="600"/>
    <x v="0"/>
    <x v="0"/>
    <x v="822"/>
    <x v="654"/>
    <x v="654"/>
    <x v="654"/>
    <x v="654"/>
    <x v="7"/>
  </r>
  <r>
    <x v="699"/>
    <x v="676"/>
    <x v="0"/>
    <x v="0"/>
    <x v="0"/>
    <x v="0"/>
    <x v="1"/>
    <x v="4"/>
    <x v="0"/>
    <x v="0"/>
    <x v="7"/>
    <x v="0"/>
    <x v="47"/>
    <x v="1"/>
    <x v="0"/>
    <x v="0"/>
    <x v="0"/>
    <x v="699"/>
    <x v="1"/>
    <x v="13"/>
    <x v="13"/>
    <x v="0"/>
    <x v="0"/>
    <x v="3"/>
    <x v="47"/>
    <x v="0"/>
    <x v="33"/>
    <x v="980"/>
    <x v="2"/>
    <x v="20"/>
    <x v="1"/>
    <x v="5"/>
    <x v="2"/>
    <x v="1"/>
    <x v="139"/>
    <x v="5"/>
    <x v="33"/>
    <x v="48"/>
    <x v="48"/>
    <x v="0"/>
    <x v="48"/>
    <x v="51"/>
    <x v="48"/>
    <x v="58"/>
    <x v="48"/>
    <x v="51"/>
    <x v="51"/>
    <x v="51"/>
    <x v="51"/>
    <x v="51"/>
    <x v="51"/>
    <x v="51"/>
    <x v="48"/>
    <x v="57"/>
    <x v="57"/>
    <x v="39"/>
    <x v="0"/>
    <x v="0"/>
    <x v="94"/>
    <x v="48"/>
    <x v="48"/>
    <x v="48"/>
    <x v="48"/>
    <x v="7"/>
  </r>
  <r>
    <x v="700"/>
    <x v="678"/>
    <x v="0"/>
    <x v="0"/>
    <x v="0"/>
    <x v="0"/>
    <x v="1"/>
    <x v="4"/>
    <x v="0"/>
    <x v="0"/>
    <x v="7"/>
    <x v="0"/>
    <x v="53"/>
    <x v="1"/>
    <x v="0"/>
    <x v="0"/>
    <x v="0"/>
    <x v="700"/>
    <x v="1"/>
    <x v="13"/>
    <x v="13"/>
    <x v="0"/>
    <x v="0"/>
    <x v="3"/>
    <x v="47"/>
    <x v="0"/>
    <x v="33"/>
    <x v="743"/>
    <x v="2"/>
    <x v="20"/>
    <x v="1"/>
    <x v="5"/>
    <x v="2"/>
    <x v="1"/>
    <x v="155"/>
    <x v="5"/>
    <x v="33"/>
    <x v="54"/>
    <x v="54"/>
    <x v="0"/>
    <x v="54"/>
    <x v="61"/>
    <x v="57"/>
    <x v="64"/>
    <x v="57"/>
    <x v="61"/>
    <x v="61"/>
    <x v="61"/>
    <x v="61"/>
    <x v="61"/>
    <x v="61"/>
    <x v="61"/>
    <x v="54"/>
    <x v="64"/>
    <x v="64"/>
    <x v="45"/>
    <x v="0"/>
    <x v="0"/>
    <x v="105"/>
    <x v="54"/>
    <x v="54"/>
    <x v="54"/>
    <x v="54"/>
    <x v="7"/>
  </r>
  <r>
    <x v="701"/>
    <x v="678"/>
    <x v="0"/>
    <x v="0"/>
    <x v="0"/>
    <x v="0"/>
    <x v="1"/>
    <x v="4"/>
    <x v="0"/>
    <x v="0"/>
    <x v="7"/>
    <x v="0"/>
    <x v="61"/>
    <x v="1"/>
    <x v="0"/>
    <x v="0"/>
    <x v="0"/>
    <x v="701"/>
    <x v="1"/>
    <x v="13"/>
    <x v="13"/>
    <x v="0"/>
    <x v="0"/>
    <x v="3"/>
    <x v="47"/>
    <x v="0"/>
    <x v="33"/>
    <x v="742"/>
    <x v="2"/>
    <x v="20"/>
    <x v="1"/>
    <x v="5"/>
    <x v="2"/>
    <x v="1"/>
    <x v="168"/>
    <x v="5"/>
    <x v="33"/>
    <x v="62"/>
    <x v="62"/>
    <x v="0"/>
    <x v="62"/>
    <x v="69"/>
    <x v="70"/>
    <x v="73"/>
    <x v="70"/>
    <x v="69"/>
    <x v="69"/>
    <x v="69"/>
    <x v="69"/>
    <x v="69"/>
    <x v="69"/>
    <x v="69"/>
    <x v="62"/>
    <x v="74"/>
    <x v="74"/>
    <x v="52"/>
    <x v="0"/>
    <x v="0"/>
    <x v="113"/>
    <x v="62"/>
    <x v="62"/>
    <x v="62"/>
    <x v="62"/>
    <x v="7"/>
  </r>
  <r>
    <x v="702"/>
    <x v="680"/>
    <x v="0"/>
    <x v="0"/>
    <x v="0"/>
    <x v="0"/>
    <x v="1"/>
    <x v="4"/>
    <x v="0"/>
    <x v="0"/>
    <x v="7"/>
    <x v="0"/>
    <x v="52"/>
    <x v="1"/>
    <x v="0"/>
    <x v="0"/>
    <x v="0"/>
    <x v="702"/>
    <x v="1"/>
    <x v="13"/>
    <x v="13"/>
    <x v="0"/>
    <x v="0"/>
    <x v="3"/>
    <x v="47"/>
    <x v="0"/>
    <x v="33"/>
    <x v="730"/>
    <x v="2"/>
    <x v="20"/>
    <x v="1"/>
    <x v="5"/>
    <x v="2"/>
    <x v="1"/>
    <x v="153"/>
    <x v="5"/>
    <x v="33"/>
    <x v="53"/>
    <x v="53"/>
    <x v="0"/>
    <x v="53"/>
    <x v="60"/>
    <x v="56"/>
    <x v="63"/>
    <x v="56"/>
    <x v="60"/>
    <x v="60"/>
    <x v="60"/>
    <x v="60"/>
    <x v="60"/>
    <x v="60"/>
    <x v="60"/>
    <x v="53"/>
    <x v="63"/>
    <x v="63"/>
    <x v="44"/>
    <x v="0"/>
    <x v="0"/>
    <x v="104"/>
    <x v="53"/>
    <x v="53"/>
    <x v="53"/>
    <x v="53"/>
    <x v="7"/>
  </r>
  <r>
    <x v="703"/>
    <x v="690"/>
    <x v="0"/>
    <x v="0"/>
    <x v="0"/>
    <x v="0"/>
    <x v="0"/>
    <x v="0"/>
    <x v="0"/>
    <x v="0"/>
    <x v="7"/>
    <x v="0"/>
    <x v="144"/>
    <x v="1"/>
    <x v="0"/>
    <x v="0"/>
    <x v="0"/>
    <x v="703"/>
    <x v="2"/>
    <x v="13"/>
    <x v="13"/>
    <x v="0"/>
    <x v="0"/>
    <x v="3"/>
    <x v="128"/>
    <x v="0"/>
    <x v="28"/>
    <x v="735"/>
    <x v="9"/>
    <x v="54"/>
    <x v="1"/>
    <x v="1"/>
    <x v="1"/>
    <x v="1"/>
    <x v="70"/>
    <x v="1"/>
    <x v="28"/>
    <x v="145"/>
    <x v="145"/>
    <x v="0"/>
    <x v="145"/>
    <x v="149"/>
    <x v="151"/>
    <x v="140"/>
    <x v="151"/>
    <x v="149"/>
    <x v="149"/>
    <x v="149"/>
    <x v="149"/>
    <x v="149"/>
    <x v="149"/>
    <x v="149"/>
    <x v="145"/>
    <x v="139"/>
    <x v="139"/>
    <x v="125"/>
    <x v="0"/>
    <x v="0"/>
    <x v="164"/>
    <x v="145"/>
    <x v="145"/>
    <x v="145"/>
    <x v="145"/>
    <x v="7"/>
  </r>
  <r>
    <x v="704"/>
    <x v="692"/>
    <x v="0"/>
    <x v="0"/>
    <x v="0"/>
    <x v="0"/>
    <x v="0"/>
    <x v="1"/>
    <x v="0"/>
    <x v="0"/>
    <x v="7"/>
    <x v="0"/>
    <x v="122"/>
    <x v="1"/>
    <x v="0"/>
    <x v="0"/>
    <x v="0"/>
    <x v="704"/>
    <x v="1"/>
    <x v="13"/>
    <x v="13"/>
    <x v="0"/>
    <x v="0"/>
    <x v="3"/>
    <x v="112"/>
    <x v="0"/>
    <x v="28"/>
    <x v="731"/>
    <x v="10"/>
    <x v="64"/>
    <x v="1"/>
    <x v="2"/>
    <x v="2"/>
    <x v="1"/>
    <x v="106"/>
    <x v="2"/>
    <x v="28"/>
    <x v="123"/>
    <x v="123"/>
    <x v="0"/>
    <x v="123"/>
    <x v="140"/>
    <x v="141"/>
    <x v="138"/>
    <x v="141"/>
    <x v="140"/>
    <x v="140"/>
    <x v="140"/>
    <x v="140"/>
    <x v="140"/>
    <x v="140"/>
    <x v="140"/>
    <x v="123"/>
    <x v="135"/>
    <x v="135"/>
    <x v="108"/>
    <x v="0"/>
    <x v="0"/>
    <x v="157"/>
    <x v="123"/>
    <x v="123"/>
    <x v="123"/>
    <x v="123"/>
    <x v="7"/>
  </r>
  <r>
    <x v="705"/>
    <x v="659"/>
    <x v="0"/>
    <x v="0"/>
    <x v="0"/>
    <x v="0"/>
    <x v="0"/>
    <x v="0"/>
    <x v="0"/>
    <x v="0"/>
    <x v="7"/>
    <x v="0"/>
    <x v="1110"/>
    <x v="1"/>
    <x v="0"/>
    <x v="0"/>
    <x v="0"/>
    <x v="705"/>
    <x v="2"/>
    <x v="13"/>
    <x v="13"/>
    <x v="0"/>
    <x v="0"/>
    <x v="3"/>
    <x v="48"/>
    <x v="0"/>
    <x v="29"/>
    <x v="737"/>
    <x v="9"/>
    <x v="54"/>
    <x v="1"/>
    <x v="1"/>
    <x v="1"/>
    <x v="1"/>
    <x v="872"/>
    <x v="1"/>
    <x v="29"/>
    <x v="1108"/>
    <x v="1108"/>
    <x v="1"/>
    <x v="1108"/>
    <x v="1117"/>
    <x v="1113"/>
    <x v="1101"/>
    <x v="1113"/>
    <x v="1117"/>
    <x v="1117"/>
    <x v="1117"/>
    <x v="1117"/>
    <x v="1117"/>
    <x v="1117"/>
    <x v="1117"/>
    <x v="1108"/>
    <x v="1101"/>
    <x v="1101"/>
    <x v="1036"/>
    <x v="0"/>
    <x v="0"/>
    <x v="1189"/>
    <x v="1108"/>
    <x v="1108"/>
    <x v="1108"/>
    <x v="1108"/>
    <x v="7"/>
  </r>
  <r>
    <x v="706"/>
    <x v="685"/>
    <x v="0"/>
    <x v="0"/>
    <x v="0"/>
    <x v="0"/>
    <x v="1"/>
    <x v="4"/>
    <x v="0"/>
    <x v="0"/>
    <x v="7"/>
    <x v="0"/>
    <x v="602"/>
    <x v="1"/>
    <x v="0"/>
    <x v="0"/>
    <x v="0"/>
    <x v="706"/>
    <x v="1"/>
    <x v="13"/>
    <x v="13"/>
    <x v="0"/>
    <x v="0"/>
    <x v="3"/>
    <x v="47"/>
    <x v="0"/>
    <x v="33"/>
    <x v="740"/>
    <x v="2"/>
    <x v="20"/>
    <x v="1"/>
    <x v="5"/>
    <x v="2"/>
    <x v="1"/>
    <x v="1177"/>
    <x v="5"/>
    <x v="33"/>
    <x v="602"/>
    <x v="602"/>
    <x v="0"/>
    <x v="602"/>
    <x v="729"/>
    <x v="692"/>
    <x v="778"/>
    <x v="692"/>
    <x v="729"/>
    <x v="729"/>
    <x v="729"/>
    <x v="729"/>
    <x v="729"/>
    <x v="729"/>
    <x v="729"/>
    <x v="602"/>
    <x v="774"/>
    <x v="774"/>
    <x v="607"/>
    <x v="0"/>
    <x v="0"/>
    <x v="945"/>
    <x v="602"/>
    <x v="602"/>
    <x v="602"/>
    <x v="602"/>
    <x v="7"/>
  </r>
  <r>
    <x v="707"/>
    <x v="692"/>
    <x v="0"/>
    <x v="0"/>
    <x v="0"/>
    <x v="0"/>
    <x v="0"/>
    <x v="1"/>
    <x v="0"/>
    <x v="0"/>
    <x v="7"/>
    <x v="0"/>
    <x v="724"/>
    <x v="1"/>
    <x v="0"/>
    <x v="0"/>
    <x v="0"/>
    <x v="707"/>
    <x v="1"/>
    <x v="13"/>
    <x v="13"/>
    <x v="0"/>
    <x v="0"/>
    <x v="3"/>
    <x v="112"/>
    <x v="0"/>
    <x v="28"/>
    <x v="39"/>
    <x v="10"/>
    <x v="64"/>
    <x v="1"/>
    <x v="2"/>
    <x v="2"/>
    <x v="1"/>
    <x v="825"/>
    <x v="2"/>
    <x v="28"/>
    <x v="724"/>
    <x v="724"/>
    <x v="1"/>
    <x v="724"/>
    <x v="804"/>
    <x v="799"/>
    <x v="793"/>
    <x v="799"/>
    <x v="804"/>
    <x v="804"/>
    <x v="804"/>
    <x v="804"/>
    <x v="804"/>
    <x v="804"/>
    <x v="804"/>
    <x v="724"/>
    <x v="784"/>
    <x v="784"/>
    <x v="667"/>
    <x v="0"/>
    <x v="0"/>
    <x v="886"/>
    <x v="724"/>
    <x v="724"/>
    <x v="724"/>
    <x v="724"/>
    <x v="7"/>
  </r>
  <r>
    <x v="708"/>
    <x v="721"/>
    <x v="0"/>
    <x v="0"/>
    <x v="0"/>
    <x v="0"/>
    <x v="0"/>
    <x v="0"/>
    <x v="0"/>
    <x v="0"/>
    <x v="7"/>
    <x v="0"/>
    <x v="530"/>
    <x v="1"/>
    <x v="0"/>
    <x v="0"/>
    <x v="0"/>
    <x v="708"/>
    <x v="2"/>
    <x v="13"/>
    <x v="13"/>
    <x v="0"/>
    <x v="0"/>
    <x v="3"/>
    <x v="48"/>
    <x v="0"/>
    <x v="29"/>
    <x v="733"/>
    <x v="9"/>
    <x v="54"/>
    <x v="1"/>
    <x v="1"/>
    <x v="1"/>
    <x v="1"/>
    <x v="352"/>
    <x v="1"/>
    <x v="29"/>
    <x v="530"/>
    <x v="530"/>
    <x v="0"/>
    <x v="530"/>
    <x v="490"/>
    <x v="501"/>
    <x v="479"/>
    <x v="501"/>
    <x v="490"/>
    <x v="490"/>
    <x v="490"/>
    <x v="490"/>
    <x v="490"/>
    <x v="490"/>
    <x v="490"/>
    <x v="530"/>
    <x v="478"/>
    <x v="478"/>
    <x v="470"/>
    <x v="0"/>
    <x v="0"/>
    <x v="643"/>
    <x v="530"/>
    <x v="530"/>
    <x v="530"/>
    <x v="530"/>
    <x v="7"/>
  </r>
  <r>
    <x v="709"/>
    <x v="730"/>
    <x v="0"/>
    <x v="0"/>
    <x v="0"/>
    <x v="0"/>
    <x v="0"/>
    <x v="1"/>
    <x v="0"/>
    <x v="0"/>
    <x v="7"/>
    <x v="0"/>
    <x v="916"/>
    <x v="1"/>
    <x v="0"/>
    <x v="0"/>
    <x v="0"/>
    <x v="709"/>
    <x v="1"/>
    <x v="13"/>
    <x v="13"/>
    <x v="0"/>
    <x v="0"/>
    <x v="3"/>
    <x v="48"/>
    <x v="0"/>
    <x v="34"/>
    <x v="46"/>
    <x v="10"/>
    <x v="64"/>
    <x v="1"/>
    <x v="2"/>
    <x v="2"/>
    <x v="1"/>
    <x v="999"/>
    <x v="2"/>
    <x v="34"/>
    <x v="916"/>
    <x v="916"/>
    <x v="1"/>
    <x v="916"/>
    <x v="1005"/>
    <x v="990"/>
    <x v="1009"/>
    <x v="990"/>
    <x v="1005"/>
    <x v="1005"/>
    <x v="1005"/>
    <x v="1005"/>
    <x v="1005"/>
    <x v="1005"/>
    <x v="1005"/>
    <x v="916"/>
    <x v="1001"/>
    <x v="1001"/>
    <x v="864"/>
    <x v="0"/>
    <x v="0"/>
    <x v="1154"/>
    <x v="916"/>
    <x v="916"/>
    <x v="916"/>
    <x v="916"/>
    <x v="7"/>
  </r>
  <r>
    <x v="710"/>
    <x v="714"/>
    <x v="0"/>
    <x v="0"/>
    <x v="0"/>
    <x v="0"/>
    <x v="1"/>
    <x v="4"/>
    <x v="0"/>
    <x v="0"/>
    <x v="7"/>
    <x v="0"/>
    <x v="619"/>
    <x v="1"/>
    <x v="0"/>
    <x v="0"/>
    <x v="0"/>
    <x v="710"/>
    <x v="1"/>
    <x v="13"/>
    <x v="13"/>
    <x v="0"/>
    <x v="0"/>
    <x v="3"/>
    <x v="47"/>
    <x v="0"/>
    <x v="34"/>
    <x v="736"/>
    <x v="2"/>
    <x v="20"/>
    <x v="1"/>
    <x v="5"/>
    <x v="2"/>
    <x v="1"/>
    <x v="1182"/>
    <x v="5"/>
    <x v="34"/>
    <x v="619"/>
    <x v="619"/>
    <x v="0"/>
    <x v="619"/>
    <x v="744"/>
    <x v="704"/>
    <x v="788"/>
    <x v="704"/>
    <x v="744"/>
    <x v="744"/>
    <x v="744"/>
    <x v="744"/>
    <x v="744"/>
    <x v="744"/>
    <x v="744"/>
    <x v="619"/>
    <x v="786"/>
    <x v="786"/>
    <x v="622"/>
    <x v="0"/>
    <x v="0"/>
    <x v="964"/>
    <x v="619"/>
    <x v="619"/>
    <x v="619"/>
    <x v="619"/>
    <x v="7"/>
  </r>
  <r>
    <x v="711"/>
    <x v="729"/>
    <x v="0"/>
    <x v="0"/>
    <x v="0"/>
    <x v="0"/>
    <x v="0"/>
    <x v="2"/>
    <x v="0"/>
    <x v="0"/>
    <x v="7"/>
    <x v="0"/>
    <x v="496"/>
    <x v="1"/>
    <x v="0"/>
    <x v="0"/>
    <x v="0"/>
    <x v="711"/>
    <x v="1"/>
    <x v="13"/>
    <x v="13"/>
    <x v="0"/>
    <x v="0"/>
    <x v="3"/>
    <x v="48"/>
    <x v="0"/>
    <x v="36"/>
    <x v="739"/>
    <x v="1"/>
    <x v="6"/>
    <x v="1"/>
    <x v="3"/>
    <x v="2"/>
    <x v="1"/>
    <x v="877"/>
    <x v="3"/>
    <x v="36"/>
    <x v="496"/>
    <x v="496"/>
    <x v="0"/>
    <x v="496"/>
    <x v="614"/>
    <x v="593"/>
    <x v="633"/>
    <x v="593"/>
    <x v="614"/>
    <x v="614"/>
    <x v="614"/>
    <x v="614"/>
    <x v="614"/>
    <x v="614"/>
    <x v="614"/>
    <x v="496"/>
    <x v="630"/>
    <x v="630"/>
    <x v="461"/>
    <x v="0"/>
    <x v="0"/>
    <x v="868"/>
    <x v="496"/>
    <x v="496"/>
    <x v="496"/>
    <x v="496"/>
    <x v="7"/>
  </r>
  <r>
    <x v="712"/>
    <x v="744"/>
    <x v="0"/>
    <x v="0"/>
    <x v="0"/>
    <x v="0"/>
    <x v="0"/>
    <x v="2"/>
    <x v="0"/>
    <x v="0"/>
    <x v="7"/>
    <x v="0"/>
    <x v="850"/>
    <x v="1"/>
    <x v="0"/>
    <x v="0"/>
    <x v="0"/>
    <x v="712"/>
    <x v="1"/>
    <x v="13"/>
    <x v="13"/>
    <x v="0"/>
    <x v="0"/>
    <x v="3"/>
    <x v="31"/>
    <x v="0"/>
    <x v="28"/>
    <x v="793"/>
    <x v="1"/>
    <x v="6"/>
    <x v="1"/>
    <x v="3"/>
    <x v="2"/>
    <x v="1"/>
    <x v="1085"/>
    <x v="3"/>
    <x v="28"/>
    <x v="850"/>
    <x v="850"/>
    <x v="1"/>
    <x v="850"/>
    <x v="937"/>
    <x v="918"/>
    <x v="953"/>
    <x v="918"/>
    <x v="937"/>
    <x v="937"/>
    <x v="937"/>
    <x v="937"/>
    <x v="937"/>
    <x v="937"/>
    <x v="937"/>
    <x v="850"/>
    <x v="950"/>
    <x v="950"/>
    <x v="802"/>
    <x v="0"/>
    <x v="0"/>
    <x v="1034"/>
    <x v="850"/>
    <x v="850"/>
    <x v="850"/>
    <x v="850"/>
    <x v="7"/>
  </r>
  <r>
    <x v="713"/>
    <x v="721"/>
    <x v="0"/>
    <x v="0"/>
    <x v="0"/>
    <x v="0"/>
    <x v="0"/>
    <x v="2"/>
    <x v="0"/>
    <x v="0"/>
    <x v="7"/>
    <x v="0"/>
    <x v="738"/>
    <x v="1"/>
    <x v="0"/>
    <x v="0"/>
    <x v="0"/>
    <x v="713"/>
    <x v="1"/>
    <x v="13"/>
    <x v="13"/>
    <x v="0"/>
    <x v="0"/>
    <x v="3"/>
    <x v="48"/>
    <x v="0"/>
    <x v="29"/>
    <x v="734"/>
    <x v="1"/>
    <x v="6"/>
    <x v="1"/>
    <x v="3"/>
    <x v="2"/>
    <x v="1"/>
    <x v="1007"/>
    <x v="3"/>
    <x v="29"/>
    <x v="738"/>
    <x v="738"/>
    <x v="1"/>
    <x v="738"/>
    <x v="827"/>
    <x v="814"/>
    <x v="838"/>
    <x v="814"/>
    <x v="827"/>
    <x v="827"/>
    <x v="827"/>
    <x v="827"/>
    <x v="827"/>
    <x v="827"/>
    <x v="827"/>
    <x v="738"/>
    <x v="833"/>
    <x v="833"/>
    <x v="696"/>
    <x v="0"/>
    <x v="0"/>
    <x v="943"/>
    <x v="738"/>
    <x v="738"/>
    <x v="738"/>
    <x v="738"/>
    <x v="7"/>
  </r>
  <r>
    <x v="714"/>
    <x v="745"/>
    <x v="0"/>
    <x v="0"/>
    <x v="0"/>
    <x v="0"/>
    <x v="0"/>
    <x v="2"/>
    <x v="0"/>
    <x v="0"/>
    <x v="7"/>
    <x v="0"/>
    <x v="495"/>
    <x v="1"/>
    <x v="0"/>
    <x v="0"/>
    <x v="0"/>
    <x v="714"/>
    <x v="1"/>
    <x v="13"/>
    <x v="13"/>
    <x v="0"/>
    <x v="0"/>
    <x v="3"/>
    <x v="48"/>
    <x v="0"/>
    <x v="30"/>
    <x v="789"/>
    <x v="1"/>
    <x v="6"/>
    <x v="1"/>
    <x v="3"/>
    <x v="2"/>
    <x v="1"/>
    <x v="876"/>
    <x v="3"/>
    <x v="30"/>
    <x v="495"/>
    <x v="495"/>
    <x v="0"/>
    <x v="495"/>
    <x v="613"/>
    <x v="592"/>
    <x v="632"/>
    <x v="592"/>
    <x v="613"/>
    <x v="613"/>
    <x v="613"/>
    <x v="613"/>
    <x v="613"/>
    <x v="613"/>
    <x v="613"/>
    <x v="495"/>
    <x v="629"/>
    <x v="629"/>
    <x v="460"/>
    <x v="0"/>
    <x v="0"/>
    <x v="790"/>
    <x v="495"/>
    <x v="495"/>
    <x v="495"/>
    <x v="495"/>
    <x v="7"/>
  </r>
  <r>
    <x v="715"/>
    <x v="683"/>
    <x v="0"/>
    <x v="0"/>
    <x v="0"/>
    <x v="0"/>
    <x v="1"/>
    <x v="8"/>
    <x v="0"/>
    <x v="0"/>
    <x v="0"/>
    <x v="0"/>
    <x v="1336"/>
    <x v="1"/>
    <x v="0"/>
    <x v="0"/>
    <x v="0"/>
    <x v="715"/>
    <x v="0"/>
    <x v="14"/>
    <x v="14"/>
    <x v="0"/>
    <x v="0"/>
    <x v="4"/>
    <x v="30"/>
    <x v="0"/>
    <x v="22"/>
    <x v="745"/>
    <x v="5"/>
    <x v="42"/>
    <x v="1"/>
    <x v="9"/>
    <x v="5"/>
    <x v="1"/>
    <x v="1399"/>
    <x v="9"/>
    <x v="22"/>
    <x v="1334"/>
    <x v="1334"/>
    <x v="3"/>
    <x v="1334"/>
    <x v="1394"/>
    <x v="1380"/>
    <x v="1394"/>
    <x v="1380"/>
    <x v="1394"/>
    <x v="1394"/>
    <x v="1394"/>
    <x v="1394"/>
    <x v="1394"/>
    <x v="1394"/>
    <x v="1394"/>
    <x v="1334"/>
    <x v="1393"/>
    <x v="1393"/>
    <x v="0"/>
    <x v="121"/>
    <x v="0"/>
    <x v="1419"/>
    <x v="1334"/>
    <x v="1334"/>
    <x v="1334"/>
    <x v="1334"/>
    <x v="0"/>
  </r>
  <r>
    <x v="716"/>
    <x v="578"/>
    <x v="0"/>
    <x v="0"/>
    <x v="0"/>
    <x v="0"/>
    <x v="0"/>
    <x v="0"/>
    <x v="0"/>
    <x v="0"/>
    <x v="7"/>
    <x v="0"/>
    <x v="291"/>
    <x v="1"/>
    <x v="0"/>
    <x v="0"/>
    <x v="0"/>
    <x v="716"/>
    <x v="2"/>
    <x v="14"/>
    <x v="14"/>
    <x v="0"/>
    <x v="0"/>
    <x v="4"/>
    <x v="128"/>
    <x v="0"/>
    <x v="10"/>
    <x v="757"/>
    <x v="9"/>
    <x v="54"/>
    <x v="1"/>
    <x v="1"/>
    <x v="1"/>
    <x v="1"/>
    <x v="195"/>
    <x v="1"/>
    <x v="10"/>
    <x v="291"/>
    <x v="291"/>
    <x v="0"/>
    <x v="291"/>
    <x v="293"/>
    <x v="296"/>
    <x v="289"/>
    <x v="296"/>
    <x v="293"/>
    <x v="293"/>
    <x v="293"/>
    <x v="293"/>
    <x v="293"/>
    <x v="293"/>
    <x v="293"/>
    <x v="291"/>
    <x v="287"/>
    <x v="287"/>
    <x v="253"/>
    <x v="0"/>
    <x v="0"/>
    <x v="225"/>
    <x v="291"/>
    <x v="291"/>
    <x v="291"/>
    <x v="291"/>
    <x v="7"/>
  </r>
  <r>
    <x v="717"/>
    <x v="573"/>
    <x v="0"/>
    <x v="0"/>
    <x v="0"/>
    <x v="0"/>
    <x v="0"/>
    <x v="0"/>
    <x v="0"/>
    <x v="0"/>
    <x v="7"/>
    <x v="0"/>
    <x v="727"/>
    <x v="1"/>
    <x v="0"/>
    <x v="0"/>
    <x v="0"/>
    <x v="717"/>
    <x v="2"/>
    <x v="14"/>
    <x v="14"/>
    <x v="0"/>
    <x v="0"/>
    <x v="4"/>
    <x v="43"/>
    <x v="0"/>
    <x v="10"/>
    <x v="7"/>
    <x v="9"/>
    <x v="54"/>
    <x v="1"/>
    <x v="1"/>
    <x v="1"/>
    <x v="1"/>
    <x v="483"/>
    <x v="1"/>
    <x v="10"/>
    <x v="727"/>
    <x v="727"/>
    <x v="1"/>
    <x v="727"/>
    <x v="692"/>
    <x v="713"/>
    <x v="655"/>
    <x v="713"/>
    <x v="692"/>
    <x v="692"/>
    <x v="692"/>
    <x v="692"/>
    <x v="692"/>
    <x v="692"/>
    <x v="692"/>
    <x v="727"/>
    <x v="656"/>
    <x v="656"/>
    <x v="668"/>
    <x v="0"/>
    <x v="0"/>
    <x v="438"/>
    <x v="727"/>
    <x v="727"/>
    <x v="727"/>
    <x v="727"/>
    <x v="7"/>
  </r>
  <r>
    <x v="718"/>
    <x v="569"/>
    <x v="0"/>
    <x v="0"/>
    <x v="0"/>
    <x v="0"/>
    <x v="0"/>
    <x v="0"/>
    <x v="0"/>
    <x v="0"/>
    <x v="7"/>
    <x v="0"/>
    <x v="669"/>
    <x v="1"/>
    <x v="0"/>
    <x v="0"/>
    <x v="0"/>
    <x v="718"/>
    <x v="2"/>
    <x v="14"/>
    <x v="14"/>
    <x v="0"/>
    <x v="0"/>
    <x v="4"/>
    <x v="128"/>
    <x v="0"/>
    <x v="9"/>
    <x v="772"/>
    <x v="9"/>
    <x v="54"/>
    <x v="1"/>
    <x v="1"/>
    <x v="1"/>
    <x v="1"/>
    <x v="432"/>
    <x v="1"/>
    <x v="9"/>
    <x v="669"/>
    <x v="669"/>
    <x v="1"/>
    <x v="669"/>
    <x v="603"/>
    <x v="614"/>
    <x v="573"/>
    <x v="614"/>
    <x v="603"/>
    <x v="603"/>
    <x v="603"/>
    <x v="603"/>
    <x v="603"/>
    <x v="603"/>
    <x v="603"/>
    <x v="669"/>
    <x v="573"/>
    <x v="573"/>
    <x v="596"/>
    <x v="0"/>
    <x v="0"/>
    <x v="386"/>
    <x v="669"/>
    <x v="669"/>
    <x v="669"/>
    <x v="669"/>
    <x v="7"/>
  </r>
  <r>
    <x v="719"/>
    <x v="576"/>
    <x v="0"/>
    <x v="0"/>
    <x v="0"/>
    <x v="0"/>
    <x v="0"/>
    <x v="0"/>
    <x v="0"/>
    <x v="0"/>
    <x v="7"/>
    <x v="0"/>
    <x v="76"/>
    <x v="1"/>
    <x v="0"/>
    <x v="0"/>
    <x v="0"/>
    <x v="719"/>
    <x v="2"/>
    <x v="14"/>
    <x v="14"/>
    <x v="0"/>
    <x v="0"/>
    <x v="4"/>
    <x v="43"/>
    <x v="0"/>
    <x v="5"/>
    <x v="750"/>
    <x v="9"/>
    <x v="54"/>
    <x v="1"/>
    <x v="1"/>
    <x v="1"/>
    <x v="1"/>
    <x v="37"/>
    <x v="1"/>
    <x v="5"/>
    <x v="77"/>
    <x v="77"/>
    <x v="0"/>
    <x v="77"/>
    <x v="68"/>
    <x v="74"/>
    <x v="62"/>
    <x v="74"/>
    <x v="68"/>
    <x v="68"/>
    <x v="68"/>
    <x v="68"/>
    <x v="68"/>
    <x v="68"/>
    <x v="68"/>
    <x v="77"/>
    <x v="62"/>
    <x v="62"/>
    <x v="62"/>
    <x v="0"/>
    <x v="0"/>
    <x v="28"/>
    <x v="77"/>
    <x v="77"/>
    <x v="77"/>
    <x v="77"/>
    <x v="7"/>
  </r>
  <r>
    <x v="720"/>
    <x v="584"/>
    <x v="0"/>
    <x v="0"/>
    <x v="0"/>
    <x v="0"/>
    <x v="0"/>
    <x v="0"/>
    <x v="0"/>
    <x v="0"/>
    <x v="7"/>
    <x v="0"/>
    <x v="272"/>
    <x v="1"/>
    <x v="0"/>
    <x v="0"/>
    <x v="0"/>
    <x v="720"/>
    <x v="2"/>
    <x v="14"/>
    <x v="14"/>
    <x v="0"/>
    <x v="0"/>
    <x v="3"/>
    <x v="43"/>
    <x v="0"/>
    <x v="6"/>
    <x v="753"/>
    <x v="9"/>
    <x v="54"/>
    <x v="1"/>
    <x v="1"/>
    <x v="1"/>
    <x v="1"/>
    <x v="180"/>
    <x v="1"/>
    <x v="6"/>
    <x v="272"/>
    <x v="272"/>
    <x v="0"/>
    <x v="272"/>
    <x v="279"/>
    <x v="278"/>
    <x v="269"/>
    <x v="278"/>
    <x v="279"/>
    <x v="279"/>
    <x v="279"/>
    <x v="279"/>
    <x v="279"/>
    <x v="279"/>
    <x v="279"/>
    <x v="272"/>
    <x v="269"/>
    <x v="269"/>
    <x v="239"/>
    <x v="0"/>
    <x v="0"/>
    <x v="187"/>
    <x v="272"/>
    <x v="272"/>
    <x v="272"/>
    <x v="272"/>
    <x v="7"/>
  </r>
  <r>
    <x v="721"/>
    <x v="578"/>
    <x v="0"/>
    <x v="0"/>
    <x v="0"/>
    <x v="0"/>
    <x v="0"/>
    <x v="0"/>
    <x v="0"/>
    <x v="0"/>
    <x v="7"/>
    <x v="0"/>
    <x v="912"/>
    <x v="1"/>
    <x v="0"/>
    <x v="0"/>
    <x v="0"/>
    <x v="721"/>
    <x v="2"/>
    <x v="14"/>
    <x v="14"/>
    <x v="0"/>
    <x v="0"/>
    <x v="4"/>
    <x v="128"/>
    <x v="0"/>
    <x v="10"/>
    <x v="758"/>
    <x v="9"/>
    <x v="54"/>
    <x v="1"/>
    <x v="1"/>
    <x v="1"/>
    <x v="1"/>
    <x v="656"/>
    <x v="1"/>
    <x v="10"/>
    <x v="912"/>
    <x v="912"/>
    <x v="1"/>
    <x v="912"/>
    <x v="919"/>
    <x v="913"/>
    <x v="908"/>
    <x v="913"/>
    <x v="919"/>
    <x v="919"/>
    <x v="919"/>
    <x v="919"/>
    <x v="919"/>
    <x v="919"/>
    <x v="919"/>
    <x v="912"/>
    <x v="904"/>
    <x v="904"/>
    <x v="845"/>
    <x v="0"/>
    <x v="0"/>
    <x v="642"/>
    <x v="912"/>
    <x v="912"/>
    <x v="912"/>
    <x v="912"/>
    <x v="7"/>
  </r>
  <r>
    <x v="722"/>
    <x v="584"/>
    <x v="0"/>
    <x v="0"/>
    <x v="0"/>
    <x v="0"/>
    <x v="0"/>
    <x v="0"/>
    <x v="0"/>
    <x v="0"/>
    <x v="7"/>
    <x v="0"/>
    <x v="660"/>
    <x v="1"/>
    <x v="0"/>
    <x v="0"/>
    <x v="0"/>
    <x v="722"/>
    <x v="2"/>
    <x v="14"/>
    <x v="14"/>
    <x v="0"/>
    <x v="0"/>
    <x v="3"/>
    <x v="43"/>
    <x v="0"/>
    <x v="6"/>
    <x v="754"/>
    <x v="9"/>
    <x v="54"/>
    <x v="1"/>
    <x v="1"/>
    <x v="1"/>
    <x v="1"/>
    <x v="428"/>
    <x v="1"/>
    <x v="6"/>
    <x v="660"/>
    <x v="660"/>
    <x v="0"/>
    <x v="660"/>
    <x v="595"/>
    <x v="606"/>
    <x v="567"/>
    <x v="606"/>
    <x v="595"/>
    <x v="595"/>
    <x v="595"/>
    <x v="595"/>
    <x v="595"/>
    <x v="595"/>
    <x v="595"/>
    <x v="660"/>
    <x v="569"/>
    <x v="569"/>
    <x v="586"/>
    <x v="0"/>
    <x v="0"/>
    <x v="335"/>
    <x v="660"/>
    <x v="660"/>
    <x v="660"/>
    <x v="660"/>
    <x v="7"/>
  </r>
  <r>
    <x v="723"/>
    <x v="590"/>
    <x v="0"/>
    <x v="0"/>
    <x v="0"/>
    <x v="0"/>
    <x v="0"/>
    <x v="0"/>
    <x v="0"/>
    <x v="0"/>
    <x v="7"/>
    <x v="0"/>
    <x v="1162"/>
    <x v="1"/>
    <x v="0"/>
    <x v="0"/>
    <x v="0"/>
    <x v="723"/>
    <x v="2"/>
    <x v="14"/>
    <x v="14"/>
    <x v="0"/>
    <x v="0"/>
    <x v="4"/>
    <x v="43"/>
    <x v="0"/>
    <x v="7"/>
    <x v="771"/>
    <x v="9"/>
    <x v="54"/>
    <x v="1"/>
    <x v="1"/>
    <x v="1"/>
    <x v="1"/>
    <x v="937"/>
    <x v="1"/>
    <x v="7"/>
    <x v="1160"/>
    <x v="1160"/>
    <x v="1"/>
    <x v="1160"/>
    <x v="1174"/>
    <x v="1169"/>
    <x v="1154"/>
    <x v="1169"/>
    <x v="1174"/>
    <x v="1174"/>
    <x v="1174"/>
    <x v="1174"/>
    <x v="1174"/>
    <x v="1174"/>
    <x v="1174"/>
    <x v="1160"/>
    <x v="1156"/>
    <x v="1156"/>
    <x v="1087"/>
    <x v="0"/>
    <x v="0"/>
    <x v="898"/>
    <x v="1160"/>
    <x v="1160"/>
    <x v="1160"/>
    <x v="1160"/>
    <x v="7"/>
  </r>
  <r>
    <x v="724"/>
    <x v="596"/>
    <x v="0"/>
    <x v="0"/>
    <x v="0"/>
    <x v="0"/>
    <x v="0"/>
    <x v="0"/>
    <x v="0"/>
    <x v="0"/>
    <x v="7"/>
    <x v="0"/>
    <x v="642"/>
    <x v="1"/>
    <x v="0"/>
    <x v="0"/>
    <x v="0"/>
    <x v="724"/>
    <x v="2"/>
    <x v="14"/>
    <x v="14"/>
    <x v="0"/>
    <x v="0"/>
    <x v="4"/>
    <x v="43"/>
    <x v="0"/>
    <x v="6"/>
    <x v="761"/>
    <x v="9"/>
    <x v="54"/>
    <x v="1"/>
    <x v="1"/>
    <x v="1"/>
    <x v="1"/>
    <x v="419"/>
    <x v="1"/>
    <x v="6"/>
    <x v="642"/>
    <x v="642"/>
    <x v="0"/>
    <x v="642"/>
    <x v="583"/>
    <x v="588"/>
    <x v="557"/>
    <x v="588"/>
    <x v="583"/>
    <x v="583"/>
    <x v="583"/>
    <x v="583"/>
    <x v="583"/>
    <x v="583"/>
    <x v="583"/>
    <x v="642"/>
    <x v="558"/>
    <x v="558"/>
    <x v="573"/>
    <x v="0"/>
    <x v="0"/>
    <x v="327"/>
    <x v="642"/>
    <x v="642"/>
    <x v="642"/>
    <x v="642"/>
    <x v="7"/>
  </r>
  <r>
    <x v="725"/>
    <x v="597"/>
    <x v="0"/>
    <x v="0"/>
    <x v="0"/>
    <x v="0"/>
    <x v="0"/>
    <x v="0"/>
    <x v="0"/>
    <x v="0"/>
    <x v="7"/>
    <x v="0"/>
    <x v="1153"/>
    <x v="1"/>
    <x v="0"/>
    <x v="0"/>
    <x v="0"/>
    <x v="725"/>
    <x v="2"/>
    <x v="14"/>
    <x v="14"/>
    <x v="0"/>
    <x v="0"/>
    <x v="4"/>
    <x v="43"/>
    <x v="0"/>
    <x v="8"/>
    <x v="769"/>
    <x v="9"/>
    <x v="54"/>
    <x v="1"/>
    <x v="1"/>
    <x v="1"/>
    <x v="1"/>
    <x v="926"/>
    <x v="1"/>
    <x v="8"/>
    <x v="1151"/>
    <x v="1151"/>
    <x v="1"/>
    <x v="1151"/>
    <x v="1162"/>
    <x v="1158"/>
    <x v="1144"/>
    <x v="1158"/>
    <x v="1162"/>
    <x v="1162"/>
    <x v="1162"/>
    <x v="1162"/>
    <x v="1162"/>
    <x v="1162"/>
    <x v="1162"/>
    <x v="1151"/>
    <x v="1143"/>
    <x v="1143"/>
    <x v="1077"/>
    <x v="0"/>
    <x v="0"/>
    <x v="919"/>
    <x v="1151"/>
    <x v="1151"/>
    <x v="1151"/>
    <x v="1151"/>
    <x v="7"/>
  </r>
  <r>
    <x v="726"/>
    <x v="608"/>
    <x v="0"/>
    <x v="0"/>
    <x v="0"/>
    <x v="0"/>
    <x v="0"/>
    <x v="1"/>
    <x v="0"/>
    <x v="0"/>
    <x v="7"/>
    <x v="0"/>
    <x v="570"/>
    <x v="1"/>
    <x v="0"/>
    <x v="0"/>
    <x v="0"/>
    <x v="726"/>
    <x v="1"/>
    <x v="14"/>
    <x v="14"/>
    <x v="0"/>
    <x v="0"/>
    <x v="4"/>
    <x v="36"/>
    <x v="0"/>
    <x v="7"/>
    <x v="764"/>
    <x v="10"/>
    <x v="64"/>
    <x v="1"/>
    <x v="2"/>
    <x v="2"/>
    <x v="1"/>
    <x v="727"/>
    <x v="2"/>
    <x v="7"/>
    <x v="570"/>
    <x v="570"/>
    <x v="0"/>
    <x v="570"/>
    <x v="669"/>
    <x v="663"/>
    <x v="664"/>
    <x v="663"/>
    <x v="669"/>
    <x v="669"/>
    <x v="669"/>
    <x v="669"/>
    <x v="669"/>
    <x v="669"/>
    <x v="669"/>
    <x v="570"/>
    <x v="657"/>
    <x v="657"/>
    <x v="527"/>
    <x v="0"/>
    <x v="0"/>
    <x v="390"/>
    <x v="570"/>
    <x v="570"/>
    <x v="570"/>
    <x v="570"/>
    <x v="7"/>
  </r>
  <r>
    <x v="727"/>
    <x v="615"/>
    <x v="0"/>
    <x v="0"/>
    <x v="0"/>
    <x v="0"/>
    <x v="0"/>
    <x v="0"/>
    <x v="0"/>
    <x v="0"/>
    <x v="7"/>
    <x v="0"/>
    <x v="1109"/>
    <x v="1"/>
    <x v="0"/>
    <x v="0"/>
    <x v="0"/>
    <x v="727"/>
    <x v="2"/>
    <x v="14"/>
    <x v="14"/>
    <x v="0"/>
    <x v="0"/>
    <x v="4"/>
    <x v="43"/>
    <x v="0"/>
    <x v="23"/>
    <x v="770"/>
    <x v="9"/>
    <x v="54"/>
    <x v="1"/>
    <x v="1"/>
    <x v="1"/>
    <x v="1"/>
    <x v="871"/>
    <x v="1"/>
    <x v="23"/>
    <x v="1107"/>
    <x v="1107"/>
    <x v="1"/>
    <x v="1107"/>
    <x v="1115"/>
    <x v="1111"/>
    <x v="1100"/>
    <x v="1111"/>
    <x v="1115"/>
    <x v="1115"/>
    <x v="1115"/>
    <x v="1115"/>
    <x v="1115"/>
    <x v="1115"/>
    <x v="1115"/>
    <x v="1107"/>
    <x v="1098"/>
    <x v="1098"/>
    <x v="1035"/>
    <x v="0"/>
    <x v="0"/>
    <x v="1130"/>
    <x v="1107"/>
    <x v="1107"/>
    <x v="1107"/>
    <x v="1107"/>
    <x v="7"/>
  </r>
  <r>
    <x v="728"/>
    <x v="628"/>
    <x v="0"/>
    <x v="0"/>
    <x v="0"/>
    <x v="0"/>
    <x v="0"/>
    <x v="0"/>
    <x v="0"/>
    <x v="0"/>
    <x v="7"/>
    <x v="0"/>
    <x v="933"/>
    <x v="1"/>
    <x v="0"/>
    <x v="0"/>
    <x v="0"/>
    <x v="728"/>
    <x v="2"/>
    <x v="14"/>
    <x v="14"/>
    <x v="0"/>
    <x v="0"/>
    <x v="4"/>
    <x v="43"/>
    <x v="0"/>
    <x v="22"/>
    <x v="756"/>
    <x v="9"/>
    <x v="54"/>
    <x v="1"/>
    <x v="1"/>
    <x v="1"/>
    <x v="1"/>
    <x v="685"/>
    <x v="1"/>
    <x v="22"/>
    <x v="933"/>
    <x v="933"/>
    <x v="1"/>
    <x v="933"/>
    <x v="942"/>
    <x v="942"/>
    <x v="932"/>
    <x v="942"/>
    <x v="942"/>
    <x v="942"/>
    <x v="942"/>
    <x v="942"/>
    <x v="942"/>
    <x v="942"/>
    <x v="942"/>
    <x v="933"/>
    <x v="931"/>
    <x v="931"/>
    <x v="873"/>
    <x v="0"/>
    <x v="0"/>
    <x v="946"/>
    <x v="933"/>
    <x v="933"/>
    <x v="933"/>
    <x v="933"/>
    <x v="7"/>
  </r>
  <r>
    <x v="729"/>
    <x v="624"/>
    <x v="0"/>
    <x v="0"/>
    <x v="0"/>
    <x v="0"/>
    <x v="0"/>
    <x v="1"/>
    <x v="0"/>
    <x v="0"/>
    <x v="7"/>
    <x v="0"/>
    <x v="354"/>
    <x v="1"/>
    <x v="0"/>
    <x v="0"/>
    <x v="0"/>
    <x v="729"/>
    <x v="1"/>
    <x v="14"/>
    <x v="14"/>
    <x v="0"/>
    <x v="0"/>
    <x v="0"/>
    <x v="127"/>
    <x v="0"/>
    <x v="22"/>
    <x v="781"/>
    <x v="10"/>
    <x v="64"/>
    <x v="1"/>
    <x v="2"/>
    <x v="2"/>
    <x v="1"/>
    <x v="543"/>
    <x v="2"/>
    <x v="22"/>
    <x v="354"/>
    <x v="354"/>
    <x v="0"/>
    <x v="354"/>
    <x v="410"/>
    <x v="401"/>
    <x v="412"/>
    <x v="401"/>
    <x v="410"/>
    <x v="410"/>
    <x v="410"/>
    <x v="410"/>
    <x v="410"/>
    <x v="410"/>
    <x v="410"/>
    <x v="354"/>
    <x v="411"/>
    <x v="411"/>
    <x v="321"/>
    <x v="0"/>
    <x v="0"/>
    <x v="460"/>
    <x v="354"/>
    <x v="354"/>
    <x v="354"/>
    <x v="354"/>
    <x v="7"/>
  </r>
  <r>
    <x v="730"/>
    <x v="632"/>
    <x v="0"/>
    <x v="0"/>
    <x v="0"/>
    <x v="0"/>
    <x v="0"/>
    <x v="0"/>
    <x v="0"/>
    <x v="0"/>
    <x v="7"/>
    <x v="0"/>
    <x v="988"/>
    <x v="1"/>
    <x v="0"/>
    <x v="0"/>
    <x v="0"/>
    <x v="730"/>
    <x v="2"/>
    <x v="14"/>
    <x v="14"/>
    <x v="0"/>
    <x v="0"/>
    <x v="0"/>
    <x v="127"/>
    <x v="0"/>
    <x v="22"/>
    <x v="780"/>
    <x v="9"/>
    <x v="54"/>
    <x v="1"/>
    <x v="1"/>
    <x v="1"/>
    <x v="1"/>
    <x v="751"/>
    <x v="1"/>
    <x v="22"/>
    <x v="988"/>
    <x v="988"/>
    <x v="1"/>
    <x v="988"/>
    <x v="1006"/>
    <x v="999"/>
    <x v="986"/>
    <x v="999"/>
    <x v="1006"/>
    <x v="1006"/>
    <x v="1006"/>
    <x v="1006"/>
    <x v="1006"/>
    <x v="1006"/>
    <x v="1006"/>
    <x v="988"/>
    <x v="985"/>
    <x v="985"/>
    <x v="920"/>
    <x v="0"/>
    <x v="0"/>
    <x v="997"/>
    <x v="988"/>
    <x v="988"/>
    <x v="988"/>
    <x v="988"/>
    <x v="7"/>
  </r>
  <r>
    <x v="731"/>
    <x v="640"/>
    <x v="0"/>
    <x v="0"/>
    <x v="0"/>
    <x v="0"/>
    <x v="0"/>
    <x v="0"/>
    <x v="0"/>
    <x v="0"/>
    <x v="7"/>
    <x v="0"/>
    <x v="515"/>
    <x v="1"/>
    <x v="0"/>
    <x v="0"/>
    <x v="0"/>
    <x v="731"/>
    <x v="2"/>
    <x v="14"/>
    <x v="14"/>
    <x v="0"/>
    <x v="0"/>
    <x v="4"/>
    <x v="43"/>
    <x v="0"/>
    <x v="22"/>
    <x v="763"/>
    <x v="9"/>
    <x v="54"/>
    <x v="1"/>
    <x v="1"/>
    <x v="1"/>
    <x v="1"/>
    <x v="339"/>
    <x v="1"/>
    <x v="22"/>
    <x v="515"/>
    <x v="515"/>
    <x v="0"/>
    <x v="515"/>
    <x v="479"/>
    <x v="484"/>
    <x v="465"/>
    <x v="484"/>
    <x v="479"/>
    <x v="479"/>
    <x v="479"/>
    <x v="479"/>
    <x v="479"/>
    <x v="479"/>
    <x v="479"/>
    <x v="515"/>
    <x v="466"/>
    <x v="466"/>
    <x v="453"/>
    <x v="0"/>
    <x v="0"/>
    <x v="532"/>
    <x v="515"/>
    <x v="515"/>
    <x v="515"/>
    <x v="515"/>
    <x v="7"/>
  </r>
  <r>
    <x v="732"/>
    <x v="635"/>
    <x v="0"/>
    <x v="0"/>
    <x v="0"/>
    <x v="0"/>
    <x v="0"/>
    <x v="1"/>
    <x v="0"/>
    <x v="0"/>
    <x v="7"/>
    <x v="0"/>
    <x v="84"/>
    <x v="1"/>
    <x v="0"/>
    <x v="0"/>
    <x v="0"/>
    <x v="732"/>
    <x v="1"/>
    <x v="14"/>
    <x v="14"/>
    <x v="0"/>
    <x v="0"/>
    <x v="3"/>
    <x v="44"/>
    <x v="0"/>
    <x v="22"/>
    <x v="747"/>
    <x v="10"/>
    <x v="64"/>
    <x v="1"/>
    <x v="2"/>
    <x v="2"/>
    <x v="1"/>
    <x v="75"/>
    <x v="2"/>
    <x v="22"/>
    <x v="85"/>
    <x v="85"/>
    <x v="0"/>
    <x v="85"/>
    <x v="92"/>
    <x v="96"/>
    <x v="90"/>
    <x v="96"/>
    <x v="92"/>
    <x v="92"/>
    <x v="92"/>
    <x v="92"/>
    <x v="92"/>
    <x v="92"/>
    <x v="92"/>
    <x v="85"/>
    <x v="89"/>
    <x v="89"/>
    <x v="71"/>
    <x v="0"/>
    <x v="0"/>
    <x v="101"/>
    <x v="85"/>
    <x v="85"/>
    <x v="85"/>
    <x v="85"/>
    <x v="7"/>
  </r>
  <r>
    <x v="733"/>
    <x v="629"/>
    <x v="0"/>
    <x v="0"/>
    <x v="0"/>
    <x v="0"/>
    <x v="0"/>
    <x v="0"/>
    <x v="0"/>
    <x v="0"/>
    <x v="7"/>
    <x v="0"/>
    <x v="910"/>
    <x v="1"/>
    <x v="0"/>
    <x v="0"/>
    <x v="0"/>
    <x v="733"/>
    <x v="2"/>
    <x v="14"/>
    <x v="14"/>
    <x v="0"/>
    <x v="0"/>
    <x v="4"/>
    <x v="35"/>
    <x v="0"/>
    <x v="23"/>
    <x v="749"/>
    <x v="9"/>
    <x v="54"/>
    <x v="1"/>
    <x v="1"/>
    <x v="1"/>
    <x v="1"/>
    <x v="653"/>
    <x v="1"/>
    <x v="23"/>
    <x v="910"/>
    <x v="910"/>
    <x v="1"/>
    <x v="910"/>
    <x v="917"/>
    <x v="911"/>
    <x v="906"/>
    <x v="911"/>
    <x v="917"/>
    <x v="917"/>
    <x v="917"/>
    <x v="917"/>
    <x v="917"/>
    <x v="917"/>
    <x v="917"/>
    <x v="910"/>
    <x v="901"/>
    <x v="901"/>
    <x v="843"/>
    <x v="0"/>
    <x v="0"/>
    <x v="928"/>
    <x v="910"/>
    <x v="910"/>
    <x v="910"/>
    <x v="910"/>
    <x v="7"/>
  </r>
  <r>
    <x v="734"/>
    <x v="628"/>
    <x v="0"/>
    <x v="0"/>
    <x v="0"/>
    <x v="0"/>
    <x v="0"/>
    <x v="0"/>
    <x v="0"/>
    <x v="0"/>
    <x v="7"/>
    <x v="0"/>
    <x v="1085"/>
    <x v="1"/>
    <x v="0"/>
    <x v="0"/>
    <x v="0"/>
    <x v="734"/>
    <x v="2"/>
    <x v="14"/>
    <x v="14"/>
    <x v="0"/>
    <x v="0"/>
    <x v="4"/>
    <x v="43"/>
    <x v="0"/>
    <x v="22"/>
    <x v="755"/>
    <x v="9"/>
    <x v="54"/>
    <x v="1"/>
    <x v="1"/>
    <x v="1"/>
    <x v="1"/>
    <x v="852"/>
    <x v="1"/>
    <x v="22"/>
    <x v="1083"/>
    <x v="1083"/>
    <x v="1"/>
    <x v="1083"/>
    <x v="1094"/>
    <x v="1090"/>
    <x v="1078"/>
    <x v="1090"/>
    <x v="1094"/>
    <x v="1094"/>
    <x v="1094"/>
    <x v="1094"/>
    <x v="1094"/>
    <x v="1094"/>
    <x v="1094"/>
    <x v="1083"/>
    <x v="1077"/>
    <x v="1077"/>
    <x v="1014"/>
    <x v="0"/>
    <x v="0"/>
    <x v="1087"/>
    <x v="1083"/>
    <x v="1083"/>
    <x v="1083"/>
    <x v="1083"/>
    <x v="7"/>
  </r>
  <r>
    <x v="735"/>
    <x v="654"/>
    <x v="0"/>
    <x v="0"/>
    <x v="0"/>
    <x v="0"/>
    <x v="0"/>
    <x v="1"/>
    <x v="0"/>
    <x v="0"/>
    <x v="7"/>
    <x v="0"/>
    <x v="541"/>
    <x v="1"/>
    <x v="0"/>
    <x v="0"/>
    <x v="0"/>
    <x v="735"/>
    <x v="1"/>
    <x v="14"/>
    <x v="14"/>
    <x v="0"/>
    <x v="0"/>
    <x v="4"/>
    <x v="107"/>
    <x v="0"/>
    <x v="21"/>
    <x v="778"/>
    <x v="10"/>
    <x v="64"/>
    <x v="1"/>
    <x v="2"/>
    <x v="2"/>
    <x v="1"/>
    <x v="703"/>
    <x v="2"/>
    <x v="21"/>
    <x v="541"/>
    <x v="541"/>
    <x v="0"/>
    <x v="541"/>
    <x v="644"/>
    <x v="640"/>
    <x v="640"/>
    <x v="640"/>
    <x v="644"/>
    <x v="644"/>
    <x v="644"/>
    <x v="644"/>
    <x v="644"/>
    <x v="644"/>
    <x v="644"/>
    <x v="541"/>
    <x v="636"/>
    <x v="636"/>
    <x v="498"/>
    <x v="0"/>
    <x v="0"/>
    <x v="641"/>
    <x v="541"/>
    <x v="541"/>
    <x v="541"/>
    <x v="541"/>
    <x v="7"/>
  </r>
  <r>
    <x v="736"/>
    <x v="647"/>
    <x v="0"/>
    <x v="0"/>
    <x v="0"/>
    <x v="0"/>
    <x v="0"/>
    <x v="1"/>
    <x v="0"/>
    <x v="0"/>
    <x v="7"/>
    <x v="0"/>
    <x v="13"/>
    <x v="1"/>
    <x v="0"/>
    <x v="0"/>
    <x v="0"/>
    <x v="736"/>
    <x v="1"/>
    <x v="14"/>
    <x v="14"/>
    <x v="0"/>
    <x v="0"/>
    <x v="3"/>
    <x v="107"/>
    <x v="0"/>
    <x v="24"/>
    <x v="748"/>
    <x v="10"/>
    <x v="64"/>
    <x v="1"/>
    <x v="2"/>
    <x v="2"/>
    <x v="1"/>
    <x v="19"/>
    <x v="2"/>
    <x v="24"/>
    <x v="14"/>
    <x v="14"/>
    <x v="0"/>
    <x v="14"/>
    <x v="15"/>
    <x v="15"/>
    <x v="16"/>
    <x v="15"/>
    <x v="15"/>
    <x v="15"/>
    <x v="15"/>
    <x v="15"/>
    <x v="15"/>
    <x v="15"/>
    <x v="15"/>
    <x v="14"/>
    <x v="15"/>
    <x v="15"/>
    <x v="13"/>
    <x v="0"/>
    <x v="0"/>
    <x v="17"/>
    <x v="14"/>
    <x v="14"/>
    <x v="14"/>
    <x v="14"/>
    <x v="7"/>
  </r>
  <r>
    <x v="737"/>
    <x v="674"/>
    <x v="0"/>
    <x v="0"/>
    <x v="0"/>
    <x v="0"/>
    <x v="0"/>
    <x v="1"/>
    <x v="0"/>
    <x v="0"/>
    <x v="7"/>
    <x v="0"/>
    <x v="906"/>
    <x v="1"/>
    <x v="0"/>
    <x v="0"/>
    <x v="0"/>
    <x v="737"/>
    <x v="1"/>
    <x v="14"/>
    <x v="14"/>
    <x v="0"/>
    <x v="0"/>
    <x v="3"/>
    <x v="109"/>
    <x v="0"/>
    <x v="22"/>
    <x v="767"/>
    <x v="10"/>
    <x v="64"/>
    <x v="1"/>
    <x v="2"/>
    <x v="2"/>
    <x v="1"/>
    <x v="989"/>
    <x v="2"/>
    <x v="22"/>
    <x v="906"/>
    <x v="906"/>
    <x v="1"/>
    <x v="906"/>
    <x v="987"/>
    <x v="978"/>
    <x v="990"/>
    <x v="978"/>
    <x v="987"/>
    <x v="987"/>
    <x v="987"/>
    <x v="987"/>
    <x v="987"/>
    <x v="987"/>
    <x v="987"/>
    <x v="906"/>
    <x v="986"/>
    <x v="986"/>
    <x v="846"/>
    <x v="0"/>
    <x v="0"/>
    <x v="1001"/>
    <x v="906"/>
    <x v="906"/>
    <x v="906"/>
    <x v="906"/>
    <x v="7"/>
  </r>
  <r>
    <x v="738"/>
    <x v="670"/>
    <x v="0"/>
    <x v="0"/>
    <x v="0"/>
    <x v="0"/>
    <x v="0"/>
    <x v="1"/>
    <x v="0"/>
    <x v="0"/>
    <x v="7"/>
    <x v="0"/>
    <x v="565"/>
    <x v="1"/>
    <x v="0"/>
    <x v="0"/>
    <x v="0"/>
    <x v="738"/>
    <x v="1"/>
    <x v="14"/>
    <x v="14"/>
    <x v="0"/>
    <x v="0"/>
    <x v="4"/>
    <x v="107"/>
    <x v="0"/>
    <x v="24"/>
    <x v="775"/>
    <x v="10"/>
    <x v="64"/>
    <x v="1"/>
    <x v="2"/>
    <x v="2"/>
    <x v="1"/>
    <x v="724"/>
    <x v="2"/>
    <x v="24"/>
    <x v="565"/>
    <x v="565"/>
    <x v="0"/>
    <x v="565"/>
    <x v="667"/>
    <x v="659"/>
    <x v="659"/>
    <x v="659"/>
    <x v="667"/>
    <x v="667"/>
    <x v="667"/>
    <x v="667"/>
    <x v="667"/>
    <x v="667"/>
    <x v="667"/>
    <x v="565"/>
    <x v="654"/>
    <x v="654"/>
    <x v="523"/>
    <x v="0"/>
    <x v="0"/>
    <x v="711"/>
    <x v="565"/>
    <x v="565"/>
    <x v="565"/>
    <x v="565"/>
    <x v="7"/>
  </r>
  <r>
    <x v="739"/>
    <x v="702"/>
    <x v="0"/>
    <x v="0"/>
    <x v="0"/>
    <x v="0"/>
    <x v="0"/>
    <x v="0"/>
    <x v="0"/>
    <x v="0"/>
    <x v="7"/>
    <x v="0"/>
    <x v="1112"/>
    <x v="1"/>
    <x v="0"/>
    <x v="0"/>
    <x v="0"/>
    <x v="739"/>
    <x v="2"/>
    <x v="14"/>
    <x v="14"/>
    <x v="0"/>
    <x v="0"/>
    <x v="4"/>
    <x v="107"/>
    <x v="0"/>
    <x v="23"/>
    <x v="766"/>
    <x v="9"/>
    <x v="54"/>
    <x v="1"/>
    <x v="1"/>
    <x v="1"/>
    <x v="1"/>
    <x v="878"/>
    <x v="1"/>
    <x v="23"/>
    <x v="1110"/>
    <x v="1110"/>
    <x v="1"/>
    <x v="1110"/>
    <x v="1119"/>
    <x v="1117"/>
    <x v="1103"/>
    <x v="1117"/>
    <x v="1119"/>
    <x v="1119"/>
    <x v="1119"/>
    <x v="1119"/>
    <x v="1119"/>
    <x v="1119"/>
    <x v="1119"/>
    <x v="1110"/>
    <x v="1102"/>
    <x v="1102"/>
    <x v="1040"/>
    <x v="0"/>
    <x v="0"/>
    <x v="1140"/>
    <x v="1110"/>
    <x v="1110"/>
    <x v="1110"/>
    <x v="1110"/>
    <x v="7"/>
  </r>
  <r>
    <x v="740"/>
    <x v="654"/>
    <x v="0"/>
    <x v="0"/>
    <x v="0"/>
    <x v="0"/>
    <x v="0"/>
    <x v="1"/>
    <x v="0"/>
    <x v="0"/>
    <x v="7"/>
    <x v="0"/>
    <x v="464"/>
    <x v="1"/>
    <x v="0"/>
    <x v="0"/>
    <x v="0"/>
    <x v="740"/>
    <x v="1"/>
    <x v="14"/>
    <x v="14"/>
    <x v="0"/>
    <x v="0"/>
    <x v="4"/>
    <x v="107"/>
    <x v="0"/>
    <x v="21"/>
    <x v="779"/>
    <x v="10"/>
    <x v="64"/>
    <x v="1"/>
    <x v="2"/>
    <x v="2"/>
    <x v="1"/>
    <x v="658"/>
    <x v="2"/>
    <x v="21"/>
    <x v="464"/>
    <x v="464"/>
    <x v="0"/>
    <x v="464"/>
    <x v="555"/>
    <x v="545"/>
    <x v="571"/>
    <x v="545"/>
    <x v="555"/>
    <x v="555"/>
    <x v="555"/>
    <x v="555"/>
    <x v="555"/>
    <x v="555"/>
    <x v="555"/>
    <x v="464"/>
    <x v="567"/>
    <x v="567"/>
    <x v="420"/>
    <x v="0"/>
    <x v="0"/>
    <x v="588"/>
    <x v="464"/>
    <x v="464"/>
    <x v="464"/>
    <x v="464"/>
    <x v="7"/>
  </r>
  <r>
    <x v="741"/>
    <x v="672"/>
    <x v="0"/>
    <x v="0"/>
    <x v="0"/>
    <x v="0"/>
    <x v="0"/>
    <x v="0"/>
    <x v="0"/>
    <x v="0"/>
    <x v="7"/>
    <x v="0"/>
    <x v="161"/>
    <x v="1"/>
    <x v="0"/>
    <x v="0"/>
    <x v="0"/>
    <x v="741"/>
    <x v="2"/>
    <x v="14"/>
    <x v="14"/>
    <x v="0"/>
    <x v="0"/>
    <x v="3"/>
    <x v="128"/>
    <x v="0"/>
    <x v="24"/>
    <x v="47"/>
    <x v="9"/>
    <x v="54"/>
    <x v="1"/>
    <x v="1"/>
    <x v="1"/>
    <x v="1"/>
    <x v="82"/>
    <x v="1"/>
    <x v="24"/>
    <x v="162"/>
    <x v="162"/>
    <x v="0"/>
    <x v="162"/>
    <x v="172"/>
    <x v="170"/>
    <x v="163"/>
    <x v="170"/>
    <x v="172"/>
    <x v="172"/>
    <x v="172"/>
    <x v="172"/>
    <x v="172"/>
    <x v="172"/>
    <x v="172"/>
    <x v="162"/>
    <x v="163"/>
    <x v="163"/>
    <x v="138"/>
    <x v="0"/>
    <x v="0"/>
    <x v="182"/>
    <x v="162"/>
    <x v="162"/>
    <x v="162"/>
    <x v="162"/>
    <x v="7"/>
  </r>
  <r>
    <x v="742"/>
    <x v="708"/>
    <x v="0"/>
    <x v="0"/>
    <x v="0"/>
    <x v="0"/>
    <x v="0"/>
    <x v="1"/>
    <x v="0"/>
    <x v="0"/>
    <x v="7"/>
    <x v="0"/>
    <x v="1107"/>
    <x v="1"/>
    <x v="0"/>
    <x v="0"/>
    <x v="0"/>
    <x v="742"/>
    <x v="1"/>
    <x v="14"/>
    <x v="14"/>
    <x v="0"/>
    <x v="0"/>
    <x v="4"/>
    <x v="102"/>
    <x v="0"/>
    <x v="26"/>
    <x v="774"/>
    <x v="10"/>
    <x v="64"/>
    <x v="1"/>
    <x v="2"/>
    <x v="2"/>
    <x v="1"/>
    <x v="1138"/>
    <x v="2"/>
    <x v="26"/>
    <x v="1105"/>
    <x v="1105"/>
    <x v="1"/>
    <x v="1105"/>
    <x v="1188"/>
    <x v="1177"/>
    <x v="1189"/>
    <x v="1177"/>
    <x v="1188"/>
    <x v="1188"/>
    <x v="1188"/>
    <x v="1188"/>
    <x v="1188"/>
    <x v="1188"/>
    <x v="1188"/>
    <x v="1105"/>
    <x v="1184"/>
    <x v="1184"/>
    <x v="1038"/>
    <x v="0"/>
    <x v="0"/>
    <x v="1229"/>
    <x v="1105"/>
    <x v="1105"/>
    <x v="1105"/>
    <x v="1105"/>
    <x v="7"/>
  </r>
  <r>
    <x v="743"/>
    <x v="689"/>
    <x v="0"/>
    <x v="0"/>
    <x v="0"/>
    <x v="0"/>
    <x v="0"/>
    <x v="1"/>
    <x v="0"/>
    <x v="0"/>
    <x v="7"/>
    <x v="0"/>
    <x v="214"/>
    <x v="1"/>
    <x v="0"/>
    <x v="0"/>
    <x v="0"/>
    <x v="743"/>
    <x v="1"/>
    <x v="14"/>
    <x v="14"/>
    <x v="0"/>
    <x v="0"/>
    <x v="4"/>
    <x v="30"/>
    <x v="0"/>
    <x v="22"/>
    <x v="782"/>
    <x v="10"/>
    <x v="64"/>
    <x v="1"/>
    <x v="2"/>
    <x v="2"/>
    <x v="1"/>
    <x v="249"/>
    <x v="2"/>
    <x v="22"/>
    <x v="215"/>
    <x v="215"/>
    <x v="0"/>
    <x v="215"/>
    <x v="244"/>
    <x v="238"/>
    <x v="244"/>
    <x v="238"/>
    <x v="244"/>
    <x v="244"/>
    <x v="244"/>
    <x v="244"/>
    <x v="244"/>
    <x v="244"/>
    <x v="244"/>
    <x v="215"/>
    <x v="244"/>
    <x v="244"/>
    <x v="189"/>
    <x v="0"/>
    <x v="0"/>
    <x v="253"/>
    <x v="215"/>
    <x v="215"/>
    <x v="215"/>
    <x v="215"/>
    <x v="7"/>
  </r>
  <r>
    <x v="744"/>
    <x v="698"/>
    <x v="0"/>
    <x v="0"/>
    <x v="0"/>
    <x v="0"/>
    <x v="0"/>
    <x v="1"/>
    <x v="0"/>
    <x v="0"/>
    <x v="7"/>
    <x v="0"/>
    <x v="479"/>
    <x v="1"/>
    <x v="0"/>
    <x v="0"/>
    <x v="0"/>
    <x v="744"/>
    <x v="1"/>
    <x v="14"/>
    <x v="14"/>
    <x v="0"/>
    <x v="0"/>
    <x v="3"/>
    <x v="34"/>
    <x v="0"/>
    <x v="24"/>
    <x v="776"/>
    <x v="10"/>
    <x v="64"/>
    <x v="1"/>
    <x v="2"/>
    <x v="2"/>
    <x v="1"/>
    <x v="669"/>
    <x v="2"/>
    <x v="24"/>
    <x v="479"/>
    <x v="479"/>
    <x v="0"/>
    <x v="479"/>
    <x v="582"/>
    <x v="567"/>
    <x v="587"/>
    <x v="567"/>
    <x v="582"/>
    <x v="582"/>
    <x v="582"/>
    <x v="582"/>
    <x v="582"/>
    <x v="582"/>
    <x v="582"/>
    <x v="479"/>
    <x v="584"/>
    <x v="584"/>
    <x v="437"/>
    <x v="0"/>
    <x v="0"/>
    <x v="649"/>
    <x v="479"/>
    <x v="479"/>
    <x v="479"/>
    <x v="479"/>
    <x v="7"/>
  </r>
  <r>
    <x v="745"/>
    <x v="672"/>
    <x v="0"/>
    <x v="0"/>
    <x v="0"/>
    <x v="0"/>
    <x v="0"/>
    <x v="0"/>
    <x v="0"/>
    <x v="0"/>
    <x v="7"/>
    <x v="0"/>
    <x v="521"/>
    <x v="1"/>
    <x v="0"/>
    <x v="0"/>
    <x v="0"/>
    <x v="745"/>
    <x v="2"/>
    <x v="14"/>
    <x v="14"/>
    <x v="0"/>
    <x v="0"/>
    <x v="3"/>
    <x v="128"/>
    <x v="0"/>
    <x v="24"/>
    <x v="765"/>
    <x v="9"/>
    <x v="54"/>
    <x v="1"/>
    <x v="1"/>
    <x v="1"/>
    <x v="1"/>
    <x v="343"/>
    <x v="1"/>
    <x v="24"/>
    <x v="521"/>
    <x v="521"/>
    <x v="0"/>
    <x v="521"/>
    <x v="483"/>
    <x v="490"/>
    <x v="469"/>
    <x v="490"/>
    <x v="483"/>
    <x v="483"/>
    <x v="483"/>
    <x v="483"/>
    <x v="483"/>
    <x v="483"/>
    <x v="483"/>
    <x v="521"/>
    <x v="470"/>
    <x v="470"/>
    <x v="459"/>
    <x v="0"/>
    <x v="0"/>
    <x v="565"/>
    <x v="521"/>
    <x v="521"/>
    <x v="521"/>
    <x v="521"/>
    <x v="7"/>
  </r>
  <r>
    <x v="746"/>
    <x v="689"/>
    <x v="0"/>
    <x v="0"/>
    <x v="0"/>
    <x v="0"/>
    <x v="1"/>
    <x v="4"/>
    <x v="0"/>
    <x v="0"/>
    <x v="7"/>
    <x v="0"/>
    <x v="227"/>
    <x v="1"/>
    <x v="0"/>
    <x v="0"/>
    <x v="0"/>
    <x v="746"/>
    <x v="1"/>
    <x v="14"/>
    <x v="14"/>
    <x v="0"/>
    <x v="0"/>
    <x v="4"/>
    <x v="30"/>
    <x v="0"/>
    <x v="22"/>
    <x v="783"/>
    <x v="2"/>
    <x v="20"/>
    <x v="1"/>
    <x v="5"/>
    <x v="2"/>
    <x v="1"/>
    <x v="826"/>
    <x v="5"/>
    <x v="22"/>
    <x v="228"/>
    <x v="228"/>
    <x v="0"/>
    <x v="228"/>
    <x v="269"/>
    <x v="255"/>
    <x v="288"/>
    <x v="255"/>
    <x v="269"/>
    <x v="269"/>
    <x v="269"/>
    <x v="269"/>
    <x v="269"/>
    <x v="269"/>
    <x v="269"/>
    <x v="228"/>
    <x v="286"/>
    <x v="286"/>
    <x v="207"/>
    <x v="0"/>
    <x v="0"/>
    <x v="313"/>
    <x v="228"/>
    <x v="228"/>
    <x v="228"/>
    <x v="228"/>
    <x v="7"/>
  </r>
  <r>
    <x v="747"/>
    <x v="693"/>
    <x v="0"/>
    <x v="0"/>
    <x v="0"/>
    <x v="0"/>
    <x v="1"/>
    <x v="4"/>
    <x v="0"/>
    <x v="0"/>
    <x v="7"/>
    <x v="0"/>
    <x v="759"/>
    <x v="1"/>
    <x v="0"/>
    <x v="0"/>
    <x v="0"/>
    <x v="747"/>
    <x v="1"/>
    <x v="14"/>
    <x v="14"/>
    <x v="0"/>
    <x v="0"/>
    <x v="4"/>
    <x v="30"/>
    <x v="0"/>
    <x v="20"/>
    <x v="773"/>
    <x v="2"/>
    <x v="20"/>
    <x v="1"/>
    <x v="5"/>
    <x v="2"/>
    <x v="1"/>
    <x v="1245"/>
    <x v="5"/>
    <x v="20"/>
    <x v="759"/>
    <x v="759"/>
    <x v="1"/>
    <x v="759"/>
    <x v="871"/>
    <x v="832"/>
    <x v="910"/>
    <x v="832"/>
    <x v="871"/>
    <x v="871"/>
    <x v="871"/>
    <x v="871"/>
    <x v="871"/>
    <x v="871"/>
    <x v="871"/>
    <x v="759"/>
    <x v="910"/>
    <x v="910"/>
    <x v="743"/>
    <x v="0"/>
    <x v="0"/>
    <x v="883"/>
    <x v="759"/>
    <x v="759"/>
    <x v="759"/>
    <x v="759"/>
    <x v="7"/>
  </r>
  <r>
    <x v="748"/>
    <x v="716"/>
    <x v="0"/>
    <x v="0"/>
    <x v="0"/>
    <x v="0"/>
    <x v="0"/>
    <x v="0"/>
    <x v="0"/>
    <x v="0"/>
    <x v="7"/>
    <x v="0"/>
    <x v="1120"/>
    <x v="1"/>
    <x v="0"/>
    <x v="0"/>
    <x v="0"/>
    <x v="748"/>
    <x v="2"/>
    <x v="14"/>
    <x v="14"/>
    <x v="0"/>
    <x v="0"/>
    <x v="4"/>
    <x v="107"/>
    <x v="0"/>
    <x v="23"/>
    <x v="832"/>
    <x v="9"/>
    <x v="54"/>
    <x v="1"/>
    <x v="1"/>
    <x v="1"/>
    <x v="1"/>
    <x v="886"/>
    <x v="1"/>
    <x v="23"/>
    <x v="1118"/>
    <x v="1118"/>
    <x v="1"/>
    <x v="1118"/>
    <x v="1126"/>
    <x v="1126"/>
    <x v="1111"/>
    <x v="1126"/>
    <x v="1126"/>
    <x v="1126"/>
    <x v="1126"/>
    <x v="1126"/>
    <x v="1126"/>
    <x v="1126"/>
    <x v="1126"/>
    <x v="1118"/>
    <x v="1110"/>
    <x v="1110"/>
    <x v="1048"/>
    <x v="0"/>
    <x v="0"/>
    <x v="1146"/>
    <x v="1118"/>
    <x v="1118"/>
    <x v="1118"/>
    <x v="1118"/>
    <x v="7"/>
  </r>
  <r>
    <x v="749"/>
    <x v="691"/>
    <x v="0"/>
    <x v="0"/>
    <x v="0"/>
    <x v="0"/>
    <x v="1"/>
    <x v="4"/>
    <x v="0"/>
    <x v="0"/>
    <x v="7"/>
    <x v="0"/>
    <x v="90"/>
    <x v="1"/>
    <x v="0"/>
    <x v="0"/>
    <x v="0"/>
    <x v="749"/>
    <x v="1"/>
    <x v="14"/>
    <x v="14"/>
    <x v="0"/>
    <x v="0"/>
    <x v="4"/>
    <x v="30"/>
    <x v="0"/>
    <x v="22"/>
    <x v="784"/>
    <x v="2"/>
    <x v="20"/>
    <x v="1"/>
    <x v="5"/>
    <x v="2"/>
    <x v="1"/>
    <x v="236"/>
    <x v="5"/>
    <x v="22"/>
    <x v="91"/>
    <x v="91"/>
    <x v="0"/>
    <x v="91"/>
    <x v="114"/>
    <x v="106"/>
    <x v="116"/>
    <x v="106"/>
    <x v="114"/>
    <x v="114"/>
    <x v="114"/>
    <x v="114"/>
    <x v="114"/>
    <x v="114"/>
    <x v="114"/>
    <x v="91"/>
    <x v="117"/>
    <x v="117"/>
    <x v="83"/>
    <x v="0"/>
    <x v="0"/>
    <x v="124"/>
    <x v="91"/>
    <x v="91"/>
    <x v="91"/>
    <x v="91"/>
    <x v="7"/>
  </r>
  <r>
    <x v="750"/>
    <x v="697"/>
    <x v="0"/>
    <x v="0"/>
    <x v="0"/>
    <x v="0"/>
    <x v="1"/>
    <x v="4"/>
    <x v="0"/>
    <x v="0"/>
    <x v="7"/>
    <x v="0"/>
    <x v="1151"/>
    <x v="1"/>
    <x v="0"/>
    <x v="0"/>
    <x v="0"/>
    <x v="750"/>
    <x v="1"/>
    <x v="14"/>
    <x v="14"/>
    <x v="0"/>
    <x v="0"/>
    <x v="4"/>
    <x v="30"/>
    <x v="0"/>
    <x v="22"/>
    <x v="762"/>
    <x v="2"/>
    <x v="20"/>
    <x v="1"/>
    <x v="5"/>
    <x v="2"/>
    <x v="1"/>
    <x v="1350"/>
    <x v="5"/>
    <x v="22"/>
    <x v="1149"/>
    <x v="1149"/>
    <x v="1"/>
    <x v="1149"/>
    <x v="1234"/>
    <x v="1207"/>
    <x v="1261"/>
    <x v="1207"/>
    <x v="1234"/>
    <x v="1234"/>
    <x v="1234"/>
    <x v="1234"/>
    <x v="1234"/>
    <x v="1234"/>
    <x v="1234"/>
    <x v="1149"/>
    <x v="1261"/>
    <x v="1261"/>
    <x v="1100"/>
    <x v="0"/>
    <x v="0"/>
    <x v="1270"/>
    <x v="1149"/>
    <x v="1149"/>
    <x v="1149"/>
    <x v="1149"/>
    <x v="7"/>
  </r>
  <r>
    <x v="751"/>
    <x v="696"/>
    <x v="0"/>
    <x v="0"/>
    <x v="0"/>
    <x v="0"/>
    <x v="0"/>
    <x v="0"/>
    <x v="0"/>
    <x v="0"/>
    <x v="7"/>
    <x v="0"/>
    <x v="5"/>
    <x v="1"/>
    <x v="0"/>
    <x v="0"/>
    <x v="0"/>
    <x v="751"/>
    <x v="2"/>
    <x v="14"/>
    <x v="14"/>
    <x v="0"/>
    <x v="0"/>
    <x v="4"/>
    <x v="30"/>
    <x v="0"/>
    <x v="22"/>
    <x v="759"/>
    <x v="9"/>
    <x v="54"/>
    <x v="1"/>
    <x v="1"/>
    <x v="1"/>
    <x v="1"/>
    <x v="5"/>
    <x v="1"/>
    <x v="22"/>
    <x v="6"/>
    <x v="6"/>
    <x v="0"/>
    <x v="6"/>
    <x v="6"/>
    <x v="6"/>
    <x v="6"/>
    <x v="6"/>
    <x v="6"/>
    <x v="6"/>
    <x v="6"/>
    <x v="6"/>
    <x v="6"/>
    <x v="6"/>
    <x v="6"/>
    <x v="6"/>
    <x v="6"/>
    <x v="6"/>
    <x v="6"/>
    <x v="0"/>
    <x v="0"/>
    <x v="4"/>
    <x v="6"/>
    <x v="6"/>
    <x v="6"/>
    <x v="6"/>
    <x v="7"/>
  </r>
  <r>
    <x v="752"/>
    <x v="704"/>
    <x v="0"/>
    <x v="0"/>
    <x v="0"/>
    <x v="0"/>
    <x v="0"/>
    <x v="0"/>
    <x v="0"/>
    <x v="0"/>
    <x v="7"/>
    <x v="0"/>
    <x v="788"/>
    <x v="1"/>
    <x v="0"/>
    <x v="0"/>
    <x v="0"/>
    <x v="752"/>
    <x v="2"/>
    <x v="14"/>
    <x v="14"/>
    <x v="0"/>
    <x v="0"/>
    <x v="3"/>
    <x v="102"/>
    <x v="0"/>
    <x v="26"/>
    <x v="751"/>
    <x v="9"/>
    <x v="54"/>
    <x v="1"/>
    <x v="1"/>
    <x v="1"/>
    <x v="1"/>
    <x v="530"/>
    <x v="1"/>
    <x v="26"/>
    <x v="788"/>
    <x v="788"/>
    <x v="1"/>
    <x v="788"/>
    <x v="784"/>
    <x v="788"/>
    <x v="743"/>
    <x v="788"/>
    <x v="784"/>
    <x v="784"/>
    <x v="784"/>
    <x v="784"/>
    <x v="784"/>
    <x v="784"/>
    <x v="784"/>
    <x v="788"/>
    <x v="742"/>
    <x v="742"/>
    <x v="729"/>
    <x v="0"/>
    <x v="0"/>
    <x v="819"/>
    <x v="788"/>
    <x v="788"/>
    <x v="788"/>
    <x v="788"/>
    <x v="7"/>
  </r>
  <r>
    <x v="753"/>
    <x v="712"/>
    <x v="0"/>
    <x v="0"/>
    <x v="0"/>
    <x v="0"/>
    <x v="0"/>
    <x v="0"/>
    <x v="0"/>
    <x v="0"/>
    <x v="7"/>
    <x v="0"/>
    <x v="947"/>
    <x v="1"/>
    <x v="0"/>
    <x v="0"/>
    <x v="0"/>
    <x v="753"/>
    <x v="2"/>
    <x v="14"/>
    <x v="14"/>
    <x v="0"/>
    <x v="0"/>
    <x v="3"/>
    <x v="104"/>
    <x v="0"/>
    <x v="25"/>
    <x v="768"/>
    <x v="9"/>
    <x v="54"/>
    <x v="1"/>
    <x v="1"/>
    <x v="1"/>
    <x v="1"/>
    <x v="698"/>
    <x v="1"/>
    <x v="25"/>
    <x v="947"/>
    <x v="947"/>
    <x v="1"/>
    <x v="947"/>
    <x v="956"/>
    <x v="954"/>
    <x v="942"/>
    <x v="954"/>
    <x v="956"/>
    <x v="956"/>
    <x v="956"/>
    <x v="956"/>
    <x v="956"/>
    <x v="956"/>
    <x v="956"/>
    <x v="947"/>
    <x v="941"/>
    <x v="941"/>
    <x v="883"/>
    <x v="0"/>
    <x v="0"/>
    <x v="1002"/>
    <x v="947"/>
    <x v="947"/>
    <x v="947"/>
    <x v="947"/>
    <x v="7"/>
  </r>
  <r>
    <x v="754"/>
    <x v="696"/>
    <x v="0"/>
    <x v="0"/>
    <x v="0"/>
    <x v="0"/>
    <x v="0"/>
    <x v="0"/>
    <x v="0"/>
    <x v="0"/>
    <x v="7"/>
    <x v="0"/>
    <x v="196"/>
    <x v="1"/>
    <x v="0"/>
    <x v="0"/>
    <x v="0"/>
    <x v="754"/>
    <x v="2"/>
    <x v="14"/>
    <x v="14"/>
    <x v="0"/>
    <x v="0"/>
    <x v="4"/>
    <x v="30"/>
    <x v="0"/>
    <x v="22"/>
    <x v="760"/>
    <x v="9"/>
    <x v="54"/>
    <x v="1"/>
    <x v="1"/>
    <x v="1"/>
    <x v="1"/>
    <x v="111"/>
    <x v="1"/>
    <x v="22"/>
    <x v="197"/>
    <x v="197"/>
    <x v="0"/>
    <x v="197"/>
    <x v="205"/>
    <x v="207"/>
    <x v="197"/>
    <x v="207"/>
    <x v="205"/>
    <x v="205"/>
    <x v="205"/>
    <x v="205"/>
    <x v="205"/>
    <x v="205"/>
    <x v="205"/>
    <x v="197"/>
    <x v="197"/>
    <x v="197"/>
    <x v="173"/>
    <x v="0"/>
    <x v="0"/>
    <x v="211"/>
    <x v="197"/>
    <x v="197"/>
    <x v="197"/>
    <x v="197"/>
    <x v="7"/>
  </r>
  <r>
    <x v="755"/>
    <x v="713"/>
    <x v="0"/>
    <x v="0"/>
    <x v="0"/>
    <x v="0"/>
    <x v="0"/>
    <x v="1"/>
    <x v="0"/>
    <x v="0"/>
    <x v="7"/>
    <x v="0"/>
    <x v="482"/>
    <x v="1"/>
    <x v="0"/>
    <x v="0"/>
    <x v="0"/>
    <x v="755"/>
    <x v="1"/>
    <x v="14"/>
    <x v="14"/>
    <x v="0"/>
    <x v="0"/>
    <x v="4"/>
    <x v="107"/>
    <x v="0"/>
    <x v="23"/>
    <x v="845"/>
    <x v="10"/>
    <x v="64"/>
    <x v="1"/>
    <x v="2"/>
    <x v="2"/>
    <x v="1"/>
    <x v="670"/>
    <x v="2"/>
    <x v="23"/>
    <x v="482"/>
    <x v="482"/>
    <x v="0"/>
    <x v="482"/>
    <x v="586"/>
    <x v="570"/>
    <x v="590"/>
    <x v="570"/>
    <x v="586"/>
    <x v="586"/>
    <x v="586"/>
    <x v="586"/>
    <x v="586"/>
    <x v="586"/>
    <x v="586"/>
    <x v="482"/>
    <x v="586"/>
    <x v="586"/>
    <x v="440"/>
    <x v="0"/>
    <x v="0"/>
    <x v="631"/>
    <x v="482"/>
    <x v="482"/>
    <x v="482"/>
    <x v="482"/>
    <x v="7"/>
  </r>
  <r>
    <x v="756"/>
    <x v="720"/>
    <x v="0"/>
    <x v="0"/>
    <x v="0"/>
    <x v="0"/>
    <x v="0"/>
    <x v="0"/>
    <x v="0"/>
    <x v="0"/>
    <x v="7"/>
    <x v="0"/>
    <x v="909"/>
    <x v="1"/>
    <x v="0"/>
    <x v="0"/>
    <x v="0"/>
    <x v="756"/>
    <x v="2"/>
    <x v="14"/>
    <x v="14"/>
    <x v="0"/>
    <x v="0"/>
    <x v="3"/>
    <x v="104"/>
    <x v="0"/>
    <x v="22"/>
    <x v="810"/>
    <x v="9"/>
    <x v="54"/>
    <x v="1"/>
    <x v="1"/>
    <x v="1"/>
    <x v="1"/>
    <x v="651"/>
    <x v="1"/>
    <x v="22"/>
    <x v="909"/>
    <x v="909"/>
    <x v="1"/>
    <x v="909"/>
    <x v="916"/>
    <x v="910"/>
    <x v="904"/>
    <x v="910"/>
    <x v="916"/>
    <x v="916"/>
    <x v="916"/>
    <x v="916"/>
    <x v="916"/>
    <x v="916"/>
    <x v="916"/>
    <x v="909"/>
    <x v="899"/>
    <x v="899"/>
    <x v="841"/>
    <x v="0"/>
    <x v="0"/>
    <x v="905"/>
    <x v="909"/>
    <x v="909"/>
    <x v="909"/>
    <x v="909"/>
    <x v="7"/>
  </r>
  <r>
    <x v="757"/>
    <x v="770"/>
    <x v="0"/>
    <x v="0"/>
    <x v="0"/>
    <x v="0"/>
    <x v="1"/>
    <x v="11"/>
    <x v="0"/>
    <x v="0"/>
    <x v="0"/>
    <x v="0"/>
    <x v="1361"/>
    <x v="1"/>
    <x v="0"/>
    <x v="0"/>
    <x v="0"/>
    <x v="757"/>
    <x v="0"/>
    <x v="16"/>
    <x v="16"/>
    <x v="0"/>
    <x v="0"/>
    <x v="3"/>
    <x v="101"/>
    <x v="0"/>
    <x v="29"/>
    <x v="6"/>
    <x v="8"/>
    <x v="45"/>
    <x v="1"/>
    <x v="12"/>
    <x v="7"/>
    <x v="1"/>
    <x v="1407"/>
    <x v="12"/>
    <x v="29"/>
    <x v="1359"/>
    <x v="1359"/>
    <x v="5"/>
    <x v="1359"/>
    <x v="1404"/>
    <x v="1390"/>
    <x v="1405"/>
    <x v="1390"/>
    <x v="1404"/>
    <x v="1404"/>
    <x v="1404"/>
    <x v="1404"/>
    <x v="1404"/>
    <x v="1404"/>
    <x v="1404"/>
    <x v="1359"/>
    <x v="1404"/>
    <x v="1404"/>
    <x v="0"/>
    <x v="129"/>
    <x v="0"/>
    <x v="1427"/>
    <x v="1359"/>
    <x v="1359"/>
    <x v="1359"/>
    <x v="1359"/>
    <x v="0"/>
  </r>
  <r>
    <x v="758"/>
    <x v="729"/>
    <x v="0"/>
    <x v="0"/>
    <x v="0"/>
    <x v="0"/>
    <x v="0"/>
    <x v="0"/>
    <x v="0"/>
    <x v="0"/>
    <x v="7"/>
    <x v="0"/>
    <x v="371"/>
    <x v="1"/>
    <x v="0"/>
    <x v="0"/>
    <x v="0"/>
    <x v="758"/>
    <x v="2"/>
    <x v="16"/>
    <x v="16"/>
    <x v="0"/>
    <x v="0"/>
    <x v="3"/>
    <x v="48"/>
    <x v="0"/>
    <x v="36"/>
    <x v="45"/>
    <x v="9"/>
    <x v="54"/>
    <x v="1"/>
    <x v="1"/>
    <x v="1"/>
    <x v="1"/>
    <x v="254"/>
    <x v="1"/>
    <x v="36"/>
    <x v="371"/>
    <x v="371"/>
    <x v="0"/>
    <x v="371"/>
    <x v="366"/>
    <x v="373"/>
    <x v="349"/>
    <x v="373"/>
    <x v="366"/>
    <x v="366"/>
    <x v="366"/>
    <x v="366"/>
    <x v="366"/>
    <x v="366"/>
    <x v="366"/>
    <x v="371"/>
    <x v="348"/>
    <x v="348"/>
    <x v="331"/>
    <x v="0"/>
    <x v="0"/>
    <x v="561"/>
    <x v="371"/>
    <x v="371"/>
    <x v="371"/>
    <x v="371"/>
    <x v="7"/>
  </r>
  <r>
    <x v="759"/>
    <x v="730"/>
    <x v="0"/>
    <x v="0"/>
    <x v="0"/>
    <x v="0"/>
    <x v="1"/>
    <x v="4"/>
    <x v="0"/>
    <x v="0"/>
    <x v="7"/>
    <x v="0"/>
    <x v="630"/>
    <x v="1"/>
    <x v="0"/>
    <x v="0"/>
    <x v="0"/>
    <x v="759"/>
    <x v="1"/>
    <x v="16"/>
    <x v="16"/>
    <x v="0"/>
    <x v="0"/>
    <x v="3"/>
    <x v="48"/>
    <x v="0"/>
    <x v="34"/>
    <x v="741"/>
    <x v="2"/>
    <x v="20"/>
    <x v="1"/>
    <x v="5"/>
    <x v="2"/>
    <x v="1"/>
    <x v="1185"/>
    <x v="5"/>
    <x v="34"/>
    <x v="630"/>
    <x v="630"/>
    <x v="0"/>
    <x v="630"/>
    <x v="750"/>
    <x v="709"/>
    <x v="794"/>
    <x v="709"/>
    <x v="750"/>
    <x v="750"/>
    <x v="750"/>
    <x v="750"/>
    <x v="750"/>
    <x v="750"/>
    <x v="750"/>
    <x v="630"/>
    <x v="791"/>
    <x v="791"/>
    <x v="626"/>
    <x v="0"/>
    <x v="0"/>
    <x v="966"/>
    <x v="630"/>
    <x v="630"/>
    <x v="630"/>
    <x v="630"/>
    <x v="7"/>
  </r>
  <r>
    <x v="760"/>
    <x v="750"/>
    <x v="0"/>
    <x v="0"/>
    <x v="0"/>
    <x v="0"/>
    <x v="1"/>
    <x v="3"/>
    <x v="0"/>
    <x v="0"/>
    <x v="7"/>
    <x v="0"/>
    <x v="442"/>
    <x v="1"/>
    <x v="0"/>
    <x v="0"/>
    <x v="0"/>
    <x v="760"/>
    <x v="1"/>
    <x v="16"/>
    <x v="16"/>
    <x v="0"/>
    <x v="0"/>
    <x v="3"/>
    <x v="48"/>
    <x v="0"/>
    <x v="30"/>
    <x v="803"/>
    <x v="2"/>
    <x v="13"/>
    <x v="1"/>
    <x v="4"/>
    <x v="2"/>
    <x v="1"/>
    <x v="961"/>
    <x v="4"/>
    <x v="30"/>
    <x v="442"/>
    <x v="442"/>
    <x v="0"/>
    <x v="442"/>
    <x v="531"/>
    <x v="511"/>
    <x v="588"/>
    <x v="511"/>
    <x v="531"/>
    <x v="531"/>
    <x v="531"/>
    <x v="531"/>
    <x v="531"/>
    <x v="531"/>
    <x v="531"/>
    <x v="442"/>
    <x v="585"/>
    <x v="585"/>
    <x v="409"/>
    <x v="0"/>
    <x v="0"/>
    <x v="752"/>
    <x v="442"/>
    <x v="442"/>
    <x v="442"/>
    <x v="442"/>
    <x v="7"/>
  </r>
  <r>
    <x v="761"/>
    <x v="753"/>
    <x v="0"/>
    <x v="0"/>
    <x v="0"/>
    <x v="0"/>
    <x v="0"/>
    <x v="2"/>
    <x v="0"/>
    <x v="0"/>
    <x v="7"/>
    <x v="0"/>
    <x v="476"/>
    <x v="1"/>
    <x v="0"/>
    <x v="0"/>
    <x v="0"/>
    <x v="761"/>
    <x v="1"/>
    <x v="16"/>
    <x v="16"/>
    <x v="0"/>
    <x v="0"/>
    <x v="3"/>
    <x v="31"/>
    <x v="0"/>
    <x v="28"/>
    <x v="799"/>
    <x v="1"/>
    <x v="6"/>
    <x v="1"/>
    <x v="3"/>
    <x v="2"/>
    <x v="1"/>
    <x v="869"/>
    <x v="3"/>
    <x v="28"/>
    <x v="476"/>
    <x v="476"/>
    <x v="0"/>
    <x v="476"/>
    <x v="592"/>
    <x v="563"/>
    <x v="609"/>
    <x v="563"/>
    <x v="592"/>
    <x v="592"/>
    <x v="592"/>
    <x v="592"/>
    <x v="592"/>
    <x v="592"/>
    <x v="592"/>
    <x v="476"/>
    <x v="609"/>
    <x v="609"/>
    <x v="444"/>
    <x v="0"/>
    <x v="0"/>
    <x v="747"/>
    <x v="476"/>
    <x v="476"/>
    <x v="476"/>
    <x v="476"/>
    <x v="7"/>
  </r>
  <r>
    <x v="762"/>
    <x v="753"/>
    <x v="0"/>
    <x v="0"/>
    <x v="0"/>
    <x v="0"/>
    <x v="0"/>
    <x v="0"/>
    <x v="0"/>
    <x v="0"/>
    <x v="7"/>
    <x v="0"/>
    <x v="378"/>
    <x v="1"/>
    <x v="0"/>
    <x v="0"/>
    <x v="0"/>
    <x v="762"/>
    <x v="2"/>
    <x v="16"/>
    <x v="16"/>
    <x v="0"/>
    <x v="0"/>
    <x v="3"/>
    <x v="31"/>
    <x v="0"/>
    <x v="28"/>
    <x v="50"/>
    <x v="9"/>
    <x v="54"/>
    <x v="1"/>
    <x v="1"/>
    <x v="1"/>
    <x v="1"/>
    <x v="262"/>
    <x v="1"/>
    <x v="28"/>
    <x v="378"/>
    <x v="378"/>
    <x v="0"/>
    <x v="378"/>
    <x v="375"/>
    <x v="380"/>
    <x v="356"/>
    <x v="380"/>
    <x v="375"/>
    <x v="375"/>
    <x v="375"/>
    <x v="375"/>
    <x v="375"/>
    <x v="375"/>
    <x v="375"/>
    <x v="378"/>
    <x v="355"/>
    <x v="355"/>
    <x v="337"/>
    <x v="0"/>
    <x v="0"/>
    <x v="475"/>
    <x v="378"/>
    <x v="378"/>
    <x v="378"/>
    <x v="378"/>
    <x v="7"/>
  </r>
  <r>
    <x v="763"/>
    <x v="745"/>
    <x v="0"/>
    <x v="0"/>
    <x v="0"/>
    <x v="0"/>
    <x v="0"/>
    <x v="2"/>
    <x v="0"/>
    <x v="0"/>
    <x v="7"/>
    <x v="0"/>
    <x v="876"/>
    <x v="1"/>
    <x v="0"/>
    <x v="0"/>
    <x v="0"/>
    <x v="763"/>
    <x v="1"/>
    <x v="16"/>
    <x v="16"/>
    <x v="0"/>
    <x v="0"/>
    <x v="3"/>
    <x v="48"/>
    <x v="0"/>
    <x v="30"/>
    <x v="790"/>
    <x v="1"/>
    <x v="6"/>
    <x v="1"/>
    <x v="3"/>
    <x v="2"/>
    <x v="1"/>
    <x v="1102"/>
    <x v="3"/>
    <x v="30"/>
    <x v="876"/>
    <x v="876"/>
    <x v="1"/>
    <x v="876"/>
    <x v="957"/>
    <x v="944"/>
    <x v="980"/>
    <x v="944"/>
    <x v="957"/>
    <x v="957"/>
    <x v="957"/>
    <x v="957"/>
    <x v="957"/>
    <x v="957"/>
    <x v="957"/>
    <x v="876"/>
    <x v="978"/>
    <x v="978"/>
    <x v="826"/>
    <x v="0"/>
    <x v="0"/>
    <x v="1082"/>
    <x v="876"/>
    <x v="876"/>
    <x v="876"/>
    <x v="876"/>
    <x v="7"/>
  </r>
  <r>
    <x v="764"/>
    <x v="760"/>
    <x v="0"/>
    <x v="0"/>
    <x v="0"/>
    <x v="0"/>
    <x v="0"/>
    <x v="2"/>
    <x v="0"/>
    <x v="0"/>
    <x v="7"/>
    <x v="0"/>
    <x v="510"/>
    <x v="1"/>
    <x v="0"/>
    <x v="0"/>
    <x v="0"/>
    <x v="764"/>
    <x v="1"/>
    <x v="16"/>
    <x v="16"/>
    <x v="0"/>
    <x v="0"/>
    <x v="3"/>
    <x v="128"/>
    <x v="0"/>
    <x v="29"/>
    <x v="792"/>
    <x v="1"/>
    <x v="6"/>
    <x v="1"/>
    <x v="3"/>
    <x v="2"/>
    <x v="1"/>
    <x v="890"/>
    <x v="3"/>
    <x v="29"/>
    <x v="510"/>
    <x v="510"/>
    <x v="0"/>
    <x v="510"/>
    <x v="633"/>
    <x v="610"/>
    <x v="644"/>
    <x v="610"/>
    <x v="633"/>
    <x v="633"/>
    <x v="633"/>
    <x v="633"/>
    <x v="633"/>
    <x v="633"/>
    <x v="633"/>
    <x v="510"/>
    <x v="642"/>
    <x v="642"/>
    <x v="486"/>
    <x v="0"/>
    <x v="0"/>
    <x v="786"/>
    <x v="510"/>
    <x v="510"/>
    <x v="510"/>
    <x v="510"/>
    <x v="7"/>
  </r>
  <r>
    <x v="765"/>
    <x v="750"/>
    <x v="0"/>
    <x v="0"/>
    <x v="0"/>
    <x v="0"/>
    <x v="1"/>
    <x v="4"/>
    <x v="0"/>
    <x v="0"/>
    <x v="7"/>
    <x v="0"/>
    <x v="936"/>
    <x v="1"/>
    <x v="0"/>
    <x v="0"/>
    <x v="0"/>
    <x v="765"/>
    <x v="1"/>
    <x v="16"/>
    <x v="16"/>
    <x v="0"/>
    <x v="0"/>
    <x v="3"/>
    <x v="48"/>
    <x v="0"/>
    <x v="30"/>
    <x v="804"/>
    <x v="2"/>
    <x v="20"/>
    <x v="1"/>
    <x v="5"/>
    <x v="2"/>
    <x v="1"/>
    <x v="1295"/>
    <x v="5"/>
    <x v="30"/>
    <x v="936"/>
    <x v="936"/>
    <x v="1"/>
    <x v="936"/>
    <x v="1050"/>
    <x v="1009"/>
    <x v="1082"/>
    <x v="1009"/>
    <x v="1050"/>
    <x v="1050"/>
    <x v="1050"/>
    <x v="1050"/>
    <x v="1050"/>
    <x v="1050"/>
    <x v="1050"/>
    <x v="936"/>
    <x v="1082"/>
    <x v="1082"/>
    <x v="906"/>
    <x v="0"/>
    <x v="0"/>
    <x v="1179"/>
    <x v="936"/>
    <x v="936"/>
    <x v="936"/>
    <x v="936"/>
    <x v="7"/>
  </r>
  <r>
    <x v="766"/>
    <x v="752"/>
    <x v="0"/>
    <x v="0"/>
    <x v="0"/>
    <x v="0"/>
    <x v="0"/>
    <x v="0"/>
    <x v="0"/>
    <x v="0"/>
    <x v="7"/>
    <x v="0"/>
    <x v="1011"/>
    <x v="1"/>
    <x v="0"/>
    <x v="0"/>
    <x v="0"/>
    <x v="766"/>
    <x v="2"/>
    <x v="16"/>
    <x v="16"/>
    <x v="0"/>
    <x v="0"/>
    <x v="3"/>
    <x v="31"/>
    <x v="0"/>
    <x v="30"/>
    <x v="794"/>
    <x v="9"/>
    <x v="54"/>
    <x v="1"/>
    <x v="1"/>
    <x v="1"/>
    <x v="1"/>
    <x v="775"/>
    <x v="1"/>
    <x v="30"/>
    <x v="1011"/>
    <x v="1011"/>
    <x v="1"/>
    <x v="1011"/>
    <x v="1023"/>
    <x v="1016"/>
    <x v="1007"/>
    <x v="1016"/>
    <x v="1023"/>
    <x v="1023"/>
    <x v="1023"/>
    <x v="1023"/>
    <x v="1023"/>
    <x v="1023"/>
    <x v="1023"/>
    <x v="1011"/>
    <x v="1006"/>
    <x v="1006"/>
    <x v="940"/>
    <x v="0"/>
    <x v="0"/>
    <x v="1115"/>
    <x v="1011"/>
    <x v="1011"/>
    <x v="1011"/>
    <x v="1011"/>
    <x v="7"/>
  </r>
  <r>
    <x v="767"/>
    <x v="760"/>
    <x v="0"/>
    <x v="0"/>
    <x v="0"/>
    <x v="0"/>
    <x v="0"/>
    <x v="2"/>
    <x v="0"/>
    <x v="0"/>
    <x v="7"/>
    <x v="0"/>
    <x v="116"/>
    <x v="1"/>
    <x v="0"/>
    <x v="0"/>
    <x v="0"/>
    <x v="767"/>
    <x v="1"/>
    <x v="16"/>
    <x v="16"/>
    <x v="0"/>
    <x v="0"/>
    <x v="3"/>
    <x v="128"/>
    <x v="0"/>
    <x v="29"/>
    <x v="791"/>
    <x v="1"/>
    <x v="6"/>
    <x v="1"/>
    <x v="3"/>
    <x v="2"/>
    <x v="1"/>
    <x v="144"/>
    <x v="3"/>
    <x v="29"/>
    <x v="117"/>
    <x v="117"/>
    <x v="0"/>
    <x v="117"/>
    <x v="131"/>
    <x v="135"/>
    <x v="127"/>
    <x v="135"/>
    <x v="131"/>
    <x v="131"/>
    <x v="131"/>
    <x v="131"/>
    <x v="131"/>
    <x v="131"/>
    <x v="131"/>
    <x v="117"/>
    <x v="126"/>
    <x v="126"/>
    <x v="103"/>
    <x v="0"/>
    <x v="0"/>
    <x v="149"/>
    <x v="117"/>
    <x v="117"/>
    <x v="117"/>
    <x v="117"/>
    <x v="7"/>
  </r>
  <r>
    <x v="768"/>
    <x v="770"/>
    <x v="0"/>
    <x v="0"/>
    <x v="0"/>
    <x v="0"/>
    <x v="0"/>
    <x v="2"/>
    <x v="0"/>
    <x v="0"/>
    <x v="7"/>
    <x v="0"/>
    <x v="490"/>
    <x v="1"/>
    <x v="0"/>
    <x v="0"/>
    <x v="0"/>
    <x v="768"/>
    <x v="1"/>
    <x v="16"/>
    <x v="16"/>
    <x v="0"/>
    <x v="0"/>
    <x v="3"/>
    <x v="101"/>
    <x v="0"/>
    <x v="29"/>
    <x v="800"/>
    <x v="1"/>
    <x v="6"/>
    <x v="1"/>
    <x v="3"/>
    <x v="2"/>
    <x v="1"/>
    <x v="873"/>
    <x v="3"/>
    <x v="29"/>
    <x v="490"/>
    <x v="490"/>
    <x v="0"/>
    <x v="490"/>
    <x v="609"/>
    <x v="586"/>
    <x v="630"/>
    <x v="586"/>
    <x v="609"/>
    <x v="609"/>
    <x v="609"/>
    <x v="609"/>
    <x v="609"/>
    <x v="609"/>
    <x v="609"/>
    <x v="490"/>
    <x v="623"/>
    <x v="623"/>
    <x v="456"/>
    <x v="0"/>
    <x v="0"/>
    <x v="772"/>
    <x v="490"/>
    <x v="490"/>
    <x v="490"/>
    <x v="490"/>
    <x v="7"/>
  </r>
  <r>
    <x v="769"/>
    <x v="785"/>
    <x v="0"/>
    <x v="0"/>
    <x v="0"/>
    <x v="0"/>
    <x v="0"/>
    <x v="0"/>
    <x v="0"/>
    <x v="0"/>
    <x v="7"/>
    <x v="0"/>
    <x v="1084"/>
    <x v="1"/>
    <x v="0"/>
    <x v="0"/>
    <x v="0"/>
    <x v="769"/>
    <x v="2"/>
    <x v="16"/>
    <x v="16"/>
    <x v="0"/>
    <x v="0"/>
    <x v="3"/>
    <x v="31"/>
    <x v="0"/>
    <x v="28"/>
    <x v="786"/>
    <x v="9"/>
    <x v="54"/>
    <x v="1"/>
    <x v="1"/>
    <x v="1"/>
    <x v="1"/>
    <x v="850"/>
    <x v="1"/>
    <x v="28"/>
    <x v="1082"/>
    <x v="1082"/>
    <x v="1"/>
    <x v="1082"/>
    <x v="1093"/>
    <x v="1088"/>
    <x v="1077"/>
    <x v="1088"/>
    <x v="1093"/>
    <x v="1093"/>
    <x v="1093"/>
    <x v="1093"/>
    <x v="1093"/>
    <x v="1093"/>
    <x v="1093"/>
    <x v="1082"/>
    <x v="1076"/>
    <x v="1076"/>
    <x v="1013"/>
    <x v="0"/>
    <x v="0"/>
    <x v="1166"/>
    <x v="1082"/>
    <x v="1082"/>
    <x v="1082"/>
    <x v="1082"/>
    <x v="7"/>
  </r>
  <r>
    <x v="770"/>
    <x v="785"/>
    <x v="0"/>
    <x v="0"/>
    <x v="0"/>
    <x v="0"/>
    <x v="0"/>
    <x v="0"/>
    <x v="0"/>
    <x v="0"/>
    <x v="7"/>
    <x v="0"/>
    <x v="737"/>
    <x v="1"/>
    <x v="0"/>
    <x v="0"/>
    <x v="0"/>
    <x v="770"/>
    <x v="2"/>
    <x v="16"/>
    <x v="16"/>
    <x v="0"/>
    <x v="0"/>
    <x v="3"/>
    <x v="31"/>
    <x v="0"/>
    <x v="28"/>
    <x v="785"/>
    <x v="9"/>
    <x v="54"/>
    <x v="1"/>
    <x v="1"/>
    <x v="1"/>
    <x v="1"/>
    <x v="488"/>
    <x v="1"/>
    <x v="28"/>
    <x v="737"/>
    <x v="737"/>
    <x v="1"/>
    <x v="737"/>
    <x v="705"/>
    <x v="726"/>
    <x v="671"/>
    <x v="726"/>
    <x v="705"/>
    <x v="705"/>
    <x v="705"/>
    <x v="705"/>
    <x v="705"/>
    <x v="705"/>
    <x v="705"/>
    <x v="737"/>
    <x v="671"/>
    <x v="671"/>
    <x v="675"/>
    <x v="0"/>
    <x v="0"/>
    <x v="793"/>
    <x v="737"/>
    <x v="737"/>
    <x v="737"/>
    <x v="737"/>
    <x v="7"/>
  </r>
  <r>
    <x v="771"/>
    <x v="798"/>
    <x v="0"/>
    <x v="0"/>
    <x v="0"/>
    <x v="0"/>
    <x v="0"/>
    <x v="2"/>
    <x v="0"/>
    <x v="0"/>
    <x v="7"/>
    <x v="0"/>
    <x v="1159"/>
    <x v="1"/>
    <x v="0"/>
    <x v="0"/>
    <x v="0"/>
    <x v="771"/>
    <x v="1"/>
    <x v="16"/>
    <x v="16"/>
    <x v="0"/>
    <x v="0"/>
    <x v="3"/>
    <x v="128"/>
    <x v="0"/>
    <x v="27"/>
    <x v="802"/>
    <x v="1"/>
    <x v="6"/>
    <x v="1"/>
    <x v="3"/>
    <x v="2"/>
    <x v="1"/>
    <x v="1261"/>
    <x v="3"/>
    <x v="27"/>
    <x v="1157"/>
    <x v="1157"/>
    <x v="1"/>
    <x v="1157"/>
    <x v="1230"/>
    <x v="1216"/>
    <x v="1244"/>
    <x v="1216"/>
    <x v="1230"/>
    <x v="1230"/>
    <x v="1230"/>
    <x v="1230"/>
    <x v="1230"/>
    <x v="1230"/>
    <x v="1230"/>
    <x v="1157"/>
    <x v="1242"/>
    <x v="1242"/>
    <x v="1095"/>
    <x v="0"/>
    <x v="0"/>
    <x v="1288"/>
    <x v="1157"/>
    <x v="1157"/>
    <x v="1157"/>
    <x v="1157"/>
    <x v="7"/>
  </r>
  <r>
    <x v="772"/>
    <x v="770"/>
    <x v="0"/>
    <x v="0"/>
    <x v="0"/>
    <x v="0"/>
    <x v="1"/>
    <x v="4"/>
    <x v="0"/>
    <x v="0"/>
    <x v="7"/>
    <x v="0"/>
    <x v="1040"/>
    <x v="1"/>
    <x v="0"/>
    <x v="0"/>
    <x v="0"/>
    <x v="772"/>
    <x v="1"/>
    <x v="16"/>
    <x v="16"/>
    <x v="0"/>
    <x v="0"/>
    <x v="3"/>
    <x v="101"/>
    <x v="0"/>
    <x v="29"/>
    <x v="51"/>
    <x v="2"/>
    <x v="20"/>
    <x v="1"/>
    <x v="5"/>
    <x v="2"/>
    <x v="1"/>
    <x v="1321"/>
    <x v="5"/>
    <x v="29"/>
    <x v="1039"/>
    <x v="1039"/>
    <x v="1"/>
    <x v="1039"/>
    <x v="1137"/>
    <x v="1106"/>
    <x v="1175"/>
    <x v="1106"/>
    <x v="1137"/>
    <x v="1137"/>
    <x v="1137"/>
    <x v="1137"/>
    <x v="1137"/>
    <x v="1137"/>
    <x v="1137"/>
    <x v="1039"/>
    <x v="1174"/>
    <x v="1174"/>
    <x v="994"/>
    <x v="0"/>
    <x v="0"/>
    <x v="1252"/>
    <x v="1039"/>
    <x v="1039"/>
    <x v="1039"/>
    <x v="1039"/>
    <x v="7"/>
  </r>
  <r>
    <x v="773"/>
    <x v="798"/>
    <x v="0"/>
    <x v="0"/>
    <x v="0"/>
    <x v="0"/>
    <x v="0"/>
    <x v="0"/>
    <x v="0"/>
    <x v="0"/>
    <x v="7"/>
    <x v="0"/>
    <x v="596"/>
    <x v="1"/>
    <x v="0"/>
    <x v="0"/>
    <x v="0"/>
    <x v="773"/>
    <x v="2"/>
    <x v="16"/>
    <x v="16"/>
    <x v="0"/>
    <x v="0"/>
    <x v="3"/>
    <x v="128"/>
    <x v="0"/>
    <x v="27"/>
    <x v="801"/>
    <x v="9"/>
    <x v="54"/>
    <x v="1"/>
    <x v="1"/>
    <x v="1"/>
    <x v="1"/>
    <x v="391"/>
    <x v="1"/>
    <x v="27"/>
    <x v="596"/>
    <x v="596"/>
    <x v="0"/>
    <x v="596"/>
    <x v="540"/>
    <x v="553"/>
    <x v="525"/>
    <x v="553"/>
    <x v="540"/>
    <x v="540"/>
    <x v="540"/>
    <x v="540"/>
    <x v="540"/>
    <x v="540"/>
    <x v="540"/>
    <x v="596"/>
    <x v="526"/>
    <x v="526"/>
    <x v="530"/>
    <x v="0"/>
    <x v="0"/>
    <x v="662"/>
    <x v="596"/>
    <x v="596"/>
    <x v="596"/>
    <x v="596"/>
    <x v="7"/>
  </r>
  <r>
    <x v="774"/>
    <x v="799"/>
    <x v="0"/>
    <x v="0"/>
    <x v="0"/>
    <x v="0"/>
    <x v="1"/>
    <x v="4"/>
    <x v="0"/>
    <x v="0"/>
    <x v="7"/>
    <x v="0"/>
    <x v="430"/>
    <x v="1"/>
    <x v="0"/>
    <x v="0"/>
    <x v="0"/>
    <x v="774"/>
    <x v="1"/>
    <x v="16"/>
    <x v="16"/>
    <x v="0"/>
    <x v="0"/>
    <x v="3"/>
    <x v="128"/>
    <x v="0"/>
    <x v="27"/>
    <x v="49"/>
    <x v="2"/>
    <x v="20"/>
    <x v="1"/>
    <x v="5"/>
    <x v="2"/>
    <x v="1"/>
    <x v="1120"/>
    <x v="5"/>
    <x v="27"/>
    <x v="430"/>
    <x v="430"/>
    <x v="0"/>
    <x v="430"/>
    <x v="541"/>
    <x v="494"/>
    <x v="613"/>
    <x v="494"/>
    <x v="541"/>
    <x v="541"/>
    <x v="541"/>
    <x v="541"/>
    <x v="541"/>
    <x v="541"/>
    <x v="541"/>
    <x v="430"/>
    <x v="614"/>
    <x v="614"/>
    <x v="412"/>
    <x v="0"/>
    <x v="0"/>
    <x v="735"/>
    <x v="430"/>
    <x v="430"/>
    <x v="430"/>
    <x v="430"/>
    <x v="7"/>
  </r>
  <r>
    <x v="775"/>
    <x v="804"/>
    <x v="0"/>
    <x v="0"/>
    <x v="0"/>
    <x v="0"/>
    <x v="0"/>
    <x v="0"/>
    <x v="0"/>
    <x v="0"/>
    <x v="7"/>
    <x v="0"/>
    <x v="742"/>
    <x v="1"/>
    <x v="0"/>
    <x v="0"/>
    <x v="0"/>
    <x v="775"/>
    <x v="2"/>
    <x v="16"/>
    <x v="16"/>
    <x v="0"/>
    <x v="0"/>
    <x v="3"/>
    <x v="128"/>
    <x v="0"/>
    <x v="47"/>
    <x v="797"/>
    <x v="9"/>
    <x v="54"/>
    <x v="1"/>
    <x v="1"/>
    <x v="1"/>
    <x v="1"/>
    <x v="491"/>
    <x v="1"/>
    <x v="47"/>
    <x v="742"/>
    <x v="742"/>
    <x v="1"/>
    <x v="742"/>
    <x v="713"/>
    <x v="735"/>
    <x v="676"/>
    <x v="735"/>
    <x v="713"/>
    <x v="713"/>
    <x v="713"/>
    <x v="713"/>
    <x v="713"/>
    <x v="713"/>
    <x v="713"/>
    <x v="742"/>
    <x v="679"/>
    <x v="679"/>
    <x v="680"/>
    <x v="0"/>
    <x v="0"/>
    <x v="1007"/>
    <x v="742"/>
    <x v="742"/>
    <x v="742"/>
    <x v="742"/>
    <x v="7"/>
  </r>
  <r>
    <x v="776"/>
    <x v="799"/>
    <x v="0"/>
    <x v="0"/>
    <x v="0"/>
    <x v="0"/>
    <x v="0"/>
    <x v="0"/>
    <x v="0"/>
    <x v="0"/>
    <x v="7"/>
    <x v="0"/>
    <x v="17"/>
    <x v="1"/>
    <x v="0"/>
    <x v="0"/>
    <x v="0"/>
    <x v="776"/>
    <x v="2"/>
    <x v="16"/>
    <x v="16"/>
    <x v="0"/>
    <x v="0"/>
    <x v="3"/>
    <x v="128"/>
    <x v="0"/>
    <x v="27"/>
    <x v="796"/>
    <x v="9"/>
    <x v="54"/>
    <x v="1"/>
    <x v="1"/>
    <x v="1"/>
    <x v="1"/>
    <x v="12"/>
    <x v="1"/>
    <x v="27"/>
    <x v="18"/>
    <x v="18"/>
    <x v="0"/>
    <x v="18"/>
    <x v="16"/>
    <x v="17"/>
    <x v="15"/>
    <x v="17"/>
    <x v="16"/>
    <x v="16"/>
    <x v="16"/>
    <x v="16"/>
    <x v="16"/>
    <x v="16"/>
    <x v="16"/>
    <x v="18"/>
    <x v="16"/>
    <x v="16"/>
    <x v="16"/>
    <x v="0"/>
    <x v="0"/>
    <x v="22"/>
    <x v="18"/>
    <x v="18"/>
    <x v="18"/>
    <x v="18"/>
    <x v="7"/>
  </r>
  <r>
    <x v="777"/>
    <x v="799"/>
    <x v="0"/>
    <x v="0"/>
    <x v="0"/>
    <x v="0"/>
    <x v="1"/>
    <x v="4"/>
    <x v="0"/>
    <x v="0"/>
    <x v="7"/>
    <x v="0"/>
    <x v="332"/>
    <x v="1"/>
    <x v="0"/>
    <x v="0"/>
    <x v="0"/>
    <x v="777"/>
    <x v="1"/>
    <x v="16"/>
    <x v="16"/>
    <x v="0"/>
    <x v="0"/>
    <x v="3"/>
    <x v="128"/>
    <x v="0"/>
    <x v="27"/>
    <x v="795"/>
    <x v="2"/>
    <x v="20"/>
    <x v="1"/>
    <x v="5"/>
    <x v="2"/>
    <x v="1"/>
    <x v="1031"/>
    <x v="5"/>
    <x v="27"/>
    <x v="332"/>
    <x v="332"/>
    <x v="0"/>
    <x v="332"/>
    <x v="393"/>
    <x v="375"/>
    <x v="423"/>
    <x v="375"/>
    <x v="393"/>
    <x v="393"/>
    <x v="393"/>
    <x v="393"/>
    <x v="393"/>
    <x v="393"/>
    <x v="393"/>
    <x v="332"/>
    <x v="423"/>
    <x v="423"/>
    <x v="309"/>
    <x v="0"/>
    <x v="0"/>
    <x v="557"/>
    <x v="332"/>
    <x v="332"/>
    <x v="332"/>
    <x v="332"/>
    <x v="7"/>
  </r>
  <r>
    <x v="778"/>
    <x v="683"/>
    <x v="0"/>
    <x v="0"/>
    <x v="0"/>
    <x v="0"/>
    <x v="1"/>
    <x v="10"/>
    <x v="0"/>
    <x v="0"/>
    <x v="0"/>
    <x v="0"/>
    <x v="1362"/>
    <x v="1"/>
    <x v="0"/>
    <x v="0"/>
    <x v="0"/>
    <x v="778"/>
    <x v="0"/>
    <x v="17"/>
    <x v="17"/>
    <x v="0"/>
    <x v="0"/>
    <x v="4"/>
    <x v="30"/>
    <x v="0"/>
    <x v="22"/>
    <x v="744"/>
    <x v="7"/>
    <x v="44"/>
    <x v="1"/>
    <x v="11"/>
    <x v="6"/>
    <x v="1"/>
    <x v="1406"/>
    <x v="11"/>
    <x v="22"/>
    <x v="1360"/>
    <x v="1360"/>
    <x v="6"/>
    <x v="1360"/>
    <x v="1403"/>
    <x v="1389"/>
    <x v="1403"/>
    <x v="1389"/>
    <x v="1403"/>
    <x v="1403"/>
    <x v="1403"/>
    <x v="1403"/>
    <x v="1403"/>
    <x v="1403"/>
    <x v="1403"/>
    <x v="1360"/>
    <x v="1402"/>
    <x v="1402"/>
    <x v="0"/>
    <x v="130"/>
    <x v="0"/>
    <x v="1424"/>
    <x v="1360"/>
    <x v="1360"/>
    <x v="1360"/>
    <x v="1360"/>
    <x v="0"/>
  </r>
  <r>
    <x v="779"/>
    <x v="717"/>
    <x v="0"/>
    <x v="0"/>
    <x v="0"/>
    <x v="0"/>
    <x v="0"/>
    <x v="0"/>
    <x v="0"/>
    <x v="0"/>
    <x v="7"/>
    <x v="0"/>
    <x v="520"/>
    <x v="1"/>
    <x v="0"/>
    <x v="0"/>
    <x v="0"/>
    <x v="779"/>
    <x v="2"/>
    <x v="17"/>
    <x v="17"/>
    <x v="0"/>
    <x v="0"/>
    <x v="3"/>
    <x v="47"/>
    <x v="0"/>
    <x v="26"/>
    <x v="806"/>
    <x v="9"/>
    <x v="54"/>
    <x v="1"/>
    <x v="1"/>
    <x v="1"/>
    <x v="1"/>
    <x v="342"/>
    <x v="1"/>
    <x v="26"/>
    <x v="520"/>
    <x v="520"/>
    <x v="0"/>
    <x v="520"/>
    <x v="482"/>
    <x v="488"/>
    <x v="468"/>
    <x v="488"/>
    <x v="482"/>
    <x v="482"/>
    <x v="482"/>
    <x v="482"/>
    <x v="482"/>
    <x v="482"/>
    <x v="482"/>
    <x v="520"/>
    <x v="469"/>
    <x v="469"/>
    <x v="458"/>
    <x v="0"/>
    <x v="0"/>
    <x v="596"/>
    <x v="520"/>
    <x v="520"/>
    <x v="520"/>
    <x v="520"/>
    <x v="7"/>
  </r>
  <r>
    <x v="780"/>
    <x v="718"/>
    <x v="0"/>
    <x v="0"/>
    <x v="0"/>
    <x v="0"/>
    <x v="0"/>
    <x v="1"/>
    <x v="0"/>
    <x v="0"/>
    <x v="7"/>
    <x v="0"/>
    <x v="592"/>
    <x v="1"/>
    <x v="0"/>
    <x v="0"/>
    <x v="0"/>
    <x v="780"/>
    <x v="1"/>
    <x v="17"/>
    <x v="17"/>
    <x v="0"/>
    <x v="0"/>
    <x v="4"/>
    <x v="102"/>
    <x v="0"/>
    <x v="26"/>
    <x v="850"/>
    <x v="10"/>
    <x v="64"/>
    <x v="1"/>
    <x v="2"/>
    <x v="2"/>
    <x v="1"/>
    <x v="736"/>
    <x v="2"/>
    <x v="26"/>
    <x v="592"/>
    <x v="592"/>
    <x v="0"/>
    <x v="592"/>
    <x v="684"/>
    <x v="684"/>
    <x v="680"/>
    <x v="684"/>
    <x v="684"/>
    <x v="684"/>
    <x v="684"/>
    <x v="684"/>
    <x v="684"/>
    <x v="684"/>
    <x v="684"/>
    <x v="592"/>
    <x v="676"/>
    <x v="676"/>
    <x v="548"/>
    <x v="0"/>
    <x v="0"/>
    <x v="762"/>
    <x v="592"/>
    <x v="592"/>
    <x v="592"/>
    <x v="592"/>
    <x v="7"/>
  </r>
  <r>
    <x v="781"/>
    <x v="698"/>
    <x v="0"/>
    <x v="0"/>
    <x v="0"/>
    <x v="0"/>
    <x v="0"/>
    <x v="0"/>
    <x v="0"/>
    <x v="0"/>
    <x v="7"/>
    <x v="0"/>
    <x v="948"/>
    <x v="1"/>
    <x v="0"/>
    <x v="0"/>
    <x v="0"/>
    <x v="781"/>
    <x v="2"/>
    <x v="17"/>
    <x v="17"/>
    <x v="0"/>
    <x v="0"/>
    <x v="3"/>
    <x v="34"/>
    <x v="0"/>
    <x v="24"/>
    <x v="777"/>
    <x v="9"/>
    <x v="54"/>
    <x v="1"/>
    <x v="1"/>
    <x v="1"/>
    <x v="1"/>
    <x v="699"/>
    <x v="1"/>
    <x v="24"/>
    <x v="948"/>
    <x v="948"/>
    <x v="1"/>
    <x v="948"/>
    <x v="958"/>
    <x v="957"/>
    <x v="943"/>
    <x v="957"/>
    <x v="958"/>
    <x v="958"/>
    <x v="958"/>
    <x v="958"/>
    <x v="958"/>
    <x v="958"/>
    <x v="958"/>
    <x v="948"/>
    <x v="942"/>
    <x v="942"/>
    <x v="884"/>
    <x v="0"/>
    <x v="0"/>
    <x v="982"/>
    <x v="948"/>
    <x v="948"/>
    <x v="948"/>
    <x v="948"/>
    <x v="7"/>
  </r>
  <r>
    <x v="782"/>
    <x v="693"/>
    <x v="0"/>
    <x v="0"/>
    <x v="0"/>
    <x v="0"/>
    <x v="0"/>
    <x v="0"/>
    <x v="0"/>
    <x v="0"/>
    <x v="7"/>
    <x v="0"/>
    <x v="950"/>
    <x v="1"/>
    <x v="0"/>
    <x v="0"/>
    <x v="0"/>
    <x v="782"/>
    <x v="2"/>
    <x v="17"/>
    <x v="17"/>
    <x v="0"/>
    <x v="0"/>
    <x v="4"/>
    <x v="30"/>
    <x v="0"/>
    <x v="20"/>
    <x v="48"/>
    <x v="9"/>
    <x v="54"/>
    <x v="1"/>
    <x v="1"/>
    <x v="1"/>
    <x v="1"/>
    <x v="701"/>
    <x v="1"/>
    <x v="20"/>
    <x v="950"/>
    <x v="950"/>
    <x v="1"/>
    <x v="950"/>
    <x v="960"/>
    <x v="959"/>
    <x v="945"/>
    <x v="959"/>
    <x v="960"/>
    <x v="960"/>
    <x v="960"/>
    <x v="960"/>
    <x v="960"/>
    <x v="960"/>
    <x v="960"/>
    <x v="950"/>
    <x v="944"/>
    <x v="944"/>
    <x v="886"/>
    <x v="0"/>
    <x v="0"/>
    <x v="935"/>
    <x v="950"/>
    <x v="950"/>
    <x v="950"/>
    <x v="950"/>
    <x v="7"/>
  </r>
  <r>
    <x v="783"/>
    <x v="736"/>
    <x v="0"/>
    <x v="0"/>
    <x v="0"/>
    <x v="0"/>
    <x v="1"/>
    <x v="4"/>
    <x v="0"/>
    <x v="0"/>
    <x v="7"/>
    <x v="0"/>
    <x v="1116"/>
    <x v="1"/>
    <x v="0"/>
    <x v="0"/>
    <x v="0"/>
    <x v="783"/>
    <x v="1"/>
    <x v="17"/>
    <x v="17"/>
    <x v="0"/>
    <x v="0"/>
    <x v="3"/>
    <x v="33"/>
    <x v="0"/>
    <x v="23"/>
    <x v="805"/>
    <x v="2"/>
    <x v="20"/>
    <x v="1"/>
    <x v="5"/>
    <x v="2"/>
    <x v="1"/>
    <x v="1339"/>
    <x v="5"/>
    <x v="23"/>
    <x v="1114"/>
    <x v="1114"/>
    <x v="1"/>
    <x v="1114"/>
    <x v="1216"/>
    <x v="1187"/>
    <x v="1242"/>
    <x v="1187"/>
    <x v="1216"/>
    <x v="1216"/>
    <x v="1216"/>
    <x v="1216"/>
    <x v="1216"/>
    <x v="1216"/>
    <x v="1216"/>
    <x v="1114"/>
    <x v="1241"/>
    <x v="1241"/>
    <x v="1073"/>
    <x v="0"/>
    <x v="0"/>
    <x v="1261"/>
    <x v="1114"/>
    <x v="1114"/>
    <x v="1114"/>
    <x v="1114"/>
    <x v="7"/>
  </r>
  <r>
    <x v="784"/>
    <x v="719"/>
    <x v="0"/>
    <x v="0"/>
    <x v="0"/>
    <x v="0"/>
    <x v="0"/>
    <x v="0"/>
    <x v="0"/>
    <x v="0"/>
    <x v="7"/>
    <x v="0"/>
    <x v="62"/>
    <x v="1"/>
    <x v="0"/>
    <x v="0"/>
    <x v="0"/>
    <x v="784"/>
    <x v="2"/>
    <x v="17"/>
    <x v="17"/>
    <x v="0"/>
    <x v="0"/>
    <x v="3"/>
    <x v="102"/>
    <x v="0"/>
    <x v="27"/>
    <x v="0"/>
    <x v="9"/>
    <x v="54"/>
    <x v="1"/>
    <x v="1"/>
    <x v="1"/>
    <x v="1"/>
    <x v="30"/>
    <x v="1"/>
    <x v="27"/>
    <x v="63"/>
    <x v="63"/>
    <x v="0"/>
    <x v="63"/>
    <x v="52"/>
    <x v="57"/>
    <x v="44"/>
    <x v="57"/>
    <x v="52"/>
    <x v="52"/>
    <x v="52"/>
    <x v="52"/>
    <x v="52"/>
    <x v="52"/>
    <x v="52"/>
    <x v="63"/>
    <x v="44"/>
    <x v="44"/>
    <x v="51"/>
    <x v="0"/>
    <x v="0"/>
    <x v="64"/>
    <x v="63"/>
    <x v="63"/>
    <x v="63"/>
    <x v="63"/>
    <x v="7"/>
  </r>
  <r>
    <x v="785"/>
    <x v="728"/>
    <x v="0"/>
    <x v="0"/>
    <x v="0"/>
    <x v="0"/>
    <x v="0"/>
    <x v="1"/>
    <x v="0"/>
    <x v="0"/>
    <x v="7"/>
    <x v="0"/>
    <x v="622"/>
    <x v="1"/>
    <x v="0"/>
    <x v="0"/>
    <x v="0"/>
    <x v="785"/>
    <x v="1"/>
    <x v="17"/>
    <x v="17"/>
    <x v="0"/>
    <x v="0"/>
    <x v="3"/>
    <x v="33"/>
    <x v="0"/>
    <x v="23"/>
    <x v="846"/>
    <x v="10"/>
    <x v="64"/>
    <x v="1"/>
    <x v="2"/>
    <x v="2"/>
    <x v="1"/>
    <x v="750"/>
    <x v="2"/>
    <x v="23"/>
    <x v="622"/>
    <x v="622"/>
    <x v="0"/>
    <x v="622"/>
    <x v="706"/>
    <x v="705"/>
    <x v="703"/>
    <x v="705"/>
    <x v="706"/>
    <x v="706"/>
    <x v="706"/>
    <x v="706"/>
    <x v="706"/>
    <x v="706"/>
    <x v="706"/>
    <x v="622"/>
    <x v="700"/>
    <x v="700"/>
    <x v="580"/>
    <x v="0"/>
    <x v="0"/>
    <x v="732"/>
    <x v="622"/>
    <x v="622"/>
    <x v="622"/>
    <x v="622"/>
    <x v="7"/>
  </r>
  <r>
    <x v="786"/>
    <x v="717"/>
    <x v="0"/>
    <x v="0"/>
    <x v="0"/>
    <x v="0"/>
    <x v="0"/>
    <x v="0"/>
    <x v="0"/>
    <x v="0"/>
    <x v="7"/>
    <x v="0"/>
    <x v="407"/>
    <x v="1"/>
    <x v="0"/>
    <x v="0"/>
    <x v="0"/>
    <x v="786"/>
    <x v="2"/>
    <x v="17"/>
    <x v="17"/>
    <x v="0"/>
    <x v="0"/>
    <x v="3"/>
    <x v="47"/>
    <x v="0"/>
    <x v="26"/>
    <x v="18"/>
    <x v="9"/>
    <x v="54"/>
    <x v="1"/>
    <x v="1"/>
    <x v="1"/>
    <x v="1"/>
    <x v="280"/>
    <x v="1"/>
    <x v="26"/>
    <x v="407"/>
    <x v="407"/>
    <x v="0"/>
    <x v="407"/>
    <x v="403"/>
    <x v="403"/>
    <x v="383"/>
    <x v="403"/>
    <x v="403"/>
    <x v="403"/>
    <x v="403"/>
    <x v="403"/>
    <x v="403"/>
    <x v="403"/>
    <x v="403"/>
    <x v="407"/>
    <x v="382"/>
    <x v="382"/>
    <x v="363"/>
    <x v="0"/>
    <x v="0"/>
    <x v="488"/>
    <x v="407"/>
    <x v="407"/>
    <x v="407"/>
    <x v="407"/>
    <x v="7"/>
  </r>
  <r>
    <x v="787"/>
    <x v="718"/>
    <x v="0"/>
    <x v="0"/>
    <x v="0"/>
    <x v="0"/>
    <x v="0"/>
    <x v="2"/>
    <x v="0"/>
    <x v="0"/>
    <x v="7"/>
    <x v="0"/>
    <x v="567"/>
    <x v="1"/>
    <x v="0"/>
    <x v="0"/>
    <x v="0"/>
    <x v="787"/>
    <x v="1"/>
    <x v="17"/>
    <x v="17"/>
    <x v="0"/>
    <x v="0"/>
    <x v="4"/>
    <x v="102"/>
    <x v="0"/>
    <x v="26"/>
    <x v="851"/>
    <x v="1"/>
    <x v="6"/>
    <x v="1"/>
    <x v="3"/>
    <x v="2"/>
    <x v="1"/>
    <x v="922"/>
    <x v="3"/>
    <x v="26"/>
    <x v="567"/>
    <x v="567"/>
    <x v="0"/>
    <x v="567"/>
    <x v="675"/>
    <x v="661"/>
    <x v="698"/>
    <x v="661"/>
    <x v="675"/>
    <x v="675"/>
    <x v="675"/>
    <x v="675"/>
    <x v="675"/>
    <x v="675"/>
    <x v="675"/>
    <x v="567"/>
    <x v="693"/>
    <x v="693"/>
    <x v="537"/>
    <x v="0"/>
    <x v="0"/>
    <x v="778"/>
    <x v="567"/>
    <x v="567"/>
    <x v="567"/>
    <x v="567"/>
    <x v="7"/>
  </r>
  <r>
    <x v="788"/>
    <x v="719"/>
    <x v="0"/>
    <x v="0"/>
    <x v="0"/>
    <x v="0"/>
    <x v="0"/>
    <x v="2"/>
    <x v="0"/>
    <x v="0"/>
    <x v="7"/>
    <x v="0"/>
    <x v="338"/>
    <x v="1"/>
    <x v="0"/>
    <x v="0"/>
    <x v="0"/>
    <x v="788"/>
    <x v="1"/>
    <x v="17"/>
    <x v="17"/>
    <x v="0"/>
    <x v="0"/>
    <x v="3"/>
    <x v="102"/>
    <x v="0"/>
    <x v="27"/>
    <x v="699"/>
    <x v="1"/>
    <x v="6"/>
    <x v="1"/>
    <x v="3"/>
    <x v="2"/>
    <x v="1"/>
    <x v="691"/>
    <x v="3"/>
    <x v="27"/>
    <x v="338"/>
    <x v="338"/>
    <x v="0"/>
    <x v="338"/>
    <x v="389"/>
    <x v="381"/>
    <x v="394"/>
    <x v="381"/>
    <x v="389"/>
    <x v="389"/>
    <x v="389"/>
    <x v="389"/>
    <x v="389"/>
    <x v="389"/>
    <x v="389"/>
    <x v="338"/>
    <x v="391"/>
    <x v="391"/>
    <x v="307"/>
    <x v="0"/>
    <x v="0"/>
    <x v="516"/>
    <x v="338"/>
    <x v="338"/>
    <x v="338"/>
    <x v="338"/>
    <x v="7"/>
  </r>
  <r>
    <x v="789"/>
    <x v="731"/>
    <x v="0"/>
    <x v="0"/>
    <x v="0"/>
    <x v="0"/>
    <x v="0"/>
    <x v="0"/>
    <x v="0"/>
    <x v="0"/>
    <x v="7"/>
    <x v="0"/>
    <x v="483"/>
    <x v="1"/>
    <x v="0"/>
    <x v="0"/>
    <x v="0"/>
    <x v="789"/>
    <x v="2"/>
    <x v="17"/>
    <x v="17"/>
    <x v="0"/>
    <x v="0"/>
    <x v="3"/>
    <x v="128"/>
    <x v="0"/>
    <x v="23"/>
    <x v="808"/>
    <x v="9"/>
    <x v="54"/>
    <x v="1"/>
    <x v="1"/>
    <x v="1"/>
    <x v="1"/>
    <x v="321"/>
    <x v="1"/>
    <x v="23"/>
    <x v="483"/>
    <x v="483"/>
    <x v="0"/>
    <x v="483"/>
    <x v="454"/>
    <x v="457"/>
    <x v="442"/>
    <x v="457"/>
    <x v="454"/>
    <x v="454"/>
    <x v="454"/>
    <x v="454"/>
    <x v="454"/>
    <x v="454"/>
    <x v="454"/>
    <x v="483"/>
    <x v="441"/>
    <x v="441"/>
    <x v="424"/>
    <x v="0"/>
    <x v="0"/>
    <x v="522"/>
    <x v="483"/>
    <x v="483"/>
    <x v="483"/>
    <x v="483"/>
    <x v="7"/>
  </r>
  <r>
    <x v="790"/>
    <x v="743"/>
    <x v="0"/>
    <x v="0"/>
    <x v="0"/>
    <x v="0"/>
    <x v="0"/>
    <x v="0"/>
    <x v="0"/>
    <x v="0"/>
    <x v="7"/>
    <x v="0"/>
    <x v="1002"/>
    <x v="1"/>
    <x v="0"/>
    <x v="0"/>
    <x v="0"/>
    <x v="790"/>
    <x v="2"/>
    <x v="17"/>
    <x v="17"/>
    <x v="0"/>
    <x v="0"/>
    <x v="4"/>
    <x v="105"/>
    <x v="0"/>
    <x v="24"/>
    <x v="829"/>
    <x v="9"/>
    <x v="54"/>
    <x v="1"/>
    <x v="1"/>
    <x v="1"/>
    <x v="1"/>
    <x v="765"/>
    <x v="1"/>
    <x v="24"/>
    <x v="1002"/>
    <x v="1002"/>
    <x v="1"/>
    <x v="1002"/>
    <x v="1015"/>
    <x v="1007"/>
    <x v="996"/>
    <x v="1007"/>
    <x v="1015"/>
    <x v="1015"/>
    <x v="1015"/>
    <x v="1015"/>
    <x v="1015"/>
    <x v="1015"/>
    <x v="1015"/>
    <x v="1002"/>
    <x v="996"/>
    <x v="996"/>
    <x v="930"/>
    <x v="0"/>
    <x v="0"/>
    <x v="1030"/>
    <x v="1002"/>
    <x v="1002"/>
    <x v="1002"/>
    <x v="1002"/>
    <x v="7"/>
  </r>
  <r>
    <x v="791"/>
    <x v="741"/>
    <x v="0"/>
    <x v="0"/>
    <x v="0"/>
    <x v="0"/>
    <x v="0"/>
    <x v="1"/>
    <x v="0"/>
    <x v="0"/>
    <x v="7"/>
    <x v="0"/>
    <x v="377"/>
    <x v="1"/>
    <x v="0"/>
    <x v="0"/>
    <x v="0"/>
    <x v="791"/>
    <x v="1"/>
    <x v="17"/>
    <x v="17"/>
    <x v="0"/>
    <x v="0"/>
    <x v="3"/>
    <x v="33"/>
    <x v="0"/>
    <x v="23"/>
    <x v="847"/>
    <x v="10"/>
    <x v="64"/>
    <x v="1"/>
    <x v="2"/>
    <x v="2"/>
    <x v="1"/>
    <x v="568"/>
    <x v="2"/>
    <x v="23"/>
    <x v="377"/>
    <x v="377"/>
    <x v="0"/>
    <x v="377"/>
    <x v="432"/>
    <x v="428"/>
    <x v="435"/>
    <x v="428"/>
    <x v="432"/>
    <x v="432"/>
    <x v="432"/>
    <x v="432"/>
    <x v="432"/>
    <x v="432"/>
    <x v="432"/>
    <x v="377"/>
    <x v="432"/>
    <x v="432"/>
    <x v="341"/>
    <x v="0"/>
    <x v="0"/>
    <x v="508"/>
    <x v="377"/>
    <x v="377"/>
    <x v="377"/>
    <x v="377"/>
    <x v="7"/>
  </r>
  <r>
    <x v="792"/>
    <x v="738"/>
    <x v="0"/>
    <x v="0"/>
    <x v="0"/>
    <x v="0"/>
    <x v="1"/>
    <x v="4"/>
    <x v="0"/>
    <x v="0"/>
    <x v="7"/>
    <x v="0"/>
    <x v="93"/>
    <x v="1"/>
    <x v="0"/>
    <x v="0"/>
    <x v="0"/>
    <x v="792"/>
    <x v="1"/>
    <x v="17"/>
    <x v="17"/>
    <x v="0"/>
    <x v="0"/>
    <x v="3"/>
    <x v="33"/>
    <x v="0"/>
    <x v="23"/>
    <x v="848"/>
    <x v="2"/>
    <x v="20"/>
    <x v="1"/>
    <x v="5"/>
    <x v="2"/>
    <x v="1"/>
    <x v="252"/>
    <x v="5"/>
    <x v="23"/>
    <x v="94"/>
    <x v="94"/>
    <x v="0"/>
    <x v="94"/>
    <x v="117"/>
    <x v="112"/>
    <x v="119"/>
    <x v="112"/>
    <x v="117"/>
    <x v="117"/>
    <x v="117"/>
    <x v="117"/>
    <x v="117"/>
    <x v="117"/>
    <x v="117"/>
    <x v="94"/>
    <x v="119"/>
    <x v="119"/>
    <x v="87"/>
    <x v="0"/>
    <x v="0"/>
    <x v="129"/>
    <x v="94"/>
    <x v="94"/>
    <x v="94"/>
    <x v="94"/>
    <x v="7"/>
  </r>
  <r>
    <x v="793"/>
    <x v="739"/>
    <x v="0"/>
    <x v="0"/>
    <x v="0"/>
    <x v="0"/>
    <x v="1"/>
    <x v="4"/>
    <x v="0"/>
    <x v="0"/>
    <x v="7"/>
    <x v="0"/>
    <x v="54"/>
    <x v="1"/>
    <x v="0"/>
    <x v="0"/>
    <x v="0"/>
    <x v="793"/>
    <x v="1"/>
    <x v="17"/>
    <x v="17"/>
    <x v="0"/>
    <x v="0"/>
    <x v="3"/>
    <x v="33"/>
    <x v="0"/>
    <x v="23"/>
    <x v="849"/>
    <x v="2"/>
    <x v="20"/>
    <x v="1"/>
    <x v="5"/>
    <x v="2"/>
    <x v="1"/>
    <x v="157"/>
    <x v="5"/>
    <x v="23"/>
    <x v="55"/>
    <x v="55"/>
    <x v="0"/>
    <x v="55"/>
    <x v="63"/>
    <x v="58"/>
    <x v="66"/>
    <x v="58"/>
    <x v="63"/>
    <x v="63"/>
    <x v="63"/>
    <x v="63"/>
    <x v="63"/>
    <x v="63"/>
    <x v="63"/>
    <x v="55"/>
    <x v="66"/>
    <x v="66"/>
    <x v="48"/>
    <x v="0"/>
    <x v="0"/>
    <x v="75"/>
    <x v="55"/>
    <x v="55"/>
    <x v="55"/>
    <x v="55"/>
    <x v="7"/>
  </r>
  <r>
    <x v="794"/>
    <x v="720"/>
    <x v="0"/>
    <x v="0"/>
    <x v="0"/>
    <x v="0"/>
    <x v="0"/>
    <x v="0"/>
    <x v="0"/>
    <x v="0"/>
    <x v="7"/>
    <x v="0"/>
    <x v="1021"/>
    <x v="1"/>
    <x v="0"/>
    <x v="0"/>
    <x v="0"/>
    <x v="794"/>
    <x v="2"/>
    <x v="17"/>
    <x v="17"/>
    <x v="0"/>
    <x v="0"/>
    <x v="3"/>
    <x v="104"/>
    <x v="0"/>
    <x v="22"/>
    <x v="811"/>
    <x v="9"/>
    <x v="54"/>
    <x v="1"/>
    <x v="1"/>
    <x v="1"/>
    <x v="1"/>
    <x v="785"/>
    <x v="1"/>
    <x v="22"/>
    <x v="1021"/>
    <x v="1021"/>
    <x v="1"/>
    <x v="1021"/>
    <x v="1034"/>
    <x v="1027"/>
    <x v="1016"/>
    <x v="1027"/>
    <x v="1034"/>
    <x v="1034"/>
    <x v="1034"/>
    <x v="1034"/>
    <x v="1034"/>
    <x v="1034"/>
    <x v="1034"/>
    <x v="1021"/>
    <x v="1014"/>
    <x v="1014"/>
    <x v="950"/>
    <x v="0"/>
    <x v="0"/>
    <x v="1023"/>
    <x v="1021"/>
    <x v="1021"/>
    <x v="1021"/>
    <x v="1021"/>
    <x v="7"/>
  </r>
  <r>
    <x v="795"/>
    <x v="749"/>
    <x v="0"/>
    <x v="0"/>
    <x v="0"/>
    <x v="0"/>
    <x v="0"/>
    <x v="0"/>
    <x v="0"/>
    <x v="0"/>
    <x v="7"/>
    <x v="0"/>
    <x v="756"/>
    <x v="1"/>
    <x v="0"/>
    <x v="0"/>
    <x v="0"/>
    <x v="795"/>
    <x v="2"/>
    <x v="17"/>
    <x v="17"/>
    <x v="0"/>
    <x v="0"/>
    <x v="4"/>
    <x v="12"/>
    <x v="0"/>
    <x v="23"/>
    <x v="807"/>
    <x v="9"/>
    <x v="54"/>
    <x v="1"/>
    <x v="1"/>
    <x v="1"/>
    <x v="1"/>
    <x v="504"/>
    <x v="1"/>
    <x v="23"/>
    <x v="756"/>
    <x v="756"/>
    <x v="1"/>
    <x v="756"/>
    <x v="735"/>
    <x v="752"/>
    <x v="697"/>
    <x v="752"/>
    <x v="735"/>
    <x v="735"/>
    <x v="735"/>
    <x v="735"/>
    <x v="735"/>
    <x v="735"/>
    <x v="735"/>
    <x v="756"/>
    <x v="698"/>
    <x v="698"/>
    <x v="695"/>
    <x v="0"/>
    <x v="0"/>
    <x v="730"/>
    <x v="756"/>
    <x v="756"/>
    <x v="756"/>
    <x v="756"/>
    <x v="7"/>
  </r>
  <r>
    <x v="796"/>
    <x v="755"/>
    <x v="0"/>
    <x v="0"/>
    <x v="0"/>
    <x v="0"/>
    <x v="0"/>
    <x v="0"/>
    <x v="0"/>
    <x v="0"/>
    <x v="7"/>
    <x v="0"/>
    <x v="1035"/>
    <x v="1"/>
    <x v="0"/>
    <x v="0"/>
    <x v="0"/>
    <x v="796"/>
    <x v="2"/>
    <x v="17"/>
    <x v="17"/>
    <x v="0"/>
    <x v="0"/>
    <x v="4"/>
    <x v="104"/>
    <x v="0"/>
    <x v="24"/>
    <x v="830"/>
    <x v="9"/>
    <x v="54"/>
    <x v="1"/>
    <x v="1"/>
    <x v="1"/>
    <x v="1"/>
    <x v="799"/>
    <x v="1"/>
    <x v="24"/>
    <x v="1035"/>
    <x v="1035"/>
    <x v="1"/>
    <x v="1035"/>
    <x v="1044"/>
    <x v="1040"/>
    <x v="1030"/>
    <x v="1040"/>
    <x v="1044"/>
    <x v="1044"/>
    <x v="1044"/>
    <x v="1044"/>
    <x v="1044"/>
    <x v="1044"/>
    <x v="1044"/>
    <x v="1035"/>
    <x v="1029"/>
    <x v="1029"/>
    <x v="963"/>
    <x v="0"/>
    <x v="0"/>
    <x v="1053"/>
    <x v="1035"/>
    <x v="1035"/>
    <x v="1035"/>
    <x v="1035"/>
    <x v="7"/>
  </r>
  <r>
    <x v="797"/>
    <x v="769"/>
    <x v="0"/>
    <x v="0"/>
    <x v="0"/>
    <x v="0"/>
    <x v="0"/>
    <x v="0"/>
    <x v="0"/>
    <x v="0"/>
    <x v="7"/>
    <x v="0"/>
    <x v="1294"/>
    <x v="1"/>
    <x v="0"/>
    <x v="0"/>
    <x v="0"/>
    <x v="797"/>
    <x v="2"/>
    <x v="17"/>
    <x v="17"/>
    <x v="0"/>
    <x v="0"/>
    <x v="4"/>
    <x v="102"/>
    <x v="0"/>
    <x v="24"/>
    <x v="843"/>
    <x v="9"/>
    <x v="54"/>
    <x v="1"/>
    <x v="1"/>
    <x v="1"/>
    <x v="1"/>
    <x v="1095"/>
    <x v="1"/>
    <x v="24"/>
    <x v="1292"/>
    <x v="1292"/>
    <x v="2"/>
    <x v="1292"/>
    <x v="1313"/>
    <x v="1306"/>
    <x v="1307"/>
    <x v="1306"/>
    <x v="1313"/>
    <x v="1313"/>
    <x v="1313"/>
    <x v="1313"/>
    <x v="1313"/>
    <x v="1313"/>
    <x v="1313"/>
    <x v="1292"/>
    <x v="1307"/>
    <x v="1307"/>
    <x v="1213"/>
    <x v="0"/>
    <x v="0"/>
    <x v="1320"/>
    <x v="1292"/>
    <x v="1292"/>
    <x v="1292"/>
    <x v="1292"/>
    <x v="7"/>
  </r>
  <r>
    <x v="798"/>
    <x v="731"/>
    <x v="0"/>
    <x v="0"/>
    <x v="0"/>
    <x v="0"/>
    <x v="0"/>
    <x v="0"/>
    <x v="0"/>
    <x v="0"/>
    <x v="7"/>
    <x v="0"/>
    <x v="885"/>
    <x v="1"/>
    <x v="0"/>
    <x v="0"/>
    <x v="0"/>
    <x v="798"/>
    <x v="2"/>
    <x v="17"/>
    <x v="17"/>
    <x v="0"/>
    <x v="0"/>
    <x v="3"/>
    <x v="128"/>
    <x v="0"/>
    <x v="23"/>
    <x v="809"/>
    <x v="9"/>
    <x v="54"/>
    <x v="1"/>
    <x v="1"/>
    <x v="1"/>
    <x v="1"/>
    <x v="631"/>
    <x v="1"/>
    <x v="23"/>
    <x v="885"/>
    <x v="885"/>
    <x v="1"/>
    <x v="885"/>
    <x v="897"/>
    <x v="890"/>
    <x v="882"/>
    <x v="890"/>
    <x v="897"/>
    <x v="897"/>
    <x v="897"/>
    <x v="897"/>
    <x v="897"/>
    <x v="897"/>
    <x v="897"/>
    <x v="885"/>
    <x v="880"/>
    <x v="880"/>
    <x v="821"/>
    <x v="0"/>
    <x v="0"/>
    <x v="896"/>
    <x v="885"/>
    <x v="885"/>
    <x v="885"/>
    <x v="885"/>
    <x v="7"/>
  </r>
  <r>
    <x v="799"/>
    <x v="777"/>
    <x v="0"/>
    <x v="0"/>
    <x v="0"/>
    <x v="0"/>
    <x v="0"/>
    <x v="0"/>
    <x v="0"/>
    <x v="0"/>
    <x v="7"/>
    <x v="0"/>
    <x v="1301"/>
    <x v="1"/>
    <x v="0"/>
    <x v="0"/>
    <x v="0"/>
    <x v="799"/>
    <x v="2"/>
    <x v="17"/>
    <x v="17"/>
    <x v="0"/>
    <x v="0"/>
    <x v="4"/>
    <x v="102"/>
    <x v="0"/>
    <x v="24"/>
    <x v="842"/>
    <x v="9"/>
    <x v="54"/>
    <x v="1"/>
    <x v="1"/>
    <x v="1"/>
    <x v="1"/>
    <x v="1107"/>
    <x v="1"/>
    <x v="24"/>
    <x v="1299"/>
    <x v="1299"/>
    <x v="2"/>
    <x v="1299"/>
    <x v="1322"/>
    <x v="1312"/>
    <x v="1315"/>
    <x v="1312"/>
    <x v="1322"/>
    <x v="1322"/>
    <x v="1322"/>
    <x v="1322"/>
    <x v="1322"/>
    <x v="1322"/>
    <x v="1322"/>
    <x v="1299"/>
    <x v="1314"/>
    <x v="1314"/>
    <x v="1221"/>
    <x v="0"/>
    <x v="0"/>
    <x v="1328"/>
    <x v="1299"/>
    <x v="1299"/>
    <x v="1299"/>
    <x v="1299"/>
    <x v="7"/>
  </r>
  <r>
    <x v="800"/>
    <x v="769"/>
    <x v="0"/>
    <x v="0"/>
    <x v="0"/>
    <x v="0"/>
    <x v="1"/>
    <x v="4"/>
    <x v="0"/>
    <x v="0"/>
    <x v="7"/>
    <x v="0"/>
    <x v="1124"/>
    <x v="1"/>
    <x v="0"/>
    <x v="0"/>
    <x v="0"/>
    <x v="800"/>
    <x v="1"/>
    <x v="17"/>
    <x v="17"/>
    <x v="0"/>
    <x v="0"/>
    <x v="4"/>
    <x v="102"/>
    <x v="0"/>
    <x v="24"/>
    <x v="844"/>
    <x v="2"/>
    <x v="20"/>
    <x v="1"/>
    <x v="5"/>
    <x v="2"/>
    <x v="1"/>
    <x v="1340"/>
    <x v="5"/>
    <x v="24"/>
    <x v="1122"/>
    <x v="1122"/>
    <x v="1"/>
    <x v="1122"/>
    <x v="1219"/>
    <x v="1191"/>
    <x v="1245"/>
    <x v="1191"/>
    <x v="1219"/>
    <x v="1219"/>
    <x v="1219"/>
    <x v="1219"/>
    <x v="1219"/>
    <x v="1219"/>
    <x v="1219"/>
    <x v="1122"/>
    <x v="1245"/>
    <x v="1245"/>
    <x v="1075"/>
    <x v="0"/>
    <x v="0"/>
    <x v="1271"/>
    <x v="1122"/>
    <x v="1122"/>
    <x v="1122"/>
    <x v="1122"/>
    <x v="7"/>
  </r>
  <r>
    <x v="801"/>
    <x v="762"/>
    <x v="0"/>
    <x v="0"/>
    <x v="0"/>
    <x v="0"/>
    <x v="0"/>
    <x v="0"/>
    <x v="0"/>
    <x v="0"/>
    <x v="7"/>
    <x v="0"/>
    <x v="789"/>
    <x v="1"/>
    <x v="0"/>
    <x v="0"/>
    <x v="0"/>
    <x v="801"/>
    <x v="2"/>
    <x v="17"/>
    <x v="17"/>
    <x v="0"/>
    <x v="0"/>
    <x v="4"/>
    <x v="12"/>
    <x v="0"/>
    <x v="24"/>
    <x v="818"/>
    <x v="9"/>
    <x v="54"/>
    <x v="1"/>
    <x v="1"/>
    <x v="1"/>
    <x v="1"/>
    <x v="531"/>
    <x v="1"/>
    <x v="24"/>
    <x v="789"/>
    <x v="789"/>
    <x v="1"/>
    <x v="789"/>
    <x v="785"/>
    <x v="789"/>
    <x v="744"/>
    <x v="789"/>
    <x v="785"/>
    <x v="785"/>
    <x v="785"/>
    <x v="785"/>
    <x v="785"/>
    <x v="785"/>
    <x v="785"/>
    <x v="789"/>
    <x v="744"/>
    <x v="744"/>
    <x v="730"/>
    <x v="0"/>
    <x v="0"/>
    <x v="787"/>
    <x v="789"/>
    <x v="789"/>
    <x v="789"/>
    <x v="789"/>
    <x v="7"/>
  </r>
  <r>
    <x v="802"/>
    <x v="771"/>
    <x v="0"/>
    <x v="0"/>
    <x v="0"/>
    <x v="0"/>
    <x v="0"/>
    <x v="0"/>
    <x v="0"/>
    <x v="0"/>
    <x v="7"/>
    <x v="0"/>
    <x v="1169"/>
    <x v="1"/>
    <x v="0"/>
    <x v="0"/>
    <x v="0"/>
    <x v="802"/>
    <x v="2"/>
    <x v="17"/>
    <x v="17"/>
    <x v="0"/>
    <x v="0"/>
    <x v="3"/>
    <x v="31"/>
    <x v="0"/>
    <x v="29"/>
    <x v="788"/>
    <x v="9"/>
    <x v="54"/>
    <x v="1"/>
    <x v="1"/>
    <x v="1"/>
    <x v="1"/>
    <x v="944"/>
    <x v="1"/>
    <x v="29"/>
    <x v="1167"/>
    <x v="1167"/>
    <x v="1"/>
    <x v="1167"/>
    <x v="1182"/>
    <x v="1178"/>
    <x v="1165"/>
    <x v="1178"/>
    <x v="1182"/>
    <x v="1182"/>
    <x v="1182"/>
    <x v="1182"/>
    <x v="1182"/>
    <x v="1182"/>
    <x v="1182"/>
    <x v="1167"/>
    <x v="1163"/>
    <x v="1163"/>
    <x v="1093"/>
    <x v="0"/>
    <x v="0"/>
    <x v="1243"/>
    <x v="1167"/>
    <x v="1167"/>
    <x v="1167"/>
    <x v="1167"/>
    <x v="7"/>
  </r>
  <r>
    <x v="803"/>
    <x v="727"/>
    <x v="0"/>
    <x v="0"/>
    <x v="0"/>
    <x v="0"/>
    <x v="0"/>
    <x v="0"/>
    <x v="0"/>
    <x v="0"/>
    <x v="7"/>
    <x v="0"/>
    <x v="1311"/>
    <x v="1"/>
    <x v="0"/>
    <x v="0"/>
    <x v="0"/>
    <x v="803"/>
    <x v="2"/>
    <x v="17"/>
    <x v="17"/>
    <x v="0"/>
    <x v="0"/>
    <x v="3"/>
    <x v="102"/>
    <x v="0"/>
    <x v="27"/>
    <x v="819"/>
    <x v="9"/>
    <x v="54"/>
    <x v="1"/>
    <x v="1"/>
    <x v="1"/>
    <x v="1"/>
    <x v="1122"/>
    <x v="1"/>
    <x v="27"/>
    <x v="1309"/>
    <x v="1309"/>
    <x v="2"/>
    <x v="1309"/>
    <x v="1332"/>
    <x v="1325"/>
    <x v="1324"/>
    <x v="1325"/>
    <x v="1332"/>
    <x v="1332"/>
    <x v="1332"/>
    <x v="1332"/>
    <x v="1332"/>
    <x v="1332"/>
    <x v="1332"/>
    <x v="1309"/>
    <x v="1323"/>
    <x v="1323"/>
    <x v="1231"/>
    <x v="0"/>
    <x v="0"/>
    <x v="1355"/>
    <x v="1309"/>
    <x v="1309"/>
    <x v="1309"/>
    <x v="1309"/>
    <x v="7"/>
  </r>
  <r>
    <x v="804"/>
    <x v="778"/>
    <x v="0"/>
    <x v="0"/>
    <x v="0"/>
    <x v="0"/>
    <x v="0"/>
    <x v="0"/>
    <x v="0"/>
    <x v="0"/>
    <x v="7"/>
    <x v="0"/>
    <x v="1067"/>
    <x v="1"/>
    <x v="0"/>
    <x v="0"/>
    <x v="0"/>
    <x v="804"/>
    <x v="2"/>
    <x v="17"/>
    <x v="17"/>
    <x v="0"/>
    <x v="0"/>
    <x v="4"/>
    <x v="12"/>
    <x v="0"/>
    <x v="25"/>
    <x v="828"/>
    <x v="9"/>
    <x v="54"/>
    <x v="1"/>
    <x v="1"/>
    <x v="1"/>
    <x v="1"/>
    <x v="830"/>
    <x v="1"/>
    <x v="25"/>
    <x v="1065"/>
    <x v="1065"/>
    <x v="1"/>
    <x v="1065"/>
    <x v="1069"/>
    <x v="1065"/>
    <x v="1060"/>
    <x v="1065"/>
    <x v="1069"/>
    <x v="1069"/>
    <x v="1069"/>
    <x v="1069"/>
    <x v="1069"/>
    <x v="1069"/>
    <x v="1069"/>
    <x v="1065"/>
    <x v="1059"/>
    <x v="1059"/>
    <x v="988"/>
    <x v="0"/>
    <x v="0"/>
    <x v="1098"/>
    <x v="1065"/>
    <x v="1065"/>
    <x v="1065"/>
    <x v="1065"/>
    <x v="7"/>
  </r>
  <r>
    <x v="805"/>
    <x v="773"/>
    <x v="0"/>
    <x v="0"/>
    <x v="0"/>
    <x v="0"/>
    <x v="0"/>
    <x v="0"/>
    <x v="0"/>
    <x v="0"/>
    <x v="7"/>
    <x v="0"/>
    <x v="702"/>
    <x v="1"/>
    <x v="0"/>
    <x v="0"/>
    <x v="0"/>
    <x v="805"/>
    <x v="2"/>
    <x v="17"/>
    <x v="17"/>
    <x v="0"/>
    <x v="0"/>
    <x v="4"/>
    <x v="89"/>
    <x v="0"/>
    <x v="24"/>
    <x v="817"/>
    <x v="9"/>
    <x v="54"/>
    <x v="1"/>
    <x v="1"/>
    <x v="1"/>
    <x v="1"/>
    <x v="463"/>
    <x v="1"/>
    <x v="24"/>
    <x v="702"/>
    <x v="702"/>
    <x v="1"/>
    <x v="702"/>
    <x v="650"/>
    <x v="666"/>
    <x v="611"/>
    <x v="666"/>
    <x v="650"/>
    <x v="650"/>
    <x v="650"/>
    <x v="650"/>
    <x v="650"/>
    <x v="650"/>
    <x v="650"/>
    <x v="702"/>
    <x v="612"/>
    <x v="612"/>
    <x v="642"/>
    <x v="0"/>
    <x v="0"/>
    <x v="685"/>
    <x v="702"/>
    <x v="702"/>
    <x v="702"/>
    <x v="702"/>
    <x v="7"/>
  </r>
  <r>
    <x v="806"/>
    <x v="777"/>
    <x v="0"/>
    <x v="0"/>
    <x v="0"/>
    <x v="0"/>
    <x v="1"/>
    <x v="4"/>
    <x v="0"/>
    <x v="0"/>
    <x v="7"/>
    <x v="0"/>
    <x v="640"/>
    <x v="1"/>
    <x v="0"/>
    <x v="0"/>
    <x v="0"/>
    <x v="806"/>
    <x v="1"/>
    <x v="17"/>
    <x v="17"/>
    <x v="0"/>
    <x v="0"/>
    <x v="4"/>
    <x v="102"/>
    <x v="0"/>
    <x v="24"/>
    <x v="841"/>
    <x v="2"/>
    <x v="20"/>
    <x v="1"/>
    <x v="5"/>
    <x v="2"/>
    <x v="1"/>
    <x v="1188"/>
    <x v="5"/>
    <x v="24"/>
    <x v="640"/>
    <x v="640"/>
    <x v="0"/>
    <x v="640"/>
    <x v="758"/>
    <x v="715"/>
    <x v="799"/>
    <x v="715"/>
    <x v="758"/>
    <x v="758"/>
    <x v="758"/>
    <x v="758"/>
    <x v="758"/>
    <x v="758"/>
    <x v="758"/>
    <x v="640"/>
    <x v="796"/>
    <x v="796"/>
    <x v="631"/>
    <x v="0"/>
    <x v="0"/>
    <x v="835"/>
    <x v="640"/>
    <x v="640"/>
    <x v="640"/>
    <x v="640"/>
    <x v="7"/>
  </r>
  <r>
    <x v="807"/>
    <x v="802"/>
    <x v="0"/>
    <x v="0"/>
    <x v="0"/>
    <x v="0"/>
    <x v="0"/>
    <x v="0"/>
    <x v="0"/>
    <x v="0"/>
    <x v="7"/>
    <x v="0"/>
    <x v="1165"/>
    <x v="1"/>
    <x v="0"/>
    <x v="0"/>
    <x v="0"/>
    <x v="807"/>
    <x v="2"/>
    <x v="17"/>
    <x v="17"/>
    <x v="0"/>
    <x v="0"/>
    <x v="3"/>
    <x v="32"/>
    <x v="0"/>
    <x v="25"/>
    <x v="837"/>
    <x v="9"/>
    <x v="54"/>
    <x v="1"/>
    <x v="1"/>
    <x v="1"/>
    <x v="1"/>
    <x v="939"/>
    <x v="1"/>
    <x v="25"/>
    <x v="1163"/>
    <x v="1163"/>
    <x v="1"/>
    <x v="1163"/>
    <x v="1175"/>
    <x v="1173"/>
    <x v="1159"/>
    <x v="1173"/>
    <x v="1175"/>
    <x v="1175"/>
    <x v="1175"/>
    <x v="1175"/>
    <x v="1175"/>
    <x v="1175"/>
    <x v="1175"/>
    <x v="1163"/>
    <x v="1158"/>
    <x v="1158"/>
    <x v="1088"/>
    <x v="0"/>
    <x v="0"/>
    <x v="1199"/>
    <x v="1163"/>
    <x v="1163"/>
    <x v="1163"/>
    <x v="1163"/>
    <x v="7"/>
  </r>
  <r>
    <x v="808"/>
    <x v="789"/>
    <x v="0"/>
    <x v="0"/>
    <x v="0"/>
    <x v="0"/>
    <x v="1"/>
    <x v="4"/>
    <x v="0"/>
    <x v="0"/>
    <x v="7"/>
    <x v="0"/>
    <x v="431"/>
    <x v="1"/>
    <x v="0"/>
    <x v="0"/>
    <x v="0"/>
    <x v="808"/>
    <x v="1"/>
    <x v="17"/>
    <x v="17"/>
    <x v="0"/>
    <x v="0"/>
    <x v="3"/>
    <x v="102"/>
    <x v="0"/>
    <x v="24"/>
    <x v="840"/>
    <x v="2"/>
    <x v="20"/>
    <x v="1"/>
    <x v="5"/>
    <x v="2"/>
    <x v="1"/>
    <x v="1121"/>
    <x v="5"/>
    <x v="24"/>
    <x v="431"/>
    <x v="431"/>
    <x v="0"/>
    <x v="431"/>
    <x v="545"/>
    <x v="497"/>
    <x v="615"/>
    <x v="497"/>
    <x v="545"/>
    <x v="545"/>
    <x v="545"/>
    <x v="545"/>
    <x v="545"/>
    <x v="545"/>
    <x v="545"/>
    <x v="431"/>
    <x v="616"/>
    <x v="616"/>
    <x v="413"/>
    <x v="0"/>
    <x v="0"/>
    <x v="688"/>
    <x v="431"/>
    <x v="431"/>
    <x v="431"/>
    <x v="431"/>
    <x v="7"/>
  </r>
  <r>
    <x v="809"/>
    <x v="803"/>
    <x v="0"/>
    <x v="0"/>
    <x v="0"/>
    <x v="0"/>
    <x v="0"/>
    <x v="0"/>
    <x v="0"/>
    <x v="0"/>
    <x v="7"/>
    <x v="0"/>
    <x v="1008"/>
    <x v="1"/>
    <x v="0"/>
    <x v="0"/>
    <x v="0"/>
    <x v="809"/>
    <x v="2"/>
    <x v="17"/>
    <x v="17"/>
    <x v="0"/>
    <x v="0"/>
    <x v="4"/>
    <x v="11"/>
    <x v="0"/>
    <x v="25"/>
    <x v="815"/>
    <x v="9"/>
    <x v="54"/>
    <x v="1"/>
    <x v="1"/>
    <x v="1"/>
    <x v="1"/>
    <x v="773"/>
    <x v="1"/>
    <x v="25"/>
    <x v="1008"/>
    <x v="1008"/>
    <x v="1"/>
    <x v="1008"/>
    <x v="1021"/>
    <x v="1014"/>
    <x v="1004"/>
    <x v="1014"/>
    <x v="1021"/>
    <x v="1021"/>
    <x v="1021"/>
    <x v="1021"/>
    <x v="1021"/>
    <x v="1021"/>
    <x v="1021"/>
    <x v="1008"/>
    <x v="1004"/>
    <x v="1004"/>
    <x v="938"/>
    <x v="0"/>
    <x v="0"/>
    <x v="1045"/>
    <x v="1008"/>
    <x v="1008"/>
    <x v="1008"/>
    <x v="1008"/>
    <x v="7"/>
  </r>
  <r>
    <x v="810"/>
    <x v="816"/>
    <x v="0"/>
    <x v="0"/>
    <x v="0"/>
    <x v="0"/>
    <x v="0"/>
    <x v="0"/>
    <x v="0"/>
    <x v="0"/>
    <x v="7"/>
    <x v="0"/>
    <x v="1203"/>
    <x v="1"/>
    <x v="0"/>
    <x v="0"/>
    <x v="0"/>
    <x v="810"/>
    <x v="2"/>
    <x v="17"/>
    <x v="17"/>
    <x v="0"/>
    <x v="0"/>
    <x v="4"/>
    <x v="89"/>
    <x v="0"/>
    <x v="41"/>
    <x v="827"/>
    <x v="9"/>
    <x v="54"/>
    <x v="1"/>
    <x v="1"/>
    <x v="1"/>
    <x v="1"/>
    <x v="988"/>
    <x v="1"/>
    <x v="41"/>
    <x v="1201"/>
    <x v="1201"/>
    <x v="2"/>
    <x v="1201"/>
    <x v="1221"/>
    <x v="1215"/>
    <x v="1210"/>
    <x v="1215"/>
    <x v="1221"/>
    <x v="1221"/>
    <x v="1221"/>
    <x v="1221"/>
    <x v="1221"/>
    <x v="1221"/>
    <x v="1221"/>
    <x v="1201"/>
    <x v="1208"/>
    <x v="1208"/>
    <x v="1129"/>
    <x v="0"/>
    <x v="0"/>
    <x v="1336"/>
    <x v="1201"/>
    <x v="1201"/>
    <x v="1201"/>
    <x v="1201"/>
    <x v="7"/>
  </r>
  <r>
    <x v="811"/>
    <x v="795"/>
    <x v="0"/>
    <x v="0"/>
    <x v="0"/>
    <x v="0"/>
    <x v="1"/>
    <x v="4"/>
    <x v="0"/>
    <x v="0"/>
    <x v="7"/>
    <x v="0"/>
    <x v="302"/>
    <x v="1"/>
    <x v="0"/>
    <x v="0"/>
    <x v="0"/>
    <x v="811"/>
    <x v="1"/>
    <x v="17"/>
    <x v="17"/>
    <x v="0"/>
    <x v="0"/>
    <x v="3"/>
    <x v="32"/>
    <x v="0"/>
    <x v="25"/>
    <x v="839"/>
    <x v="2"/>
    <x v="20"/>
    <x v="1"/>
    <x v="5"/>
    <x v="2"/>
    <x v="1"/>
    <x v="990"/>
    <x v="5"/>
    <x v="25"/>
    <x v="302"/>
    <x v="302"/>
    <x v="0"/>
    <x v="302"/>
    <x v="352"/>
    <x v="338"/>
    <x v="373"/>
    <x v="338"/>
    <x v="352"/>
    <x v="352"/>
    <x v="352"/>
    <x v="352"/>
    <x v="352"/>
    <x v="352"/>
    <x v="352"/>
    <x v="302"/>
    <x v="372"/>
    <x v="372"/>
    <x v="281"/>
    <x v="0"/>
    <x v="0"/>
    <x v="466"/>
    <x v="302"/>
    <x v="302"/>
    <x v="302"/>
    <x v="302"/>
    <x v="7"/>
  </r>
  <r>
    <x v="812"/>
    <x v="822"/>
    <x v="0"/>
    <x v="0"/>
    <x v="0"/>
    <x v="0"/>
    <x v="0"/>
    <x v="0"/>
    <x v="0"/>
    <x v="0"/>
    <x v="7"/>
    <x v="0"/>
    <x v="1149"/>
    <x v="1"/>
    <x v="0"/>
    <x v="0"/>
    <x v="0"/>
    <x v="812"/>
    <x v="2"/>
    <x v="17"/>
    <x v="17"/>
    <x v="0"/>
    <x v="0"/>
    <x v="4"/>
    <x v="12"/>
    <x v="0"/>
    <x v="25"/>
    <x v="825"/>
    <x v="9"/>
    <x v="54"/>
    <x v="1"/>
    <x v="1"/>
    <x v="1"/>
    <x v="1"/>
    <x v="917"/>
    <x v="1"/>
    <x v="25"/>
    <x v="1147"/>
    <x v="1147"/>
    <x v="1"/>
    <x v="1147"/>
    <x v="1155"/>
    <x v="1151"/>
    <x v="1139"/>
    <x v="1151"/>
    <x v="1155"/>
    <x v="1155"/>
    <x v="1155"/>
    <x v="1155"/>
    <x v="1155"/>
    <x v="1155"/>
    <x v="1155"/>
    <x v="1147"/>
    <x v="1136"/>
    <x v="1136"/>
    <x v="1071"/>
    <x v="0"/>
    <x v="0"/>
    <x v="1177"/>
    <x v="1147"/>
    <x v="1147"/>
    <x v="1147"/>
    <x v="1147"/>
    <x v="7"/>
  </r>
  <r>
    <x v="813"/>
    <x v="802"/>
    <x v="0"/>
    <x v="0"/>
    <x v="0"/>
    <x v="0"/>
    <x v="1"/>
    <x v="4"/>
    <x v="0"/>
    <x v="0"/>
    <x v="7"/>
    <x v="0"/>
    <x v="295"/>
    <x v="1"/>
    <x v="0"/>
    <x v="0"/>
    <x v="0"/>
    <x v="813"/>
    <x v="1"/>
    <x v="17"/>
    <x v="17"/>
    <x v="0"/>
    <x v="0"/>
    <x v="3"/>
    <x v="32"/>
    <x v="0"/>
    <x v="25"/>
    <x v="838"/>
    <x v="2"/>
    <x v="20"/>
    <x v="1"/>
    <x v="5"/>
    <x v="2"/>
    <x v="1"/>
    <x v="982"/>
    <x v="5"/>
    <x v="25"/>
    <x v="295"/>
    <x v="295"/>
    <x v="0"/>
    <x v="295"/>
    <x v="344"/>
    <x v="332"/>
    <x v="368"/>
    <x v="332"/>
    <x v="344"/>
    <x v="344"/>
    <x v="344"/>
    <x v="344"/>
    <x v="344"/>
    <x v="344"/>
    <x v="344"/>
    <x v="295"/>
    <x v="367"/>
    <x v="367"/>
    <x v="273"/>
    <x v="0"/>
    <x v="0"/>
    <x v="458"/>
    <x v="295"/>
    <x v="295"/>
    <x v="295"/>
    <x v="295"/>
    <x v="7"/>
  </r>
  <r>
    <x v="814"/>
    <x v="790"/>
    <x v="0"/>
    <x v="0"/>
    <x v="0"/>
    <x v="0"/>
    <x v="0"/>
    <x v="0"/>
    <x v="0"/>
    <x v="0"/>
    <x v="7"/>
    <x v="0"/>
    <x v="981"/>
    <x v="1"/>
    <x v="0"/>
    <x v="0"/>
    <x v="0"/>
    <x v="814"/>
    <x v="2"/>
    <x v="17"/>
    <x v="17"/>
    <x v="0"/>
    <x v="0"/>
    <x v="3"/>
    <x v="31"/>
    <x v="0"/>
    <x v="26"/>
    <x v="787"/>
    <x v="9"/>
    <x v="54"/>
    <x v="1"/>
    <x v="1"/>
    <x v="1"/>
    <x v="1"/>
    <x v="743"/>
    <x v="1"/>
    <x v="26"/>
    <x v="981"/>
    <x v="981"/>
    <x v="1"/>
    <x v="981"/>
    <x v="997"/>
    <x v="993"/>
    <x v="979"/>
    <x v="993"/>
    <x v="997"/>
    <x v="997"/>
    <x v="997"/>
    <x v="997"/>
    <x v="997"/>
    <x v="997"/>
    <x v="997"/>
    <x v="981"/>
    <x v="979"/>
    <x v="979"/>
    <x v="914"/>
    <x v="0"/>
    <x v="0"/>
    <x v="1038"/>
    <x v="981"/>
    <x v="981"/>
    <x v="981"/>
    <x v="981"/>
    <x v="7"/>
  </r>
  <r>
    <x v="815"/>
    <x v="814"/>
    <x v="0"/>
    <x v="0"/>
    <x v="0"/>
    <x v="0"/>
    <x v="0"/>
    <x v="0"/>
    <x v="0"/>
    <x v="0"/>
    <x v="7"/>
    <x v="0"/>
    <x v="747"/>
    <x v="1"/>
    <x v="0"/>
    <x v="0"/>
    <x v="0"/>
    <x v="815"/>
    <x v="2"/>
    <x v="17"/>
    <x v="17"/>
    <x v="0"/>
    <x v="0"/>
    <x v="3"/>
    <x v="11"/>
    <x v="0"/>
    <x v="25"/>
    <x v="822"/>
    <x v="9"/>
    <x v="54"/>
    <x v="1"/>
    <x v="1"/>
    <x v="1"/>
    <x v="1"/>
    <x v="496"/>
    <x v="1"/>
    <x v="25"/>
    <x v="747"/>
    <x v="747"/>
    <x v="1"/>
    <x v="747"/>
    <x v="723"/>
    <x v="742"/>
    <x v="687"/>
    <x v="742"/>
    <x v="723"/>
    <x v="723"/>
    <x v="723"/>
    <x v="723"/>
    <x v="723"/>
    <x v="723"/>
    <x v="723"/>
    <x v="747"/>
    <x v="688"/>
    <x v="688"/>
    <x v="685"/>
    <x v="0"/>
    <x v="0"/>
    <x v="756"/>
    <x v="747"/>
    <x v="747"/>
    <x v="747"/>
    <x v="747"/>
    <x v="7"/>
  </r>
  <r>
    <x v="816"/>
    <x v="807"/>
    <x v="0"/>
    <x v="0"/>
    <x v="0"/>
    <x v="0"/>
    <x v="1"/>
    <x v="4"/>
    <x v="0"/>
    <x v="0"/>
    <x v="7"/>
    <x v="0"/>
    <x v="259"/>
    <x v="1"/>
    <x v="0"/>
    <x v="0"/>
    <x v="0"/>
    <x v="816"/>
    <x v="1"/>
    <x v="17"/>
    <x v="17"/>
    <x v="0"/>
    <x v="0"/>
    <x v="3"/>
    <x v="32"/>
    <x v="0"/>
    <x v="25"/>
    <x v="836"/>
    <x v="2"/>
    <x v="20"/>
    <x v="1"/>
    <x v="5"/>
    <x v="2"/>
    <x v="1"/>
    <x v="915"/>
    <x v="5"/>
    <x v="25"/>
    <x v="259"/>
    <x v="259"/>
    <x v="0"/>
    <x v="259"/>
    <x v="306"/>
    <x v="295"/>
    <x v="324"/>
    <x v="295"/>
    <x v="306"/>
    <x v="306"/>
    <x v="306"/>
    <x v="306"/>
    <x v="306"/>
    <x v="306"/>
    <x v="306"/>
    <x v="259"/>
    <x v="324"/>
    <x v="324"/>
    <x v="240"/>
    <x v="0"/>
    <x v="0"/>
    <x v="405"/>
    <x v="259"/>
    <x v="259"/>
    <x v="259"/>
    <x v="259"/>
    <x v="7"/>
  </r>
  <r>
    <x v="817"/>
    <x v="803"/>
    <x v="0"/>
    <x v="0"/>
    <x v="0"/>
    <x v="0"/>
    <x v="0"/>
    <x v="0"/>
    <x v="0"/>
    <x v="0"/>
    <x v="7"/>
    <x v="0"/>
    <x v="661"/>
    <x v="1"/>
    <x v="0"/>
    <x v="0"/>
    <x v="0"/>
    <x v="817"/>
    <x v="2"/>
    <x v="17"/>
    <x v="17"/>
    <x v="0"/>
    <x v="0"/>
    <x v="4"/>
    <x v="11"/>
    <x v="0"/>
    <x v="25"/>
    <x v="816"/>
    <x v="9"/>
    <x v="54"/>
    <x v="1"/>
    <x v="1"/>
    <x v="1"/>
    <x v="1"/>
    <x v="429"/>
    <x v="1"/>
    <x v="25"/>
    <x v="661"/>
    <x v="661"/>
    <x v="0"/>
    <x v="661"/>
    <x v="596"/>
    <x v="607"/>
    <x v="568"/>
    <x v="607"/>
    <x v="596"/>
    <x v="596"/>
    <x v="596"/>
    <x v="596"/>
    <x v="596"/>
    <x v="596"/>
    <x v="596"/>
    <x v="661"/>
    <x v="570"/>
    <x v="570"/>
    <x v="588"/>
    <x v="0"/>
    <x v="0"/>
    <x v="660"/>
    <x v="661"/>
    <x v="661"/>
    <x v="661"/>
    <x v="661"/>
    <x v="7"/>
  </r>
  <r>
    <x v="818"/>
    <x v="815"/>
    <x v="0"/>
    <x v="0"/>
    <x v="0"/>
    <x v="0"/>
    <x v="1"/>
    <x v="4"/>
    <x v="0"/>
    <x v="0"/>
    <x v="7"/>
    <x v="0"/>
    <x v="309"/>
    <x v="1"/>
    <x v="0"/>
    <x v="0"/>
    <x v="0"/>
    <x v="818"/>
    <x v="1"/>
    <x v="17"/>
    <x v="17"/>
    <x v="0"/>
    <x v="0"/>
    <x v="3"/>
    <x v="32"/>
    <x v="0"/>
    <x v="25"/>
    <x v="835"/>
    <x v="2"/>
    <x v="20"/>
    <x v="1"/>
    <x v="5"/>
    <x v="2"/>
    <x v="1"/>
    <x v="995"/>
    <x v="5"/>
    <x v="25"/>
    <x v="309"/>
    <x v="309"/>
    <x v="0"/>
    <x v="309"/>
    <x v="357"/>
    <x v="346"/>
    <x v="381"/>
    <x v="346"/>
    <x v="357"/>
    <x v="357"/>
    <x v="357"/>
    <x v="357"/>
    <x v="357"/>
    <x v="357"/>
    <x v="357"/>
    <x v="309"/>
    <x v="380"/>
    <x v="380"/>
    <x v="286"/>
    <x v="0"/>
    <x v="0"/>
    <x v="477"/>
    <x v="309"/>
    <x v="309"/>
    <x v="309"/>
    <x v="309"/>
    <x v="7"/>
  </r>
  <r>
    <x v="819"/>
    <x v="825"/>
    <x v="0"/>
    <x v="0"/>
    <x v="0"/>
    <x v="0"/>
    <x v="0"/>
    <x v="0"/>
    <x v="0"/>
    <x v="0"/>
    <x v="7"/>
    <x v="0"/>
    <x v="816"/>
    <x v="1"/>
    <x v="0"/>
    <x v="0"/>
    <x v="0"/>
    <x v="819"/>
    <x v="2"/>
    <x v="17"/>
    <x v="17"/>
    <x v="0"/>
    <x v="0"/>
    <x v="4"/>
    <x v="11"/>
    <x v="0"/>
    <x v="25"/>
    <x v="831"/>
    <x v="9"/>
    <x v="54"/>
    <x v="1"/>
    <x v="1"/>
    <x v="1"/>
    <x v="1"/>
    <x v="555"/>
    <x v="1"/>
    <x v="25"/>
    <x v="816"/>
    <x v="816"/>
    <x v="1"/>
    <x v="816"/>
    <x v="818"/>
    <x v="820"/>
    <x v="780"/>
    <x v="820"/>
    <x v="818"/>
    <x v="818"/>
    <x v="818"/>
    <x v="818"/>
    <x v="818"/>
    <x v="818"/>
    <x v="818"/>
    <x v="816"/>
    <x v="776"/>
    <x v="776"/>
    <x v="759"/>
    <x v="0"/>
    <x v="0"/>
    <x v="836"/>
    <x v="816"/>
    <x v="816"/>
    <x v="816"/>
    <x v="816"/>
    <x v="7"/>
  </r>
  <r>
    <x v="820"/>
    <x v="679"/>
    <x v="0"/>
    <x v="0"/>
    <x v="0"/>
    <x v="0"/>
    <x v="1"/>
    <x v="4"/>
    <x v="0"/>
    <x v="0"/>
    <x v="7"/>
    <x v="0"/>
    <x v="1364"/>
    <x v="1"/>
    <x v="0"/>
    <x v="0"/>
    <x v="0"/>
    <x v="820"/>
    <x v="1"/>
    <x v="17"/>
    <x v="17"/>
    <x v="0"/>
    <x v="0"/>
    <x v="3"/>
    <x v="47"/>
    <x v="0"/>
    <x v="33"/>
    <x v="1022"/>
    <x v="2"/>
    <x v="20"/>
    <x v="1"/>
    <x v="5"/>
    <x v="2"/>
    <x v="1"/>
    <x v="1396"/>
    <x v="5"/>
    <x v="33"/>
    <x v="1362"/>
    <x v="1362"/>
    <x v="8"/>
    <x v="1362"/>
    <x v="1402"/>
    <x v="1391"/>
    <x v="1401"/>
    <x v="1391"/>
    <x v="1402"/>
    <x v="1402"/>
    <x v="1402"/>
    <x v="1402"/>
    <x v="1402"/>
    <x v="1402"/>
    <x v="1402"/>
    <x v="1362"/>
    <x v="1400"/>
    <x v="1400"/>
    <x v="1274"/>
    <x v="0"/>
    <x v="0"/>
    <x v="1425"/>
    <x v="1362"/>
    <x v="1362"/>
    <x v="1362"/>
    <x v="1362"/>
    <x v="7"/>
  </r>
  <r>
    <x v="821"/>
    <x v="822"/>
    <x v="0"/>
    <x v="0"/>
    <x v="0"/>
    <x v="0"/>
    <x v="0"/>
    <x v="0"/>
    <x v="0"/>
    <x v="0"/>
    <x v="7"/>
    <x v="0"/>
    <x v="599"/>
    <x v="1"/>
    <x v="0"/>
    <x v="0"/>
    <x v="0"/>
    <x v="821"/>
    <x v="2"/>
    <x v="17"/>
    <x v="17"/>
    <x v="0"/>
    <x v="0"/>
    <x v="4"/>
    <x v="12"/>
    <x v="0"/>
    <x v="25"/>
    <x v="826"/>
    <x v="9"/>
    <x v="54"/>
    <x v="1"/>
    <x v="1"/>
    <x v="1"/>
    <x v="1"/>
    <x v="393"/>
    <x v="1"/>
    <x v="25"/>
    <x v="599"/>
    <x v="599"/>
    <x v="0"/>
    <x v="599"/>
    <x v="544"/>
    <x v="555"/>
    <x v="527"/>
    <x v="555"/>
    <x v="544"/>
    <x v="544"/>
    <x v="544"/>
    <x v="544"/>
    <x v="544"/>
    <x v="544"/>
    <x v="544"/>
    <x v="599"/>
    <x v="528"/>
    <x v="528"/>
    <x v="532"/>
    <x v="0"/>
    <x v="0"/>
    <x v="620"/>
    <x v="599"/>
    <x v="599"/>
    <x v="599"/>
    <x v="599"/>
    <x v="7"/>
  </r>
  <r>
    <x v="822"/>
    <x v="827"/>
    <x v="0"/>
    <x v="0"/>
    <x v="0"/>
    <x v="0"/>
    <x v="0"/>
    <x v="0"/>
    <x v="0"/>
    <x v="0"/>
    <x v="7"/>
    <x v="0"/>
    <x v="745"/>
    <x v="1"/>
    <x v="0"/>
    <x v="0"/>
    <x v="0"/>
    <x v="822"/>
    <x v="2"/>
    <x v="17"/>
    <x v="17"/>
    <x v="0"/>
    <x v="0"/>
    <x v="3"/>
    <x v="10"/>
    <x v="0"/>
    <x v="26"/>
    <x v="812"/>
    <x v="9"/>
    <x v="54"/>
    <x v="1"/>
    <x v="1"/>
    <x v="1"/>
    <x v="1"/>
    <x v="494"/>
    <x v="1"/>
    <x v="26"/>
    <x v="745"/>
    <x v="745"/>
    <x v="1"/>
    <x v="745"/>
    <x v="720"/>
    <x v="739"/>
    <x v="682"/>
    <x v="739"/>
    <x v="720"/>
    <x v="720"/>
    <x v="720"/>
    <x v="720"/>
    <x v="720"/>
    <x v="720"/>
    <x v="720"/>
    <x v="745"/>
    <x v="683"/>
    <x v="683"/>
    <x v="683"/>
    <x v="0"/>
    <x v="0"/>
    <x v="768"/>
    <x v="745"/>
    <x v="745"/>
    <x v="745"/>
    <x v="745"/>
    <x v="7"/>
  </r>
  <r>
    <x v="823"/>
    <x v="804"/>
    <x v="0"/>
    <x v="0"/>
    <x v="0"/>
    <x v="0"/>
    <x v="1"/>
    <x v="4"/>
    <x v="0"/>
    <x v="0"/>
    <x v="7"/>
    <x v="0"/>
    <x v="1001"/>
    <x v="1"/>
    <x v="0"/>
    <x v="0"/>
    <x v="0"/>
    <x v="823"/>
    <x v="1"/>
    <x v="17"/>
    <x v="17"/>
    <x v="0"/>
    <x v="0"/>
    <x v="3"/>
    <x v="128"/>
    <x v="0"/>
    <x v="47"/>
    <x v="798"/>
    <x v="2"/>
    <x v="20"/>
    <x v="1"/>
    <x v="5"/>
    <x v="2"/>
    <x v="1"/>
    <x v="1314"/>
    <x v="5"/>
    <x v="47"/>
    <x v="1001"/>
    <x v="1001"/>
    <x v="1"/>
    <x v="1001"/>
    <x v="1108"/>
    <x v="1073"/>
    <x v="1142"/>
    <x v="1073"/>
    <x v="1108"/>
    <x v="1108"/>
    <x v="1108"/>
    <x v="1108"/>
    <x v="1108"/>
    <x v="1108"/>
    <x v="1108"/>
    <x v="1001"/>
    <x v="1141"/>
    <x v="1141"/>
    <x v="967"/>
    <x v="0"/>
    <x v="0"/>
    <x v="1322"/>
    <x v="1001"/>
    <x v="1001"/>
    <x v="1001"/>
    <x v="1001"/>
    <x v="7"/>
  </r>
  <r>
    <x v="824"/>
    <x v="814"/>
    <x v="0"/>
    <x v="0"/>
    <x v="0"/>
    <x v="0"/>
    <x v="0"/>
    <x v="0"/>
    <x v="0"/>
    <x v="0"/>
    <x v="7"/>
    <x v="0"/>
    <x v="631"/>
    <x v="1"/>
    <x v="0"/>
    <x v="0"/>
    <x v="0"/>
    <x v="824"/>
    <x v="2"/>
    <x v="17"/>
    <x v="17"/>
    <x v="0"/>
    <x v="0"/>
    <x v="3"/>
    <x v="11"/>
    <x v="0"/>
    <x v="25"/>
    <x v="821"/>
    <x v="9"/>
    <x v="54"/>
    <x v="1"/>
    <x v="1"/>
    <x v="1"/>
    <x v="1"/>
    <x v="413"/>
    <x v="1"/>
    <x v="25"/>
    <x v="631"/>
    <x v="631"/>
    <x v="0"/>
    <x v="631"/>
    <x v="573"/>
    <x v="581"/>
    <x v="551"/>
    <x v="581"/>
    <x v="573"/>
    <x v="573"/>
    <x v="573"/>
    <x v="573"/>
    <x v="573"/>
    <x v="573"/>
    <x v="573"/>
    <x v="631"/>
    <x v="551"/>
    <x v="551"/>
    <x v="563"/>
    <x v="0"/>
    <x v="0"/>
    <x v="640"/>
    <x v="631"/>
    <x v="631"/>
    <x v="631"/>
    <x v="631"/>
    <x v="7"/>
  </r>
  <r>
    <x v="825"/>
    <x v="829"/>
    <x v="0"/>
    <x v="0"/>
    <x v="0"/>
    <x v="0"/>
    <x v="1"/>
    <x v="4"/>
    <x v="0"/>
    <x v="0"/>
    <x v="7"/>
    <x v="0"/>
    <x v="761"/>
    <x v="1"/>
    <x v="0"/>
    <x v="0"/>
    <x v="0"/>
    <x v="825"/>
    <x v="1"/>
    <x v="17"/>
    <x v="17"/>
    <x v="0"/>
    <x v="0"/>
    <x v="3"/>
    <x v="10"/>
    <x v="0"/>
    <x v="26"/>
    <x v="834"/>
    <x v="2"/>
    <x v="20"/>
    <x v="1"/>
    <x v="5"/>
    <x v="2"/>
    <x v="1"/>
    <x v="1246"/>
    <x v="5"/>
    <x v="26"/>
    <x v="761"/>
    <x v="761"/>
    <x v="1"/>
    <x v="761"/>
    <x v="872"/>
    <x v="834"/>
    <x v="911"/>
    <x v="834"/>
    <x v="872"/>
    <x v="872"/>
    <x v="872"/>
    <x v="872"/>
    <x v="872"/>
    <x v="872"/>
    <x v="872"/>
    <x v="761"/>
    <x v="911"/>
    <x v="911"/>
    <x v="744"/>
    <x v="0"/>
    <x v="0"/>
    <x v="974"/>
    <x v="761"/>
    <x v="761"/>
    <x v="761"/>
    <x v="761"/>
    <x v="7"/>
  </r>
  <r>
    <x v="826"/>
    <x v="817"/>
    <x v="0"/>
    <x v="0"/>
    <x v="0"/>
    <x v="0"/>
    <x v="0"/>
    <x v="0"/>
    <x v="0"/>
    <x v="0"/>
    <x v="7"/>
    <x v="0"/>
    <x v="862"/>
    <x v="1"/>
    <x v="0"/>
    <x v="0"/>
    <x v="0"/>
    <x v="826"/>
    <x v="2"/>
    <x v="17"/>
    <x v="17"/>
    <x v="0"/>
    <x v="0"/>
    <x v="4"/>
    <x v="11"/>
    <x v="0"/>
    <x v="25"/>
    <x v="823"/>
    <x v="9"/>
    <x v="54"/>
    <x v="1"/>
    <x v="1"/>
    <x v="1"/>
    <x v="1"/>
    <x v="607"/>
    <x v="1"/>
    <x v="25"/>
    <x v="862"/>
    <x v="862"/>
    <x v="1"/>
    <x v="862"/>
    <x v="880"/>
    <x v="870"/>
    <x v="852"/>
    <x v="870"/>
    <x v="880"/>
    <x v="880"/>
    <x v="880"/>
    <x v="880"/>
    <x v="880"/>
    <x v="880"/>
    <x v="880"/>
    <x v="862"/>
    <x v="851"/>
    <x v="851"/>
    <x v="799"/>
    <x v="0"/>
    <x v="0"/>
    <x v="903"/>
    <x v="862"/>
    <x v="862"/>
    <x v="862"/>
    <x v="862"/>
    <x v="7"/>
  </r>
  <r>
    <x v="827"/>
    <x v="829"/>
    <x v="0"/>
    <x v="0"/>
    <x v="0"/>
    <x v="0"/>
    <x v="0"/>
    <x v="0"/>
    <x v="0"/>
    <x v="0"/>
    <x v="7"/>
    <x v="0"/>
    <x v="193"/>
    <x v="1"/>
    <x v="0"/>
    <x v="0"/>
    <x v="0"/>
    <x v="827"/>
    <x v="2"/>
    <x v="17"/>
    <x v="17"/>
    <x v="0"/>
    <x v="0"/>
    <x v="3"/>
    <x v="10"/>
    <x v="0"/>
    <x v="26"/>
    <x v="833"/>
    <x v="9"/>
    <x v="54"/>
    <x v="1"/>
    <x v="1"/>
    <x v="1"/>
    <x v="1"/>
    <x v="109"/>
    <x v="1"/>
    <x v="26"/>
    <x v="194"/>
    <x v="194"/>
    <x v="0"/>
    <x v="194"/>
    <x v="201"/>
    <x v="203"/>
    <x v="193"/>
    <x v="203"/>
    <x v="201"/>
    <x v="201"/>
    <x v="201"/>
    <x v="201"/>
    <x v="201"/>
    <x v="201"/>
    <x v="201"/>
    <x v="194"/>
    <x v="192"/>
    <x v="192"/>
    <x v="171"/>
    <x v="0"/>
    <x v="0"/>
    <x v="223"/>
    <x v="194"/>
    <x v="194"/>
    <x v="194"/>
    <x v="194"/>
    <x v="7"/>
  </r>
  <r>
    <x v="828"/>
    <x v="832"/>
    <x v="0"/>
    <x v="0"/>
    <x v="0"/>
    <x v="0"/>
    <x v="0"/>
    <x v="0"/>
    <x v="0"/>
    <x v="0"/>
    <x v="7"/>
    <x v="0"/>
    <x v="693"/>
    <x v="1"/>
    <x v="0"/>
    <x v="0"/>
    <x v="0"/>
    <x v="828"/>
    <x v="2"/>
    <x v="17"/>
    <x v="17"/>
    <x v="0"/>
    <x v="0"/>
    <x v="3"/>
    <x v="10"/>
    <x v="0"/>
    <x v="26"/>
    <x v="820"/>
    <x v="9"/>
    <x v="54"/>
    <x v="1"/>
    <x v="1"/>
    <x v="1"/>
    <x v="1"/>
    <x v="457"/>
    <x v="1"/>
    <x v="26"/>
    <x v="693"/>
    <x v="693"/>
    <x v="1"/>
    <x v="693"/>
    <x v="638"/>
    <x v="646"/>
    <x v="602"/>
    <x v="646"/>
    <x v="638"/>
    <x v="638"/>
    <x v="638"/>
    <x v="638"/>
    <x v="638"/>
    <x v="638"/>
    <x v="638"/>
    <x v="693"/>
    <x v="602"/>
    <x v="602"/>
    <x v="629"/>
    <x v="0"/>
    <x v="0"/>
    <x v="707"/>
    <x v="693"/>
    <x v="693"/>
    <x v="693"/>
    <x v="693"/>
    <x v="7"/>
  </r>
  <r>
    <x v="829"/>
    <x v="840"/>
    <x v="0"/>
    <x v="0"/>
    <x v="0"/>
    <x v="0"/>
    <x v="0"/>
    <x v="0"/>
    <x v="0"/>
    <x v="0"/>
    <x v="7"/>
    <x v="0"/>
    <x v="517"/>
    <x v="1"/>
    <x v="0"/>
    <x v="0"/>
    <x v="0"/>
    <x v="829"/>
    <x v="2"/>
    <x v="17"/>
    <x v="17"/>
    <x v="0"/>
    <x v="0"/>
    <x v="4"/>
    <x v="11"/>
    <x v="0"/>
    <x v="26"/>
    <x v="813"/>
    <x v="9"/>
    <x v="54"/>
    <x v="1"/>
    <x v="1"/>
    <x v="1"/>
    <x v="1"/>
    <x v="340"/>
    <x v="1"/>
    <x v="26"/>
    <x v="517"/>
    <x v="517"/>
    <x v="0"/>
    <x v="517"/>
    <x v="480"/>
    <x v="485"/>
    <x v="466"/>
    <x v="485"/>
    <x v="480"/>
    <x v="480"/>
    <x v="480"/>
    <x v="480"/>
    <x v="480"/>
    <x v="480"/>
    <x v="480"/>
    <x v="517"/>
    <x v="467"/>
    <x v="467"/>
    <x v="455"/>
    <x v="0"/>
    <x v="0"/>
    <x v="591"/>
    <x v="517"/>
    <x v="517"/>
    <x v="517"/>
    <x v="517"/>
    <x v="7"/>
  </r>
  <r>
    <x v="830"/>
    <x v="838"/>
    <x v="0"/>
    <x v="0"/>
    <x v="0"/>
    <x v="0"/>
    <x v="0"/>
    <x v="0"/>
    <x v="0"/>
    <x v="0"/>
    <x v="7"/>
    <x v="0"/>
    <x v="268"/>
    <x v="1"/>
    <x v="0"/>
    <x v="0"/>
    <x v="0"/>
    <x v="830"/>
    <x v="2"/>
    <x v="17"/>
    <x v="17"/>
    <x v="0"/>
    <x v="0"/>
    <x v="4"/>
    <x v="11"/>
    <x v="0"/>
    <x v="26"/>
    <x v="824"/>
    <x v="9"/>
    <x v="54"/>
    <x v="1"/>
    <x v="1"/>
    <x v="1"/>
    <x v="1"/>
    <x v="176"/>
    <x v="1"/>
    <x v="26"/>
    <x v="268"/>
    <x v="268"/>
    <x v="0"/>
    <x v="268"/>
    <x v="274"/>
    <x v="275"/>
    <x v="266"/>
    <x v="275"/>
    <x v="274"/>
    <x v="274"/>
    <x v="274"/>
    <x v="274"/>
    <x v="274"/>
    <x v="274"/>
    <x v="274"/>
    <x v="268"/>
    <x v="266"/>
    <x v="266"/>
    <x v="235"/>
    <x v="0"/>
    <x v="0"/>
    <x v="314"/>
    <x v="268"/>
    <x v="268"/>
    <x v="268"/>
    <x v="268"/>
    <x v="7"/>
  </r>
  <r>
    <x v="831"/>
    <x v="840"/>
    <x v="0"/>
    <x v="0"/>
    <x v="0"/>
    <x v="0"/>
    <x v="0"/>
    <x v="0"/>
    <x v="0"/>
    <x v="0"/>
    <x v="7"/>
    <x v="0"/>
    <x v="246"/>
    <x v="1"/>
    <x v="0"/>
    <x v="0"/>
    <x v="0"/>
    <x v="831"/>
    <x v="2"/>
    <x v="17"/>
    <x v="17"/>
    <x v="0"/>
    <x v="0"/>
    <x v="4"/>
    <x v="11"/>
    <x v="0"/>
    <x v="26"/>
    <x v="814"/>
    <x v="9"/>
    <x v="54"/>
    <x v="1"/>
    <x v="1"/>
    <x v="1"/>
    <x v="1"/>
    <x v="156"/>
    <x v="1"/>
    <x v="26"/>
    <x v="246"/>
    <x v="246"/>
    <x v="0"/>
    <x v="246"/>
    <x v="248"/>
    <x v="249"/>
    <x v="243"/>
    <x v="249"/>
    <x v="248"/>
    <x v="248"/>
    <x v="248"/>
    <x v="248"/>
    <x v="248"/>
    <x v="248"/>
    <x v="248"/>
    <x v="246"/>
    <x v="243"/>
    <x v="243"/>
    <x v="215"/>
    <x v="0"/>
    <x v="0"/>
    <x v="275"/>
    <x v="246"/>
    <x v="246"/>
    <x v="246"/>
    <x v="246"/>
    <x v="7"/>
  </r>
  <r>
    <x v="832"/>
    <x v="683"/>
    <x v="0"/>
    <x v="0"/>
    <x v="0"/>
    <x v="0"/>
    <x v="1"/>
    <x v="8"/>
    <x v="0"/>
    <x v="0"/>
    <x v="0"/>
    <x v="0"/>
    <x v="1363"/>
    <x v="1"/>
    <x v="0"/>
    <x v="0"/>
    <x v="0"/>
    <x v="832"/>
    <x v="0"/>
    <x v="18"/>
    <x v="18"/>
    <x v="0"/>
    <x v="0"/>
    <x v="4"/>
    <x v="30"/>
    <x v="0"/>
    <x v="22"/>
    <x v="746"/>
    <x v="5"/>
    <x v="42"/>
    <x v="1"/>
    <x v="9"/>
    <x v="5"/>
    <x v="1"/>
    <x v="1405"/>
    <x v="9"/>
    <x v="22"/>
    <x v="1361"/>
    <x v="1361"/>
    <x v="7"/>
    <x v="1361"/>
    <x v="1405"/>
    <x v="1392"/>
    <x v="1404"/>
    <x v="1392"/>
    <x v="1405"/>
    <x v="1405"/>
    <x v="1405"/>
    <x v="1405"/>
    <x v="1405"/>
    <x v="1405"/>
    <x v="1405"/>
    <x v="1361"/>
    <x v="1403"/>
    <x v="1403"/>
    <x v="0"/>
    <x v="131"/>
    <x v="0"/>
    <x v="1426"/>
    <x v="1361"/>
    <x v="1361"/>
    <x v="1361"/>
    <x v="1361"/>
    <x v="0"/>
  </r>
  <r>
    <x v="833"/>
    <x v="681"/>
    <x v="0"/>
    <x v="0"/>
    <x v="0"/>
    <x v="0"/>
    <x v="1"/>
    <x v="4"/>
    <x v="0"/>
    <x v="0"/>
    <x v="7"/>
    <x v="0"/>
    <x v="1072"/>
    <x v="1"/>
    <x v="0"/>
    <x v="0"/>
    <x v="0"/>
    <x v="833"/>
    <x v="1"/>
    <x v="18"/>
    <x v="18"/>
    <x v="0"/>
    <x v="0"/>
    <x v="4"/>
    <x v="24"/>
    <x v="0"/>
    <x v="14"/>
    <x v="868"/>
    <x v="2"/>
    <x v="20"/>
    <x v="1"/>
    <x v="5"/>
    <x v="2"/>
    <x v="1"/>
    <x v="1329"/>
    <x v="5"/>
    <x v="14"/>
    <x v="1070"/>
    <x v="1070"/>
    <x v="1"/>
    <x v="1070"/>
    <x v="1173"/>
    <x v="1140"/>
    <x v="1206"/>
    <x v="1140"/>
    <x v="1173"/>
    <x v="1173"/>
    <x v="1173"/>
    <x v="1173"/>
    <x v="1173"/>
    <x v="1173"/>
    <x v="1173"/>
    <x v="1070"/>
    <x v="1205"/>
    <x v="1205"/>
    <x v="1028"/>
    <x v="0"/>
    <x v="0"/>
    <x v="1100"/>
    <x v="1070"/>
    <x v="1070"/>
    <x v="1070"/>
    <x v="1070"/>
    <x v="7"/>
  </r>
  <r>
    <x v="834"/>
    <x v="682"/>
    <x v="0"/>
    <x v="0"/>
    <x v="0"/>
    <x v="0"/>
    <x v="1"/>
    <x v="4"/>
    <x v="0"/>
    <x v="0"/>
    <x v="7"/>
    <x v="0"/>
    <x v="1026"/>
    <x v="1"/>
    <x v="0"/>
    <x v="0"/>
    <x v="0"/>
    <x v="834"/>
    <x v="1"/>
    <x v="18"/>
    <x v="18"/>
    <x v="0"/>
    <x v="0"/>
    <x v="4"/>
    <x v="128"/>
    <x v="0"/>
    <x v="16"/>
    <x v="867"/>
    <x v="2"/>
    <x v="20"/>
    <x v="1"/>
    <x v="5"/>
    <x v="2"/>
    <x v="1"/>
    <x v="1318"/>
    <x v="5"/>
    <x v="16"/>
    <x v="1026"/>
    <x v="1026"/>
    <x v="1"/>
    <x v="1026"/>
    <x v="1118"/>
    <x v="1089"/>
    <x v="1164"/>
    <x v="1089"/>
    <x v="1118"/>
    <x v="1118"/>
    <x v="1118"/>
    <x v="1118"/>
    <x v="1118"/>
    <x v="1118"/>
    <x v="1118"/>
    <x v="1026"/>
    <x v="1162"/>
    <x v="1162"/>
    <x v="983"/>
    <x v="0"/>
    <x v="0"/>
    <x v="1085"/>
    <x v="1026"/>
    <x v="1026"/>
    <x v="1026"/>
    <x v="1026"/>
    <x v="7"/>
  </r>
  <r>
    <x v="835"/>
    <x v="684"/>
    <x v="0"/>
    <x v="0"/>
    <x v="0"/>
    <x v="0"/>
    <x v="1"/>
    <x v="4"/>
    <x v="0"/>
    <x v="0"/>
    <x v="7"/>
    <x v="0"/>
    <x v="584"/>
    <x v="1"/>
    <x v="0"/>
    <x v="0"/>
    <x v="0"/>
    <x v="835"/>
    <x v="1"/>
    <x v="18"/>
    <x v="18"/>
    <x v="0"/>
    <x v="0"/>
    <x v="3"/>
    <x v="94"/>
    <x v="0"/>
    <x v="15"/>
    <x v="865"/>
    <x v="2"/>
    <x v="20"/>
    <x v="1"/>
    <x v="5"/>
    <x v="2"/>
    <x v="1"/>
    <x v="1173"/>
    <x v="5"/>
    <x v="15"/>
    <x v="584"/>
    <x v="584"/>
    <x v="0"/>
    <x v="584"/>
    <x v="719"/>
    <x v="680"/>
    <x v="772"/>
    <x v="680"/>
    <x v="719"/>
    <x v="719"/>
    <x v="719"/>
    <x v="719"/>
    <x v="719"/>
    <x v="719"/>
    <x v="719"/>
    <x v="584"/>
    <x v="769"/>
    <x v="769"/>
    <x v="595"/>
    <x v="0"/>
    <x v="0"/>
    <x v="625"/>
    <x v="584"/>
    <x v="584"/>
    <x v="584"/>
    <x v="584"/>
    <x v="7"/>
  </r>
  <r>
    <x v="836"/>
    <x v="686"/>
    <x v="0"/>
    <x v="0"/>
    <x v="0"/>
    <x v="0"/>
    <x v="1"/>
    <x v="4"/>
    <x v="0"/>
    <x v="0"/>
    <x v="7"/>
    <x v="0"/>
    <x v="985"/>
    <x v="1"/>
    <x v="0"/>
    <x v="0"/>
    <x v="0"/>
    <x v="836"/>
    <x v="1"/>
    <x v="18"/>
    <x v="18"/>
    <x v="0"/>
    <x v="0"/>
    <x v="4"/>
    <x v="21"/>
    <x v="0"/>
    <x v="17"/>
    <x v="857"/>
    <x v="2"/>
    <x v="20"/>
    <x v="1"/>
    <x v="5"/>
    <x v="2"/>
    <x v="1"/>
    <x v="1310"/>
    <x v="5"/>
    <x v="17"/>
    <x v="985"/>
    <x v="985"/>
    <x v="1"/>
    <x v="985"/>
    <x v="1092"/>
    <x v="1060"/>
    <x v="1134"/>
    <x v="1060"/>
    <x v="1092"/>
    <x v="1092"/>
    <x v="1092"/>
    <x v="1092"/>
    <x v="1092"/>
    <x v="1092"/>
    <x v="1092"/>
    <x v="985"/>
    <x v="1132"/>
    <x v="1132"/>
    <x v="953"/>
    <x v="0"/>
    <x v="0"/>
    <x v="1068"/>
    <x v="985"/>
    <x v="985"/>
    <x v="985"/>
    <x v="985"/>
    <x v="7"/>
  </r>
  <r>
    <x v="837"/>
    <x v="688"/>
    <x v="0"/>
    <x v="0"/>
    <x v="0"/>
    <x v="0"/>
    <x v="1"/>
    <x v="4"/>
    <x v="0"/>
    <x v="0"/>
    <x v="7"/>
    <x v="0"/>
    <x v="453"/>
    <x v="1"/>
    <x v="0"/>
    <x v="0"/>
    <x v="0"/>
    <x v="837"/>
    <x v="1"/>
    <x v="18"/>
    <x v="18"/>
    <x v="0"/>
    <x v="0"/>
    <x v="4"/>
    <x v="17"/>
    <x v="0"/>
    <x v="17"/>
    <x v="864"/>
    <x v="2"/>
    <x v="20"/>
    <x v="1"/>
    <x v="5"/>
    <x v="2"/>
    <x v="1"/>
    <x v="1134"/>
    <x v="5"/>
    <x v="17"/>
    <x v="453"/>
    <x v="453"/>
    <x v="0"/>
    <x v="453"/>
    <x v="587"/>
    <x v="525"/>
    <x v="642"/>
    <x v="525"/>
    <x v="587"/>
    <x v="587"/>
    <x v="587"/>
    <x v="587"/>
    <x v="587"/>
    <x v="587"/>
    <x v="587"/>
    <x v="453"/>
    <x v="645"/>
    <x v="645"/>
    <x v="441"/>
    <x v="0"/>
    <x v="0"/>
    <x v="572"/>
    <x v="453"/>
    <x v="453"/>
    <x v="453"/>
    <x v="453"/>
    <x v="7"/>
  </r>
  <r>
    <x v="838"/>
    <x v="700"/>
    <x v="0"/>
    <x v="0"/>
    <x v="0"/>
    <x v="0"/>
    <x v="0"/>
    <x v="0"/>
    <x v="0"/>
    <x v="0"/>
    <x v="7"/>
    <x v="0"/>
    <x v="235"/>
    <x v="1"/>
    <x v="0"/>
    <x v="0"/>
    <x v="0"/>
    <x v="838"/>
    <x v="2"/>
    <x v="18"/>
    <x v="18"/>
    <x v="0"/>
    <x v="0"/>
    <x v="4"/>
    <x v="24"/>
    <x v="0"/>
    <x v="15"/>
    <x v="854"/>
    <x v="9"/>
    <x v="54"/>
    <x v="1"/>
    <x v="1"/>
    <x v="1"/>
    <x v="1"/>
    <x v="146"/>
    <x v="1"/>
    <x v="15"/>
    <x v="235"/>
    <x v="235"/>
    <x v="0"/>
    <x v="235"/>
    <x v="238"/>
    <x v="240"/>
    <x v="235"/>
    <x v="240"/>
    <x v="238"/>
    <x v="238"/>
    <x v="238"/>
    <x v="238"/>
    <x v="238"/>
    <x v="238"/>
    <x v="238"/>
    <x v="235"/>
    <x v="235"/>
    <x v="235"/>
    <x v="203"/>
    <x v="0"/>
    <x v="0"/>
    <x v="212"/>
    <x v="235"/>
    <x v="235"/>
    <x v="235"/>
    <x v="235"/>
    <x v="7"/>
  </r>
  <r>
    <x v="839"/>
    <x v="694"/>
    <x v="0"/>
    <x v="0"/>
    <x v="0"/>
    <x v="0"/>
    <x v="1"/>
    <x v="4"/>
    <x v="0"/>
    <x v="0"/>
    <x v="7"/>
    <x v="0"/>
    <x v="1291"/>
    <x v="1"/>
    <x v="0"/>
    <x v="0"/>
    <x v="0"/>
    <x v="839"/>
    <x v="1"/>
    <x v="18"/>
    <x v="18"/>
    <x v="0"/>
    <x v="0"/>
    <x v="4"/>
    <x v="16"/>
    <x v="0"/>
    <x v="20"/>
    <x v="863"/>
    <x v="2"/>
    <x v="20"/>
    <x v="1"/>
    <x v="5"/>
    <x v="2"/>
    <x v="1"/>
    <x v="1375"/>
    <x v="5"/>
    <x v="20"/>
    <x v="1289"/>
    <x v="1289"/>
    <x v="2"/>
    <x v="1289"/>
    <x v="1355"/>
    <x v="1339"/>
    <x v="1361"/>
    <x v="1339"/>
    <x v="1355"/>
    <x v="1355"/>
    <x v="1355"/>
    <x v="1355"/>
    <x v="1355"/>
    <x v="1355"/>
    <x v="1355"/>
    <x v="1289"/>
    <x v="1357"/>
    <x v="1357"/>
    <x v="1228"/>
    <x v="0"/>
    <x v="0"/>
    <x v="1365"/>
    <x v="1289"/>
    <x v="1289"/>
    <x v="1289"/>
    <x v="1289"/>
    <x v="7"/>
  </r>
  <r>
    <x v="840"/>
    <x v="701"/>
    <x v="0"/>
    <x v="0"/>
    <x v="0"/>
    <x v="0"/>
    <x v="0"/>
    <x v="0"/>
    <x v="0"/>
    <x v="0"/>
    <x v="7"/>
    <x v="0"/>
    <x v="271"/>
    <x v="1"/>
    <x v="0"/>
    <x v="0"/>
    <x v="0"/>
    <x v="840"/>
    <x v="2"/>
    <x v="18"/>
    <x v="18"/>
    <x v="0"/>
    <x v="0"/>
    <x v="3"/>
    <x v="94"/>
    <x v="0"/>
    <x v="16"/>
    <x v="859"/>
    <x v="9"/>
    <x v="54"/>
    <x v="1"/>
    <x v="1"/>
    <x v="1"/>
    <x v="1"/>
    <x v="177"/>
    <x v="1"/>
    <x v="16"/>
    <x v="271"/>
    <x v="271"/>
    <x v="0"/>
    <x v="271"/>
    <x v="277"/>
    <x v="277"/>
    <x v="267"/>
    <x v="277"/>
    <x v="277"/>
    <x v="277"/>
    <x v="277"/>
    <x v="277"/>
    <x v="277"/>
    <x v="277"/>
    <x v="277"/>
    <x v="271"/>
    <x v="268"/>
    <x v="268"/>
    <x v="237"/>
    <x v="0"/>
    <x v="0"/>
    <x v="242"/>
    <x v="271"/>
    <x v="271"/>
    <x v="271"/>
    <x v="271"/>
    <x v="7"/>
  </r>
  <r>
    <x v="841"/>
    <x v="694"/>
    <x v="0"/>
    <x v="0"/>
    <x v="0"/>
    <x v="0"/>
    <x v="0"/>
    <x v="0"/>
    <x v="0"/>
    <x v="0"/>
    <x v="7"/>
    <x v="0"/>
    <x v="14"/>
    <x v="1"/>
    <x v="0"/>
    <x v="0"/>
    <x v="0"/>
    <x v="841"/>
    <x v="2"/>
    <x v="18"/>
    <x v="18"/>
    <x v="0"/>
    <x v="0"/>
    <x v="4"/>
    <x v="16"/>
    <x v="0"/>
    <x v="20"/>
    <x v="862"/>
    <x v="9"/>
    <x v="54"/>
    <x v="1"/>
    <x v="1"/>
    <x v="1"/>
    <x v="1"/>
    <x v="10"/>
    <x v="1"/>
    <x v="20"/>
    <x v="15"/>
    <x v="15"/>
    <x v="0"/>
    <x v="15"/>
    <x v="13"/>
    <x v="13"/>
    <x v="12"/>
    <x v="13"/>
    <x v="13"/>
    <x v="13"/>
    <x v="13"/>
    <x v="13"/>
    <x v="13"/>
    <x v="13"/>
    <x v="13"/>
    <x v="15"/>
    <x v="12"/>
    <x v="12"/>
    <x v="14"/>
    <x v="0"/>
    <x v="0"/>
    <x v="10"/>
    <x v="15"/>
    <x v="15"/>
    <x v="15"/>
    <x v="15"/>
    <x v="7"/>
  </r>
  <r>
    <x v="842"/>
    <x v="705"/>
    <x v="0"/>
    <x v="0"/>
    <x v="0"/>
    <x v="0"/>
    <x v="0"/>
    <x v="0"/>
    <x v="0"/>
    <x v="0"/>
    <x v="7"/>
    <x v="0"/>
    <x v="322"/>
    <x v="1"/>
    <x v="0"/>
    <x v="0"/>
    <x v="0"/>
    <x v="842"/>
    <x v="2"/>
    <x v="18"/>
    <x v="18"/>
    <x v="0"/>
    <x v="0"/>
    <x v="4"/>
    <x v="17"/>
    <x v="0"/>
    <x v="18"/>
    <x v="858"/>
    <x v="9"/>
    <x v="54"/>
    <x v="1"/>
    <x v="1"/>
    <x v="1"/>
    <x v="1"/>
    <x v="212"/>
    <x v="1"/>
    <x v="18"/>
    <x v="322"/>
    <x v="322"/>
    <x v="0"/>
    <x v="322"/>
    <x v="314"/>
    <x v="316"/>
    <x v="309"/>
    <x v="316"/>
    <x v="314"/>
    <x v="314"/>
    <x v="314"/>
    <x v="314"/>
    <x v="314"/>
    <x v="314"/>
    <x v="314"/>
    <x v="322"/>
    <x v="308"/>
    <x v="308"/>
    <x v="280"/>
    <x v="0"/>
    <x v="0"/>
    <x v="310"/>
    <x v="322"/>
    <x v="322"/>
    <x v="322"/>
    <x v="322"/>
    <x v="7"/>
  </r>
  <r>
    <x v="843"/>
    <x v="700"/>
    <x v="0"/>
    <x v="0"/>
    <x v="0"/>
    <x v="0"/>
    <x v="0"/>
    <x v="0"/>
    <x v="0"/>
    <x v="0"/>
    <x v="7"/>
    <x v="0"/>
    <x v="583"/>
    <x v="1"/>
    <x v="0"/>
    <x v="0"/>
    <x v="0"/>
    <x v="843"/>
    <x v="2"/>
    <x v="18"/>
    <x v="18"/>
    <x v="0"/>
    <x v="0"/>
    <x v="4"/>
    <x v="24"/>
    <x v="0"/>
    <x v="15"/>
    <x v="853"/>
    <x v="9"/>
    <x v="54"/>
    <x v="1"/>
    <x v="1"/>
    <x v="1"/>
    <x v="1"/>
    <x v="382"/>
    <x v="1"/>
    <x v="15"/>
    <x v="583"/>
    <x v="583"/>
    <x v="0"/>
    <x v="583"/>
    <x v="530"/>
    <x v="540"/>
    <x v="513"/>
    <x v="540"/>
    <x v="530"/>
    <x v="530"/>
    <x v="530"/>
    <x v="530"/>
    <x v="530"/>
    <x v="530"/>
    <x v="530"/>
    <x v="583"/>
    <x v="515"/>
    <x v="515"/>
    <x v="519"/>
    <x v="0"/>
    <x v="0"/>
    <x v="448"/>
    <x v="583"/>
    <x v="583"/>
    <x v="583"/>
    <x v="583"/>
    <x v="7"/>
  </r>
  <r>
    <x v="844"/>
    <x v="682"/>
    <x v="0"/>
    <x v="0"/>
    <x v="0"/>
    <x v="0"/>
    <x v="0"/>
    <x v="0"/>
    <x v="0"/>
    <x v="0"/>
    <x v="7"/>
    <x v="0"/>
    <x v="831"/>
    <x v="1"/>
    <x v="0"/>
    <x v="0"/>
    <x v="0"/>
    <x v="844"/>
    <x v="2"/>
    <x v="18"/>
    <x v="18"/>
    <x v="0"/>
    <x v="0"/>
    <x v="4"/>
    <x v="128"/>
    <x v="0"/>
    <x v="16"/>
    <x v="866"/>
    <x v="9"/>
    <x v="54"/>
    <x v="1"/>
    <x v="1"/>
    <x v="1"/>
    <x v="1"/>
    <x v="573"/>
    <x v="1"/>
    <x v="16"/>
    <x v="831"/>
    <x v="831"/>
    <x v="1"/>
    <x v="831"/>
    <x v="837"/>
    <x v="838"/>
    <x v="809"/>
    <x v="838"/>
    <x v="837"/>
    <x v="837"/>
    <x v="837"/>
    <x v="837"/>
    <x v="837"/>
    <x v="837"/>
    <x v="837"/>
    <x v="831"/>
    <x v="808"/>
    <x v="808"/>
    <x v="770"/>
    <x v="0"/>
    <x v="0"/>
    <x v="695"/>
    <x v="831"/>
    <x v="831"/>
    <x v="831"/>
    <x v="831"/>
    <x v="7"/>
  </r>
  <r>
    <x v="845"/>
    <x v="695"/>
    <x v="0"/>
    <x v="0"/>
    <x v="0"/>
    <x v="0"/>
    <x v="0"/>
    <x v="0"/>
    <x v="0"/>
    <x v="0"/>
    <x v="7"/>
    <x v="0"/>
    <x v="800"/>
    <x v="1"/>
    <x v="0"/>
    <x v="0"/>
    <x v="0"/>
    <x v="845"/>
    <x v="2"/>
    <x v="18"/>
    <x v="18"/>
    <x v="0"/>
    <x v="0"/>
    <x v="4"/>
    <x v="16"/>
    <x v="0"/>
    <x v="20"/>
    <x v="852"/>
    <x v="9"/>
    <x v="54"/>
    <x v="1"/>
    <x v="1"/>
    <x v="1"/>
    <x v="1"/>
    <x v="539"/>
    <x v="1"/>
    <x v="20"/>
    <x v="800"/>
    <x v="800"/>
    <x v="1"/>
    <x v="800"/>
    <x v="799"/>
    <x v="800"/>
    <x v="755"/>
    <x v="800"/>
    <x v="799"/>
    <x v="799"/>
    <x v="799"/>
    <x v="799"/>
    <x v="799"/>
    <x v="799"/>
    <x v="799"/>
    <x v="800"/>
    <x v="755"/>
    <x v="755"/>
    <x v="739"/>
    <x v="0"/>
    <x v="0"/>
    <x v="720"/>
    <x v="800"/>
    <x v="800"/>
    <x v="800"/>
    <x v="800"/>
    <x v="7"/>
  </r>
  <r>
    <x v="846"/>
    <x v="732"/>
    <x v="0"/>
    <x v="0"/>
    <x v="0"/>
    <x v="0"/>
    <x v="0"/>
    <x v="0"/>
    <x v="0"/>
    <x v="0"/>
    <x v="7"/>
    <x v="0"/>
    <x v="880"/>
    <x v="1"/>
    <x v="0"/>
    <x v="0"/>
    <x v="0"/>
    <x v="846"/>
    <x v="2"/>
    <x v="18"/>
    <x v="18"/>
    <x v="0"/>
    <x v="0"/>
    <x v="4"/>
    <x v="128"/>
    <x v="0"/>
    <x v="15"/>
    <x v="861"/>
    <x v="9"/>
    <x v="54"/>
    <x v="1"/>
    <x v="1"/>
    <x v="1"/>
    <x v="1"/>
    <x v="624"/>
    <x v="1"/>
    <x v="15"/>
    <x v="880"/>
    <x v="880"/>
    <x v="1"/>
    <x v="880"/>
    <x v="891"/>
    <x v="884"/>
    <x v="874"/>
    <x v="884"/>
    <x v="891"/>
    <x v="891"/>
    <x v="891"/>
    <x v="891"/>
    <x v="891"/>
    <x v="891"/>
    <x v="891"/>
    <x v="880"/>
    <x v="873"/>
    <x v="873"/>
    <x v="814"/>
    <x v="0"/>
    <x v="0"/>
    <x v="740"/>
    <x v="880"/>
    <x v="880"/>
    <x v="880"/>
    <x v="880"/>
    <x v="7"/>
  </r>
  <r>
    <x v="847"/>
    <x v="722"/>
    <x v="0"/>
    <x v="0"/>
    <x v="0"/>
    <x v="0"/>
    <x v="0"/>
    <x v="0"/>
    <x v="0"/>
    <x v="0"/>
    <x v="7"/>
    <x v="0"/>
    <x v="150"/>
    <x v="1"/>
    <x v="0"/>
    <x v="0"/>
    <x v="0"/>
    <x v="847"/>
    <x v="2"/>
    <x v="18"/>
    <x v="18"/>
    <x v="0"/>
    <x v="0"/>
    <x v="4"/>
    <x v="16"/>
    <x v="0"/>
    <x v="20"/>
    <x v="856"/>
    <x v="9"/>
    <x v="54"/>
    <x v="1"/>
    <x v="1"/>
    <x v="1"/>
    <x v="1"/>
    <x v="74"/>
    <x v="1"/>
    <x v="20"/>
    <x v="151"/>
    <x v="151"/>
    <x v="0"/>
    <x v="151"/>
    <x v="158"/>
    <x v="159"/>
    <x v="150"/>
    <x v="159"/>
    <x v="158"/>
    <x v="158"/>
    <x v="158"/>
    <x v="158"/>
    <x v="158"/>
    <x v="158"/>
    <x v="158"/>
    <x v="151"/>
    <x v="149"/>
    <x v="149"/>
    <x v="133"/>
    <x v="0"/>
    <x v="0"/>
    <x v="144"/>
    <x v="151"/>
    <x v="151"/>
    <x v="151"/>
    <x v="151"/>
    <x v="7"/>
  </r>
  <r>
    <x v="848"/>
    <x v="725"/>
    <x v="0"/>
    <x v="0"/>
    <x v="0"/>
    <x v="0"/>
    <x v="0"/>
    <x v="0"/>
    <x v="0"/>
    <x v="0"/>
    <x v="7"/>
    <x v="0"/>
    <x v="308"/>
    <x v="1"/>
    <x v="0"/>
    <x v="0"/>
    <x v="0"/>
    <x v="848"/>
    <x v="2"/>
    <x v="18"/>
    <x v="18"/>
    <x v="0"/>
    <x v="0"/>
    <x v="4"/>
    <x v="16"/>
    <x v="0"/>
    <x v="21"/>
    <x v="855"/>
    <x v="9"/>
    <x v="54"/>
    <x v="1"/>
    <x v="1"/>
    <x v="1"/>
    <x v="1"/>
    <x v="204"/>
    <x v="1"/>
    <x v="21"/>
    <x v="308"/>
    <x v="308"/>
    <x v="0"/>
    <x v="308"/>
    <x v="304"/>
    <x v="306"/>
    <x v="298"/>
    <x v="306"/>
    <x v="304"/>
    <x v="304"/>
    <x v="304"/>
    <x v="304"/>
    <x v="304"/>
    <x v="304"/>
    <x v="304"/>
    <x v="308"/>
    <x v="298"/>
    <x v="298"/>
    <x v="265"/>
    <x v="0"/>
    <x v="0"/>
    <x v="321"/>
    <x v="308"/>
    <x v="308"/>
    <x v="308"/>
    <x v="308"/>
    <x v="7"/>
  </r>
  <r>
    <x v="849"/>
    <x v="732"/>
    <x v="0"/>
    <x v="0"/>
    <x v="0"/>
    <x v="0"/>
    <x v="0"/>
    <x v="0"/>
    <x v="0"/>
    <x v="0"/>
    <x v="7"/>
    <x v="0"/>
    <x v="114"/>
    <x v="1"/>
    <x v="0"/>
    <x v="0"/>
    <x v="0"/>
    <x v="849"/>
    <x v="2"/>
    <x v="18"/>
    <x v="18"/>
    <x v="0"/>
    <x v="0"/>
    <x v="4"/>
    <x v="128"/>
    <x v="0"/>
    <x v="15"/>
    <x v="52"/>
    <x v="9"/>
    <x v="54"/>
    <x v="1"/>
    <x v="1"/>
    <x v="1"/>
    <x v="1"/>
    <x v="56"/>
    <x v="1"/>
    <x v="15"/>
    <x v="115"/>
    <x v="115"/>
    <x v="0"/>
    <x v="115"/>
    <x v="113"/>
    <x v="117"/>
    <x v="103"/>
    <x v="117"/>
    <x v="113"/>
    <x v="113"/>
    <x v="113"/>
    <x v="113"/>
    <x v="113"/>
    <x v="113"/>
    <x v="113"/>
    <x v="115"/>
    <x v="101"/>
    <x v="101"/>
    <x v="100"/>
    <x v="0"/>
    <x v="0"/>
    <x v="86"/>
    <x v="115"/>
    <x v="115"/>
    <x v="115"/>
    <x v="115"/>
    <x v="7"/>
  </r>
  <r>
    <x v="850"/>
    <x v="732"/>
    <x v="0"/>
    <x v="0"/>
    <x v="0"/>
    <x v="0"/>
    <x v="0"/>
    <x v="0"/>
    <x v="0"/>
    <x v="0"/>
    <x v="7"/>
    <x v="0"/>
    <x v="31"/>
    <x v="1"/>
    <x v="0"/>
    <x v="0"/>
    <x v="0"/>
    <x v="850"/>
    <x v="2"/>
    <x v="18"/>
    <x v="18"/>
    <x v="0"/>
    <x v="0"/>
    <x v="4"/>
    <x v="128"/>
    <x v="0"/>
    <x v="15"/>
    <x v="860"/>
    <x v="9"/>
    <x v="54"/>
    <x v="1"/>
    <x v="1"/>
    <x v="1"/>
    <x v="1"/>
    <x v="17"/>
    <x v="1"/>
    <x v="15"/>
    <x v="32"/>
    <x v="32"/>
    <x v="0"/>
    <x v="32"/>
    <x v="25"/>
    <x v="27"/>
    <x v="24"/>
    <x v="27"/>
    <x v="25"/>
    <x v="25"/>
    <x v="25"/>
    <x v="25"/>
    <x v="25"/>
    <x v="25"/>
    <x v="25"/>
    <x v="32"/>
    <x v="24"/>
    <x v="24"/>
    <x v="25"/>
    <x v="0"/>
    <x v="0"/>
    <x v="21"/>
    <x v="32"/>
    <x v="32"/>
    <x v="32"/>
    <x v="32"/>
    <x v="7"/>
  </r>
  <r>
    <x v="851"/>
    <x v="740"/>
    <x v="0"/>
    <x v="0"/>
    <x v="0"/>
    <x v="0"/>
    <x v="0"/>
    <x v="0"/>
    <x v="0"/>
    <x v="0"/>
    <x v="7"/>
    <x v="0"/>
    <x v="810"/>
    <x v="1"/>
    <x v="0"/>
    <x v="0"/>
    <x v="0"/>
    <x v="851"/>
    <x v="2"/>
    <x v="18"/>
    <x v="18"/>
    <x v="0"/>
    <x v="0"/>
    <x v="4"/>
    <x v="16"/>
    <x v="0"/>
    <x v="21"/>
    <x v="38"/>
    <x v="9"/>
    <x v="54"/>
    <x v="1"/>
    <x v="1"/>
    <x v="1"/>
    <x v="1"/>
    <x v="550"/>
    <x v="1"/>
    <x v="21"/>
    <x v="810"/>
    <x v="810"/>
    <x v="1"/>
    <x v="810"/>
    <x v="812"/>
    <x v="812"/>
    <x v="773"/>
    <x v="812"/>
    <x v="812"/>
    <x v="812"/>
    <x v="812"/>
    <x v="812"/>
    <x v="812"/>
    <x v="812"/>
    <x v="812"/>
    <x v="810"/>
    <x v="770"/>
    <x v="770"/>
    <x v="755"/>
    <x v="0"/>
    <x v="0"/>
    <x v="757"/>
    <x v="810"/>
    <x v="810"/>
    <x v="810"/>
    <x v="810"/>
    <x v="7"/>
  </r>
  <r>
    <x v="852"/>
    <x v="677"/>
    <x v="0"/>
    <x v="0"/>
    <x v="0"/>
    <x v="0"/>
    <x v="0"/>
    <x v="0"/>
    <x v="0"/>
    <x v="0"/>
    <x v="7"/>
    <x v="0"/>
    <x v="930"/>
    <x v="1"/>
    <x v="0"/>
    <x v="0"/>
    <x v="0"/>
    <x v="852"/>
    <x v="2"/>
    <x v="19"/>
    <x v="19"/>
    <x v="0"/>
    <x v="0"/>
    <x v="4"/>
    <x v="27"/>
    <x v="0"/>
    <x v="13"/>
    <x v="869"/>
    <x v="9"/>
    <x v="54"/>
    <x v="1"/>
    <x v="1"/>
    <x v="1"/>
    <x v="1"/>
    <x v="681"/>
    <x v="1"/>
    <x v="13"/>
    <x v="930"/>
    <x v="930"/>
    <x v="1"/>
    <x v="930"/>
    <x v="939"/>
    <x v="937"/>
    <x v="930"/>
    <x v="937"/>
    <x v="939"/>
    <x v="939"/>
    <x v="939"/>
    <x v="939"/>
    <x v="939"/>
    <x v="939"/>
    <x v="939"/>
    <x v="930"/>
    <x v="929"/>
    <x v="929"/>
    <x v="869"/>
    <x v="0"/>
    <x v="0"/>
    <x v="758"/>
    <x v="930"/>
    <x v="930"/>
    <x v="930"/>
    <x v="930"/>
    <x v="7"/>
  </r>
  <r>
    <x v="853"/>
    <x v="395"/>
    <x v="0"/>
    <x v="0"/>
    <x v="0"/>
    <x v="0"/>
    <x v="1"/>
    <x v="7"/>
    <x v="0"/>
    <x v="0"/>
    <x v="0"/>
    <x v="0"/>
    <x v="160"/>
    <x v="1"/>
    <x v="0"/>
    <x v="0"/>
    <x v="0"/>
    <x v="853"/>
    <x v="0"/>
    <x v="9"/>
    <x v="9"/>
    <x v="0"/>
    <x v="0"/>
    <x v="3"/>
    <x v="128"/>
    <x v="0"/>
    <x v="28"/>
    <x v="870"/>
    <x v="0"/>
    <x v="41"/>
    <x v="1"/>
    <x v="8"/>
    <x v="5"/>
    <x v="1"/>
    <x v="1069"/>
    <x v="8"/>
    <x v="28"/>
    <x v="161"/>
    <x v="161"/>
    <x v="0"/>
    <x v="161"/>
    <x v="231"/>
    <x v="213"/>
    <x v="255"/>
    <x v="213"/>
    <x v="231"/>
    <x v="231"/>
    <x v="231"/>
    <x v="231"/>
    <x v="231"/>
    <x v="231"/>
    <x v="231"/>
    <x v="161"/>
    <x v="262"/>
    <x v="262"/>
    <x v="0"/>
    <x v="41"/>
    <x v="0"/>
    <x v="322"/>
    <x v="161"/>
    <x v="161"/>
    <x v="161"/>
    <x v="161"/>
    <x v="0"/>
  </r>
  <r>
    <x v="854"/>
    <x v="396"/>
    <x v="0"/>
    <x v="0"/>
    <x v="0"/>
    <x v="0"/>
    <x v="1"/>
    <x v="7"/>
    <x v="0"/>
    <x v="0"/>
    <x v="0"/>
    <x v="0"/>
    <x v="28"/>
    <x v="1"/>
    <x v="0"/>
    <x v="0"/>
    <x v="0"/>
    <x v="854"/>
    <x v="0"/>
    <x v="9"/>
    <x v="9"/>
    <x v="0"/>
    <x v="0"/>
    <x v="3"/>
    <x v="128"/>
    <x v="0"/>
    <x v="28"/>
    <x v="872"/>
    <x v="0"/>
    <x v="41"/>
    <x v="1"/>
    <x v="8"/>
    <x v="5"/>
    <x v="1"/>
    <x v="298"/>
    <x v="8"/>
    <x v="28"/>
    <x v="29"/>
    <x v="29"/>
    <x v="0"/>
    <x v="29"/>
    <x v="46"/>
    <x v="40"/>
    <x v="57"/>
    <x v="40"/>
    <x v="46"/>
    <x v="46"/>
    <x v="46"/>
    <x v="46"/>
    <x v="46"/>
    <x v="46"/>
    <x v="46"/>
    <x v="29"/>
    <x v="61"/>
    <x v="61"/>
    <x v="0"/>
    <x v="5"/>
    <x v="0"/>
    <x v="84"/>
    <x v="29"/>
    <x v="29"/>
    <x v="29"/>
    <x v="29"/>
    <x v="0"/>
  </r>
  <r>
    <x v="855"/>
    <x v="396"/>
    <x v="0"/>
    <x v="0"/>
    <x v="0"/>
    <x v="0"/>
    <x v="1"/>
    <x v="7"/>
    <x v="0"/>
    <x v="0"/>
    <x v="0"/>
    <x v="0"/>
    <x v="228"/>
    <x v="1"/>
    <x v="0"/>
    <x v="0"/>
    <x v="0"/>
    <x v="855"/>
    <x v="0"/>
    <x v="9"/>
    <x v="9"/>
    <x v="0"/>
    <x v="0"/>
    <x v="3"/>
    <x v="128"/>
    <x v="0"/>
    <x v="28"/>
    <x v="873"/>
    <x v="0"/>
    <x v="41"/>
    <x v="1"/>
    <x v="8"/>
    <x v="5"/>
    <x v="1"/>
    <x v="1220"/>
    <x v="8"/>
    <x v="28"/>
    <x v="229"/>
    <x v="229"/>
    <x v="0"/>
    <x v="229"/>
    <x v="320"/>
    <x v="293"/>
    <x v="367"/>
    <x v="293"/>
    <x v="320"/>
    <x v="320"/>
    <x v="320"/>
    <x v="320"/>
    <x v="320"/>
    <x v="320"/>
    <x v="320"/>
    <x v="229"/>
    <x v="373"/>
    <x v="373"/>
    <x v="0"/>
    <x v="50"/>
    <x v="0"/>
    <x v="506"/>
    <x v="229"/>
    <x v="229"/>
    <x v="229"/>
    <x v="229"/>
    <x v="0"/>
  </r>
  <r>
    <x v="856"/>
    <x v="402"/>
    <x v="0"/>
    <x v="0"/>
    <x v="0"/>
    <x v="0"/>
    <x v="1"/>
    <x v="8"/>
    <x v="0"/>
    <x v="0"/>
    <x v="0"/>
    <x v="0"/>
    <x v="45"/>
    <x v="1"/>
    <x v="0"/>
    <x v="0"/>
    <x v="0"/>
    <x v="856"/>
    <x v="0"/>
    <x v="9"/>
    <x v="9"/>
    <x v="0"/>
    <x v="0"/>
    <x v="3"/>
    <x v="128"/>
    <x v="0"/>
    <x v="28"/>
    <x v="876"/>
    <x v="5"/>
    <x v="42"/>
    <x v="1"/>
    <x v="9"/>
    <x v="5"/>
    <x v="1"/>
    <x v="560"/>
    <x v="9"/>
    <x v="28"/>
    <x v="46"/>
    <x v="46"/>
    <x v="0"/>
    <x v="46"/>
    <x v="78"/>
    <x v="65"/>
    <x v="92"/>
    <x v="65"/>
    <x v="78"/>
    <x v="78"/>
    <x v="78"/>
    <x v="78"/>
    <x v="78"/>
    <x v="78"/>
    <x v="78"/>
    <x v="46"/>
    <x v="97"/>
    <x v="97"/>
    <x v="0"/>
    <x v="13"/>
    <x v="0"/>
    <x v="121"/>
    <x v="46"/>
    <x v="46"/>
    <x v="46"/>
    <x v="46"/>
    <x v="0"/>
  </r>
  <r>
    <x v="857"/>
    <x v="400"/>
    <x v="0"/>
    <x v="0"/>
    <x v="0"/>
    <x v="0"/>
    <x v="1"/>
    <x v="8"/>
    <x v="0"/>
    <x v="0"/>
    <x v="0"/>
    <x v="0"/>
    <x v="998"/>
    <x v="1"/>
    <x v="0"/>
    <x v="0"/>
    <x v="0"/>
    <x v="857"/>
    <x v="0"/>
    <x v="9"/>
    <x v="9"/>
    <x v="0"/>
    <x v="0"/>
    <x v="3"/>
    <x v="66"/>
    <x v="0"/>
    <x v="28"/>
    <x v="871"/>
    <x v="5"/>
    <x v="42"/>
    <x v="1"/>
    <x v="9"/>
    <x v="5"/>
    <x v="1"/>
    <x v="1382"/>
    <x v="9"/>
    <x v="28"/>
    <x v="998"/>
    <x v="998"/>
    <x v="1"/>
    <x v="998"/>
    <x v="1224"/>
    <x v="1154"/>
    <x v="1277"/>
    <x v="1154"/>
    <x v="1224"/>
    <x v="1224"/>
    <x v="1224"/>
    <x v="1224"/>
    <x v="1224"/>
    <x v="1224"/>
    <x v="1224"/>
    <x v="998"/>
    <x v="1291"/>
    <x v="1291"/>
    <x v="0"/>
    <x v="106"/>
    <x v="0"/>
    <x v="1332"/>
    <x v="998"/>
    <x v="998"/>
    <x v="998"/>
    <x v="998"/>
    <x v="0"/>
  </r>
  <r>
    <x v="858"/>
    <x v="430"/>
    <x v="0"/>
    <x v="0"/>
    <x v="0"/>
    <x v="0"/>
    <x v="1"/>
    <x v="8"/>
    <x v="0"/>
    <x v="0"/>
    <x v="0"/>
    <x v="0"/>
    <x v="1233"/>
    <x v="1"/>
    <x v="0"/>
    <x v="0"/>
    <x v="0"/>
    <x v="858"/>
    <x v="0"/>
    <x v="9"/>
    <x v="9"/>
    <x v="0"/>
    <x v="0"/>
    <x v="3"/>
    <x v="61"/>
    <x v="0"/>
    <x v="23"/>
    <x v="874"/>
    <x v="5"/>
    <x v="42"/>
    <x v="1"/>
    <x v="9"/>
    <x v="5"/>
    <x v="1"/>
    <x v="1392"/>
    <x v="9"/>
    <x v="23"/>
    <x v="1231"/>
    <x v="1231"/>
    <x v="2"/>
    <x v="1231"/>
    <x v="1364"/>
    <x v="1333"/>
    <x v="1380"/>
    <x v="1333"/>
    <x v="1364"/>
    <x v="1364"/>
    <x v="1364"/>
    <x v="1364"/>
    <x v="1364"/>
    <x v="1364"/>
    <x v="1364"/>
    <x v="1231"/>
    <x v="1383"/>
    <x v="1383"/>
    <x v="0"/>
    <x v="114"/>
    <x v="0"/>
    <x v="1397"/>
    <x v="1231"/>
    <x v="1231"/>
    <x v="1231"/>
    <x v="1231"/>
    <x v="0"/>
  </r>
  <r>
    <x v="859"/>
    <x v="471"/>
    <x v="0"/>
    <x v="0"/>
    <x v="0"/>
    <x v="0"/>
    <x v="1"/>
    <x v="8"/>
    <x v="0"/>
    <x v="0"/>
    <x v="0"/>
    <x v="0"/>
    <x v="1143"/>
    <x v="1"/>
    <x v="0"/>
    <x v="0"/>
    <x v="0"/>
    <x v="859"/>
    <x v="0"/>
    <x v="9"/>
    <x v="9"/>
    <x v="0"/>
    <x v="0"/>
    <x v="3"/>
    <x v="119"/>
    <x v="0"/>
    <x v="25"/>
    <x v="880"/>
    <x v="5"/>
    <x v="42"/>
    <x v="1"/>
    <x v="9"/>
    <x v="5"/>
    <x v="1"/>
    <x v="1388"/>
    <x v="9"/>
    <x v="25"/>
    <x v="1141"/>
    <x v="1141"/>
    <x v="1"/>
    <x v="1141"/>
    <x v="1307"/>
    <x v="1253"/>
    <x v="1345"/>
    <x v="1253"/>
    <x v="1307"/>
    <x v="1307"/>
    <x v="1307"/>
    <x v="1307"/>
    <x v="1307"/>
    <x v="1307"/>
    <x v="1307"/>
    <x v="1141"/>
    <x v="1348"/>
    <x v="1348"/>
    <x v="0"/>
    <x v="111"/>
    <x v="0"/>
    <x v="1374"/>
    <x v="1141"/>
    <x v="1141"/>
    <x v="1141"/>
    <x v="1141"/>
    <x v="0"/>
  </r>
  <r>
    <x v="860"/>
    <x v="391"/>
    <x v="0"/>
    <x v="0"/>
    <x v="0"/>
    <x v="0"/>
    <x v="1"/>
    <x v="4"/>
    <x v="0"/>
    <x v="0"/>
    <x v="8"/>
    <x v="0"/>
    <x v="115"/>
    <x v="1"/>
    <x v="0"/>
    <x v="0"/>
    <x v="0"/>
    <x v="860"/>
    <x v="1"/>
    <x v="9"/>
    <x v="9"/>
    <x v="0"/>
    <x v="0"/>
    <x v="3"/>
    <x v="128"/>
    <x v="0"/>
    <x v="27"/>
    <x v="881"/>
    <x v="2"/>
    <x v="21"/>
    <x v="1"/>
    <x v="5"/>
    <x v="2"/>
    <x v="1"/>
    <x v="302"/>
    <x v="5"/>
    <x v="27"/>
    <x v="116"/>
    <x v="116"/>
    <x v="0"/>
    <x v="116"/>
    <x v="137"/>
    <x v="134"/>
    <x v="142"/>
    <x v="134"/>
    <x v="137"/>
    <x v="137"/>
    <x v="137"/>
    <x v="137"/>
    <x v="137"/>
    <x v="137"/>
    <x v="137"/>
    <x v="116"/>
    <x v="141"/>
    <x v="141"/>
    <x v="106"/>
    <x v="0"/>
    <x v="0"/>
    <x v="160"/>
    <x v="116"/>
    <x v="116"/>
    <x v="116"/>
    <x v="116"/>
    <x v="8"/>
  </r>
  <r>
    <x v="861"/>
    <x v="394"/>
    <x v="0"/>
    <x v="0"/>
    <x v="0"/>
    <x v="0"/>
    <x v="1"/>
    <x v="4"/>
    <x v="0"/>
    <x v="0"/>
    <x v="8"/>
    <x v="0"/>
    <x v="61"/>
    <x v="1"/>
    <x v="0"/>
    <x v="0"/>
    <x v="0"/>
    <x v="861"/>
    <x v="1"/>
    <x v="9"/>
    <x v="9"/>
    <x v="0"/>
    <x v="0"/>
    <x v="3"/>
    <x v="128"/>
    <x v="0"/>
    <x v="28"/>
    <x v="877"/>
    <x v="2"/>
    <x v="21"/>
    <x v="1"/>
    <x v="5"/>
    <x v="2"/>
    <x v="1"/>
    <x v="168"/>
    <x v="5"/>
    <x v="28"/>
    <x v="62"/>
    <x v="62"/>
    <x v="0"/>
    <x v="62"/>
    <x v="69"/>
    <x v="70"/>
    <x v="73"/>
    <x v="70"/>
    <x v="69"/>
    <x v="69"/>
    <x v="69"/>
    <x v="69"/>
    <x v="69"/>
    <x v="69"/>
    <x v="69"/>
    <x v="62"/>
    <x v="74"/>
    <x v="74"/>
    <x v="52"/>
    <x v="0"/>
    <x v="0"/>
    <x v="102"/>
    <x v="62"/>
    <x v="62"/>
    <x v="62"/>
    <x v="62"/>
    <x v="8"/>
  </r>
  <r>
    <x v="862"/>
    <x v="410"/>
    <x v="0"/>
    <x v="0"/>
    <x v="0"/>
    <x v="0"/>
    <x v="0"/>
    <x v="1"/>
    <x v="0"/>
    <x v="0"/>
    <x v="8"/>
    <x v="0"/>
    <x v="662"/>
    <x v="1"/>
    <x v="0"/>
    <x v="0"/>
    <x v="0"/>
    <x v="862"/>
    <x v="1"/>
    <x v="9"/>
    <x v="9"/>
    <x v="0"/>
    <x v="0"/>
    <x v="3"/>
    <x v="128"/>
    <x v="0"/>
    <x v="28"/>
    <x v="918"/>
    <x v="10"/>
    <x v="65"/>
    <x v="1"/>
    <x v="2"/>
    <x v="2"/>
    <x v="1"/>
    <x v="766"/>
    <x v="2"/>
    <x v="28"/>
    <x v="662"/>
    <x v="662"/>
    <x v="0"/>
    <x v="662"/>
    <x v="728"/>
    <x v="732"/>
    <x v="729"/>
    <x v="732"/>
    <x v="728"/>
    <x v="728"/>
    <x v="728"/>
    <x v="728"/>
    <x v="728"/>
    <x v="728"/>
    <x v="728"/>
    <x v="662"/>
    <x v="725"/>
    <x v="725"/>
    <x v="606"/>
    <x v="0"/>
    <x v="0"/>
    <x v="828"/>
    <x v="662"/>
    <x v="662"/>
    <x v="662"/>
    <x v="662"/>
    <x v="8"/>
  </r>
  <r>
    <x v="863"/>
    <x v="412"/>
    <x v="0"/>
    <x v="0"/>
    <x v="0"/>
    <x v="0"/>
    <x v="1"/>
    <x v="6"/>
    <x v="0"/>
    <x v="0"/>
    <x v="8"/>
    <x v="0"/>
    <x v="125"/>
    <x v="1"/>
    <x v="0"/>
    <x v="0"/>
    <x v="0"/>
    <x v="863"/>
    <x v="1"/>
    <x v="9"/>
    <x v="9"/>
    <x v="0"/>
    <x v="0"/>
    <x v="3"/>
    <x v="65"/>
    <x v="0"/>
    <x v="27"/>
    <x v="3"/>
    <x v="4"/>
    <x v="38"/>
    <x v="1"/>
    <x v="7"/>
    <x v="4"/>
    <x v="1"/>
    <x v="793"/>
    <x v="7"/>
    <x v="27"/>
    <x v="126"/>
    <x v="126"/>
    <x v="0"/>
    <x v="126"/>
    <x v="166"/>
    <x v="157"/>
    <x v="178"/>
    <x v="157"/>
    <x v="166"/>
    <x v="166"/>
    <x v="166"/>
    <x v="166"/>
    <x v="166"/>
    <x v="166"/>
    <x v="166"/>
    <x v="126"/>
    <x v="179"/>
    <x v="179"/>
    <x v="0"/>
    <x v="35"/>
    <x v="0"/>
    <x v="206"/>
    <x v="126"/>
    <x v="126"/>
    <x v="126"/>
    <x v="126"/>
    <x v="8"/>
  </r>
  <r>
    <x v="864"/>
    <x v="413"/>
    <x v="0"/>
    <x v="0"/>
    <x v="0"/>
    <x v="0"/>
    <x v="0"/>
    <x v="1"/>
    <x v="0"/>
    <x v="0"/>
    <x v="8"/>
    <x v="0"/>
    <x v="588"/>
    <x v="1"/>
    <x v="0"/>
    <x v="0"/>
    <x v="0"/>
    <x v="864"/>
    <x v="1"/>
    <x v="9"/>
    <x v="9"/>
    <x v="0"/>
    <x v="0"/>
    <x v="3"/>
    <x v="128"/>
    <x v="0"/>
    <x v="29"/>
    <x v="916"/>
    <x v="10"/>
    <x v="65"/>
    <x v="1"/>
    <x v="2"/>
    <x v="2"/>
    <x v="1"/>
    <x v="734"/>
    <x v="2"/>
    <x v="29"/>
    <x v="588"/>
    <x v="588"/>
    <x v="0"/>
    <x v="588"/>
    <x v="681"/>
    <x v="682"/>
    <x v="678"/>
    <x v="682"/>
    <x v="681"/>
    <x v="681"/>
    <x v="681"/>
    <x v="681"/>
    <x v="681"/>
    <x v="681"/>
    <x v="681"/>
    <x v="588"/>
    <x v="674"/>
    <x v="674"/>
    <x v="542"/>
    <x v="0"/>
    <x v="0"/>
    <x v="814"/>
    <x v="588"/>
    <x v="588"/>
    <x v="588"/>
    <x v="588"/>
    <x v="8"/>
  </r>
  <r>
    <x v="865"/>
    <x v="421"/>
    <x v="0"/>
    <x v="0"/>
    <x v="0"/>
    <x v="0"/>
    <x v="0"/>
    <x v="1"/>
    <x v="0"/>
    <x v="0"/>
    <x v="8"/>
    <x v="0"/>
    <x v="522"/>
    <x v="1"/>
    <x v="0"/>
    <x v="0"/>
    <x v="0"/>
    <x v="865"/>
    <x v="1"/>
    <x v="9"/>
    <x v="9"/>
    <x v="0"/>
    <x v="0"/>
    <x v="3"/>
    <x v="128"/>
    <x v="0"/>
    <x v="29"/>
    <x v="905"/>
    <x v="10"/>
    <x v="65"/>
    <x v="1"/>
    <x v="2"/>
    <x v="2"/>
    <x v="1"/>
    <x v="695"/>
    <x v="2"/>
    <x v="29"/>
    <x v="522"/>
    <x v="522"/>
    <x v="0"/>
    <x v="522"/>
    <x v="632"/>
    <x v="626"/>
    <x v="628"/>
    <x v="626"/>
    <x v="632"/>
    <x v="632"/>
    <x v="632"/>
    <x v="632"/>
    <x v="632"/>
    <x v="632"/>
    <x v="632"/>
    <x v="522"/>
    <x v="621"/>
    <x v="621"/>
    <x v="485"/>
    <x v="0"/>
    <x v="0"/>
    <x v="770"/>
    <x v="522"/>
    <x v="522"/>
    <x v="522"/>
    <x v="522"/>
    <x v="8"/>
  </r>
  <r>
    <x v="866"/>
    <x v="403"/>
    <x v="0"/>
    <x v="0"/>
    <x v="0"/>
    <x v="0"/>
    <x v="1"/>
    <x v="4"/>
    <x v="0"/>
    <x v="0"/>
    <x v="8"/>
    <x v="0"/>
    <x v="1163"/>
    <x v="1"/>
    <x v="0"/>
    <x v="0"/>
    <x v="0"/>
    <x v="866"/>
    <x v="1"/>
    <x v="9"/>
    <x v="9"/>
    <x v="0"/>
    <x v="0"/>
    <x v="3"/>
    <x v="128"/>
    <x v="0"/>
    <x v="28"/>
    <x v="929"/>
    <x v="2"/>
    <x v="21"/>
    <x v="1"/>
    <x v="5"/>
    <x v="2"/>
    <x v="1"/>
    <x v="1351"/>
    <x v="5"/>
    <x v="28"/>
    <x v="1161"/>
    <x v="1161"/>
    <x v="1"/>
    <x v="1161"/>
    <x v="1249"/>
    <x v="1219"/>
    <x v="1269"/>
    <x v="1219"/>
    <x v="1249"/>
    <x v="1249"/>
    <x v="1249"/>
    <x v="1249"/>
    <x v="1249"/>
    <x v="1249"/>
    <x v="1249"/>
    <x v="1161"/>
    <x v="1268"/>
    <x v="1268"/>
    <x v="1111"/>
    <x v="0"/>
    <x v="0"/>
    <x v="1319"/>
    <x v="1161"/>
    <x v="1161"/>
    <x v="1161"/>
    <x v="1161"/>
    <x v="8"/>
  </r>
  <r>
    <x v="867"/>
    <x v="443"/>
    <x v="0"/>
    <x v="0"/>
    <x v="0"/>
    <x v="0"/>
    <x v="0"/>
    <x v="0"/>
    <x v="0"/>
    <x v="0"/>
    <x v="8"/>
    <x v="0"/>
    <x v="1069"/>
    <x v="1"/>
    <x v="0"/>
    <x v="0"/>
    <x v="0"/>
    <x v="867"/>
    <x v="2"/>
    <x v="9"/>
    <x v="9"/>
    <x v="0"/>
    <x v="0"/>
    <x v="3"/>
    <x v="61"/>
    <x v="0"/>
    <x v="29"/>
    <x v="913"/>
    <x v="9"/>
    <x v="55"/>
    <x v="1"/>
    <x v="1"/>
    <x v="1"/>
    <x v="1"/>
    <x v="832"/>
    <x v="1"/>
    <x v="29"/>
    <x v="1067"/>
    <x v="1067"/>
    <x v="1"/>
    <x v="1067"/>
    <x v="1071"/>
    <x v="1068"/>
    <x v="1062"/>
    <x v="1068"/>
    <x v="1071"/>
    <x v="1071"/>
    <x v="1071"/>
    <x v="1071"/>
    <x v="1071"/>
    <x v="1071"/>
    <x v="1071"/>
    <x v="1067"/>
    <x v="1061"/>
    <x v="1061"/>
    <x v="990"/>
    <x v="0"/>
    <x v="0"/>
    <x v="1155"/>
    <x v="1067"/>
    <x v="1067"/>
    <x v="1067"/>
    <x v="1067"/>
    <x v="8"/>
  </r>
  <r>
    <x v="868"/>
    <x v="432"/>
    <x v="0"/>
    <x v="0"/>
    <x v="0"/>
    <x v="0"/>
    <x v="0"/>
    <x v="0"/>
    <x v="0"/>
    <x v="0"/>
    <x v="8"/>
    <x v="0"/>
    <x v="542"/>
    <x v="1"/>
    <x v="0"/>
    <x v="0"/>
    <x v="0"/>
    <x v="868"/>
    <x v="2"/>
    <x v="9"/>
    <x v="9"/>
    <x v="0"/>
    <x v="0"/>
    <x v="3"/>
    <x v="128"/>
    <x v="0"/>
    <x v="24"/>
    <x v="898"/>
    <x v="9"/>
    <x v="55"/>
    <x v="1"/>
    <x v="1"/>
    <x v="1"/>
    <x v="1"/>
    <x v="361"/>
    <x v="1"/>
    <x v="24"/>
    <x v="542"/>
    <x v="542"/>
    <x v="0"/>
    <x v="542"/>
    <x v="500"/>
    <x v="513"/>
    <x v="487"/>
    <x v="513"/>
    <x v="500"/>
    <x v="500"/>
    <x v="500"/>
    <x v="500"/>
    <x v="500"/>
    <x v="500"/>
    <x v="500"/>
    <x v="542"/>
    <x v="486"/>
    <x v="486"/>
    <x v="483"/>
    <x v="0"/>
    <x v="0"/>
    <x v="576"/>
    <x v="542"/>
    <x v="542"/>
    <x v="542"/>
    <x v="542"/>
    <x v="8"/>
  </r>
  <r>
    <x v="869"/>
    <x v="421"/>
    <x v="0"/>
    <x v="0"/>
    <x v="0"/>
    <x v="0"/>
    <x v="0"/>
    <x v="1"/>
    <x v="0"/>
    <x v="0"/>
    <x v="8"/>
    <x v="0"/>
    <x v="233"/>
    <x v="1"/>
    <x v="0"/>
    <x v="0"/>
    <x v="0"/>
    <x v="869"/>
    <x v="1"/>
    <x v="9"/>
    <x v="9"/>
    <x v="0"/>
    <x v="0"/>
    <x v="3"/>
    <x v="128"/>
    <x v="0"/>
    <x v="29"/>
    <x v="904"/>
    <x v="10"/>
    <x v="65"/>
    <x v="1"/>
    <x v="2"/>
    <x v="2"/>
    <x v="1"/>
    <x v="285"/>
    <x v="2"/>
    <x v="29"/>
    <x v="233"/>
    <x v="233"/>
    <x v="0"/>
    <x v="233"/>
    <x v="265"/>
    <x v="261"/>
    <x v="268"/>
    <x v="261"/>
    <x v="265"/>
    <x v="265"/>
    <x v="265"/>
    <x v="265"/>
    <x v="265"/>
    <x v="265"/>
    <x v="265"/>
    <x v="233"/>
    <x v="267"/>
    <x v="267"/>
    <x v="204"/>
    <x v="0"/>
    <x v="0"/>
    <x v="344"/>
    <x v="233"/>
    <x v="233"/>
    <x v="233"/>
    <x v="233"/>
    <x v="8"/>
  </r>
  <r>
    <x v="870"/>
    <x v="450"/>
    <x v="0"/>
    <x v="0"/>
    <x v="0"/>
    <x v="0"/>
    <x v="0"/>
    <x v="0"/>
    <x v="0"/>
    <x v="0"/>
    <x v="8"/>
    <x v="0"/>
    <x v="1012"/>
    <x v="1"/>
    <x v="0"/>
    <x v="0"/>
    <x v="0"/>
    <x v="870"/>
    <x v="2"/>
    <x v="9"/>
    <x v="9"/>
    <x v="0"/>
    <x v="0"/>
    <x v="3"/>
    <x v="61"/>
    <x v="0"/>
    <x v="30"/>
    <x v="912"/>
    <x v="9"/>
    <x v="55"/>
    <x v="1"/>
    <x v="1"/>
    <x v="1"/>
    <x v="1"/>
    <x v="776"/>
    <x v="1"/>
    <x v="30"/>
    <x v="1012"/>
    <x v="1012"/>
    <x v="1"/>
    <x v="1012"/>
    <x v="1024"/>
    <x v="1018"/>
    <x v="1008"/>
    <x v="1018"/>
    <x v="1024"/>
    <x v="1024"/>
    <x v="1024"/>
    <x v="1024"/>
    <x v="1024"/>
    <x v="1024"/>
    <x v="1024"/>
    <x v="1012"/>
    <x v="1007"/>
    <x v="1007"/>
    <x v="941"/>
    <x v="0"/>
    <x v="0"/>
    <x v="1116"/>
    <x v="1012"/>
    <x v="1012"/>
    <x v="1012"/>
    <x v="1012"/>
    <x v="8"/>
  </r>
  <r>
    <x v="871"/>
    <x v="433"/>
    <x v="0"/>
    <x v="0"/>
    <x v="0"/>
    <x v="0"/>
    <x v="0"/>
    <x v="0"/>
    <x v="0"/>
    <x v="0"/>
    <x v="8"/>
    <x v="0"/>
    <x v="855"/>
    <x v="1"/>
    <x v="0"/>
    <x v="0"/>
    <x v="0"/>
    <x v="871"/>
    <x v="2"/>
    <x v="9"/>
    <x v="9"/>
    <x v="0"/>
    <x v="0"/>
    <x v="3"/>
    <x v="61"/>
    <x v="0"/>
    <x v="29"/>
    <x v="915"/>
    <x v="9"/>
    <x v="55"/>
    <x v="1"/>
    <x v="1"/>
    <x v="1"/>
    <x v="1"/>
    <x v="598"/>
    <x v="1"/>
    <x v="29"/>
    <x v="855"/>
    <x v="855"/>
    <x v="1"/>
    <x v="855"/>
    <x v="866"/>
    <x v="862"/>
    <x v="839"/>
    <x v="862"/>
    <x v="866"/>
    <x v="866"/>
    <x v="866"/>
    <x v="866"/>
    <x v="866"/>
    <x v="866"/>
    <x v="866"/>
    <x v="855"/>
    <x v="836"/>
    <x v="836"/>
    <x v="791"/>
    <x v="0"/>
    <x v="0"/>
    <x v="950"/>
    <x v="855"/>
    <x v="855"/>
    <x v="855"/>
    <x v="855"/>
    <x v="8"/>
  </r>
  <r>
    <x v="872"/>
    <x v="455"/>
    <x v="0"/>
    <x v="0"/>
    <x v="0"/>
    <x v="0"/>
    <x v="1"/>
    <x v="4"/>
    <x v="0"/>
    <x v="0"/>
    <x v="8"/>
    <x v="0"/>
    <x v="438"/>
    <x v="1"/>
    <x v="0"/>
    <x v="0"/>
    <x v="0"/>
    <x v="872"/>
    <x v="1"/>
    <x v="9"/>
    <x v="9"/>
    <x v="0"/>
    <x v="0"/>
    <x v="3"/>
    <x v="119"/>
    <x v="0"/>
    <x v="24"/>
    <x v="925"/>
    <x v="2"/>
    <x v="21"/>
    <x v="1"/>
    <x v="5"/>
    <x v="2"/>
    <x v="1"/>
    <x v="1126"/>
    <x v="5"/>
    <x v="24"/>
    <x v="438"/>
    <x v="438"/>
    <x v="0"/>
    <x v="438"/>
    <x v="550"/>
    <x v="503"/>
    <x v="620"/>
    <x v="503"/>
    <x v="550"/>
    <x v="550"/>
    <x v="550"/>
    <x v="550"/>
    <x v="550"/>
    <x v="550"/>
    <x v="550"/>
    <x v="438"/>
    <x v="619"/>
    <x v="619"/>
    <x v="417"/>
    <x v="0"/>
    <x v="0"/>
    <x v="689"/>
    <x v="438"/>
    <x v="438"/>
    <x v="438"/>
    <x v="438"/>
    <x v="8"/>
  </r>
  <r>
    <x v="873"/>
    <x v="433"/>
    <x v="0"/>
    <x v="0"/>
    <x v="0"/>
    <x v="0"/>
    <x v="0"/>
    <x v="1"/>
    <x v="0"/>
    <x v="0"/>
    <x v="8"/>
    <x v="0"/>
    <x v="892"/>
    <x v="1"/>
    <x v="0"/>
    <x v="0"/>
    <x v="0"/>
    <x v="873"/>
    <x v="1"/>
    <x v="9"/>
    <x v="9"/>
    <x v="0"/>
    <x v="0"/>
    <x v="3"/>
    <x v="61"/>
    <x v="0"/>
    <x v="29"/>
    <x v="914"/>
    <x v="10"/>
    <x v="65"/>
    <x v="1"/>
    <x v="2"/>
    <x v="2"/>
    <x v="1"/>
    <x v="978"/>
    <x v="2"/>
    <x v="29"/>
    <x v="892"/>
    <x v="892"/>
    <x v="1"/>
    <x v="892"/>
    <x v="969"/>
    <x v="956"/>
    <x v="977"/>
    <x v="956"/>
    <x v="969"/>
    <x v="969"/>
    <x v="969"/>
    <x v="969"/>
    <x v="969"/>
    <x v="969"/>
    <x v="969"/>
    <x v="892"/>
    <x v="975"/>
    <x v="975"/>
    <x v="835"/>
    <x v="0"/>
    <x v="0"/>
    <x v="1065"/>
    <x v="892"/>
    <x v="892"/>
    <x v="892"/>
    <x v="892"/>
    <x v="8"/>
  </r>
  <r>
    <x v="874"/>
    <x v="444"/>
    <x v="0"/>
    <x v="0"/>
    <x v="0"/>
    <x v="0"/>
    <x v="0"/>
    <x v="1"/>
    <x v="0"/>
    <x v="0"/>
    <x v="8"/>
    <x v="0"/>
    <x v="982"/>
    <x v="1"/>
    <x v="0"/>
    <x v="0"/>
    <x v="0"/>
    <x v="874"/>
    <x v="1"/>
    <x v="9"/>
    <x v="9"/>
    <x v="0"/>
    <x v="0"/>
    <x v="3"/>
    <x v="63"/>
    <x v="0"/>
    <x v="24"/>
    <x v="55"/>
    <x v="10"/>
    <x v="65"/>
    <x v="1"/>
    <x v="2"/>
    <x v="2"/>
    <x v="1"/>
    <x v="1048"/>
    <x v="2"/>
    <x v="24"/>
    <x v="982"/>
    <x v="982"/>
    <x v="1"/>
    <x v="982"/>
    <x v="1074"/>
    <x v="1059"/>
    <x v="1075"/>
    <x v="1059"/>
    <x v="1074"/>
    <x v="1074"/>
    <x v="1074"/>
    <x v="1074"/>
    <x v="1074"/>
    <x v="1074"/>
    <x v="1074"/>
    <x v="982"/>
    <x v="1074"/>
    <x v="1074"/>
    <x v="924"/>
    <x v="0"/>
    <x v="0"/>
    <x v="1108"/>
    <x v="982"/>
    <x v="982"/>
    <x v="982"/>
    <x v="982"/>
    <x v="8"/>
  </r>
  <r>
    <x v="875"/>
    <x v="491"/>
    <x v="0"/>
    <x v="0"/>
    <x v="0"/>
    <x v="0"/>
    <x v="0"/>
    <x v="0"/>
    <x v="0"/>
    <x v="0"/>
    <x v="8"/>
    <x v="0"/>
    <x v="1193"/>
    <x v="1"/>
    <x v="0"/>
    <x v="0"/>
    <x v="0"/>
    <x v="875"/>
    <x v="2"/>
    <x v="9"/>
    <x v="9"/>
    <x v="0"/>
    <x v="0"/>
    <x v="3"/>
    <x v="61"/>
    <x v="0"/>
    <x v="28"/>
    <x v="893"/>
    <x v="9"/>
    <x v="55"/>
    <x v="1"/>
    <x v="1"/>
    <x v="1"/>
    <x v="1"/>
    <x v="973"/>
    <x v="1"/>
    <x v="28"/>
    <x v="1191"/>
    <x v="1191"/>
    <x v="2"/>
    <x v="1191"/>
    <x v="1210"/>
    <x v="1206"/>
    <x v="1195"/>
    <x v="1206"/>
    <x v="1210"/>
    <x v="1210"/>
    <x v="1210"/>
    <x v="1210"/>
    <x v="1210"/>
    <x v="1210"/>
    <x v="1210"/>
    <x v="1191"/>
    <x v="1195"/>
    <x v="1195"/>
    <x v="1120"/>
    <x v="0"/>
    <x v="0"/>
    <x v="1259"/>
    <x v="1191"/>
    <x v="1191"/>
    <x v="1191"/>
    <x v="1191"/>
    <x v="8"/>
  </r>
  <r>
    <x v="876"/>
    <x v="432"/>
    <x v="0"/>
    <x v="0"/>
    <x v="0"/>
    <x v="0"/>
    <x v="0"/>
    <x v="0"/>
    <x v="0"/>
    <x v="0"/>
    <x v="8"/>
    <x v="0"/>
    <x v="1108"/>
    <x v="1"/>
    <x v="0"/>
    <x v="0"/>
    <x v="0"/>
    <x v="876"/>
    <x v="2"/>
    <x v="9"/>
    <x v="9"/>
    <x v="0"/>
    <x v="0"/>
    <x v="3"/>
    <x v="128"/>
    <x v="0"/>
    <x v="24"/>
    <x v="897"/>
    <x v="9"/>
    <x v="55"/>
    <x v="1"/>
    <x v="1"/>
    <x v="1"/>
    <x v="1"/>
    <x v="870"/>
    <x v="1"/>
    <x v="24"/>
    <x v="1106"/>
    <x v="1106"/>
    <x v="1"/>
    <x v="1106"/>
    <x v="1114"/>
    <x v="1110"/>
    <x v="1098"/>
    <x v="1110"/>
    <x v="1114"/>
    <x v="1114"/>
    <x v="1114"/>
    <x v="1114"/>
    <x v="1114"/>
    <x v="1114"/>
    <x v="1114"/>
    <x v="1106"/>
    <x v="1097"/>
    <x v="1097"/>
    <x v="1033"/>
    <x v="0"/>
    <x v="0"/>
    <x v="1145"/>
    <x v="1106"/>
    <x v="1106"/>
    <x v="1106"/>
    <x v="1106"/>
    <x v="8"/>
  </r>
  <r>
    <x v="877"/>
    <x v="462"/>
    <x v="0"/>
    <x v="0"/>
    <x v="0"/>
    <x v="0"/>
    <x v="0"/>
    <x v="1"/>
    <x v="0"/>
    <x v="0"/>
    <x v="8"/>
    <x v="0"/>
    <x v="1066"/>
    <x v="1"/>
    <x v="0"/>
    <x v="0"/>
    <x v="0"/>
    <x v="877"/>
    <x v="1"/>
    <x v="9"/>
    <x v="9"/>
    <x v="0"/>
    <x v="0"/>
    <x v="3"/>
    <x v="61"/>
    <x v="0"/>
    <x v="26"/>
    <x v="910"/>
    <x v="10"/>
    <x v="65"/>
    <x v="1"/>
    <x v="2"/>
    <x v="2"/>
    <x v="1"/>
    <x v="1103"/>
    <x v="2"/>
    <x v="26"/>
    <x v="1064"/>
    <x v="1064"/>
    <x v="1"/>
    <x v="1064"/>
    <x v="1138"/>
    <x v="1130"/>
    <x v="1141"/>
    <x v="1130"/>
    <x v="1138"/>
    <x v="1138"/>
    <x v="1138"/>
    <x v="1138"/>
    <x v="1138"/>
    <x v="1138"/>
    <x v="1138"/>
    <x v="1064"/>
    <x v="1139"/>
    <x v="1139"/>
    <x v="995"/>
    <x v="0"/>
    <x v="0"/>
    <x v="1192"/>
    <x v="1064"/>
    <x v="1064"/>
    <x v="1064"/>
    <x v="1064"/>
    <x v="8"/>
  </r>
  <r>
    <x v="878"/>
    <x v="472"/>
    <x v="0"/>
    <x v="0"/>
    <x v="0"/>
    <x v="0"/>
    <x v="0"/>
    <x v="1"/>
    <x v="0"/>
    <x v="0"/>
    <x v="8"/>
    <x v="0"/>
    <x v="1245"/>
    <x v="1"/>
    <x v="0"/>
    <x v="0"/>
    <x v="0"/>
    <x v="878"/>
    <x v="1"/>
    <x v="9"/>
    <x v="9"/>
    <x v="0"/>
    <x v="0"/>
    <x v="3"/>
    <x v="63"/>
    <x v="0"/>
    <x v="26"/>
    <x v="917"/>
    <x v="10"/>
    <x v="65"/>
    <x v="1"/>
    <x v="2"/>
    <x v="2"/>
    <x v="1"/>
    <x v="1248"/>
    <x v="2"/>
    <x v="26"/>
    <x v="1243"/>
    <x v="1243"/>
    <x v="2"/>
    <x v="1243"/>
    <x v="1306"/>
    <x v="1297"/>
    <x v="1311"/>
    <x v="1297"/>
    <x v="1306"/>
    <x v="1306"/>
    <x v="1306"/>
    <x v="1306"/>
    <x v="1306"/>
    <x v="1306"/>
    <x v="1306"/>
    <x v="1243"/>
    <x v="1310"/>
    <x v="1310"/>
    <x v="1173"/>
    <x v="0"/>
    <x v="0"/>
    <x v="1339"/>
    <x v="1243"/>
    <x v="1243"/>
    <x v="1243"/>
    <x v="1243"/>
    <x v="8"/>
  </r>
  <r>
    <x v="879"/>
    <x v="480"/>
    <x v="0"/>
    <x v="0"/>
    <x v="0"/>
    <x v="0"/>
    <x v="1"/>
    <x v="4"/>
    <x v="0"/>
    <x v="0"/>
    <x v="8"/>
    <x v="0"/>
    <x v="1077"/>
    <x v="1"/>
    <x v="0"/>
    <x v="0"/>
    <x v="0"/>
    <x v="879"/>
    <x v="1"/>
    <x v="9"/>
    <x v="9"/>
    <x v="0"/>
    <x v="0"/>
    <x v="3"/>
    <x v="119"/>
    <x v="0"/>
    <x v="25"/>
    <x v="928"/>
    <x v="2"/>
    <x v="21"/>
    <x v="1"/>
    <x v="5"/>
    <x v="2"/>
    <x v="1"/>
    <x v="1331"/>
    <x v="5"/>
    <x v="25"/>
    <x v="1075"/>
    <x v="1075"/>
    <x v="1"/>
    <x v="1075"/>
    <x v="1177"/>
    <x v="1146"/>
    <x v="1209"/>
    <x v="1146"/>
    <x v="1177"/>
    <x v="1177"/>
    <x v="1177"/>
    <x v="1177"/>
    <x v="1177"/>
    <x v="1177"/>
    <x v="1177"/>
    <x v="1075"/>
    <x v="1207"/>
    <x v="1207"/>
    <x v="1031"/>
    <x v="0"/>
    <x v="0"/>
    <x v="1247"/>
    <x v="1075"/>
    <x v="1075"/>
    <x v="1075"/>
    <x v="1075"/>
    <x v="8"/>
  </r>
  <r>
    <x v="880"/>
    <x v="473"/>
    <x v="0"/>
    <x v="0"/>
    <x v="0"/>
    <x v="0"/>
    <x v="0"/>
    <x v="1"/>
    <x v="0"/>
    <x v="0"/>
    <x v="8"/>
    <x v="0"/>
    <x v="409"/>
    <x v="1"/>
    <x v="0"/>
    <x v="0"/>
    <x v="0"/>
    <x v="880"/>
    <x v="1"/>
    <x v="9"/>
    <x v="9"/>
    <x v="0"/>
    <x v="0"/>
    <x v="3"/>
    <x v="61"/>
    <x v="0"/>
    <x v="26"/>
    <x v="906"/>
    <x v="10"/>
    <x v="65"/>
    <x v="1"/>
    <x v="2"/>
    <x v="2"/>
    <x v="1"/>
    <x v="612"/>
    <x v="2"/>
    <x v="26"/>
    <x v="409"/>
    <x v="409"/>
    <x v="0"/>
    <x v="409"/>
    <x v="476"/>
    <x v="471"/>
    <x v="494"/>
    <x v="471"/>
    <x v="476"/>
    <x v="476"/>
    <x v="476"/>
    <x v="476"/>
    <x v="476"/>
    <x v="476"/>
    <x v="476"/>
    <x v="409"/>
    <x v="490"/>
    <x v="490"/>
    <x v="375"/>
    <x v="0"/>
    <x v="0"/>
    <x v="607"/>
    <x v="409"/>
    <x v="409"/>
    <x v="409"/>
    <x v="409"/>
    <x v="8"/>
  </r>
  <r>
    <x v="881"/>
    <x v="474"/>
    <x v="0"/>
    <x v="0"/>
    <x v="0"/>
    <x v="0"/>
    <x v="0"/>
    <x v="0"/>
    <x v="0"/>
    <x v="0"/>
    <x v="8"/>
    <x v="0"/>
    <x v="23"/>
    <x v="1"/>
    <x v="0"/>
    <x v="0"/>
    <x v="0"/>
    <x v="881"/>
    <x v="2"/>
    <x v="9"/>
    <x v="9"/>
    <x v="0"/>
    <x v="0"/>
    <x v="3"/>
    <x v="61"/>
    <x v="0"/>
    <x v="26"/>
    <x v="883"/>
    <x v="9"/>
    <x v="55"/>
    <x v="1"/>
    <x v="1"/>
    <x v="1"/>
    <x v="1"/>
    <x v="13"/>
    <x v="1"/>
    <x v="26"/>
    <x v="24"/>
    <x v="24"/>
    <x v="0"/>
    <x v="24"/>
    <x v="19"/>
    <x v="21"/>
    <x v="18"/>
    <x v="21"/>
    <x v="19"/>
    <x v="19"/>
    <x v="19"/>
    <x v="19"/>
    <x v="19"/>
    <x v="19"/>
    <x v="19"/>
    <x v="24"/>
    <x v="18"/>
    <x v="18"/>
    <x v="20"/>
    <x v="0"/>
    <x v="0"/>
    <x v="29"/>
    <x v="24"/>
    <x v="24"/>
    <x v="24"/>
    <x v="24"/>
    <x v="8"/>
  </r>
  <r>
    <x v="882"/>
    <x v="478"/>
    <x v="0"/>
    <x v="0"/>
    <x v="0"/>
    <x v="0"/>
    <x v="0"/>
    <x v="1"/>
    <x v="0"/>
    <x v="0"/>
    <x v="8"/>
    <x v="0"/>
    <x v="600"/>
    <x v="1"/>
    <x v="0"/>
    <x v="0"/>
    <x v="0"/>
    <x v="882"/>
    <x v="1"/>
    <x v="9"/>
    <x v="9"/>
    <x v="0"/>
    <x v="0"/>
    <x v="3"/>
    <x v="128"/>
    <x v="0"/>
    <x v="26"/>
    <x v="911"/>
    <x v="10"/>
    <x v="65"/>
    <x v="1"/>
    <x v="2"/>
    <x v="2"/>
    <x v="1"/>
    <x v="739"/>
    <x v="2"/>
    <x v="26"/>
    <x v="600"/>
    <x v="600"/>
    <x v="0"/>
    <x v="600"/>
    <x v="688"/>
    <x v="690"/>
    <x v="688"/>
    <x v="690"/>
    <x v="688"/>
    <x v="688"/>
    <x v="688"/>
    <x v="688"/>
    <x v="688"/>
    <x v="688"/>
    <x v="688"/>
    <x v="600"/>
    <x v="684"/>
    <x v="684"/>
    <x v="554"/>
    <x v="0"/>
    <x v="0"/>
    <x v="769"/>
    <x v="600"/>
    <x v="600"/>
    <x v="600"/>
    <x v="600"/>
    <x v="8"/>
  </r>
  <r>
    <x v="883"/>
    <x v="477"/>
    <x v="0"/>
    <x v="0"/>
    <x v="0"/>
    <x v="0"/>
    <x v="0"/>
    <x v="0"/>
    <x v="0"/>
    <x v="0"/>
    <x v="8"/>
    <x v="0"/>
    <x v="279"/>
    <x v="1"/>
    <x v="0"/>
    <x v="0"/>
    <x v="0"/>
    <x v="883"/>
    <x v="2"/>
    <x v="9"/>
    <x v="9"/>
    <x v="0"/>
    <x v="0"/>
    <x v="3"/>
    <x v="119"/>
    <x v="0"/>
    <x v="28"/>
    <x v="54"/>
    <x v="9"/>
    <x v="55"/>
    <x v="1"/>
    <x v="1"/>
    <x v="1"/>
    <x v="1"/>
    <x v="184"/>
    <x v="1"/>
    <x v="28"/>
    <x v="279"/>
    <x v="279"/>
    <x v="0"/>
    <x v="279"/>
    <x v="284"/>
    <x v="283"/>
    <x v="276"/>
    <x v="283"/>
    <x v="284"/>
    <x v="284"/>
    <x v="284"/>
    <x v="284"/>
    <x v="284"/>
    <x v="284"/>
    <x v="284"/>
    <x v="279"/>
    <x v="276"/>
    <x v="276"/>
    <x v="244"/>
    <x v="0"/>
    <x v="0"/>
    <x v="350"/>
    <x v="279"/>
    <x v="279"/>
    <x v="279"/>
    <x v="279"/>
    <x v="8"/>
  </r>
  <r>
    <x v="884"/>
    <x v="473"/>
    <x v="0"/>
    <x v="0"/>
    <x v="0"/>
    <x v="0"/>
    <x v="0"/>
    <x v="1"/>
    <x v="0"/>
    <x v="0"/>
    <x v="8"/>
    <x v="0"/>
    <x v="86"/>
    <x v="1"/>
    <x v="0"/>
    <x v="0"/>
    <x v="0"/>
    <x v="884"/>
    <x v="1"/>
    <x v="9"/>
    <x v="9"/>
    <x v="0"/>
    <x v="0"/>
    <x v="3"/>
    <x v="61"/>
    <x v="0"/>
    <x v="26"/>
    <x v="907"/>
    <x v="10"/>
    <x v="65"/>
    <x v="1"/>
    <x v="2"/>
    <x v="2"/>
    <x v="1"/>
    <x v="76"/>
    <x v="2"/>
    <x v="26"/>
    <x v="87"/>
    <x v="87"/>
    <x v="0"/>
    <x v="87"/>
    <x v="96"/>
    <x v="98"/>
    <x v="93"/>
    <x v="98"/>
    <x v="96"/>
    <x v="96"/>
    <x v="96"/>
    <x v="96"/>
    <x v="96"/>
    <x v="96"/>
    <x v="96"/>
    <x v="87"/>
    <x v="92"/>
    <x v="92"/>
    <x v="72"/>
    <x v="0"/>
    <x v="0"/>
    <x v="115"/>
    <x v="87"/>
    <x v="87"/>
    <x v="87"/>
    <x v="87"/>
    <x v="8"/>
  </r>
  <r>
    <x v="885"/>
    <x v="484"/>
    <x v="0"/>
    <x v="0"/>
    <x v="0"/>
    <x v="0"/>
    <x v="0"/>
    <x v="0"/>
    <x v="0"/>
    <x v="0"/>
    <x v="8"/>
    <x v="0"/>
    <x v="485"/>
    <x v="1"/>
    <x v="0"/>
    <x v="0"/>
    <x v="0"/>
    <x v="885"/>
    <x v="2"/>
    <x v="9"/>
    <x v="9"/>
    <x v="0"/>
    <x v="0"/>
    <x v="3"/>
    <x v="61"/>
    <x v="0"/>
    <x v="25"/>
    <x v="903"/>
    <x v="9"/>
    <x v="55"/>
    <x v="1"/>
    <x v="1"/>
    <x v="1"/>
    <x v="1"/>
    <x v="323"/>
    <x v="1"/>
    <x v="25"/>
    <x v="485"/>
    <x v="485"/>
    <x v="0"/>
    <x v="485"/>
    <x v="456"/>
    <x v="459"/>
    <x v="446"/>
    <x v="459"/>
    <x v="456"/>
    <x v="456"/>
    <x v="456"/>
    <x v="456"/>
    <x v="456"/>
    <x v="456"/>
    <x v="456"/>
    <x v="485"/>
    <x v="443"/>
    <x v="443"/>
    <x v="426"/>
    <x v="0"/>
    <x v="0"/>
    <x v="554"/>
    <x v="485"/>
    <x v="485"/>
    <x v="485"/>
    <x v="485"/>
    <x v="8"/>
  </r>
  <r>
    <x v="886"/>
    <x v="485"/>
    <x v="0"/>
    <x v="0"/>
    <x v="0"/>
    <x v="0"/>
    <x v="0"/>
    <x v="0"/>
    <x v="0"/>
    <x v="0"/>
    <x v="8"/>
    <x v="0"/>
    <x v="7"/>
    <x v="1"/>
    <x v="0"/>
    <x v="0"/>
    <x v="0"/>
    <x v="886"/>
    <x v="2"/>
    <x v="9"/>
    <x v="9"/>
    <x v="0"/>
    <x v="0"/>
    <x v="3"/>
    <x v="61"/>
    <x v="0"/>
    <x v="25"/>
    <x v="901"/>
    <x v="9"/>
    <x v="55"/>
    <x v="1"/>
    <x v="1"/>
    <x v="1"/>
    <x v="1"/>
    <x v="7"/>
    <x v="1"/>
    <x v="25"/>
    <x v="8"/>
    <x v="8"/>
    <x v="0"/>
    <x v="8"/>
    <x v="8"/>
    <x v="8"/>
    <x v="8"/>
    <x v="8"/>
    <x v="8"/>
    <x v="8"/>
    <x v="8"/>
    <x v="8"/>
    <x v="8"/>
    <x v="8"/>
    <x v="8"/>
    <x v="8"/>
    <x v="8"/>
    <x v="8"/>
    <x v="8"/>
    <x v="0"/>
    <x v="0"/>
    <x v="7"/>
    <x v="8"/>
    <x v="8"/>
    <x v="8"/>
    <x v="8"/>
    <x v="8"/>
  </r>
  <r>
    <x v="887"/>
    <x v="480"/>
    <x v="0"/>
    <x v="0"/>
    <x v="0"/>
    <x v="0"/>
    <x v="1"/>
    <x v="4"/>
    <x v="0"/>
    <x v="0"/>
    <x v="8"/>
    <x v="0"/>
    <x v="342"/>
    <x v="1"/>
    <x v="0"/>
    <x v="0"/>
    <x v="0"/>
    <x v="887"/>
    <x v="1"/>
    <x v="9"/>
    <x v="9"/>
    <x v="0"/>
    <x v="0"/>
    <x v="3"/>
    <x v="119"/>
    <x v="0"/>
    <x v="25"/>
    <x v="926"/>
    <x v="2"/>
    <x v="21"/>
    <x v="1"/>
    <x v="5"/>
    <x v="2"/>
    <x v="1"/>
    <x v="1043"/>
    <x v="5"/>
    <x v="25"/>
    <x v="342"/>
    <x v="342"/>
    <x v="0"/>
    <x v="342"/>
    <x v="404"/>
    <x v="384"/>
    <x v="437"/>
    <x v="384"/>
    <x v="404"/>
    <x v="404"/>
    <x v="404"/>
    <x v="404"/>
    <x v="404"/>
    <x v="404"/>
    <x v="404"/>
    <x v="342"/>
    <x v="436"/>
    <x v="436"/>
    <x v="318"/>
    <x v="0"/>
    <x v="0"/>
    <x v="542"/>
    <x v="342"/>
    <x v="342"/>
    <x v="342"/>
    <x v="342"/>
    <x v="8"/>
  </r>
  <r>
    <x v="888"/>
    <x v="490"/>
    <x v="0"/>
    <x v="0"/>
    <x v="0"/>
    <x v="0"/>
    <x v="0"/>
    <x v="0"/>
    <x v="0"/>
    <x v="0"/>
    <x v="8"/>
    <x v="0"/>
    <x v="507"/>
    <x v="1"/>
    <x v="0"/>
    <x v="0"/>
    <x v="0"/>
    <x v="888"/>
    <x v="2"/>
    <x v="9"/>
    <x v="9"/>
    <x v="0"/>
    <x v="0"/>
    <x v="3"/>
    <x v="61"/>
    <x v="0"/>
    <x v="28"/>
    <x v="896"/>
    <x v="9"/>
    <x v="55"/>
    <x v="1"/>
    <x v="1"/>
    <x v="1"/>
    <x v="1"/>
    <x v="336"/>
    <x v="1"/>
    <x v="28"/>
    <x v="507"/>
    <x v="507"/>
    <x v="0"/>
    <x v="507"/>
    <x v="474"/>
    <x v="480"/>
    <x v="461"/>
    <x v="480"/>
    <x v="474"/>
    <x v="474"/>
    <x v="474"/>
    <x v="474"/>
    <x v="474"/>
    <x v="474"/>
    <x v="474"/>
    <x v="507"/>
    <x v="461"/>
    <x v="461"/>
    <x v="447"/>
    <x v="0"/>
    <x v="0"/>
    <x v="611"/>
    <x v="507"/>
    <x v="507"/>
    <x v="507"/>
    <x v="507"/>
    <x v="8"/>
  </r>
  <r>
    <x v="889"/>
    <x v="500"/>
    <x v="0"/>
    <x v="0"/>
    <x v="0"/>
    <x v="0"/>
    <x v="0"/>
    <x v="0"/>
    <x v="0"/>
    <x v="0"/>
    <x v="8"/>
    <x v="0"/>
    <x v="538"/>
    <x v="1"/>
    <x v="0"/>
    <x v="0"/>
    <x v="0"/>
    <x v="889"/>
    <x v="2"/>
    <x v="9"/>
    <x v="9"/>
    <x v="0"/>
    <x v="0"/>
    <x v="3"/>
    <x v="128"/>
    <x v="0"/>
    <x v="26"/>
    <x v="886"/>
    <x v="9"/>
    <x v="55"/>
    <x v="1"/>
    <x v="1"/>
    <x v="1"/>
    <x v="1"/>
    <x v="359"/>
    <x v="1"/>
    <x v="26"/>
    <x v="538"/>
    <x v="538"/>
    <x v="0"/>
    <x v="538"/>
    <x v="497"/>
    <x v="510"/>
    <x v="485"/>
    <x v="510"/>
    <x v="497"/>
    <x v="497"/>
    <x v="497"/>
    <x v="497"/>
    <x v="497"/>
    <x v="497"/>
    <x v="497"/>
    <x v="538"/>
    <x v="484"/>
    <x v="484"/>
    <x v="481"/>
    <x v="0"/>
    <x v="0"/>
    <x v="604"/>
    <x v="538"/>
    <x v="538"/>
    <x v="538"/>
    <x v="538"/>
    <x v="8"/>
  </r>
  <r>
    <x v="890"/>
    <x v="480"/>
    <x v="0"/>
    <x v="0"/>
    <x v="0"/>
    <x v="0"/>
    <x v="0"/>
    <x v="2"/>
    <x v="0"/>
    <x v="0"/>
    <x v="8"/>
    <x v="0"/>
    <x v="1061"/>
    <x v="1"/>
    <x v="0"/>
    <x v="0"/>
    <x v="0"/>
    <x v="890"/>
    <x v="1"/>
    <x v="9"/>
    <x v="9"/>
    <x v="0"/>
    <x v="0"/>
    <x v="3"/>
    <x v="119"/>
    <x v="0"/>
    <x v="25"/>
    <x v="927"/>
    <x v="1"/>
    <x v="7"/>
    <x v="1"/>
    <x v="3"/>
    <x v="2"/>
    <x v="1"/>
    <x v="1216"/>
    <x v="3"/>
    <x v="25"/>
    <x v="1059"/>
    <x v="1059"/>
    <x v="1"/>
    <x v="1059"/>
    <x v="1145"/>
    <x v="1121"/>
    <x v="1157"/>
    <x v="1121"/>
    <x v="1145"/>
    <x v="1145"/>
    <x v="1145"/>
    <x v="1145"/>
    <x v="1145"/>
    <x v="1145"/>
    <x v="1145"/>
    <x v="1059"/>
    <x v="1152"/>
    <x v="1152"/>
    <x v="999"/>
    <x v="0"/>
    <x v="0"/>
    <x v="1195"/>
    <x v="1059"/>
    <x v="1059"/>
    <x v="1059"/>
    <x v="1059"/>
    <x v="8"/>
  </r>
  <r>
    <x v="891"/>
    <x v="500"/>
    <x v="0"/>
    <x v="0"/>
    <x v="0"/>
    <x v="0"/>
    <x v="0"/>
    <x v="0"/>
    <x v="0"/>
    <x v="0"/>
    <x v="8"/>
    <x v="0"/>
    <x v="1063"/>
    <x v="1"/>
    <x v="0"/>
    <x v="0"/>
    <x v="0"/>
    <x v="891"/>
    <x v="2"/>
    <x v="9"/>
    <x v="9"/>
    <x v="0"/>
    <x v="0"/>
    <x v="3"/>
    <x v="128"/>
    <x v="0"/>
    <x v="26"/>
    <x v="53"/>
    <x v="9"/>
    <x v="55"/>
    <x v="1"/>
    <x v="1"/>
    <x v="1"/>
    <x v="1"/>
    <x v="828"/>
    <x v="1"/>
    <x v="26"/>
    <x v="1061"/>
    <x v="1061"/>
    <x v="1"/>
    <x v="1061"/>
    <x v="1067"/>
    <x v="1062"/>
    <x v="1056"/>
    <x v="1062"/>
    <x v="1067"/>
    <x v="1067"/>
    <x v="1067"/>
    <x v="1067"/>
    <x v="1067"/>
    <x v="1067"/>
    <x v="1067"/>
    <x v="1061"/>
    <x v="1055"/>
    <x v="1055"/>
    <x v="985"/>
    <x v="0"/>
    <x v="0"/>
    <x v="1112"/>
    <x v="1061"/>
    <x v="1061"/>
    <x v="1061"/>
    <x v="1061"/>
    <x v="8"/>
  </r>
  <r>
    <x v="892"/>
    <x v="491"/>
    <x v="0"/>
    <x v="0"/>
    <x v="0"/>
    <x v="0"/>
    <x v="0"/>
    <x v="0"/>
    <x v="0"/>
    <x v="0"/>
    <x v="8"/>
    <x v="0"/>
    <x v="559"/>
    <x v="1"/>
    <x v="0"/>
    <x v="0"/>
    <x v="0"/>
    <x v="892"/>
    <x v="2"/>
    <x v="9"/>
    <x v="9"/>
    <x v="0"/>
    <x v="0"/>
    <x v="3"/>
    <x v="61"/>
    <x v="0"/>
    <x v="28"/>
    <x v="895"/>
    <x v="9"/>
    <x v="55"/>
    <x v="1"/>
    <x v="1"/>
    <x v="1"/>
    <x v="1"/>
    <x v="372"/>
    <x v="1"/>
    <x v="28"/>
    <x v="559"/>
    <x v="559"/>
    <x v="0"/>
    <x v="559"/>
    <x v="516"/>
    <x v="524"/>
    <x v="501"/>
    <x v="524"/>
    <x v="516"/>
    <x v="516"/>
    <x v="516"/>
    <x v="516"/>
    <x v="516"/>
    <x v="516"/>
    <x v="516"/>
    <x v="559"/>
    <x v="501"/>
    <x v="501"/>
    <x v="497"/>
    <x v="0"/>
    <x v="0"/>
    <x v="647"/>
    <x v="559"/>
    <x v="559"/>
    <x v="559"/>
    <x v="559"/>
    <x v="8"/>
  </r>
  <r>
    <x v="893"/>
    <x v="493"/>
    <x v="0"/>
    <x v="0"/>
    <x v="0"/>
    <x v="0"/>
    <x v="1"/>
    <x v="4"/>
    <x v="0"/>
    <x v="0"/>
    <x v="8"/>
    <x v="0"/>
    <x v="685"/>
    <x v="1"/>
    <x v="0"/>
    <x v="0"/>
    <x v="0"/>
    <x v="893"/>
    <x v="1"/>
    <x v="9"/>
    <x v="9"/>
    <x v="0"/>
    <x v="0"/>
    <x v="3"/>
    <x v="122"/>
    <x v="0"/>
    <x v="26"/>
    <x v="879"/>
    <x v="2"/>
    <x v="21"/>
    <x v="1"/>
    <x v="5"/>
    <x v="2"/>
    <x v="1"/>
    <x v="1204"/>
    <x v="5"/>
    <x v="26"/>
    <x v="685"/>
    <x v="685"/>
    <x v="1"/>
    <x v="685"/>
    <x v="794"/>
    <x v="754"/>
    <x v="828"/>
    <x v="754"/>
    <x v="794"/>
    <x v="794"/>
    <x v="794"/>
    <x v="794"/>
    <x v="794"/>
    <x v="794"/>
    <x v="794"/>
    <x v="685"/>
    <x v="825"/>
    <x v="825"/>
    <x v="661"/>
    <x v="0"/>
    <x v="0"/>
    <x v="889"/>
    <x v="685"/>
    <x v="685"/>
    <x v="685"/>
    <x v="685"/>
    <x v="8"/>
  </r>
  <r>
    <x v="894"/>
    <x v="501"/>
    <x v="0"/>
    <x v="0"/>
    <x v="0"/>
    <x v="0"/>
    <x v="0"/>
    <x v="2"/>
    <x v="0"/>
    <x v="0"/>
    <x v="8"/>
    <x v="0"/>
    <x v="502"/>
    <x v="1"/>
    <x v="0"/>
    <x v="0"/>
    <x v="0"/>
    <x v="894"/>
    <x v="1"/>
    <x v="9"/>
    <x v="9"/>
    <x v="0"/>
    <x v="0"/>
    <x v="3"/>
    <x v="119"/>
    <x v="0"/>
    <x v="26"/>
    <x v="924"/>
    <x v="1"/>
    <x v="7"/>
    <x v="1"/>
    <x v="3"/>
    <x v="2"/>
    <x v="1"/>
    <x v="882"/>
    <x v="3"/>
    <x v="26"/>
    <x v="502"/>
    <x v="502"/>
    <x v="0"/>
    <x v="502"/>
    <x v="620"/>
    <x v="601"/>
    <x v="637"/>
    <x v="601"/>
    <x v="620"/>
    <x v="620"/>
    <x v="620"/>
    <x v="620"/>
    <x v="620"/>
    <x v="620"/>
    <x v="620"/>
    <x v="502"/>
    <x v="635"/>
    <x v="635"/>
    <x v="472"/>
    <x v="0"/>
    <x v="0"/>
    <x v="733"/>
    <x v="502"/>
    <x v="502"/>
    <x v="502"/>
    <x v="502"/>
    <x v="8"/>
  </r>
  <r>
    <x v="895"/>
    <x v="528"/>
    <x v="0"/>
    <x v="0"/>
    <x v="0"/>
    <x v="0"/>
    <x v="0"/>
    <x v="0"/>
    <x v="0"/>
    <x v="0"/>
    <x v="8"/>
    <x v="0"/>
    <x v="1016"/>
    <x v="1"/>
    <x v="0"/>
    <x v="0"/>
    <x v="0"/>
    <x v="895"/>
    <x v="2"/>
    <x v="9"/>
    <x v="9"/>
    <x v="0"/>
    <x v="0"/>
    <x v="3"/>
    <x v="128"/>
    <x v="0"/>
    <x v="27"/>
    <x v="884"/>
    <x v="9"/>
    <x v="55"/>
    <x v="1"/>
    <x v="1"/>
    <x v="1"/>
    <x v="1"/>
    <x v="780"/>
    <x v="1"/>
    <x v="27"/>
    <x v="1016"/>
    <x v="1016"/>
    <x v="1"/>
    <x v="1016"/>
    <x v="1027"/>
    <x v="1021"/>
    <x v="1012"/>
    <x v="1021"/>
    <x v="1027"/>
    <x v="1027"/>
    <x v="1027"/>
    <x v="1027"/>
    <x v="1027"/>
    <x v="1027"/>
    <x v="1027"/>
    <x v="1016"/>
    <x v="1010"/>
    <x v="1010"/>
    <x v="945"/>
    <x v="0"/>
    <x v="0"/>
    <x v="1078"/>
    <x v="1016"/>
    <x v="1016"/>
    <x v="1016"/>
    <x v="1016"/>
    <x v="8"/>
  </r>
  <r>
    <x v="896"/>
    <x v="511"/>
    <x v="0"/>
    <x v="0"/>
    <x v="0"/>
    <x v="0"/>
    <x v="1"/>
    <x v="4"/>
    <x v="0"/>
    <x v="0"/>
    <x v="8"/>
    <x v="0"/>
    <x v="270"/>
    <x v="1"/>
    <x v="0"/>
    <x v="0"/>
    <x v="0"/>
    <x v="896"/>
    <x v="1"/>
    <x v="9"/>
    <x v="9"/>
    <x v="0"/>
    <x v="0"/>
    <x v="3"/>
    <x v="69"/>
    <x v="0"/>
    <x v="19"/>
    <x v="878"/>
    <x v="2"/>
    <x v="21"/>
    <x v="1"/>
    <x v="5"/>
    <x v="2"/>
    <x v="1"/>
    <x v="927"/>
    <x v="5"/>
    <x v="19"/>
    <x v="270"/>
    <x v="270"/>
    <x v="0"/>
    <x v="270"/>
    <x v="313"/>
    <x v="303"/>
    <x v="332"/>
    <x v="303"/>
    <x v="313"/>
    <x v="313"/>
    <x v="313"/>
    <x v="313"/>
    <x v="313"/>
    <x v="313"/>
    <x v="313"/>
    <x v="270"/>
    <x v="332"/>
    <x v="332"/>
    <x v="247"/>
    <x v="0"/>
    <x v="0"/>
    <x v="363"/>
    <x v="270"/>
    <x v="270"/>
    <x v="270"/>
    <x v="270"/>
    <x v="8"/>
  </r>
  <r>
    <x v="897"/>
    <x v="505"/>
    <x v="0"/>
    <x v="0"/>
    <x v="0"/>
    <x v="0"/>
    <x v="0"/>
    <x v="2"/>
    <x v="0"/>
    <x v="0"/>
    <x v="8"/>
    <x v="0"/>
    <x v="595"/>
    <x v="1"/>
    <x v="0"/>
    <x v="0"/>
    <x v="0"/>
    <x v="897"/>
    <x v="1"/>
    <x v="9"/>
    <x v="9"/>
    <x v="0"/>
    <x v="0"/>
    <x v="3"/>
    <x v="67"/>
    <x v="0"/>
    <x v="27"/>
    <x v="921"/>
    <x v="1"/>
    <x v="7"/>
    <x v="1"/>
    <x v="3"/>
    <x v="2"/>
    <x v="1"/>
    <x v="933"/>
    <x v="3"/>
    <x v="27"/>
    <x v="595"/>
    <x v="595"/>
    <x v="0"/>
    <x v="595"/>
    <x v="695"/>
    <x v="687"/>
    <x v="720"/>
    <x v="687"/>
    <x v="695"/>
    <x v="695"/>
    <x v="695"/>
    <x v="695"/>
    <x v="695"/>
    <x v="695"/>
    <x v="695"/>
    <x v="595"/>
    <x v="712"/>
    <x v="712"/>
    <x v="570"/>
    <x v="0"/>
    <x v="0"/>
    <x v="812"/>
    <x v="595"/>
    <x v="595"/>
    <x v="595"/>
    <x v="595"/>
    <x v="8"/>
  </r>
  <r>
    <x v="898"/>
    <x v="484"/>
    <x v="0"/>
    <x v="0"/>
    <x v="0"/>
    <x v="0"/>
    <x v="0"/>
    <x v="0"/>
    <x v="0"/>
    <x v="0"/>
    <x v="8"/>
    <x v="0"/>
    <x v="1030"/>
    <x v="1"/>
    <x v="0"/>
    <x v="0"/>
    <x v="0"/>
    <x v="898"/>
    <x v="2"/>
    <x v="9"/>
    <x v="9"/>
    <x v="0"/>
    <x v="0"/>
    <x v="3"/>
    <x v="61"/>
    <x v="0"/>
    <x v="25"/>
    <x v="902"/>
    <x v="9"/>
    <x v="55"/>
    <x v="1"/>
    <x v="1"/>
    <x v="1"/>
    <x v="1"/>
    <x v="794"/>
    <x v="1"/>
    <x v="25"/>
    <x v="1030"/>
    <x v="1030"/>
    <x v="1"/>
    <x v="1030"/>
    <x v="1040"/>
    <x v="1036"/>
    <x v="1026"/>
    <x v="1036"/>
    <x v="1040"/>
    <x v="1040"/>
    <x v="1040"/>
    <x v="1040"/>
    <x v="1040"/>
    <x v="1040"/>
    <x v="1040"/>
    <x v="1030"/>
    <x v="1024"/>
    <x v="1024"/>
    <x v="957"/>
    <x v="0"/>
    <x v="0"/>
    <x v="1061"/>
    <x v="1030"/>
    <x v="1030"/>
    <x v="1030"/>
    <x v="1030"/>
    <x v="8"/>
  </r>
  <r>
    <x v="899"/>
    <x v="522"/>
    <x v="0"/>
    <x v="0"/>
    <x v="0"/>
    <x v="0"/>
    <x v="0"/>
    <x v="0"/>
    <x v="0"/>
    <x v="0"/>
    <x v="8"/>
    <x v="0"/>
    <x v="594"/>
    <x v="1"/>
    <x v="0"/>
    <x v="0"/>
    <x v="0"/>
    <x v="899"/>
    <x v="2"/>
    <x v="9"/>
    <x v="9"/>
    <x v="0"/>
    <x v="0"/>
    <x v="3"/>
    <x v="128"/>
    <x v="0"/>
    <x v="27"/>
    <x v="887"/>
    <x v="9"/>
    <x v="55"/>
    <x v="1"/>
    <x v="1"/>
    <x v="1"/>
    <x v="1"/>
    <x v="390"/>
    <x v="1"/>
    <x v="27"/>
    <x v="594"/>
    <x v="594"/>
    <x v="0"/>
    <x v="594"/>
    <x v="539"/>
    <x v="552"/>
    <x v="524"/>
    <x v="552"/>
    <x v="539"/>
    <x v="539"/>
    <x v="539"/>
    <x v="539"/>
    <x v="539"/>
    <x v="539"/>
    <x v="539"/>
    <x v="594"/>
    <x v="524"/>
    <x v="524"/>
    <x v="529"/>
    <x v="0"/>
    <x v="0"/>
    <x v="657"/>
    <x v="594"/>
    <x v="594"/>
    <x v="594"/>
    <x v="594"/>
    <x v="8"/>
  </r>
  <r>
    <x v="900"/>
    <x v="491"/>
    <x v="0"/>
    <x v="0"/>
    <x v="0"/>
    <x v="0"/>
    <x v="0"/>
    <x v="0"/>
    <x v="0"/>
    <x v="0"/>
    <x v="8"/>
    <x v="0"/>
    <x v="1045"/>
    <x v="1"/>
    <x v="0"/>
    <x v="0"/>
    <x v="0"/>
    <x v="900"/>
    <x v="2"/>
    <x v="9"/>
    <x v="9"/>
    <x v="0"/>
    <x v="0"/>
    <x v="3"/>
    <x v="61"/>
    <x v="0"/>
    <x v="28"/>
    <x v="894"/>
    <x v="9"/>
    <x v="55"/>
    <x v="1"/>
    <x v="1"/>
    <x v="1"/>
    <x v="1"/>
    <x v="807"/>
    <x v="1"/>
    <x v="28"/>
    <x v="1044"/>
    <x v="1044"/>
    <x v="1"/>
    <x v="1044"/>
    <x v="1052"/>
    <x v="1047"/>
    <x v="1037"/>
    <x v="1047"/>
    <x v="1052"/>
    <x v="1052"/>
    <x v="1052"/>
    <x v="1052"/>
    <x v="1052"/>
    <x v="1052"/>
    <x v="1052"/>
    <x v="1044"/>
    <x v="1036"/>
    <x v="1036"/>
    <x v="971"/>
    <x v="0"/>
    <x v="0"/>
    <x v="1119"/>
    <x v="1044"/>
    <x v="1044"/>
    <x v="1044"/>
    <x v="1044"/>
    <x v="8"/>
  </r>
  <r>
    <x v="901"/>
    <x v="512"/>
    <x v="0"/>
    <x v="0"/>
    <x v="0"/>
    <x v="0"/>
    <x v="0"/>
    <x v="2"/>
    <x v="0"/>
    <x v="0"/>
    <x v="8"/>
    <x v="0"/>
    <x v="814"/>
    <x v="1"/>
    <x v="0"/>
    <x v="0"/>
    <x v="0"/>
    <x v="901"/>
    <x v="1"/>
    <x v="9"/>
    <x v="9"/>
    <x v="0"/>
    <x v="0"/>
    <x v="3"/>
    <x v="67"/>
    <x v="0"/>
    <x v="27"/>
    <x v="920"/>
    <x v="1"/>
    <x v="7"/>
    <x v="1"/>
    <x v="3"/>
    <x v="2"/>
    <x v="1"/>
    <x v="1051"/>
    <x v="3"/>
    <x v="27"/>
    <x v="814"/>
    <x v="814"/>
    <x v="1"/>
    <x v="814"/>
    <x v="902"/>
    <x v="880"/>
    <x v="920"/>
    <x v="880"/>
    <x v="902"/>
    <x v="902"/>
    <x v="902"/>
    <x v="902"/>
    <x v="902"/>
    <x v="902"/>
    <x v="902"/>
    <x v="814"/>
    <x v="916"/>
    <x v="916"/>
    <x v="766"/>
    <x v="0"/>
    <x v="0"/>
    <x v="981"/>
    <x v="814"/>
    <x v="814"/>
    <x v="814"/>
    <x v="814"/>
    <x v="8"/>
  </r>
  <r>
    <x v="902"/>
    <x v="522"/>
    <x v="0"/>
    <x v="0"/>
    <x v="0"/>
    <x v="0"/>
    <x v="0"/>
    <x v="0"/>
    <x v="0"/>
    <x v="0"/>
    <x v="8"/>
    <x v="0"/>
    <x v="4"/>
    <x v="1"/>
    <x v="0"/>
    <x v="0"/>
    <x v="0"/>
    <x v="902"/>
    <x v="2"/>
    <x v="9"/>
    <x v="9"/>
    <x v="0"/>
    <x v="0"/>
    <x v="3"/>
    <x v="128"/>
    <x v="0"/>
    <x v="27"/>
    <x v="888"/>
    <x v="9"/>
    <x v="55"/>
    <x v="1"/>
    <x v="1"/>
    <x v="1"/>
    <x v="1"/>
    <x v="4"/>
    <x v="1"/>
    <x v="27"/>
    <x v="5"/>
    <x v="5"/>
    <x v="0"/>
    <x v="5"/>
    <x v="5"/>
    <x v="5"/>
    <x v="5"/>
    <x v="5"/>
    <x v="5"/>
    <x v="5"/>
    <x v="5"/>
    <x v="5"/>
    <x v="5"/>
    <x v="5"/>
    <x v="5"/>
    <x v="5"/>
    <x v="5"/>
    <x v="5"/>
    <x v="5"/>
    <x v="0"/>
    <x v="0"/>
    <x v="5"/>
    <x v="5"/>
    <x v="5"/>
    <x v="5"/>
    <x v="5"/>
    <x v="8"/>
  </r>
  <r>
    <x v="903"/>
    <x v="501"/>
    <x v="0"/>
    <x v="0"/>
    <x v="0"/>
    <x v="0"/>
    <x v="0"/>
    <x v="0"/>
    <x v="0"/>
    <x v="0"/>
    <x v="8"/>
    <x v="0"/>
    <x v="1058"/>
    <x v="1"/>
    <x v="0"/>
    <x v="0"/>
    <x v="0"/>
    <x v="903"/>
    <x v="2"/>
    <x v="9"/>
    <x v="9"/>
    <x v="0"/>
    <x v="0"/>
    <x v="3"/>
    <x v="119"/>
    <x v="0"/>
    <x v="26"/>
    <x v="923"/>
    <x v="9"/>
    <x v="55"/>
    <x v="1"/>
    <x v="1"/>
    <x v="1"/>
    <x v="1"/>
    <x v="824"/>
    <x v="1"/>
    <x v="26"/>
    <x v="1056"/>
    <x v="1056"/>
    <x v="1"/>
    <x v="1056"/>
    <x v="1064"/>
    <x v="1058"/>
    <x v="1054"/>
    <x v="1058"/>
    <x v="1064"/>
    <x v="1064"/>
    <x v="1064"/>
    <x v="1064"/>
    <x v="1064"/>
    <x v="1064"/>
    <x v="1064"/>
    <x v="1056"/>
    <x v="1050"/>
    <x v="1050"/>
    <x v="982"/>
    <x v="0"/>
    <x v="0"/>
    <x v="1104"/>
    <x v="1056"/>
    <x v="1056"/>
    <x v="1056"/>
    <x v="1056"/>
    <x v="8"/>
  </r>
  <r>
    <x v="904"/>
    <x v="528"/>
    <x v="0"/>
    <x v="0"/>
    <x v="0"/>
    <x v="0"/>
    <x v="0"/>
    <x v="0"/>
    <x v="0"/>
    <x v="0"/>
    <x v="8"/>
    <x v="0"/>
    <x v="617"/>
    <x v="1"/>
    <x v="0"/>
    <x v="0"/>
    <x v="0"/>
    <x v="904"/>
    <x v="2"/>
    <x v="9"/>
    <x v="9"/>
    <x v="0"/>
    <x v="0"/>
    <x v="3"/>
    <x v="128"/>
    <x v="0"/>
    <x v="27"/>
    <x v="885"/>
    <x v="9"/>
    <x v="55"/>
    <x v="1"/>
    <x v="1"/>
    <x v="1"/>
    <x v="1"/>
    <x v="404"/>
    <x v="1"/>
    <x v="27"/>
    <x v="617"/>
    <x v="617"/>
    <x v="0"/>
    <x v="617"/>
    <x v="563"/>
    <x v="573"/>
    <x v="540"/>
    <x v="573"/>
    <x v="563"/>
    <x v="563"/>
    <x v="563"/>
    <x v="563"/>
    <x v="563"/>
    <x v="563"/>
    <x v="563"/>
    <x v="617"/>
    <x v="541"/>
    <x v="541"/>
    <x v="552"/>
    <x v="0"/>
    <x v="0"/>
    <x v="671"/>
    <x v="617"/>
    <x v="617"/>
    <x v="617"/>
    <x v="617"/>
    <x v="8"/>
  </r>
  <r>
    <x v="905"/>
    <x v="495"/>
    <x v="0"/>
    <x v="0"/>
    <x v="0"/>
    <x v="0"/>
    <x v="0"/>
    <x v="0"/>
    <x v="0"/>
    <x v="0"/>
    <x v="8"/>
    <x v="0"/>
    <x v="1161"/>
    <x v="1"/>
    <x v="0"/>
    <x v="0"/>
    <x v="0"/>
    <x v="905"/>
    <x v="2"/>
    <x v="9"/>
    <x v="9"/>
    <x v="0"/>
    <x v="0"/>
    <x v="3"/>
    <x v="128"/>
    <x v="0"/>
    <x v="32"/>
    <x v="909"/>
    <x v="9"/>
    <x v="55"/>
    <x v="1"/>
    <x v="1"/>
    <x v="1"/>
    <x v="1"/>
    <x v="934"/>
    <x v="1"/>
    <x v="32"/>
    <x v="1159"/>
    <x v="1159"/>
    <x v="1"/>
    <x v="1159"/>
    <x v="1171"/>
    <x v="1167"/>
    <x v="1153"/>
    <x v="1167"/>
    <x v="1171"/>
    <x v="1171"/>
    <x v="1171"/>
    <x v="1171"/>
    <x v="1171"/>
    <x v="1171"/>
    <x v="1171"/>
    <x v="1159"/>
    <x v="1153"/>
    <x v="1153"/>
    <x v="1086"/>
    <x v="0"/>
    <x v="0"/>
    <x v="1258"/>
    <x v="1159"/>
    <x v="1159"/>
    <x v="1159"/>
    <x v="1159"/>
    <x v="8"/>
  </r>
  <r>
    <x v="906"/>
    <x v="535"/>
    <x v="0"/>
    <x v="0"/>
    <x v="0"/>
    <x v="0"/>
    <x v="0"/>
    <x v="0"/>
    <x v="0"/>
    <x v="0"/>
    <x v="8"/>
    <x v="0"/>
    <x v="524"/>
    <x v="1"/>
    <x v="0"/>
    <x v="0"/>
    <x v="0"/>
    <x v="906"/>
    <x v="2"/>
    <x v="9"/>
    <x v="9"/>
    <x v="0"/>
    <x v="0"/>
    <x v="3"/>
    <x v="128"/>
    <x v="0"/>
    <x v="28"/>
    <x v="882"/>
    <x v="9"/>
    <x v="55"/>
    <x v="1"/>
    <x v="1"/>
    <x v="1"/>
    <x v="1"/>
    <x v="346"/>
    <x v="1"/>
    <x v="28"/>
    <x v="524"/>
    <x v="524"/>
    <x v="0"/>
    <x v="524"/>
    <x v="485"/>
    <x v="493"/>
    <x v="472"/>
    <x v="493"/>
    <x v="485"/>
    <x v="485"/>
    <x v="485"/>
    <x v="485"/>
    <x v="485"/>
    <x v="485"/>
    <x v="485"/>
    <x v="524"/>
    <x v="473"/>
    <x v="473"/>
    <x v="463"/>
    <x v="0"/>
    <x v="0"/>
    <x v="626"/>
    <x v="524"/>
    <x v="524"/>
    <x v="524"/>
    <x v="524"/>
    <x v="8"/>
  </r>
  <r>
    <x v="907"/>
    <x v="521"/>
    <x v="0"/>
    <x v="0"/>
    <x v="0"/>
    <x v="0"/>
    <x v="0"/>
    <x v="2"/>
    <x v="0"/>
    <x v="0"/>
    <x v="8"/>
    <x v="0"/>
    <x v="699"/>
    <x v="1"/>
    <x v="0"/>
    <x v="0"/>
    <x v="0"/>
    <x v="907"/>
    <x v="1"/>
    <x v="9"/>
    <x v="9"/>
    <x v="0"/>
    <x v="0"/>
    <x v="3"/>
    <x v="128"/>
    <x v="0"/>
    <x v="27"/>
    <x v="908"/>
    <x v="1"/>
    <x v="7"/>
    <x v="1"/>
    <x v="3"/>
    <x v="2"/>
    <x v="1"/>
    <x v="976"/>
    <x v="3"/>
    <x v="27"/>
    <x v="699"/>
    <x v="699"/>
    <x v="1"/>
    <x v="699"/>
    <x v="787"/>
    <x v="767"/>
    <x v="789"/>
    <x v="767"/>
    <x v="787"/>
    <x v="787"/>
    <x v="787"/>
    <x v="787"/>
    <x v="787"/>
    <x v="787"/>
    <x v="787"/>
    <x v="699"/>
    <x v="782"/>
    <x v="782"/>
    <x v="656"/>
    <x v="0"/>
    <x v="0"/>
    <x v="872"/>
    <x v="699"/>
    <x v="699"/>
    <x v="699"/>
    <x v="699"/>
    <x v="8"/>
  </r>
  <r>
    <x v="908"/>
    <x v="505"/>
    <x v="0"/>
    <x v="0"/>
    <x v="0"/>
    <x v="0"/>
    <x v="0"/>
    <x v="0"/>
    <x v="0"/>
    <x v="0"/>
    <x v="8"/>
    <x v="0"/>
    <x v="1119"/>
    <x v="1"/>
    <x v="0"/>
    <x v="0"/>
    <x v="0"/>
    <x v="908"/>
    <x v="2"/>
    <x v="9"/>
    <x v="9"/>
    <x v="0"/>
    <x v="0"/>
    <x v="3"/>
    <x v="67"/>
    <x v="0"/>
    <x v="27"/>
    <x v="922"/>
    <x v="9"/>
    <x v="55"/>
    <x v="1"/>
    <x v="1"/>
    <x v="1"/>
    <x v="1"/>
    <x v="885"/>
    <x v="1"/>
    <x v="27"/>
    <x v="1117"/>
    <x v="1117"/>
    <x v="1"/>
    <x v="1117"/>
    <x v="1125"/>
    <x v="1125"/>
    <x v="1110"/>
    <x v="1125"/>
    <x v="1125"/>
    <x v="1125"/>
    <x v="1125"/>
    <x v="1125"/>
    <x v="1125"/>
    <x v="1125"/>
    <x v="1125"/>
    <x v="1117"/>
    <x v="1109"/>
    <x v="1109"/>
    <x v="1047"/>
    <x v="0"/>
    <x v="0"/>
    <x v="1178"/>
    <x v="1117"/>
    <x v="1117"/>
    <x v="1117"/>
    <x v="1117"/>
    <x v="8"/>
  </r>
  <r>
    <x v="909"/>
    <x v="538"/>
    <x v="0"/>
    <x v="0"/>
    <x v="0"/>
    <x v="0"/>
    <x v="0"/>
    <x v="0"/>
    <x v="0"/>
    <x v="0"/>
    <x v="8"/>
    <x v="0"/>
    <x v="569"/>
    <x v="1"/>
    <x v="0"/>
    <x v="0"/>
    <x v="0"/>
    <x v="909"/>
    <x v="2"/>
    <x v="9"/>
    <x v="9"/>
    <x v="0"/>
    <x v="0"/>
    <x v="3"/>
    <x v="128"/>
    <x v="0"/>
    <x v="27"/>
    <x v="899"/>
    <x v="9"/>
    <x v="55"/>
    <x v="1"/>
    <x v="1"/>
    <x v="1"/>
    <x v="1"/>
    <x v="375"/>
    <x v="1"/>
    <x v="27"/>
    <x v="569"/>
    <x v="569"/>
    <x v="0"/>
    <x v="569"/>
    <x v="520"/>
    <x v="530"/>
    <x v="505"/>
    <x v="530"/>
    <x v="520"/>
    <x v="520"/>
    <x v="520"/>
    <x v="520"/>
    <x v="520"/>
    <x v="520"/>
    <x v="520"/>
    <x v="569"/>
    <x v="505"/>
    <x v="505"/>
    <x v="504"/>
    <x v="0"/>
    <x v="0"/>
    <x v="637"/>
    <x v="569"/>
    <x v="569"/>
    <x v="569"/>
    <x v="569"/>
    <x v="8"/>
  </r>
  <r>
    <x v="910"/>
    <x v="538"/>
    <x v="0"/>
    <x v="0"/>
    <x v="0"/>
    <x v="0"/>
    <x v="0"/>
    <x v="0"/>
    <x v="0"/>
    <x v="0"/>
    <x v="8"/>
    <x v="0"/>
    <x v="911"/>
    <x v="1"/>
    <x v="0"/>
    <x v="0"/>
    <x v="0"/>
    <x v="910"/>
    <x v="2"/>
    <x v="9"/>
    <x v="9"/>
    <x v="0"/>
    <x v="0"/>
    <x v="3"/>
    <x v="128"/>
    <x v="0"/>
    <x v="27"/>
    <x v="900"/>
    <x v="9"/>
    <x v="55"/>
    <x v="1"/>
    <x v="1"/>
    <x v="1"/>
    <x v="1"/>
    <x v="654"/>
    <x v="1"/>
    <x v="27"/>
    <x v="911"/>
    <x v="911"/>
    <x v="1"/>
    <x v="911"/>
    <x v="918"/>
    <x v="912"/>
    <x v="907"/>
    <x v="912"/>
    <x v="918"/>
    <x v="918"/>
    <x v="918"/>
    <x v="918"/>
    <x v="918"/>
    <x v="918"/>
    <x v="918"/>
    <x v="911"/>
    <x v="903"/>
    <x v="903"/>
    <x v="844"/>
    <x v="0"/>
    <x v="0"/>
    <x v="975"/>
    <x v="911"/>
    <x v="911"/>
    <x v="911"/>
    <x v="911"/>
    <x v="8"/>
  </r>
  <r>
    <x v="911"/>
    <x v="563"/>
    <x v="0"/>
    <x v="0"/>
    <x v="0"/>
    <x v="0"/>
    <x v="0"/>
    <x v="0"/>
    <x v="0"/>
    <x v="0"/>
    <x v="8"/>
    <x v="0"/>
    <x v="1175"/>
    <x v="1"/>
    <x v="0"/>
    <x v="0"/>
    <x v="0"/>
    <x v="911"/>
    <x v="2"/>
    <x v="9"/>
    <x v="9"/>
    <x v="0"/>
    <x v="0"/>
    <x v="3"/>
    <x v="121"/>
    <x v="0"/>
    <x v="28"/>
    <x v="938"/>
    <x v="9"/>
    <x v="55"/>
    <x v="1"/>
    <x v="1"/>
    <x v="1"/>
    <x v="1"/>
    <x v="952"/>
    <x v="1"/>
    <x v="28"/>
    <x v="1173"/>
    <x v="1173"/>
    <x v="2"/>
    <x v="1173"/>
    <x v="1190"/>
    <x v="1184"/>
    <x v="1172"/>
    <x v="1184"/>
    <x v="1190"/>
    <x v="1190"/>
    <x v="1190"/>
    <x v="1190"/>
    <x v="1190"/>
    <x v="1190"/>
    <x v="1190"/>
    <x v="1173"/>
    <x v="1170"/>
    <x v="1170"/>
    <x v="1101"/>
    <x v="0"/>
    <x v="0"/>
    <x v="1239"/>
    <x v="1173"/>
    <x v="1173"/>
    <x v="1173"/>
    <x v="1173"/>
    <x v="8"/>
  </r>
  <r>
    <x v="912"/>
    <x v="545"/>
    <x v="0"/>
    <x v="0"/>
    <x v="0"/>
    <x v="0"/>
    <x v="0"/>
    <x v="0"/>
    <x v="0"/>
    <x v="0"/>
    <x v="8"/>
    <x v="0"/>
    <x v="136"/>
    <x v="1"/>
    <x v="0"/>
    <x v="0"/>
    <x v="0"/>
    <x v="912"/>
    <x v="2"/>
    <x v="9"/>
    <x v="9"/>
    <x v="0"/>
    <x v="0"/>
    <x v="3"/>
    <x v="54"/>
    <x v="0"/>
    <x v="28"/>
    <x v="891"/>
    <x v="9"/>
    <x v="55"/>
    <x v="1"/>
    <x v="1"/>
    <x v="1"/>
    <x v="1"/>
    <x v="65"/>
    <x v="1"/>
    <x v="28"/>
    <x v="137"/>
    <x v="137"/>
    <x v="0"/>
    <x v="137"/>
    <x v="141"/>
    <x v="145"/>
    <x v="131"/>
    <x v="145"/>
    <x v="141"/>
    <x v="141"/>
    <x v="141"/>
    <x v="141"/>
    <x v="141"/>
    <x v="141"/>
    <x v="141"/>
    <x v="137"/>
    <x v="131"/>
    <x v="131"/>
    <x v="117"/>
    <x v="0"/>
    <x v="0"/>
    <x v="150"/>
    <x v="137"/>
    <x v="137"/>
    <x v="137"/>
    <x v="137"/>
    <x v="8"/>
  </r>
  <r>
    <x v="913"/>
    <x v="542"/>
    <x v="0"/>
    <x v="0"/>
    <x v="0"/>
    <x v="0"/>
    <x v="0"/>
    <x v="2"/>
    <x v="0"/>
    <x v="0"/>
    <x v="8"/>
    <x v="0"/>
    <x v="465"/>
    <x v="1"/>
    <x v="0"/>
    <x v="0"/>
    <x v="0"/>
    <x v="913"/>
    <x v="1"/>
    <x v="9"/>
    <x v="9"/>
    <x v="0"/>
    <x v="0"/>
    <x v="3"/>
    <x v="67"/>
    <x v="0"/>
    <x v="28"/>
    <x v="919"/>
    <x v="1"/>
    <x v="7"/>
    <x v="1"/>
    <x v="3"/>
    <x v="2"/>
    <x v="1"/>
    <x v="861"/>
    <x v="3"/>
    <x v="28"/>
    <x v="465"/>
    <x v="465"/>
    <x v="0"/>
    <x v="465"/>
    <x v="570"/>
    <x v="546"/>
    <x v="599"/>
    <x v="546"/>
    <x v="570"/>
    <x v="570"/>
    <x v="570"/>
    <x v="570"/>
    <x v="570"/>
    <x v="570"/>
    <x v="570"/>
    <x v="465"/>
    <x v="597"/>
    <x v="597"/>
    <x v="430"/>
    <x v="0"/>
    <x v="0"/>
    <x v="731"/>
    <x v="465"/>
    <x v="465"/>
    <x v="465"/>
    <x v="465"/>
    <x v="8"/>
  </r>
  <r>
    <x v="914"/>
    <x v="553"/>
    <x v="0"/>
    <x v="0"/>
    <x v="0"/>
    <x v="0"/>
    <x v="0"/>
    <x v="0"/>
    <x v="0"/>
    <x v="0"/>
    <x v="8"/>
    <x v="0"/>
    <x v="605"/>
    <x v="1"/>
    <x v="0"/>
    <x v="0"/>
    <x v="0"/>
    <x v="914"/>
    <x v="2"/>
    <x v="9"/>
    <x v="9"/>
    <x v="0"/>
    <x v="0"/>
    <x v="3"/>
    <x v="67"/>
    <x v="0"/>
    <x v="28"/>
    <x v="889"/>
    <x v="9"/>
    <x v="55"/>
    <x v="1"/>
    <x v="1"/>
    <x v="1"/>
    <x v="1"/>
    <x v="394"/>
    <x v="1"/>
    <x v="28"/>
    <x v="605"/>
    <x v="605"/>
    <x v="0"/>
    <x v="605"/>
    <x v="548"/>
    <x v="556"/>
    <x v="530"/>
    <x v="556"/>
    <x v="548"/>
    <x v="548"/>
    <x v="548"/>
    <x v="548"/>
    <x v="548"/>
    <x v="548"/>
    <x v="548"/>
    <x v="605"/>
    <x v="529"/>
    <x v="529"/>
    <x v="536"/>
    <x v="0"/>
    <x v="0"/>
    <x v="683"/>
    <x v="605"/>
    <x v="605"/>
    <x v="605"/>
    <x v="605"/>
    <x v="8"/>
  </r>
  <r>
    <x v="915"/>
    <x v="556"/>
    <x v="0"/>
    <x v="0"/>
    <x v="0"/>
    <x v="0"/>
    <x v="0"/>
    <x v="0"/>
    <x v="0"/>
    <x v="0"/>
    <x v="8"/>
    <x v="0"/>
    <x v="1270"/>
    <x v="1"/>
    <x v="0"/>
    <x v="0"/>
    <x v="0"/>
    <x v="915"/>
    <x v="2"/>
    <x v="9"/>
    <x v="9"/>
    <x v="0"/>
    <x v="0"/>
    <x v="3"/>
    <x v="54"/>
    <x v="0"/>
    <x v="30"/>
    <x v="932"/>
    <x v="9"/>
    <x v="55"/>
    <x v="1"/>
    <x v="1"/>
    <x v="1"/>
    <x v="1"/>
    <x v="1067"/>
    <x v="1"/>
    <x v="30"/>
    <x v="1268"/>
    <x v="1268"/>
    <x v="2"/>
    <x v="1268"/>
    <x v="1290"/>
    <x v="1282"/>
    <x v="1284"/>
    <x v="1282"/>
    <x v="1290"/>
    <x v="1290"/>
    <x v="1290"/>
    <x v="1290"/>
    <x v="1290"/>
    <x v="1290"/>
    <x v="1290"/>
    <x v="1268"/>
    <x v="1282"/>
    <x v="1282"/>
    <x v="1192"/>
    <x v="0"/>
    <x v="0"/>
    <x v="1338"/>
    <x v="1268"/>
    <x v="1268"/>
    <x v="1268"/>
    <x v="1268"/>
    <x v="8"/>
  </r>
  <r>
    <x v="916"/>
    <x v="546"/>
    <x v="0"/>
    <x v="0"/>
    <x v="0"/>
    <x v="0"/>
    <x v="0"/>
    <x v="0"/>
    <x v="0"/>
    <x v="0"/>
    <x v="8"/>
    <x v="0"/>
    <x v="628"/>
    <x v="1"/>
    <x v="0"/>
    <x v="0"/>
    <x v="0"/>
    <x v="916"/>
    <x v="2"/>
    <x v="9"/>
    <x v="9"/>
    <x v="0"/>
    <x v="0"/>
    <x v="3"/>
    <x v="68"/>
    <x v="0"/>
    <x v="27"/>
    <x v="890"/>
    <x v="9"/>
    <x v="55"/>
    <x v="1"/>
    <x v="1"/>
    <x v="1"/>
    <x v="1"/>
    <x v="410"/>
    <x v="1"/>
    <x v="27"/>
    <x v="628"/>
    <x v="628"/>
    <x v="0"/>
    <x v="628"/>
    <x v="569"/>
    <x v="579"/>
    <x v="547"/>
    <x v="579"/>
    <x v="569"/>
    <x v="569"/>
    <x v="569"/>
    <x v="569"/>
    <x v="569"/>
    <x v="569"/>
    <x v="569"/>
    <x v="628"/>
    <x v="548"/>
    <x v="548"/>
    <x v="561"/>
    <x v="0"/>
    <x v="0"/>
    <x v="678"/>
    <x v="628"/>
    <x v="628"/>
    <x v="628"/>
    <x v="628"/>
    <x v="8"/>
  </r>
  <r>
    <x v="917"/>
    <x v="545"/>
    <x v="0"/>
    <x v="0"/>
    <x v="0"/>
    <x v="0"/>
    <x v="0"/>
    <x v="0"/>
    <x v="0"/>
    <x v="0"/>
    <x v="8"/>
    <x v="0"/>
    <x v="424"/>
    <x v="1"/>
    <x v="0"/>
    <x v="0"/>
    <x v="0"/>
    <x v="917"/>
    <x v="2"/>
    <x v="9"/>
    <x v="9"/>
    <x v="0"/>
    <x v="0"/>
    <x v="3"/>
    <x v="54"/>
    <x v="0"/>
    <x v="28"/>
    <x v="892"/>
    <x v="9"/>
    <x v="55"/>
    <x v="1"/>
    <x v="1"/>
    <x v="1"/>
    <x v="1"/>
    <x v="290"/>
    <x v="1"/>
    <x v="28"/>
    <x v="424"/>
    <x v="424"/>
    <x v="0"/>
    <x v="424"/>
    <x v="416"/>
    <x v="417"/>
    <x v="402"/>
    <x v="417"/>
    <x v="416"/>
    <x v="416"/>
    <x v="416"/>
    <x v="416"/>
    <x v="416"/>
    <x v="416"/>
    <x v="416"/>
    <x v="424"/>
    <x v="400"/>
    <x v="400"/>
    <x v="379"/>
    <x v="0"/>
    <x v="0"/>
    <x v="537"/>
    <x v="424"/>
    <x v="424"/>
    <x v="424"/>
    <x v="424"/>
    <x v="8"/>
  </r>
  <r>
    <x v="918"/>
    <x v="515"/>
    <x v="0"/>
    <x v="0"/>
    <x v="0"/>
    <x v="0"/>
    <x v="1"/>
    <x v="4"/>
    <x v="0"/>
    <x v="0"/>
    <x v="8"/>
    <x v="0"/>
    <x v="205"/>
    <x v="1"/>
    <x v="0"/>
    <x v="0"/>
    <x v="0"/>
    <x v="918"/>
    <x v="1"/>
    <x v="10"/>
    <x v="10"/>
    <x v="0"/>
    <x v="0"/>
    <x v="3"/>
    <x v="69"/>
    <x v="0"/>
    <x v="19"/>
    <x v="956"/>
    <x v="2"/>
    <x v="21"/>
    <x v="1"/>
    <x v="5"/>
    <x v="2"/>
    <x v="1"/>
    <x v="744"/>
    <x v="5"/>
    <x v="19"/>
    <x v="206"/>
    <x v="206"/>
    <x v="0"/>
    <x v="206"/>
    <x v="243"/>
    <x v="233"/>
    <x v="257"/>
    <x v="233"/>
    <x v="243"/>
    <x v="243"/>
    <x v="243"/>
    <x v="243"/>
    <x v="243"/>
    <x v="243"/>
    <x v="243"/>
    <x v="206"/>
    <x v="256"/>
    <x v="256"/>
    <x v="188"/>
    <x v="0"/>
    <x v="0"/>
    <x v="251"/>
    <x v="206"/>
    <x v="206"/>
    <x v="206"/>
    <x v="206"/>
    <x v="8"/>
  </r>
  <r>
    <x v="919"/>
    <x v="555"/>
    <x v="0"/>
    <x v="0"/>
    <x v="0"/>
    <x v="0"/>
    <x v="0"/>
    <x v="0"/>
    <x v="0"/>
    <x v="0"/>
    <x v="8"/>
    <x v="0"/>
    <x v="154"/>
    <x v="1"/>
    <x v="0"/>
    <x v="0"/>
    <x v="0"/>
    <x v="919"/>
    <x v="2"/>
    <x v="12"/>
    <x v="12"/>
    <x v="0"/>
    <x v="0"/>
    <x v="3"/>
    <x v="67"/>
    <x v="0"/>
    <x v="28"/>
    <x v="940"/>
    <x v="9"/>
    <x v="55"/>
    <x v="1"/>
    <x v="1"/>
    <x v="1"/>
    <x v="1"/>
    <x v="79"/>
    <x v="1"/>
    <x v="28"/>
    <x v="155"/>
    <x v="155"/>
    <x v="0"/>
    <x v="155"/>
    <x v="163"/>
    <x v="165"/>
    <x v="157"/>
    <x v="165"/>
    <x v="163"/>
    <x v="163"/>
    <x v="163"/>
    <x v="163"/>
    <x v="163"/>
    <x v="163"/>
    <x v="163"/>
    <x v="155"/>
    <x v="157"/>
    <x v="157"/>
    <x v="136"/>
    <x v="0"/>
    <x v="0"/>
    <x v="184"/>
    <x v="155"/>
    <x v="155"/>
    <x v="155"/>
    <x v="155"/>
    <x v="8"/>
  </r>
  <r>
    <x v="920"/>
    <x v="557"/>
    <x v="0"/>
    <x v="0"/>
    <x v="0"/>
    <x v="0"/>
    <x v="0"/>
    <x v="0"/>
    <x v="0"/>
    <x v="0"/>
    <x v="8"/>
    <x v="0"/>
    <x v="137"/>
    <x v="1"/>
    <x v="0"/>
    <x v="0"/>
    <x v="0"/>
    <x v="920"/>
    <x v="2"/>
    <x v="12"/>
    <x v="12"/>
    <x v="0"/>
    <x v="0"/>
    <x v="3"/>
    <x v="54"/>
    <x v="0"/>
    <x v="30"/>
    <x v="943"/>
    <x v="9"/>
    <x v="55"/>
    <x v="1"/>
    <x v="1"/>
    <x v="1"/>
    <x v="1"/>
    <x v="66"/>
    <x v="1"/>
    <x v="30"/>
    <x v="138"/>
    <x v="138"/>
    <x v="0"/>
    <x v="138"/>
    <x v="142"/>
    <x v="146"/>
    <x v="133"/>
    <x v="146"/>
    <x v="142"/>
    <x v="142"/>
    <x v="142"/>
    <x v="142"/>
    <x v="142"/>
    <x v="142"/>
    <x v="142"/>
    <x v="138"/>
    <x v="132"/>
    <x v="132"/>
    <x v="118"/>
    <x v="0"/>
    <x v="0"/>
    <x v="165"/>
    <x v="138"/>
    <x v="138"/>
    <x v="138"/>
    <x v="138"/>
    <x v="8"/>
  </r>
  <r>
    <x v="921"/>
    <x v="555"/>
    <x v="0"/>
    <x v="0"/>
    <x v="0"/>
    <x v="0"/>
    <x v="0"/>
    <x v="0"/>
    <x v="0"/>
    <x v="0"/>
    <x v="8"/>
    <x v="0"/>
    <x v="651"/>
    <x v="1"/>
    <x v="0"/>
    <x v="0"/>
    <x v="0"/>
    <x v="921"/>
    <x v="2"/>
    <x v="12"/>
    <x v="12"/>
    <x v="0"/>
    <x v="0"/>
    <x v="3"/>
    <x v="67"/>
    <x v="0"/>
    <x v="28"/>
    <x v="941"/>
    <x v="9"/>
    <x v="55"/>
    <x v="1"/>
    <x v="1"/>
    <x v="1"/>
    <x v="1"/>
    <x v="424"/>
    <x v="1"/>
    <x v="28"/>
    <x v="651"/>
    <x v="651"/>
    <x v="0"/>
    <x v="651"/>
    <x v="590"/>
    <x v="597"/>
    <x v="562"/>
    <x v="597"/>
    <x v="590"/>
    <x v="590"/>
    <x v="590"/>
    <x v="590"/>
    <x v="590"/>
    <x v="590"/>
    <x v="590"/>
    <x v="651"/>
    <x v="563"/>
    <x v="563"/>
    <x v="579"/>
    <x v="0"/>
    <x v="0"/>
    <x v="700"/>
    <x v="651"/>
    <x v="651"/>
    <x v="651"/>
    <x v="651"/>
    <x v="8"/>
  </r>
  <r>
    <x v="922"/>
    <x v="564"/>
    <x v="0"/>
    <x v="0"/>
    <x v="0"/>
    <x v="0"/>
    <x v="0"/>
    <x v="0"/>
    <x v="0"/>
    <x v="0"/>
    <x v="8"/>
    <x v="0"/>
    <x v="695"/>
    <x v="1"/>
    <x v="0"/>
    <x v="0"/>
    <x v="0"/>
    <x v="922"/>
    <x v="2"/>
    <x v="12"/>
    <x v="12"/>
    <x v="0"/>
    <x v="0"/>
    <x v="3"/>
    <x v="68"/>
    <x v="0"/>
    <x v="28"/>
    <x v="945"/>
    <x v="9"/>
    <x v="55"/>
    <x v="1"/>
    <x v="1"/>
    <x v="1"/>
    <x v="1"/>
    <x v="459"/>
    <x v="1"/>
    <x v="28"/>
    <x v="695"/>
    <x v="695"/>
    <x v="1"/>
    <x v="695"/>
    <x v="640"/>
    <x v="651"/>
    <x v="604"/>
    <x v="651"/>
    <x v="640"/>
    <x v="640"/>
    <x v="640"/>
    <x v="640"/>
    <x v="640"/>
    <x v="640"/>
    <x v="640"/>
    <x v="695"/>
    <x v="605"/>
    <x v="605"/>
    <x v="632"/>
    <x v="0"/>
    <x v="0"/>
    <x v="741"/>
    <x v="695"/>
    <x v="695"/>
    <x v="695"/>
    <x v="695"/>
    <x v="8"/>
  </r>
  <r>
    <x v="923"/>
    <x v="575"/>
    <x v="0"/>
    <x v="0"/>
    <x v="0"/>
    <x v="0"/>
    <x v="0"/>
    <x v="0"/>
    <x v="0"/>
    <x v="0"/>
    <x v="8"/>
    <x v="0"/>
    <x v="803"/>
    <x v="1"/>
    <x v="0"/>
    <x v="0"/>
    <x v="0"/>
    <x v="923"/>
    <x v="2"/>
    <x v="12"/>
    <x v="12"/>
    <x v="0"/>
    <x v="0"/>
    <x v="3"/>
    <x v="128"/>
    <x v="0"/>
    <x v="29"/>
    <x v="935"/>
    <x v="9"/>
    <x v="55"/>
    <x v="1"/>
    <x v="1"/>
    <x v="1"/>
    <x v="1"/>
    <x v="542"/>
    <x v="1"/>
    <x v="29"/>
    <x v="803"/>
    <x v="803"/>
    <x v="1"/>
    <x v="803"/>
    <x v="803"/>
    <x v="803"/>
    <x v="760"/>
    <x v="803"/>
    <x v="803"/>
    <x v="803"/>
    <x v="803"/>
    <x v="803"/>
    <x v="803"/>
    <x v="803"/>
    <x v="803"/>
    <x v="803"/>
    <x v="759"/>
    <x v="759"/>
    <x v="742"/>
    <x v="0"/>
    <x v="0"/>
    <x v="875"/>
    <x v="803"/>
    <x v="803"/>
    <x v="803"/>
    <x v="803"/>
    <x v="8"/>
  </r>
  <r>
    <x v="924"/>
    <x v="556"/>
    <x v="0"/>
    <x v="0"/>
    <x v="0"/>
    <x v="0"/>
    <x v="0"/>
    <x v="0"/>
    <x v="0"/>
    <x v="0"/>
    <x v="8"/>
    <x v="0"/>
    <x v="692"/>
    <x v="1"/>
    <x v="0"/>
    <x v="0"/>
    <x v="0"/>
    <x v="924"/>
    <x v="2"/>
    <x v="12"/>
    <x v="12"/>
    <x v="0"/>
    <x v="0"/>
    <x v="3"/>
    <x v="54"/>
    <x v="0"/>
    <x v="30"/>
    <x v="933"/>
    <x v="9"/>
    <x v="55"/>
    <x v="1"/>
    <x v="1"/>
    <x v="1"/>
    <x v="1"/>
    <x v="456"/>
    <x v="1"/>
    <x v="30"/>
    <x v="692"/>
    <x v="692"/>
    <x v="1"/>
    <x v="692"/>
    <x v="637"/>
    <x v="643"/>
    <x v="600"/>
    <x v="643"/>
    <x v="637"/>
    <x v="637"/>
    <x v="637"/>
    <x v="637"/>
    <x v="637"/>
    <x v="637"/>
    <x v="637"/>
    <x v="692"/>
    <x v="600"/>
    <x v="600"/>
    <x v="627"/>
    <x v="0"/>
    <x v="0"/>
    <x v="764"/>
    <x v="692"/>
    <x v="692"/>
    <x v="692"/>
    <x v="692"/>
    <x v="8"/>
  </r>
  <r>
    <x v="925"/>
    <x v="571"/>
    <x v="0"/>
    <x v="0"/>
    <x v="0"/>
    <x v="0"/>
    <x v="0"/>
    <x v="0"/>
    <x v="0"/>
    <x v="0"/>
    <x v="8"/>
    <x v="0"/>
    <x v="1275"/>
    <x v="1"/>
    <x v="0"/>
    <x v="0"/>
    <x v="0"/>
    <x v="925"/>
    <x v="2"/>
    <x v="12"/>
    <x v="12"/>
    <x v="0"/>
    <x v="0"/>
    <x v="3"/>
    <x v="128"/>
    <x v="0"/>
    <x v="31"/>
    <x v="934"/>
    <x v="9"/>
    <x v="55"/>
    <x v="1"/>
    <x v="1"/>
    <x v="1"/>
    <x v="1"/>
    <x v="1072"/>
    <x v="1"/>
    <x v="31"/>
    <x v="1273"/>
    <x v="1273"/>
    <x v="2"/>
    <x v="1273"/>
    <x v="1294"/>
    <x v="1286"/>
    <x v="1288"/>
    <x v="1286"/>
    <x v="1294"/>
    <x v="1294"/>
    <x v="1294"/>
    <x v="1294"/>
    <x v="1294"/>
    <x v="1294"/>
    <x v="1294"/>
    <x v="1273"/>
    <x v="1287"/>
    <x v="1287"/>
    <x v="1195"/>
    <x v="0"/>
    <x v="0"/>
    <x v="1346"/>
    <x v="1273"/>
    <x v="1273"/>
    <x v="1273"/>
    <x v="1273"/>
    <x v="8"/>
  </r>
  <r>
    <x v="926"/>
    <x v="563"/>
    <x v="0"/>
    <x v="0"/>
    <x v="0"/>
    <x v="0"/>
    <x v="0"/>
    <x v="0"/>
    <x v="0"/>
    <x v="0"/>
    <x v="8"/>
    <x v="0"/>
    <x v="344"/>
    <x v="1"/>
    <x v="0"/>
    <x v="0"/>
    <x v="0"/>
    <x v="926"/>
    <x v="2"/>
    <x v="12"/>
    <x v="12"/>
    <x v="0"/>
    <x v="0"/>
    <x v="3"/>
    <x v="121"/>
    <x v="0"/>
    <x v="28"/>
    <x v="939"/>
    <x v="9"/>
    <x v="55"/>
    <x v="1"/>
    <x v="1"/>
    <x v="1"/>
    <x v="1"/>
    <x v="231"/>
    <x v="1"/>
    <x v="28"/>
    <x v="344"/>
    <x v="344"/>
    <x v="0"/>
    <x v="344"/>
    <x v="337"/>
    <x v="343"/>
    <x v="327"/>
    <x v="343"/>
    <x v="337"/>
    <x v="337"/>
    <x v="337"/>
    <x v="337"/>
    <x v="337"/>
    <x v="337"/>
    <x v="337"/>
    <x v="344"/>
    <x v="327"/>
    <x v="327"/>
    <x v="306"/>
    <x v="0"/>
    <x v="0"/>
    <x v="429"/>
    <x v="344"/>
    <x v="344"/>
    <x v="344"/>
    <x v="344"/>
    <x v="8"/>
  </r>
  <r>
    <x v="927"/>
    <x v="577"/>
    <x v="0"/>
    <x v="0"/>
    <x v="0"/>
    <x v="0"/>
    <x v="0"/>
    <x v="0"/>
    <x v="0"/>
    <x v="0"/>
    <x v="8"/>
    <x v="0"/>
    <x v="607"/>
    <x v="1"/>
    <x v="0"/>
    <x v="0"/>
    <x v="0"/>
    <x v="927"/>
    <x v="2"/>
    <x v="12"/>
    <x v="12"/>
    <x v="0"/>
    <x v="0"/>
    <x v="3"/>
    <x v="128"/>
    <x v="0"/>
    <x v="31"/>
    <x v="931"/>
    <x v="9"/>
    <x v="55"/>
    <x v="1"/>
    <x v="1"/>
    <x v="1"/>
    <x v="1"/>
    <x v="396"/>
    <x v="1"/>
    <x v="31"/>
    <x v="607"/>
    <x v="607"/>
    <x v="0"/>
    <x v="607"/>
    <x v="552"/>
    <x v="559"/>
    <x v="532"/>
    <x v="559"/>
    <x v="552"/>
    <x v="552"/>
    <x v="552"/>
    <x v="552"/>
    <x v="552"/>
    <x v="552"/>
    <x v="552"/>
    <x v="607"/>
    <x v="531"/>
    <x v="531"/>
    <x v="539"/>
    <x v="0"/>
    <x v="0"/>
    <x v="722"/>
    <x v="607"/>
    <x v="607"/>
    <x v="607"/>
    <x v="607"/>
    <x v="8"/>
  </r>
  <r>
    <x v="928"/>
    <x v="572"/>
    <x v="0"/>
    <x v="0"/>
    <x v="0"/>
    <x v="0"/>
    <x v="0"/>
    <x v="0"/>
    <x v="0"/>
    <x v="0"/>
    <x v="8"/>
    <x v="0"/>
    <x v="626"/>
    <x v="1"/>
    <x v="0"/>
    <x v="0"/>
    <x v="0"/>
    <x v="928"/>
    <x v="2"/>
    <x v="12"/>
    <x v="12"/>
    <x v="0"/>
    <x v="0"/>
    <x v="3"/>
    <x v="67"/>
    <x v="0"/>
    <x v="29"/>
    <x v="944"/>
    <x v="9"/>
    <x v="55"/>
    <x v="1"/>
    <x v="1"/>
    <x v="1"/>
    <x v="1"/>
    <x v="409"/>
    <x v="1"/>
    <x v="29"/>
    <x v="626"/>
    <x v="626"/>
    <x v="0"/>
    <x v="626"/>
    <x v="568"/>
    <x v="578"/>
    <x v="546"/>
    <x v="578"/>
    <x v="568"/>
    <x v="568"/>
    <x v="568"/>
    <x v="568"/>
    <x v="568"/>
    <x v="568"/>
    <x v="568"/>
    <x v="626"/>
    <x v="547"/>
    <x v="547"/>
    <x v="560"/>
    <x v="0"/>
    <x v="0"/>
    <x v="706"/>
    <x v="626"/>
    <x v="626"/>
    <x v="626"/>
    <x v="626"/>
    <x v="8"/>
  </r>
  <r>
    <x v="929"/>
    <x v="587"/>
    <x v="0"/>
    <x v="0"/>
    <x v="0"/>
    <x v="0"/>
    <x v="0"/>
    <x v="0"/>
    <x v="0"/>
    <x v="0"/>
    <x v="8"/>
    <x v="0"/>
    <x v="327"/>
    <x v="1"/>
    <x v="0"/>
    <x v="0"/>
    <x v="0"/>
    <x v="929"/>
    <x v="2"/>
    <x v="12"/>
    <x v="12"/>
    <x v="0"/>
    <x v="0"/>
    <x v="3"/>
    <x v="128"/>
    <x v="0"/>
    <x v="31"/>
    <x v="942"/>
    <x v="9"/>
    <x v="55"/>
    <x v="1"/>
    <x v="1"/>
    <x v="1"/>
    <x v="1"/>
    <x v="218"/>
    <x v="1"/>
    <x v="31"/>
    <x v="327"/>
    <x v="327"/>
    <x v="0"/>
    <x v="327"/>
    <x v="319"/>
    <x v="323"/>
    <x v="313"/>
    <x v="323"/>
    <x v="319"/>
    <x v="319"/>
    <x v="319"/>
    <x v="319"/>
    <x v="319"/>
    <x v="319"/>
    <x v="319"/>
    <x v="327"/>
    <x v="313"/>
    <x v="313"/>
    <x v="288"/>
    <x v="0"/>
    <x v="0"/>
    <x v="433"/>
    <x v="327"/>
    <x v="327"/>
    <x v="327"/>
    <x v="327"/>
    <x v="8"/>
  </r>
  <r>
    <x v="930"/>
    <x v="575"/>
    <x v="0"/>
    <x v="0"/>
    <x v="0"/>
    <x v="0"/>
    <x v="0"/>
    <x v="0"/>
    <x v="0"/>
    <x v="0"/>
    <x v="8"/>
    <x v="0"/>
    <x v="1323"/>
    <x v="1"/>
    <x v="0"/>
    <x v="0"/>
    <x v="0"/>
    <x v="930"/>
    <x v="2"/>
    <x v="12"/>
    <x v="12"/>
    <x v="0"/>
    <x v="0"/>
    <x v="3"/>
    <x v="128"/>
    <x v="0"/>
    <x v="29"/>
    <x v="936"/>
    <x v="9"/>
    <x v="55"/>
    <x v="1"/>
    <x v="1"/>
    <x v="1"/>
    <x v="1"/>
    <x v="1151"/>
    <x v="1"/>
    <x v="29"/>
    <x v="1321"/>
    <x v="1321"/>
    <x v="3"/>
    <x v="1321"/>
    <x v="1351"/>
    <x v="1345"/>
    <x v="1340"/>
    <x v="1345"/>
    <x v="1351"/>
    <x v="1351"/>
    <x v="1351"/>
    <x v="1351"/>
    <x v="1351"/>
    <x v="1351"/>
    <x v="1351"/>
    <x v="1321"/>
    <x v="1339"/>
    <x v="1339"/>
    <x v="1243"/>
    <x v="0"/>
    <x v="0"/>
    <x v="1376"/>
    <x v="1321"/>
    <x v="1321"/>
    <x v="1321"/>
    <x v="1321"/>
    <x v="8"/>
  </r>
  <r>
    <x v="931"/>
    <x v="575"/>
    <x v="0"/>
    <x v="0"/>
    <x v="0"/>
    <x v="0"/>
    <x v="0"/>
    <x v="0"/>
    <x v="0"/>
    <x v="0"/>
    <x v="8"/>
    <x v="0"/>
    <x v="1051"/>
    <x v="1"/>
    <x v="0"/>
    <x v="0"/>
    <x v="0"/>
    <x v="931"/>
    <x v="2"/>
    <x v="12"/>
    <x v="12"/>
    <x v="0"/>
    <x v="0"/>
    <x v="3"/>
    <x v="128"/>
    <x v="0"/>
    <x v="29"/>
    <x v="937"/>
    <x v="9"/>
    <x v="55"/>
    <x v="1"/>
    <x v="1"/>
    <x v="1"/>
    <x v="1"/>
    <x v="817"/>
    <x v="1"/>
    <x v="29"/>
    <x v="1049"/>
    <x v="1049"/>
    <x v="1"/>
    <x v="1049"/>
    <x v="1057"/>
    <x v="1052"/>
    <x v="1048"/>
    <x v="1052"/>
    <x v="1057"/>
    <x v="1057"/>
    <x v="1057"/>
    <x v="1057"/>
    <x v="1057"/>
    <x v="1057"/>
    <x v="1057"/>
    <x v="1049"/>
    <x v="1045"/>
    <x v="1045"/>
    <x v="977"/>
    <x v="0"/>
    <x v="0"/>
    <x v="1141"/>
    <x v="1049"/>
    <x v="1049"/>
    <x v="1049"/>
    <x v="1049"/>
    <x v="8"/>
  </r>
  <r>
    <x v="932"/>
    <x v="518"/>
    <x v="0"/>
    <x v="0"/>
    <x v="0"/>
    <x v="0"/>
    <x v="0"/>
    <x v="0"/>
    <x v="0"/>
    <x v="0"/>
    <x v="9"/>
    <x v="0"/>
    <x v="1267"/>
    <x v="1"/>
    <x v="0"/>
    <x v="0"/>
    <x v="0"/>
    <x v="932"/>
    <x v="2"/>
    <x v="9"/>
    <x v="9"/>
    <x v="0"/>
    <x v="0"/>
    <x v="3"/>
    <x v="69"/>
    <x v="0"/>
    <x v="19"/>
    <x v="949"/>
    <x v="9"/>
    <x v="56"/>
    <x v="1"/>
    <x v="1"/>
    <x v="1"/>
    <x v="1"/>
    <x v="1064"/>
    <x v="1"/>
    <x v="19"/>
    <x v="1265"/>
    <x v="1265"/>
    <x v="2"/>
    <x v="1265"/>
    <x v="1287"/>
    <x v="1280"/>
    <x v="1282"/>
    <x v="1280"/>
    <x v="1287"/>
    <x v="1287"/>
    <x v="1287"/>
    <x v="1287"/>
    <x v="1287"/>
    <x v="1287"/>
    <x v="1287"/>
    <x v="1265"/>
    <x v="1280"/>
    <x v="1280"/>
    <x v="1190"/>
    <x v="0"/>
    <x v="0"/>
    <x v="1264"/>
    <x v="1265"/>
    <x v="1265"/>
    <x v="1265"/>
    <x v="1265"/>
    <x v="9"/>
  </r>
  <r>
    <x v="933"/>
    <x v="514"/>
    <x v="0"/>
    <x v="0"/>
    <x v="0"/>
    <x v="0"/>
    <x v="1"/>
    <x v="8"/>
    <x v="0"/>
    <x v="0"/>
    <x v="0"/>
    <x v="0"/>
    <x v="22"/>
    <x v="1"/>
    <x v="0"/>
    <x v="0"/>
    <x v="0"/>
    <x v="933"/>
    <x v="0"/>
    <x v="10"/>
    <x v="10"/>
    <x v="0"/>
    <x v="0"/>
    <x v="3"/>
    <x v="69"/>
    <x v="0"/>
    <x v="19"/>
    <x v="930"/>
    <x v="5"/>
    <x v="42"/>
    <x v="1"/>
    <x v="9"/>
    <x v="5"/>
    <x v="1"/>
    <x v="335"/>
    <x v="9"/>
    <x v="19"/>
    <x v="23"/>
    <x v="23"/>
    <x v="0"/>
    <x v="23"/>
    <x v="38"/>
    <x v="34"/>
    <x v="47"/>
    <x v="34"/>
    <x v="38"/>
    <x v="38"/>
    <x v="38"/>
    <x v="38"/>
    <x v="38"/>
    <x v="38"/>
    <x v="38"/>
    <x v="23"/>
    <x v="50"/>
    <x v="50"/>
    <x v="0"/>
    <x v="4"/>
    <x v="0"/>
    <x v="52"/>
    <x v="23"/>
    <x v="23"/>
    <x v="23"/>
    <x v="23"/>
    <x v="0"/>
  </r>
  <r>
    <x v="934"/>
    <x v="515"/>
    <x v="0"/>
    <x v="0"/>
    <x v="0"/>
    <x v="0"/>
    <x v="1"/>
    <x v="9"/>
    <x v="0"/>
    <x v="0"/>
    <x v="0"/>
    <x v="0"/>
    <x v="1360"/>
    <x v="1"/>
    <x v="0"/>
    <x v="0"/>
    <x v="0"/>
    <x v="934"/>
    <x v="0"/>
    <x v="10"/>
    <x v="10"/>
    <x v="0"/>
    <x v="0"/>
    <x v="3"/>
    <x v="69"/>
    <x v="0"/>
    <x v="19"/>
    <x v="946"/>
    <x v="6"/>
    <x v="43"/>
    <x v="1"/>
    <x v="10"/>
    <x v="6"/>
    <x v="1"/>
    <x v="1403"/>
    <x v="10"/>
    <x v="19"/>
    <x v="1358"/>
    <x v="1358"/>
    <x v="5"/>
    <x v="1358"/>
    <x v="1401"/>
    <x v="1388"/>
    <x v="1402"/>
    <x v="1388"/>
    <x v="1401"/>
    <x v="1401"/>
    <x v="1401"/>
    <x v="1401"/>
    <x v="1401"/>
    <x v="1401"/>
    <x v="1401"/>
    <x v="1358"/>
    <x v="1401"/>
    <x v="1401"/>
    <x v="0"/>
    <x v="128"/>
    <x v="0"/>
    <x v="1422"/>
    <x v="1358"/>
    <x v="1358"/>
    <x v="1358"/>
    <x v="1358"/>
    <x v="0"/>
  </r>
  <r>
    <x v="935"/>
    <x v="526"/>
    <x v="0"/>
    <x v="0"/>
    <x v="0"/>
    <x v="0"/>
    <x v="1"/>
    <x v="4"/>
    <x v="0"/>
    <x v="0"/>
    <x v="9"/>
    <x v="0"/>
    <x v="577"/>
    <x v="1"/>
    <x v="0"/>
    <x v="0"/>
    <x v="0"/>
    <x v="935"/>
    <x v="1"/>
    <x v="10"/>
    <x v="10"/>
    <x v="0"/>
    <x v="0"/>
    <x v="3"/>
    <x v="71"/>
    <x v="0"/>
    <x v="27"/>
    <x v="5"/>
    <x v="2"/>
    <x v="22"/>
    <x v="1"/>
    <x v="5"/>
    <x v="2"/>
    <x v="1"/>
    <x v="1170"/>
    <x v="5"/>
    <x v="27"/>
    <x v="577"/>
    <x v="577"/>
    <x v="0"/>
    <x v="577"/>
    <x v="711"/>
    <x v="672"/>
    <x v="763"/>
    <x v="672"/>
    <x v="711"/>
    <x v="711"/>
    <x v="711"/>
    <x v="711"/>
    <x v="711"/>
    <x v="711"/>
    <x v="711"/>
    <x v="577"/>
    <x v="762"/>
    <x v="762"/>
    <x v="589"/>
    <x v="0"/>
    <x v="0"/>
    <x v="851"/>
    <x v="577"/>
    <x v="577"/>
    <x v="577"/>
    <x v="577"/>
    <x v="9"/>
  </r>
  <r>
    <x v="936"/>
    <x v="518"/>
    <x v="0"/>
    <x v="0"/>
    <x v="0"/>
    <x v="0"/>
    <x v="0"/>
    <x v="0"/>
    <x v="0"/>
    <x v="0"/>
    <x v="9"/>
    <x v="0"/>
    <x v="523"/>
    <x v="1"/>
    <x v="0"/>
    <x v="0"/>
    <x v="0"/>
    <x v="936"/>
    <x v="2"/>
    <x v="10"/>
    <x v="10"/>
    <x v="0"/>
    <x v="0"/>
    <x v="3"/>
    <x v="69"/>
    <x v="0"/>
    <x v="19"/>
    <x v="948"/>
    <x v="9"/>
    <x v="56"/>
    <x v="1"/>
    <x v="1"/>
    <x v="1"/>
    <x v="1"/>
    <x v="345"/>
    <x v="1"/>
    <x v="19"/>
    <x v="523"/>
    <x v="523"/>
    <x v="0"/>
    <x v="523"/>
    <x v="484"/>
    <x v="492"/>
    <x v="471"/>
    <x v="492"/>
    <x v="484"/>
    <x v="484"/>
    <x v="484"/>
    <x v="484"/>
    <x v="484"/>
    <x v="484"/>
    <x v="484"/>
    <x v="523"/>
    <x v="472"/>
    <x v="472"/>
    <x v="462"/>
    <x v="0"/>
    <x v="0"/>
    <x v="481"/>
    <x v="523"/>
    <x v="523"/>
    <x v="523"/>
    <x v="523"/>
    <x v="9"/>
  </r>
  <r>
    <x v="937"/>
    <x v="526"/>
    <x v="0"/>
    <x v="0"/>
    <x v="0"/>
    <x v="0"/>
    <x v="0"/>
    <x v="1"/>
    <x v="0"/>
    <x v="0"/>
    <x v="9"/>
    <x v="0"/>
    <x v="778"/>
    <x v="1"/>
    <x v="0"/>
    <x v="0"/>
    <x v="0"/>
    <x v="937"/>
    <x v="1"/>
    <x v="10"/>
    <x v="10"/>
    <x v="0"/>
    <x v="0"/>
    <x v="3"/>
    <x v="71"/>
    <x v="0"/>
    <x v="27"/>
    <x v="947"/>
    <x v="10"/>
    <x v="66"/>
    <x v="1"/>
    <x v="2"/>
    <x v="2"/>
    <x v="1"/>
    <x v="866"/>
    <x v="2"/>
    <x v="27"/>
    <x v="778"/>
    <x v="778"/>
    <x v="1"/>
    <x v="778"/>
    <x v="860"/>
    <x v="850"/>
    <x v="860"/>
    <x v="850"/>
    <x v="860"/>
    <x v="860"/>
    <x v="860"/>
    <x v="860"/>
    <x v="860"/>
    <x v="860"/>
    <x v="860"/>
    <x v="778"/>
    <x v="853"/>
    <x v="853"/>
    <x v="725"/>
    <x v="0"/>
    <x v="0"/>
    <x v="933"/>
    <x v="778"/>
    <x v="778"/>
    <x v="778"/>
    <x v="778"/>
    <x v="9"/>
  </r>
  <r>
    <x v="938"/>
    <x v="530"/>
    <x v="0"/>
    <x v="0"/>
    <x v="0"/>
    <x v="0"/>
    <x v="1"/>
    <x v="4"/>
    <x v="0"/>
    <x v="0"/>
    <x v="9"/>
    <x v="0"/>
    <x v="477"/>
    <x v="1"/>
    <x v="0"/>
    <x v="0"/>
    <x v="0"/>
    <x v="938"/>
    <x v="1"/>
    <x v="10"/>
    <x v="10"/>
    <x v="0"/>
    <x v="0"/>
    <x v="3"/>
    <x v="53"/>
    <x v="0"/>
    <x v="18"/>
    <x v="5"/>
    <x v="2"/>
    <x v="22"/>
    <x v="1"/>
    <x v="5"/>
    <x v="2"/>
    <x v="1"/>
    <x v="1149"/>
    <x v="5"/>
    <x v="18"/>
    <x v="477"/>
    <x v="477"/>
    <x v="0"/>
    <x v="477"/>
    <x v="624"/>
    <x v="565"/>
    <x v="683"/>
    <x v="565"/>
    <x v="624"/>
    <x v="624"/>
    <x v="624"/>
    <x v="624"/>
    <x v="624"/>
    <x v="624"/>
    <x v="624"/>
    <x v="477"/>
    <x v="686"/>
    <x v="686"/>
    <x v="474"/>
    <x v="0"/>
    <x v="0"/>
    <x v="614"/>
    <x v="477"/>
    <x v="477"/>
    <x v="477"/>
    <x v="477"/>
    <x v="9"/>
  </r>
  <r>
    <x v="939"/>
    <x v="536"/>
    <x v="0"/>
    <x v="0"/>
    <x v="0"/>
    <x v="0"/>
    <x v="0"/>
    <x v="1"/>
    <x v="0"/>
    <x v="0"/>
    <x v="9"/>
    <x v="0"/>
    <x v="427"/>
    <x v="1"/>
    <x v="0"/>
    <x v="0"/>
    <x v="0"/>
    <x v="939"/>
    <x v="1"/>
    <x v="10"/>
    <x v="10"/>
    <x v="0"/>
    <x v="0"/>
    <x v="3"/>
    <x v="71"/>
    <x v="0"/>
    <x v="28"/>
    <x v="951"/>
    <x v="10"/>
    <x v="66"/>
    <x v="1"/>
    <x v="2"/>
    <x v="2"/>
    <x v="1"/>
    <x v="623"/>
    <x v="2"/>
    <x v="28"/>
    <x v="427"/>
    <x v="427"/>
    <x v="0"/>
    <x v="427"/>
    <x v="495"/>
    <x v="486"/>
    <x v="508"/>
    <x v="486"/>
    <x v="495"/>
    <x v="495"/>
    <x v="495"/>
    <x v="495"/>
    <x v="495"/>
    <x v="495"/>
    <x v="495"/>
    <x v="427"/>
    <x v="506"/>
    <x v="506"/>
    <x v="388"/>
    <x v="0"/>
    <x v="0"/>
    <x v="665"/>
    <x v="427"/>
    <x v="427"/>
    <x v="427"/>
    <x v="427"/>
    <x v="9"/>
  </r>
  <r>
    <x v="940"/>
    <x v="547"/>
    <x v="0"/>
    <x v="0"/>
    <x v="0"/>
    <x v="0"/>
    <x v="0"/>
    <x v="1"/>
    <x v="0"/>
    <x v="0"/>
    <x v="9"/>
    <x v="0"/>
    <x v="10"/>
    <x v="1"/>
    <x v="0"/>
    <x v="0"/>
    <x v="0"/>
    <x v="940"/>
    <x v="1"/>
    <x v="10"/>
    <x v="10"/>
    <x v="0"/>
    <x v="0"/>
    <x v="3"/>
    <x v="71"/>
    <x v="0"/>
    <x v="28"/>
    <x v="950"/>
    <x v="10"/>
    <x v="66"/>
    <x v="1"/>
    <x v="2"/>
    <x v="2"/>
    <x v="1"/>
    <x v="18"/>
    <x v="2"/>
    <x v="28"/>
    <x v="11"/>
    <x v="11"/>
    <x v="0"/>
    <x v="11"/>
    <x v="12"/>
    <x v="12"/>
    <x v="11"/>
    <x v="12"/>
    <x v="12"/>
    <x v="12"/>
    <x v="12"/>
    <x v="12"/>
    <x v="12"/>
    <x v="12"/>
    <x v="12"/>
    <x v="11"/>
    <x v="11"/>
    <x v="11"/>
    <x v="11"/>
    <x v="0"/>
    <x v="0"/>
    <x v="15"/>
    <x v="11"/>
    <x v="11"/>
    <x v="11"/>
    <x v="11"/>
    <x v="9"/>
  </r>
  <r>
    <x v="941"/>
    <x v="548"/>
    <x v="0"/>
    <x v="0"/>
    <x v="0"/>
    <x v="0"/>
    <x v="0"/>
    <x v="1"/>
    <x v="0"/>
    <x v="0"/>
    <x v="9"/>
    <x v="0"/>
    <x v="56"/>
    <x v="1"/>
    <x v="0"/>
    <x v="0"/>
    <x v="0"/>
    <x v="941"/>
    <x v="1"/>
    <x v="10"/>
    <x v="10"/>
    <x v="0"/>
    <x v="0"/>
    <x v="3"/>
    <x v="71"/>
    <x v="0"/>
    <x v="19"/>
    <x v="952"/>
    <x v="10"/>
    <x v="66"/>
    <x v="1"/>
    <x v="2"/>
    <x v="2"/>
    <x v="1"/>
    <x v="60"/>
    <x v="2"/>
    <x v="19"/>
    <x v="57"/>
    <x v="57"/>
    <x v="0"/>
    <x v="57"/>
    <x v="58"/>
    <x v="60"/>
    <x v="55"/>
    <x v="60"/>
    <x v="58"/>
    <x v="58"/>
    <x v="58"/>
    <x v="58"/>
    <x v="58"/>
    <x v="58"/>
    <x v="58"/>
    <x v="57"/>
    <x v="53"/>
    <x v="53"/>
    <x v="42"/>
    <x v="0"/>
    <x v="0"/>
    <x v="54"/>
    <x v="57"/>
    <x v="57"/>
    <x v="57"/>
    <x v="57"/>
    <x v="9"/>
  </r>
  <r>
    <x v="942"/>
    <x v="552"/>
    <x v="0"/>
    <x v="0"/>
    <x v="0"/>
    <x v="0"/>
    <x v="1"/>
    <x v="4"/>
    <x v="0"/>
    <x v="0"/>
    <x v="9"/>
    <x v="0"/>
    <x v="421"/>
    <x v="1"/>
    <x v="0"/>
    <x v="0"/>
    <x v="0"/>
    <x v="942"/>
    <x v="1"/>
    <x v="10"/>
    <x v="10"/>
    <x v="0"/>
    <x v="0"/>
    <x v="3"/>
    <x v="50"/>
    <x v="0"/>
    <x v="14"/>
    <x v="5"/>
    <x v="2"/>
    <x v="22"/>
    <x v="1"/>
    <x v="5"/>
    <x v="2"/>
    <x v="1"/>
    <x v="1117"/>
    <x v="5"/>
    <x v="14"/>
    <x v="421"/>
    <x v="421"/>
    <x v="0"/>
    <x v="421"/>
    <x v="525"/>
    <x v="483"/>
    <x v="605"/>
    <x v="483"/>
    <x v="525"/>
    <x v="525"/>
    <x v="525"/>
    <x v="525"/>
    <x v="525"/>
    <x v="525"/>
    <x v="525"/>
    <x v="421"/>
    <x v="606"/>
    <x v="606"/>
    <x v="407"/>
    <x v="0"/>
    <x v="0"/>
    <x v="482"/>
    <x v="421"/>
    <x v="421"/>
    <x v="421"/>
    <x v="421"/>
    <x v="9"/>
  </r>
  <r>
    <x v="943"/>
    <x v="549"/>
    <x v="0"/>
    <x v="0"/>
    <x v="0"/>
    <x v="0"/>
    <x v="0"/>
    <x v="0"/>
    <x v="0"/>
    <x v="0"/>
    <x v="9"/>
    <x v="0"/>
    <x v="710"/>
    <x v="1"/>
    <x v="0"/>
    <x v="0"/>
    <x v="0"/>
    <x v="943"/>
    <x v="2"/>
    <x v="10"/>
    <x v="10"/>
    <x v="0"/>
    <x v="0"/>
    <x v="3"/>
    <x v="71"/>
    <x v="0"/>
    <x v="19"/>
    <x v="955"/>
    <x v="9"/>
    <x v="56"/>
    <x v="1"/>
    <x v="1"/>
    <x v="1"/>
    <x v="1"/>
    <x v="469"/>
    <x v="1"/>
    <x v="19"/>
    <x v="710"/>
    <x v="710"/>
    <x v="1"/>
    <x v="710"/>
    <x v="660"/>
    <x v="675"/>
    <x v="623"/>
    <x v="675"/>
    <x v="660"/>
    <x v="660"/>
    <x v="660"/>
    <x v="660"/>
    <x v="660"/>
    <x v="660"/>
    <x v="660"/>
    <x v="710"/>
    <x v="624"/>
    <x v="624"/>
    <x v="648"/>
    <x v="0"/>
    <x v="0"/>
    <x v="597"/>
    <x v="710"/>
    <x v="710"/>
    <x v="710"/>
    <x v="710"/>
    <x v="9"/>
  </r>
  <r>
    <x v="944"/>
    <x v="579"/>
    <x v="0"/>
    <x v="0"/>
    <x v="0"/>
    <x v="0"/>
    <x v="0"/>
    <x v="0"/>
    <x v="0"/>
    <x v="0"/>
    <x v="9"/>
    <x v="0"/>
    <x v="1288"/>
    <x v="1"/>
    <x v="0"/>
    <x v="0"/>
    <x v="0"/>
    <x v="944"/>
    <x v="2"/>
    <x v="12"/>
    <x v="12"/>
    <x v="0"/>
    <x v="0"/>
    <x v="3"/>
    <x v="71"/>
    <x v="0"/>
    <x v="29"/>
    <x v="968"/>
    <x v="9"/>
    <x v="56"/>
    <x v="1"/>
    <x v="1"/>
    <x v="1"/>
    <x v="1"/>
    <x v="1088"/>
    <x v="1"/>
    <x v="29"/>
    <x v="1286"/>
    <x v="1286"/>
    <x v="2"/>
    <x v="1286"/>
    <x v="1308"/>
    <x v="1300"/>
    <x v="1299"/>
    <x v="1300"/>
    <x v="1308"/>
    <x v="1308"/>
    <x v="1308"/>
    <x v="1308"/>
    <x v="1308"/>
    <x v="1308"/>
    <x v="1308"/>
    <x v="1286"/>
    <x v="1300"/>
    <x v="1300"/>
    <x v="1207"/>
    <x v="0"/>
    <x v="0"/>
    <x v="1350"/>
    <x v="1286"/>
    <x v="1286"/>
    <x v="1286"/>
    <x v="1286"/>
    <x v="9"/>
  </r>
  <r>
    <x v="945"/>
    <x v="566"/>
    <x v="0"/>
    <x v="0"/>
    <x v="0"/>
    <x v="0"/>
    <x v="0"/>
    <x v="0"/>
    <x v="0"/>
    <x v="0"/>
    <x v="9"/>
    <x v="0"/>
    <x v="81"/>
    <x v="1"/>
    <x v="0"/>
    <x v="0"/>
    <x v="0"/>
    <x v="945"/>
    <x v="2"/>
    <x v="12"/>
    <x v="12"/>
    <x v="0"/>
    <x v="0"/>
    <x v="3"/>
    <x v="69"/>
    <x v="0"/>
    <x v="21"/>
    <x v="966"/>
    <x v="9"/>
    <x v="56"/>
    <x v="1"/>
    <x v="1"/>
    <x v="1"/>
    <x v="1"/>
    <x v="40"/>
    <x v="1"/>
    <x v="21"/>
    <x v="82"/>
    <x v="82"/>
    <x v="0"/>
    <x v="82"/>
    <x v="77"/>
    <x v="79"/>
    <x v="68"/>
    <x v="79"/>
    <x v="77"/>
    <x v="77"/>
    <x v="77"/>
    <x v="77"/>
    <x v="77"/>
    <x v="77"/>
    <x v="77"/>
    <x v="82"/>
    <x v="68"/>
    <x v="68"/>
    <x v="68"/>
    <x v="0"/>
    <x v="0"/>
    <x v="71"/>
    <x v="82"/>
    <x v="82"/>
    <x v="82"/>
    <x v="82"/>
    <x v="9"/>
  </r>
  <r>
    <x v="946"/>
    <x v="567"/>
    <x v="0"/>
    <x v="0"/>
    <x v="0"/>
    <x v="0"/>
    <x v="0"/>
    <x v="0"/>
    <x v="0"/>
    <x v="0"/>
    <x v="9"/>
    <x v="0"/>
    <x v="12"/>
    <x v="1"/>
    <x v="0"/>
    <x v="0"/>
    <x v="0"/>
    <x v="946"/>
    <x v="2"/>
    <x v="12"/>
    <x v="12"/>
    <x v="0"/>
    <x v="0"/>
    <x v="3"/>
    <x v="69"/>
    <x v="0"/>
    <x v="29"/>
    <x v="957"/>
    <x v="9"/>
    <x v="56"/>
    <x v="1"/>
    <x v="1"/>
    <x v="1"/>
    <x v="1"/>
    <x v="9"/>
    <x v="1"/>
    <x v="29"/>
    <x v="13"/>
    <x v="13"/>
    <x v="0"/>
    <x v="13"/>
    <x v="11"/>
    <x v="11"/>
    <x v="10"/>
    <x v="11"/>
    <x v="11"/>
    <x v="11"/>
    <x v="11"/>
    <x v="11"/>
    <x v="11"/>
    <x v="11"/>
    <x v="11"/>
    <x v="13"/>
    <x v="10"/>
    <x v="10"/>
    <x v="12"/>
    <x v="0"/>
    <x v="0"/>
    <x v="14"/>
    <x v="13"/>
    <x v="13"/>
    <x v="13"/>
    <x v="13"/>
    <x v="9"/>
  </r>
  <r>
    <x v="947"/>
    <x v="580"/>
    <x v="0"/>
    <x v="0"/>
    <x v="0"/>
    <x v="0"/>
    <x v="0"/>
    <x v="0"/>
    <x v="0"/>
    <x v="0"/>
    <x v="9"/>
    <x v="0"/>
    <x v="65"/>
    <x v="1"/>
    <x v="0"/>
    <x v="0"/>
    <x v="0"/>
    <x v="947"/>
    <x v="2"/>
    <x v="12"/>
    <x v="12"/>
    <x v="0"/>
    <x v="0"/>
    <x v="3"/>
    <x v="71"/>
    <x v="0"/>
    <x v="29"/>
    <x v="958"/>
    <x v="9"/>
    <x v="56"/>
    <x v="1"/>
    <x v="1"/>
    <x v="1"/>
    <x v="1"/>
    <x v="31"/>
    <x v="1"/>
    <x v="29"/>
    <x v="66"/>
    <x v="66"/>
    <x v="0"/>
    <x v="66"/>
    <x v="55"/>
    <x v="61"/>
    <x v="48"/>
    <x v="61"/>
    <x v="55"/>
    <x v="55"/>
    <x v="55"/>
    <x v="55"/>
    <x v="55"/>
    <x v="55"/>
    <x v="55"/>
    <x v="66"/>
    <x v="47"/>
    <x v="47"/>
    <x v="54"/>
    <x v="0"/>
    <x v="0"/>
    <x v="73"/>
    <x v="66"/>
    <x v="66"/>
    <x v="66"/>
    <x v="66"/>
    <x v="9"/>
  </r>
  <r>
    <x v="948"/>
    <x v="581"/>
    <x v="0"/>
    <x v="0"/>
    <x v="0"/>
    <x v="0"/>
    <x v="0"/>
    <x v="0"/>
    <x v="0"/>
    <x v="0"/>
    <x v="9"/>
    <x v="0"/>
    <x v="26"/>
    <x v="1"/>
    <x v="0"/>
    <x v="0"/>
    <x v="0"/>
    <x v="948"/>
    <x v="2"/>
    <x v="12"/>
    <x v="12"/>
    <x v="0"/>
    <x v="0"/>
    <x v="3"/>
    <x v="71"/>
    <x v="0"/>
    <x v="29"/>
    <x v="967"/>
    <x v="9"/>
    <x v="56"/>
    <x v="1"/>
    <x v="1"/>
    <x v="1"/>
    <x v="1"/>
    <x v="15"/>
    <x v="1"/>
    <x v="29"/>
    <x v="27"/>
    <x v="27"/>
    <x v="0"/>
    <x v="27"/>
    <x v="23"/>
    <x v="25"/>
    <x v="22"/>
    <x v="25"/>
    <x v="23"/>
    <x v="23"/>
    <x v="23"/>
    <x v="23"/>
    <x v="23"/>
    <x v="23"/>
    <x v="23"/>
    <x v="27"/>
    <x v="22"/>
    <x v="22"/>
    <x v="23"/>
    <x v="0"/>
    <x v="0"/>
    <x v="34"/>
    <x v="27"/>
    <x v="27"/>
    <x v="27"/>
    <x v="27"/>
    <x v="9"/>
  </r>
  <r>
    <x v="949"/>
    <x v="568"/>
    <x v="0"/>
    <x v="0"/>
    <x v="0"/>
    <x v="0"/>
    <x v="0"/>
    <x v="0"/>
    <x v="0"/>
    <x v="0"/>
    <x v="9"/>
    <x v="0"/>
    <x v="1253"/>
    <x v="1"/>
    <x v="0"/>
    <x v="0"/>
    <x v="0"/>
    <x v="949"/>
    <x v="2"/>
    <x v="12"/>
    <x v="12"/>
    <x v="0"/>
    <x v="0"/>
    <x v="3"/>
    <x v="69"/>
    <x v="0"/>
    <x v="21"/>
    <x v="965"/>
    <x v="9"/>
    <x v="56"/>
    <x v="1"/>
    <x v="1"/>
    <x v="1"/>
    <x v="1"/>
    <x v="1047"/>
    <x v="1"/>
    <x v="21"/>
    <x v="1251"/>
    <x v="1251"/>
    <x v="2"/>
    <x v="1251"/>
    <x v="1272"/>
    <x v="1263"/>
    <x v="1264"/>
    <x v="1263"/>
    <x v="1272"/>
    <x v="1272"/>
    <x v="1272"/>
    <x v="1272"/>
    <x v="1272"/>
    <x v="1272"/>
    <x v="1272"/>
    <x v="1251"/>
    <x v="1264"/>
    <x v="1264"/>
    <x v="1175"/>
    <x v="0"/>
    <x v="0"/>
    <x v="1267"/>
    <x v="1251"/>
    <x v="1251"/>
    <x v="1251"/>
    <x v="1251"/>
    <x v="9"/>
  </r>
  <r>
    <x v="950"/>
    <x v="626"/>
    <x v="0"/>
    <x v="0"/>
    <x v="0"/>
    <x v="0"/>
    <x v="0"/>
    <x v="0"/>
    <x v="0"/>
    <x v="0"/>
    <x v="9"/>
    <x v="0"/>
    <x v="1290"/>
    <x v="1"/>
    <x v="0"/>
    <x v="0"/>
    <x v="0"/>
    <x v="950"/>
    <x v="2"/>
    <x v="12"/>
    <x v="12"/>
    <x v="0"/>
    <x v="0"/>
    <x v="3"/>
    <x v="11"/>
    <x v="0"/>
    <x v="31"/>
    <x v="963"/>
    <x v="9"/>
    <x v="56"/>
    <x v="1"/>
    <x v="1"/>
    <x v="1"/>
    <x v="1"/>
    <x v="1091"/>
    <x v="1"/>
    <x v="31"/>
    <x v="1288"/>
    <x v="1288"/>
    <x v="2"/>
    <x v="1288"/>
    <x v="1310"/>
    <x v="1302"/>
    <x v="1304"/>
    <x v="1302"/>
    <x v="1310"/>
    <x v="1310"/>
    <x v="1310"/>
    <x v="1310"/>
    <x v="1310"/>
    <x v="1310"/>
    <x v="1310"/>
    <x v="1288"/>
    <x v="1303"/>
    <x v="1303"/>
    <x v="1210"/>
    <x v="0"/>
    <x v="0"/>
    <x v="1359"/>
    <x v="1288"/>
    <x v="1288"/>
    <x v="1288"/>
    <x v="1288"/>
    <x v="9"/>
  </r>
  <r>
    <x v="951"/>
    <x v="606"/>
    <x v="0"/>
    <x v="0"/>
    <x v="0"/>
    <x v="0"/>
    <x v="0"/>
    <x v="0"/>
    <x v="0"/>
    <x v="0"/>
    <x v="9"/>
    <x v="0"/>
    <x v="119"/>
    <x v="1"/>
    <x v="0"/>
    <x v="0"/>
    <x v="0"/>
    <x v="951"/>
    <x v="2"/>
    <x v="12"/>
    <x v="12"/>
    <x v="0"/>
    <x v="0"/>
    <x v="3"/>
    <x v="37"/>
    <x v="0"/>
    <x v="31"/>
    <x v="971"/>
    <x v="9"/>
    <x v="56"/>
    <x v="1"/>
    <x v="1"/>
    <x v="1"/>
    <x v="1"/>
    <x v="59"/>
    <x v="1"/>
    <x v="31"/>
    <x v="120"/>
    <x v="120"/>
    <x v="0"/>
    <x v="120"/>
    <x v="116"/>
    <x v="120"/>
    <x v="108"/>
    <x v="120"/>
    <x v="116"/>
    <x v="116"/>
    <x v="116"/>
    <x v="116"/>
    <x v="116"/>
    <x v="116"/>
    <x v="116"/>
    <x v="120"/>
    <x v="108"/>
    <x v="108"/>
    <x v="102"/>
    <x v="0"/>
    <x v="0"/>
    <x v="134"/>
    <x v="120"/>
    <x v="120"/>
    <x v="120"/>
    <x v="120"/>
    <x v="9"/>
  </r>
  <r>
    <x v="952"/>
    <x v="611"/>
    <x v="0"/>
    <x v="0"/>
    <x v="0"/>
    <x v="0"/>
    <x v="0"/>
    <x v="0"/>
    <x v="0"/>
    <x v="0"/>
    <x v="9"/>
    <x v="0"/>
    <x v="591"/>
    <x v="1"/>
    <x v="0"/>
    <x v="0"/>
    <x v="0"/>
    <x v="952"/>
    <x v="2"/>
    <x v="12"/>
    <x v="12"/>
    <x v="0"/>
    <x v="0"/>
    <x v="3"/>
    <x v="37"/>
    <x v="0"/>
    <x v="31"/>
    <x v="962"/>
    <x v="9"/>
    <x v="56"/>
    <x v="1"/>
    <x v="1"/>
    <x v="1"/>
    <x v="1"/>
    <x v="388"/>
    <x v="1"/>
    <x v="31"/>
    <x v="591"/>
    <x v="591"/>
    <x v="0"/>
    <x v="591"/>
    <x v="537"/>
    <x v="550"/>
    <x v="521"/>
    <x v="550"/>
    <x v="537"/>
    <x v="537"/>
    <x v="537"/>
    <x v="537"/>
    <x v="537"/>
    <x v="537"/>
    <x v="537"/>
    <x v="591"/>
    <x v="520"/>
    <x v="520"/>
    <x v="526"/>
    <x v="0"/>
    <x v="0"/>
    <x v="714"/>
    <x v="591"/>
    <x v="591"/>
    <x v="591"/>
    <x v="591"/>
    <x v="9"/>
  </r>
  <r>
    <x v="953"/>
    <x v="611"/>
    <x v="0"/>
    <x v="0"/>
    <x v="0"/>
    <x v="0"/>
    <x v="0"/>
    <x v="0"/>
    <x v="0"/>
    <x v="0"/>
    <x v="9"/>
    <x v="0"/>
    <x v="1257"/>
    <x v="1"/>
    <x v="0"/>
    <x v="0"/>
    <x v="0"/>
    <x v="953"/>
    <x v="2"/>
    <x v="12"/>
    <x v="12"/>
    <x v="0"/>
    <x v="0"/>
    <x v="3"/>
    <x v="37"/>
    <x v="0"/>
    <x v="31"/>
    <x v="56"/>
    <x v="9"/>
    <x v="56"/>
    <x v="1"/>
    <x v="1"/>
    <x v="1"/>
    <x v="1"/>
    <x v="1053"/>
    <x v="1"/>
    <x v="31"/>
    <x v="1255"/>
    <x v="1255"/>
    <x v="2"/>
    <x v="1255"/>
    <x v="1276"/>
    <x v="1268"/>
    <x v="1270"/>
    <x v="1268"/>
    <x v="1276"/>
    <x v="1276"/>
    <x v="1276"/>
    <x v="1276"/>
    <x v="1276"/>
    <x v="1276"/>
    <x v="1276"/>
    <x v="1255"/>
    <x v="1269"/>
    <x v="1269"/>
    <x v="1179"/>
    <x v="0"/>
    <x v="0"/>
    <x v="1334"/>
    <x v="1255"/>
    <x v="1255"/>
    <x v="1255"/>
    <x v="1255"/>
    <x v="9"/>
  </r>
  <r>
    <x v="954"/>
    <x v="631"/>
    <x v="0"/>
    <x v="0"/>
    <x v="0"/>
    <x v="0"/>
    <x v="0"/>
    <x v="0"/>
    <x v="0"/>
    <x v="0"/>
    <x v="9"/>
    <x v="0"/>
    <x v="188"/>
    <x v="1"/>
    <x v="0"/>
    <x v="0"/>
    <x v="0"/>
    <x v="954"/>
    <x v="2"/>
    <x v="12"/>
    <x v="12"/>
    <x v="0"/>
    <x v="0"/>
    <x v="3"/>
    <x v="37"/>
    <x v="0"/>
    <x v="35"/>
    <x v="36"/>
    <x v="9"/>
    <x v="56"/>
    <x v="1"/>
    <x v="1"/>
    <x v="1"/>
    <x v="1"/>
    <x v="102"/>
    <x v="1"/>
    <x v="35"/>
    <x v="189"/>
    <x v="189"/>
    <x v="0"/>
    <x v="189"/>
    <x v="194"/>
    <x v="195"/>
    <x v="188"/>
    <x v="195"/>
    <x v="194"/>
    <x v="194"/>
    <x v="194"/>
    <x v="194"/>
    <x v="194"/>
    <x v="194"/>
    <x v="194"/>
    <x v="189"/>
    <x v="186"/>
    <x v="186"/>
    <x v="163"/>
    <x v="0"/>
    <x v="0"/>
    <x v="239"/>
    <x v="189"/>
    <x v="189"/>
    <x v="189"/>
    <x v="189"/>
    <x v="9"/>
  </r>
  <r>
    <x v="955"/>
    <x v="631"/>
    <x v="0"/>
    <x v="0"/>
    <x v="0"/>
    <x v="0"/>
    <x v="0"/>
    <x v="0"/>
    <x v="0"/>
    <x v="0"/>
    <x v="9"/>
    <x v="0"/>
    <x v="1048"/>
    <x v="0"/>
    <x v="0"/>
    <x v="0"/>
    <x v="0"/>
    <x v="955"/>
    <x v="2"/>
    <x v="12"/>
    <x v="12"/>
    <x v="0"/>
    <x v="0"/>
    <x v="3"/>
    <x v="37"/>
    <x v="0"/>
    <x v="35"/>
    <x v="32"/>
    <x v="9"/>
    <x v="47"/>
    <x v="0"/>
    <x v="0"/>
    <x v="0"/>
    <x v="0"/>
    <x v="814"/>
    <x v="0"/>
    <x v="35"/>
    <x v="0"/>
    <x v="0"/>
    <x v="0"/>
    <x v="0"/>
    <x v="0"/>
    <x v="0"/>
    <x v="0"/>
    <x v="0"/>
    <x v="0"/>
    <x v="0"/>
    <x v="0"/>
    <x v="0"/>
    <x v="0"/>
    <x v="0"/>
    <x v="0"/>
    <x v="0"/>
    <x v="0"/>
    <x v="0"/>
    <x v="0"/>
    <x v="0"/>
    <x v="0"/>
    <x v="0"/>
    <x v="0"/>
    <x v="0"/>
    <x v="0"/>
    <x v="0"/>
    <x v="9"/>
  </r>
  <r>
    <x v="956"/>
    <x v="626"/>
    <x v="0"/>
    <x v="0"/>
    <x v="0"/>
    <x v="0"/>
    <x v="0"/>
    <x v="2"/>
    <x v="0"/>
    <x v="0"/>
    <x v="9"/>
    <x v="0"/>
    <x v="572"/>
    <x v="1"/>
    <x v="0"/>
    <x v="0"/>
    <x v="0"/>
    <x v="956"/>
    <x v="1"/>
    <x v="12"/>
    <x v="12"/>
    <x v="0"/>
    <x v="0"/>
    <x v="3"/>
    <x v="11"/>
    <x v="0"/>
    <x v="31"/>
    <x v="964"/>
    <x v="1"/>
    <x v="8"/>
    <x v="1"/>
    <x v="3"/>
    <x v="2"/>
    <x v="1"/>
    <x v="923"/>
    <x v="3"/>
    <x v="31"/>
    <x v="572"/>
    <x v="572"/>
    <x v="0"/>
    <x v="572"/>
    <x v="679"/>
    <x v="665"/>
    <x v="699"/>
    <x v="665"/>
    <x v="679"/>
    <x v="679"/>
    <x v="679"/>
    <x v="679"/>
    <x v="679"/>
    <x v="679"/>
    <x v="679"/>
    <x v="572"/>
    <x v="695"/>
    <x v="695"/>
    <x v="541"/>
    <x v="0"/>
    <x v="0"/>
    <x v="848"/>
    <x v="572"/>
    <x v="572"/>
    <x v="572"/>
    <x v="572"/>
    <x v="9"/>
  </r>
  <r>
    <x v="957"/>
    <x v="641"/>
    <x v="0"/>
    <x v="0"/>
    <x v="0"/>
    <x v="0"/>
    <x v="0"/>
    <x v="2"/>
    <x v="0"/>
    <x v="0"/>
    <x v="9"/>
    <x v="0"/>
    <x v="421"/>
    <x v="1"/>
    <x v="0"/>
    <x v="0"/>
    <x v="0"/>
    <x v="957"/>
    <x v="1"/>
    <x v="12"/>
    <x v="12"/>
    <x v="0"/>
    <x v="0"/>
    <x v="3"/>
    <x v="11"/>
    <x v="0"/>
    <x v="24"/>
    <x v="973"/>
    <x v="1"/>
    <x v="8"/>
    <x v="1"/>
    <x v="3"/>
    <x v="2"/>
    <x v="1"/>
    <x v="833"/>
    <x v="3"/>
    <x v="24"/>
    <x v="421"/>
    <x v="421"/>
    <x v="0"/>
    <x v="421"/>
    <x v="505"/>
    <x v="483"/>
    <x v="541"/>
    <x v="483"/>
    <x v="505"/>
    <x v="505"/>
    <x v="505"/>
    <x v="505"/>
    <x v="505"/>
    <x v="505"/>
    <x v="505"/>
    <x v="421"/>
    <x v="534"/>
    <x v="534"/>
    <x v="392"/>
    <x v="0"/>
    <x v="0"/>
    <x v="609"/>
    <x v="421"/>
    <x v="421"/>
    <x v="421"/>
    <x v="421"/>
    <x v="9"/>
  </r>
  <r>
    <x v="958"/>
    <x v="631"/>
    <x v="0"/>
    <x v="0"/>
    <x v="0"/>
    <x v="0"/>
    <x v="0"/>
    <x v="0"/>
    <x v="0"/>
    <x v="0"/>
    <x v="9"/>
    <x v="0"/>
    <x v="970"/>
    <x v="1"/>
    <x v="0"/>
    <x v="0"/>
    <x v="0"/>
    <x v="958"/>
    <x v="2"/>
    <x v="12"/>
    <x v="12"/>
    <x v="0"/>
    <x v="0"/>
    <x v="3"/>
    <x v="37"/>
    <x v="0"/>
    <x v="35"/>
    <x v="969"/>
    <x v="9"/>
    <x v="56"/>
    <x v="1"/>
    <x v="1"/>
    <x v="1"/>
    <x v="1"/>
    <x v="729"/>
    <x v="1"/>
    <x v="35"/>
    <x v="970"/>
    <x v="970"/>
    <x v="1"/>
    <x v="970"/>
    <x v="985"/>
    <x v="984"/>
    <x v="968"/>
    <x v="984"/>
    <x v="985"/>
    <x v="985"/>
    <x v="985"/>
    <x v="985"/>
    <x v="985"/>
    <x v="985"/>
    <x v="985"/>
    <x v="970"/>
    <x v="967"/>
    <x v="967"/>
    <x v="905"/>
    <x v="0"/>
    <x v="0"/>
    <x v="1124"/>
    <x v="970"/>
    <x v="970"/>
    <x v="970"/>
    <x v="970"/>
    <x v="9"/>
  </r>
  <r>
    <x v="959"/>
    <x v="641"/>
    <x v="0"/>
    <x v="0"/>
    <x v="0"/>
    <x v="0"/>
    <x v="0"/>
    <x v="0"/>
    <x v="0"/>
    <x v="0"/>
    <x v="9"/>
    <x v="0"/>
    <x v="1346"/>
    <x v="1"/>
    <x v="0"/>
    <x v="0"/>
    <x v="0"/>
    <x v="959"/>
    <x v="2"/>
    <x v="12"/>
    <x v="12"/>
    <x v="0"/>
    <x v="0"/>
    <x v="3"/>
    <x v="11"/>
    <x v="0"/>
    <x v="24"/>
    <x v="972"/>
    <x v="9"/>
    <x v="56"/>
    <x v="1"/>
    <x v="1"/>
    <x v="1"/>
    <x v="1"/>
    <x v="1219"/>
    <x v="1"/>
    <x v="24"/>
    <x v="1344"/>
    <x v="1344"/>
    <x v="3"/>
    <x v="1344"/>
    <x v="1378"/>
    <x v="1369"/>
    <x v="1372"/>
    <x v="1369"/>
    <x v="1378"/>
    <x v="1378"/>
    <x v="1378"/>
    <x v="1378"/>
    <x v="1378"/>
    <x v="1378"/>
    <x v="1378"/>
    <x v="1344"/>
    <x v="1371"/>
    <x v="1371"/>
    <x v="1264"/>
    <x v="0"/>
    <x v="0"/>
    <x v="1386"/>
    <x v="1344"/>
    <x v="1344"/>
    <x v="1344"/>
    <x v="1344"/>
    <x v="9"/>
  </r>
  <r>
    <x v="960"/>
    <x v="667"/>
    <x v="0"/>
    <x v="0"/>
    <x v="0"/>
    <x v="0"/>
    <x v="0"/>
    <x v="0"/>
    <x v="0"/>
    <x v="0"/>
    <x v="9"/>
    <x v="0"/>
    <x v="493"/>
    <x v="1"/>
    <x v="0"/>
    <x v="0"/>
    <x v="0"/>
    <x v="960"/>
    <x v="2"/>
    <x v="12"/>
    <x v="12"/>
    <x v="0"/>
    <x v="0"/>
    <x v="3"/>
    <x v="128"/>
    <x v="0"/>
    <x v="36"/>
    <x v="988"/>
    <x v="9"/>
    <x v="56"/>
    <x v="1"/>
    <x v="1"/>
    <x v="1"/>
    <x v="1"/>
    <x v="331"/>
    <x v="1"/>
    <x v="36"/>
    <x v="493"/>
    <x v="493"/>
    <x v="0"/>
    <x v="493"/>
    <x v="467"/>
    <x v="470"/>
    <x v="454"/>
    <x v="470"/>
    <x v="467"/>
    <x v="467"/>
    <x v="467"/>
    <x v="467"/>
    <x v="467"/>
    <x v="467"/>
    <x v="467"/>
    <x v="493"/>
    <x v="454"/>
    <x v="454"/>
    <x v="439"/>
    <x v="0"/>
    <x v="0"/>
    <x v="717"/>
    <x v="493"/>
    <x v="493"/>
    <x v="493"/>
    <x v="493"/>
    <x v="9"/>
  </r>
  <r>
    <x v="961"/>
    <x v="655"/>
    <x v="0"/>
    <x v="0"/>
    <x v="0"/>
    <x v="0"/>
    <x v="0"/>
    <x v="0"/>
    <x v="0"/>
    <x v="0"/>
    <x v="9"/>
    <x v="0"/>
    <x v="1347"/>
    <x v="1"/>
    <x v="0"/>
    <x v="0"/>
    <x v="0"/>
    <x v="961"/>
    <x v="2"/>
    <x v="12"/>
    <x v="12"/>
    <x v="0"/>
    <x v="0"/>
    <x v="3"/>
    <x v="2"/>
    <x v="0"/>
    <x v="24"/>
    <x v="975"/>
    <x v="9"/>
    <x v="56"/>
    <x v="1"/>
    <x v="1"/>
    <x v="1"/>
    <x v="1"/>
    <x v="1222"/>
    <x v="1"/>
    <x v="24"/>
    <x v="1345"/>
    <x v="1345"/>
    <x v="3"/>
    <x v="1345"/>
    <x v="1382"/>
    <x v="1370"/>
    <x v="1373"/>
    <x v="1370"/>
    <x v="1382"/>
    <x v="1382"/>
    <x v="1382"/>
    <x v="1382"/>
    <x v="1382"/>
    <x v="1382"/>
    <x v="1382"/>
    <x v="1345"/>
    <x v="1372"/>
    <x v="1372"/>
    <x v="1265"/>
    <x v="0"/>
    <x v="0"/>
    <x v="1387"/>
    <x v="1345"/>
    <x v="1345"/>
    <x v="1345"/>
    <x v="1345"/>
    <x v="9"/>
  </r>
  <r>
    <x v="962"/>
    <x v="655"/>
    <x v="0"/>
    <x v="0"/>
    <x v="0"/>
    <x v="0"/>
    <x v="0"/>
    <x v="2"/>
    <x v="0"/>
    <x v="0"/>
    <x v="9"/>
    <x v="0"/>
    <x v="917"/>
    <x v="1"/>
    <x v="0"/>
    <x v="0"/>
    <x v="0"/>
    <x v="962"/>
    <x v="1"/>
    <x v="12"/>
    <x v="12"/>
    <x v="0"/>
    <x v="0"/>
    <x v="3"/>
    <x v="2"/>
    <x v="0"/>
    <x v="24"/>
    <x v="974"/>
    <x v="1"/>
    <x v="8"/>
    <x v="1"/>
    <x v="3"/>
    <x v="2"/>
    <x v="1"/>
    <x v="1135"/>
    <x v="3"/>
    <x v="24"/>
    <x v="917"/>
    <x v="917"/>
    <x v="1"/>
    <x v="917"/>
    <x v="1011"/>
    <x v="992"/>
    <x v="1031"/>
    <x v="992"/>
    <x v="1011"/>
    <x v="1011"/>
    <x v="1011"/>
    <x v="1011"/>
    <x v="1011"/>
    <x v="1011"/>
    <x v="1011"/>
    <x v="917"/>
    <x v="1028"/>
    <x v="1028"/>
    <x v="870"/>
    <x v="0"/>
    <x v="0"/>
    <x v="1049"/>
    <x v="917"/>
    <x v="917"/>
    <x v="917"/>
    <x v="917"/>
    <x v="9"/>
  </r>
  <r>
    <x v="963"/>
    <x v="699"/>
    <x v="0"/>
    <x v="0"/>
    <x v="0"/>
    <x v="0"/>
    <x v="0"/>
    <x v="0"/>
    <x v="0"/>
    <x v="0"/>
    <x v="9"/>
    <x v="0"/>
    <x v="200"/>
    <x v="1"/>
    <x v="0"/>
    <x v="0"/>
    <x v="0"/>
    <x v="963"/>
    <x v="2"/>
    <x v="12"/>
    <x v="12"/>
    <x v="0"/>
    <x v="0"/>
    <x v="3"/>
    <x v="7"/>
    <x v="0"/>
    <x v="35"/>
    <x v="960"/>
    <x v="9"/>
    <x v="56"/>
    <x v="1"/>
    <x v="1"/>
    <x v="1"/>
    <x v="1"/>
    <x v="115"/>
    <x v="1"/>
    <x v="35"/>
    <x v="201"/>
    <x v="201"/>
    <x v="0"/>
    <x v="201"/>
    <x v="211"/>
    <x v="211"/>
    <x v="201"/>
    <x v="211"/>
    <x v="211"/>
    <x v="211"/>
    <x v="211"/>
    <x v="211"/>
    <x v="211"/>
    <x v="211"/>
    <x v="211"/>
    <x v="201"/>
    <x v="201"/>
    <x v="201"/>
    <x v="177"/>
    <x v="0"/>
    <x v="0"/>
    <x v="262"/>
    <x v="201"/>
    <x v="201"/>
    <x v="201"/>
    <x v="201"/>
    <x v="9"/>
  </r>
  <r>
    <x v="964"/>
    <x v="703"/>
    <x v="0"/>
    <x v="0"/>
    <x v="0"/>
    <x v="0"/>
    <x v="0"/>
    <x v="0"/>
    <x v="0"/>
    <x v="0"/>
    <x v="9"/>
    <x v="0"/>
    <x v="25"/>
    <x v="1"/>
    <x v="0"/>
    <x v="0"/>
    <x v="0"/>
    <x v="964"/>
    <x v="2"/>
    <x v="12"/>
    <x v="12"/>
    <x v="0"/>
    <x v="0"/>
    <x v="3"/>
    <x v="1"/>
    <x v="0"/>
    <x v="18"/>
    <x v="961"/>
    <x v="9"/>
    <x v="56"/>
    <x v="1"/>
    <x v="1"/>
    <x v="1"/>
    <x v="1"/>
    <x v="14"/>
    <x v="1"/>
    <x v="18"/>
    <x v="26"/>
    <x v="26"/>
    <x v="0"/>
    <x v="26"/>
    <x v="22"/>
    <x v="23"/>
    <x v="20"/>
    <x v="23"/>
    <x v="22"/>
    <x v="22"/>
    <x v="22"/>
    <x v="22"/>
    <x v="22"/>
    <x v="22"/>
    <x v="22"/>
    <x v="26"/>
    <x v="19"/>
    <x v="19"/>
    <x v="21"/>
    <x v="0"/>
    <x v="0"/>
    <x v="24"/>
    <x v="26"/>
    <x v="26"/>
    <x v="26"/>
    <x v="26"/>
    <x v="9"/>
  </r>
  <r>
    <x v="965"/>
    <x v="706"/>
    <x v="0"/>
    <x v="0"/>
    <x v="0"/>
    <x v="0"/>
    <x v="0"/>
    <x v="0"/>
    <x v="0"/>
    <x v="0"/>
    <x v="9"/>
    <x v="0"/>
    <x v="180"/>
    <x v="1"/>
    <x v="0"/>
    <x v="0"/>
    <x v="0"/>
    <x v="965"/>
    <x v="2"/>
    <x v="12"/>
    <x v="12"/>
    <x v="0"/>
    <x v="0"/>
    <x v="3"/>
    <x v="7"/>
    <x v="0"/>
    <x v="35"/>
    <x v="970"/>
    <x v="9"/>
    <x v="56"/>
    <x v="1"/>
    <x v="1"/>
    <x v="1"/>
    <x v="1"/>
    <x v="95"/>
    <x v="1"/>
    <x v="35"/>
    <x v="181"/>
    <x v="181"/>
    <x v="0"/>
    <x v="181"/>
    <x v="185"/>
    <x v="187"/>
    <x v="183"/>
    <x v="187"/>
    <x v="185"/>
    <x v="185"/>
    <x v="185"/>
    <x v="185"/>
    <x v="185"/>
    <x v="185"/>
    <x v="185"/>
    <x v="181"/>
    <x v="181"/>
    <x v="181"/>
    <x v="158"/>
    <x v="0"/>
    <x v="0"/>
    <x v="231"/>
    <x v="181"/>
    <x v="181"/>
    <x v="181"/>
    <x v="181"/>
    <x v="9"/>
  </r>
  <r>
    <x v="966"/>
    <x v="666"/>
    <x v="0"/>
    <x v="0"/>
    <x v="0"/>
    <x v="0"/>
    <x v="1"/>
    <x v="9"/>
    <x v="0"/>
    <x v="0"/>
    <x v="0"/>
    <x v="0"/>
    <x v="191"/>
    <x v="1"/>
    <x v="0"/>
    <x v="0"/>
    <x v="0"/>
    <x v="966"/>
    <x v="0"/>
    <x v="13"/>
    <x v="13"/>
    <x v="0"/>
    <x v="0"/>
    <x v="3"/>
    <x v="49"/>
    <x v="0"/>
    <x v="33"/>
    <x v="19"/>
    <x v="6"/>
    <x v="43"/>
    <x v="1"/>
    <x v="10"/>
    <x v="6"/>
    <x v="1"/>
    <x v="1258"/>
    <x v="10"/>
    <x v="33"/>
    <x v="192"/>
    <x v="192"/>
    <x v="0"/>
    <x v="192"/>
    <x v="299"/>
    <x v="260"/>
    <x v="344"/>
    <x v="260"/>
    <x v="299"/>
    <x v="299"/>
    <x v="299"/>
    <x v="299"/>
    <x v="299"/>
    <x v="299"/>
    <x v="299"/>
    <x v="192"/>
    <x v="358"/>
    <x v="358"/>
    <x v="0"/>
    <x v="44"/>
    <x v="0"/>
    <x v="546"/>
    <x v="192"/>
    <x v="192"/>
    <x v="192"/>
    <x v="192"/>
    <x v="0"/>
  </r>
  <r>
    <x v="967"/>
    <x v="666"/>
    <x v="0"/>
    <x v="0"/>
    <x v="0"/>
    <x v="0"/>
    <x v="1"/>
    <x v="11"/>
    <x v="0"/>
    <x v="0"/>
    <x v="0"/>
    <x v="0"/>
    <x v="69"/>
    <x v="1"/>
    <x v="0"/>
    <x v="0"/>
    <x v="0"/>
    <x v="967"/>
    <x v="0"/>
    <x v="13"/>
    <x v="13"/>
    <x v="0"/>
    <x v="0"/>
    <x v="3"/>
    <x v="49"/>
    <x v="0"/>
    <x v="33"/>
    <x v="978"/>
    <x v="8"/>
    <x v="45"/>
    <x v="1"/>
    <x v="12"/>
    <x v="7"/>
    <x v="1"/>
    <x v="1101"/>
    <x v="12"/>
    <x v="33"/>
    <x v="70"/>
    <x v="70"/>
    <x v="0"/>
    <x v="70"/>
    <x v="157"/>
    <x v="130"/>
    <x v="179"/>
    <x v="130"/>
    <x v="157"/>
    <x v="157"/>
    <x v="157"/>
    <x v="157"/>
    <x v="157"/>
    <x v="157"/>
    <x v="157"/>
    <x v="70"/>
    <x v="187"/>
    <x v="187"/>
    <x v="0"/>
    <x v="23"/>
    <x v="0"/>
    <x v="233"/>
    <x v="70"/>
    <x v="70"/>
    <x v="70"/>
    <x v="70"/>
    <x v="0"/>
  </r>
  <r>
    <x v="968"/>
    <x v="668"/>
    <x v="0"/>
    <x v="0"/>
    <x v="0"/>
    <x v="0"/>
    <x v="1"/>
    <x v="11"/>
    <x v="0"/>
    <x v="0"/>
    <x v="0"/>
    <x v="0"/>
    <x v="70"/>
    <x v="1"/>
    <x v="0"/>
    <x v="0"/>
    <x v="0"/>
    <x v="968"/>
    <x v="0"/>
    <x v="13"/>
    <x v="13"/>
    <x v="0"/>
    <x v="0"/>
    <x v="3"/>
    <x v="49"/>
    <x v="0"/>
    <x v="33"/>
    <x v="984"/>
    <x v="8"/>
    <x v="45"/>
    <x v="1"/>
    <x v="12"/>
    <x v="7"/>
    <x v="1"/>
    <x v="1104"/>
    <x v="12"/>
    <x v="33"/>
    <x v="71"/>
    <x v="71"/>
    <x v="0"/>
    <x v="71"/>
    <x v="159"/>
    <x v="132"/>
    <x v="180"/>
    <x v="132"/>
    <x v="159"/>
    <x v="159"/>
    <x v="159"/>
    <x v="159"/>
    <x v="159"/>
    <x v="159"/>
    <x v="159"/>
    <x v="71"/>
    <x v="189"/>
    <x v="189"/>
    <x v="0"/>
    <x v="24"/>
    <x v="0"/>
    <x v="236"/>
    <x v="71"/>
    <x v="71"/>
    <x v="71"/>
    <x v="71"/>
    <x v="0"/>
  </r>
  <r>
    <x v="969"/>
    <x v="669"/>
    <x v="0"/>
    <x v="0"/>
    <x v="0"/>
    <x v="0"/>
    <x v="1"/>
    <x v="11"/>
    <x v="0"/>
    <x v="0"/>
    <x v="0"/>
    <x v="0"/>
    <x v="242"/>
    <x v="1"/>
    <x v="0"/>
    <x v="0"/>
    <x v="0"/>
    <x v="969"/>
    <x v="0"/>
    <x v="13"/>
    <x v="13"/>
    <x v="0"/>
    <x v="0"/>
    <x v="3"/>
    <x v="49"/>
    <x v="0"/>
    <x v="33"/>
    <x v="976"/>
    <x v="8"/>
    <x v="45"/>
    <x v="1"/>
    <x v="12"/>
    <x v="7"/>
    <x v="1"/>
    <x v="1361"/>
    <x v="12"/>
    <x v="33"/>
    <x v="242"/>
    <x v="242"/>
    <x v="0"/>
    <x v="242"/>
    <x v="522"/>
    <x v="392"/>
    <x v="738"/>
    <x v="392"/>
    <x v="522"/>
    <x v="522"/>
    <x v="522"/>
    <x v="522"/>
    <x v="522"/>
    <x v="522"/>
    <x v="522"/>
    <x v="242"/>
    <x v="793"/>
    <x v="793"/>
    <x v="0"/>
    <x v="53"/>
    <x v="0"/>
    <x v="959"/>
    <x v="242"/>
    <x v="242"/>
    <x v="242"/>
    <x v="242"/>
    <x v="0"/>
  </r>
  <r>
    <x v="970"/>
    <x v="548"/>
    <x v="0"/>
    <x v="0"/>
    <x v="0"/>
    <x v="0"/>
    <x v="0"/>
    <x v="0"/>
    <x v="0"/>
    <x v="0"/>
    <x v="9"/>
    <x v="0"/>
    <x v="1155"/>
    <x v="1"/>
    <x v="0"/>
    <x v="0"/>
    <x v="0"/>
    <x v="970"/>
    <x v="2"/>
    <x v="13"/>
    <x v="13"/>
    <x v="0"/>
    <x v="0"/>
    <x v="3"/>
    <x v="71"/>
    <x v="0"/>
    <x v="19"/>
    <x v="953"/>
    <x v="9"/>
    <x v="56"/>
    <x v="1"/>
    <x v="1"/>
    <x v="1"/>
    <x v="1"/>
    <x v="929"/>
    <x v="1"/>
    <x v="19"/>
    <x v="1153"/>
    <x v="1153"/>
    <x v="1"/>
    <x v="1153"/>
    <x v="1165"/>
    <x v="1163"/>
    <x v="1148"/>
    <x v="1163"/>
    <x v="1165"/>
    <x v="1165"/>
    <x v="1165"/>
    <x v="1165"/>
    <x v="1165"/>
    <x v="1165"/>
    <x v="1165"/>
    <x v="1153"/>
    <x v="1146"/>
    <x v="1146"/>
    <x v="1080"/>
    <x v="0"/>
    <x v="0"/>
    <x v="1125"/>
    <x v="1153"/>
    <x v="1153"/>
    <x v="1153"/>
    <x v="1153"/>
    <x v="9"/>
  </r>
  <r>
    <x v="971"/>
    <x v="562"/>
    <x v="0"/>
    <x v="0"/>
    <x v="0"/>
    <x v="0"/>
    <x v="1"/>
    <x v="4"/>
    <x v="0"/>
    <x v="0"/>
    <x v="9"/>
    <x v="0"/>
    <x v="126"/>
    <x v="1"/>
    <x v="0"/>
    <x v="0"/>
    <x v="0"/>
    <x v="971"/>
    <x v="1"/>
    <x v="13"/>
    <x v="13"/>
    <x v="0"/>
    <x v="0"/>
    <x v="3"/>
    <x v="50"/>
    <x v="0"/>
    <x v="30"/>
    <x v="5"/>
    <x v="2"/>
    <x v="22"/>
    <x v="1"/>
    <x v="5"/>
    <x v="2"/>
    <x v="1"/>
    <x v="341"/>
    <x v="5"/>
    <x v="30"/>
    <x v="127"/>
    <x v="127"/>
    <x v="0"/>
    <x v="127"/>
    <x v="150"/>
    <x v="142"/>
    <x v="153"/>
    <x v="142"/>
    <x v="150"/>
    <x v="150"/>
    <x v="150"/>
    <x v="150"/>
    <x v="150"/>
    <x v="150"/>
    <x v="150"/>
    <x v="127"/>
    <x v="153"/>
    <x v="153"/>
    <x v="113"/>
    <x v="0"/>
    <x v="0"/>
    <x v="185"/>
    <x v="127"/>
    <x v="127"/>
    <x v="127"/>
    <x v="127"/>
    <x v="9"/>
  </r>
  <r>
    <x v="972"/>
    <x v="549"/>
    <x v="0"/>
    <x v="0"/>
    <x v="0"/>
    <x v="0"/>
    <x v="0"/>
    <x v="1"/>
    <x v="0"/>
    <x v="0"/>
    <x v="9"/>
    <x v="0"/>
    <x v="1271"/>
    <x v="1"/>
    <x v="0"/>
    <x v="0"/>
    <x v="0"/>
    <x v="972"/>
    <x v="1"/>
    <x v="13"/>
    <x v="13"/>
    <x v="0"/>
    <x v="0"/>
    <x v="3"/>
    <x v="71"/>
    <x v="0"/>
    <x v="19"/>
    <x v="954"/>
    <x v="10"/>
    <x v="66"/>
    <x v="1"/>
    <x v="2"/>
    <x v="2"/>
    <x v="1"/>
    <x v="1257"/>
    <x v="2"/>
    <x v="19"/>
    <x v="1269"/>
    <x v="1269"/>
    <x v="2"/>
    <x v="1269"/>
    <x v="1334"/>
    <x v="1320"/>
    <x v="1333"/>
    <x v="1320"/>
    <x v="1334"/>
    <x v="1334"/>
    <x v="1334"/>
    <x v="1334"/>
    <x v="1334"/>
    <x v="1334"/>
    <x v="1334"/>
    <x v="1269"/>
    <x v="1331"/>
    <x v="1331"/>
    <x v="1198"/>
    <x v="0"/>
    <x v="0"/>
    <x v="1317"/>
    <x v="1269"/>
    <x v="1269"/>
    <x v="1269"/>
    <x v="1269"/>
    <x v="9"/>
  </r>
  <r>
    <x v="973"/>
    <x v="605"/>
    <x v="0"/>
    <x v="0"/>
    <x v="0"/>
    <x v="0"/>
    <x v="0"/>
    <x v="1"/>
    <x v="0"/>
    <x v="0"/>
    <x v="9"/>
    <x v="0"/>
    <x v="609"/>
    <x v="1"/>
    <x v="0"/>
    <x v="0"/>
    <x v="0"/>
    <x v="973"/>
    <x v="1"/>
    <x v="13"/>
    <x v="13"/>
    <x v="0"/>
    <x v="0"/>
    <x v="3"/>
    <x v="128"/>
    <x v="0"/>
    <x v="35"/>
    <x v="1001"/>
    <x v="10"/>
    <x v="66"/>
    <x v="1"/>
    <x v="2"/>
    <x v="2"/>
    <x v="1"/>
    <x v="742"/>
    <x v="2"/>
    <x v="35"/>
    <x v="609"/>
    <x v="609"/>
    <x v="0"/>
    <x v="609"/>
    <x v="691"/>
    <x v="699"/>
    <x v="694"/>
    <x v="699"/>
    <x v="691"/>
    <x v="691"/>
    <x v="691"/>
    <x v="691"/>
    <x v="691"/>
    <x v="691"/>
    <x v="691"/>
    <x v="609"/>
    <x v="691"/>
    <x v="691"/>
    <x v="564"/>
    <x v="0"/>
    <x v="0"/>
    <x v="893"/>
    <x v="609"/>
    <x v="609"/>
    <x v="609"/>
    <x v="609"/>
    <x v="9"/>
  </r>
  <r>
    <x v="974"/>
    <x v="622"/>
    <x v="0"/>
    <x v="0"/>
    <x v="0"/>
    <x v="0"/>
    <x v="0"/>
    <x v="1"/>
    <x v="0"/>
    <x v="0"/>
    <x v="9"/>
    <x v="0"/>
    <x v="994"/>
    <x v="1"/>
    <x v="0"/>
    <x v="0"/>
    <x v="0"/>
    <x v="974"/>
    <x v="1"/>
    <x v="13"/>
    <x v="13"/>
    <x v="0"/>
    <x v="0"/>
    <x v="3"/>
    <x v="0"/>
    <x v="0"/>
    <x v="34"/>
    <x v="1013"/>
    <x v="10"/>
    <x v="66"/>
    <x v="1"/>
    <x v="2"/>
    <x v="2"/>
    <x v="1"/>
    <x v="1056"/>
    <x v="2"/>
    <x v="34"/>
    <x v="994"/>
    <x v="994"/>
    <x v="1"/>
    <x v="994"/>
    <x v="1084"/>
    <x v="1071"/>
    <x v="1084"/>
    <x v="1071"/>
    <x v="1084"/>
    <x v="1084"/>
    <x v="1084"/>
    <x v="1084"/>
    <x v="1084"/>
    <x v="1084"/>
    <x v="1084"/>
    <x v="994"/>
    <x v="1079"/>
    <x v="1079"/>
    <x v="935"/>
    <x v="0"/>
    <x v="0"/>
    <x v="1214"/>
    <x v="994"/>
    <x v="994"/>
    <x v="994"/>
    <x v="994"/>
    <x v="9"/>
  </r>
  <r>
    <x v="975"/>
    <x v="620"/>
    <x v="0"/>
    <x v="0"/>
    <x v="0"/>
    <x v="0"/>
    <x v="0"/>
    <x v="1"/>
    <x v="0"/>
    <x v="0"/>
    <x v="9"/>
    <x v="0"/>
    <x v="1086"/>
    <x v="1"/>
    <x v="0"/>
    <x v="0"/>
    <x v="0"/>
    <x v="975"/>
    <x v="1"/>
    <x v="13"/>
    <x v="13"/>
    <x v="0"/>
    <x v="0"/>
    <x v="3"/>
    <x v="49"/>
    <x v="0"/>
    <x v="33"/>
    <x v="1004"/>
    <x v="10"/>
    <x v="66"/>
    <x v="1"/>
    <x v="2"/>
    <x v="2"/>
    <x v="1"/>
    <x v="1128"/>
    <x v="2"/>
    <x v="33"/>
    <x v="1084"/>
    <x v="1084"/>
    <x v="1"/>
    <x v="1084"/>
    <x v="1166"/>
    <x v="1155"/>
    <x v="1171"/>
    <x v="1155"/>
    <x v="1166"/>
    <x v="1166"/>
    <x v="1166"/>
    <x v="1166"/>
    <x v="1166"/>
    <x v="1166"/>
    <x v="1166"/>
    <x v="1084"/>
    <x v="1166"/>
    <x v="1166"/>
    <x v="1024"/>
    <x v="0"/>
    <x v="0"/>
    <x v="1273"/>
    <x v="1084"/>
    <x v="1084"/>
    <x v="1084"/>
    <x v="1084"/>
    <x v="9"/>
  </r>
  <r>
    <x v="976"/>
    <x v="623"/>
    <x v="0"/>
    <x v="0"/>
    <x v="0"/>
    <x v="0"/>
    <x v="0"/>
    <x v="1"/>
    <x v="0"/>
    <x v="0"/>
    <x v="9"/>
    <x v="0"/>
    <x v="21"/>
    <x v="1"/>
    <x v="0"/>
    <x v="0"/>
    <x v="0"/>
    <x v="976"/>
    <x v="1"/>
    <x v="13"/>
    <x v="13"/>
    <x v="0"/>
    <x v="0"/>
    <x v="3"/>
    <x v="0"/>
    <x v="0"/>
    <x v="34"/>
    <x v="1003"/>
    <x v="10"/>
    <x v="66"/>
    <x v="1"/>
    <x v="2"/>
    <x v="2"/>
    <x v="1"/>
    <x v="26"/>
    <x v="2"/>
    <x v="34"/>
    <x v="22"/>
    <x v="22"/>
    <x v="0"/>
    <x v="22"/>
    <x v="20"/>
    <x v="20"/>
    <x v="21"/>
    <x v="20"/>
    <x v="20"/>
    <x v="20"/>
    <x v="20"/>
    <x v="20"/>
    <x v="20"/>
    <x v="20"/>
    <x v="20"/>
    <x v="22"/>
    <x v="21"/>
    <x v="21"/>
    <x v="18"/>
    <x v="0"/>
    <x v="0"/>
    <x v="36"/>
    <x v="22"/>
    <x v="22"/>
    <x v="22"/>
    <x v="22"/>
    <x v="9"/>
  </r>
  <r>
    <x v="977"/>
    <x v="625"/>
    <x v="0"/>
    <x v="0"/>
    <x v="0"/>
    <x v="0"/>
    <x v="0"/>
    <x v="1"/>
    <x v="0"/>
    <x v="0"/>
    <x v="9"/>
    <x v="0"/>
    <x v="55"/>
    <x v="1"/>
    <x v="0"/>
    <x v="0"/>
    <x v="0"/>
    <x v="977"/>
    <x v="1"/>
    <x v="13"/>
    <x v="13"/>
    <x v="0"/>
    <x v="0"/>
    <x v="3"/>
    <x v="0"/>
    <x v="0"/>
    <x v="34"/>
    <x v="1002"/>
    <x v="10"/>
    <x v="66"/>
    <x v="1"/>
    <x v="2"/>
    <x v="2"/>
    <x v="1"/>
    <x v="58"/>
    <x v="2"/>
    <x v="34"/>
    <x v="56"/>
    <x v="56"/>
    <x v="0"/>
    <x v="56"/>
    <x v="54"/>
    <x v="59"/>
    <x v="53"/>
    <x v="59"/>
    <x v="54"/>
    <x v="54"/>
    <x v="54"/>
    <x v="54"/>
    <x v="54"/>
    <x v="54"/>
    <x v="54"/>
    <x v="56"/>
    <x v="51"/>
    <x v="51"/>
    <x v="41"/>
    <x v="0"/>
    <x v="0"/>
    <x v="93"/>
    <x v="56"/>
    <x v="56"/>
    <x v="56"/>
    <x v="56"/>
    <x v="9"/>
  </r>
  <r>
    <x v="978"/>
    <x v="618"/>
    <x v="0"/>
    <x v="0"/>
    <x v="0"/>
    <x v="0"/>
    <x v="0"/>
    <x v="1"/>
    <x v="0"/>
    <x v="0"/>
    <x v="9"/>
    <x v="0"/>
    <x v="635"/>
    <x v="1"/>
    <x v="0"/>
    <x v="0"/>
    <x v="0"/>
    <x v="978"/>
    <x v="1"/>
    <x v="13"/>
    <x v="13"/>
    <x v="0"/>
    <x v="0"/>
    <x v="3"/>
    <x v="85"/>
    <x v="0"/>
    <x v="35"/>
    <x v="998"/>
    <x v="10"/>
    <x v="66"/>
    <x v="1"/>
    <x v="2"/>
    <x v="2"/>
    <x v="1"/>
    <x v="755"/>
    <x v="2"/>
    <x v="35"/>
    <x v="635"/>
    <x v="635"/>
    <x v="0"/>
    <x v="635"/>
    <x v="710"/>
    <x v="712"/>
    <x v="708"/>
    <x v="712"/>
    <x v="710"/>
    <x v="710"/>
    <x v="710"/>
    <x v="710"/>
    <x v="710"/>
    <x v="710"/>
    <x v="710"/>
    <x v="635"/>
    <x v="706"/>
    <x v="706"/>
    <x v="587"/>
    <x v="0"/>
    <x v="0"/>
    <x v="909"/>
    <x v="635"/>
    <x v="635"/>
    <x v="635"/>
    <x v="635"/>
    <x v="9"/>
  </r>
  <r>
    <x v="979"/>
    <x v="620"/>
    <x v="0"/>
    <x v="0"/>
    <x v="0"/>
    <x v="0"/>
    <x v="0"/>
    <x v="1"/>
    <x v="0"/>
    <x v="0"/>
    <x v="9"/>
    <x v="0"/>
    <x v="598"/>
    <x v="1"/>
    <x v="0"/>
    <x v="0"/>
    <x v="0"/>
    <x v="979"/>
    <x v="1"/>
    <x v="13"/>
    <x v="13"/>
    <x v="0"/>
    <x v="0"/>
    <x v="3"/>
    <x v="49"/>
    <x v="0"/>
    <x v="33"/>
    <x v="1005"/>
    <x v="10"/>
    <x v="66"/>
    <x v="1"/>
    <x v="2"/>
    <x v="2"/>
    <x v="1"/>
    <x v="738"/>
    <x v="2"/>
    <x v="33"/>
    <x v="598"/>
    <x v="598"/>
    <x v="0"/>
    <x v="598"/>
    <x v="687"/>
    <x v="688"/>
    <x v="684"/>
    <x v="688"/>
    <x v="687"/>
    <x v="687"/>
    <x v="687"/>
    <x v="687"/>
    <x v="687"/>
    <x v="687"/>
    <x v="687"/>
    <x v="598"/>
    <x v="681"/>
    <x v="681"/>
    <x v="553"/>
    <x v="0"/>
    <x v="0"/>
    <x v="869"/>
    <x v="598"/>
    <x v="598"/>
    <x v="598"/>
    <x v="598"/>
    <x v="9"/>
  </r>
  <r>
    <x v="980"/>
    <x v="638"/>
    <x v="0"/>
    <x v="0"/>
    <x v="0"/>
    <x v="0"/>
    <x v="0"/>
    <x v="0"/>
    <x v="0"/>
    <x v="0"/>
    <x v="9"/>
    <x v="0"/>
    <x v="716"/>
    <x v="1"/>
    <x v="0"/>
    <x v="0"/>
    <x v="0"/>
    <x v="980"/>
    <x v="2"/>
    <x v="13"/>
    <x v="13"/>
    <x v="0"/>
    <x v="0"/>
    <x v="3"/>
    <x v="128"/>
    <x v="0"/>
    <x v="34"/>
    <x v="1011"/>
    <x v="9"/>
    <x v="56"/>
    <x v="1"/>
    <x v="1"/>
    <x v="1"/>
    <x v="1"/>
    <x v="473"/>
    <x v="1"/>
    <x v="34"/>
    <x v="716"/>
    <x v="716"/>
    <x v="1"/>
    <x v="716"/>
    <x v="666"/>
    <x v="681"/>
    <x v="627"/>
    <x v="681"/>
    <x v="666"/>
    <x v="666"/>
    <x v="666"/>
    <x v="666"/>
    <x v="666"/>
    <x v="666"/>
    <x v="666"/>
    <x v="716"/>
    <x v="631"/>
    <x v="631"/>
    <x v="652"/>
    <x v="0"/>
    <x v="0"/>
    <x v="846"/>
    <x v="716"/>
    <x v="716"/>
    <x v="716"/>
    <x v="716"/>
    <x v="9"/>
  </r>
  <r>
    <x v="981"/>
    <x v="630"/>
    <x v="0"/>
    <x v="0"/>
    <x v="0"/>
    <x v="0"/>
    <x v="0"/>
    <x v="1"/>
    <x v="0"/>
    <x v="0"/>
    <x v="9"/>
    <x v="0"/>
    <x v="459"/>
    <x v="1"/>
    <x v="0"/>
    <x v="0"/>
    <x v="0"/>
    <x v="981"/>
    <x v="1"/>
    <x v="13"/>
    <x v="13"/>
    <x v="0"/>
    <x v="0"/>
    <x v="3"/>
    <x v="85"/>
    <x v="0"/>
    <x v="34"/>
    <x v="1010"/>
    <x v="10"/>
    <x v="66"/>
    <x v="1"/>
    <x v="2"/>
    <x v="2"/>
    <x v="1"/>
    <x v="655"/>
    <x v="2"/>
    <x v="34"/>
    <x v="459"/>
    <x v="459"/>
    <x v="0"/>
    <x v="459"/>
    <x v="546"/>
    <x v="533"/>
    <x v="564"/>
    <x v="533"/>
    <x v="546"/>
    <x v="546"/>
    <x v="546"/>
    <x v="546"/>
    <x v="546"/>
    <x v="546"/>
    <x v="546"/>
    <x v="459"/>
    <x v="561"/>
    <x v="561"/>
    <x v="414"/>
    <x v="0"/>
    <x v="0"/>
    <x v="788"/>
    <x v="459"/>
    <x v="459"/>
    <x v="459"/>
    <x v="459"/>
    <x v="9"/>
  </r>
  <r>
    <x v="982"/>
    <x v="617"/>
    <x v="0"/>
    <x v="0"/>
    <x v="0"/>
    <x v="0"/>
    <x v="0"/>
    <x v="0"/>
    <x v="0"/>
    <x v="0"/>
    <x v="9"/>
    <x v="0"/>
    <x v="1145"/>
    <x v="1"/>
    <x v="0"/>
    <x v="0"/>
    <x v="0"/>
    <x v="982"/>
    <x v="2"/>
    <x v="13"/>
    <x v="13"/>
    <x v="0"/>
    <x v="0"/>
    <x v="3"/>
    <x v="128"/>
    <x v="0"/>
    <x v="38"/>
    <x v="1006"/>
    <x v="9"/>
    <x v="56"/>
    <x v="1"/>
    <x v="1"/>
    <x v="1"/>
    <x v="1"/>
    <x v="911"/>
    <x v="1"/>
    <x v="38"/>
    <x v="1143"/>
    <x v="1143"/>
    <x v="1"/>
    <x v="1143"/>
    <x v="1150"/>
    <x v="1148"/>
    <x v="1135"/>
    <x v="1148"/>
    <x v="1150"/>
    <x v="1150"/>
    <x v="1150"/>
    <x v="1150"/>
    <x v="1150"/>
    <x v="1150"/>
    <x v="1150"/>
    <x v="1143"/>
    <x v="1133"/>
    <x v="1133"/>
    <x v="1067"/>
    <x v="0"/>
    <x v="0"/>
    <x v="1278"/>
    <x v="1143"/>
    <x v="1143"/>
    <x v="1143"/>
    <x v="1143"/>
    <x v="9"/>
  </r>
  <r>
    <x v="983"/>
    <x v="648"/>
    <x v="0"/>
    <x v="0"/>
    <x v="0"/>
    <x v="0"/>
    <x v="0"/>
    <x v="0"/>
    <x v="0"/>
    <x v="0"/>
    <x v="9"/>
    <x v="0"/>
    <x v="1136"/>
    <x v="1"/>
    <x v="0"/>
    <x v="0"/>
    <x v="0"/>
    <x v="983"/>
    <x v="2"/>
    <x v="13"/>
    <x v="13"/>
    <x v="0"/>
    <x v="0"/>
    <x v="3"/>
    <x v="128"/>
    <x v="0"/>
    <x v="33"/>
    <x v="1015"/>
    <x v="9"/>
    <x v="56"/>
    <x v="1"/>
    <x v="1"/>
    <x v="1"/>
    <x v="1"/>
    <x v="903"/>
    <x v="1"/>
    <x v="33"/>
    <x v="1134"/>
    <x v="1134"/>
    <x v="1"/>
    <x v="1134"/>
    <x v="1143"/>
    <x v="1143"/>
    <x v="1128"/>
    <x v="1143"/>
    <x v="1143"/>
    <x v="1143"/>
    <x v="1143"/>
    <x v="1143"/>
    <x v="1143"/>
    <x v="1143"/>
    <x v="1143"/>
    <x v="1134"/>
    <x v="1127"/>
    <x v="1127"/>
    <x v="1063"/>
    <x v="0"/>
    <x v="0"/>
    <x v="1246"/>
    <x v="1134"/>
    <x v="1134"/>
    <x v="1134"/>
    <x v="1134"/>
    <x v="9"/>
  </r>
  <r>
    <x v="984"/>
    <x v="637"/>
    <x v="0"/>
    <x v="0"/>
    <x v="0"/>
    <x v="0"/>
    <x v="0"/>
    <x v="1"/>
    <x v="0"/>
    <x v="0"/>
    <x v="9"/>
    <x v="0"/>
    <x v="439"/>
    <x v="1"/>
    <x v="0"/>
    <x v="0"/>
    <x v="0"/>
    <x v="984"/>
    <x v="1"/>
    <x v="13"/>
    <x v="13"/>
    <x v="0"/>
    <x v="0"/>
    <x v="3"/>
    <x v="0"/>
    <x v="0"/>
    <x v="33"/>
    <x v="1016"/>
    <x v="10"/>
    <x v="66"/>
    <x v="1"/>
    <x v="2"/>
    <x v="2"/>
    <x v="1"/>
    <x v="632"/>
    <x v="2"/>
    <x v="33"/>
    <x v="439"/>
    <x v="439"/>
    <x v="0"/>
    <x v="439"/>
    <x v="512"/>
    <x v="505"/>
    <x v="528"/>
    <x v="505"/>
    <x v="512"/>
    <x v="512"/>
    <x v="512"/>
    <x v="512"/>
    <x v="512"/>
    <x v="512"/>
    <x v="512"/>
    <x v="439"/>
    <x v="523"/>
    <x v="523"/>
    <x v="397"/>
    <x v="0"/>
    <x v="0"/>
    <x v="751"/>
    <x v="439"/>
    <x v="439"/>
    <x v="439"/>
    <x v="439"/>
    <x v="9"/>
  </r>
  <r>
    <x v="985"/>
    <x v="638"/>
    <x v="0"/>
    <x v="0"/>
    <x v="0"/>
    <x v="0"/>
    <x v="0"/>
    <x v="1"/>
    <x v="0"/>
    <x v="0"/>
    <x v="9"/>
    <x v="0"/>
    <x v="551"/>
    <x v="1"/>
    <x v="0"/>
    <x v="0"/>
    <x v="0"/>
    <x v="985"/>
    <x v="1"/>
    <x v="13"/>
    <x v="13"/>
    <x v="0"/>
    <x v="0"/>
    <x v="3"/>
    <x v="128"/>
    <x v="0"/>
    <x v="34"/>
    <x v="1012"/>
    <x v="10"/>
    <x v="66"/>
    <x v="1"/>
    <x v="2"/>
    <x v="2"/>
    <x v="1"/>
    <x v="707"/>
    <x v="2"/>
    <x v="34"/>
    <x v="551"/>
    <x v="551"/>
    <x v="0"/>
    <x v="551"/>
    <x v="649"/>
    <x v="644"/>
    <x v="645"/>
    <x v="644"/>
    <x v="649"/>
    <x v="649"/>
    <x v="649"/>
    <x v="649"/>
    <x v="649"/>
    <x v="649"/>
    <x v="649"/>
    <x v="551"/>
    <x v="643"/>
    <x v="643"/>
    <x v="506"/>
    <x v="0"/>
    <x v="0"/>
    <x v="856"/>
    <x v="551"/>
    <x v="551"/>
    <x v="551"/>
    <x v="551"/>
    <x v="9"/>
  </r>
  <r>
    <x v="986"/>
    <x v="687"/>
    <x v="0"/>
    <x v="0"/>
    <x v="0"/>
    <x v="0"/>
    <x v="0"/>
    <x v="0"/>
    <x v="0"/>
    <x v="0"/>
    <x v="9"/>
    <x v="0"/>
    <x v="1180"/>
    <x v="1"/>
    <x v="0"/>
    <x v="0"/>
    <x v="0"/>
    <x v="986"/>
    <x v="2"/>
    <x v="13"/>
    <x v="13"/>
    <x v="0"/>
    <x v="0"/>
    <x v="3"/>
    <x v="1"/>
    <x v="0"/>
    <x v="36"/>
    <x v="990"/>
    <x v="9"/>
    <x v="56"/>
    <x v="1"/>
    <x v="1"/>
    <x v="1"/>
    <x v="1"/>
    <x v="959"/>
    <x v="1"/>
    <x v="36"/>
    <x v="1178"/>
    <x v="1178"/>
    <x v="2"/>
    <x v="1178"/>
    <x v="1197"/>
    <x v="1189"/>
    <x v="1179"/>
    <x v="1189"/>
    <x v="1197"/>
    <x v="1197"/>
    <x v="1197"/>
    <x v="1197"/>
    <x v="1197"/>
    <x v="1197"/>
    <x v="1197"/>
    <x v="1178"/>
    <x v="1177"/>
    <x v="1177"/>
    <x v="1106"/>
    <x v="0"/>
    <x v="0"/>
    <x v="1293"/>
    <x v="1178"/>
    <x v="1178"/>
    <x v="1178"/>
    <x v="1178"/>
    <x v="9"/>
  </r>
  <r>
    <x v="987"/>
    <x v="650"/>
    <x v="0"/>
    <x v="0"/>
    <x v="0"/>
    <x v="0"/>
    <x v="0"/>
    <x v="1"/>
    <x v="0"/>
    <x v="0"/>
    <x v="9"/>
    <x v="0"/>
    <x v="148"/>
    <x v="1"/>
    <x v="0"/>
    <x v="0"/>
    <x v="0"/>
    <x v="987"/>
    <x v="1"/>
    <x v="13"/>
    <x v="13"/>
    <x v="0"/>
    <x v="0"/>
    <x v="3"/>
    <x v="49"/>
    <x v="0"/>
    <x v="33"/>
    <x v="983"/>
    <x v="10"/>
    <x v="66"/>
    <x v="1"/>
    <x v="2"/>
    <x v="2"/>
    <x v="1"/>
    <x v="140"/>
    <x v="2"/>
    <x v="33"/>
    <x v="149"/>
    <x v="149"/>
    <x v="0"/>
    <x v="149"/>
    <x v="169"/>
    <x v="166"/>
    <x v="164"/>
    <x v="166"/>
    <x v="169"/>
    <x v="169"/>
    <x v="169"/>
    <x v="169"/>
    <x v="169"/>
    <x v="169"/>
    <x v="169"/>
    <x v="149"/>
    <x v="164"/>
    <x v="164"/>
    <x v="132"/>
    <x v="0"/>
    <x v="0"/>
    <x v="207"/>
    <x v="149"/>
    <x v="149"/>
    <x v="149"/>
    <x v="149"/>
    <x v="9"/>
  </r>
  <r>
    <x v="988"/>
    <x v="652"/>
    <x v="0"/>
    <x v="0"/>
    <x v="0"/>
    <x v="0"/>
    <x v="0"/>
    <x v="1"/>
    <x v="0"/>
    <x v="0"/>
    <x v="9"/>
    <x v="0"/>
    <x v="137"/>
    <x v="1"/>
    <x v="0"/>
    <x v="0"/>
    <x v="0"/>
    <x v="988"/>
    <x v="1"/>
    <x v="13"/>
    <x v="13"/>
    <x v="0"/>
    <x v="0"/>
    <x v="3"/>
    <x v="49"/>
    <x v="0"/>
    <x v="33"/>
    <x v="987"/>
    <x v="10"/>
    <x v="66"/>
    <x v="1"/>
    <x v="2"/>
    <x v="2"/>
    <x v="1"/>
    <x v="130"/>
    <x v="2"/>
    <x v="33"/>
    <x v="138"/>
    <x v="138"/>
    <x v="0"/>
    <x v="138"/>
    <x v="161"/>
    <x v="161"/>
    <x v="156"/>
    <x v="161"/>
    <x v="161"/>
    <x v="161"/>
    <x v="161"/>
    <x v="161"/>
    <x v="161"/>
    <x v="161"/>
    <x v="161"/>
    <x v="138"/>
    <x v="156"/>
    <x v="156"/>
    <x v="122"/>
    <x v="0"/>
    <x v="0"/>
    <x v="193"/>
    <x v="138"/>
    <x v="138"/>
    <x v="138"/>
    <x v="138"/>
    <x v="9"/>
  </r>
  <r>
    <x v="989"/>
    <x v="658"/>
    <x v="0"/>
    <x v="0"/>
    <x v="0"/>
    <x v="0"/>
    <x v="1"/>
    <x v="4"/>
    <x v="0"/>
    <x v="0"/>
    <x v="9"/>
    <x v="0"/>
    <x v="26"/>
    <x v="1"/>
    <x v="0"/>
    <x v="0"/>
    <x v="0"/>
    <x v="989"/>
    <x v="1"/>
    <x v="13"/>
    <x v="13"/>
    <x v="0"/>
    <x v="0"/>
    <x v="3"/>
    <x v="49"/>
    <x v="0"/>
    <x v="32"/>
    <x v="1017"/>
    <x v="2"/>
    <x v="22"/>
    <x v="1"/>
    <x v="5"/>
    <x v="2"/>
    <x v="1"/>
    <x v="93"/>
    <x v="5"/>
    <x v="32"/>
    <x v="27"/>
    <x v="27"/>
    <x v="0"/>
    <x v="27"/>
    <x v="29"/>
    <x v="29"/>
    <x v="32"/>
    <x v="29"/>
    <x v="29"/>
    <x v="29"/>
    <x v="29"/>
    <x v="29"/>
    <x v="29"/>
    <x v="29"/>
    <x v="29"/>
    <x v="27"/>
    <x v="32"/>
    <x v="32"/>
    <x v="26"/>
    <x v="0"/>
    <x v="0"/>
    <x v="55"/>
    <x v="27"/>
    <x v="27"/>
    <x v="27"/>
    <x v="27"/>
    <x v="9"/>
  </r>
  <r>
    <x v="990"/>
    <x v="630"/>
    <x v="0"/>
    <x v="0"/>
    <x v="0"/>
    <x v="0"/>
    <x v="0"/>
    <x v="0"/>
    <x v="0"/>
    <x v="0"/>
    <x v="9"/>
    <x v="0"/>
    <x v="1183"/>
    <x v="1"/>
    <x v="0"/>
    <x v="0"/>
    <x v="0"/>
    <x v="990"/>
    <x v="2"/>
    <x v="13"/>
    <x v="13"/>
    <x v="0"/>
    <x v="0"/>
    <x v="3"/>
    <x v="85"/>
    <x v="0"/>
    <x v="34"/>
    <x v="1009"/>
    <x v="9"/>
    <x v="56"/>
    <x v="1"/>
    <x v="1"/>
    <x v="1"/>
    <x v="1"/>
    <x v="962"/>
    <x v="1"/>
    <x v="34"/>
    <x v="1181"/>
    <x v="1181"/>
    <x v="2"/>
    <x v="1181"/>
    <x v="1200"/>
    <x v="1192"/>
    <x v="1181"/>
    <x v="1192"/>
    <x v="1200"/>
    <x v="1200"/>
    <x v="1200"/>
    <x v="1200"/>
    <x v="1200"/>
    <x v="1200"/>
    <x v="1200"/>
    <x v="1181"/>
    <x v="1180"/>
    <x v="1180"/>
    <x v="1108"/>
    <x v="0"/>
    <x v="0"/>
    <x v="1284"/>
    <x v="1181"/>
    <x v="1181"/>
    <x v="1181"/>
    <x v="1181"/>
    <x v="9"/>
  </r>
  <r>
    <x v="991"/>
    <x v="660"/>
    <x v="0"/>
    <x v="0"/>
    <x v="0"/>
    <x v="0"/>
    <x v="1"/>
    <x v="4"/>
    <x v="0"/>
    <x v="0"/>
    <x v="9"/>
    <x v="0"/>
    <x v="48"/>
    <x v="1"/>
    <x v="0"/>
    <x v="0"/>
    <x v="0"/>
    <x v="991"/>
    <x v="1"/>
    <x v="13"/>
    <x v="13"/>
    <x v="0"/>
    <x v="0"/>
    <x v="3"/>
    <x v="49"/>
    <x v="0"/>
    <x v="33"/>
    <x v="986"/>
    <x v="2"/>
    <x v="22"/>
    <x v="1"/>
    <x v="5"/>
    <x v="2"/>
    <x v="1"/>
    <x v="142"/>
    <x v="5"/>
    <x v="33"/>
    <x v="49"/>
    <x v="49"/>
    <x v="0"/>
    <x v="49"/>
    <x v="53"/>
    <x v="52"/>
    <x v="60"/>
    <x v="52"/>
    <x v="53"/>
    <x v="53"/>
    <x v="53"/>
    <x v="53"/>
    <x v="53"/>
    <x v="53"/>
    <x v="53"/>
    <x v="49"/>
    <x v="59"/>
    <x v="59"/>
    <x v="40"/>
    <x v="0"/>
    <x v="0"/>
    <x v="96"/>
    <x v="49"/>
    <x v="49"/>
    <x v="49"/>
    <x v="49"/>
    <x v="9"/>
  </r>
  <r>
    <x v="992"/>
    <x v="660"/>
    <x v="0"/>
    <x v="0"/>
    <x v="0"/>
    <x v="0"/>
    <x v="1"/>
    <x v="4"/>
    <x v="0"/>
    <x v="0"/>
    <x v="9"/>
    <x v="0"/>
    <x v="231"/>
    <x v="1"/>
    <x v="0"/>
    <x v="0"/>
    <x v="0"/>
    <x v="992"/>
    <x v="1"/>
    <x v="13"/>
    <x v="13"/>
    <x v="0"/>
    <x v="0"/>
    <x v="3"/>
    <x v="49"/>
    <x v="0"/>
    <x v="33"/>
    <x v="985"/>
    <x v="2"/>
    <x v="22"/>
    <x v="1"/>
    <x v="5"/>
    <x v="2"/>
    <x v="1"/>
    <x v="837"/>
    <x v="5"/>
    <x v="33"/>
    <x v="231"/>
    <x v="231"/>
    <x v="0"/>
    <x v="231"/>
    <x v="275"/>
    <x v="258"/>
    <x v="290"/>
    <x v="258"/>
    <x v="275"/>
    <x v="275"/>
    <x v="275"/>
    <x v="275"/>
    <x v="275"/>
    <x v="275"/>
    <x v="275"/>
    <x v="231"/>
    <x v="290"/>
    <x v="290"/>
    <x v="212"/>
    <x v="0"/>
    <x v="0"/>
    <x v="410"/>
    <x v="231"/>
    <x v="231"/>
    <x v="231"/>
    <x v="231"/>
    <x v="9"/>
  </r>
  <r>
    <x v="993"/>
    <x v="664"/>
    <x v="0"/>
    <x v="0"/>
    <x v="0"/>
    <x v="0"/>
    <x v="1"/>
    <x v="4"/>
    <x v="0"/>
    <x v="0"/>
    <x v="9"/>
    <x v="0"/>
    <x v="97"/>
    <x v="1"/>
    <x v="0"/>
    <x v="0"/>
    <x v="0"/>
    <x v="993"/>
    <x v="1"/>
    <x v="13"/>
    <x v="13"/>
    <x v="0"/>
    <x v="0"/>
    <x v="3"/>
    <x v="49"/>
    <x v="0"/>
    <x v="33"/>
    <x v="981"/>
    <x v="2"/>
    <x v="22"/>
    <x v="1"/>
    <x v="5"/>
    <x v="2"/>
    <x v="1"/>
    <x v="258"/>
    <x v="5"/>
    <x v="33"/>
    <x v="98"/>
    <x v="98"/>
    <x v="0"/>
    <x v="98"/>
    <x v="121"/>
    <x v="116"/>
    <x v="122"/>
    <x v="116"/>
    <x v="121"/>
    <x v="121"/>
    <x v="121"/>
    <x v="121"/>
    <x v="121"/>
    <x v="121"/>
    <x v="121"/>
    <x v="98"/>
    <x v="122"/>
    <x v="122"/>
    <x v="90"/>
    <x v="0"/>
    <x v="0"/>
    <x v="156"/>
    <x v="98"/>
    <x v="98"/>
    <x v="98"/>
    <x v="98"/>
    <x v="9"/>
  </r>
  <r>
    <x v="994"/>
    <x v="661"/>
    <x v="0"/>
    <x v="0"/>
    <x v="0"/>
    <x v="0"/>
    <x v="1"/>
    <x v="4"/>
    <x v="0"/>
    <x v="0"/>
    <x v="9"/>
    <x v="0"/>
    <x v="728"/>
    <x v="1"/>
    <x v="0"/>
    <x v="0"/>
    <x v="0"/>
    <x v="994"/>
    <x v="1"/>
    <x v="13"/>
    <x v="13"/>
    <x v="0"/>
    <x v="0"/>
    <x v="3"/>
    <x v="0"/>
    <x v="0"/>
    <x v="33"/>
    <x v="982"/>
    <x v="2"/>
    <x v="22"/>
    <x v="1"/>
    <x v="5"/>
    <x v="2"/>
    <x v="1"/>
    <x v="1231"/>
    <x v="5"/>
    <x v="33"/>
    <x v="728"/>
    <x v="728"/>
    <x v="1"/>
    <x v="728"/>
    <x v="838"/>
    <x v="806"/>
    <x v="883"/>
    <x v="806"/>
    <x v="838"/>
    <x v="838"/>
    <x v="838"/>
    <x v="838"/>
    <x v="838"/>
    <x v="838"/>
    <x v="838"/>
    <x v="728"/>
    <x v="881"/>
    <x v="881"/>
    <x v="709"/>
    <x v="0"/>
    <x v="0"/>
    <x v="1021"/>
    <x v="728"/>
    <x v="728"/>
    <x v="728"/>
    <x v="728"/>
    <x v="9"/>
  </r>
  <r>
    <x v="995"/>
    <x v="663"/>
    <x v="0"/>
    <x v="0"/>
    <x v="0"/>
    <x v="0"/>
    <x v="1"/>
    <x v="4"/>
    <x v="0"/>
    <x v="0"/>
    <x v="9"/>
    <x v="0"/>
    <x v="95"/>
    <x v="1"/>
    <x v="0"/>
    <x v="0"/>
    <x v="0"/>
    <x v="995"/>
    <x v="1"/>
    <x v="13"/>
    <x v="13"/>
    <x v="0"/>
    <x v="0"/>
    <x v="3"/>
    <x v="49"/>
    <x v="0"/>
    <x v="13"/>
    <x v="1021"/>
    <x v="2"/>
    <x v="22"/>
    <x v="1"/>
    <x v="5"/>
    <x v="2"/>
    <x v="1"/>
    <x v="255"/>
    <x v="5"/>
    <x v="13"/>
    <x v="96"/>
    <x v="96"/>
    <x v="0"/>
    <x v="96"/>
    <x v="119"/>
    <x v="113"/>
    <x v="120"/>
    <x v="113"/>
    <x v="119"/>
    <x v="119"/>
    <x v="119"/>
    <x v="119"/>
    <x v="119"/>
    <x v="119"/>
    <x v="119"/>
    <x v="96"/>
    <x v="120"/>
    <x v="120"/>
    <x v="88"/>
    <x v="0"/>
    <x v="0"/>
    <x v="98"/>
    <x v="96"/>
    <x v="96"/>
    <x v="96"/>
    <x v="96"/>
    <x v="9"/>
  </r>
  <r>
    <x v="996"/>
    <x v="669"/>
    <x v="0"/>
    <x v="0"/>
    <x v="0"/>
    <x v="0"/>
    <x v="1"/>
    <x v="4"/>
    <x v="0"/>
    <x v="0"/>
    <x v="9"/>
    <x v="0"/>
    <x v="133"/>
    <x v="1"/>
    <x v="0"/>
    <x v="0"/>
    <x v="0"/>
    <x v="996"/>
    <x v="1"/>
    <x v="13"/>
    <x v="13"/>
    <x v="0"/>
    <x v="0"/>
    <x v="3"/>
    <x v="49"/>
    <x v="0"/>
    <x v="33"/>
    <x v="994"/>
    <x v="2"/>
    <x v="22"/>
    <x v="1"/>
    <x v="5"/>
    <x v="2"/>
    <x v="1"/>
    <x v="422"/>
    <x v="5"/>
    <x v="33"/>
    <x v="134"/>
    <x v="134"/>
    <x v="0"/>
    <x v="134"/>
    <x v="162"/>
    <x v="155"/>
    <x v="162"/>
    <x v="155"/>
    <x v="162"/>
    <x v="162"/>
    <x v="162"/>
    <x v="162"/>
    <x v="162"/>
    <x v="162"/>
    <x v="162"/>
    <x v="134"/>
    <x v="161"/>
    <x v="161"/>
    <x v="123"/>
    <x v="0"/>
    <x v="0"/>
    <x v="202"/>
    <x v="134"/>
    <x v="134"/>
    <x v="134"/>
    <x v="134"/>
    <x v="9"/>
  </r>
  <r>
    <x v="997"/>
    <x v="671"/>
    <x v="0"/>
    <x v="0"/>
    <x v="0"/>
    <x v="0"/>
    <x v="1"/>
    <x v="5"/>
    <x v="0"/>
    <x v="0"/>
    <x v="9"/>
    <x v="0"/>
    <x v="120"/>
    <x v="1"/>
    <x v="0"/>
    <x v="0"/>
    <x v="0"/>
    <x v="997"/>
    <x v="1"/>
    <x v="13"/>
    <x v="13"/>
    <x v="0"/>
    <x v="0"/>
    <x v="3"/>
    <x v="49"/>
    <x v="0"/>
    <x v="33"/>
    <x v="1018"/>
    <x v="3"/>
    <x v="31"/>
    <x v="1"/>
    <x v="6"/>
    <x v="3"/>
    <x v="1"/>
    <x v="652"/>
    <x v="6"/>
    <x v="33"/>
    <x v="121"/>
    <x v="121"/>
    <x v="0"/>
    <x v="121"/>
    <x v="154"/>
    <x v="144"/>
    <x v="160"/>
    <x v="144"/>
    <x v="154"/>
    <x v="154"/>
    <x v="154"/>
    <x v="154"/>
    <x v="154"/>
    <x v="154"/>
    <x v="154"/>
    <x v="121"/>
    <x v="162"/>
    <x v="162"/>
    <x v="0"/>
    <x v="33"/>
    <x v="0"/>
    <x v="203"/>
    <x v="121"/>
    <x v="121"/>
    <x v="121"/>
    <x v="121"/>
    <x v="9"/>
  </r>
  <r>
    <x v="998"/>
    <x v="662"/>
    <x v="0"/>
    <x v="0"/>
    <x v="0"/>
    <x v="0"/>
    <x v="1"/>
    <x v="4"/>
    <x v="0"/>
    <x v="0"/>
    <x v="9"/>
    <x v="0"/>
    <x v="652"/>
    <x v="1"/>
    <x v="0"/>
    <x v="0"/>
    <x v="0"/>
    <x v="998"/>
    <x v="1"/>
    <x v="13"/>
    <x v="13"/>
    <x v="0"/>
    <x v="0"/>
    <x v="3"/>
    <x v="73"/>
    <x v="0"/>
    <x v="34"/>
    <x v="1008"/>
    <x v="2"/>
    <x v="22"/>
    <x v="1"/>
    <x v="5"/>
    <x v="2"/>
    <x v="1"/>
    <x v="1193"/>
    <x v="5"/>
    <x v="34"/>
    <x v="652"/>
    <x v="652"/>
    <x v="0"/>
    <x v="652"/>
    <x v="764"/>
    <x v="727"/>
    <x v="805"/>
    <x v="727"/>
    <x v="764"/>
    <x v="764"/>
    <x v="764"/>
    <x v="764"/>
    <x v="764"/>
    <x v="764"/>
    <x v="764"/>
    <x v="652"/>
    <x v="803"/>
    <x v="803"/>
    <x v="638"/>
    <x v="0"/>
    <x v="0"/>
    <x v="972"/>
    <x v="652"/>
    <x v="652"/>
    <x v="652"/>
    <x v="652"/>
    <x v="9"/>
  </r>
  <r>
    <x v="999"/>
    <x v="666"/>
    <x v="0"/>
    <x v="0"/>
    <x v="0"/>
    <x v="0"/>
    <x v="1"/>
    <x v="6"/>
    <x v="0"/>
    <x v="0"/>
    <x v="9"/>
    <x v="0"/>
    <x v="49"/>
    <x v="1"/>
    <x v="0"/>
    <x v="0"/>
    <x v="0"/>
    <x v="999"/>
    <x v="1"/>
    <x v="13"/>
    <x v="13"/>
    <x v="0"/>
    <x v="0"/>
    <x v="3"/>
    <x v="49"/>
    <x v="0"/>
    <x v="33"/>
    <x v="979"/>
    <x v="4"/>
    <x v="39"/>
    <x v="1"/>
    <x v="7"/>
    <x v="4"/>
    <x v="1"/>
    <x v="353"/>
    <x v="7"/>
    <x v="33"/>
    <x v="50"/>
    <x v="50"/>
    <x v="0"/>
    <x v="50"/>
    <x v="71"/>
    <x v="64"/>
    <x v="79"/>
    <x v="64"/>
    <x v="71"/>
    <x v="71"/>
    <x v="71"/>
    <x v="71"/>
    <x v="71"/>
    <x v="71"/>
    <x v="71"/>
    <x v="50"/>
    <x v="82"/>
    <x v="82"/>
    <x v="0"/>
    <x v="14"/>
    <x v="0"/>
    <x v="125"/>
    <x v="50"/>
    <x v="50"/>
    <x v="50"/>
    <x v="50"/>
    <x v="9"/>
  </r>
  <r>
    <x v="1000"/>
    <x v="671"/>
    <x v="0"/>
    <x v="0"/>
    <x v="0"/>
    <x v="0"/>
    <x v="1"/>
    <x v="6"/>
    <x v="0"/>
    <x v="0"/>
    <x v="9"/>
    <x v="0"/>
    <x v="79"/>
    <x v="1"/>
    <x v="0"/>
    <x v="0"/>
    <x v="0"/>
    <x v="1000"/>
    <x v="1"/>
    <x v="13"/>
    <x v="13"/>
    <x v="0"/>
    <x v="0"/>
    <x v="3"/>
    <x v="49"/>
    <x v="0"/>
    <x v="33"/>
    <x v="1019"/>
    <x v="4"/>
    <x v="39"/>
    <x v="1"/>
    <x v="7"/>
    <x v="4"/>
    <x v="1"/>
    <x v="557"/>
    <x v="7"/>
    <x v="33"/>
    <x v="80"/>
    <x v="80"/>
    <x v="0"/>
    <x v="80"/>
    <x v="118"/>
    <x v="104"/>
    <x v="124"/>
    <x v="104"/>
    <x v="118"/>
    <x v="118"/>
    <x v="118"/>
    <x v="118"/>
    <x v="118"/>
    <x v="118"/>
    <x v="118"/>
    <x v="80"/>
    <x v="127"/>
    <x v="127"/>
    <x v="0"/>
    <x v="22"/>
    <x v="0"/>
    <x v="171"/>
    <x v="80"/>
    <x v="80"/>
    <x v="80"/>
    <x v="80"/>
    <x v="9"/>
  </r>
  <r>
    <x v="1001"/>
    <x v="673"/>
    <x v="0"/>
    <x v="0"/>
    <x v="0"/>
    <x v="0"/>
    <x v="1"/>
    <x v="4"/>
    <x v="0"/>
    <x v="0"/>
    <x v="9"/>
    <x v="0"/>
    <x v="107"/>
    <x v="1"/>
    <x v="0"/>
    <x v="0"/>
    <x v="0"/>
    <x v="1001"/>
    <x v="1"/>
    <x v="13"/>
    <x v="13"/>
    <x v="0"/>
    <x v="0"/>
    <x v="3"/>
    <x v="49"/>
    <x v="0"/>
    <x v="33"/>
    <x v="1000"/>
    <x v="2"/>
    <x v="22"/>
    <x v="1"/>
    <x v="5"/>
    <x v="2"/>
    <x v="1"/>
    <x v="275"/>
    <x v="5"/>
    <x v="33"/>
    <x v="108"/>
    <x v="108"/>
    <x v="0"/>
    <x v="108"/>
    <x v="128"/>
    <x v="125"/>
    <x v="128"/>
    <x v="125"/>
    <x v="128"/>
    <x v="128"/>
    <x v="128"/>
    <x v="128"/>
    <x v="128"/>
    <x v="128"/>
    <x v="128"/>
    <x v="108"/>
    <x v="128"/>
    <x v="128"/>
    <x v="99"/>
    <x v="0"/>
    <x v="0"/>
    <x v="172"/>
    <x v="108"/>
    <x v="108"/>
    <x v="108"/>
    <x v="108"/>
    <x v="9"/>
  </r>
  <r>
    <x v="1002"/>
    <x v="687"/>
    <x v="0"/>
    <x v="0"/>
    <x v="0"/>
    <x v="0"/>
    <x v="0"/>
    <x v="0"/>
    <x v="0"/>
    <x v="0"/>
    <x v="9"/>
    <x v="0"/>
    <x v="499"/>
    <x v="1"/>
    <x v="0"/>
    <x v="0"/>
    <x v="0"/>
    <x v="1002"/>
    <x v="2"/>
    <x v="13"/>
    <x v="13"/>
    <x v="0"/>
    <x v="0"/>
    <x v="3"/>
    <x v="1"/>
    <x v="0"/>
    <x v="36"/>
    <x v="989"/>
    <x v="9"/>
    <x v="56"/>
    <x v="1"/>
    <x v="1"/>
    <x v="1"/>
    <x v="1"/>
    <x v="333"/>
    <x v="1"/>
    <x v="36"/>
    <x v="499"/>
    <x v="499"/>
    <x v="0"/>
    <x v="499"/>
    <x v="469"/>
    <x v="474"/>
    <x v="457"/>
    <x v="474"/>
    <x v="469"/>
    <x v="469"/>
    <x v="469"/>
    <x v="469"/>
    <x v="469"/>
    <x v="469"/>
    <x v="469"/>
    <x v="499"/>
    <x v="457"/>
    <x v="457"/>
    <x v="443"/>
    <x v="0"/>
    <x v="0"/>
    <x v="725"/>
    <x v="499"/>
    <x v="499"/>
    <x v="499"/>
    <x v="499"/>
    <x v="9"/>
  </r>
  <r>
    <x v="1003"/>
    <x v="648"/>
    <x v="0"/>
    <x v="0"/>
    <x v="0"/>
    <x v="0"/>
    <x v="0"/>
    <x v="1"/>
    <x v="0"/>
    <x v="0"/>
    <x v="9"/>
    <x v="0"/>
    <x v="1232"/>
    <x v="1"/>
    <x v="0"/>
    <x v="0"/>
    <x v="0"/>
    <x v="1003"/>
    <x v="1"/>
    <x v="13"/>
    <x v="13"/>
    <x v="0"/>
    <x v="0"/>
    <x v="3"/>
    <x v="128"/>
    <x v="0"/>
    <x v="33"/>
    <x v="1014"/>
    <x v="10"/>
    <x v="66"/>
    <x v="1"/>
    <x v="2"/>
    <x v="2"/>
    <x v="1"/>
    <x v="1236"/>
    <x v="2"/>
    <x v="33"/>
    <x v="1230"/>
    <x v="1230"/>
    <x v="2"/>
    <x v="1230"/>
    <x v="1296"/>
    <x v="1285"/>
    <x v="1301"/>
    <x v="1285"/>
    <x v="1296"/>
    <x v="1296"/>
    <x v="1296"/>
    <x v="1296"/>
    <x v="1296"/>
    <x v="1296"/>
    <x v="1296"/>
    <x v="1230"/>
    <x v="1299"/>
    <x v="1299"/>
    <x v="1164"/>
    <x v="0"/>
    <x v="0"/>
    <x v="1362"/>
    <x v="1230"/>
    <x v="1230"/>
    <x v="1230"/>
    <x v="1230"/>
    <x v="9"/>
  </r>
  <r>
    <x v="1004"/>
    <x v="710"/>
    <x v="0"/>
    <x v="0"/>
    <x v="0"/>
    <x v="0"/>
    <x v="0"/>
    <x v="0"/>
    <x v="0"/>
    <x v="0"/>
    <x v="9"/>
    <x v="0"/>
    <x v="688"/>
    <x v="1"/>
    <x v="0"/>
    <x v="0"/>
    <x v="0"/>
    <x v="1004"/>
    <x v="2"/>
    <x v="13"/>
    <x v="13"/>
    <x v="0"/>
    <x v="0"/>
    <x v="3"/>
    <x v="1"/>
    <x v="0"/>
    <x v="35"/>
    <x v="991"/>
    <x v="9"/>
    <x v="56"/>
    <x v="1"/>
    <x v="1"/>
    <x v="1"/>
    <x v="1"/>
    <x v="450"/>
    <x v="1"/>
    <x v="35"/>
    <x v="688"/>
    <x v="688"/>
    <x v="1"/>
    <x v="688"/>
    <x v="630"/>
    <x v="639"/>
    <x v="595"/>
    <x v="639"/>
    <x v="630"/>
    <x v="630"/>
    <x v="630"/>
    <x v="630"/>
    <x v="630"/>
    <x v="630"/>
    <x v="630"/>
    <x v="688"/>
    <x v="595"/>
    <x v="595"/>
    <x v="620"/>
    <x v="0"/>
    <x v="0"/>
    <x v="826"/>
    <x v="688"/>
    <x v="688"/>
    <x v="688"/>
    <x v="688"/>
    <x v="9"/>
  </r>
  <r>
    <x v="1005"/>
    <x v="710"/>
    <x v="0"/>
    <x v="0"/>
    <x v="0"/>
    <x v="0"/>
    <x v="0"/>
    <x v="0"/>
    <x v="0"/>
    <x v="0"/>
    <x v="9"/>
    <x v="0"/>
    <x v="104"/>
    <x v="1"/>
    <x v="0"/>
    <x v="0"/>
    <x v="0"/>
    <x v="1005"/>
    <x v="2"/>
    <x v="13"/>
    <x v="13"/>
    <x v="0"/>
    <x v="0"/>
    <x v="3"/>
    <x v="1"/>
    <x v="0"/>
    <x v="35"/>
    <x v="992"/>
    <x v="9"/>
    <x v="56"/>
    <x v="1"/>
    <x v="1"/>
    <x v="1"/>
    <x v="1"/>
    <x v="49"/>
    <x v="1"/>
    <x v="35"/>
    <x v="105"/>
    <x v="105"/>
    <x v="0"/>
    <x v="105"/>
    <x v="103"/>
    <x v="105"/>
    <x v="94"/>
    <x v="105"/>
    <x v="103"/>
    <x v="103"/>
    <x v="103"/>
    <x v="103"/>
    <x v="103"/>
    <x v="103"/>
    <x v="103"/>
    <x v="105"/>
    <x v="94"/>
    <x v="94"/>
    <x v="91"/>
    <x v="0"/>
    <x v="0"/>
    <x v="132"/>
    <x v="105"/>
    <x v="105"/>
    <x v="105"/>
    <x v="105"/>
    <x v="9"/>
  </r>
  <r>
    <x v="1006"/>
    <x v="675"/>
    <x v="0"/>
    <x v="0"/>
    <x v="0"/>
    <x v="0"/>
    <x v="1"/>
    <x v="4"/>
    <x v="0"/>
    <x v="0"/>
    <x v="9"/>
    <x v="0"/>
    <x v="1141"/>
    <x v="1"/>
    <x v="0"/>
    <x v="0"/>
    <x v="0"/>
    <x v="1006"/>
    <x v="1"/>
    <x v="13"/>
    <x v="13"/>
    <x v="0"/>
    <x v="0"/>
    <x v="3"/>
    <x v="128"/>
    <x v="0"/>
    <x v="35"/>
    <x v="1007"/>
    <x v="2"/>
    <x v="22"/>
    <x v="1"/>
    <x v="5"/>
    <x v="2"/>
    <x v="1"/>
    <x v="1345"/>
    <x v="5"/>
    <x v="35"/>
    <x v="1139"/>
    <x v="1139"/>
    <x v="1"/>
    <x v="1139"/>
    <x v="1227"/>
    <x v="1202"/>
    <x v="1256"/>
    <x v="1202"/>
    <x v="1227"/>
    <x v="1227"/>
    <x v="1227"/>
    <x v="1227"/>
    <x v="1227"/>
    <x v="1227"/>
    <x v="1227"/>
    <x v="1139"/>
    <x v="1255"/>
    <x v="1255"/>
    <x v="1092"/>
    <x v="0"/>
    <x v="0"/>
    <x v="1343"/>
    <x v="1139"/>
    <x v="1139"/>
    <x v="1139"/>
    <x v="1139"/>
    <x v="9"/>
  </r>
  <r>
    <x v="1007"/>
    <x v="748"/>
    <x v="0"/>
    <x v="0"/>
    <x v="0"/>
    <x v="0"/>
    <x v="0"/>
    <x v="0"/>
    <x v="0"/>
    <x v="0"/>
    <x v="9"/>
    <x v="0"/>
    <x v="1188"/>
    <x v="1"/>
    <x v="0"/>
    <x v="0"/>
    <x v="0"/>
    <x v="1007"/>
    <x v="2"/>
    <x v="13"/>
    <x v="13"/>
    <x v="0"/>
    <x v="0"/>
    <x v="5"/>
    <x v="128"/>
    <x v="0"/>
    <x v="34"/>
    <x v="1057"/>
    <x v="9"/>
    <x v="56"/>
    <x v="1"/>
    <x v="1"/>
    <x v="1"/>
    <x v="1"/>
    <x v="968"/>
    <x v="1"/>
    <x v="34"/>
    <x v="1186"/>
    <x v="1186"/>
    <x v="2"/>
    <x v="1186"/>
    <x v="1206"/>
    <x v="1200"/>
    <x v="1190"/>
    <x v="1200"/>
    <x v="1206"/>
    <x v="1206"/>
    <x v="1206"/>
    <x v="1206"/>
    <x v="1206"/>
    <x v="1206"/>
    <x v="1206"/>
    <x v="1186"/>
    <x v="1190"/>
    <x v="1190"/>
    <x v="1116"/>
    <x v="0"/>
    <x v="0"/>
    <x v="1291"/>
    <x v="1186"/>
    <x v="1186"/>
    <x v="1186"/>
    <x v="1186"/>
    <x v="9"/>
  </r>
  <r>
    <x v="1008"/>
    <x v="742"/>
    <x v="0"/>
    <x v="0"/>
    <x v="0"/>
    <x v="0"/>
    <x v="0"/>
    <x v="0"/>
    <x v="0"/>
    <x v="0"/>
    <x v="9"/>
    <x v="0"/>
    <x v="1091"/>
    <x v="1"/>
    <x v="0"/>
    <x v="0"/>
    <x v="0"/>
    <x v="1008"/>
    <x v="2"/>
    <x v="13"/>
    <x v="13"/>
    <x v="0"/>
    <x v="0"/>
    <x v="3"/>
    <x v="128"/>
    <x v="0"/>
    <x v="34"/>
    <x v="1056"/>
    <x v="9"/>
    <x v="56"/>
    <x v="1"/>
    <x v="1"/>
    <x v="1"/>
    <x v="1"/>
    <x v="857"/>
    <x v="1"/>
    <x v="34"/>
    <x v="1089"/>
    <x v="1089"/>
    <x v="1"/>
    <x v="1089"/>
    <x v="1100"/>
    <x v="1095"/>
    <x v="1085"/>
    <x v="1095"/>
    <x v="1100"/>
    <x v="1100"/>
    <x v="1100"/>
    <x v="1100"/>
    <x v="1100"/>
    <x v="1100"/>
    <x v="1100"/>
    <x v="1089"/>
    <x v="1083"/>
    <x v="1083"/>
    <x v="1018"/>
    <x v="0"/>
    <x v="0"/>
    <x v="1216"/>
    <x v="1089"/>
    <x v="1089"/>
    <x v="1089"/>
    <x v="1089"/>
    <x v="9"/>
  </r>
  <r>
    <x v="1009"/>
    <x v="726"/>
    <x v="0"/>
    <x v="0"/>
    <x v="0"/>
    <x v="0"/>
    <x v="0"/>
    <x v="0"/>
    <x v="0"/>
    <x v="0"/>
    <x v="9"/>
    <x v="0"/>
    <x v="962"/>
    <x v="1"/>
    <x v="0"/>
    <x v="0"/>
    <x v="0"/>
    <x v="1009"/>
    <x v="2"/>
    <x v="13"/>
    <x v="13"/>
    <x v="0"/>
    <x v="0"/>
    <x v="3"/>
    <x v="1"/>
    <x v="0"/>
    <x v="36"/>
    <x v="999"/>
    <x v="9"/>
    <x v="56"/>
    <x v="1"/>
    <x v="1"/>
    <x v="1"/>
    <x v="1"/>
    <x v="717"/>
    <x v="1"/>
    <x v="36"/>
    <x v="962"/>
    <x v="962"/>
    <x v="1"/>
    <x v="962"/>
    <x v="974"/>
    <x v="974"/>
    <x v="960"/>
    <x v="974"/>
    <x v="974"/>
    <x v="974"/>
    <x v="974"/>
    <x v="974"/>
    <x v="974"/>
    <x v="974"/>
    <x v="974"/>
    <x v="962"/>
    <x v="958"/>
    <x v="958"/>
    <x v="897"/>
    <x v="0"/>
    <x v="0"/>
    <x v="1131"/>
    <x v="962"/>
    <x v="962"/>
    <x v="962"/>
    <x v="962"/>
    <x v="9"/>
  </r>
  <r>
    <x v="1010"/>
    <x v="711"/>
    <x v="0"/>
    <x v="0"/>
    <x v="0"/>
    <x v="0"/>
    <x v="0"/>
    <x v="0"/>
    <x v="0"/>
    <x v="0"/>
    <x v="9"/>
    <x v="0"/>
    <x v="576"/>
    <x v="1"/>
    <x v="0"/>
    <x v="0"/>
    <x v="0"/>
    <x v="1010"/>
    <x v="2"/>
    <x v="13"/>
    <x v="13"/>
    <x v="0"/>
    <x v="0"/>
    <x v="3"/>
    <x v="1"/>
    <x v="0"/>
    <x v="35"/>
    <x v="993"/>
    <x v="9"/>
    <x v="56"/>
    <x v="1"/>
    <x v="1"/>
    <x v="1"/>
    <x v="1"/>
    <x v="377"/>
    <x v="1"/>
    <x v="35"/>
    <x v="576"/>
    <x v="576"/>
    <x v="0"/>
    <x v="576"/>
    <x v="523"/>
    <x v="532"/>
    <x v="507"/>
    <x v="532"/>
    <x v="523"/>
    <x v="523"/>
    <x v="523"/>
    <x v="523"/>
    <x v="523"/>
    <x v="523"/>
    <x v="523"/>
    <x v="576"/>
    <x v="508"/>
    <x v="508"/>
    <x v="511"/>
    <x v="0"/>
    <x v="0"/>
    <x v="763"/>
    <x v="576"/>
    <x v="576"/>
    <x v="576"/>
    <x v="576"/>
    <x v="9"/>
  </r>
  <r>
    <x v="1011"/>
    <x v="733"/>
    <x v="0"/>
    <x v="0"/>
    <x v="0"/>
    <x v="0"/>
    <x v="0"/>
    <x v="0"/>
    <x v="0"/>
    <x v="0"/>
    <x v="9"/>
    <x v="0"/>
    <x v="959"/>
    <x v="1"/>
    <x v="0"/>
    <x v="0"/>
    <x v="0"/>
    <x v="1011"/>
    <x v="2"/>
    <x v="13"/>
    <x v="13"/>
    <x v="0"/>
    <x v="0"/>
    <x v="3"/>
    <x v="128"/>
    <x v="0"/>
    <x v="36"/>
    <x v="995"/>
    <x v="9"/>
    <x v="56"/>
    <x v="1"/>
    <x v="1"/>
    <x v="1"/>
    <x v="1"/>
    <x v="715"/>
    <x v="1"/>
    <x v="36"/>
    <x v="959"/>
    <x v="959"/>
    <x v="1"/>
    <x v="959"/>
    <x v="970"/>
    <x v="972"/>
    <x v="958"/>
    <x v="972"/>
    <x v="970"/>
    <x v="970"/>
    <x v="970"/>
    <x v="970"/>
    <x v="970"/>
    <x v="970"/>
    <x v="970"/>
    <x v="959"/>
    <x v="956"/>
    <x v="956"/>
    <x v="895"/>
    <x v="0"/>
    <x v="0"/>
    <x v="1128"/>
    <x v="959"/>
    <x v="959"/>
    <x v="959"/>
    <x v="959"/>
    <x v="9"/>
  </r>
  <r>
    <x v="1012"/>
    <x v="735"/>
    <x v="0"/>
    <x v="0"/>
    <x v="0"/>
    <x v="0"/>
    <x v="1"/>
    <x v="4"/>
    <x v="0"/>
    <x v="0"/>
    <x v="9"/>
    <x v="0"/>
    <x v="82"/>
    <x v="1"/>
    <x v="0"/>
    <x v="0"/>
    <x v="0"/>
    <x v="1012"/>
    <x v="1"/>
    <x v="13"/>
    <x v="13"/>
    <x v="0"/>
    <x v="0"/>
    <x v="3"/>
    <x v="128"/>
    <x v="0"/>
    <x v="36"/>
    <x v="997"/>
    <x v="2"/>
    <x v="22"/>
    <x v="1"/>
    <x v="5"/>
    <x v="2"/>
    <x v="1"/>
    <x v="220"/>
    <x v="5"/>
    <x v="36"/>
    <x v="83"/>
    <x v="83"/>
    <x v="0"/>
    <x v="83"/>
    <x v="100"/>
    <x v="93"/>
    <x v="107"/>
    <x v="93"/>
    <x v="100"/>
    <x v="100"/>
    <x v="100"/>
    <x v="100"/>
    <x v="100"/>
    <x v="100"/>
    <x v="100"/>
    <x v="83"/>
    <x v="107"/>
    <x v="107"/>
    <x v="76"/>
    <x v="0"/>
    <x v="0"/>
    <x v="145"/>
    <x v="83"/>
    <x v="83"/>
    <x v="83"/>
    <x v="83"/>
    <x v="9"/>
  </r>
  <r>
    <x v="1013"/>
    <x v="735"/>
    <x v="0"/>
    <x v="0"/>
    <x v="0"/>
    <x v="0"/>
    <x v="0"/>
    <x v="0"/>
    <x v="0"/>
    <x v="0"/>
    <x v="9"/>
    <x v="0"/>
    <x v="1"/>
    <x v="1"/>
    <x v="0"/>
    <x v="0"/>
    <x v="0"/>
    <x v="1013"/>
    <x v="2"/>
    <x v="13"/>
    <x v="13"/>
    <x v="0"/>
    <x v="0"/>
    <x v="3"/>
    <x v="128"/>
    <x v="0"/>
    <x v="36"/>
    <x v="996"/>
    <x v="9"/>
    <x v="56"/>
    <x v="1"/>
    <x v="1"/>
    <x v="1"/>
    <x v="1"/>
    <x v="1"/>
    <x v="1"/>
    <x v="36"/>
    <x v="2"/>
    <x v="2"/>
    <x v="0"/>
    <x v="2"/>
    <x v="2"/>
    <x v="2"/>
    <x v="2"/>
    <x v="2"/>
    <x v="2"/>
    <x v="2"/>
    <x v="2"/>
    <x v="2"/>
    <x v="2"/>
    <x v="2"/>
    <x v="2"/>
    <x v="2"/>
    <x v="2"/>
    <x v="2"/>
    <x v="2"/>
    <x v="0"/>
    <x v="0"/>
    <x v="6"/>
    <x v="2"/>
    <x v="2"/>
    <x v="2"/>
    <x v="2"/>
    <x v="9"/>
  </r>
  <r>
    <x v="1014"/>
    <x v="715"/>
    <x v="0"/>
    <x v="0"/>
    <x v="0"/>
    <x v="0"/>
    <x v="0"/>
    <x v="2"/>
    <x v="0"/>
    <x v="0"/>
    <x v="9"/>
    <x v="0"/>
    <x v="1059"/>
    <x v="1"/>
    <x v="0"/>
    <x v="0"/>
    <x v="0"/>
    <x v="1014"/>
    <x v="1"/>
    <x v="15"/>
    <x v="15"/>
    <x v="0"/>
    <x v="0"/>
    <x v="3"/>
    <x v="128"/>
    <x v="0"/>
    <x v="42"/>
    <x v="959"/>
    <x v="1"/>
    <x v="8"/>
    <x v="1"/>
    <x v="3"/>
    <x v="2"/>
    <x v="1"/>
    <x v="1215"/>
    <x v="3"/>
    <x v="42"/>
    <x v="1057"/>
    <x v="1057"/>
    <x v="1"/>
    <x v="1057"/>
    <x v="1142"/>
    <x v="1119"/>
    <x v="1155"/>
    <x v="1119"/>
    <x v="1142"/>
    <x v="1142"/>
    <x v="1142"/>
    <x v="1142"/>
    <x v="1142"/>
    <x v="1142"/>
    <x v="1142"/>
    <x v="1057"/>
    <x v="1151"/>
    <x v="1151"/>
    <x v="997"/>
    <x v="0"/>
    <x v="0"/>
    <x v="1310"/>
    <x v="1057"/>
    <x v="1057"/>
    <x v="1057"/>
    <x v="1057"/>
    <x v="9"/>
  </r>
  <r>
    <x v="1015"/>
    <x v="767"/>
    <x v="0"/>
    <x v="0"/>
    <x v="0"/>
    <x v="0"/>
    <x v="0"/>
    <x v="0"/>
    <x v="0"/>
    <x v="0"/>
    <x v="9"/>
    <x v="0"/>
    <x v="717"/>
    <x v="0"/>
    <x v="0"/>
    <x v="0"/>
    <x v="0"/>
    <x v="1015"/>
    <x v="2"/>
    <x v="15"/>
    <x v="15"/>
    <x v="0"/>
    <x v="0"/>
    <x v="3"/>
    <x v="96"/>
    <x v="0"/>
    <x v="44"/>
    <x v="30"/>
    <x v="9"/>
    <x v="47"/>
    <x v="0"/>
    <x v="0"/>
    <x v="0"/>
    <x v="0"/>
    <x v="475"/>
    <x v="0"/>
    <x v="44"/>
    <x v="0"/>
    <x v="0"/>
    <x v="0"/>
    <x v="0"/>
    <x v="0"/>
    <x v="0"/>
    <x v="0"/>
    <x v="0"/>
    <x v="0"/>
    <x v="0"/>
    <x v="0"/>
    <x v="0"/>
    <x v="0"/>
    <x v="0"/>
    <x v="0"/>
    <x v="0"/>
    <x v="0"/>
    <x v="0"/>
    <x v="0"/>
    <x v="0"/>
    <x v="0"/>
    <x v="0"/>
    <x v="0"/>
    <x v="0"/>
    <x v="0"/>
    <x v="0"/>
    <x v="9"/>
  </r>
  <r>
    <x v="1016"/>
    <x v="786"/>
    <x v="0"/>
    <x v="0"/>
    <x v="0"/>
    <x v="0"/>
    <x v="0"/>
    <x v="0"/>
    <x v="0"/>
    <x v="0"/>
    <x v="9"/>
    <x v="0"/>
    <x v="1064"/>
    <x v="1"/>
    <x v="0"/>
    <x v="0"/>
    <x v="0"/>
    <x v="1016"/>
    <x v="2"/>
    <x v="15"/>
    <x v="15"/>
    <x v="0"/>
    <x v="0"/>
    <x v="3"/>
    <x v="96"/>
    <x v="0"/>
    <x v="41"/>
    <x v="37"/>
    <x v="9"/>
    <x v="56"/>
    <x v="1"/>
    <x v="1"/>
    <x v="1"/>
    <x v="1"/>
    <x v="829"/>
    <x v="1"/>
    <x v="41"/>
    <x v="1062"/>
    <x v="1062"/>
    <x v="1"/>
    <x v="1062"/>
    <x v="1068"/>
    <x v="1063"/>
    <x v="1058"/>
    <x v="1063"/>
    <x v="1068"/>
    <x v="1068"/>
    <x v="1068"/>
    <x v="1068"/>
    <x v="1068"/>
    <x v="1068"/>
    <x v="1068"/>
    <x v="1062"/>
    <x v="1057"/>
    <x v="1057"/>
    <x v="986"/>
    <x v="0"/>
    <x v="0"/>
    <x v="1240"/>
    <x v="1062"/>
    <x v="1062"/>
    <x v="1062"/>
    <x v="1062"/>
    <x v="9"/>
  </r>
  <r>
    <x v="1017"/>
    <x v="756"/>
    <x v="0"/>
    <x v="0"/>
    <x v="0"/>
    <x v="0"/>
    <x v="0"/>
    <x v="0"/>
    <x v="0"/>
    <x v="0"/>
    <x v="9"/>
    <x v="0"/>
    <x v="1129"/>
    <x v="1"/>
    <x v="0"/>
    <x v="0"/>
    <x v="0"/>
    <x v="1017"/>
    <x v="2"/>
    <x v="15"/>
    <x v="15"/>
    <x v="0"/>
    <x v="0"/>
    <x v="3"/>
    <x v="128"/>
    <x v="0"/>
    <x v="41"/>
    <x v="58"/>
    <x v="9"/>
    <x v="56"/>
    <x v="1"/>
    <x v="1"/>
    <x v="1"/>
    <x v="1"/>
    <x v="896"/>
    <x v="1"/>
    <x v="41"/>
    <x v="1127"/>
    <x v="1127"/>
    <x v="1"/>
    <x v="1127"/>
    <x v="1134"/>
    <x v="1136"/>
    <x v="1123"/>
    <x v="1136"/>
    <x v="1134"/>
    <x v="1134"/>
    <x v="1134"/>
    <x v="1134"/>
    <x v="1134"/>
    <x v="1134"/>
    <x v="1134"/>
    <x v="1127"/>
    <x v="1122"/>
    <x v="1122"/>
    <x v="1057"/>
    <x v="0"/>
    <x v="0"/>
    <x v="1285"/>
    <x v="1127"/>
    <x v="1127"/>
    <x v="1127"/>
    <x v="1127"/>
    <x v="9"/>
  </r>
  <r>
    <x v="1018"/>
    <x v="761"/>
    <x v="0"/>
    <x v="0"/>
    <x v="0"/>
    <x v="0"/>
    <x v="0"/>
    <x v="0"/>
    <x v="0"/>
    <x v="0"/>
    <x v="9"/>
    <x v="0"/>
    <x v="484"/>
    <x v="1"/>
    <x v="0"/>
    <x v="0"/>
    <x v="0"/>
    <x v="1018"/>
    <x v="2"/>
    <x v="15"/>
    <x v="15"/>
    <x v="0"/>
    <x v="0"/>
    <x v="3"/>
    <x v="128"/>
    <x v="0"/>
    <x v="40"/>
    <x v="1036"/>
    <x v="9"/>
    <x v="56"/>
    <x v="1"/>
    <x v="1"/>
    <x v="1"/>
    <x v="1"/>
    <x v="322"/>
    <x v="1"/>
    <x v="40"/>
    <x v="484"/>
    <x v="484"/>
    <x v="0"/>
    <x v="484"/>
    <x v="455"/>
    <x v="458"/>
    <x v="445"/>
    <x v="458"/>
    <x v="455"/>
    <x v="455"/>
    <x v="455"/>
    <x v="455"/>
    <x v="455"/>
    <x v="455"/>
    <x v="455"/>
    <x v="484"/>
    <x v="442"/>
    <x v="442"/>
    <x v="425"/>
    <x v="0"/>
    <x v="0"/>
    <x v="761"/>
    <x v="484"/>
    <x v="484"/>
    <x v="484"/>
    <x v="484"/>
    <x v="9"/>
  </r>
  <r>
    <x v="1019"/>
    <x v="761"/>
    <x v="0"/>
    <x v="0"/>
    <x v="0"/>
    <x v="0"/>
    <x v="0"/>
    <x v="2"/>
    <x v="0"/>
    <x v="0"/>
    <x v="9"/>
    <x v="0"/>
    <x v="238"/>
    <x v="1"/>
    <x v="0"/>
    <x v="0"/>
    <x v="0"/>
    <x v="1019"/>
    <x v="1"/>
    <x v="15"/>
    <x v="15"/>
    <x v="0"/>
    <x v="0"/>
    <x v="3"/>
    <x v="128"/>
    <x v="0"/>
    <x v="40"/>
    <x v="1037"/>
    <x v="1"/>
    <x v="8"/>
    <x v="1"/>
    <x v="3"/>
    <x v="2"/>
    <x v="1"/>
    <x v="489"/>
    <x v="3"/>
    <x v="40"/>
    <x v="238"/>
    <x v="238"/>
    <x v="0"/>
    <x v="238"/>
    <x v="278"/>
    <x v="269"/>
    <x v="283"/>
    <x v="269"/>
    <x v="278"/>
    <x v="278"/>
    <x v="278"/>
    <x v="278"/>
    <x v="278"/>
    <x v="278"/>
    <x v="278"/>
    <x v="238"/>
    <x v="282"/>
    <x v="282"/>
    <x v="214"/>
    <x v="0"/>
    <x v="0"/>
    <x v="439"/>
    <x v="238"/>
    <x v="238"/>
    <x v="238"/>
    <x v="238"/>
    <x v="9"/>
  </r>
  <r>
    <x v="1020"/>
    <x v="768"/>
    <x v="0"/>
    <x v="0"/>
    <x v="0"/>
    <x v="0"/>
    <x v="0"/>
    <x v="2"/>
    <x v="0"/>
    <x v="0"/>
    <x v="9"/>
    <x v="0"/>
    <x v="287"/>
    <x v="1"/>
    <x v="0"/>
    <x v="0"/>
    <x v="0"/>
    <x v="1020"/>
    <x v="1"/>
    <x v="15"/>
    <x v="15"/>
    <x v="0"/>
    <x v="0"/>
    <x v="3"/>
    <x v="128"/>
    <x v="0"/>
    <x v="40"/>
    <x v="1038"/>
    <x v="1"/>
    <x v="8"/>
    <x v="1"/>
    <x v="3"/>
    <x v="2"/>
    <x v="1"/>
    <x v="605"/>
    <x v="3"/>
    <x v="40"/>
    <x v="287"/>
    <x v="287"/>
    <x v="0"/>
    <x v="287"/>
    <x v="326"/>
    <x v="321"/>
    <x v="334"/>
    <x v="321"/>
    <x v="326"/>
    <x v="326"/>
    <x v="326"/>
    <x v="326"/>
    <x v="326"/>
    <x v="326"/>
    <x v="326"/>
    <x v="287"/>
    <x v="333"/>
    <x v="333"/>
    <x v="255"/>
    <x v="0"/>
    <x v="0"/>
    <x v="575"/>
    <x v="287"/>
    <x v="287"/>
    <x v="287"/>
    <x v="287"/>
    <x v="9"/>
  </r>
  <r>
    <x v="1021"/>
    <x v="767"/>
    <x v="0"/>
    <x v="0"/>
    <x v="0"/>
    <x v="0"/>
    <x v="0"/>
    <x v="0"/>
    <x v="0"/>
    <x v="0"/>
    <x v="9"/>
    <x v="0"/>
    <x v="1345"/>
    <x v="1"/>
    <x v="0"/>
    <x v="0"/>
    <x v="0"/>
    <x v="1021"/>
    <x v="2"/>
    <x v="15"/>
    <x v="15"/>
    <x v="0"/>
    <x v="0"/>
    <x v="3"/>
    <x v="96"/>
    <x v="0"/>
    <x v="44"/>
    <x v="1025"/>
    <x v="9"/>
    <x v="56"/>
    <x v="1"/>
    <x v="1"/>
    <x v="1"/>
    <x v="1"/>
    <x v="1213"/>
    <x v="1"/>
    <x v="44"/>
    <x v="1343"/>
    <x v="1343"/>
    <x v="3"/>
    <x v="1343"/>
    <x v="1376"/>
    <x v="1368"/>
    <x v="1371"/>
    <x v="1368"/>
    <x v="1376"/>
    <x v="1376"/>
    <x v="1376"/>
    <x v="1376"/>
    <x v="1376"/>
    <x v="1376"/>
    <x v="1376"/>
    <x v="1343"/>
    <x v="1369"/>
    <x v="1369"/>
    <x v="1263"/>
    <x v="0"/>
    <x v="0"/>
    <x v="1417"/>
    <x v="1343"/>
    <x v="1343"/>
    <x v="1343"/>
    <x v="1343"/>
    <x v="9"/>
  </r>
  <r>
    <x v="1022"/>
    <x v="768"/>
    <x v="0"/>
    <x v="0"/>
    <x v="0"/>
    <x v="0"/>
    <x v="0"/>
    <x v="2"/>
    <x v="0"/>
    <x v="0"/>
    <x v="9"/>
    <x v="0"/>
    <x v="785"/>
    <x v="1"/>
    <x v="0"/>
    <x v="0"/>
    <x v="0"/>
    <x v="1022"/>
    <x v="1"/>
    <x v="15"/>
    <x v="15"/>
    <x v="0"/>
    <x v="0"/>
    <x v="3"/>
    <x v="128"/>
    <x v="0"/>
    <x v="40"/>
    <x v="1039"/>
    <x v="1"/>
    <x v="8"/>
    <x v="1"/>
    <x v="3"/>
    <x v="2"/>
    <x v="1"/>
    <x v="1038"/>
    <x v="3"/>
    <x v="40"/>
    <x v="785"/>
    <x v="785"/>
    <x v="1"/>
    <x v="785"/>
    <x v="873"/>
    <x v="855"/>
    <x v="892"/>
    <x v="855"/>
    <x v="873"/>
    <x v="873"/>
    <x v="873"/>
    <x v="873"/>
    <x v="873"/>
    <x v="873"/>
    <x v="873"/>
    <x v="785"/>
    <x v="883"/>
    <x v="883"/>
    <x v="745"/>
    <x v="0"/>
    <x v="0"/>
    <x v="1084"/>
    <x v="785"/>
    <x v="785"/>
    <x v="785"/>
    <x v="785"/>
    <x v="9"/>
  </r>
  <r>
    <x v="1023"/>
    <x v="786"/>
    <x v="0"/>
    <x v="0"/>
    <x v="0"/>
    <x v="0"/>
    <x v="0"/>
    <x v="0"/>
    <x v="0"/>
    <x v="0"/>
    <x v="9"/>
    <x v="0"/>
    <x v="1095"/>
    <x v="1"/>
    <x v="0"/>
    <x v="0"/>
    <x v="0"/>
    <x v="1023"/>
    <x v="2"/>
    <x v="15"/>
    <x v="15"/>
    <x v="0"/>
    <x v="0"/>
    <x v="3"/>
    <x v="96"/>
    <x v="0"/>
    <x v="41"/>
    <x v="1034"/>
    <x v="9"/>
    <x v="56"/>
    <x v="1"/>
    <x v="1"/>
    <x v="1"/>
    <x v="1"/>
    <x v="860"/>
    <x v="1"/>
    <x v="41"/>
    <x v="1093"/>
    <x v="1093"/>
    <x v="1"/>
    <x v="1093"/>
    <x v="1103"/>
    <x v="1098"/>
    <x v="1088"/>
    <x v="1098"/>
    <x v="1103"/>
    <x v="1103"/>
    <x v="1103"/>
    <x v="1103"/>
    <x v="1103"/>
    <x v="1103"/>
    <x v="1103"/>
    <x v="1093"/>
    <x v="1087"/>
    <x v="1087"/>
    <x v="1021"/>
    <x v="0"/>
    <x v="0"/>
    <x v="1266"/>
    <x v="1093"/>
    <x v="1093"/>
    <x v="1093"/>
    <x v="1093"/>
    <x v="9"/>
  </r>
  <r>
    <x v="1024"/>
    <x v="835"/>
    <x v="0"/>
    <x v="0"/>
    <x v="0"/>
    <x v="0"/>
    <x v="0"/>
    <x v="0"/>
    <x v="0"/>
    <x v="0"/>
    <x v="9"/>
    <x v="0"/>
    <x v="1320"/>
    <x v="1"/>
    <x v="0"/>
    <x v="0"/>
    <x v="0"/>
    <x v="1024"/>
    <x v="2"/>
    <x v="15"/>
    <x v="15"/>
    <x v="0"/>
    <x v="0"/>
    <x v="3"/>
    <x v="128"/>
    <x v="0"/>
    <x v="43"/>
    <x v="33"/>
    <x v="9"/>
    <x v="56"/>
    <x v="1"/>
    <x v="1"/>
    <x v="1"/>
    <x v="1"/>
    <x v="1146"/>
    <x v="1"/>
    <x v="43"/>
    <x v="1318"/>
    <x v="1318"/>
    <x v="3"/>
    <x v="1318"/>
    <x v="1346"/>
    <x v="1341"/>
    <x v="1336"/>
    <x v="1341"/>
    <x v="1346"/>
    <x v="1346"/>
    <x v="1346"/>
    <x v="1346"/>
    <x v="1346"/>
    <x v="1346"/>
    <x v="1346"/>
    <x v="1318"/>
    <x v="1335"/>
    <x v="1335"/>
    <x v="1240"/>
    <x v="0"/>
    <x v="0"/>
    <x v="1401"/>
    <x v="1318"/>
    <x v="1318"/>
    <x v="1318"/>
    <x v="1318"/>
    <x v="9"/>
  </r>
  <r>
    <x v="1025"/>
    <x v="793"/>
    <x v="0"/>
    <x v="0"/>
    <x v="0"/>
    <x v="0"/>
    <x v="1"/>
    <x v="4"/>
    <x v="0"/>
    <x v="0"/>
    <x v="9"/>
    <x v="0"/>
    <x v="172"/>
    <x v="1"/>
    <x v="0"/>
    <x v="0"/>
    <x v="0"/>
    <x v="1025"/>
    <x v="1"/>
    <x v="15"/>
    <x v="15"/>
    <x v="0"/>
    <x v="0"/>
    <x v="3"/>
    <x v="128"/>
    <x v="0"/>
    <x v="38"/>
    <x v="1023"/>
    <x v="2"/>
    <x v="22"/>
    <x v="1"/>
    <x v="5"/>
    <x v="2"/>
    <x v="1"/>
    <x v="608"/>
    <x v="5"/>
    <x v="38"/>
    <x v="173"/>
    <x v="173"/>
    <x v="0"/>
    <x v="173"/>
    <x v="203"/>
    <x v="198"/>
    <x v="216"/>
    <x v="198"/>
    <x v="203"/>
    <x v="203"/>
    <x v="203"/>
    <x v="203"/>
    <x v="203"/>
    <x v="203"/>
    <x v="203"/>
    <x v="173"/>
    <x v="216"/>
    <x v="216"/>
    <x v="156"/>
    <x v="0"/>
    <x v="0"/>
    <x v="305"/>
    <x v="173"/>
    <x v="173"/>
    <x v="173"/>
    <x v="173"/>
    <x v="9"/>
  </r>
  <r>
    <x v="1026"/>
    <x v="788"/>
    <x v="0"/>
    <x v="0"/>
    <x v="0"/>
    <x v="0"/>
    <x v="0"/>
    <x v="2"/>
    <x v="0"/>
    <x v="0"/>
    <x v="9"/>
    <x v="0"/>
    <x v="746"/>
    <x v="1"/>
    <x v="0"/>
    <x v="0"/>
    <x v="0"/>
    <x v="1026"/>
    <x v="1"/>
    <x v="15"/>
    <x v="15"/>
    <x v="0"/>
    <x v="0"/>
    <x v="3"/>
    <x v="96"/>
    <x v="0"/>
    <x v="40"/>
    <x v="1040"/>
    <x v="1"/>
    <x v="8"/>
    <x v="1"/>
    <x v="3"/>
    <x v="2"/>
    <x v="1"/>
    <x v="1016"/>
    <x v="3"/>
    <x v="40"/>
    <x v="746"/>
    <x v="746"/>
    <x v="1"/>
    <x v="746"/>
    <x v="836"/>
    <x v="821"/>
    <x v="848"/>
    <x v="821"/>
    <x v="836"/>
    <x v="836"/>
    <x v="836"/>
    <x v="836"/>
    <x v="836"/>
    <x v="836"/>
    <x v="836"/>
    <x v="746"/>
    <x v="845"/>
    <x v="845"/>
    <x v="705"/>
    <x v="0"/>
    <x v="0"/>
    <x v="1050"/>
    <x v="746"/>
    <x v="746"/>
    <x v="746"/>
    <x v="746"/>
    <x v="9"/>
  </r>
  <r>
    <x v="1027"/>
    <x v="808"/>
    <x v="0"/>
    <x v="0"/>
    <x v="0"/>
    <x v="0"/>
    <x v="1"/>
    <x v="4"/>
    <x v="0"/>
    <x v="0"/>
    <x v="9"/>
    <x v="0"/>
    <x v="1298"/>
    <x v="1"/>
    <x v="0"/>
    <x v="0"/>
    <x v="0"/>
    <x v="1027"/>
    <x v="1"/>
    <x v="15"/>
    <x v="15"/>
    <x v="0"/>
    <x v="0"/>
    <x v="3"/>
    <x v="128"/>
    <x v="0"/>
    <x v="39"/>
    <x v="1044"/>
    <x v="2"/>
    <x v="22"/>
    <x v="1"/>
    <x v="5"/>
    <x v="2"/>
    <x v="1"/>
    <x v="1377"/>
    <x v="5"/>
    <x v="39"/>
    <x v="1296"/>
    <x v="1296"/>
    <x v="2"/>
    <x v="1296"/>
    <x v="1361"/>
    <x v="1347"/>
    <x v="1365"/>
    <x v="1347"/>
    <x v="1361"/>
    <x v="1361"/>
    <x v="1361"/>
    <x v="1361"/>
    <x v="1361"/>
    <x v="1361"/>
    <x v="1361"/>
    <x v="1296"/>
    <x v="1361"/>
    <x v="1361"/>
    <x v="1236"/>
    <x v="0"/>
    <x v="0"/>
    <x v="1411"/>
    <x v="1296"/>
    <x v="1296"/>
    <x v="1296"/>
    <x v="1296"/>
    <x v="9"/>
  </r>
  <r>
    <x v="1028"/>
    <x v="808"/>
    <x v="0"/>
    <x v="0"/>
    <x v="0"/>
    <x v="0"/>
    <x v="0"/>
    <x v="2"/>
    <x v="0"/>
    <x v="0"/>
    <x v="9"/>
    <x v="0"/>
    <x v="405"/>
    <x v="1"/>
    <x v="0"/>
    <x v="0"/>
    <x v="0"/>
    <x v="1028"/>
    <x v="1"/>
    <x v="15"/>
    <x v="15"/>
    <x v="0"/>
    <x v="0"/>
    <x v="3"/>
    <x v="128"/>
    <x v="0"/>
    <x v="39"/>
    <x v="1045"/>
    <x v="1"/>
    <x v="8"/>
    <x v="1"/>
    <x v="3"/>
    <x v="2"/>
    <x v="1"/>
    <x v="818"/>
    <x v="3"/>
    <x v="39"/>
    <x v="405"/>
    <x v="405"/>
    <x v="0"/>
    <x v="405"/>
    <x v="478"/>
    <x v="464"/>
    <x v="514"/>
    <x v="464"/>
    <x v="478"/>
    <x v="478"/>
    <x v="478"/>
    <x v="478"/>
    <x v="478"/>
    <x v="478"/>
    <x v="478"/>
    <x v="405"/>
    <x v="507"/>
    <x v="507"/>
    <x v="378"/>
    <x v="0"/>
    <x v="0"/>
    <x v="817"/>
    <x v="405"/>
    <x v="405"/>
    <x v="405"/>
    <x v="405"/>
    <x v="9"/>
  </r>
  <r>
    <x v="1029"/>
    <x v="824"/>
    <x v="0"/>
    <x v="0"/>
    <x v="0"/>
    <x v="0"/>
    <x v="0"/>
    <x v="0"/>
    <x v="0"/>
    <x v="0"/>
    <x v="9"/>
    <x v="0"/>
    <x v="1317"/>
    <x v="1"/>
    <x v="0"/>
    <x v="0"/>
    <x v="0"/>
    <x v="1029"/>
    <x v="2"/>
    <x v="15"/>
    <x v="15"/>
    <x v="0"/>
    <x v="0"/>
    <x v="3"/>
    <x v="20"/>
    <x v="0"/>
    <x v="39"/>
    <x v="1041"/>
    <x v="9"/>
    <x v="56"/>
    <x v="1"/>
    <x v="1"/>
    <x v="1"/>
    <x v="1"/>
    <x v="1137"/>
    <x v="1"/>
    <x v="39"/>
    <x v="1315"/>
    <x v="1315"/>
    <x v="3"/>
    <x v="1315"/>
    <x v="1342"/>
    <x v="1338"/>
    <x v="1332"/>
    <x v="1338"/>
    <x v="1342"/>
    <x v="1342"/>
    <x v="1342"/>
    <x v="1342"/>
    <x v="1342"/>
    <x v="1342"/>
    <x v="1342"/>
    <x v="1315"/>
    <x v="1332"/>
    <x v="1332"/>
    <x v="1238"/>
    <x v="0"/>
    <x v="0"/>
    <x v="1394"/>
    <x v="1315"/>
    <x v="1315"/>
    <x v="1315"/>
    <x v="1315"/>
    <x v="9"/>
  </r>
  <r>
    <x v="1030"/>
    <x v="824"/>
    <x v="0"/>
    <x v="0"/>
    <x v="0"/>
    <x v="0"/>
    <x v="0"/>
    <x v="2"/>
    <x v="0"/>
    <x v="0"/>
    <x v="9"/>
    <x v="0"/>
    <x v="307"/>
    <x v="1"/>
    <x v="0"/>
    <x v="0"/>
    <x v="0"/>
    <x v="1030"/>
    <x v="1"/>
    <x v="15"/>
    <x v="15"/>
    <x v="0"/>
    <x v="0"/>
    <x v="3"/>
    <x v="20"/>
    <x v="0"/>
    <x v="39"/>
    <x v="1042"/>
    <x v="1"/>
    <x v="8"/>
    <x v="1"/>
    <x v="3"/>
    <x v="2"/>
    <x v="1"/>
    <x v="641"/>
    <x v="3"/>
    <x v="39"/>
    <x v="307"/>
    <x v="307"/>
    <x v="0"/>
    <x v="307"/>
    <x v="346"/>
    <x v="344"/>
    <x v="353"/>
    <x v="344"/>
    <x v="346"/>
    <x v="346"/>
    <x v="346"/>
    <x v="346"/>
    <x v="346"/>
    <x v="346"/>
    <x v="346"/>
    <x v="307"/>
    <x v="350"/>
    <x v="350"/>
    <x v="274"/>
    <x v="0"/>
    <x v="0"/>
    <x v="600"/>
    <x v="307"/>
    <x v="307"/>
    <x v="307"/>
    <x v="307"/>
    <x v="9"/>
  </r>
  <r>
    <x v="1031"/>
    <x v="831"/>
    <x v="0"/>
    <x v="0"/>
    <x v="0"/>
    <x v="0"/>
    <x v="0"/>
    <x v="0"/>
    <x v="0"/>
    <x v="0"/>
    <x v="9"/>
    <x v="0"/>
    <x v="1237"/>
    <x v="1"/>
    <x v="0"/>
    <x v="0"/>
    <x v="0"/>
    <x v="1031"/>
    <x v="2"/>
    <x v="15"/>
    <x v="15"/>
    <x v="0"/>
    <x v="0"/>
    <x v="3"/>
    <x v="20"/>
    <x v="0"/>
    <x v="40"/>
    <x v="1043"/>
    <x v="9"/>
    <x v="56"/>
    <x v="1"/>
    <x v="1"/>
    <x v="1"/>
    <x v="1"/>
    <x v="1032"/>
    <x v="1"/>
    <x v="40"/>
    <x v="1235"/>
    <x v="1235"/>
    <x v="2"/>
    <x v="1235"/>
    <x v="1257"/>
    <x v="1247"/>
    <x v="1247"/>
    <x v="1247"/>
    <x v="1257"/>
    <x v="1257"/>
    <x v="1257"/>
    <x v="1257"/>
    <x v="1257"/>
    <x v="1257"/>
    <x v="1257"/>
    <x v="1235"/>
    <x v="1246"/>
    <x v="1246"/>
    <x v="1160"/>
    <x v="0"/>
    <x v="0"/>
    <x v="1356"/>
    <x v="1235"/>
    <x v="1235"/>
    <x v="1235"/>
    <x v="1235"/>
    <x v="9"/>
  </r>
  <r>
    <x v="1032"/>
    <x v="841"/>
    <x v="0"/>
    <x v="0"/>
    <x v="0"/>
    <x v="0"/>
    <x v="0"/>
    <x v="2"/>
    <x v="0"/>
    <x v="0"/>
    <x v="9"/>
    <x v="0"/>
    <x v="454"/>
    <x v="1"/>
    <x v="0"/>
    <x v="0"/>
    <x v="0"/>
    <x v="1032"/>
    <x v="1"/>
    <x v="15"/>
    <x v="15"/>
    <x v="0"/>
    <x v="0"/>
    <x v="3"/>
    <x v="20"/>
    <x v="0"/>
    <x v="40"/>
    <x v="1033"/>
    <x v="1"/>
    <x v="8"/>
    <x v="1"/>
    <x v="3"/>
    <x v="2"/>
    <x v="1"/>
    <x v="851"/>
    <x v="3"/>
    <x v="40"/>
    <x v="454"/>
    <x v="454"/>
    <x v="0"/>
    <x v="454"/>
    <x v="549"/>
    <x v="528"/>
    <x v="586"/>
    <x v="528"/>
    <x v="549"/>
    <x v="549"/>
    <x v="549"/>
    <x v="549"/>
    <x v="549"/>
    <x v="549"/>
    <x v="549"/>
    <x v="454"/>
    <x v="583"/>
    <x v="583"/>
    <x v="416"/>
    <x v="0"/>
    <x v="0"/>
    <x v="878"/>
    <x v="454"/>
    <x v="454"/>
    <x v="454"/>
    <x v="454"/>
    <x v="9"/>
  </r>
  <r>
    <x v="1033"/>
    <x v="835"/>
    <x v="0"/>
    <x v="0"/>
    <x v="0"/>
    <x v="0"/>
    <x v="0"/>
    <x v="0"/>
    <x v="0"/>
    <x v="0"/>
    <x v="9"/>
    <x v="0"/>
    <x v="44"/>
    <x v="1"/>
    <x v="0"/>
    <x v="0"/>
    <x v="0"/>
    <x v="1033"/>
    <x v="2"/>
    <x v="15"/>
    <x v="15"/>
    <x v="0"/>
    <x v="0"/>
    <x v="3"/>
    <x v="128"/>
    <x v="0"/>
    <x v="43"/>
    <x v="1027"/>
    <x v="9"/>
    <x v="56"/>
    <x v="1"/>
    <x v="1"/>
    <x v="1"/>
    <x v="1"/>
    <x v="22"/>
    <x v="1"/>
    <x v="43"/>
    <x v="45"/>
    <x v="45"/>
    <x v="0"/>
    <x v="45"/>
    <x v="36"/>
    <x v="39"/>
    <x v="31"/>
    <x v="39"/>
    <x v="36"/>
    <x v="36"/>
    <x v="36"/>
    <x v="36"/>
    <x v="36"/>
    <x v="36"/>
    <x v="36"/>
    <x v="45"/>
    <x v="31"/>
    <x v="31"/>
    <x v="35"/>
    <x v="0"/>
    <x v="0"/>
    <x v="74"/>
    <x v="45"/>
    <x v="45"/>
    <x v="45"/>
    <x v="45"/>
    <x v="9"/>
  </r>
  <r>
    <x v="1034"/>
    <x v="835"/>
    <x v="0"/>
    <x v="0"/>
    <x v="0"/>
    <x v="0"/>
    <x v="0"/>
    <x v="0"/>
    <x v="0"/>
    <x v="0"/>
    <x v="9"/>
    <x v="0"/>
    <x v="1038"/>
    <x v="0"/>
    <x v="0"/>
    <x v="0"/>
    <x v="0"/>
    <x v="1034"/>
    <x v="2"/>
    <x v="15"/>
    <x v="15"/>
    <x v="0"/>
    <x v="0"/>
    <x v="3"/>
    <x v="128"/>
    <x v="0"/>
    <x v="43"/>
    <x v="1026"/>
    <x v="9"/>
    <x v="47"/>
    <x v="0"/>
    <x v="0"/>
    <x v="0"/>
    <x v="0"/>
    <x v="802"/>
    <x v="0"/>
    <x v="43"/>
    <x v="0"/>
    <x v="0"/>
    <x v="0"/>
    <x v="0"/>
    <x v="0"/>
    <x v="0"/>
    <x v="0"/>
    <x v="0"/>
    <x v="0"/>
    <x v="0"/>
    <x v="0"/>
    <x v="0"/>
    <x v="0"/>
    <x v="0"/>
    <x v="0"/>
    <x v="0"/>
    <x v="0"/>
    <x v="0"/>
    <x v="0"/>
    <x v="0"/>
    <x v="0"/>
    <x v="0"/>
    <x v="0"/>
    <x v="0"/>
    <x v="0"/>
    <x v="0"/>
    <x v="9"/>
  </r>
  <r>
    <x v="1035"/>
    <x v="837"/>
    <x v="0"/>
    <x v="0"/>
    <x v="0"/>
    <x v="0"/>
    <x v="0"/>
    <x v="0"/>
    <x v="0"/>
    <x v="0"/>
    <x v="9"/>
    <x v="0"/>
    <x v="1025"/>
    <x v="1"/>
    <x v="0"/>
    <x v="0"/>
    <x v="0"/>
    <x v="1035"/>
    <x v="2"/>
    <x v="15"/>
    <x v="15"/>
    <x v="0"/>
    <x v="0"/>
    <x v="3"/>
    <x v="97"/>
    <x v="0"/>
    <x v="38"/>
    <x v="1058"/>
    <x v="9"/>
    <x v="56"/>
    <x v="1"/>
    <x v="1"/>
    <x v="1"/>
    <x v="1"/>
    <x v="788"/>
    <x v="1"/>
    <x v="38"/>
    <x v="1025"/>
    <x v="1025"/>
    <x v="1"/>
    <x v="1025"/>
    <x v="1036"/>
    <x v="1031"/>
    <x v="1018"/>
    <x v="1031"/>
    <x v="1036"/>
    <x v="1036"/>
    <x v="1036"/>
    <x v="1036"/>
    <x v="1036"/>
    <x v="1036"/>
    <x v="1036"/>
    <x v="1025"/>
    <x v="1018"/>
    <x v="1018"/>
    <x v="952"/>
    <x v="0"/>
    <x v="0"/>
    <x v="1184"/>
    <x v="1025"/>
    <x v="1025"/>
    <x v="1025"/>
    <x v="1025"/>
    <x v="9"/>
  </r>
  <r>
    <x v="1036"/>
    <x v="841"/>
    <x v="0"/>
    <x v="0"/>
    <x v="0"/>
    <x v="0"/>
    <x v="0"/>
    <x v="0"/>
    <x v="0"/>
    <x v="0"/>
    <x v="9"/>
    <x v="0"/>
    <x v="957"/>
    <x v="1"/>
    <x v="0"/>
    <x v="0"/>
    <x v="0"/>
    <x v="1036"/>
    <x v="2"/>
    <x v="15"/>
    <x v="15"/>
    <x v="0"/>
    <x v="0"/>
    <x v="3"/>
    <x v="20"/>
    <x v="0"/>
    <x v="40"/>
    <x v="1032"/>
    <x v="9"/>
    <x v="56"/>
    <x v="1"/>
    <x v="1"/>
    <x v="1"/>
    <x v="1"/>
    <x v="712"/>
    <x v="1"/>
    <x v="40"/>
    <x v="957"/>
    <x v="957"/>
    <x v="1"/>
    <x v="957"/>
    <x v="967"/>
    <x v="970"/>
    <x v="955"/>
    <x v="970"/>
    <x v="967"/>
    <x v="967"/>
    <x v="967"/>
    <x v="967"/>
    <x v="967"/>
    <x v="967"/>
    <x v="967"/>
    <x v="957"/>
    <x v="954"/>
    <x v="954"/>
    <x v="892"/>
    <x v="0"/>
    <x v="0"/>
    <x v="1164"/>
    <x v="957"/>
    <x v="957"/>
    <x v="957"/>
    <x v="957"/>
    <x v="9"/>
  </r>
  <r>
    <x v="1037"/>
    <x v="846"/>
    <x v="0"/>
    <x v="0"/>
    <x v="0"/>
    <x v="0"/>
    <x v="0"/>
    <x v="0"/>
    <x v="0"/>
    <x v="0"/>
    <x v="9"/>
    <x v="0"/>
    <x v="1335"/>
    <x v="1"/>
    <x v="0"/>
    <x v="0"/>
    <x v="0"/>
    <x v="1037"/>
    <x v="2"/>
    <x v="15"/>
    <x v="15"/>
    <x v="0"/>
    <x v="0"/>
    <x v="3"/>
    <x v="20"/>
    <x v="0"/>
    <x v="40"/>
    <x v="34"/>
    <x v="9"/>
    <x v="56"/>
    <x v="1"/>
    <x v="1"/>
    <x v="1"/>
    <x v="1"/>
    <x v="1165"/>
    <x v="1"/>
    <x v="40"/>
    <x v="1333"/>
    <x v="1333"/>
    <x v="3"/>
    <x v="1333"/>
    <x v="1362"/>
    <x v="1353"/>
    <x v="1350"/>
    <x v="1353"/>
    <x v="1362"/>
    <x v="1362"/>
    <x v="1362"/>
    <x v="1362"/>
    <x v="1362"/>
    <x v="1362"/>
    <x v="1362"/>
    <x v="1333"/>
    <x v="1350"/>
    <x v="1350"/>
    <x v="1250"/>
    <x v="0"/>
    <x v="0"/>
    <x v="1405"/>
    <x v="1333"/>
    <x v="1333"/>
    <x v="1333"/>
    <x v="1333"/>
    <x v="9"/>
  </r>
  <r>
    <x v="1038"/>
    <x v="846"/>
    <x v="0"/>
    <x v="0"/>
    <x v="0"/>
    <x v="0"/>
    <x v="0"/>
    <x v="0"/>
    <x v="0"/>
    <x v="0"/>
    <x v="9"/>
    <x v="0"/>
    <x v="221"/>
    <x v="1"/>
    <x v="0"/>
    <x v="0"/>
    <x v="0"/>
    <x v="1038"/>
    <x v="2"/>
    <x v="15"/>
    <x v="15"/>
    <x v="0"/>
    <x v="0"/>
    <x v="3"/>
    <x v="20"/>
    <x v="0"/>
    <x v="40"/>
    <x v="1030"/>
    <x v="9"/>
    <x v="56"/>
    <x v="1"/>
    <x v="1"/>
    <x v="1"/>
    <x v="1"/>
    <x v="133"/>
    <x v="1"/>
    <x v="40"/>
    <x v="222"/>
    <x v="222"/>
    <x v="0"/>
    <x v="222"/>
    <x v="229"/>
    <x v="228"/>
    <x v="221"/>
    <x v="228"/>
    <x v="229"/>
    <x v="229"/>
    <x v="229"/>
    <x v="229"/>
    <x v="229"/>
    <x v="229"/>
    <x v="229"/>
    <x v="222"/>
    <x v="221"/>
    <x v="221"/>
    <x v="192"/>
    <x v="0"/>
    <x v="0"/>
    <x v="324"/>
    <x v="222"/>
    <x v="222"/>
    <x v="222"/>
    <x v="222"/>
    <x v="9"/>
  </r>
  <r>
    <x v="1039"/>
    <x v="836"/>
    <x v="0"/>
    <x v="0"/>
    <x v="0"/>
    <x v="0"/>
    <x v="0"/>
    <x v="0"/>
    <x v="0"/>
    <x v="0"/>
    <x v="9"/>
    <x v="0"/>
    <x v="1284"/>
    <x v="1"/>
    <x v="0"/>
    <x v="0"/>
    <x v="0"/>
    <x v="1039"/>
    <x v="2"/>
    <x v="15"/>
    <x v="15"/>
    <x v="0"/>
    <x v="0"/>
    <x v="3"/>
    <x v="128"/>
    <x v="0"/>
    <x v="43"/>
    <x v="1024"/>
    <x v="9"/>
    <x v="56"/>
    <x v="1"/>
    <x v="1"/>
    <x v="1"/>
    <x v="1"/>
    <x v="1080"/>
    <x v="1"/>
    <x v="43"/>
    <x v="1282"/>
    <x v="1282"/>
    <x v="2"/>
    <x v="1282"/>
    <x v="1300"/>
    <x v="1295"/>
    <x v="1296"/>
    <x v="1295"/>
    <x v="1300"/>
    <x v="1300"/>
    <x v="1300"/>
    <x v="1300"/>
    <x v="1300"/>
    <x v="1300"/>
    <x v="1300"/>
    <x v="1282"/>
    <x v="1295"/>
    <x v="1295"/>
    <x v="1201"/>
    <x v="0"/>
    <x v="0"/>
    <x v="1385"/>
    <x v="1282"/>
    <x v="1282"/>
    <x v="1282"/>
    <x v="1282"/>
    <x v="9"/>
  </r>
  <r>
    <x v="1040"/>
    <x v="846"/>
    <x v="0"/>
    <x v="0"/>
    <x v="0"/>
    <x v="0"/>
    <x v="0"/>
    <x v="0"/>
    <x v="0"/>
    <x v="0"/>
    <x v="9"/>
    <x v="0"/>
    <x v="381"/>
    <x v="1"/>
    <x v="0"/>
    <x v="0"/>
    <x v="0"/>
    <x v="1040"/>
    <x v="2"/>
    <x v="15"/>
    <x v="15"/>
    <x v="0"/>
    <x v="0"/>
    <x v="3"/>
    <x v="20"/>
    <x v="0"/>
    <x v="40"/>
    <x v="1029"/>
    <x v="9"/>
    <x v="56"/>
    <x v="1"/>
    <x v="1"/>
    <x v="1"/>
    <x v="1"/>
    <x v="263"/>
    <x v="1"/>
    <x v="40"/>
    <x v="381"/>
    <x v="381"/>
    <x v="0"/>
    <x v="381"/>
    <x v="379"/>
    <x v="382"/>
    <x v="357"/>
    <x v="382"/>
    <x v="379"/>
    <x v="379"/>
    <x v="379"/>
    <x v="379"/>
    <x v="379"/>
    <x v="379"/>
    <x v="379"/>
    <x v="381"/>
    <x v="356"/>
    <x v="356"/>
    <x v="339"/>
    <x v="0"/>
    <x v="0"/>
    <x v="627"/>
    <x v="381"/>
    <x v="381"/>
    <x v="381"/>
    <x v="381"/>
    <x v="9"/>
  </r>
  <r>
    <x v="1041"/>
    <x v="855"/>
    <x v="0"/>
    <x v="0"/>
    <x v="0"/>
    <x v="0"/>
    <x v="0"/>
    <x v="0"/>
    <x v="0"/>
    <x v="0"/>
    <x v="9"/>
    <x v="0"/>
    <x v="1068"/>
    <x v="1"/>
    <x v="0"/>
    <x v="0"/>
    <x v="0"/>
    <x v="1041"/>
    <x v="2"/>
    <x v="15"/>
    <x v="15"/>
    <x v="0"/>
    <x v="0"/>
    <x v="3"/>
    <x v="20"/>
    <x v="0"/>
    <x v="41"/>
    <x v="57"/>
    <x v="9"/>
    <x v="56"/>
    <x v="1"/>
    <x v="1"/>
    <x v="1"/>
    <x v="1"/>
    <x v="831"/>
    <x v="1"/>
    <x v="41"/>
    <x v="1066"/>
    <x v="1066"/>
    <x v="1"/>
    <x v="1066"/>
    <x v="1070"/>
    <x v="1066"/>
    <x v="1061"/>
    <x v="1066"/>
    <x v="1070"/>
    <x v="1070"/>
    <x v="1070"/>
    <x v="1070"/>
    <x v="1070"/>
    <x v="1070"/>
    <x v="1070"/>
    <x v="1066"/>
    <x v="1060"/>
    <x v="1060"/>
    <x v="989"/>
    <x v="0"/>
    <x v="0"/>
    <x v="1245"/>
    <x v="1066"/>
    <x v="1066"/>
    <x v="1066"/>
    <x v="1066"/>
    <x v="9"/>
  </r>
  <r>
    <x v="1042"/>
    <x v="853"/>
    <x v="0"/>
    <x v="0"/>
    <x v="0"/>
    <x v="0"/>
    <x v="0"/>
    <x v="0"/>
    <x v="0"/>
    <x v="0"/>
    <x v="9"/>
    <x v="0"/>
    <x v="873"/>
    <x v="1"/>
    <x v="0"/>
    <x v="0"/>
    <x v="0"/>
    <x v="1042"/>
    <x v="2"/>
    <x v="15"/>
    <x v="15"/>
    <x v="0"/>
    <x v="0"/>
    <x v="3"/>
    <x v="97"/>
    <x v="0"/>
    <x v="41"/>
    <x v="1035"/>
    <x v="9"/>
    <x v="56"/>
    <x v="1"/>
    <x v="1"/>
    <x v="1"/>
    <x v="1"/>
    <x v="617"/>
    <x v="1"/>
    <x v="41"/>
    <x v="873"/>
    <x v="873"/>
    <x v="1"/>
    <x v="873"/>
    <x v="887"/>
    <x v="877"/>
    <x v="866"/>
    <x v="877"/>
    <x v="887"/>
    <x v="887"/>
    <x v="887"/>
    <x v="887"/>
    <x v="887"/>
    <x v="887"/>
    <x v="887"/>
    <x v="873"/>
    <x v="862"/>
    <x v="862"/>
    <x v="808"/>
    <x v="0"/>
    <x v="0"/>
    <x v="1075"/>
    <x v="873"/>
    <x v="873"/>
    <x v="873"/>
    <x v="873"/>
    <x v="9"/>
  </r>
  <r>
    <x v="1043"/>
    <x v="861"/>
    <x v="0"/>
    <x v="0"/>
    <x v="0"/>
    <x v="0"/>
    <x v="0"/>
    <x v="0"/>
    <x v="0"/>
    <x v="0"/>
    <x v="9"/>
    <x v="0"/>
    <x v="951"/>
    <x v="1"/>
    <x v="0"/>
    <x v="0"/>
    <x v="0"/>
    <x v="1043"/>
    <x v="2"/>
    <x v="15"/>
    <x v="15"/>
    <x v="0"/>
    <x v="0"/>
    <x v="3"/>
    <x v="128"/>
    <x v="0"/>
    <x v="40"/>
    <x v="1031"/>
    <x v="9"/>
    <x v="56"/>
    <x v="1"/>
    <x v="1"/>
    <x v="1"/>
    <x v="1"/>
    <x v="702"/>
    <x v="1"/>
    <x v="40"/>
    <x v="951"/>
    <x v="951"/>
    <x v="1"/>
    <x v="951"/>
    <x v="961"/>
    <x v="960"/>
    <x v="946"/>
    <x v="960"/>
    <x v="961"/>
    <x v="961"/>
    <x v="961"/>
    <x v="961"/>
    <x v="961"/>
    <x v="961"/>
    <x v="961"/>
    <x v="951"/>
    <x v="945"/>
    <x v="945"/>
    <x v="887"/>
    <x v="0"/>
    <x v="0"/>
    <x v="1159"/>
    <x v="951"/>
    <x v="951"/>
    <x v="951"/>
    <x v="951"/>
    <x v="9"/>
  </r>
  <r>
    <x v="1044"/>
    <x v="858"/>
    <x v="0"/>
    <x v="0"/>
    <x v="0"/>
    <x v="0"/>
    <x v="0"/>
    <x v="0"/>
    <x v="0"/>
    <x v="0"/>
    <x v="9"/>
    <x v="0"/>
    <x v="1307"/>
    <x v="1"/>
    <x v="0"/>
    <x v="0"/>
    <x v="0"/>
    <x v="1044"/>
    <x v="2"/>
    <x v="15"/>
    <x v="15"/>
    <x v="0"/>
    <x v="0"/>
    <x v="3"/>
    <x v="77"/>
    <x v="0"/>
    <x v="36"/>
    <x v="1060"/>
    <x v="9"/>
    <x v="56"/>
    <x v="1"/>
    <x v="1"/>
    <x v="1"/>
    <x v="1"/>
    <x v="1113"/>
    <x v="1"/>
    <x v="36"/>
    <x v="1305"/>
    <x v="1305"/>
    <x v="2"/>
    <x v="1305"/>
    <x v="1327"/>
    <x v="1318"/>
    <x v="1320"/>
    <x v="1318"/>
    <x v="1327"/>
    <x v="1327"/>
    <x v="1327"/>
    <x v="1327"/>
    <x v="1327"/>
    <x v="1327"/>
    <x v="1327"/>
    <x v="1305"/>
    <x v="1319"/>
    <x v="1319"/>
    <x v="1226"/>
    <x v="0"/>
    <x v="0"/>
    <x v="1381"/>
    <x v="1305"/>
    <x v="1305"/>
    <x v="1305"/>
    <x v="1305"/>
    <x v="9"/>
  </r>
  <r>
    <x v="1045"/>
    <x v="855"/>
    <x v="0"/>
    <x v="0"/>
    <x v="0"/>
    <x v="0"/>
    <x v="0"/>
    <x v="0"/>
    <x v="0"/>
    <x v="0"/>
    <x v="9"/>
    <x v="0"/>
    <x v="861"/>
    <x v="1"/>
    <x v="0"/>
    <x v="0"/>
    <x v="0"/>
    <x v="1045"/>
    <x v="2"/>
    <x v="15"/>
    <x v="15"/>
    <x v="0"/>
    <x v="0"/>
    <x v="3"/>
    <x v="20"/>
    <x v="0"/>
    <x v="41"/>
    <x v="1028"/>
    <x v="9"/>
    <x v="56"/>
    <x v="1"/>
    <x v="1"/>
    <x v="1"/>
    <x v="1"/>
    <x v="606"/>
    <x v="1"/>
    <x v="41"/>
    <x v="861"/>
    <x v="861"/>
    <x v="1"/>
    <x v="861"/>
    <x v="877"/>
    <x v="869"/>
    <x v="850"/>
    <x v="869"/>
    <x v="877"/>
    <x v="877"/>
    <x v="877"/>
    <x v="877"/>
    <x v="877"/>
    <x v="877"/>
    <x v="877"/>
    <x v="861"/>
    <x v="848"/>
    <x v="848"/>
    <x v="798"/>
    <x v="0"/>
    <x v="0"/>
    <x v="1064"/>
    <x v="861"/>
    <x v="861"/>
    <x v="861"/>
    <x v="861"/>
    <x v="9"/>
  </r>
  <r>
    <x v="1046"/>
    <x v="754"/>
    <x v="0"/>
    <x v="0"/>
    <x v="0"/>
    <x v="0"/>
    <x v="0"/>
    <x v="0"/>
    <x v="0"/>
    <x v="0"/>
    <x v="9"/>
    <x v="0"/>
    <x v="749"/>
    <x v="1"/>
    <x v="0"/>
    <x v="0"/>
    <x v="0"/>
    <x v="1046"/>
    <x v="2"/>
    <x v="16"/>
    <x v="16"/>
    <x v="0"/>
    <x v="0"/>
    <x v="3"/>
    <x v="1"/>
    <x v="0"/>
    <x v="35"/>
    <x v="1046"/>
    <x v="9"/>
    <x v="56"/>
    <x v="1"/>
    <x v="1"/>
    <x v="1"/>
    <x v="1"/>
    <x v="500"/>
    <x v="1"/>
    <x v="35"/>
    <x v="749"/>
    <x v="749"/>
    <x v="1"/>
    <x v="749"/>
    <x v="727"/>
    <x v="745"/>
    <x v="691"/>
    <x v="745"/>
    <x v="727"/>
    <x v="727"/>
    <x v="727"/>
    <x v="727"/>
    <x v="727"/>
    <x v="727"/>
    <x v="727"/>
    <x v="749"/>
    <x v="692"/>
    <x v="692"/>
    <x v="687"/>
    <x v="0"/>
    <x v="0"/>
    <x v="894"/>
    <x v="749"/>
    <x v="749"/>
    <x v="749"/>
    <x v="749"/>
    <x v="9"/>
  </r>
  <r>
    <x v="1047"/>
    <x v="766"/>
    <x v="0"/>
    <x v="0"/>
    <x v="0"/>
    <x v="0"/>
    <x v="0"/>
    <x v="0"/>
    <x v="0"/>
    <x v="0"/>
    <x v="9"/>
    <x v="0"/>
    <x v="1009"/>
    <x v="1"/>
    <x v="0"/>
    <x v="0"/>
    <x v="0"/>
    <x v="1047"/>
    <x v="2"/>
    <x v="16"/>
    <x v="16"/>
    <x v="0"/>
    <x v="0"/>
    <x v="3"/>
    <x v="13"/>
    <x v="0"/>
    <x v="35"/>
    <x v="1055"/>
    <x v="9"/>
    <x v="56"/>
    <x v="1"/>
    <x v="1"/>
    <x v="1"/>
    <x v="1"/>
    <x v="774"/>
    <x v="1"/>
    <x v="35"/>
    <x v="1009"/>
    <x v="1009"/>
    <x v="1"/>
    <x v="1009"/>
    <x v="1022"/>
    <x v="1015"/>
    <x v="1006"/>
    <x v="1015"/>
    <x v="1022"/>
    <x v="1022"/>
    <x v="1022"/>
    <x v="1022"/>
    <x v="1022"/>
    <x v="1022"/>
    <x v="1022"/>
    <x v="1009"/>
    <x v="1005"/>
    <x v="1005"/>
    <x v="939"/>
    <x v="0"/>
    <x v="0"/>
    <x v="1163"/>
    <x v="1009"/>
    <x v="1009"/>
    <x v="1009"/>
    <x v="1009"/>
    <x v="9"/>
  </r>
  <r>
    <x v="1048"/>
    <x v="734"/>
    <x v="0"/>
    <x v="0"/>
    <x v="0"/>
    <x v="0"/>
    <x v="1"/>
    <x v="4"/>
    <x v="0"/>
    <x v="0"/>
    <x v="9"/>
    <x v="0"/>
    <x v="1278"/>
    <x v="1"/>
    <x v="0"/>
    <x v="0"/>
    <x v="0"/>
    <x v="1048"/>
    <x v="1"/>
    <x v="16"/>
    <x v="16"/>
    <x v="0"/>
    <x v="0"/>
    <x v="3"/>
    <x v="128"/>
    <x v="0"/>
    <x v="36"/>
    <x v="1020"/>
    <x v="2"/>
    <x v="22"/>
    <x v="1"/>
    <x v="5"/>
    <x v="2"/>
    <x v="1"/>
    <x v="1371"/>
    <x v="5"/>
    <x v="36"/>
    <x v="1276"/>
    <x v="1276"/>
    <x v="2"/>
    <x v="1276"/>
    <x v="1348"/>
    <x v="1329"/>
    <x v="1354"/>
    <x v="1329"/>
    <x v="1348"/>
    <x v="1348"/>
    <x v="1348"/>
    <x v="1348"/>
    <x v="1348"/>
    <x v="1348"/>
    <x v="1348"/>
    <x v="1276"/>
    <x v="1353"/>
    <x v="1353"/>
    <x v="1215"/>
    <x v="0"/>
    <x v="0"/>
    <x v="1400"/>
    <x v="1276"/>
    <x v="1276"/>
    <x v="1276"/>
    <x v="1276"/>
    <x v="9"/>
  </r>
  <r>
    <x v="1049"/>
    <x v="754"/>
    <x v="0"/>
    <x v="0"/>
    <x v="0"/>
    <x v="0"/>
    <x v="0"/>
    <x v="0"/>
    <x v="0"/>
    <x v="0"/>
    <x v="9"/>
    <x v="0"/>
    <x v="937"/>
    <x v="1"/>
    <x v="0"/>
    <x v="0"/>
    <x v="0"/>
    <x v="1049"/>
    <x v="2"/>
    <x v="16"/>
    <x v="16"/>
    <x v="0"/>
    <x v="0"/>
    <x v="3"/>
    <x v="1"/>
    <x v="0"/>
    <x v="35"/>
    <x v="1048"/>
    <x v="9"/>
    <x v="56"/>
    <x v="1"/>
    <x v="1"/>
    <x v="1"/>
    <x v="1"/>
    <x v="687"/>
    <x v="1"/>
    <x v="35"/>
    <x v="937"/>
    <x v="937"/>
    <x v="1"/>
    <x v="937"/>
    <x v="945"/>
    <x v="946"/>
    <x v="935"/>
    <x v="946"/>
    <x v="945"/>
    <x v="945"/>
    <x v="945"/>
    <x v="945"/>
    <x v="945"/>
    <x v="945"/>
    <x v="945"/>
    <x v="937"/>
    <x v="934"/>
    <x v="934"/>
    <x v="875"/>
    <x v="0"/>
    <x v="0"/>
    <x v="1091"/>
    <x v="937"/>
    <x v="937"/>
    <x v="937"/>
    <x v="937"/>
    <x v="9"/>
  </r>
  <r>
    <x v="1050"/>
    <x v="754"/>
    <x v="0"/>
    <x v="0"/>
    <x v="0"/>
    <x v="0"/>
    <x v="0"/>
    <x v="0"/>
    <x v="0"/>
    <x v="0"/>
    <x v="9"/>
    <x v="0"/>
    <x v="1073"/>
    <x v="1"/>
    <x v="0"/>
    <x v="0"/>
    <x v="0"/>
    <x v="1050"/>
    <x v="2"/>
    <x v="16"/>
    <x v="16"/>
    <x v="0"/>
    <x v="0"/>
    <x v="3"/>
    <x v="1"/>
    <x v="0"/>
    <x v="35"/>
    <x v="1047"/>
    <x v="9"/>
    <x v="56"/>
    <x v="1"/>
    <x v="1"/>
    <x v="1"/>
    <x v="1"/>
    <x v="839"/>
    <x v="1"/>
    <x v="35"/>
    <x v="1071"/>
    <x v="1071"/>
    <x v="1"/>
    <x v="1071"/>
    <x v="1078"/>
    <x v="1074"/>
    <x v="1067"/>
    <x v="1074"/>
    <x v="1078"/>
    <x v="1078"/>
    <x v="1078"/>
    <x v="1078"/>
    <x v="1078"/>
    <x v="1078"/>
    <x v="1078"/>
    <x v="1071"/>
    <x v="1066"/>
    <x v="1066"/>
    <x v="998"/>
    <x v="0"/>
    <x v="0"/>
    <x v="1207"/>
    <x v="1071"/>
    <x v="1071"/>
    <x v="1071"/>
    <x v="1071"/>
    <x v="9"/>
  </r>
  <r>
    <x v="1051"/>
    <x v="792"/>
    <x v="0"/>
    <x v="0"/>
    <x v="0"/>
    <x v="0"/>
    <x v="1"/>
    <x v="4"/>
    <x v="0"/>
    <x v="0"/>
    <x v="9"/>
    <x v="0"/>
    <x v="85"/>
    <x v="1"/>
    <x v="0"/>
    <x v="0"/>
    <x v="0"/>
    <x v="1051"/>
    <x v="1"/>
    <x v="16"/>
    <x v="16"/>
    <x v="0"/>
    <x v="0"/>
    <x v="3"/>
    <x v="80"/>
    <x v="0"/>
    <x v="37"/>
    <x v="1051"/>
    <x v="2"/>
    <x v="22"/>
    <x v="1"/>
    <x v="5"/>
    <x v="2"/>
    <x v="1"/>
    <x v="223"/>
    <x v="5"/>
    <x v="37"/>
    <x v="86"/>
    <x v="86"/>
    <x v="0"/>
    <x v="86"/>
    <x v="102"/>
    <x v="97"/>
    <x v="110"/>
    <x v="97"/>
    <x v="102"/>
    <x v="102"/>
    <x v="102"/>
    <x v="102"/>
    <x v="102"/>
    <x v="102"/>
    <x v="102"/>
    <x v="86"/>
    <x v="109"/>
    <x v="109"/>
    <x v="77"/>
    <x v="0"/>
    <x v="0"/>
    <x v="147"/>
    <x v="86"/>
    <x v="86"/>
    <x v="86"/>
    <x v="86"/>
    <x v="9"/>
  </r>
  <r>
    <x v="1052"/>
    <x v="792"/>
    <x v="0"/>
    <x v="0"/>
    <x v="0"/>
    <x v="0"/>
    <x v="0"/>
    <x v="2"/>
    <x v="0"/>
    <x v="0"/>
    <x v="9"/>
    <x v="0"/>
    <x v="1092"/>
    <x v="1"/>
    <x v="0"/>
    <x v="0"/>
    <x v="0"/>
    <x v="1052"/>
    <x v="1"/>
    <x v="16"/>
    <x v="16"/>
    <x v="0"/>
    <x v="0"/>
    <x v="3"/>
    <x v="80"/>
    <x v="0"/>
    <x v="37"/>
    <x v="1052"/>
    <x v="1"/>
    <x v="8"/>
    <x v="1"/>
    <x v="3"/>
    <x v="2"/>
    <x v="1"/>
    <x v="1239"/>
    <x v="3"/>
    <x v="37"/>
    <x v="1090"/>
    <x v="1090"/>
    <x v="1"/>
    <x v="1090"/>
    <x v="1180"/>
    <x v="1159"/>
    <x v="1192"/>
    <x v="1159"/>
    <x v="1180"/>
    <x v="1180"/>
    <x v="1180"/>
    <x v="1180"/>
    <x v="1180"/>
    <x v="1180"/>
    <x v="1180"/>
    <x v="1090"/>
    <x v="1189"/>
    <x v="1189"/>
    <x v="1032"/>
    <x v="0"/>
    <x v="0"/>
    <x v="1307"/>
    <x v="1090"/>
    <x v="1090"/>
    <x v="1090"/>
    <x v="1090"/>
    <x v="9"/>
  </r>
  <r>
    <x v="1053"/>
    <x v="837"/>
    <x v="0"/>
    <x v="0"/>
    <x v="0"/>
    <x v="0"/>
    <x v="0"/>
    <x v="2"/>
    <x v="0"/>
    <x v="0"/>
    <x v="9"/>
    <x v="0"/>
    <x v="830"/>
    <x v="1"/>
    <x v="0"/>
    <x v="0"/>
    <x v="0"/>
    <x v="1053"/>
    <x v="1"/>
    <x v="16"/>
    <x v="16"/>
    <x v="0"/>
    <x v="0"/>
    <x v="3"/>
    <x v="97"/>
    <x v="0"/>
    <x v="38"/>
    <x v="1059"/>
    <x v="1"/>
    <x v="8"/>
    <x v="1"/>
    <x v="3"/>
    <x v="2"/>
    <x v="1"/>
    <x v="1073"/>
    <x v="3"/>
    <x v="38"/>
    <x v="830"/>
    <x v="830"/>
    <x v="1"/>
    <x v="830"/>
    <x v="920"/>
    <x v="906"/>
    <x v="937"/>
    <x v="906"/>
    <x v="920"/>
    <x v="920"/>
    <x v="920"/>
    <x v="920"/>
    <x v="920"/>
    <x v="920"/>
    <x v="920"/>
    <x v="830"/>
    <x v="933"/>
    <x v="933"/>
    <x v="785"/>
    <x v="0"/>
    <x v="0"/>
    <x v="1122"/>
    <x v="830"/>
    <x v="830"/>
    <x v="830"/>
    <x v="830"/>
    <x v="9"/>
  </r>
  <r>
    <x v="1054"/>
    <x v="858"/>
    <x v="0"/>
    <x v="0"/>
    <x v="0"/>
    <x v="0"/>
    <x v="0"/>
    <x v="2"/>
    <x v="0"/>
    <x v="0"/>
    <x v="9"/>
    <x v="0"/>
    <x v="946"/>
    <x v="1"/>
    <x v="0"/>
    <x v="0"/>
    <x v="0"/>
    <x v="1054"/>
    <x v="1"/>
    <x v="16"/>
    <x v="16"/>
    <x v="0"/>
    <x v="0"/>
    <x v="3"/>
    <x v="77"/>
    <x v="0"/>
    <x v="36"/>
    <x v="1061"/>
    <x v="1"/>
    <x v="8"/>
    <x v="1"/>
    <x v="3"/>
    <x v="2"/>
    <x v="1"/>
    <x v="1156"/>
    <x v="3"/>
    <x v="36"/>
    <x v="946"/>
    <x v="946"/>
    <x v="1"/>
    <x v="946"/>
    <x v="1048"/>
    <x v="1030"/>
    <x v="1066"/>
    <x v="1030"/>
    <x v="1048"/>
    <x v="1048"/>
    <x v="1048"/>
    <x v="1048"/>
    <x v="1048"/>
    <x v="1048"/>
    <x v="1048"/>
    <x v="946"/>
    <x v="1063"/>
    <x v="1063"/>
    <x v="902"/>
    <x v="0"/>
    <x v="0"/>
    <x v="1209"/>
    <x v="946"/>
    <x v="946"/>
    <x v="946"/>
    <x v="946"/>
    <x v="9"/>
  </r>
  <r>
    <x v="1055"/>
    <x v="878"/>
    <x v="0"/>
    <x v="0"/>
    <x v="0"/>
    <x v="0"/>
    <x v="0"/>
    <x v="0"/>
    <x v="0"/>
    <x v="0"/>
    <x v="9"/>
    <x v="0"/>
    <x v="400"/>
    <x v="1"/>
    <x v="0"/>
    <x v="0"/>
    <x v="0"/>
    <x v="1055"/>
    <x v="2"/>
    <x v="16"/>
    <x v="16"/>
    <x v="0"/>
    <x v="0"/>
    <x v="3"/>
    <x v="128"/>
    <x v="0"/>
    <x v="50"/>
    <x v="1053"/>
    <x v="9"/>
    <x v="56"/>
    <x v="1"/>
    <x v="1"/>
    <x v="1"/>
    <x v="1"/>
    <x v="274"/>
    <x v="1"/>
    <x v="50"/>
    <x v="400"/>
    <x v="400"/>
    <x v="0"/>
    <x v="400"/>
    <x v="397"/>
    <x v="397"/>
    <x v="374"/>
    <x v="397"/>
    <x v="397"/>
    <x v="397"/>
    <x v="397"/>
    <x v="397"/>
    <x v="397"/>
    <x v="397"/>
    <x v="397"/>
    <x v="400"/>
    <x v="375"/>
    <x v="375"/>
    <x v="357"/>
    <x v="0"/>
    <x v="0"/>
    <x v="780"/>
    <x v="400"/>
    <x v="400"/>
    <x v="400"/>
    <x v="400"/>
    <x v="9"/>
  </r>
  <r>
    <x v="1056"/>
    <x v="901"/>
    <x v="0"/>
    <x v="0"/>
    <x v="0"/>
    <x v="0"/>
    <x v="0"/>
    <x v="0"/>
    <x v="0"/>
    <x v="0"/>
    <x v="9"/>
    <x v="0"/>
    <x v="1247"/>
    <x v="1"/>
    <x v="0"/>
    <x v="0"/>
    <x v="0"/>
    <x v="1056"/>
    <x v="2"/>
    <x v="16"/>
    <x v="16"/>
    <x v="0"/>
    <x v="0"/>
    <x v="3"/>
    <x v="128"/>
    <x v="0"/>
    <x v="48"/>
    <x v="1082"/>
    <x v="9"/>
    <x v="56"/>
    <x v="1"/>
    <x v="1"/>
    <x v="1"/>
    <x v="1"/>
    <x v="1044"/>
    <x v="1"/>
    <x v="48"/>
    <x v="1245"/>
    <x v="1245"/>
    <x v="2"/>
    <x v="1245"/>
    <x v="1267"/>
    <x v="1258"/>
    <x v="1258"/>
    <x v="1258"/>
    <x v="1267"/>
    <x v="1267"/>
    <x v="1267"/>
    <x v="1267"/>
    <x v="1267"/>
    <x v="1267"/>
    <x v="1267"/>
    <x v="1245"/>
    <x v="1257"/>
    <x v="1257"/>
    <x v="1171"/>
    <x v="0"/>
    <x v="0"/>
    <x v="1383"/>
    <x v="1245"/>
    <x v="1245"/>
    <x v="1245"/>
    <x v="1245"/>
    <x v="9"/>
  </r>
  <r>
    <x v="1057"/>
    <x v="931"/>
    <x v="0"/>
    <x v="0"/>
    <x v="0"/>
    <x v="0"/>
    <x v="0"/>
    <x v="0"/>
    <x v="0"/>
    <x v="0"/>
    <x v="9"/>
    <x v="0"/>
    <x v="721"/>
    <x v="1"/>
    <x v="0"/>
    <x v="0"/>
    <x v="0"/>
    <x v="1057"/>
    <x v="2"/>
    <x v="20"/>
    <x v="20"/>
    <x v="0"/>
    <x v="0"/>
    <x v="3"/>
    <x v="5"/>
    <x v="0"/>
    <x v="49"/>
    <x v="1070"/>
    <x v="9"/>
    <x v="56"/>
    <x v="1"/>
    <x v="1"/>
    <x v="1"/>
    <x v="1"/>
    <x v="477"/>
    <x v="1"/>
    <x v="49"/>
    <x v="721"/>
    <x v="721"/>
    <x v="1"/>
    <x v="721"/>
    <x v="676"/>
    <x v="696"/>
    <x v="636"/>
    <x v="696"/>
    <x v="676"/>
    <x v="676"/>
    <x v="676"/>
    <x v="676"/>
    <x v="676"/>
    <x v="676"/>
    <x v="676"/>
    <x v="721"/>
    <x v="638"/>
    <x v="638"/>
    <x v="659"/>
    <x v="0"/>
    <x v="0"/>
    <x v="995"/>
    <x v="721"/>
    <x v="721"/>
    <x v="721"/>
    <x v="721"/>
    <x v="9"/>
  </r>
  <r>
    <x v="1058"/>
    <x v="928"/>
    <x v="0"/>
    <x v="0"/>
    <x v="0"/>
    <x v="0"/>
    <x v="0"/>
    <x v="0"/>
    <x v="0"/>
    <x v="0"/>
    <x v="9"/>
    <x v="0"/>
    <x v="1044"/>
    <x v="1"/>
    <x v="0"/>
    <x v="0"/>
    <x v="0"/>
    <x v="1058"/>
    <x v="2"/>
    <x v="20"/>
    <x v="20"/>
    <x v="0"/>
    <x v="0"/>
    <x v="3"/>
    <x v="128"/>
    <x v="0"/>
    <x v="51"/>
    <x v="1062"/>
    <x v="9"/>
    <x v="56"/>
    <x v="1"/>
    <x v="1"/>
    <x v="1"/>
    <x v="1"/>
    <x v="806"/>
    <x v="1"/>
    <x v="51"/>
    <x v="1043"/>
    <x v="1043"/>
    <x v="1"/>
    <x v="1043"/>
    <x v="1051"/>
    <x v="1046"/>
    <x v="1036"/>
    <x v="1046"/>
    <x v="1051"/>
    <x v="1051"/>
    <x v="1051"/>
    <x v="1051"/>
    <x v="1051"/>
    <x v="1051"/>
    <x v="1051"/>
    <x v="1043"/>
    <x v="1035"/>
    <x v="1035"/>
    <x v="969"/>
    <x v="0"/>
    <x v="0"/>
    <x v="1283"/>
    <x v="1043"/>
    <x v="1043"/>
    <x v="1043"/>
    <x v="1043"/>
    <x v="9"/>
  </r>
  <r>
    <x v="1059"/>
    <x v="920"/>
    <x v="0"/>
    <x v="0"/>
    <x v="0"/>
    <x v="0"/>
    <x v="0"/>
    <x v="0"/>
    <x v="0"/>
    <x v="0"/>
    <x v="9"/>
    <x v="0"/>
    <x v="990"/>
    <x v="1"/>
    <x v="0"/>
    <x v="0"/>
    <x v="0"/>
    <x v="1059"/>
    <x v="2"/>
    <x v="20"/>
    <x v="20"/>
    <x v="0"/>
    <x v="0"/>
    <x v="3"/>
    <x v="5"/>
    <x v="0"/>
    <x v="48"/>
    <x v="1073"/>
    <x v="9"/>
    <x v="56"/>
    <x v="1"/>
    <x v="1"/>
    <x v="1"/>
    <x v="1"/>
    <x v="753"/>
    <x v="1"/>
    <x v="48"/>
    <x v="990"/>
    <x v="990"/>
    <x v="1"/>
    <x v="990"/>
    <x v="1007"/>
    <x v="1000"/>
    <x v="987"/>
    <x v="1000"/>
    <x v="1007"/>
    <x v="1007"/>
    <x v="1007"/>
    <x v="1007"/>
    <x v="1007"/>
    <x v="1007"/>
    <x v="1007"/>
    <x v="990"/>
    <x v="987"/>
    <x v="987"/>
    <x v="921"/>
    <x v="0"/>
    <x v="0"/>
    <x v="1235"/>
    <x v="990"/>
    <x v="990"/>
    <x v="990"/>
    <x v="990"/>
    <x v="9"/>
  </r>
  <r>
    <x v="1060"/>
    <x v="934"/>
    <x v="0"/>
    <x v="0"/>
    <x v="0"/>
    <x v="0"/>
    <x v="0"/>
    <x v="0"/>
    <x v="0"/>
    <x v="0"/>
    <x v="9"/>
    <x v="0"/>
    <x v="706"/>
    <x v="1"/>
    <x v="0"/>
    <x v="0"/>
    <x v="0"/>
    <x v="1060"/>
    <x v="2"/>
    <x v="20"/>
    <x v="20"/>
    <x v="0"/>
    <x v="0"/>
    <x v="3"/>
    <x v="5"/>
    <x v="0"/>
    <x v="50"/>
    <x v="1067"/>
    <x v="9"/>
    <x v="56"/>
    <x v="1"/>
    <x v="1"/>
    <x v="1"/>
    <x v="1"/>
    <x v="466"/>
    <x v="1"/>
    <x v="50"/>
    <x v="706"/>
    <x v="706"/>
    <x v="1"/>
    <x v="706"/>
    <x v="656"/>
    <x v="671"/>
    <x v="617"/>
    <x v="671"/>
    <x v="656"/>
    <x v="656"/>
    <x v="656"/>
    <x v="656"/>
    <x v="656"/>
    <x v="656"/>
    <x v="656"/>
    <x v="706"/>
    <x v="618"/>
    <x v="618"/>
    <x v="645"/>
    <x v="0"/>
    <x v="0"/>
    <x v="988"/>
    <x v="706"/>
    <x v="706"/>
    <x v="706"/>
    <x v="706"/>
    <x v="9"/>
  </r>
  <r>
    <x v="1061"/>
    <x v="931"/>
    <x v="0"/>
    <x v="0"/>
    <x v="0"/>
    <x v="0"/>
    <x v="0"/>
    <x v="0"/>
    <x v="0"/>
    <x v="0"/>
    <x v="9"/>
    <x v="0"/>
    <x v="689"/>
    <x v="1"/>
    <x v="0"/>
    <x v="0"/>
    <x v="0"/>
    <x v="1061"/>
    <x v="2"/>
    <x v="20"/>
    <x v="20"/>
    <x v="0"/>
    <x v="0"/>
    <x v="3"/>
    <x v="5"/>
    <x v="0"/>
    <x v="49"/>
    <x v="1069"/>
    <x v="9"/>
    <x v="56"/>
    <x v="1"/>
    <x v="1"/>
    <x v="1"/>
    <x v="1"/>
    <x v="451"/>
    <x v="1"/>
    <x v="49"/>
    <x v="689"/>
    <x v="689"/>
    <x v="1"/>
    <x v="689"/>
    <x v="631"/>
    <x v="641"/>
    <x v="597"/>
    <x v="641"/>
    <x v="631"/>
    <x v="631"/>
    <x v="631"/>
    <x v="631"/>
    <x v="631"/>
    <x v="631"/>
    <x v="631"/>
    <x v="689"/>
    <x v="598"/>
    <x v="598"/>
    <x v="623"/>
    <x v="0"/>
    <x v="0"/>
    <x v="970"/>
    <x v="689"/>
    <x v="689"/>
    <x v="689"/>
    <x v="689"/>
    <x v="9"/>
  </r>
  <r>
    <x v="1062"/>
    <x v="934"/>
    <x v="0"/>
    <x v="0"/>
    <x v="0"/>
    <x v="0"/>
    <x v="0"/>
    <x v="0"/>
    <x v="0"/>
    <x v="0"/>
    <x v="9"/>
    <x v="0"/>
    <x v="198"/>
    <x v="1"/>
    <x v="0"/>
    <x v="0"/>
    <x v="0"/>
    <x v="1062"/>
    <x v="2"/>
    <x v="20"/>
    <x v="20"/>
    <x v="0"/>
    <x v="0"/>
    <x v="3"/>
    <x v="5"/>
    <x v="0"/>
    <x v="50"/>
    <x v="1066"/>
    <x v="9"/>
    <x v="56"/>
    <x v="1"/>
    <x v="1"/>
    <x v="1"/>
    <x v="1"/>
    <x v="113"/>
    <x v="1"/>
    <x v="50"/>
    <x v="199"/>
    <x v="199"/>
    <x v="0"/>
    <x v="199"/>
    <x v="207"/>
    <x v="209"/>
    <x v="199"/>
    <x v="209"/>
    <x v="207"/>
    <x v="207"/>
    <x v="207"/>
    <x v="207"/>
    <x v="207"/>
    <x v="207"/>
    <x v="207"/>
    <x v="199"/>
    <x v="199"/>
    <x v="199"/>
    <x v="175"/>
    <x v="0"/>
    <x v="0"/>
    <x v="338"/>
    <x v="199"/>
    <x v="199"/>
    <x v="199"/>
    <x v="199"/>
    <x v="9"/>
  </r>
  <r>
    <x v="1063"/>
    <x v="942"/>
    <x v="0"/>
    <x v="0"/>
    <x v="0"/>
    <x v="0"/>
    <x v="0"/>
    <x v="0"/>
    <x v="0"/>
    <x v="0"/>
    <x v="9"/>
    <x v="0"/>
    <x v="671"/>
    <x v="1"/>
    <x v="0"/>
    <x v="0"/>
    <x v="0"/>
    <x v="1063"/>
    <x v="2"/>
    <x v="20"/>
    <x v="20"/>
    <x v="0"/>
    <x v="0"/>
    <x v="3"/>
    <x v="128"/>
    <x v="0"/>
    <x v="50"/>
    <x v="1063"/>
    <x v="9"/>
    <x v="56"/>
    <x v="1"/>
    <x v="1"/>
    <x v="1"/>
    <x v="1"/>
    <x v="436"/>
    <x v="1"/>
    <x v="50"/>
    <x v="671"/>
    <x v="671"/>
    <x v="1"/>
    <x v="671"/>
    <x v="606"/>
    <x v="619"/>
    <x v="575"/>
    <x v="619"/>
    <x v="606"/>
    <x v="606"/>
    <x v="606"/>
    <x v="606"/>
    <x v="606"/>
    <x v="606"/>
    <x v="606"/>
    <x v="671"/>
    <x v="576"/>
    <x v="576"/>
    <x v="599"/>
    <x v="0"/>
    <x v="0"/>
    <x v="967"/>
    <x v="671"/>
    <x v="671"/>
    <x v="671"/>
    <x v="671"/>
    <x v="9"/>
  </r>
  <r>
    <x v="1064"/>
    <x v="935"/>
    <x v="0"/>
    <x v="0"/>
    <x v="0"/>
    <x v="0"/>
    <x v="0"/>
    <x v="0"/>
    <x v="0"/>
    <x v="0"/>
    <x v="9"/>
    <x v="0"/>
    <x v="891"/>
    <x v="1"/>
    <x v="0"/>
    <x v="0"/>
    <x v="0"/>
    <x v="1064"/>
    <x v="2"/>
    <x v="20"/>
    <x v="20"/>
    <x v="0"/>
    <x v="0"/>
    <x v="3"/>
    <x v="5"/>
    <x v="0"/>
    <x v="50"/>
    <x v="1064"/>
    <x v="9"/>
    <x v="56"/>
    <x v="1"/>
    <x v="1"/>
    <x v="1"/>
    <x v="1"/>
    <x v="637"/>
    <x v="1"/>
    <x v="50"/>
    <x v="891"/>
    <x v="891"/>
    <x v="1"/>
    <x v="891"/>
    <x v="903"/>
    <x v="896"/>
    <x v="888"/>
    <x v="896"/>
    <x v="903"/>
    <x v="903"/>
    <x v="903"/>
    <x v="903"/>
    <x v="903"/>
    <x v="903"/>
    <x v="903"/>
    <x v="891"/>
    <x v="887"/>
    <x v="887"/>
    <x v="827"/>
    <x v="0"/>
    <x v="0"/>
    <x v="1168"/>
    <x v="891"/>
    <x v="891"/>
    <x v="891"/>
    <x v="891"/>
    <x v="9"/>
  </r>
  <r>
    <x v="1065"/>
    <x v="935"/>
    <x v="0"/>
    <x v="0"/>
    <x v="0"/>
    <x v="0"/>
    <x v="0"/>
    <x v="0"/>
    <x v="0"/>
    <x v="0"/>
    <x v="9"/>
    <x v="0"/>
    <x v="717"/>
    <x v="1"/>
    <x v="0"/>
    <x v="0"/>
    <x v="0"/>
    <x v="1065"/>
    <x v="2"/>
    <x v="20"/>
    <x v="20"/>
    <x v="0"/>
    <x v="0"/>
    <x v="3"/>
    <x v="5"/>
    <x v="0"/>
    <x v="50"/>
    <x v="1065"/>
    <x v="9"/>
    <x v="56"/>
    <x v="1"/>
    <x v="1"/>
    <x v="1"/>
    <x v="1"/>
    <x v="475"/>
    <x v="1"/>
    <x v="50"/>
    <x v="717"/>
    <x v="717"/>
    <x v="1"/>
    <x v="717"/>
    <x v="670"/>
    <x v="685"/>
    <x v="631"/>
    <x v="685"/>
    <x v="670"/>
    <x v="670"/>
    <x v="670"/>
    <x v="670"/>
    <x v="670"/>
    <x v="670"/>
    <x v="670"/>
    <x v="717"/>
    <x v="633"/>
    <x v="633"/>
    <x v="654"/>
    <x v="0"/>
    <x v="0"/>
    <x v="999"/>
    <x v="717"/>
    <x v="717"/>
    <x v="717"/>
    <x v="717"/>
    <x v="9"/>
  </r>
  <r>
    <x v="1066"/>
    <x v="946"/>
    <x v="0"/>
    <x v="0"/>
    <x v="0"/>
    <x v="0"/>
    <x v="0"/>
    <x v="0"/>
    <x v="0"/>
    <x v="0"/>
    <x v="9"/>
    <x v="0"/>
    <x v="997"/>
    <x v="1"/>
    <x v="0"/>
    <x v="0"/>
    <x v="0"/>
    <x v="1066"/>
    <x v="2"/>
    <x v="20"/>
    <x v="20"/>
    <x v="0"/>
    <x v="0"/>
    <x v="3"/>
    <x v="5"/>
    <x v="0"/>
    <x v="48"/>
    <x v="1071"/>
    <x v="9"/>
    <x v="56"/>
    <x v="1"/>
    <x v="1"/>
    <x v="1"/>
    <x v="1"/>
    <x v="762"/>
    <x v="1"/>
    <x v="48"/>
    <x v="997"/>
    <x v="997"/>
    <x v="1"/>
    <x v="997"/>
    <x v="1014"/>
    <x v="1006"/>
    <x v="995"/>
    <x v="1006"/>
    <x v="1014"/>
    <x v="1014"/>
    <x v="1014"/>
    <x v="1014"/>
    <x v="1014"/>
    <x v="1014"/>
    <x v="1014"/>
    <x v="997"/>
    <x v="994"/>
    <x v="994"/>
    <x v="928"/>
    <x v="0"/>
    <x v="0"/>
    <x v="1242"/>
    <x v="997"/>
    <x v="997"/>
    <x v="997"/>
    <x v="997"/>
    <x v="9"/>
  </r>
  <r>
    <x v="1067"/>
    <x v="956"/>
    <x v="0"/>
    <x v="0"/>
    <x v="0"/>
    <x v="0"/>
    <x v="0"/>
    <x v="0"/>
    <x v="0"/>
    <x v="0"/>
    <x v="9"/>
    <x v="0"/>
    <x v="1078"/>
    <x v="1"/>
    <x v="0"/>
    <x v="0"/>
    <x v="0"/>
    <x v="1067"/>
    <x v="2"/>
    <x v="20"/>
    <x v="20"/>
    <x v="0"/>
    <x v="0"/>
    <x v="3"/>
    <x v="5"/>
    <x v="0"/>
    <x v="50"/>
    <x v="1068"/>
    <x v="9"/>
    <x v="56"/>
    <x v="1"/>
    <x v="1"/>
    <x v="1"/>
    <x v="1"/>
    <x v="843"/>
    <x v="1"/>
    <x v="50"/>
    <x v="1076"/>
    <x v="1076"/>
    <x v="1"/>
    <x v="1076"/>
    <x v="1085"/>
    <x v="1079"/>
    <x v="1071"/>
    <x v="1079"/>
    <x v="1085"/>
    <x v="1085"/>
    <x v="1085"/>
    <x v="1085"/>
    <x v="1085"/>
    <x v="1085"/>
    <x v="1085"/>
    <x v="1076"/>
    <x v="1070"/>
    <x v="1070"/>
    <x v="1004"/>
    <x v="0"/>
    <x v="0"/>
    <x v="1294"/>
    <x v="1076"/>
    <x v="1076"/>
    <x v="1076"/>
    <x v="1076"/>
    <x v="9"/>
  </r>
  <r>
    <x v="1068"/>
    <x v="946"/>
    <x v="0"/>
    <x v="0"/>
    <x v="0"/>
    <x v="0"/>
    <x v="0"/>
    <x v="0"/>
    <x v="0"/>
    <x v="0"/>
    <x v="9"/>
    <x v="0"/>
    <x v="935"/>
    <x v="1"/>
    <x v="0"/>
    <x v="0"/>
    <x v="0"/>
    <x v="1068"/>
    <x v="2"/>
    <x v="20"/>
    <x v="20"/>
    <x v="0"/>
    <x v="0"/>
    <x v="3"/>
    <x v="5"/>
    <x v="0"/>
    <x v="48"/>
    <x v="1072"/>
    <x v="9"/>
    <x v="56"/>
    <x v="1"/>
    <x v="1"/>
    <x v="1"/>
    <x v="1"/>
    <x v="686"/>
    <x v="1"/>
    <x v="48"/>
    <x v="935"/>
    <x v="935"/>
    <x v="1"/>
    <x v="935"/>
    <x v="943"/>
    <x v="945"/>
    <x v="934"/>
    <x v="945"/>
    <x v="943"/>
    <x v="943"/>
    <x v="943"/>
    <x v="943"/>
    <x v="943"/>
    <x v="943"/>
    <x v="943"/>
    <x v="935"/>
    <x v="932"/>
    <x v="932"/>
    <x v="874"/>
    <x v="0"/>
    <x v="0"/>
    <x v="1190"/>
    <x v="935"/>
    <x v="935"/>
    <x v="935"/>
    <x v="935"/>
    <x v="9"/>
  </r>
  <r>
    <x v="1069"/>
    <x v="895"/>
    <x v="0"/>
    <x v="0"/>
    <x v="0"/>
    <x v="0"/>
    <x v="0"/>
    <x v="0"/>
    <x v="0"/>
    <x v="0"/>
    <x v="9"/>
    <x v="0"/>
    <x v="362"/>
    <x v="1"/>
    <x v="0"/>
    <x v="0"/>
    <x v="0"/>
    <x v="1069"/>
    <x v="2"/>
    <x v="21"/>
    <x v="21"/>
    <x v="0"/>
    <x v="0"/>
    <x v="3"/>
    <x v="128"/>
    <x v="0"/>
    <x v="33"/>
    <x v="1050"/>
    <x v="9"/>
    <x v="56"/>
    <x v="1"/>
    <x v="1"/>
    <x v="1"/>
    <x v="1"/>
    <x v="245"/>
    <x v="1"/>
    <x v="33"/>
    <x v="362"/>
    <x v="362"/>
    <x v="0"/>
    <x v="362"/>
    <x v="359"/>
    <x v="365"/>
    <x v="341"/>
    <x v="365"/>
    <x v="359"/>
    <x v="359"/>
    <x v="359"/>
    <x v="359"/>
    <x v="359"/>
    <x v="359"/>
    <x v="359"/>
    <x v="362"/>
    <x v="342"/>
    <x v="342"/>
    <x v="324"/>
    <x v="0"/>
    <x v="0"/>
    <x v="523"/>
    <x v="362"/>
    <x v="362"/>
    <x v="362"/>
    <x v="362"/>
    <x v="9"/>
  </r>
  <r>
    <x v="1070"/>
    <x v="895"/>
    <x v="0"/>
    <x v="0"/>
    <x v="0"/>
    <x v="0"/>
    <x v="0"/>
    <x v="0"/>
    <x v="0"/>
    <x v="0"/>
    <x v="9"/>
    <x v="0"/>
    <x v="366"/>
    <x v="1"/>
    <x v="0"/>
    <x v="0"/>
    <x v="0"/>
    <x v="1070"/>
    <x v="2"/>
    <x v="21"/>
    <x v="21"/>
    <x v="0"/>
    <x v="0"/>
    <x v="3"/>
    <x v="128"/>
    <x v="0"/>
    <x v="33"/>
    <x v="1049"/>
    <x v="9"/>
    <x v="56"/>
    <x v="1"/>
    <x v="1"/>
    <x v="1"/>
    <x v="1"/>
    <x v="247"/>
    <x v="1"/>
    <x v="33"/>
    <x v="366"/>
    <x v="366"/>
    <x v="0"/>
    <x v="366"/>
    <x v="362"/>
    <x v="368"/>
    <x v="343"/>
    <x v="368"/>
    <x v="362"/>
    <x v="362"/>
    <x v="362"/>
    <x v="362"/>
    <x v="362"/>
    <x v="362"/>
    <x v="362"/>
    <x v="366"/>
    <x v="344"/>
    <x v="344"/>
    <x v="326"/>
    <x v="0"/>
    <x v="0"/>
    <x v="525"/>
    <x v="366"/>
    <x v="366"/>
    <x v="366"/>
    <x v="366"/>
    <x v="9"/>
  </r>
  <r>
    <x v="1071"/>
    <x v="892"/>
    <x v="0"/>
    <x v="0"/>
    <x v="0"/>
    <x v="0"/>
    <x v="0"/>
    <x v="0"/>
    <x v="0"/>
    <x v="0"/>
    <x v="9"/>
    <x v="0"/>
    <x v="489"/>
    <x v="1"/>
    <x v="0"/>
    <x v="0"/>
    <x v="0"/>
    <x v="1071"/>
    <x v="2"/>
    <x v="21"/>
    <x v="21"/>
    <x v="0"/>
    <x v="0"/>
    <x v="3"/>
    <x v="128"/>
    <x v="0"/>
    <x v="32"/>
    <x v="1054"/>
    <x v="9"/>
    <x v="56"/>
    <x v="1"/>
    <x v="1"/>
    <x v="1"/>
    <x v="1"/>
    <x v="328"/>
    <x v="1"/>
    <x v="32"/>
    <x v="489"/>
    <x v="489"/>
    <x v="0"/>
    <x v="489"/>
    <x v="462"/>
    <x v="466"/>
    <x v="450"/>
    <x v="466"/>
    <x v="462"/>
    <x v="462"/>
    <x v="462"/>
    <x v="462"/>
    <x v="462"/>
    <x v="462"/>
    <x v="462"/>
    <x v="489"/>
    <x v="450"/>
    <x v="450"/>
    <x v="435"/>
    <x v="0"/>
    <x v="0"/>
    <x v="666"/>
    <x v="489"/>
    <x v="489"/>
    <x v="489"/>
    <x v="489"/>
    <x v="9"/>
  </r>
  <r>
    <x v="1072"/>
    <x v="911"/>
    <x v="0"/>
    <x v="0"/>
    <x v="0"/>
    <x v="0"/>
    <x v="0"/>
    <x v="0"/>
    <x v="0"/>
    <x v="0"/>
    <x v="9"/>
    <x v="0"/>
    <x v="1195"/>
    <x v="1"/>
    <x v="0"/>
    <x v="0"/>
    <x v="0"/>
    <x v="1072"/>
    <x v="2"/>
    <x v="21"/>
    <x v="21"/>
    <x v="0"/>
    <x v="0"/>
    <x v="3"/>
    <x v="128"/>
    <x v="0"/>
    <x v="48"/>
    <x v="1084"/>
    <x v="9"/>
    <x v="56"/>
    <x v="1"/>
    <x v="1"/>
    <x v="1"/>
    <x v="1"/>
    <x v="977"/>
    <x v="1"/>
    <x v="48"/>
    <x v="1193"/>
    <x v="1193"/>
    <x v="2"/>
    <x v="1193"/>
    <x v="1212"/>
    <x v="1208"/>
    <x v="1199"/>
    <x v="1208"/>
    <x v="1212"/>
    <x v="1212"/>
    <x v="1212"/>
    <x v="1212"/>
    <x v="1212"/>
    <x v="1212"/>
    <x v="1212"/>
    <x v="1193"/>
    <x v="1199"/>
    <x v="1199"/>
    <x v="1121"/>
    <x v="0"/>
    <x v="0"/>
    <x v="1357"/>
    <x v="1193"/>
    <x v="1193"/>
    <x v="1193"/>
    <x v="1193"/>
    <x v="9"/>
  </r>
  <r>
    <x v="1073"/>
    <x v="901"/>
    <x v="0"/>
    <x v="0"/>
    <x v="0"/>
    <x v="0"/>
    <x v="0"/>
    <x v="2"/>
    <x v="0"/>
    <x v="0"/>
    <x v="9"/>
    <x v="0"/>
    <x v="374"/>
    <x v="1"/>
    <x v="0"/>
    <x v="0"/>
    <x v="0"/>
    <x v="1073"/>
    <x v="1"/>
    <x v="21"/>
    <x v="21"/>
    <x v="0"/>
    <x v="0"/>
    <x v="3"/>
    <x v="128"/>
    <x v="0"/>
    <x v="48"/>
    <x v="1083"/>
    <x v="1"/>
    <x v="8"/>
    <x v="1"/>
    <x v="3"/>
    <x v="2"/>
    <x v="1"/>
    <x v="767"/>
    <x v="3"/>
    <x v="48"/>
    <x v="374"/>
    <x v="374"/>
    <x v="0"/>
    <x v="374"/>
    <x v="439"/>
    <x v="427"/>
    <x v="456"/>
    <x v="427"/>
    <x v="439"/>
    <x v="439"/>
    <x v="439"/>
    <x v="439"/>
    <x v="439"/>
    <x v="439"/>
    <x v="439"/>
    <x v="374"/>
    <x v="453"/>
    <x v="453"/>
    <x v="345"/>
    <x v="0"/>
    <x v="0"/>
    <x v="855"/>
    <x v="374"/>
    <x v="374"/>
    <x v="374"/>
    <x v="374"/>
    <x v="9"/>
  </r>
  <r>
    <x v="1074"/>
    <x v="911"/>
    <x v="0"/>
    <x v="0"/>
    <x v="0"/>
    <x v="0"/>
    <x v="0"/>
    <x v="2"/>
    <x v="0"/>
    <x v="0"/>
    <x v="9"/>
    <x v="0"/>
    <x v="282"/>
    <x v="1"/>
    <x v="0"/>
    <x v="0"/>
    <x v="0"/>
    <x v="1074"/>
    <x v="1"/>
    <x v="21"/>
    <x v="21"/>
    <x v="0"/>
    <x v="0"/>
    <x v="3"/>
    <x v="128"/>
    <x v="0"/>
    <x v="48"/>
    <x v="1085"/>
    <x v="1"/>
    <x v="8"/>
    <x v="1"/>
    <x v="3"/>
    <x v="2"/>
    <x v="1"/>
    <x v="589"/>
    <x v="3"/>
    <x v="48"/>
    <x v="282"/>
    <x v="282"/>
    <x v="0"/>
    <x v="282"/>
    <x v="318"/>
    <x v="311"/>
    <x v="326"/>
    <x v="311"/>
    <x v="318"/>
    <x v="318"/>
    <x v="318"/>
    <x v="318"/>
    <x v="318"/>
    <x v="318"/>
    <x v="318"/>
    <x v="282"/>
    <x v="325"/>
    <x v="325"/>
    <x v="250"/>
    <x v="0"/>
    <x v="0"/>
    <x v="635"/>
    <x v="282"/>
    <x v="282"/>
    <x v="282"/>
    <x v="282"/>
    <x v="9"/>
  </r>
  <r>
    <x v="1075"/>
    <x v="909"/>
    <x v="0"/>
    <x v="0"/>
    <x v="0"/>
    <x v="0"/>
    <x v="0"/>
    <x v="0"/>
    <x v="0"/>
    <x v="0"/>
    <x v="9"/>
    <x v="0"/>
    <x v="725"/>
    <x v="1"/>
    <x v="0"/>
    <x v="0"/>
    <x v="0"/>
    <x v="1075"/>
    <x v="2"/>
    <x v="21"/>
    <x v="21"/>
    <x v="0"/>
    <x v="0"/>
    <x v="3"/>
    <x v="128"/>
    <x v="0"/>
    <x v="49"/>
    <x v="1079"/>
    <x v="9"/>
    <x v="56"/>
    <x v="1"/>
    <x v="1"/>
    <x v="1"/>
    <x v="1"/>
    <x v="480"/>
    <x v="1"/>
    <x v="49"/>
    <x v="725"/>
    <x v="725"/>
    <x v="1"/>
    <x v="725"/>
    <x v="686"/>
    <x v="701"/>
    <x v="643"/>
    <x v="701"/>
    <x v="686"/>
    <x v="686"/>
    <x v="686"/>
    <x v="686"/>
    <x v="686"/>
    <x v="686"/>
    <x v="686"/>
    <x v="725"/>
    <x v="646"/>
    <x v="646"/>
    <x v="665"/>
    <x v="0"/>
    <x v="0"/>
    <x v="1004"/>
    <x v="725"/>
    <x v="725"/>
    <x v="725"/>
    <x v="725"/>
    <x v="9"/>
  </r>
  <r>
    <x v="1076"/>
    <x v="922"/>
    <x v="0"/>
    <x v="0"/>
    <x v="0"/>
    <x v="0"/>
    <x v="0"/>
    <x v="0"/>
    <x v="0"/>
    <x v="0"/>
    <x v="9"/>
    <x v="0"/>
    <x v="1293"/>
    <x v="1"/>
    <x v="0"/>
    <x v="0"/>
    <x v="0"/>
    <x v="1076"/>
    <x v="2"/>
    <x v="21"/>
    <x v="21"/>
    <x v="0"/>
    <x v="0"/>
    <x v="3"/>
    <x v="5"/>
    <x v="0"/>
    <x v="48"/>
    <x v="1088"/>
    <x v="9"/>
    <x v="56"/>
    <x v="1"/>
    <x v="1"/>
    <x v="1"/>
    <x v="1"/>
    <x v="1093"/>
    <x v="1"/>
    <x v="48"/>
    <x v="1291"/>
    <x v="1291"/>
    <x v="2"/>
    <x v="1291"/>
    <x v="1312"/>
    <x v="1305"/>
    <x v="1306"/>
    <x v="1305"/>
    <x v="1312"/>
    <x v="1312"/>
    <x v="1312"/>
    <x v="1312"/>
    <x v="1312"/>
    <x v="1312"/>
    <x v="1312"/>
    <x v="1291"/>
    <x v="1305"/>
    <x v="1305"/>
    <x v="1212"/>
    <x v="0"/>
    <x v="0"/>
    <x v="1396"/>
    <x v="1291"/>
    <x v="1291"/>
    <x v="1291"/>
    <x v="1291"/>
    <x v="9"/>
  </r>
  <r>
    <x v="1077"/>
    <x v="917"/>
    <x v="0"/>
    <x v="0"/>
    <x v="0"/>
    <x v="0"/>
    <x v="0"/>
    <x v="2"/>
    <x v="0"/>
    <x v="0"/>
    <x v="9"/>
    <x v="0"/>
    <x v="215"/>
    <x v="1"/>
    <x v="0"/>
    <x v="0"/>
    <x v="0"/>
    <x v="1077"/>
    <x v="1"/>
    <x v="21"/>
    <x v="21"/>
    <x v="0"/>
    <x v="0"/>
    <x v="3"/>
    <x v="128"/>
    <x v="0"/>
    <x v="48"/>
    <x v="1087"/>
    <x v="1"/>
    <x v="8"/>
    <x v="1"/>
    <x v="3"/>
    <x v="2"/>
    <x v="1"/>
    <x v="433"/>
    <x v="3"/>
    <x v="48"/>
    <x v="216"/>
    <x v="216"/>
    <x v="0"/>
    <x v="216"/>
    <x v="251"/>
    <x v="246"/>
    <x v="256"/>
    <x v="246"/>
    <x v="251"/>
    <x v="251"/>
    <x v="251"/>
    <x v="251"/>
    <x v="251"/>
    <x v="251"/>
    <x v="251"/>
    <x v="216"/>
    <x v="253"/>
    <x v="253"/>
    <x v="195"/>
    <x v="0"/>
    <x v="0"/>
    <x v="446"/>
    <x v="216"/>
    <x v="216"/>
    <x v="216"/>
    <x v="216"/>
    <x v="9"/>
  </r>
  <r>
    <x v="1078"/>
    <x v="917"/>
    <x v="0"/>
    <x v="0"/>
    <x v="0"/>
    <x v="0"/>
    <x v="0"/>
    <x v="0"/>
    <x v="0"/>
    <x v="0"/>
    <x v="9"/>
    <x v="0"/>
    <x v="683"/>
    <x v="1"/>
    <x v="0"/>
    <x v="0"/>
    <x v="0"/>
    <x v="1078"/>
    <x v="2"/>
    <x v="21"/>
    <x v="21"/>
    <x v="0"/>
    <x v="0"/>
    <x v="3"/>
    <x v="128"/>
    <x v="0"/>
    <x v="48"/>
    <x v="1086"/>
    <x v="9"/>
    <x v="56"/>
    <x v="1"/>
    <x v="1"/>
    <x v="1"/>
    <x v="1"/>
    <x v="446"/>
    <x v="1"/>
    <x v="48"/>
    <x v="683"/>
    <x v="683"/>
    <x v="1"/>
    <x v="683"/>
    <x v="622"/>
    <x v="633"/>
    <x v="591"/>
    <x v="633"/>
    <x v="622"/>
    <x v="622"/>
    <x v="622"/>
    <x v="622"/>
    <x v="622"/>
    <x v="622"/>
    <x v="622"/>
    <x v="683"/>
    <x v="590"/>
    <x v="590"/>
    <x v="612"/>
    <x v="0"/>
    <x v="0"/>
    <x v="960"/>
    <x v="683"/>
    <x v="683"/>
    <x v="683"/>
    <x v="683"/>
    <x v="9"/>
  </r>
  <r>
    <x v="1079"/>
    <x v="922"/>
    <x v="0"/>
    <x v="0"/>
    <x v="0"/>
    <x v="0"/>
    <x v="0"/>
    <x v="2"/>
    <x v="0"/>
    <x v="0"/>
    <x v="9"/>
    <x v="0"/>
    <x v="564"/>
    <x v="1"/>
    <x v="0"/>
    <x v="0"/>
    <x v="0"/>
    <x v="1079"/>
    <x v="1"/>
    <x v="21"/>
    <x v="21"/>
    <x v="0"/>
    <x v="0"/>
    <x v="3"/>
    <x v="5"/>
    <x v="0"/>
    <x v="48"/>
    <x v="1089"/>
    <x v="1"/>
    <x v="8"/>
    <x v="1"/>
    <x v="3"/>
    <x v="2"/>
    <x v="1"/>
    <x v="921"/>
    <x v="3"/>
    <x v="48"/>
    <x v="564"/>
    <x v="564"/>
    <x v="0"/>
    <x v="564"/>
    <x v="673"/>
    <x v="658"/>
    <x v="695"/>
    <x v="658"/>
    <x v="673"/>
    <x v="673"/>
    <x v="673"/>
    <x v="673"/>
    <x v="673"/>
    <x v="673"/>
    <x v="673"/>
    <x v="564"/>
    <x v="689"/>
    <x v="689"/>
    <x v="535"/>
    <x v="0"/>
    <x v="0"/>
    <x v="1018"/>
    <x v="564"/>
    <x v="564"/>
    <x v="564"/>
    <x v="564"/>
    <x v="9"/>
  </r>
  <r>
    <x v="1080"/>
    <x v="941"/>
    <x v="0"/>
    <x v="0"/>
    <x v="0"/>
    <x v="0"/>
    <x v="0"/>
    <x v="0"/>
    <x v="0"/>
    <x v="0"/>
    <x v="9"/>
    <x v="0"/>
    <x v="452"/>
    <x v="1"/>
    <x v="0"/>
    <x v="0"/>
    <x v="0"/>
    <x v="1080"/>
    <x v="2"/>
    <x v="21"/>
    <x v="21"/>
    <x v="0"/>
    <x v="0"/>
    <x v="3"/>
    <x v="5"/>
    <x v="0"/>
    <x v="48"/>
    <x v="1075"/>
    <x v="9"/>
    <x v="56"/>
    <x v="1"/>
    <x v="1"/>
    <x v="1"/>
    <x v="1"/>
    <x v="311"/>
    <x v="1"/>
    <x v="48"/>
    <x v="452"/>
    <x v="452"/>
    <x v="0"/>
    <x v="452"/>
    <x v="437"/>
    <x v="440"/>
    <x v="422"/>
    <x v="440"/>
    <x v="437"/>
    <x v="437"/>
    <x v="437"/>
    <x v="437"/>
    <x v="437"/>
    <x v="437"/>
    <x v="437"/>
    <x v="452"/>
    <x v="421"/>
    <x v="421"/>
    <x v="402"/>
    <x v="0"/>
    <x v="0"/>
    <x v="818"/>
    <x v="452"/>
    <x v="452"/>
    <x v="452"/>
    <x v="452"/>
    <x v="9"/>
  </r>
  <r>
    <x v="1081"/>
    <x v="938"/>
    <x v="0"/>
    <x v="0"/>
    <x v="0"/>
    <x v="0"/>
    <x v="0"/>
    <x v="0"/>
    <x v="0"/>
    <x v="0"/>
    <x v="9"/>
    <x v="0"/>
    <x v="734"/>
    <x v="1"/>
    <x v="0"/>
    <x v="0"/>
    <x v="0"/>
    <x v="1081"/>
    <x v="2"/>
    <x v="21"/>
    <x v="21"/>
    <x v="0"/>
    <x v="0"/>
    <x v="3"/>
    <x v="5"/>
    <x v="0"/>
    <x v="47"/>
    <x v="1090"/>
    <x v="9"/>
    <x v="56"/>
    <x v="1"/>
    <x v="1"/>
    <x v="1"/>
    <x v="1"/>
    <x v="486"/>
    <x v="1"/>
    <x v="47"/>
    <x v="734"/>
    <x v="734"/>
    <x v="1"/>
    <x v="734"/>
    <x v="703"/>
    <x v="721"/>
    <x v="665"/>
    <x v="721"/>
    <x v="703"/>
    <x v="703"/>
    <x v="703"/>
    <x v="703"/>
    <x v="703"/>
    <x v="703"/>
    <x v="703"/>
    <x v="734"/>
    <x v="666"/>
    <x v="666"/>
    <x v="673"/>
    <x v="0"/>
    <x v="0"/>
    <x v="993"/>
    <x v="734"/>
    <x v="734"/>
    <x v="734"/>
    <x v="734"/>
    <x v="9"/>
  </r>
  <r>
    <x v="1082"/>
    <x v="941"/>
    <x v="0"/>
    <x v="0"/>
    <x v="0"/>
    <x v="0"/>
    <x v="0"/>
    <x v="0"/>
    <x v="0"/>
    <x v="0"/>
    <x v="9"/>
    <x v="0"/>
    <x v="697"/>
    <x v="1"/>
    <x v="0"/>
    <x v="0"/>
    <x v="0"/>
    <x v="1082"/>
    <x v="2"/>
    <x v="21"/>
    <x v="21"/>
    <x v="0"/>
    <x v="0"/>
    <x v="3"/>
    <x v="5"/>
    <x v="0"/>
    <x v="48"/>
    <x v="1074"/>
    <x v="9"/>
    <x v="56"/>
    <x v="1"/>
    <x v="1"/>
    <x v="1"/>
    <x v="1"/>
    <x v="460"/>
    <x v="1"/>
    <x v="48"/>
    <x v="697"/>
    <x v="697"/>
    <x v="1"/>
    <x v="697"/>
    <x v="642"/>
    <x v="653"/>
    <x v="606"/>
    <x v="653"/>
    <x v="642"/>
    <x v="642"/>
    <x v="642"/>
    <x v="642"/>
    <x v="642"/>
    <x v="642"/>
    <x v="642"/>
    <x v="697"/>
    <x v="607"/>
    <x v="607"/>
    <x v="634"/>
    <x v="0"/>
    <x v="0"/>
    <x v="969"/>
    <x v="697"/>
    <x v="697"/>
    <x v="697"/>
    <x v="697"/>
    <x v="9"/>
  </r>
  <r>
    <x v="1083"/>
    <x v="932"/>
    <x v="0"/>
    <x v="0"/>
    <x v="0"/>
    <x v="0"/>
    <x v="0"/>
    <x v="0"/>
    <x v="0"/>
    <x v="0"/>
    <x v="9"/>
    <x v="0"/>
    <x v="958"/>
    <x v="1"/>
    <x v="0"/>
    <x v="0"/>
    <x v="0"/>
    <x v="1083"/>
    <x v="2"/>
    <x v="21"/>
    <x v="21"/>
    <x v="0"/>
    <x v="0"/>
    <x v="3"/>
    <x v="128"/>
    <x v="0"/>
    <x v="47"/>
    <x v="1080"/>
    <x v="9"/>
    <x v="56"/>
    <x v="1"/>
    <x v="1"/>
    <x v="1"/>
    <x v="1"/>
    <x v="713"/>
    <x v="1"/>
    <x v="47"/>
    <x v="958"/>
    <x v="958"/>
    <x v="1"/>
    <x v="958"/>
    <x v="968"/>
    <x v="971"/>
    <x v="956"/>
    <x v="971"/>
    <x v="968"/>
    <x v="968"/>
    <x v="968"/>
    <x v="968"/>
    <x v="968"/>
    <x v="968"/>
    <x v="968"/>
    <x v="958"/>
    <x v="955"/>
    <x v="955"/>
    <x v="894"/>
    <x v="0"/>
    <x v="0"/>
    <x v="1205"/>
    <x v="958"/>
    <x v="958"/>
    <x v="958"/>
    <x v="958"/>
    <x v="9"/>
  </r>
  <r>
    <x v="1084"/>
    <x v="938"/>
    <x v="0"/>
    <x v="0"/>
    <x v="0"/>
    <x v="0"/>
    <x v="0"/>
    <x v="2"/>
    <x v="0"/>
    <x v="0"/>
    <x v="9"/>
    <x v="0"/>
    <x v="852"/>
    <x v="1"/>
    <x v="0"/>
    <x v="0"/>
    <x v="0"/>
    <x v="1084"/>
    <x v="1"/>
    <x v="21"/>
    <x v="21"/>
    <x v="0"/>
    <x v="0"/>
    <x v="3"/>
    <x v="5"/>
    <x v="0"/>
    <x v="47"/>
    <x v="1091"/>
    <x v="1"/>
    <x v="8"/>
    <x v="1"/>
    <x v="3"/>
    <x v="2"/>
    <x v="1"/>
    <x v="1086"/>
    <x v="3"/>
    <x v="47"/>
    <x v="852"/>
    <x v="852"/>
    <x v="1"/>
    <x v="852"/>
    <x v="940"/>
    <x v="921"/>
    <x v="957"/>
    <x v="921"/>
    <x v="940"/>
    <x v="940"/>
    <x v="940"/>
    <x v="940"/>
    <x v="940"/>
    <x v="940"/>
    <x v="940"/>
    <x v="852"/>
    <x v="952"/>
    <x v="952"/>
    <x v="804"/>
    <x v="0"/>
    <x v="0"/>
    <x v="1204"/>
    <x v="852"/>
    <x v="852"/>
    <x v="852"/>
    <x v="852"/>
    <x v="9"/>
  </r>
  <r>
    <x v="1085"/>
    <x v="966"/>
    <x v="0"/>
    <x v="0"/>
    <x v="0"/>
    <x v="0"/>
    <x v="0"/>
    <x v="2"/>
    <x v="0"/>
    <x v="0"/>
    <x v="9"/>
    <x v="0"/>
    <x v="385"/>
    <x v="1"/>
    <x v="0"/>
    <x v="0"/>
    <x v="0"/>
    <x v="1085"/>
    <x v="1"/>
    <x v="21"/>
    <x v="21"/>
    <x v="0"/>
    <x v="0"/>
    <x v="3"/>
    <x v="128"/>
    <x v="0"/>
    <x v="46"/>
    <x v="1092"/>
    <x v="1"/>
    <x v="8"/>
    <x v="1"/>
    <x v="3"/>
    <x v="2"/>
    <x v="1"/>
    <x v="786"/>
    <x v="3"/>
    <x v="46"/>
    <x v="385"/>
    <x v="385"/>
    <x v="0"/>
    <x v="385"/>
    <x v="448"/>
    <x v="439"/>
    <x v="470"/>
    <x v="439"/>
    <x v="448"/>
    <x v="448"/>
    <x v="448"/>
    <x v="448"/>
    <x v="448"/>
    <x v="448"/>
    <x v="448"/>
    <x v="385"/>
    <x v="465"/>
    <x v="465"/>
    <x v="355"/>
    <x v="0"/>
    <x v="0"/>
    <x v="850"/>
    <x v="385"/>
    <x v="385"/>
    <x v="385"/>
    <x v="385"/>
    <x v="9"/>
  </r>
  <r>
    <x v="1086"/>
    <x v="971"/>
    <x v="0"/>
    <x v="0"/>
    <x v="0"/>
    <x v="0"/>
    <x v="0"/>
    <x v="0"/>
    <x v="0"/>
    <x v="0"/>
    <x v="9"/>
    <x v="0"/>
    <x v="369"/>
    <x v="1"/>
    <x v="0"/>
    <x v="0"/>
    <x v="0"/>
    <x v="1086"/>
    <x v="2"/>
    <x v="21"/>
    <x v="21"/>
    <x v="0"/>
    <x v="0"/>
    <x v="3"/>
    <x v="128"/>
    <x v="0"/>
    <x v="46"/>
    <x v="1078"/>
    <x v="9"/>
    <x v="56"/>
    <x v="1"/>
    <x v="1"/>
    <x v="1"/>
    <x v="1"/>
    <x v="251"/>
    <x v="1"/>
    <x v="46"/>
    <x v="369"/>
    <x v="369"/>
    <x v="0"/>
    <x v="369"/>
    <x v="364"/>
    <x v="371"/>
    <x v="347"/>
    <x v="371"/>
    <x v="364"/>
    <x v="364"/>
    <x v="364"/>
    <x v="364"/>
    <x v="364"/>
    <x v="364"/>
    <x v="364"/>
    <x v="369"/>
    <x v="346"/>
    <x v="346"/>
    <x v="329"/>
    <x v="0"/>
    <x v="0"/>
    <x v="681"/>
    <x v="369"/>
    <x v="369"/>
    <x v="369"/>
    <x v="369"/>
    <x v="9"/>
  </r>
  <r>
    <x v="1087"/>
    <x v="970"/>
    <x v="0"/>
    <x v="0"/>
    <x v="0"/>
    <x v="0"/>
    <x v="0"/>
    <x v="0"/>
    <x v="0"/>
    <x v="0"/>
    <x v="9"/>
    <x v="0"/>
    <x v="220"/>
    <x v="1"/>
    <x v="0"/>
    <x v="0"/>
    <x v="0"/>
    <x v="1087"/>
    <x v="2"/>
    <x v="21"/>
    <x v="21"/>
    <x v="0"/>
    <x v="0"/>
    <x v="3"/>
    <x v="5"/>
    <x v="0"/>
    <x v="47"/>
    <x v="1077"/>
    <x v="9"/>
    <x v="56"/>
    <x v="1"/>
    <x v="1"/>
    <x v="1"/>
    <x v="1"/>
    <x v="132"/>
    <x v="1"/>
    <x v="47"/>
    <x v="221"/>
    <x v="221"/>
    <x v="0"/>
    <x v="221"/>
    <x v="228"/>
    <x v="227"/>
    <x v="220"/>
    <x v="227"/>
    <x v="228"/>
    <x v="228"/>
    <x v="228"/>
    <x v="228"/>
    <x v="228"/>
    <x v="228"/>
    <x v="228"/>
    <x v="221"/>
    <x v="220"/>
    <x v="220"/>
    <x v="191"/>
    <x v="0"/>
    <x v="0"/>
    <x v="371"/>
    <x v="221"/>
    <x v="221"/>
    <x v="221"/>
    <x v="221"/>
    <x v="9"/>
  </r>
  <r>
    <x v="1088"/>
    <x v="973"/>
    <x v="0"/>
    <x v="0"/>
    <x v="0"/>
    <x v="0"/>
    <x v="0"/>
    <x v="0"/>
    <x v="0"/>
    <x v="0"/>
    <x v="9"/>
    <x v="0"/>
    <x v="1003"/>
    <x v="1"/>
    <x v="0"/>
    <x v="0"/>
    <x v="0"/>
    <x v="1088"/>
    <x v="2"/>
    <x v="21"/>
    <x v="21"/>
    <x v="0"/>
    <x v="0"/>
    <x v="3"/>
    <x v="5"/>
    <x v="0"/>
    <x v="46"/>
    <x v="1076"/>
    <x v="9"/>
    <x v="56"/>
    <x v="1"/>
    <x v="1"/>
    <x v="1"/>
    <x v="1"/>
    <x v="768"/>
    <x v="1"/>
    <x v="46"/>
    <x v="1003"/>
    <x v="1003"/>
    <x v="1"/>
    <x v="1003"/>
    <x v="1016"/>
    <x v="1010"/>
    <x v="999"/>
    <x v="1010"/>
    <x v="1016"/>
    <x v="1016"/>
    <x v="1016"/>
    <x v="1016"/>
    <x v="1016"/>
    <x v="1016"/>
    <x v="1016"/>
    <x v="1003"/>
    <x v="999"/>
    <x v="999"/>
    <x v="932"/>
    <x v="0"/>
    <x v="0"/>
    <x v="1232"/>
    <x v="1003"/>
    <x v="1003"/>
    <x v="1003"/>
    <x v="1003"/>
    <x v="9"/>
  </r>
  <r>
    <x v="1089"/>
    <x v="991"/>
    <x v="0"/>
    <x v="0"/>
    <x v="0"/>
    <x v="0"/>
    <x v="0"/>
    <x v="0"/>
    <x v="0"/>
    <x v="0"/>
    <x v="9"/>
    <x v="0"/>
    <x v="840"/>
    <x v="1"/>
    <x v="0"/>
    <x v="0"/>
    <x v="0"/>
    <x v="1089"/>
    <x v="2"/>
    <x v="21"/>
    <x v="21"/>
    <x v="0"/>
    <x v="0"/>
    <x v="3"/>
    <x v="128"/>
    <x v="0"/>
    <x v="47"/>
    <x v="1081"/>
    <x v="9"/>
    <x v="56"/>
    <x v="1"/>
    <x v="1"/>
    <x v="1"/>
    <x v="1"/>
    <x v="584"/>
    <x v="1"/>
    <x v="47"/>
    <x v="840"/>
    <x v="840"/>
    <x v="1"/>
    <x v="840"/>
    <x v="851"/>
    <x v="851"/>
    <x v="824"/>
    <x v="851"/>
    <x v="851"/>
    <x v="851"/>
    <x v="851"/>
    <x v="851"/>
    <x v="851"/>
    <x v="851"/>
    <x v="851"/>
    <x v="840"/>
    <x v="821"/>
    <x v="821"/>
    <x v="780"/>
    <x v="0"/>
    <x v="0"/>
    <x v="1095"/>
    <x v="840"/>
    <x v="840"/>
    <x v="840"/>
    <x v="840"/>
    <x v="9"/>
  </r>
  <r>
    <x v="1090"/>
    <x v="333"/>
    <x v="0"/>
    <x v="0"/>
    <x v="0"/>
    <x v="0"/>
    <x v="0"/>
    <x v="0"/>
    <x v="0"/>
    <x v="0"/>
    <x v="10"/>
    <x v="0"/>
    <x v="1349"/>
    <x v="1"/>
    <x v="0"/>
    <x v="0"/>
    <x v="0"/>
    <x v="1090"/>
    <x v="2"/>
    <x v="9"/>
    <x v="9"/>
    <x v="0"/>
    <x v="0"/>
    <x v="3"/>
    <x v="64"/>
    <x v="0"/>
    <x v="33"/>
    <x v="1093"/>
    <x v="9"/>
    <x v="57"/>
    <x v="1"/>
    <x v="1"/>
    <x v="1"/>
    <x v="1"/>
    <x v="1227"/>
    <x v="1"/>
    <x v="33"/>
    <x v="1347"/>
    <x v="1347"/>
    <x v="4"/>
    <x v="1347"/>
    <x v="1383"/>
    <x v="1372"/>
    <x v="1374"/>
    <x v="1372"/>
    <x v="1383"/>
    <x v="1383"/>
    <x v="1383"/>
    <x v="1383"/>
    <x v="1383"/>
    <x v="1383"/>
    <x v="1383"/>
    <x v="1347"/>
    <x v="1373"/>
    <x v="1373"/>
    <x v="1266"/>
    <x v="0"/>
    <x v="0"/>
    <x v="1408"/>
    <x v="1347"/>
    <x v="1347"/>
    <x v="1347"/>
    <x v="1347"/>
    <x v="10"/>
  </r>
  <r>
    <x v="1091"/>
    <x v="426"/>
    <x v="0"/>
    <x v="0"/>
    <x v="0"/>
    <x v="0"/>
    <x v="0"/>
    <x v="0"/>
    <x v="0"/>
    <x v="0"/>
    <x v="10"/>
    <x v="0"/>
    <x v="1244"/>
    <x v="1"/>
    <x v="0"/>
    <x v="0"/>
    <x v="0"/>
    <x v="1091"/>
    <x v="2"/>
    <x v="9"/>
    <x v="9"/>
    <x v="0"/>
    <x v="0"/>
    <x v="3"/>
    <x v="61"/>
    <x v="0"/>
    <x v="27"/>
    <x v="1094"/>
    <x v="9"/>
    <x v="57"/>
    <x v="1"/>
    <x v="1"/>
    <x v="1"/>
    <x v="1"/>
    <x v="1040"/>
    <x v="1"/>
    <x v="27"/>
    <x v="1242"/>
    <x v="1242"/>
    <x v="2"/>
    <x v="1242"/>
    <x v="1264"/>
    <x v="1255"/>
    <x v="1255"/>
    <x v="1255"/>
    <x v="1264"/>
    <x v="1264"/>
    <x v="1264"/>
    <x v="1264"/>
    <x v="1264"/>
    <x v="1264"/>
    <x v="1264"/>
    <x v="1242"/>
    <x v="1254"/>
    <x v="1254"/>
    <x v="1167"/>
    <x v="0"/>
    <x v="0"/>
    <x v="1297"/>
    <x v="1242"/>
    <x v="1242"/>
    <x v="1242"/>
    <x v="1242"/>
    <x v="10"/>
  </r>
  <r>
    <x v="1092"/>
    <x v="380"/>
    <x v="0"/>
    <x v="0"/>
    <x v="0"/>
    <x v="0"/>
    <x v="0"/>
    <x v="0"/>
    <x v="0"/>
    <x v="0"/>
    <x v="10"/>
    <x v="0"/>
    <x v="1255"/>
    <x v="1"/>
    <x v="0"/>
    <x v="0"/>
    <x v="0"/>
    <x v="1092"/>
    <x v="2"/>
    <x v="9"/>
    <x v="9"/>
    <x v="0"/>
    <x v="0"/>
    <x v="3"/>
    <x v="64"/>
    <x v="0"/>
    <x v="24"/>
    <x v="1095"/>
    <x v="9"/>
    <x v="57"/>
    <x v="1"/>
    <x v="1"/>
    <x v="1"/>
    <x v="1"/>
    <x v="1050"/>
    <x v="1"/>
    <x v="24"/>
    <x v="1253"/>
    <x v="1253"/>
    <x v="2"/>
    <x v="1253"/>
    <x v="1273"/>
    <x v="1266"/>
    <x v="1266"/>
    <x v="1266"/>
    <x v="1273"/>
    <x v="1273"/>
    <x v="1273"/>
    <x v="1273"/>
    <x v="1273"/>
    <x v="1273"/>
    <x v="1273"/>
    <x v="1253"/>
    <x v="1266"/>
    <x v="1266"/>
    <x v="1177"/>
    <x v="0"/>
    <x v="0"/>
    <x v="1290"/>
    <x v="1253"/>
    <x v="1253"/>
    <x v="1253"/>
    <x v="1253"/>
    <x v="10"/>
  </r>
  <r>
    <x v="1093"/>
    <x v="387"/>
    <x v="0"/>
    <x v="0"/>
    <x v="0"/>
    <x v="0"/>
    <x v="0"/>
    <x v="0"/>
    <x v="0"/>
    <x v="0"/>
    <x v="10"/>
    <x v="0"/>
    <x v="1269"/>
    <x v="1"/>
    <x v="0"/>
    <x v="0"/>
    <x v="0"/>
    <x v="1093"/>
    <x v="2"/>
    <x v="9"/>
    <x v="9"/>
    <x v="0"/>
    <x v="0"/>
    <x v="3"/>
    <x v="63"/>
    <x v="0"/>
    <x v="24"/>
    <x v="1096"/>
    <x v="9"/>
    <x v="57"/>
    <x v="1"/>
    <x v="1"/>
    <x v="1"/>
    <x v="1"/>
    <x v="1065"/>
    <x v="1"/>
    <x v="24"/>
    <x v="1267"/>
    <x v="1267"/>
    <x v="2"/>
    <x v="1267"/>
    <x v="1289"/>
    <x v="1281"/>
    <x v="1283"/>
    <x v="1281"/>
    <x v="1289"/>
    <x v="1289"/>
    <x v="1289"/>
    <x v="1289"/>
    <x v="1289"/>
    <x v="1289"/>
    <x v="1289"/>
    <x v="1267"/>
    <x v="1281"/>
    <x v="1281"/>
    <x v="1191"/>
    <x v="0"/>
    <x v="0"/>
    <x v="1302"/>
    <x v="1267"/>
    <x v="1267"/>
    <x v="1267"/>
    <x v="1267"/>
    <x v="10"/>
  </r>
  <r>
    <x v="1094"/>
    <x v="427"/>
    <x v="0"/>
    <x v="0"/>
    <x v="0"/>
    <x v="0"/>
    <x v="1"/>
    <x v="6"/>
    <x v="0"/>
    <x v="0"/>
    <x v="10"/>
    <x v="0"/>
    <x v="245"/>
    <x v="1"/>
    <x v="0"/>
    <x v="0"/>
    <x v="0"/>
    <x v="1094"/>
    <x v="1"/>
    <x v="9"/>
    <x v="9"/>
    <x v="0"/>
    <x v="0"/>
    <x v="3"/>
    <x v="61"/>
    <x v="0"/>
    <x v="23"/>
    <x v="20"/>
    <x v="4"/>
    <x v="40"/>
    <x v="1"/>
    <x v="7"/>
    <x v="4"/>
    <x v="1"/>
    <x v="1176"/>
    <x v="7"/>
    <x v="23"/>
    <x v="245"/>
    <x v="245"/>
    <x v="0"/>
    <x v="245"/>
    <x v="324"/>
    <x v="302"/>
    <x v="365"/>
    <x v="302"/>
    <x v="324"/>
    <x v="324"/>
    <x v="324"/>
    <x v="324"/>
    <x v="324"/>
    <x v="324"/>
    <x v="324"/>
    <x v="245"/>
    <x v="370"/>
    <x v="370"/>
    <x v="0"/>
    <x v="51"/>
    <x v="0"/>
    <x v="441"/>
    <x v="245"/>
    <x v="245"/>
    <x v="245"/>
    <x v="245"/>
    <x v="10"/>
  </r>
  <r>
    <x v="1095"/>
    <x v="428"/>
    <x v="0"/>
    <x v="0"/>
    <x v="0"/>
    <x v="0"/>
    <x v="0"/>
    <x v="0"/>
    <x v="0"/>
    <x v="0"/>
    <x v="10"/>
    <x v="0"/>
    <x v="60"/>
    <x v="1"/>
    <x v="0"/>
    <x v="0"/>
    <x v="0"/>
    <x v="1095"/>
    <x v="2"/>
    <x v="9"/>
    <x v="9"/>
    <x v="0"/>
    <x v="0"/>
    <x v="3"/>
    <x v="61"/>
    <x v="0"/>
    <x v="27"/>
    <x v="1104"/>
    <x v="9"/>
    <x v="57"/>
    <x v="1"/>
    <x v="1"/>
    <x v="1"/>
    <x v="1"/>
    <x v="28"/>
    <x v="1"/>
    <x v="27"/>
    <x v="61"/>
    <x v="61"/>
    <x v="0"/>
    <x v="61"/>
    <x v="49"/>
    <x v="53"/>
    <x v="41"/>
    <x v="53"/>
    <x v="49"/>
    <x v="49"/>
    <x v="49"/>
    <x v="49"/>
    <x v="49"/>
    <x v="49"/>
    <x v="49"/>
    <x v="61"/>
    <x v="41"/>
    <x v="41"/>
    <x v="49"/>
    <x v="0"/>
    <x v="0"/>
    <x v="59"/>
    <x v="61"/>
    <x v="61"/>
    <x v="61"/>
    <x v="61"/>
    <x v="10"/>
  </r>
  <r>
    <x v="1096"/>
    <x v="430"/>
    <x v="0"/>
    <x v="0"/>
    <x v="0"/>
    <x v="0"/>
    <x v="1"/>
    <x v="6"/>
    <x v="0"/>
    <x v="0"/>
    <x v="10"/>
    <x v="0"/>
    <x v="106"/>
    <x v="1"/>
    <x v="0"/>
    <x v="0"/>
    <x v="0"/>
    <x v="1096"/>
    <x v="1"/>
    <x v="9"/>
    <x v="9"/>
    <x v="0"/>
    <x v="0"/>
    <x v="3"/>
    <x v="61"/>
    <x v="0"/>
    <x v="23"/>
    <x v="875"/>
    <x v="4"/>
    <x v="40"/>
    <x v="1"/>
    <x v="7"/>
    <x v="4"/>
    <x v="1"/>
    <x v="684"/>
    <x v="7"/>
    <x v="23"/>
    <x v="107"/>
    <x v="107"/>
    <x v="0"/>
    <x v="107"/>
    <x v="148"/>
    <x v="138"/>
    <x v="158"/>
    <x v="138"/>
    <x v="148"/>
    <x v="148"/>
    <x v="148"/>
    <x v="148"/>
    <x v="148"/>
    <x v="148"/>
    <x v="148"/>
    <x v="107"/>
    <x v="159"/>
    <x v="159"/>
    <x v="0"/>
    <x v="32"/>
    <x v="0"/>
    <x v="174"/>
    <x v="107"/>
    <x v="107"/>
    <x v="107"/>
    <x v="107"/>
    <x v="10"/>
  </r>
  <r>
    <x v="1097"/>
    <x v="428"/>
    <x v="0"/>
    <x v="0"/>
    <x v="0"/>
    <x v="0"/>
    <x v="0"/>
    <x v="2"/>
    <x v="0"/>
    <x v="0"/>
    <x v="10"/>
    <x v="0"/>
    <x v="323"/>
    <x v="1"/>
    <x v="0"/>
    <x v="0"/>
    <x v="0"/>
    <x v="1097"/>
    <x v="1"/>
    <x v="9"/>
    <x v="9"/>
    <x v="0"/>
    <x v="0"/>
    <x v="3"/>
    <x v="61"/>
    <x v="0"/>
    <x v="27"/>
    <x v="1105"/>
    <x v="1"/>
    <x v="9"/>
    <x v="1"/>
    <x v="3"/>
    <x v="2"/>
    <x v="1"/>
    <x v="664"/>
    <x v="3"/>
    <x v="27"/>
    <x v="323"/>
    <x v="323"/>
    <x v="0"/>
    <x v="323"/>
    <x v="367"/>
    <x v="361"/>
    <x v="371"/>
    <x v="361"/>
    <x v="367"/>
    <x v="367"/>
    <x v="367"/>
    <x v="367"/>
    <x v="367"/>
    <x v="367"/>
    <x v="367"/>
    <x v="323"/>
    <x v="368"/>
    <x v="368"/>
    <x v="291"/>
    <x v="0"/>
    <x v="0"/>
    <x v="484"/>
    <x v="323"/>
    <x v="323"/>
    <x v="323"/>
    <x v="323"/>
    <x v="10"/>
  </r>
  <r>
    <x v="1098"/>
    <x v="398"/>
    <x v="0"/>
    <x v="0"/>
    <x v="0"/>
    <x v="0"/>
    <x v="0"/>
    <x v="0"/>
    <x v="0"/>
    <x v="0"/>
    <x v="10"/>
    <x v="0"/>
    <x v="1297"/>
    <x v="1"/>
    <x v="0"/>
    <x v="0"/>
    <x v="0"/>
    <x v="1098"/>
    <x v="2"/>
    <x v="9"/>
    <x v="9"/>
    <x v="0"/>
    <x v="0"/>
    <x v="3"/>
    <x v="62"/>
    <x v="0"/>
    <x v="24"/>
    <x v="1150"/>
    <x v="9"/>
    <x v="57"/>
    <x v="1"/>
    <x v="1"/>
    <x v="1"/>
    <x v="1"/>
    <x v="1098"/>
    <x v="1"/>
    <x v="24"/>
    <x v="1295"/>
    <x v="1295"/>
    <x v="2"/>
    <x v="1295"/>
    <x v="1316"/>
    <x v="1309"/>
    <x v="1310"/>
    <x v="1309"/>
    <x v="1316"/>
    <x v="1316"/>
    <x v="1316"/>
    <x v="1316"/>
    <x v="1316"/>
    <x v="1316"/>
    <x v="1316"/>
    <x v="1295"/>
    <x v="1309"/>
    <x v="1309"/>
    <x v="1216"/>
    <x v="0"/>
    <x v="0"/>
    <x v="1321"/>
    <x v="1295"/>
    <x v="1295"/>
    <x v="1295"/>
    <x v="1295"/>
    <x v="10"/>
  </r>
  <r>
    <x v="1099"/>
    <x v="401"/>
    <x v="0"/>
    <x v="0"/>
    <x v="0"/>
    <x v="0"/>
    <x v="0"/>
    <x v="0"/>
    <x v="0"/>
    <x v="0"/>
    <x v="10"/>
    <x v="0"/>
    <x v="1304"/>
    <x v="1"/>
    <x v="0"/>
    <x v="0"/>
    <x v="0"/>
    <x v="1099"/>
    <x v="2"/>
    <x v="9"/>
    <x v="9"/>
    <x v="0"/>
    <x v="0"/>
    <x v="3"/>
    <x v="62"/>
    <x v="0"/>
    <x v="25"/>
    <x v="1151"/>
    <x v="9"/>
    <x v="57"/>
    <x v="1"/>
    <x v="1"/>
    <x v="1"/>
    <x v="1"/>
    <x v="1111"/>
    <x v="1"/>
    <x v="25"/>
    <x v="1302"/>
    <x v="1302"/>
    <x v="2"/>
    <x v="1302"/>
    <x v="1325"/>
    <x v="1315"/>
    <x v="1318"/>
    <x v="1315"/>
    <x v="1325"/>
    <x v="1325"/>
    <x v="1325"/>
    <x v="1325"/>
    <x v="1325"/>
    <x v="1325"/>
    <x v="1325"/>
    <x v="1302"/>
    <x v="1317"/>
    <x v="1317"/>
    <x v="1224"/>
    <x v="0"/>
    <x v="0"/>
    <x v="1340"/>
    <x v="1302"/>
    <x v="1302"/>
    <x v="1302"/>
    <x v="1302"/>
    <x v="10"/>
  </r>
  <r>
    <x v="1100"/>
    <x v="440"/>
    <x v="0"/>
    <x v="0"/>
    <x v="0"/>
    <x v="0"/>
    <x v="0"/>
    <x v="2"/>
    <x v="0"/>
    <x v="0"/>
    <x v="10"/>
    <x v="0"/>
    <x v="402"/>
    <x v="1"/>
    <x v="0"/>
    <x v="0"/>
    <x v="0"/>
    <x v="1100"/>
    <x v="1"/>
    <x v="9"/>
    <x v="9"/>
    <x v="0"/>
    <x v="0"/>
    <x v="3"/>
    <x v="64"/>
    <x v="0"/>
    <x v="23"/>
    <x v="1099"/>
    <x v="1"/>
    <x v="9"/>
    <x v="1"/>
    <x v="3"/>
    <x v="2"/>
    <x v="1"/>
    <x v="813"/>
    <x v="3"/>
    <x v="23"/>
    <x v="402"/>
    <x v="402"/>
    <x v="0"/>
    <x v="402"/>
    <x v="473"/>
    <x v="456"/>
    <x v="506"/>
    <x v="456"/>
    <x v="473"/>
    <x v="473"/>
    <x v="473"/>
    <x v="473"/>
    <x v="473"/>
    <x v="473"/>
    <x v="473"/>
    <x v="402"/>
    <x v="502"/>
    <x v="502"/>
    <x v="373"/>
    <x v="0"/>
    <x v="0"/>
    <x v="574"/>
    <x v="402"/>
    <x v="402"/>
    <x v="402"/>
    <x v="402"/>
    <x v="10"/>
  </r>
  <r>
    <x v="1101"/>
    <x v="449"/>
    <x v="0"/>
    <x v="0"/>
    <x v="0"/>
    <x v="0"/>
    <x v="0"/>
    <x v="2"/>
    <x v="0"/>
    <x v="0"/>
    <x v="10"/>
    <x v="0"/>
    <x v="500"/>
    <x v="1"/>
    <x v="0"/>
    <x v="0"/>
    <x v="0"/>
    <x v="1101"/>
    <x v="1"/>
    <x v="9"/>
    <x v="9"/>
    <x v="0"/>
    <x v="0"/>
    <x v="3"/>
    <x v="64"/>
    <x v="0"/>
    <x v="24"/>
    <x v="1100"/>
    <x v="1"/>
    <x v="9"/>
    <x v="1"/>
    <x v="3"/>
    <x v="2"/>
    <x v="1"/>
    <x v="879"/>
    <x v="3"/>
    <x v="24"/>
    <x v="500"/>
    <x v="500"/>
    <x v="0"/>
    <x v="500"/>
    <x v="617"/>
    <x v="596"/>
    <x v="634"/>
    <x v="596"/>
    <x v="617"/>
    <x v="617"/>
    <x v="617"/>
    <x v="617"/>
    <x v="617"/>
    <x v="617"/>
    <x v="617"/>
    <x v="500"/>
    <x v="634"/>
    <x v="634"/>
    <x v="466"/>
    <x v="0"/>
    <x v="0"/>
    <x v="696"/>
    <x v="500"/>
    <x v="500"/>
    <x v="500"/>
    <x v="500"/>
    <x v="10"/>
  </r>
  <r>
    <x v="1102"/>
    <x v="457"/>
    <x v="0"/>
    <x v="0"/>
    <x v="0"/>
    <x v="0"/>
    <x v="0"/>
    <x v="2"/>
    <x v="0"/>
    <x v="0"/>
    <x v="10"/>
    <x v="0"/>
    <x v="899"/>
    <x v="1"/>
    <x v="0"/>
    <x v="0"/>
    <x v="0"/>
    <x v="1102"/>
    <x v="1"/>
    <x v="9"/>
    <x v="9"/>
    <x v="0"/>
    <x v="0"/>
    <x v="3"/>
    <x v="64"/>
    <x v="0"/>
    <x v="24"/>
    <x v="1101"/>
    <x v="1"/>
    <x v="9"/>
    <x v="1"/>
    <x v="3"/>
    <x v="2"/>
    <x v="1"/>
    <x v="1118"/>
    <x v="3"/>
    <x v="24"/>
    <x v="899"/>
    <x v="899"/>
    <x v="1"/>
    <x v="899"/>
    <x v="989"/>
    <x v="965"/>
    <x v="1002"/>
    <x v="965"/>
    <x v="989"/>
    <x v="989"/>
    <x v="989"/>
    <x v="989"/>
    <x v="989"/>
    <x v="989"/>
    <x v="989"/>
    <x v="899"/>
    <x v="998"/>
    <x v="998"/>
    <x v="847"/>
    <x v="0"/>
    <x v="0"/>
    <x v="1032"/>
    <x v="899"/>
    <x v="899"/>
    <x v="899"/>
    <x v="899"/>
    <x v="10"/>
  </r>
  <r>
    <x v="1103"/>
    <x v="470"/>
    <x v="0"/>
    <x v="0"/>
    <x v="0"/>
    <x v="0"/>
    <x v="0"/>
    <x v="2"/>
    <x v="0"/>
    <x v="0"/>
    <x v="10"/>
    <x v="0"/>
    <x v="305"/>
    <x v="1"/>
    <x v="0"/>
    <x v="0"/>
    <x v="0"/>
    <x v="1103"/>
    <x v="1"/>
    <x v="9"/>
    <x v="9"/>
    <x v="0"/>
    <x v="0"/>
    <x v="3"/>
    <x v="119"/>
    <x v="0"/>
    <x v="25"/>
    <x v="1102"/>
    <x v="1"/>
    <x v="9"/>
    <x v="1"/>
    <x v="3"/>
    <x v="2"/>
    <x v="1"/>
    <x v="638"/>
    <x v="3"/>
    <x v="25"/>
    <x v="305"/>
    <x v="305"/>
    <x v="0"/>
    <x v="305"/>
    <x v="343"/>
    <x v="342"/>
    <x v="351"/>
    <x v="342"/>
    <x v="343"/>
    <x v="343"/>
    <x v="343"/>
    <x v="343"/>
    <x v="343"/>
    <x v="343"/>
    <x v="343"/>
    <x v="305"/>
    <x v="349"/>
    <x v="349"/>
    <x v="272"/>
    <x v="0"/>
    <x v="0"/>
    <x v="436"/>
    <x v="305"/>
    <x v="305"/>
    <x v="305"/>
    <x v="305"/>
    <x v="10"/>
  </r>
  <r>
    <x v="1104"/>
    <x v="482"/>
    <x v="0"/>
    <x v="0"/>
    <x v="0"/>
    <x v="0"/>
    <x v="0"/>
    <x v="2"/>
    <x v="0"/>
    <x v="0"/>
    <x v="10"/>
    <x v="0"/>
    <x v="632"/>
    <x v="1"/>
    <x v="0"/>
    <x v="0"/>
    <x v="0"/>
    <x v="1104"/>
    <x v="1"/>
    <x v="9"/>
    <x v="9"/>
    <x v="0"/>
    <x v="0"/>
    <x v="3"/>
    <x v="62"/>
    <x v="0"/>
    <x v="25"/>
    <x v="1103"/>
    <x v="1"/>
    <x v="9"/>
    <x v="1"/>
    <x v="3"/>
    <x v="2"/>
    <x v="1"/>
    <x v="945"/>
    <x v="3"/>
    <x v="25"/>
    <x v="632"/>
    <x v="632"/>
    <x v="0"/>
    <x v="632"/>
    <x v="721"/>
    <x v="710"/>
    <x v="740"/>
    <x v="710"/>
    <x v="721"/>
    <x v="721"/>
    <x v="721"/>
    <x v="721"/>
    <x v="721"/>
    <x v="721"/>
    <x v="721"/>
    <x v="632"/>
    <x v="735"/>
    <x v="735"/>
    <x v="597"/>
    <x v="0"/>
    <x v="0"/>
    <x v="797"/>
    <x v="632"/>
    <x v="632"/>
    <x v="632"/>
    <x v="632"/>
    <x v="10"/>
  </r>
  <r>
    <x v="1105"/>
    <x v="499"/>
    <x v="0"/>
    <x v="0"/>
    <x v="0"/>
    <x v="0"/>
    <x v="1"/>
    <x v="4"/>
    <x v="0"/>
    <x v="0"/>
    <x v="10"/>
    <x v="0"/>
    <x v="219"/>
    <x v="1"/>
    <x v="0"/>
    <x v="0"/>
    <x v="0"/>
    <x v="1105"/>
    <x v="1"/>
    <x v="9"/>
    <x v="9"/>
    <x v="0"/>
    <x v="0"/>
    <x v="3"/>
    <x v="61"/>
    <x v="0"/>
    <x v="26"/>
    <x v="1106"/>
    <x v="2"/>
    <x v="23"/>
    <x v="1"/>
    <x v="5"/>
    <x v="2"/>
    <x v="1"/>
    <x v="800"/>
    <x v="5"/>
    <x v="26"/>
    <x v="220"/>
    <x v="220"/>
    <x v="0"/>
    <x v="220"/>
    <x v="256"/>
    <x v="248"/>
    <x v="275"/>
    <x v="248"/>
    <x v="256"/>
    <x v="256"/>
    <x v="256"/>
    <x v="256"/>
    <x v="256"/>
    <x v="256"/>
    <x v="256"/>
    <x v="220"/>
    <x v="275"/>
    <x v="275"/>
    <x v="200"/>
    <x v="0"/>
    <x v="0"/>
    <x v="329"/>
    <x v="220"/>
    <x v="220"/>
    <x v="220"/>
    <x v="220"/>
    <x v="10"/>
  </r>
  <r>
    <x v="1106"/>
    <x v="502"/>
    <x v="0"/>
    <x v="0"/>
    <x v="0"/>
    <x v="0"/>
    <x v="1"/>
    <x v="4"/>
    <x v="0"/>
    <x v="0"/>
    <x v="10"/>
    <x v="0"/>
    <x v="336"/>
    <x v="1"/>
    <x v="0"/>
    <x v="0"/>
    <x v="0"/>
    <x v="1106"/>
    <x v="1"/>
    <x v="9"/>
    <x v="9"/>
    <x v="0"/>
    <x v="0"/>
    <x v="3"/>
    <x v="61"/>
    <x v="0"/>
    <x v="26"/>
    <x v="1097"/>
    <x v="2"/>
    <x v="23"/>
    <x v="1"/>
    <x v="5"/>
    <x v="2"/>
    <x v="1"/>
    <x v="1037"/>
    <x v="5"/>
    <x v="26"/>
    <x v="336"/>
    <x v="336"/>
    <x v="0"/>
    <x v="336"/>
    <x v="396"/>
    <x v="379"/>
    <x v="429"/>
    <x v="379"/>
    <x v="396"/>
    <x v="396"/>
    <x v="396"/>
    <x v="396"/>
    <x v="396"/>
    <x v="396"/>
    <x v="396"/>
    <x v="336"/>
    <x v="427"/>
    <x v="427"/>
    <x v="314"/>
    <x v="0"/>
    <x v="0"/>
    <x v="548"/>
    <x v="336"/>
    <x v="336"/>
    <x v="336"/>
    <x v="336"/>
    <x v="10"/>
  </r>
  <r>
    <x v="1107"/>
    <x v="425"/>
    <x v="0"/>
    <x v="0"/>
    <x v="0"/>
    <x v="0"/>
    <x v="0"/>
    <x v="0"/>
    <x v="0"/>
    <x v="0"/>
    <x v="10"/>
    <x v="0"/>
    <x v="1128"/>
    <x v="1"/>
    <x v="0"/>
    <x v="0"/>
    <x v="0"/>
    <x v="1107"/>
    <x v="2"/>
    <x v="10"/>
    <x v="10"/>
    <x v="0"/>
    <x v="0"/>
    <x v="3"/>
    <x v="56"/>
    <x v="0"/>
    <x v="22"/>
    <x v="1122"/>
    <x v="9"/>
    <x v="57"/>
    <x v="1"/>
    <x v="1"/>
    <x v="1"/>
    <x v="1"/>
    <x v="895"/>
    <x v="1"/>
    <x v="22"/>
    <x v="1126"/>
    <x v="1126"/>
    <x v="1"/>
    <x v="1126"/>
    <x v="1133"/>
    <x v="1134"/>
    <x v="1121"/>
    <x v="1134"/>
    <x v="1133"/>
    <x v="1133"/>
    <x v="1133"/>
    <x v="1133"/>
    <x v="1133"/>
    <x v="1133"/>
    <x v="1133"/>
    <x v="1126"/>
    <x v="1120"/>
    <x v="1120"/>
    <x v="1056"/>
    <x v="0"/>
    <x v="0"/>
    <x v="1139"/>
    <x v="1126"/>
    <x v="1126"/>
    <x v="1126"/>
    <x v="1126"/>
    <x v="10"/>
  </r>
  <r>
    <x v="1108"/>
    <x v="423"/>
    <x v="0"/>
    <x v="0"/>
    <x v="0"/>
    <x v="0"/>
    <x v="0"/>
    <x v="0"/>
    <x v="0"/>
    <x v="0"/>
    <x v="10"/>
    <x v="0"/>
    <x v="829"/>
    <x v="1"/>
    <x v="0"/>
    <x v="0"/>
    <x v="0"/>
    <x v="1108"/>
    <x v="2"/>
    <x v="10"/>
    <x v="10"/>
    <x v="0"/>
    <x v="0"/>
    <x v="3"/>
    <x v="61"/>
    <x v="0"/>
    <x v="26"/>
    <x v="21"/>
    <x v="9"/>
    <x v="57"/>
    <x v="1"/>
    <x v="1"/>
    <x v="1"/>
    <x v="1"/>
    <x v="572"/>
    <x v="1"/>
    <x v="26"/>
    <x v="829"/>
    <x v="829"/>
    <x v="1"/>
    <x v="829"/>
    <x v="835"/>
    <x v="833"/>
    <x v="806"/>
    <x v="833"/>
    <x v="835"/>
    <x v="835"/>
    <x v="835"/>
    <x v="835"/>
    <x v="835"/>
    <x v="835"/>
    <x v="835"/>
    <x v="829"/>
    <x v="804"/>
    <x v="804"/>
    <x v="768"/>
    <x v="0"/>
    <x v="0"/>
    <x v="876"/>
    <x v="829"/>
    <x v="829"/>
    <x v="829"/>
    <x v="829"/>
    <x v="10"/>
  </r>
  <r>
    <x v="1109"/>
    <x v="423"/>
    <x v="0"/>
    <x v="0"/>
    <x v="0"/>
    <x v="0"/>
    <x v="0"/>
    <x v="0"/>
    <x v="0"/>
    <x v="0"/>
    <x v="10"/>
    <x v="0"/>
    <x v="275"/>
    <x v="1"/>
    <x v="0"/>
    <x v="0"/>
    <x v="0"/>
    <x v="1109"/>
    <x v="2"/>
    <x v="10"/>
    <x v="10"/>
    <x v="0"/>
    <x v="0"/>
    <x v="3"/>
    <x v="61"/>
    <x v="0"/>
    <x v="26"/>
    <x v="1146"/>
    <x v="9"/>
    <x v="57"/>
    <x v="1"/>
    <x v="1"/>
    <x v="1"/>
    <x v="1"/>
    <x v="181"/>
    <x v="1"/>
    <x v="26"/>
    <x v="275"/>
    <x v="275"/>
    <x v="0"/>
    <x v="275"/>
    <x v="281"/>
    <x v="280"/>
    <x v="271"/>
    <x v="280"/>
    <x v="281"/>
    <x v="281"/>
    <x v="281"/>
    <x v="281"/>
    <x v="281"/>
    <x v="281"/>
    <x v="281"/>
    <x v="275"/>
    <x v="270"/>
    <x v="270"/>
    <x v="241"/>
    <x v="0"/>
    <x v="0"/>
    <x v="325"/>
    <x v="275"/>
    <x v="275"/>
    <x v="275"/>
    <x v="275"/>
    <x v="10"/>
  </r>
  <r>
    <x v="1110"/>
    <x v="456"/>
    <x v="0"/>
    <x v="0"/>
    <x v="0"/>
    <x v="0"/>
    <x v="0"/>
    <x v="0"/>
    <x v="0"/>
    <x v="0"/>
    <x v="10"/>
    <x v="0"/>
    <x v="1174"/>
    <x v="1"/>
    <x v="0"/>
    <x v="0"/>
    <x v="0"/>
    <x v="1110"/>
    <x v="2"/>
    <x v="10"/>
    <x v="10"/>
    <x v="0"/>
    <x v="0"/>
    <x v="3"/>
    <x v="61"/>
    <x v="0"/>
    <x v="27"/>
    <x v="22"/>
    <x v="9"/>
    <x v="57"/>
    <x v="1"/>
    <x v="1"/>
    <x v="1"/>
    <x v="1"/>
    <x v="950"/>
    <x v="1"/>
    <x v="27"/>
    <x v="1172"/>
    <x v="1172"/>
    <x v="1"/>
    <x v="1172"/>
    <x v="1186"/>
    <x v="1182"/>
    <x v="1170"/>
    <x v="1182"/>
    <x v="1186"/>
    <x v="1186"/>
    <x v="1186"/>
    <x v="1186"/>
    <x v="1186"/>
    <x v="1186"/>
    <x v="1186"/>
    <x v="1172"/>
    <x v="1169"/>
    <x v="1169"/>
    <x v="1099"/>
    <x v="0"/>
    <x v="0"/>
    <x v="1225"/>
    <x v="1172"/>
    <x v="1172"/>
    <x v="1172"/>
    <x v="1172"/>
    <x v="10"/>
  </r>
  <r>
    <x v="1111"/>
    <x v="441"/>
    <x v="0"/>
    <x v="0"/>
    <x v="0"/>
    <x v="0"/>
    <x v="0"/>
    <x v="0"/>
    <x v="0"/>
    <x v="0"/>
    <x v="10"/>
    <x v="0"/>
    <x v="667"/>
    <x v="1"/>
    <x v="0"/>
    <x v="0"/>
    <x v="0"/>
    <x v="1111"/>
    <x v="2"/>
    <x v="10"/>
    <x v="10"/>
    <x v="0"/>
    <x v="0"/>
    <x v="3"/>
    <x v="56"/>
    <x v="0"/>
    <x v="20"/>
    <x v="1136"/>
    <x v="9"/>
    <x v="57"/>
    <x v="1"/>
    <x v="1"/>
    <x v="1"/>
    <x v="1"/>
    <x v="431"/>
    <x v="1"/>
    <x v="20"/>
    <x v="667"/>
    <x v="667"/>
    <x v="1"/>
    <x v="667"/>
    <x v="600"/>
    <x v="609"/>
    <x v="572"/>
    <x v="609"/>
    <x v="600"/>
    <x v="600"/>
    <x v="600"/>
    <x v="600"/>
    <x v="600"/>
    <x v="600"/>
    <x v="600"/>
    <x v="667"/>
    <x v="572"/>
    <x v="572"/>
    <x v="594"/>
    <x v="0"/>
    <x v="0"/>
    <x v="571"/>
    <x v="667"/>
    <x v="667"/>
    <x v="667"/>
    <x v="667"/>
    <x v="10"/>
  </r>
  <r>
    <x v="1112"/>
    <x v="441"/>
    <x v="0"/>
    <x v="0"/>
    <x v="0"/>
    <x v="0"/>
    <x v="0"/>
    <x v="0"/>
    <x v="0"/>
    <x v="0"/>
    <x v="10"/>
    <x v="0"/>
    <x v="543"/>
    <x v="1"/>
    <x v="0"/>
    <x v="0"/>
    <x v="0"/>
    <x v="1112"/>
    <x v="2"/>
    <x v="10"/>
    <x v="10"/>
    <x v="0"/>
    <x v="0"/>
    <x v="3"/>
    <x v="56"/>
    <x v="0"/>
    <x v="20"/>
    <x v="1137"/>
    <x v="9"/>
    <x v="57"/>
    <x v="1"/>
    <x v="1"/>
    <x v="1"/>
    <x v="1"/>
    <x v="362"/>
    <x v="1"/>
    <x v="20"/>
    <x v="543"/>
    <x v="543"/>
    <x v="0"/>
    <x v="543"/>
    <x v="501"/>
    <x v="514"/>
    <x v="488"/>
    <x v="514"/>
    <x v="501"/>
    <x v="501"/>
    <x v="501"/>
    <x v="501"/>
    <x v="501"/>
    <x v="501"/>
    <x v="501"/>
    <x v="543"/>
    <x v="487"/>
    <x v="487"/>
    <x v="484"/>
    <x v="0"/>
    <x v="0"/>
    <x v="510"/>
    <x v="543"/>
    <x v="543"/>
    <x v="543"/>
    <x v="543"/>
    <x v="10"/>
  </r>
  <r>
    <x v="1113"/>
    <x v="425"/>
    <x v="0"/>
    <x v="0"/>
    <x v="0"/>
    <x v="0"/>
    <x v="0"/>
    <x v="0"/>
    <x v="0"/>
    <x v="0"/>
    <x v="10"/>
    <x v="0"/>
    <x v="955"/>
    <x v="1"/>
    <x v="0"/>
    <x v="0"/>
    <x v="0"/>
    <x v="1113"/>
    <x v="2"/>
    <x v="10"/>
    <x v="10"/>
    <x v="0"/>
    <x v="0"/>
    <x v="3"/>
    <x v="56"/>
    <x v="0"/>
    <x v="22"/>
    <x v="1123"/>
    <x v="9"/>
    <x v="57"/>
    <x v="1"/>
    <x v="1"/>
    <x v="1"/>
    <x v="1"/>
    <x v="708"/>
    <x v="1"/>
    <x v="22"/>
    <x v="955"/>
    <x v="955"/>
    <x v="1"/>
    <x v="955"/>
    <x v="965"/>
    <x v="966"/>
    <x v="952"/>
    <x v="966"/>
    <x v="965"/>
    <x v="965"/>
    <x v="965"/>
    <x v="965"/>
    <x v="965"/>
    <x v="965"/>
    <x v="965"/>
    <x v="955"/>
    <x v="951"/>
    <x v="951"/>
    <x v="890"/>
    <x v="0"/>
    <x v="0"/>
    <x v="968"/>
    <x v="955"/>
    <x v="955"/>
    <x v="955"/>
    <x v="955"/>
    <x v="10"/>
  </r>
  <r>
    <x v="1114"/>
    <x v="451"/>
    <x v="0"/>
    <x v="0"/>
    <x v="0"/>
    <x v="0"/>
    <x v="0"/>
    <x v="0"/>
    <x v="0"/>
    <x v="0"/>
    <x v="10"/>
    <x v="0"/>
    <x v="267"/>
    <x v="1"/>
    <x v="0"/>
    <x v="0"/>
    <x v="0"/>
    <x v="1114"/>
    <x v="2"/>
    <x v="10"/>
    <x v="10"/>
    <x v="0"/>
    <x v="0"/>
    <x v="3"/>
    <x v="55"/>
    <x v="0"/>
    <x v="20"/>
    <x v="1139"/>
    <x v="9"/>
    <x v="57"/>
    <x v="1"/>
    <x v="1"/>
    <x v="1"/>
    <x v="1"/>
    <x v="175"/>
    <x v="1"/>
    <x v="20"/>
    <x v="267"/>
    <x v="267"/>
    <x v="0"/>
    <x v="267"/>
    <x v="273"/>
    <x v="274"/>
    <x v="265"/>
    <x v="274"/>
    <x v="273"/>
    <x v="273"/>
    <x v="273"/>
    <x v="273"/>
    <x v="273"/>
    <x v="273"/>
    <x v="273"/>
    <x v="267"/>
    <x v="265"/>
    <x v="265"/>
    <x v="234"/>
    <x v="0"/>
    <x v="0"/>
    <x v="268"/>
    <x v="267"/>
    <x v="267"/>
    <x v="267"/>
    <x v="267"/>
    <x v="10"/>
  </r>
  <r>
    <x v="1115"/>
    <x v="415"/>
    <x v="0"/>
    <x v="0"/>
    <x v="0"/>
    <x v="0"/>
    <x v="0"/>
    <x v="0"/>
    <x v="0"/>
    <x v="0"/>
    <x v="10"/>
    <x v="0"/>
    <x v="1338"/>
    <x v="1"/>
    <x v="0"/>
    <x v="0"/>
    <x v="0"/>
    <x v="1115"/>
    <x v="2"/>
    <x v="10"/>
    <x v="10"/>
    <x v="0"/>
    <x v="0"/>
    <x v="3"/>
    <x v="56"/>
    <x v="0"/>
    <x v="23"/>
    <x v="1108"/>
    <x v="9"/>
    <x v="57"/>
    <x v="1"/>
    <x v="1"/>
    <x v="1"/>
    <x v="1"/>
    <x v="1178"/>
    <x v="1"/>
    <x v="23"/>
    <x v="1336"/>
    <x v="1336"/>
    <x v="3"/>
    <x v="1336"/>
    <x v="1365"/>
    <x v="1357"/>
    <x v="1356"/>
    <x v="1357"/>
    <x v="1365"/>
    <x v="1365"/>
    <x v="1365"/>
    <x v="1365"/>
    <x v="1365"/>
    <x v="1365"/>
    <x v="1365"/>
    <x v="1336"/>
    <x v="1355"/>
    <x v="1355"/>
    <x v="1256"/>
    <x v="0"/>
    <x v="0"/>
    <x v="1372"/>
    <x v="1336"/>
    <x v="1336"/>
    <x v="1336"/>
    <x v="1336"/>
    <x v="10"/>
  </r>
  <r>
    <x v="1116"/>
    <x v="466"/>
    <x v="0"/>
    <x v="0"/>
    <x v="0"/>
    <x v="0"/>
    <x v="0"/>
    <x v="0"/>
    <x v="0"/>
    <x v="0"/>
    <x v="10"/>
    <x v="0"/>
    <x v="987"/>
    <x v="1"/>
    <x v="0"/>
    <x v="0"/>
    <x v="0"/>
    <x v="1116"/>
    <x v="2"/>
    <x v="10"/>
    <x v="10"/>
    <x v="0"/>
    <x v="0"/>
    <x v="3"/>
    <x v="55"/>
    <x v="0"/>
    <x v="28"/>
    <x v="1149"/>
    <x v="9"/>
    <x v="57"/>
    <x v="1"/>
    <x v="1"/>
    <x v="1"/>
    <x v="1"/>
    <x v="749"/>
    <x v="1"/>
    <x v="28"/>
    <x v="987"/>
    <x v="987"/>
    <x v="1"/>
    <x v="987"/>
    <x v="1004"/>
    <x v="997"/>
    <x v="984"/>
    <x v="997"/>
    <x v="1004"/>
    <x v="1004"/>
    <x v="1004"/>
    <x v="1004"/>
    <x v="1004"/>
    <x v="1004"/>
    <x v="1004"/>
    <x v="987"/>
    <x v="984"/>
    <x v="984"/>
    <x v="919"/>
    <x v="0"/>
    <x v="0"/>
    <x v="1063"/>
    <x v="987"/>
    <x v="987"/>
    <x v="987"/>
    <x v="987"/>
    <x v="10"/>
  </r>
  <r>
    <x v="1117"/>
    <x v="454"/>
    <x v="0"/>
    <x v="0"/>
    <x v="0"/>
    <x v="0"/>
    <x v="0"/>
    <x v="0"/>
    <x v="0"/>
    <x v="0"/>
    <x v="10"/>
    <x v="0"/>
    <x v="596"/>
    <x v="1"/>
    <x v="0"/>
    <x v="0"/>
    <x v="0"/>
    <x v="1117"/>
    <x v="2"/>
    <x v="10"/>
    <x v="10"/>
    <x v="0"/>
    <x v="0"/>
    <x v="3"/>
    <x v="55"/>
    <x v="0"/>
    <x v="19"/>
    <x v="1141"/>
    <x v="9"/>
    <x v="57"/>
    <x v="1"/>
    <x v="1"/>
    <x v="1"/>
    <x v="1"/>
    <x v="391"/>
    <x v="1"/>
    <x v="19"/>
    <x v="596"/>
    <x v="596"/>
    <x v="0"/>
    <x v="596"/>
    <x v="540"/>
    <x v="553"/>
    <x v="525"/>
    <x v="553"/>
    <x v="540"/>
    <x v="540"/>
    <x v="540"/>
    <x v="540"/>
    <x v="540"/>
    <x v="540"/>
    <x v="540"/>
    <x v="596"/>
    <x v="526"/>
    <x v="526"/>
    <x v="530"/>
    <x v="0"/>
    <x v="0"/>
    <x v="526"/>
    <x v="596"/>
    <x v="596"/>
    <x v="596"/>
    <x v="596"/>
    <x v="10"/>
  </r>
  <r>
    <x v="1118"/>
    <x v="451"/>
    <x v="0"/>
    <x v="0"/>
    <x v="0"/>
    <x v="0"/>
    <x v="0"/>
    <x v="0"/>
    <x v="0"/>
    <x v="0"/>
    <x v="10"/>
    <x v="0"/>
    <x v="968"/>
    <x v="1"/>
    <x v="0"/>
    <x v="0"/>
    <x v="0"/>
    <x v="1118"/>
    <x v="2"/>
    <x v="10"/>
    <x v="10"/>
    <x v="0"/>
    <x v="0"/>
    <x v="3"/>
    <x v="55"/>
    <x v="0"/>
    <x v="20"/>
    <x v="1138"/>
    <x v="9"/>
    <x v="57"/>
    <x v="1"/>
    <x v="1"/>
    <x v="1"/>
    <x v="1"/>
    <x v="726"/>
    <x v="1"/>
    <x v="20"/>
    <x v="968"/>
    <x v="968"/>
    <x v="1"/>
    <x v="968"/>
    <x v="982"/>
    <x v="982"/>
    <x v="966"/>
    <x v="982"/>
    <x v="982"/>
    <x v="982"/>
    <x v="982"/>
    <x v="982"/>
    <x v="982"/>
    <x v="982"/>
    <x v="982"/>
    <x v="968"/>
    <x v="964"/>
    <x v="964"/>
    <x v="903"/>
    <x v="0"/>
    <x v="0"/>
    <x v="955"/>
    <x v="968"/>
    <x v="968"/>
    <x v="968"/>
    <x v="968"/>
    <x v="10"/>
  </r>
  <r>
    <x v="1119"/>
    <x v="437"/>
    <x v="0"/>
    <x v="0"/>
    <x v="0"/>
    <x v="0"/>
    <x v="0"/>
    <x v="0"/>
    <x v="0"/>
    <x v="0"/>
    <x v="10"/>
    <x v="0"/>
    <x v="1211"/>
    <x v="1"/>
    <x v="0"/>
    <x v="0"/>
    <x v="0"/>
    <x v="1119"/>
    <x v="2"/>
    <x v="10"/>
    <x v="10"/>
    <x v="0"/>
    <x v="0"/>
    <x v="3"/>
    <x v="61"/>
    <x v="0"/>
    <x v="28"/>
    <x v="1147"/>
    <x v="9"/>
    <x v="57"/>
    <x v="1"/>
    <x v="1"/>
    <x v="1"/>
    <x v="1"/>
    <x v="1001"/>
    <x v="1"/>
    <x v="28"/>
    <x v="1209"/>
    <x v="1209"/>
    <x v="2"/>
    <x v="1209"/>
    <x v="1232"/>
    <x v="1224"/>
    <x v="1219"/>
    <x v="1224"/>
    <x v="1232"/>
    <x v="1232"/>
    <x v="1232"/>
    <x v="1232"/>
    <x v="1232"/>
    <x v="1232"/>
    <x v="1232"/>
    <x v="1209"/>
    <x v="1216"/>
    <x v="1216"/>
    <x v="1137"/>
    <x v="0"/>
    <x v="0"/>
    <x v="1279"/>
    <x v="1209"/>
    <x v="1209"/>
    <x v="1209"/>
    <x v="1209"/>
    <x v="10"/>
  </r>
  <r>
    <x v="1120"/>
    <x v="460"/>
    <x v="0"/>
    <x v="0"/>
    <x v="0"/>
    <x v="0"/>
    <x v="0"/>
    <x v="0"/>
    <x v="0"/>
    <x v="0"/>
    <x v="10"/>
    <x v="0"/>
    <x v="643"/>
    <x v="1"/>
    <x v="0"/>
    <x v="0"/>
    <x v="0"/>
    <x v="1120"/>
    <x v="2"/>
    <x v="10"/>
    <x v="10"/>
    <x v="0"/>
    <x v="0"/>
    <x v="3"/>
    <x v="56"/>
    <x v="0"/>
    <x v="28"/>
    <x v="1109"/>
    <x v="9"/>
    <x v="57"/>
    <x v="1"/>
    <x v="1"/>
    <x v="1"/>
    <x v="1"/>
    <x v="420"/>
    <x v="1"/>
    <x v="28"/>
    <x v="643"/>
    <x v="643"/>
    <x v="0"/>
    <x v="643"/>
    <x v="584"/>
    <x v="589"/>
    <x v="558"/>
    <x v="589"/>
    <x v="584"/>
    <x v="584"/>
    <x v="584"/>
    <x v="584"/>
    <x v="584"/>
    <x v="584"/>
    <x v="584"/>
    <x v="643"/>
    <x v="559"/>
    <x v="559"/>
    <x v="574"/>
    <x v="0"/>
    <x v="0"/>
    <x v="698"/>
    <x v="643"/>
    <x v="643"/>
    <x v="643"/>
    <x v="643"/>
    <x v="10"/>
  </r>
  <r>
    <x v="1121"/>
    <x v="461"/>
    <x v="0"/>
    <x v="0"/>
    <x v="0"/>
    <x v="0"/>
    <x v="0"/>
    <x v="0"/>
    <x v="0"/>
    <x v="0"/>
    <x v="10"/>
    <x v="0"/>
    <x v="620"/>
    <x v="1"/>
    <x v="0"/>
    <x v="0"/>
    <x v="0"/>
    <x v="1121"/>
    <x v="2"/>
    <x v="10"/>
    <x v="10"/>
    <x v="0"/>
    <x v="0"/>
    <x v="3"/>
    <x v="55"/>
    <x v="0"/>
    <x v="20"/>
    <x v="1115"/>
    <x v="9"/>
    <x v="57"/>
    <x v="1"/>
    <x v="1"/>
    <x v="1"/>
    <x v="1"/>
    <x v="405"/>
    <x v="1"/>
    <x v="20"/>
    <x v="620"/>
    <x v="620"/>
    <x v="0"/>
    <x v="620"/>
    <x v="564"/>
    <x v="574"/>
    <x v="542"/>
    <x v="574"/>
    <x v="564"/>
    <x v="564"/>
    <x v="564"/>
    <x v="564"/>
    <x v="564"/>
    <x v="564"/>
    <x v="564"/>
    <x v="620"/>
    <x v="543"/>
    <x v="543"/>
    <x v="555"/>
    <x v="0"/>
    <x v="0"/>
    <x v="551"/>
    <x v="620"/>
    <x v="620"/>
    <x v="620"/>
    <x v="620"/>
    <x v="10"/>
  </r>
  <r>
    <x v="1122"/>
    <x v="454"/>
    <x v="0"/>
    <x v="0"/>
    <x v="0"/>
    <x v="0"/>
    <x v="0"/>
    <x v="0"/>
    <x v="0"/>
    <x v="0"/>
    <x v="10"/>
    <x v="0"/>
    <x v="1057"/>
    <x v="1"/>
    <x v="0"/>
    <x v="0"/>
    <x v="0"/>
    <x v="1122"/>
    <x v="2"/>
    <x v="10"/>
    <x v="10"/>
    <x v="0"/>
    <x v="0"/>
    <x v="3"/>
    <x v="55"/>
    <x v="0"/>
    <x v="19"/>
    <x v="1142"/>
    <x v="9"/>
    <x v="57"/>
    <x v="1"/>
    <x v="1"/>
    <x v="1"/>
    <x v="1"/>
    <x v="823"/>
    <x v="1"/>
    <x v="19"/>
    <x v="1055"/>
    <x v="1055"/>
    <x v="1"/>
    <x v="1055"/>
    <x v="1063"/>
    <x v="1057"/>
    <x v="1053"/>
    <x v="1057"/>
    <x v="1063"/>
    <x v="1063"/>
    <x v="1063"/>
    <x v="1063"/>
    <x v="1063"/>
    <x v="1063"/>
    <x v="1063"/>
    <x v="1055"/>
    <x v="1049"/>
    <x v="1049"/>
    <x v="981"/>
    <x v="0"/>
    <x v="0"/>
    <x v="1014"/>
    <x v="1055"/>
    <x v="1055"/>
    <x v="1055"/>
    <x v="1055"/>
    <x v="10"/>
  </r>
  <r>
    <x v="1123"/>
    <x v="467"/>
    <x v="0"/>
    <x v="0"/>
    <x v="0"/>
    <x v="0"/>
    <x v="0"/>
    <x v="0"/>
    <x v="0"/>
    <x v="0"/>
    <x v="10"/>
    <x v="0"/>
    <x v="615"/>
    <x v="1"/>
    <x v="0"/>
    <x v="0"/>
    <x v="0"/>
    <x v="1123"/>
    <x v="2"/>
    <x v="10"/>
    <x v="10"/>
    <x v="0"/>
    <x v="0"/>
    <x v="3"/>
    <x v="55"/>
    <x v="0"/>
    <x v="19"/>
    <x v="1119"/>
    <x v="9"/>
    <x v="57"/>
    <x v="1"/>
    <x v="1"/>
    <x v="1"/>
    <x v="1"/>
    <x v="402"/>
    <x v="1"/>
    <x v="19"/>
    <x v="615"/>
    <x v="615"/>
    <x v="0"/>
    <x v="615"/>
    <x v="561"/>
    <x v="571"/>
    <x v="538"/>
    <x v="571"/>
    <x v="561"/>
    <x v="561"/>
    <x v="561"/>
    <x v="561"/>
    <x v="561"/>
    <x v="561"/>
    <x v="561"/>
    <x v="615"/>
    <x v="539"/>
    <x v="539"/>
    <x v="550"/>
    <x v="0"/>
    <x v="0"/>
    <x v="533"/>
    <x v="615"/>
    <x v="615"/>
    <x v="615"/>
    <x v="615"/>
    <x v="10"/>
  </r>
  <r>
    <x v="1124"/>
    <x v="486"/>
    <x v="0"/>
    <x v="0"/>
    <x v="0"/>
    <x v="0"/>
    <x v="0"/>
    <x v="0"/>
    <x v="0"/>
    <x v="0"/>
    <x v="10"/>
    <x v="0"/>
    <x v="586"/>
    <x v="1"/>
    <x v="0"/>
    <x v="0"/>
    <x v="0"/>
    <x v="1124"/>
    <x v="2"/>
    <x v="10"/>
    <x v="10"/>
    <x v="0"/>
    <x v="0"/>
    <x v="3"/>
    <x v="53"/>
    <x v="0"/>
    <x v="19"/>
    <x v="1143"/>
    <x v="9"/>
    <x v="57"/>
    <x v="1"/>
    <x v="1"/>
    <x v="1"/>
    <x v="1"/>
    <x v="385"/>
    <x v="1"/>
    <x v="19"/>
    <x v="586"/>
    <x v="586"/>
    <x v="0"/>
    <x v="586"/>
    <x v="533"/>
    <x v="543"/>
    <x v="516"/>
    <x v="543"/>
    <x v="533"/>
    <x v="533"/>
    <x v="533"/>
    <x v="533"/>
    <x v="533"/>
    <x v="533"/>
    <x v="533"/>
    <x v="586"/>
    <x v="517"/>
    <x v="517"/>
    <x v="521"/>
    <x v="0"/>
    <x v="0"/>
    <x v="517"/>
    <x v="586"/>
    <x v="586"/>
    <x v="586"/>
    <x v="586"/>
    <x v="10"/>
  </r>
  <r>
    <x v="1125"/>
    <x v="461"/>
    <x v="0"/>
    <x v="0"/>
    <x v="0"/>
    <x v="0"/>
    <x v="0"/>
    <x v="0"/>
    <x v="0"/>
    <x v="0"/>
    <x v="10"/>
    <x v="0"/>
    <x v="938"/>
    <x v="1"/>
    <x v="0"/>
    <x v="0"/>
    <x v="0"/>
    <x v="1125"/>
    <x v="2"/>
    <x v="10"/>
    <x v="10"/>
    <x v="0"/>
    <x v="0"/>
    <x v="3"/>
    <x v="55"/>
    <x v="0"/>
    <x v="20"/>
    <x v="1116"/>
    <x v="9"/>
    <x v="57"/>
    <x v="1"/>
    <x v="1"/>
    <x v="1"/>
    <x v="1"/>
    <x v="689"/>
    <x v="1"/>
    <x v="20"/>
    <x v="938"/>
    <x v="938"/>
    <x v="1"/>
    <x v="938"/>
    <x v="946"/>
    <x v="947"/>
    <x v="936"/>
    <x v="947"/>
    <x v="946"/>
    <x v="946"/>
    <x v="946"/>
    <x v="946"/>
    <x v="946"/>
    <x v="946"/>
    <x v="946"/>
    <x v="938"/>
    <x v="935"/>
    <x v="935"/>
    <x v="876"/>
    <x v="0"/>
    <x v="0"/>
    <x v="918"/>
    <x v="938"/>
    <x v="938"/>
    <x v="938"/>
    <x v="938"/>
    <x v="10"/>
  </r>
  <r>
    <x v="1126"/>
    <x v="488"/>
    <x v="0"/>
    <x v="0"/>
    <x v="0"/>
    <x v="0"/>
    <x v="0"/>
    <x v="0"/>
    <x v="0"/>
    <x v="0"/>
    <x v="10"/>
    <x v="0"/>
    <x v="265"/>
    <x v="1"/>
    <x v="0"/>
    <x v="0"/>
    <x v="0"/>
    <x v="1126"/>
    <x v="2"/>
    <x v="10"/>
    <x v="10"/>
    <x v="0"/>
    <x v="0"/>
    <x v="3"/>
    <x v="56"/>
    <x v="0"/>
    <x v="18"/>
    <x v="1132"/>
    <x v="9"/>
    <x v="57"/>
    <x v="1"/>
    <x v="1"/>
    <x v="1"/>
    <x v="1"/>
    <x v="173"/>
    <x v="1"/>
    <x v="18"/>
    <x v="265"/>
    <x v="265"/>
    <x v="0"/>
    <x v="265"/>
    <x v="271"/>
    <x v="272"/>
    <x v="263"/>
    <x v="272"/>
    <x v="271"/>
    <x v="271"/>
    <x v="271"/>
    <x v="271"/>
    <x v="271"/>
    <x v="271"/>
    <x v="271"/>
    <x v="265"/>
    <x v="263"/>
    <x v="263"/>
    <x v="231"/>
    <x v="0"/>
    <x v="0"/>
    <x v="252"/>
    <x v="265"/>
    <x v="265"/>
    <x v="265"/>
    <x v="265"/>
    <x v="10"/>
  </r>
  <r>
    <x v="1127"/>
    <x v="479"/>
    <x v="0"/>
    <x v="0"/>
    <x v="0"/>
    <x v="0"/>
    <x v="0"/>
    <x v="0"/>
    <x v="0"/>
    <x v="0"/>
    <x v="10"/>
    <x v="0"/>
    <x v="102"/>
    <x v="1"/>
    <x v="0"/>
    <x v="0"/>
    <x v="0"/>
    <x v="1127"/>
    <x v="2"/>
    <x v="10"/>
    <x v="10"/>
    <x v="0"/>
    <x v="0"/>
    <x v="3"/>
    <x v="55"/>
    <x v="0"/>
    <x v="19"/>
    <x v="1135"/>
    <x v="9"/>
    <x v="57"/>
    <x v="1"/>
    <x v="1"/>
    <x v="1"/>
    <x v="1"/>
    <x v="48"/>
    <x v="1"/>
    <x v="19"/>
    <x v="103"/>
    <x v="103"/>
    <x v="0"/>
    <x v="103"/>
    <x v="98"/>
    <x v="102"/>
    <x v="88"/>
    <x v="102"/>
    <x v="98"/>
    <x v="98"/>
    <x v="98"/>
    <x v="98"/>
    <x v="98"/>
    <x v="98"/>
    <x v="98"/>
    <x v="103"/>
    <x v="88"/>
    <x v="88"/>
    <x v="86"/>
    <x v="0"/>
    <x v="0"/>
    <x v="90"/>
    <x v="103"/>
    <x v="103"/>
    <x v="103"/>
    <x v="103"/>
    <x v="10"/>
  </r>
  <r>
    <x v="1128"/>
    <x v="481"/>
    <x v="0"/>
    <x v="0"/>
    <x v="0"/>
    <x v="0"/>
    <x v="0"/>
    <x v="0"/>
    <x v="0"/>
    <x v="0"/>
    <x v="10"/>
    <x v="0"/>
    <x v="597"/>
    <x v="1"/>
    <x v="0"/>
    <x v="0"/>
    <x v="0"/>
    <x v="1128"/>
    <x v="2"/>
    <x v="10"/>
    <x v="10"/>
    <x v="0"/>
    <x v="0"/>
    <x v="3"/>
    <x v="55"/>
    <x v="0"/>
    <x v="18"/>
    <x v="1125"/>
    <x v="9"/>
    <x v="57"/>
    <x v="1"/>
    <x v="1"/>
    <x v="1"/>
    <x v="1"/>
    <x v="392"/>
    <x v="1"/>
    <x v="18"/>
    <x v="597"/>
    <x v="597"/>
    <x v="0"/>
    <x v="597"/>
    <x v="542"/>
    <x v="554"/>
    <x v="526"/>
    <x v="554"/>
    <x v="542"/>
    <x v="542"/>
    <x v="542"/>
    <x v="542"/>
    <x v="542"/>
    <x v="542"/>
    <x v="542"/>
    <x v="597"/>
    <x v="527"/>
    <x v="527"/>
    <x v="531"/>
    <x v="0"/>
    <x v="0"/>
    <x v="499"/>
    <x v="597"/>
    <x v="597"/>
    <x v="597"/>
    <x v="597"/>
    <x v="10"/>
  </r>
  <r>
    <x v="1129"/>
    <x v="460"/>
    <x v="0"/>
    <x v="0"/>
    <x v="0"/>
    <x v="0"/>
    <x v="0"/>
    <x v="0"/>
    <x v="0"/>
    <x v="0"/>
    <x v="10"/>
    <x v="0"/>
    <x v="1158"/>
    <x v="1"/>
    <x v="0"/>
    <x v="0"/>
    <x v="0"/>
    <x v="1129"/>
    <x v="2"/>
    <x v="10"/>
    <x v="10"/>
    <x v="0"/>
    <x v="0"/>
    <x v="3"/>
    <x v="56"/>
    <x v="0"/>
    <x v="28"/>
    <x v="1110"/>
    <x v="9"/>
    <x v="57"/>
    <x v="1"/>
    <x v="1"/>
    <x v="1"/>
    <x v="1"/>
    <x v="932"/>
    <x v="1"/>
    <x v="28"/>
    <x v="1156"/>
    <x v="1156"/>
    <x v="1"/>
    <x v="1156"/>
    <x v="1169"/>
    <x v="1166"/>
    <x v="1152"/>
    <x v="1166"/>
    <x v="1169"/>
    <x v="1169"/>
    <x v="1169"/>
    <x v="1169"/>
    <x v="1169"/>
    <x v="1169"/>
    <x v="1169"/>
    <x v="1156"/>
    <x v="1150"/>
    <x v="1150"/>
    <x v="1085"/>
    <x v="0"/>
    <x v="0"/>
    <x v="1220"/>
    <x v="1156"/>
    <x v="1156"/>
    <x v="1156"/>
    <x v="1156"/>
    <x v="10"/>
  </r>
  <r>
    <x v="1130"/>
    <x v="502"/>
    <x v="0"/>
    <x v="0"/>
    <x v="0"/>
    <x v="0"/>
    <x v="0"/>
    <x v="0"/>
    <x v="0"/>
    <x v="0"/>
    <x v="10"/>
    <x v="0"/>
    <x v="899"/>
    <x v="1"/>
    <x v="0"/>
    <x v="0"/>
    <x v="0"/>
    <x v="1130"/>
    <x v="2"/>
    <x v="10"/>
    <x v="10"/>
    <x v="0"/>
    <x v="0"/>
    <x v="3"/>
    <x v="61"/>
    <x v="0"/>
    <x v="26"/>
    <x v="1098"/>
    <x v="9"/>
    <x v="57"/>
    <x v="1"/>
    <x v="1"/>
    <x v="1"/>
    <x v="1"/>
    <x v="644"/>
    <x v="1"/>
    <x v="26"/>
    <x v="899"/>
    <x v="899"/>
    <x v="1"/>
    <x v="899"/>
    <x v="908"/>
    <x v="903"/>
    <x v="895"/>
    <x v="903"/>
    <x v="908"/>
    <x v="908"/>
    <x v="908"/>
    <x v="908"/>
    <x v="908"/>
    <x v="908"/>
    <x v="908"/>
    <x v="899"/>
    <x v="893"/>
    <x v="893"/>
    <x v="832"/>
    <x v="0"/>
    <x v="0"/>
    <x v="958"/>
    <x v="899"/>
    <x v="899"/>
    <x v="899"/>
    <x v="899"/>
    <x v="10"/>
  </r>
  <r>
    <x v="1131"/>
    <x v="508"/>
    <x v="0"/>
    <x v="0"/>
    <x v="0"/>
    <x v="0"/>
    <x v="0"/>
    <x v="0"/>
    <x v="0"/>
    <x v="0"/>
    <x v="10"/>
    <x v="0"/>
    <x v="940"/>
    <x v="1"/>
    <x v="0"/>
    <x v="0"/>
    <x v="0"/>
    <x v="1131"/>
    <x v="2"/>
    <x v="10"/>
    <x v="10"/>
    <x v="0"/>
    <x v="0"/>
    <x v="3"/>
    <x v="53"/>
    <x v="0"/>
    <x v="18"/>
    <x v="1114"/>
    <x v="9"/>
    <x v="57"/>
    <x v="1"/>
    <x v="1"/>
    <x v="1"/>
    <x v="1"/>
    <x v="694"/>
    <x v="1"/>
    <x v="18"/>
    <x v="940"/>
    <x v="940"/>
    <x v="1"/>
    <x v="940"/>
    <x v="950"/>
    <x v="950"/>
    <x v="939"/>
    <x v="950"/>
    <x v="950"/>
    <x v="950"/>
    <x v="950"/>
    <x v="950"/>
    <x v="950"/>
    <x v="950"/>
    <x v="950"/>
    <x v="940"/>
    <x v="938"/>
    <x v="938"/>
    <x v="878"/>
    <x v="0"/>
    <x v="0"/>
    <x v="887"/>
    <x v="940"/>
    <x v="940"/>
    <x v="940"/>
    <x v="940"/>
    <x v="10"/>
  </r>
  <r>
    <x v="1132"/>
    <x v="509"/>
    <x v="0"/>
    <x v="0"/>
    <x v="0"/>
    <x v="0"/>
    <x v="0"/>
    <x v="0"/>
    <x v="0"/>
    <x v="0"/>
    <x v="10"/>
    <x v="0"/>
    <x v="746"/>
    <x v="1"/>
    <x v="0"/>
    <x v="0"/>
    <x v="0"/>
    <x v="1132"/>
    <x v="2"/>
    <x v="10"/>
    <x v="10"/>
    <x v="0"/>
    <x v="0"/>
    <x v="3"/>
    <x v="55"/>
    <x v="0"/>
    <x v="18"/>
    <x v="1131"/>
    <x v="9"/>
    <x v="57"/>
    <x v="1"/>
    <x v="1"/>
    <x v="1"/>
    <x v="1"/>
    <x v="495"/>
    <x v="1"/>
    <x v="18"/>
    <x v="746"/>
    <x v="746"/>
    <x v="1"/>
    <x v="746"/>
    <x v="722"/>
    <x v="741"/>
    <x v="685"/>
    <x v="741"/>
    <x v="722"/>
    <x v="722"/>
    <x v="722"/>
    <x v="722"/>
    <x v="722"/>
    <x v="722"/>
    <x v="722"/>
    <x v="746"/>
    <x v="687"/>
    <x v="687"/>
    <x v="684"/>
    <x v="0"/>
    <x v="0"/>
    <x v="619"/>
    <x v="746"/>
    <x v="746"/>
    <x v="746"/>
    <x v="746"/>
    <x v="10"/>
  </r>
  <r>
    <x v="1133"/>
    <x v="465"/>
    <x v="0"/>
    <x v="0"/>
    <x v="0"/>
    <x v="0"/>
    <x v="0"/>
    <x v="0"/>
    <x v="0"/>
    <x v="0"/>
    <x v="10"/>
    <x v="0"/>
    <x v="1113"/>
    <x v="1"/>
    <x v="0"/>
    <x v="0"/>
    <x v="0"/>
    <x v="1133"/>
    <x v="2"/>
    <x v="10"/>
    <x v="10"/>
    <x v="0"/>
    <x v="0"/>
    <x v="3"/>
    <x v="53"/>
    <x v="0"/>
    <x v="28"/>
    <x v="1148"/>
    <x v="9"/>
    <x v="57"/>
    <x v="1"/>
    <x v="1"/>
    <x v="1"/>
    <x v="1"/>
    <x v="880"/>
    <x v="1"/>
    <x v="28"/>
    <x v="1111"/>
    <x v="1111"/>
    <x v="1"/>
    <x v="1111"/>
    <x v="1120"/>
    <x v="1118"/>
    <x v="1104"/>
    <x v="1118"/>
    <x v="1120"/>
    <x v="1120"/>
    <x v="1120"/>
    <x v="1120"/>
    <x v="1120"/>
    <x v="1120"/>
    <x v="1120"/>
    <x v="1111"/>
    <x v="1103"/>
    <x v="1103"/>
    <x v="1041"/>
    <x v="0"/>
    <x v="0"/>
    <x v="1181"/>
    <x v="1111"/>
    <x v="1111"/>
    <x v="1111"/>
    <x v="1111"/>
    <x v="10"/>
  </r>
  <r>
    <x v="1134"/>
    <x v="481"/>
    <x v="0"/>
    <x v="0"/>
    <x v="0"/>
    <x v="0"/>
    <x v="0"/>
    <x v="0"/>
    <x v="0"/>
    <x v="0"/>
    <x v="10"/>
    <x v="0"/>
    <x v="922"/>
    <x v="1"/>
    <x v="0"/>
    <x v="0"/>
    <x v="0"/>
    <x v="1134"/>
    <x v="2"/>
    <x v="10"/>
    <x v="10"/>
    <x v="0"/>
    <x v="0"/>
    <x v="3"/>
    <x v="55"/>
    <x v="0"/>
    <x v="18"/>
    <x v="1124"/>
    <x v="9"/>
    <x v="57"/>
    <x v="1"/>
    <x v="1"/>
    <x v="1"/>
    <x v="1"/>
    <x v="672"/>
    <x v="1"/>
    <x v="18"/>
    <x v="922"/>
    <x v="922"/>
    <x v="1"/>
    <x v="922"/>
    <x v="928"/>
    <x v="927"/>
    <x v="922"/>
    <x v="927"/>
    <x v="928"/>
    <x v="928"/>
    <x v="928"/>
    <x v="928"/>
    <x v="928"/>
    <x v="928"/>
    <x v="928"/>
    <x v="922"/>
    <x v="921"/>
    <x v="921"/>
    <x v="859"/>
    <x v="0"/>
    <x v="0"/>
    <x v="860"/>
    <x v="922"/>
    <x v="922"/>
    <x v="922"/>
    <x v="922"/>
    <x v="10"/>
  </r>
  <r>
    <x v="1135"/>
    <x v="498"/>
    <x v="0"/>
    <x v="0"/>
    <x v="0"/>
    <x v="0"/>
    <x v="0"/>
    <x v="0"/>
    <x v="0"/>
    <x v="0"/>
    <x v="10"/>
    <x v="0"/>
    <x v="341"/>
    <x v="1"/>
    <x v="0"/>
    <x v="0"/>
    <x v="0"/>
    <x v="1135"/>
    <x v="2"/>
    <x v="10"/>
    <x v="10"/>
    <x v="0"/>
    <x v="0"/>
    <x v="3"/>
    <x v="55"/>
    <x v="0"/>
    <x v="18"/>
    <x v="1140"/>
    <x v="9"/>
    <x v="57"/>
    <x v="1"/>
    <x v="1"/>
    <x v="1"/>
    <x v="1"/>
    <x v="229"/>
    <x v="1"/>
    <x v="18"/>
    <x v="341"/>
    <x v="341"/>
    <x v="0"/>
    <x v="341"/>
    <x v="334"/>
    <x v="337"/>
    <x v="323"/>
    <x v="337"/>
    <x v="334"/>
    <x v="334"/>
    <x v="334"/>
    <x v="334"/>
    <x v="334"/>
    <x v="334"/>
    <x v="334"/>
    <x v="341"/>
    <x v="323"/>
    <x v="323"/>
    <x v="304"/>
    <x v="0"/>
    <x v="0"/>
    <x v="332"/>
    <x v="341"/>
    <x v="341"/>
    <x v="341"/>
    <x v="341"/>
    <x v="10"/>
  </r>
  <r>
    <x v="1136"/>
    <x v="503"/>
    <x v="0"/>
    <x v="0"/>
    <x v="0"/>
    <x v="0"/>
    <x v="0"/>
    <x v="0"/>
    <x v="0"/>
    <x v="0"/>
    <x v="10"/>
    <x v="0"/>
    <x v="255"/>
    <x v="1"/>
    <x v="0"/>
    <x v="0"/>
    <x v="0"/>
    <x v="1136"/>
    <x v="2"/>
    <x v="10"/>
    <x v="10"/>
    <x v="0"/>
    <x v="0"/>
    <x v="3"/>
    <x v="53"/>
    <x v="0"/>
    <x v="18"/>
    <x v="1111"/>
    <x v="9"/>
    <x v="57"/>
    <x v="1"/>
    <x v="1"/>
    <x v="1"/>
    <x v="1"/>
    <x v="165"/>
    <x v="1"/>
    <x v="18"/>
    <x v="255"/>
    <x v="255"/>
    <x v="0"/>
    <x v="255"/>
    <x v="260"/>
    <x v="262"/>
    <x v="253"/>
    <x v="262"/>
    <x v="260"/>
    <x v="260"/>
    <x v="260"/>
    <x v="260"/>
    <x v="260"/>
    <x v="260"/>
    <x v="260"/>
    <x v="255"/>
    <x v="254"/>
    <x v="254"/>
    <x v="224"/>
    <x v="0"/>
    <x v="0"/>
    <x v="244"/>
    <x v="255"/>
    <x v="255"/>
    <x v="255"/>
    <x v="255"/>
    <x v="10"/>
  </r>
  <r>
    <x v="1137"/>
    <x v="486"/>
    <x v="0"/>
    <x v="0"/>
    <x v="0"/>
    <x v="0"/>
    <x v="0"/>
    <x v="1"/>
    <x v="0"/>
    <x v="0"/>
    <x v="10"/>
    <x v="0"/>
    <x v="1037"/>
    <x v="1"/>
    <x v="0"/>
    <x v="0"/>
    <x v="0"/>
    <x v="1137"/>
    <x v="1"/>
    <x v="10"/>
    <x v="10"/>
    <x v="0"/>
    <x v="0"/>
    <x v="3"/>
    <x v="53"/>
    <x v="0"/>
    <x v="19"/>
    <x v="1144"/>
    <x v="10"/>
    <x v="67"/>
    <x v="1"/>
    <x v="2"/>
    <x v="2"/>
    <x v="1"/>
    <x v="1083"/>
    <x v="2"/>
    <x v="19"/>
    <x v="1037"/>
    <x v="1037"/>
    <x v="1"/>
    <x v="1037"/>
    <x v="1112"/>
    <x v="1103"/>
    <x v="1117"/>
    <x v="1103"/>
    <x v="1112"/>
    <x v="1112"/>
    <x v="1112"/>
    <x v="1112"/>
    <x v="1112"/>
    <x v="1112"/>
    <x v="1112"/>
    <x v="1037"/>
    <x v="1111"/>
    <x v="1111"/>
    <x v="973"/>
    <x v="0"/>
    <x v="0"/>
    <x v="1083"/>
    <x v="1037"/>
    <x v="1037"/>
    <x v="1037"/>
    <x v="1037"/>
    <x v="10"/>
  </r>
  <r>
    <x v="1138"/>
    <x v="530"/>
    <x v="0"/>
    <x v="0"/>
    <x v="0"/>
    <x v="0"/>
    <x v="0"/>
    <x v="0"/>
    <x v="0"/>
    <x v="0"/>
    <x v="10"/>
    <x v="0"/>
    <x v="995"/>
    <x v="1"/>
    <x v="0"/>
    <x v="0"/>
    <x v="0"/>
    <x v="1138"/>
    <x v="2"/>
    <x v="10"/>
    <x v="10"/>
    <x v="0"/>
    <x v="0"/>
    <x v="3"/>
    <x v="53"/>
    <x v="0"/>
    <x v="18"/>
    <x v="1153"/>
    <x v="9"/>
    <x v="57"/>
    <x v="1"/>
    <x v="1"/>
    <x v="1"/>
    <x v="1"/>
    <x v="761"/>
    <x v="1"/>
    <x v="18"/>
    <x v="995"/>
    <x v="995"/>
    <x v="1"/>
    <x v="995"/>
    <x v="1012"/>
    <x v="1004"/>
    <x v="994"/>
    <x v="1004"/>
    <x v="1012"/>
    <x v="1012"/>
    <x v="1012"/>
    <x v="1012"/>
    <x v="1012"/>
    <x v="1012"/>
    <x v="1012"/>
    <x v="995"/>
    <x v="992"/>
    <x v="992"/>
    <x v="926"/>
    <x v="0"/>
    <x v="0"/>
    <x v="954"/>
    <x v="995"/>
    <x v="995"/>
    <x v="995"/>
    <x v="995"/>
    <x v="10"/>
  </r>
  <r>
    <x v="1139"/>
    <x v="497"/>
    <x v="0"/>
    <x v="0"/>
    <x v="0"/>
    <x v="0"/>
    <x v="0"/>
    <x v="0"/>
    <x v="0"/>
    <x v="0"/>
    <x v="10"/>
    <x v="0"/>
    <x v="882"/>
    <x v="1"/>
    <x v="0"/>
    <x v="0"/>
    <x v="0"/>
    <x v="1139"/>
    <x v="2"/>
    <x v="10"/>
    <x v="10"/>
    <x v="0"/>
    <x v="0"/>
    <x v="3"/>
    <x v="55"/>
    <x v="0"/>
    <x v="18"/>
    <x v="1145"/>
    <x v="9"/>
    <x v="57"/>
    <x v="1"/>
    <x v="1"/>
    <x v="1"/>
    <x v="1"/>
    <x v="628"/>
    <x v="1"/>
    <x v="18"/>
    <x v="882"/>
    <x v="882"/>
    <x v="1"/>
    <x v="882"/>
    <x v="894"/>
    <x v="887"/>
    <x v="879"/>
    <x v="887"/>
    <x v="894"/>
    <x v="894"/>
    <x v="894"/>
    <x v="894"/>
    <x v="894"/>
    <x v="894"/>
    <x v="894"/>
    <x v="882"/>
    <x v="877"/>
    <x v="877"/>
    <x v="818"/>
    <x v="0"/>
    <x v="0"/>
    <x v="815"/>
    <x v="882"/>
    <x v="882"/>
    <x v="882"/>
    <x v="882"/>
    <x v="10"/>
  </r>
  <r>
    <x v="1140"/>
    <x v="508"/>
    <x v="0"/>
    <x v="0"/>
    <x v="0"/>
    <x v="0"/>
    <x v="0"/>
    <x v="0"/>
    <x v="0"/>
    <x v="0"/>
    <x v="10"/>
    <x v="0"/>
    <x v="448"/>
    <x v="1"/>
    <x v="0"/>
    <x v="0"/>
    <x v="0"/>
    <x v="1140"/>
    <x v="2"/>
    <x v="10"/>
    <x v="10"/>
    <x v="0"/>
    <x v="0"/>
    <x v="3"/>
    <x v="53"/>
    <x v="0"/>
    <x v="18"/>
    <x v="1113"/>
    <x v="9"/>
    <x v="57"/>
    <x v="1"/>
    <x v="1"/>
    <x v="1"/>
    <x v="1"/>
    <x v="308"/>
    <x v="1"/>
    <x v="18"/>
    <x v="448"/>
    <x v="448"/>
    <x v="0"/>
    <x v="448"/>
    <x v="431"/>
    <x v="435"/>
    <x v="419"/>
    <x v="435"/>
    <x v="431"/>
    <x v="431"/>
    <x v="431"/>
    <x v="431"/>
    <x v="431"/>
    <x v="431"/>
    <x v="431"/>
    <x v="448"/>
    <x v="418"/>
    <x v="418"/>
    <x v="398"/>
    <x v="0"/>
    <x v="0"/>
    <x v="422"/>
    <x v="448"/>
    <x v="448"/>
    <x v="448"/>
    <x v="448"/>
    <x v="10"/>
  </r>
  <r>
    <x v="1141"/>
    <x v="510"/>
    <x v="0"/>
    <x v="0"/>
    <x v="0"/>
    <x v="0"/>
    <x v="1"/>
    <x v="4"/>
    <x v="0"/>
    <x v="0"/>
    <x v="10"/>
    <x v="0"/>
    <x v="223"/>
    <x v="1"/>
    <x v="0"/>
    <x v="0"/>
    <x v="0"/>
    <x v="1141"/>
    <x v="1"/>
    <x v="10"/>
    <x v="10"/>
    <x v="0"/>
    <x v="0"/>
    <x v="3"/>
    <x v="69"/>
    <x v="0"/>
    <x v="19"/>
    <x v="1107"/>
    <x v="2"/>
    <x v="23"/>
    <x v="1"/>
    <x v="5"/>
    <x v="2"/>
    <x v="1"/>
    <x v="810"/>
    <x v="5"/>
    <x v="19"/>
    <x v="224"/>
    <x v="224"/>
    <x v="0"/>
    <x v="224"/>
    <x v="261"/>
    <x v="250"/>
    <x v="281"/>
    <x v="250"/>
    <x v="261"/>
    <x v="261"/>
    <x v="261"/>
    <x v="261"/>
    <x v="261"/>
    <x v="261"/>
    <x v="261"/>
    <x v="224"/>
    <x v="281"/>
    <x v="281"/>
    <x v="202"/>
    <x v="0"/>
    <x v="0"/>
    <x v="274"/>
    <x v="224"/>
    <x v="224"/>
    <x v="224"/>
    <x v="224"/>
    <x v="10"/>
  </r>
  <r>
    <x v="1142"/>
    <x v="525"/>
    <x v="0"/>
    <x v="0"/>
    <x v="0"/>
    <x v="0"/>
    <x v="0"/>
    <x v="0"/>
    <x v="0"/>
    <x v="0"/>
    <x v="10"/>
    <x v="0"/>
    <x v="557"/>
    <x v="1"/>
    <x v="0"/>
    <x v="0"/>
    <x v="0"/>
    <x v="1142"/>
    <x v="2"/>
    <x v="10"/>
    <x v="10"/>
    <x v="0"/>
    <x v="0"/>
    <x v="3"/>
    <x v="55"/>
    <x v="0"/>
    <x v="17"/>
    <x v="1128"/>
    <x v="9"/>
    <x v="57"/>
    <x v="1"/>
    <x v="1"/>
    <x v="1"/>
    <x v="1"/>
    <x v="371"/>
    <x v="1"/>
    <x v="17"/>
    <x v="557"/>
    <x v="557"/>
    <x v="0"/>
    <x v="557"/>
    <x v="515"/>
    <x v="523"/>
    <x v="500"/>
    <x v="523"/>
    <x v="515"/>
    <x v="515"/>
    <x v="515"/>
    <x v="515"/>
    <x v="515"/>
    <x v="515"/>
    <x v="515"/>
    <x v="557"/>
    <x v="499"/>
    <x v="499"/>
    <x v="495"/>
    <x v="0"/>
    <x v="0"/>
    <x v="465"/>
    <x v="557"/>
    <x v="557"/>
    <x v="557"/>
    <x v="557"/>
    <x v="10"/>
  </r>
  <r>
    <x v="1143"/>
    <x v="516"/>
    <x v="0"/>
    <x v="0"/>
    <x v="0"/>
    <x v="0"/>
    <x v="0"/>
    <x v="0"/>
    <x v="0"/>
    <x v="0"/>
    <x v="10"/>
    <x v="0"/>
    <x v="108"/>
    <x v="1"/>
    <x v="0"/>
    <x v="0"/>
    <x v="0"/>
    <x v="1143"/>
    <x v="2"/>
    <x v="10"/>
    <x v="10"/>
    <x v="0"/>
    <x v="0"/>
    <x v="3"/>
    <x v="53"/>
    <x v="0"/>
    <x v="17"/>
    <x v="1117"/>
    <x v="9"/>
    <x v="57"/>
    <x v="1"/>
    <x v="1"/>
    <x v="1"/>
    <x v="1"/>
    <x v="50"/>
    <x v="1"/>
    <x v="17"/>
    <x v="109"/>
    <x v="109"/>
    <x v="0"/>
    <x v="109"/>
    <x v="106"/>
    <x v="107"/>
    <x v="96"/>
    <x v="107"/>
    <x v="106"/>
    <x v="106"/>
    <x v="106"/>
    <x v="106"/>
    <x v="106"/>
    <x v="106"/>
    <x v="106"/>
    <x v="109"/>
    <x v="95"/>
    <x v="95"/>
    <x v="92"/>
    <x v="0"/>
    <x v="0"/>
    <x v="88"/>
    <x v="109"/>
    <x v="109"/>
    <x v="109"/>
    <x v="109"/>
    <x v="10"/>
  </r>
  <r>
    <x v="1144"/>
    <x v="503"/>
    <x v="0"/>
    <x v="0"/>
    <x v="0"/>
    <x v="0"/>
    <x v="0"/>
    <x v="0"/>
    <x v="0"/>
    <x v="0"/>
    <x v="10"/>
    <x v="0"/>
    <x v="790"/>
    <x v="1"/>
    <x v="0"/>
    <x v="0"/>
    <x v="0"/>
    <x v="1144"/>
    <x v="2"/>
    <x v="10"/>
    <x v="10"/>
    <x v="0"/>
    <x v="0"/>
    <x v="3"/>
    <x v="53"/>
    <x v="0"/>
    <x v="18"/>
    <x v="1112"/>
    <x v="9"/>
    <x v="57"/>
    <x v="1"/>
    <x v="1"/>
    <x v="1"/>
    <x v="1"/>
    <x v="532"/>
    <x v="1"/>
    <x v="18"/>
    <x v="790"/>
    <x v="790"/>
    <x v="1"/>
    <x v="790"/>
    <x v="786"/>
    <x v="790"/>
    <x v="745"/>
    <x v="790"/>
    <x v="786"/>
    <x v="786"/>
    <x v="786"/>
    <x v="786"/>
    <x v="786"/>
    <x v="786"/>
    <x v="786"/>
    <x v="790"/>
    <x v="745"/>
    <x v="745"/>
    <x v="731"/>
    <x v="0"/>
    <x v="0"/>
    <x v="676"/>
    <x v="790"/>
    <x v="790"/>
    <x v="790"/>
    <x v="790"/>
    <x v="10"/>
  </r>
  <r>
    <x v="1145"/>
    <x v="507"/>
    <x v="0"/>
    <x v="0"/>
    <x v="0"/>
    <x v="0"/>
    <x v="0"/>
    <x v="0"/>
    <x v="0"/>
    <x v="0"/>
    <x v="10"/>
    <x v="0"/>
    <x v="1083"/>
    <x v="1"/>
    <x v="0"/>
    <x v="0"/>
    <x v="0"/>
    <x v="1145"/>
    <x v="2"/>
    <x v="10"/>
    <x v="10"/>
    <x v="0"/>
    <x v="0"/>
    <x v="3"/>
    <x v="128"/>
    <x v="0"/>
    <x v="13"/>
    <x v="59"/>
    <x v="9"/>
    <x v="57"/>
    <x v="1"/>
    <x v="1"/>
    <x v="1"/>
    <x v="1"/>
    <x v="849"/>
    <x v="1"/>
    <x v="13"/>
    <x v="1081"/>
    <x v="1081"/>
    <x v="1"/>
    <x v="1081"/>
    <x v="1091"/>
    <x v="1086"/>
    <x v="1076"/>
    <x v="1086"/>
    <x v="1091"/>
    <x v="1091"/>
    <x v="1091"/>
    <x v="1091"/>
    <x v="1091"/>
    <x v="1091"/>
    <x v="1091"/>
    <x v="1081"/>
    <x v="1075"/>
    <x v="1075"/>
    <x v="1012"/>
    <x v="0"/>
    <x v="0"/>
    <x v="956"/>
    <x v="1081"/>
    <x v="1081"/>
    <x v="1081"/>
    <x v="1081"/>
    <x v="10"/>
  </r>
  <r>
    <x v="1146"/>
    <x v="519"/>
    <x v="0"/>
    <x v="0"/>
    <x v="0"/>
    <x v="0"/>
    <x v="0"/>
    <x v="0"/>
    <x v="0"/>
    <x v="0"/>
    <x v="10"/>
    <x v="0"/>
    <x v="266"/>
    <x v="1"/>
    <x v="0"/>
    <x v="0"/>
    <x v="0"/>
    <x v="1146"/>
    <x v="2"/>
    <x v="10"/>
    <x v="10"/>
    <x v="0"/>
    <x v="0"/>
    <x v="3"/>
    <x v="53"/>
    <x v="0"/>
    <x v="14"/>
    <x v="1118"/>
    <x v="9"/>
    <x v="57"/>
    <x v="1"/>
    <x v="1"/>
    <x v="1"/>
    <x v="1"/>
    <x v="174"/>
    <x v="1"/>
    <x v="14"/>
    <x v="266"/>
    <x v="266"/>
    <x v="0"/>
    <x v="266"/>
    <x v="272"/>
    <x v="273"/>
    <x v="264"/>
    <x v="273"/>
    <x v="272"/>
    <x v="272"/>
    <x v="272"/>
    <x v="272"/>
    <x v="272"/>
    <x v="272"/>
    <x v="272"/>
    <x v="266"/>
    <x v="264"/>
    <x v="264"/>
    <x v="233"/>
    <x v="0"/>
    <x v="0"/>
    <x v="226"/>
    <x v="266"/>
    <x v="266"/>
    <x v="266"/>
    <x v="266"/>
    <x v="10"/>
  </r>
  <r>
    <x v="1147"/>
    <x v="537"/>
    <x v="0"/>
    <x v="0"/>
    <x v="0"/>
    <x v="0"/>
    <x v="0"/>
    <x v="0"/>
    <x v="0"/>
    <x v="0"/>
    <x v="10"/>
    <x v="0"/>
    <x v="694"/>
    <x v="1"/>
    <x v="0"/>
    <x v="0"/>
    <x v="0"/>
    <x v="1147"/>
    <x v="2"/>
    <x v="10"/>
    <x v="10"/>
    <x v="0"/>
    <x v="0"/>
    <x v="3"/>
    <x v="50"/>
    <x v="0"/>
    <x v="18"/>
    <x v="1134"/>
    <x v="9"/>
    <x v="57"/>
    <x v="1"/>
    <x v="1"/>
    <x v="1"/>
    <x v="1"/>
    <x v="458"/>
    <x v="1"/>
    <x v="18"/>
    <x v="694"/>
    <x v="694"/>
    <x v="1"/>
    <x v="694"/>
    <x v="639"/>
    <x v="647"/>
    <x v="603"/>
    <x v="647"/>
    <x v="639"/>
    <x v="639"/>
    <x v="639"/>
    <x v="639"/>
    <x v="639"/>
    <x v="639"/>
    <x v="639"/>
    <x v="694"/>
    <x v="603"/>
    <x v="603"/>
    <x v="630"/>
    <x v="0"/>
    <x v="0"/>
    <x v="560"/>
    <x v="694"/>
    <x v="694"/>
    <x v="694"/>
    <x v="694"/>
    <x v="10"/>
  </r>
  <r>
    <x v="1148"/>
    <x v="517"/>
    <x v="0"/>
    <x v="0"/>
    <x v="0"/>
    <x v="0"/>
    <x v="1"/>
    <x v="4"/>
    <x v="0"/>
    <x v="0"/>
    <x v="10"/>
    <x v="0"/>
    <x v="746"/>
    <x v="1"/>
    <x v="0"/>
    <x v="0"/>
    <x v="0"/>
    <x v="1148"/>
    <x v="1"/>
    <x v="10"/>
    <x v="10"/>
    <x v="0"/>
    <x v="0"/>
    <x v="3"/>
    <x v="53"/>
    <x v="0"/>
    <x v="27"/>
    <x v="1162"/>
    <x v="2"/>
    <x v="23"/>
    <x v="1"/>
    <x v="5"/>
    <x v="2"/>
    <x v="1"/>
    <x v="1237"/>
    <x v="5"/>
    <x v="27"/>
    <x v="746"/>
    <x v="746"/>
    <x v="1"/>
    <x v="746"/>
    <x v="856"/>
    <x v="821"/>
    <x v="901"/>
    <x v="821"/>
    <x v="856"/>
    <x v="856"/>
    <x v="856"/>
    <x v="856"/>
    <x v="856"/>
    <x v="856"/>
    <x v="856"/>
    <x v="746"/>
    <x v="898"/>
    <x v="898"/>
    <x v="724"/>
    <x v="0"/>
    <x v="0"/>
    <x v="971"/>
    <x v="746"/>
    <x v="746"/>
    <x v="746"/>
    <x v="746"/>
    <x v="10"/>
  </r>
  <r>
    <x v="1149"/>
    <x v="534"/>
    <x v="0"/>
    <x v="0"/>
    <x v="0"/>
    <x v="0"/>
    <x v="0"/>
    <x v="0"/>
    <x v="0"/>
    <x v="0"/>
    <x v="10"/>
    <x v="0"/>
    <x v="764"/>
    <x v="1"/>
    <x v="0"/>
    <x v="0"/>
    <x v="0"/>
    <x v="1149"/>
    <x v="2"/>
    <x v="10"/>
    <x v="10"/>
    <x v="0"/>
    <x v="0"/>
    <x v="3"/>
    <x v="53"/>
    <x v="0"/>
    <x v="17"/>
    <x v="1156"/>
    <x v="9"/>
    <x v="57"/>
    <x v="1"/>
    <x v="1"/>
    <x v="1"/>
    <x v="1"/>
    <x v="509"/>
    <x v="1"/>
    <x v="17"/>
    <x v="764"/>
    <x v="764"/>
    <x v="1"/>
    <x v="764"/>
    <x v="749"/>
    <x v="758"/>
    <x v="711"/>
    <x v="758"/>
    <x v="749"/>
    <x v="749"/>
    <x v="749"/>
    <x v="749"/>
    <x v="749"/>
    <x v="749"/>
    <x v="749"/>
    <x v="764"/>
    <x v="713"/>
    <x v="713"/>
    <x v="701"/>
    <x v="0"/>
    <x v="0"/>
    <x v="617"/>
    <x v="764"/>
    <x v="764"/>
    <x v="764"/>
    <x v="764"/>
    <x v="10"/>
  </r>
  <r>
    <x v="1150"/>
    <x v="523"/>
    <x v="0"/>
    <x v="0"/>
    <x v="0"/>
    <x v="0"/>
    <x v="0"/>
    <x v="0"/>
    <x v="0"/>
    <x v="0"/>
    <x v="10"/>
    <x v="0"/>
    <x v="347"/>
    <x v="1"/>
    <x v="0"/>
    <x v="0"/>
    <x v="0"/>
    <x v="1150"/>
    <x v="2"/>
    <x v="10"/>
    <x v="10"/>
    <x v="0"/>
    <x v="0"/>
    <x v="3"/>
    <x v="55"/>
    <x v="0"/>
    <x v="14"/>
    <x v="1120"/>
    <x v="9"/>
    <x v="57"/>
    <x v="1"/>
    <x v="1"/>
    <x v="1"/>
    <x v="1"/>
    <x v="233"/>
    <x v="1"/>
    <x v="14"/>
    <x v="347"/>
    <x v="347"/>
    <x v="0"/>
    <x v="347"/>
    <x v="338"/>
    <x v="348"/>
    <x v="329"/>
    <x v="348"/>
    <x v="338"/>
    <x v="338"/>
    <x v="338"/>
    <x v="338"/>
    <x v="338"/>
    <x v="338"/>
    <x v="338"/>
    <x v="347"/>
    <x v="329"/>
    <x v="329"/>
    <x v="308"/>
    <x v="0"/>
    <x v="0"/>
    <x v="299"/>
    <x v="347"/>
    <x v="347"/>
    <x v="347"/>
    <x v="347"/>
    <x v="10"/>
  </r>
  <r>
    <x v="1151"/>
    <x v="533"/>
    <x v="0"/>
    <x v="0"/>
    <x v="0"/>
    <x v="0"/>
    <x v="0"/>
    <x v="0"/>
    <x v="0"/>
    <x v="0"/>
    <x v="10"/>
    <x v="0"/>
    <x v="310"/>
    <x v="1"/>
    <x v="0"/>
    <x v="0"/>
    <x v="0"/>
    <x v="1151"/>
    <x v="2"/>
    <x v="10"/>
    <x v="10"/>
    <x v="0"/>
    <x v="0"/>
    <x v="3"/>
    <x v="55"/>
    <x v="0"/>
    <x v="13"/>
    <x v="1127"/>
    <x v="9"/>
    <x v="57"/>
    <x v="1"/>
    <x v="1"/>
    <x v="1"/>
    <x v="1"/>
    <x v="205"/>
    <x v="1"/>
    <x v="13"/>
    <x v="310"/>
    <x v="310"/>
    <x v="0"/>
    <x v="310"/>
    <x v="305"/>
    <x v="307"/>
    <x v="299"/>
    <x v="307"/>
    <x v="305"/>
    <x v="305"/>
    <x v="305"/>
    <x v="305"/>
    <x v="305"/>
    <x v="305"/>
    <x v="305"/>
    <x v="310"/>
    <x v="299"/>
    <x v="299"/>
    <x v="266"/>
    <x v="0"/>
    <x v="0"/>
    <x v="250"/>
    <x v="310"/>
    <x v="310"/>
    <x v="310"/>
    <x v="310"/>
    <x v="10"/>
  </r>
  <r>
    <x v="1152"/>
    <x v="529"/>
    <x v="0"/>
    <x v="0"/>
    <x v="0"/>
    <x v="0"/>
    <x v="0"/>
    <x v="0"/>
    <x v="0"/>
    <x v="0"/>
    <x v="10"/>
    <x v="0"/>
    <x v="339"/>
    <x v="1"/>
    <x v="0"/>
    <x v="0"/>
    <x v="0"/>
    <x v="1152"/>
    <x v="2"/>
    <x v="10"/>
    <x v="10"/>
    <x v="0"/>
    <x v="0"/>
    <x v="3"/>
    <x v="53"/>
    <x v="0"/>
    <x v="14"/>
    <x v="1126"/>
    <x v="9"/>
    <x v="57"/>
    <x v="1"/>
    <x v="1"/>
    <x v="1"/>
    <x v="1"/>
    <x v="226"/>
    <x v="1"/>
    <x v="14"/>
    <x v="339"/>
    <x v="339"/>
    <x v="0"/>
    <x v="339"/>
    <x v="330"/>
    <x v="334"/>
    <x v="320"/>
    <x v="334"/>
    <x v="330"/>
    <x v="330"/>
    <x v="330"/>
    <x v="330"/>
    <x v="330"/>
    <x v="330"/>
    <x v="330"/>
    <x v="339"/>
    <x v="320"/>
    <x v="320"/>
    <x v="300"/>
    <x v="0"/>
    <x v="0"/>
    <x v="283"/>
    <x v="339"/>
    <x v="339"/>
    <x v="339"/>
    <x v="339"/>
    <x v="10"/>
  </r>
  <r>
    <x v="1153"/>
    <x v="527"/>
    <x v="0"/>
    <x v="0"/>
    <x v="0"/>
    <x v="0"/>
    <x v="1"/>
    <x v="4"/>
    <x v="0"/>
    <x v="0"/>
    <x v="10"/>
    <x v="0"/>
    <x v="634"/>
    <x v="1"/>
    <x v="0"/>
    <x v="0"/>
    <x v="0"/>
    <x v="1153"/>
    <x v="1"/>
    <x v="10"/>
    <x v="10"/>
    <x v="0"/>
    <x v="0"/>
    <x v="3"/>
    <x v="53"/>
    <x v="0"/>
    <x v="19"/>
    <x v="1152"/>
    <x v="2"/>
    <x v="23"/>
    <x v="1"/>
    <x v="5"/>
    <x v="2"/>
    <x v="1"/>
    <x v="1186"/>
    <x v="5"/>
    <x v="19"/>
    <x v="634"/>
    <x v="634"/>
    <x v="0"/>
    <x v="634"/>
    <x v="755"/>
    <x v="711"/>
    <x v="796"/>
    <x v="711"/>
    <x v="755"/>
    <x v="755"/>
    <x v="755"/>
    <x v="755"/>
    <x v="755"/>
    <x v="755"/>
    <x v="755"/>
    <x v="634"/>
    <x v="794"/>
    <x v="794"/>
    <x v="628"/>
    <x v="0"/>
    <x v="0"/>
    <x v="748"/>
    <x v="634"/>
    <x v="634"/>
    <x v="634"/>
    <x v="634"/>
    <x v="10"/>
  </r>
  <r>
    <x v="1154"/>
    <x v="537"/>
    <x v="0"/>
    <x v="0"/>
    <x v="0"/>
    <x v="0"/>
    <x v="0"/>
    <x v="0"/>
    <x v="0"/>
    <x v="0"/>
    <x v="10"/>
    <x v="0"/>
    <x v="158"/>
    <x v="1"/>
    <x v="0"/>
    <x v="0"/>
    <x v="0"/>
    <x v="1154"/>
    <x v="2"/>
    <x v="10"/>
    <x v="10"/>
    <x v="0"/>
    <x v="0"/>
    <x v="3"/>
    <x v="50"/>
    <x v="0"/>
    <x v="18"/>
    <x v="1133"/>
    <x v="9"/>
    <x v="57"/>
    <x v="1"/>
    <x v="1"/>
    <x v="1"/>
    <x v="1"/>
    <x v="81"/>
    <x v="1"/>
    <x v="18"/>
    <x v="159"/>
    <x v="159"/>
    <x v="0"/>
    <x v="159"/>
    <x v="170"/>
    <x v="168"/>
    <x v="161"/>
    <x v="168"/>
    <x v="170"/>
    <x v="170"/>
    <x v="170"/>
    <x v="170"/>
    <x v="170"/>
    <x v="170"/>
    <x v="170"/>
    <x v="159"/>
    <x v="160"/>
    <x v="160"/>
    <x v="137"/>
    <x v="0"/>
    <x v="0"/>
    <x v="153"/>
    <x v="159"/>
    <x v="159"/>
    <x v="159"/>
    <x v="159"/>
    <x v="10"/>
  </r>
  <r>
    <x v="1155"/>
    <x v="531"/>
    <x v="0"/>
    <x v="0"/>
    <x v="0"/>
    <x v="0"/>
    <x v="1"/>
    <x v="4"/>
    <x v="0"/>
    <x v="0"/>
    <x v="10"/>
    <x v="0"/>
    <x v="700"/>
    <x v="1"/>
    <x v="0"/>
    <x v="0"/>
    <x v="0"/>
    <x v="1155"/>
    <x v="1"/>
    <x v="10"/>
    <x v="10"/>
    <x v="0"/>
    <x v="0"/>
    <x v="3"/>
    <x v="53"/>
    <x v="0"/>
    <x v="18"/>
    <x v="1161"/>
    <x v="2"/>
    <x v="23"/>
    <x v="1"/>
    <x v="5"/>
    <x v="2"/>
    <x v="1"/>
    <x v="1211"/>
    <x v="5"/>
    <x v="18"/>
    <x v="700"/>
    <x v="700"/>
    <x v="1"/>
    <x v="700"/>
    <x v="809"/>
    <x v="768"/>
    <x v="843"/>
    <x v="768"/>
    <x v="809"/>
    <x v="809"/>
    <x v="809"/>
    <x v="809"/>
    <x v="809"/>
    <x v="809"/>
    <x v="809"/>
    <x v="700"/>
    <x v="842"/>
    <x v="842"/>
    <x v="670"/>
    <x v="0"/>
    <x v="0"/>
    <x v="773"/>
    <x v="700"/>
    <x v="700"/>
    <x v="700"/>
    <x v="700"/>
    <x v="10"/>
  </r>
  <r>
    <x v="1156"/>
    <x v="530"/>
    <x v="0"/>
    <x v="0"/>
    <x v="0"/>
    <x v="0"/>
    <x v="1"/>
    <x v="4"/>
    <x v="0"/>
    <x v="0"/>
    <x v="10"/>
    <x v="0"/>
    <x v="719"/>
    <x v="1"/>
    <x v="0"/>
    <x v="0"/>
    <x v="0"/>
    <x v="1156"/>
    <x v="1"/>
    <x v="10"/>
    <x v="10"/>
    <x v="0"/>
    <x v="0"/>
    <x v="3"/>
    <x v="53"/>
    <x v="0"/>
    <x v="18"/>
    <x v="1154"/>
    <x v="2"/>
    <x v="23"/>
    <x v="1"/>
    <x v="5"/>
    <x v="2"/>
    <x v="1"/>
    <x v="1225"/>
    <x v="5"/>
    <x v="18"/>
    <x v="719"/>
    <x v="719"/>
    <x v="1"/>
    <x v="719"/>
    <x v="825"/>
    <x v="792"/>
    <x v="870"/>
    <x v="792"/>
    <x v="825"/>
    <x v="825"/>
    <x v="825"/>
    <x v="825"/>
    <x v="825"/>
    <x v="825"/>
    <x v="825"/>
    <x v="719"/>
    <x v="866"/>
    <x v="866"/>
    <x v="691"/>
    <x v="0"/>
    <x v="0"/>
    <x v="796"/>
    <x v="719"/>
    <x v="719"/>
    <x v="719"/>
    <x v="719"/>
    <x v="10"/>
  </r>
  <r>
    <x v="1157"/>
    <x v="532"/>
    <x v="0"/>
    <x v="0"/>
    <x v="0"/>
    <x v="0"/>
    <x v="1"/>
    <x v="4"/>
    <x v="0"/>
    <x v="0"/>
    <x v="10"/>
    <x v="0"/>
    <x v="391"/>
    <x v="1"/>
    <x v="0"/>
    <x v="0"/>
    <x v="0"/>
    <x v="1157"/>
    <x v="1"/>
    <x v="10"/>
    <x v="10"/>
    <x v="0"/>
    <x v="0"/>
    <x v="3"/>
    <x v="53"/>
    <x v="0"/>
    <x v="17"/>
    <x v="1155"/>
    <x v="2"/>
    <x v="23"/>
    <x v="1"/>
    <x v="5"/>
    <x v="2"/>
    <x v="1"/>
    <x v="1087"/>
    <x v="5"/>
    <x v="17"/>
    <x v="391"/>
    <x v="391"/>
    <x v="0"/>
    <x v="391"/>
    <x v="472"/>
    <x v="442"/>
    <x v="549"/>
    <x v="442"/>
    <x v="472"/>
    <x v="472"/>
    <x v="472"/>
    <x v="472"/>
    <x v="472"/>
    <x v="472"/>
    <x v="472"/>
    <x v="391"/>
    <x v="550"/>
    <x v="550"/>
    <x v="371"/>
    <x v="0"/>
    <x v="0"/>
    <x v="493"/>
    <x v="391"/>
    <x v="391"/>
    <x v="391"/>
    <x v="391"/>
    <x v="10"/>
  </r>
  <r>
    <x v="1158"/>
    <x v="536"/>
    <x v="0"/>
    <x v="0"/>
    <x v="0"/>
    <x v="0"/>
    <x v="1"/>
    <x v="4"/>
    <x v="0"/>
    <x v="0"/>
    <x v="10"/>
    <x v="0"/>
    <x v="1054"/>
    <x v="1"/>
    <x v="0"/>
    <x v="0"/>
    <x v="0"/>
    <x v="1158"/>
    <x v="1"/>
    <x v="10"/>
    <x v="10"/>
    <x v="0"/>
    <x v="0"/>
    <x v="3"/>
    <x v="71"/>
    <x v="0"/>
    <x v="28"/>
    <x v="5"/>
    <x v="2"/>
    <x v="23"/>
    <x v="1"/>
    <x v="5"/>
    <x v="2"/>
    <x v="1"/>
    <x v="1323"/>
    <x v="5"/>
    <x v="28"/>
    <x v="1052"/>
    <x v="1052"/>
    <x v="1"/>
    <x v="1052"/>
    <x v="1153"/>
    <x v="1114"/>
    <x v="1185"/>
    <x v="1114"/>
    <x v="1153"/>
    <x v="1153"/>
    <x v="1153"/>
    <x v="1153"/>
    <x v="1153"/>
    <x v="1153"/>
    <x v="1153"/>
    <x v="1052"/>
    <x v="1185"/>
    <x v="1185"/>
    <x v="1009"/>
    <x v="0"/>
    <x v="0"/>
    <x v="1253"/>
    <x v="1052"/>
    <x v="1052"/>
    <x v="1052"/>
    <x v="1052"/>
    <x v="10"/>
  </r>
  <r>
    <x v="1159"/>
    <x v="523"/>
    <x v="0"/>
    <x v="0"/>
    <x v="0"/>
    <x v="0"/>
    <x v="0"/>
    <x v="0"/>
    <x v="0"/>
    <x v="0"/>
    <x v="10"/>
    <x v="0"/>
    <x v="837"/>
    <x v="1"/>
    <x v="0"/>
    <x v="0"/>
    <x v="0"/>
    <x v="1159"/>
    <x v="2"/>
    <x v="10"/>
    <x v="10"/>
    <x v="0"/>
    <x v="0"/>
    <x v="3"/>
    <x v="55"/>
    <x v="0"/>
    <x v="14"/>
    <x v="1121"/>
    <x v="9"/>
    <x v="57"/>
    <x v="1"/>
    <x v="1"/>
    <x v="1"/>
    <x v="1"/>
    <x v="580"/>
    <x v="1"/>
    <x v="14"/>
    <x v="837"/>
    <x v="837"/>
    <x v="1"/>
    <x v="837"/>
    <x v="847"/>
    <x v="846"/>
    <x v="817"/>
    <x v="846"/>
    <x v="847"/>
    <x v="847"/>
    <x v="847"/>
    <x v="847"/>
    <x v="847"/>
    <x v="847"/>
    <x v="847"/>
    <x v="837"/>
    <x v="814"/>
    <x v="814"/>
    <x v="776"/>
    <x v="0"/>
    <x v="0"/>
    <x v="651"/>
    <x v="837"/>
    <x v="837"/>
    <x v="837"/>
    <x v="837"/>
    <x v="10"/>
  </r>
  <r>
    <x v="1160"/>
    <x v="534"/>
    <x v="0"/>
    <x v="0"/>
    <x v="0"/>
    <x v="0"/>
    <x v="1"/>
    <x v="4"/>
    <x v="0"/>
    <x v="0"/>
    <x v="10"/>
    <x v="0"/>
    <x v="943"/>
    <x v="1"/>
    <x v="0"/>
    <x v="0"/>
    <x v="0"/>
    <x v="1160"/>
    <x v="1"/>
    <x v="10"/>
    <x v="10"/>
    <x v="0"/>
    <x v="0"/>
    <x v="3"/>
    <x v="53"/>
    <x v="0"/>
    <x v="17"/>
    <x v="5"/>
    <x v="2"/>
    <x v="23"/>
    <x v="1"/>
    <x v="5"/>
    <x v="2"/>
    <x v="1"/>
    <x v="1298"/>
    <x v="5"/>
    <x v="17"/>
    <x v="943"/>
    <x v="943"/>
    <x v="1"/>
    <x v="943"/>
    <x v="1058"/>
    <x v="1026"/>
    <x v="1093"/>
    <x v="1026"/>
    <x v="1058"/>
    <x v="1058"/>
    <x v="1058"/>
    <x v="1058"/>
    <x v="1058"/>
    <x v="1058"/>
    <x v="1058"/>
    <x v="943"/>
    <x v="1093"/>
    <x v="1093"/>
    <x v="911"/>
    <x v="0"/>
    <x v="0"/>
    <x v="1029"/>
    <x v="943"/>
    <x v="943"/>
    <x v="943"/>
    <x v="943"/>
    <x v="10"/>
  </r>
  <r>
    <x v="1161"/>
    <x v="543"/>
    <x v="0"/>
    <x v="0"/>
    <x v="0"/>
    <x v="0"/>
    <x v="0"/>
    <x v="0"/>
    <x v="0"/>
    <x v="0"/>
    <x v="10"/>
    <x v="0"/>
    <x v="686"/>
    <x v="1"/>
    <x v="0"/>
    <x v="0"/>
    <x v="0"/>
    <x v="1161"/>
    <x v="2"/>
    <x v="10"/>
    <x v="10"/>
    <x v="0"/>
    <x v="0"/>
    <x v="3"/>
    <x v="50"/>
    <x v="0"/>
    <x v="18"/>
    <x v="1129"/>
    <x v="9"/>
    <x v="57"/>
    <x v="1"/>
    <x v="1"/>
    <x v="1"/>
    <x v="1"/>
    <x v="448"/>
    <x v="1"/>
    <x v="18"/>
    <x v="686"/>
    <x v="686"/>
    <x v="1"/>
    <x v="686"/>
    <x v="628"/>
    <x v="636"/>
    <x v="593"/>
    <x v="636"/>
    <x v="628"/>
    <x v="628"/>
    <x v="628"/>
    <x v="628"/>
    <x v="628"/>
    <x v="628"/>
    <x v="628"/>
    <x v="686"/>
    <x v="592"/>
    <x v="592"/>
    <x v="617"/>
    <x v="0"/>
    <x v="0"/>
    <x v="549"/>
    <x v="686"/>
    <x v="686"/>
    <x v="686"/>
    <x v="686"/>
    <x v="10"/>
  </r>
  <r>
    <x v="1162"/>
    <x v="534"/>
    <x v="0"/>
    <x v="0"/>
    <x v="0"/>
    <x v="0"/>
    <x v="1"/>
    <x v="4"/>
    <x v="0"/>
    <x v="0"/>
    <x v="10"/>
    <x v="0"/>
    <x v="314"/>
    <x v="1"/>
    <x v="0"/>
    <x v="0"/>
    <x v="0"/>
    <x v="1162"/>
    <x v="1"/>
    <x v="10"/>
    <x v="10"/>
    <x v="0"/>
    <x v="0"/>
    <x v="3"/>
    <x v="53"/>
    <x v="0"/>
    <x v="17"/>
    <x v="1157"/>
    <x v="2"/>
    <x v="23"/>
    <x v="1"/>
    <x v="5"/>
    <x v="2"/>
    <x v="1"/>
    <x v="1003"/>
    <x v="5"/>
    <x v="17"/>
    <x v="314"/>
    <x v="314"/>
    <x v="0"/>
    <x v="314"/>
    <x v="368"/>
    <x v="352"/>
    <x v="391"/>
    <x v="352"/>
    <x v="368"/>
    <x v="368"/>
    <x v="368"/>
    <x v="368"/>
    <x v="368"/>
    <x v="368"/>
    <x v="368"/>
    <x v="314"/>
    <x v="393"/>
    <x v="393"/>
    <x v="292"/>
    <x v="0"/>
    <x v="0"/>
    <x v="395"/>
    <x v="314"/>
    <x v="314"/>
    <x v="314"/>
    <x v="314"/>
    <x v="10"/>
  </r>
  <r>
    <x v="1163"/>
    <x v="552"/>
    <x v="0"/>
    <x v="0"/>
    <x v="0"/>
    <x v="0"/>
    <x v="0"/>
    <x v="0"/>
    <x v="0"/>
    <x v="0"/>
    <x v="10"/>
    <x v="0"/>
    <x v="1043"/>
    <x v="1"/>
    <x v="0"/>
    <x v="0"/>
    <x v="0"/>
    <x v="1163"/>
    <x v="2"/>
    <x v="10"/>
    <x v="10"/>
    <x v="0"/>
    <x v="0"/>
    <x v="3"/>
    <x v="50"/>
    <x v="0"/>
    <x v="14"/>
    <x v="1159"/>
    <x v="9"/>
    <x v="57"/>
    <x v="1"/>
    <x v="1"/>
    <x v="1"/>
    <x v="1"/>
    <x v="805"/>
    <x v="1"/>
    <x v="14"/>
    <x v="1042"/>
    <x v="1042"/>
    <x v="1"/>
    <x v="1042"/>
    <x v="1049"/>
    <x v="1044"/>
    <x v="1035"/>
    <x v="1044"/>
    <x v="1049"/>
    <x v="1049"/>
    <x v="1049"/>
    <x v="1049"/>
    <x v="1049"/>
    <x v="1049"/>
    <x v="1049"/>
    <x v="1042"/>
    <x v="1034"/>
    <x v="1034"/>
    <x v="968"/>
    <x v="0"/>
    <x v="0"/>
    <x v="916"/>
    <x v="1042"/>
    <x v="1042"/>
    <x v="1042"/>
    <x v="1042"/>
    <x v="10"/>
  </r>
  <r>
    <x v="1164"/>
    <x v="537"/>
    <x v="0"/>
    <x v="0"/>
    <x v="0"/>
    <x v="0"/>
    <x v="1"/>
    <x v="5"/>
    <x v="0"/>
    <x v="0"/>
    <x v="10"/>
    <x v="0"/>
    <x v="1342"/>
    <x v="1"/>
    <x v="0"/>
    <x v="0"/>
    <x v="0"/>
    <x v="1164"/>
    <x v="1"/>
    <x v="10"/>
    <x v="10"/>
    <x v="0"/>
    <x v="0"/>
    <x v="3"/>
    <x v="50"/>
    <x v="0"/>
    <x v="18"/>
    <x v="4"/>
    <x v="3"/>
    <x v="32"/>
    <x v="1"/>
    <x v="6"/>
    <x v="3"/>
    <x v="1"/>
    <x v="1390"/>
    <x v="6"/>
    <x v="18"/>
    <x v="1340"/>
    <x v="1340"/>
    <x v="3"/>
    <x v="1340"/>
    <x v="1393"/>
    <x v="1379"/>
    <x v="1393"/>
    <x v="1379"/>
    <x v="1393"/>
    <x v="1393"/>
    <x v="1393"/>
    <x v="1393"/>
    <x v="1393"/>
    <x v="1393"/>
    <x v="1393"/>
    <x v="1340"/>
    <x v="1392"/>
    <x v="1392"/>
    <x v="0"/>
    <x v="122"/>
    <x v="0"/>
    <x v="1410"/>
    <x v="1340"/>
    <x v="1340"/>
    <x v="1340"/>
    <x v="1340"/>
    <x v="10"/>
  </r>
  <r>
    <x v="1165"/>
    <x v="540"/>
    <x v="0"/>
    <x v="0"/>
    <x v="0"/>
    <x v="0"/>
    <x v="1"/>
    <x v="4"/>
    <x v="0"/>
    <x v="0"/>
    <x v="10"/>
    <x v="0"/>
    <x v="674"/>
    <x v="1"/>
    <x v="0"/>
    <x v="0"/>
    <x v="0"/>
    <x v="1165"/>
    <x v="1"/>
    <x v="10"/>
    <x v="10"/>
    <x v="0"/>
    <x v="0"/>
    <x v="3"/>
    <x v="53"/>
    <x v="0"/>
    <x v="16"/>
    <x v="1158"/>
    <x v="2"/>
    <x v="23"/>
    <x v="1"/>
    <x v="5"/>
    <x v="2"/>
    <x v="1"/>
    <x v="1201"/>
    <x v="5"/>
    <x v="16"/>
    <x v="674"/>
    <x v="674"/>
    <x v="1"/>
    <x v="674"/>
    <x v="781"/>
    <x v="744"/>
    <x v="818"/>
    <x v="744"/>
    <x v="781"/>
    <x v="781"/>
    <x v="781"/>
    <x v="781"/>
    <x v="781"/>
    <x v="781"/>
    <x v="781"/>
    <x v="674"/>
    <x v="816"/>
    <x v="816"/>
    <x v="653"/>
    <x v="0"/>
    <x v="0"/>
    <x v="701"/>
    <x v="674"/>
    <x v="674"/>
    <x v="674"/>
    <x v="674"/>
    <x v="10"/>
  </r>
  <r>
    <x v="1166"/>
    <x v="570"/>
    <x v="0"/>
    <x v="0"/>
    <x v="0"/>
    <x v="0"/>
    <x v="0"/>
    <x v="0"/>
    <x v="0"/>
    <x v="0"/>
    <x v="10"/>
    <x v="0"/>
    <x v="1105"/>
    <x v="1"/>
    <x v="0"/>
    <x v="0"/>
    <x v="0"/>
    <x v="1166"/>
    <x v="2"/>
    <x v="10"/>
    <x v="10"/>
    <x v="0"/>
    <x v="0"/>
    <x v="3"/>
    <x v="49"/>
    <x v="0"/>
    <x v="11"/>
    <x v="1166"/>
    <x v="9"/>
    <x v="57"/>
    <x v="1"/>
    <x v="1"/>
    <x v="1"/>
    <x v="1"/>
    <x v="868"/>
    <x v="1"/>
    <x v="11"/>
    <x v="1103"/>
    <x v="1103"/>
    <x v="1"/>
    <x v="1103"/>
    <x v="1110"/>
    <x v="1109"/>
    <x v="1095"/>
    <x v="1109"/>
    <x v="1110"/>
    <x v="1110"/>
    <x v="1110"/>
    <x v="1110"/>
    <x v="1110"/>
    <x v="1110"/>
    <x v="1110"/>
    <x v="1103"/>
    <x v="1095"/>
    <x v="1095"/>
    <x v="1030"/>
    <x v="0"/>
    <x v="0"/>
    <x v="931"/>
    <x v="1103"/>
    <x v="1103"/>
    <x v="1103"/>
    <x v="1103"/>
    <x v="10"/>
  </r>
  <r>
    <x v="1167"/>
    <x v="560"/>
    <x v="0"/>
    <x v="0"/>
    <x v="0"/>
    <x v="0"/>
    <x v="0"/>
    <x v="0"/>
    <x v="0"/>
    <x v="0"/>
    <x v="10"/>
    <x v="0"/>
    <x v="1070"/>
    <x v="1"/>
    <x v="0"/>
    <x v="0"/>
    <x v="0"/>
    <x v="1167"/>
    <x v="2"/>
    <x v="10"/>
    <x v="10"/>
    <x v="0"/>
    <x v="0"/>
    <x v="3"/>
    <x v="50"/>
    <x v="0"/>
    <x v="30"/>
    <x v="1169"/>
    <x v="9"/>
    <x v="57"/>
    <x v="1"/>
    <x v="1"/>
    <x v="1"/>
    <x v="1"/>
    <x v="834"/>
    <x v="1"/>
    <x v="30"/>
    <x v="1068"/>
    <x v="1068"/>
    <x v="1"/>
    <x v="1068"/>
    <x v="1072"/>
    <x v="1069"/>
    <x v="1063"/>
    <x v="1069"/>
    <x v="1072"/>
    <x v="1072"/>
    <x v="1072"/>
    <x v="1072"/>
    <x v="1072"/>
    <x v="1072"/>
    <x v="1072"/>
    <x v="1068"/>
    <x v="1062"/>
    <x v="1062"/>
    <x v="992"/>
    <x v="0"/>
    <x v="0"/>
    <x v="1162"/>
    <x v="1068"/>
    <x v="1068"/>
    <x v="1068"/>
    <x v="1068"/>
    <x v="10"/>
  </r>
  <r>
    <x v="1168"/>
    <x v="612"/>
    <x v="0"/>
    <x v="0"/>
    <x v="0"/>
    <x v="0"/>
    <x v="1"/>
    <x v="9"/>
    <x v="0"/>
    <x v="0"/>
    <x v="0"/>
    <x v="0"/>
    <x v="132"/>
    <x v="1"/>
    <x v="0"/>
    <x v="0"/>
    <x v="0"/>
    <x v="1168"/>
    <x v="0"/>
    <x v="13"/>
    <x v="13"/>
    <x v="0"/>
    <x v="0"/>
    <x v="3"/>
    <x v="49"/>
    <x v="0"/>
    <x v="33"/>
    <x v="977"/>
    <x v="6"/>
    <x v="43"/>
    <x v="1"/>
    <x v="10"/>
    <x v="6"/>
    <x v="1"/>
    <x v="1099"/>
    <x v="10"/>
    <x v="33"/>
    <x v="133"/>
    <x v="133"/>
    <x v="0"/>
    <x v="133"/>
    <x v="197"/>
    <x v="175"/>
    <x v="226"/>
    <x v="175"/>
    <x v="197"/>
    <x v="197"/>
    <x v="197"/>
    <x v="197"/>
    <x v="197"/>
    <x v="197"/>
    <x v="197"/>
    <x v="133"/>
    <x v="232"/>
    <x v="232"/>
    <x v="0"/>
    <x v="36"/>
    <x v="0"/>
    <x v="311"/>
    <x v="133"/>
    <x v="133"/>
    <x v="133"/>
    <x v="133"/>
    <x v="0"/>
  </r>
  <r>
    <x v="1169"/>
    <x v="613"/>
    <x v="0"/>
    <x v="0"/>
    <x v="0"/>
    <x v="0"/>
    <x v="1"/>
    <x v="9"/>
    <x v="0"/>
    <x v="0"/>
    <x v="0"/>
    <x v="0"/>
    <x v="1123"/>
    <x v="1"/>
    <x v="0"/>
    <x v="0"/>
    <x v="0"/>
    <x v="1169"/>
    <x v="0"/>
    <x v="13"/>
    <x v="13"/>
    <x v="0"/>
    <x v="0"/>
    <x v="3"/>
    <x v="49"/>
    <x v="0"/>
    <x v="33"/>
    <x v="1163"/>
    <x v="6"/>
    <x v="43"/>
    <x v="1"/>
    <x v="10"/>
    <x v="6"/>
    <x v="1"/>
    <x v="1389"/>
    <x v="10"/>
    <x v="33"/>
    <x v="1121"/>
    <x v="1121"/>
    <x v="1"/>
    <x v="1121"/>
    <x v="1330"/>
    <x v="1269"/>
    <x v="1360"/>
    <x v="1269"/>
    <x v="1330"/>
    <x v="1330"/>
    <x v="1330"/>
    <x v="1330"/>
    <x v="1330"/>
    <x v="1330"/>
    <x v="1330"/>
    <x v="1121"/>
    <x v="1363"/>
    <x v="1363"/>
    <x v="0"/>
    <x v="110"/>
    <x v="0"/>
    <x v="1404"/>
    <x v="1121"/>
    <x v="1121"/>
    <x v="1121"/>
    <x v="1121"/>
    <x v="0"/>
  </r>
  <r>
    <x v="1170"/>
    <x v="552"/>
    <x v="0"/>
    <x v="0"/>
    <x v="0"/>
    <x v="0"/>
    <x v="1"/>
    <x v="4"/>
    <x v="0"/>
    <x v="0"/>
    <x v="10"/>
    <x v="0"/>
    <x v="513"/>
    <x v="1"/>
    <x v="0"/>
    <x v="0"/>
    <x v="0"/>
    <x v="1170"/>
    <x v="1"/>
    <x v="13"/>
    <x v="13"/>
    <x v="0"/>
    <x v="0"/>
    <x v="3"/>
    <x v="50"/>
    <x v="0"/>
    <x v="14"/>
    <x v="5"/>
    <x v="2"/>
    <x v="23"/>
    <x v="1"/>
    <x v="5"/>
    <x v="2"/>
    <x v="1"/>
    <x v="1158"/>
    <x v="5"/>
    <x v="14"/>
    <x v="513"/>
    <x v="513"/>
    <x v="0"/>
    <x v="513"/>
    <x v="657"/>
    <x v="612"/>
    <x v="721"/>
    <x v="612"/>
    <x v="657"/>
    <x v="657"/>
    <x v="657"/>
    <x v="657"/>
    <x v="657"/>
    <x v="657"/>
    <x v="657"/>
    <x v="513"/>
    <x v="724"/>
    <x v="724"/>
    <x v="512"/>
    <x v="0"/>
    <x v="0"/>
    <x v="564"/>
    <x v="513"/>
    <x v="513"/>
    <x v="513"/>
    <x v="513"/>
    <x v="10"/>
  </r>
  <r>
    <x v="1171"/>
    <x v="552"/>
    <x v="0"/>
    <x v="0"/>
    <x v="0"/>
    <x v="0"/>
    <x v="1"/>
    <x v="4"/>
    <x v="0"/>
    <x v="0"/>
    <x v="10"/>
    <x v="0"/>
    <x v="505"/>
    <x v="1"/>
    <x v="0"/>
    <x v="0"/>
    <x v="0"/>
    <x v="1171"/>
    <x v="1"/>
    <x v="13"/>
    <x v="13"/>
    <x v="0"/>
    <x v="0"/>
    <x v="3"/>
    <x v="50"/>
    <x v="0"/>
    <x v="14"/>
    <x v="1160"/>
    <x v="2"/>
    <x v="23"/>
    <x v="1"/>
    <x v="5"/>
    <x v="2"/>
    <x v="1"/>
    <x v="1157"/>
    <x v="5"/>
    <x v="14"/>
    <x v="505"/>
    <x v="505"/>
    <x v="0"/>
    <x v="505"/>
    <x v="648"/>
    <x v="605"/>
    <x v="710"/>
    <x v="605"/>
    <x v="648"/>
    <x v="648"/>
    <x v="648"/>
    <x v="648"/>
    <x v="648"/>
    <x v="648"/>
    <x v="648"/>
    <x v="505"/>
    <x v="714"/>
    <x v="714"/>
    <x v="505"/>
    <x v="0"/>
    <x v="0"/>
    <x v="558"/>
    <x v="505"/>
    <x v="505"/>
    <x v="505"/>
    <x v="505"/>
    <x v="10"/>
  </r>
  <r>
    <x v="1172"/>
    <x v="543"/>
    <x v="0"/>
    <x v="0"/>
    <x v="0"/>
    <x v="0"/>
    <x v="0"/>
    <x v="0"/>
    <x v="0"/>
    <x v="0"/>
    <x v="10"/>
    <x v="0"/>
    <x v="1184"/>
    <x v="1"/>
    <x v="0"/>
    <x v="0"/>
    <x v="0"/>
    <x v="1172"/>
    <x v="2"/>
    <x v="13"/>
    <x v="13"/>
    <x v="0"/>
    <x v="0"/>
    <x v="3"/>
    <x v="50"/>
    <x v="0"/>
    <x v="18"/>
    <x v="1130"/>
    <x v="9"/>
    <x v="57"/>
    <x v="1"/>
    <x v="1"/>
    <x v="1"/>
    <x v="1"/>
    <x v="964"/>
    <x v="1"/>
    <x v="18"/>
    <x v="1182"/>
    <x v="1182"/>
    <x v="2"/>
    <x v="1182"/>
    <x v="1202"/>
    <x v="1194"/>
    <x v="1184"/>
    <x v="1194"/>
    <x v="1202"/>
    <x v="1202"/>
    <x v="1202"/>
    <x v="1202"/>
    <x v="1202"/>
    <x v="1202"/>
    <x v="1202"/>
    <x v="1182"/>
    <x v="1182"/>
    <x v="1182"/>
    <x v="1109"/>
    <x v="0"/>
    <x v="0"/>
    <x v="1148"/>
    <x v="1182"/>
    <x v="1182"/>
    <x v="1182"/>
    <x v="1182"/>
    <x v="10"/>
  </r>
  <r>
    <x v="1173"/>
    <x v="561"/>
    <x v="0"/>
    <x v="0"/>
    <x v="0"/>
    <x v="0"/>
    <x v="0"/>
    <x v="0"/>
    <x v="0"/>
    <x v="0"/>
    <x v="10"/>
    <x v="0"/>
    <x v="14"/>
    <x v="1"/>
    <x v="0"/>
    <x v="0"/>
    <x v="0"/>
    <x v="1173"/>
    <x v="2"/>
    <x v="13"/>
    <x v="13"/>
    <x v="0"/>
    <x v="0"/>
    <x v="3"/>
    <x v="50"/>
    <x v="0"/>
    <x v="30"/>
    <x v="1176"/>
    <x v="9"/>
    <x v="57"/>
    <x v="1"/>
    <x v="1"/>
    <x v="1"/>
    <x v="1"/>
    <x v="10"/>
    <x v="1"/>
    <x v="30"/>
    <x v="15"/>
    <x v="15"/>
    <x v="0"/>
    <x v="15"/>
    <x v="13"/>
    <x v="13"/>
    <x v="12"/>
    <x v="13"/>
    <x v="13"/>
    <x v="13"/>
    <x v="13"/>
    <x v="13"/>
    <x v="13"/>
    <x v="13"/>
    <x v="13"/>
    <x v="15"/>
    <x v="12"/>
    <x v="12"/>
    <x v="14"/>
    <x v="0"/>
    <x v="0"/>
    <x v="18"/>
    <x v="15"/>
    <x v="15"/>
    <x v="15"/>
    <x v="15"/>
    <x v="10"/>
  </r>
  <r>
    <x v="1174"/>
    <x v="562"/>
    <x v="0"/>
    <x v="0"/>
    <x v="0"/>
    <x v="0"/>
    <x v="0"/>
    <x v="0"/>
    <x v="0"/>
    <x v="0"/>
    <x v="10"/>
    <x v="0"/>
    <x v="176"/>
    <x v="1"/>
    <x v="0"/>
    <x v="0"/>
    <x v="0"/>
    <x v="1174"/>
    <x v="2"/>
    <x v="13"/>
    <x v="13"/>
    <x v="0"/>
    <x v="0"/>
    <x v="3"/>
    <x v="50"/>
    <x v="0"/>
    <x v="30"/>
    <x v="1177"/>
    <x v="9"/>
    <x v="57"/>
    <x v="1"/>
    <x v="1"/>
    <x v="1"/>
    <x v="1"/>
    <x v="91"/>
    <x v="1"/>
    <x v="30"/>
    <x v="177"/>
    <x v="177"/>
    <x v="0"/>
    <x v="177"/>
    <x v="182"/>
    <x v="183"/>
    <x v="176"/>
    <x v="183"/>
    <x v="182"/>
    <x v="182"/>
    <x v="182"/>
    <x v="182"/>
    <x v="182"/>
    <x v="182"/>
    <x v="182"/>
    <x v="177"/>
    <x v="176"/>
    <x v="176"/>
    <x v="153"/>
    <x v="0"/>
    <x v="0"/>
    <x v="213"/>
    <x v="177"/>
    <x v="177"/>
    <x v="177"/>
    <x v="177"/>
    <x v="10"/>
  </r>
  <r>
    <x v="1175"/>
    <x v="570"/>
    <x v="0"/>
    <x v="0"/>
    <x v="0"/>
    <x v="0"/>
    <x v="0"/>
    <x v="0"/>
    <x v="0"/>
    <x v="0"/>
    <x v="10"/>
    <x v="0"/>
    <x v="361"/>
    <x v="1"/>
    <x v="0"/>
    <x v="0"/>
    <x v="0"/>
    <x v="1175"/>
    <x v="2"/>
    <x v="13"/>
    <x v="13"/>
    <x v="0"/>
    <x v="0"/>
    <x v="3"/>
    <x v="49"/>
    <x v="0"/>
    <x v="11"/>
    <x v="1167"/>
    <x v="9"/>
    <x v="57"/>
    <x v="1"/>
    <x v="1"/>
    <x v="1"/>
    <x v="1"/>
    <x v="244"/>
    <x v="1"/>
    <x v="11"/>
    <x v="361"/>
    <x v="361"/>
    <x v="0"/>
    <x v="361"/>
    <x v="358"/>
    <x v="364"/>
    <x v="340"/>
    <x v="364"/>
    <x v="358"/>
    <x v="358"/>
    <x v="358"/>
    <x v="358"/>
    <x v="358"/>
    <x v="358"/>
    <x v="358"/>
    <x v="361"/>
    <x v="341"/>
    <x v="341"/>
    <x v="323"/>
    <x v="0"/>
    <x v="0"/>
    <x v="281"/>
    <x v="361"/>
    <x v="361"/>
    <x v="361"/>
    <x v="361"/>
    <x v="10"/>
  </r>
  <r>
    <x v="1176"/>
    <x v="582"/>
    <x v="0"/>
    <x v="0"/>
    <x v="0"/>
    <x v="0"/>
    <x v="1"/>
    <x v="4"/>
    <x v="0"/>
    <x v="0"/>
    <x v="10"/>
    <x v="0"/>
    <x v="649"/>
    <x v="1"/>
    <x v="0"/>
    <x v="0"/>
    <x v="0"/>
    <x v="1176"/>
    <x v="1"/>
    <x v="13"/>
    <x v="13"/>
    <x v="0"/>
    <x v="0"/>
    <x v="3"/>
    <x v="49"/>
    <x v="0"/>
    <x v="31"/>
    <x v="1181"/>
    <x v="2"/>
    <x v="23"/>
    <x v="1"/>
    <x v="5"/>
    <x v="2"/>
    <x v="1"/>
    <x v="1192"/>
    <x v="5"/>
    <x v="31"/>
    <x v="649"/>
    <x v="649"/>
    <x v="0"/>
    <x v="649"/>
    <x v="762"/>
    <x v="724"/>
    <x v="804"/>
    <x v="724"/>
    <x v="762"/>
    <x v="762"/>
    <x v="762"/>
    <x v="762"/>
    <x v="762"/>
    <x v="762"/>
    <x v="762"/>
    <x v="649"/>
    <x v="802"/>
    <x v="802"/>
    <x v="637"/>
    <x v="0"/>
    <x v="0"/>
    <x v="940"/>
    <x v="649"/>
    <x v="649"/>
    <x v="649"/>
    <x v="649"/>
    <x v="10"/>
  </r>
  <r>
    <x v="1177"/>
    <x v="574"/>
    <x v="0"/>
    <x v="0"/>
    <x v="0"/>
    <x v="0"/>
    <x v="0"/>
    <x v="0"/>
    <x v="0"/>
    <x v="0"/>
    <x v="10"/>
    <x v="0"/>
    <x v="1115"/>
    <x v="1"/>
    <x v="0"/>
    <x v="0"/>
    <x v="0"/>
    <x v="1177"/>
    <x v="2"/>
    <x v="13"/>
    <x v="13"/>
    <x v="0"/>
    <x v="0"/>
    <x v="3"/>
    <x v="49"/>
    <x v="0"/>
    <x v="11"/>
    <x v="1173"/>
    <x v="9"/>
    <x v="57"/>
    <x v="1"/>
    <x v="1"/>
    <x v="1"/>
    <x v="1"/>
    <x v="883"/>
    <x v="1"/>
    <x v="11"/>
    <x v="1113"/>
    <x v="1113"/>
    <x v="1"/>
    <x v="1113"/>
    <x v="1122"/>
    <x v="1122"/>
    <x v="1106"/>
    <x v="1122"/>
    <x v="1122"/>
    <x v="1122"/>
    <x v="1122"/>
    <x v="1122"/>
    <x v="1122"/>
    <x v="1122"/>
    <x v="1122"/>
    <x v="1113"/>
    <x v="1105"/>
    <x v="1105"/>
    <x v="1044"/>
    <x v="0"/>
    <x v="0"/>
    <x v="953"/>
    <x v="1113"/>
    <x v="1113"/>
    <x v="1113"/>
    <x v="1113"/>
    <x v="10"/>
  </r>
  <r>
    <x v="1178"/>
    <x v="592"/>
    <x v="0"/>
    <x v="0"/>
    <x v="0"/>
    <x v="0"/>
    <x v="0"/>
    <x v="0"/>
    <x v="0"/>
    <x v="0"/>
    <x v="10"/>
    <x v="0"/>
    <x v="532"/>
    <x v="1"/>
    <x v="0"/>
    <x v="0"/>
    <x v="0"/>
    <x v="1178"/>
    <x v="2"/>
    <x v="13"/>
    <x v="13"/>
    <x v="0"/>
    <x v="0"/>
    <x v="3"/>
    <x v="70"/>
    <x v="0"/>
    <x v="10"/>
    <x v="1168"/>
    <x v="9"/>
    <x v="57"/>
    <x v="1"/>
    <x v="1"/>
    <x v="1"/>
    <x v="1"/>
    <x v="354"/>
    <x v="1"/>
    <x v="10"/>
    <x v="532"/>
    <x v="532"/>
    <x v="0"/>
    <x v="532"/>
    <x v="491"/>
    <x v="502"/>
    <x v="480"/>
    <x v="502"/>
    <x v="491"/>
    <x v="491"/>
    <x v="491"/>
    <x v="491"/>
    <x v="491"/>
    <x v="491"/>
    <x v="491"/>
    <x v="532"/>
    <x v="479"/>
    <x v="479"/>
    <x v="471"/>
    <x v="0"/>
    <x v="0"/>
    <x v="367"/>
    <x v="532"/>
    <x v="532"/>
    <x v="532"/>
    <x v="532"/>
    <x v="10"/>
  </r>
  <r>
    <x v="1179"/>
    <x v="574"/>
    <x v="0"/>
    <x v="0"/>
    <x v="0"/>
    <x v="0"/>
    <x v="0"/>
    <x v="0"/>
    <x v="0"/>
    <x v="0"/>
    <x v="10"/>
    <x v="0"/>
    <x v="386"/>
    <x v="1"/>
    <x v="0"/>
    <x v="0"/>
    <x v="0"/>
    <x v="1179"/>
    <x v="2"/>
    <x v="13"/>
    <x v="13"/>
    <x v="0"/>
    <x v="0"/>
    <x v="3"/>
    <x v="49"/>
    <x v="0"/>
    <x v="11"/>
    <x v="1172"/>
    <x v="9"/>
    <x v="57"/>
    <x v="1"/>
    <x v="1"/>
    <x v="1"/>
    <x v="1"/>
    <x v="266"/>
    <x v="1"/>
    <x v="11"/>
    <x v="386"/>
    <x v="386"/>
    <x v="0"/>
    <x v="386"/>
    <x v="384"/>
    <x v="385"/>
    <x v="359"/>
    <x v="385"/>
    <x v="384"/>
    <x v="384"/>
    <x v="384"/>
    <x v="384"/>
    <x v="384"/>
    <x v="384"/>
    <x v="384"/>
    <x v="386"/>
    <x v="359"/>
    <x v="359"/>
    <x v="344"/>
    <x v="0"/>
    <x v="0"/>
    <x v="298"/>
    <x v="386"/>
    <x v="386"/>
    <x v="386"/>
    <x v="386"/>
    <x v="10"/>
  </r>
  <r>
    <x v="1180"/>
    <x v="582"/>
    <x v="0"/>
    <x v="0"/>
    <x v="0"/>
    <x v="0"/>
    <x v="1"/>
    <x v="4"/>
    <x v="0"/>
    <x v="0"/>
    <x v="10"/>
    <x v="0"/>
    <x v="414"/>
    <x v="1"/>
    <x v="0"/>
    <x v="0"/>
    <x v="0"/>
    <x v="1180"/>
    <x v="1"/>
    <x v="13"/>
    <x v="13"/>
    <x v="0"/>
    <x v="0"/>
    <x v="3"/>
    <x v="49"/>
    <x v="0"/>
    <x v="31"/>
    <x v="1182"/>
    <x v="2"/>
    <x v="23"/>
    <x v="1"/>
    <x v="5"/>
    <x v="2"/>
    <x v="1"/>
    <x v="1109"/>
    <x v="5"/>
    <x v="31"/>
    <x v="414"/>
    <x v="414"/>
    <x v="0"/>
    <x v="414"/>
    <x v="517"/>
    <x v="475"/>
    <x v="596"/>
    <x v="475"/>
    <x v="517"/>
    <x v="517"/>
    <x v="517"/>
    <x v="517"/>
    <x v="517"/>
    <x v="517"/>
    <x v="517"/>
    <x v="414"/>
    <x v="596"/>
    <x v="596"/>
    <x v="403"/>
    <x v="0"/>
    <x v="0"/>
    <x v="779"/>
    <x v="414"/>
    <x v="414"/>
    <x v="414"/>
    <x v="414"/>
    <x v="10"/>
  </r>
  <r>
    <x v="1181"/>
    <x v="589"/>
    <x v="0"/>
    <x v="0"/>
    <x v="0"/>
    <x v="0"/>
    <x v="0"/>
    <x v="0"/>
    <x v="0"/>
    <x v="0"/>
    <x v="10"/>
    <x v="0"/>
    <x v="276"/>
    <x v="1"/>
    <x v="0"/>
    <x v="0"/>
    <x v="0"/>
    <x v="1181"/>
    <x v="2"/>
    <x v="13"/>
    <x v="13"/>
    <x v="0"/>
    <x v="0"/>
    <x v="3"/>
    <x v="49"/>
    <x v="0"/>
    <x v="32"/>
    <x v="1174"/>
    <x v="9"/>
    <x v="57"/>
    <x v="1"/>
    <x v="1"/>
    <x v="1"/>
    <x v="1"/>
    <x v="182"/>
    <x v="1"/>
    <x v="32"/>
    <x v="276"/>
    <x v="276"/>
    <x v="0"/>
    <x v="276"/>
    <x v="282"/>
    <x v="281"/>
    <x v="272"/>
    <x v="281"/>
    <x v="282"/>
    <x v="282"/>
    <x v="282"/>
    <x v="282"/>
    <x v="282"/>
    <x v="282"/>
    <x v="282"/>
    <x v="276"/>
    <x v="271"/>
    <x v="271"/>
    <x v="242"/>
    <x v="0"/>
    <x v="0"/>
    <x v="376"/>
    <x v="276"/>
    <x v="276"/>
    <x v="276"/>
    <x v="276"/>
    <x v="10"/>
  </r>
  <r>
    <x v="1182"/>
    <x v="593"/>
    <x v="0"/>
    <x v="0"/>
    <x v="0"/>
    <x v="0"/>
    <x v="0"/>
    <x v="0"/>
    <x v="0"/>
    <x v="0"/>
    <x v="10"/>
    <x v="0"/>
    <x v="389"/>
    <x v="1"/>
    <x v="0"/>
    <x v="0"/>
    <x v="0"/>
    <x v="1182"/>
    <x v="2"/>
    <x v="13"/>
    <x v="13"/>
    <x v="0"/>
    <x v="0"/>
    <x v="3"/>
    <x v="49"/>
    <x v="0"/>
    <x v="11"/>
    <x v="1175"/>
    <x v="9"/>
    <x v="57"/>
    <x v="1"/>
    <x v="1"/>
    <x v="1"/>
    <x v="1"/>
    <x v="268"/>
    <x v="1"/>
    <x v="11"/>
    <x v="389"/>
    <x v="389"/>
    <x v="0"/>
    <x v="389"/>
    <x v="386"/>
    <x v="387"/>
    <x v="363"/>
    <x v="387"/>
    <x v="386"/>
    <x v="386"/>
    <x v="386"/>
    <x v="386"/>
    <x v="386"/>
    <x v="386"/>
    <x v="386"/>
    <x v="389"/>
    <x v="363"/>
    <x v="363"/>
    <x v="348"/>
    <x v="0"/>
    <x v="0"/>
    <x v="301"/>
    <x v="389"/>
    <x v="389"/>
    <x v="389"/>
    <x v="389"/>
    <x v="10"/>
  </r>
  <r>
    <x v="1183"/>
    <x v="594"/>
    <x v="0"/>
    <x v="0"/>
    <x v="0"/>
    <x v="0"/>
    <x v="0"/>
    <x v="0"/>
    <x v="0"/>
    <x v="0"/>
    <x v="10"/>
    <x v="0"/>
    <x v="1147"/>
    <x v="1"/>
    <x v="0"/>
    <x v="0"/>
    <x v="0"/>
    <x v="1183"/>
    <x v="2"/>
    <x v="13"/>
    <x v="13"/>
    <x v="0"/>
    <x v="0"/>
    <x v="3"/>
    <x v="49"/>
    <x v="0"/>
    <x v="34"/>
    <x v="1183"/>
    <x v="9"/>
    <x v="57"/>
    <x v="1"/>
    <x v="1"/>
    <x v="1"/>
    <x v="1"/>
    <x v="914"/>
    <x v="1"/>
    <x v="34"/>
    <x v="1145"/>
    <x v="1145"/>
    <x v="1"/>
    <x v="1145"/>
    <x v="1152"/>
    <x v="1150"/>
    <x v="1137"/>
    <x v="1150"/>
    <x v="1152"/>
    <x v="1152"/>
    <x v="1152"/>
    <x v="1152"/>
    <x v="1152"/>
    <x v="1152"/>
    <x v="1152"/>
    <x v="1145"/>
    <x v="1135"/>
    <x v="1135"/>
    <x v="1069"/>
    <x v="0"/>
    <x v="0"/>
    <x v="1256"/>
    <x v="1145"/>
    <x v="1145"/>
    <x v="1145"/>
    <x v="1145"/>
    <x v="10"/>
  </r>
  <r>
    <x v="1184"/>
    <x v="609"/>
    <x v="0"/>
    <x v="0"/>
    <x v="0"/>
    <x v="0"/>
    <x v="1"/>
    <x v="4"/>
    <x v="0"/>
    <x v="0"/>
    <x v="10"/>
    <x v="0"/>
    <x v="1164"/>
    <x v="1"/>
    <x v="0"/>
    <x v="0"/>
    <x v="0"/>
    <x v="1184"/>
    <x v="1"/>
    <x v="13"/>
    <x v="13"/>
    <x v="0"/>
    <x v="0"/>
    <x v="3"/>
    <x v="49"/>
    <x v="0"/>
    <x v="33"/>
    <x v="23"/>
    <x v="2"/>
    <x v="23"/>
    <x v="1"/>
    <x v="5"/>
    <x v="2"/>
    <x v="1"/>
    <x v="1352"/>
    <x v="5"/>
    <x v="33"/>
    <x v="1162"/>
    <x v="1162"/>
    <x v="1"/>
    <x v="1162"/>
    <x v="1251"/>
    <x v="1220"/>
    <x v="1271"/>
    <x v="1220"/>
    <x v="1251"/>
    <x v="1251"/>
    <x v="1251"/>
    <x v="1251"/>
    <x v="1251"/>
    <x v="1251"/>
    <x v="1251"/>
    <x v="1162"/>
    <x v="1271"/>
    <x v="1271"/>
    <x v="1113"/>
    <x v="0"/>
    <x v="0"/>
    <x v="1347"/>
    <x v="1162"/>
    <x v="1162"/>
    <x v="1162"/>
    <x v="1162"/>
    <x v="10"/>
  </r>
  <r>
    <x v="1185"/>
    <x v="598"/>
    <x v="0"/>
    <x v="0"/>
    <x v="0"/>
    <x v="0"/>
    <x v="0"/>
    <x v="0"/>
    <x v="0"/>
    <x v="0"/>
    <x v="10"/>
    <x v="0"/>
    <x v="808"/>
    <x v="1"/>
    <x v="0"/>
    <x v="0"/>
    <x v="0"/>
    <x v="1185"/>
    <x v="2"/>
    <x v="13"/>
    <x v="13"/>
    <x v="0"/>
    <x v="0"/>
    <x v="3"/>
    <x v="49"/>
    <x v="0"/>
    <x v="11"/>
    <x v="1170"/>
    <x v="9"/>
    <x v="57"/>
    <x v="1"/>
    <x v="1"/>
    <x v="1"/>
    <x v="1"/>
    <x v="548"/>
    <x v="1"/>
    <x v="11"/>
    <x v="808"/>
    <x v="808"/>
    <x v="1"/>
    <x v="808"/>
    <x v="810"/>
    <x v="809"/>
    <x v="769"/>
    <x v="809"/>
    <x v="810"/>
    <x v="810"/>
    <x v="810"/>
    <x v="810"/>
    <x v="810"/>
    <x v="810"/>
    <x v="810"/>
    <x v="808"/>
    <x v="767"/>
    <x v="767"/>
    <x v="753"/>
    <x v="0"/>
    <x v="0"/>
    <x v="534"/>
    <x v="808"/>
    <x v="808"/>
    <x v="808"/>
    <x v="808"/>
    <x v="10"/>
  </r>
  <r>
    <x v="1186"/>
    <x v="600"/>
    <x v="0"/>
    <x v="0"/>
    <x v="0"/>
    <x v="0"/>
    <x v="1"/>
    <x v="4"/>
    <x v="0"/>
    <x v="0"/>
    <x v="10"/>
    <x v="0"/>
    <x v="461"/>
    <x v="1"/>
    <x v="0"/>
    <x v="0"/>
    <x v="0"/>
    <x v="1186"/>
    <x v="1"/>
    <x v="13"/>
    <x v="13"/>
    <x v="0"/>
    <x v="0"/>
    <x v="3"/>
    <x v="49"/>
    <x v="0"/>
    <x v="33"/>
    <x v="1180"/>
    <x v="2"/>
    <x v="23"/>
    <x v="1"/>
    <x v="5"/>
    <x v="2"/>
    <x v="1"/>
    <x v="1140"/>
    <x v="5"/>
    <x v="33"/>
    <x v="461"/>
    <x v="461"/>
    <x v="0"/>
    <x v="461"/>
    <x v="599"/>
    <x v="535"/>
    <x v="657"/>
    <x v="535"/>
    <x v="599"/>
    <x v="599"/>
    <x v="599"/>
    <x v="599"/>
    <x v="599"/>
    <x v="599"/>
    <x v="599"/>
    <x v="461"/>
    <x v="659"/>
    <x v="659"/>
    <x v="448"/>
    <x v="0"/>
    <x v="0"/>
    <x v="853"/>
    <x v="461"/>
    <x v="461"/>
    <x v="461"/>
    <x v="461"/>
    <x v="10"/>
  </r>
  <r>
    <x v="1187"/>
    <x v="600"/>
    <x v="0"/>
    <x v="0"/>
    <x v="0"/>
    <x v="0"/>
    <x v="0"/>
    <x v="0"/>
    <x v="0"/>
    <x v="0"/>
    <x v="10"/>
    <x v="0"/>
    <x v="926"/>
    <x v="1"/>
    <x v="0"/>
    <x v="0"/>
    <x v="0"/>
    <x v="1187"/>
    <x v="2"/>
    <x v="13"/>
    <x v="13"/>
    <x v="0"/>
    <x v="0"/>
    <x v="3"/>
    <x v="49"/>
    <x v="0"/>
    <x v="33"/>
    <x v="1179"/>
    <x v="9"/>
    <x v="57"/>
    <x v="1"/>
    <x v="1"/>
    <x v="1"/>
    <x v="1"/>
    <x v="676"/>
    <x v="1"/>
    <x v="33"/>
    <x v="926"/>
    <x v="926"/>
    <x v="1"/>
    <x v="926"/>
    <x v="932"/>
    <x v="931"/>
    <x v="926"/>
    <x v="931"/>
    <x v="932"/>
    <x v="932"/>
    <x v="932"/>
    <x v="932"/>
    <x v="932"/>
    <x v="932"/>
    <x v="932"/>
    <x v="926"/>
    <x v="925"/>
    <x v="925"/>
    <x v="865"/>
    <x v="0"/>
    <x v="0"/>
    <x v="1051"/>
    <x v="926"/>
    <x v="926"/>
    <x v="926"/>
    <x v="926"/>
    <x v="10"/>
  </r>
  <r>
    <x v="1188"/>
    <x v="600"/>
    <x v="0"/>
    <x v="0"/>
    <x v="0"/>
    <x v="0"/>
    <x v="1"/>
    <x v="4"/>
    <x v="0"/>
    <x v="0"/>
    <x v="10"/>
    <x v="0"/>
    <x v="40"/>
    <x v="1"/>
    <x v="0"/>
    <x v="0"/>
    <x v="0"/>
    <x v="1188"/>
    <x v="1"/>
    <x v="13"/>
    <x v="13"/>
    <x v="0"/>
    <x v="0"/>
    <x v="3"/>
    <x v="49"/>
    <x v="0"/>
    <x v="33"/>
    <x v="1178"/>
    <x v="2"/>
    <x v="23"/>
    <x v="1"/>
    <x v="5"/>
    <x v="2"/>
    <x v="1"/>
    <x v="128"/>
    <x v="5"/>
    <x v="33"/>
    <x v="41"/>
    <x v="41"/>
    <x v="0"/>
    <x v="41"/>
    <x v="44"/>
    <x v="44"/>
    <x v="45"/>
    <x v="44"/>
    <x v="44"/>
    <x v="44"/>
    <x v="44"/>
    <x v="44"/>
    <x v="44"/>
    <x v="44"/>
    <x v="44"/>
    <x v="41"/>
    <x v="45"/>
    <x v="45"/>
    <x v="34"/>
    <x v="0"/>
    <x v="0"/>
    <x v="81"/>
    <x v="41"/>
    <x v="41"/>
    <x v="41"/>
    <x v="41"/>
    <x v="10"/>
  </r>
  <r>
    <x v="1189"/>
    <x v="603"/>
    <x v="0"/>
    <x v="0"/>
    <x v="0"/>
    <x v="0"/>
    <x v="1"/>
    <x v="4"/>
    <x v="0"/>
    <x v="0"/>
    <x v="10"/>
    <x v="0"/>
    <x v="156"/>
    <x v="1"/>
    <x v="0"/>
    <x v="0"/>
    <x v="0"/>
    <x v="1189"/>
    <x v="1"/>
    <x v="13"/>
    <x v="13"/>
    <x v="0"/>
    <x v="0"/>
    <x v="3"/>
    <x v="49"/>
    <x v="0"/>
    <x v="33"/>
    <x v="1164"/>
    <x v="2"/>
    <x v="23"/>
    <x v="1"/>
    <x v="5"/>
    <x v="2"/>
    <x v="1"/>
    <x v="559"/>
    <x v="5"/>
    <x v="33"/>
    <x v="157"/>
    <x v="157"/>
    <x v="0"/>
    <x v="157"/>
    <x v="190"/>
    <x v="180"/>
    <x v="196"/>
    <x v="180"/>
    <x v="190"/>
    <x v="190"/>
    <x v="190"/>
    <x v="190"/>
    <x v="190"/>
    <x v="190"/>
    <x v="190"/>
    <x v="157"/>
    <x v="196"/>
    <x v="196"/>
    <x v="143"/>
    <x v="0"/>
    <x v="0"/>
    <x v="249"/>
    <x v="157"/>
    <x v="157"/>
    <x v="157"/>
    <x v="157"/>
    <x v="10"/>
  </r>
  <r>
    <x v="1190"/>
    <x v="598"/>
    <x v="0"/>
    <x v="0"/>
    <x v="0"/>
    <x v="0"/>
    <x v="0"/>
    <x v="0"/>
    <x v="0"/>
    <x v="0"/>
    <x v="10"/>
    <x v="0"/>
    <x v="779"/>
    <x v="1"/>
    <x v="0"/>
    <x v="0"/>
    <x v="0"/>
    <x v="1190"/>
    <x v="2"/>
    <x v="13"/>
    <x v="13"/>
    <x v="0"/>
    <x v="0"/>
    <x v="3"/>
    <x v="49"/>
    <x v="0"/>
    <x v="11"/>
    <x v="1171"/>
    <x v="9"/>
    <x v="57"/>
    <x v="1"/>
    <x v="1"/>
    <x v="1"/>
    <x v="1"/>
    <x v="520"/>
    <x v="1"/>
    <x v="11"/>
    <x v="779"/>
    <x v="779"/>
    <x v="1"/>
    <x v="779"/>
    <x v="771"/>
    <x v="775"/>
    <x v="731"/>
    <x v="775"/>
    <x v="771"/>
    <x v="771"/>
    <x v="771"/>
    <x v="771"/>
    <x v="771"/>
    <x v="771"/>
    <x v="771"/>
    <x v="779"/>
    <x v="731"/>
    <x v="731"/>
    <x v="718"/>
    <x v="0"/>
    <x v="0"/>
    <x v="496"/>
    <x v="779"/>
    <x v="779"/>
    <x v="779"/>
    <x v="779"/>
    <x v="10"/>
  </r>
  <r>
    <x v="1191"/>
    <x v="604"/>
    <x v="0"/>
    <x v="0"/>
    <x v="0"/>
    <x v="0"/>
    <x v="1"/>
    <x v="4"/>
    <x v="0"/>
    <x v="0"/>
    <x v="10"/>
    <x v="0"/>
    <x v="181"/>
    <x v="1"/>
    <x v="0"/>
    <x v="0"/>
    <x v="0"/>
    <x v="1191"/>
    <x v="1"/>
    <x v="13"/>
    <x v="13"/>
    <x v="0"/>
    <x v="0"/>
    <x v="3"/>
    <x v="49"/>
    <x v="0"/>
    <x v="33"/>
    <x v="1165"/>
    <x v="2"/>
    <x v="23"/>
    <x v="1"/>
    <x v="5"/>
    <x v="2"/>
    <x v="1"/>
    <x v="648"/>
    <x v="5"/>
    <x v="33"/>
    <x v="182"/>
    <x v="182"/>
    <x v="0"/>
    <x v="182"/>
    <x v="221"/>
    <x v="206"/>
    <x v="227"/>
    <x v="206"/>
    <x v="221"/>
    <x v="221"/>
    <x v="221"/>
    <x v="221"/>
    <x v="221"/>
    <x v="221"/>
    <x v="221"/>
    <x v="182"/>
    <x v="226"/>
    <x v="226"/>
    <x v="167"/>
    <x v="0"/>
    <x v="0"/>
    <x v="295"/>
    <x v="182"/>
    <x v="182"/>
    <x v="182"/>
    <x v="182"/>
    <x v="10"/>
  </r>
  <r>
    <x v="1192"/>
    <x v="609"/>
    <x v="0"/>
    <x v="0"/>
    <x v="0"/>
    <x v="0"/>
    <x v="1"/>
    <x v="4"/>
    <x v="0"/>
    <x v="0"/>
    <x v="10"/>
    <x v="0"/>
    <x v="72"/>
    <x v="1"/>
    <x v="0"/>
    <x v="0"/>
    <x v="0"/>
    <x v="1192"/>
    <x v="1"/>
    <x v="13"/>
    <x v="13"/>
    <x v="0"/>
    <x v="0"/>
    <x v="3"/>
    <x v="49"/>
    <x v="0"/>
    <x v="33"/>
    <x v="1185"/>
    <x v="2"/>
    <x v="23"/>
    <x v="1"/>
    <x v="5"/>
    <x v="2"/>
    <x v="1"/>
    <x v="193"/>
    <x v="5"/>
    <x v="33"/>
    <x v="73"/>
    <x v="73"/>
    <x v="0"/>
    <x v="73"/>
    <x v="82"/>
    <x v="80"/>
    <x v="87"/>
    <x v="80"/>
    <x v="82"/>
    <x v="82"/>
    <x v="82"/>
    <x v="82"/>
    <x v="82"/>
    <x v="82"/>
    <x v="82"/>
    <x v="73"/>
    <x v="87"/>
    <x v="87"/>
    <x v="64"/>
    <x v="0"/>
    <x v="0"/>
    <x v="127"/>
    <x v="73"/>
    <x v="73"/>
    <x v="73"/>
    <x v="73"/>
    <x v="10"/>
  </r>
  <r>
    <x v="1193"/>
    <x v="610"/>
    <x v="0"/>
    <x v="0"/>
    <x v="0"/>
    <x v="0"/>
    <x v="1"/>
    <x v="4"/>
    <x v="0"/>
    <x v="0"/>
    <x v="10"/>
    <x v="0"/>
    <x v="81"/>
    <x v="1"/>
    <x v="0"/>
    <x v="0"/>
    <x v="0"/>
    <x v="1193"/>
    <x v="1"/>
    <x v="13"/>
    <x v="13"/>
    <x v="0"/>
    <x v="0"/>
    <x v="3"/>
    <x v="49"/>
    <x v="0"/>
    <x v="33"/>
    <x v="1184"/>
    <x v="2"/>
    <x v="23"/>
    <x v="1"/>
    <x v="5"/>
    <x v="2"/>
    <x v="1"/>
    <x v="217"/>
    <x v="5"/>
    <x v="33"/>
    <x v="82"/>
    <x v="82"/>
    <x v="0"/>
    <x v="82"/>
    <x v="99"/>
    <x v="91"/>
    <x v="105"/>
    <x v="91"/>
    <x v="99"/>
    <x v="99"/>
    <x v="99"/>
    <x v="99"/>
    <x v="99"/>
    <x v="99"/>
    <x v="99"/>
    <x v="82"/>
    <x v="105"/>
    <x v="105"/>
    <x v="74"/>
    <x v="0"/>
    <x v="0"/>
    <x v="136"/>
    <x v="82"/>
    <x v="82"/>
    <x v="82"/>
    <x v="82"/>
    <x v="10"/>
  </r>
  <r>
    <x v="1194"/>
    <x v="844"/>
    <x v="0"/>
    <x v="0"/>
    <x v="0"/>
    <x v="0"/>
    <x v="1"/>
    <x v="11"/>
    <x v="0"/>
    <x v="0"/>
    <x v="0"/>
    <x v="0"/>
    <x v="187"/>
    <x v="1"/>
    <x v="0"/>
    <x v="0"/>
    <x v="0"/>
    <x v="1194"/>
    <x v="0"/>
    <x v="16"/>
    <x v="16"/>
    <x v="0"/>
    <x v="0"/>
    <x v="3"/>
    <x v="10"/>
    <x v="0"/>
    <x v="27"/>
    <x v="24"/>
    <x v="8"/>
    <x v="45"/>
    <x v="1"/>
    <x v="12"/>
    <x v="7"/>
    <x v="1"/>
    <x v="1338"/>
    <x v="12"/>
    <x v="27"/>
    <x v="188"/>
    <x v="188"/>
    <x v="0"/>
    <x v="188"/>
    <x v="355"/>
    <x v="290"/>
    <x v="460"/>
    <x v="290"/>
    <x v="355"/>
    <x v="355"/>
    <x v="355"/>
    <x v="355"/>
    <x v="355"/>
    <x v="355"/>
    <x v="355"/>
    <x v="188"/>
    <x v="521"/>
    <x v="521"/>
    <x v="0"/>
    <x v="47"/>
    <x v="0"/>
    <x v="654"/>
    <x v="188"/>
    <x v="188"/>
    <x v="188"/>
    <x v="188"/>
    <x v="0"/>
  </r>
  <r>
    <x v="1195"/>
    <x v="844"/>
    <x v="0"/>
    <x v="0"/>
    <x v="0"/>
    <x v="0"/>
    <x v="1"/>
    <x v="10"/>
    <x v="0"/>
    <x v="0"/>
    <x v="0"/>
    <x v="0"/>
    <x v="206"/>
    <x v="1"/>
    <x v="0"/>
    <x v="0"/>
    <x v="0"/>
    <x v="1195"/>
    <x v="0"/>
    <x v="16"/>
    <x v="16"/>
    <x v="0"/>
    <x v="0"/>
    <x v="3"/>
    <x v="10"/>
    <x v="0"/>
    <x v="27"/>
    <x v="25"/>
    <x v="7"/>
    <x v="44"/>
    <x v="1"/>
    <x v="11"/>
    <x v="6"/>
    <x v="1"/>
    <x v="1306"/>
    <x v="11"/>
    <x v="27"/>
    <x v="207"/>
    <x v="207"/>
    <x v="0"/>
    <x v="207"/>
    <x v="328"/>
    <x v="286"/>
    <x v="395"/>
    <x v="286"/>
    <x v="328"/>
    <x v="328"/>
    <x v="328"/>
    <x v="328"/>
    <x v="328"/>
    <x v="328"/>
    <x v="328"/>
    <x v="207"/>
    <x v="426"/>
    <x v="426"/>
    <x v="0"/>
    <x v="49"/>
    <x v="0"/>
    <x v="563"/>
    <x v="207"/>
    <x v="207"/>
    <x v="207"/>
    <x v="207"/>
    <x v="0"/>
  </r>
  <r>
    <x v="1196"/>
    <x v="891"/>
    <x v="0"/>
    <x v="0"/>
    <x v="0"/>
    <x v="0"/>
    <x v="1"/>
    <x v="11"/>
    <x v="0"/>
    <x v="0"/>
    <x v="0"/>
    <x v="0"/>
    <x v="1148"/>
    <x v="1"/>
    <x v="0"/>
    <x v="0"/>
    <x v="0"/>
    <x v="1196"/>
    <x v="0"/>
    <x v="16"/>
    <x v="16"/>
    <x v="0"/>
    <x v="0"/>
    <x v="3"/>
    <x v="10"/>
    <x v="0"/>
    <x v="28"/>
    <x v="1187"/>
    <x v="8"/>
    <x v="45"/>
    <x v="1"/>
    <x v="12"/>
    <x v="7"/>
    <x v="1"/>
    <x v="1400"/>
    <x v="12"/>
    <x v="28"/>
    <x v="1146"/>
    <x v="1146"/>
    <x v="1"/>
    <x v="1146"/>
    <x v="1373"/>
    <x v="1334"/>
    <x v="1392"/>
    <x v="1334"/>
    <x v="1373"/>
    <x v="1373"/>
    <x v="1373"/>
    <x v="1373"/>
    <x v="1373"/>
    <x v="1373"/>
    <x v="1373"/>
    <x v="1146"/>
    <x v="1391"/>
    <x v="1391"/>
    <x v="0"/>
    <x v="112"/>
    <x v="0"/>
    <x v="1418"/>
    <x v="1146"/>
    <x v="1146"/>
    <x v="1146"/>
    <x v="1146"/>
    <x v="0"/>
  </r>
  <r>
    <x v="1197"/>
    <x v="894"/>
    <x v="0"/>
    <x v="0"/>
    <x v="0"/>
    <x v="0"/>
    <x v="0"/>
    <x v="1"/>
    <x v="0"/>
    <x v="0"/>
    <x v="11"/>
    <x v="0"/>
    <x v="1170"/>
    <x v="1"/>
    <x v="0"/>
    <x v="0"/>
    <x v="0"/>
    <x v="1197"/>
    <x v="1"/>
    <x v="16"/>
    <x v="16"/>
    <x v="0"/>
    <x v="0"/>
    <x v="3"/>
    <x v="10"/>
    <x v="0"/>
    <x v="44"/>
    <x v="1192"/>
    <x v="10"/>
    <x v="68"/>
    <x v="1"/>
    <x v="2"/>
    <x v="2"/>
    <x v="1"/>
    <x v="1174"/>
    <x v="2"/>
    <x v="44"/>
    <x v="1168"/>
    <x v="1168"/>
    <x v="1"/>
    <x v="1168"/>
    <x v="1241"/>
    <x v="1223"/>
    <x v="1241"/>
    <x v="1223"/>
    <x v="1241"/>
    <x v="1241"/>
    <x v="1241"/>
    <x v="1241"/>
    <x v="1241"/>
    <x v="1241"/>
    <x v="1241"/>
    <x v="1168"/>
    <x v="1237"/>
    <x v="1237"/>
    <x v="1104"/>
    <x v="0"/>
    <x v="0"/>
    <x v="1366"/>
    <x v="1168"/>
    <x v="1168"/>
    <x v="1168"/>
    <x v="1168"/>
    <x v="11"/>
  </r>
  <r>
    <x v="1198"/>
    <x v="887"/>
    <x v="0"/>
    <x v="0"/>
    <x v="0"/>
    <x v="0"/>
    <x v="0"/>
    <x v="0"/>
    <x v="0"/>
    <x v="0"/>
    <x v="11"/>
    <x v="0"/>
    <x v="991"/>
    <x v="1"/>
    <x v="0"/>
    <x v="0"/>
    <x v="0"/>
    <x v="1198"/>
    <x v="2"/>
    <x v="16"/>
    <x v="16"/>
    <x v="0"/>
    <x v="0"/>
    <x v="3"/>
    <x v="10"/>
    <x v="0"/>
    <x v="28"/>
    <x v="1188"/>
    <x v="9"/>
    <x v="58"/>
    <x v="1"/>
    <x v="1"/>
    <x v="1"/>
    <x v="1"/>
    <x v="754"/>
    <x v="1"/>
    <x v="28"/>
    <x v="991"/>
    <x v="991"/>
    <x v="1"/>
    <x v="991"/>
    <x v="1008"/>
    <x v="1001"/>
    <x v="988"/>
    <x v="1001"/>
    <x v="1008"/>
    <x v="1008"/>
    <x v="1008"/>
    <x v="1008"/>
    <x v="1008"/>
    <x v="1008"/>
    <x v="1008"/>
    <x v="991"/>
    <x v="989"/>
    <x v="989"/>
    <x v="922"/>
    <x v="0"/>
    <x v="0"/>
    <x v="1069"/>
    <x v="991"/>
    <x v="991"/>
    <x v="991"/>
    <x v="991"/>
    <x v="11"/>
  </r>
  <r>
    <x v="1199"/>
    <x v="898"/>
    <x v="0"/>
    <x v="0"/>
    <x v="0"/>
    <x v="0"/>
    <x v="0"/>
    <x v="0"/>
    <x v="0"/>
    <x v="0"/>
    <x v="11"/>
    <x v="0"/>
    <x v="805"/>
    <x v="1"/>
    <x v="0"/>
    <x v="0"/>
    <x v="0"/>
    <x v="1199"/>
    <x v="2"/>
    <x v="16"/>
    <x v="16"/>
    <x v="0"/>
    <x v="0"/>
    <x v="3"/>
    <x v="10"/>
    <x v="0"/>
    <x v="43"/>
    <x v="1190"/>
    <x v="9"/>
    <x v="58"/>
    <x v="1"/>
    <x v="1"/>
    <x v="1"/>
    <x v="1"/>
    <x v="544"/>
    <x v="1"/>
    <x v="43"/>
    <x v="805"/>
    <x v="805"/>
    <x v="1"/>
    <x v="805"/>
    <x v="805"/>
    <x v="804"/>
    <x v="764"/>
    <x v="804"/>
    <x v="805"/>
    <x v="805"/>
    <x v="805"/>
    <x v="805"/>
    <x v="805"/>
    <x v="805"/>
    <x v="805"/>
    <x v="805"/>
    <x v="763"/>
    <x v="763"/>
    <x v="750"/>
    <x v="0"/>
    <x v="0"/>
    <x v="1027"/>
    <x v="805"/>
    <x v="805"/>
    <x v="805"/>
    <x v="805"/>
    <x v="11"/>
  </r>
  <r>
    <x v="1200"/>
    <x v="897"/>
    <x v="0"/>
    <x v="0"/>
    <x v="0"/>
    <x v="0"/>
    <x v="0"/>
    <x v="1"/>
    <x v="0"/>
    <x v="0"/>
    <x v="11"/>
    <x v="0"/>
    <x v="135"/>
    <x v="1"/>
    <x v="0"/>
    <x v="0"/>
    <x v="0"/>
    <x v="1200"/>
    <x v="1"/>
    <x v="16"/>
    <x v="16"/>
    <x v="0"/>
    <x v="0"/>
    <x v="3"/>
    <x v="10"/>
    <x v="0"/>
    <x v="44"/>
    <x v="1191"/>
    <x v="10"/>
    <x v="68"/>
    <x v="1"/>
    <x v="2"/>
    <x v="2"/>
    <x v="1"/>
    <x v="126"/>
    <x v="2"/>
    <x v="44"/>
    <x v="136"/>
    <x v="136"/>
    <x v="0"/>
    <x v="136"/>
    <x v="160"/>
    <x v="160"/>
    <x v="155"/>
    <x v="160"/>
    <x v="160"/>
    <x v="160"/>
    <x v="160"/>
    <x v="160"/>
    <x v="160"/>
    <x v="160"/>
    <x v="160"/>
    <x v="136"/>
    <x v="155"/>
    <x v="155"/>
    <x v="119"/>
    <x v="0"/>
    <x v="0"/>
    <x v="220"/>
    <x v="136"/>
    <x v="136"/>
    <x v="136"/>
    <x v="136"/>
    <x v="11"/>
  </r>
  <r>
    <x v="1201"/>
    <x v="709"/>
    <x v="0"/>
    <x v="0"/>
    <x v="0"/>
    <x v="0"/>
    <x v="0"/>
    <x v="0"/>
    <x v="0"/>
    <x v="0"/>
    <x v="11"/>
    <x v="0"/>
    <x v="1249"/>
    <x v="1"/>
    <x v="0"/>
    <x v="0"/>
    <x v="0"/>
    <x v="1201"/>
    <x v="2"/>
    <x v="17"/>
    <x v="17"/>
    <x v="0"/>
    <x v="0"/>
    <x v="4"/>
    <x v="128"/>
    <x v="0"/>
    <x v="22"/>
    <x v="1186"/>
    <x v="9"/>
    <x v="58"/>
    <x v="1"/>
    <x v="1"/>
    <x v="1"/>
    <x v="1"/>
    <x v="1045"/>
    <x v="1"/>
    <x v="22"/>
    <x v="1247"/>
    <x v="1247"/>
    <x v="2"/>
    <x v="1247"/>
    <x v="1268"/>
    <x v="1259"/>
    <x v="1259"/>
    <x v="1259"/>
    <x v="1268"/>
    <x v="1268"/>
    <x v="1268"/>
    <x v="1268"/>
    <x v="1268"/>
    <x v="1268"/>
    <x v="1268"/>
    <x v="1247"/>
    <x v="1259"/>
    <x v="1259"/>
    <x v="1172"/>
    <x v="0"/>
    <x v="0"/>
    <x v="1268"/>
    <x v="1247"/>
    <x v="1247"/>
    <x v="1247"/>
    <x v="1247"/>
    <x v="11"/>
  </r>
  <r>
    <x v="1202"/>
    <x v="775"/>
    <x v="0"/>
    <x v="0"/>
    <x v="0"/>
    <x v="0"/>
    <x v="0"/>
    <x v="0"/>
    <x v="0"/>
    <x v="0"/>
    <x v="11"/>
    <x v="0"/>
    <x v="1283"/>
    <x v="1"/>
    <x v="0"/>
    <x v="0"/>
    <x v="0"/>
    <x v="1202"/>
    <x v="2"/>
    <x v="17"/>
    <x v="17"/>
    <x v="0"/>
    <x v="0"/>
    <x v="5"/>
    <x v="128"/>
    <x v="0"/>
    <x v="24"/>
    <x v="1217"/>
    <x v="9"/>
    <x v="58"/>
    <x v="1"/>
    <x v="1"/>
    <x v="1"/>
    <x v="1"/>
    <x v="1079"/>
    <x v="1"/>
    <x v="24"/>
    <x v="1281"/>
    <x v="1281"/>
    <x v="2"/>
    <x v="1281"/>
    <x v="1299"/>
    <x v="1294"/>
    <x v="1295"/>
    <x v="1294"/>
    <x v="1299"/>
    <x v="1299"/>
    <x v="1299"/>
    <x v="1299"/>
    <x v="1299"/>
    <x v="1299"/>
    <x v="1299"/>
    <x v="1281"/>
    <x v="1293"/>
    <x v="1293"/>
    <x v="1200"/>
    <x v="0"/>
    <x v="0"/>
    <x v="1312"/>
    <x v="1281"/>
    <x v="1281"/>
    <x v="1281"/>
    <x v="1281"/>
    <x v="11"/>
  </r>
  <r>
    <x v="1203"/>
    <x v="772"/>
    <x v="0"/>
    <x v="0"/>
    <x v="0"/>
    <x v="0"/>
    <x v="0"/>
    <x v="0"/>
    <x v="0"/>
    <x v="0"/>
    <x v="11"/>
    <x v="0"/>
    <x v="110"/>
    <x v="1"/>
    <x v="0"/>
    <x v="0"/>
    <x v="0"/>
    <x v="1203"/>
    <x v="2"/>
    <x v="17"/>
    <x v="17"/>
    <x v="0"/>
    <x v="0"/>
    <x v="4"/>
    <x v="91"/>
    <x v="0"/>
    <x v="24"/>
    <x v="1215"/>
    <x v="9"/>
    <x v="58"/>
    <x v="1"/>
    <x v="1"/>
    <x v="1"/>
    <x v="1"/>
    <x v="52"/>
    <x v="1"/>
    <x v="24"/>
    <x v="111"/>
    <x v="111"/>
    <x v="0"/>
    <x v="111"/>
    <x v="108"/>
    <x v="109"/>
    <x v="98"/>
    <x v="109"/>
    <x v="108"/>
    <x v="108"/>
    <x v="108"/>
    <x v="108"/>
    <x v="108"/>
    <x v="108"/>
    <x v="108"/>
    <x v="111"/>
    <x v="98"/>
    <x v="98"/>
    <x v="94"/>
    <x v="0"/>
    <x v="0"/>
    <x v="114"/>
    <x v="111"/>
    <x v="111"/>
    <x v="111"/>
    <x v="111"/>
    <x v="11"/>
  </r>
  <r>
    <x v="1204"/>
    <x v="781"/>
    <x v="0"/>
    <x v="0"/>
    <x v="0"/>
    <x v="0"/>
    <x v="0"/>
    <x v="0"/>
    <x v="0"/>
    <x v="0"/>
    <x v="11"/>
    <x v="0"/>
    <x v="1039"/>
    <x v="1"/>
    <x v="0"/>
    <x v="0"/>
    <x v="0"/>
    <x v="1204"/>
    <x v="2"/>
    <x v="17"/>
    <x v="17"/>
    <x v="0"/>
    <x v="0"/>
    <x v="4"/>
    <x v="14"/>
    <x v="0"/>
    <x v="24"/>
    <x v="1197"/>
    <x v="9"/>
    <x v="58"/>
    <x v="1"/>
    <x v="1"/>
    <x v="1"/>
    <x v="1"/>
    <x v="803"/>
    <x v="1"/>
    <x v="24"/>
    <x v="1038"/>
    <x v="1038"/>
    <x v="1"/>
    <x v="1038"/>
    <x v="1047"/>
    <x v="1042"/>
    <x v="1033"/>
    <x v="1042"/>
    <x v="1047"/>
    <x v="1047"/>
    <x v="1047"/>
    <x v="1047"/>
    <x v="1047"/>
    <x v="1047"/>
    <x v="1047"/>
    <x v="1038"/>
    <x v="1033"/>
    <x v="1033"/>
    <x v="966"/>
    <x v="0"/>
    <x v="0"/>
    <x v="1057"/>
    <x v="1038"/>
    <x v="1038"/>
    <x v="1038"/>
    <x v="1038"/>
    <x v="11"/>
  </r>
  <r>
    <x v="1205"/>
    <x v="780"/>
    <x v="0"/>
    <x v="0"/>
    <x v="0"/>
    <x v="0"/>
    <x v="0"/>
    <x v="0"/>
    <x v="0"/>
    <x v="0"/>
    <x v="11"/>
    <x v="0"/>
    <x v="313"/>
    <x v="1"/>
    <x v="0"/>
    <x v="0"/>
    <x v="0"/>
    <x v="1205"/>
    <x v="2"/>
    <x v="17"/>
    <x v="17"/>
    <x v="0"/>
    <x v="0"/>
    <x v="4"/>
    <x v="14"/>
    <x v="0"/>
    <x v="24"/>
    <x v="1204"/>
    <x v="9"/>
    <x v="58"/>
    <x v="1"/>
    <x v="1"/>
    <x v="1"/>
    <x v="1"/>
    <x v="207"/>
    <x v="1"/>
    <x v="24"/>
    <x v="313"/>
    <x v="313"/>
    <x v="0"/>
    <x v="313"/>
    <x v="308"/>
    <x v="309"/>
    <x v="302"/>
    <x v="309"/>
    <x v="308"/>
    <x v="308"/>
    <x v="308"/>
    <x v="308"/>
    <x v="308"/>
    <x v="308"/>
    <x v="308"/>
    <x v="313"/>
    <x v="302"/>
    <x v="302"/>
    <x v="270"/>
    <x v="0"/>
    <x v="0"/>
    <x v="364"/>
    <x v="313"/>
    <x v="313"/>
    <x v="313"/>
    <x v="313"/>
    <x v="11"/>
  </r>
  <r>
    <x v="1206"/>
    <x v="759"/>
    <x v="0"/>
    <x v="0"/>
    <x v="0"/>
    <x v="0"/>
    <x v="0"/>
    <x v="0"/>
    <x v="0"/>
    <x v="0"/>
    <x v="11"/>
    <x v="0"/>
    <x v="1080"/>
    <x v="1"/>
    <x v="0"/>
    <x v="0"/>
    <x v="0"/>
    <x v="1206"/>
    <x v="2"/>
    <x v="17"/>
    <x v="17"/>
    <x v="0"/>
    <x v="0"/>
    <x v="4"/>
    <x v="128"/>
    <x v="0"/>
    <x v="24"/>
    <x v="1194"/>
    <x v="9"/>
    <x v="58"/>
    <x v="1"/>
    <x v="1"/>
    <x v="1"/>
    <x v="1"/>
    <x v="846"/>
    <x v="1"/>
    <x v="24"/>
    <x v="1078"/>
    <x v="1078"/>
    <x v="1"/>
    <x v="1078"/>
    <x v="1088"/>
    <x v="1083"/>
    <x v="1073"/>
    <x v="1083"/>
    <x v="1088"/>
    <x v="1088"/>
    <x v="1088"/>
    <x v="1088"/>
    <x v="1088"/>
    <x v="1088"/>
    <x v="1088"/>
    <x v="1078"/>
    <x v="1072"/>
    <x v="1072"/>
    <x v="1007"/>
    <x v="0"/>
    <x v="0"/>
    <x v="1107"/>
    <x v="1078"/>
    <x v="1078"/>
    <x v="1078"/>
    <x v="1078"/>
    <x v="11"/>
  </r>
  <r>
    <x v="1207"/>
    <x v="774"/>
    <x v="0"/>
    <x v="0"/>
    <x v="0"/>
    <x v="0"/>
    <x v="0"/>
    <x v="0"/>
    <x v="0"/>
    <x v="0"/>
    <x v="11"/>
    <x v="0"/>
    <x v="639"/>
    <x v="1"/>
    <x v="0"/>
    <x v="0"/>
    <x v="0"/>
    <x v="1207"/>
    <x v="2"/>
    <x v="17"/>
    <x v="17"/>
    <x v="0"/>
    <x v="0"/>
    <x v="4"/>
    <x v="14"/>
    <x v="0"/>
    <x v="24"/>
    <x v="1203"/>
    <x v="9"/>
    <x v="58"/>
    <x v="1"/>
    <x v="1"/>
    <x v="1"/>
    <x v="1"/>
    <x v="417"/>
    <x v="1"/>
    <x v="24"/>
    <x v="639"/>
    <x v="639"/>
    <x v="0"/>
    <x v="639"/>
    <x v="580"/>
    <x v="585"/>
    <x v="555"/>
    <x v="585"/>
    <x v="580"/>
    <x v="580"/>
    <x v="580"/>
    <x v="580"/>
    <x v="580"/>
    <x v="580"/>
    <x v="580"/>
    <x v="639"/>
    <x v="556"/>
    <x v="556"/>
    <x v="568"/>
    <x v="0"/>
    <x v="0"/>
    <x v="623"/>
    <x v="639"/>
    <x v="639"/>
    <x v="639"/>
    <x v="639"/>
    <x v="11"/>
  </r>
  <r>
    <x v="1208"/>
    <x v="775"/>
    <x v="0"/>
    <x v="0"/>
    <x v="0"/>
    <x v="0"/>
    <x v="0"/>
    <x v="0"/>
    <x v="0"/>
    <x v="0"/>
    <x v="11"/>
    <x v="0"/>
    <x v="775"/>
    <x v="1"/>
    <x v="0"/>
    <x v="0"/>
    <x v="0"/>
    <x v="1208"/>
    <x v="2"/>
    <x v="17"/>
    <x v="17"/>
    <x v="0"/>
    <x v="0"/>
    <x v="5"/>
    <x v="128"/>
    <x v="0"/>
    <x v="24"/>
    <x v="1216"/>
    <x v="9"/>
    <x v="58"/>
    <x v="1"/>
    <x v="1"/>
    <x v="1"/>
    <x v="1"/>
    <x v="518"/>
    <x v="1"/>
    <x v="24"/>
    <x v="775"/>
    <x v="775"/>
    <x v="1"/>
    <x v="775"/>
    <x v="765"/>
    <x v="771"/>
    <x v="728"/>
    <x v="771"/>
    <x v="765"/>
    <x v="765"/>
    <x v="765"/>
    <x v="765"/>
    <x v="765"/>
    <x v="765"/>
    <x v="765"/>
    <x v="775"/>
    <x v="727"/>
    <x v="727"/>
    <x v="715"/>
    <x v="0"/>
    <x v="0"/>
    <x v="767"/>
    <x v="775"/>
    <x v="775"/>
    <x v="775"/>
    <x v="775"/>
    <x v="11"/>
  </r>
  <r>
    <x v="1209"/>
    <x v="791"/>
    <x v="0"/>
    <x v="0"/>
    <x v="0"/>
    <x v="0"/>
    <x v="0"/>
    <x v="0"/>
    <x v="0"/>
    <x v="0"/>
    <x v="11"/>
    <x v="0"/>
    <x v="352"/>
    <x v="1"/>
    <x v="0"/>
    <x v="0"/>
    <x v="0"/>
    <x v="1209"/>
    <x v="2"/>
    <x v="17"/>
    <x v="17"/>
    <x v="0"/>
    <x v="0"/>
    <x v="4"/>
    <x v="14"/>
    <x v="0"/>
    <x v="25"/>
    <x v="1198"/>
    <x v="9"/>
    <x v="58"/>
    <x v="1"/>
    <x v="1"/>
    <x v="1"/>
    <x v="1"/>
    <x v="235"/>
    <x v="1"/>
    <x v="25"/>
    <x v="352"/>
    <x v="352"/>
    <x v="0"/>
    <x v="352"/>
    <x v="345"/>
    <x v="354"/>
    <x v="333"/>
    <x v="354"/>
    <x v="345"/>
    <x v="345"/>
    <x v="345"/>
    <x v="345"/>
    <x v="345"/>
    <x v="345"/>
    <x v="345"/>
    <x v="352"/>
    <x v="334"/>
    <x v="334"/>
    <x v="312"/>
    <x v="0"/>
    <x v="0"/>
    <x v="414"/>
    <x v="352"/>
    <x v="352"/>
    <x v="352"/>
    <x v="352"/>
    <x v="11"/>
  </r>
  <r>
    <x v="1210"/>
    <x v="796"/>
    <x v="0"/>
    <x v="0"/>
    <x v="0"/>
    <x v="0"/>
    <x v="0"/>
    <x v="0"/>
    <x v="0"/>
    <x v="0"/>
    <x v="11"/>
    <x v="0"/>
    <x v="698"/>
    <x v="1"/>
    <x v="0"/>
    <x v="0"/>
    <x v="0"/>
    <x v="1210"/>
    <x v="2"/>
    <x v="17"/>
    <x v="17"/>
    <x v="0"/>
    <x v="0"/>
    <x v="3"/>
    <x v="128"/>
    <x v="0"/>
    <x v="25"/>
    <x v="1195"/>
    <x v="9"/>
    <x v="58"/>
    <x v="1"/>
    <x v="1"/>
    <x v="1"/>
    <x v="1"/>
    <x v="461"/>
    <x v="1"/>
    <x v="25"/>
    <x v="698"/>
    <x v="698"/>
    <x v="1"/>
    <x v="698"/>
    <x v="643"/>
    <x v="654"/>
    <x v="607"/>
    <x v="654"/>
    <x v="643"/>
    <x v="643"/>
    <x v="643"/>
    <x v="643"/>
    <x v="643"/>
    <x v="643"/>
    <x v="643"/>
    <x v="698"/>
    <x v="608"/>
    <x v="608"/>
    <x v="635"/>
    <x v="0"/>
    <x v="0"/>
    <x v="693"/>
    <x v="698"/>
    <x v="698"/>
    <x v="698"/>
    <x v="698"/>
    <x v="11"/>
  </r>
  <r>
    <x v="1211"/>
    <x v="810"/>
    <x v="0"/>
    <x v="0"/>
    <x v="0"/>
    <x v="0"/>
    <x v="0"/>
    <x v="0"/>
    <x v="0"/>
    <x v="0"/>
    <x v="11"/>
    <x v="0"/>
    <x v="941"/>
    <x v="1"/>
    <x v="0"/>
    <x v="0"/>
    <x v="0"/>
    <x v="1211"/>
    <x v="2"/>
    <x v="17"/>
    <x v="17"/>
    <x v="0"/>
    <x v="0"/>
    <x v="4"/>
    <x v="15"/>
    <x v="0"/>
    <x v="25"/>
    <x v="1207"/>
    <x v="9"/>
    <x v="58"/>
    <x v="1"/>
    <x v="1"/>
    <x v="1"/>
    <x v="1"/>
    <x v="696"/>
    <x v="1"/>
    <x v="25"/>
    <x v="941"/>
    <x v="941"/>
    <x v="1"/>
    <x v="941"/>
    <x v="951"/>
    <x v="951"/>
    <x v="940"/>
    <x v="951"/>
    <x v="951"/>
    <x v="951"/>
    <x v="951"/>
    <x v="951"/>
    <x v="951"/>
    <x v="951"/>
    <x v="951"/>
    <x v="941"/>
    <x v="939"/>
    <x v="939"/>
    <x v="879"/>
    <x v="0"/>
    <x v="0"/>
    <x v="989"/>
    <x v="941"/>
    <x v="941"/>
    <x v="941"/>
    <x v="941"/>
    <x v="11"/>
  </r>
  <r>
    <x v="1212"/>
    <x v="797"/>
    <x v="0"/>
    <x v="0"/>
    <x v="0"/>
    <x v="0"/>
    <x v="0"/>
    <x v="0"/>
    <x v="0"/>
    <x v="0"/>
    <x v="11"/>
    <x v="0"/>
    <x v="89"/>
    <x v="1"/>
    <x v="0"/>
    <x v="0"/>
    <x v="0"/>
    <x v="1212"/>
    <x v="2"/>
    <x v="17"/>
    <x v="17"/>
    <x v="0"/>
    <x v="0"/>
    <x v="3"/>
    <x v="128"/>
    <x v="0"/>
    <x v="25"/>
    <x v="1214"/>
    <x v="9"/>
    <x v="58"/>
    <x v="1"/>
    <x v="1"/>
    <x v="1"/>
    <x v="1"/>
    <x v="42"/>
    <x v="1"/>
    <x v="25"/>
    <x v="90"/>
    <x v="90"/>
    <x v="0"/>
    <x v="90"/>
    <x v="83"/>
    <x v="87"/>
    <x v="75"/>
    <x v="87"/>
    <x v="83"/>
    <x v="83"/>
    <x v="83"/>
    <x v="83"/>
    <x v="83"/>
    <x v="83"/>
    <x v="83"/>
    <x v="90"/>
    <x v="75"/>
    <x v="75"/>
    <x v="75"/>
    <x v="0"/>
    <x v="0"/>
    <x v="95"/>
    <x v="90"/>
    <x v="90"/>
    <x v="90"/>
    <x v="90"/>
    <x v="11"/>
  </r>
  <r>
    <x v="1213"/>
    <x v="820"/>
    <x v="0"/>
    <x v="0"/>
    <x v="0"/>
    <x v="0"/>
    <x v="0"/>
    <x v="0"/>
    <x v="0"/>
    <x v="0"/>
    <x v="11"/>
    <x v="0"/>
    <x v="836"/>
    <x v="1"/>
    <x v="0"/>
    <x v="0"/>
    <x v="0"/>
    <x v="1213"/>
    <x v="2"/>
    <x v="17"/>
    <x v="17"/>
    <x v="0"/>
    <x v="0"/>
    <x v="4"/>
    <x v="14"/>
    <x v="0"/>
    <x v="38"/>
    <x v="1199"/>
    <x v="9"/>
    <x v="58"/>
    <x v="1"/>
    <x v="1"/>
    <x v="1"/>
    <x v="1"/>
    <x v="579"/>
    <x v="1"/>
    <x v="38"/>
    <x v="836"/>
    <x v="836"/>
    <x v="1"/>
    <x v="836"/>
    <x v="846"/>
    <x v="844"/>
    <x v="816"/>
    <x v="844"/>
    <x v="846"/>
    <x v="846"/>
    <x v="846"/>
    <x v="846"/>
    <x v="846"/>
    <x v="846"/>
    <x v="846"/>
    <x v="836"/>
    <x v="813"/>
    <x v="813"/>
    <x v="775"/>
    <x v="0"/>
    <x v="0"/>
    <x v="1019"/>
    <x v="836"/>
    <x v="836"/>
    <x v="836"/>
    <x v="836"/>
    <x v="11"/>
  </r>
  <r>
    <x v="1214"/>
    <x v="782"/>
    <x v="0"/>
    <x v="0"/>
    <x v="0"/>
    <x v="0"/>
    <x v="0"/>
    <x v="0"/>
    <x v="0"/>
    <x v="0"/>
    <x v="11"/>
    <x v="0"/>
    <x v="1173"/>
    <x v="1"/>
    <x v="0"/>
    <x v="0"/>
    <x v="0"/>
    <x v="1214"/>
    <x v="2"/>
    <x v="17"/>
    <x v="17"/>
    <x v="0"/>
    <x v="0"/>
    <x v="4"/>
    <x v="12"/>
    <x v="0"/>
    <x v="25"/>
    <x v="60"/>
    <x v="9"/>
    <x v="58"/>
    <x v="1"/>
    <x v="1"/>
    <x v="1"/>
    <x v="1"/>
    <x v="949"/>
    <x v="1"/>
    <x v="25"/>
    <x v="1171"/>
    <x v="1171"/>
    <x v="1"/>
    <x v="1171"/>
    <x v="1185"/>
    <x v="1181"/>
    <x v="1169"/>
    <x v="1181"/>
    <x v="1185"/>
    <x v="1185"/>
    <x v="1185"/>
    <x v="1185"/>
    <x v="1185"/>
    <x v="1185"/>
    <x v="1185"/>
    <x v="1171"/>
    <x v="1168"/>
    <x v="1168"/>
    <x v="1098"/>
    <x v="0"/>
    <x v="0"/>
    <x v="1208"/>
    <x v="1171"/>
    <x v="1171"/>
    <x v="1171"/>
    <x v="1171"/>
    <x v="11"/>
  </r>
  <r>
    <x v="1215"/>
    <x v="810"/>
    <x v="0"/>
    <x v="0"/>
    <x v="0"/>
    <x v="0"/>
    <x v="0"/>
    <x v="0"/>
    <x v="0"/>
    <x v="0"/>
    <x v="11"/>
    <x v="0"/>
    <x v="73"/>
    <x v="1"/>
    <x v="0"/>
    <x v="0"/>
    <x v="0"/>
    <x v="1215"/>
    <x v="2"/>
    <x v="17"/>
    <x v="17"/>
    <x v="0"/>
    <x v="0"/>
    <x v="4"/>
    <x v="15"/>
    <x v="0"/>
    <x v="25"/>
    <x v="1208"/>
    <x v="9"/>
    <x v="58"/>
    <x v="1"/>
    <x v="1"/>
    <x v="1"/>
    <x v="1"/>
    <x v="36"/>
    <x v="1"/>
    <x v="25"/>
    <x v="74"/>
    <x v="74"/>
    <x v="0"/>
    <x v="74"/>
    <x v="67"/>
    <x v="71"/>
    <x v="59"/>
    <x v="71"/>
    <x v="67"/>
    <x v="67"/>
    <x v="67"/>
    <x v="67"/>
    <x v="67"/>
    <x v="67"/>
    <x v="67"/>
    <x v="74"/>
    <x v="58"/>
    <x v="58"/>
    <x v="60"/>
    <x v="0"/>
    <x v="0"/>
    <x v="72"/>
    <x v="74"/>
    <x v="74"/>
    <x v="74"/>
    <x v="74"/>
    <x v="11"/>
  </r>
  <r>
    <x v="1216"/>
    <x v="820"/>
    <x v="0"/>
    <x v="0"/>
    <x v="0"/>
    <x v="0"/>
    <x v="0"/>
    <x v="0"/>
    <x v="0"/>
    <x v="0"/>
    <x v="11"/>
    <x v="0"/>
    <x v="688"/>
    <x v="1"/>
    <x v="0"/>
    <x v="0"/>
    <x v="0"/>
    <x v="1216"/>
    <x v="2"/>
    <x v="17"/>
    <x v="17"/>
    <x v="0"/>
    <x v="0"/>
    <x v="4"/>
    <x v="14"/>
    <x v="0"/>
    <x v="38"/>
    <x v="1200"/>
    <x v="9"/>
    <x v="58"/>
    <x v="1"/>
    <x v="1"/>
    <x v="1"/>
    <x v="1"/>
    <x v="450"/>
    <x v="1"/>
    <x v="38"/>
    <x v="688"/>
    <x v="688"/>
    <x v="1"/>
    <x v="688"/>
    <x v="630"/>
    <x v="639"/>
    <x v="595"/>
    <x v="639"/>
    <x v="630"/>
    <x v="630"/>
    <x v="630"/>
    <x v="630"/>
    <x v="630"/>
    <x v="630"/>
    <x v="630"/>
    <x v="688"/>
    <x v="595"/>
    <x v="595"/>
    <x v="620"/>
    <x v="0"/>
    <x v="0"/>
    <x v="865"/>
    <x v="688"/>
    <x v="688"/>
    <x v="688"/>
    <x v="688"/>
    <x v="11"/>
  </r>
  <r>
    <x v="1217"/>
    <x v="821"/>
    <x v="0"/>
    <x v="0"/>
    <x v="0"/>
    <x v="0"/>
    <x v="0"/>
    <x v="0"/>
    <x v="0"/>
    <x v="0"/>
    <x v="11"/>
    <x v="0"/>
    <x v="690"/>
    <x v="1"/>
    <x v="0"/>
    <x v="0"/>
    <x v="0"/>
    <x v="1217"/>
    <x v="2"/>
    <x v="17"/>
    <x v="17"/>
    <x v="0"/>
    <x v="0"/>
    <x v="4"/>
    <x v="14"/>
    <x v="0"/>
    <x v="38"/>
    <x v="1202"/>
    <x v="9"/>
    <x v="58"/>
    <x v="1"/>
    <x v="1"/>
    <x v="1"/>
    <x v="1"/>
    <x v="452"/>
    <x v="1"/>
    <x v="38"/>
    <x v="690"/>
    <x v="690"/>
    <x v="1"/>
    <x v="690"/>
    <x v="634"/>
    <x v="642"/>
    <x v="598"/>
    <x v="642"/>
    <x v="634"/>
    <x v="634"/>
    <x v="634"/>
    <x v="634"/>
    <x v="634"/>
    <x v="634"/>
    <x v="634"/>
    <x v="690"/>
    <x v="599"/>
    <x v="599"/>
    <x v="624"/>
    <x v="0"/>
    <x v="0"/>
    <x v="867"/>
    <x v="690"/>
    <x v="690"/>
    <x v="690"/>
    <x v="690"/>
    <x v="11"/>
  </r>
  <r>
    <x v="1218"/>
    <x v="821"/>
    <x v="0"/>
    <x v="0"/>
    <x v="0"/>
    <x v="0"/>
    <x v="0"/>
    <x v="0"/>
    <x v="0"/>
    <x v="0"/>
    <x v="11"/>
    <x v="0"/>
    <x v="104"/>
    <x v="1"/>
    <x v="0"/>
    <x v="0"/>
    <x v="0"/>
    <x v="1218"/>
    <x v="2"/>
    <x v="17"/>
    <x v="17"/>
    <x v="0"/>
    <x v="0"/>
    <x v="4"/>
    <x v="14"/>
    <x v="0"/>
    <x v="38"/>
    <x v="1201"/>
    <x v="9"/>
    <x v="58"/>
    <x v="1"/>
    <x v="1"/>
    <x v="1"/>
    <x v="1"/>
    <x v="49"/>
    <x v="1"/>
    <x v="38"/>
    <x v="105"/>
    <x v="105"/>
    <x v="0"/>
    <x v="105"/>
    <x v="103"/>
    <x v="105"/>
    <x v="94"/>
    <x v="105"/>
    <x v="103"/>
    <x v="103"/>
    <x v="103"/>
    <x v="103"/>
    <x v="103"/>
    <x v="103"/>
    <x v="103"/>
    <x v="105"/>
    <x v="94"/>
    <x v="94"/>
    <x v="91"/>
    <x v="0"/>
    <x v="0"/>
    <x v="140"/>
    <x v="105"/>
    <x v="105"/>
    <x v="105"/>
    <x v="105"/>
    <x v="11"/>
  </r>
  <r>
    <x v="1219"/>
    <x v="819"/>
    <x v="0"/>
    <x v="0"/>
    <x v="0"/>
    <x v="0"/>
    <x v="0"/>
    <x v="0"/>
    <x v="0"/>
    <x v="0"/>
    <x v="11"/>
    <x v="0"/>
    <x v="585"/>
    <x v="1"/>
    <x v="0"/>
    <x v="0"/>
    <x v="0"/>
    <x v="1219"/>
    <x v="2"/>
    <x v="17"/>
    <x v="17"/>
    <x v="0"/>
    <x v="0"/>
    <x v="4"/>
    <x v="12"/>
    <x v="0"/>
    <x v="41"/>
    <x v="1213"/>
    <x v="9"/>
    <x v="58"/>
    <x v="1"/>
    <x v="1"/>
    <x v="1"/>
    <x v="1"/>
    <x v="384"/>
    <x v="1"/>
    <x v="41"/>
    <x v="585"/>
    <x v="585"/>
    <x v="0"/>
    <x v="585"/>
    <x v="532"/>
    <x v="542"/>
    <x v="515"/>
    <x v="542"/>
    <x v="532"/>
    <x v="532"/>
    <x v="532"/>
    <x v="532"/>
    <x v="532"/>
    <x v="532"/>
    <x v="532"/>
    <x v="585"/>
    <x v="516"/>
    <x v="516"/>
    <x v="520"/>
    <x v="0"/>
    <x v="0"/>
    <x v="844"/>
    <x v="585"/>
    <x v="585"/>
    <x v="585"/>
    <x v="585"/>
    <x v="11"/>
  </r>
  <r>
    <x v="1220"/>
    <x v="796"/>
    <x v="0"/>
    <x v="0"/>
    <x v="0"/>
    <x v="0"/>
    <x v="0"/>
    <x v="0"/>
    <x v="0"/>
    <x v="0"/>
    <x v="11"/>
    <x v="0"/>
    <x v="1262"/>
    <x v="1"/>
    <x v="0"/>
    <x v="0"/>
    <x v="0"/>
    <x v="1220"/>
    <x v="2"/>
    <x v="17"/>
    <x v="17"/>
    <x v="0"/>
    <x v="0"/>
    <x v="3"/>
    <x v="128"/>
    <x v="0"/>
    <x v="25"/>
    <x v="1196"/>
    <x v="9"/>
    <x v="58"/>
    <x v="1"/>
    <x v="1"/>
    <x v="1"/>
    <x v="1"/>
    <x v="1059"/>
    <x v="1"/>
    <x v="25"/>
    <x v="1260"/>
    <x v="1260"/>
    <x v="2"/>
    <x v="1260"/>
    <x v="1283"/>
    <x v="1276"/>
    <x v="1278"/>
    <x v="1276"/>
    <x v="1283"/>
    <x v="1283"/>
    <x v="1283"/>
    <x v="1283"/>
    <x v="1283"/>
    <x v="1283"/>
    <x v="1283"/>
    <x v="1260"/>
    <x v="1276"/>
    <x v="1276"/>
    <x v="1186"/>
    <x v="0"/>
    <x v="0"/>
    <x v="1304"/>
    <x v="1260"/>
    <x v="1260"/>
    <x v="1260"/>
    <x v="1260"/>
    <x v="11"/>
  </r>
  <r>
    <x v="1221"/>
    <x v="812"/>
    <x v="0"/>
    <x v="0"/>
    <x v="0"/>
    <x v="0"/>
    <x v="0"/>
    <x v="1"/>
    <x v="0"/>
    <x v="0"/>
    <x v="11"/>
    <x v="0"/>
    <x v="1111"/>
    <x v="1"/>
    <x v="0"/>
    <x v="0"/>
    <x v="0"/>
    <x v="1221"/>
    <x v="1"/>
    <x v="17"/>
    <x v="17"/>
    <x v="0"/>
    <x v="0"/>
    <x v="4"/>
    <x v="15"/>
    <x v="0"/>
    <x v="25"/>
    <x v="1212"/>
    <x v="10"/>
    <x v="68"/>
    <x v="1"/>
    <x v="2"/>
    <x v="2"/>
    <x v="1"/>
    <x v="1145"/>
    <x v="2"/>
    <x v="25"/>
    <x v="1109"/>
    <x v="1109"/>
    <x v="1"/>
    <x v="1109"/>
    <x v="1199"/>
    <x v="1183"/>
    <x v="1196"/>
    <x v="1183"/>
    <x v="1199"/>
    <x v="1199"/>
    <x v="1199"/>
    <x v="1199"/>
    <x v="1199"/>
    <x v="1199"/>
    <x v="1199"/>
    <x v="1109"/>
    <x v="1194"/>
    <x v="1194"/>
    <x v="1052"/>
    <x v="0"/>
    <x v="0"/>
    <x v="1227"/>
    <x v="1109"/>
    <x v="1109"/>
    <x v="1109"/>
    <x v="1109"/>
    <x v="11"/>
  </r>
  <r>
    <x v="1222"/>
    <x v="849"/>
    <x v="0"/>
    <x v="0"/>
    <x v="0"/>
    <x v="0"/>
    <x v="0"/>
    <x v="0"/>
    <x v="0"/>
    <x v="0"/>
    <x v="11"/>
    <x v="0"/>
    <x v="1052"/>
    <x v="1"/>
    <x v="0"/>
    <x v="0"/>
    <x v="0"/>
    <x v="1222"/>
    <x v="2"/>
    <x v="17"/>
    <x v="17"/>
    <x v="0"/>
    <x v="0"/>
    <x v="4"/>
    <x v="14"/>
    <x v="0"/>
    <x v="26"/>
    <x v="1220"/>
    <x v="9"/>
    <x v="58"/>
    <x v="1"/>
    <x v="1"/>
    <x v="1"/>
    <x v="1"/>
    <x v="819"/>
    <x v="1"/>
    <x v="26"/>
    <x v="1050"/>
    <x v="1050"/>
    <x v="1"/>
    <x v="1050"/>
    <x v="1059"/>
    <x v="1053"/>
    <x v="1049"/>
    <x v="1053"/>
    <x v="1059"/>
    <x v="1059"/>
    <x v="1059"/>
    <x v="1059"/>
    <x v="1059"/>
    <x v="1059"/>
    <x v="1059"/>
    <x v="1050"/>
    <x v="1046"/>
    <x v="1046"/>
    <x v="978"/>
    <x v="0"/>
    <x v="0"/>
    <x v="1097"/>
    <x v="1050"/>
    <x v="1050"/>
    <x v="1050"/>
    <x v="1050"/>
    <x v="11"/>
  </r>
  <r>
    <x v="1223"/>
    <x v="848"/>
    <x v="0"/>
    <x v="0"/>
    <x v="0"/>
    <x v="0"/>
    <x v="0"/>
    <x v="0"/>
    <x v="0"/>
    <x v="0"/>
    <x v="11"/>
    <x v="0"/>
    <x v="888"/>
    <x v="1"/>
    <x v="0"/>
    <x v="0"/>
    <x v="0"/>
    <x v="1223"/>
    <x v="2"/>
    <x v="17"/>
    <x v="17"/>
    <x v="0"/>
    <x v="0"/>
    <x v="3"/>
    <x v="10"/>
    <x v="0"/>
    <x v="26"/>
    <x v="1211"/>
    <x v="9"/>
    <x v="58"/>
    <x v="1"/>
    <x v="1"/>
    <x v="1"/>
    <x v="1"/>
    <x v="635"/>
    <x v="1"/>
    <x v="26"/>
    <x v="888"/>
    <x v="888"/>
    <x v="1"/>
    <x v="888"/>
    <x v="899"/>
    <x v="893"/>
    <x v="885"/>
    <x v="893"/>
    <x v="899"/>
    <x v="899"/>
    <x v="899"/>
    <x v="899"/>
    <x v="899"/>
    <x v="899"/>
    <x v="899"/>
    <x v="888"/>
    <x v="884"/>
    <x v="884"/>
    <x v="824"/>
    <x v="0"/>
    <x v="0"/>
    <x v="951"/>
    <x v="888"/>
    <x v="888"/>
    <x v="888"/>
    <x v="888"/>
    <x v="11"/>
  </r>
  <r>
    <x v="1224"/>
    <x v="850"/>
    <x v="0"/>
    <x v="0"/>
    <x v="0"/>
    <x v="0"/>
    <x v="0"/>
    <x v="0"/>
    <x v="0"/>
    <x v="0"/>
    <x v="11"/>
    <x v="0"/>
    <x v="1036"/>
    <x v="1"/>
    <x v="0"/>
    <x v="0"/>
    <x v="0"/>
    <x v="1224"/>
    <x v="2"/>
    <x v="17"/>
    <x v="17"/>
    <x v="0"/>
    <x v="0"/>
    <x v="3"/>
    <x v="10"/>
    <x v="0"/>
    <x v="27"/>
    <x v="1210"/>
    <x v="9"/>
    <x v="58"/>
    <x v="1"/>
    <x v="1"/>
    <x v="1"/>
    <x v="1"/>
    <x v="801"/>
    <x v="1"/>
    <x v="27"/>
    <x v="1036"/>
    <x v="1036"/>
    <x v="1"/>
    <x v="1036"/>
    <x v="1046"/>
    <x v="1041"/>
    <x v="1032"/>
    <x v="1041"/>
    <x v="1046"/>
    <x v="1046"/>
    <x v="1046"/>
    <x v="1046"/>
    <x v="1046"/>
    <x v="1046"/>
    <x v="1046"/>
    <x v="1036"/>
    <x v="1031"/>
    <x v="1031"/>
    <x v="964"/>
    <x v="0"/>
    <x v="0"/>
    <x v="1096"/>
    <x v="1036"/>
    <x v="1036"/>
    <x v="1036"/>
    <x v="1036"/>
    <x v="11"/>
  </r>
  <r>
    <x v="1225"/>
    <x v="823"/>
    <x v="0"/>
    <x v="0"/>
    <x v="0"/>
    <x v="0"/>
    <x v="0"/>
    <x v="0"/>
    <x v="0"/>
    <x v="0"/>
    <x v="11"/>
    <x v="0"/>
    <x v="1177"/>
    <x v="1"/>
    <x v="0"/>
    <x v="0"/>
    <x v="0"/>
    <x v="1225"/>
    <x v="2"/>
    <x v="17"/>
    <x v="17"/>
    <x v="0"/>
    <x v="0"/>
    <x v="4"/>
    <x v="12"/>
    <x v="0"/>
    <x v="25"/>
    <x v="1219"/>
    <x v="9"/>
    <x v="58"/>
    <x v="1"/>
    <x v="1"/>
    <x v="1"/>
    <x v="1"/>
    <x v="953"/>
    <x v="1"/>
    <x v="25"/>
    <x v="1175"/>
    <x v="1175"/>
    <x v="2"/>
    <x v="1175"/>
    <x v="1192"/>
    <x v="1185"/>
    <x v="1173"/>
    <x v="1185"/>
    <x v="1192"/>
    <x v="1192"/>
    <x v="1192"/>
    <x v="1192"/>
    <x v="1192"/>
    <x v="1192"/>
    <x v="1192"/>
    <x v="1175"/>
    <x v="1171"/>
    <x v="1171"/>
    <x v="1102"/>
    <x v="0"/>
    <x v="0"/>
    <x v="1212"/>
    <x v="1175"/>
    <x v="1175"/>
    <x v="1175"/>
    <x v="1175"/>
    <x v="11"/>
  </r>
  <r>
    <x v="1226"/>
    <x v="893"/>
    <x v="0"/>
    <x v="0"/>
    <x v="0"/>
    <x v="0"/>
    <x v="0"/>
    <x v="0"/>
    <x v="0"/>
    <x v="0"/>
    <x v="11"/>
    <x v="0"/>
    <x v="1263"/>
    <x v="1"/>
    <x v="0"/>
    <x v="0"/>
    <x v="0"/>
    <x v="1226"/>
    <x v="2"/>
    <x v="17"/>
    <x v="17"/>
    <x v="0"/>
    <x v="0"/>
    <x v="3"/>
    <x v="84"/>
    <x v="0"/>
    <x v="38"/>
    <x v="1333"/>
    <x v="9"/>
    <x v="58"/>
    <x v="1"/>
    <x v="1"/>
    <x v="1"/>
    <x v="1"/>
    <x v="1061"/>
    <x v="1"/>
    <x v="38"/>
    <x v="1261"/>
    <x v="1261"/>
    <x v="2"/>
    <x v="1261"/>
    <x v="1284"/>
    <x v="1277"/>
    <x v="1279"/>
    <x v="1277"/>
    <x v="1284"/>
    <x v="1284"/>
    <x v="1284"/>
    <x v="1284"/>
    <x v="1284"/>
    <x v="1284"/>
    <x v="1284"/>
    <x v="1261"/>
    <x v="1277"/>
    <x v="1277"/>
    <x v="1187"/>
    <x v="0"/>
    <x v="0"/>
    <x v="1368"/>
    <x v="1261"/>
    <x v="1261"/>
    <x v="1261"/>
    <x v="1261"/>
    <x v="11"/>
  </r>
  <r>
    <x v="1227"/>
    <x v="870"/>
    <x v="0"/>
    <x v="0"/>
    <x v="0"/>
    <x v="0"/>
    <x v="0"/>
    <x v="0"/>
    <x v="0"/>
    <x v="0"/>
    <x v="11"/>
    <x v="0"/>
    <x v="1071"/>
    <x v="1"/>
    <x v="0"/>
    <x v="0"/>
    <x v="0"/>
    <x v="1227"/>
    <x v="2"/>
    <x v="17"/>
    <x v="17"/>
    <x v="0"/>
    <x v="0"/>
    <x v="4"/>
    <x v="13"/>
    <x v="0"/>
    <x v="38"/>
    <x v="1314"/>
    <x v="9"/>
    <x v="58"/>
    <x v="1"/>
    <x v="1"/>
    <x v="1"/>
    <x v="1"/>
    <x v="835"/>
    <x v="1"/>
    <x v="38"/>
    <x v="1069"/>
    <x v="1069"/>
    <x v="1"/>
    <x v="1069"/>
    <x v="1075"/>
    <x v="1070"/>
    <x v="1065"/>
    <x v="1070"/>
    <x v="1075"/>
    <x v="1075"/>
    <x v="1075"/>
    <x v="1075"/>
    <x v="1075"/>
    <x v="1075"/>
    <x v="1075"/>
    <x v="1069"/>
    <x v="1064"/>
    <x v="1064"/>
    <x v="993"/>
    <x v="0"/>
    <x v="0"/>
    <x v="1222"/>
    <x v="1069"/>
    <x v="1069"/>
    <x v="1069"/>
    <x v="1069"/>
    <x v="11"/>
  </r>
  <r>
    <x v="1228"/>
    <x v="850"/>
    <x v="0"/>
    <x v="0"/>
    <x v="0"/>
    <x v="0"/>
    <x v="0"/>
    <x v="0"/>
    <x v="0"/>
    <x v="0"/>
    <x v="11"/>
    <x v="0"/>
    <x v="629"/>
    <x v="1"/>
    <x v="0"/>
    <x v="0"/>
    <x v="0"/>
    <x v="1228"/>
    <x v="2"/>
    <x v="17"/>
    <x v="17"/>
    <x v="0"/>
    <x v="0"/>
    <x v="3"/>
    <x v="10"/>
    <x v="0"/>
    <x v="27"/>
    <x v="1209"/>
    <x v="9"/>
    <x v="58"/>
    <x v="1"/>
    <x v="1"/>
    <x v="1"/>
    <x v="1"/>
    <x v="412"/>
    <x v="1"/>
    <x v="27"/>
    <x v="629"/>
    <x v="629"/>
    <x v="0"/>
    <x v="629"/>
    <x v="571"/>
    <x v="580"/>
    <x v="548"/>
    <x v="580"/>
    <x v="571"/>
    <x v="571"/>
    <x v="571"/>
    <x v="571"/>
    <x v="571"/>
    <x v="571"/>
    <x v="571"/>
    <x v="629"/>
    <x v="549"/>
    <x v="549"/>
    <x v="562"/>
    <x v="0"/>
    <x v="0"/>
    <x v="679"/>
    <x v="629"/>
    <x v="629"/>
    <x v="629"/>
    <x v="629"/>
    <x v="11"/>
  </r>
  <r>
    <x v="1229"/>
    <x v="852"/>
    <x v="0"/>
    <x v="0"/>
    <x v="0"/>
    <x v="0"/>
    <x v="0"/>
    <x v="0"/>
    <x v="0"/>
    <x v="0"/>
    <x v="11"/>
    <x v="0"/>
    <x v="90"/>
    <x v="1"/>
    <x v="0"/>
    <x v="0"/>
    <x v="0"/>
    <x v="1229"/>
    <x v="2"/>
    <x v="17"/>
    <x v="17"/>
    <x v="0"/>
    <x v="0"/>
    <x v="3"/>
    <x v="10"/>
    <x v="0"/>
    <x v="27"/>
    <x v="1205"/>
    <x v="9"/>
    <x v="58"/>
    <x v="1"/>
    <x v="1"/>
    <x v="1"/>
    <x v="1"/>
    <x v="43"/>
    <x v="1"/>
    <x v="27"/>
    <x v="91"/>
    <x v="91"/>
    <x v="0"/>
    <x v="91"/>
    <x v="86"/>
    <x v="88"/>
    <x v="77"/>
    <x v="88"/>
    <x v="86"/>
    <x v="86"/>
    <x v="86"/>
    <x v="86"/>
    <x v="86"/>
    <x v="86"/>
    <x v="86"/>
    <x v="91"/>
    <x v="77"/>
    <x v="77"/>
    <x v="78"/>
    <x v="0"/>
    <x v="0"/>
    <x v="107"/>
    <x v="91"/>
    <x v="91"/>
    <x v="91"/>
    <x v="91"/>
    <x v="11"/>
  </r>
  <r>
    <x v="1230"/>
    <x v="859"/>
    <x v="0"/>
    <x v="0"/>
    <x v="0"/>
    <x v="0"/>
    <x v="0"/>
    <x v="0"/>
    <x v="0"/>
    <x v="0"/>
    <x v="11"/>
    <x v="0"/>
    <x v="973"/>
    <x v="1"/>
    <x v="0"/>
    <x v="0"/>
    <x v="0"/>
    <x v="1230"/>
    <x v="2"/>
    <x v="17"/>
    <x v="17"/>
    <x v="0"/>
    <x v="0"/>
    <x v="3"/>
    <x v="10"/>
    <x v="0"/>
    <x v="27"/>
    <x v="1218"/>
    <x v="9"/>
    <x v="58"/>
    <x v="1"/>
    <x v="1"/>
    <x v="1"/>
    <x v="1"/>
    <x v="731"/>
    <x v="1"/>
    <x v="27"/>
    <x v="973"/>
    <x v="973"/>
    <x v="1"/>
    <x v="973"/>
    <x v="986"/>
    <x v="985"/>
    <x v="969"/>
    <x v="985"/>
    <x v="986"/>
    <x v="986"/>
    <x v="986"/>
    <x v="986"/>
    <x v="986"/>
    <x v="986"/>
    <x v="986"/>
    <x v="973"/>
    <x v="968"/>
    <x v="968"/>
    <x v="907"/>
    <x v="0"/>
    <x v="0"/>
    <x v="1037"/>
    <x v="973"/>
    <x v="973"/>
    <x v="973"/>
    <x v="973"/>
    <x v="11"/>
  </r>
  <r>
    <x v="1231"/>
    <x v="843"/>
    <x v="0"/>
    <x v="0"/>
    <x v="0"/>
    <x v="0"/>
    <x v="0"/>
    <x v="0"/>
    <x v="0"/>
    <x v="0"/>
    <x v="11"/>
    <x v="0"/>
    <x v="857"/>
    <x v="1"/>
    <x v="0"/>
    <x v="0"/>
    <x v="0"/>
    <x v="1231"/>
    <x v="2"/>
    <x v="17"/>
    <x v="17"/>
    <x v="0"/>
    <x v="0"/>
    <x v="4"/>
    <x v="11"/>
    <x v="0"/>
    <x v="27"/>
    <x v="1222"/>
    <x v="9"/>
    <x v="58"/>
    <x v="1"/>
    <x v="1"/>
    <x v="1"/>
    <x v="1"/>
    <x v="602"/>
    <x v="1"/>
    <x v="27"/>
    <x v="857"/>
    <x v="857"/>
    <x v="1"/>
    <x v="857"/>
    <x v="868"/>
    <x v="866"/>
    <x v="841"/>
    <x v="866"/>
    <x v="868"/>
    <x v="868"/>
    <x v="868"/>
    <x v="868"/>
    <x v="868"/>
    <x v="868"/>
    <x v="868"/>
    <x v="857"/>
    <x v="839"/>
    <x v="839"/>
    <x v="793"/>
    <x v="0"/>
    <x v="0"/>
    <x v="926"/>
    <x v="857"/>
    <x v="857"/>
    <x v="857"/>
    <x v="857"/>
    <x v="11"/>
  </r>
  <r>
    <x v="1232"/>
    <x v="852"/>
    <x v="0"/>
    <x v="0"/>
    <x v="0"/>
    <x v="0"/>
    <x v="0"/>
    <x v="0"/>
    <x v="0"/>
    <x v="0"/>
    <x v="11"/>
    <x v="0"/>
    <x v="192"/>
    <x v="1"/>
    <x v="0"/>
    <x v="0"/>
    <x v="0"/>
    <x v="1232"/>
    <x v="2"/>
    <x v="17"/>
    <x v="17"/>
    <x v="0"/>
    <x v="0"/>
    <x v="3"/>
    <x v="10"/>
    <x v="0"/>
    <x v="27"/>
    <x v="1206"/>
    <x v="9"/>
    <x v="58"/>
    <x v="1"/>
    <x v="1"/>
    <x v="1"/>
    <x v="1"/>
    <x v="107"/>
    <x v="1"/>
    <x v="27"/>
    <x v="193"/>
    <x v="193"/>
    <x v="0"/>
    <x v="193"/>
    <x v="198"/>
    <x v="200"/>
    <x v="191"/>
    <x v="200"/>
    <x v="198"/>
    <x v="198"/>
    <x v="198"/>
    <x v="198"/>
    <x v="198"/>
    <x v="198"/>
    <x v="198"/>
    <x v="193"/>
    <x v="191"/>
    <x v="191"/>
    <x v="169"/>
    <x v="0"/>
    <x v="0"/>
    <x v="222"/>
    <x v="193"/>
    <x v="193"/>
    <x v="193"/>
    <x v="193"/>
    <x v="11"/>
  </r>
  <r>
    <x v="1233"/>
    <x v="845"/>
    <x v="0"/>
    <x v="0"/>
    <x v="0"/>
    <x v="0"/>
    <x v="0"/>
    <x v="0"/>
    <x v="0"/>
    <x v="0"/>
    <x v="11"/>
    <x v="0"/>
    <x v="856"/>
    <x v="1"/>
    <x v="0"/>
    <x v="0"/>
    <x v="0"/>
    <x v="1233"/>
    <x v="2"/>
    <x v="17"/>
    <x v="17"/>
    <x v="0"/>
    <x v="0"/>
    <x v="4"/>
    <x v="11"/>
    <x v="0"/>
    <x v="26"/>
    <x v="1221"/>
    <x v="9"/>
    <x v="58"/>
    <x v="1"/>
    <x v="1"/>
    <x v="1"/>
    <x v="1"/>
    <x v="600"/>
    <x v="1"/>
    <x v="26"/>
    <x v="856"/>
    <x v="856"/>
    <x v="1"/>
    <x v="856"/>
    <x v="867"/>
    <x v="865"/>
    <x v="840"/>
    <x v="865"/>
    <x v="867"/>
    <x v="867"/>
    <x v="867"/>
    <x v="867"/>
    <x v="867"/>
    <x v="867"/>
    <x v="867"/>
    <x v="856"/>
    <x v="838"/>
    <x v="838"/>
    <x v="792"/>
    <x v="0"/>
    <x v="0"/>
    <x v="907"/>
    <x v="856"/>
    <x v="856"/>
    <x v="856"/>
    <x v="856"/>
    <x v="11"/>
  </r>
  <r>
    <x v="1234"/>
    <x v="864"/>
    <x v="0"/>
    <x v="0"/>
    <x v="0"/>
    <x v="0"/>
    <x v="0"/>
    <x v="0"/>
    <x v="0"/>
    <x v="0"/>
    <x v="11"/>
    <x v="0"/>
    <x v="969"/>
    <x v="1"/>
    <x v="0"/>
    <x v="0"/>
    <x v="0"/>
    <x v="1234"/>
    <x v="2"/>
    <x v="17"/>
    <x v="17"/>
    <x v="0"/>
    <x v="0"/>
    <x v="4"/>
    <x v="6"/>
    <x v="0"/>
    <x v="37"/>
    <x v="1308"/>
    <x v="9"/>
    <x v="58"/>
    <x v="1"/>
    <x v="1"/>
    <x v="1"/>
    <x v="1"/>
    <x v="728"/>
    <x v="1"/>
    <x v="37"/>
    <x v="969"/>
    <x v="969"/>
    <x v="1"/>
    <x v="969"/>
    <x v="983"/>
    <x v="983"/>
    <x v="967"/>
    <x v="983"/>
    <x v="983"/>
    <x v="983"/>
    <x v="983"/>
    <x v="983"/>
    <x v="983"/>
    <x v="983"/>
    <x v="983"/>
    <x v="969"/>
    <x v="965"/>
    <x v="965"/>
    <x v="904"/>
    <x v="0"/>
    <x v="0"/>
    <x v="1147"/>
    <x v="969"/>
    <x v="969"/>
    <x v="969"/>
    <x v="969"/>
    <x v="11"/>
  </r>
  <r>
    <x v="1235"/>
    <x v="866"/>
    <x v="0"/>
    <x v="0"/>
    <x v="0"/>
    <x v="0"/>
    <x v="0"/>
    <x v="0"/>
    <x v="0"/>
    <x v="0"/>
    <x v="11"/>
    <x v="0"/>
    <x v="580"/>
    <x v="1"/>
    <x v="0"/>
    <x v="0"/>
    <x v="0"/>
    <x v="1235"/>
    <x v="2"/>
    <x v="17"/>
    <x v="17"/>
    <x v="0"/>
    <x v="0"/>
    <x v="3"/>
    <x v="10"/>
    <x v="0"/>
    <x v="27"/>
    <x v="1311"/>
    <x v="9"/>
    <x v="58"/>
    <x v="1"/>
    <x v="1"/>
    <x v="1"/>
    <x v="1"/>
    <x v="380"/>
    <x v="1"/>
    <x v="27"/>
    <x v="580"/>
    <x v="580"/>
    <x v="0"/>
    <x v="580"/>
    <x v="528"/>
    <x v="538"/>
    <x v="511"/>
    <x v="538"/>
    <x v="528"/>
    <x v="528"/>
    <x v="528"/>
    <x v="528"/>
    <x v="528"/>
    <x v="528"/>
    <x v="528"/>
    <x v="580"/>
    <x v="513"/>
    <x v="513"/>
    <x v="515"/>
    <x v="0"/>
    <x v="0"/>
    <x v="644"/>
    <x v="580"/>
    <x v="580"/>
    <x v="580"/>
    <x v="580"/>
    <x v="11"/>
  </r>
  <r>
    <x v="1236"/>
    <x v="724"/>
    <x v="0"/>
    <x v="0"/>
    <x v="0"/>
    <x v="0"/>
    <x v="0"/>
    <x v="0"/>
    <x v="0"/>
    <x v="0"/>
    <x v="11"/>
    <x v="0"/>
    <x v="179"/>
    <x v="1"/>
    <x v="0"/>
    <x v="0"/>
    <x v="0"/>
    <x v="1236"/>
    <x v="2"/>
    <x v="18"/>
    <x v="18"/>
    <x v="0"/>
    <x v="0"/>
    <x v="4"/>
    <x v="128"/>
    <x v="0"/>
    <x v="16"/>
    <x v="1247"/>
    <x v="9"/>
    <x v="58"/>
    <x v="1"/>
    <x v="1"/>
    <x v="1"/>
    <x v="1"/>
    <x v="94"/>
    <x v="1"/>
    <x v="16"/>
    <x v="180"/>
    <x v="180"/>
    <x v="0"/>
    <x v="180"/>
    <x v="184"/>
    <x v="186"/>
    <x v="182"/>
    <x v="186"/>
    <x v="184"/>
    <x v="184"/>
    <x v="184"/>
    <x v="184"/>
    <x v="184"/>
    <x v="184"/>
    <x v="184"/>
    <x v="180"/>
    <x v="180"/>
    <x v="180"/>
    <x v="157"/>
    <x v="0"/>
    <x v="0"/>
    <x v="170"/>
    <x v="180"/>
    <x v="180"/>
    <x v="180"/>
    <x v="180"/>
    <x v="11"/>
  </r>
  <r>
    <x v="1237"/>
    <x v="707"/>
    <x v="0"/>
    <x v="0"/>
    <x v="0"/>
    <x v="0"/>
    <x v="0"/>
    <x v="0"/>
    <x v="0"/>
    <x v="0"/>
    <x v="11"/>
    <x v="0"/>
    <x v="1060"/>
    <x v="1"/>
    <x v="0"/>
    <x v="0"/>
    <x v="0"/>
    <x v="1237"/>
    <x v="2"/>
    <x v="18"/>
    <x v="18"/>
    <x v="0"/>
    <x v="0"/>
    <x v="3"/>
    <x v="94"/>
    <x v="0"/>
    <x v="16"/>
    <x v="1224"/>
    <x v="9"/>
    <x v="58"/>
    <x v="1"/>
    <x v="1"/>
    <x v="1"/>
    <x v="1"/>
    <x v="827"/>
    <x v="1"/>
    <x v="16"/>
    <x v="1058"/>
    <x v="1058"/>
    <x v="1"/>
    <x v="1058"/>
    <x v="1066"/>
    <x v="1061"/>
    <x v="1055"/>
    <x v="1061"/>
    <x v="1066"/>
    <x v="1066"/>
    <x v="1066"/>
    <x v="1066"/>
    <x v="1066"/>
    <x v="1066"/>
    <x v="1066"/>
    <x v="1058"/>
    <x v="1054"/>
    <x v="1054"/>
    <x v="984"/>
    <x v="0"/>
    <x v="0"/>
    <x v="973"/>
    <x v="1058"/>
    <x v="1058"/>
    <x v="1058"/>
    <x v="1058"/>
    <x v="11"/>
  </r>
  <r>
    <x v="1238"/>
    <x v="746"/>
    <x v="0"/>
    <x v="0"/>
    <x v="0"/>
    <x v="0"/>
    <x v="0"/>
    <x v="0"/>
    <x v="0"/>
    <x v="0"/>
    <x v="11"/>
    <x v="0"/>
    <x v="406"/>
    <x v="1"/>
    <x v="0"/>
    <x v="0"/>
    <x v="0"/>
    <x v="1238"/>
    <x v="2"/>
    <x v="18"/>
    <x v="18"/>
    <x v="0"/>
    <x v="0"/>
    <x v="3"/>
    <x v="95"/>
    <x v="0"/>
    <x v="17"/>
    <x v="1229"/>
    <x v="9"/>
    <x v="58"/>
    <x v="1"/>
    <x v="1"/>
    <x v="1"/>
    <x v="1"/>
    <x v="279"/>
    <x v="1"/>
    <x v="17"/>
    <x v="406"/>
    <x v="406"/>
    <x v="0"/>
    <x v="406"/>
    <x v="402"/>
    <x v="402"/>
    <x v="382"/>
    <x v="402"/>
    <x v="402"/>
    <x v="402"/>
    <x v="402"/>
    <x v="402"/>
    <x v="402"/>
    <x v="402"/>
    <x v="402"/>
    <x v="406"/>
    <x v="381"/>
    <x v="381"/>
    <x v="362"/>
    <x v="0"/>
    <x v="0"/>
    <x v="389"/>
    <x v="406"/>
    <x v="406"/>
    <x v="406"/>
    <x v="406"/>
    <x v="11"/>
  </r>
  <r>
    <x v="1239"/>
    <x v="765"/>
    <x v="0"/>
    <x v="0"/>
    <x v="0"/>
    <x v="0"/>
    <x v="0"/>
    <x v="0"/>
    <x v="0"/>
    <x v="0"/>
    <x v="11"/>
    <x v="0"/>
    <x v="1210"/>
    <x v="1"/>
    <x v="0"/>
    <x v="0"/>
    <x v="0"/>
    <x v="1239"/>
    <x v="2"/>
    <x v="18"/>
    <x v="18"/>
    <x v="0"/>
    <x v="0"/>
    <x v="5"/>
    <x v="128"/>
    <x v="0"/>
    <x v="19"/>
    <x v="1238"/>
    <x v="9"/>
    <x v="58"/>
    <x v="1"/>
    <x v="1"/>
    <x v="1"/>
    <x v="1"/>
    <x v="998"/>
    <x v="1"/>
    <x v="19"/>
    <x v="1208"/>
    <x v="1208"/>
    <x v="2"/>
    <x v="1208"/>
    <x v="1229"/>
    <x v="1222"/>
    <x v="1215"/>
    <x v="1222"/>
    <x v="1229"/>
    <x v="1229"/>
    <x v="1229"/>
    <x v="1229"/>
    <x v="1229"/>
    <x v="1229"/>
    <x v="1229"/>
    <x v="1208"/>
    <x v="1214"/>
    <x v="1214"/>
    <x v="1135"/>
    <x v="0"/>
    <x v="0"/>
    <x v="1185"/>
    <x v="1208"/>
    <x v="1208"/>
    <x v="1208"/>
    <x v="1208"/>
    <x v="11"/>
  </r>
  <r>
    <x v="1240"/>
    <x v="746"/>
    <x v="0"/>
    <x v="0"/>
    <x v="0"/>
    <x v="0"/>
    <x v="0"/>
    <x v="0"/>
    <x v="0"/>
    <x v="0"/>
    <x v="11"/>
    <x v="0"/>
    <x v="583"/>
    <x v="1"/>
    <x v="0"/>
    <x v="0"/>
    <x v="0"/>
    <x v="1240"/>
    <x v="2"/>
    <x v="18"/>
    <x v="18"/>
    <x v="0"/>
    <x v="0"/>
    <x v="3"/>
    <x v="95"/>
    <x v="0"/>
    <x v="17"/>
    <x v="1230"/>
    <x v="9"/>
    <x v="58"/>
    <x v="1"/>
    <x v="1"/>
    <x v="1"/>
    <x v="1"/>
    <x v="382"/>
    <x v="1"/>
    <x v="17"/>
    <x v="583"/>
    <x v="583"/>
    <x v="0"/>
    <x v="583"/>
    <x v="530"/>
    <x v="540"/>
    <x v="513"/>
    <x v="540"/>
    <x v="530"/>
    <x v="530"/>
    <x v="530"/>
    <x v="530"/>
    <x v="530"/>
    <x v="530"/>
    <x v="530"/>
    <x v="583"/>
    <x v="515"/>
    <x v="515"/>
    <x v="519"/>
    <x v="0"/>
    <x v="0"/>
    <x v="478"/>
    <x v="583"/>
    <x v="583"/>
    <x v="583"/>
    <x v="583"/>
    <x v="11"/>
  </r>
  <r>
    <x v="1241"/>
    <x v="737"/>
    <x v="0"/>
    <x v="0"/>
    <x v="0"/>
    <x v="0"/>
    <x v="0"/>
    <x v="0"/>
    <x v="0"/>
    <x v="0"/>
    <x v="11"/>
    <x v="0"/>
    <x v="839"/>
    <x v="1"/>
    <x v="0"/>
    <x v="0"/>
    <x v="0"/>
    <x v="1241"/>
    <x v="2"/>
    <x v="18"/>
    <x v="18"/>
    <x v="0"/>
    <x v="0"/>
    <x v="4"/>
    <x v="128"/>
    <x v="0"/>
    <x v="16"/>
    <x v="1244"/>
    <x v="9"/>
    <x v="58"/>
    <x v="1"/>
    <x v="1"/>
    <x v="1"/>
    <x v="1"/>
    <x v="582"/>
    <x v="1"/>
    <x v="16"/>
    <x v="839"/>
    <x v="839"/>
    <x v="1"/>
    <x v="839"/>
    <x v="849"/>
    <x v="849"/>
    <x v="820"/>
    <x v="849"/>
    <x v="849"/>
    <x v="849"/>
    <x v="849"/>
    <x v="849"/>
    <x v="849"/>
    <x v="849"/>
    <x v="849"/>
    <x v="839"/>
    <x v="818"/>
    <x v="818"/>
    <x v="778"/>
    <x v="0"/>
    <x v="0"/>
    <x v="702"/>
    <x v="839"/>
    <x v="839"/>
    <x v="839"/>
    <x v="839"/>
    <x v="11"/>
  </r>
  <r>
    <x v="1242"/>
    <x v="764"/>
    <x v="0"/>
    <x v="0"/>
    <x v="0"/>
    <x v="0"/>
    <x v="0"/>
    <x v="0"/>
    <x v="0"/>
    <x v="0"/>
    <x v="11"/>
    <x v="0"/>
    <x v="897"/>
    <x v="1"/>
    <x v="0"/>
    <x v="0"/>
    <x v="0"/>
    <x v="1242"/>
    <x v="2"/>
    <x v="18"/>
    <x v="18"/>
    <x v="0"/>
    <x v="0"/>
    <x v="4"/>
    <x v="128"/>
    <x v="0"/>
    <x v="18"/>
    <x v="1232"/>
    <x v="9"/>
    <x v="58"/>
    <x v="1"/>
    <x v="1"/>
    <x v="1"/>
    <x v="1"/>
    <x v="642"/>
    <x v="1"/>
    <x v="18"/>
    <x v="897"/>
    <x v="897"/>
    <x v="1"/>
    <x v="897"/>
    <x v="906"/>
    <x v="901"/>
    <x v="893"/>
    <x v="901"/>
    <x v="906"/>
    <x v="906"/>
    <x v="906"/>
    <x v="906"/>
    <x v="906"/>
    <x v="906"/>
    <x v="906"/>
    <x v="897"/>
    <x v="891"/>
    <x v="891"/>
    <x v="830"/>
    <x v="0"/>
    <x v="0"/>
    <x v="820"/>
    <x v="897"/>
    <x v="897"/>
    <x v="897"/>
    <x v="897"/>
    <x v="11"/>
  </r>
  <r>
    <x v="1243"/>
    <x v="764"/>
    <x v="0"/>
    <x v="0"/>
    <x v="0"/>
    <x v="0"/>
    <x v="0"/>
    <x v="0"/>
    <x v="0"/>
    <x v="0"/>
    <x v="11"/>
    <x v="0"/>
    <x v="979"/>
    <x v="1"/>
    <x v="0"/>
    <x v="0"/>
    <x v="0"/>
    <x v="1243"/>
    <x v="2"/>
    <x v="18"/>
    <x v="18"/>
    <x v="0"/>
    <x v="0"/>
    <x v="4"/>
    <x v="128"/>
    <x v="0"/>
    <x v="18"/>
    <x v="1233"/>
    <x v="9"/>
    <x v="58"/>
    <x v="1"/>
    <x v="1"/>
    <x v="1"/>
    <x v="1"/>
    <x v="741"/>
    <x v="1"/>
    <x v="18"/>
    <x v="979"/>
    <x v="979"/>
    <x v="1"/>
    <x v="979"/>
    <x v="994"/>
    <x v="991"/>
    <x v="975"/>
    <x v="991"/>
    <x v="994"/>
    <x v="994"/>
    <x v="994"/>
    <x v="994"/>
    <x v="994"/>
    <x v="994"/>
    <x v="994"/>
    <x v="979"/>
    <x v="977"/>
    <x v="977"/>
    <x v="912"/>
    <x v="0"/>
    <x v="0"/>
    <x v="932"/>
    <x v="979"/>
    <x v="979"/>
    <x v="979"/>
    <x v="979"/>
    <x v="11"/>
  </r>
  <r>
    <x v="1244"/>
    <x v="763"/>
    <x v="0"/>
    <x v="0"/>
    <x v="0"/>
    <x v="0"/>
    <x v="0"/>
    <x v="0"/>
    <x v="0"/>
    <x v="0"/>
    <x v="11"/>
    <x v="0"/>
    <x v="343"/>
    <x v="1"/>
    <x v="0"/>
    <x v="0"/>
    <x v="0"/>
    <x v="1244"/>
    <x v="2"/>
    <x v="18"/>
    <x v="18"/>
    <x v="0"/>
    <x v="0"/>
    <x v="4"/>
    <x v="128"/>
    <x v="0"/>
    <x v="19"/>
    <x v="1240"/>
    <x v="9"/>
    <x v="58"/>
    <x v="1"/>
    <x v="1"/>
    <x v="1"/>
    <x v="1"/>
    <x v="230"/>
    <x v="1"/>
    <x v="19"/>
    <x v="343"/>
    <x v="343"/>
    <x v="0"/>
    <x v="343"/>
    <x v="335"/>
    <x v="341"/>
    <x v="325"/>
    <x v="341"/>
    <x v="335"/>
    <x v="335"/>
    <x v="335"/>
    <x v="335"/>
    <x v="335"/>
    <x v="335"/>
    <x v="335"/>
    <x v="343"/>
    <x v="326"/>
    <x v="326"/>
    <x v="305"/>
    <x v="0"/>
    <x v="0"/>
    <x v="349"/>
    <x v="343"/>
    <x v="343"/>
    <x v="343"/>
    <x v="343"/>
    <x v="11"/>
  </r>
  <r>
    <x v="1245"/>
    <x v="751"/>
    <x v="0"/>
    <x v="0"/>
    <x v="0"/>
    <x v="0"/>
    <x v="0"/>
    <x v="0"/>
    <x v="0"/>
    <x v="0"/>
    <x v="11"/>
    <x v="0"/>
    <x v="1172"/>
    <x v="1"/>
    <x v="0"/>
    <x v="0"/>
    <x v="0"/>
    <x v="1245"/>
    <x v="2"/>
    <x v="18"/>
    <x v="18"/>
    <x v="0"/>
    <x v="0"/>
    <x v="4"/>
    <x v="128"/>
    <x v="0"/>
    <x v="17"/>
    <x v="1227"/>
    <x v="9"/>
    <x v="58"/>
    <x v="1"/>
    <x v="1"/>
    <x v="1"/>
    <x v="1"/>
    <x v="948"/>
    <x v="1"/>
    <x v="17"/>
    <x v="1170"/>
    <x v="1170"/>
    <x v="1"/>
    <x v="1170"/>
    <x v="1184"/>
    <x v="1180"/>
    <x v="1168"/>
    <x v="1180"/>
    <x v="1184"/>
    <x v="1184"/>
    <x v="1184"/>
    <x v="1184"/>
    <x v="1184"/>
    <x v="1184"/>
    <x v="1184"/>
    <x v="1170"/>
    <x v="1167"/>
    <x v="1167"/>
    <x v="1097"/>
    <x v="0"/>
    <x v="0"/>
    <x v="1117"/>
    <x v="1170"/>
    <x v="1170"/>
    <x v="1170"/>
    <x v="1170"/>
    <x v="11"/>
  </r>
  <r>
    <x v="1246"/>
    <x v="758"/>
    <x v="0"/>
    <x v="0"/>
    <x v="0"/>
    <x v="0"/>
    <x v="0"/>
    <x v="0"/>
    <x v="0"/>
    <x v="0"/>
    <x v="11"/>
    <x v="0"/>
    <x v="1099"/>
    <x v="1"/>
    <x v="0"/>
    <x v="0"/>
    <x v="0"/>
    <x v="1246"/>
    <x v="2"/>
    <x v="18"/>
    <x v="18"/>
    <x v="0"/>
    <x v="0"/>
    <x v="4"/>
    <x v="128"/>
    <x v="0"/>
    <x v="16"/>
    <x v="1236"/>
    <x v="9"/>
    <x v="58"/>
    <x v="1"/>
    <x v="1"/>
    <x v="1"/>
    <x v="1"/>
    <x v="863"/>
    <x v="1"/>
    <x v="16"/>
    <x v="1097"/>
    <x v="1097"/>
    <x v="1"/>
    <x v="1097"/>
    <x v="1106"/>
    <x v="1104"/>
    <x v="1091"/>
    <x v="1104"/>
    <x v="1106"/>
    <x v="1106"/>
    <x v="1106"/>
    <x v="1106"/>
    <x v="1106"/>
    <x v="1106"/>
    <x v="1106"/>
    <x v="1097"/>
    <x v="1089"/>
    <x v="1089"/>
    <x v="1025"/>
    <x v="0"/>
    <x v="0"/>
    <x v="1015"/>
    <x v="1097"/>
    <x v="1097"/>
    <x v="1097"/>
    <x v="1097"/>
    <x v="11"/>
  </r>
  <r>
    <x v="1247"/>
    <x v="763"/>
    <x v="0"/>
    <x v="0"/>
    <x v="0"/>
    <x v="0"/>
    <x v="0"/>
    <x v="0"/>
    <x v="0"/>
    <x v="0"/>
    <x v="11"/>
    <x v="0"/>
    <x v="1117"/>
    <x v="1"/>
    <x v="0"/>
    <x v="0"/>
    <x v="0"/>
    <x v="1247"/>
    <x v="2"/>
    <x v="18"/>
    <x v="18"/>
    <x v="0"/>
    <x v="0"/>
    <x v="4"/>
    <x v="128"/>
    <x v="0"/>
    <x v="19"/>
    <x v="1239"/>
    <x v="9"/>
    <x v="58"/>
    <x v="1"/>
    <x v="1"/>
    <x v="1"/>
    <x v="1"/>
    <x v="884"/>
    <x v="1"/>
    <x v="19"/>
    <x v="1115"/>
    <x v="1115"/>
    <x v="1"/>
    <x v="1115"/>
    <x v="1123"/>
    <x v="1124"/>
    <x v="1108"/>
    <x v="1124"/>
    <x v="1123"/>
    <x v="1123"/>
    <x v="1123"/>
    <x v="1123"/>
    <x v="1123"/>
    <x v="1123"/>
    <x v="1123"/>
    <x v="1115"/>
    <x v="1106"/>
    <x v="1106"/>
    <x v="1045"/>
    <x v="0"/>
    <x v="0"/>
    <x v="1081"/>
    <x v="1115"/>
    <x v="1115"/>
    <x v="1115"/>
    <x v="1115"/>
    <x v="11"/>
  </r>
  <r>
    <x v="1248"/>
    <x v="809"/>
    <x v="0"/>
    <x v="0"/>
    <x v="0"/>
    <x v="0"/>
    <x v="0"/>
    <x v="0"/>
    <x v="0"/>
    <x v="0"/>
    <x v="11"/>
    <x v="0"/>
    <x v="1126"/>
    <x v="1"/>
    <x v="0"/>
    <x v="0"/>
    <x v="0"/>
    <x v="1248"/>
    <x v="2"/>
    <x v="18"/>
    <x v="18"/>
    <x v="0"/>
    <x v="0"/>
    <x v="4"/>
    <x v="38"/>
    <x v="0"/>
    <x v="19"/>
    <x v="1235"/>
    <x v="9"/>
    <x v="58"/>
    <x v="1"/>
    <x v="1"/>
    <x v="1"/>
    <x v="1"/>
    <x v="893"/>
    <x v="1"/>
    <x v="19"/>
    <x v="1124"/>
    <x v="1124"/>
    <x v="1"/>
    <x v="1124"/>
    <x v="1131"/>
    <x v="1132"/>
    <x v="1119"/>
    <x v="1132"/>
    <x v="1131"/>
    <x v="1131"/>
    <x v="1131"/>
    <x v="1131"/>
    <x v="1131"/>
    <x v="1131"/>
    <x v="1131"/>
    <x v="1124"/>
    <x v="1118"/>
    <x v="1118"/>
    <x v="1054"/>
    <x v="0"/>
    <x v="0"/>
    <x v="1086"/>
    <x v="1124"/>
    <x v="1124"/>
    <x v="1124"/>
    <x v="1124"/>
    <x v="11"/>
  </r>
  <r>
    <x v="1249"/>
    <x v="779"/>
    <x v="0"/>
    <x v="0"/>
    <x v="0"/>
    <x v="0"/>
    <x v="0"/>
    <x v="0"/>
    <x v="0"/>
    <x v="0"/>
    <x v="11"/>
    <x v="0"/>
    <x v="795"/>
    <x v="1"/>
    <x v="0"/>
    <x v="0"/>
    <x v="0"/>
    <x v="1249"/>
    <x v="2"/>
    <x v="18"/>
    <x v="18"/>
    <x v="0"/>
    <x v="0"/>
    <x v="4"/>
    <x v="128"/>
    <x v="0"/>
    <x v="20"/>
    <x v="1245"/>
    <x v="9"/>
    <x v="58"/>
    <x v="1"/>
    <x v="1"/>
    <x v="1"/>
    <x v="1"/>
    <x v="536"/>
    <x v="1"/>
    <x v="20"/>
    <x v="795"/>
    <x v="795"/>
    <x v="1"/>
    <x v="795"/>
    <x v="795"/>
    <x v="796"/>
    <x v="750"/>
    <x v="796"/>
    <x v="795"/>
    <x v="795"/>
    <x v="795"/>
    <x v="795"/>
    <x v="795"/>
    <x v="795"/>
    <x v="795"/>
    <x v="795"/>
    <x v="751"/>
    <x v="751"/>
    <x v="736"/>
    <x v="0"/>
    <x v="0"/>
    <x v="716"/>
    <x v="795"/>
    <x v="795"/>
    <x v="795"/>
    <x v="795"/>
    <x v="11"/>
  </r>
  <r>
    <x v="1250"/>
    <x v="800"/>
    <x v="0"/>
    <x v="0"/>
    <x v="0"/>
    <x v="0"/>
    <x v="0"/>
    <x v="1"/>
    <x v="0"/>
    <x v="0"/>
    <x v="11"/>
    <x v="0"/>
    <x v="151"/>
    <x v="1"/>
    <x v="0"/>
    <x v="0"/>
    <x v="0"/>
    <x v="1250"/>
    <x v="1"/>
    <x v="18"/>
    <x v="18"/>
    <x v="0"/>
    <x v="0"/>
    <x v="4"/>
    <x v="128"/>
    <x v="0"/>
    <x v="30"/>
    <x v="1241"/>
    <x v="10"/>
    <x v="68"/>
    <x v="1"/>
    <x v="2"/>
    <x v="2"/>
    <x v="1"/>
    <x v="145"/>
    <x v="2"/>
    <x v="30"/>
    <x v="152"/>
    <x v="152"/>
    <x v="0"/>
    <x v="152"/>
    <x v="171"/>
    <x v="167"/>
    <x v="167"/>
    <x v="167"/>
    <x v="171"/>
    <x v="171"/>
    <x v="171"/>
    <x v="171"/>
    <x v="171"/>
    <x v="171"/>
    <x v="171"/>
    <x v="152"/>
    <x v="167"/>
    <x v="167"/>
    <x v="134"/>
    <x v="0"/>
    <x v="0"/>
    <x v="200"/>
    <x v="152"/>
    <x v="152"/>
    <x v="152"/>
    <x v="152"/>
    <x v="11"/>
  </r>
  <r>
    <x v="1251"/>
    <x v="801"/>
    <x v="0"/>
    <x v="0"/>
    <x v="0"/>
    <x v="0"/>
    <x v="0"/>
    <x v="0"/>
    <x v="0"/>
    <x v="0"/>
    <x v="11"/>
    <x v="0"/>
    <x v="566"/>
    <x v="1"/>
    <x v="0"/>
    <x v="0"/>
    <x v="0"/>
    <x v="1251"/>
    <x v="2"/>
    <x v="18"/>
    <x v="18"/>
    <x v="0"/>
    <x v="0"/>
    <x v="4"/>
    <x v="38"/>
    <x v="0"/>
    <x v="19"/>
    <x v="1225"/>
    <x v="9"/>
    <x v="58"/>
    <x v="1"/>
    <x v="1"/>
    <x v="1"/>
    <x v="1"/>
    <x v="373"/>
    <x v="1"/>
    <x v="19"/>
    <x v="566"/>
    <x v="566"/>
    <x v="0"/>
    <x v="566"/>
    <x v="518"/>
    <x v="527"/>
    <x v="503"/>
    <x v="527"/>
    <x v="518"/>
    <x v="518"/>
    <x v="518"/>
    <x v="518"/>
    <x v="518"/>
    <x v="518"/>
    <x v="518"/>
    <x v="566"/>
    <x v="503"/>
    <x v="503"/>
    <x v="502"/>
    <x v="0"/>
    <x v="0"/>
    <x v="503"/>
    <x v="566"/>
    <x v="566"/>
    <x v="566"/>
    <x v="566"/>
    <x v="11"/>
  </r>
  <r>
    <x v="1252"/>
    <x v="805"/>
    <x v="0"/>
    <x v="0"/>
    <x v="0"/>
    <x v="0"/>
    <x v="0"/>
    <x v="1"/>
    <x v="0"/>
    <x v="0"/>
    <x v="11"/>
    <x v="0"/>
    <x v="646"/>
    <x v="1"/>
    <x v="0"/>
    <x v="0"/>
    <x v="0"/>
    <x v="1252"/>
    <x v="1"/>
    <x v="18"/>
    <x v="18"/>
    <x v="0"/>
    <x v="0"/>
    <x v="4"/>
    <x v="38"/>
    <x v="0"/>
    <x v="29"/>
    <x v="1243"/>
    <x v="10"/>
    <x v="68"/>
    <x v="1"/>
    <x v="2"/>
    <x v="2"/>
    <x v="1"/>
    <x v="759"/>
    <x v="2"/>
    <x v="29"/>
    <x v="646"/>
    <x v="646"/>
    <x v="0"/>
    <x v="646"/>
    <x v="716"/>
    <x v="718"/>
    <x v="717"/>
    <x v="718"/>
    <x v="716"/>
    <x v="716"/>
    <x v="716"/>
    <x v="716"/>
    <x v="716"/>
    <x v="716"/>
    <x v="716"/>
    <x v="646"/>
    <x v="710"/>
    <x v="710"/>
    <x v="592"/>
    <x v="0"/>
    <x v="0"/>
    <x v="834"/>
    <x v="646"/>
    <x v="646"/>
    <x v="646"/>
    <x v="646"/>
    <x v="11"/>
  </r>
  <r>
    <x v="1253"/>
    <x v="801"/>
    <x v="0"/>
    <x v="0"/>
    <x v="0"/>
    <x v="0"/>
    <x v="0"/>
    <x v="0"/>
    <x v="0"/>
    <x v="0"/>
    <x v="11"/>
    <x v="0"/>
    <x v="587"/>
    <x v="1"/>
    <x v="0"/>
    <x v="0"/>
    <x v="0"/>
    <x v="1253"/>
    <x v="2"/>
    <x v="18"/>
    <x v="18"/>
    <x v="0"/>
    <x v="0"/>
    <x v="4"/>
    <x v="38"/>
    <x v="0"/>
    <x v="19"/>
    <x v="1226"/>
    <x v="9"/>
    <x v="58"/>
    <x v="1"/>
    <x v="1"/>
    <x v="1"/>
    <x v="1"/>
    <x v="386"/>
    <x v="1"/>
    <x v="19"/>
    <x v="587"/>
    <x v="587"/>
    <x v="0"/>
    <x v="587"/>
    <x v="534"/>
    <x v="544"/>
    <x v="517"/>
    <x v="544"/>
    <x v="534"/>
    <x v="534"/>
    <x v="534"/>
    <x v="534"/>
    <x v="534"/>
    <x v="534"/>
    <x v="534"/>
    <x v="587"/>
    <x v="518"/>
    <x v="518"/>
    <x v="522"/>
    <x v="0"/>
    <x v="0"/>
    <x v="518"/>
    <x v="587"/>
    <x v="587"/>
    <x v="587"/>
    <x v="587"/>
    <x v="11"/>
  </r>
  <r>
    <x v="1254"/>
    <x v="794"/>
    <x v="0"/>
    <x v="0"/>
    <x v="0"/>
    <x v="0"/>
    <x v="0"/>
    <x v="0"/>
    <x v="0"/>
    <x v="0"/>
    <x v="11"/>
    <x v="0"/>
    <x v="687"/>
    <x v="1"/>
    <x v="0"/>
    <x v="0"/>
    <x v="0"/>
    <x v="1254"/>
    <x v="2"/>
    <x v="18"/>
    <x v="18"/>
    <x v="0"/>
    <x v="0"/>
    <x v="4"/>
    <x v="128"/>
    <x v="0"/>
    <x v="19"/>
    <x v="1228"/>
    <x v="9"/>
    <x v="58"/>
    <x v="1"/>
    <x v="1"/>
    <x v="1"/>
    <x v="1"/>
    <x v="449"/>
    <x v="1"/>
    <x v="19"/>
    <x v="687"/>
    <x v="687"/>
    <x v="1"/>
    <x v="687"/>
    <x v="629"/>
    <x v="638"/>
    <x v="594"/>
    <x v="638"/>
    <x v="629"/>
    <x v="629"/>
    <x v="629"/>
    <x v="629"/>
    <x v="629"/>
    <x v="629"/>
    <x v="629"/>
    <x v="687"/>
    <x v="594"/>
    <x v="594"/>
    <x v="619"/>
    <x v="0"/>
    <x v="0"/>
    <x v="570"/>
    <x v="687"/>
    <x v="687"/>
    <x v="687"/>
    <x v="687"/>
    <x v="11"/>
  </r>
  <r>
    <x v="1255"/>
    <x v="809"/>
    <x v="0"/>
    <x v="0"/>
    <x v="0"/>
    <x v="0"/>
    <x v="0"/>
    <x v="0"/>
    <x v="0"/>
    <x v="0"/>
    <x v="11"/>
    <x v="0"/>
    <x v="684"/>
    <x v="1"/>
    <x v="0"/>
    <x v="0"/>
    <x v="0"/>
    <x v="1255"/>
    <x v="2"/>
    <x v="18"/>
    <x v="18"/>
    <x v="0"/>
    <x v="0"/>
    <x v="4"/>
    <x v="38"/>
    <x v="0"/>
    <x v="19"/>
    <x v="1234"/>
    <x v="9"/>
    <x v="58"/>
    <x v="1"/>
    <x v="1"/>
    <x v="1"/>
    <x v="1"/>
    <x v="447"/>
    <x v="1"/>
    <x v="19"/>
    <x v="684"/>
    <x v="684"/>
    <x v="1"/>
    <x v="684"/>
    <x v="623"/>
    <x v="635"/>
    <x v="592"/>
    <x v="635"/>
    <x v="623"/>
    <x v="623"/>
    <x v="623"/>
    <x v="623"/>
    <x v="623"/>
    <x v="623"/>
    <x v="623"/>
    <x v="684"/>
    <x v="591"/>
    <x v="591"/>
    <x v="614"/>
    <x v="0"/>
    <x v="0"/>
    <x v="568"/>
    <x v="684"/>
    <x v="684"/>
    <x v="684"/>
    <x v="684"/>
    <x v="11"/>
  </r>
  <r>
    <x v="1256"/>
    <x v="723"/>
    <x v="0"/>
    <x v="0"/>
    <x v="0"/>
    <x v="0"/>
    <x v="0"/>
    <x v="0"/>
    <x v="0"/>
    <x v="0"/>
    <x v="11"/>
    <x v="0"/>
    <x v="786"/>
    <x v="1"/>
    <x v="0"/>
    <x v="0"/>
    <x v="0"/>
    <x v="1256"/>
    <x v="2"/>
    <x v="19"/>
    <x v="19"/>
    <x v="0"/>
    <x v="0"/>
    <x v="4"/>
    <x v="26"/>
    <x v="0"/>
    <x v="14"/>
    <x v="1249"/>
    <x v="9"/>
    <x v="58"/>
    <x v="1"/>
    <x v="1"/>
    <x v="1"/>
    <x v="1"/>
    <x v="526"/>
    <x v="1"/>
    <x v="14"/>
    <x v="786"/>
    <x v="786"/>
    <x v="1"/>
    <x v="786"/>
    <x v="779"/>
    <x v="785"/>
    <x v="739"/>
    <x v="785"/>
    <x v="779"/>
    <x v="779"/>
    <x v="779"/>
    <x v="779"/>
    <x v="779"/>
    <x v="779"/>
    <x v="779"/>
    <x v="786"/>
    <x v="739"/>
    <x v="739"/>
    <x v="723"/>
    <x v="0"/>
    <x v="0"/>
    <x v="578"/>
    <x v="786"/>
    <x v="786"/>
    <x v="786"/>
    <x v="786"/>
    <x v="11"/>
  </r>
  <r>
    <x v="1257"/>
    <x v="747"/>
    <x v="0"/>
    <x v="0"/>
    <x v="0"/>
    <x v="0"/>
    <x v="0"/>
    <x v="0"/>
    <x v="0"/>
    <x v="0"/>
    <x v="11"/>
    <x v="0"/>
    <x v="581"/>
    <x v="1"/>
    <x v="0"/>
    <x v="0"/>
    <x v="0"/>
    <x v="1257"/>
    <x v="2"/>
    <x v="19"/>
    <x v="19"/>
    <x v="0"/>
    <x v="0"/>
    <x v="4"/>
    <x v="26"/>
    <x v="0"/>
    <x v="15"/>
    <x v="1252"/>
    <x v="9"/>
    <x v="58"/>
    <x v="1"/>
    <x v="1"/>
    <x v="1"/>
    <x v="1"/>
    <x v="381"/>
    <x v="1"/>
    <x v="15"/>
    <x v="581"/>
    <x v="581"/>
    <x v="0"/>
    <x v="581"/>
    <x v="529"/>
    <x v="539"/>
    <x v="512"/>
    <x v="539"/>
    <x v="529"/>
    <x v="529"/>
    <x v="529"/>
    <x v="529"/>
    <x v="529"/>
    <x v="529"/>
    <x v="529"/>
    <x v="581"/>
    <x v="514"/>
    <x v="514"/>
    <x v="517"/>
    <x v="0"/>
    <x v="0"/>
    <x v="447"/>
    <x v="581"/>
    <x v="581"/>
    <x v="581"/>
    <x v="581"/>
    <x v="11"/>
  </r>
  <r>
    <x v="1258"/>
    <x v="747"/>
    <x v="0"/>
    <x v="0"/>
    <x v="0"/>
    <x v="0"/>
    <x v="0"/>
    <x v="0"/>
    <x v="0"/>
    <x v="0"/>
    <x v="11"/>
    <x v="0"/>
    <x v="1228"/>
    <x v="1"/>
    <x v="0"/>
    <x v="0"/>
    <x v="0"/>
    <x v="1258"/>
    <x v="2"/>
    <x v="19"/>
    <x v="19"/>
    <x v="0"/>
    <x v="0"/>
    <x v="4"/>
    <x v="26"/>
    <x v="0"/>
    <x v="15"/>
    <x v="1253"/>
    <x v="9"/>
    <x v="58"/>
    <x v="1"/>
    <x v="1"/>
    <x v="1"/>
    <x v="1"/>
    <x v="1021"/>
    <x v="1"/>
    <x v="15"/>
    <x v="1226"/>
    <x v="1226"/>
    <x v="2"/>
    <x v="1226"/>
    <x v="1247"/>
    <x v="1240"/>
    <x v="1236"/>
    <x v="1240"/>
    <x v="1247"/>
    <x v="1247"/>
    <x v="1247"/>
    <x v="1247"/>
    <x v="1247"/>
    <x v="1247"/>
    <x v="1247"/>
    <x v="1226"/>
    <x v="1234"/>
    <x v="1234"/>
    <x v="1153"/>
    <x v="0"/>
    <x v="0"/>
    <x v="1161"/>
    <x v="1226"/>
    <x v="1226"/>
    <x v="1226"/>
    <x v="1226"/>
    <x v="11"/>
  </r>
  <r>
    <x v="1259"/>
    <x v="783"/>
    <x v="0"/>
    <x v="0"/>
    <x v="0"/>
    <x v="0"/>
    <x v="0"/>
    <x v="0"/>
    <x v="0"/>
    <x v="0"/>
    <x v="11"/>
    <x v="0"/>
    <x v="1121"/>
    <x v="1"/>
    <x v="0"/>
    <x v="0"/>
    <x v="0"/>
    <x v="1259"/>
    <x v="2"/>
    <x v="19"/>
    <x v="19"/>
    <x v="0"/>
    <x v="0"/>
    <x v="4"/>
    <x v="26"/>
    <x v="0"/>
    <x v="16"/>
    <x v="1251"/>
    <x v="9"/>
    <x v="58"/>
    <x v="1"/>
    <x v="1"/>
    <x v="1"/>
    <x v="1"/>
    <x v="887"/>
    <x v="1"/>
    <x v="16"/>
    <x v="1119"/>
    <x v="1119"/>
    <x v="1"/>
    <x v="1119"/>
    <x v="1127"/>
    <x v="1127"/>
    <x v="1112"/>
    <x v="1127"/>
    <x v="1127"/>
    <x v="1127"/>
    <x v="1127"/>
    <x v="1127"/>
    <x v="1127"/>
    <x v="1127"/>
    <x v="1127"/>
    <x v="1119"/>
    <x v="1112"/>
    <x v="1112"/>
    <x v="1049"/>
    <x v="0"/>
    <x v="0"/>
    <x v="1036"/>
    <x v="1119"/>
    <x v="1119"/>
    <x v="1119"/>
    <x v="1119"/>
    <x v="11"/>
  </r>
  <r>
    <x v="1260"/>
    <x v="776"/>
    <x v="0"/>
    <x v="0"/>
    <x v="0"/>
    <x v="0"/>
    <x v="0"/>
    <x v="0"/>
    <x v="0"/>
    <x v="0"/>
    <x v="11"/>
    <x v="0"/>
    <x v="258"/>
    <x v="1"/>
    <x v="0"/>
    <x v="0"/>
    <x v="0"/>
    <x v="1260"/>
    <x v="2"/>
    <x v="19"/>
    <x v="19"/>
    <x v="0"/>
    <x v="0"/>
    <x v="4"/>
    <x v="26"/>
    <x v="0"/>
    <x v="16"/>
    <x v="1259"/>
    <x v="9"/>
    <x v="58"/>
    <x v="1"/>
    <x v="1"/>
    <x v="1"/>
    <x v="1"/>
    <x v="167"/>
    <x v="1"/>
    <x v="16"/>
    <x v="258"/>
    <x v="258"/>
    <x v="0"/>
    <x v="258"/>
    <x v="263"/>
    <x v="265"/>
    <x v="258"/>
    <x v="265"/>
    <x v="263"/>
    <x v="263"/>
    <x v="263"/>
    <x v="263"/>
    <x v="263"/>
    <x v="263"/>
    <x v="263"/>
    <x v="258"/>
    <x v="257"/>
    <x v="257"/>
    <x v="226"/>
    <x v="0"/>
    <x v="0"/>
    <x v="232"/>
    <x v="258"/>
    <x v="258"/>
    <x v="258"/>
    <x v="258"/>
    <x v="11"/>
  </r>
  <r>
    <x v="1261"/>
    <x v="757"/>
    <x v="0"/>
    <x v="0"/>
    <x v="0"/>
    <x v="0"/>
    <x v="0"/>
    <x v="0"/>
    <x v="0"/>
    <x v="0"/>
    <x v="11"/>
    <x v="0"/>
    <x v="1266"/>
    <x v="1"/>
    <x v="0"/>
    <x v="0"/>
    <x v="0"/>
    <x v="1261"/>
    <x v="2"/>
    <x v="19"/>
    <x v="19"/>
    <x v="0"/>
    <x v="0"/>
    <x v="4"/>
    <x v="26"/>
    <x v="0"/>
    <x v="15"/>
    <x v="1254"/>
    <x v="9"/>
    <x v="58"/>
    <x v="1"/>
    <x v="1"/>
    <x v="1"/>
    <x v="1"/>
    <x v="1063"/>
    <x v="1"/>
    <x v="15"/>
    <x v="1264"/>
    <x v="1264"/>
    <x v="2"/>
    <x v="1264"/>
    <x v="1286"/>
    <x v="1279"/>
    <x v="1281"/>
    <x v="1279"/>
    <x v="1286"/>
    <x v="1286"/>
    <x v="1286"/>
    <x v="1286"/>
    <x v="1286"/>
    <x v="1286"/>
    <x v="1286"/>
    <x v="1264"/>
    <x v="1279"/>
    <x v="1279"/>
    <x v="1189"/>
    <x v="0"/>
    <x v="0"/>
    <x v="1213"/>
    <x v="1264"/>
    <x v="1264"/>
    <x v="1264"/>
    <x v="1264"/>
    <x v="11"/>
  </r>
  <r>
    <x v="1262"/>
    <x v="783"/>
    <x v="0"/>
    <x v="0"/>
    <x v="0"/>
    <x v="0"/>
    <x v="0"/>
    <x v="0"/>
    <x v="0"/>
    <x v="0"/>
    <x v="11"/>
    <x v="0"/>
    <x v="124"/>
    <x v="1"/>
    <x v="0"/>
    <x v="0"/>
    <x v="0"/>
    <x v="1262"/>
    <x v="2"/>
    <x v="19"/>
    <x v="19"/>
    <x v="0"/>
    <x v="0"/>
    <x v="4"/>
    <x v="26"/>
    <x v="0"/>
    <x v="16"/>
    <x v="1250"/>
    <x v="9"/>
    <x v="58"/>
    <x v="1"/>
    <x v="1"/>
    <x v="1"/>
    <x v="1"/>
    <x v="61"/>
    <x v="1"/>
    <x v="16"/>
    <x v="125"/>
    <x v="125"/>
    <x v="0"/>
    <x v="125"/>
    <x v="123"/>
    <x v="128"/>
    <x v="115"/>
    <x v="128"/>
    <x v="123"/>
    <x v="123"/>
    <x v="123"/>
    <x v="123"/>
    <x v="123"/>
    <x v="123"/>
    <x v="123"/>
    <x v="125"/>
    <x v="114"/>
    <x v="114"/>
    <x v="107"/>
    <x v="0"/>
    <x v="0"/>
    <x v="106"/>
    <x v="125"/>
    <x v="125"/>
    <x v="125"/>
    <x v="125"/>
    <x v="11"/>
  </r>
  <r>
    <x v="1263"/>
    <x v="784"/>
    <x v="0"/>
    <x v="0"/>
    <x v="0"/>
    <x v="0"/>
    <x v="0"/>
    <x v="0"/>
    <x v="0"/>
    <x v="0"/>
    <x v="11"/>
    <x v="0"/>
    <x v="237"/>
    <x v="1"/>
    <x v="0"/>
    <x v="0"/>
    <x v="0"/>
    <x v="1263"/>
    <x v="2"/>
    <x v="19"/>
    <x v="19"/>
    <x v="0"/>
    <x v="0"/>
    <x v="4"/>
    <x v="26"/>
    <x v="0"/>
    <x v="16"/>
    <x v="1248"/>
    <x v="9"/>
    <x v="58"/>
    <x v="1"/>
    <x v="1"/>
    <x v="1"/>
    <x v="1"/>
    <x v="148"/>
    <x v="1"/>
    <x v="16"/>
    <x v="237"/>
    <x v="237"/>
    <x v="0"/>
    <x v="237"/>
    <x v="242"/>
    <x v="242"/>
    <x v="238"/>
    <x v="242"/>
    <x v="242"/>
    <x v="242"/>
    <x v="242"/>
    <x v="242"/>
    <x v="242"/>
    <x v="242"/>
    <x v="242"/>
    <x v="237"/>
    <x v="237"/>
    <x v="237"/>
    <x v="206"/>
    <x v="0"/>
    <x v="0"/>
    <x v="217"/>
    <x v="237"/>
    <x v="237"/>
    <x v="237"/>
    <x v="237"/>
    <x v="11"/>
  </r>
  <r>
    <x v="1264"/>
    <x v="787"/>
    <x v="0"/>
    <x v="0"/>
    <x v="0"/>
    <x v="0"/>
    <x v="0"/>
    <x v="0"/>
    <x v="0"/>
    <x v="0"/>
    <x v="11"/>
    <x v="0"/>
    <x v="1130"/>
    <x v="1"/>
    <x v="0"/>
    <x v="0"/>
    <x v="0"/>
    <x v="1264"/>
    <x v="2"/>
    <x v="19"/>
    <x v="19"/>
    <x v="0"/>
    <x v="0"/>
    <x v="4"/>
    <x v="128"/>
    <x v="0"/>
    <x v="16"/>
    <x v="1263"/>
    <x v="9"/>
    <x v="58"/>
    <x v="1"/>
    <x v="1"/>
    <x v="1"/>
    <x v="1"/>
    <x v="897"/>
    <x v="1"/>
    <x v="16"/>
    <x v="1128"/>
    <x v="1128"/>
    <x v="1"/>
    <x v="1128"/>
    <x v="1135"/>
    <x v="1137"/>
    <x v="1124"/>
    <x v="1137"/>
    <x v="1135"/>
    <x v="1135"/>
    <x v="1135"/>
    <x v="1135"/>
    <x v="1135"/>
    <x v="1135"/>
    <x v="1135"/>
    <x v="1128"/>
    <x v="1123"/>
    <x v="1123"/>
    <x v="1058"/>
    <x v="0"/>
    <x v="0"/>
    <x v="1044"/>
    <x v="1128"/>
    <x v="1128"/>
    <x v="1128"/>
    <x v="1128"/>
    <x v="11"/>
  </r>
  <r>
    <x v="1265"/>
    <x v="800"/>
    <x v="0"/>
    <x v="0"/>
    <x v="0"/>
    <x v="0"/>
    <x v="0"/>
    <x v="1"/>
    <x v="0"/>
    <x v="0"/>
    <x v="11"/>
    <x v="0"/>
    <x v="1023"/>
    <x v="1"/>
    <x v="0"/>
    <x v="0"/>
    <x v="0"/>
    <x v="1265"/>
    <x v="1"/>
    <x v="19"/>
    <x v="19"/>
    <x v="0"/>
    <x v="0"/>
    <x v="4"/>
    <x v="128"/>
    <x v="0"/>
    <x v="30"/>
    <x v="1242"/>
    <x v="10"/>
    <x v="68"/>
    <x v="1"/>
    <x v="2"/>
    <x v="2"/>
    <x v="1"/>
    <x v="1077"/>
    <x v="2"/>
    <x v="30"/>
    <x v="1023"/>
    <x v="1023"/>
    <x v="1"/>
    <x v="1023"/>
    <x v="1099"/>
    <x v="1087"/>
    <x v="1102"/>
    <x v="1087"/>
    <x v="1099"/>
    <x v="1099"/>
    <x v="1099"/>
    <x v="1099"/>
    <x v="1099"/>
    <x v="1099"/>
    <x v="1099"/>
    <x v="1023"/>
    <x v="1100"/>
    <x v="1100"/>
    <x v="962"/>
    <x v="0"/>
    <x v="0"/>
    <x v="1198"/>
    <x v="1023"/>
    <x v="1023"/>
    <x v="1023"/>
    <x v="1023"/>
    <x v="11"/>
  </r>
  <r>
    <x v="1266"/>
    <x v="818"/>
    <x v="0"/>
    <x v="0"/>
    <x v="0"/>
    <x v="0"/>
    <x v="0"/>
    <x v="0"/>
    <x v="0"/>
    <x v="0"/>
    <x v="11"/>
    <x v="0"/>
    <x v="726"/>
    <x v="1"/>
    <x v="0"/>
    <x v="0"/>
    <x v="0"/>
    <x v="1266"/>
    <x v="2"/>
    <x v="19"/>
    <x v="19"/>
    <x v="0"/>
    <x v="0"/>
    <x v="4"/>
    <x v="3"/>
    <x v="0"/>
    <x v="17"/>
    <x v="1261"/>
    <x v="9"/>
    <x v="58"/>
    <x v="1"/>
    <x v="1"/>
    <x v="1"/>
    <x v="1"/>
    <x v="482"/>
    <x v="1"/>
    <x v="17"/>
    <x v="726"/>
    <x v="726"/>
    <x v="1"/>
    <x v="726"/>
    <x v="690"/>
    <x v="706"/>
    <x v="649"/>
    <x v="706"/>
    <x v="690"/>
    <x v="690"/>
    <x v="690"/>
    <x v="690"/>
    <x v="690"/>
    <x v="690"/>
    <x v="690"/>
    <x v="726"/>
    <x v="650"/>
    <x v="650"/>
    <x v="666"/>
    <x v="0"/>
    <x v="0"/>
    <x v="581"/>
    <x v="726"/>
    <x v="726"/>
    <x v="726"/>
    <x v="726"/>
    <x v="11"/>
  </r>
  <r>
    <x v="1267"/>
    <x v="818"/>
    <x v="0"/>
    <x v="0"/>
    <x v="0"/>
    <x v="0"/>
    <x v="0"/>
    <x v="0"/>
    <x v="0"/>
    <x v="0"/>
    <x v="11"/>
    <x v="0"/>
    <x v="1260"/>
    <x v="1"/>
    <x v="0"/>
    <x v="0"/>
    <x v="0"/>
    <x v="1267"/>
    <x v="2"/>
    <x v="19"/>
    <x v="19"/>
    <x v="0"/>
    <x v="0"/>
    <x v="4"/>
    <x v="3"/>
    <x v="0"/>
    <x v="17"/>
    <x v="1262"/>
    <x v="9"/>
    <x v="58"/>
    <x v="1"/>
    <x v="1"/>
    <x v="1"/>
    <x v="1"/>
    <x v="1057"/>
    <x v="1"/>
    <x v="17"/>
    <x v="1258"/>
    <x v="1258"/>
    <x v="2"/>
    <x v="1258"/>
    <x v="1281"/>
    <x v="1273"/>
    <x v="1275"/>
    <x v="1273"/>
    <x v="1281"/>
    <x v="1281"/>
    <x v="1281"/>
    <x v="1281"/>
    <x v="1281"/>
    <x v="1281"/>
    <x v="1281"/>
    <x v="1258"/>
    <x v="1274"/>
    <x v="1274"/>
    <x v="1183"/>
    <x v="0"/>
    <x v="0"/>
    <x v="1234"/>
    <x v="1258"/>
    <x v="1258"/>
    <x v="1258"/>
    <x v="1258"/>
    <x v="11"/>
  </r>
  <r>
    <x v="1268"/>
    <x v="833"/>
    <x v="0"/>
    <x v="0"/>
    <x v="0"/>
    <x v="0"/>
    <x v="0"/>
    <x v="1"/>
    <x v="0"/>
    <x v="0"/>
    <x v="11"/>
    <x v="0"/>
    <x v="264"/>
    <x v="1"/>
    <x v="0"/>
    <x v="0"/>
    <x v="0"/>
    <x v="1268"/>
    <x v="1"/>
    <x v="19"/>
    <x v="19"/>
    <x v="0"/>
    <x v="0"/>
    <x v="4"/>
    <x v="3"/>
    <x v="0"/>
    <x v="25"/>
    <x v="1257"/>
    <x v="10"/>
    <x v="68"/>
    <x v="1"/>
    <x v="2"/>
    <x v="2"/>
    <x v="1"/>
    <x v="349"/>
    <x v="2"/>
    <x v="25"/>
    <x v="264"/>
    <x v="264"/>
    <x v="0"/>
    <x v="264"/>
    <x v="300"/>
    <x v="297"/>
    <x v="301"/>
    <x v="297"/>
    <x v="300"/>
    <x v="300"/>
    <x v="300"/>
    <x v="300"/>
    <x v="300"/>
    <x v="300"/>
    <x v="300"/>
    <x v="264"/>
    <x v="300"/>
    <x v="300"/>
    <x v="236"/>
    <x v="0"/>
    <x v="0"/>
    <x v="369"/>
    <x v="264"/>
    <x v="264"/>
    <x v="264"/>
    <x v="264"/>
    <x v="11"/>
  </r>
  <r>
    <x v="1269"/>
    <x v="830"/>
    <x v="0"/>
    <x v="0"/>
    <x v="0"/>
    <x v="0"/>
    <x v="0"/>
    <x v="0"/>
    <x v="0"/>
    <x v="0"/>
    <x v="11"/>
    <x v="0"/>
    <x v="833"/>
    <x v="1"/>
    <x v="0"/>
    <x v="0"/>
    <x v="0"/>
    <x v="1269"/>
    <x v="2"/>
    <x v="19"/>
    <x v="19"/>
    <x v="0"/>
    <x v="0"/>
    <x v="4"/>
    <x v="3"/>
    <x v="0"/>
    <x v="18"/>
    <x v="1256"/>
    <x v="9"/>
    <x v="58"/>
    <x v="1"/>
    <x v="1"/>
    <x v="1"/>
    <x v="1"/>
    <x v="576"/>
    <x v="1"/>
    <x v="18"/>
    <x v="833"/>
    <x v="833"/>
    <x v="1"/>
    <x v="833"/>
    <x v="842"/>
    <x v="841"/>
    <x v="811"/>
    <x v="841"/>
    <x v="842"/>
    <x v="842"/>
    <x v="842"/>
    <x v="842"/>
    <x v="842"/>
    <x v="842"/>
    <x v="842"/>
    <x v="833"/>
    <x v="810"/>
    <x v="810"/>
    <x v="772"/>
    <x v="0"/>
    <x v="0"/>
    <x v="746"/>
    <x v="833"/>
    <x v="833"/>
    <x v="833"/>
    <x v="833"/>
    <x v="11"/>
  </r>
  <r>
    <x v="1270"/>
    <x v="830"/>
    <x v="0"/>
    <x v="0"/>
    <x v="0"/>
    <x v="0"/>
    <x v="0"/>
    <x v="0"/>
    <x v="0"/>
    <x v="0"/>
    <x v="11"/>
    <x v="0"/>
    <x v="1312"/>
    <x v="1"/>
    <x v="0"/>
    <x v="0"/>
    <x v="0"/>
    <x v="1270"/>
    <x v="2"/>
    <x v="19"/>
    <x v="19"/>
    <x v="0"/>
    <x v="0"/>
    <x v="4"/>
    <x v="3"/>
    <x v="0"/>
    <x v="18"/>
    <x v="1255"/>
    <x v="9"/>
    <x v="58"/>
    <x v="1"/>
    <x v="1"/>
    <x v="1"/>
    <x v="1"/>
    <x v="1124"/>
    <x v="1"/>
    <x v="18"/>
    <x v="1310"/>
    <x v="1310"/>
    <x v="2"/>
    <x v="1310"/>
    <x v="1333"/>
    <x v="1326"/>
    <x v="1325"/>
    <x v="1326"/>
    <x v="1333"/>
    <x v="1333"/>
    <x v="1333"/>
    <x v="1333"/>
    <x v="1333"/>
    <x v="1333"/>
    <x v="1333"/>
    <x v="1310"/>
    <x v="1324"/>
    <x v="1324"/>
    <x v="1232"/>
    <x v="0"/>
    <x v="0"/>
    <x v="1299"/>
    <x v="1310"/>
    <x v="1310"/>
    <x v="1310"/>
    <x v="1310"/>
    <x v="11"/>
  </r>
  <r>
    <x v="1271"/>
    <x v="834"/>
    <x v="0"/>
    <x v="0"/>
    <x v="0"/>
    <x v="0"/>
    <x v="0"/>
    <x v="1"/>
    <x v="0"/>
    <x v="0"/>
    <x v="11"/>
    <x v="0"/>
    <x v="645"/>
    <x v="1"/>
    <x v="0"/>
    <x v="0"/>
    <x v="0"/>
    <x v="1271"/>
    <x v="1"/>
    <x v="19"/>
    <x v="19"/>
    <x v="0"/>
    <x v="0"/>
    <x v="4"/>
    <x v="128"/>
    <x v="0"/>
    <x v="25"/>
    <x v="1264"/>
    <x v="10"/>
    <x v="68"/>
    <x v="1"/>
    <x v="2"/>
    <x v="2"/>
    <x v="1"/>
    <x v="758"/>
    <x v="2"/>
    <x v="25"/>
    <x v="645"/>
    <x v="645"/>
    <x v="0"/>
    <x v="645"/>
    <x v="715"/>
    <x v="717"/>
    <x v="716"/>
    <x v="717"/>
    <x v="715"/>
    <x v="715"/>
    <x v="715"/>
    <x v="715"/>
    <x v="715"/>
    <x v="715"/>
    <x v="715"/>
    <x v="645"/>
    <x v="709"/>
    <x v="709"/>
    <x v="591"/>
    <x v="0"/>
    <x v="0"/>
    <x v="775"/>
    <x v="645"/>
    <x v="645"/>
    <x v="645"/>
    <x v="645"/>
    <x v="11"/>
  </r>
  <r>
    <x v="1272"/>
    <x v="865"/>
    <x v="0"/>
    <x v="0"/>
    <x v="0"/>
    <x v="0"/>
    <x v="0"/>
    <x v="0"/>
    <x v="0"/>
    <x v="0"/>
    <x v="11"/>
    <x v="0"/>
    <x v="1328"/>
    <x v="1"/>
    <x v="0"/>
    <x v="0"/>
    <x v="0"/>
    <x v="1272"/>
    <x v="2"/>
    <x v="19"/>
    <x v="19"/>
    <x v="0"/>
    <x v="0"/>
    <x v="4"/>
    <x v="128"/>
    <x v="0"/>
    <x v="28"/>
    <x v="1260"/>
    <x v="9"/>
    <x v="58"/>
    <x v="1"/>
    <x v="1"/>
    <x v="1"/>
    <x v="1"/>
    <x v="1162"/>
    <x v="1"/>
    <x v="28"/>
    <x v="1326"/>
    <x v="1326"/>
    <x v="3"/>
    <x v="1326"/>
    <x v="1358"/>
    <x v="1351"/>
    <x v="1347"/>
    <x v="1351"/>
    <x v="1358"/>
    <x v="1358"/>
    <x v="1358"/>
    <x v="1358"/>
    <x v="1358"/>
    <x v="1358"/>
    <x v="1358"/>
    <x v="1326"/>
    <x v="1345"/>
    <x v="1345"/>
    <x v="1247"/>
    <x v="0"/>
    <x v="0"/>
    <x v="1379"/>
    <x v="1326"/>
    <x v="1326"/>
    <x v="1326"/>
    <x v="1326"/>
    <x v="11"/>
  </r>
  <r>
    <x v="1273"/>
    <x v="847"/>
    <x v="0"/>
    <x v="0"/>
    <x v="0"/>
    <x v="0"/>
    <x v="0"/>
    <x v="0"/>
    <x v="0"/>
    <x v="0"/>
    <x v="11"/>
    <x v="0"/>
    <x v="670"/>
    <x v="1"/>
    <x v="0"/>
    <x v="0"/>
    <x v="0"/>
    <x v="1273"/>
    <x v="2"/>
    <x v="19"/>
    <x v="19"/>
    <x v="0"/>
    <x v="0"/>
    <x v="4"/>
    <x v="128"/>
    <x v="0"/>
    <x v="21"/>
    <x v="1258"/>
    <x v="9"/>
    <x v="58"/>
    <x v="1"/>
    <x v="1"/>
    <x v="1"/>
    <x v="1"/>
    <x v="434"/>
    <x v="1"/>
    <x v="21"/>
    <x v="670"/>
    <x v="670"/>
    <x v="1"/>
    <x v="670"/>
    <x v="605"/>
    <x v="618"/>
    <x v="574"/>
    <x v="618"/>
    <x v="605"/>
    <x v="605"/>
    <x v="605"/>
    <x v="605"/>
    <x v="605"/>
    <x v="605"/>
    <x v="605"/>
    <x v="670"/>
    <x v="575"/>
    <x v="575"/>
    <x v="598"/>
    <x v="0"/>
    <x v="0"/>
    <x v="594"/>
    <x v="670"/>
    <x v="670"/>
    <x v="670"/>
    <x v="670"/>
    <x v="11"/>
  </r>
  <r>
    <x v="1274"/>
    <x v="900"/>
    <x v="0"/>
    <x v="0"/>
    <x v="0"/>
    <x v="0"/>
    <x v="1"/>
    <x v="11"/>
    <x v="0"/>
    <x v="0"/>
    <x v="0"/>
    <x v="0"/>
    <x v="278"/>
    <x v="1"/>
    <x v="0"/>
    <x v="0"/>
    <x v="0"/>
    <x v="1274"/>
    <x v="0"/>
    <x v="21"/>
    <x v="21"/>
    <x v="0"/>
    <x v="0"/>
    <x v="3"/>
    <x v="10"/>
    <x v="0"/>
    <x v="43"/>
    <x v="1265"/>
    <x v="8"/>
    <x v="45"/>
    <x v="1"/>
    <x v="12"/>
    <x v="7"/>
    <x v="1"/>
    <x v="1374"/>
    <x v="12"/>
    <x v="43"/>
    <x v="278"/>
    <x v="278"/>
    <x v="0"/>
    <x v="278"/>
    <x v="697"/>
    <x v="476"/>
    <x v="868"/>
    <x v="476"/>
    <x v="697"/>
    <x v="697"/>
    <x v="697"/>
    <x v="697"/>
    <x v="697"/>
    <x v="697"/>
    <x v="697"/>
    <x v="278"/>
    <x v="909"/>
    <x v="909"/>
    <x v="0"/>
    <x v="60"/>
    <x v="0"/>
    <x v="1142"/>
    <x v="278"/>
    <x v="278"/>
    <x v="278"/>
    <x v="278"/>
    <x v="0"/>
  </r>
  <r>
    <x v="1275"/>
    <x v="894"/>
    <x v="0"/>
    <x v="0"/>
    <x v="0"/>
    <x v="0"/>
    <x v="0"/>
    <x v="0"/>
    <x v="0"/>
    <x v="0"/>
    <x v="11"/>
    <x v="0"/>
    <x v="178"/>
    <x v="1"/>
    <x v="0"/>
    <x v="0"/>
    <x v="0"/>
    <x v="1275"/>
    <x v="2"/>
    <x v="21"/>
    <x v="21"/>
    <x v="0"/>
    <x v="0"/>
    <x v="3"/>
    <x v="10"/>
    <x v="0"/>
    <x v="44"/>
    <x v="1193"/>
    <x v="9"/>
    <x v="58"/>
    <x v="1"/>
    <x v="1"/>
    <x v="1"/>
    <x v="1"/>
    <x v="92"/>
    <x v="1"/>
    <x v="44"/>
    <x v="179"/>
    <x v="179"/>
    <x v="0"/>
    <x v="179"/>
    <x v="183"/>
    <x v="185"/>
    <x v="181"/>
    <x v="185"/>
    <x v="183"/>
    <x v="183"/>
    <x v="183"/>
    <x v="183"/>
    <x v="183"/>
    <x v="183"/>
    <x v="183"/>
    <x v="179"/>
    <x v="178"/>
    <x v="178"/>
    <x v="155"/>
    <x v="0"/>
    <x v="0"/>
    <x v="263"/>
    <x v="179"/>
    <x v="179"/>
    <x v="179"/>
    <x v="179"/>
    <x v="11"/>
  </r>
  <r>
    <x v="1276"/>
    <x v="914"/>
    <x v="0"/>
    <x v="0"/>
    <x v="0"/>
    <x v="0"/>
    <x v="0"/>
    <x v="1"/>
    <x v="0"/>
    <x v="0"/>
    <x v="11"/>
    <x v="0"/>
    <x v="691"/>
    <x v="1"/>
    <x v="0"/>
    <x v="0"/>
    <x v="0"/>
    <x v="1276"/>
    <x v="1"/>
    <x v="21"/>
    <x v="21"/>
    <x v="0"/>
    <x v="0"/>
    <x v="3"/>
    <x v="10"/>
    <x v="0"/>
    <x v="42"/>
    <x v="1289"/>
    <x v="10"/>
    <x v="68"/>
    <x v="1"/>
    <x v="2"/>
    <x v="2"/>
    <x v="1"/>
    <x v="796"/>
    <x v="2"/>
    <x v="42"/>
    <x v="691"/>
    <x v="691"/>
    <x v="1"/>
    <x v="691"/>
    <x v="768"/>
    <x v="759"/>
    <x v="761"/>
    <x v="759"/>
    <x v="768"/>
    <x v="768"/>
    <x v="768"/>
    <x v="768"/>
    <x v="768"/>
    <x v="768"/>
    <x v="768"/>
    <x v="691"/>
    <x v="754"/>
    <x v="754"/>
    <x v="639"/>
    <x v="0"/>
    <x v="0"/>
    <x v="1011"/>
    <x v="691"/>
    <x v="691"/>
    <x v="691"/>
    <x v="691"/>
    <x v="11"/>
  </r>
  <r>
    <x v="1277"/>
    <x v="912"/>
    <x v="0"/>
    <x v="0"/>
    <x v="0"/>
    <x v="0"/>
    <x v="0"/>
    <x v="0"/>
    <x v="0"/>
    <x v="0"/>
    <x v="11"/>
    <x v="0"/>
    <x v="1081"/>
    <x v="1"/>
    <x v="0"/>
    <x v="0"/>
    <x v="0"/>
    <x v="1277"/>
    <x v="2"/>
    <x v="21"/>
    <x v="21"/>
    <x v="0"/>
    <x v="0"/>
    <x v="3"/>
    <x v="10"/>
    <x v="0"/>
    <x v="42"/>
    <x v="1278"/>
    <x v="9"/>
    <x v="58"/>
    <x v="1"/>
    <x v="1"/>
    <x v="1"/>
    <x v="1"/>
    <x v="847"/>
    <x v="1"/>
    <x v="42"/>
    <x v="1079"/>
    <x v="1079"/>
    <x v="1"/>
    <x v="1079"/>
    <x v="1089"/>
    <x v="1084"/>
    <x v="1074"/>
    <x v="1084"/>
    <x v="1089"/>
    <x v="1089"/>
    <x v="1089"/>
    <x v="1089"/>
    <x v="1089"/>
    <x v="1089"/>
    <x v="1089"/>
    <x v="1079"/>
    <x v="1073"/>
    <x v="1073"/>
    <x v="1008"/>
    <x v="0"/>
    <x v="0"/>
    <x v="1263"/>
    <x v="1079"/>
    <x v="1079"/>
    <x v="1079"/>
    <x v="1079"/>
    <x v="11"/>
  </r>
  <r>
    <x v="1278"/>
    <x v="912"/>
    <x v="0"/>
    <x v="0"/>
    <x v="0"/>
    <x v="0"/>
    <x v="0"/>
    <x v="1"/>
    <x v="0"/>
    <x v="0"/>
    <x v="11"/>
    <x v="0"/>
    <x v="368"/>
    <x v="1"/>
    <x v="0"/>
    <x v="0"/>
    <x v="0"/>
    <x v="1278"/>
    <x v="1"/>
    <x v="21"/>
    <x v="21"/>
    <x v="0"/>
    <x v="0"/>
    <x v="3"/>
    <x v="10"/>
    <x v="0"/>
    <x v="42"/>
    <x v="1277"/>
    <x v="10"/>
    <x v="68"/>
    <x v="1"/>
    <x v="2"/>
    <x v="2"/>
    <x v="1"/>
    <x v="556"/>
    <x v="2"/>
    <x v="42"/>
    <x v="368"/>
    <x v="368"/>
    <x v="0"/>
    <x v="368"/>
    <x v="423"/>
    <x v="415"/>
    <x v="425"/>
    <x v="415"/>
    <x v="423"/>
    <x v="423"/>
    <x v="423"/>
    <x v="423"/>
    <x v="423"/>
    <x v="423"/>
    <x v="423"/>
    <x v="368"/>
    <x v="422"/>
    <x v="422"/>
    <x v="334"/>
    <x v="0"/>
    <x v="0"/>
    <x v="754"/>
    <x v="368"/>
    <x v="368"/>
    <x v="368"/>
    <x v="368"/>
    <x v="11"/>
  </r>
  <r>
    <x v="1279"/>
    <x v="933"/>
    <x v="0"/>
    <x v="0"/>
    <x v="0"/>
    <x v="0"/>
    <x v="0"/>
    <x v="1"/>
    <x v="0"/>
    <x v="0"/>
    <x v="11"/>
    <x v="0"/>
    <x v="1077"/>
    <x v="1"/>
    <x v="0"/>
    <x v="0"/>
    <x v="0"/>
    <x v="1279"/>
    <x v="1"/>
    <x v="21"/>
    <x v="21"/>
    <x v="0"/>
    <x v="0"/>
    <x v="3"/>
    <x v="10"/>
    <x v="0"/>
    <x v="43"/>
    <x v="1294"/>
    <x v="10"/>
    <x v="68"/>
    <x v="1"/>
    <x v="2"/>
    <x v="2"/>
    <x v="1"/>
    <x v="1115"/>
    <x v="2"/>
    <x v="43"/>
    <x v="1075"/>
    <x v="1075"/>
    <x v="1"/>
    <x v="1075"/>
    <x v="1157"/>
    <x v="1146"/>
    <x v="1156"/>
    <x v="1146"/>
    <x v="1157"/>
    <x v="1157"/>
    <x v="1157"/>
    <x v="1157"/>
    <x v="1157"/>
    <x v="1157"/>
    <x v="1157"/>
    <x v="1075"/>
    <x v="1155"/>
    <x v="1155"/>
    <x v="1011"/>
    <x v="0"/>
    <x v="0"/>
    <x v="1314"/>
    <x v="1075"/>
    <x v="1075"/>
    <x v="1075"/>
    <x v="1075"/>
    <x v="11"/>
  </r>
  <r>
    <x v="1280"/>
    <x v="924"/>
    <x v="0"/>
    <x v="0"/>
    <x v="0"/>
    <x v="0"/>
    <x v="0"/>
    <x v="0"/>
    <x v="0"/>
    <x v="0"/>
    <x v="11"/>
    <x v="0"/>
    <x v="623"/>
    <x v="1"/>
    <x v="0"/>
    <x v="0"/>
    <x v="0"/>
    <x v="1280"/>
    <x v="2"/>
    <x v="21"/>
    <x v="21"/>
    <x v="0"/>
    <x v="0"/>
    <x v="3"/>
    <x v="128"/>
    <x v="0"/>
    <x v="46"/>
    <x v="1287"/>
    <x v="9"/>
    <x v="58"/>
    <x v="1"/>
    <x v="1"/>
    <x v="1"/>
    <x v="1"/>
    <x v="407"/>
    <x v="1"/>
    <x v="46"/>
    <x v="623"/>
    <x v="623"/>
    <x v="0"/>
    <x v="623"/>
    <x v="566"/>
    <x v="576"/>
    <x v="544"/>
    <x v="576"/>
    <x v="566"/>
    <x v="566"/>
    <x v="566"/>
    <x v="566"/>
    <x v="566"/>
    <x v="566"/>
    <x v="566"/>
    <x v="623"/>
    <x v="545"/>
    <x v="545"/>
    <x v="558"/>
    <x v="0"/>
    <x v="0"/>
    <x v="913"/>
    <x v="623"/>
    <x v="623"/>
    <x v="623"/>
    <x v="623"/>
    <x v="11"/>
  </r>
  <r>
    <x v="1281"/>
    <x v="919"/>
    <x v="0"/>
    <x v="0"/>
    <x v="0"/>
    <x v="0"/>
    <x v="0"/>
    <x v="0"/>
    <x v="0"/>
    <x v="0"/>
    <x v="11"/>
    <x v="0"/>
    <x v="923"/>
    <x v="1"/>
    <x v="0"/>
    <x v="0"/>
    <x v="0"/>
    <x v="1281"/>
    <x v="2"/>
    <x v="21"/>
    <x v="21"/>
    <x v="0"/>
    <x v="0"/>
    <x v="3"/>
    <x v="128"/>
    <x v="0"/>
    <x v="46"/>
    <x v="1288"/>
    <x v="9"/>
    <x v="58"/>
    <x v="1"/>
    <x v="1"/>
    <x v="1"/>
    <x v="1"/>
    <x v="673"/>
    <x v="1"/>
    <x v="46"/>
    <x v="923"/>
    <x v="923"/>
    <x v="1"/>
    <x v="923"/>
    <x v="929"/>
    <x v="928"/>
    <x v="923"/>
    <x v="928"/>
    <x v="929"/>
    <x v="929"/>
    <x v="929"/>
    <x v="929"/>
    <x v="929"/>
    <x v="929"/>
    <x v="929"/>
    <x v="923"/>
    <x v="922"/>
    <x v="922"/>
    <x v="860"/>
    <x v="0"/>
    <x v="0"/>
    <x v="1172"/>
    <x v="923"/>
    <x v="923"/>
    <x v="923"/>
    <x v="923"/>
    <x v="11"/>
  </r>
  <r>
    <x v="1282"/>
    <x v="924"/>
    <x v="0"/>
    <x v="0"/>
    <x v="0"/>
    <x v="0"/>
    <x v="0"/>
    <x v="0"/>
    <x v="0"/>
    <x v="0"/>
    <x v="11"/>
    <x v="0"/>
    <x v="929"/>
    <x v="1"/>
    <x v="0"/>
    <x v="0"/>
    <x v="0"/>
    <x v="1282"/>
    <x v="2"/>
    <x v="21"/>
    <x v="21"/>
    <x v="0"/>
    <x v="0"/>
    <x v="3"/>
    <x v="128"/>
    <x v="0"/>
    <x v="46"/>
    <x v="1286"/>
    <x v="9"/>
    <x v="58"/>
    <x v="1"/>
    <x v="1"/>
    <x v="1"/>
    <x v="1"/>
    <x v="680"/>
    <x v="1"/>
    <x v="46"/>
    <x v="929"/>
    <x v="929"/>
    <x v="1"/>
    <x v="929"/>
    <x v="936"/>
    <x v="936"/>
    <x v="929"/>
    <x v="936"/>
    <x v="936"/>
    <x v="936"/>
    <x v="936"/>
    <x v="936"/>
    <x v="936"/>
    <x v="936"/>
    <x v="936"/>
    <x v="929"/>
    <x v="928"/>
    <x v="928"/>
    <x v="868"/>
    <x v="0"/>
    <x v="0"/>
    <x v="1174"/>
    <x v="929"/>
    <x v="929"/>
    <x v="929"/>
    <x v="929"/>
    <x v="11"/>
  </r>
  <r>
    <x v="1283"/>
    <x v="947"/>
    <x v="0"/>
    <x v="0"/>
    <x v="0"/>
    <x v="0"/>
    <x v="0"/>
    <x v="0"/>
    <x v="0"/>
    <x v="0"/>
    <x v="11"/>
    <x v="0"/>
    <x v="1251"/>
    <x v="1"/>
    <x v="0"/>
    <x v="0"/>
    <x v="0"/>
    <x v="1283"/>
    <x v="2"/>
    <x v="21"/>
    <x v="21"/>
    <x v="0"/>
    <x v="0"/>
    <x v="3"/>
    <x v="128"/>
    <x v="0"/>
    <x v="45"/>
    <x v="1270"/>
    <x v="9"/>
    <x v="58"/>
    <x v="1"/>
    <x v="1"/>
    <x v="1"/>
    <x v="1"/>
    <x v="1046"/>
    <x v="1"/>
    <x v="45"/>
    <x v="1249"/>
    <x v="1249"/>
    <x v="2"/>
    <x v="1249"/>
    <x v="1271"/>
    <x v="1262"/>
    <x v="1263"/>
    <x v="1262"/>
    <x v="1271"/>
    <x v="1271"/>
    <x v="1271"/>
    <x v="1271"/>
    <x v="1271"/>
    <x v="1271"/>
    <x v="1271"/>
    <x v="1249"/>
    <x v="1262"/>
    <x v="1262"/>
    <x v="1174"/>
    <x v="0"/>
    <x v="0"/>
    <x v="1378"/>
    <x v="1249"/>
    <x v="1249"/>
    <x v="1249"/>
    <x v="1249"/>
    <x v="11"/>
  </r>
  <r>
    <x v="1284"/>
    <x v="955"/>
    <x v="0"/>
    <x v="0"/>
    <x v="0"/>
    <x v="0"/>
    <x v="0"/>
    <x v="1"/>
    <x v="0"/>
    <x v="0"/>
    <x v="11"/>
    <x v="0"/>
    <x v="798"/>
    <x v="1"/>
    <x v="0"/>
    <x v="0"/>
    <x v="0"/>
    <x v="1284"/>
    <x v="1"/>
    <x v="21"/>
    <x v="21"/>
    <x v="0"/>
    <x v="0"/>
    <x v="3"/>
    <x v="9"/>
    <x v="0"/>
    <x v="42"/>
    <x v="1295"/>
    <x v="10"/>
    <x v="68"/>
    <x v="1"/>
    <x v="2"/>
    <x v="2"/>
    <x v="1"/>
    <x v="875"/>
    <x v="2"/>
    <x v="42"/>
    <x v="798"/>
    <x v="798"/>
    <x v="1"/>
    <x v="798"/>
    <x v="879"/>
    <x v="864"/>
    <x v="877"/>
    <x v="864"/>
    <x v="879"/>
    <x v="879"/>
    <x v="879"/>
    <x v="879"/>
    <x v="879"/>
    <x v="879"/>
    <x v="879"/>
    <x v="798"/>
    <x v="872"/>
    <x v="872"/>
    <x v="749"/>
    <x v="0"/>
    <x v="0"/>
    <x v="1093"/>
    <x v="798"/>
    <x v="798"/>
    <x v="798"/>
    <x v="798"/>
    <x v="11"/>
  </r>
  <r>
    <x v="1285"/>
    <x v="958"/>
    <x v="0"/>
    <x v="0"/>
    <x v="0"/>
    <x v="0"/>
    <x v="0"/>
    <x v="0"/>
    <x v="0"/>
    <x v="0"/>
    <x v="11"/>
    <x v="0"/>
    <x v="968"/>
    <x v="1"/>
    <x v="0"/>
    <x v="0"/>
    <x v="0"/>
    <x v="1285"/>
    <x v="2"/>
    <x v="21"/>
    <x v="21"/>
    <x v="0"/>
    <x v="0"/>
    <x v="3"/>
    <x v="128"/>
    <x v="0"/>
    <x v="46"/>
    <x v="1268"/>
    <x v="9"/>
    <x v="58"/>
    <x v="1"/>
    <x v="1"/>
    <x v="1"/>
    <x v="1"/>
    <x v="726"/>
    <x v="1"/>
    <x v="46"/>
    <x v="968"/>
    <x v="968"/>
    <x v="1"/>
    <x v="968"/>
    <x v="982"/>
    <x v="982"/>
    <x v="966"/>
    <x v="982"/>
    <x v="982"/>
    <x v="982"/>
    <x v="982"/>
    <x v="982"/>
    <x v="982"/>
    <x v="982"/>
    <x v="982"/>
    <x v="968"/>
    <x v="964"/>
    <x v="964"/>
    <x v="903"/>
    <x v="0"/>
    <x v="0"/>
    <x v="1203"/>
    <x v="968"/>
    <x v="968"/>
    <x v="968"/>
    <x v="968"/>
    <x v="11"/>
  </r>
  <r>
    <x v="1286"/>
    <x v="948"/>
    <x v="0"/>
    <x v="0"/>
    <x v="0"/>
    <x v="0"/>
    <x v="0"/>
    <x v="0"/>
    <x v="0"/>
    <x v="0"/>
    <x v="11"/>
    <x v="0"/>
    <x v="1049"/>
    <x v="1"/>
    <x v="0"/>
    <x v="0"/>
    <x v="0"/>
    <x v="1286"/>
    <x v="2"/>
    <x v="21"/>
    <x v="21"/>
    <x v="0"/>
    <x v="0"/>
    <x v="3"/>
    <x v="128"/>
    <x v="0"/>
    <x v="44"/>
    <x v="1272"/>
    <x v="9"/>
    <x v="58"/>
    <x v="1"/>
    <x v="1"/>
    <x v="1"/>
    <x v="1"/>
    <x v="815"/>
    <x v="1"/>
    <x v="44"/>
    <x v="1047"/>
    <x v="1047"/>
    <x v="1"/>
    <x v="1047"/>
    <x v="1056"/>
    <x v="1051"/>
    <x v="1046"/>
    <x v="1051"/>
    <x v="1056"/>
    <x v="1056"/>
    <x v="1056"/>
    <x v="1056"/>
    <x v="1056"/>
    <x v="1056"/>
    <x v="1056"/>
    <x v="1047"/>
    <x v="1044"/>
    <x v="1044"/>
    <x v="976"/>
    <x v="0"/>
    <x v="0"/>
    <x v="1250"/>
    <x v="1047"/>
    <x v="1047"/>
    <x v="1047"/>
    <x v="1047"/>
    <x v="11"/>
  </r>
  <r>
    <x v="1287"/>
    <x v="993"/>
    <x v="0"/>
    <x v="0"/>
    <x v="0"/>
    <x v="0"/>
    <x v="0"/>
    <x v="0"/>
    <x v="0"/>
    <x v="0"/>
    <x v="11"/>
    <x v="0"/>
    <x v="1302"/>
    <x v="1"/>
    <x v="0"/>
    <x v="0"/>
    <x v="0"/>
    <x v="1287"/>
    <x v="2"/>
    <x v="21"/>
    <x v="21"/>
    <x v="0"/>
    <x v="0"/>
    <x v="3"/>
    <x v="9"/>
    <x v="0"/>
    <x v="41"/>
    <x v="1370"/>
    <x v="9"/>
    <x v="58"/>
    <x v="1"/>
    <x v="1"/>
    <x v="1"/>
    <x v="1"/>
    <x v="1108"/>
    <x v="1"/>
    <x v="41"/>
    <x v="1300"/>
    <x v="1300"/>
    <x v="2"/>
    <x v="1300"/>
    <x v="1323"/>
    <x v="1313"/>
    <x v="1316"/>
    <x v="1313"/>
    <x v="1323"/>
    <x v="1323"/>
    <x v="1323"/>
    <x v="1323"/>
    <x v="1323"/>
    <x v="1323"/>
    <x v="1323"/>
    <x v="1300"/>
    <x v="1315"/>
    <x v="1315"/>
    <x v="1222"/>
    <x v="0"/>
    <x v="0"/>
    <x v="1388"/>
    <x v="1300"/>
    <x v="1300"/>
    <x v="1300"/>
    <x v="1300"/>
    <x v="11"/>
  </r>
  <r>
    <x v="1288"/>
    <x v="954"/>
    <x v="0"/>
    <x v="0"/>
    <x v="0"/>
    <x v="0"/>
    <x v="0"/>
    <x v="0"/>
    <x v="0"/>
    <x v="0"/>
    <x v="11"/>
    <x v="0"/>
    <x v="614"/>
    <x v="1"/>
    <x v="0"/>
    <x v="0"/>
    <x v="0"/>
    <x v="1288"/>
    <x v="2"/>
    <x v="21"/>
    <x v="21"/>
    <x v="0"/>
    <x v="0"/>
    <x v="3"/>
    <x v="128"/>
    <x v="0"/>
    <x v="45"/>
    <x v="1269"/>
    <x v="9"/>
    <x v="58"/>
    <x v="1"/>
    <x v="1"/>
    <x v="1"/>
    <x v="1"/>
    <x v="401"/>
    <x v="1"/>
    <x v="45"/>
    <x v="614"/>
    <x v="614"/>
    <x v="0"/>
    <x v="614"/>
    <x v="560"/>
    <x v="569"/>
    <x v="537"/>
    <x v="569"/>
    <x v="560"/>
    <x v="560"/>
    <x v="560"/>
    <x v="560"/>
    <x v="560"/>
    <x v="560"/>
    <x v="560"/>
    <x v="614"/>
    <x v="538"/>
    <x v="538"/>
    <x v="549"/>
    <x v="0"/>
    <x v="0"/>
    <x v="892"/>
    <x v="614"/>
    <x v="614"/>
    <x v="614"/>
    <x v="614"/>
    <x v="11"/>
  </r>
  <r>
    <x v="1289"/>
    <x v="958"/>
    <x v="0"/>
    <x v="0"/>
    <x v="0"/>
    <x v="0"/>
    <x v="0"/>
    <x v="0"/>
    <x v="0"/>
    <x v="0"/>
    <x v="11"/>
    <x v="0"/>
    <x v="672"/>
    <x v="1"/>
    <x v="0"/>
    <x v="0"/>
    <x v="0"/>
    <x v="1289"/>
    <x v="2"/>
    <x v="21"/>
    <x v="21"/>
    <x v="0"/>
    <x v="0"/>
    <x v="3"/>
    <x v="128"/>
    <x v="0"/>
    <x v="46"/>
    <x v="1267"/>
    <x v="9"/>
    <x v="58"/>
    <x v="1"/>
    <x v="1"/>
    <x v="1"/>
    <x v="1"/>
    <x v="437"/>
    <x v="1"/>
    <x v="46"/>
    <x v="672"/>
    <x v="672"/>
    <x v="1"/>
    <x v="672"/>
    <x v="607"/>
    <x v="621"/>
    <x v="576"/>
    <x v="621"/>
    <x v="607"/>
    <x v="607"/>
    <x v="607"/>
    <x v="607"/>
    <x v="607"/>
    <x v="607"/>
    <x v="607"/>
    <x v="672"/>
    <x v="577"/>
    <x v="577"/>
    <x v="602"/>
    <x v="0"/>
    <x v="0"/>
    <x v="936"/>
    <x v="672"/>
    <x v="672"/>
    <x v="672"/>
    <x v="672"/>
    <x v="11"/>
  </r>
  <r>
    <x v="1290"/>
    <x v="959"/>
    <x v="0"/>
    <x v="0"/>
    <x v="0"/>
    <x v="0"/>
    <x v="0"/>
    <x v="0"/>
    <x v="0"/>
    <x v="0"/>
    <x v="11"/>
    <x v="0"/>
    <x v="286"/>
    <x v="1"/>
    <x v="0"/>
    <x v="0"/>
    <x v="0"/>
    <x v="1290"/>
    <x v="2"/>
    <x v="21"/>
    <x v="21"/>
    <x v="0"/>
    <x v="0"/>
    <x v="3"/>
    <x v="9"/>
    <x v="0"/>
    <x v="42"/>
    <x v="1280"/>
    <x v="9"/>
    <x v="58"/>
    <x v="1"/>
    <x v="1"/>
    <x v="1"/>
    <x v="1"/>
    <x v="191"/>
    <x v="1"/>
    <x v="42"/>
    <x v="286"/>
    <x v="286"/>
    <x v="0"/>
    <x v="286"/>
    <x v="291"/>
    <x v="292"/>
    <x v="284"/>
    <x v="292"/>
    <x v="291"/>
    <x v="291"/>
    <x v="291"/>
    <x v="291"/>
    <x v="291"/>
    <x v="291"/>
    <x v="291"/>
    <x v="286"/>
    <x v="284"/>
    <x v="284"/>
    <x v="251"/>
    <x v="0"/>
    <x v="0"/>
    <x v="462"/>
    <x v="286"/>
    <x v="286"/>
    <x v="286"/>
    <x v="286"/>
    <x v="11"/>
  </r>
  <r>
    <x v="1291"/>
    <x v="948"/>
    <x v="0"/>
    <x v="0"/>
    <x v="0"/>
    <x v="0"/>
    <x v="0"/>
    <x v="0"/>
    <x v="0"/>
    <x v="0"/>
    <x v="11"/>
    <x v="0"/>
    <x v="1216"/>
    <x v="1"/>
    <x v="0"/>
    <x v="0"/>
    <x v="0"/>
    <x v="1291"/>
    <x v="2"/>
    <x v="21"/>
    <x v="21"/>
    <x v="0"/>
    <x v="0"/>
    <x v="3"/>
    <x v="128"/>
    <x v="0"/>
    <x v="44"/>
    <x v="61"/>
    <x v="9"/>
    <x v="58"/>
    <x v="1"/>
    <x v="1"/>
    <x v="1"/>
    <x v="1"/>
    <x v="1005"/>
    <x v="1"/>
    <x v="44"/>
    <x v="1214"/>
    <x v="1214"/>
    <x v="2"/>
    <x v="1214"/>
    <x v="1236"/>
    <x v="1228"/>
    <x v="1223"/>
    <x v="1228"/>
    <x v="1236"/>
    <x v="1236"/>
    <x v="1236"/>
    <x v="1236"/>
    <x v="1236"/>
    <x v="1236"/>
    <x v="1236"/>
    <x v="1214"/>
    <x v="1221"/>
    <x v="1221"/>
    <x v="1140"/>
    <x v="0"/>
    <x v="0"/>
    <x v="1358"/>
    <x v="1214"/>
    <x v="1214"/>
    <x v="1214"/>
    <x v="1214"/>
    <x v="11"/>
  </r>
  <r>
    <x v="1292"/>
    <x v="960"/>
    <x v="0"/>
    <x v="0"/>
    <x v="0"/>
    <x v="0"/>
    <x v="0"/>
    <x v="0"/>
    <x v="0"/>
    <x v="0"/>
    <x v="11"/>
    <x v="0"/>
    <x v="306"/>
    <x v="1"/>
    <x v="0"/>
    <x v="0"/>
    <x v="0"/>
    <x v="1292"/>
    <x v="2"/>
    <x v="21"/>
    <x v="21"/>
    <x v="0"/>
    <x v="0"/>
    <x v="3"/>
    <x v="128"/>
    <x v="0"/>
    <x v="46"/>
    <x v="1266"/>
    <x v="9"/>
    <x v="58"/>
    <x v="1"/>
    <x v="1"/>
    <x v="1"/>
    <x v="1"/>
    <x v="203"/>
    <x v="1"/>
    <x v="46"/>
    <x v="306"/>
    <x v="306"/>
    <x v="0"/>
    <x v="306"/>
    <x v="303"/>
    <x v="305"/>
    <x v="297"/>
    <x v="305"/>
    <x v="303"/>
    <x v="303"/>
    <x v="303"/>
    <x v="303"/>
    <x v="303"/>
    <x v="303"/>
    <x v="303"/>
    <x v="306"/>
    <x v="297"/>
    <x v="297"/>
    <x v="264"/>
    <x v="0"/>
    <x v="0"/>
    <x v="536"/>
    <x v="306"/>
    <x v="306"/>
    <x v="306"/>
    <x v="306"/>
    <x v="11"/>
  </r>
  <r>
    <x v="1293"/>
    <x v="962"/>
    <x v="0"/>
    <x v="0"/>
    <x v="0"/>
    <x v="0"/>
    <x v="0"/>
    <x v="0"/>
    <x v="0"/>
    <x v="0"/>
    <x v="11"/>
    <x v="0"/>
    <x v="166"/>
    <x v="1"/>
    <x v="0"/>
    <x v="0"/>
    <x v="0"/>
    <x v="1293"/>
    <x v="2"/>
    <x v="21"/>
    <x v="21"/>
    <x v="0"/>
    <x v="0"/>
    <x v="3"/>
    <x v="128"/>
    <x v="0"/>
    <x v="46"/>
    <x v="1281"/>
    <x v="9"/>
    <x v="58"/>
    <x v="1"/>
    <x v="1"/>
    <x v="1"/>
    <x v="1"/>
    <x v="86"/>
    <x v="1"/>
    <x v="46"/>
    <x v="167"/>
    <x v="167"/>
    <x v="0"/>
    <x v="167"/>
    <x v="175"/>
    <x v="173"/>
    <x v="168"/>
    <x v="173"/>
    <x v="175"/>
    <x v="175"/>
    <x v="175"/>
    <x v="175"/>
    <x v="175"/>
    <x v="175"/>
    <x v="175"/>
    <x v="167"/>
    <x v="168"/>
    <x v="168"/>
    <x v="144"/>
    <x v="0"/>
    <x v="0"/>
    <x v="247"/>
    <x v="167"/>
    <x v="167"/>
    <x v="167"/>
    <x v="167"/>
    <x v="11"/>
  </r>
  <r>
    <x v="1294"/>
    <x v="948"/>
    <x v="0"/>
    <x v="0"/>
    <x v="0"/>
    <x v="0"/>
    <x v="0"/>
    <x v="0"/>
    <x v="0"/>
    <x v="0"/>
    <x v="11"/>
    <x v="0"/>
    <x v="777"/>
    <x v="1"/>
    <x v="0"/>
    <x v="0"/>
    <x v="0"/>
    <x v="1294"/>
    <x v="2"/>
    <x v="21"/>
    <x v="21"/>
    <x v="0"/>
    <x v="0"/>
    <x v="3"/>
    <x v="128"/>
    <x v="0"/>
    <x v="44"/>
    <x v="1271"/>
    <x v="9"/>
    <x v="58"/>
    <x v="1"/>
    <x v="1"/>
    <x v="1"/>
    <x v="1"/>
    <x v="519"/>
    <x v="1"/>
    <x v="44"/>
    <x v="777"/>
    <x v="777"/>
    <x v="1"/>
    <x v="777"/>
    <x v="767"/>
    <x v="772"/>
    <x v="730"/>
    <x v="772"/>
    <x v="767"/>
    <x v="767"/>
    <x v="767"/>
    <x v="767"/>
    <x v="767"/>
    <x v="767"/>
    <x v="767"/>
    <x v="777"/>
    <x v="729"/>
    <x v="729"/>
    <x v="716"/>
    <x v="0"/>
    <x v="0"/>
    <x v="1010"/>
    <x v="777"/>
    <x v="777"/>
    <x v="777"/>
    <x v="777"/>
    <x v="11"/>
  </r>
  <r>
    <x v="1295"/>
    <x v="962"/>
    <x v="0"/>
    <x v="0"/>
    <x v="0"/>
    <x v="0"/>
    <x v="0"/>
    <x v="0"/>
    <x v="0"/>
    <x v="0"/>
    <x v="11"/>
    <x v="0"/>
    <x v="145"/>
    <x v="1"/>
    <x v="0"/>
    <x v="0"/>
    <x v="0"/>
    <x v="1295"/>
    <x v="2"/>
    <x v="21"/>
    <x v="21"/>
    <x v="0"/>
    <x v="0"/>
    <x v="3"/>
    <x v="128"/>
    <x v="0"/>
    <x v="46"/>
    <x v="1282"/>
    <x v="9"/>
    <x v="58"/>
    <x v="1"/>
    <x v="1"/>
    <x v="1"/>
    <x v="1"/>
    <x v="71"/>
    <x v="1"/>
    <x v="46"/>
    <x v="146"/>
    <x v="146"/>
    <x v="0"/>
    <x v="146"/>
    <x v="151"/>
    <x v="153"/>
    <x v="141"/>
    <x v="153"/>
    <x v="151"/>
    <x v="151"/>
    <x v="151"/>
    <x v="151"/>
    <x v="151"/>
    <x v="151"/>
    <x v="151"/>
    <x v="146"/>
    <x v="140"/>
    <x v="140"/>
    <x v="126"/>
    <x v="0"/>
    <x v="0"/>
    <x v="208"/>
    <x v="146"/>
    <x v="146"/>
    <x v="146"/>
    <x v="146"/>
    <x v="11"/>
  </r>
  <r>
    <x v="1296"/>
    <x v="969"/>
    <x v="0"/>
    <x v="0"/>
    <x v="0"/>
    <x v="0"/>
    <x v="0"/>
    <x v="0"/>
    <x v="0"/>
    <x v="0"/>
    <x v="11"/>
    <x v="0"/>
    <x v="340"/>
    <x v="1"/>
    <x v="0"/>
    <x v="0"/>
    <x v="0"/>
    <x v="1296"/>
    <x v="2"/>
    <x v="21"/>
    <x v="21"/>
    <x v="0"/>
    <x v="0"/>
    <x v="3"/>
    <x v="128"/>
    <x v="0"/>
    <x v="46"/>
    <x v="1283"/>
    <x v="9"/>
    <x v="58"/>
    <x v="1"/>
    <x v="1"/>
    <x v="1"/>
    <x v="1"/>
    <x v="227"/>
    <x v="1"/>
    <x v="46"/>
    <x v="340"/>
    <x v="340"/>
    <x v="0"/>
    <x v="340"/>
    <x v="332"/>
    <x v="335"/>
    <x v="322"/>
    <x v="335"/>
    <x v="332"/>
    <x v="332"/>
    <x v="332"/>
    <x v="332"/>
    <x v="332"/>
    <x v="332"/>
    <x v="332"/>
    <x v="340"/>
    <x v="322"/>
    <x v="322"/>
    <x v="302"/>
    <x v="0"/>
    <x v="0"/>
    <x v="608"/>
    <x v="340"/>
    <x v="340"/>
    <x v="340"/>
    <x v="340"/>
    <x v="11"/>
  </r>
  <r>
    <x v="1297"/>
    <x v="992"/>
    <x v="0"/>
    <x v="0"/>
    <x v="0"/>
    <x v="0"/>
    <x v="1"/>
    <x v="5"/>
    <x v="0"/>
    <x v="0"/>
    <x v="11"/>
    <x v="0"/>
    <x v="1024"/>
    <x v="1"/>
    <x v="0"/>
    <x v="0"/>
    <x v="0"/>
    <x v="1297"/>
    <x v="1"/>
    <x v="21"/>
    <x v="21"/>
    <x v="0"/>
    <x v="0"/>
    <x v="3"/>
    <x v="9"/>
    <x v="0"/>
    <x v="41"/>
    <x v="1290"/>
    <x v="3"/>
    <x v="33"/>
    <x v="1"/>
    <x v="6"/>
    <x v="3"/>
    <x v="1"/>
    <x v="1367"/>
    <x v="6"/>
    <x v="41"/>
    <x v="1024"/>
    <x v="1024"/>
    <x v="1"/>
    <x v="1024"/>
    <x v="1172"/>
    <x v="1115"/>
    <x v="1217"/>
    <x v="1115"/>
    <x v="1172"/>
    <x v="1172"/>
    <x v="1172"/>
    <x v="1172"/>
    <x v="1172"/>
    <x v="1172"/>
    <x v="1172"/>
    <x v="1024"/>
    <x v="1226"/>
    <x v="1226"/>
    <x v="0"/>
    <x v="105"/>
    <x v="0"/>
    <x v="1351"/>
    <x v="1024"/>
    <x v="1024"/>
    <x v="1024"/>
    <x v="1024"/>
    <x v="11"/>
  </r>
  <r>
    <x v="1298"/>
    <x v="990"/>
    <x v="0"/>
    <x v="0"/>
    <x v="0"/>
    <x v="0"/>
    <x v="0"/>
    <x v="0"/>
    <x v="0"/>
    <x v="0"/>
    <x v="11"/>
    <x v="0"/>
    <x v="919"/>
    <x v="1"/>
    <x v="0"/>
    <x v="0"/>
    <x v="0"/>
    <x v="1298"/>
    <x v="2"/>
    <x v="21"/>
    <x v="21"/>
    <x v="0"/>
    <x v="0"/>
    <x v="3"/>
    <x v="9"/>
    <x v="0"/>
    <x v="41"/>
    <x v="1273"/>
    <x v="9"/>
    <x v="58"/>
    <x v="1"/>
    <x v="1"/>
    <x v="1"/>
    <x v="1"/>
    <x v="662"/>
    <x v="1"/>
    <x v="41"/>
    <x v="919"/>
    <x v="919"/>
    <x v="1"/>
    <x v="919"/>
    <x v="924"/>
    <x v="924"/>
    <x v="917"/>
    <x v="924"/>
    <x v="924"/>
    <x v="924"/>
    <x v="924"/>
    <x v="924"/>
    <x v="924"/>
    <x v="924"/>
    <x v="924"/>
    <x v="919"/>
    <x v="917"/>
    <x v="917"/>
    <x v="852"/>
    <x v="0"/>
    <x v="0"/>
    <x v="1126"/>
    <x v="919"/>
    <x v="919"/>
    <x v="919"/>
    <x v="919"/>
    <x v="11"/>
  </r>
  <r>
    <x v="1299"/>
    <x v="964"/>
    <x v="0"/>
    <x v="0"/>
    <x v="0"/>
    <x v="0"/>
    <x v="0"/>
    <x v="0"/>
    <x v="0"/>
    <x v="0"/>
    <x v="11"/>
    <x v="0"/>
    <x v="872"/>
    <x v="1"/>
    <x v="0"/>
    <x v="0"/>
    <x v="0"/>
    <x v="1299"/>
    <x v="2"/>
    <x v="21"/>
    <x v="21"/>
    <x v="0"/>
    <x v="0"/>
    <x v="3"/>
    <x v="128"/>
    <x v="0"/>
    <x v="46"/>
    <x v="1284"/>
    <x v="9"/>
    <x v="58"/>
    <x v="1"/>
    <x v="1"/>
    <x v="1"/>
    <x v="1"/>
    <x v="616"/>
    <x v="1"/>
    <x v="46"/>
    <x v="872"/>
    <x v="872"/>
    <x v="1"/>
    <x v="872"/>
    <x v="886"/>
    <x v="876"/>
    <x v="865"/>
    <x v="876"/>
    <x v="886"/>
    <x v="886"/>
    <x v="886"/>
    <x v="886"/>
    <x v="886"/>
    <x v="886"/>
    <x v="886"/>
    <x v="872"/>
    <x v="861"/>
    <x v="861"/>
    <x v="807"/>
    <x v="0"/>
    <x v="0"/>
    <x v="1120"/>
    <x v="872"/>
    <x v="872"/>
    <x v="872"/>
    <x v="872"/>
    <x v="11"/>
  </r>
  <r>
    <x v="1300"/>
    <x v="989"/>
    <x v="0"/>
    <x v="0"/>
    <x v="0"/>
    <x v="0"/>
    <x v="0"/>
    <x v="0"/>
    <x v="0"/>
    <x v="0"/>
    <x v="11"/>
    <x v="0"/>
    <x v="825"/>
    <x v="1"/>
    <x v="0"/>
    <x v="0"/>
    <x v="0"/>
    <x v="1300"/>
    <x v="2"/>
    <x v="21"/>
    <x v="21"/>
    <x v="0"/>
    <x v="0"/>
    <x v="3"/>
    <x v="82"/>
    <x v="0"/>
    <x v="47"/>
    <x v="1285"/>
    <x v="9"/>
    <x v="58"/>
    <x v="1"/>
    <x v="1"/>
    <x v="1"/>
    <x v="1"/>
    <x v="567"/>
    <x v="1"/>
    <x v="47"/>
    <x v="825"/>
    <x v="825"/>
    <x v="1"/>
    <x v="825"/>
    <x v="831"/>
    <x v="830"/>
    <x v="801"/>
    <x v="830"/>
    <x v="831"/>
    <x v="831"/>
    <x v="831"/>
    <x v="831"/>
    <x v="831"/>
    <x v="831"/>
    <x v="831"/>
    <x v="825"/>
    <x v="798"/>
    <x v="798"/>
    <x v="765"/>
    <x v="0"/>
    <x v="0"/>
    <x v="1076"/>
    <x v="825"/>
    <x v="825"/>
    <x v="825"/>
    <x v="825"/>
    <x v="11"/>
  </r>
  <r>
    <x v="1301"/>
    <x v="987"/>
    <x v="0"/>
    <x v="0"/>
    <x v="0"/>
    <x v="0"/>
    <x v="0"/>
    <x v="0"/>
    <x v="0"/>
    <x v="0"/>
    <x v="11"/>
    <x v="0"/>
    <x v="222"/>
    <x v="1"/>
    <x v="0"/>
    <x v="0"/>
    <x v="0"/>
    <x v="1301"/>
    <x v="2"/>
    <x v="21"/>
    <x v="21"/>
    <x v="0"/>
    <x v="0"/>
    <x v="3"/>
    <x v="9"/>
    <x v="0"/>
    <x v="41"/>
    <x v="1279"/>
    <x v="9"/>
    <x v="58"/>
    <x v="1"/>
    <x v="1"/>
    <x v="1"/>
    <x v="1"/>
    <x v="134"/>
    <x v="1"/>
    <x v="41"/>
    <x v="223"/>
    <x v="223"/>
    <x v="0"/>
    <x v="223"/>
    <x v="230"/>
    <x v="229"/>
    <x v="222"/>
    <x v="229"/>
    <x v="230"/>
    <x v="230"/>
    <x v="230"/>
    <x v="230"/>
    <x v="230"/>
    <x v="230"/>
    <x v="230"/>
    <x v="223"/>
    <x v="222"/>
    <x v="222"/>
    <x v="194"/>
    <x v="0"/>
    <x v="0"/>
    <x v="339"/>
    <x v="223"/>
    <x v="223"/>
    <x v="223"/>
    <x v="223"/>
    <x v="11"/>
  </r>
  <r>
    <x v="1302"/>
    <x v="996"/>
    <x v="0"/>
    <x v="0"/>
    <x v="0"/>
    <x v="0"/>
    <x v="0"/>
    <x v="0"/>
    <x v="0"/>
    <x v="0"/>
    <x v="11"/>
    <x v="0"/>
    <x v="1218"/>
    <x v="1"/>
    <x v="0"/>
    <x v="0"/>
    <x v="0"/>
    <x v="1302"/>
    <x v="2"/>
    <x v="21"/>
    <x v="21"/>
    <x v="0"/>
    <x v="0"/>
    <x v="3"/>
    <x v="9"/>
    <x v="0"/>
    <x v="40"/>
    <x v="1276"/>
    <x v="9"/>
    <x v="58"/>
    <x v="1"/>
    <x v="1"/>
    <x v="1"/>
    <x v="1"/>
    <x v="1009"/>
    <x v="1"/>
    <x v="40"/>
    <x v="1216"/>
    <x v="1216"/>
    <x v="2"/>
    <x v="1216"/>
    <x v="1238"/>
    <x v="1230"/>
    <x v="1226"/>
    <x v="1230"/>
    <x v="1238"/>
    <x v="1238"/>
    <x v="1238"/>
    <x v="1238"/>
    <x v="1238"/>
    <x v="1238"/>
    <x v="1238"/>
    <x v="1216"/>
    <x v="1223"/>
    <x v="1223"/>
    <x v="1142"/>
    <x v="0"/>
    <x v="0"/>
    <x v="1344"/>
    <x v="1216"/>
    <x v="1216"/>
    <x v="1216"/>
    <x v="1216"/>
    <x v="11"/>
  </r>
  <r>
    <x v="1303"/>
    <x v="990"/>
    <x v="0"/>
    <x v="0"/>
    <x v="0"/>
    <x v="0"/>
    <x v="0"/>
    <x v="0"/>
    <x v="0"/>
    <x v="0"/>
    <x v="11"/>
    <x v="0"/>
    <x v="436"/>
    <x v="1"/>
    <x v="0"/>
    <x v="0"/>
    <x v="0"/>
    <x v="1303"/>
    <x v="2"/>
    <x v="21"/>
    <x v="21"/>
    <x v="0"/>
    <x v="0"/>
    <x v="3"/>
    <x v="9"/>
    <x v="0"/>
    <x v="41"/>
    <x v="1274"/>
    <x v="9"/>
    <x v="58"/>
    <x v="1"/>
    <x v="1"/>
    <x v="1"/>
    <x v="1"/>
    <x v="296"/>
    <x v="1"/>
    <x v="41"/>
    <x v="436"/>
    <x v="436"/>
    <x v="0"/>
    <x v="436"/>
    <x v="424"/>
    <x v="425"/>
    <x v="409"/>
    <x v="425"/>
    <x v="424"/>
    <x v="424"/>
    <x v="424"/>
    <x v="424"/>
    <x v="424"/>
    <x v="424"/>
    <x v="424"/>
    <x v="436"/>
    <x v="409"/>
    <x v="409"/>
    <x v="386"/>
    <x v="0"/>
    <x v="0"/>
    <x v="719"/>
    <x v="436"/>
    <x v="436"/>
    <x v="436"/>
    <x v="436"/>
    <x v="11"/>
  </r>
  <r>
    <x v="1304"/>
    <x v="996"/>
    <x v="0"/>
    <x v="0"/>
    <x v="0"/>
    <x v="0"/>
    <x v="0"/>
    <x v="0"/>
    <x v="0"/>
    <x v="0"/>
    <x v="11"/>
    <x v="0"/>
    <x v="1142"/>
    <x v="1"/>
    <x v="0"/>
    <x v="0"/>
    <x v="0"/>
    <x v="1304"/>
    <x v="2"/>
    <x v="21"/>
    <x v="21"/>
    <x v="0"/>
    <x v="0"/>
    <x v="3"/>
    <x v="9"/>
    <x v="0"/>
    <x v="40"/>
    <x v="1275"/>
    <x v="9"/>
    <x v="58"/>
    <x v="1"/>
    <x v="1"/>
    <x v="1"/>
    <x v="1"/>
    <x v="909"/>
    <x v="1"/>
    <x v="40"/>
    <x v="1140"/>
    <x v="1140"/>
    <x v="1"/>
    <x v="1140"/>
    <x v="1149"/>
    <x v="1147"/>
    <x v="1133"/>
    <x v="1147"/>
    <x v="1149"/>
    <x v="1149"/>
    <x v="1149"/>
    <x v="1149"/>
    <x v="1149"/>
    <x v="1149"/>
    <x v="1149"/>
    <x v="1140"/>
    <x v="1131"/>
    <x v="1131"/>
    <x v="1066"/>
    <x v="0"/>
    <x v="0"/>
    <x v="1286"/>
    <x v="1140"/>
    <x v="1140"/>
    <x v="1140"/>
    <x v="1140"/>
    <x v="11"/>
  </r>
  <r>
    <x v="1305"/>
    <x v="998"/>
    <x v="0"/>
    <x v="0"/>
    <x v="0"/>
    <x v="0"/>
    <x v="1"/>
    <x v="5"/>
    <x v="0"/>
    <x v="0"/>
    <x v="11"/>
    <x v="0"/>
    <x v="1268"/>
    <x v="1"/>
    <x v="0"/>
    <x v="0"/>
    <x v="0"/>
    <x v="1305"/>
    <x v="1"/>
    <x v="21"/>
    <x v="21"/>
    <x v="0"/>
    <x v="0"/>
    <x v="3"/>
    <x v="9"/>
    <x v="0"/>
    <x v="40"/>
    <x v="1292"/>
    <x v="3"/>
    <x v="33"/>
    <x v="1"/>
    <x v="6"/>
    <x v="3"/>
    <x v="1"/>
    <x v="1385"/>
    <x v="6"/>
    <x v="40"/>
    <x v="1266"/>
    <x v="1266"/>
    <x v="2"/>
    <x v="1266"/>
    <x v="1360"/>
    <x v="1336"/>
    <x v="1369"/>
    <x v="1336"/>
    <x v="1360"/>
    <x v="1360"/>
    <x v="1360"/>
    <x v="1360"/>
    <x v="1360"/>
    <x v="1360"/>
    <x v="1360"/>
    <x v="1266"/>
    <x v="1370"/>
    <x v="1370"/>
    <x v="0"/>
    <x v="117"/>
    <x v="0"/>
    <x v="1415"/>
    <x v="1266"/>
    <x v="1266"/>
    <x v="1266"/>
    <x v="1266"/>
    <x v="11"/>
  </r>
  <r>
    <x v="1306"/>
    <x v="998"/>
    <x v="0"/>
    <x v="0"/>
    <x v="0"/>
    <x v="0"/>
    <x v="0"/>
    <x v="0"/>
    <x v="0"/>
    <x v="0"/>
    <x v="11"/>
    <x v="0"/>
    <x v="376"/>
    <x v="1"/>
    <x v="0"/>
    <x v="0"/>
    <x v="0"/>
    <x v="1306"/>
    <x v="2"/>
    <x v="21"/>
    <x v="21"/>
    <x v="0"/>
    <x v="0"/>
    <x v="3"/>
    <x v="9"/>
    <x v="0"/>
    <x v="40"/>
    <x v="1291"/>
    <x v="9"/>
    <x v="58"/>
    <x v="1"/>
    <x v="1"/>
    <x v="1"/>
    <x v="1"/>
    <x v="261"/>
    <x v="1"/>
    <x v="40"/>
    <x v="376"/>
    <x v="376"/>
    <x v="0"/>
    <x v="376"/>
    <x v="373"/>
    <x v="378"/>
    <x v="355"/>
    <x v="378"/>
    <x v="373"/>
    <x v="373"/>
    <x v="373"/>
    <x v="373"/>
    <x v="373"/>
    <x v="373"/>
    <x v="373"/>
    <x v="376"/>
    <x v="354"/>
    <x v="354"/>
    <x v="336"/>
    <x v="0"/>
    <x v="0"/>
    <x v="618"/>
    <x v="376"/>
    <x v="376"/>
    <x v="376"/>
    <x v="376"/>
    <x v="11"/>
  </r>
  <r>
    <x v="1307"/>
    <x v="888"/>
    <x v="0"/>
    <x v="0"/>
    <x v="0"/>
    <x v="0"/>
    <x v="1"/>
    <x v="11"/>
    <x v="0"/>
    <x v="0"/>
    <x v="0"/>
    <x v="0"/>
    <x v="487"/>
    <x v="1"/>
    <x v="0"/>
    <x v="0"/>
    <x v="0"/>
    <x v="1307"/>
    <x v="0"/>
    <x v="22"/>
    <x v="22"/>
    <x v="0"/>
    <x v="0"/>
    <x v="3"/>
    <x v="10"/>
    <x v="0"/>
    <x v="27"/>
    <x v="1299"/>
    <x v="8"/>
    <x v="45"/>
    <x v="1"/>
    <x v="12"/>
    <x v="7"/>
    <x v="1"/>
    <x v="1384"/>
    <x v="12"/>
    <x v="27"/>
    <x v="487"/>
    <x v="487"/>
    <x v="0"/>
    <x v="487"/>
    <x v="1019"/>
    <x v="885"/>
    <x v="1138"/>
    <x v="885"/>
    <x v="1019"/>
    <x v="1019"/>
    <x v="1019"/>
    <x v="1019"/>
    <x v="1019"/>
    <x v="1019"/>
    <x v="1019"/>
    <x v="487"/>
    <x v="1173"/>
    <x v="1173"/>
    <x v="0"/>
    <x v="86"/>
    <x v="0"/>
    <x v="1228"/>
    <x v="487"/>
    <x v="487"/>
    <x v="487"/>
    <x v="487"/>
    <x v="0"/>
  </r>
  <r>
    <x v="1308"/>
    <x v="867"/>
    <x v="0"/>
    <x v="0"/>
    <x v="0"/>
    <x v="0"/>
    <x v="1"/>
    <x v="11"/>
    <x v="0"/>
    <x v="0"/>
    <x v="0"/>
    <x v="0"/>
    <x v="1310"/>
    <x v="1"/>
    <x v="0"/>
    <x v="0"/>
    <x v="0"/>
    <x v="1308"/>
    <x v="0"/>
    <x v="22"/>
    <x v="22"/>
    <x v="0"/>
    <x v="0"/>
    <x v="4"/>
    <x v="88"/>
    <x v="0"/>
    <x v="27"/>
    <x v="1298"/>
    <x v="8"/>
    <x v="45"/>
    <x v="1"/>
    <x v="12"/>
    <x v="7"/>
    <x v="1"/>
    <x v="1402"/>
    <x v="12"/>
    <x v="27"/>
    <x v="1308"/>
    <x v="1308"/>
    <x v="2"/>
    <x v="1308"/>
    <x v="1398"/>
    <x v="1382"/>
    <x v="1398"/>
    <x v="1382"/>
    <x v="1398"/>
    <x v="1398"/>
    <x v="1398"/>
    <x v="1398"/>
    <x v="1398"/>
    <x v="1398"/>
    <x v="1398"/>
    <x v="1308"/>
    <x v="1397"/>
    <x v="1397"/>
    <x v="0"/>
    <x v="120"/>
    <x v="0"/>
    <x v="1421"/>
    <x v="1308"/>
    <x v="1308"/>
    <x v="1308"/>
    <x v="1308"/>
    <x v="0"/>
  </r>
  <r>
    <x v="1309"/>
    <x v="905"/>
    <x v="0"/>
    <x v="0"/>
    <x v="0"/>
    <x v="0"/>
    <x v="1"/>
    <x v="11"/>
    <x v="0"/>
    <x v="0"/>
    <x v="0"/>
    <x v="0"/>
    <x v="977"/>
    <x v="1"/>
    <x v="0"/>
    <x v="0"/>
    <x v="0"/>
    <x v="1309"/>
    <x v="0"/>
    <x v="22"/>
    <x v="22"/>
    <x v="0"/>
    <x v="0"/>
    <x v="3"/>
    <x v="8"/>
    <x v="0"/>
    <x v="43"/>
    <x v="1296"/>
    <x v="8"/>
    <x v="45"/>
    <x v="1"/>
    <x v="12"/>
    <x v="7"/>
    <x v="1"/>
    <x v="1398"/>
    <x v="12"/>
    <x v="43"/>
    <x v="977"/>
    <x v="977"/>
    <x v="1"/>
    <x v="977"/>
    <x v="1317"/>
    <x v="1236"/>
    <x v="1359"/>
    <x v="1236"/>
    <x v="1317"/>
    <x v="1317"/>
    <x v="1317"/>
    <x v="1317"/>
    <x v="1317"/>
    <x v="1317"/>
    <x v="1317"/>
    <x v="977"/>
    <x v="1368"/>
    <x v="1368"/>
    <x v="0"/>
    <x v="108"/>
    <x v="0"/>
    <x v="1416"/>
    <x v="977"/>
    <x v="977"/>
    <x v="977"/>
    <x v="977"/>
    <x v="0"/>
  </r>
  <r>
    <x v="1310"/>
    <x v="995"/>
    <x v="0"/>
    <x v="0"/>
    <x v="0"/>
    <x v="0"/>
    <x v="1"/>
    <x v="11"/>
    <x v="0"/>
    <x v="0"/>
    <x v="0"/>
    <x v="0"/>
    <x v="1334"/>
    <x v="1"/>
    <x v="0"/>
    <x v="0"/>
    <x v="0"/>
    <x v="1310"/>
    <x v="0"/>
    <x v="22"/>
    <x v="22"/>
    <x v="0"/>
    <x v="0"/>
    <x v="3"/>
    <x v="128"/>
    <x v="0"/>
    <x v="31"/>
    <x v="1297"/>
    <x v="8"/>
    <x v="45"/>
    <x v="1"/>
    <x v="12"/>
    <x v="7"/>
    <x v="1"/>
    <x v="1404"/>
    <x v="12"/>
    <x v="31"/>
    <x v="1332"/>
    <x v="1332"/>
    <x v="3"/>
    <x v="1332"/>
    <x v="1400"/>
    <x v="1386"/>
    <x v="1400"/>
    <x v="1386"/>
    <x v="1400"/>
    <x v="1400"/>
    <x v="1400"/>
    <x v="1400"/>
    <x v="1400"/>
    <x v="1400"/>
    <x v="1400"/>
    <x v="1332"/>
    <x v="1399"/>
    <x v="1399"/>
    <x v="0"/>
    <x v="123"/>
    <x v="0"/>
    <x v="1423"/>
    <x v="1332"/>
    <x v="1332"/>
    <x v="1332"/>
    <x v="1332"/>
    <x v="0"/>
  </r>
  <r>
    <x v="1311"/>
    <x v="995"/>
    <x v="0"/>
    <x v="0"/>
    <x v="0"/>
    <x v="0"/>
    <x v="1"/>
    <x v="11"/>
    <x v="0"/>
    <x v="0"/>
    <x v="0"/>
    <x v="0"/>
    <x v="187"/>
    <x v="1"/>
    <x v="0"/>
    <x v="0"/>
    <x v="0"/>
    <x v="1311"/>
    <x v="0"/>
    <x v="22"/>
    <x v="22"/>
    <x v="0"/>
    <x v="0"/>
    <x v="3"/>
    <x v="128"/>
    <x v="0"/>
    <x v="31"/>
    <x v="62"/>
    <x v="8"/>
    <x v="45"/>
    <x v="1"/>
    <x v="12"/>
    <x v="7"/>
    <x v="1"/>
    <x v="1338"/>
    <x v="12"/>
    <x v="31"/>
    <x v="188"/>
    <x v="188"/>
    <x v="0"/>
    <x v="188"/>
    <x v="355"/>
    <x v="290"/>
    <x v="460"/>
    <x v="290"/>
    <x v="355"/>
    <x v="355"/>
    <x v="355"/>
    <x v="355"/>
    <x v="355"/>
    <x v="355"/>
    <x v="355"/>
    <x v="188"/>
    <x v="521"/>
    <x v="521"/>
    <x v="0"/>
    <x v="47"/>
    <x v="0"/>
    <x v="715"/>
    <x v="188"/>
    <x v="188"/>
    <x v="188"/>
    <x v="188"/>
    <x v="0"/>
  </r>
  <r>
    <x v="1312"/>
    <x v="995"/>
    <x v="0"/>
    <x v="0"/>
    <x v="0"/>
    <x v="0"/>
    <x v="1"/>
    <x v="11"/>
    <x v="0"/>
    <x v="0"/>
    <x v="0"/>
    <x v="0"/>
    <x v="36"/>
    <x v="1"/>
    <x v="0"/>
    <x v="0"/>
    <x v="0"/>
    <x v="1312"/>
    <x v="0"/>
    <x v="22"/>
    <x v="22"/>
    <x v="0"/>
    <x v="0"/>
    <x v="3"/>
    <x v="128"/>
    <x v="0"/>
    <x v="31"/>
    <x v="38"/>
    <x v="8"/>
    <x v="45"/>
    <x v="1"/>
    <x v="12"/>
    <x v="7"/>
    <x v="1"/>
    <x v="955"/>
    <x v="12"/>
    <x v="31"/>
    <x v="37"/>
    <x v="37"/>
    <x v="0"/>
    <x v="37"/>
    <x v="111"/>
    <x v="81"/>
    <x v="129"/>
    <x v="81"/>
    <x v="111"/>
    <x v="111"/>
    <x v="111"/>
    <x v="111"/>
    <x v="111"/>
    <x v="111"/>
    <x v="111"/>
    <x v="37"/>
    <x v="144"/>
    <x v="144"/>
    <x v="0"/>
    <x v="12"/>
    <x v="0"/>
    <x v="178"/>
    <x v="37"/>
    <x v="37"/>
    <x v="37"/>
    <x v="37"/>
    <x v="0"/>
  </r>
  <r>
    <x v="1313"/>
    <x v="854"/>
    <x v="0"/>
    <x v="0"/>
    <x v="0"/>
    <x v="0"/>
    <x v="0"/>
    <x v="1"/>
    <x v="0"/>
    <x v="0"/>
    <x v="11"/>
    <x v="0"/>
    <x v="475"/>
    <x v="1"/>
    <x v="0"/>
    <x v="0"/>
    <x v="0"/>
    <x v="1313"/>
    <x v="1"/>
    <x v="22"/>
    <x v="22"/>
    <x v="0"/>
    <x v="0"/>
    <x v="4"/>
    <x v="14"/>
    <x v="0"/>
    <x v="36"/>
    <x v="1223"/>
    <x v="10"/>
    <x v="68"/>
    <x v="1"/>
    <x v="2"/>
    <x v="2"/>
    <x v="1"/>
    <x v="666"/>
    <x v="2"/>
    <x v="36"/>
    <x v="475"/>
    <x v="475"/>
    <x v="0"/>
    <x v="475"/>
    <x v="576"/>
    <x v="562"/>
    <x v="583"/>
    <x v="562"/>
    <x v="576"/>
    <x v="576"/>
    <x v="576"/>
    <x v="576"/>
    <x v="576"/>
    <x v="576"/>
    <x v="576"/>
    <x v="475"/>
    <x v="580"/>
    <x v="580"/>
    <x v="433"/>
    <x v="0"/>
    <x v="0"/>
    <x v="825"/>
    <x v="475"/>
    <x v="475"/>
    <x v="475"/>
    <x v="475"/>
    <x v="11"/>
  </r>
  <r>
    <x v="1314"/>
    <x v="870"/>
    <x v="0"/>
    <x v="0"/>
    <x v="0"/>
    <x v="0"/>
    <x v="0"/>
    <x v="0"/>
    <x v="0"/>
    <x v="0"/>
    <x v="11"/>
    <x v="0"/>
    <x v="679"/>
    <x v="1"/>
    <x v="0"/>
    <x v="0"/>
    <x v="0"/>
    <x v="1314"/>
    <x v="2"/>
    <x v="22"/>
    <x v="22"/>
    <x v="0"/>
    <x v="0"/>
    <x v="4"/>
    <x v="13"/>
    <x v="0"/>
    <x v="38"/>
    <x v="1315"/>
    <x v="9"/>
    <x v="58"/>
    <x v="1"/>
    <x v="1"/>
    <x v="1"/>
    <x v="1"/>
    <x v="441"/>
    <x v="1"/>
    <x v="38"/>
    <x v="679"/>
    <x v="679"/>
    <x v="1"/>
    <x v="679"/>
    <x v="615"/>
    <x v="628"/>
    <x v="584"/>
    <x v="628"/>
    <x v="615"/>
    <x v="615"/>
    <x v="615"/>
    <x v="615"/>
    <x v="615"/>
    <x v="615"/>
    <x v="615"/>
    <x v="679"/>
    <x v="587"/>
    <x v="587"/>
    <x v="609"/>
    <x v="0"/>
    <x v="0"/>
    <x v="857"/>
    <x v="679"/>
    <x v="679"/>
    <x v="679"/>
    <x v="679"/>
    <x v="11"/>
  </r>
  <r>
    <x v="1315"/>
    <x v="863"/>
    <x v="0"/>
    <x v="0"/>
    <x v="0"/>
    <x v="0"/>
    <x v="0"/>
    <x v="0"/>
    <x v="0"/>
    <x v="0"/>
    <x v="11"/>
    <x v="0"/>
    <x v="787"/>
    <x v="1"/>
    <x v="0"/>
    <x v="0"/>
    <x v="0"/>
    <x v="1315"/>
    <x v="2"/>
    <x v="22"/>
    <x v="22"/>
    <x v="0"/>
    <x v="0"/>
    <x v="3"/>
    <x v="79"/>
    <x v="0"/>
    <x v="36"/>
    <x v="1402"/>
    <x v="9"/>
    <x v="58"/>
    <x v="1"/>
    <x v="1"/>
    <x v="1"/>
    <x v="1"/>
    <x v="529"/>
    <x v="1"/>
    <x v="36"/>
    <x v="787"/>
    <x v="787"/>
    <x v="1"/>
    <x v="787"/>
    <x v="782"/>
    <x v="787"/>
    <x v="742"/>
    <x v="787"/>
    <x v="782"/>
    <x v="782"/>
    <x v="782"/>
    <x v="782"/>
    <x v="782"/>
    <x v="782"/>
    <x v="782"/>
    <x v="787"/>
    <x v="741"/>
    <x v="741"/>
    <x v="727"/>
    <x v="0"/>
    <x v="0"/>
    <x v="952"/>
    <x v="787"/>
    <x v="787"/>
    <x v="787"/>
    <x v="787"/>
    <x v="11"/>
  </r>
  <r>
    <x v="1316"/>
    <x v="871"/>
    <x v="0"/>
    <x v="0"/>
    <x v="0"/>
    <x v="0"/>
    <x v="0"/>
    <x v="0"/>
    <x v="0"/>
    <x v="0"/>
    <x v="11"/>
    <x v="0"/>
    <x v="2"/>
    <x v="1"/>
    <x v="0"/>
    <x v="0"/>
    <x v="0"/>
    <x v="1316"/>
    <x v="2"/>
    <x v="22"/>
    <x v="22"/>
    <x v="0"/>
    <x v="0"/>
    <x v="4"/>
    <x v="13"/>
    <x v="0"/>
    <x v="38"/>
    <x v="1337"/>
    <x v="9"/>
    <x v="58"/>
    <x v="1"/>
    <x v="1"/>
    <x v="1"/>
    <x v="1"/>
    <x v="2"/>
    <x v="1"/>
    <x v="38"/>
    <x v="3"/>
    <x v="3"/>
    <x v="0"/>
    <x v="3"/>
    <x v="3"/>
    <x v="3"/>
    <x v="3"/>
    <x v="3"/>
    <x v="3"/>
    <x v="3"/>
    <x v="3"/>
    <x v="3"/>
    <x v="3"/>
    <x v="3"/>
    <x v="3"/>
    <x v="3"/>
    <x v="3"/>
    <x v="3"/>
    <x v="3"/>
    <x v="0"/>
    <x v="0"/>
    <x v="8"/>
    <x v="3"/>
    <x v="3"/>
    <x v="3"/>
    <x v="3"/>
    <x v="11"/>
  </r>
  <r>
    <x v="1317"/>
    <x v="868"/>
    <x v="0"/>
    <x v="0"/>
    <x v="0"/>
    <x v="0"/>
    <x v="0"/>
    <x v="0"/>
    <x v="0"/>
    <x v="0"/>
    <x v="11"/>
    <x v="0"/>
    <x v="99"/>
    <x v="1"/>
    <x v="0"/>
    <x v="0"/>
    <x v="0"/>
    <x v="1317"/>
    <x v="2"/>
    <x v="22"/>
    <x v="22"/>
    <x v="0"/>
    <x v="0"/>
    <x v="4"/>
    <x v="11"/>
    <x v="0"/>
    <x v="27"/>
    <x v="1339"/>
    <x v="9"/>
    <x v="58"/>
    <x v="1"/>
    <x v="1"/>
    <x v="1"/>
    <x v="1"/>
    <x v="46"/>
    <x v="1"/>
    <x v="27"/>
    <x v="100"/>
    <x v="100"/>
    <x v="0"/>
    <x v="100"/>
    <x v="93"/>
    <x v="99"/>
    <x v="84"/>
    <x v="99"/>
    <x v="93"/>
    <x v="93"/>
    <x v="93"/>
    <x v="93"/>
    <x v="93"/>
    <x v="93"/>
    <x v="93"/>
    <x v="100"/>
    <x v="83"/>
    <x v="83"/>
    <x v="84"/>
    <x v="0"/>
    <x v="0"/>
    <x v="111"/>
    <x v="100"/>
    <x v="100"/>
    <x v="100"/>
    <x v="100"/>
    <x v="11"/>
  </r>
  <r>
    <x v="1318"/>
    <x v="876"/>
    <x v="0"/>
    <x v="0"/>
    <x v="0"/>
    <x v="0"/>
    <x v="0"/>
    <x v="0"/>
    <x v="0"/>
    <x v="0"/>
    <x v="11"/>
    <x v="0"/>
    <x v="95"/>
    <x v="1"/>
    <x v="0"/>
    <x v="0"/>
    <x v="0"/>
    <x v="1318"/>
    <x v="2"/>
    <x v="22"/>
    <x v="22"/>
    <x v="0"/>
    <x v="0"/>
    <x v="4"/>
    <x v="12"/>
    <x v="0"/>
    <x v="38"/>
    <x v="1336"/>
    <x v="9"/>
    <x v="58"/>
    <x v="1"/>
    <x v="1"/>
    <x v="1"/>
    <x v="1"/>
    <x v="45"/>
    <x v="1"/>
    <x v="38"/>
    <x v="96"/>
    <x v="96"/>
    <x v="0"/>
    <x v="96"/>
    <x v="90"/>
    <x v="95"/>
    <x v="81"/>
    <x v="95"/>
    <x v="90"/>
    <x v="90"/>
    <x v="90"/>
    <x v="90"/>
    <x v="90"/>
    <x v="90"/>
    <x v="90"/>
    <x v="96"/>
    <x v="81"/>
    <x v="81"/>
    <x v="82"/>
    <x v="0"/>
    <x v="0"/>
    <x v="130"/>
    <x v="96"/>
    <x v="96"/>
    <x v="96"/>
    <x v="96"/>
    <x v="11"/>
  </r>
  <r>
    <x v="1319"/>
    <x v="875"/>
    <x v="0"/>
    <x v="0"/>
    <x v="0"/>
    <x v="0"/>
    <x v="0"/>
    <x v="0"/>
    <x v="0"/>
    <x v="0"/>
    <x v="11"/>
    <x v="0"/>
    <x v="256"/>
    <x v="1"/>
    <x v="0"/>
    <x v="0"/>
    <x v="0"/>
    <x v="1319"/>
    <x v="2"/>
    <x v="22"/>
    <x v="22"/>
    <x v="0"/>
    <x v="0"/>
    <x v="4"/>
    <x v="11"/>
    <x v="0"/>
    <x v="27"/>
    <x v="1338"/>
    <x v="9"/>
    <x v="58"/>
    <x v="1"/>
    <x v="1"/>
    <x v="1"/>
    <x v="1"/>
    <x v="166"/>
    <x v="1"/>
    <x v="27"/>
    <x v="256"/>
    <x v="256"/>
    <x v="0"/>
    <x v="256"/>
    <x v="262"/>
    <x v="263"/>
    <x v="254"/>
    <x v="263"/>
    <x v="262"/>
    <x v="262"/>
    <x v="262"/>
    <x v="262"/>
    <x v="262"/>
    <x v="262"/>
    <x v="262"/>
    <x v="256"/>
    <x v="255"/>
    <x v="255"/>
    <x v="225"/>
    <x v="0"/>
    <x v="0"/>
    <x v="308"/>
    <x v="256"/>
    <x v="256"/>
    <x v="256"/>
    <x v="256"/>
    <x v="11"/>
  </r>
  <r>
    <x v="1320"/>
    <x v="874"/>
    <x v="0"/>
    <x v="0"/>
    <x v="0"/>
    <x v="0"/>
    <x v="0"/>
    <x v="0"/>
    <x v="0"/>
    <x v="0"/>
    <x v="11"/>
    <x v="0"/>
    <x v="243"/>
    <x v="1"/>
    <x v="0"/>
    <x v="0"/>
    <x v="0"/>
    <x v="1320"/>
    <x v="2"/>
    <x v="22"/>
    <x v="22"/>
    <x v="0"/>
    <x v="0"/>
    <x v="4"/>
    <x v="11"/>
    <x v="0"/>
    <x v="27"/>
    <x v="1340"/>
    <x v="9"/>
    <x v="58"/>
    <x v="1"/>
    <x v="1"/>
    <x v="1"/>
    <x v="1"/>
    <x v="152"/>
    <x v="1"/>
    <x v="27"/>
    <x v="243"/>
    <x v="243"/>
    <x v="0"/>
    <x v="243"/>
    <x v="247"/>
    <x v="245"/>
    <x v="241"/>
    <x v="245"/>
    <x v="247"/>
    <x v="247"/>
    <x v="247"/>
    <x v="247"/>
    <x v="247"/>
    <x v="247"/>
    <x v="247"/>
    <x v="243"/>
    <x v="241"/>
    <x v="241"/>
    <x v="211"/>
    <x v="0"/>
    <x v="0"/>
    <x v="277"/>
    <x v="243"/>
    <x v="243"/>
    <x v="243"/>
    <x v="243"/>
    <x v="11"/>
  </r>
  <r>
    <x v="1321"/>
    <x v="872"/>
    <x v="0"/>
    <x v="0"/>
    <x v="0"/>
    <x v="0"/>
    <x v="0"/>
    <x v="0"/>
    <x v="0"/>
    <x v="0"/>
    <x v="11"/>
    <x v="0"/>
    <x v="94"/>
    <x v="1"/>
    <x v="0"/>
    <x v="0"/>
    <x v="0"/>
    <x v="1321"/>
    <x v="2"/>
    <x v="22"/>
    <x v="22"/>
    <x v="0"/>
    <x v="0"/>
    <x v="4"/>
    <x v="12"/>
    <x v="0"/>
    <x v="26"/>
    <x v="1313"/>
    <x v="9"/>
    <x v="58"/>
    <x v="1"/>
    <x v="1"/>
    <x v="1"/>
    <x v="1"/>
    <x v="44"/>
    <x v="1"/>
    <x v="26"/>
    <x v="95"/>
    <x v="95"/>
    <x v="0"/>
    <x v="95"/>
    <x v="89"/>
    <x v="94"/>
    <x v="80"/>
    <x v="94"/>
    <x v="89"/>
    <x v="89"/>
    <x v="89"/>
    <x v="89"/>
    <x v="89"/>
    <x v="89"/>
    <x v="89"/>
    <x v="95"/>
    <x v="78"/>
    <x v="78"/>
    <x v="81"/>
    <x v="0"/>
    <x v="0"/>
    <x v="108"/>
    <x v="95"/>
    <x v="95"/>
    <x v="95"/>
    <x v="95"/>
    <x v="11"/>
  </r>
  <r>
    <x v="1322"/>
    <x v="873"/>
    <x v="0"/>
    <x v="0"/>
    <x v="0"/>
    <x v="0"/>
    <x v="0"/>
    <x v="0"/>
    <x v="0"/>
    <x v="0"/>
    <x v="11"/>
    <x v="0"/>
    <x v="261"/>
    <x v="1"/>
    <x v="0"/>
    <x v="0"/>
    <x v="0"/>
    <x v="1322"/>
    <x v="2"/>
    <x v="22"/>
    <x v="22"/>
    <x v="0"/>
    <x v="0"/>
    <x v="4"/>
    <x v="12"/>
    <x v="0"/>
    <x v="39"/>
    <x v="1342"/>
    <x v="9"/>
    <x v="58"/>
    <x v="1"/>
    <x v="1"/>
    <x v="1"/>
    <x v="1"/>
    <x v="170"/>
    <x v="1"/>
    <x v="39"/>
    <x v="261"/>
    <x v="261"/>
    <x v="0"/>
    <x v="261"/>
    <x v="266"/>
    <x v="267"/>
    <x v="260"/>
    <x v="267"/>
    <x v="266"/>
    <x v="266"/>
    <x v="266"/>
    <x v="266"/>
    <x v="266"/>
    <x v="266"/>
    <x v="266"/>
    <x v="261"/>
    <x v="259"/>
    <x v="259"/>
    <x v="228"/>
    <x v="0"/>
    <x v="0"/>
    <x v="402"/>
    <x v="261"/>
    <x v="261"/>
    <x v="261"/>
    <x v="261"/>
    <x v="11"/>
  </r>
  <r>
    <x v="1323"/>
    <x v="879"/>
    <x v="0"/>
    <x v="0"/>
    <x v="0"/>
    <x v="0"/>
    <x v="0"/>
    <x v="0"/>
    <x v="0"/>
    <x v="0"/>
    <x v="11"/>
    <x v="0"/>
    <x v="224"/>
    <x v="1"/>
    <x v="0"/>
    <x v="0"/>
    <x v="0"/>
    <x v="1323"/>
    <x v="2"/>
    <x v="22"/>
    <x v="22"/>
    <x v="0"/>
    <x v="0"/>
    <x v="4"/>
    <x v="11"/>
    <x v="0"/>
    <x v="27"/>
    <x v="1341"/>
    <x v="9"/>
    <x v="58"/>
    <x v="1"/>
    <x v="1"/>
    <x v="1"/>
    <x v="1"/>
    <x v="135"/>
    <x v="1"/>
    <x v="27"/>
    <x v="225"/>
    <x v="225"/>
    <x v="0"/>
    <x v="225"/>
    <x v="232"/>
    <x v="230"/>
    <x v="223"/>
    <x v="230"/>
    <x v="232"/>
    <x v="232"/>
    <x v="232"/>
    <x v="232"/>
    <x v="232"/>
    <x v="232"/>
    <x v="232"/>
    <x v="225"/>
    <x v="223"/>
    <x v="223"/>
    <x v="196"/>
    <x v="0"/>
    <x v="0"/>
    <x v="258"/>
    <x v="225"/>
    <x v="225"/>
    <x v="225"/>
    <x v="225"/>
    <x v="11"/>
  </r>
  <r>
    <x v="1324"/>
    <x v="872"/>
    <x v="0"/>
    <x v="0"/>
    <x v="0"/>
    <x v="0"/>
    <x v="0"/>
    <x v="0"/>
    <x v="0"/>
    <x v="0"/>
    <x v="11"/>
    <x v="0"/>
    <x v="682"/>
    <x v="1"/>
    <x v="0"/>
    <x v="0"/>
    <x v="0"/>
    <x v="1324"/>
    <x v="2"/>
    <x v="22"/>
    <x v="22"/>
    <x v="0"/>
    <x v="0"/>
    <x v="4"/>
    <x v="12"/>
    <x v="0"/>
    <x v="26"/>
    <x v="1312"/>
    <x v="9"/>
    <x v="58"/>
    <x v="1"/>
    <x v="1"/>
    <x v="1"/>
    <x v="1"/>
    <x v="444"/>
    <x v="1"/>
    <x v="26"/>
    <x v="682"/>
    <x v="682"/>
    <x v="1"/>
    <x v="682"/>
    <x v="618"/>
    <x v="630"/>
    <x v="589"/>
    <x v="630"/>
    <x v="618"/>
    <x v="618"/>
    <x v="618"/>
    <x v="618"/>
    <x v="618"/>
    <x v="618"/>
    <x v="618"/>
    <x v="682"/>
    <x v="589"/>
    <x v="589"/>
    <x v="611"/>
    <x v="0"/>
    <x v="0"/>
    <x v="691"/>
    <x v="682"/>
    <x v="682"/>
    <x v="682"/>
    <x v="682"/>
    <x v="11"/>
  </r>
  <r>
    <x v="1325"/>
    <x v="873"/>
    <x v="0"/>
    <x v="0"/>
    <x v="0"/>
    <x v="0"/>
    <x v="0"/>
    <x v="0"/>
    <x v="0"/>
    <x v="0"/>
    <x v="11"/>
    <x v="0"/>
    <x v="199"/>
    <x v="1"/>
    <x v="0"/>
    <x v="0"/>
    <x v="0"/>
    <x v="1325"/>
    <x v="2"/>
    <x v="22"/>
    <x v="22"/>
    <x v="0"/>
    <x v="0"/>
    <x v="4"/>
    <x v="12"/>
    <x v="0"/>
    <x v="39"/>
    <x v="1343"/>
    <x v="9"/>
    <x v="58"/>
    <x v="1"/>
    <x v="1"/>
    <x v="1"/>
    <x v="1"/>
    <x v="114"/>
    <x v="1"/>
    <x v="39"/>
    <x v="200"/>
    <x v="200"/>
    <x v="0"/>
    <x v="200"/>
    <x v="209"/>
    <x v="210"/>
    <x v="200"/>
    <x v="210"/>
    <x v="209"/>
    <x v="209"/>
    <x v="209"/>
    <x v="209"/>
    <x v="209"/>
    <x v="209"/>
    <x v="209"/>
    <x v="200"/>
    <x v="200"/>
    <x v="200"/>
    <x v="176"/>
    <x v="0"/>
    <x v="0"/>
    <x v="278"/>
    <x v="200"/>
    <x v="200"/>
    <x v="200"/>
    <x v="200"/>
    <x v="11"/>
  </r>
  <r>
    <x v="1326"/>
    <x v="877"/>
    <x v="0"/>
    <x v="0"/>
    <x v="0"/>
    <x v="0"/>
    <x v="0"/>
    <x v="1"/>
    <x v="0"/>
    <x v="0"/>
    <x v="11"/>
    <x v="0"/>
    <x v="394"/>
    <x v="1"/>
    <x v="0"/>
    <x v="0"/>
    <x v="0"/>
    <x v="1326"/>
    <x v="1"/>
    <x v="22"/>
    <x v="22"/>
    <x v="0"/>
    <x v="0"/>
    <x v="4"/>
    <x v="84"/>
    <x v="0"/>
    <x v="36"/>
    <x v="1357"/>
    <x v="10"/>
    <x v="68"/>
    <x v="1"/>
    <x v="2"/>
    <x v="2"/>
    <x v="1"/>
    <x v="588"/>
    <x v="2"/>
    <x v="36"/>
    <x v="394"/>
    <x v="394"/>
    <x v="0"/>
    <x v="394"/>
    <x v="449"/>
    <x v="446"/>
    <x v="459"/>
    <x v="446"/>
    <x v="449"/>
    <x v="449"/>
    <x v="449"/>
    <x v="449"/>
    <x v="449"/>
    <x v="449"/>
    <x v="449"/>
    <x v="394"/>
    <x v="458"/>
    <x v="458"/>
    <x v="356"/>
    <x v="0"/>
    <x v="0"/>
    <x v="726"/>
    <x v="394"/>
    <x v="394"/>
    <x v="394"/>
    <x v="394"/>
    <x v="11"/>
  </r>
  <r>
    <x v="1327"/>
    <x v="886"/>
    <x v="0"/>
    <x v="0"/>
    <x v="0"/>
    <x v="0"/>
    <x v="0"/>
    <x v="0"/>
    <x v="0"/>
    <x v="0"/>
    <x v="11"/>
    <x v="0"/>
    <x v="525"/>
    <x v="1"/>
    <x v="0"/>
    <x v="0"/>
    <x v="0"/>
    <x v="1327"/>
    <x v="2"/>
    <x v="22"/>
    <x v="22"/>
    <x v="0"/>
    <x v="0"/>
    <x v="3"/>
    <x v="10"/>
    <x v="0"/>
    <x v="44"/>
    <x v="1334"/>
    <x v="9"/>
    <x v="58"/>
    <x v="1"/>
    <x v="1"/>
    <x v="1"/>
    <x v="1"/>
    <x v="347"/>
    <x v="1"/>
    <x v="44"/>
    <x v="525"/>
    <x v="525"/>
    <x v="0"/>
    <x v="525"/>
    <x v="486"/>
    <x v="495"/>
    <x v="474"/>
    <x v="495"/>
    <x v="486"/>
    <x v="486"/>
    <x v="486"/>
    <x v="486"/>
    <x v="486"/>
    <x v="486"/>
    <x v="486"/>
    <x v="525"/>
    <x v="474"/>
    <x v="474"/>
    <x v="464"/>
    <x v="0"/>
    <x v="0"/>
    <x v="841"/>
    <x v="525"/>
    <x v="525"/>
    <x v="525"/>
    <x v="525"/>
    <x v="11"/>
  </r>
  <r>
    <x v="1328"/>
    <x v="882"/>
    <x v="0"/>
    <x v="0"/>
    <x v="0"/>
    <x v="0"/>
    <x v="0"/>
    <x v="0"/>
    <x v="0"/>
    <x v="0"/>
    <x v="11"/>
    <x v="0"/>
    <x v="100"/>
    <x v="1"/>
    <x v="0"/>
    <x v="0"/>
    <x v="0"/>
    <x v="1328"/>
    <x v="2"/>
    <x v="22"/>
    <x v="22"/>
    <x v="0"/>
    <x v="0"/>
    <x v="4"/>
    <x v="12"/>
    <x v="0"/>
    <x v="39"/>
    <x v="1344"/>
    <x v="9"/>
    <x v="58"/>
    <x v="1"/>
    <x v="1"/>
    <x v="1"/>
    <x v="1"/>
    <x v="47"/>
    <x v="1"/>
    <x v="39"/>
    <x v="101"/>
    <x v="101"/>
    <x v="0"/>
    <x v="101"/>
    <x v="95"/>
    <x v="100"/>
    <x v="85"/>
    <x v="100"/>
    <x v="95"/>
    <x v="95"/>
    <x v="95"/>
    <x v="95"/>
    <x v="95"/>
    <x v="95"/>
    <x v="95"/>
    <x v="101"/>
    <x v="84"/>
    <x v="84"/>
    <x v="85"/>
    <x v="0"/>
    <x v="0"/>
    <x v="135"/>
    <x v="101"/>
    <x v="101"/>
    <x v="101"/>
    <x v="101"/>
    <x v="11"/>
  </r>
  <r>
    <x v="1329"/>
    <x v="887"/>
    <x v="0"/>
    <x v="0"/>
    <x v="0"/>
    <x v="0"/>
    <x v="0"/>
    <x v="0"/>
    <x v="0"/>
    <x v="0"/>
    <x v="11"/>
    <x v="0"/>
    <x v="1214"/>
    <x v="1"/>
    <x v="0"/>
    <x v="0"/>
    <x v="0"/>
    <x v="1329"/>
    <x v="2"/>
    <x v="22"/>
    <x v="22"/>
    <x v="0"/>
    <x v="0"/>
    <x v="3"/>
    <x v="10"/>
    <x v="0"/>
    <x v="28"/>
    <x v="1189"/>
    <x v="9"/>
    <x v="58"/>
    <x v="1"/>
    <x v="1"/>
    <x v="1"/>
    <x v="1"/>
    <x v="1004"/>
    <x v="1"/>
    <x v="28"/>
    <x v="1212"/>
    <x v="1212"/>
    <x v="2"/>
    <x v="1212"/>
    <x v="1235"/>
    <x v="1226"/>
    <x v="1221"/>
    <x v="1226"/>
    <x v="1235"/>
    <x v="1235"/>
    <x v="1235"/>
    <x v="1235"/>
    <x v="1235"/>
    <x v="1235"/>
    <x v="1235"/>
    <x v="1212"/>
    <x v="1219"/>
    <x v="1219"/>
    <x v="1139"/>
    <x v="0"/>
    <x v="0"/>
    <x v="1280"/>
    <x v="1212"/>
    <x v="1212"/>
    <x v="1212"/>
    <x v="1212"/>
    <x v="11"/>
  </r>
  <r>
    <x v="1330"/>
    <x v="889"/>
    <x v="0"/>
    <x v="0"/>
    <x v="0"/>
    <x v="0"/>
    <x v="0"/>
    <x v="0"/>
    <x v="0"/>
    <x v="0"/>
    <x v="11"/>
    <x v="0"/>
    <x v="1179"/>
    <x v="1"/>
    <x v="0"/>
    <x v="0"/>
    <x v="0"/>
    <x v="1330"/>
    <x v="2"/>
    <x v="22"/>
    <x v="22"/>
    <x v="0"/>
    <x v="0"/>
    <x v="4"/>
    <x v="12"/>
    <x v="0"/>
    <x v="37"/>
    <x v="1317"/>
    <x v="9"/>
    <x v="58"/>
    <x v="1"/>
    <x v="1"/>
    <x v="1"/>
    <x v="1"/>
    <x v="958"/>
    <x v="1"/>
    <x v="37"/>
    <x v="1177"/>
    <x v="1177"/>
    <x v="2"/>
    <x v="1177"/>
    <x v="1196"/>
    <x v="1188"/>
    <x v="1178"/>
    <x v="1188"/>
    <x v="1196"/>
    <x v="1196"/>
    <x v="1196"/>
    <x v="1196"/>
    <x v="1196"/>
    <x v="1196"/>
    <x v="1196"/>
    <x v="1177"/>
    <x v="1176"/>
    <x v="1176"/>
    <x v="1105"/>
    <x v="0"/>
    <x v="0"/>
    <x v="1300"/>
    <x v="1177"/>
    <x v="1177"/>
    <x v="1177"/>
    <x v="1177"/>
    <x v="11"/>
  </r>
  <r>
    <x v="1331"/>
    <x v="889"/>
    <x v="0"/>
    <x v="0"/>
    <x v="0"/>
    <x v="0"/>
    <x v="0"/>
    <x v="0"/>
    <x v="0"/>
    <x v="0"/>
    <x v="11"/>
    <x v="0"/>
    <x v="432"/>
    <x v="1"/>
    <x v="0"/>
    <x v="0"/>
    <x v="0"/>
    <x v="1331"/>
    <x v="2"/>
    <x v="22"/>
    <x v="22"/>
    <x v="0"/>
    <x v="0"/>
    <x v="4"/>
    <x v="12"/>
    <x v="0"/>
    <x v="37"/>
    <x v="1316"/>
    <x v="9"/>
    <x v="58"/>
    <x v="1"/>
    <x v="1"/>
    <x v="1"/>
    <x v="1"/>
    <x v="294"/>
    <x v="1"/>
    <x v="37"/>
    <x v="432"/>
    <x v="432"/>
    <x v="0"/>
    <x v="432"/>
    <x v="420"/>
    <x v="423"/>
    <x v="407"/>
    <x v="423"/>
    <x v="420"/>
    <x v="420"/>
    <x v="420"/>
    <x v="420"/>
    <x v="420"/>
    <x v="420"/>
    <x v="420"/>
    <x v="432"/>
    <x v="406"/>
    <x v="406"/>
    <x v="384"/>
    <x v="0"/>
    <x v="0"/>
    <x v="672"/>
    <x v="432"/>
    <x v="432"/>
    <x v="432"/>
    <x v="432"/>
    <x v="11"/>
  </r>
  <r>
    <x v="1332"/>
    <x v="883"/>
    <x v="0"/>
    <x v="0"/>
    <x v="0"/>
    <x v="0"/>
    <x v="0"/>
    <x v="1"/>
    <x v="0"/>
    <x v="0"/>
    <x v="11"/>
    <x v="0"/>
    <x v="217"/>
    <x v="1"/>
    <x v="0"/>
    <x v="0"/>
    <x v="0"/>
    <x v="1332"/>
    <x v="1"/>
    <x v="22"/>
    <x v="22"/>
    <x v="0"/>
    <x v="0"/>
    <x v="4"/>
    <x v="84"/>
    <x v="0"/>
    <x v="35"/>
    <x v="1348"/>
    <x v="10"/>
    <x v="68"/>
    <x v="1"/>
    <x v="2"/>
    <x v="2"/>
    <x v="1"/>
    <x v="264"/>
    <x v="2"/>
    <x v="35"/>
    <x v="218"/>
    <x v="218"/>
    <x v="0"/>
    <x v="218"/>
    <x v="249"/>
    <x v="247"/>
    <x v="251"/>
    <x v="247"/>
    <x v="249"/>
    <x v="249"/>
    <x v="249"/>
    <x v="249"/>
    <x v="249"/>
    <x v="249"/>
    <x v="249"/>
    <x v="218"/>
    <x v="250"/>
    <x v="250"/>
    <x v="193"/>
    <x v="0"/>
    <x v="0"/>
    <x v="359"/>
    <x v="218"/>
    <x v="218"/>
    <x v="218"/>
    <x v="218"/>
    <x v="11"/>
  </r>
  <r>
    <x v="1333"/>
    <x v="885"/>
    <x v="0"/>
    <x v="0"/>
    <x v="0"/>
    <x v="0"/>
    <x v="0"/>
    <x v="1"/>
    <x v="0"/>
    <x v="0"/>
    <x v="11"/>
    <x v="0"/>
    <x v="129"/>
    <x v="1"/>
    <x v="0"/>
    <x v="0"/>
    <x v="0"/>
    <x v="1333"/>
    <x v="1"/>
    <x v="22"/>
    <x v="22"/>
    <x v="0"/>
    <x v="0"/>
    <x v="4"/>
    <x v="84"/>
    <x v="0"/>
    <x v="35"/>
    <x v="1347"/>
    <x v="10"/>
    <x v="68"/>
    <x v="1"/>
    <x v="2"/>
    <x v="2"/>
    <x v="1"/>
    <x v="108"/>
    <x v="2"/>
    <x v="35"/>
    <x v="130"/>
    <x v="130"/>
    <x v="0"/>
    <x v="130"/>
    <x v="146"/>
    <x v="147"/>
    <x v="145"/>
    <x v="147"/>
    <x v="146"/>
    <x v="146"/>
    <x v="146"/>
    <x v="146"/>
    <x v="146"/>
    <x v="146"/>
    <x v="146"/>
    <x v="130"/>
    <x v="142"/>
    <x v="142"/>
    <x v="112"/>
    <x v="0"/>
    <x v="0"/>
    <x v="186"/>
    <x v="130"/>
    <x v="130"/>
    <x v="130"/>
    <x v="130"/>
    <x v="11"/>
  </r>
  <r>
    <x v="1334"/>
    <x v="885"/>
    <x v="0"/>
    <x v="0"/>
    <x v="0"/>
    <x v="0"/>
    <x v="0"/>
    <x v="1"/>
    <x v="0"/>
    <x v="0"/>
    <x v="11"/>
    <x v="0"/>
    <x v="357"/>
    <x v="1"/>
    <x v="0"/>
    <x v="0"/>
    <x v="0"/>
    <x v="1334"/>
    <x v="1"/>
    <x v="22"/>
    <x v="22"/>
    <x v="0"/>
    <x v="0"/>
    <x v="4"/>
    <x v="84"/>
    <x v="0"/>
    <x v="35"/>
    <x v="1346"/>
    <x v="10"/>
    <x v="68"/>
    <x v="1"/>
    <x v="2"/>
    <x v="2"/>
    <x v="1"/>
    <x v="547"/>
    <x v="2"/>
    <x v="35"/>
    <x v="357"/>
    <x v="357"/>
    <x v="0"/>
    <x v="357"/>
    <x v="413"/>
    <x v="404"/>
    <x v="417"/>
    <x v="404"/>
    <x v="413"/>
    <x v="413"/>
    <x v="413"/>
    <x v="413"/>
    <x v="413"/>
    <x v="413"/>
    <x v="413"/>
    <x v="357"/>
    <x v="413"/>
    <x v="413"/>
    <x v="328"/>
    <x v="0"/>
    <x v="0"/>
    <x v="652"/>
    <x v="357"/>
    <x v="357"/>
    <x v="357"/>
    <x v="357"/>
    <x v="11"/>
  </r>
  <r>
    <x v="1335"/>
    <x v="881"/>
    <x v="0"/>
    <x v="0"/>
    <x v="0"/>
    <x v="0"/>
    <x v="0"/>
    <x v="0"/>
    <x v="0"/>
    <x v="0"/>
    <x v="11"/>
    <x v="0"/>
    <x v="411"/>
    <x v="1"/>
    <x v="0"/>
    <x v="0"/>
    <x v="0"/>
    <x v="1335"/>
    <x v="2"/>
    <x v="22"/>
    <x v="22"/>
    <x v="0"/>
    <x v="0"/>
    <x v="4"/>
    <x v="12"/>
    <x v="0"/>
    <x v="39"/>
    <x v="1345"/>
    <x v="9"/>
    <x v="58"/>
    <x v="1"/>
    <x v="1"/>
    <x v="1"/>
    <x v="1"/>
    <x v="282"/>
    <x v="1"/>
    <x v="39"/>
    <x v="411"/>
    <x v="411"/>
    <x v="0"/>
    <x v="411"/>
    <x v="407"/>
    <x v="406"/>
    <x v="386"/>
    <x v="406"/>
    <x v="407"/>
    <x v="407"/>
    <x v="407"/>
    <x v="407"/>
    <x v="407"/>
    <x v="407"/>
    <x v="407"/>
    <x v="411"/>
    <x v="387"/>
    <x v="387"/>
    <x v="368"/>
    <x v="0"/>
    <x v="0"/>
    <x v="673"/>
    <x v="411"/>
    <x v="411"/>
    <x v="411"/>
    <x v="411"/>
    <x v="11"/>
  </r>
  <r>
    <x v="1336"/>
    <x v="904"/>
    <x v="0"/>
    <x v="0"/>
    <x v="0"/>
    <x v="0"/>
    <x v="0"/>
    <x v="1"/>
    <x v="0"/>
    <x v="0"/>
    <x v="11"/>
    <x v="0"/>
    <x v="330"/>
    <x v="1"/>
    <x v="0"/>
    <x v="0"/>
    <x v="0"/>
    <x v="1336"/>
    <x v="1"/>
    <x v="22"/>
    <x v="22"/>
    <x v="0"/>
    <x v="0"/>
    <x v="4"/>
    <x v="84"/>
    <x v="0"/>
    <x v="35"/>
    <x v="1358"/>
    <x v="10"/>
    <x v="68"/>
    <x v="1"/>
    <x v="2"/>
    <x v="2"/>
    <x v="1"/>
    <x v="497"/>
    <x v="2"/>
    <x v="35"/>
    <x v="330"/>
    <x v="330"/>
    <x v="0"/>
    <x v="330"/>
    <x v="374"/>
    <x v="374"/>
    <x v="369"/>
    <x v="374"/>
    <x v="374"/>
    <x v="374"/>
    <x v="374"/>
    <x v="374"/>
    <x v="374"/>
    <x v="374"/>
    <x v="374"/>
    <x v="330"/>
    <x v="365"/>
    <x v="365"/>
    <x v="297"/>
    <x v="0"/>
    <x v="0"/>
    <x v="590"/>
    <x v="330"/>
    <x v="330"/>
    <x v="330"/>
    <x v="330"/>
    <x v="11"/>
  </r>
  <r>
    <x v="1337"/>
    <x v="896"/>
    <x v="0"/>
    <x v="0"/>
    <x v="0"/>
    <x v="0"/>
    <x v="0"/>
    <x v="0"/>
    <x v="0"/>
    <x v="0"/>
    <x v="11"/>
    <x v="0"/>
    <x v="239"/>
    <x v="1"/>
    <x v="0"/>
    <x v="0"/>
    <x v="0"/>
    <x v="1337"/>
    <x v="2"/>
    <x v="22"/>
    <x v="22"/>
    <x v="0"/>
    <x v="0"/>
    <x v="4"/>
    <x v="12"/>
    <x v="0"/>
    <x v="38"/>
    <x v="1335"/>
    <x v="9"/>
    <x v="58"/>
    <x v="1"/>
    <x v="1"/>
    <x v="1"/>
    <x v="1"/>
    <x v="149"/>
    <x v="1"/>
    <x v="38"/>
    <x v="239"/>
    <x v="239"/>
    <x v="0"/>
    <x v="239"/>
    <x v="245"/>
    <x v="243"/>
    <x v="239"/>
    <x v="243"/>
    <x v="245"/>
    <x v="245"/>
    <x v="245"/>
    <x v="245"/>
    <x v="245"/>
    <x v="245"/>
    <x v="245"/>
    <x v="239"/>
    <x v="238"/>
    <x v="238"/>
    <x v="208"/>
    <x v="0"/>
    <x v="0"/>
    <x v="353"/>
    <x v="239"/>
    <x v="239"/>
    <x v="239"/>
    <x v="239"/>
    <x v="11"/>
  </r>
  <r>
    <x v="1338"/>
    <x v="884"/>
    <x v="0"/>
    <x v="0"/>
    <x v="0"/>
    <x v="0"/>
    <x v="0"/>
    <x v="1"/>
    <x v="0"/>
    <x v="0"/>
    <x v="11"/>
    <x v="0"/>
    <x v="518"/>
    <x v="1"/>
    <x v="0"/>
    <x v="0"/>
    <x v="0"/>
    <x v="1338"/>
    <x v="1"/>
    <x v="22"/>
    <x v="22"/>
    <x v="0"/>
    <x v="0"/>
    <x v="4"/>
    <x v="79"/>
    <x v="0"/>
    <x v="36"/>
    <x v="1323"/>
    <x v="10"/>
    <x v="68"/>
    <x v="1"/>
    <x v="2"/>
    <x v="2"/>
    <x v="1"/>
    <x v="692"/>
    <x v="2"/>
    <x v="36"/>
    <x v="518"/>
    <x v="518"/>
    <x v="0"/>
    <x v="518"/>
    <x v="627"/>
    <x v="617"/>
    <x v="619"/>
    <x v="617"/>
    <x v="627"/>
    <x v="627"/>
    <x v="627"/>
    <x v="627"/>
    <x v="627"/>
    <x v="627"/>
    <x v="627"/>
    <x v="518"/>
    <x v="615"/>
    <x v="615"/>
    <x v="477"/>
    <x v="0"/>
    <x v="0"/>
    <x v="862"/>
    <x v="518"/>
    <x v="518"/>
    <x v="518"/>
    <x v="518"/>
    <x v="11"/>
  </r>
  <r>
    <x v="1339"/>
    <x v="908"/>
    <x v="0"/>
    <x v="0"/>
    <x v="0"/>
    <x v="0"/>
    <x v="0"/>
    <x v="0"/>
    <x v="0"/>
    <x v="0"/>
    <x v="11"/>
    <x v="0"/>
    <x v="1198"/>
    <x v="1"/>
    <x v="0"/>
    <x v="0"/>
    <x v="0"/>
    <x v="1339"/>
    <x v="2"/>
    <x v="22"/>
    <x v="22"/>
    <x v="0"/>
    <x v="0"/>
    <x v="4"/>
    <x v="12"/>
    <x v="0"/>
    <x v="37"/>
    <x v="1320"/>
    <x v="9"/>
    <x v="58"/>
    <x v="1"/>
    <x v="1"/>
    <x v="1"/>
    <x v="1"/>
    <x v="981"/>
    <x v="1"/>
    <x v="37"/>
    <x v="1196"/>
    <x v="1196"/>
    <x v="2"/>
    <x v="1196"/>
    <x v="1215"/>
    <x v="1212"/>
    <x v="1203"/>
    <x v="1212"/>
    <x v="1215"/>
    <x v="1215"/>
    <x v="1215"/>
    <x v="1215"/>
    <x v="1215"/>
    <x v="1215"/>
    <x v="1215"/>
    <x v="1196"/>
    <x v="1202"/>
    <x v="1202"/>
    <x v="1125"/>
    <x v="0"/>
    <x v="0"/>
    <x v="1315"/>
    <x v="1196"/>
    <x v="1196"/>
    <x v="1196"/>
    <x v="1196"/>
    <x v="11"/>
  </r>
  <r>
    <x v="1340"/>
    <x v="903"/>
    <x v="0"/>
    <x v="0"/>
    <x v="0"/>
    <x v="0"/>
    <x v="0"/>
    <x v="0"/>
    <x v="0"/>
    <x v="0"/>
    <x v="11"/>
    <x v="0"/>
    <x v="976"/>
    <x v="1"/>
    <x v="0"/>
    <x v="0"/>
    <x v="0"/>
    <x v="1340"/>
    <x v="2"/>
    <x v="22"/>
    <x v="22"/>
    <x v="0"/>
    <x v="0"/>
    <x v="3"/>
    <x v="10"/>
    <x v="0"/>
    <x v="43"/>
    <x v="1303"/>
    <x v="9"/>
    <x v="58"/>
    <x v="1"/>
    <x v="1"/>
    <x v="1"/>
    <x v="1"/>
    <x v="733"/>
    <x v="1"/>
    <x v="43"/>
    <x v="976"/>
    <x v="976"/>
    <x v="1"/>
    <x v="976"/>
    <x v="990"/>
    <x v="988"/>
    <x v="972"/>
    <x v="988"/>
    <x v="990"/>
    <x v="990"/>
    <x v="990"/>
    <x v="990"/>
    <x v="990"/>
    <x v="990"/>
    <x v="990"/>
    <x v="976"/>
    <x v="971"/>
    <x v="971"/>
    <x v="909"/>
    <x v="0"/>
    <x v="0"/>
    <x v="1187"/>
    <x v="976"/>
    <x v="976"/>
    <x v="976"/>
    <x v="976"/>
    <x v="11"/>
  </r>
  <r>
    <x v="1341"/>
    <x v="908"/>
    <x v="0"/>
    <x v="0"/>
    <x v="0"/>
    <x v="0"/>
    <x v="0"/>
    <x v="0"/>
    <x v="0"/>
    <x v="0"/>
    <x v="11"/>
    <x v="0"/>
    <x v="404"/>
    <x v="1"/>
    <x v="0"/>
    <x v="0"/>
    <x v="0"/>
    <x v="1341"/>
    <x v="2"/>
    <x v="22"/>
    <x v="22"/>
    <x v="0"/>
    <x v="0"/>
    <x v="4"/>
    <x v="12"/>
    <x v="0"/>
    <x v="37"/>
    <x v="1319"/>
    <x v="9"/>
    <x v="58"/>
    <x v="1"/>
    <x v="1"/>
    <x v="1"/>
    <x v="1"/>
    <x v="278"/>
    <x v="1"/>
    <x v="37"/>
    <x v="404"/>
    <x v="404"/>
    <x v="0"/>
    <x v="404"/>
    <x v="401"/>
    <x v="400"/>
    <x v="380"/>
    <x v="400"/>
    <x v="401"/>
    <x v="401"/>
    <x v="401"/>
    <x v="401"/>
    <x v="401"/>
    <x v="401"/>
    <x v="401"/>
    <x v="404"/>
    <x v="379"/>
    <x v="379"/>
    <x v="360"/>
    <x v="0"/>
    <x v="0"/>
    <x v="630"/>
    <x v="404"/>
    <x v="404"/>
    <x v="404"/>
    <x v="404"/>
    <x v="11"/>
  </r>
  <r>
    <x v="1342"/>
    <x v="915"/>
    <x v="0"/>
    <x v="0"/>
    <x v="0"/>
    <x v="0"/>
    <x v="0"/>
    <x v="1"/>
    <x v="0"/>
    <x v="0"/>
    <x v="11"/>
    <x v="0"/>
    <x v="472"/>
    <x v="1"/>
    <x v="0"/>
    <x v="0"/>
    <x v="0"/>
    <x v="1342"/>
    <x v="1"/>
    <x v="22"/>
    <x v="22"/>
    <x v="0"/>
    <x v="0"/>
    <x v="4"/>
    <x v="84"/>
    <x v="0"/>
    <x v="34"/>
    <x v="1359"/>
    <x v="10"/>
    <x v="68"/>
    <x v="1"/>
    <x v="2"/>
    <x v="2"/>
    <x v="1"/>
    <x v="663"/>
    <x v="2"/>
    <x v="34"/>
    <x v="472"/>
    <x v="472"/>
    <x v="0"/>
    <x v="472"/>
    <x v="572"/>
    <x v="558"/>
    <x v="580"/>
    <x v="558"/>
    <x v="572"/>
    <x v="572"/>
    <x v="572"/>
    <x v="572"/>
    <x v="572"/>
    <x v="572"/>
    <x v="572"/>
    <x v="472"/>
    <x v="574"/>
    <x v="574"/>
    <x v="431"/>
    <x v="0"/>
    <x v="0"/>
    <x v="803"/>
    <x v="472"/>
    <x v="472"/>
    <x v="472"/>
    <x v="472"/>
    <x v="11"/>
  </r>
  <r>
    <x v="1343"/>
    <x v="916"/>
    <x v="0"/>
    <x v="0"/>
    <x v="0"/>
    <x v="0"/>
    <x v="0"/>
    <x v="0"/>
    <x v="0"/>
    <x v="0"/>
    <x v="11"/>
    <x v="0"/>
    <x v="1223"/>
    <x v="1"/>
    <x v="0"/>
    <x v="0"/>
    <x v="0"/>
    <x v="1343"/>
    <x v="2"/>
    <x v="22"/>
    <x v="22"/>
    <x v="0"/>
    <x v="0"/>
    <x v="4"/>
    <x v="128"/>
    <x v="0"/>
    <x v="37"/>
    <x v="1305"/>
    <x v="9"/>
    <x v="58"/>
    <x v="1"/>
    <x v="1"/>
    <x v="1"/>
    <x v="1"/>
    <x v="1015"/>
    <x v="1"/>
    <x v="37"/>
    <x v="1221"/>
    <x v="1221"/>
    <x v="2"/>
    <x v="1221"/>
    <x v="1243"/>
    <x v="1235"/>
    <x v="1231"/>
    <x v="1235"/>
    <x v="1243"/>
    <x v="1243"/>
    <x v="1243"/>
    <x v="1243"/>
    <x v="1243"/>
    <x v="1243"/>
    <x v="1243"/>
    <x v="1221"/>
    <x v="1230"/>
    <x v="1230"/>
    <x v="1148"/>
    <x v="0"/>
    <x v="0"/>
    <x v="1333"/>
    <x v="1221"/>
    <x v="1221"/>
    <x v="1221"/>
    <x v="1221"/>
    <x v="11"/>
  </r>
  <r>
    <x v="1344"/>
    <x v="906"/>
    <x v="0"/>
    <x v="0"/>
    <x v="0"/>
    <x v="0"/>
    <x v="0"/>
    <x v="1"/>
    <x v="0"/>
    <x v="0"/>
    <x v="11"/>
    <x v="0"/>
    <x v="504"/>
    <x v="1"/>
    <x v="0"/>
    <x v="0"/>
    <x v="0"/>
    <x v="1344"/>
    <x v="1"/>
    <x v="22"/>
    <x v="22"/>
    <x v="0"/>
    <x v="0"/>
    <x v="4"/>
    <x v="79"/>
    <x v="0"/>
    <x v="35"/>
    <x v="1363"/>
    <x v="10"/>
    <x v="68"/>
    <x v="1"/>
    <x v="2"/>
    <x v="2"/>
    <x v="1"/>
    <x v="683"/>
    <x v="2"/>
    <x v="35"/>
    <x v="504"/>
    <x v="504"/>
    <x v="0"/>
    <x v="504"/>
    <x v="610"/>
    <x v="603"/>
    <x v="608"/>
    <x v="603"/>
    <x v="610"/>
    <x v="610"/>
    <x v="610"/>
    <x v="610"/>
    <x v="610"/>
    <x v="610"/>
    <x v="610"/>
    <x v="504"/>
    <x v="604"/>
    <x v="604"/>
    <x v="457"/>
    <x v="0"/>
    <x v="0"/>
    <x v="840"/>
    <x v="504"/>
    <x v="504"/>
    <x v="504"/>
    <x v="504"/>
    <x v="11"/>
  </r>
  <r>
    <x v="1345"/>
    <x v="908"/>
    <x v="0"/>
    <x v="0"/>
    <x v="0"/>
    <x v="0"/>
    <x v="0"/>
    <x v="0"/>
    <x v="0"/>
    <x v="0"/>
    <x v="11"/>
    <x v="0"/>
    <x v="390"/>
    <x v="1"/>
    <x v="0"/>
    <x v="0"/>
    <x v="0"/>
    <x v="1345"/>
    <x v="2"/>
    <x v="22"/>
    <x v="22"/>
    <x v="0"/>
    <x v="0"/>
    <x v="4"/>
    <x v="12"/>
    <x v="0"/>
    <x v="37"/>
    <x v="1318"/>
    <x v="9"/>
    <x v="58"/>
    <x v="1"/>
    <x v="1"/>
    <x v="1"/>
    <x v="1"/>
    <x v="269"/>
    <x v="1"/>
    <x v="37"/>
    <x v="390"/>
    <x v="390"/>
    <x v="0"/>
    <x v="390"/>
    <x v="387"/>
    <x v="388"/>
    <x v="364"/>
    <x v="388"/>
    <x v="387"/>
    <x v="387"/>
    <x v="387"/>
    <x v="387"/>
    <x v="387"/>
    <x v="387"/>
    <x v="387"/>
    <x v="390"/>
    <x v="364"/>
    <x v="364"/>
    <x v="349"/>
    <x v="0"/>
    <x v="0"/>
    <x v="606"/>
    <x v="390"/>
    <x v="390"/>
    <x v="390"/>
    <x v="390"/>
    <x v="11"/>
  </r>
  <r>
    <x v="1346"/>
    <x v="903"/>
    <x v="0"/>
    <x v="0"/>
    <x v="0"/>
    <x v="0"/>
    <x v="0"/>
    <x v="0"/>
    <x v="0"/>
    <x v="0"/>
    <x v="11"/>
    <x v="0"/>
    <x v="766"/>
    <x v="1"/>
    <x v="0"/>
    <x v="0"/>
    <x v="0"/>
    <x v="1346"/>
    <x v="2"/>
    <x v="22"/>
    <x v="22"/>
    <x v="0"/>
    <x v="0"/>
    <x v="3"/>
    <x v="10"/>
    <x v="0"/>
    <x v="43"/>
    <x v="1302"/>
    <x v="9"/>
    <x v="58"/>
    <x v="1"/>
    <x v="1"/>
    <x v="1"/>
    <x v="1"/>
    <x v="511"/>
    <x v="1"/>
    <x v="43"/>
    <x v="766"/>
    <x v="766"/>
    <x v="1"/>
    <x v="766"/>
    <x v="752"/>
    <x v="761"/>
    <x v="713"/>
    <x v="761"/>
    <x v="752"/>
    <x v="752"/>
    <x v="752"/>
    <x v="752"/>
    <x v="752"/>
    <x v="752"/>
    <x v="752"/>
    <x v="766"/>
    <x v="716"/>
    <x v="716"/>
    <x v="703"/>
    <x v="0"/>
    <x v="0"/>
    <x v="985"/>
    <x v="766"/>
    <x v="766"/>
    <x v="766"/>
    <x v="766"/>
    <x v="11"/>
  </r>
  <r>
    <x v="1347"/>
    <x v="927"/>
    <x v="0"/>
    <x v="0"/>
    <x v="0"/>
    <x v="0"/>
    <x v="0"/>
    <x v="1"/>
    <x v="0"/>
    <x v="0"/>
    <x v="11"/>
    <x v="0"/>
    <x v="429"/>
    <x v="1"/>
    <x v="0"/>
    <x v="0"/>
    <x v="0"/>
    <x v="1347"/>
    <x v="1"/>
    <x v="22"/>
    <x v="22"/>
    <x v="0"/>
    <x v="0"/>
    <x v="4"/>
    <x v="4"/>
    <x v="0"/>
    <x v="35"/>
    <x v="1360"/>
    <x v="10"/>
    <x v="68"/>
    <x v="1"/>
    <x v="2"/>
    <x v="2"/>
    <x v="1"/>
    <x v="627"/>
    <x v="2"/>
    <x v="35"/>
    <x v="429"/>
    <x v="429"/>
    <x v="0"/>
    <x v="429"/>
    <x v="503"/>
    <x v="491"/>
    <x v="518"/>
    <x v="491"/>
    <x v="503"/>
    <x v="503"/>
    <x v="503"/>
    <x v="503"/>
    <x v="503"/>
    <x v="503"/>
    <x v="503"/>
    <x v="429"/>
    <x v="510"/>
    <x v="510"/>
    <x v="391"/>
    <x v="0"/>
    <x v="0"/>
    <x v="765"/>
    <x v="429"/>
    <x v="429"/>
    <x v="429"/>
    <x v="429"/>
    <x v="11"/>
  </r>
  <r>
    <x v="1348"/>
    <x v="929"/>
    <x v="0"/>
    <x v="0"/>
    <x v="0"/>
    <x v="0"/>
    <x v="0"/>
    <x v="0"/>
    <x v="0"/>
    <x v="0"/>
    <x v="11"/>
    <x v="0"/>
    <x v="1220"/>
    <x v="1"/>
    <x v="0"/>
    <x v="0"/>
    <x v="0"/>
    <x v="1348"/>
    <x v="2"/>
    <x v="22"/>
    <x v="22"/>
    <x v="0"/>
    <x v="0"/>
    <x v="4"/>
    <x v="6"/>
    <x v="0"/>
    <x v="36"/>
    <x v="1307"/>
    <x v="9"/>
    <x v="58"/>
    <x v="1"/>
    <x v="1"/>
    <x v="1"/>
    <x v="1"/>
    <x v="1012"/>
    <x v="1"/>
    <x v="36"/>
    <x v="1218"/>
    <x v="1218"/>
    <x v="2"/>
    <x v="1218"/>
    <x v="1240"/>
    <x v="1232"/>
    <x v="1228"/>
    <x v="1232"/>
    <x v="1240"/>
    <x v="1240"/>
    <x v="1240"/>
    <x v="1240"/>
    <x v="1240"/>
    <x v="1240"/>
    <x v="1240"/>
    <x v="1218"/>
    <x v="1227"/>
    <x v="1227"/>
    <x v="1144"/>
    <x v="0"/>
    <x v="0"/>
    <x v="1323"/>
    <x v="1218"/>
    <x v="1218"/>
    <x v="1218"/>
    <x v="1218"/>
    <x v="11"/>
  </r>
  <r>
    <x v="1349"/>
    <x v="916"/>
    <x v="0"/>
    <x v="0"/>
    <x v="0"/>
    <x v="0"/>
    <x v="0"/>
    <x v="0"/>
    <x v="0"/>
    <x v="0"/>
    <x v="11"/>
    <x v="0"/>
    <x v="435"/>
    <x v="1"/>
    <x v="0"/>
    <x v="0"/>
    <x v="0"/>
    <x v="1349"/>
    <x v="2"/>
    <x v="22"/>
    <x v="22"/>
    <x v="0"/>
    <x v="0"/>
    <x v="4"/>
    <x v="128"/>
    <x v="0"/>
    <x v="37"/>
    <x v="1304"/>
    <x v="9"/>
    <x v="58"/>
    <x v="1"/>
    <x v="1"/>
    <x v="1"/>
    <x v="1"/>
    <x v="295"/>
    <x v="1"/>
    <x v="37"/>
    <x v="435"/>
    <x v="435"/>
    <x v="0"/>
    <x v="435"/>
    <x v="422"/>
    <x v="424"/>
    <x v="408"/>
    <x v="424"/>
    <x v="422"/>
    <x v="422"/>
    <x v="422"/>
    <x v="422"/>
    <x v="422"/>
    <x v="422"/>
    <x v="422"/>
    <x v="435"/>
    <x v="408"/>
    <x v="408"/>
    <x v="385"/>
    <x v="0"/>
    <x v="0"/>
    <x v="674"/>
    <x v="435"/>
    <x v="435"/>
    <x v="435"/>
    <x v="435"/>
    <x v="11"/>
  </r>
  <r>
    <x v="1350"/>
    <x v="930"/>
    <x v="0"/>
    <x v="0"/>
    <x v="0"/>
    <x v="0"/>
    <x v="0"/>
    <x v="1"/>
    <x v="0"/>
    <x v="0"/>
    <x v="11"/>
    <x v="0"/>
    <x v="399"/>
    <x v="1"/>
    <x v="0"/>
    <x v="0"/>
    <x v="0"/>
    <x v="1350"/>
    <x v="1"/>
    <x v="22"/>
    <x v="22"/>
    <x v="0"/>
    <x v="0"/>
    <x v="4"/>
    <x v="128"/>
    <x v="0"/>
    <x v="34"/>
    <x v="1410"/>
    <x v="10"/>
    <x v="68"/>
    <x v="1"/>
    <x v="2"/>
    <x v="2"/>
    <x v="1"/>
    <x v="601"/>
    <x v="2"/>
    <x v="34"/>
    <x v="399"/>
    <x v="399"/>
    <x v="0"/>
    <x v="399"/>
    <x v="463"/>
    <x v="453"/>
    <x v="476"/>
    <x v="453"/>
    <x v="463"/>
    <x v="463"/>
    <x v="463"/>
    <x v="463"/>
    <x v="463"/>
    <x v="463"/>
    <x v="463"/>
    <x v="399"/>
    <x v="471"/>
    <x v="471"/>
    <x v="365"/>
    <x v="0"/>
    <x v="0"/>
    <x v="713"/>
    <x v="399"/>
    <x v="399"/>
    <x v="399"/>
    <x v="399"/>
    <x v="11"/>
  </r>
  <r>
    <x v="1351"/>
    <x v="952"/>
    <x v="0"/>
    <x v="0"/>
    <x v="0"/>
    <x v="0"/>
    <x v="0"/>
    <x v="2"/>
    <x v="0"/>
    <x v="0"/>
    <x v="11"/>
    <x v="0"/>
    <x v="1221"/>
    <x v="1"/>
    <x v="0"/>
    <x v="0"/>
    <x v="0"/>
    <x v="1351"/>
    <x v="1"/>
    <x v="22"/>
    <x v="22"/>
    <x v="0"/>
    <x v="0"/>
    <x v="5"/>
    <x v="128"/>
    <x v="0"/>
    <x v="38"/>
    <x v="1321"/>
    <x v="1"/>
    <x v="10"/>
    <x v="1"/>
    <x v="3"/>
    <x v="2"/>
    <x v="1"/>
    <x v="1287"/>
    <x v="3"/>
    <x v="38"/>
    <x v="1219"/>
    <x v="1219"/>
    <x v="2"/>
    <x v="1219"/>
    <x v="1291"/>
    <x v="1270"/>
    <x v="1302"/>
    <x v="1270"/>
    <x v="1291"/>
    <x v="1291"/>
    <x v="1291"/>
    <x v="1291"/>
    <x v="1291"/>
    <x v="1291"/>
    <x v="1291"/>
    <x v="1219"/>
    <x v="1298"/>
    <x v="1298"/>
    <x v="1155"/>
    <x v="0"/>
    <x v="0"/>
    <x v="1377"/>
    <x v="1219"/>
    <x v="1219"/>
    <x v="1219"/>
    <x v="1219"/>
    <x v="11"/>
  </r>
  <r>
    <x v="1352"/>
    <x v="925"/>
    <x v="0"/>
    <x v="0"/>
    <x v="0"/>
    <x v="0"/>
    <x v="0"/>
    <x v="0"/>
    <x v="0"/>
    <x v="0"/>
    <x v="11"/>
    <x v="0"/>
    <x v="890"/>
    <x v="1"/>
    <x v="0"/>
    <x v="0"/>
    <x v="0"/>
    <x v="1352"/>
    <x v="2"/>
    <x v="22"/>
    <x v="22"/>
    <x v="0"/>
    <x v="0"/>
    <x v="3"/>
    <x v="8"/>
    <x v="0"/>
    <x v="45"/>
    <x v="1352"/>
    <x v="9"/>
    <x v="58"/>
    <x v="1"/>
    <x v="1"/>
    <x v="1"/>
    <x v="1"/>
    <x v="636"/>
    <x v="1"/>
    <x v="45"/>
    <x v="890"/>
    <x v="890"/>
    <x v="1"/>
    <x v="890"/>
    <x v="900"/>
    <x v="894"/>
    <x v="886"/>
    <x v="894"/>
    <x v="900"/>
    <x v="900"/>
    <x v="900"/>
    <x v="900"/>
    <x v="900"/>
    <x v="900"/>
    <x v="900"/>
    <x v="890"/>
    <x v="885"/>
    <x v="885"/>
    <x v="825"/>
    <x v="0"/>
    <x v="0"/>
    <x v="1134"/>
    <x v="890"/>
    <x v="890"/>
    <x v="890"/>
    <x v="890"/>
    <x v="11"/>
  </r>
  <r>
    <x v="1353"/>
    <x v="918"/>
    <x v="0"/>
    <x v="0"/>
    <x v="0"/>
    <x v="0"/>
    <x v="0"/>
    <x v="0"/>
    <x v="0"/>
    <x v="0"/>
    <x v="11"/>
    <x v="0"/>
    <x v="675"/>
    <x v="1"/>
    <x v="0"/>
    <x v="0"/>
    <x v="0"/>
    <x v="1353"/>
    <x v="2"/>
    <x v="22"/>
    <x v="22"/>
    <x v="0"/>
    <x v="0"/>
    <x v="3"/>
    <x v="8"/>
    <x v="0"/>
    <x v="44"/>
    <x v="1309"/>
    <x v="9"/>
    <x v="58"/>
    <x v="1"/>
    <x v="1"/>
    <x v="1"/>
    <x v="1"/>
    <x v="439"/>
    <x v="1"/>
    <x v="44"/>
    <x v="675"/>
    <x v="675"/>
    <x v="1"/>
    <x v="675"/>
    <x v="611"/>
    <x v="623"/>
    <x v="578"/>
    <x v="623"/>
    <x v="611"/>
    <x v="611"/>
    <x v="611"/>
    <x v="611"/>
    <x v="611"/>
    <x v="611"/>
    <x v="611"/>
    <x v="675"/>
    <x v="581"/>
    <x v="581"/>
    <x v="604"/>
    <x v="0"/>
    <x v="0"/>
    <x v="915"/>
    <x v="675"/>
    <x v="675"/>
    <x v="675"/>
    <x v="675"/>
    <x v="11"/>
  </r>
  <r>
    <x v="1354"/>
    <x v="939"/>
    <x v="0"/>
    <x v="0"/>
    <x v="0"/>
    <x v="0"/>
    <x v="0"/>
    <x v="0"/>
    <x v="0"/>
    <x v="0"/>
    <x v="11"/>
    <x v="0"/>
    <x v="1222"/>
    <x v="1"/>
    <x v="0"/>
    <x v="0"/>
    <x v="0"/>
    <x v="1354"/>
    <x v="2"/>
    <x v="22"/>
    <x v="22"/>
    <x v="0"/>
    <x v="0"/>
    <x v="4"/>
    <x v="6"/>
    <x v="0"/>
    <x v="37"/>
    <x v="1324"/>
    <x v="9"/>
    <x v="58"/>
    <x v="1"/>
    <x v="1"/>
    <x v="1"/>
    <x v="1"/>
    <x v="1013"/>
    <x v="1"/>
    <x v="37"/>
    <x v="1220"/>
    <x v="1220"/>
    <x v="2"/>
    <x v="1220"/>
    <x v="1242"/>
    <x v="1234"/>
    <x v="1230"/>
    <x v="1234"/>
    <x v="1242"/>
    <x v="1242"/>
    <x v="1242"/>
    <x v="1242"/>
    <x v="1242"/>
    <x v="1242"/>
    <x v="1242"/>
    <x v="1220"/>
    <x v="1229"/>
    <x v="1229"/>
    <x v="1147"/>
    <x v="0"/>
    <x v="0"/>
    <x v="1331"/>
    <x v="1220"/>
    <x v="1220"/>
    <x v="1220"/>
    <x v="1220"/>
    <x v="11"/>
  </r>
  <r>
    <x v="1355"/>
    <x v="929"/>
    <x v="0"/>
    <x v="0"/>
    <x v="0"/>
    <x v="0"/>
    <x v="0"/>
    <x v="0"/>
    <x v="0"/>
    <x v="0"/>
    <x v="11"/>
    <x v="0"/>
    <x v="403"/>
    <x v="1"/>
    <x v="0"/>
    <x v="0"/>
    <x v="0"/>
    <x v="1355"/>
    <x v="2"/>
    <x v="22"/>
    <x v="22"/>
    <x v="0"/>
    <x v="0"/>
    <x v="4"/>
    <x v="6"/>
    <x v="0"/>
    <x v="36"/>
    <x v="1306"/>
    <x v="9"/>
    <x v="58"/>
    <x v="1"/>
    <x v="1"/>
    <x v="1"/>
    <x v="1"/>
    <x v="277"/>
    <x v="1"/>
    <x v="36"/>
    <x v="403"/>
    <x v="403"/>
    <x v="0"/>
    <x v="403"/>
    <x v="400"/>
    <x v="399"/>
    <x v="379"/>
    <x v="399"/>
    <x v="400"/>
    <x v="400"/>
    <x v="400"/>
    <x v="400"/>
    <x v="400"/>
    <x v="400"/>
    <x v="400"/>
    <x v="403"/>
    <x v="378"/>
    <x v="378"/>
    <x v="359"/>
    <x v="0"/>
    <x v="0"/>
    <x v="613"/>
    <x v="403"/>
    <x v="403"/>
    <x v="403"/>
    <x v="403"/>
    <x v="11"/>
  </r>
  <r>
    <x v="1356"/>
    <x v="944"/>
    <x v="0"/>
    <x v="0"/>
    <x v="0"/>
    <x v="0"/>
    <x v="0"/>
    <x v="1"/>
    <x v="0"/>
    <x v="0"/>
    <x v="11"/>
    <x v="0"/>
    <x v="769"/>
    <x v="1"/>
    <x v="0"/>
    <x v="0"/>
    <x v="0"/>
    <x v="1356"/>
    <x v="1"/>
    <x v="22"/>
    <x v="22"/>
    <x v="0"/>
    <x v="0"/>
    <x v="4"/>
    <x v="128"/>
    <x v="0"/>
    <x v="34"/>
    <x v="1362"/>
    <x v="10"/>
    <x v="68"/>
    <x v="1"/>
    <x v="2"/>
    <x v="2"/>
    <x v="1"/>
    <x v="855"/>
    <x v="2"/>
    <x v="34"/>
    <x v="769"/>
    <x v="769"/>
    <x v="1"/>
    <x v="769"/>
    <x v="850"/>
    <x v="837"/>
    <x v="847"/>
    <x v="837"/>
    <x v="850"/>
    <x v="850"/>
    <x v="850"/>
    <x v="850"/>
    <x v="850"/>
    <x v="850"/>
    <x v="850"/>
    <x v="769"/>
    <x v="840"/>
    <x v="840"/>
    <x v="717"/>
    <x v="0"/>
    <x v="0"/>
    <x v="1005"/>
    <x v="769"/>
    <x v="769"/>
    <x v="769"/>
    <x v="769"/>
    <x v="11"/>
  </r>
  <r>
    <x v="1357"/>
    <x v="940"/>
    <x v="0"/>
    <x v="0"/>
    <x v="0"/>
    <x v="0"/>
    <x v="0"/>
    <x v="0"/>
    <x v="0"/>
    <x v="0"/>
    <x v="11"/>
    <x v="0"/>
    <x v="902"/>
    <x v="1"/>
    <x v="0"/>
    <x v="0"/>
    <x v="0"/>
    <x v="1357"/>
    <x v="2"/>
    <x v="22"/>
    <x v="22"/>
    <x v="0"/>
    <x v="0"/>
    <x v="3"/>
    <x v="8"/>
    <x v="0"/>
    <x v="41"/>
    <x v="1353"/>
    <x v="9"/>
    <x v="58"/>
    <x v="1"/>
    <x v="1"/>
    <x v="1"/>
    <x v="1"/>
    <x v="646"/>
    <x v="1"/>
    <x v="41"/>
    <x v="902"/>
    <x v="902"/>
    <x v="1"/>
    <x v="902"/>
    <x v="911"/>
    <x v="905"/>
    <x v="897"/>
    <x v="905"/>
    <x v="911"/>
    <x v="911"/>
    <x v="911"/>
    <x v="911"/>
    <x v="911"/>
    <x v="911"/>
    <x v="911"/>
    <x v="902"/>
    <x v="895"/>
    <x v="895"/>
    <x v="834"/>
    <x v="0"/>
    <x v="0"/>
    <x v="1101"/>
    <x v="902"/>
    <x v="902"/>
    <x v="902"/>
    <x v="902"/>
    <x v="11"/>
  </r>
  <r>
    <x v="1358"/>
    <x v="957"/>
    <x v="0"/>
    <x v="0"/>
    <x v="0"/>
    <x v="0"/>
    <x v="0"/>
    <x v="1"/>
    <x v="0"/>
    <x v="0"/>
    <x v="11"/>
    <x v="0"/>
    <x v="516"/>
    <x v="1"/>
    <x v="0"/>
    <x v="0"/>
    <x v="0"/>
    <x v="1358"/>
    <x v="1"/>
    <x v="22"/>
    <x v="22"/>
    <x v="0"/>
    <x v="0"/>
    <x v="4"/>
    <x v="6"/>
    <x v="0"/>
    <x v="36"/>
    <x v="1354"/>
    <x v="10"/>
    <x v="68"/>
    <x v="1"/>
    <x v="2"/>
    <x v="2"/>
    <x v="1"/>
    <x v="690"/>
    <x v="2"/>
    <x v="36"/>
    <x v="516"/>
    <x v="516"/>
    <x v="0"/>
    <x v="516"/>
    <x v="625"/>
    <x v="616"/>
    <x v="618"/>
    <x v="616"/>
    <x v="625"/>
    <x v="625"/>
    <x v="625"/>
    <x v="625"/>
    <x v="625"/>
    <x v="625"/>
    <x v="625"/>
    <x v="516"/>
    <x v="611"/>
    <x v="611"/>
    <x v="476"/>
    <x v="0"/>
    <x v="0"/>
    <x v="861"/>
    <x v="516"/>
    <x v="516"/>
    <x v="516"/>
    <x v="516"/>
    <x v="11"/>
  </r>
  <r>
    <x v="1359"/>
    <x v="944"/>
    <x v="0"/>
    <x v="0"/>
    <x v="0"/>
    <x v="0"/>
    <x v="0"/>
    <x v="0"/>
    <x v="0"/>
    <x v="0"/>
    <x v="11"/>
    <x v="0"/>
    <x v="966"/>
    <x v="1"/>
    <x v="0"/>
    <x v="0"/>
    <x v="0"/>
    <x v="1359"/>
    <x v="2"/>
    <x v="22"/>
    <x v="22"/>
    <x v="0"/>
    <x v="0"/>
    <x v="4"/>
    <x v="128"/>
    <x v="0"/>
    <x v="34"/>
    <x v="1361"/>
    <x v="9"/>
    <x v="58"/>
    <x v="1"/>
    <x v="1"/>
    <x v="1"/>
    <x v="1"/>
    <x v="723"/>
    <x v="1"/>
    <x v="34"/>
    <x v="966"/>
    <x v="966"/>
    <x v="1"/>
    <x v="966"/>
    <x v="980"/>
    <x v="979"/>
    <x v="964"/>
    <x v="979"/>
    <x v="980"/>
    <x v="980"/>
    <x v="980"/>
    <x v="980"/>
    <x v="980"/>
    <x v="980"/>
    <x v="980"/>
    <x v="966"/>
    <x v="962"/>
    <x v="962"/>
    <x v="901"/>
    <x v="0"/>
    <x v="0"/>
    <x v="1109"/>
    <x v="966"/>
    <x v="966"/>
    <x v="966"/>
    <x v="966"/>
    <x v="11"/>
  </r>
  <r>
    <x v="1360"/>
    <x v="945"/>
    <x v="0"/>
    <x v="0"/>
    <x v="0"/>
    <x v="0"/>
    <x v="0"/>
    <x v="0"/>
    <x v="0"/>
    <x v="0"/>
    <x v="11"/>
    <x v="0"/>
    <x v="975"/>
    <x v="1"/>
    <x v="0"/>
    <x v="0"/>
    <x v="0"/>
    <x v="1360"/>
    <x v="2"/>
    <x v="22"/>
    <x v="22"/>
    <x v="0"/>
    <x v="0"/>
    <x v="4"/>
    <x v="6"/>
    <x v="0"/>
    <x v="37"/>
    <x v="1351"/>
    <x v="9"/>
    <x v="58"/>
    <x v="1"/>
    <x v="1"/>
    <x v="1"/>
    <x v="1"/>
    <x v="732"/>
    <x v="1"/>
    <x v="37"/>
    <x v="975"/>
    <x v="975"/>
    <x v="1"/>
    <x v="975"/>
    <x v="988"/>
    <x v="987"/>
    <x v="971"/>
    <x v="987"/>
    <x v="988"/>
    <x v="988"/>
    <x v="988"/>
    <x v="988"/>
    <x v="988"/>
    <x v="988"/>
    <x v="988"/>
    <x v="975"/>
    <x v="970"/>
    <x v="970"/>
    <x v="908"/>
    <x v="0"/>
    <x v="0"/>
    <x v="1152"/>
    <x v="975"/>
    <x v="975"/>
    <x v="975"/>
    <x v="975"/>
    <x v="11"/>
  </r>
  <r>
    <x v="1361"/>
    <x v="952"/>
    <x v="0"/>
    <x v="0"/>
    <x v="0"/>
    <x v="0"/>
    <x v="1"/>
    <x v="5"/>
    <x v="0"/>
    <x v="0"/>
    <x v="11"/>
    <x v="0"/>
    <x v="20"/>
    <x v="1"/>
    <x v="0"/>
    <x v="0"/>
    <x v="0"/>
    <x v="1361"/>
    <x v="1"/>
    <x v="22"/>
    <x v="22"/>
    <x v="0"/>
    <x v="0"/>
    <x v="5"/>
    <x v="128"/>
    <x v="0"/>
    <x v="38"/>
    <x v="1322"/>
    <x v="3"/>
    <x v="33"/>
    <x v="1"/>
    <x v="6"/>
    <x v="3"/>
    <x v="1"/>
    <x v="158"/>
    <x v="6"/>
    <x v="38"/>
    <x v="21"/>
    <x v="21"/>
    <x v="0"/>
    <x v="21"/>
    <x v="27"/>
    <x v="24"/>
    <x v="29"/>
    <x v="24"/>
    <x v="27"/>
    <x v="27"/>
    <x v="27"/>
    <x v="27"/>
    <x v="27"/>
    <x v="27"/>
    <x v="27"/>
    <x v="21"/>
    <x v="30"/>
    <x v="30"/>
    <x v="0"/>
    <x v="3"/>
    <x v="0"/>
    <x v="60"/>
    <x v="21"/>
    <x v="21"/>
    <x v="21"/>
    <x v="21"/>
    <x v="11"/>
  </r>
  <r>
    <x v="1362"/>
    <x v="968"/>
    <x v="0"/>
    <x v="0"/>
    <x v="0"/>
    <x v="0"/>
    <x v="0"/>
    <x v="1"/>
    <x v="0"/>
    <x v="0"/>
    <x v="11"/>
    <x v="0"/>
    <x v="627"/>
    <x v="1"/>
    <x v="0"/>
    <x v="0"/>
    <x v="0"/>
    <x v="1362"/>
    <x v="1"/>
    <x v="22"/>
    <x v="22"/>
    <x v="0"/>
    <x v="0"/>
    <x v="4"/>
    <x v="6"/>
    <x v="0"/>
    <x v="34"/>
    <x v="1364"/>
    <x v="10"/>
    <x v="68"/>
    <x v="1"/>
    <x v="2"/>
    <x v="2"/>
    <x v="1"/>
    <x v="752"/>
    <x v="2"/>
    <x v="34"/>
    <x v="627"/>
    <x v="627"/>
    <x v="0"/>
    <x v="627"/>
    <x v="708"/>
    <x v="708"/>
    <x v="704"/>
    <x v="708"/>
    <x v="708"/>
    <x v="708"/>
    <x v="708"/>
    <x v="708"/>
    <x v="708"/>
    <x v="708"/>
    <x v="708"/>
    <x v="627"/>
    <x v="702"/>
    <x v="702"/>
    <x v="582"/>
    <x v="0"/>
    <x v="0"/>
    <x v="890"/>
    <x v="627"/>
    <x v="627"/>
    <x v="627"/>
    <x v="627"/>
    <x v="11"/>
  </r>
  <r>
    <x v="1363"/>
    <x v="963"/>
    <x v="0"/>
    <x v="0"/>
    <x v="0"/>
    <x v="0"/>
    <x v="1"/>
    <x v="5"/>
    <x v="0"/>
    <x v="0"/>
    <x v="11"/>
    <x v="0"/>
    <x v="961"/>
    <x v="1"/>
    <x v="0"/>
    <x v="0"/>
    <x v="0"/>
    <x v="1363"/>
    <x v="1"/>
    <x v="22"/>
    <x v="22"/>
    <x v="0"/>
    <x v="0"/>
    <x v="4"/>
    <x v="128"/>
    <x v="0"/>
    <x v="38"/>
    <x v="1373"/>
    <x v="3"/>
    <x v="33"/>
    <x v="1"/>
    <x v="6"/>
    <x v="3"/>
    <x v="1"/>
    <x v="1360"/>
    <x v="6"/>
    <x v="38"/>
    <x v="961"/>
    <x v="961"/>
    <x v="1"/>
    <x v="961"/>
    <x v="1116"/>
    <x v="1067"/>
    <x v="1177"/>
    <x v="1067"/>
    <x v="1116"/>
    <x v="1116"/>
    <x v="1116"/>
    <x v="1116"/>
    <x v="1116"/>
    <x v="1116"/>
    <x v="1116"/>
    <x v="961"/>
    <x v="1183"/>
    <x v="1183"/>
    <x v="0"/>
    <x v="101"/>
    <x v="0"/>
    <x v="1308"/>
    <x v="961"/>
    <x v="961"/>
    <x v="961"/>
    <x v="961"/>
    <x v="11"/>
  </r>
  <r>
    <x v="1364"/>
    <x v="963"/>
    <x v="0"/>
    <x v="0"/>
    <x v="0"/>
    <x v="0"/>
    <x v="1"/>
    <x v="4"/>
    <x v="0"/>
    <x v="0"/>
    <x v="11"/>
    <x v="0"/>
    <x v="953"/>
    <x v="1"/>
    <x v="0"/>
    <x v="0"/>
    <x v="0"/>
    <x v="1364"/>
    <x v="1"/>
    <x v="22"/>
    <x v="22"/>
    <x v="0"/>
    <x v="0"/>
    <x v="4"/>
    <x v="128"/>
    <x v="0"/>
    <x v="38"/>
    <x v="1374"/>
    <x v="2"/>
    <x v="24"/>
    <x v="1"/>
    <x v="5"/>
    <x v="2"/>
    <x v="1"/>
    <x v="1302"/>
    <x v="5"/>
    <x v="38"/>
    <x v="953"/>
    <x v="953"/>
    <x v="1"/>
    <x v="953"/>
    <x v="1065"/>
    <x v="1034"/>
    <x v="1099"/>
    <x v="1034"/>
    <x v="1065"/>
    <x v="1065"/>
    <x v="1065"/>
    <x v="1065"/>
    <x v="1065"/>
    <x v="1065"/>
    <x v="1065"/>
    <x v="953"/>
    <x v="1099"/>
    <x v="1099"/>
    <x v="917"/>
    <x v="0"/>
    <x v="0"/>
    <x v="1260"/>
    <x v="953"/>
    <x v="953"/>
    <x v="953"/>
    <x v="953"/>
    <x v="11"/>
  </r>
  <r>
    <x v="1365"/>
    <x v="961"/>
    <x v="0"/>
    <x v="0"/>
    <x v="0"/>
    <x v="0"/>
    <x v="1"/>
    <x v="5"/>
    <x v="0"/>
    <x v="0"/>
    <x v="11"/>
    <x v="0"/>
    <x v="19"/>
    <x v="1"/>
    <x v="0"/>
    <x v="0"/>
    <x v="0"/>
    <x v="1365"/>
    <x v="1"/>
    <x v="22"/>
    <x v="22"/>
    <x v="0"/>
    <x v="0"/>
    <x v="4"/>
    <x v="128"/>
    <x v="0"/>
    <x v="38"/>
    <x v="1326"/>
    <x v="3"/>
    <x v="33"/>
    <x v="1"/>
    <x v="6"/>
    <x v="3"/>
    <x v="1"/>
    <x v="154"/>
    <x v="6"/>
    <x v="38"/>
    <x v="20"/>
    <x v="20"/>
    <x v="0"/>
    <x v="20"/>
    <x v="26"/>
    <x v="22"/>
    <x v="27"/>
    <x v="22"/>
    <x v="26"/>
    <x v="26"/>
    <x v="26"/>
    <x v="26"/>
    <x v="26"/>
    <x v="26"/>
    <x v="26"/>
    <x v="20"/>
    <x v="28"/>
    <x v="28"/>
    <x v="0"/>
    <x v="2"/>
    <x v="0"/>
    <x v="58"/>
    <x v="20"/>
    <x v="20"/>
    <x v="20"/>
    <x v="20"/>
    <x v="11"/>
  </r>
  <r>
    <x v="1366"/>
    <x v="957"/>
    <x v="0"/>
    <x v="0"/>
    <x v="0"/>
    <x v="0"/>
    <x v="0"/>
    <x v="1"/>
    <x v="0"/>
    <x v="0"/>
    <x v="11"/>
    <x v="0"/>
    <x v="398"/>
    <x v="1"/>
    <x v="0"/>
    <x v="0"/>
    <x v="0"/>
    <x v="1366"/>
    <x v="1"/>
    <x v="22"/>
    <x v="22"/>
    <x v="0"/>
    <x v="0"/>
    <x v="4"/>
    <x v="6"/>
    <x v="0"/>
    <x v="36"/>
    <x v="1355"/>
    <x v="10"/>
    <x v="68"/>
    <x v="1"/>
    <x v="2"/>
    <x v="2"/>
    <x v="1"/>
    <x v="599"/>
    <x v="2"/>
    <x v="36"/>
    <x v="398"/>
    <x v="398"/>
    <x v="0"/>
    <x v="398"/>
    <x v="461"/>
    <x v="451"/>
    <x v="473"/>
    <x v="451"/>
    <x v="461"/>
    <x v="461"/>
    <x v="461"/>
    <x v="461"/>
    <x v="461"/>
    <x v="461"/>
    <x v="461"/>
    <x v="398"/>
    <x v="468"/>
    <x v="468"/>
    <x v="364"/>
    <x v="0"/>
    <x v="0"/>
    <x v="743"/>
    <x v="398"/>
    <x v="398"/>
    <x v="398"/>
    <x v="398"/>
    <x v="11"/>
  </r>
  <r>
    <x v="1367"/>
    <x v="936"/>
    <x v="0"/>
    <x v="0"/>
    <x v="0"/>
    <x v="0"/>
    <x v="0"/>
    <x v="0"/>
    <x v="0"/>
    <x v="0"/>
    <x v="11"/>
    <x v="0"/>
    <x v="1125"/>
    <x v="1"/>
    <x v="0"/>
    <x v="0"/>
    <x v="0"/>
    <x v="1367"/>
    <x v="2"/>
    <x v="22"/>
    <x v="22"/>
    <x v="0"/>
    <x v="0"/>
    <x v="3"/>
    <x v="8"/>
    <x v="0"/>
    <x v="44"/>
    <x v="1310"/>
    <x v="9"/>
    <x v="58"/>
    <x v="1"/>
    <x v="1"/>
    <x v="1"/>
    <x v="1"/>
    <x v="891"/>
    <x v="1"/>
    <x v="44"/>
    <x v="1123"/>
    <x v="1123"/>
    <x v="1"/>
    <x v="1123"/>
    <x v="1129"/>
    <x v="1131"/>
    <x v="1116"/>
    <x v="1131"/>
    <x v="1129"/>
    <x v="1129"/>
    <x v="1129"/>
    <x v="1129"/>
    <x v="1129"/>
    <x v="1129"/>
    <x v="1129"/>
    <x v="1123"/>
    <x v="1116"/>
    <x v="1116"/>
    <x v="1051"/>
    <x v="0"/>
    <x v="0"/>
    <x v="1298"/>
    <x v="1123"/>
    <x v="1123"/>
    <x v="1123"/>
    <x v="1123"/>
    <x v="11"/>
  </r>
  <r>
    <x v="1368"/>
    <x v="967"/>
    <x v="0"/>
    <x v="0"/>
    <x v="0"/>
    <x v="0"/>
    <x v="0"/>
    <x v="0"/>
    <x v="0"/>
    <x v="0"/>
    <x v="11"/>
    <x v="0"/>
    <x v="817"/>
    <x v="1"/>
    <x v="0"/>
    <x v="0"/>
    <x v="0"/>
    <x v="1368"/>
    <x v="2"/>
    <x v="22"/>
    <x v="22"/>
    <x v="0"/>
    <x v="0"/>
    <x v="4"/>
    <x v="6"/>
    <x v="0"/>
    <x v="37"/>
    <x v="1350"/>
    <x v="9"/>
    <x v="58"/>
    <x v="1"/>
    <x v="1"/>
    <x v="1"/>
    <x v="1"/>
    <x v="561"/>
    <x v="1"/>
    <x v="37"/>
    <x v="817"/>
    <x v="817"/>
    <x v="1"/>
    <x v="817"/>
    <x v="820"/>
    <x v="822"/>
    <x v="786"/>
    <x v="822"/>
    <x v="820"/>
    <x v="820"/>
    <x v="820"/>
    <x v="820"/>
    <x v="820"/>
    <x v="820"/>
    <x v="820"/>
    <x v="817"/>
    <x v="783"/>
    <x v="783"/>
    <x v="760"/>
    <x v="0"/>
    <x v="0"/>
    <x v="983"/>
    <x v="817"/>
    <x v="817"/>
    <x v="817"/>
    <x v="817"/>
    <x v="11"/>
  </r>
  <r>
    <x v="1369"/>
    <x v="978"/>
    <x v="0"/>
    <x v="0"/>
    <x v="0"/>
    <x v="0"/>
    <x v="1"/>
    <x v="5"/>
    <x v="0"/>
    <x v="0"/>
    <x v="11"/>
    <x v="0"/>
    <x v="867"/>
    <x v="1"/>
    <x v="0"/>
    <x v="0"/>
    <x v="0"/>
    <x v="1369"/>
    <x v="1"/>
    <x v="22"/>
    <x v="22"/>
    <x v="0"/>
    <x v="0"/>
    <x v="4"/>
    <x v="128"/>
    <x v="0"/>
    <x v="37"/>
    <x v="1330"/>
    <x v="3"/>
    <x v="33"/>
    <x v="1"/>
    <x v="6"/>
    <x v="3"/>
    <x v="1"/>
    <x v="1353"/>
    <x v="6"/>
    <x v="37"/>
    <x v="867"/>
    <x v="867"/>
    <x v="1"/>
    <x v="867"/>
    <x v="1032"/>
    <x v="969"/>
    <x v="1083"/>
    <x v="969"/>
    <x v="1032"/>
    <x v="1032"/>
    <x v="1032"/>
    <x v="1032"/>
    <x v="1032"/>
    <x v="1032"/>
    <x v="1032"/>
    <x v="867"/>
    <x v="1091"/>
    <x v="1091"/>
    <x v="0"/>
    <x v="98"/>
    <x v="0"/>
    <x v="1249"/>
    <x v="867"/>
    <x v="867"/>
    <x v="867"/>
    <x v="867"/>
    <x v="11"/>
  </r>
  <r>
    <x v="1370"/>
    <x v="953"/>
    <x v="0"/>
    <x v="0"/>
    <x v="0"/>
    <x v="0"/>
    <x v="1"/>
    <x v="4"/>
    <x v="0"/>
    <x v="0"/>
    <x v="11"/>
    <x v="0"/>
    <x v="868"/>
    <x v="1"/>
    <x v="0"/>
    <x v="0"/>
    <x v="0"/>
    <x v="1370"/>
    <x v="1"/>
    <x v="22"/>
    <x v="22"/>
    <x v="0"/>
    <x v="0"/>
    <x v="5"/>
    <x v="128"/>
    <x v="0"/>
    <x v="38"/>
    <x v="1376"/>
    <x v="2"/>
    <x v="24"/>
    <x v="1"/>
    <x v="5"/>
    <x v="2"/>
    <x v="1"/>
    <x v="1272"/>
    <x v="5"/>
    <x v="38"/>
    <x v="868"/>
    <x v="868"/>
    <x v="1"/>
    <x v="868"/>
    <x v="976"/>
    <x v="939"/>
    <x v="1020"/>
    <x v="939"/>
    <x v="976"/>
    <x v="976"/>
    <x v="976"/>
    <x v="976"/>
    <x v="976"/>
    <x v="976"/>
    <x v="976"/>
    <x v="868"/>
    <x v="1020"/>
    <x v="1020"/>
    <x v="840"/>
    <x v="0"/>
    <x v="0"/>
    <x v="1188"/>
    <x v="868"/>
    <x v="868"/>
    <x v="868"/>
    <x v="868"/>
    <x v="11"/>
  </r>
  <r>
    <x v="1371"/>
    <x v="974"/>
    <x v="0"/>
    <x v="0"/>
    <x v="0"/>
    <x v="0"/>
    <x v="1"/>
    <x v="5"/>
    <x v="0"/>
    <x v="0"/>
    <x v="11"/>
    <x v="0"/>
    <x v="550"/>
    <x v="1"/>
    <x v="0"/>
    <x v="0"/>
    <x v="0"/>
    <x v="1371"/>
    <x v="1"/>
    <x v="22"/>
    <x v="22"/>
    <x v="0"/>
    <x v="0"/>
    <x v="4"/>
    <x v="128"/>
    <x v="0"/>
    <x v="37"/>
    <x v="1327"/>
    <x v="3"/>
    <x v="33"/>
    <x v="1"/>
    <x v="6"/>
    <x v="3"/>
    <x v="1"/>
    <x v="1297"/>
    <x v="6"/>
    <x v="37"/>
    <x v="550"/>
    <x v="550"/>
    <x v="0"/>
    <x v="550"/>
    <x v="780"/>
    <x v="703"/>
    <x v="846"/>
    <x v="703"/>
    <x v="780"/>
    <x v="780"/>
    <x v="780"/>
    <x v="780"/>
    <x v="780"/>
    <x v="780"/>
    <x v="780"/>
    <x v="550"/>
    <x v="858"/>
    <x v="858"/>
    <x v="0"/>
    <x v="82"/>
    <x v="0"/>
    <x v="1033"/>
    <x v="550"/>
    <x v="550"/>
    <x v="550"/>
    <x v="550"/>
    <x v="11"/>
  </r>
  <r>
    <x v="1372"/>
    <x v="974"/>
    <x v="0"/>
    <x v="0"/>
    <x v="0"/>
    <x v="0"/>
    <x v="1"/>
    <x v="4"/>
    <x v="0"/>
    <x v="0"/>
    <x v="11"/>
    <x v="0"/>
    <x v="519"/>
    <x v="1"/>
    <x v="0"/>
    <x v="0"/>
    <x v="0"/>
    <x v="1372"/>
    <x v="1"/>
    <x v="22"/>
    <x v="22"/>
    <x v="0"/>
    <x v="0"/>
    <x v="4"/>
    <x v="128"/>
    <x v="0"/>
    <x v="37"/>
    <x v="1328"/>
    <x v="2"/>
    <x v="24"/>
    <x v="1"/>
    <x v="5"/>
    <x v="2"/>
    <x v="1"/>
    <x v="1160"/>
    <x v="5"/>
    <x v="37"/>
    <x v="519"/>
    <x v="519"/>
    <x v="0"/>
    <x v="519"/>
    <x v="668"/>
    <x v="620"/>
    <x v="727"/>
    <x v="620"/>
    <x v="668"/>
    <x v="668"/>
    <x v="668"/>
    <x v="668"/>
    <x v="668"/>
    <x v="668"/>
    <x v="668"/>
    <x v="519"/>
    <x v="728"/>
    <x v="728"/>
    <x v="524"/>
    <x v="0"/>
    <x v="0"/>
    <x v="949"/>
    <x v="519"/>
    <x v="519"/>
    <x v="519"/>
    <x v="519"/>
    <x v="11"/>
  </r>
  <r>
    <x v="1373"/>
    <x v="981"/>
    <x v="0"/>
    <x v="0"/>
    <x v="0"/>
    <x v="0"/>
    <x v="1"/>
    <x v="4"/>
    <x v="0"/>
    <x v="0"/>
    <x v="11"/>
    <x v="0"/>
    <x v="1287"/>
    <x v="1"/>
    <x v="0"/>
    <x v="0"/>
    <x v="0"/>
    <x v="1373"/>
    <x v="1"/>
    <x v="22"/>
    <x v="22"/>
    <x v="0"/>
    <x v="0"/>
    <x v="4"/>
    <x v="6"/>
    <x v="0"/>
    <x v="36"/>
    <x v="1380"/>
    <x v="2"/>
    <x v="24"/>
    <x v="1"/>
    <x v="5"/>
    <x v="2"/>
    <x v="1"/>
    <x v="1373"/>
    <x v="5"/>
    <x v="36"/>
    <x v="1285"/>
    <x v="1285"/>
    <x v="2"/>
    <x v="1285"/>
    <x v="1353"/>
    <x v="1335"/>
    <x v="1357"/>
    <x v="1335"/>
    <x v="1353"/>
    <x v="1353"/>
    <x v="1353"/>
    <x v="1353"/>
    <x v="1353"/>
    <x v="1353"/>
    <x v="1353"/>
    <x v="1285"/>
    <x v="1356"/>
    <x v="1356"/>
    <x v="1219"/>
    <x v="0"/>
    <x v="0"/>
    <x v="1403"/>
    <x v="1285"/>
    <x v="1285"/>
    <x v="1285"/>
    <x v="1285"/>
    <x v="11"/>
  </r>
  <r>
    <x v="1374"/>
    <x v="980"/>
    <x v="0"/>
    <x v="0"/>
    <x v="0"/>
    <x v="0"/>
    <x v="1"/>
    <x v="4"/>
    <x v="0"/>
    <x v="0"/>
    <x v="11"/>
    <x v="0"/>
    <x v="1246"/>
    <x v="1"/>
    <x v="0"/>
    <x v="0"/>
    <x v="0"/>
    <x v="1374"/>
    <x v="1"/>
    <x v="22"/>
    <x v="22"/>
    <x v="0"/>
    <x v="0"/>
    <x v="4"/>
    <x v="6"/>
    <x v="0"/>
    <x v="36"/>
    <x v="1381"/>
    <x v="2"/>
    <x v="24"/>
    <x v="1"/>
    <x v="5"/>
    <x v="2"/>
    <x v="1"/>
    <x v="1363"/>
    <x v="5"/>
    <x v="36"/>
    <x v="1244"/>
    <x v="1244"/>
    <x v="2"/>
    <x v="1244"/>
    <x v="1320"/>
    <x v="1299"/>
    <x v="1339"/>
    <x v="1299"/>
    <x v="1320"/>
    <x v="1320"/>
    <x v="1320"/>
    <x v="1320"/>
    <x v="1320"/>
    <x v="1320"/>
    <x v="1320"/>
    <x v="1244"/>
    <x v="1338"/>
    <x v="1338"/>
    <x v="1185"/>
    <x v="0"/>
    <x v="0"/>
    <x v="1390"/>
    <x v="1244"/>
    <x v="1244"/>
    <x v="1244"/>
    <x v="1244"/>
    <x v="11"/>
  </r>
  <r>
    <x v="1375"/>
    <x v="972"/>
    <x v="0"/>
    <x v="0"/>
    <x v="0"/>
    <x v="0"/>
    <x v="0"/>
    <x v="1"/>
    <x v="0"/>
    <x v="0"/>
    <x v="11"/>
    <x v="0"/>
    <x v="294"/>
    <x v="1"/>
    <x v="0"/>
    <x v="0"/>
    <x v="0"/>
    <x v="1375"/>
    <x v="1"/>
    <x v="22"/>
    <x v="22"/>
    <x v="0"/>
    <x v="0"/>
    <x v="4"/>
    <x v="6"/>
    <x v="0"/>
    <x v="36"/>
    <x v="1356"/>
    <x v="10"/>
    <x v="68"/>
    <x v="1"/>
    <x v="2"/>
    <x v="2"/>
    <x v="1"/>
    <x v="442"/>
    <x v="2"/>
    <x v="36"/>
    <x v="294"/>
    <x v="294"/>
    <x v="0"/>
    <x v="294"/>
    <x v="331"/>
    <x v="330"/>
    <x v="330"/>
    <x v="330"/>
    <x v="331"/>
    <x v="331"/>
    <x v="331"/>
    <x v="331"/>
    <x v="331"/>
    <x v="331"/>
    <x v="331"/>
    <x v="294"/>
    <x v="330"/>
    <x v="330"/>
    <x v="260"/>
    <x v="0"/>
    <x v="0"/>
    <x v="524"/>
    <x v="294"/>
    <x v="294"/>
    <x v="294"/>
    <x v="294"/>
    <x v="11"/>
  </r>
  <r>
    <x v="1376"/>
    <x v="975"/>
    <x v="0"/>
    <x v="0"/>
    <x v="0"/>
    <x v="0"/>
    <x v="1"/>
    <x v="4"/>
    <x v="0"/>
    <x v="0"/>
    <x v="11"/>
    <x v="0"/>
    <x v="18"/>
    <x v="1"/>
    <x v="0"/>
    <x v="0"/>
    <x v="0"/>
    <x v="1376"/>
    <x v="1"/>
    <x v="22"/>
    <x v="22"/>
    <x v="0"/>
    <x v="0"/>
    <x v="4"/>
    <x v="6"/>
    <x v="0"/>
    <x v="36"/>
    <x v="1371"/>
    <x v="2"/>
    <x v="24"/>
    <x v="1"/>
    <x v="5"/>
    <x v="2"/>
    <x v="1"/>
    <x v="78"/>
    <x v="5"/>
    <x v="36"/>
    <x v="19"/>
    <x v="19"/>
    <x v="0"/>
    <x v="19"/>
    <x v="21"/>
    <x v="19"/>
    <x v="25"/>
    <x v="19"/>
    <x v="21"/>
    <x v="21"/>
    <x v="21"/>
    <x v="21"/>
    <x v="21"/>
    <x v="21"/>
    <x v="21"/>
    <x v="19"/>
    <x v="25"/>
    <x v="25"/>
    <x v="19"/>
    <x v="0"/>
    <x v="0"/>
    <x v="43"/>
    <x v="19"/>
    <x v="19"/>
    <x v="19"/>
    <x v="19"/>
    <x v="11"/>
  </r>
  <r>
    <x v="1377"/>
    <x v="976"/>
    <x v="0"/>
    <x v="0"/>
    <x v="0"/>
    <x v="0"/>
    <x v="1"/>
    <x v="4"/>
    <x v="0"/>
    <x v="0"/>
    <x v="11"/>
    <x v="0"/>
    <x v="30"/>
    <x v="1"/>
    <x v="0"/>
    <x v="0"/>
    <x v="0"/>
    <x v="1377"/>
    <x v="1"/>
    <x v="22"/>
    <x v="22"/>
    <x v="0"/>
    <x v="0"/>
    <x v="4"/>
    <x v="128"/>
    <x v="0"/>
    <x v="37"/>
    <x v="1375"/>
    <x v="2"/>
    <x v="24"/>
    <x v="1"/>
    <x v="5"/>
    <x v="2"/>
    <x v="1"/>
    <x v="98"/>
    <x v="5"/>
    <x v="37"/>
    <x v="31"/>
    <x v="31"/>
    <x v="0"/>
    <x v="31"/>
    <x v="31"/>
    <x v="31"/>
    <x v="34"/>
    <x v="31"/>
    <x v="31"/>
    <x v="31"/>
    <x v="31"/>
    <x v="31"/>
    <x v="31"/>
    <x v="31"/>
    <x v="31"/>
    <x v="31"/>
    <x v="34"/>
    <x v="34"/>
    <x v="28"/>
    <x v="0"/>
    <x v="0"/>
    <x v="65"/>
    <x v="31"/>
    <x v="31"/>
    <x v="31"/>
    <x v="31"/>
    <x v="11"/>
  </r>
  <r>
    <x v="1378"/>
    <x v="978"/>
    <x v="0"/>
    <x v="0"/>
    <x v="0"/>
    <x v="0"/>
    <x v="1"/>
    <x v="5"/>
    <x v="0"/>
    <x v="0"/>
    <x v="11"/>
    <x v="0"/>
    <x v="416"/>
    <x v="1"/>
    <x v="0"/>
    <x v="0"/>
    <x v="0"/>
    <x v="1378"/>
    <x v="1"/>
    <x v="22"/>
    <x v="22"/>
    <x v="0"/>
    <x v="0"/>
    <x v="4"/>
    <x v="128"/>
    <x v="0"/>
    <x v="37"/>
    <x v="1329"/>
    <x v="3"/>
    <x v="33"/>
    <x v="1"/>
    <x v="6"/>
    <x v="3"/>
    <x v="1"/>
    <x v="1269"/>
    <x v="6"/>
    <x v="37"/>
    <x v="416"/>
    <x v="416"/>
    <x v="0"/>
    <x v="416"/>
    <x v="626"/>
    <x v="526"/>
    <x v="725"/>
    <x v="526"/>
    <x v="626"/>
    <x v="626"/>
    <x v="626"/>
    <x v="626"/>
    <x v="626"/>
    <x v="626"/>
    <x v="626"/>
    <x v="416"/>
    <x v="736"/>
    <x v="736"/>
    <x v="0"/>
    <x v="68"/>
    <x v="0"/>
    <x v="957"/>
    <x v="416"/>
    <x v="416"/>
    <x v="416"/>
    <x v="416"/>
    <x v="11"/>
  </r>
  <r>
    <x v="1379"/>
    <x v="979"/>
    <x v="0"/>
    <x v="0"/>
    <x v="0"/>
    <x v="0"/>
    <x v="1"/>
    <x v="4"/>
    <x v="0"/>
    <x v="0"/>
    <x v="11"/>
    <x v="0"/>
    <x v="417"/>
    <x v="1"/>
    <x v="0"/>
    <x v="0"/>
    <x v="0"/>
    <x v="1379"/>
    <x v="1"/>
    <x v="22"/>
    <x v="22"/>
    <x v="0"/>
    <x v="0"/>
    <x v="4"/>
    <x v="128"/>
    <x v="0"/>
    <x v="37"/>
    <x v="1377"/>
    <x v="2"/>
    <x v="24"/>
    <x v="1"/>
    <x v="5"/>
    <x v="2"/>
    <x v="1"/>
    <x v="1114"/>
    <x v="5"/>
    <x v="37"/>
    <x v="417"/>
    <x v="417"/>
    <x v="0"/>
    <x v="417"/>
    <x v="521"/>
    <x v="479"/>
    <x v="601"/>
    <x v="479"/>
    <x v="521"/>
    <x v="521"/>
    <x v="521"/>
    <x v="521"/>
    <x v="521"/>
    <x v="521"/>
    <x v="521"/>
    <x v="417"/>
    <x v="601"/>
    <x v="601"/>
    <x v="404"/>
    <x v="0"/>
    <x v="0"/>
    <x v="859"/>
    <x v="417"/>
    <x v="417"/>
    <x v="417"/>
    <x v="417"/>
    <x v="11"/>
  </r>
  <r>
    <x v="1380"/>
    <x v="977"/>
    <x v="0"/>
    <x v="0"/>
    <x v="0"/>
    <x v="0"/>
    <x v="1"/>
    <x v="4"/>
    <x v="0"/>
    <x v="0"/>
    <x v="11"/>
    <x v="0"/>
    <x v="174"/>
    <x v="1"/>
    <x v="0"/>
    <x v="0"/>
    <x v="0"/>
    <x v="1380"/>
    <x v="1"/>
    <x v="22"/>
    <x v="22"/>
    <x v="0"/>
    <x v="0"/>
    <x v="4"/>
    <x v="6"/>
    <x v="0"/>
    <x v="36"/>
    <x v="1379"/>
    <x v="2"/>
    <x v="24"/>
    <x v="1"/>
    <x v="5"/>
    <x v="2"/>
    <x v="1"/>
    <x v="613"/>
    <x v="5"/>
    <x v="36"/>
    <x v="175"/>
    <x v="175"/>
    <x v="0"/>
    <x v="175"/>
    <x v="208"/>
    <x v="199"/>
    <x v="217"/>
    <x v="199"/>
    <x v="208"/>
    <x v="208"/>
    <x v="208"/>
    <x v="208"/>
    <x v="208"/>
    <x v="208"/>
    <x v="208"/>
    <x v="175"/>
    <x v="218"/>
    <x v="218"/>
    <x v="159"/>
    <x v="0"/>
    <x v="0"/>
    <x v="297"/>
    <x v="175"/>
    <x v="175"/>
    <x v="175"/>
    <x v="175"/>
    <x v="11"/>
  </r>
  <r>
    <x v="1381"/>
    <x v="977"/>
    <x v="0"/>
    <x v="0"/>
    <x v="0"/>
    <x v="0"/>
    <x v="1"/>
    <x v="4"/>
    <x v="0"/>
    <x v="0"/>
    <x v="11"/>
    <x v="0"/>
    <x v="189"/>
    <x v="1"/>
    <x v="0"/>
    <x v="0"/>
    <x v="0"/>
    <x v="1381"/>
    <x v="1"/>
    <x v="22"/>
    <x v="22"/>
    <x v="0"/>
    <x v="0"/>
    <x v="4"/>
    <x v="6"/>
    <x v="0"/>
    <x v="36"/>
    <x v="1378"/>
    <x v="2"/>
    <x v="24"/>
    <x v="1"/>
    <x v="5"/>
    <x v="2"/>
    <x v="1"/>
    <x v="671"/>
    <x v="5"/>
    <x v="36"/>
    <x v="190"/>
    <x v="190"/>
    <x v="0"/>
    <x v="190"/>
    <x v="226"/>
    <x v="218"/>
    <x v="234"/>
    <x v="218"/>
    <x v="226"/>
    <x v="226"/>
    <x v="226"/>
    <x v="226"/>
    <x v="226"/>
    <x v="226"/>
    <x v="226"/>
    <x v="190"/>
    <x v="233"/>
    <x v="233"/>
    <x v="170"/>
    <x v="0"/>
    <x v="0"/>
    <x v="328"/>
    <x v="190"/>
    <x v="190"/>
    <x v="190"/>
    <x v="190"/>
    <x v="11"/>
  </r>
  <r>
    <x v="1382"/>
    <x v="982"/>
    <x v="0"/>
    <x v="0"/>
    <x v="0"/>
    <x v="0"/>
    <x v="1"/>
    <x v="5"/>
    <x v="0"/>
    <x v="0"/>
    <x v="11"/>
    <x v="0"/>
    <x v="791"/>
    <x v="1"/>
    <x v="0"/>
    <x v="0"/>
    <x v="0"/>
    <x v="1382"/>
    <x v="1"/>
    <x v="22"/>
    <x v="22"/>
    <x v="0"/>
    <x v="0"/>
    <x v="3"/>
    <x v="128"/>
    <x v="0"/>
    <x v="38"/>
    <x v="1349"/>
    <x v="3"/>
    <x v="33"/>
    <x v="1"/>
    <x v="6"/>
    <x v="3"/>
    <x v="1"/>
    <x v="1334"/>
    <x v="6"/>
    <x v="38"/>
    <x v="791"/>
    <x v="791"/>
    <x v="1"/>
    <x v="791"/>
    <x v="938"/>
    <x v="883"/>
    <x v="1005"/>
    <x v="883"/>
    <x v="938"/>
    <x v="938"/>
    <x v="938"/>
    <x v="938"/>
    <x v="938"/>
    <x v="938"/>
    <x v="938"/>
    <x v="791"/>
    <x v="1015"/>
    <x v="1015"/>
    <x v="0"/>
    <x v="93"/>
    <x v="0"/>
    <x v="1182"/>
    <x v="791"/>
    <x v="791"/>
    <x v="791"/>
    <x v="791"/>
    <x v="11"/>
  </r>
  <r>
    <x v="1383"/>
    <x v="978"/>
    <x v="0"/>
    <x v="0"/>
    <x v="0"/>
    <x v="0"/>
    <x v="1"/>
    <x v="4"/>
    <x v="0"/>
    <x v="0"/>
    <x v="11"/>
    <x v="0"/>
    <x v="18"/>
    <x v="1"/>
    <x v="0"/>
    <x v="0"/>
    <x v="0"/>
    <x v="1383"/>
    <x v="1"/>
    <x v="22"/>
    <x v="22"/>
    <x v="0"/>
    <x v="0"/>
    <x v="4"/>
    <x v="128"/>
    <x v="0"/>
    <x v="37"/>
    <x v="1331"/>
    <x v="2"/>
    <x v="24"/>
    <x v="1"/>
    <x v="5"/>
    <x v="2"/>
    <x v="1"/>
    <x v="78"/>
    <x v="5"/>
    <x v="37"/>
    <x v="19"/>
    <x v="19"/>
    <x v="0"/>
    <x v="19"/>
    <x v="21"/>
    <x v="19"/>
    <x v="25"/>
    <x v="19"/>
    <x v="21"/>
    <x v="21"/>
    <x v="21"/>
    <x v="21"/>
    <x v="21"/>
    <x v="21"/>
    <x v="21"/>
    <x v="19"/>
    <x v="25"/>
    <x v="25"/>
    <x v="19"/>
    <x v="0"/>
    <x v="0"/>
    <x v="44"/>
    <x v="19"/>
    <x v="19"/>
    <x v="19"/>
    <x v="19"/>
    <x v="11"/>
  </r>
  <r>
    <x v="1384"/>
    <x v="986"/>
    <x v="0"/>
    <x v="0"/>
    <x v="0"/>
    <x v="0"/>
    <x v="1"/>
    <x v="4"/>
    <x v="0"/>
    <x v="0"/>
    <x v="11"/>
    <x v="0"/>
    <x v="1010"/>
    <x v="1"/>
    <x v="0"/>
    <x v="0"/>
    <x v="0"/>
    <x v="1384"/>
    <x v="1"/>
    <x v="22"/>
    <x v="22"/>
    <x v="0"/>
    <x v="0"/>
    <x v="3"/>
    <x v="6"/>
    <x v="0"/>
    <x v="38"/>
    <x v="1372"/>
    <x v="2"/>
    <x v="24"/>
    <x v="1"/>
    <x v="5"/>
    <x v="2"/>
    <x v="1"/>
    <x v="1317"/>
    <x v="5"/>
    <x v="38"/>
    <x v="1010"/>
    <x v="1010"/>
    <x v="1"/>
    <x v="1010"/>
    <x v="1113"/>
    <x v="1081"/>
    <x v="1149"/>
    <x v="1081"/>
    <x v="1113"/>
    <x v="1113"/>
    <x v="1113"/>
    <x v="1113"/>
    <x v="1113"/>
    <x v="1113"/>
    <x v="1113"/>
    <x v="1010"/>
    <x v="1147"/>
    <x v="1147"/>
    <x v="975"/>
    <x v="0"/>
    <x v="0"/>
    <x v="1289"/>
    <x v="1010"/>
    <x v="1010"/>
    <x v="1010"/>
    <x v="1010"/>
    <x v="11"/>
  </r>
  <r>
    <x v="1385"/>
    <x v="984"/>
    <x v="0"/>
    <x v="0"/>
    <x v="0"/>
    <x v="0"/>
    <x v="1"/>
    <x v="5"/>
    <x v="0"/>
    <x v="0"/>
    <x v="11"/>
    <x v="0"/>
    <x v="388"/>
    <x v="1"/>
    <x v="0"/>
    <x v="0"/>
    <x v="0"/>
    <x v="1385"/>
    <x v="1"/>
    <x v="22"/>
    <x v="22"/>
    <x v="0"/>
    <x v="0"/>
    <x v="3"/>
    <x v="6"/>
    <x v="0"/>
    <x v="38"/>
    <x v="1300"/>
    <x v="3"/>
    <x v="33"/>
    <x v="1"/>
    <x v="6"/>
    <x v="3"/>
    <x v="1"/>
    <x v="1263"/>
    <x v="6"/>
    <x v="38"/>
    <x v="388"/>
    <x v="388"/>
    <x v="0"/>
    <x v="388"/>
    <x v="554"/>
    <x v="473"/>
    <x v="660"/>
    <x v="473"/>
    <x v="554"/>
    <x v="554"/>
    <x v="554"/>
    <x v="554"/>
    <x v="554"/>
    <x v="554"/>
    <x v="554"/>
    <x v="388"/>
    <x v="678"/>
    <x v="678"/>
    <x v="0"/>
    <x v="66"/>
    <x v="0"/>
    <x v="929"/>
    <x v="388"/>
    <x v="388"/>
    <x v="388"/>
    <x v="388"/>
    <x v="11"/>
  </r>
  <r>
    <x v="1386"/>
    <x v="985"/>
    <x v="0"/>
    <x v="0"/>
    <x v="0"/>
    <x v="0"/>
    <x v="1"/>
    <x v="5"/>
    <x v="0"/>
    <x v="0"/>
    <x v="11"/>
    <x v="0"/>
    <x v="72"/>
    <x v="1"/>
    <x v="0"/>
    <x v="0"/>
    <x v="0"/>
    <x v="1386"/>
    <x v="1"/>
    <x v="22"/>
    <x v="22"/>
    <x v="0"/>
    <x v="0"/>
    <x v="3"/>
    <x v="6"/>
    <x v="0"/>
    <x v="38"/>
    <x v="1366"/>
    <x v="3"/>
    <x v="33"/>
    <x v="1"/>
    <x v="6"/>
    <x v="3"/>
    <x v="1"/>
    <x v="411"/>
    <x v="6"/>
    <x v="38"/>
    <x v="73"/>
    <x v="73"/>
    <x v="0"/>
    <x v="73"/>
    <x v="94"/>
    <x v="86"/>
    <x v="109"/>
    <x v="86"/>
    <x v="94"/>
    <x v="94"/>
    <x v="94"/>
    <x v="94"/>
    <x v="94"/>
    <x v="94"/>
    <x v="94"/>
    <x v="73"/>
    <x v="110"/>
    <x v="110"/>
    <x v="0"/>
    <x v="19"/>
    <x v="0"/>
    <x v="151"/>
    <x v="73"/>
    <x v="73"/>
    <x v="73"/>
    <x v="73"/>
    <x v="11"/>
  </r>
  <r>
    <x v="1387"/>
    <x v="985"/>
    <x v="0"/>
    <x v="0"/>
    <x v="0"/>
    <x v="0"/>
    <x v="1"/>
    <x v="4"/>
    <x v="0"/>
    <x v="0"/>
    <x v="11"/>
    <x v="0"/>
    <x v="32"/>
    <x v="1"/>
    <x v="0"/>
    <x v="0"/>
    <x v="0"/>
    <x v="1387"/>
    <x v="1"/>
    <x v="22"/>
    <x v="22"/>
    <x v="0"/>
    <x v="0"/>
    <x v="3"/>
    <x v="6"/>
    <x v="0"/>
    <x v="38"/>
    <x v="1367"/>
    <x v="2"/>
    <x v="24"/>
    <x v="1"/>
    <x v="5"/>
    <x v="2"/>
    <x v="1"/>
    <x v="101"/>
    <x v="5"/>
    <x v="38"/>
    <x v="33"/>
    <x v="33"/>
    <x v="0"/>
    <x v="33"/>
    <x v="33"/>
    <x v="32"/>
    <x v="36"/>
    <x v="32"/>
    <x v="33"/>
    <x v="33"/>
    <x v="33"/>
    <x v="33"/>
    <x v="33"/>
    <x v="33"/>
    <x v="33"/>
    <x v="33"/>
    <x v="36"/>
    <x v="36"/>
    <x v="29"/>
    <x v="0"/>
    <x v="0"/>
    <x v="69"/>
    <x v="33"/>
    <x v="33"/>
    <x v="33"/>
    <x v="33"/>
    <x v="11"/>
  </r>
  <r>
    <x v="1388"/>
    <x v="983"/>
    <x v="0"/>
    <x v="0"/>
    <x v="0"/>
    <x v="0"/>
    <x v="1"/>
    <x v="5"/>
    <x v="0"/>
    <x v="0"/>
    <x v="11"/>
    <x v="0"/>
    <x v="162"/>
    <x v="1"/>
    <x v="0"/>
    <x v="0"/>
    <x v="0"/>
    <x v="1388"/>
    <x v="1"/>
    <x v="22"/>
    <x v="22"/>
    <x v="0"/>
    <x v="0"/>
    <x v="3"/>
    <x v="128"/>
    <x v="0"/>
    <x v="46"/>
    <x v="1368"/>
    <x v="3"/>
    <x v="33"/>
    <x v="1"/>
    <x v="6"/>
    <x v="3"/>
    <x v="1"/>
    <x v="916"/>
    <x v="6"/>
    <x v="46"/>
    <x v="163"/>
    <x v="163"/>
    <x v="0"/>
    <x v="163"/>
    <x v="214"/>
    <x v="196"/>
    <x v="230"/>
    <x v="196"/>
    <x v="214"/>
    <x v="214"/>
    <x v="214"/>
    <x v="214"/>
    <x v="214"/>
    <x v="214"/>
    <x v="214"/>
    <x v="163"/>
    <x v="230"/>
    <x v="230"/>
    <x v="0"/>
    <x v="40"/>
    <x v="0"/>
    <x v="385"/>
    <x v="163"/>
    <x v="163"/>
    <x v="163"/>
    <x v="163"/>
    <x v="11"/>
  </r>
  <r>
    <x v="1389"/>
    <x v="985"/>
    <x v="0"/>
    <x v="0"/>
    <x v="0"/>
    <x v="0"/>
    <x v="1"/>
    <x v="5"/>
    <x v="0"/>
    <x v="0"/>
    <x v="11"/>
    <x v="0"/>
    <x v="153"/>
    <x v="1"/>
    <x v="0"/>
    <x v="0"/>
    <x v="0"/>
    <x v="1389"/>
    <x v="1"/>
    <x v="22"/>
    <x v="22"/>
    <x v="0"/>
    <x v="0"/>
    <x v="3"/>
    <x v="6"/>
    <x v="0"/>
    <x v="38"/>
    <x v="63"/>
    <x v="3"/>
    <x v="33"/>
    <x v="1"/>
    <x v="6"/>
    <x v="3"/>
    <x v="1"/>
    <x v="848"/>
    <x v="6"/>
    <x v="38"/>
    <x v="154"/>
    <x v="154"/>
    <x v="0"/>
    <x v="154"/>
    <x v="192"/>
    <x v="177"/>
    <x v="211"/>
    <x v="177"/>
    <x v="192"/>
    <x v="192"/>
    <x v="192"/>
    <x v="192"/>
    <x v="192"/>
    <x v="192"/>
    <x v="192"/>
    <x v="154"/>
    <x v="212"/>
    <x v="212"/>
    <x v="0"/>
    <x v="39"/>
    <x v="0"/>
    <x v="294"/>
    <x v="154"/>
    <x v="154"/>
    <x v="154"/>
    <x v="154"/>
    <x v="11"/>
  </r>
  <r>
    <x v="1390"/>
    <x v="983"/>
    <x v="0"/>
    <x v="0"/>
    <x v="0"/>
    <x v="0"/>
    <x v="1"/>
    <x v="5"/>
    <x v="0"/>
    <x v="0"/>
    <x v="11"/>
    <x v="0"/>
    <x v="1041"/>
    <x v="1"/>
    <x v="0"/>
    <x v="0"/>
    <x v="0"/>
    <x v="1390"/>
    <x v="1"/>
    <x v="22"/>
    <x v="22"/>
    <x v="0"/>
    <x v="0"/>
    <x v="3"/>
    <x v="128"/>
    <x v="0"/>
    <x v="46"/>
    <x v="1369"/>
    <x v="3"/>
    <x v="33"/>
    <x v="1"/>
    <x v="6"/>
    <x v="3"/>
    <x v="1"/>
    <x v="1370"/>
    <x v="6"/>
    <x v="46"/>
    <x v="1040"/>
    <x v="1040"/>
    <x v="1"/>
    <x v="1040"/>
    <x v="1189"/>
    <x v="1139"/>
    <x v="1233"/>
    <x v="1139"/>
    <x v="1189"/>
    <x v="1189"/>
    <x v="1189"/>
    <x v="1189"/>
    <x v="1189"/>
    <x v="1189"/>
    <x v="1189"/>
    <x v="1040"/>
    <x v="1236"/>
    <x v="1236"/>
    <x v="0"/>
    <x v="107"/>
    <x v="0"/>
    <x v="1370"/>
    <x v="1040"/>
    <x v="1040"/>
    <x v="1040"/>
    <x v="1040"/>
    <x v="11"/>
  </r>
  <r>
    <x v="1391"/>
    <x v="988"/>
    <x v="0"/>
    <x v="0"/>
    <x v="0"/>
    <x v="0"/>
    <x v="1"/>
    <x v="5"/>
    <x v="0"/>
    <x v="0"/>
    <x v="11"/>
    <x v="0"/>
    <x v="481"/>
    <x v="1"/>
    <x v="0"/>
    <x v="0"/>
    <x v="0"/>
    <x v="1391"/>
    <x v="1"/>
    <x v="22"/>
    <x v="22"/>
    <x v="0"/>
    <x v="0"/>
    <x v="3"/>
    <x v="128"/>
    <x v="0"/>
    <x v="46"/>
    <x v="1301"/>
    <x v="3"/>
    <x v="33"/>
    <x v="1"/>
    <x v="6"/>
    <x v="3"/>
    <x v="1"/>
    <x v="1286"/>
    <x v="6"/>
    <x v="46"/>
    <x v="481"/>
    <x v="481"/>
    <x v="0"/>
    <x v="481"/>
    <x v="709"/>
    <x v="632"/>
    <x v="795"/>
    <x v="632"/>
    <x v="709"/>
    <x v="709"/>
    <x v="709"/>
    <x v="709"/>
    <x v="709"/>
    <x v="709"/>
    <x v="709"/>
    <x v="481"/>
    <x v="805"/>
    <x v="805"/>
    <x v="0"/>
    <x v="75"/>
    <x v="0"/>
    <x v="1071"/>
    <x v="481"/>
    <x v="481"/>
    <x v="481"/>
    <x v="481"/>
    <x v="11"/>
  </r>
  <r>
    <x v="1392"/>
    <x v="994"/>
    <x v="0"/>
    <x v="0"/>
    <x v="0"/>
    <x v="0"/>
    <x v="1"/>
    <x v="5"/>
    <x v="0"/>
    <x v="0"/>
    <x v="11"/>
    <x v="0"/>
    <x v="274"/>
    <x v="1"/>
    <x v="0"/>
    <x v="0"/>
    <x v="0"/>
    <x v="1392"/>
    <x v="1"/>
    <x v="22"/>
    <x v="22"/>
    <x v="0"/>
    <x v="0"/>
    <x v="3"/>
    <x v="128"/>
    <x v="0"/>
    <x v="31"/>
    <x v="1332"/>
    <x v="3"/>
    <x v="33"/>
    <x v="1"/>
    <x v="6"/>
    <x v="3"/>
    <x v="1"/>
    <x v="1164"/>
    <x v="6"/>
    <x v="31"/>
    <x v="274"/>
    <x v="274"/>
    <x v="0"/>
    <x v="274"/>
    <x v="349"/>
    <x v="322"/>
    <x v="393"/>
    <x v="322"/>
    <x v="349"/>
    <x v="349"/>
    <x v="349"/>
    <x v="349"/>
    <x v="349"/>
    <x v="349"/>
    <x v="349"/>
    <x v="274"/>
    <x v="403"/>
    <x v="403"/>
    <x v="0"/>
    <x v="54"/>
    <x v="0"/>
    <x v="586"/>
    <x v="274"/>
    <x v="274"/>
    <x v="274"/>
    <x v="274"/>
    <x v="11"/>
  </r>
  <r>
    <x v="1393"/>
    <x v="997"/>
    <x v="0"/>
    <x v="0"/>
    <x v="0"/>
    <x v="0"/>
    <x v="1"/>
    <x v="5"/>
    <x v="0"/>
    <x v="0"/>
    <x v="11"/>
    <x v="0"/>
    <x v="996"/>
    <x v="1"/>
    <x v="0"/>
    <x v="0"/>
    <x v="0"/>
    <x v="1393"/>
    <x v="1"/>
    <x v="22"/>
    <x v="22"/>
    <x v="0"/>
    <x v="0"/>
    <x v="3"/>
    <x v="9"/>
    <x v="0"/>
    <x v="40"/>
    <x v="1325"/>
    <x v="3"/>
    <x v="33"/>
    <x v="1"/>
    <x v="6"/>
    <x v="3"/>
    <x v="1"/>
    <x v="1364"/>
    <x v="6"/>
    <x v="40"/>
    <x v="996"/>
    <x v="996"/>
    <x v="1"/>
    <x v="996"/>
    <x v="1156"/>
    <x v="1100"/>
    <x v="1208"/>
    <x v="1100"/>
    <x v="1156"/>
    <x v="1156"/>
    <x v="1156"/>
    <x v="1156"/>
    <x v="1156"/>
    <x v="1156"/>
    <x v="1156"/>
    <x v="996"/>
    <x v="1211"/>
    <x v="1211"/>
    <x v="0"/>
    <x v="103"/>
    <x v="0"/>
    <x v="1335"/>
    <x v="996"/>
    <x v="996"/>
    <x v="996"/>
    <x v="996"/>
    <x v="11"/>
  </r>
  <r>
    <x v="1394"/>
    <x v="826"/>
    <x v="0"/>
    <x v="0"/>
    <x v="0"/>
    <x v="0"/>
    <x v="0"/>
    <x v="0"/>
    <x v="0"/>
    <x v="0"/>
    <x v="11"/>
    <x v="0"/>
    <x v="568"/>
    <x v="1"/>
    <x v="0"/>
    <x v="0"/>
    <x v="0"/>
    <x v="1394"/>
    <x v="2"/>
    <x v="23"/>
    <x v="23"/>
    <x v="0"/>
    <x v="0"/>
    <x v="4"/>
    <x v="38"/>
    <x v="0"/>
    <x v="19"/>
    <x v="1384"/>
    <x v="9"/>
    <x v="58"/>
    <x v="1"/>
    <x v="1"/>
    <x v="1"/>
    <x v="1"/>
    <x v="374"/>
    <x v="1"/>
    <x v="19"/>
    <x v="568"/>
    <x v="568"/>
    <x v="0"/>
    <x v="568"/>
    <x v="519"/>
    <x v="529"/>
    <x v="504"/>
    <x v="529"/>
    <x v="519"/>
    <x v="519"/>
    <x v="519"/>
    <x v="519"/>
    <x v="519"/>
    <x v="519"/>
    <x v="519"/>
    <x v="568"/>
    <x v="504"/>
    <x v="504"/>
    <x v="503"/>
    <x v="0"/>
    <x v="0"/>
    <x v="504"/>
    <x v="568"/>
    <x v="568"/>
    <x v="568"/>
    <x v="568"/>
    <x v="11"/>
  </r>
  <r>
    <x v="1395"/>
    <x v="811"/>
    <x v="0"/>
    <x v="0"/>
    <x v="0"/>
    <x v="0"/>
    <x v="0"/>
    <x v="0"/>
    <x v="0"/>
    <x v="0"/>
    <x v="11"/>
    <x v="0"/>
    <x v="641"/>
    <x v="1"/>
    <x v="0"/>
    <x v="0"/>
    <x v="0"/>
    <x v="1395"/>
    <x v="2"/>
    <x v="23"/>
    <x v="23"/>
    <x v="0"/>
    <x v="0"/>
    <x v="4"/>
    <x v="38"/>
    <x v="0"/>
    <x v="19"/>
    <x v="1231"/>
    <x v="9"/>
    <x v="58"/>
    <x v="1"/>
    <x v="1"/>
    <x v="1"/>
    <x v="1"/>
    <x v="418"/>
    <x v="1"/>
    <x v="19"/>
    <x v="641"/>
    <x v="641"/>
    <x v="0"/>
    <x v="641"/>
    <x v="581"/>
    <x v="587"/>
    <x v="556"/>
    <x v="587"/>
    <x v="581"/>
    <x v="581"/>
    <x v="581"/>
    <x v="581"/>
    <x v="581"/>
    <x v="581"/>
    <x v="581"/>
    <x v="641"/>
    <x v="557"/>
    <x v="557"/>
    <x v="571"/>
    <x v="0"/>
    <x v="0"/>
    <x v="538"/>
    <x v="641"/>
    <x v="641"/>
    <x v="641"/>
    <x v="641"/>
    <x v="11"/>
  </r>
  <r>
    <x v="1396"/>
    <x v="826"/>
    <x v="0"/>
    <x v="0"/>
    <x v="0"/>
    <x v="0"/>
    <x v="0"/>
    <x v="0"/>
    <x v="0"/>
    <x v="0"/>
    <x v="11"/>
    <x v="0"/>
    <x v="653"/>
    <x v="1"/>
    <x v="0"/>
    <x v="0"/>
    <x v="0"/>
    <x v="1396"/>
    <x v="2"/>
    <x v="23"/>
    <x v="23"/>
    <x v="0"/>
    <x v="0"/>
    <x v="4"/>
    <x v="38"/>
    <x v="0"/>
    <x v="19"/>
    <x v="1385"/>
    <x v="9"/>
    <x v="58"/>
    <x v="1"/>
    <x v="1"/>
    <x v="1"/>
    <x v="1"/>
    <x v="425"/>
    <x v="1"/>
    <x v="19"/>
    <x v="653"/>
    <x v="653"/>
    <x v="0"/>
    <x v="653"/>
    <x v="591"/>
    <x v="599"/>
    <x v="563"/>
    <x v="599"/>
    <x v="591"/>
    <x v="591"/>
    <x v="591"/>
    <x v="591"/>
    <x v="591"/>
    <x v="591"/>
    <x v="591"/>
    <x v="653"/>
    <x v="564"/>
    <x v="564"/>
    <x v="583"/>
    <x v="0"/>
    <x v="0"/>
    <x v="545"/>
    <x v="653"/>
    <x v="653"/>
    <x v="653"/>
    <x v="653"/>
    <x v="11"/>
  </r>
  <r>
    <x v="1397"/>
    <x v="839"/>
    <x v="0"/>
    <x v="0"/>
    <x v="0"/>
    <x v="0"/>
    <x v="0"/>
    <x v="0"/>
    <x v="0"/>
    <x v="0"/>
    <x v="11"/>
    <x v="0"/>
    <x v="664"/>
    <x v="1"/>
    <x v="0"/>
    <x v="0"/>
    <x v="0"/>
    <x v="1397"/>
    <x v="2"/>
    <x v="23"/>
    <x v="23"/>
    <x v="0"/>
    <x v="0"/>
    <x v="4"/>
    <x v="38"/>
    <x v="0"/>
    <x v="20"/>
    <x v="1386"/>
    <x v="9"/>
    <x v="58"/>
    <x v="1"/>
    <x v="1"/>
    <x v="1"/>
    <x v="1"/>
    <x v="430"/>
    <x v="1"/>
    <x v="20"/>
    <x v="664"/>
    <x v="664"/>
    <x v="0"/>
    <x v="664"/>
    <x v="598"/>
    <x v="608"/>
    <x v="570"/>
    <x v="608"/>
    <x v="598"/>
    <x v="598"/>
    <x v="598"/>
    <x v="598"/>
    <x v="598"/>
    <x v="598"/>
    <x v="598"/>
    <x v="664"/>
    <x v="571"/>
    <x v="571"/>
    <x v="590"/>
    <x v="0"/>
    <x v="0"/>
    <x v="569"/>
    <x v="664"/>
    <x v="664"/>
    <x v="664"/>
    <x v="664"/>
    <x v="11"/>
  </r>
  <r>
    <x v="1398"/>
    <x v="806"/>
    <x v="0"/>
    <x v="0"/>
    <x v="0"/>
    <x v="0"/>
    <x v="0"/>
    <x v="1"/>
    <x v="0"/>
    <x v="0"/>
    <x v="11"/>
    <x v="0"/>
    <x v="1205"/>
    <x v="1"/>
    <x v="0"/>
    <x v="0"/>
    <x v="0"/>
    <x v="1398"/>
    <x v="1"/>
    <x v="23"/>
    <x v="23"/>
    <x v="0"/>
    <x v="0"/>
    <x v="3"/>
    <x v="114"/>
    <x v="0"/>
    <x v="20"/>
    <x v="1237"/>
    <x v="10"/>
    <x v="68"/>
    <x v="1"/>
    <x v="2"/>
    <x v="2"/>
    <x v="1"/>
    <x v="1209"/>
    <x v="2"/>
    <x v="20"/>
    <x v="1203"/>
    <x v="1203"/>
    <x v="2"/>
    <x v="1203"/>
    <x v="1269"/>
    <x v="1257"/>
    <x v="1272"/>
    <x v="1257"/>
    <x v="1269"/>
    <x v="1269"/>
    <x v="1269"/>
    <x v="1269"/>
    <x v="1269"/>
    <x v="1269"/>
    <x v="1269"/>
    <x v="1203"/>
    <x v="1270"/>
    <x v="1270"/>
    <x v="1134"/>
    <x v="0"/>
    <x v="0"/>
    <x v="1265"/>
    <x v="1203"/>
    <x v="1203"/>
    <x v="1203"/>
    <x v="1203"/>
    <x v="11"/>
  </r>
  <r>
    <x v="1399"/>
    <x v="813"/>
    <x v="0"/>
    <x v="0"/>
    <x v="0"/>
    <x v="0"/>
    <x v="0"/>
    <x v="0"/>
    <x v="0"/>
    <x v="0"/>
    <x v="11"/>
    <x v="0"/>
    <x v="1137"/>
    <x v="1"/>
    <x v="0"/>
    <x v="0"/>
    <x v="0"/>
    <x v="1399"/>
    <x v="2"/>
    <x v="23"/>
    <x v="23"/>
    <x v="0"/>
    <x v="0"/>
    <x v="4"/>
    <x v="38"/>
    <x v="0"/>
    <x v="21"/>
    <x v="1246"/>
    <x v="9"/>
    <x v="58"/>
    <x v="1"/>
    <x v="1"/>
    <x v="1"/>
    <x v="1"/>
    <x v="904"/>
    <x v="1"/>
    <x v="21"/>
    <x v="1135"/>
    <x v="1135"/>
    <x v="1"/>
    <x v="1135"/>
    <x v="1144"/>
    <x v="1144"/>
    <x v="1129"/>
    <x v="1144"/>
    <x v="1144"/>
    <x v="1144"/>
    <x v="1144"/>
    <x v="1144"/>
    <x v="1144"/>
    <x v="1144"/>
    <x v="1144"/>
    <x v="1135"/>
    <x v="1128"/>
    <x v="1128"/>
    <x v="1064"/>
    <x v="0"/>
    <x v="0"/>
    <x v="1127"/>
    <x v="1135"/>
    <x v="1135"/>
    <x v="1135"/>
    <x v="1135"/>
    <x v="11"/>
  </r>
  <r>
    <x v="1400"/>
    <x v="828"/>
    <x v="0"/>
    <x v="0"/>
    <x v="0"/>
    <x v="0"/>
    <x v="0"/>
    <x v="0"/>
    <x v="0"/>
    <x v="0"/>
    <x v="11"/>
    <x v="0"/>
    <x v="621"/>
    <x v="1"/>
    <x v="0"/>
    <x v="0"/>
    <x v="0"/>
    <x v="1400"/>
    <x v="2"/>
    <x v="23"/>
    <x v="23"/>
    <x v="0"/>
    <x v="0"/>
    <x v="4"/>
    <x v="38"/>
    <x v="0"/>
    <x v="20"/>
    <x v="1383"/>
    <x v="9"/>
    <x v="58"/>
    <x v="1"/>
    <x v="1"/>
    <x v="1"/>
    <x v="1"/>
    <x v="406"/>
    <x v="1"/>
    <x v="20"/>
    <x v="621"/>
    <x v="621"/>
    <x v="0"/>
    <x v="621"/>
    <x v="565"/>
    <x v="575"/>
    <x v="543"/>
    <x v="575"/>
    <x v="565"/>
    <x v="565"/>
    <x v="565"/>
    <x v="565"/>
    <x v="565"/>
    <x v="565"/>
    <x v="565"/>
    <x v="621"/>
    <x v="544"/>
    <x v="544"/>
    <x v="557"/>
    <x v="0"/>
    <x v="0"/>
    <x v="552"/>
    <x v="621"/>
    <x v="621"/>
    <x v="621"/>
    <x v="621"/>
    <x v="11"/>
  </r>
  <r>
    <x v="1401"/>
    <x v="839"/>
    <x v="0"/>
    <x v="0"/>
    <x v="0"/>
    <x v="0"/>
    <x v="0"/>
    <x v="0"/>
    <x v="0"/>
    <x v="0"/>
    <x v="11"/>
    <x v="0"/>
    <x v="722"/>
    <x v="1"/>
    <x v="0"/>
    <x v="0"/>
    <x v="0"/>
    <x v="1401"/>
    <x v="2"/>
    <x v="23"/>
    <x v="23"/>
    <x v="0"/>
    <x v="0"/>
    <x v="4"/>
    <x v="38"/>
    <x v="0"/>
    <x v="20"/>
    <x v="1387"/>
    <x v="9"/>
    <x v="58"/>
    <x v="1"/>
    <x v="1"/>
    <x v="1"/>
    <x v="1"/>
    <x v="478"/>
    <x v="1"/>
    <x v="20"/>
    <x v="722"/>
    <x v="722"/>
    <x v="1"/>
    <x v="722"/>
    <x v="677"/>
    <x v="697"/>
    <x v="638"/>
    <x v="697"/>
    <x v="677"/>
    <x v="677"/>
    <x v="677"/>
    <x v="677"/>
    <x v="677"/>
    <x v="677"/>
    <x v="677"/>
    <x v="722"/>
    <x v="639"/>
    <x v="639"/>
    <x v="662"/>
    <x v="0"/>
    <x v="0"/>
    <x v="624"/>
    <x v="722"/>
    <x v="722"/>
    <x v="722"/>
    <x v="722"/>
    <x v="11"/>
  </r>
  <r>
    <x v="1402"/>
    <x v="851"/>
    <x v="0"/>
    <x v="0"/>
    <x v="0"/>
    <x v="0"/>
    <x v="0"/>
    <x v="0"/>
    <x v="0"/>
    <x v="0"/>
    <x v="11"/>
    <x v="0"/>
    <x v="545"/>
    <x v="1"/>
    <x v="0"/>
    <x v="0"/>
    <x v="0"/>
    <x v="1402"/>
    <x v="2"/>
    <x v="23"/>
    <x v="23"/>
    <x v="0"/>
    <x v="0"/>
    <x v="4"/>
    <x v="38"/>
    <x v="0"/>
    <x v="28"/>
    <x v="1388"/>
    <x v="9"/>
    <x v="58"/>
    <x v="1"/>
    <x v="1"/>
    <x v="1"/>
    <x v="1"/>
    <x v="363"/>
    <x v="1"/>
    <x v="28"/>
    <x v="545"/>
    <x v="545"/>
    <x v="0"/>
    <x v="545"/>
    <x v="504"/>
    <x v="515"/>
    <x v="489"/>
    <x v="515"/>
    <x v="504"/>
    <x v="504"/>
    <x v="504"/>
    <x v="504"/>
    <x v="504"/>
    <x v="504"/>
    <x v="504"/>
    <x v="545"/>
    <x v="488"/>
    <x v="488"/>
    <x v="487"/>
    <x v="0"/>
    <x v="0"/>
    <x v="639"/>
    <x v="545"/>
    <x v="545"/>
    <x v="545"/>
    <x v="545"/>
    <x v="11"/>
  </r>
  <r>
    <x v="1403"/>
    <x v="907"/>
    <x v="0"/>
    <x v="0"/>
    <x v="0"/>
    <x v="0"/>
    <x v="0"/>
    <x v="1"/>
    <x v="0"/>
    <x v="0"/>
    <x v="11"/>
    <x v="0"/>
    <x v="1326"/>
    <x v="1"/>
    <x v="0"/>
    <x v="0"/>
    <x v="0"/>
    <x v="1403"/>
    <x v="1"/>
    <x v="23"/>
    <x v="23"/>
    <x v="0"/>
    <x v="0"/>
    <x v="4"/>
    <x v="38"/>
    <x v="0"/>
    <x v="28"/>
    <x v="1397"/>
    <x v="10"/>
    <x v="68"/>
    <x v="1"/>
    <x v="2"/>
    <x v="2"/>
    <x v="1"/>
    <x v="1294"/>
    <x v="2"/>
    <x v="28"/>
    <x v="1324"/>
    <x v="1324"/>
    <x v="3"/>
    <x v="1324"/>
    <x v="1371"/>
    <x v="1360"/>
    <x v="1370"/>
    <x v="1360"/>
    <x v="1371"/>
    <x v="1371"/>
    <x v="1371"/>
    <x v="1371"/>
    <x v="1371"/>
    <x v="1371"/>
    <x v="1371"/>
    <x v="1324"/>
    <x v="1367"/>
    <x v="1367"/>
    <x v="1248"/>
    <x v="0"/>
    <x v="0"/>
    <x v="1395"/>
    <x v="1324"/>
    <x v="1324"/>
    <x v="1324"/>
    <x v="1324"/>
    <x v="11"/>
  </r>
  <r>
    <x v="1404"/>
    <x v="842"/>
    <x v="0"/>
    <x v="0"/>
    <x v="0"/>
    <x v="0"/>
    <x v="0"/>
    <x v="1"/>
    <x v="0"/>
    <x v="0"/>
    <x v="11"/>
    <x v="0"/>
    <x v="561"/>
    <x v="1"/>
    <x v="0"/>
    <x v="0"/>
    <x v="0"/>
    <x v="1404"/>
    <x v="1"/>
    <x v="23"/>
    <x v="23"/>
    <x v="0"/>
    <x v="0"/>
    <x v="4"/>
    <x v="38"/>
    <x v="0"/>
    <x v="19"/>
    <x v="1393"/>
    <x v="10"/>
    <x v="68"/>
    <x v="1"/>
    <x v="2"/>
    <x v="2"/>
    <x v="1"/>
    <x v="718"/>
    <x v="2"/>
    <x v="19"/>
    <x v="561"/>
    <x v="561"/>
    <x v="0"/>
    <x v="561"/>
    <x v="662"/>
    <x v="656"/>
    <x v="654"/>
    <x v="656"/>
    <x v="662"/>
    <x v="662"/>
    <x v="662"/>
    <x v="662"/>
    <x v="662"/>
    <x v="662"/>
    <x v="662"/>
    <x v="561"/>
    <x v="651"/>
    <x v="651"/>
    <x v="516"/>
    <x v="0"/>
    <x v="0"/>
    <x v="612"/>
    <x v="561"/>
    <x v="561"/>
    <x v="561"/>
    <x v="561"/>
    <x v="11"/>
  </r>
  <r>
    <x v="1405"/>
    <x v="851"/>
    <x v="0"/>
    <x v="0"/>
    <x v="0"/>
    <x v="0"/>
    <x v="0"/>
    <x v="0"/>
    <x v="0"/>
    <x v="0"/>
    <x v="11"/>
    <x v="0"/>
    <x v="752"/>
    <x v="1"/>
    <x v="0"/>
    <x v="0"/>
    <x v="0"/>
    <x v="1405"/>
    <x v="2"/>
    <x v="23"/>
    <x v="23"/>
    <x v="0"/>
    <x v="0"/>
    <x v="4"/>
    <x v="38"/>
    <x v="0"/>
    <x v="28"/>
    <x v="1389"/>
    <x v="9"/>
    <x v="58"/>
    <x v="1"/>
    <x v="1"/>
    <x v="1"/>
    <x v="1"/>
    <x v="502"/>
    <x v="1"/>
    <x v="28"/>
    <x v="752"/>
    <x v="752"/>
    <x v="1"/>
    <x v="752"/>
    <x v="731"/>
    <x v="748"/>
    <x v="693"/>
    <x v="748"/>
    <x v="731"/>
    <x v="731"/>
    <x v="731"/>
    <x v="731"/>
    <x v="731"/>
    <x v="731"/>
    <x v="731"/>
    <x v="752"/>
    <x v="696"/>
    <x v="696"/>
    <x v="693"/>
    <x v="0"/>
    <x v="0"/>
    <x v="813"/>
    <x v="752"/>
    <x v="752"/>
    <x v="752"/>
    <x v="752"/>
    <x v="11"/>
  </r>
  <r>
    <x v="1406"/>
    <x v="862"/>
    <x v="0"/>
    <x v="0"/>
    <x v="0"/>
    <x v="0"/>
    <x v="0"/>
    <x v="0"/>
    <x v="0"/>
    <x v="0"/>
    <x v="11"/>
    <x v="0"/>
    <x v="684"/>
    <x v="1"/>
    <x v="0"/>
    <x v="0"/>
    <x v="0"/>
    <x v="1406"/>
    <x v="2"/>
    <x v="23"/>
    <x v="23"/>
    <x v="0"/>
    <x v="0"/>
    <x v="4"/>
    <x v="52"/>
    <x v="0"/>
    <x v="30"/>
    <x v="1403"/>
    <x v="9"/>
    <x v="58"/>
    <x v="1"/>
    <x v="1"/>
    <x v="1"/>
    <x v="1"/>
    <x v="447"/>
    <x v="1"/>
    <x v="30"/>
    <x v="684"/>
    <x v="684"/>
    <x v="1"/>
    <x v="684"/>
    <x v="623"/>
    <x v="635"/>
    <x v="592"/>
    <x v="635"/>
    <x v="623"/>
    <x v="623"/>
    <x v="623"/>
    <x v="623"/>
    <x v="623"/>
    <x v="623"/>
    <x v="623"/>
    <x v="684"/>
    <x v="591"/>
    <x v="591"/>
    <x v="614"/>
    <x v="0"/>
    <x v="0"/>
    <x v="755"/>
    <x v="684"/>
    <x v="684"/>
    <x v="684"/>
    <x v="684"/>
    <x v="11"/>
  </r>
  <r>
    <x v="1407"/>
    <x v="869"/>
    <x v="0"/>
    <x v="0"/>
    <x v="0"/>
    <x v="0"/>
    <x v="0"/>
    <x v="0"/>
    <x v="0"/>
    <x v="0"/>
    <x v="11"/>
    <x v="0"/>
    <x v="579"/>
    <x v="1"/>
    <x v="0"/>
    <x v="0"/>
    <x v="0"/>
    <x v="1407"/>
    <x v="2"/>
    <x v="23"/>
    <x v="23"/>
    <x v="0"/>
    <x v="0"/>
    <x v="4"/>
    <x v="38"/>
    <x v="0"/>
    <x v="28"/>
    <x v="1390"/>
    <x v="9"/>
    <x v="58"/>
    <x v="1"/>
    <x v="1"/>
    <x v="1"/>
    <x v="1"/>
    <x v="379"/>
    <x v="1"/>
    <x v="28"/>
    <x v="579"/>
    <x v="579"/>
    <x v="0"/>
    <x v="579"/>
    <x v="527"/>
    <x v="537"/>
    <x v="510"/>
    <x v="537"/>
    <x v="527"/>
    <x v="527"/>
    <x v="527"/>
    <x v="527"/>
    <x v="527"/>
    <x v="527"/>
    <x v="527"/>
    <x v="579"/>
    <x v="512"/>
    <x v="512"/>
    <x v="514"/>
    <x v="0"/>
    <x v="0"/>
    <x v="668"/>
    <x v="579"/>
    <x v="579"/>
    <x v="579"/>
    <x v="579"/>
    <x v="11"/>
  </r>
  <r>
    <x v="1408"/>
    <x v="860"/>
    <x v="0"/>
    <x v="0"/>
    <x v="0"/>
    <x v="0"/>
    <x v="0"/>
    <x v="1"/>
    <x v="0"/>
    <x v="0"/>
    <x v="11"/>
    <x v="0"/>
    <x v="554"/>
    <x v="1"/>
    <x v="0"/>
    <x v="0"/>
    <x v="0"/>
    <x v="1408"/>
    <x v="1"/>
    <x v="23"/>
    <x v="23"/>
    <x v="0"/>
    <x v="0"/>
    <x v="4"/>
    <x v="38"/>
    <x v="0"/>
    <x v="20"/>
    <x v="1406"/>
    <x v="10"/>
    <x v="68"/>
    <x v="1"/>
    <x v="2"/>
    <x v="2"/>
    <x v="1"/>
    <x v="709"/>
    <x v="2"/>
    <x v="20"/>
    <x v="554"/>
    <x v="554"/>
    <x v="0"/>
    <x v="554"/>
    <x v="652"/>
    <x v="648"/>
    <x v="648"/>
    <x v="648"/>
    <x v="652"/>
    <x v="652"/>
    <x v="652"/>
    <x v="652"/>
    <x v="652"/>
    <x v="652"/>
    <x v="652"/>
    <x v="554"/>
    <x v="647"/>
    <x v="647"/>
    <x v="507"/>
    <x v="0"/>
    <x v="0"/>
    <x v="629"/>
    <x v="554"/>
    <x v="554"/>
    <x v="554"/>
    <x v="554"/>
    <x v="11"/>
  </r>
  <r>
    <x v="1409"/>
    <x v="856"/>
    <x v="0"/>
    <x v="0"/>
    <x v="0"/>
    <x v="0"/>
    <x v="0"/>
    <x v="0"/>
    <x v="0"/>
    <x v="0"/>
    <x v="11"/>
    <x v="0"/>
    <x v="900"/>
    <x v="1"/>
    <x v="0"/>
    <x v="0"/>
    <x v="0"/>
    <x v="1409"/>
    <x v="2"/>
    <x v="23"/>
    <x v="23"/>
    <x v="0"/>
    <x v="0"/>
    <x v="4"/>
    <x v="38"/>
    <x v="0"/>
    <x v="30"/>
    <x v="1382"/>
    <x v="9"/>
    <x v="58"/>
    <x v="1"/>
    <x v="1"/>
    <x v="1"/>
    <x v="1"/>
    <x v="645"/>
    <x v="1"/>
    <x v="30"/>
    <x v="900"/>
    <x v="900"/>
    <x v="1"/>
    <x v="900"/>
    <x v="910"/>
    <x v="904"/>
    <x v="896"/>
    <x v="904"/>
    <x v="910"/>
    <x v="910"/>
    <x v="910"/>
    <x v="910"/>
    <x v="910"/>
    <x v="910"/>
    <x v="910"/>
    <x v="900"/>
    <x v="894"/>
    <x v="894"/>
    <x v="833"/>
    <x v="0"/>
    <x v="0"/>
    <x v="1000"/>
    <x v="900"/>
    <x v="900"/>
    <x v="900"/>
    <x v="900"/>
    <x v="11"/>
  </r>
  <r>
    <x v="1410"/>
    <x v="869"/>
    <x v="0"/>
    <x v="0"/>
    <x v="0"/>
    <x v="0"/>
    <x v="0"/>
    <x v="0"/>
    <x v="0"/>
    <x v="0"/>
    <x v="11"/>
    <x v="0"/>
    <x v="774"/>
    <x v="1"/>
    <x v="0"/>
    <x v="0"/>
    <x v="0"/>
    <x v="1410"/>
    <x v="2"/>
    <x v="23"/>
    <x v="23"/>
    <x v="0"/>
    <x v="0"/>
    <x v="4"/>
    <x v="38"/>
    <x v="0"/>
    <x v="28"/>
    <x v="1391"/>
    <x v="9"/>
    <x v="58"/>
    <x v="1"/>
    <x v="1"/>
    <x v="1"/>
    <x v="1"/>
    <x v="517"/>
    <x v="1"/>
    <x v="28"/>
    <x v="774"/>
    <x v="774"/>
    <x v="1"/>
    <x v="774"/>
    <x v="763"/>
    <x v="770"/>
    <x v="726"/>
    <x v="770"/>
    <x v="763"/>
    <x v="763"/>
    <x v="763"/>
    <x v="763"/>
    <x v="763"/>
    <x v="763"/>
    <x v="763"/>
    <x v="774"/>
    <x v="726"/>
    <x v="726"/>
    <x v="714"/>
    <x v="0"/>
    <x v="0"/>
    <x v="831"/>
    <x v="774"/>
    <x v="774"/>
    <x v="774"/>
    <x v="774"/>
    <x v="11"/>
  </r>
  <r>
    <x v="1411"/>
    <x v="862"/>
    <x v="0"/>
    <x v="0"/>
    <x v="0"/>
    <x v="0"/>
    <x v="0"/>
    <x v="1"/>
    <x v="0"/>
    <x v="0"/>
    <x v="11"/>
    <x v="0"/>
    <x v="907"/>
    <x v="1"/>
    <x v="0"/>
    <x v="0"/>
    <x v="0"/>
    <x v="1411"/>
    <x v="1"/>
    <x v="23"/>
    <x v="23"/>
    <x v="0"/>
    <x v="0"/>
    <x v="4"/>
    <x v="52"/>
    <x v="0"/>
    <x v="30"/>
    <x v="1404"/>
    <x v="10"/>
    <x v="68"/>
    <x v="1"/>
    <x v="2"/>
    <x v="2"/>
    <x v="1"/>
    <x v="991"/>
    <x v="2"/>
    <x v="30"/>
    <x v="907"/>
    <x v="907"/>
    <x v="1"/>
    <x v="907"/>
    <x v="991"/>
    <x v="980"/>
    <x v="991"/>
    <x v="980"/>
    <x v="991"/>
    <x v="991"/>
    <x v="991"/>
    <x v="991"/>
    <x v="991"/>
    <x v="991"/>
    <x v="991"/>
    <x v="907"/>
    <x v="988"/>
    <x v="988"/>
    <x v="848"/>
    <x v="0"/>
    <x v="0"/>
    <x v="1092"/>
    <x v="907"/>
    <x v="907"/>
    <x v="907"/>
    <x v="907"/>
    <x v="11"/>
  </r>
  <r>
    <x v="1412"/>
    <x v="869"/>
    <x v="0"/>
    <x v="0"/>
    <x v="0"/>
    <x v="0"/>
    <x v="0"/>
    <x v="0"/>
    <x v="0"/>
    <x v="0"/>
    <x v="11"/>
    <x v="0"/>
    <x v="952"/>
    <x v="1"/>
    <x v="0"/>
    <x v="0"/>
    <x v="0"/>
    <x v="1412"/>
    <x v="2"/>
    <x v="23"/>
    <x v="23"/>
    <x v="0"/>
    <x v="0"/>
    <x v="4"/>
    <x v="38"/>
    <x v="0"/>
    <x v="28"/>
    <x v="1392"/>
    <x v="9"/>
    <x v="58"/>
    <x v="1"/>
    <x v="1"/>
    <x v="1"/>
    <x v="1"/>
    <x v="704"/>
    <x v="1"/>
    <x v="28"/>
    <x v="952"/>
    <x v="952"/>
    <x v="1"/>
    <x v="952"/>
    <x v="962"/>
    <x v="962"/>
    <x v="947"/>
    <x v="962"/>
    <x v="962"/>
    <x v="962"/>
    <x v="962"/>
    <x v="962"/>
    <x v="962"/>
    <x v="962"/>
    <x v="962"/>
    <x v="952"/>
    <x v="946"/>
    <x v="946"/>
    <x v="888"/>
    <x v="0"/>
    <x v="0"/>
    <x v="1031"/>
    <x v="952"/>
    <x v="952"/>
    <x v="952"/>
    <x v="952"/>
    <x v="11"/>
  </r>
  <r>
    <x v="1413"/>
    <x v="890"/>
    <x v="0"/>
    <x v="0"/>
    <x v="0"/>
    <x v="0"/>
    <x v="0"/>
    <x v="0"/>
    <x v="0"/>
    <x v="0"/>
    <x v="11"/>
    <x v="0"/>
    <x v="593"/>
    <x v="1"/>
    <x v="0"/>
    <x v="0"/>
    <x v="0"/>
    <x v="1413"/>
    <x v="2"/>
    <x v="23"/>
    <x v="23"/>
    <x v="0"/>
    <x v="0"/>
    <x v="4"/>
    <x v="52"/>
    <x v="0"/>
    <x v="30"/>
    <x v="1396"/>
    <x v="9"/>
    <x v="58"/>
    <x v="1"/>
    <x v="1"/>
    <x v="1"/>
    <x v="1"/>
    <x v="389"/>
    <x v="1"/>
    <x v="30"/>
    <x v="593"/>
    <x v="593"/>
    <x v="0"/>
    <x v="593"/>
    <x v="538"/>
    <x v="551"/>
    <x v="523"/>
    <x v="551"/>
    <x v="538"/>
    <x v="538"/>
    <x v="538"/>
    <x v="538"/>
    <x v="538"/>
    <x v="538"/>
    <x v="538"/>
    <x v="593"/>
    <x v="522"/>
    <x v="522"/>
    <x v="528"/>
    <x v="0"/>
    <x v="0"/>
    <x v="703"/>
    <x v="593"/>
    <x v="593"/>
    <x v="593"/>
    <x v="593"/>
    <x v="11"/>
  </r>
  <r>
    <x v="1414"/>
    <x v="857"/>
    <x v="0"/>
    <x v="0"/>
    <x v="0"/>
    <x v="0"/>
    <x v="0"/>
    <x v="0"/>
    <x v="0"/>
    <x v="0"/>
    <x v="11"/>
    <x v="0"/>
    <x v="1231"/>
    <x v="1"/>
    <x v="0"/>
    <x v="0"/>
    <x v="0"/>
    <x v="1414"/>
    <x v="2"/>
    <x v="23"/>
    <x v="23"/>
    <x v="0"/>
    <x v="0"/>
    <x v="4"/>
    <x v="76"/>
    <x v="0"/>
    <x v="36"/>
    <x v="1400"/>
    <x v="9"/>
    <x v="58"/>
    <x v="1"/>
    <x v="1"/>
    <x v="1"/>
    <x v="1"/>
    <x v="1028"/>
    <x v="1"/>
    <x v="36"/>
    <x v="1229"/>
    <x v="1229"/>
    <x v="2"/>
    <x v="1229"/>
    <x v="1255"/>
    <x v="1243"/>
    <x v="1240"/>
    <x v="1243"/>
    <x v="1255"/>
    <x v="1255"/>
    <x v="1255"/>
    <x v="1255"/>
    <x v="1255"/>
    <x v="1255"/>
    <x v="1255"/>
    <x v="1229"/>
    <x v="1240"/>
    <x v="1240"/>
    <x v="1158"/>
    <x v="0"/>
    <x v="0"/>
    <x v="1337"/>
    <x v="1229"/>
    <x v="1229"/>
    <x v="1229"/>
    <x v="1229"/>
    <x v="11"/>
  </r>
  <r>
    <x v="1415"/>
    <x v="880"/>
    <x v="0"/>
    <x v="0"/>
    <x v="0"/>
    <x v="0"/>
    <x v="0"/>
    <x v="1"/>
    <x v="0"/>
    <x v="0"/>
    <x v="11"/>
    <x v="0"/>
    <x v="1000"/>
    <x v="1"/>
    <x v="0"/>
    <x v="0"/>
    <x v="0"/>
    <x v="1415"/>
    <x v="1"/>
    <x v="23"/>
    <x v="23"/>
    <x v="0"/>
    <x v="0"/>
    <x v="3"/>
    <x v="38"/>
    <x v="0"/>
    <x v="28"/>
    <x v="1407"/>
    <x v="10"/>
    <x v="68"/>
    <x v="1"/>
    <x v="2"/>
    <x v="2"/>
    <x v="1"/>
    <x v="1060"/>
    <x v="2"/>
    <x v="28"/>
    <x v="1000"/>
    <x v="1000"/>
    <x v="1"/>
    <x v="1000"/>
    <x v="1087"/>
    <x v="1072"/>
    <x v="1090"/>
    <x v="1072"/>
    <x v="1087"/>
    <x v="1087"/>
    <x v="1087"/>
    <x v="1087"/>
    <x v="1087"/>
    <x v="1087"/>
    <x v="1087"/>
    <x v="1000"/>
    <x v="1086"/>
    <x v="1086"/>
    <x v="943"/>
    <x v="0"/>
    <x v="0"/>
    <x v="1171"/>
    <x v="1000"/>
    <x v="1000"/>
    <x v="1000"/>
    <x v="1000"/>
    <x v="11"/>
  </r>
  <r>
    <x v="1416"/>
    <x v="902"/>
    <x v="0"/>
    <x v="0"/>
    <x v="0"/>
    <x v="0"/>
    <x v="0"/>
    <x v="0"/>
    <x v="0"/>
    <x v="0"/>
    <x v="11"/>
    <x v="0"/>
    <x v="743"/>
    <x v="1"/>
    <x v="0"/>
    <x v="0"/>
    <x v="0"/>
    <x v="1416"/>
    <x v="2"/>
    <x v="23"/>
    <x v="23"/>
    <x v="0"/>
    <x v="0"/>
    <x v="4"/>
    <x v="79"/>
    <x v="0"/>
    <x v="36"/>
    <x v="1398"/>
    <x v="9"/>
    <x v="58"/>
    <x v="1"/>
    <x v="1"/>
    <x v="1"/>
    <x v="1"/>
    <x v="492"/>
    <x v="1"/>
    <x v="36"/>
    <x v="743"/>
    <x v="743"/>
    <x v="1"/>
    <x v="743"/>
    <x v="714"/>
    <x v="737"/>
    <x v="677"/>
    <x v="737"/>
    <x v="714"/>
    <x v="714"/>
    <x v="714"/>
    <x v="714"/>
    <x v="714"/>
    <x v="714"/>
    <x v="714"/>
    <x v="743"/>
    <x v="680"/>
    <x v="680"/>
    <x v="681"/>
    <x v="0"/>
    <x v="0"/>
    <x v="901"/>
    <x v="743"/>
    <x v="743"/>
    <x v="743"/>
    <x v="743"/>
    <x v="11"/>
  </r>
  <r>
    <x v="1417"/>
    <x v="910"/>
    <x v="0"/>
    <x v="0"/>
    <x v="0"/>
    <x v="0"/>
    <x v="0"/>
    <x v="1"/>
    <x v="0"/>
    <x v="0"/>
    <x v="11"/>
    <x v="0"/>
    <x v="739"/>
    <x v="1"/>
    <x v="0"/>
    <x v="0"/>
    <x v="0"/>
    <x v="1417"/>
    <x v="1"/>
    <x v="23"/>
    <x v="23"/>
    <x v="0"/>
    <x v="0"/>
    <x v="3"/>
    <x v="51"/>
    <x v="0"/>
    <x v="28"/>
    <x v="1409"/>
    <x v="10"/>
    <x v="68"/>
    <x v="1"/>
    <x v="2"/>
    <x v="2"/>
    <x v="1"/>
    <x v="838"/>
    <x v="2"/>
    <x v="28"/>
    <x v="739"/>
    <x v="739"/>
    <x v="1"/>
    <x v="739"/>
    <x v="822"/>
    <x v="817"/>
    <x v="814"/>
    <x v="817"/>
    <x v="822"/>
    <x v="822"/>
    <x v="822"/>
    <x v="822"/>
    <x v="822"/>
    <x v="822"/>
    <x v="822"/>
    <x v="739"/>
    <x v="809"/>
    <x v="809"/>
    <x v="689"/>
    <x v="0"/>
    <x v="0"/>
    <x v="910"/>
    <x v="739"/>
    <x v="739"/>
    <x v="739"/>
    <x v="739"/>
    <x v="11"/>
  </r>
  <r>
    <x v="1418"/>
    <x v="899"/>
    <x v="0"/>
    <x v="0"/>
    <x v="0"/>
    <x v="0"/>
    <x v="0"/>
    <x v="1"/>
    <x v="0"/>
    <x v="0"/>
    <x v="11"/>
    <x v="0"/>
    <x v="934"/>
    <x v="1"/>
    <x v="0"/>
    <x v="0"/>
    <x v="0"/>
    <x v="1418"/>
    <x v="1"/>
    <x v="23"/>
    <x v="23"/>
    <x v="0"/>
    <x v="0"/>
    <x v="4"/>
    <x v="52"/>
    <x v="0"/>
    <x v="29"/>
    <x v="1405"/>
    <x v="10"/>
    <x v="68"/>
    <x v="1"/>
    <x v="2"/>
    <x v="2"/>
    <x v="1"/>
    <x v="1025"/>
    <x v="2"/>
    <x v="29"/>
    <x v="934"/>
    <x v="934"/>
    <x v="1"/>
    <x v="934"/>
    <x v="1028"/>
    <x v="1008"/>
    <x v="1034"/>
    <x v="1008"/>
    <x v="1028"/>
    <x v="1028"/>
    <x v="1028"/>
    <x v="1028"/>
    <x v="1028"/>
    <x v="1028"/>
    <x v="1028"/>
    <x v="934"/>
    <x v="1032"/>
    <x v="1032"/>
    <x v="880"/>
    <x v="0"/>
    <x v="0"/>
    <x v="1121"/>
    <x v="934"/>
    <x v="934"/>
    <x v="934"/>
    <x v="934"/>
    <x v="11"/>
  </r>
  <r>
    <x v="1419"/>
    <x v="910"/>
    <x v="0"/>
    <x v="0"/>
    <x v="0"/>
    <x v="0"/>
    <x v="0"/>
    <x v="1"/>
    <x v="0"/>
    <x v="0"/>
    <x v="11"/>
    <x v="0"/>
    <x v="826"/>
    <x v="1"/>
    <x v="0"/>
    <x v="0"/>
    <x v="0"/>
    <x v="1419"/>
    <x v="1"/>
    <x v="23"/>
    <x v="23"/>
    <x v="0"/>
    <x v="0"/>
    <x v="3"/>
    <x v="51"/>
    <x v="0"/>
    <x v="28"/>
    <x v="1408"/>
    <x v="10"/>
    <x v="68"/>
    <x v="1"/>
    <x v="2"/>
    <x v="2"/>
    <x v="1"/>
    <x v="920"/>
    <x v="2"/>
    <x v="28"/>
    <x v="826"/>
    <x v="826"/>
    <x v="1"/>
    <x v="826"/>
    <x v="912"/>
    <x v="895"/>
    <x v="916"/>
    <x v="895"/>
    <x v="912"/>
    <x v="912"/>
    <x v="912"/>
    <x v="912"/>
    <x v="912"/>
    <x v="912"/>
    <x v="912"/>
    <x v="826"/>
    <x v="912"/>
    <x v="912"/>
    <x v="771"/>
    <x v="0"/>
    <x v="0"/>
    <x v="992"/>
    <x v="826"/>
    <x v="826"/>
    <x v="826"/>
    <x v="826"/>
    <x v="11"/>
  </r>
  <r>
    <x v="1420"/>
    <x v="913"/>
    <x v="0"/>
    <x v="0"/>
    <x v="0"/>
    <x v="0"/>
    <x v="0"/>
    <x v="0"/>
    <x v="0"/>
    <x v="0"/>
    <x v="11"/>
    <x v="0"/>
    <x v="841"/>
    <x v="1"/>
    <x v="0"/>
    <x v="0"/>
    <x v="0"/>
    <x v="1420"/>
    <x v="2"/>
    <x v="23"/>
    <x v="23"/>
    <x v="0"/>
    <x v="0"/>
    <x v="4"/>
    <x v="79"/>
    <x v="0"/>
    <x v="35"/>
    <x v="1399"/>
    <x v="9"/>
    <x v="58"/>
    <x v="1"/>
    <x v="1"/>
    <x v="1"/>
    <x v="1"/>
    <x v="585"/>
    <x v="1"/>
    <x v="35"/>
    <x v="841"/>
    <x v="841"/>
    <x v="1"/>
    <x v="841"/>
    <x v="852"/>
    <x v="852"/>
    <x v="825"/>
    <x v="852"/>
    <x v="852"/>
    <x v="852"/>
    <x v="852"/>
    <x v="852"/>
    <x v="852"/>
    <x v="852"/>
    <x v="852"/>
    <x v="841"/>
    <x v="822"/>
    <x v="822"/>
    <x v="781"/>
    <x v="0"/>
    <x v="0"/>
    <x v="994"/>
    <x v="841"/>
    <x v="841"/>
    <x v="841"/>
    <x v="841"/>
    <x v="11"/>
  </r>
  <r>
    <x v="1421"/>
    <x v="926"/>
    <x v="0"/>
    <x v="0"/>
    <x v="0"/>
    <x v="0"/>
    <x v="1"/>
    <x v="4"/>
    <x v="0"/>
    <x v="0"/>
    <x v="11"/>
    <x v="0"/>
    <x v="945"/>
    <x v="1"/>
    <x v="0"/>
    <x v="0"/>
    <x v="0"/>
    <x v="1421"/>
    <x v="1"/>
    <x v="23"/>
    <x v="23"/>
    <x v="0"/>
    <x v="0"/>
    <x v="4"/>
    <x v="52"/>
    <x v="0"/>
    <x v="29"/>
    <x v="1417"/>
    <x v="2"/>
    <x v="24"/>
    <x v="1"/>
    <x v="5"/>
    <x v="2"/>
    <x v="1"/>
    <x v="1299"/>
    <x v="5"/>
    <x v="29"/>
    <x v="945"/>
    <x v="945"/>
    <x v="1"/>
    <x v="945"/>
    <x v="1062"/>
    <x v="1028"/>
    <x v="1096"/>
    <x v="1028"/>
    <x v="1062"/>
    <x v="1062"/>
    <x v="1062"/>
    <x v="1062"/>
    <x v="1062"/>
    <x v="1062"/>
    <x v="1062"/>
    <x v="945"/>
    <x v="1096"/>
    <x v="1096"/>
    <x v="913"/>
    <x v="0"/>
    <x v="0"/>
    <x v="1180"/>
    <x v="945"/>
    <x v="945"/>
    <x v="945"/>
    <x v="945"/>
    <x v="11"/>
  </r>
  <r>
    <x v="1422"/>
    <x v="923"/>
    <x v="0"/>
    <x v="0"/>
    <x v="0"/>
    <x v="0"/>
    <x v="0"/>
    <x v="0"/>
    <x v="0"/>
    <x v="0"/>
    <x v="11"/>
    <x v="0"/>
    <x v="182"/>
    <x v="1"/>
    <x v="0"/>
    <x v="0"/>
    <x v="0"/>
    <x v="1422"/>
    <x v="2"/>
    <x v="23"/>
    <x v="23"/>
    <x v="0"/>
    <x v="0"/>
    <x v="4"/>
    <x v="79"/>
    <x v="0"/>
    <x v="34"/>
    <x v="1394"/>
    <x v="9"/>
    <x v="58"/>
    <x v="1"/>
    <x v="1"/>
    <x v="1"/>
    <x v="1"/>
    <x v="97"/>
    <x v="1"/>
    <x v="34"/>
    <x v="183"/>
    <x v="183"/>
    <x v="0"/>
    <x v="183"/>
    <x v="187"/>
    <x v="190"/>
    <x v="185"/>
    <x v="190"/>
    <x v="187"/>
    <x v="187"/>
    <x v="187"/>
    <x v="187"/>
    <x v="187"/>
    <x v="187"/>
    <x v="187"/>
    <x v="183"/>
    <x v="183"/>
    <x v="183"/>
    <x v="160"/>
    <x v="0"/>
    <x v="0"/>
    <x v="229"/>
    <x v="183"/>
    <x v="183"/>
    <x v="183"/>
    <x v="183"/>
    <x v="11"/>
  </r>
  <r>
    <x v="1423"/>
    <x v="930"/>
    <x v="0"/>
    <x v="0"/>
    <x v="0"/>
    <x v="0"/>
    <x v="0"/>
    <x v="0"/>
    <x v="0"/>
    <x v="0"/>
    <x v="11"/>
    <x v="0"/>
    <x v="846"/>
    <x v="1"/>
    <x v="0"/>
    <x v="0"/>
    <x v="0"/>
    <x v="1423"/>
    <x v="2"/>
    <x v="23"/>
    <x v="23"/>
    <x v="0"/>
    <x v="0"/>
    <x v="4"/>
    <x v="128"/>
    <x v="0"/>
    <x v="34"/>
    <x v="1411"/>
    <x v="9"/>
    <x v="58"/>
    <x v="1"/>
    <x v="1"/>
    <x v="1"/>
    <x v="1"/>
    <x v="591"/>
    <x v="1"/>
    <x v="34"/>
    <x v="846"/>
    <x v="846"/>
    <x v="1"/>
    <x v="846"/>
    <x v="857"/>
    <x v="857"/>
    <x v="830"/>
    <x v="857"/>
    <x v="857"/>
    <x v="857"/>
    <x v="857"/>
    <x v="857"/>
    <x v="857"/>
    <x v="857"/>
    <x v="857"/>
    <x v="846"/>
    <x v="829"/>
    <x v="829"/>
    <x v="786"/>
    <x v="0"/>
    <x v="0"/>
    <x v="987"/>
    <x v="846"/>
    <x v="846"/>
    <x v="846"/>
    <x v="846"/>
    <x v="11"/>
  </r>
  <r>
    <x v="1424"/>
    <x v="926"/>
    <x v="0"/>
    <x v="0"/>
    <x v="0"/>
    <x v="0"/>
    <x v="1"/>
    <x v="4"/>
    <x v="0"/>
    <x v="0"/>
    <x v="11"/>
    <x v="0"/>
    <x v="1339"/>
    <x v="1"/>
    <x v="0"/>
    <x v="0"/>
    <x v="0"/>
    <x v="1424"/>
    <x v="1"/>
    <x v="23"/>
    <x v="23"/>
    <x v="0"/>
    <x v="0"/>
    <x v="4"/>
    <x v="52"/>
    <x v="0"/>
    <x v="29"/>
    <x v="1416"/>
    <x v="2"/>
    <x v="24"/>
    <x v="1"/>
    <x v="5"/>
    <x v="2"/>
    <x v="1"/>
    <x v="1381"/>
    <x v="5"/>
    <x v="29"/>
    <x v="1337"/>
    <x v="1337"/>
    <x v="3"/>
    <x v="1337"/>
    <x v="1388"/>
    <x v="1371"/>
    <x v="1390"/>
    <x v="1371"/>
    <x v="1388"/>
    <x v="1388"/>
    <x v="1388"/>
    <x v="1388"/>
    <x v="1388"/>
    <x v="1388"/>
    <x v="1388"/>
    <x v="1337"/>
    <x v="1388"/>
    <x v="1388"/>
    <x v="1260"/>
    <x v="0"/>
    <x v="0"/>
    <x v="1414"/>
    <x v="1337"/>
    <x v="1337"/>
    <x v="1337"/>
    <x v="1337"/>
    <x v="11"/>
  </r>
  <r>
    <x v="1425"/>
    <x v="943"/>
    <x v="0"/>
    <x v="0"/>
    <x v="0"/>
    <x v="0"/>
    <x v="0"/>
    <x v="1"/>
    <x v="0"/>
    <x v="0"/>
    <x v="11"/>
    <x v="0"/>
    <x v="473"/>
    <x v="1"/>
    <x v="0"/>
    <x v="0"/>
    <x v="0"/>
    <x v="1425"/>
    <x v="1"/>
    <x v="23"/>
    <x v="23"/>
    <x v="0"/>
    <x v="0"/>
    <x v="4"/>
    <x v="79"/>
    <x v="0"/>
    <x v="34"/>
    <x v="1412"/>
    <x v="10"/>
    <x v="68"/>
    <x v="1"/>
    <x v="2"/>
    <x v="2"/>
    <x v="1"/>
    <x v="665"/>
    <x v="2"/>
    <x v="34"/>
    <x v="473"/>
    <x v="473"/>
    <x v="0"/>
    <x v="473"/>
    <x v="574"/>
    <x v="561"/>
    <x v="582"/>
    <x v="561"/>
    <x v="574"/>
    <x v="574"/>
    <x v="574"/>
    <x v="574"/>
    <x v="574"/>
    <x v="574"/>
    <x v="574"/>
    <x v="473"/>
    <x v="578"/>
    <x v="578"/>
    <x v="432"/>
    <x v="0"/>
    <x v="0"/>
    <x v="805"/>
    <x v="473"/>
    <x v="473"/>
    <x v="473"/>
    <x v="473"/>
    <x v="11"/>
  </r>
  <r>
    <x v="1426"/>
    <x v="921"/>
    <x v="0"/>
    <x v="0"/>
    <x v="0"/>
    <x v="0"/>
    <x v="0"/>
    <x v="0"/>
    <x v="0"/>
    <x v="0"/>
    <x v="11"/>
    <x v="0"/>
    <x v="932"/>
    <x v="1"/>
    <x v="0"/>
    <x v="0"/>
    <x v="0"/>
    <x v="1426"/>
    <x v="2"/>
    <x v="23"/>
    <x v="23"/>
    <x v="0"/>
    <x v="0"/>
    <x v="5"/>
    <x v="128"/>
    <x v="0"/>
    <x v="34"/>
    <x v="1395"/>
    <x v="9"/>
    <x v="58"/>
    <x v="1"/>
    <x v="1"/>
    <x v="1"/>
    <x v="1"/>
    <x v="682"/>
    <x v="1"/>
    <x v="34"/>
    <x v="932"/>
    <x v="932"/>
    <x v="1"/>
    <x v="932"/>
    <x v="941"/>
    <x v="941"/>
    <x v="931"/>
    <x v="941"/>
    <x v="941"/>
    <x v="941"/>
    <x v="941"/>
    <x v="941"/>
    <x v="941"/>
    <x v="941"/>
    <x v="941"/>
    <x v="932"/>
    <x v="930"/>
    <x v="930"/>
    <x v="872"/>
    <x v="0"/>
    <x v="0"/>
    <x v="1074"/>
    <x v="932"/>
    <x v="932"/>
    <x v="932"/>
    <x v="932"/>
    <x v="11"/>
  </r>
  <r>
    <x v="1427"/>
    <x v="937"/>
    <x v="0"/>
    <x v="0"/>
    <x v="0"/>
    <x v="0"/>
    <x v="0"/>
    <x v="0"/>
    <x v="0"/>
    <x v="0"/>
    <x v="11"/>
    <x v="0"/>
    <x v="842"/>
    <x v="1"/>
    <x v="0"/>
    <x v="0"/>
    <x v="0"/>
    <x v="1427"/>
    <x v="2"/>
    <x v="23"/>
    <x v="23"/>
    <x v="0"/>
    <x v="0"/>
    <x v="4"/>
    <x v="79"/>
    <x v="0"/>
    <x v="35"/>
    <x v="1401"/>
    <x v="9"/>
    <x v="58"/>
    <x v="1"/>
    <x v="1"/>
    <x v="1"/>
    <x v="1"/>
    <x v="586"/>
    <x v="1"/>
    <x v="35"/>
    <x v="842"/>
    <x v="842"/>
    <x v="1"/>
    <x v="842"/>
    <x v="853"/>
    <x v="853"/>
    <x v="826"/>
    <x v="853"/>
    <x v="853"/>
    <x v="853"/>
    <x v="853"/>
    <x v="853"/>
    <x v="853"/>
    <x v="853"/>
    <x v="853"/>
    <x v="842"/>
    <x v="823"/>
    <x v="823"/>
    <x v="782"/>
    <x v="0"/>
    <x v="0"/>
    <x v="996"/>
    <x v="842"/>
    <x v="842"/>
    <x v="842"/>
    <x v="842"/>
    <x v="11"/>
  </r>
  <r>
    <x v="1428"/>
    <x v="949"/>
    <x v="0"/>
    <x v="0"/>
    <x v="0"/>
    <x v="0"/>
    <x v="1"/>
    <x v="4"/>
    <x v="0"/>
    <x v="0"/>
    <x v="11"/>
    <x v="0"/>
    <x v="87"/>
    <x v="1"/>
    <x v="0"/>
    <x v="0"/>
    <x v="0"/>
    <x v="1428"/>
    <x v="1"/>
    <x v="23"/>
    <x v="23"/>
    <x v="0"/>
    <x v="0"/>
    <x v="4"/>
    <x v="128"/>
    <x v="0"/>
    <x v="33"/>
    <x v="1419"/>
    <x v="2"/>
    <x v="24"/>
    <x v="1"/>
    <x v="5"/>
    <x v="2"/>
    <x v="1"/>
    <x v="228"/>
    <x v="5"/>
    <x v="33"/>
    <x v="88"/>
    <x v="88"/>
    <x v="0"/>
    <x v="88"/>
    <x v="105"/>
    <x v="101"/>
    <x v="111"/>
    <x v="101"/>
    <x v="105"/>
    <x v="105"/>
    <x v="105"/>
    <x v="105"/>
    <x v="105"/>
    <x v="105"/>
    <x v="105"/>
    <x v="88"/>
    <x v="111"/>
    <x v="111"/>
    <x v="79"/>
    <x v="0"/>
    <x v="0"/>
    <x v="143"/>
    <x v="88"/>
    <x v="88"/>
    <x v="88"/>
    <x v="88"/>
    <x v="11"/>
  </r>
  <r>
    <x v="1429"/>
    <x v="951"/>
    <x v="0"/>
    <x v="0"/>
    <x v="0"/>
    <x v="0"/>
    <x v="1"/>
    <x v="4"/>
    <x v="0"/>
    <x v="0"/>
    <x v="11"/>
    <x v="0"/>
    <x v="18"/>
    <x v="1"/>
    <x v="0"/>
    <x v="0"/>
    <x v="0"/>
    <x v="1429"/>
    <x v="1"/>
    <x v="23"/>
    <x v="23"/>
    <x v="0"/>
    <x v="0"/>
    <x v="4"/>
    <x v="128"/>
    <x v="0"/>
    <x v="33"/>
    <x v="1420"/>
    <x v="2"/>
    <x v="24"/>
    <x v="1"/>
    <x v="5"/>
    <x v="2"/>
    <x v="1"/>
    <x v="78"/>
    <x v="5"/>
    <x v="33"/>
    <x v="19"/>
    <x v="19"/>
    <x v="0"/>
    <x v="19"/>
    <x v="21"/>
    <x v="19"/>
    <x v="25"/>
    <x v="19"/>
    <x v="21"/>
    <x v="21"/>
    <x v="21"/>
    <x v="21"/>
    <x v="21"/>
    <x v="21"/>
    <x v="21"/>
    <x v="19"/>
    <x v="25"/>
    <x v="25"/>
    <x v="19"/>
    <x v="0"/>
    <x v="0"/>
    <x v="38"/>
    <x v="19"/>
    <x v="19"/>
    <x v="19"/>
    <x v="19"/>
    <x v="11"/>
  </r>
  <r>
    <x v="1430"/>
    <x v="950"/>
    <x v="0"/>
    <x v="0"/>
    <x v="0"/>
    <x v="0"/>
    <x v="1"/>
    <x v="4"/>
    <x v="0"/>
    <x v="0"/>
    <x v="11"/>
    <x v="0"/>
    <x v="103"/>
    <x v="1"/>
    <x v="0"/>
    <x v="0"/>
    <x v="0"/>
    <x v="1430"/>
    <x v="1"/>
    <x v="23"/>
    <x v="23"/>
    <x v="0"/>
    <x v="0"/>
    <x v="4"/>
    <x v="79"/>
    <x v="0"/>
    <x v="33"/>
    <x v="1418"/>
    <x v="2"/>
    <x v="24"/>
    <x v="1"/>
    <x v="5"/>
    <x v="2"/>
    <x v="1"/>
    <x v="273"/>
    <x v="5"/>
    <x v="33"/>
    <x v="104"/>
    <x v="104"/>
    <x v="0"/>
    <x v="104"/>
    <x v="125"/>
    <x v="121"/>
    <x v="126"/>
    <x v="121"/>
    <x v="125"/>
    <x v="125"/>
    <x v="125"/>
    <x v="125"/>
    <x v="125"/>
    <x v="125"/>
    <x v="125"/>
    <x v="104"/>
    <x v="125"/>
    <x v="125"/>
    <x v="96"/>
    <x v="0"/>
    <x v="0"/>
    <x v="169"/>
    <x v="104"/>
    <x v="104"/>
    <x v="104"/>
    <x v="104"/>
    <x v="11"/>
  </r>
  <r>
    <x v="1431"/>
    <x v="965"/>
    <x v="0"/>
    <x v="0"/>
    <x v="0"/>
    <x v="0"/>
    <x v="0"/>
    <x v="1"/>
    <x v="0"/>
    <x v="0"/>
    <x v="11"/>
    <x v="0"/>
    <x v="668"/>
    <x v="1"/>
    <x v="0"/>
    <x v="0"/>
    <x v="0"/>
    <x v="1431"/>
    <x v="1"/>
    <x v="23"/>
    <x v="23"/>
    <x v="0"/>
    <x v="0"/>
    <x v="4"/>
    <x v="126"/>
    <x v="0"/>
    <x v="33"/>
    <x v="1413"/>
    <x v="10"/>
    <x v="68"/>
    <x v="1"/>
    <x v="2"/>
    <x v="2"/>
    <x v="1"/>
    <x v="771"/>
    <x v="2"/>
    <x v="33"/>
    <x v="668"/>
    <x v="668"/>
    <x v="1"/>
    <x v="668"/>
    <x v="737"/>
    <x v="740"/>
    <x v="734"/>
    <x v="740"/>
    <x v="737"/>
    <x v="737"/>
    <x v="737"/>
    <x v="737"/>
    <x v="737"/>
    <x v="737"/>
    <x v="737"/>
    <x v="668"/>
    <x v="730"/>
    <x v="730"/>
    <x v="613"/>
    <x v="0"/>
    <x v="0"/>
    <x v="900"/>
    <x v="668"/>
    <x v="668"/>
    <x v="668"/>
    <x v="668"/>
    <x v="11"/>
  </r>
  <r>
    <x v="1432"/>
    <x v="965"/>
    <x v="0"/>
    <x v="0"/>
    <x v="0"/>
    <x v="0"/>
    <x v="1"/>
    <x v="4"/>
    <x v="0"/>
    <x v="0"/>
    <x v="11"/>
    <x v="0"/>
    <x v="974"/>
    <x v="1"/>
    <x v="0"/>
    <x v="0"/>
    <x v="0"/>
    <x v="1432"/>
    <x v="1"/>
    <x v="23"/>
    <x v="23"/>
    <x v="0"/>
    <x v="0"/>
    <x v="4"/>
    <x v="126"/>
    <x v="0"/>
    <x v="33"/>
    <x v="1415"/>
    <x v="2"/>
    <x v="24"/>
    <x v="1"/>
    <x v="5"/>
    <x v="2"/>
    <x v="1"/>
    <x v="1307"/>
    <x v="5"/>
    <x v="33"/>
    <x v="974"/>
    <x v="974"/>
    <x v="1"/>
    <x v="974"/>
    <x v="1080"/>
    <x v="1048"/>
    <x v="1118"/>
    <x v="1048"/>
    <x v="1080"/>
    <x v="1080"/>
    <x v="1080"/>
    <x v="1080"/>
    <x v="1080"/>
    <x v="1080"/>
    <x v="1080"/>
    <x v="974"/>
    <x v="1117"/>
    <x v="1117"/>
    <x v="931"/>
    <x v="0"/>
    <x v="0"/>
    <x v="1236"/>
    <x v="974"/>
    <x v="974"/>
    <x v="974"/>
    <x v="974"/>
    <x v="11"/>
  </r>
  <r>
    <x v="1433"/>
    <x v="965"/>
    <x v="0"/>
    <x v="0"/>
    <x v="0"/>
    <x v="0"/>
    <x v="1"/>
    <x v="4"/>
    <x v="0"/>
    <x v="0"/>
    <x v="11"/>
    <x v="0"/>
    <x v="971"/>
    <x v="1"/>
    <x v="0"/>
    <x v="0"/>
    <x v="0"/>
    <x v="1433"/>
    <x v="1"/>
    <x v="23"/>
    <x v="23"/>
    <x v="0"/>
    <x v="0"/>
    <x v="4"/>
    <x v="126"/>
    <x v="0"/>
    <x v="33"/>
    <x v="1414"/>
    <x v="2"/>
    <x v="24"/>
    <x v="1"/>
    <x v="5"/>
    <x v="2"/>
    <x v="1"/>
    <x v="1305"/>
    <x v="5"/>
    <x v="33"/>
    <x v="971"/>
    <x v="971"/>
    <x v="1"/>
    <x v="971"/>
    <x v="1077"/>
    <x v="1045"/>
    <x v="1115"/>
    <x v="1045"/>
    <x v="1077"/>
    <x v="1077"/>
    <x v="1077"/>
    <x v="1077"/>
    <x v="1077"/>
    <x v="1077"/>
    <x v="1077"/>
    <x v="971"/>
    <x v="1114"/>
    <x v="1114"/>
    <x v="929"/>
    <x v="0"/>
    <x v="0"/>
    <x v="1233"/>
    <x v="971"/>
    <x v="971"/>
    <x v="971"/>
    <x v="971"/>
    <x v="11"/>
  </r>
  <r>
    <x v="1434"/>
    <x v="968"/>
    <x v="0"/>
    <x v="0"/>
    <x v="0"/>
    <x v="0"/>
    <x v="1"/>
    <x v="4"/>
    <x v="0"/>
    <x v="0"/>
    <x v="11"/>
    <x v="0"/>
    <x v="320"/>
    <x v="1"/>
    <x v="0"/>
    <x v="0"/>
    <x v="0"/>
    <x v="1434"/>
    <x v="1"/>
    <x v="23"/>
    <x v="23"/>
    <x v="0"/>
    <x v="0"/>
    <x v="4"/>
    <x v="6"/>
    <x v="0"/>
    <x v="34"/>
    <x v="1365"/>
    <x v="2"/>
    <x v="24"/>
    <x v="1"/>
    <x v="5"/>
    <x v="2"/>
    <x v="1"/>
    <x v="1014"/>
    <x v="5"/>
    <x v="34"/>
    <x v="320"/>
    <x v="320"/>
    <x v="0"/>
    <x v="320"/>
    <x v="378"/>
    <x v="359"/>
    <x v="405"/>
    <x v="359"/>
    <x v="378"/>
    <x v="378"/>
    <x v="378"/>
    <x v="378"/>
    <x v="378"/>
    <x v="378"/>
    <x v="378"/>
    <x v="320"/>
    <x v="404"/>
    <x v="404"/>
    <x v="301"/>
    <x v="0"/>
    <x v="0"/>
    <x v="622"/>
    <x v="320"/>
    <x v="320"/>
    <x v="320"/>
    <x v="320"/>
    <x v="11"/>
  </r>
  <r>
    <x v="1435"/>
    <x v="998"/>
    <x v="0"/>
    <x v="0"/>
    <x v="0"/>
    <x v="0"/>
    <x v="1"/>
    <x v="5"/>
    <x v="0"/>
    <x v="0"/>
    <x v="11"/>
    <x v="0"/>
    <x v="563"/>
    <x v="1"/>
    <x v="0"/>
    <x v="0"/>
    <x v="0"/>
    <x v="1435"/>
    <x v="1"/>
    <x v="24"/>
    <x v="24"/>
    <x v="1"/>
    <x v="1"/>
    <x v="3"/>
    <x v="9"/>
    <x v="0"/>
    <x v="40"/>
    <x v="1293"/>
    <x v="3"/>
    <x v="33"/>
    <x v="1"/>
    <x v="6"/>
    <x v="3"/>
    <x v="1"/>
    <x v="1300"/>
    <x v="6"/>
    <x v="40"/>
    <x v="563"/>
    <x v="563"/>
    <x v="0"/>
    <x v="563"/>
    <x v="789"/>
    <x v="716"/>
    <x v="853"/>
    <x v="716"/>
    <x v="789"/>
    <x v="789"/>
    <x v="789"/>
    <x v="789"/>
    <x v="789"/>
    <x v="789"/>
    <x v="789"/>
    <x v="563"/>
    <x v="864"/>
    <x v="864"/>
    <x v="0"/>
    <x v="83"/>
    <x v="0"/>
    <x v="1067"/>
    <x v="563"/>
    <x v="563"/>
    <x v="563"/>
    <x v="563"/>
    <x v="11"/>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TAB_RES_REDES" cacheId="1" applyNumberFormats="0" applyBorderFormats="0" applyFontFormats="0" applyPatternFormats="0" applyAlignmentFormats="0" applyWidthHeightFormats="0" dataCaption="Values" showDrill="0" useAutoFormatting="0" itemPrintTitles="1" indent="0" outline="0" outlineData="0" compact="0" compactData="0">
  <location ref="A5:Q21" firstHeaderRow="1" firstDataRow="3" firstDataCol="3"/>
  <pivotFields count="64">
    <pivotField compact="0" showAll="0" outline="0"/>
    <pivotField compact="0" showAll="0" outline="0"/>
    <pivotField axis="axisRow" compact="0" showAll="0" outline="0">
      <items count="2">
        <item x="0"/>
        <item t="default"/>
      </items>
    </pivotField>
    <pivotField compact="0" showAll="0" outline="0"/>
    <pivotField compact="0" showAll="0" outline="0"/>
    <pivotField compact="0" showAll="0" outline="0"/>
    <pivotField compact="0" showAll="0" outline="0"/>
    <pivotField axis="axisRow" compact="0" showAll="0" defaultSubtotal="0" outline="0">
      <items count="12">
        <item x="0"/>
        <item x="1"/>
        <item x="2"/>
        <item x="4"/>
        <item x="6"/>
        <item x="7"/>
        <item x="3"/>
        <item x="5"/>
        <item x="8"/>
        <item x="9"/>
        <item x="10"/>
        <item x="11"/>
      </items>
    </pivotField>
    <pivotField compact="0" showAll="0" outline="0"/>
    <pivotField axis="axisCol" compact="0" showAll="0" outline="0">
      <items count="2">
        <item x="0"/>
        <item t="default"/>
      </items>
    </pivotField>
    <pivotField axis="axisCol" compact="0" showAll="0" defaultSubtotal="0" outline="0">
      <items count="12">
        <item x="0"/>
        <item x="1"/>
        <item x="2"/>
        <item x="3"/>
        <item x="4"/>
        <item x="5"/>
        <item x="6"/>
        <item x="7"/>
        <item x="8"/>
        <item x="9"/>
        <item x="10"/>
        <item x="11"/>
      </items>
    </pivotField>
    <pivotField compact="0" showAll="0" outline="0"/>
    <pivotField dataField="1" compact="0" showAll="0" outline="0"/>
    <pivotField compact="0" showAll="0" outline="0"/>
    <pivotField compact="0" showAll="0" outline="0"/>
    <pivotField axis="axisRow" compact="0" showAll="0" outline="0">
      <items count="2">
        <item x="0"/>
        <item t="default"/>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3">
    <field x="2"/>
    <field x="7"/>
    <field x="15"/>
  </rowFields>
  <colFields count="2">
    <field x="9"/>
    <field x="10"/>
  </colFields>
  <dataFields count="1">
    <dataField name="Soma de DISTÂNCIA" fld="12" subtotal="sum" numFmtId="17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Tabela dinâmica1" cacheId="1" applyNumberFormats="0" applyBorderFormats="0" applyFontFormats="0" applyPatternFormats="0" applyAlignmentFormats="0" applyWidthHeightFormats="0" dataCaption="Values" showDrill="0" useAutoFormatting="0" itemPrintTitles="1" indent="0" outline="0" outlineData="0" compact="0" compactData="0">
  <location ref="A5:I1442" firstHeaderRow="1" firstDataRow="1" firstDataCol="8"/>
  <pivotFields count="64">
    <pivotField compact="0" showAll="0" outline="0"/>
    <pivotField compact="0" showAll="0" outline="0"/>
    <pivotField axis="axisRow" compact="0" showAll="0" defaultSubtotal="0" outline="0">
      <items count="1">
        <item x="0"/>
      </items>
    </pivotField>
    <pivotField compact="0" showAll="0" outline="0"/>
    <pivotField compact="0" showAll="0" outline="0"/>
    <pivotField compact="0" showAll="0" outline="0"/>
    <pivotField compact="0" showAll="0" outline="0"/>
    <pivotField axis="axisRow" compact="0" showAll="0" defaultSubtotal="0" outline="0">
      <items count="12">
        <item x="0"/>
        <item x="1"/>
        <item x="2"/>
        <item x="4"/>
        <item x="6"/>
        <item x="7"/>
        <item x="3"/>
        <item x="5"/>
        <item x="8"/>
        <item x="9"/>
        <item x="10"/>
        <item x="11"/>
      </items>
    </pivotField>
    <pivotField compact="0" showAll="0" outline="0"/>
    <pivotField axis="axisRow" compact="0" showAll="0" defaultSubtotal="0" outline="0">
      <items count="1">
        <item x="0"/>
      </items>
    </pivotField>
    <pivotField axis="axisRow" compact="0" showAll="0" defaultSubtotal="0" outline="0">
      <items count="12">
        <item x="0"/>
        <item x="1"/>
        <item x="2"/>
        <item x="3"/>
        <item x="4"/>
        <item x="5"/>
        <item x="6"/>
        <item x="7"/>
        <item x="8"/>
        <item x="9"/>
        <item x="10"/>
        <item x="11"/>
      </items>
    </pivotField>
    <pivotField axis="axisRow" compact="0" showAll="0" outline="0">
      <items count="2">
        <item x="0"/>
        <item t="default"/>
      </items>
    </pivotField>
    <pivotField dataField="1" compact="0" showAll="0" outline="0"/>
    <pivotField axis="axisRow" compact="0" showAll="0" defaultSubtotal="0" outline="0">
      <items count="2">
        <item x="0"/>
        <item x="1"/>
      </items>
    </pivotField>
    <pivotField compact="0" showAll="0" outline="0"/>
    <pivotField compact="0" showAll="0" outline="0"/>
    <pivotField compact="0" showAll="0" outline="0"/>
    <pivotField axis="axisRow" compact="0" showAll="0" defaultSubtotal="0" outline="0">
      <items count="14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s>
    </pivotField>
    <pivotField compact="0" showAll="0" outline="0"/>
    <pivotField compact="0" showAll="0" outline="0"/>
    <pivotField axis="axisRow" compact="0" showAll="0" defaultSubtotal="0" outline="0">
      <items count="25">
        <item x="0"/>
        <item x="1"/>
        <item x="2"/>
        <item x="3"/>
        <item x="4"/>
        <item x="5"/>
        <item x="6"/>
        <item x="7"/>
        <item x="8"/>
        <item x="9"/>
        <item x="10"/>
        <item x="11"/>
        <item x="12"/>
        <item x="13"/>
        <item x="14"/>
        <item x="15"/>
        <item x="16"/>
        <item x="17"/>
        <item x="18"/>
        <item x="19"/>
        <item x="20"/>
        <item x="21"/>
        <item x="22"/>
        <item x="23"/>
        <item x="24"/>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8">
    <field x="9"/>
    <field x="20"/>
    <field x="2"/>
    <field x="13"/>
    <field x="17"/>
    <field x="10"/>
    <field x="7"/>
    <field x="11"/>
  </rowFields>
  <dataFields count="1">
    <dataField name="SOMA DISTÂNCIA" fld="12" subtotal="sum" numFmtId="17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0" useAutoFormatting="0" itemPrintTitles="1" indent="0" outline="0" outlineData="0" compact="0" compactData="0">
  <location ref="A5:K45" firstHeaderRow="1" firstDataRow="1" firstDataCol="10"/>
  <pivotFields count="64">
    <pivotField compact="0" showAll="0" outline="0"/>
    <pivotField compact="0" showAll="0" outline="0"/>
    <pivotField axis="axisRow" compact="0" showAll="0" defaultSubtotal="0" outline="0">
      <items count="1">
        <item x="0"/>
      </items>
    </pivotField>
    <pivotField compact="0" showAll="0" outline="0"/>
    <pivotField compact="0" showAll="0" outline="0"/>
    <pivotField compact="0" showAll="0" outline="0"/>
    <pivotField compact="0" showAll="0" outline="0"/>
    <pivotField axis="axisRow" compact="0" showAll="0" defaultSubtotal="0" outline="0">
      <items count="12">
        <item x="0"/>
        <item x="1"/>
        <item x="2"/>
        <item x="4"/>
        <item x="6"/>
        <item x="7"/>
        <item x="3"/>
        <item x="5"/>
        <item x="8"/>
        <item x="9"/>
        <item x="10"/>
        <item x="11"/>
      </items>
    </pivotField>
    <pivotField compact="0" showAll="0" outline="0"/>
    <pivotField axis="axisRow" compact="0" showAll="0" outline="0">
      <items count="2">
        <item x="0"/>
        <item t="default"/>
      </items>
    </pivotField>
    <pivotField axis="axisRow" compact="0" showAll="0" defaultSubtotal="0" outline="0">
      <items count="12">
        <item x="0"/>
        <item x="1"/>
        <item x="2"/>
        <item x="3"/>
        <item x="4"/>
        <item x="5"/>
        <item x="6"/>
        <item x="7"/>
        <item x="8"/>
        <item x="9"/>
        <item x="10"/>
        <item x="11"/>
      </items>
    </pivotField>
    <pivotField axis="axisRow" compact="0" showAll="0" defaultSubtotal="0" outline="0">
      <items count="1">
        <item x="0"/>
      </items>
    </pivotField>
    <pivotField dataField="1" compact="0" showAll="0" outline="0"/>
    <pivotField compact="0" showAll="0" outline="0"/>
    <pivotField compact="0" showAll="0" outline="0"/>
    <pivotField compact="0" showAll="0" outline="0"/>
    <pivotField compact="0" showAll="0" outline="0"/>
    <pivotField axis="axisRow" compact="0" showAll="0" defaultSubtotal="0" outline="0">
      <items count="14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s>
    </pivotField>
    <pivotField axis="axisRow" compact="0" showAll="0" defaultSubtotal="0" outline="0">
      <items count="3">
        <item x="0"/>
        <item h="1" x="1"/>
        <item h="1" x="2"/>
      </items>
    </pivotField>
    <pivotField compact="0" showAll="0" outline="0"/>
    <pivotField axis="axisRow" compact="0" showAll="0" defaultSubtotal="0" outline="0">
      <items count="25">
        <item x="0"/>
        <item x="1"/>
        <item x="2"/>
        <item x="3"/>
        <item x="4"/>
        <item x="5"/>
        <item x="6"/>
        <item x="7"/>
        <item x="8"/>
        <item x="9"/>
        <item x="10"/>
        <item x="11"/>
        <item x="12"/>
        <item x="13"/>
        <item x="14"/>
        <item x="15"/>
        <item x="16"/>
        <item x="17"/>
        <item x="18"/>
        <item x="19"/>
        <item x="20"/>
        <item x="21"/>
        <item x="22"/>
        <item x="23"/>
        <item x="24"/>
      </items>
    </pivotField>
    <pivotField compact="0" showAll="0" outline="0"/>
    <pivotField compact="0" showAll="0" outline="0"/>
    <pivotField axis="axisRow" compact="0" showAll="0" outline="0">
      <items count="7">
        <item x="0"/>
        <item x="1"/>
        <item x="2"/>
        <item x="3"/>
        <item x="4"/>
        <item x="5"/>
        <item t="default"/>
      </items>
    </pivotField>
    <pivotField axis="axisRow" compact="0" showAll="0" defaultSubtotal="0" outline="0">
      <items count="129">
        <item x="11"/>
        <item x="26"/>
        <item x="30"/>
        <item x="12"/>
        <item x="7"/>
        <item x="0"/>
        <item x="1"/>
        <item x="2"/>
        <item x="3"/>
        <item x="4"/>
        <item x="5"/>
        <item x="6"/>
        <item x="8"/>
        <item x="9"/>
        <item x="10"/>
        <item x="13"/>
        <item x="14"/>
        <item x="15"/>
        <item x="16"/>
        <item x="17"/>
        <item x="18"/>
        <item x="19"/>
        <item x="20"/>
        <item x="21"/>
        <item x="22"/>
        <item x="23"/>
        <item x="24"/>
        <item x="25"/>
        <item x="27"/>
        <item x="28"/>
        <item x="29"/>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10">
    <field x="9"/>
    <field x="23"/>
    <field x="18"/>
    <field x="24"/>
    <field x="2"/>
    <field x="10"/>
    <field x="7"/>
    <field x="11"/>
    <field x="17"/>
    <field x="20"/>
  </rowFields>
  <dataFields count="1">
    <dataField name="SOMA DISTÂNCIA" fld="12" subtotal="sum" numFmtId="17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DataPilot2" cacheId="1" applyNumberFormats="0" applyBorderFormats="0" applyFontFormats="0" applyPatternFormats="0" applyAlignmentFormats="0" applyWidthHeightFormats="0" dataCaption="Values" showDrill="0" useAutoFormatting="0" itemPrintTitles="1" indent="0" outline="0" outlineData="0" compact="0" compactData="0">
  <location ref="A5:I1465" firstHeaderRow="1" firstDataRow="1" firstDataCol="8"/>
  <pivotFields count="64">
    <pivotField compact="0" showAll="0" outline="0"/>
    <pivotField compact="0" showAll="0" outline="0"/>
    <pivotField axis="axisRow" compact="0" showAll="0" defaultSubtotal="0" outline="0">
      <items count="1">
        <item x="0"/>
      </items>
    </pivotField>
    <pivotField compact="0" showAll="0" outline="0"/>
    <pivotField compact="0" showAll="0" outline="0"/>
    <pivotField compact="0" showAll="0" outline="0"/>
    <pivotField compact="0" showAll="0" outline="0"/>
    <pivotField axis="axisRow" compact="0" showAll="0" defaultSubtotal="0" outline="0">
      <items count="12">
        <item x="0"/>
        <item x="1"/>
        <item x="2"/>
        <item x="4"/>
        <item x="6"/>
        <item x="7"/>
        <item x="3"/>
        <item x="5"/>
        <item x="8"/>
        <item x="9"/>
        <item x="10"/>
        <item x="11"/>
      </items>
    </pivotField>
    <pivotField compact="0" showAll="0" outline="0"/>
    <pivotField axis="axisRow" compact="0" showAll="0" defaultSubtotal="0" outline="0">
      <items count="1">
        <item x="0"/>
      </items>
    </pivotField>
    <pivotField axis="axisRow" compact="0" showAll="0" defaultSubtotal="0" outline="0">
      <items count="12">
        <item x="0"/>
        <item x="1"/>
        <item x="2"/>
        <item x="3"/>
        <item x="4"/>
        <item x="5"/>
        <item x="6"/>
        <item x="7"/>
        <item x="8"/>
        <item x="9"/>
        <item x="10"/>
        <item x="11"/>
      </items>
    </pivotField>
    <pivotField axis="axisRow" compact="0" showAll="0" outline="0">
      <items count="2">
        <item x="0"/>
        <item t="default"/>
      </items>
    </pivotField>
    <pivotField dataField="1" compact="0" showAll="0" outline="0"/>
    <pivotField compact="0" showAll="0" outline="0"/>
    <pivotField compact="0" showAll="0" outline="0"/>
    <pivotField compact="0" showAll="0" outline="0"/>
    <pivotField compact="0" showAll="0" outline="0"/>
    <pivotField axis="axisRow" compact="0" showAll="0" defaultSubtotal="0" outline="0">
      <items count="14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s>
    </pivotField>
    <pivotField compact="0" showAll="0" outline="0"/>
    <pivotField compact="0" showAll="0" outline="0"/>
    <pivotField compact="0" showAll="0" outline="0"/>
    <pivotField compact="0" showAll="0" outline="0"/>
    <pivotField compact="0" showAll="0" outline="0"/>
    <pivotField axis="axisRow" compact="0" showAll="0" outline="0">
      <items count="7">
        <item x="0"/>
        <item x="1"/>
        <item x="2"/>
        <item x="3"/>
        <item x="4"/>
        <item x="5"/>
        <item t="default"/>
      </items>
    </pivotField>
    <pivotField axis="axisRow" compact="0" showAll="0" defaultSubtotal="0" outline="0">
      <items count="129">
        <item x="11"/>
        <item x="26"/>
        <item x="30"/>
        <item x="12"/>
        <item x="7"/>
        <item x="0"/>
        <item x="1"/>
        <item x="2"/>
        <item x="3"/>
        <item x="4"/>
        <item x="5"/>
        <item x="6"/>
        <item x="8"/>
        <item x="9"/>
        <item x="10"/>
        <item x="13"/>
        <item x="14"/>
        <item x="15"/>
        <item x="16"/>
        <item x="17"/>
        <item x="18"/>
        <item x="19"/>
        <item x="20"/>
        <item x="21"/>
        <item x="22"/>
        <item x="23"/>
        <item x="24"/>
        <item x="25"/>
        <item x="27"/>
        <item x="28"/>
        <item x="29"/>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8">
    <field x="10"/>
    <field x="9"/>
    <field x="23"/>
    <field x="24"/>
    <field x="2"/>
    <field x="17"/>
    <field x="7"/>
    <field x="11"/>
  </rowFields>
  <dataFields count="1">
    <dataField name="SOMA DISTÂNCIA" fld="12" subtotal="sum" numFmtId="17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DataPilot3" cacheId="1" applyNumberFormats="0" applyBorderFormats="0" applyFontFormats="0" applyPatternFormats="0" applyAlignmentFormats="0" applyWidthHeightFormats="0" dataCaption="Values" showDrill="0" useAutoFormatting="0" itemPrintTitles="1" indent="0" outline="0" outlineData="0" compact="0" compactData="0">
  <location ref="A3:G1671" firstHeaderRow="1" firstDataRow="1" firstDataCol="6"/>
  <pivotFields count="64">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axis="axisRow" compact="0" showAll="0" defaultSubtotal="0" outline="0">
      <items count="1">
        <item x="0"/>
      </items>
    </pivotField>
    <pivotField axis="axisRow" compact="0" showAll="0" defaultSubtotal="0" outline="0">
      <items count="12">
        <item x="0"/>
        <item x="1"/>
        <item x="2"/>
        <item x="3"/>
        <item x="4"/>
        <item x="5"/>
        <item x="6"/>
        <item x="7"/>
        <item x="8"/>
        <item x="9"/>
        <item x="10"/>
        <item x="11"/>
      </items>
    </pivotField>
    <pivotField axis="axisRow" compact="0" showAll="0" defaultSubtotal="0" outline="0">
      <items count="1">
        <item x="0"/>
      </items>
    </pivotField>
    <pivotField dataField="1" compact="0" showAll="0" outline="0"/>
    <pivotField compact="0" showAll="0" outline="0"/>
    <pivotField compact="0" showAll="0" outline="0"/>
    <pivotField compact="0" showAll="0" outline="0"/>
    <pivotField compact="0" showAll="0" outline="0"/>
    <pivotField axis="axisRow" compact="0" showAll="0" defaultSubtotal="0" outline="0">
      <items count="14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s>
    </pivotField>
    <pivotField compact="0" showAll="0" outline="0"/>
    <pivotField compact="0" showAll="0" outline="0"/>
    <pivotField compact="0" showAll="0" outline="0"/>
    <pivotField compact="0" showAll="0" outline="0"/>
    <pivotField compact="0" showAll="0" outline="0"/>
    <pivotField axis="axisRow" compact="0" showAll="0" defaultSubtotal="0" outline="0">
      <items count="6">
        <item x="0"/>
        <item x="1"/>
        <item x="2"/>
        <item x="3"/>
        <item x="4"/>
        <item x="5"/>
      </items>
    </pivotField>
    <pivotField axis="axisRow" compact="0" showAll="0" outline="0">
      <items count="130">
        <item x="7"/>
        <item x="11"/>
        <item x="12"/>
        <item x="26"/>
        <item x="30"/>
        <item x="0"/>
        <item x="1"/>
        <item x="2"/>
        <item x="3"/>
        <item x="4"/>
        <item x="5"/>
        <item x="6"/>
        <item x="8"/>
        <item x="9"/>
        <item x="10"/>
        <item x="13"/>
        <item x="14"/>
        <item x="15"/>
        <item x="16"/>
        <item x="17"/>
        <item x="18"/>
        <item x="19"/>
        <item x="20"/>
        <item x="21"/>
        <item x="22"/>
        <item x="23"/>
        <item x="24"/>
        <item x="25"/>
        <item x="27"/>
        <item x="28"/>
        <item x="29"/>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6">
    <field x="9"/>
    <field x="10"/>
    <field x="23"/>
    <field x="24"/>
    <field x="17"/>
    <field x="11"/>
  </rowFields>
  <dataFields count="1">
    <dataField name="Soma de DISTÂNCIA" fld="12" subtotal="sum" numFmtId="17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ela1" displayName="Tabela1" ref="A5:BY1441" headerRowCount="1" totalsRowCount="0" totalsRowShown="0">
  <autoFilter ref="A5:BY1441"/>
  <tableColumns count="77">
    <tableColumn id="1" name="ITEM"/>
    <tableColumn id="2" name="GOOGLE LINK"/>
    <tableColumn id="3" name="DESCRIÇÃO"/>
    <tableColumn id="4" name="PRESSÃO"/>
    <tableColumn id="5" name="RESINA"/>
    <tableColumn id="6" name="TIPO_CONEXÃO"/>
    <tableColumn id="7" name="SOLDA"/>
    <tableColumn id="8" name="DIÂMETRO"/>
    <tableColumn id="9" name="MATERIAL"/>
    <tableColumn id="10" name="GRUPO"/>
    <tableColumn id="11" name="LOCAL"/>
    <tableColumn id="12" name="UNID."/>
    <tableColumn id="13" name="DISTÂNCIA"/>
    <tableColumn id="14" name="METODOLOGIA"/>
    <tableColumn id="15" name="ACABAMENTO"/>
    <tableColumn id="16" name="FINALIDADE"/>
    <tableColumn id="17" name="CATEGORIA"/>
    <tableColumn id="18" name="PONTO"/>
    <tableColumn id="19" name="CLASSIFICAÇÃO EXECUTIVA"/>
    <tableColumn id="20" name="Nº DESENHO"/>
    <tableColumn id="21" name="PRANCHA"/>
    <tableColumn id="22" name="REVISÃO"/>
    <tableColumn id="23" name="DATA REVISÃO"/>
    <tableColumn id="24" name="DELIMITIAÇÃO"/>
    <tableColumn id="25" name="CONJUNTO"/>
    <tableColumn id="26" name="LOTE"/>
    <tableColumn id="27" name="DIST. CANTEIRO"/>
    <tableColumn id="28" name="OBSERVAÇÕES"/>
    <tableColumn id="29" name="CÓDIGO BM"/>
    <tableColumn id="30" name="AGRUPAMENTO"/>
    <tableColumn id="31" name="RECOB."/>
    <tableColumn id="32" name="PROF."/>
    <tableColumn id="33" name="LARG."/>
    <tableColumn id="34" name="LASTRO"/>
    <tableColumn id="35" name="VOL. TUBO"/>
    <tableColumn id="36" name="(H)-ENVOLTÓRIA"/>
    <tableColumn id="37" name="DIST. BOTA FORA"/>
    <tableColumn id="38" name="LOCAÇÃO C/ NOTA"/>
    <tableColumn id="39" name="CADASTRO"/>
    <tableColumn id="40" name="FURO SOND."/>
    <tableColumn id="41" name="TAPUME DESC. MÓVEL"/>
    <tableColumn id="42" name="VOL. TOTAL ESC."/>
    <tableColumn id="43" name="LASTRO2"/>
    <tableColumn id="44" name="ATERRO AREIA"/>
    <tableColumn id="45" name="REATERRO"/>
    <tableColumn id="46" name="ESCAV. EXT. ROCHA"/>
    <tableColumn id="47" name="ESCAV. MAN. 1ª CAT. &lt;1,50"/>
    <tableColumn id="48" name="ESCAV. MAN. 1ª CAT. &gt;1,50&lt;3,00"/>
    <tableColumn id="49" name="ESCAV. MEC. 1ª CAT. &lt;1,50"/>
    <tableColumn id="50" name="ESCAV. MEC. 1ª CAT. &gt;1,50&lt;3,00"/>
    <tableColumn id="51" name="ESCAV. MEC. 2ª CAT. &lt;1,50"/>
    <tableColumn id="52" name="ESCAV. MEC. 2ª CAT. &gt;1,50&lt;3,00"/>
    <tableColumn id="53" name="ESGOT. VALA"/>
    <tableColumn id="54" name="CARGA"/>
    <tableColumn id="55" name="CARGA DE ROCHA"/>
    <tableColumn id="56" name="ESC. PONTALETE &gt;=1,25 M &lt;1,5 M"/>
    <tableColumn id="57" name="ESC. DESCONTÍNUO &gt;=1,5 M &lt;3,0 M"/>
    <tableColumn id="58" name="ESC. CONTÍNUO MISTO &gt;=3,0 M"/>
    <tableColumn id="59" name="TRANSPORTE A GRANEL"/>
    <tableColumn id="60" name="PLACA SINALIZAÇÃO"/>
    <tableColumn id="61" name="SINALIZAÇÃO NOTURNA"/>
    <tableColumn id="62" name="PASSADIÇO - CHAPA DE AÇO (VEÍCULOS)"/>
    <tableColumn id="63" name="PASSADIÇO - TÁBUAS (PEDESTRE)"/>
    <tableColumn id="64" name="APOIO AGRUPAMENTO BLOCO"/>
    <tableColumn id="65" name="EQUIPE"/>
    <tableColumn id="66" name="TIPO"/>
    <tableColumn id="67" name="PB"/>
    <tableColumn id="68" name="NÓ INICIAL"/>
    <tableColumn id="69" name="NÓ FINAL"/>
    <tableColumn id="70" name="HANDLE CAD"/>
    <tableColumn id="71" name="COORD. E (UTM) INÍCIO"/>
    <tableColumn id="72" name="COORD. N (UTM) INÍCIO"/>
    <tableColumn id="73" name="COORD. E (UTM) FIM"/>
    <tableColumn id="74" name="COORD. N (UTM) FIM"/>
    <tableColumn id="75" name="LATITUDE (MEIO)"/>
    <tableColumn id="76" name="LONGITUDE (MEIO)"/>
    <tableColumn id="77" name="ROTA - PONTO DE REFERÊNCIA"/>
  </tableColumns>
</table>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6.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7.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8.xml.rels><?xml version="1.0" encoding="UTF-8"?>
<Relationships xmlns="http://schemas.openxmlformats.org/package/2006/relationships"><Relationship Id="rId1" Type="http://schemas.openxmlformats.org/officeDocument/2006/relationships/pivotTable" Target="../pivotTables/pivotTable4.xml"/>
</Relationships>
</file>

<file path=xl/worksheets/_rels/sheet10.xml.rels><?xml version="1.0" encoding="UTF-8"?>
<Relationships xmlns="http://schemas.openxmlformats.org/package/2006/relationships"><Relationship Id="rId1" Type="http://schemas.openxmlformats.org/officeDocument/2006/relationships/pivotTable" Target="../pivotTables/pivot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850" colorId="64" zoomScale="100" zoomScaleNormal="100" zoomScalePageLayoutView="100" workbookViewId="0">
      <selection pane="topLeft" activeCell="A1850" activeCellId="0" sqref="A1850"/>
    </sheetView>
  </sheetViews>
  <sheetFormatPr defaultColWidth="8.6796875" defaultRowHeight="14.4" zeroHeight="false" outlineLevelRow="0" outlineLevelCol="0"/>
  <cols>
    <col collapsed="false" customWidth="true" hidden="false" outlineLevel="0" max="2" min="2" style="1" width="42.56"/>
    <col collapsed="false" customWidth="true" hidden="false" outlineLevel="0" max="3" min="3" style="2" width="17"/>
    <col collapsed="false" customWidth="true" hidden="false" outlineLevel="0" max="4" min="4" style="3" width="17.44"/>
    <col collapsed="false" customWidth="true" hidden="false" outlineLevel="0" max="5" min="5" style="3" width="17"/>
  </cols>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B140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5" topLeftCell="F272" activePane="bottomRight" state="frozen"/>
      <selection pane="topLeft" activeCell="A1" activeCellId="0" sqref="A1"/>
      <selection pane="topRight" activeCell="F1" activeCellId="0" sqref="F1"/>
      <selection pane="bottomLeft" activeCell="A272" activeCellId="0" sqref="A272"/>
      <selection pane="bottomRight" activeCell="Q1404" activeCellId="0" sqref="Q1404"/>
    </sheetView>
  </sheetViews>
  <sheetFormatPr defaultColWidth="9.3359375" defaultRowHeight="12" zeroHeight="false" outlineLevelRow="0" outlineLevelCol="1"/>
  <cols>
    <col collapsed="false" customWidth="true" hidden="false" outlineLevel="1" max="2" min="1" style="4" width="10.78"/>
    <col collapsed="false" customWidth="true" hidden="false" outlineLevel="1" max="3" min="3" style="4" width="35.77"/>
    <col collapsed="false" customWidth="true" hidden="false" outlineLevel="1" max="4" min="4" style="4" width="15.78"/>
    <col collapsed="false" customWidth="true" hidden="false" outlineLevel="0" max="5" min="5" style="4" width="15.78"/>
    <col collapsed="false" customWidth="true" hidden="true" outlineLevel="1" max="6" min="6" style="4" width="47.22"/>
    <col collapsed="false" customWidth="true" hidden="true" outlineLevel="1" max="14" min="7" style="4" width="15.78"/>
    <col collapsed="false" customWidth="true" hidden="false" outlineLevel="0" max="15" min="15" style="5" width="20.78"/>
    <col collapsed="false" customWidth="true" hidden="false" outlineLevel="0" max="16" min="16" style="6" width="15.78"/>
    <col collapsed="false" customWidth="true" hidden="false" outlineLevel="0" max="17" min="17" style="7" width="63"/>
    <col collapsed="false" customWidth="true" hidden="false" outlineLevel="0" max="18" min="18" style="6" width="15.78"/>
    <col collapsed="false" customWidth="true" hidden="false" outlineLevel="0" max="21" min="19" style="4" width="15.78"/>
    <col collapsed="false" customWidth="true" hidden="true" outlineLevel="1" max="25" min="22" style="4" width="15.78"/>
    <col collapsed="false" customWidth="true" hidden="false" outlineLevel="0" max="27" min="26" style="4" width="15.78"/>
    <col collapsed="false" customWidth="true" hidden="false" outlineLevel="0" max="28" min="28" style="4" width="20.78"/>
    <col collapsed="false" customWidth="false" hidden="false" outlineLevel="0" max="16384" min="29" style="4" width="9.33"/>
  </cols>
  <sheetData>
    <row r="1" customFormat="false" ht="19.95" hidden="false" customHeight="true" outlineLevel="0" collapsed="false">
      <c r="A1" s="8" t="s">
        <v>0</v>
      </c>
      <c r="B1" s="8"/>
      <c r="C1" s="8"/>
      <c r="D1" s="9"/>
      <c r="E1" s="10" t="s">
        <v>1</v>
      </c>
      <c r="F1" s="10"/>
      <c r="G1" s="10"/>
      <c r="H1" s="10"/>
      <c r="I1" s="10"/>
      <c r="J1" s="10"/>
      <c r="K1" s="10"/>
      <c r="L1" s="10"/>
      <c r="M1" s="10"/>
      <c r="N1" s="10"/>
      <c r="O1" s="10"/>
      <c r="P1" s="10"/>
      <c r="Q1" s="10"/>
      <c r="R1" s="11"/>
      <c r="S1" s="11"/>
      <c r="T1" s="12" t="s">
        <v>2</v>
      </c>
      <c r="U1" s="13"/>
      <c r="V1" s="14" t="s">
        <v>3</v>
      </c>
      <c r="W1" s="14"/>
      <c r="X1" s="14"/>
      <c r="Y1" s="14"/>
      <c r="Z1" s="15" t="s">
        <v>4</v>
      </c>
      <c r="AA1" s="16"/>
    </row>
    <row r="2" customFormat="false" ht="19.95" hidden="false" customHeight="true" outlineLevel="0" collapsed="false">
      <c r="A2" s="8"/>
      <c r="B2" s="8"/>
      <c r="C2" s="8"/>
      <c r="D2" s="17"/>
      <c r="E2" s="10"/>
      <c r="F2" s="10"/>
      <c r="G2" s="10"/>
      <c r="H2" s="10"/>
      <c r="I2" s="10"/>
      <c r="J2" s="10"/>
      <c r="K2" s="10"/>
      <c r="L2" s="10"/>
      <c r="M2" s="10"/>
      <c r="N2" s="10"/>
      <c r="O2" s="10"/>
      <c r="P2" s="10"/>
      <c r="Q2" s="10"/>
      <c r="R2" s="11"/>
      <c r="S2" s="11"/>
      <c r="T2" s="18" t="s">
        <v>5</v>
      </c>
      <c r="U2" s="19" t="n">
        <v>2026</v>
      </c>
      <c r="V2" s="14"/>
      <c r="W2" s="14"/>
      <c r="X2" s="14"/>
      <c r="Y2" s="14"/>
      <c r="Z2" s="20" t="s">
        <v>6</v>
      </c>
      <c r="AA2" s="20"/>
    </row>
    <row r="3" customFormat="false" ht="19.95" hidden="false" customHeight="true" outlineLevel="0" collapsed="false">
      <c r="A3" s="8"/>
      <c r="B3" s="8"/>
      <c r="C3" s="8"/>
      <c r="D3" s="17"/>
      <c r="E3" s="21" t="s">
        <v>7</v>
      </c>
      <c r="F3" s="22"/>
      <c r="G3" s="22"/>
      <c r="H3" s="22"/>
      <c r="I3" s="22"/>
      <c r="J3" s="22"/>
      <c r="K3" s="22"/>
      <c r="L3" s="22"/>
      <c r="M3" s="22"/>
      <c r="N3" s="22"/>
      <c r="O3" s="3"/>
      <c r="P3" s="3"/>
      <c r="Q3" s="3"/>
      <c r="R3" s="23" t="s">
        <v>8</v>
      </c>
      <c r="S3" s="24"/>
      <c r="T3" s="25" t="s">
        <v>9</v>
      </c>
      <c r="U3" s="25"/>
      <c r="V3" s="26" t="s">
        <v>10</v>
      </c>
      <c r="W3" s="26"/>
      <c r="X3" s="27" t="s">
        <v>11</v>
      </c>
      <c r="Y3" s="27"/>
      <c r="Z3" s="28" t="s">
        <v>12</v>
      </c>
      <c r="AA3" s="29"/>
    </row>
    <row r="4" customFormat="false" ht="19.95" hidden="false" customHeight="true" outlineLevel="0" collapsed="false">
      <c r="A4" s="8"/>
      <c r="B4" s="8"/>
      <c r="C4" s="8"/>
      <c r="D4" s="17"/>
      <c r="E4" s="30" t="s">
        <v>13</v>
      </c>
      <c r="F4" s="31"/>
      <c r="G4" s="31"/>
      <c r="H4" s="31"/>
      <c r="I4" s="31"/>
      <c r="J4" s="31"/>
      <c r="K4" s="31"/>
      <c r="L4" s="31"/>
      <c r="M4" s="31"/>
      <c r="N4" s="31"/>
      <c r="O4" s="32"/>
      <c r="P4" s="32"/>
      <c r="Q4" s="32"/>
      <c r="R4" s="33" t="s">
        <v>14</v>
      </c>
      <c r="S4" s="33"/>
      <c r="T4" s="25"/>
      <c r="U4" s="25"/>
      <c r="V4" s="26"/>
      <c r="W4" s="26"/>
      <c r="X4" s="27"/>
      <c r="Y4" s="27"/>
      <c r="Z4" s="34" t="s">
        <v>15</v>
      </c>
      <c r="AA4" s="34"/>
    </row>
    <row r="5" customFormat="false" ht="30" hidden="false" customHeight="true" outlineLevel="0" collapsed="false">
      <c r="A5" s="35" t="s">
        <v>16</v>
      </c>
      <c r="B5" s="36" t="s">
        <v>17</v>
      </c>
      <c r="C5" s="37" t="s">
        <v>18</v>
      </c>
      <c r="D5" s="38" t="s">
        <v>19</v>
      </c>
      <c r="E5" s="39" t="s">
        <v>20</v>
      </c>
      <c r="F5" s="40" t="s">
        <v>21</v>
      </c>
      <c r="G5" s="40" t="s">
        <v>22</v>
      </c>
      <c r="H5" s="40" t="s">
        <v>23</v>
      </c>
      <c r="I5" s="40" t="s">
        <v>24</v>
      </c>
      <c r="J5" s="40" t="s">
        <v>25</v>
      </c>
      <c r="K5" s="40" t="s">
        <v>26</v>
      </c>
      <c r="L5" s="40" t="s">
        <v>27</v>
      </c>
      <c r="M5" s="40" t="s">
        <v>28</v>
      </c>
      <c r="N5" s="41" t="s">
        <v>29</v>
      </c>
      <c r="O5" s="42" t="s">
        <v>30</v>
      </c>
      <c r="P5" s="42" t="s">
        <v>31</v>
      </c>
      <c r="Q5" s="42" t="s">
        <v>32</v>
      </c>
      <c r="R5" s="43" t="s">
        <v>33</v>
      </c>
      <c r="S5" s="44" t="s">
        <v>34</v>
      </c>
      <c r="T5" s="45" t="s">
        <v>35</v>
      </c>
      <c r="U5" s="44" t="s">
        <v>36</v>
      </c>
      <c r="V5" s="46" t="s">
        <v>35</v>
      </c>
      <c r="W5" s="47" t="s">
        <v>36</v>
      </c>
      <c r="X5" s="48" t="s">
        <v>35</v>
      </c>
      <c r="Y5" s="49" t="s">
        <v>36</v>
      </c>
      <c r="Z5" s="46" t="s">
        <v>34</v>
      </c>
      <c r="AA5" s="50" t="s">
        <v>36</v>
      </c>
      <c r="AB5" s="51"/>
    </row>
    <row r="6" customFormat="false" ht="20.1" hidden="false" customHeight="true" outlineLevel="0" collapsed="false">
      <c r="A6" s="52" t="n">
        <v>1</v>
      </c>
      <c r="B6" s="53"/>
      <c r="C6" s="54" t="s">
        <v>37</v>
      </c>
      <c r="D6" s="55"/>
      <c r="E6" s="56"/>
      <c r="F6" s="57"/>
      <c r="G6" s="58"/>
      <c r="H6" s="58"/>
      <c r="I6" s="58"/>
      <c r="J6" s="58"/>
      <c r="K6" s="58"/>
      <c r="L6" s="58"/>
      <c r="M6" s="58"/>
      <c r="N6" s="58"/>
      <c r="O6" s="59"/>
      <c r="P6" s="60"/>
      <c r="Q6" s="61" t="s">
        <v>37</v>
      </c>
      <c r="R6" s="62"/>
      <c r="S6" s="63"/>
      <c r="T6" s="64"/>
      <c r="U6" s="65" t="n">
        <f aca="false">SUM(U7,U26,U68,U73,U76)</f>
        <v>1166828.03</v>
      </c>
      <c r="V6" s="64"/>
      <c r="W6" s="65"/>
      <c r="X6" s="64"/>
      <c r="Y6" s="65"/>
      <c r="Z6" s="66"/>
      <c r="AA6" s="65"/>
    </row>
    <row r="7" customFormat="false" ht="20.1" hidden="false" customHeight="true" outlineLevel="0" collapsed="false">
      <c r="A7" s="67" t="n">
        <v>1</v>
      </c>
      <c r="B7" s="68"/>
      <c r="C7" s="69"/>
      <c r="D7" s="70"/>
      <c r="E7" s="71" t="s">
        <v>38</v>
      </c>
      <c r="F7" s="72"/>
      <c r="G7" s="73"/>
      <c r="H7" s="73"/>
      <c r="I7" s="73"/>
      <c r="J7" s="73"/>
      <c r="K7" s="73"/>
      <c r="L7" s="73"/>
      <c r="M7" s="73"/>
      <c r="N7" s="73"/>
      <c r="O7" s="74" t="s">
        <v>39</v>
      </c>
      <c r="P7" s="75"/>
      <c r="Q7" s="76" t="s">
        <v>27</v>
      </c>
      <c r="R7" s="77"/>
      <c r="S7" s="78"/>
      <c r="T7" s="79"/>
      <c r="U7" s="80" t="n">
        <f aca="false">SUM(U8,U10,U12,U14,U16,U19,U21,U23)</f>
        <v>81448.72</v>
      </c>
      <c r="V7" s="81"/>
      <c r="W7" s="80"/>
      <c r="X7" s="81"/>
      <c r="Y7" s="80"/>
      <c r="Z7" s="78"/>
      <c r="AA7" s="80"/>
    </row>
    <row r="8" customFormat="false" ht="20.1" hidden="false" customHeight="true" outlineLevel="0" collapsed="false">
      <c r="A8" s="82" t="n">
        <v>1</v>
      </c>
      <c r="B8" s="83"/>
      <c r="C8" s="84"/>
      <c r="D8" s="85"/>
      <c r="E8" s="86" t="s">
        <v>40</v>
      </c>
      <c r="F8" s="87"/>
      <c r="G8" s="88"/>
      <c r="H8" s="88"/>
      <c r="I8" s="88"/>
      <c r="J8" s="88"/>
      <c r="K8" s="88"/>
      <c r="L8" s="88"/>
      <c r="M8" s="88"/>
      <c r="N8" s="88"/>
      <c r="O8" s="89" t="s">
        <v>41</v>
      </c>
      <c r="P8" s="90"/>
      <c r="Q8" s="91" t="s">
        <v>42</v>
      </c>
      <c r="R8" s="92"/>
      <c r="S8" s="93"/>
      <c r="T8" s="94"/>
      <c r="U8" s="95" t="n">
        <f aca="false">SUM(U9:U9)</f>
        <v>28416.96</v>
      </c>
      <c r="V8" s="96"/>
      <c r="W8" s="95"/>
      <c r="X8" s="96"/>
      <c r="Y8" s="95"/>
      <c r="Z8" s="93"/>
      <c r="AA8" s="95"/>
    </row>
    <row r="9" customFormat="false" ht="26.1" hidden="false" customHeight="true" outlineLevel="0" collapsed="false">
      <c r="A9" s="97" t="n">
        <v>1</v>
      </c>
      <c r="B9" s="98" t="s">
        <v>40</v>
      </c>
      <c r="C9" s="99" t="s">
        <v>43</v>
      </c>
      <c r="D9" s="100" t="str">
        <f aca="false">B9&amp;"_"&amp;E9</f>
        <v>1.1_1.1.1</v>
      </c>
      <c r="E9" s="101" t="s">
        <v>44</v>
      </c>
      <c r="F9" s="102" t="s">
        <v>45</v>
      </c>
      <c r="G9" s="103" t="s">
        <v>46</v>
      </c>
      <c r="H9" s="103" t="s">
        <v>46</v>
      </c>
      <c r="I9" s="103" t="s">
        <v>46</v>
      </c>
      <c r="J9" s="103" t="s">
        <v>46</v>
      </c>
      <c r="K9" s="103" t="s">
        <v>46</v>
      </c>
      <c r="L9" s="103" t="s">
        <v>46</v>
      </c>
      <c r="M9" s="103" t="s">
        <v>47</v>
      </c>
      <c r="N9" s="103" t="s">
        <v>48</v>
      </c>
      <c r="O9" s="104" t="s">
        <v>49</v>
      </c>
      <c r="P9" s="105" t="s">
        <v>27</v>
      </c>
      <c r="Q9" s="106" t="s">
        <v>50</v>
      </c>
      <c r="R9" s="107" t="s">
        <v>51</v>
      </c>
      <c r="S9" s="108" t="n">
        <v>18</v>
      </c>
      <c r="T9" s="109" t="n">
        <v>1578.72</v>
      </c>
      <c r="U9" s="110" t="n">
        <f aca="false">ROUND(T9*$S9,2)</f>
        <v>28416.96</v>
      </c>
      <c r="V9" s="111"/>
      <c r="W9" s="110"/>
      <c r="X9" s="111"/>
      <c r="Y9" s="110"/>
      <c r="Z9" s="108"/>
      <c r="AA9" s="110"/>
    </row>
    <row r="10" customFormat="false" ht="20.1" hidden="false" customHeight="true" outlineLevel="0" collapsed="false">
      <c r="A10" s="82" t="n">
        <v>1</v>
      </c>
      <c r="B10" s="83"/>
      <c r="C10" s="84"/>
      <c r="D10" s="85"/>
      <c r="E10" s="86" t="s">
        <v>52</v>
      </c>
      <c r="F10" s="87"/>
      <c r="G10" s="88"/>
      <c r="H10" s="88"/>
      <c r="I10" s="88"/>
      <c r="J10" s="88"/>
      <c r="K10" s="88"/>
      <c r="L10" s="88"/>
      <c r="M10" s="88"/>
      <c r="N10" s="88"/>
      <c r="O10" s="89" t="s">
        <v>53</v>
      </c>
      <c r="P10" s="90"/>
      <c r="Q10" s="91" t="s">
        <v>54</v>
      </c>
      <c r="R10" s="92"/>
      <c r="S10" s="93"/>
      <c r="T10" s="94"/>
      <c r="U10" s="95" t="n">
        <f aca="false">SUM(U11:U11)</f>
        <v>16736.7</v>
      </c>
      <c r="V10" s="96"/>
      <c r="W10" s="95"/>
      <c r="X10" s="96"/>
      <c r="Y10" s="95"/>
      <c r="Z10" s="93"/>
      <c r="AA10" s="95"/>
    </row>
    <row r="11" customFormat="false" ht="26.1" hidden="false" customHeight="true" outlineLevel="0" collapsed="false">
      <c r="A11" s="97" t="n">
        <v>1</v>
      </c>
      <c r="B11" s="98" t="s">
        <v>40</v>
      </c>
      <c r="C11" s="99" t="s">
        <v>43</v>
      </c>
      <c r="D11" s="100" t="str">
        <f aca="false">B11&amp;"_"&amp;E11</f>
        <v>1.1_1.2.2</v>
      </c>
      <c r="E11" s="101" t="s">
        <v>55</v>
      </c>
      <c r="F11" s="102" t="s">
        <v>56</v>
      </c>
      <c r="G11" s="103" t="s">
        <v>46</v>
      </c>
      <c r="H11" s="103" t="s">
        <v>46</v>
      </c>
      <c r="I11" s="103" t="s">
        <v>46</v>
      </c>
      <c r="J11" s="103" t="s">
        <v>46</v>
      </c>
      <c r="K11" s="103" t="s">
        <v>46</v>
      </c>
      <c r="L11" s="103" t="s">
        <v>46</v>
      </c>
      <c r="M11" s="103" t="s">
        <v>57</v>
      </c>
      <c r="N11" s="103" t="s">
        <v>58</v>
      </c>
      <c r="O11" s="104" t="s">
        <v>59</v>
      </c>
      <c r="P11" s="105" t="s">
        <v>27</v>
      </c>
      <c r="Q11" s="106" t="s">
        <v>60</v>
      </c>
      <c r="R11" s="107" t="s">
        <v>61</v>
      </c>
      <c r="S11" s="108" t="n">
        <v>977.04</v>
      </c>
      <c r="T11" s="109" t="n">
        <v>17.13</v>
      </c>
      <c r="U11" s="110" t="n">
        <f aca="false">ROUND(T11*$S11,2)</f>
        <v>16736.7</v>
      </c>
      <c r="V11" s="111"/>
      <c r="W11" s="110"/>
      <c r="X11" s="111"/>
      <c r="Y11" s="110"/>
      <c r="Z11" s="108"/>
      <c r="AA11" s="110"/>
    </row>
    <row r="12" customFormat="false" ht="20.1" hidden="false" customHeight="true" outlineLevel="0" collapsed="false">
      <c r="A12" s="82" t="n">
        <v>1</v>
      </c>
      <c r="B12" s="83"/>
      <c r="C12" s="84"/>
      <c r="D12" s="85"/>
      <c r="E12" s="86" t="s">
        <v>62</v>
      </c>
      <c r="F12" s="87"/>
      <c r="G12" s="88"/>
      <c r="H12" s="88"/>
      <c r="I12" s="88"/>
      <c r="J12" s="88"/>
      <c r="K12" s="88"/>
      <c r="L12" s="88"/>
      <c r="M12" s="88"/>
      <c r="N12" s="88"/>
      <c r="O12" s="89" t="s">
        <v>63</v>
      </c>
      <c r="P12" s="90"/>
      <c r="Q12" s="91" t="s">
        <v>64</v>
      </c>
      <c r="R12" s="92"/>
      <c r="S12" s="93"/>
      <c r="T12" s="94"/>
      <c r="U12" s="95" t="n">
        <f aca="false">SUM(U13:U13)</f>
        <v>5200</v>
      </c>
      <c r="V12" s="96"/>
      <c r="W12" s="95"/>
      <c r="X12" s="96"/>
      <c r="Y12" s="95"/>
      <c r="Z12" s="93"/>
      <c r="AA12" s="95"/>
    </row>
    <row r="13" customFormat="false" ht="26.1" hidden="false" customHeight="true" outlineLevel="0" collapsed="false">
      <c r="A13" s="97" t="n">
        <v>1</v>
      </c>
      <c r="B13" s="98" t="s">
        <v>40</v>
      </c>
      <c r="C13" s="99" t="s">
        <v>43</v>
      </c>
      <c r="D13" s="100" t="str">
        <f aca="false">B13&amp;"_"&amp;E13</f>
        <v>1.1_1.6.1</v>
      </c>
      <c r="E13" s="101" t="s">
        <v>65</v>
      </c>
      <c r="F13" s="102" t="s">
        <v>66</v>
      </c>
      <c r="G13" s="103" t="s">
        <v>46</v>
      </c>
      <c r="H13" s="103" t="s">
        <v>46</v>
      </c>
      <c r="I13" s="103" t="s">
        <v>67</v>
      </c>
      <c r="J13" s="103" t="s">
        <v>46</v>
      </c>
      <c r="K13" s="103" t="s">
        <v>68</v>
      </c>
      <c r="L13" s="103" t="s">
        <v>69</v>
      </c>
      <c r="M13" s="103" t="s">
        <v>47</v>
      </c>
      <c r="N13" s="103" t="s">
        <v>47</v>
      </c>
      <c r="O13" s="104" t="s">
        <v>70</v>
      </c>
      <c r="P13" s="105" t="s">
        <v>27</v>
      </c>
      <c r="Q13" s="106" t="s">
        <v>66</v>
      </c>
      <c r="R13" s="107" t="s">
        <v>71</v>
      </c>
      <c r="S13" s="108" t="n">
        <v>2</v>
      </c>
      <c r="T13" s="109" t="n">
        <v>2600</v>
      </c>
      <c r="U13" s="110" t="n">
        <f aca="false">ROUND(T13*$S13,2)</f>
        <v>5200</v>
      </c>
      <c r="V13" s="111"/>
      <c r="W13" s="110"/>
      <c r="X13" s="111"/>
      <c r="Y13" s="110"/>
      <c r="Z13" s="108"/>
      <c r="AA13" s="110"/>
    </row>
    <row r="14" customFormat="false" ht="20.1" hidden="false" customHeight="true" outlineLevel="0" collapsed="false">
      <c r="A14" s="82" t="n">
        <v>1</v>
      </c>
      <c r="B14" s="83"/>
      <c r="C14" s="84"/>
      <c r="D14" s="85"/>
      <c r="E14" s="86" t="s">
        <v>72</v>
      </c>
      <c r="F14" s="87"/>
      <c r="G14" s="88"/>
      <c r="H14" s="88"/>
      <c r="I14" s="88"/>
      <c r="J14" s="88"/>
      <c r="K14" s="88"/>
      <c r="L14" s="88"/>
      <c r="M14" s="88"/>
      <c r="N14" s="88"/>
      <c r="O14" s="89" t="s">
        <v>73</v>
      </c>
      <c r="P14" s="90"/>
      <c r="Q14" s="91" t="s">
        <v>74</v>
      </c>
      <c r="R14" s="92"/>
      <c r="S14" s="93"/>
      <c r="T14" s="94"/>
      <c r="U14" s="95" t="n">
        <f aca="false">SUM(U15:U15)</f>
        <v>8892.18</v>
      </c>
      <c r="V14" s="96"/>
      <c r="W14" s="95"/>
      <c r="X14" s="96"/>
      <c r="Y14" s="95"/>
      <c r="Z14" s="93"/>
      <c r="AA14" s="95"/>
    </row>
    <row r="15" customFormat="false" ht="26.1" hidden="false" customHeight="true" outlineLevel="0" collapsed="false">
      <c r="A15" s="97" t="n">
        <v>1</v>
      </c>
      <c r="B15" s="98" t="s">
        <v>40</v>
      </c>
      <c r="C15" s="99" t="s">
        <v>43</v>
      </c>
      <c r="D15" s="100" t="str">
        <f aca="false">B15&amp;"_"&amp;E15</f>
        <v>1.1_1.7.1</v>
      </c>
      <c r="E15" s="101" t="s">
        <v>75</v>
      </c>
      <c r="F15" s="102" t="s">
        <v>76</v>
      </c>
      <c r="G15" s="103" t="s">
        <v>46</v>
      </c>
      <c r="H15" s="103" t="s">
        <v>46</v>
      </c>
      <c r="I15" s="103" t="s">
        <v>46</v>
      </c>
      <c r="J15" s="103" t="s">
        <v>46</v>
      </c>
      <c r="K15" s="103" t="s">
        <v>46</v>
      </c>
      <c r="L15" s="103" t="s">
        <v>46</v>
      </c>
      <c r="M15" s="103" t="s">
        <v>47</v>
      </c>
      <c r="N15" s="103" t="s">
        <v>47</v>
      </c>
      <c r="O15" s="104" t="s">
        <v>77</v>
      </c>
      <c r="P15" s="105" t="s">
        <v>27</v>
      </c>
      <c r="Q15" s="106" t="s">
        <v>78</v>
      </c>
      <c r="R15" s="107" t="s">
        <v>51</v>
      </c>
      <c r="S15" s="108" t="n">
        <v>18</v>
      </c>
      <c r="T15" s="109" t="n">
        <v>494.01</v>
      </c>
      <c r="U15" s="110" t="n">
        <f aca="false">ROUND(T15*$S15,2)</f>
        <v>8892.18</v>
      </c>
      <c r="V15" s="111"/>
      <c r="W15" s="110"/>
      <c r="X15" s="111"/>
      <c r="Y15" s="110"/>
      <c r="Z15" s="108"/>
      <c r="AA15" s="110"/>
    </row>
    <row r="16" customFormat="false" ht="20.1" hidden="false" customHeight="true" outlineLevel="0" collapsed="false">
      <c r="A16" s="82" t="n">
        <v>1</v>
      </c>
      <c r="B16" s="83"/>
      <c r="C16" s="84"/>
      <c r="D16" s="85"/>
      <c r="E16" s="86" t="s">
        <v>79</v>
      </c>
      <c r="F16" s="87"/>
      <c r="G16" s="88"/>
      <c r="H16" s="88"/>
      <c r="I16" s="88"/>
      <c r="J16" s="88"/>
      <c r="K16" s="88"/>
      <c r="L16" s="88"/>
      <c r="M16" s="88"/>
      <c r="N16" s="88"/>
      <c r="O16" s="89" t="s">
        <v>80</v>
      </c>
      <c r="P16" s="90"/>
      <c r="Q16" s="91" t="s">
        <v>81</v>
      </c>
      <c r="R16" s="92"/>
      <c r="S16" s="93"/>
      <c r="T16" s="94"/>
      <c r="U16" s="95" t="n">
        <f aca="false">SUM(U17:U18)</f>
        <v>250.59</v>
      </c>
      <c r="V16" s="96"/>
      <c r="W16" s="95"/>
      <c r="X16" s="96"/>
      <c r="Y16" s="95"/>
      <c r="Z16" s="93"/>
      <c r="AA16" s="95"/>
    </row>
    <row r="17" customFormat="false" ht="26.1" hidden="false" customHeight="true" outlineLevel="0" collapsed="false">
      <c r="A17" s="97" t="n">
        <v>1</v>
      </c>
      <c r="B17" s="98" t="s">
        <v>40</v>
      </c>
      <c r="C17" s="99" t="s">
        <v>43</v>
      </c>
      <c r="D17" s="100" t="str">
        <f aca="false">B17&amp;"_"&amp;E17</f>
        <v>1.1_1.11.1</v>
      </c>
      <c r="E17" s="101" t="s">
        <v>82</v>
      </c>
      <c r="F17" s="102" t="s">
        <v>83</v>
      </c>
      <c r="G17" s="103" t="s">
        <v>46</v>
      </c>
      <c r="H17" s="103" t="s">
        <v>46</v>
      </c>
      <c r="I17" s="103" t="s">
        <v>84</v>
      </c>
      <c r="J17" s="103" t="s">
        <v>46</v>
      </c>
      <c r="K17" s="103" t="s">
        <v>85</v>
      </c>
      <c r="L17" s="103" t="s">
        <v>86</v>
      </c>
      <c r="M17" s="103" t="s">
        <v>47</v>
      </c>
      <c r="N17" s="103" t="s">
        <v>87</v>
      </c>
      <c r="O17" s="104" t="s">
        <v>88</v>
      </c>
      <c r="P17" s="105" t="s">
        <v>27</v>
      </c>
      <c r="Q17" s="106" t="s">
        <v>83</v>
      </c>
      <c r="R17" s="107" t="s">
        <v>71</v>
      </c>
      <c r="S17" s="108" t="n">
        <v>1</v>
      </c>
      <c r="T17" s="109" t="n">
        <v>129.9</v>
      </c>
      <c r="U17" s="110" t="n">
        <f aca="false">ROUND(T17*$S17,2)</f>
        <v>129.9</v>
      </c>
      <c r="V17" s="111"/>
      <c r="W17" s="110"/>
      <c r="X17" s="111"/>
      <c r="Y17" s="110"/>
      <c r="Z17" s="108"/>
      <c r="AA17" s="110"/>
    </row>
    <row r="18" customFormat="false" ht="26.1" hidden="false" customHeight="true" outlineLevel="0" collapsed="false">
      <c r="A18" s="97" t="n">
        <v>1</v>
      </c>
      <c r="B18" s="98" t="s">
        <v>40</v>
      </c>
      <c r="C18" s="99" t="s">
        <v>43</v>
      </c>
      <c r="D18" s="100" t="str">
        <f aca="false">B18&amp;"_"&amp;E18</f>
        <v>1.1_1.11.2</v>
      </c>
      <c r="E18" s="101" t="s">
        <v>89</v>
      </c>
      <c r="F18" s="102" t="s">
        <v>90</v>
      </c>
      <c r="G18" s="103" t="s">
        <v>46</v>
      </c>
      <c r="H18" s="103" t="s">
        <v>46</v>
      </c>
      <c r="I18" s="103" t="s">
        <v>91</v>
      </c>
      <c r="J18" s="103" t="s">
        <v>46</v>
      </c>
      <c r="K18" s="103" t="s">
        <v>92</v>
      </c>
      <c r="L18" s="103" t="s">
        <v>93</v>
      </c>
      <c r="M18" s="103" t="s">
        <v>94</v>
      </c>
      <c r="N18" s="103" t="s">
        <v>48</v>
      </c>
      <c r="O18" s="104" t="s">
        <v>95</v>
      </c>
      <c r="P18" s="105" t="s">
        <v>27</v>
      </c>
      <c r="Q18" s="106" t="s">
        <v>96</v>
      </c>
      <c r="R18" s="107" t="s">
        <v>71</v>
      </c>
      <c r="S18" s="108" t="n">
        <v>1</v>
      </c>
      <c r="T18" s="109" t="n">
        <v>120.69</v>
      </c>
      <c r="U18" s="110" t="n">
        <f aca="false">ROUND(T18*$S18,2)</f>
        <v>120.69</v>
      </c>
      <c r="V18" s="111"/>
      <c r="W18" s="110"/>
      <c r="X18" s="111"/>
      <c r="Y18" s="110"/>
      <c r="Z18" s="108"/>
      <c r="AA18" s="110"/>
    </row>
    <row r="19" customFormat="false" ht="20.1" hidden="false" customHeight="true" outlineLevel="0" collapsed="false">
      <c r="A19" s="82" t="n">
        <v>1</v>
      </c>
      <c r="B19" s="83"/>
      <c r="C19" s="84"/>
      <c r="D19" s="85"/>
      <c r="E19" s="86" t="s">
        <v>97</v>
      </c>
      <c r="F19" s="87"/>
      <c r="G19" s="88"/>
      <c r="H19" s="88"/>
      <c r="I19" s="88"/>
      <c r="J19" s="88"/>
      <c r="K19" s="88"/>
      <c r="L19" s="88"/>
      <c r="M19" s="88"/>
      <c r="N19" s="88"/>
      <c r="O19" s="89" t="s">
        <v>98</v>
      </c>
      <c r="P19" s="90"/>
      <c r="Q19" s="91" t="s">
        <v>99</v>
      </c>
      <c r="R19" s="92"/>
      <c r="S19" s="93"/>
      <c r="T19" s="94"/>
      <c r="U19" s="95" t="n">
        <f aca="false">SUM(U20:U20)</f>
        <v>39.56</v>
      </c>
      <c r="V19" s="96"/>
      <c r="W19" s="95"/>
      <c r="X19" s="96"/>
      <c r="Y19" s="95"/>
      <c r="Z19" s="93"/>
      <c r="AA19" s="95"/>
    </row>
    <row r="20" customFormat="false" ht="26.1" hidden="false" customHeight="true" outlineLevel="0" collapsed="false">
      <c r="A20" s="97" t="n">
        <v>1</v>
      </c>
      <c r="B20" s="98" t="s">
        <v>40</v>
      </c>
      <c r="C20" s="99" t="s">
        <v>43</v>
      </c>
      <c r="D20" s="100" t="str">
        <f aca="false">B20&amp;"_"&amp;E20</f>
        <v>1.1_1.13.1</v>
      </c>
      <c r="E20" s="101" t="s">
        <v>100</v>
      </c>
      <c r="F20" s="102" t="s">
        <v>101</v>
      </c>
      <c r="G20" s="103" t="s">
        <v>46</v>
      </c>
      <c r="H20" s="103" t="s">
        <v>46</v>
      </c>
      <c r="I20" s="103" t="s">
        <v>102</v>
      </c>
      <c r="J20" s="103" t="s">
        <v>46</v>
      </c>
      <c r="K20" s="103" t="s">
        <v>103</v>
      </c>
      <c r="L20" s="103" t="s">
        <v>104</v>
      </c>
      <c r="M20" s="103" t="s">
        <v>47</v>
      </c>
      <c r="N20" s="103" t="s">
        <v>48</v>
      </c>
      <c r="O20" s="104" t="s">
        <v>105</v>
      </c>
      <c r="P20" s="105" t="s">
        <v>27</v>
      </c>
      <c r="Q20" s="106" t="s">
        <v>106</v>
      </c>
      <c r="R20" s="107" t="s">
        <v>71</v>
      </c>
      <c r="S20" s="108" t="n">
        <v>1</v>
      </c>
      <c r="T20" s="109" t="n">
        <v>39.56</v>
      </c>
      <c r="U20" s="110" t="n">
        <f aca="false">ROUND(T20*$S20,2)</f>
        <v>39.56</v>
      </c>
      <c r="V20" s="111"/>
      <c r="W20" s="110"/>
      <c r="X20" s="111"/>
      <c r="Y20" s="110"/>
      <c r="Z20" s="108"/>
      <c r="AA20" s="110"/>
    </row>
    <row r="21" customFormat="false" ht="20.1" hidden="false" customHeight="true" outlineLevel="0" collapsed="false">
      <c r="A21" s="82" t="n">
        <v>1</v>
      </c>
      <c r="B21" s="83"/>
      <c r="C21" s="84"/>
      <c r="D21" s="85"/>
      <c r="E21" s="86" t="s">
        <v>107</v>
      </c>
      <c r="F21" s="87"/>
      <c r="G21" s="88"/>
      <c r="H21" s="88"/>
      <c r="I21" s="88"/>
      <c r="J21" s="88"/>
      <c r="K21" s="88"/>
      <c r="L21" s="88"/>
      <c r="M21" s="88"/>
      <c r="N21" s="88"/>
      <c r="O21" s="89" t="s">
        <v>108</v>
      </c>
      <c r="P21" s="90"/>
      <c r="Q21" s="91" t="s">
        <v>109</v>
      </c>
      <c r="R21" s="92"/>
      <c r="S21" s="93"/>
      <c r="T21" s="94"/>
      <c r="U21" s="95" t="n">
        <f aca="false">SUM(U22:U22)</f>
        <v>255.9</v>
      </c>
      <c r="V21" s="96"/>
      <c r="W21" s="95"/>
      <c r="X21" s="96"/>
      <c r="Y21" s="95"/>
      <c r="Z21" s="93"/>
      <c r="AA21" s="95"/>
    </row>
    <row r="22" customFormat="false" ht="26.1" hidden="false" customHeight="true" outlineLevel="0" collapsed="false">
      <c r="A22" s="97" t="n">
        <v>1</v>
      </c>
      <c r="B22" s="98" t="s">
        <v>40</v>
      </c>
      <c r="C22" s="99" t="s">
        <v>43</v>
      </c>
      <c r="D22" s="100" t="str">
        <f aca="false">B22&amp;"_"&amp;E22</f>
        <v>1.1_1.14.77</v>
      </c>
      <c r="E22" s="101" t="s">
        <v>110</v>
      </c>
      <c r="F22" s="102" t="s">
        <v>111</v>
      </c>
      <c r="G22" s="103" t="s">
        <v>112</v>
      </c>
      <c r="H22" s="103" t="s">
        <v>113</v>
      </c>
      <c r="I22" s="103" t="s">
        <v>111</v>
      </c>
      <c r="J22" s="103" t="s">
        <v>114</v>
      </c>
      <c r="K22" s="103" t="n">
        <v>63</v>
      </c>
      <c r="L22" s="103" t="s">
        <v>115</v>
      </c>
      <c r="M22" s="103" t="s">
        <v>116</v>
      </c>
      <c r="N22" s="103" t="s">
        <v>117</v>
      </c>
      <c r="O22" s="104" t="s">
        <v>118</v>
      </c>
      <c r="P22" s="105" t="s">
        <v>27</v>
      </c>
      <c r="Q22" s="106" t="s">
        <v>119</v>
      </c>
      <c r="R22" s="107" t="s">
        <v>120</v>
      </c>
      <c r="S22" s="108" t="n">
        <v>15</v>
      </c>
      <c r="T22" s="109" t="n">
        <v>17.06</v>
      </c>
      <c r="U22" s="110" t="n">
        <f aca="false">ROUND(T22*$S22,2)</f>
        <v>255.9</v>
      </c>
      <c r="V22" s="111"/>
      <c r="W22" s="110"/>
      <c r="X22" s="111"/>
      <c r="Y22" s="110"/>
      <c r="Z22" s="108"/>
      <c r="AA22" s="110"/>
    </row>
    <row r="23" customFormat="false" ht="20.1" hidden="false" customHeight="true" outlineLevel="0" collapsed="false">
      <c r="A23" s="82" t="n">
        <v>1</v>
      </c>
      <c r="B23" s="83"/>
      <c r="C23" s="84"/>
      <c r="D23" s="85"/>
      <c r="E23" s="86" t="s">
        <v>121</v>
      </c>
      <c r="F23" s="87"/>
      <c r="G23" s="88"/>
      <c r="H23" s="88"/>
      <c r="I23" s="88"/>
      <c r="J23" s="88"/>
      <c r="K23" s="88"/>
      <c r="L23" s="88"/>
      <c r="M23" s="88"/>
      <c r="N23" s="88"/>
      <c r="O23" s="89" t="s">
        <v>122</v>
      </c>
      <c r="P23" s="90"/>
      <c r="Q23" s="91" t="s">
        <v>123</v>
      </c>
      <c r="R23" s="92"/>
      <c r="S23" s="93"/>
      <c r="T23" s="94"/>
      <c r="U23" s="95" t="n">
        <f aca="false">SUM(U24:U25)</f>
        <v>21656.83</v>
      </c>
      <c r="V23" s="96"/>
      <c r="W23" s="95"/>
      <c r="X23" s="96"/>
      <c r="Y23" s="95"/>
      <c r="Z23" s="93"/>
      <c r="AA23" s="95"/>
    </row>
    <row r="24" customFormat="false" ht="26.1" hidden="false" customHeight="true" outlineLevel="0" collapsed="false">
      <c r="A24" s="97" t="n">
        <v>1</v>
      </c>
      <c r="B24" s="98" t="s">
        <v>40</v>
      </c>
      <c r="C24" s="99" t="s">
        <v>43</v>
      </c>
      <c r="D24" s="100" t="str">
        <f aca="false">B24&amp;"_"&amp;E24</f>
        <v>1.1_1.18.5</v>
      </c>
      <c r="E24" s="101" t="s">
        <v>124</v>
      </c>
      <c r="F24" s="102" t="s">
        <v>125</v>
      </c>
      <c r="G24" s="103" t="s">
        <v>46</v>
      </c>
      <c r="H24" s="103" t="s">
        <v>46</v>
      </c>
      <c r="I24" s="103" t="s">
        <v>126</v>
      </c>
      <c r="J24" s="103" t="s">
        <v>46</v>
      </c>
      <c r="K24" s="103" t="n">
        <v>5500</v>
      </c>
      <c r="L24" s="103" t="s">
        <v>115</v>
      </c>
      <c r="M24" s="103" t="s">
        <v>47</v>
      </c>
      <c r="N24" s="103" t="s">
        <v>48</v>
      </c>
      <c r="O24" s="104" t="s">
        <v>127</v>
      </c>
      <c r="P24" s="105" t="s">
        <v>27</v>
      </c>
      <c r="Q24" s="106" t="s">
        <v>128</v>
      </c>
      <c r="R24" s="107" t="s">
        <v>71</v>
      </c>
      <c r="S24" s="108" t="n">
        <v>1</v>
      </c>
      <c r="T24" s="109" t="n">
        <v>6307.51</v>
      </c>
      <c r="U24" s="110" t="n">
        <f aca="false">ROUND(T24*$S24,2)</f>
        <v>6307.51</v>
      </c>
      <c r="V24" s="111"/>
      <c r="W24" s="110"/>
      <c r="X24" s="111"/>
      <c r="Y24" s="110"/>
      <c r="Z24" s="108"/>
      <c r="AA24" s="110"/>
    </row>
    <row r="25" customFormat="false" ht="26.1" hidden="false" customHeight="true" outlineLevel="0" collapsed="false">
      <c r="A25" s="97" t="n">
        <v>1</v>
      </c>
      <c r="B25" s="98" t="s">
        <v>40</v>
      </c>
      <c r="C25" s="99" t="s">
        <v>43</v>
      </c>
      <c r="D25" s="100" t="str">
        <f aca="false">B25&amp;"_"&amp;E25</f>
        <v>1.1_1.18.8</v>
      </c>
      <c r="E25" s="101" t="s">
        <v>129</v>
      </c>
      <c r="F25" s="102" t="s">
        <v>130</v>
      </c>
      <c r="G25" s="103" t="s">
        <v>46</v>
      </c>
      <c r="H25" s="103" t="s">
        <v>46</v>
      </c>
      <c r="I25" s="103" t="s">
        <v>131</v>
      </c>
      <c r="J25" s="103" t="s">
        <v>46</v>
      </c>
      <c r="K25" s="103" t="s">
        <v>132</v>
      </c>
      <c r="L25" s="103" t="s">
        <v>133</v>
      </c>
      <c r="M25" s="103" t="s">
        <v>47</v>
      </c>
      <c r="N25" s="103" t="s">
        <v>47</v>
      </c>
      <c r="O25" s="104" t="s">
        <v>134</v>
      </c>
      <c r="P25" s="105" t="s">
        <v>27</v>
      </c>
      <c r="Q25" s="106" t="s">
        <v>135</v>
      </c>
      <c r="R25" s="107" t="s">
        <v>120</v>
      </c>
      <c r="S25" s="108" t="n">
        <v>84</v>
      </c>
      <c r="T25" s="109" t="n">
        <v>182.73</v>
      </c>
      <c r="U25" s="110" t="n">
        <f aca="false">ROUND(T25*$S25,2)</f>
        <v>15349.32</v>
      </c>
      <c r="V25" s="111"/>
      <c r="W25" s="110"/>
      <c r="X25" s="111"/>
      <c r="Y25" s="110"/>
      <c r="Z25" s="108"/>
      <c r="AA25" s="110"/>
    </row>
    <row r="26" customFormat="false" ht="20.1" hidden="false" customHeight="true" outlineLevel="0" collapsed="false">
      <c r="A26" s="67" t="n">
        <v>1</v>
      </c>
      <c r="B26" s="68"/>
      <c r="C26" s="69"/>
      <c r="D26" s="70"/>
      <c r="E26" s="71" t="s">
        <v>136</v>
      </c>
      <c r="F26" s="72"/>
      <c r="G26" s="73"/>
      <c r="H26" s="73"/>
      <c r="I26" s="73"/>
      <c r="J26" s="73"/>
      <c r="K26" s="73"/>
      <c r="L26" s="73"/>
      <c r="M26" s="73"/>
      <c r="N26" s="73"/>
      <c r="O26" s="74" t="s">
        <v>137</v>
      </c>
      <c r="P26" s="75"/>
      <c r="Q26" s="76" t="s">
        <v>138</v>
      </c>
      <c r="R26" s="77"/>
      <c r="S26" s="78"/>
      <c r="T26" s="79"/>
      <c r="U26" s="80" t="n">
        <f aca="false">SUM(U27,U30,U37,U40,U42,U45,U50,U53,U57,U62,U66)</f>
        <v>524433.87</v>
      </c>
      <c r="V26" s="81"/>
      <c r="W26" s="80"/>
      <c r="X26" s="81"/>
      <c r="Y26" s="80"/>
      <c r="Z26" s="78"/>
      <c r="AA26" s="80"/>
    </row>
    <row r="27" customFormat="false" ht="20.1" hidden="false" customHeight="true" outlineLevel="0" collapsed="false">
      <c r="A27" s="82" t="n">
        <v>1</v>
      </c>
      <c r="B27" s="83"/>
      <c r="C27" s="84"/>
      <c r="D27" s="85"/>
      <c r="E27" s="86" t="s">
        <v>139</v>
      </c>
      <c r="F27" s="87"/>
      <c r="G27" s="88"/>
      <c r="H27" s="88"/>
      <c r="I27" s="88"/>
      <c r="J27" s="88"/>
      <c r="K27" s="88"/>
      <c r="L27" s="88"/>
      <c r="M27" s="88"/>
      <c r="N27" s="88"/>
      <c r="O27" s="89" t="s">
        <v>140</v>
      </c>
      <c r="P27" s="90"/>
      <c r="Q27" s="91" t="s">
        <v>141</v>
      </c>
      <c r="R27" s="92"/>
      <c r="S27" s="93"/>
      <c r="T27" s="94"/>
      <c r="U27" s="95" t="n">
        <f aca="false">SUM(U28:U29)</f>
        <v>72155.72</v>
      </c>
      <c r="V27" s="96"/>
      <c r="W27" s="95"/>
      <c r="X27" s="96"/>
      <c r="Y27" s="95"/>
      <c r="Z27" s="93"/>
      <c r="AA27" s="95"/>
    </row>
    <row r="28" customFormat="false" ht="26.1" hidden="false" customHeight="true" outlineLevel="0" collapsed="false">
      <c r="A28" s="97" t="n">
        <v>1</v>
      </c>
      <c r="B28" s="98" t="s">
        <v>52</v>
      </c>
      <c r="C28" s="99" t="s">
        <v>142</v>
      </c>
      <c r="D28" s="100" t="str">
        <f aca="false">B28&amp;"_"&amp;E28</f>
        <v>1.2_5.1.1</v>
      </c>
      <c r="E28" s="101" t="s">
        <v>143</v>
      </c>
      <c r="F28" s="102"/>
      <c r="G28" s="103"/>
      <c r="H28" s="103"/>
      <c r="I28" s="103"/>
      <c r="J28" s="103"/>
      <c r="K28" s="103"/>
      <c r="L28" s="103"/>
      <c r="M28" s="103"/>
      <c r="N28" s="103"/>
      <c r="O28" s="104" t="s">
        <v>144</v>
      </c>
      <c r="P28" s="105" t="s">
        <v>145</v>
      </c>
      <c r="Q28" s="106" t="s">
        <v>146</v>
      </c>
      <c r="R28" s="107" t="s">
        <v>71</v>
      </c>
      <c r="S28" s="108" t="n">
        <v>18</v>
      </c>
      <c r="T28" s="109" t="n">
        <v>130.92</v>
      </c>
      <c r="U28" s="110" t="n">
        <f aca="false">ROUND(T28*$S28,2)</f>
        <v>2356.56</v>
      </c>
      <c r="V28" s="111"/>
      <c r="W28" s="110"/>
      <c r="X28" s="111"/>
      <c r="Y28" s="110"/>
      <c r="Z28" s="108"/>
      <c r="AA28" s="110"/>
    </row>
    <row r="29" customFormat="false" ht="26.1" hidden="false" customHeight="true" outlineLevel="0" collapsed="false">
      <c r="A29" s="97" t="n">
        <v>1</v>
      </c>
      <c r="B29" s="98" t="s">
        <v>52</v>
      </c>
      <c r="C29" s="99" t="s">
        <v>142</v>
      </c>
      <c r="D29" s="100" t="str">
        <f aca="false">B29&amp;"_"&amp;E29</f>
        <v>1.2_5.1.2</v>
      </c>
      <c r="E29" s="101" t="s">
        <v>147</v>
      </c>
      <c r="F29" s="102"/>
      <c r="G29" s="103"/>
      <c r="H29" s="103"/>
      <c r="I29" s="103"/>
      <c r="J29" s="103"/>
      <c r="K29" s="103"/>
      <c r="L29" s="103"/>
      <c r="M29" s="103"/>
      <c r="N29" s="103"/>
      <c r="O29" s="104" t="s">
        <v>148</v>
      </c>
      <c r="P29" s="105" t="s">
        <v>145</v>
      </c>
      <c r="Q29" s="106" t="s">
        <v>149</v>
      </c>
      <c r="R29" s="107" t="s">
        <v>150</v>
      </c>
      <c r="S29" s="108" t="n">
        <v>772.2</v>
      </c>
      <c r="T29" s="109" t="n">
        <v>90.39</v>
      </c>
      <c r="U29" s="110" t="n">
        <f aca="false">ROUND(T29*$S29,2)</f>
        <v>69799.16</v>
      </c>
      <c r="V29" s="111"/>
      <c r="W29" s="110"/>
      <c r="X29" s="111"/>
      <c r="Y29" s="110"/>
      <c r="Z29" s="108"/>
      <c r="AA29" s="110"/>
    </row>
    <row r="30" customFormat="false" ht="20.1" hidden="false" customHeight="true" outlineLevel="0" collapsed="false">
      <c r="A30" s="82" t="n">
        <v>1</v>
      </c>
      <c r="B30" s="83"/>
      <c r="C30" s="84"/>
      <c r="D30" s="85"/>
      <c r="E30" s="86" t="s">
        <v>151</v>
      </c>
      <c r="F30" s="87"/>
      <c r="G30" s="88"/>
      <c r="H30" s="88"/>
      <c r="I30" s="88"/>
      <c r="J30" s="88"/>
      <c r="K30" s="88"/>
      <c r="L30" s="88"/>
      <c r="M30" s="88"/>
      <c r="N30" s="88"/>
      <c r="O30" s="89" t="s">
        <v>152</v>
      </c>
      <c r="P30" s="90"/>
      <c r="Q30" s="91" t="s">
        <v>153</v>
      </c>
      <c r="R30" s="92"/>
      <c r="S30" s="93"/>
      <c r="T30" s="94"/>
      <c r="U30" s="95" t="n">
        <f aca="false">SUM(U31:U36)</f>
        <v>102098.25</v>
      </c>
      <c r="V30" s="96"/>
      <c r="W30" s="95"/>
      <c r="X30" s="96"/>
      <c r="Y30" s="95"/>
      <c r="Z30" s="93"/>
      <c r="AA30" s="95"/>
    </row>
    <row r="31" customFormat="false" ht="26.1" hidden="false" customHeight="true" outlineLevel="0" collapsed="false">
      <c r="A31" s="97" t="n">
        <v>1</v>
      </c>
      <c r="B31" s="98" t="s">
        <v>52</v>
      </c>
      <c r="C31" s="99" t="s">
        <v>142</v>
      </c>
      <c r="D31" s="100" t="str">
        <f aca="false">B31&amp;"_"&amp;E31</f>
        <v>1.2_5.4.4</v>
      </c>
      <c r="E31" s="101" t="s">
        <v>154</v>
      </c>
      <c r="F31" s="102"/>
      <c r="G31" s="103"/>
      <c r="H31" s="103"/>
      <c r="I31" s="103"/>
      <c r="J31" s="103"/>
      <c r="K31" s="103"/>
      <c r="L31" s="103"/>
      <c r="M31" s="103"/>
      <c r="N31" s="103"/>
      <c r="O31" s="104" t="s">
        <v>155</v>
      </c>
      <c r="P31" s="105" t="s">
        <v>145</v>
      </c>
      <c r="Q31" s="106" t="s">
        <v>156</v>
      </c>
      <c r="R31" s="107" t="s">
        <v>157</v>
      </c>
      <c r="S31" s="108" t="n">
        <v>697.88</v>
      </c>
      <c r="T31" s="109" t="n">
        <v>9.16</v>
      </c>
      <c r="U31" s="110" t="n">
        <f aca="false">ROUND(T31*$S31,2)</f>
        <v>6392.58</v>
      </c>
      <c r="V31" s="111"/>
      <c r="W31" s="110"/>
      <c r="X31" s="111"/>
      <c r="Y31" s="110"/>
      <c r="Z31" s="108"/>
      <c r="AA31" s="110"/>
    </row>
    <row r="32" customFormat="false" ht="26.1" hidden="false" customHeight="true" outlineLevel="0" collapsed="false">
      <c r="A32" s="97" t="n">
        <v>1</v>
      </c>
      <c r="B32" s="98" t="s">
        <v>52</v>
      </c>
      <c r="C32" s="99" t="s">
        <v>142</v>
      </c>
      <c r="D32" s="100" t="str">
        <f aca="false">B32&amp;"_"&amp;E32</f>
        <v>1.2_5.4.6</v>
      </c>
      <c r="E32" s="101" t="s">
        <v>158</v>
      </c>
      <c r="F32" s="102"/>
      <c r="G32" s="103"/>
      <c r="H32" s="103"/>
      <c r="I32" s="103"/>
      <c r="J32" s="103"/>
      <c r="K32" s="103"/>
      <c r="L32" s="103"/>
      <c r="M32" s="103"/>
      <c r="N32" s="103"/>
      <c r="O32" s="104" t="s">
        <v>159</v>
      </c>
      <c r="P32" s="105" t="s">
        <v>145</v>
      </c>
      <c r="Q32" s="106" t="s">
        <v>160</v>
      </c>
      <c r="R32" s="107" t="s">
        <v>61</v>
      </c>
      <c r="S32" s="108" t="n">
        <v>3489.42</v>
      </c>
      <c r="T32" s="109" t="n">
        <v>6.35</v>
      </c>
      <c r="U32" s="110" t="n">
        <f aca="false">ROUND(T32*$S32,2)</f>
        <v>22157.82</v>
      </c>
      <c r="V32" s="111"/>
      <c r="W32" s="110"/>
      <c r="X32" s="111"/>
      <c r="Y32" s="110"/>
      <c r="Z32" s="108"/>
      <c r="AA32" s="110"/>
    </row>
    <row r="33" customFormat="false" ht="26.1" hidden="false" customHeight="true" outlineLevel="0" collapsed="false">
      <c r="A33" s="97" t="n">
        <v>1</v>
      </c>
      <c r="B33" s="98" t="s">
        <v>52</v>
      </c>
      <c r="C33" s="99" t="s">
        <v>142</v>
      </c>
      <c r="D33" s="100" t="str">
        <f aca="false">B33&amp;"_"&amp;E33</f>
        <v>1.2_5.4.17</v>
      </c>
      <c r="E33" s="101" t="s">
        <v>161</v>
      </c>
      <c r="F33" s="102"/>
      <c r="G33" s="103"/>
      <c r="H33" s="103"/>
      <c r="I33" s="103"/>
      <c r="J33" s="103"/>
      <c r="K33" s="103"/>
      <c r="L33" s="103"/>
      <c r="M33" s="103"/>
      <c r="N33" s="103"/>
      <c r="O33" s="104" t="s">
        <v>162</v>
      </c>
      <c r="P33" s="105" t="s">
        <v>145</v>
      </c>
      <c r="Q33" s="106" t="s">
        <v>163</v>
      </c>
      <c r="R33" s="107" t="s">
        <v>157</v>
      </c>
      <c r="S33" s="108" t="n">
        <v>6.45</v>
      </c>
      <c r="T33" s="109" t="n">
        <v>27.15</v>
      </c>
      <c r="U33" s="110" t="n">
        <f aca="false">ROUND(T33*$S33,2)</f>
        <v>175.12</v>
      </c>
      <c r="V33" s="111"/>
      <c r="W33" s="110"/>
      <c r="X33" s="111"/>
      <c r="Y33" s="110"/>
      <c r="Z33" s="108"/>
      <c r="AA33" s="110"/>
    </row>
    <row r="34" customFormat="false" ht="26.1" hidden="false" customHeight="true" outlineLevel="0" collapsed="false">
      <c r="A34" s="97" t="n">
        <v>1</v>
      </c>
      <c r="B34" s="98" t="s">
        <v>52</v>
      </c>
      <c r="C34" s="99" t="s">
        <v>142</v>
      </c>
      <c r="D34" s="100" t="str">
        <f aca="false">B34&amp;"_"&amp;E34</f>
        <v>1.2_5.4.22</v>
      </c>
      <c r="E34" s="101" t="s">
        <v>164</v>
      </c>
      <c r="F34" s="102"/>
      <c r="G34" s="103"/>
      <c r="H34" s="103"/>
      <c r="I34" s="103"/>
      <c r="J34" s="103"/>
      <c r="K34" s="103"/>
      <c r="L34" s="103"/>
      <c r="M34" s="103"/>
      <c r="N34" s="103"/>
      <c r="O34" s="104" t="s">
        <v>165</v>
      </c>
      <c r="P34" s="105" t="s">
        <v>145</v>
      </c>
      <c r="Q34" s="106" t="s">
        <v>166</v>
      </c>
      <c r="R34" s="107" t="s">
        <v>167</v>
      </c>
      <c r="S34" s="108" t="n">
        <v>19122.02</v>
      </c>
      <c r="T34" s="109" t="n">
        <v>0.89</v>
      </c>
      <c r="U34" s="110" t="n">
        <f aca="false">ROUND(T34*$S34,2)</f>
        <v>17018.6</v>
      </c>
      <c r="V34" s="111"/>
      <c r="W34" s="110"/>
      <c r="X34" s="111"/>
      <c r="Y34" s="110"/>
      <c r="Z34" s="108"/>
      <c r="AA34" s="110"/>
    </row>
    <row r="35" customFormat="false" ht="26.1" hidden="false" customHeight="true" outlineLevel="0" collapsed="false">
      <c r="A35" s="97" t="n">
        <v>1</v>
      </c>
      <c r="B35" s="98" t="s">
        <v>52</v>
      </c>
      <c r="C35" s="99" t="s">
        <v>142</v>
      </c>
      <c r="D35" s="100" t="str">
        <f aca="false">B35&amp;"_"&amp;E35</f>
        <v>1.2_5.4.23</v>
      </c>
      <c r="E35" s="101" t="s">
        <v>168</v>
      </c>
      <c r="F35" s="102"/>
      <c r="G35" s="103"/>
      <c r="H35" s="103"/>
      <c r="I35" s="103"/>
      <c r="J35" s="103"/>
      <c r="K35" s="103"/>
      <c r="L35" s="103"/>
      <c r="M35" s="103"/>
      <c r="N35" s="103"/>
      <c r="O35" s="104" t="s">
        <v>169</v>
      </c>
      <c r="P35" s="105" t="s">
        <v>145</v>
      </c>
      <c r="Q35" s="106" t="s">
        <v>170</v>
      </c>
      <c r="R35" s="107" t="s">
        <v>167</v>
      </c>
      <c r="S35" s="108" t="n">
        <v>20936.52</v>
      </c>
      <c r="T35" s="109" t="n">
        <v>2.19</v>
      </c>
      <c r="U35" s="110" t="n">
        <f aca="false">ROUND(T35*$S35,2)</f>
        <v>45850.98</v>
      </c>
      <c r="V35" s="111"/>
      <c r="W35" s="110"/>
      <c r="X35" s="111"/>
      <c r="Y35" s="110"/>
      <c r="Z35" s="108"/>
      <c r="AA35" s="110"/>
    </row>
    <row r="36" customFormat="false" ht="26.1" hidden="false" customHeight="true" outlineLevel="0" collapsed="false">
      <c r="A36" s="97" t="n">
        <v>1</v>
      </c>
      <c r="B36" s="98" t="s">
        <v>52</v>
      </c>
      <c r="C36" s="99" t="s">
        <v>142</v>
      </c>
      <c r="D36" s="100" t="str">
        <f aca="false">B36&amp;"_"&amp;E36</f>
        <v>1.2_5.4.25</v>
      </c>
      <c r="E36" s="101" t="s">
        <v>171</v>
      </c>
      <c r="F36" s="102"/>
      <c r="G36" s="103"/>
      <c r="H36" s="103"/>
      <c r="I36" s="103"/>
      <c r="J36" s="103"/>
      <c r="K36" s="103"/>
      <c r="L36" s="103"/>
      <c r="M36" s="103"/>
      <c r="N36" s="103"/>
      <c r="O36" s="104" t="s">
        <v>172</v>
      </c>
      <c r="P36" s="105" t="s">
        <v>145</v>
      </c>
      <c r="Q36" s="106" t="s">
        <v>173</v>
      </c>
      <c r="R36" s="107" t="s">
        <v>167</v>
      </c>
      <c r="S36" s="108" t="n">
        <v>3489.42</v>
      </c>
      <c r="T36" s="109" t="n">
        <v>3.01</v>
      </c>
      <c r="U36" s="110" t="n">
        <f aca="false">ROUND(T36*$S36,2)</f>
        <v>10503.15</v>
      </c>
      <c r="V36" s="111"/>
      <c r="W36" s="110"/>
      <c r="X36" s="111"/>
      <c r="Y36" s="110"/>
      <c r="Z36" s="108"/>
      <c r="AA36" s="110"/>
    </row>
    <row r="37" customFormat="false" ht="20.1" hidden="false" customHeight="true" outlineLevel="0" collapsed="false">
      <c r="A37" s="82" t="n">
        <v>1</v>
      </c>
      <c r="B37" s="83"/>
      <c r="C37" s="84"/>
      <c r="D37" s="85"/>
      <c r="E37" s="86" t="s">
        <v>174</v>
      </c>
      <c r="F37" s="87"/>
      <c r="G37" s="88"/>
      <c r="H37" s="88"/>
      <c r="I37" s="88"/>
      <c r="J37" s="88"/>
      <c r="K37" s="88"/>
      <c r="L37" s="88"/>
      <c r="M37" s="88"/>
      <c r="N37" s="88"/>
      <c r="O37" s="89" t="s">
        <v>175</v>
      </c>
      <c r="P37" s="90"/>
      <c r="Q37" s="91" t="s">
        <v>176</v>
      </c>
      <c r="R37" s="92"/>
      <c r="S37" s="93"/>
      <c r="T37" s="94"/>
      <c r="U37" s="95" t="n">
        <f aca="false">SUM(U38:U39)</f>
        <v>181101.8</v>
      </c>
      <c r="V37" s="96"/>
      <c r="W37" s="95"/>
      <c r="X37" s="96"/>
      <c r="Y37" s="95"/>
      <c r="Z37" s="93"/>
      <c r="AA37" s="95"/>
    </row>
    <row r="38" customFormat="false" ht="26.1" hidden="false" customHeight="true" outlineLevel="0" collapsed="false">
      <c r="A38" s="97" t="n">
        <v>1</v>
      </c>
      <c r="B38" s="98" t="s">
        <v>52</v>
      </c>
      <c r="C38" s="99" t="s">
        <v>142</v>
      </c>
      <c r="D38" s="100" t="str">
        <f aca="false">B38&amp;"_"&amp;E38</f>
        <v>1.2_5.7.10</v>
      </c>
      <c r="E38" s="101" t="s">
        <v>177</v>
      </c>
      <c r="F38" s="102"/>
      <c r="G38" s="103"/>
      <c r="H38" s="103"/>
      <c r="I38" s="103"/>
      <c r="J38" s="103"/>
      <c r="K38" s="103"/>
      <c r="L38" s="103"/>
      <c r="M38" s="103"/>
      <c r="N38" s="103"/>
      <c r="O38" s="104" t="s">
        <v>178</v>
      </c>
      <c r="P38" s="105" t="s">
        <v>145</v>
      </c>
      <c r="Q38" s="106" t="s">
        <v>179</v>
      </c>
      <c r="R38" s="107" t="s">
        <v>150</v>
      </c>
      <c r="S38" s="108" t="n">
        <v>640</v>
      </c>
      <c r="T38" s="109" t="n">
        <v>223.43</v>
      </c>
      <c r="U38" s="110" t="n">
        <f aca="false">ROUND(T38*$S38,2)</f>
        <v>142995.2</v>
      </c>
      <c r="V38" s="111"/>
      <c r="W38" s="110"/>
      <c r="X38" s="111"/>
      <c r="Y38" s="110"/>
      <c r="Z38" s="108"/>
      <c r="AA38" s="110"/>
    </row>
    <row r="39" customFormat="false" ht="26.1" hidden="false" customHeight="true" outlineLevel="0" collapsed="false">
      <c r="A39" s="97" t="n">
        <v>1</v>
      </c>
      <c r="B39" s="98" t="s">
        <v>52</v>
      </c>
      <c r="C39" s="99" t="s">
        <v>142</v>
      </c>
      <c r="D39" s="100" t="str">
        <f aca="false">B39&amp;"_"&amp;E39</f>
        <v>1.2_5.7.14</v>
      </c>
      <c r="E39" s="101" t="s">
        <v>180</v>
      </c>
      <c r="F39" s="102"/>
      <c r="G39" s="103"/>
      <c r="H39" s="103"/>
      <c r="I39" s="103"/>
      <c r="J39" s="103"/>
      <c r="K39" s="103"/>
      <c r="L39" s="103"/>
      <c r="M39" s="103"/>
      <c r="N39" s="103"/>
      <c r="O39" s="104" t="s">
        <v>181</v>
      </c>
      <c r="P39" s="105" t="s">
        <v>145</v>
      </c>
      <c r="Q39" s="106" t="s">
        <v>182</v>
      </c>
      <c r="R39" s="107" t="s">
        <v>157</v>
      </c>
      <c r="S39" s="108" t="n">
        <v>126.6</v>
      </c>
      <c r="T39" s="109" t="n">
        <v>301</v>
      </c>
      <c r="U39" s="110" t="n">
        <f aca="false">ROUND(T39*$S39,2)</f>
        <v>38106.6</v>
      </c>
      <c r="V39" s="111"/>
      <c r="W39" s="110"/>
      <c r="X39" s="111"/>
      <c r="Y39" s="110"/>
      <c r="Z39" s="108"/>
      <c r="AA39" s="110"/>
    </row>
    <row r="40" customFormat="false" ht="20.1" hidden="false" customHeight="true" outlineLevel="0" collapsed="false">
      <c r="A40" s="82" t="n">
        <v>1</v>
      </c>
      <c r="B40" s="83"/>
      <c r="C40" s="84"/>
      <c r="D40" s="85"/>
      <c r="E40" s="86" t="s">
        <v>183</v>
      </c>
      <c r="F40" s="87"/>
      <c r="G40" s="88"/>
      <c r="H40" s="88"/>
      <c r="I40" s="88"/>
      <c r="J40" s="88"/>
      <c r="K40" s="88"/>
      <c r="L40" s="88"/>
      <c r="M40" s="88"/>
      <c r="N40" s="88"/>
      <c r="O40" s="89" t="s">
        <v>184</v>
      </c>
      <c r="P40" s="90"/>
      <c r="Q40" s="91" t="s">
        <v>185</v>
      </c>
      <c r="R40" s="92"/>
      <c r="S40" s="93"/>
      <c r="T40" s="94"/>
      <c r="U40" s="95" t="n">
        <f aca="false">SUM(U41:U41)</f>
        <v>11.7</v>
      </c>
      <c r="V40" s="96"/>
      <c r="W40" s="95"/>
      <c r="X40" s="96"/>
      <c r="Y40" s="95"/>
      <c r="Z40" s="93"/>
      <c r="AA40" s="95"/>
    </row>
    <row r="41" customFormat="false" ht="26.1" hidden="false" customHeight="true" outlineLevel="0" collapsed="false">
      <c r="A41" s="97" t="n">
        <v>1</v>
      </c>
      <c r="B41" s="98" t="s">
        <v>52</v>
      </c>
      <c r="C41" s="99" t="s">
        <v>142</v>
      </c>
      <c r="D41" s="100" t="str">
        <f aca="false">B41&amp;"_"&amp;E41</f>
        <v>1.2_5.8.44</v>
      </c>
      <c r="E41" s="101" t="s">
        <v>186</v>
      </c>
      <c r="F41" s="102"/>
      <c r="G41" s="103"/>
      <c r="H41" s="103"/>
      <c r="I41" s="103"/>
      <c r="J41" s="103"/>
      <c r="K41" s="103"/>
      <c r="L41" s="103"/>
      <c r="M41" s="103"/>
      <c r="N41" s="103"/>
      <c r="O41" s="104" t="s">
        <v>187</v>
      </c>
      <c r="P41" s="105" t="s">
        <v>145</v>
      </c>
      <c r="Q41" s="106" t="s">
        <v>188</v>
      </c>
      <c r="R41" s="107" t="s">
        <v>120</v>
      </c>
      <c r="S41" s="108" t="n">
        <v>15</v>
      </c>
      <c r="T41" s="109" t="n">
        <v>0.78</v>
      </c>
      <c r="U41" s="110" t="n">
        <f aca="false">ROUND(T41*$S41,2)</f>
        <v>11.7</v>
      </c>
      <c r="V41" s="111"/>
      <c r="W41" s="110"/>
      <c r="X41" s="111"/>
      <c r="Y41" s="110"/>
      <c r="Z41" s="108"/>
      <c r="AA41" s="110"/>
    </row>
    <row r="42" customFormat="false" ht="20.1" hidden="false" customHeight="true" outlineLevel="0" collapsed="false">
      <c r="A42" s="82" t="n">
        <v>1</v>
      </c>
      <c r="B42" s="83"/>
      <c r="C42" s="84"/>
      <c r="D42" s="85"/>
      <c r="E42" s="86" t="s">
        <v>189</v>
      </c>
      <c r="F42" s="87"/>
      <c r="G42" s="88"/>
      <c r="H42" s="88"/>
      <c r="I42" s="88"/>
      <c r="J42" s="88"/>
      <c r="K42" s="88"/>
      <c r="L42" s="88"/>
      <c r="M42" s="88"/>
      <c r="N42" s="88"/>
      <c r="O42" s="89" t="s">
        <v>190</v>
      </c>
      <c r="P42" s="90"/>
      <c r="Q42" s="91" t="s">
        <v>191</v>
      </c>
      <c r="R42" s="92"/>
      <c r="S42" s="93"/>
      <c r="T42" s="94"/>
      <c r="U42" s="95" t="n">
        <f aca="false">SUM(U43:U44)</f>
        <v>7669.74</v>
      </c>
      <c r="V42" s="96"/>
      <c r="W42" s="95"/>
      <c r="X42" s="96"/>
      <c r="Y42" s="95"/>
      <c r="Z42" s="93"/>
      <c r="AA42" s="95"/>
    </row>
    <row r="43" customFormat="false" ht="26.1" hidden="false" customHeight="true" outlineLevel="0" collapsed="false">
      <c r="A43" s="97" t="n">
        <v>1</v>
      </c>
      <c r="B43" s="98" t="s">
        <v>52</v>
      </c>
      <c r="C43" s="99" t="s">
        <v>142</v>
      </c>
      <c r="D43" s="100" t="str">
        <f aca="false">B43&amp;"_"&amp;E43</f>
        <v>1.2_5.9.1</v>
      </c>
      <c r="E43" s="101" t="s">
        <v>192</v>
      </c>
      <c r="F43" s="102"/>
      <c r="G43" s="103"/>
      <c r="H43" s="103"/>
      <c r="I43" s="103"/>
      <c r="J43" s="103"/>
      <c r="K43" s="103"/>
      <c r="L43" s="103"/>
      <c r="M43" s="103"/>
      <c r="N43" s="103"/>
      <c r="O43" s="104" t="s">
        <v>193</v>
      </c>
      <c r="P43" s="105" t="s">
        <v>145</v>
      </c>
      <c r="Q43" s="106" t="s">
        <v>194</v>
      </c>
      <c r="R43" s="107" t="s">
        <v>157</v>
      </c>
      <c r="S43" s="108" t="n">
        <v>697.88</v>
      </c>
      <c r="T43" s="109" t="n">
        <v>1.39</v>
      </c>
      <c r="U43" s="110" t="n">
        <f aca="false">ROUND(T43*$S43,2)</f>
        <v>970.05</v>
      </c>
      <c r="V43" s="111"/>
      <c r="W43" s="110"/>
      <c r="X43" s="111"/>
      <c r="Y43" s="110"/>
      <c r="Z43" s="108"/>
      <c r="AA43" s="110"/>
    </row>
    <row r="44" customFormat="false" ht="26.1" hidden="false" customHeight="true" outlineLevel="0" collapsed="false">
      <c r="A44" s="97" t="n">
        <v>1</v>
      </c>
      <c r="B44" s="98" t="s">
        <v>52</v>
      </c>
      <c r="C44" s="99" t="s">
        <v>142</v>
      </c>
      <c r="D44" s="100" t="str">
        <f aca="false">B44&amp;"_"&amp;E44</f>
        <v>1.2_5.9.6</v>
      </c>
      <c r="E44" s="101" t="s">
        <v>195</v>
      </c>
      <c r="F44" s="102"/>
      <c r="G44" s="103"/>
      <c r="H44" s="103"/>
      <c r="I44" s="103"/>
      <c r="J44" s="103"/>
      <c r="K44" s="103"/>
      <c r="L44" s="103"/>
      <c r="M44" s="103"/>
      <c r="N44" s="103"/>
      <c r="O44" s="104" t="s">
        <v>196</v>
      </c>
      <c r="P44" s="105" t="s">
        <v>145</v>
      </c>
      <c r="Q44" s="106" t="s">
        <v>197</v>
      </c>
      <c r="R44" s="107" t="s">
        <v>150</v>
      </c>
      <c r="S44" s="108" t="n">
        <v>3489.42</v>
      </c>
      <c r="T44" s="109" t="n">
        <v>1.92</v>
      </c>
      <c r="U44" s="110" t="n">
        <f aca="false">ROUND(T44*$S44,2)</f>
        <v>6699.69</v>
      </c>
      <c r="V44" s="111"/>
      <c r="W44" s="110"/>
      <c r="X44" s="111"/>
      <c r="Y44" s="110"/>
      <c r="Z44" s="108"/>
      <c r="AA44" s="110"/>
    </row>
    <row r="45" customFormat="false" ht="20.1" hidden="false" customHeight="true" outlineLevel="0" collapsed="false">
      <c r="A45" s="82" t="n">
        <v>1</v>
      </c>
      <c r="B45" s="83"/>
      <c r="C45" s="84"/>
      <c r="D45" s="85"/>
      <c r="E45" s="86" t="s">
        <v>198</v>
      </c>
      <c r="F45" s="87"/>
      <c r="G45" s="88"/>
      <c r="H45" s="88"/>
      <c r="I45" s="88"/>
      <c r="J45" s="88"/>
      <c r="K45" s="88"/>
      <c r="L45" s="88"/>
      <c r="M45" s="88"/>
      <c r="N45" s="88"/>
      <c r="O45" s="89" t="s">
        <v>199</v>
      </c>
      <c r="P45" s="90"/>
      <c r="Q45" s="91" t="s">
        <v>200</v>
      </c>
      <c r="R45" s="92"/>
      <c r="S45" s="93"/>
      <c r="T45" s="94"/>
      <c r="U45" s="95" t="n">
        <f aca="false">SUM(U46:U49)</f>
        <v>569.67</v>
      </c>
      <c r="V45" s="96"/>
      <c r="W45" s="95"/>
      <c r="X45" s="96"/>
      <c r="Y45" s="95"/>
      <c r="Z45" s="93"/>
      <c r="AA45" s="95"/>
    </row>
    <row r="46" customFormat="false" ht="26.1" hidden="false" customHeight="true" outlineLevel="0" collapsed="false">
      <c r="A46" s="97" t="n">
        <v>1</v>
      </c>
      <c r="B46" s="98" t="s">
        <v>52</v>
      </c>
      <c r="C46" s="99" t="s">
        <v>142</v>
      </c>
      <c r="D46" s="100" t="str">
        <f aca="false">B46&amp;"_"&amp;E46</f>
        <v>1.2_5.10.1</v>
      </c>
      <c r="E46" s="101" t="s">
        <v>201</v>
      </c>
      <c r="F46" s="102"/>
      <c r="G46" s="103"/>
      <c r="H46" s="103"/>
      <c r="I46" s="103"/>
      <c r="J46" s="103"/>
      <c r="K46" s="103"/>
      <c r="L46" s="103"/>
      <c r="M46" s="103"/>
      <c r="N46" s="103"/>
      <c r="O46" s="104" t="s">
        <v>202</v>
      </c>
      <c r="P46" s="105" t="s">
        <v>145</v>
      </c>
      <c r="Q46" s="106" t="s">
        <v>203</v>
      </c>
      <c r="R46" s="107" t="s">
        <v>71</v>
      </c>
      <c r="S46" s="108" t="n">
        <v>1</v>
      </c>
      <c r="T46" s="109" t="n">
        <v>23.73</v>
      </c>
      <c r="U46" s="110" t="n">
        <f aca="false">ROUND(T46*$S46,2)</f>
        <v>23.73</v>
      </c>
      <c r="V46" s="111"/>
      <c r="W46" s="110"/>
      <c r="X46" s="111"/>
      <c r="Y46" s="110"/>
      <c r="Z46" s="108"/>
      <c r="AA46" s="110"/>
    </row>
    <row r="47" customFormat="false" ht="26.1" hidden="false" customHeight="true" outlineLevel="0" collapsed="false">
      <c r="A47" s="97" t="n">
        <v>1</v>
      </c>
      <c r="B47" s="98" t="s">
        <v>52</v>
      </c>
      <c r="C47" s="99" t="s">
        <v>142</v>
      </c>
      <c r="D47" s="100" t="str">
        <f aca="false">B47&amp;"_"&amp;E47</f>
        <v>1.2_5.10.3</v>
      </c>
      <c r="E47" s="101" t="s">
        <v>204</v>
      </c>
      <c r="F47" s="102"/>
      <c r="G47" s="103"/>
      <c r="H47" s="103"/>
      <c r="I47" s="103"/>
      <c r="J47" s="103"/>
      <c r="K47" s="103"/>
      <c r="L47" s="103"/>
      <c r="M47" s="103"/>
      <c r="N47" s="103"/>
      <c r="O47" s="104" t="s">
        <v>205</v>
      </c>
      <c r="P47" s="105" t="s">
        <v>145</v>
      </c>
      <c r="Q47" s="106" t="s">
        <v>206</v>
      </c>
      <c r="R47" s="107" t="s">
        <v>71</v>
      </c>
      <c r="S47" s="108" t="n">
        <v>1</v>
      </c>
      <c r="T47" s="109" t="n">
        <v>138.07</v>
      </c>
      <c r="U47" s="110" t="n">
        <f aca="false">ROUND(T47*$S47,2)</f>
        <v>138.07</v>
      </c>
      <c r="V47" s="111"/>
      <c r="W47" s="110"/>
      <c r="X47" s="111"/>
      <c r="Y47" s="110"/>
      <c r="Z47" s="108"/>
      <c r="AA47" s="110"/>
    </row>
    <row r="48" customFormat="false" ht="26.1" hidden="false" customHeight="true" outlineLevel="0" collapsed="false">
      <c r="A48" s="97" t="n">
        <v>1</v>
      </c>
      <c r="B48" s="98" t="s">
        <v>52</v>
      </c>
      <c r="C48" s="99" t="s">
        <v>142</v>
      </c>
      <c r="D48" s="100" t="str">
        <f aca="false">B48&amp;"_"&amp;E48</f>
        <v>1.2_5.10.4</v>
      </c>
      <c r="E48" s="101" t="s">
        <v>207</v>
      </c>
      <c r="F48" s="102"/>
      <c r="G48" s="103"/>
      <c r="H48" s="103"/>
      <c r="I48" s="103"/>
      <c r="J48" s="103"/>
      <c r="K48" s="103"/>
      <c r="L48" s="103"/>
      <c r="M48" s="103"/>
      <c r="N48" s="103"/>
      <c r="O48" s="104" t="s">
        <v>208</v>
      </c>
      <c r="P48" s="105" t="s">
        <v>145</v>
      </c>
      <c r="Q48" s="106" t="s">
        <v>209</v>
      </c>
      <c r="R48" s="107" t="s">
        <v>71</v>
      </c>
      <c r="S48" s="108" t="n">
        <v>1</v>
      </c>
      <c r="T48" s="109" t="n">
        <v>183.01</v>
      </c>
      <c r="U48" s="110" t="n">
        <f aca="false">ROUND(T48*$S48,2)</f>
        <v>183.01</v>
      </c>
      <c r="V48" s="111"/>
      <c r="W48" s="110"/>
      <c r="X48" s="111"/>
      <c r="Y48" s="110"/>
      <c r="Z48" s="108"/>
      <c r="AA48" s="110"/>
    </row>
    <row r="49" customFormat="false" ht="26.1" hidden="false" customHeight="true" outlineLevel="0" collapsed="false">
      <c r="A49" s="97" t="n">
        <v>1</v>
      </c>
      <c r="B49" s="98" t="s">
        <v>52</v>
      </c>
      <c r="C49" s="99" t="s">
        <v>142</v>
      </c>
      <c r="D49" s="100" t="str">
        <f aca="false">B49&amp;"_"&amp;E49</f>
        <v>1.2_5.10.7</v>
      </c>
      <c r="E49" s="101" t="s">
        <v>210</v>
      </c>
      <c r="F49" s="102"/>
      <c r="G49" s="103"/>
      <c r="H49" s="103"/>
      <c r="I49" s="103"/>
      <c r="J49" s="103"/>
      <c r="K49" s="103"/>
      <c r="L49" s="103"/>
      <c r="M49" s="103"/>
      <c r="N49" s="103"/>
      <c r="O49" s="104" t="s">
        <v>211</v>
      </c>
      <c r="P49" s="105" t="s">
        <v>145</v>
      </c>
      <c r="Q49" s="106" t="s">
        <v>212</v>
      </c>
      <c r="R49" s="107" t="s">
        <v>71</v>
      </c>
      <c r="S49" s="108" t="n">
        <v>1</v>
      </c>
      <c r="T49" s="109" t="n">
        <v>224.86</v>
      </c>
      <c r="U49" s="110" t="n">
        <f aca="false">ROUND(T49*$S49,2)</f>
        <v>224.86</v>
      </c>
      <c r="V49" s="111"/>
      <c r="W49" s="110"/>
      <c r="X49" s="111"/>
      <c r="Y49" s="110"/>
      <c r="Z49" s="108"/>
      <c r="AA49" s="110"/>
    </row>
    <row r="50" customFormat="false" ht="20.1" hidden="false" customHeight="true" outlineLevel="0" collapsed="false">
      <c r="A50" s="82" t="n">
        <v>1</v>
      </c>
      <c r="B50" s="83"/>
      <c r="C50" s="84"/>
      <c r="D50" s="85"/>
      <c r="E50" s="86" t="s">
        <v>213</v>
      </c>
      <c r="F50" s="87"/>
      <c r="G50" s="88"/>
      <c r="H50" s="88"/>
      <c r="I50" s="88"/>
      <c r="J50" s="88"/>
      <c r="K50" s="88"/>
      <c r="L50" s="88"/>
      <c r="M50" s="88"/>
      <c r="N50" s="88"/>
      <c r="O50" s="89" t="s">
        <v>214</v>
      </c>
      <c r="P50" s="90"/>
      <c r="Q50" s="91" t="s">
        <v>215</v>
      </c>
      <c r="R50" s="92"/>
      <c r="S50" s="93"/>
      <c r="T50" s="94"/>
      <c r="U50" s="95" t="n">
        <f aca="false">SUM(U51:U52)</f>
        <v>114560.88</v>
      </c>
      <c r="V50" s="96"/>
      <c r="W50" s="95"/>
      <c r="X50" s="96"/>
      <c r="Y50" s="95"/>
      <c r="Z50" s="93"/>
      <c r="AA50" s="95"/>
    </row>
    <row r="51" customFormat="false" ht="26.1" hidden="false" customHeight="true" outlineLevel="0" collapsed="false">
      <c r="A51" s="97" t="n">
        <v>1</v>
      </c>
      <c r="B51" s="98" t="s">
        <v>52</v>
      </c>
      <c r="C51" s="99" t="s">
        <v>142</v>
      </c>
      <c r="D51" s="100" t="str">
        <f aca="false">B51&amp;"_"&amp;E51</f>
        <v>1.2_5.11.1</v>
      </c>
      <c r="E51" s="101" t="s">
        <v>216</v>
      </c>
      <c r="F51" s="102"/>
      <c r="G51" s="103"/>
      <c r="H51" s="103"/>
      <c r="I51" s="103"/>
      <c r="J51" s="103"/>
      <c r="K51" s="103"/>
      <c r="L51" s="103"/>
      <c r="M51" s="103"/>
      <c r="N51" s="103"/>
      <c r="O51" s="104" t="s">
        <v>217</v>
      </c>
      <c r="P51" s="105" t="s">
        <v>145</v>
      </c>
      <c r="Q51" s="106" t="s">
        <v>218</v>
      </c>
      <c r="R51" s="107" t="s">
        <v>150</v>
      </c>
      <c r="S51" s="108" t="n">
        <v>456</v>
      </c>
      <c r="T51" s="109" t="n">
        <v>203.83</v>
      </c>
      <c r="U51" s="110" t="n">
        <f aca="false">ROUND(T51*$S51,2)</f>
        <v>92946.48</v>
      </c>
      <c r="V51" s="111"/>
      <c r="W51" s="110"/>
      <c r="X51" s="111"/>
      <c r="Y51" s="110"/>
      <c r="Z51" s="108"/>
      <c r="AA51" s="110"/>
    </row>
    <row r="52" customFormat="false" ht="26.1" hidden="false" customHeight="true" outlineLevel="0" collapsed="false">
      <c r="A52" s="97" t="n">
        <v>1</v>
      </c>
      <c r="B52" s="98" t="s">
        <v>52</v>
      </c>
      <c r="C52" s="99" t="s">
        <v>142</v>
      </c>
      <c r="D52" s="100" t="str">
        <f aca="false">B52&amp;"_"&amp;E52</f>
        <v>1.2_5.11.2</v>
      </c>
      <c r="E52" s="101" t="s">
        <v>219</v>
      </c>
      <c r="F52" s="102"/>
      <c r="G52" s="103"/>
      <c r="H52" s="103"/>
      <c r="I52" s="103"/>
      <c r="J52" s="103"/>
      <c r="K52" s="103"/>
      <c r="L52" s="103"/>
      <c r="M52" s="103"/>
      <c r="N52" s="103"/>
      <c r="O52" s="104" t="s">
        <v>220</v>
      </c>
      <c r="P52" s="105" t="s">
        <v>145</v>
      </c>
      <c r="Q52" s="106" t="s">
        <v>221</v>
      </c>
      <c r="R52" s="107" t="s">
        <v>150</v>
      </c>
      <c r="S52" s="108" t="n">
        <v>456</v>
      </c>
      <c r="T52" s="109" t="n">
        <v>47.4</v>
      </c>
      <c r="U52" s="110" t="n">
        <f aca="false">ROUND(T52*$S52,2)</f>
        <v>21614.4</v>
      </c>
      <c r="V52" s="111"/>
      <c r="W52" s="110"/>
      <c r="X52" s="111"/>
      <c r="Y52" s="110"/>
      <c r="Z52" s="108"/>
      <c r="AA52" s="110"/>
    </row>
    <row r="53" customFormat="false" ht="20.1" hidden="false" customHeight="true" outlineLevel="0" collapsed="false">
      <c r="A53" s="82" t="n">
        <v>1</v>
      </c>
      <c r="B53" s="83"/>
      <c r="C53" s="84"/>
      <c r="D53" s="85"/>
      <c r="E53" s="86" t="s">
        <v>222</v>
      </c>
      <c r="F53" s="87"/>
      <c r="G53" s="88"/>
      <c r="H53" s="88"/>
      <c r="I53" s="88"/>
      <c r="J53" s="88"/>
      <c r="K53" s="88"/>
      <c r="L53" s="88"/>
      <c r="M53" s="88"/>
      <c r="N53" s="88"/>
      <c r="O53" s="89" t="s">
        <v>223</v>
      </c>
      <c r="P53" s="90"/>
      <c r="Q53" s="91" t="s">
        <v>224</v>
      </c>
      <c r="R53" s="92"/>
      <c r="S53" s="93"/>
      <c r="T53" s="94"/>
      <c r="U53" s="95" t="n">
        <f aca="false">SUM(U54:U56)</f>
        <v>12131.8</v>
      </c>
      <c r="V53" s="96"/>
      <c r="W53" s="95"/>
      <c r="X53" s="96"/>
      <c r="Y53" s="95"/>
      <c r="Z53" s="93"/>
      <c r="AA53" s="95"/>
    </row>
    <row r="54" customFormat="false" ht="26.1" hidden="false" customHeight="true" outlineLevel="0" collapsed="false">
      <c r="A54" s="97" t="n">
        <v>1</v>
      </c>
      <c r="B54" s="98" t="s">
        <v>52</v>
      </c>
      <c r="C54" s="99" t="s">
        <v>142</v>
      </c>
      <c r="D54" s="100" t="str">
        <f aca="false">B54&amp;"_"&amp;E54</f>
        <v>1.2_5.13.1</v>
      </c>
      <c r="E54" s="101" t="s">
        <v>225</v>
      </c>
      <c r="F54" s="102"/>
      <c r="G54" s="103"/>
      <c r="H54" s="103"/>
      <c r="I54" s="103"/>
      <c r="J54" s="103"/>
      <c r="K54" s="103"/>
      <c r="L54" s="103"/>
      <c r="M54" s="103"/>
      <c r="N54" s="103"/>
      <c r="O54" s="104" t="s">
        <v>226</v>
      </c>
      <c r="P54" s="105" t="s">
        <v>145</v>
      </c>
      <c r="Q54" s="106" t="s">
        <v>227</v>
      </c>
      <c r="R54" s="107" t="s">
        <v>71</v>
      </c>
      <c r="S54" s="108" t="n">
        <v>1</v>
      </c>
      <c r="T54" s="109" t="n">
        <v>4169.2</v>
      </c>
      <c r="U54" s="110" t="n">
        <f aca="false">ROUND(T54*$S54,2)</f>
        <v>4169.2</v>
      </c>
      <c r="V54" s="111"/>
      <c r="W54" s="110"/>
      <c r="X54" s="111"/>
      <c r="Y54" s="110"/>
      <c r="Z54" s="108"/>
      <c r="AA54" s="110"/>
    </row>
    <row r="55" customFormat="false" ht="26.1" hidden="false" customHeight="true" outlineLevel="0" collapsed="false">
      <c r="A55" s="97" t="n">
        <v>1</v>
      </c>
      <c r="B55" s="98" t="s">
        <v>52</v>
      </c>
      <c r="C55" s="99" t="s">
        <v>142</v>
      </c>
      <c r="D55" s="100" t="str">
        <f aca="false">B55&amp;"_"&amp;E55</f>
        <v>1.2_5.13.2</v>
      </c>
      <c r="E55" s="101" t="s">
        <v>228</v>
      </c>
      <c r="F55" s="102"/>
      <c r="G55" s="103"/>
      <c r="H55" s="103"/>
      <c r="I55" s="103"/>
      <c r="J55" s="103"/>
      <c r="K55" s="103"/>
      <c r="L55" s="103"/>
      <c r="M55" s="103"/>
      <c r="N55" s="103"/>
      <c r="O55" s="104" t="s">
        <v>229</v>
      </c>
      <c r="P55" s="105" t="s">
        <v>145</v>
      </c>
      <c r="Q55" s="106" t="s">
        <v>230</v>
      </c>
      <c r="R55" s="107" t="s">
        <v>71</v>
      </c>
      <c r="S55" s="108" t="n">
        <v>1</v>
      </c>
      <c r="T55" s="109" t="n">
        <v>7802.15</v>
      </c>
      <c r="U55" s="110" t="n">
        <f aca="false">ROUND(T55*$S55,2)</f>
        <v>7802.15</v>
      </c>
      <c r="V55" s="111"/>
      <c r="W55" s="110"/>
      <c r="X55" s="111"/>
      <c r="Y55" s="110"/>
      <c r="Z55" s="108"/>
      <c r="AA55" s="110"/>
    </row>
    <row r="56" customFormat="false" ht="26.1" hidden="false" customHeight="true" outlineLevel="0" collapsed="false">
      <c r="A56" s="97" t="n">
        <v>1</v>
      </c>
      <c r="B56" s="98" t="s">
        <v>52</v>
      </c>
      <c r="C56" s="99" t="s">
        <v>142</v>
      </c>
      <c r="D56" s="100" t="str">
        <f aca="false">B56&amp;"_"&amp;E56</f>
        <v>1.2_5.13.3</v>
      </c>
      <c r="E56" s="101" t="s">
        <v>231</v>
      </c>
      <c r="F56" s="102"/>
      <c r="G56" s="103"/>
      <c r="H56" s="103"/>
      <c r="I56" s="103"/>
      <c r="J56" s="103"/>
      <c r="K56" s="103"/>
      <c r="L56" s="103"/>
      <c r="M56" s="103"/>
      <c r="N56" s="103"/>
      <c r="O56" s="104" t="s">
        <v>232</v>
      </c>
      <c r="P56" s="105" t="s">
        <v>145</v>
      </c>
      <c r="Q56" s="106" t="s">
        <v>233</v>
      </c>
      <c r="R56" s="107" t="s">
        <v>120</v>
      </c>
      <c r="S56" s="108" t="n">
        <v>5</v>
      </c>
      <c r="T56" s="109" t="n">
        <v>32.09</v>
      </c>
      <c r="U56" s="110" t="n">
        <f aca="false">ROUND(T56*$S56,2)</f>
        <v>160.45</v>
      </c>
      <c r="V56" s="111"/>
      <c r="W56" s="110"/>
      <c r="X56" s="111"/>
      <c r="Y56" s="110"/>
      <c r="Z56" s="108"/>
      <c r="AA56" s="110"/>
    </row>
    <row r="57" customFormat="false" ht="20.1" hidden="false" customHeight="true" outlineLevel="0" collapsed="false">
      <c r="A57" s="82" t="n">
        <v>1</v>
      </c>
      <c r="B57" s="83"/>
      <c r="C57" s="84"/>
      <c r="D57" s="85"/>
      <c r="E57" s="86" t="s">
        <v>234</v>
      </c>
      <c r="F57" s="87"/>
      <c r="G57" s="88"/>
      <c r="H57" s="88"/>
      <c r="I57" s="88"/>
      <c r="J57" s="88"/>
      <c r="K57" s="88"/>
      <c r="L57" s="88"/>
      <c r="M57" s="88"/>
      <c r="N57" s="88"/>
      <c r="O57" s="89" t="s">
        <v>235</v>
      </c>
      <c r="P57" s="90"/>
      <c r="Q57" s="91" t="s">
        <v>236</v>
      </c>
      <c r="R57" s="92"/>
      <c r="S57" s="93"/>
      <c r="T57" s="94"/>
      <c r="U57" s="95" t="n">
        <f aca="false">SUM(U58:U61)</f>
        <v>22473.39</v>
      </c>
      <c r="V57" s="96"/>
      <c r="W57" s="95"/>
      <c r="X57" s="96"/>
      <c r="Y57" s="95"/>
      <c r="Z57" s="93"/>
      <c r="AA57" s="95"/>
    </row>
    <row r="58" customFormat="false" ht="26.1" hidden="false" customHeight="true" outlineLevel="0" collapsed="false">
      <c r="A58" s="97" t="n">
        <v>1</v>
      </c>
      <c r="B58" s="98" t="s">
        <v>52</v>
      </c>
      <c r="C58" s="99" t="s">
        <v>142</v>
      </c>
      <c r="D58" s="100" t="str">
        <f aca="false">B58&amp;"_"&amp;E58</f>
        <v>1.2_5.14.2</v>
      </c>
      <c r="E58" s="101" t="s">
        <v>237</v>
      </c>
      <c r="F58" s="102"/>
      <c r="G58" s="103"/>
      <c r="H58" s="103"/>
      <c r="I58" s="103"/>
      <c r="J58" s="103"/>
      <c r="K58" s="103"/>
      <c r="L58" s="103"/>
      <c r="M58" s="103"/>
      <c r="N58" s="103"/>
      <c r="O58" s="104" t="s">
        <v>238</v>
      </c>
      <c r="P58" s="105" t="s">
        <v>145</v>
      </c>
      <c r="Q58" s="106" t="s">
        <v>239</v>
      </c>
      <c r="R58" s="107" t="s">
        <v>71</v>
      </c>
      <c r="S58" s="108" t="n">
        <v>1</v>
      </c>
      <c r="T58" s="109" t="n">
        <v>875.22</v>
      </c>
      <c r="U58" s="110" t="n">
        <f aca="false">ROUND(T58*$S58,2)</f>
        <v>875.22</v>
      </c>
      <c r="V58" s="111"/>
      <c r="W58" s="110"/>
      <c r="X58" s="111"/>
      <c r="Y58" s="110"/>
      <c r="Z58" s="108"/>
      <c r="AA58" s="110"/>
    </row>
    <row r="59" customFormat="false" ht="26.1" hidden="false" customHeight="true" outlineLevel="0" collapsed="false">
      <c r="A59" s="97" t="n">
        <v>1</v>
      </c>
      <c r="B59" s="98" t="s">
        <v>52</v>
      </c>
      <c r="C59" s="99" t="s">
        <v>142</v>
      </c>
      <c r="D59" s="100" t="str">
        <f aca="false">B59&amp;"_"&amp;E59</f>
        <v>1.2_5.14.3</v>
      </c>
      <c r="E59" s="101" t="s">
        <v>240</v>
      </c>
      <c r="F59" s="102"/>
      <c r="G59" s="103"/>
      <c r="H59" s="103"/>
      <c r="I59" s="103"/>
      <c r="J59" s="103"/>
      <c r="K59" s="103"/>
      <c r="L59" s="103"/>
      <c r="M59" s="103"/>
      <c r="N59" s="103"/>
      <c r="O59" s="104" t="s">
        <v>241</v>
      </c>
      <c r="P59" s="105" t="s">
        <v>145</v>
      </c>
      <c r="Q59" s="106" t="s">
        <v>242</v>
      </c>
      <c r="R59" s="107" t="s">
        <v>150</v>
      </c>
      <c r="S59" s="108" t="n">
        <v>10</v>
      </c>
      <c r="T59" s="109" t="n">
        <v>771.04</v>
      </c>
      <c r="U59" s="110" t="n">
        <f aca="false">ROUND(T59*$S59,2)</f>
        <v>7710.4</v>
      </c>
      <c r="V59" s="111"/>
      <c r="W59" s="110"/>
      <c r="X59" s="111"/>
      <c r="Y59" s="110"/>
      <c r="Z59" s="108"/>
      <c r="AA59" s="110"/>
    </row>
    <row r="60" customFormat="false" ht="26.1" hidden="false" customHeight="true" outlineLevel="0" collapsed="false">
      <c r="A60" s="97" t="n">
        <v>1</v>
      </c>
      <c r="B60" s="98" t="s">
        <v>52</v>
      </c>
      <c r="C60" s="99" t="s">
        <v>142</v>
      </c>
      <c r="D60" s="100" t="str">
        <f aca="false">B60&amp;"_"&amp;E60</f>
        <v>1.2_5.14.4</v>
      </c>
      <c r="E60" s="101" t="s">
        <v>243</v>
      </c>
      <c r="F60" s="102"/>
      <c r="G60" s="103"/>
      <c r="H60" s="103"/>
      <c r="I60" s="103"/>
      <c r="J60" s="103"/>
      <c r="K60" s="103"/>
      <c r="L60" s="103"/>
      <c r="M60" s="103"/>
      <c r="N60" s="103"/>
      <c r="O60" s="104" t="s">
        <v>244</v>
      </c>
      <c r="P60" s="105" t="s">
        <v>145</v>
      </c>
      <c r="Q60" s="106" t="s">
        <v>245</v>
      </c>
      <c r="R60" s="107" t="s">
        <v>150</v>
      </c>
      <c r="S60" s="108" t="n">
        <v>25</v>
      </c>
      <c r="T60" s="109" t="n">
        <v>463.39</v>
      </c>
      <c r="U60" s="110" t="n">
        <f aca="false">ROUND(T60*$S60,2)</f>
        <v>11584.75</v>
      </c>
      <c r="V60" s="111"/>
      <c r="W60" s="110"/>
      <c r="X60" s="111"/>
      <c r="Y60" s="110"/>
      <c r="Z60" s="108"/>
      <c r="AA60" s="110"/>
    </row>
    <row r="61" customFormat="false" ht="26.1" hidden="false" customHeight="true" outlineLevel="0" collapsed="false">
      <c r="A61" s="97" t="n">
        <v>1</v>
      </c>
      <c r="B61" s="98" t="s">
        <v>52</v>
      </c>
      <c r="C61" s="99" t="s">
        <v>142</v>
      </c>
      <c r="D61" s="100" t="str">
        <f aca="false">B61&amp;"_"&amp;E61</f>
        <v>1.2_5.14.5</v>
      </c>
      <c r="E61" s="101" t="s">
        <v>246</v>
      </c>
      <c r="F61" s="102"/>
      <c r="G61" s="103"/>
      <c r="H61" s="103"/>
      <c r="I61" s="103"/>
      <c r="J61" s="103"/>
      <c r="K61" s="103"/>
      <c r="L61" s="103"/>
      <c r="M61" s="103"/>
      <c r="N61" s="103"/>
      <c r="O61" s="104" t="s">
        <v>247</v>
      </c>
      <c r="P61" s="105" t="s">
        <v>145</v>
      </c>
      <c r="Q61" s="106" t="s">
        <v>248</v>
      </c>
      <c r="R61" s="107" t="s">
        <v>150</v>
      </c>
      <c r="S61" s="108" t="n">
        <v>3489.42</v>
      </c>
      <c r="T61" s="109" t="n">
        <v>0.66</v>
      </c>
      <c r="U61" s="110" t="n">
        <f aca="false">ROUND(T61*$S61,2)</f>
        <v>2303.02</v>
      </c>
      <c r="V61" s="111"/>
      <c r="W61" s="110"/>
      <c r="X61" s="111"/>
      <c r="Y61" s="110"/>
      <c r="Z61" s="108"/>
      <c r="AA61" s="110"/>
    </row>
    <row r="62" customFormat="false" ht="20.1" hidden="false" customHeight="true" outlineLevel="0" collapsed="false">
      <c r="A62" s="82" t="n">
        <v>1</v>
      </c>
      <c r="B62" s="83"/>
      <c r="C62" s="84"/>
      <c r="D62" s="85"/>
      <c r="E62" s="86" t="s">
        <v>249</v>
      </c>
      <c r="F62" s="87"/>
      <c r="G62" s="88"/>
      <c r="H62" s="88"/>
      <c r="I62" s="88"/>
      <c r="J62" s="88"/>
      <c r="K62" s="88"/>
      <c r="L62" s="88"/>
      <c r="M62" s="88"/>
      <c r="N62" s="88"/>
      <c r="O62" s="89" t="s">
        <v>250</v>
      </c>
      <c r="P62" s="90"/>
      <c r="Q62" s="91" t="s">
        <v>251</v>
      </c>
      <c r="R62" s="92"/>
      <c r="S62" s="93"/>
      <c r="T62" s="94"/>
      <c r="U62" s="95" t="n">
        <f aca="false">SUM(U63:U65)</f>
        <v>11205.87</v>
      </c>
      <c r="V62" s="96"/>
      <c r="W62" s="95"/>
      <c r="X62" s="96"/>
      <c r="Y62" s="95"/>
      <c r="Z62" s="93"/>
      <c r="AA62" s="95"/>
    </row>
    <row r="63" customFormat="false" ht="26.1" hidden="false" customHeight="true" outlineLevel="0" collapsed="false">
      <c r="A63" s="97" t="n">
        <v>1</v>
      </c>
      <c r="B63" s="98" t="s">
        <v>52</v>
      </c>
      <c r="C63" s="99" t="s">
        <v>142</v>
      </c>
      <c r="D63" s="100" t="str">
        <f aca="false">B63&amp;"_"&amp;E63</f>
        <v>1.2_5.15.1</v>
      </c>
      <c r="E63" s="101" t="s">
        <v>252</v>
      </c>
      <c r="F63" s="102"/>
      <c r="G63" s="103"/>
      <c r="H63" s="103"/>
      <c r="I63" s="103"/>
      <c r="J63" s="103"/>
      <c r="K63" s="103"/>
      <c r="L63" s="103"/>
      <c r="M63" s="103"/>
      <c r="N63" s="103"/>
      <c r="O63" s="104" t="s">
        <v>253</v>
      </c>
      <c r="P63" s="105" t="s">
        <v>145</v>
      </c>
      <c r="Q63" s="106" t="s">
        <v>254</v>
      </c>
      <c r="R63" s="107" t="s">
        <v>71</v>
      </c>
      <c r="S63" s="108" t="n">
        <v>1</v>
      </c>
      <c r="T63" s="109" t="n">
        <v>5997.31</v>
      </c>
      <c r="U63" s="110" t="n">
        <f aca="false">ROUND(T63*$S63,2)</f>
        <v>5997.31</v>
      </c>
      <c r="V63" s="111"/>
      <c r="W63" s="110"/>
      <c r="X63" s="111"/>
      <c r="Y63" s="110"/>
      <c r="Z63" s="108"/>
      <c r="AA63" s="110"/>
    </row>
    <row r="64" customFormat="false" ht="26.1" hidden="false" customHeight="true" outlineLevel="0" collapsed="false">
      <c r="A64" s="97" t="n">
        <v>1</v>
      </c>
      <c r="B64" s="98" t="s">
        <v>52</v>
      </c>
      <c r="C64" s="99" t="s">
        <v>142</v>
      </c>
      <c r="D64" s="100" t="str">
        <f aca="false">B64&amp;"_"&amp;E64</f>
        <v>1.2_5.15.2</v>
      </c>
      <c r="E64" s="101" t="s">
        <v>255</v>
      </c>
      <c r="F64" s="102"/>
      <c r="G64" s="103"/>
      <c r="H64" s="103"/>
      <c r="I64" s="103"/>
      <c r="J64" s="103"/>
      <c r="K64" s="103"/>
      <c r="L64" s="103"/>
      <c r="M64" s="103"/>
      <c r="N64" s="103"/>
      <c r="O64" s="104" t="s">
        <v>256</v>
      </c>
      <c r="P64" s="105" t="s">
        <v>145</v>
      </c>
      <c r="Q64" s="106" t="s">
        <v>257</v>
      </c>
      <c r="R64" s="107" t="s">
        <v>71</v>
      </c>
      <c r="S64" s="108" t="n">
        <v>1</v>
      </c>
      <c r="T64" s="109" t="n">
        <v>4901.92</v>
      </c>
      <c r="U64" s="110" t="n">
        <f aca="false">ROUND(T64*$S64,2)</f>
        <v>4901.92</v>
      </c>
      <c r="V64" s="111"/>
      <c r="W64" s="110"/>
      <c r="X64" s="111"/>
      <c r="Y64" s="110"/>
      <c r="Z64" s="108"/>
      <c r="AA64" s="110"/>
    </row>
    <row r="65" customFormat="false" ht="26.1" hidden="false" customHeight="true" outlineLevel="0" collapsed="false">
      <c r="A65" s="97" t="n">
        <v>1</v>
      </c>
      <c r="B65" s="98" t="s">
        <v>52</v>
      </c>
      <c r="C65" s="99" t="s">
        <v>142</v>
      </c>
      <c r="D65" s="100" t="str">
        <f aca="false">B65&amp;"_"&amp;E65</f>
        <v>1.2_5.15.3</v>
      </c>
      <c r="E65" s="101" t="s">
        <v>258</v>
      </c>
      <c r="F65" s="102"/>
      <c r="G65" s="103"/>
      <c r="H65" s="103"/>
      <c r="I65" s="103"/>
      <c r="J65" s="103"/>
      <c r="K65" s="103"/>
      <c r="L65" s="103"/>
      <c r="M65" s="103"/>
      <c r="N65" s="103"/>
      <c r="O65" s="104" t="s">
        <v>259</v>
      </c>
      <c r="P65" s="105" t="s">
        <v>145</v>
      </c>
      <c r="Q65" s="106" t="s">
        <v>260</v>
      </c>
      <c r="R65" s="107" t="s">
        <v>71</v>
      </c>
      <c r="S65" s="108" t="n">
        <v>1</v>
      </c>
      <c r="T65" s="109" t="n">
        <v>306.64</v>
      </c>
      <c r="U65" s="110" t="n">
        <f aca="false">ROUND(T65*$S65,2)</f>
        <v>306.64</v>
      </c>
      <c r="V65" s="111"/>
      <c r="W65" s="110"/>
      <c r="X65" s="111"/>
      <c r="Y65" s="110"/>
      <c r="Z65" s="108"/>
      <c r="AA65" s="110"/>
    </row>
    <row r="66" customFormat="false" ht="20.1" hidden="false" customHeight="true" outlineLevel="0" collapsed="false">
      <c r="A66" s="82" t="n">
        <v>1</v>
      </c>
      <c r="B66" s="83"/>
      <c r="C66" s="84"/>
      <c r="D66" s="85"/>
      <c r="E66" s="86" t="s">
        <v>261</v>
      </c>
      <c r="F66" s="87"/>
      <c r="G66" s="88"/>
      <c r="H66" s="88"/>
      <c r="I66" s="88"/>
      <c r="J66" s="88"/>
      <c r="K66" s="88"/>
      <c r="L66" s="88"/>
      <c r="M66" s="88"/>
      <c r="N66" s="88"/>
      <c r="O66" s="89" t="s">
        <v>262</v>
      </c>
      <c r="P66" s="90"/>
      <c r="Q66" s="91" t="s">
        <v>263</v>
      </c>
      <c r="R66" s="92"/>
      <c r="S66" s="93"/>
      <c r="T66" s="94"/>
      <c r="U66" s="95" t="n">
        <f aca="false">SUM(U67:U67)</f>
        <v>455.05</v>
      </c>
      <c r="V66" s="96"/>
      <c r="W66" s="95"/>
      <c r="X66" s="96"/>
      <c r="Y66" s="95"/>
      <c r="Z66" s="93"/>
      <c r="AA66" s="95"/>
    </row>
    <row r="67" customFormat="false" ht="26.1" hidden="false" customHeight="true" outlineLevel="0" collapsed="false">
      <c r="A67" s="97" t="n">
        <v>1</v>
      </c>
      <c r="B67" s="98" t="s">
        <v>52</v>
      </c>
      <c r="C67" s="99" t="s">
        <v>142</v>
      </c>
      <c r="D67" s="100" t="str">
        <f aca="false">B67&amp;"_"&amp;E67</f>
        <v>1.2_5.17.3</v>
      </c>
      <c r="E67" s="101" t="s">
        <v>264</v>
      </c>
      <c r="F67" s="102"/>
      <c r="G67" s="103"/>
      <c r="H67" s="103"/>
      <c r="I67" s="103"/>
      <c r="J67" s="103"/>
      <c r="K67" s="103"/>
      <c r="L67" s="103"/>
      <c r="M67" s="103"/>
      <c r="N67" s="103"/>
      <c r="O67" s="104" t="s">
        <v>265</v>
      </c>
      <c r="P67" s="105" t="s">
        <v>145</v>
      </c>
      <c r="Q67" s="106" t="s">
        <v>266</v>
      </c>
      <c r="R67" s="107" t="s">
        <v>157</v>
      </c>
      <c r="S67" s="108" t="n">
        <v>9.58</v>
      </c>
      <c r="T67" s="109" t="n">
        <v>47.5</v>
      </c>
      <c r="U67" s="110" t="n">
        <f aca="false">ROUND(T67*$S67,2)</f>
        <v>455.05</v>
      </c>
      <c r="V67" s="111"/>
      <c r="W67" s="110"/>
      <c r="X67" s="111"/>
      <c r="Y67" s="110"/>
      <c r="Z67" s="108"/>
      <c r="AA67" s="110"/>
    </row>
    <row r="68" customFormat="false" ht="20.1" hidden="false" customHeight="true" outlineLevel="0" collapsed="false">
      <c r="A68" s="67" t="n">
        <v>1</v>
      </c>
      <c r="B68" s="68"/>
      <c r="C68" s="69"/>
      <c r="D68" s="70"/>
      <c r="E68" s="71" t="s">
        <v>267</v>
      </c>
      <c r="F68" s="72"/>
      <c r="G68" s="73"/>
      <c r="H68" s="73"/>
      <c r="I68" s="73"/>
      <c r="J68" s="73"/>
      <c r="K68" s="73"/>
      <c r="L68" s="73"/>
      <c r="M68" s="73"/>
      <c r="N68" s="73"/>
      <c r="O68" s="74" t="s">
        <v>268</v>
      </c>
      <c r="P68" s="75"/>
      <c r="Q68" s="76" t="s">
        <v>269</v>
      </c>
      <c r="R68" s="77"/>
      <c r="S68" s="78"/>
      <c r="T68" s="79"/>
      <c r="U68" s="80" t="n">
        <f aca="false">SUM(U69)</f>
        <v>459842.94</v>
      </c>
      <c r="V68" s="81"/>
      <c r="W68" s="80"/>
      <c r="X68" s="81"/>
      <c r="Y68" s="80"/>
      <c r="Z68" s="78"/>
      <c r="AA68" s="80"/>
    </row>
    <row r="69" customFormat="false" ht="20.1" hidden="false" customHeight="true" outlineLevel="0" collapsed="false">
      <c r="A69" s="82" t="n">
        <v>1</v>
      </c>
      <c r="B69" s="83"/>
      <c r="C69" s="84"/>
      <c r="D69" s="85"/>
      <c r="E69" s="86" t="s">
        <v>270</v>
      </c>
      <c r="F69" s="87"/>
      <c r="G69" s="88"/>
      <c r="H69" s="88"/>
      <c r="I69" s="88"/>
      <c r="J69" s="88"/>
      <c r="K69" s="88"/>
      <c r="L69" s="88"/>
      <c r="M69" s="88"/>
      <c r="N69" s="88"/>
      <c r="O69" s="89" t="s">
        <v>271</v>
      </c>
      <c r="P69" s="90"/>
      <c r="Q69" s="91" t="s">
        <v>272</v>
      </c>
      <c r="R69" s="92"/>
      <c r="S69" s="93"/>
      <c r="T69" s="94"/>
      <c r="U69" s="95" t="n">
        <f aca="false">SUM(U70:U72)</f>
        <v>459842.94</v>
      </c>
      <c r="V69" s="96"/>
      <c r="W69" s="95"/>
      <c r="X69" s="96"/>
      <c r="Y69" s="95"/>
      <c r="Z69" s="93"/>
      <c r="AA69" s="95"/>
    </row>
    <row r="70" customFormat="false" ht="26.1" hidden="false" customHeight="true" outlineLevel="0" collapsed="false">
      <c r="A70" s="97" t="n">
        <v>1</v>
      </c>
      <c r="B70" s="98" t="s">
        <v>40</v>
      </c>
      <c r="C70" s="99" t="s">
        <v>43</v>
      </c>
      <c r="D70" s="100" t="str">
        <f aca="false">B70&amp;"_"&amp;E70</f>
        <v>1.1_6.1.1</v>
      </c>
      <c r="E70" s="101" t="s">
        <v>273</v>
      </c>
      <c r="F70" s="102" t="s">
        <v>274</v>
      </c>
      <c r="G70" s="103" t="s">
        <v>46</v>
      </c>
      <c r="H70" s="103" t="s">
        <v>46</v>
      </c>
      <c r="I70" s="103" t="s">
        <v>275</v>
      </c>
      <c r="J70" s="103" t="s">
        <v>46</v>
      </c>
      <c r="K70" s="103" t="s">
        <v>276</v>
      </c>
      <c r="L70" s="103" t="s">
        <v>277</v>
      </c>
      <c r="M70" s="103" t="s">
        <v>47</v>
      </c>
      <c r="N70" s="103" t="s">
        <v>275</v>
      </c>
      <c r="O70" s="104" t="s">
        <v>278</v>
      </c>
      <c r="P70" s="105" t="s">
        <v>27</v>
      </c>
      <c r="Q70" s="106" t="s">
        <v>279</v>
      </c>
      <c r="R70" s="107" t="s">
        <v>51</v>
      </c>
      <c r="S70" s="108" t="n">
        <v>90</v>
      </c>
      <c r="T70" s="109" t="n">
        <v>1500</v>
      </c>
      <c r="U70" s="110" t="n">
        <f aca="false">ROUND(T70*$S70,2)</f>
        <v>135000</v>
      </c>
      <c r="V70" s="111"/>
      <c r="W70" s="110"/>
      <c r="X70" s="111"/>
      <c r="Y70" s="110"/>
      <c r="Z70" s="108"/>
      <c r="AA70" s="110"/>
    </row>
    <row r="71" customFormat="false" ht="26.1" hidden="false" customHeight="true" outlineLevel="0" collapsed="false">
      <c r="A71" s="97" t="n">
        <v>1</v>
      </c>
      <c r="B71" s="98" t="s">
        <v>40</v>
      </c>
      <c r="C71" s="99" t="s">
        <v>43</v>
      </c>
      <c r="D71" s="100" t="str">
        <f aca="false">B71&amp;"_"&amp;E71</f>
        <v>1.1_6.1.2</v>
      </c>
      <c r="E71" s="101" t="s">
        <v>280</v>
      </c>
      <c r="F71" s="102" t="s">
        <v>281</v>
      </c>
      <c r="G71" s="103" t="s">
        <v>46</v>
      </c>
      <c r="H71" s="103" t="s">
        <v>46</v>
      </c>
      <c r="I71" s="103" t="s">
        <v>275</v>
      </c>
      <c r="J71" s="103" t="s">
        <v>46</v>
      </c>
      <c r="K71" s="103" t="s">
        <v>276</v>
      </c>
      <c r="L71" s="103" t="s">
        <v>277</v>
      </c>
      <c r="M71" s="103" t="s">
        <v>47</v>
      </c>
      <c r="N71" s="103" t="s">
        <v>275</v>
      </c>
      <c r="O71" s="104" t="s">
        <v>282</v>
      </c>
      <c r="P71" s="105" t="s">
        <v>27</v>
      </c>
      <c r="Q71" s="106" t="s">
        <v>283</v>
      </c>
      <c r="R71" s="107" t="s">
        <v>51</v>
      </c>
      <c r="S71" s="108" t="n">
        <v>162</v>
      </c>
      <c r="T71" s="109" t="n">
        <v>1171.87</v>
      </c>
      <c r="U71" s="110" t="n">
        <f aca="false">ROUND(T71*$S71,2)</f>
        <v>189842.94</v>
      </c>
      <c r="V71" s="111"/>
      <c r="W71" s="110"/>
      <c r="X71" s="111"/>
      <c r="Y71" s="110"/>
      <c r="Z71" s="108"/>
      <c r="AA71" s="110"/>
    </row>
    <row r="72" customFormat="false" ht="26.1" hidden="false" customHeight="true" outlineLevel="0" collapsed="false">
      <c r="A72" s="97" t="n">
        <v>1</v>
      </c>
      <c r="B72" s="98" t="s">
        <v>40</v>
      </c>
      <c r="C72" s="99" t="s">
        <v>43</v>
      </c>
      <c r="D72" s="100" t="str">
        <f aca="false">B72&amp;"_"&amp;E72</f>
        <v>1.1_6.1.3</v>
      </c>
      <c r="E72" s="101" t="s">
        <v>284</v>
      </c>
      <c r="F72" s="102" t="s">
        <v>285</v>
      </c>
      <c r="G72" s="103" t="s">
        <v>46</v>
      </c>
      <c r="H72" s="103" t="s">
        <v>46</v>
      </c>
      <c r="I72" s="103" t="s">
        <v>275</v>
      </c>
      <c r="J72" s="103" t="s">
        <v>46</v>
      </c>
      <c r="K72" s="103" t="s">
        <v>276</v>
      </c>
      <c r="L72" s="103" t="s">
        <v>277</v>
      </c>
      <c r="M72" s="103" t="s">
        <v>47</v>
      </c>
      <c r="N72" s="103" t="s">
        <v>275</v>
      </c>
      <c r="O72" s="104" t="s">
        <v>286</v>
      </c>
      <c r="P72" s="105" t="s">
        <v>27</v>
      </c>
      <c r="Q72" s="106" t="s">
        <v>287</v>
      </c>
      <c r="R72" s="107" t="s">
        <v>51</v>
      </c>
      <c r="S72" s="108" t="n">
        <v>72</v>
      </c>
      <c r="T72" s="109" t="n">
        <v>1875</v>
      </c>
      <c r="U72" s="110" t="n">
        <f aca="false">ROUND(T72*$S72,2)</f>
        <v>135000</v>
      </c>
      <c r="V72" s="111"/>
      <c r="W72" s="110"/>
      <c r="X72" s="111"/>
      <c r="Y72" s="110"/>
      <c r="Z72" s="108"/>
      <c r="AA72" s="110"/>
    </row>
    <row r="73" customFormat="false" ht="20.1" hidden="false" customHeight="true" outlineLevel="0" collapsed="false">
      <c r="A73" s="67" t="n">
        <v>1</v>
      </c>
      <c r="B73" s="68"/>
      <c r="C73" s="69"/>
      <c r="D73" s="70"/>
      <c r="E73" s="71" t="s">
        <v>288</v>
      </c>
      <c r="F73" s="72"/>
      <c r="G73" s="73"/>
      <c r="H73" s="73"/>
      <c r="I73" s="73"/>
      <c r="J73" s="73"/>
      <c r="K73" s="73"/>
      <c r="L73" s="73"/>
      <c r="M73" s="73"/>
      <c r="N73" s="73"/>
      <c r="O73" s="74" t="s">
        <v>289</v>
      </c>
      <c r="P73" s="75"/>
      <c r="Q73" s="76" t="s">
        <v>290</v>
      </c>
      <c r="R73" s="77"/>
      <c r="S73" s="78"/>
      <c r="T73" s="79"/>
      <c r="U73" s="80" t="n">
        <f aca="false">SUM(U74)</f>
        <v>47401.2</v>
      </c>
      <c r="V73" s="81"/>
      <c r="W73" s="80"/>
      <c r="X73" s="81"/>
      <c r="Y73" s="80"/>
      <c r="Z73" s="78"/>
      <c r="AA73" s="80"/>
    </row>
    <row r="74" customFormat="false" ht="20.1" hidden="false" customHeight="true" outlineLevel="0" collapsed="false">
      <c r="A74" s="82" t="n">
        <v>1</v>
      </c>
      <c r="B74" s="83"/>
      <c r="C74" s="84"/>
      <c r="D74" s="85"/>
      <c r="E74" s="86" t="s">
        <v>291</v>
      </c>
      <c r="F74" s="87"/>
      <c r="G74" s="88"/>
      <c r="H74" s="88"/>
      <c r="I74" s="88"/>
      <c r="J74" s="88"/>
      <c r="K74" s="88"/>
      <c r="L74" s="88"/>
      <c r="M74" s="88"/>
      <c r="N74" s="88"/>
      <c r="O74" s="89" t="s">
        <v>292</v>
      </c>
      <c r="P74" s="90"/>
      <c r="Q74" s="91" t="s">
        <v>293</v>
      </c>
      <c r="R74" s="92"/>
      <c r="S74" s="93"/>
      <c r="T74" s="94"/>
      <c r="U74" s="95" t="n">
        <f aca="false">SUM(U75:U75)</f>
        <v>47401.2</v>
      </c>
      <c r="V74" s="96"/>
      <c r="W74" s="95"/>
      <c r="X74" s="96"/>
      <c r="Y74" s="95"/>
      <c r="Z74" s="93"/>
      <c r="AA74" s="95"/>
    </row>
    <row r="75" customFormat="false" ht="26.1" hidden="false" customHeight="true" outlineLevel="0" collapsed="false">
      <c r="A75" s="97" t="n">
        <v>1</v>
      </c>
      <c r="B75" s="98" t="s">
        <v>40</v>
      </c>
      <c r="C75" s="99" t="s">
        <v>43</v>
      </c>
      <c r="D75" s="100" t="str">
        <f aca="false">B75&amp;"_"&amp;E75</f>
        <v>1.1_7.1.1</v>
      </c>
      <c r="E75" s="101" t="s">
        <v>294</v>
      </c>
      <c r="F75" s="102" t="s">
        <v>295</v>
      </c>
      <c r="G75" s="103" t="s">
        <v>46</v>
      </c>
      <c r="H75" s="103" t="s">
        <v>46</v>
      </c>
      <c r="I75" s="103" t="s">
        <v>275</v>
      </c>
      <c r="J75" s="103" t="s">
        <v>46</v>
      </c>
      <c r="K75" s="103" t="s">
        <v>46</v>
      </c>
      <c r="L75" s="103" t="s">
        <v>46</v>
      </c>
      <c r="M75" s="103" t="s">
        <v>47</v>
      </c>
      <c r="N75" s="103" t="s">
        <v>275</v>
      </c>
      <c r="O75" s="104" t="s">
        <v>296</v>
      </c>
      <c r="P75" s="105" t="s">
        <v>27</v>
      </c>
      <c r="Q75" s="106" t="s">
        <v>295</v>
      </c>
      <c r="R75" s="107" t="s">
        <v>297</v>
      </c>
      <c r="S75" s="108" t="n">
        <v>36</v>
      </c>
      <c r="T75" s="109" t="n">
        <v>1316.7</v>
      </c>
      <c r="U75" s="110" t="n">
        <f aca="false">ROUND(T75*$S75,2)</f>
        <v>47401.2</v>
      </c>
      <c r="V75" s="111"/>
      <c r="W75" s="110"/>
      <c r="X75" s="111"/>
      <c r="Y75" s="110"/>
      <c r="Z75" s="108"/>
      <c r="AA75" s="110"/>
    </row>
    <row r="76" customFormat="false" ht="20.1" hidden="false" customHeight="true" outlineLevel="0" collapsed="false">
      <c r="A76" s="67" t="n">
        <v>1</v>
      </c>
      <c r="B76" s="68"/>
      <c r="C76" s="69"/>
      <c r="D76" s="70"/>
      <c r="E76" s="71" t="s">
        <v>298</v>
      </c>
      <c r="F76" s="72"/>
      <c r="G76" s="73"/>
      <c r="H76" s="73"/>
      <c r="I76" s="73"/>
      <c r="J76" s="73"/>
      <c r="K76" s="73"/>
      <c r="L76" s="73"/>
      <c r="M76" s="73"/>
      <c r="N76" s="73"/>
      <c r="O76" s="74" t="s">
        <v>299</v>
      </c>
      <c r="P76" s="75"/>
      <c r="Q76" s="76" t="s">
        <v>300</v>
      </c>
      <c r="R76" s="77"/>
      <c r="S76" s="78"/>
      <c r="T76" s="79"/>
      <c r="U76" s="80" t="n">
        <f aca="false">SUM(U77)</f>
        <v>53701.3</v>
      </c>
      <c r="V76" s="81"/>
      <c r="W76" s="80"/>
      <c r="X76" s="81"/>
      <c r="Y76" s="80"/>
      <c r="Z76" s="78"/>
      <c r="AA76" s="80"/>
    </row>
    <row r="77" customFormat="false" ht="20.1" hidden="false" customHeight="true" outlineLevel="0" collapsed="false">
      <c r="A77" s="82" t="n">
        <v>1</v>
      </c>
      <c r="B77" s="83"/>
      <c r="C77" s="84"/>
      <c r="D77" s="85"/>
      <c r="E77" s="86" t="s">
        <v>301</v>
      </c>
      <c r="F77" s="87"/>
      <c r="G77" s="88"/>
      <c r="H77" s="88"/>
      <c r="I77" s="88"/>
      <c r="J77" s="88"/>
      <c r="K77" s="88"/>
      <c r="L77" s="88"/>
      <c r="M77" s="88"/>
      <c r="N77" s="88"/>
      <c r="O77" s="89" t="s">
        <v>271</v>
      </c>
      <c r="P77" s="90"/>
      <c r="Q77" s="91" t="s">
        <v>272</v>
      </c>
      <c r="R77" s="92"/>
      <c r="S77" s="93"/>
      <c r="T77" s="94"/>
      <c r="U77" s="95" t="n">
        <f aca="false">SUM(U78:U81)</f>
        <v>53701.3</v>
      </c>
      <c r="V77" s="96"/>
      <c r="W77" s="95"/>
      <c r="X77" s="96"/>
      <c r="Y77" s="95"/>
      <c r="Z77" s="93"/>
      <c r="AA77" s="95"/>
    </row>
    <row r="78" customFormat="false" ht="26.1" hidden="false" customHeight="true" outlineLevel="0" collapsed="false">
      <c r="A78" s="97" t="n">
        <v>1</v>
      </c>
      <c r="B78" s="98" t="s">
        <v>52</v>
      </c>
      <c r="C78" s="99" t="s">
        <v>142</v>
      </c>
      <c r="D78" s="100" t="str">
        <f aca="false">B78&amp;"_"&amp;E78</f>
        <v>1.2_8.1.1</v>
      </c>
      <c r="E78" s="101" t="s">
        <v>302</v>
      </c>
      <c r="F78" s="102"/>
      <c r="G78" s="103"/>
      <c r="H78" s="103"/>
      <c r="I78" s="103"/>
      <c r="J78" s="103"/>
      <c r="K78" s="103"/>
      <c r="L78" s="103"/>
      <c r="M78" s="103"/>
      <c r="N78" s="103"/>
      <c r="O78" s="104" t="s">
        <v>303</v>
      </c>
      <c r="P78" s="105" t="s">
        <v>145</v>
      </c>
      <c r="Q78" s="106" t="s">
        <v>304</v>
      </c>
      <c r="R78" s="107" t="s">
        <v>305</v>
      </c>
      <c r="S78" s="108" t="n">
        <v>0</v>
      </c>
      <c r="T78" s="109" t="n">
        <v>62.33</v>
      </c>
      <c r="U78" s="110" t="n">
        <f aca="false">ROUND(T78*$S78,2)</f>
        <v>0</v>
      </c>
      <c r="V78" s="111"/>
      <c r="W78" s="110"/>
      <c r="X78" s="111"/>
      <c r="Y78" s="110"/>
      <c r="Z78" s="108"/>
      <c r="AA78" s="110"/>
    </row>
    <row r="79" customFormat="false" ht="26.1" hidden="false" customHeight="true" outlineLevel="0" collapsed="false">
      <c r="A79" s="97" t="n">
        <v>1</v>
      </c>
      <c r="B79" s="98" t="s">
        <v>52</v>
      </c>
      <c r="C79" s="99" t="s">
        <v>142</v>
      </c>
      <c r="D79" s="100" t="str">
        <f aca="false">B79&amp;"_"&amp;E79</f>
        <v>1.2_8.1.2</v>
      </c>
      <c r="E79" s="101" t="s">
        <v>306</v>
      </c>
      <c r="F79" s="102"/>
      <c r="G79" s="103"/>
      <c r="H79" s="103"/>
      <c r="I79" s="103"/>
      <c r="J79" s="103"/>
      <c r="K79" s="103"/>
      <c r="L79" s="103"/>
      <c r="M79" s="103"/>
      <c r="N79" s="103"/>
      <c r="O79" s="104" t="s">
        <v>307</v>
      </c>
      <c r="P79" s="105" t="s">
        <v>145</v>
      </c>
      <c r="Q79" s="106" t="s">
        <v>308</v>
      </c>
      <c r="R79" s="107" t="s">
        <v>309</v>
      </c>
      <c r="S79" s="108" t="n">
        <v>0</v>
      </c>
      <c r="T79" s="109" t="n">
        <v>256.25</v>
      </c>
      <c r="U79" s="110" t="n">
        <f aca="false">ROUND(T79*$S79,2)</f>
        <v>0</v>
      </c>
      <c r="V79" s="111"/>
      <c r="W79" s="110"/>
      <c r="X79" s="111"/>
      <c r="Y79" s="110"/>
      <c r="Z79" s="108"/>
      <c r="AA79" s="110"/>
    </row>
    <row r="80" customFormat="false" ht="26.1" hidden="false" customHeight="true" outlineLevel="0" collapsed="false">
      <c r="A80" s="97" t="n">
        <v>1</v>
      </c>
      <c r="B80" s="98" t="s">
        <v>52</v>
      </c>
      <c r="C80" s="99" t="s">
        <v>142</v>
      </c>
      <c r="D80" s="100" t="str">
        <f aca="false">B80&amp;"_"&amp;E80</f>
        <v>1.2_8.1.4</v>
      </c>
      <c r="E80" s="101" t="s">
        <v>310</v>
      </c>
      <c r="F80" s="102"/>
      <c r="G80" s="103"/>
      <c r="H80" s="103"/>
      <c r="I80" s="103"/>
      <c r="J80" s="103"/>
      <c r="K80" s="103"/>
      <c r="L80" s="103"/>
      <c r="M80" s="103"/>
      <c r="N80" s="103"/>
      <c r="O80" s="104" t="s">
        <v>311</v>
      </c>
      <c r="P80" s="105" t="s">
        <v>145</v>
      </c>
      <c r="Q80" s="106" t="s">
        <v>312</v>
      </c>
      <c r="R80" s="107" t="s">
        <v>305</v>
      </c>
      <c r="S80" s="108" t="n">
        <v>52.8</v>
      </c>
      <c r="T80" s="109" t="n">
        <v>6.55</v>
      </c>
      <c r="U80" s="110" t="n">
        <f aca="false">ROUND(T80*$S80,2)</f>
        <v>345.84</v>
      </c>
      <c r="V80" s="111"/>
      <c r="W80" s="110"/>
      <c r="X80" s="111"/>
      <c r="Y80" s="110"/>
      <c r="Z80" s="108"/>
      <c r="AA80" s="110"/>
    </row>
    <row r="81" customFormat="false" ht="26.1" hidden="false" customHeight="true" outlineLevel="0" collapsed="false">
      <c r="A81" s="97" t="n">
        <v>1</v>
      </c>
      <c r="B81" s="98" t="s">
        <v>52</v>
      </c>
      <c r="C81" s="99" t="s">
        <v>142</v>
      </c>
      <c r="D81" s="100" t="str">
        <f aca="false">B81&amp;"_"&amp;E81</f>
        <v>1.2_8.1.3</v>
      </c>
      <c r="E81" s="101" t="s">
        <v>313</v>
      </c>
      <c r="F81" s="102"/>
      <c r="G81" s="103"/>
      <c r="H81" s="103"/>
      <c r="I81" s="103"/>
      <c r="J81" s="103"/>
      <c r="K81" s="103"/>
      <c r="L81" s="103"/>
      <c r="M81" s="103"/>
      <c r="N81" s="103"/>
      <c r="O81" s="104" t="s">
        <v>314</v>
      </c>
      <c r="P81" s="105" t="s">
        <v>145</v>
      </c>
      <c r="Q81" s="106" t="s">
        <v>312</v>
      </c>
      <c r="R81" s="107" t="s">
        <v>309</v>
      </c>
      <c r="S81" s="108" t="n">
        <v>475.2</v>
      </c>
      <c r="T81" s="109" t="n">
        <v>112.28</v>
      </c>
      <c r="U81" s="110" t="n">
        <f aca="false">ROUND(T81*$S81,2)</f>
        <v>53355.46</v>
      </c>
      <c r="V81" s="111"/>
      <c r="W81" s="110"/>
      <c r="X81" s="111"/>
      <c r="Y81" s="110"/>
      <c r="Z81" s="108"/>
      <c r="AA81" s="110"/>
    </row>
    <row r="82" customFormat="false" ht="20.1" hidden="false" customHeight="true" outlineLevel="0" collapsed="false">
      <c r="A82" s="52" t="n">
        <v>2</v>
      </c>
      <c r="B82" s="53"/>
      <c r="C82" s="54" t="s">
        <v>315</v>
      </c>
      <c r="D82" s="55"/>
      <c r="E82" s="56"/>
      <c r="F82" s="57"/>
      <c r="G82" s="58"/>
      <c r="H82" s="58"/>
      <c r="I82" s="58"/>
      <c r="J82" s="58"/>
      <c r="K82" s="58"/>
      <c r="L82" s="58"/>
      <c r="M82" s="58"/>
      <c r="N82" s="58"/>
      <c r="O82" s="59"/>
      <c r="P82" s="60"/>
      <c r="Q82" s="61" t="s">
        <v>315</v>
      </c>
      <c r="R82" s="62"/>
      <c r="S82" s="63"/>
      <c r="T82" s="64"/>
      <c r="U82" s="65" t="n">
        <f aca="false">SUM(U83,U90)</f>
        <v>29424726.3</v>
      </c>
      <c r="V82" s="64"/>
      <c r="W82" s="65"/>
      <c r="X82" s="64"/>
      <c r="Y82" s="65"/>
      <c r="Z82" s="66"/>
      <c r="AA82" s="65"/>
    </row>
    <row r="83" customFormat="false" ht="20.1" hidden="false" customHeight="true" outlineLevel="0" collapsed="false">
      <c r="A83" s="67" t="n">
        <v>2</v>
      </c>
      <c r="B83" s="68"/>
      <c r="C83" s="69"/>
      <c r="D83" s="70"/>
      <c r="E83" s="71" t="s">
        <v>38</v>
      </c>
      <c r="F83" s="72"/>
      <c r="G83" s="73"/>
      <c r="H83" s="73"/>
      <c r="I83" s="73"/>
      <c r="J83" s="73"/>
      <c r="K83" s="73"/>
      <c r="L83" s="73"/>
      <c r="M83" s="73"/>
      <c r="N83" s="73"/>
      <c r="O83" s="74" t="s">
        <v>39</v>
      </c>
      <c r="P83" s="75"/>
      <c r="Q83" s="76" t="s">
        <v>27</v>
      </c>
      <c r="R83" s="77"/>
      <c r="S83" s="78"/>
      <c r="T83" s="79"/>
      <c r="U83" s="80" t="n">
        <f aca="false">SUM(U84,U87)</f>
        <v>1083366.32</v>
      </c>
      <c r="V83" s="81"/>
      <c r="W83" s="80"/>
      <c r="X83" s="81"/>
      <c r="Y83" s="80"/>
      <c r="Z83" s="78"/>
      <c r="AA83" s="80"/>
    </row>
    <row r="84" customFormat="false" ht="20.1" hidden="false" customHeight="true" outlineLevel="0" collapsed="false">
      <c r="A84" s="82" t="n">
        <v>2</v>
      </c>
      <c r="B84" s="83"/>
      <c r="C84" s="84"/>
      <c r="D84" s="85"/>
      <c r="E84" s="86" t="s">
        <v>52</v>
      </c>
      <c r="F84" s="87"/>
      <c r="G84" s="88"/>
      <c r="H84" s="88"/>
      <c r="I84" s="88"/>
      <c r="J84" s="88"/>
      <c r="K84" s="88"/>
      <c r="L84" s="88"/>
      <c r="M84" s="88"/>
      <c r="N84" s="88"/>
      <c r="O84" s="89" t="s">
        <v>53</v>
      </c>
      <c r="P84" s="90"/>
      <c r="Q84" s="91" t="s">
        <v>54</v>
      </c>
      <c r="R84" s="92"/>
      <c r="S84" s="93"/>
      <c r="T84" s="94"/>
      <c r="U84" s="95" t="n">
        <f aca="false">SUM(U85:U86)</f>
        <v>1061980.07</v>
      </c>
      <c r="V84" s="96"/>
      <c r="W84" s="95"/>
      <c r="X84" s="96"/>
      <c r="Y84" s="95"/>
      <c r="Z84" s="93"/>
      <c r="AA84" s="95"/>
    </row>
    <row r="85" customFormat="false" ht="26.1" hidden="false" customHeight="true" outlineLevel="0" collapsed="false">
      <c r="A85" s="97" t="n">
        <v>2</v>
      </c>
      <c r="B85" s="98" t="s">
        <v>316</v>
      </c>
      <c r="C85" s="99" t="s">
        <v>317</v>
      </c>
      <c r="D85" s="100" t="str">
        <f aca="false">B85&amp;"_"&amp;E85</f>
        <v>2.1_1.2.1</v>
      </c>
      <c r="E85" s="101" t="s">
        <v>318</v>
      </c>
      <c r="F85" s="102" t="s">
        <v>319</v>
      </c>
      <c r="G85" s="103" t="s">
        <v>46</v>
      </c>
      <c r="H85" s="103" t="s">
        <v>46</v>
      </c>
      <c r="I85" s="103" t="s">
        <v>46</v>
      </c>
      <c r="J85" s="103" t="s">
        <v>46</v>
      </c>
      <c r="K85" s="103" t="s">
        <v>46</v>
      </c>
      <c r="L85" s="103" t="s">
        <v>46</v>
      </c>
      <c r="M85" s="103" t="s">
        <v>320</v>
      </c>
      <c r="N85" s="103" t="s">
        <v>58</v>
      </c>
      <c r="O85" s="104" t="s">
        <v>321</v>
      </c>
      <c r="P85" s="105" t="s">
        <v>27</v>
      </c>
      <c r="Q85" s="106" t="s">
        <v>322</v>
      </c>
      <c r="R85" s="107" t="s">
        <v>61</v>
      </c>
      <c r="S85" s="108" t="n">
        <v>72.41</v>
      </c>
      <c r="T85" s="109" t="n">
        <v>28.42</v>
      </c>
      <c r="U85" s="110" t="n">
        <f aca="false">ROUND(T85*$S85,2)</f>
        <v>2057.89</v>
      </c>
      <c r="V85" s="111"/>
      <c r="W85" s="110"/>
      <c r="X85" s="111"/>
      <c r="Y85" s="110"/>
      <c r="Z85" s="108"/>
      <c r="AA85" s="110"/>
    </row>
    <row r="86" customFormat="false" ht="26.1" hidden="false" customHeight="true" outlineLevel="0" collapsed="false">
      <c r="A86" s="97" t="n">
        <v>2</v>
      </c>
      <c r="B86" s="98" t="s">
        <v>316</v>
      </c>
      <c r="C86" s="99" t="s">
        <v>317</v>
      </c>
      <c r="D86" s="100" t="str">
        <f aca="false">B86&amp;"_"&amp;E86</f>
        <v>2.1_1.2.2</v>
      </c>
      <c r="E86" s="101" t="s">
        <v>55</v>
      </c>
      <c r="F86" s="102" t="s">
        <v>56</v>
      </c>
      <c r="G86" s="103" t="s">
        <v>46</v>
      </c>
      <c r="H86" s="103" t="s">
        <v>46</v>
      </c>
      <c r="I86" s="103" t="s">
        <v>46</v>
      </c>
      <c r="J86" s="103" t="s">
        <v>46</v>
      </c>
      <c r="K86" s="103" t="s">
        <v>46</v>
      </c>
      <c r="L86" s="103" t="s">
        <v>46</v>
      </c>
      <c r="M86" s="103" t="s">
        <v>57</v>
      </c>
      <c r="N86" s="103" t="s">
        <v>58</v>
      </c>
      <c r="O86" s="104" t="s">
        <v>59</v>
      </c>
      <c r="P86" s="105" t="s">
        <v>27</v>
      </c>
      <c r="Q86" s="106" t="s">
        <v>60</v>
      </c>
      <c r="R86" s="107" t="s">
        <v>61</v>
      </c>
      <c r="S86" s="108" t="n">
        <v>61875.2</v>
      </c>
      <c r="T86" s="109" t="n">
        <v>17.13</v>
      </c>
      <c r="U86" s="110" t="n">
        <f aca="false">ROUND(T86*$S86,2)</f>
        <v>1059922.18</v>
      </c>
      <c r="V86" s="111"/>
      <c r="W86" s="110"/>
      <c r="X86" s="111"/>
      <c r="Y86" s="110"/>
      <c r="Z86" s="108"/>
      <c r="AA86" s="110"/>
    </row>
    <row r="87" customFormat="false" ht="20.1" hidden="false" customHeight="true" outlineLevel="0" collapsed="false">
      <c r="A87" s="82" t="n">
        <v>2</v>
      </c>
      <c r="B87" s="83"/>
      <c r="C87" s="84"/>
      <c r="D87" s="85"/>
      <c r="E87" s="86" t="s">
        <v>121</v>
      </c>
      <c r="F87" s="87"/>
      <c r="G87" s="88"/>
      <c r="H87" s="88"/>
      <c r="I87" s="88"/>
      <c r="J87" s="88"/>
      <c r="K87" s="88"/>
      <c r="L87" s="88"/>
      <c r="M87" s="88"/>
      <c r="N87" s="88"/>
      <c r="O87" s="89" t="s">
        <v>122</v>
      </c>
      <c r="P87" s="90"/>
      <c r="Q87" s="91" t="s">
        <v>123</v>
      </c>
      <c r="R87" s="92"/>
      <c r="S87" s="93"/>
      <c r="T87" s="94"/>
      <c r="U87" s="95" t="n">
        <f aca="false">SUM(U88:U89)</f>
        <v>21386.25</v>
      </c>
      <c r="V87" s="96"/>
      <c r="W87" s="95"/>
      <c r="X87" s="96"/>
      <c r="Y87" s="95"/>
      <c r="Z87" s="93"/>
      <c r="AA87" s="95"/>
    </row>
    <row r="88" customFormat="false" ht="26.1" hidden="false" customHeight="true" outlineLevel="0" collapsed="false">
      <c r="A88" s="97" t="n">
        <v>2</v>
      </c>
      <c r="B88" s="98" t="s">
        <v>316</v>
      </c>
      <c r="C88" s="99" t="s">
        <v>317</v>
      </c>
      <c r="D88" s="100" t="str">
        <f aca="false">B88&amp;"_"&amp;E88</f>
        <v>2.1_1.18.4</v>
      </c>
      <c r="E88" s="101" t="s">
        <v>323</v>
      </c>
      <c r="F88" s="102" t="s">
        <v>324</v>
      </c>
      <c r="G88" s="103" t="s">
        <v>46</v>
      </c>
      <c r="H88" s="103" t="s">
        <v>46</v>
      </c>
      <c r="I88" s="103" t="s">
        <v>325</v>
      </c>
      <c r="J88" s="103" t="s">
        <v>46</v>
      </c>
      <c r="K88" s="103" t="s">
        <v>46</v>
      </c>
      <c r="L88" s="103" t="s">
        <v>104</v>
      </c>
      <c r="M88" s="103" t="s">
        <v>6</v>
      </c>
      <c r="N88" s="103" t="s">
        <v>48</v>
      </c>
      <c r="O88" s="104" t="s">
        <v>326</v>
      </c>
      <c r="P88" s="105" t="s">
        <v>27</v>
      </c>
      <c r="Q88" s="106" t="s">
        <v>327</v>
      </c>
      <c r="R88" s="107" t="s">
        <v>71</v>
      </c>
      <c r="S88" s="108" t="n">
        <v>25</v>
      </c>
      <c r="T88" s="109" t="n">
        <v>39.45</v>
      </c>
      <c r="U88" s="110" t="n">
        <f aca="false">ROUND(T88*$S88,2)</f>
        <v>986.25</v>
      </c>
      <c r="V88" s="111"/>
      <c r="W88" s="110"/>
      <c r="X88" s="111"/>
      <c r="Y88" s="110"/>
      <c r="Z88" s="108"/>
      <c r="AA88" s="110"/>
    </row>
    <row r="89" customFormat="false" ht="26.1" hidden="false" customHeight="true" outlineLevel="0" collapsed="false">
      <c r="A89" s="97" t="n">
        <v>2</v>
      </c>
      <c r="B89" s="98" t="s">
        <v>316</v>
      </c>
      <c r="C89" s="99" t="s">
        <v>317</v>
      </c>
      <c r="D89" s="100" t="str">
        <f aca="false">B89&amp;"_"&amp;E89</f>
        <v>2.1_1.18.9</v>
      </c>
      <c r="E89" s="101" t="s">
        <v>328</v>
      </c>
      <c r="F89" s="102" t="s">
        <v>329</v>
      </c>
      <c r="G89" s="103" t="s">
        <v>46</v>
      </c>
      <c r="H89" s="103" t="s">
        <v>46</v>
      </c>
      <c r="I89" s="103" t="s">
        <v>329</v>
      </c>
      <c r="J89" s="103" t="s">
        <v>46</v>
      </c>
      <c r="K89" s="103" t="s">
        <v>330</v>
      </c>
      <c r="L89" s="103" t="s">
        <v>277</v>
      </c>
      <c r="M89" s="103" t="s">
        <v>6</v>
      </c>
      <c r="N89" s="103" t="s">
        <v>47</v>
      </c>
      <c r="O89" s="104" t="s">
        <v>331</v>
      </c>
      <c r="P89" s="105" t="s">
        <v>27</v>
      </c>
      <c r="Q89" s="106" t="s">
        <v>332</v>
      </c>
      <c r="R89" s="107" t="s">
        <v>150</v>
      </c>
      <c r="S89" s="108" t="n">
        <v>51</v>
      </c>
      <c r="T89" s="109" t="n">
        <v>400</v>
      </c>
      <c r="U89" s="110" t="n">
        <f aca="false">ROUND(T89*$S89,2)</f>
        <v>20400</v>
      </c>
      <c r="V89" s="111"/>
      <c r="W89" s="110"/>
      <c r="X89" s="111"/>
      <c r="Y89" s="110"/>
      <c r="Z89" s="108"/>
      <c r="AA89" s="110"/>
    </row>
    <row r="90" customFormat="false" ht="20.1" hidden="false" customHeight="true" outlineLevel="0" collapsed="false">
      <c r="A90" s="67" t="n">
        <v>2</v>
      </c>
      <c r="B90" s="68"/>
      <c r="C90" s="69"/>
      <c r="D90" s="70"/>
      <c r="E90" s="71" t="s">
        <v>136</v>
      </c>
      <c r="F90" s="72"/>
      <c r="G90" s="73"/>
      <c r="H90" s="73"/>
      <c r="I90" s="73"/>
      <c r="J90" s="73"/>
      <c r="K90" s="73"/>
      <c r="L90" s="73"/>
      <c r="M90" s="73"/>
      <c r="N90" s="73"/>
      <c r="O90" s="74" t="s">
        <v>137</v>
      </c>
      <c r="P90" s="75"/>
      <c r="Q90" s="76" t="s">
        <v>138</v>
      </c>
      <c r="R90" s="77"/>
      <c r="S90" s="78"/>
      <c r="T90" s="79"/>
      <c r="U90" s="80" t="n">
        <f aca="false">SUM(U91,U98,U101,U123,U128,U130,U172,U177,U181,U189)</f>
        <v>28341359.98</v>
      </c>
      <c r="V90" s="81"/>
      <c r="W90" s="80"/>
      <c r="X90" s="81"/>
      <c r="Y90" s="80"/>
      <c r="Z90" s="78"/>
      <c r="AA90" s="80"/>
    </row>
    <row r="91" customFormat="false" ht="20.1" hidden="false" customHeight="true" outlineLevel="0" collapsed="false">
      <c r="A91" s="82" t="n">
        <v>2</v>
      </c>
      <c r="B91" s="83"/>
      <c r="C91" s="84"/>
      <c r="D91" s="85"/>
      <c r="E91" s="86" t="s">
        <v>333</v>
      </c>
      <c r="F91" s="87"/>
      <c r="G91" s="88"/>
      <c r="H91" s="88"/>
      <c r="I91" s="88"/>
      <c r="J91" s="88"/>
      <c r="K91" s="88"/>
      <c r="L91" s="88"/>
      <c r="M91" s="88"/>
      <c r="N91" s="88"/>
      <c r="O91" s="89" t="s">
        <v>334</v>
      </c>
      <c r="P91" s="90"/>
      <c r="Q91" s="91" t="s">
        <v>335</v>
      </c>
      <c r="R91" s="92"/>
      <c r="S91" s="93"/>
      <c r="T91" s="94"/>
      <c r="U91" s="95" t="n">
        <f aca="false">SUM(U92:U97)</f>
        <v>1335467.19</v>
      </c>
      <c r="V91" s="96"/>
      <c r="W91" s="95"/>
      <c r="X91" s="96"/>
      <c r="Y91" s="95"/>
      <c r="Z91" s="93"/>
      <c r="AA91" s="95"/>
    </row>
    <row r="92" customFormat="false" ht="26.1" hidden="false" customHeight="true" outlineLevel="0" collapsed="false">
      <c r="A92" s="97" t="n">
        <v>2</v>
      </c>
      <c r="B92" s="98" t="s">
        <v>336</v>
      </c>
      <c r="C92" s="99" t="s">
        <v>337</v>
      </c>
      <c r="D92" s="100" t="str">
        <f aca="false">B92&amp;"_"&amp;E92</f>
        <v>2.2_5.2.1</v>
      </c>
      <c r="E92" s="101" t="s">
        <v>338</v>
      </c>
      <c r="F92" s="102"/>
      <c r="G92" s="103"/>
      <c r="H92" s="103"/>
      <c r="I92" s="103"/>
      <c r="J92" s="103"/>
      <c r="K92" s="103"/>
      <c r="L92" s="103"/>
      <c r="M92" s="103"/>
      <c r="N92" s="103"/>
      <c r="O92" s="104" t="s">
        <v>339</v>
      </c>
      <c r="P92" s="105" t="s">
        <v>145</v>
      </c>
      <c r="Q92" s="106" t="s">
        <v>340</v>
      </c>
      <c r="R92" s="107" t="s">
        <v>120</v>
      </c>
      <c r="S92" s="108" t="n">
        <v>111219.2</v>
      </c>
      <c r="T92" s="109" t="n">
        <v>2.61</v>
      </c>
      <c r="U92" s="110" t="n">
        <f aca="false">ROUND(T92*$S92,2)</f>
        <v>290282.11</v>
      </c>
      <c r="V92" s="111"/>
      <c r="W92" s="110"/>
      <c r="X92" s="111"/>
      <c r="Y92" s="110"/>
      <c r="Z92" s="108"/>
      <c r="AA92" s="110"/>
    </row>
    <row r="93" customFormat="false" ht="26.1" hidden="false" customHeight="true" outlineLevel="0" collapsed="false">
      <c r="A93" s="97" t="n">
        <v>2</v>
      </c>
      <c r="B93" s="98" t="s">
        <v>336</v>
      </c>
      <c r="C93" s="99" t="s">
        <v>337</v>
      </c>
      <c r="D93" s="100" t="str">
        <f aca="false">B93&amp;"_"&amp;E93</f>
        <v>2.2_5.2.2</v>
      </c>
      <c r="E93" s="101" t="s">
        <v>341</v>
      </c>
      <c r="F93" s="102"/>
      <c r="G93" s="103"/>
      <c r="H93" s="103"/>
      <c r="I93" s="103"/>
      <c r="J93" s="103"/>
      <c r="K93" s="103"/>
      <c r="L93" s="103"/>
      <c r="M93" s="103"/>
      <c r="N93" s="103"/>
      <c r="O93" s="104" t="s">
        <v>342</v>
      </c>
      <c r="P93" s="105" t="s">
        <v>145</v>
      </c>
      <c r="Q93" s="106" t="s">
        <v>343</v>
      </c>
      <c r="R93" s="107" t="s">
        <v>71</v>
      </c>
      <c r="S93" s="108" t="n">
        <v>1307</v>
      </c>
      <c r="T93" s="109" t="n">
        <v>236.46</v>
      </c>
      <c r="U93" s="110" t="n">
        <f aca="false">ROUND(T93*$S93,2)</f>
        <v>309053.22</v>
      </c>
      <c r="V93" s="111"/>
      <c r="W93" s="110"/>
      <c r="X93" s="111"/>
      <c r="Y93" s="110"/>
      <c r="Z93" s="108"/>
      <c r="AA93" s="110"/>
    </row>
    <row r="94" customFormat="false" ht="26.1" hidden="false" customHeight="true" outlineLevel="0" collapsed="false">
      <c r="A94" s="97" t="n">
        <v>2</v>
      </c>
      <c r="B94" s="98" t="s">
        <v>336</v>
      </c>
      <c r="C94" s="99" t="s">
        <v>337</v>
      </c>
      <c r="D94" s="100" t="str">
        <f aca="false">B94&amp;"_"&amp;E94</f>
        <v>2.2_5.2.3</v>
      </c>
      <c r="E94" s="101" t="s">
        <v>344</v>
      </c>
      <c r="F94" s="102"/>
      <c r="G94" s="103"/>
      <c r="H94" s="103"/>
      <c r="I94" s="103"/>
      <c r="J94" s="103"/>
      <c r="K94" s="103"/>
      <c r="L94" s="103"/>
      <c r="M94" s="103"/>
      <c r="N94" s="103"/>
      <c r="O94" s="104" t="s">
        <v>345</v>
      </c>
      <c r="P94" s="105" t="s">
        <v>145</v>
      </c>
      <c r="Q94" s="106" t="s">
        <v>346</v>
      </c>
      <c r="R94" s="107" t="s">
        <v>71</v>
      </c>
      <c r="S94" s="108" t="n">
        <v>1307</v>
      </c>
      <c r="T94" s="109" t="n">
        <v>199.12</v>
      </c>
      <c r="U94" s="110" t="n">
        <f aca="false">ROUND(T94*$S94,2)</f>
        <v>260249.84</v>
      </c>
      <c r="V94" s="111"/>
      <c r="W94" s="110"/>
      <c r="X94" s="111"/>
      <c r="Y94" s="110"/>
      <c r="Z94" s="108"/>
      <c r="AA94" s="110"/>
    </row>
    <row r="95" customFormat="false" ht="26.1" hidden="false" customHeight="true" outlineLevel="0" collapsed="false">
      <c r="A95" s="97" t="n">
        <v>2</v>
      </c>
      <c r="B95" s="98" t="s">
        <v>336</v>
      </c>
      <c r="C95" s="99" t="s">
        <v>337</v>
      </c>
      <c r="D95" s="100" t="str">
        <f aca="false">B95&amp;"_"&amp;E95</f>
        <v>2.2_5.2.4</v>
      </c>
      <c r="E95" s="101" t="s">
        <v>347</v>
      </c>
      <c r="F95" s="102"/>
      <c r="G95" s="103"/>
      <c r="H95" s="103"/>
      <c r="I95" s="103"/>
      <c r="J95" s="103"/>
      <c r="K95" s="103"/>
      <c r="L95" s="103"/>
      <c r="M95" s="103"/>
      <c r="N95" s="103"/>
      <c r="O95" s="104" t="s">
        <v>348</v>
      </c>
      <c r="P95" s="105" t="s">
        <v>145</v>
      </c>
      <c r="Q95" s="106" t="s">
        <v>349</v>
      </c>
      <c r="R95" s="107" t="s">
        <v>71</v>
      </c>
      <c r="S95" s="108" t="n">
        <v>1307</v>
      </c>
      <c r="T95" s="109" t="n">
        <v>124.45</v>
      </c>
      <c r="U95" s="110" t="n">
        <f aca="false">ROUND(T95*$S95,2)</f>
        <v>162656.15</v>
      </c>
      <c r="V95" s="111"/>
      <c r="W95" s="110"/>
      <c r="X95" s="111"/>
      <c r="Y95" s="110"/>
      <c r="Z95" s="108"/>
      <c r="AA95" s="110"/>
    </row>
    <row r="96" customFormat="false" ht="26.1" hidden="false" customHeight="true" outlineLevel="0" collapsed="false">
      <c r="A96" s="97" t="n">
        <v>2</v>
      </c>
      <c r="B96" s="98" t="s">
        <v>336</v>
      </c>
      <c r="C96" s="99" t="s">
        <v>337</v>
      </c>
      <c r="D96" s="100" t="str">
        <f aca="false">B96&amp;"_"&amp;E96</f>
        <v>2.2_5.2.5</v>
      </c>
      <c r="E96" s="101" t="s">
        <v>350</v>
      </c>
      <c r="F96" s="102"/>
      <c r="G96" s="103"/>
      <c r="H96" s="103"/>
      <c r="I96" s="103"/>
      <c r="J96" s="103"/>
      <c r="K96" s="103"/>
      <c r="L96" s="103"/>
      <c r="M96" s="103"/>
      <c r="N96" s="103"/>
      <c r="O96" s="104" t="s">
        <v>351</v>
      </c>
      <c r="P96" s="105" t="s">
        <v>145</v>
      </c>
      <c r="Q96" s="106" t="s">
        <v>352</v>
      </c>
      <c r="R96" s="107" t="s">
        <v>71</v>
      </c>
      <c r="S96" s="108" t="n">
        <v>1307</v>
      </c>
      <c r="T96" s="109" t="n">
        <v>112.01</v>
      </c>
      <c r="U96" s="110" t="n">
        <f aca="false">ROUND(T96*$S96,2)</f>
        <v>146397.07</v>
      </c>
      <c r="V96" s="111"/>
      <c r="W96" s="110"/>
      <c r="X96" s="111"/>
      <c r="Y96" s="110"/>
      <c r="Z96" s="108"/>
      <c r="AA96" s="110"/>
    </row>
    <row r="97" customFormat="false" ht="26.1" hidden="false" customHeight="true" outlineLevel="0" collapsed="false">
      <c r="A97" s="97" t="n">
        <v>2</v>
      </c>
      <c r="B97" s="98" t="s">
        <v>336</v>
      </c>
      <c r="C97" s="99" t="s">
        <v>337</v>
      </c>
      <c r="D97" s="100" t="str">
        <f aca="false">B97&amp;"_"&amp;E97</f>
        <v>2.2_5.2.7</v>
      </c>
      <c r="E97" s="101" t="s">
        <v>353</v>
      </c>
      <c r="F97" s="102"/>
      <c r="G97" s="103"/>
      <c r="H97" s="103"/>
      <c r="I97" s="103"/>
      <c r="J97" s="103"/>
      <c r="K97" s="103"/>
      <c r="L97" s="103"/>
      <c r="M97" s="103"/>
      <c r="N97" s="103"/>
      <c r="O97" s="104" t="s">
        <v>354</v>
      </c>
      <c r="P97" s="105" t="s">
        <v>145</v>
      </c>
      <c r="Q97" s="106" t="s">
        <v>355</v>
      </c>
      <c r="R97" s="107" t="s">
        <v>120</v>
      </c>
      <c r="S97" s="108" t="n">
        <v>111219.2</v>
      </c>
      <c r="T97" s="109" t="n">
        <v>1.5</v>
      </c>
      <c r="U97" s="110" t="n">
        <f aca="false">ROUND(T97*$S97,2)</f>
        <v>166828.8</v>
      </c>
      <c r="V97" s="111"/>
      <c r="W97" s="110"/>
      <c r="X97" s="111"/>
      <c r="Y97" s="110"/>
      <c r="Z97" s="108"/>
      <c r="AA97" s="110"/>
    </row>
    <row r="98" customFormat="false" ht="20.1" hidden="false" customHeight="true" outlineLevel="0" collapsed="false">
      <c r="A98" s="82" t="n">
        <v>2</v>
      </c>
      <c r="B98" s="83"/>
      <c r="C98" s="84"/>
      <c r="D98" s="85"/>
      <c r="E98" s="86" t="s">
        <v>356</v>
      </c>
      <c r="F98" s="87"/>
      <c r="G98" s="88"/>
      <c r="H98" s="88"/>
      <c r="I98" s="88"/>
      <c r="J98" s="88"/>
      <c r="K98" s="88"/>
      <c r="L98" s="88"/>
      <c r="M98" s="88"/>
      <c r="N98" s="88"/>
      <c r="O98" s="89" t="s">
        <v>357</v>
      </c>
      <c r="P98" s="90"/>
      <c r="Q98" s="91" t="s">
        <v>358</v>
      </c>
      <c r="R98" s="92"/>
      <c r="S98" s="93"/>
      <c r="T98" s="94"/>
      <c r="U98" s="95" t="n">
        <f aca="false">SUM(U99:U100)</f>
        <v>830463.95</v>
      </c>
      <c r="V98" s="96"/>
      <c r="W98" s="95"/>
      <c r="X98" s="96"/>
      <c r="Y98" s="95"/>
      <c r="Z98" s="93"/>
      <c r="AA98" s="95"/>
    </row>
    <row r="99" customFormat="false" ht="26.1" hidden="false" customHeight="true" outlineLevel="0" collapsed="false">
      <c r="A99" s="97" t="n">
        <v>2</v>
      </c>
      <c r="B99" s="98" t="s">
        <v>336</v>
      </c>
      <c r="C99" s="99" t="s">
        <v>337</v>
      </c>
      <c r="D99" s="100" t="str">
        <f aca="false">B99&amp;"_"&amp;E99</f>
        <v>2.2_5.3.1</v>
      </c>
      <c r="E99" s="101" t="s">
        <v>359</v>
      </c>
      <c r="F99" s="102"/>
      <c r="G99" s="103"/>
      <c r="H99" s="103"/>
      <c r="I99" s="103"/>
      <c r="J99" s="103"/>
      <c r="K99" s="103"/>
      <c r="L99" s="103"/>
      <c r="M99" s="103"/>
      <c r="N99" s="103"/>
      <c r="O99" s="104" t="s">
        <v>360</v>
      </c>
      <c r="P99" s="105" t="s">
        <v>145</v>
      </c>
      <c r="Q99" s="106" t="s">
        <v>361</v>
      </c>
      <c r="R99" s="107" t="s">
        <v>157</v>
      </c>
      <c r="S99" s="108" t="n">
        <v>12.51</v>
      </c>
      <c r="T99" s="109" t="n">
        <v>222.55</v>
      </c>
      <c r="U99" s="110" t="n">
        <f aca="false">ROUND(T99*$S99,2)</f>
        <v>2784.1</v>
      </c>
      <c r="V99" s="111"/>
      <c r="W99" s="110"/>
      <c r="X99" s="111"/>
      <c r="Y99" s="110"/>
      <c r="Z99" s="108"/>
      <c r="AA99" s="110"/>
    </row>
    <row r="100" customFormat="false" ht="26.1" hidden="false" customHeight="true" outlineLevel="0" collapsed="false">
      <c r="A100" s="97" t="n">
        <v>2</v>
      </c>
      <c r="B100" s="98" t="s">
        <v>336</v>
      </c>
      <c r="C100" s="99" t="s">
        <v>337</v>
      </c>
      <c r="D100" s="100" t="str">
        <f aca="false">B100&amp;"_"&amp;E100</f>
        <v>2.2_5.3.2</v>
      </c>
      <c r="E100" s="101" t="s">
        <v>362</v>
      </c>
      <c r="F100" s="102"/>
      <c r="G100" s="103"/>
      <c r="H100" s="103"/>
      <c r="I100" s="103"/>
      <c r="J100" s="103"/>
      <c r="K100" s="103"/>
      <c r="L100" s="103"/>
      <c r="M100" s="103"/>
      <c r="N100" s="103"/>
      <c r="O100" s="104" t="s">
        <v>363</v>
      </c>
      <c r="P100" s="105" t="s">
        <v>145</v>
      </c>
      <c r="Q100" s="106" t="s">
        <v>364</v>
      </c>
      <c r="R100" s="107" t="s">
        <v>150</v>
      </c>
      <c r="S100" s="108" t="n">
        <v>26777.09</v>
      </c>
      <c r="T100" s="109" t="n">
        <v>30.91</v>
      </c>
      <c r="U100" s="110" t="n">
        <f aca="false">ROUND(T100*$S100,2)</f>
        <v>827679.85</v>
      </c>
      <c r="V100" s="111"/>
      <c r="W100" s="110"/>
      <c r="X100" s="111"/>
      <c r="Y100" s="110"/>
      <c r="Z100" s="108"/>
      <c r="AA100" s="110"/>
    </row>
    <row r="101" customFormat="false" ht="20.1" hidden="false" customHeight="true" outlineLevel="0" collapsed="false">
      <c r="A101" s="82" t="n">
        <v>2</v>
      </c>
      <c r="B101" s="83"/>
      <c r="C101" s="84"/>
      <c r="D101" s="85"/>
      <c r="E101" s="86" t="s">
        <v>151</v>
      </c>
      <c r="F101" s="87"/>
      <c r="G101" s="88"/>
      <c r="H101" s="88"/>
      <c r="I101" s="88"/>
      <c r="J101" s="88"/>
      <c r="K101" s="88"/>
      <c r="L101" s="88"/>
      <c r="M101" s="88"/>
      <c r="N101" s="88"/>
      <c r="O101" s="89" t="s">
        <v>152</v>
      </c>
      <c r="P101" s="90"/>
      <c r="Q101" s="91" t="s">
        <v>153</v>
      </c>
      <c r="R101" s="92"/>
      <c r="S101" s="93"/>
      <c r="T101" s="94"/>
      <c r="U101" s="95" t="n">
        <f aca="false">SUM(U102:U122)</f>
        <v>13848038.47</v>
      </c>
      <c r="V101" s="96"/>
      <c r="W101" s="95"/>
      <c r="X101" s="96"/>
      <c r="Y101" s="95"/>
      <c r="Z101" s="93"/>
      <c r="AA101" s="95"/>
    </row>
    <row r="102" customFormat="false" ht="26.1" hidden="false" customHeight="true" outlineLevel="0" collapsed="false">
      <c r="A102" s="97" t="n">
        <v>2</v>
      </c>
      <c r="B102" s="98" t="s">
        <v>336</v>
      </c>
      <c r="C102" s="99" t="s">
        <v>337</v>
      </c>
      <c r="D102" s="100" t="str">
        <f aca="false">B102&amp;"_"&amp;E102</f>
        <v>2.2_5.4.1</v>
      </c>
      <c r="E102" s="101" t="s">
        <v>365</v>
      </c>
      <c r="F102" s="102"/>
      <c r="G102" s="103"/>
      <c r="H102" s="103"/>
      <c r="I102" s="103"/>
      <c r="J102" s="103"/>
      <c r="K102" s="103"/>
      <c r="L102" s="103"/>
      <c r="M102" s="103"/>
      <c r="N102" s="103"/>
      <c r="O102" s="104" t="s">
        <v>366</v>
      </c>
      <c r="P102" s="105" t="s">
        <v>145</v>
      </c>
      <c r="Q102" s="106" t="s">
        <v>367</v>
      </c>
      <c r="R102" s="107" t="s">
        <v>157</v>
      </c>
      <c r="S102" s="108" t="n">
        <v>25397.93</v>
      </c>
      <c r="T102" s="109" t="n">
        <v>165.37</v>
      </c>
      <c r="U102" s="110" t="n">
        <f aca="false">ROUND(T102*$S102,2)</f>
        <v>4200055.68</v>
      </c>
      <c r="V102" s="111"/>
      <c r="W102" s="110"/>
      <c r="X102" s="111"/>
      <c r="Y102" s="110"/>
      <c r="Z102" s="108"/>
      <c r="AA102" s="110"/>
    </row>
    <row r="103" customFormat="false" ht="26.1" hidden="false" customHeight="true" outlineLevel="0" collapsed="false">
      <c r="A103" s="97" t="n">
        <v>2</v>
      </c>
      <c r="B103" s="98" t="s">
        <v>336</v>
      </c>
      <c r="C103" s="99" t="s">
        <v>337</v>
      </c>
      <c r="D103" s="100" t="str">
        <f aca="false">B103&amp;"_"&amp;E103</f>
        <v>2.2_5.4.2</v>
      </c>
      <c r="E103" s="101" t="s">
        <v>368</v>
      </c>
      <c r="F103" s="102"/>
      <c r="G103" s="103"/>
      <c r="H103" s="103"/>
      <c r="I103" s="103"/>
      <c r="J103" s="103"/>
      <c r="K103" s="103"/>
      <c r="L103" s="103"/>
      <c r="M103" s="103"/>
      <c r="N103" s="103"/>
      <c r="O103" s="104" t="s">
        <v>369</v>
      </c>
      <c r="P103" s="105" t="s">
        <v>145</v>
      </c>
      <c r="Q103" s="106" t="s">
        <v>370</v>
      </c>
      <c r="R103" s="107" t="s">
        <v>157</v>
      </c>
      <c r="S103" s="108" t="n">
        <v>3362.68</v>
      </c>
      <c r="T103" s="109" t="n">
        <v>158.85</v>
      </c>
      <c r="U103" s="110" t="n">
        <f aca="false">ROUND(T103*$S103,2)</f>
        <v>534161.72</v>
      </c>
      <c r="V103" s="111"/>
      <c r="W103" s="110"/>
      <c r="X103" s="111"/>
      <c r="Y103" s="110"/>
      <c r="Z103" s="108"/>
      <c r="AA103" s="110"/>
    </row>
    <row r="104" customFormat="false" ht="26.1" hidden="false" customHeight="true" outlineLevel="0" collapsed="false">
      <c r="A104" s="97" t="n">
        <v>2</v>
      </c>
      <c r="B104" s="98" t="s">
        <v>336</v>
      </c>
      <c r="C104" s="99" t="s">
        <v>337</v>
      </c>
      <c r="D104" s="100" t="str">
        <f aca="false">B104&amp;"_"&amp;E104</f>
        <v>2.2_5.4.3</v>
      </c>
      <c r="E104" s="101" t="s">
        <v>371</v>
      </c>
      <c r="F104" s="102"/>
      <c r="G104" s="103"/>
      <c r="H104" s="103"/>
      <c r="I104" s="103"/>
      <c r="J104" s="103"/>
      <c r="K104" s="103"/>
      <c r="L104" s="103"/>
      <c r="M104" s="103"/>
      <c r="N104" s="103"/>
      <c r="O104" s="104" t="s">
        <v>372</v>
      </c>
      <c r="P104" s="105" t="s">
        <v>145</v>
      </c>
      <c r="Q104" s="106" t="s">
        <v>373</v>
      </c>
      <c r="R104" s="107" t="s">
        <v>61</v>
      </c>
      <c r="S104" s="108" t="n">
        <v>29.87</v>
      </c>
      <c r="T104" s="109" t="n">
        <v>7.46</v>
      </c>
      <c r="U104" s="110" t="n">
        <f aca="false">ROUND(T104*$S104,2)</f>
        <v>222.83</v>
      </c>
      <c r="V104" s="111"/>
      <c r="W104" s="110"/>
      <c r="X104" s="111"/>
      <c r="Y104" s="110"/>
      <c r="Z104" s="108"/>
      <c r="AA104" s="110"/>
    </row>
    <row r="105" customFormat="false" ht="26.1" hidden="false" customHeight="true" outlineLevel="0" collapsed="false">
      <c r="A105" s="97" t="n">
        <v>2</v>
      </c>
      <c r="B105" s="98" t="s">
        <v>336</v>
      </c>
      <c r="C105" s="99" t="s">
        <v>337</v>
      </c>
      <c r="D105" s="100" t="str">
        <f aca="false">B105&amp;"_"&amp;E105</f>
        <v>2.2_5.4.5</v>
      </c>
      <c r="E105" s="101" t="s">
        <v>374</v>
      </c>
      <c r="F105" s="102"/>
      <c r="G105" s="103"/>
      <c r="H105" s="103"/>
      <c r="I105" s="103"/>
      <c r="J105" s="103"/>
      <c r="K105" s="103"/>
      <c r="L105" s="103"/>
      <c r="M105" s="103"/>
      <c r="N105" s="103"/>
      <c r="O105" s="104" t="s">
        <v>375</v>
      </c>
      <c r="P105" s="105" t="s">
        <v>145</v>
      </c>
      <c r="Q105" s="106" t="s">
        <v>376</v>
      </c>
      <c r="R105" s="107" t="s">
        <v>157</v>
      </c>
      <c r="S105" s="108" t="n">
        <v>38.11</v>
      </c>
      <c r="T105" s="109" t="n">
        <v>9.51</v>
      </c>
      <c r="U105" s="110" t="n">
        <f aca="false">ROUND(T105*$S105,2)</f>
        <v>362.43</v>
      </c>
      <c r="V105" s="111"/>
      <c r="W105" s="110"/>
      <c r="X105" s="111"/>
      <c r="Y105" s="110"/>
      <c r="Z105" s="108"/>
      <c r="AA105" s="110"/>
    </row>
    <row r="106" customFormat="false" ht="26.1" hidden="false" customHeight="true" outlineLevel="0" collapsed="false">
      <c r="A106" s="97" t="n">
        <v>2</v>
      </c>
      <c r="B106" s="98" t="s">
        <v>336</v>
      </c>
      <c r="C106" s="99" t="s">
        <v>337</v>
      </c>
      <c r="D106" s="100" t="str">
        <f aca="false">B106&amp;"_"&amp;E106</f>
        <v>2.2_5.4.7</v>
      </c>
      <c r="E106" s="101" t="s">
        <v>377</v>
      </c>
      <c r="F106" s="102"/>
      <c r="G106" s="103"/>
      <c r="H106" s="103"/>
      <c r="I106" s="103"/>
      <c r="J106" s="103"/>
      <c r="K106" s="103"/>
      <c r="L106" s="103"/>
      <c r="M106" s="103"/>
      <c r="N106" s="103"/>
      <c r="O106" s="104" t="s">
        <v>378</v>
      </c>
      <c r="P106" s="105" t="s">
        <v>145</v>
      </c>
      <c r="Q106" s="106" t="s">
        <v>379</v>
      </c>
      <c r="R106" s="107" t="s">
        <v>157</v>
      </c>
      <c r="S106" s="108" t="n">
        <v>82639.87</v>
      </c>
      <c r="T106" s="109" t="n">
        <v>6.79</v>
      </c>
      <c r="U106" s="110" t="n">
        <f aca="false">ROUND(T106*$S106,2)</f>
        <v>561124.72</v>
      </c>
      <c r="V106" s="111"/>
      <c r="W106" s="110"/>
      <c r="X106" s="111"/>
      <c r="Y106" s="110"/>
      <c r="Z106" s="108"/>
      <c r="AA106" s="110"/>
    </row>
    <row r="107" customFormat="false" ht="26.1" hidden="false" customHeight="true" outlineLevel="0" collapsed="false">
      <c r="A107" s="97" t="n">
        <v>2</v>
      </c>
      <c r="B107" s="98" t="s">
        <v>336</v>
      </c>
      <c r="C107" s="99" t="s">
        <v>337</v>
      </c>
      <c r="D107" s="100" t="str">
        <f aca="false">B107&amp;"_"&amp;E107</f>
        <v>2.2_5.4.8</v>
      </c>
      <c r="E107" s="101" t="s">
        <v>380</v>
      </c>
      <c r="F107" s="102"/>
      <c r="G107" s="103"/>
      <c r="H107" s="103"/>
      <c r="I107" s="103"/>
      <c r="J107" s="103"/>
      <c r="K107" s="103"/>
      <c r="L107" s="103"/>
      <c r="M107" s="103"/>
      <c r="N107" s="103"/>
      <c r="O107" s="104" t="s">
        <v>381</v>
      </c>
      <c r="P107" s="105" t="s">
        <v>145</v>
      </c>
      <c r="Q107" s="106" t="s">
        <v>382</v>
      </c>
      <c r="R107" s="107" t="s">
        <v>157</v>
      </c>
      <c r="S107" s="108" t="n">
        <v>1027.27</v>
      </c>
      <c r="T107" s="109" t="n">
        <v>161.05</v>
      </c>
      <c r="U107" s="110" t="n">
        <f aca="false">ROUND(T107*$S107,2)</f>
        <v>165441.83</v>
      </c>
      <c r="V107" s="111"/>
      <c r="W107" s="110"/>
      <c r="X107" s="111"/>
      <c r="Y107" s="110"/>
      <c r="Z107" s="108"/>
      <c r="AA107" s="110"/>
    </row>
    <row r="108" customFormat="false" ht="26.1" hidden="false" customHeight="true" outlineLevel="0" collapsed="false">
      <c r="A108" s="97" t="n">
        <v>2</v>
      </c>
      <c r="B108" s="98" t="s">
        <v>336</v>
      </c>
      <c r="C108" s="99" t="s">
        <v>337</v>
      </c>
      <c r="D108" s="100" t="str">
        <f aca="false">B108&amp;"_"&amp;E108</f>
        <v>2.2_5.4.9</v>
      </c>
      <c r="E108" s="101" t="s">
        <v>383</v>
      </c>
      <c r="F108" s="102"/>
      <c r="G108" s="103"/>
      <c r="H108" s="103"/>
      <c r="I108" s="103"/>
      <c r="J108" s="103"/>
      <c r="K108" s="103"/>
      <c r="L108" s="103"/>
      <c r="M108" s="103"/>
      <c r="N108" s="103"/>
      <c r="O108" s="104" t="s">
        <v>384</v>
      </c>
      <c r="P108" s="105" t="s">
        <v>145</v>
      </c>
      <c r="Q108" s="106" t="s">
        <v>385</v>
      </c>
      <c r="R108" s="107" t="s">
        <v>157</v>
      </c>
      <c r="S108" s="108" t="n">
        <v>820.35</v>
      </c>
      <c r="T108" s="109" t="n">
        <v>89.06</v>
      </c>
      <c r="U108" s="110" t="n">
        <f aca="false">ROUND(T108*$S108,2)</f>
        <v>73060.37</v>
      </c>
      <c r="V108" s="111"/>
      <c r="W108" s="110"/>
      <c r="X108" s="111"/>
      <c r="Y108" s="110"/>
      <c r="Z108" s="108"/>
      <c r="AA108" s="110"/>
    </row>
    <row r="109" customFormat="false" ht="26.1" hidden="false" customHeight="true" outlineLevel="0" collapsed="false">
      <c r="A109" s="97" t="n">
        <v>2</v>
      </c>
      <c r="B109" s="98" t="s">
        <v>336</v>
      </c>
      <c r="C109" s="99" t="s">
        <v>337</v>
      </c>
      <c r="D109" s="100" t="str">
        <f aca="false">B109&amp;"_"&amp;E109</f>
        <v>2.2_5.4.10</v>
      </c>
      <c r="E109" s="101" t="s">
        <v>386</v>
      </c>
      <c r="F109" s="102"/>
      <c r="G109" s="103"/>
      <c r="H109" s="103"/>
      <c r="I109" s="103"/>
      <c r="J109" s="103"/>
      <c r="K109" s="103"/>
      <c r="L109" s="103"/>
      <c r="M109" s="103"/>
      <c r="N109" s="103"/>
      <c r="O109" s="104" t="s">
        <v>387</v>
      </c>
      <c r="P109" s="105" t="s">
        <v>145</v>
      </c>
      <c r="Q109" s="106" t="s">
        <v>388</v>
      </c>
      <c r="R109" s="107" t="s">
        <v>157</v>
      </c>
      <c r="S109" s="108" t="n">
        <v>113.53</v>
      </c>
      <c r="T109" s="109" t="n">
        <v>118.75</v>
      </c>
      <c r="U109" s="110" t="n">
        <f aca="false">ROUND(T109*$S109,2)</f>
        <v>13481.69</v>
      </c>
      <c r="V109" s="111"/>
      <c r="W109" s="110"/>
      <c r="X109" s="111"/>
      <c r="Y109" s="110"/>
      <c r="Z109" s="108"/>
      <c r="AA109" s="110"/>
    </row>
    <row r="110" customFormat="false" ht="26.1" hidden="false" customHeight="true" outlineLevel="0" collapsed="false">
      <c r="A110" s="97" t="n">
        <v>2</v>
      </c>
      <c r="B110" s="98" t="s">
        <v>336</v>
      </c>
      <c r="C110" s="99" t="s">
        <v>337</v>
      </c>
      <c r="D110" s="100" t="str">
        <f aca="false">B110&amp;"_"&amp;E110</f>
        <v>2.2_5.4.11</v>
      </c>
      <c r="E110" s="101" t="s">
        <v>389</v>
      </c>
      <c r="F110" s="102"/>
      <c r="G110" s="103"/>
      <c r="H110" s="103"/>
      <c r="I110" s="103"/>
      <c r="J110" s="103"/>
      <c r="K110" s="103"/>
      <c r="L110" s="103"/>
      <c r="M110" s="103"/>
      <c r="N110" s="103"/>
      <c r="O110" s="104" t="s">
        <v>390</v>
      </c>
      <c r="P110" s="105" t="s">
        <v>145</v>
      </c>
      <c r="Q110" s="106" t="s">
        <v>391</v>
      </c>
      <c r="R110" s="107" t="s">
        <v>157</v>
      </c>
      <c r="S110" s="108" t="n">
        <v>56604.12</v>
      </c>
      <c r="T110" s="109" t="n">
        <v>6.08</v>
      </c>
      <c r="U110" s="110" t="n">
        <f aca="false">ROUND(T110*$S110,2)</f>
        <v>344153.05</v>
      </c>
      <c r="V110" s="111"/>
      <c r="W110" s="110"/>
      <c r="X110" s="111"/>
      <c r="Y110" s="110"/>
      <c r="Z110" s="108"/>
      <c r="AA110" s="110"/>
    </row>
    <row r="111" customFormat="false" ht="26.1" hidden="false" customHeight="true" outlineLevel="0" collapsed="false">
      <c r="A111" s="97" t="n">
        <v>2</v>
      </c>
      <c r="B111" s="98" t="s">
        <v>336</v>
      </c>
      <c r="C111" s="99" t="s">
        <v>337</v>
      </c>
      <c r="D111" s="100" t="str">
        <f aca="false">B111&amp;"_"&amp;E111</f>
        <v>2.2_5.4.12</v>
      </c>
      <c r="E111" s="101" t="s">
        <v>392</v>
      </c>
      <c r="F111" s="102"/>
      <c r="G111" s="103"/>
      <c r="H111" s="103"/>
      <c r="I111" s="103"/>
      <c r="J111" s="103"/>
      <c r="K111" s="103"/>
      <c r="L111" s="103"/>
      <c r="M111" s="103"/>
      <c r="N111" s="103"/>
      <c r="O111" s="104" t="s">
        <v>393</v>
      </c>
      <c r="P111" s="105" t="s">
        <v>145</v>
      </c>
      <c r="Q111" s="106" t="s">
        <v>394</v>
      </c>
      <c r="R111" s="107" t="s">
        <v>157</v>
      </c>
      <c r="S111" s="108" t="n">
        <v>16406.99</v>
      </c>
      <c r="T111" s="109" t="n">
        <v>7.59</v>
      </c>
      <c r="U111" s="110" t="n">
        <f aca="false">ROUND(T111*$S111,2)</f>
        <v>124529.05</v>
      </c>
      <c r="V111" s="111"/>
      <c r="W111" s="110"/>
      <c r="X111" s="111"/>
      <c r="Y111" s="110"/>
      <c r="Z111" s="108"/>
      <c r="AA111" s="110"/>
    </row>
    <row r="112" customFormat="false" ht="26.1" hidden="false" customHeight="true" outlineLevel="0" collapsed="false">
      <c r="A112" s="97" t="n">
        <v>2</v>
      </c>
      <c r="B112" s="98" t="s">
        <v>336</v>
      </c>
      <c r="C112" s="99" t="s">
        <v>337</v>
      </c>
      <c r="D112" s="100" t="str">
        <f aca="false">B112&amp;"_"&amp;E112</f>
        <v>2.2_5.4.13</v>
      </c>
      <c r="E112" s="101" t="s">
        <v>395</v>
      </c>
      <c r="F112" s="102"/>
      <c r="G112" s="103"/>
      <c r="H112" s="103"/>
      <c r="I112" s="103"/>
      <c r="J112" s="103"/>
      <c r="K112" s="103"/>
      <c r="L112" s="103"/>
      <c r="M112" s="103"/>
      <c r="N112" s="103"/>
      <c r="O112" s="104" t="s">
        <v>396</v>
      </c>
      <c r="P112" s="105" t="s">
        <v>145</v>
      </c>
      <c r="Q112" s="106" t="s">
        <v>397</v>
      </c>
      <c r="R112" s="107" t="s">
        <v>157</v>
      </c>
      <c r="S112" s="108" t="n">
        <v>8203.5</v>
      </c>
      <c r="T112" s="109" t="n">
        <v>7.94</v>
      </c>
      <c r="U112" s="110" t="n">
        <f aca="false">ROUND(T112*$S112,2)</f>
        <v>65135.79</v>
      </c>
      <c r="V112" s="111"/>
      <c r="W112" s="110"/>
      <c r="X112" s="111"/>
      <c r="Y112" s="110"/>
      <c r="Z112" s="108"/>
      <c r="AA112" s="110"/>
    </row>
    <row r="113" customFormat="false" ht="26.1" hidden="false" customHeight="true" outlineLevel="0" collapsed="false">
      <c r="A113" s="97" t="n">
        <v>2</v>
      </c>
      <c r="B113" s="98" t="s">
        <v>336</v>
      </c>
      <c r="C113" s="99" t="s">
        <v>337</v>
      </c>
      <c r="D113" s="100" t="str">
        <f aca="false">B113&amp;"_"&amp;E113</f>
        <v>2.2_5.4.14</v>
      </c>
      <c r="E113" s="101" t="s">
        <v>398</v>
      </c>
      <c r="F113" s="102"/>
      <c r="G113" s="103"/>
      <c r="H113" s="103"/>
      <c r="I113" s="103"/>
      <c r="J113" s="103"/>
      <c r="K113" s="103"/>
      <c r="L113" s="103"/>
      <c r="M113" s="103"/>
      <c r="N113" s="103"/>
      <c r="O113" s="104" t="s">
        <v>399</v>
      </c>
      <c r="P113" s="105" t="s">
        <v>145</v>
      </c>
      <c r="Q113" s="106" t="s">
        <v>400</v>
      </c>
      <c r="R113" s="107" t="s">
        <v>157</v>
      </c>
      <c r="S113" s="108" t="n">
        <v>1135.34</v>
      </c>
      <c r="T113" s="109" t="n">
        <v>7.45</v>
      </c>
      <c r="U113" s="110" t="n">
        <f aca="false">ROUND(T113*$S113,2)</f>
        <v>8458.28</v>
      </c>
      <c r="V113" s="111"/>
      <c r="W113" s="110"/>
      <c r="X113" s="111"/>
      <c r="Y113" s="110"/>
      <c r="Z113" s="108"/>
      <c r="AA113" s="110"/>
    </row>
    <row r="114" customFormat="false" ht="26.1" hidden="false" customHeight="true" outlineLevel="0" collapsed="false">
      <c r="A114" s="97" t="n">
        <v>2</v>
      </c>
      <c r="B114" s="98" t="s">
        <v>336</v>
      </c>
      <c r="C114" s="99" t="s">
        <v>337</v>
      </c>
      <c r="D114" s="100" t="str">
        <f aca="false">B114&amp;"_"&amp;E114</f>
        <v>2.2_5.4.15</v>
      </c>
      <c r="E114" s="101" t="s">
        <v>401</v>
      </c>
      <c r="F114" s="102"/>
      <c r="G114" s="103"/>
      <c r="H114" s="103"/>
      <c r="I114" s="103"/>
      <c r="J114" s="103"/>
      <c r="K114" s="103"/>
      <c r="L114" s="103"/>
      <c r="M114" s="103"/>
      <c r="N114" s="103"/>
      <c r="O114" s="104" t="s">
        <v>402</v>
      </c>
      <c r="P114" s="105" t="s">
        <v>145</v>
      </c>
      <c r="Q114" s="106" t="s">
        <v>403</v>
      </c>
      <c r="R114" s="107" t="s">
        <v>157</v>
      </c>
      <c r="S114" s="108" t="n">
        <v>7833.85</v>
      </c>
      <c r="T114" s="109" t="n">
        <v>5.69</v>
      </c>
      <c r="U114" s="110" t="n">
        <f aca="false">ROUND(T114*$S114,2)</f>
        <v>44574.61</v>
      </c>
      <c r="V114" s="111"/>
      <c r="W114" s="110"/>
      <c r="X114" s="111"/>
      <c r="Y114" s="110"/>
      <c r="Z114" s="108"/>
      <c r="AA114" s="110"/>
    </row>
    <row r="115" customFormat="false" ht="26.1" hidden="false" customHeight="true" outlineLevel="0" collapsed="false">
      <c r="A115" s="97" t="n">
        <v>2</v>
      </c>
      <c r="B115" s="98" t="s">
        <v>336</v>
      </c>
      <c r="C115" s="99" t="s">
        <v>337</v>
      </c>
      <c r="D115" s="100" t="str">
        <f aca="false">B115&amp;"_"&amp;E115</f>
        <v>2.2_5.4.16</v>
      </c>
      <c r="E115" s="101" t="s">
        <v>404</v>
      </c>
      <c r="F115" s="102"/>
      <c r="G115" s="103"/>
      <c r="H115" s="103"/>
      <c r="I115" s="103"/>
      <c r="J115" s="103"/>
      <c r="K115" s="103"/>
      <c r="L115" s="103"/>
      <c r="M115" s="103"/>
      <c r="N115" s="103"/>
      <c r="O115" s="104" t="s">
        <v>405</v>
      </c>
      <c r="P115" s="105" t="s">
        <v>145</v>
      </c>
      <c r="Q115" s="106" t="s">
        <v>406</v>
      </c>
      <c r="R115" s="107" t="s">
        <v>157</v>
      </c>
      <c r="S115" s="108" t="n">
        <v>2270.68</v>
      </c>
      <c r="T115" s="109" t="n">
        <v>7.12</v>
      </c>
      <c r="U115" s="110" t="n">
        <f aca="false">ROUND(T115*$S115,2)</f>
        <v>16167.24</v>
      </c>
      <c r="V115" s="111"/>
      <c r="W115" s="110"/>
      <c r="X115" s="111"/>
      <c r="Y115" s="110"/>
      <c r="Z115" s="108"/>
      <c r="AA115" s="110"/>
    </row>
    <row r="116" customFormat="false" ht="26.1" hidden="false" customHeight="true" outlineLevel="0" collapsed="false">
      <c r="A116" s="97" t="n">
        <v>2</v>
      </c>
      <c r="B116" s="98" t="s">
        <v>336</v>
      </c>
      <c r="C116" s="99" t="s">
        <v>337</v>
      </c>
      <c r="D116" s="100" t="str">
        <f aca="false">B116&amp;"_"&amp;E116</f>
        <v>2.2_5.4.20</v>
      </c>
      <c r="E116" s="101" t="s">
        <v>407</v>
      </c>
      <c r="F116" s="102"/>
      <c r="G116" s="103"/>
      <c r="H116" s="103"/>
      <c r="I116" s="103"/>
      <c r="J116" s="103"/>
      <c r="K116" s="103"/>
      <c r="L116" s="103"/>
      <c r="M116" s="103"/>
      <c r="N116" s="103"/>
      <c r="O116" s="104" t="s">
        <v>408</v>
      </c>
      <c r="P116" s="105" t="s">
        <v>145</v>
      </c>
      <c r="Q116" s="106" t="s">
        <v>409</v>
      </c>
      <c r="R116" s="107" t="s">
        <v>157</v>
      </c>
      <c r="S116" s="108" t="n">
        <v>8284.9</v>
      </c>
      <c r="T116" s="109" t="n">
        <v>12.12</v>
      </c>
      <c r="U116" s="110" t="n">
        <f aca="false">ROUND(T116*$S116,2)</f>
        <v>100412.99</v>
      </c>
      <c r="V116" s="111"/>
      <c r="W116" s="110"/>
      <c r="X116" s="111"/>
      <c r="Y116" s="110"/>
      <c r="Z116" s="108"/>
      <c r="AA116" s="110"/>
    </row>
    <row r="117" customFormat="false" ht="26.1" hidden="false" customHeight="true" outlineLevel="0" collapsed="false">
      <c r="A117" s="97" t="n">
        <v>2</v>
      </c>
      <c r="B117" s="98" t="s">
        <v>336</v>
      </c>
      <c r="C117" s="99" t="s">
        <v>337</v>
      </c>
      <c r="D117" s="100" t="str">
        <f aca="false">B117&amp;"_"&amp;E117</f>
        <v>2.2_5.4.21</v>
      </c>
      <c r="E117" s="101" t="s">
        <v>410</v>
      </c>
      <c r="F117" s="102"/>
      <c r="G117" s="103"/>
      <c r="H117" s="103"/>
      <c r="I117" s="103"/>
      <c r="J117" s="103"/>
      <c r="K117" s="103"/>
      <c r="L117" s="103"/>
      <c r="M117" s="103"/>
      <c r="N117" s="103"/>
      <c r="O117" s="104" t="s">
        <v>411</v>
      </c>
      <c r="P117" s="105" t="s">
        <v>145</v>
      </c>
      <c r="Q117" s="106" t="s">
        <v>412</v>
      </c>
      <c r="R117" s="107" t="s">
        <v>157</v>
      </c>
      <c r="S117" s="108" t="n">
        <v>57718.98</v>
      </c>
      <c r="T117" s="109" t="n">
        <v>17.62</v>
      </c>
      <c r="U117" s="110" t="n">
        <f aca="false">ROUND(T117*$S117,2)</f>
        <v>1017008.43</v>
      </c>
      <c r="V117" s="111"/>
      <c r="W117" s="110"/>
      <c r="X117" s="111"/>
      <c r="Y117" s="110"/>
      <c r="Z117" s="108"/>
      <c r="AA117" s="110"/>
    </row>
    <row r="118" customFormat="false" ht="26.1" hidden="false" customHeight="true" outlineLevel="0" collapsed="false">
      <c r="A118" s="97" t="n">
        <v>2</v>
      </c>
      <c r="B118" s="98" t="s">
        <v>336</v>
      </c>
      <c r="C118" s="99" t="s">
        <v>337</v>
      </c>
      <c r="D118" s="100" t="str">
        <f aca="false">B118&amp;"_"&amp;E118</f>
        <v>2.2_5.4.22</v>
      </c>
      <c r="E118" s="101" t="s">
        <v>164</v>
      </c>
      <c r="F118" s="102"/>
      <c r="G118" s="103"/>
      <c r="H118" s="103"/>
      <c r="I118" s="103"/>
      <c r="J118" s="103"/>
      <c r="K118" s="103"/>
      <c r="L118" s="103"/>
      <c r="M118" s="103"/>
      <c r="N118" s="103"/>
      <c r="O118" s="104" t="s">
        <v>165</v>
      </c>
      <c r="P118" s="105" t="s">
        <v>145</v>
      </c>
      <c r="Q118" s="106" t="s">
        <v>166</v>
      </c>
      <c r="R118" s="107" t="s">
        <v>167</v>
      </c>
      <c r="S118" s="108" t="n">
        <v>1237201.9</v>
      </c>
      <c r="T118" s="109" t="n">
        <v>0.89</v>
      </c>
      <c r="U118" s="110" t="n">
        <f aca="false">ROUND(T118*$S118,2)</f>
        <v>1101109.69</v>
      </c>
      <c r="V118" s="111"/>
      <c r="W118" s="110"/>
      <c r="X118" s="111"/>
      <c r="Y118" s="110"/>
      <c r="Z118" s="108"/>
      <c r="AA118" s="110"/>
    </row>
    <row r="119" customFormat="false" ht="26.1" hidden="false" customHeight="true" outlineLevel="0" collapsed="false">
      <c r="A119" s="97" t="n">
        <v>2</v>
      </c>
      <c r="B119" s="98" t="s">
        <v>336</v>
      </c>
      <c r="C119" s="99" t="s">
        <v>337</v>
      </c>
      <c r="D119" s="100" t="str">
        <f aca="false">B119&amp;"_"&amp;E119</f>
        <v>2.2_5.4.23</v>
      </c>
      <c r="E119" s="101" t="s">
        <v>168</v>
      </c>
      <c r="F119" s="102"/>
      <c r="G119" s="103"/>
      <c r="H119" s="103"/>
      <c r="I119" s="103"/>
      <c r="J119" s="103"/>
      <c r="K119" s="103"/>
      <c r="L119" s="103"/>
      <c r="M119" s="103"/>
      <c r="N119" s="103"/>
      <c r="O119" s="104" t="s">
        <v>169</v>
      </c>
      <c r="P119" s="105" t="s">
        <v>145</v>
      </c>
      <c r="Q119" s="106" t="s">
        <v>170</v>
      </c>
      <c r="R119" s="107" t="s">
        <v>167</v>
      </c>
      <c r="S119" s="108" t="n">
        <v>2499615.82</v>
      </c>
      <c r="T119" s="109" t="n">
        <v>2.19</v>
      </c>
      <c r="U119" s="110" t="n">
        <f aca="false">ROUND(T119*$S119,2)</f>
        <v>5474158.65</v>
      </c>
      <c r="V119" s="111"/>
      <c r="W119" s="110"/>
      <c r="X119" s="111"/>
      <c r="Y119" s="110"/>
      <c r="Z119" s="108"/>
      <c r="AA119" s="110"/>
    </row>
    <row r="120" customFormat="false" ht="26.1" hidden="false" customHeight="true" outlineLevel="0" collapsed="false">
      <c r="A120" s="97" t="n">
        <v>2</v>
      </c>
      <c r="B120" s="98" t="s">
        <v>336</v>
      </c>
      <c r="C120" s="99" t="s">
        <v>337</v>
      </c>
      <c r="D120" s="100" t="str">
        <f aca="false">B120&amp;"_"&amp;E120</f>
        <v>2.2_5.4.24</v>
      </c>
      <c r="E120" s="101" t="s">
        <v>413</v>
      </c>
      <c r="F120" s="102"/>
      <c r="G120" s="103"/>
      <c r="H120" s="103"/>
      <c r="I120" s="103"/>
      <c r="J120" s="103"/>
      <c r="K120" s="103"/>
      <c r="L120" s="103"/>
      <c r="M120" s="103"/>
      <c r="N120" s="103"/>
      <c r="O120" s="104" t="s">
        <v>414</v>
      </c>
      <c r="P120" s="105" t="s">
        <v>145</v>
      </c>
      <c r="Q120" s="106" t="s">
        <v>415</v>
      </c>
      <c r="R120" s="107" t="s">
        <v>167</v>
      </c>
      <c r="S120" s="108" t="n">
        <v>594.5</v>
      </c>
      <c r="T120" s="109" t="n">
        <v>1.2</v>
      </c>
      <c r="U120" s="110" t="n">
        <f aca="false">ROUND(T120*$S120,2)</f>
        <v>713.4</v>
      </c>
      <c r="V120" s="111"/>
      <c r="W120" s="110"/>
      <c r="X120" s="111"/>
      <c r="Y120" s="110"/>
      <c r="Z120" s="108"/>
      <c r="AA120" s="110"/>
    </row>
    <row r="121" customFormat="false" ht="26.1" hidden="false" customHeight="true" outlineLevel="0" collapsed="false">
      <c r="A121" s="97" t="n">
        <v>2</v>
      </c>
      <c r="B121" s="98" t="s">
        <v>336</v>
      </c>
      <c r="C121" s="99" t="s">
        <v>337</v>
      </c>
      <c r="D121" s="100" t="str">
        <f aca="false">B121&amp;"_"&amp;E121</f>
        <v>2.2_5.4.25</v>
      </c>
      <c r="E121" s="101" t="s">
        <v>171</v>
      </c>
      <c r="F121" s="102"/>
      <c r="G121" s="103"/>
      <c r="H121" s="103"/>
      <c r="I121" s="103"/>
      <c r="J121" s="103"/>
      <c r="K121" s="103"/>
      <c r="L121" s="103"/>
      <c r="M121" s="103"/>
      <c r="N121" s="103"/>
      <c r="O121" s="104" t="s">
        <v>172</v>
      </c>
      <c r="P121" s="105" t="s">
        <v>145</v>
      </c>
      <c r="Q121" s="106" t="s">
        <v>173</v>
      </c>
      <c r="R121" s="107" t="s">
        <v>167</v>
      </c>
      <c r="S121" s="108" t="n">
        <v>1143.26</v>
      </c>
      <c r="T121" s="109" t="n">
        <v>3.01</v>
      </c>
      <c r="U121" s="110" t="n">
        <f aca="false">ROUND(T121*$S121,2)</f>
        <v>3441.21</v>
      </c>
      <c r="V121" s="111"/>
      <c r="W121" s="110"/>
      <c r="X121" s="111"/>
      <c r="Y121" s="110"/>
      <c r="Z121" s="108"/>
      <c r="AA121" s="110"/>
    </row>
    <row r="122" customFormat="false" ht="26.1" hidden="false" customHeight="true" outlineLevel="0" collapsed="false">
      <c r="A122" s="97" t="n">
        <v>2</v>
      </c>
      <c r="B122" s="98" t="s">
        <v>336</v>
      </c>
      <c r="C122" s="99" t="s">
        <v>337</v>
      </c>
      <c r="D122" s="100" t="str">
        <f aca="false">B122&amp;"_"&amp;E122</f>
        <v>2.2_5.4.26</v>
      </c>
      <c r="E122" s="101" t="s">
        <v>416</v>
      </c>
      <c r="F122" s="102"/>
      <c r="G122" s="103"/>
      <c r="H122" s="103"/>
      <c r="I122" s="103"/>
      <c r="J122" s="103"/>
      <c r="K122" s="103"/>
      <c r="L122" s="103"/>
      <c r="M122" s="103"/>
      <c r="N122" s="103"/>
      <c r="O122" s="104" t="s">
        <v>417</v>
      </c>
      <c r="P122" s="105" t="s">
        <v>145</v>
      </c>
      <c r="Q122" s="106" t="s">
        <v>418</v>
      </c>
      <c r="R122" s="107" t="s">
        <v>419</v>
      </c>
      <c r="S122" s="108" t="n">
        <v>185.18</v>
      </c>
      <c r="T122" s="109" t="n">
        <v>1.43</v>
      </c>
      <c r="U122" s="110" t="n">
        <f aca="false">ROUND(T122*$S122,2)</f>
        <v>264.81</v>
      </c>
      <c r="V122" s="111"/>
      <c r="W122" s="110"/>
      <c r="X122" s="111"/>
      <c r="Y122" s="110"/>
      <c r="Z122" s="108"/>
      <c r="AA122" s="110"/>
    </row>
    <row r="123" customFormat="false" ht="20.1" hidden="false" customHeight="true" outlineLevel="0" collapsed="false">
      <c r="A123" s="82" t="n">
        <v>2</v>
      </c>
      <c r="B123" s="83"/>
      <c r="C123" s="84"/>
      <c r="D123" s="85"/>
      <c r="E123" s="86" t="s">
        <v>420</v>
      </c>
      <c r="F123" s="87"/>
      <c r="G123" s="88"/>
      <c r="H123" s="88"/>
      <c r="I123" s="88"/>
      <c r="J123" s="88"/>
      <c r="K123" s="88"/>
      <c r="L123" s="88"/>
      <c r="M123" s="88"/>
      <c r="N123" s="88"/>
      <c r="O123" s="89" t="s">
        <v>421</v>
      </c>
      <c r="P123" s="90"/>
      <c r="Q123" s="91" t="s">
        <v>422</v>
      </c>
      <c r="R123" s="92"/>
      <c r="S123" s="93"/>
      <c r="T123" s="94"/>
      <c r="U123" s="95" t="n">
        <f aca="false">SUM(U124:U127)</f>
        <v>8825538.56</v>
      </c>
      <c r="V123" s="96"/>
      <c r="W123" s="95"/>
      <c r="X123" s="96"/>
      <c r="Y123" s="95"/>
      <c r="Z123" s="93"/>
      <c r="AA123" s="95"/>
    </row>
    <row r="124" customFormat="false" ht="26.1" hidden="false" customHeight="true" outlineLevel="0" collapsed="false">
      <c r="A124" s="97" t="n">
        <v>2</v>
      </c>
      <c r="B124" s="98" t="s">
        <v>336</v>
      </c>
      <c r="C124" s="99" t="s">
        <v>337</v>
      </c>
      <c r="D124" s="100" t="str">
        <f aca="false">B124&amp;"_"&amp;E124</f>
        <v>2.2_5.5.1</v>
      </c>
      <c r="E124" s="101" t="s">
        <v>423</v>
      </c>
      <c r="F124" s="102"/>
      <c r="G124" s="103"/>
      <c r="H124" s="103"/>
      <c r="I124" s="103"/>
      <c r="J124" s="103"/>
      <c r="K124" s="103"/>
      <c r="L124" s="103"/>
      <c r="M124" s="103"/>
      <c r="N124" s="103"/>
      <c r="O124" s="104" t="s">
        <v>424</v>
      </c>
      <c r="P124" s="105" t="s">
        <v>145</v>
      </c>
      <c r="Q124" s="106" t="s">
        <v>425</v>
      </c>
      <c r="R124" s="107" t="s">
        <v>157</v>
      </c>
      <c r="S124" s="108" t="n">
        <v>2904.93</v>
      </c>
      <c r="T124" s="109" t="n">
        <v>256.34</v>
      </c>
      <c r="U124" s="110" t="n">
        <f aca="false">ROUND(T124*$S124,2)</f>
        <v>744649.76</v>
      </c>
      <c r="V124" s="111"/>
      <c r="W124" s="110"/>
      <c r="X124" s="111"/>
      <c r="Y124" s="110"/>
      <c r="Z124" s="108"/>
      <c r="AA124" s="110"/>
    </row>
    <row r="125" customFormat="false" ht="26.1" hidden="false" customHeight="true" outlineLevel="0" collapsed="false">
      <c r="A125" s="97" t="n">
        <v>2</v>
      </c>
      <c r="B125" s="98" t="s">
        <v>336</v>
      </c>
      <c r="C125" s="99" t="s">
        <v>337</v>
      </c>
      <c r="D125" s="100" t="str">
        <f aca="false">B125&amp;"_"&amp;E125</f>
        <v>2.2_5.5.3</v>
      </c>
      <c r="E125" s="101" t="s">
        <v>426</v>
      </c>
      <c r="F125" s="102"/>
      <c r="G125" s="103"/>
      <c r="H125" s="103"/>
      <c r="I125" s="103"/>
      <c r="J125" s="103"/>
      <c r="K125" s="103"/>
      <c r="L125" s="103"/>
      <c r="M125" s="103"/>
      <c r="N125" s="103"/>
      <c r="O125" s="104" t="s">
        <v>427</v>
      </c>
      <c r="P125" s="105" t="s">
        <v>145</v>
      </c>
      <c r="Q125" s="106" t="s">
        <v>428</v>
      </c>
      <c r="R125" s="107" t="s">
        <v>150</v>
      </c>
      <c r="S125" s="108" t="n">
        <v>291382.14</v>
      </c>
      <c r="T125" s="109" t="n">
        <v>19.81</v>
      </c>
      <c r="U125" s="110" t="n">
        <f aca="false">ROUND(T125*$S125,2)</f>
        <v>5772280.19</v>
      </c>
      <c r="V125" s="111"/>
      <c r="W125" s="110"/>
      <c r="X125" s="111"/>
      <c r="Y125" s="110"/>
      <c r="Z125" s="108"/>
      <c r="AA125" s="110"/>
    </row>
    <row r="126" customFormat="false" ht="26.1" hidden="false" customHeight="true" outlineLevel="0" collapsed="false">
      <c r="A126" s="97" t="n">
        <v>2</v>
      </c>
      <c r="B126" s="98" t="s">
        <v>336</v>
      </c>
      <c r="C126" s="99" t="s">
        <v>337</v>
      </c>
      <c r="D126" s="100" t="str">
        <f aca="false">B126&amp;"_"&amp;E126</f>
        <v>2.2_5.5.4</v>
      </c>
      <c r="E126" s="101" t="s">
        <v>429</v>
      </c>
      <c r="F126" s="102"/>
      <c r="G126" s="103"/>
      <c r="H126" s="103"/>
      <c r="I126" s="103"/>
      <c r="J126" s="103"/>
      <c r="K126" s="103"/>
      <c r="L126" s="103"/>
      <c r="M126" s="103"/>
      <c r="N126" s="103"/>
      <c r="O126" s="104" t="s">
        <v>430</v>
      </c>
      <c r="P126" s="105" t="s">
        <v>145</v>
      </c>
      <c r="Q126" s="106" t="s">
        <v>431</v>
      </c>
      <c r="R126" s="107" t="s">
        <v>157</v>
      </c>
      <c r="S126" s="108" t="n">
        <v>6806.62</v>
      </c>
      <c r="T126" s="109" t="n">
        <v>285.56</v>
      </c>
      <c r="U126" s="110" t="n">
        <f aca="false">ROUND(T126*$S126,2)</f>
        <v>1943698.41</v>
      </c>
      <c r="V126" s="111"/>
      <c r="W126" s="110"/>
      <c r="X126" s="111"/>
      <c r="Y126" s="110"/>
      <c r="Z126" s="108"/>
      <c r="AA126" s="110"/>
    </row>
    <row r="127" customFormat="false" ht="26.1" hidden="false" customHeight="true" outlineLevel="0" collapsed="false">
      <c r="A127" s="97" t="n">
        <v>2</v>
      </c>
      <c r="B127" s="98" t="s">
        <v>336</v>
      </c>
      <c r="C127" s="99" t="s">
        <v>337</v>
      </c>
      <c r="D127" s="100" t="str">
        <f aca="false">B127&amp;"_"&amp;E127</f>
        <v>2.2_5.5.6</v>
      </c>
      <c r="E127" s="101" t="s">
        <v>432</v>
      </c>
      <c r="F127" s="102"/>
      <c r="G127" s="103"/>
      <c r="H127" s="103"/>
      <c r="I127" s="103"/>
      <c r="J127" s="103"/>
      <c r="K127" s="103"/>
      <c r="L127" s="103"/>
      <c r="M127" s="103"/>
      <c r="N127" s="103"/>
      <c r="O127" s="104" t="s">
        <v>433</v>
      </c>
      <c r="P127" s="105" t="s">
        <v>145</v>
      </c>
      <c r="Q127" s="106" t="s">
        <v>434</v>
      </c>
      <c r="R127" s="107" t="s">
        <v>120</v>
      </c>
      <c r="S127" s="108" t="n">
        <v>5560.96</v>
      </c>
      <c r="T127" s="109" t="n">
        <v>65.62</v>
      </c>
      <c r="U127" s="110" t="n">
        <f aca="false">ROUND(T127*$S127,2)</f>
        <v>364910.2</v>
      </c>
      <c r="V127" s="111"/>
      <c r="W127" s="110"/>
      <c r="X127" s="111"/>
      <c r="Y127" s="110"/>
      <c r="Z127" s="108"/>
      <c r="AA127" s="110"/>
    </row>
    <row r="128" customFormat="false" ht="20.1" hidden="false" customHeight="true" outlineLevel="0" collapsed="false">
      <c r="A128" s="82" t="n">
        <v>2</v>
      </c>
      <c r="B128" s="83"/>
      <c r="C128" s="84"/>
      <c r="D128" s="85"/>
      <c r="E128" s="86" t="s">
        <v>435</v>
      </c>
      <c r="F128" s="87"/>
      <c r="G128" s="88"/>
      <c r="H128" s="88"/>
      <c r="I128" s="88"/>
      <c r="J128" s="88"/>
      <c r="K128" s="88"/>
      <c r="L128" s="88"/>
      <c r="M128" s="88"/>
      <c r="N128" s="88"/>
      <c r="O128" s="89" t="s">
        <v>436</v>
      </c>
      <c r="P128" s="90"/>
      <c r="Q128" s="91" t="s">
        <v>437</v>
      </c>
      <c r="R128" s="92"/>
      <c r="S128" s="93"/>
      <c r="T128" s="94"/>
      <c r="U128" s="95" t="n">
        <f aca="false">SUM(U129:U129)</f>
        <v>290415.71</v>
      </c>
      <c r="V128" s="96"/>
      <c r="W128" s="95"/>
      <c r="X128" s="96"/>
      <c r="Y128" s="95"/>
      <c r="Z128" s="93"/>
      <c r="AA128" s="95"/>
    </row>
    <row r="129" customFormat="false" ht="26.1" hidden="false" customHeight="true" outlineLevel="0" collapsed="false">
      <c r="A129" s="97" t="n">
        <v>2</v>
      </c>
      <c r="B129" s="98" t="s">
        <v>336</v>
      </c>
      <c r="C129" s="99" t="s">
        <v>337</v>
      </c>
      <c r="D129" s="100" t="str">
        <f aca="false">B129&amp;"_"&amp;E129</f>
        <v>2.2_5.6.1</v>
      </c>
      <c r="E129" s="101" t="s">
        <v>438</v>
      </c>
      <c r="F129" s="102"/>
      <c r="G129" s="103"/>
      <c r="H129" s="103"/>
      <c r="I129" s="103"/>
      <c r="J129" s="103"/>
      <c r="K129" s="103"/>
      <c r="L129" s="103"/>
      <c r="M129" s="103"/>
      <c r="N129" s="103"/>
      <c r="O129" s="104" t="s">
        <v>439</v>
      </c>
      <c r="P129" s="105" t="s">
        <v>145</v>
      </c>
      <c r="Q129" s="106" t="s">
        <v>440</v>
      </c>
      <c r="R129" s="107" t="s">
        <v>441</v>
      </c>
      <c r="S129" s="108" t="n">
        <v>8897.54</v>
      </c>
      <c r="T129" s="109" t="n">
        <v>32.64</v>
      </c>
      <c r="U129" s="110" t="n">
        <f aca="false">ROUND(T129*$S129,2)</f>
        <v>290415.71</v>
      </c>
      <c r="V129" s="111"/>
      <c r="W129" s="110"/>
      <c r="X129" s="111"/>
      <c r="Y129" s="110"/>
      <c r="Z129" s="108"/>
      <c r="AA129" s="110"/>
    </row>
    <row r="130" customFormat="false" ht="20.1" hidden="false" customHeight="true" outlineLevel="0" collapsed="false">
      <c r="A130" s="82" t="n">
        <v>2</v>
      </c>
      <c r="B130" s="83"/>
      <c r="C130" s="84"/>
      <c r="D130" s="85"/>
      <c r="E130" s="86" t="s">
        <v>183</v>
      </c>
      <c r="F130" s="87"/>
      <c r="G130" s="88"/>
      <c r="H130" s="88"/>
      <c r="I130" s="88"/>
      <c r="J130" s="88"/>
      <c r="K130" s="88"/>
      <c r="L130" s="88"/>
      <c r="M130" s="88"/>
      <c r="N130" s="88"/>
      <c r="O130" s="89" t="s">
        <v>184</v>
      </c>
      <c r="P130" s="90"/>
      <c r="Q130" s="91" t="s">
        <v>185</v>
      </c>
      <c r="R130" s="92"/>
      <c r="S130" s="93"/>
      <c r="T130" s="94"/>
      <c r="U130" s="95" t="n">
        <f aca="false">SUM(U131:U171)</f>
        <v>1285950.83</v>
      </c>
      <c r="V130" s="96"/>
      <c r="W130" s="95"/>
      <c r="X130" s="96"/>
      <c r="Y130" s="95"/>
      <c r="Z130" s="93"/>
      <c r="AA130" s="95"/>
    </row>
    <row r="131" customFormat="false" ht="26.1" hidden="false" customHeight="true" outlineLevel="0" collapsed="false">
      <c r="A131" s="97" t="n">
        <v>2</v>
      </c>
      <c r="B131" s="98" t="s">
        <v>336</v>
      </c>
      <c r="C131" s="99" t="s">
        <v>337</v>
      </c>
      <c r="D131" s="100" t="str">
        <f aca="false">B131&amp;"_"&amp;E131</f>
        <v>2.2_5.8.1</v>
      </c>
      <c r="E131" s="101" t="s">
        <v>442</v>
      </c>
      <c r="F131" s="102"/>
      <c r="G131" s="103"/>
      <c r="H131" s="103"/>
      <c r="I131" s="103"/>
      <c r="J131" s="103"/>
      <c r="K131" s="103"/>
      <c r="L131" s="103"/>
      <c r="M131" s="103"/>
      <c r="N131" s="103"/>
      <c r="O131" s="104" t="s">
        <v>443</v>
      </c>
      <c r="P131" s="105" t="s">
        <v>145</v>
      </c>
      <c r="Q131" s="106" t="s">
        <v>444</v>
      </c>
      <c r="R131" s="107" t="s">
        <v>71</v>
      </c>
      <c r="S131" s="108" t="n">
        <v>289</v>
      </c>
      <c r="T131" s="109" t="n">
        <v>23.16</v>
      </c>
      <c r="U131" s="110" t="n">
        <f aca="false">ROUND(T131*$S131,2)</f>
        <v>6693.24</v>
      </c>
      <c r="V131" s="111"/>
      <c r="W131" s="110"/>
      <c r="X131" s="111"/>
      <c r="Y131" s="110"/>
      <c r="Z131" s="108"/>
      <c r="AA131" s="110"/>
    </row>
    <row r="132" customFormat="false" ht="26.1" hidden="false" customHeight="true" outlineLevel="0" collapsed="false">
      <c r="A132" s="97" t="n">
        <v>2</v>
      </c>
      <c r="B132" s="98" t="s">
        <v>336</v>
      </c>
      <c r="C132" s="99" t="s">
        <v>337</v>
      </c>
      <c r="D132" s="100" t="str">
        <f aca="false">B132&amp;"_"&amp;E132</f>
        <v>2.2_5.8.2</v>
      </c>
      <c r="E132" s="101" t="s">
        <v>445</v>
      </c>
      <c r="F132" s="102"/>
      <c r="G132" s="103"/>
      <c r="H132" s="103"/>
      <c r="I132" s="103"/>
      <c r="J132" s="103"/>
      <c r="K132" s="103"/>
      <c r="L132" s="103"/>
      <c r="M132" s="103"/>
      <c r="N132" s="103"/>
      <c r="O132" s="104" t="s">
        <v>446</v>
      </c>
      <c r="P132" s="105" t="s">
        <v>145</v>
      </c>
      <c r="Q132" s="106" t="s">
        <v>447</v>
      </c>
      <c r="R132" s="107" t="s">
        <v>71</v>
      </c>
      <c r="S132" s="108" t="n">
        <v>430</v>
      </c>
      <c r="T132" s="109" t="n">
        <v>33.69</v>
      </c>
      <c r="U132" s="110" t="n">
        <f aca="false">ROUND(T132*$S132,2)</f>
        <v>14486.7</v>
      </c>
      <c r="V132" s="111"/>
      <c r="W132" s="110"/>
      <c r="X132" s="111"/>
      <c r="Y132" s="110"/>
      <c r="Z132" s="108"/>
      <c r="AA132" s="110"/>
    </row>
    <row r="133" customFormat="false" ht="26.1" hidden="false" customHeight="true" outlineLevel="0" collapsed="false">
      <c r="A133" s="97" t="n">
        <v>2</v>
      </c>
      <c r="B133" s="98" t="s">
        <v>336</v>
      </c>
      <c r="C133" s="99" t="s">
        <v>337</v>
      </c>
      <c r="D133" s="100" t="str">
        <f aca="false">B133&amp;"_"&amp;E133</f>
        <v>2.2_5.8.4</v>
      </c>
      <c r="E133" s="101" t="s">
        <v>448</v>
      </c>
      <c r="F133" s="102"/>
      <c r="G133" s="103"/>
      <c r="H133" s="103"/>
      <c r="I133" s="103"/>
      <c r="J133" s="103"/>
      <c r="K133" s="103"/>
      <c r="L133" s="103"/>
      <c r="M133" s="103"/>
      <c r="N133" s="103"/>
      <c r="O133" s="104" t="s">
        <v>449</v>
      </c>
      <c r="P133" s="105" t="s">
        <v>145</v>
      </c>
      <c r="Q133" s="106" t="s">
        <v>450</v>
      </c>
      <c r="R133" s="107" t="s">
        <v>71</v>
      </c>
      <c r="S133" s="108" t="n">
        <v>140</v>
      </c>
      <c r="T133" s="109" t="n">
        <v>47.38</v>
      </c>
      <c r="U133" s="110" t="n">
        <f aca="false">ROUND(T133*$S133,2)</f>
        <v>6633.2</v>
      </c>
      <c r="V133" s="111"/>
      <c r="W133" s="110"/>
      <c r="X133" s="111"/>
      <c r="Y133" s="110"/>
      <c r="Z133" s="108"/>
      <c r="AA133" s="110"/>
    </row>
    <row r="134" customFormat="false" ht="26.1" hidden="false" customHeight="true" outlineLevel="0" collapsed="false">
      <c r="A134" s="97" t="n">
        <v>2</v>
      </c>
      <c r="B134" s="98" t="s">
        <v>336</v>
      </c>
      <c r="C134" s="99" t="s">
        <v>337</v>
      </c>
      <c r="D134" s="100" t="str">
        <f aca="false">B134&amp;"_"&amp;E134</f>
        <v>2.2_5.8.5</v>
      </c>
      <c r="E134" s="101" t="s">
        <v>451</v>
      </c>
      <c r="F134" s="102"/>
      <c r="G134" s="103"/>
      <c r="H134" s="103"/>
      <c r="I134" s="103"/>
      <c r="J134" s="103"/>
      <c r="K134" s="103"/>
      <c r="L134" s="103"/>
      <c r="M134" s="103"/>
      <c r="N134" s="103"/>
      <c r="O134" s="104" t="s">
        <v>452</v>
      </c>
      <c r="P134" s="105" t="s">
        <v>145</v>
      </c>
      <c r="Q134" s="106" t="s">
        <v>453</v>
      </c>
      <c r="R134" s="107" t="s">
        <v>71</v>
      </c>
      <c r="S134" s="108" t="n">
        <v>29</v>
      </c>
      <c r="T134" s="109" t="n">
        <v>52.65</v>
      </c>
      <c r="U134" s="110" t="n">
        <f aca="false">ROUND(T134*$S134,2)</f>
        <v>1526.85</v>
      </c>
      <c r="V134" s="111"/>
      <c r="W134" s="110"/>
      <c r="X134" s="111"/>
      <c r="Y134" s="110"/>
      <c r="Z134" s="108"/>
      <c r="AA134" s="110"/>
    </row>
    <row r="135" customFormat="false" ht="26.1" hidden="false" customHeight="true" outlineLevel="0" collapsed="false">
      <c r="A135" s="97" t="n">
        <v>2</v>
      </c>
      <c r="B135" s="98" t="s">
        <v>336</v>
      </c>
      <c r="C135" s="99" t="s">
        <v>337</v>
      </c>
      <c r="D135" s="100" t="str">
        <f aca="false">B135&amp;"_"&amp;E135</f>
        <v>2.2_5.8.6</v>
      </c>
      <c r="E135" s="101" t="s">
        <v>454</v>
      </c>
      <c r="F135" s="102"/>
      <c r="G135" s="103"/>
      <c r="H135" s="103"/>
      <c r="I135" s="103"/>
      <c r="J135" s="103"/>
      <c r="K135" s="103"/>
      <c r="L135" s="103"/>
      <c r="M135" s="103"/>
      <c r="N135" s="103"/>
      <c r="O135" s="104" t="s">
        <v>455</v>
      </c>
      <c r="P135" s="105" t="s">
        <v>145</v>
      </c>
      <c r="Q135" s="106" t="s">
        <v>456</v>
      </c>
      <c r="R135" s="107" t="s">
        <v>71</v>
      </c>
      <c r="S135" s="108" t="n">
        <v>9</v>
      </c>
      <c r="T135" s="109" t="n">
        <v>58.96</v>
      </c>
      <c r="U135" s="110" t="n">
        <f aca="false">ROUND(T135*$S135,2)</f>
        <v>530.64</v>
      </c>
      <c r="V135" s="111"/>
      <c r="W135" s="110"/>
      <c r="X135" s="111"/>
      <c r="Y135" s="110"/>
      <c r="Z135" s="108"/>
      <c r="AA135" s="110"/>
    </row>
    <row r="136" customFormat="false" ht="26.1" hidden="false" customHeight="true" outlineLevel="0" collapsed="false">
      <c r="A136" s="97" t="n">
        <v>2</v>
      </c>
      <c r="B136" s="98" t="s">
        <v>336</v>
      </c>
      <c r="C136" s="99" t="s">
        <v>337</v>
      </c>
      <c r="D136" s="100" t="str">
        <f aca="false">B136&amp;"_"&amp;E136</f>
        <v>2.2_5.8.7</v>
      </c>
      <c r="E136" s="101" t="s">
        <v>457</v>
      </c>
      <c r="F136" s="102"/>
      <c r="G136" s="103"/>
      <c r="H136" s="103"/>
      <c r="I136" s="103"/>
      <c r="J136" s="103"/>
      <c r="K136" s="103"/>
      <c r="L136" s="103"/>
      <c r="M136" s="103"/>
      <c r="N136" s="103"/>
      <c r="O136" s="104" t="s">
        <v>458</v>
      </c>
      <c r="P136" s="105" t="s">
        <v>145</v>
      </c>
      <c r="Q136" s="106" t="s">
        <v>459</v>
      </c>
      <c r="R136" s="107" t="s">
        <v>71</v>
      </c>
      <c r="S136" s="108" t="n">
        <v>44</v>
      </c>
      <c r="T136" s="109" t="n">
        <v>66.34</v>
      </c>
      <c r="U136" s="110" t="n">
        <f aca="false">ROUND(T136*$S136,2)</f>
        <v>2918.96</v>
      </c>
      <c r="V136" s="111"/>
      <c r="W136" s="110"/>
      <c r="X136" s="111"/>
      <c r="Y136" s="110"/>
      <c r="Z136" s="108"/>
      <c r="AA136" s="110"/>
    </row>
    <row r="137" customFormat="false" ht="26.1" hidden="false" customHeight="true" outlineLevel="0" collapsed="false">
      <c r="A137" s="97" t="n">
        <v>2</v>
      </c>
      <c r="B137" s="98" t="s">
        <v>336</v>
      </c>
      <c r="C137" s="99" t="s">
        <v>337</v>
      </c>
      <c r="D137" s="100" t="str">
        <f aca="false">B137&amp;"_"&amp;E137</f>
        <v>2.2_5.8.8</v>
      </c>
      <c r="E137" s="101" t="s">
        <v>460</v>
      </c>
      <c r="F137" s="102"/>
      <c r="G137" s="103"/>
      <c r="H137" s="103"/>
      <c r="I137" s="103"/>
      <c r="J137" s="103"/>
      <c r="K137" s="103"/>
      <c r="L137" s="103"/>
      <c r="M137" s="103"/>
      <c r="N137" s="103"/>
      <c r="O137" s="104" t="s">
        <v>461</v>
      </c>
      <c r="P137" s="105" t="s">
        <v>145</v>
      </c>
      <c r="Q137" s="106" t="s">
        <v>462</v>
      </c>
      <c r="R137" s="107" t="s">
        <v>71</v>
      </c>
      <c r="S137" s="108" t="n">
        <v>14</v>
      </c>
      <c r="T137" s="109" t="n">
        <v>74.77</v>
      </c>
      <c r="U137" s="110" t="n">
        <f aca="false">ROUND(T137*$S137,2)</f>
        <v>1046.78</v>
      </c>
      <c r="V137" s="111"/>
      <c r="W137" s="110"/>
      <c r="X137" s="111"/>
      <c r="Y137" s="110"/>
      <c r="Z137" s="108"/>
      <c r="AA137" s="110"/>
    </row>
    <row r="138" customFormat="false" ht="26.1" hidden="false" customHeight="true" outlineLevel="0" collapsed="false">
      <c r="A138" s="97" t="n">
        <v>2</v>
      </c>
      <c r="B138" s="98" t="s">
        <v>336</v>
      </c>
      <c r="C138" s="99" t="s">
        <v>337</v>
      </c>
      <c r="D138" s="100" t="str">
        <f aca="false">B138&amp;"_"&amp;E138</f>
        <v>2.2_5.8.9</v>
      </c>
      <c r="E138" s="101" t="s">
        <v>463</v>
      </c>
      <c r="F138" s="102"/>
      <c r="G138" s="103"/>
      <c r="H138" s="103"/>
      <c r="I138" s="103"/>
      <c r="J138" s="103"/>
      <c r="K138" s="103"/>
      <c r="L138" s="103"/>
      <c r="M138" s="103"/>
      <c r="N138" s="103"/>
      <c r="O138" s="104" t="s">
        <v>464</v>
      </c>
      <c r="P138" s="105" t="s">
        <v>145</v>
      </c>
      <c r="Q138" s="106" t="s">
        <v>465</v>
      </c>
      <c r="R138" s="107" t="s">
        <v>71</v>
      </c>
      <c r="S138" s="108" t="n">
        <v>8</v>
      </c>
      <c r="T138" s="109" t="n">
        <v>84.24</v>
      </c>
      <c r="U138" s="110" t="n">
        <f aca="false">ROUND(T138*$S138,2)</f>
        <v>673.92</v>
      </c>
      <c r="V138" s="111"/>
      <c r="W138" s="110"/>
      <c r="X138" s="111"/>
      <c r="Y138" s="110"/>
      <c r="Z138" s="108"/>
      <c r="AA138" s="110"/>
    </row>
    <row r="139" customFormat="false" ht="26.1" hidden="false" customHeight="true" outlineLevel="0" collapsed="false">
      <c r="A139" s="97" t="n">
        <v>2</v>
      </c>
      <c r="B139" s="98" t="s">
        <v>336</v>
      </c>
      <c r="C139" s="99" t="s">
        <v>337</v>
      </c>
      <c r="D139" s="100" t="str">
        <f aca="false">B139&amp;"_"&amp;E139</f>
        <v>2.2_5.8.10</v>
      </c>
      <c r="E139" s="101" t="s">
        <v>466</v>
      </c>
      <c r="F139" s="102"/>
      <c r="G139" s="103"/>
      <c r="H139" s="103"/>
      <c r="I139" s="103"/>
      <c r="J139" s="103"/>
      <c r="K139" s="103"/>
      <c r="L139" s="103"/>
      <c r="M139" s="103"/>
      <c r="N139" s="103"/>
      <c r="O139" s="104" t="s">
        <v>467</v>
      </c>
      <c r="P139" s="105" t="s">
        <v>145</v>
      </c>
      <c r="Q139" s="106" t="s">
        <v>468</v>
      </c>
      <c r="R139" s="107" t="s">
        <v>71</v>
      </c>
      <c r="S139" s="108" t="n">
        <v>1945</v>
      </c>
      <c r="T139" s="109" t="n">
        <v>13.26</v>
      </c>
      <c r="U139" s="110" t="n">
        <f aca="false">ROUND(T139*$S139,2)</f>
        <v>25790.7</v>
      </c>
      <c r="V139" s="111"/>
      <c r="W139" s="110"/>
      <c r="X139" s="111"/>
      <c r="Y139" s="110"/>
      <c r="Z139" s="108"/>
      <c r="AA139" s="110"/>
    </row>
    <row r="140" customFormat="false" ht="26.1" hidden="false" customHeight="true" outlineLevel="0" collapsed="false">
      <c r="A140" s="97" t="n">
        <v>2</v>
      </c>
      <c r="B140" s="98" t="s">
        <v>336</v>
      </c>
      <c r="C140" s="99" t="s">
        <v>337</v>
      </c>
      <c r="D140" s="100" t="str">
        <f aca="false">B140&amp;"_"&amp;E140</f>
        <v>2.2_5.8.11</v>
      </c>
      <c r="E140" s="101" t="s">
        <v>469</v>
      </c>
      <c r="F140" s="102"/>
      <c r="G140" s="103"/>
      <c r="H140" s="103"/>
      <c r="I140" s="103"/>
      <c r="J140" s="103"/>
      <c r="K140" s="103"/>
      <c r="L140" s="103"/>
      <c r="M140" s="103"/>
      <c r="N140" s="103"/>
      <c r="O140" s="104" t="s">
        <v>470</v>
      </c>
      <c r="P140" s="105" t="s">
        <v>145</v>
      </c>
      <c r="Q140" s="106" t="s">
        <v>471</v>
      </c>
      <c r="R140" s="107" t="s">
        <v>71</v>
      </c>
      <c r="S140" s="108" t="n">
        <v>269</v>
      </c>
      <c r="T140" s="109" t="n">
        <v>18.95</v>
      </c>
      <c r="U140" s="110" t="n">
        <f aca="false">ROUND(T140*$S140,2)</f>
        <v>5097.55</v>
      </c>
      <c r="V140" s="111"/>
      <c r="W140" s="110"/>
      <c r="X140" s="111"/>
      <c r="Y140" s="110"/>
      <c r="Z140" s="108"/>
      <c r="AA140" s="110"/>
    </row>
    <row r="141" customFormat="false" ht="26.1" hidden="false" customHeight="true" outlineLevel="0" collapsed="false">
      <c r="A141" s="97" t="n">
        <v>2</v>
      </c>
      <c r="B141" s="98" t="s">
        <v>336</v>
      </c>
      <c r="C141" s="99" t="s">
        <v>337</v>
      </c>
      <c r="D141" s="100" t="str">
        <f aca="false">B141&amp;"_"&amp;E141</f>
        <v>2.2_5.8.19</v>
      </c>
      <c r="E141" s="101" t="s">
        <v>472</v>
      </c>
      <c r="F141" s="102"/>
      <c r="G141" s="103"/>
      <c r="H141" s="103"/>
      <c r="I141" s="103"/>
      <c r="J141" s="103"/>
      <c r="K141" s="103"/>
      <c r="L141" s="103"/>
      <c r="M141" s="103"/>
      <c r="N141" s="103"/>
      <c r="O141" s="104" t="s">
        <v>473</v>
      </c>
      <c r="P141" s="105" t="s">
        <v>145</v>
      </c>
      <c r="Q141" s="106" t="s">
        <v>474</v>
      </c>
      <c r="R141" s="107" t="s">
        <v>71</v>
      </c>
      <c r="S141" s="108" t="n">
        <v>90</v>
      </c>
      <c r="T141" s="109" t="n">
        <v>46.32</v>
      </c>
      <c r="U141" s="110" t="n">
        <f aca="false">ROUND(T141*$S141,2)</f>
        <v>4168.8</v>
      </c>
      <c r="V141" s="111"/>
      <c r="W141" s="110"/>
      <c r="X141" s="111"/>
      <c r="Y141" s="110"/>
      <c r="Z141" s="108"/>
      <c r="AA141" s="110"/>
    </row>
    <row r="142" customFormat="false" ht="26.1" hidden="false" customHeight="true" outlineLevel="0" collapsed="false">
      <c r="A142" s="97" t="n">
        <v>2</v>
      </c>
      <c r="B142" s="98" t="s">
        <v>336</v>
      </c>
      <c r="C142" s="99" t="s">
        <v>337</v>
      </c>
      <c r="D142" s="100" t="str">
        <f aca="false">B142&amp;"_"&amp;E142</f>
        <v>2.2_5.8.20</v>
      </c>
      <c r="E142" s="101" t="s">
        <v>475</v>
      </c>
      <c r="F142" s="102"/>
      <c r="G142" s="103"/>
      <c r="H142" s="103"/>
      <c r="I142" s="103"/>
      <c r="J142" s="103"/>
      <c r="K142" s="103"/>
      <c r="L142" s="103"/>
      <c r="M142" s="103"/>
      <c r="N142" s="103"/>
      <c r="O142" s="104" t="s">
        <v>476</v>
      </c>
      <c r="P142" s="105" t="s">
        <v>145</v>
      </c>
      <c r="Q142" s="106" t="s">
        <v>477</v>
      </c>
      <c r="R142" s="107" t="s">
        <v>71</v>
      </c>
      <c r="S142" s="108" t="n">
        <v>113</v>
      </c>
      <c r="T142" s="109" t="n">
        <v>67.39</v>
      </c>
      <c r="U142" s="110" t="n">
        <f aca="false">ROUND(T142*$S142,2)</f>
        <v>7615.07</v>
      </c>
      <c r="V142" s="111"/>
      <c r="W142" s="110"/>
      <c r="X142" s="111"/>
      <c r="Y142" s="110"/>
      <c r="Z142" s="108"/>
      <c r="AA142" s="110"/>
    </row>
    <row r="143" customFormat="false" ht="26.1" hidden="false" customHeight="true" outlineLevel="0" collapsed="false">
      <c r="A143" s="97" t="n">
        <v>2</v>
      </c>
      <c r="B143" s="98" t="s">
        <v>336</v>
      </c>
      <c r="C143" s="99" t="s">
        <v>337</v>
      </c>
      <c r="D143" s="100" t="str">
        <f aca="false">B143&amp;"_"&amp;E143</f>
        <v>2.2_5.8.21</v>
      </c>
      <c r="E143" s="101" t="s">
        <v>478</v>
      </c>
      <c r="F143" s="102"/>
      <c r="G143" s="103"/>
      <c r="H143" s="103"/>
      <c r="I143" s="103"/>
      <c r="J143" s="103"/>
      <c r="K143" s="103"/>
      <c r="L143" s="103"/>
      <c r="M143" s="103"/>
      <c r="N143" s="103"/>
      <c r="O143" s="104" t="s">
        <v>479</v>
      </c>
      <c r="P143" s="105" t="s">
        <v>145</v>
      </c>
      <c r="Q143" s="106" t="s">
        <v>480</v>
      </c>
      <c r="R143" s="107" t="s">
        <v>71</v>
      </c>
      <c r="S143" s="108" t="n">
        <v>48</v>
      </c>
      <c r="T143" s="109" t="n">
        <v>94.77</v>
      </c>
      <c r="U143" s="110" t="n">
        <f aca="false">ROUND(T143*$S143,2)</f>
        <v>4548.96</v>
      </c>
      <c r="V143" s="111"/>
      <c r="W143" s="110"/>
      <c r="X143" s="111"/>
      <c r="Y143" s="110"/>
      <c r="Z143" s="108"/>
      <c r="AA143" s="110"/>
    </row>
    <row r="144" customFormat="false" ht="26.1" hidden="false" customHeight="true" outlineLevel="0" collapsed="false">
      <c r="A144" s="97" t="n">
        <v>2</v>
      </c>
      <c r="B144" s="98" t="s">
        <v>336</v>
      </c>
      <c r="C144" s="99" t="s">
        <v>337</v>
      </c>
      <c r="D144" s="100" t="str">
        <f aca="false">B144&amp;"_"&amp;E144</f>
        <v>2.2_5.8.22</v>
      </c>
      <c r="E144" s="101" t="s">
        <v>481</v>
      </c>
      <c r="F144" s="102"/>
      <c r="G144" s="103"/>
      <c r="H144" s="103"/>
      <c r="I144" s="103"/>
      <c r="J144" s="103"/>
      <c r="K144" s="103"/>
      <c r="L144" s="103"/>
      <c r="M144" s="103"/>
      <c r="N144" s="103"/>
      <c r="O144" s="104" t="s">
        <v>482</v>
      </c>
      <c r="P144" s="105" t="s">
        <v>145</v>
      </c>
      <c r="Q144" s="106" t="s">
        <v>483</v>
      </c>
      <c r="R144" s="107" t="s">
        <v>71</v>
      </c>
      <c r="S144" s="108" t="n">
        <v>4</v>
      </c>
      <c r="T144" s="109" t="n">
        <v>105.3</v>
      </c>
      <c r="U144" s="110" t="n">
        <f aca="false">ROUND(T144*$S144,2)</f>
        <v>421.2</v>
      </c>
      <c r="V144" s="111"/>
      <c r="W144" s="110"/>
      <c r="X144" s="111"/>
      <c r="Y144" s="110"/>
      <c r="Z144" s="108"/>
      <c r="AA144" s="110"/>
    </row>
    <row r="145" customFormat="false" ht="26.1" hidden="false" customHeight="true" outlineLevel="0" collapsed="false">
      <c r="A145" s="97" t="n">
        <v>2</v>
      </c>
      <c r="B145" s="98" t="s">
        <v>336</v>
      </c>
      <c r="C145" s="99" t="s">
        <v>337</v>
      </c>
      <c r="D145" s="100" t="str">
        <f aca="false">B145&amp;"_"&amp;E145</f>
        <v>2.2_5.8.23</v>
      </c>
      <c r="E145" s="101" t="s">
        <v>484</v>
      </c>
      <c r="F145" s="102"/>
      <c r="G145" s="103"/>
      <c r="H145" s="103"/>
      <c r="I145" s="103"/>
      <c r="J145" s="103"/>
      <c r="K145" s="103"/>
      <c r="L145" s="103"/>
      <c r="M145" s="103"/>
      <c r="N145" s="103"/>
      <c r="O145" s="104" t="s">
        <v>485</v>
      </c>
      <c r="P145" s="105" t="s">
        <v>145</v>
      </c>
      <c r="Q145" s="106" t="s">
        <v>486</v>
      </c>
      <c r="R145" s="107" t="s">
        <v>71</v>
      </c>
      <c r="S145" s="108" t="n">
        <v>1</v>
      </c>
      <c r="T145" s="109" t="n">
        <v>117.94</v>
      </c>
      <c r="U145" s="110" t="n">
        <f aca="false">ROUND(T145*$S145,2)</f>
        <v>117.94</v>
      </c>
      <c r="V145" s="111"/>
      <c r="W145" s="110"/>
      <c r="X145" s="111"/>
      <c r="Y145" s="110"/>
      <c r="Z145" s="108"/>
      <c r="AA145" s="110"/>
    </row>
    <row r="146" customFormat="false" ht="26.1" hidden="false" customHeight="true" outlineLevel="0" collapsed="false">
      <c r="A146" s="97" t="n">
        <v>2</v>
      </c>
      <c r="B146" s="98" t="s">
        <v>336</v>
      </c>
      <c r="C146" s="99" t="s">
        <v>337</v>
      </c>
      <c r="D146" s="100" t="str">
        <f aca="false">B146&amp;"_"&amp;E146</f>
        <v>2.2_5.8.24</v>
      </c>
      <c r="E146" s="101" t="s">
        <v>487</v>
      </c>
      <c r="F146" s="102"/>
      <c r="G146" s="103"/>
      <c r="H146" s="103"/>
      <c r="I146" s="103"/>
      <c r="J146" s="103"/>
      <c r="K146" s="103"/>
      <c r="L146" s="103"/>
      <c r="M146" s="103"/>
      <c r="N146" s="103"/>
      <c r="O146" s="104" t="s">
        <v>488</v>
      </c>
      <c r="P146" s="105" t="s">
        <v>145</v>
      </c>
      <c r="Q146" s="106" t="s">
        <v>489</v>
      </c>
      <c r="R146" s="107" t="s">
        <v>71</v>
      </c>
      <c r="S146" s="108" t="n">
        <v>6</v>
      </c>
      <c r="T146" s="109" t="n">
        <v>132.68</v>
      </c>
      <c r="U146" s="110" t="n">
        <f aca="false">ROUND(T146*$S146,2)</f>
        <v>796.08</v>
      </c>
      <c r="V146" s="111"/>
      <c r="W146" s="110"/>
      <c r="X146" s="111"/>
      <c r="Y146" s="110"/>
      <c r="Z146" s="108"/>
      <c r="AA146" s="110"/>
    </row>
    <row r="147" customFormat="false" ht="26.1" hidden="false" customHeight="true" outlineLevel="0" collapsed="false">
      <c r="A147" s="97" t="n">
        <v>2</v>
      </c>
      <c r="B147" s="98" t="s">
        <v>336</v>
      </c>
      <c r="C147" s="99" t="s">
        <v>337</v>
      </c>
      <c r="D147" s="100" t="str">
        <f aca="false">B147&amp;"_"&amp;E147</f>
        <v>2.2_5.8.25</v>
      </c>
      <c r="E147" s="101" t="s">
        <v>490</v>
      </c>
      <c r="F147" s="102"/>
      <c r="G147" s="103"/>
      <c r="H147" s="103"/>
      <c r="I147" s="103"/>
      <c r="J147" s="103"/>
      <c r="K147" s="103"/>
      <c r="L147" s="103"/>
      <c r="M147" s="103"/>
      <c r="N147" s="103"/>
      <c r="O147" s="104" t="s">
        <v>491</v>
      </c>
      <c r="P147" s="105" t="s">
        <v>145</v>
      </c>
      <c r="Q147" s="106" t="s">
        <v>492</v>
      </c>
      <c r="R147" s="107" t="s">
        <v>71</v>
      </c>
      <c r="S147" s="108" t="n">
        <v>2</v>
      </c>
      <c r="T147" s="109" t="n">
        <v>149.53</v>
      </c>
      <c r="U147" s="110" t="n">
        <f aca="false">ROUND(T147*$S147,2)</f>
        <v>299.06</v>
      </c>
      <c r="V147" s="111"/>
      <c r="W147" s="110"/>
      <c r="X147" s="111"/>
      <c r="Y147" s="110"/>
      <c r="Z147" s="108"/>
      <c r="AA147" s="110"/>
    </row>
    <row r="148" customFormat="false" ht="26.1" hidden="false" customHeight="true" outlineLevel="0" collapsed="false">
      <c r="A148" s="97" t="n">
        <v>2</v>
      </c>
      <c r="B148" s="98" t="s">
        <v>336</v>
      </c>
      <c r="C148" s="99" t="s">
        <v>337</v>
      </c>
      <c r="D148" s="100" t="str">
        <f aca="false">B148&amp;"_"&amp;E148</f>
        <v>2.2_5.8.26</v>
      </c>
      <c r="E148" s="101" t="s">
        <v>493</v>
      </c>
      <c r="F148" s="102"/>
      <c r="G148" s="103"/>
      <c r="H148" s="103"/>
      <c r="I148" s="103"/>
      <c r="J148" s="103"/>
      <c r="K148" s="103"/>
      <c r="L148" s="103"/>
      <c r="M148" s="103"/>
      <c r="N148" s="103"/>
      <c r="O148" s="104" t="s">
        <v>494</v>
      </c>
      <c r="P148" s="105" t="s">
        <v>145</v>
      </c>
      <c r="Q148" s="106" t="s">
        <v>495</v>
      </c>
      <c r="R148" s="107" t="s">
        <v>71</v>
      </c>
      <c r="S148" s="108" t="n">
        <v>488</v>
      </c>
      <c r="T148" s="109" t="n">
        <v>26.52</v>
      </c>
      <c r="U148" s="110" t="n">
        <f aca="false">ROUND(T148*$S148,2)</f>
        <v>12941.76</v>
      </c>
      <c r="V148" s="111"/>
      <c r="W148" s="110"/>
      <c r="X148" s="111"/>
      <c r="Y148" s="110"/>
      <c r="Z148" s="108"/>
      <c r="AA148" s="110"/>
    </row>
    <row r="149" customFormat="false" ht="26.1" hidden="false" customHeight="true" outlineLevel="0" collapsed="false">
      <c r="A149" s="97" t="n">
        <v>2</v>
      </c>
      <c r="B149" s="98" t="s">
        <v>336</v>
      </c>
      <c r="C149" s="99" t="s">
        <v>337</v>
      </c>
      <c r="D149" s="100" t="str">
        <f aca="false">B149&amp;"_"&amp;E149</f>
        <v>2.2_5.8.27</v>
      </c>
      <c r="E149" s="101" t="s">
        <v>496</v>
      </c>
      <c r="F149" s="102"/>
      <c r="G149" s="103"/>
      <c r="H149" s="103"/>
      <c r="I149" s="103"/>
      <c r="J149" s="103"/>
      <c r="K149" s="103"/>
      <c r="L149" s="103"/>
      <c r="M149" s="103"/>
      <c r="N149" s="103"/>
      <c r="O149" s="104" t="s">
        <v>497</v>
      </c>
      <c r="P149" s="105" t="s">
        <v>145</v>
      </c>
      <c r="Q149" s="106" t="s">
        <v>498</v>
      </c>
      <c r="R149" s="107" t="s">
        <v>71</v>
      </c>
      <c r="S149" s="108" t="n">
        <v>66</v>
      </c>
      <c r="T149" s="109" t="n">
        <v>37.9</v>
      </c>
      <c r="U149" s="110" t="n">
        <f aca="false">ROUND(T149*$S149,2)</f>
        <v>2501.4</v>
      </c>
      <c r="V149" s="111"/>
      <c r="W149" s="110"/>
      <c r="X149" s="111"/>
      <c r="Y149" s="110"/>
      <c r="Z149" s="108"/>
      <c r="AA149" s="110"/>
    </row>
    <row r="150" customFormat="false" ht="26.1" hidden="false" customHeight="true" outlineLevel="0" collapsed="false">
      <c r="A150" s="97" t="n">
        <v>2</v>
      </c>
      <c r="B150" s="98" t="s">
        <v>336</v>
      </c>
      <c r="C150" s="99" t="s">
        <v>337</v>
      </c>
      <c r="D150" s="100" t="str">
        <f aca="false">B150&amp;"_"&amp;E150</f>
        <v>2.2_5.8.35</v>
      </c>
      <c r="E150" s="101" t="s">
        <v>499</v>
      </c>
      <c r="F150" s="102"/>
      <c r="G150" s="103"/>
      <c r="H150" s="103"/>
      <c r="I150" s="103"/>
      <c r="J150" s="103"/>
      <c r="K150" s="103"/>
      <c r="L150" s="103"/>
      <c r="M150" s="103"/>
      <c r="N150" s="103"/>
      <c r="O150" s="104" t="s">
        <v>500</v>
      </c>
      <c r="P150" s="105" t="s">
        <v>145</v>
      </c>
      <c r="Q150" s="106" t="s">
        <v>501</v>
      </c>
      <c r="R150" s="107" t="s">
        <v>120</v>
      </c>
      <c r="S150" s="108" t="n">
        <v>463.85</v>
      </c>
      <c r="T150" s="109" t="n">
        <v>3.88</v>
      </c>
      <c r="U150" s="110" t="n">
        <f aca="false">ROUND(T150*$S150,2)</f>
        <v>1799.74</v>
      </c>
      <c r="V150" s="111"/>
      <c r="W150" s="110"/>
      <c r="X150" s="111"/>
      <c r="Y150" s="110"/>
      <c r="Z150" s="108" t="n">
        <f aca="false">SUMIFS(REDE!$M:$M,REDE!$AC:$AC,$E150)</f>
        <v>463.85</v>
      </c>
      <c r="AA150" s="110" t="n">
        <f aca="false">ROUND(Z150*$T150,2)</f>
        <v>1799.74</v>
      </c>
    </row>
    <row r="151" customFormat="false" ht="26.1" hidden="false" customHeight="true" outlineLevel="0" collapsed="false">
      <c r="A151" s="97" t="n">
        <v>2</v>
      </c>
      <c r="B151" s="98" t="s">
        <v>336</v>
      </c>
      <c r="C151" s="99" t="s">
        <v>337</v>
      </c>
      <c r="D151" s="100" t="str">
        <f aca="false">B151&amp;"_"&amp;E151</f>
        <v>2.2_5.8.36</v>
      </c>
      <c r="E151" s="101" t="s">
        <v>502</v>
      </c>
      <c r="F151" s="102"/>
      <c r="G151" s="103"/>
      <c r="H151" s="103"/>
      <c r="I151" s="103"/>
      <c r="J151" s="103"/>
      <c r="K151" s="103"/>
      <c r="L151" s="103"/>
      <c r="M151" s="103"/>
      <c r="N151" s="103"/>
      <c r="O151" s="104" t="s">
        <v>503</v>
      </c>
      <c r="P151" s="105" t="s">
        <v>145</v>
      </c>
      <c r="Q151" s="106" t="s">
        <v>504</v>
      </c>
      <c r="R151" s="107" t="s">
        <v>120</v>
      </c>
      <c r="S151" s="108" t="n">
        <v>8672.68</v>
      </c>
      <c r="T151" s="109" t="n">
        <v>1.35</v>
      </c>
      <c r="U151" s="110" t="n">
        <f aca="false">ROUND(T151*$S151,2)</f>
        <v>11708.12</v>
      </c>
      <c r="V151" s="111"/>
      <c r="W151" s="110"/>
      <c r="X151" s="111"/>
      <c r="Y151" s="110"/>
      <c r="Z151" s="108" t="n">
        <f aca="false">SUMIFS(REDE!$M:$M,REDE!$AC:$AC,$E151)</f>
        <v>8529.34</v>
      </c>
      <c r="AA151" s="110" t="n">
        <f aca="false">ROUND(Z151*$T151,2)</f>
        <v>11514.61</v>
      </c>
    </row>
    <row r="152" customFormat="false" ht="26.1" hidden="false" customHeight="true" outlineLevel="0" collapsed="false">
      <c r="A152" s="97" t="n">
        <v>2</v>
      </c>
      <c r="B152" s="98" t="s">
        <v>336</v>
      </c>
      <c r="C152" s="99" t="s">
        <v>337</v>
      </c>
      <c r="D152" s="100" t="str">
        <f aca="false">B152&amp;"_"&amp;E152</f>
        <v>2.2_5.8.37</v>
      </c>
      <c r="E152" s="101" t="s">
        <v>505</v>
      </c>
      <c r="F152" s="102"/>
      <c r="G152" s="103"/>
      <c r="H152" s="103"/>
      <c r="I152" s="103"/>
      <c r="J152" s="103"/>
      <c r="K152" s="103"/>
      <c r="L152" s="103"/>
      <c r="M152" s="103"/>
      <c r="N152" s="103"/>
      <c r="O152" s="104" t="s">
        <v>506</v>
      </c>
      <c r="P152" s="105" t="s">
        <v>145</v>
      </c>
      <c r="Q152" s="106" t="s">
        <v>507</v>
      </c>
      <c r="R152" s="107" t="s">
        <v>120</v>
      </c>
      <c r="S152" s="108" t="n">
        <v>13455.06</v>
      </c>
      <c r="T152" s="109" t="n">
        <v>1.97</v>
      </c>
      <c r="U152" s="110" t="n">
        <f aca="false">ROUND(T152*$S152,2)</f>
        <v>26506.47</v>
      </c>
      <c r="V152" s="111"/>
      <c r="W152" s="110"/>
      <c r="X152" s="111"/>
      <c r="Y152" s="110"/>
      <c r="Z152" s="108" t="n">
        <f aca="false">SUMIFS(REDE!$M:$M,REDE!$AC:$AC,$E152)</f>
        <v>13376.84</v>
      </c>
      <c r="AA152" s="110" t="n">
        <f aca="false">ROUND(Z152*$T152,2)</f>
        <v>26352.37</v>
      </c>
    </row>
    <row r="153" customFormat="false" ht="26.1" hidden="false" customHeight="true" outlineLevel="0" collapsed="false">
      <c r="A153" s="97" t="n">
        <v>2</v>
      </c>
      <c r="B153" s="98" t="s">
        <v>336</v>
      </c>
      <c r="C153" s="99" t="s">
        <v>337</v>
      </c>
      <c r="D153" s="100" t="str">
        <f aca="false">B153&amp;"_"&amp;E153</f>
        <v>2.2_5.8.38</v>
      </c>
      <c r="E153" s="101" t="s">
        <v>508</v>
      </c>
      <c r="F153" s="102"/>
      <c r="G153" s="103"/>
      <c r="H153" s="103"/>
      <c r="I153" s="103"/>
      <c r="J153" s="103"/>
      <c r="K153" s="103"/>
      <c r="L153" s="103"/>
      <c r="M153" s="103"/>
      <c r="N153" s="103"/>
      <c r="O153" s="104" t="s">
        <v>509</v>
      </c>
      <c r="P153" s="105" t="s">
        <v>145</v>
      </c>
      <c r="Q153" s="106" t="s">
        <v>510</v>
      </c>
      <c r="R153" s="107" t="s">
        <v>120</v>
      </c>
      <c r="S153" s="108" t="n">
        <v>4097.26</v>
      </c>
      <c r="T153" s="109" t="n">
        <v>2.77</v>
      </c>
      <c r="U153" s="110" t="n">
        <f aca="false">ROUND(T153*$S153,2)</f>
        <v>11349.41</v>
      </c>
      <c r="V153" s="111"/>
      <c r="W153" s="110"/>
      <c r="X153" s="111"/>
      <c r="Y153" s="110"/>
      <c r="Z153" s="108" t="n">
        <f aca="false">SUMIFS(REDE!$M:$M,REDE!$AC:$AC,$E153)</f>
        <v>4097.25</v>
      </c>
      <c r="AA153" s="110" t="n">
        <f aca="false">ROUND(Z153*$T153,2)</f>
        <v>11349.38</v>
      </c>
    </row>
    <row r="154" customFormat="false" ht="26.1" hidden="false" customHeight="true" outlineLevel="0" collapsed="false">
      <c r="A154" s="97" t="n">
        <v>2</v>
      </c>
      <c r="B154" s="98" t="s">
        <v>336</v>
      </c>
      <c r="C154" s="99" t="s">
        <v>337</v>
      </c>
      <c r="D154" s="100" t="str">
        <f aca="false">B154&amp;"_"&amp;E154</f>
        <v>2.2_5.8.39</v>
      </c>
      <c r="E154" s="101" t="s">
        <v>511</v>
      </c>
      <c r="F154" s="102"/>
      <c r="G154" s="103"/>
      <c r="H154" s="103"/>
      <c r="I154" s="103"/>
      <c r="J154" s="103"/>
      <c r="K154" s="103"/>
      <c r="L154" s="103"/>
      <c r="M154" s="103"/>
      <c r="N154" s="103"/>
      <c r="O154" s="104" t="s">
        <v>512</v>
      </c>
      <c r="P154" s="105" t="s">
        <v>145</v>
      </c>
      <c r="Q154" s="106" t="s">
        <v>513</v>
      </c>
      <c r="R154" s="107" t="s">
        <v>120</v>
      </c>
      <c r="S154" s="108" t="n">
        <v>1001.09</v>
      </c>
      <c r="T154" s="109" t="n">
        <v>3.08</v>
      </c>
      <c r="U154" s="110" t="n">
        <f aca="false">ROUND(T154*$S154,2)</f>
        <v>3083.36</v>
      </c>
      <c r="V154" s="111"/>
      <c r="W154" s="110"/>
      <c r="X154" s="111"/>
      <c r="Y154" s="110"/>
      <c r="Z154" s="108" t="n">
        <f aca="false">SUMIFS(REDE!$M:$M,REDE!$AC:$AC,$E154)</f>
        <v>1001.08</v>
      </c>
      <c r="AA154" s="110" t="n">
        <f aca="false">ROUND(Z154*$T154,2)</f>
        <v>3083.33</v>
      </c>
    </row>
    <row r="155" customFormat="false" ht="26.1" hidden="false" customHeight="true" outlineLevel="0" collapsed="false">
      <c r="A155" s="97" t="n">
        <v>2</v>
      </c>
      <c r="B155" s="98" t="s">
        <v>336</v>
      </c>
      <c r="C155" s="99" t="s">
        <v>337</v>
      </c>
      <c r="D155" s="100" t="str">
        <f aca="false">B155&amp;"_"&amp;E155</f>
        <v>2.2_5.8.40</v>
      </c>
      <c r="E155" s="101" t="s">
        <v>514</v>
      </c>
      <c r="F155" s="102"/>
      <c r="G155" s="103"/>
      <c r="H155" s="103"/>
      <c r="I155" s="103"/>
      <c r="J155" s="103"/>
      <c r="K155" s="103"/>
      <c r="L155" s="103"/>
      <c r="M155" s="103"/>
      <c r="N155" s="103"/>
      <c r="O155" s="104" t="s">
        <v>515</v>
      </c>
      <c r="P155" s="105" t="s">
        <v>145</v>
      </c>
      <c r="Q155" s="106" t="s">
        <v>516</v>
      </c>
      <c r="R155" s="107" t="s">
        <v>120</v>
      </c>
      <c r="S155" s="108" t="n">
        <v>2450.75</v>
      </c>
      <c r="T155" s="109" t="n">
        <v>6.24</v>
      </c>
      <c r="U155" s="110" t="n">
        <f aca="false">ROUND(T155*$S155,2)</f>
        <v>15292.68</v>
      </c>
      <c r="V155" s="111"/>
      <c r="W155" s="110"/>
      <c r="X155" s="111"/>
      <c r="Y155" s="110"/>
      <c r="Z155" s="108" t="n">
        <f aca="false">SUMIFS(REDE!$M:$M,REDE!$AC:$AC,$E155)</f>
        <v>2173.44</v>
      </c>
      <c r="AA155" s="110" t="n">
        <f aca="false">ROUND(Z155*$T155,2)</f>
        <v>13562.27</v>
      </c>
    </row>
    <row r="156" customFormat="false" ht="26.1" hidden="false" customHeight="true" outlineLevel="0" collapsed="false">
      <c r="A156" s="97" t="n">
        <v>2</v>
      </c>
      <c r="B156" s="98" t="s">
        <v>336</v>
      </c>
      <c r="C156" s="99" t="s">
        <v>337</v>
      </c>
      <c r="D156" s="100" t="str">
        <f aca="false">B156&amp;"_"&amp;E156</f>
        <v>2.2_5.8.41</v>
      </c>
      <c r="E156" s="101" t="s">
        <v>517</v>
      </c>
      <c r="F156" s="102"/>
      <c r="G156" s="103"/>
      <c r="H156" s="103"/>
      <c r="I156" s="103"/>
      <c r="J156" s="103"/>
      <c r="K156" s="103"/>
      <c r="L156" s="103"/>
      <c r="M156" s="103"/>
      <c r="N156" s="103"/>
      <c r="O156" s="104" t="s">
        <v>518</v>
      </c>
      <c r="P156" s="105" t="s">
        <v>145</v>
      </c>
      <c r="Q156" s="106" t="s">
        <v>519</v>
      </c>
      <c r="R156" s="107" t="s">
        <v>120</v>
      </c>
      <c r="S156" s="108" t="n">
        <v>683.91</v>
      </c>
      <c r="T156" s="109" t="n">
        <v>8.92</v>
      </c>
      <c r="U156" s="110" t="n">
        <f aca="false">ROUND(T156*$S156,2)</f>
        <v>6100.48</v>
      </c>
      <c r="V156" s="111"/>
      <c r="W156" s="110"/>
      <c r="X156" s="111"/>
      <c r="Y156" s="110"/>
      <c r="Z156" s="108" t="n">
        <f aca="false">SUMIFS(REDE!$M:$M,REDE!$AC:$AC,$E156)</f>
        <v>683.91</v>
      </c>
      <c r="AA156" s="110" t="n">
        <f aca="false">ROUND(Z156*$T156,2)</f>
        <v>6100.48</v>
      </c>
    </row>
    <row r="157" customFormat="false" ht="26.1" hidden="false" customHeight="true" outlineLevel="0" collapsed="false">
      <c r="A157" s="97" t="n">
        <v>2</v>
      </c>
      <c r="B157" s="98" t="s">
        <v>336</v>
      </c>
      <c r="C157" s="99" t="s">
        <v>337</v>
      </c>
      <c r="D157" s="100" t="str">
        <f aca="false">B157&amp;"_"&amp;E157</f>
        <v>2.2_5.8.42</v>
      </c>
      <c r="E157" s="101" t="s">
        <v>520</v>
      </c>
      <c r="F157" s="102"/>
      <c r="G157" s="103"/>
      <c r="H157" s="103"/>
      <c r="I157" s="103"/>
      <c r="J157" s="103"/>
      <c r="K157" s="103"/>
      <c r="L157" s="103"/>
      <c r="M157" s="103"/>
      <c r="N157" s="103"/>
      <c r="O157" s="104" t="s">
        <v>521</v>
      </c>
      <c r="P157" s="105" t="s">
        <v>145</v>
      </c>
      <c r="Q157" s="106" t="s">
        <v>522</v>
      </c>
      <c r="R157" s="107" t="s">
        <v>120</v>
      </c>
      <c r="S157" s="108" t="n">
        <v>608.93</v>
      </c>
      <c r="T157" s="109" t="n">
        <v>11.93</v>
      </c>
      <c r="U157" s="110" t="n">
        <f aca="false">ROUND(T157*$S157,2)</f>
        <v>7264.53</v>
      </c>
      <c r="V157" s="111"/>
      <c r="W157" s="110"/>
      <c r="X157" s="111"/>
      <c r="Y157" s="110"/>
      <c r="Z157" s="108" t="n">
        <f aca="false">SUMIFS(REDE!$M:$M,REDE!$AC:$AC,$E157)</f>
        <v>608.93</v>
      </c>
      <c r="AA157" s="110" t="n">
        <f aca="false">ROUND(Z157*$T157,2)</f>
        <v>7264.53</v>
      </c>
    </row>
    <row r="158" customFormat="false" ht="26.1" hidden="false" customHeight="true" outlineLevel="0" collapsed="false">
      <c r="A158" s="97" t="n">
        <v>2</v>
      </c>
      <c r="B158" s="98" t="s">
        <v>336</v>
      </c>
      <c r="C158" s="99" t="s">
        <v>337</v>
      </c>
      <c r="D158" s="100" t="str">
        <f aca="false">B158&amp;"_"&amp;E158</f>
        <v>2.2_5.8.43</v>
      </c>
      <c r="E158" s="101" t="s">
        <v>523</v>
      </c>
      <c r="F158" s="102"/>
      <c r="G158" s="103"/>
      <c r="H158" s="103"/>
      <c r="I158" s="103"/>
      <c r="J158" s="103"/>
      <c r="K158" s="103"/>
      <c r="L158" s="103"/>
      <c r="M158" s="103"/>
      <c r="N158" s="103"/>
      <c r="O158" s="104" t="s">
        <v>524</v>
      </c>
      <c r="P158" s="105" t="s">
        <v>145</v>
      </c>
      <c r="Q158" s="106" t="s">
        <v>525</v>
      </c>
      <c r="R158" s="107" t="s">
        <v>120</v>
      </c>
      <c r="S158" s="108" t="n">
        <v>1434.91</v>
      </c>
      <c r="T158" s="109" t="n">
        <v>18.64</v>
      </c>
      <c r="U158" s="110" t="n">
        <f aca="false">ROUND(T158*$S158,2)</f>
        <v>26746.72</v>
      </c>
      <c r="V158" s="111"/>
      <c r="W158" s="110"/>
      <c r="X158" s="111"/>
      <c r="Y158" s="110"/>
      <c r="Z158" s="108" t="n">
        <f aca="false">SUMIFS(REDE!$M:$M,REDE!$AC:$AC,$E158)</f>
        <v>1434.92</v>
      </c>
      <c r="AA158" s="110" t="n">
        <f aca="false">ROUND(Z158*$T158,2)</f>
        <v>26746.91</v>
      </c>
    </row>
    <row r="159" customFormat="false" ht="26.1" hidden="false" customHeight="true" outlineLevel="0" collapsed="false">
      <c r="A159" s="97" t="n">
        <v>2</v>
      </c>
      <c r="B159" s="98" t="s">
        <v>336</v>
      </c>
      <c r="C159" s="99" t="s">
        <v>337</v>
      </c>
      <c r="D159" s="100" t="str">
        <f aca="false">B159&amp;"_"&amp;E159</f>
        <v>2.2_5.8.44</v>
      </c>
      <c r="E159" s="101" t="s">
        <v>186</v>
      </c>
      <c r="F159" s="102"/>
      <c r="G159" s="103"/>
      <c r="H159" s="103"/>
      <c r="I159" s="103"/>
      <c r="J159" s="103"/>
      <c r="K159" s="103"/>
      <c r="L159" s="103"/>
      <c r="M159" s="103"/>
      <c r="N159" s="103"/>
      <c r="O159" s="104" t="s">
        <v>187</v>
      </c>
      <c r="P159" s="105" t="s">
        <v>145</v>
      </c>
      <c r="Q159" s="106" t="s">
        <v>188</v>
      </c>
      <c r="R159" s="107" t="s">
        <v>120</v>
      </c>
      <c r="S159" s="108" t="n">
        <v>70458.38</v>
      </c>
      <c r="T159" s="109" t="n">
        <v>0.78</v>
      </c>
      <c r="U159" s="110" t="n">
        <f aca="false">ROUND(T159*$S159,2)</f>
        <v>54957.54</v>
      </c>
      <c r="V159" s="111"/>
      <c r="W159" s="110"/>
      <c r="X159" s="111"/>
      <c r="Y159" s="110"/>
      <c r="Z159" s="108" t="n">
        <f aca="false">SUMIFS(REDE!$M:$M,REDE!$AC:$AC,$E159)</f>
        <v>70439.31</v>
      </c>
      <c r="AA159" s="110" t="n">
        <f aca="false">ROUND(Z159*$T159,2)</f>
        <v>54942.66</v>
      </c>
    </row>
    <row r="160" customFormat="false" ht="26.1" hidden="false" customHeight="true" outlineLevel="0" collapsed="false">
      <c r="A160" s="97" t="n">
        <v>2</v>
      </c>
      <c r="B160" s="98" t="s">
        <v>336</v>
      </c>
      <c r="C160" s="99" t="s">
        <v>337</v>
      </c>
      <c r="D160" s="100" t="str">
        <f aca="false">B160&amp;"_"&amp;E160</f>
        <v>2.2_5.8.45</v>
      </c>
      <c r="E160" s="101" t="s">
        <v>526</v>
      </c>
      <c r="F160" s="102"/>
      <c r="G160" s="103"/>
      <c r="H160" s="103"/>
      <c r="I160" s="103"/>
      <c r="J160" s="103"/>
      <c r="K160" s="103"/>
      <c r="L160" s="103"/>
      <c r="M160" s="103"/>
      <c r="N160" s="103"/>
      <c r="O160" s="104" t="s">
        <v>527</v>
      </c>
      <c r="P160" s="105" t="s">
        <v>145</v>
      </c>
      <c r="Q160" s="106" t="s">
        <v>528</v>
      </c>
      <c r="R160" s="107" t="s">
        <v>120</v>
      </c>
      <c r="S160" s="108" t="n">
        <v>7892.38</v>
      </c>
      <c r="T160" s="109" t="n">
        <v>1.11</v>
      </c>
      <c r="U160" s="110" t="n">
        <f aca="false">ROUND(T160*$S160,2)</f>
        <v>8760.54</v>
      </c>
      <c r="V160" s="111"/>
      <c r="W160" s="110"/>
      <c r="X160" s="111"/>
      <c r="Y160" s="110"/>
      <c r="Z160" s="108" t="n">
        <f aca="false">SUMIFS(REDE!$M:$M,REDE!$AC:$AC,$E160)</f>
        <v>7877.16</v>
      </c>
      <c r="AA160" s="110" t="n">
        <f aca="false">ROUND(Z160*$T160,2)</f>
        <v>8743.65</v>
      </c>
    </row>
    <row r="161" customFormat="false" ht="26.1" hidden="false" customHeight="true" outlineLevel="0" collapsed="false">
      <c r="A161" s="97" t="n">
        <v>2</v>
      </c>
      <c r="B161" s="98" t="s">
        <v>336</v>
      </c>
      <c r="C161" s="99" t="s">
        <v>337</v>
      </c>
      <c r="D161" s="100" t="str">
        <f aca="false">B161&amp;"_"&amp;E161</f>
        <v>2.2_5.8.46</v>
      </c>
      <c r="E161" s="101" t="s">
        <v>529</v>
      </c>
      <c r="F161" s="102"/>
      <c r="G161" s="103"/>
      <c r="H161" s="103"/>
      <c r="I161" s="103"/>
      <c r="J161" s="103"/>
      <c r="K161" s="103"/>
      <c r="L161" s="103"/>
      <c r="M161" s="103"/>
      <c r="N161" s="103"/>
      <c r="O161" s="104" t="s">
        <v>530</v>
      </c>
      <c r="P161" s="105" t="s">
        <v>145</v>
      </c>
      <c r="Q161" s="106" t="s">
        <v>531</v>
      </c>
      <c r="R161" s="107" t="s">
        <v>71</v>
      </c>
      <c r="S161" s="108" t="n">
        <v>1446</v>
      </c>
      <c r="T161" s="109" t="n">
        <v>15.56</v>
      </c>
      <c r="U161" s="110" t="n">
        <f aca="false">ROUND(T161*$S161,2)</f>
        <v>22499.76</v>
      </c>
      <c r="V161" s="111"/>
      <c r="W161" s="110"/>
      <c r="X161" s="111"/>
      <c r="Y161" s="110"/>
      <c r="Z161" s="108"/>
      <c r="AA161" s="110"/>
    </row>
    <row r="162" customFormat="false" ht="26.1" hidden="false" customHeight="true" outlineLevel="0" collapsed="false">
      <c r="A162" s="97" t="n">
        <v>2</v>
      </c>
      <c r="B162" s="98" t="s">
        <v>336</v>
      </c>
      <c r="C162" s="99" t="s">
        <v>337</v>
      </c>
      <c r="D162" s="100" t="str">
        <f aca="false">B162&amp;"_"&amp;E162</f>
        <v>2.2_5.8.47</v>
      </c>
      <c r="E162" s="101" t="s">
        <v>532</v>
      </c>
      <c r="F162" s="102"/>
      <c r="G162" s="103"/>
      <c r="H162" s="103"/>
      <c r="I162" s="103"/>
      <c r="J162" s="103"/>
      <c r="K162" s="103"/>
      <c r="L162" s="103"/>
      <c r="M162" s="103"/>
      <c r="N162" s="103"/>
      <c r="O162" s="104" t="s">
        <v>533</v>
      </c>
      <c r="P162" s="105" t="s">
        <v>145</v>
      </c>
      <c r="Q162" s="106" t="s">
        <v>534</v>
      </c>
      <c r="R162" s="107" t="s">
        <v>71</v>
      </c>
      <c r="S162" s="108" t="n">
        <v>11744</v>
      </c>
      <c r="T162" s="109" t="n">
        <v>10.14</v>
      </c>
      <c r="U162" s="110" t="n">
        <f aca="false">ROUND(T162*$S162,2)</f>
        <v>119084.16</v>
      </c>
      <c r="V162" s="111"/>
      <c r="W162" s="110"/>
      <c r="X162" s="111"/>
      <c r="Y162" s="110"/>
      <c r="Z162" s="108"/>
      <c r="AA162" s="110"/>
    </row>
    <row r="163" customFormat="false" ht="26.1" hidden="false" customHeight="true" outlineLevel="0" collapsed="false">
      <c r="A163" s="97" t="n">
        <v>2</v>
      </c>
      <c r="B163" s="98" t="s">
        <v>336</v>
      </c>
      <c r="C163" s="99" t="s">
        <v>337</v>
      </c>
      <c r="D163" s="100" t="str">
        <f aca="false">B163&amp;"_"&amp;E163</f>
        <v>2.2_5.8.48</v>
      </c>
      <c r="E163" s="101" t="s">
        <v>535</v>
      </c>
      <c r="F163" s="102"/>
      <c r="G163" s="103"/>
      <c r="H163" s="103"/>
      <c r="I163" s="103"/>
      <c r="J163" s="103"/>
      <c r="K163" s="103"/>
      <c r="L163" s="103"/>
      <c r="M163" s="103"/>
      <c r="N163" s="103"/>
      <c r="O163" s="104" t="s">
        <v>536</v>
      </c>
      <c r="P163" s="105" t="s">
        <v>145</v>
      </c>
      <c r="Q163" s="106" t="s">
        <v>537</v>
      </c>
      <c r="R163" s="107" t="s">
        <v>71</v>
      </c>
      <c r="S163" s="108" t="n">
        <v>1316</v>
      </c>
      <c r="T163" s="109" t="n">
        <v>13.25</v>
      </c>
      <c r="U163" s="110" t="n">
        <f aca="false">ROUND(T163*$S163,2)</f>
        <v>17437</v>
      </c>
      <c r="V163" s="111"/>
      <c r="W163" s="110"/>
      <c r="X163" s="111"/>
      <c r="Y163" s="110"/>
      <c r="Z163" s="108"/>
      <c r="AA163" s="110"/>
    </row>
    <row r="164" customFormat="false" ht="26.1" hidden="false" customHeight="true" outlineLevel="0" collapsed="false">
      <c r="A164" s="97" t="n">
        <v>2</v>
      </c>
      <c r="B164" s="98" t="s">
        <v>336</v>
      </c>
      <c r="C164" s="99" t="s">
        <v>337</v>
      </c>
      <c r="D164" s="100" t="str">
        <f aca="false">B164&amp;"_"&amp;E164</f>
        <v>2.2_5.8.49</v>
      </c>
      <c r="E164" s="101" t="s">
        <v>538</v>
      </c>
      <c r="F164" s="102"/>
      <c r="G164" s="103"/>
      <c r="H164" s="103"/>
      <c r="I164" s="103"/>
      <c r="J164" s="103"/>
      <c r="K164" s="103"/>
      <c r="L164" s="103"/>
      <c r="M164" s="103"/>
      <c r="N164" s="103"/>
      <c r="O164" s="104" t="s">
        <v>539</v>
      </c>
      <c r="P164" s="105" t="s">
        <v>145</v>
      </c>
      <c r="Q164" s="106" t="s">
        <v>540</v>
      </c>
      <c r="R164" s="107" t="s">
        <v>71</v>
      </c>
      <c r="S164" s="108" t="n">
        <v>2243</v>
      </c>
      <c r="T164" s="109" t="n">
        <v>78.84</v>
      </c>
      <c r="U164" s="110" t="n">
        <f aca="false">ROUND(T164*$S164,2)</f>
        <v>176838.12</v>
      </c>
      <c r="V164" s="111"/>
      <c r="W164" s="110"/>
      <c r="X164" s="111"/>
      <c r="Y164" s="110"/>
      <c r="Z164" s="108"/>
      <c r="AA164" s="110"/>
    </row>
    <row r="165" customFormat="false" ht="26.1" hidden="false" customHeight="true" outlineLevel="0" collapsed="false">
      <c r="A165" s="97" t="n">
        <v>2</v>
      </c>
      <c r="B165" s="98" t="s">
        <v>336</v>
      </c>
      <c r="C165" s="99" t="s">
        <v>337</v>
      </c>
      <c r="D165" s="100" t="str">
        <f aca="false">B165&amp;"_"&amp;E165</f>
        <v>2.2_5.8.50</v>
      </c>
      <c r="E165" s="101" t="s">
        <v>541</v>
      </c>
      <c r="F165" s="102"/>
      <c r="G165" s="103"/>
      <c r="H165" s="103"/>
      <c r="I165" s="103"/>
      <c r="J165" s="103"/>
      <c r="K165" s="103"/>
      <c r="L165" s="103"/>
      <c r="M165" s="103"/>
      <c r="N165" s="103"/>
      <c r="O165" s="104" t="s">
        <v>542</v>
      </c>
      <c r="P165" s="105" t="s">
        <v>145</v>
      </c>
      <c r="Q165" s="106" t="s">
        <v>543</v>
      </c>
      <c r="R165" s="107" t="s">
        <v>71</v>
      </c>
      <c r="S165" s="108" t="n">
        <v>683</v>
      </c>
      <c r="T165" s="109" t="n">
        <v>168.54</v>
      </c>
      <c r="U165" s="110" t="n">
        <f aca="false">ROUND(T165*$S165,2)</f>
        <v>115112.82</v>
      </c>
      <c r="V165" s="111"/>
      <c r="W165" s="110"/>
      <c r="X165" s="111"/>
      <c r="Y165" s="110"/>
      <c r="Z165" s="108"/>
      <c r="AA165" s="110"/>
    </row>
    <row r="166" customFormat="false" ht="26.1" hidden="false" customHeight="true" outlineLevel="0" collapsed="false">
      <c r="A166" s="97" t="n">
        <v>2</v>
      </c>
      <c r="B166" s="98" t="s">
        <v>336</v>
      </c>
      <c r="C166" s="99" t="s">
        <v>337</v>
      </c>
      <c r="D166" s="100" t="str">
        <f aca="false">B166&amp;"_"&amp;E166</f>
        <v>2.2_5.8.51</v>
      </c>
      <c r="E166" s="101" t="s">
        <v>544</v>
      </c>
      <c r="F166" s="102"/>
      <c r="G166" s="103"/>
      <c r="H166" s="103"/>
      <c r="I166" s="103"/>
      <c r="J166" s="103"/>
      <c r="K166" s="103"/>
      <c r="L166" s="103"/>
      <c r="M166" s="103"/>
      <c r="N166" s="103"/>
      <c r="O166" s="104" t="s">
        <v>545</v>
      </c>
      <c r="P166" s="105" t="s">
        <v>145</v>
      </c>
      <c r="Q166" s="106" t="s">
        <v>546</v>
      </c>
      <c r="R166" s="107" t="s">
        <v>71</v>
      </c>
      <c r="S166" s="108" t="n">
        <v>167</v>
      </c>
      <c r="T166" s="109" t="n">
        <v>185.77</v>
      </c>
      <c r="U166" s="110" t="n">
        <f aca="false">ROUND(T166*$S166,2)</f>
        <v>31023.59</v>
      </c>
      <c r="V166" s="111"/>
      <c r="W166" s="110"/>
      <c r="X166" s="111"/>
      <c r="Y166" s="110"/>
      <c r="Z166" s="108"/>
      <c r="AA166" s="110"/>
    </row>
    <row r="167" customFormat="false" ht="26.1" hidden="false" customHeight="true" outlineLevel="0" collapsed="false">
      <c r="A167" s="97" t="n">
        <v>2</v>
      </c>
      <c r="B167" s="98" t="s">
        <v>336</v>
      </c>
      <c r="C167" s="99" t="s">
        <v>337</v>
      </c>
      <c r="D167" s="100" t="str">
        <f aca="false">B167&amp;"_"&amp;E167</f>
        <v>2.2_5.8.52</v>
      </c>
      <c r="E167" s="101" t="s">
        <v>547</v>
      </c>
      <c r="F167" s="102"/>
      <c r="G167" s="103"/>
      <c r="H167" s="103"/>
      <c r="I167" s="103"/>
      <c r="J167" s="103"/>
      <c r="K167" s="103"/>
      <c r="L167" s="103"/>
      <c r="M167" s="103"/>
      <c r="N167" s="103"/>
      <c r="O167" s="104" t="s">
        <v>548</v>
      </c>
      <c r="P167" s="105" t="s">
        <v>145</v>
      </c>
      <c r="Q167" s="106" t="s">
        <v>549</v>
      </c>
      <c r="R167" s="107" t="s">
        <v>71</v>
      </c>
      <c r="S167" s="108" t="n">
        <v>78</v>
      </c>
      <c r="T167" s="109" t="n">
        <v>436.77</v>
      </c>
      <c r="U167" s="110" t="n">
        <f aca="false">ROUND(T167*$S167,2)</f>
        <v>34068.06</v>
      </c>
      <c r="V167" s="111"/>
      <c r="W167" s="110"/>
      <c r="X167" s="111"/>
      <c r="Y167" s="110"/>
      <c r="Z167" s="108"/>
      <c r="AA167" s="110"/>
    </row>
    <row r="168" customFormat="false" ht="26.1" hidden="false" customHeight="true" outlineLevel="0" collapsed="false">
      <c r="A168" s="97" t="n">
        <v>2</v>
      </c>
      <c r="B168" s="98" t="s">
        <v>336</v>
      </c>
      <c r="C168" s="99" t="s">
        <v>337</v>
      </c>
      <c r="D168" s="100" t="str">
        <f aca="false">B168&amp;"_"&amp;E168</f>
        <v>2.2_5.8.53</v>
      </c>
      <c r="E168" s="101" t="s">
        <v>550</v>
      </c>
      <c r="F168" s="102"/>
      <c r="G168" s="103"/>
      <c r="H168" s="103"/>
      <c r="I168" s="103"/>
      <c r="J168" s="103"/>
      <c r="K168" s="103"/>
      <c r="L168" s="103"/>
      <c r="M168" s="103"/>
      <c r="N168" s="103"/>
      <c r="O168" s="104" t="s">
        <v>551</v>
      </c>
      <c r="P168" s="105" t="s">
        <v>145</v>
      </c>
      <c r="Q168" s="106" t="s">
        <v>552</v>
      </c>
      <c r="R168" s="107" t="s">
        <v>71</v>
      </c>
      <c r="S168" s="108" t="n">
        <v>409</v>
      </c>
      <c r="T168" s="109" t="n">
        <v>477.92</v>
      </c>
      <c r="U168" s="110" t="n">
        <f aca="false">ROUND(T168*$S168,2)</f>
        <v>195469.28</v>
      </c>
      <c r="V168" s="111"/>
      <c r="W168" s="110"/>
      <c r="X168" s="111"/>
      <c r="Y168" s="110"/>
      <c r="Z168" s="108"/>
      <c r="AA168" s="110"/>
    </row>
    <row r="169" customFormat="false" ht="26.1" hidden="false" customHeight="true" outlineLevel="0" collapsed="false">
      <c r="A169" s="97" t="n">
        <v>2</v>
      </c>
      <c r="B169" s="98" t="s">
        <v>336</v>
      </c>
      <c r="C169" s="99" t="s">
        <v>337</v>
      </c>
      <c r="D169" s="100" t="str">
        <f aca="false">B169&amp;"_"&amp;E169</f>
        <v>2.2_5.8.54</v>
      </c>
      <c r="E169" s="101" t="s">
        <v>553</v>
      </c>
      <c r="F169" s="102"/>
      <c r="G169" s="103"/>
      <c r="H169" s="103"/>
      <c r="I169" s="103"/>
      <c r="J169" s="103"/>
      <c r="K169" s="103"/>
      <c r="L169" s="103"/>
      <c r="M169" s="103"/>
      <c r="N169" s="103"/>
      <c r="O169" s="104" t="s">
        <v>554</v>
      </c>
      <c r="P169" s="105" t="s">
        <v>145</v>
      </c>
      <c r="Q169" s="106" t="s">
        <v>555</v>
      </c>
      <c r="R169" s="107" t="s">
        <v>71</v>
      </c>
      <c r="S169" s="108" t="n">
        <v>114</v>
      </c>
      <c r="T169" s="109" t="n">
        <v>539.84</v>
      </c>
      <c r="U169" s="110" t="n">
        <f aca="false">ROUND(T169*$S169,2)</f>
        <v>61541.76</v>
      </c>
      <c r="V169" s="111"/>
      <c r="W169" s="110"/>
      <c r="X169" s="111"/>
      <c r="Y169" s="110"/>
      <c r="Z169" s="108"/>
      <c r="AA169" s="110"/>
    </row>
    <row r="170" customFormat="false" ht="26.1" hidden="false" customHeight="true" outlineLevel="0" collapsed="false">
      <c r="A170" s="97" t="n">
        <v>2</v>
      </c>
      <c r="B170" s="98" t="s">
        <v>336</v>
      </c>
      <c r="C170" s="99" t="s">
        <v>337</v>
      </c>
      <c r="D170" s="100" t="str">
        <f aca="false">B170&amp;"_"&amp;E170</f>
        <v>2.2_5.8.55</v>
      </c>
      <c r="E170" s="101" t="s">
        <v>556</v>
      </c>
      <c r="F170" s="102"/>
      <c r="G170" s="103"/>
      <c r="H170" s="103"/>
      <c r="I170" s="103"/>
      <c r="J170" s="103"/>
      <c r="K170" s="103"/>
      <c r="L170" s="103"/>
      <c r="M170" s="103"/>
      <c r="N170" s="103"/>
      <c r="O170" s="104" t="s">
        <v>557</v>
      </c>
      <c r="P170" s="105" t="s">
        <v>145</v>
      </c>
      <c r="Q170" s="106" t="s">
        <v>558</v>
      </c>
      <c r="R170" s="107" t="s">
        <v>71</v>
      </c>
      <c r="S170" s="108" t="n">
        <v>102</v>
      </c>
      <c r="T170" s="109" t="n">
        <v>583.14</v>
      </c>
      <c r="U170" s="110" t="n">
        <f aca="false">ROUND(T170*$S170,2)</f>
        <v>59480.28</v>
      </c>
      <c r="V170" s="111"/>
      <c r="W170" s="110"/>
      <c r="X170" s="111"/>
      <c r="Y170" s="110"/>
      <c r="Z170" s="108"/>
      <c r="AA170" s="110"/>
    </row>
    <row r="171" customFormat="false" ht="26.1" hidden="false" customHeight="true" outlineLevel="0" collapsed="false">
      <c r="A171" s="97" t="n">
        <v>2</v>
      </c>
      <c r="B171" s="98" t="s">
        <v>336</v>
      </c>
      <c r="C171" s="99" t="s">
        <v>337</v>
      </c>
      <c r="D171" s="100" t="str">
        <f aca="false">B171&amp;"_"&amp;E171</f>
        <v>2.2_5.8.56</v>
      </c>
      <c r="E171" s="101" t="s">
        <v>559</v>
      </c>
      <c r="F171" s="102"/>
      <c r="G171" s="103"/>
      <c r="H171" s="103"/>
      <c r="I171" s="103"/>
      <c r="J171" s="103"/>
      <c r="K171" s="103"/>
      <c r="L171" s="103"/>
      <c r="M171" s="103"/>
      <c r="N171" s="103"/>
      <c r="O171" s="104" t="s">
        <v>560</v>
      </c>
      <c r="P171" s="105" t="s">
        <v>145</v>
      </c>
      <c r="Q171" s="106" t="s">
        <v>561</v>
      </c>
      <c r="R171" s="107" t="s">
        <v>71</v>
      </c>
      <c r="S171" s="108" t="n">
        <v>240</v>
      </c>
      <c r="T171" s="109" t="n">
        <v>754.24</v>
      </c>
      <c r="U171" s="110" t="n">
        <f aca="false">ROUND(T171*$S171,2)</f>
        <v>181017.6</v>
      </c>
      <c r="V171" s="111"/>
      <c r="W171" s="110"/>
      <c r="X171" s="111"/>
      <c r="Y171" s="110"/>
      <c r="Z171" s="108"/>
      <c r="AA171" s="110"/>
    </row>
    <row r="172" customFormat="false" ht="20.1" hidden="false" customHeight="true" outlineLevel="0" collapsed="false">
      <c r="A172" s="82" t="n">
        <v>2</v>
      </c>
      <c r="B172" s="83"/>
      <c r="C172" s="84"/>
      <c r="D172" s="85"/>
      <c r="E172" s="86" t="s">
        <v>189</v>
      </c>
      <c r="F172" s="87"/>
      <c r="G172" s="88"/>
      <c r="H172" s="88"/>
      <c r="I172" s="88"/>
      <c r="J172" s="88"/>
      <c r="K172" s="88"/>
      <c r="L172" s="88"/>
      <c r="M172" s="88"/>
      <c r="N172" s="88"/>
      <c r="O172" s="89" t="s">
        <v>190</v>
      </c>
      <c r="P172" s="90"/>
      <c r="Q172" s="91" t="s">
        <v>191</v>
      </c>
      <c r="R172" s="92"/>
      <c r="S172" s="93"/>
      <c r="T172" s="94"/>
      <c r="U172" s="95" t="n">
        <f aca="false">SUM(U173:U176)</f>
        <v>59630.9</v>
      </c>
      <c r="V172" s="96"/>
      <c r="W172" s="95"/>
      <c r="X172" s="96"/>
      <c r="Y172" s="95"/>
      <c r="Z172" s="93"/>
      <c r="AA172" s="95"/>
    </row>
    <row r="173" customFormat="false" ht="26.1" hidden="false" customHeight="true" outlineLevel="0" collapsed="false">
      <c r="A173" s="97" t="n">
        <v>2</v>
      </c>
      <c r="B173" s="98" t="s">
        <v>336</v>
      </c>
      <c r="C173" s="99" t="s">
        <v>337</v>
      </c>
      <c r="D173" s="100" t="str">
        <f aca="false">B173&amp;"_"&amp;E173</f>
        <v>2.2_5.9.2</v>
      </c>
      <c r="E173" s="101" t="s">
        <v>562</v>
      </c>
      <c r="F173" s="102"/>
      <c r="G173" s="103"/>
      <c r="H173" s="103"/>
      <c r="I173" s="103"/>
      <c r="J173" s="103"/>
      <c r="K173" s="103"/>
      <c r="L173" s="103"/>
      <c r="M173" s="103"/>
      <c r="N173" s="103"/>
      <c r="O173" s="104" t="s">
        <v>563</v>
      </c>
      <c r="P173" s="105" t="s">
        <v>145</v>
      </c>
      <c r="Q173" s="106" t="s">
        <v>564</v>
      </c>
      <c r="R173" s="107" t="s">
        <v>150</v>
      </c>
      <c r="S173" s="108" t="n">
        <v>524</v>
      </c>
      <c r="T173" s="109" t="n">
        <v>9.75</v>
      </c>
      <c r="U173" s="110" t="n">
        <f aca="false">ROUND(T173*$S173,2)</f>
        <v>5109</v>
      </c>
      <c r="V173" s="111"/>
      <c r="W173" s="110"/>
      <c r="X173" s="111"/>
      <c r="Y173" s="110"/>
      <c r="Z173" s="108"/>
      <c r="AA173" s="110"/>
    </row>
    <row r="174" customFormat="false" ht="26.1" hidden="false" customHeight="true" outlineLevel="0" collapsed="false">
      <c r="A174" s="97" t="n">
        <v>2</v>
      </c>
      <c r="B174" s="98" t="s">
        <v>336</v>
      </c>
      <c r="C174" s="99" t="s">
        <v>337</v>
      </c>
      <c r="D174" s="100" t="str">
        <f aca="false">B174&amp;"_"&amp;E174</f>
        <v>2.2_5.9.3</v>
      </c>
      <c r="E174" s="101" t="s">
        <v>565</v>
      </c>
      <c r="F174" s="102"/>
      <c r="G174" s="103"/>
      <c r="H174" s="103"/>
      <c r="I174" s="103"/>
      <c r="J174" s="103"/>
      <c r="K174" s="103"/>
      <c r="L174" s="103"/>
      <c r="M174" s="103"/>
      <c r="N174" s="103"/>
      <c r="O174" s="104" t="s">
        <v>566</v>
      </c>
      <c r="P174" s="105" t="s">
        <v>145</v>
      </c>
      <c r="Q174" s="106" t="s">
        <v>567</v>
      </c>
      <c r="R174" s="107" t="s">
        <v>150</v>
      </c>
      <c r="S174" s="108" t="n">
        <v>156.36</v>
      </c>
      <c r="T174" s="109" t="n">
        <v>106.91</v>
      </c>
      <c r="U174" s="110" t="n">
        <f aca="false">ROUND(T174*$S174,2)</f>
        <v>16716.45</v>
      </c>
      <c r="V174" s="111"/>
      <c r="W174" s="110"/>
      <c r="X174" s="111"/>
      <c r="Y174" s="110"/>
      <c r="Z174" s="108"/>
      <c r="AA174" s="110"/>
    </row>
    <row r="175" customFormat="false" ht="26.1" hidden="false" customHeight="true" outlineLevel="0" collapsed="false">
      <c r="A175" s="97" t="n">
        <v>2</v>
      </c>
      <c r="B175" s="98" t="s">
        <v>336</v>
      </c>
      <c r="C175" s="99" t="s">
        <v>337</v>
      </c>
      <c r="D175" s="100" t="str">
        <f aca="false">B175&amp;"_"&amp;E175</f>
        <v>2.2_5.9.4</v>
      </c>
      <c r="E175" s="101" t="s">
        <v>568</v>
      </c>
      <c r="F175" s="102"/>
      <c r="G175" s="103"/>
      <c r="H175" s="103"/>
      <c r="I175" s="103"/>
      <c r="J175" s="103"/>
      <c r="K175" s="103"/>
      <c r="L175" s="103"/>
      <c r="M175" s="103"/>
      <c r="N175" s="103"/>
      <c r="O175" s="104" t="s">
        <v>569</v>
      </c>
      <c r="P175" s="105" t="s">
        <v>145</v>
      </c>
      <c r="Q175" s="106" t="s">
        <v>570</v>
      </c>
      <c r="R175" s="107" t="s">
        <v>150</v>
      </c>
      <c r="S175" s="108" t="n">
        <v>524</v>
      </c>
      <c r="T175" s="109" t="n">
        <v>3.17</v>
      </c>
      <c r="U175" s="110" t="n">
        <f aca="false">ROUND(T175*$S175,2)</f>
        <v>1661.08</v>
      </c>
      <c r="V175" s="111"/>
      <c r="W175" s="110"/>
      <c r="X175" s="111"/>
      <c r="Y175" s="110"/>
      <c r="Z175" s="108"/>
      <c r="AA175" s="110"/>
    </row>
    <row r="176" customFormat="false" ht="26.1" hidden="false" customHeight="true" outlineLevel="0" collapsed="false">
      <c r="A176" s="97" t="n">
        <v>2</v>
      </c>
      <c r="B176" s="98" t="s">
        <v>336</v>
      </c>
      <c r="C176" s="99" t="s">
        <v>337</v>
      </c>
      <c r="D176" s="100" t="str">
        <f aca="false">B176&amp;"_"&amp;E176</f>
        <v>2.2_5.9.5</v>
      </c>
      <c r="E176" s="101" t="s">
        <v>571</v>
      </c>
      <c r="F176" s="102"/>
      <c r="G176" s="103"/>
      <c r="H176" s="103"/>
      <c r="I176" s="103"/>
      <c r="J176" s="103"/>
      <c r="K176" s="103"/>
      <c r="L176" s="103"/>
      <c r="M176" s="103"/>
      <c r="N176" s="103"/>
      <c r="O176" s="104" t="s">
        <v>572</v>
      </c>
      <c r="P176" s="105" t="s">
        <v>145</v>
      </c>
      <c r="Q176" s="106" t="s">
        <v>573</v>
      </c>
      <c r="R176" s="107" t="s">
        <v>157</v>
      </c>
      <c r="S176" s="108" t="n">
        <v>15.72</v>
      </c>
      <c r="T176" s="109" t="n">
        <v>2299.26</v>
      </c>
      <c r="U176" s="110" t="n">
        <f aca="false">ROUND(T176*$S176,2)</f>
        <v>36144.37</v>
      </c>
      <c r="V176" s="111"/>
      <c r="W176" s="110"/>
      <c r="X176" s="111"/>
      <c r="Y176" s="110"/>
      <c r="Z176" s="108"/>
      <c r="AA176" s="110"/>
    </row>
    <row r="177" customFormat="false" ht="20.1" hidden="false" customHeight="true" outlineLevel="0" collapsed="false">
      <c r="A177" s="82" t="n">
        <v>2</v>
      </c>
      <c r="B177" s="83"/>
      <c r="C177" s="84"/>
      <c r="D177" s="85"/>
      <c r="E177" s="86" t="s">
        <v>234</v>
      </c>
      <c r="F177" s="87"/>
      <c r="G177" s="88"/>
      <c r="H177" s="88"/>
      <c r="I177" s="88"/>
      <c r="J177" s="88"/>
      <c r="K177" s="88"/>
      <c r="L177" s="88"/>
      <c r="M177" s="88"/>
      <c r="N177" s="88"/>
      <c r="O177" s="89" t="s">
        <v>235</v>
      </c>
      <c r="P177" s="90"/>
      <c r="Q177" s="91" t="s">
        <v>236</v>
      </c>
      <c r="R177" s="92"/>
      <c r="S177" s="93"/>
      <c r="T177" s="94"/>
      <c r="U177" s="95" t="n">
        <f aca="false">SUM(U178:U180)</f>
        <v>160969.97</v>
      </c>
      <c r="V177" s="96"/>
      <c r="W177" s="95"/>
      <c r="X177" s="96"/>
      <c r="Y177" s="95"/>
      <c r="Z177" s="93"/>
      <c r="AA177" s="95"/>
    </row>
    <row r="178" customFormat="false" ht="26.1" hidden="false" customHeight="true" outlineLevel="0" collapsed="false">
      <c r="A178" s="97" t="n">
        <v>2</v>
      </c>
      <c r="B178" s="98" t="s">
        <v>336</v>
      </c>
      <c r="C178" s="99" t="s">
        <v>337</v>
      </c>
      <c r="D178" s="100" t="str">
        <f aca="false">B178&amp;"_"&amp;E178</f>
        <v>2.2_5.14.1</v>
      </c>
      <c r="E178" s="101" t="s">
        <v>574</v>
      </c>
      <c r="F178" s="102"/>
      <c r="G178" s="103"/>
      <c r="H178" s="103"/>
      <c r="I178" s="103"/>
      <c r="J178" s="103"/>
      <c r="K178" s="103"/>
      <c r="L178" s="103"/>
      <c r="M178" s="103"/>
      <c r="N178" s="103"/>
      <c r="O178" s="104" t="s">
        <v>575</v>
      </c>
      <c r="P178" s="105" t="s">
        <v>145</v>
      </c>
      <c r="Q178" s="106" t="s">
        <v>576</v>
      </c>
      <c r="R178" s="107" t="s">
        <v>157</v>
      </c>
      <c r="S178" s="108" t="n">
        <v>44196.57</v>
      </c>
      <c r="T178" s="109" t="n">
        <v>1.86</v>
      </c>
      <c r="U178" s="110" t="n">
        <f aca="false">ROUND(T178*$S178,2)</f>
        <v>82205.62</v>
      </c>
      <c r="V178" s="111"/>
      <c r="W178" s="110"/>
      <c r="X178" s="111"/>
      <c r="Y178" s="110"/>
      <c r="Z178" s="108"/>
      <c r="AA178" s="110"/>
    </row>
    <row r="179" customFormat="false" ht="26.1" hidden="false" customHeight="true" outlineLevel="0" collapsed="false">
      <c r="A179" s="97" t="n">
        <v>2</v>
      </c>
      <c r="B179" s="98" t="s">
        <v>336</v>
      </c>
      <c r="C179" s="99" t="s">
        <v>337</v>
      </c>
      <c r="D179" s="100" t="str">
        <f aca="false">B179&amp;"_"&amp;E179</f>
        <v>2.2_5.14.5</v>
      </c>
      <c r="E179" s="101" t="s">
        <v>246</v>
      </c>
      <c r="F179" s="102"/>
      <c r="G179" s="103"/>
      <c r="H179" s="103"/>
      <c r="I179" s="103"/>
      <c r="J179" s="103"/>
      <c r="K179" s="103"/>
      <c r="L179" s="103"/>
      <c r="M179" s="103"/>
      <c r="N179" s="103"/>
      <c r="O179" s="104" t="s">
        <v>247</v>
      </c>
      <c r="P179" s="105" t="s">
        <v>145</v>
      </c>
      <c r="Q179" s="106" t="s">
        <v>248</v>
      </c>
      <c r="R179" s="107" t="s">
        <v>150</v>
      </c>
      <c r="S179" s="108" t="n">
        <v>111219.2</v>
      </c>
      <c r="T179" s="109" t="n">
        <v>0.66</v>
      </c>
      <c r="U179" s="110" t="n">
        <f aca="false">ROUND(T179*$S179,2)</f>
        <v>73404.67</v>
      </c>
      <c r="V179" s="111"/>
      <c r="W179" s="110"/>
      <c r="X179" s="111"/>
      <c r="Y179" s="110"/>
      <c r="Z179" s="108"/>
      <c r="AA179" s="110"/>
    </row>
    <row r="180" customFormat="false" ht="26.1" hidden="false" customHeight="true" outlineLevel="0" collapsed="false">
      <c r="A180" s="97" t="n">
        <v>2</v>
      </c>
      <c r="B180" s="98" t="s">
        <v>336</v>
      </c>
      <c r="C180" s="99" t="s">
        <v>337</v>
      </c>
      <c r="D180" s="100" t="str">
        <f aca="false">B180&amp;"_"&amp;E180</f>
        <v>2.2_5.14.6</v>
      </c>
      <c r="E180" s="101" t="s">
        <v>577</v>
      </c>
      <c r="F180" s="102"/>
      <c r="G180" s="103"/>
      <c r="H180" s="103"/>
      <c r="I180" s="103"/>
      <c r="J180" s="103"/>
      <c r="K180" s="103"/>
      <c r="L180" s="103"/>
      <c r="M180" s="103"/>
      <c r="N180" s="103"/>
      <c r="O180" s="104" t="s">
        <v>578</v>
      </c>
      <c r="P180" s="105" t="s">
        <v>145</v>
      </c>
      <c r="Q180" s="106" t="s">
        <v>579</v>
      </c>
      <c r="R180" s="107" t="s">
        <v>150</v>
      </c>
      <c r="S180" s="108" t="n">
        <v>8</v>
      </c>
      <c r="T180" s="109" t="n">
        <v>669.96</v>
      </c>
      <c r="U180" s="110" t="n">
        <f aca="false">ROUND(T180*$S180,2)</f>
        <v>5359.68</v>
      </c>
      <c r="V180" s="111"/>
      <c r="W180" s="110"/>
      <c r="X180" s="111"/>
      <c r="Y180" s="110"/>
      <c r="Z180" s="108"/>
      <c r="AA180" s="110"/>
    </row>
    <row r="181" customFormat="false" ht="20.1" hidden="false" customHeight="true" outlineLevel="0" collapsed="false">
      <c r="A181" s="82" t="n">
        <v>2</v>
      </c>
      <c r="B181" s="83"/>
      <c r="C181" s="84"/>
      <c r="D181" s="85"/>
      <c r="E181" s="86" t="s">
        <v>580</v>
      </c>
      <c r="F181" s="87"/>
      <c r="G181" s="88"/>
      <c r="H181" s="88"/>
      <c r="I181" s="88"/>
      <c r="J181" s="88"/>
      <c r="K181" s="88"/>
      <c r="L181" s="88"/>
      <c r="M181" s="88"/>
      <c r="N181" s="88"/>
      <c r="O181" s="89" t="s">
        <v>581</v>
      </c>
      <c r="P181" s="90"/>
      <c r="Q181" s="91" t="s">
        <v>582</v>
      </c>
      <c r="R181" s="92"/>
      <c r="S181" s="93"/>
      <c r="T181" s="94"/>
      <c r="U181" s="95" t="n">
        <f aca="false">SUM(U182:U188)</f>
        <v>1167066.95</v>
      </c>
      <c r="V181" s="96"/>
      <c r="W181" s="95"/>
      <c r="X181" s="96"/>
      <c r="Y181" s="95"/>
      <c r="Z181" s="93"/>
      <c r="AA181" s="95"/>
    </row>
    <row r="182" customFormat="false" ht="26.1" hidden="false" customHeight="true" outlineLevel="0" collapsed="false">
      <c r="A182" s="97" t="n">
        <v>2</v>
      </c>
      <c r="B182" s="98" t="s">
        <v>336</v>
      </c>
      <c r="C182" s="99" t="s">
        <v>337</v>
      </c>
      <c r="D182" s="100" t="str">
        <f aca="false">B182&amp;"_"&amp;E182</f>
        <v>2.2_5.16.1</v>
      </c>
      <c r="E182" s="101" t="s">
        <v>583</v>
      </c>
      <c r="F182" s="102"/>
      <c r="G182" s="103"/>
      <c r="H182" s="103"/>
      <c r="I182" s="103"/>
      <c r="J182" s="103"/>
      <c r="K182" s="103"/>
      <c r="L182" s="103"/>
      <c r="M182" s="103"/>
      <c r="N182" s="103"/>
      <c r="O182" s="104" t="s">
        <v>584</v>
      </c>
      <c r="P182" s="105" t="s">
        <v>145</v>
      </c>
      <c r="Q182" s="106" t="s">
        <v>585</v>
      </c>
      <c r="R182" s="107" t="s">
        <v>120</v>
      </c>
      <c r="S182" s="108" t="n">
        <v>294.32</v>
      </c>
      <c r="T182" s="109" t="n">
        <v>63.76</v>
      </c>
      <c r="U182" s="110" t="n">
        <f aca="false">ROUND(T182*$S182,2)</f>
        <v>18765.84</v>
      </c>
      <c r="V182" s="111"/>
      <c r="W182" s="110"/>
      <c r="X182" s="111"/>
      <c r="Y182" s="110"/>
      <c r="Z182" s="108"/>
      <c r="AA182" s="110"/>
    </row>
    <row r="183" customFormat="false" ht="26.1" hidden="false" customHeight="true" outlineLevel="0" collapsed="false">
      <c r="A183" s="97" t="n">
        <v>2</v>
      </c>
      <c r="B183" s="98" t="s">
        <v>336</v>
      </c>
      <c r="C183" s="99" t="s">
        <v>337</v>
      </c>
      <c r="D183" s="100" t="str">
        <f aca="false">B183&amp;"_"&amp;E183</f>
        <v>2.2_5.16.2</v>
      </c>
      <c r="E183" s="101" t="s">
        <v>586</v>
      </c>
      <c r="F183" s="102"/>
      <c r="G183" s="103"/>
      <c r="H183" s="103"/>
      <c r="I183" s="103"/>
      <c r="J183" s="103"/>
      <c r="K183" s="103"/>
      <c r="L183" s="103"/>
      <c r="M183" s="103"/>
      <c r="N183" s="103"/>
      <c r="O183" s="104" t="s">
        <v>587</v>
      </c>
      <c r="P183" s="105" t="s">
        <v>145</v>
      </c>
      <c r="Q183" s="106" t="s">
        <v>588</v>
      </c>
      <c r="R183" s="107" t="s">
        <v>120</v>
      </c>
      <c r="S183" s="108" t="n">
        <v>3318.34</v>
      </c>
      <c r="T183" s="109" t="n">
        <v>110.96</v>
      </c>
      <c r="U183" s="110" t="n">
        <f aca="false">ROUND(T183*$S183,2)</f>
        <v>368203.01</v>
      </c>
      <c r="V183" s="111"/>
      <c r="W183" s="110"/>
      <c r="X183" s="111"/>
      <c r="Y183" s="110"/>
      <c r="Z183" s="108"/>
      <c r="AA183" s="110"/>
    </row>
    <row r="184" customFormat="false" ht="26.1" hidden="false" customHeight="true" outlineLevel="0" collapsed="false">
      <c r="A184" s="97" t="n">
        <v>2</v>
      </c>
      <c r="B184" s="98" t="s">
        <v>336</v>
      </c>
      <c r="C184" s="99" t="s">
        <v>337</v>
      </c>
      <c r="D184" s="100" t="str">
        <f aca="false">B184&amp;"_"&amp;E184</f>
        <v>2.2_5.16.3</v>
      </c>
      <c r="E184" s="101" t="s">
        <v>589</v>
      </c>
      <c r="F184" s="102"/>
      <c r="G184" s="103"/>
      <c r="H184" s="103"/>
      <c r="I184" s="103"/>
      <c r="J184" s="103"/>
      <c r="K184" s="103"/>
      <c r="L184" s="103"/>
      <c r="M184" s="103"/>
      <c r="N184" s="103"/>
      <c r="O184" s="104" t="s">
        <v>590</v>
      </c>
      <c r="P184" s="105" t="s">
        <v>145</v>
      </c>
      <c r="Q184" s="106" t="s">
        <v>591</v>
      </c>
      <c r="R184" s="107" t="s">
        <v>120</v>
      </c>
      <c r="S184" s="108" t="n">
        <v>1384.2</v>
      </c>
      <c r="T184" s="109" t="n">
        <v>164.04</v>
      </c>
      <c r="U184" s="110" t="n">
        <f aca="false">ROUND(T184*$S184,2)</f>
        <v>227064.17</v>
      </c>
      <c r="V184" s="111"/>
      <c r="W184" s="110"/>
      <c r="X184" s="111"/>
      <c r="Y184" s="110"/>
      <c r="Z184" s="108"/>
      <c r="AA184" s="110"/>
    </row>
    <row r="185" customFormat="false" ht="26.1" hidden="false" customHeight="true" outlineLevel="0" collapsed="false">
      <c r="A185" s="97" t="n">
        <v>2</v>
      </c>
      <c r="B185" s="98" t="s">
        <v>336</v>
      </c>
      <c r="C185" s="99" t="s">
        <v>337</v>
      </c>
      <c r="D185" s="100" t="str">
        <f aca="false">B185&amp;"_"&amp;E185</f>
        <v>2.2_5.16.4</v>
      </c>
      <c r="E185" s="101" t="s">
        <v>592</v>
      </c>
      <c r="F185" s="102"/>
      <c r="G185" s="103"/>
      <c r="H185" s="103"/>
      <c r="I185" s="103"/>
      <c r="J185" s="103"/>
      <c r="K185" s="103"/>
      <c r="L185" s="103"/>
      <c r="M185" s="103"/>
      <c r="N185" s="103"/>
      <c r="O185" s="104" t="s">
        <v>593</v>
      </c>
      <c r="P185" s="105" t="s">
        <v>145</v>
      </c>
      <c r="Q185" s="106" t="s">
        <v>594</v>
      </c>
      <c r="R185" s="107" t="s">
        <v>120</v>
      </c>
      <c r="S185" s="108" t="n">
        <v>920.05</v>
      </c>
      <c r="T185" s="109" t="n">
        <v>316.99</v>
      </c>
      <c r="U185" s="110" t="n">
        <f aca="false">ROUND(T185*$S185,2)</f>
        <v>291646.65</v>
      </c>
      <c r="V185" s="111"/>
      <c r="W185" s="110"/>
      <c r="X185" s="111"/>
      <c r="Y185" s="110"/>
      <c r="Z185" s="108"/>
      <c r="AA185" s="110"/>
    </row>
    <row r="186" customFormat="false" ht="26.1" hidden="false" customHeight="true" outlineLevel="0" collapsed="false">
      <c r="A186" s="97" t="n">
        <v>2</v>
      </c>
      <c r="B186" s="98" t="s">
        <v>336</v>
      </c>
      <c r="C186" s="99" t="s">
        <v>337</v>
      </c>
      <c r="D186" s="100" t="str">
        <f aca="false">B186&amp;"_"&amp;E186</f>
        <v>2.2_5.16.5</v>
      </c>
      <c r="E186" s="101" t="s">
        <v>595</v>
      </c>
      <c r="F186" s="102"/>
      <c r="G186" s="103"/>
      <c r="H186" s="103"/>
      <c r="I186" s="103"/>
      <c r="J186" s="103"/>
      <c r="K186" s="103"/>
      <c r="L186" s="103"/>
      <c r="M186" s="103"/>
      <c r="N186" s="103"/>
      <c r="O186" s="104" t="s">
        <v>596</v>
      </c>
      <c r="P186" s="105" t="s">
        <v>145</v>
      </c>
      <c r="Q186" s="106" t="s">
        <v>597</v>
      </c>
      <c r="R186" s="107" t="s">
        <v>120</v>
      </c>
      <c r="S186" s="108" t="n">
        <v>454.75</v>
      </c>
      <c r="T186" s="109" t="n">
        <v>317.25</v>
      </c>
      <c r="U186" s="110" t="n">
        <f aca="false">ROUND(T186*$S186,2)</f>
        <v>144269.44</v>
      </c>
      <c r="V186" s="111"/>
      <c r="W186" s="110"/>
      <c r="X186" s="111"/>
      <c r="Y186" s="110"/>
      <c r="Z186" s="108"/>
      <c r="AA186" s="110"/>
    </row>
    <row r="187" customFormat="false" ht="26.1" hidden="false" customHeight="true" outlineLevel="0" collapsed="false">
      <c r="A187" s="97" t="n">
        <v>2</v>
      </c>
      <c r="B187" s="98" t="s">
        <v>336</v>
      </c>
      <c r="C187" s="99" t="s">
        <v>337</v>
      </c>
      <c r="D187" s="100" t="str">
        <f aca="false">B187&amp;"_"&amp;E187</f>
        <v>2.2_5.16.6</v>
      </c>
      <c r="E187" s="101" t="s">
        <v>598</v>
      </c>
      <c r="F187" s="102"/>
      <c r="G187" s="103"/>
      <c r="H187" s="103"/>
      <c r="I187" s="103"/>
      <c r="J187" s="103"/>
      <c r="K187" s="103"/>
      <c r="L187" s="103"/>
      <c r="M187" s="103"/>
      <c r="N187" s="103"/>
      <c r="O187" s="104" t="s">
        <v>599</v>
      </c>
      <c r="P187" s="105" t="s">
        <v>145</v>
      </c>
      <c r="Q187" s="106" t="s">
        <v>600</v>
      </c>
      <c r="R187" s="107" t="s">
        <v>120</v>
      </c>
      <c r="S187" s="108" t="n">
        <v>213.77</v>
      </c>
      <c r="T187" s="109" t="n">
        <v>492.79</v>
      </c>
      <c r="U187" s="110" t="n">
        <f aca="false">ROUND(T187*$S187,2)</f>
        <v>105343.72</v>
      </c>
      <c r="V187" s="111"/>
      <c r="W187" s="110"/>
      <c r="X187" s="111"/>
      <c r="Y187" s="110"/>
      <c r="Z187" s="108"/>
      <c r="AA187" s="110"/>
    </row>
    <row r="188" customFormat="false" ht="26.1" hidden="false" customHeight="true" outlineLevel="0" collapsed="false">
      <c r="A188" s="97" t="n">
        <v>2</v>
      </c>
      <c r="B188" s="98" t="s">
        <v>336</v>
      </c>
      <c r="C188" s="99" t="s">
        <v>337</v>
      </c>
      <c r="D188" s="100" t="str">
        <f aca="false">B188&amp;"_"&amp;E188</f>
        <v>2.2_5.16.7</v>
      </c>
      <c r="E188" s="101" t="s">
        <v>601</v>
      </c>
      <c r="F188" s="102"/>
      <c r="G188" s="103"/>
      <c r="H188" s="103"/>
      <c r="I188" s="103"/>
      <c r="J188" s="103"/>
      <c r="K188" s="103"/>
      <c r="L188" s="103"/>
      <c r="M188" s="103"/>
      <c r="N188" s="103"/>
      <c r="O188" s="104" t="s">
        <v>602</v>
      </c>
      <c r="P188" s="105" t="s">
        <v>145</v>
      </c>
      <c r="Q188" s="106" t="s">
        <v>603</v>
      </c>
      <c r="R188" s="107" t="s">
        <v>120</v>
      </c>
      <c r="S188" s="108" t="n">
        <v>393.52</v>
      </c>
      <c r="T188" s="109" t="n">
        <v>29.92</v>
      </c>
      <c r="U188" s="110" t="n">
        <f aca="false">ROUND(T188*$S188,2)</f>
        <v>11774.12</v>
      </c>
      <c r="V188" s="111"/>
      <c r="W188" s="110"/>
      <c r="X188" s="111"/>
      <c r="Y188" s="110"/>
      <c r="Z188" s="108"/>
      <c r="AA188" s="110"/>
    </row>
    <row r="189" customFormat="false" ht="20.1" hidden="false" customHeight="true" outlineLevel="0" collapsed="false">
      <c r="A189" s="82" t="n">
        <v>2</v>
      </c>
      <c r="B189" s="83"/>
      <c r="C189" s="84"/>
      <c r="D189" s="85"/>
      <c r="E189" s="86" t="s">
        <v>261</v>
      </c>
      <c r="F189" s="87"/>
      <c r="G189" s="88"/>
      <c r="H189" s="88"/>
      <c r="I189" s="88"/>
      <c r="J189" s="88"/>
      <c r="K189" s="88"/>
      <c r="L189" s="88"/>
      <c r="M189" s="88"/>
      <c r="N189" s="88"/>
      <c r="O189" s="89" t="s">
        <v>262</v>
      </c>
      <c r="P189" s="90"/>
      <c r="Q189" s="91" t="s">
        <v>263</v>
      </c>
      <c r="R189" s="92"/>
      <c r="S189" s="93"/>
      <c r="T189" s="94"/>
      <c r="U189" s="95" t="n">
        <f aca="false">SUM(U190:U191)</f>
        <v>537817.45</v>
      </c>
      <c r="V189" s="96"/>
      <c r="W189" s="95"/>
      <c r="X189" s="96"/>
      <c r="Y189" s="95"/>
      <c r="Z189" s="93"/>
      <c r="AA189" s="95"/>
    </row>
    <row r="190" customFormat="false" ht="26.1" hidden="false" customHeight="true" outlineLevel="0" collapsed="false">
      <c r="A190" s="97" t="n">
        <v>2</v>
      </c>
      <c r="B190" s="98" t="s">
        <v>336</v>
      </c>
      <c r="C190" s="99" t="s">
        <v>337</v>
      </c>
      <c r="D190" s="100" t="str">
        <f aca="false">B190&amp;"_"&amp;E190</f>
        <v>2.2_5.17.1</v>
      </c>
      <c r="E190" s="101" t="s">
        <v>604</v>
      </c>
      <c r="F190" s="102"/>
      <c r="G190" s="103"/>
      <c r="H190" s="103"/>
      <c r="I190" s="103"/>
      <c r="J190" s="103"/>
      <c r="K190" s="103"/>
      <c r="L190" s="103"/>
      <c r="M190" s="103"/>
      <c r="N190" s="103"/>
      <c r="O190" s="104" t="s">
        <v>605</v>
      </c>
      <c r="P190" s="105" t="s">
        <v>145</v>
      </c>
      <c r="Q190" s="106" t="s">
        <v>606</v>
      </c>
      <c r="R190" s="107" t="s">
        <v>157</v>
      </c>
      <c r="S190" s="108" t="n">
        <v>6443.8</v>
      </c>
      <c r="T190" s="109" t="n">
        <v>59.37</v>
      </c>
      <c r="U190" s="110" t="n">
        <f aca="false">ROUND(T190*$S190,2)</f>
        <v>382568.41</v>
      </c>
      <c r="V190" s="111"/>
      <c r="W190" s="110"/>
      <c r="X190" s="111"/>
      <c r="Y190" s="110"/>
      <c r="Z190" s="108"/>
      <c r="AA190" s="110"/>
    </row>
    <row r="191" customFormat="false" ht="26.1" hidden="false" customHeight="true" outlineLevel="0" collapsed="false">
      <c r="A191" s="97" t="n">
        <v>2</v>
      </c>
      <c r="B191" s="98" t="s">
        <v>336</v>
      </c>
      <c r="C191" s="99" t="s">
        <v>337</v>
      </c>
      <c r="D191" s="100" t="str">
        <f aca="false">B191&amp;"_"&amp;E191</f>
        <v>2.2_5.17.4</v>
      </c>
      <c r="E191" s="101" t="s">
        <v>607</v>
      </c>
      <c r="F191" s="102"/>
      <c r="G191" s="103"/>
      <c r="H191" s="103"/>
      <c r="I191" s="103"/>
      <c r="J191" s="103"/>
      <c r="K191" s="103"/>
      <c r="L191" s="103"/>
      <c r="M191" s="103"/>
      <c r="N191" s="103"/>
      <c r="O191" s="104" t="s">
        <v>608</v>
      </c>
      <c r="P191" s="105" t="s">
        <v>145</v>
      </c>
      <c r="Q191" s="106" t="s">
        <v>609</v>
      </c>
      <c r="R191" s="107" t="s">
        <v>157</v>
      </c>
      <c r="S191" s="108" t="n">
        <v>1867.77</v>
      </c>
      <c r="T191" s="109" t="n">
        <v>83.12</v>
      </c>
      <c r="U191" s="110" t="n">
        <f aca="false">ROUND(T191*$S191,2)</f>
        <v>155249.04</v>
      </c>
      <c r="V191" s="111"/>
      <c r="W191" s="110"/>
      <c r="X191" s="111"/>
      <c r="Y191" s="110"/>
      <c r="Z191" s="108"/>
      <c r="AA191" s="110"/>
    </row>
    <row r="192" customFormat="false" ht="20.1" hidden="false" customHeight="true" outlineLevel="0" collapsed="false">
      <c r="A192" s="52" t="n">
        <v>3</v>
      </c>
      <c r="B192" s="53"/>
      <c r="C192" s="54" t="s">
        <v>610</v>
      </c>
      <c r="D192" s="55"/>
      <c r="E192" s="56"/>
      <c r="F192" s="57"/>
      <c r="G192" s="58"/>
      <c r="H192" s="58"/>
      <c r="I192" s="58"/>
      <c r="J192" s="58"/>
      <c r="K192" s="58"/>
      <c r="L192" s="58"/>
      <c r="M192" s="58"/>
      <c r="N192" s="58"/>
      <c r="O192" s="59"/>
      <c r="P192" s="60"/>
      <c r="Q192" s="61" t="s">
        <v>610</v>
      </c>
      <c r="R192" s="62"/>
      <c r="S192" s="63"/>
      <c r="T192" s="64"/>
      <c r="U192" s="65" t="n">
        <f aca="false">SUM(U193,U203,U206)</f>
        <v>1497749.88</v>
      </c>
      <c r="V192" s="64"/>
      <c r="W192" s="65"/>
      <c r="X192" s="64"/>
      <c r="Y192" s="65"/>
      <c r="Z192" s="66"/>
      <c r="AA192" s="65"/>
    </row>
    <row r="193" customFormat="false" ht="20.1" hidden="false" customHeight="true" outlineLevel="0" collapsed="false">
      <c r="A193" s="67" t="n">
        <v>3</v>
      </c>
      <c r="B193" s="68"/>
      <c r="C193" s="69"/>
      <c r="D193" s="70"/>
      <c r="E193" s="71" t="s">
        <v>38</v>
      </c>
      <c r="F193" s="72"/>
      <c r="G193" s="73"/>
      <c r="H193" s="73"/>
      <c r="I193" s="73"/>
      <c r="J193" s="73"/>
      <c r="K193" s="73"/>
      <c r="L193" s="73"/>
      <c r="M193" s="73"/>
      <c r="N193" s="73"/>
      <c r="O193" s="74" t="s">
        <v>39</v>
      </c>
      <c r="P193" s="75"/>
      <c r="Q193" s="76" t="s">
        <v>27</v>
      </c>
      <c r="R193" s="77"/>
      <c r="S193" s="78"/>
      <c r="T193" s="79"/>
      <c r="U193" s="80" t="n">
        <f aca="false">SUM(U194,U196,U198,U200)</f>
        <v>312540.71</v>
      </c>
      <c r="V193" s="81"/>
      <c r="W193" s="80"/>
      <c r="X193" s="81"/>
      <c r="Y193" s="80"/>
      <c r="Z193" s="78"/>
      <c r="AA193" s="80"/>
    </row>
    <row r="194" customFormat="false" ht="20.1" hidden="false" customHeight="true" outlineLevel="0" collapsed="false">
      <c r="A194" s="82" t="n">
        <v>3</v>
      </c>
      <c r="B194" s="83"/>
      <c r="C194" s="84"/>
      <c r="D194" s="85"/>
      <c r="E194" s="86" t="s">
        <v>52</v>
      </c>
      <c r="F194" s="87"/>
      <c r="G194" s="88"/>
      <c r="H194" s="88"/>
      <c r="I194" s="88"/>
      <c r="J194" s="88"/>
      <c r="K194" s="88"/>
      <c r="L194" s="88"/>
      <c r="M194" s="88"/>
      <c r="N194" s="88"/>
      <c r="O194" s="89" t="s">
        <v>53</v>
      </c>
      <c r="P194" s="90"/>
      <c r="Q194" s="91" t="s">
        <v>54</v>
      </c>
      <c r="R194" s="92"/>
      <c r="S194" s="93"/>
      <c r="T194" s="94"/>
      <c r="U194" s="95" t="n">
        <f aca="false">SUM(U195:U195)</f>
        <v>23066.4</v>
      </c>
      <c r="V194" s="96"/>
      <c r="W194" s="95"/>
      <c r="X194" s="96"/>
      <c r="Y194" s="95"/>
      <c r="Z194" s="93"/>
      <c r="AA194" s="95"/>
    </row>
    <row r="195" customFormat="false" ht="26.1" hidden="false" customHeight="true" outlineLevel="0" collapsed="false">
      <c r="A195" s="97" t="n">
        <v>3</v>
      </c>
      <c r="B195" s="98" t="s">
        <v>611</v>
      </c>
      <c r="C195" s="99" t="s">
        <v>612</v>
      </c>
      <c r="D195" s="100" t="str">
        <f aca="false">B195&amp;"_"&amp;E195</f>
        <v>3.1_1.2.2</v>
      </c>
      <c r="E195" s="101" t="s">
        <v>55</v>
      </c>
      <c r="F195" s="102" t="s">
        <v>56</v>
      </c>
      <c r="G195" s="103" t="s">
        <v>46</v>
      </c>
      <c r="H195" s="103" t="s">
        <v>46</v>
      </c>
      <c r="I195" s="103" t="s">
        <v>46</v>
      </c>
      <c r="J195" s="103" t="s">
        <v>46</v>
      </c>
      <c r="K195" s="103" t="s">
        <v>46</v>
      </c>
      <c r="L195" s="103" t="s">
        <v>46</v>
      </c>
      <c r="M195" s="103" t="s">
        <v>57</v>
      </c>
      <c r="N195" s="103" t="s">
        <v>58</v>
      </c>
      <c r="O195" s="104" t="s">
        <v>59</v>
      </c>
      <c r="P195" s="105" t="s">
        <v>27</v>
      </c>
      <c r="Q195" s="106" t="s">
        <v>60</v>
      </c>
      <c r="R195" s="107" t="s">
        <v>61</v>
      </c>
      <c r="S195" s="108" t="n">
        <v>1346.55</v>
      </c>
      <c r="T195" s="109" t="n">
        <v>17.13</v>
      </c>
      <c r="U195" s="110" t="n">
        <f aca="false">ROUND(T195*$S195,2)</f>
        <v>23066.4</v>
      </c>
      <c r="V195" s="111"/>
      <c r="W195" s="110"/>
      <c r="X195" s="111"/>
      <c r="Y195" s="110"/>
      <c r="Z195" s="108"/>
      <c r="AA195" s="110"/>
    </row>
    <row r="196" customFormat="false" ht="20.1" hidden="false" customHeight="true" outlineLevel="0" collapsed="false">
      <c r="A196" s="82" t="n">
        <v>3</v>
      </c>
      <c r="B196" s="83"/>
      <c r="C196" s="84"/>
      <c r="D196" s="85"/>
      <c r="E196" s="86" t="s">
        <v>613</v>
      </c>
      <c r="F196" s="87"/>
      <c r="G196" s="88"/>
      <c r="H196" s="88"/>
      <c r="I196" s="88"/>
      <c r="J196" s="88"/>
      <c r="K196" s="88"/>
      <c r="L196" s="88"/>
      <c r="M196" s="88"/>
      <c r="N196" s="88"/>
      <c r="O196" s="89" t="s">
        <v>614</v>
      </c>
      <c r="P196" s="90"/>
      <c r="Q196" s="91" t="s">
        <v>615</v>
      </c>
      <c r="R196" s="92"/>
      <c r="S196" s="93"/>
      <c r="T196" s="94"/>
      <c r="U196" s="95" t="n">
        <f aca="false">SUM(U197:U197)</f>
        <v>18953.72</v>
      </c>
      <c r="V196" s="96"/>
      <c r="W196" s="95"/>
      <c r="X196" s="96"/>
      <c r="Y196" s="95"/>
      <c r="Z196" s="93"/>
      <c r="AA196" s="95"/>
    </row>
    <row r="197" customFormat="false" ht="26.1" hidden="false" customHeight="true" outlineLevel="0" collapsed="false">
      <c r="A197" s="97" t="n">
        <v>3</v>
      </c>
      <c r="B197" s="98" t="s">
        <v>611</v>
      </c>
      <c r="C197" s="99" t="s">
        <v>612</v>
      </c>
      <c r="D197" s="100" t="str">
        <f aca="false">B197&amp;"_"&amp;E197</f>
        <v>3.1_1.4.1</v>
      </c>
      <c r="E197" s="101" t="s">
        <v>616</v>
      </c>
      <c r="F197" s="102" t="s">
        <v>617</v>
      </c>
      <c r="G197" s="103" t="s">
        <v>46</v>
      </c>
      <c r="H197" s="103" t="s">
        <v>46</v>
      </c>
      <c r="I197" s="103" t="s">
        <v>618</v>
      </c>
      <c r="J197" s="103" t="s">
        <v>46</v>
      </c>
      <c r="K197" s="103" t="n">
        <v>600</v>
      </c>
      <c r="L197" s="103" t="s">
        <v>619</v>
      </c>
      <c r="M197" s="103" t="s">
        <v>620</v>
      </c>
      <c r="N197" s="103" t="s">
        <v>619</v>
      </c>
      <c r="O197" s="104" t="s">
        <v>621</v>
      </c>
      <c r="P197" s="105" t="s">
        <v>27</v>
      </c>
      <c r="Q197" s="106" t="s">
        <v>622</v>
      </c>
      <c r="R197" s="107" t="s">
        <v>71</v>
      </c>
      <c r="S197" s="108" t="n">
        <v>146</v>
      </c>
      <c r="T197" s="109" t="n">
        <v>129.82</v>
      </c>
      <c r="U197" s="110" t="n">
        <f aca="false">ROUND(T197*$S197,2)</f>
        <v>18953.72</v>
      </c>
      <c r="V197" s="111"/>
      <c r="W197" s="110"/>
      <c r="X197" s="111"/>
      <c r="Y197" s="110"/>
      <c r="Z197" s="108"/>
      <c r="AA197" s="110"/>
    </row>
    <row r="198" customFormat="false" ht="20.1" hidden="false" customHeight="true" outlineLevel="0" collapsed="false">
      <c r="A198" s="82" t="n">
        <v>3</v>
      </c>
      <c r="B198" s="83"/>
      <c r="C198" s="84"/>
      <c r="D198" s="85"/>
      <c r="E198" s="86" t="s">
        <v>623</v>
      </c>
      <c r="F198" s="87"/>
      <c r="G198" s="88"/>
      <c r="H198" s="88"/>
      <c r="I198" s="88"/>
      <c r="J198" s="88"/>
      <c r="K198" s="88"/>
      <c r="L198" s="88"/>
      <c r="M198" s="88"/>
      <c r="N198" s="88"/>
      <c r="O198" s="89" t="s">
        <v>624</v>
      </c>
      <c r="P198" s="90"/>
      <c r="Q198" s="91" t="s">
        <v>625</v>
      </c>
      <c r="R198" s="92"/>
      <c r="S198" s="93"/>
      <c r="T198" s="94"/>
      <c r="U198" s="95" t="n">
        <f aca="false">SUM(U199:U199)</f>
        <v>102130</v>
      </c>
      <c r="V198" s="96"/>
      <c r="W198" s="95"/>
      <c r="X198" s="96"/>
      <c r="Y198" s="95"/>
      <c r="Z198" s="93"/>
      <c r="AA198" s="95"/>
    </row>
    <row r="199" customFormat="false" ht="26.1" hidden="false" customHeight="true" outlineLevel="0" collapsed="false">
      <c r="A199" s="97" t="n">
        <v>3</v>
      </c>
      <c r="B199" s="98" t="s">
        <v>611</v>
      </c>
      <c r="C199" s="99" t="s">
        <v>612</v>
      </c>
      <c r="D199" s="100" t="str">
        <f aca="false">B199&amp;"_"&amp;E199</f>
        <v>3.1_1.16.1</v>
      </c>
      <c r="E199" s="101" t="s">
        <v>626</v>
      </c>
      <c r="F199" s="102" t="s">
        <v>627</v>
      </c>
      <c r="G199" s="103" t="s">
        <v>46</v>
      </c>
      <c r="H199" s="103" t="s">
        <v>46</v>
      </c>
      <c r="I199" s="103" t="s">
        <v>628</v>
      </c>
      <c r="J199" s="103" t="s">
        <v>46</v>
      </c>
      <c r="K199" s="103" t="s">
        <v>629</v>
      </c>
      <c r="L199" s="103" t="s">
        <v>630</v>
      </c>
      <c r="M199" s="103" t="s">
        <v>620</v>
      </c>
      <c r="N199" s="103" t="s">
        <v>48</v>
      </c>
      <c r="O199" s="104" t="s">
        <v>631</v>
      </c>
      <c r="P199" s="105" t="s">
        <v>27</v>
      </c>
      <c r="Q199" s="106" t="s">
        <v>632</v>
      </c>
      <c r="R199" s="107" t="s">
        <v>120</v>
      </c>
      <c r="S199" s="108" t="n">
        <v>145.9</v>
      </c>
      <c r="T199" s="109" t="n">
        <v>700</v>
      </c>
      <c r="U199" s="110" t="n">
        <f aca="false">ROUND(T199*$S199,2)</f>
        <v>102130</v>
      </c>
      <c r="V199" s="111"/>
      <c r="W199" s="110"/>
      <c r="X199" s="111"/>
      <c r="Y199" s="110"/>
      <c r="Z199" s="108"/>
      <c r="AA199" s="110"/>
    </row>
    <row r="200" customFormat="false" ht="20.1" hidden="false" customHeight="true" outlineLevel="0" collapsed="false">
      <c r="A200" s="82" t="n">
        <v>3</v>
      </c>
      <c r="B200" s="83"/>
      <c r="C200" s="84"/>
      <c r="D200" s="85"/>
      <c r="E200" s="86" t="s">
        <v>121</v>
      </c>
      <c r="F200" s="87"/>
      <c r="G200" s="88"/>
      <c r="H200" s="88"/>
      <c r="I200" s="88"/>
      <c r="J200" s="88"/>
      <c r="K200" s="88"/>
      <c r="L200" s="88"/>
      <c r="M200" s="88"/>
      <c r="N200" s="88"/>
      <c r="O200" s="89" t="s">
        <v>122</v>
      </c>
      <c r="P200" s="90"/>
      <c r="Q200" s="91" t="s">
        <v>123</v>
      </c>
      <c r="R200" s="92"/>
      <c r="S200" s="93"/>
      <c r="T200" s="94"/>
      <c r="U200" s="95" t="n">
        <f aca="false">SUM(U201:U202)</f>
        <v>168390.59</v>
      </c>
      <c r="V200" s="96"/>
      <c r="W200" s="95"/>
      <c r="X200" s="96"/>
      <c r="Y200" s="95"/>
      <c r="Z200" s="93"/>
      <c r="AA200" s="95"/>
    </row>
    <row r="201" customFormat="false" ht="26.1" hidden="false" customHeight="true" outlineLevel="0" collapsed="false">
      <c r="A201" s="97" t="n">
        <v>3</v>
      </c>
      <c r="B201" s="98" t="s">
        <v>611</v>
      </c>
      <c r="C201" s="99" t="s">
        <v>612</v>
      </c>
      <c r="D201" s="100" t="str">
        <f aca="false">B201&amp;"_"&amp;E201</f>
        <v>3.1_1.18.2</v>
      </c>
      <c r="E201" s="101" t="s">
        <v>633</v>
      </c>
      <c r="F201" s="102" t="s">
        <v>634</v>
      </c>
      <c r="G201" s="103" t="s">
        <v>46</v>
      </c>
      <c r="H201" s="103" t="s">
        <v>46</v>
      </c>
      <c r="I201" s="103" t="s">
        <v>619</v>
      </c>
      <c r="J201" s="103" t="s">
        <v>46</v>
      </c>
      <c r="K201" s="103" t="s">
        <v>46</v>
      </c>
      <c r="L201" s="103" t="s">
        <v>619</v>
      </c>
      <c r="M201" s="103" t="s">
        <v>620</v>
      </c>
      <c r="N201" s="103" t="s">
        <v>619</v>
      </c>
      <c r="O201" s="104" t="s">
        <v>635</v>
      </c>
      <c r="P201" s="105" t="s">
        <v>27</v>
      </c>
      <c r="Q201" s="106" t="s">
        <v>636</v>
      </c>
      <c r="R201" s="107" t="s">
        <v>157</v>
      </c>
      <c r="S201" s="108" t="n">
        <v>45.4</v>
      </c>
      <c r="T201" s="109" t="n">
        <v>528.86</v>
      </c>
      <c r="U201" s="110" t="n">
        <f aca="false">ROUND(T201*$S201,2)</f>
        <v>24010.24</v>
      </c>
      <c r="V201" s="111"/>
      <c r="W201" s="110"/>
      <c r="X201" s="111"/>
      <c r="Y201" s="110"/>
      <c r="Z201" s="108"/>
      <c r="AA201" s="110"/>
    </row>
    <row r="202" customFormat="false" ht="26.1" hidden="false" customHeight="true" outlineLevel="0" collapsed="false">
      <c r="A202" s="97" t="n">
        <v>3</v>
      </c>
      <c r="B202" s="98" t="s">
        <v>611</v>
      </c>
      <c r="C202" s="99" t="s">
        <v>612</v>
      </c>
      <c r="D202" s="100" t="str">
        <f aca="false">B202&amp;"_"&amp;E202</f>
        <v>3.1_1.18.3</v>
      </c>
      <c r="E202" s="101" t="s">
        <v>637</v>
      </c>
      <c r="F202" s="102" t="s">
        <v>638</v>
      </c>
      <c r="G202" s="103" t="s">
        <v>46</v>
      </c>
      <c r="H202" s="103" t="s">
        <v>46</v>
      </c>
      <c r="I202" s="103" t="s">
        <v>619</v>
      </c>
      <c r="J202" s="103" t="s">
        <v>46</v>
      </c>
      <c r="K202" s="103" t="s">
        <v>46</v>
      </c>
      <c r="L202" s="103" t="s">
        <v>619</v>
      </c>
      <c r="M202" s="103" t="s">
        <v>620</v>
      </c>
      <c r="N202" s="103" t="s">
        <v>619</v>
      </c>
      <c r="O202" s="104" t="s">
        <v>639</v>
      </c>
      <c r="P202" s="105" t="s">
        <v>27</v>
      </c>
      <c r="Q202" s="106" t="s">
        <v>640</v>
      </c>
      <c r="R202" s="107" t="s">
        <v>157</v>
      </c>
      <c r="S202" s="108" t="n">
        <v>280.1</v>
      </c>
      <c r="T202" s="109" t="n">
        <v>515.46</v>
      </c>
      <c r="U202" s="110" t="n">
        <f aca="false">ROUND(T202*$S202,2)</f>
        <v>144380.35</v>
      </c>
      <c r="V202" s="111"/>
      <c r="W202" s="110"/>
      <c r="X202" s="111"/>
      <c r="Y202" s="110"/>
      <c r="Z202" s="108"/>
      <c r="AA202" s="110"/>
    </row>
    <row r="203" customFormat="false" ht="20.1" hidden="false" customHeight="true" outlineLevel="0" collapsed="false">
      <c r="A203" s="67" t="n">
        <v>3</v>
      </c>
      <c r="B203" s="68"/>
      <c r="C203" s="69"/>
      <c r="D203" s="70"/>
      <c r="E203" s="71" t="s">
        <v>641</v>
      </c>
      <c r="F203" s="72"/>
      <c r="G203" s="73"/>
      <c r="H203" s="73"/>
      <c r="I203" s="73"/>
      <c r="J203" s="73"/>
      <c r="K203" s="73"/>
      <c r="L203" s="73"/>
      <c r="M203" s="73"/>
      <c r="N203" s="73"/>
      <c r="O203" s="74" t="s">
        <v>642</v>
      </c>
      <c r="P203" s="75"/>
      <c r="Q203" s="76" t="s">
        <v>643</v>
      </c>
      <c r="R203" s="77"/>
      <c r="S203" s="78"/>
      <c r="T203" s="79"/>
      <c r="U203" s="80" t="n">
        <f aca="false">SUM(U204)</f>
        <v>15752.32</v>
      </c>
      <c r="V203" s="81"/>
      <c r="W203" s="80"/>
      <c r="X203" s="81"/>
      <c r="Y203" s="80"/>
      <c r="Z203" s="78"/>
      <c r="AA203" s="80"/>
    </row>
    <row r="204" customFormat="false" ht="20.1" hidden="false" customHeight="true" outlineLevel="0" collapsed="false">
      <c r="A204" s="82" t="n">
        <v>3</v>
      </c>
      <c r="B204" s="83"/>
      <c r="C204" s="84"/>
      <c r="D204" s="85"/>
      <c r="E204" s="86" t="s">
        <v>316</v>
      </c>
      <c r="F204" s="87"/>
      <c r="G204" s="88"/>
      <c r="H204" s="88"/>
      <c r="I204" s="88"/>
      <c r="J204" s="88"/>
      <c r="K204" s="88"/>
      <c r="L204" s="88"/>
      <c r="M204" s="88"/>
      <c r="N204" s="88"/>
      <c r="O204" s="89" t="s">
        <v>334</v>
      </c>
      <c r="P204" s="90"/>
      <c r="Q204" s="91" t="s">
        <v>335</v>
      </c>
      <c r="R204" s="92"/>
      <c r="S204" s="93"/>
      <c r="T204" s="94"/>
      <c r="U204" s="95" t="n">
        <f aca="false">SUM(U205:U205)</f>
        <v>15752.32</v>
      </c>
      <c r="V204" s="96"/>
      <c r="W204" s="95"/>
      <c r="X204" s="96"/>
      <c r="Y204" s="95"/>
      <c r="Z204" s="93"/>
      <c r="AA204" s="95"/>
    </row>
    <row r="205" customFormat="false" ht="26.1" hidden="false" customHeight="true" outlineLevel="0" collapsed="false">
      <c r="A205" s="97" t="n">
        <v>3</v>
      </c>
      <c r="B205" s="98" t="s">
        <v>611</v>
      </c>
      <c r="C205" s="99" t="s">
        <v>612</v>
      </c>
      <c r="D205" s="100" t="str">
        <f aca="false">B205&amp;"_"&amp;E205</f>
        <v>3.1_2.1.1</v>
      </c>
      <c r="E205" s="101" t="s">
        <v>644</v>
      </c>
      <c r="F205" s="102" t="s">
        <v>645</v>
      </c>
      <c r="G205" s="103" t="s">
        <v>46</v>
      </c>
      <c r="H205" s="103" t="s">
        <v>46</v>
      </c>
      <c r="I205" s="103" t="s">
        <v>46</v>
      </c>
      <c r="J205" s="103" t="s">
        <v>46</v>
      </c>
      <c r="K205" s="103" t="s">
        <v>46</v>
      </c>
      <c r="L205" s="103" t="s">
        <v>46</v>
      </c>
      <c r="M205" s="103" t="s">
        <v>620</v>
      </c>
      <c r="N205" s="103" t="s">
        <v>619</v>
      </c>
      <c r="O205" s="104" t="s">
        <v>646</v>
      </c>
      <c r="P205" s="105" t="s">
        <v>27</v>
      </c>
      <c r="Q205" s="106" t="s">
        <v>647</v>
      </c>
      <c r="R205" s="107" t="s">
        <v>157</v>
      </c>
      <c r="S205" s="108" t="n">
        <v>326</v>
      </c>
      <c r="T205" s="109" t="n">
        <v>48.32</v>
      </c>
      <c r="U205" s="110" t="n">
        <f aca="false">ROUND(T205*$S205,2)</f>
        <v>15752.32</v>
      </c>
      <c r="V205" s="111"/>
      <c r="W205" s="110"/>
      <c r="X205" s="111"/>
      <c r="Y205" s="110"/>
      <c r="Z205" s="108"/>
      <c r="AA205" s="110"/>
    </row>
    <row r="206" customFormat="false" ht="20.1" hidden="false" customHeight="true" outlineLevel="0" collapsed="false">
      <c r="A206" s="67" t="n">
        <v>3</v>
      </c>
      <c r="B206" s="68"/>
      <c r="C206" s="69"/>
      <c r="D206" s="70"/>
      <c r="E206" s="71" t="s">
        <v>136</v>
      </c>
      <c r="F206" s="72"/>
      <c r="G206" s="73"/>
      <c r="H206" s="73"/>
      <c r="I206" s="73"/>
      <c r="J206" s="73"/>
      <c r="K206" s="73"/>
      <c r="L206" s="73"/>
      <c r="M206" s="73"/>
      <c r="N206" s="73"/>
      <c r="O206" s="74" t="s">
        <v>137</v>
      </c>
      <c r="P206" s="75"/>
      <c r="Q206" s="76" t="s">
        <v>138</v>
      </c>
      <c r="R206" s="77"/>
      <c r="S206" s="78"/>
      <c r="T206" s="79"/>
      <c r="U206" s="80" t="n">
        <f aca="false">SUM(U207,U209,U211,U226,U231,U233,U247,U277,U279,U282)</f>
        <v>1169456.85</v>
      </c>
      <c r="V206" s="81"/>
      <c r="W206" s="80"/>
      <c r="X206" s="81"/>
      <c r="Y206" s="80"/>
      <c r="Z206" s="78"/>
      <c r="AA206" s="80"/>
    </row>
    <row r="207" customFormat="false" ht="20.1" hidden="false" customHeight="true" outlineLevel="0" collapsed="false">
      <c r="A207" s="82" t="n">
        <v>3</v>
      </c>
      <c r="B207" s="83"/>
      <c r="C207" s="84"/>
      <c r="D207" s="85"/>
      <c r="E207" s="86" t="s">
        <v>333</v>
      </c>
      <c r="F207" s="87"/>
      <c r="G207" s="88"/>
      <c r="H207" s="88"/>
      <c r="I207" s="88"/>
      <c r="J207" s="88"/>
      <c r="K207" s="88"/>
      <c r="L207" s="88"/>
      <c r="M207" s="88"/>
      <c r="N207" s="88"/>
      <c r="O207" s="89" t="s">
        <v>334</v>
      </c>
      <c r="P207" s="90"/>
      <c r="Q207" s="91" t="s">
        <v>335</v>
      </c>
      <c r="R207" s="92"/>
      <c r="S207" s="93"/>
      <c r="T207" s="94"/>
      <c r="U207" s="95" t="n">
        <f aca="false">SUM(U208:U208)</f>
        <v>25365.92</v>
      </c>
      <c r="V207" s="96"/>
      <c r="W207" s="95"/>
      <c r="X207" s="96"/>
      <c r="Y207" s="95"/>
      <c r="Z207" s="93"/>
      <c r="AA207" s="95"/>
    </row>
    <row r="208" customFormat="false" ht="26.1" hidden="false" customHeight="true" outlineLevel="0" collapsed="false">
      <c r="A208" s="97" t="n">
        <v>3</v>
      </c>
      <c r="B208" s="98" t="s">
        <v>648</v>
      </c>
      <c r="C208" s="99" t="s">
        <v>649</v>
      </c>
      <c r="D208" s="100" t="str">
        <f aca="false">B208&amp;"_"&amp;E208</f>
        <v>3.2_5.2.6</v>
      </c>
      <c r="E208" s="101" t="s">
        <v>650</v>
      </c>
      <c r="F208" s="102"/>
      <c r="G208" s="103"/>
      <c r="H208" s="103"/>
      <c r="I208" s="103"/>
      <c r="J208" s="103"/>
      <c r="K208" s="103"/>
      <c r="L208" s="103"/>
      <c r="M208" s="103"/>
      <c r="N208" s="103"/>
      <c r="O208" s="104" t="s">
        <v>651</v>
      </c>
      <c r="P208" s="105" t="s">
        <v>145</v>
      </c>
      <c r="Q208" s="106" t="s">
        <v>652</v>
      </c>
      <c r="R208" s="107" t="s">
        <v>120</v>
      </c>
      <c r="S208" s="108" t="n">
        <v>379.9</v>
      </c>
      <c r="T208" s="109" t="n">
        <v>66.77</v>
      </c>
      <c r="U208" s="110" t="n">
        <f aca="false">ROUND(T208*$S208,2)</f>
        <v>25365.92</v>
      </c>
      <c r="V208" s="111"/>
      <c r="W208" s="110"/>
      <c r="X208" s="111"/>
      <c r="Y208" s="110"/>
      <c r="Z208" s="108"/>
      <c r="AA208" s="110"/>
    </row>
    <row r="209" customFormat="false" ht="20.1" hidden="false" customHeight="true" outlineLevel="0" collapsed="false">
      <c r="A209" s="82" t="n">
        <v>3</v>
      </c>
      <c r="B209" s="83"/>
      <c r="C209" s="84"/>
      <c r="D209" s="85"/>
      <c r="E209" s="86" t="s">
        <v>356</v>
      </c>
      <c r="F209" s="87"/>
      <c r="G209" s="88"/>
      <c r="H209" s="88"/>
      <c r="I209" s="88"/>
      <c r="J209" s="88"/>
      <c r="K209" s="88"/>
      <c r="L209" s="88"/>
      <c r="M209" s="88"/>
      <c r="N209" s="88"/>
      <c r="O209" s="89" t="s">
        <v>357</v>
      </c>
      <c r="P209" s="90"/>
      <c r="Q209" s="91" t="s">
        <v>358</v>
      </c>
      <c r="R209" s="92"/>
      <c r="S209" s="93"/>
      <c r="T209" s="94"/>
      <c r="U209" s="95" t="n">
        <f aca="false">SUM(U210:U210)</f>
        <v>20711.86</v>
      </c>
      <c r="V209" s="96"/>
      <c r="W209" s="95"/>
      <c r="X209" s="96"/>
      <c r="Y209" s="95"/>
      <c r="Z209" s="93"/>
      <c r="AA209" s="95"/>
    </row>
    <row r="210" customFormat="false" ht="26.1" hidden="false" customHeight="true" outlineLevel="0" collapsed="false">
      <c r="A210" s="97" t="n">
        <v>3</v>
      </c>
      <c r="B210" s="98" t="s">
        <v>648</v>
      </c>
      <c r="C210" s="99" t="s">
        <v>649</v>
      </c>
      <c r="D210" s="100" t="str">
        <f aca="false">B210&amp;"_"&amp;E210</f>
        <v>3.2_5.3.2</v>
      </c>
      <c r="E210" s="101" t="s">
        <v>362</v>
      </c>
      <c r="F210" s="102"/>
      <c r="G210" s="103"/>
      <c r="H210" s="103"/>
      <c r="I210" s="103"/>
      <c r="J210" s="103"/>
      <c r="K210" s="103"/>
      <c r="L210" s="103"/>
      <c r="M210" s="103"/>
      <c r="N210" s="103"/>
      <c r="O210" s="104" t="s">
        <v>363</v>
      </c>
      <c r="P210" s="105" t="s">
        <v>145</v>
      </c>
      <c r="Q210" s="106" t="s">
        <v>364</v>
      </c>
      <c r="R210" s="107" t="s">
        <v>150</v>
      </c>
      <c r="S210" s="108" t="n">
        <v>670.07</v>
      </c>
      <c r="T210" s="109" t="n">
        <v>30.91</v>
      </c>
      <c r="U210" s="110" t="n">
        <f aca="false">ROUND(T210*$S210,2)</f>
        <v>20711.86</v>
      </c>
      <c r="V210" s="111"/>
      <c r="W210" s="110"/>
      <c r="X210" s="111"/>
      <c r="Y210" s="110"/>
      <c r="Z210" s="108"/>
      <c r="AA210" s="110"/>
    </row>
    <row r="211" customFormat="false" ht="20.1" hidden="false" customHeight="true" outlineLevel="0" collapsed="false">
      <c r="A211" s="82" t="n">
        <v>3</v>
      </c>
      <c r="B211" s="83"/>
      <c r="C211" s="84"/>
      <c r="D211" s="85"/>
      <c r="E211" s="86" t="s">
        <v>151</v>
      </c>
      <c r="F211" s="87"/>
      <c r="G211" s="88"/>
      <c r="H211" s="88"/>
      <c r="I211" s="88"/>
      <c r="J211" s="88"/>
      <c r="K211" s="88"/>
      <c r="L211" s="88"/>
      <c r="M211" s="88"/>
      <c r="N211" s="88"/>
      <c r="O211" s="89" t="s">
        <v>152</v>
      </c>
      <c r="P211" s="90"/>
      <c r="Q211" s="91" t="s">
        <v>153</v>
      </c>
      <c r="R211" s="92"/>
      <c r="S211" s="93"/>
      <c r="T211" s="94"/>
      <c r="U211" s="95" t="n">
        <f aca="false">SUM(U212:U225)</f>
        <v>156554.24</v>
      </c>
      <c r="V211" s="96"/>
      <c r="W211" s="95"/>
      <c r="X211" s="96"/>
      <c r="Y211" s="95"/>
      <c r="Z211" s="93"/>
      <c r="AA211" s="95"/>
    </row>
    <row r="212" customFormat="false" ht="26.1" hidden="false" customHeight="true" outlineLevel="0" collapsed="false">
      <c r="A212" s="97" t="n">
        <v>3</v>
      </c>
      <c r="B212" s="98" t="s">
        <v>648</v>
      </c>
      <c r="C212" s="99" t="s">
        <v>649</v>
      </c>
      <c r="D212" s="100" t="str">
        <f aca="false">B212&amp;"_"&amp;E212</f>
        <v>3.2_5.4.7</v>
      </c>
      <c r="E212" s="101" t="s">
        <v>377</v>
      </c>
      <c r="F212" s="102"/>
      <c r="G212" s="103"/>
      <c r="H212" s="103"/>
      <c r="I212" s="103"/>
      <c r="J212" s="103"/>
      <c r="K212" s="103"/>
      <c r="L212" s="103"/>
      <c r="M212" s="103"/>
      <c r="N212" s="103"/>
      <c r="O212" s="104" t="s">
        <v>378</v>
      </c>
      <c r="P212" s="105" t="s">
        <v>145</v>
      </c>
      <c r="Q212" s="106" t="s">
        <v>379</v>
      </c>
      <c r="R212" s="107" t="s">
        <v>157</v>
      </c>
      <c r="S212" s="108" t="n">
        <v>961.82</v>
      </c>
      <c r="T212" s="109" t="n">
        <v>6.79</v>
      </c>
      <c r="U212" s="110" t="n">
        <f aca="false">ROUND(T212*$S212,2)</f>
        <v>6530.76</v>
      </c>
      <c r="V212" s="111"/>
      <c r="W212" s="110"/>
      <c r="X212" s="111"/>
      <c r="Y212" s="110"/>
      <c r="Z212" s="108"/>
      <c r="AA212" s="110"/>
    </row>
    <row r="213" customFormat="false" ht="26.1" hidden="false" customHeight="true" outlineLevel="0" collapsed="false">
      <c r="A213" s="97" t="n">
        <v>3</v>
      </c>
      <c r="B213" s="98" t="s">
        <v>648</v>
      </c>
      <c r="C213" s="99" t="s">
        <v>649</v>
      </c>
      <c r="D213" s="100" t="str">
        <f aca="false">B213&amp;"_"&amp;E213</f>
        <v>3.2_5.4.8</v>
      </c>
      <c r="E213" s="101" t="s">
        <v>380</v>
      </c>
      <c r="F213" s="102"/>
      <c r="G213" s="103"/>
      <c r="H213" s="103"/>
      <c r="I213" s="103"/>
      <c r="J213" s="103"/>
      <c r="K213" s="103"/>
      <c r="L213" s="103"/>
      <c r="M213" s="103"/>
      <c r="N213" s="103"/>
      <c r="O213" s="104" t="s">
        <v>381</v>
      </c>
      <c r="P213" s="105" t="s">
        <v>145</v>
      </c>
      <c r="Q213" s="106" t="s">
        <v>382</v>
      </c>
      <c r="R213" s="107" t="s">
        <v>157</v>
      </c>
      <c r="S213" s="108" t="n">
        <v>28.43</v>
      </c>
      <c r="T213" s="109" t="n">
        <v>161.05</v>
      </c>
      <c r="U213" s="110" t="n">
        <f aca="false">ROUND(T213*$S213,2)</f>
        <v>4578.65</v>
      </c>
      <c r="V213" s="111"/>
      <c r="W213" s="110"/>
      <c r="X213" s="111"/>
      <c r="Y213" s="110"/>
      <c r="Z213" s="108"/>
      <c r="AA213" s="110"/>
    </row>
    <row r="214" customFormat="false" ht="26.1" hidden="false" customHeight="true" outlineLevel="0" collapsed="false">
      <c r="A214" s="97" t="n">
        <v>3</v>
      </c>
      <c r="B214" s="98" t="s">
        <v>648</v>
      </c>
      <c r="C214" s="99" t="s">
        <v>649</v>
      </c>
      <c r="D214" s="100" t="str">
        <f aca="false">B214&amp;"_"&amp;E214</f>
        <v>3.2_5.4.9</v>
      </c>
      <c r="E214" s="101" t="s">
        <v>383</v>
      </c>
      <c r="F214" s="102"/>
      <c r="G214" s="103"/>
      <c r="H214" s="103"/>
      <c r="I214" s="103"/>
      <c r="J214" s="103"/>
      <c r="K214" s="103"/>
      <c r="L214" s="103"/>
      <c r="M214" s="103"/>
      <c r="N214" s="103"/>
      <c r="O214" s="104" t="s">
        <v>384</v>
      </c>
      <c r="P214" s="105" t="s">
        <v>145</v>
      </c>
      <c r="Q214" s="106" t="s">
        <v>385</v>
      </c>
      <c r="R214" s="107" t="s">
        <v>157</v>
      </c>
      <c r="S214" s="108" t="n">
        <v>0.66</v>
      </c>
      <c r="T214" s="109" t="n">
        <v>89.06</v>
      </c>
      <c r="U214" s="110" t="n">
        <f aca="false">ROUND(T214*$S214,2)</f>
        <v>58.78</v>
      </c>
      <c r="V214" s="111"/>
      <c r="W214" s="110"/>
      <c r="X214" s="111"/>
      <c r="Y214" s="110"/>
      <c r="Z214" s="108"/>
      <c r="AA214" s="110"/>
    </row>
    <row r="215" customFormat="false" ht="26.1" hidden="false" customHeight="true" outlineLevel="0" collapsed="false">
      <c r="A215" s="97" t="n">
        <v>3</v>
      </c>
      <c r="B215" s="98" t="s">
        <v>648</v>
      </c>
      <c r="C215" s="99" t="s">
        <v>649</v>
      </c>
      <c r="D215" s="100" t="str">
        <f aca="false">B215&amp;"_"&amp;E215</f>
        <v>3.2_5.4.10</v>
      </c>
      <c r="E215" s="101" t="s">
        <v>386</v>
      </c>
      <c r="F215" s="102"/>
      <c r="G215" s="103"/>
      <c r="H215" s="103"/>
      <c r="I215" s="103"/>
      <c r="J215" s="103"/>
      <c r="K215" s="103"/>
      <c r="L215" s="103"/>
      <c r="M215" s="103"/>
      <c r="N215" s="103"/>
      <c r="O215" s="104" t="s">
        <v>387</v>
      </c>
      <c r="P215" s="105" t="s">
        <v>145</v>
      </c>
      <c r="Q215" s="106" t="s">
        <v>388</v>
      </c>
      <c r="R215" s="107" t="s">
        <v>157</v>
      </c>
      <c r="S215" s="108" t="n">
        <v>14.7</v>
      </c>
      <c r="T215" s="109" t="n">
        <v>118.75</v>
      </c>
      <c r="U215" s="110" t="n">
        <f aca="false">ROUND(T215*$S215,2)</f>
        <v>1745.63</v>
      </c>
      <c r="V215" s="111"/>
      <c r="W215" s="110"/>
      <c r="X215" s="111"/>
      <c r="Y215" s="110"/>
      <c r="Z215" s="108"/>
      <c r="AA215" s="110"/>
    </row>
    <row r="216" customFormat="false" ht="26.1" hidden="false" customHeight="true" outlineLevel="0" collapsed="false">
      <c r="A216" s="97" t="n">
        <v>3</v>
      </c>
      <c r="B216" s="98" t="s">
        <v>648</v>
      </c>
      <c r="C216" s="99" t="s">
        <v>649</v>
      </c>
      <c r="D216" s="100" t="str">
        <f aca="false">B216&amp;"_"&amp;E216</f>
        <v>3.2_5.4.11</v>
      </c>
      <c r="E216" s="101" t="s">
        <v>389</v>
      </c>
      <c r="F216" s="102"/>
      <c r="G216" s="103"/>
      <c r="H216" s="103"/>
      <c r="I216" s="103"/>
      <c r="J216" s="103"/>
      <c r="K216" s="103"/>
      <c r="L216" s="103"/>
      <c r="M216" s="103"/>
      <c r="N216" s="103"/>
      <c r="O216" s="104" t="s">
        <v>390</v>
      </c>
      <c r="P216" s="105" t="s">
        <v>145</v>
      </c>
      <c r="Q216" s="106" t="s">
        <v>391</v>
      </c>
      <c r="R216" s="107" t="s">
        <v>157</v>
      </c>
      <c r="S216" s="108" t="n">
        <v>86.31</v>
      </c>
      <c r="T216" s="109" t="n">
        <v>6.08</v>
      </c>
      <c r="U216" s="110" t="n">
        <f aca="false">ROUND(T216*$S216,2)</f>
        <v>524.76</v>
      </c>
      <c r="V216" s="111"/>
      <c r="W216" s="110"/>
      <c r="X216" s="111"/>
      <c r="Y216" s="110"/>
      <c r="Z216" s="108"/>
      <c r="AA216" s="110"/>
    </row>
    <row r="217" customFormat="false" ht="26.1" hidden="false" customHeight="true" outlineLevel="0" collapsed="false">
      <c r="A217" s="97" t="n">
        <v>3</v>
      </c>
      <c r="B217" s="98" t="s">
        <v>648</v>
      </c>
      <c r="C217" s="99" t="s">
        <v>649</v>
      </c>
      <c r="D217" s="100" t="str">
        <f aca="false">B217&amp;"_"&amp;E217</f>
        <v>3.2_5.4.12</v>
      </c>
      <c r="E217" s="101" t="s">
        <v>392</v>
      </c>
      <c r="F217" s="102"/>
      <c r="G217" s="103"/>
      <c r="H217" s="103"/>
      <c r="I217" s="103"/>
      <c r="J217" s="103"/>
      <c r="K217" s="103"/>
      <c r="L217" s="103"/>
      <c r="M217" s="103"/>
      <c r="N217" s="103"/>
      <c r="O217" s="104" t="s">
        <v>393</v>
      </c>
      <c r="P217" s="105" t="s">
        <v>145</v>
      </c>
      <c r="Q217" s="106" t="s">
        <v>394</v>
      </c>
      <c r="R217" s="107" t="s">
        <v>157</v>
      </c>
      <c r="S217" s="108" t="n">
        <v>16.39</v>
      </c>
      <c r="T217" s="109" t="n">
        <v>7.59</v>
      </c>
      <c r="U217" s="110" t="n">
        <f aca="false">ROUND(T217*$S217,2)</f>
        <v>124.4</v>
      </c>
      <c r="V217" s="111"/>
      <c r="W217" s="110"/>
      <c r="X217" s="111"/>
      <c r="Y217" s="110"/>
      <c r="Z217" s="108"/>
      <c r="AA217" s="110"/>
    </row>
    <row r="218" customFormat="false" ht="26.1" hidden="false" customHeight="true" outlineLevel="0" collapsed="false">
      <c r="A218" s="97" t="n">
        <v>3</v>
      </c>
      <c r="B218" s="98" t="s">
        <v>648</v>
      </c>
      <c r="C218" s="99" t="s">
        <v>649</v>
      </c>
      <c r="D218" s="100" t="str">
        <f aca="false">B218&amp;"_"&amp;E218</f>
        <v>3.2_5.4.13</v>
      </c>
      <c r="E218" s="101" t="s">
        <v>395</v>
      </c>
      <c r="F218" s="102"/>
      <c r="G218" s="103"/>
      <c r="H218" s="103"/>
      <c r="I218" s="103"/>
      <c r="J218" s="103"/>
      <c r="K218" s="103"/>
      <c r="L218" s="103"/>
      <c r="M218" s="103"/>
      <c r="N218" s="103"/>
      <c r="O218" s="104" t="s">
        <v>396</v>
      </c>
      <c r="P218" s="105" t="s">
        <v>145</v>
      </c>
      <c r="Q218" s="106" t="s">
        <v>397</v>
      </c>
      <c r="R218" s="107" t="s">
        <v>157</v>
      </c>
      <c r="S218" s="108" t="n">
        <v>6.56</v>
      </c>
      <c r="T218" s="109" t="n">
        <v>7.94</v>
      </c>
      <c r="U218" s="110" t="n">
        <f aca="false">ROUND(T218*$S218,2)</f>
        <v>52.09</v>
      </c>
      <c r="V218" s="111"/>
      <c r="W218" s="110"/>
      <c r="X218" s="111"/>
      <c r="Y218" s="110"/>
      <c r="Z218" s="108"/>
      <c r="AA218" s="110"/>
    </row>
    <row r="219" customFormat="false" ht="26.1" hidden="false" customHeight="true" outlineLevel="0" collapsed="false">
      <c r="A219" s="97" t="n">
        <v>3</v>
      </c>
      <c r="B219" s="98" t="s">
        <v>648</v>
      </c>
      <c r="C219" s="99" t="s">
        <v>649</v>
      </c>
      <c r="D219" s="100" t="str">
        <f aca="false">B219&amp;"_"&amp;E219</f>
        <v>3.2_5.4.14</v>
      </c>
      <c r="E219" s="101" t="s">
        <v>398</v>
      </c>
      <c r="F219" s="102"/>
      <c r="G219" s="103"/>
      <c r="H219" s="103"/>
      <c r="I219" s="103"/>
      <c r="J219" s="103"/>
      <c r="K219" s="103"/>
      <c r="L219" s="103"/>
      <c r="M219" s="103"/>
      <c r="N219" s="103"/>
      <c r="O219" s="104" t="s">
        <v>399</v>
      </c>
      <c r="P219" s="105" t="s">
        <v>145</v>
      </c>
      <c r="Q219" s="106" t="s">
        <v>400</v>
      </c>
      <c r="R219" s="107" t="s">
        <v>157</v>
      </c>
      <c r="S219" s="108" t="n">
        <v>146.99</v>
      </c>
      <c r="T219" s="109" t="n">
        <v>7.45</v>
      </c>
      <c r="U219" s="110" t="n">
        <f aca="false">ROUND(T219*$S219,2)</f>
        <v>1095.08</v>
      </c>
      <c r="V219" s="111"/>
      <c r="W219" s="110"/>
      <c r="X219" s="111"/>
      <c r="Y219" s="110"/>
      <c r="Z219" s="108"/>
      <c r="AA219" s="110"/>
    </row>
    <row r="220" customFormat="false" ht="26.1" hidden="false" customHeight="true" outlineLevel="0" collapsed="false">
      <c r="A220" s="97" t="n">
        <v>3</v>
      </c>
      <c r="B220" s="98" t="s">
        <v>648</v>
      </c>
      <c r="C220" s="99" t="s">
        <v>649</v>
      </c>
      <c r="D220" s="100" t="str">
        <f aca="false">B220&amp;"_"&amp;E220</f>
        <v>3.2_5.4.15</v>
      </c>
      <c r="E220" s="101" t="s">
        <v>401</v>
      </c>
      <c r="F220" s="102"/>
      <c r="G220" s="103"/>
      <c r="H220" s="103"/>
      <c r="I220" s="103"/>
      <c r="J220" s="103"/>
      <c r="K220" s="103"/>
      <c r="L220" s="103"/>
      <c r="M220" s="103"/>
      <c r="N220" s="103"/>
      <c r="O220" s="104" t="s">
        <v>402</v>
      </c>
      <c r="P220" s="105" t="s">
        <v>145</v>
      </c>
      <c r="Q220" s="106" t="s">
        <v>403</v>
      </c>
      <c r="R220" s="107" t="s">
        <v>157</v>
      </c>
      <c r="S220" s="108" t="n">
        <v>1935.4</v>
      </c>
      <c r="T220" s="109" t="n">
        <v>5.69</v>
      </c>
      <c r="U220" s="110" t="n">
        <f aca="false">ROUND(T220*$S220,2)</f>
        <v>11012.43</v>
      </c>
      <c r="V220" s="111"/>
      <c r="W220" s="110"/>
      <c r="X220" s="111"/>
      <c r="Y220" s="110"/>
      <c r="Z220" s="108"/>
      <c r="AA220" s="110"/>
    </row>
    <row r="221" customFormat="false" ht="26.1" hidden="false" customHeight="true" outlineLevel="0" collapsed="false">
      <c r="A221" s="97" t="n">
        <v>3</v>
      </c>
      <c r="B221" s="98" t="s">
        <v>648</v>
      </c>
      <c r="C221" s="99" t="s">
        <v>649</v>
      </c>
      <c r="D221" s="100" t="str">
        <f aca="false">B221&amp;"_"&amp;E221</f>
        <v>3.2_5.4.16</v>
      </c>
      <c r="E221" s="101" t="s">
        <v>404</v>
      </c>
      <c r="F221" s="102"/>
      <c r="G221" s="103"/>
      <c r="H221" s="103"/>
      <c r="I221" s="103"/>
      <c r="J221" s="103"/>
      <c r="K221" s="103"/>
      <c r="L221" s="103"/>
      <c r="M221" s="103"/>
      <c r="N221" s="103"/>
      <c r="O221" s="104" t="s">
        <v>405</v>
      </c>
      <c r="P221" s="105" t="s">
        <v>145</v>
      </c>
      <c r="Q221" s="106" t="s">
        <v>406</v>
      </c>
      <c r="R221" s="107" t="s">
        <v>157</v>
      </c>
      <c r="S221" s="108" t="n">
        <v>367.48</v>
      </c>
      <c r="T221" s="109" t="n">
        <v>7.12</v>
      </c>
      <c r="U221" s="110" t="n">
        <f aca="false">ROUND(T221*$S221,2)</f>
        <v>2616.46</v>
      </c>
      <c r="V221" s="111"/>
      <c r="W221" s="110"/>
      <c r="X221" s="111"/>
      <c r="Y221" s="110"/>
      <c r="Z221" s="108"/>
      <c r="AA221" s="110"/>
    </row>
    <row r="222" customFormat="false" ht="26.1" hidden="false" customHeight="true" outlineLevel="0" collapsed="false">
      <c r="A222" s="97" t="n">
        <v>3</v>
      </c>
      <c r="B222" s="98" t="s">
        <v>648</v>
      </c>
      <c r="C222" s="99" t="s">
        <v>649</v>
      </c>
      <c r="D222" s="100" t="str">
        <f aca="false">B222&amp;"_"&amp;E222</f>
        <v>3.2_5.4.18</v>
      </c>
      <c r="E222" s="101" t="s">
        <v>653</v>
      </c>
      <c r="F222" s="102"/>
      <c r="G222" s="103"/>
      <c r="H222" s="103"/>
      <c r="I222" s="103"/>
      <c r="J222" s="103"/>
      <c r="K222" s="103"/>
      <c r="L222" s="103"/>
      <c r="M222" s="103"/>
      <c r="N222" s="103"/>
      <c r="O222" s="104" t="s">
        <v>654</v>
      </c>
      <c r="P222" s="105" t="s">
        <v>145</v>
      </c>
      <c r="Q222" s="106" t="s">
        <v>655</v>
      </c>
      <c r="R222" s="107" t="s">
        <v>157</v>
      </c>
      <c r="S222" s="108" t="n">
        <v>1881.55</v>
      </c>
      <c r="T222" s="109" t="n">
        <v>20.12</v>
      </c>
      <c r="U222" s="110" t="n">
        <f aca="false">ROUND(T222*$S222,2)</f>
        <v>37856.79</v>
      </c>
      <c r="V222" s="111"/>
      <c r="W222" s="110"/>
      <c r="X222" s="111"/>
      <c r="Y222" s="110"/>
      <c r="Z222" s="108"/>
      <c r="AA222" s="110"/>
    </row>
    <row r="223" customFormat="false" ht="26.1" hidden="false" customHeight="true" outlineLevel="0" collapsed="false">
      <c r="A223" s="97" t="n">
        <v>3</v>
      </c>
      <c r="B223" s="98" t="s">
        <v>648</v>
      </c>
      <c r="C223" s="99" t="s">
        <v>649</v>
      </c>
      <c r="D223" s="100" t="str">
        <f aca="false">B223&amp;"_"&amp;E223</f>
        <v>3.2_5.4.19</v>
      </c>
      <c r="E223" s="101" t="s">
        <v>656</v>
      </c>
      <c r="F223" s="102"/>
      <c r="G223" s="103"/>
      <c r="H223" s="103"/>
      <c r="I223" s="103"/>
      <c r="J223" s="103"/>
      <c r="K223" s="103"/>
      <c r="L223" s="103"/>
      <c r="M223" s="103"/>
      <c r="N223" s="103"/>
      <c r="O223" s="104" t="s">
        <v>657</v>
      </c>
      <c r="P223" s="105" t="s">
        <v>145</v>
      </c>
      <c r="Q223" s="106" t="s">
        <v>658</v>
      </c>
      <c r="R223" s="107" t="s">
        <v>157</v>
      </c>
      <c r="S223" s="108" t="n">
        <v>600.29</v>
      </c>
      <c r="T223" s="109" t="n">
        <v>23.01</v>
      </c>
      <c r="U223" s="110" t="n">
        <f aca="false">ROUND(T223*$S223,2)</f>
        <v>13812.67</v>
      </c>
      <c r="V223" s="111"/>
      <c r="W223" s="110"/>
      <c r="X223" s="111"/>
      <c r="Y223" s="110"/>
      <c r="Z223" s="108"/>
      <c r="AA223" s="110"/>
    </row>
    <row r="224" customFormat="false" ht="26.1" hidden="false" customHeight="true" outlineLevel="0" collapsed="false">
      <c r="A224" s="97" t="n">
        <v>3</v>
      </c>
      <c r="B224" s="98" t="s">
        <v>648</v>
      </c>
      <c r="C224" s="99" t="s">
        <v>649</v>
      </c>
      <c r="D224" s="100" t="str">
        <f aca="false">B224&amp;"_"&amp;E224</f>
        <v>3.2_5.4.22</v>
      </c>
      <c r="E224" s="101" t="s">
        <v>164</v>
      </c>
      <c r="F224" s="102"/>
      <c r="G224" s="103"/>
      <c r="H224" s="103"/>
      <c r="I224" s="103"/>
      <c r="J224" s="103"/>
      <c r="K224" s="103"/>
      <c r="L224" s="103"/>
      <c r="M224" s="103"/>
      <c r="N224" s="103"/>
      <c r="O224" s="104" t="s">
        <v>165</v>
      </c>
      <c r="P224" s="105" t="s">
        <v>145</v>
      </c>
      <c r="Q224" s="106" t="s">
        <v>166</v>
      </c>
      <c r="R224" s="107" t="s">
        <v>167</v>
      </c>
      <c r="S224" s="108" t="n">
        <v>15004.44</v>
      </c>
      <c r="T224" s="109" t="n">
        <v>0.89</v>
      </c>
      <c r="U224" s="110" t="n">
        <f aca="false">ROUND(T224*$S224,2)</f>
        <v>13353.95</v>
      </c>
      <c r="V224" s="111"/>
      <c r="W224" s="110"/>
      <c r="X224" s="111"/>
      <c r="Y224" s="110"/>
      <c r="Z224" s="108"/>
      <c r="AA224" s="110"/>
    </row>
    <row r="225" customFormat="false" ht="26.1" hidden="false" customHeight="true" outlineLevel="0" collapsed="false">
      <c r="A225" s="97" t="n">
        <v>3</v>
      </c>
      <c r="B225" s="98" t="s">
        <v>648</v>
      </c>
      <c r="C225" s="99" t="s">
        <v>649</v>
      </c>
      <c r="D225" s="100" t="str">
        <f aca="false">B225&amp;"_"&amp;E225</f>
        <v>3.2_5.4.23</v>
      </c>
      <c r="E225" s="101" t="s">
        <v>168</v>
      </c>
      <c r="F225" s="102"/>
      <c r="G225" s="103"/>
      <c r="H225" s="103"/>
      <c r="I225" s="103"/>
      <c r="J225" s="103"/>
      <c r="K225" s="103"/>
      <c r="L225" s="103"/>
      <c r="M225" s="103"/>
      <c r="N225" s="103"/>
      <c r="O225" s="104" t="s">
        <v>169</v>
      </c>
      <c r="P225" s="105" t="s">
        <v>145</v>
      </c>
      <c r="Q225" s="106" t="s">
        <v>170</v>
      </c>
      <c r="R225" s="107" t="s">
        <v>167</v>
      </c>
      <c r="S225" s="108" t="n">
        <v>28854.7</v>
      </c>
      <c r="T225" s="109" t="n">
        <v>2.19</v>
      </c>
      <c r="U225" s="110" t="n">
        <f aca="false">ROUND(T225*$S225,2)</f>
        <v>63191.79</v>
      </c>
      <c r="V225" s="111"/>
      <c r="W225" s="110"/>
      <c r="X225" s="111"/>
      <c r="Y225" s="110"/>
      <c r="Z225" s="108"/>
      <c r="AA225" s="110"/>
    </row>
    <row r="226" customFormat="false" ht="20.1" hidden="false" customHeight="true" outlineLevel="0" collapsed="false">
      <c r="A226" s="82" t="n">
        <v>3</v>
      </c>
      <c r="B226" s="83"/>
      <c r="C226" s="84"/>
      <c r="D226" s="85"/>
      <c r="E226" s="86" t="s">
        <v>420</v>
      </c>
      <c r="F226" s="87"/>
      <c r="G226" s="88"/>
      <c r="H226" s="88"/>
      <c r="I226" s="88"/>
      <c r="J226" s="88"/>
      <c r="K226" s="88"/>
      <c r="L226" s="88"/>
      <c r="M226" s="88"/>
      <c r="N226" s="88"/>
      <c r="O226" s="89" t="s">
        <v>421</v>
      </c>
      <c r="P226" s="90"/>
      <c r="Q226" s="91" t="s">
        <v>422</v>
      </c>
      <c r="R226" s="92"/>
      <c r="S226" s="93"/>
      <c r="T226" s="94"/>
      <c r="U226" s="95" t="n">
        <f aca="false">SUM(U227:U230)</f>
        <v>84517.66</v>
      </c>
      <c r="V226" s="96"/>
      <c r="W226" s="95"/>
      <c r="X226" s="96"/>
      <c r="Y226" s="95"/>
      <c r="Z226" s="93"/>
      <c r="AA226" s="95"/>
    </row>
    <row r="227" customFormat="false" ht="26.1" hidden="false" customHeight="true" outlineLevel="0" collapsed="false">
      <c r="A227" s="97" t="n">
        <v>3</v>
      </c>
      <c r="B227" s="98" t="s">
        <v>648</v>
      </c>
      <c r="C227" s="99" t="s">
        <v>649</v>
      </c>
      <c r="D227" s="100" t="str">
        <f aca="false">B227&amp;"_"&amp;E227</f>
        <v>3.2_5.5.1</v>
      </c>
      <c r="E227" s="101" t="s">
        <v>423</v>
      </c>
      <c r="F227" s="102"/>
      <c r="G227" s="103"/>
      <c r="H227" s="103"/>
      <c r="I227" s="103"/>
      <c r="J227" s="103"/>
      <c r="K227" s="103"/>
      <c r="L227" s="103"/>
      <c r="M227" s="103"/>
      <c r="N227" s="103"/>
      <c r="O227" s="104" t="s">
        <v>424</v>
      </c>
      <c r="P227" s="105" t="s">
        <v>145</v>
      </c>
      <c r="Q227" s="106" t="s">
        <v>425</v>
      </c>
      <c r="R227" s="107" t="s">
        <v>157</v>
      </c>
      <c r="S227" s="108" t="n">
        <v>2.14</v>
      </c>
      <c r="T227" s="109" t="n">
        <v>256.34</v>
      </c>
      <c r="U227" s="110" t="n">
        <f aca="false">ROUND(T227*$S227,2)</f>
        <v>548.57</v>
      </c>
      <c r="V227" s="111"/>
      <c r="W227" s="110"/>
      <c r="X227" s="111"/>
      <c r="Y227" s="110"/>
      <c r="Z227" s="108"/>
      <c r="AA227" s="110"/>
    </row>
    <row r="228" customFormat="false" ht="26.1" hidden="false" customHeight="true" outlineLevel="0" collapsed="false">
      <c r="A228" s="97" t="n">
        <v>3</v>
      </c>
      <c r="B228" s="98" t="s">
        <v>648</v>
      </c>
      <c r="C228" s="99" t="s">
        <v>649</v>
      </c>
      <c r="D228" s="100" t="str">
        <f aca="false">B228&amp;"_"&amp;E228</f>
        <v>3.2_5.5.2</v>
      </c>
      <c r="E228" s="101" t="s">
        <v>659</v>
      </c>
      <c r="F228" s="102"/>
      <c r="G228" s="103"/>
      <c r="H228" s="103"/>
      <c r="I228" s="103"/>
      <c r="J228" s="103"/>
      <c r="K228" s="103"/>
      <c r="L228" s="103"/>
      <c r="M228" s="103"/>
      <c r="N228" s="103"/>
      <c r="O228" s="104" t="s">
        <v>660</v>
      </c>
      <c r="P228" s="105" t="s">
        <v>145</v>
      </c>
      <c r="Q228" s="106" t="s">
        <v>661</v>
      </c>
      <c r="R228" s="107" t="s">
        <v>150</v>
      </c>
      <c r="S228" s="108" t="n">
        <v>2762.08</v>
      </c>
      <c r="T228" s="109" t="n">
        <v>29.41</v>
      </c>
      <c r="U228" s="110" t="n">
        <f aca="false">ROUND(T228*$S228,2)</f>
        <v>81232.77</v>
      </c>
      <c r="V228" s="111"/>
      <c r="W228" s="110"/>
      <c r="X228" s="111"/>
      <c r="Y228" s="110"/>
      <c r="Z228" s="108"/>
      <c r="AA228" s="110"/>
    </row>
    <row r="229" customFormat="false" ht="26.1" hidden="false" customHeight="true" outlineLevel="0" collapsed="false">
      <c r="A229" s="97" t="n">
        <v>3</v>
      </c>
      <c r="B229" s="98" t="s">
        <v>648</v>
      </c>
      <c r="C229" s="99" t="s">
        <v>649</v>
      </c>
      <c r="D229" s="100" t="str">
        <f aca="false">B229&amp;"_"&amp;E229</f>
        <v>3.2_5.5.5</v>
      </c>
      <c r="E229" s="101" t="s">
        <v>662</v>
      </c>
      <c r="F229" s="102"/>
      <c r="G229" s="103"/>
      <c r="H229" s="103"/>
      <c r="I229" s="103"/>
      <c r="J229" s="103"/>
      <c r="K229" s="103"/>
      <c r="L229" s="103"/>
      <c r="M229" s="103"/>
      <c r="N229" s="103"/>
      <c r="O229" s="104" t="s">
        <v>663</v>
      </c>
      <c r="P229" s="105" t="s">
        <v>145</v>
      </c>
      <c r="Q229" s="106" t="s">
        <v>664</v>
      </c>
      <c r="R229" s="107" t="s">
        <v>150</v>
      </c>
      <c r="S229" s="108" t="n">
        <v>379.9</v>
      </c>
      <c r="T229" s="109" t="n">
        <v>7.03</v>
      </c>
      <c r="U229" s="110" t="n">
        <f aca="false">ROUND(T229*$S229,2)</f>
        <v>2670.7</v>
      </c>
      <c r="V229" s="111"/>
      <c r="W229" s="110"/>
      <c r="X229" s="111"/>
      <c r="Y229" s="110"/>
      <c r="Z229" s="108"/>
      <c r="AA229" s="110"/>
    </row>
    <row r="230" customFormat="false" ht="26.1" hidden="false" customHeight="true" outlineLevel="0" collapsed="false">
      <c r="A230" s="97" t="n">
        <v>3</v>
      </c>
      <c r="B230" s="98" t="s">
        <v>648</v>
      </c>
      <c r="C230" s="99" t="s">
        <v>649</v>
      </c>
      <c r="D230" s="100" t="str">
        <f aca="false">B230&amp;"_"&amp;E230</f>
        <v>3.2_5.5.6</v>
      </c>
      <c r="E230" s="101" t="s">
        <v>432</v>
      </c>
      <c r="F230" s="102"/>
      <c r="G230" s="103"/>
      <c r="H230" s="103"/>
      <c r="I230" s="103"/>
      <c r="J230" s="103"/>
      <c r="K230" s="103"/>
      <c r="L230" s="103"/>
      <c r="M230" s="103"/>
      <c r="N230" s="103"/>
      <c r="O230" s="104" t="s">
        <v>433</v>
      </c>
      <c r="P230" s="105" t="s">
        <v>145</v>
      </c>
      <c r="Q230" s="106" t="s">
        <v>434</v>
      </c>
      <c r="R230" s="107" t="s">
        <v>120</v>
      </c>
      <c r="S230" s="108" t="n">
        <v>1</v>
      </c>
      <c r="T230" s="109" t="n">
        <v>65.62</v>
      </c>
      <c r="U230" s="110" t="n">
        <f aca="false">ROUND(T230*$S230,2)</f>
        <v>65.62</v>
      </c>
      <c r="V230" s="111"/>
      <c r="W230" s="110"/>
      <c r="X230" s="111"/>
      <c r="Y230" s="110"/>
      <c r="Z230" s="108"/>
      <c r="AA230" s="110"/>
    </row>
    <row r="231" customFormat="false" ht="20.1" hidden="false" customHeight="true" outlineLevel="0" collapsed="false">
      <c r="A231" s="82" t="n">
        <v>3</v>
      </c>
      <c r="B231" s="83"/>
      <c r="C231" s="84"/>
      <c r="D231" s="85"/>
      <c r="E231" s="86" t="s">
        <v>435</v>
      </c>
      <c r="F231" s="87"/>
      <c r="G231" s="88"/>
      <c r="H231" s="88"/>
      <c r="I231" s="88"/>
      <c r="J231" s="88"/>
      <c r="K231" s="88"/>
      <c r="L231" s="88"/>
      <c r="M231" s="88"/>
      <c r="N231" s="88"/>
      <c r="O231" s="89" t="s">
        <v>436</v>
      </c>
      <c r="P231" s="90"/>
      <c r="Q231" s="91" t="s">
        <v>437</v>
      </c>
      <c r="R231" s="92"/>
      <c r="S231" s="93"/>
      <c r="T231" s="94"/>
      <c r="U231" s="95" t="n">
        <f aca="false">SUM(U232:U232)</f>
        <v>465.77</v>
      </c>
      <c r="V231" s="96"/>
      <c r="W231" s="95"/>
      <c r="X231" s="96"/>
      <c r="Y231" s="95"/>
      <c r="Z231" s="93"/>
      <c r="AA231" s="95"/>
    </row>
    <row r="232" customFormat="false" ht="26.1" hidden="false" customHeight="true" outlineLevel="0" collapsed="false">
      <c r="A232" s="97" t="n">
        <v>3</v>
      </c>
      <c r="B232" s="98" t="s">
        <v>648</v>
      </c>
      <c r="C232" s="99" t="s">
        <v>649</v>
      </c>
      <c r="D232" s="100" t="str">
        <f aca="false">B232&amp;"_"&amp;E232</f>
        <v>3.2_5.6.1</v>
      </c>
      <c r="E232" s="101" t="s">
        <v>438</v>
      </c>
      <c r="F232" s="102"/>
      <c r="G232" s="103"/>
      <c r="H232" s="103"/>
      <c r="I232" s="103"/>
      <c r="J232" s="103"/>
      <c r="K232" s="103"/>
      <c r="L232" s="103"/>
      <c r="M232" s="103"/>
      <c r="N232" s="103"/>
      <c r="O232" s="104" t="s">
        <v>439</v>
      </c>
      <c r="P232" s="105" t="s">
        <v>145</v>
      </c>
      <c r="Q232" s="106" t="s">
        <v>440</v>
      </c>
      <c r="R232" s="107" t="s">
        <v>441</v>
      </c>
      <c r="S232" s="108" t="n">
        <v>14.27</v>
      </c>
      <c r="T232" s="109" t="n">
        <v>32.64</v>
      </c>
      <c r="U232" s="110" t="n">
        <f aca="false">ROUND(T232*$S232,2)</f>
        <v>465.77</v>
      </c>
      <c r="V232" s="111"/>
      <c r="W232" s="110"/>
      <c r="X232" s="111"/>
      <c r="Y232" s="110"/>
      <c r="Z232" s="108"/>
      <c r="AA232" s="110"/>
    </row>
    <row r="233" customFormat="false" ht="20.1" hidden="false" customHeight="true" outlineLevel="0" collapsed="false">
      <c r="A233" s="82" t="n">
        <v>3</v>
      </c>
      <c r="B233" s="83"/>
      <c r="C233" s="84"/>
      <c r="D233" s="85"/>
      <c r="E233" s="86" t="s">
        <v>174</v>
      </c>
      <c r="F233" s="87"/>
      <c r="G233" s="88"/>
      <c r="H233" s="88"/>
      <c r="I233" s="88"/>
      <c r="J233" s="88"/>
      <c r="K233" s="88"/>
      <c r="L233" s="88"/>
      <c r="M233" s="88"/>
      <c r="N233" s="88"/>
      <c r="O233" s="89" t="s">
        <v>175</v>
      </c>
      <c r="P233" s="90"/>
      <c r="Q233" s="91" t="s">
        <v>176</v>
      </c>
      <c r="R233" s="92"/>
      <c r="S233" s="93"/>
      <c r="T233" s="94"/>
      <c r="U233" s="95" t="n">
        <f aca="false">SUM(U234:U246)</f>
        <v>763039.33</v>
      </c>
      <c r="V233" s="96"/>
      <c r="W233" s="95"/>
      <c r="X233" s="96"/>
      <c r="Y233" s="95"/>
      <c r="Z233" s="93"/>
      <c r="AA233" s="95"/>
    </row>
    <row r="234" customFormat="false" ht="26.1" hidden="false" customHeight="true" outlineLevel="0" collapsed="false">
      <c r="A234" s="97" t="n">
        <v>3</v>
      </c>
      <c r="B234" s="98" t="s">
        <v>648</v>
      </c>
      <c r="C234" s="99" t="s">
        <v>649</v>
      </c>
      <c r="D234" s="100" t="str">
        <f aca="false">B234&amp;"_"&amp;E234</f>
        <v>3.2_5.7.2</v>
      </c>
      <c r="E234" s="101" t="s">
        <v>665</v>
      </c>
      <c r="F234" s="102"/>
      <c r="G234" s="103"/>
      <c r="H234" s="103"/>
      <c r="I234" s="103"/>
      <c r="J234" s="103"/>
      <c r="K234" s="103"/>
      <c r="L234" s="103"/>
      <c r="M234" s="103"/>
      <c r="N234" s="103"/>
      <c r="O234" s="104" t="s">
        <v>666</v>
      </c>
      <c r="P234" s="105" t="s">
        <v>145</v>
      </c>
      <c r="Q234" s="106" t="s">
        <v>667</v>
      </c>
      <c r="R234" s="107" t="s">
        <v>668</v>
      </c>
      <c r="S234" s="108" t="n">
        <v>3584.54</v>
      </c>
      <c r="T234" s="109" t="n">
        <v>13.03</v>
      </c>
      <c r="U234" s="110" t="n">
        <f aca="false">ROUND(T234*$S234,2)</f>
        <v>46706.56</v>
      </c>
      <c r="V234" s="111"/>
      <c r="W234" s="110"/>
      <c r="X234" s="111"/>
      <c r="Y234" s="110"/>
      <c r="Z234" s="108"/>
      <c r="AA234" s="110"/>
    </row>
    <row r="235" customFormat="false" ht="26.1" hidden="false" customHeight="true" outlineLevel="0" collapsed="false">
      <c r="A235" s="97" t="n">
        <v>3</v>
      </c>
      <c r="B235" s="98" t="s">
        <v>648</v>
      </c>
      <c r="C235" s="99" t="s">
        <v>649</v>
      </c>
      <c r="D235" s="100" t="str">
        <f aca="false">B235&amp;"_"&amp;E235</f>
        <v>3.2_5.7.3</v>
      </c>
      <c r="E235" s="101" t="s">
        <v>669</v>
      </c>
      <c r="F235" s="102"/>
      <c r="G235" s="103"/>
      <c r="H235" s="103"/>
      <c r="I235" s="103"/>
      <c r="J235" s="103"/>
      <c r="K235" s="103"/>
      <c r="L235" s="103"/>
      <c r="M235" s="103"/>
      <c r="N235" s="103"/>
      <c r="O235" s="104" t="s">
        <v>670</v>
      </c>
      <c r="P235" s="105" t="s">
        <v>145</v>
      </c>
      <c r="Q235" s="106" t="s">
        <v>671</v>
      </c>
      <c r="R235" s="107" t="s">
        <v>668</v>
      </c>
      <c r="S235" s="108" t="n">
        <v>1173.68</v>
      </c>
      <c r="T235" s="109" t="n">
        <v>11.41</v>
      </c>
      <c r="U235" s="110" t="n">
        <f aca="false">ROUND(T235*$S235,2)</f>
        <v>13391.69</v>
      </c>
      <c r="V235" s="111"/>
      <c r="W235" s="110"/>
      <c r="X235" s="111"/>
      <c r="Y235" s="110"/>
      <c r="Z235" s="108"/>
      <c r="AA235" s="110"/>
    </row>
    <row r="236" customFormat="false" ht="26.1" hidden="false" customHeight="true" outlineLevel="0" collapsed="false">
      <c r="A236" s="97" t="n">
        <v>3</v>
      </c>
      <c r="B236" s="98" t="s">
        <v>648</v>
      </c>
      <c r="C236" s="99" t="s">
        <v>649</v>
      </c>
      <c r="D236" s="100" t="str">
        <f aca="false">B236&amp;"_"&amp;E236</f>
        <v>3.2_5.7.4</v>
      </c>
      <c r="E236" s="101" t="s">
        <v>672</v>
      </c>
      <c r="F236" s="102"/>
      <c r="G236" s="103"/>
      <c r="H236" s="103"/>
      <c r="I236" s="103"/>
      <c r="J236" s="103"/>
      <c r="K236" s="103"/>
      <c r="L236" s="103"/>
      <c r="M236" s="103"/>
      <c r="N236" s="103"/>
      <c r="O236" s="104" t="s">
        <v>673</v>
      </c>
      <c r="P236" s="105" t="s">
        <v>145</v>
      </c>
      <c r="Q236" s="106" t="s">
        <v>674</v>
      </c>
      <c r="R236" s="107" t="s">
        <v>668</v>
      </c>
      <c r="S236" s="108" t="n">
        <v>1539.79</v>
      </c>
      <c r="T236" s="109" t="n">
        <v>16.61</v>
      </c>
      <c r="U236" s="110" t="n">
        <f aca="false">ROUND(T236*$S236,2)</f>
        <v>25575.91</v>
      </c>
      <c r="V236" s="111"/>
      <c r="W236" s="110"/>
      <c r="X236" s="111"/>
      <c r="Y236" s="110"/>
      <c r="Z236" s="108"/>
      <c r="AA236" s="110"/>
    </row>
    <row r="237" customFormat="false" ht="26.1" hidden="false" customHeight="true" outlineLevel="0" collapsed="false">
      <c r="A237" s="97" t="n">
        <v>3</v>
      </c>
      <c r="B237" s="98" t="s">
        <v>648</v>
      </c>
      <c r="C237" s="99" t="s">
        <v>649</v>
      </c>
      <c r="D237" s="100" t="str">
        <f aca="false">B237&amp;"_"&amp;E237</f>
        <v>3.2_5.7.5</v>
      </c>
      <c r="E237" s="101" t="s">
        <v>675</v>
      </c>
      <c r="F237" s="102"/>
      <c r="G237" s="103"/>
      <c r="H237" s="103"/>
      <c r="I237" s="103"/>
      <c r="J237" s="103"/>
      <c r="K237" s="103"/>
      <c r="L237" s="103"/>
      <c r="M237" s="103"/>
      <c r="N237" s="103"/>
      <c r="O237" s="104" t="s">
        <v>676</v>
      </c>
      <c r="P237" s="105" t="s">
        <v>145</v>
      </c>
      <c r="Q237" s="106" t="s">
        <v>677</v>
      </c>
      <c r="R237" s="107" t="s">
        <v>668</v>
      </c>
      <c r="S237" s="108" t="n">
        <v>18192.06</v>
      </c>
      <c r="T237" s="109" t="n">
        <v>15.01</v>
      </c>
      <c r="U237" s="110" t="n">
        <f aca="false">ROUND(T237*$S237,2)</f>
        <v>273062.82</v>
      </c>
      <c r="V237" s="111"/>
      <c r="W237" s="110"/>
      <c r="X237" s="111"/>
      <c r="Y237" s="110"/>
      <c r="Z237" s="108"/>
      <c r="AA237" s="110"/>
    </row>
    <row r="238" customFormat="false" ht="26.1" hidden="false" customHeight="true" outlineLevel="0" collapsed="false">
      <c r="A238" s="97" t="n">
        <v>3</v>
      </c>
      <c r="B238" s="98" t="s">
        <v>648</v>
      </c>
      <c r="C238" s="99" t="s">
        <v>649</v>
      </c>
      <c r="D238" s="100" t="str">
        <f aca="false">B238&amp;"_"&amp;E238</f>
        <v>3.2_5.7.6</v>
      </c>
      <c r="E238" s="101" t="s">
        <v>678</v>
      </c>
      <c r="F238" s="102"/>
      <c r="G238" s="103"/>
      <c r="H238" s="103"/>
      <c r="I238" s="103"/>
      <c r="J238" s="103"/>
      <c r="K238" s="103"/>
      <c r="L238" s="103"/>
      <c r="M238" s="103"/>
      <c r="N238" s="103"/>
      <c r="O238" s="104" t="s">
        <v>679</v>
      </c>
      <c r="P238" s="105" t="s">
        <v>145</v>
      </c>
      <c r="Q238" s="106" t="s">
        <v>680</v>
      </c>
      <c r="R238" s="107" t="s">
        <v>668</v>
      </c>
      <c r="S238" s="108" t="n">
        <v>34</v>
      </c>
      <c r="T238" s="109" t="n">
        <v>18.37</v>
      </c>
      <c r="U238" s="110" t="n">
        <f aca="false">ROUND(T238*$S238,2)</f>
        <v>624.58</v>
      </c>
      <c r="V238" s="111"/>
      <c r="W238" s="110"/>
      <c r="X238" s="111"/>
      <c r="Y238" s="110"/>
      <c r="Z238" s="108"/>
      <c r="AA238" s="110"/>
    </row>
    <row r="239" customFormat="false" ht="26.1" hidden="false" customHeight="true" outlineLevel="0" collapsed="false">
      <c r="A239" s="97" t="n">
        <v>3</v>
      </c>
      <c r="B239" s="98" t="s">
        <v>648</v>
      </c>
      <c r="C239" s="99" t="s">
        <v>649</v>
      </c>
      <c r="D239" s="100" t="str">
        <f aca="false">B239&amp;"_"&amp;E239</f>
        <v>3.2_5.7.7</v>
      </c>
      <c r="E239" s="101" t="s">
        <v>681</v>
      </c>
      <c r="F239" s="102"/>
      <c r="G239" s="103"/>
      <c r="H239" s="103"/>
      <c r="I239" s="103"/>
      <c r="J239" s="103"/>
      <c r="K239" s="103"/>
      <c r="L239" s="103"/>
      <c r="M239" s="103"/>
      <c r="N239" s="103"/>
      <c r="O239" s="104" t="s">
        <v>682</v>
      </c>
      <c r="P239" s="105" t="s">
        <v>145</v>
      </c>
      <c r="Q239" s="106" t="s">
        <v>683</v>
      </c>
      <c r="R239" s="107" t="s">
        <v>71</v>
      </c>
      <c r="S239" s="108" t="n">
        <v>6</v>
      </c>
      <c r="T239" s="109" t="n">
        <v>1064.92</v>
      </c>
      <c r="U239" s="110" t="n">
        <f aca="false">ROUND(T239*$S239,2)</f>
        <v>6389.52</v>
      </c>
      <c r="V239" s="111"/>
      <c r="W239" s="110"/>
      <c r="X239" s="111"/>
      <c r="Y239" s="110"/>
      <c r="Z239" s="108"/>
      <c r="AA239" s="110"/>
    </row>
    <row r="240" customFormat="false" ht="26.1" hidden="false" customHeight="true" outlineLevel="0" collapsed="false">
      <c r="A240" s="97" t="n">
        <v>3</v>
      </c>
      <c r="B240" s="98" t="s">
        <v>648</v>
      </c>
      <c r="C240" s="99" t="s">
        <v>649</v>
      </c>
      <c r="D240" s="100" t="str">
        <f aca="false">B240&amp;"_"&amp;E240</f>
        <v>3.2_5.7.8</v>
      </c>
      <c r="E240" s="101" t="s">
        <v>684</v>
      </c>
      <c r="F240" s="102"/>
      <c r="G240" s="103"/>
      <c r="H240" s="103"/>
      <c r="I240" s="103"/>
      <c r="J240" s="103"/>
      <c r="K240" s="103"/>
      <c r="L240" s="103"/>
      <c r="M240" s="103"/>
      <c r="N240" s="103"/>
      <c r="O240" s="104" t="s">
        <v>685</v>
      </c>
      <c r="P240" s="105" t="s">
        <v>145</v>
      </c>
      <c r="Q240" s="106" t="s">
        <v>686</v>
      </c>
      <c r="R240" s="107" t="s">
        <v>71</v>
      </c>
      <c r="S240" s="108" t="n">
        <v>28</v>
      </c>
      <c r="T240" s="109" t="n">
        <v>115.9</v>
      </c>
      <c r="U240" s="110" t="n">
        <f aca="false">ROUND(T240*$S240,2)</f>
        <v>3245.2</v>
      </c>
      <c r="V240" s="111"/>
      <c r="W240" s="110"/>
      <c r="X240" s="111"/>
      <c r="Y240" s="110"/>
      <c r="Z240" s="108"/>
      <c r="AA240" s="110"/>
    </row>
    <row r="241" customFormat="false" ht="26.1" hidden="false" customHeight="true" outlineLevel="0" collapsed="false">
      <c r="A241" s="97" t="n">
        <v>3</v>
      </c>
      <c r="B241" s="98" t="s">
        <v>648</v>
      </c>
      <c r="C241" s="99" t="s">
        <v>649</v>
      </c>
      <c r="D241" s="100" t="str">
        <f aca="false">B241&amp;"_"&amp;E241</f>
        <v>3.2_5.7.9</v>
      </c>
      <c r="E241" s="101" t="s">
        <v>687</v>
      </c>
      <c r="F241" s="102"/>
      <c r="G241" s="103"/>
      <c r="H241" s="103"/>
      <c r="I241" s="103"/>
      <c r="J241" s="103"/>
      <c r="K241" s="103"/>
      <c r="L241" s="103"/>
      <c r="M241" s="103"/>
      <c r="N241" s="103"/>
      <c r="O241" s="104" t="s">
        <v>688</v>
      </c>
      <c r="P241" s="105" t="s">
        <v>145</v>
      </c>
      <c r="Q241" s="106" t="s">
        <v>689</v>
      </c>
      <c r="R241" s="107" t="s">
        <v>71</v>
      </c>
      <c r="S241" s="108" t="n">
        <v>43</v>
      </c>
      <c r="T241" s="109" t="n">
        <v>73.13</v>
      </c>
      <c r="U241" s="110" t="n">
        <f aca="false">ROUND(T241*$S241,2)</f>
        <v>3144.59</v>
      </c>
      <c r="V241" s="111"/>
      <c r="W241" s="110"/>
      <c r="X241" s="111"/>
      <c r="Y241" s="110"/>
      <c r="Z241" s="108"/>
      <c r="AA241" s="110"/>
    </row>
    <row r="242" customFormat="false" ht="26.1" hidden="false" customHeight="true" outlineLevel="0" collapsed="false">
      <c r="A242" s="97" t="n">
        <v>3</v>
      </c>
      <c r="B242" s="98" t="s">
        <v>648</v>
      </c>
      <c r="C242" s="99" t="s">
        <v>649</v>
      </c>
      <c r="D242" s="100" t="str">
        <f aca="false">B242&amp;"_"&amp;E242</f>
        <v>3.2_5.7.11</v>
      </c>
      <c r="E242" s="101" t="s">
        <v>690</v>
      </c>
      <c r="F242" s="102"/>
      <c r="G242" s="103"/>
      <c r="H242" s="103"/>
      <c r="I242" s="103"/>
      <c r="J242" s="103"/>
      <c r="K242" s="103"/>
      <c r="L242" s="103"/>
      <c r="M242" s="103"/>
      <c r="N242" s="103"/>
      <c r="O242" s="104" t="s">
        <v>691</v>
      </c>
      <c r="P242" s="105" t="s">
        <v>145</v>
      </c>
      <c r="Q242" s="106" t="s">
        <v>692</v>
      </c>
      <c r="R242" s="107" t="s">
        <v>150</v>
      </c>
      <c r="S242" s="108" t="n">
        <v>2319</v>
      </c>
      <c r="T242" s="109" t="n">
        <v>149.69</v>
      </c>
      <c r="U242" s="110" t="n">
        <f aca="false">ROUND(T242*$S242,2)</f>
        <v>347131.11</v>
      </c>
      <c r="V242" s="111"/>
      <c r="W242" s="110"/>
      <c r="X242" s="111"/>
      <c r="Y242" s="110"/>
      <c r="Z242" s="108"/>
      <c r="AA242" s="110"/>
    </row>
    <row r="243" customFormat="false" ht="26.1" hidden="false" customHeight="true" outlineLevel="0" collapsed="false">
      <c r="A243" s="97" t="n">
        <v>3</v>
      </c>
      <c r="B243" s="98" t="s">
        <v>648</v>
      </c>
      <c r="C243" s="99" t="s">
        <v>649</v>
      </c>
      <c r="D243" s="100" t="str">
        <f aca="false">B243&amp;"_"&amp;E243</f>
        <v>3.2_5.7.12</v>
      </c>
      <c r="E243" s="101" t="s">
        <v>693</v>
      </c>
      <c r="F243" s="102"/>
      <c r="G243" s="103"/>
      <c r="H243" s="103"/>
      <c r="I243" s="103"/>
      <c r="J243" s="103"/>
      <c r="K243" s="103"/>
      <c r="L243" s="103"/>
      <c r="M243" s="103"/>
      <c r="N243" s="103"/>
      <c r="O243" s="104" t="s">
        <v>694</v>
      </c>
      <c r="P243" s="105" t="s">
        <v>145</v>
      </c>
      <c r="Q243" s="106" t="s">
        <v>695</v>
      </c>
      <c r="R243" s="107" t="s">
        <v>157</v>
      </c>
      <c r="S243" s="108" t="n">
        <v>326</v>
      </c>
      <c r="T243" s="109" t="n">
        <v>46.05</v>
      </c>
      <c r="U243" s="110" t="n">
        <f aca="false">ROUND(T243*$S243,2)</f>
        <v>15012.3</v>
      </c>
      <c r="V243" s="111"/>
      <c r="W243" s="110"/>
      <c r="X243" s="111"/>
      <c r="Y243" s="110"/>
      <c r="Z243" s="108"/>
      <c r="AA243" s="110"/>
    </row>
    <row r="244" customFormat="false" ht="26.1" hidden="false" customHeight="true" outlineLevel="0" collapsed="false">
      <c r="A244" s="97" t="n">
        <v>3</v>
      </c>
      <c r="B244" s="98" t="s">
        <v>648</v>
      </c>
      <c r="C244" s="99" t="s">
        <v>649</v>
      </c>
      <c r="D244" s="100" t="str">
        <f aca="false">B244&amp;"_"&amp;E244</f>
        <v>3.2_5.7.13</v>
      </c>
      <c r="E244" s="101" t="s">
        <v>696</v>
      </c>
      <c r="F244" s="102"/>
      <c r="G244" s="103"/>
      <c r="H244" s="103"/>
      <c r="I244" s="103"/>
      <c r="J244" s="103"/>
      <c r="K244" s="103"/>
      <c r="L244" s="103"/>
      <c r="M244" s="103"/>
      <c r="N244" s="103"/>
      <c r="O244" s="104" t="s">
        <v>697</v>
      </c>
      <c r="P244" s="105" t="s">
        <v>145</v>
      </c>
      <c r="Q244" s="106" t="s">
        <v>698</v>
      </c>
      <c r="R244" s="107" t="s">
        <v>157</v>
      </c>
      <c r="S244" s="108" t="n">
        <v>32.4</v>
      </c>
      <c r="T244" s="109" t="n">
        <v>300.37</v>
      </c>
      <c r="U244" s="110" t="n">
        <f aca="false">ROUND(T244*$S244,2)</f>
        <v>9731.99</v>
      </c>
      <c r="V244" s="111"/>
      <c r="W244" s="110"/>
      <c r="X244" s="111"/>
      <c r="Y244" s="110"/>
      <c r="Z244" s="108"/>
      <c r="AA244" s="110"/>
    </row>
    <row r="245" customFormat="false" ht="26.1" hidden="false" customHeight="true" outlineLevel="0" collapsed="false">
      <c r="A245" s="97" t="n">
        <v>3</v>
      </c>
      <c r="B245" s="98" t="s">
        <v>648</v>
      </c>
      <c r="C245" s="99" t="s">
        <v>649</v>
      </c>
      <c r="D245" s="100" t="str">
        <f aca="false">B245&amp;"_"&amp;E245</f>
        <v>3.2_5.7.14</v>
      </c>
      <c r="E245" s="101" t="s">
        <v>180</v>
      </c>
      <c r="F245" s="102"/>
      <c r="G245" s="103"/>
      <c r="H245" s="103"/>
      <c r="I245" s="103"/>
      <c r="J245" s="103"/>
      <c r="K245" s="103"/>
      <c r="L245" s="103"/>
      <c r="M245" s="103"/>
      <c r="N245" s="103"/>
      <c r="O245" s="104" t="s">
        <v>181</v>
      </c>
      <c r="P245" s="105" t="s">
        <v>145</v>
      </c>
      <c r="Q245" s="106" t="s">
        <v>182</v>
      </c>
      <c r="R245" s="107" t="s">
        <v>157</v>
      </c>
      <c r="S245" s="108" t="n">
        <v>15.05</v>
      </c>
      <c r="T245" s="109" t="n">
        <v>301</v>
      </c>
      <c r="U245" s="110" t="n">
        <f aca="false">ROUND(T245*$S245,2)</f>
        <v>4530.05</v>
      </c>
      <c r="V245" s="111"/>
      <c r="W245" s="110"/>
      <c r="X245" s="111"/>
      <c r="Y245" s="110"/>
      <c r="Z245" s="108"/>
      <c r="AA245" s="110"/>
    </row>
    <row r="246" customFormat="false" ht="26.1" hidden="false" customHeight="true" outlineLevel="0" collapsed="false">
      <c r="A246" s="97" t="n">
        <v>3</v>
      </c>
      <c r="B246" s="98" t="s">
        <v>648</v>
      </c>
      <c r="C246" s="99" t="s">
        <v>649</v>
      </c>
      <c r="D246" s="100" t="str">
        <f aca="false">B246&amp;"_"&amp;E246</f>
        <v>3.2_5.7.15</v>
      </c>
      <c r="E246" s="101" t="s">
        <v>699</v>
      </c>
      <c r="F246" s="102"/>
      <c r="G246" s="103"/>
      <c r="H246" s="103"/>
      <c r="I246" s="103"/>
      <c r="J246" s="103"/>
      <c r="K246" s="103"/>
      <c r="L246" s="103"/>
      <c r="M246" s="103"/>
      <c r="N246" s="103"/>
      <c r="O246" s="104" t="s">
        <v>700</v>
      </c>
      <c r="P246" s="105" t="s">
        <v>145</v>
      </c>
      <c r="Q246" s="106" t="s">
        <v>701</v>
      </c>
      <c r="R246" s="107" t="s">
        <v>157</v>
      </c>
      <c r="S246" s="108" t="n">
        <v>48.6</v>
      </c>
      <c r="T246" s="109" t="n">
        <v>298.21</v>
      </c>
      <c r="U246" s="110" t="n">
        <f aca="false">ROUND(T246*$S246,2)</f>
        <v>14493.01</v>
      </c>
      <c r="V246" s="111"/>
      <c r="W246" s="110"/>
      <c r="X246" s="111"/>
      <c r="Y246" s="110"/>
      <c r="Z246" s="108"/>
      <c r="AA246" s="110"/>
    </row>
    <row r="247" customFormat="false" ht="20.1" hidden="false" customHeight="true" outlineLevel="0" collapsed="false">
      <c r="A247" s="82" t="n">
        <v>3</v>
      </c>
      <c r="B247" s="83"/>
      <c r="C247" s="84"/>
      <c r="D247" s="85"/>
      <c r="E247" s="86" t="s">
        <v>183</v>
      </c>
      <c r="F247" s="87"/>
      <c r="G247" s="88"/>
      <c r="H247" s="88"/>
      <c r="I247" s="88"/>
      <c r="J247" s="88"/>
      <c r="K247" s="88"/>
      <c r="L247" s="88"/>
      <c r="M247" s="88"/>
      <c r="N247" s="88"/>
      <c r="O247" s="89" t="s">
        <v>184</v>
      </c>
      <c r="P247" s="90"/>
      <c r="Q247" s="91" t="s">
        <v>185</v>
      </c>
      <c r="R247" s="92"/>
      <c r="S247" s="93"/>
      <c r="T247" s="94"/>
      <c r="U247" s="95" t="n">
        <f aca="false">SUM(U248:U276)</f>
        <v>31474.33</v>
      </c>
      <c r="V247" s="96"/>
      <c r="W247" s="95"/>
      <c r="X247" s="96"/>
      <c r="Y247" s="95"/>
      <c r="Z247" s="93"/>
      <c r="AA247" s="95"/>
    </row>
    <row r="248" customFormat="false" ht="26.1" hidden="false" customHeight="true" outlineLevel="0" collapsed="false">
      <c r="A248" s="97" t="n">
        <v>3</v>
      </c>
      <c r="B248" s="98" t="s">
        <v>648</v>
      </c>
      <c r="C248" s="99" t="s">
        <v>649</v>
      </c>
      <c r="D248" s="100" t="str">
        <f aca="false">B248&amp;"_"&amp;E248</f>
        <v>3.2_5.8.1</v>
      </c>
      <c r="E248" s="101" t="s">
        <v>442</v>
      </c>
      <c r="F248" s="102"/>
      <c r="G248" s="103"/>
      <c r="H248" s="103"/>
      <c r="I248" s="103"/>
      <c r="J248" s="103"/>
      <c r="K248" s="103"/>
      <c r="L248" s="103"/>
      <c r="M248" s="103"/>
      <c r="N248" s="103"/>
      <c r="O248" s="104" t="s">
        <v>443</v>
      </c>
      <c r="P248" s="105" t="s">
        <v>145</v>
      </c>
      <c r="Q248" s="106" t="s">
        <v>444</v>
      </c>
      <c r="R248" s="107" t="s">
        <v>71</v>
      </c>
      <c r="S248" s="108" t="n">
        <v>4</v>
      </c>
      <c r="T248" s="109" t="n">
        <v>23.16</v>
      </c>
      <c r="U248" s="110" t="n">
        <f aca="false">ROUND(T248*$S248,2)</f>
        <v>92.64</v>
      </c>
      <c r="V248" s="111"/>
      <c r="W248" s="110"/>
      <c r="X248" s="111"/>
      <c r="Y248" s="110"/>
      <c r="Z248" s="108"/>
      <c r="AA248" s="110"/>
    </row>
    <row r="249" customFormat="false" ht="26.1" hidden="false" customHeight="true" outlineLevel="0" collapsed="false">
      <c r="A249" s="97" t="n">
        <v>3</v>
      </c>
      <c r="B249" s="98" t="s">
        <v>648</v>
      </c>
      <c r="C249" s="99" t="s">
        <v>649</v>
      </c>
      <c r="D249" s="100" t="str">
        <f aca="false">B249&amp;"_"&amp;E249</f>
        <v>3.2_5.8.2</v>
      </c>
      <c r="E249" s="101" t="s">
        <v>445</v>
      </c>
      <c r="F249" s="102"/>
      <c r="G249" s="103"/>
      <c r="H249" s="103"/>
      <c r="I249" s="103"/>
      <c r="J249" s="103"/>
      <c r="K249" s="103"/>
      <c r="L249" s="103"/>
      <c r="M249" s="103"/>
      <c r="N249" s="103"/>
      <c r="O249" s="104" t="s">
        <v>446</v>
      </c>
      <c r="P249" s="105" t="s">
        <v>145</v>
      </c>
      <c r="Q249" s="106" t="s">
        <v>447</v>
      </c>
      <c r="R249" s="107" t="s">
        <v>71</v>
      </c>
      <c r="S249" s="108" t="n">
        <v>130</v>
      </c>
      <c r="T249" s="109" t="n">
        <v>33.69</v>
      </c>
      <c r="U249" s="110" t="n">
        <f aca="false">ROUND(T249*$S249,2)</f>
        <v>4379.7</v>
      </c>
      <c r="V249" s="111"/>
      <c r="W249" s="110"/>
      <c r="X249" s="111"/>
      <c r="Y249" s="110"/>
      <c r="Z249" s="108"/>
      <c r="AA249" s="110"/>
    </row>
    <row r="250" customFormat="false" ht="26.1" hidden="false" customHeight="true" outlineLevel="0" collapsed="false">
      <c r="A250" s="97" t="n">
        <v>3</v>
      </c>
      <c r="B250" s="98" t="s">
        <v>648</v>
      </c>
      <c r="C250" s="99" t="s">
        <v>649</v>
      </c>
      <c r="D250" s="100" t="str">
        <f aca="false">B250&amp;"_"&amp;E250</f>
        <v>3.2_5.8.3</v>
      </c>
      <c r="E250" s="101" t="s">
        <v>702</v>
      </c>
      <c r="F250" s="102"/>
      <c r="G250" s="103"/>
      <c r="H250" s="103"/>
      <c r="I250" s="103"/>
      <c r="J250" s="103"/>
      <c r="K250" s="103"/>
      <c r="L250" s="103"/>
      <c r="M250" s="103"/>
      <c r="N250" s="103"/>
      <c r="O250" s="104" t="s">
        <v>703</v>
      </c>
      <c r="P250" s="105" t="s">
        <v>145</v>
      </c>
      <c r="Q250" s="106" t="s">
        <v>704</v>
      </c>
      <c r="R250" s="107" t="s">
        <v>71</v>
      </c>
      <c r="S250" s="108" t="n">
        <v>16</v>
      </c>
      <c r="T250" s="109" t="n">
        <v>42.12</v>
      </c>
      <c r="U250" s="110" t="n">
        <f aca="false">ROUND(T250*$S250,2)</f>
        <v>673.92</v>
      </c>
      <c r="V250" s="111"/>
      <c r="W250" s="110"/>
      <c r="X250" s="111"/>
      <c r="Y250" s="110"/>
      <c r="Z250" s="108"/>
      <c r="AA250" s="110"/>
    </row>
    <row r="251" customFormat="false" ht="26.1" hidden="false" customHeight="true" outlineLevel="0" collapsed="false">
      <c r="A251" s="97" t="n">
        <v>3</v>
      </c>
      <c r="B251" s="98" t="s">
        <v>648</v>
      </c>
      <c r="C251" s="99" t="s">
        <v>649</v>
      </c>
      <c r="D251" s="100" t="str">
        <f aca="false">B251&amp;"_"&amp;E251</f>
        <v>3.2_5.8.4</v>
      </c>
      <c r="E251" s="101" t="s">
        <v>448</v>
      </c>
      <c r="F251" s="102"/>
      <c r="G251" s="103"/>
      <c r="H251" s="103"/>
      <c r="I251" s="103"/>
      <c r="J251" s="103"/>
      <c r="K251" s="103"/>
      <c r="L251" s="103"/>
      <c r="M251" s="103"/>
      <c r="N251" s="103"/>
      <c r="O251" s="104" t="s">
        <v>449</v>
      </c>
      <c r="P251" s="105" t="s">
        <v>145</v>
      </c>
      <c r="Q251" s="106" t="s">
        <v>450</v>
      </c>
      <c r="R251" s="107" t="s">
        <v>71</v>
      </c>
      <c r="S251" s="108" t="n">
        <v>38</v>
      </c>
      <c r="T251" s="109" t="n">
        <v>47.38</v>
      </c>
      <c r="U251" s="110" t="n">
        <f aca="false">ROUND(T251*$S251,2)</f>
        <v>1800.44</v>
      </c>
      <c r="V251" s="111"/>
      <c r="W251" s="110"/>
      <c r="X251" s="111"/>
      <c r="Y251" s="110"/>
      <c r="Z251" s="108"/>
      <c r="AA251" s="110"/>
    </row>
    <row r="252" customFormat="false" ht="26.1" hidden="false" customHeight="true" outlineLevel="0" collapsed="false">
      <c r="A252" s="97" t="n">
        <v>3</v>
      </c>
      <c r="B252" s="98" t="s">
        <v>648</v>
      </c>
      <c r="C252" s="99" t="s">
        <v>649</v>
      </c>
      <c r="D252" s="100" t="str">
        <f aca="false">B252&amp;"_"&amp;E252</f>
        <v>3.2_5.8.5</v>
      </c>
      <c r="E252" s="101" t="s">
        <v>451</v>
      </c>
      <c r="F252" s="102"/>
      <c r="G252" s="103"/>
      <c r="H252" s="103"/>
      <c r="I252" s="103"/>
      <c r="J252" s="103"/>
      <c r="K252" s="103"/>
      <c r="L252" s="103"/>
      <c r="M252" s="103"/>
      <c r="N252" s="103"/>
      <c r="O252" s="104" t="s">
        <v>452</v>
      </c>
      <c r="P252" s="105" t="s">
        <v>145</v>
      </c>
      <c r="Q252" s="106" t="s">
        <v>453</v>
      </c>
      <c r="R252" s="107" t="s">
        <v>71</v>
      </c>
      <c r="S252" s="108" t="n">
        <v>32</v>
      </c>
      <c r="T252" s="109" t="n">
        <v>52.65</v>
      </c>
      <c r="U252" s="110" t="n">
        <f aca="false">ROUND(T252*$S252,2)</f>
        <v>1684.8</v>
      </c>
      <c r="V252" s="111"/>
      <c r="W252" s="110"/>
      <c r="X252" s="111"/>
      <c r="Y252" s="110"/>
      <c r="Z252" s="108"/>
      <c r="AA252" s="110"/>
    </row>
    <row r="253" customFormat="false" ht="26.1" hidden="false" customHeight="true" outlineLevel="0" collapsed="false">
      <c r="A253" s="97" t="n">
        <v>3</v>
      </c>
      <c r="B253" s="98" t="s">
        <v>648</v>
      </c>
      <c r="C253" s="99" t="s">
        <v>649</v>
      </c>
      <c r="D253" s="100" t="str">
        <f aca="false">B253&amp;"_"&amp;E253</f>
        <v>3.2_5.8.10</v>
      </c>
      <c r="E253" s="101" t="s">
        <v>466</v>
      </c>
      <c r="F253" s="102"/>
      <c r="G253" s="103"/>
      <c r="H253" s="103"/>
      <c r="I253" s="103"/>
      <c r="J253" s="103"/>
      <c r="K253" s="103"/>
      <c r="L253" s="103"/>
      <c r="M253" s="103"/>
      <c r="N253" s="103"/>
      <c r="O253" s="104" t="s">
        <v>467</v>
      </c>
      <c r="P253" s="105" t="s">
        <v>145</v>
      </c>
      <c r="Q253" s="106" t="s">
        <v>468</v>
      </c>
      <c r="R253" s="107" t="s">
        <v>71</v>
      </c>
      <c r="S253" s="108" t="n">
        <v>360</v>
      </c>
      <c r="T253" s="109" t="n">
        <v>13.26</v>
      </c>
      <c r="U253" s="110" t="n">
        <f aca="false">ROUND(T253*$S253,2)</f>
        <v>4773.6</v>
      </c>
      <c r="V253" s="111"/>
      <c r="W253" s="110"/>
      <c r="X253" s="111"/>
      <c r="Y253" s="110"/>
      <c r="Z253" s="108"/>
      <c r="AA253" s="110"/>
    </row>
    <row r="254" customFormat="false" ht="26.1" hidden="false" customHeight="true" outlineLevel="0" collapsed="false">
      <c r="A254" s="97" t="n">
        <v>3</v>
      </c>
      <c r="B254" s="98" t="s">
        <v>648</v>
      </c>
      <c r="C254" s="99" t="s">
        <v>649</v>
      </c>
      <c r="D254" s="100" t="str">
        <f aca="false">B254&amp;"_"&amp;E254</f>
        <v>3.2_5.8.11</v>
      </c>
      <c r="E254" s="101" t="s">
        <v>469</v>
      </c>
      <c r="F254" s="102"/>
      <c r="G254" s="103"/>
      <c r="H254" s="103"/>
      <c r="I254" s="103"/>
      <c r="J254" s="103"/>
      <c r="K254" s="103"/>
      <c r="L254" s="103"/>
      <c r="M254" s="103"/>
      <c r="N254" s="103"/>
      <c r="O254" s="104" t="s">
        <v>470</v>
      </c>
      <c r="P254" s="105" t="s">
        <v>145</v>
      </c>
      <c r="Q254" s="106" t="s">
        <v>471</v>
      </c>
      <c r="R254" s="107" t="s">
        <v>71</v>
      </c>
      <c r="S254" s="108" t="n">
        <v>72</v>
      </c>
      <c r="T254" s="109" t="n">
        <v>18.95</v>
      </c>
      <c r="U254" s="110" t="n">
        <f aca="false">ROUND(T254*$S254,2)</f>
        <v>1364.4</v>
      </c>
      <c r="V254" s="111"/>
      <c r="W254" s="110"/>
      <c r="X254" s="111"/>
      <c r="Y254" s="110"/>
      <c r="Z254" s="108"/>
      <c r="AA254" s="110"/>
    </row>
    <row r="255" customFormat="false" ht="26.1" hidden="false" customHeight="true" outlineLevel="0" collapsed="false">
      <c r="A255" s="97" t="n">
        <v>3</v>
      </c>
      <c r="B255" s="98" t="s">
        <v>648</v>
      </c>
      <c r="C255" s="99" t="s">
        <v>649</v>
      </c>
      <c r="D255" s="100" t="str">
        <f aca="false">B255&amp;"_"&amp;E255</f>
        <v>3.2_5.8.12</v>
      </c>
      <c r="E255" s="101" t="s">
        <v>705</v>
      </c>
      <c r="F255" s="102"/>
      <c r="G255" s="103"/>
      <c r="H255" s="103"/>
      <c r="I255" s="103"/>
      <c r="J255" s="103"/>
      <c r="K255" s="103"/>
      <c r="L255" s="103"/>
      <c r="M255" s="103"/>
      <c r="N255" s="103"/>
      <c r="O255" s="104" t="s">
        <v>706</v>
      </c>
      <c r="P255" s="105" t="s">
        <v>145</v>
      </c>
      <c r="Q255" s="106" t="s">
        <v>707</v>
      </c>
      <c r="R255" s="107" t="s">
        <v>71</v>
      </c>
      <c r="S255" s="108" t="n">
        <v>20</v>
      </c>
      <c r="T255" s="109" t="n">
        <v>60.02</v>
      </c>
      <c r="U255" s="110" t="n">
        <f aca="false">ROUND(T255*$S255,2)</f>
        <v>1200.4</v>
      </c>
      <c r="V255" s="111"/>
      <c r="W255" s="110"/>
      <c r="X255" s="111"/>
      <c r="Y255" s="110"/>
      <c r="Z255" s="108"/>
      <c r="AA255" s="110"/>
    </row>
    <row r="256" customFormat="false" ht="26.1" hidden="false" customHeight="true" outlineLevel="0" collapsed="false">
      <c r="A256" s="97" t="n">
        <v>3</v>
      </c>
      <c r="B256" s="98" t="s">
        <v>648</v>
      </c>
      <c r="C256" s="99" t="s">
        <v>649</v>
      </c>
      <c r="D256" s="100" t="str">
        <f aca="false">B256&amp;"_"&amp;E256</f>
        <v>3.2_5.8.13</v>
      </c>
      <c r="E256" s="101" t="s">
        <v>708</v>
      </c>
      <c r="F256" s="102"/>
      <c r="G256" s="103"/>
      <c r="H256" s="103"/>
      <c r="I256" s="103"/>
      <c r="J256" s="103"/>
      <c r="K256" s="103"/>
      <c r="L256" s="103"/>
      <c r="M256" s="103"/>
      <c r="N256" s="103"/>
      <c r="O256" s="104" t="s">
        <v>709</v>
      </c>
      <c r="P256" s="105" t="s">
        <v>145</v>
      </c>
      <c r="Q256" s="106" t="s">
        <v>710</v>
      </c>
      <c r="R256" s="107" t="s">
        <v>71</v>
      </c>
      <c r="S256" s="108" t="n">
        <v>38</v>
      </c>
      <c r="T256" s="109" t="n">
        <v>84.67</v>
      </c>
      <c r="U256" s="110" t="n">
        <f aca="false">ROUND(T256*$S256,2)</f>
        <v>3217.46</v>
      </c>
      <c r="V256" s="111"/>
      <c r="W256" s="110"/>
      <c r="X256" s="111"/>
      <c r="Y256" s="110"/>
      <c r="Z256" s="108"/>
      <c r="AA256" s="110"/>
    </row>
    <row r="257" customFormat="false" ht="26.1" hidden="false" customHeight="true" outlineLevel="0" collapsed="false">
      <c r="A257" s="97" t="n">
        <v>3</v>
      </c>
      <c r="B257" s="98" t="s">
        <v>648</v>
      </c>
      <c r="C257" s="99" t="s">
        <v>649</v>
      </c>
      <c r="D257" s="100" t="str">
        <f aca="false">B257&amp;"_"&amp;E257</f>
        <v>3.2_5.8.14</v>
      </c>
      <c r="E257" s="101" t="s">
        <v>711</v>
      </c>
      <c r="F257" s="102"/>
      <c r="G257" s="103"/>
      <c r="H257" s="103"/>
      <c r="I257" s="103"/>
      <c r="J257" s="103"/>
      <c r="K257" s="103"/>
      <c r="L257" s="103"/>
      <c r="M257" s="103"/>
      <c r="N257" s="103"/>
      <c r="O257" s="104" t="s">
        <v>712</v>
      </c>
      <c r="P257" s="105" t="s">
        <v>145</v>
      </c>
      <c r="Q257" s="106" t="s">
        <v>713</v>
      </c>
      <c r="R257" s="107" t="s">
        <v>71</v>
      </c>
      <c r="S257" s="108" t="n">
        <v>21</v>
      </c>
      <c r="T257" s="109" t="n">
        <v>109.32</v>
      </c>
      <c r="U257" s="110" t="n">
        <f aca="false">ROUND(T257*$S257,2)</f>
        <v>2295.72</v>
      </c>
      <c r="V257" s="111"/>
      <c r="W257" s="110"/>
      <c r="X257" s="111"/>
      <c r="Y257" s="110"/>
      <c r="Z257" s="108"/>
      <c r="AA257" s="110"/>
    </row>
    <row r="258" customFormat="false" ht="26.1" hidden="false" customHeight="true" outlineLevel="0" collapsed="false">
      <c r="A258" s="97" t="n">
        <v>3</v>
      </c>
      <c r="B258" s="98" t="s">
        <v>648</v>
      </c>
      <c r="C258" s="99" t="s">
        <v>649</v>
      </c>
      <c r="D258" s="100" t="str">
        <f aca="false">B258&amp;"_"&amp;E258</f>
        <v>3.2_5.8.15</v>
      </c>
      <c r="E258" s="101" t="s">
        <v>714</v>
      </c>
      <c r="F258" s="102"/>
      <c r="G258" s="103"/>
      <c r="H258" s="103"/>
      <c r="I258" s="103"/>
      <c r="J258" s="103"/>
      <c r="K258" s="103"/>
      <c r="L258" s="103"/>
      <c r="M258" s="103"/>
      <c r="N258" s="103"/>
      <c r="O258" s="104" t="s">
        <v>715</v>
      </c>
      <c r="P258" s="105" t="s">
        <v>145</v>
      </c>
      <c r="Q258" s="106" t="s">
        <v>716</v>
      </c>
      <c r="R258" s="107" t="s">
        <v>71</v>
      </c>
      <c r="S258" s="108" t="n">
        <v>3</v>
      </c>
      <c r="T258" s="109" t="n">
        <v>180.27</v>
      </c>
      <c r="U258" s="110" t="n">
        <f aca="false">ROUND(T258*$S258,2)</f>
        <v>540.81</v>
      </c>
      <c r="V258" s="111"/>
      <c r="W258" s="110"/>
      <c r="X258" s="111"/>
      <c r="Y258" s="110"/>
      <c r="Z258" s="108"/>
      <c r="AA258" s="110"/>
    </row>
    <row r="259" customFormat="false" ht="26.1" hidden="false" customHeight="true" outlineLevel="0" collapsed="false">
      <c r="A259" s="97" t="n">
        <v>3</v>
      </c>
      <c r="B259" s="98" t="s">
        <v>648</v>
      </c>
      <c r="C259" s="99" t="s">
        <v>649</v>
      </c>
      <c r="D259" s="100" t="str">
        <f aca="false">B259&amp;"_"&amp;E259</f>
        <v>3.2_5.8.16</v>
      </c>
      <c r="E259" s="101" t="s">
        <v>717</v>
      </c>
      <c r="F259" s="102"/>
      <c r="G259" s="103"/>
      <c r="H259" s="103"/>
      <c r="I259" s="103"/>
      <c r="J259" s="103"/>
      <c r="K259" s="103"/>
      <c r="L259" s="103"/>
      <c r="M259" s="103"/>
      <c r="N259" s="103"/>
      <c r="O259" s="104" t="s">
        <v>718</v>
      </c>
      <c r="P259" s="105" t="s">
        <v>145</v>
      </c>
      <c r="Q259" s="106" t="s">
        <v>719</v>
      </c>
      <c r="R259" s="107" t="s">
        <v>71</v>
      </c>
      <c r="S259" s="108" t="n">
        <v>2</v>
      </c>
      <c r="T259" s="109" t="n">
        <v>204.91</v>
      </c>
      <c r="U259" s="110" t="n">
        <f aca="false">ROUND(T259*$S259,2)</f>
        <v>409.82</v>
      </c>
      <c r="V259" s="111"/>
      <c r="W259" s="110"/>
      <c r="X259" s="111"/>
      <c r="Y259" s="110"/>
      <c r="Z259" s="108"/>
      <c r="AA259" s="110"/>
    </row>
    <row r="260" customFormat="false" ht="26.1" hidden="false" customHeight="true" outlineLevel="0" collapsed="false">
      <c r="A260" s="97" t="n">
        <v>3</v>
      </c>
      <c r="B260" s="98" t="s">
        <v>648</v>
      </c>
      <c r="C260" s="99" t="s">
        <v>649</v>
      </c>
      <c r="D260" s="100" t="str">
        <f aca="false">B260&amp;"_"&amp;E260</f>
        <v>3.2_5.8.17</v>
      </c>
      <c r="E260" s="101" t="s">
        <v>720</v>
      </c>
      <c r="F260" s="102"/>
      <c r="G260" s="103"/>
      <c r="H260" s="103"/>
      <c r="I260" s="103"/>
      <c r="J260" s="103"/>
      <c r="K260" s="103"/>
      <c r="L260" s="103"/>
      <c r="M260" s="103"/>
      <c r="N260" s="103"/>
      <c r="O260" s="104" t="s">
        <v>721</v>
      </c>
      <c r="P260" s="105" t="s">
        <v>145</v>
      </c>
      <c r="Q260" s="106" t="s">
        <v>722</v>
      </c>
      <c r="R260" s="107" t="s">
        <v>71</v>
      </c>
      <c r="S260" s="108" t="n">
        <v>6</v>
      </c>
      <c r="T260" s="109" t="n">
        <v>275.88</v>
      </c>
      <c r="U260" s="110" t="n">
        <f aca="false">ROUND(T260*$S260,2)</f>
        <v>1655.28</v>
      </c>
      <c r="V260" s="111"/>
      <c r="W260" s="110"/>
      <c r="X260" s="111"/>
      <c r="Y260" s="110"/>
      <c r="Z260" s="108"/>
      <c r="AA260" s="110"/>
    </row>
    <row r="261" customFormat="false" ht="26.1" hidden="false" customHeight="true" outlineLevel="0" collapsed="false">
      <c r="A261" s="97" t="n">
        <v>3</v>
      </c>
      <c r="B261" s="98" t="s">
        <v>648</v>
      </c>
      <c r="C261" s="99" t="s">
        <v>649</v>
      </c>
      <c r="D261" s="100" t="str">
        <f aca="false">B261&amp;"_"&amp;E261</f>
        <v>3.2_5.8.18</v>
      </c>
      <c r="E261" s="101" t="s">
        <v>723</v>
      </c>
      <c r="F261" s="102"/>
      <c r="G261" s="103"/>
      <c r="H261" s="103"/>
      <c r="I261" s="103"/>
      <c r="J261" s="103"/>
      <c r="K261" s="103"/>
      <c r="L261" s="103"/>
      <c r="M261" s="103"/>
      <c r="N261" s="103"/>
      <c r="O261" s="104" t="s">
        <v>724</v>
      </c>
      <c r="P261" s="105" t="s">
        <v>145</v>
      </c>
      <c r="Q261" s="106" t="s">
        <v>725</v>
      </c>
      <c r="R261" s="107" t="s">
        <v>71</v>
      </c>
      <c r="S261" s="108" t="n">
        <v>85</v>
      </c>
      <c r="T261" s="109" t="n">
        <v>50.15</v>
      </c>
      <c r="U261" s="110" t="n">
        <f aca="false">ROUND(T261*$S261,2)</f>
        <v>4262.75</v>
      </c>
      <c r="V261" s="111"/>
      <c r="W261" s="110"/>
      <c r="X261" s="111"/>
      <c r="Y261" s="110"/>
      <c r="Z261" s="108"/>
      <c r="AA261" s="110"/>
    </row>
    <row r="262" customFormat="false" ht="26.1" hidden="false" customHeight="true" outlineLevel="0" collapsed="false">
      <c r="A262" s="97" t="n">
        <v>3</v>
      </c>
      <c r="B262" s="98" t="s">
        <v>648</v>
      </c>
      <c r="C262" s="99" t="s">
        <v>649</v>
      </c>
      <c r="D262" s="100" t="str">
        <f aca="false">B262&amp;"_"&amp;E262</f>
        <v>3.2_5.8.19</v>
      </c>
      <c r="E262" s="101" t="s">
        <v>472</v>
      </c>
      <c r="F262" s="102"/>
      <c r="G262" s="103"/>
      <c r="H262" s="103"/>
      <c r="I262" s="103"/>
      <c r="J262" s="103"/>
      <c r="K262" s="103"/>
      <c r="L262" s="103"/>
      <c r="M262" s="103"/>
      <c r="N262" s="103"/>
      <c r="O262" s="104" t="s">
        <v>473</v>
      </c>
      <c r="P262" s="105" t="s">
        <v>145</v>
      </c>
      <c r="Q262" s="106" t="s">
        <v>474</v>
      </c>
      <c r="R262" s="107" t="s">
        <v>71</v>
      </c>
      <c r="S262" s="108" t="n">
        <v>1</v>
      </c>
      <c r="T262" s="109" t="n">
        <v>46.32</v>
      </c>
      <c r="U262" s="110" t="n">
        <f aca="false">ROUND(T262*$S262,2)</f>
        <v>46.32</v>
      </c>
      <c r="V262" s="111"/>
      <c r="W262" s="110"/>
      <c r="X262" s="111"/>
      <c r="Y262" s="110"/>
      <c r="Z262" s="108"/>
      <c r="AA262" s="110"/>
    </row>
    <row r="263" customFormat="false" ht="26.1" hidden="false" customHeight="true" outlineLevel="0" collapsed="false">
      <c r="A263" s="97" t="n">
        <v>3</v>
      </c>
      <c r="B263" s="98" t="s">
        <v>648</v>
      </c>
      <c r="C263" s="99" t="s">
        <v>649</v>
      </c>
      <c r="D263" s="100" t="str">
        <f aca="false">B263&amp;"_"&amp;E263</f>
        <v>3.2_5.8.20</v>
      </c>
      <c r="E263" s="101" t="s">
        <v>475</v>
      </c>
      <c r="F263" s="102"/>
      <c r="G263" s="103"/>
      <c r="H263" s="103"/>
      <c r="I263" s="103"/>
      <c r="J263" s="103"/>
      <c r="K263" s="103"/>
      <c r="L263" s="103"/>
      <c r="M263" s="103"/>
      <c r="N263" s="103"/>
      <c r="O263" s="104" t="s">
        <v>476</v>
      </c>
      <c r="P263" s="105" t="s">
        <v>145</v>
      </c>
      <c r="Q263" s="106" t="s">
        <v>477</v>
      </c>
      <c r="R263" s="107" t="s">
        <v>71</v>
      </c>
      <c r="S263" s="108" t="n">
        <v>16</v>
      </c>
      <c r="T263" s="109" t="n">
        <v>67.39</v>
      </c>
      <c r="U263" s="110" t="n">
        <f aca="false">ROUND(T263*$S263,2)</f>
        <v>1078.24</v>
      </c>
      <c r="V263" s="111"/>
      <c r="W263" s="110"/>
      <c r="X263" s="111"/>
      <c r="Y263" s="110"/>
      <c r="Z263" s="108"/>
      <c r="AA263" s="110"/>
    </row>
    <row r="264" customFormat="false" ht="26.1" hidden="false" customHeight="true" outlineLevel="0" collapsed="false">
      <c r="A264" s="97" t="n">
        <v>3</v>
      </c>
      <c r="B264" s="98" t="s">
        <v>648</v>
      </c>
      <c r="C264" s="99" t="s">
        <v>649</v>
      </c>
      <c r="D264" s="100" t="str">
        <f aca="false">B264&amp;"_"&amp;E264</f>
        <v>3.2_5.8.21</v>
      </c>
      <c r="E264" s="101" t="s">
        <v>478</v>
      </c>
      <c r="F264" s="102"/>
      <c r="G264" s="103"/>
      <c r="H264" s="103"/>
      <c r="I264" s="103"/>
      <c r="J264" s="103"/>
      <c r="K264" s="103"/>
      <c r="L264" s="103"/>
      <c r="M264" s="103"/>
      <c r="N264" s="103"/>
      <c r="O264" s="104" t="s">
        <v>479</v>
      </c>
      <c r="P264" s="105" t="s">
        <v>145</v>
      </c>
      <c r="Q264" s="106" t="s">
        <v>480</v>
      </c>
      <c r="R264" s="107" t="s">
        <v>71</v>
      </c>
      <c r="S264" s="108" t="n">
        <v>4</v>
      </c>
      <c r="T264" s="109" t="n">
        <v>94.77</v>
      </c>
      <c r="U264" s="110" t="n">
        <f aca="false">ROUND(T264*$S264,2)</f>
        <v>379.08</v>
      </c>
      <c r="V264" s="111"/>
      <c r="W264" s="110"/>
      <c r="X264" s="111"/>
      <c r="Y264" s="110"/>
      <c r="Z264" s="108"/>
      <c r="AA264" s="110"/>
    </row>
    <row r="265" customFormat="false" ht="26.1" hidden="false" customHeight="true" outlineLevel="0" collapsed="false">
      <c r="A265" s="97" t="n">
        <v>3</v>
      </c>
      <c r="B265" s="98" t="s">
        <v>648</v>
      </c>
      <c r="C265" s="99" t="s">
        <v>649</v>
      </c>
      <c r="D265" s="100" t="str">
        <f aca="false">B265&amp;"_"&amp;E265</f>
        <v>3.2_5.8.22</v>
      </c>
      <c r="E265" s="101" t="s">
        <v>481</v>
      </c>
      <c r="F265" s="102"/>
      <c r="G265" s="103"/>
      <c r="H265" s="103"/>
      <c r="I265" s="103"/>
      <c r="J265" s="103"/>
      <c r="K265" s="103"/>
      <c r="L265" s="103"/>
      <c r="M265" s="103"/>
      <c r="N265" s="103"/>
      <c r="O265" s="104" t="s">
        <v>482</v>
      </c>
      <c r="P265" s="105" t="s">
        <v>145</v>
      </c>
      <c r="Q265" s="106" t="s">
        <v>483</v>
      </c>
      <c r="R265" s="107" t="s">
        <v>71</v>
      </c>
      <c r="S265" s="108" t="n">
        <v>1</v>
      </c>
      <c r="T265" s="109" t="n">
        <v>105.3</v>
      </c>
      <c r="U265" s="110" t="n">
        <f aca="false">ROUND(T265*$S265,2)</f>
        <v>105.3</v>
      </c>
      <c r="V265" s="111"/>
      <c r="W265" s="110"/>
      <c r="X265" s="111"/>
      <c r="Y265" s="110"/>
      <c r="Z265" s="108"/>
      <c r="AA265" s="110"/>
    </row>
    <row r="266" customFormat="false" ht="26.1" hidden="false" customHeight="true" outlineLevel="0" collapsed="false">
      <c r="A266" s="97" t="n">
        <v>3</v>
      </c>
      <c r="B266" s="98" t="s">
        <v>648</v>
      </c>
      <c r="C266" s="99" t="s">
        <v>649</v>
      </c>
      <c r="D266" s="100" t="str">
        <f aca="false">B266&amp;"_"&amp;E266</f>
        <v>3.2_5.8.23</v>
      </c>
      <c r="E266" s="101" t="s">
        <v>484</v>
      </c>
      <c r="F266" s="102"/>
      <c r="G266" s="103"/>
      <c r="H266" s="103"/>
      <c r="I266" s="103"/>
      <c r="J266" s="103"/>
      <c r="K266" s="103"/>
      <c r="L266" s="103"/>
      <c r="M266" s="103"/>
      <c r="N266" s="103"/>
      <c r="O266" s="104" t="s">
        <v>485</v>
      </c>
      <c r="P266" s="105" t="s">
        <v>145</v>
      </c>
      <c r="Q266" s="106" t="s">
        <v>486</v>
      </c>
      <c r="R266" s="107" t="s">
        <v>71</v>
      </c>
      <c r="S266" s="108" t="n">
        <v>1</v>
      </c>
      <c r="T266" s="109" t="n">
        <v>117.94</v>
      </c>
      <c r="U266" s="110" t="n">
        <f aca="false">ROUND(T266*$S266,2)</f>
        <v>117.94</v>
      </c>
      <c r="V266" s="111"/>
      <c r="W266" s="110"/>
      <c r="X266" s="111"/>
      <c r="Y266" s="110"/>
      <c r="Z266" s="108"/>
      <c r="AA266" s="110"/>
    </row>
    <row r="267" customFormat="false" ht="26.1" hidden="false" customHeight="true" outlineLevel="0" collapsed="false">
      <c r="A267" s="97" t="n">
        <v>3</v>
      </c>
      <c r="B267" s="98" t="s">
        <v>648</v>
      </c>
      <c r="C267" s="99" t="s">
        <v>649</v>
      </c>
      <c r="D267" s="100" t="str">
        <f aca="false">B267&amp;"_"&amp;E267</f>
        <v>3.2_5.8.26</v>
      </c>
      <c r="E267" s="101" t="s">
        <v>493</v>
      </c>
      <c r="F267" s="102"/>
      <c r="G267" s="103"/>
      <c r="H267" s="103"/>
      <c r="I267" s="103"/>
      <c r="J267" s="103"/>
      <c r="K267" s="103"/>
      <c r="L267" s="103"/>
      <c r="M267" s="103"/>
      <c r="N267" s="103"/>
      <c r="O267" s="104" t="s">
        <v>494</v>
      </c>
      <c r="P267" s="105" t="s">
        <v>145</v>
      </c>
      <c r="Q267" s="106" t="s">
        <v>495</v>
      </c>
      <c r="R267" s="107" t="s">
        <v>71</v>
      </c>
      <c r="S267" s="108" t="n">
        <v>2</v>
      </c>
      <c r="T267" s="109" t="n">
        <v>26.52</v>
      </c>
      <c r="U267" s="110" t="n">
        <f aca="false">ROUND(T267*$S267,2)</f>
        <v>53.04</v>
      </c>
      <c r="V267" s="111"/>
      <c r="W267" s="110"/>
      <c r="X267" s="111"/>
      <c r="Y267" s="110"/>
      <c r="Z267" s="108"/>
      <c r="AA267" s="110"/>
    </row>
    <row r="268" customFormat="false" ht="26.1" hidden="false" customHeight="true" outlineLevel="0" collapsed="false">
      <c r="A268" s="97" t="n">
        <v>3</v>
      </c>
      <c r="B268" s="98" t="s">
        <v>648</v>
      </c>
      <c r="C268" s="99" t="s">
        <v>649</v>
      </c>
      <c r="D268" s="100" t="str">
        <f aca="false">B268&amp;"_"&amp;E268</f>
        <v>3.2_5.8.27</v>
      </c>
      <c r="E268" s="101" t="s">
        <v>496</v>
      </c>
      <c r="F268" s="102"/>
      <c r="G268" s="103"/>
      <c r="H268" s="103"/>
      <c r="I268" s="103"/>
      <c r="J268" s="103"/>
      <c r="K268" s="103"/>
      <c r="L268" s="103"/>
      <c r="M268" s="103"/>
      <c r="N268" s="103"/>
      <c r="O268" s="104" t="s">
        <v>497</v>
      </c>
      <c r="P268" s="105" t="s">
        <v>145</v>
      </c>
      <c r="Q268" s="106" t="s">
        <v>498</v>
      </c>
      <c r="R268" s="107" t="s">
        <v>71</v>
      </c>
      <c r="S268" s="108" t="n">
        <v>1</v>
      </c>
      <c r="T268" s="109" t="n">
        <v>37.9</v>
      </c>
      <c r="U268" s="110" t="n">
        <f aca="false">ROUND(T268*$S268,2)</f>
        <v>37.9</v>
      </c>
      <c r="V268" s="111"/>
      <c r="W268" s="110"/>
      <c r="X268" s="111"/>
      <c r="Y268" s="110"/>
      <c r="Z268" s="108"/>
      <c r="AA268" s="110"/>
    </row>
    <row r="269" customFormat="false" ht="26.1" hidden="false" customHeight="true" outlineLevel="0" collapsed="false">
      <c r="A269" s="97" t="n">
        <v>3</v>
      </c>
      <c r="B269" s="98" t="s">
        <v>648</v>
      </c>
      <c r="C269" s="99" t="s">
        <v>649</v>
      </c>
      <c r="D269" s="100" t="str">
        <f aca="false">B269&amp;"_"&amp;E269</f>
        <v>3.2_5.8.29</v>
      </c>
      <c r="E269" s="101" t="s">
        <v>726</v>
      </c>
      <c r="F269" s="102"/>
      <c r="G269" s="103"/>
      <c r="H269" s="103"/>
      <c r="I269" s="103"/>
      <c r="J269" s="103"/>
      <c r="K269" s="103"/>
      <c r="L269" s="103"/>
      <c r="M269" s="103"/>
      <c r="N269" s="103"/>
      <c r="O269" s="104" t="s">
        <v>727</v>
      </c>
      <c r="P269" s="105" t="s">
        <v>145</v>
      </c>
      <c r="Q269" s="106" t="s">
        <v>728</v>
      </c>
      <c r="R269" s="107" t="s">
        <v>120</v>
      </c>
      <c r="S269" s="108" t="n">
        <v>2.46</v>
      </c>
      <c r="T269" s="109" t="n">
        <v>14.47</v>
      </c>
      <c r="U269" s="110" t="n">
        <f aca="false">ROUND(T269*$S269,2)</f>
        <v>35.6</v>
      </c>
      <c r="V269" s="111"/>
      <c r="W269" s="110"/>
      <c r="X269" s="111"/>
      <c r="Y269" s="110"/>
      <c r="Z269" s="108"/>
      <c r="AA269" s="110"/>
    </row>
    <row r="270" customFormat="false" ht="26.1" hidden="false" customHeight="true" outlineLevel="0" collapsed="false">
      <c r="A270" s="97" t="n">
        <v>3</v>
      </c>
      <c r="B270" s="98" t="s">
        <v>648</v>
      </c>
      <c r="C270" s="99" t="s">
        <v>649</v>
      </c>
      <c r="D270" s="100" t="str">
        <f aca="false">B270&amp;"_"&amp;E270</f>
        <v>3.2_5.8.30</v>
      </c>
      <c r="E270" s="101" t="s">
        <v>729</v>
      </c>
      <c r="F270" s="102"/>
      <c r="G270" s="103"/>
      <c r="H270" s="103"/>
      <c r="I270" s="103"/>
      <c r="J270" s="103"/>
      <c r="K270" s="103"/>
      <c r="L270" s="103"/>
      <c r="M270" s="103"/>
      <c r="N270" s="103"/>
      <c r="O270" s="104" t="s">
        <v>730</v>
      </c>
      <c r="P270" s="105" t="s">
        <v>145</v>
      </c>
      <c r="Q270" s="106" t="s">
        <v>731</v>
      </c>
      <c r="R270" s="107" t="s">
        <v>120</v>
      </c>
      <c r="S270" s="108" t="n">
        <v>16.17</v>
      </c>
      <c r="T270" s="109" t="n">
        <v>20.37</v>
      </c>
      <c r="U270" s="110" t="n">
        <f aca="false">ROUND(T270*$S270,2)</f>
        <v>329.38</v>
      </c>
      <c r="V270" s="111"/>
      <c r="W270" s="110"/>
      <c r="X270" s="111"/>
      <c r="Y270" s="110"/>
      <c r="Z270" s="108"/>
      <c r="AA270" s="110"/>
    </row>
    <row r="271" customFormat="false" ht="26.1" hidden="false" customHeight="true" outlineLevel="0" collapsed="false">
      <c r="A271" s="97" t="n">
        <v>3</v>
      </c>
      <c r="B271" s="98" t="s">
        <v>648</v>
      </c>
      <c r="C271" s="99" t="s">
        <v>649</v>
      </c>
      <c r="D271" s="100" t="str">
        <f aca="false">B271&amp;"_"&amp;E271</f>
        <v>3.2_5.8.31</v>
      </c>
      <c r="E271" s="101" t="s">
        <v>732</v>
      </c>
      <c r="F271" s="102"/>
      <c r="G271" s="103"/>
      <c r="H271" s="103"/>
      <c r="I271" s="103"/>
      <c r="J271" s="103"/>
      <c r="K271" s="103"/>
      <c r="L271" s="103"/>
      <c r="M271" s="103"/>
      <c r="N271" s="103"/>
      <c r="O271" s="104" t="s">
        <v>733</v>
      </c>
      <c r="P271" s="105" t="s">
        <v>145</v>
      </c>
      <c r="Q271" s="106" t="s">
        <v>734</v>
      </c>
      <c r="R271" s="107" t="s">
        <v>120</v>
      </c>
      <c r="S271" s="108" t="n">
        <v>8.67</v>
      </c>
      <c r="T271" s="109" t="n">
        <v>26.28</v>
      </c>
      <c r="U271" s="110" t="n">
        <f aca="false">ROUND(T271*$S271,2)</f>
        <v>227.85</v>
      </c>
      <c r="V271" s="111"/>
      <c r="W271" s="110"/>
      <c r="X271" s="111"/>
      <c r="Y271" s="110"/>
      <c r="Z271" s="108"/>
      <c r="AA271" s="110"/>
    </row>
    <row r="272" customFormat="false" ht="26.1" hidden="false" customHeight="true" outlineLevel="0" collapsed="false">
      <c r="A272" s="97" t="n">
        <v>3</v>
      </c>
      <c r="B272" s="98" t="s">
        <v>648</v>
      </c>
      <c r="C272" s="99" t="s">
        <v>649</v>
      </c>
      <c r="D272" s="100" t="str">
        <f aca="false">B272&amp;"_"&amp;E272</f>
        <v>3.2_5.8.32</v>
      </c>
      <c r="E272" s="101" t="s">
        <v>735</v>
      </c>
      <c r="F272" s="102"/>
      <c r="G272" s="103"/>
      <c r="H272" s="103"/>
      <c r="I272" s="103"/>
      <c r="J272" s="103"/>
      <c r="K272" s="103"/>
      <c r="L272" s="103"/>
      <c r="M272" s="103"/>
      <c r="N272" s="103"/>
      <c r="O272" s="104" t="s">
        <v>736</v>
      </c>
      <c r="P272" s="105" t="s">
        <v>145</v>
      </c>
      <c r="Q272" s="106" t="s">
        <v>737</v>
      </c>
      <c r="R272" s="107" t="s">
        <v>120</v>
      </c>
      <c r="S272" s="108" t="n">
        <v>1.06</v>
      </c>
      <c r="T272" s="109" t="n">
        <v>46.12</v>
      </c>
      <c r="U272" s="110" t="n">
        <f aca="false">ROUND(T272*$S272,2)</f>
        <v>48.89</v>
      </c>
      <c r="V272" s="111"/>
      <c r="W272" s="110"/>
      <c r="X272" s="111"/>
      <c r="Y272" s="110"/>
      <c r="Z272" s="108"/>
      <c r="AA272" s="110"/>
    </row>
    <row r="273" customFormat="false" ht="26.1" hidden="false" customHeight="true" outlineLevel="0" collapsed="false">
      <c r="A273" s="97" t="n">
        <v>3</v>
      </c>
      <c r="B273" s="98" t="s">
        <v>648</v>
      </c>
      <c r="C273" s="99" t="s">
        <v>649</v>
      </c>
      <c r="D273" s="100" t="str">
        <f aca="false">B273&amp;"_"&amp;E273</f>
        <v>3.2_5.8.33</v>
      </c>
      <c r="E273" s="101" t="s">
        <v>738</v>
      </c>
      <c r="F273" s="102"/>
      <c r="G273" s="103"/>
      <c r="H273" s="103"/>
      <c r="I273" s="103"/>
      <c r="J273" s="103"/>
      <c r="K273" s="103"/>
      <c r="L273" s="103"/>
      <c r="M273" s="103"/>
      <c r="N273" s="103"/>
      <c r="O273" s="104" t="s">
        <v>739</v>
      </c>
      <c r="P273" s="105" t="s">
        <v>145</v>
      </c>
      <c r="Q273" s="106" t="s">
        <v>740</v>
      </c>
      <c r="R273" s="107" t="s">
        <v>120</v>
      </c>
      <c r="S273" s="108" t="n">
        <v>1.4</v>
      </c>
      <c r="T273" s="109" t="n">
        <v>60.01</v>
      </c>
      <c r="U273" s="110" t="n">
        <f aca="false">ROUND(T273*$S273,2)</f>
        <v>84.01</v>
      </c>
      <c r="V273" s="111"/>
      <c r="W273" s="110"/>
      <c r="X273" s="111"/>
      <c r="Y273" s="110"/>
      <c r="Z273" s="108"/>
      <c r="AA273" s="110"/>
    </row>
    <row r="274" customFormat="false" ht="26.1" hidden="false" customHeight="true" outlineLevel="0" collapsed="false">
      <c r="A274" s="97" t="n">
        <v>3</v>
      </c>
      <c r="B274" s="98" t="s">
        <v>648</v>
      </c>
      <c r="C274" s="99" t="s">
        <v>649</v>
      </c>
      <c r="D274" s="100" t="str">
        <f aca="false">B274&amp;"_"&amp;E274</f>
        <v>3.2_5.8.34</v>
      </c>
      <c r="E274" s="101" t="s">
        <v>741</v>
      </c>
      <c r="F274" s="102"/>
      <c r="G274" s="103"/>
      <c r="H274" s="103"/>
      <c r="I274" s="103"/>
      <c r="J274" s="103"/>
      <c r="K274" s="103"/>
      <c r="L274" s="103"/>
      <c r="M274" s="103"/>
      <c r="N274" s="103"/>
      <c r="O274" s="104" t="s">
        <v>742</v>
      </c>
      <c r="P274" s="105" t="s">
        <v>145</v>
      </c>
      <c r="Q274" s="106" t="s">
        <v>743</v>
      </c>
      <c r="R274" s="107" t="s">
        <v>120</v>
      </c>
      <c r="S274" s="108" t="n">
        <v>40.83</v>
      </c>
      <c r="T274" s="109" t="n">
        <v>12.09</v>
      </c>
      <c r="U274" s="110" t="n">
        <f aca="false">ROUND(T274*$S274,2)</f>
        <v>493.63</v>
      </c>
      <c r="V274" s="111"/>
      <c r="W274" s="110"/>
      <c r="X274" s="111"/>
      <c r="Y274" s="110"/>
      <c r="Z274" s="108"/>
      <c r="AA274" s="110"/>
    </row>
    <row r="275" customFormat="false" ht="26.1" hidden="false" customHeight="true" outlineLevel="0" collapsed="false">
      <c r="A275" s="97" t="n">
        <v>3</v>
      </c>
      <c r="B275" s="98" t="s">
        <v>648</v>
      </c>
      <c r="C275" s="99" t="s">
        <v>649</v>
      </c>
      <c r="D275" s="100" t="str">
        <f aca="false">B275&amp;"_"&amp;E275</f>
        <v>3.2_5.8.44</v>
      </c>
      <c r="E275" s="101" t="s">
        <v>186</v>
      </c>
      <c r="F275" s="102"/>
      <c r="G275" s="103"/>
      <c r="H275" s="103"/>
      <c r="I275" s="103"/>
      <c r="J275" s="103"/>
      <c r="K275" s="103"/>
      <c r="L275" s="103"/>
      <c r="M275" s="103"/>
      <c r="N275" s="103"/>
      <c r="O275" s="104" t="s">
        <v>187</v>
      </c>
      <c r="P275" s="105" t="s">
        <v>145</v>
      </c>
      <c r="Q275" s="106" t="s">
        <v>188</v>
      </c>
      <c r="R275" s="107" t="s">
        <v>120</v>
      </c>
      <c r="S275" s="108" t="n">
        <v>31.5</v>
      </c>
      <c r="T275" s="109" t="n">
        <v>0.78</v>
      </c>
      <c r="U275" s="110" t="n">
        <f aca="false">ROUND(T275*$S275,2)</f>
        <v>24.57</v>
      </c>
      <c r="V275" s="111"/>
      <c r="W275" s="110"/>
      <c r="X275" s="111"/>
      <c r="Y275" s="110"/>
      <c r="Z275" s="108"/>
      <c r="AA275" s="110"/>
    </row>
    <row r="276" customFormat="false" ht="26.1" hidden="false" customHeight="true" outlineLevel="0" collapsed="false">
      <c r="A276" s="97" t="n">
        <v>3</v>
      </c>
      <c r="B276" s="98" t="s">
        <v>648</v>
      </c>
      <c r="C276" s="99" t="s">
        <v>649</v>
      </c>
      <c r="D276" s="100" t="str">
        <f aca="false">B276&amp;"_"&amp;E276</f>
        <v>3.2_5.8.47</v>
      </c>
      <c r="E276" s="101" t="s">
        <v>532</v>
      </c>
      <c r="F276" s="102"/>
      <c r="G276" s="103"/>
      <c r="H276" s="103"/>
      <c r="I276" s="103"/>
      <c r="J276" s="103"/>
      <c r="K276" s="103"/>
      <c r="L276" s="103"/>
      <c r="M276" s="103"/>
      <c r="N276" s="103"/>
      <c r="O276" s="104" t="s">
        <v>533</v>
      </c>
      <c r="P276" s="105" t="s">
        <v>145</v>
      </c>
      <c r="Q276" s="106" t="s">
        <v>534</v>
      </c>
      <c r="R276" s="107" t="s">
        <v>71</v>
      </c>
      <c r="S276" s="108" t="n">
        <v>6</v>
      </c>
      <c r="T276" s="109" t="n">
        <v>10.14</v>
      </c>
      <c r="U276" s="110" t="n">
        <f aca="false">ROUND(T276*$S276,2)</f>
        <v>60.84</v>
      </c>
      <c r="V276" s="111"/>
      <c r="W276" s="110"/>
      <c r="X276" s="111"/>
      <c r="Y276" s="110"/>
      <c r="Z276" s="108"/>
      <c r="AA276" s="110"/>
    </row>
    <row r="277" customFormat="false" ht="20.1" hidden="false" customHeight="true" outlineLevel="0" collapsed="false">
      <c r="A277" s="82" t="n">
        <v>3</v>
      </c>
      <c r="B277" s="83"/>
      <c r="C277" s="84"/>
      <c r="D277" s="85"/>
      <c r="E277" s="86" t="s">
        <v>744</v>
      </c>
      <c r="F277" s="87"/>
      <c r="G277" s="88"/>
      <c r="H277" s="88"/>
      <c r="I277" s="88"/>
      <c r="J277" s="88"/>
      <c r="K277" s="88"/>
      <c r="L277" s="88"/>
      <c r="M277" s="88"/>
      <c r="N277" s="88"/>
      <c r="O277" s="89" t="s">
        <v>745</v>
      </c>
      <c r="P277" s="90"/>
      <c r="Q277" s="91" t="s">
        <v>746</v>
      </c>
      <c r="R277" s="92"/>
      <c r="S277" s="93"/>
      <c r="T277" s="94"/>
      <c r="U277" s="95" t="n">
        <f aca="false">SUM(U278:U278)</f>
        <v>67910.04</v>
      </c>
      <c r="V277" s="96"/>
      <c r="W277" s="95"/>
      <c r="X277" s="96"/>
      <c r="Y277" s="95"/>
      <c r="Z277" s="93"/>
      <c r="AA277" s="95"/>
    </row>
    <row r="278" customFormat="false" ht="26.1" hidden="false" customHeight="true" outlineLevel="0" collapsed="false">
      <c r="A278" s="97" t="n">
        <v>3</v>
      </c>
      <c r="B278" s="98" t="s">
        <v>648</v>
      </c>
      <c r="C278" s="99" t="s">
        <v>649</v>
      </c>
      <c r="D278" s="100" t="str">
        <f aca="false">B278&amp;"_"&amp;E278</f>
        <v>3.2_5.12.1</v>
      </c>
      <c r="E278" s="101" t="s">
        <v>747</v>
      </c>
      <c r="F278" s="102"/>
      <c r="G278" s="103"/>
      <c r="H278" s="103"/>
      <c r="I278" s="103"/>
      <c r="J278" s="103"/>
      <c r="K278" s="103"/>
      <c r="L278" s="103"/>
      <c r="M278" s="103"/>
      <c r="N278" s="103"/>
      <c r="O278" s="104" t="s">
        <v>748</v>
      </c>
      <c r="P278" s="105" t="s">
        <v>145</v>
      </c>
      <c r="Q278" s="106" t="s">
        <v>749</v>
      </c>
      <c r="R278" s="107" t="s">
        <v>150</v>
      </c>
      <c r="S278" s="108" t="n">
        <v>1559</v>
      </c>
      <c r="T278" s="109" t="n">
        <v>43.56</v>
      </c>
      <c r="U278" s="110" t="n">
        <f aca="false">ROUND(T278*$S278,2)</f>
        <v>67910.04</v>
      </c>
      <c r="V278" s="111"/>
      <c r="W278" s="110"/>
      <c r="X278" s="111"/>
      <c r="Y278" s="110"/>
      <c r="Z278" s="108"/>
      <c r="AA278" s="110"/>
    </row>
    <row r="279" customFormat="false" ht="20.1" hidden="false" customHeight="true" outlineLevel="0" collapsed="false">
      <c r="A279" s="82" t="n">
        <v>3</v>
      </c>
      <c r="B279" s="83"/>
      <c r="C279" s="84"/>
      <c r="D279" s="85"/>
      <c r="E279" s="86" t="s">
        <v>234</v>
      </c>
      <c r="F279" s="87"/>
      <c r="G279" s="88"/>
      <c r="H279" s="88"/>
      <c r="I279" s="88"/>
      <c r="J279" s="88"/>
      <c r="K279" s="88"/>
      <c r="L279" s="88"/>
      <c r="M279" s="88"/>
      <c r="N279" s="88"/>
      <c r="O279" s="89" t="s">
        <v>235</v>
      </c>
      <c r="P279" s="90"/>
      <c r="Q279" s="91" t="s">
        <v>236</v>
      </c>
      <c r="R279" s="92"/>
      <c r="S279" s="93"/>
      <c r="T279" s="94"/>
      <c r="U279" s="95" t="n">
        <f aca="false">SUM(U280:U281)</f>
        <v>2039.72</v>
      </c>
      <c r="V279" s="96"/>
      <c r="W279" s="95"/>
      <c r="X279" s="96"/>
      <c r="Y279" s="95"/>
      <c r="Z279" s="93"/>
      <c r="AA279" s="95"/>
    </row>
    <row r="280" customFormat="false" ht="26.1" hidden="false" customHeight="true" outlineLevel="0" collapsed="false">
      <c r="A280" s="97" t="n">
        <v>3</v>
      </c>
      <c r="B280" s="98" t="s">
        <v>648</v>
      </c>
      <c r="C280" s="99" t="s">
        <v>649</v>
      </c>
      <c r="D280" s="100" t="str">
        <f aca="false">B280&amp;"_"&amp;E280</f>
        <v>3.2_5.14.1</v>
      </c>
      <c r="E280" s="101" t="s">
        <v>574</v>
      </c>
      <c r="F280" s="102"/>
      <c r="G280" s="103"/>
      <c r="H280" s="103"/>
      <c r="I280" s="103"/>
      <c r="J280" s="103"/>
      <c r="K280" s="103"/>
      <c r="L280" s="103"/>
      <c r="M280" s="103"/>
      <c r="N280" s="103"/>
      <c r="O280" s="104" t="s">
        <v>575</v>
      </c>
      <c r="P280" s="105" t="s">
        <v>145</v>
      </c>
      <c r="Q280" s="106" t="s">
        <v>576</v>
      </c>
      <c r="R280" s="107" t="s">
        <v>157</v>
      </c>
      <c r="S280" s="108" t="n">
        <v>961.82</v>
      </c>
      <c r="T280" s="109" t="n">
        <v>1.86</v>
      </c>
      <c r="U280" s="110" t="n">
        <f aca="false">ROUND(T280*$S280,2)</f>
        <v>1788.99</v>
      </c>
      <c r="V280" s="111"/>
      <c r="W280" s="110"/>
      <c r="X280" s="111"/>
      <c r="Y280" s="110"/>
      <c r="Z280" s="108"/>
      <c r="AA280" s="110"/>
    </row>
    <row r="281" customFormat="false" ht="26.1" hidden="false" customHeight="true" outlineLevel="0" collapsed="false">
      <c r="A281" s="97" t="n">
        <v>3</v>
      </c>
      <c r="B281" s="98" t="s">
        <v>648</v>
      </c>
      <c r="C281" s="99" t="s">
        <v>649</v>
      </c>
      <c r="D281" s="100" t="str">
        <f aca="false">B281&amp;"_"&amp;E281</f>
        <v>3.2_5.14.5</v>
      </c>
      <c r="E281" s="101" t="s">
        <v>246</v>
      </c>
      <c r="F281" s="102"/>
      <c r="G281" s="103"/>
      <c r="H281" s="103"/>
      <c r="I281" s="103"/>
      <c r="J281" s="103"/>
      <c r="K281" s="103"/>
      <c r="L281" s="103"/>
      <c r="M281" s="103"/>
      <c r="N281" s="103"/>
      <c r="O281" s="104" t="s">
        <v>247</v>
      </c>
      <c r="P281" s="105" t="s">
        <v>145</v>
      </c>
      <c r="Q281" s="106" t="s">
        <v>248</v>
      </c>
      <c r="R281" s="107" t="s">
        <v>150</v>
      </c>
      <c r="S281" s="108" t="n">
        <v>379.9</v>
      </c>
      <c r="T281" s="109" t="n">
        <v>0.66</v>
      </c>
      <c r="U281" s="110" t="n">
        <f aca="false">ROUND(T281*$S281,2)</f>
        <v>250.73</v>
      </c>
      <c r="V281" s="111"/>
      <c r="W281" s="110"/>
      <c r="X281" s="111"/>
      <c r="Y281" s="110"/>
      <c r="Z281" s="108"/>
      <c r="AA281" s="110"/>
    </row>
    <row r="282" customFormat="false" ht="20.1" hidden="false" customHeight="true" outlineLevel="0" collapsed="false">
      <c r="A282" s="82" t="n">
        <v>3</v>
      </c>
      <c r="B282" s="83"/>
      <c r="C282" s="84"/>
      <c r="D282" s="85"/>
      <c r="E282" s="86" t="s">
        <v>261</v>
      </c>
      <c r="F282" s="87"/>
      <c r="G282" s="88"/>
      <c r="H282" s="88"/>
      <c r="I282" s="88"/>
      <c r="J282" s="88"/>
      <c r="K282" s="88"/>
      <c r="L282" s="88"/>
      <c r="M282" s="88"/>
      <c r="N282" s="88"/>
      <c r="O282" s="89" t="s">
        <v>262</v>
      </c>
      <c r="P282" s="90"/>
      <c r="Q282" s="91" t="s">
        <v>263</v>
      </c>
      <c r="R282" s="92"/>
      <c r="S282" s="93"/>
      <c r="T282" s="94"/>
      <c r="U282" s="95" t="n">
        <f aca="false">SUM(U283:U286)</f>
        <v>17377.98</v>
      </c>
      <c r="V282" s="96"/>
      <c r="W282" s="95"/>
      <c r="X282" s="96"/>
      <c r="Y282" s="95"/>
      <c r="Z282" s="93"/>
      <c r="AA282" s="95"/>
    </row>
    <row r="283" customFormat="false" ht="26.1" hidden="false" customHeight="true" outlineLevel="0" collapsed="false">
      <c r="A283" s="97" t="n">
        <v>3</v>
      </c>
      <c r="B283" s="98" t="s">
        <v>648</v>
      </c>
      <c r="C283" s="99" t="s">
        <v>649</v>
      </c>
      <c r="D283" s="100" t="str">
        <f aca="false">B283&amp;"_"&amp;E283</f>
        <v>3.2_5.17.1</v>
      </c>
      <c r="E283" s="101" t="s">
        <v>604</v>
      </c>
      <c r="F283" s="102"/>
      <c r="G283" s="103"/>
      <c r="H283" s="103"/>
      <c r="I283" s="103"/>
      <c r="J283" s="103"/>
      <c r="K283" s="103"/>
      <c r="L283" s="103"/>
      <c r="M283" s="103"/>
      <c r="N283" s="103"/>
      <c r="O283" s="104" t="s">
        <v>605</v>
      </c>
      <c r="P283" s="105" t="s">
        <v>145</v>
      </c>
      <c r="Q283" s="106" t="s">
        <v>606</v>
      </c>
      <c r="R283" s="107" t="s">
        <v>157</v>
      </c>
      <c r="S283" s="108" t="n">
        <v>55.44</v>
      </c>
      <c r="T283" s="109" t="n">
        <v>59.37</v>
      </c>
      <c r="U283" s="110" t="n">
        <f aca="false">ROUND(T283*$S283,2)</f>
        <v>3291.47</v>
      </c>
      <c r="V283" s="111"/>
      <c r="W283" s="110"/>
      <c r="X283" s="111"/>
      <c r="Y283" s="110"/>
      <c r="Z283" s="108"/>
      <c r="AA283" s="110"/>
    </row>
    <row r="284" customFormat="false" ht="26.1" hidden="false" customHeight="true" outlineLevel="0" collapsed="false">
      <c r="A284" s="97" t="n">
        <v>3</v>
      </c>
      <c r="B284" s="98" t="s">
        <v>648</v>
      </c>
      <c r="C284" s="99" t="s">
        <v>649</v>
      </c>
      <c r="D284" s="100" t="str">
        <f aca="false">B284&amp;"_"&amp;E284</f>
        <v>3.2_5.17.2</v>
      </c>
      <c r="E284" s="101" t="s">
        <v>750</v>
      </c>
      <c r="F284" s="102"/>
      <c r="G284" s="103"/>
      <c r="H284" s="103"/>
      <c r="I284" s="103"/>
      <c r="J284" s="103"/>
      <c r="K284" s="103"/>
      <c r="L284" s="103"/>
      <c r="M284" s="103"/>
      <c r="N284" s="103"/>
      <c r="O284" s="104" t="s">
        <v>751</v>
      </c>
      <c r="P284" s="105" t="s">
        <v>145</v>
      </c>
      <c r="Q284" s="106" t="s">
        <v>752</v>
      </c>
      <c r="R284" s="107" t="s">
        <v>157</v>
      </c>
      <c r="S284" s="108" t="n">
        <v>146.73</v>
      </c>
      <c r="T284" s="109" t="n">
        <v>71.25</v>
      </c>
      <c r="U284" s="110" t="n">
        <f aca="false">ROUND(T284*$S284,2)</f>
        <v>10454.51</v>
      </c>
      <c r="V284" s="111"/>
      <c r="W284" s="110"/>
      <c r="X284" s="111"/>
      <c r="Y284" s="110"/>
      <c r="Z284" s="108"/>
      <c r="AA284" s="110"/>
    </row>
    <row r="285" customFormat="false" ht="26.1" hidden="false" customHeight="true" outlineLevel="0" collapsed="false">
      <c r="A285" s="97" t="n">
        <v>3</v>
      </c>
      <c r="B285" s="98" t="s">
        <v>648</v>
      </c>
      <c r="C285" s="99" t="s">
        <v>649</v>
      </c>
      <c r="D285" s="100" t="str">
        <f aca="false">B285&amp;"_"&amp;E285</f>
        <v>3.2_5.17.4</v>
      </c>
      <c r="E285" s="101" t="s">
        <v>607</v>
      </c>
      <c r="F285" s="102"/>
      <c r="G285" s="103"/>
      <c r="H285" s="103"/>
      <c r="I285" s="103"/>
      <c r="J285" s="103"/>
      <c r="K285" s="103"/>
      <c r="L285" s="103"/>
      <c r="M285" s="103"/>
      <c r="N285" s="103"/>
      <c r="O285" s="104" t="s">
        <v>608</v>
      </c>
      <c r="P285" s="105" t="s">
        <v>145</v>
      </c>
      <c r="Q285" s="106" t="s">
        <v>609</v>
      </c>
      <c r="R285" s="107" t="s">
        <v>157</v>
      </c>
      <c r="S285" s="108" t="n">
        <v>10.53</v>
      </c>
      <c r="T285" s="109" t="n">
        <v>83.12</v>
      </c>
      <c r="U285" s="110" t="n">
        <f aca="false">ROUND(T285*$S285,2)</f>
        <v>875.25</v>
      </c>
      <c r="V285" s="111"/>
      <c r="W285" s="110"/>
      <c r="X285" s="111"/>
      <c r="Y285" s="110"/>
      <c r="Z285" s="108"/>
      <c r="AA285" s="110"/>
    </row>
    <row r="286" customFormat="false" ht="26.1" hidden="false" customHeight="true" outlineLevel="0" collapsed="false">
      <c r="A286" s="97" t="n">
        <v>3</v>
      </c>
      <c r="B286" s="98" t="s">
        <v>648</v>
      </c>
      <c r="C286" s="99" t="s">
        <v>649</v>
      </c>
      <c r="D286" s="100" t="str">
        <f aca="false">B286&amp;"_"&amp;E286</f>
        <v>3.2_5.17.5</v>
      </c>
      <c r="E286" s="101" t="s">
        <v>753</v>
      </c>
      <c r="F286" s="102"/>
      <c r="G286" s="103"/>
      <c r="H286" s="103"/>
      <c r="I286" s="103"/>
      <c r="J286" s="103"/>
      <c r="K286" s="103"/>
      <c r="L286" s="103"/>
      <c r="M286" s="103"/>
      <c r="N286" s="103"/>
      <c r="O286" s="104" t="s">
        <v>754</v>
      </c>
      <c r="P286" s="105" t="s">
        <v>145</v>
      </c>
      <c r="Q286" s="106" t="s">
        <v>755</v>
      </c>
      <c r="R286" s="107" t="s">
        <v>157</v>
      </c>
      <c r="S286" s="108" t="n">
        <v>27.86</v>
      </c>
      <c r="T286" s="109" t="n">
        <v>98.95</v>
      </c>
      <c r="U286" s="110" t="n">
        <f aca="false">ROUND(T286*$S286,2)</f>
        <v>2756.75</v>
      </c>
      <c r="V286" s="111"/>
      <c r="W286" s="110"/>
      <c r="X286" s="111"/>
      <c r="Y286" s="110"/>
      <c r="Z286" s="108"/>
      <c r="AA286" s="110"/>
    </row>
    <row r="287" customFormat="false" ht="20.1" hidden="false" customHeight="true" outlineLevel="0" collapsed="false">
      <c r="A287" s="52" t="n">
        <v>4</v>
      </c>
      <c r="B287" s="53"/>
      <c r="C287" s="54" t="s">
        <v>756</v>
      </c>
      <c r="D287" s="55"/>
      <c r="E287" s="56"/>
      <c r="F287" s="57"/>
      <c r="G287" s="58"/>
      <c r="H287" s="58"/>
      <c r="I287" s="58"/>
      <c r="J287" s="58"/>
      <c r="K287" s="58"/>
      <c r="L287" s="58"/>
      <c r="M287" s="58"/>
      <c r="N287" s="58"/>
      <c r="O287" s="59"/>
      <c r="P287" s="60"/>
      <c r="Q287" s="61" t="s">
        <v>756</v>
      </c>
      <c r="R287" s="62"/>
      <c r="S287" s="63"/>
      <c r="T287" s="64"/>
      <c r="U287" s="65" t="n">
        <f aca="false">SUM(U288,U326)</f>
        <v>13120174.77</v>
      </c>
      <c r="V287" s="64"/>
      <c r="W287" s="65"/>
      <c r="X287" s="64"/>
      <c r="Y287" s="65"/>
      <c r="Z287" s="66"/>
      <c r="AA287" s="65"/>
    </row>
    <row r="288" customFormat="false" ht="20.1" hidden="false" customHeight="true" outlineLevel="0" collapsed="false">
      <c r="A288" s="52" t="n">
        <v>4</v>
      </c>
      <c r="B288" s="53"/>
      <c r="C288" s="54" t="s">
        <v>757</v>
      </c>
      <c r="D288" s="55"/>
      <c r="E288" s="56"/>
      <c r="F288" s="57"/>
      <c r="G288" s="58"/>
      <c r="H288" s="58"/>
      <c r="I288" s="58"/>
      <c r="J288" s="58"/>
      <c r="K288" s="58"/>
      <c r="L288" s="58"/>
      <c r="M288" s="58"/>
      <c r="N288" s="58"/>
      <c r="O288" s="59"/>
      <c r="P288" s="60"/>
      <c r="Q288" s="61" t="s">
        <v>757</v>
      </c>
      <c r="R288" s="62"/>
      <c r="S288" s="63"/>
      <c r="T288" s="64"/>
      <c r="U288" s="65" t="n">
        <f aca="false">SUM(U289,U303)</f>
        <v>13101567.62</v>
      </c>
      <c r="V288" s="64"/>
      <c r="W288" s="65"/>
      <c r="X288" s="64"/>
      <c r="Y288" s="65"/>
      <c r="Z288" s="66"/>
      <c r="AA288" s="65"/>
    </row>
    <row r="289" customFormat="false" ht="20.1" hidden="false" customHeight="true" outlineLevel="0" collapsed="false">
      <c r="A289" s="67" t="n">
        <v>4</v>
      </c>
      <c r="B289" s="68"/>
      <c r="C289" s="69"/>
      <c r="D289" s="70"/>
      <c r="E289" s="71" t="s">
        <v>38</v>
      </c>
      <c r="F289" s="72"/>
      <c r="G289" s="73"/>
      <c r="H289" s="73"/>
      <c r="I289" s="73"/>
      <c r="J289" s="73"/>
      <c r="K289" s="73"/>
      <c r="L289" s="73"/>
      <c r="M289" s="73"/>
      <c r="N289" s="73"/>
      <c r="O289" s="74" t="s">
        <v>39</v>
      </c>
      <c r="P289" s="75"/>
      <c r="Q289" s="76" t="s">
        <v>27</v>
      </c>
      <c r="R289" s="77"/>
      <c r="S289" s="78"/>
      <c r="T289" s="79"/>
      <c r="U289" s="80" t="n">
        <f aca="false">SUM(U290,U292,U294,U296,U298)</f>
        <v>11040784.76</v>
      </c>
      <c r="V289" s="81"/>
      <c r="W289" s="80"/>
      <c r="X289" s="81"/>
      <c r="Y289" s="80"/>
      <c r="Z289" s="78"/>
      <c r="AA289" s="80"/>
    </row>
    <row r="290" customFormat="false" ht="20.1" hidden="false" customHeight="true" outlineLevel="0" collapsed="false">
      <c r="A290" s="82" t="n">
        <v>4</v>
      </c>
      <c r="B290" s="83"/>
      <c r="C290" s="84"/>
      <c r="D290" s="85"/>
      <c r="E290" s="86" t="s">
        <v>52</v>
      </c>
      <c r="F290" s="87"/>
      <c r="G290" s="88"/>
      <c r="H290" s="88"/>
      <c r="I290" s="88"/>
      <c r="J290" s="88"/>
      <c r="K290" s="88"/>
      <c r="L290" s="88"/>
      <c r="M290" s="88"/>
      <c r="N290" s="88"/>
      <c r="O290" s="89" t="s">
        <v>53</v>
      </c>
      <c r="P290" s="90"/>
      <c r="Q290" s="91" t="s">
        <v>54</v>
      </c>
      <c r="R290" s="92"/>
      <c r="S290" s="93"/>
      <c r="T290" s="94"/>
      <c r="U290" s="95" t="n">
        <f aca="false">SUM(U291:U291)</f>
        <v>3747.46</v>
      </c>
      <c r="V290" s="96"/>
      <c r="W290" s="95"/>
      <c r="X290" s="96"/>
      <c r="Y290" s="95"/>
      <c r="Z290" s="93"/>
      <c r="AA290" s="95"/>
    </row>
    <row r="291" customFormat="false" ht="26.1" hidden="false" customHeight="true" outlineLevel="0" collapsed="false">
      <c r="A291" s="97" t="n">
        <v>4</v>
      </c>
      <c r="B291" s="98" t="s">
        <v>758</v>
      </c>
      <c r="C291" s="99" t="s">
        <v>759</v>
      </c>
      <c r="D291" s="100" t="str">
        <f aca="false">B291&amp;"_"&amp;E291</f>
        <v>4.1_1.2.1</v>
      </c>
      <c r="E291" s="101" t="s">
        <v>318</v>
      </c>
      <c r="F291" s="102" t="s">
        <v>319</v>
      </c>
      <c r="G291" s="103" t="s">
        <v>46</v>
      </c>
      <c r="H291" s="103" t="s">
        <v>46</v>
      </c>
      <c r="I291" s="103" t="s">
        <v>46</v>
      </c>
      <c r="J291" s="103" t="s">
        <v>46</v>
      </c>
      <c r="K291" s="103" t="s">
        <v>46</v>
      </c>
      <c r="L291" s="103" t="s">
        <v>46</v>
      </c>
      <c r="M291" s="103" t="s">
        <v>320</v>
      </c>
      <c r="N291" s="103" t="s">
        <v>58</v>
      </c>
      <c r="O291" s="104" t="s">
        <v>321</v>
      </c>
      <c r="P291" s="105" t="s">
        <v>27</v>
      </c>
      <c r="Q291" s="106" t="s">
        <v>322</v>
      </c>
      <c r="R291" s="107" t="s">
        <v>61</v>
      </c>
      <c r="S291" s="108" t="n">
        <v>131.86</v>
      </c>
      <c r="T291" s="109" t="n">
        <v>28.42</v>
      </c>
      <c r="U291" s="110" t="n">
        <f aca="false">ROUND(T291*$S291,2)</f>
        <v>3747.46</v>
      </c>
      <c r="V291" s="111"/>
      <c r="W291" s="110"/>
      <c r="X291" s="111"/>
      <c r="Y291" s="110"/>
      <c r="Z291" s="108"/>
      <c r="AA291" s="110"/>
    </row>
    <row r="292" customFormat="false" ht="20.1" hidden="false" customHeight="true" outlineLevel="0" collapsed="false">
      <c r="A292" s="82" t="n">
        <v>4</v>
      </c>
      <c r="B292" s="83"/>
      <c r="C292" s="84"/>
      <c r="D292" s="85"/>
      <c r="E292" s="86" t="s">
        <v>760</v>
      </c>
      <c r="F292" s="87"/>
      <c r="G292" s="88"/>
      <c r="H292" s="88"/>
      <c r="I292" s="88"/>
      <c r="J292" s="88"/>
      <c r="K292" s="88"/>
      <c r="L292" s="88"/>
      <c r="M292" s="88"/>
      <c r="N292" s="88"/>
      <c r="O292" s="89" t="s">
        <v>761</v>
      </c>
      <c r="P292" s="90"/>
      <c r="Q292" s="91" t="s">
        <v>762</v>
      </c>
      <c r="R292" s="92"/>
      <c r="S292" s="93"/>
      <c r="T292" s="94"/>
      <c r="U292" s="95" t="n">
        <f aca="false">SUM(U293:U293)</f>
        <v>2080260.6</v>
      </c>
      <c r="V292" s="96"/>
      <c r="W292" s="95"/>
      <c r="X292" s="96"/>
      <c r="Y292" s="95"/>
      <c r="Z292" s="93"/>
      <c r="AA292" s="95"/>
    </row>
    <row r="293" customFormat="false" ht="26.1" hidden="false" customHeight="true" outlineLevel="0" collapsed="false">
      <c r="A293" s="97" t="n">
        <v>4</v>
      </c>
      <c r="B293" s="98" t="s">
        <v>758</v>
      </c>
      <c r="C293" s="99" t="s">
        <v>759</v>
      </c>
      <c r="D293" s="100" t="str">
        <f aca="false">B293&amp;"_"&amp;E293</f>
        <v>4.1_1.3.1</v>
      </c>
      <c r="E293" s="101" t="s">
        <v>763</v>
      </c>
      <c r="F293" s="102" t="s">
        <v>764</v>
      </c>
      <c r="G293" s="103" t="s">
        <v>46</v>
      </c>
      <c r="H293" s="103" t="s">
        <v>46</v>
      </c>
      <c r="I293" s="103" t="s">
        <v>765</v>
      </c>
      <c r="J293" s="103" t="s">
        <v>46</v>
      </c>
      <c r="K293" s="103" t="s">
        <v>92</v>
      </c>
      <c r="L293" s="103" t="s">
        <v>766</v>
      </c>
      <c r="M293" s="103" t="s">
        <v>767</v>
      </c>
      <c r="N293" s="103" t="s">
        <v>48</v>
      </c>
      <c r="O293" s="104" t="s">
        <v>768</v>
      </c>
      <c r="P293" s="105" t="s">
        <v>27</v>
      </c>
      <c r="Q293" s="106" t="s">
        <v>769</v>
      </c>
      <c r="R293" s="107" t="s">
        <v>71</v>
      </c>
      <c r="S293" s="108" t="n">
        <v>11894</v>
      </c>
      <c r="T293" s="109" t="n">
        <v>174.9</v>
      </c>
      <c r="U293" s="110" t="n">
        <f aca="false">ROUND(T293*$S293,2)</f>
        <v>2080260.6</v>
      </c>
      <c r="V293" s="111"/>
      <c r="W293" s="110"/>
      <c r="X293" s="111"/>
      <c r="Y293" s="110"/>
      <c r="Z293" s="108"/>
      <c r="AA293" s="110"/>
    </row>
    <row r="294" customFormat="false" ht="20.1" hidden="false" customHeight="true" outlineLevel="0" collapsed="false">
      <c r="A294" s="82" t="n">
        <v>4</v>
      </c>
      <c r="B294" s="83"/>
      <c r="C294" s="84"/>
      <c r="D294" s="85"/>
      <c r="E294" s="86" t="s">
        <v>770</v>
      </c>
      <c r="F294" s="87"/>
      <c r="G294" s="88"/>
      <c r="H294" s="88"/>
      <c r="I294" s="88"/>
      <c r="J294" s="88"/>
      <c r="K294" s="88"/>
      <c r="L294" s="88"/>
      <c r="M294" s="88"/>
      <c r="N294" s="88"/>
      <c r="O294" s="89" t="s">
        <v>771</v>
      </c>
      <c r="P294" s="90"/>
      <c r="Q294" s="91" t="s">
        <v>772</v>
      </c>
      <c r="R294" s="92"/>
      <c r="S294" s="93"/>
      <c r="T294" s="94"/>
      <c r="U294" s="95" t="n">
        <f aca="false">SUM(U295:U295)</f>
        <v>6211998.32</v>
      </c>
      <c r="V294" s="96"/>
      <c r="W294" s="95"/>
      <c r="X294" s="96"/>
      <c r="Y294" s="95"/>
      <c r="Z294" s="93"/>
      <c r="AA294" s="95"/>
    </row>
    <row r="295" customFormat="false" ht="26.1" hidden="false" customHeight="true" outlineLevel="0" collapsed="false">
      <c r="A295" s="97" t="n">
        <v>4</v>
      </c>
      <c r="B295" s="98" t="s">
        <v>758</v>
      </c>
      <c r="C295" s="99" t="s">
        <v>759</v>
      </c>
      <c r="D295" s="100" t="str">
        <f aca="false">B295&amp;"_"&amp;E295</f>
        <v>4.1_1.5.1</v>
      </c>
      <c r="E295" s="101" t="s">
        <v>773</v>
      </c>
      <c r="F295" s="102" t="s">
        <v>774</v>
      </c>
      <c r="G295" s="103" t="s">
        <v>46</v>
      </c>
      <c r="H295" s="103" t="s">
        <v>46</v>
      </c>
      <c r="I295" s="103" t="s">
        <v>775</v>
      </c>
      <c r="J295" s="103" t="s">
        <v>46</v>
      </c>
      <c r="K295" s="103" t="s">
        <v>776</v>
      </c>
      <c r="L295" s="103" t="s">
        <v>619</v>
      </c>
      <c r="M295" s="103" t="s">
        <v>767</v>
      </c>
      <c r="N295" s="103" t="s">
        <v>619</v>
      </c>
      <c r="O295" s="104" t="s">
        <v>777</v>
      </c>
      <c r="P295" s="105" t="s">
        <v>27</v>
      </c>
      <c r="Q295" s="106" t="s">
        <v>778</v>
      </c>
      <c r="R295" s="107" t="s">
        <v>71</v>
      </c>
      <c r="S295" s="108" t="n">
        <v>11894</v>
      </c>
      <c r="T295" s="109" t="n">
        <v>522.28</v>
      </c>
      <c r="U295" s="110" t="n">
        <f aca="false">ROUND(T295*$S295,2)</f>
        <v>6211998.32</v>
      </c>
      <c r="V295" s="111"/>
      <c r="W295" s="110"/>
      <c r="X295" s="111"/>
      <c r="Y295" s="110"/>
      <c r="Z295" s="108"/>
      <c r="AA295" s="110"/>
    </row>
    <row r="296" customFormat="false" ht="20.1" hidden="false" customHeight="true" outlineLevel="0" collapsed="false">
      <c r="A296" s="82" t="n">
        <v>4</v>
      </c>
      <c r="B296" s="83"/>
      <c r="C296" s="84"/>
      <c r="D296" s="85"/>
      <c r="E296" s="86" t="s">
        <v>79</v>
      </c>
      <c r="F296" s="87"/>
      <c r="G296" s="88"/>
      <c r="H296" s="88"/>
      <c r="I296" s="88"/>
      <c r="J296" s="88"/>
      <c r="K296" s="88"/>
      <c r="L296" s="88"/>
      <c r="M296" s="88"/>
      <c r="N296" s="88"/>
      <c r="O296" s="89" t="s">
        <v>80</v>
      </c>
      <c r="P296" s="90"/>
      <c r="Q296" s="91" t="s">
        <v>81</v>
      </c>
      <c r="R296" s="92"/>
      <c r="S296" s="93"/>
      <c r="T296" s="94"/>
      <c r="U296" s="95" t="n">
        <f aca="false">SUM(U297:U297)</f>
        <v>1435486.86</v>
      </c>
      <c r="V296" s="96"/>
      <c r="W296" s="95"/>
      <c r="X296" s="96"/>
      <c r="Y296" s="95"/>
      <c r="Z296" s="93"/>
      <c r="AA296" s="95"/>
    </row>
    <row r="297" customFormat="false" ht="26.1" hidden="false" customHeight="true" outlineLevel="0" collapsed="false">
      <c r="A297" s="97" t="n">
        <v>4</v>
      </c>
      <c r="B297" s="98" t="s">
        <v>758</v>
      </c>
      <c r="C297" s="99" t="s">
        <v>759</v>
      </c>
      <c r="D297" s="100" t="str">
        <f aca="false">B297&amp;"_"&amp;E297</f>
        <v>4.1_1.11.2</v>
      </c>
      <c r="E297" s="101" t="s">
        <v>89</v>
      </c>
      <c r="F297" s="102" t="s">
        <v>90</v>
      </c>
      <c r="G297" s="103" t="s">
        <v>46</v>
      </c>
      <c r="H297" s="103" t="s">
        <v>46</v>
      </c>
      <c r="I297" s="103" t="s">
        <v>91</v>
      </c>
      <c r="J297" s="103" t="s">
        <v>46</v>
      </c>
      <c r="K297" s="103" t="s">
        <v>92</v>
      </c>
      <c r="L297" s="103" t="s">
        <v>93</v>
      </c>
      <c r="M297" s="103" t="s">
        <v>94</v>
      </c>
      <c r="N297" s="103" t="s">
        <v>48</v>
      </c>
      <c r="O297" s="104" t="s">
        <v>95</v>
      </c>
      <c r="P297" s="105" t="s">
        <v>27</v>
      </c>
      <c r="Q297" s="106" t="s">
        <v>96</v>
      </c>
      <c r="R297" s="107" t="s">
        <v>71</v>
      </c>
      <c r="S297" s="108" t="n">
        <v>11894</v>
      </c>
      <c r="T297" s="109" t="n">
        <v>120.69</v>
      </c>
      <c r="U297" s="110" t="n">
        <f aca="false">ROUND(T297*$S297,2)</f>
        <v>1435486.86</v>
      </c>
      <c r="V297" s="111"/>
      <c r="W297" s="110"/>
      <c r="X297" s="111"/>
      <c r="Y297" s="110"/>
      <c r="Z297" s="108"/>
      <c r="AA297" s="110"/>
    </row>
    <row r="298" customFormat="false" ht="20.1" hidden="false" customHeight="true" outlineLevel="0" collapsed="false">
      <c r="A298" s="82" t="n">
        <v>4</v>
      </c>
      <c r="B298" s="83"/>
      <c r="C298" s="84"/>
      <c r="D298" s="85"/>
      <c r="E298" s="86" t="s">
        <v>121</v>
      </c>
      <c r="F298" s="87"/>
      <c r="G298" s="88"/>
      <c r="H298" s="88"/>
      <c r="I298" s="88"/>
      <c r="J298" s="88"/>
      <c r="K298" s="88"/>
      <c r="L298" s="88"/>
      <c r="M298" s="88"/>
      <c r="N298" s="88"/>
      <c r="O298" s="89" t="s">
        <v>122</v>
      </c>
      <c r="P298" s="90"/>
      <c r="Q298" s="91" t="s">
        <v>123</v>
      </c>
      <c r="R298" s="92"/>
      <c r="S298" s="93"/>
      <c r="T298" s="94"/>
      <c r="U298" s="95" t="n">
        <f aca="false">SUM(U299:U302)</f>
        <v>1309291.52</v>
      </c>
      <c r="V298" s="96"/>
      <c r="W298" s="95"/>
      <c r="X298" s="96"/>
      <c r="Y298" s="95"/>
      <c r="Z298" s="93"/>
      <c r="AA298" s="95"/>
    </row>
    <row r="299" customFormat="false" ht="26.1" hidden="false" customHeight="true" outlineLevel="0" collapsed="false">
      <c r="A299" s="97" t="n">
        <v>4</v>
      </c>
      <c r="B299" s="98" t="s">
        <v>758</v>
      </c>
      <c r="C299" s="99" t="s">
        <v>759</v>
      </c>
      <c r="D299" s="100" t="str">
        <f aca="false">B299&amp;"_"&amp;E299</f>
        <v>4.1_1.18.7</v>
      </c>
      <c r="E299" s="101" t="s">
        <v>779</v>
      </c>
      <c r="F299" s="102" t="s">
        <v>780</v>
      </c>
      <c r="G299" s="103" t="s">
        <v>46</v>
      </c>
      <c r="H299" s="103" t="s">
        <v>113</v>
      </c>
      <c r="I299" s="103" t="s">
        <v>781</v>
      </c>
      <c r="J299" s="103" t="s">
        <v>782</v>
      </c>
      <c r="K299" s="103" t="n">
        <v>20</v>
      </c>
      <c r="L299" s="103" t="s">
        <v>115</v>
      </c>
      <c r="M299" s="103" t="s">
        <v>767</v>
      </c>
      <c r="N299" s="103" t="s">
        <v>115</v>
      </c>
      <c r="O299" s="104" t="s">
        <v>783</v>
      </c>
      <c r="P299" s="105" t="s">
        <v>27</v>
      </c>
      <c r="Q299" s="106" t="s">
        <v>784</v>
      </c>
      <c r="R299" s="107" t="s">
        <v>71</v>
      </c>
      <c r="S299" s="108" t="n">
        <v>35682</v>
      </c>
      <c r="T299" s="109" t="n">
        <v>11.58</v>
      </c>
      <c r="U299" s="110" t="n">
        <f aca="false">ROUND(T299*$S299,2)</f>
        <v>413197.56</v>
      </c>
      <c r="V299" s="111"/>
      <c r="W299" s="110"/>
      <c r="X299" s="111"/>
      <c r="Y299" s="110"/>
      <c r="Z299" s="108"/>
      <c r="AA299" s="110"/>
    </row>
    <row r="300" customFormat="false" ht="26.1" hidden="false" customHeight="true" outlineLevel="0" collapsed="false">
      <c r="A300" s="97" t="n">
        <v>4</v>
      </c>
      <c r="B300" s="98" t="s">
        <v>758</v>
      </c>
      <c r="C300" s="99" t="s">
        <v>759</v>
      </c>
      <c r="D300" s="100" t="str">
        <f aca="false">B300&amp;"_"&amp;E300</f>
        <v>4.1_1.18.11</v>
      </c>
      <c r="E300" s="101" t="s">
        <v>785</v>
      </c>
      <c r="F300" s="102" t="s">
        <v>786</v>
      </c>
      <c r="G300" s="103" t="s">
        <v>46</v>
      </c>
      <c r="H300" s="103" t="s">
        <v>46</v>
      </c>
      <c r="I300" s="103" t="s">
        <v>787</v>
      </c>
      <c r="J300" s="103" t="s">
        <v>46</v>
      </c>
      <c r="K300" s="103" t="s">
        <v>788</v>
      </c>
      <c r="L300" s="103" t="s">
        <v>789</v>
      </c>
      <c r="M300" s="103" t="s">
        <v>767</v>
      </c>
      <c r="N300" s="103" t="s">
        <v>115</v>
      </c>
      <c r="O300" s="104" t="s">
        <v>790</v>
      </c>
      <c r="P300" s="105" t="s">
        <v>27</v>
      </c>
      <c r="Q300" s="106" t="s">
        <v>791</v>
      </c>
      <c r="R300" s="107" t="s">
        <v>71</v>
      </c>
      <c r="S300" s="108" t="n">
        <v>11894</v>
      </c>
      <c r="T300" s="109" t="n">
        <v>54.91</v>
      </c>
      <c r="U300" s="110" t="n">
        <f aca="false">ROUND(T300*$S300,2)</f>
        <v>653099.54</v>
      </c>
      <c r="V300" s="111"/>
      <c r="W300" s="110"/>
      <c r="X300" s="111"/>
      <c r="Y300" s="110"/>
      <c r="Z300" s="108"/>
      <c r="AA300" s="110"/>
    </row>
    <row r="301" customFormat="false" ht="26.1" hidden="false" customHeight="true" outlineLevel="0" collapsed="false">
      <c r="A301" s="97" t="n">
        <v>4</v>
      </c>
      <c r="B301" s="98" t="s">
        <v>758</v>
      </c>
      <c r="C301" s="99" t="s">
        <v>759</v>
      </c>
      <c r="D301" s="100" t="str">
        <f aca="false">B301&amp;"_"&amp;E301</f>
        <v>4.1_1.18.13</v>
      </c>
      <c r="E301" s="101" t="s">
        <v>792</v>
      </c>
      <c r="F301" s="102" t="s">
        <v>111</v>
      </c>
      <c r="G301" s="103" t="s">
        <v>46</v>
      </c>
      <c r="H301" s="103" t="s">
        <v>793</v>
      </c>
      <c r="I301" s="103" t="s">
        <v>111</v>
      </c>
      <c r="J301" s="103" t="s">
        <v>114</v>
      </c>
      <c r="K301" s="103" t="n">
        <v>20</v>
      </c>
      <c r="L301" s="103" t="s">
        <v>115</v>
      </c>
      <c r="M301" s="103" t="s">
        <v>767</v>
      </c>
      <c r="N301" s="103" t="s">
        <v>117</v>
      </c>
      <c r="O301" s="104" t="s">
        <v>794</v>
      </c>
      <c r="P301" s="105" t="s">
        <v>27</v>
      </c>
      <c r="Q301" s="106" t="s">
        <v>795</v>
      </c>
      <c r="R301" s="107" t="s">
        <v>120</v>
      </c>
      <c r="S301" s="108" t="n">
        <v>35682</v>
      </c>
      <c r="T301" s="109" t="n">
        <v>5.11</v>
      </c>
      <c r="U301" s="110" t="n">
        <f aca="false">ROUND(T301*$S301,2)</f>
        <v>182335.02</v>
      </c>
      <c r="V301" s="111"/>
      <c r="W301" s="110"/>
      <c r="X301" s="111"/>
      <c r="Y301" s="110"/>
      <c r="Z301" s="108"/>
      <c r="AA301" s="110"/>
    </row>
    <row r="302" customFormat="false" ht="26.1" hidden="false" customHeight="true" outlineLevel="0" collapsed="false">
      <c r="A302" s="97" t="n">
        <v>4</v>
      </c>
      <c r="B302" s="98" t="s">
        <v>758</v>
      </c>
      <c r="C302" s="99" t="s">
        <v>759</v>
      </c>
      <c r="D302" s="100" t="str">
        <f aca="false">B302&amp;"_"&amp;E302</f>
        <v>4.1_1.18.14</v>
      </c>
      <c r="E302" s="101" t="s">
        <v>796</v>
      </c>
      <c r="F302" s="102" t="s">
        <v>797</v>
      </c>
      <c r="G302" s="103" t="s">
        <v>46</v>
      </c>
      <c r="H302" s="103" t="s">
        <v>46</v>
      </c>
      <c r="I302" s="103" t="s">
        <v>798</v>
      </c>
      <c r="J302" s="103" t="s">
        <v>46</v>
      </c>
      <c r="K302" s="103" t="n">
        <v>20</v>
      </c>
      <c r="L302" s="103" t="s">
        <v>789</v>
      </c>
      <c r="M302" s="103" t="s">
        <v>767</v>
      </c>
      <c r="N302" s="103" t="s">
        <v>115</v>
      </c>
      <c r="O302" s="104" t="s">
        <v>799</v>
      </c>
      <c r="P302" s="105" t="s">
        <v>27</v>
      </c>
      <c r="Q302" s="106" t="s">
        <v>800</v>
      </c>
      <c r="R302" s="107" t="s">
        <v>71</v>
      </c>
      <c r="S302" s="108" t="n">
        <v>11894</v>
      </c>
      <c r="T302" s="109" t="n">
        <v>5.1</v>
      </c>
      <c r="U302" s="110" t="n">
        <f aca="false">ROUND(T302*$S302,2)</f>
        <v>60659.4</v>
      </c>
      <c r="V302" s="111"/>
      <c r="W302" s="110"/>
      <c r="X302" s="111"/>
      <c r="Y302" s="110"/>
      <c r="Z302" s="108"/>
      <c r="AA302" s="110"/>
    </row>
    <row r="303" customFormat="false" ht="20.1" hidden="false" customHeight="true" outlineLevel="0" collapsed="false">
      <c r="A303" s="67" t="n">
        <v>4</v>
      </c>
      <c r="B303" s="68"/>
      <c r="C303" s="69"/>
      <c r="D303" s="70"/>
      <c r="E303" s="71" t="s">
        <v>136</v>
      </c>
      <c r="F303" s="72"/>
      <c r="G303" s="73"/>
      <c r="H303" s="73"/>
      <c r="I303" s="73"/>
      <c r="J303" s="73"/>
      <c r="K303" s="73"/>
      <c r="L303" s="73"/>
      <c r="M303" s="73"/>
      <c r="N303" s="73"/>
      <c r="O303" s="74" t="s">
        <v>137</v>
      </c>
      <c r="P303" s="75"/>
      <c r="Q303" s="76" t="s">
        <v>138</v>
      </c>
      <c r="R303" s="77"/>
      <c r="S303" s="78"/>
      <c r="T303" s="79"/>
      <c r="U303" s="80" t="n">
        <f aca="false">SUM(U304,U306,U313,U318,U322,U324)</f>
        <v>2060782.86</v>
      </c>
      <c r="V303" s="81"/>
      <c r="W303" s="80"/>
      <c r="X303" s="81"/>
      <c r="Y303" s="80"/>
      <c r="Z303" s="78"/>
      <c r="AA303" s="80"/>
    </row>
    <row r="304" customFormat="false" ht="20.1" hidden="false" customHeight="true" outlineLevel="0" collapsed="false">
      <c r="A304" s="82" t="n">
        <v>4</v>
      </c>
      <c r="B304" s="83"/>
      <c r="C304" s="84"/>
      <c r="D304" s="85"/>
      <c r="E304" s="86" t="s">
        <v>356</v>
      </c>
      <c r="F304" s="87"/>
      <c r="G304" s="88"/>
      <c r="H304" s="88"/>
      <c r="I304" s="88"/>
      <c r="J304" s="88"/>
      <c r="K304" s="88"/>
      <c r="L304" s="88"/>
      <c r="M304" s="88"/>
      <c r="N304" s="88"/>
      <c r="O304" s="89" t="s">
        <v>357</v>
      </c>
      <c r="P304" s="90"/>
      <c r="Q304" s="91" t="s">
        <v>358</v>
      </c>
      <c r="R304" s="92"/>
      <c r="S304" s="93"/>
      <c r="T304" s="94"/>
      <c r="U304" s="95" t="n">
        <f aca="false">SUM(U305:U305)</f>
        <v>3814.51</v>
      </c>
      <c r="V304" s="96"/>
      <c r="W304" s="95"/>
      <c r="X304" s="96"/>
      <c r="Y304" s="95"/>
      <c r="Z304" s="93"/>
      <c r="AA304" s="95"/>
    </row>
    <row r="305" customFormat="false" ht="26.1" hidden="false" customHeight="true" outlineLevel="0" collapsed="false">
      <c r="A305" s="97" t="n">
        <v>4</v>
      </c>
      <c r="B305" s="98" t="s">
        <v>801</v>
      </c>
      <c r="C305" s="99" t="s">
        <v>802</v>
      </c>
      <c r="D305" s="100" t="str">
        <f aca="false">B305&amp;"_"&amp;E305</f>
        <v>4.2_5.3.1</v>
      </c>
      <c r="E305" s="101" t="s">
        <v>359</v>
      </c>
      <c r="F305" s="102"/>
      <c r="G305" s="103"/>
      <c r="H305" s="103"/>
      <c r="I305" s="103"/>
      <c r="J305" s="103"/>
      <c r="K305" s="103"/>
      <c r="L305" s="103"/>
      <c r="M305" s="103"/>
      <c r="N305" s="103"/>
      <c r="O305" s="104" t="s">
        <v>360</v>
      </c>
      <c r="P305" s="105" t="s">
        <v>145</v>
      </c>
      <c r="Q305" s="106" t="s">
        <v>361</v>
      </c>
      <c r="R305" s="107" t="s">
        <v>157</v>
      </c>
      <c r="S305" s="108" t="n">
        <v>17.14</v>
      </c>
      <c r="T305" s="109" t="n">
        <v>222.55</v>
      </c>
      <c r="U305" s="110" t="n">
        <f aca="false">ROUND(T305*$S305,2)</f>
        <v>3814.51</v>
      </c>
      <c r="V305" s="111"/>
      <c r="W305" s="110"/>
      <c r="X305" s="111"/>
      <c r="Y305" s="110"/>
      <c r="Z305" s="108"/>
      <c r="AA305" s="110"/>
    </row>
    <row r="306" customFormat="false" ht="20.1" hidden="false" customHeight="true" outlineLevel="0" collapsed="false">
      <c r="A306" s="82" t="n">
        <v>4</v>
      </c>
      <c r="B306" s="83"/>
      <c r="C306" s="84"/>
      <c r="D306" s="85"/>
      <c r="E306" s="86" t="s">
        <v>151</v>
      </c>
      <c r="F306" s="87"/>
      <c r="G306" s="88"/>
      <c r="H306" s="88"/>
      <c r="I306" s="88"/>
      <c r="J306" s="88"/>
      <c r="K306" s="88"/>
      <c r="L306" s="88"/>
      <c r="M306" s="88"/>
      <c r="N306" s="88"/>
      <c r="O306" s="89" t="s">
        <v>152</v>
      </c>
      <c r="P306" s="90"/>
      <c r="Q306" s="91" t="s">
        <v>153</v>
      </c>
      <c r="R306" s="92"/>
      <c r="S306" s="93"/>
      <c r="T306" s="94"/>
      <c r="U306" s="95" t="n">
        <f aca="false">SUM(U307:U312)</f>
        <v>172913.8</v>
      </c>
      <c r="V306" s="96"/>
      <c r="W306" s="95"/>
      <c r="X306" s="96"/>
      <c r="Y306" s="95"/>
      <c r="Z306" s="93"/>
      <c r="AA306" s="95"/>
    </row>
    <row r="307" customFormat="false" ht="26.1" hidden="false" customHeight="true" outlineLevel="0" collapsed="false">
      <c r="A307" s="97" t="n">
        <v>4</v>
      </c>
      <c r="B307" s="98" t="s">
        <v>801</v>
      </c>
      <c r="C307" s="99" t="s">
        <v>802</v>
      </c>
      <c r="D307" s="100" t="str">
        <f aca="false">B307&amp;"_"&amp;E307</f>
        <v>4.2_5.4.3</v>
      </c>
      <c r="E307" s="101" t="s">
        <v>371</v>
      </c>
      <c r="F307" s="102"/>
      <c r="G307" s="103"/>
      <c r="H307" s="103"/>
      <c r="I307" s="103"/>
      <c r="J307" s="103"/>
      <c r="K307" s="103"/>
      <c r="L307" s="103"/>
      <c r="M307" s="103"/>
      <c r="N307" s="103"/>
      <c r="O307" s="104" t="s">
        <v>372</v>
      </c>
      <c r="P307" s="105" t="s">
        <v>145</v>
      </c>
      <c r="Q307" s="106" t="s">
        <v>373</v>
      </c>
      <c r="R307" s="107" t="s">
        <v>61</v>
      </c>
      <c r="S307" s="108" t="n">
        <v>65.12</v>
      </c>
      <c r="T307" s="109" t="n">
        <v>7.46</v>
      </c>
      <c r="U307" s="110" t="n">
        <f aca="false">ROUND(T307*$S307,2)</f>
        <v>485.8</v>
      </c>
      <c r="V307" s="111"/>
      <c r="W307" s="110"/>
      <c r="X307" s="111"/>
      <c r="Y307" s="110"/>
      <c r="Z307" s="108"/>
      <c r="AA307" s="110"/>
    </row>
    <row r="308" customFormat="false" ht="26.1" hidden="false" customHeight="true" outlineLevel="0" collapsed="false">
      <c r="A308" s="97" t="n">
        <v>4</v>
      </c>
      <c r="B308" s="98" t="s">
        <v>801</v>
      </c>
      <c r="C308" s="99" t="s">
        <v>802</v>
      </c>
      <c r="D308" s="100" t="str">
        <f aca="false">B308&amp;"_"&amp;E308</f>
        <v>4.2_5.4.5</v>
      </c>
      <c r="E308" s="101" t="s">
        <v>374</v>
      </c>
      <c r="F308" s="102"/>
      <c r="G308" s="103"/>
      <c r="H308" s="103"/>
      <c r="I308" s="103"/>
      <c r="J308" s="103"/>
      <c r="K308" s="103"/>
      <c r="L308" s="103"/>
      <c r="M308" s="103"/>
      <c r="N308" s="103"/>
      <c r="O308" s="104" t="s">
        <v>375</v>
      </c>
      <c r="P308" s="105" t="s">
        <v>145</v>
      </c>
      <c r="Q308" s="106" t="s">
        <v>376</v>
      </c>
      <c r="R308" s="107" t="s">
        <v>157</v>
      </c>
      <c r="S308" s="108" t="n">
        <v>69.4</v>
      </c>
      <c r="T308" s="109" t="n">
        <v>9.51</v>
      </c>
      <c r="U308" s="110" t="n">
        <f aca="false">ROUND(T308*$S308,2)</f>
        <v>659.99</v>
      </c>
      <c r="V308" s="111"/>
      <c r="W308" s="110"/>
      <c r="X308" s="111"/>
      <c r="Y308" s="110"/>
      <c r="Z308" s="108"/>
      <c r="AA308" s="110"/>
    </row>
    <row r="309" customFormat="false" ht="26.1" hidden="false" customHeight="true" outlineLevel="0" collapsed="false">
      <c r="A309" s="97" t="n">
        <v>4</v>
      </c>
      <c r="B309" s="98" t="s">
        <v>801</v>
      </c>
      <c r="C309" s="99" t="s">
        <v>802</v>
      </c>
      <c r="D309" s="100" t="str">
        <f aca="false">B309&amp;"_"&amp;E309</f>
        <v>4.2_5.4.17</v>
      </c>
      <c r="E309" s="101" t="s">
        <v>161</v>
      </c>
      <c r="F309" s="102"/>
      <c r="G309" s="103"/>
      <c r="H309" s="103"/>
      <c r="I309" s="103"/>
      <c r="J309" s="103"/>
      <c r="K309" s="103"/>
      <c r="L309" s="103"/>
      <c r="M309" s="103"/>
      <c r="N309" s="103"/>
      <c r="O309" s="104" t="s">
        <v>162</v>
      </c>
      <c r="P309" s="105" t="s">
        <v>145</v>
      </c>
      <c r="Q309" s="106" t="s">
        <v>163</v>
      </c>
      <c r="R309" s="107" t="s">
        <v>157</v>
      </c>
      <c r="S309" s="108" t="n">
        <v>6026.69</v>
      </c>
      <c r="T309" s="109" t="n">
        <v>27.15</v>
      </c>
      <c r="U309" s="110" t="n">
        <f aca="false">ROUND(T309*$S309,2)</f>
        <v>163624.63</v>
      </c>
      <c r="V309" s="111"/>
      <c r="W309" s="110"/>
      <c r="X309" s="111"/>
      <c r="Y309" s="110"/>
      <c r="Z309" s="108"/>
      <c r="AA309" s="110"/>
    </row>
    <row r="310" customFormat="false" ht="26.1" hidden="false" customHeight="true" outlineLevel="0" collapsed="false">
      <c r="A310" s="97" t="n">
        <v>4</v>
      </c>
      <c r="B310" s="98" t="s">
        <v>801</v>
      </c>
      <c r="C310" s="99" t="s">
        <v>802</v>
      </c>
      <c r="D310" s="100" t="str">
        <f aca="false">B310&amp;"_"&amp;E310</f>
        <v>4.2_5.4.24</v>
      </c>
      <c r="E310" s="101" t="s">
        <v>413</v>
      </c>
      <c r="F310" s="102"/>
      <c r="G310" s="103"/>
      <c r="H310" s="103"/>
      <c r="I310" s="103"/>
      <c r="J310" s="103"/>
      <c r="K310" s="103"/>
      <c r="L310" s="103"/>
      <c r="M310" s="103"/>
      <c r="N310" s="103"/>
      <c r="O310" s="104" t="s">
        <v>414</v>
      </c>
      <c r="P310" s="105" t="s">
        <v>145</v>
      </c>
      <c r="Q310" s="106" t="s">
        <v>415</v>
      </c>
      <c r="R310" s="107" t="s">
        <v>167</v>
      </c>
      <c r="S310" s="108" t="n">
        <v>1082.65</v>
      </c>
      <c r="T310" s="109" t="n">
        <v>1.2</v>
      </c>
      <c r="U310" s="110" t="n">
        <f aca="false">ROUND(T310*$S310,2)</f>
        <v>1299.18</v>
      </c>
      <c r="V310" s="111"/>
      <c r="W310" s="110"/>
      <c r="X310" s="111"/>
      <c r="Y310" s="110"/>
      <c r="Z310" s="108"/>
      <c r="AA310" s="110"/>
    </row>
    <row r="311" customFormat="false" ht="26.1" hidden="false" customHeight="true" outlineLevel="0" collapsed="false">
      <c r="A311" s="97" t="n">
        <v>4</v>
      </c>
      <c r="B311" s="98" t="s">
        <v>801</v>
      </c>
      <c r="C311" s="99" t="s">
        <v>802</v>
      </c>
      <c r="D311" s="100" t="str">
        <f aca="false">B311&amp;"_"&amp;E311</f>
        <v>4.2_5.4.25</v>
      </c>
      <c r="E311" s="101" t="s">
        <v>171</v>
      </c>
      <c r="F311" s="102"/>
      <c r="G311" s="103"/>
      <c r="H311" s="103"/>
      <c r="I311" s="103"/>
      <c r="J311" s="103"/>
      <c r="K311" s="103"/>
      <c r="L311" s="103"/>
      <c r="M311" s="103"/>
      <c r="N311" s="103"/>
      <c r="O311" s="104" t="s">
        <v>172</v>
      </c>
      <c r="P311" s="105" t="s">
        <v>145</v>
      </c>
      <c r="Q311" s="106" t="s">
        <v>173</v>
      </c>
      <c r="R311" s="107" t="s">
        <v>167</v>
      </c>
      <c r="S311" s="108" t="n">
        <v>2082.02</v>
      </c>
      <c r="T311" s="109" t="n">
        <v>3.01</v>
      </c>
      <c r="U311" s="110" t="n">
        <f aca="false">ROUND(T311*$S311,2)</f>
        <v>6266.88</v>
      </c>
      <c r="V311" s="111"/>
      <c r="W311" s="110"/>
      <c r="X311" s="111"/>
      <c r="Y311" s="110"/>
      <c r="Z311" s="108"/>
      <c r="AA311" s="110"/>
    </row>
    <row r="312" customFormat="false" ht="26.1" hidden="false" customHeight="true" outlineLevel="0" collapsed="false">
      <c r="A312" s="97" t="n">
        <v>4</v>
      </c>
      <c r="B312" s="98" t="s">
        <v>801</v>
      </c>
      <c r="C312" s="99" t="s">
        <v>802</v>
      </c>
      <c r="D312" s="100" t="str">
        <f aca="false">B312&amp;"_"&amp;E312</f>
        <v>4.2_5.4.26</v>
      </c>
      <c r="E312" s="101" t="s">
        <v>416</v>
      </c>
      <c r="F312" s="102"/>
      <c r="G312" s="103"/>
      <c r="H312" s="103"/>
      <c r="I312" s="103"/>
      <c r="J312" s="103"/>
      <c r="K312" s="103"/>
      <c r="L312" s="103"/>
      <c r="M312" s="103"/>
      <c r="N312" s="103"/>
      <c r="O312" s="104" t="s">
        <v>417</v>
      </c>
      <c r="P312" s="105" t="s">
        <v>145</v>
      </c>
      <c r="Q312" s="106" t="s">
        <v>418</v>
      </c>
      <c r="R312" s="107" t="s">
        <v>419</v>
      </c>
      <c r="S312" s="108" t="n">
        <v>403.72</v>
      </c>
      <c r="T312" s="109" t="n">
        <v>1.43</v>
      </c>
      <c r="U312" s="110" t="n">
        <f aca="false">ROUND(T312*$S312,2)</f>
        <v>577.32</v>
      </c>
      <c r="V312" s="111"/>
      <c r="W312" s="110"/>
      <c r="X312" s="111"/>
      <c r="Y312" s="110"/>
      <c r="Z312" s="108"/>
      <c r="AA312" s="110"/>
    </row>
    <row r="313" customFormat="false" ht="20.1" hidden="false" customHeight="true" outlineLevel="0" collapsed="false">
      <c r="A313" s="82" t="n">
        <v>4</v>
      </c>
      <c r="B313" s="83"/>
      <c r="C313" s="84"/>
      <c r="D313" s="85"/>
      <c r="E313" s="86" t="s">
        <v>189</v>
      </c>
      <c r="F313" s="87"/>
      <c r="G313" s="88"/>
      <c r="H313" s="88"/>
      <c r="I313" s="88"/>
      <c r="J313" s="88"/>
      <c r="K313" s="88"/>
      <c r="L313" s="88"/>
      <c r="M313" s="88"/>
      <c r="N313" s="88"/>
      <c r="O313" s="89" t="s">
        <v>190</v>
      </c>
      <c r="P313" s="90"/>
      <c r="Q313" s="91" t="s">
        <v>191</v>
      </c>
      <c r="R313" s="92"/>
      <c r="S313" s="93"/>
      <c r="T313" s="94"/>
      <c r="U313" s="95" t="n">
        <f aca="false">SUM(U314:U317)</f>
        <v>107230.69</v>
      </c>
      <c r="V313" s="96"/>
      <c r="W313" s="95"/>
      <c r="X313" s="96"/>
      <c r="Y313" s="95"/>
      <c r="Z313" s="93"/>
      <c r="AA313" s="95"/>
    </row>
    <row r="314" customFormat="false" ht="26.1" hidden="false" customHeight="true" outlineLevel="0" collapsed="false">
      <c r="A314" s="97" t="n">
        <v>4</v>
      </c>
      <c r="B314" s="98" t="s">
        <v>801</v>
      </c>
      <c r="C314" s="99" t="s">
        <v>802</v>
      </c>
      <c r="D314" s="100" t="str">
        <f aca="false">B314&amp;"_"&amp;E314</f>
        <v>4.2_5.9.2</v>
      </c>
      <c r="E314" s="101" t="s">
        <v>562</v>
      </c>
      <c r="F314" s="102"/>
      <c r="G314" s="103"/>
      <c r="H314" s="103"/>
      <c r="I314" s="103"/>
      <c r="J314" s="103"/>
      <c r="K314" s="103"/>
      <c r="L314" s="103"/>
      <c r="M314" s="103"/>
      <c r="N314" s="103"/>
      <c r="O314" s="104" t="s">
        <v>563</v>
      </c>
      <c r="P314" s="105" t="s">
        <v>145</v>
      </c>
      <c r="Q314" s="106" t="s">
        <v>564</v>
      </c>
      <c r="R314" s="107" t="s">
        <v>150</v>
      </c>
      <c r="S314" s="108" t="n">
        <v>428.4</v>
      </c>
      <c r="T314" s="109" t="n">
        <v>9.75</v>
      </c>
      <c r="U314" s="110" t="n">
        <f aca="false">ROUND(T314*$S314,2)</f>
        <v>4176.9</v>
      </c>
      <c r="V314" s="111"/>
      <c r="W314" s="110"/>
      <c r="X314" s="111"/>
      <c r="Y314" s="110"/>
      <c r="Z314" s="108"/>
      <c r="AA314" s="110"/>
    </row>
    <row r="315" customFormat="false" ht="26.1" hidden="false" customHeight="true" outlineLevel="0" collapsed="false">
      <c r="A315" s="97" t="n">
        <v>4</v>
      </c>
      <c r="B315" s="98" t="s">
        <v>801</v>
      </c>
      <c r="C315" s="99" t="s">
        <v>802</v>
      </c>
      <c r="D315" s="100" t="str">
        <f aca="false">B315&amp;"_"&amp;E315</f>
        <v>4.2_5.9.3</v>
      </c>
      <c r="E315" s="101" t="s">
        <v>565</v>
      </c>
      <c r="F315" s="102"/>
      <c r="G315" s="103"/>
      <c r="H315" s="103"/>
      <c r="I315" s="103"/>
      <c r="J315" s="103"/>
      <c r="K315" s="103"/>
      <c r="L315" s="103"/>
      <c r="M315" s="103"/>
      <c r="N315" s="103"/>
      <c r="O315" s="104" t="s">
        <v>566</v>
      </c>
      <c r="P315" s="105" t="s">
        <v>145</v>
      </c>
      <c r="Q315" s="106" t="s">
        <v>567</v>
      </c>
      <c r="R315" s="107" t="s">
        <v>150</v>
      </c>
      <c r="S315" s="108" t="n">
        <v>214.2</v>
      </c>
      <c r="T315" s="109" t="n">
        <v>106.91</v>
      </c>
      <c r="U315" s="110" t="n">
        <f aca="false">ROUND(T315*$S315,2)</f>
        <v>22900.12</v>
      </c>
      <c r="V315" s="111"/>
      <c r="W315" s="110"/>
      <c r="X315" s="111"/>
      <c r="Y315" s="110"/>
      <c r="Z315" s="108"/>
      <c r="AA315" s="110"/>
    </row>
    <row r="316" customFormat="false" ht="26.1" hidden="false" customHeight="true" outlineLevel="0" collapsed="false">
      <c r="A316" s="97" t="n">
        <v>4</v>
      </c>
      <c r="B316" s="98" t="s">
        <v>801</v>
      </c>
      <c r="C316" s="99" t="s">
        <v>802</v>
      </c>
      <c r="D316" s="100" t="str">
        <f aca="false">B316&amp;"_"&amp;E316</f>
        <v>4.2_5.9.4</v>
      </c>
      <c r="E316" s="101" t="s">
        <v>568</v>
      </c>
      <c r="F316" s="102"/>
      <c r="G316" s="103"/>
      <c r="H316" s="103"/>
      <c r="I316" s="103"/>
      <c r="J316" s="103"/>
      <c r="K316" s="103"/>
      <c r="L316" s="103"/>
      <c r="M316" s="103"/>
      <c r="N316" s="103"/>
      <c r="O316" s="104" t="s">
        <v>569</v>
      </c>
      <c r="P316" s="105" t="s">
        <v>145</v>
      </c>
      <c r="Q316" s="106" t="s">
        <v>570</v>
      </c>
      <c r="R316" s="107" t="s">
        <v>150</v>
      </c>
      <c r="S316" s="108" t="n">
        <v>428.4</v>
      </c>
      <c r="T316" s="109" t="n">
        <v>3.17</v>
      </c>
      <c r="U316" s="110" t="n">
        <f aca="false">ROUND(T316*$S316,2)</f>
        <v>1358.03</v>
      </c>
      <c r="V316" s="111"/>
      <c r="W316" s="110"/>
      <c r="X316" s="111"/>
      <c r="Y316" s="110"/>
      <c r="Z316" s="108"/>
      <c r="AA316" s="110"/>
    </row>
    <row r="317" customFormat="false" ht="26.1" hidden="false" customHeight="true" outlineLevel="0" collapsed="false">
      <c r="A317" s="97" t="n">
        <v>4</v>
      </c>
      <c r="B317" s="98" t="s">
        <v>801</v>
      </c>
      <c r="C317" s="99" t="s">
        <v>802</v>
      </c>
      <c r="D317" s="100" t="str">
        <f aca="false">B317&amp;"_"&amp;E317</f>
        <v>4.2_5.9.5</v>
      </c>
      <c r="E317" s="101" t="s">
        <v>571</v>
      </c>
      <c r="F317" s="102"/>
      <c r="G317" s="103"/>
      <c r="H317" s="103"/>
      <c r="I317" s="103"/>
      <c r="J317" s="103"/>
      <c r="K317" s="103"/>
      <c r="L317" s="103"/>
      <c r="M317" s="103"/>
      <c r="N317" s="103"/>
      <c r="O317" s="104" t="s">
        <v>572</v>
      </c>
      <c r="P317" s="105" t="s">
        <v>145</v>
      </c>
      <c r="Q317" s="106" t="s">
        <v>573</v>
      </c>
      <c r="R317" s="107" t="s">
        <v>157</v>
      </c>
      <c r="S317" s="108" t="n">
        <v>34.27</v>
      </c>
      <c r="T317" s="109" t="n">
        <v>2299.26</v>
      </c>
      <c r="U317" s="110" t="n">
        <f aca="false">ROUND(T317*$S317,2)</f>
        <v>78795.64</v>
      </c>
      <c r="V317" s="111"/>
      <c r="W317" s="110"/>
      <c r="X317" s="111"/>
      <c r="Y317" s="110"/>
      <c r="Z317" s="108"/>
      <c r="AA317" s="110"/>
    </row>
    <row r="318" customFormat="false" ht="20.1" hidden="false" customHeight="true" outlineLevel="0" collapsed="false">
      <c r="A318" s="82" t="n">
        <v>4</v>
      </c>
      <c r="B318" s="83"/>
      <c r="C318" s="84"/>
      <c r="D318" s="85"/>
      <c r="E318" s="86" t="s">
        <v>198</v>
      </c>
      <c r="F318" s="87"/>
      <c r="G318" s="88"/>
      <c r="H318" s="88"/>
      <c r="I318" s="88"/>
      <c r="J318" s="88"/>
      <c r="K318" s="88"/>
      <c r="L318" s="88"/>
      <c r="M318" s="88"/>
      <c r="N318" s="88"/>
      <c r="O318" s="89" t="s">
        <v>199</v>
      </c>
      <c r="P318" s="90"/>
      <c r="Q318" s="91" t="s">
        <v>200</v>
      </c>
      <c r="R318" s="92"/>
      <c r="S318" s="93"/>
      <c r="T318" s="94"/>
      <c r="U318" s="95" t="n">
        <f aca="false">SUM(U319:U321)</f>
        <v>1325467.36</v>
      </c>
      <c r="V318" s="96"/>
      <c r="W318" s="95"/>
      <c r="X318" s="96"/>
      <c r="Y318" s="95"/>
      <c r="Z318" s="93"/>
      <c r="AA318" s="95"/>
    </row>
    <row r="319" customFormat="false" ht="26.1" hidden="false" customHeight="true" outlineLevel="0" collapsed="false">
      <c r="A319" s="97" t="n">
        <v>4</v>
      </c>
      <c r="B319" s="98" t="s">
        <v>801</v>
      </c>
      <c r="C319" s="99" t="s">
        <v>802</v>
      </c>
      <c r="D319" s="100" t="str">
        <f aca="false">B319&amp;"_"&amp;E319</f>
        <v>4.2_5.10.2</v>
      </c>
      <c r="E319" s="101" t="s">
        <v>803</v>
      </c>
      <c r="F319" s="102"/>
      <c r="G319" s="103"/>
      <c r="H319" s="103"/>
      <c r="I319" s="103"/>
      <c r="J319" s="103"/>
      <c r="K319" s="103"/>
      <c r="L319" s="103"/>
      <c r="M319" s="103"/>
      <c r="N319" s="103"/>
      <c r="O319" s="104" t="s">
        <v>804</v>
      </c>
      <c r="P319" s="105" t="s">
        <v>145</v>
      </c>
      <c r="Q319" s="106" t="s">
        <v>805</v>
      </c>
      <c r="R319" s="107" t="s">
        <v>71</v>
      </c>
      <c r="S319" s="108" t="n">
        <v>11894</v>
      </c>
      <c r="T319" s="109" t="n">
        <v>61.57</v>
      </c>
      <c r="U319" s="110" t="n">
        <f aca="false">ROUND(T319*$S319,2)</f>
        <v>732313.58</v>
      </c>
      <c r="V319" s="111"/>
      <c r="W319" s="110"/>
      <c r="X319" s="111"/>
      <c r="Y319" s="110"/>
      <c r="Z319" s="108"/>
      <c r="AA319" s="110"/>
    </row>
    <row r="320" customFormat="false" ht="26.1" hidden="false" customHeight="true" outlineLevel="0" collapsed="false">
      <c r="A320" s="97" t="n">
        <v>4</v>
      </c>
      <c r="B320" s="98" t="s">
        <v>801</v>
      </c>
      <c r="C320" s="99" t="s">
        <v>802</v>
      </c>
      <c r="D320" s="100" t="str">
        <f aca="false">B320&amp;"_"&amp;E320</f>
        <v>4.2_5.10.5</v>
      </c>
      <c r="E320" s="101" t="s">
        <v>806</v>
      </c>
      <c r="F320" s="102"/>
      <c r="G320" s="103"/>
      <c r="H320" s="103"/>
      <c r="I320" s="103"/>
      <c r="J320" s="103"/>
      <c r="K320" s="103"/>
      <c r="L320" s="103"/>
      <c r="M320" s="103"/>
      <c r="N320" s="103"/>
      <c r="O320" s="104" t="s">
        <v>807</v>
      </c>
      <c r="P320" s="105" t="s">
        <v>145</v>
      </c>
      <c r="Q320" s="106" t="s">
        <v>808</v>
      </c>
      <c r="R320" s="107" t="s">
        <v>120</v>
      </c>
      <c r="S320" s="108" t="n">
        <v>35682</v>
      </c>
      <c r="T320" s="109" t="n">
        <v>7.08</v>
      </c>
      <c r="U320" s="110" t="n">
        <f aca="false">ROUND(T320*$S320,2)</f>
        <v>252628.56</v>
      </c>
      <c r="V320" s="111"/>
      <c r="W320" s="110"/>
      <c r="X320" s="111"/>
      <c r="Y320" s="110"/>
      <c r="Z320" s="108"/>
      <c r="AA320" s="110"/>
    </row>
    <row r="321" customFormat="false" ht="26.1" hidden="false" customHeight="true" outlineLevel="0" collapsed="false">
      <c r="A321" s="97" t="n">
        <v>4</v>
      </c>
      <c r="B321" s="98" t="s">
        <v>801</v>
      </c>
      <c r="C321" s="99" t="s">
        <v>802</v>
      </c>
      <c r="D321" s="100" t="str">
        <f aca="false">B321&amp;"_"&amp;E321</f>
        <v>4.2_5.10.6</v>
      </c>
      <c r="E321" s="101" t="s">
        <v>809</v>
      </c>
      <c r="F321" s="102"/>
      <c r="G321" s="103"/>
      <c r="H321" s="103"/>
      <c r="I321" s="103"/>
      <c r="J321" s="103"/>
      <c r="K321" s="103"/>
      <c r="L321" s="103"/>
      <c r="M321" s="103"/>
      <c r="N321" s="103"/>
      <c r="O321" s="104" t="s">
        <v>810</v>
      </c>
      <c r="P321" s="105" t="s">
        <v>145</v>
      </c>
      <c r="Q321" s="106" t="s">
        <v>811</v>
      </c>
      <c r="R321" s="107" t="s">
        <v>71</v>
      </c>
      <c r="S321" s="108" t="n">
        <v>11894</v>
      </c>
      <c r="T321" s="109" t="n">
        <v>28.63</v>
      </c>
      <c r="U321" s="110" t="n">
        <f aca="false">ROUND(T321*$S321,2)</f>
        <v>340525.22</v>
      </c>
      <c r="V321" s="111"/>
      <c r="W321" s="110"/>
      <c r="X321" s="111"/>
      <c r="Y321" s="110"/>
      <c r="Z321" s="108"/>
      <c r="AA321" s="110"/>
    </row>
    <row r="322" customFormat="false" ht="20.1" hidden="false" customHeight="true" outlineLevel="0" collapsed="false">
      <c r="A322" s="82" t="n">
        <v>4</v>
      </c>
      <c r="B322" s="83"/>
      <c r="C322" s="84"/>
      <c r="D322" s="85"/>
      <c r="E322" s="86" t="s">
        <v>261</v>
      </c>
      <c r="F322" s="87"/>
      <c r="G322" s="88"/>
      <c r="H322" s="88"/>
      <c r="I322" s="88"/>
      <c r="J322" s="88"/>
      <c r="K322" s="88"/>
      <c r="L322" s="88"/>
      <c r="M322" s="88"/>
      <c r="N322" s="88"/>
      <c r="O322" s="89" t="s">
        <v>262</v>
      </c>
      <c r="P322" s="90"/>
      <c r="Q322" s="91" t="s">
        <v>263</v>
      </c>
      <c r="R322" s="92"/>
      <c r="S322" s="93"/>
      <c r="T322" s="94"/>
      <c r="U322" s="95" t="n">
        <f aca="false">SUM(U323:U323)</f>
        <v>286267.78</v>
      </c>
      <c r="V322" s="96"/>
      <c r="W322" s="95"/>
      <c r="X322" s="96"/>
      <c r="Y322" s="95"/>
      <c r="Z322" s="93"/>
      <c r="AA322" s="95"/>
    </row>
    <row r="323" customFormat="false" ht="26.1" hidden="false" customHeight="true" outlineLevel="0" collapsed="false">
      <c r="A323" s="97" t="n">
        <v>4</v>
      </c>
      <c r="B323" s="98" t="s">
        <v>801</v>
      </c>
      <c r="C323" s="99" t="s">
        <v>802</v>
      </c>
      <c r="D323" s="100" t="str">
        <f aca="false">B323&amp;"_"&amp;E323</f>
        <v>4.2_5.17.3</v>
      </c>
      <c r="E323" s="101" t="s">
        <v>264</v>
      </c>
      <c r="F323" s="102"/>
      <c r="G323" s="103"/>
      <c r="H323" s="103"/>
      <c r="I323" s="103"/>
      <c r="J323" s="103"/>
      <c r="K323" s="103"/>
      <c r="L323" s="103"/>
      <c r="M323" s="103"/>
      <c r="N323" s="103"/>
      <c r="O323" s="104" t="s">
        <v>265</v>
      </c>
      <c r="P323" s="105" t="s">
        <v>145</v>
      </c>
      <c r="Q323" s="106" t="s">
        <v>266</v>
      </c>
      <c r="R323" s="107" t="s">
        <v>157</v>
      </c>
      <c r="S323" s="108" t="n">
        <v>6026.69</v>
      </c>
      <c r="T323" s="109" t="n">
        <v>47.5</v>
      </c>
      <c r="U323" s="110" t="n">
        <f aca="false">ROUND(T323*$S323,2)</f>
        <v>286267.78</v>
      </c>
      <c r="V323" s="111"/>
      <c r="W323" s="110"/>
      <c r="X323" s="111"/>
      <c r="Y323" s="110"/>
      <c r="Z323" s="108"/>
      <c r="AA323" s="110"/>
    </row>
    <row r="324" customFormat="false" ht="20.1" hidden="false" customHeight="true" outlineLevel="0" collapsed="false">
      <c r="A324" s="82" t="n">
        <v>4</v>
      </c>
      <c r="B324" s="83"/>
      <c r="C324" s="84"/>
      <c r="D324" s="85"/>
      <c r="E324" s="86" t="s">
        <v>812</v>
      </c>
      <c r="F324" s="87"/>
      <c r="G324" s="88"/>
      <c r="H324" s="88"/>
      <c r="I324" s="88"/>
      <c r="J324" s="88"/>
      <c r="K324" s="88"/>
      <c r="L324" s="88"/>
      <c r="M324" s="88"/>
      <c r="N324" s="88"/>
      <c r="O324" s="89" t="s">
        <v>813</v>
      </c>
      <c r="P324" s="90"/>
      <c r="Q324" s="91" t="s">
        <v>200</v>
      </c>
      <c r="R324" s="92"/>
      <c r="S324" s="93"/>
      <c r="T324" s="94"/>
      <c r="U324" s="95" t="n">
        <f aca="false">SUM(U325:U325)</f>
        <v>165088.72</v>
      </c>
      <c r="V324" s="96"/>
      <c r="W324" s="95"/>
      <c r="X324" s="96"/>
      <c r="Y324" s="95"/>
      <c r="Z324" s="93"/>
      <c r="AA324" s="95"/>
    </row>
    <row r="325" customFormat="false" ht="26.1" hidden="false" customHeight="true" outlineLevel="0" collapsed="false">
      <c r="A325" s="97" t="n">
        <v>4</v>
      </c>
      <c r="B325" s="98" t="s">
        <v>801</v>
      </c>
      <c r="C325" s="99" t="s">
        <v>802</v>
      </c>
      <c r="D325" s="100" t="str">
        <f aca="false">B325&amp;"_"&amp;E325</f>
        <v>4.2_5.18.1</v>
      </c>
      <c r="E325" s="101" t="s">
        <v>814</v>
      </c>
      <c r="F325" s="102"/>
      <c r="G325" s="103"/>
      <c r="H325" s="103"/>
      <c r="I325" s="103"/>
      <c r="J325" s="103"/>
      <c r="K325" s="103"/>
      <c r="L325" s="103"/>
      <c r="M325" s="103"/>
      <c r="N325" s="103"/>
      <c r="O325" s="104" t="s">
        <v>815</v>
      </c>
      <c r="P325" s="105" t="s">
        <v>145</v>
      </c>
      <c r="Q325" s="106" t="s">
        <v>816</v>
      </c>
      <c r="R325" s="107" t="s">
        <v>71</v>
      </c>
      <c r="S325" s="108" t="n">
        <v>11894</v>
      </c>
      <c r="T325" s="109" t="n">
        <v>13.88</v>
      </c>
      <c r="U325" s="110" t="n">
        <f aca="false">ROUND(T325*$S325,2)</f>
        <v>165088.72</v>
      </c>
      <c r="V325" s="111"/>
      <c r="W325" s="110"/>
      <c r="X325" s="111"/>
      <c r="Y325" s="110"/>
      <c r="Z325" s="108"/>
      <c r="AA325" s="110"/>
    </row>
    <row r="326" customFormat="false" ht="20.1" hidden="false" customHeight="true" outlineLevel="0" collapsed="false">
      <c r="A326" s="52" t="n">
        <v>4</v>
      </c>
      <c r="B326" s="53"/>
      <c r="C326" s="54" t="s">
        <v>817</v>
      </c>
      <c r="D326" s="55"/>
      <c r="E326" s="56"/>
      <c r="F326" s="57"/>
      <c r="G326" s="58"/>
      <c r="H326" s="58"/>
      <c r="I326" s="58"/>
      <c r="J326" s="58"/>
      <c r="K326" s="58"/>
      <c r="L326" s="58"/>
      <c r="M326" s="58"/>
      <c r="N326" s="58"/>
      <c r="O326" s="59"/>
      <c r="P326" s="60"/>
      <c r="Q326" s="61" t="s">
        <v>817</v>
      </c>
      <c r="R326" s="62"/>
      <c r="S326" s="63"/>
      <c r="T326" s="64"/>
      <c r="U326" s="65" t="n">
        <f aca="false">SUM(U327,U332)</f>
        <v>18607.15</v>
      </c>
      <c r="V326" s="64"/>
      <c r="W326" s="65"/>
      <c r="X326" s="64"/>
      <c r="Y326" s="65"/>
      <c r="Z326" s="66"/>
      <c r="AA326" s="65"/>
    </row>
    <row r="327" customFormat="false" ht="20.1" hidden="false" customHeight="true" outlineLevel="0" collapsed="false">
      <c r="A327" s="67" t="n">
        <v>4</v>
      </c>
      <c r="B327" s="68"/>
      <c r="C327" s="69"/>
      <c r="D327" s="70"/>
      <c r="E327" s="71" t="s">
        <v>38</v>
      </c>
      <c r="F327" s="72"/>
      <c r="G327" s="73"/>
      <c r="H327" s="73"/>
      <c r="I327" s="73"/>
      <c r="J327" s="73"/>
      <c r="K327" s="73"/>
      <c r="L327" s="73"/>
      <c r="M327" s="73"/>
      <c r="N327" s="73"/>
      <c r="O327" s="74" t="s">
        <v>39</v>
      </c>
      <c r="P327" s="75"/>
      <c r="Q327" s="76" t="s">
        <v>27</v>
      </c>
      <c r="R327" s="77"/>
      <c r="S327" s="78"/>
      <c r="T327" s="79"/>
      <c r="U327" s="80" t="n">
        <f aca="false">SUM(U328,U330)</f>
        <v>2596.81</v>
      </c>
      <c r="V327" s="81"/>
      <c r="W327" s="80"/>
      <c r="X327" s="81"/>
      <c r="Y327" s="80"/>
      <c r="Z327" s="78"/>
      <c r="AA327" s="80"/>
    </row>
    <row r="328" customFormat="false" ht="20.1" hidden="false" customHeight="true" outlineLevel="0" collapsed="false">
      <c r="A328" s="82" t="n">
        <v>4</v>
      </c>
      <c r="B328" s="83"/>
      <c r="C328" s="84"/>
      <c r="D328" s="85"/>
      <c r="E328" s="86" t="s">
        <v>52</v>
      </c>
      <c r="F328" s="87"/>
      <c r="G328" s="88"/>
      <c r="H328" s="88"/>
      <c r="I328" s="88"/>
      <c r="J328" s="88"/>
      <c r="K328" s="88"/>
      <c r="L328" s="88"/>
      <c r="M328" s="88"/>
      <c r="N328" s="88"/>
      <c r="O328" s="89" t="s">
        <v>53</v>
      </c>
      <c r="P328" s="90"/>
      <c r="Q328" s="91" t="s">
        <v>54</v>
      </c>
      <c r="R328" s="92"/>
      <c r="S328" s="93"/>
      <c r="T328" s="94"/>
      <c r="U328" s="95" t="n">
        <f aca="false">SUM(U329:U329)</f>
        <v>163.25</v>
      </c>
      <c r="V328" s="96"/>
      <c r="W328" s="95"/>
      <c r="X328" s="96"/>
      <c r="Y328" s="95"/>
      <c r="Z328" s="93"/>
      <c r="AA328" s="95"/>
    </row>
    <row r="329" customFormat="false" ht="26.1" hidden="false" customHeight="true" outlineLevel="0" collapsed="false">
      <c r="A329" s="97" t="n">
        <v>4</v>
      </c>
      <c r="B329" s="98" t="s">
        <v>758</v>
      </c>
      <c r="C329" s="99" t="s">
        <v>818</v>
      </c>
      <c r="D329" s="100" t="str">
        <f aca="false">B329&amp;"_"&amp;E329</f>
        <v>4.1_1.2.2</v>
      </c>
      <c r="E329" s="101" t="s">
        <v>55</v>
      </c>
      <c r="F329" s="102" t="s">
        <v>56</v>
      </c>
      <c r="G329" s="103" t="s">
        <v>46</v>
      </c>
      <c r="H329" s="103" t="s">
        <v>46</v>
      </c>
      <c r="I329" s="103" t="s">
        <v>46</v>
      </c>
      <c r="J329" s="103" t="s">
        <v>46</v>
      </c>
      <c r="K329" s="103" t="s">
        <v>46</v>
      </c>
      <c r="L329" s="103" t="s">
        <v>46</v>
      </c>
      <c r="M329" s="103" t="s">
        <v>57</v>
      </c>
      <c r="N329" s="103" t="s">
        <v>58</v>
      </c>
      <c r="O329" s="104" t="s">
        <v>59</v>
      </c>
      <c r="P329" s="105" t="s">
        <v>27</v>
      </c>
      <c r="Q329" s="106" t="s">
        <v>60</v>
      </c>
      <c r="R329" s="107" t="s">
        <v>61</v>
      </c>
      <c r="S329" s="108" t="n">
        <v>9.53</v>
      </c>
      <c r="T329" s="109" t="n">
        <v>17.13</v>
      </c>
      <c r="U329" s="110" t="n">
        <f aca="false">ROUND(T329*$S329,2)</f>
        <v>163.25</v>
      </c>
      <c r="V329" s="111"/>
      <c r="W329" s="110"/>
      <c r="X329" s="111"/>
      <c r="Y329" s="110"/>
      <c r="Z329" s="108"/>
      <c r="AA329" s="110"/>
    </row>
    <row r="330" customFormat="false" ht="20.1" hidden="false" customHeight="true" outlineLevel="0" collapsed="false">
      <c r="A330" s="82" t="n">
        <v>4</v>
      </c>
      <c r="B330" s="83"/>
      <c r="C330" s="84"/>
      <c r="D330" s="85"/>
      <c r="E330" s="86" t="s">
        <v>121</v>
      </c>
      <c r="F330" s="87"/>
      <c r="G330" s="88"/>
      <c r="H330" s="88"/>
      <c r="I330" s="88"/>
      <c r="J330" s="88"/>
      <c r="K330" s="88"/>
      <c r="L330" s="88"/>
      <c r="M330" s="88"/>
      <c r="N330" s="88"/>
      <c r="O330" s="89" t="s">
        <v>122</v>
      </c>
      <c r="P330" s="90"/>
      <c r="Q330" s="91" t="s">
        <v>123</v>
      </c>
      <c r="R330" s="92"/>
      <c r="S330" s="93"/>
      <c r="T330" s="94"/>
      <c r="U330" s="95" t="n">
        <f aca="false">SUM(U331:U331)</f>
        <v>2433.56</v>
      </c>
      <c r="V330" s="96"/>
      <c r="W330" s="95"/>
      <c r="X330" s="96"/>
      <c r="Y330" s="95"/>
      <c r="Z330" s="93"/>
      <c r="AA330" s="95"/>
    </row>
    <row r="331" customFormat="false" ht="26.1" hidden="false" customHeight="true" outlineLevel="0" collapsed="false">
      <c r="A331" s="97" t="n">
        <v>4</v>
      </c>
      <c r="B331" s="98" t="s">
        <v>758</v>
      </c>
      <c r="C331" s="99" t="s">
        <v>818</v>
      </c>
      <c r="D331" s="100" t="str">
        <f aca="false">B331&amp;"_"&amp;E331</f>
        <v>4.1_1.18.1</v>
      </c>
      <c r="E331" s="101" t="s">
        <v>819</v>
      </c>
      <c r="F331" s="102" t="s">
        <v>820</v>
      </c>
      <c r="G331" s="103" t="s">
        <v>46</v>
      </c>
      <c r="H331" s="103" t="s">
        <v>46</v>
      </c>
      <c r="I331" s="103" t="s">
        <v>821</v>
      </c>
      <c r="J331" s="103" t="s">
        <v>46</v>
      </c>
      <c r="K331" s="103" t="n">
        <v>1500</v>
      </c>
      <c r="L331" s="103" t="s">
        <v>619</v>
      </c>
      <c r="M331" s="103" t="s">
        <v>822</v>
      </c>
      <c r="N331" s="103" t="s">
        <v>619</v>
      </c>
      <c r="O331" s="104" t="s">
        <v>823</v>
      </c>
      <c r="P331" s="105" t="s">
        <v>27</v>
      </c>
      <c r="Q331" s="106" t="s">
        <v>824</v>
      </c>
      <c r="R331" s="107" t="s">
        <v>71</v>
      </c>
      <c r="S331" s="108" t="n">
        <v>4</v>
      </c>
      <c r="T331" s="109" t="n">
        <v>608.39</v>
      </c>
      <c r="U331" s="110" t="n">
        <f aca="false">ROUND(T331*$S331,2)</f>
        <v>2433.56</v>
      </c>
      <c r="V331" s="111"/>
      <c r="W331" s="110"/>
      <c r="X331" s="111"/>
      <c r="Y331" s="110"/>
      <c r="Z331" s="108"/>
      <c r="AA331" s="110"/>
    </row>
    <row r="332" customFormat="false" ht="20.1" hidden="false" customHeight="true" outlineLevel="0" collapsed="false">
      <c r="A332" s="67" t="n">
        <v>4</v>
      </c>
      <c r="B332" s="68"/>
      <c r="C332" s="69"/>
      <c r="D332" s="70"/>
      <c r="E332" s="71" t="s">
        <v>136</v>
      </c>
      <c r="F332" s="72"/>
      <c r="G332" s="73"/>
      <c r="H332" s="73"/>
      <c r="I332" s="73"/>
      <c r="J332" s="73"/>
      <c r="K332" s="73"/>
      <c r="L332" s="73"/>
      <c r="M332" s="73"/>
      <c r="N332" s="73"/>
      <c r="O332" s="74" t="s">
        <v>137</v>
      </c>
      <c r="P332" s="75"/>
      <c r="Q332" s="76" t="s">
        <v>138</v>
      </c>
      <c r="R332" s="77"/>
      <c r="S332" s="78"/>
      <c r="T332" s="79"/>
      <c r="U332" s="80" t="n">
        <f aca="false">SUM(U333,U335,U337,U346,U350,U352,U356,U363,U366,U368)</f>
        <v>16010.34</v>
      </c>
      <c r="V332" s="81"/>
      <c r="W332" s="80"/>
      <c r="X332" s="81"/>
      <c r="Y332" s="80"/>
      <c r="Z332" s="78"/>
      <c r="AA332" s="80"/>
    </row>
    <row r="333" customFormat="false" ht="20.1" hidden="false" customHeight="true" outlineLevel="0" collapsed="false">
      <c r="A333" s="82" t="n">
        <v>4</v>
      </c>
      <c r="B333" s="83"/>
      <c r="C333" s="84"/>
      <c r="D333" s="85"/>
      <c r="E333" s="86" t="s">
        <v>333</v>
      </c>
      <c r="F333" s="87"/>
      <c r="G333" s="88"/>
      <c r="H333" s="88"/>
      <c r="I333" s="88"/>
      <c r="J333" s="88"/>
      <c r="K333" s="88"/>
      <c r="L333" s="88"/>
      <c r="M333" s="88"/>
      <c r="N333" s="88"/>
      <c r="O333" s="89" t="s">
        <v>334</v>
      </c>
      <c r="P333" s="90"/>
      <c r="Q333" s="91" t="s">
        <v>335</v>
      </c>
      <c r="R333" s="92"/>
      <c r="S333" s="93"/>
      <c r="T333" s="94"/>
      <c r="U333" s="95" t="n">
        <f aca="false">SUM(U334:U334)</f>
        <v>303.14</v>
      </c>
      <c r="V333" s="96"/>
      <c r="W333" s="95"/>
      <c r="X333" s="96"/>
      <c r="Y333" s="95"/>
      <c r="Z333" s="93"/>
      <c r="AA333" s="95"/>
    </row>
    <row r="334" customFormat="false" ht="26.1" hidden="false" customHeight="true" outlineLevel="0" collapsed="false">
      <c r="A334" s="97" t="n">
        <v>4</v>
      </c>
      <c r="B334" s="98" t="s">
        <v>801</v>
      </c>
      <c r="C334" s="99" t="s">
        <v>825</v>
      </c>
      <c r="D334" s="100" t="str">
        <f aca="false">B334&amp;"_"&amp;E334</f>
        <v>4.2_5.2.6</v>
      </c>
      <c r="E334" s="101" t="s">
        <v>650</v>
      </c>
      <c r="F334" s="102"/>
      <c r="G334" s="103"/>
      <c r="H334" s="103"/>
      <c r="I334" s="103"/>
      <c r="J334" s="103"/>
      <c r="K334" s="103"/>
      <c r="L334" s="103"/>
      <c r="M334" s="103"/>
      <c r="N334" s="103"/>
      <c r="O334" s="104" t="s">
        <v>651</v>
      </c>
      <c r="P334" s="105" t="s">
        <v>145</v>
      </c>
      <c r="Q334" s="106" t="s">
        <v>652</v>
      </c>
      <c r="R334" s="107" t="s">
        <v>120</v>
      </c>
      <c r="S334" s="108" t="n">
        <v>4.54</v>
      </c>
      <c r="T334" s="109" t="n">
        <v>66.77</v>
      </c>
      <c r="U334" s="110" t="n">
        <f aca="false">ROUND(T334*$S334,2)</f>
        <v>303.14</v>
      </c>
      <c r="V334" s="111"/>
      <c r="W334" s="110"/>
      <c r="X334" s="111"/>
      <c r="Y334" s="110"/>
      <c r="Z334" s="108"/>
      <c r="AA334" s="110"/>
    </row>
    <row r="335" customFormat="false" ht="20.1" hidden="false" customHeight="true" outlineLevel="0" collapsed="false">
      <c r="A335" s="82" t="n">
        <v>4</v>
      </c>
      <c r="B335" s="83"/>
      <c r="C335" s="84"/>
      <c r="D335" s="85"/>
      <c r="E335" s="86" t="s">
        <v>356</v>
      </c>
      <c r="F335" s="87"/>
      <c r="G335" s="88"/>
      <c r="H335" s="88"/>
      <c r="I335" s="88"/>
      <c r="J335" s="88"/>
      <c r="K335" s="88"/>
      <c r="L335" s="88"/>
      <c r="M335" s="88"/>
      <c r="N335" s="88"/>
      <c r="O335" s="89" t="s">
        <v>357</v>
      </c>
      <c r="P335" s="90"/>
      <c r="Q335" s="91" t="s">
        <v>358</v>
      </c>
      <c r="R335" s="92"/>
      <c r="S335" s="93"/>
      <c r="T335" s="94"/>
      <c r="U335" s="95" t="n">
        <f aca="false">SUM(U336:U336)</f>
        <v>131.99</v>
      </c>
      <c r="V335" s="96"/>
      <c r="W335" s="95"/>
      <c r="X335" s="96"/>
      <c r="Y335" s="95"/>
      <c r="Z335" s="93"/>
      <c r="AA335" s="95"/>
    </row>
    <row r="336" customFormat="false" ht="26.1" hidden="false" customHeight="true" outlineLevel="0" collapsed="false">
      <c r="A336" s="97" t="n">
        <v>4</v>
      </c>
      <c r="B336" s="98" t="s">
        <v>801</v>
      </c>
      <c r="C336" s="99" t="s">
        <v>825</v>
      </c>
      <c r="D336" s="100" t="str">
        <f aca="false">B336&amp;"_"&amp;E336</f>
        <v>4.2_5.3.2</v>
      </c>
      <c r="E336" s="101" t="s">
        <v>362</v>
      </c>
      <c r="F336" s="102"/>
      <c r="G336" s="103"/>
      <c r="H336" s="103"/>
      <c r="I336" s="103"/>
      <c r="J336" s="103"/>
      <c r="K336" s="103"/>
      <c r="L336" s="103"/>
      <c r="M336" s="103"/>
      <c r="N336" s="103"/>
      <c r="O336" s="104" t="s">
        <v>363</v>
      </c>
      <c r="P336" s="105" t="s">
        <v>145</v>
      </c>
      <c r="Q336" s="106" t="s">
        <v>364</v>
      </c>
      <c r="R336" s="107" t="s">
        <v>150</v>
      </c>
      <c r="S336" s="108" t="n">
        <v>4.27</v>
      </c>
      <c r="T336" s="109" t="n">
        <v>30.91</v>
      </c>
      <c r="U336" s="110" t="n">
        <f aca="false">ROUND(T336*$S336,2)</f>
        <v>131.99</v>
      </c>
      <c r="V336" s="111"/>
      <c r="W336" s="110"/>
      <c r="X336" s="111"/>
      <c r="Y336" s="110"/>
      <c r="Z336" s="108"/>
      <c r="AA336" s="110"/>
    </row>
    <row r="337" customFormat="false" ht="20.1" hidden="false" customHeight="true" outlineLevel="0" collapsed="false">
      <c r="A337" s="82" t="n">
        <v>4</v>
      </c>
      <c r="B337" s="83"/>
      <c r="C337" s="84"/>
      <c r="D337" s="85"/>
      <c r="E337" s="86" t="s">
        <v>151</v>
      </c>
      <c r="F337" s="87"/>
      <c r="G337" s="88"/>
      <c r="H337" s="88"/>
      <c r="I337" s="88"/>
      <c r="J337" s="88"/>
      <c r="K337" s="88"/>
      <c r="L337" s="88"/>
      <c r="M337" s="88"/>
      <c r="N337" s="88"/>
      <c r="O337" s="89" t="s">
        <v>152</v>
      </c>
      <c r="P337" s="90"/>
      <c r="Q337" s="91" t="s">
        <v>153</v>
      </c>
      <c r="R337" s="92"/>
      <c r="S337" s="93"/>
      <c r="T337" s="94"/>
      <c r="U337" s="95" t="n">
        <f aca="false">SUM(U338:U345)</f>
        <v>630.05</v>
      </c>
      <c r="V337" s="96"/>
      <c r="W337" s="95"/>
      <c r="X337" s="96"/>
      <c r="Y337" s="95"/>
      <c r="Z337" s="93"/>
      <c r="AA337" s="95"/>
    </row>
    <row r="338" customFormat="false" ht="26.1" hidden="false" customHeight="true" outlineLevel="0" collapsed="false">
      <c r="A338" s="97" t="n">
        <v>4</v>
      </c>
      <c r="B338" s="98" t="s">
        <v>801</v>
      </c>
      <c r="C338" s="99" t="s">
        <v>825</v>
      </c>
      <c r="D338" s="100" t="str">
        <f aca="false">B338&amp;"_"&amp;E338</f>
        <v>4.2_5.4.7</v>
      </c>
      <c r="E338" s="101" t="s">
        <v>377</v>
      </c>
      <c r="F338" s="102"/>
      <c r="G338" s="103"/>
      <c r="H338" s="103"/>
      <c r="I338" s="103"/>
      <c r="J338" s="103"/>
      <c r="K338" s="103"/>
      <c r="L338" s="103"/>
      <c r="M338" s="103"/>
      <c r="N338" s="103"/>
      <c r="O338" s="104" t="s">
        <v>378</v>
      </c>
      <c r="P338" s="105" t="s">
        <v>145</v>
      </c>
      <c r="Q338" s="106" t="s">
        <v>379</v>
      </c>
      <c r="R338" s="107" t="s">
        <v>157</v>
      </c>
      <c r="S338" s="108" t="n">
        <v>6.81</v>
      </c>
      <c r="T338" s="109" t="n">
        <v>6.79</v>
      </c>
      <c r="U338" s="110" t="n">
        <f aca="false">ROUND(T338*$S338,2)</f>
        <v>46.24</v>
      </c>
      <c r="V338" s="111"/>
      <c r="W338" s="110"/>
      <c r="X338" s="111"/>
      <c r="Y338" s="110"/>
      <c r="Z338" s="108"/>
      <c r="AA338" s="110"/>
    </row>
    <row r="339" customFormat="false" ht="26.1" hidden="false" customHeight="true" outlineLevel="0" collapsed="false">
      <c r="A339" s="97" t="n">
        <v>4</v>
      </c>
      <c r="B339" s="98" t="s">
        <v>801</v>
      </c>
      <c r="C339" s="99" t="s">
        <v>825</v>
      </c>
      <c r="D339" s="100" t="str">
        <f aca="false">B339&amp;"_"&amp;E339</f>
        <v>4.2_5.4.8</v>
      </c>
      <c r="E339" s="101" t="s">
        <v>380</v>
      </c>
      <c r="F339" s="102"/>
      <c r="G339" s="103"/>
      <c r="H339" s="103"/>
      <c r="I339" s="103"/>
      <c r="J339" s="103"/>
      <c r="K339" s="103"/>
      <c r="L339" s="103"/>
      <c r="M339" s="103"/>
      <c r="N339" s="103"/>
      <c r="O339" s="104" t="s">
        <v>381</v>
      </c>
      <c r="P339" s="105" t="s">
        <v>145</v>
      </c>
      <c r="Q339" s="106" t="s">
        <v>382</v>
      </c>
      <c r="R339" s="107" t="s">
        <v>157</v>
      </c>
      <c r="S339" s="108" t="n">
        <v>0.05</v>
      </c>
      <c r="T339" s="109" t="n">
        <v>161.05</v>
      </c>
      <c r="U339" s="110" t="n">
        <f aca="false">ROUND(T339*$S339,2)</f>
        <v>8.05</v>
      </c>
      <c r="V339" s="111"/>
      <c r="W339" s="110"/>
      <c r="X339" s="111"/>
      <c r="Y339" s="110"/>
      <c r="Z339" s="108"/>
      <c r="AA339" s="110"/>
    </row>
    <row r="340" customFormat="false" ht="26.1" hidden="false" customHeight="true" outlineLevel="0" collapsed="false">
      <c r="A340" s="97" t="n">
        <v>4</v>
      </c>
      <c r="B340" s="98" t="s">
        <v>801</v>
      </c>
      <c r="C340" s="99" t="s">
        <v>825</v>
      </c>
      <c r="D340" s="100" t="str">
        <f aca="false">B340&amp;"_"&amp;E340</f>
        <v>4.2_5.4.9</v>
      </c>
      <c r="E340" s="101" t="s">
        <v>383</v>
      </c>
      <c r="F340" s="102"/>
      <c r="G340" s="103"/>
      <c r="H340" s="103"/>
      <c r="I340" s="103"/>
      <c r="J340" s="103"/>
      <c r="K340" s="103"/>
      <c r="L340" s="103"/>
      <c r="M340" s="103"/>
      <c r="N340" s="103"/>
      <c r="O340" s="104" t="s">
        <v>384</v>
      </c>
      <c r="P340" s="105" t="s">
        <v>145</v>
      </c>
      <c r="Q340" s="106" t="s">
        <v>385</v>
      </c>
      <c r="R340" s="107" t="s">
        <v>157</v>
      </c>
      <c r="S340" s="108" t="n">
        <v>0.03</v>
      </c>
      <c r="T340" s="109" t="n">
        <v>89.06</v>
      </c>
      <c r="U340" s="110" t="n">
        <f aca="false">ROUND(T340*$S340,2)</f>
        <v>2.67</v>
      </c>
      <c r="V340" s="111"/>
      <c r="W340" s="110"/>
      <c r="X340" s="111"/>
      <c r="Y340" s="110"/>
      <c r="Z340" s="108"/>
      <c r="AA340" s="110"/>
    </row>
    <row r="341" customFormat="false" ht="26.1" hidden="false" customHeight="true" outlineLevel="0" collapsed="false">
      <c r="A341" s="97" t="n">
        <v>4</v>
      </c>
      <c r="B341" s="98" t="s">
        <v>801</v>
      </c>
      <c r="C341" s="99" t="s">
        <v>825</v>
      </c>
      <c r="D341" s="100" t="str">
        <f aca="false">B341&amp;"_"&amp;E341</f>
        <v>4.2_5.4.11</v>
      </c>
      <c r="E341" s="101" t="s">
        <v>389</v>
      </c>
      <c r="F341" s="102"/>
      <c r="G341" s="103"/>
      <c r="H341" s="103"/>
      <c r="I341" s="103"/>
      <c r="J341" s="103"/>
      <c r="K341" s="103"/>
      <c r="L341" s="103"/>
      <c r="M341" s="103"/>
      <c r="N341" s="103"/>
      <c r="O341" s="104" t="s">
        <v>390</v>
      </c>
      <c r="P341" s="105" t="s">
        <v>145</v>
      </c>
      <c r="Q341" s="106" t="s">
        <v>391</v>
      </c>
      <c r="R341" s="107" t="s">
        <v>157</v>
      </c>
      <c r="S341" s="108" t="n">
        <v>3.87</v>
      </c>
      <c r="T341" s="109" t="n">
        <v>6.08</v>
      </c>
      <c r="U341" s="110" t="n">
        <f aca="false">ROUND(T341*$S341,2)</f>
        <v>23.53</v>
      </c>
      <c r="V341" s="111"/>
      <c r="W341" s="110"/>
      <c r="X341" s="111"/>
      <c r="Y341" s="110"/>
      <c r="Z341" s="108"/>
      <c r="AA341" s="110"/>
    </row>
    <row r="342" customFormat="false" ht="26.1" hidden="false" customHeight="true" outlineLevel="0" collapsed="false">
      <c r="A342" s="97" t="n">
        <v>4</v>
      </c>
      <c r="B342" s="98" t="s">
        <v>801</v>
      </c>
      <c r="C342" s="99" t="s">
        <v>825</v>
      </c>
      <c r="D342" s="100" t="str">
        <f aca="false">B342&amp;"_"&amp;E342</f>
        <v>4.2_5.4.12</v>
      </c>
      <c r="E342" s="101" t="s">
        <v>392</v>
      </c>
      <c r="F342" s="102"/>
      <c r="G342" s="103"/>
      <c r="H342" s="103"/>
      <c r="I342" s="103"/>
      <c r="J342" s="103"/>
      <c r="K342" s="103"/>
      <c r="L342" s="103"/>
      <c r="M342" s="103"/>
      <c r="N342" s="103"/>
      <c r="O342" s="104" t="s">
        <v>393</v>
      </c>
      <c r="P342" s="105" t="s">
        <v>145</v>
      </c>
      <c r="Q342" s="106" t="s">
        <v>394</v>
      </c>
      <c r="R342" s="107" t="s">
        <v>157</v>
      </c>
      <c r="S342" s="108" t="n">
        <v>0.74</v>
      </c>
      <c r="T342" s="109" t="n">
        <v>7.59</v>
      </c>
      <c r="U342" s="110" t="n">
        <f aca="false">ROUND(T342*$S342,2)</f>
        <v>5.62</v>
      </c>
      <c r="V342" s="111"/>
      <c r="W342" s="110"/>
      <c r="X342" s="111"/>
      <c r="Y342" s="110"/>
      <c r="Z342" s="108"/>
      <c r="AA342" s="110"/>
    </row>
    <row r="343" customFormat="false" ht="26.1" hidden="false" customHeight="true" outlineLevel="0" collapsed="false">
      <c r="A343" s="97" t="n">
        <v>4</v>
      </c>
      <c r="B343" s="98" t="s">
        <v>801</v>
      </c>
      <c r="C343" s="99" t="s">
        <v>825</v>
      </c>
      <c r="D343" s="100" t="str">
        <f aca="false">B343&amp;"_"&amp;E343</f>
        <v>4.2_5.4.13</v>
      </c>
      <c r="E343" s="101" t="s">
        <v>395</v>
      </c>
      <c r="F343" s="102"/>
      <c r="G343" s="103"/>
      <c r="H343" s="103"/>
      <c r="I343" s="103"/>
      <c r="J343" s="103"/>
      <c r="K343" s="103"/>
      <c r="L343" s="103"/>
      <c r="M343" s="103"/>
      <c r="N343" s="103"/>
      <c r="O343" s="104" t="s">
        <v>396</v>
      </c>
      <c r="P343" s="105" t="s">
        <v>145</v>
      </c>
      <c r="Q343" s="106" t="s">
        <v>397</v>
      </c>
      <c r="R343" s="107" t="s">
        <v>157</v>
      </c>
      <c r="S343" s="108" t="n">
        <v>0.29</v>
      </c>
      <c r="T343" s="109" t="n">
        <v>7.94</v>
      </c>
      <c r="U343" s="110" t="n">
        <f aca="false">ROUND(T343*$S343,2)</f>
        <v>2.3</v>
      </c>
      <c r="V343" s="111"/>
      <c r="W343" s="110"/>
      <c r="X343" s="111"/>
      <c r="Y343" s="110"/>
      <c r="Z343" s="108"/>
      <c r="AA343" s="110"/>
    </row>
    <row r="344" customFormat="false" ht="26.1" hidden="false" customHeight="true" outlineLevel="0" collapsed="false">
      <c r="A344" s="97" t="n">
        <v>4</v>
      </c>
      <c r="B344" s="98" t="s">
        <v>801</v>
      </c>
      <c r="C344" s="99" t="s">
        <v>825</v>
      </c>
      <c r="D344" s="100" t="str">
        <f aca="false">B344&amp;"_"&amp;E344</f>
        <v>4.2_5.4.22</v>
      </c>
      <c r="E344" s="101" t="s">
        <v>164</v>
      </c>
      <c r="F344" s="102"/>
      <c r="G344" s="103"/>
      <c r="H344" s="103"/>
      <c r="I344" s="103"/>
      <c r="J344" s="103"/>
      <c r="K344" s="103"/>
      <c r="L344" s="103"/>
      <c r="M344" s="103"/>
      <c r="N344" s="103"/>
      <c r="O344" s="104" t="s">
        <v>165</v>
      </c>
      <c r="P344" s="105" t="s">
        <v>145</v>
      </c>
      <c r="Q344" s="106" t="s">
        <v>166</v>
      </c>
      <c r="R344" s="107" t="s">
        <v>167</v>
      </c>
      <c r="S344" s="108" t="n">
        <v>106.17</v>
      </c>
      <c r="T344" s="109" t="n">
        <v>0.89</v>
      </c>
      <c r="U344" s="110" t="n">
        <f aca="false">ROUND(T344*$S344,2)</f>
        <v>94.49</v>
      </c>
      <c r="V344" s="111"/>
      <c r="W344" s="110"/>
      <c r="X344" s="111"/>
      <c r="Y344" s="110"/>
      <c r="Z344" s="108"/>
      <c r="AA344" s="110"/>
    </row>
    <row r="345" customFormat="false" ht="26.1" hidden="false" customHeight="true" outlineLevel="0" collapsed="false">
      <c r="A345" s="97" t="n">
        <v>4</v>
      </c>
      <c r="B345" s="98" t="s">
        <v>801</v>
      </c>
      <c r="C345" s="99" t="s">
        <v>825</v>
      </c>
      <c r="D345" s="100" t="str">
        <f aca="false">B345&amp;"_"&amp;E345</f>
        <v>4.2_5.4.23</v>
      </c>
      <c r="E345" s="101" t="s">
        <v>168</v>
      </c>
      <c r="F345" s="102"/>
      <c r="G345" s="103"/>
      <c r="H345" s="103"/>
      <c r="I345" s="103"/>
      <c r="J345" s="103"/>
      <c r="K345" s="103"/>
      <c r="L345" s="103"/>
      <c r="M345" s="103"/>
      <c r="N345" s="103"/>
      <c r="O345" s="104" t="s">
        <v>169</v>
      </c>
      <c r="P345" s="105" t="s">
        <v>145</v>
      </c>
      <c r="Q345" s="106" t="s">
        <v>170</v>
      </c>
      <c r="R345" s="107" t="s">
        <v>167</v>
      </c>
      <c r="S345" s="108" t="n">
        <v>204.18</v>
      </c>
      <c r="T345" s="109" t="n">
        <v>2.19</v>
      </c>
      <c r="U345" s="110" t="n">
        <f aca="false">ROUND(T345*$S345,2)</f>
        <v>447.15</v>
      </c>
      <c r="V345" s="111"/>
      <c r="W345" s="110"/>
      <c r="X345" s="111"/>
      <c r="Y345" s="110"/>
      <c r="Z345" s="108"/>
      <c r="AA345" s="110"/>
    </row>
    <row r="346" customFormat="false" ht="20.1" hidden="false" customHeight="true" outlineLevel="0" collapsed="false">
      <c r="A346" s="82" t="n">
        <v>4</v>
      </c>
      <c r="B346" s="83"/>
      <c r="C346" s="84"/>
      <c r="D346" s="85"/>
      <c r="E346" s="86" t="s">
        <v>420</v>
      </c>
      <c r="F346" s="87"/>
      <c r="G346" s="88"/>
      <c r="H346" s="88"/>
      <c r="I346" s="88"/>
      <c r="J346" s="88"/>
      <c r="K346" s="88"/>
      <c r="L346" s="88"/>
      <c r="M346" s="88"/>
      <c r="N346" s="88"/>
      <c r="O346" s="89" t="s">
        <v>421</v>
      </c>
      <c r="P346" s="90"/>
      <c r="Q346" s="91" t="s">
        <v>422</v>
      </c>
      <c r="R346" s="92"/>
      <c r="S346" s="93"/>
      <c r="T346" s="94"/>
      <c r="U346" s="95" t="n">
        <f aca="false">SUM(U347:U349)</f>
        <v>105.23</v>
      </c>
      <c r="V346" s="96"/>
      <c r="W346" s="95"/>
      <c r="X346" s="96"/>
      <c r="Y346" s="95"/>
      <c r="Z346" s="93"/>
      <c r="AA346" s="95"/>
    </row>
    <row r="347" customFormat="false" ht="26.1" hidden="false" customHeight="true" outlineLevel="0" collapsed="false">
      <c r="A347" s="97" t="n">
        <v>4</v>
      </c>
      <c r="B347" s="98" t="s">
        <v>801</v>
      </c>
      <c r="C347" s="99" t="s">
        <v>825</v>
      </c>
      <c r="D347" s="100" t="str">
        <f aca="false">B347&amp;"_"&amp;E347</f>
        <v>4.2_5.5.1</v>
      </c>
      <c r="E347" s="101" t="s">
        <v>423</v>
      </c>
      <c r="F347" s="102"/>
      <c r="G347" s="103"/>
      <c r="H347" s="103"/>
      <c r="I347" s="103"/>
      <c r="J347" s="103"/>
      <c r="K347" s="103"/>
      <c r="L347" s="103"/>
      <c r="M347" s="103"/>
      <c r="N347" s="103"/>
      <c r="O347" s="104" t="s">
        <v>424</v>
      </c>
      <c r="P347" s="105" t="s">
        <v>145</v>
      </c>
      <c r="Q347" s="106" t="s">
        <v>425</v>
      </c>
      <c r="R347" s="107" t="s">
        <v>157</v>
      </c>
      <c r="S347" s="108" t="n">
        <v>0.03</v>
      </c>
      <c r="T347" s="109" t="n">
        <v>256.34</v>
      </c>
      <c r="U347" s="110" t="n">
        <f aca="false">ROUND(T347*$S347,2)</f>
        <v>7.69</v>
      </c>
      <c r="V347" s="111"/>
      <c r="W347" s="110"/>
      <c r="X347" s="111"/>
      <c r="Y347" s="110"/>
      <c r="Z347" s="108"/>
      <c r="AA347" s="110"/>
    </row>
    <row r="348" customFormat="false" ht="26.1" hidden="false" customHeight="true" outlineLevel="0" collapsed="false">
      <c r="A348" s="97" t="n">
        <v>4</v>
      </c>
      <c r="B348" s="98" t="s">
        <v>801</v>
      </c>
      <c r="C348" s="99" t="s">
        <v>825</v>
      </c>
      <c r="D348" s="100" t="str">
        <f aca="false">B348&amp;"_"&amp;E348</f>
        <v>4.2_5.5.5</v>
      </c>
      <c r="E348" s="101" t="s">
        <v>662</v>
      </c>
      <c r="F348" s="102"/>
      <c r="G348" s="103"/>
      <c r="H348" s="103"/>
      <c r="I348" s="103"/>
      <c r="J348" s="103"/>
      <c r="K348" s="103"/>
      <c r="L348" s="103"/>
      <c r="M348" s="103"/>
      <c r="N348" s="103"/>
      <c r="O348" s="104" t="s">
        <v>663</v>
      </c>
      <c r="P348" s="105" t="s">
        <v>145</v>
      </c>
      <c r="Q348" s="106" t="s">
        <v>664</v>
      </c>
      <c r="R348" s="107" t="s">
        <v>150</v>
      </c>
      <c r="S348" s="108" t="n">
        <v>4.54</v>
      </c>
      <c r="T348" s="109" t="n">
        <v>7.03</v>
      </c>
      <c r="U348" s="110" t="n">
        <f aca="false">ROUND(T348*$S348,2)</f>
        <v>31.92</v>
      </c>
      <c r="V348" s="111"/>
      <c r="W348" s="110"/>
      <c r="X348" s="111"/>
      <c r="Y348" s="110"/>
      <c r="Z348" s="108"/>
      <c r="AA348" s="110"/>
    </row>
    <row r="349" customFormat="false" ht="26.1" hidden="false" customHeight="true" outlineLevel="0" collapsed="false">
      <c r="A349" s="97" t="n">
        <v>4</v>
      </c>
      <c r="B349" s="98" t="s">
        <v>801</v>
      </c>
      <c r="C349" s="99" t="s">
        <v>825</v>
      </c>
      <c r="D349" s="100" t="str">
        <f aca="false">B349&amp;"_"&amp;E349</f>
        <v>4.2_5.5.6</v>
      </c>
      <c r="E349" s="101" t="s">
        <v>432</v>
      </c>
      <c r="F349" s="102"/>
      <c r="G349" s="103"/>
      <c r="H349" s="103"/>
      <c r="I349" s="103"/>
      <c r="J349" s="103"/>
      <c r="K349" s="103"/>
      <c r="L349" s="103"/>
      <c r="M349" s="103"/>
      <c r="N349" s="103"/>
      <c r="O349" s="104" t="s">
        <v>433</v>
      </c>
      <c r="P349" s="105" t="s">
        <v>145</v>
      </c>
      <c r="Q349" s="106" t="s">
        <v>434</v>
      </c>
      <c r="R349" s="107" t="s">
        <v>120</v>
      </c>
      <c r="S349" s="108" t="n">
        <v>1</v>
      </c>
      <c r="T349" s="109" t="n">
        <v>65.62</v>
      </c>
      <c r="U349" s="110" t="n">
        <f aca="false">ROUND(T349*$S349,2)</f>
        <v>65.62</v>
      </c>
      <c r="V349" s="111"/>
      <c r="W349" s="110"/>
      <c r="X349" s="111"/>
      <c r="Y349" s="110"/>
      <c r="Z349" s="108"/>
      <c r="AA349" s="110"/>
    </row>
    <row r="350" customFormat="false" ht="20.1" hidden="false" customHeight="true" outlineLevel="0" collapsed="false">
      <c r="A350" s="82" t="n">
        <v>4</v>
      </c>
      <c r="B350" s="83"/>
      <c r="C350" s="84"/>
      <c r="D350" s="85"/>
      <c r="E350" s="86" t="s">
        <v>435</v>
      </c>
      <c r="F350" s="87"/>
      <c r="G350" s="88"/>
      <c r="H350" s="88"/>
      <c r="I350" s="88"/>
      <c r="J350" s="88"/>
      <c r="K350" s="88"/>
      <c r="L350" s="88"/>
      <c r="M350" s="88"/>
      <c r="N350" s="88"/>
      <c r="O350" s="89" t="s">
        <v>436</v>
      </c>
      <c r="P350" s="90"/>
      <c r="Q350" s="91" t="s">
        <v>437</v>
      </c>
      <c r="R350" s="92"/>
      <c r="S350" s="93"/>
      <c r="T350" s="94"/>
      <c r="U350" s="95" t="n">
        <f aca="false">SUM(U351:U351)</f>
        <v>7.18</v>
      </c>
      <c r="V350" s="96"/>
      <c r="W350" s="95"/>
      <c r="X350" s="96"/>
      <c r="Y350" s="95"/>
      <c r="Z350" s="93"/>
      <c r="AA350" s="95"/>
    </row>
    <row r="351" customFormat="false" ht="26.1" hidden="false" customHeight="true" outlineLevel="0" collapsed="false">
      <c r="A351" s="97" t="n">
        <v>4</v>
      </c>
      <c r="B351" s="98" t="s">
        <v>801</v>
      </c>
      <c r="C351" s="99" t="s">
        <v>825</v>
      </c>
      <c r="D351" s="100" t="str">
        <f aca="false">B351&amp;"_"&amp;E351</f>
        <v>4.2_5.6.1</v>
      </c>
      <c r="E351" s="101" t="s">
        <v>438</v>
      </c>
      <c r="F351" s="102"/>
      <c r="G351" s="103"/>
      <c r="H351" s="103"/>
      <c r="I351" s="103"/>
      <c r="J351" s="103"/>
      <c r="K351" s="103"/>
      <c r="L351" s="103"/>
      <c r="M351" s="103"/>
      <c r="N351" s="103"/>
      <c r="O351" s="104" t="s">
        <v>439</v>
      </c>
      <c r="P351" s="105" t="s">
        <v>145</v>
      </c>
      <c r="Q351" s="106" t="s">
        <v>440</v>
      </c>
      <c r="R351" s="107" t="s">
        <v>441</v>
      </c>
      <c r="S351" s="108" t="n">
        <v>0.22</v>
      </c>
      <c r="T351" s="109" t="n">
        <v>32.64</v>
      </c>
      <c r="U351" s="110" t="n">
        <f aca="false">ROUND(T351*$S351,2)</f>
        <v>7.18</v>
      </c>
      <c r="V351" s="111"/>
      <c r="W351" s="110"/>
      <c r="X351" s="111"/>
      <c r="Y351" s="110"/>
      <c r="Z351" s="108"/>
      <c r="AA351" s="110"/>
    </row>
    <row r="352" customFormat="false" ht="20.1" hidden="false" customHeight="true" outlineLevel="0" collapsed="false">
      <c r="A352" s="82" t="n">
        <v>4</v>
      </c>
      <c r="B352" s="83"/>
      <c r="C352" s="84"/>
      <c r="D352" s="85"/>
      <c r="E352" s="86" t="s">
        <v>174</v>
      </c>
      <c r="F352" s="87"/>
      <c r="G352" s="88"/>
      <c r="H352" s="88"/>
      <c r="I352" s="88"/>
      <c r="J352" s="88"/>
      <c r="K352" s="88"/>
      <c r="L352" s="88"/>
      <c r="M352" s="88"/>
      <c r="N352" s="88"/>
      <c r="O352" s="89" t="s">
        <v>175</v>
      </c>
      <c r="P352" s="90"/>
      <c r="Q352" s="91" t="s">
        <v>176</v>
      </c>
      <c r="R352" s="92"/>
      <c r="S352" s="93"/>
      <c r="T352" s="94"/>
      <c r="U352" s="95" t="n">
        <f aca="false">SUM(U353:U355)</f>
        <v>2780.8</v>
      </c>
      <c r="V352" s="96"/>
      <c r="W352" s="95"/>
      <c r="X352" s="96"/>
      <c r="Y352" s="95"/>
      <c r="Z352" s="93"/>
      <c r="AA352" s="95"/>
    </row>
    <row r="353" customFormat="false" ht="26.1" hidden="false" customHeight="true" outlineLevel="0" collapsed="false">
      <c r="A353" s="97" t="n">
        <v>4</v>
      </c>
      <c r="B353" s="98" t="s">
        <v>801</v>
      </c>
      <c r="C353" s="99" t="s">
        <v>825</v>
      </c>
      <c r="D353" s="100" t="str">
        <f aca="false">B353&amp;"_"&amp;E353</f>
        <v>4.2_5.7.9</v>
      </c>
      <c r="E353" s="101" t="s">
        <v>687</v>
      </c>
      <c r="F353" s="102"/>
      <c r="G353" s="103"/>
      <c r="H353" s="103"/>
      <c r="I353" s="103"/>
      <c r="J353" s="103"/>
      <c r="K353" s="103"/>
      <c r="L353" s="103"/>
      <c r="M353" s="103"/>
      <c r="N353" s="103"/>
      <c r="O353" s="104" t="s">
        <v>688</v>
      </c>
      <c r="P353" s="105" t="s">
        <v>145</v>
      </c>
      <c r="Q353" s="106" t="s">
        <v>689</v>
      </c>
      <c r="R353" s="107" t="s">
        <v>71</v>
      </c>
      <c r="S353" s="108" t="n">
        <v>2</v>
      </c>
      <c r="T353" s="109" t="n">
        <v>73.13</v>
      </c>
      <c r="U353" s="110" t="n">
        <f aca="false">ROUND(T353*$S353,2)</f>
        <v>146.26</v>
      </c>
      <c r="V353" s="111"/>
      <c r="W353" s="110"/>
      <c r="X353" s="111"/>
      <c r="Y353" s="110"/>
      <c r="Z353" s="108"/>
      <c r="AA353" s="110"/>
    </row>
    <row r="354" customFormat="false" ht="26.1" hidden="false" customHeight="true" outlineLevel="0" collapsed="false">
      <c r="A354" s="97" t="n">
        <v>4</v>
      </c>
      <c r="B354" s="98" t="s">
        <v>801</v>
      </c>
      <c r="C354" s="99" t="s">
        <v>825</v>
      </c>
      <c r="D354" s="100" t="str">
        <f aca="false">B354&amp;"_"&amp;E354</f>
        <v>4.2_5.7.14</v>
      </c>
      <c r="E354" s="101" t="s">
        <v>180</v>
      </c>
      <c r="F354" s="102"/>
      <c r="G354" s="103"/>
      <c r="H354" s="103"/>
      <c r="I354" s="103"/>
      <c r="J354" s="103"/>
      <c r="K354" s="103"/>
      <c r="L354" s="103"/>
      <c r="M354" s="103"/>
      <c r="N354" s="103"/>
      <c r="O354" s="104" t="s">
        <v>181</v>
      </c>
      <c r="P354" s="105" t="s">
        <v>145</v>
      </c>
      <c r="Q354" s="106" t="s">
        <v>182</v>
      </c>
      <c r="R354" s="107" t="s">
        <v>157</v>
      </c>
      <c r="S354" s="108" t="n">
        <v>0.68</v>
      </c>
      <c r="T354" s="109" t="n">
        <v>301</v>
      </c>
      <c r="U354" s="110" t="n">
        <f aca="false">ROUND(T354*$S354,2)</f>
        <v>204.68</v>
      </c>
      <c r="V354" s="111"/>
      <c r="W354" s="110"/>
      <c r="X354" s="111"/>
      <c r="Y354" s="110"/>
      <c r="Z354" s="108"/>
      <c r="AA354" s="110"/>
    </row>
    <row r="355" customFormat="false" ht="26.1" hidden="false" customHeight="true" outlineLevel="0" collapsed="false">
      <c r="A355" s="97" t="n">
        <v>4</v>
      </c>
      <c r="B355" s="98" t="s">
        <v>801</v>
      </c>
      <c r="C355" s="99" t="s">
        <v>825</v>
      </c>
      <c r="D355" s="100" t="str">
        <f aca="false">B355&amp;"_"&amp;E355</f>
        <v>4.2_5.7.16</v>
      </c>
      <c r="E355" s="101" t="s">
        <v>826</v>
      </c>
      <c r="F355" s="102"/>
      <c r="G355" s="103"/>
      <c r="H355" s="103"/>
      <c r="I355" s="103"/>
      <c r="J355" s="103"/>
      <c r="K355" s="103"/>
      <c r="L355" s="103"/>
      <c r="M355" s="103"/>
      <c r="N355" s="103"/>
      <c r="O355" s="104" t="s">
        <v>827</v>
      </c>
      <c r="P355" s="105" t="s">
        <v>145</v>
      </c>
      <c r="Q355" s="106" t="s">
        <v>828</v>
      </c>
      <c r="R355" s="107" t="s">
        <v>157</v>
      </c>
      <c r="S355" s="108" t="n">
        <v>0.6</v>
      </c>
      <c r="T355" s="109" t="n">
        <v>4049.77</v>
      </c>
      <c r="U355" s="110" t="n">
        <f aca="false">ROUND(T355*$S355,2)</f>
        <v>2429.86</v>
      </c>
      <c r="V355" s="111"/>
      <c r="W355" s="110"/>
      <c r="X355" s="111"/>
      <c r="Y355" s="110"/>
      <c r="Z355" s="108"/>
      <c r="AA355" s="110"/>
    </row>
    <row r="356" customFormat="false" ht="20.1" hidden="false" customHeight="true" outlineLevel="0" collapsed="false">
      <c r="A356" s="82" t="n">
        <v>4</v>
      </c>
      <c r="B356" s="83"/>
      <c r="C356" s="84"/>
      <c r="D356" s="85"/>
      <c r="E356" s="86" t="s">
        <v>183</v>
      </c>
      <c r="F356" s="87"/>
      <c r="G356" s="88"/>
      <c r="H356" s="88"/>
      <c r="I356" s="88"/>
      <c r="J356" s="88"/>
      <c r="K356" s="88"/>
      <c r="L356" s="88"/>
      <c r="M356" s="88"/>
      <c r="N356" s="88"/>
      <c r="O356" s="89" t="s">
        <v>184</v>
      </c>
      <c r="P356" s="90"/>
      <c r="Q356" s="91" t="s">
        <v>185</v>
      </c>
      <c r="R356" s="92"/>
      <c r="S356" s="93"/>
      <c r="T356" s="94"/>
      <c r="U356" s="95" t="n">
        <f aca="false">SUM(U357:U362)</f>
        <v>4148.15</v>
      </c>
      <c r="V356" s="96"/>
      <c r="W356" s="95"/>
      <c r="X356" s="96"/>
      <c r="Y356" s="95"/>
      <c r="Z356" s="93"/>
      <c r="AA356" s="95"/>
    </row>
    <row r="357" customFormat="false" ht="26.1" hidden="false" customHeight="true" outlineLevel="0" collapsed="false">
      <c r="A357" s="97" t="n">
        <v>4</v>
      </c>
      <c r="B357" s="98" t="s">
        <v>801</v>
      </c>
      <c r="C357" s="99" t="s">
        <v>825</v>
      </c>
      <c r="D357" s="100" t="str">
        <f aca="false">B357&amp;"_"&amp;E357</f>
        <v>4.2_5.8.4</v>
      </c>
      <c r="E357" s="101" t="s">
        <v>448</v>
      </c>
      <c r="F357" s="102"/>
      <c r="G357" s="103"/>
      <c r="H357" s="103"/>
      <c r="I357" s="103"/>
      <c r="J357" s="103"/>
      <c r="K357" s="103"/>
      <c r="L357" s="103"/>
      <c r="M357" s="103"/>
      <c r="N357" s="103"/>
      <c r="O357" s="104" t="s">
        <v>449</v>
      </c>
      <c r="P357" s="105" t="s">
        <v>145</v>
      </c>
      <c r="Q357" s="106" t="s">
        <v>450</v>
      </c>
      <c r="R357" s="107" t="s">
        <v>71</v>
      </c>
      <c r="S357" s="108" t="n">
        <v>9</v>
      </c>
      <c r="T357" s="109" t="n">
        <v>47.38</v>
      </c>
      <c r="U357" s="110" t="n">
        <f aca="false">ROUND(T357*$S357,2)</f>
        <v>426.42</v>
      </c>
      <c r="V357" s="111"/>
      <c r="W357" s="110"/>
      <c r="X357" s="111"/>
      <c r="Y357" s="110"/>
      <c r="Z357" s="108"/>
      <c r="AA357" s="110"/>
    </row>
    <row r="358" customFormat="false" ht="26.1" hidden="false" customHeight="true" outlineLevel="0" collapsed="false">
      <c r="A358" s="97" t="n">
        <v>4</v>
      </c>
      <c r="B358" s="98" t="s">
        <v>801</v>
      </c>
      <c r="C358" s="99" t="s">
        <v>825</v>
      </c>
      <c r="D358" s="100" t="str">
        <f aca="false">B358&amp;"_"&amp;E358</f>
        <v>4.2_5.8.14</v>
      </c>
      <c r="E358" s="101" t="s">
        <v>711</v>
      </c>
      <c r="F358" s="102"/>
      <c r="G358" s="103"/>
      <c r="H358" s="103"/>
      <c r="I358" s="103"/>
      <c r="J358" s="103"/>
      <c r="K358" s="103"/>
      <c r="L358" s="103"/>
      <c r="M358" s="103"/>
      <c r="N358" s="103"/>
      <c r="O358" s="104" t="s">
        <v>712</v>
      </c>
      <c r="P358" s="105" t="s">
        <v>145</v>
      </c>
      <c r="Q358" s="106" t="s">
        <v>713</v>
      </c>
      <c r="R358" s="107" t="s">
        <v>71</v>
      </c>
      <c r="S358" s="108" t="n">
        <v>8</v>
      </c>
      <c r="T358" s="109" t="n">
        <v>109.32</v>
      </c>
      <c r="U358" s="110" t="n">
        <f aca="false">ROUND(T358*$S358,2)</f>
        <v>874.56</v>
      </c>
      <c r="V358" s="111"/>
      <c r="W358" s="110"/>
      <c r="X358" s="111"/>
      <c r="Y358" s="110"/>
      <c r="Z358" s="108"/>
      <c r="AA358" s="110"/>
    </row>
    <row r="359" customFormat="false" ht="26.1" hidden="false" customHeight="true" outlineLevel="0" collapsed="false">
      <c r="A359" s="97" t="n">
        <v>4</v>
      </c>
      <c r="B359" s="98" t="s">
        <v>801</v>
      </c>
      <c r="C359" s="99" t="s">
        <v>825</v>
      </c>
      <c r="D359" s="100" t="str">
        <f aca="false">B359&amp;"_"&amp;E359</f>
        <v>4.2_5.8.28</v>
      </c>
      <c r="E359" s="101" t="s">
        <v>829</v>
      </c>
      <c r="F359" s="102"/>
      <c r="G359" s="103"/>
      <c r="H359" s="103"/>
      <c r="I359" s="103"/>
      <c r="J359" s="103"/>
      <c r="K359" s="103"/>
      <c r="L359" s="103"/>
      <c r="M359" s="103"/>
      <c r="N359" s="103"/>
      <c r="O359" s="104" t="s">
        <v>830</v>
      </c>
      <c r="P359" s="105" t="s">
        <v>145</v>
      </c>
      <c r="Q359" s="106" t="s">
        <v>831</v>
      </c>
      <c r="R359" s="107" t="s">
        <v>71</v>
      </c>
      <c r="S359" s="108" t="n">
        <v>2</v>
      </c>
      <c r="T359" s="109" t="n">
        <v>154.84</v>
      </c>
      <c r="U359" s="110" t="n">
        <f aca="false">ROUND(T359*$S359,2)</f>
        <v>309.68</v>
      </c>
      <c r="V359" s="111"/>
      <c r="W359" s="110"/>
      <c r="X359" s="111"/>
      <c r="Y359" s="110"/>
      <c r="Z359" s="108"/>
      <c r="AA359" s="110"/>
    </row>
    <row r="360" customFormat="false" ht="26.1" hidden="false" customHeight="true" outlineLevel="0" collapsed="false">
      <c r="A360" s="97" t="n">
        <v>4</v>
      </c>
      <c r="B360" s="98" t="s">
        <v>801</v>
      </c>
      <c r="C360" s="99" t="s">
        <v>825</v>
      </c>
      <c r="D360" s="100" t="str">
        <f aca="false">B360&amp;"_"&amp;E360</f>
        <v>4.2_5.8.31</v>
      </c>
      <c r="E360" s="101" t="s">
        <v>732</v>
      </c>
      <c r="F360" s="102"/>
      <c r="G360" s="103"/>
      <c r="H360" s="103"/>
      <c r="I360" s="103"/>
      <c r="J360" s="103"/>
      <c r="K360" s="103"/>
      <c r="L360" s="103"/>
      <c r="M360" s="103"/>
      <c r="N360" s="103"/>
      <c r="O360" s="104" t="s">
        <v>733</v>
      </c>
      <c r="P360" s="105" t="s">
        <v>145</v>
      </c>
      <c r="Q360" s="106" t="s">
        <v>734</v>
      </c>
      <c r="R360" s="107" t="s">
        <v>120</v>
      </c>
      <c r="S360" s="108" t="n">
        <v>40.2</v>
      </c>
      <c r="T360" s="109" t="n">
        <v>26.28</v>
      </c>
      <c r="U360" s="110" t="n">
        <f aca="false">ROUND(T360*$S360,2)</f>
        <v>1056.46</v>
      </c>
      <c r="V360" s="111"/>
      <c r="W360" s="110"/>
      <c r="X360" s="111"/>
      <c r="Y360" s="110"/>
      <c r="Z360" s="108"/>
      <c r="AA360" s="110"/>
    </row>
    <row r="361" customFormat="false" ht="26.1" hidden="false" customHeight="true" outlineLevel="0" collapsed="false">
      <c r="A361" s="97" t="n">
        <v>4</v>
      </c>
      <c r="B361" s="98" t="s">
        <v>801</v>
      </c>
      <c r="C361" s="99" t="s">
        <v>825</v>
      </c>
      <c r="D361" s="100" t="str">
        <f aca="false">B361&amp;"_"&amp;E361</f>
        <v>4.2_5.8.38</v>
      </c>
      <c r="E361" s="101" t="s">
        <v>508</v>
      </c>
      <c r="F361" s="102"/>
      <c r="G361" s="103"/>
      <c r="H361" s="103"/>
      <c r="I361" s="103"/>
      <c r="J361" s="103"/>
      <c r="K361" s="103"/>
      <c r="L361" s="103"/>
      <c r="M361" s="103"/>
      <c r="N361" s="103"/>
      <c r="O361" s="104" t="s">
        <v>509</v>
      </c>
      <c r="P361" s="105" t="s">
        <v>145</v>
      </c>
      <c r="Q361" s="106" t="s">
        <v>510</v>
      </c>
      <c r="R361" s="107" t="s">
        <v>120</v>
      </c>
      <c r="S361" s="108" t="n">
        <v>47.91</v>
      </c>
      <c r="T361" s="109" t="n">
        <v>2.77</v>
      </c>
      <c r="U361" s="110" t="n">
        <f aca="false">ROUND(T361*$S361,2)</f>
        <v>132.71</v>
      </c>
      <c r="V361" s="111"/>
      <c r="W361" s="110"/>
      <c r="X361" s="111"/>
      <c r="Y361" s="110"/>
      <c r="Z361" s="108"/>
      <c r="AA361" s="110"/>
    </row>
    <row r="362" customFormat="false" ht="26.1" hidden="false" customHeight="true" outlineLevel="0" collapsed="false">
      <c r="A362" s="97" t="n">
        <v>4</v>
      </c>
      <c r="B362" s="98" t="s">
        <v>801</v>
      </c>
      <c r="C362" s="99" t="s">
        <v>825</v>
      </c>
      <c r="D362" s="100" t="str">
        <f aca="false">B362&amp;"_"&amp;E362</f>
        <v>4.2_5.8.50</v>
      </c>
      <c r="E362" s="101" t="s">
        <v>541</v>
      </c>
      <c r="F362" s="102"/>
      <c r="G362" s="103"/>
      <c r="H362" s="103"/>
      <c r="I362" s="103"/>
      <c r="J362" s="103"/>
      <c r="K362" s="103"/>
      <c r="L362" s="103"/>
      <c r="M362" s="103"/>
      <c r="N362" s="103"/>
      <c r="O362" s="104" t="s">
        <v>542</v>
      </c>
      <c r="P362" s="105" t="s">
        <v>145</v>
      </c>
      <c r="Q362" s="106" t="s">
        <v>543</v>
      </c>
      <c r="R362" s="107" t="s">
        <v>71</v>
      </c>
      <c r="S362" s="108" t="n">
        <v>8</v>
      </c>
      <c r="T362" s="109" t="n">
        <v>168.54</v>
      </c>
      <c r="U362" s="110" t="n">
        <f aca="false">ROUND(T362*$S362,2)</f>
        <v>1348.32</v>
      </c>
      <c r="V362" s="111"/>
      <c r="W362" s="110"/>
      <c r="X362" s="111"/>
      <c r="Y362" s="110"/>
      <c r="Z362" s="108"/>
      <c r="AA362" s="110"/>
    </row>
    <row r="363" customFormat="false" ht="20.1" hidden="false" customHeight="true" outlineLevel="0" collapsed="false">
      <c r="A363" s="82" t="n">
        <v>4</v>
      </c>
      <c r="B363" s="83"/>
      <c r="C363" s="84"/>
      <c r="D363" s="85"/>
      <c r="E363" s="86" t="s">
        <v>234</v>
      </c>
      <c r="F363" s="87"/>
      <c r="G363" s="88"/>
      <c r="H363" s="88"/>
      <c r="I363" s="88"/>
      <c r="J363" s="88"/>
      <c r="K363" s="88"/>
      <c r="L363" s="88"/>
      <c r="M363" s="88"/>
      <c r="N363" s="88"/>
      <c r="O363" s="89" t="s">
        <v>235</v>
      </c>
      <c r="P363" s="90"/>
      <c r="Q363" s="91" t="s">
        <v>236</v>
      </c>
      <c r="R363" s="92"/>
      <c r="S363" s="93"/>
      <c r="T363" s="94"/>
      <c r="U363" s="95" t="n">
        <f aca="false">SUM(U364:U365)</f>
        <v>15.67</v>
      </c>
      <c r="V363" s="96"/>
      <c r="W363" s="95"/>
      <c r="X363" s="96"/>
      <c r="Y363" s="95"/>
      <c r="Z363" s="93"/>
      <c r="AA363" s="95"/>
    </row>
    <row r="364" customFormat="false" ht="26.1" hidden="false" customHeight="true" outlineLevel="0" collapsed="false">
      <c r="A364" s="97" t="n">
        <v>4</v>
      </c>
      <c r="B364" s="98" t="s">
        <v>801</v>
      </c>
      <c r="C364" s="99" t="s">
        <v>825</v>
      </c>
      <c r="D364" s="100" t="str">
        <f aca="false">B364&amp;"_"&amp;E364</f>
        <v>4.2_5.14.1</v>
      </c>
      <c r="E364" s="101" t="s">
        <v>574</v>
      </c>
      <c r="F364" s="102"/>
      <c r="G364" s="103"/>
      <c r="H364" s="103"/>
      <c r="I364" s="103"/>
      <c r="J364" s="103"/>
      <c r="K364" s="103"/>
      <c r="L364" s="103"/>
      <c r="M364" s="103"/>
      <c r="N364" s="103"/>
      <c r="O364" s="104" t="s">
        <v>575</v>
      </c>
      <c r="P364" s="105" t="s">
        <v>145</v>
      </c>
      <c r="Q364" s="106" t="s">
        <v>576</v>
      </c>
      <c r="R364" s="107" t="s">
        <v>157</v>
      </c>
      <c r="S364" s="108" t="n">
        <v>6.81</v>
      </c>
      <c r="T364" s="109" t="n">
        <v>1.86</v>
      </c>
      <c r="U364" s="110" t="n">
        <f aca="false">ROUND(T364*$S364,2)</f>
        <v>12.67</v>
      </c>
      <c r="V364" s="111"/>
      <c r="W364" s="110"/>
      <c r="X364" s="111"/>
      <c r="Y364" s="110"/>
      <c r="Z364" s="108"/>
      <c r="AA364" s="110"/>
    </row>
    <row r="365" customFormat="false" ht="26.1" hidden="false" customHeight="true" outlineLevel="0" collapsed="false">
      <c r="A365" s="97" t="n">
        <v>4</v>
      </c>
      <c r="B365" s="98" t="s">
        <v>801</v>
      </c>
      <c r="C365" s="99" t="s">
        <v>825</v>
      </c>
      <c r="D365" s="100" t="str">
        <f aca="false">B365&amp;"_"&amp;E365</f>
        <v>4.2_5.14.5</v>
      </c>
      <c r="E365" s="101" t="s">
        <v>246</v>
      </c>
      <c r="F365" s="102"/>
      <c r="G365" s="103"/>
      <c r="H365" s="103"/>
      <c r="I365" s="103"/>
      <c r="J365" s="103"/>
      <c r="K365" s="103"/>
      <c r="L365" s="103"/>
      <c r="M365" s="103"/>
      <c r="N365" s="103"/>
      <c r="O365" s="104" t="s">
        <v>247</v>
      </c>
      <c r="P365" s="105" t="s">
        <v>145</v>
      </c>
      <c r="Q365" s="106" t="s">
        <v>248</v>
      </c>
      <c r="R365" s="107" t="s">
        <v>150</v>
      </c>
      <c r="S365" s="108" t="n">
        <v>4.54</v>
      </c>
      <c r="T365" s="109" t="n">
        <v>0.66</v>
      </c>
      <c r="U365" s="110" t="n">
        <f aca="false">ROUND(T365*$S365,2)</f>
        <v>3</v>
      </c>
      <c r="V365" s="111"/>
      <c r="W365" s="110"/>
      <c r="X365" s="111"/>
      <c r="Y365" s="110"/>
      <c r="Z365" s="108"/>
      <c r="AA365" s="110"/>
    </row>
    <row r="366" customFormat="false" ht="20.1" hidden="false" customHeight="true" outlineLevel="0" collapsed="false">
      <c r="A366" s="82" t="n">
        <v>4</v>
      </c>
      <c r="B366" s="83"/>
      <c r="C366" s="84"/>
      <c r="D366" s="85"/>
      <c r="E366" s="86" t="s">
        <v>580</v>
      </c>
      <c r="F366" s="87"/>
      <c r="G366" s="88"/>
      <c r="H366" s="88"/>
      <c r="I366" s="88"/>
      <c r="J366" s="88"/>
      <c r="K366" s="88"/>
      <c r="L366" s="88"/>
      <c r="M366" s="88"/>
      <c r="N366" s="88"/>
      <c r="O366" s="89" t="s">
        <v>581</v>
      </c>
      <c r="P366" s="90"/>
      <c r="Q366" s="91" t="s">
        <v>582</v>
      </c>
      <c r="R366" s="92"/>
      <c r="S366" s="93"/>
      <c r="T366" s="94"/>
      <c r="U366" s="95" t="n">
        <f aca="false">SUM(U367:U367)</f>
        <v>7859.16</v>
      </c>
      <c r="V366" s="96"/>
      <c r="W366" s="95"/>
      <c r="X366" s="96"/>
      <c r="Y366" s="95"/>
      <c r="Z366" s="93"/>
      <c r="AA366" s="95"/>
    </row>
    <row r="367" customFormat="false" ht="26.1" hidden="false" customHeight="true" outlineLevel="0" collapsed="false">
      <c r="A367" s="97" t="n">
        <v>4</v>
      </c>
      <c r="B367" s="98" t="s">
        <v>801</v>
      </c>
      <c r="C367" s="99" t="s">
        <v>825</v>
      </c>
      <c r="D367" s="100" t="str">
        <f aca="false">B367&amp;"_"&amp;E367</f>
        <v>4.2_5.16.3</v>
      </c>
      <c r="E367" s="101" t="s">
        <v>589</v>
      </c>
      <c r="F367" s="102"/>
      <c r="G367" s="103"/>
      <c r="H367" s="103"/>
      <c r="I367" s="103"/>
      <c r="J367" s="103"/>
      <c r="K367" s="103"/>
      <c r="L367" s="103"/>
      <c r="M367" s="103"/>
      <c r="N367" s="103"/>
      <c r="O367" s="104" t="s">
        <v>590</v>
      </c>
      <c r="P367" s="105" t="s">
        <v>145</v>
      </c>
      <c r="Q367" s="106" t="s">
        <v>591</v>
      </c>
      <c r="R367" s="107" t="s">
        <v>120</v>
      </c>
      <c r="S367" s="108" t="n">
        <v>47.91</v>
      </c>
      <c r="T367" s="109" t="n">
        <v>164.04</v>
      </c>
      <c r="U367" s="110" t="n">
        <f aca="false">ROUND(T367*$S367,2)</f>
        <v>7859.16</v>
      </c>
      <c r="V367" s="111"/>
      <c r="W367" s="110"/>
      <c r="X367" s="111"/>
      <c r="Y367" s="110"/>
      <c r="Z367" s="108"/>
      <c r="AA367" s="110"/>
    </row>
    <row r="368" customFormat="false" ht="20.1" hidden="false" customHeight="true" outlineLevel="0" collapsed="false">
      <c r="A368" s="82" t="n">
        <v>4</v>
      </c>
      <c r="B368" s="83"/>
      <c r="C368" s="84"/>
      <c r="D368" s="85"/>
      <c r="E368" s="86" t="s">
        <v>261</v>
      </c>
      <c r="F368" s="87"/>
      <c r="G368" s="88"/>
      <c r="H368" s="88"/>
      <c r="I368" s="88"/>
      <c r="J368" s="88"/>
      <c r="K368" s="88"/>
      <c r="L368" s="88"/>
      <c r="M368" s="88"/>
      <c r="N368" s="88"/>
      <c r="O368" s="89" t="s">
        <v>262</v>
      </c>
      <c r="P368" s="90"/>
      <c r="Q368" s="91" t="s">
        <v>263</v>
      </c>
      <c r="R368" s="92"/>
      <c r="S368" s="93"/>
      <c r="T368" s="94"/>
      <c r="U368" s="95" t="n">
        <f aca="false">SUM(U369:U370)</f>
        <v>28.97</v>
      </c>
      <c r="V368" s="96"/>
      <c r="W368" s="95"/>
      <c r="X368" s="96"/>
      <c r="Y368" s="95"/>
      <c r="Z368" s="93"/>
      <c r="AA368" s="95"/>
    </row>
    <row r="369" customFormat="false" ht="26.1" hidden="false" customHeight="true" outlineLevel="0" collapsed="false">
      <c r="A369" s="97" t="n">
        <v>4</v>
      </c>
      <c r="B369" s="98" t="s">
        <v>801</v>
      </c>
      <c r="C369" s="99" t="s">
        <v>825</v>
      </c>
      <c r="D369" s="100" t="str">
        <f aca="false">B369&amp;"_"&amp;E369</f>
        <v>4.2_5.17.1</v>
      </c>
      <c r="E369" s="101" t="s">
        <v>604</v>
      </c>
      <c r="F369" s="102"/>
      <c r="G369" s="103"/>
      <c r="H369" s="103"/>
      <c r="I369" s="103"/>
      <c r="J369" s="103"/>
      <c r="K369" s="103"/>
      <c r="L369" s="103"/>
      <c r="M369" s="103"/>
      <c r="N369" s="103"/>
      <c r="O369" s="104" t="s">
        <v>605</v>
      </c>
      <c r="P369" s="105" t="s">
        <v>145</v>
      </c>
      <c r="Q369" s="106" t="s">
        <v>606</v>
      </c>
      <c r="R369" s="107" t="s">
        <v>157</v>
      </c>
      <c r="S369" s="108" t="n">
        <v>0.39</v>
      </c>
      <c r="T369" s="109" t="n">
        <v>59.37</v>
      </c>
      <c r="U369" s="110" t="n">
        <f aca="false">ROUND(T369*$S369,2)</f>
        <v>23.15</v>
      </c>
      <c r="V369" s="111"/>
      <c r="W369" s="110"/>
      <c r="X369" s="111"/>
      <c r="Y369" s="110"/>
      <c r="Z369" s="108"/>
      <c r="AA369" s="110"/>
    </row>
    <row r="370" customFormat="false" ht="26.1" hidden="false" customHeight="true" outlineLevel="0" collapsed="false">
      <c r="A370" s="97" t="n">
        <v>4</v>
      </c>
      <c r="B370" s="98" t="s">
        <v>801</v>
      </c>
      <c r="C370" s="99" t="s">
        <v>825</v>
      </c>
      <c r="D370" s="100" t="str">
        <f aca="false">B370&amp;"_"&amp;E370</f>
        <v>4.2_5.17.4</v>
      </c>
      <c r="E370" s="101" t="s">
        <v>607</v>
      </c>
      <c r="F370" s="102"/>
      <c r="G370" s="103"/>
      <c r="H370" s="103"/>
      <c r="I370" s="103"/>
      <c r="J370" s="103"/>
      <c r="K370" s="103"/>
      <c r="L370" s="103"/>
      <c r="M370" s="103"/>
      <c r="N370" s="103"/>
      <c r="O370" s="104" t="s">
        <v>608</v>
      </c>
      <c r="P370" s="105" t="s">
        <v>145</v>
      </c>
      <c r="Q370" s="106" t="s">
        <v>609</v>
      </c>
      <c r="R370" s="107" t="s">
        <v>157</v>
      </c>
      <c r="S370" s="108" t="n">
        <v>0.07</v>
      </c>
      <c r="T370" s="109" t="n">
        <v>83.12</v>
      </c>
      <c r="U370" s="110" t="n">
        <f aca="false">ROUND(T370*$S370,2)</f>
        <v>5.82</v>
      </c>
      <c r="V370" s="111"/>
      <c r="W370" s="110"/>
      <c r="X370" s="111"/>
      <c r="Y370" s="110"/>
      <c r="Z370" s="108"/>
      <c r="AA370" s="110"/>
    </row>
    <row r="371" customFormat="false" ht="20.1" hidden="false" customHeight="true" outlineLevel="0" collapsed="false">
      <c r="A371" s="52" t="n">
        <v>5</v>
      </c>
      <c r="B371" s="53"/>
      <c r="C371" s="54" t="s">
        <v>832</v>
      </c>
      <c r="D371" s="55"/>
      <c r="E371" s="56"/>
      <c r="F371" s="57"/>
      <c r="G371" s="58"/>
      <c r="H371" s="58"/>
      <c r="I371" s="58"/>
      <c r="J371" s="58"/>
      <c r="K371" s="58"/>
      <c r="L371" s="58"/>
      <c r="M371" s="58"/>
      <c r="N371" s="58"/>
      <c r="O371" s="59"/>
      <c r="P371" s="60"/>
      <c r="Q371" s="61" t="s">
        <v>832</v>
      </c>
      <c r="R371" s="62"/>
      <c r="S371" s="63"/>
      <c r="T371" s="64"/>
      <c r="U371" s="65" t="n">
        <f aca="false">SUM(U372,U536,U540)</f>
        <v>2020143.32</v>
      </c>
      <c r="V371" s="64"/>
      <c r="W371" s="65"/>
      <c r="X371" s="64"/>
      <c r="Y371" s="65"/>
      <c r="Z371" s="66"/>
      <c r="AA371" s="65"/>
    </row>
    <row r="372" customFormat="false" ht="20.1" hidden="false" customHeight="true" outlineLevel="0" collapsed="false">
      <c r="A372" s="67" t="n">
        <v>5</v>
      </c>
      <c r="B372" s="68"/>
      <c r="C372" s="69"/>
      <c r="D372" s="70"/>
      <c r="E372" s="71" t="s">
        <v>38</v>
      </c>
      <c r="F372" s="72"/>
      <c r="G372" s="73"/>
      <c r="H372" s="73"/>
      <c r="I372" s="73"/>
      <c r="J372" s="73"/>
      <c r="K372" s="73"/>
      <c r="L372" s="73"/>
      <c r="M372" s="73"/>
      <c r="N372" s="73"/>
      <c r="O372" s="74" t="s">
        <v>39</v>
      </c>
      <c r="P372" s="75"/>
      <c r="Q372" s="76" t="s">
        <v>27</v>
      </c>
      <c r="R372" s="77"/>
      <c r="S372" s="78"/>
      <c r="T372" s="79"/>
      <c r="U372" s="80" t="n">
        <f aca="false">SUM(U373,U375,U377,U396,U405,U483,U530,U532)</f>
        <v>1922259.21</v>
      </c>
      <c r="V372" s="81"/>
      <c r="W372" s="80"/>
      <c r="X372" s="81"/>
      <c r="Y372" s="80"/>
      <c r="Z372" s="78"/>
      <c r="AA372" s="80"/>
    </row>
    <row r="373" customFormat="false" ht="20.1" hidden="false" customHeight="true" outlineLevel="0" collapsed="false">
      <c r="A373" s="82" t="n">
        <v>5</v>
      </c>
      <c r="B373" s="83"/>
      <c r="C373" s="84"/>
      <c r="D373" s="85"/>
      <c r="E373" s="86" t="s">
        <v>833</v>
      </c>
      <c r="F373" s="87"/>
      <c r="G373" s="88"/>
      <c r="H373" s="88"/>
      <c r="I373" s="88"/>
      <c r="J373" s="88"/>
      <c r="K373" s="88"/>
      <c r="L373" s="88"/>
      <c r="M373" s="88"/>
      <c r="N373" s="88"/>
      <c r="O373" s="89" t="s">
        <v>834</v>
      </c>
      <c r="P373" s="90"/>
      <c r="Q373" s="91" t="s">
        <v>835</v>
      </c>
      <c r="R373" s="92"/>
      <c r="S373" s="93"/>
      <c r="T373" s="94"/>
      <c r="U373" s="95" t="n">
        <f aca="false">SUM(U374:U374)</f>
        <v>147.3</v>
      </c>
      <c r="V373" s="96"/>
      <c r="W373" s="95"/>
      <c r="X373" s="96"/>
      <c r="Y373" s="95"/>
      <c r="Z373" s="93"/>
      <c r="AA373" s="95"/>
    </row>
    <row r="374" customFormat="false" ht="26.1" hidden="false" customHeight="true" outlineLevel="0" collapsed="false">
      <c r="A374" s="97" t="n">
        <v>5</v>
      </c>
      <c r="B374" s="98" t="s">
        <v>139</v>
      </c>
      <c r="C374" s="99" t="s">
        <v>836</v>
      </c>
      <c r="D374" s="100" t="str">
        <f aca="false">B374&amp;"_"&amp;E374</f>
        <v>5.1_1.8.1</v>
      </c>
      <c r="E374" s="101" t="s">
        <v>837</v>
      </c>
      <c r="F374" s="102" t="s">
        <v>838</v>
      </c>
      <c r="G374" s="103" t="s">
        <v>112</v>
      </c>
      <c r="H374" s="103" t="s">
        <v>46</v>
      </c>
      <c r="I374" s="103" t="s">
        <v>839</v>
      </c>
      <c r="J374" s="103" t="s">
        <v>46</v>
      </c>
      <c r="K374" s="103" t="n">
        <v>200</v>
      </c>
      <c r="L374" s="103" t="s">
        <v>840</v>
      </c>
      <c r="M374" s="103" t="s">
        <v>841</v>
      </c>
      <c r="N374" s="103" t="s">
        <v>842</v>
      </c>
      <c r="O374" s="104" t="s">
        <v>843</v>
      </c>
      <c r="P374" s="105" t="s">
        <v>27</v>
      </c>
      <c r="Q374" s="106" t="s">
        <v>844</v>
      </c>
      <c r="R374" s="107" t="s">
        <v>71</v>
      </c>
      <c r="S374" s="108" t="n">
        <v>15</v>
      </c>
      <c r="T374" s="109" t="n">
        <v>9.82</v>
      </c>
      <c r="U374" s="110" t="n">
        <f aca="false">ROUND(T374*$S374,2)</f>
        <v>147.3</v>
      </c>
      <c r="V374" s="111"/>
      <c r="W374" s="110"/>
      <c r="X374" s="111"/>
      <c r="Y374" s="110"/>
      <c r="Z374" s="108"/>
      <c r="AA374" s="110"/>
    </row>
    <row r="375" customFormat="false" ht="20.1" hidden="false" customHeight="true" outlineLevel="0" collapsed="false">
      <c r="A375" s="82" t="n">
        <v>5</v>
      </c>
      <c r="B375" s="83"/>
      <c r="C375" s="84"/>
      <c r="D375" s="85"/>
      <c r="E375" s="86" t="s">
        <v>845</v>
      </c>
      <c r="F375" s="87"/>
      <c r="G375" s="88"/>
      <c r="H375" s="88"/>
      <c r="I375" s="88"/>
      <c r="J375" s="88"/>
      <c r="K375" s="88"/>
      <c r="L375" s="88"/>
      <c r="M375" s="88"/>
      <c r="N375" s="88"/>
      <c r="O375" s="89" t="s">
        <v>846</v>
      </c>
      <c r="P375" s="90"/>
      <c r="Q375" s="91" t="s">
        <v>847</v>
      </c>
      <c r="R375" s="92"/>
      <c r="S375" s="93"/>
      <c r="T375" s="94"/>
      <c r="U375" s="95" t="n">
        <f aca="false">SUM(U376:U376)</f>
        <v>53243.68</v>
      </c>
      <c r="V375" s="96"/>
      <c r="W375" s="95"/>
      <c r="X375" s="96"/>
      <c r="Y375" s="95"/>
      <c r="Z375" s="93"/>
      <c r="AA375" s="95"/>
    </row>
    <row r="376" customFormat="false" ht="26.1" hidden="false" customHeight="true" outlineLevel="0" collapsed="false">
      <c r="A376" s="97" t="n">
        <v>5</v>
      </c>
      <c r="B376" s="98" t="s">
        <v>139</v>
      </c>
      <c r="C376" s="99" t="s">
        <v>836</v>
      </c>
      <c r="D376" s="100" t="str">
        <f aca="false">B376&amp;"_"&amp;E376</f>
        <v>5.1_1.9.1</v>
      </c>
      <c r="E376" s="101" t="s">
        <v>848</v>
      </c>
      <c r="F376" s="102" t="s">
        <v>849</v>
      </c>
      <c r="G376" s="103" t="s">
        <v>46</v>
      </c>
      <c r="H376" s="103" t="s">
        <v>46</v>
      </c>
      <c r="I376" s="103" t="s">
        <v>850</v>
      </c>
      <c r="J376" s="103" t="s">
        <v>46</v>
      </c>
      <c r="K376" s="103" t="s">
        <v>851</v>
      </c>
      <c r="L376" s="103" t="s">
        <v>852</v>
      </c>
      <c r="M376" s="103" t="s">
        <v>841</v>
      </c>
      <c r="N376" s="103" t="s">
        <v>853</v>
      </c>
      <c r="O376" s="104" t="s">
        <v>854</v>
      </c>
      <c r="P376" s="105" t="s">
        <v>27</v>
      </c>
      <c r="Q376" s="106" t="s">
        <v>855</v>
      </c>
      <c r="R376" s="107" t="s">
        <v>71</v>
      </c>
      <c r="S376" s="108" t="n">
        <v>28</v>
      </c>
      <c r="T376" s="109" t="n">
        <v>1901.56</v>
      </c>
      <c r="U376" s="110" t="n">
        <f aca="false">ROUND(T376*$S376,2)</f>
        <v>53243.68</v>
      </c>
      <c r="V376" s="111"/>
      <c r="W376" s="110"/>
      <c r="X376" s="111"/>
      <c r="Y376" s="110"/>
      <c r="Z376" s="108"/>
      <c r="AA376" s="110"/>
    </row>
    <row r="377" customFormat="false" ht="20.1" hidden="false" customHeight="true" outlineLevel="0" collapsed="false">
      <c r="A377" s="82" t="n">
        <v>5</v>
      </c>
      <c r="B377" s="83"/>
      <c r="C377" s="84"/>
      <c r="D377" s="85"/>
      <c r="E377" s="86" t="s">
        <v>856</v>
      </c>
      <c r="F377" s="87"/>
      <c r="G377" s="88"/>
      <c r="H377" s="88"/>
      <c r="I377" s="88"/>
      <c r="J377" s="88"/>
      <c r="K377" s="88"/>
      <c r="L377" s="88"/>
      <c r="M377" s="88"/>
      <c r="N377" s="88"/>
      <c r="O377" s="89" t="s">
        <v>857</v>
      </c>
      <c r="P377" s="90"/>
      <c r="Q377" s="91" t="s">
        <v>858</v>
      </c>
      <c r="R377" s="92"/>
      <c r="S377" s="93"/>
      <c r="T377" s="94"/>
      <c r="U377" s="95" t="n">
        <f aca="false">SUM(U378:U395)</f>
        <v>446602.52</v>
      </c>
      <c r="V377" s="96"/>
      <c r="W377" s="95"/>
      <c r="X377" s="96"/>
      <c r="Y377" s="95"/>
      <c r="Z377" s="93"/>
      <c r="AA377" s="95"/>
    </row>
    <row r="378" customFormat="false" ht="26.1" hidden="false" customHeight="true" outlineLevel="0" collapsed="false">
      <c r="A378" s="97" t="n">
        <v>5</v>
      </c>
      <c r="B378" s="98" t="s">
        <v>139</v>
      </c>
      <c r="C378" s="99" t="s">
        <v>836</v>
      </c>
      <c r="D378" s="100" t="str">
        <f aca="false">B378&amp;"_"&amp;E378</f>
        <v>5.1_1.10.1</v>
      </c>
      <c r="E378" s="101" t="s">
        <v>859</v>
      </c>
      <c r="F378" s="102" t="s">
        <v>860</v>
      </c>
      <c r="G378" s="103" t="s">
        <v>46</v>
      </c>
      <c r="H378" s="103" t="s">
        <v>46</v>
      </c>
      <c r="I378" s="103" t="s">
        <v>861</v>
      </c>
      <c r="J378" s="103" t="s">
        <v>46</v>
      </c>
      <c r="K378" s="103" t="n">
        <v>100</v>
      </c>
      <c r="L378" s="103" t="s">
        <v>852</v>
      </c>
      <c r="M378" s="103" t="s">
        <v>841</v>
      </c>
      <c r="N378" s="103" t="s">
        <v>853</v>
      </c>
      <c r="O378" s="104" t="s">
        <v>862</v>
      </c>
      <c r="P378" s="105" t="s">
        <v>27</v>
      </c>
      <c r="Q378" s="106" t="s">
        <v>863</v>
      </c>
      <c r="R378" s="107" t="s">
        <v>71</v>
      </c>
      <c r="S378" s="108" t="n">
        <v>6</v>
      </c>
      <c r="T378" s="109" t="n">
        <v>189.06</v>
      </c>
      <c r="U378" s="110" t="n">
        <f aca="false">ROUND(T378*$S378,2)</f>
        <v>1134.36</v>
      </c>
      <c r="V378" s="111"/>
      <c r="W378" s="110"/>
      <c r="X378" s="111"/>
      <c r="Y378" s="110"/>
      <c r="Z378" s="108"/>
      <c r="AA378" s="110"/>
    </row>
    <row r="379" customFormat="false" ht="26.1" hidden="false" customHeight="true" outlineLevel="0" collapsed="false">
      <c r="A379" s="97" t="n">
        <v>5</v>
      </c>
      <c r="B379" s="98" t="s">
        <v>139</v>
      </c>
      <c r="C379" s="99" t="s">
        <v>836</v>
      </c>
      <c r="D379" s="100" t="str">
        <f aca="false">B379&amp;"_"&amp;E379</f>
        <v>5.1_1.10.2</v>
      </c>
      <c r="E379" s="101" t="s">
        <v>864</v>
      </c>
      <c r="F379" s="102" t="s">
        <v>865</v>
      </c>
      <c r="G379" s="103" t="s">
        <v>112</v>
      </c>
      <c r="H379" s="103" t="s">
        <v>46</v>
      </c>
      <c r="I379" s="103" t="s">
        <v>866</v>
      </c>
      <c r="J379" s="103" t="s">
        <v>46</v>
      </c>
      <c r="K379" s="103" t="n">
        <v>200</v>
      </c>
      <c r="L379" s="103" t="s">
        <v>852</v>
      </c>
      <c r="M379" s="103" t="s">
        <v>841</v>
      </c>
      <c r="N379" s="103" t="s">
        <v>867</v>
      </c>
      <c r="O379" s="104" t="s">
        <v>868</v>
      </c>
      <c r="P379" s="105" t="s">
        <v>27</v>
      </c>
      <c r="Q379" s="106" t="s">
        <v>869</v>
      </c>
      <c r="R379" s="107" t="s">
        <v>71</v>
      </c>
      <c r="S379" s="108" t="n">
        <v>4</v>
      </c>
      <c r="T379" s="109" t="n">
        <v>17589.88</v>
      </c>
      <c r="U379" s="110" t="n">
        <f aca="false">ROUND(T379*$S379,2)</f>
        <v>70359.52</v>
      </c>
      <c r="V379" s="111"/>
      <c r="W379" s="110"/>
      <c r="X379" s="111"/>
      <c r="Y379" s="110"/>
      <c r="Z379" s="108"/>
      <c r="AA379" s="110"/>
    </row>
    <row r="380" customFormat="false" ht="26.1" hidden="false" customHeight="true" outlineLevel="0" collapsed="false">
      <c r="A380" s="97" t="n">
        <v>5</v>
      </c>
      <c r="B380" s="98" t="s">
        <v>139</v>
      </c>
      <c r="C380" s="99" t="s">
        <v>836</v>
      </c>
      <c r="D380" s="100" t="str">
        <f aca="false">B380&amp;"_"&amp;E380</f>
        <v>5.1_1.10.3</v>
      </c>
      <c r="E380" s="101" t="s">
        <v>870</v>
      </c>
      <c r="F380" s="102" t="s">
        <v>865</v>
      </c>
      <c r="G380" s="103" t="s">
        <v>112</v>
      </c>
      <c r="H380" s="103" t="s">
        <v>46</v>
      </c>
      <c r="I380" s="103" t="s">
        <v>866</v>
      </c>
      <c r="J380" s="103" t="s">
        <v>46</v>
      </c>
      <c r="K380" s="103" t="n">
        <v>350</v>
      </c>
      <c r="L380" s="103" t="s">
        <v>852</v>
      </c>
      <c r="M380" s="103" t="s">
        <v>841</v>
      </c>
      <c r="N380" s="103" t="s">
        <v>867</v>
      </c>
      <c r="O380" s="104" t="s">
        <v>871</v>
      </c>
      <c r="P380" s="105" t="s">
        <v>27</v>
      </c>
      <c r="Q380" s="106" t="s">
        <v>872</v>
      </c>
      <c r="R380" s="107" t="s">
        <v>71</v>
      </c>
      <c r="S380" s="108" t="n">
        <v>2</v>
      </c>
      <c r="T380" s="109" t="n">
        <v>23595.41</v>
      </c>
      <c r="U380" s="110" t="n">
        <f aca="false">ROUND(T380*$S380,2)</f>
        <v>47190.82</v>
      </c>
      <c r="V380" s="111"/>
      <c r="W380" s="110"/>
      <c r="X380" s="111"/>
      <c r="Y380" s="110"/>
      <c r="Z380" s="108"/>
      <c r="AA380" s="110"/>
    </row>
    <row r="381" customFormat="false" ht="26.1" hidden="false" customHeight="true" outlineLevel="0" collapsed="false">
      <c r="A381" s="97" t="n">
        <v>5</v>
      </c>
      <c r="B381" s="98" t="s">
        <v>139</v>
      </c>
      <c r="C381" s="99" t="s">
        <v>836</v>
      </c>
      <c r="D381" s="100" t="str">
        <f aca="false">B381&amp;"_"&amp;E381</f>
        <v>5.1_1.10.4</v>
      </c>
      <c r="E381" s="101" t="s">
        <v>873</v>
      </c>
      <c r="F381" s="102" t="s">
        <v>865</v>
      </c>
      <c r="G381" s="103" t="s">
        <v>874</v>
      </c>
      <c r="H381" s="103" t="s">
        <v>46</v>
      </c>
      <c r="I381" s="103" t="s">
        <v>866</v>
      </c>
      <c r="J381" s="103" t="s">
        <v>46</v>
      </c>
      <c r="K381" s="103" t="n">
        <v>100</v>
      </c>
      <c r="L381" s="103" t="s">
        <v>852</v>
      </c>
      <c r="M381" s="103" t="s">
        <v>841</v>
      </c>
      <c r="N381" s="103" t="s">
        <v>867</v>
      </c>
      <c r="O381" s="104" t="s">
        <v>875</v>
      </c>
      <c r="P381" s="105" t="s">
        <v>27</v>
      </c>
      <c r="Q381" s="106" t="s">
        <v>876</v>
      </c>
      <c r="R381" s="107" t="s">
        <v>71</v>
      </c>
      <c r="S381" s="108" t="n">
        <v>2</v>
      </c>
      <c r="T381" s="109" t="n">
        <v>15871.73</v>
      </c>
      <c r="U381" s="110" t="n">
        <f aca="false">ROUND(T381*$S381,2)</f>
        <v>31743.46</v>
      </c>
      <c r="V381" s="111"/>
      <c r="W381" s="110"/>
      <c r="X381" s="111"/>
      <c r="Y381" s="110"/>
      <c r="Z381" s="108"/>
      <c r="AA381" s="110"/>
    </row>
    <row r="382" customFormat="false" ht="26.1" hidden="false" customHeight="true" outlineLevel="0" collapsed="false">
      <c r="A382" s="97" t="n">
        <v>5</v>
      </c>
      <c r="B382" s="98" t="s">
        <v>139</v>
      </c>
      <c r="C382" s="99" t="s">
        <v>836</v>
      </c>
      <c r="D382" s="100" t="str">
        <f aca="false">B382&amp;"_"&amp;E382</f>
        <v>5.1_1.10.5</v>
      </c>
      <c r="E382" s="101" t="s">
        <v>877</v>
      </c>
      <c r="F382" s="102" t="s">
        <v>865</v>
      </c>
      <c r="G382" s="103" t="s">
        <v>874</v>
      </c>
      <c r="H382" s="103" t="s">
        <v>46</v>
      </c>
      <c r="I382" s="103" t="s">
        <v>866</v>
      </c>
      <c r="J382" s="103" t="s">
        <v>46</v>
      </c>
      <c r="K382" s="103" t="n">
        <v>150</v>
      </c>
      <c r="L382" s="103" t="s">
        <v>852</v>
      </c>
      <c r="M382" s="103" t="s">
        <v>841</v>
      </c>
      <c r="N382" s="103" t="s">
        <v>867</v>
      </c>
      <c r="O382" s="104" t="s">
        <v>878</v>
      </c>
      <c r="P382" s="105" t="s">
        <v>27</v>
      </c>
      <c r="Q382" s="106" t="s">
        <v>879</v>
      </c>
      <c r="R382" s="107" t="s">
        <v>71</v>
      </c>
      <c r="S382" s="108" t="n">
        <v>4</v>
      </c>
      <c r="T382" s="109" t="n">
        <v>16664.81</v>
      </c>
      <c r="U382" s="110" t="n">
        <f aca="false">ROUND(T382*$S382,2)</f>
        <v>66659.24</v>
      </c>
      <c r="V382" s="111"/>
      <c r="W382" s="110"/>
      <c r="X382" s="111"/>
      <c r="Y382" s="110"/>
      <c r="Z382" s="108"/>
      <c r="AA382" s="110"/>
    </row>
    <row r="383" customFormat="false" ht="26.1" hidden="false" customHeight="true" outlineLevel="0" collapsed="false">
      <c r="A383" s="97" t="n">
        <v>5</v>
      </c>
      <c r="B383" s="98" t="s">
        <v>139</v>
      </c>
      <c r="C383" s="99" t="s">
        <v>836</v>
      </c>
      <c r="D383" s="100" t="str">
        <f aca="false">B383&amp;"_"&amp;E383</f>
        <v>5.1_1.10.6</v>
      </c>
      <c r="E383" s="101" t="s">
        <v>880</v>
      </c>
      <c r="F383" s="102" t="s">
        <v>881</v>
      </c>
      <c r="G383" s="103" t="s">
        <v>112</v>
      </c>
      <c r="H383" s="103" t="s">
        <v>46</v>
      </c>
      <c r="I383" s="103" t="s">
        <v>882</v>
      </c>
      <c r="J383" s="103" t="s">
        <v>46</v>
      </c>
      <c r="K383" s="103" t="s">
        <v>883</v>
      </c>
      <c r="L383" s="103" t="s">
        <v>852</v>
      </c>
      <c r="M383" s="103" t="s">
        <v>841</v>
      </c>
      <c r="N383" s="103" t="s">
        <v>867</v>
      </c>
      <c r="O383" s="104" t="s">
        <v>884</v>
      </c>
      <c r="P383" s="105" t="s">
        <v>27</v>
      </c>
      <c r="Q383" s="106" t="s">
        <v>885</v>
      </c>
      <c r="R383" s="107" t="s">
        <v>71</v>
      </c>
      <c r="S383" s="108" t="n">
        <v>8</v>
      </c>
      <c r="T383" s="109" t="n">
        <v>3351.67</v>
      </c>
      <c r="U383" s="110" t="n">
        <f aca="false">ROUND(T383*$S383,2)</f>
        <v>26813.36</v>
      </c>
      <c r="V383" s="111"/>
      <c r="W383" s="110"/>
      <c r="X383" s="111"/>
      <c r="Y383" s="110"/>
      <c r="Z383" s="108"/>
      <c r="AA383" s="110"/>
    </row>
    <row r="384" customFormat="false" ht="26.1" hidden="false" customHeight="true" outlineLevel="0" collapsed="false">
      <c r="A384" s="97" t="n">
        <v>5</v>
      </c>
      <c r="B384" s="98" t="s">
        <v>139</v>
      </c>
      <c r="C384" s="99" t="s">
        <v>836</v>
      </c>
      <c r="D384" s="100" t="str">
        <f aca="false">B384&amp;"_"&amp;E384</f>
        <v>5.1_1.10.7</v>
      </c>
      <c r="E384" s="101" t="s">
        <v>886</v>
      </c>
      <c r="F384" s="102" t="s">
        <v>887</v>
      </c>
      <c r="G384" s="103" t="s">
        <v>112</v>
      </c>
      <c r="H384" s="103" t="s">
        <v>46</v>
      </c>
      <c r="I384" s="103" t="s">
        <v>882</v>
      </c>
      <c r="J384" s="103" t="s">
        <v>46</v>
      </c>
      <c r="K384" s="103" t="n">
        <v>80</v>
      </c>
      <c r="L384" s="103" t="s">
        <v>852</v>
      </c>
      <c r="M384" s="103" t="s">
        <v>841</v>
      </c>
      <c r="N384" s="103" t="s">
        <v>867</v>
      </c>
      <c r="O384" s="104" t="s">
        <v>888</v>
      </c>
      <c r="P384" s="105" t="s">
        <v>27</v>
      </c>
      <c r="Q384" s="106" t="s">
        <v>889</v>
      </c>
      <c r="R384" s="107" t="s">
        <v>71</v>
      </c>
      <c r="S384" s="108" t="n">
        <v>3</v>
      </c>
      <c r="T384" s="109" t="n">
        <v>1568.14</v>
      </c>
      <c r="U384" s="110" t="n">
        <f aca="false">ROUND(T384*$S384,2)</f>
        <v>4704.42</v>
      </c>
      <c r="V384" s="111"/>
      <c r="W384" s="110"/>
      <c r="X384" s="111"/>
      <c r="Y384" s="110"/>
      <c r="Z384" s="108"/>
      <c r="AA384" s="110"/>
    </row>
    <row r="385" customFormat="false" ht="26.1" hidden="false" customHeight="true" outlineLevel="0" collapsed="false">
      <c r="A385" s="97" t="n">
        <v>5</v>
      </c>
      <c r="B385" s="98" t="s">
        <v>139</v>
      </c>
      <c r="C385" s="99" t="s">
        <v>836</v>
      </c>
      <c r="D385" s="100" t="str">
        <f aca="false">B385&amp;"_"&amp;E385</f>
        <v>5.1_1.10.8</v>
      </c>
      <c r="E385" s="101" t="s">
        <v>890</v>
      </c>
      <c r="F385" s="102" t="s">
        <v>891</v>
      </c>
      <c r="G385" s="103" t="s">
        <v>112</v>
      </c>
      <c r="H385" s="103" t="s">
        <v>46</v>
      </c>
      <c r="I385" s="103" t="s">
        <v>882</v>
      </c>
      <c r="J385" s="103" t="s">
        <v>46</v>
      </c>
      <c r="K385" s="103" t="n">
        <v>100</v>
      </c>
      <c r="L385" s="103" t="s">
        <v>852</v>
      </c>
      <c r="M385" s="103" t="s">
        <v>841</v>
      </c>
      <c r="N385" s="103" t="s">
        <v>867</v>
      </c>
      <c r="O385" s="104" t="s">
        <v>892</v>
      </c>
      <c r="P385" s="105" t="s">
        <v>27</v>
      </c>
      <c r="Q385" s="106" t="s">
        <v>893</v>
      </c>
      <c r="R385" s="107" t="s">
        <v>71</v>
      </c>
      <c r="S385" s="108" t="n">
        <v>1</v>
      </c>
      <c r="T385" s="109" t="n">
        <v>2010.82</v>
      </c>
      <c r="U385" s="110" t="n">
        <f aca="false">ROUND(T385*$S385,2)</f>
        <v>2010.82</v>
      </c>
      <c r="V385" s="111"/>
      <c r="W385" s="110"/>
      <c r="X385" s="111"/>
      <c r="Y385" s="110"/>
      <c r="Z385" s="108"/>
      <c r="AA385" s="110"/>
    </row>
    <row r="386" customFormat="false" ht="26.1" hidden="false" customHeight="true" outlineLevel="0" collapsed="false">
      <c r="A386" s="97" t="n">
        <v>5</v>
      </c>
      <c r="B386" s="98" t="s">
        <v>139</v>
      </c>
      <c r="C386" s="99" t="s">
        <v>836</v>
      </c>
      <c r="D386" s="100" t="str">
        <f aca="false">B386&amp;"_"&amp;E386</f>
        <v>5.1_1.10.9</v>
      </c>
      <c r="E386" s="101" t="s">
        <v>894</v>
      </c>
      <c r="F386" s="102" t="s">
        <v>891</v>
      </c>
      <c r="G386" s="103" t="s">
        <v>112</v>
      </c>
      <c r="H386" s="103" t="s">
        <v>46</v>
      </c>
      <c r="I386" s="103" t="s">
        <v>882</v>
      </c>
      <c r="J386" s="103" t="s">
        <v>46</v>
      </c>
      <c r="K386" s="103" t="n">
        <v>150</v>
      </c>
      <c r="L386" s="103" t="s">
        <v>852</v>
      </c>
      <c r="M386" s="103" t="s">
        <v>841</v>
      </c>
      <c r="N386" s="103" t="s">
        <v>867</v>
      </c>
      <c r="O386" s="104" t="s">
        <v>895</v>
      </c>
      <c r="P386" s="105" t="s">
        <v>27</v>
      </c>
      <c r="Q386" s="106" t="s">
        <v>896</v>
      </c>
      <c r="R386" s="107" t="s">
        <v>71</v>
      </c>
      <c r="S386" s="108" t="n">
        <v>2</v>
      </c>
      <c r="T386" s="109" t="n">
        <v>2343.08</v>
      </c>
      <c r="U386" s="110" t="n">
        <f aca="false">ROUND(T386*$S386,2)</f>
        <v>4686.16</v>
      </c>
      <c r="V386" s="111"/>
      <c r="W386" s="110"/>
      <c r="X386" s="111"/>
      <c r="Y386" s="110"/>
      <c r="Z386" s="108"/>
      <c r="AA386" s="110"/>
    </row>
    <row r="387" customFormat="false" ht="26.1" hidden="false" customHeight="true" outlineLevel="0" collapsed="false">
      <c r="A387" s="97" t="n">
        <v>5</v>
      </c>
      <c r="B387" s="98" t="s">
        <v>139</v>
      </c>
      <c r="C387" s="99" t="s">
        <v>836</v>
      </c>
      <c r="D387" s="100" t="str">
        <f aca="false">B387&amp;"_"&amp;E387</f>
        <v>5.1_1.10.10</v>
      </c>
      <c r="E387" s="101" t="s">
        <v>897</v>
      </c>
      <c r="F387" s="102" t="s">
        <v>891</v>
      </c>
      <c r="G387" s="103" t="s">
        <v>112</v>
      </c>
      <c r="H387" s="103" t="s">
        <v>46</v>
      </c>
      <c r="I387" s="103" t="s">
        <v>882</v>
      </c>
      <c r="J387" s="103" t="s">
        <v>46</v>
      </c>
      <c r="K387" s="103" t="n">
        <v>200</v>
      </c>
      <c r="L387" s="103" t="s">
        <v>852</v>
      </c>
      <c r="M387" s="103" t="s">
        <v>841</v>
      </c>
      <c r="N387" s="103" t="s">
        <v>867</v>
      </c>
      <c r="O387" s="104" t="s">
        <v>898</v>
      </c>
      <c r="P387" s="105" t="s">
        <v>27</v>
      </c>
      <c r="Q387" s="106" t="s">
        <v>899</v>
      </c>
      <c r="R387" s="107" t="s">
        <v>71</v>
      </c>
      <c r="S387" s="108" t="n">
        <v>2</v>
      </c>
      <c r="T387" s="109" t="n">
        <v>5060.67</v>
      </c>
      <c r="U387" s="110" t="n">
        <f aca="false">ROUND(T387*$S387,2)</f>
        <v>10121.34</v>
      </c>
      <c r="V387" s="111"/>
      <c r="W387" s="110"/>
      <c r="X387" s="111"/>
      <c r="Y387" s="110"/>
      <c r="Z387" s="108"/>
      <c r="AA387" s="110"/>
    </row>
    <row r="388" customFormat="false" ht="26.1" hidden="false" customHeight="true" outlineLevel="0" collapsed="false">
      <c r="A388" s="97" t="n">
        <v>5</v>
      </c>
      <c r="B388" s="98" t="s">
        <v>139</v>
      </c>
      <c r="C388" s="99" t="s">
        <v>836</v>
      </c>
      <c r="D388" s="100" t="str">
        <f aca="false">B388&amp;"_"&amp;E388</f>
        <v>5.1_1.10.11</v>
      </c>
      <c r="E388" s="101" t="s">
        <v>900</v>
      </c>
      <c r="F388" s="102" t="s">
        <v>901</v>
      </c>
      <c r="G388" s="103" t="s">
        <v>874</v>
      </c>
      <c r="H388" s="103" t="s">
        <v>46</v>
      </c>
      <c r="I388" s="103" t="s">
        <v>902</v>
      </c>
      <c r="J388" s="103" t="s">
        <v>46</v>
      </c>
      <c r="K388" s="103" t="n">
        <v>100</v>
      </c>
      <c r="L388" s="103" t="s">
        <v>852</v>
      </c>
      <c r="M388" s="103" t="s">
        <v>841</v>
      </c>
      <c r="N388" s="103" t="s">
        <v>867</v>
      </c>
      <c r="O388" s="104" t="s">
        <v>903</v>
      </c>
      <c r="P388" s="105" t="s">
        <v>27</v>
      </c>
      <c r="Q388" s="106" t="s">
        <v>904</v>
      </c>
      <c r="R388" s="107" t="s">
        <v>71</v>
      </c>
      <c r="S388" s="108" t="n">
        <v>2</v>
      </c>
      <c r="T388" s="109" t="n">
        <v>893.5</v>
      </c>
      <c r="U388" s="110" t="n">
        <f aca="false">ROUND(T388*$S388,2)</f>
        <v>1787</v>
      </c>
      <c r="V388" s="111"/>
      <c r="W388" s="110"/>
      <c r="X388" s="111"/>
      <c r="Y388" s="110"/>
      <c r="Z388" s="108"/>
      <c r="AA388" s="110"/>
    </row>
    <row r="389" customFormat="false" ht="26.1" hidden="false" customHeight="true" outlineLevel="0" collapsed="false">
      <c r="A389" s="97" t="n">
        <v>5</v>
      </c>
      <c r="B389" s="98" t="s">
        <v>139</v>
      </c>
      <c r="C389" s="99" t="s">
        <v>836</v>
      </c>
      <c r="D389" s="100" t="str">
        <f aca="false">B389&amp;"_"&amp;E389</f>
        <v>5.1_1.10.12</v>
      </c>
      <c r="E389" s="101" t="s">
        <v>905</v>
      </c>
      <c r="F389" s="102" t="s">
        <v>901</v>
      </c>
      <c r="G389" s="103" t="s">
        <v>874</v>
      </c>
      <c r="H389" s="103" t="s">
        <v>46</v>
      </c>
      <c r="I389" s="103" t="s">
        <v>902</v>
      </c>
      <c r="J389" s="103" t="s">
        <v>46</v>
      </c>
      <c r="K389" s="103" t="n">
        <v>150</v>
      </c>
      <c r="L389" s="103" t="s">
        <v>852</v>
      </c>
      <c r="M389" s="103" t="s">
        <v>841</v>
      </c>
      <c r="N389" s="103" t="s">
        <v>867</v>
      </c>
      <c r="O389" s="104" t="s">
        <v>906</v>
      </c>
      <c r="P389" s="105" t="s">
        <v>27</v>
      </c>
      <c r="Q389" s="106" t="s">
        <v>907</v>
      </c>
      <c r="R389" s="107" t="s">
        <v>71</v>
      </c>
      <c r="S389" s="108" t="n">
        <v>20</v>
      </c>
      <c r="T389" s="109" t="n">
        <v>1436.8</v>
      </c>
      <c r="U389" s="110" t="n">
        <f aca="false">ROUND(T389*$S389,2)</f>
        <v>28736</v>
      </c>
      <c r="V389" s="111"/>
      <c r="W389" s="110"/>
      <c r="X389" s="111"/>
      <c r="Y389" s="110"/>
      <c r="Z389" s="108"/>
      <c r="AA389" s="110"/>
    </row>
    <row r="390" customFormat="false" ht="26.1" hidden="false" customHeight="true" outlineLevel="0" collapsed="false">
      <c r="A390" s="97" t="n">
        <v>5</v>
      </c>
      <c r="B390" s="98" t="s">
        <v>139</v>
      </c>
      <c r="C390" s="99" t="s">
        <v>836</v>
      </c>
      <c r="D390" s="100" t="str">
        <f aca="false">B390&amp;"_"&amp;E390</f>
        <v>5.1_1.10.13</v>
      </c>
      <c r="E390" s="101" t="s">
        <v>908</v>
      </c>
      <c r="F390" s="102" t="s">
        <v>901</v>
      </c>
      <c r="G390" s="103" t="s">
        <v>874</v>
      </c>
      <c r="H390" s="103" t="s">
        <v>46</v>
      </c>
      <c r="I390" s="103" t="s">
        <v>902</v>
      </c>
      <c r="J390" s="103" t="s">
        <v>46</v>
      </c>
      <c r="K390" s="103" t="n">
        <v>200</v>
      </c>
      <c r="L390" s="103" t="s">
        <v>852</v>
      </c>
      <c r="M390" s="103" t="s">
        <v>841</v>
      </c>
      <c r="N390" s="103" t="s">
        <v>867</v>
      </c>
      <c r="O390" s="104" t="s">
        <v>909</v>
      </c>
      <c r="P390" s="105" t="s">
        <v>27</v>
      </c>
      <c r="Q390" s="106" t="s">
        <v>910</v>
      </c>
      <c r="R390" s="107" t="s">
        <v>71</v>
      </c>
      <c r="S390" s="108" t="n">
        <v>9</v>
      </c>
      <c r="T390" s="109" t="n">
        <v>2692.06</v>
      </c>
      <c r="U390" s="110" t="n">
        <f aca="false">ROUND(T390*$S390,2)</f>
        <v>24228.54</v>
      </c>
      <c r="V390" s="111"/>
      <c r="W390" s="110"/>
      <c r="X390" s="111"/>
      <c r="Y390" s="110"/>
      <c r="Z390" s="108"/>
      <c r="AA390" s="110"/>
    </row>
    <row r="391" customFormat="false" ht="26.1" hidden="false" customHeight="true" outlineLevel="0" collapsed="false">
      <c r="A391" s="97" t="n">
        <v>5</v>
      </c>
      <c r="B391" s="98" t="s">
        <v>139</v>
      </c>
      <c r="C391" s="99" t="s">
        <v>836</v>
      </c>
      <c r="D391" s="100" t="str">
        <f aca="false">B391&amp;"_"&amp;E391</f>
        <v>5.1_1.10.14</v>
      </c>
      <c r="E391" s="101" t="s">
        <v>911</v>
      </c>
      <c r="F391" s="102" t="s">
        <v>901</v>
      </c>
      <c r="G391" s="103" t="s">
        <v>874</v>
      </c>
      <c r="H391" s="103" t="s">
        <v>46</v>
      </c>
      <c r="I391" s="103" t="s">
        <v>902</v>
      </c>
      <c r="J391" s="103" t="s">
        <v>46</v>
      </c>
      <c r="K391" s="103" t="n">
        <v>250</v>
      </c>
      <c r="L391" s="103" t="s">
        <v>852</v>
      </c>
      <c r="M391" s="103" t="s">
        <v>841</v>
      </c>
      <c r="N391" s="103" t="s">
        <v>867</v>
      </c>
      <c r="O391" s="104" t="s">
        <v>912</v>
      </c>
      <c r="P391" s="105" t="s">
        <v>27</v>
      </c>
      <c r="Q391" s="106" t="s">
        <v>913</v>
      </c>
      <c r="R391" s="107" t="s">
        <v>71</v>
      </c>
      <c r="S391" s="108" t="n">
        <v>3</v>
      </c>
      <c r="T391" s="109" t="n">
        <v>3538.73</v>
      </c>
      <c r="U391" s="110" t="n">
        <f aca="false">ROUND(T391*$S391,2)</f>
        <v>10616.19</v>
      </c>
      <c r="V391" s="111"/>
      <c r="W391" s="110"/>
      <c r="X391" s="111"/>
      <c r="Y391" s="110"/>
      <c r="Z391" s="108"/>
      <c r="AA391" s="110"/>
    </row>
    <row r="392" customFormat="false" ht="26.1" hidden="false" customHeight="true" outlineLevel="0" collapsed="false">
      <c r="A392" s="97" t="n">
        <v>5</v>
      </c>
      <c r="B392" s="98" t="s">
        <v>139</v>
      </c>
      <c r="C392" s="99" t="s">
        <v>836</v>
      </c>
      <c r="D392" s="100" t="str">
        <f aca="false">B392&amp;"_"&amp;E392</f>
        <v>5.1_1.10.15</v>
      </c>
      <c r="E392" s="101" t="s">
        <v>914</v>
      </c>
      <c r="F392" s="102" t="s">
        <v>901</v>
      </c>
      <c r="G392" s="103" t="s">
        <v>874</v>
      </c>
      <c r="H392" s="103" t="s">
        <v>46</v>
      </c>
      <c r="I392" s="103" t="s">
        <v>902</v>
      </c>
      <c r="J392" s="103" t="s">
        <v>46</v>
      </c>
      <c r="K392" s="103" t="n">
        <v>50</v>
      </c>
      <c r="L392" s="103" t="s">
        <v>852</v>
      </c>
      <c r="M392" s="103" t="s">
        <v>841</v>
      </c>
      <c r="N392" s="103" t="s">
        <v>867</v>
      </c>
      <c r="O392" s="104" t="s">
        <v>915</v>
      </c>
      <c r="P392" s="105" t="s">
        <v>27</v>
      </c>
      <c r="Q392" s="106" t="s">
        <v>916</v>
      </c>
      <c r="R392" s="107" t="s">
        <v>71</v>
      </c>
      <c r="S392" s="108" t="n">
        <v>81</v>
      </c>
      <c r="T392" s="109" t="n">
        <v>551.46</v>
      </c>
      <c r="U392" s="110" t="n">
        <f aca="false">ROUND(T392*$S392,2)</f>
        <v>44668.26</v>
      </c>
      <c r="V392" s="111"/>
      <c r="W392" s="110"/>
      <c r="X392" s="111"/>
      <c r="Y392" s="110"/>
      <c r="Z392" s="108"/>
      <c r="AA392" s="110"/>
    </row>
    <row r="393" customFormat="false" ht="26.1" hidden="false" customHeight="true" outlineLevel="0" collapsed="false">
      <c r="A393" s="97" t="n">
        <v>5</v>
      </c>
      <c r="B393" s="98" t="s">
        <v>139</v>
      </c>
      <c r="C393" s="99" t="s">
        <v>836</v>
      </c>
      <c r="D393" s="100" t="str">
        <f aca="false">B393&amp;"_"&amp;E393</f>
        <v>5.1_1.10.16</v>
      </c>
      <c r="E393" s="101" t="s">
        <v>917</v>
      </c>
      <c r="F393" s="102" t="s">
        <v>901</v>
      </c>
      <c r="G393" s="103" t="s">
        <v>874</v>
      </c>
      <c r="H393" s="103" t="s">
        <v>46</v>
      </c>
      <c r="I393" s="103" t="s">
        <v>902</v>
      </c>
      <c r="J393" s="103" t="s">
        <v>46</v>
      </c>
      <c r="K393" s="103" t="n">
        <v>80</v>
      </c>
      <c r="L393" s="103" t="s">
        <v>852</v>
      </c>
      <c r="M393" s="103" t="s">
        <v>841</v>
      </c>
      <c r="N393" s="103" t="s">
        <v>867</v>
      </c>
      <c r="O393" s="104" t="s">
        <v>918</v>
      </c>
      <c r="P393" s="105" t="s">
        <v>27</v>
      </c>
      <c r="Q393" s="106" t="s">
        <v>919</v>
      </c>
      <c r="R393" s="107" t="s">
        <v>71</v>
      </c>
      <c r="S393" s="108" t="n">
        <v>35</v>
      </c>
      <c r="T393" s="109" t="n">
        <v>745.07</v>
      </c>
      <c r="U393" s="110" t="n">
        <f aca="false">ROUND(T393*$S393,2)</f>
        <v>26077.45</v>
      </c>
      <c r="V393" s="111"/>
      <c r="W393" s="110"/>
      <c r="X393" s="111"/>
      <c r="Y393" s="110"/>
      <c r="Z393" s="108"/>
      <c r="AA393" s="110"/>
    </row>
    <row r="394" customFormat="false" ht="26.1" hidden="false" customHeight="true" outlineLevel="0" collapsed="false">
      <c r="A394" s="97" t="n">
        <v>5</v>
      </c>
      <c r="B394" s="98" t="s">
        <v>139</v>
      </c>
      <c r="C394" s="99" t="s">
        <v>836</v>
      </c>
      <c r="D394" s="100" t="str">
        <f aca="false">B394&amp;"_"&amp;E394</f>
        <v>5.1_1.10.17</v>
      </c>
      <c r="E394" s="101" t="s">
        <v>920</v>
      </c>
      <c r="F394" s="102" t="s">
        <v>921</v>
      </c>
      <c r="G394" s="103" t="s">
        <v>112</v>
      </c>
      <c r="H394" s="103" t="s">
        <v>46</v>
      </c>
      <c r="I394" s="103" t="s">
        <v>882</v>
      </c>
      <c r="J394" s="103" t="s">
        <v>46</v>
      </c>
      <c r="K394" s="103" t="n">
        <v>300</v>
      </c>
      <c r="L394" s="103" t="s">
        <v>852</v>
      </c>
      <c r="M394" s="103" t="s">
        <v>841</v>
      </c>
      <c r="N394" s="103" t="s">
        <v>867</v>
      </c>
      <c r="O394" s="104" t="s">
        <v>922</v>
      </c>
      <c r="P394" s="105" t="s">
        <v>27</v>
      </c>
      <c r="Q394" s="106" t="s">
        <v>923</v>
      </c>
      <c r="R394" s="107" t="s">
        <v>71</v>
      </c>
      <c r="S394" s="108" t="n">
        <v>1</v>
      </c>
      <c r="T394" s="109" t="n">
        <v>29340</v>
      </c>
      <c r="U394" s="110" t="n">
        <f aca="false">ROUND(T394*$S394,2)</f>
        <v>29340</v>
      </c>
      <c r="V394" s="111"/>
      <c r="W394" s="110"/>
      <c r="X394" s="111"/>
      <c r="Y394" s="110"/>
      <c r="Z394" s="108"/>
      <c r="AA394" s="110"/>
    </row>
    <row r="395" customFormat="false" ht="26.1" hidden="false" customHeight="true" outlineLevel="0" collapsed="false">
      <c r="A395" s="97" t="n">
        <v>5</v>
      </c>
      <c r="B395" s="98" t="s">
        <v>139</v>
      </c>
      <c r="C395" s="99" t="s">
        <v>836</v>
      </c>
      <c r="D395" s="100" t="str">
        <f aca="false">B395&amp;"_"&amp;E395</f>
        <v>5.1_1.10.18</v>
      </c>
      <c r="E395" s="101" t="s">
        <v>924</v>
      </c>
      <c r="F395" s="102" t="s">
        <v>925</v>
      </c>
      <c r="G395" s="103" t="s">
        <v>112</v>
      </c>
      <c r="H395" s="103" t="s">
        <v>46</v>
      </c>
      <c r="I395" s="103" t="s">
        <v>926</v>
      </c>
      <c r="J395" s="103" t="s">
        <v>46</v>
      </c>
      <c r="K395" s="103" t="n">
        <v>50</v>
      </c>
      <c r="L395" s="103" t="s">
        <v>852</v>
      </c>
      <c r="M395" s="103" t="s">
        <v>841</v>
      </c>
      <c r="N395" s="103" t="s">
        <v>867</v>
      </c>
      <c r="O395" s="104" t="s">
        <v>927</v>
      </c>
      <c r="P395" s="105" t="s">
        <v>27</v>
      </c>
      <c r="Q395" s="106" t="s">
        <v>928</v>
      </c>
      <c r="R395" s="107" t="s">
        <v>71</v>
      </c>
      <c r="S395" s="108" t="n">
        <v>26</v>
      </c>
      <c r="T395" s="109" t="n">
        <v>604.83</v>
      </c>
      <c r="U395" s="110" t="n">
        <f aca="false">ROUND(T395*$S395,2)</f>
        <v>15725.58</v>
      </c>
      <c r="V395" s="111"/>
      <c r="W395" s="110"/>
      <c r="X395" s="111"/>
      <c r="Y395" s="110"/>
      <c r="Z395" s="108"/>
      <c r="AA395" s="110"/>
    </row>
    <row r="396" customFormat="false" ht="20.1" hidden="false" customHeight="true" outlineLevel="0" collapsed="false">
      <c r="A396" s="82" t="n">
        <v>5</v>
      </c>
      <c r="B396" s="83"/>
      <c r="C396" s="84"/>
      <c r="D396" s="85"/>
      <c r="E396" s="86" t="s">
        <v>929</v>
      </c>
      <c r="F396" s="87"/>
      <c r="G396" s="88"/>
      <c r="H396" s="88"/>
      <c r="I396" s="88"/>
      <c r="J396" s="88"/>
      <c r="K396" s="88"/>
      <c r="L396" s="88"/>
      <c r="M396" s="88"/>
      <c r="N396" s="88"/>
      <c r="O396" s="89" t="s">
        <v>930</v>
      </c>
      <c r="P396" s="90"/>
      <c r="Q396" s="91" t="s">
        <v>931</v>
      </c>
      <c r="R396" s="92"/>
      <c r="S396" s="93"/>
      <c r="T396" s="94"/>
      <c r="U396" s="95" t="n">
        <f aca="false">SUM(U397:U404)</f>
        <v>40620.11</v>
      </c>
      <c r="V396" s="96"/>
      <c r="W396" s="95"/>
      <c r="X396" s="96"/>
      <c r="Y396" s="95"/>
      <c r="Z396" s="93"/>
      <c r="AA396" s="95"/>
    </row>
    <row r="397" customFormat="false" ht="26.1" hidden="false" customHeight="true" outlineLevel="0" collapsed="false">
      <c r="A397" s="97" t="n">
        <v>5</v>
      </c>
      <c r="B397" s="98" t="s">
        <v>139</v>
      </c>
      <c r="C397" s="99" t="s">
        <v>836</v>
      </c>
      <c r="D397" s="100" t="str">
        <f aca="false">B397&amp;"_"&amp;E397</f>
        <v>5.1_1.12.1</v>
      </c>
      <c r="E397" s="101" t="s">
        <v>932</v>
      </c>
      <c r="F397" s="102" t="s">
        <v>933</v>
      </c>
      <c r="G397" s="103" t="s">
        <v>112</v>
      </c>
      <c r="H397" s="103" t="s">
        <v>113</v>
      </c>
      <c r="I397" s="103" t="s">
        <v>934</v>
      </c>
      <c r="J397" s="103" t="s">
        <v>46</v>
      </c>
      <c r="K397" s="103" t="n">
        <v>110</v>
      </c>
      <c r="L397" s="103" t="s">
        <v>935</v>
      </c>
      <c r="M397" s="103" t="s">
        <v>841</v>
      </c>
      <c r="N397" s="103" t="s">
        <v>48</v>
      </c>
      <c r="O397" s="104" t="s">
        <v>936</v>
      </c>
      <c r="P397" s="105" t="s">
        <v>27</v>
      </c>
      <c r="Q397" s="106" t="s">
        <v>937</v>
      </c>
      <c r="R397" s="107" t="s">
        <v>71</v>
      </c>
      <c r="S397" s="108" t="n">
        <v>6</v>
      </c>
      <c r="T397" s="109" t="n">
        <v>154.77</v>
      </c>
      <c r="U397" s="110" t="n">
        <f aca="false">ROUND(T397*$S397,2)</f>
        <v>928.62</v>
      </c>
      <c r="V397" s="111"/>
      <c r="W397" s="110"/>
      <c r="X397" s="111"/>
      <c r="Y397" s="110"/>
      <c r="Z397" s="108"/>
      <c r="AA397" s="110"/>
    </row>
    <row r="398" customFormat="false" ht="26.1" hidden="false" customHeight="true" outlineLevel="0" collapsed="false">
      <c r="A398" s="97" t="n">
        <v>5</v>
      </c>
      <c r="B398" s="98" t="s">
        <v>139</v>
      </c>
      <c r="C398" s="99" t="s">
        <v>836</v>
      </c>
      <c r="D398" s="100" t="str">
        <f aca="false">B398&amp;"_"&amp;E398</f>
        <v>5.1_1.12.2</v>
      </c>
      <c r="E398" s="101" t="s">
        <v>938</v>
      </c>
      <c r="F398" s="102" t="s">
        <v>933</v>
      </c>
      <c r="G398" s="103" t="s">
        <v>112</v>
      </c>
      <c r="H398" s="103" t="s">
        <v>113</v>
      </c>
      <c r="I398" s="103" t="s">
        <v>934</v>
      </c>
      <c r="J398" s="103" t="s">
        <v>46</v>
      </c>
      <c r="K398" s="103" t="n">
        <v>160</v>
      </c>
      <c r="L398" s="103" t="s">
        <v>935</v>
      </c>
      <c r="M398" s="103" t="s">
        <v>841</v>
      </c>
      <c r="N398" s="103" t="s">
        <v>48</v>
      </c>
      <c r="O398" s="104" t="s">
        <v>939</v>
      </c>
      <c r="P398" s="105" t="s">
        <v>27</v>
      </c>
      <c r="Q398" s="106" t="s">
        <v>940</v>
      </c>
      <c r="R398" s="107" t="s">
        <v>71</v>
      </c>
      <c r="S398" s="108" t="n">
        <v>48</v>
      </c>
      <c r="T398" s="109" t="n">
        <v>237.19</v>
      </c>
      <c r="U398" s="110" t="n">
        <f aca="false">ROUND(T398*$S398,2)</f>
        <v>11385.12</v>
      </c>
      <c r="V398" s="111"/>
      <c r="W398" s="110"/>
      <c r="X398" s="111"/>
      <c r="Y398" s="110"/>
      <c r="Z398" s="108"/>
      <c r="AA398" s="110"/>
    </row>
    <row r="399" customFormat="false" ht="26.1" hidden="false" customHeight="true" outlineLevel="0" collapsed="false">
      <c r="A399" s="97" t="n">
        <v>5</v>
      </c>
      <c r="B399" s="98" t="s">
        <v>139</v>
      </c>
      <c r="C399" s="99" t="s">
        <v>836</v>
      </c>
      <c r="D399" s="100" t="str">
        <f aca="false">B399&amp;"_"&amp;E399</f>
        <v>5.1_1.12.3</v>
      </c>
      <c r="E399" s="101" t="s">
        <v>941</v>
      </c>
      <c r="F399" s="102" t="s">
        <v>933</v>
      </c>
      <c r="G399" s="103" t="s">
        <v>112</v>
      </c>
      <c r="H399" s="103" t="s">
        <v>113</v>
      </c>
      <c r="I399" s="103" t="s">
        <v>934</v>
      </c>
      <c r="J399" s="103" t="s">
        <v>46</v>
      </c>
      <c r="K399" s="103" t="n">
        <v>200</v>
      </c>
      <c r="L399" s="103" t="s">
        <v>935</v>
      </c>
      <c r="M399" s="103" t="s">
        <v>841</v>
      </c>
      <c r="N399" s="103" t="s">
        <v>48</v>
      </c>
      <c r="O399" s="104" t="s">
        <v>942</v>
      </c>
      <c r="P399" s="105" t="s">
        <v>27</v>
      </c>
      <c r="Q399" s="106" t="s">
        <v>943</v>
      </c>
      <c r="R399" s="107" t="s">
        <v>71</v>
      </c>
      <c r="S399" s="108" t="n">
        <v>12</v>
      </c>
      <c r="T399" s="109" t="n">
        <v>343.59</v>
      </c>
      <c r="U399" s="110" t="n">
        <f aca="false">ROUND(T399*$S399,2)</f>
        <v>4123.08</v>
      </c>
      <c r="V399" s="111"/>
      <c r="W399" s="110"/>
      <c r="X399" s="111"/>
      <c r="Y399" s="110"/>
      <c r="Z399" s="108"/>
      <c r="AA399" s="110"/>
    </row>
    <row r="400" customFormat="false" ht="26.1" hidden="false" customHeight="true" outlineLevel="0" collapsed="false">
      <c r="A400" s="97" t="n">
        <v>5</v>
      </c>
      <c r="B400" s="98" t="s">
        <v>139</v>
      </c>
      <c r="C400" s="99" t="s">
        <v>836</v>
      </c>
      <c r="D400" s="100" t="str">
        <f aca="false">B400&amp;"_"&amp;E400</f>
        <v>5.1_1.12.4</v>
      </c>
      <c r="E400" s="101" t="s">
        <v>944</v>
      </c>
      <c r="F400" s="102" t="s">
        <v>933</v>
      </c>
      <c r="G400" s="103" t="s">
        <v>112</v>
      </c>
      <c r="H400" s="103" t="s">
        <v>113</v>
      </c>
      <c r="I400" s="103" t="s">
        <v>934</v>
      </c>
      <c r="J400" s="103" t="s">
        <v>46</v>
      </c>
      <c r="K400" s="103" t="n">
        <v>225</v>
      </c>
      <c r="L400" s="103" t="s">
        <v>935</v>
      </c>
      <c r="M400" s="103" t="s">
        <v>841</v>
      </c>
      <c r="N400" s="103" t="s">
        <v>48</v>
      </c>
      <c r="O400" s="104" t="s">
        <v>945</v>
      </c>
      <c r="P400" s="105" t="s">
        <v>27</v>
      </c>
      <c r="Q400" s="106" t="s">
        <v>946</v>
      </c>
      <c r="R400" s="107" t="s">
        <v>71</v>
      </c>
      <c r="S400" s="108" t="n">
        <v>7</v>
      </c>
      <c r="T400" s="109" t="n">
        <v>343.59</v>
      </c>
      <c r="U400" s="110" t="n">
        <f aca="false">ROUND(T400*$S400,2)</f>
        <v>2405.13</v>
      </c>
      <c r="V400" s="111"/>
      <c r="W400" s="110"/>
      <c r="X400" s="111"/>
      <c r="Y400" s="110"/>
      <c r="Z400" s="108"/>
      <c r="AA400" s="110"/>
    </row>
    <row r="401" customFormat="false" ht="26.1" hidden="false" customHeight="true" outlineLevel="0" collapsed="false">
      <c r="A401" s="97" t="n">
        <v>5</v>
      </c>
      <c r="B401" s="98" t="s">
        <v>139</v>
      </c>
      <c r="C401" s="99" t="s">
        <v>836</v>
      </c>
      <c r="D401" s="100" t="str">
        <f aca="false">B401&amp;"_"&amp;E401</f>
        <v>5.1_1.12.5</v>
      </c>
      <c r="E401" s="101" t="s">
        <v>947</v>
      </c>
      <c r="F401" s="102" t="s">
        <v>933</v>
      </c>
      <c r="G401" s="103" t="s">
        <v>112</v>
      </c>
      <c r="H401" s="103" t="s">
        <v>113</v>
      </c>
      <c r="I401" s="103" t="s">
        <v>934</v>
      </c>
      <c r="J401" s="103" t="s">
        <v>46</v>
      </c>
      <c r="K401" s="103" t="n">
        <v>250</v>
      </c>
      <c r="L401" s="103" t="s">
        <v>935</v>
      </c>
      <c r="M401" s="103" t="s">
        <v>841</v>
      </c>
      <c r="N401" s="103" t="s">
        <v>48</v>
      </c>
      <c r="O401" s="104" t="s">
        <v>948</v>
      </c>
      <c r="P401" s="105" t="s">
        <v>27</v>
      </c>
      <c r="Q401" s="106" t="s">
        <v>949</v>
      </c>
      <c r="R401" s="107" t="s">
        <v>71</v>
      </c>
      <c r="S401" s="108" t="n">
        <v>10</v>
      </c>
      <c r="T401" s="109" t="n">
        <v>444.96</v>
      </c>
      <c r="U401" s="110" t="n">
        <f aca="false">ROUND(T401*$S401,2)</f>
        <v>4449.6</v>
      </c>
      <c r="V401" s="111"/>
      <c r="W401" s="110"/>
      <c r="X401" s="111"/>
      <c r="Y401" s="110"/>
      <c r="Z401" s="108"/>
      <c r="AA401" s="110"/>
    </row>
    <row r="402" customFormat="false" ht="26.1" hidden="false" customHeight="true" outlineLevel="0" collapsed="false">
      <c r="A402" s="97" t="n">
        <v>5</v>
      </c>
      <c r="B402" s="98" t="s">
        <v>139</v>
      </c>
      <c r="C402" s="99" t="s">
        <v>836</v>
      </c>
      <c r="D402" s="100" t="str">
        <f aca="false">B402&amp;"_"&amp;E402</f>
        <v>5.1_1.12.6</v>
      </c>
      <c r="E402" s="101" t="s">
        <v>950</v>
      </c>
      <c r="F402" s="102" t="s">
        <v>933</v>
      </c>
      <c r="G402" s="103" t="s">
        <v>112</v>
      </c>
      <c r="H402" s="103" t="s">
        <v>113</v>
      </c>
      <c r="I402" s="103" t="s">
        <v>934</v>
      </c>
      <c r="J402" s="103" t="s">
        <v>46</v>
      </c>
      <c r="K402" s="103" t="n">
        <v>500</v>
      </c>
      <c r="L402" s="103" t="s">
        <v>935</v>
      </c>
      <c r="M402" s="103" t="s">
        <v>841</v>
      </c>
      <c r="N402" s="103" t="s">
        <v>48</v>
      </c>
      <c r="O402" s="104" t="s">
        <v>951</v>
      </c>
      <c r="P402" s="105" t="s">
        <v>27</v>
      </c>
      <c r="Q402" s="106" t="s">
        <v>952</v>
      </c>
      <c r="R402" s="107" t="s">
        <v>71</v>
      </c>
      <c r="S402" s="108" t="n">
        <v>2</v>
      </c>
      <c r="T402" s="109" t="n">
        <v>1281.88</v>
      </c>
      <c r="U402" s="110" t="n">
        <f aca="false">ROUND(T402*$S402,2)</f>
        <v>2563.76</v>
      </c>
      <c r="V402" s="111"/>
      <c r="W402" s="110"/>
      <c r="X402" s="111"/>
      <c r="Y402" s="110"/>
      <c r="Z402" s="108"/>
      <c r="AA402" s="110"/>
    </row>
    <row r="403" customFormat="false" ht="26.1" hidden="false" customHeight="true" outlineLevel="0" collapsed="false">
      <c r="A403" s="97" t="n">
        <v>5</v>
      </c>
      <c r="B403" s="98" t="s">
        <v>139</v>
      </c>
      <c r="C403" s="99" t="s">
        <v>836</v>
      </c>
      <c r="D403" s="100" t="str">
        <f aca="false">B403&amp;"_"&amp;E403</f>
        <v>5.1_1.12.7</v>
      </c>
      <c r="E403" s="101" t="s">
        <v>953</v>
      </c>
      <c r="F403" s="102" t="s">
        <v>933</v>
      </c>
      <c r="G403" s="103" t="s">
        <v>112</v>
      </c>
      <c r="H403" s="103" t="s">
        <v>113</v>
      </c>
      <c r="I403" s="103" t="s">
        <v>934</v>
      </c>
      <c r="J403" s="103" t="s">
        <v>46</v>
      </c>
      <c r="K403" s="103" t="n">
        <v>63</v>
      </c>
      <c r="L403" s="103" t="s">
        <v>935</v>
      </c>
      <c r="M403" s="103" t="s">
        <v>841</v>
      </c>
      <c r="N403" s="103" t="s">
        <v>48</v>
      </c>
      <c r="O403" s="104" t="s">
        <v>954</v>
      </c>
      <c r="P403" s="105" t="s">
        <v>27</v>
      </c>
      <c r="Q403" s="106" t="s">
        <v>955</v>
      </c>
      <c r="R403" s="107" t="s">
        <v>71</v>
      </c>
      <c r="S403" s="108" t="n">
        <v>120</v>
      </c>
      <c r="T403" s="109" t="n">
        <v>94.02</v>
      </c>
      <c r="U403" s="110" t="n">
        <f aca="false">ROUND(T403*$S403,2)</f>
        <v>11282.4</v>
      </c>
      <c r="V403" s="111"/>
      <c r="W403" s="110"/>
      <c r="X403" s="111"/>
      <c r="Y403" s="110"/>
      <c r="Z403" s="108"/>
      <c r="AA403" s="110"/>
    </row>
    <row r="404" customFormat="false" ht="26.1" hidden="false" customHeight="true" outlineLevel="0" collapsed="false">
      <c r="A404" s="97" t="n">
        <v>5</v>
      </c>
      <c r="B404" s="98" t="s">
        <v>139</v>
      </c>
      <c r="C404" s="99" t="s">
        <v>836</v>
      </c>
      <c r="D404" s="100" t="str">
        <f aca="false">B404&amp;"_"&amp;E404</f>
        <v>5.1_1.12.8</v>
      </c>
      <c r="E404" s="101" t="s">
        <v>956</v>
      </c>
      <c r="F404" s="102" t="s">
        <v>933</v>
      </c>
      <c r="G404" s="103" t="s">
        <v>112</v>
      </c>
      <c r="H404" s="103" t="s">
        <v>113</v>
      </c>
      <c r="I404" s="103" t="s">
        <v>934</v>
      </c>
      <c r="J404" s="103" t="s">
        <v>46</v>
      </c>
      <c r="K404" s="103" t="n">
        <v>90</v>
      </c>
      <c r="L404" s="103" t="s">
        <v>935</v>
      </c>
      <c r="M404" s="103" t="s">
        <v>841</v>
      </c>
      <c r="N404" s="103" t="s">
        <v>48</v>
      </c>
      <c r="O404" s="104" t="s">
        <v>957</v>
      </c>
      <c r="P404" s="105" t="s">
        <v>27</v>
      </c>
      <c r="Q404" s="106" t="s">
        <v>958</v>
      </c>
      <c r="R404" s="107" t="s">
        <v>71</v>
      </c>
      <c r="S404" s="108" t="n">
        <v>30</v>
      </c>
      <c r="T404" s="109" t="n">
        <v>116.08</v>
      </c>
      <c r="U404" s="110" t="n">
        <f aca="false">ROUND(T404*$S404,2)</f>
        <v>3482.4</v>
      </c>
      <c r="V404" s="111"/>
      <c r="W404" s="110"/>
      <c r="X404" s="111"/>
      <c r="Y404" s="110"/>
      <c r="Z404" s="108"/>
      <c r="AA404" s="110"/>
    </row>
    <row r="405" customFormat="false" ht="20.1" hidden="false" customHeight="true" outlineLevel="0" collapsed="false">
      <c r="A405" s="82" t="n">
        <v>5</v>
      </c>
      <c r="B405" s="83"/>
      <c r="C405" s="84"/>
      <c r="D405" s="85"/>
      <c r="E405" s="86" t="s">
        <v>107</v>
      </c>
      <c r="F405" s="87"/>
      <c r="G405" s="88"/>
      <c r="H405" s="88"/>
      <c r="I405" s="88"/>
      <c r="J405" s="88"/>
      <c r="K405" s="88"/>
      <c r="L405" s="88"/>
      <c r="M405" s="88"/>
      <c r="N405" s="88"/>
      <c r="O405" s="89" t="s">
        <v>108</v>
      </c>
      <c r="P405" s="90"/>
      <c r="Q405" s="91" t="s">
        <v>109</v>
      </c>
      <c r="R405" s="92"/>
      <c r="S405" s="93"/>
      <c r="T405" s="94"/>
      <c r="U405" s="95" t="n">
        <f aca="false">SUM(U406:U482)</f>
        <v>1006343.85</v>
      </c>
      <c r="V405" s="96"/>
      <c r="W405" s="95"/>
      <c r="X405" s="96"/>
      <c r="Y405" s="95"/>
      <c r="Z405" s="93"/>
      <c r="AA405" s="95"/>
    </row>
    <row r="406" customFormat="false" ht="26.1" hidden="false" customHeight="true" outlineLevel="0" collapsed="false">
      <c r="A406" s="97" t="n">
        <v>5</v>
      </c>
      <c r="B406" s="98" t="s">
        <v>139</v>
      </c>
      <c r="C406" s="99" t="s">
        <v>836</v>
      </c>
      <c r="D406" s="100" t="str">
        <f aca="false">B406&amp;"_"&amp;E406</f>
        <v>5.1_1.14.1</v>
      </c>
      <c r="E406" s="101" t="s">
        <v>959</v>
      </c>
      <c r="F406" s="102" t="s">
        <v>780</v>
      </c>
      <c r="G406" s="103" t="s">
        <v>874</v>
      </c>
      <c r="H406" s="103" t="s">
        <v>113</v>
      </c>
      <c r="I406" s="103" t="s">
        <v>781</v>
      </c>
      <c r="J406" s="103" t="s">
        <v>782</v>
      </c>
      <c r="K406" s="103" t="n">
        <v>250</v>
      </c>
      <c r="L406" s="103" t="s">
        <v>115</v>
      </c>
      <c r="M406" s="103" t="s">
        <v>841</v>
      </c>
      <c r="N406" s="103" t="s">
        <v>115</v>
      </c>
      <c r="O406" s="104" t="s">
        <v>960</v>
      </c>
      <c r="P406" s="105" t="s">
        <v>27</v>
      </c>
      <c r="Q406" s="106" t="s">
        <v>961</v>
      </c>
      <c r="R406" s="107" t="s">
        <v>71</v>
      </c>
      <c r="S406" s="108" t="n">
        <v>25</v>
      </c>
      <c r="T406" s="109" t="n">
        <v>426.08</v>
      </c>
      <c r="U406" s="110" t="n">
        <f aca="false">ROUND(T406*$S406,2)</f>
        <v>10652</v>
      </c>
      <c r="V406" s="111"/>
      <c r="W406" s="110"/>
      <c r="X406" s="111"/>
      <c r="Y406" s="110"/>
      <c r="Z406" s="108"/>
      <c r="AA406" s="110"/>
    </row>
    <row r="407" customFormat="false" ht="26.1" hidden="false" customHeight="true" outlineLevel="0" collapsed="false">
      <c r="A407" s="97" t="n">
        <v>5</v>
      </c>
      <c r="B407" s="98" t="s">
        <v>139</v>
      </c>
      <c r="C407" s="99" t="s">
        <v>836</v>
      </c>
      <c r="D407" s="100" t="str">
        <f aca="false">B407&amp;"_"&amp;E407</f>
        <v>5.1_1.14.2</v>
      </c>
      <c r="E407" s="101" t="s">
        <v>962</v>
      </c>
      <c r="F407" s="102" t="s">
        <v>963</v>
      </c>
      <c r="G407" s="103" t="s">
        <v>112</v>
      </c>
      <c r="H407" s="103" t="s">
        <v>964</v>
      </c>
      <c r="I407" s="103" t="s">
        <v>965</v>
      </c>
      <c r="J407" s="103" t="s">
        <v>114</v>
      </c>
      <c r="K407" s="103" t="n">
        <v>110</v>
      </c>
      <c r="L407" s="103" t="s">
        <v>115</v>
      </c>
      <c r="M407" s="103" t="s">
        <v>841</v>
      </c>
      <c r="N407" s="103" t="s">
        <v>115</v>
      </c>
      <c r="O407" s="104" t="s">
        <v>966</v>
      </c>
      <c r="P407" s="105" t="s">
        <v>27</v>
      </c>
      <c r="Q407" s="106" t="s">
        <v>967</v>
      </c>
      <c r="R407" s="107" t="s">
        <v>71</v>
      </c>
      <c r="S407" s="108" t="n">
        <v>2</v>
      </c>
      <c r="T407" s="109" t="n">
        <v>75.57</v>
      </c>
      <c r="U407" s="110" t="n">
        <f aca="false">ROUND(T407*$S407,2)</f>
        <v>151.14</v>
      </c>
      <c r="V407" s="111"/>
      <c r="W407" s="110"/>
      <c r="X407" s="111"/>
      <c r="Y407" s="110"/>
      <c r="Z407" s="108"/>
      <c r="AA407" s="110"/>
    </row>
    <row r="408" customFormat="false" ht="26.1" hidden="false" customHeight="true" outlineLevel="0" collapsed="false">
      <c r="A408" s="97" t="n">
        <v>5</v>
      </c>
      <c r="B408" s="98" t="s">
        <v>139</v>
      </c>
      <c r="C408" s="99" t="s">
        <v>836</v>
      </c>
      <c r="D408" s="100" t="str">
        <f aca="false">B408&amp;"_"&amp;E408</f>
        <v>5.1_1.14.3</v>
      </c>
      <c r="E408" s="101" t="s">
        <v>968</v>
      </c>
      <c r="F408" s="102" t="s">
        <v>963</v>
      </c>
      <c r="G408" s="103" t="s">
        <v>112</v>
      </c>
      <c r="H408" s="103" t="s">
        <v>964</v>
      </c>
      <c r="I408" s="103" t="s">
        <v>965</v>
      </c>
      <c r="J408" s="103" t="s">
        <v>114</v>
      </c>
      <c r="K408" s="103" t="n">
        <v>125</v>
      </c>
      <c r="L408" s="103" t="s">
        <v>115</v>
      </c>
      <c r="M408" s="103" t="s">
        <v>841</v>
      </c>
      <c r="N408" s="103" t="s">
        <v>115</v>
      </c>
      <c r="O408" s="104" t="s">
        <v>969</v>
      </c>
      <c r="P408" s="105" t="s">
        <v>27</v>
      </c>
      <c r="Q408" s="106" t="s">
        <v>970</v>
      </c>
      <c r="R408" s="107" t="s">
        <v>71</v>
      </c>
      <c r="S408" s="108" t="n">
        <v>4</v>
      </c>
      <c r="T408" s="109" t="n">
        <v>92.19</v>
      </c>
      <c r="U408" s="110" t="n">
        <f aca="false">ROUND(T408*$S408,2)</f>
        <v>368.76</v>
      </c>
      <c r="V408" s="111"/>
      <c r="W408" s="110"/>
      <c r="X408" s="111"/>
      <c r="Y408" s="110"/>
      <c r="Z408" s="108"/>
      <c r="AA408" s="110"/>
    </row>
    <row r="409" customFormat="false" ht="26.1" hidden="false" customHeight="true" outlineLevel="0" collapsed="false">
      <c r="A409" s="97" t="n">
        <v>5</v>
      </c>
      <c r="B409" s="98" t="s">
        <v>139</v>
      </c>
      <c r="C409" s="99" t="s">
        <v>836</v>
      </c>
      <c r="D409" s="100" t="str">
        <f aca="false">B409&amp;"_"&amp;E409</f>
        <v>5.1_1.14.4</v>
      </c>
      <c r="E409" s="101" t="s">
        <v>971</v>
      </c>
      <c r="F409" s="102" t="s">
        <v>963</v>
      </c>
      <c r="G409" s="103" t="s">
        <v>112</v>
      </c>
      <c r="H409" s="103" t="s">
        <v>964</v>
      </c>
      <c r="I409" s="103" t="s">
        <v>965</v>
      </c>
      <c r="J409" s="103" t="s">
        <v>114</v>
      </c>
      <c r="K409" s="103" t="n">
        <v>160</v>
      </c>
      <c r="L409" s="103" t="s">
        <v>115</v>
      </c>
      <c r="M409" s="103" t="s">
        <v>841</v>
      </c>
      <c r="N409" s="103" t="s">
        <v>115</v>
      </c>
      <c r="O409" s="104" t="s">
        <v>972</v>
      </c>
      <c r="P409" s="105" t="s">
        <v>27</v>
      </c>
      <c r="Q409" s="106" t="s">
        <v>973</v>
      </c>
      <c r="R409" s="107" t="s">
        <v>71</v>
      </c>
      <c r="S409" s="108" t="n">
        <v>48</v>
      </c>
      <c r="T409" s="109" t="n">
        <v>149.07</v>
      </c>
      <c r="U409" s="110" t="n">
        <f aca="false">ROUND(T409*$S409,2)</f>
        <v>7155.36</v>
      </c>
      <c r="V409" s="111"/>
      <c r="W409" s="110"/>
      <c r="X409" s="111"/>
      <c r="Y409" s="110"/>
      <c r="Z409" s="108"/>
      <c r="AA409" s="110"/>
    </row>
    <row r="410" customFormat="false" ht="26.1" hidden="false" customHeight="true" outlineLevel="0" collapsed="false">
      <c r="A410" s="97" t="n">
        <v>5</v>
      </c>
      <c r="B410" s="98" t="s">
        <v>139</v>
      </c>
      <c r="C410" s="99" t="s">
        <v>836</v>
      </c>
      <c r="D410" s="100" t="str">
        <f aca="false">B410&amp;"_"&amp;E410</f>
        <v>5.1_1.14.5</v>
      </c>
      <c r="E410" s="101" t="s">
        <v>974</v>
      </c>
      <c r="F410" s="102" t="s">
        <v>963</v>
      </c>
      <c r="G410" s="103" t="s">
        <v>112</v>
      </c>
      <c r="H410" s="103" t="s">
        <v>964</v>
      </c>
      <c r="I410" s="103" t="s">
        <v>965</v>
      </c>
      <c r="J410" s="103" t="s">
        <v>114</v>
      </c>
      <c r="K410" s="103" t="n">
        <v>200</v>
      </c>
      <c r="L410" s="103" t="s">
        <v>115</v>
      </c>
      <c r="M410" s="103" t="s">
        <v>841</v>
      </c>
      <c r="N410" s="103" t="s">
        <v>115</v>
      </c>
      <c r="O410" s="104" t="s">
        <v>975</v>
      </c>
      <c r="P410" s="105" t="s">
        <v>27</v>
      </c>
      <c r="Q410" s="106" t="s">
        <v>976</v>
      </c>
      <c r="R410" s="107" t="s">
        <v>71</v>
      </c>
      <c r="S410" s="108" t="n">
        <v>2</v>
      </c>
      <c r="T410" s="109" t="n">
        <v>262.24</v>
      </c>
      <c r="U410" s="110" t="n">
        <f aca="false">ROUND(T410*$S410,2)</f>
        <v>524.48</v>
      </c>
      <c r="V410" s="111"/>
      <c r="W410" s="110"/>
      <c r="X410" s="111"/>
      <c r="Y410" s="110"/>
      <c r="Z410" s="108"/>
      <c r="AA410" s="110"/>
    </row>
    <row r="411" customFormat="false" ht="26.1" hidden="false" customHeight="true" outlineLevel="0" collapsed="false">
      <c r="A411" s="97" t="n">
        <v>5</v>
      </c>
      <c r="B411" s="98" t="s">
        <v>139</v>
      </c>
      <c r="C411" s="99" t="s">
        <v>836</v>
      </c>
      <c r="D411" s="100" t="str">
        <f aca="false">B411&amp;"_"&amp;E411</f>
        <v>5.1_1.14.6</v>
      </c>
      <c r="E411" s="101" t="s">
        <v>977</v>
      </c>
      <c r="F411" s="102" t="s">
        <v>963</v>
      </c>
      <c r="G411" s="103" t="s">
        <v>112</v>
      </c>
      <c r="H411" s="103" t="s">
        <v>964</v>
      </c>
      <c r="I411" s="103" t="s">
        <v>965</v>
      </c>
      <c r="J411" s="103" t="s">
        <v>114</v>
      </c>
      <c r="K411" s="103" t="n">
        <v>225</v>
      </c>
      <c r="L411" s="103" t="s">
        <v>115</v>
      </c>
      <c r="M411" s="103" t="s">
        <v>841</v>
      </c>
      <c r="N411" s="103" t="s">
        <v>115</v>
      </c>
      <c r="O411" s="104" t="s">
        <v>978</v>
      </c>
      <c r="P411" s="105" t="s">
        <v>27</v>
      </c>
      <c r="Q411" s="106" t="s">
        <v>979</v>
      </c>
      <c r="R411" s="107" t="s">
        <v>71</v>
      </c>
      <c r="S411" s="108" t="n">
        <v>17</v>
      </c>
      <c r="T411" s="109" t="n">
        <v>282.82</v>
      </c>
      <c r="U411" s="110" t="n">
        <f aca="false">ROUND(T411*$S411,2)</f>
        <v>4807.94</v>
      </c>
      <c r="V411" s="111"/>
      <c r="W411" s="110"/>
      <c r="X411" s="111"/>
      <c r="Y411" s="110"/>
      <c r="Z411" s="108"/>
      <c r="AA411" s="110"/>
    </row>
    <row r="412" customFormat="false" ht="26.1" hidden="false" customHeight="true" outlineLevel="0" collapsed="false">
      <c r="A412" s="97" t="n">
        <v>5</v>
      </c>
      <c r="B412" s="98" t="s">
        <v>139</v>
      </c>
      <c r="C412" s="99" t="s">
        <v>836</v>
      </c>
      <c r="D412" s="100" t="str">
        <f aca="false">B412&amp;"_"&amp;E412</f>
        <v>5.1_1.14.7</v>
      </c>
      <c r="E412" s="101" t="s">
        <v>980</v>
      </c>
      <c r="F412" s="102" t="s">
        <v>963</v>
      </c>
      <c r="G412" s="103" t="s">
        <v>112</v>
      </c>
      <c r="H412" s="103" t="s">
        <v>964</v>
      </c>
      <c r="I412" s="103" t="s">
        <v>965</v>
      </c>
      <c r="J412" s="103" t="s">
        <v>114</v>
      </c>
      <c r="K412" s="103" t="n">
        <v>250</v>
      </c>
      <c r="L412" s="103" t="s">
        <v>115</v>
      </c>
      <c r="M412" s="103" t="s">
        <v>841</v>
      </c>
      <c r="N412" s="103" t="s">
        <v>115</v>
      </c>
      <c r="O412" s="104" t="s">
        <v>981</v>
      </c>
      <c r="P412" s="105" t="s">
        <v>27</v>
      </c>
      <c r="Q412" s="106" t="s">
        <v>982</v>
      </c>
      <c r="R412" s="107" t="s">
        <v>71</v>
      </c>
      <c r="S412" s="108" t="n">
        <v>10</v>
      </c>
      <c r="T412" s="109" t="n">
        <v>459.3</v>
      </c>
      <c r="U412" s="110" t="n">
        <f aca="false">ROUND(T412*$S412,2)</f>
        <v>4593</v>
      </c>
      <c r="V412" s="111"/>
      <c r="W412" s="110"/>
      <c r="X412" s="111"/>
      <c r="Y412" s="110"/>
      <c r="Z412" s="108"/>
      <c r="AA412" s="110"/>
    </row>
    <row r="413" customFormat="false" ht="26.1" hidden="false" customHeight="true" outlineLevel="0" collapsed="false">
      <c r="A413" s="97" t="n">
        <v>5</v>
      </c>
      <c r="B413" s="98" t="s">
        <v>139</v>
      </c>
      <c r="C413" s="99" t="s">
        <v>836</v>
      </c>
      <c r="D413" s="100" t="str">
        <f aca="false">B413&amp;"_"&amp;E413</f>
        <v>5.1_1.14.8</v>
      </c>
      <c r="E413" s="101" t="s">
        <v>983</v>
      </c>
      <c r="F413" s="102" t="s">
        <v>963</v>
      </c>
      <c r="G413" s="103" t="s">
        <v>112</v>
      </c>
      <c r="H413" s="103" t="s">
        <v>964</v>
      </c>
      <c r="I413" s="103" t="s">
        <v>965</v>
      </c>
      <c r="J413" s="103" t="s">
        <v>114</v>
      </c>
      <c r="K413" s="103" t="n">
        <v>500</v>
      </c>
      <c r="L413" s="103" t="s">
        <v>115</v>
      </c>
      <c r="M413" s="103" t="s">
        <v>841</v>
      </c>
      <c r="N413" s="103" t="s">
        <v>115</v>
      </c>
      <c r="O413" s="104" t="s">
        <v>984</v>
      </c>
      <c r="P413" s="105" t="s">
        <v>27</v>
      </c>
      <c r="Q413" s="106" t="s">
        <v>985</v>
      </c>
      <c r="R413" s="107" t="s">
        <v>71</v>
      </c>
      <c r="S413" s="108" t="n">
        <v>2</v>
      </c>
      <c r="T413" s="109" t="n">
        <v>2629.23</v>
      </c>
      <c r="U413" s="110" t="n">
        <f aca="false">ROUND(T413*$S413,2)</f>
        <v>5258.46</v>
      </c>
      <c r="V413" s="111"/>
      <c r="W413" s="110"/>
      <c r="X413" s="111"/>
      <c r="Y413" s="110"/>
      <c r="Z413" s="108"/>
      <c r="AA413" s="110"/>
    </row>
    <row r="414" customFormat="false" ht="26.1" hidden="false" customHeight="true" outlineLevel="0" collapsed="false">
      <c r="A414" s="97" t="n">
        <v>5</v>
      </c>
      <c r="B414" s="98" t="s">
        <v>139</v>
      </c>
      <c r="C414" s="99" t="s">
        <v>836</v>
      </c>
      <c r="D414" s="100" t="str">
        <f aca="false">B414&amp;"_"&amp;E414</f>
        <v>5.1_1.14.9</v>
      </c>
      <c r="E414" s="101" t="s">
        <v>986</v>
      </c>
      <c r="F414" s="102" t="s">
        <v>963</v>
      </c>
      <c r="G414" s="103" t="s">
        <v>112</v>
      </c>
      <c r="H414" s="103" t="s">
        <v>964</v>
      </c>
      <c r="I414" s="103" t="s">
        <v>965</v>
      </c>
      <c r="J414" s="103" t="s">
        <v>114</v>
      </c>
      <c r="K414" s="103" t="n">
        <v>63</v>
      </c>
      <c r="L414" s="103" t="s">
        <v>115</v>
      </c>
      <c r="M414" s="103" t="s">
        <v>841</v>
      </c>
      <c r="N414" s="103" t="s">
        <v>115</v>
      </c>
      <c r="O414" s="104" t="s">
        <v>987</v>
      </c>
      <c r="P414" s="105" t="s">
        <v>27</v>
      </c>
      <c r="Q414" s="106" t="s">
        <v>988</v>
      </c>
      <c r="R414" s="107" t="s">
        <v>71</v>
      </c>
      <c r="S414" s="108" t="n">
        <v>120</v>
      </c>
      <c r="T414" s="109" t="n">
        <v>35.14</v>
      </c>
      <c r="U414" s="110" t="n">
        <f aca="false">ROUND(T414*$S414,2)</f>
        <v>4216.8</v>
      </c>
      <c r="V414" s="111"/>
      <c r="W414" s="110"/>
      <c r="X414" s="111"/>
      <c r="Y414" s="110"/>
      <c r="Z414" s="108"/>
      <c r="AA414" s="110"/>
    </row>
    <row r="415" customFormat="false" ht="26.1" hidden="false" customHeight="true" outlineLevel="0" collapsed="false">
      <c r="A415" s="97" t="n">
        <v>5</v>
      </c>
      <c r="B415" s="98" t="s">
        <v>139</v>
      </c>
      <c r="C415" s="99" t="s">
        <v>836</v>
      </c>
      <c r="D415" s="100" t="str">
        <f aca="false">B415&amp;"_"&amp;E415</f>
        <v>5.1_1.14.10</v>
      </c>
      <c r="E415" s="101" t="s">
        <v>989</v>
      </c>
      <c r="F415" s="102" t="s">
        <v>963</v>
      </c>
      <c r="G415" s="103" t="s">
        <v>112</v>
      </c>
      <c r="H415" s="103" t="s">
        <v>964</v>
      </c>
      <c r="I415" s="103" t="s">
        <v>965</v>
      </c>
      <c r="J415" s="103" t="s">
        <v>114</v>
      </c>
      <c r="K415" s="103" t="n">
        <v>90</v>
      </c>
      <c r="L415" s="103" t="s">
        <v>115</v>
      </c>
      <c r="M415" s="103" t="s">
        <v>841</v>
      </c>
      <c r="N415" s="103" t="s">
        <v>115</v>
      </c>
      <c r="O415" s="104" t="s">
        <v>990</v>
      </c>
      <c r="P415" s="105" t="s">
        <v>27</v>
      </c>
      <c r="Q415" s="106" t="s">
        <v>991</v>
      </c>
      <c r="R415" s="107" t="s">
        <v>71</v>
      </c>
      <c r="S415" s="108" t="n">
        <v>30</v>
      </c>
      <c r="T415" s="109" t="n">
        <v>59.13</v>
      </c>
      <c r="U415" s="110" t="n">
        <f aca="false">ROUND(T415*$S415,2)</f>
        <v>1773.9</v>
      </c>
      <c r="V415" s="111"/>
      <c r="W415" s="110"/>
      <c r="X415" s="111"/>
      <c r="Y415" s="110"/>
      <c r="Z415" s="108"/>
      <c r="AA415" s="110"/>
    </row>
    <row r="416" customFormat="false" ht="26.1" hidden="false" customHeight="true" outlineLevel="0" collapsed="false">
      <c r="A416" s="97" t="n">
        <v>5</v>
      </c>
      <c r="B416" s="98" t="s">
        <v>139</v>
      </c>
      <c r="C416" s="99" t="s">
        <v>836</v>
      </c>
      <c r="D416" s="100" t="str">
        <f aca="false">B416&amp;"_"&amp;E416</f>
        <v>5.1_1.14.11</v>
      </c>
      <c r="E416" s="101" t="s">
        <v>992</v>
      </c>
      <c r="F416" s="102" t="s">
        <v>993</v>
      </c>
      <c r="G416" s="103" t="s">
        <v>874</v>
      </c>
      <c r="H416" s="103" t="s">
        <v>113</v>
      </c>
      <c r="I416" s="103" t="s">
        <v>994</v>
      </c>
      <c r="J416" s="103" t="s">
        <v>782</v>
      </c>
      <c r="K416" s="103" t="n">
        <v>225</v>
      </c>
      <c r="L416" s="103" t="s">
        <v>115</v>
      </c>
      <c r="M416" s="103" t="s">
        <v>841</v>
      </c>
      <c r="N416" s="103" t="s">
        <v>115</v>
      </c>
      <c r="O416" s="104" t="s">
        <v>995</v>
      </c>
      <c r="P416" s="105" t="s">
        <v>27</v>
      </c>
      <c r="Q416" s="106" t="s">
        <v>996</v>
      </c>
      <c r="R416" s="107" t="s">
        <v>71</v>
      </c>
      <c r="S416" s="108" t="n">
        <v>10</v>
      </c>
      <c r="T416" s="109" t="n">
        <v>4855.3</v>
      </c>
      <c r="U416" s="110" t="n">
        <f aca="false">ROUND(T416*$S416,2)</f>
        <v>48553</v>
      </c>
      <c r="V416" s="111"/>
      <c r="W416" s="110"/>
      <c r="X416" s="111"/>
      <c r="Y416" s="110"/>
      <c r="Z416" s="108"/>
      <c r="AA416" s="110"/>
    </row>
    <row r="417" customFormat="false" ht="26.1" hidden="false" customHeight="true" outlineLevel="0" collapsed="false">
      <c r="A417" s="97" t="n">
        <v>5</v>
      </c>
      <c r="B417" s="98" t="s">
        <v>139</v>
      </c>
      <c r="C417" s="99" t="s">
        <v>836</v>
      </c>
      <c r="D417" s="100" t="str">
        <f aca="false">B417&amp;"_"&amp;E417</f>
        <v>5.1_1.14.12</v>
      </c>
      <c r="E417" s="101" t="s">
        <v>997</v>
      </c>
      <c r="F417" s="102" t="s">
        <v>993</v>
      </c>
      <c r="G417" s="103" t="s">
        <v>874</v>
      </c>
      <c r="H417" s="103" t="s">
        <v>113</v>
      </c>
      <c r="I417" s="103" t="s">
        <v>994</v>
      </c>
      <c r="J417" s="103" t="s">
        <v>782</v>
      </c>
      <c r="K417" s="103" t="n">
        <v>250</v>
      </c>
      <c r="L417" s="103" t="s">
        <v>115</v>
      </c>
      <c r="M417" s="103" t="s">
        <v>841</v>
      </c>
      <c r="N417" s="103" t="s">
        <v>115</v>
      </c>
      <c r="O417" s="104" t="s">
        <v>998</v>
      </c>
      <c r="P417" s="105" t="s">
        <v>27</v>
      </c>
      <c r="Q417" s="106" t="s">
        <v>999</v>
      </c>
      <c r="R417" s="107" t="s">
        <v>71</v>
      </c>
      <c r="S417" s="108" t="n">
        <v>7</v>
      </c>
      <c r="T417" s="109" t="n">
        <v>4423.03</v>
      </c>
      <c r="U417" s="110" t="n">
        <f aca="false">ROUND(T417*$S417,2)</f>
        <v>30961.21</v>
      </c>
      <c r="V417" s="111"/>
      <c r="W417" s="110"/>
      <c r="X417" s="111"/>
      <c r="Y417" s="110"/>
      <c r="Z417" s="108"/>
      <c r="AA417" s="110"/>
    </row>
    <row r="418" customFormat="false" ht="26.1" hidden="false" customHeight="true" outlineLevel="0" collapsed="false">
      <c r="A418" s="97" t="n">
        <v>5</v>
      </c>
      <c r="B418" s="98" t="s">
        <v>139</v>
      </c>
      <c r="C418" s="99" t="s">
        <v>836</v>
      </c>
      <c r="D418" s="100" t="str">
        <f aca="false">B418&amp;"_"&amp;E418</f>
        <v>5.1_1.14.13</v>
      </c>
      <c r="E418" s="101" t="s">
        <v>1000</v>
      </c>
      <c r="F418" s="102" t="s">
        <v>993</v>
      </c>
      <c r="G418" s="103" t="s">
        <v>874</v>
      </c>
      <c r="H418" s="103" t="s">
        <v>113</v>
      </c>
      <c r="I418" s="103" t="s">
        <v>994</v>
      </c>
      <c r="J418" s="103" t="s">
        <v>782</v>
      </c>
      <c r="K418" s="103" t="n">
        <v>110</v>
      </c>
      <c r="L418" s="103" t="s">
        <v>115</v>
      </c>
      <c r="M418" s="103" t="s">
        <v>841</v>
      </c>
      <c r="N418" s="103" t="s">
        <v>115</v>
      </c>
      <c r="O418" s="104" t="s">
        <v>1001</v>
      </c>
      <c r="P418" s="105" t="s">
        <v>27</v>
      </c>
      <c r="Q418" s="106" t="s">
        <v>1002</v>
      </c>
      <c r="R418" s="107" t="s">
        <v>71</v>
      </c>
      <c r="S418" s="108" t="n">
        <v>7</v>
      </c>
      <c r="T418" s="109" t="n">
        <v>286.46</v>
      </c>
      <c r="U418" s="110" t="n">
        <f aca="false">ROUND(T418*$S418,2)</f>
        <v>2005.22</v>
      </c>
      <c r="V418" s="111"/>
      <c r="W418" s="110"/>
      <c r="X418" s="111"/>
      <c r="Y418" s="110"/>
      <c r="Z418" s="108"/>
      <c r="AA418" s="110"/>
    </row>
    <row r="419" customFormat="false" ht="26.1" hidden="false" customHeight="true" outlineLevel="0" collapsed="false">
      <c r="A419" s="97" t="n">
        <v>5</v>
      </c>
      <c r="B419" s="98" t="s">
        <v>139</v>
      </c>
      <c r="C419" s="99" t="s">
        <v>836</v>
      </c>
      <c r="D419" s="100" t="str">
        <f aca="false">B419&amp;"_"&amp;E419</f>
        <v>5.1_1.14.14</v>
      </c>
      <c r="E419" s="101" t="s">
        <v>1003</v>
      </c>
      <c r="F419" s="102" t="s">
        <v>993</v>
      </c>
      <c r="G419" s="103" t="s">
        <v>874</v>
      </c>
      <c r="H419" s="103" t="s">
        <v>113</v>
      </c>
      <c r="I419" s="103" t="s">
        <v>994</v>
      </c>
      <c r="J419" s="103" t="s">
        <v>782</v>
      </c>
      <c r="K419" s="103" t="n">
        <v>160</v>
      </c>
      <c r="L419" s="103" t="s">
        <v>115</v>
      </c>
      <c r="M419" s="103" t="s">
        <v>841</v>
      </c>
      <c r="N419" s="103" t="s">
        <v>115</v>
      </c>
      <c r="O419" s="104" t="s">
        <v>1004</v>
      </c>
      <c r="P419" s="105" t="s">
        <v>27</v>
      </c>
      <c r="Q419" s="106" t="s">
        <v>1005</v>
      </c>
      <c r="R419" s="107" t="s">
        <v>71</v>
      </c>
      <c r="S419" s="108" t="n">
        <v>34</v>
      </c>
      <c r="T419" s="109" t="n">
        <v>1112.6</v>
      </c>
      <c r="U419" s="110" t="n">
        <f aca="false">ROUND(T419*$S419,2)</f>
        <v>37828.4</v>
      </c>
      <c r="V419" s="111"/>
      <c r="W419" s="110"/>
      <c r="X419" s="111"/>
      <c r="Y419" s="110"/>
      <c r="Z419" s="108"/>
      <c r="AA419" s="110"/>
    </row>
    <row r="420" customFormat="false" ht="26.1" hidden="false" customHeight="true" outlineLevel="0" collapsed="false">
      <c r="A420" s="97" t="n">
        <v>5</v>
      </c>
      <c r="B420" s="98" t="s">
        <v>139</v>
      </c>
      <c r="C420" s="99" t="s">
        <v>836</v>
      </c>
      <c r="D420" s="100" t="str">
        <f aca="false">B420&amp;"_"&amp;E420</f>
        <v>5.1_1.14.15</v>
      </c>
      <c r="E420" s="101" t="s">
        <v>1006</v>
      </c>
      <c r="F420" s="102" t="s">
        <v>993</v>
      </c>
      <c r="G420" s="103" t="s">
        <v>874</v>
      </c>
      <c r="H420" s="103" t="s">
        <v>113</v>
      </c>
      <c r="I420" s="103" t="s">
        <v>994</v>
      </c>
      <c r="J420" s="103" t="s">
        <v>782</v>
      </c>
      <c r="K420" s="103" t="n">
        <v>63</v>
      </c>
      <c r="L420" s="103" t="s">
        <v>115</v>
      </c>
      <c r="M420" s="103" t="s">
        <v>841</v>
      </c>
      <c r="N420" s="103" t="s">
        <v>115</v>
      </c>
      <c r="O420" s="104" t="s">
        <v>1007</v>
      </c>
      <c r="P420" s="105" t="s">
        <v>27</v>
      </c>
      <c r="Q420" s="106" t="s">
        <v>1008</v>
      </c>
      <c r="R420" s="107" t="s">
        <v>71</v>
      </c>
      <c r="S420" s="108" t="n">
        <v>740</v>
      </c>
      <c r="T420" s="109" t="n">
        <v>158.28</v>
      </c>
      <c r="U420" s="110" t="n">
        <f aca="false">ROUND(T420*$S420,2)</f>
        <v>117127.2</v>
      </c>
      <c r="V420" s="111"/>
      <c r="W420" s="110"/>
      <c r="X420" s="111"/>
      <c r="Y420" s="110"/>
      <c r="Z420" s="108"/>
      <c r="AA420" s="110"/>
    </row>
    <row r="421" customFormat="false" ht="26.1" hidden="false" customHeight="true" outlineLevel="0" collapsed="false">
      <c r="A421" s="97" t="n">
        <v>5</v>
      </c>
      <c r="B421" s="98" t="s">
        <v>139</v>
      </c>
      <c r="C421" s="99" t="s">
        <v>836</v>
      </c>
      <c r="D421" s="100" t="str">
        <f aca="false">B421&amp;"_"&amp;E421</f>
        <v>5.1_1.14.16</v>
      </c>
      <c r="E421" s="101" t="s">
        <v>1009</v>
      </c>
      <c r="F421" s="102" t="s">
        <v>1010</v>
      </c>
      <c r="G421" s="103" t="s">
        <v>112</v>
      </c>
      <c r="H421" s="103" t="s">
        <v>113</v>
      </c>
      <c r="I421" s="103" t="s">
        <v>994</v>
      </c>
      <c r="J421" s="103" t="s">
        <v>782</v>
      </c>
      <c r="K421" s="103" t="n">
        <v>90</v>
      </c>
      <c r="L421" s="103" t="s">
        <v>115</v>
      </c>
      <c r="M421" s="103" t="s">
        <v>841</v>
      </c>
      <c r="N421" s="103" t="s">
        <v>115</v>
      </c>
      <c r="O421" s="104" t="s">
        <v>1011</v>
      </c>
      <c r="P421" s="105" t="s">
        <v>27</v>
      </c>
      <c r="Q421" s="106" t="s">
        <v>1012</v>
      </c>
      <c r="R421" s="107" t="s">
        <v>71</v>
      </c>
      <c r="S421" s="108" t="n">
        <v>12</v>
      </c>
      <c r="T421" s="109" t="n">
        <v>197.77</v>
      </c>
      <c r="U421" s="110" t="n">
        <f aca="false">ROUND(T421*$S421,2)</f>
        <v>2373.24</v>
      </c>
      <c r="V421" s="111"/>
      <c r="W421" s="110"/>
      <c r="X421" s="111"/>
      <c r="Y421" s="110"/>
      <c r="Z421" s="108"/>
      <c r="AA421" s="110"/>
    </row>
    <row r="422" customFormat="false" ht="26.1" hidden="false" customHeight="true" outlineLevel="0" collapsed="false">
      <c r="A422" s="97" t="n">
        <v>5</v>
      </c>
      <c r="B422" s="98" t="s">
        <v>139</v>
      </c>
      <c r="C422" s="99" t="s">
        <v>836</v>
      </c>
      <c r="D422" s="100" t="str">
        <f aca="false">B422&amp;"_"&amp;E422</f>
        <v>5.1_1.14.17</v>
      </c>
      <c r="E422" s="101" t="s">
        <v>1013</v>
      </c>
      <c r="F422" s="102" t="s">
        <v>1014</v>
      </c>
      <c r="G422" s="103" t="s">
        <v>112</v>
      </c>
      <c r="H422" s="103" t="s">
        <v>113</v>
      </c>
      <c r="I422" s="103" t="s">
        <v>994</v>
      </c>
      <c r="J422" s="103" t="s">
        <v>114</v>
      </c>
      <c r="K422" s="103" t="n">
        <v>355</v>
      </c>
      <c r="L422" s="103" t="s">
        <v>115</v>
      </c>
      <c r="M422" s="103" t="s">
        <v>841</v>
      </c>
      <c r="N422" s="103" t="s">
        <v>115</v>
      </c>
      <c r="O422" s="104" t="s">
        <v>1015</v>
      </c>
      <c r="P422" s="105" t="s">
        <v>27</v>
      </c>
      <c r="Q422" s="106" t="s">
        <v>1016</v>
      </c>
      <c r="R422" s="107" t="s">
        <v>71</v>
      </c>
      <c r="S422" s="108" t="n">
        <v>1</v>
      </c>
      <c r="T422" s="109" t="n">
        <v>5717.2</v>
      </c>
      <c r="U422" s="110" t="n">
        <f aca="false">ROUND(T422*$S422,2)</f>
        <v>5717.2</v>
      </c>
      <c r="V422" s="111"/>
      <c r="W422" s="110"/>
      <c r="X422" s="111"/>
      <c r="Y422" s="110"/>
      <c r="Z422" s="108"/>
      <c r="AA422" s="110"/>
    </row>
    <row r="423" customFormat="false" ht="26.1" hidden="false" customHeight="true" outlineLevel="0" collapsed="false">
      <c r="A423" s="97" t="n">
        <v>5</v>
      </c>
      <c r="B423" s="98" t="s">
        <v>139</v>
      </c>
      <c r="C423" s="99" t="s">
        <v>836</v>
      </c>
      <c r="D423" s="100" t="str">
        <f aca="false">B423&amp;"_"&amp;E423</f>
        <v>5.1_1.14.18</v>
      </c>
      <c r="E423" s="101" t="s">
        <v>1017</v>
      </c>
      <c r="F423" s="102" t="s">
        <v>1014</v>
      </c>
      <c r="G423" s="103" t="s">
        <v>112</v>
      </c>
      <c r="H423" s="103" t="s">
        <v>113</v>
      </c>
      <c r="I423" s="103" t="s">
        <v>994</v>
      </c>
      <c r="J423" s="103" t="s">
        <v>114</v>
      </c>
      <c r="K423" s="103" t="n">
        <v>500</v>
      </c>
      <c r="L423" s="103" t="s">
        <v>115</v>
      </c>
      <c r="M423" s="103" t="s">
        <v>841</v>
      </c>
      <c r="N423" s="103" t="s">
        <v>115</v>
      </c>
      <c r="O423" s="104" t="s">
        <v>1018</v>
      </c>
      <c r="P423" s="105" t="s">
        <v>27</v>
      </c>
      <c r="Q423" s="106" t="s">
        <v>1019</v>
      </c>
      <c r="R423" s="107" t="s">
        <v>71</v>
      </c>
      <c r="S423" s="108" t="n">
        <v>5</v>
      </c>
      <c r="T423" s="109" t="n">
        <v>9877.82</v>
      </c>
      <c r="U423" s="110" t="n">
        <f aca="false">ROUND(T423*$S423,2)</f>
        <v>49389.1</v>
      </c>
      <c r="V423" s="111"/>
      <c r="W423" s="110"/>
      <c r="X423" s="111"/>
      <c r="Y423" s="110"/>
      <c r="Z423" s="108"/>
      <c r="AA423" s="110"/>
    </row>
    <row r="424" customFormat="false" ht="26.1" hidden="false" customHeight="true" outlineLevel="0" collapsed="false">
      <c r="A424" s="97" t="n">
        <v>5</v>
      </c>
      <c r="B424" s="98" t="s">
        <v>139</v>
      </c>
      <c r="C424" s="99" t="s">
        <v>836</v>
      </c>
      <c r="D424" s="100" t="str">
        <f aca="false">B424&amp;"_"&amp;E424</f>
        <v>5.1_1.14.19</v>
      </c>
      <c r="E424" s="101" t="s">
        <v>1020</v>
      </c>
      <c r="F424" s="102" t="s">
        <v>1014</v>
      </c>
      <c r="G424" s="103" t="s">
        <v>112</v>
      </c>
      <c r="H424" s="103" t="s">
        <v>113</v>
      </c>
      <c r="I424" s="103" t="s">
        <v>994</v>
      </c>
      <c r="J424" s="103" t="s">
        <v>114</v>
      </c>
      <c r="K424" s="103" t="n">
        <v>280</v>
      </c>
      <c r="L424" s="103" t="s">
        <v>115</v>
      </c>
      <c r="M424" s="103" t="s">
        <v>841</v>
      </c>
      <c r="N424" s="103" t="s">
        <v>115</v>
      </c>
      <c r="O424" s="104" t="s">
        <v>1021</v>
      </c>
      <c r="P424" s="105" t="s">
        <v>27</v>
      </c>
      <c r="Q424" s="106" t="s">
        <v>1022</v>
      </c>
      <c r="R424" s="107" t="s">
        <v>71</v>
      </c>
      <c r="S424" s="108" t="n">
        <v>1</v>
      </c>
      <c r="T424" s="109" t="n">
        <v>3807.31</v>
      </c>
      <c r="U424" s="110" t="n">
        <f aca="false">ROUND(T424*$S424,2)</f>
        <v>3807.31</v>
      </c>
      <c r="V424" s="111"/>
      <c r="W424" s="110"/>
      <c r="X424" s="111"/>
      <c r="Y424" s="110"/>
      <c r="Z424" s="108"/>
      <c r="AA424" s="110"/>
    </row>
    <row r="425" customFormat="false" ht="26.1" hidden="false" customHeight="true" outlineLevel="0" collapsed="false">
      <c r="A425" s="97" t="n">
        <v>5</v>
      </c>
      <c r="B425" s="98" t="s">
        <v>139</v>
      </c>
      <c r="C425" s="99" t="s">
        <v>836</v>
      </c>
      <c r="D425" s="100" t="str">
        <f aca="false">B425&amp;"_"&amp;E425</f>
        <v>5.1_1.14.20</v>
      </c>
      <c r="E425" s="101" t="s">
        <v>1023</v>
      </c>
      <c r="F425" s="102" t="s">
        <v>1014</v>
      </c>
      <c r="G425" s="103" t="s">
        <v>112</v>
      </c>
      <c r="H425" s="103" t="s">
        <v>113</v>
      </c>
      <c r="I425" s="103" t="s">
        <v>994</v>
      </c>
      <c r="J425" s="103" t="s">
        <v>114</v>
      </c>
      <c r="K425" s="103" t="n">
        <v>315</v>
      </c>
      <c r="L425" s="103" t="s">
        <v>115</v>
      </c>
      <c r="M425" s="103" t="s">
        <v>841</v>
      </c>
      <c r="N425" s="103" t="s">
        <v>115</v>
      </c>
      <c r="O425" s="104" t="s">
        <v>1024</v>
      </c>
      <c r="P425" s="105" t="s">
        <v>27</v>
      </c>
      <c r="Q425" s="106" t="s">
        <v>1025</v>
      </c>
      <c r="R425" s="107" t="s">
        <v>71</v>
      </c>
      <c r="S425" s="108" t="n">
        <v>9</v>
      </c>
      <c r="T425" s="109" t="n">
        <v>4860.5</v>
      </c>
      <c r="U425" s="110" t="n">
        <f aca="false">ROUND(T425*$S425,2)</f>
        <v>43744.5</v>
      </c>
      <c r="V425" s="111"/>
      <c r="W425" s="110"/>
      <c r="X425" s="111"/>
      <c r="Y425" s="110"/>
      <c r="Z425" s="108"/>
      <c r="AA425" s="110"/>
    </row>
    <row r="426" customFormat="false" ht="26.1" hidden="false" customHeight="true" outlineLevel="0" collapsed="false">
      <c r="A426" s="97" t="n">
        <v>5</v>
      </c>
      <c r="B426" s="98" t="s">
        <v>139</v>
      </c>
      <c r="C426" s="99" t="s">
        <v>836</v>
      </c>
      <c r="D426" s="100" t="str">
        <f aca="false">B426&amp;"_"&amp;E426</f>
        <v>5.1_1.14.21</v>
      </c>
      <c r="E426" s="101" t="s">
        <v>1026</v>
      </c>
      <c r="F426" s="102" t="s">
        <v>780</v>
      </c>
      <c r="G426" s="103" t="s">
        <v>874</v>
      </c>
      <c r="H426" s="103" t="s">
        <v>113</v>
      </c>
      <c r="I426" s="103" t="s">
        <v>781</v>
      </c>
      <c r="J426" s="103" t="s">
        <v>782</v>
      </c>
      <c r="K426" s="103" t="n">
        <v>160</v>
      </c>
      <c r="L426" s="103" t="s">
        <v>115</v>
      </c>
      <c r="M426" s="103" t="s">
        <v>841</v>
      </c>
      <c r="N426" s="103" t="s">
        <v>115</v>
      </c>
      <c r="O426" s="104" t="s">
        <v>1027</v>
      </c>
      <c r="P426" s="105" t="s">
        <v>27</v>
      </c>
      <c r="Q426" s="106" t="s">
        <v>1028</v>
      </c>
      <c r="R426" s="107" t="s">
        <v>71</v>
      </c>
      <c r="S426" s="108" t="n">
        <v>284</v>
      </c>
      <c r="T426" s="109" t="n">
        <v>132.45</v>
      </c>
      <c r="U426" s="110" t="n">
        <f aca="false">ROUND(T426*$S426,2)</f>
        <v>37615.8</v>
      </c>
      <c r="V426" s="111"/>
      <c r="W426" s="110"/>
      <c r="X426" s="111"/>
      <c r="Y426" s="110"/>
      <c r="Z426" s="108"/>
      <c r="AA426" s="110"/>
    </row>
    <row r="427" customFormat="false" ht="26.1" hidden="false" customHeight="true" outlineLevel="0" collapsed="false">
      <c r="A427" s="97" t="n">
        <v>5</v>
      </c>
      <c r="B427" s="98" t="s">
        <v>139</v>
      </c>
      <c r="C427" s="99" t="s">
        <v>836</v>
      </c>
      <c r="D427" s="100" t="str">
        <f aca="false">B427&amp;"_"&amp;E427</f>
        <v>5.1_1.14.22</v>
      </c>
      <c r="E427" s="101" t="s">
        <v>1029</v>
      </c>
      <c r="F427" s="102" t="s">
        <v>780</v>
      </c>
      <c r="G427" s="103" t="s">
        <v>874</v>
      </c>
      <c r="H427" s="103" t="s">
        <v>113</v>
      </c>
      <c r="I427" s="103" t="s">
        <v>781</v>
      </c>
      <c r="J427" s="103" t="s">
        <v>782</v>
      </c>
      <c r="K427" s="103" t="n">
        <v>200</v>
      </c>
      <c r="L427" s="103" t="s">
        <v>115</v>
      </c>
      <c r="M427" s="103" t="s">
        <v>841</v>
      </c>
      <c r="N427" s="103" t="s">
        <v>115</v>
      </c>
      <c r="O427" s="104" t="s">
        <v>1030</v>
      </c>
      <c r="P427" s="105" t="s">
        <v>27</v>
      </c>
      <c r="Q427" s="106" t="s">
        <v>1031</v>
      </c>
      <c r="R427" s="107" t="s">
        <v>71</v>
      </c>
      <c r="S427" s="108" t="n">
        <v>2</v>
      </c>
      <c r="T427" s="109" t="n">
        <v>224.47</v>
      </c>
      <c r="U427" s="110" t="n">
        <f aca="false">ROUND(T427*$S427,2)</f>
        <v>448.94</v>
      </c>
      <c r="V427" s="111"/>
      <c r="W427" s="110"/>
      <c r="X427" s="111"/>
      <c r="Y427" s="110"/>
      <c r="Z427" s="108"/>
      <c r="AA427" s="110"/>
    </row>
    <row r="428" customFormat="false" ht="26.1" hidden="false" customHeight="true" outlineLevel="0" collapsed="false">
      <c r="A428" s="97" t="n">
        <v>5</v>
      </c>
      <c r="B428" s="98" t="s">
        <v>139</v>
      </c>
      <c r="C428" s="99" t="s">
        <v>836</v>
      </c>
      <c r="D428" s="100" t="str">
        <f aca="false">B428&amp;"_"&amp;E428</f>
        <v>5.1_1.14.23</v>
      </c>
      <c r="E428" s="101" t="s">
        <v>1032</v>
      </c>
      <c r="F428" s="102" t="s">
        <v>780</v>
      </c>
      <c r="G428" s="103" t="s">
        <v>874</v>
      </c>
      <c r="H428" s="103" t="s">
        <v>113</v>
      </c>
      <c r="I428" s="103" t="s">
        <v>781</v>
      </c>
      <c r="J428" s="103" t="s">
        <v>782</v>
      </c>
      <c r="K428" s="103" t="n">
        <v>225</v>
      </c>
      <c r="L428" s="103" t="s">
        <v>115</v>
      </c>
      <c r="M428" s="103" t="s">
        <v>841</v>
      </c>
      <c r="N428" s="103" t="s">
        <v>115</v>
      </c>
      <c r="O428" s="104" t="s">
        <v>1033</v>
      </c>
      <c r="P428" s="105" t="s">
        <v>27</v>
      </c>
      <c r="Q428" s="106" t="s">
        <v>1034</v>
      </c>
      <c r="R428" s="107" t="s">
        <v>71</v>
      </c>
      <c r="S428" s="108" t="n">
        <v>102</v>
      </c>
      <c r="T428" s="109" t="n">
        <v>289.27</v>
      </c>
      <c r="U428" s="110" t="n">
        <f aca="false">ROUND(T428*$S428,2)</f>
        <v>29505.54</v>
      </c>
      <c r="V428" s="111"/>
      <c r="W428" s="110"/>
      <c r="X428" s="111"/>
      <c r="Y428" s="110"/>
      <c r="Z428" s="108"/>
      <c r="AA428" s="110"/>
    </row>
    <row r="429" customFormat="false" ht="26.1" hidden="false" customHeight="true" outlineLevel="0" collapsed="false">
      <c r="A429" s="97" t="n">
        <v>5</v>
      </c>
      <c r="B429" s="98" t="s">
        <v>139</v>
      </c>
      <c r="C429" s="99" t="s">
        <v>836</v>
      </c>
      <c r="D429" s="100" t="str">
        <f aca="false">B429&amp;"_"&amp;E429</f>
        <v>5.1_1.14.24</v>
      </c>
      <c r="E429" s="101" t="s">
        <v>1035</v>
      </c>
      <c r="F429" s="102" t="s">
        <v>780</v>
      </c>
      <c r="G429" s="103" t="s">
        <v>874</v>
      </c>
      <c r="H429" s="103" t="s">
        <v>113</v>
      </c>
      <c r="I429" s="103" t="s">
        <v>781</v>
      </c>
      <c r="J429" s="103" t="s">
        <v>782</v>
      </c>
      <c r="K429" s="103" t="n">
        <v>315</v>
      </c>
      <c r="L429" s="103" t="s">
        <v>115</v>
      </c>
      <c r="M429" s="103" t="s">
        <v>841</v>
      </c>
      <c r="N429" s="103" t="s">
        <v>115</v>
      </c>
      <c r="O429" s="104" t="s">
        <v>1036</v>
      </c>
      <c r="P429" s="105" t="s">
        <v>27</v>
      </c>
      <c r="Q429" s="106" t="s">
        <v>1037</v>
      </c>
      <c r="R429" s="107" t="s">
        <v>71</v>
      </c>
      <c r="S429" s="108" t="n">
        <v>30</v>
      </c>
      <c r="T429" s="109" t="n">
        <v>694.6</v>
      </c>
      <c r="U429" s="110" t="n">
        <f aca="false">ROUND(T429*$S429,2)</f>
        <v>20838</v>
      </c>
      <c r="V429" s="111"/>
      <c r="W429" s="110"/>
      <c r="X429" s="111"/>
      <c r="Y429" s="110"/>
      <c r="Z429" s="108"/>
      <c r="AA429" s="110"/>
    </row>
    <row r="430" customFormat="false" ht="26.1" hidden="false" customHeight="true" outlineLevel="0" collapsed="false">
      <c r="A430" s="97" t="n">
        <v>5</v>
      </c>
      <c r="B430" s="98" t="s">
        <v>139</v>
      </c>
      <c r="C430" s="99" t="s">
        <v>836</v>
      </c>
      <c r="D430" s="100" t="str">
        <f aca="false">B430&amp;"_"&amp;E430</f>
        <v>5.1_1.14.25</v>
      </c>
      <c r="E430" s="101" t="s">
        <v>1038</v>
      </c>
      <c r="F430" s="102" t="s">
        <v>780</v>
      </c>
      <c r="G430" s="103" t="s">
        <v>874</v>
      </c>
      <c r="H430" s="103" t="s">
        <v>113</v>
      </c>
      <c r="I430" s="103" t="s">
        <v>781</v>
      </c>
      <c r="J430" s="103" t="s">
        <v>782</v>
      </c>
      <c r="K430" s="103" t="n">
        <v>400</v>
      </c>
      <c r="L430" s="103" t="s">
        <v>115</v>
      </c>
      <c r="M430" s="103" t="s">
        <v>841</v>
      </c>
      <c r="N430" s="103" t="s">
        <v>115</v>
      </c>
      <c r="O430" s="104" t="s">
        <v>1039</v>
      </c>
      <c r="P430" s="105" t="s">
        <v>27</v>
      </c>
      <c r="Q430" s="106" t="s">
        <v>1040</v>
      </c>
      <c r="R430" s="107" t="s">
        <v>71</v>
      </c>
      <c r="S430" s="108" t="n">
        <v>7</v>
      </c>
      <c r="T430" s="109" t="n">
        <v>1595.04</v>
      </c>
      <c r="U430" s="110" t="n">
        <f aca="false">ROUND(T430*$S430,2)</f>
        <v>11165.28</v>
      </c>
      <c r="V430" s="111"/>
      <c r="W430" s="110"/>
      <c r="X430" s="111"/>
      <c r="Y430" s="110"/>
      <c r="Z430" s="108"/>
      <c r="AA430" s="110"/>
    </row>
    <row r="431" customFormat="false" ht="26.1" hidden="false" customHeight="true" outlineLevel="0" collapsed="false">
      <c r="A431" s="97" t="n">
        <v>5</v>
      </c>
      <c r="B431" s="98" t="s">
        <v>139</v>
      </c>
      <c r="C431" s="99" t="s">
        <v>836</v>
      </c>
      <c r="D431" s="100" t="str">
        <f aca="false">B431&amp;"_"&amp;E431</f>
        <v>5.1_1.14.26</v>
      </c>
      <c r="E431" s="101" t="s">
        <v>1041</v>
      </c>
      <c r="F431" s="102" t="s">
        <v>780</v>
      </c>
      <c r="G431" s="103" t="s">
        <v>874</v>
      </c>
      <c r="H431" s="103" t="s">
        <v>113</v>
      </c>
      <c r="I431" s="103" t="s">
        <v>781</v>
      </c>
      <c r="J431" s="103" t="s">
        <v>782</v>
      </c>
      <c r="K431" s="103" t="n">
        <v>500</v>
      </c>
      <c r="L431" s="103" t="s">
        <v>115</v>
      </c>
      <c r="M431" s="103" t="s">
        <v>841</v>
      </c>
      <c r="N431" s="103" t="s">
        <v>115</v>
      </c>
      <c r="O431" s="104" t="s">
        <v>1042</v>
      </c>
      <c r="P431" s="105" t="s">
        <v>27</v>
      </c>
      <c r="Q431" s="106" t="s">
        <v>1043</v>
      </c>
      <c r="R431" s="107" t="s">
        <v>71</v>
      </c>
      <c r="S431" s="108" t="n">
        <v>18</v>
      </c>
      <c r="T431" s="109" t="n">
        <v>2365.28</v>
      </c>
      <c r="U431" s="110" t="n">
        <f aca="false">ROUND(T431*$S431,2)</f>
        <v>42575.04</v>
      </c>
      <c r="V431" s="111"/>
      <c r="W431" s="110"/>
      <c r="X431" s="111"/>
      <c r="Y431" s="110"/>
      <c r="Z431" s="108"/>
      <c r="AA431" s="110"/>
    </row>
    <row r="432" customFormat="false" ht="26.1" hidden="false" customHeight="true" outlineLevel="0" collapsed="false">
      <c r="A432" s="97" t="n">
        <v>5</v>
      </c>
      <c r="B432" s="98" t="s">
        <v>139</v>
      </c>
      <c r="C432" s="99" t="s">
        <v>836</v>
      </c>
      <c r="D432" s="100" t="str">
        <f aca="false">B432&amp;"_"&amp;E432</f>
        <v>5.1_1.14.27</v>
      </c>
      <c r="E432" s="101" t="s">
        <v>1044</v>
      </c>
      <c r="F432" s="102" t="s">
        <v>780</v>
      </c>
      <c r="G432" s="103" t="s">
        <v>874</v>
      </c>
      <c r="H432" s="103" t="s">
        <v>113</v>
      </c>
      <c r="I432" s="103" t="s">
        <v>781</v>
      </c>
      <c r="J432" s="103" t="s">
        <v>782</v>
      </c>
      <c r="K432" s="103" t="n">
        <v>63</v>
      </c>
      <c r="L432" s="103" t="s">
        <v>115</v>
      </c>
      <c r="M432" s="103" t="s">
        <v>841</v>
      </c>
      <c r="N432" s="103" t="s">
        <v>115</v>
      </c>
      <c r="O432" s="104" t="s">
        <v>1045</v>
      </c>
      <c r="P432" s="105" t="s">
        <v>27</v>
      </c>
      <c r="Q432" s="106" t="s">
        <v>1046</v>
      </c>
      <c r="R432" s="107" t="s">
        <v>71</v>
      </c>
      <c r="S432" s="108" t="n">
        <v>1313</v>
      </c>
      <c r="T432" s="109" t="n">
        <v>29.91</v>
      </c>
      <c r="U432" s="110" t="n">
        <f aca="false">ROUND(T432*$S432,2)</f>
        <v>39271.83</v>
      </c>
      <c r="V432" s="111"/>
      <c r="W432" s="110"/>
      <c r="X432" s="111"/>
      <c r="Y432" s="110"/>
      <c r="Z432" s="108"/>
      <c r="AA432" s="110"/>
    </row>
    <row r="433" customFormat="false" ht="26.1" hidden="false" customHeight="true" outlineLevel="0" collapsed="false">
      <c r="A433" s="97" t="n">
        <v>5</v>
      </c>
      <c r="B433" s="98" t="s">
        <v>139</v>
      </c>
      <c r="C433" s="99" t="s">
        <v>836</v>
      </c>
      <c r="D433" s="100" t="str">
        <f aca="false">B433&amp;"_"&amp;E433</f>
        <v>5.1_1.14.28</v>
      </c>
      <c r="E433" s="101" t="s">
        <v>1047</v>
      </c>
      <c r="F433" s="102" t="s">
        <v>780</v>
      </c>
      <c r="G433" s="103" t="s">
        <v>874</v>
      </c>
      <c r="H433" s="103" t="s">
        <v>113</v>
      </c>
      <c r="I433" s="103" t="s">
        <v>781</v>
      </c>
      <c r="J433" s="103" t="s">
        <v>782</v>
      </c>
      <c r="K433" s="103" t="n">
        <v>110</v>
      </c>
      <c r="L433" s="103" t="s">
        <v>115</v>
      </c>
      <c r="M433" s="103" t="s">
        <v>841</v>
      </c>
      <c r="N433" s="103" t="s">
        <v>115</v>
      </c>
      <c r="O433" s="104" t="s">
        <v>1048</v>
      </c>
      <c r="P433" s="105" t="s">
        <v>27</v>
      </c>
      <c r="Q433" s="106" t="s">
        <v>1049</v>
      </c>
      <c r="R433" s="107" t="s">
        <v>71</v>
      </c>
      <c r="S433" s="108" t="n">
        <v>178</v>
      </c>
      <c r="T433" s="109" t="n">
        <v>68.25</v>
      </c>
      <c r="U433" s="110" t="n">
        <f aca="false">ROUND(T433*$S433,2)</f>
        <v>12148.5</v>
      </c>
      <c r="V433" s="111"/>
      <c r="W433" s="110"/>
      <c r="X433" s="111"/>
      <c r="Y433" s="110"/>
      <c r="Z433" s="108"/>
      <c r="AA433" s="110"/>
    </row>
    <row r="434" customFormat="false" ht="26.1" hidden="false" customHeight="true" outlineLevel="0" collapsed="false">
      <c r="A434" s="97" t="n">
        <v>5</v>
      </c>
      <c r="B434" s="98" t="s">
        <v>139</v>
      </c>
      <c r="C434" s="99" t="s">
        <v>836</v>
      </c>
      <c r="D434" s="100" t="str">
        <f aca="false">B434&amp;"_"&amp;E434</f>
        <v>5.1_1.14.29</v>
      </c>
      <c r="E434" s="101" t="s">
        <v>1050</v>
      </c>
      <c r="F434" s="102" t="s">
        <v>780</v>
      </c>
      <c r="G434" s="103" t="s">
        <v>874</v>
      </c>
      <c r="H434" s="103" t="s">
        <v>113</v>
      </c>
      <c r="I434" s="103" t="s">
        <v>781</v>
      </c>
      <c r="J434" s="103" t="s">
        <v>782</v>
      </c>
      <c r="K434" s="103" t="n">
        <v>125</v>
      </c>
      <c r="L434" s="103" t="s">
        <v>115</v>
      </c>
      <c r="M434" s="103" t="s">
        <v>841</v>
      </c>
      <c r="N434" s="103" t="s">
        <v>115</v>
      </c>
      <c r="O434" s="104" t="s">
        <v>1051</v>
      </c>
      <c r="P434" s="105" t="s">
        <v>27</v>
      </c>
      <c r="Q434" s="106" t="s">
        <v>1052</v>
      </c>
      <c r="R434" s="107" t="s">
        <v>71</v>
      </c>
      <c r="S434" s="108" t="n">
        <v>25</v>
      </c>
      <c r="T434" s="109" t="n">
        <v>96.06</v>
      </c>
      <c r="U434" s="110" t="n">
        <f aca="false">ROUND(T434*$S434,2)</f>
        <v>2401.5</v>
      </c>
      <c r="V434" s="111"/>
      <c r="W434" s="110"/>
      <c r="X434" s="111"/>
      <c r="Y434" s="110"/>
      <c r="Z434" s="108"/>
      <c r="AA434" s="110"/>
    </row>
    <row r="435" customFormat="false" ht="26.1" hidden="false" customHeight="true" outlineLevel="0" collapsed="false">
      <c r="A435" s="97" t="n">
        <v>5</v>
      </c>
      <c r="B435" s="98" t="s">
        <v>139</v>
      </c>
      <c r="C435" s="99" t="s">
        <v>836</v>
      </c>
      <c r="D435" s="100" t="str">
        <f aca="false">B435&amp;"_"&amp;E435</f>
        <v>5.1_1.14.30</v>
      </c>
      <c r="E435" s="101" t="s">
        <v>1053</v>
      </c>
      <c r="F435" s="102" t="s">
        <v>780</v>
      </c>
      <c r="G435" s="103" t="s">
        <v>874</v>
      </c>
      <c r="H435" s="103" t="s">
        <v>113</v>
      </c>
      <c r="I435" s="103" t="s">
        <v>781</v>
      </c>
      <c r="J435" s="103" t="s">
        <v>782</v>
      </c>
      <c r="K435" s="103" t="n">
        <v>280</v>
      </c>
      <c r="L435" s="103" t="s">
        <v>115</v>
      </c>
      <c r="M435" s="103" t="s">
        <v>841</v>
      </c>
      <c r="N435" s="103" t="s">
        <v>115</v>
      </c>
      <c r="O435" s="104" t="s">
        <v>1054</v>
      </c>
      <c r="P435" s="105" t="s">
        <v>27</v>
      </c>
      <c r="Q435" s="106" t="s">
        <v>1055</v>
      </c>
      <c r="R435" s="107" t="s">
        <v>71</v>
      </c>
      <c r="S435" s="108" t="n">
        <v>6</v>
      </c>
      <c r="T435" s="109" t="n">
        <v>577.49</v>
      </c>
      <c r="U435" s="110" t="n">
        <f aca="false">ROUND(T435*$S435,2)</f>
        <v>3464.94</v>
      </c>
      <c r="V435" s="111"/>
      <c r="W435" s="110"/>
      <c r="X435" s="111"/>
      <c r="Y435" s="110"/>
      <c r="Z435" s="108"/>
      <c r="AA435" s="110"/>
    </row>
    <row r="436" customFormat="false" ht="26.1" hidden="false" customHeight="true" outlineLevel="0" collapsed="false">
      <c r="A436" s="97" t="n">
        <v>5</v>
      </c>
      <c r="B436" s="98" t="s">
        <v>139</v>
      </c>
      <c r="C436" s="99" t="s">
        <v>836</v>
      </c>
      <c r="D436" s="100" t="str">
        <f aca="false">B436&amp;"_"&amp;E436</f>
        <v>5.1_1.14.31</v>
      </c>
      <c r="E436" s="101" t="s">
        <v>1056</v>
      </c>
      <c r="F436" s="102" t="s">
        <v>780</v>
      </c>
      <c r="G436" s="103" t="s">
        <v>874</v>
      </c>
      <c r="H436" s="103" t="s">
        <v>113</v>
      </c>
      <c r="I436" s="103" t="s">
        <v>781</v>
      </c>
      <c r="J436" s="103" t="s">
        <v>782</v>
      </c>
      <c r="K436" s="103" t="n">
        <v>355</v>
      </c>
      <c r="L436" s="103" t="s">
        <v>115</v>
      </c>
      <c r="M436" s="103" t="s">
        <v>841</v>
      </c>
      <c r="N436" s="103" t="s">
        <v>115</v>
      </c>
      <c r="O436" s="104" t="s">
        <v>1057</v>
      </c>
      <c r="P436" s="105" t="s">
        <v>27</v>
      </c>
      <c r="Q436" s="106" t="s">
        <v>1058</v>
      </c>
      <c r="R436" s="107" t="s">
        <v>120</v>
      </c>
      <c r="S436" s="108" t="n">
        <v>9</v>
      </c>
      <c r="T436" s="109" t="n">
        <v>1272.1</v>
      </c>
      <c r="U436" s="110" t="n">
        <f aca="false">ROUND(T436*$S436,2)</f>
        <v>11448.9</v>
      </c>
      <c r="V436" s="111"/>
      <c r="W436" s="110"/>
      <c r="X436" s="111"/>
      <c r="Y436" s="110"/>
      <c r="Z436" s="108"/>
      <c r="AA436" s="110"/>
    </row>
    <row r="437" customFormat="false" ht="26.1" hidden="false" customHeight="true" outlineLevel="0" collapsed="false">
      <c r="A437" s="97" t="n">
        <v>5</v>
      </c>
      <c r="B437" s="98" t="s">
        <v>139</v>
      </c>
      <c r="C437" s="99" t="s">
        <v>836</v>
      </c>
      <c r="D437" s="100" t="str">
        <f aca="false">B437&amp;"_"&amp;E437</f>
        <v>5.1_1.14.32</v>
      </c>
      <c r="E437" s="101" t="s">
        <v>1059</v>
      </c>
      <c r="F437" s="102" t="s">
        <v>1060</v>
      </c>
      <c r="G437" s="103" t="s">
        <v>112</v>
      </c>
      <c r="H437" s="103" t="s">
        <v>113</v>
      </c>
      <c r="I437" s="103" t="s">
        <v>781</v>
      </c>
      <c r="J437" s="103" t="s">
        <v>782</v>
      </c>
      <c r="K437" s="103" t="n">
        <v>90</v>
      </c>
      <c r="L437" s="103" t="s">
        <v>115</v>
      </c>
      <c r="M437" s="103" t="s">
        <v>841</v>
      </c>
      <c r="N437" s="103" t="s">
        <v>115</v>
      </c>
      <c r="O437" s="104" t="s">
        <v>1061</v>
      </c>
      <c r="P437" s="105" t="s">
        <v>27</v>
      </c>
      <c r="Q437" s="106" t="s">
        <v>1062</v>
      </c>
      <c r="R437" s="107" t="s">
        <v>71</v>
      </c>
      <c r="S437" s="108" t="n">
        <v>175</v>
      </c>
      <c r="T437" s="109" t="n">
        <v>56.83</v>
      </c>
      <c r="U437" s="110" t="n">
        <f aca="false">ROUND(T437*$S437,2)</f>
        <v>9945.25</v>
      </c>
      <c r="V437" s="111"/>
      <c r="W437" s="110"/>
      <c r="X437" s="111"/>
      <c r="Y437" s="110"/>
      <c r="Z437" s="108"/>
      <c r="AA437" s="110"/>
    </row>
    <row r="438" customFormat="false" ht="26.1" hidden="false" customHeight="true" outlineLevel="0" collapsed="false">
      <c r="A438" s="97" t="n">
        <v>5</v>
      </c>
      <c r="B438" s="98" t="s">
        <v>139</v>
      </c>
      <c r="C438" s="99" t="s">
        <v>836</v>
      </c>
      <c r="D438" s="100" t="str">
        <f aca="false">B438&amp;"_"&amp;E438</f>
        <v>5.1_1.14.33</v>
      </c>
      <c r="E438" s="101" t="s">
        <v>1063</v>
      </c>
      <c r="F438" s="102" t="s">
        <v>1064</v>
      </c>
      <c r="G438" s="103" t="s">
        <v>112</v>
      </c>
      <c r="H438" s="103" t="s">
        <v>964</v>
      </c>
      <c r="I438" s="103" t="s">
        <v>1065</v>
      </c>
      <c r="J438" s="103" t="s">
        <v>114</v>
      </c>
      <c r="K438" s="103" t="s">
        <v>1066</v>
      </c>
      <c r="L438" s="103" t="s">
        <v>115</v>
      </c>
      <c r="M438" s="103" t="s">
        <v>841</v>
      </c>
      <c r="N438" s="103" t="s">
        <v>115</v>
      </c>
      <c r="O438" s="104" t="s">
        <v>1067</v>
      </c>
      <c r="P438" s="105" t="s">
        <v>27</v>
      </c>
      <c r="Q438" s="106" t="s">
        <v>1068</v>
      </c>
      <c r="R438" s="107" t="s">
        <v>71</v>
      </c>
      <c r="S438" s="108" t="n">
        <v>92</v>
      </c>
      <c r="T438" s="109" t="n">
        <v>98.58</v>
      </c>
      <c r="U438" s="110" t="n">
        <f aca="false">ROUND(T438*$S438,2)</f>
        <v>9069.36</v>
      </c>
      <c r="V438" s="111"/>
      <c r="W438" s="110"/>
      <c r="X438" s="111"/>
      <c r="Y438" s="110"/>
      <c r="Z438" s="108"/>
      <c r="AA438" s="110"/>
    </row>
    <row r="439" customFormat="false" ht="26.1" hidden="false" customHeight="true" outlineLevel="0" collapsed="false">
      <c r="A439" s="97" t="n">
        <v>5</v>
      </c>
      <c r="B439" s="98" t="s">
        <v>139</v>
      </c>
      <c r="C439" s="99" t="s">
        <v>836</v>
      </c>
      <c r="D439" s="100" t="str">
        <f aca="false">B439&amp;"_"&amp;E439</f>
        <v>5.1_1.14.34</v>
      </c>
      <c r="E439" s="101" t="s">
        <v>1069</v>
      </c>
      <c r="F439" s="102" t="s">
        <v>1064</v>
      </c>
      <c r="G439" s="103" t="s">
        <v>112</v>
      </c>
      <c r="H439" s="103" t="s">
        <v>964</v>
      </c>
      <c r="I439" s="103" t="s">
        <v>1065</v>
      </c>
      <c r="J439" s="103" t="s">
        <v>114</v>
      </c>
      <c r="K439" s="103" t="s">
        <v>1070</v>
      </c>
      <c r="L439" s="103" t="s">
        <v>115</v>
      </c>
      <c r="M439" s="103" t="s">
        <v>841</v>
      </c>
      <c r="N439" s="103" t="s">
        <v>115</v>
      </c>
      <c r="O439" s="104" t="s">
        <v>1071</v>
      </c>
      <c r="P439" s="105" t="s">
        <v>27</v>
      </c>
      <c r="Q439" s="106" t="s">
        <v>1072</v>
      </c>
      <c r="R439" s="107" t="s">
        <v>71</v>
      </c>
      <c r="S439" s="108" t="n">
        <v>7</v>
      </c>
      <c r="T439" s="109" t="n">
        <v>98.58</v>
      </c>
      <c r="U439" s="110" t="n">
        <f aca="false">ROUND(T439*$S439,2)</f>
        <v>690.06</v>
      </c>
      <c r="V439" s="111"/>
      <c r="W439" s="110"/>
      <c r="X439" s="111"/>
      <c r="Y439" s="110"/>
      <c r="Z439" s="108"/>
      <c r="AA439" s="110"/>
    </row>
    <row r="440" customFormat="false" ht="26.1" hidden="false" customHeight="true" outlineLevel="0" collapsed="false">
      <c r="A440" s="97" t="n">
        <v>5</v>
      </c>
      <c r="B440" s="98" t="s">
        <v>139</v>
      </c>
      <c r="C440" s="99" t="s">
        <v>836</v>
      </c>
      <c r="D440" s="100" t="str">
        <f aca="false">B440&amp;"_"&amp;E440</f>
        <v>5.1_1.14.35</v>
      </c>
      <c r="E440" s="101" t="s">
        <v>1073</v>
      </c>
      <c r="F440" s="102" t="s">
        <v>1064</v>
      </c>
      <c r="G440" s="103" t="s">
        <v>112</v>
      </c>
      <c r="H440" s="103" t="s">
        <v>964</v>
      </c>
      <c r="I440" s="103" t="s">
        <v>1065</v>
      </c>
      <c r="J440" s="103" t="s">
        <v>114</v>
      </c>
      <c r="K440" s="103" t="s">
        <v>1074</v>
      </c>
      <c r="L440" s="103" t="s">
        <v>115</v>
      </c>
      <c r="M440" s="103" t="s">
        <v>841</v>
      </c>
      <c r="N440" s="103" t="s">
        <v>115</v>
      </c>
      <c r="O440" s="104" t="s">
        <v>1075</v>
      </c>
      <c r="P440" s="105" t="s">
        <v>27</v>
      </c>
      <c r="Q440" s="106" t="s">
        <v>1076</v>
      </c>
      <c r="R440" s="107" t="s">
        <v>71</v>
      </c>
      <c r="S440" s="108" t="n">
        <v>22</v>
      </c>
      <c r="T440" s="109" t="n">
        <v>228.24</v>
      </c>
      <c r="U440" s="110" t="n">
        <f aca="false">ROUND(T440*$S440,2)</f>
        <v>5021.28</v>
      </c>
      <c r="V440" s="111"/>
      <c r="W440" s="110"/>
      <c r="X440" s="111"/>
      <c r="Y440" s="110"/>
      <c r="Z440" s="108"/>
      <c r="AA440" s="110"/>
    </row>
    <row r="441" customFormat="false" ht="26.1" hidden="false" customHeight="true" outlineLevel="0" collapsed="false">
      <c r="A441" s="97" t="n">
        <v>5</v>
      </c>
      <c r="B441" s="98" t="s">
        <v>139</v>
      </c>
      <c r="C441" s="99" t="s">
        <v>836</v>
      </c>
      <c r="D441" s="100" t="str">
        <f aca="false">B441&amp;"_"&amp;E441</f>
        <v>5.1_1.14.36</v>
      </c>
      <c r="E441" s="101" t="s">
        <v>1077</v>
      </c>
      <c r="F441" s="102" t="s">
        <v>1064</v>
      </c>
      <c r="G441" s="103" t="s">
        <v>112</v>
      </c>
      <c r="H441" s="103" t="s">
        <v>964</v>
      </c>
      <c r="I441" s="103" t="s">
        <v>1065</v>
      </c>
      <c r="J441" s="103" t="s">
        <v>114</v>
      </c>
      <c r="K441" s="103" t="s">
        <v>1078</v>
      </c>
      <c r="L441" s="103" t="s">
        <v>115</v>
      </c>
      <c r="M441" s="103" t="s">
        <v>841</v>
      </c>
      <c r="N441" s="103" t="s">
        <v>115</v>
      </c>
      <c r="O441" s="104" t="s">
        <v>1079</v>
      </c>
      <c r="P441" s="105" t="s">
        <v>27</v>
      </c>
      <c r="Q441" s="106" t="s">
        <v>1080</v>
      </c>
      <c r="R441" s="107" t="s">
        <v>71</v>
      </c>
      <c r="S441" s="108" t="n">
        <v>152</v>
      </c>
      <c r="T441" s="109" t="n">
        <v>227.51</v>
      </c>
      <c r="U441" s="110" t="n">
        <f aca="false">ROUND(T441*$S441,2)</f>
        <v>34581.52</v>
      </c>
      <c r="V441" s="111"/>
      <c r="W441" s="110"/>
      <c r="X441" s="111"/>
      <c r="Y441" s="110"/>
      <c r="Z441" s="108"/>
      <c r="AA441" s="110"/>
    </row>
    <row r="442" customFormat="false" ht="26.1" hidden="false" customHeight="true" outlineLevel="0" collapsed="false">
      <c r="A442" s="97" t="n">
        <v>5</v>
      </c>
      <c r="B442" s="98" t="s">
        <v>139</v>
      </c>
      <c r="C442" s="99" t="s">
        <v>836</v>
      </c>
      <c r="D442" s="100" t="str">
        <f aca="false">B442&amp;"_"&amp;E442</f>
        <v>5.1_1.14.37</v>
      </c>
      <c r="E442" s="101" t="s">
        <v>1081</v>
      </c>
      <c r="F442" s="102" t="s">
        <v>1064</v>
      </c>
      <c r="G442" s="103" t="s">
        <v>112</v>
      </c>
      <c r="H442" s="103" t="s">
        <v>964</v>
      </c>
      <c r="I442" s="103" t="s">
        <v>1065</v>
      </c>
      <c r="J442" s="103" t="s">
        <v>114</v>
      </c>
      <c r="K442" s="103" t="s">
        <v>1082</v>
      </c>
      <c r="L442" s="103" t="s">
        <v>115</v>
      </c>
      <c r="M442" s="103" t="s">
        <v>841</v>
      </c>
      <c r="N442" s="103" t="s">
        <v>115</v>
      </c>
      <c r="O442" s="104" t="s">
        <v>1083</v>
      </c>
      <c r="P442" s="105" t="s">
        <v>27</v>
      </c>
      <c r="Q442" s="106" t="s">
        <v>1084</v>
      </c>
      <c r="R442" s="107" t="s">
        <v>71</v>
      </c>
      <c r="S442" s="108" t="n">
        <v>2</v>
      </c>
      <c r="T442" s="109" t="n">
        <v>982.79</v>
      </c>
      <c r="U442" s="110" t="n">
        <f aca="false">ROUND(T442*$S442,2)</f>
        <v>1965.58</v>
      </c>
      <c r="V442" s="111"/>
      <c r="W442" s="110"/>
      <c r="X442" s="111"/>
      <c r="Y442" s="110"/>
      <c r="Z442" s="108"/>
      <c r="AA442" s="110"/>
    </row>
    <row r="443" customFormat="false" ht="26.1" hidden="false" customHeight="true" outlineLevel="0" collapsed="false">
      <c r="A443" s="97" t="n">
        <v>5</v>
      </c>
      <c r="B443" s="98" t="s">
        <v>139</v>
      </c>
      <c r="C443" s="99" t="s">
        <v>836</v>
      </c>
      <c r="D443" s="100" t="str">
        <f aca="false">B443&amp;"_"&amp;E443</f>
        <v>5.1_1.14.38</v>
      </c>
      <c r="E443" s="101" t="s">
        <v>1085</v>
      </c>
      <c r="F443" s="102" t="s">
        <v>1064</v>
      </c>
      <c r="G443" s="103" t="s">
        <v>112</v>
      </c>
      <c r="H443" s="103" t="s">
        <v>964</v>
      </c>
      <c r="I443" s="103" t="s">
        <v>1065</v>
      </c>
      <c r="J443" s="103" t="s">
        <v>114</v>
      </c>
      <c r="K443" s="103" t="s">
        <v>1086</v>
      </c>
      <c r="L443" s="103" t="s">
        <v>115</v>
      </c>
      <c r="M443" s="103" t="s">
        <v>841</v>
      </c>
      <c r="N443" s="103" t="s">
        <v>115</v>
      </c>
      <c r="O443" s="104" t="s">
        <v>1087</v>
      </c>
      <c r="P443" s="105" t="s">
        <v>27</v>
      </c>
      <c r="Q443" s="106" t="s">
        <v>1088</v>
      </c>
      <c r="R443" s="107" t="s">
        <v>71</v>
      </c>
      <c r="S443" s="108" t="n">
        <v>4</v>
      </c>
      <c r="T443" s="109" t="n">
        <v>1302.59</v>
      </c>
      <c r="U443" s="110" t="n">
        <f aca="false">ROUND(T443*$S443,2)</f>
        <v>5210.36</v>
      </c>
      <c r="V443" s="111"/>
      <c r="W443" s="110"/>
      <c r="X443" s="111"/>
      <c r="Y443" s="110"/>
      <c r="Z443" s="108"/>
      <c r="AA443" s="110"/>
    </row>
    <row r="444" customFormat="false" ht="26.1" hidden="false" customHeight="true" outlineLevel="0" collapsed="false">
      <c r="A444" s="97" t="n">
        <v>5</v>
      </c>
      <c r="B444" s="98" t="s">
        <v>139</v>
      </c>
      <c r="C444" s="99" t="s">
        <v>836</v>
      </c>
      <c r="D444" s="100" t="str">
        <f aca="false">B444&amp;"_"&amp;E444</f>
        <v>5.1_1.14.39</v>
      </c>
      <c r="E444" s="101" t="s">
        <v>1089</v>
      </c>
      <c r="F444" s="102" t="s">
        <v>1064</v>
      </c>
      <c r="G444" s="103" t="s">
        <v>112</v>
      </c>
      <c r="H444" s="103" t="s">
        <v>964</v>
      </c>
      <c r="I444" s="103" t="s">
        <v>1065</v>
      </c>
      <c r="J444" s="103" t="s">
        <v>114</v>
      </c>
      <c r="K444" s="103" t="s">
        <v>1090</v>
      </c>
      <c r="L444" s="103" t="s">
        <v>115</v>
      </c>
      <c r="M444" s="103" t="s">
        <v>841</v>
      </c>
      <c r="N444" s="103" t="s">
        <v>115</v>
      </c>
      <c r="O444" s="104" t="s">
        <v>1091</v>
      </c>
      <c r="P444" s="105" t="s">
        <v>27</v>
      </c>
      <c r="Q444" s="106" t="s">
        <v>1092</v>
      </c>
      <c r="R444" s="107" t="s">
        <v>71</v>
      </c>
      <c r="S444" s="108" t="n">
        <v>90</v>
      </c>
      <c r="T444" s="109" t="n">
        <v>73.26</v>
      </c>
      <c r="U444" s="110" t="n">
        <f aca="false">ROUND(T444*$S444,2)</f>
        <v>6593.4</v>
      </c>
      <c r="V444" s="111"/>
      <c r="W444" s="110"/>
      <c r="X444" s="111"/>
      <c r="Y444" s="110"/>
      <c r="Z444" s="108"/>
      <c r="AA444" s="110"/>
    </row>
    <row r="445" customFormat="false" ht="26.1" hidden="false" customHeight="true" outlineLevel="0" collapsed="false">
      <c r="A445" s="97" t="n">
        <v>5</v>
      </c>
      <c r="B445" s="98" t="s">
        <v>139</v>
      </c>
      <c r="C445" s="99" t="s">
        <v>836</v>
      </c>
      <c r="D445" s="100" t="str">
        <f aca="false">B445&amp;"_"&amp;E445</f>
        <v>5.1_1.14.40</v>
      </c>
      <c r="E445" s="101" t="s">
        <v>1093</v>
      </c>
      <c r="F445" s="102" t="s">
        <v>1094</v>
      </c>
      <c r="G445" s="103" t="s">
        <v>1095</v>
      </c>
      <c r="H445" s="103" t="s">
        <v>113</v>
      </c>
      <c r="I445" s="103" t="s">
        <v>1065</v>
      </c>
      <c r="J445" s="103" t="s">
        <v>782</v>
      </c>
      <c r="K445" s="103" t="s">
        <v>1096</v>
      </c>
      <c r="L445" s="103" t="s">
        <v>115</v>
      </c>
      <c r="M445" s="103" t="s">
        <v>841</v>
      </c>
      <c r="N445" s="103" t="s">
        <v>115</v>
      </c>
      <c r="O445" s="104" t="s">
        <v>1097</v>
      </c>
      <c r="P445" s="105" t="s">
        <v>27</v>
      </c>
      <c r="Q445" s="106" t="s">
        <v>1098</v>
      </c>
      <c r="R445" s="107" t="s">
        <v>71</v>
      </c>
      <c r="S445" s="108" t="n">
        <v>1</v>
      </c>
      <c r="T445" s="109" t="n">
        <v>153.03</v>
      </c>
      <c r="U445" s="110" t="n">
        <f aca="false">ROUND(T445*$S445,2)</f>
        <v>153.03</v>
      </c>
      <c r="V445" s="111"/>
      <c r="W445" s="110"/>
      <c r="X445" s="111"/>
      <c r="Y445" s="110"/>
      <c r="Z445" s="108"/>
      <c r="AA445" s="110"/>
    </row>
    <row r="446" customFormat="false" ht="26.1" hidden="false" customHeight="true" outlineLevel="0" collapsed="false">
      <c r="A446" s="97" t="n">
        <v>5</v>
      </c>
      <c r="B446" s="98" t="s">
        <v>139</v>
      </c>
      <c r="C446" s="99" t="s">
        <v>836</v>
      </c>
      <c r="D446" s="100" t="str">
        <f aca="false">B446&amp;"_"&amp;E446</f>
        <v>5.1_1.14.41</v>
      </c>
      <c r="E446" s="101" t="s">
        <v>1099</v>
      </c>
      <c r="F446" s="102" t="s">
        <v>1094</v>
      </c>
      <c r="G446" s="103" t="s">
        <v>112</v>
      </c>
      <c r="H446" s="103" t="s">
        <v>113</v>
      </c>
      <c r="I446" s="103" t="s">
        <v>1065</v>
      </c>
      <c r="J446" s="103" t="s">
        <v>782</v>
      </c>
      <c r="K446" s="103" t="s">
        <v>1100</v>
      </c>
      <c r="L446" s="103" t="s">
        <v>115</v>
      </c>
      <c r="M446" s="103" t="s">
        <v>841</v>
      </c>
      <c r="N446" s="103" t="s">
        <v>115</v>
      </c>
      <c r="O446" s="104" t="s">
        <v>1101</v>
      </c>
      <c r="P446" s="105" t="s">
        <v>27</v>
      </c>
      <c r="Q446" s="106" t="s">
        <v>1102</v>
      </c>
      <c r="R446" s="107" t="s">
        <v>71</v>
      </c>
      <c r="S446" s="108" t="n">
        <v>1</v>
      </c>
      <c r="T446" s="109" t="n">
        <v>8539.72</v>
      </c>
      <c r="U446" s="110" t="n">
        <f aca="false">ROUND(T446*$S446,2)</f>
        <v>8539.72</v>
      </c>
      <c r="V446" s="111"/>
      <c r="W446" s="110"/>
      <c r="X446" s="111"/>
      <c r="Y446" s="110"/>
      <c r="Z446" s="108"/>
      <c r="AA446" s="110"/>
    </row>
    <row r="447" customFormat="false" ht="26.1" hidden="false" customHeight="true" outlineLevel="0" collapsed="false">
      <c r="A447" s="97" t="n">
        <v>5</v>
      </c>
      <c r="B447" s="98" t="s">
        <v>139</v>
      </c>
      <c r="C447" s="99" t="s">
        <v>836</v>
      </c>
      <c r="D447" s="100" t="str">
        <f aca="false">B447&amp;"_"&amp;E447</f>
        <v>5.1_1.14.42</v>
      </c>
      <c r="E447" s="101" t="s">
        <v>1103</v>
      </c>
      <c r="F447" s="102" t="s">
        <v>1064</v>
      </c>
      <c r="G447" s="103" t="s">
        <v>112</v>
      </c>
      <c r="H447" s="103" t="s">
        <v>113</v>
      </c>
      <c r="I447" s="103" t="s">
        <v>1065</v>
      </c>
      <c r="J447" s="103" t="s">
        <v>114</v>
      </c>
      <c r="K447" s="103" t="s">
        <v>1104</v>
      </c>
      <c r="L447" s="103" t="s">
        <v>115</v>
      </c>
      <c r="M447" s="103" t="s">
        <v>841</v>
      </c>
      <c r="N447" s="103" t="s">
        <v>115</v>
      </c>
      <c r="O447" s="104" t="s">
        <v>1105</v>
      </c>
      <c r="P447" s="105" t="s">
        <v>27</v>
      </c>
      <c r="Q447" s="106" t="s">
        <v>1106</v>
      </c>
      <c r="R447" s="107" t="s">
        <v>71</v>
      </c>
      <c r="S447" s="108" t="n">
        <v>51</v>
      </c>
      <c r="T447" s="109" t="n">
        <v>506.6</v>
      </c>
      <c r="U447" s="110" t="n">
        <f aca="false">ROUND(T447*$S447,2)</f>
        <v>25836.6</v>
      </c>
      <c r="V447" s="111"/>
      <c r="W447" s="110"/>
      <c r="X447" s="111"/>
      <c r="Y447" s="110"/>
      <c r="Z447" s="108"/>
      <c r="AA447" s="110"/>
    </row>
    <row r="448" customFormat="false" ht="26.1" hidden="false" customHeight="true" outlineLevel="0" collapsed="false">
      <c r="A448" s="97" t="n">
        <v>5</v>
      </c>
      <c r="B448" s="98" t="s">
        <v>139</v>
      </c>
      <c r="C448" s="99" t="s">
        <v>836</v>
      </c>
      <c r="D448" s="100" t="str">
        <f aca="false">B448&amp;"_"&amp;E448</f>
        <v>5.1_1.14.43</v>
      </c>
      <c r="E448" s="101" t="s">
        <v>1107</v>
      </c>
      <c r="F448" s="102" t="s">
        <v>1064</v>
      </c>
      <c r="G448" s="103" t="s">
        <v>112</v>
      </c>
      <c r="H448" s="103" t="s">
        <v>113</v>
      </c>
      <c r="I448" s="103" t="s">
        <v>1065</v>
      </c>
      <c r="J448" s="103" t="s">
        <v>114</v>
      </c>
      <c r="K448" s="103" t="s">
        <v>1108</v>
      </c>
      <c r="L448" s="103" t="s">
        <v>115</v>
      </c>
      <c r="M448" s="103" t="s">
        <v>841</v>
      </c>
      <c r="N448" s="103" t="s">
        <v>115</v>
      </c>
      <c r="O448" s="104" t="s">
        <v>1109</v>
      </c>
      <c r="P448" s="105" t="s">
        <v>27</v>
      </c>
      <c r="Q448" s="106" t="s">
        <v>1110</v>
      </c>
      <c r="R448" s="107" t="s">
        <v>71</v>
      </c>
      <c r="S448" s="108" t="n">
        <v>6</v>
      </c>
      <c r="T448" s="109" t="n">
        <v>801.07</v>
      </c>
      <c r="U448" s="110" t="n">
        <f aca="false">ROUND(T448*$S448,2)</f>
        <v>4806.42</v>
      </c>
      <c r="V448" s="111"/>
      <c r="W448" s="110"/>
      <c r="X448" s="111"/>
      <c r="Y448" s="110"/>
      <c r="Z448" s="108"/>
      <c r="AA448" s="110"/>
    </row>
    <row r="449" customFormat="false" ht="26.1" hidden="false" customHeight="true" outlineLevel="0" collapsed="false">
      <c r="A449" s="97" t="n">
        <v>5</v>
      </c>
      <c r="B449" s="98" t="s">
        <v>139</v>
      </c>
      <c r="C449" s="99" t="s">
        <v>836</v>
      </c>
      <c r="D449" s="100" t="str">
        <f aca="false">B449&amp;"_"&amp;E449</f>
        <v>5.1_1.14.44</v>
      </c>
      <c r="E449" s="101" t="s">
        <v>1111</v>
      </c>
      <c r="F449" s="102" t="s">
        <v>1064</v>
      </c>
      <c r="G449" s="103" t="s">
        <v>112</v>
      </c>
      <c r="H449" s="103" t="s">
        <v>113</v>
      </c>
      <c r="I449" s="103" t="s">
        <v>1065</v>
      </c>
      <c r="J449" s="103" t="s">
        <v>114</v>
      </c>
      <c r="K449" s="103" t="s">
        <v>1112</v>
      </c>
      <c r="L449" s="103" t="s">
        <v>115</v>
      </c>
      <c r="M449" s="103" t="s">
        <v>841</v>
      </c>
      <c r="N449" s="103" t="s">
        <v>115</v>
      </c>
      <c r="O449" s="104" t="s">
        <v>1113</v>
      </c>
      <c r="P449" s="105" t="s">
        <v>27</v>
      </c>
      <c r="Q449" s="106" t="s">
        <v>1114</v>
      </c>
      <c r="R449" s="107" t="s">
        <v>71</v>
      </c>
      <c r="S449" s="108" t="n">
        <v>2</v>
      </c>
      <c r="T449" s="109" t="n">
        <v>897.11</v>
      </c>
      <c r="U449" s="110" t="n">
        <f aca="false">ROUND(T449*$S449,2)</f>
        <v>1794.22</v>
      </c>
      <c r="V449" s="111"/>
      <c r="W449" s="110"/>
      <c r="X449" s="111"/>
      <c r="Y449" s="110"/>
      <c r="Z449" s="108"/>
      <c r="AA449" s="110"/>
    </row>
    <row r="450" customFormat="false" ht="26.1" hidden="false" customHeight="true" outlineLevel="0" collapsed="false">
      <c r="A450" s="97" t="n">
        <v>5</v>
      </c>
      <c r="B450" s="98" t="s">
        <v>139</v>
      </c>
      <c r="C450" s="99" t="s">
        <v>836</v>
      </c>
      <c r="D450" s="100" t="str">
        <f aca="false">B450&amp;"_"&amp;E450</f>
        <v>5.1_1.14.45</v>
      </c>
      <c r="E450" s="101" t="s">
        <v>1115</v>
      </c>
      <c r="F450" s="102" t="s">
        <v>1064</v>
      </c>
      <c r="G450" s="103" t="s">
        <v>112</v>
      </c>
      <c r="H450" s="103" t="s">
        <v>113</v>
      </c>
      <c r="I450" s="103" t="s">
        <v>1065</v>
      </c>
      <c r="J450" s="103" t="s">
        <v>114</v>
      </c>
      <c r="K450" s="103" t="s">
        <v>1116</v>
      </c>
      <c r="L450" s="103" t="s">
        <v>115</v>
      </c>
      <c r="M450" s="103" t="s">
        <v>841</v>
      </c>
      <c r="N450" s="103" t="s">
        <v>115</v>
      </c>
      <c r="O450" s="104" t="s">
        <v>1117</v>
      </c>
      <c r="P450" s="105" t="s">
        <v>27</v>
      </c>
      <c r="Q450" s="106" t="s">
        <v>1118</v>
      </c>
      <c r="R450" s="107" t="s">
        <v>71</v>
      </c>
      <c r="S450" s="108" t="n">
        <v>1</v>
      </c>
      <c r="T450" s="109" t="n">
        <v>748.14</v>
      </c>
      <c r="U450" s="110" t="n">
        <f aca="false">ROUND(T450*$S450,2)</f>
        <v>748.14</v>
      </c>
      <c r="V450" s="111"/>
      <c r="W450" s="110"/>
      <c r="X450" s="111"/>
      <c r="Y450" s="110"/>
      <c r="Z450" s="108"/>
      <c r="AA450" s="110"/>
    </row>
    <row r="451" customFormat="false" ht="26.1" hidden="false" customHeight="true" outlineLevel="0" collapsed="false">
      <c r="A451" s="97" t="n">
        <v>5</v>
      </c>
      <c r="B451" s="98" t="s">
        <v>139</v>
      </c>
      <c r="C451" s="99" t="s">
        <v>836</v>
      </c>
      <c r="D451" s="100" t="str">
        <f aca="false">B451&amp;"_"&amp;E451</f>
        <v>5.1_1.14.46</v>
      </c>
      <c r="E451" s="101" t="s">
        <v>1119</v>
      </c>
      <c r="F451" s="102" t="s">
        <v>1064</v>
      </c>
      <c r="G451" s="103" t="s">
        <v>112</v>
      </c>
      <c r="H451" s="103" t="s">
        <v>113</v>
      </c>
      <c r="I451" s="103" t="s">
        <v>1065</v>
      </c>
      <c r="J451" s="103" t="s">
        <v>114</v>
      </c>
      <c r="K451" s="103" t="s">
        <v>1120</v>
      </c>
      <c r="L451" s="103" t="s">
        <v>115</v>
      </c>
      <c r="M451" s="103" t="s">
        <v>841</v>
      </c>
      <c r="N451" s="103" t="s">
        <v>115</v>
      </c>
      <c r="O451" s="104" t="s">
        <v>1121</v>
      </c>
      <c r="P451" s="105" t="s">
        <v>27</v>
      </c>
      <c r="Q451" s="106" t="s">
        <v>1122</v>
      </c>
      <c r="R451" s="107" t="s">
        <v>71</v>
      </c>
      <c r="S451" s="108" t="n">
        <v>2</v>
      </c>
      <c r="T451" s="109" t="n">
        <v>3246.84</v>
      </c>
      <c r="U451" s="110" t="n">
        <f aca="false">ROUND(T451*$S451,2)</f>
        <v>6493.68</v>
      </c>
      <c r="V451" s="111"/>
      <c r="W451" s="110"/>
      <c r="X451" s="111"/>
      <c r="Y451" s="110"/>
      <c r="Z451" s="108"/>
      <c r="AA451" s="110"/>
    </row>
    <row r="452" customFormat="false" ht="26.1" hidden="false" customHeight="true" outlineLevel="0" collapsed="false">
      <c r="A452" s="97" t="n">
        <v>5</v>
      </c>
      <c r="B452" s="98" t="s">
        <v>139</v>
      </c>
      <c r="C452" s="99" t="s">
        <v>836</v>
      </c>
      <c r="D452" s="100" t="str">
        <f aca="false">B452&amp;"_"&amp;E452</f>
        <v>5.1_1.14.47</v>
      </c>
      <c r="E452" s="101" t="s">
        <v>1123</v>
      </c>
      <c r="F452" s="102" t="s">
        <v>1064</v>
      </c>
      <c r="G452" s="103" t="s">
        <v>112</v>
      </c>
      <c r="H452" s="103" t="s">
        <v>113</v>
      </c>
      <c r="I452" s="103" t="s">
        <v>1065</v>
      </c>
      <c r="J452" s="103" t="s">
        <v>114</v>
      </c>
      <c r="K452" s="103" t="s">
        <v>1124</v>
      </c>
      <c r="L452" s="103" t="s">
        <v>115</v>
      </c>
      <c r="M452" s="103" t="s">
        <v>841</v>
      </c>
      <c r="N452" s="103" t="s">
        <v>115</v>
      </c>
      <c r="O452" s="104" t="s">
        <v>1125</v>
      </c>
      <c r="P452" s="105" t="s">
        <v>27</v>
      </c>
      <c r="Q452" s="106" t="s">
        <v>1126</v>
      </c>
      <c r="R452" s="107" t="s">
        <v>71</v>
      </c>
      <c r="S452" s="108" t="n">
        <v>2</v>
      </c>
      <c r="T452" s="109" t="n">
        <v>2767.87</v>
      </c>
      <c r="U452" s="110" t="n">
        <f aca="false">ROUND(T452*$S452,2)</f>
        <v>5535.74</v>
      </c>
      <c r="V452" s="111"/>
      <c r="W452" s="110"/>
      <c r="X452" s="111"/>
      <c r="Y452" s="110"/>
      <c r="Z452" s="108"/>
      <c r="AA452" s="110"/>
    </row>
    <row r="453" customFormat="false" ht="26.1" hidden="false" customHeight="true" outlineLevel="0" collapsed="false">
      <c r="A453" s="97" t="n">
        <v>5</v>
      </c>
      <c r="B453" s="98" t="s">
        <v>139</v>
      </c>
      <c r="C453" s="99" t="s">
        <v>836</v>
      </c>
      <c r="D453" s="100" t="str">
        <f aca="false">B453&amp;"_"&amp;E453</f>
        <v>5.1_1.14.48</v>
      </c>
      <c r="E453" s="101" t="s">
        <v>1127</v>
      </c>
      <c r="F453" s="102" t="s">
        <v>1064</v>
      </c>
      <c r="G453" s="103" t="s">
        <v>112</v>
      </c>
      <c r="H453" s="103" t="s">
        <v>113</v>
      </c>
      <c r="I453" s="103" t="s">
        <v>1065</v>
      </c>
      <c r="J453" s="103" t="s">
        <v>114</v>
      </c>
      <c r="K453" s="103" t="s">
        <v>1128</v>
      </c>
      <c r="L453" s="103" t="s">
        <v>115</v>
      </c>
      <c r="M453" s="103" t="s">
        <v>841</v>
      </c>
      <c r="N453" s="103" t="s">
        <v>115</v>
      </c>
      <c r="O453" s="104" t="s">
        <v>1129</v>
      </c>
      <c r="P453" s="105" t="s">
        <v>27</v>
      </c>
      <c r="Q453" s="106" t="s">
        <v>1130</v>
      </c>
      <c r="R453" s="107" t="s">
        <v>71</v>
      </c>
      <c r="S453" s="108" t="n">
        <v>1</v>
      </c>
      <c r="T453" s="109" t="n">
        <v>3980.49</v>
      </c>
      <c r="U453" s="110" t="n">
        <f aca="false">ROUND(T453*$S453,2)</f>
        <v>3980.49</v>
      </c>
      <c r="V453" s="111"/>
      <c r="W453" s="110"/>
      <c r="X453" s="111"/>
      <c r="Y453" s="110"/>
      <c r="Z453" s="108"/>
      <c r="AA453" s="110"/>
    </row>
    <row r="454" customFormat="false" ht="26.1" hidden="false" customHeight="true" outlineLevel="0" collapsed="false">
      <c r="A454" s="97" t="n">
        <v>5</v>
      </c>
      <c r="B454" s="98" t="s">
        <v>139</v>
      </c>
      <c r="C454" s="99" t="s">
        <v>836</v>
      </c>
      <c r="D454" s="100" t="str">
        <f aca="false">B454&amp;"_"&amp;E454</f>
        <v>5.1_1.14.49</v>
      </c>
      <c r="E454" s="101" t="s">
        <v>1131</v>
      </c>
      <c r="F454" s="102" t="s">
        <v>1064</v>
      </c>
      <c r="G454" s="103" t="s">
        <v>112</v>
      </c>
      <c r="H454" s="103" t="s">
        <v>113</v>
      </c>
      <c r="I454" s="103" t="s">
        <v>1065</v>
      </c>
      <c r="J454" s="103" t="s">
        <v>114</v>
      </c>
      <c r="K454" s="103" t="s">
        <v>1132</v>
      </c>
      <c r="L454" s="103" t="s">
        <v>115</v>
      </c>
      <c r="M454" s="103" t="s">
        <v>841</v>
      </c>
      <c r="N454" s="103" t="s">
        <v>115</v>
      </c>
      <c r="O454" s="104" t="s">
        <v>1133</v>
      </c>
      <c r="P454" s="105" t="s">
        <v>27</v>
      </c>
      <c r="Q454" s="106" t="s">
        <v>1134</v>
      </c>
      <c r="R454" s="107" t="s">
        <v>71</v>
      </c>
      <c r="S454" s="108" t="n">
        <v>6</v>
      </c>
      <c r="T454" s="109" t="n">
        <v>496.22</v>
      </c>
      <c r="U454" s="110" t="n">
        <f aca="false">ROUND(T454*$S454,2)</f>
        <v>2977.32</v>
      </c>
      <c r="V454" s="111"/>
      <c r="W454" s="110"/>
      <c r="X454" s="111"/>
      <c r="Y454" s="110"/>
      <c r="Z454" s="108"/>
      <c r="AA454" s="110"/>
    </row>
    <row r="455" customFormat="false" ht="26.1" hidden="false" customHeight="true" outlineLevel="0" collapsed="false">
      <c r="A455" s="97" t="n">
        <v>5</v>
      </c>
      <c r="B455" s="98" t="s">
        <v>139</v>
      </c>
      <c r="C455" s="99" t="s">
        <v>836</v>
      </c>
      <c r="D455" s="100" t="str">
        <f aca="false">B455&amp;"_"&amp;E455</f>
        <v>5.1_1.14.50</v>
      </c>
      <c r="E455" s="101" t="s">
        <v>1135</v>
      </c>
      <c r="F455" s="102" t="s">
        <v>1064</v>
      </c>
      <c r="G455" s="103" t="s">
        <v>112</v>
      </c>
      <c r="H455" s="103" t="s">
        <v>113</v>
      </c>
      <c r="I455" s="103" t="s">
        <v>1065</v>
      </c>
      <c r="J455" s="103" t="s">
        <v>114</v>
      </c>
      <c r="K455" s="103" t="s">
        <v>1136</v>
      </c>
      <c r="L455" s="103" t="s">
        <v>115</v>
      </c>
      <c r="M455" s="103" t="s">
        <v>841</v>
      </c>
      <c r="N455" s="103" t="s">
        <v>115</v>
      </c>
      <c r="O455" s="104" t="s">
        <v>1137</v>
      </c>
      <c r="P455" s="105" t="s">
        <v>27</v>
      </c>
      <c r="Q455" s="106" t="s">
        <v>1138</v>
      </c>
      <c r="R455" s="107" t="s">
        <v>71</v>
      </c>
      <c r="S455" s="108" t="n">
        <v>2</v>
      </c>
      <c r="T455" s="109" t="n">
        <v>637.5</v>
      </c>
      <c r="U455" s="110" t="n">
        <f aca="false">ROUND(T455*$S455,2)</f>
        <v>1275</v>
      </c>
      <c r="V455" s="111"/>
      <c r="W455" s="110"/>
      <c r="X455" s="111"/>
      <c r="Y455" s="110"/>
      <c r="Z455" s="108"/>
      <c r="AA455" s="110"/>
    </row>
    <row r="456" customFormat="false" ht="26.1" hidden="false" customHeight="true" outlineLevel="0" collapsed="false">
      <c r="A456" s="97" t="n">
        <v>5</v>
      </c>
      <c r="B456" s="98" t="s">
        <v>139</v>
      </c>
      <c r="C456" s="99" t="s">
        <v>836</v>
      </c>
      <c r="D456" s="100" t="str">
        <f aca="false">B456&amp;"_"&amp;E456</f>
        <v>5.1_1.14.51</v>
      </c>
      <c r="E456" s="101" t="s">
        <v>1139</v>
      </c>
      <c r="F456" s="102" t="s">
        <v>1064</v>
      </c>
      <c r="G456" s="103" t="s">
        <v>112</v>
      </c>
      <c r="H456" s="103" t="s">
        <v>113</v>
      </c>
      <c r="I456" s="103" t="s">
        <v>1065</v>
      </c>
      <c r="J456" s="103" t="s">
        <v>114</v>
      </c>
      <c r="K456" s="103" t="s">
        <v>1140</v>
      </c>
      <c r="L456" s="103" t="s">
        <v>115</v>
      </c>
      <c r="M456" s="103" t="s">
        <v>841</v>
      </c>
      <c r="N456" s="103" t="s">
        <v>115</v>
      </c>
      <c r="O456" s="104" t="s">
        <v>1141</v>
      </c>
      <c r="P456" s="105" t="s">
        <v>27</v>
      </c>
      <c r="Q456" s="106" t="s">
        <v>1142</v>
      </c>
      <c r="R456" s="107" t="s">
        <v>71</v>
      </c>
      <c r="S456" s="108" t="n">
        <v>2</v>
      </c>
      <c r="T456" s="109" t="n">
        <v>7577.95</v>
      </c>
      <c r="U456" s="110" t="n">
        <f aca="false">ROUND(T456*$S456,2)</f>
        <v>15155.9</v>
      </c>
      <c r="V456" s="111"/>
      <c r="W456" s="110"/>
      <c r="X456" s="111"/>
      <c r="Y456" s="110"/>
      <c r="Z456" s="108"/>
      <c r="AA456" s="110"/>
    </row>
    <row r="457" customFormat="false" ht="26.1" hidden="false" customHeight="true" outlineLevel="0" collapsed="false">
      <c r="A457" s="97" t="n">
        <v>5</v>
      </c>
      <c r="B457" s="98" t="s">
        <v>139</v>
      </c>
      <c r="C457" s="99" t="s">
        <v>836</v>
      </c>
      <c r="D457" s="100" t="str">
        <f aca="false">B457&amp;"_"&amp;E457</f>
        <v>5.1_1.14.52</v>
      </c>
      <c r="E457" s="101" t="s">
        <v>1143</v>
      </c>
      <c r="F457" s="102" t="s">
        <v>1064</v>
      </c>
      <c r="G457" s="103" t="s">
        <v>1095</v>
      </c>
      <c r="H457" s="103" t="s">
        <v>113</v>
      </c>
      <c r="I457" s="103" t="s">
        <v>1065</v>
      </c>
      <c r="J457" s="103" t="s">
        <v>114</v>
      </c>
      <c r="K457" s="103" t="s">
        <v>1144</v>
      </c>
      <c r="L457" s="103" t="s">
        <v>115</v>
      </c>
      <c r="M457" s="103" t="s">
        <v>841</v>
      </c>
      <c r="N457" s="103" t="s">
        <v>115</v>
      </c>
      <c r="O457" s="104" t="s">
        <v>1145</v>
      </c>
      <c r="P457" s="105" t="s">
        <v>27</v>
      </c>
      <c r="Q457" s="106" t="s">
        <v>1146</v>
      </c>
      <c r="R457" s="107" t="s">
        <v>71</v>
      </c>
      <c r="S457" s="108" t="n">
        <v>14</v>
      </c>
      <c r="T457" s="109" t="n">
        <v>148.36</v>
      </c>
      <c r="U457" s="110" t="n">
        <f aca="false">ROUND(T457*$S457,2)</f>
        <v>2077.04</v>
      </c>
      <c r="V457" s="111"/>
      <c r="W457" s="110"/>
      <c r="X457" s="111"/>
      <c r="Y457" s="110"/>
      <c r="Z457" s="108"/>
      <c r="AA457" s="110"/>
    </row>
    <row r="458" customFormat="false" ht="26.1" hidden="false" customHeight="true" outlineLevel="0" collapsed="false">
      <c r="A458" s="97" t="n">
        <v>5</v>
      </c>
      <c r="B458" s="98" t="s">
        <v>139</v>
      </c>
      <c r="C458" s="99" t="s">
        <v>836</v>
      </c>
      <c r="D458" s="100" t="str">
        <f aca="false">B458&amp;"_"&amp;E458</f>
        <v>5.1_1.14.53</v>
      </c>
      <c r="E458" s="101" t="s">
        <v>1147</v>
      </c>
      <c r="F458" s="102" t="s">
        <v>1148</v>
      </c>
      <c r="G458" s="103" t="s">
        <v>112</v>
      </c>
      <c r="H458" s="103" t="s">
        <v>113</v>
      </c>
      <c r="I458" s="103" t="s">
        <v>1149</v>
      </c>
      <c r="J458" s="103" t="s">
        <v>782</v>
      </c>
      <c r="K458" s="103" t="n">
        <v>63</v>
      </c>
      <c r="L458" s="103" t="s">
        <v>115</v>
      </c>
      <c r="M458" s="103" t="s">
        <v>841</v>
      </c>
      <c r="N458" s="103" t="s">
        <v>115</v>
      </c>
      <c r="O458" s="104" t="s">
        <v>1150</v>
      </c>
      <c r="P458" s="105" t="s">
        <v>27</v>
      </c>
      <c r="Q458" s="106" t="s">
        <v>1151</v>
      </c>
      <c r="R458" s="107" t="s">
        <v>71</v>
      </c>
      <c r="S458" s="108" t="n">
        <v>488</v>
      </c>
      <c r="T458" s="109" t="n">
        <v>94.97</v>
      </c>
      <c r="U458" s="110" t="n">
        <f aca="false">ROUND(T458*$S458,2)</f>
        <v>46345.36</v>
      </c>
      <c r="V458" s="111"/>
      <c r="W458" s="110"/>
      <c r="X458" s="111"/>
      <c r="Y458" s="110"/>
      <c r="Z458" s="108"/>
      <c r="AA458" s="110"/>
    </row>
    <row r="459" customFormat="false" ht="26.1" hidden="false" customHeight="true" outlineLevel="0" collapsed="false">
      <c r="A459" s="97" t="n">
        <v>5</v>
      </c>
      <c r="B459" s="98" t="s">
        <v>139</v>
      </c>
      <c r="C459" s="99" t="s">
        <v>836</v>
      </c>
      <c r="D459" s="100" t="str">
        <f aca="false">B459&amp;"_"&amp;E459</f>
        <v>5.1_1.14.54</v>
      </c>
      <c r="E459" s="101" t="s">
        <v>1152</v>
      </c>
      <c r="F459" s="102" t="s">
        <v>1148</v>
      </c>
      <c r="G459" s="103" t="s">
        <v>112</v>
      </c>
      <c r="H459" s="103" t="s">
        <v>113</v>
      </c>
      <c r="I459" s="103" t="s">
        <v>1149</v>
      </c>
      <c r="J459" s="103" t="s">
        <v>782</v>
      </c>
      <c r="K459" s="103" t="n">
        <v>90</v>
      </c>
      <c r="L459" s="103" t="s">
        <v>115</v>
      </c>
      <c r="M459" s="103" t="s">
        <v>841</v>
      </c>
      <c r="N459" s="103" t="s">
        <v>115</v>
      </c>
      <c r="O459" s="104" t="s">
        <v>1153</v>
      </c>
      <c r="P459" s="105" t="s">
        <v>27</v>
      </c>
      <c r="Q459" s="106" t="s">
        <v>1154</v>
      </c>
      <c r="R459" s="107" t="s">
        <v>71</v>
      </c>
      <c r="S459" s="108" t="n">
        <v>54</v>
      </c>
      <c r="T459" s="109" t="n">
        <v>176.07</v>
      </c>
      <c r="U459" s="110" t="n">
        <f aca="false">ROUND(T459*$S459,2)</f>
        <v>9507.78</v>
      </c>
      <c r="V459" s="111"/>
      <c r="W459" s="110"/>
      <c r="X459" s="111"/>
      <c r="Y459" s="110"/>
      <c r="Z459" s="108"/>
      <c r="AA459" s="110"/>
    </row>
    <row r="460" customFormat="false" ht="26.1" hidden="false" customHeight="true" outlineLevel="0" collapsed="false">
      <c r="A460" s="97" t="n">
        <v>5</v>
      </c>
      <c r="B460" s="98" t="s">
        <v>139</v>
      </c>
      <c r="C460" s="99" t="s">
        <v>836</v>
      </c>
      <c r="D460" s="100" t="str">
        <f aca="false">B460&amp;"_"&amp;E460</f>
        <v>5.1_1.14.55</v>
      </c>
      <c r="E460" s="101" t="s">
        <v>1155</v>
      </c>
      <c r="F460" s="102" t="s">
        <v>1148</v>
      </c>
      <c r="G460" s="103" t="s">
        <v>1095</v>
      </c>
      <c r="H460" s="103" t="s">
        <v>113</v>
      </c>
      <c r="I460" s="103" t="s">
        <v>1149</v>
      </c>
      <c r="J460" s="103" t="s">
        <v>782</v>
      </c>
      <c r="K460" s="103" t="n">
        <v>110</v>
      </c>
      <c r="L460" s="103" t="s">
        <v>115</v>
      </c>
      <c r="M460" s="103" t="s">
        <v>841</v>
      </c>
      <c r="N460" s="103" t="s">
        <v>115</v>
      </c>
      <c r="O460" s="104" t="s">
        <v>1156</v>
      </c>
      <c r="P460" s="105" t="s">
        <v>27</v>
      </c>
      <c r="Q460" s="106" t="s">
        <v>1157</v>
      </c>
      <c r="R460" s="107" t="s">
        <v>71</v>
      </c>
      <c r="S460" s="108" t="n">
        <v>90</v>
      </c>
      <c r="T460" s="109" t="n">
        <v>278.35</v>
      </c>
      <c r="U460" s="110" t="n">
        <f aca="false">ROUND(T460*$S460,2)</f>
        <v>25051.5</v>
      </c>
      <c r="V460" s="111"/>
      <c r="W460" s="110"/>
      <c r="X460" s="111"/>
      <c r="Y460" s="110"/>
      <c r="Z460" s="108"/>
      <c r="AA460" s="110"/>
    </row>
    <row r="461" customFormat="false" ht="26.1" hidden="false" customHeight="true" outlineLevel="0" collapsed="false">
      <c r="A461" s="97" t="n">
        <v>5</v>
      </c>
      <c r="B461" s="98" t="s">
        <v>139</v>
      </c>
      <c r="C461" s="99" t="s">
        <v>836</v>
      </c>
      <c r="D461" s="100" t="str">
        <f aca="false">B461&amp;"_"&amp;E461</f>
        <v>5.1_1.14.56</v>
      </c>
      <c r="E461" s="101" t="s">
        <v>1158</v>
      </c>
      <c r="F461" s="102" t="s">
        <v>1148</v>
      </c>
      <c r="G461" s="103" t="s">
        <v>1095</v>
      </c>
      <c r="H461" s="103" t="s">
        <v>113</v>
      </c>
      <c r="I461" s="103" t="s">
        <v>1149</v>
      </c>
      <c r="J461" s="103" t="s">
        <v>782</v>
      </c>
      <c r="K461" s="103" t="n">
        <v>125</v>
      </c>
      <c r="L461" s="103" t="s">
        <v>115</v>
      </c>
      <c r="M461" s="103" t="s">
        <v>841</v>
      </c>
      <c r="N461" s="103" t="s">
        <v>115</v>
      </c>
      <c r="O461" s="104" t="s">
        <v>1159</v>
      </c>
      <c r="P461" s="105" t="s">
        <v>27</v>
      </c>
      <c r="Q461" s="106" t="s">
        <v>1160</v>
      </c>
      <c r="R461" s="107" t="s">
        <v>71</v>
      </c>
      <c r="S461" s="108" t="n">
        <v>12</v>
      </c>
      <c r="T461" s="109" t="n">
        <v>300</v>
      </c>
      <c r="U461" s="110" t="n">
        <f aca="false">ROUND(T461*$S461,2)</f>
        <v>3600</v>
      </c>
      <c r="V461" s="111"/>
      <c r="W461" s="110"/>
      <c r="X461" s="111"/>
      <c r="Y461" s="110"/>
      <c r="Z461" s="108"/>
      <c r="AA461" s="110"/>
    </row>
    <row r="462" customFormat="false" ht="26.1" hidden="false" customHeight="true" outlineLevel="0" collapsed="false">
      <c r="A462" s="97" t="n">
        <v>5</v>
      </c>
      <c r="B462" s="98" t="s">
        <v>139</v>
      </c>
      <c r="C462" s="99" t="s">
        <v>836</v>
      </c>
      <c r="D462" s="100" t="str">
        <f aca="false">B462&amp;"_"&amp;E462</f>
        <v>5.1_1.14.57</v>
      </c>
      <c r="E462" s="101" t="s">
        <v>1161</v>
      </c>
      <c r="F462" s="102" t="s">
        <v>1162</v>
      </c>
      <c r="G462" s="103" t="s">
        <v>1095</v>
      </c>
      <c r="H462" s="103" t="s">
        <v>113</v>
      </c>
      <c r="I462" s="103" t="s">
        <v>1149</v>
      </c>
      <c r="J462" s="103" t="s">
        <v>114</v>
      </c>
      <c r="K462" s="103" t="n">
        <v>90</v>
      </c>
      <c r="L462" s="103" t="s">
        <v>115</v>
      </c>
      <c r="M462" s="103" t="s">
        <v>841</v>
      </c>
      <c r="N462" s="103" t="s">
        <v>115</v>
      </c>
      <c r="O462" s="104" t="s">
        <v>1163</v>
      </c>
      <c r="P462" s="105" t="s">
        <v>27</v>
      </c>
      <c r="Q462" s="106" t="s">
        <v>1164</v>
      </c>
      <c r="R462" s="107" t="s">
        <v>1165</v>
      </c>
      <c r="S462" s="108" t="n">
        <v>12</v>
      </c>
      <c r="T462" s="109" t="n">
        <v>197.62</v>
      </c>
      <c r="U462" s="110" t="n">
        <f aca="false">ROUND(T462*$S462,2)</f>
        <v>2371.44</v>
      </c>
      <c r="V462" s="111"/>
      <c r="W462" s="110"/>
      <c r="X462" s="111"/>
      <c r="Y462" s="110"/>
      <c r="Z462" s="108"/>
      <c r="AA462" s="110"/>
    </row>
    <row r="463" customFormat="false" ht="26.1" hidden="false" customHeight="true" outlineLevel="0" collapsed="false">
      <c r="A463" s="97" t="n">
        <v>5</v>
      </c>
      <c r="B463" s="98" t="s">
        <v>139</v>
      </c>
      <c r="C463" s="99" t="s">
        <v>836</v>
      </c>
      <c r="D463" s="100" t="str">
        <f aca="false">B463&amp;"_"&amp;E463</f>
        <v>5.1_1.14.58</v>
      </c>
      <c r="E463" s="101" t="s">
        <v>1166</v>
      </c>
      <c r="F463" s="102" t="s">
        <v>1162</v>
      </c>
      <c r="G463" s="103" t="s">
        <v>112</v>
      </c>
      <c r="H463" s="103" t="s">
        <v>113</v>
      </c>
      <c r="I463" s="103" t="s">
        <v>1149</v>
      </c>
      <c r="J463" s="103" t="s">
        <v>114</v>
      </c>
      <c r="K463" s="103" t="n">
        <v>225</v>
      </c>
      <c r="L463" s="103" t="s">
        <v>115</v>
      </c>
      <c r="M463" s="103" t="s">
        <v>841</v>
      </c>
      <c r="N463" s="103" t="s">
        <v>115</v>
      </c>
      <c r="O463" s="104" t="s">
        <v>1167</v>
      </c>
      <c r="P463" s="105" t="s">
        <v>27</v>
      </c>
      <c r="Q463" s="106" t="s">
        <v>1168</v>
      </c>
      <c r="R463" s="107" t="s">
        <v>71</v>
      </c>
      <c r="S463" s="108" t="n">
        <v>44</v>
      </c>
      <c r="T463" s="109" t="n">
        <v>1065.68</v>
      </c>
      <c r="U463" s="110" t="n">
        <f aca="false">ROUND(T463*$S463,2)</f>
        <v>46889.92</v>
      </c>
      <c r="V463" s="111"/>
      <c r="W463" s="110"/>
      <c r="X463" s="111"/>
      <c r="Y463" s="110"/>
      <c r="Z463" s="108"/>
      <c r="AA463" s="110"/>
    </row>
    <row r="464" customFormat="false" ht="26.1" hidden="false" customHeight="true" outlineLevel="0" collapsed="false">
      <c r="A464" s="97" t="n">
        <v>5</v>
      </c>
      <c r="B464" s="98" t="s">
        <v>139</v>
      </c>
      <c r="C464" s="99" t="s">
        <v>836</v>
      </c>
      <c r="D464" s="100" t="str">
        <f aca="false">B464&amp;"_"&amp;E464</f>
        <v>5.1_1.14.59</v>
      </c>
      <c r="E464" s="101" t="s">
        <v>1169</v>
      </c>
      <c r="F464" s="102" t="s">
        <v>1162</v>
      </c>
      <c r="G464" s="103" t="s">
        <v>112</v>
      </c>
      <c r="H464" s="103" t="s">
        <v>113</v>
      </c>
      <c r="I464" s="103" t="s">
        <v>1149</v>
      </c>
      <c r="J464" s="103" t="s">
        <v>114</v>
      </c>
      <c r="K464" s="103" t="n">
        <v>250</v>
      </c>
      <c r="L464" s="103" t="s">
        <v>115</v>
      </c>
      <c r="M464" s="103" t="s">
        <v>841</v>
      </c>
      <c r="N464" s="103" t="s">
        <v>115</v>
      </c>
      <c r="O464" s="104" t="s">
        <v>1170</v>
      </c>
      <c r="P464" s="105" t="s">
        <v>27</v>
      </c>
      <c r="Q464" s="106" t="s">
        <v>1171</v>
      </c>
      <c r="R464" s="107" t="s">
        <v>71</v>
      </c>
      <c r="S464" s="108" t="n">
        <v>4</v>
      </c>
      <c r="T464" s="109" t="n">
        <v>1375.07</v>
      </c>
      <c r="U464" s="110" t="n">
        <f aca="false">ROUND(T464*$S464,2)</f>
        <v>5500.28</v>
      </c>
      <c r="V464" s="111"/>
      <c r="W464" s="110"/>
      <c r="X464" s="111"/>
      <c r="Y464" s="110"/>
      <c r="Z464" s="108"/>
      <c r="AA464" s="110"/>
    </row>
    <row r="465" customFormat="false" ht="26.1" hidden="false" customHeight="true" outlineLevel="0" collapsed="false">
      <c r="A465" s="97" t="n">
        <v>5</v>
      </c>
      <c r="B465" s="98" t="s">
        <v>139</v>
      </c>
      <c r="C465" s="99" t="s">
        <v>836</v>
      </c>
      <c r="D465" s="100" t="str">
        <f aca="false">B465&amp;"_"&amp;E465</f>
        <v>5.1_1.14.60</v>
      </c>
      <c r="E465" s="101" t="s">
        <v>1172</v>
      </c>
      <c r="F465" s="102" t="s">
        <v>1162</v>
      </c>
      <c r="G465" s="103" t="s">
        <v>112</v>
      </c>
      <c r="H465" s="103" t="s">
        <v>113</v>
      </c>
      <c r="I465" s="103" t="s">
        <v>1149</v>
      </c>
      <c r="J465" s="103" t="s">
        <v>114</v>
      </c>
      <c r="K465" s="103" t="n">
        <v>280</v>
      </c>
      <c r="L465" s="103" t="s">
        <v>115</v>
      </c>
      <c r="M465" s="103" t="s">
        <v>841</v>
      </c>
      <c r="N465" s="103" t="s">
        <v>115</v>
      </c>
      <c r="O465" s="104" t="s">
        <v>1173</v>
      </c>
      <c r="P465" s="105" t="s">
        <v>27</v>
      </c>
      <c r="Q465" s="106" t="s">
        <v>1174</v>
      </c>
      <c r="R465" s="107" t="s">
        <v>71</v>
      </c>
      <c r="S465" s="108" t="n">
        <v>1</v>
      </c>
      <c r="T465" s="109" t="n">
        <v>1668.07</v>
      </c>
      <c r="U465" s="110" t="n">
        <f aca="false">ROUND(T465*$S465,2)</f>
        <v>1668.07</v>
      </c>
      <c r="V465" s="111"/>
      <c r="W465" s="110"/>
      <c r="X465" s="111"/>
      <c r="Y465" s="110"/>
      <c r="Z465" s="108"/>
      <c r="AA465" s="110"/>
    </row>
    <row r="466" customFormat="false" ht="26.1" hidden="false" customHeight="true" outlineLevel="0" collapsed="false">
      <c r="A466" s="97" t="n">
        <v>5</v>
      </c>
      <c r="B466" s="98" t="s">
        <v>139</v>
      </c>
      <c r="C466" s="99" t="s">
        <v>836</v>
      </c>
      <c r="D466" s="100" t="str">
        <f aca="false">B466&amp;"_"&amp;E466</f>
        <v>5.1_1.14.61</v>
      </c>
      <c r="E466" s="101" t="s">
        <v>1175</v>
      </c>
      <c r="F466" s="102" t="s">
        <v>1162</v>
      </c>
      <c r="G466" s="103" t="s">
        <v>112</v>
      </c>
      <c r="H466" s="103" t="s">
        <v>113</v>
      </c>
      <c r="I466" s="103" t="s">
        <v>1149</v>
      </c>
      <c r="J466" s="103" t="s">
        <v>114</v>
      </c>
      <c r="K466" s="103" t="n">
        <v>315</v>
      </c>
      <c r="L466" s="103" t="s">
        <v>115</v>
      </c>
      <c r="M466" s="103" t="s">
        <v>841</v>
      </c>
      <c r="N466" s="103" t="s">
        <v>115</v>
      </c>
      <c r="O466" s="104" t="s">
        <v>1176</v>
      </c>
      <c r="P466" s="105" t="s">
        <v>27</v>
      </c>
      <c r="Q466" s="106" t="s">
        <v>1177</v>
      </c>
      <c r="R466" s="107" t="s">
        <v>71</v>
      </c>
      <c r="S466" s="108" t="n">
        <v>5</v>
      </c>
      <c r="T466" s="109" t="n">
        <v>2529.93</v>
      </c>
      <c r="U466" s="110" t="n">
        <f aca="false">ROUND(T466*$S466,2)</f>
        <v>12649.65</v>
      </c>
      <c r="V466" s="111"/>
      <c r="W466" s="110"/>
      <c r="X466" s="111"/>
      <c r="Y466" s="110"/>
      <c r="Z466" s="108"/>
      <c r="AA466" s="110"/>
    </row>
    <row r="467" customFormat="false" ht="26.1" hidden="false" customHeight="true" outlineLevel="0" collapsed="false">
      <c r="A467" s="97" t="n">
        <v>5</v>
      </c>
      <c r="B467" s="98" t="s">
        <v>139</v>
      </c>
      <c r="C467" s="99" t="s">
        <v>836</v>
      </c>
      <c r="D467" s="100" t="str">
        <f aca="false">B467&amp;"_"&amp;E467</f>
        <v>5.1_1.14.62</v>
      </c>
      <c r="E467" s="101" t="s">
        <v>1178</v>
      </c>
      <c r="F467" s="102" t="s">
        <v>1162</v>
      </c>
      <c r="G467" s="103" t="s">
        <v>112</v>
      </c>
      <c r="H467" s="103" t="s">
        <v>113</v>
      </c>
      <c r="I467" s="103" t="s">
        <v>1149</v>
      </c>
      <c r="J467" s="103" t="s">
        <v>114</v>
      </c>
      <c r="K467" s="103" t="n">
        <v>355</v>
      </c>
      <c r="L467" s="103" t="s">
        <v>115</v>
      </c>
      <c r="M467" s="103" t="s">
        <v>841</v>
      </c>
      <c r="N467" s="103" t="s">
        <v>115</v>
      </c>
      <c r="O467" s="104" t="s">
        <v>1179</v>
      </c>
      <c r="P467" s="105" t="s">
        <v>27</v>
      </c>
      <c r="Q467" s="106" t="s">
        <v>1180</v>
      </c>
      <c r="R467" s="107" t="s">
        <v>71</v>
      </c>
      <c r="S467" s="108" t="n">
        <v>2</v>
      </c>
      <c r="T467" s="109" t="n">
        <v>2904.73</v>
      </c>
      <c r="U467" s="110" t="n">
        <f aca="false">ROUND(T467*$S467,2)</f>
        <v>5809.46</v>
      </c>
      <c r="V467" s="111"/>
      <c r="W467" s="110"/>
      <c r="X467" s="111"/>
      <c r="Y467" s="110"/>
      <c r="Z467" s="108"/>
      <c r="AA467" s="110"/>
    </row>
    <row r="468" customFormat="false" ht="26.1" hidden="false" customHeight="true" outlineLevel="0" collapsed="false">
      <c r="A468" s="97" t="n">
        <v>5</v>
      </c>
      <c r="B468" s="98" t="s">
        <v>139</v>
      </c>
      <c r="C468" s="99" t="s">
        <v>836</v>
      </c>
      <c r="D468" s="100" t="str">
        <f aca="false">B468&amp;"_"&amp;E468</f>
        <v>5.1_1.14.63</v>
      </c>
      <c r="E468" s="101" t="s">
        <v>1181</v>
      </c>
      <c r="F468" s="102" t="s">
        <v>1162</v>
      </c>
      <c r="G468" s="103" t="s">
        <v>112</v>
      </c>
      <c r="H468" s="103" t="s">
        <v>113</v>
      </c>
      <c r="I468" s="103" t="s">
        <v>1149</v>
      </c>
      <c r="J468" s="103" t="s">
        <v>114</v>
      </c>
      <c r="K468" s="103" t="n">
        <v>500</v>
      </c>
      <c r="L468" s="103" t="s">
        <v>115</v>
      </c>
      <c r="M468" s="103" t="s">
        <v>841</v>
      </c>
      <c r="N468" s="103" t="s">
        <v>115</v>
      </c>
      <c r="O468" s="104" t="s">
        <v>1182</v>
      </c>
      <c r="P468" s="105" t="s">
        <v>27</v>
      </c>
      <c r="Q468" s="106" t="s">
        <v>1183</v>
      </c>
      <c r="R468" s="107" t="s">
        <v>71</v>
      </c>
      <c r="S468" s="108" t="n">
        <v>2</v>
      </c>
      <c r="T468" s="109" t="n">
        <v>5875.06</v>
      </c>
      <c r="U468" s="110" t="n">
        <f aca="false">ROUND(T468*$S468,2)</f>
        <v>11750.12</v>
      </c>
      <c r="V468" s="111"/>
      <c r="W468" s="110"/>
      <c r="X468" s="111"/>
      <c r="Y468" s="110"/>
      <c r="Z468" s="108"/>
      <c r="AA468" s="110"/>
    </row>
    <row r="469" customFormat="false" ht="26.1" hidden="false" customHeight="true" outlineLevel="0" collapsed="false">
      <c r="A469" s="97" t="n">
        <v>5</v>
      </c>
      <c r="B469" s="98" t="s">
        <v>139</v>
      </c>
      <c r="C469" s="99" t="s">
        <v>836</v>
      </c>
      <c r="D469" s="100" t="str">
        <f aca="false">B469&amp;"_"&amp;E469</f>
        <v>5.1_1.14.64</v>
      </c>
      <c r="E469" s="101" t="s">
        <v>1184</v>
      </c>
      <c r="F469" s="102" t="s">
        <v>1162</v>
      </c>
      <c r="G469" s="103" t="s">
        <v>112</v>
      </c>
      <c r="H469" s="103" t="s">
        <v>113</v>
      </c>
      <c r="I469" s="103" t="s">
        <v>1149</v>
      </c>
      <c r="J469" s="103" t="s">
        <v>114</v>
      </c>
      <c r="K469" s="103" t="n">
        <v>160</v>
      </c>
      <c r="L469" s="103" t="s">
        <v>115</v>
      </c>
      <c r="M469" s="103" t="s">
        <v>841</v>
      </c>
      <c r="N469" s="103" t="s">
        <v>115</v>
      </c>
      <c r="O469" s="104" t="s">
        <v>1185</v>
      </c>
      <c r="P469" s="105" t="s">
        <v>27</v>
      </c>
      <c r="Q469" s="106" t="s">
        <v>1186</v>
      </c>
      <c r="R469" s="107" t="s">
        <v>71</v>
      </c>
      <c r="S469" s="108" t="n">
        <v>110</v>
      </c>
      <c r="T469" s="109" t="n">
        <v>515.65</v>
      </c>
      <c r="U469" s="110" t="n">
        <f aca="false">ROUND(T469*$S469,2)</f>
        <v>56721.5</v>
      </c>
      <c r="V469" s="111"/>
      <c r="W469" s="110"/>
      <c r="X469" s="111"/>
      <c r="Y469" s="110"/>
      <c r="Z469" s="108"/>
      <c r="AA469" s="110"/>
    </row>
    <row r="470" customFormat="false" ht="26.1" hidden="false" customHeight="true" outlineLevel="0" collapsed="false">
      <c r="A470" s="97" t="n">
        <v>5</v>
      </c>
      <c r="B470" s="98" t="s">
        <v>139</v>
      </c>
      <c r="C470" s="99" t="s">
        <v>836</v>
      </c>
      <c r="D470" s="100" t="str">
        <f aca="false">B470&amp;"_"&amp;E470</f>
        <v>5.1_1.14.65</v>
      </c>
      <c r="E470" s="101" t="s">
        <v>1187</v>
      </c>
      <c r="F470" s="102" t="s">
        <v>1188</v>
      </c>
      <c r="G470" s="103" t="s">
        <v>112</v>
      </c>
      <c r="H470" s="103" t="s">
        <v>113</v>
      </c>
      <c r="I470" s="103" t="s">
        <v>1189</v>
      </c>
      <c r="J470" s="103" t="s">
        <v>114</v>
      </c>
      <c r="K470" s="103" t="s">
        <v>1132</v>
      </c>
      <c r="L470" s="103" t="s">
        <v>115</v>
      </c>
      <c r="M470" s="103" t="s">
        <v>841</v>
      </c>
      <c r="N470" s="103" t="s">
        <v>115</v>
      </c>
      <c r="O470" s="104" t="s">
        <v>1190</v>
      </c>
      <c r="P470" s="105" t="s">
        <v>27</v>
      </c>
      <c r="Q470" s="106" t="s">
        <v>1191</v>
      </c>
      <c r="R470" s="107" t="s">
        <v>71</v>
      </c>
      <c r="S470" s="108" t="n">
        <v>2</v>
      </c>
      <c r="T470" s="109" t="n">
        <v>1342.67</v>
      </c>
      <c r="U470" s="110" t="n">
        <f aca="false">ROUND(T470*$S470,2)</f>
        <v>2685.34</v>
      </c>
      <c r="V470" s="111"/>
      <c r="W470" s="110"/>
      <c r="X470" s="111"/>
      <c r="Y470" s="110"/>
      <c r="Z470" s="108"/>
      <c r="AA470" s="110"/>
    </row>
    <row r="471" customFormat="false" ht="26.1" hidden="false" customHeight="true" outlineLevel="0" collapsed="false">
      <c r="A471" s="97" t="n">
        <v>5</v>
      </c>
      <c r="B471" s="98" t="s">
        <v>139</v>
      </c>
      <c r="C471" s="99" t="s">
        <v>836</v>
      </c>
      <c r="D471" s="100" t="str">
        <f aca="false">B471&amp;"_"&amp;E471</f>
        <v>5.1_1.14.66</v>
      </c>
      <c r="E471" s="101" t="s">
        <v>1192</v>
      </c>
      <c r="F471" s="102" t="s">
        <v>1188</v>
      </c>
      <c r="G471" s="103" t="s">
        <v>112</v>
      </c>
      <c r="H471" s="103" t="s">
        <v>113</v>
      </c>
      <c r="I471" s="103" t="s">
        <v>1189</v>
      </c>
      <c r="J471" s="103" t="s">
        <v>114</v>
      </c>
      <c r="K471" s="103" t="s">
        <v>1136</v>
      </c>
      <c r="L471" s="103" t="s">
        <v>115</v>
      </c>
      <c r="M471" s="103" t="s">
        <v>841</v>
      </c>
      <c r="N471" s="103" t="s">
        <v>115</v>
      </c>
      <c r="O471" s="104" t="s">
        <v>1193</v>
      </c>
      <c r="P471" s="105" t="s">
        <v>27</v>
      </c>
      <c r="Q471" s="106" t="s">
        <v>1194</v>
      </c>
      <c r="R471" s="107" t="s">
        <v>71</v>
      </c>
      <c r="S471" s="108" t="n">
        <v>2</v>
      </c>
      <c r="T471" s="109" t="n">
        <v>1249.53</v>
      </c>
      <c r="U471" s="110" t="n">
        <f aca="false">ROUND(T471*$S471,2)</f>
        <v>2499.06</v>
      </c>
      <c r="V471" s="111"/>
      <c r="W471" s="110"/>
      <c r="X471" s="111"/>
      <c r="Y471" s="110"/>
      <c r="Z471" s="108"/>
      <c r="AA471" s="110"/>
    </row>
    <row r="472" customFormat="false" ht="26.1" hidden="false" customHeight="true" outlineLevel="0" collapsed="false">
      <c r="A472" s="97" t="n">
        <v>5</v>
      </c>
      <c r="B472" s="98" t="s">
        <v>139</v>
      </c>
      <c r="C472" s="99" t="s">
        <v>836</v>
      </c>
      <c r="D472" s="100" t="str">
        <f aca="false">B472&amp;"_"&amp;E472</f>
        <v>5.1_1.14.67</v>
      </c>
      <c r="E472" s="101" t="s">
        <v>1195</v>
      </c>
      <c r="F472" s="102" t="s">
        <v>1188</v>
      </c>
      <c r="G472" s="103" t="s">
        <v>112</v>
      </c>
      <c r="H472" s="103" t="s">
        <v>113</v>
      </c>
      <c r="I472" s="103" t="s">
        <v>1189</v>
      </c>
      <c r="J472" s="103" t="s">
        <v>114</v>
      </c>
      <c r="K472" s="103" t="s">
        <v>1196</v>
      </c>
      <c r="L472" s="103" t="s">
        <v>115</v>
      </c>
      <c r="M472" s="103" t="s">
        <v>841</v>
      </c>
      <c r="N472" s="103" t="s">
        <v>115</v>
      </c>
      <c r="O472" s="104" t="s">
        <v>1197</v>
      </c>
      <c r="P472" s="105" t="s">
        <v>27</v>
      </c>
      <c r="Q472" s="106" t="s">
        <v>1198</v>
      </c>
      <c r="R472" s="107" t="s">
        <v>71</v>
      </c>
      <c r="S472" s="108" t="n">
        <v>1</v>
      </c>
      <c r="T472" s="109" t="n">
        <v>4704.98</v>
      </c>
      <c r="U472" s="110" t="n">
        <f aca="false">ROUND(T472*$S472,2)</f>
        <v>4704.98</v>
      </c>
      <c r="V472" s="111"/>
      <c r="W472" s="110"/>
      <c r="X472" s="111"/>
      <c r="Y472" s="110"/>
      <c r="Z472" s="108"/>
      <c r="AA472" s="110"/>
    </row>
    <row r="473" customFormat="false" ht="26.1" hidden="false" customHeight="true" outlineLevel="0" collapsed="false">
      <c r="A473" s="97" t="n">
        <v>5</v>
      </c>
      <c r="B473" s="98" t="s">
        <v>139</v>
      </c>
      <c r="C473" s="99" t="s">
        <v>836</v>
      </c>
      <c r="D473" s="100" t="str">
        <f aca="false">B473&amp;"_"&amp;E473</f>
        <v>5.1_1.14.68</v>
      </c>
      <c r="E473" s="101" t="s">
        <v>1199</v>
      </c>
      <c r="F473" s="102" t="s">
        <v>1188</v>
      </c>
      <c r="G473" s="103" t="s">
        <v>1095</v>
      </c>
      <c r="H473" s="103" t="s">
        <v>113</v>
      </c>
      <c r="I473" s="103" t="s">
        <v>1189</v>
      </c>
      <c r="J473" s="103" t="s">
        <v>114</v>
      </c>
      <c r="K473" s="103" t="s">
        <v>1078</v>
      </c>
      <c r="L473" s="103" t="s">
        <v>115</v>
      </c>
      <c r="M473" s="103" t="s">
        <v>841</v>
      </c>
      <c r="N473" s="103" t="s">
        <v>115</v>
      </c>
      <c r="O473" s="104" t="s">
        <v>1200</v>
      </c>
      <c r="P473" s="105" t="s">
        <v>27</v>
      </c>
      <c r="Q473" s="106" t="s">
        <v>1201</v>
      </c>
      <c r="R473" s="107" t="s">
        <v>71</v>
      </c>
      <c r="S473" s="108" t="n">
        <v>3</v>
      </c>
      <c r="T473" s="109" t="n">
        <v>491.51</v>
      </c>
      <c r="U473" s="110" t="n">
        <f aca="false">ROUND(T473*$S473,2)</f>
        <v>1474.53</v>
      </c>
      <c r="V473" s="111"/>
      <c r="W473" s="110"/>
      <c r="X473" s="111"/>
      <c r="Y473" s="110"/>
      <c r="Z473" s="108"/>
      <c r="AA473" s="110"/>
    </row>
    <row r="474" customFormat="false" ht="26.1" hidden="false" customHeight="true" outlineLevel="0" collapsed="false">
      <c r="A474" s="97" t="n">
        <v>5</v>
      </c>
      <c r="B474" s="98" t="s">
        <v>139</v>
      </c>
      <c r="C474" s="99" t="s">
        <v>836</v>
      </c>
      <c r="D474" s="100" t="str">
        <f aca="false">B474&amp;"_"&amp;E474</f>
        <v>5.1_1.14.69</v>
      </c>
      <c r="E474" s="101" t="s">
        <v>1202</v>
      </c>
      <c r="F474" s="102" t="s">
        <v>1203</v>
      </c>
      <c r="G474" s="103" t="s">
        <v>1095</v>
      </c>
      <c r="H474" s="103" t="s">
        <v>113</v>
      </c>
      <c r="I474" s="103" t="s">
        <v>1204</v>
      </c>
      <c r="J474" s="103" t="s">
        <v>782</v>
      </c>
      <c r="K474" s="103" t="s">
        <v>1066</v>
      </c>
      <c r="L474" s="103" t="s">
        <v>115</v>
      </c>
      <c r="M474" s="103" t="s">
        <v>841</v>
      </c>
      <c r="N474" s="103" t="s">
        <v>115</v>
      </c>
      <c r="O474" s="104" t="s">
        <v>1205</v>
      </c>
      <c r="P474" s="105" t="s">
        <v>27</v>
      </c>
      <c r="Q474" s="106" t="s">
        <v>1206</v>
      </c>
      <c r="R474" s="107" t="s">
        <v>71</v>
      </c>
      <c r="S474" s="108" t="n">
        <v>1</v>
      </c>
      <c r="T474" s="109" t="n">
        <v>238.04</v>
      </c>
      <c r="U474" s="110" t="n">
        <f aca="false">ROUND(T474*$S474,2)</f>
        <v>238.04</v>
      </c>
      <c r="V474" s="111"/>
      <c r="W474" s="110"/>
      <c r="X474" s="111"/>
      <c r="Y474" s="110"/>
      <c r="Z474" s="108"/>
      <c r="AA474" s="110"/>
    </row>
    <row r="475" customFormat="false" ht="26.1" hidden="false" customHeight="true" outlineLevel="0" collapsed="false">
      <c r="A475" s="97" t="n">
        <v>5</v>
      </c>
      <c r="B475" s="98" t="s">
        <v>139</v>
      </c>
      <c r="C475" s="99" t="s">
        <v>836</v>
      </c>
      <c r="D475" s="100" t="str">
        <f aca="false">B475&amp;"_"&amp;E475</f>
        <v>5.1_1.14.70</v>
      </c>
      <c r="E475" s="101" t="s">
        <v>1207</v>
      </c>
      <c r="F475" s="102" t="s">
        <v>1203</v>
      </c>
      <c r="G475" s="103" t="s">
        <v>1095</v>
      </c>
      <c r="H475" s="103" t="s">
        <v>113</v>
      </c>
      <c r="I475" s="103" t="s">
        <v>1204</v>
      </c>
      <c r="J475" s="103" t="s">
        <v>782</v>
      </c>
      <c r="K475" s="103" t="s">
        <v>1208</v>
      </c>
      <c r="L475" s="103" t="s">
        <v>115</v>
      </c>
      <c r="M475" s="103" t="s">
        <v>841</v>
      </c>
      <c r="N475" s="103" t="s">
        <v>115</v>
      </c>
      <c r="O475" s="104" t="s">
        <v>1209</v>
      </c>
      <c r="P475" s="105" t="s">
        <v>27</v>
      </c>
      <c r="Q475" s="106" t="s">
        <v>1210</v>
      </c>
      <c r="R475" s="107" t="s">
        <v>71</v>
      </c>
      <c r="S475" s="108" t="n">
        <v>16</v>
      </c>
      <c r="T475" s="109" t="n">
        <v>479.97</v>
      </c>
      <c r="U475" s="110" t="n">
        <f aca="false">ROUND(T475*$S475,2)</f>
        <v>7679.52</v>
      </c>
      <c r="V475" s="111"/>
      <c r="W475" s="110"/>
      <c r="X475" s="111"/>
      <c r="Y475" s="110"/>
      <c r="Z475" s="108"/>
      <c r="AA475" s="110"/>
    </row>
    <row r="476" customFormat="false" ht="26.1" hidden="false" customHeight="true" outlineLevel="0" collapsed="false">
      <c r="A476" s="97" t="n">
        <v>5</v>
      </c>
      <c r="B476" s="98" t="s">
        <v>139</v>
      </c>
      <c r="C476" s="99" t="s">
        <v>836</v>
      </c>
      <c r="D476" s="100" t="str">
        <f aca="false">B476&amp;"_"&amp;E476</f>
        <v>5.1_1.14.71</v>
      </c>
      <c r="E476" s="101" t="s">
        <v>1211</v>
      </c>
      <c r="F476" s="102" t="s">
        <v>1203</v>
      </c>
      <c r="G476" s="103" t="s">
        <v>1095</v>
      </c>
      <c r="H476" s="103" t="s">
        <v>113</v>
      </c>
      <c r="I476" s="103" t="s">
        <v>1204</v>
      </c>
      <c r="J476" s="103" t="s">
        <v>782</v>
      </c>
      <c r="K476" s="103" t="s">
        <v>1212</v>
      </c>
      <c r="L476" s="103" t="s">
        <v>115</v>
      </c>
      <c r="M476" s="103" t="s">
        <v>841</v>
      </c>
      <c r="N476" s="103" t="s">
        <v>115</v>
      </c>
      <c r="O476" s="104" t="s">
        <v>1213</v>
      </c>
      <c r="P476" s="105" t="s">
        <v>27</v>
      </c>
      <c r="Q476" s="106" t="s">
        <v>1214</v>
      </c>
      <c r="R476" s="107" t="s">
        <v>71</v>
      </c>
      <c r="S476" s="108" t="n">
        <v>4</v>
      </c>
      <c r="T476" s="109" t="n">
        <v>626.02</v>
      </c>
      <c r="U476" s="110" t="n">
        <f aca="false">ROUND(T476*$S476,2)</f>
        <v>2504.08</v>
      </c>
      <c r="V476" s="111"/>
      <c r="W476" s="110"/>
      <c r="X476" s="111"/>
      <c r="Y476" s="110"/>
      <c r="Z476" s="108"/>
      <c r="AA476" s="110"/>
    </row>
    <row r="477" customFormat="false" ht="26.1" hidden="false" customHeight="true" outlineLevel="0" collapsed="false">
      <c r="A477" s="97" t="n">
        <v>5</v>
      </c>
      <c r="B477" s="98" t="s">
        <v>139</v>
      </c>
      <c r="C477" s="99" t="s">
        <v>836</v>
      </c>
      <c r="D477" s="100" t="str">
        <f aca="false">B477&amp;"_"&amp;E477</f>
        <v>5.1_1.14.72</v>
      </c>
      <c r="E477" s="101" t="s">
        <v>1215</v>
      </c>
      <c r="F477" s="102" t="s">
        <v>1203</v>
      </c>
      <c r="G477" s="103" t="s">
        <v>1095</v>
      </c>
      <c r="H477" s="103" t="s">
        <v>113</v>
      </c>
      <c r="I477" s="103" t="s">
        <v>1204</v>
      </c>
      <c r="J477" s="103" t="s">
        <v>782</v>
      </c>
      <c r="K477" s="103" t="s">
        <v>1216</v>
      </c>
      <c r="L477" s="103" t="s">
        <v>115</v>
      </c>
      <c r="M477" s="103" t="s">
        <v>841</v>
      </c>
      <c r="N477" s="103" t="s">
        <v>115</v>
      </c>
      <c r="O477" s="104" t="s">
        <v>1217</v>
      </c>
      <c r="P477" s="105" t="s">
        <v>27</v>
      </c>
      <c r="Q477" s="106" t="s">
        <v>1218</v>
      </c>
      <c r="R477" s="107" t="s">
        <v>71</v>
      </c>
      <c r="S477" s="108" t="n">
        <v>1</v>
      </c>
      <c r="T477" s="109" t="n">
        <v>703</v>
      </c>
      <c r="U477" s="110" t="n">
        <f aca="false">ROUND(T477*$S477,2)</f>
        <v>703</v>
      </c>
      <c r="V477" s="111"/>
      <c r="W477" s="110"/>
      <c r="X477" s="111"/>
      <c r="Y477" s="110"/>
      <c r="Z477" s="108"/>
      <c r="AA477" s="110"/>
    </row>
    <row r="478" customFormat="false" ht="26.1" hidden="false" customHeight="true" outlineLevel="0" collapsed="false">
      <c r="A478" s="97" t="n">
        <v>5</v>
      </c>
      <c r="B478" s="98" t="s">
        <v>139</v>
      </c>
      <c r="C478" s="99" t="s">
        <v>836</v>
      </c>
      <c r="D478" s="100" t="str">
        <f aca="false">B478&amp;"_"&amp;E478</f>
        <v>5.1_1.14.73</v>
      </c>
      <c r="E478" s="101" t="s">
        <v>1219</v>
      </c>
      <c r="F478" s="102" t="s">
        <v>1203</v>
      </c>
      <c r="G478" s="103" t="s">
        <v>1095</v>
      </c>
      <c r="H478" s="103" t="s">
        <v>113</v>
      </c>
      <c r="I478" s="103" t="s">
        <v>1204</v>
      </c>
      <c r="J478" s="103" t="s">
        <v>782</v>
      </c>
      <c r="K478" s="103" t="s">
        <v>1220</v>
      </c>
      <c r="L478" s="103" t="s">
        <v>115</v>
      </c>
      <c r="M478" s="103" t="s">
        <v>841</v>
      </c>
      <c r="N478" s="103" t="s">
        <v>115</v>
      </c>
      <c r="O478" s="104" t="s">
        <v>1221</v>
      </c>
      <c r="P478" s="105" t="s">
        <v>27</v>
      </c>
      <c r="Q478" s="106" t="s">
        <v>1222</v>
      </c>
      <c r="R478" s="107" t="s">
        <v>71</v>
      </c>
      <c r="S478" s="108" t="n">
        <v>1</v>
      </c>
      <c r="T478" s="109" t="n">
        <v>677.14</v>
      </c>
      <c r="U478" s="110" t="n">
        <f aca="false">ROUND(T478*$S478,2)</f>
        <v>677.14</v>
      </c>
      <c r="V478" s="111"/>
      <c r="W478" s="110"/>
      <c r="X478" s="111"/>
      <c r="Y478" s="110"/>
      <c r="Z478" s="108"/>
      <c r="AA478" s="110"/>
    </row>
    <row r="479" customFormat="false" ht="26.1" hidden="false" customHeight="true" outlineLevel="0" collapsed="false">
      <c r="A479" s="97" t="n">
        <v>5</v>
      </c>
      <c r="B479" s="98" t="s">
        <v>139</v>
      </c>
      <c r="C479" s="99" t="s">
        <v>836</v>
      </c>
      <c r="D479" s="100" t="str">
        <f aca="false">B479&amp;"_"&amp;E479</f>
        <v>5.1_1.14.74</v>
      </c>
      <c r="E479" s="101" t="s">
        <v>1223</v>
      </c>
      <c r="F479" s="102" t="s">
        <v>1203</v>
      </c>
      <c r="G479" s="103" t="s">
        <v>1095</v>
      </c>
      <c r="H479" s="103" t="s">
        <v>113</v>
      </c>
      <c r="I479" s="103" t="s">
        <v>1204</v>
      </c>
      <c r="J479" s="103" t="s">
        <v>782</v>
      </c>
      <c r="K479" s="103" t="s">
        <v>1224</v>
      </c>
      <c r="L479" s="103" t="s">
        <v>115</v>
      </c>
      <c r="M479" s="103" t="s">
        <v>841</v>
      </c>
      <c r="N479" s="103" t="s">
        <v>115</v>
      </c>
      <c r="O479" s="104" t="s">
        <v>1225</v>
      </c>
      <c r="P479" s="105" t="s">
        <v>27</v>
      </c>
      <c r="Q479" s="106" t="s">
        <v>1226</v>
      </c>
      <c r="R479" s="107" t="s">
        <v>71</v>
      </c>
      <c r="S479" s="108" t="n">
        <v>2</v>
      </c>
      <c r="T479" s="109" t="n">
        <v>264.24</v>
      </c>
      <c r="U479" s="110" t="n">
        <f aca="false">ROUND(T479*$S479,2)</f>
        <v>528.48</v>
      </c>
      <c r="V479" s="111"/>
      <c r="W479" s="110"/>
      <c r="X479" s="111"/>
      <c r="Y479" s="110"/>
      <c r="Z479" s="108"/>
      <c r="AA479" s="110"/>
    </row>
    <row r="480" customFormat="false" ht="26.1" hidden="false" customHeight="true" outlineLevel="0" collapsed="false">
      <c r="A480" s="97" t="n">
        <v>5</v>
      </c>
      <c r="B480" s="98" t="s">
        <v>139</v>
      </c>
      <c r="C480" s="99" t="s">
        <v>836</v>
      </c>
      <c r="D480" s="100" t="str">
        <f aca="false">B480&amp;"_"&amp;E480</f>
        <v>5.1_1.14.75</v>
      </c>
      <c r="E480" s="101" t="s">
        <v>1227</v>
      </c>
      <c r="F480" s="102" t="s">
        <v>1203</v>
      </c>
      <c r="G480" s="103" t="s">
        <v>1095</v>
      </c>
      <c r="H480" s="103" t="s">
        <v>113</v>
      </c>
      <c r="I480" s="103" t="s">
        <v>1204</v>
      </c>
      <c r="J480" s="103" t="s">
        <v>782</v>
      </c>
      <c r="K480" s="103" t="s">
        <v>1090</v>
      </c>
      <c r="L480" s="103" t="s">
        <v>115</v>
      </c>
      <c r="M480" s="103" t="s">
        <v>841</v>
      </c>
      <c r="N480" s="103" t="s">
        <v>115</v>
      </c>
      <c r="O480" s="104" t="s">
        <v>1228</v>
      </c>
      <c r="P480" s="105" t="s">
        <v>27</v>
      </c>
      <c r="Q480" s="106" t="s">
        <v>1229</v>
      </c>
      <c r="R480" s="107" t="s">
        <v>71</v>
      </c>
      <c r="S480" s="108" t="n">
        <v>1</v>
      </c>
      <c r="T480" s="109" t="n">
        <v>354.71</v>
      </c>
      <c r="U480" s="110" t="n">
        <f aca="false">ROUND(T480*$S480,2)</f>
        <v>354.71</v>
      </c>
      <c r="V480" s="111"/>
      <c r="W480" s="110"/>
      <c r="X480" s="111"/>
      <c r="Y480" s="110"/>
      <c r="Z480" s="108"/>
      <c r="AA480" s="110"/>
    </row>
    <row r="481" customFormat="false" ht="26.1" hidden="false" customHeight="true" outlineLevel="0" collapsed="false">
      <c r="A481" s="97" t="n">
        <v>5</v>
      </c>
      <c r="B481" s="98" t="s">
        <v>139</v>
      </c>
      <c r="C481" s="99" t="s">
        <v>836</v>
      </c>
      <c r="D481" s="100" t="str">
        <f aca="false">B481&amp;"_"&amp;E481</f>
        <v>5.1_1.14.76</v>
      </c>
      <c r="E481" s="101" t="s">
        <v>1230</v>
      </c>
      <c r="F481" s="102" t="s">
        <v>111</v>
      </c>
      <c r="G481" s="103" t="s">
        <v>112</v>
      </c>
      <c r="H481" s="103" t="s">
        <v>113</v>
      </c>
      <c r="I481" s="103" t="s">
        <v>111</v>
      </c>
      <c r="J481" s="103" t="s">
        <v>114</v>
      </c>
      <c r="K481" s="103" t="n">
        <v>225</v>
      </c>
      <c r="L481" s="103" t="s">
        <v>115</v>
      </c>
      <c r="M481" s="103" t="s">
        <v>841</v>
      </c>
      <c r="N481" s="103" t="s">
        <v>117</v>
      </c>
      <c r="O481" s="104" t="s">
        <v>1231</v>
      </c>
      <c r="P481" s="105" t="s">
        <v>27</v>
      </c>
      <c r="Q481" s="106" t="s">
        <v>1232</v>
      </c>
      <c r="R481" s="107" t="s">
        <v>120</v>
      </c>
      <c r="S481" s="108" t="n">
        <v>47.91</v>
      </c>
      <c r="T481" s="109" t="n">
        <v>199.33</v>
      </c>
      <c r="U481" s="110" t="n">
        <f aca="false">ROUND(T481*$S481,2)</f>
        <v>9549.9</v>
      </c>
      <c r="V481" s="111"/>
      <c r="W481" s="110"/>
      <c r="X481" s="111"/>
      <c r="Y481" s="110"/>
      <c r="Z481" s="108"/>
      <c r="AA481" s="110"/>
    </row>
    <row r="482" customFormat="false" ht="26.1" hidden="false" customHeight="true" outlineLevel="0" collapsed="false">
      <c r="A482" s="97" t="n">
        <v>5</v>
      </c>
      <c r="B482" s="98" t="s">
        <v>139</v>
      </c>
      <c r="C482" s="99" t="s">
        <v>836</v>
      </c>
      <c r="D482" s="100" t="str">
        <f aca="false">B482&amp;"_"&amp;E482</f>
        <v>5.1_1.14.77</v>
      </c>
      <c r="E482" s="101" t="s">
        <v>110</v>
      </c>
      <c r="F482" s="102" t="s">
        <v>111</v>
      </c>
      <c r="G482" s="103" t="s">
        <v>112</v>
      </c>
      <c r="H482" s="103" t="s">
        <v>113</v>
      </c>
      <c r="I482" s="103" t="s">
        <v>111</v>
      </c>
      <c r="J482" s="103" t="s">
        <v>114</v>
      </c>
      <c r="K482" s="103" t="n">
        <v>63</v>
      </c>
      <c r="L482" s="103" t="s">
        <v>115</v>
      </c>
      <c r="M482" s="103" t="s">
        <v>116</v>
      </c>
      <c r="N482" s="103" t="s">
        <v>117</v>
      </c>
      <c r="O482" s="104" t="s">
        <v>118</v>
      </c>
      <c r="P482" s="105" t="s">
        <v>27</v>
      </c>
      <c r="Q482" s="106" t="s">
        <v>119</v>
      </c>
      <c r="R482" s="107" t="s">
        <v>120</v>
      </c>
      <c r="S482" s="108" t="n">
        <v>31.5</v>
      </c>
      <c r="T482" s="109" t="n">
        <v>17.06</v>
      </c>
      <c r="U482" s="110" t="n">
        <f aca="false">ROUND(T482*$S482,2)</f>
        <v>537.39</v>
      </c>
      <c r="V482" s="111"/>
      <c r="W482" s="110"/>
      <c r="X482" s="111"/>
      <c r="Y482" s="110"/>
      <c r="Z482" s="108"/>
      <c r="AA482" s="110"/>
    </row>
    <row r="483" customFormat="false" ht="20.1" hidden="false" customHeight="true" outlineLevel="0" collapsed="false">
      <c r="A483" s="82" t="n">
        <v>5</v>
      </c>
      <c r="B483" s="83"/>
      <c r="C483" s="84"/>
      <c r="D483" s="85"/>
      <c r="E483" s="86" t="s">
        <v>1233</v>
      </c>
      <c r="F483" s="87"/>
      <c r="G483" s="88"/>
      <c r="H483" s="88"/>
      <c r="I483" s="88"/>
      <c r="J483" s="88"/>
      <c r="K483" s="88"/>
      <c r="L483" s="88"/>
      <c r="M483" s="88"/>
      <c r="N483" s="88"/>
      <c r="O483" s="89" t="s">
        <v>1234</v>
      </c>
      <c r="P483" s="90"/>
      <c r="Q483" s="91" t="s">
        <v>1235</v>
      </c>
      <c r="R483" s="92"/>
      <c r="S483" s="93"/>
      <c r="T483" s="94"/>
      <c r="U483" s="95" t="n">
        <f aca="false">SUM(U484:U529)</f>
        <v>309983.48</v>
      </c>
      <c r="V483" s="96"/>
      <c r="W483" s="95"/>
      <c r="X483" s="96"/>
      <c r="Y483" s="95"/>
      <c r="Z483" s="93"/>
      <c r="AA483" s="95"/>
    </row>
    <row r="484" customFormat="false" ht="26.1" hidden="false" customHeight="true" outlineLevel="0" collapsed="false">
      <c r="A484" s="97" t="n">
        <v>5</v>
      </c>
      <c r="B484" s="98" t="s">
        <v>139</v>
      </c>
      <c r="C484" s="99" t="s">
        <v>836</v>
      </c>
      <c r="D484" s="100" t="str">
        <f aca="false">B484&amp;"_"&amp;E484</f>
        <v>5.1_1.15.1</v>
      </c>
      <c r="E484" s="101" t="s">
        <v>1236</v>
      </c>
      <c r="F484" s="102" t="s">
        <v>1237</v>
      </c>
      <c r="G484" s="103" t="s">
        <v>1238</v>
      </c>
      <c r="H484" s="103" t="s">
        <v>46</v>
      </c>
      <c r="I484" s="103" t="s">
        <v>839</v>
      </c>
      <c r="J484" s="103" t="s">
        <v>46</v>
      </c>
      <c r="K484" s="103" t="n">
        <v>100</v>
      </c>
      <c r="L484" s="103" t="s">
        <v>840</v>
      </c>
      <c r="M484" s="103" t="s">
        <v>841</v>
      </c>
      <c r="N484" s="103" t="s">
        <v>842</v>
      </c>
      <c r="O484" s="104" t="s">
        <v>1239</v>
      </c>
      <c r="P484" s="105" t="s">
        <v>27</v>
      </c>
      <c r="Q484" s="106" t="s">
        <v>1240</v>
      </c>
      <c r="R484" s="107" t="s">
        <v>71</v>
      </c>
      <c r="S484" s="108" t="n">
        <v>26</v>
      </c>
      <c r="T484" s="109" t="n">
        <v>83.24</v>
      </c>
      <c r="U484" s="110" t="n">
        <f aca="false">ROUND(T484*$S484,2)</f>
        <v>2164.24</v>
      </c>
      <c r="V484" s="111"/>
      <c r="W484" s="110"/>
      <c r="X484" s="111"/>
      <c r="Y484" s="110"/>
      <c r="Z484" s="108"/>
      <c r="AA484" s="110"/>
    </row>
    <row r="485" customFormat="false" ht="26.1" hidden="false" customHeight="true" outlineLevel="0" collapsed="false">
      <c r="A485" s="97" t="n">
        <v>5</v>
      </c>
      <c r="B485" s="98" t="s">
        <v>139</v>
      </c>
      <c r="C485" s="99" t="s">
        <v>836</v>
      </c>
      <c r="D485" s="100" t="str">
        <f aca="false">B485&amp;"_"&amp;E485</f>
        <v>5.1_1.15.2</v>
      </c>
      <c r="E485" s="101" t="s">
        <v>1241</v>
      </c>
      <c r="F485" s="102" t="s">
        <v>1237</v>
      </c>
      <c r="G485" s="103" t="s">
        <v>1238</v>
      </c>
      <c r="H485" s="103" t="s">
        <v>46</v>
      </c>
      <c r="I485" s="103" t="s">
        <v>839</v>
      </c>
      <c r="J485" s="103" t="s">
        <v>46</v>
      </c>
      <c r="K485" s="103" t="n">
        <v>150</v>
      </c>
      <c r="L485" s="103" t="s">
        <v>840</v>
      </c>
      <c r="M485" s="103" t="s">
        <v>841</v>
      </c>
      <c r="N485" s="103" t="s">
        <v>842</v>
      </c>
      <c r="O485" s="104" t="s">
        <v>1242</v>
      </c>
      <c r="P485" s="105" t="s">
        <v>27</v>
      </c>
      <c r="Q485" s="106" t="s">
        <v>1243</v>
      </c>
      <c r="R485" s="107" t="s">
        <v>71</v>
      </c>
      <c r="S485" s="108" t="n">
        <v>37</v>
      </c>
      <c r="T485" s="109" t="n">
        <v>95.81</v>
      </c>
      <c r="U485" s="110" t="n">
        <f aca="false">ROUND(T485*$S485,2)</f>
        <v>3544.97</v>
      </c>
      <c r="V485" s="111"/>
      <c r="W485" s="110"/>
      <c r="X485" s="111"/>
      <c r="Y485" s="110"/>
      <c r="Z485" s="108"/>
      <c r="AA485" s="110"/>
    </row>
    <row r="486" customFormat="false" ht="26.1" hidden="false" customHeight="true" outlineLevel="0" collapsed="false">
      <c r="A486" s="97" t="n">
        <v>5</v>
      </c>
      <c r="B486" s="98" t="s">
        <v>139</v>
      </c>
      <c r="C486" s="99" t="s">
        <v>836</v>
      </c>
      <c r="D486" s="100" t="str">
        <f aca="false">B486&amp;"_"&amp;E486</f>
        <v>5.1_1.15.3</v>
      </c>
      <c r="E486" s="101" t="s">
        <v>1244</v>
      </c>
      <c r="F486" s="102" t="s">
        <v>1237</v>
      </c>
      <c r="G486" s="103" t="s">
        <v>1238</v>
      </c>
      <c r="H486" s="103" t="s">
        <v>46</v>
      </c>
      <c r="I486" s="103" t="s">
        <v>839</v>
      </c>
      <c r="J486" s="103" t="s">
        <v>46</v>
      </c>
      <c r="K486" s="103" t="n">
        <v>200</v>
      </c>
      <c r="L486" s="103" t="s">
        <v>840</v>
      </c>
      <c r="M486" s="103" t="s">
        <v>841</v>
      </c>
      <c r="N486" s="103" t="s">
        <v>842</v>
      </c>
      <c r="O486" s="104" t="s">
        <v>1245</v>
      </c>
      <c r="P486" s="105" t="s">
        <v>27</v>
      </c>
      <c r="Q486" s="106" t="s">
        <v>1246</v>
      </c>
      <c r="R486" s="107" t="s">
        <v>71</v>
      </c>
      <c r="S486" s="108" t="n">
        <v>50</v>
      </c>
      <c r="T486" s="109" t="n">
        <v>112.58</v>
      </c>
      <c r="U486" s="110" t="n">
        <f aca="false">ROUND(T486*$S486,2)</f>
        <v>5629</v>
      </c>
      <c r="V486" s="111"/>
      <c r="W486" s="110"/>
      <c r="X486" s="111"/>
      <c r="Y486" s="110"/>
      <c r="Z486" s="108"/>
      <c r="AA486" s="110"/>
    </row>
    <row r="487" customFormat="false" ht="26.1" hidden="false" customHeight="true" outlineLevel="0" collapsed="false">
      <c r="A487" s="97" t="n">
        <v>5</v>
      </c>
      <c r="B487" s="98" t="s">
        <v>139</v>
      </c>
      <c r="C487" s="99" t="s">
        <v>836</v>
      </c>
      <c r="D487" s="100" t="str">
        <f aca="false">B487&amp;"_"&amp;E487</f>
        <v>5.1_1.15.4</v>
      </c>
      <c r="E487" s="101" t="s">
        <v>1247</v>
      </c>
      <c r="F487" s="102" t="s">
        <v>1237</v>
      </c>
      <c r="G487" s="103" t="s">
        <v>1238</v>
      </c>
      <c r="H487" s="103" t="s">
        <v>46</v>
      </c>
      <c r="I487" s="103" t="s">
        <v>839</v>
      </c>
      <c r="J487" s="103" t="s">
        <v>46</v>
      </c>
      <c r="K487" s="103" t="n">
        <v>250</v>
      </c>
      <c r="L487" s="103" t="s">
        <v>840</v>
      </c>
      <c r="M487" s="103" t="s">
        <v>841</v>
      </c>
      <c r="N487" s="103" t="s">
        <v>842</v>
      </c>
      <c r="O487" s="104" t="s">
        <v>1248</v>
      </c>
      <c r="P487" s="105" t="s">
        <v>27</v>
      </c>
      <c r="Q487" s="106" t="s">
        <v>1249</v>
      </c>
      <c r="R487" s="107" t="s">
        <v>71</v>
      </c>
      <c r="S487" s="108" t="n">
        <v>6</v>
      </c>
      <c r="T487" s="109" t="n">
        <v>161.09</v>
      </c>
      <c r="U487" s="110" t="n">
        <f aca="false">ROUND(T487*$S487,2)</f>
        <v>966.54</v>
      </c>
      <c r="V487" s="111"/>
      <c r="W487" s="110"/>
      <c r="X487" s="111"/>
      <c r="Y487" s="110"/>
      <c r="Z487" s="108"/>
      <c r="AA487" s="110"/>
    </row>
    <row r="488" customFormat="false" ht="26.1" hidden="false" customHeight="true" outlineLevel="0" collapsed="false">
      <c r="A488" s="97" t="n">
        <v>5</v>
      </c>
      <c r="B488" s="98" t="s">
        <v>139</v>
      </c>
      <c r="C488" s="99" t="s">
        <v>836</v>
      </c>
      <c r="D488" s="100" t="str">
        <f aca="false">B488&amp;"_"&amp;E488</f>
        <v>5.1_1.15.5</v>
      </c>
      <c r="E488" s="101" t="s">
        <v>1250</v>
      </c>
      <c r="F488" s="102" t="s">
        <v>1237</v>
      </c>
      <c r="G488" s="103" t="s">
        <v>1238</v>
      </c>
      <c r="H488" s="103" t="s">
        <v>46</v>
      </c>
      <c r="I488" s="103" t="s">
        <v>839</v>
      </c>
      <c r="J488" s="103" t="s">
        <v>46</v>
      </c>
      <c r="K488" s="103" t="n">
        <v>300</v>
      </c>
      <c r="L488" s="103" t="s">
        <v>840</v>
      </c>
      <c r="M488" s="103" t="s">
        <v>841</v>
      </c>
      <c r="N488" s="103" t="s">
        <v>842</v>
      </c>
      <c r="O488" s="104" t="s">
        <v>1251</v>
      </c>
      <c r="P488" s="105" t="s">
        <v>27</v>
      </c>
      <c r="Q488" s="106" t="s">
        <v>1252</v>
      </c>
      <c r="R488" s="107" t="s">
        <v>71</v>
      </c>
      <c r="S488" s="108" t="n">
        <v>14</v>
      </c>
      <c r="T488" s="109" t="n">
        <v>186.83</v>
      </c>
      <c r="U488" s="110" t="n">
        <f aca="false">ROUND(T488*$S488,2)</f>
        <v>2615.62</v>
      </c>
      <c r="V488" s="111"/>
      <c r="W488" s="110"/>
      <c r="X488" s="111"/>
      <c r="Y488" s="110"/>
      <c r="Z488" s="108"/>
      <c r="AA488" s="110"/>
    </row>
    <row r="489" customFormat="false" ht="26.1" hidden="false" customHeight="true" outlineLevel="0" collapsed="false">
      <c r="A489" s="97" t="n">
        <v>5</v>
      </c>
      <c r="B489" s="98" t="s">
        <v>139</v>
      </c>
      <c r="C489" s="99" t="s">
        <v>836</v>
      </c>
      <c r="D489" s="100" t="str">
        <f aca="false">B489&amp;"_"&amp;E489</f>
        <v>5.1_1.15.6</v>
      </c>
      <c r="E489" s="101" t="s">
        <v>1253</v>
      </c>
      <c r="F489" s="102" t="s">
        <v>1237</v>
      </c>
      <c r="G489" s="103" t="s">
        <v>1238</v>
      </c>
      <c r="H489" s="103" t="s">
        <v>46</v>
      </c>
      <c r="I489" s="103" t="s">
        <v>839</v>
      </c>
      <c r="J489" s="103" t="s">
        <v>46</v>
      </c>
      <c r="K489" s="103" t="n">
        <v>50</v>
      </c>
      <c r="L489" s="103" t="s">
        <v>840</v>
      </c>
      <c r="M489" s="103" t="s">
        <v>841</v>
      </c>
      <c r="N489" s="103" t="s">
        <v>842</v>
      </c>
      <c r="O489" s="104" t="s">
        <v>1254</v>
      </c>
      <c r="P489" s="105" t="s">
        <v>27</v>
      </c>
      <c r="Q489" s="106" t="s">
        <v>1255</v>
      </c>
      <c r="R489" s="107" t="s">
        <v>71</v>
      </c>
      <c r="S489" s="108" t="n">
        <v>206</v>
      </c>
      <c r="T489" s="109" t="n">
        <v>56.89</v>
      </c>
      <c r="U489" s="110" t="n">
        <f aca="false">ROUND(T489*$S489,2)</f>
        <v>11719.34</v>
      </c>
      <c r="V489" s="111"/>
      <c r="W489" s="110"/>
      <c r="X489" s="111"/>
      <c r="Y489" s="110"/>
      <c r="Z489" s="108"/>
      <c r="AA489" s="110"/>
    </row>
    <row r="490" customFormat="false" ht="26.1" hidden="false" customHeight="true" outlineLevel="0" collapsed="false">
      <c r="A490" s="97" t="n">
        <v>5</v>
      </c>
      <c r="B490" s="98" t="s">
        <v>139</v>
      </c>
      <c r="C490" s="99" t="s">
        <v>836</v>
      </c>
      <c r="D490" s="100" t="str">
        <f aca="false">B490&amp;"_"&amp;E490</f>
        <v>5.1_1.15.7</v>
      </c>
      <c r="E490" s="101" t="s">
        <v>1256</v>
      </c>
      <c r="F490" s="102" t="s">
        <v>1237</v>
      </c>
      <c r="G490" s="103" t="s">
        <v>1238</v>
      </c>
      <c r="H490" s="103" t="s">
        <v>46</v>
      </c>
      <c r="I490" s="103" t="s">
        <v>839</v>
      </c>
      <c r="J490" s="103" t="s">
        <v>46</v>
      </c>
      <c r="K490" s="103" t="n">
        <v>80</v>
      </c>
      <c r="L490" s="103" t="s">
        <v>840</v>
      </c>
      <c r="M490" s="103" t="s">
        <v>841</v>
      </c>
      <c r="N490" s="103" t="s">
        <v>842</v>
      </c>
      <c r="O490" s="104" t="s">
        <v>1257</v>
      </c>
      <c r="P490" s="105" t="s">
        <v>27</v>
      </c>
      <c r="Q490" s="106" t="s">
        <v>1258</v>
      </c>
      <c r="R490" s="107" t="s">
        <v>71</v>
      </c>
      <c r="S490" s="108" t="n">
        <v>18</v>
      </c>
      <c r="T490" s="109" t="n">
        <v>75.45</v>
      </c>
      <c r="U490" s="110" t="n">
        <f aca="false">ROUND(T490*$S490,2)</f>
        <v>1358.1</v>
      </c>
      <c r="V490" s="111"/>
      <c r="W490" s="110"/>
      <c r="X490" s="111"/>
      <c r="Y490" s="110"/>
      <c r="Z490" s="108"/>
      <c r="AA490" s="110"/>
    </row>
    <row r="491" customFormat="false" ht="26.1" hidden="false" customHeight="true" outlineLevel="0" collapsed="false">
      <c r="A491" s="97" t="n">
        <v>5</v>
      </c>
      <c r="B491" s="98" t="s">
        <v>139</v>
      </c>
      <c r="C491" s="99" t="s">
        <v>836</v>
      </c>
      <c r="D491" s="100" t="str">
        <f aca="false">B491&amp;"_"&amp;E491</f>
        <v>5.1_1.15.8</v>
      </c>
      <c r="E491" s="101" t="s">
        <v>1259</v>
      </c>
      <c r="F491" s="102" t="s">
        <v>1260</v>
      </c>
      <c r="G491" s="103" t="s">
        <v>1261</v>
      </c>
      <c r="H491" s="103" t="s">
        <v>46</v>
      </c>
      <c r="I491" s="103" t="s">
        <v>1262</v>
      </c>
      <c r="J491" s="103" t="s">
        <v>46</v>
      </c>
      <c r="K491" s="103" t="s">
        <v>1263</v>
      </c>
      <c r="L491" s="103" t="s">
        <v>1264</v>
      </c>
      <c r="M491" s="103" t="s">
        <v>841</v>
      </c>
      <c r="N491" s="103" t="s">
        <v>842</v>
      </c>
      <c r="O491" s="104" t="s">
        <v>1265</v>
      </c>
      <c r="P491" s="105" t="s">
        <v>27</v>
      </c>
      <c r="Q491" s="106" t="s">
        <v>1266</v>
      </c>
      <c r="R491" s="107" t="s">
        <v>71</v>
      </c>
      <c r="S491" s="108" t="n">
        <v>1040</v>
      </c>
      <c r="T491" s="109" t="n">
        <v>7.14</v>
      </c>
      <c r="U491" s="110" t="n">
        <f aca="false">ROUND(T491*$S491,2)</f>
        <v>7425.6</v>
      </c>
      <c r="V491" s="111"/>
      <c r="W491" s="110"/>
      <c r="X491" s="111"/>
      <c r="Y491" s="110"/>
      <c r="Z491" s="108"/>
      <c r="AA491" s="110"/>
    </row>
    <row r="492" customFormat="false" ht="26.1" hidden="false" customHeight="true" outlineLevel="0" collapsed="false">
      <c r="A492" s="97" t="n">
        <v>5</v>
      </c>
      <c r="B492" s="98" t="s">
        <v>139</v>
      </c>
      <c r="C492" s="99" t="s">
        <v>836</v>
      </c>
      <c r="D492" s="100" t="str">
        <f aca="false">B492&amp;"_"&amp;E492</f>
        <v>5.1_1.15.9</v>
      </c>
      <c r="E492" s="101" t="s">
        <v>1267</v>
      </c>
      <c r="F492" s="102" t="s">
        <v>1260</v>
      </c>
      <c r="G492" s="103" t="s">
        <v>112</v>
      </c>
      <c r="H492" s="103" t="s">
        <v>46</v>
      </c>
      <c r="I492" s="103" t="s">
        <v>1262</v>
      </c>
      <c r="J492" s="103" t="s">
        <v>46</v>
      </c>
      <c r="K492" s="103" t="s">
        <v>1268</v>
      </c>
      <c r="L492" s="103" t="s">
        <v>1264</v>
      </c>
      <c r="M492" s="103" t="s">
        <v>841</v>
      </c>
      <c r="N492" s="103" t="s">
        <v>842</v>
      </c>
      <c r="O492" s="104" t="s">
        <v>1269</v>
      </c>
      <c r="P492" s="105" t="s">
        <v>27</v>
      </c>
      <c r="Q492" s="106" t="s">
        <v>1270</v>
      </c>
      <c r="R492" s="107" t="s">
        <v>71</v>
      </c>
      <c r="S492" s="108" t="n">
        <v>132</v>
      </c>
      <c r="T492" s="109" t="n">
        <v>15.71</v>
      </c>
      <c r="U492" s="110" t="n">
        <f aca="false">ROUND(T492*$S492,2)</f>
        <v>2073.72</v>
      </c>
      <c r="V492" s="111"/>
      <c r="W492" s="110"/>
      <c r="X492" s="111"/>
      <c r="Y492" s="110"/>
      <c r="Z492" s="108"/>
      <c r="AA492" s="110"/>
    </row>
    <row r="493" customFormat="false" ht="26.1" hidden="false" customHeight="true" outlineLevel="0" collapsed="false">
      <c r="A493" s="97" t="n">
        <v>5</v>
      </c>
      <c r="B493" s="98" t="s">
        <v>139</v>
      </c>
      <c r="C493" s="99" t="s">
        <v>836</v>
      </c>
      <c r="D493" s="100" t="str">
        <f aca="false">B493&amp;"_"&amp;E493</f>
        <v>5.1_1.15.10</v>
      </c>
      <c r="E493" s="101" t="s">
        <v>1271</v>
      </c>
      <c r="F493" s="102" t="s">
        <v>1260</v>
      </c>
      <c r="G493" s="103" t="s">
        <v>1261</v>
      </c>
      <c r="H493" s="103" t="s">
        <v>46</v>
      </c>
      <c r="I493" s="103" t="s">
        <v>1262</v>
      </c>
      <c r="J493" s="103" t="s">
        <v>46</v>
      </c>
      <c r="K493" s="103" t="s">
        <v>1272</v>
      </c>
      <c r="L493" s="103" t="s">
        <v>1264</v>
      </c>
      <c r="M493" s="103" t="s">
        <v>841</v>
      </c>
      <c r="N493" s="103" t="s">
        <v>842</v>
      </c>
      <c r="O493" s="104" t="s">
        <v>1273</v>
      </c>
      <c r="P493" s="105" t="s">
        <v>27</v>
      </c>
      <c r="Q493" s="106" t="s">
        <v>1274</v>
      </c>
      <c r="R493" s="107" t="s">
        <v>71</v>
      </c>
      <c r="S493" s="108" t="n">
        <v>761</v>
      </c>
      <c r="T493" s="109" t="n">
        <v>14.28</v>
      </c>
      <c r="U493" s="110" t="n">
        <f aca="false">ROUND(T493*$S493,2)</f>
        <v>10867.08</v>
      </c>
      <c r="V493" s="111"/>
      <c r="W493" s="110"/>
      <c r="X493" s="111"/>
      <c r="Y493" s="110"/>
      <c r="Z493" s="108"/>
      <c r="AA493" s="110"/>
    </row>
    <row r="494" customFormat="false" ht="26.1" hidden="false" customHeight="true" outlineLevel="0" collapsed="false">
      <c r="A494" s="97" t="n">
        <v>5</v>
      </c>
      <c r="B494" s="98" t="s">
        <v>139</v>
      </c>
      <c r="C494" s="99" t="s">
        <v>836</v>
      </c>
      <c r="D494" s="100" t="str">
        <f aca="false">B494&amp;"_"&amp;E494</f>
        <v>5.1_1.15.11</v>
      </c>
      <c r="E494" s="101" t="s">
        <v>1275</v>
      </c>
      <c r="F494" s="102" t="s">
        <v>1260</v>
      </c>
      <c r="G494" s="103" t="s">
        <v>874</v>
      </c>
      <c r="H494" s="103" t="s">
        <v>46</v>
      </c>
      <c r="I494" s="103" t="s">
        <v>1262</v>
      </c>
      <c r="J494" s="103" t="s">
        <v>46</v>
      </c>
      <c r="K494" s="103" t="s">
        <v>1276</v>
      </c>
      <c r="L494" s="103" t="s">
        <v>1264</v>
      </c>
      <c r="M494" s="103" t="s">
        <v>841</v>
      </c>
      <c r="N494" s="103" t="s">
        <v>842</v>
      </c>
      <c r="O494" s="104" t="s">
        <v>1277</v>
      </c>
      <c r="P494" s="105" t="s">
        <v>27</v>
      </c>
      <c r="Q494" s="106" t="s">
        <v>1278</v>
      </c>
      <c r="R494" s="107" t="s">
        <v>71</v>
      </c>
      <c r="S494" s="108" t="n">
        <v>40</v>
      </c>
      <c r="T494" s="109" t="n">
        <v>25.7</v>
      </c>
      <c r="U494" s="110" t="n">
        <f aca="false">ROUND(T494*$S494,2)</f>
        <v>1028</v>
      </c>
      <c r="V494" s="111"/>
      <c r="W494" s="110"/>
      <c r="X494" s="111"/>
      <c r="Y494" s="110"/>
      <c r="Z494" s="108"/>
      <c r="AA494" s="110"/>
    </row>
    <row r="495" customFormat="false" ht="26.1" hidden="false" customHeight="true" outlineLevel="0" collapsed="false">
      <c r="A495" s="97" t="n">
        <v>5</v>
      </c>
      <c r="B495" s="98" t="s">
        <v>139</v>
      </c>
      <c r="C495" s="99" t="s">
        <v>836</v>
      </c>
      <c r="D495" s="100" t="str">
        <f aca="false">B495&amp;"_"&amp;E495</f>
        <v>5.1_1.15.12</v>
      </c>
      <c r="E495" s="101" t="s">
        <v>1279</v>
      </c>
      <c r="F495" s="102" t="s">
        <v>1280</v>
      </c>
      <c r="G495" s="103" t="s">
        <v>112</v>
      </c>
      <c r="H495" s="103" t="s">
        <v>46</v>
      </c>
      <c r="I495" s="103" t="s">
        <v>994</v>
      </c>
      <c r="J495" s="103" t="s">
        <v>46</v>
      </c>
      <c r="K495" s="103" t="n">
        <v>200</v>
      </c>
      <c r="L495" s="103" t="s">
        <v>852</v>
      </c>
      <c r="M495" s="103" t="s">
        <v>841</v>
      </c>
      <c r="N495" s="103" t="s">
        <v>842</v>
      </c>
      <c r="O495" s="104" t="s">
        <v>1281</v>
      </c>
      <c r="P495" s="105" t="s">
        <v>27</v>
      </c>
      <c r="Q495" s="106" t="s">
        <v>1282</v>
      </c>
      <c r="R495" s="107" t="s">
        <v>71</v>
      </c>
      <c r="S495" s="108" t="n">
        <v>3</v>
      </c>
      <c r="T495" s="109" t="n">
        <v>1014.15</v>
      </c>
      <c r="U495" s="110" t="n">
        <f aca="false">ROUND(T495*$S495,2)</f>
        <v>3042.45</v>
      </c>
      <c r="V495" s="111"/>
      <c r="W495" s="110"/>
      <c r="X495" s="111"/>
      <c r="Y495" s="110"/>
      <c r="Z495" s="108"/>
      <c r="AA495" s="110"/>
    </row>
    <row r="496" customFormat="false" ht="26.1" hidden="false" customHeight="true" outlineLevel="0" collapsed="false">
      <c r="A496" s="97" t="n">
        <v>5</v>
      </c>
      <c r="B496" s="98" t="s">
        <v>139</v>
      </c>
      <c r="C496" s="99" t="s">
        <v>836</v>
      </c>
      <c r="D496" s="100" t="str">
        <f aca="false">B496&amp;"_"&amp;E496</f>
        <v>5.1_1.15.13</v>
      </c>
      <c r="E496" s="101" t="s">
        <v>1283</v>
      </c>
      <c r="F496" s="102" t="s">
        <v>1284</v>
      </c>
      <c r="G496" s="103" t="s">
        <v>112</v>
      </c>
      <c r="H496" s="103" t="s">
        <v>46</v>
      </c>
      <c r="I496" s="103" t="s">
        <v>994</v>
      </c>
      <c r="J496" s="103" t="s">
        <v>46</v>
      </c>
      <c r="K496" s="103" t="s">
        <v>1285</v>
      </c>
      <c r="L496" s="103" t="s">
        <v>852</v>
      </c>
      <c r="M496" s="103" t="s">
        <v>841</v>
      </c>
      <c r="N496" s="103" t="s">
        <v>842</v>
      </c>
      <c r="O496" s="104" t="s">
        <v>1286</v>
      </c>
      <c r="P496" s="105" t="s">
        <v>27</v>
      </c>
      <c r="Q496" s="106" t="s">
        <v>1287</v>
      </c>
      <c r="R496" s="107" t="s">
        <v>71</v>
      </c>
      <c r="S496" s="108" t="n">
        <v>6</v>
      </c>
      <c r="T496" s="109" t="n">
        <v>896.5</v>
      </c>
      <c r="U496" s="110" t="n">
        <f aca="false">ROUND(T496*$S496,2)</f>
        <v>5379</v>
      </c>
      <c r="V496" s="111"/>
      <c r="W496" s="110"/>
      <c r="X496" s="111"/>
      <c r="Y496" s="110"/>
      <c r="Z496" s="108"/>
      <c r="AA496" s="110"/>
    </row>
    <row r="497" customFormat="false" ht="26.1" hidden="false" customHeight="true" outlineLevel="0" collapsed="false">
      <c r="A497" s="97" t="n">
        <v>5</v>
      </c>
      <c r="B497" s="98" t="s">
        <v>139</v>
      </c>
      <c r="C497" s="99" t="s">
        <v>836</v>
      </c>
      <c r="D497" s="100" t="str">
        <f aca="false">B497&amp;"_"&amp;E497</f>
        <v>5.1_1.15.14</v>
      </c>
      <c r="E497" s="101" t="s">
        <v>1288</v>
      </c>
      <c r="F497" s="102" t="s">
        <v>1289</v>
      </c>
      <c r="G497" s="103" t="s">
        <v>112</v>
      </c>
      <c r="H497" s="103" t="s">
        <v>46</v>
      </c>
      <c r="I497" s="103" t="s">
        <v>1290</v>
      </c>
      <c r="J497" s="103" t="s">
        <v>46</v>
      </c>
      <c r="K497" s="103" t="n">
        <v>200</v>
      </c>
      <c r="L497" s="103" t="s">
        <v>852</v>
      </c>
      <c r="M497" s="103" t="s">
        <v>841</v>
      </c>
      <c r="N497" s="103" t="s">
        <v>842</v>
      </c>
      <c r="O497" s="104" t="s">
        <v>1291</v>
      </c>
      <c r="P497" s="105" t="s">
        <v>27</v>
      </c>
      <c r="Q497" s="106" t="s">
        <v>1292</v>
      </c>
      <c r="R497" s="107" t="s">
        <v>71</v>
      </c>
      <c r="S497" s="108" t="n">
        <v>2</v>
      </c>
      <c r="T497" s="109" t="n">
        <v>917.66</v>
      </c>
      <c r="U497" s="110" t="n">
        <f aca="false">ROUND(T497*$S497,2)</f>
        <v>1835.32</v>
      </c>
      <c r="V497" s="111"/>
      <c r="W497" s="110"/>
      <c r="X497" s="111"/>
      <c r="Y497" s="110"/>
      <c r="Z497" s="108"/>
      <c r="AA497" s="110"/>
    </row>
    <row r="498" customFormat="false" ht="26.1" hidden="false" customHeight="true" outlineLevel="0" collapsed="false">
      <c r="A498" s="97" t="n">
        <v>5</v>
      </c>
      <c r="B498" s="98" t="s">
        <v>139</v>
      </c>
      <c r="C498" s="99" t="s">
        <v>836</v>
      </c>
      <c r="D498" s="100" t="str">
        <f aca="false">B498&amp;"_"&amp;E498</f>
        <v>5.1_1.15.15</v>
      </c>
      <c r="E498" s="101" t="s">
        <v>1293</v>
      </c>
      <c r="F498" s="102" t="s">
        <v>1294</v>
      </c>
      <c r="G498" s="103" t="s">
        <v>46</v>
      </c>
      <c r="H498" s="103" t="s">
        <v>46</v>
      </c>
      <c r="I498" s="103" t="s">
        <v>1295</v>
      </c>
      <c r="J498" s="103" t="s">
        <v>46</v>
      </c>
      <c r="K498" s="103" t="n">
        <v>100</v>
      </c>
      <c r="L498" s="103" t="s">
        <v>852</v>
      </c>
      <c r="M498" s="103" t="s">
        <v>841</v>
      </c>
      <c r="N498" s="103" t="s">
        <v>842</v>
      </c>
      <c r="O498" s="104" t="s">
        <v>1296</v>
      </c>
      <c r="P498" s="105" t="s">
        <v>27</v>
      </c>
      <c r="Q498" s="106" t="s">
        <v>1297</v>
      </c>
      <c r="R498" s="107" t="s">
        <v>71</v>
      </c>
      <c r="S498" s="108" t="n">
        <v>1</v>
      </c>
      <c r="T498" s="109" t="n">
        <v>627.82</v>
      </c>
      <c r="U498" s="110" t="n">
        <f aca="false">ROUND(T498*$S498,2)</f>
        <v>627.82</v>
      </c>
      <c r="V498" s="111"/>
      <c r="W498" s="110"/>
      <c r="X498" s="111"/>
      <c r="Y498" s="110"/>
      <c r="Z498" s="108"/>
      <c r="AA498" s="110"/>
    </row>
    <row r="499" customFormat="false" ht="26.1" hidden="false" customHeight="true" outlineLevel="0" collapsed="false">
      <c r="A499" s="97" t="n">
        <v>5</v>
      </c>
      <c r="B499" s="98" t="s">
        <v>139</v>
      </c>
      <c r="C499" s="99" t="s">
        <v>836</v>
      </c>
      <c r="D499" s="100" t="str">
        <f aca="false">B499&amp;"_"&amp;E499</f>
        <v>5.1_1.15.16</v>
      </c>
      <c r="E499" s="101" t="s">
        <v>1298</v>
      </c>
      <c r="F499" s="102" t="s">
        <v>1294</v>
      </c>
      <c r="G499" s="103" t="s">
        <v>46</v>
      </c>
      <c r="H499" s="103" t="s">
        <v>46</v>
      </c>
      <c r="I499" s="103" t="s">
        <v>1295</v>
      </c>
      <c r="J499" s="103" t="s">
        <v>46</v>
      </c>
      <c r="K499" s="103" t="n">
        <v>150</v>
      </c>
      <c r="L499" s="103" t="s">
        <v>852</v>
      </c>
      <c r="M499" s="103" t="s">
        <v>841</v>
      </c>
      <c r="N499" s="103" t="s">
        <v>842</v>
      </c>
      <c r="O499" s="104" t="s">
        <v>1299</v>
      </c>
      <c r="P499" s="105" t="s">
        <v>27</v>
      </c>
      <c r="Q499" s="106" t="s">
        <v>1300</v>
      </c>
      <c r="R499" s="107" t="s">
        <v>71</v>
      </c>
      <c r="S499" s="108" t="n">
        <v>5</v>
      </c>
      <c r="T499" s="109" t="n">
        <v>902.61</v>
      </c>
      <c r="U499" s="110" t="n">
        <f aca="false">ROUND(T499*$S499,2)</f>
        <v>4513.05</v>
      </c>
      <c r="V499" s="111"/>
      <c r="W499" s="110"/>
      <c r="X499" s="111"/>
      <c r="Y499" s="110"/>
      <c r="Z499" s="108"/>
      <c r="AA499" s="110"/>
    </row>
    <row r="500" customFormat="false" ht="26.1" hidden="false" customHeight="true" outlineLevel="0" collapsed="false">
      <c r="A500" s="97" t="n">
        <v>5</v>
      </c>
      <c r="B500" s="98" t="s">
        <v>139</v>
      </c>
      <c r="C500" s="99" t="s">
        <v>836</v>
      </c>
      <c r="D500" s="100" t="str">
        <f aca="false">B500&amp;"_"&amp;E500</f>
        <v>5.1_1.15.17</v>
      </c>
      <c r="E500" s="101" t="s">
        <v>1301</v>
      </c>
      <c r="F500" s="102" t="s">
        <v>1294</v>
      </c>
      <c r="G500" s="103" t="s">
        <v>46</v>
      </c>
      <c r="H500" s="103" t="s">
        <v>46</v>
      </c>
      <c r="I500" s="103" t="s">
        <v>1295</v>
      </c>
      <c r="J500" s="103" t="s">
        <v>46</v>
      </c>
      <c r="K500" s="103" t="n">
        <v>200</v>
      </c>
      <c r="L500" s="103" t="s">
        <v>852</v>
      </c>
      <c r="M500" s="103" t="s">
        <v>841</v>
      </c>
      <c r="N500" s="103" t="s">
        <v>842</v>
      </c>
      <c r="O500" s="104" t="s">
        <v>1302</v>
      </c>
      <c r="P500" s="105" t="s">
        <v>27</v>
      </c>
      <c r="Q500" s="106" t="s">
        <v>1303</v>
      </c>
      <c r="R500" s="107" t="s">
        <v>71</v>
      </c>
      <c r="S500" s="108" t="n">
        <v>5</v>
      </c>
      <c r="T500" s="109" t="n">
        <v>1150.84</v>
      </c>
      <c r="U500" s="110" t="n">
        <f aca="false">ROUND(T500*$S500,2)</f>
        <v>5754.2</v>
      </c>
      <c r="V500" s="111"/>
      <c r="W500" s="110"/>
      <c r="X500" s="111"/>
      <c r="Y500" s="110"/>
      <c r="Z500" s="108"/>
      <c r="AA500" s="110"/>
    </row>
    <row r="501" customFormat="false" ht="26.1" hidden="false" customHeight="true" outlineLevel="0" collapsed="false">
      <c r="A501" s="97" t="n">
        <v>5</v>
      </c>
      <c r="B501" s="98" t="s">
        <v>139</v>
      </c>
      <c r="C501" s="99" t="s">
        <v>836</v>
      </c>
      <c r="D501" s="100" t="str">
        <f aca="false">B501&amp;"_"&amp;E501</f>
        <v>5.1_1.15.18</v>
      </c>
      <c r="E501" s="101" t="s">
        <v>1304</v>
      </c>
      <c r="F501" s="102" t="s">
        <v>1294</v>
      </c>
      <c r="G501" s="103" t="s">
        <v>46</v>
      </c>
      <c r="H501" s="103" t="s">
        <v>46</v>
      </c>
      <c r="I501" s="103" t="s">
        <v>1295</v>
      </c>
      <c r="J501" s="103" t="s">
        <v>46</v>
      </c>
      <c r="K501" s="103" t="n">
        <v>300</v>
      </c>
      <c r="L501" s="103" t="s">
        <v>852</v>
      </c>
      <c r="M501" s="103" t="s">
        <v>841</v>
      </c>
      <c r="N501" s="103" t="s">
        <v>842</v>
      </c>
      <c r="O501" s="104" t="s">
        <v>1305</v>
      </c>
      <c r="P501" s="105" t="s">
        <v>27</v>
      </c>
      <c r="Q501" s="106" t="s">
        <v>1306</v>
      </c>
      <c r="R501" s="107" t="s">
        <v>71</v>
      </c>
      <c r="S501" s="108" t="n">
        <v>1</v>
      </c>
      <c r="T501" s="109" t="n">
        <v>2215.8</v>
      </c>
      <c r="U501" s="110" t="n">
        <f aca="false">ROUND(T501*$S501,2)</f>
        <v>2215.8</v>
      </c>
      <c r="V501" s="111"/>
      <c r="W501" s="110"/>
      <c r="X501" s="111"/>
      <c r="Y501" s="110"/>
      <c r="Z501" s="108"/>
      <c r="AA501" s="110"/>
    </row>
    <row r="502" customFormat="false" ht="26.1" hidden="false" customHeight="true" outlineLevel="0" collapsed="false">
      <c r="A502" s="97" t="n">
        <v>5</v>
      </c>
      <c r="B502" s="98" t="s">
        <v>139</v>
      </c>
      <c r="C502" s="99" t="s">
        <v>836</v>
      </c>
      <c r="D502" s="100" t="str">
        <f aca="false">B502&amp;"_"&amp;E502</f>
        <v>5.1_1.15.19</v>
      </c>
      <c r="E502" s="101" t="s">
        <v>1307</v>
      </c>
      <c r="F502" s="102" t="s">
        <v>1294</v>
      </c>
      <c r="G502" s="103" t="s">
        <v>46</v>
      </c>
      <c r="H502" s="103" t="s">
        <v>46</v>
      </c>
      <c r="I502" s="103" t="s">
        <v>1295</v>
      </c>
      <c r="J502" s="103" t="s">
        <v>46</v>
      </c>
      <c r="K502" s="103" t="n">
        <v>50</v>
      </c>
      <c r="L502" s="103" t="s">
        <v>852</v>
      </c>
      <c r="M502" s="103" t="s">
        <v>841</v>
      </c>
      <c r="N502" s="103" t="s">
        <v>842</v>
      </c>
      <c r="O502" s="104" t="s">
        <v>1308</v>
      </c>
      <c r="P502" s="105" t="s">
        <v>27</v>
      </c>
      <c r="Q502" s="106" t="s">
        <v>1309</v>
      </c>
      <c r="R502" s="107" t="s">
        <v>71</v>
      </c>
      <c r="S502" s="108" t="n">
        <v>8</v>
      </c>
      <c r="T502" s="109" t="n">
        <v>532.63</v>
      </c>
      <c r="U502" s="110" t="n">
        <f aca="false">ROUND(T502*$S502,2)</f>
        <v>4261.04</v>
      </c>
      <c r="V502" s="111"/>
      <c r="W502" s="110"/>
      <c r="X502" s="111"/>
      <c r="Y502" s="110"/>
      <c r="Z502" s="108"/>
      <c r="AA502" s="110"/>
    </row>
    <row r="503" customFormat="false" ht="26.1" hidden="false" customHeight="true" outlineLevel="0" collapsed="false">
      <c r="A503" s="97" t="n">
        <v>5</v>
      </c>
      <c r="B503" s="98" t="s">
        <v>139</v>
      </c>
      <c r="C503" s="99" t="s">
        <v>836</v>
      </c>
      <c r="D503" s="100" t="str">
        <f aca="false">B503&amp;"_"&amp;E503</f>
        <v>5.1_1.15.20</v>
      </c>
      <c r="E503" s="101" t="s">
        <v>1310</v>
      </c>
      <c r="F503" s="102" t="s">
        <v>1294</v>
      </c>
      <c r="G503" s="103" t="s">
        <v>46</v>
      </c>
      <c r="H503" s="103" t="s">
        <v>46</v>
      </c>
      <c r="I503" s="103" t="s">
        <v>1295</v>
      </c>
      <c r="J503" s="103" t="s">
        <v>46</v>
      </c>
      <c r="K503" s="103" t="n">
        <v>80</v>
      </c>
      <c r="L503" s="103" t="s">
        <v>852</v>
      </c>
      <c r="M503" s="103" t="s">
        <v>841</v>
      </c>
      <c r="N503" s="103" t="s">
        <v>842</v>
      </c>
      <c r="O503" s="104" t="s">
        <v>1311</v>
      </c>
      <c r="P503" s="105" t="s">
        <v>27</v>
      </c>
      <c r="Q503" s="106" t="s">
        <v>1312</v>
      </c>
      <c r="R503" s="107" t="s">
        <v>71</v>
      </c>
      <c r="S503" s="108" t="n">
        <v>10</v>
      </c>
      <c r="T503" s="109" t="n">
        <v>568.79</v>
      </c>
      <c r="U503" s="110" t="n">
        <f aca="false">ROUND(T503*$S503,2)</f>
        <v>5687.9</v>
      </c>
      <c r="V503" s="111"/>
      <c r="W503" s="110"/>
      <c r="X503" s="111"/>
      <c r="Y503" s="110"/>
      <c r="Z503" s="108"/>
      <c r="AA503" s="110"/>
    </row>
    <row r="504" customFormat="false" ht="26.1" hidden="false" customHeight="true" outlineLevel="0" collapsed="false">
      <c r="A504" s="97" t="n">
        <v>5</v>
      </c>
      <c r="B504" s="98" t="s">
        <v>139</v>
      </c>
      <c r="C504" s="99" t="s">
        <v>836</v>
      </c>
      <c r="D504" s="100" t="str">
        <f aca="false">B504&amp;"_"&amp;E504</f>
        <v>5.1_1.15.21</v>
      </c>
      <c r="E504" s="101" t="s">
        <v>1313</v>
      </c>
      <c r="F504" s="102" t="s">
        <v>1314</v>
      </c>
      <c r="G504" s="103" t="s">
        <v>112</v>
      </c>
      <c r="H504" s="103" t="s">
        <v>46</v>
      </c>
      <c r="I504" s="103" t="s">
        <v>1315</v>
      </c>
      <c r="J504" s="103" t="s">
        <v>46</v>
      </c>
      <c r="K504" s="103" t="s">
        <v>1316</v>
      </c>
      <c r="L504" s="103" t="s">
        <v>852</v>
      </c>
      <c r="M504" s="103" t="s">
        <v>841</v>
      </c>
      <c r="N504" s="103" t="s">
        <v>842</v>
      </c>
      <c r="O504" s="104" t="s">
        <v>1317</v>
      </c>
      <c r="P504" s="105" t="s">
        <v>27</v>
      </c>
      <c r="Q504" s="106" t="s">
        <v>1318</v>
      </c>
      <c r="R504" s="107" t="s">
        <v>71</v>
      </c>
      <c r="S504" s="108" t="n">
        <v>2</v>
      </c>
      <c r="T504" s="109" t="n">
        <v>2825.59</v>
      </c>
      <c r="U504" s="110" t="n">
        <f aca="false">ROUND(T504*$S504,2)</f>
        <v>5651.18</v>
      </c>
      <c r="V504" s="111"/>
      <c r="W504" s="110"/>
      <c r="X504" s="111"/>
      <c r="Y504" s="110"/>
      <c r="Z504" s="108"/>
      <c r="AA504" s="110"/>
    </row>
    <row r="505" customFormat="false" ht="26.1" hidden="false" customHeight="true" outlineLevel="0" collapsed="false">
      <c r="A505" s="97" t="n">
        <v>5</v>
      </c>
      <c r="B505" s="98" t="s">
        <v>139</v>
      </c>
      <c r="C505" s="99" t="s">
        <v>836</v>
      </c>
      <c r="D505" s="100" t="str">
        <f aca="false">B505&amp;"_"&amp;E505</f>
        <v>5.1_1.15.22</v>
      </c>
      <c r="E505" s="101" t="s">
        <v>1319</v>
      </c>
      <c r="F505" s="102" t="s">
        <v>1314</v>
      </c>
      <c r="G505" s="103" t="s">
        <v>874</v>
      </c>
      <c r="H505" s="103" t="s">
        <v>46</v>
      </c>
      <c r="I505" s="103" t="s">
        <v>1315</v>
      </c>
      <c r="J505" s="103" t="s">
        <v>46</v>
      </c>
      <c r="K505" s="103" t="s">
        <v>1320</v>
      </c>
      <c r="L505" s="103" t="s">
        <v>852</v>
      </c>
      <c r="M505" s="103" t="s">
        <v>841</v>
      </c>
      <c r="N505" s="103" t="s">
        <v>842</v>
      </c>
      <c r="O505" s="104" t="s">
        <v>1321</v>
      </c>
      <c r="P505" s="105" t="s">
        <v>27</v>
      </c>
      <c r="Q505" s="106" t="s">
        <v>1322</v>
      </c>
      <c r="R505" s="107" t="s">
        <v>71</v>
      </c>
      <c r="S505" s="108" t="n">
        <v>4</v>
      </c>
      <c r="T505" s="109" t="n">
        <v>639.77</v>
      </c>
      <c r="U505" s="110" t="n">
        <f aca="false">ROUND(T505*$S505,2)</f>
        <v>2559.08</v>
      </c>
      <c r="V505" s="111"/>
      <c r="W505" s="110"/>
      <c r="X505" s="111"/>
      <c r="Y505" s="110"/>
      <c r="Z505" s="108"/>
      <c r="AA505" s="110"/>
    </row>
    <row r="506" customFormat="false" ht="26.1" hidden="false" customHeight="true" outlineLevel="0" collapsed="false">
      <c r="A506" s="97" t="n">
        <v>5</v>
      </c>
      <c r="B506" s="98" t="s">
        <v>139</v>
      </c>
      <c r="C506" s="99" t="s">
        <v>836</v>
      </c>
      <c r="D506" s="100" t="str">
        <f aca="false">B506&amp;"_"&amp;E506</f>
        <v>5.1_1.15.23</v>
      </c>
      <c r="E506" s="101" t="s">
        <v>1323</v>
      </c>
      <c r="F506" s="102" t="s">
        <v>1314</v>
      </c>
      <c r="G506" s="103" t="s">
        <v>874</v>
      </c>
      <c r="H506" s="103" t="s">
        <v>46</v>
      </c>
      <c r="I506" s="103" t="s">
        <v>1315</v>
      </c>
      <c r="J506" s="103" t="s">
        <v>46</v>
      </c>
      <c r="K506" s="103" t="s">
        <v>1324</v>
      </c>
      <c r="L506" s="103" t="s">
        <v>852</v>
      </c>
      <c r="M506" s="103" t="s">
        <v>841</v>
      </c>
      <c r="N506" s="103" t="s">
        <v>842</v>
      </c>
      <c r="O506" s="104" t="s">
        <v>1325</v>
      </c>
      <c r="P506" s="105" t="s">
        <v>27</v>
      </c>
      <c r="Q506" s="106" t="s">
        <v>1326</v>
      </c>
      <c r="R506" s="107" t="s">
        <v>71</v>
      </c>
      <c r="S506" s="108" t="n">
        <v>2</v>
      </c>
      <c r="T506" s="109" t="n">
        <v>4547.72</v>
      </c>
      <c r="U506" s="110" t="n">
        <f aca="false">ROUND(T506*$S506,2)</f>
        <v>9095.44</v>
      </c>
      <c r="V506" s="111"/>
      <c r="W506" s="110"/>
      <c r="X506" s="111"/>
      <c r="Y506" s="110"/>
      <c r="Z506" s="108"/>
      <c r="AA506" s="110"/>
    </row>
    <row r="507" customFormat="false" ht="26.1" hidden="false" customHeight="true" outlineLevel="0" collapsed="false">
      <c r="A507" s="97" t="n">
        <v>5</v>
      </c>
      <c r="B507" s="98" t="s">
        <v>139</v>
      </c>
      <c r="C507" s="99" t="s">
        <v>836</v>
      </c>
      <c r="D507" s="100" t="str">
        <f aca="false">B507&amp;"_"&amp;E507</f>
        <v>5.1_1.15.24</v>
      </c>
      <c r="E507" s="101" t="s">
        <v>1327</v>
      </c>
      <c r="F507" s="102" t="s">
        <v>1314</v>
      </c>
      <c r="G507" s="103" t="s">
        <v>874</v>
      </c>
      <c r="H507" s="103" t="s">
        <v>46</v>
      </c>
      <c r="I507" s="103" t="s">
        <v>1315</v>
      </c>
      <c r="J507" s="103" t="s">
        <v>46</v>
      </c>
      <c r="K507" s="103" t="s">
        <v>1328</v>
      </c>
      <c r="L507" s="103" t="s">
        <v>852</v>
      </c>
      <c r="M507" s="103" t="s">
        <v>841</v>
      </c>
      <c r="N507" s="103" t="s">
        <v>842</v>
      </c>
      <c r="O507" s="104" t="s">
        <v>1329</v>
      </c>
      <c r="P507" s="105" t="s">
        <v>27</v>
      </c>
      <c r="Q507" s="106" t="s">
        <v>1330</v>
      </c>
      <c r="R507" s="107" t="s">
        <v>71</v>
      </c>
      <c r="S507" s="108" t="n">
        <v>12</v>
      </c>
      <c r="T507" s="109" t="n">
        <v>539.39</v>
      </c>
      <c r="U507" s="110" t="n">
        <f aca="false">ROUND(T507*$S507,2)</f>
        <v>6472.68</v>
      </c>
      <c r="V507" s="111"/>
      <c r="W507" s="110"/>
      <c r="X507" s="111"/>
      <c r="Y507" s="110"/>
      <c r="Z507" s="108"/>
      <c r="AA507" s="110"/>
    </row>
    <row r="508" customFormat="false" ht="26.1" hidden="false" customHeight="true" outlineLevel="0" collapsed="false">
      <c r="A508" s="97" t="n">
        <v>5</v>
      </c>
      <c r="B508" s="98" t="s">
        <v>139</v>
      </c>
      <c r="C508" s="99" t="s">
        <v>836</v>
      </c>
      <c r="D508" s="100" t="str">
        <f aca="false">B508&amp;"_"&amp;E508</f>
        <v>5.1_1.15.25</v>
      </c>
      <c r="E508" s="101" t="s">
        <v>1331</v>
      </c>
      <c r="F508" s="102" t="s">
        <v>1314</v>
      </c>
      <c r="G508" s="103" t="s">
        <v>874</v>
      </c>
      <c r="H508" s="103" t="s">
        <v>46</v>
      </c>
      <c r="I508" s="103" t="s">
        <v>1315</v>
      </c>
      <c r="J508" s="103" t="s">
        <v>46</v>
      </c>
      <c r="K508" s="103" t="s">
        <v>1112</v>
      </c>
      <c r="L508" s="103" t="s">
        <v>852</v>
      </c>
      <c r="M508" s="103" t="s">
        <v>841</v>
      </c>
      <c r="N508" s="103" t="s">
        <v>842</v>
      </c>
      <c r="O508" s="104" t="s">
        <v>1332</v>
      </c>
      <c r="P508" s="105" t="s">
        <v>27</v>
      </c>
      <c r="Q508" s="106" t="s">
        <v>1333</v>
      </c>
      <c r="R508" s="107" t="s">
        <v>71</v>
      </c>
      <c r="S508" s="108" t="n">
        <v>4</v>
      </c>
      <c r="T508" s="109" t="n">
        <v>1052.95</v>
      </c>
      <c r="U508" s="110" t="n">
        <f aca="false">ROUND(T508*$S508,2)</f>
        <v>4211.8</v>
      </c>
      <c r="V508" s="111"/>
      <c r="W508" s="110"/>
      <c r="X508" s="111"/>
      <c r="Y508" s="110"/>
      <c r="Z508" s="108"/>
      <c r="AA508" s="110"/>
    </row>
    <row r="509" customFormat="false" ht="26.1" hidden="false" customHeight="true" outlineLevel="0" collapsed="false">
      <c r="A509" s="97" t="n">
        <v>5</v>
      </c>
      <c r="B509" s="98" t="s">
        <v>139</v>
      </c>
      <c r="C509" s="99" t="s">
        <v>836</v>
      </c>
      <c r="D509" s="100" t="str">
        <f aca="false">B509&amp;"_"&amp;E509</f>
        <v>5.1_1.15.26</v>
      </c>
      <c r="E509" s="101" t="s">
        <v>1334</v>
      </c>
      <c r="F509" s="102" t="s">
        <v>1335</v>
      </c>
      <c r="G509" s="103" t="s">
        <v>112</v>
      </c>
      <c r="H509" s="103" t="s">
        <v>46</v>
      </c>
      <c r="I509" s="103" t="s">
        <v>1336</v>
      </c>
      <c r="J509" s="103" t="s">
        <v>46</v>
      </c>
      <c r="K509" s="103" t="s">
        <v>1337</v>
      </c>
      <c r="L509" s="103" t="s">
        <v>852</v>
      </c>
      <c r="M509" s="103" t="s">
        <v>841</v>
      </c>
      <c r="N509" s="103" t="s">
        <v>842</v>
      </c>
      <c r="O509" s="104" t="s">
        <v>1338</v>
      </c>
      <c r="P509" s="105" t="s">
        <v>27</v>
      </c>
      <c r="Q509" s="106" t="s">
        <v>1339</v>
      </c>
      <c r="R509" s="107" t="s">
        <v>71</v>
      </c>
      <c r="S509" s="108" t="n">
        <v>2</v>
      </c>
      <c r="T509" s="109" t="n">
        <v>486.98</v>
      </c>
      <c r="U509" s="110" t="n">
        <f aca="false">ROUND(T509*$S509,2)</f>
        <v>973.96</v>
      </c>
      <c r="V509" s="111"/>
      <c r="W509" s="110"/>
      <c r="X509" s="111"/>
      <c r="Y509" s="110"/>
      <c r="Z509" s="108"/>
      <c r="AA509" s="110"/>
    </row>
    <row r="510" customFormat="false" ht="26.1" hidden="false" customHeight="true" outlineLevel="0" collapsed="false">
      <c r="A510" s="97" t="n">
        <v>5</v>
      </c>
      <c r="B510" s="98" t="s">
        <v>139</v>
      </c>
      <c r="C510" s="99" t="s">
        <v>836</v>
      </c>
      <c r="D510" s="100" t="str">
        <f aca="false">B510&amp;"_"&amp;E510</f>
        <v>5.1_1.15.27</v>
      </c>
      <c r="E510" s="101" t="s">
        <v>1340</v>
      </c>
      <c r="F510" s="102" t="s">
        <v>1335</v>
      </c>
      <c r="G510" s="103" t="s">
        <v>874</v>
      </c>
      <c r="H510" s="103" t="s">
        <v>46</v>
      </c>
      <c r="I510" s="103" t="s">
        <v>1336</v>
      </c>
      <c r="J510" s="103" t="s">
        <v>46</v>
      </c>
      <c r="K510" s="103" t="s">
        <v>1341</v>
      </c>
      <c r="L510" s="103" t="s">
        <v>852</v>
      </c>
      <c r="M510" s="103" t="s">
        <v>841</v>
      </c>
      <c r="N510" s="103" t="s">
        <v>842</v>
      </c>
      <c r="O510" s="104" t="s">
        <v>1342</v>
      </c>
      <c r="P510" s="105" t="s">
        <v>27</v>
      </c>
      <c r="Q510" s="106" t="s">
        <v>1343</v>
      </c>
      <c r="R510" s="107" t="s">
        <v>71</v>
      </c>
      <c r="S510" s="108" t="n">
        <v>2</v>
      </c>
      <c r="T510" s="109" t="n">
        <v>879.31</v>
      </c>
      <c r="U510" s="110" t="n">
        <f aca="false">ROUND(T510*$S510,2)</f>
        <v>1758.62</v>
      </c>
      <c r="V510" s="111"/>
      <c r="W510" s="110"/>
      <c r="X510" s="111"/>
      <c r="Y510" s="110"/>
      <c r="Z510" s="108"/>
      <c r="AA510" s="110"/>
    </row>
    <row r="511" customFormat="false" ht="26.1" hidden="false" customHeight="true" outlineLevel="0" collapsed="false">
      <c r="A511" s="97" t="n">
        <v>5</v>
      </c>
      <c r="B511" s="98" t="s">
        <v>139</v>
      </c>
      <c r="C511" s="99" t="s">
        <v>836</v>
      </c>
      <c r="D511" s="100" t="str">
        <f aca="false">B511&amp;"_"&amp;E511</f>
        <v>5.1_1.15.28</v>
      </c>
      <c r="E511" s="101" t="s">
        <v>1344</v>
      </c>
      <c r="F511" s="102" t="s">
        <v>1335</v>
      </c>
      <c r="G511" s="103" t="s">
        <v>1261</v>
      </c>
      <c r="H511" s="103" t="s">
        <v>46</v>
      </c>
      <c r="I511" s="103" t="s">
        <v>1336</v>
      </c>
      <c r="J511" s="103" t="s">
        <v>46</v>
      </c>
      <c r="K511" s="103" t="s">
        <v>1345</v>
      </c>
      <c r="L511" s="103" t="s">
        <v>852</v>
      </c>
      <c r="M511" s="103" t="s">
        <v>841</v>
      </c>
      <c r="N511" s="103" t="s">
        <v>842</v>
      </c>
      <c r="O511" s="104" t="s">
        <v>1346</v>
      </c>
      <c r="P511" s="105" t="s">
        <v>27</v>
      </c>
      <c r="Q511" s="106" t="s">
        <v>1347</v>
      </c>
      <c r="R511" s="107" t="s">
        <v>71</v>
      </c>
      <c r="S511" s="108" t="n">
        <v>10</v>
      </c>
      <c r="T511" s="109" t="n">
        <v>305.74</v>
      </c>
      <c r="U511" s="110" t="n">
        <f aca="false">ROUND(T511*$S511,2)</f>
        <v>3057.4</v>
      </c>
      <c r="V511" s="111"/>
      <c r="W511" s="110"/>
      <c r="X511" s="111"/>
      <c r="Y511" s="110"/>
      <c r="Z511" s="108"/>
      <c r="AA511" s="110"/>
    </row>
    <row r="512" customFormat="false" ht="26.1" hidden="false" customHeight="true" outlineLevel="0" collapsed="false">
      <c r="A512" s="97" t="n">
        <v>5</v>
      </c>
      <c r="B512" s="98" t="s">
        <v>139</v>
      </c>
      <c r="C512" s="99" t="s">
        <v>836</v>
      </c>
      <c r="D512" s="100" t="str">
        <f aca="false">B512&amp;"_"&amp;E512</f>
        <v>5.1_1.15.29</v>
      </c>
      <c r="E512" s="101" t="s">
        <v>1348</v>
      </c>
      <c r="F512" s="102" t="s">
        <v>1349</v>
      </c>
      <c r="G512" s="103" t="s">
        <v>874</v>
      </c>
      <c r="H512" s="103" t="s">
        <v>46</v>
      </c>
      <c r="I512" s="103" t="s">
        <v>1149</v>
      </c>
      <c r="J512" s="103" t="s">
        <v>46</v>
      </c>
      <c r="K512" s="103" t="n">
        <v>200</v>
      </c>
      <c r="L512" s="103" t="s">
        <v>852</v>
      </c>
      <c r="M512" s="103" t="s">
        <v>841</v>
      </c>
      <c r="N512" s="103" t="s">
        <v>842</v>
      </c>
      <c r="O512" s="104" t="s">
        <v>1350</v>
      </c>
      <c r="P512" s="105" t="s">
        <v>27</v>
      </c>
      <c r="Q512" s="106" t="s">
        <v>1351</v>
      </c>
      <c r="R512" s="107" t="s">
        <v>71</v>
      </c>
      <c r="S512" s="108" t="n">
        <v>1</v>
      </c>
      <c r="T512" s="109" t="n">
        <v>1264.75</v>
      </c>
      <c r="U512" s="110" t="n">
        <f aca="false">ROUND(T512*$S512,2)</f>
        <v>1264.75</v>
      </c>
      <c r="V512" s="111"/>
      <c r="W512" s="110"/>
      <c r="X512" s="111"/>
      <c r="Y512" s="110"/>
      <c r="Z512" s="108"/>
      <c r="AA512" s="110"/>
    </row>
    <row r="513" customFormat="false" ht="26.1" hidden="false" customHeight="true" outlineLevel="0" collapsed="false">
      <c r="A513" s="97" t="n">
        <v>5</v>
      </c>
      <c r="B513" s="98" t="s">
        <v>139</v>
      </c>
      <c r="C513" s="99" t="s">
        <v>836</v>
      </c>
      <c r="D513" s="100" t="str">
        <f aca="false">B513&amp;"_"&amp;E513</f>
        <v>5.1_1.15.30</v>
      </c>
      <c r="E513" s="101" t="s">
        <v>1352</v>
      </c>
      <c r="F513" s="102" t="s">
        <v>1353</v>
      </c>
      <c r="G513" s="103" t="s">
        <v>874</v>
      </c>
      <c r="H513" s="103" t="s">
        <v>46</v>
      </c>
      <c r="I513" s="103" t="s">
        <v>1354</v>
      </c>
      <c r="J513" s="103" t="s">
        <v>46</v>
      </c>
      <c r="K513" s="103" t="n">
        <v>150</v>
      </c>
      <c r="L513" s="103" t="s">
        <v>852</v>
      </c>
      <c r="M513" s="103" t="s">
        <v>841</v>
      </c>
      <c r="N513" s="103" t="s">
        <v>842</v>
      </c>
      <c r="O513" s="104" t="s">
        <v>1355</v>
      </c>
      <c r="P513" s="105" t="s">
        <v>27</v>
      </c>
      <c r="Q513" s="106" t="s">
        <v>1356</v>
      </c>
      <c r="R513" s="107" t="s">
        <v>71</v>
      </c>
      <c r="S513" s="108" t="n">
        <v>6</v>
      </c>
      <c r="T513" s="109" t="n">
        <v>1057.78</v>
      </c>
      <c r="U513" s="110" t="n">
        <f aca="false">ROUND(T513*$S513,2)</f>
        <v>6346.68</v>
      </c>
      <c r="V513" s="111"/>
      <c r="W513" s="110"/>
      <c r="X513" s="111"/>
      <c r="Y513" s="110"/>
      <c r="Z513" s="108"/>
      <c r="AA513" s="110"/>
    </row>
    <row r="514" customFormat="false" ht="26.1" hidden="false" customHeight="true" outlineLevel="0" collapsed="false">
      <c r="A514" s="97" t="n">
        <v>5</v>
      </c>
      <c r="B514" s="98" t="s">
        <v>139</v>
      </c>
      <c r="C514" s="99" t="s">
        <v>836</v>
      </c>
      <c r="D514" s="100" t="str">
        <f aca="false">B514&amp;"_"&amp;E514</f>
        <v>5.1_1.15.31</v>
      </c>
      <c r="E514" s="101" t="s">
        <v>1357</v>
      </c>
      <c r="F514" s="102" t="s">
        <v>1353</v>
      </c>
      <c r="G514" s="103" t="s">
        <v>874</v>
      </c>
      <c r="H514" s="103" t="s">
        <v>46</v>
      </c>
      <c r="I514" s="103" t="s">
        <v>1354</v>
      </c>
      <c r="J514" s="103" t="s">
        <v>46</v>
      </c>
      <c r="K514" s="103" t="n">
        <v>200</v>
      </c>
      <c r="L514" s="103" t="s">
        <v>852</v>
      </c>
      <c r="M514" s="103" t="s">
        <v>841</v>
      </c>
      <c r="N514" s="103" t="s">
        <v>842</v>
      </c>
      <c r="O514" s="104" t="s">
        <v>1358</v>
      </c>
      <c r="P514" s="105" t="s">
        <v>27</v>
      </c>
      <c r="Q514" s="106" t="s">
        <v>1359</v>
      </c>
      <c r="R514" s="107" t="s">
        <v>71</v>
      </c>
      <c r="S514" s="108" t="n">
        <v>2</v>
      </c>
      <c r="T514" s="109" t="n">
        <v>1356.4</v>
      </c>
      <c r="U514" s="110" t="n">
        <f aca="false">ROUND(T514*$S514,2)</f>
        <v>2712.8</v>
      </c>
      <c r="V514" s="111"/>
      <c r="W514" s="110"/>
      <c r="X514" s="111"/>
      <c r="Y514" s="110"/>
      <c r="Z514" s="108"/>
      <c r="AA514" s="110"/>
    </row>
    <row r="515" customFormat="false" ht="26.1" hidden="false" customHeight="true" outlineLevel="0" collapsed="false">
      <c r="A515" s="97" t="n">
        <v>5</v>
      </c>
      <c r="B515" s="98" t="s">
        <v>139</v>
      </c>
      <c r="C515" s="99" t="s">
        <v>836</v>
      </c>
      <c r="D515" s="100" t="str">
        <f aca="false">B515&amp;"_"&amp;E515</f>
        <v>5.1_1.15.32</v>
      </c>
      <c r="E515" s="101" t="s">
        <v>1360</v>
      </c>
      <c r="F515" s="102" t="s">
        <v>1353</v>
      </c>
      <c r="G515" s="103" t="s">
        <v>1261</v>
      </c>
      <c r="H515" s="103" t="s">
        <v>46</v>
      </c>
      <c r="I515" s="103" t="s">
        <v>1354</v>
      </c>
      <c r="J515" s="103" t="s">
        <v>46</v>
      </c>
      <c r="K515" s="103" t="n">
        <v>80</v>
      </c>
      <c r="L515" s="103" t="s">
        <v>852</v>
      </c>
      <c r="M515" s="103" t="s">
        <v>841</v>
      </c>
      <c r="N515" s="103" t="s">
        <v>842</v>
      </c>
      <c r="O515" s="104" t="s">
        <v>1361</v>
      </c>
      <c r="P515" s="105" t="s">
        <v>27</v>
      </c>
      <c r="Q515" s="106" t="s">
        <v>1362</v>
      </c>
      <c r="R515" s="107" t="s">
        <v>71</v>
      </c>
      <c r="S515" s="108" t="n">
        <v>20</v>
      </c>
      <c r="T515" s="109" t="n">
        <v>635.74</v>
      </c>
      <c r="U515" s="110" t="n">
        <f aca="false">ROUND(T515*$S515,2)</f>
        <v>12714.8</v>
      </c>
      <c r="V515" s="111"/>
      <c r="W515" s="110"/>
      <c r="X515" s="111"/>
      <c r="Y515" s="110"/>
      <c r="Z515" s="108"/>
      <c r="AA515" s="110"/>
    </row>
    <row r="516" customFormat="false" ht="26.1" hidden="false" customHeight="true" outlineLevel="0" collapsed="false">
      <c r="A516" s="97" t="n">
        <v>5</v>
      </c>
      <c r="B516" s="98" t="s">
        <v>139</v>
      </c>
      <c r="C516" s="99" t="s">
        <v>836</v>
      </c>
      <c r="D516" s="100" t="str">
        <f aca="false">B516&amp;"_"&amp;E516</f>
        <v>5.1_1.15.33</v>
      </c>
      <c r="E516" s="101" t="s">
        <v>1363</v>
      </c>
      <c r="F516" s="102" t="s">
        <v>1364</v>
      </c>
      <c r="G516" s="103" t="s">
        <v>112</v>
      </c>
      <c r="H516" s="103" t="s">
        <v>46</v>
      </c>
      <c r="I516" s="103" t="s">
        <v>1354</v>
      </c>
      <c r="J516" s="103" t="s">
        <v>46</v>
      </c>
      <c r="K516" s="103" t="n">
        <v>350</v>
      </c>
      <c r="L516" s="103" t="s">
        <v>852</v>
      </c>
      <c r="M516" s="103" t="s">
        <v>841</v>
      </c>
      <c r="N516" s="103" t="s">
        <v>842</v>
      </c>
      <c r="O516" s="104" t="s">
        <v>1365</v>
      </c>
      <c r="P516" s="105" t="s">
        <v>27</v>
      </c>
      <c r="Q516" s="106" t="s">
        <v>1366</v>
      </c>
      <c r="R516" s="107" t="s">
        <v>71</v>
      </c>
      <c r="S516" s="108" t="n">
        <v>2</v>
      </c>
      <c r="T516" s="109" t="n">
        <v>3576.79</v>
      </c>
      <c r="U516" s="110" t="n">
        <f aca="false">ROUND(T516*$S516,2)</f>
        <v>7153.58</v>
      </c>
      <c r="V516" s="111"/>
      <c r="W516" s="110"/>
      <c r="X516" s="111"/>
      <c r="Y516" s="110"/>
      <c r="Z516" s="108"/>
      <c r="AA516" s="110"/>
    </row>
    <row r="517" customFormat="false" ht="26.1" hidden="false" customHeight="true" outlineLevel="0" collapsed="false">
      <c r="A517" s="97" t="n">
        <v>5</v>
      </c>
      <c r="B517" s="98" t="s">
        <v>139</v>
      </c>
      <c r="C517" s="99" t="s">
        <v>836</v>
      </c>
      <c r="D517" s="100" t="str">
        <f aca="false">B517&amp;"_"&amp;E517</f>
        <v>5.1_1.15.34</v>
      </c>
      <c r="E517" s="101" t="s">
        <v>1367</v>
      </c>
      <c r="F517" s="102" t="s">
        <v>1364</v>
      </c>
      <c r="G517" s="103" t="s">
        <v>112</v>
      </c>
      <c r="H517" s="103" t="s">
        <v>46</v>
      </c>
      <c r="I517" s="103" t="s">
        <v>1354</v>
      </c>
      <c r="J517" s="103" t="s">
        <v>46</v>
      </c>
      <c r="K517" s="103" t="n">
        <v>50</v>
      </c>
      <c r="L517" s="103" t="s">
        <v>852</v>
      </c>
      <c r="M517" s="103" t="s">
        <v>841</v>
      </c>
      <c r="N517" s="103" t="s">
        <v>842</v>
      </c>
      <c r="O517" s="104" t="s">
        <v>1368</v>
      </c>
      <c r="P517" s="105" t="s">
        <v>27</v>
      </c>
      <c r="Q517" s="106" t="s">
        <v>1369</v>
      </c>
      <c r="R517" s="107" t="s">
        <v>71</v>
      </c>
      <c r="S517" s="108" t="n">
        <v>10</v>
      </c>
      <c r="T517" s="109" t="n">
        <v>664.61</v>
      </c>
      <c r="U517" s="110" t="n">
        <f aca="false">ROUND(T517*$S517,2)</f>
        <v>6646.1</v>
      </c>
      <c r="V517" s="111"/>
      <c r="W517" s="110"/>
      <c r="X517" s="111"/>
      <c r="Y517" s="110"/>
      <c r="Z517" s="108"/>
      <c r="AA517" s="110"/>
    </row>
    <row r="518" customFormat="false" ht="26.1" hidden="false" customHeight="true" outlineLevel="0" collapsed="false">
      <c r="A518" s="97" t="n">
        <v>5</v>
      </c>
      <c r="B518" s="98" t="s">
        <v>139</v>
      </c>
      <c r="C518" s="99" t="s">
        <v>836</v>
      </c>
      <c r="D518" s="100" t="str">
        <f aca="false">B518&amp;"_"&amp;E518</f>
        <v>5.1_1.15.35</v>
      </c>
      <c r="E518" s="101" t="s">
        <v>1370</v>
      </c>
      <c r="F518" s="102" t="s">
        <v>1364</v>
      </c>
      <c r="G518" s="103" t="s">
        <v>874</v>
      </c>
      <c r="H518" s="103" t="s">
        <v>46</v>
      </c>
      <c r="I518" s="103" t="s">
        <v>1354</v>
      </c>
      <c r="J518" s="103" t="s">
        <v>46</v>
      </c>
      <c r="K518" s="103" t="n">
        <v>150</v>
      </c>
      <c r="L518" s="103" t="s">
        <v>852</v>
      </c>
      <c r="M518" s="103" t="s">
        <v>841</v>
      </c>
      <c r="N518" s="103" t="s">
        <v>842</v>
      </c>
      <c r="O518" s="104" t="s">
        <v>1371</v>
      </c>
      <c r="P518" s="105" t="s">
        <v>27</v>
      </c>
      <c r="Q518" s="106" t="s">
        <v>1372</v>
      </c>
      <c r="R518" s="107" t="s">
        <v>71</v>
      </c>
      <c r="S518" s="108" t="n">
        <v>10</v>
      </c>
      <c r="T518" s="109" t="n">
        <v>1853.12</v>
      </c>
      <c r="U518" s="110" t="n">
        <f aca="false">ROUND(T518*$S518,2)</f>
        <v>18531.2</v>
      </c>
      <c r="V518" s="111"/>
      <c r="W518" s="110"/>
      <c r="X518" s="111"/>
      <c r="Y518" s="110"/>
      <c r="Z518" s="108"/>
      <c r="AA518" s="110"/>
    </row>
    <row r="519" customFormat="false" ht="26.1" hidden="false" customHeight="true" outlineLevel="0" collapsed="false">
      <c r="A519" s="97" t="n">
        <v>5</v>
      </c>
      <c r="B519" s="98" t="s">
        <v>139</v>
      </c>
      <c r="C519" s="99" t="s">
        <v>836</v>
      </c>
      <c r="D519" s="100" t="str">
        <f aca="false">B519&amp;"_"&amp;E519</f>
        <v>5.1_1.15.36</v>
      </c>
      <c r="E519" s="101" t="s">
        <v>1373</v>
      </c>
      <c r="F519" s="102" t="s">
        <v>1364</v>
      </c>
      <c r="G519" s="103" t="s">
        <v>1261</v>
      </c>
      <c r="H519" s="103" t="s">
        <v>46</v>
      </c>
      <c r="I519" s="103" t="s">
        <v>1354</v>
      </c>
      <c r="J519" s="103" t="s">
        <v>46</v>
      </c>
      <c r="K519" s="103" t="n">
        <v>100</v>
      </c>
      <c r="L519" s="103" t="s">
        <v>852</v>
      </c>
      <c r="M519" s="103" t="s">
        <v>841</v>
      </c>
      <c r="N519" s="103" t="s">
        <v>842</v>
      </c>
      <c r="O519" s="104" t="s">
        <v>1374</v>
      </c>
      <c r="P519" s="105" t="s">
        <v>27</v>
      </c>
      <c r="Q519" s="106" t="s">
        <v>1375</v>
      </c>
      <c r="R519" s="107" t="s">
        <v>71</v>
      </c>
      <c r="S519" s="108" t="n">
        <v>2</v>
      </c>
      <c r="T519" s="109" t="n">
        <v>1523.31</v>
      </c>
      <c r="U519" s="110" t="n">
        <f aca="false">ROUND(T519*$S519,2)</f>
        <v>3046.62</v>
      </c>
      <c r="V519" s="111"/>
      <c r="W519" s="110"/>
      <c r="X519" s="111"/>
      <c r="Y519" s="110"/>
      <c r="Z519" s="108"/>
      <c r="AA519" s="110"/>
    </row>
    <row r="520" customFormat="false" ht="26.1" hidden="false" customHeight="true" outlineLevel="0" collapsed="false">
      <c r="A520" s="97" t="n">
        <v>5</v>
      </c>
      <c r="B520" s="98" t="s">
        <v>139</v>
      </c>
      <c r="C520" s="99" t="s">
        <v>836</v>
      </c>
      <c r="D520" s="100" t="str">
        <f aca="false">B520&amp;"_"&amp;E520</f>
        <v>5.1_1.15.37</v>
      </c>
      <c r="E520" s="101" t="s">
        <v>1376</v>
      </c>
      <c r="F520" s="102" t="s">
        <v>1364</v>
      </c>
      <c r="G520" s="103" t="s">
        <v>1261</v>
      </c>
      <c r="H520" s="103" t="s">
        <v>46</v>
      </c>
      <c r="I520" s="103" t="s">
        <v>1354</v>
      </c>
      <c r="J520" s="103" t="s">
        <v>46</v>
      </c>
      <c r="K520" s="103" t="n">
        <v>80</v>
      </c>
      <c r="L520" s="103" t="s">
        <v>852</v>
      </c>
      <c r="M520" s="103" t="s">
        <v>841</v>
      </c>
      <c r="N520" s="103" t="s">
        <v>842</v>
      </c>
      <c r="O520" s="104" t="s">
        <v>1377</v>
      </c>
      <c r="P520" s="105" t="s">
        <v>27</v>
      </c>
      <c r="Q520" s="106" t="s">
        <v>1378</v>
      </c>
      <c r="R520" s="107" t="s">
        <v>71</v>
      </c>
      <c r="S520" s="108" t="n">
        <v>26</v>
      </c>
      <c r="T520" s="109" t="n">
        <v>1301.46</v>
      </c>
      <c r="U520" s="110" t="n">
        <f aca="false">ROUND(T520*$S520,2)</f>
        <v>33837.96</v>
      </c>
      <c r="V520" s="111"/>
      <c r="W520" s="110"/>
      <c r="X520" s="111"/>
      <c r="Y520" s="110"/>
      <c r="Z520" s="108"/>
      <c r="AA520" s="110"/>
    </row>
    <row r="521" customFormat="false" ht="26.1" hidden="false" customHeight="true" outlineLevel="0" collapsed="false">
      <c r="A521" s="97" t="n">
        <v>5</v>
      </c>
      <c r="B521" s="98" t="s">
        <v>139</v>
      </c>
      <c r="C521" s="99" t="s">
        <v>836</v>
      </c>
      <c r="D521" s="100" t="str">
        <f aca="false">B521&amp;"_"&amp;E521</f>
        <v>5.1_1.15.38</v>
      </c>
      <c r="E521" s="101" t="s">
        <v>1379</v>
      </c>
      <c r="F521" s="102" t="s">
        <v>1364</v>
      </c>
      <c r="G521" s="103" t="s">
        <v>112</v>
      </c>
      <c r="H521" s="103" t="s">
        <v>46</v>
      </c>
      <c r="I521" s="103" t="s">
        <v>1354</v>
      </c>
      <c r="J521" s="103" t="s">
        <v>46</v>
      </c>
      <c r="K521" s="103" t="n">
        <v>200</v>
      </c>
      <c r="L521" s="103" t="s">
        <v>852</v>
      </c>
      <c r="M521" s="103" t="s">
        <v>841</v>
      </c>
      <c r="N521" s="103" t="s">
        <v>842</v>
      </c>
      <c r="O521" s="104" t="s">
        <v>1380</v>
      </c>
      <c r="P521" s="105" t="s">
        <v>27</v>
      </c>
      <c r="Q521" s="106" t="s">
        <v>1381</v>
      </c>
      <c r="R521" s="107" t="s">
        <v>71</v>
      </c>
      <c r="S521" s="108" t="n">
        <v>10</v>
      </c>
      <c r="T521" s="109" t="n">
        <v>2127.42</v>
      </c>
      <c r="U521" s="110" t="n">
        <f aca="false">ROUND(T521*$S521,2)</f>
        <v>21274.2</v>
      </c>
      <c r="V521" s="111"/>
      <c r="W521" s="110"/>
      <c r="X521" s="111"/>
      <c r="Y521" s="110"/>
      <c r="Z521" s="108"/>
      <c r="AA521" s="110"/>
    </row>
    <row r="522" customFormat="false" ht="26.1" hidden="false" customHeight="true" outlineLevel="0" collapsed="false">
      <c r="A522" s="97" t="n">
        <v>5</v>
      </c>
      <c r="B522" s="98" t="s">
        <v>139</v>
      </c>
      <c r="C522" s="99" t="s">
        <v>836</v>
      </c>
      <c r="D522" s="100" t="str">
        <f aca="false">B522&amp;"_"&amp;E522</f>
        <v>5.1_1.15.39</v>
      </c>
      <c r="E522" s="101" t="s">
        <v>1382</v>
      </c>
      <c r="F522" s="102" t="s">
        <v>1383</v>
      </c>
      <c r="G522" s="103" t="s">
        <v>112</v>
      </c>
      <c r="H522" s="103" t="s">
        <v>46</v>
      </c>
      <c r="I522" s="103" t="s">
        <v>111</v>
      </c>
      <c r="J522" s="103" t="s">
        <v>46</v>
      </c>
      <c r="K522" s="103" t="n">
        <v>200</v>
      </c>
      <c r="L522" s="103" t="s">
        <v>852</v>
      </c>
      <c r="M522" s="103" t="s">
        <v>841</v>
      </c>
      <c r="N522" s="103" t="s">
        <v>842</v>
      </c>
      <c r="O522" s="104" t="s">
        <v>1384</v>
      </c>
      <c r="P522" s="105" t="s">
        <v>27</v>
      </c>
      <c r="Q522" s="106" t="s">
        <v>1385</v>
      </c>
      <c r="R522" s="107" t="s">
        <v>71</v>
      </c>
      <c r="S522" s="108" t="n">
        <v>6</v>
      </c>
      <c r="T522" s="109" t="n">
        <v>1249.86</v>
      </c>
      <c r="U522" s="110" t="n">
        <f aca="false">ROUND(T522*$S522,2)</f>
        <v>7499.16</v>
      </c>
      <c r="V522" s="111"/>
      <c r="W522" s="110"/>
      <c r="X522" s="111"/>
      <c r="Y522" s="110"/>
      <c r="Z522" s="108"/>
      <c r="AA522" s="110"/>
    </row>
    <row r="523" customFormat="false" ht="26.1" hidden="false" customHeight="true" outlineLevel="0" collapsed="false">
      <c r="A523" s="97" t="n">
        <v>5</v>
      </c>
      <c r="B523" s="98" t="s">
        <v>139</v>
      </c>
      <c r="C523" s="99" t="s">
        <v>836</v>
      </c>
      <c r="D523" s="100" t="str">
        <f aca="false">B523&amp;"_"&amp;E523</f>
        <v>5.1_1.15.40</v>
      </c>
      <c r="E523" s="101" t="s">
        <v>1386</v>
      </c>
      <c r="F523" s="102" t="s">
        <v>1383</v>
      </c>
      <c r="G523" s="103" t="s">
        <v>112</v>
      </c>
      <c r="H523" s="103" t="s">
        <v>46</v>
      </c>
      <c r="I523" s="103" t="s">
        <v>111</v>
      </c>
      <c r="J523" s="103" t="s">
        <v>46</v>
      </c>
      <c r="K523" s="103" t="n">
        <v>300</v>
      </c>
      <c r="L523" s="103" t="s">
        <v>852</v>
      </c>
      <c r="M523" s="103" t="s">
        <v>841</v>
      </c>
      <c r="N523" s="103" t="s">
        <v>842</v>
      </c>
      <c r="O523" s="104" t="s">
        <v>1387</v>
      </c>
      <c r="P523" s="105" t="s">
        <v>27</v>
      </c>
      <c r="Q523" s="106" t="s">
        <v>1388</v>
      </c>
      <c r="R523" s="107" t="s">
        <v>71</v>
      </c>
      <c r="S523" s="108" t="n">
        <v>2</v>
      </c>
      <c r="T523" s="109" t="n">
        <v>2037.69</v>
      </c>
      <c r="U523" s="110" t="n">
        <f aca="false">ROUND(T523*$S523,2)</f>
        <v>4075.38</v>
      </c>
      <c r="V523" s="111"/>
      <c r="W523" s="110"/>
      <c r="X523" s="111"/>
      <c r="Y523" s="110"/>
      <c r="Z523" s="108"/>
      <c r="AA523" s="110"/>
    </row>
    <row r="524" customFormat="false" ht="26.1" hidden="false" customHeight="true" outlineLevel="0" collapsed="false">
      <c r="A524" s="97" t="n">
        <v>5</v>
      </c>
      <c r="B524" s="98" t="s">
        <v>139</v>
      </c>
      <c r="C524" s="99" t="s">
        <v>836</v>
      </c>
      <c r="D524" s="100" t="str">
        <f aca="false">B524&amp;"_"&amp;E524</f>
        <v>5.1_1.15.41</v>
      </c>
      <c r="E524" s="101" t="s">
        <v>1389</v>
      </c>
      <c r="F524" s="102" t="s">
        <v>1383</v>
      </c>
      <c r="G524" s="103" t="s">
        <v>874</v>
      </c>
      <c r="H524" s="103" t="s">
        <v>46</v>
      </c>
      <c r="I524" s="103" t="s">
        <v>111</v>
      </c>
      <c r="J524" s="103" t="s">
        <v>46</v>
      </c>
      <c r="K524" s="103" t="n">
        <v>100</v>
      </c>
      <c r="L524" s="103" t="s">
        <v>852</v>
      </c>
      <c r="M524" s="103" t="s">
        <v>841</v>
      </c>
      <c r="N524" s="103" t="s">
        <v>842</v>
      </c>
      <c r="O524" s="104" t="s">
        <v>1390</v>
      </c>
      <c r="P524" s="105" t="s">
        <v>27</v>
      </c>
      <c r="Q524" s="106" t="s">
        <v>1391</v>
      </c>
      <c r="R524" s="107" t="s">
        <v>71</v>
      </c>
      <c r="S524" s="108" t="n">
        <v>2</v>
      </c>
      <c r="T524" s="109" t="n">
        <v>985.35</v>
      </c>
      <c r="U524" s="110" t="n">
        <f aca="false">ROUND(T524*$S524,2)</f>
        <v>1970.7</v>
      </c>
      <c r="V524" s="111"/>
      <c r="W524" s="110"/>
      <c r="X524" s="111"/>
      <c r="Y524" s="110"/>
      <c r="Z524" s="108"/>
      <c r="AA524" s="110"/>
    </row>
    <row r="525" customFormat="false" ht="26.1" hidden="false" customHeight="true" outlineLevel="0" collapsed="false">
      <c r="A525" s="97" t="n">
        <v>5</v>
      </c>
      <c r="B525" s="98" t="s">
        <v>139</v>
      </c>
      <c r="C525" s="99" t="s">
        <v>836</v>
      </c>
      <c r="D525" s="100" t="str">
        <f aca="false">B525&amp;"_"&amp;E525</f>
        <v>5.1_1.15.42</v>
      </c>
      <c r="E525" s="101" t="s">
        <v>1392</v>
      </c>
      <c r="F525" s="102" t="s">
        <v>1383</v>
      </c>
      <c r="G525" s="103" t="s">
        <v>874</v>
      </c>
      <c r="H525" s="103" t="s">
        <v>46</v>
      </c>
      <c r="I525" s="103" t="s">
        <v>111</v>
      </c>
      <c r="J525" s="103" t="s">
        <v>46</v>
      </c>
      <c r="K525" s="103" t="n">
        <v>150</v>
      </c>
      <c r="L525" s="103" t="s">
        <v>852</v>
      </c>
      <c r="M525" s="103" t="s">
        <v>841</v>
      </c>
      <c r="N525" s="103" t="s">
        <v>842</v>
      </c>
      <c r="O525" s="104" t="s">
        <v>1393</v>
      </c>
      <c r="P525" s="105" t="s">
        <v>27</v>
      </c>
      <c r="Q525" s="106" t="s">
        <v>1394</v>
      </c>
      <c r="R525" s="107" t="s">
        <v>71</v>
      </c>
      <c r="S525" s="108" t="n">
        <v>10</v>
      </c>
      <c r="T525" s="109" t="n">
        <v>1020.4</v>
      </c>
      <c r="U525" s="110" t="n">
        <f aca="false">ROUND(T525*$S525,2)</f>
        <v>10204</v>
      </c>
      <c r="V525" s="111"/>
      <c r="W525" s="110"/>
      <c r="X525" s="111"/>
      <c r="Y525" s="110"/>
      <c r="Z525" s="108"/>
      <c r="AA525" s="110"/>
    </row>
    <row r="526" customFormat="false" ht="26.1" hidden="false" customHeight="true" outlineLevel="0" collapsed="false">
      <c r="A526" s="97" t="n">
        <v>5</v>
      </c>
      <c r="B526" s="98" t="s">
        <v>139</v>
      </c>
      <c r="C526" s="99" t="s">
        <v>836</v>
      </c>
      <c r="D526" s="100" t="str">
        <f aca="false">B526&amp;"_"&amp;E526</f>
        <v>5.1_1.15.43</v>
      </c>
      <c r="E526" s="101" t="s">
        <v>1395</v>
      </c>
      <c r="F526" s="102" t="s">
        <v>1383</v>
      </c>
      <c r="G526" s="103" t="s">
        <v>1261</v>
      </c>
      <c r="H526" s="103" t="s">
        <v>46</v>
      </c>
      <c r="I526" s="103" t="s">
        <v>111</v>
      </c>
      <c r="J526" s="103" t="s">
        <v>46</v>
      </c>
      <c r="K526" s="103" t="n">
        <v>80</v>
      </c>
      <c r="L526" s="103" t="s">
        <v>852</v>
      </c>
      <c r="M526" s="103" t="s">
        <v>841</v>
      </c>
      <c r="N526" s="103" t="s">
        <v>842</v>
      </c>
      <c r="O526" s="104" t="s">
        <v>1396</v>
      </c>
      <c r="P526" s="105" t="s">
        <v>27</v>
      </c>
      <c r="Q526" s="106" t="s">
        <v>1397</v>
      </c>
      <c r="R526" s="107" t="s">
        <v>71</v>
      </c>
      <c r="S526" s="108" t="n">
        <v>36</v>
      </c>
      <c r="T526" s="109" t="n">
        <v>744.32</v>
      </c>
      <c r="U526" s="110" t="n">
        <f aca="false">ROUND(T526*$S526,2)</f>
        <v>26795.52</v>
      </c>
      <c r="V526" s="111"/>
      <c r="W526" s="110"/>
      <c r="X526" s="111"/>
      <c r="Y526" s="110"/>
      <c r="Z526" s="108"/>
      <c r="AA526" s="110"/>
    </row>
    <row r="527" customFormat="false" ht="26.1" hidden="false" customHeight="true" outlineLevel="0" collapsed="false">
      <c r="A527" s="97" t="n">
        <v>5</v>
      </c>
      <c r="B527" s="98" t="s">
        <v>139</v>
      </c>
      <c r="C527" s="99" t="s">
        <v>836</v>
      </c>
      <c r="D527" s="100" t="str">
        <f aca="false">B527&amp;"_"&amp;E527</f>
        <v>5.1_1.15.44</v>
      </c>
      <c r="E527" s="101" t="s">
        <v>1398</v>
      </c>
      <c r="F527" s="102" t="s">
        <v>1399</v>
      </c>
      <c r="G527" s="103" t="s">
        <v>112</v>
      </c>
      <c r="H527" s="103" t="s">
        <v>46</v>
      </c>
      <c r="I527" s="103" t="s">
        <v>111</v>
      </c>
      <c r="J527" s="103" t="s">
        <v>46</v>
      </c>
      <c r="K527" s="103" t="n">
        <v>200</v>
      </c>
      <c r="L527" s="103" t="s">
        <v>852</v>
      </c>
      <c r="M527" s="103" t="s">
        <v>841</v>
      </c>
      <c r="N527" s="103" t="s">
        <v>842</v>
      </c>
      <c r="O527" s="104" t="s">
        <v>1400</v>
      </c>
      <c r="P527" s="105" t="s">
        <v>27</v>
      </c>
      <c r="Q527" s="106" t="s">
        <v>1401</v>
      </c>
      <c r="R527" s="107" t="s">
        <v>71</v>
      </c>
      <c r="S527" s="108" t="n">
        <v>1</v>
      </c>
      <c r="T527" s="109" t="n">
        <v>1881.11</v>
      </c>
      <c r="U527" s="110" t="n">
        <f aca="false">ROUND(T527*$S527,2)</f>
        <v>1881.11</v>
      </c>
      <c r="V527" s="111"/>
      <c r="W527" s="110"/>
      <c r="X527" s="111"/>
      <c r="Y527" s="110"/>
      <c r="Z527" s="108"/>
      <c r="AA527" s="110"/>
    </row>
    <row r="528" customFormat="false" ht="26.1" hidden="false" customHeight="true" outlineLevel="0" collapsed="false">
      <c r="A528" s="97" t="n">
        <v>5</v>
      </c>
      <c r="B528" s="98" t="s">
        <v>139</v>
      </c>
      <c r="C528" s="99" t="s">
        <v>836</v>
      </c>
      <c r="D528" s="100" t="str">
        <f aca="false">B528&amp;"_"&amp;E528</f>
        <v>5.1_1.15.45</v>
      </c>
      <c r="E528" s="101" t="s">
        <v>1402</v>
      </c>
      <c r="F528" s="102" t="s">
        <v>1403</v>
      </c>
      <c r="G528" s="103" t="s">
        <v>112</v>
      </c>
      <c r="H528" s="103" t="s">
        <v>46</v>
      </c>
      <c r="I528" s="103" t="s">
        <v>111</v>
      </c>
      <c r="J528" s="103" t="s">
        <v>46</v>
      </c>
      <c r="K528" s="103" t="n">
        <v>200</v>
      </c>
      <c r="L528" s="103" t="s">
        <v>852</v>
      </c>
      <c r="M528" s="103" t="s">
        <v>841</v>
      </c>
      <c r="N528" s="103" t="s">
        <v>842</v>
      </c>
      <c r="O528" s="104" t="s">
        <v>1404</v>
      </c>
      <c r="P528" s="105" t="s">
        <v>27</v>
      </c>
      <c r="Q528" s="106" t="s">
        <v>1405</v>
      </c>
      <c r="R528" s="107" t="s">
        <v>71</v>
      </c>
      <c r="S528" s="108" t="n">
        <v>1</v>
      </c>
      <c r="T528" s="109" t="n">
        <v>2867.37</v>
      </c>
      <c r="U528" s="110" t="n">
        <f aca="false">ROUND(T528*$S528,2)</f>
        <v>2867.37</v>
      </c>
      <c r="V528" s="111"/>
      <c r="W528" s="110"/>
      <c r="X528" s="111"/>
      <c r="Y528" s="110"/>
      <c r="Z528" s="108"/>
      <c r="AA528" s="110"/>
    </row>
    <row r="529" customFormat="false" ht="26.1" hidden="false" customHeight="true" outlineLevel="0" collapsed="false">
      <c r="A529" s="97" t="n">
        <v>5</v>
      </c>
      <c r="B529" s="98" t="s">
        <v>139</v>
      </c>
      <c r="C529" s="99" t="s">
        <v>836</v>
      </c>
      <c r="D529" s="100" t="str">
        <f aca="false">B529&amp;"_"&amp;E529</f>
        <v>5.1_1.15.46</v>
      </c>
      <c r="E529" s="101" t="s">
        <v>1406</v>
      </c>
      <c r="F529" s="102" t="s">
        <v>1407</v>
      </c>
      <c r="G529" s="103" t="s">
        <v>112</v>
      </c>
      <c r="H529" s="103" t="s">
        <v>46</v>
      </c>
      <c r="I529" s="103" t="s">
        <v>111</v>
      </c>
      <c r="J529" s="103" t="s">
        <v>46</v>
      </c>
      <c r="K529" s="103" t="n">
        <v>200</v>
      </c>
      <c r="L529" s="103" t="s">
        <v>852</v>
      </c>
      <c r="M529" s="103" t="s">
        <v>841</v>
      </c>
      <c r="N529" s="103" t="s">
        <v>842</v>
      </c>
      <c r="O529" s="104" t="s">
        <v>1408</v>
      </c>
      <c r="P529" s="105" t="s">
        <v>27</v>
      </c>
      <c r="Q529" s="106" t="s">
        <v>1409</v>
      </c>
      <c r="R529" s="107" t="s">
        <v>71</v>
      </c>
      <c r="S529" s="108" t="n">
        <v>6</v>
      </c>
      <c r="T529" s="109" t="n">
        <v>4112.1</v>
      </c>
      <c r="U529" s="110" t="n">
        <f aca="false">ROUND(T529*$S529,2)</f>
        <v>24672.6</v>
      </c>
      <c r="V529" s="111"/>
      <c r="W529" s="110"/>
      <c r="X529" s="111"/>
      <c r="Y529" s="110"/>
      <c r="Z529" s="108"/>
      <c r="AA529" s="110"/>
    </row>
    <row r="530" customFormat="false" ht="20.1" hidden="false" customHeight="true" outlineLevel="0" collapsed="false">
      <c r="A530" s="82" t="n">
        <v>5</v>
      </c>
      <c r="B530" s="83"/>
      <c r="C530" s="84"/>
      <c r="D530" s="85"/>
      <c r="E530" s="86" t="s">
        <v>1410</v>
      </c>
      <c r="F530" s="87"/>
      <c r="G530" s="88"/>
      <c r="H530" s="88"/>
      <c r="I530" s="88"/>
      <c r="J530" s="88"/>
      <c r="K530" s="88"/>
      <c r="L530" s="88"/>
      <c r="M530" s="88"/>
      <c r="N530" s="88"/>
      <c r="O530" s="89" t="s">
        <v>1411</v>
      </c>
      <c r="P530" s="90"/>
      <c r="Q530" s="91" t="s">
        <v>1412</v>
      </c>
      <c r="R530" s="92"/>
      <c r="S530" s="93"/>
      <c r="T530" s="94"/>
      <c r="U530" s="95" t="n">
        <f aca="false">SUM(U531:U531)</f>
        <v>13326.16</v>
      </c>
      <c r="V530" s="96"/>
      <c r="W530" s="95"/>
      <c r="X530" s="96"/>
      <c r="Y530" s="95"/>
      <c r="Z530" s="93"/>
      <c r="AA530" s="95"/>
    </row>
    <row r="531" customFormat="false" ht="26.1" hidden="false" customHeight="true" outlineLevel="0" collapsed="false">
      <c r="A531" s="97" t="n">
        <v>5</v>
      </c>
      <c r="B531" s="98" t="s">
        <v>139</v>
      </c>
      <c r="C531" s="99" t="s">
        <v>836</v>
      </c>
      <c r="D531" s="100" t="str">
        <f aca="false">B531&amp;"_"&amp;E531</f>
        <v>5.1_1.17.1</v>
      </c>
      <c r="E531" s="101" t="s">
        <v>1413</v>
      </c>
      <c r="F531" s="102" t="s">
        <v>1414</v>
      </c>
      <c r="G531" s="103" t="s">
        <v>112</v>
      </c>
      <c r="H531" s="103" t="s">
        <v>46</v>
      </c>
      <c r="I531" s="103" t="s">
        <v>1415</v>
      </c>
      <c r="J531" s="103" t="s">
        <v>46</v>
      </c>
      <c r="K531" s="103" t="n">
        <v>200</v>
      </c>
      <c r="L531" s="103" t="s">
        <v>46</v>
      </c>
      <c r="M531" s="103" t="s">
        <v>841</v>
      </c>
      <c r="N531" s="103" t="s">
        <v>1416</v>
      </c>
      <c r="O531" s="104" t="s">
        <v>1417</v>
      </c>
      <c r="P531" s="105" t="s">
        <v>27</v>
      </c>
      <c r="Q531" s="106" t="s">
        <v>1418</v>
      </c>
      <c r="R531" s="107" t="s">
        <v>71</v>
      </c>
      <c r="S531" s="108" t="n">
        <v>1</v>
      </c>
      <c r="T531" s="109" t="n">
        <v>13326.16</v>
      </c>
      <c r="U531" s="110" t="n">
        <f aca="false">ROUND(T531*$S531,2)</f>
        <v>13326.16</v>
      </c>
      <c r="V531" s="111"/>
      <c r="W531" s="110"/>
      <c r="X531" s="111"/>
      <c r="Y531" s="110"/>
      <c r="Z531" s="108"/>
      <c r="AA531" s="110"/>
    </row>
    <row r="532" customFormat="false" ht="20.1" hidden="false" customHeight="true" outlineLevel="0" collapsed="false">
      <c r="A532" s="82" t="n">
        <v>5</v>
      </c>
      <c r="B532" s="83"/>
      <c r="C532" s="84"/>
      <c r="D532" s="85"/>
      <c r="E532" s="86" t="s">
        <v>121</v>
      </c>
      <c r="F532" s="87"/>
      <c r="G532" s="88"/>
      <c r="H532" s="88"/>
      <c r="I532" s="88"/>
      <c r="J532" s="88"/>
      <c r="K532" s="88"/>
      <c r="L532" s="88"/>
      <c r="M532" s="88"/>
      <c r="N532" s="88"/>
      <c r="O532" s="89" t="s">
        <v>122</v>
      </c>
      <c r="P532" s="90"/>
      <c r="Q532" s="91" t="s">
        <v>123</v>
      </c>
      <c r="R532" s="92"/>
      <c r="S532" s="93"/>
      <c r="T532" s="94"/>
      <c r="U532" s="95" t="n">
        <f aca="false">SUM(U533:U535)</f>
        <v>51992.11</v>
      </c>
      <c r="V532" s="96"/>
      <c r="W532" s="95"/>
      <c r="X532" s="96"/>
      <c r="Y532" s="95"/>
      <c r="Z532" s="93"/>
      <c r="AA532" s="95"/>
    </row>
    <row r="533" customFormat="false" ht="26.1" hidden="false" customHeight="true" outlineLevel="0" collapsed="false">
      <c r="A533" s="97" t="n">
        <v>5</v>
      </c>
      <c r="B533" s="98" t="s">
        <v>139</v>
      </c>
      <c r="C533" s="99" t="s">
        <v>836</v>
      </c>
      <c r="D533" s="100" t="str">
        <f aca="false">B533&amp;"_"&amp;E533</f>
        <v>5.1_1.18.6</v>
      </c>
      <c r="E533" s="101" t="s">
        <v>1419</v>
      </c>
      <c r="F533" s="102" t="s">
        <v>1420</v>
      </c>
      <c r="G533" s="103" t="s">
        <v>46</v>
      </c>
      <c r="H533" s="103" t="s">
        <v>46</v>
      </c>
      <c r="I533" s="103" t="s">
        <v>1421</v>
      </c>
      <c r="J533" s="103" t="s">
        <v>46</v>
      </c>
      <c r="K533" s="103" t="n">
        <v>100</v>
      </c>
      <c r="L533" s="103" t="s">
        <v>852</v>
      </c>
      <c r="M533" s="103" t="s">
        <v>841</v>
      </c>
      <c r="N533" s="103" t="s">
        <v>842</v>
      </c>
      <c r="O533" s="104" t="s">
        <v>1422</v>
      </c>
      <c r="P533" s="105" t="s">
        <v>27</v>
      </c>
      <c r="Q533" s="106" t="s">
        <v>1423</v>
      </c>
      <c r="R533" s="107" t="s">
        <v>71</v>
      </c>
      <c r="S533" s="108" t="n">
        <v>6</v>
      </c>
      <c r="T533" s="109" t="n">
        <v>5610.25</v>
      </c>
      <c r="U533" s="110" t="n">
        <f aca="false">ROUND(T533*$S533,2)</f>
        <v>33661.5</v>
      </c>
      <c r="V533" s="111"/>
      <c r="W533" s="110"/>
      <c r="X533" s="111"/>
      <c r="Y533" s="110"/>
      <c r="Z533" s="108"/>
      <c r="AA533" s="110"/>
    </row>
    <row r="534" customFormat="false" ht="26.1" hidden="false" customHeight="true" outlineLevel="0" collapsed="false">
      <c r="A534" s="97" t="n">
        <v>5</v>
      </c>
      <c r="B534" s="98" t="s">
        <v>139</v>
      </c>
      <c r="C534" s="99" t="s">
        <v>836</v>
      </c>
      <c r="D534" s="100" t="str">
        <f aca="false">B534&amp;"_"&amp;E534</f>
        <v>5.1_1.18.10</v>
      </c>
      <c r="E534" s="101" t="s">
        <v>1424</v>
      </c>
      <c r="F534" s="102" t="s">
        <v>1425</v>
      </c>
      <c r="G534" s="103" t="s">
        <v>1426</v>
      </c>
      <c r="H534" s="103" t="s">
        <v>46</v>
      </c>
      <c r="I534" s="103" t="s">
        <v>1427</v>
      </c>
      <c r="J534" s="103" t="s">
        <v>46</v>
      </c>
      <c r="K534" s="103" t="n">
        <v>600</v>
      </c>
      <c r="L534" s="103" t="s">
        <v>852</v>
      </c>
      <c r="M534" s="103" t="s">
        <v>841</v>
      </c>
      <c r="N534" s="103" t="s">
        <v>853</v>
      </c>
      <c r="O534" s="104" t="s">
        <v>1428</v>
      </c>
      <c r="P534" s="105" t="s">
        <v>27</v>
      </c>
      <c r="Q534" s="106" t="s">
        <v>1429</v>
      </c>
      <c r="R534" s="107" t="s">
        <v>71</v>
      </c>
      <c r="S534" s="108" t="n">
        <v>45</v>
      </c>
      <c r="T534" s="109" t="n">
        <v>407.28</v>
      </c>
      <c r="U534" s="110" t="n">
        <f aca="false">ROUND(T534*$S534,2)</f>
        <v>18327.6</v>
      </c>
      <c r="V534" s="111"/>
      <c r="W534" s="110"/>
      <c r="X534" s="111"/>
      <c r="Y534" s="110"/>
      <c r="Z534" s="108"/>
      <c r="AA534" s="110"/>
    </row>
    <row r="535" customFormat="false" ht="26.1" hidden="false" customHeight="true" outlineLevel="0" collapsed="false">
      <c r="A535" s="97" t="n">
        <v>5</v>
      </c>
      <c r="B535" s="98" t="s">
        <v>139</v>
      </c>
      <c r="C535" s="99" t="s">
        <v>836</v>
      </c>
      <c r="D535" s="100" t="str">
        <f aca="false">B535&amp;"_"&amp;E535</f>
        <v>5.1_1.18.12</v>
      </c>
      <c r="E535" s="101" t="s">
        <v>1430</v>
      </c>
      <c r="F535" s="102" t="s">
        <v>1431</v>
      </c>
      <c r="G535" s="103" t="s">
        <v>46</v>
      </c>
      <c r="H535" s="103" t="s">
        <v>46</v>
      </c>
      <c r="I535" s="103" t="s">
        <v>1432</v>
      </c>
      <c r="J535" s="103" t="s">
        <v>46</v>
      </c>
      <c r="K535" s="103" t="s">
        <v>1433</v>
      </c>
      <c r="L535" s="103" t="s">
        <v>1434</v>
      </c>
      <c r="M535" s="103" t="s">
        <v>841</v>
      </c>
      <c r="N535" s="103" t="s">
        <v>48</v>
      </c>
      <c r="O535" s="104" t="s">
        <v>1435</v>
      </c>
      <c r="P535" s="105" t="s">
        <v>27</v>
      </c>
      <c r="Q535" s="106" t="s">
        <v>1436</v>
      </c>
      <c r="R535" s="107" t="s">
        <v>150</v>
      </c>
      <c r="S535" s="108" t="n">
        <v>0.26</v>
      </c>
      <c r="T535" s="109" t="n">
        <v>11.56</v>
      </c>
      <c r="U535" s="110" t="n">
        <f aca="false">ROUND(T535*$S535,2)</f>
        <v>3.01</v>
      </c>
      <c r="V535" s="111"/>
      <c r="W535" s="110"/>
      <c r="X535" s="111"/>
      <c r="Y535" s="110"/>
      <c r="Z535" s="108"/>
      <c r="AA535" s="110"/>
    </row>
    <row r="536" customFormat="false" ht="20.1" hidden="false" customHeight="true" outlineLevel="0" collapsed="false">
      <c r="A536" s="67" t="n">
        <v>5</v>
      </c>
      <c r="B536" s="68"/>
      <c r="C536" s="69"/>
      <c r="D536" s="70"/>
      <c r="E536" s="71" t="s">
        <v>1437</v>
      </c>
      <c r="F536" s="72"/>
      <c r="G536" s="73"/>
      <c r="H536" s="73"/>
      <c r="I536" s="73"/>
      <c r="J536" s="73"/>
      <c r="K536" s="73"/>
      <c r="L536" s="73"/>
      <c r="M536" s="73"/>
      <c r="N536" s="73"/>
      <c r="O536" s="74" t="s">
        <v>1438</v>
      </c>
      <c r="P536" s="75"/>
      <c r="Q536" s="76" t="s">
        <v>1439</v>
      </c>
      <c r="R536" s="77"/>
      <c r="S536" s="78"/>
      <c r="T536" s="79"/>
      <c r="U536" s="80" t="n">
        <f aca="false">SUM(U537)</f>
        <v>97619.63</v>
      </c>
      <c r="V536" s="81"/>
      <c r="W536" s="80"/>
      <c r="X536" s="81"/>
      <c r="Y536" s="80"/>
      <c r="Z536" s="78"/>
      <c r="AA536" s="80"/>
    </row>
    <row r="537" customFormat="false" ht="20.1" hidden="false" customHeight="true" outlineLevel="0" collapsed="false">
      <c r="A537" s="82" t="n">
        <v>5</v>
      </c>
      <c r="B537" s="83"/>
      <c r="C537" s="84"/>
      <c r="D537" s="85"/>
      <c r="E537" s="86" t="s">
        <v>611</v>
      </c>
      <c r="F537" s="87"/>
      <c r="G537" s="88"/>
      <c r="H537" s="88"/>
      <c r="I537" s="88"/>
      <c r="J537" s="88"/>
      <c r="K537" s="88"/>
      <c r="L537" s="88"/>
      <c r="M537" s="88"/>
      <c r="N537" s="88"/>
      <c r="O537" s="89" t="s">
        <v>1440</v>
      </c>
      <c r="P537" s="90"/>
      <c r="Q537" s="91" t="s">
        <v>1441</v>
      </c>
      <c r="R537" s="92"/>
      <c r="S537" s="93"/>
      <c r="T537" s="94"/>
      <c r="U537" s="95" t="n">
        <f aca="false">SUM(U538:U539)</f>
        <v>97619.63</v>
      </c>
      <c r="V537" s="96"/>
      <c r="W537" s="95"/>
      <c r="X537" s="96"/>
      <c r="Y537" s="95"/>
      <c r="Z537" s="93"/>
      <c r="AA537" s="95"/>
    </row>
    <row r="538" customFormat="false" ht="26.1" hidden="false" customHeight="true" outlineLevel="0" collapsed="false">
      <c r="A538" s="97" t="n">
        <v>5</v>
      </c>
      <c r="B538" s="98" t="s">
        <v>139</v>
      </c>
      <c r="C538" s="99" t="s">
        <v>836</v>
      </c>
      <c r="D538" s="100" t="str">
        <f aca="false">B538&amp;"_"&amp;E538</f>
        <v>5.1_3.1.1</v>
      </c>
      <c r="E538" s="101" t="s">
        <v>1442</v>
      </c>
      <c r="F538" s="102" t="s">
        <v>1414</v>
      </c>
      <c r="G538" s="103" t="s">
        <v>112</v>
      </c>
      <c r="H538" s="103" t="s">
        <v>46</v>
      </c>
      <c r="I538" s="103" t="s">
        <v>1415</v>
      </c>
      <c r="J538" s="103" t="s">
        <v>46</v>
      </c>
      <c r="K538" s="103" t="n">
        <v>150</v>
      </c>
      <c r="L538" s="103" t="s">
        <v>46</v>
      </c>
      <c r="M538" s="103" t="s">
        <v>841</v>
      </c>
      <c r="N538" s="103" t="s">
        <v>1416</v>
      </c>
      <c r="O538" s="104" t="s">
        <v>1443</v>
      </c>
      <c r="P538" s="105" t="s">
        <v>27</v>
      </c>
      <c r="Q538" s="106" t="s">
        <v>1444</v>
      </c>
      <c r="R538" s="107" t="s">
        <v>71</v>
      </c>
      <c r="S538" s="108" t="n">
        <v>3</v>
      </c>
      <c r="T538" s="109" t="n">
        <v>11167.22</v>
      </c>
      <c r="U538" s="110" t="n">
        <f aca="false">ROUND(T538*$S538,2)</f>
        <v>33501.66</v>
      </c>
      <c r="V538" s="111"/>
      <c r="W538" s="110"/>
      <c r="X538" s="111"/>
      <c r="Y538" s="110"/>
      <c r="Z538" s="108"/>
      <c r="AA538" s="110"/>
    </row>
    <row r="539" customFormat="false" ht="26.1" hidden="false" customHeight="true" outlineLevel="0" collapsed="false">
      <c r="A539" s="97" t="n">
        <v>5</v>
      </c>
      <c r="B539" s="98" t="s">
        <v>139</v>
      </c>
      <c r="C539" s="99" t="s">
        <v>836</v>
      </c>
      <c r="D539" s="100" t="str">
        <f aca="false">B539&amp;"_"&amp;E539</f>
        <v>5.1_3.1.2</v>
      </c>
      <c r="E539" s="101" t="s">
        <v>1445</v>
      </c>
      <c r="F539" s="102" t="s">
        <v>1414</v>
      </c>
      <c r="G539" s="103" t="s">
        <v>112</v>
      </c>
      <c r="H539" s="103" t="s">
        <v>46</v>
      </c>
      <c r="I539" s="103" t="s">
        <v>1415</v>
      </c>
      <c r="J539" s="103" t="s">
        <v>46</v>
      </c>
      <c r="K539" s="103" t="n">
        <v>80</v>
      </c>
      <c r="L539" s="103" t="s">
        <v>46</v>
      </c>
      <c r="M539" s="103" t="s">
        <v>841</v>
      </c>
      <c r="N539" s="103" t="s">
        <v>1416</v>
      </c>
      <c r="O539" s="104" t="s">
        <v>1446</v>
      </c>
      <c r="P539" s="105" t="s">
        <v>27</v>
      </c>
      <c r="Q539" s="106" t="s">
        <v>1447</v>
      </c>
      <c r="R539" s="107" t="s">
        <v>71</v>
      </c>
      <c r="S539" s="108" t="n">
        <v>7</v>
      </c>
      <c r="T539" s="109" t="n">
        <v>9159.71</v>
      </c>
      <c r="U539" s="110" t="n">
        <f aca="false">ROUND(T539*$S539,2)</f>
        <v>64117.97</v>
      </c>
      <c r="V539" s="111"/>
      <c r="W539" s="110"/>
      <c r="X539" s="111"/>
      <c r="Y539" s="110"/>
      <c r="Z539" s="108"/>
      <c r="AA539" s="110"/>
    </row>
    <row r="540" customFormat="false" ht="20.1" hidden="false" customHeight="true" outlineLevel="0" collapsed="false">
      <c r="A540" s="67" t="n">
        <v>5</v>
      </c>
      <c r="B540" s="68"/>
      <c r="C540" s="69"/>
      <c r="D540" s="70"/>
      <c r="E540" s="71" t="s">
        <v>136</v>
      </c>
      <c r="F540" s="72"/>
      <c r="G540" s="73"/>
      <c r="H540" s="73"/>
      <c r="I540" s="73"/>
      <c r="J540" s="73"/>
      <c r="K540" s="73"/>
      <c r="L540" s="73"/>
      <c r="M540" s="73"/>
      <c r="N540" s="73"/>
      <c r="O540" s="74" t="s">
        <v>137</v>
      </c>
      <c r="P540" s="75"/>
      <c r="Q540" s="76" t="s">
        <v>138</v>
      </c>
      <c r="R540" s="77"/>
      <c r="S540" s="78"/>
      <c r="T540" s="79"/>
      <c r="U540" s="80" t="n">
        <f aca="false">SUM(U541)</f>
        <v>264.48</v>
      </c>
      <c r="V540" s="81"/>
      <c r="W540" s="80"/>
      <c r="X540" s="81"/>
      <c r="Y540" s="80"/>
      <c r="Z540" s="78"/>
      <c r="AA540" s="80"/>
    </row>
    <row r="541" customFormat="false" ht="20.1" hidden="false" customHeight="true" outlineLevel="0" collapsed="false">
      <c r="A541" s="82" t="n">
        <v>5</v>
      </c>
      <c r="B541" s="83"/>
      <c r="C541" s="84"/>
      <c r="D541" s="85"/>
      <c r="E541" s="86" t="s">
        <v>174</v>
      </c>
      <c r="F541" s="87"/>
      <c r="G541" s="88"/>
      <c r="H541" s="88"/>
      <c r="I541" s="88"/>
      <c r="J541" s="88"/>
      <c r="K541" s="88"/>
      <c r="L541" s="88"/>
      <c r="M541" s="88"/>
      <c r="N541" s="88"/>
      <c r="O541" s="89" t="s">
        <v>175</v>
      </c>
      <c r="P541" s="90"/>
      <c r="Q541" s="91" t="s">
        <v>176</v>
      </c>
      <c r="R541" s="92"/>
      <c r="S541" s="93"/>
      <c r="T541" s="94"/>
      <c r="U541" s="95" t="n">
        <f aca="false">SUM(U542:U542)</f>
        <v>264.48</v>
      </c>
      <c r="V541" s="96"/>
      <c r="W541" s="95"/>
      <c r="X541" s="96"/>
      <c r="Y541" s="95"/>
      <c r="Z541" s="93"/>
      <c r="AA541" s="95"/>
    </row>
    <row r="542" customFormat="false" ht="26.1" hidden="false" customHeight="true" outlineLevel="0" collapsed="false">
      <c r="A542" s="97" t="n">
        <v>5</v>
      </c>
      <c r="B542" s="98" t="s">
        <v>333</v>
      </c>
      <c r="C542" s="99" t="s">
        <v>1448</v>
      </c>
      <c r="D542" s="100" t="str">
        <f aca="false">B542&amp;"_"&amp;E542</f>
        <v>5.2_5.7.1</v>
      </c>
      <c r="E542" s="101" t="s">
        <v>1449</v>
      </c>
      <c r="F542" s="102"/>
      <c r="G542" s="103"/>
      <c r="H542" s="103"/>
      <c r="I542" s="103"/>
      <c r="J542" s="103"/>
      <c r="K542" s="103"/>
      <c r="L542" s="103"/>
      <c r="M542" s="103"/>
      <c r="N542" s="103"/>
      <c r="O542" s="104" t="s">
        <v>1450</v>
      </c>
      <c r="P542" s="105" t="s">
        <v>145</v>
      </c>
      <c r="Q542" s="106" t="s">
        <v>1451</v>
      </c>
      <c r="R542" s="107" t="s">
        <v>71</v>
      </c>
      <c r="S542" s="108" t="n">
        <v>16</v>
      </c>
      <c r="T542" s="109" t="n">
        <v>16.53</v>
      </c>
      <c r="U542" s="110" t="n">
        <f aca="false">ROUND(T542*$S542,2)</f>
        <v>264.48</v>
      </c>
      <c r="V542" s="111"/>
      <c r="W542" s="110"/>
      <c r="X542" s="111"/>
      <c r="Y542" s="110"/>
      <c r="Z542" s="108"/>
      <c r="AA542" s="110"/>
    </row>
    <row r="543" customFormat="false" ht="20.1" hidden="false" customHeight="true" outlineLevel="0" collapsed="false">
      <c r="A543" s="52" t="n">
        <v>6</v>
      </c>
      <c r="B543" s="53"/>
      <c r="C543" s="54" t="s">
        <v>42</v>
      </c>
      <c r="D543" s="55"/>
      <c r="E543" s="56"/>
      <c r="F543" s="57"/>
      <c r="G543" s="58"/>
      <c r="H543" s="58"/>
      <c r="I543" s="58"/>
      <c r="J543" s="58"/>
      <c r="K543" s="58"/>
      <c r="L543" s="58"/>
      <c r="M543" s="58"/>
      <c r="N543" s="58"/>
      <c r="O543" s="59"/>
      <c r="P543" s="60"/>
      <c r="Q543" s="61" t="s">
        <v>42</v>
      </c>
      <c r="R543" s="62"/>
      <c r="S543" s="63"/>
      <c r="T543" s="64"/>
      <c r="U543" s="65" t="n">
        <f aca="false">SUM(U544)</f>
        <v>1304685.94</v>
      </c>
      <c r="V543" s="64"/>
      <c r="W543" s="65"/>
      <c r="X543" s="64"/>
      <c r="Y543" s="65"/>
      <c r="Z543" s="66"/>
      <c r="AA543" s="65"/>
    </row>
    <row r="544" customFormat="false" ht="20.1" hidden="false" customHeight="true" outlineLevel="0" collapsed="false">
      <c r="A544" s="67" t="n">
        <v>6</v>
      </c>
      <c r="B544" s="68"/>
      <c r="C544" s="69"/>
      <c r="D544" s="70"/>
      <c r="E544" s="71" t="s">
        <v>1452</v>
      </c>
      <c r="F544" s="72"/>
      <c r="G544" s="73"/>
      <c r="H544" s="73"/>
      <c r="I544" s="73"/>
      <c r="J544" s="73"/>
      <c r="K544" s="73"/>
      <c r="L544" s="73"/>
      <c r="M544" s="73"/>
      <c r="N544" s="73"/>
      <c r="O544" s="74" t="s">
        <v>1453</v>
      </c>
      <c r="P544" s="75"/>
      <c r="Q544" s="76" t="s">
        <v>42</v>
      </c>
      <c r="R544" s="77"/>
      <c r="S544" s="78"/>
      <c r="T544" s="79"/>
      <c r="U544" s="80" t="n">
        <f aca="false">SUM(U545)</f>
        <v>1304685.94</v>
      </c>
      <c r="V544" s="81"/>
      <c r="W544" s="80"/>
      <c r="X544" s="81"/>
      <c r="Y544" s="80"/>
      <c r="Z544" s="78"/>
      <c r="AA544" s="80"/>
    </row>
    <row r="545" customFormat="false" ht="20.1" hidden="false" customHeight="true" outlineLevel="0" collapsed="false">
      <c r="A545" s="82" t="n">
        <v>6</v>
      </c>
      <c r="B545" s="83"/>
      <c r="C545" s="84"/>
      <c r="D545" s="85"/>
      <c r="E545" s="86" t="s">
        <v>758</v>
      </c>
      <c r="F545" s="87"/>
      <c r="G545" s="88"/>
      <c r="H545" s="88"/>
      <c r="I545" s="88"/>
      <c r="J545" s="88"/>
      <c r="K545" s="88"/>
      <c r="L545" s="88"/>
      <c r="M545" s="88"/>
      <c r="N545" s="88"/>
      <c r="O545" s="89" t="s">
        <v>41</v>
      </c>
      <c r="P545" s="90"/>
      <c r="Q545" s="91" t="s">
        <v>42</v>
      </c>
      <c r="R545" s="92"/>
      <c r="S545" s="93"/>
      <c r="T545" s="94"/>
      <c r="U545" s="95" t="n">
        <f aca="false">SUM(U546:U546)</f>
        <v>1304685.94</v>
      </c>
      <c r="V545" s="96"/>
      <c r="W545" s="95"/>
      <c r="X545" s="96"/>
      <c r="Y545" s="95"/>
      <c r="Z545" s="93"/>
      <c r="AA545" s="95"/>
    </row>
    <row r="546" customFormat="false" ht="26.1" hidden="false" customHeight="true" outlineLevel="0" collapsed="false">
      <c r="A546" s="97" t="n">
        <v>6</v>
      </c>
      <c r="B546" s="98" t="s">
        <v>1454</v>
      </c>
      <c r="C546" s="99" t="s">
        <v>42</v>
      </c>
      <c r="D546" s="100" t="str">
        <f aca="false">B546&amp;"_"&amp;E546</f>
        <v>6.2_4.1.1</v>
      </c>
      <c r="E546" s="101" t="s">
        <v>1455</v>
      </c>
      <c r="F546" s="102"/>
      <c r="G546" s="103"/>
      <c r="H546" s="103"/>
      <c r="I546" s="103"/>
      <c r="J546" s="103"/>
      <c r="K546" s="103"/>
      <c r="L546" s="103"/>
      <c r="M546" s="103"/>
      <c r="N546" s="103"/>
      <c r="O546" s="104" t="s">
        <v>1456</v>
      </c>
      <c r="P546" s="105" t="s">
        <v>145</v>
      </c>
      <c r="Q546" s="106" t="s">
        <v>1457</v>
      </c>
      <c r="R546" s="107" t="s">
        <v>71</v>
      </c>
      <c r="S546" s="108" t="n">
        <v>1</v>
      </c>
      <c r="T546" s="109" t="n">
        <v>1304685.94</v>
      </c>
      <c r="U546" s="110" t="n">
        <f aca="false">ROUND(T546*$S546,2)</f>
        <v>1304685.94</v>
      </c>
      <c r="V546" s="111"/>
      <c r="W546" s="110"/>
      <c r="X546" s="111"/>
      <c r="Y546" s="110"/>
      <c r="Z546" s="108"/>
      <c r="AA546" s="110"/>
    </row>
    <row r="548" customFormat="false" ht="20.1" hidden="false" customHeight="true" outlineLevel="0" collapsed="false">
      <c r="A548" s="82" t="s">
        <v>1458</v>
      </c>
      <c r="B548" s="83"/>
      <c r="C548" s="84"/>
      <c r="D548" s="85"/>
      <c r="E548" s="86"/>
      <c r="F548" s="87"/>
      <c r="G548" s="88"/>
      <c r="H548" s="88"/>
      <c r="I548" s="88"/>
      <c r="J548" s="88"/>
      <c r="K548" s="88"/>
      <c r="L548" s="88"/>
      <c r="M548" s="88"/>
      <c r="N548" s="88"/>
      <c r="O548" s="89"/>
      <c r="P548" s="90"/>
      <c r="Q548" s="91"/>
      <c r="R548" s="92" t="s">
        <v>27</v>
      </c>
      <c r="S548" s="93"/>
      <c r="T548" s="94" t="n">
        <v>15063612.61</v>
      </c>
      <c r="U548" s="95"/>
      <c r="V548" s="96"/>
      <c r="W548" s="95"/>
      <c r="X548" s="96"/>
      <c r="Y548" s="95"/>
      <c r="Z548" s="93"/>
      <c r="AA548" s="95"/>
    </row>
    <row r="549" customFormat="false" ht="20.1" hidden="false" customHeight="true" outlineLevel="0" collapsed="false">
      <c r="A549" s="82"/>
      <c r="B549" s="83"/>
      <c r="C549" s="84"/>
      <c r="D549" s="85"/>
      <c r="E549" s="86"/>
      <c r="F549" s="87"/>
      <c r="G549" s="88"/>
      <c r="H549" s="88"/>
      <c r="I549" s="88"/>
      <c r="J549" s="88"/>
      <c r="K549" s="88"/>
      <c r="L549" s="88"/>
      <c r="M549" s="88"/>
      <c r="N549" s="88"/>
      <c r="O549" s="89"/>
      <c r="P549" s="90"/>
      <c r="Q549" s="91"/>
      <c r="R549" s="92" t="s">
        <v>145</v>
      </c>
      <c r="S549" s="93"/>
      <c r="T549" s="94" t="n">
        <v>33470695.55</v>
      </c>
      <c r="U549" s="95"/>
      <c r="V549" s="96"/>
      <c r="W549" s="95"/>
      <c r="X549" s="96"/>
      <c r="Y549" s="95"/>
      <c r="Z549" s="93"/>
      <c r="AA549" s="95"/>
    </row>
    <row r="550" customFormat="false" ht="20.1" hidden="false" customHeight="true" outlineLevel="0" collapsed="false">
      <c r="A550" s="82"/>
      <c r="B550" s="83"/>
      <c r="C550" s="84"/>
      <c r="D550" s="85"/>
      <c r="E550" s="86"/>
      <c r="F550" s="87"/>
      <c r="G550" s="88"/>
      <c r="H550" s="88"/>
      <c r="I550" s="88"/>
      <c r="J550" s="88"/>
      <c r="K550" s="88"/>
      <c r="L550" s="88"/>
      <c r="M550" s="88"/>
      <c r="N550" s="88"/>
      <c r="O550" s="89"/>
      <c r="P550" s="90"/>
      <c r="Q550" s="91"/>
      <c r="R550" s="92" t="s">
        <v>1459</v>
      </c>
      <c r="S550" s="93"/>
      <c r="T550" s="94" t="n">
        <v>48534308.16</v>
      </c>
      <c r="U550" s="95"/>
      <c r="V550" s="96"/>
      <c r="W550" s="95"/>
      <c r="X550" s="96"/>
      <c r="Y550" s="95"/>
      <c r="Z550" s="93"/>
      <c r="AA550" s="95"/>
    </row>
    <row r="551" customFormat="false" ht="20.1" hidden="false" customHeight="true" outlineLevel="0" collapsed="false">
      <c r="A551" s="82"/>
      <c r="B551" s="83"/>
      <c r="C551" s="84"/>
      <c r="D551" s="85"/>
      <c r="E551" s="86"/>
      <c r="F551" s="87"/>
      <c r="G551" s="88"/>
      <c r="H551" s="88"/>
      <c r="I551" s="88"/>
      <c r="J551" s="88"/>
      <c r="K551" s="88"/>
      <c r="L551" s="88"/>
      <c r="M551" s="88"/>
      <c r="N551" s="88"/>
      <c r="O551" s="89"/>
      <c r="P551" s="90"/>
      <c r="Q551" s="91"/>
      <c r="R551" s="92" t="s">
        <v>1460</v>
      </c>
      <c r="S551" s="93" t="n">
        <v>0.1528</v>
      </c>
      <c r="T551" s="94" t="n">
        <v>2301720.006808</v>
      </c>
      <c r="U551" s="95"/>
      <c r="V551" s="96"/>
      <c r="W551" s="95"/>
      <c r="X551" s="96"/>
      <c r="Y551" s="95"/>
      <c r="Z551" s="93"/>
      <c r="AA551" s="95"/>
    </row>
    <row r="552" customFormat="false" ht="20.1" hidden="false" customHeight="true" outlineLevel="0" collapsed="false">
      <c r="A552" s="82"/>
      <c r="B552" s="83"/>
      <c r="C552" s="84"/>
      <c r="D552" s="85"/>
      <c r="E552" s="86"/>
      <c r="F552" s="87"/>
      <c r="G552" s="88"/>
      <c r="H552" s="88"/>
      <c r="I552" s="88"/>
      <c r="J552" s="88"/>
      <c r="K552" s="88"/>
      <c r="L552" s="88"/>
      <c r="M552" s="88"/>
      <c r="N552" s="88"/>
      <c r="O552" s="89"/>
      <c r="P552" s="90"/>
      <c r="Q552" s="91"/>
      <c r="R552" s="92" t="s">
        <v>1461</v>
      </c>
      <c r="S552" s="93" t="n">
        <v>0.2148</v>
      </c>
      <c r="T552" s="94" t="n">
        <v>7189505.40414</v>
      </c>
      <c r="U552" s="95"/>
      <c r="V552" s="96"/>
      <c r="W552" s="95"/>
      <c r="X552" s="96"/>
      <c r="Y552" s="95"/>
      <c r="Z552" s="93"/>
      <c r="AA552" s="95"/>
    </row>
    <row r="553" customFormat="false" ht="20.1" hidden="false" customHeight="true" outlineLevel="0" collapsed="false">
      <c r="A553" s="82"/>
      <c r="B553" s="83"/>
      <c r="C553" s="84"/>
      <c r="D553" s="85"/>
      <c r="E553" s="86"/>
      <c r="F553" s="87"/>
      <c r="G553" s="88"/>
      <c r="H553" s="88"/>
      <c r="I553" s="88"/>
      <c r="J553" s="88"/>
      <c r="K553" s="88"/>
      <c r="L553" s="88"/>
      <c r="M553" s="88"/>
      <c r="N553" s="88"/>
      <c r="O553" s="89"/>
      <c r="P553" s="90"/>
      <c r="Q553" s="91"/>
      <c r="R553" s="92" t="s">
        <v>1462</v>
      </c>
      <c r="S553" s="93"/>
      <c r="T553" s="94" t="n">
        <v>9491225.410948</v>
      </c>
      <c r="U553" s="95"/>
      <c r="V553" s="96"/>
      <c r="W553" s="95"/>
      <c r="X553" s="96"/>
      <c r="Y553" s="95"/>
      <c r="Z553" s="93"/>
      <c r="AA553" s="95"/>
    </row>
    <row r="554" customFormat="false" ht="20.1" hidden="false" customHeight="true" outlineLevel="0" collapsed="false">
      <c r="A554" s="82"/>
      <c r="B554" s="83"/>
      <c r="C554" s="84"/>
      <c r="D554" s="85"/>
      <c r="E554" s="86"/>
      <c r="F554" s="87"/>
      <c r="G554" s="88"/>
      <c r="H554" s="88"/>
      <c r="I554" s="88"/>
      <c r="J554" s="88"/>
      <c r="K554" s="88"/>
      <c r="L554" s="88"/>
      <c r="M554" s="88"/>
      <c r="N554" s="88"/>
      <c r="O554" s="89"/>
      <c r="P554" s="90"/>
      <c r="Q554" s="91"/>
      <c r="R554" s="92" t="s">
        <v>1463</v>
      </c>
      <c r="S554" s="93"/>
      <c r="T554" s="94" t="n">
        <v>58025533.570948</v>
      </c>
      <c r="U554" s="95"/>
      <c r="V554" s="96"/>
      <c r="W554" s="95"/>
      <c r="X554" s="96"/>
      <c r="Y554" s="95"/>
      <c r="Z554" s="93"/>
      <c r="AA554" s="95"/>
    </row>
    <row r="555" customFormat="false" ht="20.1" hidden="false" customHeight="true" outlineLevel="0" collapsed="false">
      <c r="A555" s="82"/>
      <c r="B555" s="83"/>
      <c r="C555" s="84"/>
      <c r="D555" s="85"/>
      <c r="E555" s="86"/>
      <c r="F555" s="87"/>
      <c r="G555" s="88"/>
      <c r="H555" s="88"/>
      <c r="I555" s="88"/>
      <c r="J555" s="88"/>
      <c r="K555" s="88"/>
      <c r="L555" s="88"/>
      <c r="M555" s="88"/>
      <c r="N555" s="88"/>
      <c r="O555" s="89"/>
      <c r="P555" s="90"/>
      <c r="Q555" s="91"/>
      <c r="R555" s="92" t="s">
        <v>1464</v>
      </c>
      <c r="S555" s="93" t="n">
        <v>-0.1404</v>
      </c>
      <c r="T555" s="94" t="n">
        <v>-8146784.9133611</v>
      </c>
      <c r="U555" s="95"/>
      <c r="V555" s="96"/>
      <c r="W555" s="95"/>
      <c r="X555" s="96"/>
      <c r="Y555" s="95"/>
      <c r="Z555" s="93"/>
      <c r="AA555" s="95"/>
    </row>
    <row r="556" customFormat="false" ht="20.1" hidden="false" customHeight="true" outlineLevel="0" collapsed="false">
      <c r="A556" s="82"/>
      <c r="B556" s="83"/>
      <c r="C556" s="84"/>
      <c r="D556" s="85"/>
      <c r="E556" s="86"/>
      <c r="F556" s="87"/>
      <c r="G556" s="88"/>
      <c r="H556" s="88"/>
      <c r="I556" s="88"/>
      <c r="J556" s="88"/>
      <c r="K556" s="88"/>
      <c r="L556" s="88"/>
      <c r="M556" s="88"/>
      <c r="N556" s="88"/>
      <c r="O556" s="89"/>
      <c r="P556" s="90"/>
      <c r="Q556" s="91"/>
      <c r="R556" s="92" t="s">
        <v>1465</v>
      </c>
      <c r="S556" s="93"/>
      <c r="T556" s="94" t="n">
        <v>49878748.6575869</v>
      </c>
      <c r="U556" s="95"/>
      <c r="V556" s="96"/>
      <c r="W556" s="95"/>
      <c r="X556" s="96"/>
      <c r="Y556" s="95"/>
      <c r="Z556" s="93"/>
      <c r="AA556" s="95"/>
    </row>
    <row r="557" customFormat="false" ht="20.1" hidden="false" customHeight="true" outlineLevel="0" collapsed="false">
      <c r="A557" s="82"/>
      <c r="B557" s="83"/>
      <c r="C557" s="84"/>
      <c r="D557" s="85"/>
      <c r="E557" s="86"/>
      <c r="F557" s="87"/>
      <c r="G557" s="88"/>
      <c r="H557" s="88"/>
      <c r="I557" s="88"/>
      <c r="J557" s="88"/>
      <c r="K557" s="88"/>
      <c r="L557" s="88"/>
      <c r="M557" s="88"/>
      <c r="N557" s="88"/>
      <c r="O557" s="89"/>
      <c r="P557" s="90"/>
      <c r="Q557" s="91"/>
      <c r="R557" s="92" t="s">
        <v>1466</v>
      </c>
      <c r="S557" s="93"/>
      <c r="T557" s="94" t="n">
        <v>0.8596</v>
      </c>
      <c r="U557" s="95"/>
      <c r="V557" s="96"/>
      <c r="W557" s="95"/>
      <c r="X557" s="96"/>
      <c r="Y557" s="95"/>
      <c r="Z557" s="93"/>
      <c r="AA557" s="95"/>
    </row>
    <row r="558" customFormat="false" ht="20.1" hidden="false" customHeight="true" outlineLevel="0" collapsed="false">
      <c r="A558" s="82" t="s">
        <v>1467</v>
      </c>
      <c r="B558" s="83"/>
      <c r="C558" s="84"/>
      <c r="D558" s="85"/>
      <c r="E558" s="86"/>
      <c r="F558" s="87"/>
      <c r="G558" s="88"/>
      <c r="H558" s="88"/>
      <c r="I558" s="88"/>
      <c r="J558" s="88"/>
      <c r="K558" s="88"/>
      <c r="L558" s="88"/>
      <c r="M558" s="88"/>
      <c r="N558" s="88"/>
      <c r="O558" s="89"/>
      <c r="P558" s="90"/>
      <c r="Q558" s="91"/>
      <c r="R558" s="92" t="s">
        <v>1468</v>
      </c>
      <c r="S558" s="93" t="n">
        <v>0</v>
      </c>
      <c r="T558" s="94" t="n">
        <v>0</v>
      </c>
      <c r="U558" s="95"/>
      <c r="V558" s="96"/>
      <c r="W558" s="95"/>
      <c r="X558" s="96"/>
      <c r="Y558" s="95"/>
      <c r="Z558" s="93"/>
      <c r="AA558" s="95"/>
    </row>
    <row r="559" customFormat="false" ht="20.1" hidden="false" customHeight="true" outlineLevel="0" collapsed="false">
      <c r="A559" s="82"/>
      <c r="B559" s="83"/>
      <c r="C559" s="84"/>
      <c r="D559" s="85"/>
      <c r="E559" s="86"/>
      <c r="F559" s="87"/>
      <c r="G559" s="88"/>
      <c r="H559" s="88"/>
      <c r="I559" s="88"/>
      <c r="J559" s="88"/>
      <c r="K559" s="88"/>
      <c r="L559" s="88"/>
      <c r="M559" s="88"/>
      <c r="N559" s="88"/>
      <c r="O559" s="89"/>
      <c r="P559" s="90"/>
      <c r="Q559" s="91"/>
      <c r="R559" s="92" t="s">
        <v>1469</v>
      </c>
      <c r="S559" s="93" t="n">
        <v>0</v>
      </c>
      <c r="T559" s="94" t="n">
        <v>0</v>
      </c>
      <c r="U559" s="95"/>
      <c r="V559" s="96"/>
      <c r="W559" s="95"/>
      <c r="X559" s="96"/>
      <c r="Y559" s="95"/>
      <c r="Z559" s="93"/>
      <c r="AA559" s="95"/>
    </row>
    <row r="560" customFormat="false" ht="20.1" hidden="false" customHeight="true" outlineLevel="0" collapsed="false">
      <c r="A560" s="82"/>
      <c r="B560" s="83"/>
      <c r="C560" s="84"/>
      <c r="D560" s="85"/>
      <c r="E560" s="86"/>
      <c r="F560" s="87"/>
      <c r="G560" s="88"/>
      <c r="H560" s="88"/>
      <c r="I560" s="88"/>
      <c r="J560" s="88"/>
      <c r="K560" s="88"/>
      <c r="L560" s="88"/>
      <c r="M560" s="88"/>
      <c r="N560" s="88"/>
      <c r="O560" s="89"/>
      <c r="P560" s="90"/>
      <c r="Q560" s="91"/>
      <c r="R560" s="92" t="s">
        <v>1470</v>
      </c>
      <c r="S560" s="93"/>
      <c r="T560" s="94" t="n">
        <v>0</v>
      </c>
      <c r="U560" s="95"/>
      <c r="V560" s="96"/>
      <c r="W560" s="95"/>
      <c r="X560" s="96"/>
      <c r="Y560" s="95"/>
      <c r="Z560" s="93"/>
      <c r="AA560" s="95"/>
    </row>
    <row r="561" customFormat="false" ht="20.1" hidden="false" customHeight="true" outlineLevel="0" collapsed="false">
      <c r="A561" s="82"/>
      <c r="B561" s="83"/>
      <c r="C561" s="84"/>
      <c r="D561" s="85"/>
      <c r="E561" s="86"/>
      <c r="F561" s="87"/>
      <c r="G561" s="88"/>
      <c r="H561" s="88"/>
      <c r="I561" s="88"/>
      <c r="J561" s="88"/>
      <c r="K561" s="88"/>
      <c r="L561" s="88"/>
      <c r="M561" s="88"/>
      <c r="N561" s="88"/>
      <c r="O561" s="89"/>
      <c r="P561" s="90"/>
      <c r="Q561" s="91"/>
      <c r="R561" s="92" t="s">
        <v>1471</v>
      </c>
      <c r="S561" s="93"/>
      <c r="T561" s="94" t="n">
        <v>0</v>
      </c>
      <c r="U561" s="95"/>
      <c r="V561" s="96"/>
      <c r="W561" s="95"/>
      <c r="X561" s="96"/>
      <c r="Y561" s="95"/>
      <c r="Z561" s="93"/>
      <c r="AA561" s="95"/>
    </row>
    <row r="562" customFormat="false" ht="20.1" hidden="false" customHeight="true" outlineLevel="0" collapsed="false">
      <c r="A562" s="82" t="s">
        <v>1472</v>
      </c>
      <c r="B562" s="83"/>
      <c r="C562" s="84"/>
      <c r="D562" s="85"/>
      <c r="E562" s="86"/>
      <c r="F562" s="87"/>
      <c r="G562" s="88"/>
      <c r="H562" s="88"/>
      <c r="I562" s="88"/>
      <c r="J562" s="88"/>
      <c r="K562" s="88"/>
      <c r="L562" s="88"/>
      <c r="M562" s="88"/>
      <c r="N562" s="88"/>
      <c r="O562" s="89"/>
      <c r="P562" s="90"/>
      <c r="Q562" s="91"/>
      <c r="R562" s="92" t="s">
        <v>1473</v>
      </c>
      <c r="S562" s="93"/>
      <c r="T562" s="94" t="n">
        <v>49878748.6575869</v>
      </c>
      <c r="U562" s="95"/>
      <c r="V562" s="96"/>
      <c r="W562" s="95"/>
      <c r="X562" s="96"/>
      <c r="Y562" s="95"/>
      <c r="Z562" s="93"/>
      <c r="AA562" s="95"/>
    </row>
    <row r="1389" customFormat="false" ht="12" hidden="false" customHeight="false" outlineLevel="0" collapsed="false">
      <c r="A1389" s="112"/>
      <c r="B1389" s="112"/>
      <c r="C1389" s="112"/>
      <c r="D1389" s="112"/>
      <c r="E1389" s="112"/>
      <c r="F1389" s="112"/>
      <c r="G1389" s="112"/>
      <c r="H1389" s="112"/>
      <c r="I1389" s="112"/>
      <c r="J1389" s="112"/>
      <c r="K1389" s="112"/>
      <c r="L1389" s="112"/>
      <c r="M1389" s="112"/>
      <c r="N1389" s="112"/>
      <c r="O1389" s="112"/>
      <c r="P1389" s="112"/>
      <c r="Q1389" s="112"/>
      <c r="T1389" s="112"/>
      <c r="U1389" s="112"/>
      <c r="V1389" s="112"/>
      <c r="W1389" s="112"/>
      <c r="X1389" s="112"/>
      <c r="Y1389" s="112"/>
      <c r="Z1389" s="112"/>
      <c r="AA1389" s="112"/>
    </row>
    <row r="1390" customFormat="false" ht="12" hidden="false" customHeight="false" outlineLevel="0" collapsed="false">
      <c r="A1390" s="112"/>
      <c r="B1390" s="112"/>
      <c r="C1390" s="112"/>
      <c r="D1390" s="112"/>
      <c r="E1390" s="112"/>
      <c r="F1390" s="112"/>
      <c r="G1390" s="112"/>
      <c r="H1390" s="112"/>
      <c r="I1390" s="112"/>
      <c r="J1390" s="112"/>
      <c r="K1390" s="112"/>
      <c r="L1390" s="112"/>
      <c r="M1390" s="112"/>
      <c r="N1390" s="112"/>
      <c r="O1390" s="112"/>
      <c r="P1390" s="112"/>
      <c r="Q1390" s="112"/>
      <c r="T1390" s="112"/>
      <c r="U1390" s="112"/>
      <c r="V1390" s="112"/>
      <c r="W1390" s="112"/>
      <c r="X1390" s="112"/>
      <c r="Y1390" s="112"/>
      <c r="Z1390" s="112"/>
      <c r="AA1390" s="112"/>
    </row>
    <row r="1391" customFormat="false" ht="12" hidden="false" customHeight="false" outlineLevel="0" collapsed="false">
      <c r="A1391" s="112"/>
      <c r="B1391" s="112"/>
      <c r="C1391" s="112"/>
      <c r="D1391" s="112"/>
      <c r="E1391" s="112"/>
      <c r="F1391" s="112"/>
      <c r="G1391" s="112"/>
      <c r="H1391" s="112"/>
      <c r="I1391" s="112"/>
      <c r="J1391" s="112"/>
      <c r="K1391" s="112"/>
      <c r="L1391" s="112"/>
      <c r="M1391" s="112"/>
      <c r="N1391" s="112"/>
      <c r="O1391" s="112"/>
      <c r="P1391" s="112"/>
      <c r="Q1391" s="112"/>
      <c r="T1391" s="112"/>
      <c r="U1391" s="112"/>
      <c r="V1391" s="112"/>
      <c r="W1391" s="112"/>
      <c r="X1391" s="112"/>
      <c r="Y1391" s="112"/>
      <c r="Z1391" s="112"/>
      <c r="AA1391" s="112"/>
    </row>
    <row r="1392" customFormat="false" ht="12" hidden="false" customHeight="false" outlineLevel="0" collapsed="false">
      <c r="A1392" s="112"/>
      <c r="B1392" s="112"/>
      <c r="C1392" s="112"/>
      <c r="D1392" s="112"/>
      <c r="E1392" s="112"/>
      <c r="F1392" s="112"/>
      <c r="G1392" s="112"/>
      <c r="H1392" s="112"/>
      <c r="I1392" s="112"/>
      <c r="J1392" s="112"/>
      <c r="K1392" s="112"/>
      <c r="L1392" s="112"/>
      <c r="M1392" s="112"/>
      <c r="N1392" s="112"/>
      <c r="O1392" s="112"/>
      <c r="P1392" s="112"/>
      <c r="Q1392" s="112"/>
      <c r="T1392" s="112"/>
      <c r="U1392" s="112"/>
      <c r="V1392" s="112"/>
      <c r="W1392" s="112"/>
      <c r="X1392" s="112"/>
      <c r="Y1392" s="112"/>
      <c r="Z1392" s="112"/>
      <c r="AA1392" s="112"/>
    </row>
    <row r="1393" customFormat="false" ht="12" hidden="false" customHeight="false" outlineLevel="0" collapsed="false">
      <c r="A1393" s="112"/>
      <c r="B1393" s="112"/>
      <c r="C1393" s="112"/>
      <c r="D1393" s="112"/>
      <c r="E1393" s="112"/>
      <c r="F1393" s="112"/>
      <c r="G1393" s="112"/>
      <c r="H1393" s="112"/>
      <c r="I1393" s="112"/>
      <c r="J1393" s="112"/>
      <c r="K1393" s="112"/>
      <c r="L1393" s="112"/>
      <c r="M1393" s="112"/>
      <c r="N1393" s="112"/>
      <c r="O1393" s="112"/>
      <c r="P1393" s="112"/>
      <c r="Q1393" s="112"/>
      <c r="T1393" s="112"/>
      <c r="U1393" s="112"/>
      <c r="V1393" s="112"/>
      <c r="W1393" s="112"/>
      <c r="X1393" s="112"/>
      <c r="Y1393" s="112"/>
      <c r="Z1393" s="112"/>
      <c r="AA1393" s="112"/>
    </row>
    <row r="1394" customFormat="false" ht="12" hidden="false" customHeight="false" outlineLevel="0" collapsed="false">
      <c r="A1394" s="112"/>
      <c r="B1394" s="112"/>
      <c r="C1394" s="112"/>
      <c r="D1394" s="112"/>
      <c r="E1394" s="112"/>
      <c r="F1394" s="112"/>
      <c r="G1394" s="112"/>
      <c r="H1394" s="112"/>
      <c r="I1394" s="112"/>
      <c r="J1394" s="112"/>
      <c r="K1394" s="112"/>
      <c r="L1394" s="112"/>
      <c r="M1394" s="112"/>
      <c r="N1394" s="112"/>
      <c r="O1394" s="112"/>
      <c r="P1394" s="112"/>
      <c r="Q1394" s="112"/>
      <c r="T1394" s="112"/>
      <c r="U1394" s="112"/>
      <c r="V1394" s="112"/>
      <c r="W1394" s="112"/>
      <c r="X1394" s="112"/>
      <c r="Y1394" s="112"/>
      <c r="Z1394" s="112"/>
      <c r="AA1394" s="112"/>
    </row>
    <row r="1395" customFormat="false" ht="12" hidden="false" customHeight="false" outlineLevel="0" collapsed="false">
      <c r="A1395" s="112"/>
      <c r="B1395" s="112"/>
      <c r="C1395" s="112"/>
      <c r="D1395" s="112"/>
      <c r="E1395" s="112"/>
      <c r="F1395" s="112"/>
      <c r="G1395" s="112"/>
      <c r="H1395" s="112"/>
      <c r="I1395" s="112"/>
      <c r="J1395" s="112"/>
      <c r="K1395" s="112"/>
      <c r="L1395" s="112"/>
      <c r="M1395" s="112"/>
      <c r="N1395" s="112"/>
      <c r="O1395" s="112"/>
      <c r="P1395" s="112"/>
      <c r="Q1395" s="112"/>
      <c r="T1395" s="112"/>
      <c r="U1395" s="112"/>
      <c r="V1395" s="112"/>
      <c r="W1395" s="112"/>
      <c r="X1395" s="112"/>
      <c r="Y1395" s="112"/>
      <c r="Z1395" s="112"/>
      <c r="AA1395" s="112"/>
    </row>
    <row r="1396" customFormat="false" ht="12" hidden="false" customHeight="false" outlineLevel="0" collapsed="false">
      <c r="A1396" s="112"/>
      <c r="B1396" s="112"/>
      <c r="C1396" s="112"/>
      <c r="D1396" s="112"/>
      <c r="E1396" s="112"/>
      <c r="F1396" s="112"/>
      <c r="G1396" s="112"/>
      <c r="H1396" s="112"/>
      <c r="I1396" s="112"/>
      <c r="J1396" s="112"/>
      <c r="K1396" s="112"/>
      <c r="L1396" s="112"/>
      <c r="M1396" s="112"/>
      <c r="N1396" s="112"/>
      <c r="O1396" s="112"/>
      <c r="P1396" s="112"/>
      <c r="Q1396" s="112"/>
      <c r="T1396" s="112"/>
      <c r="U1396" s="112"/>
      <c r="V1396" s="112"/>
      <c r="W1396" s="112"/>
      <c r="X1396" s="112"/>
      <c r="Y1396" s="112"/>
      <c r="Z1396" s="112"/>
      <c r="AA1396" s="112"/>
    </row>
    <row r="1397" customFormat="false" ht="12" hidden="false" customHeight="false" outlineLevel="0" collapsed="false">
      <c r="A1397" s="112"/>
      <c r="B1397" s="112"/>
      <c r="C1397" s="112"/>
      <c r="D1397" s="112"/>
      <c r="E1397" s="112"/>
      <c r="F1397" s="112"/>
      <c r="G1397" s="112"/>
      <c r="H1397" s="112"/>
      <c r="I1397" s="112"/>
      <c r="J1397" s="112"/>
      <c r="K1397" s="112"/>
      <c r="L1397" s="112"/>
      <c r="M1397" s="112"/>
      <c r="N1397" s="112"/>
      <c r="O1397" s="112"/>
      <c r="P1397" s="112"/>
      <c r="Q1397" s="112"/>
      <c r="T1397" s="112"/>
      <c r="U1397" s="112"/>
      <c r="V1397" s="112"/>
      <c r="W1397" s="112"/>
      <c r="X1397" s="112"/>
      <c r="Y1397" s="112"/>
      <c r="Z1397" s="112"/>
      <c r="AA1397" s="112"/>
    </row>
    <row r="1398" customFormat="false" ht="12" hidden="false" customHeight="false" outlineLevel="0" collapsed="false">
      <c r="A1398" s="112"/>
      <c r="B1398" s="112"/>
      <c r="C1398" s="112"/>
      <c r="D1398" s="112"/>
      <c r="E1398" s="112"/>
      <c r="F1398" s="112"/>
      <c r="G1398" s="112"/>
      <c r="H1398" s="112"/>
      <c r="I1398" s="112"/>
      <c r="J1398" s="112"/>
      <c r="K1398" s="112"/>
      <c r="L1398" s="112"/>
      <c r="M1398" s="112"/>
      <c r="N1398" s="112"/>
      <c r="O1398" s="112"/>
      <c r="P1398" s="112"/>
      <c r="Q1398" s="112"/>
      <c r="T1398" s="112"/>
      <c r="U1398" s="112"/>
      <c r="V1398" s="112"/>
      <c r="W1398" s="112"/>
      <c r="X1398" s="112"/>
      <c r="Y1398" s="112"/>
      <c r="Z1398" s="112"/>
      <c r="AA1398" s="112"/>
    </row>
    <row r="1399" customFormat="false" ht="12" hidden="false" customHeight="false" outlineLevel="0" collapsed="false">
      <c r="A1399" s="112"/>
      <c r="B1399" s="112"/>
      <c r="C1399" s="112"/>
      <c r="D1399" s="112"/>
      <c r="E1399" s="112"/>
      <c r="F1399" s="112"/>
      <c r="G1399" s="112"/>
      <c r="H1399" s="112"/>
      <c r="I1399" s="112"/>
      <c r="J1399" s="112"/>
      <c r="K1399" s="112"/>
      <c r="L1399" s="112"/>
      <c r="M1399" s="112"/>
      <c r="N1399" s="112"/>
      <c r="O1399" s="112"/>
      <c r="P1399" s="112"/>
      <c r="Q1399" s="112"/>
      <c r="T1399" s="112"/>
      <c r="U1399" s="112"/>
      <c r="V1399" s="112"/>
      <c r="W1399" s="112"/>
      <c r="X1399" s="112"/>
      <c r="Y1399" s="112"/>
      <c r="Z1399" s="112"/>
      <c r="AA1399" s="112"/>
    </row>
    <row r="1400" customFormat="false" ht="12" hidden="false" customHeight="false" outlineLevel="0" collapsed="false">
      <c r="A1400" s="112"/>
      <c r="B1400" s="112"/>
      <c r="C1400" s="112"/>
      <c r="D1400" s="112"/>
      <c r="E1400" s="112"/>
      <c r="F1400" s="112"/>
      <c r="G1400" s="112"/>
      <c r="H1400" s="112"/>
      <c r="I1400" s="112"/>
      <c r="J1400" s="112"/>
      <c r="K1400" s="112"/>
      <c r="L1400" s="112"/>
      <c r="M1400" s="112"/>
      <c r="N1400" s="112"/>
      <c r="O1400" s="112"/>
      <c r="P1400" s="112"/>
      <c r="Q1400" s="112"/>
      <c r="T1400" s="112"/>
      <c r="U1400" s="112"/>
      <c r="V1400" s="112"/>
      <c r="W1400" s="112"/>
      <c r="X1400" s="112"/>
      <c r="Y1400" s="112"/>
      <c r="Z1400" s="112"/>
      <c r="AA1400" s="112"/>
    </row>
    <row r="1401" customFormat="false" ht="12" hidden="false" customHeight="false" outlineLevel="0" collapsed="false">
      <c r="A1401" s="112"/>
      <c r="B1401" s="112"/>
      <c r="C1401" s="112"/>
      <c r="D1401" s="112"/>
      <c r="E1401" s="112"/>
      <c r="F1401" s="112"/>
      <c r="G1401" s="112"/>
      <c r="H1401" s="112"/>
      <c r="I1401" s="112"/>
      <c r="J1401" s="112"/>
      <c r="K1401" s="112"/>
      <c r="L1401" s="112"/>
      <c r="M1401" s="112"/>
      <c r="N1401" s="112"/>
      <c r="O1401" s="112"/>
      <c r="P1401" s="112"/>
      <c r="Q1401" s="112"/>
      <c r="T1401" s="112"/>
      <c r="U1401" s="112"/>
      <c r="V1401" s="112"/>
      <c r="W1401" s="112"/>
      <c r="X1401" s="112"/>
      <c r="Y1401" s="112"/>
      <c r="Z1401" s="112"/>
      <c r="AA1401" s="112"/>
    </row>
    <row r="1402" customFormat="false" ht="12" hidden="false" customHeight="false" outlineLevel="0" collapsed="false">
      <c r="A1402" s="112"/>
      <c r="B1402" s="112"/>
      <c r="C1402" s="112"/>
      <c r="D1402" s="112"/>
      <c r="E1402" s="112"/>
      <c r="F1402" s="112"/>
      <c r="G1402" s="112"/>
      <c r="H1402" s="112"/>
      <c r="I1402" s="112"/>
      <c r="J1402" s="112"/>
      <c r="K1402" s="112"/>
      <c r="L1402" s="112"/>
      <c r="M1402" s="112"/>
      <c r="N1402" s="112"/>
      <c r="O1402" s="112"/>
      <c r="P1402" s="112"/>
      <c r="Q1402" s="112"/>
      <c r="T1402" s="112"/>
      <c r="U1402" s="112"/>
      <c r="V1402" s="112"/>
      <c r="W1402" s="112"/>
      <c r="X1402" s="112"/>
      <c r="Y1402" s="112"/>
      <c r="Z1402" s="112"/>
      <c r="AA1402" s="112"/>
    </row>
    <row r="1403" customFormat="false" ht="12" hidden="false" customHeight="false" outlineLevel="0" collapsed="false">
      <c r="A1403" s="112"/>
      <c r="B1403" s="112"/>
      <c r="C1403" s="112"/>
      <c r="D1403" s="112"/>
      <c r="E1403" s="112"/>
      <c r="F1403" s="112"/>
      <c r="G1403" s="112"/>
      <c r="H1403" s="112"/>
      <c r="I1403" s="112"/>
      <c r="J1403" s="112"/>
      <c r="K1403" s="112"/>
      <c r="L1403" s="112"/>
      <c r="M1403" s="112"/>
      <c r="N1403" s="112"/>
      <c r="O1403" s="112"/>
      <c r="P1403" s="112"/>
      <c r="Q1403" s="112"/>
      <c r="T1403" s="112"/>
      <c r="U1403" s="112"/>
      <c r="V1403" s="112"/>
      <c r="W1403" s="112"/>
      <c r="X1403" s="112"/>
      <c r="Y1403" s="112"/>
      <c r="Z1403" s="112"/>
      <c r="AA1403" s="112"/>
    </row>
  </sheetData>
  <mergeCells count="73">
    <mergeCell ref="A1:C4"/>
    <mergeCell ref="E1:Q2"/>
    <mergeCell ref="R1:S2"/>
    <mergeCell ref="V1:Y2"/>
    <mergeCell ref="Z2:AA2"/>
    <mergeCell ref="T3:U4"/>
    <mergeCell ref="V3:W4"/>
    <mergeCell ref="X3:Y4"/>
    <mergeCell ref="R4:S4"/>
    <mergeCell ref="Z4:AA4"/>
    <mergeCell ref="A1389:Q1398"/>
    <mergeCell ref="T1389:U1389"/>
    <mergeCell ref="V1389:W1389"/>
    <mergeCell ref="X1389:Y1389"/>
    <mergeCell ref="Z1389:AA1389"/>
    <mergeCell ref="T1390:U1390"/>
    <mergeCell ref="V1390:W1390"/>
    <mergeCell ref="X1390:Y1390"/>
    <mergeCell ref="Z1390:AA1390"/>
    <mergeCell ref="T1391:U1391"/>
    <mergeCell ref="V1391:W1391"/>
    <mergeCell ref="X1391:Y1391"/>
    <mergeCell ref="Z1391:AA1391"/>
    <mergeCell ref="T1392:U1392"/>
    <mergeCell ref="V1392:W1392"/>
    <mergeCell ref="X1392:Y1392"/>
    <mergeCell ref="Z1392:AA1392"/>
    <mergeCell ref="T1393:U1393"/>
    <mergeCell ref="V1393:W1393"/>
    <mergeCell ref="X1393:Y1393"/>
    <mergeCell ref="Z1393:AA1393"/>
    <mergeCell ref="T1394:U1394"/>
    <mergeCell ref="V1394:W1394"/>
    <mergeCell ref="X1394:Y1394"/>
    <mergeCell ref="Z1394:AA1394"/>
    <mergeCell ref="T1395:U1395"/>
    <mergeCell ref="V1395:W1395"/>
    <mergeCell ref="X1395:Y1395"/>
    <mergeCell ref="Z1395:AA1395"/>
    <mergeCell ref="T1396:U1396"/>
    <mergeCell ref="V1396:W1396"/>
    <mergeCell ref="X1396:Y1396"/>
    <mergeCell ref="Z1396:AA1396"/>
    <mergeCell ref="T1397:U1397"/>
    <mergeCell ref="V1397:W1397"/>
    <mergeCell ref="X1397:Y1397"/>
    <mergeCell ref="Z1397:AA1397"/>
    <mergeCell ref="T1398:U1398"/>
    <mergeCell ref="V1398:W1398"/>
    <mergeCell ref="X1398:Y1398"/>
    <mergeCell ref="Z1398:AA1398"/>
    <mergeCell ref="A1399:Q1402"/>
    <mergeCell ref="T1399:U1399"/>
    <mergeCell ref="V1399:W1399"/>
    <mergeCell ref="X1399:Y1399"/>
    <mergeCell ref="Z1399:AA1399"/>
    <mergeCell ref="T1400:U1400"/>
    <mergeCell ref="V1400:W1400"/>
    <mergeCell ref="X1400:Y1400"/>
    <mergeCell ref="Z1400:AA1400"/>
    <mergeCell ref="T1401:U1401"/>
    <mergeCell ref="V1401:W1401"/>
    <mergeCell ref="X1401:Y1401"/>
    <mergeCell ref="Z1401:AA1401"/>
    <mergeCell ref="T1402:U1402"/>
    <mergeCell ref="V1402:W1402"/>
    <mergeCell ref="X1402:Y1402"/>
    <mergeCell ref="Z1402:AA1402"/>
    <mergeCell ref="A1403:Q1403"/>
    <mergeCell ref="T1403:U1403"/>
    <mergeCell ref="V1403:W1403"/>
    <mergeCell ref="X1403:Y1403"/>
    <mergeCell ref="Z1403:AA1403"/>
  </mergeCells>
  <printOptions headings="false" gridLines="false" gridLinesSet="true" horizontalCentered="true" verticalCentered="false"/>
  <pageMargins left="0.196527777777778" right="0.196527777777778" top="0.590277777777778" bottom="0.7875" header="0.511811023622047" footer="0.315277777777778"/>
  <pageSetup paperSize="77" scale="45" fitToWidth="1" fitToHeight="1" pageOrder="downThenOver" orientation="landscape" blackAndWhite="false" draft="false" cellComments="none" horizontalDpi="300" verticalDpi="300" copies="1"/>
  <headerFooter differentFirst="false" differentOddEven="false">
    <oddHeader/>
    <oddFooter>&amp;L&amp;A&amp;R&amp;P -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1441"/>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0" ySplit="5" topLeftCell="A6" activePane="bottomLeft" state="frozen"/>
      <selection pane="topLeft" activeCell="A1" activeCellId="0" sqref="A1"/>
      <selection pane="bottomLeft" activeCell="H127" activeCellId="0" sqref="H127"/>
    </sheetView>
  </sheetViews>
  <sheetFormatPr defaultColWidth="8.88671875" defaultRowHeight="13.8" zeroHeight="false" outlineLevelRow="0" outlineLevelCol="0"/>
  <cols>
    <col collapsed="false" customWidth="true" hidden="false" outlineLevel="0" max="1" min="1" style="113" width="7.22"/>
    <col collapsed="false" customWidth="true" hidden="false" outlineLevel="0" max="2" min="2" style="113" width="12.67"/>
    <col collapsed="false" customWidth="true" hidden="false" outlineLevel="0" max="3" min="3" style="113" width="17.22"/>
    <col collapsed="false" customWidth="true" hidden="false" outlineLevel="0" max="4" min="4" style="113" width="13.56"/>
    <col collapsed="false" customWidth="true" hidden="false" outlineLevel="0" max="5" min="5" style="113" width="12.11"/>
    <col collapsed="false" customWidth="true" hidden="false" outlineLevel="0" max="6" min="6" style="114" width="23.22"/>
    <col collapsed="false" customWidth="true" hidden="false" outlineLevel="0" max="7" min="7" style="114" width="14.44"/>
    <col collapsed="false" customWidth="true" hidden="false" outlineLevel="0" max="8" min="8" style="114" width="18.22"/>
    <col collapsed="false" customWidth="true" hidden="false" outlineLevel="0" max="9" min="9" style="114" width="18"/>
    <col collapsed="false" customWidth="true" hidden="false" outlineLevel="0" max="10" min="10" style="114" width="14.88"/>
    <col collapsed="false" customWidth="true" hidden="false" outlineLevel="0" max="11" min="11" style="114" width="14.11"/>
    <col collapsed="false" customWidth="true" hidden="false" outlineLevel="0" max="12" min="12" style="114" width="10.11"/>
    <col collapsed="false" customWidth="true" hidden="false" outlineLevel="0" max="13" min="13" style="113" width="18.34"/>
    <col collapsed="false" customWidth="true" hidden="false" outlineLevel="0" max="14" min="14" style="114" width="22.33"/>
    <col collapsed="false" customWidth="true" hidden="false" outlineLevel="0" max="15" min="15" style="114" width="21.88"/>
    <col collapsed="false" customWidth="true" hidden="false" outlineLevel="0" max="16" min="16" style="114" width="19.56"/>
    <col collapsed="false" customWidth="true" hidden="false" outlineLevel="0" max="17" min="17" style="114" width="14.11"/>
    <col collapsed="false" customWidth="true" hidden="false" outlineLevel="0" max="19" min="18" style="115" width="25.22"/>
    <col collapsed="false" customWidth="true" hidden="false" outlineLevel="0" max="20" min="20" style="114" width="34.44"/>
    <col collapsed="false" customWidth="true" hidden="false" outlineLevel="0" max="21" min="21" style="114" width="9.88"/>
    <col collapsed="false" customWidth="true" hidden="false" outlineLevel="0" max="22" min="22" style="114" width="12.22"/>
    <col collapsed="false" customWidth="true" hidden="false" outlineLevel="0" max="23" min="23" style="114" width="16.56"/>
    <col collapsed="false" customWidth="true" hidden="false" outlineLevel="0" max="24" min="24" style="114" width="21.56"/>
    <col collapsed="false" customWidth="true" hidden="false" outlineLevel="0" max="25" min="25" style="114" width="29.88"/>
    <col collapsed="false" customWidth="true" hidden="false" outlineLevel="0" max="26" min="26" style="114" width="10"/>
    <col collapsed="false" customWidth="true" hidden="false" outlineLevel="0" max="27" min="27" style="113" width="14.44"/>
    <col collapsed="false" customWidth="true" hidden="false" outlineLevel="0" max="28" min="28" style="113" width="27.56"/>
    <col collapsed="false" customWidth="true" hidden="false" outlineLevel="0" max="29" min="29" style="113" width="12.11"/>
    <col collapsed="false" customWidth="true" hidden="false" outlineLevel="0" max="30" min="30" style="113" width="45"/>
    <col collapsed="false" customWidth="true" hidden="false" outlineLevel="0" max="31" min="31" style="113" width="8.22"/>
    <col collapsed="false" customWidth="true" hidden="false" outlineLevel="0" max="32" min="32" style="113" width="7.67"/>
    <col collapsed="false" customWidth="true" hidden="false" outlineLevel="0" max="33" min="33" style="113" width="7.88"/>
    <col collapsed="false" customWidth="false" hidden="false" outlineLevel="0" max="34" min="34" style="113" width="8.88"/>
    <col collapsed="false" customWidth="true" hidden="false" outlineLevel="0" max="35" min="35" style="113" width="11.11"/>
    <col collapsed="false" customWidth="true" hidden="false" outlineLevel="0" max="36" min="36" style="113" width="15.11"/>
    <col collapsed="false" customWidth="true" hidden="false" outlineLevel="0" max="37" min="37" style="113" width="15.44"/>
    <col collapsed="false" customWidth="true" hidden="false" outlineLevel="0" max="38" min="38" style="113" width="16.89"/>
    <col collapsed="false" customWidth="true" hidden="false" outlineLevel="0" max="39" min="39" style="113" width="10.78"/>
    <col collapsed="false" customWidth="true" hidden="false" outlineLevel="0" max="40" min="40" style="113" width="12.22"/>
    <col collapsed="false" customWidth="true" hidden="false" outlineLevel="0" max="41" min="41" style="113" width="19.67"/>
    <col collapsed="false" customWidth="true" hidden="false" outlineLevel="0" max="42" min="42" style="113" width="15"/>
    <col collapsed="false" customWidth="true" hidden="false" outlineLevel="0" max="43" min="43" style="113" width="9.88"/>
    <col collapsed="false" customWidth="true" hidden="false" outlineLevel="0" max="44" min="44" style="113" width="13.76"/>
    <col collapsed="false" customWidth="true" hidden="false" outlineLevel="0" max="45" min="45" style="113" width="10.78"/>
    <col collapsed="false" customWidth="true" hidden="false" outlineLevel="0" max="46" min="46" style="113" width="17.33"/>
    <col collapsed="false" customWidth="true" hidden="false" outlineLevel="0" max="47" min="47" style="113" width="23.33"/>
    <col collapsed="false" customWidth="true" hidden="false" outlineLevel="0" max="48" min="48" style="113" width="27.44"/>
    <col collapsed="false" customWidth="true" hidden="false" outlineLevel="0" max="49" min="49" style="113" width="22.76"/>
    <col collapsed="false" customWidth="true" hidden="false" outlineLevel="0" max="50" min="50" style="113" width="26.88"/>
    <col collapsed="false" customWidth="true" hidden="false" outlineLevel="0" max="51" min="51" style="113" width="22.76"/>
    <col collapsed="false" customWidth="true" hidden="false" outlineLevel="0" max="52" min="52" style="113" width="26.88"/>
    <col collapsed="false" customWidth="true" hidden="false" outlineLevel="0" max="53" min="53" style="113" width="12.76"/>
    <col collapsed="false" customWidth="true" hidden="false" outlineLevel="0" max="54" min="54" style="113" width="8.56"/>
    <col collapsed="false" customWidth="true" hidden="false" outlineLevel="0" max="55" min="55" style="113" width="16.22"/>
    <col collapsed="false" customWidth="true" hidden="false" outlineLevel="0" max="56" min="56" style="113" width="27.44"/>
    <col collapsed="false" customWidth="true" hidden="false" outlineLevel="0" max="57" min="57" style="113" width="28.79"/>
    <col collapsed="false" customWidth="true" hidden="false" outlineLevel="0" max="58" min="58" style="113" width="25.67"/>
    <col collapsed="false" customWidth="true" hidden="false" outlineLevel="0" max="59" min="59" style="113" width="20.11"/>
    <col collapsed="false" customWidth="true" hidden="false" outlineLevel="0" max="60" min="60" style="113" width="18.34"/>
    <col collapsed="false" customWidth="true" hidden="false" outlineLevel="0" max="61" min="61" style="113" width="20.66"/>
    <col collapsed="false" customWidth="true" hidden="false" outlineLevel="0" max="62" min="62" style="113" width="32.22"/>
    <col collapsed="false" customWidth="true" hidden="false" outlineLevel="0" max="63" min="63" style="113" width="26.88"/>
    <col collapsed="false" customWidth="true" hidden="false" outlineLevel="0" max="64" min="64" style="113" width="36.88"/>
    <col collapsed="false" customWidth="true" hidden="false" outlineLevel="0" max="65" min="65" style="113" width="18"/>
    <col collapsed="false" customWidth="true" hidden="false" outlineLevel="0" max="66" min="66" style="113" width="10"/>
    <col collapsed="false" customWidth="true" hidden="false" outlineLevel="0" max="67" min="67" style="113" width="8"/>
    <col collapsed="false" customWidth="true" hidden="false" outlineLevel="0" max="69" min="68" style="113" width="30"/>
    <col collapsed="false" customWidth="true" hidden="false" outlineLevel="0" max="74" min="70" style="113" width="16"/>
    <col collapsed="false" customWidth="true" hidden="false" outlineLevel="0" max="76" min="75" style="113" width="14"/>
    <col collapsed="false" customWidth="true" hidden="false" outlineLevel="0" max="77" min="77" style="113" width="30"/>
    <col collapsed="false" customWidth="false" hidden="false" outlineLevel="0" max="16384" min="78" style="113" width="8.88"/>
  </cols>
  <sheetData>
    <row r="1" customFormat="false" ht="15.6" hidden="false" customHeight="false" outlineLevel="0" collapsed="false">
      <c r="A1" s="116" t="s">
        <v>1474</v>
      </c>
      <c r="B1" s="116"/>
      <c r="C1" s="116"/>
      <c r="D1" s="116"/>
      <c r="E1" s="116"/>
      <c r="F1" s="116"/>
      <c r="G1" s="116"/>
      <c r="H1" s="116"/>
      <c r="I1" s="116"/>
      <c r="J1" s="116"/>
      <c r="K1" s="116"/>
      <c r="L1" s="116"/>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117"/>
      <c r="BD1" s="117"/>
      <c r="BE1" s="117"/>
      <c r="BF1" s="117"/>
      <c r="BG1" s="117"/>
      <c r="BH1" s="118"/>
      <c r="BI1" s="119" t="s">
        <v>2</v>
      </c>
      <c r="BJ1" s="120"/>
      <c r="BK1" s="119" t="s">
        <v>1475</v>
      </c>
      <c r="BL1" s="121"/>
    </row>
    <row r="2" customFormat="false" ht="15.6" hidden="false" customHeight="false" outlineLevel="0" collapsed="false">
      <c r="A2" s="116"/>
      <c r="B2" s="116"/>
      <c r="C2" s="116"/>
      <c r="D2" s="116"/>
      <c r="E2" s="116"/>
      <c r="F2" s="116"/>
      <c r="G2" s="116"/>
      <c r="H2" s="116"/>
      <c r="I2" s="116"/>
      <c r="J2" s="116"/>
      <c r="K2" s="116"/>
      <c r="L2" s="116"/>
      <c r="M2" s="122"/>
      <c r="N2" s="122"/>
      <c r="O2" s="122"/>
      <c r="P2" s="122"/>
      <c r="Q2" s="122"/>
      <c r="R2" s="122"/>
      <c r="S2" s="122"/>
      <c r="T2" s="122"/>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4"/>
      <c r="AY2" s="124"/>
      <c r="AZ2" s="124"/>
      <c r="BA2" s="124"/>
      <c r="BB2" s="124"/>
      <c r="BC2" s="124"/>
      <c r="BD2" s="124"/>
      <c r="BE2" s="124"/>
      <c r="BF2" s="124"/>
      <c r="BG2" s="124"/>
      <c r="BH2" s="125"/>
      <c r="BI2" s="126" t="s">
        <v>1476</v>
      </c>
      <c r="BJ2" s="127"/>
      <c r="BK2" s="128" t="n">
        <v>46308</v>
      </c>
      <c r="BL2" s="129"/>
    </row>
    <row r="3" customFormat="false" ht="13.8" hidden="false" customHeight="false" outlineLevel="0" collapsed="false">
      <c r="A3" s="130" t="s">
        <v>7</v>
      </c>
      <c r="B3" s="131"/>
      <c r="C3" s="131"/>
      <c r="D3" s="131"/>
      <c r="E3" s="131"/>
      <c r="F3" s="132"/>
      <c r="G3" s="132"/>
      <c r="H3" s="132"/>
      <c r="I3" s="132"/>
      <c r="J3" s="132"/>
      <c r="K3" s="132"/>
      <c r="L3" s="132"/>
      <c r="M3" s="131"/>
      <c r="N3" s="132"/>
      <c r="O3" s="132"/>
      <c r="P3" s="132"/>
      <c r="Q3" s="132"/>
      <c r="R3" s="133"/>
      <c r="S3" s="133"/>
      <c r="T3" s="132"/>
      <c r="U3" s="132"/>
      <c r="V3" s="132"/>
      <c r="W3" s="132"/>
      <c r="X3" s="132"/>
      <c r="Y3" s="132"/>
      <c r="Z3" s="132"/>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4" t="s">
        <v>1477</v>
      </c>
      <c r="BL3" s="135"/>
    </row>
    <row r="4" customFormat="false" ht="13.8" hidden="false" customHeight="false" outlineLevel="0" collapsed="false">
      <c r="A4" s="136" t="s">
        <v>13</v>
      </c>
      <c r="B4" s="137"/>
      <c r="C4" s="137"/>
      <c r="D4" s="137"/>
      <c r="E4" s="137"/>
      <c r="F4" s="138"/>
      <c r="G4" s="138"/>
      <c r="H4" s="138"/>
      <c r="I4" s="138"/>
      <c r="J4" s="138"/>
      <c r="K4" s="138"/>
      <c r="L4" s="138"/>
      <c r="M4" s="137"/>
      <c r="N4" s="138"/>
      <c r="O4" s="138"/>
      <c r="P4" s="138"/>
      <c r="Q4" s="138"/>
      <c r="R4" s="139"/>
      <c r="S4" s="139"/>
      <c r="T4" s="138"/>
      <c r="U4" s="138"/>
      <c r="V4" s="138"/>
      <c r="W4" s="138"/>
      <c r="X4" s="138"/>
      <c r="Y4" s="138"/>
      <c r="Z4" s="138"/>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40" t="s">
        <v>1478</v>
      </c>
      <c r="BL4" s="141"/>
    </row>
    <row r="5" customFormat="false" ht="30" hidden="false" customHeight="true" outlineLevel="0" collapsed="false">
      <c r="A5" s="142" t="s">
        <v>1479</v>
      </c>
      <c r="B5" s="143" t="s">
        <v>1480</v>
      </c>
      <c r="C5" s="144" t="s">
        <v>21</v>
      </c>
      <c r="D5" s="144" t="s">
        <v>22</v>
      </c>
      <c r="E5" s="144" t="s">
        <v>23</v>
      </c>
      <c r="F5" s="145" t="s">
        <v>24</v>
      </c>
      <c r="G5" s="145" t="s">
        <v>25</v>
      </c>
      <c r="H5" s="145" t="s">
        <v>26</v>
      </c>
      <c r="I5" s="145" t="s">
        <v>27</v>
      </c>
      <c r="J5" s="145" t="s">
        <v>28</v>
      </c>
      <c r="K5" s="145" t="s">
        <v>1481</v>
      </c>
      <c r="L5" s="145" t="s">
        <v>33</v>
      </c>
      <c r="M5" s="145" t="s">
        <v>1482</v>
      </c>
      <c r="N5" s="145" t="s">
        <v>1483</v>
      </c>
      <c r="O5" s="145" t="s">
        <v>1484</v>
      </c>
      <c r="P5" s="145" t="s">
        <v>1485</v>
      </c>
      <c r="Q5" s="145" t="s">
        <v>1486</v>
      </c>
      <c r="R5" s="146" t="s">
        <v>1487</v>
      </c>
      <c r="S5" s="147" t="s">
        <v>1488</v>
      </c>
      <c r="T5" s="145" t="s">
        <v>1489</v>
      </c>
      <c r="U5" s="145" t="s">
        <v>1490</v>
      </c>
      <c r="V5" s="145" t="s">
        <v>1491</v>
      </c>
      <c r="W5" s="145" t="s">
        <v>1492</v>
      </c>
      <c r="X5" s="145" t="s">
        <v>1493</v>
      </c>
      <c r="Y5" s="145" t="s">
        <v>1494</v>
      </c>
      <c r="Z5" s="145" t="s">
        <v>1495</v>
      </c>
      <c r="AA5" s="144" t="s">
        <v>1496</v>
      </c>
      <c r="AB5" s="144" t="s">
        <v>1497</v>
      </c>
      <c r="AC5" s="144" t="s">
        <v>1498</v>
      </c>
      <c r="AD5" s="144" t="s">
        <v>1499</v>
      </c>
      <c r="AE5" s="144" t="s">
        <v>1500</v>
      </c>
      <c r="AF5" s="144" t="s">
        <v>1501</v>
      </c>
      <c r="AG5" s="144" t="s">
        <v>1502</v>
      </c>
      <c r="AH5" s="144" t="s">
        <v>1503</v>
      </c>
      <c r="AI5" s="144" t="s">
        <v>1504</v>
      </c>
      <c r="AJ5" s="144" t="s">
        <v>1505</v>
      </c>
      <c r="AK5" s="144" t="s">
        <v>1506</v>
      </c>
      <c r="AL5" s="144" t="s">
        <v>1507</v>
      </c>
      <c r="AM5" s="144" t="s">
        <v>1508</v>
      </c>
      <c r="AN5" s="144" t="s">
        <v>1509</v>
      </c>
      <c r="AO5" s="144" t="s">
        <v>1510</v>
      </c>
      <c r="AP5" s="144" t="s">
        <v>1511</v>
      </c>
      <c r="AQ5" s="144" t="s">
        <v>1512</v>
      </c>
      <c r="AR5" s="144" t="s">
        <v>1513</v>
      </c>
      <c r="AS5" s="144" t="s">
        <v>1514</v>
      </c>
      <c r="AT5" s="144" t="s">
        <v>1515</v>
      </c>
      <c r="AU5" s="144" t="s">
        <v>1516</v>
      </c>
      <c r="AV5" s="144" t="s">
        <v>1517</v>
      </c>
      <c r="AW5" s="144" t="s">
        <v>1518</v>
      </c>
      <c r="AX5" s="144" t="s">
        <v>1519</v>
      </c>
      <c r="AY5" s="144" t="s">
        <v>1520</v>
      </c>
      <c r="AZ5" s="144" t="s">
        <v>1521</v>
      </c>
      <c r="BA5" s="144" t="s">
        <v>1522</v>
      </c>
      <c r="BB5" s="144" t="s">
        <v>1523</v>
      </c>
      <c r="BC5" s="144" t="s">
        <v>1524</v>
      </c>
      <c r="BD5" s="144" t="s">
        <v>1525</v>
      </c>
      <c r="BE5" s="144" t="s">
        <v>1526</v>
      </c>
      <c r="BF5" s="144" t="s">
        <v>1527</v>
      </c>
      <c r="BG5" s="144" t="s">
        <v>1528</v>
      </c>
      <c r="BH5" s="144" t="s">
        <v>1529</v>
      </c>
      <c r="BI5" s="144" t="s">
        <v>1530</v>
      </c>
      <c r="BJ5" s="144" t="s">
        <v>1531</v>
      </c>
      <c r="BK5" s="144" t="s">
        <v>1532</v>
      </c>
      <c r="BL5" s="148" t="s">
        <v>1533</v>
      </c>
      <c r="BM5" s="144" t="s">
        <v>1534</v>
      </c>
      <c r="BN5" s="144" t="s">
        <v>1535</v>
      </c>
      <c r="BO5" s="144" t="s">
        <v>1536</v>
      </c>
      <c r="BP5" s="144" t="s">
        <v>1537</v>
      </c>
      <c r="BQ5" s="144" t="s">
        <v>1538</v>
      </c>
      <c r="BR5" s="144" t="s">
        <v>1539</v>
      </c>
      <c r="BS5" s="144" t="s">
        <v>1540</v>
      </c>
      <c r="BT5" s="144" t="s">
        <v>1541</v>
      </c>
      <c r="BU5" s="144" t="s">
        <v>1542</v>
      </c>
      <c r="BV5" s="144" t="s">
        <v>1543</v>
      </c>
      <c r="BW5" s="144" t="s">
        <v>1544</v>
      </c>
      <c r="BX5" s="144" t="s">
        <v>1545</v>
      </c>
      <c r="BY5" s="144" t="s">
        <v>1546</v>
      </c>
    </row>
    <row r="6" customFormat="false" ht="13.8" hidden="false" customHeight="false" outlineLevel="0" collapsed="false">
      <c r="A6" s="149" t="n">
        <f aca="false">IF(C6&lt;&gt;"",ROW(A1),"")</f>
        <v>1</v>
      </c>
      <c r="B6" s="150" t="str">
        <f aca="false">HYPERLINK("https://www.google.com/maps/dir/-15.917302,-47.760003/-15.9087023,-47.7685795/data=!4m3!4m2!3e0!5i0")</f>
        <v>https://www.google.com/maps/dir/-15.917302,-47.760003/-15.9087023,-47.7685795/data=!4m3!4m2!3e0!5i0</v>
      </c>
      <c r="C6" s="151" t="s">
        <v>117</v>
      </c>
      <c r="D6" s="152" t="s">
        <v>112</v>
      </c>
      <c r="E6" s="152" t="s">
        <v>113</v>
      </c>
      <c r="F6" s="152" t="s">
        <v>117</v>
      </c>
      <c r="G6" s="152" t="s">
        <v>782</v>
      </c>
      <c r="H6" s="152" t="n">
        <v>63</v>
      </c>
      <c r="I6" s="152" t="s">
        <v>115</v>
      </c>
      <c r="J6" s="152" t="s">
        <v>6</v>
      </c>
      <c r="K6" s="152" t="s">
        <v>1547</v>
      </c>
      <c r="L6" s="152" t="s">
        <v>120</v>
      </c>
      <c r="M6" s="153" t="n">
        <f aca="false">76.55</f>
        <v>76.55</v>
      </c>
      <c r="N6" s="152" t="s">
        <v>1548</v>
      </c>
      <c r="O6" s="152" t="s">
        <v>1549</v>
      </c>
      <c r="P6" s="152" t="s">
        <v>1550</v>
      </c>
      <c r="Q6" s="152" t="s">
        <v>1551</v>
      </c>
      <c r="R6" s="154" t="s">
        <v>1552</v>
      </c>
      <c r="S6" s="154" t="s">
        <v>1553</v>
      </c>
      <c r="T6" s="155" t="s">
        <v>1554</v>
      </c>
      <c r="U6" s="152" t="str">
        <f aca="false">RIGHT(T6,7)</f>
        <v>002/037</v>
      </c>
      <c r="V6" s="152" t="s">
        <v>1555</v>
      </c>
      <c r="W6" s="156" t="n">
        <v>45882</v>
      </c>
      <c r="X6" s="152" t="s">
        <v>1556</v>
      </c>
      <c r="Y6" s="152"/>
      <c r="Z6" s="152" t="s">
        <v>1557</v>
      </c>
      <c r="AA6" s="153" t="n">
        <v>1.6</v>
      </c>
      <c r="AB6" s="151" t="s">
        <v>1558</v>
      </c>
      <c r="AC6" s="151" t="s">
        <v>186</v>
      </c>
      <c r="AD6" s="151" t="str">
        <f aca="false">CONCATENATE($C6,$I6,$H6,$N6,$J6,$K6)</f>
        <v>TUBO PEADPEAD63VCAREDESZona01</v>
      </c>
      <c r="AE6" s="153" t="n">
        <f aca="false">IFERROR(INDEX(APOIO_REDES!$A:$W,MATCH($C6&amp;$I6&amp;$H6&amp;$N6&amp;$O6,APOIO_REDES!$W:$W,0),MATCH(AE$5,APOIO_REDES!$5:$5,0)),0)</f>
        <v>1.2</v>
      </c>
      <c r="AF6" s="153" t="n">
        <f aca="false">IFERROR(INDEX(APOIO_REDES!$A:$W,MATCH($C6&amp;$I6&amp;$H6&amp;$N6&amp;$O6,APOIO_REDES!$W:$W,0),MATCH(AF$5,APOIO_REDES!$5:$5,0)),0)</f>
        <v>1.363</v>
      </c>
      <c r="AG6" s="153" t="n">
        <f aca="false">IFERROR(INDEX(APOIO_REDES!$A:$W,MATCH($C6&amp;$I6&amp;$H6&amp;$N6&amp;$O6,APOIO_REDES!$W:$W,0),MATCH(AG$5,APOIO_REDES!$5:$5,0)),0)</f>
        <v>0.65</v>
      </c>
      <c r="AH6" s="153" t="n">
        <f aca="false">IFERROR(INDEX(APOIO_REDES!$A:$W,MATCH($C6&amp;$I6&amp;$H6&amp;$N6&amp;$O6,APOIO_REDES!$W:$W,0),MATCH(AH$5,APOIO_REDES!$5:$5,0)),0)</f>
        <v>0.1</v>
      </c>
      <c r="AI6" s="153" t="n">
        <f aca="false">IFERROR(IF($H6&lt;&gt;"",(((($H6/1000)/2)^2)*PI()*$M6),0),0)</f>
        <v>0.238625128520648</v>
      </c>
      <c r="AJ6" s="153" t="n">
        <f aca="false">IFERROR(IF(AND($H6&lt;&gt;"",$I6="FoFo",OR($N6="MND",$N6="VCA"),$Q6="LINEAR"),0,IF(AND($H6&lt;&gt;"",$I6="PEAD",$N6="VCA",$Q6="LINEAR"),($H6/1000)+0.3,IF(AND($H6&lt;&gt;"",$I6="PEAD",$N6="MND",$Q6="EMBOQUE"),0,IF(AND($H6&lt;&gt;"",$I6="PVC",$N6="VCA",$Q6="LINEAR"),($H6/1000)+0.2,IF(AND($H6&lt;&gt;"",$I6="PVC",$N6="MND",$Q6="EMBOQUE"),0,IF(AND($H6&lt;&gt;"",$I6="PEAD",$N6="VCA",$Q6="PREDIAL"),0,0)))))),0)</f>
        <v>0.363</v>
      </c>
      <c r="AK6" s="153" t="n">
        <f aca="false">IF(AA6&lt;&gt;"",AA6,0)</f>
        <v>1.6</v>
      </c>
      <c r="AL6" s="153" t="n">
        <f aca="false">IF(AND($N6="MND",$Q6="EMBOQUE"),$M6,IF(AND($N6="VCA",$Q6="LINEAR"),$M6,IF(AND($N6="VCA",$Q6="PREDIAL"),0,0)))</f>
        <v>76.55</v>
      </c>
      <c r="AM6" s="153" t="n">
        <f aca="false">IF(AND($N6="MND",$Q6="EMBOQUE"),$M6,IF(AND($N6="VCA",$Q6="LINEAR"),$M6,IF(AND($N6="VCA",$Q6="PREDIAL"),0,0)))</f>
        <v>76.55</v>
      </c>
      <c r="AN6" s="153" t="n">
        <f aca="false">ROUND(IF(AND($N6="VCA",$M6&lt;&gt;"",$Q6="LINEAR"),$M6/100,IF(AND($N6="MND",$M6&gt;100,$Q6="EMBOQUE"),$M6/100,0)),0)</f>
        <v>1</v>
      </c>
      <c r="AO6" s="153" t="n">
        <f aca="false">IF(AND($N6="MND",$Q6="EMBOQUE"),$AN6*2*2,IF(AND($N6="VCA",$Q6="LINEAR"),$M6*2,IF(AND($N6="VCA",$Q6="PREDIAL"),0,0)))</f>
        <v>153.1</v>
      </c>
      <c r="AP6" s="153" t="n">
        <f aca="false">IFERROR($M6*$AF6*$AG6,0)</f>
        <v>67.8194725</v>
      </c>
      <c r="AQ6" s="153" t="n">
        <f aca="false">IFERROR(IF(AND($N6="VCA",$AH6&gt;0),$M6*$AG6*$AH6,0),0)</f>
        <v>4.97575</v>
      </c>
      <c r="AR6" s="153" t="n">
        <f aca="false">IFERROR(IF(AND($N6="VCA",$AJ6&gt;0),($M6*$AG6*$AJ6)-$AI6,0),0)</f>
        <v>17.8233473714794</v>
      </c>
      <c r="AS6" s="153" t="n">
        <f aca="false">IFERROR(IF(AND($N6="VCA",$AP6&gt;0),$AP6-$AI6-$AQ6-$AR6,0),0)</f>
        <v>44.78175</v>
      </c>
      <c r="AT6" s="153" t="n">
        <f aca="false">IFERROR(IF($N6="VCA",INDEX(APOIO_REDES!$A:$W,MATCH($C6&amp;$I6&amp;$H6&amp;$N6&amp;$O6,APOIO_REDES!$W:$W,0),MATCH(AT$5,APOIO_REDES!$5:$5,0)),0)*$AP6,0)</f>
        <v>0.737895934339208</v>
      </c>
      <c r="AU6" s="153" t="n">
        <f aca="false">IFERROR(IF($N6="VCA",INDEX(APOIO_REDES!$A:$W,MATCH($C6&amp;$I6&amp;$H6&amp;$N6&amp;$O6,APOIO_REDES!$W:$W,0),MATCH(AU$5,APOIO_REDES!$5:$5,0)),0)*$AP6,0)</f>
        <v>0.589263708406913</v>
      </c>
      <c r="AV6" s="153" t="n">
        <f aca="false">IFERROR(IF($N6="VCA",INDEX(APOIO_REDES!$A:$W,MATCH($C6&amp;$I6&amp;$H6&amp;$N6&amp;$O6,APOIO_REDES!$W:$W,0),MATCH(AV$5,APOIO_REDES!$5:$5,0)),0)*$AP6,0)</f>
        <v>0.0815494713420331</v>
      </c>
      <c r="AW6" s="153" t="n">
        <f aca="false">IFERROR(IF($N6="VCA",INDEX(APOIO_REDES!$A:$W,MATCH($C6&amp;$I6&amp;$H6&amp;$N6&amp;$O6,APOIO_REDES!$W:$W,0),MATCH(AW$5,APOIO_REDES!$5:$5,0)),0)*$AP6,0)</f>
        <v>46.5518114149156</v>
      </c>
      <c r="AX6" s="153" t="n">
        <f aca="false">IFERROR(IF($N6="VCA",INDEX(APOIO_REDES!$A:$W,MATCH($C6&amp;$I6&amp;$H6&amp;$N6&amp;$O6,APOIO_REDES!$W:$W,0),MATCH(AX$5,APOIO_REDES!$5:$5,0)),0)*$AP6,0)</f>
        <v>6.44263809447943</v>
      </c>
      <c r="AY6" s="153" t="n">
        <f aca="false">IFERROR(IF($N6="VCA",INDEX(APOIO_REDES!$A:$W,MATCH($C6&amp;$I6&amp;$H6&amp;$N6&amp;$O6,APOIO_REDES!$W:$W,0),MATCH(AY$5,APOIO_REDES!$5:$5,0)),0)*$AP6,0)</f>
        <v>11.7852669850614</v>
      </c>
      <c r="AZ6" s="153" t="n">
        <f aca="false">IFERROR(IF($N6="VCA",INDEX(APOIO_REDES!$A:$W,MATCH($C6&amp;$I6&amp;$H6&amp;$N6&amp;$O6,APOIO_REDES!$W:$W,0),MATCH(AZ$5,APOIO_REDES!$5:$5,0)),0)*$AP6,0)</f>
        <v>1.63104689145537</v>
      </c>
      <c r="BA6" s="153" t="n">
        <f aca="false">IFERROR(IF(AND($N6="VCA",$Q6="LINEAR"),INDEX(APOIO_REDES!$A:$W,MATCH($C6&amp;$I6&amp;$H6&amp;$N6&amp;$O6,APOIO_REDES!$W:$W,0),MATCH(BA$5,APOIO_REDES!$5:$5,0)),IF(AND($N6="MND",$Q6="EMBOQUE"),INDEX(APOIO_REDES!$A:$W,MATCH($C6&amp;$I6&amp;$H6&amp;$N6&amp;$O6,APOIO_REDES!$W:$W,0),MATCH(BA$5,APOIO_REDES!$5:$5,0)),0))*$M6/10,0)</f>
        <v>6.16973690873218</v>
      </c>
      <c r="BB6" s="153" t="n">
        <f aca="false">IFERROR(IF($N6="VCA",INDEX(APOIO_REDES!$A:$W,MATCH($C6&amp;$I6&amp;$H6&amp;$N6&amp;$O6,APOIO_REDES!$W:$W,0),MATCH(BB$5,APOIO_REDES!$5:$5,0)),0)*($AI6+$AQ6+$AR6),0)</f>
        <v>22.7870652603822</v>
      </c>
      <c r="BC6" s="153" t="n">
        <f aca="false">IFERROR(IF($N6="VCA",INDEX(APOIO_REDES!$A:$W,MATCH($C6&amp;$I6&amp;$H6&amp;$N6&amp;$O6,APOIO_REDES!$W:$W,0),MATCH(BC$5,APOIO_REDES!$5:$5,0)),0)*($AI6+$AQ6+$AR6),0)</f>
        <v>0.250657239617794</v>
      </c>
      <c r="BD6" s="153" t="n">
        <f aca="false">IF(AND($N6="VCA",$AF6&gt;=1.25,$AF6&lt;1.5),$M6*$AF6*2,0)</f>
        <v>208.6753</v>
      </c>
      <c r="BE6" s="153" t="n">
        <f aca="false">IF(AND($N6="VCA",$AF6&gt;=1.5,$AF6&lt;3),$M6*$AF6*2,0)</f>
        <v>0</v>
      </c>
      <c r="BF6" s="153" t="n">
        <f aca="false">IF(AND($N6="VCA",$AF6&gt;=3),$M6*$AF6*2,0)</f>
        <v>0</v>
      </c>
      <c r="BG6" s="153" t="n">
        <f aca="false">($BB6+$BC6)*$AK6</f>
        <v>36.860356</v>
      </c>
      <c r="BH6" s="153" t="n">
        <f aca="false">IF(AND($M6&lt;&gt;"",$N6="VCA",$Q6="LINEAR"),($M6*2)/100,IF(AND($M6&lt;&gt;"",$N6="MND",$Q6="EMBOQUE"),($AN6*2)/100,0))</f>
        <v>1.531</v>
      </c>
      <c r="BI6" s="153" t="n">
        <f aca="false">IF(AND($M6&lt;&gt;"",$N6="VCA",$Q6="LINEAR"),$M6,IF(AND($M6&lt;&gt;"",$N6="MND",$Q6="EMBOQUE"),$AN6*2,0))</f>
        <v>76.55</v>
      </c>
      <c r="BJ6" s="153" t="n">
        <f aca="false">IF(AND($M6&lt;&gt;"",$N6="VCA",$Q6="LINEAR"),($M6*6.8)/100,IF(AND($M6&lt;&gt;"",$N6="MND",$Q6="EMBOQUE"),($AN6*2*6.8)/100,0))</f>
        <v>5.2054</v>
      </c>
      <c r="BK6" s="153" t="n">
        <f aca="false">IF(AND($M6&lt;&gt;"",$N6="VCA",$Q6="LINEAR"),($M6*2.5)/50,IF(AND($M6&lt;&gt;"",$N6="MND",$Q6="EMBOQUE"),($AN6*2*2.5)/50,0))</f>
        <v>3.8275</v>
      </c>
      <c r="BL6" s="157" t="str">
        <f aca="false">K6&amp;J6</f>
        <v>Zona01REDES</v>
      </c>
      <c r="BM6" s="152" t="s">
        <v>1559</v>
      </c>
      <c r="BN6" s="152" t="s">
        <v>1560</v>
      </c>
      <c r="BO6" s="152" t="s">
        <v>1561</v>
      </c>
      <c r="BP6" s="152" t="s">
        <v>1562</v>
      </c>
      <c r="BQ6" s="152" t="s">
        <v>1563</v>
      </c>
      <c r="BR6" s="152" t="s">
        <v>1564</v>
      </c>
      <c r="BS6" s="152" t="n">
        <v>203552.494</v>
      </c>
      <c r="BT6" s="152" t="n">
        <v>8239199.097</v>
      </c>
      <c r="BU6" s="152" t="n">
        <v>203492.052</v>
      </c>
      <c r="BV6" s="152" t="n">
        <v>8239246.068</v>
      </c>
      <c r="BW6" s="152" t="n">
        <v>-15.9084864</v>
      </c>
      <c r="BX6" s="152" t="n">
        <v>-47.7688584</v>
      </c>
      <c r="BY6" s="152" t="s">
        <v>1562</v>
      </c>
    </row>
    <row r="7" customFormat="false" ht="13.8" hidden="false" customHeight="false" outlineLevel="0" collapsed="false">
      <c r="A7" s="149" t="n">
        <f aca="false">IF(C7&lt;&gt;"",ROW(A2),"")</f>
        <v>2</v>
      </c>
      <c r="B7" s="150" t="str">
        <f aca="false">HYPERLINK("https://www.google.com/maps/dir/-15.917302,-47.760003/-15.9082709,-47.7691377/data=!4m3!4m2!3e0!5i0")</f>
        <v>https://www.google.com/maps/dir/-15.917302,-47.760003/-15.9082709,-47.7691377/data=!4m3!4m2!3e0!5i0</v>
      </c>
      <c r="C7" s="151" t="s">
        <v>117</v>
      </c>
      <c r="D7" s="152" t="s">
        <v>112</v>
      </c>
      <c r="E7" s="152" t="s">
        <v>113</v>
      </c>
      <c r="F7" s="152" t="s">
        <v>117</v>
      </c>
      <c r="G7" s="152" t="s">
        <v>782</v>
      </c>
      <c r="H7" s="152" t="n">
        <v>63</v>
      </c>
      <c r="I7" s="152" t="s">
        <v>115</v>
      </c>
      <c r="J7" s="152" t="s">
        <v>6</v>
      </c>
      <c r="K7" s="152" t="s">
        <v>1547</v>
      </c>
      <c r="L7" s="152" t="s">
        <v>120</v>
      </c>
      <c r="M7" s="153" t="n">
        <f aca="false">75.07</f>
        <v>75.07</v>
      </c>
      <c r="N7" s="152" t="s">
        <v>1548</v>
      </c>
      <c r="O7" s="152" t="s">
        <v>1549</v>
      </c>
      <c r="P7" s="152" t="s">
        <v>1550</v>
      </c>
      <c r="Q7" s="152" t="s">
        <v>1551</v>
      </c>
      <c r="R7" s="154" t="s">
        <v>1565</v>
      </c>
      <c r="S7" s="154" t="s">
        <v>1553</v>
      </c>
      <c r="T7" s="155" t="s">
        <v>1554</v>
      </c>
      <c r="U7" s="152" t="str">
        <f aca="false">RIGHT(T7,7)</f>
        <v>002/037</v>
      </c>
      <c r="V7" s="152" t="s">
        <v>1555</v>
      </c>
      <c r="W7" s="156" t="n">
        <v>45882</v>
      </c>
      <c r="X7" s="152" t="s">
        <v>1556</v>
      </c>
      <c r="Y7" s="152"/>
      <c r="Z7" s="152" t="s">
        <v>1557</v>
      </c>
      <c r="AA7" s="153" t="n">
        <v>1.7</v>
      </c>
      <c r="AB7" s="151" t="s">
        <v>1566</v>
      </c>
      <c r="AC7" s="151" t="s">
        <v>186</v>
      </c>
      <c r="AD7" s="151" t="str">
        <f aca="false">CONCATENATE($C7,$I7,$H7,$N7,$J7,$K7)</f>
        <v>TUBO PEADPEAD63VCAREDESZona01</v>
      </c>
      <c r="AE7" s="153" t="n">
        <f aca="false">IFERROR(INDEX(APOIO_REDES!$A:$W,MATCH($C7&amp;$I7&amp;$H7&amp;$N7&amp;$O7,APOIO_REDES!$W:$W,0),MATCH(AE$5,APOIO_REDES!$5:$5,0)),0)</f>
        <v>1.2</v>
      </c>
      <c r="AF7" s="153" t="n">
        <f aca="false">IFERROR(INDEX(APOIO_REDES!$A:$W,MATCH($C7&amp;$I7&amp;$H7&amp;$N7&amp;$O7,APOIO_REDES!$W:$W,0),MATCH(AF$5,APOIO_REDES!$5:$5,0)),0)</f>
        <v>1.363</v>
      </c>
      <c r="AG7" s="153" t="n">
        <f aca="false">IFERROR(INDEX(APOIO_REDES!$A:$W,MATCH($C7&amp;$I7&amp;$H7&amp;$N7&amp;$O7,APOIO_REDES!$W:$W,0),MATCH(AG$5,APOIO_REDES!$5:$5,0)),0)</f>
        <v>0.65</v>
      </c>
      <c r="AH7" s="153" t="n">
        <f aca="false">IFERROR(INDEX(APOIO_REDES!$A:$W,MATCH($C7&amp;$I7&amp;$H7&amp;$N7&amp;$O7,APOIO_REDES!$W:$W,0),MATCH(AH$5,APOIO_REDES!$5:$5,0)),0)</f>
        <v>0.1</v>
      </c>
      <c r="AI7" s="153" t="n">
        <f aca="false">IFERROR(IF($H7&lt;&gt;"",(((($H7/1000)/2)^2)*PI()*$M7),0),0)</f>
        <v>0.234011605461072</v>
      </c>
      <c r="AJ7" s="153" t="n">
        <f aca="false">IFERROR(IF(AND($H7&lt;&gt;"",$I7="FoFo",OR($N7="MND",$N7="VCA"),$Q7="LINEAR"),0,IF(AND($H7&lt;&gt;"",$I7="PEAD",$N7="VCA",$Q7="LINEAR"),($H7/1000)+0.3,IF(AND($H7&lt;&gt;"",$I7="PEAD",$N7="MND",$Q7="EMBOQUE"),0,IF(AND($H7&lt;&gt;"",$I7="PVC",$N7="VCA",$Q7="LINEAR"),($H7/1000)+0.2,IF(AND($H7&lt;&gt;"",$I7="PVC",$N7="MND",$Q7="EMBOQUE"),0,IF(AND($H7&lt;&gt;"",$I7="PEAD",$N7="VCA",$Q7="PREDIAL"),0,0)))))),0)</f>
        <v>0.363</v>
      </c>
      <c r="AK7" s="153" t="n">
        <f aca="false">IF(AA7&lt;&gt;"",AA7,0)</f>
        <v>1.7</v>
      </c>
      <c r="AL7" s="153" t="n">
        <f aca="false">IF(AND($N7="MND",$Q7="EMBOQUE"),$M7,IF(AND($N7="VCA",$Q7="LINEAR"),$M7,IF(AND($N7="VCA",$Q7="PREDIAL"),0,0)))</f>
        <v>75.07</v>
      </c>
      <c r="AM7" s="153" t="n">
        <f aca="false">IF(AND($N7="MND",$Q7="EMBOQUE"),$M7,IF(AND($N7="VCA",$Q7="LINEAR"),$M7,IF(AND($N7="VCA",$Q7="PREDIAL"),0,0)))</f>
        <v>75.07</v>
      </c>
      <c r="AN7" s="153" t="n">
        <f aca="false">ROUND(IF(AND($N7="VCA",$M7&lt;&gt;"",$Q7="LINEAR"),$M7/100,IF(AND($N7="MND",$M7&gt;100,$Q7="EMBOQUE"),$M7/100,0)),0)</f>
        <v>1</v>
      </c>
      <c r="AO7" s="153" t="n">
        <f aca="false">IF(AND($N7="MND",$Q7="EMBOQUE"),$AN7*2*2,IF(AND($N7="VCA",$Q7="LINEAR"),$M7*2,IF(AND($N7="VCA",$Q7="PREDIAL"),0,0)))</f>
        <v>150.14</v>
      </c>
      <c r="AP7" s="153" t="n">
        <f aca="false">IFERROR($M7*$AF7*$AG7,0)</f>
        <v>66.5082665</v>
      </c>
      <c r="AQ7" s="153" t="n">
        <f aca="false">IFERROR(IF(AND($N7="VCA",$AH7&gt;0),$M7*$AG7*$AH7,0),0)</f>
        <v>4.87955</v>
      </c>
      <c r="AR7" s="153" t="n">
        <f aca="false">IFERROR(IF(AND($N7="VCA",$AJ7&gt;0),($M7*$AG7*$AJ7)-$AI7,0),0)</f>
        <v>17.4787548945389</v>
      </c>
      <c r="AS7" s="153" t="n">
        <f aca="false">IFERROR(IF(AND($N7="VCA",$AP7&gt;0),$AP7-$AI7-$AQ7-$AR7,0),0)</f>
        <v>43.91595</v>
      </c>
      <c r="AT7" s="153" t="n">
        <f aca="false">IFERROR(IF($N7="VCA",INDEX(APOIO_REDES!$A:$W,MATCH($C7&amp;$I7&amp;$H7&amp;$N7&amp;$O7,APOIO_REDES!$W:$W,0),MATCH(AT$5,APOIO_REDES!$5:$5,0)),0)*$AP7,0)</f>
        <v>0.723629624962043</v>
      </c>
      <c r="AU7" s="153" t="n">
        <f aca="false">IFERROR(IF($N7="VCA",INDEX(APOIO_REDES!$A:$W,MATCH($C7&amp;$I7&amp;$H7&amp;$N7&amp;$O7,APOIO_REDES!$W:$W,0),MATCH(AU$5,APOIO_REDES!$5:$5,0)),0)*$AP7,0)</f>
        <v>0.577871020118968</v>
      </c>
      <c r="AV7" s="153" t="n">
        <f aca="false">IFERROR(IF($N7="VCA",INDEX(APOIO_REDES!$A:$W,MATCH($C7&amp;$I7&amp;$H7&amp;$N7&amp;$O7,APOIO_REDES!$W:$W,0),MATCH(AV$5,APOIO_REDES!$5:$5,0)),0)*$AP7,0)</f>
        <v>0.0799728127190911</v>
      </c>
      <c r="AW7" s="153" t="n">
        <f aca="false">IFERROR(IF($N7="VCA",INDEX(APOIO_REDES!$A:$W,MATCH($C7&amp;$I7&amp;$H7&amp;$N7&amp;$O7,APOIO_REDES!$W:$W,0),MATCH(AW$5,APOIO_REDES!$5:$5,0)),0)*$AP7,0)</f>
        <v>45.6517894567958</v>
      </c>
      <c r="AX7" s="153" t="n">
        <f aca="false">IFERROR(IF($N7="VCA",INDEX(APOIO_REDES!$A:$W,MATCH($C7&amp;$I7&amp;$H7&amp;$N7&amp;$O7,APOIO_REDES!$W:$W,0),MATCH(AX$5,APOIO_REDES!$5:$5,0)),0)*$AP7,0)</f>
        <v>6.31807761923672</v>
      </c>
      <c r="AY7" s="153" t="n">
        <f aca="false">IFERROR(IF($N7="VCA",INDEX(APOIO_REDES!$A:$W,MATCH($C7&amp;$I7&amp;$H7&amp;$N7&amp;$O7,APOIO_REDES!$W:$W,0),MATCH(AY$5,APOIO_REDES!$5:$5,0)),0)*$AP7,0)</f>
        <v>11.5574133581785</v>
      </c>
      <c r="AZ7" s="153" t="n">
        <f aca="false">IFERROR(IF($N7="VCA",INDEX(APOIO_REDES!$A:$W,MATCH($C7&amp;$I7&amp;$H7&amp;$N7&amp;$O7,APOIO_REDES!$W:$W,0),MATCH(AZ$5,APOIO_REDES!$5:$5,0)),0)*$AP7,0)</f>
        <v>1.59951260798895</v>
      </c>
      <c r="BA7" s="153" t="n">
        <f aca="false">IFERROR(IF(AND($N7="VCA",$Q7="LINEAR"),INDEX(APOIO_REDES!$A:$W,MATCH($C7&amp;$I7&amp;$H7&amp;$N7&amp;$O7,APOIO_REDES!$W:$W,0),MATCH(BA$5,APOIO_REDES!$5:$5,0)),IF(AND($N7="MND",$Q7="EMBOQUE"),INDEX(APOIO_REDES!$A:$W,MATCH($C7&amp;$I7&amp;$H7&amp;$N7&amp;$O7,APOIO_REDES!$W:$W,0),MATCH(BA$5,APOIO_REDES!$5:$5,0)),0))*$M7/10,0)</f>
        <v>6.05045264191411</v>
      </c>
      <c r="BB7" s="153" t="n">
        <f aca="false">IFERROR(IF($N7="VCA",INDEX(APOIO_REDES!$A:$W,MATCH($C7&amp;$I7&amp;$H7&amp;$N7&amp;$O7,APOIO_REDES!$W:$W,0),MATCH(BB$5,APOIO_REDES!$5:$5,0)),0)*($AI7+$AQ7+$AR7),0)</f>
        <v>22.3465054094957</v>
      </c>
      <c r="BC7" s="153" t="n">
        <f aca="false">IFERROR(IF($N7="VCA",INDEX(APOIO_REDES!$A:$W,MATCH($C7&amp;$I7&amp;$H7&amp;$N7&amp;$O7,APOIO_REDES!$W:$W,0),MATCH(BC$5,APOIO_REDES!$5:$5,0)),0)*($AI7+$AQ7+$AR7),0)</f>
        <v>0.245811090504348</v>
      </c>
      <c r="BD7" s="153" t="n">
        <f aca="false">IF(AND($N7="VCA",$AF7&gt;=1.25,$AF7&lt;1.5),$M7*$AF7*2,0)</f>
        <v>204.64082</v>
      </c>
      <c r="BE7" s="153" t="n">
        <f aca="false">IF(AND($N7="VCA",$AF7&gt;=1.5,$AF7&lt;3),$M7*$AF7*2,0)</f>
        <v>0</v>
      </c>
      <c r="BF7" s="153" t="n">
        <f aca="false">IF(AND($N7="VCA",$AF7&gt;=3),$M7*$AF7*2,0)</f>
        <v>0</v>
      </c>
      <c r="BG7" s="153" t="n">
        <f aca="false">($BB7+$BC7)*$AK7</f>
        <v>38.40693805</v>
      </c>
      <c r="BH7" s="153" t="n">
        <f aca="false">IF(AND($M7&lt;&gt;"",$N7="VCA",$Q7="LINEAR"),($M7*2)/100,IF(AND($M7&lt;&gt;"",$N7="MND",$Q7="EMBOQUE"),($AN7*2)/100,0))</f>
        <v>1.5014</v>
      </c>
      <c r="BI7" s="153" t="n">
        <f aca="false">IF(AND($M7&lt;&gt;"",$N7="VCA",$Q7="LINEAR"),$M7,IF(AND($M7&lt;&gt;"",$N7="MND",$Q7="EMBOQUE"),$AN7*2,0))</f>
        <v>75.07</v>
      </c>
      <c r="BJ7" s="153" t="n">
        <f aca="false">IF(AND($M7&lt;&gt;"",$N7="VCA",$Q7="LINEAR"),($M7*6.8)/100,IF(AND($M7&lt;&gt;"",$N7="MND",$Q7="EMBOQUE"),($AN7*2*6.8)/100,0))</f>
        <v>5.10476</v>
      </c>
      <c r="BK7" s="153" t="n">
        <f aca="false">IF(AND($M7&lt;&gt;"",$N7="VCA",$Q7="LINEAR"),($M7*2.5)/50,IF(AND($M7&lt;&gt;"",$N7="MND",$Q7="EMBOQUE"),($AN7*2*2.5)/50,0))</f>
        <v>3.7535</v>
      </c>
      <c r="BL7" s="157" t="str">
        <f aca="false">K7&amp;J7</f>
        <v>Zona01REDES</v>
      </c>
      <c r="BM7" s="152" t="s">
        <v>1559</v>
      </c>
      <c r="BN7" s="152" t="s">
        <v>1560</v>
      </c>
      <c r="BO7" s="152" t="s">
        <v>1561</v>
      </c>
      <c r="BP7" s="152" t="s">
        <v>1563</v>
      </c>
      <c r="BQ7" s="152" t="s">
        <v>1567</v>
      </c>
      <c r="BR7" s="152" t="s">
        <v>1564</v>
      </c>
      <c r="BS7" s="152" t="n">
        <v>203492.052</v>
      </c>
      <c r="BT7" s="152" t="n">
        <v>8239246.068</v>
      </c>
      <c r="BU7" s="152" t="n">
        <v>203438.198</v>
      </c>
      <c r="BV7" s="152" t="n">
        <v>8239193.8</v>
      </c>
      <c r="BW7" s="152" t="n">
        <v>-15.9085037</v>
      </c>
      <c r="BX7" s="152" t="n">
        <v>-47.7693921</v>
      </c>
      <c r="BY7" s="152" t="s">
        <v>1563</v>
      </c>
    </row>
    <row r="8" customFormat="false" ht="13.8" hidden="false" customHeight="false" outlineLevel="0" collapsed="false">
      <c r="A8" s="149" t="n">
        <f aca="false">IF(C8&lt;&gt;"",ROW(A3),"")</f>
        <v>3</v>
      </c>
      <c r="B8" s="150" t="str">
        <f aca="false">HYPERLINK("https://www.google.com/maps/dir/-15.917302,-47.760003/-15.9087206,-47.7685562/data=!4m3!4m2!3e0!5i0")</f>
        <v>https://www.google.com/maps/dir/-15.917302,-47.760003/-15.9087206,-47.7685562/data=!4m3!4m2!3e0!5i0</v>
      </c>
      <c r="C8" s="151" t="s">
        <v>117</v>
      </c>
      <c r="D8" s="152" t="s">
        <v>112</v>
      </c>
      <c r="E8" s="152" t="s">
        <v>113</v>
      </c>
      <c r="F8" s="152" t="s">
        <v>117</v>
      </c>
      <c r="G8" s="152" t="s">
        <v>782</v>
      </c>
      <c r="H8" s="152" t="n">
        <v>63</v>
      </c>
      <c r="I8" s="152" t="s">
        <v>115</v>
      </c>
      <c r="J8" s="152" t="s">
        <v>6</v>
      </c>
      <c r="K8" s="152" t="s">
        <v>1547</v>
      </c>
      <c r="L8" s="152" t="s">
        <v>120</v>
      </c>
      <c r="M8" s="153" t="n">
        <f aca="false">3.22</f>
        <v>3.22</v>
      </c>
      <c r="N8" s="152" t="s">
        <v>1548</v>
      </c>
      <c r="O8" s="152" t="s">
        <v>1549</v>
      </c>
      <c r="P8" s="152" t="s">
        <v>1550</v>
      </c>
      <c r="Q8" s="152" t="s">
        <v>1551</v>
      </c>
      <c r="R8" s="154" t="s">
        <v>1568</v>
      </c>
      <c r="S8" s="154" t="s">
        <v>1553</v>
      </c>
      <c r="T8" s="155" t="s">
        <v>1554</v>
      </c>
      <c r="U8" s="152" t="str">
        <f aca="false">RIGHT(T8,7)</f>
        <v>002/037</v>
      </c>
      <c r="V8" s="152" t="s">
        <v>1555</v>
      </c>
      <c r="W8" s="156" t="n">
        <v>45882</v>
      </c>
      <c r="X8" s="152" t="s">
        <v>1556</v>
      </c>
      <c r="Y8" s="152"/>
      <c r="Z8" s="152" t="s">
        <v>1557</v>
      </c>
      <c r="AA8" s="153" t="n">
        <v>1.6</v>
      </c>
      <c r="AB8" s="151" t="s">
        <v>1569</v>
      </c>
      <c r="AC8" s="151" t="s">
        <v>186</v>
      </c>
      <c r="AD8" s="151" t="str">
        <f aca="false">CONCATENATE($C8,$I8,$H8,$N8,$J8,$K8)</f>
        <v>TUBO PEADPEAD63VCAREDESZona01</v>
      </c>
      <c r="AE8" s="153" t="n">
        <f aca="false">IFERROR(INDEX(APOIO_REDES!$A:$W,MATCH($C8&amp;$I8&amp;$H8&amp;$N8&amp;$O8,APOIO_REDES!$W:$W,0),MATCH(AE$5,APOIO_REDES!$5:$5,0)),0)</f>
        <v>1.2</v>
      </c>
      <c r="AF8" s="153" t="n">
        <f aca="false">IFERROR(INDEX(APOIO_REDES!$A:$W,MATCH($C8&amp;$I8&amp;$H8&amp;$N8&amp;$O8,APOIO_REDES!$W:$W,0),MATCH(AF$5,APOIO_REDES!$5:$5,0)),0)</f>
        <v>1.363</v>
      </c>
      <c r="AG8" s="153" t="n">
        <f aca="false">IFERROR(INDEX(APOIO_REDES!$A:$W,MATCH($C8&amp;$I8&amp;$H8&amp;$N8&amp;$O8,APOIO_REDES!$W:$W,0),MATCH(AG$5,APOIO_REDES!$5:$5,0)),0)</f>
        <v>0.65</v>
      </c>
      <c r="AH8" s="153" t="n">
        <f aca="false">IFERROR(INDEX(APOIO_REDES!$A:$W,MATCH($C8&amp;$I8&amp;$H8&amp;$N8&amp;$O8,APOIO_REDES!$W:$W,0),MATCH(AH$5,APOIO_REDES!$5:$5,0)),0)</f>
        <v>0.1</v>
      </c>
      <c r="AI8" s="153" t="n">
        <f aca="false">IFERROR(IF($H8&lt;&gt;"",(((($H8/1000)/2)^2)*PI()*$M8),0),0)</f>
        <v>0.0100375298998888</v>
      </c>
      <c r="AJ8" s="153" t="n">
        <f aca="false">IFERROR(IF(AND($H8&lt;&gt;"",$I8="FoFo",OR($N8="MND",$N8="VCA"),$Q8="LINEAR"),0,IF(AND($H8&lt;&gt;"",$I8="PEAD",$N8="VCA",$Q8="LINEAR"),($H8/1000)+0.3,IF(AND($H8&lt;&gt;"",$I8="PEAD",$N8="MND",$Q8="EMBOQUE"),0,IF(AND($H8&lt;&gt;"",$I8="PVC",$N8="VCA",$Q8="LINEAR"),($H8/1000)+0.2,IF(AND($H8&lt;&gt;"",$I8="PVC",$N8="MND",$Q8="EMBOQUE"),0,IF(AND($H8&lt;&gt;"",$I8="PEAD",$N8="VCA",$Q8="PREDIAL"),0,0)))))),0)</f>
        <v>0.363</v>
      </c>
      <c r="AK8" s="153" t="n">
        <f aca="false">IF(AA8&lt;&gt;"",AA8,0)</f>
        <v>1.6</v>
      </c>
      <c r="AL8" s="153" t="n">
        <f aca="false">IF(AND($N8="MND",$Q8="EMBOQUE"),$M8,IF(AND($N8="VCA",$Q8="LINEAR"),$M8,IF(AND($N8="VCA",$Q8="PREDIAL"),0,0)))</f>
        <v>3.22</v>
      </c>
      <c r="AM8" s="153" t="n">
        <f aca="false">IF(AND($N8="MND",$Q8="EMBOQUE"),$M8,IF(AND($N8="VCA",$Q8="LINEAR"),$M8,IF(AND($N8="VCA",$Q8="PREDIAL"),0,0)))</f>
        <v>3.22</v>
      </c>
      <c r="AN8" s="153" t="n">
        <f aca="false">ROUND(IF(AND($N8="VCA",$M8&lt;&gt;"",$Q8="LINEAR"),$M8/100,IF(AND($N8="MND",$M8&gt;100,$Q8="EMBOQUE"),$M8/100,0)),0)</f>
        <v>0</v>
      </c>
      <c r="AO8" s="153" t="n">
        <f aca="false">IF(AND($N8="MND",$Q8="EMBOQUE"),$AN8*2*2,IF(AND($N8="VCA",$Q8="LINEAR"),$M8*2,IF(AND($N8="VCA",$Q8="PREDIAL"),0,0)))</f>
        <v>6.44</v>
      </c>
      <c r="AP8" s="153" t="n">
        <f aca="false">IFERROR($M8*$AF8*$AG8,0)</f>
        <v>2.852759</v>
      </c>
      <c r="AQ8" s="153" t="n">
        <f aca="false">IFERROR(IF(AND($N8="VCA",$AH8&gt;0),$M8*$AG8*$AH8,0),0)</f>
        <v>0.2093</v>
      </c>
      <c r="AR8" s="153" t="n">
        <f aca="false">IFERROR(IF(AND($N8="VCA",$AJ8&gt;0),($M8*$AG8*$AJ8)-$AI8,0),0)</f>
        <v>0.749721470100111</v>
      </c>
      <c r="AS8" s="153" t="n">
        <f aca="false">IFERROR(IF(AND($N8="VCA",$AP8&gt;0),$AP8-$AI8-$AQ8-$AR8,0),0)</f>
        <v>1.8837</v>
      </c>
      <c r="AT8" s="153" t="n">
        <f aca="false">IFERROR(IF($N8="VCA",INDEX(APOIO_REDES!$A:$W,MATCH($C8&amp;$I8&amp;$H8&amp;$N8&amp;$O8,APOIO_REDES!$W:$W,0),MATCH(AT$5,APOIO_REDES!$5:$5,0)),0)*$AP8,0)</f>
        <v>0.0310388622935631</v>
      </c>
      <c r="AU8" s="153" t="n">
        <f aca="false">IFERROR(IF($N8="VCA",INDEX(APOIO_REDES!$A:$W,MATCH($C8&amp;$I8&amp;$H8&amp;$N8&amp;$O8,APOIO_REDES!$W:$W,0),MATCH(AU$5,APOIO_REDES!$5:$5,0)),0)*$AP8,0)</f>
        <v>0.0247867947886383</v>
      </c>
      <c r="AV8" s="153" t="n">
        <f aca="false">IFERROR(IF($N8="VCA",INDEX(APOIO_REDES!$A:$W,MATCH($C8&amp;$I8&amp;$H8&amp;$N8&amp;$O8,APOIO_REDES!$W:$W,0),MATCH(AV$5,APOIO_REDES!$5:$5,0)),0)*$AP8,0)</f>
        <v>0.00343029781477918</v>
      </c>
      <c r="AW8" s="153" t="n">
        <f aca="false">IFERROR(IF($N8="VCA",INDEX(APOIO_REDES!$A:$W,MATCH($C8&amp;$I8&amp;$H8&amp;$N8&amp;$O8,APOIO_REDES!$W:$W,0),MATCH(AW$5,APOIO_REDES!$5:$5,0)),0)*$AP8,0)</f>
        <v>1.95815588185537</v>
      </c>
      <c r="AX8" s="153" t="n">
        <f aca="false">IFERROR(IF($N8="VCA",INDEX(APOIO_REDES!$A:$W,MATCH($C8&amp;$I8&amp;$H8&amp;$N8&amp;$O8,APOIO_REDES!$W:$W,0),MATCH(AX$5,APOIO_REDES!$5:$5,0)),0)*$AP8,0)</f>
        <v>0.271003196136169</v>
      </c>
      <c r="AY8" s="153" t="n">
        <f aca="false">IFERROR(IF($N8="VCA",INDEX(APOIO_REDES!$A:$W,MATCH($C8&amp;$I8&amp;$H8&amp;$N8&amp;$O8,APOIO_REDES!$W:$W,0),MATCH(AY$5,APOIO_REDES!$5:$5,0)),0)*$AP8,0)</f>
        <v>0.495735593623747</v>
      </c>
      <c r="AZ8" s="153" t="n">
        <f aca="false">IFERROR(IF($N8="VCA",INDEX(APOIO_REDES!$A:$W,MATCH($C8&amp;$I8&amp;$H8&amp;$N8&amp;$O8,APOIO_REDES!$W:$W,0),MATCH(AZ$5,APOIO_REDES!$5:$5,0)),0)*$AP8,0)</f>
        <v>0.0686083734877371</v>
      </c>
      <c r="BA8" s="153" t="n">
        <f aca="false">IFERROR(IF(AND($N8="VCA",$Q8="LINEAR"),INDEX(APOIO_REDES!$A:$W,MATCH($C8&amp;$I8&amp;$H8&amp;$N8&amp;$O8,APOIO_REDES!$W:$W,0),MATCH(BA$5,APOIO_REDES!$5:$5,0)),IF(AND($N8="MND",$Q8="EMBOQUE"),INDEX(APOIO_REDES!$A:$W,MATCH($C8&amp;$I8&amp;$H8&amp;$N8&amp;$O8,APOIO_REDES!$W:$W,0),MATCH(BA$5,APOIO_REDES!$5:$5,0)),0))*$M8/10,0)</f>
        <v>0.259523877806893</v>
      </c>
      <c r="BB8" s="153" t="n">
        <f aca="false">IFERROR(IF($N8="VCA",INDEX(APOIO_REDES!$A:$W,MATCH($C8&amp;$I8&amp;$H8&amp;$N8&amp;$O8,APOIO_REDES!$W:$W,0),MATCH(BB$5,APOIO_REDES!$5:$5,0)),0)*($AI8+$AQ8+$AR8),0)</f>
        <v>0.958515351253177</v>
      </c>
      <c r="BC8" s="153" t="n">
        <f aca="false">IFERROR(IF($N8="VCA",INDEX(APOIO_REDES!$A:$W,MATCH($C8&amp;$I8&amp;$H8&amp;$N8&amp;$O8,APOIO_REDES!$W:$W,0),MATCH(BC$5,APOIO_REDES!$5:$5,0)),0)*($AI8+$AQ8+$AR8),0)</f>
        <v>0.010543648746823</v>
      </c>
      <c r="BD8" s="153" t="n">
        <f aca="false">IF(AND($N8="VCA",$AF8&gt;=1.25,$AF8&lt;1.5),$M8*$AF8*2,0)</f>
        <v>8.77772</v>
      </c>
      <c r="BE8" s="153" t="n">
        <f aca="false">IF(AND($N8="VCA",$AF8&gt;=1.5,$AF8&lt;3),$M8*$AF8*2,0)</f>
        <v>0</v>
      </c>
      <c r="BF8" s="153" t="n">
        <f aca="false">IF(AND($N8="VCA",$AF8&gt;=3),$M8*$AF8*2,0)</f>
        <v>0</v>
      </c>
      <c r="BG8" s="153" t="n">
        <f aca="false">($BB8+$BC8)*$AK8</f>
        <v>1.5504944</v>
      </c>
      <c r="BH8" s="153" t="n">
        <f aca="false">IF(AND($M8&lt;&gt;"",$N8="VCA",$Q8="LINEAR"),($M8*2)/100,IF(AND($M8&lt;&gt;"",$N8="MND",$Q8="EMBOQUE"),($AN8*2)/100,0))</f>
        <v>0.0644</v>
      </c>
      <c r="BI8" s="153" t="n">
        <f aca="false">IF(AND($M8&lt;&gt;"",$N8="VCA",$Q8="LINEAR"),$M8,IF(AND($M8&lt;&gt;"",$N8="MND",$Q8="EMBOQUE"),$AN8*2,0))</f>
        <v>3.22</v>
      </c>
      <c r="BJ8" s="153" t="n">
        <f aca="false">IF(AND($M8&lt;&gt;"",$N8="VCA",$Q8="LINEAR"),($M8*6.8)/100,IF(AND($M8&lt;&gt;"",$N8="MND",$Q8="EMBOQUE"),($AN8*2*6.8)/100,0))</f>
        <v>0.21896</v>
      </c>
      <c r="BK8" s="153" t="n">
        <f aca="false">IF(AND($M8&lt;&gt;"",$N8="VCA",$Q8="LINEAR"),($M8*2.5)/50,IF(AND($M8&lt;&gt;"",$N8="MND",$Q8="EMBOQUE"),($AN8*2*2.5)/50,0))</f>
        <v>0.161</v>
      </c>
      <c r="BL8" s="157" t="str">
        <f aca="false">K8&amp;J8</f>
        <v>Zona01REDES</v>
      </c>
      <c r="BM8" s="152" t="s">
        <v>1559</v>
      </c>
      <c r="BN8" s="152" t="s">
        <v>1560</v>
      </c>
      <c r="BO8" s="152" t="s">
        <v>1561</v>
      </c>
      <c r="BP8" s="152" t="s">
        <v>1570</v>
      </c>
      <c r="BQ8" s="152" t="s">
        <v>1562</v>
      </c>
      <c r="BR8" s="152" t="s">
        <v>1564</v>
      </c>
      <c r="BS8" s="152" t="n">
        <v>203555.019</v>
      </c>
      <c r="BT8" s="152" t="n">
        <v>8239197.099</v>
      </c>
      <c r="BU8" s="152" t="n">
        <v>203552.494</v>
      </c>
      <c r="BV8" s="152" t="n">
        <v>8239199.097</v>
      </c>
      <c r="BW8" s="152" t="n">
        <v>-15.9087115</v>
      </c>
      <c r="BX8" s="152" t="n">
        <v>-47.7685678</v>
      </c>
      <c r="BY8" s="152" t="s">
        <v>1570</v>
      </c>
    </row>
    <row r="9" customFormat="false" ht="13.8" hidden="false" customHeight="false" outlineLevel="0" collapsed="false">
      <c r="A9" s="149" t="n">
        <f aca="false">IF(C9&lt;&gt;"",ROW(A4),"")</f>
        <v>4</v>
      </c>
      <c r="B9" s="150" t="str">
        <f aca="false">HYPERLINK("https://www.google.com/maps/dir/-15.917302,-47.760003/-15.9088783,-47.7683558/data=!4m3!4m2!3e0!5i0")</f>
        <v>https://www.google.com/maps/dir/-15.917302,-47.760003/-15.9088783,-47.7683558/data=!4m3!4m2!3e0!5i0</v>
      </c>
      <c r="C9" s="151" t="s">
        <v>117</v>
      </c>
      <c r="D9" s="152" t="s">
        <v>112</v>
      </c>
      <c r="E9" s="152" t="s">
        <v>113</v>
      </c>
      <c r="F9" s="152" t="s">
        <v>117</v>
      </c>
      <c r="G9" s="152" t="s">
        <v>782</v>
      </c>
      <c r="H9" s="152" t="n">
        <v>63</v>
      </c>
      <c r="I9" s="152" t="s">
        <v>115</v>
      </c>
      <c r="J9" s="152" t="s">
        <v>6</v>
      </c>
      <c r="K9" s="152" t="s">
        <v>1547</v>
      </c>
      <c r="L9" s="152" t="s">
        <v>120</v>
      </c>
      <c r="M9" s="153" t="n">
        <f aca="false">27.68</f>
        <v>27.68</v>
      </c>
      <c r="N9" s="152" t="s">
        <v>1548</v>
      </c>
      <c r="O9" s="152" t="s">
        <v>1549</v>
      </c>
      <c r="P9" s="152" t="s">
        <v>1550</v>
      </c>
      <c r="Q9" s="152" t="s">
        <v>1551</v>
      </c>
      <c r="R9" s="154" t="s">
        <v>1571</v>
      </c>
      <c r="S9" s="154" t="s">
        <v>1553</v>
      </c>
      <c r="T9" s="155" t="s">
        <v>1554</v>
      </c>
      <c r="U9" s="152" t="str">
        <f aca="false">RIGHT(T9,7)</f>
        <v>002/037</v>
      </c>
      <c r="V9" s="152" t="s">
        <v>1555</v>
      </c>
      <c r="W9" s="156" t="n">
        <v>45882</v>
      </c>
      <c r="X9" s="152" t="s">
        <v>1556</v>
      </c>
      <c r="Y9" s="152"/>
      <c r="Z9" s="152" t="s">
        <v>1557</v>
      </c>
      <c r="AA9" s="153" t="n">
        <v>1.6</v>
      </c>
      <c r="AB9" s="151" t="s">
        <v>1572</v>
      </c>
      <c r="AC9" s="151" t="s">
        <v>186</v>
      </c>
      <c r="AD9" s="151" t="str">
        <f aca="false">CONCATENATE($C9,$I9,$H9,$N9,$J9,$K9)</f>
        <v>TUBO PEADPEAD63VCAREDESZona01</v>
      </c>
      <c r="AE9" s="153" t="n">
        <f aca="false">IFERROR(INDEX(APOIO_REDES!$A:$W,MATCH($C9&amp;$I9&amp;$H9&amp;$N9&amp;$O9,APOIO_REDES!$W:$W,0),MATCH(AE$5,APOIO_REDES!$5:$5,0)),0)</f>
        <v>1.2</v>
      </c>
      <c r="AF9" s="153" t="n">
        <f aca="false">IFERROR(INDEX(APOIO_REDES!$A:$W,MATCH($C9&amp;$I9&amp;$H9&amp;$N9&amp;$O9,APOIO_REDES!$W:$W,0),MATCH(AF$5,APOIO_REDES!$5:$5,0)),0)</f>
        <v>1.363</v>
      </c>
      <c r="AG9" s="153" t="n">
        <f aca="false">IFERROR(INDEX(APOIO_REDES!$A:$W,MATCH($C9&amp;$I9&amp;$H9&amp;$N9&amp;$O9,APOIO_REDES!$W:$W,0),MATCH(AG$5,APOIO_REDES!$5:$5,0)),0)</f>
        <v>0.65</v>
      </c>
      <c r="AH9" s="153" t="n">
        <f aca="false">IFERROR(INDEX(APOIO_REDES!$A:$W,MATCH($C9&amp;$I9&amp;$H9&amp;$N9&amp;$O9,APOIO_REDES!$W:$W,0),MATCH(AH$5,APOIO_REDES!$5:$5,0)),0)</f>
        <v>0.1</v>
      </c>
      <c r="AI9" s="153" t="n">
        <f aca="false">IFERROR(IF($H9&lt;&gt;"",(((($H9/1000)/2)^2)*PI()*$M9),0),0)</f>
        <v>0.0862853501953174</v>
      </c>
      <c r="AJ9" s="153" t="n">
        <f aca="false">IFERROR(IF(AND($H9&lt;&gt;"",$I9="FoFo",OR($N9="MND",$N9="VCA"),$Q9="LINEAR"),0,IF(AND($H9&lt;&gt;"",$I9="PEAD",$N9="VCA",$Q9="LINEAR"),($H9/1000)+0.3,IF(AND($H9&lt;&gt;"",$I9="PEAD",$N9="MND",$Q9="EMBOQUE"),0,IF(AND($H9&lt;&gt;"",$I9="PVC",$N9="VCA",$Q9="LINEAR"),($H9/1000)+0.2,IF(AND($H9&lt;&gt;"",$I9="PVC",$N9="MND",$Q9="EMBOQUE"),0,IF(AND($H9&lt;&gt;"",$I9="PEAD",$N9="VCA",$Q9="PREDIAL"),0,0)))))),0)</f>
        <v>0.363</v>
      </c>
      <c r="AK9" s="153" t="n">
        <f aca="false">IF(AA9&lt;&gt;"",AA9,0)</f>
        <v>1.6</v>
      </c>
      <c r="AL9" s="153" t="n">
        <f aca="false">IF(AND($N9="MND",$Q9="EMBOQUE"),$M9,IF(AND($N9="VCA",$Q9="LINEAR"),$M9,IF(AND($N9="VCA",$Q9="PREDIAL"),0,0)))</f>
        <v>27.68</v>
      </c>
      <c r="AM9" s="153" t="n">
        <f aca="false">IF(AND($N9="MND",$Q9="EMBOQUE"),$M9,IF(AND($N9="VCA",$Q9="LINEAR"),$M9,IF(AND($N9="VCA",$Q9="PREDIAL"),0,0)))</f>
        <v>27.68</v>
      </c>
      <c r="AN9" s="153" t="n">
        <f aca="false">ROUND(IF(AND($N9="VCA",$M9&lt;&gt;"",$Q9="LINEAR"),$M9/100,IF(AND($N9="MND",$M9&gt;100,$Q9="EMBOQUE"),$M9/100,0)),0)</f>
        <v>0</v>
      </c>
      <c r="AO9" s="153" t="n">
        <f aca="false">IF(AND($N9="MND",$Q9="EMBOQUE"),$AN9*2*2,IF(AND($N9="VCA",$Q9="LINEAR"),$M9*2,IF(AND($N9="VCA",$Q9="PREDIAL"),0,0)))</f>
        <v>55.36</v>
      </c>
      <c r="AP9" s="153" t="n">
        <f aca="false">IFERROR($M9*$AF9*$AG9,0)</f>
        <v>24.523096</v>
      </c>
      <c r="AQ9" s="153" t="n">
        <f aca="false">IFERROR(IF(AND($N9="VCA",$AH9&gt;0),$M9*$AG9*$AH9,0),0)</f>
        <v>1.7992</v>
      </c>
      <c r="AR9" s="153" t="n">
        <f aca="false">IFERROR(IF(AND($N9="VCA",$AJ9&gt;0),($M9*$AG9*$AJ9)-$AI9,0),0)</f>
        <v>6.44481064980468</v>
      </c>
      <c r="AS9" s="153" t="n">
        <f aca="false">IFERROR(IF(AND($N9="VCA",$AP9&gt;0),$AP9-$AI9-$AQ9-$AR9,0),0)</f>
        <v>16.1928</v>
      </c>
      <c r="AT9" s="153" t="n">
        <f aca="false">IFERROR(IF($N9="VCA",INDEX(APOIO_REDES!$A:$W,MATCH($C9&amp;$I9&amp;$H9&amp;$N9&amp;$O9,APOIO_REDES!$W:$W,0),MATCH(AT$5,APOIO_REDES!$5:$5,0)),0)*$AP9,0)</f>
        <v>0.266818542945908</v>
      </c>
      <c r="AU9" s="153" t="n">
        <f aca="false">IFERROR(IF($N9="VCA",INDEX(APOIO_REDES!$A:$W,MATCH($C9&amp;$I9&amp;$H9&amp;$N9&amp;$O9,APOIO_REDES!$W:$W,0),MATCH(AU$5,APOIO_REDES!$5:$5,0)),0)*$AP9,0)</f>
        <v>0.213074062034009</v>
      </c>
      <c r="AV9" s="153" t="n">
        <f aca="false">IFERROR(IF($N9="VCA",INDEX(APOIO_REDES!$A:$W,MATCH($C9&amp;$I9&amp;$H9&amp;$N9&amp;$O9,APOIO_REDES!$W:$W,0),MATCH(AV$5,APOIO_REDES!$5:$5,0)),0)*$AP9,0)</f>
        <v>0.0294877774885366</v>
      </c>
      <c r="AW9" s="153" t="n">
        <f aca="false">IFERROR(IF($N9="VCA",INDEX(APOIO_REDES!$A:$W,MATCH($C9&amp;$I9&amp;$H9&amp;$N9&amp;$O9,APOIO_REDES!$W:$W,0),MATCH(AW$5,APOIO_REDES!$5:$5,0)),0)*$AP9,0)</f>
        <v>16.83284310862</v>
      </c>
      <c r="AX9" s="153" t="n">
        <f aca="false">IFERROR(IF($N9="VCA",INDEX(APOIO_REDES!$A:$W,MATCH($C9&amp;$I9&amp;$H9&amp;$N9&amp;$O9,APOIO_REDES!$W:$W,0),MATCH(AX$5,APOIO_REDES!$5:$5,0)),0)*$AP9,0)</f>
        <v>2.32961753697179</v>
      </c>
      <c r="AY9" s="153" t="n">
        <f aca="false">IFERROR(IF($N9="VCA",INDEX(APOIO_REDES!$A:$W,MATCH($C9&amp;$I9&amp;$H9&amp;$N9&amp;$O9,APOIO_REDES!$W:$W,0),MATCH(AY$5,APOIO_REDES!$5:$5,0)),0)*$AP9,0)</f>
        <v>4.26147864332463</v>
      </c>
      <c r="AZ9" s="153" t="n">
        <f aca="false">IFERROR(IF($N9="VCA",INDEX(APOIO_REDES!$A:$W,MATCH($C9&amp;$I9&amp;$H9&amp;$N9&amp;$O9,APOIO_REDES!$W:$W,0),MATCH(AZ$5,APOIO_REDES!$5:$5,0)),0)*$AP9,0)</f>
        <v>0.589776328615082</v>
      </c>
      <c r="BA9" s="153" t="n">
        <f aca="false">IFERROR(IF(AND($N9="VCA",$Q9="LINEAR"),INDEX(APOIO_REDES!$A:$W,MATCH($C9&amp;$I9&amp;$H9&amp;$N9&amp;$O9,APOIO_REDES!$W:$W,0),MATCH(BA$5,APOIO_REDES!$5:$5,0)),IF(AND($N9="MND",$Q9="EMBOQUE"),INDEX(APOIO_REDES!$A:$W,MATCH($C9&amp;$I9&amp;$H9&amp;$N9&amp;$O9,APOIO_REDES!$W:$W,0),MATCH(BA$5,APOIO_REDES!$5:$5,0)),0))*$M9/10,0)</f>
        <v>2.23093817940832</v>
      </c>
      <c r="BB9" s="153" t="n">
        <f aca="false">IFERROR(IF($N9="VCA",INDEX(APOIO_REDES!$A:$W,MATCH($C9&amp;$I9&amp;$H9&amp;$N9&amp;$O9,APOIO_REDES!$W:$W,0),MATCH(BB$5,APOIO_REDES!$5:$5,0)),0)*($AI9+$AQ9+$AR9),0)</f>
        <v>8.23965991387824</v>
      </c>
      <c r="BC9" s="153" t="n">
        <f aca="false">IFERROR(IF($N9="VCA",INDEX(APOIO_REDES!$A:$W,MATCH($C9&amp;$I9&amp;$H9&amp;$N9&amp;$O9,APOIO_REDES!$W:$W,0),MATCH(BC$5,APOIO_REDES!$5:$5,0)),0)*($AI9+$AQ9+$AR9),0)</f>
        <v>0.0906360861217576</v>
      </c>
      <c r="BD9" s="153" t="n">
        <f aca="false">IF(AND($N9="VCA",$AF9&gt;=1.25,$AF9&lt;1.5),$M9*$AF9*2,0)</f>
        <v>75.45568</v>
      </c>
      <c r="BE9" s="153" t="n">
        <f aca="false">IF(AND($N9="VCA",$AF9&gt;=1.5,$AF9&lt;3),$M9*$AF9*2,0)</f>
        <v>0</v>
      </c>
      <c r="BF9" s="153" t="n">
        <f aca="false">IF(AND($N9="VCA",$AF9&gt;=3),$M9*$AF9*2,0)</f>
        <v>0</v>
      </c>
      <c r="BG9" s="153" t="n">
        <f aca="false">($BB9+$BC9)*$AK9</f>
        <v>13.3284736</v>
      </c>
      <c r="BH9" s="153" t="n">
        <f aca="false">IF(AND($M9&lt;&gt;"",$N9="VCA",$Q9="LINEAR"),($M9*2)/100,IF(AND($M9&lt;&gt;"",$N9="MND",$Q9="EMBOQUE"),($AN9*2)/100,0))</f>
        <v>0.5536</v>
      </c>
      <c r="BI9" s="153" t="n">
        <f aca="false">IF(AND($M9&lt;&gt;"",$N9="VCA",$Q9="LINEAR"),$M9,IF(AND($M9&lt;&gt;"",$N9="MND",$Q9="EMBOQUE"),$AN9*2,0))</f>
        <v>27.68</v>
      </c>
      <c r="BJ9" s="153" t="n">
        <f aca="false">IF(AND($M9&lt;&gt;"",$N9="VCA",$Q9="LINEAR"),($M9*6.8)/100,IF(AND($M9&lt;&gt;"",$N9="MND",$Q9="EMBOQUE"),($AN9*2*6.8)/100,0))</f>
        <v>1.88224</v>
      </c>
      <c r="BK9" s="153" t="n">
        <f aca="false">IF(AND($M9&lt;&gt;"",$N9="VCA",$Q9="LINEAR"),($M9*2.5)/50,IF(AND($M9&lt;&gt;"",$N9="MND",$Q9="EMBOQUE"),($AN9*2*2.5)/50,0))</f>
        <v>1.384</v>
      </c>
      <c r="BL9" s="157" t="str">
        <f aca="false">K9&amp;J9</f>
        <v>Zona01REDES</v>
      </c>
      <c r="BM9" s="152" t="s">
        <v>1559</v>
      </c>
      <c r="BN9" s="152" t="s">
        <v>1560</v>
      </c>
      <c r="BO9" s="152" t="s">
        <v>1561</v>
      </c>
      <c r="BP9" s="152" t="s">
        <v>1573</v>
      </c>
      <c r="BQ9" s="152" t="s">
        <v>1570</v>
      </c>
      <c r="BR9" s="152" t="s">
        <v>1564</v>
      </c>
      <c r="BS9" s="152" t="n">
        <v>203576.724</v>
      </c>
      <c r="BT9" s="152" t="n">
        <v>8239179.922</v>
      </c>
      <c r="BU9" s="152" t="n">
        <v>203555.019</v>
      </c>
      <c r="BV9" s="152" t="n">
        <v>8239197.099</v>
      </c>
      <c r="BW9" s="152" t="n">
        <v>-15.9087995</v>
      </c>
      <c r="BX9" s="152" t="n">
        <v>-47.768456</v>
      </c>
      <c r="BY9" s="152" t="s">
        <v>1573</v>
      </c>
    </row>
    <row r="10" customFormat="false" ht="13.8" hidden="false" customHeight="false" outlineLevel="0" collapsed="false">
      <c r="A10" s="149" t="n">
        <f aca="false">IF(C10&lt;&gt;"",ROW(A5),"")</f>
        <v>5</v>
      </c>
      <c r="B10" s="150" t="str">
        <f aca="false">HYPERLINK("https://www.google.com/maps/dir/-15.917302,-47.760003/-15.9087329,-47.7696502/data=!4m3!4m2!3e0!5i0")</f>
        <v>https://www.google.com/maps/dir/-15.917302,-47.760003/-15.9087329,-47.7696502/data=!4m3!4m2!3e0!5i0</v>
      </c>
      <c r="C10" s="151" t="s">
        <v>117</v>
      </c>
      <c r="D10" s="152" t="s">
        <v>112</v>
      </c>
      <c r="E10" s="152" t="s">
        <v>113</v>
      </c>
      <c r="F10" s="152" t="s">
        <v>117</v>
      </c>
      <c r="G10" s="152" t="s">
        <v>782</v>
      </c>
      <c r="H10" s="152" t="n">
        <v>63</v>
      </c>
      <c r="I10" s="152" t="s">
        <v>115</v>
      </c>
      <c r="J10" s="152" t="s">
        <v>6</v>
      </c>
      <c r="K10" s="152" t="s">
        <v>1547</v>
      </c>
      <c r="L10" s="152" t="s">
        <v>120</v>
      </c>
      <c r="M10" s="153" t="n">
        <f aca="false">50.68</f>
        <v>50.68</v>
      </c>
      <c r="N10" s="152" t="s">
        <v>1548</v>
      </c>
      <c r="O10" s="152" t="s">
        <v>1549</v>
      </c>
      <c r="P10" s="152" t="s">
        <v>1550</v>
      </c>
      <c r="Q10" s="152" t="s">
        <v>1551</v>
      </c>
      <c r="R10" s="154" t="s">
        <v>1574</v>
      </c>
      <c r="S10" s="154" t="s">
        <v>1553</v>
      </c>
      <c r="T10" s="155" t="s">
        <v>1554</v>
      </c>
      <c r="U10" s="152" t="str">
        <f aca="false">RIGHT(T10,7)</f>
        <v>002/037</v>
      </c>
      <c r="V10" s="152" t="s">
        <v>1555</v>
      </c>
      <c r="W10" s="156" t="n">
        <v>45882</v>
      </c>
      <c r="X10" s="152" t="s">
        <v>1556</v>
      </c>
      <c r="Y10" s="152"/>
      <c r="Z10" s="152" t="s">
        <v>1557</v>
      </c>
      <c r="AA10" s="153" t="n">
        <v>1.8</v>
      </c>
      <c r="AB10" s="151" t="s">
        <v>1575</v>
      </c>
      <c r="AC10" s="151" t="s">
        <v>186</v>
      </c>
      <c r="AD10" s="151" t="str">
        <f aca="false">CONCATENATE($C10,$I10,$H10,$N10,$J10,$K10)</f>
        <v>TUBO PEADPEAD63VCAREDESZona01</v>
      </c>
      <c r="AE10" s="153" t="n">
        <f aca="false">IFERROR(INDEX(APOIO_REDES!$A:$W,MATCH($C10&amp;$I10&amp;$H10&amp;$N10&amp;$O10,APOIO_REDES!$W:$W,0),MATCH(AE$5,APOIO_REDES!$5:$5,0)),0)</f>
        <v>1.2</v>
      </c>
      <c r="AF10" s="153" t="n">
        <f aca="false">IFERROR(INDEX(APOIO_REDES!$A:$W,MATCH($C10&amp;$I10&amp;$H10&amp;$N10&amp;$O10,APOIO_REDES!$W:$W,0),MATCH(AF$5,APOIO_REDES!$5:$5,0)),0)</f>
        <v>1.363</v>
      </c>
      <c r="AG10" s="153" t="n">
        <f aca="false">IFERROR(INDEX(APOIO_REDES!$A:$W,MATCH($C10&amp;$I10&amp;$H10&amp;$N10&amp;$O10,APOIO_REDES!$W:$W,0),MATCH(AG$5,APOIO_REDES!$5:$5,0)),0)</f>
        <v>0.65</v>
      </c>
      <c r="AH10" s="153" t="n">
        <f aca="false">IFERROR(INDEX(APOIO_REDES!$A:$W,MATCH($C10&amp;$I10&amp;$H10&amp;$N10&amp;$O10,APOIO_REDES!$W:$W,0),MATCH(AH$5,APOIO_REDES!$5:$5,0)),0)</f>
        <v>0.1</v>
      </c>
      <c r="AI10" s="153" t="n">
        <f aca="false">IFERROR(IF($H10&lt;&gt;"",(((($H10/1000)/2)^2)*PI()*$M10),0),0)</f>
        <v>0.15798199233738</v>
      </c>
      <c r="AJ10" s="153" t="n">
        <f aca="false">IFERROR(IF(AND($H10&lt;&gt;"",$I10="FoFo",OR($N10="MND",$N10="VCA"),$Q10="LINEAR"),0,IF(AND($H10&lt;&gt;"",$I10="PEAD",$N10="VCA",$Q10="LINEAR"),($H10/1000)+0.3,IF(AND($H10&lt;&gt;"",$I10="PEAD",$N10="MND",$Q10="EMBOQUE"),0,IF(AND($H10&lt;&gt;"",$I10="PVC",$N10="VCA",$Q10="LINEAR"),($H10/1000)+0.2,IF(AND($H10&lt;&gt;"",$I10="PVC",$N10="MND",$Q10="EMBOQUE"),0,IF(AND($H10&lt;&gt;"",$I10="PEAD",$N10="VCA",$Q10="PREDIAL"),0,0)))))),0)</f>
        <v>0.363</v>
      </c>
      <c r="AK10" s="153" t="n">
        <f aca="false">IF(AA10&lt;&gt;"",AA10,0)</f>
        <v>1.8</v>
      </c>
      <c r="AL10" s="153" t="n">
        <f aca="false">IF(AND($N10="MND",$Q10="EMBOQUE"),$M10,IF(AND($N10="VCA",$Q10="LINEAR"),$M10,IF(AND($N10="VCA",$Q10="PREDIAL"),0,0)))</f>
        <v>50.68</v>
      </c>
      <c r="AM10" s="153" t="n">
        <f aca="false">IF(AND($N10="MND",$Q10="EMBOQUE"),$M10,IF(AND($N10="VCA",$Q10="LINEAR"),$M10,IF(AND($N10="VCA",$Q10="PREDIAL"),0,0)))</f>
        <v>50.68</v>
      </c>
      <c r="AN10" s="153" t="n">
        <f aca="false">ROUND(IF(AND($N10="VCA",$M10&lt;&gt;"",$Q10="LINEAR"),$M10/100,IF(AND($N10="MND",$M10&gt;100,$Q10="EMBOQUE"),$M10/100,0)),0)</f>
        <v>1</v>
      </c>
      <c r="AO10" s="153" t="n">
        <f aca="false">IF(AND($N10="MND",$Q10="EMBOQUE"),$AN10*2*2,IF(AND($N10="VCA",$Q10="LINEAR"),$M10*2,IF(AND($N10="VCA",$Q10="PREDIAL"),0,0)))</f>
        <v>101.36</v>
      </c>
      <c r="AP10" s="153" t="n">
        <f aca="false">IFERROR($M10*$AF10*$AG10,0)</f>
        <v>44.899946</v>
      </c>
      <c r="AQ10" s="153" t="n">
        <f aca="false">IFERROR(IF(AND($N10="VCA",$AH10&gt;0),$M10*$AG10*$AH10,0),0)</f>
        <v>3.2942</v>
      </c>
      <c r="AR10" s="153" t="n">
        <f aca="false">IFERROR(IF(AND($N10="VCA",$AJ10&gt;0),($M10*$AG10*$AJ10)-$AI10,0),0)</f>
        <v>11.7999640076626</v>
      </c>
      <c r="AS10" s="153" t="n">
        <f aca="false">IFERROR(IF(AND($N10="VCA",$AP10&gt;0),$AP10-$AI10-$AQ10-$AR10,0),0)</f>
        <v>29.6478</v>
      </c>
      <c r="AT10" s="153" t="n">
        <f aca="false">IFERROR(IF($N10="VCA",INDEX(APOIO_REDES!$A:$W,MATCH($C10&amp;$I10&amp;$H10&amp;$N10&amp;$O10,APOIO_REDES!$W:$W,0),MATCH(AT$5,APOIO_REDES!$5:$5,0)),0)*$AP10,0)</f>
        <v>0.488524702185645</v>
      </c>
      <c r="AU10" s="153" t="n">
        <f aca="false">IFERROR(IF($N10="VCA",INDEX(APOIO_REDES!$A:$W,MATCH($C10&amp;$I10&amp;$H10&amp;$N10&amp;$O10,APOIO_REDES!$W:$W,0),MATCH(AU$5,APOIO_REDES!$5:$5,0)),0)*$AP10,0)</f>
        <v>0.390122596238568</v>
      </c>
      <c r="AV10" s="153" t="n">
        <f aca="false">IFERROR(IF($N10="VCA",INDEX(APOIO_REDES!$A:$W,MATCH($C10&amp;$I10&amp;$H10&amp;$N10&amp;$O10,APOIO_REDES!$W:$W,0),MATCH(AV$5,APOIO_REDES!$5:$5,0)),0)*$AP10,0)</f>
        <v>0.0539899047369593</v>
      </c>
      <c r="AW10" s="153" t="n">
        <f aca="false">IFERROR(IF($N10="VCA",INDEX(APOIO_REDES!$A:$W,MATCH($C10&amp;$I10&amp;$H10&amp;$N10&amp;$O10,APOIO_REDES!$W:$W,0),MATCH(AW$5,APOIO_REDES!$5:$5,0)),0)*$AP10,0)</f>
        <v>30.8196708361584</v>
      </c>
      <c r="AX10" s="153" t="n">
        <f aca="false">IFERROR(IF($N10="VCA",INDEX(APOIO_REDES!$A:$W,MATCH($C10&amp;$I10&amp;$H10&amp;$N10&amp;$O10,APOIO_REDES!$W:$W,0),MATCH(AX$5,APOIO_REDES!$5:$5,0)),0)*$AP10,0)</f>
        <v>4.26535465223015</v>
      </c>
      <c r="AY10" s="153" t="n">
        <f aca="false">IFERROR(IF($N10="VCA",INDEX(APOIO_REDES!$A:$W,MATCH($C10&amp;$I10&amp;$H10&amp;$N10&amp;$O10,APOIO_REDES!$W:$W,0),MATCH(AY$5,APOIO_REDES!$5:$5,0)),0)*$AP10,0)</f>
        <v>7.80244716920853</v>
      </c>
      <c r="AZ10" s="153" t="n">
        <f aca="false">IFERROR(IF($N10="VCA",INDEX(APOIO_REDES!$A:$W,MATCH($C10&amp;$I10&amp;$H10&amp;$N10&amp;$O10,APOIO_REDES!$W:$W,0),MATCH(AZ$5,APOIO_REDES!$5:$5,0)),0)*$AP10,0)</f>
        <v>1.07983613924178</v>
      </c>
      <c r="BA10" s="153" t="n">
        <f aca="false">IFERROR(IF(AND($N10="VCA",$Q10="LINEAR"),INDEX(APOIO_REDES!$A:$W,MATCH($C10&amp;$I10&amp;$H10&amp;$N10&amp;$O10,APOIO_REDES!$W:$W,0),MATCH(BA$5,APOIO_REDES!$5:$5,0)),IF(AND($N10="MND",$Q10="EMBOQUE"),INDEX(APOIO_REDES!$A:$W,MATCH($C10&amp;$I10&amp;$H10&amp;$N10&amp;$O10,APOIO_REDES!$W:$W,0),MATCH(BA$5,APOIO_REDES!$5:$5,0)),0))*$M10/10,0)</f>
        <v>4.08468016374327</v>
      </c>
      <c r="BB10" s="153" t="n">
        <f aca="false">IFERROR(IF($N10="VCA",INDEX(APOIO_REDES!$A:$W,MATCH($C10&amp;$I10&amp;$H10&amp;$N10&amp;$O10,APOIO_REDES!$W:$W,0),MATCH(BB$5,APOIO_REDES!$5:$5,0)),0)*($AI10+$AQ10+$AR10),0)</f>
        <v>15.0861981371152</v>
      </c>
      <c r="BC10" s="153" t="n">
        <f aca="false">IFERROR(IF($N10="VCA",INDEX(APOIO_REDES!$A:$W,MATCH($C10&amp;$I10&amp;$H10&amp;$N10&amp;$O10,APOIO_REDES!$W:$W,0),MATCH(BC$5,APOIO_REDES!$5:$5,0)),0)*($AI10+$AQ10+$AR10),0)</f>
        <v>0.165947862884779</v>
      </c>
      <c r="BD10" s="153" t="n">
        <f aca="false">IF(AND($N10="VCA",$AF10&gt;=1.25,$AF10&lt;1.5),$M10*$AF10*2,0)</f>
        <v>138.15368</v>
      </c>
      <c r="BE10" s="153" t="n">
        <f aca="false">IF(AND($N10="VCA",$AF10&gt;=1.5,$AF10&lt;3),$M10*$AF10*2,0)</f>
        <v>0</v>
      </c>
      <c r="BF10" s="153" t="n">
        <f aca="false">IF(AND($N10="VCA",$AF10&gt;=3),$M10*$AF10*2,0)</f>
        <v>0</v>
      </c>
      <c r="BG10" s="153" t="n">
        <f aca="false">($BB10+$BC10)*$AK10</f>
        <v>27.4538628</v>
      </c>
      <c r="BH10" s="153" t="n">
        <f aca="false">IF(AND($M10&lt;&gt;"",$N10="VCA",$Q10="LINEAR"),($M10*2)/100,IF(AND($M10&lt;&gt;"",$N10="MND",$Q10="EMBOQUE"),($AN10*2)/100,0))</f>
        <v>1.0136</v>
      </c>
      <c r="BI10" s="153" t="n">
        <f aca="false">IF(AND($M10&lt;&gt;"",$N10="VCA",$Q10="LINEAR"),$M10,IF(AND($M10&lt;&gt;"",$N10="MND",$Q10="EMBOQUE"),$AN10*2,0))</f>
        <v>50.68</v>
      </c>
      <c r="BJ10" s="153" t="n">
        <f aca="false">IF(AND($M10&lt;&gt;"",$N10="VCA",$Q10="LINEAR"),($M10*6.8)/100,IF(AND($M10&lt;&gt;"",$N10="MND",$Q10="EMBOQUE"),($AN10*2*6.8)/100,0))</f>
        <v>3.44624</v>
      </c>
      <c r="BK10" s="153" t="n">
        <f aca="false">IF(AND($M10&lt;&gt;"",$N10="VCA",$Q10="LINEAR"),($M10*2.5)/50,IF(AND($M10&lt;&gt;"",$N10="MND",$Q10="EMBOQUE"),($AN10*2*2.5)/50,0))</f>
        <v>2.534</v>
      </c>
      <c r="BL10" s="157" t="str">
        <f aca="false">K10&amp;J10</f>
        <v>Zona01REDES</v>
      </c>
      <c r="BM10" s="152" t="s">
        <v>1559</v>
      </c>
      <c r="BN10" s="152" t="s">
        <v>1560</v>
      </c>
      <c r="BO10" s="152" t="s">
        <v>1561</v>
      </c>
      <c r="BP10" s="152" t="s">
        <v>1567</v>
      </c>
      <c r="BQ10" s="152" t="s">
        <v>1576</v>
      </c>
      <c r="BR10" s="152" t="s">
        <v>1564</v>
      </c>
      <c r="BS10" s="152" t="n">
        <v>203438.198</v>
      </c>
      <c r="BT10" s="152" t="n">
        <v>8239193.8</v>
      </c>
      <c r="BU10" s="152" t="n">
        <v>203404.083</v>
      </c>
      <c r="BV10" s="152" t="n">
        <v>8239156.688</v>
      </c>
      <c r="BW10" s="152" t="n">
        <v>-15.9089125</v>
      </c>
      <c r="BX10" s="152" t="n">
        <v>-47.7697956</v>
      </c>
      <c r="BY10" s="152" t="s">
        <v>1567</v>
      </c>
    </row>
    <row r="11" customFormat="false" ht="13.8" hidden="false" customHeight="false" outlineLevel="0" collapsed="false">
      <c r="A11" s="149" t="n">
        <f aca="false">IF(C11&lt;&gt;"",ROW(A6),"")</f>
        <v>6</v>
      </c>
      <c r="B11" s="150" t="str">
        <f aca="false">HYPERLINK("https://www.google.com/maps/dir/-15.917302,-47.760003/-15.9087023,-47.7685795/data=!4m3!4m2!3e0!5i0")</f>
        <v>https://www.google.com/maps/dir/-15.917302,-47.760003/-15.9087023,-47.7685795/data=!4m3!4m2!3e0!5i0</v>
      </c>
      <c r="C11" s="151" t="s">
        <v>117</v>
      </c>
      <c r="D11" s="152" t="s">
        <v>112</v>
      </c>
      <c r="E11" s="152" t="s">
        <v>113</v>
      </c>
      <c r="F11" s="152" t="s">
        <v>117</v>
      </c>
      <c r="G11" s="152" t="s">
        <v>782</v>
      </c>
      <c r="H11" s="152" t="n">
        <v>63</v>
      </c>
      <c r="I11" s="152" t="s">
        <v>115</v>
      </c>
      <c r="J11" s="152" t="s">
        <v>6</v>
      </c>
      <c r="K11" s="152" t="s">
        <v>1547</v>
      </c>
      <c r="L11" s="152" t="s">
        <v>120</v>
      </c>
      <c r="M11" s="153" t="n">
        <f aca="false">106.08+0.01</f>
        <v>106.09</v>
      </c>
      <c r="N11" s="152" t="s">
        <v>1548</v>
      </c>
      <c r="O11" s="152" t="s">
        <v>1549</v>
      </c>
      <c r="P11" s="152" t="s">
        <v>1550</v>
      </c>
      <c r="Q11" s="152" t="s">
        <v>1551</v>
      </c>
      <c r="R11" s="154" t="s">
        <v>1577</v>
      </c>
      <c r="S11" s="154" t="s">
        <v>1553</v>
      </c>
      <c r="T11" s="155" t="s">
        <v>1554</v>
      </c>
      <c r="U11" s="152" t="str">
        <f aca="false">RIGHT(T11,7)</f>
        <v>002/037</v>
      </c>
      <c r="V11" s="152" t="s">
        <v>1555</v>
      </c>
      <c r="W11" s="156" t="n">
        <v>45882</v>
      </c>
      <c r="X11" s="152" t="s">
        <v>1556</v>
      </c>
      <c r="Y11" s="152"/>
      <c r="Z11" s="152" t="s">
        <v>1557</v>
      </c>
      <c r="AA11" s="153" t="n">
        <v>1.6</v>
      </c>
      <c r="AB11" s="151" t="s">
        <v>1578</v>
      </c>
      <c r="AC11" s="151" t="s">
        <v>186</v>
      </c>
      <c r="AD11" s="151" t="str">
        <f aca="false">CONCATENATE($C11,$I11,$H11,$N11,$J11,$K11)</f>
        <v>TUBO PEADPEAD63VCAREDESZona01</v>
      </c>
      <c r="AE11" s="153" t="n">
        <f aca="false">IFERROR(INDEX(APOIO_REDES!$A:$W,MATCH($C11&amp;$I11&amp;$H11&amp;$N11&amp;$O11,APOIO_REDES!$W:$W,0),MATCH(AE$5,APOIO_REDES!$5:$5,0)),0)</f>
        <v>1.2</v>
      </c>
      <c r="AF11" s="153" t="n">
        <f aca="false">IFERROR(INDEX(APOIO_REDES!$A:$W,MATCH($C11&amp;$I11&amp;$H11&amp;$N11&amp;$O11,APOIO_REDES!$W:$W,0),MATCH(AF$5,APOIO_REDES!$5:$5,0)),0)</f>
        <v>1.363</v>
      </c>
      <c r="AG11" s="153" t="n">
        <f aca="false">IFERROR(INDEX(APOIO_REDES!$A:$W,MATCH($C11&amp;$I11&amp;$H11&amp;$N11&amp;$O11,APOIO_REDES!$W:$W,0),MATCH(AG$5,APOIO_REDES!$5:$5,0)),0)</f>
        <v>0.65</v>
      </c>
      <c r="AH11" s="153" t="n">
        <f aca="false">IFERROR(INDEX(APOIO_REDES!$A:$W,MATCH($C11&amp;$I11&amp;$H11&amp;$N11&amp;$O11,APOIO_REDES!$W:$W,0),MATCH(AH$5,APOIO_REDES!$5:$5,0)),0)</f>
        <v>0.1</v>
      </c>
      <c r="AI11" s="153" t="n">
        <f aca="false">IFERROR(IF($H11&lt;&gt;"",(((($H11/1000)/2)^2)*PI()*$M11),0),0)</f>
        <v>0.330708554993541</v>
      </c>
      <c r="AJ11" s="153" t="n">
        <f aca="false">IFERROR(IF(AND($H11&lt;&gt;"",$I11="FoFo",OR($N11="MND",$N11="VCA"),$Q11="LINEAR"),0,IF(AND($H11&lt;&gt;"",$I11="PEAD",$N11="VCA",$Q11="LINEAR"),($H11/1000)+0.3,IF(AND($H11&lt;&gt;"",$I11="PEAD",$N11="MND",$Q11="EMBOQUE"),0,IF(AND($H11&lt;&gt;"",$I11="PVC",$N11="VCA",$Q11="LINEAR"),($H11/1000)+0.2,IF(AND($H11&lt;&gt;"",$I11="PVC",$N11="MND",$Q11="EMBOQUE"),0,IF(AND($H11&lt;&gt;"",$I11="PEAD",$N11="VCA",$Q11="PREDIAL"),0,0)))))),0)</f>
        <v>0.363</v>
      </c>
      <c r="AK11" s="153" t="n">
        <f aca="false">IF(AA11&lt;&gt;"",AA11,0)</f>
        <v>1.6</v>
      </c>
      <c r="AL11" s="153" t="n">
        <f aca="false">IF(AND($N11="MND",$Q11="EMBOQUE"),$M11,IF(AND($N11="VCA",$Q11="LINEAR"),$M11,IF(AND($N11="VCA",$Q11="PREDIAL"),0,0)))</f>
        <v>106.09</v>
      </c>
      <c r="AM11" s="153" t="n">
        <f aca="false">IF(AND($N11="MND",$Q11="EMBOQUE"),$M11,IF(AND($N11="VCA",$Q11="LINEAR"),$M11,IF(AND($N11="VCA",$Q11="PREDIAL"),0,0)))</f>
        <v>106.09</v>
      </c>
      <c r="AN11" s="153" t="n">
        <f aca="false">ROUND(IF(AND($N11="VCA",$M11&lt;&gt;"",$Q11="LINEAR"),$M11/100,IF(AND($N11="MND",$M11&gt;100,$Q11="EMBOQUE"),$M11/100,0)),0)</f>
        <v>1</v>
      </c>
      <c r="AO11" s="153" t="n">
        <f aca="false">IF(AND($N11="MND",$Q11="EMBOQUE"),$AN11*2*2,IF(AND($N11="VCA",$Q11="LINEAR"),$M11*2,IF(AND($N11="VCA",$Q11="PREDIAL"),0,0)))</f>
        <v>212.18</v>
      </c>
      <c r="AP11" s="153" t="n">
        <f aca="false">IFERROR($M11*$AF11*$AG11,0)</f>
        <v>93.9904355</v>
      </c>
      <c r="AQ11" s="153" t="n">
        <f aca="false">IFERROR(IF(AND($N11="VCA",$AH11&gt;0),$M11*$AG11*$AH11,0),0)</f>
        <v>6.89585</v>
      </c>
      <c r="AR11" s="153" t="n">
        <f aca="false">IFERROR(IF(AND($N11="VCA",$AJ11&gt;0),($M11*$AG11*$AJ11)-$AI11,0),0)</f>
        <v>24.7012269450065</v>
      </c>
      <c r="AS11" s="153" t="n">
        <f aca="false">IFERROR(IF(AND($N11="VCA",$AP11&gt;0),$AP11-$AI11-$AQ11-$AR11,0),0)</f>
        <v>62.06265</v>
      </c>
      <c r="AT11" s="153" t="n">
        <f aca="false">IFERROR(IF($N11="VCA",INDEX(APOIO_REDES!$A:$W,MATCH($C11&amp;$I11&amp;$H11&amp;$N11&amp;$O11,APOIO_REDES!$W:$W,0),MATCH(AT$5,APOIO_REDES!$5:$5,0)),0)*$AP11,0)</f>
        <v>1.02264375798885</v>
      </c>
      <c r="AU11" s="153" t="n">
        <f aca="false">IFERROR(IF($N11="VCA",INDEX(APOIO_REDES!$A:$W,MATCH($C11&amp;$I11&amp;$H11&amp;$N11&amp;$O11,APOIO_REDES!$W:$W,0),MATCH(AU$5,APOIO_REDES!$5:$5,0)),0)*$AP11,0)</f>
        <v>0.816655608424421</v>
      </c>
      <c r="AV11" s="153" t="n">
        <f aca="false">IFERROR(IF($N11="VCA",INDEX(APOIO_REDES!$A:$W,MATCH($C11&amp;$I11&amp;$H11&amp;$N11&amp;$O11,APOIO_REDES!$W:$W,0),MATCH(AV$5,APOIO_REDES!$5:$5,0)),0)*$AP11,0)</f>
        <v>0.113018725208051</v>
      </c>
      <c r="AW11" s="153" t="n">
        <f aca="false">IFERROR(IF($N11="VCA",INDEX(APOIO_REDES!$A:$W,MATCH($C11&amp;$I11&amp;$H11&amp;$N11&amp;$O11,APOIO_REDES!$W:$W,0),MATCH(AW$5,APOIO_REDES!$5:$5,0)),0)*$AP11,0)</f>
        <v>64.5157632006323</v>
      </c>
      <c r="AX11" s="153" t="n">
        <f aca="false">IFERROR(IF($N11="VCA",INDEX(APOIO_REDES!$A:$W,MATCH($C11&amp;$I11&amp;$H11&amp;$N11&amp;$O11,APOIO_REDES!$W:$W,0),MATCH(AX$5,APOIO_REDES!$5:$5,0)),0)*$AP11,0)</f>
        <v>8.92879785033733</v>
      </c>
      <c r="AY11" s="153" t="n">
        <f aca="false">IFERROR(IF($N11="VCA",INDEX(APOIO_REDES!$A:$W,MATCH($C11&amp;$I11&amp;$H11&amp;$N11&amp;$O11,APOIO_REDES!$W:$W,0),MATCH(AY$5,APOIO_REDES!$5:$5,0)),0)*$AP11,0)</f>
        <v>16.3331022135228</v>
      </c>
      <c r="AZ11" s="153" t="n">
        <f aca="false">IFERROR(IF($N11="VCA",INDEX(APOIO_REDES!$A:$W,MATCH($C11&amp;$I11&amp;$H11&amp;$N11&amp;$O11,APOIO_REDES!$W:$W,0),MATCH(AZ$5,APOIO_REDES!$5:$5,0)),0)*$AP11,0)</f>
        <v>2.26045414388635</v>
      </c>
      <c r="BA11" s="153" t="n">
        <f aca="false">IFERROR(IF(AND($N11="VCA",$Q11="LINEAR"),INDEX(APOIO_REDES!$A:$W,MATCH($C11&amp;$I11&amp;$H11&amp;$N11&amp;$O11,APOIO_REDES!$W:$W,0),MATCH(BA$5,APOIO_REDES!$5:$5,0)),IF(AND($N11="MND",$Q11="EMBOQUE"),INDEX(APOIO_REDES!$A:$W,MATCH($C11&amp;$I11&amp;$H11&amp;$N11&amp;$O11,APOIO_REDES!$W:$W,0),MATCH(BA$5,APOIO_REDES!$5:$5,0)),0))*$M11/10,0)</f>
        <v>8.55058639643889</v>
      </c>
      <c r="BB11" s="153" t="n">
        <f aca="false">IFERROR(IF($N11="VCA",INDEX(APOIO_REDES!$A:$W,MATCH($C11&amp;$I11&amp;$H11&amp;$N11&amp;$O11,APOIO_REDES!$W:$W,0),MATCH(BB$5,APOIO_REDES!$5:$5,0)),0)*($AI11+$AQ11+$AR11),0)</f>
        <v>31.5804017436179</v>
      </c>
      <c r="BC11" s="153" t="n">
        <f aca="false">IFERROR(IF($N11="VCA",INDEX(APOIO_REDES!$A:$W,MATCH($C11&amp;$I11&amp;$H11&amp;$N11&amp;$O11,APOIO_REDES!$W:$W,0),MATCH(BC$5,APOIO_REDES!$5:$5,0)),0)*($AI11+$AQ11+$AR11),0)</f>
        <v>0.347383756382127</v>
      </c>
      <c r="BD11" s="153" t="n">
        <f aca="false">IF(AND($N11="VCA",$AF11&gt;=1.25,$AF11&lt;1.5),$M11*$AF11*2,0)</f>
        <v>289.20134</v>
      </c>
      <c r="BE11" s="153" t="n">
        <f aca="false">IF(AND($N11="VCA",$AF11&gt;=1.5,$AF11&lt;3),$M11*$AF11*2,0)</f>
        <v>0</v>
      </c>
      <c r="BF11" s="153" t="n">
        <f aca="false">IF(AND($N11="VCA",$AF11&gt;=3),$M11*$AF11*2,0)</f>
        <v>0</v>
      </c>
      <c r="BG11" s="153" t="n">
        <f aca="false">($BB11+$BC11)*$AK11</f>
        <v>51.0844568</v>
      </c>
      <c r="BH11" s="153" t="n">
        <f aca="false">IF(AND($M11&lt;&gt;"",$N11="VCA",$Q11="LINEAR"),($M11*2)/100,IF(AND($M11&lt;&gt;"",$N11="MND",$Q11="EMBOQUE"),($AN11*2)/100,0))</f>
        <v>2.1218</v>
      </c>
      <c r="BI11" s="153" t="n">
        <f aca="false">IF(AND($M11&lt;&gt;"",$N11="VCA",$Q11="LINEAR"),$M11,IF(AND($M11&lt;&gt;"",$N11="MND",$Q11="EMBOQUE"),$AN11*2,0))</f>
        <v>106.09</v>
      </c>
      <c r="BJ11" s="153" t="n">
        <f aca="false">IF(AND($M11&lt;&gt;"",$N11="VCA",$Q11="LINEAR"),($M11*6.8)/100,IF(AND($M11&lt;&gt;"",$N11="MND",$Q11="EMBOQUE"),($AN11*2*6.8)/100,0))</f>
        <v>7.21412</v>
      </c>
      <c r="BK11" s="153" t="n">
        <f aca="false">IF(AND($M11&lt;&gt;"",$N11="VCA",$Q11="LINEAR"),($M11*2.5)/50,IF(AND($M11&lt;&gt;"",$N11="MND",$Q11="EMBOQUE"),($AN11*2*2.5)/50,0))</f>
        <v>5.3045</v>
      </c>
      <c r="BL11" s="157" t="str">
        <f aca="false">K11&amp;J11</f>
        <v>Zona01REDES</v>
      </c>
      <c r="BM11" s="152" t="s">
        <v>1559</v>
      </c>
      <c r="BN11" s="152" t="s">
        <v>1560</v>
      </c>
      <c r="BO11" s="152" t="s">
        <v>1561</v>
      </c>
      <c r="BP11" s="152" t="s">
        <v>1562</v>
      </c>
      <c r="BQ11" s="152" t="s">
        <v>1579</v>
      </c>
      <c r="BR11" s="152" t="s">
        <v>1580</v>
      </c>
      <c r="BS11" s="152" t="n">
        <v>203552.494</v>
      </c>
      <c r="BT11" s="152" t="n">
        <v>8239199.097</v>
      </c>
      <c r="BU11" s="152" t="n">
        <v>203483.756</v>
      </c>
      <c r="BV11" s="152" t="n">
        <v>8239118.448</v>
      </c>
      <c r="BW11" s="152" t="n">
        <v>-15.9090626</v>
      </c>
      <c r="BX11" s="152" t="n">
        <v>-47.7689041</v>
      </c>
      <c r="BY11" s="152" t="s">
        <v>1562</v>
      </c>
    </row>
    <row r="12" customFormat="false" ht="13.8" hidden="false" customHeight="false" outlineLevel="0" collapsed="false">
      <c r="A12" s="149" t="n">
        <f aca="false">IF(C12&lt;&gt;"",ROW(A7),"")</f>
        <v>7</v>
      </c>
      <c r="B12" s="150" t="str">
        <f aca="false">HYPERLINK("https://www.google.com/maps/dir/-15.917302,-47.760003/-15.9096325,-47.7693914/data=!4m3!4m2!3e0!5i0")</f>
        <v>https://www.google.com/maps/dir/-15.917302,-47.760003/-15.9096325,-47.7693914/data=!4m3!4m2!3e0!5i0</v>
      </c>
      <c r="C12" s="151" t="s">
        <v>117</v>
      </c>
      <c r="D12" s="152" t="s">
        <v>112</v>
      </c>
      <c r="E12" s="152" t="s">
        <v>113</v>
      </c>
      <c r="F12" s="152" t="s">
        <v>117</v>
      </c>
      <c r="G12" s="152" t="s">
        <v>782</v>
      </c>
      <c r="H12" s="152" t="n">
        <v>63</v>
      </c>
      <c r="I12" s="152" t="s">
        <v>115</v>
      </c>
      <c r="J12" s="152" t="s">
        <v>6</v>
      </c>
      <c r="K12" s="152" t="s">
        <v>1547</v>
      </c>
      <c r="L12" s="152" t="s">
        <v>120</v>
      </c>
      <c r="M12" s="153" t="n">
        <f aca="false">135.24+0.06</f>
        <v>135.3</v>
      </c>
      <c r="N12" s="152" t="s">
        <v>1548</v>
      </c>
      <c r="O12" s="152" t="s">
        <v>1549</v>
      </c>
      <c r="P12" s="152" t="s">
        <v>1550</v>
      </c>
      <c r="Q12" s="152" t="s">
        <v>1551</v>
      </c>
      <c r="R12" s="154" t="s">
        <v>1581</v>
      </c>
      <c r="S12" s="154" t="s">
        <v>1553</v>
      </c>
      <c r="T12" s="155" t="s">
        <v>1554</v>
      </c>
      <c r="U12" s="152" t="str">
        <f aca="false">RIGHT(T12,7)</f>
        <v>002/037</v>
      </c>
      <c r="V12" s="152" t="s">
        <v>1555</v>
      </c>
      <c r="W12" s="156" t="n">
        <v>45882</v>
      </c>
      <c r="X12" s="152" t="s">
        <v>1556</v>
      </c>
      <c r="Y12" s="152"/>
      <c r="Z12" s="152" t="s">
        <v>1557</v>
      </c>
      <c r="AA12" s="153" t="n">
        <v>1.8</v>
      </c>
      <c r="AB12" s="151" t="s">
        <v>1582</v>
      </c>
      <c r="AC12" s="151" t="s">
        <v>186</v>
      </c>
      <c r="AD12" s="151" t="str">
        <f aca="false">CONCATENATE($C12,$I12,$H12,$N12,$J12,$K12)</f>
        <v>TUBO PEADPEAD63VCAREDESZona01</v>
      </c>
      <c r="AE12" s="153" t="n">
        <f aca="false">IFERROR(INDEX(APOIO_REDES!$A:$W,MATCH($C12&amp;$I12&amp;$H12&amp;$N12&amp;$O12,APOIO_REDES!$W:$W,0),MATCH(AE$5,APOIO_REDES!$5:$5,0)),0)</f>
        <v>1.2</v>
      </c>
      <c r="AF12" s="153" t="n">
        <f aca="false">IFERROR(INDEX(APOIO_REDES!$A:$W,MATCH($C12&amp;$I12&amp;$H12&amp;$N12&amp;$O12,APOIO_REDES!$W:$W,0),MATCH(AF$5,APOIO_REDES!$5:$5,0)),0)</f>
        <v>1.363</v>
      </c>
      <c r="AG12" s="153" t="n">
        <f aca="false">IFERROR(INDEX(APOIO_REDES!$A:$W,MATCH($C12&amp;$I12&amp;$H12&amp;$N12&amp;$O12,APOIO_REDES!$W:$W,0),MATCH(AG$5,APOIO_REDES!$5:$5,0)),0)</f>
        <v>0.65</v>
      </c>
      <c r="AH12" s="153" t="n">
        <f aca="false">IFERROR(INDEX(APOIO_REDES!$A:$W,MATCH($C12&amp;$I12&amp;$H12&amp;$N12&amp;$O12,APOIO_REDES!$W:$W,0),MATCH(AH$5,APOIO_REDES!$5:$5,0)),0)</f>
        <v>0.1</v>
      </c>
      <c r="AI12" s="153" t="n">
        <f aca="false">IFERROR(IF($H12&lt;&gt;"",(((($H12/1000)/2)^2)*PI()*$M12),0),0)</f>
        <v>0.421763290513961</v>
      </c>
      <c r="AJ12" s="153" t="n">
        <f aca="false">IFERROR(IF(AND($H12&lt;&gt;"",$I12="FoFo",OR($N12="MND",$N12="VCA"),$Q12="LINEAR"),0,IF(AND($H12&lt;&gt;"",$I12="PEAD",$N12="VCA",$Q12="LINEAR"),($H12/1000)+0.3,IF(AND($H12&lt;&gt;"",$I12="PEAD",$N12="MND",$Q12="EMBOQUE"),0,IF(AND($H12&lt;&gt;"",$I12="PVC",$N12="VCA",$Q12="LINEAR"),($H12/1000)+0.2,IF(AND($H12&lt;&gt;"",$I12="PVC",$N12="MND",$Q12="EMBOQUE"),0,IF(AND($H12&lt;&gt;"",$I12="PEAD",$N12="VCA",$Q12="PREDIAL"),0,0)))))),0)</f>
        <v>0.363</v>
      </c>
      <c r="AK12" s="153" t="n">
        <f aca="false">IF(AA12&lt;&gt;"",AA12,0)</f>
        <v>1.8</v>
      </c>
      <c r="AL12" s="153" t="n">
        <f aca="false">IF(AND($N12="MND",$Q12="EMBOQUE"),$M12,IF(AND($N12="VCA",$Q12="LINEAR"),$M12,IF(AND($N12="VCA",$Q12="PREDIAL"),0,0)))</f>
        <v>135.3</v>
      </c>
      <c r="AM12" s="153" t="n">
        <f aca="false">IF(AND($N12="MND",$Q12="EMBOQUE"),$M12,IF(AND($N12="VCA",$Q12="LINEAR"),$M12,IF(AND($N12="VCA",$Q12="PREDIAL"),0,0)))</f>
        <v>135.3</v>
      </c>
      <c r="AN12" s="153" t="n">
        <f aca="false">ROUND(IF(AND($N12="VCA",$M12&lt;&gt;"",$Q12="LINEAR"),$M12/100,IF(AND($N12="MND",$M12&gt;100,$Q12="EMBOQUE"),$M12/100,0)),0)</f>
        <v>1</v>
      </c>
      <c r="AO12" s="153" t="n">
        <f aca="false">IF(AND($N12="MND",$Q12="EMBOQUE"),$AN12*2*2,IF(AND($N12="VCA",$Q12="LINEAR"),$M12*2,IF(AND($N12="VCA",$Q12="PREDIAL"),0,0)))</f>
        <v>270.6</v>
      </c>
      <c r="AP12" s="153" t="n">
        <f aca="false">IFERROR($M12*$AF12*$AG12,0)</f>
        <v>119.869035</v>
      </c>
      <c r="AQ12" s="153" t="n">
        <f aca="false">IFERROR(IF(AND($N12="VCA",$AH12&gt;0),$M12*$AG12*$AH12,0),0)</f>
        <v>8.7945</v>
      </c>
      <c r="AR12" s="153" t="n">
        <f aca="false">IFERROR(IF(AND($N12="VCA",$AJ12&gt;0),($M12*$AG12*$AJ12)-$AI12,0),0)</f>
        <v>31.502271709486</v>
      </c>
      <c r="AS12" s="153" t="n">
        <f aca="false">IFERROR(IF(AND($N12="VCA",$AP12&gt;0),$AP12-$AI12-$AQ12-$AR12,0),0)</f>
        <v>79.1505</v>
      </c>
      <c r="AT12" s="153" t="n">
        <f aca="false">IFERROR(IF($N12="VCA",INDEX(APOIO_REDES!$A:$W,MATCH($C12&amp;$I12&amp;$H12&amp;$N12&amp;$O12,APOIO_REDES!$W:$W,0),MATCH(AT$5,APOIO_REDES!$5:$5,0)),0)*$AP12,0)</f>
        <v>1.30421058022332</v>
      </c>
      <c r="AU12" s="153" t="n">
        <f aca="false">IFERROR(IF($N12="VCA",INDEX(APOIO_REDES!$A:$W,MATCH($C12&amp;$I12&amp;$H12&amp;$N12&amp;$O12,APOIO_REDES!$W:$W,0),MATCH(AU$5,APOIO_REDES!$5:$5,0)),0)*$AP12,0)</f>
        <v>1.04150724686421</v>
      </c>
      <c r="AV12" s="153" t="n">
        <f aca="false">IFERROR(IF($N12="VCA",INDEX(APOIO_REDES!$A:$W,MATCH($C12&amp;$I12&amp;$H12&amp;$N12&amp;$O12,APOIO_REDES!$W:$W,0),MATCH(AV$5,APOIO_REDES!$5:$5,0)),0)*$AP12,0)</f>
        <v>0.144136426813548</v>
      </c>
      <c r="AW12" s="153" t="n">
        <f aca="false">IFERROR(IF($N12="VCA",INDEX(APOIO_REDES!$A:$W,MATCH($C12&amp;$I12&amp;$H12&amp;$N12&amp;$O12,APOIO_REDES!$W:$W,0),MATCH(AW$5,APOIO_REDES!$5:$5,0)),0)*$AP12,0)</f>
        <v>82.279034414606</v>
      </c>
      <c r="AX12" s="153" t="n">
        <f aca="false">IFERROR(IF($N12="VCA",INDEX(APOIO_REDES!$A:$W,MATCH($C12&amp;$I12&amp;$H12&amp;$N12&amp;$O12,APOIO_REDES!$W:$W,0),MATCH(AX$5,APOIO_REDES!$5:$5,0)),0)*$AP12,0)</f>
        <v>11.3871839867154</v>
      </c>
      <c r="AY12" s="153" t="n">
        <f aca="false">IFERROR(IF($N12="VCA",INDEX(APOIO_REDES!$A:$W,MATCH($C12&amp;$I12&amp;$H12&amp;$N12&amp;$O12,APOIO_REDES!$W:$W,0),MATCH(AY$5,APOIO_REDES!$5:$5,0)),0)*$AP12,0)</f>
        <v>20.8301322413953</v>
      </c>
      <c r="AZ12" s="153" t="n">
        <f aca="false">IFERROR(IF($N12="VCA",INDEX(APOIO_REDES!$A:$W,MATCH($C12&amp;$I12&amp;$H12&amp;$N12&amp;$O12,APOIO_REDES!$W:$W,0),MATCH(AZ$5,APOIO_REDES!$5:$5,0)),0)*$AP12,0)</f>
        <v>2.88283010338225</v>
      </c>
      <c r="BA12" s="153" t="n">
        <f aca="false">IFERROR(IF(AND($N12="VCA",$Q12="LINEAR"),INDEX(APOIO_REDES!$A:$W,MATCH($C12&amp;$I12&amp;$H12&amp;$N12&amp;$O12,APOIO_REDES!$W:$W,0),MATCH(BA$5,APOIO_REDES!$5:$5,0)),IF(AND($N12="MND",$Q12="EMBOQUE"),INDEX(APOIO_REDES!$A:$W,MATCH($C12&amp;$I12&amp;$H12&amp;$N12&amp;$O12,APOIO_REDES!$W:$W,0),MATCH(BA$5,APOIO_REDES!$5:$5,0)),0))*$M12/10,0)</f>
        <v>10.9048387165443</v>
      </c>
      <c r="BB12" s="153" t="n">
        <f aca="false">IFERROR(IF($N12="VCA",INDEX(APOIO_REDES!$A:$W,MATCH($C12&amp;$I12&amp;$H12&amp;$N12&amp;$O12,APOIO_REDES!$W:$W,0),MATCH(BB$5,APOIO_REDES!$5:$5,0)),0)*($AI12+$AQ12+$AR12),0)</f>
        <v>40.2755052871288</v>
      </c>
      <c r="BC12" s="153" t="n">
        <f aca="false">IFERROR(IF($N12="VCA",INDEX(APOIO_REDES!$A:$W,MATCH($C12&amp;$I12&amp;$H12&amp;$N12&amp;$O12,APOIO_REDES!$W:$W,0),MATCH(BC$5,APOIO_REDES!$5:$5,0)),0)*($AI12+$AQ12+$AR12),0)</f>
        <v>0.443029712871163</v>
      </c>
      <c r="BD12" s="153" t="n">
        <f aca="false">IF(AND($N12="VCA",$AF12&gt;=1.25,$AF12&lt;1.5),$M12*$AF12*2,0)</f>
        <v>368.8278</v>
      </c>
      <c r="BE12" s="153" t="n">
        <f aca="false">IF(AND($N12="VCA",$AF12&gt;=1.5,$AF12&lt;3),$M12*$AF12*2,0)</f>
        <v>0</v>
      </c>
      <c r="BF12" s="153" t="n">
        <f aca="false">IF(AND($N12="VCA",$AF12&gt;=3),$M12*$AF12*2,0)</f>
        <v>0</v>
      </c>
      <c r="BG12" s="153" t="n">
        <f aca="false">($BB12+$BC12)*$AK12</f>
        <v>73.293363</v>
      </c>
      <c r="BH12" s="153" t="n">
        <f aca="false">IF(AND($M12&lt;&gt;"",$N12="VCA",$Q12="LINEAR"),($M12*2)/100,IF(AND($M12&lt;&gt;"",$N12="MND",$Q12="EMBOQUE"),($AN12*2)/100,0))</f>
        <v>2.706</v>
      </c>
      <c r="BI12" s="153" t="n">
        <f aca="false">IF(AND($M12&lt;&gt;"",$N12="VCA",$Q12="LINEAR"),$M12,IF(AND($M12&lt;&gt;"",$N12="MND",$Q12="EMBOQUE"),$AN12*2,0))</f>
        <v>135.3</v>
      </c>
      <c r="BJ12" s="153" t="n">
        <f aca="false">IF(AND($M12&lt;&gt;"",$N12="VCA",$Q12="LINEAR"),($M12*6.8)/100,IF(AND($M12&lt;&gt;"",$N12="MND",$Q12="EMBOQUE"),($AN12*2*6.8)/100,0))</f>
        <v>9.2004</v>
      </c>
      <c r="BK12" s="153" t="n">
        <f aca="false">IF(AND($M12&lt;&gt;"",$N12="VCA",$Q12="LINEAR"),($M12*2.5)/50,IF(AND($M12&lt;&gt;"",$N12="MND",$Q12="EMBOQUE"),($AN12*2*2.5)/50,0))</f>
        <v>6.765</v>
      </c>
      <c r="BL12" s="157" t="str">
        <f aca="false">K12&amp;J12</f>
        <v>Zona01REDES</v>
      </c>
      <c r="BM12" s="152" t="s">
        <v>1559</v>
      </c>
      <c r="BN12" s="152" t="s">
        <v>1560</v>
      </c>
      <c r="BO12" s="152" t="s">
        <v>1561</v>
      </c>
      <c r="BP12" s="152" t="s">
        <v>1583</v>
      </c>
      <c r="BQ12" s="152" t="s">
        <v>1570</v>
      </c>
      <c r="BR12" s="152" t="s">
        <v>1584</v>
      </c>
      <c r="BS12" s="152" t="n">
        <v>203466.645</v>
      </c>
      <c r="BT12" s="152" t="n">
        <v>8239095.202</v>
      </c>
      <c r="BU12" s="152" t="n">
        <v>203555.019</v>
      </c>
      <c r="BV12" s="152" t="n">
        <v>8239197.099</v>
      </c>
      <c r="BW12" s="152" t="n">
        <v>-15.9091807</v>
      </c>
      <c r="BX12" s="152" t="n">
        <v>-47.7689685</v>
      </c>
      <c r="BY12" s="152" t="s">
        <v>1583</v>
      </c>
    </row>
    <row r="13" customFormat="false" ht="13.8" hidden="false" customHeight="false" outlineLevel="0" collapsed="false">
      <c r="A13" s="149" t="n">
        <f aca="false">IF(C13&lt;&gt;"",ROW(A8),"")</f>
        <v>8</v>
      </c>
      <c r="B13" s="150" t="str">
        <f aca="false">HYPERLINK("https://www.google.com/maps/dir/-15.917302,-47.760003/-15.9090675,-47.7699696/data=!4m3!4m2!3e0!5i0")</f>
        <v>https://www.google.com/maps/dir/-15.917302,-47.760003/-15.9090675,-47.7699696/data=!4m3!4m2!3e0!5i0</v>
      </c>
      <c r="C13" s="151" t="s">
        <v>117</v>
      </c>
      <c r="D13" s="152" t="s">
        <v>112</v>
      </c>
      <c r="E13" s="152" t="s">
        <v>113</v>
      </c>
      <c r="F13" s="152" t="s">
        <v>117</v>
      </c>
      <c r="G13" s="152" t="s">
        <v>782</v>
      </c>
      <c r="H13" s="152" t="n">
        <v>63</v>
      </c>
      <c r="I13" s="152" t="s">
        <v>115</v>
      </c>
      <c r="J13" s="152" t="s">
        <v>6</v>
      </c>
      <c r="K13" s="152" t="s">
        <v>1547</v>
      </c>
      <c r="L13" s="152" t="s">
        <v>120</v>
      </c>
      <c r="M13" s="153" t="n">
        <f aca="false">44.52</f>
        <v>44.52</v>
      </c>
      <c r="N13" s="152" t="s">
        <v>1548</v>
      </c>
      <c r="O13" s="152" t="s">
        <v>1549</v>
      </c>
      <c r="P13" s="152" t="s">
        <v>1550</v>
      </c>
      <c r="Q13" s="152" t="s">
        <v>1551</v>
      </c>
      <c r="R13" s="154" t="s">
        <v>1585</v>
      </c>
      <c r="S13" s="154" t="s">
        <v>1553</v>
      </c>
      <c r="T13" s="155" t="s">
        <v>1554</v>
      </c>
      <c r="U13" s="152" t="str">
        <f aca="false">RIGHT(T13,7)</f>
        <v>002/037</v>
      </c>
      <c r="V13" s="152" t="s">
        <v>1555</v>
      </c>
      <c r="W13" s="156" t="n">
        <v>45882</v>
      </c>
      <c r="X13" s="152" t="s">
        <v>1556</v>
      </c>
      <c r="Y13" s="152"/>
      <c r="Z13" s="152" t="s">
        <v>1557</v>
      </c>
      <c r="AA13" s="153" t="n">
        <v>1.8</v>
      </c>
      <c r="AB13" s="151" t="s">
        <v>1586</v>
      </c>
      <c r="AC13" s="151" t="s">
        <v>186</v>
      </c>
      <c r="AD13" s="151" t="str">
        <f aca="false">CONCATENATE($C13,$I13,$H13,$N13,$J13,$K13)</f>
        <v>TUBO PEADPEAD63VCAREDESZona01</v>
      </c>
      <c r="AE13" s="153" t="n">
        <f aca="false">IFERROR(INDEX(APOIO_REDES!$A:$W,MATCH($C13&amp;$I13&amp;$H13&amp;$N13&amp;$O13,APOIO_REDES!$W:$W,0),MATCH(AE$5,APOIO_REDES!$5:$5,0)),0)</f>
        <v>1.2</v>
      </c>
      <c r="AF13" s="153" t="n">
        <f aca="false">IFERROR(INDEX(APOIO_REDES!$A:$W,MATCH($C13&amp;$I13&amp;$H13&amp;$N13&amp;$O13,APOIO_REDES!$W:$W,0),MATCH(AF$5,APOIO_REDES!$5:$5,0)),0)</f>
        <v>1.363</v>
      </c>
      <c r="AG13" s="153" t="n">
        <f aca="false">IFERROR(INDEX(APOIO_REDES!$A:$W,MATCH($C13&amp;$I13&amp;$H13&amp;$N13&amp;$O13,APOIO_REDES!$W:$W,0),MATCH(AG$5,APOIO_REDES!$5:$5,0)),0)</f>
        <v>0.65</v>
      </c>
      <c r="AH13" s="153" t="n">
        <f aca="false">IFERROR(INDEX(APOIO_REDES!$A:$W,MATCH($C13&amp;$I13&amp;$H13&amp;$N13&amp;$O13,APOIO_REDES!$W:$W,0),MATCH(AH$5,APOIO_REDES!$5:$5,0)),0)</f>
        <v>0.1</v>
      </c>
      <c r="AI13" s="153" t="n">
        <f aca="false">IFERROR(IF($H13&lt;&gt;"",(((($H13/1000)/2)^2)*PI()*$M13),0),0)</f>
        <v>0.13877976122455</v>
      </c>
      <c r="AJ13" s="153" t="n">
        <f aca="false">IFERROR(IF(AND($H13&lt;&gt;"",$I13="FoFo",OR($N13="MND",$N13="VCA"),$Q13="LINEAR"),0,IF(AND($H13&lt;&gt;"",$I13="PEAD",$N13="VCA",$Q13="LINEAR"),($H13/1000)+0.3,IF(AND($H13&lt;&gt;"",$I13="PEAD",$N13="MND",$Q13="EMBOQUE"),0,IF(AND($H13&lt;&gt;"",$I13="PVC",$N13="VCA",$Q13="LINEAR"),($H13/1000)+0.2,IF(AND($H13&lt;&gt;"",$I13="PVC",$N13="MND",$Q13="EMBOQUE"),0,IF(AND($H13&lt;&gt;"",$I13="PEAD",$N13="VCA",$Q13="PREDIAL"),0,0)))))),0)</f>
        <v>0.363</v>
      </c>
      <c r="AK13" s="153" t="n">
        <f aca="false">IF(AA13&lt;&gt;"",AA13,0)</f>
        <v>1.8</v>
      </c>
      <c r="AL13" s="153" t="n">
        <f aca="false">IF(AND($N13="MND",$Q13="EMBOQUE"),$M13,IF(AND($N13="VCA",$Q13="LINEAR"),$M13,IF(AND($N13="VCA",$Q13="PREDIAL"),0,0)))</f>
        <v>44.52</v>
      </c>
      <c r="AM13" s="153" t="n">
        <f aca="false">IF(AND($N13="MND",$Q13="EMBOQUE"),$M13,IF(AND($N13="VCA",$Q13="LINEAR"),$M13,IF(AND($N13="VCA",$Q13="PREDIAL"),0,0)))</f>
        <v>44.52</v>
      </c>
      <c r="AN13" s="153" t="n">
        <f aca="false">ROUND(IF(AND($N13="VCA",$M13&lt;&gt;"",$Q13="LINEAR"),$M13/100,IF(AND($N13="MND",$M13&gt;100,$Q13="EMBOQUE"),$M13/100,0)),0)</f>
        <v>0</v>
      </c>
      <c r="AO13" s="153" t="n">
        <f aca="false">IF(AND($N13="MND",$Q13="EMBOQUE"),$AN13*2*2,IF(AND($N13="VCA",$Q13="LINEAR"),$M13*2,IF(AND($N13="VCA",$Q13="PREDIAL"),0,0)))</f>
        <v>89.04</v>
      </c>
      <c r="AP13" s="153" t="n">
        <f aca="false">IFERROR($M13*$AF13*$AG13,0)</f>
        <v>39.442494</v>
      </c>
      <c r="AQ13" s="153" t="n">
        <f aca="false">IFERROR(IF(AND($N13="VCA",$AH13&gt;0),$M13*$AG13*$AH13,0),0)</f>
        <v>2.8938</v>
      </c>
      <c r="AR13" s="153" t="n">
        <f aca="false">IFERROR(IF(AND($N13="VCA",$AJ13&gt;0),($M13*$AG13*$AJ13)-$AI13,0),0)</f>
        <v>10.3657142387755</v>
      </c>
      <c r="AS13" s="153" t="n">
        <f aca="false">IFERROR(IF(AND($N13="VCA",$AP13&gt;0),$AP13-$AI13-$AQ13-$AR13,0),0)</f>
        <v>26.0442</v>
      </c>
      <c r="AT13" s="153" t="n">
        <f aca="false">IFERROR(IF($N13="VCA",INDEX(APOIO_REDES!$A:$W,MATCH($C13&amp;$I13&amp;$H13&amp;$N13&amp;$O13,APOIO_REDES!$W:$W,0),MATCH(AT$5,APOIO_REDES!$5:$5,0)),0)*$AP13,0)</f>
        <v>0.429146009102307</v>
      </c>
      <c r="AU13" s="153" t="n">
        <f aca="false">IFERROR(IF($N13="VCA",INDEX(APOIO_REDES!$A:$W,MATCH($C13&amp;$I13&amp;$H13&amp;$N13&amp;$O13,APOIO_REDES!$W:$W,0),MATCH(AU$5,APOIO_REDES!$5:$5,0)),0)*$AP13,0)</f>
        <v>0.342704380121173</v>
      </c>
      <c r="AV13" s="153" t="n">
        <f aca="false">IFERROR(IF($N13="VCA",INDEX(APOIO_REDES!$A:$W,MATCH($C13&amp;$I13&amp;$H13&amp;$N13&amp;$O13,APOIO_REDES!$W:$W,0),MATCH(AV$5,APOIO_REDES!$5:$5,0)),0)*$AP13,0)</f>
        <v>0.0474275958739035</v>
      </c>
      <c r="AW13" s="153" t="n">
        <f aca="false">IFERROR(IF($N13="VCA",INDEX(APOIO_REDES!$A:$W,MATCH($C13&amp;$I13&amp;$H13&amp;$N13&amp;$O13,APOIO_REDES!$W:$W,0),MATCH(AW$5,APOIO_REDES!$5:$5,0)),0)*$AP13,0)</f>
        <v>27.0736334969568</v>
      </c>
      <c r="AX13" s="153" t="n">
        <f aca="false">IFERROR(IF($N13="VCA",INDEX(APOIO_REDES!$A:$W,MATCH($C13&amp;$I13&amp;$H13&amp;$N13&amp;$O13,APOIO_REDES!$W:$W,0),MATCH(AX$5,APOIO_REDES!$5:$5,0)),0)*$AP13,0)</f>
        <v>3.74691375527399</v>
      </c>
      <c r="AY13" s="153" t="n">
        <f aca="false">IFERROR(IF($N13="VCA",INDEX(APOIO_REDES!$A:$W,MATCH($C13&amp;$I13&amp;$H13&amp;$N13&amp;$O13,APOIO_REDES!$W:$W,0),MATCH(AY$5,APOIO_REDES!$5:$5,0)),0)*$AP13,0)</f>
        <v>6.85408342488484</v>
      </c>
      <c r="AZ13" s="153" t="n">
        <f aca="false">IFERROR(IF($N13="VCA",INDEX(APOIO_REDES!$A:$W,MATCH($C13&amp;$I13&amp;$H13&amp;$N13&amp;$O13,APOIO_REDES!$W:$W,0),MATCH(AZ$5,APOIO_REDES!$5:$5,0)),0)*$AP13,0)</f>
        <v>0.948585337786975</v>
      </c>
      <c r="BA13" s="153" t="n">
        <f aca="false">IFERROR(IF(AND($N13="VCA",$Q13="LINEAR"),INDEX(APOIO_REDES!$A:$W,MATCH($C13&amp;$I13&amp;$H13&amp;$N13&amp;$O13,APOIO_REDES!$W:$W,0),MATCH(BA$5,APOIO_REDES!$5:$5,0)),IF(AND($N13="MND",$Q13="EMBOQUE"),INDEX(APOIO_REDES!$A:$W,MATCH($C13&amp;$I13&amp;$H13&amp;$N13&amp;$O13,APOIO_REDES!$W:$W,0),MATCH(BA$5,APOIO_REDES!$5:$5,0)),0))*$M13/10,0)</f>
        <v>3.58819970185182</v>
      </c>
      <c r="BB13" s="153" t="n">
        <f aca="false">IFERROR(IF($N13="VCA",INDEX(APOIO_REDES!$A:$W,MATCH($C13&amp;$I13&amp;$H13&amp;$N13&amp;$O13,APOIO_REDES!$W:$W,0),MATCH(BB$5,APOIO_REDES!$5:$5,0)),0)*($AI13+$AQ13+$AR13),0)</f>
        <v>13.2525165955874</v>
      </c>
      <c r="BC13" s="153" t="n">
        <f aca="false">IFERROR(IF($N13="VCA",INDEX(APOIO_REDES!$A:$W,MATCH($C13&amp;$I13&amp;$H13&amp;$N13&amp;$O13,APOIO_REDES!$W:$W,0),MATCH(BC$5,APOIO_REDES!$5:$5,0)),0)*($AI13+$AQ13+$AR13),0)</f>
        <v>0.145777404412596</v>
      </c>
      <c r="BD13" s="153" t="n">
        <f aca="false">IF(AND($N13="VCA",$AF13&gt;=1.25,$AF13&lt;1.5),$M13*$AF13*2,0)</f>
        <v>121.36152</v>
      </c>
      <c r="BE13" s="153" t="n">
        <f aca="false">IF(AND($N13="VCA",$AF13&gt;=1.5,$AF13&lt;3),$M13*$AF13*2,0)</f>
        <v>0</v>
      </c>
      <c r="BF13" s="153" t="n">
        <f aca="false">IF(AND($N13="VCA",$AF13&gt;=3),$M13*$AF13*2,0)</f>
        <v>0</v>
      </c>
      <c r="BG13" s="153" t="n">
        <f aca="false">($BB13+$BC13)*$AK13</f>
        <v>24.1169292</v>
      </c>
      <c r="BH13" s="153" t="n">
        <f aca="false">IF(AND($M13&lt;&gt;"",$N13="VCA",$Q13="LINEAR"),($M13*2)/100,IF(AND($M13&lt;&gt;"",$N13="MND",$Q13="EMBOQUE"),($AN13*2)/100,0))</f>
        <v>0.8904</v>
      </c>
      <c r="BI13" s="153" t="n">
        <f aca="false">IF(AND($M13&lt;&gt;"",$N13="VCA",$Q13="LINEAR"),$M13,IF(AND($M13&lt;&gt;"",$N13="MND",$Q13="EMBOQUE"),$AN13*2,0))</f>
        <v>44.52</v>
      </c>
      <c r="BJ13" s="153" t="n">
        <f aca="false">IF(AND($M13&lt;&gt;"",$N13="VCA",$Q13="LINEAR"),($M13*6.8)/100,IF(AND($M13&lt;&gt;"",$N13="MND",$Q13="EMBOQUE"),($AN13*2*6.8)/100,0))</f>
        <v>3.02736</v>
      </c>
      <c r="BK13" s="153" t="n">
        <f aca="false">IF(AND($M13&lt;&gt;"",$N13="VCA",$Q13="LINEAR"),($M13*2.5)/50,IF(AND($M13&lt;&gt;"",$N13="MND",$Q13="EMBOQUE"),($AN13*2*2.5)/50,0))</f>
        <v>2.226</v>
      </c>
      <c r="BL13" s="157" t="str">
        <f aca="false">K13&amp;J13</f>
        <v>Zona01REDES</v>
      </c>
      <c r="BM13" s="152" t="s">
        <v>1559</v>
      </c>
      <c r="BN13" s="152" t="s">
        <v>1560</v>
      </c>
      <c r="BO13" s="152" t="s">
        <v>1561</v>
      </c>
      <c r="BP13" s="152" t="s">
        <v>1576</v>
      </c>
      <c r="BQ13" s="152" t="s">
        <v>1587</v>
      </c>
      <c r="BR13" s="152" t="s">
        <v>1564</v>
      </c>
      <c r="BS13" s="152" t="n">
        <v>203404.083</v>
      </c>
      <c r="BT13" s="152" t="n">
        <v>8239156.688</v>
      </c>
      <c r="BU13" s="152" t="n">
        <v>203372.302</v>
      </c>
      <c r="BV13" s="152" t="n">
        <v>8239125.507</v>
      </c>
      <c r="BW13" s="152" t="n">
        <v>-15.909206</v>
      </c>
      <c r="BX13" s="152" t="n">
        <v>-47.7701202</v>
      </c>
      <c r="BY13" s="152" t="s">
        <v>1576</v>
      </c>
    </row>
    <row r="14" customFormat="false" ht="13.8" hidden="false" customHeight="false" outlineLevel="0" collapsed="false">
      <c r="A14" s="149" t="n">
        <f aca="false">IF(C14&lt;&gt;"",ROW(A9),"")</f>
        <v>9</v>
      </c>
      <c r="B14" s="150" t="str">
        <f aca="false">HYPERLINK("https://www.google.com/maps/dir/-15.917302,-47.760003/-15.9094223,-47.7692309/data=!4m3!4m2!3e0!5i1")</f>
        <v>https://www.google.com/maps/dir/-15.917302,-47.760003/-15.9094223,-47.7692309/data=!4m3!4m2!3e0!5i1</v>
      </c>
      <c r="C14" s="151" t="s">
        <v>117</v>
      </c>
      <c r="D14" s="152" t="s">
        <v>112</v>
      </c>
      <c r="E14" s="152" t="s">
        <v>113</v>
      </c>
      <c r="F14" s="152" t="s">
        <v>117</v>
      </c>
      <c r="G14" s="152" t="s">
        <v>782</v>
      </c>
      <c r="H14" s="152" t="n">
        <v>63</v>
      </c>
      <c r="I14" s="152" t="s">
        <v>115</v>
      </c>
      <c r="J14" s="152" t="s">
        <v>6</v>
      </c>
      <c r="K14" s="152" t="s">
        <v>1547</v>
      </c>
      <c r="L14" s="152" t="s">
        <v>120</v>
      </c>
      <c r="M14" s="153" t="n">
        <f aca="false">56.42+3.98</f>
        <v>60.4</v>
      </c>
      <c r="N14" s="152" t="s">
        <v>1548</v>
      </c>
      <c r="O14" s="152" t="s">
        <v>1549</v>
      </c>
      <c r="P14" s="152" t="s">
        <v>1550</v>
      </c>
      <c r="Q14" s="152" t="s">
        <v>1551</v>
      </c>
      <c r="R14" s="154" t="s">
        <v>1588</v>
      </c>
      <c r="S14" s="154" t="s">
        <v>1553</v>
      </c>
      <c r="T14" s="155" t="s">
        <v>1554</v>
      </c>
      <c r="U14" s="152" t="str">
        <f aca="false">RIGHT(T14,7)</f>
        <v>002/037</v>
      </c>
      <c r="V14" s="152" t="s">
        <v>1555</v>
      </c>
      <c r="W14" s="156" t="n">
        <v>45882</v>
      </c>
      <c r="X14" s="152" t="s">
        <v>1556</v>
      </c>
      <c r="Y14" s="152"/>
      <c r="Z14" s="152" t="s">
        <v>1557</v>
      </c>
      <c r="AA14" s="153" t="n">
        <v>1.8</v>
      </c>
      <c r="AB14" s="151" t="s">
        <v>1589</v>
      </c>
      <c r="AC14" s="151" t="s">
        <v>186</v>
      </c>
      <c r="AD14" s="151" t="str">
        <f aca="false">CONCATENATE($C14,$I14,$H14,$N14,$J14,$K14)</f>
        <v>TUBO PEADPEAD63VCAREDESZona01</v>
      </c>
      <c r="AE14" s="153" t="n">
        <f aca="false">IFERROR(INDEX(APOIO_REDES!$A:$W,MATCH($C14&amp;$I14&amp;$H14&amp;$N14&amp;$O14,APOIO_REDES!$W:$W,0),MATCH(AE$5,APOIO_REDES!$5:$5,0)),0)</f>
        <v>1.2</v>
      </c>
      <c r="AF14" s="153" t="n">
        <f aca="false">IFERROR(INDEX(APOIO_REDES!$A:$W,MATCH($C14&amp;$I14&amp;$H14&amp;$N14&amp;$O14,APOIO_REDES!$W:$W,0),MATCH(AF$5,APOIO_REDES!$5:$5,0)),0)</f>
        <v>1.363</v>
      </c>
      <c r="AG14" s="153" t="n">
        <f aca="false">IFERROR(INDEX(APOIO_REDES!$A:$W,MATCH($C14&amp;$I14&amp;$H14&amp;$N14&amp;$O14,APOIO_REDES!$W:$W,0),MATCH(AG$5,APOIO_REDES!$5:$5,0)),0)</f>
        <v>0.65</v>
      </c>
      <c r="AH14" s="153" t="n">
        <f aca="false">IFERROR(INDEX(APOIO_REDES!$A:$W,MATCH($C14&amp;$I14&amp;$H14&amp;$N14&amp;$O14,APOIO_REDES!$W:$W,0),MATCH(AH$5,APOIO_REDES!$5:$5,0)),0)</f>
        <v>0.1</v>
      </c>
      <c r="AI14" s="153" t="n">
        <f aca="false">IFERROR(IF($H14&lt;&gt;"",(((($H14/1000)/2)^2)*PI()*$M14),0),0)</f>
        <v>0.188281616755678</v>
      </c>
      <c r="AJ14" s="153" t="n">
        <f aca="false">IFERROR(IF(AND($H14&lt;&gt;"",$I14="FoFo",OR($N14="MND",$N14="VCA"),$Q14="LINEAR"),0,IF(AND($H14&lt;&gt;"",$I14="PEAD",$N14="VCA",$Q14="LINEAR"),($H14/1000)+0.3,IF(AND($H14&lt;&gt;"",$I14="PEAD",$N14="MND",$Q14="EMBOQUE"),0,IF(AND($H14&lt;&gt;"",$I14="PVC",$N14="VCA",$Q14="LINEAR"),($H14/1000)+0.2,IF(AND($H14&lt;&gt;"",$I14="PVC",$N14="MND",$Q14="EMBOQUE"),0,IF(AND($H14&lt;&gt;"",$I14="PEAD",$N14="VCA",$Q14="PREDIAL"),0,0)))))),0)</f>
        <v>0.363</v>
      </c>
      <c r="AK14" s="153" t="n">
        <f aca="false">IF(AA14&lt;&gt;"",AA14,0)</f>
        <v>1.8</v>
      </c>
      <c r="AL14" s="153" t="n">
        <f aca="false">IF(AND($N14="MND",$Q14="EMBOQUE"),$M14,IF(AND($N14="VCA",$Q14="LINEAR"),$M14,IF(AND($N14="VCA",$Q14="PREDIAL"),0,0)))</f>
        <v>60.4</v>
      </c>
      <c r="AM14" s="153" t="n">
        <f aca="false">IF(AND($N14="MND",$Q14="EMBOQUE"),$M14,IF(AND($N14="VCA",$Q14="LINEAR"),$M14,IF(AND($N14="VCA",$Q14="PREDIAL"),0,0)))</f>
        <v>60.4</v>
      </c>
      <c r="AN14" s="153" t="n">
        <f aca="false">ROUND(IF(AND($N14="VCA",$M14&lt;&gt;"",$Q14="LINEAR"),$M14/100,IF(AND($N14="MND",$M14&gt;100,$Q14="EMBOQUE"),$M14/100,0)),0)</f>
        <v>1</v>
      </c>
      <c r="AO14" s="153" t="n">
        <f aca="false">IF(AND($N14="MND",$Q14="EMBOQUE"),$AN14*2*2,IF(AND($N14="VCA",$Q14="LINEAR"),$M14*2,IF(AND($N14="VCA",$Q14="PREDIAL"),0,0)))</f>
        <v>120.8</v>
      </c>
      <c r="AP14" s="153" t="n">
        <f aca="false">IFERROR($M14*$AF14*$AG14,0)</f>
        <v>53.51138</v>
      </c>
      <c r="AQ14" s="153" t="n">
        <f aca="false">IFERROR(IF(AND($N14="VCA",$AH14&gt;0),$M14*$AG14*$AH14,0),0)</f>
        <v>3.926</v>
      </c>
      <c r="AR14" s="153" t="n">
        <f aca="false">IFERROR(IF(AND($N14="VCA",$AJ14&gt;0),($M14*$AG14*$AJ14)-$AI14,0),0)</f>
        <v>14.0630983832443</v>
      </c>
      <c r="AS14" s="153" t="n">
        <f aca="false">IFERROR(IF(AND($N14="VCA",$AP14&gt;0),$AP14-$AI14-$AQ14-$AR14,0),0)</f>
        <v>35.334</v>
      </c>
      <c r="AT14" s="153" t="n">
        <f aca="false">IFERROR(IF($N14="VCA",INDEX(APOIO_REDES!$A:$W,MATCH($C14&amp;$I14&amp;$H14&amp;$N14&amp;$O14,APOIO_REDES!$W:$W,0),MATCH(AT$5,APOIO_REDES!$5:$5,0)),0)*$AP14,0)</f>
        <v>0.582219652960002</v>
      </c>
      <c r="AU14" s="153" t="n">
        <f aca="false">IFERROR(IF($N14="VCA",INDEX(APOIO_REDES!$A:$W,MATCH($C14&amp;$I14&amp;$H14&amp;$N14&amp;$O14,APOIO_REDES!$W:$W,0),MATCH(AU$5,APOIO_REDES!$5:$5,0)),0)*$AP14,0)</f>
        <v>0.464944846345886</v>
      </c>
      <c r="AV14" s="153" t="n">
        <f aca="false">IFERROR(IF($N14="VCA",INDEX(APOIO_REDES!$A:$W,MATCH($C14&amp;$I14&amp;$H14&amp;$N14&amp;$O14,APOIO_REDES!$W:$W,0),MATCH(AV$5,APOIO_REDES!$5:$5,0)),0)*$AP14,0)</f>
        <v>0.0643447167741189</v>
      </c>
      <c r="AW14" s="153" t="n">
        <f aca="false">IFERROR(IF($N14="VCA",INDEX(APOIO_REDES!$A:$W,MATCH($C14&amp;$I14&amp;$H14&amp;$N14&amp;$O14,APOIO_REDES!$W:$W,0),MATCH(AW$5,APOIO_REDES!$5:$5,0)),0)*$AP14,0)</f>
        <v>36.730625858405</v>
      </c>
      <c r="AX14" s="153" t="n">
        <f aca="false">IFERROR(IF($N14="VCA",INDEX(APOIO_REDES!$A:$W,MATCH($C14&amp;$I14&amp;$H14&amp;$N14&amp;$O14,APOIO_REDES!$W:$W,0),MATCH(AX$5,APOIO_REDES!$5:$5,0)),0)*$AP14,0)</f>
        <v>5.08341398963498</v>
      </c>
      <c r="AY14" s="153" t="n">
        <f aca="false">IFERROR(IF($N14="VCA",INDEX(APOIO_REDES!$A:$W,MATCH($C14&amp;$I14&amp;$H14&amp;$N14&amp;$O14,APOIO_REDES!$W:$W,0),MATCH(AY$5,APOIO_REDES!$5:$5,0)),0)*$AP14,0)</f>
        <v>9.29889125927773</v>
      </c>
      <c r="AZ14" s="153" t="n">
        <f aca="false">IFERROR(IF($N14="VCA",INDEX(APOIO_REDES!$A:$W,MATCH($C14&amp;$I14&amp;$H14&amp;$N14&amp;$O14,APOIO_REDES!$W:$W,0),MATCH(AZ$5,APOIO_REDES!$5:$5,0)),0)*$AP14,0)</f>
        <v>1.28693967660227</v>
      </c>
      <c r="BA14" s="153" t="n">
        <f aca="false">IFERROR(IF(AND($N14="VCA",$Q14="LINEAR"),INDEX(APOIO_REDES!$A:$W,MATCH($C14&amp;$I14&amp;$H14&amp;$N14&amp;$O14,APOIO_REDES!$W:$W,0),MATCH(BA$5,APOIO_REDES!$5:$5,0)),IF(AND($N14="MND",$Q14="EMBOQUE"),INDEX(APOIO_REDES!$A:$W,MATCH($C14&amp;$I14&amp;$H14&amp;$N14&amp;$O14,APOIO_REDES!$W:$W,0),MATCH(BA$5,APOIO_REDES!$5:$5,0)),0))*$M14/10,0)</f>
        <v>4.86808764581873</v>
      </c>
      <c r="BB14" s="153" t="n">
        <f aca="false">IFERROR(IF($N14="VCA",INDEX(APOIO_REDES!$A:$W,MATCH($C14&amp;$I14&amp;$H14&amp;$N14&amp;$O14,APOIO_REDES!$W:$W,0),MATCH(BB$5,APOIO_REDES!$5:$5,0)),0)*($AI14+$AQ14+$AR14),0)</f>
        <v>17.9796047253702</v>
      </c>
      <c r="BC14" s="153" t="n">
        <f aca="false">IFERROR(IF($N14="VCA",INDEX(APOIO_REDES!$A:$W,MATCH($C14&amp;$I14&amp;$H14&amp;$N14&amp;$O14,APOIO_REDES!$W:$W,0),MATCH(BC$5,APOIO_REDES!$5:$5,0)),0)*($AI14+$AQ14+$AR14),0)</f>
        <v>0.197775274629847</v>
      </c>
      <c r="BD14" s="153" t="n">
        <f aca="false">IF(AND($N14="VCA",$AF14&gt;=1.25,$AF14&lt;1.5),$M14*$AF14*2,0)</f>
        <v>164.6504</v>
      </c>
      <c r="BE14" s="153" t="n">
        <f aca="false">IF(AND($N14="VCA",$AF14&gt;=1.5,$AF14&lt;3),$M14*$AF14*2,0)</f>
        <v>0</v>
      </c>
      <c r="BF14" s="153" t="n">
        <f aca="false">IF(AND($N14="VCA",$AF14&gt;=3),$M14*$AF14*2,0)</f>
        <v>0</v>
      </c>
      <c r="BG14" s="153" t="n">
        <f aca="false">($BB14+$BC14)*$AK14</f>
        <v>32.719284</v>
      </c>
      <c r="BH14" s="153" t="n">
        <f aca="false">IF(AND($M14&lt;&gt;"",$N14="VCA",$Q14="LINEAR"),($M14*2)/100,IF(AND($M14&lt;&gt;"",$N14="MND",$Q14="EMBOQUE"),($AN14*2)/100,0))</f>
        <v>1.208</v>
      </c>
      <c r="BI14" s="153" t="n">
        <f aca="false">IF(AND($M14&lt;&gt;"",$N14="VCA",$Q14="LINEAR"),$M14,IF(AND($M14&lt;&gt;"",$N14="MND",$Q14="EMBOQUE"),$AN14*2,0))</f>
        <v>60.4</v>
      </c>
      <c r="BJ14" s="153" t="n">
        <f aca="false">IF(AND($M14&lt;&gt;"",$N14="VCA",$Q14="LINEAR"),($M14*6.8)/100,IF(AND($M14&lt;&gt;"",$N14="MND",$Q14="EMBOQUE"),($AN14*2*6.8)/100,0))</f>
        <v>4.1072</v>
      </c>
      <c r="BK14" s="153" t="n">
        <f aca="false">IF(AND($M14&lt;&gt;"",$N14="VCA",$Q14="LINEAR"),($M14*2.5)/50,IF(AND($M14&lt;&gt;"",$N14="MND",$Q14="EMBOQUE"),($AN14*2*2.5)/50,0))</f>
        <v>3.02</v>
      </c>
      <c r="BL14" s="157" t="str">
        <f aca="false">K14&amp;J14</f>
        <v>Zona01REDES</v>
      </c>
      <c r="BM14" s="152" t="s">
        <v>1559</v>
      </c>
      <c r="BN14" s="152" t="s">
        <v>1560</v>
      </c>
      <c r="BO14" s="152" t="s">
        <v>1561</v>
      </c>
      <c r="BP14" s="152" t="s">
        <v>1579</v>
      </c>
      <c r="BQ14" s="152" t="s">
        <v>1590</v>
      </c>
      <c r="BR14" s="152" t="s">
        <v>1591</v>
      </c>
      <c r="BS14" s="152" t="n">
        <v>203483.756</v>
      </c>
      <c r="BT14" s="152" t="n">
        <v>8239118.448</v>
      </c>
      <c r="BU14" s="152" t="n">
        <v>203475.441</v>
      </c>
      <c r="BV14" s="152" t="n">
        <v>8239161.179</v>
      </c>
      <c r="BW14" s="152" t="n">
        <v>-15.9092557</v>
      </c>
      <c r="BX14" s="152" t="n">
        <v>-47.7694199</v>
      </c>
      <c r="BY14" s="152" t="s">
        <v>1579</v>
      </c>
    </row>
    <row r="15" customFormat="false" ht="13.8" hidden="false" customHeight="false" outlineLevel="0" collapsed="false">
      <c r="A15" s="149" t="n">
        <f aca="false">IF(C15&lt;&gt;"",ROW(A10),"")</f>
        <v>10</v>
      </c>
      <c r="B15" s="150" t="str">
        <f aca="false">HYPERLINK("https://www.google.com/maps/dir/-15.917302,-47.760003/-15.9098010,-47.7673501/data=!4m3!4m2!3e0!5i0")</f>
        <v>https://www.google.com/maps/dir/-15.917302,-47.760003/-15.9098010,-47.7673501/data=!4m3!4m2!3e0!5i0</v>
      </c>
      <c r="C15" s="151" t="s">
        <v>117</v>
      </c>
      <c r="D15" s="152" t="s">
        <v>112</v>
      </c>
      <c r="E15" s="152" t="s">
        <v>113</v>
      </c>
      <c r="F15" s="152" t="s">
        <v>117</v>
      </c>
      <c r="G15" s="152" t="s">
        <v>782</v>
      </c>
      <c r="H15" s="152" t="n">
        <v>110</v>
      </c>
      <c r="I15" s="152" t="s">
        <v>115</v>
      </c>
      <c r="J15" s="152" t="s">
        <v>6</v>
      </c>
      <c r="K15" s="152" t="s">
        <v>1547</v>
      </c>
      <c r="L15" s="152" t="s">
        <v>120</v>
      </c>
      <c r="M15" s="153" t="n">
        <f aca="false">150.31</f>
        <v>150.31</v>
      </c>
      <c r="N15" s="152" t="s">
        <v>1548</v>
      </c>
      <c r="O15" s="152" t="s">
        <v>1549</v>
      </c>
      <c r="P15" s="152" t="s">
        <v>1550</v>
      </c>
      <c r="Q15" s="152" t="s">
        <v>1551</v>
      </c>
      <c r="R15" s="154" t="s">
        <v>1592</v>
      </c>
      <c r="S15" s="154" t="s">
        <v>1593</v>
      </c>
      <c r="T15" s="155" t="s">
        <v>1554</v>
      </c>
      <c r="U15" s="152" t="str">
        <f aca="false">RIGHT(T15,7)</f>
        <v>002/037</v>
      </c>
      <c r="V15" s="152" t="s">
        <v>1555</v>
      </c>
      <c r="W15" s="156" t="n">
        <v>45882</v>
      </c>
      <c r="X15" s="152" t="s">
        <v>1594</v>
      </c>
      <c r="Y15" s="152"/>
      <c r="Z15" s="152" t="s">
        <v>1557</v>
      </c>
      <c r="AA15" s="153" t="n">
        <v>1.5</v>
      </c>
      <c r="AB15" s="151" t="s">
        <v>1595</v>
      </c>
      <c r="AC15" s="151" t="s">
        <v>502</v>
      </c>
      <c r="AD15" s="151" t="str">
        <f aca="false">CONCATENATE($C15,$I15,$H15,$N15,$J15,$K15)</f>
        <v>TUBO PEADPEAD110VCAREDESZona01</v>
      </c>
      <c r="AE15" s="153" t="n">
        <f aca="false">IFERROR(INDEX(APOIO_REDES!$A:$W,MATCH($C15&amp;$I15&amp;$H15&amp;$N15&amp;$O15,APOIO_REDES!$W:$W,0),MATCH(AE$5,APOIO_REDES!$5:$5,0)),0)</f>
        <v>1.2</v>
      </c>
      <c r="AF15" s="153" t="n">
        <f aca="false">IFERROR(INDEX(APOIO_REDES!$A:$W,MATCH($C15&amp;$I15&amp;$H15&amp;$N15&amp;$O15,APOIO_REDES!$W:$W,0),MATCH(AF$5,APOIO_REDES!$5:$5,0)),0)</f>
        <v>1.41</v>
      </c>
      <c r="AG15" s="153" t="n">
        <f aca="false">IFERROR(INDEX(APOIO_REDES!$A:$W,MATCH($C15&amp;$I15&amp;$H15&amp;$N15&amp;$O15,APOIO_REDES!$W:$W,0),MATCH(AG$5,APOIO_REDES!$5:$5,0)),0)</f>
        <v>0.75</v>
      </c>
      <c r="AH15" s="153" t="n">
        <f aca="false">IFERROR(INDEX(APOIO_REDES!$A:$W,MATCH($C15&amp;$I15&amp;$H15&amp;$N15&amp;$O15,APOIO_REDES!$W:$W,0),MATCH(AH$5,APOIO_REDES!$5:$5,0)),0)</f>
        <v>0.1</v>
      </c>
      <c r="AI15" s="153" t="n">
        <f aca="false">IFERROR(IF($H15&lt;&gt;"",(((($H15/1000)/2)^2)*PI()*$M15),0),0)</f>
        <v>1.42844369507727</v>
      </c>
      <c r="AJ15" s="153" t="n">
        <f aca="false">IFERROR(IF(AND($H15&lt;&gt;"",$I15="FoFo",OR($N15="MND",$N15="VCA"),$Q15="LINEAR"),0,IF(AND($H15&lt;&gt;"",$I15="PEAD",$N15="VCA",$Q15="LINEAR"),($H15/1000)+0.3,IF(AND($H15&lt;&gt;"",$I15="PEAD",$N15="MND",$Q15="EMBOQUE"),0,IF(AND($H15&lt;&gt;"",$I15="PVC",$N15="VCA",$Q15="LINEAR"),($H15/1000)+0.2,IF(AND($H15&lt;&gt;"",$I15="PVC",$N15="MND",$Q15="EMBOQUE"),0,IF(AND($H15&lt;&gt;"",$I15="PEAD",$N15="VCA",$Q15="PREDIAL"),0,0)))))),0)</f>
        <v>0.41</v>
      </c>
      <c r="AK15" s="153" t="n">
        <f aca="false">IF(AA15&lt;&gt;"",AA15,0)</f>
        <v>1.5</v>
      </c>
      <c r="AL15" s="153" t="n">
        <f aca="false">IF(AND($N15="MND",$Q15="EMBOQUE"),$M15,IF(AND($N15="VCA",$Q15="LINEAR"),$M15,IF(AND($N15="VCA",$Q15="PREDIAL"),0,0)))</f>
        <v>150.31</v>
      </c>
      <c r="AM15" s="153" t="n">
        <f aca="false">IF(AND($N15="MND",$Q15="EMBOQUE"),$M15,IF(AND($N15="VCA",$Q15="LINEAR"),$M15,IF(AND($N15="VCA",$Q15="PREDIAL"),0,0)))</f>
        <v>150.31</v>
      </c>
      <c r="AN15" s="153" t="n">
        <f aca="false">ROUND(IF(AND($N15="VCA",$M15&lt;&gt;"",$Q15="LINEAR"),$M15/100,IF(AND($N15="MND",$M15&gt;100,$Q15="EMBOQUE"),$M15/100,0)),0)</f>
        <v>2</v>
      </c>
      <c r="AO15" s="153" t="n">
        <f aca="false">IF(AND($N15="MND",$Q15="EMBOQUE"),$AN15*2*2,IF(AND($N15="VCA",$Q15="LINEAR"),$M15*2,IF(AND($N15="VCA",$Q15="PREDIAL"),0,0)))</f>
        <v>300.62</v>
      </c>
      <c r="AP15" s="153" t="n">
        <f aca="false">IFERROR($M15*$AF15*$AG15,0)</f>
        <v>158.952825</v>
      </c>
      <c r="AQ15" s="153" t="n">
        <f aca="false">IFERROR(IF(AND($N15="VCA",$AH15&gt;0),$M15*$AG15*$AH15,0),0)</f>
        <v>11.27325</v>
      </c>
      <c r="AR15" s="153" t="n">
        <f aca="false">IFERROR(IF(AND($N15="VCA",$AJ15&gt;0),($M15*$AG15*$AJ15)-$AI15,0),0)</f>
        <v>44.7918813049227</v>
      </c>
      <c r="AS15" s="153" t="n">
        <f aca="false">IFERROR(IF(AND($N15="VCA",$AP15&gt;0),$AP15-$AI15-$AQ15-$AR15,0),0)</f>
        <v>101.45925</v>
      </c>
      <c r="AT15" s="153" t="n">
        <f aca="false">IFERROR(IF($N15="VCA",INDEX(APOIO_REDES!$A:$W,MATCH($C15&amp;$I15&amp;$H15&amp;$N15&amp;$O15,APOIO_REDES!$W:$W,0),MATCH(AT$5,APOIO_REDES!$5:$5,0)),0)*$AP15,0)</f>
        <v>1.72945378363466</v>
      </c>
      <c r="AU15" s="153" t="n">
        <f aca="false">IFERROR(IF($N15="VCA",INDEX(APOIO_REDES!$A:$W,MATCH($C15&amp;$I15&amp;$H15&amp;$N15&amp;$O15,APOIO_REDES!$W:$W,0),MATCH(AU$5,APOIO_REDES!$5:$5,0)),0)*$AP15,0)</f>
        <v>1.38109495206196</v>
      </c>
      <c r="AV15" s="153" t="n">
        <f aca="false">IFERROR(IF($N15="VCA",INDEX(APOIO_REDES!$A:$W,MATCH($C15&amp;$I15&amp;$H15&amp;$N15&amp;$O15,APOIO_REDES!$W:$W,0),MATCH(AV$5,APOIO_REDES!$5:$5,0)),0)*$AP15,0)</f>
        <v>0.191132699344907</v>
      </c>
      <c r="AW15" s="153" t="n">
        <f aca="false">IFERROR(IF($N15="VCA",INDEX(APOIO_REDES!$A:$W,MATCH($C15&amp;$I15&amp;$H15&amp;$N15&amp;$O15,APOIO_REDES!$W:$W,0),MATCH(AW$5,APOIO_REDES!$5:$5,0)),0)*$AP15,0)</f>
        <v>109.106450706589</v>
      </c>
      <c r="AX15" s="153" t="n">
        <f aca="false">IFERROR(IF($N15="VCA",INDEX(APOIO_REDES!$A:$W,MATCH($C15&amp;$I15&amp;$H15&amp;$N15&amp;$O15,APOIO_REDES!$W:$W,0),MATCH(AX$5,APOIO_REDES!$5:$5,0)),0)*$AP15,0)</f>
        <v>15.100021982184</v>
      </c>
      <c r="AY15" s="153" t="n">
        <f aca="false">IFERROR(IF($N15="VCA",INDEX(APOIO_REDES!$A:$W,MATCH($C15&amp;$I15&amp;$H15&amp;$N15&amp;$O15,APOIO_REDES!$W:$W,0),MATCH(AY$5,APOIO_REDES!$5:$5,0)),0)*$AP15,0)</f>
        <v>27.6218822058037</v>
      </c>
      <c r="AZ15" s="153" t="n">
        <f aca="false">IFERROR(IF($N15="VCA",INDEX(APOIO_REDES!$A:$W,MATCH($C15&amp;$I15&amp;$H15&amp;$N15&amp;$O15,APOIO_REDES!$W:$W,0),MATCH(AZ$5,APOIO_REDES!$5:$5,0)),0)*$AP15,0)</f>
        <v>3.82278867038222</v>
      </c>
      <c r="BA15" s="153" t="n">
        <f aca="false">IFERROR(IF(AND($N15="VCA",$Q15="LINEAR"),INDEX(APOIO_REDES!$A:$W,MATCH($C15&amp;$I15&amp;$H15&amp;$N15&amp;$O15,APOIO_REDES!$W:$W,0),MATCH(BA$5,APOIO_REDES!$5:$5,0)),IF(AND($N15="MND",$Q15="EMBOQUE"),INDEX(APOIO_REDES!$A:$W,MATCH($C15&amp;$I15&amp;$H15&amp;$N15&amp;$O15,APOIO_REDES!$W:$W,0),MATCH(BA$5,APOIO_REDES!$5:$5,0)),0))*$M15/10,0)</f>
        <v>12.1146068550168</v>
      </c>
      <c r="BB15" s="153" t="n">
        <f aca="false">IFERROR(IF($N15="VCA",INDEX(APOIO_REDES!$A:$W,MATCH($C15&amp;$I15&amp;$H15&amp;$N15&amp;$O15,APOIO_REDES!$W:$W,0),MATCH(BB$5,APOIO_REDES!$5:$5,0)),0)*($AI15+$AQ15+$AR15),0)</f>
        <v>56.8680278867704</v>
      </c>
      <c r="BC15" s="153" t="n">
        <f aca="false">IFERROR(IF($N15="VCA",INDEX(APOIO_REDES!$A:$W,MATCH($C15&amp;$I15&amp;$H15&amp;$N15&amp;$O15,APOIO_REDES!$W:$W,0),MATCH(BC$5,APOIO_REDES!$5:$5,0)),0)*($AI15+$AQ15+$AR15),0)</f>
        <v>0.625547113229557</v>
      </c>
      <c r="BD15" s="153" t="n">
        <f aca="false">IF(AND($N15="VCA",$AF15&gt;=1.25,$AF15&lt;1.5),$M15*$AF15*2,0)</f>
        <v>423.8742</v>
      </c>
      <c r="BE15" s="153" t="n">
        <f aca="false">IF(AND($N15="VCA",$AF15&gt;=1.5,$AF15&lt;3),$M15*$AF15*2,0)</f>
        <v>0</v>
      </c>
      <c r="BF15" s="153" t="n">
        <f aca="false">IF(AND($N15="VCA",$AF15&gt;=3),$M15*$AF15*2,0)</f>
        <v>0</v>
      </c>
      <c r="BG15" s="153" t="n">
        <f aca="false">($BB15+$BC15)*$AK15</f>
        <v>86.2403625</v>
      </c>
      <c r="BH15" s="153" t="n">
        <f aca="false">IF(AND($M15&lt;&gt;"",$N15="VCA",$Q15="LINEAR"),($M15*2)/100,IF(AND($M15&lt;&gt;"",$N15="MND",$Q15="EMBOQUE"),($AN15*2)/100,0))</f>
        <v>3.0062</v>
      </c>
      <c r="BI15" s="153" t="n">
        <f aca="false">IF(AND($M15&lt;&gt;"",$N15="VCA",$Q15="LINEAR"),$M15,IF(AND($M15&lt;&gt;"",$N15="MND",$Q15="EMBOQUE"),$AN15*2,0))</f>
        <v>150.31</v>
      </c>
      <c r="BJ15" s="153" t="n">
        <f aca="false">IF(AND($M15&lt;&gt;"",$N15="VCA",$Q15="LINEAR"),($M15*6.8)/100,IF(AND($M15&lt;&gt;"",$N15="MND",$Q15="EMBOQUE"),($AN15*2*6.8)/100,0))</f>
        <v>10.22108</v>
      </c>
      <c r="BK15" s="153" t="n">
        <f aca="false">IF(AND($M15&lt;&gt;"",$N15="VCA",$Q15="LINEAR"),($M15*2.5)/50,IF(AND($M15&lt;&gt;"",$N15="MND",$Q15="EMBOQUE"),($AN15*2*2.5)/50,0))</f>
        <v>7.5155</v>
      </c>
      <c r="BL15" s="157" t="str">
        <f aca="false">K15&amp;J15</f>
        <v>Zona01REDES</v>
      </c>
      <c r="BM15" s="152" t="s">
        <v>1559</v>
      </c>
      <c r="BN15" s="152" t="s">
        <v>1560</v>
      </c>
      <c r="BO15" s="152" t="s">
        <v>1561</v>
      </c>
      <c r="BP15" s="152" t="s">
        <v>1596</v>
      </c>
      <c r="BQ15" s="152" t="s">
        <v>1573</v>
      </c>
      <c r="BR15" s="152" t="s">
        <v>1597</v>
      </c>
      <c r="BS15" s="152" t="n">
        <v>203685.836</v>
      </c>
      <c r="BT15" s="152" t="n">
        <v>8239079.19</v>
      </c>
      <c r="BU15" s="152" t="n">
        <v>203576.724</v>
      </c>
      <c r="BV15" s="152" t="n">
        <v>8239179.922</v>
      </c>
      <c r="BW15" s="152" t="n">
        <v>-15.9093037</v>
      </c>
      <c r="BX15" s="152" t="n">
        <v>-47.7678093</v>
      </c>
      <c r="BY15" s="152" t="s">
        <v>1596</v>
      </c>
    </row>
    <row r="16" customFormat="false" ht="13.8" hidden="false" customHeight="false" outlineLevel="0" collapsed="false">
      <c r="A16" s="149" t="n">
        <f aca="false">IF(C16&lt;&gt;"",ROW(A11),"")</f>
        <v>11</v>
      </c>
      <c r="B16" s="150" t="str">
        <f aca="false">HYPERLINK("https://www.google.com/maps/dir/-15.917302,-47.760003/-15.9093691,-47.7702957/data=!4m3!4m2!3e0!5i0")</f>
        <v>https://www.google.com/maps/dir/-15.917302,-47.760003/-15.9093691,-47.7702957/data=!4m3!4m2!3e0!5i0</v>
      </c>
      <c r="C16" s="151" t="s">
        <v>117</v>
      </c>
      <c r="D16" s="152" t="s">
        <v>112</v>
      </c>
      <c r="E16" s="152" t="s">
        <v>113</v>
      </c>
      <c r="F16" s="152" t="s">
        <v>117</v>
      </c>
      <c r="G16" s="152" t="s">
        <v>782</v>
      </c>
      <c r="H16" s="152" t="n">
        <v>63</v>
      </c>
      <c r="I16" s="152" t="s">
        <v>115</v>
      </c>
      <c r="J16" s="152" t="s">
        <v>6</v>
      </c>
      <c r="K16" s="152" t="s">
        <v>1547</v>
      </c>
      <c r="L16" s="152" t="s">
        <v>120</v>
      </c>
      <c r="M16" s="153" t="n">
        <f aca="false">8.04</f>
        <v>8.04</v>
      </c>
      <c r="N16" s="152" t="s">
        <v>1548</v>
      </c>
      <c r="O16" s="152" t="s">
        <v>1549</v>
      </c>
      <c r="P16" s="152" t="s">
        <v>1550</v>
      </c>
      <c r="Q16" s="152" t="s">
        <v>1551</v>
      </c>
      <c r="R16" s="154" t="s">
        <v>1598</v>
      </c>
      <c r="S16" s="154" t="s">
        <v>1553</v>
      </c>
      <c r="T16" s="155" t="s">
        <v>1554</v>
      </c>
      <c r="U16" s="152" t="str">
        <f aca="false">RIGHT(T16,7)</f>
        <v>002/037</v>
      </c>
      <c r="V16" s="152" t="s">
        <v>1555</v>
      </c>
      <c r="W16" s="156" t="n">
        <v>45882</v>
      </c>
      <c r="X16" s="152" t="s">
        <v>1556</v>
      </c>
      <c r="Y16" s="152"/>
      <c r="Z16" s="152" t="s">
        <v>1557</v>
      </c>
      <c r="AA16" s="153" t="n">
        <v>1.9</v>
      </c>
      <c r="AB16" s="151" t="s">
        <v>1599</v>
      </c>
      <c r="AC16" s="151" t="s">
        <v>186</v>
      </c>
      <c r="AD16" s="151" t="str">
        <f aca="false">CONCATENATE($C16,$I16,$H16,$N16,$J16,$K16)</f>
        <v>TUBO PEADPEAD63VCAREDESZona01</v>
      </c>
      <c r="AE16" s="153" t="n">
        <f aca="false">IFERROR(INDEX(APOIO_REDES!$A:$W,MATCH($C16&amp;$I16&amp;$H16&amp;$N16&amp;$O16,APOIO_REDES!$W:$W,0),MATCH(AE$5,APOIO_REDES!$5:$5,0)),0)</f>
        <v>1.2</v>
      </c>
      <c r="AF16" s="153" t="n">
        <f aca="false">IFERROR(INDEX(APOIO_REDES!$A:$W,MATCH($C16&amp;$I16&amp;$H16&amp;$N16&amp;$O16,APOIO_REDES!$W:$W,0),MATCH(AF$5,APOIO_REDES!$5:$5,0)),0)</f>
        <v>1.363</v>
      </c>
      <c r="AG16" s="153" t="n">
        <f aca="false">IFERROR(INDEX(APOIO_REDES!$A:$W,MATCH($C16&amp;$I16&amp;$H16&amp;$N16&amp;$O16,APOIO_REDES!$W:$W,0),MATCH(AG$5,APOIO_REDES!$5:$5,0)),0)</f>
        <v>0.65</v>
      </c>
      <c r="AH16" s="153" t="n">
        <f aca="false">IFERROR(INDEX(APOIO_REDES!$A:$W,MATCH($C16&amp;$I16&amp;$H16&amp;$N16&amp;$O16,APOIO_REDES!$W:$W,0),MATCH(AH$5,APOIO_REDES!$5:$5,0)),0)</f>
        <v>0.1</v>
      </c>
      <c r="AI16" s="153" t="n">
        <f aca="false">IFERROR(IF($H16&lt;&gt;"",(((($H16/1000)/2)^2)*PI()*$M16),0),0)</f>
        <v>0.0250626522966168</v>
      </c>
      <c r="AJ16" s="153" t="n">
        <f aca="false">IFERROR(IF(AND($H16&lt;&gt;"",$I16="FoFo",OR($N16="MND",$N16="VCA"),$Q16="LINEAR"),0,IF(AND($H16&lt;&gt;"",$I16="PEAD",$N16="VCA",$Q16="LINEAR"),($H16/1000)+0.3,IF(AND($H16&lt;&gt;"",$I16="PEAD",$N16="MND",$Q16="EMBOQUE"),0,IF(AND($H16&lt;&gt;"",$I16="PVC",$N16="VCA",$Q16="LINEAR"),($H16/1000)+0.2,IF(AND($H16&lt;&gt;"",$I16="PVC",$N16="MND",$Q16="EMBOQUE"),0,IF(AND($H16&lt;&gt;"",$I16="PEAD",$N16="VCA",$Q16="PREDIAL"),0,0)))))),0)</f>
        <v>0.363</v>
      </c>
      <c r="AK16" s="153" t="n">
        <f aca="false">IF(AA16&lt;&gt;"",AA16,0)</f>
        <v>1.9</v>
      </c>
      <c r="AL16" s="153" t="n">
        <f aca="false">IF(AND($N16="MND",$Q16="EMBOQUE"),$M16,IF(AND($N16="VCA",$Q16="LINEAR"),$M16,IF(AND($N16="VCA",$Q16="PREDIAL"),0,0)))</f>
        <v>8.04</v>
      </c>
      <c r="AM16" s="153" t="n">
        <f aca="false">IF(AND($N16="MND",$Q16="EMBOQUE"),$M16,IF(AND($N16="VCA",$Q16="LINEAR"),$M16,IF(AND($N16="VCA",$Q16="PREDIAL"),0,0)))</f>
        <v>8.04</v>
      </c>
      <c r="AN16" s="153" t="n">
        <f aca="false">ROUND(IF(AND($N16="VCA",$M16&lt;&gt;"",$Q16="LINEAR"),$M16/100,IF(AND($N16="MND",$M16&gt;100,$Q16="EMBOQUE"),$M16/100,0)),0)</f>
        <v>0</v>
      </c>
      <c r="AO16" s="153" t="n">
        <f aca="false">IF(AND($N16="MND",$Q16="EMBOQUE"),$AN16*2*2,IF(AND($N16="VCA",$Q16="LINEAR"),$M16*2,IF(AND($N16="VCA",$Q16="PREDIAL"),0,0)))</f>
        <v>16.08</v>
      </c>
      <c r="AP16" s="153" t="n">
        <f aca="false">IFERROR($M16*$AF16*$AG16,0)</f>
        <v>7.123038</v>
      </c>
      <c r="AQ16" s="153" t="n">
        <f aca="false">IFERROR(IF(AND($N16="VCA",$AH16&gt;0),$M16*$AG16*$AH16,0),0)</f>
        <v>0.5226</v>
      </c>
      <c r="AR16" s="153" t="n">
        <f aca="false">IFERROR(IF(AND($N16="VCA",$AJ16&gt;0),($M16*$AG16*$AJ16)-$AI16,0),0)</f>
        <v>1.87197534770338</v>
      </c>
      <c r="AS16" s="153" t="n">
        <f aca="false">IFERROR(IF(AND($N16="VCA",$AP16&gt;0),$AP16-$AI16-$AQ16-$AR16,0),0)</f>
        <v>4.7034</v>
      </c>
      <c r="AT16" s="153" t="n">
        <f aca="false">IFERROR(IF($N16="VCA",INDEX(APOIO_REDES!$A:$W,MATCH($C16&amp;$I16&amp;$H16&amp;$N16&amp;$O16,APOIO_REDES!$W:$W,0),MATCH(AT$5,APOIO_REDES!$5:$5,0)),0)*$AP16,0)</f>
        <v>0.0775007617516295</v>
      </c>
      <c r="AU16" s="153" t="n">
        <f aca="false">IFERROR(IF($N16="VCA",INDEX(APOIO_REDES!$A:$W,MATCH($C16&amp;$I16&amp;$H16&amp;$N16&amp;$O16,APOIO_REDES!$W:$W,0),MATCH(AU$5,APOIO_REDES!$5:$5,0)),0)*$AP16,0)</f>
        <v>0.0618900093480285</v>
      </c>
      <c r="AV16" s="153" t="n">
        <f aca="false">IFERROR(IF($N16="VCA",INDEX(APOIO_REDES!$A:$W,MATCH($C16&amp;$I16&amp;$H16&amp;$N16&amp;$O16,APOIO_REDES!$W:$W,0),MATCH(AV$5,APOIO_REDES!$5:$5,0)),0)*$AP16,0)</f>
        <v>0.0085650914381443</v>
      </c>
      <c r="AW16" s="153" t="n">
        <f aca="false">IFERROR(IF($N16="VCA",INDEX(APOIO_REDES!$A:$W,MATCH($C16&amp;$I16&amp;$H16&amp;$N16&amp;$O16,APOIO_REDES!$W:$W,0),MATCH(AW$5,APOIO_REDES!$5:$5,0)),0)*$AP16,0)</f>
        <v>4.88930847519166</v>
      </c>
      <c r="AX16" s="153" t="n">
        <f aca="false">IFERROR(IF($N16="VCA",INDEX(APOIO_REDES!$A:$W,MATCH($C16&amp;$I16&amp;$H16&amp;$N16&amp;$O16,APOIO_REDES!$W:$W,0),MATCH(AX$5,APOIO_REDES!$5:$5,0)),0)*$AP16,0)</f>
        <v>0.676666365507702</v>
      </c>
      <c r="AY16" s="153" t="n">
        <f aca="false">IFERROR(IF($N16="VCA",INDEX(APOIO_REDES!$A:$W,MATCH($C16&amp;$I16&amp;$H16&amp;$N16&amp;$O16,APOIO_REDES!$W:$W,0),MATCH(AY$5,APOIO_REDES!$5:$5,0)),0)*$AP16,0)</f>
        <v>1.23779943252637</v>
      </c>
      <c r="AZ16" s="153" t="n">
        <f aca="false">IFERROR(IF($N16="VCA",INDEX(APOIO_REDES!$A:$W,MATCH($C16&amp;$I16&amp;$H16&amp;$N16&amp;$O16,APOIO_REDES!$W:$W,0),MATCH(AZ$5,APOIO_REDES!$5:$5,0)),0)*$AP16,0)</f>
        <v>0.171307864236462</v>
      </c>
      <c r="BA16" s="153" t="n">
        <f aca="false">IFERROR(IF(AND($N16="VCA",$Q16="LINEAR"),INDEX(APOIO_REDES!$A:$W,MATCH($C16&amp;$I16&amp;$H16&amp;$N16&amp;$O16,APOIO_REDES!$W:$W,0),MATCH(BA$5,APOIO_REDES!$5:$5,0)),IF(AND($N16="MND",$Q16="EMBOQUE"),INDEX(APOIO_REDES!$A:$W,MATCH($C16&amp;$I16&amp;$H16&amp;$N16&amp;$O16,APOIO_REDES!$W:$W,0),MATCH(BA$5,APOIO_REDES!$5:$5,0)),0))*$M16/10,0)</f>
        <v>0.648003719741433</v>
      </c>
      <c r="BB16" s="153" t="n">
        <f aca="false">IFERROR(IF($N16="VCA",INDEX(APOIO_REDES!$A:$W,MATCH($C16&amp;$I16&amp;$H16&amp;$N16&amp;$O16,APOIO_REDES!$W:$W,0),MATCH(BB$5,APOIO_REDES!$5:$5,0)),0)*($AI16+$AQ16+$AR16),0)</f>
        <v>2.39331162238371</v>
      </c>
      <c r="BC16" s="153" t="n">
        <f aca="false">IFERROR(IF($N16="VCA",INDEX(APOIO_REDES!$A:$W,MATCH($C16&amp;$I16&amp;$H16&amp;$N16&amp;$O16,APOIO_REDES!$W:$W,0),MATCH(BC$5,APOIO_REDES!$5:$5,0)),0)*($AI16+$AQ16+$AR16),0)</f>
        <v>0.0263263776162909</v>
      </c>
      <c r="BD16" s="153" t="n">
        <f aca="false">IF(AND($N16="VCA",$AF16&gt;=1.25,$AF16&lt;1.5),$M16*$AF16*2,0)</f>
        <v>21.91704</v>
      </c>
      <c r="BE16" s="153" t="n">
        <f aca="false">IF(AND($N16="VCA",$AF16&gt;=1.5,$AF16&lt;3),$M16*$AF16*2,0)</f>
        <v>0</v>
      </c>
      <c r="BF16" s="153" t="n">
        <f aca="false">IF(AND($N16="VCA",$AF16&gt;=3),$M16*$AF16*2,0)</f>
        <v>0</v>
      </c>
      <c r="BG16" s="153" t="n">
        <f aca="false">($BB16+$BC16)*$AK16</f>
        <v>4.5973122</v>
      </c>
      <c r="BH16" s="153" t="n">
        <f aca="false">IF(AND($M16&lt;&gt;"",$N16="VCA",$Q16="LINEAR"),($M16*2)/100,IF(AND($M16&lt;&gt;"",$N16="MND",$Q16="EMBOQUE"),($AN16*2)/100,0))</f>
        <v>0.1608</v>
      </c>
      <c r="BI16" s="153" t="n">
        <f aca="false">IF(AND($M16&lt;&gt;"",$N16="VCA",$Q16="LINEAR"),$M16,IF(AND($M16&lt;&gt;"",$N16="MND",$Q16="EMBOQUE"),$AN16*2,0))</f>
        <v>8.04</v>
      </c>
      <c r="BJ16" s="153" t="n">
        <f aca="false">IF(AND($M16&lt;&gt;"",$N16="VCA",$Q16="LINEAR"),($M16*6.8)/100,IF(AND($M16&lt;&gt;"",$N16="MND",$Q16="EMBOQUE"),($AN16*2*6.8)/100,0))</f>
        <v>0.54672</v>
      </c>
      <c r="BK16" s="153" t="n">
        <f aca="false">IF(AND($M16&lt;&gt;"",$N16="VCA",$Q16="LINEAR"),($M16*2.5)/50,IF(AND($M16&lt;&gt;"",$N16="MND",$Q16="EMBOQUE"),($AN16*2*2.5)/50,0))</f>
        <v>0.402</v>
      </c>
      <c r="BL16" s="157" t="str">
        <f aca="false">K16&amp;J16</f>
        <v>Zona01REDES</v>
      </c>
      <c r="BM16" s="152" t="s">
        <v>1559</v>
      </c>
      <c r="BN16" s="152" t="s">
        <v>1560</v>
      </c>
      <c r="BO16" s="152" t="s">
        <v>1561</v>
      </c>
      <c r="BP16" s="152" t="s">
        <v>1600</v>
      </c>
      <c r="BQ16" s="152" t="s">
        <v>1601</v>
      </c>
      <c r="BR16" s="152" t="s">
        <v>1564</v>
      </c>
      <c r="BS16" s="152" t="n">
        <v>203369.586</v>
      </c>
      <c r="BT16" s="152" t="n">
        <v>8239122.829</v>
      </c>
      <c r="BU16" s="152" t="n">
        <v>203363.029</v>
      </c>
      <c r="BV16" s="152" t="n">
        <v>8239127.49</v>
      </c>
      <c r="BW16" s="152" t="n">
        <v>-15.9093476</v>
      </c>
      <c r="BX16" s="152" t="n">
        <v>-47.770326</v>
      </c>
      <c r="BY16" s="152" t="s">
        <v>1600</v>
      </c>
    </row>
    <row r="17" customFormat="false" ht="13.8" hidden="false" customHeight="false" outlineLevel="0" collapsed="false">
      <c r="A17" s="149" t="n">
        <f aca="false">IF(C17&lt;&gt;"",ROW(A12),"")</f>
        <v>12</v>
      </c>
      <c r="B17" s="150" t="str">
        <f aca="false">HYPERLINK("https://www.google.com/maps/dir/-15.917302,-47.760003/-15.9093459,-47.7702693/data=!4m3!4m2!3e0!5i0")</f>
        <v>https://www.google.com/maps/dir/-15.917302,-47.760003/-15.9093459,-47.7702693/data=!4m3!4m2!3e0!5i0</v>
      </c>
      <c r="C17" s="151" t="s">
        <v>117</v>
      </c>
      <c r="D17" s="152" t="s">
        <v>112</v>
      </c>
      <c r="E17" s="152" t="s">
        <v>113</v>
      </c>
      <c r="F17" s="152" t="s">
        <v>117</v>
      </c>
      <c r="G17" s="152" t="s">
        <v>782</v>
      </c>
      <c r="H17" s="152" t="n">
        <v>63</v>
      </c>
      <c r="I17" s="152" t="s">
        <v>115</v>
      </c>
      <c r="J17" s="152" t="s">
        <v>6</v>
      </c>
      <c r="K17" s="152" t="s">
        <v>1547</v>
      </c>
      <c r="L17" s="152" t="s">
        <v>120</v>
      </c>
      <c r="M17" s="153" t="n">
        <f aca="false">3.81</f>
        <v>3.81</v>
      </c>
      <c r="N17" s="152" t="s">
        <v>1548</v>
      </c>
      <c r="O17" s="152" t="s">
        <v>1549</v>
      </c>
      <c r="P17" s="152" t="s">
        <v>1550</v>
      </c>
      <c r="Q17" s="152" t="s">
        <v>1551</v>
      </c>
      <c r="R17" s="154" t="s">
        <v>1602</v>
      </c>
      <c r="S17" s="154" t="s">
        <v>1553</v>
      </c>
      <c r="T17" s="155" t="s">
        <v>1554</v>
      </c>
      <c r="U17" s="152" t="str">
        <f aca="false">RIGHT(T17,7)</f>
        <v>002/037</v>
      </c>
      <c r="V17" s="152" t="s">
        <v>1555</v>
      </c>
      <c r="W17" s="156" t="n">
        <v>45882</v>
      </c>
      <c r="X17" s="152" t="s">
        <v>1556</v>
      </c>
      <c r="Y17" s="152"/>
      <c r="Z17" s="152" t="s">
        <v>1557</v>
      </c>
      <c r="AA17" s="153" t="n">
        <v>1.9</v>
      </c>
      <c r="AB17" s="151" t="s">
        <v>1603</v>
      </c>
      <c r="AC17" s="151" t="s">
        <v>186</v>
      </c>
      <c r="AD17" s="151" t="str">
        <f aca="false">CONCATENATE($C17,$I17,$H17,$N17,$J17,$K17)</f>
        <v>TUBO PEADPEAD63VCAREDESZona01</v>
      </c>
      <c r="AE17" s="153" t="n">
        <f aca="false">IFERROR(INDEX(APOIO_REDES!$A:$W,MATCH($C17&amp;$I17&amp;$H17&amp;$N17&amp;$O17,APOIO_REDES!$W:$W,0),MATCH(AE$5,APOIO_REDES!$5:$5,0)),0)</f>
        <v>1.2</v>
      </c>
      <c r="AF17" s="153" t="n">
        <f aca="false">IFERROR(INDEX(APOIO_REDES!$A:$W,MATCH($C17&amp;$I17&amp;$H17&amp;$N17&amp;$O17,APOIO_REDES!$W:$W,0),MATCH(AF$5,APOIO_REDES!$5:$5,0)),0)</f>
        <v>1.363</v>
      </c>
      <c r="AG17" s="153" t="n">
        <f aca="false">IFERROR(INDEX(APOIO_REDES!$A:$W,MATCH($C17&amp;$I17&amp;$H17&amp;$N17&amp;$O17,APOIO_REDES!$W:$W,0),MATCH(AG$5,APOIO_REDES!$5:$5,0)),0)</f>
        <v>0.65</v>
      </c>
      <c r="AH17" s="153" t="n">
        <f aca="false">IFERROR(INDEX(APOIO_REDES!$A:$W,MATCH($C17&amp;$I17&amp;$H17&amp;$N17&amp;$O17,APOIO_REDES!$W:$W,0),MATCH(AH$5,APOIO_REDES!$5:$5,0)),0)</f>
        <v>0.1</v>
      </c>
      <c r="AI17" s="153" t="n">
        <f aca="false">IFERROR(IF($H17&lt;&gt;"",(((($H17/1000)/2)^2)*PI()*$M17),0),0)</f>
        <v>0.0118767046330982</v>
      </c>
      <c r="AJ17" s="153" t="n">
        <f aca="false">IFERROR(IF(AND($H17&lt;&gt;"",$I17="FoFo",OR($N17="MND",$N17="VCA"),$Q17="LINEAR"),0,IF(AND($H17&lt;&gt;"",$I17="PEAD",$N17="VCA",$Q17="LINEAR"),($H17/1000)+0.3,IF(AND($H17&lt;&gt;"",$I17="PEAD",$N17="MND",$Q17="EMBOQUE"),0,IF(AND($H17&lt;&gt;"",$I17="PVC",$N17="VCA",$Q17="LINEAR"),($H17/1000)+0.2,IF(AND($H17&lt;&gt;"",$I17="PVC",$N17="MND",$Q17="EMBOQUE"),0,IF(AND($H17&lt;&gt;"",$I17="PEAD",$N17="VCA",$Q17="PREDIAL"),0,0)))))),0)</f>
        <v>0.363</v>
      </c>
      <c r="AK17" s="153" t="n">
        <f aca="false">IF(AA17&lt;&gt;"",AA17,0)</f>
        <v>1.9</v>
      </c>
      <c r="AL17" s="153" t="n">
        <f aca="false">IF(AND($N17="MND",$Q17="EMBOQUE"),$M17,IF(AND($N17="VCA",$Q17="LINEAR"),$M17,IF(AND($N17="VCA",$Q17="PREDIAL"),0,0)))</f>
        <v>3.81</v>
      </c>
      <c r="AM17" s="153" t="n">
        <f aca="false">IF(AND($N17="MND",$Q17="EMBOQUE"),$M17,IF(AND($N17="VCA",$Q17="LINEAR"),$M17,IF(AND($N17="VCA",$Q17="PREDIAL"),0,0)))</f>
        <v>3.81</v>
      </c>
      <c r="AN17" s="153" t="n">
        <f aca="false">ROUND(IF(AND($N17="VCA",$M17&lt;&gt;"",$Q17="LINEAR"),$M17/100,IF(AND($N17="MND",$M17&gt;100,$Q17="EMBOQUE"),$M17/100,0)),0)</f>
        <v>0</v>
      </c>
      <c r="AO17" s="153" t="n">
        <f aca="false">IF(AND($N17="MND",$Q17="EMBOQUE"),$AN17*2*2,IF(AND($N17="VCA",$Q17="LINEAR"),$M17*2,IF(AND($N17="VCA",$Q17="PREDIAL"),0,0)))</f>
        <v>7.62</v>
      </c>
      <c r="AP17" s="153" t="n">
        <f aca="false">IFERROR($M17*$AF17*$AG17,0)</f>
        <v>3.3754695</v>
      </c>
      <c r="AQ17" s="153" t="n">
        <f aca="false">IFERROR(IF(AND($N17="VCA",$AH17&gt;0),$M17*$AG17*$AH17,0),0)</f>
        <v>0.24765</v>
      </c>
      <c r="AR17" s="153" t="n">
        <f aca="false">IFERROR(IF(AND($N17="VCA",$AJ17&gt;0),($M17*$AG17*$AJ17)-$AI17,0),0)</f>
        <v>0.887092795366902</v>
      </c>
      <c r="AS17" s="153" t="n">
        <f aca="false">IFERROR(IF(AND($N17="VCA",$AP17&gt;0),$AP17-$AI17-$AQ17-$AR17,0),0)</f>
        <v>2.22885</v>
      </c>
      <c r="AT17" s="153" t="n">
        <f aca="false">IFERROR(IF($N17="VCA",INDEX(APOIO_REDES!$A:$W,MATCH($C17&amp;$I17&amp;$H17&amp;$N17&amp;$O17,APOIO_REDES!$W:$W,0),MATCH(AT$5,APOIO_REDES!$5:$5,0)),0)*$AP17,0)</f>
        <v>0.0367261072479737</v>
      </c>
      <c r="AU17" s="153" t="n">
        <f aca="false">IFERROR(IF($N17="VCA",INDEX(APOIO_REDES!$A:$W,MATCH($C17&amp;$I17&amp;$H17&amp;$N17&amp;$O17,APOIO_REDES!$W:$W,0),MATCH(AU$5,APOIO_REDES!$5:$5,0)),0)*$AP17,0)</f>
        <v>0.0293284745791031</v>
      </c>
      <c r="AV17" s="153" t="n">
        <f aca="false">IFERROR(IF($N17="VCA",INDEX(APOIO_REDES!$A:$W,MATCH($C17&amp;$I17&amp;$H17&amp;$N17&amp;$O17,APOIO_REDES!$W:$W,0),MATCH(AV$5,APOIO_REDES!$5:$5,0)),0)*$AP17,0)</f>
        <v>0.00405883064419525</v>
      </c>
      <c r="AW17" s="153" t="n">
        <f aca="false">IFERROR(IF($N17="VCA",INDEX(APOIO_REDES!$A:$W,MATCH($C17&amp;$I17&amp;$H17&amp;$N17&amp;$O17,APOIO_REDES!$W:$W,0),MATCH(AW$5,APOIO_REDES!$5:$5,0)),0)*$AP17,0)</f>
        <v>2.31694841921396</v>
      </c>
      <c r="AX17" s="153" t="n">
        <f aca="false">IFERROR(IF($N17="VCA",INDEX(APOIO_REDES!$A:$W,MATCH($C17&amp;$I17&amp;$H17&amp;$N17&amp;$O17,APOIO_REDES!$W:$W,0),MATCH(AX$5,APOIO_REDES!$5:$5,0)),0)*$AP17,0)</f>
        <v>0.32065906126671</v>
      </c>
      <c r="AY17" s="153" t="n">
        <f aca="false">IFERROR(IF($N17="VCA",INDEX(APOIO_REDES!$A:$W,MATCH($C17&amp;$I17&amp;$H17&amp;$N17&amp;$O17,APOIO_REDES!$W:$W,0),MATCH(AY$5,APOIO_REDES!$5:$5,0)),0)*$AP17,0)</f>
        <v>0.586569134070334</v>
      </c>
      <c r="AZ17" s="153" t="n">
        <f aca="false">IFERROR(IF($N17="VCA",INDEX(APOIO_REDES!$A:$W,MATCH($C17&amp;$I17&amp;$H17&amp;$N17&amp;$O17,APOIO_REDES!$W:$W,0),MATCH(AZ$5,APOIO_REDES!$5:$5,0)),0)*$AP17,0)</f>
        <v>0.0811794729777263</v>
      </c>
      <c r="BA17" s="153" t="n">
        <f aca="false">IFERROR(IF(AND($N17="VCA",$Q17="LINEAR"),INDEX(APOIO_REDES!$A:$W,MATCH($C17&amp;$I17&amp;$H17&amp;$N17&amp;$O17,APOIO_REDES!$W:$W,0),MATCH(BA$5,APOIO_REDES!$5:$5,0)),IF(AND($N17="MND",$Q17="EMBOQUE"),INDEX(APOIO_REDES!$A:$W,MATCH($C17&amp;$I17&amp;$H17&amp;$N17&amp;$O17,APOIO_REDES!$W:$W,0),MATCH(BA$5,APOIO_REDES!$5:$5,0)),0))*$M17/10,0)</f>
        <v>0.307076389578963</v>
      </c>
      <c r="BB17" s="153" t="n">
        <f aca="false">IFERROR(IF($N17="VCA",INDEX(APOIO_REDES!$A:$W,MATCH($C17&amp;$I17&amp;$H17&amp;$N17&amp;$O17,APOIO_REDES!$W:$W,0),MATCH(BB$5,APOIO_REDES!$5:$5,0)),0)*($AI17+$AQ17+$AR17),0)</f>
        <v>1.13414394045795</v>
      </c>
      <c r="BC17" s="153" t="n">
        <f aca="false">IFERROR(IF($N17="VCA",INDEX(APOIO_REDES!$A:$W,MATCH($C17&amp;$I17&amp;$H17&amp;$N17&amp;$O17,APOIO_REDES!$W:$W,0),MATCH(BC$5,APOIO_REDES!$5:$5,0)),0)*($AI17+$AQ17+$AR17),0)</f>
        <v>0.0124755595420483</v>
      </c>
      <c r="BD17" s="153" t="n">
        <f aca="false">IF(AND($N17="VCA",$AF17&gt;=1.25,$AF17&lt;1.5),$M17*$AF17*2,0)</f>
        <v>10.38606</v>
      </c>
      <c r="BE17" s="153" t="n">
        <f aca="false">IF(AND($N17="VCA",$AF17&gt;=1.5,$AF17&lt;3),$M17*$AF17*2,0)</f>
        <v>0</v>
      </c>
      <c r="BF17" s="153" t="n">
        <f aca="false">IF(AND($N17="VCA",$AF17&gt;=3),$M17*$AF17*2,0)</f>
        <v>0</v>
      </c>
      <c r="BG17" s="153" t="n">
        <f aca="false">($BB17+$BC17)*$AK17</f>
        <v>2.17857705</v>
      </c>
      <c r="BH17" s="153" t="n">
        <f aca="false">IF(AND($M17&lt;&gt;"",$N17="VCA",$Q17="LINEAR"),($M17*2)/100,IF(AND($M17&lt;&gt;"",$N17="MND",$Q17="EMBOQUE"),($AN17*2)/100,0))</f>
        <v>0.0762</v>
      </c>
      <c r="BI17" s="153" t="n">
        <f aca="false">IF(AND($M17&lt;&gt;"",$N17="VCA",$Q17="LINEAR"),$M17,IF(AND($M17&lt;&gt;"",$N17="MND",$Q17="EMBOQUE"),$AN17*2,0))</f>
        <v>3.81</v>
      </c>
      <c r="BJ17" s="153" t="n">
        <f aca="false">IF(AND($M17&lt;&gt;"",$N17="VCA",$Q17="LINEAR"),($M17*6.8)/100,IF(AND($M17&lt;&gt;"",$N17="MND",$Q17="EMBOQUE"),($AN17*2*6.8)/100,0))</f>
        <v>0.25908</v>
      </c>
      <c r="BK17" s="153" t="n">
        <f aca="false">IF(AND($M17&lt;&gt;"",$N17="VCA",$Q17="LINEAR"),($M17*2.5)/50,IF(AND($M17&lt;&gt;"",$N17="MND",$Q17="EMBOQUE"),($AN17*2*2.5)/50,0))</f>
        <v>0.1905</v>
      </c>
      <c r="BL17" s="157" t="str">
        <f aca="false">K17&amp;J17</f>
        <v>Zona01REDES</v>
      </c>
      <c r="BM17" s="152" t="s">
        <v>1559</v>
      </c>
      <c r="BN17" s="152" t="s">
        <v>1560</v>
      </c>
      <c r="BO17" s="152" t="s">
        <v>1561</v>
      </c>
      <c r="BP17" s="152" t="s">
        <v>1587</v>
      </c>
      <c r="BQ17" s="152" t="s">
        <v>1600</v>
      </c>
      <c r="BR17" s="152" t="s">
        <v>1564</v>
      </c>
      <c r="BS17" s="152" t="n">
        <v>203372.302</v>
      </c>
      <c r="BT17" s="152" t="n">
        <v>8239125.507</v>
      </c>
      <c r="BU17" s="152" t="n">
        <v>203369.586</v>
      </c>
      <c r="BV17" s="152" t="n">
        <v>8239122.829</v>
      </c>
      <c r="BW17" s="152" t="n">
        <v>-15.9093572</v>
      </c>
      <c r="BX17" s="152" t="n">
        <v>-47.7702829</v>
      </c>
      <c r="BY17" s="152" t="s">
        <v>1587</v>
      </c>
    </row>
    <row r="18" customFormat="false" ht="13.8" hidden="false" customHeight="false" outlineLevel="0" collapsed="false">
      <c r="A18" s="149" t="n">
        <f aca="false">IF(C18&lt;&gt;"",ROW(A13),"")</f>
        <v>13</v>
      </c>
      <c r="B18" s="150" t="str">
        <f aca="false">HYPERLINK("https://www.google.com/maps/dir/-15.917302,-47.760003/-15.9094223,-47.7692309/data=!4m3!4m2!3e0!5i1")</f>
        <v>https://www.google.com/maps/dir/-15.917302,-47.760003/-15.9094223,-47.7692309/data=!4m3!4m2!3e0!5i1</v>
      </c>
      <c r="C18" s="151" t="s">
        <v>117</v>
      </c>
      <c r="D18" s="152" t="s">
        <v>112</v>
      </c>
      <c r="E18" s="152" t="s">
        <v>113</v>
      </c>
      <c r="F18" s="152" t="s">
        <v>117</v>
      </c>
      <c r="G18" s="152" t="s">
        <v>782</v>
      </c>
      <c r="H18" s="152" t="n">
        <v>63</v>
      </c>
      <c r="I18" s="152" t="s">
        <v>115</v>
      </c>
      <c r="J18" s="152" t="s">
        <v>6</v>
      </c>
      <c r="K18" s="152" t="s">
        <v>1547</v>
      </c>
      <c r="L18" s="152" t="s">
        <v>120</v>
      </c>
      <c r="M18" s="153" t="n">
        <f aca="false">103.9</f>
        <v>103.9</v>
      </c>
      <c r="N18" s="152" t="s">
        <v>1548</v>
      </c>
      <c r="O18" s="152" t="s">
        <v>1549</v>
      </c>
      <c r="P18" s="152" t="s">
        <v>1550</v>
      </c>
      <c r="Q18" s="152" t="s">
        <v>1551</v>
      </c>
      <c r="R18" s="154" t="s">
        <v>1604</v>
      </c>
      <c r="S18" s="154" t="s">
        <v>1553</v>
      </c>
      <c r="T18" s="155" t="s">
        <v>1554</v>
      </c>
      <c r="U18" s="152" t="str">
        <f aca="false">RIGHT(T18,7)</f>
        <v>002/037</v>
      </c>
      <c r="V18" s="152" t="s">
        <v>1555</v>
      </c>
      <c r="W18" s="156" t="n">
        <v>45882</v>
      </c>
      <c r="X18" s="152" t="s">
        <v>1556</v>
      </c>
      <c r="Y18" s="152"/>
      <c r="Z18" s="152" t="s">
        <v>1557</v>
      </c>
      <c r="AA18" s="153" t="n">
        <v>1.8</v>
      </c>
      <c r="AB18" s="151" t="s">
        <v>1605</v>
      </c>
      <c r="AC18" s="151" t="s">
        <v>186</v>
      </c>
      <c r="AD18" s="151" t="str">
        <f aca="false">CONCATENATE($C18,$I18,$H18,$N18,$J18,$K18)</f>
        <v>TUBO PEADPEAD63VCAREDESZona01</v>
      </c>
      <c r="AE18" s="153" t="n">
        <f aca="false">IFERROR(INDEX(APOIO_REDES!$A:$W,MATCH($C18&amp;$I18&amp;$H18&amp;$N18&amp;$O18,APOIO_REDES!$W:$W,0),MATCH(AE$5,APOIO_REDES!$5:$5,0)),0)</f>
        <v>1.2</v>
      </c>
      <c r="AF18" s="153" t="n">
        <f aca="false">IFERROR(INDEX(APOIO_REDES!$A:$W,MATCH($C18&amp;$I18&amp;$H18&amp;$N18&amp;$O18,APOIO_REDES!$W:$W,0),MATCH(AF$5,APOIO_REDES!$5:$5,0)),0)</f>
        <v>1.363</v>
      </c>
      <c r="AG18" s="153" t="n">
        <f aca="false">IFERROR(INDEX(APOIO_REDES!$A:$W,MATCH($C18&amp;$I18&amp;$H18&amp;$N18&amp;$O18,APOIO_REDES!$W:$W,0),MATCH(AG$5,APOIO_REDES!$5:$5,0)),0)</f>
        <v>0.65</v>
      </c>
      <c r="AH18" s="153" t="n">
        <f aca="false">IFERROR(INDEX(APOIO_REDES!$A:$W,MATCH($C18&amp;$I18&amp;$H18&amp;$N18&amp;$O18,APOIO_REDES!$W:$W,0),MATCH(AH$5,APOIO_REDES!$5:$5,0)),0)</f>
        <v>0.1</v>
      </c>
      <c r="AI18" s="153" t="n">
        <f aca="false">IFERROR(IF($H18&lt;&gt;"",(((($H18/1000)/2)^2)*PI()*$M18),0),0)</f>
        <v>0.323881787763493</v>
      </c>
      <c r="AJ18" s="153" t="n">
        <f aca="false">IFERROR(IF(AND($H18&lt;&gt;"",$I18="FoFo",OR($N18="MND",$N18="VCA"),$Q18="LINEAR"),0,IF(AND($H18&lt;&gt;"",$I18="PEAD",$N18="VCA",$Q18="LINEAR"),($H18/1000)+0.3,IF(AND($H18&lt;&gt;"",$I18="PEAD",$N18="MND",$Q18="EMBOQUE"),0,IF(AND($H18&lt;&gt;"",$I18="PVC",$N18="VCA",$Q18="LINEAR"),($H18/1000)+0.2,IF(AND($H18&lt;&gt;"",$I18="PVC",$N18="MND",$Q18="EMBOQUE"),0,IF(AND($H18&lt;&gt;"",$I18="PEAD",$N18="VCA",$Q18="PREDIAL"),0,0)))))),0)</f>
        <v>0.363</v>
      </c>
      <c r="AK18" s="153" t="n">
        <f aca="false">IF(AA18&lt;&gt;"",AA18,0)</f>
        <v>1.8</v>
      </c>
      <c r="AL18" s="153" t="n">
        <f aca="false">IF(AND($N18="MND",$Q18="EMBOQUE"),$M18,IF(AND($N18="VCA",$Q18="LINEAR"),$M18,IF(AND($N18="VCA",$Q18="PREDIAL"),0,0)))</f>
        <v>103.9</v>
      </c>
      <c r="AM18" s="153" t="n">
        <f aca="false">IF(AND($N18="MND",$Q18="EMBOQUE"),$M18,IF(AND($N18="VCA",$Q18="LINEAR"),$M18,IF(AND($N18="VCA",$Q18="PREDIAL"),0,0)))</f>
        <v>103.9</v>
      </c>
      <c r="AN18" s="153" t="n">
        <f aca="false">ROUND(IF(AND($N18="VCA",$M18&lt;&gt;"",$Q18="LINEAR"),$M18/100,IF(AND($N18="MND",$M18&gt;100,$Q18="EMBOQUE"),$M18/100,0)),0)</f>
        <v>1</v>
      </c>
      <c r="AO18" s="153" t="n">
        <f aca="false">IF(AND($N18="MND",$Q18="EMBOQUE"),$AN18*2*2,IF(AND($N18="VCA",$Q18="LINEAR"),$M18*2,IF(AND($N18="VCA",$Q18="PREDIAL"),0,0)))</f>
        <v>207.8</v>
      </c>
      <c r="AP18" s="153" t="n">
        <f aca="false">IFERROR($M18*$AF18*$AG18,0)</f>
        <v>92.050205</v>
      </c>
      <c r="AQ18" s="153" t="n">
        <f aca="false">IFERROR(IF(AND($N18="VCA",$AH18&gt;0),$M18*$AG18*$AH18,0),0)</f>
        <v>6.7535</v>
      </c>
      <c r="AR18" s="153" t="n">
        <f aca="false">IFERROR(IF(AND($N18="VCA",$AJ18&gt;0),($M18*$AG18*$AJ18)-$AI18,0),0)</f>
        <v>24.1913232122365</v>
      </c>
      <c r="AS18" s="153" t="n">
        <f aca="false">IFERROR(IF(AND($N18="VCA",$AP18&gt;0),$AP18-$AI18-$AQ18-$AR18,0),0)</f>
        <v>60.7815</v>
      </c>
      <c r="AT18" s="153" t="n">
        <f aca="false">IFERROR(IF($N18="VCA",INDEX(APOIO_REDES!$A:$W,MATCH($C18&amp;$I18&amp;$H18&amp;$N18&amp;$O18,APOIO_REDES!$W:$W,0),MATCH(AT$5,APOIO_REDES!$5:$5,0)),0)*$AP18,0)</f>
        <v>1.00153347586994</v>
      </c>
      <c r="AU18" s="153" t="n">
        <f aca="false">IFERROR(IF($N18="VCA",INDEX(APOIO_REDES!$A:$W,MATCH($C18&amp;$I18&amp;$H18&amp;$N18&amp;$O18,APOIO_REDES!$W:$W,0),MATCH(AU$5,APOIO_REDES!$5:$5,0)),0)*$AP18,0)</f>
        <v>0.799797508863204</v>
      </c>
      <c r="AV18" s="153" t="n">
        <f aca="false">IFERROR(IF($N18="VCA",INDEX(APOIO_REDES!$A:$W,MATCH($C18&amp;$I18&amp;$H18&amp;$N18&amp;$O18,APOIO_REDES!$W:$W,0),MATCH(AV$5,APOIO_REDES!$5:$5,0)),0)*$AP18,0)</f>
        <v>0.110685696570049</v>
      </c>
      <c r="AW18" s="153" t="n">
        <f aca="false">IFERROR(IF($N18="VCA",INDEX(APOIO_REDES!$A:$W,MATCH($C18&amp;$I18&amp;$H18&amp;$N18&amp;$O18,APOIO_REDES!$W:$W,0),MATCH(AW$5,APOIO_REDES!$5:$5,0)),0)*$AP18,0)</f>
        <v>63.1839739517927</v>
      </c>
      <c r="AX18" s="153" t="n">
        <f aca="false">IFERROR(IF($N18="VCA",INDEX(APOIO_REDES!$A:$W,MATCH($C18&amp;$I18&amp;$H18&amp;$N18&amp;$O18,APOIO_REDES!$W:$W,0),MATCH(AX$5,APOIO_REDES!$5:$5,0)),0)*$AP18,0)</f>
        <v>8.74448201197143</v>
      </c>
      <c r="AY18" s="153" t="n">
        <f aca="false">IFERROR(IF($N18="VCA",INDEX(APOIO_REDES!$A:$W,MATCH($C18&amp;$I18&amp;$H18&amp;$N18&amp;$O18,APOIO_REDES!$W:$W,0),MATCH(AY$5,APOIO_REDES!$5:$5,0)),0)*$AP18,0)</f>
        <v>15.9959404277973</v>
      </c>
      <c r="AZ18" s="153" t="n">
        <f aca="false">IFERROR(IF($N18="VCA",INDEX(APOIO_REDES!$A:$W,MATCH($C18&amp;$I18&amp;$H18&amp;$N18&amp;$O18,APOIO_REDES!$W:$W,0),MATCH(AZ$5,APOIO_REDES!$5:$5,0)),0)*$AP18,0)</f>
        <v>2.21379192713537</v>
      </c>
      <c r="BA18" s="153" t="n">
        <f aca="false">IFERROR(IF(AND($N18="VCA",$Q18="LINEAR"),INDEX(APOIO_REDES!$A:$W,MATCH($C18&amp;$I18&amp;$H18&amp;$N18&amp;$O18,APOIO_REDES!$W:$W,0),MATCH(BA$5,APOIO_REDES!$5:$5,0)),IF(AND($N18="MND",$Q18="EMBOQUE"),INDEX(APOIO_REDES!$A:$W,MATCH($C18&amp;$I18&amp;$H18&amp;$N18&amp;$O18,APOIO_REDES!$W:$W,0),MATCH(BA$5,APOIO_REDES!$5:$5,0)),0))*$M18/10,0)</f>
        <v>8.37407792053917</v>
      </c>
      <c r="BB18" s="153" t="n">
        <f aca="false">IFERROR(IF($N18="VCA",INDEX(APOIO_REDES!$A:$W,MATCH($C18&amp;$I18&amp;$H18&amp;$N18&amp;$O18,APOIO_REDES!$W:$W,0),MATCH(BB$5,APOIO_REDES!$5:$5,0)),0)*($AI18+$AQ18+$AR18),0)</f>
        <v>30.9284922345358</v>
      </c>
      <c r="BC18" s="153" t="n">
        <f aca="false">IFERROR(IF($N18="VCA",INDEX(APOIO_REDES!$A:$W,MATCH($C18&amp;$I18&amp;$H18&amp;$N18&amp;$O18,APOIO_REDES!$W:$W,0),MATCH(BC$5,APOIO_REDES!$5:$5,0)),0)*($AI18+$AQ18+$AR18),0)</f>
        <v>0.340212765464256</v>
      </c>
      <c r="BD18" s="153" t="n">
        <f aca="false">IF(AND($N18="VCA",$AF18&gt;=1.25,$AF18&lt;1.5),$M18*$AF18*2,0)</f>
        <v>283.2314</v>
      </c>
      <c r="BE18" s="153" t="n">
        <f aca="false">IF(AND($N18="VCA",$AF18&gt;=1.5,$AF18&lt;3),$M18*$AF18*2,0)</f>
        <v>0</v>
      </c>
      <c r="BF18" s="153" t="n">
        <f aca="false">IF(AND($N18="VCA",$AF18&gt;=3),$M18*$AF18*2,0)</f>
        <v>0</v>
      </c>
      <c r="BG18" s="153" t="n">
        <f aca="false">($BB18+$BC18)*$AK18</f>
        <v>56.283669</v>
      </c>
      <c r="BH18" s="153" t="n">
        <f aca="false">IF(AND($M18&lt;&gt;"",$N18="VCA",$Q18="LINEAR"),($M18*2)/100,IF(AND($M18&lt;&gt;"",$N18="MND",$Q18="EMBOQUE"),($AN18*2)/100,0))</f>
        <v>2.078</v>
      </c>
      <c r="BI18" s="153" t="n">
        <f aca="false">IF(AND($M18&lt;&gt;"",$N18="VCA",$Q18="LINEAR"),$M18,IF(AND($M18&lt;&gt;"",$N18="MND",$Q18="EMBOQUE"),$AN18*2,0))</f>
        <v>103.9</v>
      </c>
      <c r="BJ18" s="153" t="n">
        <f aca="false">IF(AND($M18&lt;&gt;"",$N18="VCA",$Q18="LINEAR"),($M18*6.8)/100,IF(AND($M18&lt;&gt;"",$N18="MND",$Q18="EMBOQUE"),($AN18*2*6.8)/100,0))</f>
        <v>7.0652</v>
      </c>
      <c r="BK18" s="153" t="n">
        <f aca="false">IF(AND($M18&lt;&gt;"",$N18="VCA",$Q18="LINEAR"),($M18*2.5)/50,IF(AND($M18&lt;&gt;"",$N18="MND",$Q18="EMBOQUE"),($AN18*2*2.5)/50,0))</f>
        <v>5.195</v>
      </c>
      <c r="BL18" s="157" t="str">
        <f aca="false">K18&amp;J18</f>
        <v>Zona01REDES</v>
      </c>
      <c r="BM18" s="152" t="s">
        <v>1559</v>
      </c>
      <c r="BN18" s="152" t="s">
        <v>1560</v>
      </c>
      <c r="BO18" s="152" t="s">
        <v>1561</v>
      </c>
      <c r="BP18" s="152" t="s">
        <v>1579</v>
      </c>
      <c r="BQ18" s="152" t="s">
        <v>1576</v>
      </c>
      <c r="BR18" s="152" t="s">
        <v>1606</v>
      </c>
      <c r="BS18" s="152" t="n">
        <v>203483.756</v>
      </c>
      <c r="BT18" s="152" t="n">
        <v>8239118.448</v>
      </c>
      <c r="BU18" s="152" t="n">
        <v>203404.083</v>
      </c>
      <c r="BV18" s="152" t="n">
        <v>8239156.688</v>
      </c>
      <c r="BW18" s="152" t="n">
        <v>-15.9093748</v>
      </c>
      <c r="BX18" s="152" t="n">
        <v>-47.7696049</v>
      </c>
      <c r="BY18" s="152" t="s">
        <v>1579</v>
      </c>
    </row>
    <row r="19" customFormat="false" ht="13.8" hidden="false" customHeight="false" outlineLevel="0" collapsed="false">
      <c r="A19" s="149" t="n">
        <f aca="false">IF(C19&lt;&gt;"",ROW(A14),"")</f>
        <v>14</v>
      </c>
      <c r="B19" s="150" t="str">
        <f aca="false">HYPERLINK("https://www.google.com/maps/dir/-15.917302,-47.760003/-15.9093262,-47.7703563/data=!4m3!4m2!3e0!5i0")</f>
        <v>https://www.google.com/maps/dir/-15.917302,-47.760003/-15.9093262,-47.7703563/data=!4m3!4m2!3e0!5i0</v>
      </c>
      <c r="C19" s="151" t="s">
        <v>117</v>
      </c>
      <c r="D19" s="152" t="s">
        <v>112</v>
      </c>
      <c r="E19" s="152" t="s">
        <v>113</v>
      </c>
      <c r="F19" s="152" t="s">
        <v>117</v>
      </c>
      <c r="G19" s="152" t="s">
        <v>782</v>
      </c>
      <c r="H19" s="152" t="n">
        <v>63</v>
      </c>
      <c r="I19" s="152" t="s">
        <v>115</v>
      </c>
      <c r="J19" s="152" t="s">
        <v>6</v>
      </c>
      <c r="K19" s="152" t="s">
        <v>1547</v>
      </c>
      <c r="L19" s="152" t="s">
        <v>120</v>
      </c>
      <c r="M19" s="153" t="n">
        <f aca="false">28.61</f>
        <v>28.61</v>
      </c>
      <c r="N19" s="152" t="s">
        <v>1548</v>
      </c>
      <c r="O19" s="152" t="s">
        <v>1549</v>
      </c>
      <c r="P19" s="152" t="s">
        <v>1550</v>
      </c>
      <c r="Q19" s="152" t="s">
        <v>1551</v>
      </c>
      <c r="R19" s="154" t="s">
        <v>1607</v>
      </c>
      <c r="S19" s="154" t="s">
        <v>1553</v>
      </c>
      <c r="T19" s="155" t="s">
        <v>1554</v>
      </c>
      <c r="U19" s="152" t="str">
        <f aca="false">RIGHT(T19,7)</f>
        <v>002/037</v>
      </c>
      <c r="V19" s="152" t="s">
        <v>1555</v>
      </c>
      <c r="W19" s="156" t="n">
        <v>45882</v>
      </c>
      <c r="X19" s="152" t="s">
        <v>1556</v>
      </c>
      <c r="Y19" s="152"/>
      <c r="Z19" s="152" t="s">
        <v>1557</v>
      </c>
      <c r="AA19" s="153" t="n">
        <v>1.9</v>
      </c>
      <c r="AB19" s="151" t="s">
        <v>1608</v>
      </c>
      <c r="AC19" s="151" t="s">
        <v>186</v>
      </c>
      <c r="AD19" s="151" t="str">
        <f aca="false">CONCATENATE($C19,$I19,$H19,$N19,$J19,$K19)</f>
        <v>TUBO PEADPEAD63VCAREDESZona01</v>
      </c>
      <c r="AE19" s="153" t="n">
        <f aca="false">IFERROR(INDEX(APOIO_REDES!$A:$W,MATCH($C19&amp;$I19&amp;$H19&amp;$N19&amp;$O19,APOIO_REDES!$W:$W,0),MATCH(AE$5,APOIO_REDES!$5:$5,0)),0)</f>
        <v>1.2</v>
      </c>
      <c r="AF19" s="153" t="n">
        <f aca="false">IFERROR(INDEX(APOIO_REDES!$A:$W,MATCH($C19&amp;$I19&amp;$H19&amp;$N19&amp;$O19,APOIO_REDES!$W:$W,0),MATCH(AF$5,APOIO_REDES!$5:$5,0)),0)</f>
        <v>1.363</v>
      </c>
      <c r="AG19" s="153" t="n">
        <f aca="false">IFERROR(INDEX(APOIO_REDES!$A:$W,MATCH($C19&amp;$I19&amp;$H19&amp;$N19&amp;$O19,APOIO_REDES!$W:$W,0),MATCH(AG$5,APOIO_REDES!$5:$5,0)),0)</f>
        <v>0.65</v>
      </c>
      <c r="AH19" s="153" t="n">
        <f aca="false">IFERROR(INDEX(APOIO_REDES!$A:$W,MATCH($C19&amp;$I19&amp;$H19&amp;$N19&amp;$O19,APOIO_REDES!$W:$W,0),MATCH(AH$5,APOIO_REDES!$5:$5,0)),0)</f>
        <v>0.1</v>
      </c>
      <c r="AI19" s="153" t="n">
        <f aca="false">IFERROR(IF($H19&lt;&gt;"",(((($H19/1000)/2)^2)*PI()*$M19),0),0)</f>
        <v>0.0891843883341052</v>
      </c>
      <c r="AJ19" s="153" t="n">
        <f aca="false">IFERROR(IF(AND($H19&lt;&gt;"",$I19="FoFo",OR($N19="MND",$N19="VCA"),$Q19="LINEAR"),0,IF(AND($H19&lt;&gt;"",$I19="PEAD",$N19="VCA",$Q19="LINEAR"),($H19/1000)+0.3,IF(AND($H19&lt;&gt;"",$I19="PEAD",$N19="MND",$Q19="EMBOQUE"),0,IF(AND($H19&lt;&gt;"",$I19="PVC",$N19="VCA",$Q19="LINEAR"),($H19/1000)+0.2,IF(AND($H19&lt;&gt;"",$I19="PVC",$N19="MND",$Q19="EMBOQUE"),0,IF(AND($H19&lt;&gt;"",$I19="PEAD",$N19="VCA",$Q19="PREDIAL"),0,0)))))),0)</f>
        <v>0.363</v>
      </c>
      <c r="AK19" s="153" t="n">
        <f aca="false">IF(AA19&lt;&gt;"",AA19,0)</f>
        <v>1.9</v>
      </c>
      <c r="AL19" s="153" t="n">
        <f aca="false">IF(AND($N19="MND",$Q19="EMBOQUE"),$M19,IF(AND($N19="VCA",$Q19="LINEAR"),$M19,IF(AND($N19="VCA",$Q19="PREDIAL"),0,0)))</f>
        <v>28.61</v>
      </c>
      <c r="AM19" s="153" t="n">
        <f aca="false">IF(AND($N19="MND",$Q19="EMBOQUE"),$M19,IF(AND($N19="VCA",$Q19="LINEAR"),$M19,IF(AND($N19="VCA",$Q19="PREDIAL"),0,0)))</f>
        <v>28.61</v>
      </c>
      <c r="AN19" s="153" t="n">
        <f aca="false">ROUND(IF(AND($N19="VCA",$M19&lt;&gt;"",$Q19="LINEAR"),$M19/100,IF(AND($N19="MND",$M19&gt;100,$Q19="EMBOQUE"),$M19/100,0)),0)</f>
        <v>0</v>
      </c>
      <c r="AO19" s="153" t="n">
        <f aca="false">IF(AND($N19="MND",$Q19="EMBOQUE"),$AN19*2*2,IF(AND($N19="VCA",$Q19="LINEAR"),$M19*2,IF(AND($N19="VCA",$Q19="PREDIAL"),0,0)))</f>
        <v>57.22</v>
      </c>
      <c r="AP19" s="153" t="n">
        <f aca="false">IFERROR($M19*$AF19*$AG19,0)</f>
        <v>25.3470295</v>
      </c>
      <c r="AQ19" s="153" t="n">
        <f aca="false">IFERROR(IF(AND($N19="VCA",$AH19&gt;0),$M19*$AG19*$AH19,0),0)</f>
        <v>1.85965</v>
      </c>
      <c r="AR19" s="153" t="n">
        <f aca="false">IFERROR(IF(AND($N19="VCA",$AJ19&gt;0),($M19*$AG19*$AJ19)-$AI19,0),0)</f>
        <v>6.6613451116659</v>
      </c>
      <c r="AS19" s="153" t="n">
        <f aca="false">IFERROR(IF(AND($N19="VCA",$AP19&gt;0),$AP19-$AI19-$AQ19-$AR19,0),0)</f>
        <v>16.73685</v>
      </c>
      <c r="AT19" s="153" t="n">
        <f aca="false">IFERROR(IF($N19="VCA",INDEX(APOIO_REDES!$A:$W,MATCH($C19&amp;$I19&amp;$H19&amp;$N19&amp;$O19,APOIO_REDES!$W:$W,0),MATCH(AT$5,APOIO_REDES!$5:$5,0)),0)*$AP19,0)</f>
        <v>0.275783183297776</v>
      </c>
      <c r="AU19" s="153" t="n">
        <f aca="false">IFERROR(IF($N19="VCA",INDEX(APOIO_REDES!$A:$W,MATCH($C19&amp;$I19&amp;$H19&amp;$N19&amp;$O19,APOIO_REDES!$W:$W,0),MATCH(AU$5,APOIO_REDES!$5:$5,0)),0)*$AP19,0)</f>
        <v>0.220232981025758</v>
      </c>
      <c r="AV19" s="153" t="n">
        <f aca="false">IFERROR(IF($N19="VCA",INDEX(APOIO_REDES!$A:$W,MATCH($C19&amp;$I19&amp;$H19&amp;$N19&amp;$O19,APOIO_REDES!$W:$W,0),MATCH(AV$5,APOIO_REDES!$5:$5,0)),0)*$AP19,0)</f>
        <v>0.0304785156772772</v>
      </c>
      <c r="AW19" s="153" t="n">
        <f aca="false">IFERROR(IF($N19="VCA",INDEX(APOIO_REDES!$A:$W,MATCH($C19&amp;$I19&amp;$H19&amp;$N19&amp;$O19,APOIO_REDES!$W:$W,0),MATCH(AW$5,APOIO_REDES!$5:$5,0)),0)*$AP19,0)</f>
        <v>17.3983974471683</v>
      </c>
      <c r="AX19" s="153" t="n">
        <f aca="false">IFERROR(IF($N19="VCA",INDEX(APOIO_REDES!$A:$W,MATCH($C19&amp;$I19&amp;$H19&amp;$N19&amp;$O19,APOIO_REDES!$W:$W,0),MATCH(AX$5,APOIO_REDES!$5:$5,0)),0)*$AP19,0)</f>
        <v>2.40788864641485</v>
      </c>
      <c r="AY19" s="153" t="n">
        <f aca="false">IFERROR(IF($N19="VCA",INDEX(APOIO_REDES!$A:$W,MATCH($C19&amp;$I19&amp;$H19&amp;$N19&amp;$O19,APOIO_REDES!$W:$W,0),MATCH(AY$5,APOIO_REDES!$5:$5,0)),0)*$AP19,0)</f>
        <v>4.40465693589298</v>
      </c>
      <c r="AZ19" s="153" t="n">
        <f aca="false">IFERROR(IF($N19="VCA",INDEX(APOIO_REDES!$A:$W,MATCH($C19&amp;$I19&amp;$H19&amp;$N19&amp;$O19,APOIO_REDES!$W:$W,0),MATCH(AZ$5,APOIO_REDES!$5:$5,0)),0)*$AP19,0)</f>
        <v>0.609591790523031</v>
      </c>
      <c r="BA19" s="153" t="n">
        <f aca="false">IFERROR(IF(AND($N19="VCA",$Q19="LINEAR"),INDEX(APOIO_REDES!$A:$W,MATCH($C19&amp;$I19&amp;$H19&amp;$N19&amp;$O19,APOIO_REDES!$W:$W,0),MATCH(BA$5,APOIO_REDES!$5:$5,0)),IF(AND($N19="MND",$Q19="EMBOQUE"),INDEX(APOIO_REDES!$A:$W,MATCH($C19&amp;$I19&amp;$H19&amp;$N19&amp;$O19,APOIO_REDES!$W:$W,0),MATCH(BA$5,APOIO_REDES!$5:$5,0)),0))*$M19/10,0)</f>
        <v>2.30589383355751</v>
      </c>
      <c r="BB19" s="153" t="n">
        <f aca="false">IFERROR(IF($N19="VCA",INDEX(APOIO_REDES!$A:$W,MATCH($C19&amp;$I19&amp;$H19&amp;$N19&amp;$O19,APOIO_REDES!$W:$W,0),MATCH(BB$5,APOIO_REDES!$5:$5,0)),0)*($AI19+$AQ19+$AR19),0)</f>
        <v>8.51649819855696</v>
      </c>
      <c r="BC19" s="153" t="n">
        <f aca="false">IFERROR(IF($N19="VCA",INDEX(APOIO_REDES!$A:$W,MATCH($C19&amp;$I19&amp;$H19&amp;$N19&amp;$O19,APOIO_REDES!$W:$W,0),MATCH(BC$5,APOIO_REDES!$5:$5,0)),0)*($AI19+$AQ19+$AR19),0)</f>
        <v>0.093681301443045</v>
      </c>
      <c r="BD19" s="153" t="n">
        <f aca="false">IF(AND($N19="VCA",$AF19&gt;=1.25,$AF19&lt;1.5),$M19*$AF19*2,0)</f>
        <v>77.99086</v>
      </c>
      <c r="BE19" s="153" t="n">
        <f aca="false">IF(AND($N19="VCA",$AF19&gt;=1.5,$AF19&lt;3),$M19*$AF19*2,0)</f>
        <v>0</v>
      </c>
      <c r="BF19" s="153" t="n">
        <f aca="false">IF(AND($N19="VCA",$AF19&gt;=3),$M19*$AF19*2,0)</f>
        <v>0</v>
      </c>
      <c r="BG19" s="153" t="n">
        <f aca="false">($BB19+$BC19)*$AK19</f>
        <v>16.35934105</v>
      </c>
      <c r="BH19" s="153" t="n">
        <f aca="false">IF(AND($M19&lt;&gt;"",$N19="VCA",$Q19="LINEAR"),($M19*2)/100,IF(AND($M19&lt;&gt;"",$N19="MND",$Q19="EMBOQUE"),($AN19*2)/100,0))</f>
        <v>0.5722</v>
      </c>
      <c r="BI19" s="153" t="n">
        <f aca="false">IF(AND($M19&lt;&gt;"",$N19="VCA",$Q19="LINEAR"),$M19,IF(AND($M19&lt;&gt;"",$N19="MND",$Q19="EMBOQUE"),$AN19*2,0))</f>
        <v>28.61</v>
      </c>
      <c r="BJ19" s="153" t="n">
        <f aca="false">IF(AND($M19&lt;&gt;"",$N19="VCA",$Q19="LINEAR"),($M19*6.8)/100,IF(AND($M19&lt;&gt;"",$N19="MND",$Q19="EMBOQUE"),($AN19*2*6.8)/100,0))</f>
        <v>1.94548</v>
      </c>
      <c r="BK19" s="153" t="n">
        <f aca="false">IF(AND($M19&lt;&gt;"",$N19="VCA",$Q19="LINEAR"),($M19*2.5)/50,IF(AND($M19&lt;&gt;"",$N19="MND",$Q19="EMBOQUE"),($AN19*2*2.5)/50,0))</f>
        <v>1.4305</v>
      </c>
      <c r="BL19" s="157" t="str">
        <f aca="false">K19&amp;J19</f>
        <v>Zona01REDES</v>
      </c>
      <c r="BM19" s="152" t="s">
        <v>1559</v>
      </c>
      <c r="BN19" s="152" t="s">
        <v>1560</v>
      </c>
      <c r="BO19" s="152" t="s">
        <v>1561</v>
      </c>
      <c r="BP19" s="152" t="s">
        <v>1601</v>
      </c>
      <c r="BQ19" s="152" t="s">
        <v>1609</v>
      </c>
      <c r="BR19" s="152" t="s">
        <v>1564</v>
      </c>
      <c r="BS19" s="152" t="n">
        <v>203363.029</v>
      </c>
      <c r="BT19" s="152" t="n">
        <v>8239127.49</v>
      </c>
      <c r="BU19" s="152" t="n">
        <v>203344.575</v>
      </c>
      <c r="BV19" s="152" t="n">
        <v>8239105.627</v>
      </c>
      <c r="BW19" s="152" t="n">
        <v>-15.9094238</v>
      </c>
      <c r="BX19" s="152" t="n">
        <v>-47.7704438</v>
      </c>
      <c r="BY19" s="152" t="s">
        <v>1601</v>
      </c>
    </row>
    <row r="20" customFormat="false" ht="13.8" hidden="false" customHeight="false" outlineLevel="0" collapsed="false">
      <c r="A20" s="149" t="n">
        <f aca="false">IF(C20&lt;&gt;"",ROW(A15),"")</f>
        <v>15</v>
      </c>
      <c r="B20" s="150" t="str">
        <f aca="false">HYPERLINK("https://www.google.com/maps/dir/-15.917302,-47.760003/-15.9096325,-47.7693914/data=!4m3!4m2!3e0!5i0")</f>
        <v>https://www.google.com/maps/dir/-15.917302,-47.760003/-15.9096325,-47.7693914/data=!4m3!4m2!3e0!5i0</v>
      </c>
      <c r="C20" s="151" t="s">
        <v>117</v>
      </c>
      <c r="D20" s="152" t="s">
        <v>112</v>
      </c>
      <c r="E20" s="152" t="s">
        <v>113</v>
      </c>
      <c r="F20" s="152" t="s">
        <v>117</v>
      </c>
      <c r="G20" s="152" t="s">
        <v>782</v>
      </c>
      <c r="H20" s="152" t="n">
        <v>110</v>
      </c>
      <c r="I20" s="152" t="s">
        <v>115</v>
      </c>
      <c r="J20" s="152" t="s">
        <v>6</v>
      </c>
      <c r="K20" s="152" t="s">
        <v>1547</v>
      </c>
      <c r="L20" s="152" t="s">
        <v>120</v>
      </c>
      <c r="M20" s="153" t="n">
        <f aca="false">168.86+0.34</f>
        <v>169.2</v>
      </c>
      <c r="N20" s="152" t="s">
        <v>1548</v>
      </c>
      <c r="O20" s="152" t="s">
        <v>1549</v>
      </c>
      <c r="P20" s="152" t="s">
        <v>1550</v>
      </c>
      <c r="Q20" s="152" t="s">
        <v>1551</v>
      </c>
      <c r="R20" s="154" t="s">
        <v>1610</v>
      </c>
      <c r="S20" s="154" t="s">
        <v>1593</v>
      </c>
      <c r="T20" s="155" t="s">
        <v>1554</v>
      </c>
      <c r="U20" s="152" t="str">
        <f aca="false">RIGHT(T20,7)</f>
        <v>002/037</v>
      </c>
      <c r="V20" s="152" t="s">
        <v>1555</v>
      </c>
      <c r="W20" s="156" t="n">
        <v>45882</v>
      </c>
      <c r="X20" s="152" t="s">
        <v>1556</v>
      </c>
      <c r="Y20" s="152"/>
      <c r="Z20" s="152" t="s">
        <v>1557</v>
      </c>
      <c r="AA20" s="153" t="n">
        <v>1.8</v>
      </c>
      <c r="AB20" s="151" t="s">
        <v>1611</v>
      </c>
      <c r="AC20" s="151" t="s">
        <v>502</v>
      </c>
      <c r="AD20" s="151" t="str">
        <f aca="false">CONCATENATE($C20,$I20,$H20,$N20,$J20,$K20)</f>
        <v>TUBO PEADPEAD110VCAREDESZona01</v>
      </c>
      <c r="AE20" s="153" t="n">
        <f aca="false">IFERROR(INDEX(APOIO_REDES!$A:$W,MATCH($C20&amp;$I20&amp;$H20&amp;$N20&amp;$O20,APOIO_REDES!$W:$W,0),MATCH(AE$5,APOIO_REDES!$5:$5,0)),0)</f>
        <v>1.2</v>
      </c>
      <c r="AF20" s="153" t="n">
        <f aca="false">IFERROR(INDEX(APOIO_REDES!$A:$W,MATCH($C20&amp;$I20&amp;$H20&amp;$N20&amp;$O20,APOIO_REDES!$W:$W,0),MATCH(AF$5,APOIO_REDES!$5:$5,0)),0)</f>
        <v>1.41</v>
      </c>
      <c r="AG20" s="153" t="n">
        <f aca="false">IFERROR(INDEX(APOIO_REDES!$A:$W,MATCH($C20&amp;$I20&amp;$H20&amp;$N20&amp;$O20,APOIO_REDES!$W:$W,0),MATCH(AG$5,APOIO_REDES!$5:$5,0)),0)</f>
        <v>0.75</v>
      </c>
      <c r="AH20" s="153" t="n">
        <f aca="false">IFERROR(INDEX(APOIO_REDES!$A:$W,MATCH($C20&amp;$I20&amp;$H20&amp;$N20&amp;$O20,APOIO_REDES!$W:$W,0),MATCH(AH$5,APOIO_REDES!$5:$5,0)),0)</f>
        <v>0.1</v>
      </c>
      <c r="AI20" s="153" t="n">
        <f aca="false">IFERROR(IF($H20&lt;&gt;"",(((($H20/1000)/2)^2)*PI()*$M20),0),0)</f>
        <v>1.60796136788686</v>
      </c>
      <c r="AJ20" s="153" t="n">
        <f aca="false">IFERROR(IF(AND($H20&lt;&gt;"",$I20="FoFo",OR($N20="MND",$N20="VCA"),$Q20="LINEAR"),0,IF(AND($H20&lt;&gt;"",$I20="PEAD",$N20="VCA",$Q20="LINEAR"),($H20/1000)+0.3,IF(AND($H20&lt;&gt;"",$I20="PEAD",$N20="MND",$Q20="EMBOQUE"),0,IF(AND($H20&lt;&gt;"",$I20="PVC",$N20="VCA",$Q20="LINEAR"),($H20/1000)+0.2,IF(AND($H20&lt;&gt;"",$I20="PVC",$N20="MND",$Q20="EMBOQUE"),0,IF(AND($H20&lt;&gt;"",$I20="PEAD",$N20="VCA",$Q20="PREDIAL"),0,0)))))),0)</f>
        <v>0.41</v>
      </c>
      <c r="AK20" s="153" t="n">
        <f aca="false">IF(AA20&lt;&gt;"",AA20,0)</f>
        <v>1.8</v>
      </c>
      <c r="AL20" s="153" t="n">
        <f aca="false">IF(AND($N20="MND",$Q20="EMBOQUE"),$M20,IF(AND($N20="VCA",$Q20="LINEAR"),$M20,IF(AND($N20="VCA",$Q20="PREDIAL"),0,0)))</f>
        <v>169.2</v>
      </c>
      <c r="AM20" s="153" t="n">
        <f aca="false">IF(AND($N20="MND",$Q20="EMBOQUE"),$M20,IF(AND($N20="VCA",$Q20="LINEAR"),$M20,IF(AND($N20="VCA",$Q20="PREDIAL"),0,0)))</f>
        <v>169.2</v>
      </c>
      <c r="AN20" s="153" t="n">
        <f aca="false">ROUND(IF(AND($N20="VCA",$M20&lt;&gt;"",$Q20="LINEAR"),$M20/100,IF(AND($N20="MND",$M20&gt;100,$Q20="EMBOQUE"),$M20/100,0)),0)</f>
        <v>2</v>
      </c>
      <c r="AO20" s="153" t="n">
        <f aca="false">IF(AND($N20="MND",$Q20="EMBOQUE"),$AN20*2*2,IF(AND($N20="VCA",$Q20="LINEAR"),$M20*2,IF(AND($N20="VCA",$Q20="PREDIAL"),0,0)))</f>
        <v>338.4</v>
      </c>
      <c r="AP20" s="153" t="n">
        <f aca="false">IFERROR($M20*$AF20*$AG20,0)</f>
        <v>178.929</v>
      </c>
      <c r="AQ20" s="153" t="n">
        <f aca="false">IFERROR(IF(AND($N20="VCA",$AH20&gt;0),$M20*$AG20*$AH20,0),0)</f>
        <v>12.69</v>
      </c>
      <c r="AR20" s="153" t="n">
        <f aca="false">IFERROR(IF(AND($N20="VCA",$AJ20&gt;0),($M20*$AG20*$AJ20)-$AI20,0),0)</f>
        <v>50.4210386321131</v>
      </c>
      <c r="AS20" s="153" t="n">
        <f aca="false">IFERROR(IF(AND($N20="VCA",$AP20&gt;0),$AP20-$AI20-$AQ20-$AR20,0),0)</f>
        <v>114.21</v>
      </c>
      <c r="AT20" s="153" t="n">
        <f aca="false">IFERROR(IF($N20="VCA",INDEX(APOIO_REDES!$A:$W,MATCH($C20&amp;$I20&amp;$H20&amp;$N20&amp;$O20,APOIO_REDES!$W:$W,0),MATCH(AT$5,APOIO_REDES!$5:$5,0)),0)*$AP20,0)</f>
        <v>1.94680048028065</v>
      </c>
      <c r="AU20" s="153" t="n">
        <f aca="false">IFERROR(IF($N20="VCA",INDEX(APOIO_REDES!$A:$W,MATCH($C20&amp;$I20&amp;$H20&amp;$N20&amp;$O20,APOIO_REDES!$W:$W,0),MATCH(AU$5,APOIO_REDES!$5:$5,0)),0)*$AP20,0)</f>
        <v>1.55466213750838</v>
      </c>
      <c r="AV20" s="153" t="n">
        <f aca="false">IFERROR(IF($N20="VCA",INDEX(APOIO_REDES!$A:$W,MATCH($C20&amp;$I20&amp;$H20&amp;$N20&amp;$O20,APOIO_REDES!$W:$W,0),MATCH(AV$5,APOIO_REDES!$5:$5,0)),0)*$AP20,0)</f>
        <v>0.215153035254862</v>
      </c>
      <c r="AW20" s="153" t="n">
        <f aca="false">IFERROR(IF($N20="VCA",INDEX(APOIO_REDES!$A:$W,MATCH($C20&amp;$I20&amp;$H20&amp;$N20&amp;$O20,APOIO_REDES!$W:$W,0),MATCH(AW$5,APOIO_REDES!$5:$5,0)),0)*$AP20,0)</f>
        <v>122.818252009545</v>
      </c>
      <c r="AX20" s="153" t="n">
        <f aca="false">IFERROR(IF($N20="VCA",INDEX(APOIO_REDES!$A:$W,MATCH($C20&amp;$I20&amp;$H20&amp;$N20&amp;$O20,APOIO_REDES!$W:$W,0),MATCH(AX$5,APOIO_REDES!$5:$5,0)),0)*$AP20,0)</f>
        <v>16.9976962237079</v>
      </c>
      <c r="AY20" s="153" t="n">
        <f aca="false">IFERROR(IF($N20="VCA",INDEX(APOIO_REDES!$A:$W,MATCH($C20&amp;$I20&amp;$H20&amp;$N20&amp;$O20,APOIO_REDES!$W:$W,0),MATCH(AY$5,APOIO_REDES!$5:$5,0)),0)*$AP20,0)</f>
        <v>31.0932237989621</v>
      </c>
      <c r="AZ20" s="153" t="n">
        <f aca="false">IFERROR(IF($N20="VCA",INDEX(APOIO_REDES!$A:$W,MATCH($C20&amp;$I20&amp;$H20&amp;$N20&amp;$O20,APOIO_REDES!$W:$W,0),MATCH(AZ$5,APOIO_REDES!$5:$5,0)),0)*$AP20,0)</f>
        <v>4.30321231474068</v>
      </c>
      <c r="BA20" s="153" t="n">
        <f aca="false">IFERROR(IF(AND($N20="VCA",$Q20="LINEAR"),INDEX(APOIO_REDES!$A:$W,MATCH($C20&amp;$I20&amp;$H20&amp;$N20&amp;$O20,APOIO_REDES!$W:$W,0),MATCH(BA$5,APOIO_REDES!$5:$5,0)),IF(AND($N20="MND",$Q20="EMBOQUE"),INDEX(APOIO_REDES!$A:$W,MATCH($C20&amp;$I20&amp;$H20&amp;$N20&amp;$O20,APOIO_REDES!$W:$W,0),MATCH(BA$5,APOIO_REDES!$5:$5,0)),0))*$M20/10,0)</f>
        <v>13.6370932064988</v>
      </c>
      <c r="BB20" s="153" t="n">
        <f aca="false">IFERROR(IF($N20="VCA",INDEX(APOIO_REDES!$A:$W,MATCH($C20&amp;$I20&amp;$H20&amp;$N20&amp;$O20,APOIO_REDES!$W:$W,0),MATCH(BB$5,APOIO_REDES!$5:$5,0)),0)*($AI20+$AQ20+$AR20),0)</f>
        <v>64.0148381241538</v>
      </c>
      <c r="BC20" s="153" t="n">
        <f aca="false">IFERROR(IF($N20="VCA",INDEX(APOIO_REDES!$A:$W,MATCH($C20&amp;$I20&amp;$H20&amp;$N20&amp;$O20,APOIO_REDES!$W:$W,0),MATCH(BC$5,APOIO_REDES!$5:$5,0)),0)*($AI20+$AQ20+$AR20),0)</f>
        <v>0.704161875846192</v>
      </c>
      <c r="BD20" s="153" t="n">
        <f aca="false">IF(AND($N20="VCA",$AF20&gt;=1.25,$AF20&lt;1.5),$M20*$AF20*2,0)</f>
        <v>477.144</v>
      </c>
      <c r="BE20" s="153" t="n">
        <f aca="false">IF(AND($N20="VCA",$AF20&gt;=1.5,$AF20&lt;3),$M20*$AF20*2,0)</f>
        <v>0</v>
      </c>
      <c r="BF20" s="153" t="n">
        <f aca="false">IF(AND($N20="VCA",$AF20&gt;=3),$M20*$AF20*2,0)</f>
        <v>0</v>
      </c>
      <c r="BG20" s="153" t="n">
        <f aca="false">($BB20+$BC20)*$AK20</f>
        <v>116.4942</v>
      </c>
      <c r="BH20" s="153" t="n">
        <f aca="false">IF(AND($M20&lt;&gt;"",$N20="VCA",$Q20="LINEAR"),($M20*2)/100,IF(AND($M20&lt;&gt;"",$N20="MND",$Q20="EMBOQUE"),($AN20*2)/100,0))</f>
        <v>3.384</v>
      </c>
      <c r="BI20" s="153" t="n">
        <f aca="false">IF(AND($M20&lt;&gt;"",$N20="VCA",$Q20="LINEAR"),$M20,IF(AND($M20&lt;&gt;"",$N20="MND",$Q20="EMBOQUE"),$AN20*2,0))</f>
        <v>169.2</v>
      </c>
      <c r="BJ20" s="153" t="n">
        <f aca="false">IF(AND($M20&lt;&gt;"",$N20="VCA",$Q20="LINEAR"),($M20*6.8)/100,IF(AND($M20&lt;&gt;"",$N20="MND",$Q20="EMBOQUE"),($AN20*2*6.8)/100,0))</f>
        <v>11.5056</v>
      </c>
      <c r="BK20" s="153" t="n">
        <f aca="false">IF(AND($M20&lt;&gt;"",$N20="VCA",$Q20="LINEAR"),($M20*2.5)/50,IF(AND($M20&lt;&gt;"",$N20="MND",$Q20="EMBOQUE"),($AN20*2*2.5)/50,0))</f>
        <v>8.46</v>
      </c>
      <c r="BL20" s="157" t="str">
        <f aca="false">K20&amp;J20</f>
        <v>Zona01REDES</v>
      </c>
      <c r="BM20" s="152" t="s">
        <v>1559</v>
      </c>
      <c r="BN20" s="152" t="s">
        <v>1560</v>
      </c>
      <c r="BO20" s="152" t="s">
        <v>1561</v>
      </c>
      <c r="BP20" s="152" t="s">
        <v>1583</v>
      </c>
      <c r="BQ20" s="152" t="s">
        <v>1573</v>
      </c>
      <c r="BR20" s="152" t="s">
        <v>1612</v>
      </c>
      <c r="BS20" s="152" t="n">
        <v>203466.866</v>
      </c>
      <c r="BT20" s="152" t="n">
        <v>8239094.951</v>
      </c>
      <c r="BU20" s="152" t="n">
        <v>203576.724</v>
      </c>
      <c r="BV20" s="152" t="n">
        <v>8239179.922</v>
      </c>
      <c r="BW20" s="152" t="n">
        <v>-15.9094751</v>
      </c>
      <c r="BX20" s="152" t="n">
        <v>-47.7688444</v>
      </c>
      <c r="BY20" s="152" t="s">
        <v>1583</v>
      </c>
    </row>
    <row r="21" customFormat="false" ht="13.8" hidden="false" customHeight="false" outlineLevel="0" collapsed="false">
      <c r="A21" s="149" t="n">
        <f aca="false">IF(C21&lt;&gt;"",ROW(A16),"")</f>
        <v>16</v>
      </c>
      <c r="B21" s="150" t="str">
        <f aca="false">HYPERLINK("https://www.google.com/maps/dir/-15.917302,-47.760003/-15.9101207,-47.7688223/data=!4m3!4m2!3e0!5i0")</f>
        <v>https://www.google.com/maps/dir/-15.917302,-47.760003/-15.9101207,-47.7688223/data=!4m3!4m2!3e0!5i0</v>
      </c>
      <c r="C21" s="151" t="s">
        <v>117</v>
      </c>
      <c r="D21" s="152" t="s">
        <v>112</v>
      </c>
      <c r="E21" s="152" t="s">
        <v>113</v>
      </c>
      <c r="F21" s="152" t="s">
        <v>117</v>
      </c>
      <c r="G21" s="152" t="s">
        <v>782</v>
      </c>
      <c r="H21" s="152" t="n">
        <v>110</v>
      </c>
      <c r="I21" s="152" t="s">
        <v>115</v>
      </c>
      <c r="J21" s="152" t="s">
        <v>6</v>
      </c>
      <c r="K21" s="152" t="s">
        <v>1547</v>
      </c>
      <c r="L21" s="152" t="s">
        <v>120</v>
      </c>
      <c r="M21" s="153" t="n">
        <f aca="false">197.24</f>
        <v>197.24</v>
      </c>
      <c r="N21" s="152" t="s">
        <v>1548</v>
      </c>
      <c r="O21" s="152" t="s">
        <v>1549</v>
      </c>
      <c r="P21" s="152" t="s">
        <v>1550</v>
      </c>
      <c r="Q21" s="152" t="s">
        <v>1551</v>
      </c>
      <c r="R21" s="154" t="s">
        <v>1613</v>
      </c>
      <c r="S21" s="154" t="s">
        <v>1593</v>
      </c>
      <c r="T21" s="155" t="s">
        <v>1554</v>
      </c>
      <c r="U21" s="152" t="str">
        <f aca="false">RIGHT(T21,7)</f>
        <v>002/037</v>
      </c>
      <c r="V21" s="152" t="s">
        <v>1555</v>
      </c>
      <c r="W21" s="156" t="n">
        <v>45882</v>
      </c>
      <c r="X21" s="152" t="s">
        <v>1556</v>
      </c>
      <c r="Y21" s="152"/>
      <c r="Z21" s="152" t="s">
        <v>1557</v>
      </c>
      <c r="AA21" s="153" t="n">
        <v>1.8</v>
      </c>
      <c r="AB21" s="151" t="s">
        <v>1614</v>
      </c>
      <c r="AC21" s="151" t="s">
        <v>502</v>
      </c>
      <c r="AD21" s="151" t="str">
        <f aca="false">CONCATENATE($C21,$I21,$H21,$N21,$J21,$K21)</f>
        <v>TUBO PEADPEAD110VCAREDESZona01</v>
      </c>
      <c r="AE21" s="153" t="n">
        <f aca="false">IFERROR(INDEX(APOIO_REDES!$A:$W,MATCH($C21&amp;$I21&amp;$H21&amp;$N21&amp;$O21,APOIO_REDES!$W:$W,0),MATCH(AE$5,APOIO_REDES!$5:$5,0)),0)</f>
        <v>1.2</v>
      </c>
      <c r="AF21" s="153" t="n">
        <f aca="false">IFERROR(INDEX(APOIO_REDES!$A:$W,MATCH($C21&amp;$I21&amp;$H21&amp;$N21&amp;$O21,APOIO_REDES!$W:$W,0),MATCH(AF$5,APOIO_REDES!$5:$5,0)),0)</f>
        <v>1.41</v>
      </c>
      <c r="AG21" s="153" t="n">
        <f aca="false">IFERROR(INDEX(APOIO_REDES!$A:$W,MATCH($C21&amp;$I21&amp;$H21&amp;$N21&amp;$O21,APOIO_REDES!$W:$W,0),MATCH(AG$5,APOIO_REDES!$5:$5,0)),0)</f>
        <v>0.75</v>
      </c>
      <c r="AH21" s="153" t="n">
        <f aca="false">IFERROR(INDEX(APOIO_REDES!$A:$W,MATCH($C21&amp;$I21&amp;$H21&amp;$N21&amp;$O21,APOIO_REDES!$W:$W,0),MATCH(AH$5,APOIO_REDES!$5:$5,0)),0)</f>
        <v>0.1</v>
      </c>
      <c r="AI21" s="153" t="n">
        <f aca="false">IFERROR(IF($H21&lt;&gt;"",(((($H21/1000)/2)^2)*PI()*$M21),0),0)</f>
        <v>1.874434398357</v>
      </c>
      <c r="AJ21" s="153" t="n">
        <f aca="false">IFERROR(IF(AND($H21&lt;&gt;"",$I21="FoFo",OR($N21="MND",$N21="VCA"),$Q21="LINEAR"),0,IF(AND($H21&lt;&gt;"",$I21="PEAD",$N21="VCA",$Q21="LINEAR"),($H21/1000)+0.3,IF(AND($H21&lt;&gt;"",$I21="PEAD",$N21="MND",$Q21="EMBOQUE"),0,IF(AND($H21&lt;&gt;"",$I21="PVC",$N21="VCA",$Q21="LINEAR"),($H21/1000)+0.2,IF(AND($H21&lt;&gt;"",$I21="PVC",$N21="MND",$Q21="EMBOQUE"),0,IF(AND($H21&lt;&gt;"",$I21="PEAD",$N21="VCA",$Q21="PREDIAL"),0,0)))))),0)</f>
        <v>0.41</v>
      </c>
      <c r="AK21" s="153" t="n">
        <f aca="false">IF(AA21&lt;&gt;"",AA21,0)</f>
        <v>1.8</v>
      </c>
      <c r="AL21" s="153" t="n">
        <f aca="false">IF(AND($N21="MND",$Q21="EMBOQUE"),$M21,IF(AND($N21="VCA",$Q21="LINEAR"),$M21,IF(AND($N21="VCA",$Q21="PREDIAL"),0,0)))</f>
        <v>197.24</v>
      </c>
      <c r="AM21" s="153" t="n">
        <f aca="false">IF(AND($N21="MND",$Q21="EMBOQUE"),$M21,IF(AND($N21="VCA",$Q21="LINEAR"),$M21,IF(AND($N21="VCA",$Q21="PREDIAL"),0,0)))</f>
        <v>197.24</v>
      </c>
      <c r="AN21" s="153" t="n">
        <f aca="false">ROUND(IF(AND($N21="VCA",$M21&lt;&gt;"",$Q21="LINEAR"),$M21/100,IF(AND($N21="MND",$M21&gt;100,$Q21="EMBOQUE"),$M21/100,0)),0)</f>
        <v>2</v>
      </c>
      <c r="AO21" s="153" t="n">
        <f aca="false">IF(AND($N21="MND",$Q21="EMBOQUE"),$AN21*2*2,IF(AND($N21="VCA",$Q21="LINEAR"),$M21*2,IF(AND($N21="VCA",$Q21="PREDIAL"),0,0)))</f>
        <v>394.48</v>
      </c>
      <c r="AP21" s="153" t="n">
        <f aca="false">IFERROR($M21*$AF21*$AG21,0)</f>
        <v>208.5813</v>
      </c>
      <c r="AQ21" s="153" t="n">
        <f aca="false">IFERROR(IF(AND($N21="VCA",$AH21&gt;0),$M21*$AG21*$AH21,0),0)</f>
        <v>14.793</v>
      </c>
      <c r="AR21" s="153" t="n">
        <f aca="false">IFERROR(IF(AND($N21="VCA",$AJ21&gt;0),($M21*$AG21*$AJ21)-$AI21,0),0)</f>
        <v>58.776865601643</v>
      </c>
      <c r="AS21" s="153" t="n">
        <f aca="false">IFERROR(IF(AND($N21="VCA",$AP21&gt;0),$AP21-$AI21-$AQ21-$AR21,0),0)</f>
        <v>133.137</v>
      </c>
      <c r="AT21" s="153" t="n">
        <f aca="false">IFERROR(IF($N21="VCA",INDEX(APOIO_REDES!$A:$W,MATCH($C21&amp;$I21&amp;$H21&amp;$N21&amp;$O21,APOIO_REDES!$W:$W,0),MATCH(AT$5,APOIO_REDES!$5:$5,0)),0)*$AP21,0)</f>
        <v>2.26942628091345</v>
      </c>
      <c r="AU21" s="153" t="n">
        <f aca="false">IFERROR(IF($N21="VCA",INDEX(APOIO_REDES!$A:$W,MATCH($C21&amp;$I21&amp;$H21&amp;$N21&amp;$O21,APOIO_REDES!$W:$W,0),MATCH(AU$5,APOIO_REDES!$5:$5,0)),0)*$AP21,0)</f>
        <v>1.81230236407891</v>
      </c>
      <c r="AV21" s="153" t="n">
        <f aca="false">IFERROR(IF($N21="VCA",INDEX(APOIO_REDES!$A:$W,MATCH($C21&amp;$I21&amp;$H21&amp;$N21&amp;$O21,APOIO_REDES!$W:$W,0),MATCH(AV$5,APOIO_REDES!$5:$5,0)),0)*$AP21,0)</f>
        <v>0.250808420057145</v>
      </c>
      <c r="AW21" s="153" t="n">
        <f aca="false">IFERROR(IF($N21="VCA",INDEX(APOIO_REDES!$A:$W,MATCH($C21&amp;$I21&amp;$H21&amp;$N21&amp;$O21,APOIO_REDES!$W:$W,0),MATCH(AW$5,APOIO_REDES!$5:$5,0)),0)*$AP21,0)</f>
        <v>143.171820486777</v>
      </c>
      <c r="AX21" s="153" t="n">
        <f aca="false">IFERROR(IF($N21="VCA",INDEX(APOIO_REDES!$A:$W,MATCH($C21&amp;$I21&amp;$H21&amp;$N21&amp;$O21,APOIO_REDES!$W:$W,0),MATCH(AX$5,APOIO_REDES!$5:$5,0)),0)*$AP21,0)</f>
        <v>19.8145721227195</v>
      </c>
      <c r="AY21" s="153" t="n">
        <f aca="false">IFERROR(IF($N21="VCA",INDEX(APOIO_REDES!$A:$W,MATCH($C21&amp;$I21&amp;$H21&amp;$N21&amp;$O21,APOIO_REDES!$W:$W,0),MATCH(AY$5,APOIO_REDES!$5:$5,0)),0)*$AP21,0)</f>
        <v>36.2460251897594</v>
      </c>
      <c r="AZ21" s="153" t="n">
        <f aca="false">IFERROR(IF($N21="VCA",INDEX(APOIO_REDES!$A:$W,MATCH($C21&amp;$I21&amp;$H21&amp;$N21&amp;$O21,APOIO_REDES!$W:$W,0),MATCH(AZ$5,APOIO_REDES!$5:$5,0)),0)*$AP21,0)</f>
        <v>5.01634513569416</v>
      </c>
      <c r="BA21" s="153" t="n">
        <f aca="false">IFERROR(IF(AND($N21="VCA",$Q21="LINEAR"),INDEX(APOIO_REDES!$A:$W,MATCH($C21&amp;$I21&amp;$H21&amp;$N21&amp;$O21,APOIO_REDES!$W:$W,0),MATCH(BA$5,APOIO_REDES!$5:$5,0)),IF(AND($N21="MND",$Q21="EMBOQUE"),INDEX(APOIO_REDES!$A:$W,MATCH($C21&amp;$I21&amp;$H21&amp;$N21&amp;$O21,APOIO_REDES!$W:$W,0),MATCH(BA$5,APOIO_REDES!$5:$5,0)),0))*$M21/10,0)</f>
        <v>15.8970464778359</v>
      </c>
      <c r="BB21" s="153" t="n">
        <f aca="false">IFERROR(IF($N21="VCA",INDEX(APOIO_REDES!$A:$W,MATCH($C21&amp;$I21&amp;$H21&amp;$N21&amp;$O21,APOIO_REDES!$W:$W,0),MATCH(BB$5,APOIO_REDES!$5:$5,0)),0)*($AI21+$AQ21+$AR21),0)</f>
        <v>74.6234436856271</v>
      </c>
      <c r="BC21" s="153" t="n">
        <f aca="false">IFERROR(IF($N21="VCA",INDEX(APOIO_REDES!$A:$W,MATCH($C21&amp;$I21&amp;$H21&amp;$N21&amp;$O21,APOIO_REDES!$W:$W,0),MATCH(BC$5,APOIO_REDES!$5:$5,0)),0)*($AI21+$AQ21+$AR21),0)</f>
        <v>0.820856314372949</v>
      </c>
      <c r="BD21" s="153" t="n">
        <f aca="false">IF(AND($N21="VCA",$AF21&gt;=1.25,$AF21&lt;1.5),$M21*$AF21*2,0)</f>
        <v>556.2168</v>
      </c>
      <c r="BE21" s="153" t="n">
        <f aca="false">IF(AND($N21="VCA",$AF21&gt;=1.5,$AF21&lt;3),$M21*$AF21*2,0)</f>
        <v>0</v>
      </c>
      <c r="BF21" s="153" t="n">
        <f aca="false">IF(AND($N21="VCA",$AF21&gt;=3),$M21*$AF21*2,0)</f>
        <v>0</v>
      </c>
      <c r="BG21" s="153" t="n">
        <f aca="false">($BB21+$BC21)*$AK21</f>
        <v>135.79974</v>
      </c>
      <c r="BH21" s="153" t="n">
        <f aca="false">IF(AND($M21&lt;&gt;"",$N21="VCA",$Q21="LINEAR"),($M21*2)/100,IF(AND($M21&lt;&gt;"",$N21="MND",$Q21="EMBOQUE"),($AN21*2)/100,0))</f>
        <v>3.9448</v>
      </c>
      <c r="BI21" s="153" t="n">
        <f aca="false">IF(AND($M21&lt;&gt;"",$N21="VCA",$Q21="LINEAR"),$M21,IF(AND($M21&lt;&gt;"",$N21="MND",$Q21="EMBOQUE"),$AN21*2,0))</f>
        <v>197.24</v>
      </c>
      <c r="BJ21" s="153" t="n">
        <f aca="false">IF(AND($M21&lt;&gt;"",$N21="VCA",$Q21="LINEAR"),($M21*6.8)/100,IF(AND($M21&lt;&gt;"",$N21="MND",$Q21="EMBOQUE"),($AN21*2*6.8)/100,0))</f>
        <v>13.41232</v>
      </c>
      <c r="BK21" s="153" t="n">
        <f aca="false">IF(AND($M21&lt;&gt;"",$N21="VCA",$Q21="LINEAR"),($M21*2.5)/50,IF(AND($M21&lt;&gt;"",$N21="MND",$Q21="EMBOQUE"),($AN21*2*2.5)/50,0))</f>
        <v>9.862</v>
      </c>
      <c r="BL21" s="157" t="str">
        <f aca="false">K21&amp;J21</f>
        <v>Zona01REDES</v>
      </c>
      <c r="BM21" s="152" t="s">
        <v>1559</v>
      </c>
      <c r="BN21" s="152" t="s">
        <v>1560</v>
      </c>
      <c r="BO21" s="152" t="s">
        <v>1561</v>
      </c>
      <c r="BP21" s="152" t="s">
        <v>1615</v>
      </c>
      <c r="BQ21" s="152" t="s">
        <v>1616</v>
      </c>
      <c r="BR21" s="152" t="s">
        <v>1617</v>
      </c>
      <c r="BS21" s="152" t="n">
        <v>203528.556</v>
      </c>
      <c r="BT21" s="152" t="n">
        <v>8239041.705</v>
      </c>
      <c r="BU21" s="152" t="n">
        <v>203675.717</v>
      </c>
      <c r="BV21" s="152" t="n">
        <v>8239042.327</v>
      </c>
      <c r="BW21" s="152" t="n">
        <v>-15.9096212</v>
      </c>
      <c r="BX21" s="152" t="n">
        <v>-47.7682022</v>
      </c>
      <c r="BY21" s="152" t="s">
        <v>1615</v>
      </c>
    </row>
    <row r="22" customFormat="false" ht="13.8" hidden="false" customHeight="false" outlineLevel="0" collapsed="false">
      <c r="A22" s="149" t="n">
        <f aca="false">IF(C22&lt;&gt;"",ROW(A17),"")</f>
        <v>17</v>
      </c>
      <c r="B22" s="150" t="str">
        <f aca="false">HYPERLINK("https://www.google.com/maps/dir/-15.917302,-47.760003/-15.9093459,-47.7702693/data=!4m3!4m2!3e0!5i0")</f>
        <v>https://www.google.com/maps/dir/-15.917302,-47.760003/-15.9093459,-47.7702693/data=!4m3!4m2!3e0!5i0</v>
      </c>
      <c r="C22" s="151" t="s">
        <v>117</v>
      </c>
      <c r="D22" s="152" t="s">
        <v>112</v>
      </c>
      <c r="E22" s="152" t="s">
        <v>113</v>
      </c>
      <c r="F22" s="152" t="s">
        <v>117</v>
      </c>
      <c r="G22" s="152" t="s">
        <v>782</v>
      </c>
      <c r="H22" s="152" t="n">
        <v>63</v>
      </c>
      <c r="I22" s="152" t="s">
        <v>115</v>
      </c>
      <c r="J22" s="152" t="s">
        <v>6</v>
      </c>
      <c r="K22" s="152" t="s">
        <v>1547</v>
      </c>
      <c r="L22" s="152" t="s">
        <v>120</v>
      </c>
      <c r="M22" s="153" t="n">
        <f aca="false">89.22+0.42</f>
        <v>89.64</v>
      </c>
      <c r="N22" s="152" t="s">
        <v>1548</v>
      </c>
      <c r="O22" s="152" t="s">
        <v>1549</v>
      </c>
      <c r="P22" s="152" t="s">
        <v>1550</v>
      </c>
      <c r="Q22" s="152" t="s">
        <v>1551</v>
      </c>
      <c r="R22" s="154" t="s">
        <v>1618</v>
      </c>
      <c r="S22" s="154" t="s">
        <v>1553</v>
      </c>
      <c r="T22" s="155" t="s">
        <v>1554</v>
      </c>
      <c r="U22" s="152" t="str">
        <f aca="false">RIGHT(T22,7)</f>
        <v>002/037</v>
      </c>
      <c r="V22" s="152" t="s">
        <v>1555</v>
      </c>
      <c r="W22" s="156" t="n">
        <v>45882</v>
      </c>
      <c r="X22" s="152" t="s">
        <v>1556</v>
      </c>
      <c r="Y22" s="152"/>
      <c r="Z22" s="152" t="s">
        <v>1557</v>
      </c>
      <c r="AA22" s="153" t="n">
        <v>1.9</v>
      </c>
      <c r="AB22" s="151" t="s">
        <v>1619</v>
      </c>
      <c r="AC22" s="151" t="s">
        <v>186</v>
      </c>
      <c r="AD22" s="151" t="str">
        <f aca="false">CONCATENATE($C22,$I22,$H22,$N22,$J22,$K22)</f>
        <v>TUBO PEADPEAD63VCAREDESZona01</v>
      </c>
      <c r="AE22" s="153" t="n">
        <f aca="false">IFERROR(INDEX(APOIO_REDES!$A:$W,MATCH($C22&amp;$I22&amp;$H22&amp;$N22&amp;$O22,APOIO_REDES!$W:$W,0),MATCH(AE$5,APOIO_REDES!$5:$5,0)),0)</f>
        <v>1.2</v>
      </c>
      <c r="AF22" s="153" t="n">
        <f aca="false">IFERROR(INDEX(APOIO_REDES!$A:$W,MATCH($C22&amp;$I22&amp;$H22&amp;$N22&amp;$O22,APOIO_REDES!$W:$W,0),MATCH(AF$5,APOIO_REDES!$5:$5,0)),0)</f>
        <v>1.363</v>
      </c>
      <c r="AG22" s="153" t="n">
        <f aca="false">IFERROR(INDEX(APOIO_REDES!$A:$W,MATCH($C22&amp;$I22&amp;$H22&amp;$N22&amp;$O22,APOIO_REDES!$W:$W,0),MATCH(AG$5,APOIO_REDES!$5:$5,0)),0)</f>
        <v>0.65</v>
      </c>
      <c r="AH22" s="153" t="n">
        <f aca="false">IFERROR(INDEX(APOIO_REDES!$A:$W,MATCH($C22&amp;$I22&amp;$H22&amp;$N22&amp;$O22,APOIO_REDES!$W:$W,0),MATCH(AH$5,APOIO_REDES!$5:$5,0)),0)</f>
        <v>0.1</v>
      </c>
      <c r="AI22" s="153" t="n">
        <f aca="false">IFERROR(IF($H22&lt;&gt;"",(((($H22/1000)/2)^2)*PI()*$M22),0),0)</f>
        <v>0.279429869635414</v>
      </c>
      <c r="AJ22" s="153" t="n">
        <f aca="false">IFERROR(IF(AND($H22&lt;&gt;"",$I22="FoFo",OR($N22="MND",$N22="VCA"),$Q22="LINEAR"),0,IF(AND($H22&lt;&gt;"",$I22="PEAD",$N22="VCA",$Q22="LINEAR"),($H22/1000)+0.3,IF(AND($H22&lt;&gt;"",$I22="PEAD",$N22="MND",$Q22="EMBOQUE"),0,IF(AND($H22&lt;&gt;"",$I22="PVC",$N22="VCA",$Q22="LINEAR"),($H22/1000)+0.2,IF(AND($H22&lt;&gt;"",$I22="PVC",$N22="MND",$Q22="EMBOQUE"),0,IF(AND($H22&lt;&gt;"",$I22="PEAD",$N22="VCA",$Q22="PREDIAL"),0,0)))))),0)</f>
        <v>0.363</v>
      </c>
      <c r="AK22" s="153" t="n">
        <f aca="false">IF(AA22&lt;&gt;"",AA22,0)</f>
        <v>1.9</v>
      </c>
      <c r="AL22" s="153" t="n">
        <f aca="false">IF(AND($N22="MND",$Q22="EMBOQUE"),$M22,IF(AND($N22="VCA",$Q22="LINEAR"),$M22,IF(AND($N22="VCA",$Q22="PREDIAL"),0,0)))</f>
        <v>89.64</v>
      </c>
      <c r="AM22" s="153" t="n">
        <f aca="false">IF(AND($N22="MND",$Q22="EMBOQUE"),$M22,IF(AND($N22="VCA",$Q22="LINEAR"),$M22,IF(AND($N22="VCA",$Q22="PREDIAL"),0,0)))</f>
        <v>89.64</v>
      </c>
      <c r="AN22" s="153" t="n">
        <f aca="false">ROUND(IF(AND($N22="VCA",$M22&lt;&gt;"",$Q22="LINEAR"),$M22/100,IF(AND($N22="MND",$M22&gt;100,$Q22="EMBOQUE"),$M22/100,0)),0)</f>
        <v>1</v>
      </c>
      <c r="AO22" s="153" t="n">
        <f aca="false">IF(AND($N22="MND",$Q22="EMBOQUE"),$AN22*2*2,IF(AND($N22="VCA",$Q22="LINEAR"),$M22*2,IF(AND($N22="VCA",$Q22="PREDIAL"),0,0)))</f>
        <v>179.28</v>
      </c>
      <c r="AP22" s="153" t="n">
        <f aca="false">IFERROR($M22*$AF22*$AG22,0)</f>
        <v>79.416558</v>
      </c>
      <c r="AQ22" s="153" t="n">
        <f aca="false">IFERROR(IF(AND($N22="VCA",$AH22&gt;0),$M22*$AG22*$AH22,0),0)</f>
        <v>5.8266</v>
      </c>
      <c r="AR22" s="153" t="n">
        <f aca="false">IFERROR(IF(AND($N22="VCA",$AJ22&gt;0),($M22*$AG22*$AJ22)-$AI22,0),0)</f>
        <v>20.8711281303646</v>
      </c>
      <c r="AS22" s="153" t="n">
        <f aca="false">IFERROR(IF(AND($N22="VCA",$AP22&gt;0),$AP22-$AI22-$AQ22-$AR22,0),0)</f>
        <v>52.4394</v>
      </c>
      <c r="AT22" s="153" t="n">
        <f aca="false">IFERROR(IF($N22="VCA",INDEX(APOIO_REDES!$A:$W,MATCH($C22&amp;$I22&amp;$H22&amp;$N22&amp;$O22,APOIO_REDES!$W:$W,0),MATCH(AT$5,APOIO_REDES!$5:$5,0)),0)*$AP22,0)</f>
        <v>0.864075657141302</v>
      </c>
      <c r="AU22" s="153" t="n">
        <f aca="false">IFERROR(IF($N22="VCA",INDEX(APOIO_REDES!$A:$W,MATCH($C22&amp;$I22&amp;$H22&amp;$N22&amp;$O22,APOIO_REDES!$W:$W,0),MATCH(AU$5,APOIO_REDES!$5:$5,0)),0)*$AP22,0)</f>
        <v>0.690027417656378</v>
      </c>
      <c r="AV22" s="153" t="n">
        <f aca="false">IFERROR(IF($N22="VCA",INDEX(APOIO_REDES!$A:$W,MATCH($C22&amp;$I22&amp;$H22&amp;$N22&amp;$O22,APOIO_REDES!$W:$W,0),MATCH(AV$5,APOIO_REDES!$5:$5,0)),0)*$AP22,0)</f>
        <v>0.0954943776760267</v>
      </c>
      <c r="AW22" s="153" t="n">
        <f aca="false">IFERROR(IF($N22="VCA",INDEX(APOIO_REDES!$A:$W,MATCH($C22&amp;$I22&amp;$H22&amp;$N22&amp;$O22,APOIO_REDES!$W:$W,0),MATCH(AW$5,APOIO_REDES!$5:$5,0)),0)*$AP22,0)</f>
        <v>54.512140760719</v>
      </c>
      <c r="AX22" s="153" t="n">
        <f aca="false">IFERROR(IF($N22="VCA",INDEX(APOIO_REDES!$A:$W,MATCH($C22&amp;$I22&amp;$H22&amp;$N22&amp;$O22,APOIO_REDES!$W:$W,0),MATCH(AX$5,APOIO_REDES!$5:$5,0)),0)*$AP22,0)</f>
        <v>7.54432500051125</v>
      </c>
      <c r="AY22" s="153" t="n">
        <f aca="false">IFERROR(IF($N22="VCA",INDEX(APOIO_REDES!$A:$W,MATCH($C22&amp;$I22&amp;$H22&amp;$N22&amp;$O22,APOIO_REDES!$W:$W,0),MATCH(AY$5,APOIO_REDES!$5:$5,0)),0)*$AP22,0)</f>
        <v>13.8005399417493</v>
      </c>
      <c r="AZ22" s="153" t="n">
        <f aca="false">IFERROR(IF($N22="VCA",INDEX(APOIO_REDES!$A:$W,MATCH($C22&amp;$I22&amp;$H22&amp;$N22&amp;$O22,APOIO_REDES!$W:$W,0),MATCH(AZ$5,APOIO_REDES!$5:$5,0)),0)*$AP22,0)</f>
        <v>1.90995484454682</v>
      </c>
      <c r="BA22" s="153" t="n">
        <f aca="false">IFERROR(IF(AND($N22="VCA",$Q22="LINEAR"),INDEX(APOIO_REDES!$A:$W,MATCH($C22&amp;$I22&amp;$H22&amp;$N22&amp;$O22,APOIO_REDES!$W:$W,0),MATCH(BA$5,APOIO_REDES!$5:$5,0)),IF(AND($N22="MND",$Q22="EMBOQUE"),INDEX(APOIO_REDES!$A:$W,MATCH($C22&amp;$I22&amp;$H22&amp;$N22&amp;$O22,APOIO_REDES!$W:$W,0),MATCH(BA$5,APOIO_REDES!$5:$5,0)),0))*$M22/10,0)</f>
        <v>7.22475789025151</v>
      </c>
      <c r="BB22" s="153" t="n">
        <f aca="false">IFERROR(IF($N22="VCA",INDEX(APOIO_REDES!$A:$W,MATCH($C22&amp;$I22&amp;$H22&amp;$N22&amp;$O22,APOIO_REDES!$W:$W,0),MATCH(BB$5,APOIO_REDES!$5:$5,0)),0)*($AI22+$AQ22+$AR22),0)</f>
        <v>26.6836385361288</v>
      </c>
      <c r="BC22" s="153" t="n">
        <f aca="false">IFERROR(IF($N22="VCA",INDEX(APOIO_REDES!$A:$W,MATCH($C22&amp;$I22&amp;$H22&amp;$N22&amp;$O22,APOIO_REDES!$W:$W,0),MATCH(BC$5,APOIO_REDES!$5:$5,0)),0)*($AI22+$AQ22+$AR22),0)</f>
        <v>0.293519463871183</v>
      </c>
      <c r="BD22" s="153" t="n">
        <f aca="false">IF(AND($N22="VCA",$AF22&gt;=1.25,$AF22&lt;1.5),$M22*$AF22*2,0)</f>
        <v>244.35864</v>
      </c>
      <c r="BE22" s="153" t="n">
        <f aca="false">IF(AND($N22="VCA",$AF22&gt;=1.5,$AF22&lt;3),$M22*$AF22*2,0)</f>
        <v>0</v>
      </c>
      <c r="BF22" s="153" t="n">
        <f aca="false">IF(AND($N22="VCA",$AF22&gt;=3),$M22*$AF22*2,0)</f>
        <v>0</v>
      </c>
      <c r="BG22" s="153" t="n">
        <f aca="false">($BB22+$BC22)*$AK22</f>
        <v>51.2566002</v>
      </c>
      <c r="BH22" s="153" t="n">
        <f aca="false">IF(AND($M22&lt;&gt;"",$N22="VCA",$Q22="LINEAR"),($M22*2)/100,IF(AND($M22&lt;&gt;"",$N22="MND",$Q22="EMBOQUE"),($AN22*2)/100,0))</f>
        <v>1.7928</v>
      </c>
      <c r="BI22" s="153" t="n">
        <f aca="false">IF(AND($M22&lt;&gt;"",$N22="VCA",$Q22="LINEAR"),$M22,IF(AND($M22&lt;&gt;"",$N22="MND",$Q22="EMBOQUE"),$AN22*2,0))</f>
        <v>89.64</v>
      </c>
      <c r="BJ22" s="153" t="n">
        <f aca="false">IF(AND($M22&lt;&gt;"",$N22="VCA",$Q22="LINEAR"),($M22*6.8)/100,IF(AND($M22&lt;&gt;"",$N22="MND",$Q22="EMBOQUE"),($AN22*2*6.8)/100,0))</f>
        <v>6.09552</v>
      </c>
      <c r="BK22" s="153" t="n">
        <f aca="false">IF(AND($M22&lt;&gt;"",$N22="VCA",$Q22="LINEAR"),($M22*2.5)/50,IF(AND($M22&lt;&gt;"",$N22="MND",$Q22="EMBOQUE"),($AN22*2*2.5)/50,0))</f>
        <v>4.482</v>
      </c>
      <c r="BL22" s="157" t="str">
        <f aca="false">K22&amp;J22</f>
        <v>Zona01REDES</v>
      </c>
      <c r="BM22" s="152" t="s">
        <v>1559</v>
      </c>
      <c r="BN22" s="152" t="s">
        <v>1560</v>
      </c>
      <c r="BO22" s="152" t="s">
        <v>1561</v>
      </c>
      <c r="BP22" s="152" t="s">
        <v>1587</v>
      </c>
      <c r="BQ22" s="152" t="s">
        <v>1620</v>
      </c>
      <c r="BR22" s="152" t="s">
        <v>1621</v>
      </c>
      <c r="BS22" s="152" t="n">
        <v>203372.379</v>
      </c>
      <c r="BT22" s="152" t="n">
        <v>8239125.429</v>
      </c>
      <c r="BU22" s="152" t="n">
        <v>203441.628</v>
      </c>
      <c r="BV22" s="152" t="n">
        <v>8239069.349</v>
      </c>
      <c r="BW22" s="152" t="n">
        <v>-15.9096119</v>
      </c>
      <c r="BX22" s="152" t="n">
        <v>-47.7699575</v>
      </c>
      <c r="BY22" s="152" t="s">
        <v>1587</v>
      </c>
    </row>
    <row r="23" customFormat="false" ht="13.8" hidden="false" customHeight="false" outlineLevel="0" collapsed="false">
      <c r="A23" s="149" t="n">
        <f aca="false">IF(C23&lt;&gt;"",ROW(A18),"")</f>
        <v>18</v>
      </c>
      <c r="B23" s="150" t="str">
        <f aca="false">HYPERLINK("https://www.google.com/maps/dir/-15.917302,-47.760003/-15.9095214,-47.7705312/data=!4m3!4m2!3e0!5i0")</f>
        <v>https://www.google.com/maps/dir/-15.917302,-47.760003/-15.9095214,-47.7705312/data=!4m3!4m2!3e0!5i0</v>
      </c>
      <c r="C23" s="151" t="s">
        <v>117</v>
      </c>
      <c r="D23" s="152" t="s">
        <v>112</v>
      </c>
      <c r="E23" s="152" t="s">
        <v>113</v>
      </c>
      <c r="F23" s="152" t="s">
        <v>117</v>
      </c>
      <c r="G23" s="152" t="s">
        <v>782</v>
      </c>
      <c r="H23" s="152" t="n">
        <v>63</v>
      </c>
      <c r="I23" s="152" t="s">
        <v>115</v>
      </c>
      <c r="J23" s="152" t="s">
        <v>6</v>
      </c>
      <c r="K23" s="152" t="s">
        <v>1547</v>
      </c>
      <c r="L23" s="152" t="s">
        <v>120</v>
      </c>
      <c r="M23" s="153" t="n">
        <f aca="false">27.43</f>
        <v>27.43</v>
      </c>
      <c r="N23" s="152" t="s">
        <v>1548</v>
      </c>
      <c r="O23" s="152" t="s">
        <v>1549</v>
      </c>
      <c r="P23" s="152" t="s">
        <v>1550</v>
      </c>
      <c r="Q23" s="152" t="s">
        <v>1551</v>
      </c>
      <c r="R23" s="154" t="s">
        <v>1622</v>
      </c>
      <c r="S23" s="154" t="s">
        <v>1553</v>
      </c>
      <c r="T23" s="155" t="s">
        <v>1554</v>
      </c>
      <c r="U23" s="152" t="str">
        <f aca="false">RIGHT(T23,7)</f>
        <v>002/037</v>
      </c>
      <c r="V23" s="152" t="s">
        <v>1555</v>
      </c>
      <c r="W23" s="156" t="n">
        <v>45882</v>
      </c>
      <c r="X23" s="152" t="s">
        <v>1556</v>
      </c>
      <c r="Y23" s="152"/>
      <c r="Z23" s="152" t="s">
        <v>1557</v>
      </c>
      <c r="AA23" s="153" t="n">
        <v>1.9</v>
      </c>
      <c r="AB23" s="151" t="s">
        <v>1623</v>
      </c>
      <c r="AC23" s="151" t="s">
        <v>186</v>
      </c>
      <c r="AD23" s="151" t="str">
        <f aca="false">CONCATENATE($C23,$I23,$H23,$N23,$J23,$K23)</f>
        <v>TUBO PEADPEAD63VCAREDESZona01</v>
      </c>
      <c r="AE23" s="153" t="n">
        <f aca="false">IFERROR(INDEX(APOIO_REDES!$A:$W,MATCH($C23&amp;$I23&amp;$H23&amp;$N23&amp;$O23,APOIO_REDES!$W:$W,0),MATCH(AE$5,APOIO_REDES!$5:$5,0)),0)</f>
        <v>1.2</v>
      </c>
      <c r="AF23" s="153" t="n">
        <f aca="false">IFERROR(INDEX(APOIO_REDES!$A:$W,MATCH($C23&amp;$I23&amp;$H23&amp;$N23&amp;$O23,APOIO_REDES!$W:$W,0),MATCH(AF$5,APOIO_REDES!$5:$5,0)),0)</f>
        <v>1.363</v>
      </c>
      <c r="AG23" s="153" t="n">
        <f aca="false">IFERROR(INDEX(APOIO_REDES!$A:$W,MATCH($C23&amp;$I23&amp;$H23&amp;$N23&amp;$O23,APOIO_REDES!$W:$W,0),MATCH(AG$5,APOIO_REDES!$5:$5,0)),0)</f>
        <v>0.65</v>
      </c>
      <c r="AH23" s="153" t="n">
        <f aca="false">IFERROR(INDEX(APOIO_REDES!$A:$W,MATCH($C23&amp;$I23&amp;$H23&amp;$N23&amp;$O23,APOIO_REDES!$W:$W,0),MATCH(AH$5,APOIO_REDES!$5:$5,0)),0)</f>
        <v>0.1</v>
      </c>
      <c r="AI23" s="153" t="n">
        <f aca="false">IFERROR(IF($H23&lt;&gt;"",(((($H23/1000)/2)^2)*PI()*$M23),0),0)</f>
        <v>0.0855060388676863</v>
      </c>
      <c r="AJ23" s="153" t="n">
        <f aca="false">IFERROR(IF(AND($H23&lt;&gt;"",$I23="FoFo",OR($N23="MND",$N23="VCA"),$Q23="LINEAR"),0,IF(AND($H23&lt;&gt;"",$I23="PEAD",$N23="VCA",$Q23="LINEAR"),($H23/1000)+0.3,IF(AND($H23&lt;&gt;"",$I23="PEAD",$N23="MND",$Q23="EMBOQUE"),0,IF(AND($H23&lt;&gt;"",$I23="PVC",$N23="VCA",$Q23="LINEAR"),($H23/1000)+0.2,IF(AND($H23&lt;&gt;"",$I23="PVC",$N23="MND",$Q23="EMBOQUE"),0,IF(AND($H23&lt;&gt;"",$I23="PEAD",$N23="VCA",$Q23="PREDIAL"),0,0)))))),0)</f>
        <v>0.363</v>
      </c>
      <c r="AK23" s="153" t="n">
        <f aca="false">IF(AA23&lt;&gt;"",AA23,0)</f>
        <v>1.9</v>
      </c>
      <c r="AL23" s="153" t="n">
        <f aca="false">IF(AND($N23="MND",$Q23="EMBOQUE"),$M23,IF(AND($N23="VCA",$Q23="LINEAR"),$M23,IF(AND($N23="VCA",$Q23="PREDIAL"),0,0)))</f>
        <v>27.43</v>
      </c>
      <c r="AM23" s="153" t="n">
        <f aca="false">IF(AND($N23="MND",$Q23="EMBOQUE"),$M23,IF(AND($N23="VCA",$Q23="LINEAR"),$M23,IF(AND($N23="VCA",$Q23="PREDIAL"),0,0)))</f>
        <v>27.43</v>
      </c>
      <c r="AN23" s="153" t="n">
        <f aca="false">ROUND(IF(AND($N23="VCA",$M23&lt;&gt;"",$Q23="LINEAR"),$M23/100,IF(AND($N23="MND",$M23&gt;100,$Q23="EMBOQUE"),$M23/100,0)),0)</f>
        <v>0</v>
      </c>
      <c r="AO23" s="153" t="n">
        <f aca="false">IF(AND($N23="MND",$Q23="EMBOQUE"),$AN23*2*2,IF(AND($N23="VCA",$Q23="LINEAR"),$M23*2,IF(AND($N23="VCA",$Q23="PREDIAL"),0,0)))</f>
        <v>54.86</v>
      </c>
      <c r="AP23" s="153" t="n">
        <f aca="false">IFERROR($M23*$AF23*$AG23,0)</f>
        <v>24.3016085</v>
      </c>
      <c r="AQ23" s="153" t="n">
        <f aca="false">IFERROR(IF(AND($N23="VCA",$AH23&gt;0),$M23*$AG23*$AH23,0),0)</f>
        <v>1.78295</v>
      </c>
      <c r="AR23" s="153" t="n">
        <f aca="false">IFERROR(IF(AND($N23="VCA",$AJ23&gt;0),($M23*$AG23*$AJ23)-$AI23,0),0)</f>
        <v>6.38660246113231</v>
      </c>
      <c r="AS23" s="153" t="n">
        <f aca="false">IFERROR(IF(AND($N23="VCA",$AP23&gt;0),$AP23-$AI23-$AQ23-$AR23,0),0)</f>
        <v>16.04655</v>
      </c>
      <c r="AT23" s="153" t="n">
        <f aca="false">IFERROR(IF($N23="VCA",INDEX(APOIO_REDES!$A:$W,MATCH($C23&amp;$I23&amp;$H23&amp;$N23&amp;$O23,APOIO_REDES!$W:$W,0),MATCH(AT$5,APOIO_REDES!$5:$5,0)),0)*$AP23,0)</f>
        <v>0.264408693388955</v>
      </c>
      <c r="AU23" s="153" t="n">
        <f aca="false">IFERROR(IF($N23="VCA",INDEX(APOIO_REDES!$A:$W,MATCH($C23&amp;$I23&amp;$H23&amp;$N23&amp;$O23,APOIO_REDES!$W:$W,0),MATCH(AU$5,APOIO_REDES!$5:$5,0)),0)*$AP23,0)</f>
        <v>0.211149621444829</v>
      </c>
      <c r="AV23" s="153" t="n">
        <f aca="false">IFERROR(IF($N23="VCA",INDEX(APOIO_REDES!$A:$W,MATCH($C23&amp;$I23&amp;$H23&amp;$N23&amp;$O23,APOIO_REDES!$W:$W,0),MATCH(AV$5,APOIO_REDES!$5:$5,0)),0)*$AP23,0)</f>
        <v>0.029221450018445</v>
      </c>
      <c r="AW23" s="153" t="n">
        <f aca="false">IFERROR(IF($N23="VCA",INDEX(APOIO_REDES!$A:$W,MATCH($C23&amp;$I23&amp;$H23&amp;$N23&amp;$O23,APOIO_REDES!$W:$W,0),MATCH(AW$5,APOIO_REDES!$5:$5,0)),0)*$AP23,0)</f>
        <v>16.6808123724512</v>
      </c>
      <c r="AX23" s="153" t="n">
        <f aca="false">IFERROR(IF($N23="VCA",INDEX(APOIO_REDES!$A:$W,MATCH($C23&amp;$I23&amp;$H23&amp;$N23&amp;$O23,APOIO_REDES!$W:$W,0),MATCH(AX$5,APOIO_REDES!$5:$5,0)),0)*$AP23,0)</f>
        <v>2.30857691615377</v>
      </c>
      <c r="AY23" s="153" t="n">
        <f aca="false">IFERROR(IF($N23="VCA",INDEX(APOIO_REDES!$A:$W,MATCH($C23&amp;$I23&amp;$H23&amp;$N23&amp;$O23,APOIO_REDES!$W:$W,0),MATCH(AY$5,APOIO_REDES!$5:$5,0)),0)*$AP23,0)</f>
        <v>4.2229898549998</v>
      </c>
      <c r="AZ23" s="153" t="n">
        <f aca="false">IFERROR(IF($N23="VCA",INDEX(APOIO_REDES!$A:$W,MATCH($C23&amp;$I23&amp;$H23&amp;$N23&amp;$O23,APOIO_REDES!$W:$W,0),MATCH(AZ$5,APOIO_REDES!$5:$5,0)),0)*$AP23,0)</f>
        <v>0.584449591543053</v>
      </c>
      <c r="BA23" s="153" t="n">
        <f aca="false">IFERROR(IF(AND($N23="VCA",$Q23="LINEAR"),INDEX(APOIO_REDES!$A:$W,MATCH($C23&amp;$I23&amp;$H23&amp;$N23&amp;$O23,APOIO_REDES!$W:$W,0),MATCH(BA$5,APOIO_REDES!$5:$5,0)),IF(AND($N23="MND",$Q23="EMBOQUE"),INDEX(APOIO_REDES!$A:$W,MATCH($C23&amp;$I23&amp;$H23&amp;$N23&amp;$O23,APOIO_REDES!$W:$W,0),MATCH(BA$5,APOIO_REDES!$5:$5,0)),0))*$M23/10,0)</f>
        <v>2.21078881001337</v>
      </c>
      <c r="BB23" s="153" t="n">
        <f aca="false">IFERROR(IF($N23="VCA",INDEX(APOIO_REDES!$A:$W,MATCH($C23&amp;$I23&amp;$H23&amp;$N23&amp;$O23,APOIO_REDES!$W:$W,0),MATCH(BB$5,APOIO_REDES!$5:$5,0)),0)*($AI23+$AQ23+$AR23),0)</f>
        <v>8.16524102014741</v>
      </c>
      <c r="BC23" s="153" t="n">
        <f aca="false">IFERROR(IF($N23="VCA",INDEX(APOIO_REDES!$A:$W,MATCH($C23&amp;$I23&amp;$H23&amp;$N23&amp;$O23,APOIO_REDES!$W:$W,0),MATCH(BC$5,APOIO_REDES!$5:$5,0)),0)*($AI23+$AQ23+$AR23),0)</f>
        <v>0.0898174798525943</v>
      </c>
      <c r="BD23" s="153" t="n">
        <f aca="false">IF(AND($N23="VCA",$AF23&gt;=1.25,$AF23&lt;1.5),$M23*$AF23*2,0)</f>
        <v>74.77418</v>
      </c>
      <c r="BE23" s="153" t="n">
        <f aca="false">IF(AND($N23="VCA",$AF23&gt;=1.5,$AF23&lt;3),$M23*$AF23*2,0)</f>
        <v>0</v>
      </c>
      <c r="BF23" s="153" t="n">
        <f aca="false">IF(AND($N23="VCA",$AF23&gt;=3),$M23*$AF23*2,0)</f>
        <v>0</v>
      </c>
      <c r="BG23" s="153" t="n">
        <f aca="false">($BB23+$BC23)*$AK23</f>
        <v>15.68461115</v>
      </c>
      <c r="BH23" s="153" t="n">
        <f aca="false">IF(AND($M23&lt;&gt;"",$N23="VCA",$Q23="LINEAR"),($M23*2)/100,IF(AND($M23&lt;&gt;"",$N23="MND",$Q23="EMBOQUE"),($AN23*2)/100,0))</f>
        <v>0.5486</v>
      </c>
      <c r="BI23" s="153" t="n">
        <f aca="false">IF(AND($M23&lt;&gt;"",$N23="VCA",$Q23="LINEAR"),$M23,IF(AND($M23&lt;&gt;"",$N23="MND",$Q23="EMBOQUE"),$AN23*2,0))</f>
        <v>27.43</v>
      </c>
      <c r="BJ23" s="153" t="n">
        <f aca="false">IF(AND($M23&lt;&gt;"",$N23="VCA",$Q23="LINEAR"),($M23*6.8)/100,IF(AND($M23&lt;&gt;"",$N23="MND",$Q23="EMBOQUE"),($AN23*2*6.8)/100,0))</f>
        <v>1.86524</v>
      </c>
      <c r="BK23" s="153" t="n">
        <f aca="false">IF(AND($M23&lt;&gt;"",$N23="VCA",$Q23="LINEAR"),($M23*2.5)/50,IF(AND($M23&lt;&gt;"",$N23="MND",$Q23="EMBOQUE"),($AN23*2*2.5)/50,0))</f>
        <v>1.3715</v>
      </c>
      <c r="BL23" s="157" t="str">
        <f aca="false">K23&amp;J23</f>
        <v>Zona01REDES</v>
      </c>
      <c r="BM23" s="152" t="s">
        <v>1559</v>
      </c>
      <c r="BN23" s="152" t="s">
        <v>1560</v>
      </c>
      <c r="BO23" s="152" t="s">
        <v>1561</v>
      </c>
      <c r="BP23" s="152" t="s">
        <v>1609</v>
      </c>
      <c r="BQ23" s="152" t="s">
        <v>1624</v>
      </c>
      <c r="BR23" s="152" t="s">
        <v>1564</v>
      </c>
      <c r="BS23" s="152" t="n">
        <v>203344.575</v>
      </c>
      <c r="BT23" s="152" t="n">
        <v>8239105.627</v>
      </c>
      <c r="BU23" s="152" t="n">
        <v>203326.881</v>
      </c>
      <c r="BV23" s="152" t="n">
        <v>8239084.666</v>
      </c>
      <c r="BW23" s="152" t="n">
        <v>-15.909615</v>
      </c>
      <c r="BX23" s="152" t="n">
        <v>-47.7706151</v>
      </c>
      <c r="BY23" s="152" t="s">
        <v>1609</v>
      </c>
    </row>
    <row r="24" customFormat="false" ht="13.8" hidden="false" customHeight="false" outlineLevel="0" collapsed="false">
      <c r="A24" s="149" t="n">
        <f aca="false">IF(C24&lt;&gt;"",ROW(A19),"")</f>
        <v>19</v>
      </c>
      <c r="B24" s="150" t="str">
        <f aca="false">HYPERLINK("https://www.google.com/maps/dir/-15.917302,-47.760003/-15.9096640,-47.7694341/data=!4m3!4m2!3e0!5i0")</f>
        <v>https://www.google.com/maps/dir/-15.917302,-47.760003/-15.9096640,-47.7694341/data=!4m3!4m2!3e0!5i0</v>
      </c>
      <c r="C24" s="151" t="s">
        <v>117</v>
      </c>
      <c r="D24" s="152" t="s">
        <v>112</v>
      </c>
      <c r="E24" s="152" t="s">
        <v>113</v>
      </c>
      <c r="F24" s="152" t="s">
        <v>117</v>
      </c>
      <c r="G24" s="152" t="s">
        <v>782</v>
      </c>
      <c r="H24" s="152" t="n">
        <v>63</v>
      </c>
      <c r="I24" s="152" t="s">
        <v>115</v>
      </c>
      <c r="J24" s="152" t="s">
        <v>6</v>
      </c>
      <c r="K24" s="152" t="s">
        <v>1547</v>
      </c>
      <c r="L24" s="152" t="s">
        <v>120</v>
      </c>
      <c r="M24" s="153" t="n">
        <f aca="false">5.71</f>
        <v>5.71</v>
      </c>
      <c r="N24" s="152" t="s">
        <v>1548</v>
      </c>
      <c r="O24" s="152" t="s">
        <v>1549</v>
      </c>
      <c r="P24" s="152" t="s">
        <v>1550</v>
      </c>
      <c r="Q24" s="152" t="s">
        <v>1551</v>
      </c>
      <c r="R24" s="154" t="s">
        <v>1625</v>
      </c>
      <c r="S24" s="154" t="s">
        <v>1553</v>
      </c>
      <c r="T24" s="155" t="s">
        <v>1554</v>
      </c>
      <c r="U24" s="152" t="str">
        <f aca="false">RIGHT(T24,7)</f>
        <v>002/037</v>
      </c>
      <c r="V24" s="152" t="s">
        <v>1555</v>
      </c>
      <c r="W24" s="156" t="n">
        <v>45882</v>
      </c>
      <c r="X24" s="152" t="s">
        <v>1556</v>
      </c>
      <c r="Y24" s="152"/>
      <c r="Z24" s="152" t="s">
        <v>1557</v>
      </c>
      <c r="AA24" s="153" t="n">
        <v>1.8</v>
      </c>
      <c r="AB24" s="151" t="s">
        <v>1626</v>
      </c>
      <c r="AC24" s="151" t="s">
        <v>186</v>
      </c>
      <c r="AD24" s="151" t="str">
        <f aca="false">CONCATENATE($C24,$I24,$H24,$N24,$J24,$K24)</f>
        <v>TUBO PEADPEAD63VCAREDESZona01</v>
      </c>
      <c r="AE24" s="153" t="n">
        <f aca="false">IFERROR(INDEX(APOIO_REDES!$A:$W,MATCH($C24&amp;$I24&amp;$H24&amp;$N24&amp;$O24,APOIO_REDES!$W:$W,0),MATCH(AE$5,APOIO_REDES!$5:$5,0)),0)</f>
        <v>1.2</v>
      </c>
      <c r="AF24" s="153" t="n">
        <f aca="false">IFERROR(INDEX(APOIO_REDES!$A:$W,MATCH($C24&amp;$I24&amp;$H24&amp;$N24&amp;$O24,APOIO_REDES!$W:$W,0),MATCH(AF$5,APOIO_REDES!$5:$5,0)),0)</f>
        <v>1.363</v>
      </c>
      <c r="AG24" s="153" t="n">
        <f aca="false">IFERROR(INDEX(APOIO_REDES!$A:$W,MATCH($C24&amp;$I24&amp;$H24&amp;$N24&amp;$O24,APOIO_REDES!$W:$W,0),MATCH(AG$5,APOIO_REDES!$5:$5,0)),0)</f>
        <v>0.65</v>
      </c>
      <c r="AH24" s="153" t="n">
        <f aca="false">IFERROR(INDEX(APOIO_REDES!$A:$W,MATCH($C24&amp;$I24&amp;$H24&amp;$N24&amp;$O24,APOIO_REDES!$W:$W,0),MATCH(AH$5,APOIO_REDES!$5:$5,0)),0)</f>
        <v>0.1</v>
      </c>
      <c r="AI24" s="153" t="n">
        <f aca="false">IFERROR(IF($H24&lt;&gt;"",(((($H24/1000)/2)^2)*PI()*$M24),0),0)</f>
        <v>0.0177994707230947</v>
      </c>
      <c r="AJ24" s="153" t="n">
        <f aca="false">IFERROR(IF(AND($H24&lt;&gt;"",$I24="FoFo",OR($N24="MND",$N24="VCA"),$Q24="LINEAR"),0,IF(AND($H24&lt;&gt;"",$I24="PEAD",$N24="VCA",$Q24="LINEAR"),($H24/1000)+0.3,IF(AND($H24&lt;&gt;"",$I24="PEAD",$N24="MND",$Q24="EMBOQUE"),0,IF(AND($H24&lt;&gt;"",$I24="PVC",$N24="VCA",$Q24="LINEAR"),($H24/1000)+0.2,IF(AND($H24&lt;&gt;"",$I24="PVC",$N24="MND",$Q24="EMBOQUE"),0,IF(AND($H24&lt;&gt;"",$I24="PEAD",$N24="VCA",$Q24="PREDIAL"),0,0)))))),0)</f>
        <v>0.363</v>
      </c>
      <c r="AK24" s="153" t="n">
        <f aca="false">IF(AA24&lt;&gt;"",AA24,0)</f>
        <v>1.8</v>
      </c>
      <c r="AL24" s="153" t="n">
        <f aca="false">IF(AND($N24="MND",$Q24="EMBOQUE"),$M24,IF(AND($N24="VCA",$Q24="LINEAR"),$M24,IF(AND($N24="VCA",$Q24="PREDIAL"),0,0)))</f>
        <v>5.71</v>
      </c>
      <c r="AM24" s="153" t="n">
        <f aca="false">IF(AND($N24="MND",$Q24="EMBOQUE"),$M24,IF(AND($N24="VCA",$Q24="LINEAR"),$M24,IF(AND($N24="VCA",$Q24="PREDIAL"),0,0)))</f>
        <v>5.71</v>
      </c>
      <c r="AN24" s="153" t="n">
        <f aca="false">ROUND(IF(AND($N24="VCA",$M24&lt;&gt;"",$Q24="LINEAR"),$M24/100,IF(AND($N24="MND",$M24&gt;100,$Q24="EMBOQUE"),$M24/100,0)),0)</f>
        <v>0</v>
      </c>
      <c r="AO24" s="153" t="n">
        <f aca="false">IF(AND($N24="MND",$Q24="EMBOQUE"),$AN24*2*2,IF(AND($N24="VCA",$Q24="LINEAR"),$M24*2,IF(AND($N24="VCA",$Q24="PREDIAL"),0,0)))</f>
        <v>11.42</v>
      </c>
      <c r="AP24" s="153" t="n">
        <f aca="false">IFERROR($M24*$AF24*$AG24,0)</f>
        <v>5.0587745</v>
      </c>
      <c r="AQ24" s="153" t="n">
        <f aca="false">IFERROR(IF(AND($N24="VCA",$AH24&gt;0),$M24*$AG24*$AH24,0),0)</f>
        <v>0.37115</v>
      </c>
      <c r="AR24" s="153" t="n">
        <f aca="false">IFERROR(IF(AND($N24="VCA",$AJ24&gt;0),($M24*$AG24*$AJ24)-$AI24,0),0)</f>
        <v>1.32947502927691</v>
      </c>
      <c r="AS24" s="153" t="n">
        <f aca="false">IFERROR(IF(AND($N24="VCA",$AP24&gt;0),$AP24-$AI24-$AQ24-$AR24,0),0)</f>
        <v>3.34035</v>
      </c>
      <c r="AT24" s="153" t="n">
        <f aca="false">IFERROR(IF($N24="VCA",INDEX(APOIO_REDES!$A:$W,MATCH($C24&amp;$I24&amp;$H24&amp;$N24&amp;$O24,APOIO_REDES!$W:$W,0),MATCH(AT$5,APOIO_REDES!$5:$5,0)),0)*$AP24,0)</f>
        <v>0.0550409638808214</v>
      </c>
      <c r="AU24" s="153" t="n">
        <f aca="false">IFERROR(IF($N24="VCA",INDEX(APOIO_REDES!$A:$W,MATCH($C24&amp;$I24&amp;$H24&amp;$N24&amp;$O24,APOIO_REDES!$W:$W,0),MATCH(AU$5,APOIO_REDES!$5:$5,0)),0)*$AP24,0)</f>
        <v>0.043954223056871</v>
      </c>
      <c r="AV24" s="153" t="n">
        <f aca="false">IFERROR(IF($N24="VCA",INDEX(APOIO_REDES!$A:$W,MATCH($C24&amp;$I24&amp;$H24&amp;$N24&amp;$O24,APOIO_REDES!$W:$W,0),MATCH(AV$5,APOIO_REDES!$5:$5,0)),0)*$AP24,0)</f>
        <v>0.00608291941689104</v>
      </c>
      <c r="AW24" s="153" t="n">
        <f aca="false">IFERROR(IF($N24="VCA",INDEX(APOIO_REDES!$A:$W,MATCH($C24&amp;$I24&amp;$H24&amp;$N24&amp;$O24,APOIO_REDES!$W:$W,0),MATCH(AW$5,APOIO_REDES!$5:$5,0)),0)*$AP24,0)</f>
        <v>3.47238201409756</v>
      </c>
      <c r="AX24" s="153" t="n">
        <f aca="false">IFERROR(IF($N24="VCA",INDEX(APOIO_REDES!$A:$W,MATCH($C24&amp;$I24&amp;$H24&amp;$N24&amp;$O24,APOIO_REDES!$W:$W,0),MATCH(AX$5,APOIO_REDES!$5:$5,0)),0)*$AP24,0)</f>
        <v>0.480567779483704</v>
      </c>
      <c r="AY24" s="153" t="n">
        <f aca="false">IFERROR(IF($N24="VCA",INDEX(APOIO_REDES!$A:$W,MATCH($C24&amp;$I24&amp;$H24&amp;$N24&amp;$O24,APOIO_REDES!$W:$W,0),MATCH(AY$5,APOIO_REDES!$5:$5,0)),0)*$AP24,0)</f>
        <v>0.879083925339004</v>
      </c>
      <c r="AZ24" s="153" t="n">
        <f aca="false">IFERROR(IF($N24="VCA",INDEX(APOIO_REDES!$A:$W,MATCH($C24&amp;$I24&amp;$H24&amp;$N24&amp;$O24,APOIO_REDES!$W:$W,0),MATCH(AZ$5,APOIO_REDES!$5:$5,0)),0)*$AP24,0)</f>
        <v>0.121662674725149</v>
      </c>
      <c r="BA24" s="153" t="n">
        <f aca="false">IFERROR(IF(AND($N24="VCA",$Q24="LINEAR"),INDEX(APOIO_REDES!$A:$W,MATCH($C24&amp;$I24&amp;$H24&amp;$N24&amp;$O24,APOIO_REDES!$W:$W,0),MATCH(BA$5,APOIO_REDES!$5:$5,0)),IF(AND($N24="MND",$Q24="EMBOQUE"),INDEX(APOIO_REDES!$A:$W,MATCH($C24&amp;$I24&amp;$H24&amp;$N24&amp;$O24,APOIO_REDES!$W:$W,0),MATCH(BA$5,APOIO_REDES!$5:$5,0)),0))*$M24/10,0)</f>
        <v>0.460211596980545</v>
      </c>
      <c r="BB24" s="153" t="n">
        <f aca="false">IFERROR(IF($N24="VCA",INDEX(APOIO_REDES!$A:$W,MATCH($C24&amp;$I24&amp;$H24&amp;$N24&amp;$O24,APOIO_REDES!$W:$W,0),MATCH(BB$5,APOIO_REDES!$5:$5,0)),0)*($AI24+$AQ24+$AR24),0)</f>
        <v>1.69972753281231</v>
      </c>
      <c r="BC24" s="153" t="n">
        <f aca="false">IFERROR(IF($N24="VCA",INDEX(APOIO_REDES!$A:$W,MATCH($C24&amp;$I24&amp;$H24&amp;$N24&amp;$O24,APOIO_REDES!$W:$W,0),MATCH(BC$5,APOIO_REDES!$5:$5,0)),0)*($AI24+$AQ24+$AR24),0)</f>
        <v>0.0186969671876892</v>
      </c>
      <c r="BD24" s="153" t="n">
        <f aca="false">IF(AND($N24="VCA",$AF24&gt;=1.25,$AF24&lt;1.5),$M24*$AF24*2,0)</f>
        <v>15.56546</v>
      </c>
      <c r="BE24" s="153" t="n">
        <f aca="false">IF(AND($N24="VCA",$AF24&gt;=1.5,$AF24&lt;3),$M24*$AF24*2,0)</f>
        <v>0</v>
      </c>
      <c r="BF24" s="153" t="n">
        <f aca="false">IF(AND($N24="VCA",$AF24&gt;=3),$M24*$AF24*2,0)</f>
        <v>0</v>
      </c>
      <c r="BG24" s="153" t="n">
        <f aca="false">($BB24+$BC24)*$AK24</f>
        <v>3.0931641</v>
      </c>
      <c r="BH24" s="153" t="n">
        <f aca="false">IF(AND($M24&lt;&gt;"",$N24="VCA",$Q24="LINEAR"),($M24*2)/100,IF(AND($M24&lt;&gt;"",$N24="MND",$Q24="EMBOQUE"),($AN24*2)/100,0))</f>
        <v>0.1142</v>
      </c>
      <c r="BI24" s="153" t="n">
        <f aca="false">IF(AND($M24&lt;&gt;"",$N24="VCA",$Q24="LINEAR"),$M24,IF(AND($M24&lt;&gt;"",$N24="MND",$Q24="EMBOQUE"),$AN24*2,0))</f>
        <v>5.71</v>
      </c>
      <c r="BJ24" s="153" t="n">
        <f aca="false">IF(AND($M24&lt;&gt;"",$N24="VCA",$Q24="LINEAR"),($M24*6.8)/100,IF(AND($M24&lt;&gt;"",$N24="MND",$Q24="EMBOQUE"),($AN24*2*6.8)/100,0))</f>
        <v>0.38828</v>
      </c>
      <c r="BK24" s="153" t="n">
        <f aca="false">IF(AND($M24&lt;&gt;"",$N24="VCA",$Q24="LINEAR"),($M24*2.5)/50,IF(AND($M24&lt;&gt;"",$N24="MND",$Q24="EMBOQUE"),($AN24*2*2.5)/50,0))</f>
        <v>0.2855</v>
      </c>
      <c r="BL24" s="157" t="str">
        <f aca="false">K24&amp;J24</f>
        <v>Zona01REDES</v>
      </c>
      <c r="BM24" s="152" t="s">
        <v>1559</v>
      </c>
      <c r="BN24" s="152" t="s">
        <v>1560</v>
      </c>
      <c r="BO24" s="152" t="s">
        <v>1561</v>
      </c>
      <c r="BP24" s="152" t="s">
        <v>1627</v>
      </c>
      <c r="BQ24" s="152" t="s">
        <v>1583</v>
      </c>
      <c r="BR24" s="152" t="s">
        <v>1628</v>
      </c>
      <c r="BS24" s="152" t="n">
        <v>203462.327</v>
      </c>
      <c r="BT24" s="152" t="n">
        <v>8239091.377</v>
      </c>
      <c r="BU24" s="152" t="n">
        <v>203466.598</v>
      </c>
      <c r="BV24" s="152" t="n">
        <v>8239095.16</v>
      </c>
      <c r="BW24" s="152" t="n">
        <v>-15.9096474</v>
      </c>
      <c r="BX24" s="152" t="n">
        <v>-47.769414</v>
      </c>
      <c r="BY24" s="152" t="s">
        <v>1627</v>
      </c>
    </row>
    <row r="25" customFormat="false" ht="13.8" hidden="false" customHeight="false" outlineLevel="0" collapsed="false">
      <c r="A25" s="149" t="n">
        <f aca="false">IF(C25&lt;&gt;"",ROW(A20),"")</f>
        <v>20</v>
      </c>
      <c r="B25" s="150" t="str">
        <f aca="false">HYPERLINK("https://www.google.com/maps/dir/-15.917302,-47.760003/-15.9097086,-47.7706989/data=!4m3!4m2!3e0!5i0")</f>
        <v>https://www.google.com/maps/dir/-15.917302,-47.760003/-15.9097086,-47.7706989/data=!4m3!4m2!3e0!5i0</v>
      </c>
      <c r="C25" s="151" t="s">
        <v>117</v>
      </c>
      <c r="D25" s="152" t="s">
        <v>112</v>
      </c>
      <c r="E25" s="152" t="s">
        <v>113</v>
      </c>
      <c r="F25" s="152" t="s">
        <v>117</v>
      </c>
      <c r="G25" s="152" t="s">
        <v>782</v>
      </c>
      <c r="H25" s="152" t="n">
        <v>63</v>
      </c>
      <c r="I25" s="152" t="s">
        <v>115</v>
      </c>
      <c r="J25" s="152" t="s">
        <v>6</v>
      </c>
      <c r="K25" s="152" t="s">
        <v>1547</v>
      </c>
      <c r="L25" s="152" t="s">
        <v>120</v>
      </c>
      <c r="M25" s="153" t="n">
        <f aca="false">8.27</f>
        <v>8.27</v>
      </c>
      <c r="N25" s="152" t="s">
        <v>1548</v>
      </c>
      <c r="O25" s="152" t="s">
        <v>1549</v>
      </c>
      <c r="P25" s="152" t="s">
        <v>1550</v>
      </c>
      <c r="Q25" s="152" t="s">
        <v>1551</v>
      </c>
      <c r="R25" s="154" t="s">
        <v>1629</v>
      </c>
      <c r="S25" s="154" t="s">
        <v>1553</v>
      </c>
      <c r="T25" s="155" t="s">
        <v>1554</v>
      </c>
      <c r="U25" s="152" t="str">
        <f aca="false">RIGHT(T25,7)</f>
        <v>002/037</v>
      </c>
      <c r="V25" s="152" t="s">
        <v>1555</v>
      </c>
      <c r="W25" s="156" t="n">
        <v>45882</v>
      </c>
      <c r="X25" s="152" t="s">
        <v>1556</v>
      </c>
      <c r="Y25" s="152"/>
      <c r="Z25" s="152" t="s">
        <v>1557</v>
      </c>
      <c r="AA25" s="153" t="n">
        <v>1.9</v>
      </c>
      <c r="AB25" s="151" t="s">
        <v>1630</v>
      </c>
      <c r="AC25" s="151" t="s">
        <v>186</v>
      </c>
      <c r="AD25" s="151" t="str">
        <f aca="false">CONCATENATE($C25,$I25,$H25,$N25,$J25,$K25)</f>
        <v>TUBO PEADPEAD63VCAREDESZona01</v>
      </c>
      <c r="AE25" s="153" t="n">
        <f aca="false">IFERROR(INDEX(APOIO_REDES!$A:$W,MATCH($C25&amp;$I25&amp;$H25&amp;$N25&amp;$O25,APOIO_REDES!$W:$W,0),MATCH(AE$5,APOIO_REDES!$5:$5,0)),0)</f>
        <v>1.2</v>
      </c>
      <c r="AF25" s="153" t="n">
        <f aca="false">IFERROR(INDEX(APOIO_REDES!$A:$W,MATCH($C25&amp;$I25&amp;$H25&amp;$N25&amp;$O25,APOIO_REDES!$W:$W,0),MATCH(AF$5,APOIO_REDES!$5:$5,0)),0)</f>
        <v>1.363</v>
      </c>
      <c r="AG25" s="153" t="n">
        <f aca="false">IFERROR(INDEX(APOIO_REDES!$A:$W,MATCH($C25&amp;$I25&amp;$H25&amp;$N25&amp;$O25,APOIO_REDES!$W:$W,0),MATCH(AG$5,APOIO_REDES!$5:$5,0)),0)</f>
        <v>0.65</v>
      </c>
      <c r="AH25" s="153" t="n">
        <f aca="false">IFERROR(INDEX(APOIO_REDES!$A:$W,MATCH($C25&amp;$I25&amp;$H25&amp;$N25&amp;$O25,APOIO_REDES!$W:$W,0),MATCH(AH$5,APOIO_REDES!$5:$5,0)),0)</f>
        <v>0.1</v>
      </c>
      <c r="AI25" s="153" t="n">
        <f aca="false">IFERROR(IF($H25&lt;&gt;"",(((($H25/1000)/2)^2)*PI()*$M25),0),0)</f>
        <v>0.0257796187180374</v>
      </c>
      <c r="AJ25" s="153" t="n">
        <f aca="false">IFERROR(IF(AND($H25&lt;&gt;"",$I25="FoFo",OR($N25="MND",$N25="VCA"),$Q25="LINEAR"),0,IF(AND($H25&lt;&gt;"",$I25="PEAD",$N25="VCA",$Q25="LINEAR"),($H25/1000)+0.3,IF(AND($H25&lt;&gt;"",$I25="PEAD",$N25="MND",$Q25="EMBOQUE"),0,IF(AND($H25&lt;&gt;"",$I25="PVC",$N25="VCA",$Q25="LINEAR"),($H25/1000)+0.2,IF(AND($H25&lt;&gt;"",$I25="PVC",$N25="MND",$Q25="EMBOQUE"),0,IF(AND($H25&lt;&gt;"",$I25="PEAD",$N25="VCA",$Q25="PREDIAL"),0,0)))))),0)</f>
        <v>0.363</v>
      </c>
      <c r="AK25" s="153" t="n">
        <f aca="false">IF(AA25&lt;&gt;"",AA25,0)</f>
        <v>1.9</v>
      </c>
      <c r="AL25" s="153" t="n">
        <f aca="false">IF(AND($N25="MND",$Q25="EMBOQUE"),$M25,IF(AND($N25="VCA",$Q25="LINEAR"),$M25,IF(AND($N25="VCA",$Q25="PREDIAL"),0,0)))</f>
        <v>8.27</v>
      </c>
      <c r="AM25" s="153" t="n">
        <f aca="false">IF(AND($N25="MND",$Q25="EMBOQUE"),$M25,IF(AND($N25="VCA",$Q25="LINEAR"),$M25,IF(AND($N25="VCA",$Q25="PREDIAL"),0,0)))</f>
        <v>8.27</v>
      </c>
      <c r="AN25" s="153" t="n">
        <f aca="false">ROUND(IF(AND($N25="VCA",$M25&lt;&gt;"",$Q25="LINEAR"),$M25/100,IF(AND($N25="MND",$M25&gt;100,$Q25="EMBOQUE"),$M25/100,0)),0)</f>
        <v>0</v>
      </c>
      <c r="AO25" s="153" t="n">
        <f aca="false">IF(AND($N25="MND",$Q25="EMBOQUE"),$AN25*2*2,IF(AND($N25="VCA",$Q25="LINEAR"),$M25*2,IF(AND($N25="VCA",$Q25="PREDIAL"),0,0)))</f>
        <v>16.54</v>
      </c>
      <c r="AP25" s="153" t="n">
        <f aca="false">IFERROR($M25*$AF25*$AG25,0)</f>
        <v>7.3268065</v>
      </c>
      <c r="AQ25" s="153" t="n">
        <f aca="false">IFERROR(IF(AND($N25="VCA",$AH25&gt;0),$M25*$AG25*$AH25,0),0)</f>
        <v>0.53755</v>
      </c>
      <c r="AR25" s="153" t="n">
        <f aca="false">IFERROR(IF(AND($N25="VCA",$AJ25&gt;0),($M25*$AG25*$AJ25)-$AI25,0),0)</f>
        <v>1.92552688128196</v>
      </c>
      <c r="AS25" s="153" t="n">
        <f aca="false">IFERROR(IF(AND($N25="VCA",$AP25&gt;0),$AP25-$AI25-$AQ25-$AR25,0),0)</f>
        <v>4.83795</v>
      </c>
      <c r="AT25" s="153" t="n">
        <f aca="false">IFERROR(IF($N25="VCA",INDEX(APOIO_REDES!$A:$W,MATCH($C25&amp;$I25&amp;$H25&amp;$N25&amp;$O25,APOIO_REDES!$W:$W,0),MATCH(AT$5,APOIO_REDES!$5:$5,0)),0)*$AP25,0)</f>
        <v>0.0797178233440268</v>
      </c>
      <c r="AU25" s="153" t="n">
        <f aca="false">IFERROR(IF($N25="VCA",INDEX(APOIO_REDES!$A:$W,MATCH($C25&amp;$I25&amp;$H25&amp;$N25&amp;$O25,APOIO_REDES!$W:$W,0),MATCH(AU$5,APOIO_REDES!$5:$5,0)),0)*$AP25,0)</f>
        <v>0.0636604946900741</v>
      </c>
      <c r="AV25" s="153" t="n">
        <f aca="false">IFERROR(IF($N25="VCA",INDEX(APOIO_REDES!$A:$W,MATCH($C25&amp;$I25&amp;$H25&amp;$N25&amp;$O25,APOIO_REDES!$W:$W,0),MATCH(AV$5,APOIO_REDES!$5:$5,0)),0)*$AP25,0)</f>
        <v>0.00881011271062853</v>
      </c>
      <c r="AW25" s="153" t="n">
        <f aca="false">IFERROR(IF($N25="VCA",INDEX(APOIO_REDES!$A:$W,MATCH($C25&amp;$I25&amp;$H25&amp;$N25&amp;$O25,APOIO_REDES!$W:$W,0),MATCH(AW$5,APOIO_REDES!$5:$5,0)),0)*$AP25,0)</f>
        <v>5.02917675246704</v>
      </c>
      <c r="AX25" s="153" t="n">
        <f aca="false">IFERROR(IF($N25="VCA",INDEX(APOIO_REDES!$A:$W,MATCH($C25&amp;$I25&amp;$H25&amp;$N25&amp;$O25,APOIO_REDES!$W:$W,0),MATCH(AX$5,APOIO_REDES!$5:$5,0)),0)*$AP25,0)</f>
        <v>0.696023736660286</v>
      </c>
      <c r="AY25" s="153" t="n">
        <f aca="false">IFERROR(IF($N25="VCA",INDEX(APOIO_REDES!$A:$W,MATCH($C25&amp;$I25&amp;$H25&amp;$N25&amp;$O25,APOIO_REDES!$W:$W,0),MATCH(AY$5,APOIO_REDES!$5:$5,0)),0)*$AP25,0)</f>
        <v>1.27320911778521</v>
      </c>
      <c r="AZ25" s="153" t="n">
        <f aca="false">IFERROR(IF($N25="VCA",INDEX(APOIO_REDES!$A:$W,MATCH($C25&amp;$I25&amp;$H25&amp;$N25&amp;$O25,APOIO_REDES!$W:$W,0),MATCH(AZ$5,APOIO_REDES!$5:$5,0)),0)*$AP25,0)</f>
        <v>0.176208462342729</v>
      </c>
      <c r="BA25" s="153" t="n">
        <f aca="false">IFERROR(IF(AND($N25="VCA",$Q25="LINEAR"),INDEX(APOIO_REDES!$A:$W,MATCH($C25&amp;$I25&amp;$H25&amp;$N25&amp;$O25,APOIO_REDES!$W:$W,0),MATCH(BA$5,APOIO_REDES!$5:$5,0)),IF(AND($N25="MND",$Q25="EMBOQUE"),INDEX(APOIO_REDES!$A:$W,MATCH($C25&amp;$I25&amp;$H25&amp;$N25&amp;$O25,APOIO_REDES!$W:$W,0),MATCH(BA$5,APOIO_REDES!$5:$5,0)),0))*$M25/10,0)</f>
        <v>0.666541139584783</v>
      </c>
      <c r="BB25" s="153" t="n">
        <f aca="false">IFERROR(IF($N25="VCA",INDEX(APOIO_REDES!$A:$W,MATCH($C25&amp;$I25&amp;$H25&amp;$N25&amp;$O25,APOIO_REDES!$W:$W,0),MATCH(BB$5,APOIO_REDES!$5:$5,0)),0)*($AI25+$AQ25+$AR25),0)</f>
        <v>2.46177700461608</v>
      </c>
      <c r="BC25" s="153" t="n">
        <f aca="false">IFERROR(IF($N25="VCA",INDEX(APOIO_REDES!$A:$W,MATCH($C25&amp;$I25&amp;$H25&amp;$N25&amp;$O25,APOIO_REDES!$W:$W,0),MATCH(BC$5,APOIO_REDES!$5:$5,0)),0)*($AI25+$AQ25+$AR25),0)</f>
        <v>0.0270794953839211</v>
      </c>
      <c r="BD25" s="153" t="n">
        <f aca="false">IF(AND($N25="VCA",$AF25&gt;=1.25,$AF25&lt;1.5),$M25*$AF25*2,0)</f>
        <v>22.54402</v>
      </c>
      <c r="BE25" s="153" t="n">
        <f aca="false">IF(AND($N25="VCA",$AF25&gt;=1.5,$AF25&lt;3),$M25*$AF25*2,0)</f>
        <v>0</v>
      </c>
      <c r="BF25" s="153" t="n">
        <f aca="false">IF(AND($N25="VCA",$AF25&gt;=3),$M25*$AF25*2,0)</f>
        <v>0</v>
      </c>
      <c r="BG25" s="153" t="n">
        <f aca="false">($BB25+$BC25)*$AK25</f>
        <v>4.72882735</v>
      </c>
      <c r="BH25" s="153" t="n">
        <f aca="false">IF(AND($M25&lt;&gt;"",$N25="VCA",$Q25="LINEAR"),($M25*2)/100,IF(AND($M25&lt;&gt;"",$N25="MND",$Q25="EMBOQUE"),($AN25*2)/100,0))</f>
        <v>0.1654</v>
      </c>
      <c r="BI25" s="153" t="n">
        <f aca="false">IF(AND($M25&lt;&gt;"",$N25="VCA",$Q25="LINEAR"),$M25,IF(AND($M25&lt;&gt;"",$N25="MND",$Q25="EMBOQUE"),$AN25*2,0))</f>
        <v>8.27</v>
      </c>
      <c r="BJ25" s="153" t="n">
        <f aca="false">IF(AND($M25&lt;&gt;"",$N25="VCA",$Q25="LINEAR"),($M25*6.8)/100,IF(AND($M25&lt;&gt;"",$N25="MND",$Q25="EMBOQUE"),($AN25*2*6.8)/100,0))</f>
        <v>0.56236</v>
      </c>
      <c r="BK25" s="153" t="n">
        <f aca="false">IF(AND($M25&lt;&gt;"",$N25="VCA",$Q25="LINEAR"),($M25*2.5)/50,IF(AND($M25&lt;&gt;"",$N25="MND",$Q25="EMBOQUE"),($AN25*2*2.5)/50,0))</f>
        <v>0.4135</v>
      </c>
      <c r="BL25" s="157" t="str">
        <f aca="false">K25&amp;J25</f>
        <v>Zona01REDES</v>
      </c>
      <c r="BM25" s="152" t="s">
        <v>1559</v>
      </c>
      <c r="BN25" s="152" t="s">
        <v>1560</v>
      </c>
      <c r="BO25" s="152" t="s">
        <v>1561</v>
      </c>
      <c r="BP25" s="152" t="s">
        <v>1624</v>
      </c>
      <c r="BQ25" s="152" t="s">
        <v>1631</v>
      </c>
      <c r="BR25" s="152" t="s">
        <v>1564</v>
      </c>
      <c r="BS25" s="152" t="n">
        <v>203326.881</v>
      </c>
      <c r="BT25" s="152" t="n">
        <v>8239084.666</v>
      </c>
      <c r="BU25" s="152" t="n">
        <v>203319.91</v>
      </c>
      <c r="BV25" s="152" t="n">
        <v>8239089.111</v>
      </c>
      <c r="BW25" s="152" t="n">
        <v>-15.9096881</v>
      </c>
      <c r="BX25" s="152" t="n">
        <v>-47.7707312</v>
      </c>
      <c r="BY25" s="152" t="s">
        <v>1624</v>
      </c>
    </row>
    <row r="26" customFormat="false" ht="13.8" hidden="false" customHeight="false" outlineLevel="0" collapsed="false">
      <c r="A26" s="149" t="n">
        <f aca="false">IF(C26&lt;&gt;"",ROW(A21),"")</f>
        <v>21</v>
      </c>
      <c r="B26" s="150" t="str">
        <f aca="false">HYPERLINK("https://www.google.com/maps/dir/-15.917302,-47.760003/-15.9098606,-47.7696301/data=!4m3!4m2!3e0!5i0")</f>
        <v>https://www.google.com/maps/dir/-15.917302,-47.760003/-15.9098606,-47.7696301/data=!4m3!4m2!3e0!5i0</v>
      </c>
      <c r="C26" s="151" t="s">
        <v>117</v>
      </c>
      <c r="D26" s="152" t="s">
        <v>112</v>
      </c>
      <c r="E26" s="152" t="s">
        <v>113</v>
      </c>
      <c r="F26" s="152" t="s">
        <v>117</v>
      </c>
      <c r="G26" s="152" t="s">
        <v>782</v>
      </c>
      <c r="H26" s="152" t="n">
        <v>90</v>
      </c>
      <c r="I26" s="152" t="s">
        <v>115</v>
      </c>
      <c r="J26" s="152" t="s">
        <v>6</v>
      </c>
      <c r="K26" s="152" t="s">
        <v>1547</v>
      </c>
      <c r="L26" s="152" t="s">
        <v>120</v>
      </c>
      <c r="M26" s="153" t="n">
        <f aca="false">30.27</f>
        <v>30.27</v>
      </c>
      <c r="N26" s="152" t="s">
        <v>1548</v>
      </c>
      <c r="O26" s="152" t="s">
        <v>1549</v>
      </c>
      <c r="P26" s="152" t="s">
        <v>1550</v>
      </c>
      <c r="Q26" s="152" t="s">
        <v>1551</v>
      </c>
      <c r="R26" s="154" t="s">
        <v>1632</v>
      </c>
      <c r="S26" s="154" t="s">
        <v>1593</v>
      </c>
      <c r="T26" s="155" t="s">
        <v>1554</v>
      </c>
      <c r="U26" s="152" t="str">
        <f aca="false">RIGHT(T26,7)</f>
        <v>002/037</v>
      </c>
      <c r="V26" s="152" t="s">
        <v>1555</v>
      </c>
      <c r="W26" s="156" t="n">
        <v>45882</v>
      </c>
      <c r="X26" s="152" t="s">
        <v>1556</v>
      </c>
      <c r="Y26" s="152"/>
      <c r="Z26" s="152" t="s">
        <v>1557</v>
      </c>
      <c r="AA26" s="153" t="n">
        <v>1.8</v>
      </c>
      <c r="AB26" s="151" t="s">
        <v>1633</v>
      </c>
      <c r="AC26" s="151" t="s">
        <v>526</v>
      </c>
      <c r="AD26" s="151" t="str">
        <f aca="false">CONCATENATE($C26,$I26,$H26,$N26,$J26,$K26)</f>
        <v>TUBO PEADPEAD90VCAREDESZona01</v>
      </c>
      <c r="AE26" s="153" t="n">
        <f aca="false">IFERROR(INDEX(APOIO_REDES!$A:$W,MATCH($C26&amp;$I26&amp;$H26&amp;$N26&amp;$O26,APOIO_REDES!$W:$W,0),MATCH(AE$5,APOIO_REDES!$5:$5,0)),0)</f>
        <v>1.2</v>
      </c>
      <c r="AF26" s="153" t="n">
        <f aca="false">IFERROR(INDEX(APOIO_REDES!$A:$W,MATCH($C26&amp;$I26&amp;$H26&amp;$N26&amp;$O26,APOIO_REDES!$W:$W,0),MATCH(AF$5,APOIO_REDES!$5:$5,0)),0)</f>
        <v>1.39</v>
      </c>
      <c r="AG26" s="153" t="n">
        <f aca="false">IFERROR(INDEX(APOIO_REDES!$A:$W,MATCH($C26&amp;$I26&amp;$H26&amp;$N26&amp;$O26,APOIO_REDES!$W:$W,0),MATCH(AG$5,APOIO_REDES!$5:$5,0)),0)</f>
        <v>0.75</v>
      </c>
      <c r="AH26" s="153" t="n">
        <f aca="false">IFERROR(INDEX(APOIO_REDES!$A:$W,MATCH($C26&amp;$I26&amp;$H26&amp;$N26&amp;$O26,APOIO_REDES!$W:$W,0),MATCH(AH$5,APOIO_REDES!$5:$5,0)),0)</f>
        <v>0.1</v>
      </c>
      <c r="AI26" s="153" t="n">
        <f aca="false">IFERROR(IF($H26&lt;&gt;"",(((($H26/1000)/2)^2)*PI()*$M26),0),0)</f>
        <v>0.19256941948893</v>
      </c>
      <c r="AJ26" s="153" t="n">
        <f aca="false">IFERROR(IF(AND($H26&lt;&gt;"",$I26="FoFo",OR($N26="MND",$N26="VCA"),$Q26="LINEAR"),0,IF(AND($H26&lt;&gt;"",$I26="PEAD",$N26="VCA",$Q26="LINEAR"),($H26/1000)+0.3,IF(AND($H26&lt;&gt;"",$I26="PEAD",$N26="MND",$Q26="EMBOQUE"),0,IF(AND($H26&lt;&gt;"",$I26="PVC",$N26="VCA",$Q26="LINEAR"),($H26/1000)+0.2,IF(AND($H26&lt;&gt;"",$I26="PVC",$N26="MND",$Q26="EMBOQUE"),0,IF(AND($H26&lt;&gt;"",$I26="PEAD",$N26="VCA",$Q26="PREDIAL"),0,0)))))),0)</f>
        <v>0.39</v>
      </c>
      <c r="AK26" s="153" t="n">
        <f aca="false">IF(AA26&lt;&gt;"",AA26,0)</f>
        <v>1.8</v>
      </c>
      <c r="AL26" s="153" t="n">
        <f aca="false">IF(AND($N26="MND",$Q26="EMBOQUE"),$M26,IF(AND($N26="VCA",$Q26="LINEAR"),$M26,IF(AND($N26="VCA",$Q26="PREDIAL"),0,0)))</f>
        <v>30.27</v>
      </c>
      <c r="AM26" s="153" t="n">
        <f aca="false">IF(AND($N26="MND",$Q26="EMBOQUE"),$M26,IF(AND($N26="VCA",$Q26="LINEAR"),$M26,IF(AND($N26="VCA",$Q26="PREDIAL"),0,0)))</f>
        <v>30.27</v>
      </c>
      <c r="AN26" s="153" t="n">
        <f aca="false">ROUND(IF(AND($N26="VCA",$M26&lt;&gt;"",$Q26="LINEAR"),$M26/100,IF(AND($N26="MND",$M26&gt;100,$Q26="EMBOQUE"),$M26/100,0)),0)</f>
        <v>0</v>
      </c>
      <c r="AO26" s="153" t="n">
        <f aca="false">IF(AND($N26="MND",$Q26="EMBOQUE"),$AN26*2*2,IF(AND($N26="VCA",$Q26="LINEAR"),$M26*2,IF(AND($N26="VCA",$Q26="PREDIAL"),0,0)))</f>
        <v>60.54</v>
      </c>
      <c r="AP26" s="153" t="n">
        <f aca="false">IFERROR($M26*$AF26*$AG26,0)</f>
        <v>31.556475</v>
      </c>
      <c r="AQ26" s="153" t="n">
        <f aca="false">IFERROR(IF(AND($N26="VCA",$AH26&gt;0),$M26*$AG26*$AH26,0),0)</f>
        <v>2.27025</v>
      </c>
      <c r="AR26" s="153" t="n">
        <f aca="false">IFERROR(IF(AND($N26="VCA",$AJ26&gt;0),($M26*$AG26*$AJ26)-$AI26,0),0)</f>
        <v>8.66140558051107</v>
      </c>
      <c r="AS26" s="153" t="n">
        <f aca="false">IFERROR(IF(AND($N26="VCA",$AP26&gt;0),$AP26-$AI26-$AQ26-$AR26,0),0)</f>
        <v>20.43225</v>
      </c>
      <c r="AT26" s="153" t="n">
        <f aca="false">IFERROR(IF($N26="VCA",INDEX(APOIO_REDES!$A:$W,MATCH($C26&amp;$I26&amp;$H26&amp;$N26&amp;$O26,APOIO_REDES!$W:$W,0),MATCH(AT$5,APOIO_REDES!$5:$5,0)),0)*$AP26,0)</f>
        <v>0.343343788239829</v>
      </c>
      <c r="AU26" s="153" t="n">
        <f aca="false">IFERROR(IF($N26="VCA",INDEX(APOIO_REDES!$A:$W,MATCH($C26&amp;$I26&amp;$H26&amp;$N26&amp;$O26,APOIO_REDES!$W:$W,0),MATCH(AU$5,APOIO_REDES!$5:$5,0)),0)*$AP26,0)</f>
        <v>0.274185050359247</v>
      </c>
      <c r="AV26" s="153" t="n">
        <f aca="false">IFERROR(IF($N26="VCA",INDEX(APOIO_REDES!$A:$W,MATCH($C26&amp;$I26&amp;$H26&amp;$N26&amp;$O26,APOIO_REDES!$W:$W,0),MATCH(AV$5,APOIO_REDES!$5:$5,0)),0)*$AP26,0)</f>
        <v>0.0379450585326815</v>
      </c>
      <c r="AW26" s="153" t="n">
        <f aca="false">IFERROR(IF($N26="VCA",INDEX(APOIO_REDES!$A:$W,MATCH($C26&amp;$I26&amp;$H26&amp;$N26&amp;$O26,APOIO_REDES!$W:$W,0),MATCH(AW$5,APOIO_REDES!$5:$5,0)),0)*$AP26,0)</f>
        <v>21.6606089514999</v>
      </c>
      <c r="AX26" s="153" t="n">
        <f aca="false">IFERROR(IF($N26="VCA",INDEX(APOIO_REDES!$A:$W,MATCH($C26&amp;$I26&amp;$H26&amp;$N26&amp;$O26,APOIO_REDES!$W:$W,0),MATCH(AX$5,APOIO_REDES!$5:$5,0)),0)*$AP26,0)</f>
        <v>2.99776657747504</v>
      </c>
      <c r="AY26" s="153" t="n">
        <f aca="false">IFERROR(IF($N26="VCA",INDEX(APOIO_REDES!$A:$W,MATCH($C26&amp;$I26&amp;$H26&amp;$N26&amp;$O26,APOIO_REDES!$W:$W,0),MATCH(AY$5,APOIO_REDES!$5:$5,0)),0)*$AP26,0)</f>
        <v>5.4836976648914</v>
      </c>
      <c r="AZ26" s="153" t="n">
        <f aca="false">IFERROR(IF($N26="VCA",INDEX(APOIO_REDES!$A:$W,MATCH($C26&amp;$I26&amp;$H26&amp;$N26&amp;$O26,APOIO_REDES!$W:$W,0),MATCH(AZ$5,APOIO_REDES!$5:$5,0)),0)*$AP26,0)</f>
        <v>0.758927909001931</v>
      </c>
      <c r="BA26" s="153" t="n">
        <f aca="false">IFERROR(IF(AND($N26="VCA",$Q26="LINEAR"),INDEX(APOIO_REDES!$A:$W,MATCH($C26&amp;$I26&amp;$H26&amp;$N26&amp;$O26,APOIO_REDES!$W:$W,0),MATCH(BA$5,APOIO_REDES!$5:$5,0)),IF(AND($N26="MND",$Q26="EMBOQUE"),INDEX(APOIO_REDES!$A:$W,MATCH($C26&amp;$I26&amp;$H26&amp;$N26&amp;$O26,APOIO_REDES!$W:$W,0),MATCH(BA$5,APOIO_REDES!$5:$5,0)),0))*$M26/10,0)</f>
        <v>2.43968564633995</v>
      </c>
      <c r="BB26" s="153" t="n">
        <f aca="false">IFERROR(IF($N26="VCA",INDEX(APOIO_REDES!$A:$W,MATCH($C26&amp;$I26&amp;$H26&amp;$N26&amp;$O26,APOIO_REDES!$W:$W,0),MATCH(BB$5,APOIO_REDES!$5:$5,0)),0)*($AI26+$AQ26+$AR26),0)</f>
        <v>11.0031901393975</v>
      </c>
      <c r="BC26" s="153" t="n">
        <f aca="false">IFERROR(IF($N26="VCA",INDEX(APOIO_REDES!$A:$W,MATCH($C26&amp;$I26&amp;$H26&amp;$N26&amp;$O26,APOIO_REDES!$W:$W,0),MATCH(BC$5,APOIO_REDES!$5:$5,0)),0)*($AI26+$AQ26+$AR26),0)</f>
        <v>0.121034860602529</v>
      </c>
      <c r="BD26" s="153" t="n">
        <f aca="false">IF(AND($N26="VCA",$AF26&gt;=1.25,$AF26&lt;1.5),$M26*$AF26*2,0)</f>
        <v>84.1506</v>
      </c>
      <c r="BE26" s="153" t="n">
        <f aca="false">IF(AND($N26="VCA",$AF26&gt;=1.5,$AF26&lt;3),$M26*$AF26*2,0)</f>
        <v>0</v>
      </c>
      <c r="BF26" s="153" t="n">
        <f aca="false">IF(AND($N26="VCA",$AF26&gt;=3),$M26*$AF26*2,0)</f>
        <v>0</v>
      </c>
      <c r="BG26" s="153" t="n">
        <f aca="false">($BB26+$BC26)*$AK26</f>
        <v>20.023605</v>
      </c>
      <c r="BH26" s="153" t="n">
        <f aca="false">IF(AND($M26&lt;&gt;"",$N26="VCA",$Q26="LINEAR"),($M26*2)/100,IF(AND($M26&lt;&gt;"",$N26="MND",$Q26="EMBOQUE"),($AN26*2)/100,0))</f>
        <v>0.6054</v>
      </c>
      <c r="BI26" s="153" t="n">
        <f aca="false">IF(AND($M26&lt;&gt;"",$N26="VCA",$Q26="LINEAR"),$M26,IF(AND($M26&lt;&gt;"",$N26="MND",$Q26="EMBOQUE"),$AN26*2,0))</f>
        <v>30.27</v>
      </c>
      <c r="BJ26" s="153" t="n">
        <f aca="false">IF(AND($M26&lt;&gt;"",$N26="VCA",$Q26="LINEAR"),($M26*6.8)/100,IF(AND($M26&lt;&gt;"",$N26="MND",$Q26="EMBOQUE"),($AN26*2*6.8)/100,0))</f>
        <v>2.05836</v>
      </c>
      <c r="BK26" s="153" t="n">
        <f aca="false">IF(AND($M26&lt;&gt;"",$N26="VCA",$Q26="LINEAR"),($M26*2.5)/50,IF(AND($M26&lt;&gt;"",$N26="MND",$Q26="EMBOQUE"),($AN26*2*2.5)/50,0))</f>
        <v>1.5135</v>
      </c>
      <c r="BL26" s="157" t="str">
        <f aca="false">K26&amp;J26</f>
        <v>Zona01REDES</v>
      </c>
      <c r="BM26" s="152" t="s">
        <v>1559</v>
      </c>
      <c r="BN26" s="152" t="s">
        <v>1560</v>
      </c>
      <c r="BO26" s="152" t="s">
        <v>1561</v>
      </c>
      <c r="BP26" s="152" t="s">
        <v>1620</v>
      </c>
      <c r="BQ26" s="152" t="s">
        <v>1627</v>
      </c>
      <c r="BR26" s="152" t="s">
        <v>1634</v>
      </c>
      <c r="BS26" s="152" t="n">
        <v>203441.963</v>
      </c>
      <c r="BT26" s="152" t="n">
        <v>8239069.089</v>
      </c>
      <c r="BU26" s="152" t="n">
        <v>203462.327</v>
      </c>
      <c r="BV26" s="152" t="n">
        <v>8239091.377</v>
      </c>
      <c r="BW26" s="152" t="n">
        <v>-15.9097579</v>
      </c>
      <c r="BX26" s="152" t="n">
        <v>-47.7695367</v>
      </c>
      <c r="BY26" s="152" t="s">
        <v>1620</v>
      </c>
    </row>
    <row r="27" customFormat="false" ht="13.8" hidden="false" customHeight="false" outlineLevel="0" collapsed="false">
      <c r="A27" s="149" t="n">
        <f aca="false">IF(C27&lt;&gt;"",ROW(A22),"")</f>
        <v>22</v>
      </c>
      <c r="B27" s="150" t="str">
        <f aca="false">HYPERLINK("https://www.google.com/maps/dir/-15.917302,-47.760003/-15.9096640,-47.7694341/data=!4m3!4m2!3e0!5i0")</f>
        <v>https://www.google.com/maps/dir/-15.917302,-47.760003/-15.9096640,-47.7694341/data=!4m3!4m2!3e0!5i0</v>
      </c>
      <c r="C27" s="151" t="s">
        <v>117</v>
      </c>
      <c r="D27" s="152" t="s">
        <v>112</v>
      </c>
      <c r="E27" s="152" t="s">
        <v>113</v>
      </c>
      <c r="F27" s="152" t="s">
        <v>117</v>
      </c>
      <c r="G27" s="152" t="s">
        <v>782</v>
      </c>
      <c r="H27" s="152" t="n">
        <v>110</v>
      </c>
      <c r="I27" s="152" t="s">
        <v>115</v>
      </c>
      <c r="J27" s="152" t="s">
        <v>6</v>
      </c>
      <c r="K27" s="152" t="s">
        <v>1547</v>
      </c>
      <c r="L27" s="152" t="s">
        <v>120</v>
      </c>
      <c r="M27" s="153" t="n">
        <f aca="false">38.02</f>
        <v>38.02</v>
      </c>
      <c r="N27" s="152" t="s">
        <v>1548</v>
      </c>
      <c r="O27" s="152" t="s">
        <v>1549</v>
      </c>
      <c r="P27" s="152" t="s">
        <v>1550</v>
      </c>
      <c r="Q27" s="152" t="s">
        <v>1551</v>
      </c>
      <c r="R27" s="154" t="s">
        <v>1635</v>
      </c>
      <c r="S27" s="154" t="s">
        <v>1593</v>
      </c>
      <c r="T27" s="155" t="s">
        <v>1554</v>
      </c>
      <c r="U27" s="152" t="str">
        <f aca="false">RIGHT(T27,7)</f>
        <v>002/037</v>
      </c>
      <c r="V27" s="152" t="s">
        <v>1555</v>
      </c>
      <c r="W27" s="156" t="n">
        <v>45882</v>
      </c>
      <c r="X27" s="152" t="s">
        <v>1556</v>
      </c>
      <c r="Y27" s="152"/>
      <c r="Z27" s="152" t="s">
        <v>1557</v>
      </c>
      <c r="AA27" s="153" t="n">
        <v>1.8</v>
      </c>
      <c r="AB27" s="151" t="s">
        <v>1636</v>
      </c>
      <c r="AC27" s="151" t="s">
        <v>502</v>
      </c>
      <c r="AD27" s="151" t="str">
        <f aca="false">CONCATENATE($C27,$I27,$H27,$N27,$J27,$K27)</f>
        <v>TUBO PEADPEAD110VCAREDESZona01</v>
      </c>
      <c r="AE27" s="153" t="n">
        <f aca="false">IFERROR(INDEX(APOIO_REDES!$A:$W,MATCH($C27&amp;$I27&amp;$H27&amp;$N27&amp;$O27,APOIO_REDES!$W:$W,0),MATCH(AE$5,APOIO_REDES!$5:$5,0)),0)</f>
        <v>1.2</v>
      </c>
      <c r="AF27" s="153" t="n">
        <f aca="false">IFERROR(INDEX(APOIO_REDES!$A:$W,MATCH($C27&amp;$I27&amp;$H27&amp;$N27&amp;$O27,APOIO_REDES!$W:$W,0),MATCH(AF$5,APOIO_REDES!$5:$5,0)),0)</f>
        <v>1.41</v>
      </c>
      <c r="AG27" s="153" t="n">
        <f aca="false">IFERROR(INDEX(APOIO_REDES!$A:$W,MATCH($C27&amp;$I27&amp;$H27&amp;$N27&amp;$O27,APOIO_REDES!$W:$W,0),MATCH(AG$5,APOIO_REDES!$5:$5,0)),0)</f>
        <v>0.75</v>
      </c>
      <c r="AH27" s="153" t="n">
        <f aca="false">IFERROR(INDEX(APOIO_REDES!$A:$W,MATCH($C27&amp;$I27&amp;$H27&amp;$N27&amp;$O27,APOIO_REDES!$W:$W,0),MATCH(AH$5,APOIO_REDES!$5:$5,0)),0)</f>
        <v>0.1</v>
      </c>
      <c r="AI27" s="153" t="n">
        <f aca="false">IFERROR(IF($H27&lt;&gt;"",(((($H27/1000)/2)^2)*PI()*$M27),0),0)</f>
        <v>0.361316141885689</v>
      </c>
      <c r="AJ27" s="153" t="n">
        <f aca="false">IFERROR(IF(AND($H27&lt;&gt;"",$I27="FoFo",OR($N27="MND",$N27="VCA"),$Q27="LINEAR"),0,IF(AND($H27&lt;&gt;"",$I27="PEAD",$N27="VCA",$Q27="LINEAR"),($H27/1000)+0.3,IF(AND($H27&lt;&gt;"",$I27="PEAD",$N27="MND",$Q27="EMBOQUE"),0,IF(AND($H27&lt;&gt;"",$I27="PVC",$N27="VCA",$Q27="LINEAR"),($H27/1000)+0.2,IF(AND($H27&lt;&gt;"",$I27="PVC",$N27="MND",$Q27="EMBOQUE"),0,IF(AND($H27&lt;&gt;"",$I27="PEAD",$N27="VCA",$Q27="PREDIAL"),0,0)))))),0)</f>
        <v>0.41</v>
      </c>
      <c r="AK27" s="153" t="n">
        <f aca="false">IF(AA27&lt;&gt;"",AA27,0)</f>
        <v>1.8</v>
      </c>
      <c r="AL27" s="153" t="n">
        <f aca="false">IF(AND($N27="MND",$Q27="EMBOQUE"),$M27,IF(AND($N27="VCA",$Q27="LINEAR"),$M27,IF(AND($N27="VCA",$Q27="PREDIAL"),0,0)))</f>
        <v>38.02</v>
      </c>
      <c r="AM27" s="153" t="n">
        <f aca="false">IF(AND($N27="MND",$Q27="EMBOQUE"),$M27,IF(AND($N27="VCA",$Q27="LINEAR"),$M27,IF(AND($N27="VCA",$Q27="PREDIAL"),0,0)))</f>
        <v>38.02</v>
      </c>
      <c r="AN27" s="153" t="n">
        <f aca="false">ROUND(IF(AND($N27="VCA",$M27&lt;&gt;"",$Q27="LINEAR"),$M27/100,IF(AND($N27="MND",$M27&gt;100,$Q27="EMBOQUE"),$M27/100,0)),0)</f>
        <v>0</v>
      </c>
      <c r="AO27" s="153" t="n">
        <f aca="false">IF(AND($N27="MND",$Q27="EMBOQUE"),$AN27*2*2,IF(AND($N27="VCA",$Q27="LINEAR"),$M27*2,IF(AND($N27="VCA",$Q27="PREDIAL"),0,0)))</f>
        <v>76.04</v>
      </c>
      <c r="AP27" s="153" t="n">
        <f aca="false">IFERROR($M27*$AF27*$AG27,0)</f>
        <v>40.20615</v>
      </c>
      <c r="AQ27" s="153" t="n">
        <f aca="false">IFERROR(IF(AND($N27="VCA",$AH27&gt;0),$M27*$AG27*$AH27,0),0)</f>
        <v>2.8515</v>
      </c>
      <c r="AR27" s="153" t="n">
        <f aca="false">IFERROR(IF(AND($N27="VCA",$AJ27&gt;0),($M27*$AG27*$AJ27)-$AI27,0),0)</f>
        <v>11.3298338581143</v>
      </c>
      <c r="AS27" s="153" t="n">
        <f aca="false">IFERROR(IF(AND($N27="VCA",$AP27&gt;0),$AP27-$AI27-$AQ27-$AR27,0),0)</f>
        <v>25.6635</v>
      </c>
      <c r="AT27" s="153" t="n">
        <f aca="false">IFERROR(IF($N27="VCA",INDEX(APOIO_REDES!$A:$W,MATCH($C27&amp;$I27&amp;$H27&amp;$N27&amp;$O27,APOIO_REDES!$W:$W,0),MATCH(AT$5,APOIO_REDES!$5:$5,0)),0)*$AP27,0)</f>
        <v>0.437454812412945</v>
      </c>
      <c r="AU27" s="153" t="n">
        <f aca="false">IFERROR(IF($N27="VCA",INDEX(APOIO_REDES!$A:$W,MATCH($C27&amp;$I27&amp;$H27&amp;$N27&amp;$O27,APOIO_REDES!$W:$W,0),MATCH(AU$5,APOIO_REDES!$5:$5,0)),0)*$AP27,0)</f>
        <v>0.349339565414116</v>
      </c>
      <c r="AV27" s="153" t="n">
        <f aca="false">IFERROR(IF($N27="VCA",INDEX(APOIO_REDES!$A:$W,MATCH($C27&amp;$I27&amp;$H27&amp;$N27&amp;$O27,APOIO_REDES!$W:$W,0),MATCH(AV$5,APOIO_REDES!$5:$5,0)),0)*$AP27,0)</f>
        <v>0.0483458534302001</v>
      </c>
      <c r="AW27" s="153" t="n">
        <f aca="false">IFERROR(IF($N27="VCA",INDEX(APOIO_REDES!$A:$W,MATCH($C27&amp;$I27&amp;$H27&amp;$N27&amp;$O27,APOIO_REDES!$W:$W,0),MATCH(AW$5,APOIO_REDES!$5:$5,0)),0)*$AP27,0)</f>
        <v>27.5978128924522</v>
      </c>
      <c r="AX27" s="153" t="n">
        <f aca="false">IFERROR(IF($N27="VCA",INDEX(APOIO_REDES!$A:$W,MATCH($C27&amp;$I27&amp;$H27&amp;$N27&amp;$O27,APOIO_REDES!$W:$W,0),MATCH(AX$5,APOIO_REDES!$5:$5,0)),0)*$AP27,0)</f>
        <v>3.81945869045729</v>
      </c>
      <c r="AY27" s="153" t="n">
        <f aca="false">IFERROR(IF($N27="VCA",INDEX(APOIO_REDES!$A:$W,MATCH($C27&amp;$I27&amp;$H27&amp;$N27&amp;$O27,APOIO_REDES!$W:$W,0),MATCH(AY$5,APOIO_REDES!$5:$5,0)),0)*$AP27,0)</f>
        <v>6.98678704986134</v>
      </c>
      <c r="AZ27" s="153" t="n">
        <f aca="false">IFERROR(IF($N27="VCA",INDEX(APOIO_REDES!$A:$W,MATCH($C27&amp;$I27&amp;$H27&amp;$N27&amp;$O27,APOIO_REDES!$W:$W,0),MATCH(AZ$5,APOIO_REDES!$5:$5,0)),0)*$AP27,0)</f>
        <v>0.966951135971873</v>
      </c>
      <c r="BA27" s="153" t="n">
        <f aca="false">IFERROR(IF(AND($N27="VCA",$Q27="LINEAR"),INDEX(APOIO_REDES!$A:$W,MATCH($C27&amp;$I27&amp;$H27&amp;$N27&amp;$O27,APOIO_REDES!$W:$W,0),MATCH(BA$5,APOIO_REDES!$5:$5,0)),IF(AND($N27="MND",$Q27="EMBOQUE"),INDEX(APOIO_REDES!$A:$W,MATCH($C27&amp;$I27&amp;$H27&amp;$N27&amp;$O27,APOIO_REDES!$W:$W,0),MATCH(BA$5,APOIO_REDES!$5:$5,0)),0))*$M27/10,0)</f>
        <v>3.06431609758325</v>
      </c>
      <c r="BB27" s="153" t="n">
        <f aca="false">IFERROR(IF($N27="VCA",INDEX(APOIO_REDES!$A:$W,MATCH($C27&amp;$I27&amp;$H27&amp;$N27&amp;$O27,APOIO_REDES!$W:$W,0),MATCH(BB$5,APOIO_REDES!$5:$5,0)),0)*($AI27+$AQ27+$AR27),0)</f>
        <v>14.3844216635953</v>
      </c>
      <c r="BC27" s="153" t="n">
        <f aca="false">IFERROR(IF($N27="VCA",INDEX(APOIO_REDES!$A:$W,MATCH($C27&amp;$I27&amp;$H27&amp;$N27&amp;$O27,APOIO_REDES!$W:$W,0),MATCH(BC$5,APOIO_REDES!$5:$5,0)),0)*($AI27+$AQ27+$AR27),0)</f>
        <v>0.158228336404682</v>
      </c>
      <c r="BD27" s="153" t="n">
        <f aca="false">IF(AND($N27="VCA",$AF27&gt;=1.25,$AF27&lt;1.5),$M27*$AF27*2,0)</f>
        <v>107.2164</v>
      </c>
      <c r="BE27" s="153" t="n">
        <f aca="false">IF(AND($N27="VCA",$AF27&gt;=1.5,$AF27&lt;3),$M27*$AF27*2,0)</f>
        <v>0</v>
      </c>
      <c r="BF27" s="153" t="n">
        <f aca="false">IF(AND($N27="VCA",$AF27&gt;=3),$M27*$AF27*2,0)</f>
        <v>0</v>
      </c>
      <c r="BG27" s="153" t="n">
        <f aca="false">($BB27+$BC27)*$AK27</f>
        <v>26.17677</v>
      </c>
      <c r="BH27" s="153" t="n">
        <f aca="false">IF(AND($M27&lt;&gt;"",$N27="VCA",$Q27="LINEAR"),($M27*2)/100,IF(AND($M27&lt;&gt;"",$N27="MND",$Q27="EMBOQUE"),($AN27*2)/100,0))</f>
        <v>0.7604</v>
      </c>
      <c r="BI27" s="153" t="n">
        <f aca="false">IF(AND($M27&lt;&gt;"",$N27="VCA",$Q27="LINEAR"),$M27,IF(AND($M27&lt;&gt;"",$N27="MND",$Q27="EMBOQUE"),$AN27*2,0))</f>
        <v>38.02</v>
      </c>
      <c r="BJ27" s="153" t="n">
        <f aca="false">IF(AND($M27&lt;&gt;"",$N27="VCA",$Q27="LINEAR"),($M27*6.8)/100,IF(AND($M27&lt;&gt;"",$N27="MND",$Q27="EMBOQUE"),($AN27*2*6.8)/100,0))</f>
        <v>2.58536</v>
      </c>
      <c r="BK27" s="153" t="n">
        <f aca="false">IF(AND($M27&lt;&gt;"",$N27="VCA",$Q27="LINEAR"),($M27*2.5)/50,IF(AND($M27&lt;&gt;"",$N27="MND",$Q27="EMBOQUE"),($AN27*2*2.5)/50,0))</f>
        <v>1.901</v>
      </c>
      <c r="BL27" s="157" t="str">
        <f aca="false">K27&amp;J27</f>
        <v>Zona01REDES</v>
      </c>
      <c r="BM27" s="152" t="s">
        <v>1559</v>
      </c>
      <c r="BN27" s="152" t="s">
        <v>1560</v>
      </c>
      <c r="BO27" s="152" t="s">
        <v>1561</v>
      </c>
      <c r="BP27" s="152" t="s">
        <v>1627</v>
      </c>
      <c r="BQ27" s="152" t="s">
        <v>1637</v>
      </c>
      <c r="BR27" s="152" t="s">
        <v>1638</v>
      </c>
      <c r="BS27" s="152" t="n">
        <v>203462.327</v>
      </c>
      <c r="BT27" s="152" t="n">
        <v>8239091.377</v>
      </c>
      <c r="BU27" s="152" t="n">
        <v>203492.957</v>
      </c>
      <c r="BV27" s="152" t="n">
        <v>8239068.88</v>
      </c>
      <c r="BW27" s="152" t="n">
        <v>-15.9097656</v>
      </c>
      <c r="BX27" s="152" t="n">
        <v>-47.7692912</v>
      </c>
      <c r="BY27" s="152" t="s">
        <v>1627</v>
      </c>
    </row>
    <row r="28" customFormat="false" ht="13.8" hidden="false" customHeight="false" outlineLevel="0" collapsed="false">
      <c r="A28" s="149" t="n">
        <f aca="false">IF(C28&lt;&gt;"",ROW(A23),"")</f>
        <v>23</v>
      </c>
      <c r="B28" s="150" t="str">
        <f aca="false">HYPERLINK("https://www.google.com/maps/dir/-15.917302,-47.760003/-15.9096676,-47.7707634/data=!4m3!4m2!3e0!5i0")</f>
        <v>https://www.google.com/maps/dir/-15.917302,-47.760003/-15.9096676,-47.7707634/data=!4m3!4m2!3e0!5i0</v>
      </c>
      <c r="C28" s="151" t="s">
        <v>117</v>
      </c>
      <c r="D28" s="152" t="s">
        <v>112</v>
      </c>
      <c r="E28" s="152" t="s">
        <v>113</v>
      </c>
      <c r="F28" s="152" t="s">
        <v>117</v>
      </c>
      <c r="G28" s="152" t="s">
        <v>782</v>
      </c>
      <c r="H28" s="152" t="n">
        <v>63</v>
      </c>
      <c r="I28" s="152" t="s">
        <v>115</v>
      </c>
      <c r="J28" s="152" t="s">
        <v>6</v>
      </c>
      <c r="K28" s="152" t="s">
        <v>1547</v>
      </c>
      <c r="L28" s="152" t="s">
        <v>120</v>
      </c>
      <c r="M28" s="153" t="n">
        <f aca="false">23.36</f>
        <v>23.36</v>
      </c>
      <c r="N28" s="152" t="s">
        <v>1548</v>
      </c>
      <c r="O28" s="152" t="s">
        <v>1549</v>
      </c>
      <c r="P28" s="152" t="s">
        <v>1550</v>
      </c>
      <c r="Q28" s="152" t="s">
        <v>1551</v>
      </c>
      <c r="R28" s="154" t="s">
        <v>1639</v>
      </c>
      <c r="S28" s="154" t="s">
        <v>1553</v>
      </c>
      <c r="T28" s="155" t="s">
        <v>1554</v>
      </c>
      <c r="U28" s="152" t="str">
        <f aca="false">RIGHT(T28,7)</f>
        <v>002/037</v>
      </c>
      <c r="V28" s="152" t="s">
        <v>1555</v>
      </c>
      <c r="W28" s="156" t="n">
        <v>45882</v>
      </c>
      <c r="X28" s="152" t="s">
        <v>1556</v>
      </c>
      <c r="Y28" s="152"/>
      <c r="Z28" s="152" t="s">
        <v>1557</v>
      </c>
      <c r="AA28" s="153" t="n">
        <v>1.9</v>
      </c>
      <c r="AB28" s="151" t="s">
        <v>1640</v>
      </c>
      <c r="AC28" s="151" t="s">
        <v>186</v>
      </c>
      <c r="AD28" s="151" t="str">
        <f aca="false">CONCATENATE($C28,$I28,$H28,$N28,$J28,$K28)</f>
        <v>TUBO PEADPEAD63VCAREDESZona01</v>
      </c>
      <c r="AE28" s="153" t="n">
        <f aca="false">IFERROR(INDEX(APOIO_REDES!$A:$W,MATCH($C28&amp;$I28&amp;$H28&amp;$N28&amp;$O28,APOIO_REDES!$W:$W,0),MATCH(AE$5,APOIO_REDES!$5:$5,0)),0)</f>
        <v>1.2</v>
      </c>
      <c r="AF28" s="153" t="n">
        <f aca="false">IFERROR(INDEX(APOIO_REDES!$A:$W,MATCH($C28&amp;$I28&amp;$H28&amp;$N28&amp;$O28,APOIO_REDES!$W:$W,0),MATCH(AF$5,APOIO_REDES!$5:$5,0)),0)</f>
        <v>1.363</v>
      </c>
      <c r="AG28" s="153" t="n">
        <f aca="false">IFERROR(INDEX(APOIO_REDES!$A:$W,MATCH($C28&amp;$I28&amp;$H28&amp;$N28&amp;$O28,APOIO_REDES!$W:$W,0),MATCH(AG$5,APOIO_REDES!$5:$5,0)),0)</f>
        <v>0.65</v>
      </c>
      <c r="AH28" s="153" t="n">
        <f aca="false">IFERROR(INDEX(APOIO_REDES!$A:$W,MATCH($C28&amp;$I28&amp;$H28&amp;$N28&amp;$O28,APOIO_REDES!$W:$W,0),MATCH(AH$5,APOIO_REDES!$5:$5,0)),0)</f>
        <v>0.1</v>
      </c>
      <c r="AI28" s="153" t="n">
        <f aca="false">IFERROR(IF($H28&lt;&gt;"",(((($H28/1000)/2)^2)*PI()*$M28),0),0)</f>
        <v>0.0728188504538517</v>
      </c>
      <c r="AJ28" s="153" t="n">
        <f aca="false">IFERROR(IF(AND($H28&lt;&gt;"",$I28="FoFo",OR($N28="MND",$N28="VCA"),$Q28="LINEAR"),0,IF(AND($H28&lt;&gt;"",$I28="PEAD",$N28="VCA",$Q28="LINEAR"),($H28/1000)+0.3,IF(AND($H28&lt;&gt;"",$I28="PEAD",$N28="MND",$Q28="EMBOQUE"),0,IF(AND($H28&lt;&gt;"",$I28="PVC",$N28="VCA",$Q28="LINEAR"),($H28/1000)+0.2,IF(AND($H28&lt;&gt;"",$I28="PVC",$N28="MND",$Q28="EMBOQUE"),0,IF(AND($H28&lt;&gt;"",$I28="PEAD",$N28="VCA",$Q28="PREDIAL"),0,0)))))),0)</f>
        <v>0.363</v>
      </c>
      <c r="AK28" s="153" t="n">
        <f aca="false">IF(AA28&lt;&gt;"",AA28,0)</f>
        <v>1.9</v>
      </c>
      <c r="AL28" s="153" t="n">
        <f aca="false">IF(AND($N28="MND",$Q28="EMBOQUE"),$M28,IF(AND($N28="VCA",$Q28="LINEAR"),$M28,IF(AND($N28="VCA",$Q28="PREDIAL"),0,0)))</f>
        <v>23.36</v>
      </c>
      <c r="AM28" s="153" t="n">
        <f aca="false">IF(AND($N28="MND",$Q28="EMBOQUE"),$M28,IF(AND($N28="VCA",$Q28="LINEAR"),$M28,IF(AND($N28="VCA",$Q28="PREDIAL"),0,0)))</f>
        <v>23.36</v>
      </c>
      <c r="AN28" s="153" t="n">
        <f aca="false">ROUND(IF(AND($N28="VCA",$M28&lt;&gt;"",$Q28="LINEAR"),$M28/100,IF(AND($N28="MND",$M28&gt;100,$Q28="EMBOQUE"),$M28/100,0)),0)</f>
        <v>0</v>
      </c>
      <c r="AO28" s="153" t="n">
        <f aca="false">IF(AND($N28="MND",$Q28="EMBOQUE"),$AN28*2*2,IF(AND($N28="VCA",$Q28="LINEAR"),$M28*2,IF(AND($N28="VCA",$Q28="PREDIAL"),0,0)))</f>
        <v>46.72</v>
      </c>
      <c r="AP28" s="153" t="n">
        <f aca="false">IFERROR($M28*$AF28*$AG28,0)</f>
        <v>20.695792</v>
      </c>
      <c r="AQ28" s="153" t="n">
        <f aca="false">IFERROR(IF(AND($N28="VCA",$AH28&gt;0),$M28*$AG28*$AH28,0),0)</f>
        <v>1.5184</v>
      </c>
      <c r="AR28" s="153" t="n">
        <f aca="false">IFERROR(IF(AND($N28="VCA",$AJ28&gt;0),($M28*$AG28*$AJ28)-$AI28,0),0)</f>
        <v>5.43897314954615</v>
      </c>
      <c r="AS28" s="153" t="n">
        <f aca="false">IFERROR(IF(AND($N28="VCA",$AP28&gt;0),$AP28-$AI28-$AQ28-$AR28,0),0)</f>
        <v>13.6656</v>
      </c>
      <c r="AT28" s="153" t="n">
        <f aca="false">IFERROR(IF($N28="VCA",INDEX(APOIO_REDES!$A:$W,MATCH($C28&amp;$I28&amp;$H28&amp;$N28&amp;$O28,APOIO_REDES!$W:$W,0),MATCH(AT$5,APOIO_REDES!$5:$5,0)),0)*$AP28,0)</f>
        <v>0.225176342601749</v>
      </c>
      <c r="AU28" s="153" t="n">
        <f aca="false">IFERROR(IF($N28="VCA",INDEX(APOIO_REDES!$A:$W,MATCH($C28&amp;$I28&amp;$H28&amp;$N28&amp;$O28,APOIO_REDES!$W:$W,0),MATCH(AU$5,APOIO_REDES!$5:$5,0)),0)*$AP28,0)</f>
        <v>0.179819728652978</v>
      </c>
      <c r="AV28" s="153" t="n">
        <f aca="false">IFERROR(IF($N28="VCA",INDEX(APOIO_REDES!$A:$W,MATCH($C28&amp;$I28&amp;$H28&amp;$N28&amp;$O28,APOIO_REDES!$W:$W,0),MATCH(AV$5,APOIO_REDES!$5:$5,0)),0)*$AP28,0)</f>
        <v>0.0248856388053546</v>
      </c>
      <c r="AW28" s="153" t="n">
        <f aca="false">IFERROR(IF($N28="VCA",INDEX(APOIO_REDES!$A:$W,MATCH($C28&amp;$I28&amp;$H28&amp;$N28&amp;$O28,APOIO_REDES!$W:$W,0),MATCH(AW$5,APOIO_REDES!$5:$5,0)),0)*$AP28,0)</f>
        <v>14.2057519876215</v>
      </c>
      <c r="AX28" s="153" t="n">
        <f aca="false">IFERROR(IF($N28="VCA",INDEX(APOIO_REDES!$A:$W,MATCH($C28&amp;$I28&amp;$H28&amp;$N28&amp;$O28,APOIO_REDES!$W:$W,0),MATCH(AX$5,APOIO_REDES!$5:$5,0)),0)*$AP28,0)</f>
        <v>1.96603560923631</v>
      </c>
      <c r="AY28" s="153" t="n">
        <f aca="false">IFERROR(IF($N28="VCA",INDEX(APOIO_REDES!$A:$W,MATCH($C28&amp;$I28&amp;$H28&amp;$N28&amp;$O28,APOIO_REDES!$W:$W,0),MATCH(AY$5,APOIO_REDES!$5:$5,0)),0)*$AP28,0)</f>
        <v>3.59639238107165</v>
      </c>
      <c r="AZ28" s="153" t="n">
        <f aca="false">IFERROR(IF($N28="VCA",INDEX(APOIO_REDES!$A:$W,MATCH($C28&amp;$I28&amp;$H28&amp;$N28&amp;$O28,APOIO_REDES!$W:$W,0),MATCH(AZ$5,APOIO_REDES!$5:$5,0)),0)*$AP28,0)</f>
        <v>0.497730312010416</v>
      </c>
      <c r="BA28" s="153" t="n">
        <f aca="false">IFERROR(IF(AND($N28="VCA",$Q28="LINEAR"),INDEX(APOIO_REDES!$A:$W,MATCH($C28&amp;$I28&amp;$H28&amp;$N28&amp;$O28,APOIO_REDES!$W:$W,0),MATCH(BA$5,APOIO_REDES!$5:$5,0)),IF(AND($N28="MND",$Q28="EMBOQUE"),INDEX(APOIO_REDES!$A:$W,MATCH($C28&amp;$I28&amp;$H28&amp;$N28&amp;$O28,APOIO_REDES!$W:$W,0),MATCH(BA$5,APOIO_REDES!$5:$5,0)),0))*$M28/10,0)</f>
        <v>1.88275707626367</v>
      </c>
      <c r="BB28" s="153" t="n">
        <f aca="false">IFERROR(IF($N28="VCA",INDEX(APOIO_REDES!$A:$W,MATCH($C28&amp;$I28&amp;$H28&amp;$N28&amp;$O28,APOIO_REDES!$W:$W,0),MATCH(BB$5,APOIO_REDES!$5:$5,0)),0)*($AI28+$AQ28+$AR28),0)</f>
        <v>6.95370143020938</v>
      </c>
      <c r="BC28" s="153" t="n">
        <f aca="false">IFERROR(IF($N28="VCA",INDEX(APOIO_REDES!$A:$W,MATCH($C28&amp;$I28&amp;$H28&amp;$N28&amp;$O28,APOIO_REDES!$W:$W,0),MATCH(BC$5,APOIO_REDES!$5:$5,0)),0)*($AI28+$AQ28+$AR28),0)</f>
        <v>0.0764905697906162</v>
      </c>
      <c r="BD28" s="153" t="n">
        <f aca="false">IF(AND($N28="VCA",$AF28&gt;=1.25,$AF28&lt;1.5),$M28*$AF28*2,0)</f>
        <v>63.67936</v>
      </c>
      <c r="BE28" s="153" t="n">
        <f aca="false">IF(AND($N28="VCA",$AF28&gt;=1.5,$AF28&lt;3),$M28*$AF28*2,0)</f>
        <v>0</v>
      </c>
      <c r="BF28" s="153" t="n">
        <f aca="false">IF(AND($N28="VCA",$AF28&gt;=3),$M28*$AF28*2,0)</f>
        <v>0</v>
      </c>
      <c r="BG28" s="153" t="n">
        <f aca="false">($BB28+$BC28)*$AK28</f>
        <v>13.3573648</v>
      </c>
      <c r="BH28" s="153" t="n">
        <f aca="false">IF(AND($M28&lt;&gt;"",$N28="VCA",$Q28="LINEAR"),($M28*2)/100,IF(AND($M28&lt;&gt;"",$N28="MND",$Q28="EMBOQUE"),($AN28*2)/100,0))</f>
        <v>0.4672</v>
      </c>
      <c r="BI28" s="153" t="n">
        <f aca="false">IF(AND($M28&lt;&gt;"",$N28="VCA",$Q28="LINEAR"),$M28,IF(AND($M28&lt;&gt;"",$N28="MND",$Q28="EMBOQUE"),$AN28*2,0))</f>
        <v>23.36</v>
      </c>
      <c r="BJ28" s="153" t="n">
        <f aca="false">IF(AND($M28&lt;&gt;"",$N28="VCA",$Q28="LINEAR"),($M28*6.8)/100,IF(AND($M28&lt;&gt;"",$N28="MND",$Q28="EMBOQUE"),($AN28*2*6.8)/100,0))</f>
        <v>1.58848</v>
      </c>
      <c r="BK28" s="153" t="n">
        <f aca="false">IF(AND($M28&lt;&gt;"",$N28="VCA",$Q28="LINEAR"),($M28*2.5)/50,IF(AND($M28&lt;&gt;"",$N28="MND",$Q28="EMBOQUE"),($AN28*2*2.5)/50,0))</f>
        <v>1.168</v>
      </c>
      <c r="BL28" s="157" t="str">
        <f aca="false">K28&amp;J28</f>
        <v>Zona01REDES</v>
      </c>
      <c r="BM28" s="152" t="s">
        <v>1559</v>
      </c>
      <c r="BN28" s="152" t="s">
        <v>1560</v>
      </c>
      <c r="BO28" s="152" t="s">
        <v>1561</v>
      </c>
      <c r="BP28" s="152" t="s">
        <v>1631</v>
      </c>
      <c r="BQ28" s="152" t="s">
        <v>1641</v>
      </c>
      <c r="BR28" s="152" t="s">
        <v>1564</v>
      </c>
      <c r="BS28" s="152" t="n">
        <v>203319.91</v>
      </c>
      <c r="BT28" s="152" t="n">
        <v>8239089.111</v>
      </c>
      <c r="BU28" s="152" t="n">
        <v>203305.912</v>
      </c>
      <c r="BV28" s="152" t="n">
        <v>8239070.59</v>
      </c>
      <c r="BW28" s="152" t="n">
        <v>-15.9097505</v>
      </c>
      <c r="BX28" s="152" t="n">
        <v>-47.7708308</v>
      </c>
      <c r="BY28" s="152" t="s">
        <v>1631</v>
      </c>
    </row>
    <row r="29" customFormat="false" ht="13.8" hidden="false" customHeight="false" outlineLevel="0" collapsed="false">
      <c r="A29" s="149" t="n">
        <f aca="false">IF(C29&lt;&gt;"",ROW(A24),"")</f>
        <v>24</v>
      </c>
      <c r="B29" s="150" t="str">
        <f aca="false">HYPERLINK("https://www.google.com/maps/dir/-15.917302,-47.760003/-15.9098010,-47.7673501/data=!4m3!4m2!3e0!5i0")</f>
        <v>https://www.google.com/maps/dir/-15.917302,-47.760003/-15.9098010,-47.7673501/data=!4m3!4m2!3e0!5i0</v>
      </c>
      <c r="C29" s="151" t="s">
        <v>117</v>
      </c>
      <c r="D29" s="152" t="s">
        <v>112</v>
      </c>
      <c r="E29" s="152" t="s">
        <v>113</v>
      </c>
      <c r="F29" s="152" t="s">
        <v>117</v>
      </c>
      <c r="G29" s="152" t="s">
        <v>782</v>
      </c>
      <c r="H29" s="152" t="n">
        <v>63</v>
      </c>
      <c r="I29" s="152" t="s">
        <v>115</v>
      </c>
      <c r="J29" s="152" t="s">
        <v>6</v>
      </c>
      <c r="K29" s="152" t="s">
        <v>1547</v>
      </c>
      <c r="L29" s="152" t="s">
        <v>120</v>
      </c>
      <c r="M29" s="153" t="n">
        <f aca="false">15.26</f>
        <v>15.26</v>
      </c>
      <c r="N29" s="152" t="s">
        <v>1548</v>
      </c>
      <c r="O29" s="152" t="s">
        <v>1549</v>
      </c>
      <c r="P29" s="152" t="s">
        <v>1550</v>
      </c>
      <c r="Q29" s="152" t="s">
        <v>1551</v>
      </c>
      <c r="R29" s="154" t="s">
        <v>1642</v>
      </c>
      <c r="S29" s="154" t="s">
        <v>1553</v>
      </c>
      <c r="T29" s="155" t="s">
        <v>1554</v>
      </c>
      <c r="U29" s="152" t="str">
        <f aca="false">RIGHT(T29,7)</f>
        <v>002/037</v>
      </c>
      <c r="V29" s="152" t="s">
        <v>1555</v>
      </c>
      <c r="W29" s="156" t="n">
        <v>45882</v>
      </c>
      <c r="X29" s="152" t="s">
        <v>1594</v>
      </c>
      <c r="Y29" s="152"/>
      <c r="Z29" s="152" t="s">
        <v>1557</v>
      </c>
      <c r="AA29" s="153" t="n">
        <v>1.5</v>
      </c>
      <c r="AB29" s="151" t="s">
        <v>1643</v>
      </c>
      <c r="AC29" s="151" t="s">
        <v>186</v>
      </c>
      <c r="AD29" s="151" t="str">
        <f aca="false">CONCATENATE($C29,$I29,$H29,$N29,$J29,$K29)</f>
        <v>TUBO PEADPEAD63VCAREDESZona01</v>
      </c>
      <c r="AE29" s="153" t="n">
        <f aca="false">IFERROR(INDEX(APOIO_REDES!$A:$W,MATCH($C29&amp;$I29&amp;$H29&amp;$N29&amp;$O29,APOIO_REDES!$W:$W,0),MATCH(AE$5,APOIO_REDES!$5:$5,0)),0)</f>
        <v>1.2</v>
      </c>
      <c r="AF29" s="153" t="n">
        <f aca="false">IFERROR(INDEX(APOIO_REDES!$A:$W,MATCH($C29&amp;$I29&amp;$H29&amp;$N29&amp;$O29,APOIO_REDES!$W:$W,0),MATCH(AF$5,APOIO_REDES!$5:$5,0)),0)</f>
        <v>1.363</v>
      </c>
      <c r="AG29" s="153" t="n">
        <f aca="false">IFERROR(INDEX(APOIO_REDES!$A:$W,MATCH($C29&amp;$I29&amp;$H29&amp;$N29&amp;$O29,APOIO_REDES!$W:$W,0),MATCH(AG$5,APOIO_REDES!$5:$5,0)),0)</f>
        <v>0.65</v>
      </c>
      <c r="AH29" s="153" t="n">
        <f aca="false">IFERROR(INDEX(APOIO_REDES!$A:$W,MATCH($C29&amp;$I29&amp;$H29&amp;$N29&amp;$O29,APOIO_REDES!$W:$W,0),MATCH(AH$5,APOIO_REDES!$5:$5,0)),0)</f>
        <v>0.1</v>
      </c>
      <c r="AI29" s="153" t="n">
        <f aca="false">IFERROR(IF($H29&lt;&gt;"",(((($H29/1000)/2)^2)*PI()*$M29),0),0)</f>
        <v>0.0475691634386034</v>
      </c>
      <c r="AJ29" s="153" t="n">
        <f aca="false">IFERROR(IF(AND($H29&lt;&gt;"",$I29="FoFo",OR($N29="MND",$N29="VCA"),$Q29="LINEAR"),0,IF(AND($H29&lt;&gt;"",$I29="PEAD",$N29="VCA",$Q29="LINEAR"),($H29/1000)+0.3,IF(AND($H29&lt;&gt;"",$I29="PEAD",$N29="MND",$Q29="EMBOQUE"),0,IF(AND($H29&lt;&gt;"",$I29="PVC",$N29="VCA",$Q29="LINEAR"),($H29/1000)+0.2,IF(AND($H29&lt;&gt;"",$I29="PVC",$N29="MND",$Q29="EMBOQUE"),0,IF(AND($H29&lt;&gt;"",$I29="PEAD",$N29="VCA",$Q29="PREDIAL"),0,0)))))),0)</f>
        <v>0.363</v>
      </c>
      <c r="AK29" s="153" t="n">
        <f aca="false">IF(AA29&lt;&gt;"",AA29,0)</f>
        <v>1.5</v>
      </c>
      <c r="AL29" s="153" t="n">
        <f aca="false">IF(AND($N29="MND",$Q29="EMBOQUE"),$M29,IF(AND($N29="VCA",$Q29="LINEAR"),$M29,IF(AND($N29="VCA",$Q29="PREDIAL"),0,0)))</f>
        <v>15.26</v>
      </c>
      <c r="AM29" s="153" t="n">
        <f aca="false">IF(AND($N29="MND",$Q29="EMBOQUE"),$M29,IF(AND($N29="VCA",$Q29="LINEAR"),$M29,IF(AND($N29="VCA",$Q29="PREDIAL"),0,0)))</f>
        <v>15.26</v>
      </c>
      <c r="AN29" s="153" t="n">
        <f aca="false">ROUND(IF(AND($N29="VCA",$M29&lt;&gt;"",$Q29="LINEAR"),$M29/100,IF(AND($N29="MND",$M29&gt;100,$Q29="EMBOQUE"),$M29/100,0)),0)</f>
        <v>0</v>
      </c>
      <c r="AO29" s="153" t="n">
        <f aca="false">IF(AND($N29="MND",$Q29="EMBOQUE"),$AN29*2*2,IF(AND($N29="VCA",$Q29="LINEAR"),$M29*2,IF(AND($N29="VCA",$Q29="PREDIAL"),0,0)))</f>
        <v>30.52</v>
      </c>
      <c r="AP29" s="153" t="n">
        <f aca="false">IFERROR($M29*$AF29*$AG29,0)</f>
        <v>13.519597</v>
      </c>
      <c r="AQ29" s="153" t="n">
        <f aca="false">IFERROR(IF(AND($N29="VCA",$AH29&gt;0),$M29*$AG29*$AH29,0),0)</f>
        <v>0.9919</v>
      </c>
      <c r="AR29" s="153" t="n">
        <f aca="false">IFERROR(IF(AND($N29="VCA",$AJ29&gt;0),($M29*$AG29*$AJ29)-$AI29,0),0)</f>
        <v>3.5530278365614</v>
      </c>
      <c r="AS29" s="153" t="n">
        <f aca="false">IFERROR(IF(AND($N29="VCA",$AP29&gt;0),$AP29-$AI29-$AQ29-$AR29,0),0)</f>
        <v>8.9271</v>
      </c>
      <c r="AT29" s="153" t="n">
        <f aca="false">IFERROR(IF($N29="VCA",INDEX(APOIO_REDES!$A:$W,MATCH($C29&amp;$I29&amp;$H29&amp;$N29&amp;$O29,APOIO_REDES!$W:$W,0),MATCH(AT$5,APOIO_REDES!$5:$5,0)),0)*$AP29,0)</f>
        <v>0.147097216956451</v>
      </c>
      <c r="AU29" s="153" t="n">
        <f aca="false">IFERROR(IF($N29="VCA",INDEX(APOIO_REDES!$A:$W,MATCH($C29&amp;$I29&amp;$H29&amp;$N29&amp;$O29,APOIO_REDES!$W:$W,0),MATCH(AU$5,APOIO_REDES!$5:$5,0)),0)*$AP29,0)</f>
        <v>0.117467853563547</v>
      </c>
      <c r="AV29" s="153" t="n">
        <f aca="false">IFERROR(IF($N29="VCA",INDEX(APOIO_REDES!$A:$W,MATCH($C29&amp;$I29&amp;$H29&amp;$N29&amp;$O29,APOIO_REDES!$W:$W,0),MATCH(AV$5,APOIO_REDES!$5:$5,0)),0)*$AP29,0)</f>
        <v>0.0162566287743883</v>
      </c>
      <c r="AW29" s="153" t="n">
        <f aca="false">IFERROR(IF($N29="VCA",INDEX(APOIO_REDES!$A:$W,MATCH($C29&amp;$I29&amp;$H29&amp;$N29&amp;$O29,APOIO_REDES!$W:$W,0),MATCH(AW$5,APOIO_REDES!$5:$5,0)),0)*$AP29,0)</f>
        <v>9.27995613574935</v>
      </c>
      <c r="AX29" s="153" t="n">
        <f aca="false">IFERROR(IF($N29="VCA",INDEX(APOIO_REDES!$A:$W,MATCH($C29&amp;$I29&amp;$H29&amp;$N29&amp;$O29,APOIO_REDES!$W:$W,0),MATCH(AX$5,APOIO_REDES!$5:$5,0)),0)*$AP29,0)</f>
        <v>1.28431949473228</v>
      </c>
      <c r="AY29" s="153" t="n">
        <f aca="false">IFERROR(IF($N29="VCA",INDEX(APOIO_REDES!$A:$W,MATCH($C29&amp;$I29&amp;$H29&amp;$N29&amp;$O29,APOIO_REDES!$W:$W,0),MATCH(AY$5,APOIO_REDES!$5:$5,0)),0)*$AP29,0)</f>
        <v>2.34935563934732</v>
      </c>
      <c r="AZ29" s="153" t="n">
        <f aca="false">IFERROR(IF($N29="VCA",INDEX(APOIO_REDES!$A:$W,MATCH($C29&amp;$I29&amp;$H29&amp;$N29&amp;$O29,APOIO_REDES!$W:$W,0),MATCH(AZ$5,APOIO_REDES!$5:$5,0)),0)*$AP29,0)</f>
        <v>0.325144030876667</v>
      </c>
      <c r="BA29" s="153" t="n">
        <f aca="false">IFERROR(IF(AND($N29="VCA",$Q29="LINEAR"),INDEX(APOIO_REDES!$A:$W,MATCH($C29&amp;$I29&amp;$H29&amp;$N29&amp;$O29,APOIO_REDES!$W:$W,0),MATCH(BA$5,APOIO_REDES!$5:$5,0)),IF(AND($N29="MND",$Q29="EMBOQUE"),INDEX(APOIO_REDES!$A:$W,MATCH($C29&amp;$I29&amp;$H29&amp;$N29&amp;$O29,APOIO_REDES!$W:$W,0),MATCH(BA$5,APOIO_REDES!$5:$5,0)),0))*$M29/10,0)</f>
        <v>1.22991750786745</v>
      </c>
      <c r="BB29" s="153" t="n">
        <f aca="false">IFERROR(IF($N29="VCA",INDEX(APOIO_REDES!$A:$W,MATCH($C29&amp;$I29&amp;$H29&amp;$N29&amp;$O29,APOIO_REDES!$W:$W,0),MATCH(BB$5,APOIO_REDES!$5:$5,0)),0)*($AI29+$AQ29+$AR29),0)</f>
        <v>4.54252927333027</v>
      </c>
      <c r="BC29" s="153" t="n">
        <f aca="false">IFERROR(IF($N29="VCA",INDEX(APOIO_REDES!$A:$W,MATCH($C29&amp;$I29&amp;$H29&amp;$N29&amp;$O29,APOIO_REDES!$W:$W,0),MATCH(BC$5,APOIO_REDES!$5:$5,0)),0)*($AI29+$AQ29+$AR29),0)</f>
        <v>0.0499677266697262</v>
      </c>
      <c r="BD29" s="153" t="n">
        <f aca="false">IF(AND($N29="VCA",$AF29&gt;=1.25,$AF29&lt;1.5),$M29*$AF29*2,0)</f>
        <v>41.59876</v>
      </c>
      <c r="BE29" s="153" t="n">
        <f aca="false">IF(AND($N29="VCA",$AF29&gt;=1.5,$AF29&lt;3),$M29*$AF29*2,0)</f>
        <v>0</v>
      </c>
      <c r="BF29" s="153" t="n">
        <f aca="false">IF(AND($N29="VCA",$AF29&gt;=3),$M29*$AF29*2,0)</f>
        <v>0</v>
      </c>
      <c r="BG29" s="153" t="n">
        <f aca="false">($BB29+$BC29)*$AK29</f>
        <v>6.8887455</v>
      </c>
      <c r="BH29" s="153" t="n">
        <f aca="false">IF(AND($M29&lt;&gt;"",$N29="VCA",$Q29="LINEAR"),($M29*2)/100,IF(AND($M29&lt;&gt;"",$N29="MND",$Q29="EMBOQUE"),($AN29*2)/100,0))</f>
        <v>0.3052</v>
      </c>
      <c r="BI29" s="153" t="n">
        <f aca="false">IF(AND($M29&lt;&gt;"",$N29="VCA",$Q29="LINEAR"),$M29,IF(AND($M29&lt;&gt;"",$N29="MND",$Q29="EMBOQUE"),$AN29*2,0))</f>
        <v>15.26</v>
      </c>
      <c r="BJ29" s="153" t="n">
        <f aca="false">IF(AND($M29&lt;&gt;"",$N29="VCA",$Q29="LINEAR"),($M29*6.8)/100,IF(AND($M29&lt;&gt;"",$N29="MND",$Q29="EMBOQUE"),($AN29*2*6.8)/100,0))</f>
        <v>1.03768</v>
      </c>
      <c r="BK29" s="153" t="n">
        <f aca="false">IF(AND($M29&lt;&gt;"",$N29="VCA",$Q29="LINEAR"),($M29*2.5)/50,IF(AND($M29&lt;&gt;"",$N29="MND",$Q29="EMBOQUE"),($AN29*2*2.5)/50,0))</f>
        <v>0.763</v>
      </c>
      <c r="BL29" s="157" t="str">
        <f aca="false">K29&amp;J29</f>
        <v>Zona01REDES</v>
      </c>
      <c r="BM29" s="152" t="s">
        <v>1559</v>
      </c>
      <c r="BN29" s="152" t="s">
        <v>1560</v>
      </c>
      <c r="BO29" s="152" t="s">
        <v>1561</v>
      </c>
      <c r="BP29" s="152" t="s">
        <v>1596</v>
      </c>
      <c r="BQ29" s="152" t="s">
        <v>1644</v>
      </c>
      <c r="BR29" s="152" t="s">
        <v>1645</v>
      </c>
      <c r="BS29" s="152" t="n">
        <v>203685.837</v>
      </c>
      <c r="BT29" s="152" t="n">
        <v>8239079.19</v>
      </c>
      <c r="BU29" s="152" t="n">
        <v>203700.012</v>
      </c>
      <c r="BV29" s="152" t="n">
        <v>8239073.546</v>
      </c>
      <c r="BW29" s="152" t="n">
        <v>-15.9098273</v>
      </c>
      <c r="BX29" s="152" t="n">
        <v>-47.7672843</v>
      </c>
      <c r="BY29" s="152" t="s">
        <v>1596</v>
      </c>
    </row>
    <row r="30" customFormat="false" ht="13.8" hidden="false" customHeight="false" outlineLevel="0" collapsed="false">
      <c r="A30" s="149" t="n">
        <f aca="false">IF(C30&lt;&gt;"",ROW(A25),"")</f>
        <v>25</v>
      </c>
      <c r="B30" s="150" t="str">
        <f aca="false">HYPERLINK("https://www.google.com/maps/dir/-15.917302,-47.760003/-15.9100486,-47.7697839/data=!4m3!4m2!3e0!5i0")</f>
        <v>https://www.google.com/maps/dir/-15.917302,-47.760003/-15.9100486,-47.7697839/data=!4m3!4m2!3e0!5i0</v>
      </c>
      <c r="C30" s="151" t="s">
        <v>117</v>
      </c>
      <c r="D30" s="152" t="s">
        <v>112</v>
      </c>
      <c r="E30" s="152" t="s">
        <v>113</v>
      </c>
      <c r="F30" s="152" t="s">
        <v>117</v>
      </c>
      <c r="G30" s="152" t="s">
        <v>782</v>
      </c>
      <c r="H30" s="152" t="n">
        <v>63</v>
      </c>
      <c r="I30" s="152" t="s">
        <v>115</v>
      </c>
      <c r="J30" s="152" t="s">
        <v>6</v>
      </c>
      <c r="K30" s="152" t="s">
        <v>1547</v>
      </c>
      <c r="L30" s="152" t="s">
        <v>120</v>
      </c>
      <c r="M30" s="153" t="n">
        <f aca="false">99.27+0.37</f>
        <v>99.64</v>
      </c>
      <c r="N30" s="152" t="s">
        <v>1548</v>
      </c>
      <c r="O30" s="152" t="s">
        <v>1549</v>
      </c>
      <c r="P30" s="152" t="s">
        <v>1550</v>
      </c>
      <c r="Q30" s="152" t="s">
        <v>1551</v>
      </c>
      <c r="R30" s="154" t="s">
        <v>1646</v>
      </c>
      <c r="S30" s="154" t="s">
        <v>1553</v>
      </c>
      <c r="T30" s="155" t="s">
        <v>1554</v>
      </c>
      <c r="U30" s="152" t="str">
        <f aca="false">RIGHT(T30,7)</f>
        <v>002/037</v>
      </c>
      <c r="V30" s="152" t="s">
        <v>1555</v>
      </c>
      <c r="W30" s="156" t="n">
        <v>45882</v>
      </c>
      <c r="X30" s="152" t="s">
        <v>1556</v>
      </c>
      <c r="Y30" s="152"/>
      <c r="Z30" s="152" t="s">
        <v>1557</v>
      </c>
      <c r="AA30" s="153" t="n">
        <v>1.8</v>
      </c>
      <c r="AB30" s="151" t="s">
        <v>1647</v>
      </c>
      <c r="AC30" s="151" t="s">
        <v>186</v>
      </c>
      <c r="AD30" s="151" t="str">
        <f aca="false">CONCATENATE($C30,$I30,$H30,$N30,$J30,$K30)</f>
        <v>TUBO PEADPEAD63VCAREDESZona01</v>
      </c>
      <c r="AE30" s="153" t="n">
        <f aca="false">IFERROR(INDEX(APOIO_REDES!$A:$W,MATCH($C30&amp;$I30&amp;$H30&amp;$N30&amp;$O30,APOIO_REDES!$W:$W,0),MATCH(AE$5,APOIO_REDES!$5:$5,0)),0)</f>
        <v>1.2</v>
      </c>
      <c r="AF30" s="153" t="n">
        <f aca="false">IFERROR(INDEX(APOIO_REDES!$A:$W,MATCH($C30&amp;$I30&amp;$H30&amp;$N30&amp;$O30,APOIO_REDES!$W:$W,0),MATCH(AF$5,APOIO_REDES!$5:$5,0)),0)</f>
        <v>1.363</v>
      </c>
      <c r="AG30" s="153" t="n">
        <f aca="false">IFERROR(INDEX(APOIO_REDES!$A:$W,MATCH($C30&amp;$I30&amp;$H30&amp;$N30&amp;$O30,APOIO_REDES!$W:$W,0),MATCH(AG$5,APOIO_REDES!$5:$5,0)),0)</f>
        <v>0.65</v>
      </c>
      <c r="AH30" s="153" t="n">
        <f aca="false">IFERROR(INDEX(APOIO_REDES!$A:$W,MATCH($C30&amp;$I30&amp;$H30&amp;$N30&amp;$O30,APOIO_REDES!$W:$W,0),MATCH(AH$5,APOIO_REDES!$5:$5,0)),0)</f>
        <v>0.1</v>
      </c>
      <c r="AI30" s="153" t="n">
        <f aca="false">IFERROR(IF($H30&lt;&gt;"",(((($H30/1000)/2)^2)*PI()*$M30),0),0)</f>
        <v>0.310602322740658</v>
      </c>
      <c r="AJ30" s="153" t="n">
        <f aca="false">IFERROR(IF(AND($H30&lt;&gt;"",$I30="FoFo",OR($N30="MND",$N30="VCA"),$Q30="LINEAR"),0,IF(AND($H30&lt;&gt;"",$I30="PEAD",$N30="VCA",$Q30="LINEAR"),($H30/1000)+0.3,IF(AND($H30&lt;&gt;"",$I30="PEAD",$N30="MND",$Q30="EMBOQUE"),0,IF(AND($H30&lt;&gt;"",$I30="PVC",$N30="VCA",$Q30="LINEAR"),($H30/1000)+0.2,IF(AND($H30&lt;&gt;"",$I30="PVC",$N30="MND",$Q30="EMBOQUE"),0,IF(AND($H30&lt;&gt;"",$I30="PEAD",$N30="VCA",$Q30="PREDIAL"),0,0)))))),0)</f>
        <v>0.363</v>
      </c>
      <c r="AK30" s="153" t="n">
        <f aca="false">IF(AA30&lt;&gt;"",AA30,0)</f>
        <v>1.8</v>
      </c>
      <c r="AL30" s="153" t="n">
        <f aca="false">IF(AND($N30="MND",$Q30="EMBOQUE"),$M30,IF(AND($N30="VCA",$Q30="LINEAR"),$M30,IF(AND($N30="VCA",$Q30="PREDIAL"),0,0)))</f>
        <v>99.64</v>
      </c>
      <c r="AM30" s="153" t="n">
        <f aca="false">IF(AND($N30="MND",$Q30="EMBOQUE"),$M30,IF(AND($N30="VCA",$Q30="LINEAR"),$M30,IF(AND($N30="VCA",$Q30="PREDIAL"),0,0)))</f>
        <v>99.64</v>
      </c>
      <c r="AN30" s="153" t="n">
        <f aca="false">ROUND(IF(AND($N30="VCA",$M30&lt;&gt;"",$Q30="LINEAR"),$M30/100,IF(AND($N30="MND",$M30&gt;100,$Q30="EMBOQUE"),$M30/100,0)),0)</f>
        <v>1</v>
      </c>
      <c r="AO30" s="153" t="n">
        <f aca="false">IF(AND($N30="MND",$Q30="EMBOQUE"),$AN30*2*2,IF(AND($N30="VCA",$Q30="LINEAR"),$M30*2,IF(AND($N30="VCA",$Q30="PREDIAL"),0,0)))</f>
        <v>199.28</v>
      </c>
      <c r="AP30" s="153" t="n">
        <f aca="false">IFERROR($M30*$AF30*$AG30,0)</f>
        <v>88.276058</v>
      </c>
      <c r="AQ30" s="153" t="n">
        <f aca="false">IFERROR(IF(AND($N30="VCA",$AH30&gt;0),$M30*$AG30*$AH30,0),0)</f>
        <v>6.4766</v>
      </c>
      <c r="AR30" s="153" t="n">
        <f aca="false">IFERROR(IF(AND($N30="VCA",$AJ30&gt;0),($M30*$AG30*$AJ30)-$AI30,0),0)</f>
        <v>23.1994556772593</v>
      </c>
      <c r="AS30" s="153" t="n">
        <f aca="false">IFERROR(IF(AND($N30="VCA",$AP30&gt;0),$AP30-$AI30-$AQ30-$AR30,0),0)</f>
        <v>58.2894</v>
      </c>
      <c r="AT30" s="153" t="n">
        <f aca="false">IFERROR(IF($N30="VCA",INDEX(APOIO_REDES!$A:$W,MATCH($C30&amp;$I30&amp;$H30&amp;$N30&amp;$O30,APOIO_REDES!$W:$W,0),MATCH(AT$5,APOIO_REDES!$5:$5,0)),0)*$AP30,0)</f>
        <v>0.960469639419448</v>
      </c>
      <c r="AU30" s="153" t="n">
        <f aca="false">IFERROR(IF($N30="VCA",INDEX(APOIO_REDES!$A:$W,MATCH($C30&amp;$I30&amp;$H30&amp;$N30&amp;$O30,APOIO_REDES!$W:$W,0),MATCH(AU$5,APOIO_REDES!$5:$5,0)),0)*$AP30,0)</f>
        <v>0.767005041223577</v>
      </c>
      <c r="AV30" s="153" t="n">
        <f aca="false">IFERROR(IF($N30="VCA",INDEX(APOIO_REDES!$A:$W,MATCH($C30&amp;$I30&amp;$H30&amp;$N30&amp;$O30,APOIO_REDES!$W:$W,0),MATCH(AV$5,APOIO_REDES!$5:$5,0)),0)*$AP30,0)</f>
        <v>0.106147476479689</v>
      </c>
      <c r="AW30" s="153" t="n">
        <f aca="false">IFERROR(IF($N30="VCA",INDEX(APOIO_REDES!$A:$W,MATCH($C30&amp;$I30&amp;$H30&amp;$N30&amp;$O30,APOIO_REDES!$W:$W,0),MATCH(AW$5,APOIO_REDES!$5:$5,0)),0)*$AP30,0)</f>
        <v>60.5933702074748</v>
      </c>
      <c r="AX30" s="153" t="n">
        <f aca="false">IFERROR(IF($N30="VCA",INDEX(APOIO_REDES!$A:$W,MATCH($C30&amp;$I30&amp;$H30&amp;$N30&amp;$O30,APOIO_REDES!$W:$W,0),MATCH(AX$5,APOIO_REDES!$5:$5,0)),0)*$AP30,0)</f>
        <v>8.38594983323227</v>
      </c>
      <c r="AY30" s="153" t="n">
        <f aca="false">IFERROR(IF($N30="VCA",INDEX(APOIO_REDES!$A:$W,MATCH($C30&amp;$I30&amp;$H30&amp;$N30&amp;$O30,APOIO_REDES!$W:$W,0),MATCH(AY$5,APOIO_REDES!$5:$5,0)),0)*$AP30,0)</f>
        <v>15.3400914747423</v>
      </c>
      <c r="AZ30" s="153" t="n">
        <f aca="false">IFERROR(IF($N30="VCA",INDEX(APOIO_REDES!$A:$W,MATCH($C30&amp;$I30&amp;$H30&amp;$N30&amp;$O30,APOIO_REDES!$W:$W,0),MATCH(AZ$5,APOIO_REDES!$5:$5,0)),0)*$AP30,0)</f>
        <v>2.12302432742799</v>
      </c>
      <c r="BA30" s="153" t="n">
        <f aca="false">IFERROR(IF(AND($N30="VCA",$Q30="LINEAR"),INDEX(APOIO_REDES!$A:$W,MATCH($C30&amp;$I30&amp;$H30&amp;$N30&amp;$O30,APOIO_REDES!$W:$W,0),MATCH(BA$5,APOIO_REDES!$5:$5,0)),IF(AND($N30="MND",$Q30="EMBOQUE"),INDEX(APOIO_REDES!$A:$W,MATCH($C30&amp;$I30&amp;$H30&amp;$N30&amp;$O30,APOIO_REDES!$W:$W,0),MATCH(BA$5,APOIO_REDES!$5:$5,0)),0))*$M30/10,0)</f>
        <v>8.03073266604931</v>
      </c>
      <c r="BB30" s="153" t="n">
        <f aca="false">IFERROR(IF($N30="VCA",INDEX(APOIO_REDES!$A:$W,MATCH($C30&amp;$I30&amp;$H30&amp;$N30&amp;$O30,APOIO_REDES!$W:$W,0),MATCH(BB$5,APOIO_REDES!$5:$5,0)),0)*($AI30+$AQ30+$AR30),0)</f>
        <v>29.6603942853623</v>
      </c>
      <c r="BC30" s="153" t="n">
        <f aca="false">IFERROR(IF($N30="VCA",INDEX(APOIO_REDES!$A:$W,MATCH($C30&amp;$I30&amp;$H30&amp;$N30&amp;$O30,APOIO_REDES!$W:$W,0),MATCH(BC$5,APOIO_REDES!$5:$5,0)),0)*($AI30+$AQ30+$AR30),0)</f>
        <v>0.326263714637714</v>
      </c>
      <c r="BD30" s="153" t="n">
        <f aca="false">IF(AND($N30="VCA",$AF30&gt;=1.25,$AF30&lt;1.5),$M30*$AF30*2,0)</f>
        <v>271.61864</v>
      </c>
      <c r="BE30" s="153" t="n">
        <f aca="false">IF(AND($N30="VCA",$AF30&gt;=1.5,$AF30&lt;3),$M30*$AF30*2,0)</f>
        <v>0</v>
      </c>
      <c r="BF30" s="153" t="n">
        <f aca="false">IF(AND($N30="VCA",$AF30&gt;=3),$M30*$AF30*2,0)</f>
        <v>0</v>
      </c>
      <c r="BG30" s="153" t="n">
        <f aca="false">($BB30+$BC30)*$AK30</f>
        <v>53.9759844</v>
      </c>
      <c r="BH30" s="153" t="n">
        <f aca="false">IF(AND($M30&lt;&gt;"",$N30="VCA",$Q30="LINEAR"),($M30*2)/100,IF(AND($M30&lt;&gt;"",$N30="MND",$Q30="EMBOQUE"),($AN30*2)/100,0))</f>
        <v>1.9928</v>
      </c>
      <c r="BI30" s="153" t="n">
        <f aca="false">IF(AND($M30&lt;&gt;"",$N30="VCA",$Q30="LINEAR"),$M30,IF(AND($M30&lt;&gt;"",$N30="MND",$Q30="EMBOQUE"),$AN30*2,0))</f>
        <v>99.64</v>
      </c>
      <c r="BJ30" s="153" t="n">
        <f aca="false">IF(AND($M30&lt;&gt;"",$N30="VCA",$Q30="LINEAR"),($M30*6.8)/100,IF(AND($M30&lt;&gt;"",$N30="MND",$Q30="EMBOQUE"),($AN30*2*6.8)/100,0))</f>
        <v>6.77552</v>
      </c>
      <c r="BK30" s="153" t="n">
        <f aca="false">IF(AND($M30&lt;&gt;"",$N30="VCA",$Q30="LINEAR"),($M30*2.5)/50,IF(AND($M30&lt;&gt;"",$N30="MND",$Q30="EMBOQUE"),($AN30*2*2.5)/50,0))</f>
        <v>4.982</v>
      </c>
      <c r="BL30" s="157" t="str">
        <f aca="false">K30&amp;J30</f>
        <v>Zona01REDES</v>
      </c>
      <c r="BM30" s="152" t="s">
        <v>1559</v>
      </c>
      <c r="BN30" s="152" t="s">
        <v>1560</v>
      </c>
      <c r="BO30" s="152" t="s">
        <v>1561</v>
      </c>
      <c r="BP30" s="152" t="s">
        <v>1648</v>
      </c>
      <c r="BQ30" s="152" t="s">
        <v>1609</v>
      </c>
      <c r="BR30" s="152" t="s">
        <v>1649</v>
      </c>
      <c r="BS30" s="152" t="n">
        <v>203425.403</v>
      </c>
      <c r="BT30" s="152" t="n">
        <v>8239048.285</v>
      </c>
      <c r="BU30" s="152" t="n">
        <v>203344.577</v>
      </c>
      <c r="BV30" s="152" t="n">
        <v>8239105.63</v>
      </c>
      <c r="BW30" s="152" t="n">
        <v>-15.9098021</v>
      </c>
      <c r="BX30" s="152" t="n">
        <v>-47.7701701</v>
      </c>
      <c r="BY30" s="152" t="s">
        <v>1648</v>
      </c>
    </row>
    <row r="31" customFormat="false" ht="13.8" hidden="false" customHeight="false" outlineLevel="0" collapsed="false">
      <c r="A31" s="149" t="n">
        <f aca="false">IF(C31&lt;&gt;"",ROW(A26),"")</f>
        <v>26</v>
      </c>
      <c r="B31" s="150" t="str">
        <f aca="false">HYPERLINK("https://www.google.com/maps/dir/-15.917302,-47.760003/-15.9098332,-47.7708964/data=!4m3!4m2!3e0!5i2")</f>
        <v>https://www.google.com/maps/dir/-15.917302,-47.760003/-15.9098332,-47.7708964/data=!4m3!4m2!3e0!5i2</v>
      </c>
      <c r="C31" s="151" t="s">
        <v>117</v>
      </c>
      <c r="D31" s="152" t="s">
        <v>112</v>
      </c>
      <c r="E31" s="152" t="s">
        <v>113</v>
      </c>
      <c r="F31" s="152" t="s">
        <v>117</v>
      </c>
      <c r="G31" s="152" t="s">
        <v>782</v>
      </c>
      <c r="H31" s="152" t="n">
        <v>63</v>
      </c>
      <c r="I31" s="152" t="s">
        <v>115</v>
      </c>
      <c r="J31" s="152" t="s">
        <v>6</v>
      </c>
      <c r="K31" s="152" t="s">
        <v>1547</v>
      </c>
      <c r="L31" s="152" t="s">
        <v>120</v>
      </c>
      <c r="M31" s="153" t="n">
        <f aca="false">15.6</f>
        <v>15.6</v>
      </c>
      <c r="N31" s="152" t="s">
        <v>1548</v>
      </c>
      <c r="O31" s="152" t="s">
        <v>1549</v>
      </c>
      <c r="P31" s="152" t="s">
        <v>1550</v>
      </c>
      <c r="Q31" s="152" t="s">
        <v>1551</v>
      </c>
      <c r="R31" s="154" t="s">
        <v>1650</v>
      </c>
      <c r="S31" s="154" t="s">
        <v>1553</v>
      </c>
      <c r="T31" s="155" t="s">
        <v>1554</v>
      </c>
      <c r="U31" s="152" t="str">
        <f aca="false">RIGHT(T31,7)</f>
        <v>002/037</v>
      </c>
      <c r="V31" s="152" t="s">
        <v>1555</v>
      </c>
      <c r="W31" s="156" t="n">
        <v>45882</v>
      </c>
      <c r="X31" s="152" t="s">
        <v>1556</v>
      </c>
      <c r="Y31" s="152"/>
      <c r="Z31" s="152" t="s">
        <v>1557</v>
      </c>
      <c r="AA31" s="153" t="n">
        <v>2.1</v>
      </c>
      <c r="AB31" s="151" t="s">
        <v>1651</v>
      </c>
      <c r="AC31" s="151" t="s">
        <v>186</v>
      </c>
      <c r="AD31" s="151" t="str">
        <f aca="false">CONCATENATE($C31,$I31,$H31,$N31,$J31,$K31)</f>
        <v>TUBO PEADPEAD63VCAREDESZona01</v>
      </c>
      <c r="AE31" s="153" t="n">
        <f aca="false">IFERROR(INDEX(APOIO_REDES!$A:$W,MATCH($C31&amp;$I31&amp;$H31&amp;$N31&amp;$O31,APOIO_REDES!$W:$W,0),MATCH(AE$5,APOIO_REDES!$5:$5,0)),0)</f>
        <v>1.2</v>
      </c>
      <c r="AF31" s="153" t="n">
        <f aca="false">IFERROR(INDEX(APOIO_REDES!$A:$W,MATCH($C31&amp;$I31&amp;$H31&amp;$N31&amp;$O31,APOIO_REDES!$W:$W,0),MATCH(AF$5,APOIO_REDES!$5:$5,0)),0)</f>
        <v>1.363</v>
      </c>
      <c r="AG31" s="153" t="n">
        <f aca="false">IFERROR(INDEX(APOIO_REDES!$A:$W,MATCH($C31&amp;$I31&amp;$H31&amp;$N31&amp;$O31,APOIO_REDES!$W:$W,0),MATCH(AG$5,APOIO_REDES!$5:$5,0)),0)</f>
        <v>0.65</v>
      </c>
      <c r="AH31" s="153" t="n">
        <f aca="false">IFERROR(INDEX(APOIO_REDES!$A:$W,MATCH($C31&amp;$I31&amp;$H31&amp;$N31&amp;$O31,APOIO_REDES!$W:$W,0),MATCH(AH$5,APOIO_REDES!$5:$5,0)),0)</f>
        <v>0.1</v>
      </c>
      <c r="AI31" s="153" t="n">
        <f aca="false">IFERROR(IF($H31&lt;&gt;"",(((($H31/1000)/2)^2)*PI()*$M31),0),0)</f>
        <v>0.0486290268441818</v>
      </c>
      <c r="AJ31" s="153" t="n">
        <f aca="false">IFERROR(IF(AND($H31&lt;&gt;"",$I31="FoFo",OR($N31="MND",$N31="VCA"),$Q31="LINEAR"),0,IF(AND($H31&lt;&gt;"",$I31="PEAD",$N31="VCA",$Q31="LINEAR"),($H31/1000)+0.3,IF(AND($H31&lt;&gt;"",$I31="PEAD",$N31="MND",$Q31="EMBOQUE"),0,IF(AND($H31&lt;&gt;"",$I31="PVC",$N31="VCA",$Q31="LINEAR"),($H31/1000)+0.2,IF(AND($H31&lt;&gt;"",$I31="PVC",$N31="MND",$Q31="EMBOQUE"),0,IF(AND($H31&lt;&gt;"",$I31="PEAD",$N31="VCA",$Q31="PREDIAL"),0,0)))))),0)</f>
        <v>0.363</v>
      </c>
      <c r="AK31" s="153" t="n">
        <f aca="false">IF(AA31&lt;&gt;"",AA31,0)</f>
        <v>2.1</v>
      </c>
      <c r="AL31" s="153" t="n">
        <f aca="false">IF(AND($N31="MND",$Q31="EMBOQUE"),$M31,IF(AND($N31="VCA",$Q31="LINEAR"),$M31,IF(AND($N31="VCA",$Q31="PREDIAL"),0,0)))</f>
        <v>15.6</v>
      </c>
      <c r="AM31" s="153" t="n">
        <f aca="false">IF(AND($N31="MND",$Q31="EMBOQUE"),$M31,IF(AND($N31="VCA",$Q31="LINEAR"),$M31,IF(AND($N31="VCA",$Q31="PREDIAL"),0,0)))</f>
        <v>15.6</v>
      </c>
      <c r="AN31" s="153" t="n">
        <f aca="false">ROUND(IF(AND($N31="VCA",$M31&lt;&gt;"",$Q31="LINEAR"),$M31/100,IF(AND($N31="MND",$M31&gt;100,$Q31="EMBOQUE"),$M31/100,0)),0)</f>
        <v>0</v>
      </c>
      <c r="AO31" s="153" t="n">
        <f aca="false">IF(AND($N31="MND",$Q31="EMBOQUE"),$AN31*2*2,IF(AND($N31="VCA",$Q31="LINEAR"),$M31*2,IF(AND($N31="VCA",$Q31="PREDIAL"),0,0)))</f>
        <v>31.2</v>
      </c>
      <c r="AP31" s="153" t="n">
        <f aca="false">IFERROR($M31*$AF31*$AG31,0)</f>
        <v>13.82082</v>
      </c>
      <c r="AQ31" s="153" t="n">
        <f aca="false">IFERROR(IF(AND($N31="VCA",$AH31&gt;0),$M31*$AG31*$AH31,0),0)</f>
        <v>1.014</v>
      </c>
      <c r="AR31" s="153" t="n">
        <f aca="false">IFERROR(IF(AND($N31="VCA",$AJ31&gt;0),($M31*$AG31*$AJ31)-$AI31,0),0)</f>
        <v>3.63219097315582</v>
      </c>
      <c r="AS31" s="153" t="n">
        <f aca="false">IFERROR(IF(AND($N31="VCA",$AP31&gt;0),$AP31-$AI31-$AQ31-$AR31,0),0)</f>
        <v>9.126</v>
      </c>
      <c r="AT31" s="153" t="n">
        <f aca="false">IFERROR(IF($N31="VCA",INDEX(APOIO_REDES!$A:$W,MATCH($C31&amp;$I31&amp;$H31&amp;$N31&amp;$O31,APOIO_REDES!$W:$W,0),MATCH(AT$5,APOIO_REDES!$5:$5,0)),0)*$AP31,0)</f>
        <v>0.150374612353908</v>
      </c>
      <c r="AU31" s="153" t="n">
        <f aca="false">IFERROR(IF($N31="VCA",INDEX(APOIO_REDES!$A:$W,MATCH($C31&amp;$I31&amp;$H31&amp;$N31&amp;$O31,APOIO_REDES!$W:$W,0),MATCH(AU$5,APOIO_REDES!$5:$5,0)),0)*$AP31,0)</f>
        <v>0.120085092764831</v>
      </c>
      <c r="AV31" s="153" t="n">
        <f aca="false">IFERROR(IF($N31="VCA",INDEX(APOIO_REDES!$A:$W,MATCH($C31&amp;$I31&amp;$H31&amp;$N31&amp;$O31,APOIO_REDES!$W:$W,0),MATCH(AV$5,APOIO_REDES!$5:$5,0)),0)*$AP31,0)</f>
        <v>0.0166188341337128</v>
      </c>
      <c r="AW31" s="153" t="n">
        <f aca="false">IFERROR(IF($N31="VCA",INDEX(APOIO_REDES!$A:$W,MATCH($C31&amp;$I31&amp;$H31&amp;$N31&amp;$O31,APOIO_REDES!$W:$W,0),MATCH(AW$5,APOIO_REDES!$5:$5,0)),0)*$AP31,0)</f>
        <v>9.48671793693904</v>
      </c>
      <c r="AX31" s="153" t="n">
        <f aca="false">IFERROR(IF($N31="VCA",INDEX(APOIO_REDES!$A:$W,MATCH($C31&amp;$I31&amp;$H31&amp;$N31&amp;$O31,APOIO_REDES!$W:$W,0),MATCH(AX$5,APOIO_REDES!$5:$5,0)),0)*$AP31,0)</f>
        <v>1.3129347390448</v>
      </c>
      <c r="AY31" s="153" t="n">
        <f aca="false">IFERROR(IF($N31="VCA",INDEX(APOIO_REDES!$A:$W,MATCH($C31&amp;$I31&amp;$H31&amp;$N31&amp;$O31,APOIO_REDES!$W:$W,0),MATCH(AY$5,APOIO_REDES!$5:$5,0)),0)*$AP31,0)</f>
        <v>2.40170039146908</v>
      </c>
      <c r="AZ31" s="153" t="n">
        <f aca="false">IFERROR(IF($N31="VCA",INDEX(APOIO_REDES!$A:$W,MATCH($C31&amp;$I31&amp;$H31&amp;$N31&amp;$O31,APOIO_REDES!$W:$W,0),MATCH(AZ$5,APOIO_REDES!$5:$5,0)),0)*$AP31,0)</f>
        <v>0.332388393294627</v>
      </c>
      <c r="BA31" s="153" t="n">
        <f aca="false">IFERROR(IF(AND($N31="VCA",$Q31="LINEAR"),INDEX(APOIO_REDES!$A:$W,MATCH($C31&amp;$I31&amp;$H31&amp;$N31&amp;$O31,APOIO_REDES!$W:$W,0),MATCH(BA$5,APOIO_REDES!$5:$5,0)),IF(AND($N31="MND",$Q31="EMBOQUE"),INDEX(APOIO_REDES!$A:$W,MATCH($C31&amp;$I31&amp;$H31&amp;$N31&amp;$O31,APOIO_REDES!$W:$W,0),MATCH(BA$5,APOIO_REDES!$5:$5,0)),0))*$M31/10,0)</f>
        <v>1.25732065024457</v>
      </c>
      <c r="BB31" s="153" t="n">
        <f aca="false">IFERROR(IF($N31="VCA",INDEX(APOIO_REDES!$A:$W,MATCH($C31&amp;$I31&amp;$H31&amp;$N31&amp;$O31,APOIO_REDES!$W:$W,0),MATCH(BB$5,APOIO_REDES!$5:$5,0)),0)*($AI31+$AQ31+$AR31),0)</f>
        <v>4.64373896880421</v>
      </c>
      <c r="BC31" s="153" t="n">
        <f aca="false">IFERROR(IF($N31="VCA",INDEX(APOIO_REDES!$A:$W,MATCH($C31&amp;$I31&amp;$H31&amp;$N31&amp;$O31,APOIO_REDES!$W:$W,0),MATCH(BC$5,APOIO_REDES!$5:$5,0)),0)*($AI31+$AQ31+$AR31),0)</f>
        <v>0.0510810311957882</v>
      </c>
      <c r="BD31" s="153" t="n">
        <f aca="false">IF(AND($N31="VCA",$AF31&gt;=1.25,$AF31&lt;1.5),$M31*$AF31*2,0)</f>
        <v>42.5256</v>
      </c>
      <c r="BE31" s="153" t="n">
        <f aca="false">IF(AND($N31="VCA",$AF31&gt;=1.5,$AF31&lt;3),$M31*$AF31*2,0)</f>
        <v>0</v>
      </c>
      <c r="BF31" s="153" t="n">
        <f aca="false">IF(AND($N31="VCA",$AF31&gt;=3),$M31*$AF31*2,0)</f>
        <v>0</v>
      </c>
      <c r="BG31" s="153" t="n">
        <f aca="false">($BB31+$BC31)*$AK31</f>
        <v>9.859122</v>
      </c>
      <c r="BH31" s="153" t="n">
        <f aca="false">IF(AND($M31&lt;&gt;"",$N31="VCA",$Q31="LINEAR"),($M31*2)/100,IF(AND($M31&lt;&gt;"",$N31="MND",$Q31="EMBOQUE"),($AN31*2)/100,0))</f>
        <v>0.312</v>
      </c>
      <c r="BI31" s="153" t="n">
        <f aca="false">IF(AND($M31&lt;&gt;"",$N31="VCA",$Q31="LINEAR"),$M31,IF(AND($M31&lt;&gt;"",$N31="MND",$Q31="EMBOQUE"),$AN31*2,0))</f>
        <v>15.6</v>
      </c>
      <c r="BJ31" s="153" t="n">
        <f aca="false">IF(AND($M31&lt;&gt;"",$N31="VCA",$Q31="LINEAR"),($M31*6.8)/100,IF(AND($M31&lt;&gt;"",$N31="MND",$Q31="EMBOQUE"),($AN31*2*6.8)/100,0))</f>
        <v>1.0608</v>
      </c>
      <c r="BK31" s="153" t="n">
        <f aca="false">IF(AND($M31&lt;&gt;"",$N31="VCA",$Q31="LINEAR"),($M31*2.5)/50,IF(AND($M31&lt;&gt;"",$N31="MND",$Q31="EMBOQUE"),($AN31*2*2.5)/50,0))</f>
        <v>0.78</v>
      </c>
      <c r="BL31" s="157" t="str">
        <f aca="false">K31&amp;J31</f>
        <v>Zona01REDES</v>
      </c>
      <c r="BM31" s="152" t="s">
        <v>1559</v>
      </c>
      <c r="BN31" s="152" t="s">
        <v>1560</v>
      </c>
      <c r="BO31" s="152" t="s">
        <v>1561</v>
      </c>
      <c r="BP31" s="152" t="s">
        <v>1641</v>
      </c>
      <c r="BQ31" s="152" t="s">
        <v>1652</v>
      </c>
      <c r="BR31" s="152" t="s">
        <v>1564</v>
      </c>
      <c r="BS31" s="152" t="n">
        <v>203305.912</v>
      </c>
      <c r="BT31" s="152" t="n">
        <v>8239070.59</v>
      </c>
      <c r="BU31" s="152" t="n">
        <v>203318.354</v>
      </c>
      <c r="BV31" s="152" t="n">
        <v>8239061.186</v>
      </c>
      <c r="BW31" s="152" t="n">
        <v>-15.9098764</v>
      </c>
      <c r="BX31" s="152" t="n">
        <v>-47.7708389</v>
      </c>
      <c r="BY31" s="152" t="s">
        <v>1641</v>
      </c>
    </row>
    <row r="32" customFormat="false" ht="13.8" hidden="false" customHeight="false" outlineLevel="0" collapsed="false">
      <c r="A32" s="149" t="n">
        <f aca="false">IF(C32&lt;&gt;"",ROW(A27),"")</f>
        <v>27</v>
      </c>
      <c r="B32" s="150" t="str">
        <f aca="false">HYPERLINK("https://www.google.com/maps/dir/-15.917302,-47.760003/-15.9101359,-47.7674502/data=!4m3!4m2!3e0!5i0")</f>
        <v>https://www.google.com/maps/dir/-15.917302,-47.760003/-15.9101359,-47.7674502/data=!4m3!4m2!3e0!5i0</v>
      </c>
      <c r="C32" s="151" t="s">
        <v>117</v>
      </c>
      <c r="D32" s="152" t="s">
        <v>112</v>
      </c>
      <c r="E32" s="152" t="s">
        <v>113</v>
      </c>
      <c r="F32" s="152" t="s">
        <v>117</v>
      </c>
      <c r="G32" s="152" t="s">
        <v>782</v>
      </c>
      <c r="H32" s="152" t="n">
        <v>110</v>
      </c>
      <c r="I32" s="152" t="s">
        <v>115</v>
      </c>
      <c r="J32" s="152" t="s">
        <v>6</v>
      </c>
      <c r="K32" s="152" t="s">
        <v>1547</v>
      </c>
      <c r="L32" s="152" t="s">
        <v>120</v>
      </c>
      <c r="M32" s="153" t="n">
        <f aca="false">39</f>
        <v>39</v>
      </c>
      <c r="N32" s="152" t="s">
        <v>1548</v>
      </c>
      <c r="O32" s="152" t="s">
        <v>1549</v>
      </c>
      <c r="P32" s="152" t="s">
        <v>1550</v>
      </c>
      <c r="Q32" s="152" t="s">
        <v>1551</v>
      </c>
      <c r="R32" s="154" t="s">
        <v>1653</v>
      </c>
      <c r="S32" s="154" t="s">
        <v>1593</v>
      </c>
      <c r="T32" s="155" t="s">
        <v>1554</v>
      </c>
      <c r="U32" s="152" t="str">
        <f aca="false">RIGHT(T32,7)</f>
        <v>002/037</v>
      </c>
      <c r="V32" s="152" t="s">
        <v>1555</v>
      </c>
      <c r="W32" s="156" t="n">
        <v>45882</v>
      </c>
      <c r="X32" s="152" t="s">
        <v>1556</v>
      </c>
      <c r="Y32" s="152"/>
      <c r="Z32" s="152" t="s">
        <v>1557</v>
      </c>
      <c r="AA32" s="153" t="n">
        <v>1.5</v>
      </c>
      <c r="AB32" s="151" t="s">
        <v>1654</v>
      </c>
      <c r="AC32" s="151" t="s">
        <v>502</v>
      </c>
      <c r="AD32" s="151" t="str">
        <f aca="false">CONCATENATE($C32,$I32,$H32,$N32,$J32,$K32)</f>
        <v>TUBO PEADPEAD110VCAREDESZona01</v>
      </c>
      <c r="AE32" s="153" t="n">
        <f aca="false">IFERROR(INDEX(APOIO_REDES!$A:$W,MATCH($C32&amp;$I32&amp;$H32&amp;$N32&amp;$O32,APOIO_REDES!$W:$W,0),MATCH(AE$5,APOIO_REDES!$5:$5,0)),0)</f>
        <v>1.2</v>
      </c>
      <c r="AF32" s="153" t="n">
        <f aca="false">IFERROR(INDEX(APOIO_REDES!$A:$W,MATCH($C32&amp;$I32&amp;$H32&amp;$N32&amp;$O32,APOIO_REDES!$W:$W,0),MATCH(AF$5,APOIO_REDES!$5:$5,0)),0)</f>
        <v>1.41</v>
      </c>
      <c r="AG32" s="153" t="n">
        <f aca="false">IFERROR(INDEX(APOIO_REDES!$A:$W,MATCH($C32&amp;$I32&amp;$H32&amp;$N32&amp;$O32,APOIO_REDES!$W:$W,0),MATCH(AG$5,APOIO_REDES!$5:$5,0)),0)</f>
        <v>0.75</v>
      </c>
      <c r="AH32" s="153" t="n">
        <f aca="false">IFERROR(INDEX(APOIO_REDES!$A:$W,MATCH($C32&amp;$I32&amp;$H32&amp;$N32&amp;$O32,APOIO_REDES!$W:$W,0),MATCH(AH$5,APOIO_REDES!$5:$5,0)),0)</f>
        <v>0.1</v>
      </c>
      <c r="AI32" s="153" t="n">
        <f aca="false">IFERROR(IF($H32&lt;&gt;"",(((($H32/1000)/2)^2)*PI()*$M32),0),0)</f>
        <v>0.370629393307256</v>
      </c>
      <c r="AJ32" s="153" t="n">
        <f aca="false">IFERROR(IF(AND($H32&lt;&gt;"",$I32="FoFo",OR($N32="MND",$N32="VCA"),$Q32="LINEAR"),0,IF(AND($H32&lt;&gt;"",$I32="PEAD",$N32="VCA",$Q32="LINEAR"),($H32/1000)+0.3,IF(AND($H32&lt;&gt;"",$I32="PEAD",$N32="MND",$Q32="EMBOQUE"),0,IF(AND($H32&lt;&gt;"",$I32="PVC",$N32="VCA",$Q32="LINEAR"),($H32/1000)+0.2,IF(AND($H32&lt;&gt;"",$I32="PVC",$N32="MND",$Q32="EMBOQUE"),0,IF(AND($H32&lt;&gt;"",$I32="PEAD",$N32="VCA",$Q32="PREDIAL"),0,0)))))),0)</f>
        <v>0.41</v>
      </c>
      <c r="AK32" s="153" t="n">
        <f aca="false">IF(AA32&lt;&gt;"",AA32,0)</f>
        <v>1.5</v>
      </c>
      <c r="AL32" s="153" t="n">
        <f aca="false">IF(AND($N32="MND",$Q32="EMBOQUE"),$M32,IF(AND($N32="VCA",$Q32="LINEAR"),$M32,IF(AND($N32="VCA",$Q32="PREDIAL"),0,0)))</f>
        <v>39</v>
      </c>
      <c r="AM32" s="153" t="n">
        <f aca="false">IF(AND($N32="MND",$Q32="EMBOQUE"),$M32,IF(AND($N32="VCA",$Q32="LINEAR"),$M32,IF(AND($N32="VCA",$Q32="PREDIAL"),0,0)))</f>
        <v>39</v>
      </c>
      <c r="AN32" s="153" t="n">
        <f aca="false">ROUND(IF(AND($N32="VCA",$M32&lt;&gt;"",$Q32="LINEAR"),$M32/100,IF(AND($N32="MND",$M32&gt;100,$Q32="EMBOQUE"),$M32/100,0)),0)</f>
        <v>0</v>
      </c>
      <c r="AO32" s="153" t="n">
        <f aca="false">IF(AND($N32="MND",$Q32="EMBOQUE"),$AN32*2*2,IF(AND($N32="VCA",$Q32="LINEAR"),$M32*2,IF(AND($N32="VCA",$Q32="PREDIAL"),0,0)))</f>
        <v>78</v>
      </c>
      <c r="AP32" s="153" t="n">
        <f aca="false">IFERROR($M32*$AF32*$AG32,0)</f>
        <v>41.2425</v>
      </c>
      <c r="AQ32" s="153" t="n">
        <f aca="false">IFERROR(IF(AND($N32="VCA",$AH32&gt;0),$M32*$AG32*$AH32,0),0)</f>
        <v>2.925</v>
      </c>
      <c r="AR32" s="153" t="n">
        <f aca="false">IFERROR(IF(AND($N32="VCA",$AJ32&gt;0),($M32*$AG32*$AJ32)-$AI32,0),0)</f>
        <v>11.6218706066927</v>
      </c>
      <c r="AS32" s="153" t="n">
        <f aca="false">IFERROR(IF(AND($N32="VCA",$AP32&gt;0),$AP32-$AI32-$AQ32-$AR32,0),0)</f>
        <v>26.325</v>
      </c>
      <c r="AT32" s="153" t="n">
        <f aca="false">IFERROR(IF($N32="VCA",INDEX(APOIO_REDES!$A:$W,MATCH($C32&amp;$I32&amp;$H32&amp;$N32&amp;$O32,APOIO_REDES!$W:$W,0),MATCH(AT$5,APOIO_REDES!$5:$5,0)),0)*$AP32,0)</f>
        <v>0.448730607156887</v>
      </c>
      <c r="AU32" s="153" t="n">
        <f aca="false">IFERROR(IF($N32="VCA",INDEX(APOIO_REDES!$A:$W,MATCH($C32&amp;$I32&amp;$H32&amp;$N32&amp;$O32,APOIO_REDES!$W:$W,0),MATCH(AU$5,APOIO_REDES!$5:$5,0)),0)*$AP32,0)</f>
        <v>0.358344109709378</v>
      </c>
      <c r="AV32" s="153" t="n">
        <f aca="false">IFERROR(IF($N32="VCA",INDEX(APOIO_REDES!$A:$W,MATCH($C32&amp;$I32&amp;$H32&amp;$N32&amp;$O32,APOIO_REDES!$W:$W,0),MATCH(AV$5,APOIO_REDES!$5:$5,0)),0)*$AP32,0)</f>
        <v>0.04959201167222</v>
      </c>
      <c r="AW32" s="153" t="n">
        <f aca="false">IFERROR(IF($N32="VCA",INDEX(APOIO_REDES!$A:$W,MATCH($C32&amp;$I32&amp;$H32&amp;$N32&amp;$O32,APOIO_REDES!$W:$W,0),MATCH(AW$5,APOIO_REDES!$5:$5,0)),0)*$AP32,0)</f>
        <v>28.3091715624839</v>
      </c>
      <c r="AX32" s="153" t="n">
        <f aca="false">IFERROR(IF($N32="VCA",INDEX(APOIO_REDES!$A:$W,MATCH($C32&amp;$I32&amp;$H32&amp;$N32&amp;$O32,APOIO_REDES!$W:$W,0),MATCH(AX$5,APOIO_REDES!$5:$5,0)),0)*$AP32,0)</f>
        <v>3.91790870404614</v>
      </c>
      <c r="AY32" s="153" t="n">
        <f aca="false">IFERROR(IF($N32="VCA",INDEX(APOIO_REDES!$A:$W,MATCH($C32&amp;$I32&amp;$H32&amp;$N32&amp;$O32,APOIO_REDES!$W:$W,0),MATCH(AY$5,APOIO_REDES!$5:$5,0)),0)*$AP32,0)</f>
        <v>7.1668778260019</v>
      </c>
      <c r="AZ32" s="153" t="n">
        <f aca="false">IFERROR(IF($N32="VCA",INDEX(APOIO_REDES!$A:$W,MATCH($C32&amp;$I32&amp;$H32&amp;$N32&amp;$O32,APOIO_REDES!$W:$W,0),MATCH(AZ$5,APOIO_REDES!$5:$5,0)),0)*$AP32,0)</f>
        <v>0.99187517892959</v>
      </c>
      <c r="BA32" s="153" t="n">
        <f aca="false">IFERROR(IF(AND($N32="VCA",$Q32="LINEAR"),INDEX(APOIO_REDES!$A:$W,MATCH($C32&amp;$I32&amp;$H32&amp;$N32&amp;$O32,APOIO_REDES!$W:$W,0),MATCH(BA$5,APOIO_REDES!$5:$5,0)),IF(AND($N32="MND",$Q32="EMBOQUE"),INDEX(APOIO_REDES!$A:$W,MATCH($C32&amp;$I32&amp;$H32&amp;$N32&amp;$O32,APOIO_REDES!$W:$W,0),MATCH(BA$5,APOIO_REDES!$5:$5,0)),0))*$M32/10,0)</f>
        <v>3.14330162561143</v>
      </c>
      <c r="BB32" s="153" t="n">
        <f aca="false">IFERROR(IF($N32="VCA",INDEX(APOIO_REDES!$A:$W,MATCH($C32&amp;$I32&amp;$H32&amp;$N32&amp;$O32,APOIO_REDES!$W:$W,0),MATCH(BB$5,APOIO_REDES!$5:$5,0)),0)*($AI32+$AQ32+$AR32),0)</f>
        <v>14.7551931846454</v>
      </c>
      <c r="BC32" s="153" t="n">
        <f aca="false">IFERROR(IF($N32="VCA",INDEX(APOIO_REDES!$A:$W,MATCH($C32&amp;$I32&amp;$H32&amp;$N32&amp;$O32,APOIO_REDES!$W:$W,0),MATCH(BC$5,APOIO_REDES!$5:$5,0)),0)*($AI32+$AQ32+$AR32),0)</f>
        <v>0.162306815354619</v>
      </c>
      <c r="BD32" s="153" t="n">
        <f aca="false">IF(AND($N32="VCA",$AF32&gt;=1.25,$AF32&lt;1.5),$M32*$AF32*2,0)</f>
        <v>109.98</v>
      </c>
      <c r="BE32" s="153" t="n">
        <f aca="false">IF(AND($N32="VCA",$AF32&gt;=1.5,$AF32&lt;3),$M32*$AF32*2,0)</f>
        <v>0</v>
      </c>
      <c r="BF32" s="153" t="n">
        <f aca="false">IF(AND($N32="VCA",$AF32&gt;=3),$M32*$AF32*2,0)</f>
        <v>0</v>
      </c>
      <c r="BG32" s="153" t="n">
        <f aca="false">($BB32+$BC32)*$AK32</f>
        <v>22.37625</v>
      </c>
      <c r="BH32" s="153" t="n">
        <f aca="false">IF(AND($M32&lt;&gt;"",$N32="VCA",$Q32="LINEAR"),($M32*2)/100,IF(AND($M32&lt;&gt;"",$N32="MND",$Q32="EMBOQUE"),($AN32*2)/100,0))</f>
        <v>0.78</v>
      </c>
      <c r="BI32" s="153" t="n">
        <f aca="false">IF(AND($M32&lt;&gt;"",$N32="VCA",$Q32="LINEAR"),$M32,IF(AND($M32&lt;&gt;"",$N32="MND",$Q32="EMBOQUE"),$AN32*2,0))</f>
        <v>39</v>
      </c>
      <c r="BJ32" s="153" t="n">
        <f aca="false">IF(AND($M32&lt;&gt;"",$N32="VCA",$Q32="LINEAR"),($M32*6.8)/100,IF(AND($M32&lt;&gt;"",$N32="MND",$Q32="EMBOQUE"),($AN32*2*6.8)/100,0))</f>
        <v>2.652</v>
      </c>
      <c r="BK32" s="153" t="n">
        <f aca="false">IF(AND($M32&lt;&gt;"",$N32="VCA",$Q32="LINEAR"),($M32*2.5)/50,IF(AND($M32&lt;&gt;"",$N32="MND",$Q32="EMBOQUE"),($AN32*2*2.5)/50,0))</f>
        <v>1.95</v>
      </c>
      <c r="BL32" s="157" t="str">
        <f aca="false">K32&amp;J32</f>
        <v>Zona01REDES</v>
      </c>
      <c r="BM32" s="152" t="s">
        <v>1559</v>
      </c>
      <c r="BN32" s="152" t="s">
        <v>1560</v>
      </c>
      <c r="BO32" s="152" t="s">
        <v>1561</v>
      </c>
      <c r="BP32" s="152" t="s">
        <v>1616</v>
      </c>
      <c r="BQ32" s="152" t="s">
        <v>1596</v>
      </c>
      <c r="BR32" s="152" t="s">
        <v>1655</v>
      </c>
      <c r="BS32" s="152" t="n">
        <v>203675.717</v>
      </c>
      <c r="BT32" s="152" t="n">
        <v>8239042.327</v>
      </c>
      <c r="BU32" s="152" t="n">
        <v>203685.836</v>
      </c>
      <c r="BV32" s="152" t="n">
        <v>8239079.19</v>
      </c>
      <c r="BW32" s="152" t="n">
        <v>-15.9099697</v>
      </c>
      <c r="BX32" s="152" t="n">
        <v>-47.7673801</v>
      </c>
      <c r="BY32" s="152" t="s">
        <v>1616</v>
      </c>
    </row>
    <row r="33" customFormat="false" ht="13.8" hidden="false" customHeight="false" outlineLevel="0" collapsed="false">
      <c r="A33" s="149" t="n">
        <f aca="false">IF(C33&lt;&gt;"",ROW(A28),"")</f>
        <v>28</v>
      </c>
      <c r="B33" s="150" t="str">
        <f aca="false">HYPERLINK("https://www.google.com/maps/dir/-15.917302,-47.760003/-15.9099196,-47.7707814/data=!4m3!4m2!3e0!5i2")</f>
        <v>https://www.google.com/maps/dir/-15.917302,-47.760003/-15.9099196,-47.7707814/data=!4m3!4m2!3e0!5i2</v>
      </c>
      <c r="C33" s="151" t="s">
        <v>117</v>
      </c>
      <c r="D33" s="152" t="s">
        <v>112</v>
      </c>
      <c r="E33" s="152" t="s">
        <v>113</v>
      </c>
      <c r="F33" s="152" t="s">
        <v>117</v>
      </c>
      <c r="G33" s="152" t="s">
        <v>782</v>
      </c>
      <c r="H33" s="152" t="n">
        <v>63</v>
      </c>
      <c r="I33" s="152" t="s">
        <v>115</v>
      </c>
      <c r="J33" s="152" t="s">
        <v>6</v>
      </c>
      <c r="K33" s="152" t="s">
        <v>1547</v>
      </c>
      <c r="L33" s="152" t="s">
        <v>120</v>
      </c>
      <c r="M33" s="153" t="n">
        <f aca="false">1.96</f>
        <v>1.96</v>
      </c>
      <c r="N33" s="152" t="s">
        <v>1548</v>
      </c>
      <c r="O33" s="152" t="s">
        <v>1549</v>
      </c>
      <c r="P33" s="152" t="s">
        <v>1550</v>
      </c>
      <c r="Q33" s="152" t="s">
        <v>1551</v>
      </c>
      <c r="R33" s="154" t="s">
        <v>1656</v>
      </c>
      <c r="S33" s="154" t="s">
        <v>1553</v>
      </c>
      <c r="T33" s="155" t="s">
        <v>1554</v>
      </c>
      <c r="U33" s="152" t="str">
        <f aca="false">RIGHT(T33,7)</f>
        <v>002/037</v>
      </c>
      <c r="V33" s="152" t="s">
        <v>1555</v>
      </c>
      <c r="W33" s="156" t="n">
        <v>45882</v>
      </c>
      <c r="X33" s="152" t="s">
        <v>1556</v>
      </c>
      <c r="Y33" s="152"/>
      <c r="Z33" s="152" t="s">
        <v>1557</v>
      </c>
      <c r="AA33" s="153" t="n">
        <v>2.1</v>
      </c>
      <c r="AB33" s="151" t="s">
        <v>1657</v>
      </c>
      <c r="AC33" s="151" t="s">
        <v>186</v>
      </c>
      <c r="AD33" s="151" t="str">
        <f aca="false">CONCATENATE($C33,$I33,$H33,$N33,$J33,$K33)</f>
        <v>TUBO PEADPEAD63VCAREDESZona01</v>
      </c>
      <c r="AE33" s="153" t="n">
        <f aca="false">IFERROR(INDEX(APOIO_REDES!$A:$W,MATCH($C33&amp;$I33&amp;$H33&amp;$N33&amp;$O33,APOIO_REDES!$W:$W,0),MATCH(AE$5,APOIO_REDES!$5:$5,0)),0)</f>
        <v>1.2</v>
      </c>
      <c r="AF33" s="153" t="n">
        <f aca="false">IFERROR(INDEX(APOIO_REDES!$A:$W,MATCH($C33&amp;$I33&amp;$H33&amp;$N33&amp;$O33,APOIO_REDES!$W:$W,0),MATCH(AF$5,APOIO_REDES!$5:$5,0)),0)</f>
        <v>1.363</v>
      </c>
      <c r="AG33" s="153" t="n">
        <f aca="false">IFERROR(INDEX(APOIO_REDES!$A:$W,MATCH($C33&amp;$I33&amp;$H33&amp;$N33&amp;$O33,APOIO_REDES!$W:$W,0),MATCH(AG$5,APOIO_REDES!$5:$5,0)),0)</f>
        <v>0.65</v>
      </c>
      <c r="AH33" s="153" t="n">
        <f aca="false">IFERROR(INDEX(APOIO_REDES!$A:$W,MATCH($C33&amp;$I33&amp;$H33&amp;$N33&amp;$O33,APOIO_REDES!$W:$W,0),MATCH(AH$5,APOIO_REDES!$5:$5,0)),0)</f>
        <v>0.1</v>
      </c>
      <c r="AI33" s="153" t="n">
        <f aca="false">IFERROR(IF($H33&lt;&gt;"",(((($H33/1000)/2)^2)*PI()*$M33),0),0)</f>
        <v>0.00610980080862797</v>
      </c>
      <c r="AJ33" s="153" t="n">
        <f aca="false">IFERROR(IF(AND($H33&lt;&gt;"",$I33="FoFo",OR($N33="MND",$N33="VCA"),$Q33="LINEAR"),0,IF(AND($H33&lt;&gt;"",$I33="PEAD",$N33="VCA",$Q33="LINEAR"),($H33/1000)+0.3,IF(AND($H33&lt;&gt;"",$I33="PEAD",$N33="MND",$Q33="EMBOQUE"),0,IF(AND($H33&lt;&gt;"",$I33="PVC",$N33="VCA",$Q33="LINEAR"),($H33/1000)+0.2,IF(AND($H33&lt;&gt;"",$I33="PVC",$N33="MND",$Q33="EMBOQUE"),0,IF(AND($H33&lt;&gt;"",$I33="PEAD",$N33="VCA",$Q33="PREDIAL"),0,0)))))),0)</f>
        <v>0.363</v>
      </c>
      <c r="AK33" s="153" t="n">
        <f aca="false">IF(AA33&lt;&gt;"",AA33,0)</f>
        <v>2.1</v>
      </c>
      <c r="AL33" s="153" t="n">
        <f aca="false">IF(AND($N33="MND",$Q33="EMBOQUE"),$M33,IF(AND($N33="VCA",$Q33="LINEAR"),$M33,IF(AND($N33="VCA",$Q33="PREDIAL"),0,0)))</f>
        <v>1.96</v>
      </c>
      <c r="AM33" s="153" t="n">
        <f aca="false">IF(AND($N33="MND",$Q33="EMBOQUE"),$M33,IF(AND($N33="VCA",$Q33="LINEAR"),$M33,IF(AND($N33="VCA",$Q33="PREDIAL"),0,0)))</f>
        <v>1.96</v>
      </c>
      <c r="AN33" s="153" t="n">
        <f aca="false">ROUND(IF(AND($N33="VCA",$M33&lt;&gt;"",$Q33="LINEAR"),$M33/100,IF(AND($N33="MND",$M33&gt;100,$Q33="EMBOQUE"),$M33/100,0)),0)</f>
        <v>0</v>
      </c>
      <c r="AO33" s="153" t="n">
        <f aca="false">IF(AND($N33="MND",$Q33="EMBOQUE"),$AN33*2*2,IF(AND($N33="VCA",$Q33="LINEAR"),$M33*2,IF(AND($N33="VCA",$Q33="PREDIAL"),0,0)))</f>
        <v>3.92</v>
      </c>
      <c r="AP33" s="153" t="n">
        <f aca="false">IFERROR($M33*$AF33*$AG33,0)</f>
        <v>1.736462</v>
      </c>
      <c r="AQ33" s="153" t="n">
        <f aca="false">IFERROR(IF(AND($N33="VCA",$AH33&gt;0),$M33*$AG33*$AH33,0),0)</f>
        <v>0.1274</v>
      </c>
      <c r="AR33" s="153" t="n">
        <f aca="false">IFERROR(IF(AND($N33="VCA",$AJ33&gt;0),($M33*$AG33*$AJ33)-$AI33,0),0)</f>
        <v>0.456352199191372</v>
      </c>
      <c r="AS33" s="153" t="n">
        <f aca="false">IFERROR(IF(AND($N33="VCA",$AP33&gt;0),$AP33-$AI33-$AQ33-$AR33,0),0)</f>
        <v>1.1466</v>
      </c>
      <c r="AT33" s="153" t="n">
        <f aca="false">IFERROR(IF($N33="VCA",INDEX(APOIO_REDES!$A:$W,MATCH($C33&amp;$I33&amp;$H33&amp;$N33&amp;$O33,APOIO_REDES!$W:$W,0),MATCH(AT$5,APOIO_REDES!$5:$5,0)),0)*$AP33,0)</f>
        <v>0.0188932205265166</v>
      </c>
      <c r="AU33" s="153" t="n">
        <f aca="false">IFERROR(IF($N33="VCA",INDEX(APOIO_REDES!$A:$W,MATCH($C33&amp;$I33&amp;$H33&amp;$N33&amp;$O33,APOIO_REDES!$W:$W,0),MATCH(AU$5,APOIO_REDES!$5:$5,0)),0)*$AP33,0)</f>
        <v>0.0150876142191711</v>
      </c>
      <c r="AV33" s="153" t="n">
        <f aca="false">IFERROR(IF($N33="VCA",INDEX(APOIO_REDES!$A:$W,MATCH($C33&amp;$I33&amp;$H33&amp;$N33&amp;$O33,APOIO_REDES!$W:$W,0),MATCH(AV$5,APOIO_REDES!$5:$5,0)),0)*$AP33,0)</f>
        <v>0.00208800736551776</v>
      </c>
      <c r="AW33" s="153" t="n">
        <f aca="false">IFERROR(IF($N33="VCA",INDEX(APOIO_REDES!$A:$W,MATCH($C33&amp;$I33&amp;$H33&amp;$N33&amp;$O33,APOIO_REDES!$W:$W,0),MATCH(AW$5,APOIO_REDES!$5:$5,0)),0)*$AP33,0)</f>
        <v>1.19192097156414</v>
      </c>
      <c r="AX33" s="153" t="n">
        <f aca="false">IFERROR(IF($N33="VCA",INDEX(APOIO_REDES!$A:$W,MATCH($C33&amp;$I33&amp;$H33&amp;$N33&amp;$O33,APOIO_REDES!$W:$W,0),MATCH(AX$5,APOIO_REDES!$5:$5,0)),0)*$AP33,0)</f>
        <v>0.164958467213321</v>
      </c>
      <c r="AY33" s="153" t="n">
        <f aca="false">IFERROR(IF($N33="VCA",INDEX(APOIO_REDES!$A:$W,MATCH($C33&amp;$I33&amp;$H33&amp;$N33&amp;$O33,APOIO_REDES!$W:$W,0),MATCH(AY$5,APOIO_REDES!$5:$5,0)),0)*$AP33,0)</f>
        <v>0.301752100466628</v>
      </c>
      <c r="AZ33" s="153" t="n">
        <f aca="false">IFERROR(IF($N33="VCA",INDEX(APOIO_REDES!$A:$W,MATCH($C33&amp;$I33&amp;$H33&amp;$N33&amp;$O33,APOIO_REDES!$W:$W,0),MATCH(AZ$5,APOIO_REDES!$5:$5,0)),0)*$AP33,0)</f>
        <v>0.0417616186447096</v>
      </c>
      <c r="BA33" s="153" t="n">
        <f aca="false">IFERROR(IF(AND($N33="VCA",$Q33="LINEAR"),INDEX(APOIO_REDES!$A:$W,MATCH($C33&amp;$I33&amp;$H33&amp;$N33&amp;$O33,APOIO_REDES!$W:$W,0),MATCH(BA$5,APOIO_REDES!$5:$5,0)),IF(AND($N33="MND",$Q33="EMBOQUE"),INDEX(APOIO_REDES!$A:$W,MATCH($C33&amp;$I33&amp;$H33&amp;$N33&amp;$O33,APOIO_REDES!$W:$W,0),MATCH(BA$5,APOIO_REDES!$5:$5,0)),0))*$M33/10,0)</f>
        <v>0.157971056056369</v>
      </c>
      <c r="BB33" s="153" t="n">
        <f aca="false">IFERROR(IF($N33="VCA",INDEX(APOIO_REDES!$A:$W,MATCH($C33&amp;$I33&amp;$H33&amp;$N33&amp;$O33,APOIO_REDES!$W:$W,0),MATCH(BB$5,APOIO_REDES!$5:$5,0)),0)*($AI33+$AQ33+$AR33),0)</f>
        <v>0.58344412684976</v>
      </c>
      <c r="BC33" s="153" t="n">
        <f aca="false">IFERROR(IF($N33="VCA",INDEX(APOIO_REDES!$A:$W,MATCH($C33&amp;$I33&amp;$H33&amp;$N33&amp;$O33,APOIO_REDES!$W:$W,0),MATCH(BC$5,APOIO_REDES!$5:$5,0)),0)*($AI33+$AQ33+$AR33),0)</f>
        <v>0.00641787315024006</v>
      </c>
      <c r="BD33" s="153" t="n">
        <f aca="false">IF(AND($N33="VCA",$AF33&gt;=1.25,$AF33&lt;1.5),$M33*$AF33*2,0)</f>
        <v>5.34296</v>
      </c>
      <c r="BE33" s="153" t="n">
        <f aca="false">IF(AND($N33="VCA",$AF33&gt;=1.5,$AF33&lt;3),$M33*$AF33*2,0)</f>
        <v>0</v>
      </c>
      <c r="BF33" s="153" t="n">
        <f aca="false">IF(AND($N33="VCA",$AF33&gt;=3),$M33*$AF33*2,0)</f>
        <v>0</v>
      </c>
      <c r="BG33" s="153" t="n">
        <f aca="false">($BB33+$BC33)*$AK33</f>
        <v>1.2387102</v>
      </c>
      <c r="BH33" s="153" t="n">
        <f aca="false">IF(AND($M33&lt;&gt;"",$N33="VCA",$Q33="LINEAR"),($M33*2)/100,IF(AND($M33&lt;&gt;"",$N33="MND",$Q33="EMBOQUE"),($AN33*2)/100,0))</f>
        <v>0.0392</v>
      </c>
      <c r="BI33" s="153" t="n">
        <f aca="false">IF(AND($M33&lt;&gt;"",$N33="VCA",$Q33="LINEAR"),$M33,IF(AND($M33&lt;&gt;"",$N33="MND",$Q33="EMBOQUE"),$AN33*2,0))</f>
        <v>1.96</v>
      </c>
      <c r="BJ33" s="153" t="n">
        <f aca="false">IF(AND($M33&lt;&gt;"",$N33="VCA",$Q33="LINEAR"),($M33*6.8)/100,IF(AND($M33&lt;&gt;"",$N33="MND",$Q33="EMBOQUE"),($AN33*2*6.8)/100,0))</f>
        <v>0.13328</v>
      </c>
      <c r="BK33" s="153" t="n">
        <f aca="false">IF(AND($M33&lt;&gt;"",$N33="VCA",$Q33="LINEAR"),($M33*2.5)/50,IF(AND($M33&lt;&gt;"",$N33="MND",$Q33="EMBOQUE"),($AN33*2*2.5)/50,0))</f>
        <v>0.098</v>
      </c>
      <c r="BL33" s="157" t="str">
        <f aca="false">K33&amp;J33</f>
        <v>Zona01REDES</v>
      </c>
      <c r="BM33" s="152" t="s">
        <v>1559</v>
      </c>
      <c r="BN33" s="152" t="s">
        <v>1560</v>
      </c>
      <c r="BO33" s="152" t="s">
        <v>1561</v>
      </c>
      <c r="BP33" s="152" t="s">
        <v>1652</v>
      </c>
      <c r="BQ33" s="152" t="s">
        <v>1658</v>
      </c>
      <c r="BR33" s="152" t="s">
        <v>1564</v>
      </c>
      <c r="BS33" s="152" t="n">
        <v>203318.354</v>
      </c>
      <c r="BT33" s="152" t="n">
        <v>8239061.186</v>
      </c>
      <c r="BU33" s="152" t="n">
        <v>203317.11</v>
      </c>
      <c r="BV33" s="152" t="n">
        <v>8239059.666</v>
      </c>
      <c r="BW33" s="152" t="n">
        <v>-15.9099264</v>
      </c>
      <c r="BX33" s="152" t="n">
        <v>-47.7707873</v>
      </c>
      <c r="BY33" s="152" t="s">
        <v>1652</v>
      </c>
    </row>
    <row r="34" customFormat="false" ht="13.8" hidden="false" customHeight="false" outlineLevel="0" collapsed="false">
      <c r="A34" s="149" t="n">
        <f aca="false">IF(C34&lt;&gt;"",ROW(A29),"")</f>
        <v>29</v>
      </c>
      <c r="B34" s="150" t="str">
        <f aca="false">HYPERLINK("https://www.google.com/maps/dir/-15.917302,-47.760003/-15.9100486,-47.7697839/data=!4m3!4m2!3e0!5i0")</f>
        <v>https://www.google.com/maps/dir/-15.917302,-47.760003/-15.9100486,-47.7697839/data=!4m3!4m2!3e0!5i0</v>
      </c>
      <c r="C34" s="151" t="s">
        <v>117</v>
      </c>
      <c r="D34" s="152" t="s">
        <v>112</v>
      </c>
      <c r="E34" s="152" t="s">
        <v>113</v>
      </c>
      <c r="F34" s="152" t="s">
        <v>117</v>
      </c>
      <c r="G34" s="152" t="s">
        <v>782</v>
      </c>
      <c r="H34" s="152" t="n">
        <v>90</v>
      </c>
      <c r="I34" s="152" t="s">
        <v>115</v>
      </c>
      <c r="J34" s="152" t="s">
        <v>6</v>
      </c>
      <c r="K34" s="152" t="s">
        <v>1547</v>
      </c>
      <c r="L34" s="152" t="s">
        <v>120</v>
      </c>
      <c r="M34" s="153" t="n">
        <f aca="false">26.54</f>
        <v>26.54</v>
      </c>
      <c r="N34" s="152" t="s">
        <v>1548</v>
      </c>
      <c r="O34" s="152" t="s">
        <v>1549</v>
      </c>
      <c r="P34" s="152" t="s">
        <v>1550</v>
      </c>
      <c r="Q34" s="152" t="s">
        <v>1551</v>
      </c>
      <c r="R34" s="154" t="s">
        <v>1659</v>
      </c>
      <c r="S34" s="154" t="s">
        <v>1593</v>
      </c>
      <c r="T34" s="155" t="s">
        <v>1554</v>
      </c>
      <c r="U34" s="152" t="str">
        <f aca="false">RIGHT(T34,7)</f>
        <v>002/037</v>
      </c>
      <c r="V34" s="152" t="s">
        <v>1555</v>
      </c>
      <c r="W34" s="156" t="n">
        <v>45882</v>
      </c>
      <c r="X34" s="152" t="s">
        <v>1556</v>
      </c>
      <c r="Y34" s="152"/>
      <c r="Z34" s="152" t="s">
        <v>1557</v>
      </c>
      <c r="AA34" s="153" t="n">
        <v>1.8</v>
      </c>
      <c r="AB34" s="151" t="s">
        <v>1660</v>
      </c>
      <c r="AC34" s="151" t="s">
        <v>526</v>
      </c>
      <c r="AD34" s="151" t="str">
        <f aca="false">CONCATENATE($C34,$I34,$H34,$N34,$J34,$K34)</f>
        <v>TUBO PEADPEAD90VCAREDESZona01</v>
      </c>
      <c r="AE34" s="153" t="n">
        <f aca="false">IFERROR(INDEX(APOIO_REDES!$A:$W,MATCH($C34&amp;$I34&amp;$H34&amp;$N34&amp;$O34,APOIO_REDES!$W:$W,0),MATCH(AE$5,APOIO_REDES!$5:$5,0)),0)</f>
        <v>1.2</v>
      </c>
      <c r="AF34" s="153" t="n">
        <f aca="false">IFERROR(INDEX(APOIO_REDES!$A:$W,MATCH($C34&amp;$I34&amp;$H34&amp;$N34&amp;$O34,APOIO_REDES!$W:$W,0),MATCH(AF$5,APOIO_REDES!$5:$5,0)),0)</f>
        <v>1.39</v>
      </c>
      <c r="AG34" s="153" t="n">
        <f aca="false">IFERROR(INDEX(APOIO_REDES!$A:$W,MATCH($C34&amp;$I34&amp;$H34&amp;$N34&amp;$O34,APOIO_REDES!$W:$W,0),MATCH(AG$5,APOIO_REDES!$5:$5,0)),0)</f>
        <v>0.75</v>
      </c>
      <c r="AH34" s="153" t="n">
        <f aca="false">IFERROR(INDEX(APOIO_REDES!$A:$W,MATCH($C34&amp;$I34&amp;$H34&amp;$N34&amp;$O34,APOIO_REDES!$W:$W,0),MATCH(AH$5,APOIO_REDES!$5:$5,0)),0)</f>
        <v>0.1</v>
      </c>
      <c r="AI34" s="153" t="n">
        <f aca="false">IFERROR(IF($H34&lt;&gt;"",(((($H34/1000)/2)^2)*PI()*$M34),0),0)</f>
        <v>0.168840184778203</v>
      </c>
      <c r="AJ34" s="153" t="n">
        <f aca="false">IFERROR(IF(AND($H34&lt;&gt;"",$I34="FoFo",OR($N34="MND",$N34="VCA"),$Q34="LINEAR"),0,IF(AND($H34&lt;&gt;"",$I34="PEAD",$N34="VCA",$Q34="LINEAR"),($H34/1000)+0.3,IF(AND($H34&lt;&gt;"",$I34="PEAD",$N34="MND",$Q34="EMBOQUE"),0,IF(AND($H34&lt;&gt;"",$I34="PVC",$N34="VCA",$Q34="LINEAR"),($H34/1000)+0.2,IF(AND($H34&lt;&gt;"",$I34="PVC",$N34="MND",$Q34="EMBOQUE"),0,IF(AND($H34&lt;&gt;"",$I34="PEAD",$N34="VCA",$Q34="PREDIAL"),0,0)))))),0)</f>
        <v>0.39</v>
      </c>
      <c r="AK34" s="153" t="n">
        <f aca="false">IF(AA34&lt;&gt;"",AA34,0)</f>
        <v>1.8</v>
      </c>
      <c r="AL34" s="153" t="n">
        <f aca="false">IF(AND($N34="MND",$Q34="EMBOQUE"),$M34,IF(AND($N34="VCA",$Q34="LINEAR"),$M34,IF(AND($N34="VCA",$Q34="PREDIAL"),0,0)))</f>
        <v>26.54</v>
      </c>
      <c r="AM34" s="153" t="n">
        <f aca="false">IF(AND($N34="MND",$Q34="EMBOQUE"),$M34,IF(AND($N34="VCA",$Q34="LINEAR"),$M34,IF(AND($N34="VCA",$Q34="PREDIAL"),0,0)))</f>
        <v>26.54</v>
      </c>
      <c r="AN34" s="153" t="n">
        <f aca="false">ROUND(IF(AND($N34="VCA",$M34&lt;&gt;"",$Q34="LINEAR"),$M34/100,IF(AND($N34="MND",$M34&gt;100,$Q34="EMBOQUE"),$M34/100,0)),0)</f>
        <v>0</v>
      </c>
      <c r="AO34" s="153" t="n">
        <f aca="false">IF(AND($N34="MND",$Q34="EMBOQUE"),$AN34*2*2,IF(AND($N34="VCA",$Q34="LINEAR"),$M34*2,IF(AND($N34="VCA",$Q34="PREDIAL"),0,0)))</f>
        <v>53.08</v>
      </c>
      <c r="AP34" s="153" t="n">
        <f aca="false">IFERROR($M34*$AF34*$AG34,0)</f>
        <v>27.66795</v>
      </c>
      <c r="AQ34" s="153" t="n">
        <f aca="false">IFERROR(IF(AND($N34="VCA",$AH34&gt;0),$M34*$AG34*$AH34,0),0)</f>
        <v>1.9905</v>
      </c>
      <c r="AR34" s="153" t="n">
        <f aca="false">IFERROR(IF(AND($N34="VCA",$AJ34&gt;0),($M34*$AG34*$AJ34)-$AI34,0),0)</f>
        <v>7.5941098152218</v>
      </c>
      <c r="AS34" s="153" t="n">
        <f aca="false">IFERROR(IF(AND($N34="VCA",$AP34&gt;0),$AP34-$AI34-$AQ34-$AR34,0),0)</f>
        <v>17.9145</v>
      </c>
      <c r="AT34" s="153" t="n">
        <f aca="false">IFERROR(IF($N34="VCA",INDEX(APOIO_REDES!$A:$W,MATCH($C34&amp;$I34&amp;$H34&amp;$N34&amp;$O34,APOIO_REDES!$W:$W,0),MATCH(AT$5,APOIO_REDES!$5:$5,0)),0)*$AP34,0)</f>
        <v>0.301035485295178</v>
      </c>
      <c r="AU34" s="153" t="n">
        <f aca="false">IFERROR(IF($N34="VCA",INDEX(APOIO_REDES!$A:$W,MATCH($C34&amp;$I34&amp;$H34&amp;$N34&amp;$O34,APOIO_REDES!$W:$W,0),MATCH(AU$5,APOIO_REDES!$5:$5,0)),0)*$AP34,0)</f>
        <v>0.240398785481811</v>
      </c>
      <c r="AV34" s="153" t="n">
        <f aca="false">IFERROR(IF($N34="VCA",INDEX(APOIO_REDES!$A:$W,MATCH($C34&amp;$I34&amp;$H34&amp;$N34&amp;$O34,APOIO_REDES!$W:$W,0),MATCH(AV$5,APOIO_REDES!$5:$5,0)),0)*$AP34,0)</f>
        <v>0.0332693047062229</v>
      </c>
      <c r="AW34" s="153" t="n">
        <f aca="false">IFERROR(IF($N34="VCA",INDEX(APOIO_REDES!$A:$W,MATCH($C34&amp;$I34&amp;$H34&amp;$N34&amp;$O34,APOIO_REDES!$W:$W,0),MATCH(AW$5,APOIO_REDES!$5:$5,0)),0)*$AP34,0)</f>
        <v>18.9914952617379</v>
      </c>
      <c r="AX34" s="153" t="n">
        <f aca="false">IFERROR(IF($N34="VCA",INDEX(APOIO_REDES!$A:$W,MATCH($C34&amp;$I34&amp;$H34&amp;$N34&amp;$O34,APOIO_REDES!$W:$W,0),MATCH(AX$5,APOIO_REDES!$5:$5,0)),0)*$AP34,0)</f>
        <v>2.62836884592625</v>
      </c>
      <c r="AY34" s="153" t="n">
        <f aca="false">IFERROR(IF($N34="VCA",INDEX(APOIO_REDES!$A:$W,MATCH($C34&amp;$I34&amp;$H34&amp;$N34&amp;$O34,APOIO_REDES!$W:$W,0),MATCH(AY$5,APOIO_REDES!$5:$5,0)),0)*$AP34,0)</f>
        <v>4.8079727791945</v>
      </c>
      <c r="AZ34" s="153" t="n">
        <f aca="false">IFERROR(IF($N34="VCA",INDEX(APOIO_REDES!$A:$W,MATCH($C34&amp;$I34&amp;$H34&amp;$N34&amp;$O34,APOIO_REDES!$W:$W,0),MATCH(AZ$5,APOIO_REDES!$5:$5,0)),0)*$AP34,0)</f>
        <v>0.665409537658119</v>
      </c>
      <c r="BA34" s="153" t="n">
        <f aca="false">IFERROR(IF(AND($N34="VCA",$Q34="LINEAR"),INDEX(APOIO_REDES!$A:$W,MATCH($C34&amp;$I34&amp;$H34&amp;$N34&amp;$O34,APOIO_REDES!$W:$W,0),MATCH(BA$5,APOIO_REDES!$5:$5,0)),IF(AND($N34="MND",$Q34="EMBOQUE"),INDEX(APOIO_REDES!$A:$W,MATCH($C34&amp;$I34&amp;$H34&amp;$N34&amp;$O34,APOIO_REDES!$W:$W,0),MATCH(BA$5,APOIO_REDES!$5:$5,0)),0))*$M34/10,0)</f>
        <v>2.13905705496737</v>
      </c>
      <c r="BB34" s="153" t="n">
        <f aca="false">IFERROR(IF($N34="VCA",INDEX(APOIO_REDES!$A:$W,MATCH($C34&amp;$I34&amp;$H34&amp;$N34&amp;$O34,APOIO_REDES!$W:$W,0),MATCH(BB$5,APOIO_REDES!$5:$5,0)),0)*($AI34+$AQ34+$AR34),0)</f>
        <v>9.64732957712616</v>
      </c>
      <c r="BC34" s="153" t="n">
        <f aca="false">IFERROR(IF($N34="VCA",INDEX(APOIO_REDES!$A:$W,MATCH($C34&amp;$I34&amp;$H34&amp;$N34&amp;$O34,APOIO_REDES!$W:$W,0),MATCH(BC$5,APOIO_REDES!$5:$5,0)),0)*($AI34+$AQ34+$AR34),0)</f>
        <v>0.10612042287384</v>
      </c>
      <c r="BD34" s="153" t="n">
        <f aca="false">IF(AND($N34="VCA",$AF34&gt;=1.25,$AF34&lt;1.5),$M34*$AF34*2,0)</f>
        <v>73.7812</v>
      </c>
      <c r="BE34" s="153" t="n">
        <f aca="false">IF(AND($N34="VCA",$AF34&gt;=1.5,$AF34&lt;3),$M34*$AF34*2,0)</f>
        <v>0</v>
      </c>
      <c r="BF34" s="153" t="n">
        <f aca="false">IF(AND($N34="VCA",$AF34&gt;=3),$M34*$AF34*2,0)</f>
        <v>0</v>
      </c>
      <c r="BG34" s="153" t="n">
        <f aca="false">($BB34+$BC34)*$AK34</f>
        <v>17.55621</v>
      </c>
      <c r="BH34" s="153" t="n">
        <f aca="false">IF(AND($M34&lt;&gt;"",$N34="VCA",$Q34="LINEAR"),($M34*2)/100,IF(AND($M34&lt;&gt;"",$N34="MND",$Q34="EMBOQUE"),($AN34*2)/100,0))</f>
        <v>0.5308</v>
      </c>
      <c r="BI34" s="153" t="n">
        <f aca="false">IF(AND($M34&lt;&gt;"",$N34="VCA",$Q34="LINEAR"),$M34,IF(AND($M34&lt;&gt;"",$N34="MND",$Q34="EMBOQUE"),$AN34*2,0))</f>
        <v>26.54</v>
      </c>
      <c r="BJ34" s="153" t="n">
        <f aca="false">IF(AND($M34&lt;&gt;"",$N34="VCA",$Q34="LINEAR"),($M34*6.8)/100,IF(AND($M34&lt;&gt;"",$N34="MND",$Q34="EMBOQUE"),($AN34*2*6.8)/100,0))</f>
        <v>1.80472</v>
      </c>
      <c r="BK34" s="153" t="n">
        <f aca="false">IF(AND($M34&lt;&gt;"",$N34="VCA",$Q34="LINEAR"),($M34*2.5)/50,IF(AND($M34&lt;&gt;"",$N34="MND",$Q34="EMBOQUE"),($AN34*2*2.5)/50,0))</f>
        <v>1.327</v>
      </c>
      <c r="BL34" s="157" t="str">
        <f aca="false">K34&amp;J34</f>
        <v>Zona01REDES</v>
      </c>
      <c r="BM34" s="152" t="s">
        <v>1559</v>
      </c>
      <c r="BN34" s="152" t="s">
        <v>1560</v>
      </c>
      <c r="BO34" s="152" t="s">
        <v>1561</v>
      </c>
      <c r="BP34" s="152" t="s">
        <v>1648</v>
      </c>
      <c r="BQ34" s="152" t="s">
        <v>1620</v>
      </c>
      <c r="BR34" s="152" t="s">
        <v>1661</v>
      </c>
      <c r="BS34" s="152" t="n">
        <v>203425.724</v>
      </c>
      <c r="BT34" s="152" t="n">
        <v>8239048.093</v>
      </c>
      <c r="BU34" s="152" t="n">
        <v>203441.963</v>
      </c>
      <c r="BV34" s="152" t="n">
        <v>8239069.089</v>
      </c>
      <c r="BW34" s="152" t="n">
        <v>-15.909957</v>
      </c>
      <c r="BX34" s="152" t="n">
        <v>-47.7697039</v>
      </c>
      <c r="BY34" s="152" t="s">
        <v>1648</v>
      </c>
    </row>
    <row r="35" customFormat="false" ht="13.8" hidden="false" customHeight="false" outlineLevel="0" collapsed="false">
      <c r="A35" s="149" t="n">
        <f aca="false">IF(C35&lt;&gt;"",ROW(A30),"")</f>
        <v>30</v>
      </c>
      <c r="B35" s="150" t="str">
        <f aca="false">HYPERLINK("https://www.google.com/maps/dir/-15.917302,-47.760003/-15.9098710,-47.7691512/data=!4m3!4m2!3e0!5i0")</f>
        <v>https://www.google.com/maps/dir/-15.917302,-47.760003/-15.9098710,-47.7691512/data=!4m3!4m2!3e0!5i0</v>
      </c>
      <c r="C35" s="151" t="s">
        <v>117</v>
      </c>
      <c r="D35" s="152" t="s">
        <v>112</v>
      </c>
      <c r="E35" s="152" t="s">
        <v>113</v>
      </c>
      <c r="F35" s="152" t="s">
        <v>117</v>
      </c>
      <c r="G35" s="152" t="s">
        <v>782</v>
      </c>
      <c r="H35" s="152" t="n">
        <v>110</v>
      </c>
      <c r="I35" s="152" t="s">
        <v>115</v>
      </c>
      <c r="J35" s="152" t="s">
        <v>6</v>
      </c>
      <c r="K35" s="152" t="s">
        <v>1547</v>
      </c>
      <c r="L35" s="152" t="s">
        <v>120</v>
      </c>
      <c r="M35" s="153" t="n">
        <f aca="false">44.8</f>
        <v>44.8</v>
      </c>
      <c r="N35" s="152" t="s">
        <v>1548</v>
      </c>
      <c r="O35" s="152" t="s">
        <v>1549</v>
      </c>
      <c r="P35" s="152" t="s">
        <v>1550</v>
      </c>
      <c r="Q35" s="152" t="s">
        <v>1551</v>
      </c>
      <c r="R35" s="154" t="s">
        <v>1662</v>
      </c>
      <c r="S35" s="154" t="s">
        <v>1593</v>
      </c>
      <c r="T35" s="155" t="s">
        <v>1554</v>
      </c>
      <c r="U35" s="152" t="str">
        <f aca="false">RIGHT(T35,7)</f>
        <v>002/037</v>
      </c>
      <c r="V35" s="152" t="s">
        <v>1555</v>
      </c>
      <c r="W35" s="156" t="n">
        <v>45882</v>
      </c>
      <c r="X35" s="152" t="s">
        <v>1556</v>
      </c>
      <c r="Y35" s="152"/>
      <c r="Z35" s="152" t="s">
        <v>1557</v>
      </c>
      <c r="AA35" s="153" t="n">
        <v>1.7</v>
      </c>
      <c r="AB35" s="151" t="s">
        <v>1663</v>
      </c>
      <c r="AC35" s="151" t="s">
        <v>502</v>
      </c>
      <c r="AD35" s="151" t="str">
        <f aca="false">CONCATENATE($C35,$I35,$H35,$N35,$J35,$K35)</f>
        <v>TUBO PEADPEAD110VCAREDESZona01</v>
      </c>
      <c r="AE35" s="153" t="n">
        <f aca="false">IFERROR(INDEX(APOIO_REDES!$A:$W,MATCH($C35&amp;$I35&amp;$H35&amp;$N35&amp;$O35,APOIO_REDES!$W:$W,0),MATCH(AE$5,APOIO_REDES!$5:$5,0)),0)</f>
        <v>1.2</v>
      </c>
      <c r="AF35" s="153" t="n">
        <f aca="false">IFERROR(INDEX(APOIO_REDES!$A:$W,MATCH($C35&amp;$I35&amp;$H35&amp;$N35&amp;$O35,APOIO_REDES!$W:$W,0),MATCH(AF$5,APOIO_REDES!$5:$5,0)),0)</f>
        <v>1.41</v>
      </c>
      <c r="AG35" s="153" t="n">
        <f aca="false">IFERROR(INDEX(APOIO_REDES!$A:$W,MATCH($C35&amp;$I35&amp;$H35&amp;$N35&amp;$O35,APOIO_REDES!$W:$W,0),MATCH(AG$5,APOIO_REDES!$5:$5,0)),0)</f>
        <v>0.75</v>
      </c>
      <c r="AH35" s="153" t="n">
        <f aca="false">IFERROR(INDEX(APOIO_REDES!$A:$W,MATCH($C35&amp;$I35&amp;$H35&amp;$N35&amp;$O35,APOIO_REDES!$W:$W,0),MATCH(AH$5,APOIO_REDES!$5:$5,0)),0)</f>
        <v>0.1</v>
      </c>
      <c r="AI35" s="153" t="n">
        <f aca="false">IFERROR(IF($H35&lt;&gt;"",(((($H35/1000)/2)^2)*PI()*$M35),0),0)</f>
        <v>0.425748636414489</v>
      </c>
      <c r="AJ35" s="153" t="n">
        <f aca="false">IFERROR(IF(AND($H35&lt;&gt;"",$I35="FoFo",OR($N35="MND",$N35="VCA"),$Q35="LINEAR"),0,IF(AND($H35&lt;&gt;"",$I35="PEAD",$N35="VCA",$Q35="LINEAR"),($H35/1000)+0.3,IF(AND($H35&lt;&gt;"",$I35="PEAD",$N35="MND",$Q35="EMBOQUE"),0,IF(AND($H35&lt;&gt;"",$I35="PVC",$N35="VCA",$Q35="LINEAR"),($H35/1000)+0.2,IF(AND($H35&lt;&gt;"",$I35="PVC",$N35="MND",$Q35="EMBOQUE"),0,IF(AND($H35&lt;&gt;"",$I35="PEAD",$N35="VCA",$Q35="PREDIAL"),0,0)))))),0)</f>
        <v>0.41</v>
      </c>
      <c r="AK35" s="153" t="n">
        <f aca="false">IF(AA35&lt;&gt;"",AA35,0)</f>
        <v>1.7</v>
      </c>
      <c r="AL35" s="153" t="n">
        <f aca="false">IF(AND($N35="MND",$Q35="EMBOQUE"),$M35,IF(AND($N35="VCA",$Q35="LINEAR"),$M35,IF(AND($N35="VCA",$Q35="PREDIAL"),0,0)))</f>
        <v>44.8</v>
      </c>
      <c r="AM35" s="153" t="n">
        <f aca="false">IF(AND($N35="MND",$Q35="EMBOQUE"),$M35,IF(AND($N35="VCA",$Q35="LINEAR"),$M35,IF(AND($N35="VCA",$Q35="PREDIAL"),0,0)))</f>
        <v>44.8</v>
      </c>
      <c r="AN35" s="153" t="n">
        <f aca="false">ROUND(IF(AND($N35="VCA",$M35&lt;&gt;"",$Q35="LINEAR"),$M35/100,IF(AND($N35="MND",$M35&gt;100,$Q35="EMBOQUE"),$M35/100,0)),0)</f>
        <v>0</v>
      </c>
      <c r="AO35" s="153" t="n">
        <f aca="false">IF(AND($N35="MND",$Q35="EMBOQUE"),$AN35*2*2,IF(AND($N35="VCA",$Q35="LINEAR"),$M35*2,IF(AND($N35="VCA",$Q35="PREDIAL"),0,0)))</f>
        <v>89.6</v>
      </c>
      <c r="AP35" s="153" t="n">
        <f aca="false">IFERROR($M35*$AF35*$AG35,0)</f>
        <v>47.376</v>
      </c>
      <c r="AQ35" s="153" t="n">
        <f aca="false">IFERROR(IF(AND($N35="VCA",$AH35&gt;0),$M35*$AG35*$AH35,0),0)</f>
        <v>3.36</v>
      </c>
      <c r="AR35" s="153" t="n">
        <f aca="false">IFERROR(IF(AND($N35="VCA",$AJ35&gt;0),($M35*$AG35*$AJ35)-$AI35,0),0)</f>
        <v>13.3502513635855</v>
      </c>
      <c r="AS35" s="153" t="n">
        <f aca="false">IFERROR(IF(AND($N35="VCA",$AP35&gt;0),$AP35-$AI35-$AQ35-$AR35,0),0)</f>
        <v>30.24</v>
      </c>
      <c r="AT35" s="153" t="n">
        <f aca="false">IFERROR(IF($N35="VCA",INDEX(APOIO_REDES!$A:$W,MATCH($C35&amp;$I35&amp;$H35&amp;$N35&amp;$O35,APOIO_REDES!$W:$W,0),MATCH(AT$5,APOIO_REDES!$5:$5,0)),0)*$AP35,0)</f>
        <v>0.515464902580219</v>
      </c>
      <c r="AU35" s="153" t="n">
        <f aca="false">IFERROR(IF($N35="VCA",INDEX(APOIO_REDES!$A:$W,MATCH($C35&amp;$I35&amp;$H35&amp;$N35&amp;$O35,APOIO_REDES!$W:$W,0),MATCH(AU$5,APOIO_REDES!$5:$5,0)),0)*$AP35,0)</f>
        <v>0.411636310640516</v>
      </c>
      <c r="AV35" s="153" t="n">
        <f aca="false">IFERROR(IF($N35="VCA",INDEX(APOIO_REDES!$A:$W,MATCH($C35&amp;$I35&amp;$H35&amp;$N35&amp;$O35,APOIO_REDES!$W:$W,0),MATCH(AV$5,APOIO_REDES!$5:$5,0)),0)*$AP35,0)</f>
        <v>0.0569672339209091</v>
      </c>
      <c r="AW35" s="153" t="n">
        <f aca="false">IFERROR(IF($N35="VCA",INDEX(APOIO_REDES!$A:$W,MATCH($C35&amp;$I35&amp;$H35&amp;$N35&amp;$O35,APOIO_REDES!$W:$W,0),MATCH(AW$5,APOIO_REDES!$5:$5,0)),0)*$AP35,0)</f>
        <v>32.519253487161</v>
      </c>
      <c r="AX35" s="153" t="n">
        <f aca="false">IFERROR(IF($N35="VCA",INDEX(APOIO_REDES!$A:$W,MATCH($C35&amp;$I35&amp;$H35&amp;$N35&amp;$O35,APOIO_REDES!$W:$W,0),MATCH(AX$5,APOIO_REDES!$5:$5,0)),0)*$AP35,0)</f>
        <v>4.50057204977608</v>
      </c>
      <c r="AY35" s="153" t="n">
        <f aca="false">IFERROR(IF($N35="VCA",INDEX(APOIO_REDES!$A:$W,MATCH($C35&amp;$I35&amp;$H35&amp;$N35&amp;$O35,APOIO_REDES!$W:$W,0),MATCH(AY$5,APOIO_REDES!$5:$5,0)),0)*$AP35,0)</f>
        <v>8.23272119499706</v>
      </c>
      <c r="AZ35" s="153" t="n">
        <f aca="false">IFERROR(IF($N35="VCA",INDEX(APOIO_REDES!$A:$W,MATCH($C35&amp;$I35&amp;$H35&amp;$N35&amp;$O35,APOIO_REDES!$W:$W,0),MATCH(AZ$5,APOIO_REDES!$5:$5,0)),0)*$AP35,0)</f>
        <v>1.13938482092425</v>
      </c>
      <c r="BA35" s="153" t="n">
        <f aca="false">IFERROR(IF(AND($N35="VCA",$Q35="LINEAR"),INDEX(APOIO_REDES!$A:$W,MATCH($C35&amp;$I35&amp;$H35&amp;$N35&amp;$O35,APOIO_REDES!$W:$W,0),MATCH(BA$5,APOIO_REDES!$5:$5,0)),IF(AND($N35="MND",$Q35="EMBOQUE"),INDEX(APOIO_REDES!$A:$W,MATCH($C35&amp;$I35&amp;$H35&amp;$N35&amp;$O35,APOIO_REDES!$W:$W,0),MATCH(BA$5,APOIO_REDES!$5:$5,0)),0))*$M35/10,0)</f>
        <v>3.61076699557416</v>
      </c>
      <c r="BB35" s="153" t="n">
        <f aca="false">IFERROR(IF($N35="VCA",INDEX(APOIO_REDES!$A:$W,MATCH($C35&amp;$I35&amp;$H35&amp;$N35&amp;$O35,APOIO_REDES!$W:$W,0),MATCH(BB$5,APOIO_REDES!$5:$5,0)),0)*($AI35+$AQ35+$AR35),0)</f>
        <v>16.9495552480029</v>
      </c>
      <c r="BC35" s="153" t="n">
        <f aca="false">IFERROR(IF($N35="VCA",INDEX(APOIO_REDES!$A:$W,MATCH($C35&amp;$I35&amp;$H35&amp;$N35&amp;$O35,APOIO_REDES!$W:$W,0),MATCH(BC$5,APOIO_REDES!$5:$5,0)),0)*($AI35+$AQ35+$AR35),0)</f>
        <v>0.1864447519971</v>
      </c>
      <c r="BD35" s="153" t="n">
        <f aca="false">IF(AND($N35="VCA",$AF35&gt;=1.25,$AF35&lt;1.5),$M35*$AF35*2,0)</f>
        <v>126.336</v>
      </c>
      <c r="BE35" s="153" t="n">
        <f aca="false">IF(AND($N35="VCA",$AF35&gt;=1.5,$AF35&lt;3),$M35*$AF35*2,0)</f>
        <v>0</v>
      </c>
      <c r="BF35" s="153" t="n">
        <f aca="false">IF(AND($N35="VCA",$AF35&gt;=3),$M35*$AF35*2,0)</f>
        <v>0</v>
      </c>
      <c r="BG35" s="153" t="n">
        <f aca="false">($BB35+$BC35)*$AK35</f>
        <v>29.1312</v>
      </c>
      <c r="BH35" s="153" t="n">
        <f aca="false">IF(AND($M35&lt;&gt;"",$N35="VCA",$Q35="LINEAR"),($M35*2)/100,IF(AND($M35&lt;&gt;"",$N35="MND",$Q35="EMBOQUE"),($AN35*2)/100,0))</f>
        <v>0.896</v>
      </c>
      <c r="BI35" s="153" t="n">
        <f aca="false">IF(AND($M35&lt;&gt;"",$N35="VCA",$Q35="LINEAR"),$M35,IF(AND($M35&lt;&gt;"",$N35="MND",$Q35="EMBOQUE"),$AN35*2,0))</f>
        <v>44.8</v>
      </c>
      <c r="BJ35" s="153" t="n">
        <f aca="false">IF(AND($M35&lt;&gt;"",$N35="VCA",$Q35="LINEAR"),($M35*6.8)/100,IF(AND($M35&lt;&gt;"",$N35="MND",$Q35="EMBOQUE"),($AN35*2*6.8)/100,0))</f>
        <v>3.0464</v>
      </c>
      <c r="BK35" s="153" t="n">
        <f aca="false">IF(AND($M35&lt;&gt;"",$N35="VCA",$Q35="LINEAR"),($M35*2.5)/50,IF(AND($M35&lt;&gt;"",$N35="MND",$Q35="EMBOQUE"),($AN35*2*2.5)/50,0))</f>
        <v>2.24</v>
      </c>
      <c r="BL35" s="157" t="str">
        <f aca="false">K35&amp;J35</f>
        <v>Zona01REDES</v>
      </c>
      <c r="BM35" s="152" t="s">
        <v>1559</v>
      </c>
      <c r="BN35" s="152" t="s">
        <v>1560</v>
      </c>
      <c r="BO35" s="152" t="s">
        <v>1561</v>
      </c>
      <c r="BP35" s="152" t="s">
        <v>1637</v>
      </c>
      <c r="BQ35" s="152" t="s">
        <v>1615</v>
      </c>
      <c r="BR35" s="152" t="s">
        <v>1664</v>
      </c>
      <c r="BS35" s="152" t="n">
        <v>203492.957</v>
      </c>
      <c r="BT35" s="152" t="n">
        <v>8239068.88</v>
      </c>
      <c r="BU35" s="152" t="n">
        <v>203528.556</v>
      </c>
      <c r="BV35" s="152" t="n">
        <v>8239041.705</v>
      </c>
      <c r="BW35" s="152" t="n">
        <v>-15.9099921</v>
      </c>
      <c r="BX35" s="152" t="n">
        <v>-47.7689838</v>
      </c>
      <c r="BY35" s="152" t="s">
        <v>1637</v>
      </c>
    </row>
    <row r="36" customFormat="false" ht="13.8" hidden="false" customHeight="false" outlineLevel="0" collapsed="false">
      <c r="A36" s="149" t="n">
        <f aca="false">IF(C36&lt;&gt;"",ROW(A31),"")</f>
        <v>31</v>
      </c>
      <c r="B36" s="150" t="str">
        <f aca="false">HYPERLINK("https://www.google.com/maps/dir/-15.917302,-47.760003/-15.9098537,-47.7672185/data=!4m3!4m2!3e0!5i2")</f>
        <v>https://www.google.com/maps/dir/-15.917302,-47.760003/-15.9098537,-47.7672185/data=!4m3!4m2!3e0!5i2</v>
      </c>
      <c r="C36" s="151" t="s">
        <v>117</v>
      </c>
      <c r="D36" s="152" t="s">
        <v>112</v>
      </c>
      <c r="E36" s="152" t="s">
        <v>113</v>
      </c>
      <c r="F36" s="152" t="s">
        <v>117</v>
      </c>
      <c r="G36" s="152" t="s">
        <v>782</v>
      </c>
      <c r="H36" s="152" t="n">
        <v>63</v>
      </c>
      <c r="I36" s="152" t="s">
        <v>115</v>
      </c>
      <c r="J36" s="152" t="s">
        <v>6</v>
      </c>
      <c r="K36" s="152" t="s">
        <v>1547</v>
      </c>
      <c r="L36" s="152" t="s">
        <v>120</v>
      </c>
      <c r="M36" s="153" t="n">
        <f aca="false">96.19+0.46</f>
        <v>96.65</v>
      </c>
      <c r="N36" s="152" t="s">
        <v>1548</v>
      </c>
      <c r="O36" s="152" t="s">
        <v>1549</v>
      </c>
      <c r="P36" s="152" t="s">
        <v>1550</v>
      </c>
      <c r="Q36" s="152" t="s">
        <v>1551</v>
      </c>
      <c r="R36" s="154" t="s">
        <v>1665</v>
      </c>
      <c r="S36" s="154" t="s">
        <v>1553</v>
      </c>
      <c r="T36" s="155" t="s">
        <v>1554</v>
      </c>
      <c r="U36" s="152" t="str">
        <f aca="false">RIGHT(T36,7)</f>
        <v>002/037</v>
      </c>
      <c r="V36" s="152" t="s">
        <v>1555</v>
      </c>
      <c r="W36" s="156" t="n">
        <v>45882</v>
      </c>
      <c r="X36" s="152" t="s">
        <v>1594</v>
      </c>
      <c r="Y36" s="152"/>
      <c r="Z36" s="152" t="s">
        <v>1557</v>
      </c>
      <c r="AA36" s="153" t="n">
        <v>5.1</v>
      </c>
      <c r="AB36" s="151" t="s">
        <v>1666</v>
      </c>
      <c r="AC36" s="151" t="s">
        <v>186</v>
      </c>
      <c r="AD36" s="151" t="str">
        <f aca="false">CONCATENATE($C36,$I36,$H36,$N36,$J36,$K36)</f>
        <v>TUBO PEADPEAD63VCAREDESZona01</v>
      </c>
      <c r="AE36" s="153" t="n">
        <f aca="false">IFERROR(INDEX(APOIO_REDES!$A:$W,MATCH($C36&amp;$I36&amp;$H36&amp;$N36&amp;$O36,APOIO_REDES!$W:$W,0),MATCH(AE$5,APOIO_REDES!$5:$5,0)),0)</f>
        <v>1.2</v>
      </c>
      <c r="AF36" s="153" t="n">
        <f aca="false">IFERROR(INDEX(APOIO_REDES!$A:$W,MATCH($C36&amp;$I36&amp;$H36&amp;$N36&amp;$O36,APOIO_REDES!$W:$W,0),MATCH(AF$5,APOIO_REDES!$5:$5,0)),0)</f>
        <v>1.363</v>
      </c>
      <c r="AG36" s="153" t="n">
        <f aca="false">IFERROR(INDEX(APOIO_REDES!$A:$W,MATCH($C36&amp;$I36&amp;$H36&amp;$N36&amp;$O36,APOIO_REDES!$W:$W,0),MATCH(AG$5,APOIO_REDES!$5:$5,0)),0)</f>
        <v>0.65</v>
      </c>
      <c r="AH36" s="153" t="n">
        <f aca="false">IFERROR(INDEX(APOIO_REDES!$A:$W,MATCH($C36&amp;$I36&amp;$H36&amp;$N36&amp;$O36,APOIO_REDES!$W:$W,0),MATCH(AH$5,APOIO_REDES!$5:$5,0)),0)</f>
        <v>0.1</v>
      </c>
      <c r="AI36" s="153" t="n">
        <f aca="false">IFERROR(IF($H36&lt;&gt;"",(((($H36/1000)/2)^2)*PI()*$M36),0),0)</f>
        <v>0.30128175926219</v>
      </c>
      <c r="AJ36" s="153" t="n">
        <f aca="false">IFERROR(IF(AND($H36&lt;&gt;"",$I36="FoFo",OR($N36="MND",$N36="VCA"),$Q36="LINEAR"),0,IF(AND($H36&lt;&gt;"",$I36="PEAD",$N36="VCA",$Q36="LINEAR"),($H36/1000)+0.3,IF(AND($H36&lt;&gt;"",$I36="PEAD",$N36="MND",$Q36="EMBOQUE"),0,IF(AND($H36&lt;&gt;"",$I36="PVC",$N36="VCA",$Q36="LINEAR"),($H36/1000)+0.2,IF(AND($H36&lt;&gt;"",$I36="PVC",$N36="MND",$Q36="EMBOQUE"),0,IF(AND($H36&lt;&gt;"",$I36="PEAD",$N36="VCA",$Q36="PREDIAL"),0,0)))))),0)</f>
        <v>0.363</v>
      </c>
      <c r="AK36" s="153" t="n">
        <f aca="false">IF(AA36&lt;&gt;"",AA36,0)</f>
        <v>5.1</v>
      </c>
      <c r="AL36" s="153" t="n">
        <f aca="false">IF(AND($N36="MND",$Q36="EMBOQUE"),$M36,IF(AND($N36="VCA",$Q36="LINEAR"),$M36,IF(AND($N36="VCA",$Q36="PREDIAL"),0,0)))</f>
        <v>96.65</v>
      </c>
      <c r="AM36" s="153" t="n">
        <f aca="false">IF(AND($N36="MND",$Q36="EMBOQUE"),$M36,IF(AND($N36="VCA",$Q36="LINEAR"),$M36,IF(AND($N36="VCA",$Q36="PREDIAL"),0,0)))</f>
        <v>96.65</v>
      </c>
      <c r="AN36" s="153" t="n">
        <f aca="false">ROUND(IF(AND($N36="VCA",$M36&lt;&gt;"",$Q36="LINEAR"),$M36/100,IF(AND($N36="MND",$M36&gt;100,$Q36="EMBOQUE"),$M36/100,0)),0)</f>
        <v>1</v>
      </c>
      <c r="AO36" s="153" t="n">
        <f aca="false">IF(AND($N36="MND",$Q36="EMBOQUE"),$AN36*2*2,IF(AND($N36="VCA",$Q36="LINEAR"),$M36*2,IF(AND($N36="VCA",$Q36="PREDIAL"),0,0)))</f>
        <v>193.3</v>
      </c>
      <c r="AP36" s="153" t="n">
        <f aca="false">IFERROR($M36*$AF36*$AG36,0)</f>
        <v>85.6270675</v>
      </c>
      <c r="AQ36" s="153" t="n">
        <f aca="false">IFERROR(IF(AND($N36="VCA",$AH36&gt;0),$M36*$AG36*$AH36,0),0)</f>
        <v>6.28225</v>
      </c>
      <c r="AR36" s="153" t="n">
        <f aca="false">IFERROR(IF(AND($N36="VCA",$AJ36&gt;0),($M36*$AG36*$AJ36)-$AI36,0),0)</f>
        <v>22.5032857407378</v>
      </c>
      <c r="AS36" s="153" t="n">
        <f aca="false">IFERROR(IF(AND($N36="VCA",$AP36&gt;0),$AP36-$AI36-$AQ36-$AR36,0),0)</f>
        <v>56.54025</v>
      </c>
      <c r="AT36" s="153" t="n">
        <f aca="false">IFERROR(IF($N36="VCA",INDEX(APOIO_REDES!$A:$W,MATCH($C36&amp;$I36&amp;$H36&amp;$N36&amp;$O36,APOIO_REDES!$W:$W,0),MATCH(AT$5,APOIO_REDES!$5:$5,0)),0)*$AP36,0)</f>
        <v>0.931647838718282</v>
      </c>
      <c r="AU36" s="153" t="n">
        <f aca="false">IFERROR(IF($N36="VCA",INDEX(APOIO_REDES!$A:$W,MATCH($C36&amp;$I36&amp;$H36&amp;$N36&amp;$O36,APOIO_REDES!$W:$W,0),MATCH(AU$5,APOIO_REDES!$5:$5,0)),0)*$AP36,0)</f>
        <v>0.743988731776984</v>
      </c>
      <c r="AV36" s="153" t="n">
        <f aca="false">IFERROR(IF($N36="VCA",INDEX(APOIO_REDES!$A:$W,MATCH($C36&amp;$I36&amp;$H36&amp;$N36&amp;$O36,APOIO_REDES!$W:$W,0),MATCH(AV$5,APOIO_REDES!$5:$5,0)),0)*$AP36,0)</f>
        <v>0.102962199937394</v>
      </c>
      <c r="AW36" s="153" t="n">
        <f aca="false">IFERROR(IF($N36="VCA",INDEX(APOIO_REDES!$A:$W,MATCH($C36&amp;$I36&amp;$H36&amp;$N36&amp;$O36,APOIO_REDES!$W:$W,0),MATCH(AW$5,APOIO_REDES!$5:$5,0)),0)*$AP36,0)</f>
        <v>58.7750826028948</v>
      </c>
      <c r="AX36" s="153" t="n">
        <f aca="false">IFERROR(IF($N36="VCA",INDEX(APOIO_REDES!$A:$W,MATCH($C36&amp;$I36&amp;$H36&amp;$N36&amp;$O36,APOIO_REDES!$W:$W,0),MATCH(AX$5,APOIO_REDES!$5:$5,0)),0)*$AP36,0)</f>
        <v>8.13430400824869</v>
      </c>
      <c r="AY36" s="153" t="n">
        <f aca="false">IFERROR(IF($N36="VCA",INDEX(APOIO_REDES!$A:$W,MATCH($C36&amp;$I36&amp;$H36&amp;$N36&amp;$O36,APOIO_REDES!$W:$W,0),MATCH(AY$5,APOIO_REDES!$5:$5,0)),0)*$AP36,0)</f>
        <v>14.8797655663774</v>
      </c>
      <c r="AZ36" s="153" t="n">
        <f aca="false">IFERROR(IF($N36="VCA",INDEX(APOIO_REDES!$A:$W,MATCH($C36&amp;$I36&amp;$H36&amp;$N36&amp;$O36,APOIO_REDES!$W:$W,0),MATCH(AZ$5,APOIO_REDES!$5:$5,0)),0)*$AP36,0)</f>
        <v>2.05931655204652</v>
      </c>
      <c r="BA36" s="153" t="n">
        <f aca="false">IFERROR(IF(AND($N36="VCA",$Q36="LINEAR"),INDEX(APOIO_REDES!$A:$W,MATCH($C36&amp;$I36&amp;$H36&amp;$N36&amp;$O36,APOIO_REDES!$W:$W,0),MATCH(BA$5,APOIO_REDES!$5:$5,0)),IF(AND($N36="MND",$Q36="EMBOQUE"),INDEX(APOIO_REDES!$A:$W,MATCH($C36&amp;$I36&amp;$H36&amp;$N36&amp;$O36,APOIO_REDES!$W:$W,0),MATCH(BA$5,APOIO_REDES!$5:$5,0)),0))*$M36/10,0)</f>
        <v>7.78974620808576</v>
      </c>
      <c r="BB36" s="153" t="n">
        <f aca="false">IFERROR(IF($N36="VCA",INDEX(APOIO_REDES!$A:$W,MATCH($C36&amp;$I36&amp;$H36&amp;$N36&amp;$O36,APOIO_REDES!$W:$W,0),MATCH(BB$5,APOIO_REDES!$5:$5,0)),0)*($AI36+$AQ36+$AR36),0)</f>
        <v>28.7703443163415</v>
      </c>
      <c r="BC36" s="153" t="n">
        <f aca="false">IFERROR(IF($N36="VCA",INDEX(APOIO_REDES!$A:$W,MATCH($C36&amp;$I36&amp;$H36&amp;$N36&amp;$O36,APOIO_REDES!$W:$W,0),MATCH(BC$5,APOIO_REDES!$5:$5,0)),0)*($AI36+$AQ36+$AR36),0)</f>
        <v>0.316473183658521</v>
      </c>
      <c r="BD36" s="153" t="n">
        <f aca="false">IF(AND($N36="VCA",$AF36&gt;=1.25,$AF36&lt;1.5),$M36*$AF36*2,0)</f>
        <v>263.4679</v>
      </c>
      <c r="BE36" s="153" t="n">
        <f aca="false">IF(AND($N36="VCA",$AF36&gt;=1.5,$AF36&lt;3),$M36*$AF36*2,0)</f>
        <v>0</v>
      </c>
      <c r="BF36" s="153" t="n">
        <f aca="false">IF(AND($N36="VCA",$AF36&gt;=3),$M36*$AF36*2,0)</f>
        <v>0</v>
      </c>
      <c r="BG36" s="153" t="n">
        <f aca="false">($BB36+$BC36)*$AK36</f>
        <v>148.34276925</v>
      </c>
      <c r="BH36" s="153" t="n">
        <f aca="false">IF(AND($M36&lt;&gt;"",$N36="VCA",$Q36="LINEAR"),($M36*2)/100,IF(AND($M36&lt;&gt;"",$N36="MND",$Q36="EMBOQUE"),($AN36*2)/100,0))</f>
        <v>1.933</v>
      </c>
      <c r="BI36" s="153" t="n">
        <f aca="false">IF(AND($M36&lt;&gt;"",$N36="VCA",$Q36="LINEAR"),$M36,IF(AND($M36&lt;&gt;"",$N36="MND",$Q36="EMBOQUE"),$AN36*2,0))</f>
        <v>96.65</v>
      </c>
      <c r="BJ36" s="153" t="n">
        <f aca="false">IF(AND($M36&lt;&gt;"",$N36="VCA",$Q36="LINEAR"),($M36*6.8)/100,IF(AND($M36&lt;&gt;"",$N36="MND",$Q36="EMBOQUE"),($AN36*2*6.8)/100,0))</f>
        <v>6.5722</v>
      </c>
      <c r="BK36" s="153" t="n">
        <f aca="false">IF(AND($M36&lt;&gt;"",$N36="VCA",$Q36="LINEAR"),($M36*2.5)/50,IF(AND($M36&lt;&gt;"",$N36="MND",$Q36="EMBOQUE"),($AN36*2*2.5)/50,0))</f>
        <v>4.8325</v>
      </c>
      <c r="BL36" s="157" t="str">
        <f aca="false">K36&amp;J36</f>
        <v>Zona01REDES</v>
      </c>
      <c r="BM36" s="152" t="s">
        <v>1559</v>
      </c>
      <c r="BN36" s="152" t="s">
        <v>1560</v>
      </c>
      <c r="BO36" s="152" t="s">
        <v>1561</v>
      </c>
      <c r="BP36" s="152" t="s">
        <v>1644</v>
      </c>
      <c r="BQ36" s="152" t="s">
        <v>1667</v>
      </c>
      <c r="BR36" s="152" t="s">
        <v>1645</v>
      </c>
      <c r="BS36" s="152" t="n">
        <v>203700.012</v>
      </c>
      <c r="BT36" s="152" t="n">
        <v>8239073.546</v>
      </c>
      <c r="BU36" s="152" t="n">
        <v>203782.689</v>
      </c>
      <c r="BV36" s="152" t="n">
        <v>8239026.017</v>
      </c>
      <c r="BW36" s="152" t="n">
        <v>-15.9100281</v>
      </c>
      <c r="BX36" s="152" t="n">
        <v>-47.7668088</v>
      </c>
      <c r="BY36" s="152" t="s">
        <v>1644</v>
      </c>
    </row>
    <row r="37" customFormat="false" ht="13.8" hidden="false" customHeight="false" outlineLevel="0" collapsed="false">
      <c r="A37" s="149" t="n">
        <f aca="false">IF(C37&lt;&gt;"",ROW(A32),"")</f>
        <v>32</v>
      </c>
      <c r="B37" s="150" t="str">
        <f aca="false">HYPERLINK("https://www.google.com/maps/dir/-15.917302,-47.760003/-15.9099333,-47.7707930/data=!4m3!4m2!3e0!5i2")</f>
        <v>https://www.google.com/maps/dir/-15.917302,-47.760003/-15.9099333,-47.7707930/data=!4m3!4m2!3e0!5i2</v>
      </c>
      <c r="C37" s="151" t="s">
        <v>117</v>
      </c>
      <c r="D37" s="152" t="s">
        <v>112</v>
      </c>
      <c r="E37" s="152" t="s">
        <v>113</v>
      </c>
      <c r="F37" s="152" t="s">
        <v>117</v>
      </c>
      <c r="G37" s="152" t="s">
        <v>782</v>
      </c>
      <c r="H37" s="152" t="n">
        <v>63</v>
      </c>
      <c r="I37" s="152" t="s">
        <v>115</v>
      </c>
      <c r="J37" s="152" t="s">
        <v>6</v>
      </c>
      <c r="K37" s="152" t="s">
        <v>1547</v>
      </c>
      <c r="L37" s="152" t="s">
        <v>120</v>
      </c>
      <c r="M37" s="153" t="n">
        <f aca="false">43.51</f>
        <v>43.51</v>
      </c>
      <c r="N37" s="152" t="s">
        <v>1548</v>
      </c>
      <c r="O37" s="152" t="s">
        <v>1549</v>
      </c>
      <c r="P37" s="152" t="s">
        <v>1550</v>
      </c>
      <c r="Q37" s="152" t="s">
        <v>1551</v>
      </c>
      <c r="R37" s="154" t="s">
        <v>1668</v>
      </c>
      <c r="S37" s="154" t="s">
        <v>1553</v>
      </c>
      <c r="T37" s="155" t="s">
        <v>1554</v>
      </c>
      <c r="U37" s="152" t="str">
        <f aca="false">RIGHT(T37,7)</f>
        <v>002/037</v>
      </c>
      <c r="V37" s="152" t="s">
        <v>1555</v>
      </c>
      <c r="W37" s="156" t="n">
        <v>45882</v>
      </c>
      <c r="X37" s="152" t="s">
        <v>1556</v>
      </c>
      <c r="Y37" s="152"/>
      <c r="Z37" s="152" t="s">
        <v>1557</v>
      </c>
      <c r="AA37" s="153" t="n">
        <v>2.1</v>
      </c>
      <c r="AB37" s="151" t="s">
        <v>1669</v>
      </c>
      <c r="AC37" s="151" t="s">
        <v>186</v>
      </c>
      <c r="AD37" s="151" t="str">
        <f aca="false">CONCATENATE($C37,$I37,$H37,$N37,$J37,$K37)</f>
        <v>TUBO PEADPEAD63VCAREDESZona01</v>
      </c>
      <c r="AE37" s="153" t="n">
        <f aca="false">IFERROR(INDEX(APOIO_REDES!$A:$W,MATCH($C37&amp;$I37&amp;$H37&amp;$N37&amp;$O37,APOIO_REDES!$W:$W,0),MATCH(AE$5,APOIO_REDES!$5:$5,0)),0)</f>
        <v>1.2</v>
      </c>
      <c r="AF37" s="153" t="n">
        <f aca="false">IFERROR(INDEX(APOIO_REDES!$A:$W,MATCH($C37&amp;$I37&amp;$H37&amp;$N37&amp;$O37,APOIO_REDES!$W:$W,0),MATCH(AF$5,APOIO_REDES!$5:$5,0)),0)</f>
        <v>1.363</v>
      </c>
      <c r="AG37" s="153" t="n">
        <f aca="false">IFERROR(INDEX(APOIO_REDES!$A:$W,MATCH($C37&amp;$I37&amp;$H37&amp;$N37&amp;$O37,APOIO_REDES!$W:$W,0),MATCH(AG$5,APOIO_REDES!$5:$5,0)),0)</f>
        <v>0.65</v>
      </c>
      <c r="AH37" s="153" t="n">
        <f aca="false">IFERROR(INDEX(APOIO_REDES!$A:$W,MATCH($C37&amp;$I37&amp;$H37&amp;$N37&amp;$O37,APOIO_REDES!$W:$W,0),MATCH(AH$5,APOIO_REDES!$5:$5,0)),0)</f>
        <v>0.1</v>
      </c>
      <c r="AI37" s="153" t="n">
        <f aca="false">IFERROR(IF($H37&lt;&gt;"",(((($H37/1000)/2)^2)*PI()*$M37),0),0)</f>
        <v>0.13563134346092</v>
      </c>
      <c r="AJ37" s="153" t="n">
        <f aca="false">IFERROR(IF(AND($H37&lt;&gt;"",$I37="FoFo",OR($N37="MND",$N37="VCA"),$Q37="LINEAR"),0,IF(AND($H37&lt;&gt;"",$I37="PEAD",$N37="VCA",$Q37="LINEAR"),($H37/1000)+0.3,IF(AND($H37&lt;&gt;"",$I37="PEAD",$N37="MND",$Q37="EMBOQUE"),0,IF(AND($H37&lt;&gt;"",$I37="PVC",$N37="VCA",$Q37="LINEAR"),($H37/1000)+0.2,IF(AND($H37&lt;&gt;"",$I37="PVC",$N37="MND",$Q37="EMBOQUE"),0,IF(AND($H37&lt;&gt;"",$I37="PEAD",$N37="VCA",$Q37="PREDIAL"),0,0)))))),0)</f>
        <v>0.363</v>
      </c>
      <c r="AK37" s="153" t="n">
        <f aca="false">IF(AA37&lt;&gt;"",AA37,0)</f>
        <v>2.1</v>
      </c>
      <c r="AL37" s="153" t="n">
        <f aca="false">IF(AND($N37="MND",$Q37="EMBOQUE"),$M37,IF(AND($N37="VCA",$Q37="LINEAR"),$M37,IF(AND($N37="VCA",$Q37="PREDIAL"),0,0)))</f>
        <v>43.51</v>
      </c>
      <c r="AM37" s="153" t="n">
        <f aca="false">IF(AND($N37="MND",$Q37="EMBOQUE"),$M37,IF(AND($N37="VCA",$Q37="LINEAR"),$M37,IF(AND($N37="VCA",$Q37="PREDIAL"),0,0)))</f>
        <v>43.51</v>
      </c>
      <c r="AN37" s="153" t="n">
        <f aca="false">ROUND(IF(AND($N37="VCA",$M37&lt;&gt;"",$Q37="LINEAR"),$M37/100,IF(AND($N37="MND",$M37&gt;100,$Q37="EMBOQUE"),$M37/100,0)),0)</f>
        <v>0</v>
      </c>
      <c r="AO37" s="153" t="n">
        <f aca="false">IF(AND($N37="MND",$Q37="EMBOQUE"),$AN37*2*2,IF(AND($N37="VCA",$Q37="LINEAR"),$M37*2,IF(AND($N37="VCA",$Q37="PREDIAL"),0,0)))</f>
        <v>87.02</v>
      </c>
      <c r="AP37" s="153" t="n">
        <f aca="false">IFERROR($M37*$AF37*$AG37,0)</f>
        <v>38.5476845</v>
      </c>
      <c r="AQ37" s="153" t="n">
        <f aca="false">IFERROR(IF(AND($N37="VCA",$AH37&gt;0),$M37*$AG37*$AH37,0),0)</f>
        <v>2.82815</v>
      </c>
      <c r="AR37" s="153" t="n">
        <f aca="false">IFERROR(IF(AND($N37="VCA",$AJ37&gt;0),($M37*$AG37*$AJ37)-$AI37,0),0)</f>
        <v>10.1305531565391</v>
      </c>
      <c r="AS37" s="153" t="n">
        <f aca="false">IFERROR(IF(AND($N37="VCA",$AP37&gt;0),$AP37-$AI37-$AQ37-$AR37,0),0)</f>
        <v>25.45335</v>
      </c>
      <c r="AT37" s="153" t="n">
        <f aca="false">IFERROR(IF($N37="VCA",INDEX(APOIO_REDES!$A:$W,MATCH($C37&amp;$I37&amp;$H37&amp;$N37&amp;$O37,APOIO_REDES!$W:$W,0),MATCH(AT$5,APOIO_REDES!$5:$5,0)),0)*$AP37,0)</f>
        <v>0.419410216892214</v>
      </c>
      <c r="AU37" s="153" t="n">
        <f aca="false">IFERROR(IF($N37="VCA",INDEX(APOIO_REDES!$A:$W,MATCH($C37&amp;$I37&amp;$H37&amp;$N37&amp;$O37,APOIO_REDES!$W:$W,0),MATCH(AU$5,APOIO_REDES!$5:$5,0)),0)*$AP37,0)</f>
        <v>0.334929640140886</v>
      </c>
      <c r="AV37" s="153" t="n">
        <f aca="false">IFERROR(IF($N37="VCA",INDEX(APOIO_REDES!$A:$W,MATCH($C37&amp;$I37&amp;$H37&amp;$N37&amp;$O37,APOIO_REDES!$W:$W,0),MATCH(AV$5,APOIO_REDES!$5:$5,0)),0)*$AP37,0)</f>
        <v>0.0463516328947336</v>
      </c>
      <c r="AW37" s="153" t="n">
        <f aca="false">IFERROR(IF($N37="VCA",INDEX(APOIO_REDES!$A:$W,MATCH($C37&amp;$I37&amp;$H37&amp;$N37&amp;$O37,APOIO_REDES!$W:$W,0),MATCH(AW$5,APOIO_REDES!$5:$5,0)),0)*$AP37,0)</f>
        <v>26.4594293228345</v>
      </c>
      <c r="AX37" s="153" t="n">
        <f aca="false">IFERROR(IF($N37="VCA",INDEX(APOIO_REDES!$A:$W,MATCH($C37&amp;$I37&amp;$H37&amp;$N37&amp;$O37,APOIO_REDES!$W:$W,0),MATCH(AX$5,APOIO_REDES!$5:$5,0)),0)*$AP37,0)</f>
        <v>3.66190964716917</v>
      </c>
      <c r="AY37" s="153" t="n">
        <f aca="false">IFERROR(IF($N37="VCA",INDEX(APOIO_REDES!$A:$W,MATCH($C37&amp;$I37&amp;$H37&amp;$N37&amp;$O37,APOIO_REDES!$W:$W,0),MATCH(AY$5,APOIO_REDES!$5:$5,0)),0)*$AP37,0)</f>
        <v>6.69858872005255</v>
      </c>
      <c r="AZ37" s="153" t="n">
        <f aca="false">IFERROR(IF($N37="VCA",INDEX(APOIO_REDES!$A:$W,MATCH($C37&amp;$I37&amp;$H37&amp;$N37&amp;$O37,APOIO_REDES!$W:$W,0),MATCH(AZ$5,APOIO_REDES!$5:$5,0)),0)*$AP37,0)</f>
        <v>0.927065320015976</v>
      </c>
      <c r="BA37" s="153" t="n">
        <f aca="false">IFERROR(IF(AND($N37="VCA",$Q37="LINEAR"),INDEX(APOIO_REDES!$A:$W,MATCH($C37&amp;$I37&amp;$H37&amp;$N37&amp;$O37,APOIO_REDES!$W:$W,0),MATCH(BA$5,APOIO_REDES!$5:$5,0)),IF(AND($N37="MND",$Q37="EMBOQUE"),INDEX(APOIO_REDES!$A:$W,MATCH($C37&amp;$I37&amp;$H37&amp;$N37&amp;$O37,APOIO_REDES!$W:$W,0),MATCH(BA$5,APOIO_REDES!$5:$5,0)),0))*$M37/10,0)</f>
        <v>3.50679624949624</v>
      </c>
      <c r="BB37" s="153" t="n">
        <f aca="false">IFERROR(IF($N37="VCA",INDEX(APOIO_REDES!$A:$W,MATCH($C37&amp;$I37&amp;$H37&amp;$N37&amp;$O37,APOIO_REDES!$W:$W,0),MATCH(BB$5,APOIO_REDES!$5:$5,0)),0)*($AI37+$AQ37+$AR37),0)</f>
        <v>12.9518642649148</v>
      </c>
      <c r="BC37" s="153" t="n">
        <f aca="false">IFERROR(IF($N37="VCA",INDEX(APOIO_REDES!$A:$W,MATCH($C37&amp;$I37&amp;$H37&amp;$N37&amp;$O37,APOIO_REDES!$W:$W,0),MATCH(BC$5,APOIO_REDES!$5:$5,0)),0)*($AI37+$AQ37+$AR37),0)</f>
        <v>0.142470235085176</v>
      </c>
      <c r="BD37" s="153" t="n">
        <f aca="false">IF(AND($N37="VCA",$AF37&gt;=1.25,$AF37&lt;1.5),$M37*$AF37*2,0)</f>
        <v>118.60826</v>
      </c>
      <c r="BE37" s="153" t="n">
        <f aca="false">IF(AND($N37="VCA",$AF37&gt;=1.5,$AF37&lt;3),$M37*$AF37*2,0)</f>
        <v>0</v>
      </c>
      <c r="BF37" s="153" t="n">
        <f aca="false">IF(AND($N37="VCA",$AF37&gt;=3),$M37*$AF37*2,0)</f>
        <v>0</v>
      </c>
      <c r="BG37" s="153" t="n">
        <f aca="false">($BB37+$BC37)*$AK37</f>
        <v>27.49810245</v>
      </c>
      <c r="BH37" s="153" t="n">
        <f aca="false">IF(AND($M37&lt;&gt;"",$N37="VCA",$Q37="LINEAR"),($M37*2)/100,IF(AND($M37&lt;&gt;"",$N37="MND",$Q37="EMBOQUE"),($AN37*2)/100,0))</f>
        <v>0.8702</v>
      </c>
      <c r="BI37" s="153" t="n">
        <f aca="false">IF(AND($M37&lt;&gt;"",$N37="VCA",$Q37="LINEAR"),$M37,IF(AND($M37&lt;&gt;"",$N37="MND",$Q37="EMBOQUE"),$AN37*2,0))</f>
        <v>43.51</v>
      </c>
      <c r="BJ37" s="153" t="n">
        <f aca="false">IF(AND($M37&lt;&gt;"",$N37="VCA",$Q37="LINEAR"),($M37*6.8)/100,IF(AND($M37&lt;&gt;"",$N37="MND",$Q37="EMBOQUE"),($AN37*2*6.8)/100,0))</f>
        <v>2.95868</v>
      </c>
      <c r="BK37" s="153" t="n">
        <f aca="false">IF(AND($M37&lt;&gt;"",$N37="VCA",$Q37="LINEAR"),($M37*2.5)/50,IF(AND($M37&lt;&gt;"",$N37="MND",$Q37="EMBOQUE"),($AN37*2*2.5)/50,0))</f>
        <v>2.1755</v>
      </c>
      <c r="BL37" s="157" t="str">
        <f aca="false">K37&amp;J37</f>
        <v>Zona01REDES</v>
      </c>
      <c r="BM37" s="152" t="s">
        <v>1559</v>
      </c>
      <c r="BN37" s="152" t="s">
        <v>1560</v>
      </c>
      <c r="BO37" s="152" t="s">
        <v>1561</v>
      </c>
      <c r="BP37" s="152" t="s">
        <v>1658</v>
      </c>
      <c r="BQ37" s="152" t="s">
        <v>1670</v>
      </c>
      <c r="BR37" s="152" t="s">
        <v>1564</v>
      </c>
      <c r="BS37" s="152" t="n">
        <v>203317.11</v>
      </c>
      <c r="BT37" s="152" t="n">
        <v>8239059.666</v>
      </c>
      <c r="BU37" s="152" t="n">
        <v>203289.55</v>
      </c>
      <c r="BV37" s="152" t="n">
        <v>8239026</v>
      </c>
      <c r="BW37" s="152" t="n">
        <v>-15.9100835</v>
      </c>
      <c r="BX37" s="152" t="n">
        <v>-47.7709239</v>
      </c>
      <c r="BY37" s="152" t="s">
        <v>1658</v>
      </c>
    </row>
    <row r="38" customFormat="false" ht="13.8" hidden="false" customHeight="false" outlineLevel="0" collapsed="false">
      <c r="A38" s="149" t="n">
        <f aca="false">IF(C38&lt;&gt;"",ROW(A33),"")</f>
        <v>33</v>
      </c>
      <c r="B38" s="150" t="str">
        <f aca="false">HYPERLINK("https://www.google.com/maps/dir/-15.917302,-47.760003/-15.9104333,-47.7700924/data=!4m3!4m2!3e0!5i2")</f>
        <v>https://www.google.com/maps/dir/-15.917302,-47.760003/-15.9104333,-47.7700924/data=!4m3!4m2!3e0!5i2</v>
      </c>
      <c r="C38" s="151" t="s">
        <v>117</v>
      </c>
      <c r="D38" s="152" t="s">
        <v>112</v>
      </c>
      <c r="E38" s="152" t="s">
        <v>113</v>
      </c>
      <c r="F38" s="152" t="s">
        <v>117</v>
      </c>
      <c r="G38" s="152" t="s">
        <v>782</v>
      </c>
      <c r="H38" s="152" t="n">
        <v>63</v>
      </c>
      <c r="I38" s="152" t="s">
        <v>115</v>
      </c>
      <c r="J38" s="152" t="s">
        <v>6</v>
      </c>
      <c r="K38" s="152" t="s">
        <v>1547</v>
      </c>
      <c r="L38" s="152" t="s">
        <v>120</v>
      </c>
      <c r="M38" s="153" t="n">
        <f aca="false">93.29</f>
        <v>93.29</v>
      </c>
      <c r="N38" s="152" t="s">
        <v>1548</v>
      </c>
      <c r="O38" s="152" t="s">
        <v>1549</v>
      </c>
      <c r="P38" s="152" t="s">
        <v>1550</v>
      </c>
      <c r="Q38" s="152" t="s">
        <v>1551</v>
      </c>
      <c r="R38" s="154" t="s">
        <v>1671</v>
      </c>
      <c r="S38" s="154" t="s">
        <v>1553</v>
      </c>
      <c r="T38" s="155" t="s">
        <v>1554</v>
      </c>
      <c r="U38" s="152" t="str">
        <f aca="false">RIGHT(T38,7)</f>
        <v>002/037</v>
      </c>
      <c r="V38" s="152" t="s">
        <v>1555</v>
      </c>
      <c r="W38" s="156" t="n">
        <v>45882</v>
      </c>
      <c r="X38" s="152" t="s">
        <v>1556</v>
      </c>
      <c r="Y38" s="152"/>
      <c r="Z38" s="152" t="s">
        <v>1557</v>
      </c>
      <c r="AA38" s="153" t="n">
        <v>2.2</v>
      </c>
      <c r="AB38" s="151" t="s">
        <v>1672</v>
      </c>
      <c r="AC38" s="151" t="s">
        <v>186</v>
      </c>
      <c r="AD38" s="151" t="str">
        <f aca="false">CONCATENATE($C38,$I38,$H38,$N38,$J38,$K38)</f>
        <v>TUBO PEADPEAD63VCAREDESZona01</v>
      </c>
      <c r="AE38" s="153" t="n">
        <f aca="false">IFERROR(INDEX(APOIO_REDES!$A:$W,MATCH($C38&amp;$I38&amp;$H38&amp;$N38&amp;$O38,APOIO_REDES!$W:$W,0),MATCH(AE$5,APOIO_REDES!$5:$5,0)),0)</f>
        <v>1.2</v>
      </c>
      <c r="AF38" s="153" t="n">
        <f aca="false">IFERROR(INDEX(APOIO_REDES!$A:$W,MATCH($C38&amp;$I38&amp;$H38&amp;$N38&amp;$O38,APOIO_REDES!$W:$W,0),MATCH(AF$5,APOIO_REDES!$5:$5,0)),0)</f>
        <v>1.363</v>
      </c>
      <c r="AG38" s="153" t="n">
        <f aca="false">IFERROR(INDEX(APOIO_REDES!$A:$W,MATCH($C38&amp;$I38&amp;$H38&amp;$N38&amp;$O38,APOIO_REDES!$W:$W,0),MATCH(AG$5,APOIO_REDES!$5:$5,0)),0)</f>
        <v>0.65</v>
      </c>
      <c r="AH38" s="153" t="n">
        <f aca="false">IFERROR(INDEX(APOIO_REDES!$A:$W,MATCH($C38&amp;$I38&amp;$H38&amp;$N38&amp;$O38,APOIO_REDES!$W:$W,0),MATCH(AH$5,APOIO_REDES!$5:$5,0)),0)</f>
        <v>0.1</v>
      </c>
      <c r="AI38" s="153" t="n">
        <f aca="false">IFERROR(IF($H38&lt;&gt;"",(((($H38/1000)/2)^2)*PI()*$M38),0),0)</f>
        <v>0.290807815018828</v>
      </c>
      <c r="AJ38" s="153" t="n">
        <f aca="false">IFERROR(IF(AND($H38&lt;&gt;"",$I38="FoFo",OR($N38="MND",$N38="VCA"),$Q38="LINEAR"),0,IF(AND($H38&lt;&gt;"",$I38="PEAD",$N38="VCA",$Q38="LINEAR"),($H38/1000)+0.3,IF(AND($H38&lt;&gt;"",$I38="PEAD",$N38="MND",$Q38="EMBOQUE"),0,IF(AND($H38&lt;&gt;"",$I38="PVC",$N38="VCA",$Q38="LINEAR"),($H38/1000)+0.2,IF(AND($H38&lt;&gt;"",$I38="PVC",$N38="MND",$Q38="EMBOQUE"),0,IF(AND($H38&lt;&gt;"",$I38="PEAD",$N38="VCA",$Q38="PREDIAL"),0,0)))))),0)</f>
        <v>0.363</v>
      </c>
      <c r="AK38" s="153" t="n">
        <f aca="false">IF(AA38&lt;&gt;"",AA38,0)</f>
        <v>2.2</v>
      </c>
      <c r="AL38" s="153" t="n">
        <f aca="false">IF(AND($N38="MND",$Q38="EMBOQUE"),$M38,IF(AND($N38="VCA",$Q38="LINEAR"),$M38,IF(AND($N38="VCA",$Q38="PREDIAL"),0,0)))</f>
        <v>93.29</v>
      </c>
      <c r="AM38" s="153" t="n">
        <f aca="false">IF(AND($N38="MND",$Q38="EMBOQUE"),$M38,IF(AND($N38="VCA",$Q38="LINEAR"),$M38,IF(AND($N38="VCA",$Q38="PREDIAL"),0,0)))</f>
        <v>93.29</v>
      </c>
      <c r="AN38" s="153" t="n">
        <f aca="false">ROUND(IF(AND($N38="VCA",$M38&lt;&gt;"",$Q38="LINEAR"),$M38/100,IF(AND($N38="MND",$M38&gt;100,$Q38="EMBOQUE"),$M38/100,0)),0)</f>
        <v>1</v>
      </c>
      <c r="AO38" s="153" t="n">
        <f aca="false">IF(AND($N38="MND",$Q38="EMBOQUE"),$AN38*2*2,IF(AND($N38="VCA",$Q38="LINEAR"),$M38*2,IF(AND($N38="VCA",$Q38="PREDIAL"),0,0)))</f>
        <v>186.58</v>
      </c>
      <c r="AP38" s="153" t="n">
        <f aca="false">IFERROR($M38*$AF38*$AG38,0)</f>
        <v>82.6502755</v>
      </c>
      <c r="AQ38" s="153" t="n">
        <f aca="false">IFERROR(IF(AND($N38="VCA",$AH38&gt;0),$M38*$AG38*$AH38,0),0)</f>
        <v>6.06385</v>
      </c>
      <c r="AR38" s="153" t="n">
        <f aca="false">IFERROR(IF(AND($N38="VCA",$AJ38&gt;0),($M38*$AG38*$AJ38)-$AI38,0),0)</f>
        <v>21.7209676849812</v>
      </c>
      <c r="AS38" s="153" t="n">
        <f aca="false">IFERROR(IF(AND($N38="VCA",$AP38&gt;0),$AP38-$AI38-$AQ38-$AR38,0),0)</f>
        <v>54.57465</v>
      </c>
      <c r="AT38" s="153" t="n">
        <f aca="false">IFERROR(IF($N38="VCA",INDEX(APOIO_REDES!$A:$W,MATCH($C38&amp;$I38&amp;$H38&amp;$N38&amp;$O38,APOIO_REDES!$W:$W,0),MATCH(AT$5,APOIO_REDES!$5:$5,0)),0)*$AP38,0)</f>
        <v>0.899259460672825</v>
      </c>
      <c r="AU38" s="153" t="n">
        <f aca="false">IFERROR(IF($N38="VCA",INDEX(APOIO_REDES!$A:$W,MATCH($C38&amp;$I38&amp;$H38&amp;$N38&amp;$O38,APOIO_REDES!$W:$W,0),MATCH(AU$5,APOIO_REDES!$5:$5,0)),0)*$AP38,0)</f>
        <v>0.718124250258405</v>
      </c>
      <c r="AV38" s="153" t="n">
        <f aca="false">IFERROR(IF($N38="VCA",INDEX(APOIO_REDES!$A:$W,MATCH($C38&amp;$I38&amp;$H38&amp;$N38&amp;$O38,APOIO_REDES!$W:$W,0),MATCH(AV$5,APOIO_REDES!$5:$5,0)),0)*$AP38,0)</f>
        <v>0.0993827587393634</v>
      </c>
      <c r="AW38" s="153" t="n">
        <f aca="false">IFERROR(IF($N38="VCA",INDEX(APOIO_REDES!$A:$W,MATCH($C38&amp;$I38&amp;$H38&amp;$N38&amp;$O38,APOIO_REDES!$W:$W,0),MATCH(AW$5,APOIO_REDES!$5:$5,0)),0)*$AP38,0)</f>
        <v>56.7317895087848</v>
      </c>
      <c r="AX38" s="153" t="n">
        <f aca="false">IFERROR(IF($N38="VCA",INDEX(APOIO_REDES!$A:$W,MATCH($C38&amp;$I38&amp;$H38&amp;$N38&amp;$O38,APOIO_REDES!$W:$W,0),MATCH(AX$5,APOIO_REDES!$5:$5,0)),0)*$AP38,0)</f>
        <v>7.85151806445442</v>
      </c>
      <c r="AY38" s="153" t="n">
        <f aca="false">IFERROR(IF($N38="VCA",INDEX(APOIO_REDES!$A:$W,MATCH($C38&amp;$I38&amp;$H38&amp;$N38&amp;$O38,APOIO_REDES!$W:$W,0),MATCH(AY$5,APOIO_REDES!$5:$5,0)),0)*$AP38,0)</f>
        <v>14.3624762512917</v>
      </c>
      <c r="AZ38" s="153" t="n">
        <f aca="false">IFERROR(IF($N38="VCA",INDEX(APOIO_REDES!$A:$W,MATCH($C38&amp;$I38&amp;$H38&amp;$N38&amp;$O38,APOIO_REDES!$W:$W,0),MATCH(AZ$5,APOIO_REDES!$5:$5,0)),0)*$AP38,0)</f>
        <v>1.98772520579845</v>
      </c>
      <c r="BA38" s="153" t="n">
        <f aca="false">IFERROR(IF(AND($N38="VCA",$Q38="LINEAR"),INDEX(APOIO_REDES!$A:$W,MATCH($C38&amp;$I38&amp;$H38&amp;$N38&amp;$O38,APOIO_REDES!$W:$W,0),MATCH(BA$5,APOIO_REDES!$5:$5,0)),IF(AND($N38="MND",$Q38="EMBOQUE"),INDEX(APOIO_REDES!$A:$W,MATCH($C38&amp;$I38&amp;$H38&amp;$N38&amp;$O38,APOIO_REDES!$W:$W,0),MATCH(BA$5,APOIO_REDES!$5:$5,0)),0))*$M38/10,0)</f>
        <v>7.5189386834177</v>
      </c>
      <c r="BB38" s="153" t="n">
        <f aca="false">IFERROR(IF($N38="VCA",INDEX(APOIO_REDES!$A:$W,MATCH($C38&amp;$I38&amp;$H38&amp;$N38&amp;$O38,APOIO_REDES!$W:$W,0),MATCH(BB$5,APOIO_REDES!$5:$5,0)),0)*($AI38+$AQ38+$AR38),0)</f>
        <v>27.770154384599</v>
      </c>
      <c r="BC38" s="153" t="n">
        <f aca="false">IFERROR(IF($N38="VCA",INDEX(APOIO_REDES!$A:$W,MATCH($C38&amp;$I38&amp;$H38&amp;$N38&amp;$O38,APOIO_REDES!$W:$W,0),MATCH(BC$5,APOIO_REDES!$5:$5,0)),0)*($AI38+$AQ38+$AR38),0)</f>
        <v>0.305471115400967</v>
      </c>
      <c r="BD38" s="153" t="n">
        <f aca="false">IF(AND($N38="VCA",$AF38&gt;=1.25,$AF38&lt;1.5),$M38*$AF38*2,0)</f>
        <v>254.30854</v>
      </c>
      <c r="BE38" s="153" t="n">
        <f aca="false">IF(AND($N38="VCA",$AF38&gt;=1.5,$AF38&lt;3),$M38*$AF38*2,0)</f>
        <v>0</v>
      </c>
      <c r="BF38" s="153" t="n">
        <f aca="false">IF(AND($N38="VCA",$AF38&gt;=3),$M38*$AF38*2,0)</f>
        <v>0</v>
      </c>
      <c r="BG38" s="153" t="n">
        <f aca="false">($BB38+$BC38)*$AK38</f>
        <v>61.7663761</v>
      </c>
      <c r="BH38" s="153" t="n">
        <f aca="false">IF(AND($M38&lt;&gt;"",$N38="VCA",$Q38="LINEAR"),($M38*2)/100,IF(AND($M38&lt;&gt;"",$N38="MND",$Q38="EMBOQUE"),($AN38*2)/100,0))</f>
        <v>1.8658</v>
      </c>
      <c r="BI38" s="153" t="n">
        <f aca="false">IF(AND($M38&lt;&gt;"",$N38="VCA",$Q38="LINEAR"),$M38,IF(AND($M38&lt;&gt;"",$N38="MND",$Q38="EMBOQUE"),$AN38*2,0))</f>
        <v>93.29</v>
      </c>
      <c r="BJ38" s="153" t="n">
        <f aca="false">IF(AND($M38&lt;&gt;"",$N38="VCA",$Q38="LINEAR"),($M38*6.8)/100,IF(AND($M38&lt;&gt;"",$N38="MND",$Q38="EMBOQUE"),($AN38*2*6.8)/100,0))</f>
        <v>6.34372</v>
      </c>
      <c r="BK38" s="153" t="n">
        <f aca="false">IF(AND($M38&lt;&gt;"",$N38="VCA",$Q38="LINEAR"),($M38*2.5)/50,IF(AND($M38&lt;&gt;"",$N38="MND",$Q38="EMBOQUE"),($AN38*2*2.5)/50,0))</f>
        <v>4.6645</v>
      </c>
      <c r="BL38" s="157" t="str">
        <f aca="false">K38&amp;J38</f>
        <v>Zona01REDES</v>
      </c>
      <c r="BM38" s="152" t="s">
        <v>1559</v>
      </c>
      <c r="BN38" s="152" t="s">
        <v>1560</v>
      </c>
      <c r="BO38" s="152" t="s">
        <v>1561</v>
      </c>
      <c r="BP38" s="152" t="s">
        <v>1673</v>
      </c>
      <c r="BQ38" s="152" t="s">
        <v>1658</v>
      </c>
      <c r="BR38" s="152" t="s">
        <v>1674</v>
      </c>
      <c r="BS38" s="152" t="n">
        <v>203392.936</v>
      </c>
      <c r="BT38" s="152" t="n">
        <v>8239005.284</v>
      </c>
      <c r="BU38" s="152" t="n">
        <v>203317.113</v>
      </c>
      <c r="BV38" s="152" t="n">
        <v>8239059.637</v>
      </c>
      <c r="BW38" s="152" t="n">
        <v>-15.9101834</v>
      </c>
      <c r="BX38" s="152" t="n">
        <v>-47.7704428</v>
      </c>
      <c r="BY38" s="152" t="s">
        <v>1673</v>
      </c>
    </row>
    <row r="39" customFormat="false" ht="13.8" hidden="false" customHeight="false" outlineLevel="0" collapsed="false">
      <c r="A39" s="149" t="n">
        <f aca="false">IF(C39&lt;&gt;"",ROW(A34),"")</f>
        <v>34</v>
      </c>
      <c r="B39" s="150" t="str">
        <f aca="false">HYPERLINK("https://www.google.com/maps/dir/-15.917302,-47.760003/-15.9104333,-47.7700924/data=!4m3!4m2!3e0!5i2")</f>
        <v>https://www.google.com/maps/dir/-15.917302,-47.760003/-15.9104333,-47.7700924/data=!4m3!4m2!3e0!5i2</v>
      </c>
      <c r="C39" s="151" t="s">
        <v>117</v>
      </c>
      <c r="D39" s="152" t="s">
        <v>112</v>
      </c>
      <c r="E39" s="152" t="s">
        <v>113</v>
      </c>
      <c r="F39" s="152" t="s">
        <v>117</v>
      </c>
      <c r="G39" s="152" t="s">
        <v>782</v>
      </c>
      <c r="H39" s="152" t="n">
        <v>90</v>
      </c>
      <c r="I39" s="152" t="s">
        <v>115</v>
      </c>
      <c r="J39" s="152" t="s">
        <v>6</v>
      </c>
      <c r="K39" s="152" t="s">
        <v>1547</v>
      </c>
      <c r="L39" s="152" t="s">
        <v>120</v>
      </c>
      <c r="M39" s="153" t="n">
        <f aca="false">53.93</f>
        <v>53.93</v>
      </c>
      <c r="N39" s="152" t="s">
        <v>1548</v>
      </c>
      <c r="O39" s="152" t="s">
        <v>1549</v>
      </c>
      <c r="P39" s="152" t="s">
        <v>1550</v>
      </c>
      <c r="Q39" s="152" t="s">
        <v>1551</v>
      </c>
      <c r="R39" s="154" t="s">
        <v>1675</v>
      </c>
      <c r="S39" s="154" t="s">
        <v>1593</v>
      </c>
      <c r="T39" s="155" t="s">
        <v>1554</v>
      </c>
      <c r="U39" s="152" t="str">
        <f aca="false">RIGHT(T39,7)</f>
        <v>002/037</v>
      </c>
      <c r="V39" s="152" t="s">
        <v>1555</v>
      </c>
      <c r="W39" s="156" t="n">
        <v>45882</v>
      </c>
      <c r="X39" s="152" t="s">
        <v>1556</v>
      </c>
      <c r="Y39" s="152"/>
      <c r="Z39" s="152" t="s">
        <v>1557</v>
      </c>
      <c r="AA39" s="153" t="n">
        <v>2.2</v>
      </c>
      <c r="AB39" s="151" t="s">
        <v>1676</v>
      </c>
      <c r="AC39" s="151" t="s">
        <v>526</v>
      </c>
      <c r="AD39" s="151" t="str">
        <f aca="false">CONCATENATE($C39,$I39,$H39,$N39,$J39,$K39)</f>
        <v>TUBO PEADPEAD90VCAREDESZona01</v>
      </c>
      <c r="AE39" s="153" t="n">
        <f aca="false">IFERROR(INDEX(APOIO_REDES!$A:$W,MATCH($C39&amp;$I39&amp;$H39&amp;$N39&amp;$O39,APOIO_REDES!$W:$W,0),MATCH(AE$5,APOIO_REDES!$5:$5,0)),0)</f>
        <v>1.2</v>
      </c>
      <c r="AF39" s="153" t="n">
        <f aca="false">IFERROR(INDEX(APOIO_REDES!$A:$W,MATCH($C39&amp;$I39&amp;$H39&amp;$N39&amp;$O39,APOIO_REDES!$W:$W,0),MATCH(AF$5,APOIO_REDES!$5:$5,0)),0)</f>
        <v>1.39</v>
      </c>
      <c r="AG39" s="153" t="n">
        <f aca="false">IFERROR(INDEX(APOIO_REDES!$A:$W,MATCH($C39&amp;$I39&amp;$H39&amp;$N39&amp;$O39,APOIO_REDES!$W:$W,0),MATCH(AG$5,APOIO_REDES!$5:$5,0)),0)</f>
        <v>0.75</v>
      </c>
      <c r="AH39" s="153" t="n">
        <f aca="false">IFERROR(INDEX(APOIO_REDES!$A:$W,MATCH($C39&amp;$I39&amp;$H39&amp;$N39&amp;$O39,APOIO_REDES!$W:$W,0),MATCH(AH$5,APOIO_REDES!$5:$5,0)),0)</f>
        <v>0.1</v>
      </c>
      <c r="AI39" s="153" t="n">
        <f aca="false">IFERROR(IF($H39&lt;&gt;"",(((($H39/1000)/2)^2)*PI()*$M39),0),0)</f>
        <v>0.343087835911398</v>
      </c>
      <c r="AJ39" s="153" t="n">
        <f aca="false">IFERROR(IF(AND($H39&lt;&gt;"",$I39="FoFo",OR($N39="MND",$N39="VCA"),$Q39="LINEAR"),0,IF(AND($H39&lt;&gt;"",$I39="PEAD",$N39="VCA",$Q39="LINEAR"),($H39/1000)+0.3,IF(AND($H39&lt;&gt;"",$I39="PEAD",$N39="MND",$Q39="EMBOQUE"),0,IF(AND($H39&lt;&gt;"",$I39="PVC",$N39="VCA",$Q39="LINEAR"),($H39/1000)+0.2,IF(AND($H39&lt;&gt;"",$I39="PVC",$N39="MND",$Q39="EMBOQUE"),0,IF(AND($H39&lt;&gt;"",$I39="PEAD",$N39="VCA",$Q39="PREDIAL"),0,0)))))),0)</f>
        <v>0.39</v>
      </c>
      <c r="AK39" s="153" t="n">
        <f aca="false">IF(AA39&lt;&gt;"",AA39,0)</f>
        <v>2.2</v>
      </c>
      <c r="AL39" s="153" t="n">
        <f aca="false">IF(AND($N39="MND",$Q39="EMBOQUE"),$M39,IF(AND($N39="VCA",$Q39="LINEAR"),$M39,IF(AND($N39="VCA",$Q39="PREDIAL"),0,0)))</f>
        <v>53.93</v>
      </c>
      <c r="AM39" s="153" t="n">
        <f aca="false">IF(AND($N39="MND",$Q39="EMBOQUE"),$M39,IF(AND($N39="VCA",$Q39="LINEAR"),$M39,IF(AND($N39="VCA",$Q39="PREDIAL"),0,0)))</f>
        <v>53.93</v>
      </c>
      <c r="AN39" s="153" t="n">
        <f aca="false">ROUND(IF(AND($N39="VCA",$M39&lt;&gt;"",$Q39="LINEAR"),$M39/100,IF(AND($N39="MND",$M39&gt;100,$Q39="EMBOQUE"),$M39/100,0)),0)</f>
        <v>1</v>
      </c>
      <c r="AO39" s="153" t="n">
        <f aca="false">IF(AND($N39="MND",$Q39="EMBOQUE"),$AN39*2*2,IF(AND($N39="VCA",$Q39="LINEAR"),$M39*2,IF(AND($N39="VCA",$Q39="PREDIAL"),0,0)))</f>
        <v>107.86</v>
      </c>
      <c r="AP39" s="153" t="n">
        <f aca="false">IFERROR($M39*$AF39*$AG39,0)</f>
        <v>56.222025</v>
      </c>
      <c r="AQ39" s="153" t="n">
        <f aca="false">IFERROR(IF(AND($N39="VCA",$AH39&gt;0),$M39*$AG39*$AH39,0),0)</f>
        <v>4.04475</v>
      </c>
      <c r="AR39" s="153" t="n">
        <f aca="false">IFERROR(IF(AND($N39="VCA",$AJ39&gt;0),($M39*$AG39*$AJ39)-$AI39,0),0)</f>
        <v>15.4314371640886</v>
      </c>
      <c r="AS39" s="153" t="n">
        <f aca="false">IFERROR(IF(AND($N39="VCA",$AP39&gt;0),$AP39-$AI39-$AQ39-$AR39,0),0)</f>
        <v>36.40275</v>
      </c>
      <c r="AT39" s="153" t="n">
        <f aca="false">IFERROR(IF($N39="VCA",INDEX(APOIO_REDES!$A:$W,MATCH($C39&amp;$I39&amp;$H39&amp;$N39&amp;$O39,APOIO_REDES!$W:$W,0),MATCH(AT$5,APOIO_REDES!$5:$5,0)),0)*$AP39,0)</f>
        <v>0.611712272869969</v>
      </c>
      <c r="AU39" s="153" t="n">
        <f aca="false">IFERROR(IF($N39="VCA",INDEX(APOIO_REDES!$A:$W,MATCH($C39&amp;$I39&amp;$H39&amp;$N39&amp;$O39,APOIO_REDES!$W:$W,0),MATCH(AU$5,APOIO_REDES!$5:$5,0)),0)*$AP39,0)</f>
        <v>0.488496853844538</v>
      </c>
      <c r="AV39" s="153" t="n">
        <f aca="false">IFERROR(IF($N39="VCA",INDEX(APOIO_REDES!$A:$W,MATCH($C39&amp;$I39&amp;$H39&amp;$N39&amp;$O39,APOIO_REDES!$W:$W,0),MATCH(AV$5,APOIO_REDES!$5:$5,0)),0)*$AP39,0)</f>
        <v>0.0676041297214243</v>
      </c>
      <c r="AW39" s="153" t="n">
        <f aca="false">IFERROR(IF($N39="VCA",INDEX(APOIO_REDES!$A:$W,MATCH($C39&amp;$I39&amp;$H39&amp;$N39&amp;$O39,APOIO_REDES!$W:$W,0),MATCH(AW$5,APOIO_REDES!$5:$5,0)),0)*$AP39,0)</f>
        <v>38.5912335895074</v>
      </c>
      <c r="AX39" s="153" t="n">
        <f aca="false">IFERROR(IF($N39="VCA",INDEX(APOIO_REDES!$A:$W,MATCH($C39&amp;$I39&amp;$H39&amp;$N39&amp;$O39,APOIO_REDES!$W:$W,0),MATCH(AX$5,APOIO_REDES!$5:$5,0)),0)*$AP39,0)</f>
        <v>5.3409167995781</v>
      </c>
      <c r="AY39" s="153" t="n">
        <f aca="false">IFERROR(IF($N39="VCA",INDEX(APOIO_REDES!$A:$W,MATCH($C39&amp;$I39&amp;$H39&amp;$N39&amp;$O39,APOIO_REDES!$W:$W,0),MATCH(AY$5,APOIO_REDES!$5:$5,0)),0)*$AP39,0)</f>
        <v>9.76993112215372</v>
      </c>
      <c r="AZ39" s="153" t="n">
        <f aca="false">IFERROR(IF($N39="VCA",INDEX(APOIO_REDES!$A:$W,MATCH($C39&amp;$I39&amp;$H39&amp;$N39&amp;$O39,APOIO_REDES!$W:$W,0),MATCH(AZ$5,APOIO_REDES!$5:$5,0)),0)*$AP39,0)</f>
        <v>1.35213023232488</v>
      </c>
      <c r="BA39" s="153" t="n">
        <f aca="false">IFERROR(IF(AND($N39="VCA",$Q39="LINEAR"),INDEX(APOIO_REDES!$A:$W,MATCH($C39&amp;$I39&amp;$H39&amp;$N39&amp;$O39,APOIO_REDES!$W:$W,0),MATCH(BA$5,APOIO_REDES!$5:$5,0)),IF(AND($N39="MND",$Q39="EMBOQUE"),INDEX(APOIO_REDES!$A:$W,MATCH($C39&amp;$I39&amp;$H39&amp;$N39&amp;$O39,APOIO_REDES!$W:$W,0),MATCH(BA$5,APOIO_REDES!$5:$5,0)),0))*$M39/10,0)</f>
        <v>4.34662196587755</v>
      </c>
      <c r="BB39" s="153" t="n">
        <f aca="false">IFERROR(IF($N39="VCA",INDEX(APOIO_REDES!$A:$W,MATCH($C39&amp;$I39&amp;$H39&amp;$N39&amp;$O39,APOIO_REDES!$W:$W,0),MATCH(BB$5,APOIO_REDES!$5:$5,0)),0)*($AI39+$AQ39+$AR39),0)</f>
        <v>19.603635421794</v>
      </c>
      <c r="BC39" s="153" t="n">
        <f aca="false">IFERROR(IF($N39="VCA",INDEX(APOIO_REDES!$A:$W,MATCH($C39&amp;$I39&amp;$H39&amp;$N39&amp;$O39,APOIO_REDES!$W:$W,0),MATCH(BC$5,APOIO_REDES!$5:$5,0)),0)*($AI39+$AQ39+$AR39),0)</f>
        <v>0.21563957820596</v>
      </c>
      <c r="BD39" s="153" t="n">
        <f aca="false">IF(AND($N39="VCA",$AF39&gt;=1.25,$AF39&lt;1.5),$M39*$AF39*2,0)</f>
        <v>149.9254</v>
      </c>
      <c r="BE39" s="153" t="n">
        <f aca="false">IF(AND($N39="VCA",$AF39&gt;=1.5,$AF39&lt;3),$M39*$AF39*2,0)</f>
        <v>0</v>
      </c>
      <c r="BF39" s="153" t="n">
        <f aca="false">IF(AND($N39="VCA",$AF39&gt;=3),$M39*$AF39*2,0)</f>
        <v>0</v>
      </c>
      <c r="BG39" s="153" t="n">
        <f aca="false">($BB39+$BC39)*$AK39</f>
        <v>43.602405</v>
      </c>
      <c r="BH39" s="153" t="n">
        <f aca="false">IF(AND($M39&lt;&gt;"",$N39="VCA",$Q39="LINEAR"),($M39*2)/100,IF(AND($M39&lt;&gt;"",$N39="MND",$Q39="EMBOQUE"),($AN39*2)/100,0))</f>
        <v>1.0786</v>
      </c>
      <c r="BI39" s="153" t="n">
        <f aca="false">IF(AND($M39&lt;&gt;"",$N39="VCA",$Q39="LINEAR"),$M39,IF(AND($M39&lt;&gt;"",$N39="MND",$Q39="EMBOQUE"),$AN39*2,0))</f>
        <v>53.93</v>
      </c>
      <c r="BJ39" s="153" t="n">
        <f aca="false">IF(AND($M39&lt;&gt;"",$N39="VCA",$Q39="LINEAR"),($M39*6.8)/100,IF(AND($M39&lt;&gt;"",$N39="MND",$Q39="EMBOQUE"),($AN39*2*6.8)/100,0))</f>
        <v>3.66724</v>
      </c>
      <c r="BK39" s="153" t="n">
        <f aca="false">IF(AND($M39&lt;&gt;"",$N39="VCA",$Q39="LINEAR"),($M39*2.5)/50,IF(AND($M39&lt;&gt;"",$N39="MND",$Q39="EMBOQUE"),($AN39*2*2.5)/50,0))</f>
        <v>2.6965</v>
      </c>
      <c r="BL39" s="157" t="str">
        <f aca="false">K39&amp;J39</f>
        <v>Zona01REDES</v>
      </c>
      <c r="BM39" s="152" t="s">
        <v>1559</v>
      </c>
      <c r="BN39" s="152" t="s">
        <v>1560</v>
      </c>
      <c r="BO39" s="152" t="s">
        <v>1561</v>
      </c>
      <c r="BP39" s="152" t="s">
        <v>1673</v>
      </c>
      <c r="BQ39" s="152" t="s">
        <v>1648</v>
      </c>
      <c r="BR39" s="152" t="s">
        <v>1677</v>
      </c>
      <c r="BS39" s="152" t="n">
        <v>203392.936</v>
      </c>
      <c r="BT39" s="152" t="n">
        <v>8239005.284</v>
      </c>
      <c r="BU39" s="152" t="n">
        <v>203425.724</v>
      </c>
      <c r="BV39" s="152" t="n">
        <v>8239048.093</v>
      </c>
      <c r="BW39" s="152" t="n">
        <v>-15.9102403</v>
      </c>
      <c r="BX39" s="152" t="n">
        <v>-47.769939</v>
      </c>
      <c r="BY39" s="152" t="s">
        <v>1673</v>
      </c>
    </row>
    <row r="40" customFormat="false" ht="13.8" hidden="false" customHeight="false" outlineLevel="0" collapsed="false">
      <c r="A40" s="149" t="n">
        <f aca="false">IF(C40&lt;&gt;"",ROW(A35),"")</f>
        <v>35</v>
      </c>
      <c r="B40" s="150" t="str">
        <f aca="false">HYPERLINK("https://www.google.com/maps/dir/-15.917302,-47.760003/-15.9098710,-47.7691512/data=!4m3!4m2!3e0!5i0")</f>
        <v>https://www.google.com/maps/dir/-15.917302,-47.760003/-15.9098710,-47.7691512/data=!4m3!4m2!3e0!5i0</v>
      </c>
      <c r="C40" s="151" t="s">
        <v>117</v>
      </c>
      <c r="D40" s="152" t="s">
        <v>112</v>
      </c>
      <c r="E40" s="152" t="s">
        <v>113</v>
      </c>
      <c r="F40" s="152" t="s">
        <v>117</v>
      </c>
      <c r="G40" s="152" t="s">
        <v>782</v>
      </c>
      <c r="H40" s="152" t="n">
        <v>90</v>
      </c>
      <c r="I40" s="152" t="s">
        <v>115</v>
      </c>
      <c r="J40" s="152" t="s">
        <v>6</v>
      </c>
      <c r="K40" s="152" t="s">
        <v>1547</v>
      </c>
      <c r="L40" s="152" t="s">
        <v>120</v>
      </c>
      <c r="M40" s="153" t="n">
        <f aca="false">187.33</f>
        <v>187.33</v>
      </c>
      <c r="N40" s="152" t="s">
        <v>1548</v>
      </c>
      <c r="O40" s="152" t="s">
        <v>1549</v>
      </c>
      <c r="P40" s="152" t="s">
        <v>1550</v>
      </c>
      <c r="Q40" s="152" t="s">
        <v>1551</v>
      </c>
      <c r="R40" s="154" t="s">
        <v>1678</v>
      </c>
      <c r="S40" s="154" t="s">
        <v>1593</v>
      </c>
      <c r="T40" s="155" t="s">
        <v>1554</v>
      </c>
      <c r="U40" s="152" t="str">
        <f aca="false">RIGHT(T40,7)</f>
        <v>002/037</v>
      </c>
      <c r="V40" s="152" t="s">
        <v>1555</v>
      </c>
      <c r="W40" s="156" t="n">
        <v>45882</v>
      </c>
      <c r="X40" s="152" t="s">
        <v>1556</v>
      </c>
      <c r="Y40" s="152"/>
      <c r="Z40" s="152" t="s">
        <v>1557</v>
      </c>
      <c r="AA40" s="153" t="n">
        <v>1.7</v>
      </c>
      <c r="AB40" s="151" t="s">
        <v>1679</v>
      </c>
      <c r="AC40" s="151" t="s">
        <v>526</v>
      </c>
      <c r="AD40" s="151" t="str">
        <f aca="false">CONCATENATE($C40,$I40,$H40,$N40,$J40,$K40)</f>
        <v>TUBO PEADPEAD90VCAREDESZona01</v>
      </c>
      <c r="AE40" s="153" t="n">
        <f aca="false">IFERROR(INDEX(APOIO_REDES!$A:$W,MATCH($C40&amp;$I40&amp;$H40&amp;$N40&amp;$O40,APOIO_REDES!$W:$W,0),MATCH(AE$5,APOIO_REDES!$5:$5,0)),0)</f>
        <v>1.2</v>
      </c>
      <c r="AF40" s="153" t="n">
        <f aca="false">IFERROR(INDEX(APOIO_REDES!$A:$W,MATCH($C40&amp;$I40&amp;$H40&amp;$N40&amp;$O40,APOIO_REDES!$W:$W,0),MATCH(AF$5,APOIO_REDES!$5:$5,0)),0)</f>
        <v>1.39</v>
      </c>
      <c r="AG40" s="153" t="n">
        <f aca="false">IFERROR(INDEX(APOIO_REDES!$A:$W,MATCH($C40&amp;$I40&amp;$H40&amp;$N40&amp;$O40,APOIO_REDES!$W:$W,0),MATCH(AG$5,APOIO_REDES!$5:$5,0)),0)</f>
        <v>0.75</v>
      </c>
      <c r="AH40" s="153" t="n">
        <f aca="false">IFERROR(INDEX(APOIO_REDES!$A:$W,MATCH($C40&amp;$I40&amp;$H40&amp;$N40&amp;$O40,APOIO_REDES!$W:$W,0),MATCH(AH$5,APOIO_REDES!$5:$5,0)),0)</f>
        <v>0.1</v>
      </c>
      <c r="AI40" s="153" t="n">
        <f aca="false">IFERROR(IF($H40&lt;&gt;"",(((($H40/1000)/2)^2)*PI()*$M40),0),0)</f>
        <v>1.19174196738888</v>
      </c>
      <c r="AJ40" s="153" t="n">
        <f aca="false">IFERROR(IF(AND($H40&lt;&gt;"",$I40="FoFo",OR($N40="MND",$N40="VCA"),$Q40="LINEAR"),0,IF(AND($H40&lt;&gt;"",$I40="PEAD",$N40="VCA",$Q40="LINEAR"),($H40/1000)+0.3,IF(AND($H40&lt;&gt;"",$I40="PEAD",$N40="MND",$Q40="EMBOQUE"),0,IF(AND($H40&lt;&gt;"",$I40="PVC",$N40="VCA",$Q40="LINEAR"),($H40/1000)+0.2,IF(AND($H40&lt;&gt;"",$I40="PVC",$N40="MND",$Q40="EMBOQUE"),0,IF(AND($H40&lt;&gt;"",$I40="PEAD",$N40="VCA",$Q40="PREDIAL"),0,0)))))),0)</f>
        <v>0.39</v>
      </c>
      <c r="AK40" s="153" t="n">
        <f aca="false">IF(AA40&lt;&gt;"",AA40,0)</f>
        <v>1.7</v>
      </c>
      <c r="AL40" s="153" t="n">
        <f aca="false">IF(AND($N40="MND",$Q40="EMBOQUE"),$M40,IF(AND($N40="VCA",$Q40="LINEAR"),$M40,IF(AND($N40="VCA",$Q40="PREDIAL"),0,0)))</f>
        <v>187.33</v>
      </c>
      <c r="AM40" s="153" t="n">
        <f aca="false">IF(AND($N40="MND",$Q40="EMBOQUE"),$M40,IF(AND($N40="VCA",$Q40="LINEAR"),$M40,IF(AND($N40="VCA",$Q40="PREDIAL"),0,0)))</f>
        <v>187.33</v>
      </c>
      <c r="AN40" s="153" t="n">
        <f aca="false">ROUND(IF(AND($N40="VCA",$M40&lt;&gt;"",$Q40="LINEAR"),$M40/100,IF(AND($N40="MND",$M40&gt;100,$Q40="EMBOQUE"),$M40/100,0)),0)</f>
        <v>2</v>
      </c>
      <c r="AO40" s="153" t="n">
        <f aca="false">IF(AND($N40="MND",$Q40="EMBOQUE"),$AN40*2*2,IF(AND($N40="VCA",$Q40="LINEAR"),$M40*2,IF(AND($N40="VCA",$Q40="PREDIAL"),0,0)))</f>
        <v>374.66</v>
      </c>
      <c r="AP40" s="153" t="n">
        <f aca="false">IFERROR($M40*$AF40*$AG40,0)</f>
        <v>195.291525</v>
      </c>
      <c r="AQ40" s="153" t="n">
        <f aca="false">IFERROR(IF(AND($N40="VCA",$AH40&gt;0),$M40*$AG40*$AH40,0),0)</f>
        <v>14.04975</v>
      </c>
      <c r="AR40" s="153" t="n">
        <f aca="false">IFERROR(IF(AND($N40="VCA",$AJ40&gt;0),($M40*$AG40*$AJ40)-$AI40,0),0)</f>
        <v>53.6022830326111</v>
      </c>
      <c r="AS40" s="153" t="n">
        <f aca="false">IFERROR(IF(AND($N40="VCA",$AP40&gt;0),$AP40-$AI40-$AQ40-$AR40,0),0)</f>
        <v>126.44775</v>
      </c>
      <c r="AT40" s="153" t="n">
        <f aca="false">IFERROR(IF($N40="VCA",INDEX(APOIO_REDES!$A:$W,MATCH($C40&amp;$I40&amp;$H40&amp;$N40&amp;$O40,APOIO_REDES!$W:$W,0),MATCH(AT$5,APOIO_REDES!$5:$5,0)),0)*$AP40,0)</f>
        <v>2.12482959534084</v>
      </c>
      <c r="AU40" s="153" t="n">
        <f aca="false">IFERROR(IF($N40="VCA",INDEX(APOIO_REDES!$A:$W,MATCH($C40&amp;$I40&amp;$H40&amp;$N40&amp;$O40,APOIO_REDES!$W:$W,0),MATCH(AU$5,APOIO_REDES!$5:$5,0)),0)*$AP40,0)</f>
        <v>1.69683136715552</v>
      </c>
      <c r="AV40" s="153" t="n">
        <f aca="false">IFERROR(IF($N40="VCA",INDEX(APOIO_REDES!$A:$W,MATCH($C40&amp;$I40&amp;$H40&amp;$N40&amp;$O40,APOIO_REDES!$W:$W,0),MATCH(AV$5,APOIO_REDES!$5:$5,0)),0)*$AP40,0)</f>
        <v>0.234828140565815</v>
      </c>
      <c r="AW40" s="153" t="n">
        <f aca="false">IFERROR(IF($N40="VCA",INDEX(APOIO_REDES!$A:$W,MATCH($C40&amp;$I40&amp;$H40&amp;$N40&amp;$O40,APOIO_REDES!$W:$W,0),MATCH(AW$5,APOIO_REDES!$5:$5,0)),0)*$AP40,0)</f>
        <v>134.049615952576</v>
      </c>
      <c r="AX40" s="153" t="n">
        <f aca="false">IFERROR(IF($N40="VCA",INDEX(APOIO_REDES!$A:$W,MATCH($C40&amp;$I40&amp;$H40&amp;$N40&amp;$O40,APOIO_REDES!$W:$W,0),MATCH(AX$5,APOIO_REDES!$5:$5,0)),0)*$AP40,0)</f>
        <v>18.5520850002775</v>
      </c>
      <c r="AY40" s="153" t="n">
        <f aca="false">IFERROR(IF($N40="VCA",INDEX(APOIO_REDES!$A:$W,MATCH($C40&amp;$I40&amp;$H40&amp;$N40&amp;$O40,APOIO_REDES!$W:$W,0),MATCH(AY$5,APOIO_REDES!$5:$5,0)),0)*$AP40,0)</f>
        <v>33.9366066588737</v>
      </c>
      <c r="AZ40" s="153" t="n">
        <f aca="false">IFERROR(IF($N40="VCA",INDEX(APOIO_REDES!$A:$W,MATCH($C40&amp;$I40&amp;$H40&amp;$N40&amp;$O40,APOIO_REDES!$W:$W,0),MATCH(AZ$5,APOIO_REDES!$5:$5,0)),0)*$AP40,0)</f>
        <v>4.69672828521083</v>
      </c>
      <c r="BA40" s="153" t="n">
        <f aca="false">IFERROR(IF(AND($N40="VCA",$Q40="LINEAR"),INDEX(APOIO_REDES!$A:$W,MATCH($C40&amp;$I40&amp;$H40&amp;$N40&amp;$O40,APOIO_REDES!$W:$W,0),MATCH(BA$5,APOIO_REDES!$5:$5,0)),IF(AND($N40="MND",$Q40="EMBOQUE"),INDEX(APOIO_REDES!$A:$W,MATCH($C40&amp;$I40&amp;$H40&amp;$N40&amp;$O40,APOIO_REDES!$W:$W,0),MATCH(BA$5,APOIO_REDES!$5:$5,0)),0))*$M40/10,0)</f>
        <v>15.0983254750202</v>
      </c>
      <c r="BB40" s="153" t="n">
        <f aca="false">IFERROR(IF($N40="VCA",INDEX(APOIO_REDES!$A:$W,MATCH($C40&amp;$I40&amp;$H40&amp;$N40&amp;$O40,APOIO_REDES!$W:$W,0),MATCH(BB$5,APOIO_REDES!$5:$5,0)),0)*($AI40+$AQ40+$AR40),0)</f>
        <v>68.0947343512827</v>
      </c>
      <c r="BC40" s="153" t="n">
        <f aca="false">IFERROR(IF($N40="VCA",INDEX(APOIO_REDES!$A:$W,MATCH($C40&amp;$I40&amp;$H40&amp;$N40&amp;$O40,APOIO_REDES!$W:$W,0),MATCH(BC$5,APOIO_REDES!$5:$5,0)),0)*($AI40+$AQ40+$AR40),0)</f>
        <v>0.749040648717273</v>
      </c>
      <c r="BD40" s="153" t="n">
        <f aca="false">IF(AND($N40="VCA",$AF40&gt;=1.25,$AF40&lt;1.5),$M40*$AF40*2,0)</f>
        <v>520.7774</v>
      </c>
      <c r="BE40" s="153" t="n">
        <f aca="false">IF(AND($N40="VCA",$AF40&gt;=1.5,$AF40&lt;3),$M40*$AF40*2,0)</f>
        <v>0</v>
      </c>
      <c r="BF40" s="153" t="n">
        <f aca="false">IF(AND($N40="VCA",$AF40&gt;=3),$M40*$AF40*2,0)</f>
        <v>0</v>
      </c>
      <c r="BG40" s="153" t="n">
        <f aca="false">($BB40+$BC40)*$AK40</f>
        <v>117.0344175</v>
      </c>
      <c r="BH40" s="153" t="n">
        <f aca="false">IF(AND($M40&lt;&gt;"",$N40="VCA",$Q40="LINEAR"),($M40*2)/100,IF(AND($M40&lt;&gt;"",$N40="MND",$Q40="EMBOQUE"),($AN40*2)/100,0))</f>
        <v>3.7466</v>
      </c>
      <c r="BI40" s="153" t="n">
        <f aca="false">IF(AND($M40&lt;&gt;"",$N40="VCA",$Q40="LINEAR"),$M40,IF(AND($M40&lt;&gt;"",$N40="MND",$Q40="EMBOQUE"),$AN40*2,0))</f>
        <v>187.33</v>
      </c>
      <c r="BJ40" s="153" t="n">
        <f aca="false">IF(AND($M40&lt;&gt;"",$N40="VCA",$Q40="LINEAR"),($M40*6.8)/100,IF(AND($M40&lt;&gt;"",$N40="MND",$Q40="EMBOQUE"),($AN40*2*6.8)/100,0))</f>
        <v>12.73844</v>
      </c>
      <c r="BK40" s="153" t="n">
        <f aca="false">IF(AND($M40&lt;&gt;"",$N40="VCA",$Q40="LINEAR"),($M40*2.5)/50,IF(AND($M40&lt;&gt;"",$N40="MND",$Q40="EMBOQUE"),($AN40*2*2.5)/50,0))</f>
        <v>9.3665</v>
      </c>
      <c r="BL40" s="157" t="str">
        <f aca="false">K40&amp;J40</f>
        <v>Zona01REDES</v>
      </c>
      <c r="BM40" s="152" t="s">
        <v>1559</v>
      </c>
      <c r="BN40" s="152" t="s">
        <v>1560</v>
      </c>
      <c r="BO40" s="152" t="s">
        <v>1561</v>
      </c>
      <c r="BP40" s="152" t="s">
        <v>1637</v>
      </c>
      <c r="BQ40" s="152" t="s">
        <v>1680</v>
      </c>
      <c r="BR40" s="152" t="s">
        <v>1681</v>
      </c>
      <c r="BS40" s="152" t="n">
        <v>203492.957</v>
      </c>
      <c r="BT40" s="152" t="n">
        <v>8239068.88</v>
      </c>
      <c r="BU40" s="152" t="n">
        <v>203381.771</v>
      </c>
      <c r="BV40" s="152" t="n">
        <v>8238918.126</v>
      </c>
      <c r="BW40" s="152" t="n">
        <v>-15.9105473</v>
      </c>
      <c r="BX40" s="152" t="n">
        <v>-47.7696762</v>
      </c>
      <c r="BY40" s="152" t="s">
        <v>1637</v>
      </c>
    </row>
    <row r="41" customFormat="false" ht="13.8" hidden="false" customHeight="false" outlineLevel="0" collapsed="false">
      <c r="A41" s="149" t="n">
        <f aca="false">IF(C41&lt;&gt;"",ROW(A36),"")</f>
        <v>36</v>
      </c>
      <c r="B41" s="150" t="str">
        <f aca="false">HYPERLINK("https://www.google.com/maps/dir/-15.917302,-47.760003/-15.9111062,-47.7678339/data=!4m3!4m2!3e0!5i0")</f>
        <v>https://www.google.com/maps/dir/-15.917302,-47.760003/-15.9111062,-47.7678339/data=!4m3!4m2!3e0!5i0</v>
      </c>
      <c r="C41" s="151" t="s">
        <v>117</v>
      </c>
      <c r="D41" s="152" t="s">
        <v>112</v>
      </c>
      <c r="E41" s="152" t="s">
        <v>113</v>
      </c>
      <c r="F41" s="152" t="s">
        <v>117</v>
      </c>
      <c r="G41" s="152" t="s">
        <v>114</v>
      </c>
      <c r="H41" s="152" t="n">
        <v>160</v>
      </c>
      <c r="I41" s="152" t="s">
        <v>115</v>
      </c>
      <c r="J41" s="152" t="s">
        <v>6</v>
      </c>
      <c r="K41" s="152" t="s">
        <v>1547</v>
      </c>
      <c r="L41" s="152" t="s">
        <v>120</v>
      </c>
      <c r="M41" s="153" t="n">
        <f aca="false">115.13+0.48</f>
        <v>115.61</v>
      </c>
      <c r="N41" s="152" t="s">
        <v>1548</v>
      </c>
      <c r="O41" s="152" t="s">
        <v>1549</v>
      </c>
      <c r="P41" s="152" t="s">
        <v>1550</v>
      </c>
      <c r="Q41" s="152" t="s">
        <v>1551</v>
      </c>
      <c r="R41" s="154" t="s">
        <v>1682</v>
      </c>
      <c r="S41" s="154" t="s">
        <v>1593</v>
      </c>
      <c r="T41" s="155" t="s">
        <v>1554</v>
      </c>
      <c r="U41" s="152" t="str">
        <f aca="false">RIGHT(T41,7)</f>
        <v>002/037</v>
      </c>
      <c r="V41" s="152" t="s">
        <v>1555</v>
      </c>
      <c r="W41" s="156" t="n">
        <v>45882</v>
      </c>
      <c r="X41" s="152" t="s">
        <v>1556</v>
      </c>
      <c r="Y41" s="152"/>
      <c r="Z41" s="152" t="s">
        <v>1557</v>
      </c>
      <c r="AA41" s="153" t="n">
        <v>1.6</v>
      </c>
      <c r="AB41" s="151" t="s">
        <v>1683</v>
      </c>
      <c r="AC41" s="151" t="s">
        <v>505</v>
      </c>
      <c r="AD41" s="151" t="str">
        <f aca="false">CONCATENATE($C41,$I41,$H41,$N41,$J41,$K41)</f>
        <v>TUBO PEADPEAD160VCAREDESZona01</v>
      </c>
      <c r="AE41" s="153" t="n">
        <f aca="false">IFERROR(INDEX(APOIO_REDES!$A:$W,MATCH($C41&amp;$I41&amp;$H41&amp;$N41&amp;$O41,APOIO_REDES!$W:$W,0),MATCH(AE$5,APOIO_REDES!$5:$5,0)),0)</f>
        <v>1.2</v>
      </c>
      <c r="AF41" s="153" t="n">
        <f aca="false">IFERROR(INDEX(APOIO_REDES!$A:$W,MATCH($C41&amp;$I41&amp;$H41&amp;$N41&amp;$O41,APOIO_REDES!$W:$W,0),MATCH(AF$5,APOIO_REDES!$5:$5,0)),0)</f>
        <v>1.46</v>
      </c>
      <c r="AG41" s="153" t="n">
        <f aca="false">IFERROR(INDEX(APOIO_REDES!$A:$W,MATCH($C41&amp;$I41&amp;$H41&amp;$N41&amp;$O41,APOIO_REDES!$W:$W,0),MATCH(AG$5,APOIO_REDES!$5:$5,0)),0)</f>
        <v>0.75</v>
      </c>
      <c r="AH41" s="153" t="n">
        <f aca="false">IFERROR(INDEX(APOIO_REDES!$A:$W,MATCH($C41&amp;$I41&amp;$H41&amp;$N41&amp;$O41,APOIO_REDES!$W:$W,0),MATCH(AH$5,APOIO_REDES!$5:$5,0)),0)</f>
        <v>0.1</v>
      </c>
      <c r="AI41" s="153" t="n">
        <f aca="false">IFERROR(IF($H41&lt;&gt;"",(((($H41/1000)/2)^2)*PI()*$M41),0),0)</f>
        <v>2.3244769707617</v>
      </c>
      <c r="AJ41" s="153" t="n">
        <f aca="false">IFERROR(IF(AND($H41&lt;&gt;"",$I41="FoFo",OR($N41="MND",$N41="VCA"),$Q41="LINEAR"),0,IF(AND($H41&lt;&gt;"",$I41="PEAD",$N41="VCA",$Q41="LINEAR"),($H41/1000)+0.3,IF(AND($H41&lt;&gt;"",$I41="PEAD",$N41="MND",$Q41="EMBOQUE"),0,IF(AND($H41&lt;&gt;"",$I41="PVC",$N41="VCA",$Q41="LINEAR"),($H41/1000)+0.2,IF(AND($H41&lt;&gt;"",$I41="PVC",$N41="MND",$Q41="EMBOQUE"),0,IF(AND($H41&lt;&gt;"",$I41="PEAD",$N41="VCA",$Q41="PREDIAL"),0,0)))))),0)</f>
        <v>0.46</v>
      </c>
      <c r="AK41" s="153" t="n">
        <f aca="false">IF(AA41&lt;&gt;"",AA41,0)</f>
        <v>1.6</v>
      </c>
      <c r="AL41" s="153" t="n">
        <f aca="false">IF(AND($N41="MND",$Q41="EMBOQUE"),$M41,IF(AND($N41="VCA",$Q41="LINEAR"),$M41,IF(AND($N41="VCA",$Q41="PREDIAL"),0,0)))</f>
        <v>115.61</v>
      </c>
      <c r="AM41" s="153" t="n">
        <f aca="false">IF(AND($N41="MND",$Q41="EMBOQUE"),$M41,IF(AND($N41="VCA",$Q41="LINEAR"),$M41,IF(AND($N41="VCA",$Q41="PREDIAL"),0,0)))</f>
        <v>115.61</v>
      </c>
      <c r="AN41" s="153" t="n">
        <f aca="false">ROUND(IF(AND($N41="VCA",$M41&lt;&gt;"",$Q41="LINEAR"),$M41/100,IF(AND($N41="MND",$M41&gt;100,$Q41="EMBOQUE"),$M41/100,0)),0)</f>
        <v>1</v>
      </c>
      <c r="AO41" s="153" t="n">
        <f aca="false">IF(AND($N41="MND",$Q41="EMBOQUE"),$AN41*2*2,IF(AND($N41="VCA",$Q41="LINEAR"),$M41*2,IF(AND($N41="VCA",$Q41="PREDIAL"),0,0)))</f>
        <v>231.22</v>
      </c>
      <c r="AP41" s="153" t="n">
        <f aca="false">IFERROR($M41*$AF41*$AG41,0)</f>
        <v>126.59295</v>
      </c>
      <c r="AQ41" s="153" t="n">
        <f aca="false">IFERROR(IF(AND($N41="VCA",$AH41&gt;0),$M41*$AG41*$AH41,0),0)</f>
        <v>8.67075</v>
      </c>
      <c r="AR41" s="153" t="n">
        <f aca="false">IFERROR(IF(AND($N41="VCA",$AJ41&gt;0),($M41*$AG41*$AJ41)-$AI41,0),0)</f>
        <v>37.5609730292383</v>
      </c>
      <c r="AS41" s="153" t="n">
        <f aca="false">IFERROR(IF(AND($N41="VCA",$AP41&gt;0),$AP41-$AI41-$AQ41-$AR41,0),0)</f>
        <v>78.03675</v>
      </c>
      <c r="AT41" s="153" t="n">
        <f aca="false">IFERROR(IF($N41="VCA",INDEX(APOIO_REDES!$A:$W,MATCH($C41&amp;$I41&amp;$H41&amp;$N41&amp;$O41,APOIO_REDES!$W:$W,0),MATCH(AT$5,APOIO_REDES!$5:$5,0)),0)*$AP41,0)</f>
        <v>1.37736876560057</v>
      </c>
      <c r="AU41" s="153" t="n">
        <f aca="false">IFERROR(IF($N41="VCA",INDEX(APOIO_REDES!$A:$W,MATCH($C41&amp;$I41&amp;$H41&amp;$N41&amp;$O41,APOIO_REDES!$W:$W,0),MATCH(AU$5,APOIO_REDES!$5:$5,0)),0)*$AP41,0)</f>
        <v>1.09992939233155</v>
      </c>
      <c r="AV41" s="153" t="n">
        <f aca="false">IFERROR(IF($N41="VCA",INDEX(APOIO_REDES!$A:$W,MATCH($C41&amp;$I41&amp;$H41&amp;$N41&amp;$O41,APOIO_REDES!$W:$W,0),MATCH(AV$5,APOIO_REDES!$5:$5,0)),0)*$AP41,0)</f>
        <v>0.152221593114403</v>
      </c>
      <c r="AW41" s="153" t="n">
        <f aca="false">IFERROR(IF($N41="VCA",INDEX(APOIO_REDES!$A:$W,MATCH($C41&amp;$I41&amp;$H41&amp;$N41&amp;$O41,APOIO_REDES!$W:$W,0),MATCH(AW$5,APOIO_REDES!$5:$5,0)),0)*$AP41,0)</f>
        <v>86.8943817700417</v>
      </c>
      <c r="AX41" s="153" t="n">
        <f aca="false">IFERROR(IF($N41="VCA",INDEX(APOIO_REDES!$A:$W,MATCH($C41&amp;$I41&amp;$H41&amp;$N41&amp;$O41,APOIO_REDES!$W:$W,0),MATCH(AX$5,APOIO_REDES!$5:$5,0)),0)*$AP41,0)</f>
        <v>12.0259349136419</v>
      </c>
      <c r="AY41" s="153" t="n">
        <f aca="false">IFERROR(IF($N41="VCA",INDEX(APOIO_REDES!$A:$W,MATCH($C41&amp;$I41&amp;$H41&amp;$N41&amp;$O41,APOIO_REDES!$W:$W,0),MATCH(AY$5,APOIO_REDES!$5:$5,0)),0)*$AP41,0)</f>
        <v>21.9985744385808</v>
      </c>
      <c r="AZ41" s="153" t="n">
        <f aca="false">IFERROR(IF($N41="VCA",INDEX(APOIO_REDES!$A:$W,MATCH($C41&amp;$I41&amp;$H41&amp;$N41&amp;$O41,APOIO_REDES!$W:$W,0),MATCH(AZ$5,APOIO_REDES!$5:$5,0)),0)*$AP41,0)</f>
        <v>3.04453912668909</v>
      </c>
      <c r="BA41" s="153" t="n">
        <f aca="false">IFERROR(IF(AND($N41="VCA",$Q41="LINEAR"),INDEX(APOIO_REDES!$A:$W,MATCH($C41&amp;$I41&amp;$H41&amp;$N41&amp;$O41,APOIO_REDES!$W:$W,0),MATCH(BA$5,APOIO_REDES!$5:$5,0)),IF(AND($N41="MND",$Q41="EMBOQUE"),INDEX(APOIO_REDES!$A:$W,MATCH($C41&amp;$I41&amp;$H41&amp;$N41&amp;$O41,APOIO_REDES!$W:$W,0),MATCH(BA$5,APOIO_REDES!$5:$5,0)),0))*$M41/10,0)</f>
        <v>9.3178743829984</v>
      </c>
      <c r="BB41" s="153" t="n">
        <f aca="false">IFERROR(IF($N41="VCA",INDEX(APOIO_REDES!$A:$W,MATCH($C41&amp;$I41&amp;$H41&amp;$N41&amp;$O41,APOIO_REDES!$W:$W,0),MATCH(BB$5,APOIO_REDES!$5:$5,0)),0)*($AI41+$AQ41+$AR41),0)</f>
        <v>48.0278941720984</v>
      </c>
      <c r="BC41" s="153" t="n">
        <f aca="false">IFERROR(IF($N41="VCA",INDEX(APOIO_REDES!$A:$W,MATCH($C41&amp;$I41&amp;$H41&amp;$N41&amp;$O41,APOIO_REDES!$W:$W,0),MATCH(BC$5,APOIO_REDES!$5:$5,0)),0)*($AI41+$AQ41+$AR41),0)</f>
        <v>0.528305827901588</v>
      </c>
      <c r="BD41" s="153" t="n">
        <f aca="false">IF(AND($N41="VCA",$AF41&gt;=1.25,$AF41&lt;1.5),$M41*$AF41*2,0)</f>
        <v>337.5812</v>
      </c>
      <c r="BE41" s="153" t="n">
        <f aca="false">IF(AND($N41="VCA",$AF41&gt;=1.5,$AF41&lt;3),$M41*$AF41*2,0)</f>
        <v>0</v>
      </c>
      <c r="BF41" s="153" t="n">
        <f aca="false">IF(AND($N41="VCA",$AF41&gt;=3),$M41*$AF41*2,0)</f>
        <v>0</v>
      </c>
      <c r="BG41" s="153" t="n">
        <f aca="false">($BB41+$BC41)*$AK41</f>
        <v>77.68992</v>
      </c>
      <c r="BH41" s="153" t="n">
        <f aca="false">IF(AND($M41&lt;&gt;"",$N41="VCA",$Q41="LINEAR"),($M41*2)/100,IF(AND($M41&lt;&gt;"",$N41="MND",$Q41="EMBOQUE"),($AN41*2)/100,0))</f>
        <v>2.3122</v>
      </c>
      <c r="BI41" s="153" t="n">
        <f aca="false">IF(AND($M41&lt;&gt;"",$N41="VCA",$Q41="LINEAR"),$M41,IF(AND($M41&lt;&gt;"",$N41="MND",$Q41="EMBOQUE"),$AN41*2,0))</f>
        <v>115.61</v>
      </c>
      <c r="BJ41" s="153" t="n">
        <f aca="false">IF(AND($M41&lt;&gt;"",$N41="VCA",$Q41="LINEAR"),($M41*6.8)/100,IF(AND($M41&lt;&gt;"",$N41="MND",$Q41="EMBOQUE"),($AN41*2*6.8)/100,0))</f>
        <v>7.86148</v>
      </c>
      <c r="BK41" s="153" t="n">
        <f aca="false">IF(AND($M41&lt;&gt;"",$N41="VCA",$Q41="LINEAR"),($M41*2.5)/50,IF(AND($M41&lt;&gt;"",$N41="MND",$Q41="EMBOQUE"),($AN41*2*2.5)/50,0))</f>
        <v>5.7805</v>
      </c>
      <c r="BL41" s="157" t="str">
        <f aca="false">K41&amp;J41</f>
        <v>Zona01REDES</v>
      </c>
      <c r="BM41" s="152" t="s">
        <v>1559</v>
      </c>
      <c r="BN41" s="152" t="s">
        <v>1560</v>
      </c>
      <c r="BO41" s="152" t="s">
        <v>1561</v>
      </c>
      <c r="BP41" s="152" t="s">
        <v>1684</v>
      </c>
      <c r="BQ41" s="152" t="s">
        <v>1616</v>
      </c>
      <c r="BR41" s="152" t="s">
        <v>1685</v>
      </c>
      <c r="BS41" s="152" t="n">
        <v>203636.304</v>
      </c>
      <c r="BT41" s="152" t="n">
        <v>8238933.821</v>
      </c>
      <c r="BU41" s="152" t="n">
        <v>203675.597</v>
      </c>
      <c r="BV41" s="152" t="n">
        <v>8239041.969</v>
      </c>
      <c r="BW41" s="152" t="n">
        <v>-15.9106268</v>
      </c>
      <c r="BX41" s="152" t="n">
        <v>-47.767627</v>
      </c>
      <c r="BY41" s="152" t="s">
        <v>1684</v>
      </c>
    </row>
    <row r="42" customFormat="false" ht="13.8" hidden="false" customHeight="false" outlineLevel="0" collapsed="false">
      <c r="A42" s="149" t="n">
        <f aca="false">IF(C42&lt;&gt;"",ROW(A37),"")</f>
        <v>37</v>
      </c>
      <c r="B42" s="150" t="str">
        <f aca="false">HYPERLINK("https://www.google.com/maps/dir/-15.917302,-47.760003/-15.9102338,-47.7710546/data=!4m3!4m2!3e0!5i2")</f>
        <v>https://www.google.com/maps/dir/-15.917302,-47.760003/-15.9102338,-47.7710546/data=!4m3!4m2!3e0!5i2</v>
      </c>
      <c r="C42" s="151" t="s">
        <v>117</v>
      </c>
      <c r="D42" s="152" t="s">
        <v>112</v>
      </c>
      <c r="E42" s="152" t="s">
        <v>113</v>
      </c>
      <c r="F42" s="152" t="s">
        <v>117</v>
      </c>
      <c r="G42" s="152" t="s">
        <v>782</v>
      </c>
      <c r="H42" s="152" t="n">
        <v>63</v>
      </c>
      <c r="I42" s="152" t="s">
        <v>115</v>
      </c>
      <c r="J42" s="152" t="s">
        <v>6</v>
      </c>
      <c r="K42" s="152" t="s">
        <v>1547</v>
      </c>
      <c r="L42" s="152" t="s">
        <v>120</v>
      </c>
      <c r="M42" s="153" t="n">
        <f aca="false">135.21</f>
        <v>135.21</v>
      </c>
      <c r="N42" s="152" t="s">
        <v>1548</v>
      </c>
      <c r="O42" s="152" t="s">
        <v>1549</v>
      </c>
      <c r="P42" s="152" t="s">
        <v>1550</v>
      </c>
      <c r="Q42" s="152" t="s">
        <v>1551</v>
      </c>
      <c r="R42" s="154" t="s">
        <v>1686</v>
      </c>
      <c r="S42" s="154" t="s">
        <v>1553</v>
      </c>
      <c r="T42" s="155" t="s">
        <v>1554</v>
      </c>
      <c r="U42" s="152" t="str">
        <f aca="false">RIGHT(T42,7)</f>
        <v>002/037</v>
      </c>
      <c r="V42" s="152" t="s">
        <v>1555</v>
      </c>
      <c r="W42" s="156" t="n">
        <v>45882</v>
      </c>
      <c r="X42" s="152" t="s">
        <v>1556</v>
      </c>
      <c r="Y42" s="152"/>
      <c r="Z42" s="152" t="s">
        <v>1557</v>
      </c>
      <c r="AA42" s="153" t="n">
        <v>2.3</v>
      </c>
      <c r="AB42" s="151" t="s">
        <v>1687</v>
      </c>
      <c r="AC42" s="151" t="s">
        <v>186</v>
      </c>
      <c r="AD42" s="151" t="str">
        <f aca="false">CONCATENATE($C42,$I42,$H42,$N42,$J42,$K42)</f>
        <v>TUBO PEADPEAD63VCAREDESZona01</v>
      </c>
      <c r="AE42" s="153" t="n">
        <f aca="false">IFERROR(INDEX(APOIO_REDES!$A:$W,MATCH($C42&amp;$I42&amp;$H42&amp;$N42&amp;$O42,APOIO_REDES!$W:$W,0),MATCH(AE$5,APOIO_REDES!$5:$5,0)),0)</f>
        <v>1.2</v>
      </c>
      <c r="AF42" s="153" t="n">
        <f aca="false">IFERROR(INDEX(APOIO_REDES!$A:$W,MATCH($C42&amp;$I42&amp;$H42&amp;$N42&amp;$O42,APOIO_REDES!$W:$W,0),MATCH(AF$5,APOIO_REDES!$5:$5,0)),0)</f>
        <v>1.363</v>
      </c>
      <c r="AG42" s="153" t="n">
        <f aca="false">IFERROR(INDEX(APOIO_REDES!$A:$W,MATCH($C42&amp;$I42&amp;$H42&amp;$N42&amp;$O42,APOIO_REDES!$W:$W,0),MATCH(AG$5,APOIO_REDES!$5:$5,0)),0)</f>
        <v>0.65</v>
      </c>
      <c r="AH42" s="153" t="n">
        <f aca="false">IFERROR(INDEX(APOIO_REDES!$A:$W,MATCH($C42&amp;$I42&amp;$H42&amp;$N42&amp;$O42,APOIO_REDES!$W:$W,0),MATCH(AH$5,APOIO_REDES!$5:$5,0)),0)</f>
        <v>0.1</v>
      </c>
      <c r="AI42" s="153" t="n">
        <f aca="false">IFERROR(IF($H42&lt;&gt;"",(((($H42/1000)/2)^2)*PI()*$M42),0),0)</f>
        <v>0.421482738436014</v>
      </c>
      <c r="AJ42" s="153" t="n">
        <f aca="false">IFERROR(IF(AND($H42&lt;&gt;"",$I42="FoFo",OR($N42="MND",$N42="VCA"),$Q42="LINEAR"),0,IF(AND($H42&lt;&gt;"",$I42="PEAD",$N42="VCA",$Q42="LINEAR"),($H42/1000)+0.3,IF(AND($H42&lt;&gt;"",$I42="PEAD",$N42="MND",$Q42="EMBOQUE"),0,IF(AND($H42&lt;&gt;"",$I42="PVC",$N42="VCA",$Q42="LINEAR"),($H42/1000)+0.2,IF(AND($H42&lt;&gt;"",$I42="PVC",$N42="MND",$Q42="EMBOQUE"),0,IF(AND($H42&lt;&gt;"",$I42="PEAD",$N42="VCA",$Q42="PREDIAL"),0,0)))))),0)</f>
        <v>0.363</v>
      </c>
      <c r="AK42" s="153" t="n">
        <f aca="false">IF(AA42&lt;&gt;"",AA42,0)</f>
        <v>2.3</v>
      </c>
      <c r="AL42" s="153" t="n">
        <f aca="false">IF(AND($N42="MND",$Q42="EMBOQUE"),$M42,IF(AND($N42="VCA",$Q42="LINEAR"),$M42,IF(AND($N42="VCA",$Q42="PREDIAL"),0,0)))</f>
        <v>135.21</v>
      </c>
      <c r="AM42" s="153" t="n">
        <f aca="false">IF(AND($N42="MND",$Q42="EMBOQUE"),$M42,IF(AND($N42="VCA",$Q42="LINEAR"),$M42,IF(AND($N42="VCA",$Q42="PREDIAL"),0,0)))</f>
        <v>135.21</v>
      </c>
      <c r="AN42" s="153" t="n">
        <f aca="false">ROUND(IF(AND($N42="VCA",$M42&lt;&gt;"",$Q42="LINEAR"),$M42/100,IF(AND($N42="MND",$M42&gt;100,$Q42="EMBOQUE"),$M42/100,0)),0)</f>
        <v>1</v>
      </c>
      <c r="AO42" s="153" t="n">
        <f aca="false">IF(AND($N42="MND",$Q42="EMBOQUE"),$AN42*2*2,IF(AND($N42="VCA",$Q42="LINEAR"),$M42*2,IF(AND($N42="VCA",$Q42="PREDIAL"),0,0)))</f>
        <v>270.42</v>
      </c>
      <c r="AP42" s="153" t="n">
        <f aca="false">IFERROR($M42*$AF42*$AG42,0)</f>
        <v>119.7892995</v>
      </c>
      <c r="AQ42" s="153" t="n">
        <f aca="false">IFERROR(IF(AND($N42="VCA",$AH42&gt;0),$M42*$AG42*$AH42,0),0)</f>
        <v>8.78865</v>
      </c>
      <c r="AR42" s="153" t="n">
        <f aca="false">IFERROR(IF(AND($N42="VCA",$AJ42&gt;0),($M42*$AG42*$AJ42)-$AI42,0),0)</f>
        <v>31.481316761564</v>
      </c>
      <c r="AS42" s="153" t="n">
        <f aca="false">IFERROR(IF(AND($N42="VCA",$AP42&gt;0),$AP42-$AI42-$AQ42-$AR42,0),0)</f>
        <v>79.09785</v>
      </c>
      <c r="AT42" s="153" t="n">
        <f aca="false">IFERROR(IF($N42="VCA",INDEX(APOIO_REDES!$A:$W,MATCH($C42&amp;$I42&amp;$H42&amp;$N42&amp;$O42,APOIO_REDES!$W:$W,0),MATCH(AT$5,APOIO_REDES!$5:$5,0)),0)*$AP42,0)</f>
        <v>1.30334303438281</v>
      </c>
      <c r="AU42" s="153" t="n">
        <f aca="false">IFERROR(IF($N42="VCA",INDEX(APOIO_REDES!$A:$W,MATCH($C42&amp;$I42&amp;$H42&amp;$N42&amp;$O42,APOIO_REDES!$W:$W,0),MATCH(AU$5,APOIO_REDES!$5:$5,0)),0)*$AP42,0)</f>
        <v>1.04081444825211</v>
      </c>
      <c r="AV42" s="153" t="n">
        <f aca="false">IFERROR(IF($N42="VCA",INDEX(APOIO_REDES!$A:$W,MATCH($C42&amp;$I42&amp;$H42&amp;$N42&amp;$O42,APOIO_REDES!$W:$W,0),MATCH(AV$5,APOIO_REDES!$5:$5,0)),0)*$AP42,0)</f>
        <v>0.144040548924315</v>
      </c>
      <c r="AW42" s="153" t="n">
        <f aca="false">IFERROR(IF($N42="VCA",INDEX(APOIO_REDES!$A:$W,MATCH($C42&amp;$I42&amp;$H42&amp;$N42&amp;$O42,APOIO_REDES!$W:$W,0),MATCH(AW$5,APOIO_REDES!$5:$5,0)),0)*$AP42,0)</f>
        <v>82.2243033495851</v>
      </c>
      <c r="AX42" s="153" t="n">
        <f aca="false">IFERROR(IF($N42="VCA",INDEX(APOIO_REDES!$A:$W,MATCH($C42&amp;$I42&amp;$H42&amp;$N42&amp;$O42,APOIO_REDES!$W:$W,0),MATCH(AX$5,APOIO_REDES!$5:$5,0)),0)*$AP42,0)</f>
        <v>11.379609363221</v>
      </c>
      <c r="AY42" s="153" t="n">
        <f aca="false">IFERROR(IF($N42="VCA",INDEX(APOIO_REDES!$A:$W,MATCH($C42&amp;$I42&amp;$H42&amp;$N42&amp;$O42,APOIO_REDES!$W:$W,0),MATCH(AY$5,APOIO_REDES!$5:$5,0)),0)*$AP42,0)</f>
        <v>20.8162762775984</v>
      </c>
      <c r="AZ42" s="153" t="n">
        <f aca="false">IFERROR(IF($N42="VCA",INDEX(APOIO_REDES!$A:$W,MATCH($C42&amp;$I42&amp;$H42&amp;$N42&amp;$O42,APOIO_REDES!$W:$W,0),MATCH(AZ$5,APOIO_REDES!$5:$5,0)),0)*$AP42,0)</f>
        <v>2.88091247803632</v>
      </c>
      <c r="BA42" s="153" t="n">
        <f aca="false">IFERROR(IF(AND($N42="VCA",$Q42="LINEAR"),INDEX(APOIO_REDES!$A:$W,MATCH($C42&amp;$I42&amp;$H42&amp;$N42&amp;$O42,APOIO_REDES!$W:$W,0),MATCH(BA$5,APOIO_REDES!$5:$5,0)),IF(AND($N42="MND",$Q42="EMBOQUE"),INDEX(APOIO_REDES!$A:$W,MATCH($C42&amp;$I42&amp;$H42&amp;$N42&amp;$O42,APOIO_REDES!$W:$W,0),MATCH(BA$5,APOIO_REDES!$5:$5,0)),0))*$M42/10,0)</f>
        <v>10.8975849435621</v>
      </c>
      <c r="BB42" s="153" t="n">
        <f aca="false">IFERROR(IF($N42="VCA",INDEX(APOIO_REDES!$A:$W,MATCH($C42&amp;$I42&amp;$H42&amp;$N42&amp;$O42,APOIO_REDES!$W:$W,0),MATCH(BB$5,APOIO_REDES!$5:$5,0)),0)*($AI42+$AQ42+$AR42),0)</f>
        <v>40.2487144853857</v>
      </c>
      <c r="BC42" s="153" t="n">
        <f aca="false">IFERROR(IF($N42="VCA",INDEX(APOIO_REDES!$A:$W,MATCH($C42&amp;$I42&amp;$H42&amp;$N42&amp;$O42,APOIO_REDES!$W:$W,0),MATCH(BC$5,APOIO_REDES!$5:$5,0)),0)*($AI42+$AQ42+$AR42),0)</f>
        <v>0.442735014614265</v>
      </c>
      <c r="BD42" s="153" t="n">
        <f aca="false">IF(AND($N42="VCA",$AF42&gt;=1.25,$AF42&lt;1.5),$M42*$AF42*2,0)</f>
        <v>368.58246</v>
      </c>
      <c r="BE42" s="153" t="n">
        <f aca="false">IF(AND($N42="VCA",$AF42&gt;=1.5,$AF42&lt;3),$M42*$AF42*2,0)</f>
        <v>0</v>
      </c>
      <c r="BF42" s="153" t="n">
        <f aca="false">IF(AND($N42="VCA",$AF42&gt;=3),$M42*$AF42*2,0)</f>
        <v>0</v>
      </c>
      <c r="BG42" s="153" t="n">
        <f aca="false">($BB42+$BC42)*$AK42</f>
        <v>93.59033385</v>
      </c>
      <c r="BH42" s="153" t="n">
        <f aca="false">IF(AND($M42&lt;&gt;"",$N42="VCA",$Q42="LINEAR"),($M42*2)/100,IF(AND($M42&lt;&gt;"",$N42="MND",$Q42="EMBOQUE"),($AN42*2)/100,0))</f>
        <v>2.7042</v>
      </c>
      <c r="BI42" s="153" t="n">
        <f aca="false">IF(AND($M42&lt;&gt;"",$N42="VCA",$Q42="LINEAR"),$M42,IF(AND($M42&lt;&gt;"",$N42="MND",$Q42="EMBOQUE"),$AN42*2,0))</f>
        <v>135.21</v>
      </c>
      <c r="BJ42" s="153" t="n">
        <f aca="false">IF(AND($M42&lt;&gt;"",$N42="VCA",$Q42="LINEAR"),($M42*6.8)/100,IF(AND($M42&lt;&gt;"",$N42="MND",$Q42="EMBOQUE"),($AN42*2*6.8)/100,0))</f>
        <v>9.19428</v>
      </c>
      <c r="BK42" s="153" t="n">
        <f aca="false">IF(AND($M42&lt;&gt;"",$N42="VCA",$Q42="LINEAR"),($M42*2.5)/50,IF(AND($M42&lt;&gt;"",$N42="MND",$Q42="EMBOQUE"),($AN42*2*2.5)/50,0))</f>
        <v>6.7605</v>
      </c>
      <c r="BL42" s="157" t="str">
        <f aca="false">K42&amp;J42</f>
        <v>Zona01REDES</v>
      </c>
      <c r="BM42" s="152" t="s">
        <v>1559</v>
      </c>
      <c r="BN42" s="152" t="s">
        <v>1560</v>
      </c>
      <c r="BO42" s="152" t="s">
        <v>1561</v>
      </c>
      <c r="BP42" s="152" t="s">
        <v>1670</v>
      </c>
      <c r="BQ42" s="152" t="s">
        <v>1673</v>
      </c>
      <c r="BR42" s="152" t="s">
        <v>1688</v>
      </c>
      <c r="BS42" s="152" t="n">
        <v>203289.55</v>
      </c>
      <c r="BT42" s="152" t="n">
        <v>8239025.999</v>
      </c>
      <c r="BU42" s="152" t="n">
        <v>203392.936</v>
      </c>
      <c r="BV42" s="152" t="n">
        <v>8239005.284</v>
      </c>
      <c r="BW42" s="152" t="n">
        <v>-15.9105932</v>
      </c>
      <c r="BX42" s="152" t="n">
        <v>-47.7705445</v>
      </c>
      <c r="BY42" s="152" t="s">
        <v>1670</v>
      </c>
    </row>
    <row r="43" customFormat="false" ht="13.8" hidden="false" customHeight="false" outlineLevel="0" collapsed="false">
      <c r="A43" s="149" t="n">
        <f aca="false">IF(C43&lt;&gt;"",ROW(A38),"")</f>
        <v>38</v>
      </c>
      <c r="B43" s="150" t="str">
        <f aca="false">HYPERLINK("https://www.google.com/maps/dir/-15.917302,-47.760003/-15.9111062,-47.7678339/data=!4m3!4m2!3e0!5i0")</f>
        <v>https://www.google.com/maps/dir/-15.917302,-47.760003/-15.9111062,-47.7678339/data=!4m3!4m2!3e0!5i0</v>
      </c>
      <c r="C43" s="151" t="s">
        <v>117</v>
      </c>
      <c r="D43" s="152" t="s">
        <v>112</v>
      </c>
      <c r="E43" s="152" t="s">
        <v>113</v>
      </c>
      <c r="F43" s="152" t="s">
        <v>117</v>
      </c>
      <c r="G43" s="152" t="s">
        <v>782</v>
      </c>
      <c r="H43" s="152" t="n">
        <v>63</v>
      </c>
      <c r="I43" s="152" t="s">
        <v>115</v>
      </c>
      <c r="J43" s="152" t="s">
        <v>6</v>
      </c>
      <c r="K43" s="152" t="s">
        <v>1547</v>
      </c>
      <c r="L43" s="152" t="s">
        <v>120</v>
      </c>
      <c r="M43" s="153" t="n">
        <f aca="false">123.86+0.44</f>
        <v>124.3</v>
      </c>
      <c r="N43" s="152" t="s">
        <v>1548</v>
      </c>
      <c r="O43" s="152" t="s">
        <v>1549</v>
      </c>
      <c r="P43" s="152" t="s">
        <v>1550</v>
      </c>
      <c r="Q43" s="152" t="s">
        <v>1551</v>
      </c>
      <c r="R43" s="154" t="s">
        <v>1689</v>
      </c>
      <c r="S43" s="154" t="s">
        <v>1553</v>
      </c>
      <c r="T43" s="155" t="s">
        <v>1554</v>
      </c>
      <c r="U43" s="152" t="str">
        <f aca="false">RIGHT(T43,7)</f>
        <v>002/037</v>
      </c>
      <c r="V43" s="152" t="s">
        <v>1555</v>
      </c>
      <c r="W43" s="156" t="n">
        <v>45882</v>
      </c>
      <c r="X43" s="152" t="s">
        <v>1556</v>
      </c>
      <c r="Y43" s="152"/>
      <c r="Z43" s="152" t="s">
        <v>1557</v>
      </c>
      <c r="AA43" s="153" t="n">
        <v>1.6</v>
      </c>
      <c r="AB43" s="151" t="s">
        <v>1690</v>
      </c>
      <c r="AC43" s="151" t="s">
        <v>186</v>
      </c>
      <c r="AD43" s="151" t="str">
        <f aca="false">CONCATENATE($C43,$I43,$H43,$N43,$J43,$K43)</f>
        <v>TUBO PEADPEAD63VCAREDESZona01</v>
      </c>
      <c r="AE43" s="153" t="n">
        <f aca="false">IFERROR(INDEX(APOIO_REDES!$A:$W,MATCH($C43&amp;$I43&amp;$H43&amp;$N43&amp;$O43,APOIO_REDES!$W:$W,0),MATCH(AE$5,APOIO_REDES!$5:$5,0)),0)</f>
        <v>1.2</v>
      </c>
      <c r="AF43" s="153" t="n">
        <f aca="false">IFERROR(INDEX(APOIO_REDES!$A:$W,MATCH($C43&amp;$I43&amp;$H43&amp;$N43&amp;$O43,APOIO_REDES!$W:$W,0),MATCH(AF$5,APOIO_REDES!$5:$5,0)),0)</f>
        <v>1.363</v>
      </c>
      <c r="AG43" s="153" t="n">
        <f aca="false">IFERROR(INDEX(APOIO_REDES!$A:$W,MATCH($C43&amp;$I43&amp;$H43&amp;$N43&amp;$O43,APOIO_REDES!$W:$W,0),MATCH(AG$5,APOIO_REDES!$5:$5,0)),0)</f>
        <v>0.65</v>
      </c>
      <c r="AH43" s="153" t="n">
        <f aca="false">IFERROR(INDEX(APOIO_REDES!$A:$W,MATCH($C43&amp;$I43&amp;$H43&amp;$N43&amp;$O43,APOIO_REDES!$W:$W,0),MATCH(AH$5,APOIO_REDES!$5:$5,0)),0)</f>
        <v>0.1</v>
      </c>
      <c r="AI43" s="153" t="n">
        <f aca="false">IFERROR(IF($H43&lt;&gt;"",(((($H43/1000)/2)^2)*PI()*$M43),0),0)</f>
        <v>0.387473592098192</v>
      </c>
      <c r="AJ43" s="153" t="n">
        <f aca="false">IFERROR(IF(AND($H43&lt;&gt;"",$I43="FoFo",OR($N43="MND",$N43="VCA"),$Q43="LINEAR"),0,IF(AND($H43&lt;&gt;"",$I43="PEAD",$N43="VCA",$Q43="LINEAR"),($H43/1000)+0.3,IF(AND($H43&lt;&gt;"",$I43="PEAD",$N43="MND",$Q43="EMBOQUE"),0,IF(AND($H43&lt;&gt;"",$I43="PVC",$N43="VCA",$Q43="LINEAR"),($H43/1000)+0.2,IF(AND($H43&lt;&gt;"",$I43="PVC",$N43="MND",$Q43="EMBOQUE"),0,IF(AND($H43&lt;&gt;"",$I43="PEAD",$N43="VCA",$Q43="PREDIAL"),0,0)))))),0)</f>
        <v>0.363</v>
      </c>
      <c r="AK43" s="153" t="n">
        <f aca="false">IF(AA43&lt;&gt;"",AA43,0)</f>
        <v>1.6</v>
      </c>
      <c r="AL43" s="153" t="n">
        <f aca="false">IF(AND($N43="MND",$Q43="EMBOQUE"),$M43,IF(AND($N43="VCA",$Q43="LINEAR"),$M43,IF(AND($N43="VCA",$Q43="PREDIAL"),0,0)))</f>
        <v>124.3</v>
      </c>
      <c r="AM43" s="153" t="n">
        <f aca="false">IF(AND($N43="MND",$Q43="EMBOQUE"),$M43,IF(AND($N43="VCA",$Q43="LINEAR"),$M43,IF(AND($N43="VCA",$Q43="PREDIAL"),0,0)))</f>
        <v>124.3</v>
      </c>
      <c r="AN43" s="153" t="n">
        <f aca="false">ROUND(IF(AND($N43="VCA",$M43&lt;&gt;"",$Q43="LINEAR"),$M43/100,IF(AND($N43="MND",$M43&gt;100,$Q43="EMBOQUE"),$M43/100,0)),0)</f>
        <v>1</v>
      </c>
      <c r="AO43" s="153" t="n">
        <f aca="false">IF(AND($N43="MND",$Q43="EMBOQUE"),$AN43*2*2,IF(AND($N43="VCA",$Q43="LINEAR"),$M43*2,IF(AND($N43="VCA",$Q43="PREDIAL"),0,0)))</f>
        <v>248.6</v>
      </c>
      <c r="AP43" s="153" t="n">
        <f aca="false">IFERROR($M43*$AF43*$AG43,0)</f>
        <v>110.123585</v>
      </c>
      <c r="AQ43" s="153" t="n">
        <f aca="false">IFERROR(IF(AND($N43="VCA",$AH43&gt;0),$M43*$AG43*$AH43,0),0)</f>
        <v>8.0795</v>
      </c>
      <c r="AR43" s="153" t="n">
        <f aca="false">IFERROR(IF(AND($N43="VCA",$AJ43&gt;0),($M43*$AG43*$AJ43)-$AI43,0),0)</f>
        <v>28.9411114079018</v>
      </c>
      <c r="AS43" s="153" t="n">
        <f aca="false">IFERROR(IF(AND($N43="VCA",$AP43&gt;0),$AP43-$AI43-$AQ43-$AR43,0),0)</f>
        <v>72.7155</v>
      </c>
      <c r="AT43" s="153" t="n">
        <f aca="false">IFERROR(IF($N43="VCA",INDEX(APOIO_REDES!$A:$W,MATCH($C43&amp;$I43&amp;$H43&amp;$N43&amp;$O43,APOIO_REDES!$W:$W,0),MATCH(AT$5,APOIO_REDES!$5:$5,0)),0)*$AP43,0)</f>
        <v>1.19817719971736</v>
      </c>
      <c r="AU43" s="153" t="n">
        <f aca="false">IFERROR(IF($N43="VCA",INDEX(APOIO_REDES!$A:$W,MATCH($C43&amp;$I43&amp;$H43&amp;$N43&amp;$O43,APOIO_REDES!$W:$W,0),MATCH(AU$5,APOIO_REDES!$5:$5,0)),0)*$AP43,0)</f>
        <v>0.956831860940291</v>
      </c>
      <c r="AV43" s="153" t="n">
        <f aca="false">IFERROR(IF($N43="VCA",INDEX(APOIO_REDES!$A:$W,MATCH($C43&amp;$I43&amp;$H43&amp;$N43&amp;$O43,APOIO_REDES!$W:$W,0),MATCH(AV$5,APOIO_REDES!$5:$5,0)),0)*$AP43,0)</f>
        <v>0.132418018129519</v>
      </c>
      <c r="AW43" s="153" t="n">
        <f aca="false">IFERROR(IF($N43="VCA",INDEX(APOIO_REDES!$A:$W,MATCH($C43&amp;$I43&amp;$H43&amp;$N43&amp;$O43,APOIO_REDES!$W:$W,0),MATCH(AW$5,APOIO_REDES!$5:$5,0)),0)*$AP43,0)</f>
        <v>75.5896820231746</v>
      </c>
      <c r="AX43" s="153" t="n">
        <f aca="false">IFERROR(IF($N43="VCA",INDEX(APOIO_REDES!$A:$W,MATCH($C43&amp;$I43&amp;$H43&amp;$N43&amp;$O43,APOIO_REDES!$W:$W,0),MATCH(AX$5,APOIO_REDES!$5:$5,0)),0)*$AP43,0)</f>
        <v>10.4613966707223</v>
      </c>
      <c r="AY43" s="153" t="n">
        <f aca="false">IFERROR(IF($N43="VCA",INDEX(APOIO_REDES!$A:$W,MATCH($C43&amp;$I43&amp;$H43&amp;$N43&amp;$O43,APOIO_REDES!$W:$W,0),MATCH(AY$5,APOIO_REDES!$5:$5,0)),0)*$AP43,0)</f>
        <v>19.136625555103</v>
      </c>
      <c r="AZ43" s="153" t="n">
        <f aca="false">IFERROR(IF($N43="VCA",INDEX(APOIO_REDES!$A:$W,MATCH($C43&amp;$I43&amp;$H43&amp;$N43&amp;$O43,APOIO_REDES!$W:$W,0),MATCH(AZ$5,APOIO_REDES!$5:$5,0)),0)*$AP43,0)</f>
        <v>2.64845367221296</v>
      </c>
      <c r="BA43" s="153" t="n">
        <f aca="false">IFERROR(IF(AND($N43="VCA",$Q43="LINEAR"),INDEX(APOIO_REDES!$A:$W,MATCH($C43&amp;$I43&amp;$H43&amp;$N43&amp;$O43,APOIO_REDES!$W:$W,0),MATCH(BA$5,APOIO_REDES!$5:$5,0)),IF(AND($N43="MND",$Q43="EMBOQUE"),INDEX(APOIO_REDES!$A:$W,MATCH($C43&amp;$I43&amp;$H43&amp;$N43&amp;$O43,APOIO_REDES!$W:$W,0),MATCH(BA$5,APOIO_REDES!$5:$5,0)),0))*$M43/10,0)</f>
        <v>10.0182664631667</v>
      </c>
      <c r="BB43" s="153" t="n">
        <f aca="false">IFERROR(IF($N43="VCA",INDEX(APOIO_REDES!$A:$W,MATCH($C43&amp;$I43&amp;$H43&amp;$N43&amp;$O43,APOIO_REDES!$W:$W,0),MATCH(BB$5,APOIO_REDES!$5:$5,0)),0)*($AI43+$AQ43+$AR43),0)</f>
        <v>37.001073962972</v>
      </c>
      <c r="BC43" s="153" t="n">
        <f aca="false">IFERROR(IF($N43="VCA",INDEX(APOIO_REDES!$A:$W,MATCH($C43&amp;$I43&amp;$H43&amp;$N43&amp;$O43,APOIO_REDES!$W:$W,0),MATCH(BC$5,APOIO_REDES!$5:$5,0)),0)*($AI43+$AQ43+$AR43),0)</f>
        <v>0.407011037027979</v>
      </c>
      <c r="BD43" s="153" t="n">
        <f aca="false">IF(AND($N43="VCA",$AF43&gt;=1.25,$AF43&lt;1.5),$M43*$AF43*2,0)</f>
        <v>338.8418</v>
      </c>
      <c r="BE43" s="153" t="n">
        <f aca="false">IF(AND($N43="VCA",$AF43&gt;=1.5,$AF43&lt;3),$M43*$AF43*2,0)</f>
        <v>0</v>
      </c>
      <c r="BF43" s="153" t="n">
        <f aca="false">IF(AND($N43="VCA",$AF43&gt;=3),$M43*$AF43*2,0)</f>
        <v>0</v>
      </c>
      <c r="BG43" s="153" t="n">
        <f aca="false">($BB43+$BC43)*$AK43</f>
        <v>59.852936</v>
      </c>
      <c r="BH43" s="153" t="n">
        <f aca="false">IF(AND($M43&lt;&gt;"",$N43="VCA",$Q43="LINEAR"),($M43*2)/100,IF(AND($M43&lt;&gt;"",$N43="MND",$Q43="EMBOQUE"),($AN43*2)/100,0))</f>
        <v>2.486</v>
      </c>
      <c r="BI43" s="153" t="n">
        <f aca="false">IF(AND($M43&lt;&gt;"",$N43="VCA",$Q43="LINEAR"),$M43,IF(AND($M43&lt;&gt;"",$N43="MND",$Q43="EMBOQUE"),$AN43*2,0))</f>
        <v>124.3</v>
      </c>
      <c r="BJ43" s="153" t="n">
        <f aca="false">IF(AND($M43&lt;&gt;"",$N43="VCA",$Q43="LINEAR"),($M43*6.8)/100,IF(AND($M43&lt;&gt;"",$N43="MND",$Q43="EMBOQUE"),($AN43*2*6.8)/100,0))</f>
        <v>8.4524</v>
      </c>
      <c r="BK43" s="153" t="n">
        <f aca="false">IF(AND($M43&lt;&gt;"",$N43="VCA",$Q43="LINEAR"),($M43*2.5)/50,IF(AND($M43&lt;&gt;"",$N43="MND",$Q43="EMBOQUE"),($AN43*2*2.5)/50,0))</f>
        <v>6.215</v>
      </c>
      <c r="BL43" s="157" t="str">
        <f aca="false">K43&amp;J43</f>
        <v>Zona01REDES</v>
      </c>
      <c r="BM43" s="152" t="s">
        <v>1559</v>
      </c>
      <c r="BN43" s="152" t="s">
        <v>1560</v>
      </c>
      <c r="BO43" s="152" t="s">
        <v>1561</v>
      </c>
      <c r="BP43" s="152" t="s">
        <v>1684</v>
      </c>
      <c r="BQ43" s="152" t="s">
        <v>1691</v>
      </c>
      <c r="BR43" s="152" t="s">
        <v>1692</v>
      </c>
      <c r="BS43" s="152" t="n">
        <v>203635.907</v>
      </c>
      <c r="BT43" s="152" t="n">
        <v>8238933.988</v>
      </c>
      <c r="BU43" s="152" t="n">
        <v>203540.927</v>
      </c>
      <c r="BV43" s="152" t="n">
        <v>8239007.045</v>
      </c>
      <c r="BW43" s="152" t="n">
        <v>-15.9107644</v>
      </c>
      <c r="BX43" s="152" t="n">
        <v>-47.7682912</v>
      </c>
      <c r="BY43" s="152" t="s">
        <v>1684</v>
      </c>
    </row>
    <row r="44" customFormat="false" ht="13.8" hidden="false" customHeight="false" outlineLevel="0" collapsed="false">
      <c r="A44" s="149" t="n">
        <f aca="false">IF(C44&lt;&gt;"",ROW(A39),"")</f>
        <v>39</v>
      </c>
      <c r="B44" s="150" t="str">
        <f aca="false">HYPERLINK("https://www.google.com/maps/dir/-15.917302,-47.760003/-15.9112190,-47.7702074/data=!4m3!4m2!3e0!5i2")</f>
        <v>https://www.google.com/maps/dir/-15.917302,-47.760003/-15.9112190,-47.7702074/data=!4m3!4m2!3e0!5i2</v>
      </c>
      <c r="C44" s="151" t="s">
        <v>117</v>
      </c>
      <c r="D44" s="152" t="s">
        <v>112</v>
      </c>
      <c r="E44" s="152" t="s">
        <v>113</v>
      </c>
      <c r="F44" s="152" t="s">
        <v>117</v>
      </c>
      <c r="G44" s="152" t="s">
        <v>782</v>
      </c>
      <c r="H44" s="152" t="n">
        <v>90</v>
      </c>
      <c r="I44" s="152" t="s">
        <v>115</v>
      </c>
      <c r="J44" s="152" t="s">
        <v>6</v>
      </c>
      <c r="K44" s="152" t="s">
        <v>1547</v>
      </c>
      <c r="L44" s="152" t="s">
        <v>120</v>
      </c>
      <c r="M44" s="153" t="n">
        <f aca="false">173.01</f>
        <v>173.01</v>
      </c>
      <c r="N44" s="152" t="s">
        <v>1548</v>
      </c>
      <c r="O44" s="152" t="s">
        <v>1549</v>
      </c>
      <c r="P44" s="152" t="s">
        <v>1550</v>
      </c>
      <c r="Q44" s="152" t="s">
        <v>1551</v>
      </c>
      <c r="R44" s="154" t="s">
        <v>1693</v>
      </c>
      <c r="S44" s="154" t="s">
        <v>1593</v>
      </c>
      <c r="T44" s="155" t="s">
        <v>1554</v>
      </c>
      <c r="U44" s="152" t="str">
        <f aca="false">RIGHT(T44,7)</f>
        <v>002/037</v>
      </c>
      <c r="V44" s="152" t="s">
        <v>1555</v>
      </c>
      <c r="W44" s="156" t="n">
        <v>45882</v>
      </c>
      <c r="X44" s="152" t="s">
        <v>1556</v>
      </c>
      <c r="Y44" s="152"/>
      <c r="Z44" s="152" t="s">
        <v>1557</v>
      </c>
      <c r="AA44" s="153" t="n">
        <v>2.2</v>
      </c>
      <c r="AB44" s="151" t="s">
        <v>1694</v>
      </c>
      <c r="AC44" s="151" t="s">
        <v>526</v>
      </c>
      <c r="AD44" s="151" t="str">
        <f aca="false">CONCATENATE($C44,$I44,$H44,$N44,$J44,$K44)</f>
        <v>TUBO PEADPEAD90VCAREDESZona01</v>
      </c>
      <c r="AE44" s="153" t="n">
        <f aca="false">IFERROR(INDEX(APOIO_REDES!$A:$W,MATCH($C44&amp;$I44&amp;$H44&amp;$N44&amp;$O44,APOIO_REDES!$W:$W,0),MATCH(AE$5,APOIO_REDES!$5:$5,0)),0)</f>
        <v>1.2</v>
      </c>
      <c r="AF44" s="153" t="n">
        <f aca="false">IFERROR(INDEX(APOIO_REDES!$A:$W,MATCH($C44&amp;$I44&amp;$H44&amp;$N44&amp;$O44,APOIO_REDES!$W:$W,0),MATCH(AF$5,APOIO_REDES!$5:$5,0)),0)</f>
        <v>1.39</v>
      </c>
      <c r="AG44" s="153" t="n">
        <f aca="false">IFERROR(INDEX(APOIO_REDES!$A:$W,MATCH($C44&amp;$I44&amp;$H44&amp;$N44&amp;$O44,APOIO_REDES!$W:$W,0),MATCH(AG$5,APOIO_REDES!$5:$5,0)),0)</f>
        <v>0.75</v>
      </c>
      <c r="AH44" s="153" t="n">
        <f aca="false">IFERROR(INDEX(APOIO_REDES!$A:$W,MATCH($C44&amp;$I44&amp;$H44&amp;$N44&amp;$O44,APOIO_REDES!$W:$W,0),MATCH(AH$5,APOIO_REDES!$5:$5,0)),0)</f>
        <v>0.1</v>
      </c>
      <c r="AI44" s="153" t="n">
        <f aca="false">IFERROR(IF($H44&lt;&gt;"",(((($H44/1000)/2)^2)*PI()*$M44),0),0)</f>
        <v>1.10064206362008</v>
      </c>
      <c r="AJ44" s="153" t="n">
        <f aca="false">IFERROR(IF(AND($H44&lt;&gt;"",$I44="FoFo",OR($N44="MND",$N44="VCA"),$Q44="LINEAR"),0,IF(AND($H44&lt;&gt;"",$I44="PEAD",$N44="VCA",$Q44="LINEAR"),($H44/1000)+0.3,IF(AND($H44&lt;&gt;"",$I44="PEAD",$N44="MND",$Q44="EMBOQUE"),0,IF(AND($H44&lt;&gt;"",$I44="PVC",$N44="VCA",$Q44="LINEAR"),($H44/1000)+0.2,IF(AND($H44&lt;&gt;"",$I44="PVC",$N44="MND",$Q44="EMBOQUE"),0,IF(AND($H44&lt;&gt;"",$I44="PEAD",$N44="VCA",$Q44="PREDIAL"),0,0)))))),0)</f>
        <v>0.39</v>
      </c>
      <c r="AK44" s="153" t="n">
        <f aca="false">IF(AA44&lt;&gt;"",AA44,0)</f>
        <v>2.2</v>
      </c>
      <c r="AL44" s="153" t="n">
        <f aca="false">IF(AND($N44="MND",$Q44="EMBOQUE"),$M44,IF(AND($N44="VCA",$Q44="LINEAR"),$M44,IF(AND($N44="VCA",$Q44="PREDIAL"),0,0)))</f>
        <v>173.01</v>
      </c>
      <c r="AM44" s="153" t="n">
        <f aca="false">IF(AND($N44="MND",$Q44="EMBOQUE"),$M44,IF(AND($N44="VCA",$Q44="LINEAR"),$M44,IF(AND($N44="VCA",$Q44="PREDIAL"),0,0)))</f>
        <v>173.01</v>
      </c>
      <c r="AN44" s="153" t="n">
        <f aca="false">ROUND(IF(AND($N44="VCA",$M44&lt;&gt;"",$Q44="LINEAR"),$M44/100,IF(AND($N44="MND",$M44&gt;100,$Q44="EMBOQUE"),$M44/100,0)),0)</f>
        <v>2</v>
      </c>
      <c r="AO44" s="153" t="n">
        <f aca="false">IF(AND($N44="MND",$Q44="EMBOQUE"),$AN44*2*2,IF(AND($N44="VCA",$Q44="LINEAR"),$M44*2,IF(AND($N44="VCA",$Q44="PREDIAL"),0,0)))</f>
        <v>346.02</v>
      </c>
      <c r="AP44" s="153" t="n">
        <f aca="false">IFERROR($M44*$AF44*$AG44,0)</f>
        <v>180.362925</v>
      </c>
      <c r="AQ44" s="153" t="n">
        <f aca="false">IFERROR(IF(AND($N44="VCA",$AH44&gt;0),$M44*$AG44*$AH44,0),0)</f>
        <v>12.97575</v>
      </c>
      <c r="AR44" s="153" t="n">
        <f aca="false">IFERROR(IF(AND($N44="VCA",$AJ44&gt;0),($M44*$AG44*$AJ44)-$AI44,0),0)</f>
        <v>49.5047829363799</v>
      </c>
      <c r="AS44" s="153" t="n">
        <f aca="false">IFERROR(IF(AND($N44="VCA",$AP44&gt;0),$AP44-$AI44-$AQ44-$AR44,0),0)</f>
        <v>116.78175</v>
      </c>
      <c r="AT44" s="153" t="n">
        <f aca="false">IFERROR(IF($N44="VCA",INDEX(APOIO_REDES!$A:$W,MATCH($C44&amp;$I44&amp;$H44&amp;$N44&amp;$O44,APOIO_REDES!$W:$W,0),MATCH(AT$5,APOIO_REDES!$5:$5,0)),0)*$AP44,0)</f>
        <v>1.96240200870078</v>
      </c>
      <c r="AU44" s="153" t="n">
        <f aca="false">IFERROR(IF($N44="VCA",INDEX(APOIO_REDES!$A:$W,MATCH($C44&amp;$I44&amp;$H44&amp;$N44&amp;$O44,APOIO_REDES!$W:$W,0),MATCH(AU$5,APOIO_REDES!$5:$5,0)),0)*$AP44,0)</f>
        <v>1.56712109556172</v>
      </c>
      <c r="AV44" s="153" t="n">
        <f aca="false">IFERROR(IF($N44="VCA",INDEX(APOIO_REDES!$A:$W,MATCH($C44&amp;$I44&amp;$H44&amp;$N44&amp;$O44,APOIO_REDES!$W:$W,0),MATCH(AV$5,APOIO_REDES!$5:$5,0)),0)*$AP44,0)</f>
        <v>0.216877257242789</v>
      </c>
      <c r="AW44" s="153" t="n">
        <f aca="false">IFERROR(IF($N44="VCA",INDEX(APOIO_REDES!$A:$W,MATCH($C44&amp;$I44&amp;$H44&amp;$N44&amp;$O44,APOIO_REDES!$W:$W,0),MATCH(AW$5,APOIO_REDES!$5:$5,0)),0)*$AP44,0)</f>
        <v>123.802509240139</v>
      </c>
      <c r="AX44" s="153" t="n">
        <f aca="false">IFERROR(IF($N44="VCA",INDEX(APOIO_REDES!$A:$W,MATCH($C44&amp;$I44&amp;$H44&amp;$N44&amp;$O44,APOIO_REDES!$W:$W,0),MATCH(AX$5,APOIO_REDES!$5:$5,0)),0)*$AP44,0)</f>
        <v>17.1339146207122</v>
      </c>
      <c r="AY44" s="153" t="n">
        <f aca="false">IFERROR(IF($N44="VCA",INDEX(APOIO_REDES!$A:$W,MATCH($C44&amp;$I44&amp;$H44&amp;$N44&amp;$O44,APOIO_REDES!$W:$W,0),MATCH(AY$5,APOIO_REDES!$5:$5,0)),0)*$AP44,0)</f>
        <v>31.3424028081553</v>
      </c>
      <c r="AZ44" s="153" t="n">
        <f aca="false">IFERROR(IF($N44="VCA",INDEX(APOIO_REDES!$A:$W,MATCH($C44&amp;$I44&amp;$H44&amp;$N44&amp;$O44,APOIO_REDES!$W:$W,0),MATCH(AZ$5,APOIO_REDES!$5:$5,0)),0)*$AP44,0)</f>
        <v>4.33769796948874</v>
      </c>
      <c r="BA44" s="153" t="n">
        <f aca="false">IFERROR(IF(AND($N44="VCA",$Q44="LINEAR"),INDEX(APOIO_REDES!$A:$W,MATCH($C44&amp;$I44&amp;$H44&amp;$N44&amp;$O44,APOIO_REDES!$W:$W,0),MATCH(BA$5,APOIO_REDES!$5:$5,0)),IF(AND($N44="MND",$Q44="EMBOQUE"),INDEX(APOIO_REDES!$A:$W,MATCH($C44&amp;$I44&amp;$H44&amp;$N44&amp;$O44,APOIO_REDES!$W:$W,0),MATCH(BA$5,APOIO_REDES!$5:$5,0)),0))*$M44/10,0)</f>
        <v>13.9441695960778</v>
      </c>
      <c r="BB44" s="153" t="n">
        <f aca="false">IFERROR(IF($N44="VCA",INDEX(APOIO_REDES!$A:$W,MATCH($C44&amp;$I44&amp;$H44&amp;$N44&amp;$O44,APOIO_REDES!$W:$W,0),MATCH(BB$5,APOIO_REDES!$5:$5,0)),0)*($AI44+$AQ44+$AR44),0)</f>
        <v>62.8893929969328</v>
      </c>
      <c r="BC44" s="153" t="n">
        <f aca="false">IFERROR(IF($N44="VCA",INDEX(APOIO_REDES!$A:$W,MATCH($C44&amp;$I44&amp;$H44&amp;$N44&amp;$O44,APOIO_REDES!$W:$W,0),MATCH(BC$5,APOIO_REDES!$5:$5,0)),0)*($AI44+$AQ44+$AR44),0)</f>
        <v>0.691782003067183</v>
      </c>
      <c r="BD44" s="153" t="n">
        <f aca="false">IF(AND($N44="VCA",$AF44&gt;=1.25,$AF44&lt;1.5),$M44*$AF44*2,0)</f>
        <v>480.9678</v>
      </c>
      <c r="BE44" s="153" t="n">
        <f aca="false">IF(AND($N44="VCA",$AF44&gt;=1.5,$AF44&lt;3),$M44*$AF44*2,0)</f>
        <v>0</v>
      </c>
      <c r="BF44" s="153" t="n">
        <f aca="false">IF(AND($N44="VCA",$AF44&gt;=3),$M44*$AF44*2,0)</f>
        <v>0</v>
      </c>
      <c r="BG44" s="153" t="n">
        <f aca="false">($BB44+$BC44)*$AK44</f>
        <v>139.878585</v>
      </c>
      <c r="BH44" s="153" t="n">
        <f aca="false">IF(AND($M44&lt;&gt;"",$N44="VCA",$Q44="LINEAR"),($M44*2)/100,IF(AND($M44&lt;&gt;"",$N44="MND",$Q44="EMBOQUE"),($AN44*2)/100,0))</f>
        <v>3.4602</v>
      </c>
      <c r="BI44" s="153" t="n">
        <f aca="false">IF(AND($M44&lt;&gt;"",$N44="VCA",$Q44="LINEAR"),$M44,IF(AND($M44&lt;&gt;"",$N44="MND",$Q44="EMBOQUE"),$AN44*2,0))</f>
        <v>173.01</v>
      </c>
      <c r="BJ44" s="153" t="n">
        <f aca="false">IF(AND($M44&lt;&gt;"",$N44="VCA",$Q44="LINEAR"),($M44*6.8)/100,IF(AND($M44&lt;&gt;"",$N44="MND",$Q44="EMBOQUE"),($AN44*2*6.8)/100,0))</f>
        <v>11.76468</v>
      </c>
      <c r="BK44" s="153" t="n">
        <f aca="false">IF(AND($M44&lt;&gt;"",$N44="VCA",$Q44="LINEAR"),($M44*2.5)/50,IF(AND($M44&lt;&gt;"",$N44="MND",$Q44="EMBOQUE"),($AN44*2*2.5)/50,0))</f>
        <v>8.6505</v>
      </c>
      <c r="BL44" s="157" t="str">
        <f aca="false">K44&amp;J44</f>
        <v>Zona01REDES</v>
      </c>
      <c r="BM44" s="152" t="s">
        <v>1559</v>
      </c>
      <c r="BN44" s="152" t="s">
        <v>1560</v>
      </c>
      <c r="BO44" s="152" t="s">
        <v>1561</v>
      </c>
      <c r="BP44" s="152" t="s">
        <v>1680</v>
      </c>
      <c r="BQ44" s="152" t="s">
        <v>1670</v>
      </c>
      <c r="BR44" s="152" t="s">
        <v>1695</v>
      </c>
      <c r="BS44" s="152" t="n">
        <v>203381.771</v>
      </c>
      <c r="BT44" s="152" t="n">
        <v>8238918.126</v>
      </c>
      <c r="BU44" s="152" t="n">
        <v>203289.55</v>
      </c>
      <c r="BV44" s="152" t="n">
        <v>8239025.999</v>
      </c>
      <c r="BW44" s="152" t="n">
        <v>-15.9107678</v>
      </c>
      <c r="BX44" s="152" t="n">
        <v>-47.7708662</v>
      </c>
      <c r="BY44" s="152" t="s">
        <v>1680</v>
      </c>
    </row>
    <row r="45" customFormat="false" ht="13.8" hidden="false" customHeight="false" outlineLevel="0" collapsed="false">
      <c r="A45" s="149" t="n">
        <f aca="false">IF(C45&lt;&gt;"",ROW(A40),"")</f>
        <v>40</v>
      </c>
      <c r="B45" s="150" t="str">
        <f aca="false">HYPERLINK("https://www.google.com/maps/dir/-15.917302,-47.760003/-15.9114560,-47.7698841/data=!4m3!4m2!3e0!5i0")</f>
        <v>https://www.google.com/maps/dir/-15.917302,-47.760003/-15.9114560,-47.7698841/data=!4m3!4m2!3e0!5i0</v>
      </c>
      <c r="C45" s="151" t="s">
        <v>117</v>
      </c>
      <c r="D45" s="152" t="s">
        <v>112</v>
      </c>
      <c r="E45" s="152" t="s">
        <v>113</v>
      </c>
      <c r="F45" s="152" t="s">
        <v>117</v>
      </c>
      <c r="G45" s="152" t="s">
        <v>782</v>
      </c>
      <c r="H45" s="152" t="n">
        <v>63</v>
      </c>
      <c r="I45" s="152" t="s">
        <v>115</v>
      </c>
      <c r="J45" s="152" t="s">
        <v>6</v>
      </c>
      <c r="K45" s="152" t="s">
        <v>1547</v>
      </c>
      <c r="L45" s="152" t="s">
        <v>120</v>
      </c>
      <c r="M45" s="153" t="n">
        <f aca="false">186.59</f>
        <v>186.59</v>
      </c>
      <c r="N45" s="152" t="s">
        <v>1548</v>
      </c>
      <c r="O45" s="152" t="s">
        <v>1549</v>
      </c>
      <c r="P45" s="152" t="s">
        <v>1550</v>
      </c>
      <c r="Q45" s="152" t="s">
        <v>1551</v>
      </c>
      <c r="R45" s="154" t="s">
        <v>1696</v>
      </c>
      <c r="S45" s="154" t="s">
        <v>1553</v>
      </c>
      <c r="T45" s="155" t="s">
        <v>1554</v>
      </c>
      <c r="U45" s="152" t="str">
        <f aca="false">RIGHT(T45,7)</f>
        <v>002/037</v>
      </c>
      <c r="V45" s="152" t="s">
        <v>1555</v>
      </c>
      <c r="W45" s="156" t="n">
        <v>45882</v>
      </c>
      <c r="X45" s="152" t="s">
        <v>1556</v>
      </c>
      <c r="Y45" s="152"/>
      <c r="Z45" s="152" t="s">
        <v>1557</v>
      </c>
      <c r="AA45" s="153" t="n">
        <v>2</v>
      </c>
      <c r="AB45" s="151" t="s">
        <v>1697</v>
      </c>
      <c r="AC45" s="151" t="s">
        <v>186</v>
      </c>
      <c r="AD45" s="151" t="str">
        <f aca="false">CONCATENATE($C45,$I45,$H45,$N45,$J45,$K45)</f>
        <v>TUBO PEADPEAD63VCAREDESZona01</v>
      </c>
      <c r="AE45" s="153" t="n">
        <f aca="false">IFERROR(INDEX(APOIO_REDES!$A:$W,MATCH($C45&amp;$I45&amp;$H45&amp;$N45&amp;$O45,APOIO_REDES!$W:$W,0),MATCH(AE$5,APOIO_REDES!$5:$5,0)),0)</f>
        <v>1.2</v>
      </c>
      <c r="AF45" s="153" t="n">
        <f aca="false">IFERROR(INDEX(APOIO_REDES!$A:$W,MATCH($C45&amp;$I45&amp;$H45&amp;$N45&amp;$O45,APOIO_REDES!$W:$W,0),MATCH(AF$5,APOIO_REDES!$5:$5,0)),0)</f>
        <v>1.363</v>
      </c>
      <c r="AG45" s="153" t="n">
        <f aca="false">IFERROR(INDEX(APOIO_REDES!$A:$W,MATCH($C45&amp;$I45&amp;$H45&amp;$N45&amp;$O45,APOIO_REDES!$W:$W,0),MATCH(AG$5,APOIO_REDES!$5:$5,0)),0)</f>
        <v>0.65</v>
      </c>
      <c r="AH45" s="153" t="n">
        <f aca="false">IFERROR(INDEX(APOIO_REDES!$A:$W,MATCH($C45&amp;$I45&amp;$H45&amp;$N45&amp;$O45,APOIO_REDES!$W:$W,0),MATCH(AH$5,APOIO_REDES!$5:$5,0)),0)</f>
        <v>0.1</v>
      </c>
      <c r="AI45" s="153" t="n">
        <f aca="false">IFERROR(IF($H45&lt;&gt;"",(((($H45/1000)/2)^2)*PI()*$M45),0),0)</f>
        <v>0.581646802490761</v>
      </c>
      <c r="AJ45" s="153" t="n">
        <f aca="false">IFERROR(IF(AND($H45&lt;&gt;"",$I45="FoFo",OR($N45="MND",$N45="VCA"),$Q45="LINEAR"),0,IF(AND($H45&lt;&gt;"",$I45="PEAD",$N45="VCA",$Q45="LINEAR"),($H45/1000)+0.3,IF(AND($H45&lt;&gt;"",$I45="PEAD",$N45="MND",$Q45="EMBOQUE"),0,IF(AND($H45&lt;&gt;"",$I45="PVC",$N45="VCA",$Q45="LINEAR"),($H45/1000)+0.2,IF(AND($H45&lt;&gt;"",$I45="PVC",$N45="MND",$Q45="EMBOQUE"),0,IF(AND($H45&lt;&gt;"",$I45="PEAD",$N45="VCA",$Q45="PREDIAL"),0,0)))))),0)</f>
        <v>0.363</v>
      </c>
      <c r="AK45" s="153" t="n">
        <f aca="false">IF(AA45&lt;&gt;"",AA45,0)</f>
        <v>2</v>
      </c>
      <c r="AL45" s="153" t="n">
        <f aca="false">IF(AND($N45="MND",$Q45="EMBOQUE"),$M45,IF(AND($N45="VCA",$Q45="LINEAR"),$M45,IF(AND($N45="VCA",$Q45="PREDIAL"),0,0)))</f>
        <v>186.59</v>
      </c>
      <c r="AM45" s="153" t="n">
        <f aca="false">IF(AND($N45="MND",$Q45="EMBOQUE"),$M45,IF(AND($N45="VCA",$Q45="LINEAR"),$M45,IF(AND($N45="VCA",$Q45="PREDIAL"),0,0)))</f>
        <v>186.59</v>
      </c>
      <c r="AN45" s="153" t="n">
        <f aca="false">ROUND(IF(AND($N45="VCA",$M45&lt;&gt;"",$Q45="LINEAR"),$M45/100,IF(AND($N45="MND",$M45&gt;100,$Q45="EMBOQUE"),$M45/100,0)),0)</f>
        <v>2</v>
      </c>
      <c r="AO45" s="153" t="n">
        <f aca="false">IF(AND($N45="MND",$Q45="EMBOQUE"),$AN45*2*2,IF(AND($N45="VCA",$Q45="LINEAR"),$M45*2,IF(AND($N45="VCA",$Q45="PREDIAL"),0,0)))</f>
        <v>373.18</v>
      </c>
      <c r="AP45" s="153" t="n">
        <f aca="false">IFERROR($M45*$AF45*$AG45,0)</f>
        <v>165.3094105</v>
      </c>
      <c r="AQ45" s="153" t="n">
        <f aca="false">IFERROR(IF(AND($N45="VCA",$AH45&gt;0),$M45*$AG45*$AH45,0),0)</f>
        <v>12.12835</v>
      </c>
      <c r="AR45" s="153" t="n">
        <f aca="false">IFERROR(IF(AND($N45="VCA",$AJ45&gt;0),($M45*$AG45*$AJ45)-$AI45,0),0)</f>
        <v>43.4442636975092</v>
      </c>
      <c r="AS45" s="153" t="n">
        <f aca="false">IFERROR(IF(AND($N45="VCA",$AP45&gt;0),$AP45-$AI45-$AQ45-$AR45,0),0)</f>
        <v>109.15515</v>
      </c>
      <c r="AT45" s="153" t="n">
        <f aca="false">IFERROR(IF($N45="VCA",INDEX(APOIO_REDES!$A:$W,MATCH($C45&amp;$I45&amp;$H45&amp;$N45&amp;$O45,APOIO_REDES!$W:$W,0),MATCH(AT$5,APOIO_REDES!$5:$5,0)),0)*$AP45,0)</f>
        <v>1.79861531532793</v>
      </c>
      <c r="AU45" s="153" t="n">
        <f aca="false">IFERROR(IF($N45="VCA",INDEX(APOIO_REDES!$A:$W,MATCH($C45&amp;$I45&amp;$H45&amp;$N45&amp;$O45,APOIO_REDES!$W:$W,0),MATCH(AU$5,APOIO_REDES!$5:$5,0)),0)*$AP45,0)</f>
        <v>1.43632547814038</v>
      </c>
      <c r="AV45" s="153" t="n">
        <f aca="false">IFERROR(IF($N45="VCA",INDEX(APOIO_REDES!$A:$W,MATCH($C45&amp;$I45&amp;$H45&amp;$N45&amp;$O45,APOIO_REDES!$W:$W,0),MATCH(AV$5,APOIO_REDES!$5:$5,0)),0)*$AP45,0)</f>
        <v>0.19877617057753</v>
      </c>
      <c r="AW45" s="153" t="n">
        <f aca="false">IFERROR(IF($N45="VCA",INDEX(APOIO_REDES!$A:$W,MATCH($C45&amp;$I45&amp;$H45&amp;$N45&amp;$O45,APOIO_REDES!$W:$W,0),MATCH(AW$5,APOIO_REDES!$5:$5,0)),0)*$AP45,0)</f>
        <v>113.469660247016</v>
      </c>
      <c r="AX45" s="153" t="n">
        <f aca="false">IFERROR(IF($N45="VCA",INDEX(APOIO_REDES!$A:$W,MATCH($C45&amp;$I45&amp;$H45&amp;$N45&amp;$O45,APOIO_REDES!$W:$W,0),MATCH(AX$5,APOIO_REDES!$5:$5,0)),0)*$AP45,0)</f>
        <v>15.7038777537416</v>
      </c>
      <c r="AY45" s="153" t="n">
        <f aca="false">IFERROR(IF($N45="VCA",INDEX(APOIO_REDES!$A:$W,MATCH($C45&amp;$I45&amp;$H45&amp;$N45&amp;$O45,APOIO_REDES!$W:$W,0),MATCH(AY$5,APOIO_REDES!$5:$5,0)),0)*$AP45,0)</f>
        <v>28.7264920541164</v>
      </c>
      <c r="AZ45" s="153" t="n">
        <f aca="false">IFERROR(IF($N45="VCA",INDEX(APOIO_REDES!$A:$W,MATCH($C45&amp;$I45&amp;$H45&amp;$N45&amp;$O45,APOIO_REDES!$W:$W,0),MATCH(AZ$5,APOIO_REDES!$5:$5,0)),0)*$AP45,0)</f>
        <v>3.97566348107977</v>
      </c>
      <c r="BA45" s="153" t="n">
        <f aca="false">IFERROR(IF(AND($N45="VCA",$Q45="LINEAR"),INDEX(APOIO_REDES!$A:$W,MATCH($C45&amp;$I45&amp;$H45&amp;$N45&amp;$O45,APOIO_REDES!$W:$W,0),MATCH(BA$5,APOIO_REDES!$5:$5,0)),IF(AND($N45="MND",$Q45="EMBOQUE"),INDEX(APOIO_REDES!$A:$W,MATCH($C45&amp;$I45&amp;$H45&amp;$N45&amp;$O45,APOIO_REDES!$W:$W,0),MATCH(BA$5,APOIO_REDES!$5:$5,0)),0))*$M45/10,0)</f>
        <v>15.0386833416112</v>
      </c>
      <c r="BB45" s="153" t="n">
        <f aca="false">IFERROR(IF($N45="VCA",INDEX(APOIO_REDES!$A:$W,MATCH($C45&amp;$I45&amp;$H45&amp;$N45&amp;$O45,APOIO_REDES!$W:$W,0),MATCH(BB$5,APOIO_REDES!$5:$5,0)),0)*($AI45+$AQ45+$AR45),0)</f>
        <v>55.5432855249473</v>
      </c>
      <c r="BC45" s="153" t="n">
        <f aca="false">IFERROR(IF($N45="VCA",INDEX(APOIO_REDES!$A:$W,MATCH($C45&amp;$I45&amp;$H45&amp;$N45&amp;$O45,APOIO_REDES!$W:$W,0),MATCH(BC$5,APOIO_REDES!$5:$5,0)),0)*($AI45+$AQ45+$AR45),0)</f>
        <v>0.610974975052701</v>
      </c>
      <c r="BD45" s="153" t="n">
        <f aca="false">IF(AND($N45="VCA",$AF45&gt;=1.25,$AF45&lt;1.5),$M45*$AF45*2,0)</f>
        <v>508.64434</v>
      </c>
      <c r="BE45" s="153" t="n">
        <f aca="false">IF(AND($N45="VCA",$AF45&gt;=1.5,$AF45&lt;3),$M45*$AF45*2,0)</f>
        <v>0</v>
      </c>
      <c r="BF45" s="153" t="n">
        <f aca="false">IF(AND($N45="VCA",$AF45&gt;=3),$M45*$AF45*2,0)</f>
        <v>0</v>
      </c>
      <c r="BG45" s="153" t="n">
        <f aca="false">($BB45+$BC45)*$AK45</f>
        <v>112.308521</v>
      </c>
      <c r="BH45" s="153" t="n">
        <f aca="false">IF(AND($M45&lt;&gt;"",$N45="VCA",$Q45="LINEAR"),($M45*2)/100,IF(AND($M45&lt;&gt;"",$N45="MND",$Q45="EMBOQUE"),($AN45*2)/100,0))</f>
        <v>3.7318</v>
      </c>
      <c r="BI45" s="153" t="n">
        <f aca="false">IF(AND($M45&lt;&gt;"",$N45="VCA",$Q45="LINEAR"),$M45,IF(AND($M45&lt;&gt;"",$N45="MND",$Q45="EMBOQUE"),$AN45*2,0))</f>
        <v>186.59</v>
      </c>
      <c r="BJ45" s="153" t="n">
        <f aca="false">IF(AND($M45&lt;&gt;"",$N45="VCA",$Q45="LINEAR"),($M45*6.8)/100,IF(AND($M45&lt;&gt;"",$N45="MND",$Q45="EMBOQUE"),($AN45*2*6.8)/100,0))</f>
        <v>12.68812</v>
      </c>
      <c r="BK45" s="153" t="n">
        <f aca="false">IF(AND($M45&lt;&gt;"",$N45="VCA",$Q45="LINEAR"),($M45*2.5)/50,IF(AND($M45&lt;&gt;"",$N45="MND",$Q45="EMBOQUE"),($AN45*2*2.5)/50,0))</f>
        <v>9.3295</v>
      </c>
      <c r="BL45" s="157" t="str">
        <f aca="false">K45&amp;J45</f>
        <v>Zona01REDES</v>
      </c>
      <c r="BM45" s="152" t="s">
        <v>1559</v>
      </c>
      <c r="BN45" s="152" t="s">
        <v>1560</v>
      </c>
      <c r="BO45" s="152" t="s">
        <v>1561</v>
      </c>
      <c r="BP45" s="152" t="s">
        <v>1698</v>
      </c>
      <c r="BQ45" s="152" t="s">
        <v>1615</v>
      </c>
      <c r="BR45" s="152" t="s">
        <v>1699</v>
      </c>
      <c r="BS45" s="152" t="n">
        <v>203416.757</v>
      </c>
      <c r="BT45" s="152" t="n">
        <v>8238892.338</v>
      </c>
      <c r="BU45" s="152" t="n">
        <v>203528.556</v>
      </c>
      <c r="BV45" s="152" t="n">
        <v>8239041.705</v>
      </c>
      <c r="BW45" s="152" t="n">
        <v>-15.9107922</v>
      </c>
      <c r="BX45" s="152" t="n">
        <v>-47.7693481</v>
      </c>
      <c r="BY45" s="152" t="s">
        <v>1698</v>
      </c>
    </row>
    <row r="46" customFormat="false" ht="13.8" hidden="false" customHeight="false" outlineLevel="0" collapsed="false">
      <c r="A46" s="149" t="n">
        <f aca="false">IF(C46&lt;&gt;"",ROW(A41),"")</f>
        <v>41</v>
      </c>
      <c r="B46" s="150" t="str">
        <f aca="false">HYPERLINK("https://www.google.com/maps/dir/-15.917302,-47.760003/-15.9114826,-47.7680115/data=!4m3!4m2!3e0!5i0")</f>
        <v>https://www.google.com/maps/dir/-15.917302,-47.760003/-15.9114826,-47.7680115/data=!4m3!4m2!3e0!5i0</v>
      </c>
      <c r="C46" s="151" t="s">
        <v>117</v>
      </c>
      <c r="D46" s="152" t="s">
        <v>112</v>
      </c>
      <c r="E46" s="152" t="s">
        <v>113</v>
      </c>
      <c r="F46" s="152" t="s">
        <v>117</v>
      </c>
      <c r="G46" s="152" t="s">
        <v>782</v>
      </c>
      <c r="H46" s="152" t="n">
        <v>63</v>
      </c>
      <c r="I46" s="152" t="s">
        <v>115</v>
      </c>
      <c r="J46" s="152" t="s">
        <v>6</v>
      </c>
      <c r="K46" s="152" t="s">
        <v>1547</v>
      </c>
      <c r="L46" s="152" t="s">
        <v>120</v>
      </c>
      <c r="M46" s="153" t="n">
        <f aca="false">128.85+8.4</f>
        <v>137.25</v>
      </c>
      <c r="N46" s="152" t="s">
        <v>1548</v>
      </c>
      <c r="O46" s="152" t="s">
        <v>1549</v>
      </c>
      <c r="P46" s="152" t="s">
        <v>1550</v>
      </c>
      <c r="Q46" s="152" t="s">
        <v>1551</v>
      </c>
      <c r="R46" s="154" t="s">
        <v>1700</v>
      </c>
      <c r="S46" s="154" t="s">
        <v>1553</v>
      </c>
      <c r="T46" s="155" t="s">
        <v>1554</v>
      </c>
      <c r="U46" s="152" t="str">
        <f aca="false">RIGHT(T46,7)</f>
        <v>002/037</v>
      </c>
      <c r="V46" s="152" t="s">
        <v>1555</v>
      </c>
      <c r="W46" s="156" t="n">
        <v>45882</v>
      </c>
      <c r="X46" s="152" t="s">
        <v>1556</v>
      </c>
      <c r="Y46" s="152"/>
      <c r="Z46" s="152" t="s">
        <v>1557</v>
      </c>
      <c r="AA46" s="153" t="n">
        <v>1.7</v>
      </c>
      <c r="AB46" s="151" t="s">
        <v>1701</v>
      </c>
      <c r="AC46" s="151" t="s">
        <v>186</v>
      </c>
      <c r="AD46" s="151" t="str">
        <f aca="false">CONCATENATE($C46,$I46,$H46,$N46,$J46,$K46)</f>
        <v>TUBO PEADPEAD63VCAREDESZona01</v>
      </c>
      <c r="AE46" s="153" t="n">
        <f aca="false">IFERROR(INDEX(APOIO_REDES!$A:$W,MATCH($C46&amp;$I46&amp;$H46&amp;$N46&amp;$O46,APOIO_REDES!$W:$W,0),MATCH(AE$5,APOIO_REDES!$5:$5,0)),0)</f>
        <v>1.2</v>
      </c>
      <c r="AF46" s="153" t="n">
        <f aca="false">IFERROR(INDEX(APOIO_REDES!$A:$W,MATCH($C46&amp;$I46&amp;$H46&amp;$N46&amp;$O46,APOIO_REDES!$W:$W,0),MATCH(AF$5,APOIO_REDES!$5:$5,0)),0)</f>
        <v>1.363</v>
      </c>
      <c r="AG46" s="153" t="n">
        <f aca="false">IFERROR(INDEX(APOIO_REDES!$A:$W,MATCH($C46&amp;$I46&amp;$H46&amp;$N46&amp;$O46,APOIO_REDES!$W:$W,0),MATCH(AG$5,APOIO_REDES!$5:$5,0)),0)</f>
        <v>0.65</v>
      </c>
      <c r="AH46" s="153" t="n">
        <f aca="false">IFERROR(INDEX(APOIO_REDES!$A:$W,MATCH($C46&amp;$I46&amp;$H46&amp;$N46&amp;$O46,APOIO_REDES!$W:$W,0),MATCH(AH$5,APOIO_REDES!$5:$5,0)),0)</f>
        <v>0.1</v>
      </c>
      <c r="AI46" s="153" t="n">
        <f aca="false">IFERROR(IF($H46&lt;&gt;"",(((($H46/1000)/2)^2)*PI()*$M46),0),0)</f>
        <v>0.427841918869484</v>
      </c>
      <c r="AJ46" s="153" t="n">
        <f aca="false">IFERROR(IF(AND($H46&lt;&gt;"",$I46="FoFo",OR($N46="MND",$N46="VCA"),$Q46="LINEAR"),0,IF(AND($H46&lt;&gt;"",$I46="PEAD",$N46="VCA",$Q46="LINEAR"),($H46/1000)+0.3,IF(AND($H46&lt;&gt;"",$I46="PEAD",$N46="MND",$Q46="EMBOQUE"),0,IF(AND($H46&lt;&gt;"",$I46="PVC",$N46="VCA",$Q46="LINEAR"),($H46/1000)+0.2,IF(AND($H46&lt;&gt;"",$I46="PVC",$N46="MND",$Q46="EMBOQUE"),0,IF(AND($H46&lt;&gt;"",$I46="PEAD",$N46="VCA",$Q46="PREDIAL"),0,0)))))),0)</f>
        <v>0.363</v>
      </c>
      <c r="AK46" s="153" t="n">
        <f aca="false">IF(AA46&lt;&gt;"",AA46,0)</f>
        <v>1.7</v>
      </c>
      <c r="AL46" s="153" t="n">
        <f aca="false">IF(AND($N46="MND",$Q46="EMBOQUE"),$M46,IF(AND($N46="VCA",$Q46="LINEAR"),$M46,IF(AND($N46="VCA",$Q46="PREDIAL"),0,0)))</f>
        <v>137.25</v>
      </c>
      <c r="AM46" s="153" t="n">
        <f aca="false">IF(AND($N46="MND",$Q46="EMBOQUE"),$M46,IF(AND($N46="VCA",$Q46="LINEAR"),$M46,IF(AND($N46="VCA",$Q46="PREDIAL"),0,0)))</f>
        <v>137.25</v>
      </c>
      <c r="AN46" s="153" t="n">
        <f aca="false">ROUND(IF(AND($N46="VCA",$M46&lt;&gt;"",$Q46="LINEAR"),$M46/100,IF(AND($N46="MND",$M46&gt;100,$Q46="EMBOQUE"),$M46/100,0)),0)</f>
        <v>1</v>
      </c>
      <c r="AO46" s="153" t="n">
        <f aca="false">IF(AND($N46="MND",$Q46="EMBOQUE"),$AN46*2*2,IF(AND($N46="VCA",$Q46="LINEAR"),$M46*2,IF(AND($N46="VCA",$Q46="PREDIAL"),0,0)))</f>
        <v>274.5</v>
      </c>
      <c r="AP46" s="153" t="n">
        <f aca="false">IFERROR($M46*$AF46*$AG46,0)</f>
        <v>121.5966375</v>
      </c>
      <c r="AQ46" s="153" t="n">
        <f aca="false">IFERROR(IF(AND($N46="VCA",$AH46&gt;0),$M46*$AG46*$AH46,0),0)</f>
        <v>8.92125</v>
      </c>
      <c r="AR46" s="153" t="n">
        <f aca="false">IFERROR(IF(AND($N46="VCA",$AJ46&gt;0),($M46*$AG46*$AJ46)-$AI46,0),0)</f>
        <v>31.9562955811305</v>
      </c>
      <c r="AS46" s="153" t="n">
        <f aca="false">IFERROR(IF(AND($N46="VCA",$AP46&gt;0),$AP46-$AI46-$AQ46-$AR46,0),0)</f>
        <v>80.29125</v>
      </c>
      <c r="AT46" s="153" t="n">
        <f aca="false">IFERROR(IF($N46="VCA",INDEX(APOIO_REDES!$A:$W,MATCH($C46&amp;$I46&amp;$H46&amp;$N46&amp;$O46,APOIO_REDES!$W:$W,0),MATCH(AT$5,APOIO_REDES!$5:$5,0)),0)*$AP46,0)</f>
        <v>1.32300740676756</v>
      </c>
      <c r="AU46" s="153" t="n">
        <f aca="false">IFERROR(IF($N46="VCA",INDEX(APOIO_REDES!$A:$W,MATCH($C46&amp;$I46&amp;$H46&amp;$N46&amp;$O46,APOIO_REDES!$W:$W,0),MATCH(AU$5,APOIO_REDES!$5:$5,0)),0)*$AP46,0)</f>
        <v>1.05651788345982</v>
      </c>
      <c r="AV46" s="153" t="n">
        <f aca="false">IFERROR(IF($N46="VCA",INDEX(APOIO_REDES!$A:$W,MATCH($C46&amp;$I46&amp;$H46&amp;$N46&amp;$O46,APOIO_REDES!$W:$W,0),MATCH(AV$5,APOIO_REDES!$5:$5,0)),0)*$AP46,0)</f>
        <v>0.146213781080262</v>
      </c>
      <c r="AW46" s="153" t="n">
        <f aca="false">IFERROR(IF($N46="VCA",INDEX(APOIO_REDES!$A:$W,MATCH($C46&amp;$I46&amp;$H46&amp;$N46&amp;$O46,APOIO_REDES!$W:$W,0),MATCH(AW$5,APOIO_REDES!$5:$5,0)),0)*$AP46,0)</f>
        <v>83.4648741567233</v>
      </c>
      <c r="AX46" s="153" t="n">
        <f aca="false">IFERROR(IF($N46="VCA",INDEX(APOIO_REDES!$A:$W,MATCH($C46&amp;$I46&amp;$H46&amp;$N46&amp;$O46,APOIO_REDES!$W:$W,0),MATCH(AX$5,APOIO_REDES!$5:$5,0)),0)*$AP46,0)</f>
        <v>11.551300829096</v>
      </c>
      <c r="AY46" s="153" t="n">
        <f aca="false">IFERROR(IF($N46="VCA",INDEX(APOIO_REDES!$A:$W,MATCH($C46&amp;$I46&amp;$H46&amp;$N46&amp;$O46,APOIO_REDES!$W:$W,0),MATCH(AY$5,APOIO_REDES!$5:$5,0)),0)*$AP46,0)</f>
        <v>21.1303447903289</v>
      </c>
      <c r="AZ46" s="153" t="n">
        <f aca="false">IFERROR(IF($N46="VCA",INDEX(APOIO_REDES!$A:$W,MATCH($C46&amp;$I46&amp;$H46&amp;$N46&amp;$O46,APOIO_REDES!$W:$W,0),MATCH(AZ$5,APOIO_REDES!$5:$5,0)),0)*$AP46,0)</f>
        <v>2.92437865254408</v>
      </c>
      <c r="BA46" s="153" t="n">
        <f aca="false">IFERROR(IF(AND($N46="VCA",$Q46="LINEAR"),INDEX(APOIO_REDES!$A:$W,MATCH($C46&amp;$I46&amp;$H46&amp;$N46&amp;$O46,APOIO_REDES!$W:$W,0),MATCH(BA$5,APOIO_REDES!$5:$5,0)),IF(AND($N46="MND",$Q46="EMBOQUE"),INDEX(APOIO_REDES!$A:$W,MATCH($C46&amp;$I46&amp;$H46&amp;$N46&amp;$O46,APOIO_REDES!$W:$W,0),MATCH(BA$5,APOIO_REDES!$5:$5,0)),0))*$M46/10,0)</f>
        <v>11.0620037978248</v>
      </c>
      <c r="BB46" s="153" t="n">
        <f aca="false">IFERROR(IF($N46="VCA",INDEX(APOIO_REDES!$A:$W,MATCH($C46&amp;$I46&amp;$H46&amp;$N46&amp;$O46,APOIO_REDES!$W:$W,0),MATCH(BB$5,APOIO_REDES!$5:$5,0)),0)*($AI46+$AQ46+$AR46),0)</f>
        <v>40.8559726582294</v>
      </c>
      <c r="BC46" s="153" t="n">
        <f aca="false">IFERROR(IF($N46="VCA",INDEX(APOIO_REDES!$A:$W,MATCH($C46&amp;$I46&amp;$H46&amp;$N46&amp;$O46,APOIO_REDES!$W:$W,0),MATCH(BC$5,APOIO_REDES!$5:$5,0)),0)*($AI46+$AQ46+$AR46),0)</f>
        <v>0.449414841770637</v>
      </c>
      <c r="BD46" s="153" t="n">
        <f aca="false">IF(AND($N46="VCA",$AF46&gt;=1.25,$AF46&lt;1.5),$M46*$AF46*2,0)</f>
        <v>374.1435</v>
      </c>
      <c r="BE46" s="153" t="n">
        <f aca="false">IF(AND($N46="VCA",$AF46&gt;=1.5,$AF46&lt;3),$M46*$AF46*2,0)</f>
        <v>0</v>
      </c>
      <c r="BF46" s="153" t="n">
        <f aca="false">IF(AND($N46="VCA",$AF46&gt;=3),$M46*$AF46*2,0)</f>
        <v>0</v>
      </c>
      <c r="BG46" s="153" t="n">
        <f aca="false">($BB46+$BC46)*$AK46</f>
        <v>70.21915875</v>
      </c>
      <c r="BH46" s="153" t="n">
        <f aca="false">IF(AND($M46&lt;&gt;"",$N46="VCA",$Q46="LINEAR"),($M46*2)/100,IF(AND($M46&lt;&gt;"",$N46="MND",$Q46="EMBOQUE"),($AN46*2)/100,0))</f>
        <v>2.745</v>
      </c>
      <c r="BI46" s="153" t="n">
        <f aca="false">IF(AND($M46&lt;&gt;"",$N46="VCA",$Q46="LINEAR"),$M46,IF(AND($M46&lt;&gt;"",$N46="MND",$Q46="EMBOQUE"),$AN46*2,0))</f>
        <v>137.25</v>
      </c>
      <c r="BJ46" s="153" t="n">
        <f aca="false">IF(AND($M46&lt;&gt;"",$N46="VCA",$Q46="LINEAR"),($M46*6.8)/100,IF(AND($M46&lt;&gt;"",$N46="MND",$Q46="EMBOQUE"),($AN46*2*6.8)/100,0))</f>
        <v>9.333</v>
      </c>
      <c r="BK46" s="153" t="n">
        <f aca="false">IF(AND($M46&lt;&gt;"",$N46="VCA",$Q46="LINEAR"),($M46*2.5)/50,IF(AND($M46&lt;&gt;"",$N46="MND",$Q46="EMBOQUE"),($AN46*2*2.5)/50,0))</f>
        <v>6.8625</v>
      </c>
      <c r="BL46" s="157" t="str">
        <f aca="false">K46&amp;J46</f>
        <v>Zona01REDES</v>
      </c>
      <c r="BM46" s="152" t="s">
        <v>1559</v>
      </c>
      <c r="BN46" s="152" t="s">
        <v>1560</v>
      </c>
      <c r="BO46" s="152" t="s">
        <v>1561</v>
      </c>
      <c r="BP46" s="152" t="s">
        <v>1702</v>
      </c>
      <c r="BQ46" s="152" t="s">
        <v>1703</v>
      </c>
      <c r="BR46" s="152" t="s">
        <v>1704</v>
      </c>
      <c r="BS46" s="152" t="n">
        <v>203617.437</v>
      </c>
      <c r="BT46" s="152" t="n">
        <v>8238892.058</v>
      </c>
      <c r="BU46" s="152" t="n">
        <v>203514.127</v>
      </c>
      <c r="BV46" s="152" t="n">
        <v>8238969.024</v>
      </c>
      <c r="BW46" s="152" t="n">
        <v>-15.9111288</v>
      </c>
      <c r="BX46" s="152" t="n">
        <v>-47.7684886</v>
      </c>
      <c r="BY46" s="152" t="s">
        <v>1702</v>
      </c>
    </row>
    <row r="47" customFormat="false" ht="13.8" hidden="false" customHeight="false" outlineLevel="0" collapsed="false">
      <c r="A47" s="149" t="n">
        <f aca="false">IF(C47&lt;&gt;"",ROW(A42),"")</f>
        <v>42</v>
      </c>
      <c r="B47" s="150" t="str">
        <f aca="false">HYPERLINK("https://www.google.com/maps/dir/-15.917302,-47.760003/-15.9114826,-47.7680115/data=!4m3!4m2!3e0!5i0")</f>
        <v>https://www.google.com/maps/dir/-15.917302,-47.760003/-15.9114826,-47.7680115/data=!4m3!4m2!3e0!5i0</v>
      </c>
      <c r="C47" s="151" t="s">
        <v>117</v>
      </c>
      <c r="D47" s="152" t="s">
        <v>112</v>
      </c>
      <c r="E47" s="152" t="s">
        <v>113</v>
      </c>
      <c r="F47" s="152" t="s">
        <v>117</v>
      </c>
      <c r="G47" s="152" t="s">
        <v>114</v>
      </c>
      <c r="H47" s="152" t="n">
        <v>160</v>
      </c>
      <c r="I47" s="152" t="s">
        <v>115</v>
      </c>
      <c r="J47" s="152" t="s">
        <v>6</v>
      </c>
      <c r="K47" s="152" t="s">
        <v>1547</v>
      </c>
      <c r="L47" s="152" t="s">
        <v>120</v>
      </c>
      <c r="M47" s="153" t="n">
        <f aca="false">45.72</f>
        <v>45.72</v>
      </c>
      <c r="N47" s="152" t="s">
        <v>1548</v>
      </c>
      <c r="O47" s="152" t="s">
        <v>1549</v>
      </c>
      <c r="P47" s="152" t="s">
        <v>1550</v>
      </c>
      <c r="Q47" s="152" t="s">
        <v>1551</v>
      </c>
      <c r="R47" s="154" t="s">
        <v>1705</v>
      </c>
      <c r="S47" s="154" t="s">
        <v>1593</v>
      </c>
      <c r="T47" s="155" t="s">
        <v>1554</v>
      </c>
      <c r="U47" s="152" t="str">
        <f aca="false">RIGHT(T47,7)</f>
        <v>002/037</v>
      </c>
      <c r="V47" s="152" t="s">
        <v>1555</v>
      </c>
      <c r="W47" s="156" t="n">
        <v>45882</v>
      </c>
      <c r="X47" s="152" t="s">
        <v>1556</v>
      </c>
      <c r="Y47" s="152"/>
      <c r="Z47" s="152" t="s">
        <v>1557</v>
      </c>
      <c r="AA47" s="153" t="n">
        <v>1.7</v>
      </c>
      <c r="AB47" s="151" t="s">
        <v>1706</v>
      </c>
      <c r="AC47" s="151" t="s">
        <v>505</v>
      </c>
      <c r="AD47" s="151" t="str">
        <f aca="false">CONCATENATE($C47,$I47,$H47,$N47,$J47,$K47)</f>
        <v>TUBO PEADPEAD160VCAREDESZona01</v>
      </c>
      <c r="AE47" s="153" t="n">
        <f aca="false">IFERROR(INDEX(APOIO_REDES!$A:$W,MATCH($C47&amp;$I47&amp;$H47&amp;$N47&amp;$O47,APOIO_REDES!$W:$W,0),MATCH(AE$5,APOIO_REDES!$5:$5,0)),0)</f>
        <v>1.2</v>
      </c>
      <c r="AF47" s="153" t="n">
        <f aca="false">IFERROR(INDEX(APOIO_REDES!$A:$W,MATCH($C47&amp;$I47&amp;$H47&amp;$N47&amp;$O47,APOIO_REDES!$W:$W,0),MATCH(AF$5,APOIO_REDES!$5:$5,0)),0)</f>
        <v>1.46</v>
      </c>
      <c r="AG47" s="153" t="n">
        <f aca="false">IFERROR(INDEX(APOIO_REDES!$A:$W,MATCH($C47&amp;$I47&amp;$H47&amp;$N47&amp;$O47,APOIO_REDES!$W:$W,0),MATCH(AG$5,APOIO_REDES!$5:$5,0)),0)</f>
        <v>0.75</v>
      </c>
      <c r="AH47" s="153" t="n">
        <f aca="false">IFERROR(INDEX(APOIO_REDES!$A:$W,MATCH($C47&amp;$I47&amp;$H47&amp;$N47&amp;$O47,APOIO_REDES!$W:$W,0),MATCH(AH$5,APOIO_REDES!$5:$5,0)),0)</f>
        <v>0.1</v>
      </c>
      <c r="AI47" s="153" t="n">
        <f aca="false">IFERROR(IF($H47&lt;&gt;"",(((($H47/1000)/2)^2)*PI()*$M47),0),0)</f>
        <v>0.919255143181602</v>
      </c>
      <c r="AJ47" s="153" t="n">
        <f aca="false">IFERROR(IF(AND($H47&lt;&gt;"",$I47="FoFo",OR($N47="MND",$N47="VCA"),$Q47="LINEAR"),0,IF(AND($H47&lt;&gt;"",$I47="PEAD",$N47="VCA",$Q47="LINEAR"),($H47/1000)+0.3,IF(AND($H47&lt;&gt;"",$I47="PEAD",$N47="MND",$Q47="EMBOQUE"),0,IF(AND($H47&lt;&gt;"",$I47="PVC",$N47="VCA",$Q47="LINEAR"),($H47/1000)+0.2,IF(AND($H47&lt;&gt;"",$I47="PVC",$N47="MND",$Q47="EMBOQUE"),0,IF(AND($H47&lt;&gt;"",$I47="PEAD",$N47="VCA",$Q47="PREDIAL"),0,0)))))),0)</f>
        <v>0.46</v>
      </c>
      <c r="AK47" s="153" t="n">
        <f aca="false">IF(AA47&lt;&gt;"",AA47,0)</f>
        <v>1.7</v>
      </c>
      <c r="AL47" s="153" t="n">
        <f aca="false">IF(AND($N47="MND",$Q47="EMBOQUE"),$M47,IF(AND($N47="VCA",$Q47="LINEAR"),$M47,IF(AND($N47="VCA",$Q47="PREDIAL"),0,0)))</f>
        <v>45.72</v>
      </c>
      <c r="AM47" s="153" t="n">
        <f aca="false">IF(AND($N47="MND",$Q47="EMBOQUE"),$M47,IF(AND($N47="VCA",$Q47="LINEAR"),$M47,IF(AND($N47="VCA",$Q47="PREDIAL"),0,0)))</f>
        <v>45.72</v>
      </c>
      <c r="AN47" s="153" t="n">
        <f aca="false">ROUND(IF(AND($N47="VCA",$M47&lt;&gt;"",$Q47="LINEAR"),$M47/100,IF(AND($N47="MND",$M47&gt;100,$Q47="EMBOQUE"),$M47/100,0)),0)</f>
        <v>0</v>
      </c>
      <c r="AO47" s="153" t="n">
        <f aca="false">IF(AND($N47="MND",$Q47="EMBOQUE"),$AN47*2*2,IF(AND($N47="VCA",$Q47="LINEAR"),$M47*2,IF(AND($N47="VCA",$Q47="PREDIAL"),0,0)))</f>
        <v>91.44</v>
      </c>
      <c r="AP47" s="153" t="n">
        <f aca="false">IFERROR($M47*$AF47*$AG47,0)</f>
        <v>50.0634</v>
      </c>
      <c r="AQ47" s="153" t="n">
        <f aca="false">IFERROR(IF(AND($N47="VCA",$AH47&gt;0),$M47*$AG47*$AH47,0),0)</f>
        <v>3.429</v>
      </c>
      <c r="AR47" s="153" t="n">
        <f aca="false">IFERROR(IF(AND($N47="VCA",$AJ47&gt;0),($M47*$AG47*$AJ47)-$AI47,0),0)</f>
        <v>14.8541448568184</v>
      </c>
      <c r="AS47" s="153" t="n">
        <f aca="false">IFERROR(IF(AND($N47="VCA",$AP47&gt;0),$AP47-$AI47-$AQ47-$AR47,0),0)</f>
        <v>30.861</v>
      </c>
      <c r="AT47" s="153" t="n">
        <f aca="false">IFERROR(IF($N47="VCA",INDEX(APOIO_REDES!$A:$W,MATCH($C47&amp;$I47&amp;$H47&amp;$N47&amp;$O47,APOIO_REDES!$W:$W,0),MATCH(AT$5,APOIO_REDES!$5:$5,0)),0)*$AP47,0)</f>
        <v>0.544704610010016</v>
      </c>
      <c r="AU47" s="153" t="n">
        <f aca="false">IFERROR(IF($N47="VCA",INDEX(APOIO_REDES!$A:$W,MATCH($C47&amp;$I47&amp;$H47&amp;$N47&amp;$O47,APOIO_REDES!$W:$W,0),MATCH(AU$5,APOIO_REDES!$5:$5,0)),0)*$AP47,0)</f>
        <v>0.434986349082244</v>
      </c>
      <c r="AV47" s="153" t="n">
        <f aca="false">IFERROR(IF($N47="VCA",INDEX(APOIO_REDES!$A:$W,MATCH($C47&amp;$I47&amp;$H47&amp;$N47&amp;$O47,APOIO_REDES!$W:$W,0),MATCH(AV$5,APOIO_REDES!$5:$5,0)),0)*$AP47,0)</f>
        <v>0.0601986959362555</v>
      </c>
      <c r="AW47" s="153" t="n">
        <f aca="false">IFERROR(IF($N47="VCA",INDEX(APOIO_REDES!$A:$W,MATCH($C47&amp;$I47&amp;$H47&amp;$N47&amp;$O47,APOIO_REDES!$W:$W,0),MATCH(AW$5,APOIO_REDES!$5:$5,0)),0)*$AP47,0)</f>
        <v>34.3639056701523</v>
      </c>
      <c r="AX47" s="153" t="n">
        <f aca="false">IFERROR(IF($N47="VCA",INDEX(APOIO_REDES!$A:$W,MATCH($C47&amp;$I47&amp;$H47&amp;$N47&amp;$O47,APOIO_REDES!$W:$W,0),MATCH(AX$5,APOIO_REDES!$5:$5,0)),0)*$AP47,0)</f>
        <v>4.75586665731087</v>
      </c>
      <c r="AY47" s="153" t="n">
        <f aca="false">IFERROR(IF($N47="VCA",INDEX(APOIO_REDES!$A:$W,MATCH($C47&amp;$I47&amp;$H47&amp;$N47&amp;$O47,APOIO_REDES!$W:$W,0),MATCH(AY$5,APOIO_REDES!$5:$5,0)),0)*$AP47,0)</f>
        <v>8.69972167919655</v>
      </c>
      <c r="AZ47" s="153" t="n">
        <f aca="false">IFERROR(IF($N47="VCA",INDEX(APOIO_REDES!$A:$W,MATCH($C47&amp;$I47&amp;$H47&amp;$N47&amp;$O47,APOIO_REDES!$W:$W,0),MATCH(AZ$5,APOIO_REDES!$5:$5,0)),0)*$AP47,0)</f>
        <v>1.20401633831178</v>
      </c>
      <c r="BA47" s="153" t="n">
        <f aca="false">IFERROR(IF(AND($N47="VCA",$Q47="LINEAR"),INDEX(APOIO_REDES!$A:$W,MATCH($C47&amp;$I47&amp;$H47&amp;$N47&amp;$O47,APOIO_REDES!$W:$W,0),MATCH(BA$5,APOIO_REDES!$5:$5,0)),IF(AND($N47="MND",$Q47="EMBOQUE"),INDEX(APOIO_REDES!$A:$W,MATCH($C47&amp;$I47&amp;$H47&amp;$N47&amp;$O47,APOIO_REDES!$W:$W,0),MATCH(BA$5,APOIO_REDES!$5:$5,0)),0))*$M47/10,0)</f>
        <v>3.68491667494755</v>
      </c>
      <c r="BB47" s="153" t="n">
        <f aca="false">IFERROR(IF($N47="VCA",INDEX(APOIO_REDES!$A:$W,MATCH($C47&amp;$I47&amp;$H47&amp;$N47&amp;$O47,APOIO_REDES!$W:$W,0),MATCH(BB$5,APOIO_REDES!$5:$5,0)),0)*($AI47+$AQ47+$AR47),0)</f>
        <v>18.9934722043797</v>
      </c>
      <c r="BC47" s="153" t="n">
        <f aca="false">IFERROR(IF($N47="VCA",INDEX(APOIO_REDES!$A:$W,MATCH($C47&amp;$I47&amp;$H47&amp;$N47&amp;$O47,APOIO_REDES!$W:$W,0),MATCH(BC$5,APOIO_REDES!$5:$5,0)),0)*($AI47+$AQ47+$AR47),0)</f>
        <v>0.20892779562028</v>
      </c>
      <c r="BD47" s="153" t="n">
        <f aca="false">IF(AND($N47="VCA",$AF47&gt;=1.25,$AF47&lt;1.5),$M47*$AF47*2,0)</f>
        <v>133.5024</v>
      </c>
      <c r="BE47" s="153" t="n">
        <f aca="false">IF(AND($N47="VCA",$AF47&gt;=1.5,$AF47&lt;3),$M47*$AF47*2,0)</f>
        <v>0</v>
      </c>
      <c r="BF47" s="153" t="n">
        <f aca="false">IF(AND($N47="VCA",$AF47&gt;=3),$M47*$AF47*2,0)</f>
        <v>0</v>
      </c>
      <c r="BG47" s="153" t="n">
        <f aca="false">($BB47+$BC47)*$AK47</f>
        <v>32.64408</v>
      </c>
      <c r="BH47" s="153" t="n">
        <f aca="false">IF(AND($M47&lt;&gt;"",$N47="VCA",$Q47="LINEAR"),($M47*2)/100,IF(AND($M47&lt;&gt;"",$N47="MND",$Q47="EMBOQUE"),($AN47*2)/100,0))</f>
        <v>0.9144</v>
      </c>
      <c r="BI47" s="153" t="n">
        <f aca="false">IF(AND($M47&lt;&gt;"",$N47="VCA",$Q47="LINEAR"),$M47,IF(AND($M47&lt;&gt;"",$N47="MND",$Q47="EMBOQUE"),$AN47*2,0))</f>
        <v>45.72</v>
      </c>
      <c r="BJ47" s="153" t="n">
        <f aca="false">IF(AND($M47&lt;&gt;"",$N47="VCA",$Q47="LINEAR"),($M47*6.8)/100,IF(AND($M47&lt;&gt;"",$N47="MND",$Q47="EMBOQUE"),($AN47*2*6.8)/100,0))</f>
        <v>3.10896</v>
      </c>
      <c r="BK47" s="153" t="n">
        <f aca="false">IF(AND($M47&lt;&gt;"",$N47="VCA",$Q47="LINEAR"),($M47*2.5)/50,IF(AND($M47&lt;&gt;"",$N47="MND",$Q47="EMBOQUE"),($AN47*2*2.5)/50,0))</f>
        <v>2.286</v>
      </c>
      <c r="BL47" s="157" t="str">
        <f aca="false">K47&amp;J47</f>
        <v>Zona01REDES</v>
      </c>
      <c r="BM47" s="152" t="s">
        <v>1559</v>
      </c>
      <c r="BN47" s="152" t="s">
        <v>1560</v>
      </c>
      <c r="BO47" s="152" t="s">
        <v>1561</v>
      </c>
      <c r="BP47" s="152" t="s">
        <v>1702</v>
      </c>
      <c r="BQ47" s="152" t="s">
        <v>1684</v>
      </c>
      <c r="BR47" s="152" t="s">
        <v>1707</v>
      </c>
      <c r="BS47" s="152" t="n">
        <v>203617.797</v>
      </c>
      <c r="BT47" s="152" t="n">
        <v>8238891.899</v>
      </c>
      <c r="BU47" s="152" t="n">
        <v>203636.265</v>
      </c>
      <c r="BV47" s="152" t="n">
        <v>8238933.727</v>
      </c>
      <c r="BW47" s="152" t="n">
        <v>-15.911296</v>
      </c>
      <c r="BX47" s="152" t="n">
        <v>-47.7679201</v>
      </c>
      <c r="BY47" s="152" t="s">
        <v>1702</v>
      </c>
    </row>
    <row r="48" customFormat="false" ht="13.8" hidden="false" customHeight="false" outlineLevel="0" collapsed="false">
      <c r="A48" s="149" t="n">
        <f aca="false">IF(C48&lt;&gt;"",ROW(A43),"")</f>
        <v>43</v>
      </c>
      <c r="B48" s="150" t="str">
        <f aca="false">HYPERLINK("https://www.google.com/maps/dir/-15.917302,-47.760003/-15.9114560,-47.7698841/data=!4m3!4m2!3e0!5i0")</f>
        <v>https://www.google.com/maps/dir/-15.917302,-47.760003/-15.9114560,-47.7698841/data=!4m3!4m2!3e0!5i0</v>
      </c>
      <c r="C48" s="151" t="s">
        <v>117</v>
      </c>
      <c r="D48" s="152" t="s">
        <v>112</v>
      </c>
      <c r="E48" s="152" t="s">
        <v>113</v>
      </c>
      <c r="F48" s="152" t="s">
        <v>117</v>
      </c>
      <c r="G48" s="152" t="s">
        <v>782</v>
      </c>
      <c r="H48" s="152" t="n">
        <v>90</v>
      </c>
      <c r="I48" s="152" t="s">
        <v>115</v>
      </c>
      <c r="J48" s="152" t="s">
        <v>6</v>
      </c>
      <c r="K48" s="152" t="s">
        <v>1547</v>
      </c>
      <c r="L48" s="152" t="s">
        <v>120</v>
      </c>
      <c r="M48" s="153" t="n">
        <f aca="false">43.48</f>
        <v>43.48</v>
      </c>
      <c r="N48" s="152" t="s">
        <v>1548</v>
      </c>
      <c r="O48" s="152" t="s">
        <v>1549</v>
      </c>
      <c r="P48" s="152" t="s">
        <v>1550</v>
      </c>
      <c r="Q48" s="152" t="s">
        <v>1551</v>
      </c>
      <c r="R48" s="154" t="s">
        <v>1708</v>
      </c>
      <c r="S48" s="154" t="s">
        <v>1593</v>
      </c>
      <c r="T48" s="155" t="s">
        <v>1554</v>
      </c>
      <c r="U48" s="152" t="str">
        <f aca="false">RIGHT(T48,7)</f>
        <v>002/037</v>
      </c>
      <c r="V48" s="152" t="s">
        <v>1555</v>
      </c>
      <c r="W48" s="156" t="n">
        <v>45882</v>
      </c>
      <c r="X48" s="152" t="s">
        <v>1556</v>
      </c>
      <c r="Y48" s="152"/>
      <c r="Z48" s="152" t="s">
        <v>1557</v>
      </c>
      <c r="AA48" s="153" t="n">
        <v>2</v>
      </c>
      <c r="AB48" s="151" t="s">
        <v>1709</v>
      </c>
      <c r="AC48" s="151" t="s">
        <v>526</v>
      </c>
      <c r="AD48" s="151" t="str">
        <f aca="false">CONCATENATE($C48,$I48,$H48,$N48,$J48,$K48)</f>
        <v>TUBO PEADPEAD90VCAREDESZona01</v>
      </c>
      <c r="AE48" s="153" t="n">
        <f aca="false">IFERROR(INDEX(APOIO_REDES!$A:$W,MATCH($C48&amp;$I48&amp;$H48&amp;$N48&amp;$O48,APOIO_REDES!$W:$W,0),MATCH(AE$5,APOIO_REDES!$5:$5,0)),0)</f>
        <v>1.2</v>
      </c>
      <c r="AF48" s="153" t="n">
        <f aca="false">IFERROR(INDEX(APOIO_REDES!$A:$W,MATCH($C48&amp;$I48&amp;$H48&amp;$N48&amp;$O48,APOIO_REDES!$W:$W,0),MATCH(AF$5,APOIO_REDES!$5:$5,0)),0)</f>
        <v>1.39</v>
      </c>
      <c r="AG48" s="153" t="n">
        <f aca="false">IFERROR(INDEX(APOIO_REDES!$A:$W,MATCH($C48&amp;$I48&amp;$H48&amp;$N48&amp;$O48,APOIO_REDES!$W:$W,0),MATCH(AG$5,APOIO_REDES!$5:$5,0)),0)</f>
        <v>0.75</v>
      </c>
      <c r="AH48" s="153" t="n">
        <f aca="false">IFERROR(INDEX(APOIO_REDES!$A:$W,MATCH($C48&amp;$I48&amp;$H48&amp;$N48&amp;$O48,APOIO_REDES!$W:$W,0),MATCH(AH$5,APOIO_REDES!$5:$5,0)),0)</f>
        <v>0.1</v>
      </c>
      <c r="AI48" s="153" t="n">
        <f aca="false">IFERROR(IF($H48&lt;&gt;"",(((($H48/1000)/2)^2)*PI()*$M48),0),0)</f>
        <v>0.276607808370621</v>
      </c>
      <c r="AJ48" s="153" t="n">
        <f aca="false">IFERROR(IF(AND($H48&lt;&gt;"",$I48="FoFo",OR($N48="MND",$N48="VCA"),$Q48="LINEAR"),0,IF(AND($H48&lt;&gt;"",$I48="PEAD",$N48="VCA",$Q48="LINEAR"),($H48/1000)+0.3,IF(AND($H48&lt;&gt;"",$I48="PEAD",$N48="MND",$Q48="EMBOQUE"),0,IF(AND($H48&lt;&gt;"",$I48="PVC",$N48="VCA",$Q48="LINEAR"),($H48/1000)+0.2,IF(AND($H48&lt;&gt;"",$I48="PVC",$N48="MND",$Q48="EMBOQUE"),0,IF(AND($H48&lt;&gt;"",$I48="PEAD",$N48="VCA",$Q48="PREDIAL"),0,0)))))),0)</f>
        <v>0.39</v>
      </c>
      <c r="AK48" s="153" t="n">
        <f aca="false">IF(AA48&lt;&gt;"",AA48,0)</f>
        <v>2</v>
      </c>
      <c r="AL48" s="153" t="n">
        <f aca="false">IF(AND($N48="MND",$Q48="EMBOQUE"),$M48,IF(AND($N48="VCA",$Q48="LINEAR"),$M48,IF(AND($N48="VCA",$Q48="PREDIAL"),0,0)))</f>
        <v>43.48</v>
      </c>
      <c r="AM48" s="153" t="n">
        <f aca="false">IF(AND($N48="MND",$Q48="EMBOQUE"),$M48,IF(AND($N48="VCA",$Q48="LINEAR"),$M48,IF(AND($N48="VCA",$Q48="PREDIAL"),0,0)))</f>
        <v>43.48</v>
      </c>
      <c r="AN48" s="153" t="n">
        <f aca="false">ROUND(IF(AND($N48="VCA",$M48&lt;&gt;"",$Q48="LINEAR"),$M48/100,IF(AND($N48="MND",$M48&gt;100,$Q48="EMBOQUE"),$M48/100,0)),0)</f>
        <v>0</v>
      </c>
      <c r="AO48" s="153" t="n">
        <f aca="false">IF(AND($N48="MND",$Q48="EMBOQUE"),$AN48*2*2,IF(AND($N48="VCA",$Q48="LINEAR"),$M48*2,IF(AND($N48="VCA",$Q48="PREDIAL"),0,0)))</f>
        <v>86.96</v>
      </c>
      <c r="AP48" s="153" t="n">
        <f aca="false">IFERROR($M48*$AF48*$AG48,0)</f>
        <v>45.3279</v>
      </c>
      <c r="AQ48" s="153" t="n">
        <f aca="false">IFERROR(IF(AND($N48="VCA",$AH48&gt;0),$M48*$AG48*$AH48,0),0)</f>
        <v>3.261</v>
      </c>
      <c r="AR48" s="153" t="n">
        <f aca="false">IFERROR(IF(AND($N48="VCA",$AJ48&gt;0),($M48*$AG48*$AJ48)-$AI48,0),0)</f>
        <v>12.4412921916294</v>
      </c>
      <c r="AS48" s="153" t="n">
        <f aca="false">IFERROR(IF(AND($N48="VCA",$AP48&gt;0),$AP48-$AI48-$AQ48-$AR48,0),0)</f>
        <v>29.349</v>
      </c>
      <c r="AT48" s="153" t="n">
        <f aca="false">IFERROR(IF($N48="VCA",INDEX(APOIO_REDES!$A:$W,MATCH($C48&amp;$I48&amp;$H48&amp;$N48&amp;$O48,APOIO_REDES!$W:$W,0),MATCH(AT$5,APOIO_REDES!$5:$5,0)),0)*$AP48,0)</f>
        <v>0.493180968373563</v>
      </c>
      <c r="AU48" s="153" t="n">
        <f aca="false">IFERROR(IF($N48="VCA",INDEX(APOIO_REDES!$A:$W,MATCH($C48&amp;$I48&amp;$H48&amp;$N48&amp;$O48,APOIO_REDES!$W:$W,0),MATCH(AU$5,APOIO_REDES!$5:$5,0)),0)*$AP48,0)</f>
        <v>0.393840964308558</v>
      </c>
      <c r="AV48" s="153" t="n">
        <f aca="false">IFERROR(IF($N48="VCA",INDEX(APOIO_REDES!$A:$W,MATCH($C48&amp;$I48&amp;$H48&amp;$N48&amp;$O48,APOIO_REDES!$W:$W,0),MATCH(AV$5,APOIO_REDES!$5:$5,0)),0)*$AP48,0)</f>
        <v>0.0545044976875121</v>
      </c>
      <c r="AW48" s="153" t="n">
        <f aca="false">IFERROR(IF($N48="VCA",INDEX(APOIO_REDES!$A:$W,MATCH($C48&amp;$I48&amp;$H48&amp;$N48&amp;$O48,APOIO_REDES!$W:$W,0),MATCH(AW$5,APOIO_REDES!$5:$5,0)),0)*$AP48,0)</f>
        <v>31.1134217777078</v>
      </c>
      <c r="AX48" s="153" t="n">
        <f aca="false">IFERROR(IF($N48="VCA",INDEX(APOIO_REDES!$A:$W,MATCH($C48&amp;$I48&amp;$H48&amp;$N48&amp;$O48,APOIO_REDES!$W:$W,0),MATCH(AX$5,APOIO_REDES!$5:$5,0)),0)*$AP48,0)</f>
        <v>4.30600894577519</v>
      </c>
      <c r="AY48" s="153" t="n">
        <f aca="false">IFERROR(IF($N48="VCA",INDEX(APOIO_REDES!$A:$W,MATCH($C48&amp;$I48&amp;$H48&amp;$N48&amp;$O48,APOIO_REDES!$W:$W,0),MATCH(AY$5,APOIO_REDES!$5:$5,0)),0)*$AP48,0)</f>
        <v>7.87681448528173</v>
      </c>
      <c r="AZ48" s="153" t="n">
        <f aca="false">IFERROR(IF($N48="VCA",INDEX(APOIO_REDES!$A:$W,MATCH($C48&amp;$I48&amp;$H48&amp;$N48&amp;$O48,APOIO_REDES!$W:$W,0),MATCH(AZ$5,APOIO_REDES!$5:$5,0)),0)*$AP48,0)</f>
        <v>1.09012836086567</v>
      </c>
      <c r="BA48" s="153" t="n">
        <f aca="false">IFERROR(IF(AND($N48="VCA",$Q48="LINEAR"),INDEX(APOIO_REDES!$A:$W,MATCH($C48&amp;$I48&amp;$H48&amp;$N48&amp;$O48,APOIO_REDES!$W:$W,0),MATCH(BA$5,APOIO_REDES!$5:$5,0)),IF(AND($N48="MND",$Q48="EMBOQUE"),INDEX(APOIO_REDES!$A:$W,MATCH($C48&amp;$I48&amp;$H48&amp;$N48&amp;$O48,APOIO_REDES!$W:$W,0),MATCH(BA$5,APOIO_REDES!$5:$5,0)),0))*$M48/10,0)</f>
        <v>3.50437832516885</v>
      </c>
      <c r="BB48" s="153" t="n">
        <f aca="false">IFERROR(IF($N48="VCA",INDEX(APOIO_REDES!$A:$W,MATCH($C48&amp;$I48&amp;$H48&amp;$N48&amp;$O48,APOIO_REDES!$W:$W,0),MATCH(BB$5,APOIO_REDES!$5:$5,0)),0)*($AI48+$AQ48+$AR48),0)</f>
        <v>15.805044838487</v>
      </c>
      <c r="BC48" s="153" t="n">
        <f aca="false">IFERROR(IF($N48="VCA",INDEX(APOIO_REDES!$A:$W,MATCH($C48&amp;$I48&amp;$H48&amp;$N48&amp;$O48,APOIO_REDES!$W:$W,0),MATCH(BC$5,APOIO_REDES!$5:$5,0)),0)*($AI48+$AQ48+$AR48),0)</f>
        <v>0.173855161512983</v>
      </c>
      <c r="BD48" s="153" t="n">
        <f aca="false">IF(AND($N48="VCA",$AF48&gt;=1.25,$AF48&lt;1.5),$M48*$AF48*2,0)</f>
        <v>120.8744</v>
      </c>
      <c r="BE48" s="153" t="n">
        <f aca="false">IF(AND($N48="VCA",$AF48&gt;=1.5,$AF48&lt;3),$M48*$AF48*2,0)</f>
        <v>0</v>
      </c>
      <c r="BF48" s="153" t="n">
        <f aca="false">IF(AND($N48="VCA",$AF48&gt;=3),$M48*$AF48*2,0)</f>
        <v>0</v>
      </c>
      <c r="BG48" s="153" t="n">
        <f aca="false">($BB48+$BC48)*$AK48</f>
        <v>31.9578</v>
      </c>
      <c r="BH48" s="153" t="n">
        <f aca="false">IF(AND($M48&lt;&gt;"",$N48="VCA",$Q48="LINEAR"),($M48*2)/100,IF(AND($M48&lt;&gt;"",$N48="MND",$Q48="EMBOQUE"),($AN48*2)/100,0))</f>
        <v>0.8696</v>
      </c>
      <c r="BI48" s="153" t="n">
        <f aca="false">IF(AND($M48&lt;&gt;"",$N48="VCA",$Q48="LINEAR"),$M48,IF(AND($M48&lt;&gt;"",$N48="MND",$Q48="EMBOQUE"),$AN48*2,0))</f>
        <v>43.48</v>
      </c>
      <c r="BJ48" s="153" t="n">
        <f aca="false">IF(AND($M48&lt;&gt;"",$N48="VCA",$Q48="LINEAR"),($M48*6.8)/100,IF(AND($M48&lt;&gt;"",$N48="MND",$Q48="EMBOQUE"),($AN48*2*6.8)/100,0))</f>
        <v>2.95664</v>
      </c>
      <c r="BK48" s="153" t="n">
        <f aca="false">IF(AND($M48&lt;&gt;"",$N48="VCA",$Q48="LINEAR"),($M48*2.5)/50,IF(AND($M48&lt;&gt;"",$N48="MND",$Q48="EMBOQUE"),($AN48*2*2.5)/50,0))</f>
        <v>2.174</v>
      </c>
      <c r="BL48" s="157" t="str">
        <f aca="false">K48&amp;J48</f>
        <v>Zona01REDES</v>
      </c>
      <c r="BM48" s="152" t="s">
        <v>1559</v>
      </c>
      <c r="BN48" s="152" t="s">
        <v>1560</v>
      </c>
      <c r="BO48" s="152" t="s">
        <v>1561</v>
      </c>
      <c r="BP48" s="152" t="s">
        <v>1698</v>
      </c>
      <c r="BQ48" s="152" t="s">
        <v>1680</v>
      </c>
      <c r="BR48" s="152" t="s">
        <v>1710</v>
      </c>
      <c r="BS48" s="152" t="n">
        <v>203416.757</v>
      </c>
      <c r="BT48" s="152" t="n">
        <v>8238892.338</v>
      </c>
      <c r="BU48" s="152" t="n">
        <v>203381.771</v>
      </c>
      <c r="BV48" s="152" t="n">
        <v>8238918.126</v>
      </c>
      <c r="BW48" s="152" t="n">
        <v>-15.9113351</v>
      </c>
      <c r="BX48" s="152" t="n">
        <v>-47.7700438</v>
      </c>
      <c r="BY48" s="152" t="s">
        <v>1698</v>
      </c>
    </row>
    <row r="49" customFormat="false" ht="13.8" hidden="false" customHeight="false" outlineLevel="0" collapsed="false">
      <c r="A49" s="149" t="n">
        <f aca="false">IF(C49&lt;&gt;"",ROW(A44),"")</f>
        <v>44</v>
      </c>
      <c r="B49" s="150" t="str">
        <f aca="false">HYPERLINK("https://www.google.com/maps/dir/-15.917302,-47.760003/-15.9110965,-47.7692988/data=!4m3!4m2!3e0!5i0")</f>
        <v>https://www.google.com/maps/dir/-15.917302,-47.760003/-15.9110965,-47.7692988/data=!4m3!4m2!3e0!5i0</v>
      </c>
      <c r="C49" s="151" t="s">
        <v>117</v>
      </c>
      <c r="D49" s="152" t="s">
        <v>112</v>
      </c>
      <c r="E49" s="152" t="s">
        <v>113</v>
      </c>
      <c r="F49" s="152" t="s">
        <v>117</v>
      </c>
      <c r="G49" s="152" t="s">
        <v>782</v>
      </c>
      <c r="H49" s="152" t="n">
        <v>63</v>
      </c>
      <c r="I49" s="152" t="s">
        <v>115</v>
      </c>
      <c r="J49" s="152" t="s">
        <v>6</v>
      </c>
      <c r="K49" s="152" t="s">
        <v>1547</v>
      </c>
      <c r="L49" s="152" t="s">
        <v>120</v>
      </c>
      <c r="M49" s="153" t="n">
        <f aca="false">151.47+4.54</f>
        <v>156.01</v>
      </c>
      <c r="N49" s="152" t="s">
        <v>1548</v>
      </c>
      <c r="O49" s="152" t="s">
        <v>1549</v>
      </c>
      <c r="P49" s="152" t="s">
        <v>1550</v>
      </c>
      <c r="Q49" s="152" t="s">
        <v>1551</v>
      </c>
      <c r="R49" s="154" t="s">
        <v>1711</v>
      </c>
      <c r="S49" s="154" t="s">
        <v>1553</v>
      </c>
      <c r="T49" s="155" t="s">
        <v>1554</v>
      </c>
      <c r="U49" s="152" t="str">
        <f aca="false">RIGHT(T49,7)</f>
        <v>002/037</v>
      </c>
      <c r="V49" s="152" t="s">
        <v>1555</v>
      </c>
      <c r="W49" s="156" t="n">
        <v>45882</v>
      </c>
      <c r="X49" s="152" t="s">
        <v>1556</v>
      </c>
      <c r="Y49" s="152"/>
      <c r="Z49" s="152" t="s">
        <v>1557</v>
      </c>
      <c r="AA49" s="153" t="n">
        <v>1.9</v>
      </c>
      <c r="AB49" s="151" t="s">
        <v>1712</v>
      </c>
      <c r="AC49" s="151" t="s">
        <v>186</v>
      </c>
      <c r="AD49" s="151" t="str">
        <f aca="false">CONCATENATE($C49,$I49,$H49,$N49,$J49,$K49)</f>
        <v>TUBO PEADPEAD63VCAREDESZona01</v>
      </c>
      <c r="AE49" s="153" t="n">
        <f aca="false">IFERROR(INDEX(APOIO_REDES!$A:$W,MATCH($C49&amp;$I49&amp;$H49&amp;$N49&amp;$O49,APOIO_REDES!$W:$W,0),MATCH(AE$5,APOIO_REDES!$5:$5,0)),0)</f>
        <v>1.2</v>
      </c>
      <c r="AF49" s="153" t="n">
        <f aca="false">IFERROR(INDEX(APOIO_REDES!$A:$W,MATCH($C49&amp;$I49&amp;$H49&amp;$N49&amp;$O49,APOIO_REDES!$W:$W,0),MATCH(AF$5,APOIO_REDES!$5:$5,0)),0)</f>
        <v>1.363</v>
      </c>
      <c r="AG49" s="153" t="n">
        <f aca="false">IFERROR(INDEX(APOIO_REDES!$A:$W,MATCH($C49&amp;$I49&amp;$H49&amp;$N49&amp;$O49,APOIO_REDES!$W:$W,0),MATCH(AG$5,APOIO_REDES!$5:$5,0)),0)</f>
        <v>0.65</v>
      </c>
      <c r="AH49" s="153" t="n">
        <f aca="false">IFERROR(INDEX(APOIO_REDES!$A:$W,MATCH($C49&amp;$I49&amp;$H49&amp;$N49&amp;$O49,APOIO_REDES!$W:$W,0),MATCH(AH$5,APOIO_REDES!$5:$5,0)),0)</f>
        <v>0.1</v>
      </c>
      <c r="AI49" s="153" t="n">
        <f aca="false">IFERROR(IF($H49&lt;&gt;"",(((($H49/1000)/2)^2)*PI()*$M49),0),0)</f>
        <v>0.486321440894923</v>
      </c>
      <c r="AJ49" s="153" t="n">
        <f aca="false">IFERROR(IF(AND($H49&lt;&gt;"",$I49="FoFo",OR($N49="MND",$N49="VCA"),$Q49="LINEAR"),0,IF(AND($H49&lt;&gt;"",$I49="PEAD",$N49="VCA",$Q49="LINEAR"),($H49/1000)+0.3,IF(AND($H49&lt;&gt;"",$I49="PEAD",$N49="MND",$Q49="EMBOQUE"),0,IF(AND($H49&lt;&gt;"",$I49="PVC",$N49="VCA",$Q49="LINEAR"),($H49/1000)+0.2,IF(AND($H49&lt;&gt;"",$I49="PVC",$N49="MND",$Q49="EMBOQUE"),0,IF(AND($H49&lt;&gt;"",$I49="PEAD",$N49="VCA",$Q49="PREDIAL"),0,0)))))),0)</f>
        <v>0.363</v>
      </c>
      <c r="AK49" s="153" t="n">
        <f aca="false">IF(AA49&lt;&gt;"",AA49,0)</f>
        <v>1.9</v>
      </c>
      <c r="AL49" s="153" t="n">
        <f aca="false">IF(AND($N49="MND",$Q49="EMBOQUE"),$M49,IF(AND($N49="VCA",$Q49="LINEAR"),$M49,IF(AND($N49="VCA",$Q49="PREDIAL"),0,0)))</f>
        <v>156.01</v>
      </c>
      <c r="AM49" s="153" t="n">
        <f aca="false">IF(AND($N49="MND",$Q49="EMBOQUE"),$M49,IF(AND($N49="VCA",$Q49="LINEAR"),$M49,IF(AND($N49="VCA",$Q49="PREDIAL"),0,0)))</f>
        <v>156.01</v>
      </c>
      <c r="AN49" s="153" t="n">
        <f aca="false">ROUND(IF(AND($N49="VCA",$M49&lt;&gt;"",$Q49="LINEAR"),$M49/100,IF(AND($N49="MND",$M49&gt;100,$Q49="EMBOQUE"),$M49/100,0)),0)</f>
        <v>2</v>
      </c>
      <c r="AO49" s="153" t="n">
        <f aca="false">IF(AND($N49="MND",$Q49="EMBOQUE"),$AN49*2*2,IF(AND($N49="VCA",$Q49="LINEAR"),$M49*2,IF(AND($N49="VCA",$Q49="PREDIAL"),0,0)))</f>
        <v>312.02</v>
      </c>
      <c r="AP49" s="153" t="n">
        <f aca="false">IFERROR($M49*$AF49*$AG49,0)</f>
        <v>138.2170595</v>
      </c>
      <c r="AQ49" s="153" t="n">
        <f aca="false">IFERROR(IF(AND($N49="VCA",$AH49&gt;0),$M49*$AG49*$AH49,0),0)</f>
        <v>10.14065</v>
      </c>
      <c r="AR49" s="153" t="n">
        <f aca="false">IFERROR(IF(AND($N49="VCA",$AJ49&gt;0),($M49*$AG49*$AJ49)-$AI49,0),0)</f>
        <v>36.3242380591051</v>
      </c>
      <c r="AS49" s="153" t="n">
        <f aca="false">IFERROR(IF(AND($N49="VCA",$AP49&gt;0),$AP49-$AI49-$AQ49-$AR49,0),0)</f>
        <v>91.26585</v>
      </c>
      <c r="AT49" s="153" t="n">
        <f aca="false">IFERROR(IF($N49="VCA",INDEX(APOIO_REDES!$A:$W,MATCH($C49&amp;$I49&amp;$H49&amp;$N49&amp;$O49,APOIO_REDES!$W:$W,0),MATCH(AT$5,APOIO_REDES!$5:$5,0)),0)*$AP49,0)</f>
        <v>1.50384251752136</v>
      </c>
      <c r="AU49" s="153" t="n">
        <f aca="false">IFERROR(IF($N49="VCA",INDEX(APOIO_REDES!$A:$W,MATCH($C49&amp;$I49&amp;$H49&amp;$N49&amp;$O49,APOIO_REDES!$W:$W,0),MATCH(AU$5,APOIO_REDES!$5:$5,0)),0)*$AP49,0)</f>
        <v>1.20092790527188</v>
      </c>
      <c r="AV49" s="153" t="n">
        <f aca="false">IFERROR(IF($N49="VCA",INDEX(APOIO_REDES!$A:$W,MATCH($C49&amp;$I49&amp;$H49&amp;$N49&amp;$O49,APOIO_REDES!$W:$W,0),MATCH(AV$5,APOIO_REDES!$5:$5,0)),0)*$AP49,0)</f>
        <v>0.166198994435932</v>
      </c>
      <c r="AW49" s="153" t="n">
        <f aca="false">IFERROR(IF($N49="VCA",INDEX(APOIO_REDES!$A:$W,MATCH($C49&amp;$I49&amp;$H49&amp;$N49&amp;$O49,APOIO_REDES!$W:$W,0),MATCH(AW$5,APOIO_REDES!$5:$5,0)),0)*$AP49,0)</f>
        <v>94.8732605988372</v>
      </c>
      <c r="AX49" s="153" t="n">
        <f aca="false">IFERROR(IF($N49="VCA",INDEX(APOIO_REDES!$A:$W,MATCH($C49&amp;$I49&amp;$H49&amp;$N49&amp;$O49,APOIO_REDES!$W:$W,0),MATCH(AX$5,APOIO_REDES!$5:$5,0)),0)*$AP49,0)</f>
        <v>13.1301890152807</v>
      </c>
      <c r="AY49" s="153" t="n">
        <f aca="false">IFERROR(IF($N49="VCA",INDEX(APOIO_REDES!$A:$W,MATCH($C49&amp;$I49&amp;$H49&amp;$N49&amp;$O49,APOIO_REDES!$W:$W,0),MATCH(AY$5,APOIO_REDES!$5:$5,0)),0)*$AP49,0)</f>
        <v>24.0185434662238</v>
      </c>
      <c r="AZ49" s="153" t="n">
        <f aca="false">IFERROR(IF($N49="VCA",INDEX(APOIO_REDES!$A:$W,MATCH($C49&amp;$I49&amp;$H49&amp;$N49&amp;$O49,APOIO_REDES!$W:$W,0),MATCH(AZ$5,APOIO_REDES!$5:$5,0)),0)*$AP49,0)</f>
        <v>3.32409700242915</v>
      </c>
      <c r="BA49" s="153" t="n">
        <f aca="false">IFERROR(IF(AND($N49="VCA",$Q49="LINEAR"),INDEX(APOIO_REDES!$A:$W,MATCH($C49&amp;$I49&amp;$H49&amp;$N49&amp;$O49,APOIO_REDES!$W:$W,0),MATCH(BA$5,APOIO_REDES!$5:$5,0)),IF(AND($N49="MND",$Q49="EMBOQUE"),INDEX(APOIO_REDES!$A:$W,MATCH($C49&amp;$I49&amp;$H49&amp;$N49&amp;$O49,APOIO_REDES!$W:$W,0),MATCH(BA$5,APOIO_REDES!$5:$5,0)),0))*$M49/10,0)</f>
        <v>12.5740124772215</v>
      </c>
      <c r="BB49" s="153" t="n">
        <f aca="false">IFERROR(IF($N49="VCA",INDEX(APOIO_REDES!$A:$W,MATCH($C49&amp;$I49&amp;$H49&amp;$N49&amp;$O49,APOIO_REDES!$W:$W,0),MATCH(BB$5,APOIO_REDES!$5:$5,0)),0)*($AI49+$AQ49+$AR49),0)</f>
        <v>46.4403664437913</v>
      </c>
      <c r="BC49" s="153" t="n">
        <f aca="false">IFERROR(IF($N49="VCA",INDEX(APOIO_REDES!$A:$W,MATCH($C49&amp;$I49&amp;$H49&amp;$N49&amp;$O49,APOIO_REDES!$W:$W,0),MATCH(BC$5,APOIO_REDES!$5:$5,0)),0)*($AI49+$AQ49+$AR49),0)</f>
        <v>0.510843056208649</v>
      </c>
      <c r="BD49" s="153" t="n">
        <f aca="false">IF(AND($N49="VCA",$AF49&gt;=1.25,$AF49&lt;1.5),$M49*$AF49*2,0)</f>
        <v>425.28326</v>
      </c>
      <c r="BE49" s="153" t="n">
        <f aca="false">IF(AND($N49="VCA",$AF49&gt;=1.5,$AF49&lt;3),$M49*$AF49*2,0)</f>
        <v>0</v>
      </c>
      <c r="BF49" s="153" t="n">
        <f aca="false">IF(AND($N49="VCA",$AF49&gt;=3),$M49*$AF49*2,0)</f>
        <v>0</v>
      </c>
      <c r="BG49" s="153" t="n">
        <f aca="false">($BB49+$BC49)*$AK49</f>
        <v>89.20729805</v>
      </c>
      <c r="BH49" s="153" t="n">
        <f aca="false">IF(AND($M49&lt;&gt;"",$N49="VCA",$Q49="LINEAR"),($M49*2)/100,IF(AND($M49&lt;&gt;"",$N49="MND",$Q49="EMBOQUE"),($AN49*2)/100,0))</f>
        <v>3.1202</v>
      </c>
      <c r="BI49" s="153" t="n">
        <f aca="false">IF(AND($M49&lt;&gt;"",$N49="VCA",$Q49="LINEAR"),$M49,IF(AND($M49&lt;&gt;"",$N49="MND",$Q49="EMBOQUE"),$AN49*2,0))</f>
        <v>156.01</v>
      </c>
      <c r="BJ49" s="153" t="n">
        <f aca="false">IF(AND($M49&lt;&gt;"",$N49="VCA",$Q49="LINEAR"),($M49*6.8)/100,IF(AND($M49&lt;&gt;"",$N49="MND",$Q49="EMBOQUE"),($AN49*2*6.8)/100,0))</f>
        <v>10.60868</v>
      </c>
      <c r="BK49" s="153" t="n">
        <f aca="false">IF(AND($M49&lt;&gt;"",$N49="VCA",$Q49="LINEAR"),($M49*2.5)/50,IF(AND($M49&lt;&gt;"",$N49="MND",$Q49="EMBOQUE"),($AN49*2*2.5)/50,0))</f>
        <v>7.8005</v>
      </c>
      <c r="BL49" s="157" t="str">
        <f aca="false">K49&amp;J49</f>
        <v>Zona01REDES</v>
      </c>
      <c r="BM49" s="152" t="s">
        <v>1559</v>
      </c>
      <c r="BN49" s="152" t="s">
        <v>1560</v>
      </c>
      <c r="BO49" s="152" t="s">
        <v>1561</v>
      </c>
      <c r="BP49" s="152" t="s">
        <v>1713</v>
      </c>
      <c r="BQ49" s="152" t="s">
        <v>1714</v>
      </c>
      <c r="BR49" s="152" t="s">
        <v>1715</v>
      </c>
      <c r="BS49" s="152" t="n">
        <v>203478.937</v>
      </c>
      <c r="BT49" s="152" t="n">
        <v>8238932.978</v>
      </c>
      <c r="BU49" s="152" t="n">
        <v>203601.365</v>
      </c>
      <c r="BV49" s="152" t="n">
        <v>8238843.8</v>
      </c>
      <c r="BW49" s="152" t="n">
        <v>-15.9115016</v>
      </c>
      <c r="BX49" s="152" t="n">
        <v>-47.7687294</v>
      </c>
      <c r="BY49" s="152" t="s">
        <v>1713</v>
      </c>
    </row>
    <row r="50" customFormat="false" ht="13.8" hidden="false" customHeight="false" outlineLevel="0" collapsed="false">
      <c r="A50" s="149" t="n">
        <f aca="false">IF(C50&lt;&gt;"",ROW(A45),"")</f>
        <v>45</v>
      </c>
      <c r="B50" s="150" t="str">
        <f aca="false">HYPERLINK("https://www.google.com/maps/dir/-15.917302,-47.760003/-15.9115971,-47.7697050/data=!4m3!4m2!3e0!5i0")</f>
        <v>https://www.google.com/maps/dir/-15.917302,-47.760003/-15.9115971,-47.7697050/data=!4m3!4m2!3e0!5i0</v>
      </c>
      <c r="C50" s="151" t="s">
        <v>117</v>
      </c>
      <c r="D50" s="152" t="s">
        <v>112</v>
      </c>
      <c r="E50" s="152" t="s">
        <v>113</v>
      </c>
      <c r="F50" s="152" t="s">
        <v>117</v>
      </c>
      <c r="G50" s="152" t="s">
        <v>782</v>
      </c>
      <c r="H50" s="152" t="n">
        <v>90</v>
      </c>
      <c r="I50" s="152" t="s">
        <v>115</v>
      </c>
      <c r="J50" s="152" t="s">
        <v>6</v>
      </c>
      <c r="K50" s="152" t="s">
        <v>1547</v>
      </c>
      <c r="L50" s="152" t="s">
        <v>120</v>
      </c>
      <c r="M50" s="153" t="n">
        <f aca="false">24.75</f>
        <v>24.75</v>
      </c>
      <c r="N50" s="152" t="s">
        <v>1548</v>
      </c>
      <c r="O50" s="152" t="s">
        <v>1549</v>
      </c>
      <c r="P50" s="152" t="s">
        <v>1550</v>
      </c>
      <c r="Q50" s="152" t="s">
        <v>1551</v>
      </c>
      <c r="R50" s="154" t="s">
        <v>1716</v>
      </c>
      <c r="S50" s="154" t="s">
        <v>1593</v>
      </c>
      <c r="T50" s="155" t="s">
        <v>1554</v>
      </c>
      <c r="U50" s="152" t="str">
        <f aca="false">RIGHT(T50,7)</f>
        <v>002/037</v>
      </c>
      <c r="V50" s="152" t="s">
        <v>1555</v>
      </c>
      <c r="W50" s="156" t="n">
        <v>45882</v>
      </c>
      <c r="X50" s="152" t="s">
        <v>1556</v>
      </c>
      <c r="Y50" s="152"/>
      <c r="Z50" s="152" t="s">
        <v>1557</v>
      </c>
      <c r="AA50" s="153" t="n">
        <v>2</v>
      </c>
      <c r="AB50" s="151" t="s">
        <v>1717</v>
      </c>
      <c r="AC50" s="151" t="s">
        <v>526</v>
      </c>
      <c r="AD50" s="151" t="str">
        <f aca="false">CONCATENATE($C50,$I50,$H50,$N50,$J50,$K50)</f>
        <v>TUBO PEADPEAD90VCAREDESZona01</v>
      </c>
      <c r="AE50" s="153" t="n">
        <f aca="false">IFERROR(INDEX(APOIO_REDES!$A:$W,MATCH($C50&amp;$I50&amp;$H50&amp;$N50&amp;$O50,APOIO_REDES!$W:$W,0),MATCH(AE$5,APOIO_REDES!$5:$5,0)),0)</f>
        <v>1.2</v>
      </c>
      <c r="AF50" s="153" t="n">
        <f aca="false">IFERROR(INDEX(APOIO_REDES!$A:$W,MATCH($C50&amp;$I50&amp;$H50&amp;$N50&amp;$O50,APOIO_REDES!$W:$W,0),MATCH(AF$5,APOIO_REDES!$5:$5,0)),0)</f>
        <v>1.39</v>
      </c>
      <c r="AG50" s="153" t="n">
        <f aca="false">IFERROR(INDEX(APOIO_REDES!$A:$W,MATCH($C50&amp;$I50&amp;$H50&amp;$N50&amp;$O50,APOIO_REDES!$W:$W,0),MATCH(AG$5,APOIO_REDES!$5:$5,0)),0)</f>
        <v>0.75</v>
      </c>
      <c r="AH50" s="153" t="n">
        <f aca="false">IFERROR(INDEX(APOIO_REDES!$A:$W,MATCH($C50&amp;$I50&amp;$H50&amp;$N50&amp;$O50,APOIO_REDES!$W:$W,0),MATCH(AH$5,APOIO_REDES!$5:$5,0)),0)</f>
        <v>0.1</v>
      </c>
      <c r="AI50" s="153" t="n">
        <f aca="false">IFERROR(IF($H50&lt;&gt;"",(((($H50/1000)/2)^2)*PI()*$M50),0),0)</f>
        <v>0.157452696807103</v>
      </c>
      <c r="AJ50" s="153" t="n">
        <f aca="false">IFERROR(IF(AND($H50&lt;&gt;"",$I50="FoFo",OR($N50="MND",$N50="VCA"),$Q50="LINEAR"),0,IF(AND($H50&lt;&gt;"",$I50="PEAD",$N50="VCA",$Q50="LINEAR"),($H50/1000)+0.3,IF(AND($H50&lt;&gt;"",$I50="PEAD",$N50="MND",$Q50="EMBOQUE"),0,IF(AND($H50&lt;&gt;"",$I50="PVC",$N50="VCA",$Q50="LINEAR"),($H50/1000)+0.2,IF(AND($H50&lt;&gt;"",$I50="PVC",$N50="MND",$Q50="EMBOQUE"),0,IF(AND($H50&lt;&gt;"",$I50="PEAD",$N50="VCA",$Q50="PREDIAL"),0,0)))))),0)</f>
        <v>0.39</v>
      </c>
      <c r="AK50" s="153" t="n">
        <f aca="false">IF(AA50&lt;&gt;"",AA50,0)</f>
        <v>2</v>
      </c>
      <c r="AL50" s="153" t="n">
        <f aca="false">IF(AND($N50="MND",$Q50="EMBOQUE"),$M50,IF(AND($N50="VCA",$Q50="LINEAR"),$M50,IF(AND($N50="VCA",$Q50="PREDIAL"),0,0)))</f>
        <v>24.75</v>
      </c>
      <c r="AM50" s="153" t="n">
        <f aca="false">IF(AND($N50="MND",$Q50="EMBOQUE"),$M50,IF(AND($N50="VCA",$Q50="LINEAR"),$M50,IF(AND($N50="VCA",$Q50="PREDIAL"),0,0)))</f>
        <v>24.75</v>
      </c>
      <c r="AN50" s="153" t="n">
        <f aca="false">ROUND(IF(AND($N50="VCA",$M50&lt;&gt;"",$Q50="LINEAR"),$M50/100,IF(AND($N50="MND",$M50&gt;100,$Q50="EMBOQUE"),$M50/100,0)),0)</f>
        <v>0</v>
      </c>
      <c r="AO50" s="153" t="n">
        <f aca="false">IF(AND($N50="MND",$Q50="EMBOQUE"),$AN50*2*2,IF(AND($N50="VCA",$Q50="LINEAR"),$M50*2,IF(AND($N50="VCA",$Q50="PREDIAL"),0,0)))</f>
        <v>49.5</v>
      </c>
      <c r="AP50" s="153" t="n">
        <f aca="false">IFERROR($M50*$AF50*$AG50,0)</f>
        <v>25.801875</v>
      </c>
      <c r="AQ50" s="153" t="n">
        <f aca="false">IFERROR(IF(AND($N50="VCA",$AH50&gt;0),$M50*$AG50*$AH50,0),0)</f>
        <v>1.85625</v>
      </c>
      <c r="AR50" s="153" t="n">
        <f aca="false">IFERROR(IF(AND($N50="VCA",$AJ50&gt;0),($M50*$AG50*$AJ50)-$AI50,0),0)</f>
        <v>7.0819223031929</v>
      </c>
      <c r="AS50" s="153" t="n">
        <f aca="false">IFERROR(IF(AND($N50="VCA",$AP50&gt;0),$AP50-$AI50-$AQ50-$AR50,0),0)</f>
        <v>16.70625</v>
      </c>
      <c r="AT50" s="153" t="n">
        <f aca="false">IFERROR(IF($N50="VCA",INDEX(APOIO_REDES!$A:$W,MATCH($C50&amp;$I50&amp;$H50&amp;$N50&amp;$O50,APOIO_REDES!$W:$W,0),MATCH(AT$5,APOIO_REDES!$5:$5,0)),0)*$AP50,0)</f>
        <v>0.280732036965172</v>
      </c>
      <c r="AU50" s="153" t="n">
        <f aca="false">IFERROR(IF($N50="VCA",INDEX(APOIO_REDES!$A:$W,MATCH($C50&amp;$I50&amp;$H50&amp;$N50&amp;$O50,APOIO_REDES!$W:$W,0),MATCH(AU$5,APOIO_REDES!$5:$5,0)),0)*$AP50,0)</f>
        <v>0.224185001532585</v>
      </c>
      <c r="AV50" s="153" t="n">
        <f aca="false">IFERROR(IF($N50="VCA",INDEX(APOIO_REDES!$A:$W,MATCH($C50&amp;$I50&amp;$H50&amp;$N50&amp;$O50,APOIO_REDES!$W:$W,0),MATCH(AV$5,APOIO_REDES!$5:$5,0)),0)*$AP50,0)</f>
        <v>0.0310254442908446</v>
      </c>
      <c r="AW50" s="153" t="n">
        <f aca="false">IFERROR(IF($N50="VCA",INDEX(APOIO_REDES!$A:$W,MATCH($C50&amp;$I50&amp;$H50&amp;$N50&amp;$O50,APOIO_REDES!$W:$W,0),MATCH(AW$5,APOIO_REDES!$5:$5,0)),0)*$AP50,0)</f>
        <v>17.7106069226832</v>
      </c>
      <c r="AX50" s="153" t="n">
        <f aca="false">IFERROR(IF($N50="VCA",INDEX(APOIO_REDES!$A:$W,MATCH($C50&amp;$I50&amp;$H50&amp;$N50&amp;$O50,APOIO_REDES!$W:$W,0),MATCH(AX$5,APOIO_REDES!$5:$5,0)),0)*$AP50,0)</f>
        <v>2.45109754848059</v>
      </c>
      <c r="AY50" s="153" t="n">
        <f aca="false">IFERROR(IF($N50="VCA",INDEX(APOIO_REDES!$A:$W,MATCH($C50&amp;$I50&amp;$H50&amp;$N50&amp;$O50,APOIO_REDES!$W:$W,0),MATCH(AY$5,APOIO_REDES!$5:$5,0)),0)*$AP50,0)</f>
        <v>4.48369729785471</v>
      </c>
      <c r="AZ50" s="153" t="n">
        <f aca="false">IFERROR(IF($N50="VCA",INDEX(APOIO_REDES!$A:$W,MATCH($C50&amp;$I50&amp;$H50&amp;$N50&amp;$O50,APOIO_REDES!$W:$W,0),MATCH(AZ$5,APOIO_REDES!$5:$5,0)),0)*$AP50,0)</f>
        <v>0.620530748192858</v>
      </c>
      <c r="BA50" s="153" t="n">
        <f aca="false">IFERROR(IF(AND($N50="VCA",$Q50="LINEAR"),INDEX(APOIO_REDES!$A:$W,MATCH($C50&amp;$I50&amp;$H50&amp;$N50&amp;$O50,APOIO_REDES!$W:$W,0),MATCH(BA$5,APOIO_REDES!$5:$5,0)),IF(AND($N50="MND",$Q50="EMBOQUE"),INDEX(APOIO_REDES!$A:$W,MATCH($C50&amp;$I50&amp;$H50&amp;$N50&amp;$O50,APOIO_REDES!$W:$W,0),MATCH(BA$5,APOIO_REDES!$5:$5,0)),0))*$M50/10,0)</f>
        <v>1.99478757009956</v>
      </c>
      <c r="BB50" s="153" t="n">
        <f aca="false">IFERROR(IF($N50="VCA",INDEX(APOIO_REDES!$A:$W,MATCH($C50&amp;$I50&amp;$H50&amp;$N50&amp;$O50,APOIO_REDES!$W:$W,0),MATCH(BB$5,APOIO_REDES!$5:$5,0)),0)*($AI50+$AQ50+$AR50),0)</f>
        <v>8.99666190783242</v>
      </c>
      <c r="BC50" s="153" t="n">
        <f aca="false">IFERROR(IF($N50="VCA",INDEX(APOIO_REDES!$A:$W,MATCH($C50&amp;$I50&amp;$H50&amp;$N50&amp;$O50,APOIO_REDES!$W:$W,0),MATCH(BC$5,APOIO_REDES!$5:$5,0)),0)*($AI50+$AQ50+$AR50),0)</f>
        <v>0.0989630921675786</v>
      </c>
      <c r="BD50" s="153" t="n">
        <f aca="false">IF(AND($N50="VCA",$AF50&gt;=1.25,$AF50&lt;1.5),$M50*$AF50*2,0)</f>
        <v>68.805</v>
      </c>
      <c r="BE50" s="153" t="n">
        <f aca="false">IF(AND($N50="VCA",$AF50&gt;=1.5,$AF50&lt;3),$M50*$AF50*2,0)</f>
        <v>0</v>
      </c>
      <c r="BF50" s="153" t="n">
        <f aca="false">IF(AND($N50="VCA",$AF50&gt;=3),$M50*$AF50*2,0)</f>
        <v>0</v>
      </c>
      <c r="BG50" s="153" t="n">
        <f aca="false">($BB50+$BC50)*$AK50</f>
        <v>18.19125</v>
      </c>
      <c r="BH50" s="153" t="n">
        <f aca="false">IF(AND($M50&lt;&gt;"",$N50="VCA",$Q50="LINEAR"),($M50*2)/100,IF(AND($M50&lt;&gt;"",$N50="MND",$Q50="EMBOQUE"),($AN50*2)/100,0))</f>
        <v>0.495</v>
      </c>
      <c r="BI50" s="153" t="n">
        <f aca="false">IF(AND($M50&lt;&gt;"",$N50="VCA",$Q50="LINEAR"),$M50,IF(AND($M50&lt;&gt;"",$N50="MND",$Q50="EMBOQUE"),$AN50*2,0))</f>
        <v>24.75</v>
      </c>
      <c r="BJ50" s="153" t="n">
        <f aca="false">IF(AND($M50&lt;&gt;"",$N50="VCA",$Q50="LINEAR"),($M50*6.8)/100,IF(AND($M50&lt;&gt;"",$N50="MND",$Q50="EMBOQUE"),($AN50*2*6.8)/100,0))</f>
        <v>1.683</v>
      </c>
      <c r="BK50" s="153" t="n">
        <f aca="false">IF(AND($M50&lt;&gt;"",$N50="VCA",$Q50="LINEAR"),($M50*2.5)/50,IF(AND($M50&lt;&gt;"",$N50="MND",$Q50="EMBOQUE"),($AN50*2*2.5)/50,0))</f>
        <v>1.2375</v>
      </c>
      <c r="BL50" s="157" t="str">
        <f aca="false">K50&amp;J50</f>
        <v>Zona01REDES</v>
      </c>
      <c r="BM50" s="152" t="s">
        <v>1559</v>
      </c>
      <c r="BN50" s="152" t="s">
        <v>1560</v>
      </c>
      <c r="BO50" s="152" t="s">
        <v>1561</v>
      </c>
      <c r="BP50" s="152" t="s">
        <v>1718</v>
      </c>
      <c r="BQ50" s="152" t="s">
        <v>1698</v>
      </c>
      <c r="BR50" s="152" t="s">
        <v>1719</v>
      </c>
      <c r="BS50" s="152" t="n">
        <v>203436.15</v>
      </c>
      <c r="BT50" s="152" t="n">
        <v>8238876.972</v>
      </c>
      <c r="BU50" s="152" t="n">
        <v>203416.757</v>
      </c>
      <c r="BV50" s="152" t="n">
        <v>8238892.338</v>
      </c>
      <c r="BW50" s="152" t="n">
        <v>-15.9115276</v>
      </c>
      <c r="BX50" s="152" t="n">
        <v>-47.7697954</v>
      </c>
      <c r="BY50" s="152" t="s">
        <v>1718</v>
      </c>
    </row>
    <row r="51" customFormat="false" ht="13.8" hidden="false" customHeight="false" outlineLevel="0" collapsed="false">
      <c r="A51" s="149" t="n">
        <f aca="false">IF(C51&lt;&gt;"",ROW(A46),"")</f>
        <v>46</v>
      </c>
      <c r="B51" s="150" t="str">
        <f aca="false">HYPERLINK("https://www.google.com/maps/dir/-15.917302,-47.760003/-15.9115971,-47.7697050/data=!4m3!4m2!3e0!5i0")</f>
        <v>https://www.google.com/maps/dir/-15.917302,-47.760003/-15.9115971,-47.7697050/data=!4m3!4m2!3e0!5i0</v>
      </c>
      <c r="C51" s="151" t="s">
        <v>117</v>
      </c>
      <c r="D51" s="152" t="s">
        <v>112</v>
      </c>
      <c r="E51" s="152" t="s">
        <v>113</v>
      </c>
      <c r="F51" s="152" t="s">
        <v>117</v>
      </c>
      <c r="G51" s="152" t="s">
        <v>782</v>
      </c>
      <c r="H51" s="152" t="n">
        <v>63</v>
      </c>
      <c r="I51" s="152" t="s">
        <v>115</v>
      </c>
      <c r="J51" s="152" t="s">
        <v>6</v>
      </c>
      <c r="K51" s="152" t="s">
        <v>1547</v>
      </c>
      <c r="L51" s="152" t="s">
        <v>120</v>
      </c>
      <c r="M51" s="153" t="n">
        <f aca="false">16.63</f>
        <v>16.63</v>
      </c>
      <c r="N51" s="152" t="s">
        <v>1548</v>
      </c>
      <c r="O51" s="152" t="s">
        <v>1549</v>
      </c>
      <c r="P51" s="152" t="s">
        <v>1550</v>
      </c>
      <c r="Q51" s="152" t="s">
        <v>1551</v>
      </c>
      <c r="R51" s="154" t="s">
        <v>1720</v>
      </c>
      <c r="S51" s="154" t="s">
        <v>1553</v>
      </c>
      <c r="T51" s="155" t="s">
        <v>1554</v>
      </c>
      <c r="U51" s="152" t="str">
        <f aca="false">RIGHT(T51,7)</f>
        <v>002/037</v>
      </c>
      <c r="V51" s="152" t="s">
        <v>1555</v>
      </c>
      <c r="W51" s="156" t="n">
        <v>45882</v>
      </c>
      <c r="X51" s="152" t="s">
        <v>1556</v>
      </c>
      <c r="Y51" s="152"/>
      <c r="Z51" s="152" t="s">
        <v>1557</v>
      </c>
      <c r="AA51" s="153" t="n">
        <v>2</v>
      </c>
      <c r="AB51" s="151" t="s">
        <v>1721</v>
      </c>
      <c r="AC51" s="151" t="s">
        <v>186</v>
      </c>
      <c r="AD51" s="151" t="str">
        <f aca="false">CONCATENATE($C51,$I51,$H51,$N51,$J51,$K51)</f>
        <v>TUBO PEADPEAD63VCAREDESZona01</v>
      </c>
      <c r="AE51" s="153" t="n">
        <f aca="false">IFERROR(INDEX(APOIO_REDES!$A:$W,MATCH($C51&amp;$I51&amp;$H51&amp;$N51&amp;$O51,APOIO_REDES!$W:$W,0),MATCH(AE$5,APOIO_REDES!$5:$5,0)),0)</f>
        <v>1.2</v>
      </c>
      <c r="AF51" s="153" t="n">
        <f aca="false">IFERROR(INDEX(APOIO_REDES!$A:$W,MATCH($C51&amp;$I51&amp;$H51&amp;$N51&amp;$O51,APOIO_REDES!$W:$W,0),MATCH(AF$5,APOIO_REDES!$5:$5,0)),0)</f>
        <v>1.363</v>
      </c>
      <c r="AG51" s="153" t="n">
        <f aca="false">IFERROR(INDEX(APOIO_REDES!$A:$W,MATCH($C51&amp;$I51&amp;$H51&amp;$N51&amp;$O51,APOIO_REDES!$W:$W,0),MATCH(AG$5,APOIO_REDES!$5:$5,0)),0)</f>
        <v>0.65</v>
      </c>
      <c r="AH51" s="153" t="n">
        <f aca="false">IFERROR(INDEX(APOIO_REDES!$A:$W,MATCH($C51&amp;$I51&amp;$H51&amp;$N51&amp;$O51,APOIO_REDES!$W:$W,0),MATCH(AH$5,APOIO_REDES!$5:$5,0)),0)</f>
        <v>0.1</v>
      </c>
      <c r="AI51" s="153" t="n">
        <f aca="false">IFERROR(IF($H51&lt;&gt;"",(((($H51/1000)/2)^2)*PI()*$M51),0),0)</f>
        <v>0.051839789514022</v>
      </c>
      <c r="AJ51" s="153" t="n">
        <f aca="false">IFERROR(IF(AND($H51&lt;&gt;"",$I51="FoFo",OR($N51="MND",$N51="VCA"),$Q51="LINEAR"),0,IF(AND($H51&lt;&gt;"",$I51="PEAD",$N51="VCA",$Q51="LINEAR"),($H51/1000)+0.3,IF(AND($H51&lt;&gt;"",$I51="PEAD",$N51="MND",$Q51="EMBOQUE"),0,IF(AND($H51&lt;&gt;"",$I51="PVC",$N51="VCA",$Q51="LINEAR"),($H51/1000)+0.2,IF(AND($H51&lt;&gt;"",$I51="PVC",$N51="MND",$Q51="EMBOQUE"),0,IF(AND($H51&lt;&gt;"",$I51="PEAD",$N51="VCA",$Q51="PREDIAL"),0,0)))))),0)</f>
        <v>0.363</v>
      </c>
      <c r="AK51" s="153" t="n">
        <f aca="false">IF(AA51&lt;&gt;"",AA51,0)</f>
        <v>2</v>
      </c>
      <c r="AL51" s="153" t="n">
        <f aca="false">IF(AND($N51="MND",$Q51="EMBOQUE"),$M51,IF(AND($N51="VCA",$Q51="LINEAR"),$M51,IF(AND($N51="VCA",$Q51="PREDIAL"),0,0)))</f>
        <v>16.63</v>
      </c>
      <c r="AM51" s="153" t="n">
        <f aca="false">IF(AND($N51="MND",$Q51="EMBOQUE"),$M51,IF(AND($N51="VCA",$Q51="LINEAR"),$M51,IF(AND($N51="VCA",$Q51="PREDIAL"),0,0)))</f>
        <v>16.63</v>
      </c>
      <c r="AN51" s="153" t="n">
        <f aca="false">ROUND(IF(AND($N51="VCA",$M51&lt;&gt;"",$Q51="LINEAR"),$M51/100,IF(AND($N51="MND",$M51&gt;100,$Q51="EMBOQUE"),$M51/100,0)),0)</f>
        <v>0</v>
      </c>
      <c r="AO51" s="153" t="n">
        <f aca="false">IF(AND($N51="MND",$Q51="EMBOQUE"),$AN51*2*2,IF(AND($N51="VCA",$Q51="LINEAR"),$M51*2,IF(AND($N51="VCA",$Q51="PREDIAL"),0,0)))</f>
        <v>33.26</v>
      </c>
      <c r="AP51" s="153" t="n">
        <f aca="false">IFERROR($M51*$AF51*$AG51,0)</f>
        <v>14.7333485</v>
      </c>
      <c r="AQ51" s="153" t="n">
        <f aca="false">IFERROR(IF(AND($N51="VCA",$AH51&gt;0),$M51*$AG51*$AH51,0),0)</f>
        <v>1.08095</v>
      </c>
      <c r="AR51" s="153" t="n">
        <f aca="false">IFERROR(IF(AND($N51="VCA",$AJ51&gt;0),($M51*$AG51*$AJ51)-$AI51,0),0)</f>
        <v>3.87200871048598</v>
      </c>
      <c r="AS51" s="153" t="n">
        <f aca="false">IFERROR(IF(AND($N51="VCA",$AP51&gt;0),$AP51-$AI51-$AQ51-$AR51,0),0)</f>
        <v>9.72855</v>
      </c>
      <c r="AT51" s="153" t="n">
        <f aca="false">IFERROR(IF($N51="VCA",INDEX(APOIO_REDES!$A:$W,MATCH($C51&amp;$I51&amp;$H51&amp;$N51&amp;$O51,APOIO_REDES!$W:$W,0),MATCH(AT$5,APOIO_REDES!$5:$5,0)),0)*$AP51,0)</f>
        <v>0.160303192528557</v>
      </c>
      <c r="AU51" s="153" t="n">
        <f aca="false">IFERROR(IF($N51="VCA",INDEX(APOIO_REDES!$A:$W,MATCH($C51&amp;$I51&amp;$H51&amp;$N51&amp;$O51,APOIO_REDES!$W:$W,0),MATCH(AU$5,APOIO_REDES!$5:$5,0)),0)*$AP51,0)</f>
        <v>0.128013787992253</v>
      </c>
      <c r="AV51" s="153" t="n">
        <f aca="false">IFERROR(IF($N51="VCA",INDEX(APOIO_REDES!$A:$W,MATCH($C51&amp;$I51&amp;$H51&amp;$N51&amp;$O51,APOIO_REDES!$W:$W,0),MATCH(AV$5,APOIO_REDES!$5:$5,0)),0)*$AP51,0)</f>
        <v>0.01771610331049</v>
      </c>
      <c r="AW51" s="153" t="n">
        <f aca="false">IFERROR(IF($N51="VCA",INDEX(APOIO_REDES!$A:$W,MATCH($C51&amp;$I51&amp;$H51&amp;$N51&amp;$O51,APOIO_REDES!$W:$W,0),MATCH(AW$5,APOIO_REDES!$5:$5,0)),0)*$AP51,0)</f>
        <v>10.1130845699549</v>
      </c>
      <c r="AX51" s="153" t="n">
        <f aca="false">IFERROR(IF($N51="VCA",INDEX(APOIO_REDES!$A:$W,MATCH($C51&amp;$I51&amp;$H51&amp;$N51&amp;$O51,APOIO_REDES!$W:$W,0),MATCH(AX$5,APOIO_REDES!$5:$5,0)),0)*$AP51,0)</f>
        <v>1.39962209681506</v>
      </c>
      <c r="AY51" s="153" t="n">
        <f aca="false">IFERROR(IF($N51="VCA",INDEX(APOIO_REDES!$A:$W,MATCH($C51&amp;$I51&amp;$H51&amp;$N51&amp;$O51,APOIO_REDES!$W:$W,0),MATCH(AY$5,APOIO_REDES!$5:$5,0)),0)*$AP51,0)</f>
        <v>2.56027419936736</v>
      </c>
      <c r="AZ51" s="153" t="n">
        <f aca="false">IFERROR(IF($N51="VCA",INDEX(APOIO_REDES!$A:$W,MATCH($C51&amp;$I51&amp;$H51&amp;$N51&amp;$O51,APOIO_REDES!$W:$W,0),MATCH(AZ$5,APOIO_REDES!$5:$5,0)),0)*$AP51,0)</f>
        <v>0.354334550031388</v>
      </c>
      <c r="BA51" s="153" t="n">
        <f aca="false">IFERROR(IF(AND($N51="VCA",$Q51="LINEAR"),INDEX(APOIO_REDES!$A:$W,MATCH($C51&amp;$I51&amp;$H51&amp;$N51&amp;$O51,APOIO_REDES!$W:$W,0),MATCH(BA$5,APOIO_REDES!$5:$5,0)),IF(AND($N51="MND",$Q51="EMBOQUE"),INDEX(APOIO_REDES!$A:$W,MATCH($C51&amp;$I51&amp;$H51&amp;$N51&amp;$O51,APOIO_REDES!$W:$W,0),MATCH(BA$5,APOIO_REDES!$5:$5,0)),0))*$M51/10,0)</f>
        <v>1.34033605215175</v>
      </c>
      <c r="BB51" s="153" t="n">
        <f aca="false">IFERROR(IF($N51="VCA",INDEX(APOIO_REDES!$A:$W,MATCH($C51&amp;$I51&amp;$H51&amp;$N51&amp;$O51,APOIO_REDES!$W:$W,0),MATCH(BB$5,APOIO_REDES!$5:$5,0)),0)*($AI51+$AQ51+$AR51),0)</f>
        <v>4.95034481097526</v>
      </c>
      <c r="BC51" s="153" t="n">
        <f aca="false">IFERROR(IF($N51="VCA",INDEX(APOIO_REDES!$A:$W,MATCH($C51&amp;$I51&amp;$H51&amp;$N51&amp;$O51,APOIO_REDES!$W:$W,0),MATCH(BC$5,APOIO_REDES!$5:$5,0)),0)*($AI51+$AQ51+$AR51),0)</f>
        <v>0.0544536890247409</v>
      </c>
      <c r="BD51" s="153" t="n">
        <f aca="false">IF(AND($N51="VCA",$AF51&gt;=1.25,$AF51&lt;1.5),$M51*$AF51*2,0)</f>
        <v>45.33338</v>
      </c>
      <c r="BE51" s="153" t="n">
        <f aca="false">IF(AND($N51="VCA",$AF51&gt;=1.5,$AF51&lt;3),$M51*$AF51*2,0)</f>
        <v>0</v>
      </c>
      <c r="BF51" s="153" t="n">
        <f aca="false">IF(AND($N51="VCA",$AF51&gt;=3),$M51*$AF51*2,0)</f>
        <v>0</v>
      </c>
      <c r="BG51" s="153" t="n">
        <f aca="false">($BB51+$BC51)*$AK51</f>
        <v>10.009597</v>
      </c>
      <c r="BH51" s="153" t="n">
        <f aca="false">IF(AND($M51&lt;&gt;"",$N51="VCA",$Q51="LINEAR"),($M51*2)/100,IF(AND($M51&lt;&gt;"",$N51="MND",$Q51="EMBOQUE"),($AN51*2)/100,0))</f>
        <v>0.3326</v>
      </c>
      <c r="BI51" s="153" t="n">
        <f aca="false">IF(AND($M51&lt;&gt;"",$N51="VCA",$Q51="LINEAR"),$M51,IF(AND($M51&lt;&gt;"",$N51="MND",$Q51="EMBOQUE"),$AN51*2,0))</f>
        <v>16.63</v>
      </c>
      <c r="BJ51" s="153" t="n">
        <f aca="false">IF(AND($M51&lt;&gt;"",$N51="VCA",$Q51="LINEAR"),($M51*6.8)/100,IF(AND($M51&lt;&gt;"",$N51="MND",$Q51="EMBOQUE"),($AN51*2*6.8)/100,0))</f>
        <v>1.13084</v>
      </c>
      <c r="BK51" s="153" t="n">
        <f aca="false">IF(AND($M51&lt;&gt;"",$N51="VCA",$Q51="LINEAR"),($M51*2.5)/50,IF(AND($M51&lt;&gt;"",$N51="MND",$Q51="EMBOQUE"),($AN51*2*2.5)/50,0))</f>
        <v>0.8315</v>
      </c>
      <c r="BL51" s="157" t="str">
        <f aca="false">K51&amp;J51</f>
        <v>Zona01REDES</v>
      </c>
      <c r="BM51" s="152" t="s">
        <v>1559</v>
      </c>
      <c r="BN51" s="152" t="s">
        <v>1560</v>
      </c>
      <c r="BO51" s="152" t="s">
        <v>1561</v>
      </c>
      <c r="BP51" s="152" t="s">
        <v>1718</v>
      </c>
      <c r="BQ51" s="152" t="s">
        <v>1722</v>
      </c>
      <c r="BR51" s="152" t="s">
        <v>1723</v>
      </c>
      <c r="BS51" s="152" t="n">
        <v>203436.15</v>
      </c>
      <c r="BT51" s="152" t="n">
        <v>8238876.972</v>
      </c>
      <c r="BU51" s="152" t="n">
        <v>203426.131</v>
      </c>
      <c r="BV51" s="152" t="n">
        <v>8238863.702</v>
      </c>
      <c r="BW51" s="152" t="n">
        <v>-15.9116564</v>
      </c>
      <c r="BX51" s="152" t="n">
        <v>-47.7697526</v>
      </c>
      <c r="BY51" s="152" t="s">
        <v>1718</v>
      </c>
    </row>
    <row r="52" customFormat="false" ht="13.8" hidden="false" customHeight="false" outlineLevel="0" collapsed="false">
      <c r="A52" s="149" t="n">
        <f aca="false">IF(C52&lt;&gt;"",ROW(A47),"")</f>
        <v>47</v>
      </c>
      <c r="B52" s="150" t="str">
        <f aca="false">HYPERLINK("https://www.google.com/maps/dir/-15.917302,-47.760003/-15.9119164,-47.7681674/data=!4m3!4m2!3e0!5i0")</f>
        <v>https://www.google.com/maps/dir/-15.917302,-47.760003/-15.9119164,-47.7681674/data=!4m3!4m2!3e0!5i0</v>
      </c>
      <c r="C52" s="151" t="s">
        <v>117</v>
      </c>
      <c r="D52" s="152" t="s">
        <v>112</v>
      </c>
      <c r="E52" s="152" t="s">
        <v>113</v>
      </c>
      <c r="F52" s="152" t="s">
        <v>117</v>
      </c>
      <c r="G52" s="152" t="s">
        <v>114</v>
      </c>
      <c r="H52" s="152" t="n">
        <v>160</v>
      </c>
      <c r="I52" s="152" t="s">
        <v>115</v>
      </c>
      <c r="J52" s="152" t="s">
        <v>6</v>
      </c>
      <c r="K52" s="152" t="s">
        <v>1547</v>
      </c>
      <c r="L52" s="152" t="s">
        <v>120</v>
      </c>
      <c r="M52" s="153" t="n">
        <f aca="false">50.82+0.17</f>
        <v>50.99</v>
      </c>
      <c r="N52" s="152" t="s">
        <v>1548</v>
      </c>
      <c r="O52" s="152" t="s">
        <v>1549</v>
      </c>
      <c r="P52" s="152" t="s">
        <v>1550</v>
      </c>
      <c r="Q52" s="152" t="s">
        <v>1551</v>
      </c>
      <c r="R52" s="154" t="s">
        <v>1724</v>
      </c>
      <c r="S52" s="154" t="s">
        <v>1593</v>
      </c>
      <c r="T52" s="155" t="s">
        <v>1554</v>
      </c>
      <c r="U52" s="152" t="str">
        <f aca="false">RIGHT(T52,7)</f>
        <v>002/037</v>
      </c>
      <c r="V52" s="152" t="s">
        <v>1555</v>
      </c>
      <c r="W52" s="156" t="n">
        <v>45882</v>
      </c>
      <c r="X52" s="152" t="s">
        <v>1556</v>
      </c>
      <c r="Y52" s="152"/>
      <c r="Z52" s="152" t="s">
        <v>1557</v>
      </c>
      <c r="AA52" s="153" t="n">
        <v>1.7</v>
      </c>
      <c r="AB52" s="151" t="s">
        <v>1725</v>
      </c>
      <c r="AC52" s="151" t="s">
        <v>505</v>
      </c>
      <c r="AD52" s="151" t="str">
        <f aca="false">CONCATENATE($C52,$I52,$H52,$N52,$J52,$K52)</f>
        <v>TUBO PEADPEAD160VCAREDESZona01</v>
      </c>
      <c r="AE52" s="153" t="n">
        <f aca="false">IFERROR(INDEX(APOIO_REDES!$A:$W,MATCH($C52&amp;$I52&amp;$H52&amp;$N52&amp;$O52,APOIO_REDES!$W:$W,0),MATCH(AE$5,APOIO_REDES!$5:$5,0)),0)</f>
        <v>1.2</v>
      </c>
      <c r="AF52" s="153" t="n">
        <f aca="false">IFERROR(INDEX(APOIO_REDES!$A:$W,MATCH($C52&amp;$I52&amp;$H52&amp;$N52&amp;$O52,APOIO_REDES!$W:$W,0),MATCH(AF$5,APOIO_REDES!$5:$5,0)),0)</f>
        <v>1.46</v>
      </c>
      <c r="AG52" s="153" t="n">
        <f aca="false">IFERROR(INDEX(APOIO_REDES!$A:$W,MATCH($C52&amp;$I52&amp;$H52&amp;$N52&amp;$O52,APOIO_REDES!$W:$W,0),MATCH(AG$5,APOIO_REDES!$5:$5,0)),0)</f>
        <v>0.75</v>
      </c>
      <c r="AH52" s="153" t="n">
        <f aca="false">IFERROR(INDEX(APOIO_REDES!$A:$W,MATCH($C52&amp;$I52&amp;$H52&amp;$N52&amp;$O52,APOIO_REDES!$W:$W,0),MATCH(AH$5,APOIO_REDES!$5:$5,0)),0)</f>
        <v>0.1</v>
      </c>
      <c r="AI52" s="153" t="n">
        <f aca="false">IFERROR(IF($H52&lt;&gt;"",(((($H52/1000)/2)^2)*PI()*$M52),0),0)</f>
        <v>1.02521478020188</v>
      </c>
      <c r="AJ52" s="153" t="n">
        <f aca="false">IFERROR(IF(AND($H52&lt;&gt;"",$I52="FoFo",OR($N52="MND",$N52="VCA"),$Q52="LINEAR"),0,IF(AND($H52&lt;&gt;"",$I52="PEAD",$N52="VCA",$Q52="LINEAR"),($H52/1000)+0.3,IF(AND($H52&lt;&gt;"",$I52="PEAD",$N52="MND",$Q52="EMBOQUE"),0,IF(AND($H52&lt;&gt;"",$I52="PVC",$N52="VCA",$Q52="LINEAR"),($H52/1000)+0.2,IF(AND($H52&lt;&gt;"",$I52="PVC",$N52="MND",$Q52="EMBOQUE"),0,IF(AND($H52&lt;&gt;"",$I52="PEAD",$N52="VCA",$Q52="PREDIAL"),0,0)))))),0)</f>
        <v>0.46</v>
      </c>
      <c r="AK52" s="153" t="n">
        <f aca="false">IF(AA52&lt;&gt;"",AA52,0)</f>
        <v>1.7</v>
      </c>
      <c r="AL52" s="153" t="n">
        <f aca="false">IF(AND($N52="MND",$Q52="EMBOQUE"),$M52,IF(AND($N52="VCA",$Q52="LINEAR"),$M52,IF(AND($N52="VCA",$Q52="PREDIAL"),0,0)))</f>
        <v>50.99</v>
      </c>
      <c r="AM52" s="153" t="n">
        <f aca="false">IF(AND($N52="MND",$Q52="EMBOQUE"),$M52,IF(AND($N52="VCA",$Q52="LINEAR"),$M52,IF(AND($N52="VCA",$Q52="PREDIAL"),0,0)))</f>
        <v>50.99</v>
      </c>
      <c r="AN52" s="153" t="n">
        <f aca="false">ROUND(IF(AND($N52="VCA",$M52&lt;&gt;"",$Q52="LINEAR"),$M52/100,IF(AND($N52="MND",$M52&gt;100,$Q52="EMBOQUE"),$M52/100,0)),0)</f>
        <v>1</v>
      </c>
      <c r="AO52" s="153" t="n">
        <f aca="false">IF(AND($N52="MND",$Q52="EMBOQUE"),$AN52*2*2,IF(AND($N52="VCA",$Q52="LINEAR"),$M52*2,IF(AND($N52="VCA",$Q52="PREDIAL"),0,0)))</f>
        <v>101.98</v>
      </c>
      <c r="AP52" s="153" t="n">
        <f aca="false">IFERROR($M52*$AF52*$AG52,0)</f>
        <v>55.83405</v>
      </c>
      <c r="AQ52" s="153" t="n">
        <f aca="false">IFERROR(IF(AND($N52="VCA",$AH52&gt;0),$M52*$AG52*$AH52,0),0)</f>
        <v>3.82425</v>
      </c>
      <c r="AR52" s="153" t="n">
        <f aca="false">IFERROR(IF(AND($N52="VCA",$AJ52&gt;0),($M52*$AG52*$AJ52)-$AI52,0),0)</f>
        <v>16.5663352197981</v>
      </c>
      <c r="AS52" s="153" t="n">
        <f aca="false">IFERROR(IF(AND($N52="VCA",$AP52&gt;0),$AP52-$AI52-$AQ52-$AR52,0),0)</f>
        <v>34.41825</v>
      </c>
      <c r="AT52" s="153" t="n">
        <f aca="false">IFERROR(IF($N52="VCA",INDEX(APOIO_REDES!$A:$W,MATCH($C52&amp;$I52&amp;$H52&amp;$N52&amp;$O52,APOIO_REDES!$W:$W,0),MATCH(AT$5,APOIO_REDES!$5:$5,0)),0)*$AP52,0)</f>
        <v>0.60749099003523</v>
      </c>
      <c r="AU52" s="153" t="n">
        <f aca="false">IFERROR(IF($N52="VCA",INDEX(APOIO_REDES!$A:$W,MATCH($C52&amp;$I52&amp;$H52&amp;$N52&amp;$O52,APOIO_REDES!$W:$W,0),MATCH(AU$5,APOIO_REDES!$5:$5,0)),0)*$AP52,0)</f>
        <v>0.485125851699554</v>
      </c>
      <c r="AV52" s="153" t="n">
        <f aca="false">IFERROR(IF($N52="VCA",INDEX(APOIO_REDES!$A:$W,MATCH($C52&amp;$I52&amp;$H52&amp;$N52&amp;$O52,APOIO_REDES!$W:$W,0),MATCH(AV$5,APOIO_REDES!$5:$5,0)),0)*$AP52,0)</f>
        <v>0.067137609487963</v>
      </c>
      <c r="AW52" s="153" t="n">
        <f aca="false">IFERROR(IF($N52="VCA",INDEX(APOIO_REDES!$A:$W,MATCH($C52&amp;$I52&amp;$H52&amp;$N52&amp;$O52,APOIO_REDES!$W:$W,0),MATCH(AW$5,APOIO_REDES!$5:$5,0)),0)*$AP52,0)</f>
        <v>38.3249245433304</v>
      </c>
      <c r="AX52" s="153" t="n">
        <f aca="false">IFERROR(IF($N52="VCA",INDEX(APOIO_REDES!$A:$W,MATCH($C52&amp;$I52&amp;$H52&amp;$N52&amp;$O52,APOIO_REDES!$W:$W,0),MATCH(AX$5,APOIO_REDES!$5:$5,0)),0)*$AP52,0)</f>
        <v>5.30406038618288</v>
      </c>
      <c r="AY52" s="153" t="n">
        <f aca="false">IFERROR(IF($N52="VCA",INDEX(APOIO_REDES!$A:$W,MATCH($C52&amp;$I52&amp;$H52&amp;$N52&amp;$O52,APOIO_REDES!$W:$W,0),MATCH(AY$5,APOIO_REDES!$5:$5,0)),0)*$AP52,0)</f>
        <v>9.70251112034628</v>
      </c>
      <c r="AZ52" s="153" t="n">
        <f aca="false">IFERROR(IF($N52="VCA",INDEX(APOIO_REDES!$A:$W,MATCH($C52&amp;$I52&amp;$H52&amp;$N52&amp;$O52,APOIO_REDES!$W:$W,0),MATCH(AZ$5,APOIO_REDES!$5:$5,0)),0)*$AP52,0)</f>
        <v>1.34279949891771</v>
      </c>
      <c r="BA52" s="153" t="n">
        <f aca="false">IFERROR(IF(AND($N52="VCA",$Q52="LINEAR"),INDEX(APOIO_REDES!$A:$W,MATCH($C52&amp;$I52&amp;$H52&amp;$N52&amp;$O52,APOIO_REDES!$W:$W,0),MATCH(BA$5,APOIO_REDES!$5:$5,0)),IF(AND($N52="MND",$Q52="EMBOQUE"),INDEX(APOIO_REDES!$A:$W,MATCH($C52&amp;$I52&amp;$H52&amp;$N52&amp;$O52,APOIO_REDES!$W:$W,0),MATCH(BA$5,APOIO_REDES!$5:$5,0)),0))*$M52/10,0)</f>
        <v>4.109665381793</v>
      </c>
      <c r="BB52" s="153" t="n">
        <f aca="false">IFERROR(IF($N52="VCA",INDEX(APOIO_REDES!$A:$W,MATCH($C52&amp;$I52&amp;$H52&amp;$N52&amp;$O52,APOIO_REDES!$W:$W,0),MATCH(BB$5,APOIO_REDES!$5:$5,0)),0)*($AI52+$AQ52+$AR52),0)</f>
        <v>21.1827897572468</v>
      </c>
      <c r="BC52" s="153" t="n">
        <f aca="false">IFERROR(IF($N52="VCA",INDEX(APOIO_REDES!$A:$W,MATCH($C52&amp;$I52&amp;$H52&amp;$N52&amp;$O52,APOIO_REDES!$W:$W,0),MATCH(BC$5,APOIO_REDES!$5:$5,0)),0)*($AI52+$AQ52+$AR52),0)</f>
        <v>0.233010242753239</v>
      </c>
      <c r="BD52" s="153" t="n">
        <f aca="false">IF(AND($N52="VCA",$AF52&gt;=1.25,$AF52&lt;1.5),$M52*$AF52*2,0)</f>
        <v>148.8908</v>
      </c>
      <c r="BE52" s="153" t="n">
        <f aca="false">IF(AND($N52="VCA",$AF52&gt;=1.5,$AF52&lt;3),$M52*$AF52*2,0)</f>
        <v>0</v>
      </c>
      <c r="BF52" s="153" t="n">
        <f aca="false">IF(AND($N52="VCA",$AF52&gt;=3),$M52*$AF52*2,0)</f>
        <v>0</v>
      </c>
      <c r="BG52" s="153" t="n">
        <f aca="false">($BB52+$BC52)*$AK52</f>
        <v>36.40686</v>
      </c>
      <c r="BH52" s="153" t="n">
        <f aca="false">IF(AND($M52&lt;&gt;"",$N52="VCA",$Q52="LINEAR"),($M52*2)/100,IF(AND($M52&lt;&gt;"",$N52="MND",$Q52="EMBOQUE"),($AN52*2)/100,0))</f>
        <v>1.0198</v>
      </c>
      <c r="BI52" s="153" t="n">
        <f aca="false">IF(AND($M52&lt;&gt;"",$N52="VCA",$Q52="LINEAR"),$M52,IF(AND($M52&lt;&gt;"",$N52="MND",$Q52="EMBOQUE"),$AN52*2,0))</f>
        <v>50.99</v>
      </c>
      <c r="BJ52" s="153" t="n">
        <f aca="false">IF(AND($M52&lt;&gt;"",$N52="VCA",$Q52="LINEAR"),($M52*6.8)/100,IF(AND($M52&lt;&gt;"",$N52="MND",$Q52="EMBOQUE"),($AN52*2*6.8)/100,0))</f>
        <v>3.46732</v>
      </c>
      <c r="BK52" s="153" t="n">
        <f aca="false">IF(AND($M52&lt;&gt;"",$N52="VCA",$Q52="LINEAR"),($M52*2.5)/50,IF(AND($M52&lt;&gt;"",$N52="MND",$Q52="EMBOQUE"),($AN52*2*2.5)/50,0))</f>
        <v>2.5495</v>
      </c>
      <c r="BL52" s="157" t="str">
        <f aca="false">K52&amp;J52</f>
        <v>Zona01REDES</v>
      </c>
      <c r="BM52" s="152" t="s">
        <v>1559</v>
      </c>
      <c r="BN52" s="152" t="s">
        <v>1560</v>
      </c>
      <c r="BO52" s="152" t="s">
        <v>1561</v>
      </c>
      <c r="BP52" s="152" t="s">
        <v>1714</v>
      </c>
      <c r="BQ52" s="152" t="s">
        <v>1702</v>
      </c>
      <c r="BR52" s="152" t="s">
        <v>1726</v>
      </c>
      <c r="BS52" s="152" t="n">
        <v>203601.733</v>
      </c>
      <c r="BT52" s="152" t="n">
        <v>8238843.655</v>
      </c>
      <c r="BU52" s="152" t="n">
        <v>203617.769</v>
      </c>
      <c r="BV52" s="152" t="n">
        <v>8238891.835</v>
      </c>
      <c r="BW52" s="152" t="n">
        <v>-15.9117036</v>
      </c>
      <c r="BX52" s="152" t="n">
        <v>-47.7680789</v>
      </c>
      <c r="BY52" s="152" t="s">
        <v>1714</v>
      </c>
    </row>
    <row r="53" customFormat="false" ht="13.8" hidden="false" customHeight="false" outlineLevel="0" collapsed="false">
      <c r="A53" s="149" t="n">
        <f aca="false">IF(C53&lt;&gt;"",ROW(A48),"")</f>
        <v>48</v>
      </c>
      <c r="B53" s="150" t="str">
        <f aca="false">HYPERLINK("https://www.google.com/maps/dir/-15.917302,-47.760003/-15.9123200,-47.7683598/data=!4m3!4m2!3e0!5i0")</f>
        <v>https://www.google.com/maps/dir/-15.917302,-47.760003/-15.9123200,-47.7683598/data=!4m3!4m2!3e0!5i0</v>
      </c>
      <c r="C53" s="151" t="s">
        <v>117</v>
      </c>
      <c r="D53" s="152" t="s">
        <v>112</v>
      </c>
      <c r="E53" s="152" t="s">
        <v>113</v>
      </c>
      <c r="F53" s="152" t="s">
        <v>117</v>
      </c>
      <c r="G53" s="152" t="s">
        <v>782</v>
      </c>
      <c r="H53" s="152" t="n">
        <v>90</v>
      </c>
      <c r="I53" s="152" t="s">
        <v>115</v>
      </c>
      <c r="J53" s="152" t="s">
        <v>6</v>
      </c>
      <c r="K53" s="152" t="s">
        <v>1547</v>
      </c>
      <c r="L53" s="152" t="s">
        <v>120</v>
      </c>
      <c r="M53" s="153" t="n">
        <f aca="false">184.87</f>
        <v>184.87</v>
      </c>
      <c r="N53" s="152" t="s">
        <v>1548</v>
      </c>
      <c r="O53" s="152" t="s">
        <v>1549</v>
      </c>
      <c r="P53" s="152" t="s">
        <v>1550</v>
      </c>
      <c r="Q53" s="152" t="s">
        <v>1551</v>
      </c>
      <c r="R53" s="154" t="s">
        <v>1727</v>
      </c>
      <c r="S53" s="154" t="s">
        <v>1593</v>
      </c>
      <c r="T53" s="155" t="s">
        <v>1554</v>
      </c>
      <c r="U53" s="152" t="str">
        <f aca="false">RIGHT(T53,7)</f>
        <v>002/037</v>
      </c>
      <c r="V53" s="152" t="s">
        <v>1555</v>
      </c>
      <c r="W53" s="156" t="n">
        <v>45882</v>
      </c>
      <c r="X53" s="152" t="s">
        <v>1556</v>
      </c>
      <c r="Y53" s="152"/>
      <c r="Z53" s="152" t="s">
        <v>1557</v>
      </c>
      <c r="AA53" s="153" t="n">
        <v>1.8</v>
      </c>
      <c r="AB53" s="151" t="s">
        <v>1728</v>
      </c>
      <c r="AC53" s="151" t="s">
        <v>526</v>
      </c>
      <c r="AD53" s="151" t="str">
        <f aca="false">CONCATENATE($C53,$I53,$H53,$N53,$J53,$K53)</f>
        <v>TUBO PEADPEAD90VCAREDESZona01</v>
      </c>
      <c r="AE53" s="153" t="n">
        <f aca="false">IFERROR(INDEX(APOIO_REDES!$A:$W,MATCH($C53&amp;$I53&amp;$H53&amp;$N53&amp;$O53,APOIO_REDES!$W:$W,0),MATCH(AE$5,APOIO_REDES!$5:$5,0)),0)</f>
        <v>1.2</v>
      </c>
      <c r="AF53" s="153" t="n">
        <f aca="false">IFERROR(INDEX(APOIO_REDES!$A:$W,MATCH($C53&amp;$I53&amp;$H53&amp;$N53&amp;$O53,APOIO_REDES!$W:$W,0),MATCH(AF$5,APOIO_REDES!$5:$5,0)),0)</f>
        <v>1.39</v>
      </c>
      <c r="AG53" s="153" t="n">
        <f aca="false">IFERROR(INDEX(APOIO_REDES!$A:$W,MATCH($C53&amp;$I53&amp;$H53&amp;$N53&amp;$O53,APOIO_REDES!$W:$W,0),MATCH(AG$5,APOIO_REDES!$5:$5,0)),0)</f>
        <v>0.75</v>
      </c>
      <c r="AH53" s="153" t="n">
        <f aca="false">IFERROR(INDEX(APOIO_REDES!$A:$W,MATCH($C53&amp;$I53&amp;$H53&amp;$N53&amp;$O53,APOIO_REDES!$W:$W,0),MATCH(AH$5,APOIO_REDES!$5:$5,0)),0)</f>
        <v>0.1</v>
      </c>
      <c r="AI53" s="153" t="n">
        <f aca="false">IFERROR(IF($H53&lt;&gt;"",(((($H53/1000)/2)^2)*PI()*$M53),0),0)</f>
        <v>1.17609212358502</v>
      </c>
      <c r="AJ53" s="153" t="n">
        <f aca="false">IFERROR(IF(AND($H53&lt;&gt;"",$I53="FoFo",OR($N53="MND",$N53="VCA"),$Q53="LINEAR"),0,IF(AND($H53&lt;&gt;"",$I53="PEAD",$N53="VCA",$Q53="LINEAR"),($H53/1000)+0.3,IF(AND($H53&lt;&gt;"",$I53="PEAD",$N53="MND",$Q53="EMBOQUE"),0,IF(AND($H53&lt;&gt;"",$I53="PVC",$N53="VCA",$Q53="LINEAR"),($H53/1000)+0.2,IF(AND($H53&lt;&gt;"",$I53="PVC",$N53="MND",$Q53="EMBOQUE"),0,IF(AND($H53&lt;&gt;"",$I53="PEAD",$N53="VCA",$Q53="PREDIAL"),0,0)))))),0)</f>
        <v>0.39</v>
      </c>
      <c r="AK53" s="153" t="n">
        <f aca="false">IF(AA53&lt;&gt;"",AA53,0)</f>
        <v>1.8</v>
      </c>
      <c r="AL53" s="153" t="n">
        <f aca="false">IF(AND($N53="MND",$Q53="EMBOQUE"),$M53,IF(AND($N53="VCA",$Q53="LINEAR"),$M53,IF(AND($N53="VCA",$Q53="PREDIAL"),0,0)))</f>
        <v>184.87</v>
      </c>
      <c r="AM53" s="153" t="n">
        <f aca="false">IF(AND($N53="MND",$Q53="EMBOQUE"),$M53,IF(AND($N53="VCA",$Q53="LINEAR"),$M53,IF(AND($N53="VCA",$Q53="PREDIAL"),0,0)))</f>
        <v>184.87</v>
      </c>
      <c r="AN53" s="153" t="n">
        <f aca="false">ROUND(IF(AND($N53="VCA",$M53&lt;&gt;"",$Q53="LINEAR"),$M53/100,IF(AND($N53="MND",$M53&gt;100,$Q53="EMBOQUE"),$M53/100,0)),0)</f>
        <v>2</v>
      </c>
      <c r="AO53" s="153" t="n">
        <f aca="false">IF(AND($N53="MND",$Q53="EMBOQUE"),$AN53*2*2,IF(AND($N53="VCA",$Q53="LINEAR"),$M53*2,IF(AND($N53="VCA",$Q53="PREDIAL"),0,0)))</f>
        <v>369.74</v>
      </c>
      <c r="AP53" s="153" t="n">
        <f aca="false">IFERROR($M53*$AF53*$AG53,0)</f>
        <v>192.726975</v>
      </c>
      <c r="AQ53" s="153" t="n">
        <f aca="false">IFERROR(IF(AND($N53="VCA",$AH53&gt;0),$M53*$AG53*$AH53,0),0)</f>
        <v>13.86525</v>
      </c>
      <c r="AR53" s="153" t="n">
        <f aca="false">IFERROR(IF(AND($N53="VCA",$AJ53&gt;0),($M53*$AG53*$AJ53)-$AI53,0),0)</f>
        <v>52.898382876415</v>
      </c>
      <c r="AS53" s="153" t="n">
        <f aca="false">IFERROR(IF(AND($N53="VCA",$AP53&gt;0),$AP53-$AI53-$AQ53-$AR53,0),0)</f>
        <v>124.78725</v>
      </c>
      <c r="AT53" s="153" t="n">
        <f aca="false">IFERROR(IF($N53="VCA",INDEX(APOIO_REDES!$A:$W,MATCH($C53&amp;$I53&amp;$H53&amp;$N53&amp;$O53,APOIO_REDES!$W:$W,0),MATCH(AT$5,APOIO_REDES!$5:$5,0)),0)*$AP53,0)</f>
        <v>2.09692653227278</v>
      </c>
      <c r="AU53" s="153" t="n">
        <f aca="false">IFERROR(IF($N53="VCA",INDEX(APOIO_REDES!$A:$W,MATCH($C53&amp;$I53&amp;$H53&amp;$N53&amp;$O53,APOIO_REDES!$W:$W,0),MATCH(AU$5,APOIO_REDES!$5:$5,0)),0)*$AP53,0)</f>
        <v>1.67454873670016</v>
      </c>
      <c r="AV53" s="153" t="n">
        <f aca="false">IFERROR(IF($N53="VCA",INDEX(APOIO_REDES!$A:$W,MATCH($C53&amp;$I53&amp;$H53&amp;$N53&amp;$O53,APOIO_REDES!$W:$W,0),MATCH(AV$5,APOIO_REDES!$5:$5,0)),0)*$AP53,0)</f>
        <v>0.231744399436301</v>
      </c>
      <c r="AW53" s="153" t="n">
        <f aca="false">IFERROR(IF($N53="VCA",INDEX(APOIO_REDES!$A:$W,MATCH($C53&amp;$I53&amp;$H53&amp;$N53&amp;$O53,APOIO_REDES!$W:$W,0),MATCH(AW$5,APOIO_REDES!$5:$5,0)),0)*$AP53,0)</f>
        <v>132.289288961473</v>
      </c>
      <c r="AX53" s="153" t="n">
        <f aca="false">IFERROR(IF($N53="VCA",INDEX(APOIO_REDES!$A:$W,MATCH($C53&amp;$I53&amp;$H53&amp;$N53&amp;$O53,APOIO_REDES!$W:$W,0),MATCH(AX$5,APOIO_REDES!$5:$5,0)),0)*$AP53,0)</f>
        <v>18.3084607590952</v>
      </c>
      <c r="AY53" s="153" t="n">
        <f aca="false">IFERROR(IF($N53="VCA",INDEX(APOIO_REDES!$A:$W,MATCH($C53&amp;$I53&amp;$H53&amp;$N53&amp;$O53,APOIO_REDES!$W:$W,0),MATCH(AY$5,APOIO_REDES!$5:$5,0)),0)*$AP53,0)</f>
        <v>33.4909543213899</v>
      </c>
      <c r="AZ53" s="153" t="n">
        <f aca="false">IFERROR(IF($N53="VCA",INDEX(APOIO_REDES!$A:$W,MATCH($C53&amp;$I53&amp;$H53&amp;$N53&amp;$O53,APOIO_REDES!$W:$W,0),MATCH(AZ$5,APOIO_REDES!$5:$5,0)),0)*$AP53,0)</f>
        <v>4.63505128963287</v>
      </c>
      <c r="BA53" s="153" t="n">
        <f aca="false">IFERROR(IF(AND($N53="VCA",$Q53="LINEAR"),INDEX(APOIO_REDES!$A:$W,MATCH($C53&amp;$I53&amp;$H53&amp;$N53&amp;$O53,APOIO_REDES!$W:$W,0),MATCH(BA$5,APOIO_REDES!$5:$5,0)),IF(AND($N53="MND",$Q53="EMBOQUE"),INDEX(APOIO_REDES!$A:$W,MATCH($C53&amp;$I53&amp;$H53&amp;$N53&amp;$O53,APOIO_REDES!$W:$W,0),MATCH(BA$5,APOIO_REDES!$5:$5,0)),0))*$M53/10,0)</f>
        <v>14.900055680174</v>
      </c>
      <c r="BB53" s="153" t="n">
        <f aca="false">IFERROR(IF($N53="VCA",INDEX(APOIO_REDES!$A:$W,MATCH($C53&amp;$I53&amp;$H53&amp;$N53&amp;$O53,APOIO_REDES!$W:$W,0),MATCH(BB$5,APOIO_REDES!$5:$5,0)),0)*($AI53+$AQ53+$AR53),0)</f>
        <v>67.2005206828679</v>
      </c>
      <c r="BC53" s="153" t="n">
        <f aca="false">IFERROR(IF($N53="VCA",INDEX(APOIO_REDES!$A:$W,MATCH($C53&amp;$I53&amp;$H53&amp;$N53&amp;$O53,APOIO_REDES!$W:$W,0),MATCH(BC$5,APOIO_REDES!$5:$5,0)),0)*($AI53+$AQ53+$AR53),0)</f>
        <v>0.739204317132132</v>
      </c>
      <c r="BD53" s="153" t="n">
        <f aca="false">IF(AND($N53="VCA",$AF53&gt;=1.25,$AF53&lt;1.5),$M53*$AF53*2,0)</f>
        <v>513.9386</v>
      </c>
      <c r="BE53" s="153" t="n">
        <f aca="false">IF(AND($N53="VCA",$AF53&gt;=1.5,$AF53&lt;3),$M53*$AF53*2,0)</f>
        <v>0</v>
      </c>
      <c r="BF53" s="153" t="n">
        <f aca="false">IF(AND($N53="VCA",$AF53&gt;=3),$M53*$AF53*2,0)</f>
        <v>0</v>
      </c>
      <c r="BG53" s="153" t="n">
        <f aca="false">($BB53+$BC53)*$AK53</f>
        <v>122.291505</v>
      </c>
      <c r="BH53" s="153" t="n">
        <f aca="false">IF(AND($M53&lt;&gt;"",$N53="VCA",$Q53="LINEAR"),($M53*2)/100,IF(AND($M53&lt;&gt;"",$N53="MND",$Q53="EMBOQUE"),($AN53*2)/100,0))</f>
        <v>3.6974</v>
      </c>
      <c r="BI53" s="153" t="n">
        <f aca="false">IF(AND($M53&lt;&gt;"",$N53="VCA",$Q53="LINEAR"),$M53,IF(AND($M53&lt;&gt;"",$N53="MND",$Q53="EMBOQUE"),$AN53*2,0))</f>
        <v>184.87</v>
      </c>
      <c r="BJ53" s="153" t="n">
        <f aca="false">IF(AND($M53&lt;&gt;"",$N53="VCA",$Q53="LINEAR"),($M53*6.8)/100,IF(AND($M53&lt;&gt;"",$N53="MND",$Q53="EMBOQUE"),($AN53*2*6.8)/100,0))</f>
        <v>12.57116</v>
      </c>
      <c r="BK53" s="153" t="n">
        <f aca="false">IF(AND($M53&lt;&gt;"",$N53="VCA",$Q53="LINEAR"),($M53*2.5)/50,IF(AND($M53&lt;&gt;"",$N53="MND",$Q53="EMBOQUE"),($AN53*2*2.5)/50,0))</f>
        <v>9.2435</v>
      </c>
      <c r="BL53" s="157" t="str">
        <f aca="false">K53&amp;J53</f>
        <v>Zona01REDES</v>
      </c>
      <c r="BM53" s="152" t="s">
        <v>1559</v>
      </c>
      <c r="BN53" s="152" t="s">
        <v>1560</v>
      </c>
      <c r="BO53" s="152" t="s">
        <v>1561</v>
      </c>
      <c r="BP53" s="152" t="s">
        <v>1729</v>
      </c>
      <c r="BQ53" s="152" t="s">
        <v>1718</v>
      </c>
      <c r="BR53" s="152" t="s">
        <v>1730</v>
      </c>
      <c r="BS53" s="152" t="n">
        <v>203581.342</v>
      </c>
      <c r="BT53" s="152" t="n">
        <v>8238798.838</v>
      </c>
      <c r="BU53" s="152" t="n">
        <v>203436.15</v>
      </c>
      <c r="BV53" s="152" t="n">
        <v>8238876.972</v>
      </c>
      <c r="BW53" s="152" t="n">
        <v>-15.911806</v>
      </c>
      <c r="BX53" s="152" t="n">
        <v>-47.7690392</v>
      </c>
      <c r="BY53" s="152" t="s">
        <v>1729</v>
      </c>
    </row>
    <row r="54" customFormat="false" ht="13.8" hidden="false" customHeight="false" outlineLevel="0" collapsed="false">
      <c r="A54" s="149" t="n">
        <f aca="false">IF(C54&lt;&gt;"",ROW(A49),"")</f>
        <v>49</v>
      </c>
      <c r="B54" s="150" t="str">
        <f aca="false">HYPERLINK("https://www.google.com/maps/dir/-15.917302,-47.760003/-15.9117158,-47.7698002/data=!4m3!4m2!3e0!5i0")</f>
        <v>https://www.google.com/maps/dir/-15.917302,-47.760003/-15.9117158,-47.7698002/data=!4m3!4m2!3e0!5i0</v>
      </c>
      <c r="C54" s="151" t="s">
        <v>117</v>
      </c>
      <c r="D54" s="152" t="s">
        <v>112</v>
      </c>
      <c r="E54" s="152" t="s">
        <v>113</v>
      </c>
      <c r="F54" s="152" t="s">
        <v>117</v>
      </c>
      <c r="G54" s="152" t="s">
        <v>782</v>
      </c>
      <c r="H54" s="152" t="n">
        <v>63</v>
      </c>
      <c r="I54" s="152" t="s">
        <v>115</v>
      </c>
      <c r="J54" s="152" t="s">
        <v>6</v>
      </c>
      <c r="K54" s="152" t="s">
        <v>1547</v>
      </c>
      <c r="L54" s="152" t="s">
        <v>120</v>
      </c>
      <c r="M54" s="153" t="n">
        <f aca="false">42.09</f>
        <v>42.09</v>
      </c>
      <c r="N54" s="152" t="s">
        <v>1548</v>
      </c>
      <c r="O54" s="152" t="s">
        <v>1549</v>
      </c>
      <c r="P54" s="152" t="s">
        <v>1550</v>
      </c>
      <c r="Q54" s="152" t="s">
        <v>1551</v>
      </c>
      <c r="R54" s="154" t="s">
        <v>1731</v>
      </c>
      <c r="S54" s="154" t="s">
        <v>1553</v>
      </c>
      <c r="T54" s="155" t="s">
        <v>1554</v>
      </c>
      <c r="U54" s="152" t="str">
        <f aca="false">RIGHT(T54,7)</f>
        <v>002/037</v>
      </c>
      <c r="V54" s="152" t="s">
        <v>1555</v>
      </c>
      <c r="W54" s="156" t="n">
        <v>45882</v>
      </c>
      <c r="X54" s="152" t="s">
        <v>1556</v>
      </c>
      <c r="Y54" s="152"/>
      <c r="Z54" s="152" t="s">
        <v>1557</v>
      </c>
      <c r="AA54" s="153" t="n">
        <v>2</v>
      </c>
      <c r="AB54" s="151" t="s">
        <v>1732</v>
      </c>
      <c r="AC54" s="151" t="s">
        <v>186</v>
      </c>
      <c r="AD54" s="151" t="str">
        <f aca="false">CONCATENATE($C54,$I54,$H54,$N54,$J54,$K54)</f>
        <v>TUBO PEADPEAD63VCAREDESZona01</v>
      </c>
      <c r="AE54" s="153" t="n">
        <f aca="false">IFERROR(INDEX(APOIO_REDES!$A:$W,MATCH($C54&amp;$I54&amp;$H54&amp;$N54&amp;$O54,APOIO_REDES!$W:$W,0),MATCH(AE$5,APOIO_REDES!$5:$5,0)),0)</f>
        <v>1.2</v>
      </c>
      <c r="AF54" s="153" t="n">
        <f aca="false">IFERROR(INDEX(APOIO_REDES!$A:$W,MATCH($C54&amp;$I54&amp;$H54&amp;$N54&amp;$O54,APOIO_REDES!$W:$W,0),MATCH(AF$5,APOIO_REDES!$5:$5,0)),0)</f>
        <v>1.363</v>
      </c>
      <c r="AG54" s="153" t="n">
        <f aca="false">IFERROR(INDEX(APOIO_REDES!$A:$W,MATCH($C54&amp;$I54&amp;$H54&amp;$N54&amp;$O54,APOIO_REDES!$W:$W,0),MATCH(AG$5,APOIO_REDES!$5:$5,0)),0)</f>
        <v>0.65</v>
      </c>
      <c r="AH54" s="153" t="n">
        <f aca="false">IFERROR(INDEX(APOIO_REDES!$A:$W,MATCH($C54&amp;$I54&amp;$H54&amp;$N54&amp;$O54,APOIO_REDES!$W:$W,0),MATCH(AH$5,APOIO_REDES!$5:$5,0)),0)</f>
        <v>0.1</v>
      </c>
      <c r="AI54" s="153" t="n">
        <f aca="false">IFERROR(IF($H54&lt;&gt;"",(((($H54/1000)/2)^2)*PI()*$M54),0),0)</f>
        <v>0.131204855119975</v>
      </c>
      <c r="AJ54" s="153" t="n">
        <f aca="false">IFERROR(IF(AND($H54&lt;&gt;"",$I54="FoFo",OR($N54="MND",$N54="VCA"),$Q54="LINEAR"),0,IF(AND($H54&lt;&gt;"",$I54="PEAD",$N54="VCA",$Q54="LINEAR"),($H54/1000)+0.3,IF(AND($H54&lt;&gt;"",$I54="PEAD",$N54="MND",$Q54="EMBOQUE"),0,IF(AND($H54&lt;&gt;"",$I54="PVC",$N54="VCA",$Q54="LINEAR"),($H54/1000)+0.2,IF(AND($H54&lt;&gt;"",$I54="PVC",$N54="MND",$Q54="EMBOQUE"),0,IF(AND($H54&lt;&gt;"",$I54="PEAD",$N54="VCA",$Q54="PREDIAL"),0,0)))))),0)</f>
        <v>0.363</v>
      </c>
      <c r="AK54" s="153" t="n">
        <f aca="false">IF(AA54&lt;&gt;"",AA54,0)</f>
        <v>2</v>
      </c>
      <c r="AL54" s="153" t="n">
        <f aca="false">IF(AND($N54="MND",$Q54="EMBOQUE"),$M54,IF(AND($N54="VCA",$Q54="LINEAR"),$M54,IF(AND($N54="VCA",$Q54="PREDIAL"),0,0)))</f>
        <v>42.09</v>
      </c>
      <c r="AM54" s="153" t="n">
        <f aca="false">IF(AND($N54="MND",$Q54="EMBOQUE"),$M54,IF(AND($N54="VCA",$Q54="LINEAR"),$M54,IF(AND($N54="VCA",$Q54="PREDIAL"),0,0)))</f>
        <v>42.09</v>
      </c>
      <c r="AN54" s="153" t="n">
        <f aca="false">ROUND(IF(AND($N54="VCA",$M54&lt;&gt;"",$Q54="LINEAR"),$M54/100,IF(AND($N54="MND",$M54&gt;100,$Q54="EMBOQUE"),$M54/100,0)),0)</f>
        <v>0</v>
      </c>
      <c r="AO54" s="153" t="n">
        <f aca="false">IF(AND($N54="MND",$Q54="EMBOQUE"),$AN54*2*2,IF(AND($N54="VCA",$Q54="LINEAR"),$M54*2,IF(AND($N54="VCA",$Q54="PREDIAL"),0,0)))</f>
        <v>84.18</v>
      </c>
      <c r="AP54" s="153" t="n">
        <f aca="false">IFERROR($M54*$AF54*$AG54,0)</f>
        <v>37.2896355</v>
      </c>
      <c r="AQ54" s="153" t="n">
        <f aca="false">IFERROR(IF(AND($N54="VCA",$AH54&gt;0),$M54*$AG54*$AH54,0),0)</f>
        <v>2.73585</v>
      </c>
      <c r="AR54" s="153" t="n">
        <f aca="false">IFERROR(IF(AND($N54="VCA",$AJ54&gt;0),($M54*$AG54*$AJ54)-$AI54,0),0)</f>
        <v>9.79993064488003</v>
      </c>
      <c r="AS54" s="153" t="n">
        <f aca="false">IFERROR(IF(AND($N54="VCA",$AP54&gt;0),$AP54-$AI54-$AQ54-$AR54,0),0)</f>
        <v>24.62265</v>
      </c>
      <c r="AT54" s="153" t="n">
        <f aca="false">IFERROR(IF($N54="VCA",INDEX(APOIO_REDES!$A:$W,MATCH($C54&amp;$I54&amp;$H54&amp;$N54&amp;$O54,APOIO_REDES!$W:$W,0),MATCH(AT$5,APOIO_REDES!$5:$5,0)),0)*$AP54,0)</f>
        <v>0.405722271408717</v>
      </c>
      <c r="AU54" s="153" t="n">
        <f aca="false">IFERROR(IF($N54="VCA",INDEX(APOIO_REDES!$A:$W,MATCH($C54&amp;$I54&amp;$H54&amp;$N54&amp;$O54,APOIO_REDES!$W:$W,0),MATCH(AU$5,APOIO_REDES!$5:$5,0)),0)*$AP54,0)</f>
        <v>0.323998817594343</v>
      </c>
      <c r="AV54" s="153" t="n">
        <f aca="false">IFERROR(IF($N54="VCA",INDEX(APOIO_REDES!$A:$W,MATCH($C54&amp;$I54&amp;$H54&amp;$N54&amp;$O54,APOIO_REDES!$W:$W,0),MATCH(AV$5,APOIO_REDES!$5:$5,0)),0)*$AP54,0)</f>
        <v>0.0448388928646136</v>
      </c>
      <c r="AW54" s="153" t="n">
        <f aca="false">IFERROR(IF($N54="VCA",INDEX(APOIO_REDES!$A:$W,MATCH($C54&amp;$I54&amp;$H54&amp;$N54&amp;$O54,APOIO_REDES!$W:$W,0),MATCH(AW$5,APOIO_REDES!$5:$5,0)),0)*$AP54,0)</f>
        <v>25.5958947413952</v>
      </c>
      <c r="AX54" s="153" t="n">
        <f aca="false">IFERROR(IF($N54="VCA",INDEX(APOIO_REDES!$A:$W,MATCH($C54&amp;$I54&amp;$H54&amp;$N54&amp;$O54,APOIO_REDES!$W:$W,0),MATCH(AX$5,APOIO_REDES!$5:$5,0)),0)*$AP54,0)</f>
        <v>3.54239892092279</v>
      </c>
      <c r="AY54" s="153" t="n">
        <f aca="false">IFERROR(IF($N54="VCA",INDEX(APOIO_REDES!$A:$W,MATCH($C54&amp;$I54&amp;$H54&amp;$N54&amp;$O54,APOIO_REDES!$W:$W,0),MATCH(AY$5,APOIO_REDES!$5:$5,0)),0)*$AP54,0)</f>
        <v>6.47997240236754</v>
      </c>
      <c r="AZ54" s="153" t="n">
        <f aca="false">IFERROR(IF($N54="VCA",INDEX(APOIO_REDES!$A:$W,MATCH($C54&amp;$I54&amp;$H54&amp;$N54&amp;$O54,APOIO_REDES!$W:$W,0),MATCH(AZ$5,APOIO_REDES!$5:$5,0)),0)*$AP54,0)</f>
        <v>0.89680945344685</v>
      </c>
      <c r="BA54" s="153" t="n">
        <f aca="false">IFERROR(IF(AND($N54="VCA",$Q54="LINEAR"),INDEX(APOIO_REDES!$A:$W,MATCH($C54&amp;$I54&amp;$H54&amp;$N54&amp;$O54,APOIO_REDES!$W:$W,0),MATCH(BA$5,APOIO_REDES!$5:$5,0)),IF(AND($N54="MND",$Q54="EMBOQUE"),INDEX(APOIO_REDES!$A:$W,MATCH($C54&amp;$I54&amp;$H54&amp;$N54&amp;$O54,APOIO_REDES!$W:$W,0),MATCH(BA$5,APOIO_REDES!$5:$5,0)),0))*$M54/10,0)</f>
        <v>3.39234783133295</v>
      </c>
      <c r="BB54" s="153" t="n">
        <f aca="false">IFERROR(IF($N54="VCA",INDEX(APOIO_REDES!$A:$W,MATCH($C54&amp;$I54&amp;$H54&amp;$N54&amp;$O54,APOIO_REDES!$W:$W,0),MATCH(BB$5,APOIO_REDES!$5:$5,0)),0)*($AI54+$AQ54+$AR54),0)</f>
        <v>12.5291649485237</v>
      </c>
      <c r="BC54" s="153" t="n">
        <f aca="false">IFERROR(IF($N54="VCA",INDEX(APOIO_REDES!$A:$W,MATCH($C54&amp;$I54&amp;$H54&amp;$N54&amp;$O54,APOIO_REDES!$W:$W,0),MATCH(BC$5,APOIO_REDES!$5:$5,0)),0)*($AI54+$AQ54+$AR54),0)</f>
        <v>0.137820551476329</v>
      </c>
      <c r="BD54" s="153" t="n">
        <f aca="false">IF(AND($N54="VCA",$AF54&gt;=1.25,$AF54&lt;1.5),$M54*$AF54*2,0)</f>
        <v>114.73734</v>
      </c>
      <c r="BE54" s="153" t="n">
        <f aca="false">IF(AND($N54="VCA",$AF54&gt;=1.5,$AF54&lt;3),$M54*$AF54*2,0)</f>
        <v>0</v>
      </c>
      <c r="BF54" s="153" t="n">
        <f aca="false">IF(AND($N54="VCA",$AF54&gt;=3),$M54*$AF54*2,0)</f>
        <v>0</v>
      </c>
      <c r="BG54" s="153" t="n">
        <f aca="false">($BB54+$BC54)*$AK54</f>
        <v>25.333971</v>
      </c>
      <c r="BH54" s="153" t="n">
        <f aca="false">IF(AND($M54&lt;&gt;"",$N54="VCA",$Q54="LINEAR"),($M54*2)/100,IF(AND($M54&lt;&gt;"",$N54="MND",$Q54="EMBOQUE"),($AN54*2)/100,0))</f>
        <v>0.8418</v>
      </c>
      <c r="BI54" s="153" t="n">
        <f aca="false">IF(AND($M54&lt;&gt;"",$N54="VCA",$Q54="LINEAR"),$M54,IF(AND($M54&lt;&gt;"",$N54="MND",$Q54="EMBOQUE"),$AN54*2,0))</f>
        <v>42.09</v>
      </c>
      <c r="BJ54" s="153" t="n">
        <f aca="false">IF(AND($M54&lt;&gt;"",$N54="VCA",$Q54="LINEAR"),($M54*6.8)/100,IF(AND($M54&lt;&gt;"",$N54="MND",$Q54="EMBOQUE"),($AN54*2*6.8)/100,0))</f>
        <v>2.86212</v>
      </c>
      <c r="BK54" s="153" t="n">
        <f aca="false">IF(AND($M54&lt;&gt;"",$N54="VCA",$Q54="LINEAR"),($M54*2.5)/50,IF(AND($M54&lt;&gt;"",$N54="MND",$Q54="EMBOQUE"),($AN54*2*2.5)/50,0))</f>
        <v>2.1045</v>
      </c>
      <c r="BL54" s="157" t="str">
        <f aca="false">K54&amp;J54</f>
        <v>Zona01REDES</v>
      </c>
      <c r="BM54" s="152" t="s">
        <v>1559</v>
      </c>
      <c r="BN54" s="152" t="s">
        <v>1560</v>
      </c>
      <c r="BO54" s="152" t="s">
        <v>1561</v>
      </c>
      <c r="BP54" s="152" t="s">
        <v>1722</v>
      </c>
      <c r="BQ54" s="152" t="s">
        <v>1733</v>
      </c>
      <c r="BR54" s="152" t="s">
        <v>1734</v>
      </c>
      <c r="BS54" s="152" t="n">
        <v>203426.131</v>
      </c>
      <c r="BT54" s="152" t="n">
        <v>8238863.702</v>
      </c>
      <c r="BU54" s="152" t="n">
        <v>203400.567</v>
      </c>
      <c r="BV54" s="152" t="n">
        <v>8238830.262</v>
      </c>
      <c r="BW54" s="152" t="n">
        <v>-15.9118659</v>
      </c>
      <c r="BX54" s="152" t="n">
        <v>-47.7699206</v>
      </c>
      <c r="BY54" s="152" t="s">
        <v>1722</v>
      </c>
    </row>
    <row r="55" customFormat="false" ht="13.8" hidden="false" customHeight="false" outlineLevel="0" collapsed="false">
      <c r="A55" s="149" t="n">
        <f aca="false">IF(C55&lt;&gt;"",ROW(A50),"")</f>
        <v>50</v>
      </c>
      <c r="B55" s="150" t="str">
        <f aca="false">HYPERLINK("https://www.google.com/maps/dir/-15.917302,-47.760003/-15.9123200,-47.7683598/data=!4m3!4m2!3e0!5i0")</f>
        <v>https://www.google.com/maps/dir/-15.917302,-47.760003/-15.9123200,-47.7683598/data=!4m3!4m2!3e0!5i0</v>
      </c>
      <c r="C55" s="151" t="s">
        <v>117</v>
      </c>
      <c r="D55" s="152" t="s">
        <v>112</v>
      </c>
      <c r="E55" s="152" t="s">
        <v>113</v>
      </c>
      <c r="F55" s="152" t="s">
        <v>117</v>
      </c>
      <c r="G55" s="152" t="s">
        <v>114</v>
      </c>
      <c r="H55" s="152" t="n">
        <v>160</v>
      </c>
      <c r="I55" s="152" t="s">
        <v>115</v>
      </c>
      <c r="J55" s="152" t="s">
        <v>6</v>
      </c>
      <c r="K55" s="152" t="s">
        <v>1547</v>
      </c>
      <c r="L55" s="152" t="s">
        <v>120</v>
      </c>
      <c r="M55" s="153" t="n">
        <f aca="false">49.75</f>
        <v>49.75</v>
      </c>
      <c r="N55" s="152" t="s">
        <v>1548</v>
      </c>
      <c r="O55" s="152" t="s">
        <v>1549</v>
      </c>
      <c r="P55" s="152" t="s">
        <v>1550</v>
      </c>
      <c r="Q55" s="152" t="s">
        <v>1551</v>
      </c>
      <c r="R55" s="154" t="s">
        <v>1735</v>
      </c>
      <c r="S55" s="154" t="s">
        <v>1593</v>
      </c>
      <c r="T55" s="155" t="s">
        <v>1554</v>
      </c>
      <c r="U55" s="152" t="str">
        <f aca="false">RIGHT(T55,7)</f>
        <v>002/037</v>
      </c>
      <c r="V55" s="152" t="s">
        <v>1555</v>
      </c>
      <c r="W55" s="156" t="n">
        <v>45882</v>
      </c>
      <c r="X55" s="152" t="s">
        <v>1556</v>
      </c>
      <c r="Y55" s="152"/>
      <c r="Z55" s="152" t="s">
        <v>1557</v>
      </c>
      <c r="AA55" s="153" t="n">
        <v>1.8</v>
      </c>
      <c r="AB55" s="151" t="s">
        <v>1736</v>
      </c>
      <c r="AC55" s="151" t="s">
        <v>505</v>
      </c>
      <c r="AD55" s="151" t="str">
        <f aca="false">CONCATENATE($C55,$I55,$H55,$N55,$J55,$K55)</f>
        <v>TUBO PEADPEAD160VCAREDESZona01</v>
      </c>
      <c r="AE55" s="153" t="n">
        <f aca="false">IFERROR(INDEX(APOIO_REDES!$A:$W,MATCH($C55&amp;$I55&amp;$H55&amp;$N55&amp;$O55,APOIO_REDES!$W:$W,0),MATCH(AE$5,APOIO_REDES!$5:$5,0)),0)</f>
        <v>1.2</v>
      </c>
      <c r="AF55" s="153" t="n">
        <f aca="false">IFERROR(INDEX(APOIO_REDES!$A:$W,MATCH($C55&amp;$I55&amp;$H55&amp;$N55&amp;$O55,APOIO_REDES!$W:$W,0),MATCH(AF$5,APOIO_REDES!$5:$5,0)),0)</f>
        <v>1.46</v>
      </c>
      <c r="AG55" s="153" t="n">
        <f aca="false">IFERROR(INDEX(APOIO_REDES!$A:$W,MATCH($C55&amp;$I55&amp;$H55&amp;$N55&amp;$O55,APOIO_REDES!$W:$W,0),MATCH(AG$5,APOIO_REDES!$5:$5,0)),0)</f>
        <v>0.75</v>
      </c>
      <c r="AH55" s="153" t="n">
        <f aca="false">IFERROR(INDEX(APOIO_REDES!$A:$W,MATCH($C55&amp;$I55&amp;$H55&amp;$N55&amp;$O55,APOIO_REDES!$W:$W,0),MATCH(AH$5,APOIO_REDES!$5:$5,0)),0)</f>
        <v>0.1</v>
      </c>
      <c r="AI55" s="153" t="n">
        <f aca="false">IFERROR(IF($H55&lt;&gt;"",(((($H55/1000)/2)^2)*PI()*$M55),0),0)</f>
        <v>1.00028310090299</v>
      </c>
      <c r="AJ55" s="153" t="n">
        <f aca="false">IFERROR(IF(AND($H55&lt;&gt;"",$I55="FoFo",OR($N55="MND",$N55="VCA"),$Q55="LINEAR"),0,IF(AND($H55&lt;&gt;"",$I55="PEAD",$N55="VCA",$Q55="LINEAR"),($H55/1000)+0.3,IF(AND($H55&lt;&gt;"",$I55="PEAD",$N55="MND",$Q55="EMBOQUE"),0,IF(AND($H55&lt;&gt;"",$I55="PVC",$N55="VCA",$Q55="LINEAR"),($H55/1000)+0.2,IF(AND($H55&lt;&gt;"",$I55="PVC",$N55="MND",$Q55="EMBOQUE"),0,IF(AND($H55&lt;&gt;"",$I55="PEAD",$N55="VCA",$Q55="PREDIAL"),0,0)))))),0)</f>
        <v>0.46</v>
      </c>
      <c r="AK55" s="153" t="n">
        <f aca="false">IF(AA55&lt;&gt;"",AA55,0)</f>
        <v>1.8</v>
      </c>
      <c r="AL55" s="153" t="n">
        <f aca="false">IF(AND($N55="MND",$Q55="EMBOQUE"),$M55,IF(AND($N55="VCA",$Q55="LINEAR"),$M55,IF(AND($N55="VCA",$Q55="PREDIAL"),0,0)))</f>
        <v>49.75</v>
      </c>
      <c r="AM55" s="153" t="n">
        <f aca="false">IF(AND($N55="MND",$Q55="EMBOQUE"),$M55,IF(AND($N55="VCA",$Q55="LINEAR"),$M55,IF(AND($N55="VCA",$Q55="PREDIAL"),0,0)))</f>
        <v>49.75</v>
      </c>
      <c r="AN55" s="153" t="n">
        <f aca="false">ROUND(IF(AND($N55="VCA",$M55&lt;&gt;"",$Q55="LINEAR"),$M55/100,IF(AND($N55="MND",$M55&gt;100,$Q55="EMBOQUE"),$M55/100,0)),0)</f>
        <v>0</v>
      </c>
      <c r="AO55" s="153" t="n">
        <f aca="false">IF(AND($N55="MND",$Q55="EMBOQUE"),$AN55*2*2,IF(AND($N55="VCA",$Q55="LINEAR"),$M55*2,IF(AND($N55="VCA",$Q55="PREDIAL"),0,0)))</f>
        <v>99.5</v>
      </c>
      <c r="AP55" s="153" t="n">
        <f aca="false">IFERROR($M55*$AF55*$AG55,0)</f>
        <v>54.47625</v>
      </c>
      <c r="AQ55" s="153" t="n">
        <f aca="false">IFERROR(IF(AND($N55="VCA",$AH55&gt;0),$M55*$AG55*$AH55,0),0)</f>
        <v>3.73125</v>
      </c>
      <c r="AR55" s="153" t="n">
        <f aca="false">IFERROR(IF(AND($N55="VCA",$AJ55&gt;0),($M55*$AG55*$AJ55)-$AI55,0),0)</f>
        <v>16.163466899097</v>
      </c>
      <c r="AS55" s="153" t="n">
        <f aca="false">IFERROR(IF(AND($N55="VCA",$AP55&gt;0),$AP55-$AI55-$AQ55-$AR55,0),0)</f>
        <v>33.58125</v>
      </c>
      <c r="AT55" s="153" t="n">
        <f aca="false">IFERROR(IF($N55="VCA",INDEX(APOIO_REDES!$A:$W,MATCH($C55&amp;$I55&amp;$H55&amp;$N55&amp;$O55,APOIO_REDES!$W:$W,0),MATCH(AT$5,APOIO_REDES!$5:$5,0)),0)*$AP55,0)</f>
        <v>0.592717724146945</v>
      </c>
      <c r="AU55" s="153" t="n">
        <f aca="false">IFERROR(IF($N55="VCA",INDEX(APOIO_REDES!$A:$W,MATCH($C55&amp;$I55&amp;$H55&amp;$N55&amp;$O55,APOIO_REDES!$W:$W,0),MATCH(AU$5,APOIO_REDES!$5:$5,0)),0)*$AP55,0)</f>
        <v>0.473328321671952</v>
      </c>
      <c r="AV55" s="153" t="n">
        <f aca="false">IFERROR(IF($N55="VCA",INDEX(APOIO_REDES!$A:$W,MATCH($C55&amp;$I55&amp;$H55&amp;$N55&amp;$O55,APOIO_REDES!$W:$W,0),MATCH(AV$5,APOIO_REDES!$5:$5,0)),0)*$AP55,0)</f>
        <v>0.0655049239463847</v>
      </c>
      <c r="AW55" s="153" t="n">
        <f aca="false">IFERROR(IF($N55="VCA",INDEX(APOIO_REDES!$A:$W,MATCH($C55&amp;$I55&amp;$H55&amp;$N55&amp;$O55,APOIO_REDES!$W:$W,0),MATCH(AW$5,APOIO_REDES!$5:$5,0)),0)*$AP55,0)</f>
        <v>37.3929201025826</v>
      </c>
      <c r="AX55" s="153" t="n">
        <f aca="false">IFERROR(IF($N55="VCA",INDEX(APOIO_REDES!$A:$W,MATCH($C55&amp;$I55&amp;$H55&amp;$N55&amp;$O55,APOIO_REDES!$W:$W,0),MATCH(AX$5,APOIO_REDES!$5:$5,0)),0)*$AP55,0)</f>
        <v>5.17507362644829</v>
      </c>
      <c r="AY55" s="153" t="n">
        <f aca="false">IFERROR(IF($N55="VCA",INDEX(APOIO_REDES!$A:$W,MATCH($C55&amp;$I55&amp;$H55&amp;$N55&amp;$O55,APOIO_REDES!$W:$W,0),MATCH(AY$5,APOIO_REDES!$5:$5,0)),0)*$AP55,0)</f>
        <v>9.46656066360517</v>
      </c>
      <c r="AZ55" s="153" t="n">
        <f aca="false">IFERROR(IF($N55="VCA",INDEX(APOIO_REDES!$A:$W,MATCH($C55&amp;$I55&amp;$H55&amp;$N55&amp;$O55,APOIO_REDES!$W:$W,0),MATCH(AZ$5,APOIO_REDES!$5:$5,0)),0)*$AP55,0)</f>
        <v>1.31014463759867</v>
      </c>
      <c r="BA55" s="153" t="n">
        <f aca="false">IFERROR(IF(AND($N55="VCA",$Q55="LINEAR"),INDEX(APOIO_REDES!$A:$W,MATCH($C55&amp;$I55&amp;$H55&amp;$N55&amp;$O55,APOIO_REDES!$W:$W,0),MATCH(BA$5,APOIO_REDES!$5:$5,0)),IF(AND($N55="MND",$Q55="EMBOQUE"),INDEX(APOIO_REDES!$A:$W,MATCH($C55&amp;$I55&amp;$H55&amp;$N55&amp;$O55,APOIO_REDES!$W:$W,0),MATCH(BA$5,APOIO_REDES!$5:$5,0)),0))*$M55/10,0)</f>
        <v>4.00972450959407</v>
      </c>
      <c r="BB55" s="153" t="n">
        <f aca="false">IFERROR(IF($N55="VCA",INDEX(APOIO_REDES!$A:$W,MATCH($C55&amp;$I55&amp;$H55&amp;$N55&amp;$O55,APOIO_REDES!$W:$W,0),MATCH(BB$5,APOIO_REDES!$5:$5,0)),0)*($AI55+$AQ55+$AR55),0)</f>
        <v>20.6676562153957</v>
      </c>
      <c r="BC55" s="153" t="n">
        <f aca="false">IFERROR(IF($N55="VCA",INDEX(APOIO_REDES!$A:$W,MATCH($C55&amp;$I55&amp;$H55&amp;$N55&amp;$O55,APOIO_REDES!$W:$W,0),MATCH(BC$5,APOIO_REDES!$5:$5,0)),0)*($AI55+$AQ55+$AR55),0)</f>
        <v>0.227343784604308</v>
      </c>
      <c r="BD55" s="153" t="n">
        <f aca="false">IF(AND($N55="VCA",$AF55&gt;=1.25,$AF55&lt;1.5),$M55*$AF55*2,0)</f>
        <v>145.27</v>
      </c>
      <c r="BE55" s="153" t="n">
        <f aca="false">IF(AND($N55="VCA",$AF55&gt;=1.5,$AF55&lt;3),$M55*$AF55*2,0)</f>
        <v>0</v>
      </c>
      <c r="BF55" s="153" t="n">
        <f aca="false">IF(AND($N55="VCA",$AF55&gt;=3),$M55*$AF55*2,0)</f>
        <v>0</v>
      </c>
      <c r="BG55" s="153" t="n">
        <f aca="false">($BB55+$BC55)*$AK55</f>
        <v>37.611</v>
      </c>
      <c r="BH55" s="153" t="n">
        <f aca="false">IF(AND($M55&lt;&gt;"",$N55="VCA",$Q55="LINEAR"),($M55*2)/100,IF(AND($M55&lt;&gt;"",$N55="MND",$Q55="EMBOQUE"),($AN55*2)/100,0))</f>
        <v>0.995</v>
      </c>
      <c r="BI55" s="153" t="n">
        <f aca="false">IF(AND($M55&lt;&gt;"",$N55="VCA",$Q55="LINEAR"),$M55,IF(AND($M55&lt;&gt;"",$N55="MND",$Q55="EMBOQUE"),$AN55*2,0))</f>
        <v>49.75</v>
      </c>
      <c r="BJ55" s="153" t="n">
        <f aca="false">IF(AND($M55&lt;&gt;"",$N55="VCA",$Q55="LINEAR"),($M55*6.8)/100,IF(AND($M55&lt;&gt;"",$N55="MND",$Q55="EMBOQUE"),($AN55*2*6.8)/100,0))</f>
        <v>3.383</v>
      </c>
      <c r="BK55" s="153" t="n">
        <f aca="false">IF(AND($M55&lt;&gt;"",$N55="VCA",$Q55="LINEAR"),($M55*2.5)/50,IF(AND($M55&lt;&gt;"",$N55="MND",$Q55="EMBOQUE"),($AN55*2*2.5)/50,0))</f>
        <v>2.4875</v>
      </c>
      <c r="BL55" s="157" t="str">
        <f aca="false">K55&amp;J55</f>
        <v>Zona01REDES</v>
      </c>
      <c r="BM55" s="152" t="s">
        <v>1559</v>
      </c>
      <c r="BN55" s="152" t="s">
        <v>1560</v>
      </c>
      <c r="BO55" s="152" t="s">
        <v>1561</v>
      </c>
      <c r="BP55" s="152" t="s">
        <v>1729</v>
      </c>
      <c r="BQ55" s="152" t="s">
        <v>1714</v>
      </c>
      <c r="BR55" s="152" t="s">
        <v>1726</v>
      </c>
      <c r="BS55" s="152" t="n">
        <v>203581.342</v>
      </c>
      <c r="BT55" s="152" t="n">
        <v>8238798.838</v>
      </c>
      <c r="BU55" s="152" t="n">
        <v>203601.695</v>
      </c>
      <c r="BV55" s="152" t="n">
        <v>8238843.56</v>
      </c>
      <c r="BW55" s="152" t="n">
        <v>-15.9121132</v>
      </c>
      <c r="BX55" s="152" t="n">
        <v>-47.7682693</v>
      </c>
      <c r="BY55" s="152" t="s">
        <v>1729</v>
      </c>
    </row>
    <row r="56" customFormat="false" ht="13.8" hidden="false" customHeight="false" outlineLevel="0" collapsed="false">
      <c r="A56" s="149" t="n">
        <f aca="false">IF(C56&lt;&gt;"",ROW(A51),"")</f>
        <v>51</v>
      </c>
      <c r="B56" s="150" t="str">
        <f aca="false">HYPERLINK("https://www.google.com/maps/dir/-15.917302,-47.760003/-15.9120146,-47.7700428/data=!4m3!4m2!3e0!5i0")</f>
        <v>https://www.google.com/maps/dir/-15.917302,-47.760003/-15.9120146,-47.7700428/data=!4m3!4m2!3e0!5i0</v>
      </c>
      <c r="C56" s="151" t="s">
        <v>117</v>
      </c>
      <c r="D56" s="152" t="s">
        <v>112</v>
      </c>
      <c r="E56" s="152" t="s">
        <v>113</v>
      </c>
      <c r="F56" s="152" t="s">
        <v>117</v>
      </c>
      <c r="G56" s="152" t="s">
        <v>782</v>
      </c>
      <c r="H56" s="152" t="n">
        <v>63</v>
      </c>
      <c r="I56" s="152" t="s">
        <v>115</v>
      </c>
      <c r="J56" s="152" t="s">
        <v>6</v>
      </c>
      <c r="K56" s="152" t="s">
        <v>1547</v>
      </c>
      <c r="L56" s="152" t="s">
        <v>120</v>
      </c>
      <c r="M56" s="153" t="n">
        <f aca="false">45.07</f>
        <v>45.07</v>
      </c>
      <c r="N56" s="152" t="s">
        <v>1548</v>
      </c>
      <c r="O56" s="152" t="s">
        <v>1549</v>
      </c>
      <c r="P56" s="152" t="s">
        <v>1550</v>
      </c>
      <c r="Q56" s="152" t="s">
        <v>1551</v>
      </c>
      <c r="R56" s="154" t="s">
        <v>1737</v>
      </c>
      <c r="S56" s="154" t="s">
        <v>1553</v>
      </c>
      <c r="T56" s="155" t="s">
        <v>1554</v>
      </c>
      <c r="U56" s="152" t="str">
        <f aca="false">RIGHT(T56,7)</f>
        <v>002/037</v>
      </c>
      <c r="V56" s="152" t="s">
        <v>1555</v>
      </c>
      <c r="W56" s="156" t="n">
        <v>45882</v>
      </c>
      <c r="X56" s="152" t="s">
        <v>1556</v>
      </c>
      <c r="Y56" s="152"/>
      <c r="Z56" s="152" t="s">
        <v>1557</v>
      </c>
      <c r="AA56" s="153" t="n">
        <v>2.1</v>
      </c>
      <c r="AB56" s="151" t="s">
        <v>1738</v>
      </c>
      <c r="AC56" s="151" t="s">
        <v>186</v>
      </c>
      <c r="AD56" s="151" t="str">
        <f aca="false">CONCATENATE($C56,$I56,$H56,$N56,$J56,$K56)</f>
        <v>TUBO PEADPEAD63VCAREDESZona01</v>
      </c>
      <c r="AE56" s="153" t="n">
        <f aca="false">IFERROR(INDEX(APOIO_REDES!$A:$W,MATCH($C56&amp;$I56&amp;$H56&amp;$N56&amp;$O56,APOIO_REDES!$W:$W,0),MATCH(AE$5,APOIO_REDES!$5:$5,0)),0)</f>
        <v>1.2</v>
      </c>
      <c r="AF56" s="153" t="n">
        <f aca="false">IFERROR(INDEX(APOIO_REDES!$A:$W,MATCH($C56&amp;$I56&amp;$H56&amp;$N56&amp;$O56,APOIO_REDES!$W:$W,0),MATCH(AF$5,APOIO_REDES!$5:$5,0)),0)</f>
        <v>1.363</v>
      </c>
      <c r="AG56" s="153" t="n">
        <f aca="false">IFERROR(INDEX(APOIO_REDES!$A:$W,MATCH($C56&amp;$I56&amp;$H56&amp;$N56&amp;$O56,APOIO_REDES!$W:$W,0),MATCH(AG$5,APOIO_REDES!$5:$5,0)),0)</f>
        <v>0.65</v>
      </c>
      <c r="AH56" s="153" t="n">
        <f aca="false">IFERROR(INDEX(APOIO_REDES!$A:$W,MATCH($C56&amp;$I56&amp;$H56&amp;$N56&amp;$O56,APOIO_REDES!$W:$W,0),MATCH(AH$5,APOIO_REDES!$5:$5,0)),0)</f>
        <v>0.1</v>
      </c>
      <c r="AI56" s="153" t="n">
        <f aca="false">IFERROR(IF($H56&lt;&gt;"",(((($H56/1000)/2)^2)*PI()*$M56),0),0)</f>
        <v>0.140494246145338</v>
      </c>
      <c r="AJ56" s="153" t="n">
        <f aca="false">IFERROR(IF(AND($H56&lt;&gt;"",$I56="FoFo",OR($N56="MND",$N56="VCA"),$Q56="LINEAR"),0,IF(AND($H56&lt;&gt;"",$I56="PEAD",$N56="VCA",$Q56="LINEAR"),($H56/1000)+0.3,IF(AND($H56&lt;&gt;"",$I56="PEAD",$N56="MND",$Q56="EMBOQUE"),0,IF(AND($H56&lt;&gt;"",$I56="PVC",$N56="VCA",$Q56="LINEAR"),($H56/1000)+0.2,IF(AND($H56&lt;&gt;"",$I56="PVC",$N56="MND",$Q56="EMBOQUE"),0,IF(AND($H56&lt;&gt;"",$I56="PEAD",$N56="VCA",$Q56="PREDIAL"),0,0)))))),0)</f>
        <v>0.363</v>
      </c>
      <c r="AK56" s="153" t="n">
        <f aca="false">IF(AA56&lt;&gt;"",AA56,0)</f>
        <v>2.1</v>
      </c>
      <c r="AL56" s="153" t="n">
        <f aca="false">IF(AND($N56="MND",$Q56="EMBOQUE"),$M56,IF(AND($N56="VCA",$Q56="LINEAR"),$M56,IF(AND($N56="VCA",$Q56="PREDIAL"),0,0)))</f>
        <v>45.07</v>
      </c>
      <c r="AM56" s="153" t="n">
        <f aca="false">IF(AND($N56="MND",$Q56="EMBOQUE"),$M56,IF(AND($N56="VCA",$Q56="LINEAR"),$M56,IF(AND($N56="VCA",$Q56="PREDIAL"),0,0)))</f>
        <v>45.07</v>
      </c>
      <c r="AN56" s="153" t="n">
        <f aca="false">ROUND(IF(AND($N56="VCA",$M56&lt;&gt;"",$Q56="LINEAR"),$M56/100,IF(AND($N56="MND",$M56&gt;100,$Q56="EMBOQUE"),$M56/100,0)),0)</f>
        <v>0</v>
      </c>
      <c r="AO56" s="153" t="n">
        <f aca="false">IF(AND($N56="MND",$Q56="EMBOQUE"),$AN56*2*2,IF(AND($N56="VCA",$Q56="LINEAR"),$M56*2,IF(AND($N56="VCA",$Q56="PREDIAL"),0,0)))</f>
        <v>90.14</v>
      </c>
      <c r="AP56" s="153" t="n">
        <f aca="false">IFERROR($M56*$AF56*$AG56,0)</f>
        <v>39.9297665</v>
      </c>
      <c r="AQ56" s="153" t="n">
        <f aca="false">IFERROR(IF(AND($N56="VCA",$AH56&gt;0),$M56*$AG56*$AH56,0),0)</f>
        <v>2.92955</v>
      </c>
      <c r="AR56" s="153" t="n">
        <f aca="false">IFERROR(IF(AND($N56="VCA",$AJ56&gt;0),($M56*$AG56*$AJ56)-$AI56,0),0)</f>
        <v>10.4937722538547</v>
      </c>
      <c r="AS56" s="153" t="n">
        <f aca="false">IFERROR(IF(AND($N56="VCA",$AP56&gt;0),$AP56-$AI56-$AQ56-$AR56,0),0)</f>
        <v>26.36595</v>
      </c>
      <c r="AT56" s="153" t="n">
        <f aca="false">IFERROR(IF($N56="VCA",INDEX(APOIO_REDES!$A:$W,MATCH($C56&amp;$I56&amp;$H56&amp;$N56&amp;$O56,APOIO_REDES!$W:$W,0),MATCH(AT$5,APOIO_REDES!$5:$5,0)),0)*$AP56,0)</f>
        <v>0.434447678127605</v>
      </c>
      <c r="AU56" s="153" t="n">
        <f aca="false">IFERROR(IF($N56="VCA",INDEX(APOIO_REDES!$A:$W,MATCH($C56&amp;$I56&amp;$H56&amp;$N56&amp;$O56,APOIO_REDES!$W:$W,0),MATCH(AU$5,APOIO_REDES!$5:$5,0)),0)*$AP56,0)</f>
        <v>0.346938149417369</v>
      </c>
      <c r="AV56" s="153" t="n">
        <f aca="false">IFERROR(IF($N56="VCA",INDEX(APOIO_REDES!$A:$W,MATCH($C56&amp;$I56&amp;$H56&amp;$N56&amp;$O56,APOIO_REDES!$W:$W,0),MATCH(AV$5,APOIO_REDES!$5:$5,0)),0)*$AP56,0)</f>
        <v>0.0480135163081049</v>
      </c>
      <c r="AW56" s="153" t="n">
        <f aca="false">IFERROR(IF($N56="VCA",INDEX(APOIO_REDES!$A:$W,MATCH($C56&amp;$I56&amp;$H56&amp;$N56&amp;$O56,APOIO_REDES!$W:$W,0),MATCH(AW$5,APOIO_REDES!$5:$5,0)),0)*$AP56,0)</f>
        <v>27.4081011165284</v>
      </c>
      <c r="AX56" s="153" t="n">
        <f aca="false">IFERROR(IF($N56="VCA",INDEX(APOIO_REDES!$A:$W,MATCH($C56&amp;$I56&amp;$H56&amp;$N56&amp;$O56,APOIO_REDES!$W:$W,0),MATCH(AX$5,APOIO_REDES!$5:$5,0)),0)*$AP56,0)</f>
        <v>3.79320312107365</v>
      </c>
      <c r="AY56" s="153" t="n">
        <f aca="false">IFERROR(IF($N56="VCA",INDEX(APOIO_REDES!$A:$W,MATCH($C56&amp;$I56&amp;$H56&amp;$N56&amp;$O56,APOIO_REDES!$W:$W,0),MATCH(AY$5,APOIO_REDES!$5:$5,0)),0)*$AP56,0)</f>
        <v>6.93875875919946</v>
      </c>
      <c r="AZ56" s="153" t="n">
        <f aca="false">IFERROR(IF($N56="VCA",INDEX(APOIO_REDES!$A:$W,MATCH($C56&amp;$I56&amp;$H56&amp;$N56&amp;$O56,APOIO_REDES!$W:$W,0),MATCH(AZ$5,APOIO_REDES!$5:$5,0)),0)*$AP56,0)</f>
        <v>0.960304159345439</v>
      </c>
      <c r="BA56" s="153" t="n">
        <f aca="false">IFERROR(IF(AND($N56="VCA",$Q56="LINEAR"),INDEX(APOIO_REDES!$A:$W,MATCH($C56&amp;$I56&amp;$H56&amp;$N56&amp;$O56,APOIO_REDES!$W:$W,0),MATCH(BA$5,APOIO_REDES!$5:$5,0)),IF(AND($N56="MND",$Q56="EMBOQUE"),INDEX(APOIO_REDES!$A:$W,MATCH($C56&amp;$I56&amp;$H56&amp;$N56&amp;$O56,APOIO_REDES!$W:$W,0),MATCH(BA$5,APOIO_REDES!$5:$5,0)),0))*$M56/10,0)</f>
        <v>3.6325283145207</v>
      </c>
      <c r="BB56" s="153" t="n">
        <f aca="false">IFERROR(IF($N56="VCA",INDEX(APOIO_REDES!$A:$W,MATCH($C56&amp;$I56&amp;$H56&amp;$N56&amp;$O56,APOIO_REDES!$W:$W,0),MATCH(BB$5,APOIO_REDES!$5:$5,0)),0)*($AI56+$AQ56+$AR56),0)</f>
        <v>13.4162381617952</v>
      </c>
      <c r="BC56" s="153" t="n">
        <f aca="false">IFERROR(IF($N56="VCA",INDEX(APOIO_REDES!$A:$W,MATCH($C56&amp;$I56&amp;$H56&amp;$N56&amp;$O56,APOIO_REDES!$W:$W,0),MATCH(BC$5,APOIO_REDES!$5:$5,0)),0)*($AI56+$AQ56+$AR56),0)</f>
        <v>0.147578338204755</v>
      </c>
      <c r="BD56" s="153" t="n">
        <f aca="false">IF(AND($N56="VCA",$AF56&gt;=1.25,$AF56&lt;1.5),$M56*$AF56*2,0)</f>
        <v>122.86082</v>
      </c>
      <c r="BE56" s="153" t="n">
        <f aca="false">IF(AND($N56="VCA",$AF56&gt;=1.5,$AF56&lt;3),$M56*$AF56*2,0)</f>
        <v>0</v>
      </c>
      <c r="BF56" s="153" t="n">
        <f aca="false">IF(AND($N56="VCA",$AF56&gt;=3),$M56*$AF56*2,0)</f>
        <v>0</v>
      </c>
      <c r="BG56" s="153" t="n">
        <f aca="false">($BB56+$BC56)*$AK56</f>
        <v>28.48401465</v>
      </c>
      <c r="BH56" s="153" t="n">
        <f aca="false">IF(AND($M56&lt;&gt;"",$N56="VCA",$Q56="LINEAR"),($M56*2)/100,IF(AND($M56&lt;&gt;"",$N56="MND",$Q56="EMBOQUE"),($AN56*2)/100,0))</f>
        <v>0.9014</v>
      </c>
      <c r="BI56" s="153" t="n">
        <f aca="false">IF(AND($M56&lt;&gt;"",$N56="VCA",$Q56="LINEAR"),$M56,IF(AND($M56&lt;&gt;"",$N56="MND",$Q56="EMBOQUE"),$AN56*2,0))</f>
        <v>45.07</v>
      </c>
      <c r="BJ56" s="153" t="n">
        <f aca="false">IF(AND($M56&lt;&gt;"",$N56="VCA",$Q56="LINEAR"),($M56*6.8)/100,IF(AND($M56&lt;&gt;"",$N56="MND",$Q56="EMBOQUE"),($AN56*2*6.8)/100,0))</f>
        <v>3.06476</v>
      </c>
      <c r="BK56" s="153" t="n">
        <f aca="false">IF(AND($M56&lt;&gt;"",$N56="VCA",$Q56="LINEAR"),($M56*2.5)/50,IF(AND($M56&lt;&gt;"",$N56="MND",$Q56="EMBOQUE"),($AN56*2*2.5)/50,0))</f>
        <v>2.2535</v>
      </c>
      <c r="BL56" s="157" t="str">
        <f aca="false">K56&amp;J56</f>
        <v>Zona01REDES</v>
      </c>
      <c r="BM56" s="152" t="s">
        <v>1559</v>
      </c>
      <c r="BN56" s="152" t="s">
        <v>1560</v>
      </c>
      <c r="BO56" s="152" t="s">
        <v>1561</v>
      </c>
      <c r="BP56" s="152" t="s">
        <v>1733</v>
      </c>
      <c r="BQ56" s="152" t="s">
        <v>1739</v>
      </c>
      <c r="BR56" s="152" t="s">
        <v>1740</v>
      </c>
      <c r="BS56" s="152" t="n">
        <v>203400.567</v>
      </c>
      <c r="BT56" s="152" t="n">
        <v>8238830.262</v>
      </c>
      <c r="BU56" s="152" t="n">
        <v>203373.087</v>
      </c>
      <c r="BV56" s="152" t="n">
        <v>8238794.555</v>
      </c>
      <c r="BW56" s="152" t="n">
        <v>-15.9121719</v>
      </c>
      <c r="BX56" s="152" t="n">
        <v>-47.7701762</v>
      </c>
      <c r="BY56" s="152" t="s">
        <v>1733</v>
      </c>
    </row>
    <row r="57" customFormat="false" ht="13.8" hidden="false" customHeight="false" outlineLevel="0" collapsed="false">
      <c r="A57" s="149" t="n">
        <f aca="false">IF(C57&lt;&gt;"",ROW(A52),"")</f>
        <v>52</v>
      </c>
      <c r="B57" s="150" t="str">
        <f aca="false">HYPERLINK("https://www.google.com/maps/dir/-15.917302,-47.760003/-15.9117158,-47.7698002/data=!4m3!4m2!3e0!5i0")</f>
        <v>https://www.google.com/maps/dir/-15.917302,-47.760003/-15.9117158,-47.7698002/data=!4m3!4m2!3e0!5i0</v>
      </c>
      <c r="C57" s="151" t="s">
        <v>117</v>
      </c>
      <c r="D57" s="152" t="s">
        <v>112</v>
      </c>
      <c r="E57" s="152" t="s">
        <v>113</v>
      </c>
      <c r="F57" s="152" t="s">
        <v>117</v>
      </c>
      <c r="G57" s="152" t="s">
        <v>782</v>
      </c>
      <c r="H57" s="152" t="n">
        <v>63</v>
      </c>
      <c r="I57" s="152" t="s">
        <v>115</v>
      </c>
      <c r="J57" s="152" t="s">
        <v>6</v>
      </c>
      <c r="K57" s="152" t="s">
        <v>1547</v>
      </c>
      <c r="L57" s="152" t="s">
        <v>120</v>
      </c>
      <c r="M57" s="153" t="n">
        <f aca="false">177.37+1.04</f>
        <v>178.41</v>
      </c>
      <c r="N57" s="152" t="s">
        <v>1548</v>
      </c>
      <c r="O57" s="152" t="s">
        <v>1549</v>
      </c>
      <c r="P57" s="152" t="s">
        <v>1550</v>
      </c>
      <c r="Q57" s="152" t="s">
        <v>1551</v>
      </c>
      <c r="R57" s="154" t="s">
        <v>1741</v>
      </c>
      <c r="S57" s="154" t="s">
        <v>1553</v>
      </c>
      <c r="T57" s="155" t="s">
        <v>1554</v>
      </c>
      <c r="U57" s="152" t="str">
        <f aca="false">RIGHT(T57,7)</f>
        <v>002/037</v>
      </c>
      <c r="V57" s="152" t="s">
        <v>1555</v>
      </c>
      <c r="W57" s="156" t="n">
        <v>45882</v>
      </c>
      <c r="X57" s="152" t="s">
        <v>1556</v>
      </c>
      <c r="Y57" s="152"/>
      <c r="Z57" s="152" t="s">
        <v>1557</v>
      </c>
      <c r="AA57" s="153" t="n">
        <v>2</v>
      </c>
      <c r="AB57" s="151" t="s">
        <v>1742</v>
      </c>
      <c r="AC57" s="151" t="s">
        <v>186</v>
      </c>
      <c r="AD57" s="151" t="str">
        <f aca="false">CONCATENATE($C57,$I57,$H57,$N57,$J57,$K57)</f>
        <v>TUBO PEADPEAD63VCAREDESZona01</v>
      </c>
      <c r="AE57" s="153" t="n">
        <f aca="false">IFERROR(INDEX(APOIO_REDES!$A:$W,MATCH($C57&amp;$I57&amp;$H57&amp;$N57&amp;$O57,APOIO_REDES!$W:$W,0),MATCH(AE$5,APOIO_REDES!$5:$5,0)),0)</f>
        <v>1.2</v>
      </c>
      <c r="AF57" s="153" t="n">
        <f aca="false">IFERROR(INDEX(APOIO_REDES!$A:$W,MATCH($C57&amp;$I57&amp;$H57&amp;$N57&amp;$O57,APOIO_REDES!$W:$W,0),MATCH(AF$5,APOIO_REDES!$5:$5,0)),0)</f>
        <v>1.363</v>
      </c>
      <c r="AG57" s="153" t="n">
        <f aca="false">IFERROR(INDEX(APOIO_REDES!$A:$W,MATCH($C57&amp;$I57&amp;$H57&amp;$N57&amp;$O57,APOIO_REDES!$W:$W,0),MATCH(AG$5,APOIO_REDES!$5:$5,0)),0)</f>
        <v>0.65</v>
      </c>
      <c r="AH57" s="153" t="n">
        <f aca="false">IFERROR(INDEX(APOIO_REDES!$A:$W,MATCH($C57&amp;$I57&amp;$H57&amp;$N57&amp;$O57,APOIO_REDES!$W:$W,0),MATCH(AH$5,APOIO_REDES!$5:$5,0)),0)</f>
        <v>0.1</v>
      </c>
      <c r="AI57" s="153" t="n">
        <f aca="false">IFERROR(IF($H57&lt;&gt;"",(((($H57/1000)/2)^2)*PI()*$M57),0),0)</f>
        <v>0.556147735850671</v>
      </c>
      <c r="AJ57" s="153" t="n">
        <f aca="false">IFERROR(IF(AND($H57&lt;&gt;"",$I57="FoFo",OR($N57="MND",$N57="VCA"),$Q57="LINEAR"),0,IF(AND($H57&lt;&gt;"",$I57="PEAD",$N57="VCA",$Q57="LINEAR"),($H57/1000)+0.3,IF(AND($H57&lt;&gt;"",$I57="PEAD",$N57="MND",$Q57="EMBOQUE"),0,IF(AND($H57&lt;&gt;"",$I57="PVC",$N57="VCA",$Q57="LINEAR"),($H57/1000)+0.2,IF(AND($H57&lt;&gt;"",$I57="PVC",$N57="MND",$Q57="EMBOQUE"),0,IF(AND($H57&lt;&gt;"",$I57="PEAD",$N57="VCA",$Q57="PREDIAL"),0,0)))))),0)</f>
        <v>0.363</v>
      </c>
      <c r="AK57" s="153" t="n">
        <f aca="false">IF(AA57&lt;&gt;"",AA57,0)</f>
        <v>2</v>
      </c>
      <c r="AL57" s="153" t="n">
        <f aca="false">IF(AND($N57="MND",$Q57="EMBOQUE"),$M57,IF(AND($N57="VCA",$Q57="LINEAR"),$M57,IF(AND($N57="VCA",$Q57="PREDIAL"),0,0)))</f>
        <v>178.41</v>
      </c>
      <c r="AM57" s="153" t="n">
        <f aca="false">IF(AND($N57="MND",$Q57="EMBOQUE"),$M57,IF(AND($N57="VCA",$Q57="LINEAR"),$M57,IF(AND($N57="VCA",$Q57="PREDIAL"),0,0)))</f>
        <v>178.41</v>
      </c>
      <c r="AN57" s="153" t="n">
        <f aca="false">ROUND(IF(AND($N57="VCA",$M57&lt;&gt;"",$Q57="LINEAR"),$M57/100,IF(AND($N57="MND",$M57&gt;100,$Q57="EMBOQUE"),$M57/100,0)),0)</f>
        <v>2</v>
      </c>
      <c r="AO57" s="153" t="n">
        <f aca="false">IF(AND($N57="MND",$Q57="EMBOQUE"),$AN57*2*2,IF(AND($N57="VCA",$Q57="LINEAR"),$M57*2,IF(AND($N57="VCA",$Q57="PREDIAL"),0,0)))</f>
        <v>356.82</v>
      </c>
      <c r="AP57" s="153" t="n">
        <f aca="false">IFERROR($M57*$AF57*$AG57,0)</f>
        <v>158.0623395</v>
      </c>
      <c r="AQ57" s="153" t="n">
        <f aca="false">IFERROR(IF(AND($N57="VCA",$AH57&gt;0),$M57*$AG57*$AH57,0),0)</f>
        <v>11.59665</v>
      </c>
      <c r="AR57" s="153" t="n">
        <f aca="false">IFERROR(IF(AND($N57="VCA",$AJ57&gt;0),($M57*$AG57*$AJ57)-$AI57,0),0)</f>
        <v>41.5396917641493</v>
      </c>
      <c r="AS57" s="153" t="n">
        <f aca="false">IFERROR(IF(AND($N57="VCA",$AP57&gt;0),$AP57-$AI57-$AQ57-$AR57,0),0)</f>
        <v>104.36985</v>
      </c>
      <c r="AT57" s="153" t="n">
        <f aca="false">IFERROR(IF($N57="VCA",INDEX(APOIO_REDES!$A:$W,MATCH($C57&amp;$I57&amp;$H57&amp;$N57&amp;$O57,APOIO_REDES!$W:$W,0),MATCH(AT$5,APOIO_REDES!$5:$5,0)),0)*$AP57,0)</f>
        <v>1.7197650378244</v>
      </c>
      <c r="AU57" s="153" t="n">
        <f aca="false">IFERROR(IF($N57="VCA",INDEX(APOIO_REDES!$A:$W,MATCH($C57&amp;$I57&amp;$H57&amp;$N57&amp;$O57,APOIO_REDES!$W:$W,0),MATCH(AU$5,APOIO_REDES!$5:$5,0)),0)*$AP57,0)</f>
        <v>1.37335778206241</v>
      </c>
      <c r="AV57" s="153" t="n">
        <f aca="false">IFERROR(IF($N57="VCA",INDEX(APOIO_REDES!$A:$W,MATCH($C57&amp;$I57&amp;$H57&amp;$N57&amp;$O57,APOIO_REDES!$W:$W,0),MATCH(AV$5,APOIO_REDES!$5:$5,0)),0)*$AP57,0)</f>
        <v>0.190061935756135</v>
      </c>
      <c r="AW57" s="153" t="n">
        <f aca="false">IFERROR(IF($N57="VCA",INDEX(APOIO_REDES!$A:$W,MATCH($C57&amp;$I57&amp;$H57&amp;$N57&amp;$O57,APOIO_REDES!$W:$W,0),MATCH(AW$5,APOIO_REDES!$5:$5,0)),0)*$AP57,0)</f>
        <v>108.49521455957</v>
      </c>
      <c r="AX57" s="153" t="n">
        <f aca="false">IFERROR(IF($N57="VCA",INDEX(APOIO_REDES!$A:$W,MATCH($C57&amp;$I57&amp;$H57&amp;$N57&amp;$O57,APOIO_REDES!$W:$W,0),MATCH(AX$5,APOIO_REDES!$5:$5,0)),0)*$AP57,0)</f>
        <v>15.0154286405758</v>
      </c>
      <c r="AY57" s="153" t="n">
        <f aca="false">IFERROR(IF($N57="VCA",INDEX(APOIO_REDES!$A:$W,MATCH($C57&amp;$I57&amp;$H57&amp;$N57&amp;$O57,APOIO_REDES!$W:$W,0),MATCH(AY$5,APOIO_REDES!$5:$5,0)),0)*$AP57,0)</f>
        <v>27.4671389001281</v>
      </c>
      <c r="AZ57" s="153" t="n">
        <f aca="false">IFERROR(IF($N57="VCA",INDEX(APOIO_REDES!$A:$W,MATCH($C57&amp;$I57&amp;$H57&amp;$N57&amp;$O57,APOIO_REDES!$W:$W,0),MATCH(AZ$5,APOIO_REDES!$5:$5,0)),0)*$AP57,0)</f>
        <v>3.80137264408298</v>
      </c>
      <c r="BA57" s="153" t="n">
        <f aca="false">IFERROR(IF(AND($N57="VCA",$Q57="LINEAR"),INDEX(APOIO_REDES!$A:$W,MATCH($C57&amp;$I57&amp;$H57&amp;$N57&amp;$O57,APOIO_REDES!$W:$W,0),MATCH(BA$5,APOIO_REDES!$5:$5,0)),IF(AND($N57="MND",$Q57="EMBOQUE"),INDEX(APOIO_REDES!$A:$W,MATCH($C57&amp;$I57&amp;$H57&amp;$N57&amp;$O57,APOIO_REDES!$W:$W,0),MATCH(BA$5,APOIO_REDES!$5:$5,0)),0))*$M57/10,0)</f>
        <v>14.3793959750086</v>
      </c>
      <c r="BB57" s="153" t="n">
        <f aca="false">IFERROR(IF($N57="VCA",INDEX(APOIO_REDES!$A:$W,MATCH($C57&amp;$I57&amp;$H57&amp;$N57&amp;$O57,APOIO_REDES!$W:$W,0),MATCH(BB$5,APOIO_REDES!$5:$5,0)),0)*($AI57+$AQ57+$AR57),0)</f>
        <v>53.1082993220743</v>
      </c>
      <c r="BC57" s="153" t="n">
        <f aca="false">IFERROR(IF($N57="VCA",INDEX(APOIO_REDES!$A:$W,MATCH($C57&amp;$I57&amp;$H57&amp;$N57&amp;$O57,APOIO_REDES!$W:$W,0),MATCH(BC$5,APOIO_REDES!$5:$5,0)),0)*($AI57+$AQ57+$AR57),0)</f>
        <v>0.584190177925678</v>
      </c>
      <c r="BD57" s="153" t="n">
        <f aca="false">IF(AND($N57="VCA",$AF57&gt;=1.25,$AF57&lt;1.5),$M57*$AF57*2,0)</f>
        <v>486.34566</v>
      </c>
      <c r="BE57" s="153" t="n">
        <f aca="false">IF(AND($N57="VCA",$AF57&gt;=1.5,$AF57&lt;3),$M57*$AF57*2,0)</f>
        <v>0</v>
      </c>
      <c r="BF57" s="153" t="n">
        <f aca="false">IF(AND($N57="VCA",$AF57&gt;=3),$M57*$AF57*2,0)</f>
        <v>0</v>
      </c>
      <c r="BG57" s="153" t="n">
        <f aca="false">($BB57+$BC57)*$AK57</f>
        <v>107.384979</v>
      </c>
      <c r="BH57" s="153" t="n">
        <f aca="false">IF(AND($M57&lt;&gt;"",$N57="VCA",$Q57="LINEAR"),($M57*2)/100,IF(AND($M57&lt;&gt;"",$N57="MND",$Q57="EMBOQUE"),($AN57*2)/100,0))</f>
        <v>3.5682</v>
      </c>
      <c r="BI57" s="153" t="n">
        <f aca="false">IF(AND($M57&lt;&gt;"",$N57="VCA",$Q57="LINEAR"),$M57,IF(AND($M57&lt;&gt;"",$N57="MND",$Q57="EMBOQUE"),$AN57*2,0))</f>
        <v>178.41</v>
      </c>
      <c r="BJ57" s="153" t="n">
        <f aca="false">IF(AND($M57&lt;&gt;"",$N57="VCA",$Q57="LINEAR"),($M57*6.8)/100,IF(AND($M57&lt;&gt;"",$N57="MND",$Q57="EMBOQUE"),($AN57*2*6.8)/100,0))</f>
        <v>12.13188</v>
      </c>
      <c r="BK57" s="153" t="n">
        <f aca="false">IF(AND($M57&lt;&gt;"",$N57="VCA",$Q57="LINEAR"),($M57*2.5)/50,IF(AND($M57&lt;&gt;"",$N57="MND",$Q57="EMBOQUE"),($AN57*2*2.5)/50,0))</f>
        <v>8.9205</v>
      </c>
      <c r="BL57" s="157" t="str">
        <f aca="false">K57&amp;J57</f>
        <v>Zona01REDES</v>
      </c>
      <c r="BM57" s="152" t="s">
        <v>1559</v>
      </c>
      <c r="BN57" s="152" t="s">
        <v>1560</v>
      </c>
      <c r="BO57" s="152" t="s">
        <v>1561</v>
      </c>
      <c r="BP57" s="152" t="s">
        <v>1722</v>
      </c>
      <c r="BQ57" s="152" t="s">
        <v>1743</v>
      </c>
      <c r="BR57" s="152" t="s">
        <v>1744</v>
      </c>
      <c r="BS57" s="152" t="n">
        <v>203426.131</v>
      </c>
      <c r="BT57" s="152" t="n">
        <v>8238863.702</v>
      </c>
      <c r="BU57" s="152" t="n">
        <v>203564.3</v>
      </c>
      <c r="BV57" s="152" t="n">
        <v>8238752.505</v>
      </c>
      <c r="BW57" s="152" t="n">
        <v>-15.9122236</v>
      </c>
      <c r="BX57" s="152" t="n">
        <v>-47.7691603</v>
      </c>
      <c r="BY57" s="152" t="s">
        <v>1722</v>
      </c>
    </row>
    <row r="58" customFormat="false" ht="13.8" hidden="false" customHeight="false" outlineLevel="0" collapsed="false">
      <c r="A58" s="149" t="n">
        <f aca="false">IF(C58&lt;&gt;"",ROW(A53),"")</f>
        <v>53</v>
      </c>
      <c r="B58" s="150" t="str">
        <f aca="false">HYPERLINK("https://www.google.com/maps/dir/-15.917302,-47.760003/-15.9123338,-47.7703037/data=!4m3!4m2!3e0!5i0")</f>
        <v>https://www.google.com/maps/dir/-15.917302,-47.760003/-15.9123338,-47.7703037/data=!4m3!4m2!3e0!5i0</v>
      </c>
      <c r="C58" s="151" t="s">
        <v>117</v>
      </c>
      <c r="D58" s="152" t="s">
        <v>112</v>
      </c>
      <c r="E58" s="152" t="s">
        <v>113</v>
      </c>
      <c r="F58" s="152" t="s">
        <v>117</v>
      </c>
      <c r="G58" s="152" t="s">
        <v>782</v>
      </c>
      <c r="H58" s="152" t="n">
        <v>63</v>
      </c>
      <c r="I58" s="152" t="s">
        <v>115</v>
      </c>
      <c r="J58" s="152" t="s">
        <v>6</v>
      </c>
      <c r="K58" s="152" t="s">
        <v>1547</v>
      </c>
      <c r="L58" s="152" t="s">
        <v>120</v>
      </c>
      <c r="M58" s="153" t="n">
        <f aca="false">41.58</f>
        <v>41.58</v>
      </c>
      <c r="N58" s="152" t="s">
        <v>1548</v>
      </c>
      <c r="O58" s="152" t="s">
        <v>1549</v>
      </c>
      <c r="P58" s="152" t="s">
        <v>1550</v>
      </c>
      <c r="Q58" s="152" t="s">
        <v>1551</v>
      </c>
      <c r="R58" s="154" t="s">
        <v>1745</v>
      </c>
      <c r="S58" s="154" t="s">
        <v>1553</v>
      </c>
      <c r="T58" s="155" t="s">
        <v>1746</v>
      </c>
      <c r="U58" s="152" t="str">
        <f aca="false">RIGHT(T58,7)</f>
        <v>003/037</v>
      </c>
      <c r="V58" s="152" t="s">
        <v>1555</v>
      </c>
      <c r="W58" s="156" t="n">
        <v>45882</v>
      </c>
      <c r="X58" s="152" t="s">
        <v>1556</v>
      </c>
      <c r="Y58" s="152"/>
      <c r="Z58" s="152" t="s">
        <v>1557</v>
      </c>
      <c r="AA58" s="153" t="n">
        <v>2.1</v>
      </c>
      <c r="AB58" s="151" t="s">
        <v>1747</v>
      </c>
      <c r="AC58" s="151" t="s">
        <v>186</v>
      </c>
      <c r="AD58" s="151" t="str">
        <f aca="false">CONCATENATE($C58,$I58,$H58,$N58,$J58,$K58)</f>
        <v>TUBO PEADPEAD63VCAREDESZona01</v>
      </c>
      <c r="AE58" s="153" t="n">
        <f aca="false">IFERROR(INDEX(APOIO_REDES!$A:$W,MATCH($C58&amp;$I58&amp;$H58&amp;$N58&amp;$O58,APOIO_REDES!$W:$W,0),MATCH(AE$5,APOIO_REDES!$5:$5,0)),0)</f>
        <v>1.2</v>
      </c>
      <c r="AF58" s="153" t="n">
        <f aca="false">IFERROR(INDEX(APOIO_REDES!$A:$W,MATCH($C58&amp;$I58&amp;$H58&amp;$N58&amp;$O58,APOIO_REDES!$W:$W,0),MATCH(AF$5,APOIO_REDES!$5:$5,0)),0)</f>
        <v>1.363</v>
      </c>
      <c r="AG58" s="153" t="n">
        <f aca="false">IFERROR(INDEX(APOIO_REDES!$A:$W,MATCH($C58&amp;$I58&amp;$H58&amp;$N58&amp;$O58,APOIO_REDES!$W:$W,0),MATCH(AG$5,APOIO_REDES!$5:$5,0)),0)</f>
        <v>0.65</v>
      </c>
      <c r="AH58" s="153" t="n">
        <f aca="false">IFERROR(INDEX(APOIO_REDES!$A:$W,MATCH($C58&amp;$I58&amp;$H58&amp;$N58&amp;$O58,APOIO_REDES!$W:$W,0),MATCH(AH$5,APOIO_REDES!$5:$5,0)),0)</f>
        <v>0.1</v>
      </c>
      <c r="AI58" s="153" t="n">
        <f aca="false">IFERROR(IF($H58&lt;&gt;"",(((($H58/1000)/2)^2)*PI()*$M58),0),0)</f>
        <v>0.129615060011608</v>
      </c>
      <c r="AJ58" s="153" t="n">
        <f aca="false">IFERROR(IF(AND($H58&lt;&gt;"",$I58="FoFo",OR($N58="MND",$N58="VCA"),$Q58="LINEAR"),0,IF(AND($H58&lt;&gt;"",$I58="PEAD",$N58="VCA",$Q58="LINEAR"),($H58/1000)+0.3,IF(AND($H58&lt;&gt;"",$I58="PEAD",$N58="MND",$Q58="EMBOQUE"),0,IF(AND($H58&lt;&gt;"",$I58="PVC",$N58="VCA",$Q58="LINEAR"),($H58/1000)+0.2,IF(AND($H58&lt;&gt;"",$I58="PVC",$N58="MND",$Q58="EMBOQUE"),0,IF(AND($H58&lt;&gt;"",$I58="PEAD",$N58="VCA",$Q58="PREDIAL"),0,0)))))),0)</f>
        <v>0.363</v>
      </c>
      <c r="AK58" s="153" t="n">
        <f aca="false">IF(AA58&lt;&gt;"",AA58,0)</f>
        <v>2.1</v>
      </c>
      <c r="AL58" s="153" t="n">
        <f aca="false">IF(AND($N58="MND",$Q58="EMBOQUE"),$M58,IF(AND($N58="VCA",$Q58="LINEAR"),$M58,IF(AND($N58="VCA",$Q58="PREDIAL"),0,0)))</f>
        <v>41.58</v>
      </c>
      <c r="AM58" s="153" t="n">
        <f aca="false">IF(AND($N58="MND",$Q58="EMBOQUE"),$M58,IF(AND($N58="VCA",$Q58="LINEAR"),$M58,IF(AND($N58="VCA",$Q58="PREDIAL"),0,0)))</f>
        <v>41.58</v>
      </c>
      <c r="AN58" s="153" t="n">
        <f aca="false">ROUND(IF(AND($N58="VCA",$M58&lt;&gt;"",$Q58="LINEAR"),$M58/100,IF(AND($N58="MND",$M58&gt;100,$Q58="EMBOQUE"),$M58/100,0)),0)</f>
        <v>0</v>
      </c>
      <c r="AO58" s="153" t="n">
        <f aca="false">IF(AND($N58="MND",$Q58="EMBOQUE"),$AN58*2*2,IF(AND($N58="VCA",$Q58="LINEAR"),$M58*2,IF(AND($N58="VCA",$Q58="PREDIAL"),0,0)))</f>
        <v>83.16</v>
      </c>
      <c r="AP58" s="153" t="n">
        <f aca="false">IFERROR($M58*$AF58*$AG58,0)</f>
        <v>36.837801</v>
      </c>
      <c r="AQ58" s="153" t="n">
        <f aca="false">IFERROR(IF(AND($N58="VCA",$AH58&gt;0),$M58*$AG58*$AH58,0),0)</f>
        <v>2.7027</v>
      </c>
      <c r="AR58" s="153" t="n">
        <f aca="false">IFERROR(IF(AND($N58="VCA",$AJ58&gt;0),($M58*$AG58*$AJ58)-$AI58,0),0)</f>
        <v>9.68118593998839</v>
      </c>
      <c r="AS58" s="153" t="n">
        <f aca="false">IFERROR(IF(AND($N58="VCA",$AP58&gt;0),$AP58-$AI58-$AQ58-$AR58,0),0)</f>
        <v>24.3243</v>
      </c>
      <c r="AT58" s="153" t="n">
        <f aca="false">IFERROR(IF($N58="VCA",INDEX(APOIO_REDES!$A:$W,MATCH($C58&amp;$I58&amp;$H58&amp;$N58&amp;$O58,APOIO_REDES!$W:$W,0),MATCH(AT$5,APOIO_REDES!$5:$5,0)),0)*$AP58,0)</f>
        <v>0.400806178312532</v>
      </c>
      <c r="AU58" s="153" t="n">
        <f aca="false">IFERROR(IF($N58="VCA",INDEX(APOIO_REDES!$A:$W,MATCH($C58&amp;$I58&amp;$H58&amp;$N58&amp;$O58,APOIO_REDES!$W:$W,0),MATCH(AU$5,APOIO_REDES!$5:$5,0)),0)*$AP58,0)</f>
        <v>0.320072958792416</v>
      </c>
      <c r="AV58" s="153" t="n">
        <f aca="false">IFERROR(IF($N58="VCA",INDEX(APOIO_REDES!$A:$W,MATCH($C58&amp;$I58&amp;$H58&amp;$N58&amp;$O58,APOIO_REDES!$W:$W,0),MATCH(AV$5,APOIO_REDES!$5:$5,0)),0)*$AP58,0)</f>
        <v>0.0442955848256269</v>
      </c>
      <c r="AW58" s="153" t="n">
        <f aca="false">IFERROR(IF($N58="VCA",INDEX(APOIO_REDES!$A:$W,MATCH($C58&amp;$I58&amp;$H58&amp;$N58&amp;$O58,APOIO_REDES!$W:$W,0),MATCH(AW$5,APOIO_REDES!$5:$5,0)),0)*$AP58,0)</f>
        <v>25.2857520396106</v>
      </c>
      <c r="AX58" s="153" t="n">
        <f aca="false">IFERROR(IF($N58="VCA",INDEX(APOIO_REDES!$A:$W,MATCH($C58&amp;$I58&amp;$H58&amp;$N58&amp;$O58,APOIO_REDES!$W:$W,0),MATCH(AX$5,APOIO_REDES!$5:$5,0)),0)*$AP58,0)</f>
        <v>3.49947605445401</v>
      </c>
      <c r="AY58" s="153" t="n">
        <f aca="false">IFERROR(IF($N58="VCA",INDEX(APOIO_REDES!$A:$W,MATCH($C58&amp;$I58&amp;$H58&amp;$N58&amp;$O58,APOIO_REDES!$W:$W,0),MATCH(AY$5,APOIO_REDES!$5:$5,0)),0)*$AP58,0)</f>
        <v>6.4014552741849</v>
      </c>
      <c r="AZ58" s="153" t="n">
        <f aca="false">IFERROR(IF($N58="VCA",INDEX(APOIO_REDES!$A:$W,MATCH($C58&amp;$I58&amp;$H58&amp;$N58&amp;$O58,APOIO_REDES!$W:$W,0),MATCH(AZ$5,APOIO_REDES!$5:$5,0)),0)*$AP58,0)</f>
        <v>0.88594290981991</v>
      </c>
      <c r="BA58" s="153" t="n">
        <f aca="false">IFERROR(IF(AND($N58="VCA",$Q58="LINEAR"),INDEX(APOIO_REDES!$A:$W,MATCH($C58&amp;$I58&amp;$H58&amp;$N58&amp;$O58,APOIO_REDES!$W:$W,0),MATCH(BA$5,APOIO_REDES!$5:$5,0)),IF(AND($N58="MND",$Q58="EMBOQUE"),INDEX(APOIO_REDES!$A:$W,MATCH($C58&amp;$I58&amp;$H58&amp;$N58&amp;$O58,APOIO_REDES!$W:$W,0),MATCH(BA$5,APOIO_REDES!$5:$5,0)),0))*$M58/10,0)</f>
        <v>3.35124311776726</v>
      </c>
      <c r="BB58" s="153" t="n">
        <f aca="false">IFERROR(IF($N58="VCA",INDEX(APOIO_REDES!$A:$W,MATCH($C58&amp;$I58&amp;$H58&amp;$N58&amp;$O58,APOIO_REDES!$W:$W,0),MATCH(BB$5,APOIO_REDES!$5:$5,0)),0)*($AI58+$AQ58+$AR58),0)</f>
        <v>12.3773504053128</v>
      </c>
      <c r="BC58" s="153" t="n">
        <f aca="false">IFERROR(IF($N58="VCA",INDEX(APOIO_REDES!$A:$W,MATCH($C58&amp;$I58&amp;$H58&amp;$N58&amp;$O58,APOIO_REDES!$W:$W,0),MATCH(BC$5,APOIO_REDES!$5:$5,0)),0)*($AI58+$AQ58+$AR58),0)</f>
        <v>0.136150594687236</v>
      </c>
      <c r="BD58" s="153" t="n">
        <f aca="false">IF(AND($N58="VCA",$AF58&gt;=1.25,$AF58&lt;1.5),$M58*$AF58*2,0)</f>
        <v>113.34708</v>
      </c>
      <c r="BE58" s="153" t="n">
        <f aca="false">IF(AND($N58="VCA",$AF58&gt;=1.5,$AF58&lt;3),$M58*$AF58*2,0)</f>
        <v>0</v>
      </c>
      <c r="BF58" s="153" t="n">
        <f aca="false">IF(AND($N58="VCA",$AF58&gt;=3),$M58*$AF58*2,0)</f>
        <v>0</v>
      </c>
      <c r="BG58" s="153" t="n">
        <f aca="false">($BB58+$BC58)*$AK58</f>
        <v>26.2783521</v>
      </c>
      <c r="BH58" s="153" t="n">
        <f aca="false">IF(AND($M58&lt;&gt;"",$N58="VCA",$Q58="LINEAR"),($M58*2)/100,IF(AND($M58&lt;&gt;"",$N58="MND",$Q58="EMBOQUE"),($AN58*2)/100,0))</f>
        <v>0.8316</v>
      </c>
      <c r="BI58" s="153" t="n">
        <f aca="false">IF(AND($M58&lt;&gt;"",$N58="VCA",$Q58="LINEAR"),$M58,IF(AND($M58&lt;&gt;"",$N58="MND",$Q58="EMBOQUE"),$AN58*2,0))</f>
        <v>41.58</v>
      </c>
      <c r="BJ58" s="153" t="n">
        <f aca="false">IF(AND($M58&lt;&gt;"",$N58="VCA",$Q58="LINEAR"),($M58*6.8)/100,IF(AND($M58&lt;&gt;"",$N58="MND",$Q58="EMBOQUE"),($AN58*2*6.8)/100,0))</f>
        <v>2.82744</v>
      </c>
      <c r="BK58" s="153" t="n">
        <f aca="false">IF(AND($M58&lt;&gt;"",$N58="VCA",$Q58="LINEAR"),($M58*2.5)/50,IF(AND($M58&lt;&gt;"",$N58="MND",$Q58="EMBOQUE"),($AN58*2*2.5)/50,0))</f>
        <v>2.079</v>
      </c>
      <c r="BL58" s="157" t="str">
        <f aca="false">K58&amp;J58</f>
        <v>Zona01REDES</v>
      </c>
      <c r="BM58" s="152" t="s">
        <v>1559</v>
      </c>
      <c r="BN58" s="152" t="s">
        <v>1560</v>
      </c>
      <c r="BO58" s="152" t="s">
        <v>1748</v>
      </c>
      <c r="BP58" s="152" t="s">
        <v>1739</v>
      </c>
      <c r="BQ58" s="152" t="s">
        <v>1749</v>
      </c>
      <c r="BR58" s="152" t="s">
        <v>1750</v>
      </c>
      <c r="BS58" s="152" t="n">
        <v>203373.087</v>
      </c>
      <c r="BT58" s="152" t="n">
        <v>8238794.555</v>
      </c>
      <c r="BU58" s="152" t="n">
        <v>203348.445</v>
      </c>
      <c r="BV58" s="152" t="n">
        <v>8238761.068</v>
      </c>
      <c r="BW58" s="152" t="n">
        <v>-15.9124843</v>
      </c>
      <c r="BX58" s="152" t="n">
        <v>-47.7704197</v>
      </c>
      <c r="BY58" s="152" t="s">
        <v>1739</v>
      </c>
    </row>
    <row r="59" customFormat="false" ht="13.8" hidden="false" customHeight="false" outlineLevel="0" collapsed="false">
      <c r="A59" s="149" t="n">
        <f aca="false">IF(C59&lt;&gt;"",ROW(A54),"")</f>
        <v>54</v>
      </c>
      <c r="B59" s="150" t="str">
        <f aca="false">HYPERLINK("https://www.google.com/maps/dir/-15.917302,-47.760003/-15.9127364,-47.7685246/data=!4m3!4m2!3e0!5i0")</f>
        <v>https://www.google.com/maps/dir/-15.917302,-47.760003/-15.9127364,-47.7685246/data=!4m3!4m2!3e0!5i0</v>
      </c>
      <c r="C59" s="151" t="s">
        <v>117</v>
      </c>
      <c r="D59" s="152" t="s">
        <v>112</v>
      </c>
      <c r="E59" s="152" t="s">
        <v>113</v>
      </c>
      <c r="F59" s="152" t="s">
        <v>117</v>
      </c>
      <c r="G59" s="152" t="s">
        <v>114</v>
      </c>
      <c r="H59" s="152" t="n">
        <v>225</v>
      </c>
      <c r="I59" s="152" t="s">
        <v>115</v>
      </c>
      <c r="J59" s="152" t="s">
        <v>6</v>
      </c>
      <c r="K59" s="152" t="s">
        <v>1547</v>
      </c>
      <c r="L59" s="152" t="s">
        <v>120</v>
      </c>
      <c r="M59" s="153" t="n">
        <f aca="false">49.37+0.18</f>
        <v>49.55</v>
      </c>
      <c r="N59" s="152" t="s">
        <v>1548</v>
      </c>
      <c r="O59" s="152" t="s">
        <v>1549</v>
      </c>
      <c r="P59" s="152" t="s">
        <v>1550</v>
      </c>
      <c r="Q59" s="152" t="s">
        <v>1551</v>
      </c>
      <c r="R59" s="154" t="s">
        <v>1751</v>
      </c>
      <c r="S59" s="154" t="s">
        <v>1593</v>
      </c>
      <c r="T59" s="155" t="s">
        <v>1746</v>
      </c>
      <c r="U59" s="152" t="str">
        <f aca="false">RIGHT(T59,7)</f>
        <v>003/037</v>
      </c>
      <c r="V59" s="152" t="s">
        <v>1555</v>
      </c>
      <c r="W59" s="156" t="n">
        <v>45882</v>
      </c>
      <c r="X59" s="152" t="s">
        <v>1556</v>
      </c>
      <c r="Y59" s="152"/>
      <c r="Z59" s="152" t="s">
        <v>1557</v>
      </c>
      <c r="AA59" s="153" t="n">
        <v>1.8</v>
      </c>
      <c r="AB59" s="151" t="s">
        <v>1752</v>
      </c>
      <c r="AC59" s="151" t="s">
        <v>508</v>
      </c>
      <c r="AD59" s="151" t="str">
        <f aca="false">CONCATENATE($C59,$I59,$H59,$N59,$J59,$K59)</f>
        <v>TUBO PEADPEAD225VCAREDESZona01</v>
      </c>
      <c r="AE59" s="153" t="n">
        <f aca="false">IFERROR(INDEX(APOIO_REDES!$A:$W,MATCH($C59&amp;$I59&amp;$H59&amp;$N59&amp;$O59,APOIO_REDES!$W:$W,0),MATCH(AE$5,APOIO_REDES!$5:$5,0)),0)</f>
        <v>1.2</v>
      </c>
      <c r="AF59" s="153" t="n">
        <f aca="false">IFERROR(INDEX(APOIO_REDES!$A:$W,MATCH($C59&amp;$I59&amp;$H59&amp;$N59&amp;$O59,APOIO_REDES!$W:$W,0),MATCH(AF$5,APOIO_REDES!$5:$5,0)),0)</f>
        <v>1.525</v>
      </c>
      <c r="AG59" s="153" t="n">
        <f aca="false">IFERROR(INDEX(APOIO_REDES!$A:$W,MATCH($C59&amp;$I59&amp;$H59&amp;$N59&amp;$O59,APOIO_REDES!$W:$W,0),MATCH(AG$5,APOIO_REDES!$5:$5,0)),0)</f>
        <v>0.8</v>
      </c>
      <c r="AH59" s="153" t="n">
        <f aca="false">IFERROR(INDEX(APOIO_REDES!$A:$W,MATCH($C59&amp;$I59&amp;$H59&amp;$N59&amp;$O59,APOIO_REDES!$W:$W,0),MATCH(AH$5,APOIO_REDES!$5:$5,0)),0)</f>
        <v>0.1</v>
      </c>
      <c r="AI59" s="153" t="n">
        <f aca="false">IFERROR(IF($H59&lt;&gt;"",(((($H59/1000)/2)^2)*PI()*$M59),0),0)</f>
        <v>1.97014674918989</v>
      </c>
      <c r="AJ59" s="153" t="n">
        <f aca="false">IFERROR(IF(AND($H59&lt;&gt;"",$I59="FoFo",OR($N59="MND",$N59="VCA"),$Q59="LINEAR"),0,IF(AND($H59&lt;&gt;"",$I59="PEAD",$N59="VCA",$Q59="LINEAR"),($H59/1000)+0.3,IF(AND($H59&lt;&gt;"",$I59="PEAD",$N59="MND",$Q59="EMBOQUE"),0,IF(AND($H59&lt;&gt;"",$I59="PVC",$N59="VCA",$Q59="LINEAR"),($H59/1000)+0.2,IF(AND($H59&lt;&gt;"",$I59="PVC",$N59="MND",$Q59="EMBOQUE"),0,IF(AND($H59&lt;&gt;"",$I59="PEAD",$N59="VCA",$Q59="PREDIAL"),0,0)))))),0)</f>
        <v>0.525</v>
      </c>
      <c r="AK59" s="153" t="n">
        <f aca="false">IF(AA59&lt;&gt;"",AA59,0)</f>
        <v>1.8</v>
      </c>
      <c r="AL59" s="153" t="n">
        <f aca="false">IF(AND($N59="MND",$Q59="EMBOQUE"),$M59,IF(AND($N59="VCA",$Q59="LINEAR"),$M59,IF(AND($N59="VCA",$Q59="PREDIAL"),0,0)))</f>
        <v>49.55</v>
      </c>
      <c r="AM59" s="153" t="n">
        <f aca="false">IF(AND($N59="MND",$Q59="EMBOQUE"),$M59,IF(AND($N59="VCA",$Q59="LINEAR"),$M59,IF(AND($N59="VCA",$Q59="PREDIAL"),0,0)))</f>
        <v>49.55</v>
      </c>
      <c r="AN59" s="153" t="n">
        <f aca="false">ROUND(IF(AND($N59="VCA",$M59&lt;&gt;"",$Q59="LINEAR"),$M59/100,IF(AND($N59="MND",$M59&gt;100,$Q59="EMBOQUE"),$M59/100,0)),0)</f>
        <v>0</v>
      </c>
      <c r="AO59" s="153" t="n">
        <f aca="false">IF(AND($N59="MND",$Q59="EMBOQUE"),$AN59*2*2,IF(AND($N59="VCA",$Q59="LINEAR"),$M59*2,IF(AND($N59="VCA",$Q59="PREDIAL"),0,0)))</f>
        <v>99.1</v>
      </c>
      <c r="AP59" s="153" t="n">
        <f aca="false">IFERROR($M59*$AF59*$AG59,0)</f>
        <v>60.451</v>
      </c>
      <c r="AQ59" s="153" t="n">
        <f aca="false">IFERROR(IF(AND($N59="VCA",$AH59&gt;0),$M59*$AG59*$AH59,0),0)</f>
        <v>3.964</v>
      </c>
      <c r="AR59" s="153" t="n">
        <f aca="false">IFERROR(IF(AND($N59="VCA",$AJ59&gt;0),($M59*$AG59*$AJ59)-$AI59,0),0)</f>
        <v>18.8408532508101</v>
      </c>
      <c r="AS59" s="153" t="n">
        <f aca="false">IFERROR(IF(AND($N59="VCA",$AP59&gt;0),$AP59-$AI59-$AQ59-$AR59,0),0)</f>
        <v>35.676</v>
      </c>
      <c r="AT59" s="153" t="n">
        <f aca="false">IFERROR(IF($N59="VCA",INDEX(APOIO_REDES!$A:$W,MATCH($C59&amp;$I59&amp;$H59&amp;$N59&amp;$O59,APOIO_REDES!$W:$W,0),MATCH(AT$5,APOIO_REDES!$5:$5,0)),0)*$AP59,0)</f>
        <v>0.657724772582675</v>
      </c>
      <c r="AU59" s="153" t="n">
        <f aca="false">IFERROR(IF($N59="VCA",INDEX(APOIO_REDES!$A:$W,MATCH($C59&amp;$I59&amp;$H59&amp;$N59&amp;$O59,APOIO_REDES!$W:$W,0),MATCH(AU$5,APOIO_REDES!$5:$5,0)),0)*$AP59,0)</f>
        <v>0.525241189938573</v>
      </c>
      <c r="AV59" s="153" t="n">
        <f aca="false">IFERROR(IF($N59="VCA",INDEX(APOIO_REDES!$A:$W,MATCH($C59&amp;$I59&amp;$H59&amp;$N59&amp;$O59,APOIO_REDES!$W:$W,0),MATCH(AV$5,APOIO_REDES!$5:$5,0)),0)*$AP59,0)</f>
        <v>0.0726892573824906</v>
      </c>
      <c r="AW59" s="153" t="n">
        <f aca="false">IFERROR(IF($N59="VCA",INDEX(APOIO_REDES!$A:$W,MATCH($C59&amp;$I59&amp;$H59&amp;$N59&amp;$O59,APOIO_REDES!$W:$W,0),MATCH(AW$5,APOIO_REDES!$5:$5,0)),0)*$AP59,0)</f>
        <v>41.4940347972047</v>
      </c>
      <c r="AX59" s="153" t="n">
        <f aca="false">IFERROR(IF($N59="VCA",INDEX(APOIO_REDES!$A:$W,MATCH($C59&amp;$I59&amp;$H59&amp;$N59&amp;$O59,APOIO_REDES!$W:$W,0),MATCH(AX$5,APOIO_REDES!$5:$5,0)),0)*$AP59,0)</f>
        <v>5.74265621793765</v>
      </c>
      <c r="AY59" s="153" t="n">
        <f aca="false">IFERROR(IF($N59="VCA",INDEX(APOIO_REDES!$A:$W,MATCH($C59&amp;$I59&amp;$H59&amp;$N59&amp;$O59,APOIO_REDES!$W:$W,0),MATCH(AY$5,APOIO_REDES!$5:$5,0)),0)*$AP59,0)</f>
        <v>10.5048173961239</v>
      </c>
      <c r="AZ59" s="153" t="n">
        <f aca="false">IFERROR(IF($N59="VCA",INDEX(APOIO_REDES!$A:$W,MATCH($C59&amp;$I59&amp;$H59&amp;$N59&amp;$O59,APOIO_REDES!$W:$W,0),MATCH(AZ$5,APOIO_REDES!$5:$5,0)),0)*$AP59,0)</f>
        <v>1.45383636883003</v>
      </c>
      <c r="BA59" s="153" t="n">
        <f aca="false">IFERROR(IF(AND($N59="VCA",$Q59="LINEAR"),INDEX(APOIO_REDES!$A:$W,MATCH($C59&amp;$I59&amp;$H59&amp;$N59&amp;$O59,APOIO_REDES!$W:$W,0),MATCH(BA$5,APOIO_REDES!$5:$5,0)),IF(AND($N59="MND",$Q59="EMBOQUE"),INDEX(APOIO_REDES!$A:$W,MATCH($C59&amp;$I59&amp;$H59&amp;$N59&amp;$O59,APOIO_REDES!$W:$W,0),MATCH(BA$5,APOIO_REDES!$5:$5,0)),0))*$M59/10,0)</f>
        <v>3.99360501407811</v>
      </c>
      <c r="BB59" s="153" t="n">
        <f aca="false">IFERROR(IF($N59="VCA",INDEX(APOIO_REDES!$A:$W,MATCH($C59&amp;$I59&amp;$H59&amp;$N59&amp;$O59,APOIO_REDES!$W:$W,0),MATCH(BB$5,APOIO_REDES!$5:$5,0)),0)*($AI59+$AQ59+$AR59),0)</f>
        <v>24.5054406669743</v>
      </c>
      <c r="BC59" s="153" t="n">
        <f aca="false">IFERROR(IF($N59="VCA",INDEX(APOIO_REDES!$A:$W,MATCH($C59&amp;$I59&amp;$H59&amp;$N59&amp;$O59,APOIO_REDES!$W:$W,0),MATCH(BC$5,APOIO_REDES!$5:$5,0)),0)*($AI59+$AQ59+$AR59),0)</f>
        <v>0.269559333025687</v>
      </c>
      <c r="BD59" s="153" t="n">
        <f aca="false">IF(AND($N59="VCA",$AF59&gt;=1.25,$AF59&lt;1.5),$M59*$AF59*2,0)</f>
        <v>0</v>
      </c>
      <c r="BE59" s="153" t="n">
        <f aca="false">IF(AND($N59="VCA",$AF59&gt;=1.5,$AF59&lt;3),$M59*$AF59*2,0)</f>
        <v>151.1275</v>
      </c>
      <c r="BF59" s="153" t="n">
        <f aca="false">IF(AND($N59="VCA",$AF59&gt;=3),$M59*$AF59*2,0)</f>
        <v>0</v>
      </c>
      <c r="BG59" s="153" t="n">
        <f aca="false">($BB59+$BC59)*$AK59</f>
        <v>44.595</v>
      </c>
      <c r="BH59" s="153" t="n">
        <f aca="false">IF(AND($M59&lt;&gt;"",$N59="VCA",$Q59="LINEAR"),($M59*2)/100,IF(AND($M59&lt;&gt;"",$N59="MND",$Q59="EMBOQUE"),($AN59*2)/100,0))</f>
        <v>0.991</v>
      </c>
      <c r="BI59" s="153" t="n">
        <f aca="false">IF(AND($M59&lt;&gt;"",$N59="VCA",$Q59="LINEAR"),$M59,IF(AND($M59&lt;&gt;"",$N59="MND",$Q59="EMBOQUE"),$AN59*2,0))</f>
        <v>49.55</v>
      </c>
      <c r="BJ59" s="153" t="n">
        <f aca="false">IF(AND($M59&lt;&gt;"",$N59="VCA",$Q59="LINEAR"),($M59*6.8)/100,IF(AND($M59&lt;&gt;"",$N59="MND",$Q59="EMBOQUE"),($AN59*2*6.8)/100,0))</f>
        <v>3.3694</v>
      </c>
      <c r="BK59" s="153" t="n">
        <f aca="false">IF(AND($M59&lt;&gt;"",$N59="VCA",$Q59="LINEAR"),($M59*2.5)/50,IF(AND($M59&lt;&gt;"",$N59="MND",$Q59="EMBOQUE"),($AN59*2*2.5)/50,0))</f>
        <v>2.4775</v>
      </c>
      <c r="BL59" s="157" t="str">
        <f aca="false">K59&amp;J59</f>
        <v>Zona01REDES</v>
      </c>
      <c r="BM59" s="152" t="s">
        <v>1559</v>
      </c>
      <c r="BN59" s="152" t="s">
        <v>1560</v>
      </c>
      <c r="BO59" s="152" t="s">
        <v>1748</v>
      </c>
      <c r="BP59" s="152" t="s">
        <v>1743</v>
      </c>
      <c r="BQ59" s="152" t="s">
        <v>1729</v>
      </c>
      <c r="BR59" s="152" t="s">
        <v>1753</v>
      </c>
      <c r="BS59" s="152" t="n">
        <v>203564.678</v>
      </c>
      <c r="BT59" s="152" t="n">
        <v>8238752.409</v>
      </c>
      <c r="BU59" s="152" t="n">
        <v>203581.342</v>
      </c>
      <c r="BV59" s="152" t="n">
        <v>8238798.838</v>
      </c>
      <c r="BW59" s="152" t="n">
        <v>-15.9125275</v>
      </c>
      <c r="BX59" s="152" t="n">
        <v>-47.768444</v>
      </c>
      <c r="BY59" s="152" t="s">
        <v>1743</v>
      </c>
    </row>
    <row r="60" customFormat="false" ht="13.8" hidden="false" customHeight="false" outlineLevel="0" collapsed="false">
      <c r="A60" s="149" t="n">
        <f aca="false">IF(C60&lt;&gt;"",ROW(A55),"")</f>
        <v>55</v>
      </c>
      <c r="B60" s="150" t="str">
        <f aca="false">HYPERLINK("https://www.google.com/maps/dir/-15.917302,-47.760003/-15.9130975,-47.7686678/data=!4m3!4m2!3e0!5i0")</f>
        <v>https://www.google.com/maps/dir/-15.917302,-47.760003/-15.9130975,-47.7686678/data=!4m3!4m2!3e0!5i0</v>
      </c>
      <c r="C60" s="151" t="s">
        <v>117</v>
      </c>
      <c r="D60" s="152" t="s">
        <v>112</v>
      </c>
      <c r="E60" s="152" t="s">
        <v>113</v>
      </c>
      <c r="F60" s="152" t="s">
        <v>117</v>
      </c>
      <c r="G60" s="152" t="s">
        <v>782</v>
      </c>
      <c r="H60" s="152" t="n">
        <v>63</v>
      </c>
      <c r="I60" s="152" t="s">
        <v>115</v>
      </c>
      <c r="J60" s="152" t="s">
        <v>6</v>
      </c>
      <c r="K60" s="152" t="s">
        <v>1547</v>
      </c>
      <c r="L60" s="152" t="s">
        <v>120</v>
      </c>
      <c r="M60" s="153" t="n">
        <f aca="false">190.03</f>
        <v>190.03</v>
      </c>
      <c r="N60" s="152" t="s">
        <v>1548</v>
      </c>
      <c r="O60" s="152" t="s">
        <v>1549</v>
      </c>
      <c r="P60" s="152" t="s">
        <v>1550</v>
      </c>
      <c r="Q60" s="152" t="s">
        <v>1551</v>
      </c>
      <c r="R60" s="154" t="s">
        <v>1754</v>
      </c>
      <c r="S60" s="154" t="s">
        <v>1553</v>
      </c>
      <c r="T60" s="155" t="s">
        <v>1746</v>
      </c>
      <c r="U60" s="152" t="str">
        <f aca="false">RIGHT(T60,7)</f>
        <v>003/037</v>
      </c>
      <c r="V60" s="152" t="s">
        <v>1555</v>
      </c>
      <c r="W60" s="156" t="n">
        <v>45882</v>
      </c>
      <c r="X60" s="152" t="s">
        <v>1556</v>
      </c>
      <c r="Y60" s="152"/>
      <c r="Z60" s="152" t="s">
        <v>1557</v>
      </c>
      <c r="AA60" s="153" t="n">
        <v>2.5</v>
      </c>
      <c r="AB60" s="151" t="s">
        <v>1755</v>
      </c>
      <c r="AC60" s="151" t="s">
        <v>186</v>
      </c>
      <c r="AD60" s="151" t="str">
        <f aca="false">CONCATENATE($C60,$I60,$H60,$N60,$J60,$K60)</f>
        <v>TUBO PEADPEAD63VCAREDESZona01</v>
      </c>
      <c r="AE60" s="153" t="n">
        <f aca="false">IFERROR(INDEX(APOIO_REDES!$A:$W,MATCH($C60&amp;$I60&amp;$H60&amp;$N60&amp;$O60,APOIO_REDES!$W:$W,0),MATCH(AE$5,APOIO_REDES!$5:$5,0)),0)</f>
        <v>1.2</v>
      </c>
      <c r="AF60" s="153" t="n">
        <f aca="false">IFERROR(INDEX(APOIO_REDES!$A:$W,MATCH($C60&amp;$I60&amp;$H60&amp;$N60&amp;$O60,APOIO_REDES!$W:$W,0),MATCH(AF$5,APOIO_REDES!$5:$5,0)),0)</f>
        <v>1.363</v>
      </c>
      <c r="AG60" s="153" t="n">
        <f aca="false">IFERROR(INDEX(APOIO_REDES!$A:$W,MATCH($C60&amp;$I60&amp;$H60&amp;$N60&amp;$O60,APOIO_REDES!$W:$W,0),MATCH(AG$5,APOIO_REDES!$5:$5,0)),0)</f>
        <v>0.65</v>
      </c>
      <c r="AH60" s="153" t="n">
        <f aca="false">IFERROR(INDEX(APOIO_REDES!$A:$W,MATCH($C60&amp;$I60&amp;$H60&amp;$N60&amp;$O60,APOIO_REDES!$W:$W,0),MATCH(AH$5,APOIO_REDES!$5:$5,0)),0)</f>
        <v>0.1</v>
      </c>
      <c r="AI60" s="153" t="n">
        <f aca="false">IFERROR(IF($H60&lt;&gt;"",(((($H60/1000)/2)^2)*PI()*$M60),0),0)</f>
        <v>0.592370126358966</v>
      </c>
      <c r="AJ60" s="153" t="n">
        <f aca="false">IFERROR(IF(AND($H60&lt;&gt;"",$I60="FoFo",OR($N60="MND",$N60="VCA"),$Q60="LINEAR"),0,IF(AND($H60&lt;&gt;"",$I60="PEAD",$N60="VCA",$Q60="LINEAR"),($H60/1000)+0.3,IF(AND($H60&lt;&gt;"",$I60="PEAD",$N60="MND",$Q60="EMBOQUE"),0,IF(AND($H60&lt;&gt;"",$I60="PVC",$N60="VCA",$Q60="LINEAR"),($H60/1000)+0.2,IF(AND($H60&lt;&gt;"",$I60="PVC",$N60="MND",$Q60="EMBOQUE"),0,IF(AND($H60&lt;&gt;"",$I60="PEAD",$N60="VCA",$Q60="PREDIAL"),0,0)))))),0)</f>
        <v>0.363</v>
      </c>
      <c r="AK60" s="153" t="n">
        <f aca="false">IF(AA60&lt;&gt;"",AA60,0)</f>
        <v>2.5</v>
      </c>
      <c r="AL60" s="153" t="n">
        <f aca="false">IF(AND($N60="MND",$Q60="EMBOQUE"),$M60,IF(AND($N60="VCA",$Q60="LINEAR"),$M60,IF(AND($N60="VCA",$Q60="PREDIAL"),0,0)))</f>
        <v>190.03</v>
      </c>
      <c r="AM60" s="153" t="n">
        <f aca="false">IF(AND($N60="MND",$Q60="EMBOQUE"),$M60,IF(AND($N60="VCA",$Q60="LINEAR"),$M60,IF(AND($N60="VCA",$Q60="PREDIAL"),0,0)))</f>
        <v>190.03</v>
      </c>
      <c r="AN60" s="153" t="n">
        <f aca="false">ROUND(IF(AND($N60="VCA",$M60&lt;&gt;"",$Q60="LINEAR"),$M60/100,IF(AND($N60="MND",$M60&gt;100,$Q60="EMBOQUE"),$M60/100,0)),0)</f>
        <v>2</v>
      </c>
      <c r="AO60" s="153" t="n">
        <f aca="false">IF(AND($N60="MND",$Q60="EMBOQUE"),$AN60*2*2,IF(AND($N60="VCA",$Q60="LINEAR"),$M60*2,IF(AND($N60="VCA",$Q60="PREDIAL"),0,0)))</f>
        <v>380.06</v>
      </c>
      <c r="AP60" s="153" t="n">
        <f aca="false">IFERROR($M60*$AF60*$AG60,0)</f>
        <v>168.3570785</v>
      </c>
      <c r="AQ60" s="153" t="n">
        <f aca="false">IFERROR(IF(AND($N60="VCA",$AH60&gt;0),$M60*$AG60*$AH60,0),0)</f>
        <v>12.35195</v>
      </c>
      <c r="AR60" s="153" t="n">
        <f aca="false">IFERROR(IF(AND($N60="VCA",$AJ60&gt;0),($M60*$AG60*$AJ60)-$AI60,0),0)</f>
        <v>44.245208373641</v>
      </c>
      <c r="AS60" s="153" t="n">
        <f aca="false">IFERROR(IF(AND($N60="VCA",$AP60&gt;0),$AP60-$AI60-$AQ60-$AR60,0),0)</f>
        <v>111.16755</v>
      </c>
      <c r="AT60" s="153" t="n">
        <f aca="false">IFERROR(IF($N60="VCA",INDEX(APOIO_REDES!$A:$W,MATCH($C60&amp;$I60&amp;$H60&amp;$N60&amp;$O60,APOIO_REDES!$W:$W,0),MATCH(AT$5,APOIO_REDES!$5:$5,0)),0)*$AP60,0)</f>
        <v>1.83177484523161</v>
      </c>
      <c r="AU60" s="153" t="n">
        <f aca="false">IFERROR(IF($N60="VCA",INDEX(APOIO_REDES!$A:$W,MATCH($C60&amp;$I60&amp;$H60&amp;$N60&amp;$O60,APOIO_REDES!$W:$W,0),MATCH(AU$5,APOIO_REDES!$5:$5,0)),0)*$AP60,0)</f>
        <v>1.46280578064749</v>
      </c>
      <c r="AV60" s="153" t="n">
        <f aca="false">IFERROR(IF($N60="VCA",INDEX(APOIO_REDES!$A:$W,MATCH($C60&amp;$I60&amp;$H60&amp;$N60&amp;$O60,APOIO_REDES!$W:$W,0),MATCH(AV$5,APOIO_REDES!$5:$5,0)),0)*$AP60,0)</f>
        <v>0.20244083656599</v>
      </c>
      <c r="AW60" s="153" t="n">
        <f aca="false">IFERROR(IF($N60="VCA",INDEX(APOIO_REDES!$A:$W,MATCH($C60&amp;$I60&amp;$H60&amp;$N60&amp;$O60,APOIO_REDES!$W:$W,0),MATCH(AW$5,APOIO_REDES!$5:$5,0)),0)*$AP60,0)</f>
        <v>115.5616031767</v>
      </c>
      <c r="AX60" s="153" t="n">
        <f aca="false">IFERROR(IF($N60="VCA",INDEX(APOIO_REDES!$A:$W,MATCH($C60&amp;$I60&amp;$H60&amp;$N60&amp;$O60,APOIO_REDES!$W:$W,0),MATCH(AX$5,APOIO_REDES!$5:$5,0)),0)*$AP60,0)</f>
        <v>15.9933966961976</v>
      </c>
      <c r="AY60" s="153" t="n">
        <f aca="false">IFERROR(IF($N60="VCA",INDEX(APOIO_REDES!$A:$W,MATCH($C60&amp;$I60&amp;$H60&amp;$N60&amp;$O60,APOIO_REDES!$W:$W,0),MATCH(AY$5,APOIO_REDES!$5:$5,0)),0)*$AP60,0)</f>
        <v>29.256097781466</v>
      </c>
      <c r="AZ60" s="153" t="n">
        <f aca="false">IFERROR(IF($N60="VCA",INDEX(APOIO_REDES!$A:$W,MATCH($C60&amp;$I60&amp;$H60&amp;$N60&amp;$O60,APOIO_REDES!$W:$W,0),MATCH(AZ$5,APOIO_REDES!$5:$5,0)),0)*$AP60,0)</f>
        <v>4.0489593831909</v>
      </c>
      <c r="BA60" s="153" t="n">
        <f aca="false">IFERROR(IF(AND($N60="VCA",$Q60="LINEAR"),INDEX(APOIO_REDES!$A:$W,MATCH($C60&amp;$I60&amp;$H60&amp;$N60&amp;$O60,APOIO_REDES!$W:$W,0),MATCH(BA$5,APOIO_REDES!$5:$5,0)),IF(AND($N60="MND",$Q60="EMBOQUE"),INDEX(APOIO_REDES!$A:$W,MATCH($C60&amp;$I60&amp;$H60&amp;$N60&amp;$O60,APOIO_REDES!$W:$W,0),MATCH(BA$5,APOIO_REDES!$5:$5,0)),0))*$M60/10,0)</f>
        <v>15.3159386644856</v>
      </c>
      <c r="BB60" s="153" t="n">
        <f aca="false">IFERROR(IF($N60="VCA",INDEX(APOIO_REDES!$A:$W,MATCH($C60&amp;$I60&amp;$H60&amp;$N60&amp;$O60,APOIO_REDES!$W:$W,0),MATCH(BB$5,APOIO_REDES!$5:$5,0)),0)*($AI60+$AQ60+$AR60),0)</f>
        <v>56.5672895026836</v>
      </c>
      <c r="BC60" s="153" t="n">
        <f aca="false">IFERROR(IF($N60="VCA",INDEX(APOIO_REDES!$A:$W,MATCH($C60&amp;$I60&amp;$H60&amp;$N60&amp;$O60,APOIO_REDES!$W:$W,0),MATCH(BC$5,APOIO_REDES!$5:$5,0)),0)*($AI60+$AQ60+$AR60),0)</f>
        <v>0.622238997316387</v>
      </c>
      <c r="BD60" s="153" t="n">
        <f aca="false">IF(AND($N60="VCA",$AF60&gt;=1.25,$AF60&lt;1.5),$M60*$AF60*2,0)</f>
        <v>518.02178</v>
      </c>
      <c r="BE60" s="153" t="n">
        <f aca="false">IF(AND($N60="VCA",$AF60&gt;=1.5,$AF60&lt;3),$M60*$AF60*2,0)</f>
        <v>0</v>
      </c>
      <c r="BF60" s="153" t="n">
        <f aca="false">IF(AND($N60="VCA",$AF60&gt;=3),$M60*$AF60*2,0)</f>
        <v>0</v>
      </c>
      <c r="BG60" s="153" t="n">
        <f aca="false">($BB60+$BC60)*$AK60</f>
        <v>142.97382125</v>
      </c>
      <c r="BH60" s="153" t="n">
        <f aca="false">IF(AND($M60&lt;&gt;"",$N60="VCA",$Q60="LINEAR"),($M60*2)/100,IF(AND($M60&lt;&gt;"",$N60="MND",$Q60="EMBOQUE"),($AN60*2)/100,0))</f>
        <v>3.8006</v>
      </c>
      <c r="BI60" s="153" t="n">
        <f aca="false">IF(AND($M60&lt;&gt;"",$N60="VCA",$Q60="LINEAR"),$M60,IF(AND($M60&lt;&gt;"",$N60="MND",$Q60="EMBOQUE"),$AN60*2,0))</f>
        <v>190.03</v>
      </c>
      <c r="BJ60" s="153" t="n">
        <f aca="false">IF(AND($M60&lt;&gt;"",$N60="VCA",$Q60="LINEAR"),($M60*6.8)/100,IF(AND($M60&lt;&gt;"",$N60="MND",$Q60="EMBOQUE"),($AN60*2*6.8)/100,0))</f>
        <v>12.92204</v>
      </c>
      <c r="BK60" s="153" t="n">
        <f aca="false">IF(AND($M60&lt;&gt;"",$N60="VCA",$Q60="LINEAR"),($M60*2.5)/50,IF(AND($M60&lt;&gt;"",$N60="MND",$Q60="EMBOQUE"),($AN60*2*2.5)/50,0))</f>
        <v>9.5015</v>
      </c>
      <c r="BL60" s="157" t="str">
        <f aca="false">K60&amp;J60</f>
        <v>Zona01REDES</v>
      </c>
      <c r="BM60" s="152" t="s">
        <v>1559</v>
      </c>
      <c r="BN60" s="152" t="s">
        <v>1560</v>
      </c>
      <c r="BO60" s="152" t="s">
        <v>1748</v>
      </c>
      <c r="BP60" s="152" t="s">
        <v>1756</v>
      </c>
      <c r="BQ60" s="152" t="s">
        <v>1733</v>
      </c>
      <c r="BR60" s="152" t="s">
        <v>1757</v>
      </c>
      <c r="BS60" s="152" t="n">
        <v>203549.484</v>
      </c>
      <c r="BT60" s="152" t="n">
        <v>8238712.319</v>
      </c>
      <c r="BU60" s="152" t="n">
        <v>203400.567</v>
      </c>
      <c r="BV60" s="152" t="n">
        <v>8238830.262</v>
      </c>
      <c r="BW60" s="152" t="n">
        <v>-15.9125621</v>
      </c>
      <c r="BX60" s="152" t="n">
        <v>-47.7693606</v>
      </c>
      <c r="BY60" s="152" t="s">
        <v>1756</v>
      </c>
    </row>
    <row r="61" customFormat="false" ht="13.8" hidden="false" customHeight="false" outlineLevel="0" collapsed="false">
      <c r="A61" s="149" t="n">
        <f aca="false">IF(C61&lt;&gt;"",ROW(A56),"")</f>
        <v>56</v>
      </c>
      <c r="B61" s="150" t="str">
        <f aca="false">HYPERLINK("https://www.google.com/maps/dir/-15.917302,-47.760003/-15.9127616,-47.7723543/data=!4m3!4m2!3e0!5i2")</f>
        <v>https://www.google.com/maps/dir/-15.917302,-47.760003/-15.9127616,-47.7723543/data=!4m3!4m2!3e0!5i2</v>
      </c>
      <c r="C61" s="151" t="s">
        <v>117</v>
      </c>
      <c r="D61" s="152" t="s">
        <v>112</v>
      </c>
      <c r="E61" s="152" t="s">
        <v>113</v>
      </c>
      <c r="F61" s="152" t="s">
        <v>117</v>
      </c>
      <c r="G61" s="152" t="s">
        <v>782</v>
      </c>
      <c r="H61" s="152" t="n">
        <v>63</v>
      </c>
      <c r="I61" s="152" t="s">
        <v>115</v>
      </c>
      <c r="J61" s="152" t="s">
        <v>6</v>
      </c>
      <c r="K61" s="152" t="s">
        <v>1547</v>
      </c>
      <c r="L61" s="152" t="s">
        <v>120</v>
      </c>
      <c r="M61" s="153" t="n">
        <f aca="false">47.06</f>
        <v>47.06</v>
      </c>
      <c r="N61" s="152" t="s">
        <v>1548</v>
      </c>
      <c r="O61" s="152" t="s">
        <v>1549</v>
      </c>
      <c r="P61" s="152" t="s">
        <v>1550</v>
      </c>
      <c r="Q61" s="152" t="s">
        <v>1551</v>
      </c>
      <c r="R61" s="154" t="s">
        <v>1758</v>
      </c>
      <c r="S61" s="154" t="s">
        <v>1553</v>
      </c>
      <c r="T61" s="155" t="s">
        <v>1746</v>
      </c>
      <c r="U61" s="152" t="str">
        <f aca="false">RIGHT(T61,7)</f>
        <v>003/037</v>
      </c>
      <c r="V61" s="152" t="s">
        <v>1555</v>
      </c>
      <c r="W61" s="156" t="n">
        <v>45882</v>
      </c>
      <c r="X61" s="152" t="s">
        <v>1759</v>
      </c>
      <c r="Y61" s="152"/>
      <c r="Z61" s="152" t="s">
        <v>1557</v>
      </c>
      <c r="AA61" s="153" t="n">
        <v>3</v>
      </c>
      <c r="AB61" s="151" t="s">
        <v>1760</v>
      </c>
      <c r="AC61" s="151" t="s">
        <v>186</v>
      </c>
      <c r="AD61" s="151" t="str">
        <f aca="false">CONCATENATE($C61,$I61,$H61,$N61,$J61,$K61)</f>
        <v>TUBO PEADPEAD63VCAREDESZona01</v>
      </c>
      <c r="AE61" s="153" t="n">
        <f aca="false">IFERROR(INDEX(APOIO_REDES!$A:$W,MATCH($C61&amp;$I61&amp;$H61&amp;$N61&amp;$O61,APOIO_REDES!$W:$W,0),MATCH(AE$5,APOIO_REDES!$5:$5,0)),0)</f>
        <v>1.2</v>
      </c>
      <c r="AF61" s="153" t="n">
        <f aca="false">IFERROR(INDEX(APOIO_REDES!$A:$W,MATCH($C61&amp;$I61&amp;$H61&amp;$N61&amp;$O61,APOIO_REDES!$W:$W,0),MATCH(AF$5,APOIO_REDES!$5:$5,0)),0)</f>
        <v>1.363</v>
      </c>
      <c r="AG61" s="153" t="n">
        <f aca="false">IFERROR(INDEX(APOIO_REDES!$A:$W,MATCH($C61&amp;$I61&amp;$H61&amp;$N61&amp;$O61,APOIO_REDES!$W:$W,0),MATCH(AG$5,APOIO_REDES!$5:$5,0)),0)</f>
        <v>0.65</v>
      </c>
      <c r="AH61" s="153" t="n">
        <f aca="false">IFERROR(INDEX(APOIO_REDES!$A:$W,MATCH($C61&amp;$I61&amp;$H61&amp;$N61&amp;$O61,APOIO_REDES!$W:$W,0),MATCH(AH$5,APOIO_REDES!$5:$5,0)),0)</f>
        <v>0.1</v>
      </c>
      <c r="AI61" s="153" t="n">
        <f aca="false">IFERROR(IF($H61&lt;&gt;"",(((($H61/1000)/2)^2)*PI()*$M61),0),0)</f>
        <v>0.146697564313282</v>
      </c>
      <c r="AJ61" s="153" t="n">
        <f aca="false">IFERROR(IF(AND($H61&lt;&gt;"",$I61="FoFo",OR($N61="MND",$N61="VCA"),$Q61="LINEAR"),0,IF(AND($H61&lt;&gt;"",$I61="PEAD",$N61="VCA",$Q61="LINEAR"),($H61/1000)+0.3,IF(AND($H61&lt;&gt;"",$I61="PEAD",$N61="MND",$Q61="EMBOQUE"),0,IF(AND($H61&lt;&gt;"",$I61="PVC",$N61="VCA",$Q61="LINEAR"),($H61/1000)+0.2,IF(AND($H61&lt;&gt;"",$I61="PVC",$N61="MND",$Q61="EMBOQUE"),0,IF(AND($H61&lt;&gt;"",$I61="PEAD",$N61="VCA",$Q61="PREDIAL"),0,0)))))),0)</f>
        <v>0.363</v>
      </c>
      <c r="AK61" s="153" t="n">
        <f aca="false">IF(AA61&lt;&gt;"",AA61,0)</f>
        <v>3</v>
      </c>
      <c r="AL61" s="153" t="n">
        <f aca="false">IF(AND($N61="MND",$Q61="EMBOQUE"),$M61,IF(AND($N61="VCA",$Q61="LINEAR"),$M61,IF(AND($N61="VCA",$Q61="PREDIAL"),0,0)))</f>
        <v>47.06</v>
      </c>
      <c r="AM61" s="153" t="n">
        <f aca="false">IF(AND($N61="MND",$Q61="EMBOQUE"),$M61,IF(AND($N61="VCA",$Q61="LINEAR"),$M61,IF(AND($N61="VCA",$Q61="PREDIAL"),0,0)))</f>
        <v>47.06</v>
      </c>
      <c r="AN61" s="153" t="n">
        <f aca="false">ROUND(IF(AND($N61="VCA",$M61&lt;&gt;"",$Q61="LINEAR"),$M61/100,IF(AND($N61="MND",$M61&gt;100,$Q61="EMBOQUE"),$M61/100,0)),0)</f>
        <v>0</v>
      </c>
      <c r="AO61" s="153" t="n">
        <f aca="false">IF(AND($N61="MND",$Q61="EMBOQUE"),$AN61*2*2,IF(AND($N61="VCA",$Q61="LINEAR"),$M61*2,IF(AND($N61="VCA",$Q61="PREDIAL"),0,0)))</f>
        <v>94.12</v>
      </c>
      <c r="AP61" s="153" t="n">
        <f aca="false">IFERROR($M61*$AF61*$AG61,0)</f>
        <v>41.692807</v>
      </c>
      <c r="AQ61" s="153" t="n">
        <f aca="false">IFERROR(IF(AND($N61="VCA",$AH61&gt;0),$M61*$AG61*$AH61,0),0)</f>
        <v>3.0589</v>
      </c>
      <c r="AR61" s="153" t="n">
        <f aca="false">IFERROR(IF(AND($N61="VCA",$AJ61&gt;0),($M61*$AG61*$AJ61)-$AI61,0),0)</f>
        <v>10.9571094356867</v>
      </c>
      <c r="AS61" s="153" t="n">
        <f aca="false">IFERROR(IF(AND($N61="VCA",$AP61&gt;0),$AP61-$AI61-$AQ61-$AR61,0),0)</f>
        <v>27.5301</v>
      </c>
      <c r="AT61" s="153" t="n">
        <f aca="false">IFERROR(IF($N61="VCA",INDEX(APOIO_REDES!$A:$W,MATCH($C61&amp;$I61&amp;$H61&amp;$N61&amp;$O61,APOIO_REDES!$W:$W,0),MATCH(AT$5,APOIO_REDES!$5:$5,0)),0)*$AP61,0)</f>
        <v>0.453630080600956</v>
      </c>
      <c r="AU61" s="153" t="n">
        <f aca="false">IFERROR(IF($N61="VCA",INDEX(APOIO_REDES!$A:$W,MATCH($C61&amp;$I61&amp;$H61&amp;$N61&amp;$O61,APOIO_REDES!$W:$W,0),MATCH(AU$5,APOIO_REDES!$5:$5,0)),0)*$AP61,0)</f>
        <v>0.362256696507241</v>
      </c>
      <c r="AV61" s="153" t="n">
        <f aca="false">IFERROR(IF($N61="VCA",INDEX(APOIO_REDES!$A:$W,MATCH($C61&amp;$I61&amp;$H61&amp;$N61&amp;$O61,APOIO_REDES!$W:$W,0),MATCH(AV$5,APOIO_REDES!$5:$5,0)),0)*$AP61,0)</f>
        <v>0.0501334829700337</v>
      </c>
      <c r="AW61" s="153" t="n">
        <f aca="false">IFERROR(IF($N61="VCA",INDEX(APOIO_REDES!$A:$W,MATCH($C61&amp;$I61&amp;$H61&amp;$N61&amp;$O61,APOIO_REDES!$W:$W,0),MATCH(AW$5,APOIO_REDES!$5:$5,0)),0)*$AP61,0)</f>
        <v>28.6182657764328</v>
      </c>
      <c r="AX61" s="153" t="n">
        <f aca="false">IFERROR(IF($N61="VCA",INDEX(APOIO_REDES!$A:$W,MATCH($C61&amp;$I61&amp;$H61&amp;$N61&amp;$O61,APOIO_REDES!$W:$W,0),MATCH(AX$5,APOIO_REDES!$5:$5,0)),0)*$AP61,0)</f>
        <v>3.96068646278513</v>
      </c>
      <c r="AY61" s="153" t="n">
        <f aca="false">IFERROR(IF($N61="VCA",INDEX(APOIO_REDES!$A:$W,MATCH($C61&amp;$I61&amp;$H61&amp;$N61&amp;$O61,APOIO_REDES!$W:$W,0),MATCH(AY$5,APOIO_REDES!$5:$5,0)),0)*$AP61,0)</f>
        <v>7.24512951426507</v>
      </c>
      <c r="AZ61" s="153" t="n">
        <f aca="false">IFERROR(IF($N61="VCA",INDEX(APOIO_REDES!$A:$W,MATCH($C61&amp;$I61&amp;$H61&amp;$N61&amp;$O61,APOIO_REDES!$W:$W,0),MATCH(AZ$5,APOIO_REDES!$5:$5,0)),0)*$AP61,0)</f>
        <v>1.00270498643879</v>
      </c>
      <c r="BA61" s="153" t="n">
        <f aca="false">IFERROR(IF(AND($N61="VCA",$Q61="LINEAR"),INDEX(APOIO_REDES!$A:$W,MATCH($C61&amp;$I61&amp;$H61&amp;$N61&amp;$O61,APOIO_REDES!$W:$W,0),MATCH(BA$5,APOIO_REDES!$5:$5,0)),IF(AND($N61="MND",$Q61="EMBOQUE"),INDEX(APOIO_REDES!$A:$W,MATCH($C61&amp;$I61&amp;$H61&amp;$N61&amp;$O61,APOIO_REDES!$W:$W,0),MATCH(BA$5,APOIO_REDES!$5:$5,0)),0))*$M61/10,0)</f>
        <v>3.79291729490446</v>
      </c>
      <c r="BB61" s="153" t="n">
        <f aca="false">IFERROR(IF($N61="VCA",INDEX(APOIO_REDES!$A:$W,MATCH($C61&amp;$I61&amp;$H61&amp;$N61&amp;$O61,APOIO_REDES!$W:$W,0),MATCH(BB$5,APOIO_REDES!$5:$5,0)),0)*($AI61+$AQ61+$AR61),0)</f>
        <v>14.0086125558927</v>
      </c>
      <c r="BC61" s="153" t="n">
        <f aca="false">IFERROR(IF($N61="VCA",INDEX(APOIO_REDES!$A:$W,MATCH($C61&amp;$I61&amp;$H61&amp;$N61&amp;$O61,APOIO_REDES!$W:$W,0),MATCH(BC$5,APOIO_REDES!$5:$5,0)),0)*($AI61+$AQ61+$AR61),0)</f>
        <v>0.154094444107295</v>
      </c>
      <c r="BD61" s="153" t="n">
        <f aca="false">IF(AND($N61="VCA",$AF61&gt;=1.25,$AF61&lt;1.5),$M61*$AF61*2,0)</f>
        <v>128.28556</v>
      </c>
      <c r="BE61" s="153" t="n">
        <f aca="false">IF(AND($N61="VCA",$AF61&gt;=1.5,$AF61&lt;3),$M61*$AF61*2,0)</f>
        <v>0</v>
      </c>
      <c r="BF61" s="153" t="n">
        <f aca="false">IF(AND($N61="VCA",$AF61&gt;=3),$M61*$AF61*2,0)</f>
        <v>0</v>
      </c>
      <c r="BG61" s="153" t="n">
        <f aca="false">($BB61+$BC61)*$AK61</f>
        <v>42.488121</v>
      </c>
      <c r="BH61" s="153" t="n">
        <f aca="false">IF(AND($M61&lt;&gt;"",$N61="VCA",$Q61="LINEAR"),($M61*2)/100,IF(AND($M61&lt;&gt;"",$N61="MND",$Q61="EMBOQUE"),($AN61*2)/100,0))</f>
        <v>0.9412</v>
      </c>
      <c r="BI61" s="153" t="n">
        <f aca="false">IF(AND($M61&lt;&gt;"",$N61="VCA",$Q61="LINEAR"),$M61,IF(AND($M61&lt;&gt;"",$N61="MND",$Q61="EMBOQUE"),$AN61*2,0))</f>
        <v>47.06</v>
      </c>
      <c r="BJ61" s="153" t="n">
        <f aca="false">IF(AND($M61&lt;&gt;"",$N61="VCA",$Q61="LINEAR"),($M61*6.8)/100,IF(AND($M61&lt;&gt;"",$N61="MND",$Q61="EMBOQUE"),($AN61*2*6.8)/100,0))</f>
        <v>3.20008</v>
      </c>
      <c r="BK61" s="153" t="n">
        <f aca="false">IF(AND($M61&lt;&gt;"",$N61="VCA",$Q61="LINEAR"),($M61*2.5)/50,IF(AND($M61&lt;&gt;"",$N61="MND",$Q61="EMBOQUE"),($AN61*2*2.5)/50,0))</f>
        <v>2.353</v>
      </c>
      <c r="BL61" s="157" t="str">
        <f aca="false">K61&amp;J61</f>
        <v>Zona01REDES</v>
      </c>
      <c r="BM61" s="152" t="s">
        <v>1559</v>
      </c>
      <c r="BN61" s="152" t="s">
        <v>1560</v>
      </c>
      <c r="BO61" s="152" t="s">
        <v>1748</v>
      </c>
      <c r="BP61" s="152" t="s">
        <v>1761</v>
      </c>
      <c r="BQ61" s="152" t="s">
        <v>1762</v>
      </c>
      <c r="BR61" s="152" t="s">
        <v>1763</v>
      </c>
      <c r="BS61" s="152" t="n">
        <v>203154.374</v>
      </c>
      <c r="BT61" s="152" t="n">
        <v>8238743.968</v>
      </c>
      <c r="BU61" s="152" t="n">
        <v>203183.932</v>
      </c>
      <c r="BV61" s="152" t="n">
        <v>8238780.583</v>
      </c>
      <c r="BW61" s="152" t="n">
        <v>-15.9126008</v>
      </c>
      <c r="BX61" s="152" t="n">
        <v>-47.7722107</v>
      </c>
      <c r="BY61" s="152" t="s">
        <v>1761</v>
      </c>
    </row>
    <row r="62" customFormat="false" ht="13.8" hidden="false" customHeight="false" outlineLevel="0" collapsed="false">
      <c r="A62" s="149" t="n">
        <f aca="false">IF(C62&lt;&gt;"",ROW(A57),"")</f>
        <v>57</v>
      </c>
      <c r="B62" s="150" t="str">
        <f aca="false">HYPERLINK("https://www.google.com/maps/dir/-15.917302,-47.760003/-15.9126332,-47.7705378/data=!4m3!4m2!3e0!5i2")</f>
        <v>https://www.google.com/maps/dir/-15.917302,-47.760003/-15.9126332,-47.7705378/data=!4m3!4m2!3e0!5i2</v>
      </c>
      <c r="C62" s="151" t="s">
        <v>117</v>
      </c>
      <c r="D62" s="152" t="s">
        <v>112</v>
      </c>
      <c r="E62" s="152" t="s">
        <v>113</v>
      </c>
      <c r="F62" s="152" t="s">
        <v>117</v>
      </c>
      <c r="G62" s="152" t="s">
        <v>782</v>
      </c>
      <c r="H62" s="152" t="n">
        <v>63</v>
      </c>
      <c r="I62" s="152" t="s">
        <v>115</v>
      </c>
      <c r="J62" s="152" t="s">
        <v>6</v>
      </c>
      <c r="K62" s="152" t="s">
        <v>1547</v>
      </c>
      <c r="L62" s="152" t="s">
        <v>120</v>
      </c>
      <c r="M62" s="153" t="n">
        <f aca="false">40.73</f>
        <v>40.73</v>
      </c>
      <c r="N62" s="152" t="s">
        <v>1548</v>
      </c>
      <c r="O62" s="152" t="s">
        <v>1549</v>
      </c>
      <c r="P62" s="152" t="s">
        <v>1550</v>
      </c>
      <c r="Q62" s="152" t="s">
        <v>1551</v>
      </c>
      <c r="R62" s="154" t="s">
        <v>1764</v>
      </c>
      <c r="S62" s="154" t="s">
        <v>1553</v>
      </c>
      <c r="T62" s="155" t="s">
        <v>1746</v>
      </c>
      <c r="U62" s="152" t="str">
        <f aca="false">RIGHT(T62,7)</f>
        <v>003/037</v>
      </c>
      <c r="V62" s="152" t="s">
        <v>1555</v>
      </c>
      <c r="W62" s="156" t="n">
        <v>45882</v>
      </c>
      <c r="X62" s="152" t="s">
        <v>1556</v>
      </c>
      <c r="Y62" s="152"/>
      <c r="Z62" s="152" t="s">
        <v>1557</v>
      </c>
      <c r="AA62" s="153" t="n">
        <v>2.3</v>
      </c>
      <c r="AB62" s="151" t="s">
        <v>1765</v>
      </c>
      <c r="AC62" s="151" t="s">
        <v>186</v>
      </c>
      <c r="AD62" s="151" t="str">
        <f aca="false">CONCATENATE($C62,$I62,$H62,$N62,$J62,$K62)</f>
        <v>TUBO PEADPEAD63VCAREDESZona01</v>
      </c>
      <c r="AE62" s="153" t="n">
        <f aca="false">IFERROR(INDEX(APOIO_REDES!$A:$W,MATCH($C62&amp;$I62&amp;$H62&amp;$N62&amp;$O62,APOIO_REDES!$W:$W,0),MATCH(AE$5,APOIO_REDES!$5:$5,0)),0)</f>
        <v>1.2</v>
      </c>
      <c r="AF62" s="153" t="n">
        <f aca="false">IFERROR(INDEX(APOIO_REDES!$A:$W,MATCH($C62&amp;$I62&amp;$H62&amp;$N62&amp;$O62,APOIO_REDES!$W:$W,0),MATCH(AF$5,APOIO_REDES!$5:$5,0)),0)</f>
        <v>1.363</v>
      </c>
      <c r="AG62" s="153" t="n">
        <f aca="false">IFERROR(INDEX(APOIO_REDES!$A:$W,MATCH($C62&amp;$I62&amp;$H62&amp;$N62&amp;$O62,APOIO_REDES!$W:$W,0),MATCH(AG$5,APOIO_REDES!$5:$5,0)),0)</f>
        <v>0.65</v>
      </c>
      <c r="AH62" s="153" t="n">
        <f aca="false">IFERROR(INDEX(APOIO_REDES!$A:$W,MATCH($C62&amp;$I62&amp;$H62&amp;$N62&amp;$O62,APOIO_REDES!$W:$W,0),MATCH(AH$5,APOIO_REDES!$5:$5,0)),0)</f>
        <v>0.1</v>
      </c>
      <c r="AI62" s="153" t="n">
        <f aca="false">IFERROR(IF($H62&lt;&gt;"",(((($H62/1000)/2)^2)*PI()*$M62),0),0)</f>
        <v>0.126965401497662</v>
      </c>
      <c r="AJ62" s="153" t="n">
        <f aca="false">IFERROR(IF(AND($H62&lt;&gt;"",$I62="FoFo",OR($N62="MND",$N62="VCA"),$Q62="LINEAR"),0,IF(AND($H62&lt;&gt;"",$I62="PEAD",$N62="VCA",$Q62="LINEAR"),($H62/1000)+0.3,IF(AND($H62&lt;&gt;"",$I62="PEAD",$N62="MND",$Q62="EMBOQUE"),0,IF(AND($H62&lt;&gt;"",$I62="PVC",$N62="VCA",$Q62="LINEAR"),($H62/1000)+0.2,IF(AND($H62&lt;&gt;"",$I62="PVC",$N62="MND",$Q62="EMBOQUE"),0,IF(AND($H62&lt;&gt;"",$I62="PEAD",$N62="VCA",$Q62="PREDIAL"),0,0)))))),0)</f>
        <v>0.363</v>
      </c>
      <c r="AK62" s="153" t="n">
        <f aca="false">IF(AA62&lt;&gt;"",AA62,0)</f>
        <v>2.3</v>
      </c>
      <c r="AL62" s="153" t="n">
        <f aca="false">IF(AND($N62="MND",$Q62="EMBOQUE"),$M62,IF(AND($N62="VCA",$Q62="LINEAR"),$M62,IF(AND($N62="VCA",$Q62="PREDIAL"),0,0)))</f>
        <v>40.73</v>
      </c>
      <c r="AM62" s="153" t="n">
        <f aca="false">IF(AND($N62="MND",$Q62="EMBOQUE"),$M62,IF(AND($N62="VCA",$Q62="LINEAR"),$M62,IF(AND($N62="VCA",$Q62="PREDIAL"),0,0)))</f>
        <v>40.73</v>
      </c>
      <c r="AN62" s="153" t="n">
        <f aca="false">ROUND(IF(AND($N62="VCA",$M62&lt;&gt;"",$Q62="LINEAR"),$M62/100,IF(AND($N62="MND",$M62&gt;100,$Q62="EMBOQUE"),$M62/100,0)),0)</f>
        <v>0</v>
      </c>
      <c r="AO62" s="153" t="n">
        <f aca="false">IF(AND($N62="MND",$Q62="EMBOQUE"),$AN62*2*2,IF(AND($N62="VCA",$Q62="LINEAR"),$M62*2,IF(AND($N62="VCA",$Q62="PREDIAL"),0,0)))</f>
        <v>81.46</v>
      </c>
      <c r="AP62" s="153" t="n">
        <f aca="false">IFERROR($M62*$AF62*$AG62,0)</f>
        <v>36.0847435</v>
      </c>
      <c r="AQ62" s="153" t="n">
        <f aca="false">IFERROR(IF(AND($N62="VCA",$AH62&gt;0),$M62*$AG62*$AH62,0),0)</f>
        <v>2.64745</v>
      </c>
      <c r="AR62" s="153" t="n">
        <f aca="false">IFERROR(IF(AND($N62="VCA",$AJ62&gt;0),($M62*$AG62*$AJ62)-$AI62,0),0)</f>
        <v>9.48327809850234</v>
      </c>
      <c r="AS62" s="153" t="n">
        <f aca="false">IFERROR(IF(AND($N62="VCA",$AP62&gt;0),$AP62-$AI62-$AQ62-$AR62,0),0)</f>
        <v>23.82705</v>
      </c>
      <c r="AT62" s="153" t="n">
        <f aca="false">IFERROR(IF($N62="VCA",INDEX(APOIO_REDES!$A:$W,MATCH($C62&amp;$I62&amp;$H62&amp;$N62&amp;$O62,APOIO_REDES!$W:$W,0),MATCH(AT$5,APOIO_REDES!$5:$5,0)),0)*$AP62,0)</f>
        <v>0.392612689818889</v>
      </c>
      <c r="AU62" s="153" t="n">
        <f aca="false">IFERROR(IF($N62="VCA",INDEX(APOIO_REDES!$A:$W,MATCH($C62&amp;$I62&amp;$H62&amp;$N62&amp;$O62,APOIO_REDES!$W:$W,0),MATCH(AU$5,APOIO_REDES!$5:$5,0)),0)*$AP62,0)</f>
        <v>0.313529860789204</v>
      </c>
      <c r="AV62" s="153" t="n">
        <f aca="false">IFERROR(IF($N62="VCA",INDEX(APOIO_REDES!$A:$W,MATCH($C62&amp;$I62&amp;$H62&amp;$N62&amp;$O62,APOIO_REDES!$W:$W,0),MATCH(AV$5,APOIO_REDES!$5:$5,0)),0)*$AP62,0)</f>
        <v>0.0433900714273156</v>
      </c>
      <c r="AW62" s="153" t="n">
        <f aca="false">IFERROR(IF($N62="VCA",INDEX(APOIO_REDES!$A:$W,MATCH($C62&amp;$I62&amp;$H62&amp;$N62&amp;$O62,APOIO_REDES!$W:$W,0),MATCH(AW$5,APOIO_REDES!$5:$5,0)),0)*$AP62,0)</f>
        <v>24.7688475366364</v>
      </c>
      <c r="AX62" s="153" t="n">
        <f aca="false">IFERROR(IF($N62="VCA",INDEX(APOIO_REDES!$A:$W,MATCH($C62&amp;$I62&amp;$H62&amp;$N62&amp;$O62,APOIO_REDES!$W:$W,0),MATCH(AX$5,APOIO_REDES!$5:$5,0)),0)*$AP62,0)</f>
        <v>3.42793794367273</v>
      </c>
      <c r="AY62" s="153" t="n">
        <f aca="false">IFERROR(IF($N62="VCA",INDEX(APOIO_REDES!$A:$W,MATCH($C62&amp;$I62&amp;$H62&amp;$N62&amp;$O62,APOIO_REDES!$W:$W,0),MATCH(AY$5,APOIO_REDES!$5:$5,0)),0)*$AP62,0)</f>
        <v>6.27059339388049</v>
      </c>
      <c r="AZ62" s="153" t="n">
        <f aca="false">IFERROR(IF($N62="VCA",INDEX(APOIO_REDES!$A:$W,MATCH($C62&amp;$I62&amp;$H62&amp;$N62&amp;$O62,APOIO_REDES!$W:$W,0),MATCH(AZ$5,APOIO_REDES!$5:$5,0)),0)*$AP62,0)</f>
        <v>0.867832003775011</v>
      </c>
      <c r="BA62" s="153" t="n">
        <f aca="false">IFERROR(IF(AND($N62="VCA",$Q62="LINEAR"),INDEX(APOIO_REDES!$A:$W,MATCH($C62&amp;$I62&amp;$H62&amp;$N62&amp;$O62,APOIO_REDES!$W:$W,0),MATCH(BA$5,APOIO_REDES!$5:$5,0)),IF(AND($N62="MND",$Q62="EMBOQUE"),INDEX(APOIO_REDES!$A:$W,MATCH($C62&amp;$I62&amp;$H62&amp;$N62&amp;$O62,APOIO_REDES!$W:$W,0),MATCH(BA$5,APOIO_REDES!$5:$5,0)),0))*$M62/10,0)</f>
        <v>3.28273526182445</v>
      </c>
      <c r="BB62" s="153" t="n">
        <f aca="false">IFERROR(IF($N62="VCA",INDEX(APOIO_REDES!$A:$W,MATCH($C62&amp;$I62&amp;$H62&amp;$N62&amp;$O62,APOIO_REDES!$W:$W,0),MATCH(BB$5,APOIO_REDES!$5:$5,0)),0)*($AI62+$AQ62+$AR62),0)</f>
        <v>12.1243261666279</v>
      </c>
      <c r="BC62" s="153" t="n">
        <f aca="false">IFERROR(IF($N62="VCA",INDEX(APOIO_REDES!$A:$W,MATCH($C62&amp;$I62&amp;$H62&amp;$N62&amp;$O62,APOIO_REDES!$W:$W,0),MATCH(BC$5,APOIO_REDES!$5:$5,0)),0)*($AI62+$AQ62+$AR62),0)</f>
        <v>0.13336733337208</v>
      </c>
      <c r="BD62" s="153" t="n">
        <f aca="false">IF(AND($N62="VCA",$AF62&gt;=1.25,$AF62&lt;1.5),$M62*$AF62*2,0)</f>
        <v>111.02998</v>
      </c>
      <c r="BE62" s="153" t="n">
        <f aca="false">IF(AND($N62="VCA",$AF62&gt;=1.5,$AF62&lt;3),$M62*$AF62*2,0)</f>
        <v>0</v>
      </c>
      <c r="BF62" s="153" t="n">
        <f aca="false">IF(AND($N62="VCA",$AF62&gt;=3),$M62*$AF62*2,0)</f>
        <v>0</v>
      </c>
      <c r="BG62" s="153" t="n">
        <f aca="false">($BB62+$BC62)*$AK62</f>
        <v>28.19269505</v>
      </c>
      <c r="BH62" s="153" t="n">
        <f aca="false">IF(AND($M62&lt;&gt;"",$N62="VCA",$Q62="LINEAR"),($M62*2)/100,IF(AND($M62&lt;&gt;"",$N62="MND",$Q62="EMBOQUE"),($AN62*2)/100,0))</f>
        <v>0.8146</v>
      </c>
      <c r="BI62" s="153" t="n">
        <f aca="false">IF(AND($M62&lt;&gt;"",$N62="VCA",$Q62="LINEAR"),$M62,IF(AND($M62&lt;&gt;"",$N62="MND",$Q62="EMBOQUE"),$AN62*2,0))</f>
        <v>40.73</v>
      </c>
      <c r="BJ62" s="153" t="n">
        <f aca="false">IF(AND($M62&lt;&gt;"",$N62="VCA",$Q62="LINEAR"),($M62*6.8)/100,IF(AND($M62&lt;&gt;"",$N62="MND",$Q62="EMBOQUE"),($AN62*2*6.8)/100,0))</f>
        <v>2.76964</v>
      </c>
      <c r="BK62" s="153" t="n">
        <f aca="false">IF(AND($M62&lt;&gt;"",$N62="VCA",$Q62="LINEAR"),($M62*2.5)/50,IF(AND($M62&lt;&gt;"",$N62="MND",$Q62="EMBOQUE"),($AN62*2*2.5)/50,0))</f>
        <v>2.0365</v>
      </c>
      <c r="BL62" s="157" t="str">
        <f aca="false">K62&amp;J62</f>
        <v>Zona01REDES</v>
      </c>
      <c r="BM62" s="152" t="s">
        <v>1559</v>
      </c>
      <c r="BN62" s="152" t="s">
        <v>1560</v>
      </c>
      <c r="BO62" s="152" t="s">
        <v>1748</v>
      </c>
      <c r="BP62" s="152" t="s">
        <v>1749</v>
      </c>
      <c r="BQ62" s="152" t="s">
        <v>1766</v>
      </c>
      <c r="BR62" s="152" t="s">
        <v>1767</v>
      </c>
      <c r="BS62" s="152" t="n">
        <v>203348.445</v>
      </c>
      <c r="BT62" s="152" t="n">
        <v>8238761.068</v>
      </c>
      <c r="BU62" s="152" t="n">
        <v>203324.212</v>
      </c>
      <c r="BV62" s="152" t="n">
        <v>8238728.331</v>
      </c>
      <c r="BW62" s="152" t="n">
        <v>-15.9127791</v>
      </c>
      <c r="BX62" s="152" t="n">
        <v>-47.7706535</v>
      </c>
      <c r="BY62" s="152" t="s">
        <v>1749</v>
      </c>
    </row>
    <row r="63" customFormat="false" ht="13.8" hidden="false" customHeight="false" outlineLevel="0" collapsed="false">
      <c r="A63" s="149" t="n">
        <f aca="false">IF(C63&lt;&gt;"",ROW(A58),"")</f>
        <v>58</v>
      </c>
      <c r="B63" s="150" t="str">
        <f aca="false">HYPERLINK("https://www.google.com/maps/dir/-15.917302,-47.760003/-15.9127684,-47.7723544/data=!4m3!4m2!3e0!5i0")</f>
        <v>https://www.google.com/maps/dir/-15.917302,-47.760003/-15.9127684,-47.7723544/data=!4m3!4m2!3e0!5i0</v>
      </c>
      <c r="C63" s="151" t="s">
        <v>117</v>
      </c>
      <c r="D63" s="152" t="s">
        <v>112</v>
      </c>
      <c r="E63" s="152" t="s">
        <v>113</v>
      </c>
      <c r="F63" s="152" t="s">
        <v>117</v>
      </c>
      <c r="G63" s="152" t="s">
        <v>782</v>
      </c>
      <c r="H63" s="152" t="n">
        <v>63</v>
      </c>
      <c r="I63" s="152" t="s">
        <v>115</v>
      </c>
      <c r="J63" s="152" t="s">
        <v>6</v>
      </c>
      <c r="K63" s="152" t="s">
        <v>1547</v>
      </c>
      <c r="L63" s="152" t="s">
        <v>120</v>
      </c>
      <c r="M63" s="153" t="n">
        <f aca="false">0.59</f>
        <v>0.59</v>
      </c>
      <c r="N63" s="152" t="s">
        <v>1548</v>
      </c>
      <c r="O63" s="152" t="s">
        <v>1549</v>
      </c>
      <c r="P63" s="152" t="s">
        <v>1550</v>
      </c>
      <c r="Q63" s="152" t="s">
        <v>1551</v>
      </c>
      <c r="R63" s="154" t="s">
        <v>1768</v>
      </c>
      <c r="S63" s="154" t="s">
        <v>1553</v>
      </c>
      <c r="T63" s="155" t="s">
        <v>1746</v>
      </c>
      <c r="U63" s="152" t="str">
        <f aca="false">RIGHT(T63,7)</f>
        <v>003/037</v>
      </c>
      <c r="V63" s="152" t="s">
        <v>1555</v>
      </c>
      <c r="W63" s="156" t="n">
        <v>45882</v>
      </c>
      <c r="X63" s="152" t="s">
        <v>1759</v>
      </c>
      <c r="Y63" s="152"/>
      <c r="Z63" s="152" t="s">
        <v>1557</v>
      </c>
      <c r="AA63" s="153" t="n">
        <v>2.5</v>
      </c>
      <c r="AB63" s="151" t="s">
        <v>1769</v>
      </c>
      <c r="AC63" s="151" t="s">
        <v>186</v>
      </c>
      <c r="AD63" s="151" t="str">
        <f aca="false">CONCATENATE($C63,$I63,$H63,$N63,$J63,$K63)</f>
        <v>TUBO PEADPEAD63VCAREDESZona01</v>
      </c>
      <c r="AE63" s="153" t="n">
        <f aca="false">IFERROR(INDEX(APOIO_REDES!$A:$W,MATCH($C63&amp;$I63&amp;$H63&amp;$N63&amp;$O63,APOIO_REDES!$W:$W,0),MATCH(AE$5,APOIO_REDES!$5:$5,0)),0)</f>
        <v>1.2</v>
      </c>
      <c r="AF63" s="153" t="n">
        <f aca="false">IFERROR(INDEX(APOIO_REDES!$A:$W,MATCH($C63&amp;$I63&amp;$H63&amp;$N63&amp;$O63,APOIO_REDES!$W:$W,0),MATCH(AF$5,APOIO_REDES!$5:$5,0)),0)</f>
        <v>1.363</v>
      </c>
      <c r="AG63" s="153" t="n">
        <f aca="false">IFERROR(INDEX(APOIO_REDES!$A:$W,MATCH($C63&amp;$I63&amp;$H63&amp;$N63&amp;$O63,APOIO_REDES!$W:$W,0),MATCH(AG$5,APOIO_REDES!$5:$5,0)),0)</f>
        <v>0.65</v>
      </c>
      <c r="AH63" s="153" t="n">
        <f aca="false">IFERROR(INDEX(APOIO_REDES!$A:$W,MATCH($C63&amp;$I63&amp;$H63&amp;$N63&amp;$O63,APOIO_REDES!$W:$W,0),MATCH(AH$5,APOIO_REDES!$5:$5,0)),0)</f>
        <v>0.1</v>
      </c>
      <c r="AI63" s="153" t="n">
        <f aca="false">IFERROR(IF($H63&lt;&gt;"",(((($H63/1000)/2)^2)*PI()*$M63),0),0)</f>
        <v>0.00183917473320944</v>
      </c>
      <c r="AJ63" s="153" t="n">
        <f aca="false">IFERROR(IF(AND($H63&lt;&gt;"",$I63="FoFo",OR($N63="MND",$N63="VCA"),$Q63="LINEAR"),0,IF(AND($H63&lt;&gt;"",$I63="PEAD",$N63="VCA",$Q63="LINEAR"),($H63/1000)+0.3,IF(AND($H63&lt;&gt;"",$I63="PEAD",$N63="MND",$Q63="EMBOQUE"),0,IF(AND($H63&lt;&gt;"",$I63="PVC",$N63="VCA",$Q63="LINEAR"),($H63/1000)+0.2,IF(AND($H63&lt;&gt;"",$I63="PVC",$N63="MND",$Q63="EMBOQUE"),0,IF(AND($H63&lt;&gt;"",$I63="PEAD",$N63="VCA",$Q63="PREDIAL"),0,0)))))),0)</f>
        <v>0.363</v>
      </c>
      <c r="AK63" s="153" t="n">
        <f aca="false">IF(AA63&lt;&gt;"",AA63,0)</f>
        <v>2.5</v>
      </c>
      <c r="AL63" s="153" t="n">
        <f aca="false">IF(AND($N63="MND",$Q63="EMBOQUE"),$M63,IF(AND($N63="VCA",$Q63="LINEAR"),$M63,IF(AND($N63="VCA",$Q63="PREDIAL"),0,0)))</f>
        <v>0.59</v>
      </c>
      <c r="AM63" s="153" t="n">
        <f aca="false">IF(AND($N63="MND",$Q63="EMBOQUE"),$M63,IF(AND($N63="VCA",$Q63="LINEAR"),$M63,IF(AND($N63="VCA",$Q63="PREDIAL"),0,0)))</f>
        <v>0.59</v>
      </c>
      <c r="AN63" s="153" t="n">
        <f aca="false">ROUND(IF(AND($N63="VCA",$M63&lt;&gt;"",$Q63="LINEAR"),$M63/100,IF(AND($N63="MND",$M63&gt;100,$Q63="EMBOQUE"),$M63/100,0)),0)</f>
        <v>0</v>
      </c>
      <c r="AO63" s="153" t="n">
        <f aca="false">IF(AND($N63="MND",$Q63="EMBOQUE"),$AN63*2*2,IF(AND($N63="VCA",$Q63="LINEAR"),$M63*2,IF(AND($N63="VCA",$Q63="PREDIAL"),0,0)))</f>
        <v>1.18</v>
      </c>
      <c r="AP63" s="153" t="n">
        <f aca="false">IFERROR($M63*$AF63*$AG63,0)</f>
        <v>0.5227105</v>
      </c>
      <c r="AQ63" s="153" t="n">
        <f aca="false">IFERROR(IF(AND($N63="VCA",$AH63&gt;0),$M63*$AG63*$AH63,0),0)</f>
        <v>0.03835</v>
      </c>
      <c r="AR63" s="153" t="n">
        <f aca="false">IFERROR(IF(AND($N63="VCA",$AJ63&gt;0),($M63*$AG63*$AJ63)-$AI63,0),0)</f>
        <v>0.137371325266791</v>
      </c>
      <c r="AS63" s="153" t="n">
        <f aca="false">IFERROR(IF(AND($N63="VCA",$AP63&gt;0),$AP63-$AI63-$AQ63-$AR63,0),0)</f>
        <v>0.34515</v>
      </c>
      <c r="AT63" s="153" t="n">
        <f aca="false">IFERROR(IF($N63="VCA",INDEX(APOIO_REDES!$A:$W,MATCH($C63&amp;$I63&amp;$H63&amp;$N63&amp;$O63,APOIO_REDES!$W:$W,0),MATCH(AT$5,APOIO_REDES!$5:$5,0)),0)*$AP63,0)</f>
        <v>0.00568724495441062</v>
      </c>
      <c r="AU63" s="153" t="n">
        <f aca="false">IFERROR(IF($N63="VCA",INDEX(APOIO_REDES!$A:$W,MATCH($C63&amp;$I63&amp;$H63&amp;$N63&amp;$O63,APOIO_REDES!$W:$W,0),MATCH(AU$5,APOIO_REDES!$5:$5,0)),0)*$AP63,0)</f>
        <v>0.00454167979046478</v>
      </c>
      <c r="AV63" s="153" t="n">
        <f aca="false">IFERROR(IF($N63="VCA",INDEX(APOIO_REDES!$A:$W,MATCH($C63&amp;$I63&amp;$H63&amp;$N63&amp;$O63,APOIO_REDES!$W:$W,0),MATCH(AV$5,APOIO_REDES!$5:$5,0)),0)*$AP63,0)</f>
        <v>0.000628532829416062</v>
      </c>
      <c r="AW63" s="153" t="n">
        <f aca="false">IFERROR(IF($N63="VCA",INDEX(APOIO_REDES!$A:$W,MATCH($C63&amp;$I63&amp;$H63&amp;$N63&amp;$O63,APOIO_REDES!$W:$W,0),MATCH(AW$5,APOIO_REDES!$5:$5,0)),0)*$AP63,0)</f>
        <v>0.358792537358592</v>
      </c>
      <c r="AX63" s="153" t="n">
        <f aca="false">IFERROR(IF($N63="VCA",INDEX(APOIO_REDES!$A:$W,MATCH($C63&amp;$I63&amp;$H63&amp;$N63&amp;$O63,APOIO_REDES!$W:$W,0),MATCH(AX$5,APOIO_REDES!$5:$5,0)),0)*$AP63,0)</f>
        <v>0.0496558651305404</v>
      </c>
      <c r="AY63" s="153" t="n">
        <f aca="false">IFERROR(IF($N63="VCA",INDEX(APOIO_REDES!$A:$W,MATCH($C63&amp;$I63&amp;$H63&amp;$N63&amp;$O63,APOIO_REDES!$W:$W,0),MATCH(AY$5,APOIO_REDES!$5:$5,0)),0)*$AP63,0)</f>
        <v>0.0908335404465871</v>
      </c>
      <c r="AZ63" s="153" t="n">
        <f aca="false">IFERROR(IF($N63="VCA",INDEX(APOIO_REDES!$A:$W,MATCH($C63&amp;$I63&amp;$H63&amp;$N63&amp;$O63,APOIO_REDES!$W:$W,0),MATCH(AZ$5,APOIO_REDES!$5:$5,0)),0)*$AP63,0)</f>
        <v>0.0125710994899891</v>
      </c>
      <c r="BA63" s="153" t="n">
        <f aca="false">IFERROR(IF(AND($N63="VCA",$Q63="LINEAR"),INDEX(APOIO_REDES!$A:$W,MATCH($C63&amp;$I63&amp;$H63&amp;$N63&amp;$O63,APOIO_REDES!$W:$W,0),MATCH(BA$5,APOIO_REDES!$5:$5,0)),IF(AND($N63="MND",$Q63="EMBOQUE"),INDEX(APOIO_REDES!$A:$W,MATCH($C63&amp;$I63&amp;$H63&amp;$N63&amp;$O63,APOIO_REDES!$W:$W,0),MATCH(BA$5,APOIO_REDES!$5:$5,0)),0))*$M63/10,0)</f>
        <v>0.0475525117720704</v>
      </c>
      <c r="BB63" s="153" t="n">
        <f aca="false">IFERROR(IF($N63="VCA",INDEX(APOIO_REDES!$A:$W,MATCH($C63&amp;$I63&amp;$H63&amp;$N63&amp;$O63,APOIO_REDES!$W:$W,0),MATCH(BB$5,APOIO_REDES!$5:$5,0)),0)*($AI63+$AQ63+$AR63),0)</f>
        <v>0.175628589204775</v>
      </c>
      <c r="BC63" s="153" t="n">
        <f aca="false">IFERROR(IF($N63="VCA",INDEX(APOIO_REDES!$A:$W,MATCH($C63&amp;$I63&amp;$H63&amp;$N63&amp;$O63,APOIO_REDES!$W:$W,0),MATCH(BC$5,APOIO_REDES!$5:$5,0)),0)*($AI63+$AQ63+$AR63),0)</f>
        <v>0.00193191079522532</v>
      </c>
      <c r="BD63" s="153" t="n">
        <f aca="false">IF(AND($N63="VCA",$AF63&gt;=1.25,$AF63&lt;1.5),$M63*$AF63*2,0)</f>
        <v>1.60834</v>
      </c>
      <c r="BE63" s="153" t="n">
        <f aca="false">IF(AND($N63="VCA",$AF63&gt;=1.5,$AF63&lt;3),$M63*$AF63*2,0)</f>
        <v>0</v>
      </c>
      <c r="BF63" s="153" t="n">
        <f aca="false">IF(AND($N63="VCA",$AF63&gt;=3),$M63*$AF63*2,0)</f>
        <v>0</v>
      </c>
      <c r="BG63" s="153" t="n">
        <f aca="false">($BB63+$BC63)*$AK63</f>
        <v>0.44390125</v>
      </c>
      <c r="BH63" s="153" t="n">
        <f aca="false">IF(AND($M63&lt;&gt;"",$N63="VCA",$Q63="LINEAR"),($M63*2)/100,IF(AND($M63&lt;&gt;"",$N63="MND",$Q63="EMBOQUE"),($AN63*2)/100,0))</f>
        <v>0.0118</v>
      </c>
      <c r="BI63" s="153" t="n">
        <f aca="false">IF(AND($M63&lt;&gt;"",$N63="VCA",$Q63="LINEAR"),$M63,IF(AND($M63&lt;&gt;"",$N63="MND",$Q63="EMBOQUE"),$AN63*2,0))</f>
        <v>0.59</v>
      </c>
      <c r="BJ63" s="153" t="n">
        <f aca="false">IF(AND($M63&lt;&gt;"",$N63="VCA",$Q63="LINEAR"),($M63*6.8)/100,IF(AND($M63&lt;&gt;"",$N63="MND",$Q63="EMBOQUE"),($AN63*2*6.8)/100,0))</f>
        <v>0.04012</v>
      </c>
      <c r="BK63" s="153" t="n">
        <f aca="false">IF(AND($M63&lt;&gt;"",$N63="VCA",$Q63="LINEAR"),($M63*2.5)/50,IF(AND($M63&lt;&gt;"",$N63="MND",$Q63="EMBOQUE"),($AN63*2*2.5)/50,0))</f>
        <v>0.0295</v>
      </c>
      <c r="BL63" s="157" t="str">
        <f aca="false">K63&amp;J63</f>
        <v>Zona01REDES</v>
      </c>
      <c r="BM63" s="152" t="s">
        <v>1559</v>
      </c>
      <c r="BN63" s="152" t="s">
        <v>1560</v>
      </c>
      <c r="BO63" s="152" t="s">
        <v>1748</v>
      </c>
      <c r="BP63" s="152" t="s">
        <v>1770</v>
      </c>
      <c r="BQ63" s="152" t="s">
        <v>1761</v>
      </c>
      <c r="BR63" s="152" t="s">
        <v>1763</v>
      </c>
      <c r="BS63" s="152" t="n">
        <v>203154.004</v>
      </c>
      <c r="BT63" s="152" t="n">
        <v>8238743.51</v>
      </c>
      <c r="BU63" s="152" t="n">
        <v>203154.374</v>
      </c>
      <c r="BV63" s="152" t="n">
        <v>8238743.968</v>
      </c>
      <c r="BW63" s="152" t="n">
        <v>-15.9127664</v>
      </c>
      <c r="BX63" s="152" t="n">
        <v>-47.7723526</v>
      </c>
      <c r="BY63" s="152" t="s">
        <v>1770</v>
      </c>
    </row>
    <row r="64" customFormat="false" ht="13.8" hidden="false" customHeight="false" outlineLevel="0" collapsed="false">
      <c r="A64" s="149" t="n">
        <f aca="false">IF(C64&lt;&gt;"",ROW(A59),"")</f>
        <v>59</v>
      </c>
      <c r="B64" s="150" t="str">
        <f aca="false">HYPERLINK("https://www.google.com/maps/dir/-15.917302,-47.760003/-15.9132261,-47.7710019/data=!4m3!4m2!3e0!5i0")</f>
        <v>https://www.google.com/maps/dir/-15.917302,-47.760003/-15.9132261,-47.7710019/data=!4m3!4m2!3e0!5i0</v>
      </c>
      <c r="C64" s="151" t="s">
        <v>117</v>
      </c>
      <c r="D64" s="152" t="s">
        <v>112</v>
      </c>
      <c r="E64" s="152" t="s">
        <v>113</v>
      </c>
      <c r="F64" s="152" t="s">
        <v>117</v>
      </c>
      <c r="G64" s="152" t="s">
        <v>782</v>
      </c>
      <c r="H64" s="152" t="n">
        <v>63</v>
      </c>
      <c r="I64" s="152" t="s">
        <v>115</v>
      </c>
      <c r="J64" s="152" t="s">
        <v>6</v>
      </c>
      <c r="K64" s="152" t="s">
        <v>1547</v>
      </c>
      <c r="L64" s="152" t="s">
        <v>120</v>
      </c>
      <c r="M64" s="153" t="n">
        <f aca="false">144.02</f>
        <v>144.02</v>
      </c>
      <c r="N64" s="152" t="s">
        <v>1548</v>
      </c>
      <c r="O64" s="152" t="s">
        <v>1549</v>
      </c>
      <c r="P64" s="152" t="s">
        <v>1550</v>
      </c>
      <c r="Q64" s="152" t="s">
        <v>1551</v>
      </c>
      <c r="R64" s="154" t="s">
        <v>1771</v>
      </c>
      <c r="S64" s="154" t="s">
        <v>1553</v>
      </c>
      <c r="T64" s="155" t="s">
        <v>1746</v>
      </c>
      <c r="U64" s="152" t="str">
        <f aca="false">RIGHT(T64,7)</f>
        <v>003/037</v>
      </c>
      <c r="V64" s="152" t="s">
        <v>1555</v>
      </c>
      <c r="W64" s="156" t="n">
        <v>45882</v>
      </c>
      <c r="X64" s="152" t="s">
        <v>1556</v>
      </c>
      <c r="Y64" s="152" t="s">
        <v>1772</v>
      </c>
      <c r="Z64" s="152" t="s">
        <v>1557</v>
      </c>
      <c r="AA64" s="153" t="n">
        <v>2.3</v>
      </c>
      <c r="AB64" s="151" t="s">
        <v>1773</v>
      </c>
      <c r="AC64" s="151" t="s">
        <v>186</v>
      </c>
      <c r="AD64" s="151" t="str">
        <f aca="false">CONCATENATE($C64,$I64,$H64,$N64,$J64,$K64)</f>
        <v>TUBO PEADPEAD63VCAREDESZona01</v>
      </c>
      <c r="AE64" s="153" t="n">
        <f aca="false">IFERROR(INDEX(APOIO_REDES!$A:$W,MATCH($C64&amp;$I64&amp;$H64&amp;$N64&amp;$O64,APOIO_REDES!$W:$W,0),MATCH(AE$5,APOIO_REDES!$5:$5,0)),0)</f>
        <v>1.2</v>
      </c>
      <c r="AF64" s="153" t="n">
        <f aca="false">IFERROR(INDEX(APOIO_REDES!$A:$W,MATCH($C64&amp;$I64&amp;$H64&amp;$N64&amp;$O64,APOIO_REDES!$W:$W,0),MATCH(AF$5,APOIO_REDES!$5:$5,0)),0)</f>
        <v>1.363</v>
      </c>
      <c r="AG64" s="153" t="n">
        <f aca="false">IFERROR(INDEX(APOIO_REDES!$A:$W,MATCH($C64&amp;$I64&amp;$H64&amp;$N64&amp;$O64,APOIO_REDES!$W:$W,0),MATCH(AG$5,APOIO_REDES!$5:$5,0)),0)</f>
        <v>0.65</v>
      </c>
      <c r="AH64" s="153" t="n">
        <f aca="false">IFERROR(INDEX(APOIO_REDES!$A:$W,MATCH($C64&amp;$I64&amp;$H64&amp;$N64&amp;$O64,APOIO_REDES!$W:$W,0),MATCH(AH$5,APOIO_REDES!$5:$5,0)),0)</f>
        <v>0.1</v>
      </c>
      <c r="AI64" s="153" t="n">
        <f aca="false">IFERROR(IF($H64&lt;&gt;"",(((($H64/1000)/2)^2)*PI()*$M64),0),0)</f>
        <v>0.448945669621735</v>
      </c>
      <c r="AJ64" s="153" t="n">
        <f aca="false">IFERROR(IF(AND($H64&lt;&gt;"",$I64="FoFo",OR($N64="MND",$N64="VCA"),$Q64="LINEAR"),0,IF(AND($H64&lt;&gt;"",$I64="PEAD",$N64="VCA",$Q64="LINEAR"),($H64/1000)+0.3,IF(AND($H64&lt;&gt;"",$I64="PEAD",$N64="MND",$Q64="EMBOQUE"),0,IF(AND($H64&lt;&gt;"",$I64="PVC",$N64="VCA",$Q64="LINEAR"),($H64/1000)+0.2,IF(AND($H64&lt;&gt;"",$I64="PVC",$N64="MND",$Q64="EMBOQUE"),0,IF(AND($H64&lt;&gt;"",$I64="PEAD",$N64="VCA",$Q64="PREDIAL"),0,0)))))),0)</f>
        <v>0.363</v>
      </c>
      <c r="AK64" s="153" t="n">
        <f aca="false">IF(AA64&lt;&gt;"",AA64,0)</f>
        <v>2.3</v>
      </c>
      <c r="AL64" s="153" t="n">
        <f aca="false">IF(AND($N64="MND",$Q64="EMBOQUE"),$M64,IF(AND($N64="VCA",$Q64="LINEAR"),$M64,IF(AND($N64="VCA",$Q64="PREDIAL"),0,0)))</f>
        <v>144.02</v>
      </c>
      <c r="AM64" s="153" t="n">
        <f aca="false">IF(AND($N64="MND",$Q64="EMBOQUE"),$M64,IF(AND($N64="VCA",$Q64="LINEAR"),$M64,IF(AND($N64="VCA",$Q64="PREDIAL"),0,0)))</f>
        <v>144.02</v>
      </c>
      <c r="AN64" s="153" t="n">
        <f aca="false">ROUND(IF(AND($N64="VCA",$M64&lt;&gt;"",$Q64="LINEAR"),$M64/100,IF(AND($N64="MND",$M64&gt;100,$Q64="EMBOQUE"),$M64/100,0)),0)</f>
        <v>1</v>
      </c>
      <c r="AO64" s="153" t="n">
        <f aca="false">IF(AND($N64="MND",$Q64="EMBOQUE"),$AN64*2*2,IF(AND($N64="VCA",$Q64="LINEAR"),$M64*2,IF(AND($N64="VCA",$Q64="PREDIAL"),0,0)))</f>
        <v>288.04</v>
      </c>
      <c r="AP64" s="153" t="n">
        <f aca="false">IFERROR($M64*$AF64*$AG64,0)</f>
        <v>127.594519</v>
      </c>
      <c r="AQ64" s="153" t="n">
        <f aca="false">IFERROR(IF(AND($N64="VCA",$AH64&gt;0),$M64*$AG64*$AH64,0),0)</f>
        <v>9.3613</v>
      </c>
      <c r="AR64" s="153" t="n">
        <f aca="false">IFERROR(IF(AND($N64="VCA",$AJ64&gt;0),($M64*$AG64*$AJ64)-$AI64,0),0)</f>
        <v>33.5325733303783</v>
      </c>
      <c r="AS64" s="153" t="n">
        <f aca="false">IFERROR(IF(AND($N64="VCA",$AP64&gt;0),$AP64-$AI64-$AQ64-$AR64,0),0)</f>
        <v>84.2517</v>
      </c>
      <c r="AT64" s="153" t="n">
        <f aca="false">IFERROR(IF($N64="VCA",INDEX(APOIO_REDES!$A:$W,MATCH($C64&amp;$I64&amp;$H64&amp;$N64&amp;$O64,APOIO_REDES!$W:$W,0),MATCH(AT$5,APOIO_REDES!$5:$5,0)),0)*$AP64,0)</f>
        <v>1.38826613276986</v>
      </c>
      <c r="AU64" s="153" t="n">
        <f aca="false">IFERROR(IF($N64="VCA",INDEX(APOIO_REDES!$A:$W,MATCH($C64&amp;$I64&amp;$H64&amp;$N64&amp;$O64,APOIO_REDES!$W:$W,0),MATCH(AU$5,APOIO_REDES!$5:$5,0)),0)*$AP64,0)</f>
        <v>1.10863173461481</v>
      </c>
      <c r="AV64" s="153" t="n">
        <f aca="false">IFERROR(IF($N64="VCA",INDEX(APOIO_REDES!$A:$W,MATCH($C64&amp;$I64&amp;$H64&amp;$N64&amp;$O64,APOIO_REDES!$W:$W,0),MATCH(AV$5,APOIO_REDES!$5:$5,0)),0)*$AP64,0)</f>
        <v>0.153425928970341</v>
      </c>
      <c r="AW64" s="153" t="n">
        <f aca="false">IFERROR(IF($N64="VCA",INDEX(APOIO_REDES!$A:$W,MATCH($C64&amp;$I64&amp;$H64&amp;$N64&amp;$O64,APOIO_REDES!$W:$W,0),MATCH(AW$5,APOIO_REDES!$5:$5,0)),0)*$AP64,0)</f>
        <v>87.581866492177</v>
      </c>
      <c r="AX64" s="153" t="n">
        <f aca="false">IFERROR(IF($N64="VCA",INDEX(APOIO_REDES!$A:$W,MATCH($C64&amp;$I64&amp;$H64&amp;$N64&amp;$O64,APOIO_REDES!$W:$W,0),MATCH(AX$5,APOIO_REDES!$5:$5,0)),0)*$AP64,0)</f>
        <v>12.1210808408482</v>
      </c>
      <c r="AY64" s="153" t="n">
        <f aca="false">IFERROR(IF($N64="VCA",INDEX(APOIO_REDES!$A:$W,MATCH($C64&amp;$I64&amp;$H64&amp;$N64&amp;$O64,APOIO_REDES!$W:$W,0),MATCH(AY$5,APOIO_REDES!$5:$5,0)),0)*$AP64,0)</f>
        <v>22.1726211781652</v>
      </c>
      <c r="AZ64" s="153" t="n">
        <f aca="false">IFERROR(IF($N64="VCA",INDEX(APOIO_REDES!$A:$W,MATCH($C64&amp;$I64&amp;$H64&amp;$N64&amp;$O64,APOIO_REDES!$W:$W,0),MATCH(AZ$5,APOIO_REDES!$5:$5,0)),0)*$AP64,0)</f>
        <v>3.06862669245463</v>
      </c>
      <c r="BA64" s="153" t="n">
        <f aca="false">IFERROR(IF(AND($N64="VCA",$Q64="LINEAR"),INDEX(APOIO_REDES!$A:$W,MATCH($C64&amp;$I64&amp;$H64&amp;$N64&amp;$O64,APOIO_REDES!$W:$W,0),MATCH(BA$5,APOIO_REDES!$5:$5,0)),IF(AND($N64="MND",$Q64="EMBOQUE"),INDEX(APOIO_REDES!$A:$W,MATCH($C64&amp;$I64&amp;$H64&amp;$N64&amp;$O64,APOIO_REDES!$W:$W,0),MATCH(BA$5,APOIO_REDES!$5:$5,0)),0))*$M64/10,0)</f>
        <v>11.60764872104</v>
      </c>
      <c r="BB64" s="153" t="n">
        <f aca="false">IFERROR(IF($N64="VCA",INDEX(APOIO_REDES!$A:$W,MATCH($C64&amp;$I64&amp;$H64&amp;$N64&amp;$O64,APOIO_REDES!$W:$W,0),MATCH(BB$5,APOIO_REDES!$5:$5,0)),0)*($AI64+$AQ64+$AR64),0)</f>
        <v>42.8712363004604</v>
      </c>
      <c r="BC64" s="153" t="n">
        <f aca="false">IFERROR(IF($N64="VCA",INDEX(APOIO_REDES!$A:$W,MATCH($C64&amp;$I64&amp;$H64&amp;$N64&amp;$O64,APOIO_REDES!$W:$W,0),MATCH(BC$5,APOIO_REDES!$5:$5,0)),0)*($AI64+$AQ64+$AR64),0)</f>
        <v>0.471582699539578</v>
      </c>
      <c r="BD64" s="153" t="n">
        <f aca="false">IF(AND($N64="VCA",$AF64&gt;=1.25,$AF64&lt;1.5),$M64*$AF64*2,0)</f>
        <v>392.59852</v>
      </c>
      <c r="BE64" s="153" t="n">
        <f aca="false">IF(AND($N64="VCA",$AF64&gt;=1.5,$AF64&lt;3),$M64*$AF64*2,0)</f>
        <v>0</v>
      </c>
      <c r="BF64" s="153" t="n">
        <f aca="false">IF(AND($N64="VCA",$AF64&gt;=3),$M64*$AF64*2,0)</f>
        <v>0</v>
      </c>
      <c r="BG64" s="153" t="n">
        <f aca="false">($BB64+$BC64)*$AK64</f>
        <v>99.6884837</v>
      </c>
      <c r="BH64" s="153" t="n">
        <f aca="false">IF(AND($M64&lt;&gt;"",$N64="VCA",$Q64="LINEAR"),($M64*2)/100,IF(AND($M64&lt;&gt;"",$N64="MND",$Q64="EMBOQUE"),($AN64*2)/100,0))</f>
        <v>2.8804</v>
      </c>
      <c r="BI64" s="153" t="n">
        <f aca="false">IF(AND($M64&lt;&gt;"",$N64="VCA",$Q64="LINEAR"),$M64,IF(AND($M64&lt;&gt;"",$N64="MND",$Q64="EMBOQUE"),$AN64*2,0))</f>
        <v>144.02</v>
      </c>
      <c r="BJ64" s="153" t="n">
        <f aca="false">IF(AND($M64&lt;&gt;"",$N64="VCA",$Q64="LINEAR"),($M64*6.8)/100,IF(AND($M64&lt;&gt;"",$N64="MND",$Q64="EMBOQUE"),($AN64*2*6.8)/100,0))</f>
        <v>9.79336</v>
      </c>
      <c r="BK64" s="153" t="n">
        <f aca="false">IF(AND($M64&lt;&gt;"",$N64="VCA",$Q64="LINEAR"),($M64*2.5)/50,IF(AND($M64&lt;&gt;"",$N64="MND",$Q64="EMBOQUE"),($AN64*2*2.5)/50,0))</f>
        <v>7.201</v>
      </c>
      <c r="BL64" s="157" t="str">
        <f aca="false">K64&amp;J64</f>
        <v>Zona01REDES</v>
      </c>
      <c r="BM64" s="152" t="s">
        <v>1559</v>
      </c>
      <c r="BN64" s="152" t="s">
        <v>1560</v>
      </c>
      <c r="BO64" s="152" t="s">
        <v>1748</v>
      </c>
      <c r="BP64" s="152" t="s">
        <v>1774</v>
      </c>
      <c r="BQ64" s="152" t="s">
        <v>1762</v>
      </c>
      <c r="BR64" s="152" t="s">
        <v>1775</v>
      </c>
      <c r="BS64" s="152" t="n">
        <v>203299.588</v>
      </c>
      <c r="BT64" s="152" t="n">
        <v>8238694.765</v>
      </c>
      <c r="BU64" s="152" t="n">
        <v>203183.932</v>
      </c>
      <c r="BV64" s="152" t="n">
        <v>8238780.583</v>
      </c>
      <c r="BW64" s="152" t="n">
        <v>-15.9128363</v>
      </c>
      <c r="BX64" s="152" t="n">
        <v>-47.7715399</v>
      </c>
      <c r="BY64" s="152" t="s">
        <v>1774</v>
      </c>
    </row>
    <row r="65" customFormat="false" ht="13.8" hidden="false" customHeight="false" outlineLevel="0" collapsed="false">
      <c r="A65" s="149" t="n">
        <f aca="false">IF(C65&lt;&gt;"",ROW(A60),"")</f>
        <v>60</v>
      </c>
      <c r="B65" s="150" t="str">
        <f aca="false">HYPERLINK("https://www.google.com/maps/dir/-15.917302,-47.760003/-15.9123338,-47.7703037/data=!4m3!4m2!3e0!5i0")</f>
        <v>https://www.google.com/maps/dir/-15.917302,-47.760003/-15.9123338,-47.7703037/data=!4m3!4m2!3e0!5i0</v>
      </c>
      <c r="C65" s="151" t="s">
        <v>117</v>
      </c>
      <c r="D65" s="152" t="s">
        <v>112</v>
      </c>
      <c r="E65" s="152" t="s">
        <v>113</v>
      </c>
      <c r="F65" s="152" t="s">
        <v>117</v>
      </c>
      <c r="G65" s="152" t="s">
        <v>782</v>
      </c>
      <c r="H65" s="152" t="n">
        <v>63</v>
      </c>
      <c r="I65" s="152" t="s">
        <v>115</v>
      </c>
      <c r="J65" s="152" t="s">
        <v>6</v>
      </c>
      <c r="K65" s="152" t="s">
        <v>1547</v>
      </c>
      <c r="L65" s="152" t="s">
        <v>120</v>
      </c>
      <c r="M65" s="153" t="n">
        <f aca="false">202.23</f>
        <v>202.23</v>
      </c>
      <c r="N65" s="152" t="s">
        <v>1548</v>
      </c>
      <c r="O65" s="152" t="s">
        <v>1549</v>
      </c>
      <c r="P65" s="152" t="s">
        <v>1550</v>
      </c>
      <c r="Q65" s="152" t="s">
        <v>1551</v>
      </c>
      <c r="R65" s="154" t="s">
        <v>1776</v>
      </c>
      <c r="S65" s="154" t="s">
        <v>1553</v>
      </c>
      <c r="T65" s="155" t="s">
        <v>1746</v>
      </c>
      <c r="U65" s="152" t="str">
        <f aca="false">RIGHT(T65,7)</f>
        <v>003/037</v>
      </c>
      <c r="V65" s="152" t="s">
        <v>1555</v>
      </c>
      <c r="W65" s="156" t="n">
        <v>45882</v>
      </c>
      <c r="X65" s="152" t="s">
        <v>1556</v>
      </c>
      <c r="Y65" s="152"/>
      <c r="Z65" s="152" t="s">
        <v>1557</v>
      </c>
      <c r="AA65" s="153" t="n">
        <v>2.1</v>
      </c>
      <c r="AB65" s="151" t="s">
        <v>1777</v>
      </c>
      <c r="AC65" s="151" t="s">
        <v>186</v>
      </c>
      <c r="AD65" s="151" t="str">
        <f aca="false">CONCATENATE($C65,$I65,$H65,$N65,$J65,$K65)</f>
        <v>TUBO PEADPEAD63VCAREDESZona01</v>
      </c>
      <c r="AE65" s="153" t="n">
        <f aca="false">IFERROR(INDEX(APOIO_REDES!$A:$W,MATCH($C65&amp;$I65&amp;$H65&amp;$N65&amp;$O65,APOIO_REDES!$W:$W,0),MATCH(AE$5,APOIO_REDES!$5:$5,0)),0)</f>
        <v>1.2</v>
      </c>
      <c r="AF65" s="153" t="n">
        <f aca="false">IFERROR(INDEX(APOIO_REDES!$A:$W,MATCH($C65&amp;$I65&amp;$H65&amp;$N65&amp;$O65,APOIO_REDES!$W:$W,0),MATCH(AF$5,APOIO_REDES!$5:$5,0)),0)</f>
        <v>1.363</v>
      </c>
      <c r="AG65" s="153" t="n">
        <f aca="false">IFERROR(INDEX(APOIO_REDES!$A:$W,MATCH($C65&amp;$I65&amp;$H65&amp;$N65&amp;$O65,APOIO_REDES!$W:$W,0),MATCH(AG$5,APOIO_REDES!$5:$5,0)),0)</f>
        <v>0.65</v>
      </c>
      <c r="AH65" s="153" t="n">
        <f aca="false">IFERROR(INDEX(APOIO_REDES!$A:$W,MATCH($C65&amp;$I65&amp;$H65&amp;$N65&amp;$O65,APOIO_REDES!$W:$W,0),MATCH(AH$5,APOIO_REDES!$5:$5,0)),0)</f>
        <v>0.1</v>
      </c>
      <c r="AI65" s="153" t="n">
        <f aca="false">IFERROR(IF($H65&lt;&gt;"",(((($H65/1000)/2)^2)*PI()*$M65),0),0)</f>
        <v>0.630400519147364</v>
      </c>
      <c r="AJ65" s="153" t="n">
        <f aca="false">IFERROR(IF(AND($H65&lt;&gt;"",$I65="FoFo",OR($N65="MND",$N65="VCA"),$Q65="LINEAR"),0,IF(AND($H65&lt;&gt;"",$I65="PEAD",$N65="VCA",$Q65="LINEAR"),($H65/1000)+0.3,IF(AND($H65&lt;&gt;"",$I65="PEAD",$N65="MND",$Q65="EMBOQUE"),0,IF(AND($H65&lt;&gt;"",$I65="PVC",$N65="VCA",$Q65="LINEAR"),($H65/1000)+0.2,IF(AND($H65&lt;&gt;"",$I65="PVC",$N65="MND",$Q65="EMBOQUE"),0,IF(AND($H65&lt;&gt;"",$I65="PEAD",$N65="VCA",$Q65="PREDIAL"),0,0)))))),0)</f>
        <v>0.363</v>
      </c>
      <c r="AK65" s="153" t="n">
        <f aca="false">IF(AA65&lt;&gt;"",AA65,0)</f>
        <v>2.1</v>
      </c>
      <c r="AL65" s="153" t="n">
        <f aca="false">IF(AND($N65="MND",$Q65="EMBOQUE"),$M65,IF(AND($N65="VCA",$Q65="LINEAR"),$M65,IF(AND($N65="VCA",$Q65="PREDIAL"),0,0)))</f>
        <v>202.23</v>
      </c>
      <c r="AM65" s="153" t="n">
        <f aca="false">IF(AND($N65="MND",$Q65="EMBOQUE"),$M65,IF(AND($N65="VCA",$Q65="LINEAR"),$M65,IF(AND($N65="VCA",$Q65="PREDIAL"),0,0)))</f>
        <v>202.23</v>
      </c>
      <c r="AN65" s="153" t="n">
        <f aca="false">ROUND(IF(AND($N65="VCA",$M65&lt;&gt;"",$Q65="LINEAR"),$M65/100,IF(AND($N65="MND",$M65&gt;100,$Q65="EMBOQUE"),$M65/100,0)),0)</f>
        <v>2</v>
      </c>
      <c r="AO65" s="153" t="n">
        <f aca="false">IF(AND($N65="MND",$Q65="EMBOQUE"),$AN65*2*2,IF(AND($N65="VCA",$Q65="LINEAR"),$M65*2,IF(AND($N65="VCA",$Q65="PREDIAL"),0,0)))</f>
        <v>404.46</v>
      </c>
      <c r="AP65" s="153" t="n">
        <f aca="false">IFERROR($M65*$AF65*$AG65,0)</f>
        <v>179.1656685</v>
      </c>
      <c r="AQ65" s="153" t="n">
        <f aca="false">IFERROR(IF(AND($N65="VCA",$AH65&gt;0),$M65*$AG65*$AH65,0),0)</f>
        <v>13.14495</v>
      </c>
      <c r="AR65" s="153" t="n">
        <f aca="false">IFERROR(IF(AND($N65="VCA",$AJ65&gt;0),($M65*$AG65*$AJ65)-$AI65,0),0)</f>
        <v>47.0857679808526</v>
      </c>
      <c r="AS65" s="153" t="n">
        <f aca="false">IFERROR(IF(AND($N65="VCA",$AP65&gt;0),$AP65-$AI65-$AQ65-$AR65,0),0)</f>
        <v>118.30455</v>
      </c>
      <c r="AT65" s="153" t="n">
        <f aca="false">IFERROR(IF($N65="VCA",INDEX(APOIO_REDES!$A:$W,MATCH($C65&amp;$I65&amp;$H65&amp;$N65&amp;$O65,APOIO_REDES!$W:$W,0),MATCH(AT$5,APOIO_REDES!$5:$5,0)),0)*$AP65,0)</f>
        <v>1.94937550361095</v>
      </c>
      <c r="AU65" s="153" t="n">
        <f aca="false">IFERROR(IF($N65="VCA",INDEX(APOIO_REDES!$A:$W,MATCH($C65&amp;$I65&amp;$H65&amp;$N65&amp;$O65,APOIO_REDES!$W:$W,0),MATCH(AU$5,APOIO_REDES!$5:$5,0)),0)*$AP65,0)</f>
        <v>1.55671848139948</v>
      </c>
      <c r="AV65" s="153" t="n">
        <f aca="false">IFERROR(IF($N65="VCA",INDEX(APOIO_REDES!$A:$W,MATCH($C65&amp;$I65&amp;$H65&amp;$N65&amp;$O65,APOIO_REDES!$W:$W,0),MATCH(AV$5,APOIO_REDES!$5:$5,0)),0)*$AP65,0)</f>
        <v>0.215437617106458</v>
      </c>
      <c r="AW65" s="153" t="n">
        <f aca="false">IFERROR(IF($N65="VCA",INDEX(APOIO_REDES!$A:$W,MATCH($C65&amp;$I65&amp;$H65&amp;$N65&amp;$O65,APOIO_REDES!$W:$W,0),MATCH(AW$5,APOIO_REDES!$5:$5,0)),0)*$AP65,0)</f>
        <v>122.980703101742</v>
      </c>
      <c r="AX65" s="153" t="n">
        <f aca="false">IFERROR(IF($N65="VCA",INDEX(APOIO_REDES!$A:$W,MATCH($C65&amp;$I65&amp;$H65&amp;$N65&amp;$O65,APOIO_REDES!$W:$W,0),MATCH(AX$5,APOIO_REDES!$5:$5,0)),0)*$AP65,0)</f>
        <v>17.0201789921172</v>
      </c>
      <c r="AY65" s="153" t="n">
        <f aca="false">IFERROR(IF($N65="VCA",INDEX(APOIO_REDES!$A:$W,MATCH($C65&amp;$I65&amp;$H65&amp;$N65&amp;$O65,APOIO_REDES!$W:$W,0),MATCH(AY$5,APOIO_REDES!$5:$5,0)),0)*$AP65,0)</f>
        <v>31.1343506517175</v>
      </c>
      <c r="AZ65" s="153" t="n">
        <f aca="false">IFERROR(IF($N65="VCA",INDEX(APOIO_REDES!$A:$W,MATCH($C65&amp;$I65&amp;$H65&amp;$N65&amp;$O65,APOIO_REDES!$W:$W,0),MATCH(AZ$5,APOIO_REDES!$5:$5,0)),0)*$AP65,0)</f>
        <v>4.30890415230593</v>
      </c>
      <c r="BA65" s="153" t="n">
        <f aca="false">IFERROR(IF(AND($N65="VCA",$Q65="LINEAR"),INDEX(APOIO_REDES!$A:$W,MATCH($C65&amp;$I65&amp;$H65&amp;$N65&amp;$O65,APOIO_REDES!$W:$W,0),MATCH(BA$5,APOIO_REDES!$5:$5,0)),IF(AND($N65="MND",$Q65="EMBOQUE"),INDEX(APOIO_REDES!$A:$W,MATCH($C65&amp;$I65&amp;$H65&amp;$N65&amp;$O65,APOIO_REDES!$W:$W,0),MATCH(BA$5,APOIO_REDES!$5:$5,0)),0))*$M65/10,0)</f>
        <v>16.299227890959</v>
      </c>
      <c r="BB65" s="153" t="n">
        <f aca="false">IFERROR(IF($N65="VCA",INDEX(APOIO_REDES!$A:$W,MATCH($C65&amp;$I65&amp;$H65&amp;$N65&amp;$O65,APOIO_REDES!$W:$W,0),MATCH(BB$5,APOIO_REDES!$5:$5,0)),0)*($AI65+$AQ65+$AR65),0)</f>
        <v>60.1989315167485</v>
      </c>
      <c r="BC65" s="153" t="n">
        <f aca="false">IFERROR(IF($N65="VCA",INDEX(APOIO_REDES!$A:$W,MATCH($C65&amp;$I65&amp;$H65&amp;$N65&amp;$O65,APOIO_REDES!$W:$W,0),MATCH(BC$5,APOIO_REDES!$5:$5,0)),0)*($AI65+$AQ65+$AR65),0)</f>
        <v>0.662186983251555</v>
      </c>
      <c r="BD65" s="153" t="n">
        <f aca="false">IF(AND($N65="VCA",$AF65&gt;=1.25,$AF65&lt;1.5),$M65*$AF65*2,0)</f>
        <v>551.27898</v>
      </c>
      <c r="BE65" s="153" t="n">
        <f aca="false">IF(AND($N65="VCA",$AF65&gt;=1.5,$AF65&lt;3),$M65*$AF65*2,0)</f>
        <v>0</v>
      </c>
      <c r="BF65" s="153" t="n">
        <f aca="false">IF(AND($N65="VCA",$AF65&gt;=3),$M65*$AF65*2,0)</f>
        <v>0</v>
      </c>
      <c r="BG65" s="153" t="n">
        <f aca="false">($BB65+$BC65)*$AK65</f>
        <v>127.80834885</v>
      </c>
      <c r="BH65" s="153" t="n">
        <f aca="false">IF(AND($M65&lt;&gt;"",$N65="VCA",$Q65="LINEAR"),($M65*2)/100,IF(AND($M65&lt;&gt;"",$N65="MND",$Q65="EMBOQUE"),($AN65*2)/100,0))</f>
        <v>4.0446</v>
      </c>
      <c r="BI65" s="153" t="n">
        <f aca="false">IF(AND($M65&lt;&gt;"",$N65="VCA",$Q65="LINEAR"),$M65,IF(AND($M65&lt;&gt;"",$N65="MND",$Q65="EMBOQUE"),$AN65*2,0))</f>
        <v>202.23</v>
      </c>
      <c r="BJ65" s="153" t="n">
        <f aca="false">IF(AND($M65&lt;&gt;"",$N65="VCA",$Q65="LINEAR"),($M65*6.8)/100,IF(AND($M65&lt;&gt;"",$N65="MND",$Q65="EMBOQUE"),($AN65*2*6.8)/100,0))</f>
        <v>13.75164</v>
      </c>
      <c r="BK65" s="153" t="n">
        <f aca="false">IF(AND($M65&lt;&gt;"",$N65="VCA",$Q65="LINEAR"),($M65*2.5)/50,IF(AND($M65&lt;&gt;"",$N65="MND",$Q65="EMBOQUE"),($AN65*2*2.5)/50,0))</f>
        <v>10.1115</v>
      </c>
      <c r="BL65" s="157" t="str">
        <f aca="false">K65&amp;J65</f>
        <v>Zona01REDES</v>
      </c>
      <c r="BM65" s="152" t="s">
        <v>1559</v>
      </c>
      <c r="BN65" s="152" t="s">
        <v>1560</v>
      </c>
      <c r="BO65" s="152" t="s">
        <v>1748</v>
      </c>
      <c r="BP65" s="152" t="s">
        <v>1739</v>
      </c>
      <c r="BQ65" s="152" t="s">
        <v>1778</v>
      </c>
      <c r="BR65" s="152" t="s">
        <v>1779</v>
      </c>
      <c r="BS65" s="152" t="n">
        <v>203373.087</v>
      </c>
      <c r="BT65" s="152" t="n">
        <v>8238794.555</v>
      </c>
      <c r="BU65" s="152" t="n">
        <v>203533.791</v>
      </c>
      <c r="BV65" s="152" t="n">
        <v>8238671.802</v>
      </c>
      <c r="BW65" s="152" t="n">
        <v>-15.9128986</v>
      </c>
      <c r="BX65" s="152" t="n">
        <v>-47.7695623</v>
      </c>
      <c r="BY65" s="152" t="s">
        <v>1739</v>
      </c>
    </row>
    <row r="66" customFormat="false" ht="13.8" hidden="false" customHeight="false" outlineLevel="0" collapsed="false">
      <c r="A66" s="149" t="n">
        <f aca="false">IF(C66&lt;&gt;"",ROW(A61),"")</f>
        <v>61</v>
      </c>
      <c r="B66" s="150" t="str">
        <f aca="false">HYPERLINK("https://www.google.com/maps/dir/-15.917302,-47.760003/-15.9130975,-47.7686678/data=!4m3!4m2!3e0!5i0")</f>
        <v>https://www.google.com/maps/dir/-15.917302,-47.760003/-15.9130975,-47.7686678/data=!4m3!4m2!3e0!5i0</v>
      </c>
      <c r="C66" s="151" t="s">
        <v>117</v>
      </c>
      <c r="D66" s="152" t="s">
        <v>112</v>
      </c>
      <c r="E66" s="152" t="s">
        <v>113</v>
      </c>
      <c r="F66" s="152" t="s">
        <v>117</v>
      </c>
      <c r="G66" s="152" t="s">
        <v>114</v>
      </c>
      <c r="H66" s="152" t="n">
        <v>225</v>
      </c>
      <c r="I66" s="152" t="s">
        <v>115</v>
      </c>
      <c r="J66" s="152" t="s">
        <v>6</v>
      </c>
      <c r="K66" s="152" t="s">
        <v>1547</v>
      </c>
      <c r="L66" s="152" t="s">
        <v>120</v>
      </c>
      <c r="M66" s="153" t="n">
        <f aca="false">42.7</f>
        <v>42.7</v>
      </c>
      <c r="N66" s="152" t="s">
        <v>1548</v>
      </c>
      <c r="O66" s="152" t="s">
        <v>1549</v>
      </c>
      <c r="P66" s="152" t="s">
        <v>1550</v>
      </c>
      <c r="Q66" s="152" t="s">
        <v>1551</v>
      </c>
      <c r="R66" s="154" t="s">
        <v>1780</v>
      </c>
      <c r="S66" s="154" t="s">
        <v>1593</v>
      </c>
      <c r="T66" s="155" t="s">
        <v>1746</v>
      </c>
      <c r="U66" s="152" t="str">
        <f aca="false">RIGHT(T66,7)</f>
        <v>003/037</v>
      </c>
      <c r="V66" s="152" t="s">
        <v>1555</v>
      </c>
      <c r="W66" s="156" t="n">
        <v>45882</v>
      </c>
      <c r="X66" s="152" t="s">
        <v>1556</v>
      </c>
      <c r="Y66" s="152"/>
      <c r="Z66" s="152" t="s">
        <v>1557</v>
      </c>
      <c r="AA66" s="153" t="n">
        <v>2.5</v>
      </c>
      <c r="AB66" s="151" t="s">
        <v>1781</v>
      </c>
      <c r="AC66" s="151" t="s">
        <v>508</v>
      </c>
      <c r="AD66" s="151" t="str">
        <f aca="false">CONCATENATE($C66,$I66,$H66,$N66,$J66,$K66)</f>
        <v>TUBO PEADPEAD225VCAREDESZona01</v>
      </c>
      <c r="AE66" s="153" t="n">
        <f aca="false">IFERROR(INDEX(APOIO_REDES!$A:$W,MATCH($C66&amp;$I66&amp;$H66&amp;$N66&amp;$O66,APOIO_REDES!$W:$W,0),MATCH(AE$5,APOIO_REDES!$5:$5,0)),0)</f>
        <v>1.2</v>
      </c>
      <c r="AF66" s="153" t="n">
        <f aca="false">IFERROR(INDEX(APOIO_REDES!$A:$W,MATCH($C66&amp;$I66&amp;$H66&amp;$N66&amp;$O66,APOIO_REDES!$W:$W,0),MATCH(AF$5,APOIO_REDES!$5:$5,0)),0)</f>
        <v>1.525</v>
      </c>
      <c r="AG66" s="153" t="n">
        <f aca="false">IFERROR(INDEX(APOIO_REDES!$A:$W,MATCH($C66&amp;$I66&amp;$H66&amp;$N66&amp;$O66,APOIO_REDES!$W:$W,0),MATCH(AG$5,APOIO_REDES!$5:$5,0)),0)</f>
        <v>0.8</v>
      </c>
      <c r="AH66" s="153" t="n">
        <f aca="false">IFERROR(INDEX(APOIO_REDES!$A:$W,MATCH($C66&amp;$I66&amp;$H66&amp;$N66&amp;$O66,APOIO_REDES!$W:$W,0),MATCH(AH$5,APOIO_REDES!$5:$5,0)),0)</f>
        <v>0.1</v>
      </c>
      <c r="AI66" s="153" t="n">
        <f aca="false">IFERROR(IF($H66&lt;&gt;"",(((($H66/1000)/2)^2)*PI()*$M66),0),0)</f>
        <v>1.69778539233922</v>
      </c>
      <c r="AJ66" s="153" t="n">
        <f aca="false">IFERROR(IF(AND($H66&lt;&gt;"",$I66="FoFo",OR($N66="MND",$N66="VCA"),$Q66="LINEAR"),0,IF(AND($H66&lt;&gt;"",$I66="PEAD",$N66="VCA",$Q66="LINEAR"),($H66/1000)+0.3,IF(AND($H66&lt;&gt;"",$I66="PEAD",$N66="MND",$Q66="EMBOQUE"),0,IF(AND($H66&lt;&gt;"",$I66="PVC",$N66="VCA",$Q66="LINEAR"),($H66/1000)+0.2,IF(AND($H66&lt;&gt;"",$I66="PVC",$N66="MND",$Q66="EMBOQUE"),0,IF(AND($H66&lt;&gt;"",$I66="PEAD",$N66="VCA",$Q66="PREDIAL"),0,0)))))),0)</f>
        <v>0.525</v>
      </c>
      <c r="AK66" s="153" t="n">
        <f aca="false">IF(AA66&lt;&gt;"",AA66,0)</f>
        <v>2.5</v>
      </c>
      <c r="AL66" s="153" t="n">
        <f aca="false">IF(AND($N66="MND",$Q66="EMBOQUE"),$M66,IF(AND($N66="VCA",$Q66="LINEAR"),$M66,IF(AND($N66="VCA",$Q66="PREDIAL"),0,0)))</f>
        <v>42.7</v>
      </c>
      <c r="AM66" s="153" t="n">
        <f aca="false">IF(AND($N66="MND",$Q66="EMBOQUE"),$M66,IF(AND($N66="VCA",$Q66="LINEAR"),$M66,IF(AND($N66="VCA",$Q66="PREDIAL"),0,0)))</f>
        <v>42.7</v>
      </c>
      <c r="AN66" s="153" t="n">
        <f aca="false">ROUND(IF(AND($N66="VCA",$M66&lt;&gt;"",$Q66="LINEAR"),$M66/100,IF(AND($N66="MND",$M66&gt;100,$Q66="EMBOQUE"),$M66/100,0)),0)</f>
        <v>0</v>
      </c>
      <c r="AO66" s="153" t="n">
        <f aca="false">IF(AND($N66="MND",$Q66="EMBOQUE"),$AN66*2*2,IF(AND($N66="VCA",$Q66="LINEAR"),$M66*2,IF(AND($N66="VCA",$Q66="PREDIAL"),0,0)))</f>
        <v>85.4</v>
      </c>
      <c r="AP66" s="153" t="n">
        <f aca="false">IFERROR($M66*$AF66*$AG66,0)</f>
        <v>52.094</v>
      </c>
      <c r="AQ66" s="153" t="n">
        <f aca="false">IFERROR(IF(AND($N66="VCA",$AH66&gt;0),$M66*$AG66*$AH66,0),0)</f>
        <v>3.416</v>
      </c>
      <c r="AR66" s="153" t="n">
        <f aca="false">IFERROR(IF(AND($N66="VCA",$AJ66&gt;0),($M66*$AG66*$AJ66)-$AI66,0),0)</f>
        <v>16.2362146076608</v>
      </c>
      <c r="AS66" s="153" t="n">
        <f aca="false">IFERROR(IF(AND($N66="VCA",$AP66&gt;0),$AP66-$AI66-$AQ66-$AR66,0),0)</f>
        <v>30.744</v>
      </c>
      <c r="AT66" s="153" t="n">
        <f aca="false">IFERROR(IF($N66="VCA",INDEX(APOIO_REDES!$A:$W,MATCH($C66&amp;$I66&amp;$H66&amp;$N66&amp;$O66,APOIO_REDES!$W:$W,0),MATCH(AT$5,APOIO_REDES!$5:$5,0)),0)*$AP66,0)</f>
        <v>0.566798139036937</v>
      </c>
      <c r="AU66" s="153" t="n">
        <f aca="false">IFERROR(IF($N66="VCA",INDEX(APOIO_REDES!$A:$W,MATCH($C66&amp;$I66&amp;$H66&amp;$N66&amp;$O66,APOIO_REDES!$W:$W,0),MATCH(AU$5,APOIO_REDES!$5:$5,0)),0)*$AP66,0)</f>
        <v>0.452629642994492</v>
      </c>
      <c r="AV66" s="153" t="n">
        <f aca="false">IFERROR(IF($N66="VCA",INDEX(APOIO_REDES!$A:$W,MATCH($C66&amp;$I66&amp;$H66&amp;$N66&amp;$O66,APOIO_REDES!$W:$W,0),MATCH(AV$5,APOIO_REDES!$5:$5,0)),0)*$AP66,0)</f>
        <v>0.0626403893084228</v>
      </c>
      <c r="AW66" s="153" t="n">
        <f aca="false">IFERROR(IF($N66="VCA",INDEX(APOIO_REDES!$A:$W,MATCH($C66&amp;$I66&amp;$H66&amp;$N66&amp;$O66,APOIO_REDES!$W:$W,0),MATCH(AW$5,APOIO_REDES!$5:$5,0)),0)*$AP66,0)</f>
        <v>35.7577252440089</v>
      </c>
      <c r="AX66" s="153" t="n">
        <f aca="false">IFERROR(IF($N66="VCA",INDEX(APOIO_REDES!$A:$W,MATCH($C66&amp;$I66&amp;$H66&amp;$N66&amp;$O66,APOIO_REDES!$W:$W,0),MATCH(AX$5,APOIO_REDES!$5:$5,0)),0)*$AP66,0)</f>
        <v>4.94876731596241</v>
      </c>
      <c r="AY66" s="153" t="n">
        <f aca="false">IFERROR(IF($N66="VCA",INDEX(APOIO_REDES!$A:$W,MATCH($C66&amp;$I66&amp;$H66&amp;$N66&amp;$O66,APOIO_REDES!$W:$W,0),MATCH(AY$5,APOIO_REDES!$5:$5,0)),0)*$AP66,0)</f>
        <v>9.05258734237117</v>
      </c>
      <c r="AZ66" s="153" t="n">
        <f aca="false">IFERROR(IF($N66="VCA",INDEX(APOIO_REDES!$A:$W,MATCH($C66&amp;$I66&amp;$H66&amp;$N66&amp;$O66,APOIO_REDES!$W:$W,0),MATCH(AZ$5,APOIO_REDES!$5:$5,0)),0)*$AP66,0)</f>
        <v>1.25285192631771</v>
      </c>
      <c r="BA66" s="153" t="n">
        <f aca="false">IFERROR(IF(AND($N66="VCA",$Q66="LINEAR"),INDEX(APOIO_REDES!$A:$W,MATCH($C66&amp;$I66&amp;$H66&amp;$N66&amp;$O66,APOIO_REDES!$W:$W,0),MATCH(BA$5,APOIO_REDES!$5:$5,0)),IF(AND($N66="MND",$Q66="EMBOQUE"),INDEX(APOIO_REDES!$A:$W,MATCH($C66&amp;$I66&amp;$H66&amp;$N66&amp;$O66,APOIO_REDES!$W:$W,0),MATCH(BA$5,APOIO_REDES!$5:$5,0)),0))*$M66/10,0)</f>
        <v>3.44151229265662</v>
      </c>
      <c r="BB66" s="153" t="n">
        <f aca="false">IFERROR(IF($N66="VCA",INDEX(APOIO_REDES!$A:$W,MATCH($C66&amp;$I66&amp;$H66&amp;$N66&amp;$O66,APOIO_REDES!$W:$W,0),MATCH(BB$5,APOIO_REDES!$5:$5,0)),0)*($AI66+$AQ66+$AR66),0)</f>
        <v>21.1177056807226</v>
      </c>
      <c r="BC66" s="153" t="n">
        <f aca="false">IFERROR(IF($N66="VCA",INDEX(APOIO_REDES!$A:$W,MATCH($C66&amp;$I66&amp;$H66&amp;$N66&amp;$O66,APOIO_REDES!$W:$W,0),MATCH(BC$5,APOIO_REDES!$5:$5,0)),0)*($AI66+$AQ66+$AR66),0)</f>
        <v>0.232294319277433</v>
      </c>
      <c r="BD66" s="153" t="n">
        <f aca="false">IF(AND($N66="VCA",$AF66&gt;=1.25,$AF66&lt;1.5),$M66*$AF66*2,0)</f>
        <v>0</v>
      </c>
      <c r="BE66" s="153" t="n">
        <f aca="false">IF(AND($N66="VCA",$AF66&gt;=1.5,$AF66&lt;3),$M66*$AF66*2,0)</f>
        <v>130.235</v>
      </c>
      <c r="BF66" s="153" t="n">
        <f aca="false">IF(AND($N66="VCA",$AF66&gt;=3),$M66*$AF66*2,0)</f>
        <v>0</v>
      </c>
      <c r="BG66" s="153" t="n">
        <f aca="false">($BB66+$BC66)*$AK66</f>
        <v>53.375</v>
      </c>
      <c r="BH66" s="153" t="n">
        <f aca="false">IF(AND($M66&lt;&gt;"",$N66="VCA",$Q66="LINEAR"),($M66*2)/100,IF(AND($M66&lt;&gt;"",$N66="MND",$Q66="EMBOQUE"),($AN66*2)/100,0))</f>
        <v>0.854</v>
      </c>
      <c r="BI66" s="153" t="n">
        <f aca="false">IF(AND($M66&lt;&gt;"",$N66="VCA",$Q66="LINEAR"),$M66,IF(AND($M66&lt;&gt;"",$N66="MND",$Q66="EMBOQUE"),$AN66*2,0))</f>
        <v>42.7</v>
      </c>
      <c r="BJ66" s="153" t="n">
        <f aca="false">IF(AND($M66&lt;&gt;"",$N66="VCA",$Q66="LINEAR"),($M66*6.8)/100,IF(AND($M66&lt;&gt;"",$N66="MND",$Q66="EMBOQUE"),($AN66*2*6.8)/100,0))</f>
        <v>2.9036</v>
      </c>
      <c r="BK66" s="153" t="n">
        <f aca="false">IF(AND($M66&lt;&gt;"",$N66="VCA",$Q66="LINEAR"),($M66*2.5)/50,IF(AND($M66&lt;&gt;"",$N66="MND",$Q66="EMBOQUE"),($AN66*2*2.5)/50,0))</f>
        <v>2.135</v>
      </c>
      <c r="BL66" s="157" t="str">
        <f aca="false">K66&amp;J66</f>
        <v>Zona01REDES</v>
      </c>
      <c r="BM66" s="152" t="s">
        <v>1559</v>
      </c>
      <c r="BN66" s="152" t="s">
        <v>1560</v>
      </c>
      <c r="BO66" s="152" t="s">
        <v>1748</v>
      </c>
      <c r="BP66" s="152" t="s">
        <v>1756</v>
      </c>
      <c r="BQ66" s="152" t="s">
        <v>1743</v>
      </c>
      <c r="BR66" s="152" t="s">
        <v>1782</v>
      </c>
      <c r="BS66" s="152" t="n">
        <v>203549.484</v>
      </c>
      <c r="BT66" s="152" t="n">
        <v>8238712.319</v>
      </c>
      <c r="BU66" s="152" t="n">
        <v>203564.634</v>
      </c>
      <c r="BV66" s="152" t="n">
        <v>8238752.237</v>
      </c>
      <c r="BW66" s="152" t="n">
        <v>-15.9129183</v>
      </c>
      <c r="BX66" s="152" t="n">
        <v>-47.7685943</v>
      </c>
      <c r="BY66" s="152" t="s">
        <v>1756</v>
      </c>
    </row>
    <row r="67" customFormat="false" ht="13.8" hidden="false" customHeight="false" outlineLevel="0" collapsed="false">
      <c r="A67" s="149" t="n">
        <f aca="false">IF(C67&lt;&gt;"",ROW(A62),"")</f>
        <v>62</v>
      </c>
      <c r="B67" s="150" t="str">
        <f aca="false">HYPERLINK("https://www.google.com/maps/dir/-15.917302,-47.760003/-15.9129259,-47.7707680/data=!4m3!4m2!3e0!5i2")</f>
        <v>https://www.google.com/maps/dir/-15.917302,-47.760003/-15.9129259,-47.7707680/data=!4m3!4m2!3e0!5i2</v>
      </c>
      <c r="C67" s="151" t="s">
        <v>117</v>
      </c>
      <c r="D67" s="152" t="s">
        <v>112</v>
      </c>
      <c r="E67" s="152" t="s">
        <v>113</v>
      </c>
      <c r="F67" s="152" t="s">
        <v>117</v>
      </c>
      <c r="G67" s="152" t="s">
        <v>782</v>
      </c>
      <c r="H67" s="152" t="n">
        <v>63</v>
      </c>
      <c r="I67" s="152" t="s">
        <v>115</v>
      </c>
      <c r="J67" s="152" t="s">
        <v>6</v>
      </c>
      <c r="K67" s="152" t="s">
        <v>1547</v>
      </c>
      <c r="L67" s="152" t="s">
        <v>120</v>
      </c>
      <c r="M67" s="153" t="n">
        <f aca="false">41.63</f>
        <v>41.63</v>
      </c>
      <c r="N67" s="152" t="s">
        <v>1548</v>
      </c>
      <c r="O67" s="152" t="s">
        <v>1549</v>
      </c>
      <c r="P67" s="152" t="s">
        <v>1550</v>
      </c>
      <c r="Q67" s="152" t="s">
        <v>1551</v>
      </c>
      <c r="R67" s="154" t="s">
        <v>1783</v>
      </c>
      <c r="S67" s="154" t="s">
        <v>1553</v>
      </c>
      <c r="T67" s="155" t="s">
        <v>1746</v>
      </c>
      <c r="U67" s="152" t="str">
        <f aca="false">RIGHT(T67,7)</f>
        <v>003/037</v>
      </c>
      <c r="V67" s="152" t="s">
        <v>1555</v>
      </c>
      <c r="W67" s="156" t="n">
        <v>45882</v>
      </c>
      <c r="X67" s="152" t="s">
        <v>1556</v>
      </c>
      <c r="Y67" s="152"/>
      <c r="Z67" s="152" t="s">
        <v>1557</v>
      </c>
      <c r="AA67" s="153" t="n">
        <v>2.3</v>
      </c>
      <c r="AB67" s="151" t="s">
        <v>1784</v>
      </c>
      <c r="AC67" s="151" t="s">
        <v>186</v>
      </c>
      <c r="AD67" s="151" t="str">
        <f aca="false">CONCATENATE($C67,$I67,$H67,$N67,$J67,$K67)</f>
        <v>TUBO PEADPEAD63VCAREDESZona01</v>
      </c>
      <c r="AE67" s="153" t="n">
        <f aca="false">IFERROR(INDEX(APOIO_REDES!$A:$W,MATCH($C67&amp;$I67&amp;$H67&amp;$N67&amp;$O67,APOIO_REDES!$W:$W,0),MATCH(AE$5,APOIO_REDES!$5:$5,0)),0)</f>
        <v>1.2</v>
      </c>
      <c r="AF67" s="153" t="n">
        <f aca="false">IFERROR(INDEX(APOIO_REDES!$A:$W,MATCH($C67&amp;$I67&amp;$H67&amp;$N67&amp;$O67,APOIO_REDES!$W:$W,0),MATCH(AF$5,APOIO_REDES!$5:$5,0)),0)</f>
        <v>1.363</v>
      </c>
      <c r="AG67" s="153" t="n">
        <f aca="false">IFERROR(INDEX(APOIO_REDES!$A:$W,MATCH($C67&amp;$I67&amp;$H67&amp;$N67&amp;$O67,APOIO_REDES!$W:$W,0),MATCH(AG$5,APOIO_REDES!$5:$5,0)),0)</f>
        <v>0.65</v>
      </c>
      <c r="AH67" s="153" t="n">
        <f aca="false">IFERROR(INDEX(APOIO_REDES!$A:$W,MATCH($C67&amp;$I67&amp;$H67&amp;$N67&amp;$O67,APOIO_REDES!$W:$W,0),MATCH(AH$5,APOIO_REDES!$5:$5,0)),0)</f>
        <v>0.1</v>
      </c>
      <c r="AI67" s="153" t="n">
        <f aca="false">IFERROR(IF($H67&lt;&gt;"",(((($H67/1000)/2)^2)*PI()*$M67),0),0)</f>
        <v>0.129770922277134</v>
      </c>
      <c r="AJ67" s="153" t="n">
        <f aca="false">IFERROR(IF(AND($H67&lt;&gt;"",$I67="FoFo",OR($N67="MND",$N67="VCA"),$Q67="LINEAR"),0,IF(AND($H67&lt;&gt;"",$I67="PEAD",$N67="VCA",$Q67="LINEAR"),($H67/1000)+0.3,IF(AND($H67&lt;&gt;"",$I67="PEAD",$N67="MND",$Q67="EMBOQUE"),0,IF(AND($H67&lt;&gt;"",$I67="PVC",$N67="VCA",$Q67="LINEAR"),($H67/1000)+0.2,IF(AND($H67&lt;&gt;"",$I67="PVC",$N67="MND",$Q67="EMBOQUE"),0,IF(AND($H67&lt;&gt;"",$I67="PEAD",$N67="VCA",$Q67="PREDIAL"),0,0)))))),0)</f>
        <v>0.363</v>
      </c>
      <c r="AK67" s="153" t="n">
        <f aca="false">IF(AA67&lt;&gt;"",AA67,0)</f>
        <v>2.3</v>
      </c>
      <c r="AL67" s="153" t="n">
        <f aca="false">IF(AND($N67="MND",$Q67="EMBOQUE"),$M67,IF(AND($N67="VCA",$Q67="LINEAR"),$M67,IF(AND($N67="VCA",$Q67="PREDIAL"),0,0)))</f>
        <v>41.63</v>
      </c>
      <c r="AM67" s="153" t="n">
        <f aca="false">IF(AND($N67="MND",$Q67="EMBOQUE"),$M67,IF(AND($N67="VCA",$Q67="LINEAR"),$M67,IF(AND($N67="VCA",$Q67="PREDIAL"),0,0)))</f>
        <v>41.63</v>
      </c>
      <c r="AN67" s="153" t="n">
        <f aca="false">ROUND(IF(AND($N67="VCA",$M67&lt;&gt;"",$Q67="LINEAR"),$M67/100,IF(AND($N67="MND",$M67&gt;100,$Q67="EMBOQUE"),$M67/100,0)),0)</f>
        <v>0</v>
      </c>
      <c r="AO67" s="153" t="n">
        <f aca="false">IF(AND($N67="MND",$Q67="EMBOQUE"),$AN67*2*2,IF(AND($N67="VCA",$Q67="LINEAR"),$M67*2,IF(AND($N67="VCA",$Q67="PREDIAL"),0,0)))</f>
        <v>83.26</v>
      </c>
      <c r="AP67" s="153" t="n">
        <f aca="false">IFERROR($M67*$AF67*$AG67,0)</f>
        <v>36.8820985</v>
      </c>
      <c r="AQ67" s="153" t="n">
        <f aca="false">IFERROR(IF(AND($N67="VCA",$AH67&gt;0),$M67*$AG67*$AH67,0),0)</f>
        <v>2.70595</v>
      </c>
      <c r="AR67" s="153" t="n">
        <f aca="false">IFERROR(IF(AND($N67="VCA",$AJ67&gt;0),($M67*$AG67*$AJ67)-$AI67,0),0)</f>
        <v>9.69282757772287</v>
      </c>
      <c r="AS67" s="153" t="n">
        <f aca="false">IFERROR(IF(AND($N67="VCA",$AP67&gt;0),$AP67-$AI67-$AQ67-$AR67,0),0)</f>
        <v>24.35355</v>
      </c>
      <c r="AT67" s="153" t="n">
        <f aca="false">IFERROR(IF($N67="VCA",INDEX(APOIO_REDES!$A:$W,MATCH($C67&amp;$I67&amp;$H67&amp;$N67&amp;$O67,APOIO_REDES!$W:$W,0),MATCH(AT$5,APOIO_REDES!$5:$5,0)),0)*$AP67,0)</f>
        <v>0.401288148223922</v>
      </c>
      <c r="AU67" s="153" t="n">
        <f aca="false">IFERROR(IF($N67="VCA",INDEX(APOIO_REDES!$A:$W,MATCH($C67&amp;$I67&amp;$H67&amp;$N67&amp;$O67,APOIO_REDES!$W:$W,0),MATCH(AU$5,APOIO_REDES!$5:$5,0)),0)*$AP67,0)</f>
        <v>0.320457846910252</v>
      </c>
      <c r="AV67" s="153" t="n">
        <f aca="false">IFERROR(IF($N67="VCA",INDEX(APOIO_REDES!$A:$W,MATCH($C67&amp;$I67&amp;$H67&amp;$N67&amp;$O67,APOIO_REDES!$W:$W,0),MATCH(AV$5,APOIO_REDES!$5:$5,0)),0)*$AP67,0)</f>
        <v>0.0443488503196452</v>
      </c>
      <c r="AW67" s="153" t="n">
        <f aca="false">IFERROR(IF($N67="VCA",INDEX(APOIO_REDES!$A:$W,MATCH($C67&amp;$I67&amp;$H67&amp;$N67&amp;$O67,APOIO_REDES!$W:$W,0),MATCH(AW$5,APOIO_REDES!$5:$5,0)),0)*$AP67,0)</f>
        <v>25.3161581868444</v>
      </c>
      <c r="AX67" s="153" t="n">
        <f aca="false">IFERROR(IF($N67="VCA",INDEX(APOIO_REDES!$A:$W,MATCH($C67&amp;$I67&amp;$H67&amp;$N67&amp;$O67,APOIO_REDES!$W:$W,0),MATCH(AX$5,APOIO_REDES!$5:$5,0)),0)*$AP67,0)</f>
        <v>3.50368417861762</v>
      </c>
      <c r="AY67" s="153" t="n">
        <f aca="false">IFERROR(IF($N67="VCA",INDEX(APOIO_REDES!$A:$W,MATCH($C67&amp;$I67&amp;$H67&amp;$N67&amp;$O67,APOIO_REDES!$W:$W,0),MATCH(AY$5,APOIO_REDES!$5:$5,0)),0)*$AP67,0)</f>
        <v>6.40915303184987</v>
      </c>
      <c r="AZ67" s="153" t="n">
        <f aca="false">IFERROR(IF($N67="VCA",INDEX(APOIO_REDES!$A:$W,MATCH($C67&amp;$I67&amp;$H67&amp;$N67&amp;$O67,APOIO_REDES!$W:$W,0),MATCH(AZ$5,APOIO_REDES!$5:$5,0)),0)*$AP67,0)</f>
        <v>0.887008257234316</v>
      </c>
      <c r="BA67" s="153" t="n">
        <f aca="false">IFERROR(IF(AND($N67="VCA",$Q67="LINEAR"),INDEX(APOIO_REDES!$A:$W,MATCH($C67&amp;$I67&amp;$H67&amp;$N67&amp;$O67,APOIO_REDES!$W:$W,0),MATCH(BA$5,APOIO_REDES!$5:$5,0)),IF(AND($N67="MND",$Q67="EMBOQUE"),INDEX(APOIO_REDES!$A:$W,MATCH($C67&amp;$I67&amp;$H67&amp;$N67&amp;$O67,APOIO_REDES!$W:$W,0),MATCH(BA$5,APOIO_REDES!$5:$5,0)),0))*$M67/10,0)</f>
        <v>3.35527299164625</v>
      </c>
      <c r="BB67" s="153" t="n">
        <f aca="false">IFERROR(IF($N67="VCA",INDEX(APOIO_REDES!$A:$W,MATCH($C67&amp;$I67&amp;$H67&amp;$N67&amp;$O67,APOIO_REDES!$W:$W,0),MATCH(BB$5,APOIO_REDES!$5:$5,0)),0)*($AI67+$AQ67+$AR67),0)</f>
        <v>12.3922341840589</v>
      </c>
      <c r="BC67" s="153" t="n">
        <f aca="false">IFERROR(IF($N67="VCA",INDEX(APOIO_REDES!$A:$W,MATCH($C67&amp;$I67&amp;$H67&amp;$N67&amp;$O67,APOIO_REDES!$W:$W,0),MATCH(BC$5,APOIO_REDES!$5:$5,0)),0)*($AI67+$AQ67+$AR67),0)</f>
        <v>0.136314315941068</v>
      </c>
      <c r="BD67" s="153" t="n">
        <f aca="false">IF(AND($N67="VCA",$AF67&gt;=1.25,$AF67&lt;1.5),$M67*$AF67*2,0)</f>
        <v>113.48338</v>
      </c>
      <c r="BE67" s="153" t="n">
        <f aca="false">IF(AND($N67="VCA",$AF67&gt;=1.5,$AF67&lt;3),$M67*$AF67*2,0)</f>
        <v>0</v>
      </c>
      <c r="BF67" s="153" t="n">
        <f aca="false">IF(AND($N67="VCA",$AF67&gt;=3),$M67*$AF67*2,0)</f>
        <v>0</v>
      </c>
      <c r="BG67" s="153" t="n">
        <f aca="false">($BB67+$BC67)*$AK67</f>
        <v>28.81566155</v>
      </c>
      <c r="BH67" s="153" t="n">
        <f aca="false">IF(AND($M67&lt;&gt;"",$N67="VCA",$Q67="LINEAR"),($M67*2)/100,IF(AND($M67&lt;&gt;"",$N67="MND",$Q67="EMBOQUE"),($AN67*2)/100,0))</f>
        <v>0.8326</v>
      </c>
      <c r="BI67" s="153" t="n">
        <f aca="false">IF(AND($M67&lt;&gt;"",$N67="VCA",$Q67="LINEAR"),$M67,IF(AND($M67&lt;&gt;"",$N67="MND",$Q67="EMBOQUE"),$AN67*2,0))</f>
        <v>41.63</v>
      </c>
      <c r="BJ67" s="153" t="n">
        <f aca="false">IF(AND($M67&lt;&gt;"",$N67="VCA",$Q67="LINEAR"),($M67*6.8)/100,IF(AND($M67&lt;&gt;"",$N67="MND",$Q67="EMBOQUE"),($AN67*2*6.8)/100,0))</f>
        <v>2.83084</v>
      </c>
      <c r="BK67" s="153" t="n">
        <f aca="false">IF(AND($M67&lt;&gt;"",$N67="VCA",$Q67="LINEAR"),($M67*2.5)/50,IF(AND($M67&lt;&gt;"",$N67="MND",$Q67="EMBOQUE"),($AN67*2*2.5)/50,0))</f>
        <v>2.0815</v>
      </c>
      <c r="BL67" s="157" t="str">
        <f aca="false">K67&amp;J67</f>
        <v>Zona01REDES</v>
      </c>
      <c r="BM67" s="152" t="s">
        <v>1559</v>
      </c>
      <c r="BN67" s="152" t="s">
        <v>1560</v>
      </c>
      <c r="BO67" s="152" t="s">
        <v>1748</v>
      </c>
      <c r="BP67" s="152" t="s">
        <v>1766</v>
      </c>
      <c r="BQ67" s="152" t="s">
        <v>1774</v>
      </c>
      <c r="BR67" s="152" t="s">
        <v>1785</v>
      </c>
      <c r="BS67" s="152" t="n">
        <v>203324.212</v>
      </c>
      <c r="BT67" s="152" t="n">
        <v>8238728.331</v>
      </c>
      <c r="BU67" s="152" t="n">
        <v>203299.588</v>
      </c>
      <c r="BV67" s="152" t="n">
        <v>8238694.765</v>
      </c>
      <c r="BW67" s="152" t="n">
        <v>-15.913076</v>
      </c>
      <c r="BX67" s="152" t="n">
        <v>-47.7708849</v>
      </c>
      <c r="BY67" s="152" t="s">
        <v>1766</v>
      </c>
    </row>
    <row r="68" customFormat="false" ht="13.8" hidden="false" customHeight="false" outlineLevel="0" collapsed="false">
      <c r="A68" s="149" t="n">
        <f aca="false">IF(C68&lt;&gt;"",ROW(A63),"")</f>
        <v>63</v>
      </c>
      <c r="B68" s="150" t="str">
        <f aca="false">HYPERLINK("https://www.google.com/maps/dir/-15.917302,-47.760003/-15.9135564,-47.7712594/data=!4m3!4m2!3e0!5i0")</f>
        <v>https://www.google.com/maps/dir/-15.917302,-47.760003/-15.9135564,-47.7712594/data=!4m3!4m2!3e0!5i0</v>
      </c>
      <c r="C68" s="151" t="s">
        <v>117</v>
      </c>
      <c r="D68" s="152" t="s">
        <v>112</v>
      </c>
      <c r="E68" s="152" t="s">
        <v>113</v>
      </c>
      <c r="F68" s="152" t="s">
        <v>117</v>
      </c>
      <c r="G68" s="152" t="s">
        <v>782</v>
      </c>
      <c r="H68" s="152" t="n">
        <v>63</v>
      </c>
      <c r="I68" s="152" t="s">
        <v>115</v>
      </c>
      <c r="J68" s="152" t="s">
        <v>6</v>
      </c>
      <c r="K68" s="152" t="s">
        <v>1547</v>
      </c>
      <c r="L68" s="152" t="s">
        <v>120</v>
      </c>
      <c r="M68" s="153" t="n">
        <f aca="false">146.23</f>
        <v>146.23</v>
      </c>
      <c r="N68" s="152" t="s">
        <v>1548</v>
      </c>
      <c r="O68" s="152" t="s">
        <v>1549</v>
      </c>
      <c r="P68" s="152" t="s">
        <v>1550</v>
      </c>
      <c r="Q68" s="152" t="s">
        <v>1551</v>
      </c>
      <c r="R68" s="154" t="s">
        <v>1786</v>
      </c>
      <c r="S68" s="154" t="s">
        <v>1553</v>
      </c>
      <c r="T68" s="155" t="s">
        <v>1746</v>
      </c>
      <c r="U68" s="152" t="str">
        <f aca="false">RIGHT(T68,7)</f>
        <v>003/037</v>
      </c>
      <c r="V68" s="152" t="s">
        <v>1555</v>
      </c>
      <c r="W68" s="156" t="n">
        <v>45882</v>
      </c>
      <c r="X68" s="152" t="s">
        <v>1556</v>
      </c>
      <c r="Y68" s="152" t="s">
        <v>1772</v>
      </c>
      <c r="Z68" s="152" t="s">
        <v>1557</v>
      </c>
      <c r="AA68" s="153" t="n">
        <v>2.3</v>
      </c>
      <c r="AB68" s="151" t="s">
        <v>1787</v>
      </c>
      <c r="AC68" s="151" t="s">
        <v>186</v>
      </c>
      <c r="AD68" s="151" t="str">
        <f aca="false">CONCATENATE($C68,$I68,$H68,$N68,$J68,$K68)</f>
        <v>TUBO PEADPEAD63VCAREDESZona01</v>
      </c>
      <c r="AE68" s="153" t="n">
        <f aca="false">IFERROR(INDEX(APOIO_REDES!$A:$W,MATCH($C68&amp;$I68&amp;$H68&amp;$N68&amp;$O68,APOIO_REDES!$W:$W,0),MATCH(AE$5,APOIO_REDES!$5:$5,0)),0)</f>
        <v>1.2</v>
      </c>
      <c r="AF68" s="153" t="n">
        <f aca="false">IFERROR(INDEX(APOIO_REDES!$A:$W,MATCH($C68&amp;$I68&amp;$H68&amp;$N68&amp;$O68,APOIO_REDES!$W:$W,0),MATCH(AF$5,APOIO_REDES!$5:$5,0)),0)</f>
        <v>1.363</v>
      </c>
      <c r="AG68" s="153" t="n">
        <f aca="false">IFERROR(INDEX(APOIO_REDES!$A:$W,MATCH($C68&amp;$I68&amp;$H68&amp;$N68&amp;$O68,APOIO_REDES!$W:$W,0),MATCH(AG$5,APOIO_REDES!$5:$5,0)),0)</f>
        <v>0.65</v>
      </c>
      <c r="AH68" s="153" t="n">
        <f aca="false">IFERROR(INDEX(APOIO_REDES!$A:$W,MATCH($C68&amp;$I68&amp;$H68&amp;$N68&amp;$O68,APOIO_REDES!$W:$W,0),MATCH(AH$5,APOIO_REDES!$5:$5,0)),0)</f>
        <v>0.1</v>
      </c>
      <c r="AI68" s="153" t="n">
        <f aca="false">IFERROR(IF($H68&lt;&gt;"",(((($H68/1000)/2)^2)*PI()*$M68),0),0)</f>
        <v>0.455834781757994</v>
      </c>
      <c r="AJ68" s="153" t="n">
        <f aca="false">IFERROR(IF(AND($H68&lt;&gt;"",$I68="FoFo",OR($N68="MND",$N68="VCA"),$Q68="LINEAR"),0,IF(AND($H68&lt;&gt;"",$I68="PEAD",$N68="VCA",$Q68="LINEAR"),($H68/1000)+0.3,IF(AND($H68&lt;&gt;"",$I68="PEAD",$N68="MND",$Q68="EMBOQUE"),0,IF(AND($H68&lt;&gt;"",$I68="PVC",$N68="VCA",$Q68="LINEAR"),($H68/1000)+0.2,IF(AND($H68&lt;&gt;"",$I68="PVC",$N68="MND",$Q68="EMBOQUE"),0,IF(AND($H68&lt;&gt;"",$I68="PEAD",$N68="VCA",$Q68="PREDIAL"),0,0)))))),0)</f>
        <v>0.363</v>
      </c>
      <c r="AK68" s="153" t="n">
        <f aca="false">IF(AA68&lt;&gt;"",AA68,0)</f>
        <v>2.3</v>
      </c>
      <c r="AL68" s="153" t="n">
        <f aca="false">IF(AND($N68="MND",$Q68="EMBOQUE"),$M68,IF(AND($N68="VCA",$Q68="LINEAR"),$M68,IF(AND($N68="VCA",$Q68="PREDIAL"),0,0)))</f>
        <v>146.23</v>
      </c>
      <c r="AM68" s="153" t="n">
        <f aca="false">IF(AND($N68="MND",$Q68="EMBOQUE"),$M68,IF(AND($N68="VCA",$Q68="LINEAR"),$M68,IF(AND($N68="VCA",$Q68="PREDIAL"),0,0)))</f>
        <v>146.23</v>
      </c>
      <c r="AN68" s="153" t="n">
        <f aca="false">ROUND(IF(AND($N68="VCA",$M68&lt;&gt;"",$Q68="LINEAR"),$M68/100,IF(AND($N68="MND",$M68&gt;100,$Q68="EMBOQUE"),$M68/100,0)),0)</f>
        <v>1</v>
      </c>
      <c r="AO68" s="153" t="n">
        <f aca="false">IF(AND($N68="MND",$Q68="EMBOQUE"),$AN68*2*2,IF(AND($N68="VCA",$Q68="LINEAR"),$M68*2,IF(AND($N68="VCA",$Q68="PREDIAL"),0,0)))</f>
        <v>292.46</v>
      </c>
      <c r="AP68" s="153" t="n">
        <f aca="false">IFERROR($M68*$AF68*$AG68,0)</f>
        <v>129.5524685</v>
      </c>
      <c r="AQ68" s="153" t="n">
        <f aca="false">IFERROR(IF(AND($N68="VCA",$AH68&gt;0),$M68*$AG68*$AH68,0),0)</f>
        <v>9.50495</v>
      </c>
      <c r="AR68" s="153" t="n">
        <f aca="false">IFERROR(IF(AND($N68="VCA",$AJ68&gt;0),($M68*$AG68*$AJ68)-$AI68,0),0)</f>
        <v>34.047133718242</v>
      </c>
      <c r="AS68" s="153" t="n">
        <f aca="false">IFERROR(IF(AND($N68="VCA",$AP68&gt;0),$AP68-$AI68-$AQ68-$AR68,0),0)</f>
        <v>85.54455</v>
      </c>
      <c r="AT68" s="153" t="n">
        <f aca="false">IFERROR(IF($N68="VCA",INDEX(APOIO_REDES!$A:$W,MATCH($C68&amp;$I68&amp;$H68&amp;$N68&amp;$O68,APOIO_REDES!$W:$W,0),MATCH(AT$5,APOIO_REDES!$5:$5,0)),0)*$AP68,0)</f>
        <v>1.40956920285333</v>
      </c>
      <c r="AU68" s="153" t="n">
        <f aca="false">IFERROR(IF($N68="VCA",INDEX(APOIO_REDES!$A:$W,MATCH($C68&amp;$I68&amp;$H68&amp;$N68&amp;$O68,APOIO_REDES!$W:$W,0),MATCH(AU$5,APOIO_REDES!$5:$5,0)),0)*$AP68,0)</f>
        <v>1.12564378942316</v>
      </c>
      <c r="AV68" s="153" t="n">
        <f aca="false">IFERROR(IF($N68="VCA",INDEX(APOIO_REDES!$A:$W,MATCH($C68&amp;$I68&amp;$H68&amp;$N68&amp;$O68,APOIO_REDES!$W:$W,0),MATCH(AV$5,APOIO_REDES!$5:$5,0)),0)*$AP68,0)</f>
        <v>0.15578026380595</v>
      </c>
      <c r="AW68" s="153" t="n">
        <f aca="false">IFERROR(IF($N68="VCA",INDEX(APOIO_REDES!$A:$W,MATCH($C68&amp;$I68&amp;$H68&amp;$N68&amp;$O68,APOIO_REDES!$W:$W,0),MATCH(AW$5,APOIO_REDES!$5:$5,0)),0)*$AP68,0)</f>
        <v>88.92581819991</v>
      </c>
      <c r="AX68" s="153" t="n">
        <f aca="false">IFERROR(IF($N68="VCA",INDEX(APOIO_REDES!$A:$W,MATCH($C68&amp;$I68&amp;$H68&amp;$N68&amp;$O68,APOIO_REDES!$W:$W,0),MATCH(AX$5,APOIO_REDES!$5:$5,0)),0)*$AP68,0)</f>
        <v>12.3070799288795</v>
      </c>
      <c r="AY68" s="153" t="n">
        <f aca="false">IFERROR(IF($N68="VCA",INDEX(APOIO_REDES!$A:$W,MATCH($C68&amp;$I68&amp;$H68&amp;$N68&amp;$O68,APOIO_REDES!$W:$W,0),MATCH(AY$5,APOIO_REDES!$5:$5,0)),0)*$AP68,0)</f>
        <v>22.5128620669567</v>
      </c>
      <c r="AZ68" s="153" t="n">
        <f aca="false">IFERROR(IF($N68="VCA",INDEX(APOIO_REDES!$A:$W,MATCH($C68&amp;$I68&amp;$H68&amp;$N68&amp;$O68,APOIO_REDES!$W:$W,0),MATCH(AZ$5,APOIO_REDES!$5:$5,0)),0)*$AP68,0)</f>
        <v>3.11571504817137</v>
      </c>
      <c r="BA68" s="153" t="n">
        <f aca="false">IFERROR(IF(AND($N68="VCA",$Q68="LINEAR"),INDEX(APOIO_REDES!$A:$W,MATCH($C68&amp;$I68&amp;$H68&amp;$N68&amp;$O68,APOIO_REDES!$W:$W,0),MATCH(BA$5,APOIO_REDES!$5:$5,0)),IF(AND($N68="MND",$Q68="EMBOQUE"),INDEX(APOIO_REDES!$A:$W,MATCH($C68&amp;$I68&amp;$H68&amp;$N68&amp;$O68,APOIO_REDES!$W:$W,0),MATCH(BA$5,APOIO_REDES!$5:$5,0)),0))*$M68/10,0)</f>
        <v>11.7857691464913</v>
      </c>
      <c r="BB68" s="153" t="n">
        <f aca="false">IFERROR(IF($N68="VCA",INDEX(APOIO_REDES!$A:$W,MATCH($C68&amp;$I68&amp;$H68&amp;$N68&amp;$O68,APOIO_REDES!$W:$W,0),MATCH(BB$5,APOIO_REDES!$5:$5,0)),0)*($AI68+$AQ68+$AR68),0)</f>
        <v>43.529099321041</v>
      </c>
      <c r="BC68" s="153" t="n">
        <f aca="false">IFERROR(IF($N68="VCA",INDEX(APOIO_REDES!$A:$W,MATCH($C68&amp;$I68&amp;$H68&amp;$N68&amp;$O68,APOIO_REDES!$W:$W,0),MATCH(BC$5,APOIO_REDES!$5:$5,0)),0)*($AI68+$AQ68+$AR68),0)</f>
        <v>0.478819178958982</v>
      </c>
      <c r="BD68" s="153" t="n">
        <f aca="false">IF(AND($N68="VCA",$AF68&gt;=1.25,$AF68&lt;1.5),$M68*$AF68*2,0)</f>
        <v>398.62298</v>
      </c>
      <c r="BE68" s="153" t="n">
        <f aca="false">IF(AND($N68="VCA",$AF68&gt;=1.5,$AF68&lt;3),$M68*$AF68*2,0)</f>
        <v>0</v>
      </c>
      <c r="BF68" s="153" t="n">
        <f aca="false">IF(AND($N68="VCA",$AF68&gt;=3),$M68*$AF68*2,0)</f>
        <v>0</v>
      </c>
      <c r="BG68" s="153" t="n">
        <f aca="false">($BB68+$BC68)*$AK68</f>
        <v>101.21821255</v>
      </c>
      <c r="BH68" s="153" t="n">
        <f aca="false">IF(AND($M68&lt;&gt;"",$N68="VCA",$Q68="LINEAR"),($M68*2)/100,IF(AND($M68&lt;&gt;"",$N68="MND",$Q68="EMBOQUE"),($AN68*2)/100,0))</f>
        <v>2.9246</v>
      </c>
      <c r="BI68" s="153" t="n">
        <f aca="false">IF(AND($M68&lt;&gt;"",$N68="VCA",$Q68="LINEAR"),$M68,IF(AND($M68&lt;&gt;"",$N68="MND",$Q68="EMBOQUE"),$AN68*2,0))</f>
        <v>146.23</v>
      </c>
      <c r="BJ68" s="153" t="n">
        <f aca="false">IF(AND($M68&lt;&gt;"",$N68="VCA",$Q68="LINEAR"),($M68*6.8)/100,IF(AND($M68&lt;&gt;"",$N68="MND",$Q68="EMBOQUE"),($AN68*2*6.8)/100,0))</f>
        <v>9.94364</v>
      </c>
      <c r="BK68" s="153" t="n">
        <f aca="false">IF(AND($M68&lt;&gt;"",$N68="VCA",$Q68="LINEAR"),($M68*2.5)/50,IF(AND($M68&lt;&gt;"",$N68="MND",$Q68="EMBOQUE"),($AN68*2*2.5)/50,0))</f>
        <v>7.3115</v>
      </c>
      <c r="BL68" s="157" t="str">
        <f aca="false">K68&amp;J68</f>
        <v>Zona01REDES</v>
      </c>
      <c r="BM68" s="152" t="s">
        <v>1559</v>
      </c>
      <c r="BN68" s="152" t="s">
        <v>1560</v>
      </c>
      <c r="BO68" s="152" t="s">
        <v>1748</v>
      </c>
      <c r="BP68" s="152" t="s">
        <v>1788</v>
      </c>
      <c r="BQ68" s="152" t="s">
        <v>1770</v>
      </c>
      <c r="BR68" s="152" t="s">
        <v>1789</v>
      </c>
      <c r="BS68" s="152" t="n">
        <v>203272.484</v>
      </c>
      <c r="BT68" s="152" t="n">
        <v>8238657.818</v>
      </c>
      <c r="BU68" s="152" t="n">
        <v>203154.004</v>
      </c>
      <c r="BV68" s="152" t="n">
        <v>8238743.51</v>
      </c>
      <c r="BW68" s="152" t="n">
        <v>-15.913157</v>
      </c>
      <c r="BX68" s="152" t="n">
        <v>-47.7718027</v>
      </c>
      <c r="BY68" s="152" t="s">
        <v>1788</v>
      </c>
    </row>
    <row r="69" customFormat="false" ht="13.8" hidden="false" customHeight="false" outlineLevel="0" collapsed="false">
      <c r="A69" s="149" t="n">
        <f aca="false">IF(C69&lt;&gt;"",ROW(A64),"")</f>
        <v>64</v>
      </c>
      <c r="B69" s="150" t="str">
        <f aca="false">HYPERLINK("https://www.google.com/maps/dir/-15.917302,-47.760003/-15.9126332,-47.7705378/data=!4m3!4m2!3e0!5i2")</f>
        <v>https://www.google.com/maps/dir/-15.917302,-47.760003/-15.9126332,-47.7705378/data=!4m3!4m2!3e0!5i2</v>
      </c>
      <c r="C69" s="151" t="s">
        <v>117</v>
      </c>
      <c r="D69" s="152" t="s">
        <v>112</v>
      </c>
      <c r="E69" s="152" t="s">
        <v>113</v>
      </c>
      <c r="F69" s="152" t="s">
        <v>117</v>
      </c>
      <c r="G69" s="152" t="s">
        <v>782</v>
      </c>
      <c r="H69" s="152" t="n">
        <v>63</v>
      </c>
      <c r="I69" s="152" t="s">
        <v>115</v>
      </c>
      <c r="J69" s="152" t="s">
        <v>6</v>
      </c>
      <c r="K69" s="152" t="s">
        <v>1547</v>
      </c>
      <c r="L69" s="152" t="s">
        <v>120</v>
      </c>
      <c r="M69" s="153" t="n">
        <f aca="false">211.33</f>
        <v>211.33</v>
      </c>
      <c r="N69" s="152" t="s">
        <v>1548</v>
      </c>
      <c r="O69" s="152" t="s">
        <v>1549</v>
      </c>
      <c r="P69" s="152" t="s">
        <v>1550</v>
      </c>
      <c r="Q69" s="152" t="s">
        <v>1551</v>
      </c>
      <c r="R69" s="154" t="s">
        <v>1790</v>
      </c>
      <c r="S69" s="154" t="s">
        <v>1553</v>
      </c>
      <c r="T69" s="155" t="s">
        <v>1746</v>
      </c>
      <c r="U69" s="152" t="str">
        <f aca="false">RIGHT(T69,7)</f>
        <v>003/037</v>
      </c>
      <c r="V69" s="152" t="s">
        <v>1555</v>
      </c>
      <c r="W69" s="156" t="n">
        <v>45882</v>
      </c>
      <c r="X69" s="152" t="s">
        <v>1556</v>
      </c>
      <c r="Y69" s="152"/>
      <c r="Z69" s="152" t="s">
        <v>1557</v>
      </c>
      <c r="AA69" s="153" t="n">
        <v>2.3</v>
      </c>
      <c r="AB69" s="151" t="s">
        <v>1791</v>
      </c>
      <c r="AC69" s="151" t="s">
        <v>186</v>
      </c>
      <c r="AD69" s="151" t="str">
        <f aca="false">CONCATENATE($C69,$I69,$H69,$N69,$J69,$K69)</f>
        <v>TUBO PEADPEAD63VCAREDESZona01</v>
      </c>
      <c r="AE69" s="153" t="n">
        <f aca="false">IFERROR(INDEX(APOIO_REDES!$A:$W,MATCH($C69&amp;$I69&amp;$H69&amp;$N69&amp;$O69,APOIO_REDES!$W:$W,0),MATCH(AE$5,APOIO_REDES!$5:$5,0)),0)</f>
        <v>1.2</v>
      </c>
      <c r="AF69" s="153" t="n">
        <f aca="false">IFERROR(INDEX(APOIO_REDES!$A:$W,MATCH($C69&amp;$I69&amp;$H69&amp;$N69&amp;$O69,APOIO_REDES!$W:$W,0),MATCH(AF$5,APOIO_REDES!$5:$5,0)),0)</f>
        <v>1.363</v>
      </c>
      <c r="AG69" s="153" t="n">
        <f aca="false">IFERROR(INDEX(APOIO_REDES!$A:$W,MATCH($C69&amp;$I69&amp;$H69&amp;$N69&amp;$O69,APOIO_REDES!$W:$W,0),MATCH(AG$5,APOIO_REDES!$5:$5,0)),0)</f>
        <v>0.65</v>
      </c>
      <c r="AH69" s="153" t="n">
        <f aca="false">IFERROR(INDEX(APOIO_REDES!$A:$W,MATCH($C69&amp;$I69&amp;$H69&amp;$N69&amp;$O69,APOIO_REDES!$W:$W,0),MATCH(AH$5,APOIO_REDES!$5:$5,0)),0)</f>
        <v>0.1</v>
      </c>
      <c r="AI69" s="153" t="n">
        <f aca="false">IFERROR(IF($H69&lt;&gt;"",(((($H69/1000)/2)^2)*PI()*$M69),0),0)</f>
        <v>0.658767451473137</v>
      </c>
      <c r="AJ69" s="153" t="n">
        <f aca="false">IFERROR(IF(AND($H69&lt;&gt;"",$I69="FoFo",OR($N69="MND",$N69="VCA"),$Q69="LINEAR"),0,IF(AND($H69&lt;&gt;"",$I69="PEAD",$N69="VCA",$Q69="LINEAR"),($H69/1000)+0.3,IF(AND($H69&lt;&gt;"",$I69="PEAD",$N69="MND",$Q69="EMBOQUE"),0,IF(AND($H69&lt;&gt;"",$I69="PVC",$N69="VCA",$Q69="LINEAR"),($H69/1000)+0.2,IF(AND($H69&lt;&gt;"",$I69="PVC",$N69="MND",$Q69="EMBOQUE"),0,IF(AND($H69&lt;&gt;"",$I69="PEAD",$N69="VCA",$Q69="PREDIAL"),0,0)))))),0)</f>
        <v>0.363</v>
      </c>
      <c r="AK69" s="153" t="n">
        <f aca="false">IF(AA69&lt;&gt;"",AA69,0)</f>
        <v>2.3</v>
      </c>
      <c r="AL69" s="153" t="n">
        <f aca="false">IF(AND($N69="MND",$Q69="EMBOQUE"),$M69,IF(AND($N69="VCA",$Q69="LINEAR"),$M69,IF(AND($N69="VCA",$Q69="PREDIAL"),0,0)))</f>
        <v>211.33</v>
      </c>
      <c r="AM69" s="153" t="n">
        <f aca="false">IF(AND($N69="MND",$Q69="EMBOQUE"),$M69,IF(AND($N69="VCA",$Q69="LINEAR"),$M69,IF(AND($N69="VCA",$Q69="PREDIAL"),0,0)))</f>
        <v>211.33</v>
      </c>
      <c r="AN69" s="153" t="n">
        <f aca="false">ROUND(IF(AND($N69="VCA",$M69&lt;&gt;"",$Q69="LINEAR"),$M69/100,IF(AND($N69="MND",$M69&gt;100,$Q69="EMBOQUE"),$M69/100,0)),0)</f>
        <v>2</v>
      </c>
      <c r="AO69" s="153" t="n">
        <f aca="false">IF(AND($N69="MND",$Q69="EMBOQUE"),$AN69*2*2,IF(AND($N69="VCA",$Q69="LINEAR"),$M69*2,IF(AND($N69="VCA",$Q69="PREDIAL"),0,0)))</f>
        <v>422.66</v>
      </c>
      <c r="AP69" s="153" t="n">
        <f aca="false">IFERROR($M69*$AF69*$AG69,0)</f>
        <v>187.2278135</v>
      </c>
      <c r="AQ69" s="153" t="n">
        <f aca="false">IFERROR(IF(AND($N69="VCA",$AH69&gt;0),$M69*$AG69*$AH69,0),0)</f>
        <v>13.73645</v>
      </c>
      <c r="AR69" s="153" t="n">
        <f aca="false">IFERROR(IF(AND($N69="VCA",$AJ69&gt;0),($M69*$AG69*$AJ69)-$AI69,0),0)</f>
        <v>49.2045460485269</v>
      </c>
      <c r="AS69" s="153" t="n">
        <f aca="false">IFERROR(IF(AND($N69="VCA",$AP69&gt;0),$AP69-$AI69-$AQ69-$AR69,0),0)</f>
        <v>123.62805</v>
      </c>
      <c r="AT69" s="153" t="n">
        <f aca="false">IFERROR(IF($N69="VCA",INDEX(APOIO_REDES!$A:$W,MATCH($C69&amp;$I69&amp;$H69&amp;$N69&amp;$O69,APOIO_REDES!$W:$W,0),MATCH(AT$5,APOIO_REDES!$5:$5,0)),0)*$AP69,0)</f>
        <v>2.03709402748406</v>
      </c>
      <c r="AU69" s="153" t="n">
        <f aca="false">IFERROR(IF($N69="VCA",INDEX(APOIO_REDES!$A:$W,MATCH($C69&amp;$I69&amp;$H69&amp;$N69&amp;$O69,APOIO_REDES!$W:$W,0),MATCH(AU$5,APOIO_REDES!$5:$5,0)),0)*$AP69,0)</f>
        <v>1.62676811884563</v>
      </c>
      <c r="AV69" s="153" t="n">
        <f aca="false">IFERROR(IF($N69="VCA",INDEX(APOIO_REDES!$A:$W,MATCH($C69&amp;$I69&amp;$H69&amp;$N69&amp;$O69,APOIO_REDES!$W:$W,0),MATCH(AV$5,APOIO_REDES!$5:$5,0)),0)*$AP69,0)</f>
        <v>0.22513193701779</v>
      </c>
      <c r="AW69" s="153" t="n">
        <f aca="false">IFERROR(IF($N69="VCA",INDEX(APOIO_REDES!$A:$W,MATCH($C69&amp;$I69&amp;$H69&amp;$N69&amp;$O69,APOIO_REDES!$W:$W,0),MATCH(AW$5,APOIO_REDES!$5:$5,0)),0)*$AP69,0)</f>
        <v>128.51462189829</v>
      </c>
      <c r="AX69" s="153" t="n">
        <f aca="false">IFERROR(IF($N69="VCA",INDEX(APOIO_REDES!$A:$W,MATCH($C69&amp;$I69&amp;$H69&amp;$N69&amp;$O69,APOIO_REDES!$W:$W,0),MATCH(AX$5,APOIO_REDES!$5:$5,0)),0)*$AP69,0)</f>
        <v>17.7860575898934</v>
      </c>
      <c r="AY69" s="153" t="n">
        <f aca="false">IFERROR(IF($N69="VCA",INDEX(APOIO_REDES!$A:$W,MATCH($C69&amp;$I69&amp;$H69&amp;$N69&amp;$O69,APOIO_REDES!$W:$W,0),MATCH(AY$5,APOIO_REDES!$5:$5,0)),0)*$AP69,0)</f>
        <v>32.5353425467411</v>
      </c>
      <c r="AZ69" s="153" t="n">
        <f aca="false">IFERROR(IF($N69="VCA",INDEX(APOIO_REDES!$A:$W,MATCH($C69&amp;$I69&amp;$H69&amp;$N69&amp;$O69,APOIO_REDES!$W:$W,0),MATCH(AZ$5,APOIO_REDES!$5:$5,0)),0)*$AP69,0)</f>
        <v>4.50279738172779</v>
      </c>
      <c r="BA69" s="153" t="n">
        <f aca="false">IFERROR(IF(AND($N69="VCA",$Q69="LINEAR"),INDEX(APOIO_REDES!$A:$W,MATCH($C69&amp;$I69&amp;$H69&amp;$N69&amp;$O69,APOIO_REDES!$W:$W,0),MATCH(BA$5,APOIO_REDES!$5:$5,0)),IF(AND($N69="MND",$Q69="EMBOQUE"),INDEX(APOIO_REDES!$A:$W,MATCH($C69&amp;$I69&amp;$H69&amp;$N69&amp;$O69,APOIO_REDES!$W:$W,0),MATCH(BA$5,APOIO_REDES!$5:$5,0)),0))*$M69/10,0)</f>
        <v>17.032664936935</v>
      </c>
      <c r="BB69" s="153" t="n">
        <f aca="false">IFERROR(IF($N69="VCA",INDEX(APOIO_REDES!$A:$W,MATCH($C69&amp;$I69&amp;$H69&amp;$N69&amp;$O69,APOIO_REDES!$W:$W,0),MATCH(BB$5,APOIO_REDES!$5:$5,0)),0)*($AI69+$AQ69+$AR69),0)</f>
        <v>62.9077792485509</v>
      </c>
      <c r="BC69" s="153" t="n">
        <f aca="false">IFERROR(IF($N69="VCA",INDEX(APOIO_REDES!$A:$W,MATCH($C69&amp;$I69&amp;$H69&amp;$N69&amp;$O69,APOIO_REDES!$W:$W,0),MATCH(BC$5,APOIO_REDES!$5:$5,0)),0)*($AI69+$AQ69+$AR69),0)</f>
        <v>0.691984251449098</v>
      </c>
      <c r="BD69" s="153" t="n">
        <f aca="false">IF(AND($N69="VCA",$AF69&gt;=1.25,$AF69&lt;1.5),$M69*$AF69*2,0)</f>
        <v>576.08558</v>
      </c>
      <c r="BE69" s="153" t="n">
        <f aca="false">IF(AND($N69="VCA",$AF69&gt;=1.5,$AF69&lt;3),$M69*$AF69*2,0)</f>
        <v>0</v>
      </c>
      <c r="BF69" s="153" t="n">
        <f aca="false">IF(AND($N69="VCA",$AF69&gt;=3),$M69*$AF69*2,0)</f>
        <v>0</v>
      </c>
      <c r="BG69" s="153" t="n">
        <f aca="false">($BB69+$BC69)*$AK69</f>
        <v>146.27945605</v>
      </c>
      <c r="BH69" s="153" t="n">
        <f aca="false">IF(AND($M69&lt;&gt;"",$N69="VCA",$Q69="LINEAR"),($M69*2)/100,IF(AND($M69&lt;&gt;"",$N69="MND",$Q69="EMBOQUE"),($AN69*2)/100,0))</f>
        <v>4.2266</v>
      </c>
      <c r="BI69" s="153" t="n">
        <f aca="false">IF(AND($M69&lt;&gt;"",$N69="VCA",$Q69="LINEAR"),$M69,IF(AND($M69&lt;&gt;"",$N69="MND",$Q69="EMBOQUE"),$AN69*2,0))</f>
        <v>211.33</v>
      </c>
      <c r="BJ69" s="153" t="n">
        <f aca="false">IF(AND($M69&lt;&gt;"",$N69="VCA",$Q69="LINEAR"),($M69*6.8)/100,IF(AND($M69&lt;&gt;"",$N69="MND",$Q69="EMBOQUE"),($AN69*2*6.8)/100,0))</f>
        <v>14.37044</v>
      </c>
      <c r="BK69" s="153" t="n">
        <f aca="false">IF(AND($M69&lt;&gt;"",$N69="VCA",$Q69="LINEAR"),($M69*2.5)/50,IF(AND($M69&lt;&gt;"",$N69="MND",$Q69="EMBOQUE"),($AN69*2*2.5)/50,0))</f>
        <v>10.5665</v>
      </c>
      <c r="BL69" s="157" t="str">
        <f aca="false">K69&amp;J69</f>
        <v>Zona01REDES</v>
      </c>
      <c r="BM69" s="152" t="s">
        <v>1559</v>
      </c>
      <c r="BN69" s="152" t="s">
        <v>1560</v>
      </c>
      <c r="BO69" s="152" t="s">
        <v>1748</v>
      </c>
      <c r="BP69" s="152" t="s">
        <v>1749</v>
      </c>
      <c r="BQ69" s="152" t="s">
        <v>1792</v>
      </c>
      <c r="BR69" s="152" t="s">
        <v>1793</v>
      </c>
      <c r="BS69" s="152" t="n">
        <v>203348.445</v>
      </c>
      <c r="BT69" s="152" t="n">
        <v>8238761.068</v>
      </c>
      <c r="BU69" s="152" t="n">
        <v>203515.523</v>
      </c>
      <c r="BV69" s="152" t="n">
        <v>8238631.681</v>
      </c>
      <c r="BW69" s="152" t="n">
        <v>-15.913228</v>
      </c>
      <c r="BX69" s="152" t="n">
        <v>-47.7697667</v>
      </c>
      <c r="BY69" s="152" t="s">
        <v>1749</v>
      </c>
    </row>
    <row r="70" customFormat="false" ht="13.8" hidden="false" customHeight="false" outlineLevel="0" collapsed="false">
      <c r="A70" s="149" t="n">
        <f aca="false">IF(C70&lt;&gt;"",ROW(A65),"")</f>
        <v>65</v>
      </c>
      <c r="B70" s="150" t="str">
        <f aca="false">HYPERLINK("https://www.google.com/maps/dir/-15.917302,-47.760003/-15.9132261,-47.7710019/data=!4m3!4m2!3e0!5i0")</f>
        <v>https://www.google.com/maps/dir/-15.917302,-47.760003/-15.9132261,-47.7710019/data=!4m3!4m2!3e0!5i0</v>
      </c>
      <c r="C70" s="151" t="s">
        <v>117</v>
      </c>
      <c r="D70" s="152" t="s">
        <v>112</v>
      </c>
      <c r="E70" s="152" t="s">
        <v>113</v>
      </c>
      <c r="F70" s="152" t="s">
        <v>117</v>
      </c>
      <c r="G70" s="152" t="s">
        <v>782</v>
      </c>
      <c r="H70" s="152" t="n">
        <v>63</v>
      </c>
      <c r="I70" s="152" t="s">
        <v>115</v>
      </c>
      <c r="J70" s="152" t="s">
        <v>6</v>
      </c>
      <c r="K70" s="152" t="s">
        <v>1547</v>
      </c>
      <c r="L70" s="152" t="s">
        <v>120</v>
      </c>
      <c r="M70" s="153" t="n">
        <f aca="false">2.47</f>
        <v>2.47</v>
      </c>
      <c r="N70" s="152" t="s">
        <v>1548</v>
      </c>
      <c r="O70" s="152" t="s">
        <v>1549</v>
      </c>
      <c r="P70" s="152" t="s">
        <v>1550</v>
      </c>
      <c r="Q70" s="152" t="s">
        <v>1551</v>
      </c>
      <c r="R70" s="154" t="s">
        <v>1794</v>
      </c>
      <c r="S70" s="154" t="s">
        <v>1553</v>
      </c>
      <c r="T70" s="155" t="s">
        <v>1746</v>
      </c>
      <c r="U70" s="152" t="str">
        <f aca="false">RIGHT(T70,7)</f>
        <v>003/037</v>
      </c>
      <c r="V70" s="152" t="s">
        <v>1555</v>
      </c>
      <c r="W70" s="156" t="n">
        <v>45882</v>
      </c>
      <c r="X70" s="152" t="s">
        <v>1556</v>
      </c>
      <c r="Y70" s="152" t="s">
        <v>1772</v>
      </c>
      <c r="Z70" s="152" t="s">
        <v>1557</v>
      </c>
      <c r="AA70" s="153" t="n">
        <v>2.3</v>
      </c>
      <c r="AB70" s="151" t="s">
        <v>1795</v>
      </c>
      <c r="AC70" s="151" t="s">
        <v>186</v>
      </c>
      <c r="AD70" s="151" t="str">
        <f aca="false">CONCATENATE($C70,$I70,$H70,$N70,$J70,$K70)</f>
        <v>TUBO PEADPEAD63VCAREDESZona01</v>
      </c>
      <c r="AE70" s="153" t="n">
        <f aca="false">IFERROR(INDEX(APOIO_REDES!$A:$W,MATCH($C70&amp;$I70&amp;$H70&amp;$N70&amp;$O70,APOIO_REDES!$W:$W,0),MATCH(AE$5,APOIO_REDES!$5:$5,0)),0)</f>
        <v>1.2</v>
      </c>
      <c r="AF70" s="153" t="n">
        <f aca="false">IFERROR(INDEX(APOIO_REDES!$A:$W,MATCH($C70&amp;$I70&amp;$H70&amp;$N70&amp;$O70,APOIO_REDES!$W:$W,0),MATCH(AF$5,APOIO_REDES!$5:$5,0)),0)</f>
        <v>1.363</v>
      </c>
      <c r="AG70" s="153" t="n">
        <f aca="false">IFERROR(INDEX(APOIO_REDES!$A:$W,MATCH($C70&amp;$I70&amp;$H70&amp;$N70&amp;$O70,APOIO_REDES!$W:$W,0),MATCH(AG$5,APOIO_REDES!$5:$5,0)),0)</f>
        <v>0.65</v>
      </c>
      <c r="AH70" s="153" t="n">
        <f aca="false">IFERROR(INDEX(APOIO_REDES!$A:$W,MATCH($C70&amp;$I70&amp;$H70&amp;$N70&amp;$O70,APOIO_REDES!$W:$W,0),MATCH(AH$5,APOIO_REDES!$5:$5,0)),0)</f>
        <v>0.1</v>
      </c>
      <c r="AI70" s="153" t="n">
        <f aca="false">IFERROR(IF($H70&lt;&gt;"",(((($H70/1000)/2)^2)*PI()*$M70),0),0)</f>
        <v>0.00769959591699545</v>
      </c>
      <c r="AJ70" s="153" t="n">
        <f aca="false">IFERROR(IF(AND($H70&lt;&gt;"",$I70="FoFo",OR($N70="MND",$N70="VCA"),$Q70="LINEAR"),0,IF(AND($H70&lt;&gt;"",$I70="PEAD",$N70="VCA",$Q70="LINEAR"),($H70/1000)+0.3,IF(AND($H70&lt;&gt;"",$I70="PEAD",$N70="MND",$Q70="EMBOQUE"),0,IF(AND($H70&lt;&gt;"",$I70="PVC",$N70="VCA",$Q70="LINEAR"),($H70/1000)+0.2,IF(AND($H70&lt;&gt;"",$I70="PVC",$N70="MND",$Q70="EMBOQUE"),0,IF(AND($H70&lt;&gt;"",$I70="PEAD",$N70="VCA",$Q70="PREDIAL"),0,0)))))),0)</f>
        <v>0.363</v>
      </c>
      <c r="AK70" s="153" t="n">
        <f aca="false">IF(AA70&lt;&gt;"",AA70,0)</f>
        <v>2.3</v>
      </c>
      <c r="AL70" s="153" t="n">
        <f aca="false">IF(AND($N70="MND",$Q70="EMBOQUE"),$M70,IF(AND($N70="VCA",$Q70="LINEAR"),$M70,IF(AND($N70="VCA",$Q70="PREDIAL"),0,0)))</f>
        <v>2.47</v>
      </c>
      <c r="AM70" s="153" t="n">
        <f aca="false">IF(AND($N70="MND",$Q70="EMBOQUE"),$M70,IF(AND($N70="VCA",$Q70="LINEAR"),$M70,IF(AND($N70="VCA",$Q70="PREDIAL"),0,0)))</f>
        <v>2.47</v>
      </c>
      <c r="AN70" s="153" t="n">
        <f aca="false">ROUND(IF(AND($N70="VCA",$M70&lt;&gt;"",$Q70="LINEAR"),$M70/100,IF(AND($N70="MND",$M70&gt;100,$Q70="EMBOQUE"),$M70/100,0)),0)</f>
        <v>0</v>
      </c>
      <c r="AO70" s="153" t="n">
        <f aca="false">IF(AND($N70="MND",$Q70="EMBOQUE"),$AN70*2*2,IF(AND($N70="VCA",$Q70="LINEAR"),$M70*2,IF(AND($N70="VCA",$Q70="PREDIAL"),0,0)))</f>
        <v>4.94</v>
      </c>
      <c r="AP70" s="153" t="n">
        <f aca="false">IFERROR($M70*$AF70*$AG70,0)</f>
        <v>2.1882965</v>
      </c>
      <c r="AQ70" s="153" t="n">
        <f aca="false">IFERROR(IF(AND($N70="VCA",$AH70&gt;0),$M70*$AG70*$AH70,0),0)</f>
        <v>0.16055</v>
      </c>
      <c r="AR70" s="153" t="n">
        <f aca="false">IFERROR(IF(AND($N70="VCA",$AJ70&gt;0),($M70*$AG70*$AJ70)-$AI70,0),0)</f>
        <v>0.575096904083005</v>
      </c>
      <c r="AS70" s="153" t="n">
        <f aca="false">IFERROR(IF(AND($N70="VCA",$AP70&gt;0),$AP70-$AI70-$AQ70-$AR70,0),0)</f>
        <v>1.44495</v>
      </c>
      <c r="AT70" s="153" t="n">
        <f aca="false">IFERROR(IF($N70="VCA",INDEX(APOIO_REDES!$A:$W,MATCH($C70&amp;$I70&amp;$H70&amp;$N70&amp;$O70,APOIO_REDES!$W:$W,0),MATCH(AT$5,APOIO_REDES!$5:$5,0)),0)*$AP70,0)</f>
        <v>0.0238093136227021</v>
      </c>
      <c r="AU70" s="153" t="n">
        <f aca="false">IFERROR(IF($N70="VCA",INDEX(APOIO_REDES!$A:$W,MATCH($C70&amp;$I70&amp;$H70&amp;$N70&amp;$O70,APOIO_REDES!$W:$W,0),MATCH(AU$5,APOIO_REDES!$5:$5,0)),0)*$AP70,0)</f>
        <v>0.0190134730210983</v>
      </c>
      <c r="AV70" s="153" t="n">
        <f aca="false">IFERROR(IF($N70="VCA",INDEX(APOIO_REDES!$A:$W,MATCH($C70&amp;$I70&amp;$H70&amp;$N70&amp;$O70,APOIO_REDES!$W:$W,0),MATCH(AV$5,APOIO_REDES!$5:$5,0)),0)*$AP70,0)</f>
        <v>0.00263131540450453</v>
      </c>
      <c r="AW70" s="153" t="n">
        <f aca="false">IFERROR(IF($N70="VCA",INDEX(APOIO_REDES!$A:$W,MATCH($C70&amp;$I70&amp;$H70&amp;$N70&amp;$O70,APOIO_REDES!$W:$W,0),MATCH(AW$5,APOIO_REDES!$5:$5,0)),0)*$AP70,0)</f>
        <v>1.50206367334868</v>
      </c>
      <c r="AX70" s="153" t="n">
        <f aca="false">IFERROR(IF($N70="VCA",INDEX(APOIO_REDES!$A:$W,MATCH($C70&amp;$I70&amp;$H70&amp;$N70&amp;$O70,APOIO_REDES!$W:$W,0),MATCH(AX$5,APOIO_REDES!$5:$5,0)),0)*$AP70,0)</f>
        <v>0.207881333682093</v>
      </c>
      <c r="AY70" s="153" t="n">
        <f aca="false">IFERROR(IF($N70="VCA",INDEX(APOIO_REDES!$A:$W,MATCH($C70&amp;$I70&amp;$H70&amp;$N70&amp;$O70,APOIO_REDES!$W:$W,0),MATCH(AY$5,APOIO_REDES!$5:$5,0)),0)*$AP70,0)</f>
        <v>0.380269228649271</v>
      </c>
      <c r="AZ70" s="153" t="n">
        <f aca="false">IFERROR(IF($N70="VCA",INDEX(APOIO_REDES!$A:$W,MATCH($C70&amp;$I70&amp;$H70&amp;$N70&amp;$O70,APOIO_REDES!$W:$W,0),MATCH(AZ$5,APOIO_REDES!$5:$5,0)),0)*$AP70,0)</f>
        <v>0.0526281622716493</v>
      </c>
      <c r="BA70" s="153" t="n">
        <f aca="false">IFERROR(IF(AND($N70="VCA",$Q70="LINEAR"),INDEX(APOIO_REDES!$A:$W,MATCH($C70&amp;$I70&amp;$H70&amp;$N70&amp;$O70,APOIO_REDES!$W:$W,0),MATCH(BA$5,APOIO_REDES!$5:$5,0)),IF(AND($N70="MND",$Q70="EMBOQUE"),INDEX(APOIO_REDES!$A:$W,MATCH($C70&amp;$I70&amp;$H70&amp;$N70&amp;$O70,APOIO_REDES!$W:$W,0),MATCH(BA$5,APOIO_REDES!$5:$5,0)),0))*$M70/10,0)</f>
        <v>0.199075769622057</v>
      </c>
      <c r="BB70" s="153" t="n">
        <f aca="false">IFERROR(IF($N70="VCA",INDEX(APOIO_REDES!$A:$W,MATCH($C70&amp;$I70&amp;$H70&amp;$N70&amp;$O70,APOIO_REDES!$W:$W,0),MATCH(BB$5,APOIO_REDES!$5:$5,0)),0)*($AI70+$AQ70+$AR70),0)</f>
        <v>0.735258670060667</v>
      </c>
      <c r="BC70" s="153" t="n">
        <f aca="false">IFERROR(IF($N70="VCA",INDEX(APOIO_REDES!$A:$W,MATCH($C70&amp;$I70&amp;$H70&amp;$N70&amp;$O70,APOIO_REDES!$W:$W,0),MATCH(BC$5,APOIO_REDES!$5:$5,0)),0)*($AI70+$AQ70+$AR70),0)</f>
        <v>0.00808782993933314</v>
      </c>
      <c r="BD70" s="153" t="n">
        <f aca="false">IF(AND($N70="VCA",$AF70&gt;=1.25,$AF70&lt;1.5),$M70*$AF70*2,0)</f>
        <v>6.73322</v>
      </c>
      <c r="BE70" s="153" t="n">
        <f aca="false">IF(AND($N70="VCA",$AF70&gt;=1.5,$AF70&lt;3),$M70*$AF70*2,0)</f>
        <v>0</v>
      </c>
      <c r="BF70" s="153" t="n">
        <f aca="false">IF(AND($N70="VCA",$AF70&gt;=3),$M70*$AF70*2,0)</f>
        <v>0</v>
      </c>
      <c r="BG70" s="153" t="n">
        <f aca="false">($BB70+$BC70)*$AK70</f>
        <v>1.70969695</v>
      </c>
      <c r="BH70" s="153" t="n">
        <f aca="false">IF(AND($M70&lt;&gt;"",$N70="VCA",$Q70="LINEAR"),($M70*2)/100,IF(AND($M70&lt;&gt;"",$N70="MND",$Q70="EMBOQUE"),($AN70*2)/100,0))</f>
        <v>0.0494</v>
      </c>
      <c r="BI70" s="153" t="n">
        <f aca="false">IF(AND($M70&lt;&gt;"",$N70="VCA",$Q70="LINEAR"),$M70,IF(AND($M70&lt;&gt;"",$N70="MND",$Q70="EMBOQUE"),$AN70*2,0))</f>
        <v>2.47</v>
      </c>
      <c r="BJ70" s="153" t="n">
        <f aca="false">IF(AND($M70&lt;&gt;"",$N70="VCA",$Q70="LINEAR"),($M70*6.8)/100,IF(AND($M70&lt;&gt;"",$N70="MND",$Q70="EMBOQUE"),($AN70*2*6.8)/100,0))</f>
        <v>0.16796</v>
      </c>
      <c r="BK70" s="153" t="n">
        <f aca="false">IF(AND($M70&lt;&gt;"",$N70="VCA",$Q70="LINEAR"),($M70*2.5)/50,IF(AND($M70&lt;&gt;"",$N70="MND",$Q70="EMBOQUE"),($AN70*2*2.5)/50,0))</f>
        <v>0.1235</v>
      </c>
      <c r="BL70" s="157" t="str">
        <f aca="false">K70&amp;J70</f>
        <v>Zona01REDES</v>
      </c>
      <c r="BM70" s="152" t="s">
        <v>1559</v>
      </c>
      <c r="BN70" s="152" t="s">
        <v>1560</v>
      </c>
      <c r="BO70" s="152" t="s">
        <v>1748</v>
      </c>
      <c r="BP70" s="152" t="s">
        <v>1774</v>
      </c>
      <c r="BQ70" s="152" t="s">
        <v>1796</v>
      </c>
      <c r="BR70" s="152" t="s">
        <v>1797</v>
      </c>
      <c r="BS70" s="152" t="n">
        <v>203299.588</v>
      </c>
      <c r="BT70" s="152" t="n">
        <v>8238694.765</v>
      </c>
      <c r="BU70" s="152" t="n">
        <v>203298.13</v>
      </c>
      <c r="BV70" s="152" t="n">
        <v>8238692.777</v>
      </c>
      <c r="BW70" s="152" t="n">
        <v>-15.9132349</v>
      </c>
      <c r="BX70" s="152" t="n">
        <v>-47.7710088</v>
      </c>
      <c r="BY70" s="152" t="s">
        <v>1774</v>
      </c>
    </row>
    <row r="71" customFormat="false" ht="13.8" hidden="false" customHeight="false" outlineLevel="0" collapsed="false">
      <c r="A71" s="149" t="n">
        <f aca="false">IF(C71&lt;&gt;"",ROW(A66),"")</f>
        <v>66</v>
      </c>
      <c r="B71" s="150" t="str">
        <f aca="false">HYPERLINK("https://www.google.com/maps/dir/-15.917302,-47.760003/-15.9134612,-47.7688191/data=!4m3!4m2!3e0!5i0")</f>
        <v>https://www.google.com/maps/dir/-15.917302,-47.760003/-15.9134612,-47.7688191/data=!4m3!4m2!3e0!5i0</v>
      </c>
      <c r="C71" s="151" t="s">
        <v>117</v>
      </c>
      <c r="D71" s="152" t="s">
        <v>112</v>
      </c>
      <c r="E71" s="152" t="s">
        <v>113</v>
      </c>
      <c r="F71" s="152" t="s">
        <v>117</v>
      </c>
      <c r="G71" s="152" t="s">
        <v>114</v>
      </c>
      <c r="H71" s="152" t="n">
        <v>225</v>
      </c>
      <c r="I71" s="152" t="s">
        <v>115</v>
      </c>
      <c r="J71" s="152" t="s">
        <v>6</v>
      </c>
      <c r="K71" s="152" t="s">
        <v>1547</v>
      </c>
      <c r="L71" s="152" t="s">
        <v>120</v>
      </c>
      <c r="M71" s="153" t="n">
        <f aca="false">43.45</f>
        <v>43.45</v>
      </c>
      <c r="N71" s="152" t="s">
        <v>1548</v>
      </c>
      <c r="O71" s="152" t="s">
        <v>1549</v>
      </c>
      <c r="P71" s="152" t="s">
        <v>1550</v>
      </c>
      <c r="Q71" s="152" t="s">
        <v>1551</v>
      </c>
      <c r="R71" s="154" t="s">
        <v>1798</v>
      </c>
      <c r="S71" s="154" t="s">
        <v>1593</v>
      </c>
      <c r="T71" s="155" t="s">
        <v>1746</v>
      </c>
      <c r="U71" s="152" t="str">
        <f aca="false">RIGHT(T71,7)</f>
        <v>003/037</v>
      </c>
      <c r="V71" s="152" t="s">
        <v>1555</v>
      </c>
      <c r="W71" s="156" t="n">
        <v>45882</v>
      </c>
      <c r="X71" s="152" t="s">
        <v>1556</v>
      </c>
      <c r="Y71" s="152"/>
      <c r="Z71" s="152" t="s">
        <v>1557</v>
      </c>
      <c r="AA71" s="153" t="n">
        <v>1.9</v>
      </c>
      <c r="AB71" s="151" t="s">
        <v>1799</v>
      </c>
      <c r="AC71" s="151" t="s">
        <v>508</v>
      </c>
      <c r="AD71" s="151" t="str">
        <f aca="false">CONCATENATE($C71,$I71,$H71,$N71,$J71,$K71)</f>
        <v>TUBO PEADPEAD225VCAREDESZona01</v>
      </c>
      <c r="AE71" s="153" t="n">
        <f aca="false">IFERROR(INDEX(APOIO_REDES!$A:$W,MATCH($C71&amp;$I71&amp;$H71&amp;$N71&amp;$O71,APOIO_REDES!$W:$W,0),MATCH(AE$5,APOIO_REDES!$5:$5,0)),0)</f>
        <v>1.2</v>
      </c>
      <c r="AF71" s="153" t="n">
        <f aca="false">IFERROR(INDEX(APOIO_REDES!$A:$W,MATCH($C71&amp;$I71&amp;$H71&amp;$N71&amp;$O71,APOIO_REDES!$W:$W,0),MATCH(AF$5,APOIO_REDES!$5:$5,0)),0)</f>
        <v>1.525</v>
      </c>
      <c r="AG71" s="153" t="n">
        <f aca="false">IFERROR(INDEX(APOIO_REDES!$A:$W,MATCH($C71&amp;$I71&amp;$H71&amp;$N71&amp;$O71,APOIO_REDES!$W:$W,0),MATCH(AG$5,APOIO_REDES!$5:$5,0)),0)</f>
        <v>0.8</v>
      </c>
      <c r="AH71" s="153" t="n">
        <f aca="false">IFERROR(INDEX(APOIO_REDES!$A:$W,MATCH($C71&amp;$I71&amp;$H71&amp;$N71&amp;$O71,APOIO_REDES!$W:$W,0),MATCH(AH$5,APOIO_REDES!$5:$5,0)),0)</f>
        <v>0.1</v>
      </c>
      <c r="AI71" s="153" t="n">
        <f aca="false">IFERROR(IF($H71&lt;&gt;"",(((($H71/1000)/2)^2)*PI()*$M71),0),0)</f>
        <v>1.72760597885572</v>
      </c>
      <c r="AJ71" s="153" t="n">
        <f aca="false">IFERROR(IF(AND($H71&lt;&gt;"",$I71="FoFo",OR($N71="MND",$N71="VCA"),$Q71="LINEAR"),0,IF(AND($H71&lt;&gt;"",$I71="PEAD",$N71="VCA",$Q71="LINEAR"),($H71/1000)+0.3,IF(AND($H71&lt;&gt;"",$I71="PEAD",$N71="MND",$Q71="EMBOQUE"),0,IF(AND($H71&lt;&gt;"",$I71="PVC",$N71="VCA",$Q71="LINEAR"),($H71/1000)+0.2,IF(AND($H71&lt;&gt;"",$I71="PVC",$N71="MND",$Q71="EMBOQUE"),0,IF(AND($H71&lt;&gt;"",$I71="PEAD",$N71="VCA",$Q71="PREDIAL"),0,0)))))),0)</f>
        <v>0.525</v>
      </c>
      <c r="AK71" s="153" t="n">
        <f aca="false">IF(AA71&lt;&gt;"",AA71,0)</f>
        <v>1.9</v>
      </c>
      <c r="AL71" s="153" t="n">
        <f aca="false">IF(AND($N71="MND",$Q71="EMBOQUE"),$M71,IF(AND($N71="VCA",$Q71="LINEAR"),$M71,IF(AND($N71="VCA",$Q71="PREDIAL"),0,0)))</f>
        <v>43.45</v>
      </c>
      <c r="AM71" s="153" t="n">
        <f aca="false">IF(AND($N71="MND",$Q71="EMBOQUE"),$M71,IF(AND($N71="VCA",$Q71="LINEAR"),$M71,IF(AND($N71="VCA",$Q71="PREDIAL"),0,0)))</f>
        <v>43.45</v>
      </c>
      <c r="AN71" s="153" t="n">
        <f aca="false">ROUND(IF(AND($N71="VCA",$M71&lt;&gt;"",$Q71="LINEAR"),$M71/100,IF(AND($N71="MND",$M71&gt;100,$Q71="EMBOQUE"),$M71/100,0)),0)</f>
        <v>0</v>
      </c>
      <c r="AO71" s="153" t="n">
        <f aca="false">IF(AND($N71="MND",$Q71="EMBOQUE"),$AN71*2*2,IF(AND($N71="VCA",$Q71="LINEAR"),$M71*2,IF(AND($N71="VCA",$Q71="PREDIAL"),0,0)))</f>
        <v>86.9</v>
      </c>
      <c r="AP71" s="153" t="n">
        <f aca="false">IFERROR($M71*$AF71*$AG71,0)</f>
        <v>53.009</v>
      </c>
      <c r="AQ71" s="153" t="n">
        <f aca="false">IFERROR(IF(AND($N71="VCA",$AH71&gt;0),$M71*$AG71*$AH71,0),0)</f>
        <v>3.476</v>
      </c>
      <c r="AR71" s="153" t="n">
        <f aca="false">IFERROR(IF(AND($N71="VCA",$AJ71&gt;0),($M71*$AG71*$AJ71)-$AI71,0),0)</f>
        <v>16.5213940211443</v>
      </c>
      <c r="AS71" s="153" t="n">
        <f aca="false">IFERROR(IF(AND($N71="VCA",$AP71&gt;0),$AP71-$AI71-$AQ71-$AR71,0),0)</f>
        <v>31.284</v>
      </c>
      <c r="AT71" s="153" t="n">
        <f aca="false">IFERROR(IF($N71="VCA",INDEX(APOIO_REDES!$A:$W,MATCH($C71&amp;$I71&amp;$H71&amp;$N71&amp;$O71,APOIO_REDES!$W:$W,0),MATCH(AT$5,APOIO_REDES!$5:$5,0)),0)*$AP71,0)</f>
        <v>0.576753609863113</v>
      </c>
      <c r="AU71" s="153" t="n">
        <f aca="false">IFERROR(IF($N71="VCA",INDEX(APOIO_REDES!$A:$W,MATCH($C71&amp;$I71&amp;$H71&amp;$N71&amp;$O71,APOIO_REDES!$W:$W,0),MATCH(AU$5,APOIO_REDES!$5:$5,0)),0)*$AP71,0)</f>
        <v>0.460579812367931</v>
      </c>
      <c r="AV71" s="153" t="n">
        <f aca="false">IFERROR(IF($N71="VCA",INDEX(APOIO_REDES!$A:$W,MATCH($C71&amp;$I71&amp;$H71&amp;$N71&amp;$O71,APOIO_REDES!$W:$W,0),MATCH(AV$5,APOIO_REDES!$5:$5,0)),0)*$AP71,0)</f>
        <v>0.0637406303384302</v>
      </c>
      <c r="AW71" s="153" t="n">
        <f aca="false">IFERROR(IF($N71="VCA",INDEX(APOIO_REDES!$A:$W,MATCH($C71&amp;$I71&amp;$H71&amp;$N71&amp;$O71,APOIO_REDES!$W:$W,0),MATCH(AW$5,APOIO_REDES!$5:$5,0)),0)*$AP71,0)</f>
        <v>36.3857883337748</v>
      </c>
      <c r="AX71" s="153" t="n">
        <f aca="false">IFERROR(IF($N71="VCA",INDEX(APOIO_REDES!$A:$W,MATCH($C71&amp;$I71&amp;$H71&amp;$N71&amp;$O71,APOIO_REDES!$W:$W,0),MATCH(AX$5,APOIO_REDES!$5:$5,0)),0)*$AP71,0)</f>
        <v>5.03568945851444</v>
      </c>
      <c r="AY71" s="153" t="n">
        <f aca="false">IFERROR(IF($N71="VCA",INDEX(APOIO_REDES!$A:$W,MATCH($C71&amp;$I71&amp;$H71&amp;$N71&amp;$O71,APOIO_REDES!$W:$W,0),MATCH(AY$5,APOIO_REDES!$5:$5,0)),0)*$AP71,0)</f>
        <v>9.21159063292805</v>
      </c>
      <c r="AZ71" s="153" t="n">
        <f aca="false">IFERROR(IF($N71="VCA",INDEX(APOIO_REDES!$A:$W,MATCH($C71&amp;$I71&amp;$H71&amp;$N71&amp;$O71,APOIO_REDES!$W:$W,0),MATCH(AZ$5,APOIO_REDES!$5:$5,0)),0)*$AP71,0)</f>
        <v>1.27485752221322</v>
      </c>
      <c r="BA71" s="153" t="n">
        <f aca="false">IFERROR(IF(AND($N71="VCA",$Q71="LINEAR"),INDEX(APOIO_REDES!$A:$W,MATCH($C71&amp;$I71&amp;$H71&amp;$N71&amp;$O71,APOIO_REDES!$W:$W,0),MATCH(BA$5,APOIO_REDES!$5:$5,0)),IF(AND($N71="MND",$Q71="EMBOQUE"),INDEX(APOIO_REDES!$A:$W,MATCH($C71&amp;$I71&amp;$H71&amp;$N71&amp;$O71,APOIO_REDES!$W:$W,0),MATCH(BA$5,APOIO_REDES!$5:$5,0)),0))*$M71/10,0)</f>
        <v>3.50196040084145</v>
      </c>
      <c r="BB71" s="153" t="n">
        <f aca="false">IFERROR(IF($N71="VCA",INDEX(APOIO_REDES!$A:$W,MATCH($C71&amp;$I71&amp;$H71&amp;$N71&amp;$O71,APOIO_REDES!$W:$W,0),MATCH(BB$5,APOIO_REDES!$5:$5,0)),0)*($AI71+$AQ71+$AR71),0)</f>
        <v>21.4886255697282</v>
      </c>
      <c r="BC71" s="153" t="n">
        <f aca="false">IFERROR(IF($N71="VCA",INDEX(APOIO_REDES!$A:$W,MATCH($C71&amp;$I71&amp;$H71&amp;$N71&amp;$O71,APOIO_REDES!$W:$W,0),MATCH(BC$5,APOIO_REDES!$5:$5,0)),0)*($AI71+$AQ71+$AR71),0)</f>
        <v>0.236374430271768</v>
      </c>
      <c r="BD71" s="153" t="n">
        <f aca="false">IF(AND($N71="VCA",$AF71&gt;=1.25,$AF71&lt;1.5),$M71*$AF71*2,0)</f>
        <v>0</v>
      </c>
      <c r="BE71" s="153" t="n">
        <f aca="false">IF(AND($N71="VCA",$AF71&gt;=1.5,$AF71&lt;3),$M71*$AF71*2,0)</f>
        <v>132.5225</v>
      </c>
      <c r="BF71" s="153" t="n">
        <f aca="false">IF(AND($N71="VCA",$AF71&gt;=3),$M71*$AF71*2,0)</f>
        <v>0</v>
      </c>
      <c r="BG71" s="153" t="n">
        <f aca="false">($BB71+$BC71)*$AK71</f>
        <v>41.2775</v>
      </c>
      <c r="BH71" s="153" t="n">
        <f aca="false">IF(AND($M71&lt;&gt;"",$N71="VCA",$Q71="LINEAR"),($M71*2)/100,IF(AND($M71&lt;&gt;"",$N71="MND",$Q71="EMBOQUE"),($AN71*2)/100,0))</f>
        <v>0.869</v>
      </c>
      <c r="BI71" s="153" t="n">
        <f aca="false">IF(AND($M71&lt;&gt;"",$N71="VCA",$Q71="LINEAR"),$M71,IF(AND($M71&lt;&gt;"",$N71="MND",$Q71="EMBOQUE"),$AN71*2,0))</f>
        <v>43.45</v>
      </c>
      <c r="BJ71" s="153" t="n">
        <f aca="false">IF(AND($M71&lt;&gt;"",$N71="VCA",$Q71="LINEAR"),($M71*6.8)/100,IF(AND($M71&lt;&gt;"",$N71="MND",$Q71="EMBOQUE"),($AN71*2*6.8)/100,0))</f>
        <v>2.9546</v>
      </c>
      <c r="BK71" s="153" t="n">
        <f aca="false">IF(AND($M71&lt;&gt;"",$N71="VCA",$Q71="LINEAR"),($M71*2.5)/50,IF(AND($M71&lt;&gt;"",$N71="MND",$Q71="EMBOQUE"),($AN71*2*2.5)/50,0))</f>
        <v>2.1725</v>
      </c>
      <c r="BL71" s="157" t="str">
        <f aca="false">K71&amp;J71</f>
        <v>Zona01REDES</v>
      </c>
      <c r="BM71" s="152" t="s">
        <v>1559</v>
      </c>
      <c r="BN71" s="152" t="s">
        <v>1560</v>
      </c>
      <c r="BO71" s="152" t="s">
        <v>1748</v>
      </c>
      <c r="BP71" s="152" t="s">
        <v>1778</v>
      </c>
      <c r="BQ71" s="152" t="s">
        <v>1756</v>
      </c>
      <c r="BR71" s="152" t="s">
        <v>1800</v>
      </c>
      <c r="BS71" s="152" t="n">
        <v>203533.809</v>
      </c>
      <c r="BT71" s="152" t="n">
        <v>8238671.833</v>
      </c>
      <c r="BU71" s="152" t="n">
        <v>203549.484</v>
      </c>
      <c r="BV71" s="152" t="n">
        <v>8238712.319</v>
      </c>
      <c r="BW71" s="152" t="n">
        <v>-15.9132812</v>
      </c>
      <c r="BX71" s="152" t="n">
        <v>-47.7687384</v>
      </c>
      <c r="BY71" s="152" t="s">
        <v>1778</v>
      </c>
    </row>
    <row r="72" customFormat="false" ht="13.8" hidden="false" customHeight="false" outlineLevel="0" collapsed="false">
      <c r="A72" s="149" t="n">
        <f aca="false">IF(C72&lt;&gt;"",ROW(A67),"")</f>
        <v>67</v>
      </c>
      <c r="B72" s="150" t="str">
        <f aca="false">HYPERLINK("https://www.google.com/maps/dir/-15.917302,-47.760003/-15.9132438,-47.7710157/data=!4m3!4m2!3e0!5i0")</f>
        <v>https://www.google.com/maps/dir/-15.917302,-47.760003/-15.9132438,-47.7710157/data=!4m3!4m2!3e0!5i0</v>
      </c>
      <c r="C72" s="151" t="s">
        <v>117</v>
      </c>
      <c r="D72" s="152" t="s">
        <v>112</v>
      </c>
      <c r="E72" s="152" t="s">
        <v>113</v>
      </c>
      <c r="F72" s="152" t="s">
        <v>117</v>
      </c>
      <c r="G72" s="152" t="s">
        <v>782</v>
      </c>
      <c r="H72" s="152" t="n">
        <v>63</v>
      </c>
      <c r="I72" s="152" t="s">
        <v>115</v>
      </c>
      <c r="J72" s="152" t="s">
        <v>6</v>
      </c>
      <c r="K72" s="152" t="s">
        <v>1547</v>
      </c>
      <c r="L72" s="152" t="s">
        <v>120</v>
      </c>
      <c r="M72" s="153" t="n">
        <f aca="false">43.36</f>
        <v>43.36</v>
      </c>
      <c r="N72" s="152" t="s">
        <v>1548</v>
      </c>
      <c r="O72" s="152" t="s">
        <v>1549</v>
      </c>
      <c r="P72" s="152" t="s">
        <v>1550</v>
      </c>
      <c r="Q72" s="152" t="s">
        <v>1551</v>
      </c>
      <c r="R72" s="154" t="s">
        <v>1801</v>
      </c>
      <c r="S72" s="154" t="s">
        <v>1553</v>
      </c>
      <c r="T72" s="155" t="s">
        <v>1746</v>
      </c>
      <c r="U72" s="152" t="str">
        <f aca="false">RIGHT(T72,7)</f>
        <v>003/037</v>
      </c>
      <c r="V72" s="152" t="s">
        <v>1555</v>
      </c>
      <c r="W72" s="156" t="n">
        <v>45882</v>
      </c>
      <c r="X72" s="152" t="s">
        <v>1556</v>
      </c>
      <c r="Y72" s="152" t="s">
        <v>1772</v>
      </c>
      <c r="Z72" s="152" t="s">
        <v>1557</v>
      </c>
      <c r="AA72" s="153" t="n">
        <v>2.3</v>
      </c>
      <c r="AB72" s="151" t="s">
        <v>1802</v>
      </c>
      <c r="AC72" s="151" t="s">
        <v>186</v>
      </c>
      <c r="AD72" s="151" t="str">
        <f aca="false">CONCATENATE($C72,$I72,$H72,$N72,$J72,$K72)</f>
        <v>TUBO PEADPEAD63VCAREDESZona01</v>
      </c>
      <c r="AE72" s="153" t="n">
        <f aca="false">IFERROR(INDEX(APOIO_REDES!$A:$W,MATCH($C72&amp;$I72&amp;$H72&amp;$N72&amp;$O72,APOIO_REDES!$W:$W,0),MATCH(AE$5,APOIO_REDES!$5:$5,0)),0)</f>
        <v>1.2</v>
      </c>
      <c r="AF72" s="153" t="n">
        <f aca="false">IFERROR(INDEX(APOIO_REDES!$A:$W,MATCH($C72&amp;$I72&amp;$H72&amp;$N72&amp;$O72,APOIO_REDES!$W:$W,0),MATCH(AF$5,APOIO_REDES!$5:$5,0)),0)</f>
        <v>1.363</v>
      </c>
      <c r="AG72" s="153" t="n">
        <f aca="false">IFERROR(INDEX(APOIO_REDES!$A:$W,MATCH($C72&amp;$I72&amp;$H72&amp;$N72&amp;$O72,APOIO_REDES!$W:$W,0),MATCH(AG$5,APOIO_REDES!$5:$5,0)),0)</f>
        <v>0.65</v>
      </c>
      <c r="AH72" s="153" t="n">
        <f aca="false">IFERROR(INDEX(APOIO_REDES!$A:$W,MATCH($C72&amp;$I72&amp;$H72&amp;$N72&amp;$O72,APOIO_REDES!$W:$W,0),MATCH(AH$5,APOIO_REDES!$5:$5,0)),0)</f>
        <v>0.1</v>
      </c>
      <c r="AI72" s="153" t="n">
        <f aca="false">IFERROR(IF($H72&lt;&gt;"",(((($H72/1000)/2)^2)*PI()*$M72),0),0)</f>
        <v>0.135163756664341</v>
      </c>
      <c r="AJ72" s="153" t="n">
        <f aca="false">IFERROR(IF(AND($H72&lt;&gt;"",$I72="FoFo",OR($N72="MND",$N72="VCA"),$Q72="LINEAR"),0,IF(AND($H72&lt;&gt;"",$I72="PEAD",$N72="VCA",$Q72="LINEAR"),($H72/1000)+0.3,IF(AND($H72&lt;&gt;"",$I72="PEAD",$N72="MND",$Q72="EMBOQUE"),0,IF(AND($H72&lt;&gt;"",$I72="PVC",$N72="VCA",$Q72="LINEAR"),($H72/1000)+0.2,IF(AND($H72&lt;&gt;"",$I72="PVC",$N72="MND",$Q72="EMBOQUE"),0,IF(AND($H72&lt;&gt;"",$I72="PEAD",$N72="VCA",$Q72="PREDIAL"),0,0)))))),0)</f>
        <v>0.363</v>
      </c>
      <c r="AK72" s="153" t="n">
        <f aca="false">IF(AA72&lt;&gt;"",AA72,0)</f>
        <v>2.3</v>
      </c>
      <c r="AL72" s="153" t="n">
        <f aca="false">IF(AND($N72="MND",$Q72="EMBOQUE"),$M72,IF(AND($N72="VCA",$Q72="LINEAR"),$M72,IF(AND($N72="VCA",$Q72="PREDIAL"),0,0)))</f>
        <v>43.36</v>
      </c>
      <c r="AM72" s="153" t="n">
        <f aca="false">IF(AND($N72="MND",$Q72="EMBOQUE"),$M72,IF(AND($N72="VCA",$Q72="LINEAR"),$M72,IF(AND($N72="VCA",$Q72="PREDIAL"),0,0)))</f>
        <v>43.36</v>
      </c>
      <c r="AN72" s="153" t="n">
        <f aca="false">ROUND(IF(AND($N72="VCA",$M72&lt;&gt;"",$Q72="LINEAR"),$M72/100,IF(AND($N72="MND",$M72&gt;100,$Q72="EMBOQUE"),$M72/100,0)),0)</f>
        <v>0</v>
      </c>
      <c r="AO72" s="153" t="n">
        <f aca="false">IF(AND($N72="MND",$Q72="EMBOQUE"),$AN72*2*2,IF(AND($N72="VCA",$Q72="LINEAR"),$M72*2,IF(AND($N72="VCA",$Q72="PREDIAL"),0,0)))</f>
        <v>86.72</v>
      </c>
      <c r="AP72" s="153" t="n">
        <f aca="false">IFERROR($M72*$AF72*$AG72,0)</f>
        <v>38.414792</v>
      </c>
      <c r="AQ72" s="153" t="n">
        <f aca="false">IFERROR(IF(AND($N72="VCA",$AH72&gt;0),$M72*$AG72*$AH72,0),0)</f>
        <v>2.8184</v>
      </c>
      <c r="AR72" s="153" t="n">
        <f aca="false">IFERROR(IF(AND($N72="VCA",$AJ72&gt;0),($M72*$AG72*$AJ72)-$AI72,0),0)</f>
        <v>10.0956282433357</v>
      </c>
      <c r="AS72" s="153" t="n">
        <f aca="false">IFERROR(IF(AND($N72="VCA",$AP72&gt;0),$AP72-$AI72-$AQ72-$AR72,0),0)</f>
        <v>25.3656</v>
      </c>
      <c r="AT72" s="153" t="n">
        <f aca="false">IFERROR(IF($N72="VCA",INDEX(APOIO_REDES!$A:$W,MATCH($C72&amp;$I72&amp;$H72&amp;$N72&amp;$O72,APOIO_REDES!$W:$W,0),MATCH(AT$5,APOIO_REDES!$5:$5,0)),0)*$AP72,0)</f>
        <v>0.417964307158042</v>
      </c>
      <c r="AU72" s="153" t="n">
        <f aca="false">IFERROR(IF($N72="VCA",INDEX(APOIO_REDES!$A:$W,MATCH($C72&amp;$I72&amp;$H72&amp;$N72&amp;$O72,APOIO_REDES!$W:$W,0),MATCH(AU$5,APOIO_REDES!$5:$5,0)),0)*$AP72,0)</f>
        <v>0.333774975787378</v>
      </c>
      <c r="AV72" s="153" t="n">
        <f aca="false">IFERROR(IF($N72="VCA",INDEX(APOIO_REDES!$A:$W,MATCH($C72&amp;$I72&amp;$H72&amp;$N72&amp;$O72,APOIO_REDES!$W:$W,0),MATCH(AV$5,APOIO_REDES!$5:$5,0)),0)*$AP72,0)</f>
        <v>0.0461918364126787</v>
      </c>
      <c r="AW72" s="153" t="n">
        <f aca="false">IFERROR(IF($N72="VCA",INDEX(APOIO_REDES!$A:$W,MATCH($C72&amp;$I72&amp;$H72&amp;$N72&amp;$O72,APOIO_REDES!$W:$W,0),MATCH(AW$5,APOIO_REDES!$5:$5,0)),0)*$AP72,0)</f>
        <v>26.3682108811331</v>
      </c>
      <c r="AX72" s="153" t="n">
        <f aca="false">IFERROR(IF($N72="VCA",INDEX(APOIO_REDES!$A:$W,MATCH($C72&amp;$I72&amp;$H72&amp;$N72&amp;$O72,APOIO_REDES!$W:$W,0),MATCH(AX$5,APOIO_REDES!$5:$5,0)),0)*$AP72,0)</f>
        <v>3.64928527467836</v>
      </c>
      <c r="AY72" s="153" t="n">
        <f aca="false">IFERROR(IF($N72="VCA",INDEX(APOIO_REDES!$A:$W,MATCH($C72&amp;$I72&amp;$H72&amp;$N72&amp;$O72,APOIO_REDES!$W:$W,0),MATCH(AY$5,APOIO_REDES!$5:$5,0)),0)*$AP72,0)</f>
        <v>6.67549544705765</v>
      </c>
      <c r="AZ72" s="153" t="n">
        <f aca="false">IFERROR(IF($N72="VCA",INDEX(APOIO_REDES!$A:$W,MATCH($C72&amp;$I72&amp;$H72&amp;$N72&amp;$O72,APOIO_REDES!$W:$W,0),MATCH(AZ$5,APOIO_REDES!$5:$5,0)),0)*$AP72,0)</f>
        <v>0.923869277772759</v>
      </c>
      <c r="BA72" s="153" t="n">
        <f aca="false">IFERROR(IF(AND($N72="VCA",$Q72="LINEAR"),INDEX(APOIO_REDES!$A:$W,MATCH($C72&amp;$I72&amp;$H72&amp;$N72&amp;$O72,APOIO_REDES!$W:$W,0),MATCH(BA$5,APOIO_REDES!$5:$5,0)),IF(AND($N72="MND",$Q72="EMBOQUE"),INDEX(APOIO_REDES!$A:$W,MATCH($C72&amp;$I72&amp;$H72&amp;$N72&amp;$O72,APOIO_REDES!$W:$W,0),MATCH(BA$5,APOIO_REDES!$5:$5,0)),0))*$M72/10,0)</f>
        <v>3.49470662785927</v>
      </c>
      <c r="BB72" s="153" t="n">
        <f aca="false">IFERROR(IF($N72="VCA",INDEX(APOIO_REDES!$A:$W,MATCH($C72&amp;$I72&amp;$H72&amp;$N72&amp;$O72,APOIO_REDES!$W:$W,0),MATCH(BB$5,APOIO_REDES!$5:$5,0)),0)*($AI72+$AQ72+$AR72),0)</f>
        <v>12.9072129286763</v>
      </c>
      <c r="BC72" s="153" t="n">
        <f aca="false">IFERROR(IF($N72="VCA",INDEX(APOIO_REDES!$A:$W,MATCH($C72&amp;$I72&amp;$H72&amp;$N72&amp;$O72,APOIO_REDES!$W:$W,0),MATCH(BC$5,APOIO_REDES!$5:$5,0)),0)*($AI72+$AQ72+$AR72),0)</f>
        <v>0.141979071323678</v>
      </c>
      <c r="BD72" s="153" t="n">
        <f aca="false">IF(AND($N72="VCA",$AF72&gt;=1.25,$AF72&lt;1.5),$M72*$AF72*2,0)</f>
        <v>118.19936</v>
      </c>
      <c r="BE72" s="153" t="n">
        <f aca="false">IF(AND($N72="VCA",$AF72&gt;=1.5,$AF72&lt;3),$M72*$AF72*2,0)</f>
        <v>0</v>
      </c>
      <c r="BF72" s="153" t="n">
        <f aca="false">IF(AND($N72="VCA",$AF72&gt;=3),$M72*$AF72*2,0)</f>
        <v>0</v>
      </c>
      <c r="BG72" s="153" t="n">
        <f aca="false">($BB72+$BC72)*$AK72</f>
        <v>30.0131416</v>
      </c>
      <c r="BH72" s="153" t="n">
        <f aca="false">IF(AND($M72&lt;&gt;"",$N72="VCA",$Q72="LINEAR"),($M72*2)/100,IF(AND($M72&lt;&gt;"",$N72="MND",$Q72="EMBOQUE"),($AN72*2)/100,0))</f>
        <v>0.8672</v>
      </c>
      <c r="BI72" s="153" t="n">
        <f aca="false">IF(AND($M72&lt;&gt;"",$N72="VCA",$Q72="LINEAR"),$M72,IF(AND($M72&lt;&gt;"",$N72="MND",$Q72="EMBOQUE"),$AN72*2,0))</f>
        <v>43.36</v>
      </c>
      <c r="BJ72" s="153" t="n">
        <f aca="false">IF(AND($M72&lt;&gt;"",$N72="VCA",$Q72="LINEAR"),($M72*6.8)/100,IF(AND($M72&lt;&gt;"",$N72="MND",$Q72="EMBOQUE"),($AN72*2*6.8)/100,0))</f>
        <v>2.94848</v>
      </c>
      <c r="BK72" s="153" t="n">
        <f aca="false">IF(AND($M72&lt;&gt;"",$N72="VCA",$Q72="LINEAR"),($M72*2.5)/50,IF(AND($M72&lt;&gt;"",$N72="MND",$Q72="EMBOQUE"),($AN72*2*2.5)/50,0))</f>
        <v>2.168</v>
      </c>
      <c r="BL72" s="157" t="str">
        <f aca="false">K72&amp;J72</f>
        <v>Zona01REDES</v>
      </c>
      <c r="BM72" s="152" t="s">
        <v>1559</v>
      </c>
      <c r="BN72" s="152" t="s">
        <v>1560</v>
      </c>
      <c r="BO72" s="152" t="s">
        <v>1748</v>
      </c>
      <c r="BP72" s="152" t="s">
        <v>1796</v>
      </c>
      <c r="BQ72" s="152" t="s">
        <v>1788</v>
      </c>
      <c r="BR72" s="152" t="s">
        <v>1803</v>
      </c>
      <c r="BS72" s="152" t="n">
        <v>203298.13</v>
      </c>
      <c r="BT72" s="152" t="n">
        <v>8238692.777</v>
      </c>
      <c r="BU72" s="152" t="n">
        <v>203272.484</v>
      </c>
      <c r="BV72" s="152" t="n">
        <v>8238657.818</v>
      </c>
      <c r="BW72" s="152" t="n">
        <v>-15.9134001</v>
      </c>
      <c r="BX72" s="152" t="n">
        <v>-47.7711376</v>
      </c>
      <c r="BY72" s="152" t="s">
        <v>1796</v>
      </c>
    </row>
    <row r="73" customFormat="false" ht="13.8" hidden="false" customHeight="false" outlineLevel="0" collapsed="false">
      <c r="A73" s="149" t="n">
        <f aca="false">IF(C73&lt;&gt;"",ROW(A68),"")</f>
        <v>68</v>
      </c>
      <c r="B73" s="150" t="str">
        <f aca="false">HYPERLINK("https://www.google.com/maps/dir/-15.917302,-47.760003/-15.9129259,-47.7707680/data=!4m3!4m2!3e0!5i2")</f>
        <v>https://www.google.com/maps/dir/-15.917302,-47.760003/-15.9129259,-47.7707680/data=!4m3!4m2!3e0!5i2</v>
      </c>
      <c r="C73" s="151" t="s">
        <v>117</v>
      </c>
      <c r="D73" s="152" t="s">
        <v>112</v>
      </c>
      <c r="E73" s="152" t="s">
        <v>113</v>
      </c>
      <c r="F73" s="152" t="s">
        <v>117</v>
      </c>
      <c r="G73" s="152" t="s">
        <v>782</v>
      </c>
      <c r="H73" s="152" t="n">
        <v>63</v>
      </c>
      <c r="I73" s="152" t="s">
        <v>115</v>
      </c>
      <c r="J73" s="152" t="s">
        <v>6</v>
      </c>
      <c r="K73" s="152" t="s">
        <v>1547</v>
      </c>
      <c r="L73" s="152" t="s">
        <v>120</v>
      </c>
      <c r="M73" s="153" t="n">
        <f aca="false">220.66</f>
        <v>220.66</v>
      </c>
      <c r="N73" s="152" t="s">
        <v>1548</v>
      </c>
      <c r="O73" s="152" t="s">
        <v>1549</v>
      </c>
      <c r="P73" s="152" t="s">
        <v>1550</v>
      </c>
      <c r="Q73" s="152" t="s">
        <v>1551</v>
      </c>
      <c r="R73" s="154" t="s">
        <v>1804</v>
      </c>
      <c r="S73" s="154" t="s">
        <v>1553</v>
      </c>
      <c r="T73" s="155" t="s">
        <v>1746</v>
      </c>
      <c r="U73" s="152" t="str">
        <f aca="false">RIGHT(T73,7)</f>
        <v>003/037</v>
      </c>
      <c r="V73" s="152" t="s">
        <v>1555</v>
      </c>
      <c r="W73" s="156" t="n">
        <v>45882</v>
      </c>
      <c r="X73" s="152" t="s">
        <v>1556</v>
      </c>
      <c r="Y73" s="152"/>
      <c r="Z73" s="152" t="s">
        <v>1557</v>
      </c>
      <c r="AA73" s="153" t="n">
        <v>2.3</v>
      </c>
      <c r="AB73" s="151" t="s">
        <v>1805</v>
      </c>
      <c r="AC73" s="151" t="s">
        <v>186</v>
      </c>
      <c r="AD73" s="151" t="str">
        <f aca="false">CONCATENATE($C73,$I73,$H73,$N73,$J73,$K73)</f>
        <v>TUBO PEADPEAD63VCAREDESZona01</v>
      </c>
      <c r="AE73" s="153" t="n">
        <f aca="false">IFERROR(INDEX(APOIO_REDES!$A:$W,MATCH($C73&amp;$I73&amp;$H73&amp;$N73&amp;$O73,APOIO_REDES!$W:$W,0),MATCH(AE$5,APOIO_REDES!$5:$5,0)),0)</f>
        <v>1.2</v>
      </c>
      <c r="AF73" s="153" t="n">
        <f aca="false">IFERROR(INDEX(APOIO_REDES!$A:$W,MATCH($C73&amp;$I73&amp;$H73&amp;$N73&amp;$O73,APOIO_REDES!$W:$W,0),MATCH(AF$5,APOIO_REDES!$5:$5,0)),0)</f>
        <v>1.363</v>
      </c>
      <c r="AG73" s="153" t="n">
        <f aca="false">IFERROR(INDEX(APOIO_REDES!$A:$W,MATCH($C73&amp;$I73&amp;$H73&amp;$N73&amp;$O73,APOIO_REDES!$W:$W,0),MATCH(AG$5,APOIO_REDES!$5:$5,0)),0)</f>
        <v>0.65</v>
      </c>
      <c r="AH73" s="153" t="n">
        <f aca="false">IFERROR(INDEX(APOIO_REDES!$A:$W,MATCH($C73&amp;$I73&amp;$H73&amp;$N73&amp;$O73,APOIO_REDES!$W:$W,0),MATCH(AH$5,APOIO_REDES!$5:$5,0)),0)</f>
        <v>0.1</v>
      </c>
      <c r="AI73" s="153" t="n">
        <f aca="false">IFERROR(IF($H73&lt;&gt;"",(((($H73/1000)/2)^2)*PI()*$M73),0),0)</f>
        <v>0.68785135022033</v>
      </c>
      <c r="AJ73" s="153" t="n">
        <f aca="false">IFERROR(IF(AND($H73&lt;&gt;"",$I73="FoFo",OR($N73="MND",$N73="VCA"),$Q73="LINEAR"),0,IF(AND($H73&lt;&gt;"",$I73="PEAD",$N73="VCA",$Q73="LINEAR"),($H73/1000)+0.3,IF(AND($H73&lt;&gt;"",$I73="PEAD",$N73="MND",$Q73="EMBOQUE"),0,IF(AND($H73&lt;&gt;"",$I73="PVC",$N73="VCA",$Q73="LINEAR"),($H73/1000)+0.2,IF(AND($H73&lt;&gt;"",$I73="PVC",$N73="MND",$Q73="EMBOQUE"),0,IF(AND($H73&lt;&gt;"",$I73="PEAD",$N73="VCA",$Q73="PREDIAL"),0,0)))))),0)</f>
        <v>0.363</v>
      </c>
      <c r="AK73" s="153" t="n">
        <f aca="false">IF(AA73&lt;&gt;"",AA73,0)</f>
        <v>2.3</v>
      </c>
      <c r="AL73" s="153" t="n">
        <f aca="false">IF(AND($N73="MND",$Q73="EMBOQUE"),$M73,IF(AND($N73="VCA",$Q73="LINEAR"),$M73,IF(AND($N73="VCA",$Q73="PREDIAL"),0,0)))</f>
        <v>220.66</v>
      </c>
      <c r="AM73" s="153" t="n">
        <f aca="false">IF(AND($N73="MND",$Q73="EMBOQUE"),$M73,IF(AND($N73="VCA",$Q73="LINEAR"),$M73,IF(AND($N73="VCA",$Q73="PREDIAL"),0,0)))</f>
        <v>220.66</v>
      </c>
      <c r="AN73" s="153" t="n">
        <f aca="false">ROUND(IF(AND($N73="VCA",$M73&lt;&gt;"",$Q73="LINEAR"),$M73/100,IF(AND($N73="MND",$M73&gt;100,$Q73="EMBOQUE"),$M73/100,0)),0)</f>
        <v>2</v>
      </c>
      <c r="AO73" s="153" t="n">
        <f aca="false">IF(AND($N73="MND",$Q73="EMBOQUE"),$AN73*2*2,IF(AND($N73="VCA",$Q73="LINEAR"),$M73*2,IF(AND($N73="VCA",$Q73="PREDIAL"),0,0)))</f>
        <v>441.32</v>
      </c>
      <c r="AP73" s="153" t="n">
        <f aca="false">IFERROR($M73*$AF73*$AG73,0)</f>
        <v>195.493727</v>
      </c>
      <c r="AQ73" s="153" t="n">
        <f aca="false">IFERROR(IF(AND($N73="VCA",$AH73&gt;0),$M73*$AG73*$AH73,0),0)</f>
        <v>14.3429</v>
      </c>
      <c r="AR73" s="153" t="n">
        <f aca="false">IFERROR(IF(AND($N73="VCA",$AJ73&gt;0),($M73*$AG73*$AJ73)-$AI73,0),0)</f>
        <v>51.3768756497797</v>
      </c>
      <c r="AS73" s="153" t="n">
        <f aca="false">IFERROR(IF(AND($N73="VCA",$AP73&gt;0),$AP73-$AI73-$AQ73-$AR73,0),0)</f>
        <v>129.0861</v>
      </c>
      <c r="AT73" s="153" t="n">
        <f aca="false">IFERROR(IF($N73="VCA",INDEX(APOIO_REDES!$A:$W,MATCH($C73&amp;$I73&amp;$H73&amp;$N73&amp;$O73,APOIO_REDES!$W:$W,0),MATCH(AT$5,APOIO_REDES!$5:$5,0)),0)*$AP73,0)</f>
        <v>2.12702961294957</v>
      </c>
      <c r="AU73" s="153" t="n">
        <f aca="false">IFERROR(IF($N73="VCA",INDEX(APOIO_REDES!$A:$W,MATCH($C73&amp;$I73&amp;$H73&amp;$N73&amp;$O73,APOIO_REDES!$W:$W,0),MATCH(AU$5,APOIO_REDES!$5:$5,0)),0)*$AP73,0)</f>
        <v>1.69858824163383</v>
      </c>
      <c r="AV73" s="153" t="n">
        <f aca="false">IFERROR(IF($N73="VCA",INDEX(APOIO_REDES!$A:$W,MATCH($C73&amp;$I73&amp;$H73&amp;$N73&amp;$O73,APOIO_REDES!$W:$W,0),MATCH(AV$5,APOIO_REDES!$5:$5,0)),0)*$AP73,0)</f>
        <v>0.235071278201607</v>
      </c>
      <c r="AW73" s="153" t="n">
        <f aca="false">IFERROR(IF($N73="VCA",INDEX(APOIO_REDES!$A:$W,MATCH($C73&amp;$I73&amp;$H73&amp;$N73&amp;$O73,APOIO_REDES!$W:$W,0),MATCH(AW$5,APOIO_REDES!$5:$5,0)),0)*$AP73,0)</f>
        <v>134.188408972113</v>
      </c>
      <c r="AX73" s="153" t="n">
        <f aca="false">IFERROR(IF($N73="VCA",INDEX(APOIO_REDES!$A:$W,MATCH($C73&amp;$I73&amp;$H73&amp;$N73&amp;$O73,APOIO_REDES!$W:$W,0),MATCH(AX$5,APOIO_REDES!$5:$5,0)),0)*$AP73,0)</f>
        <v>18.5712935588221</v>
      </c>
      <c r="AY73" s="153" t="n">
        <f aca="false">IFERROR(IF($N73="VCA",INDEX(APOIO_REDES!$A:$W,MATCH($C73&amp;$I73&amp;$H73&amp;$N73&amp;$O73,APOIO_REDES!$W:$W,0),MATCH(AY$5,APOIO_REDES!$5:$5,0)),0)*$AP73,0)</f>
        <v>33.9717441270236</v>
      </c>
      <c r="AZ73" s="153" t="n">
        <f aca="false">IFERROR(IF($N73="VCA",INDEX(APOIO_REDES!$A:$W,MATCH($C73&amp;$I73&amp;$H73&amp;$N73&amp;$O73,APOIO_REDES!$W:$W,0),MATCH(AZ$5,APOIO_REDES!$5:$5,0)),0)*$AP73,0)</f>
        <v>4.70159120925592</v>
      </c>
      <c r="BA73" s="153" t="n">
        <f aca="false">IFERROR(IF(AND($N73="VCA",$Q73="LINEAR"),INDEX(APOIO_REDES!$A:$W,MATCH($C73&amp;$I73&amp;$H73&amp;$N73&amp;$O73,APOIO_REDES!$W:$W,0),MATCH(BA$5,APOIO_REDES!$5:$5,0)),IF(AND($N73="MND",$Q73="EMBOQUE"),INDEX(APOIO_REDES!$A:$W,MATCH($C73&amp;$I73&amp;$H73&amp;$N73&amp;$O73,APOIO_REDES!$W:$W,0),MATCH(BA$5,APOIO_REDES!$5:$5,0)),0))*$M73/10,0)</f>
        <v>17.7846394027543</v>
      </c>
      <c r="BB73" s="153" t="n">
        <f aca="false">IFERROR(IF($N73="VCA",INDEX(APOIO_REDES!$A:$W,MATCH($C73&amp;$I73&amp;$H73&amp;$N73&amp;$O73,APOIO_REDES!$W:$W,0),MATCH(BB$5,APOIO_REDES!$5:$5,0)),0)*($AI73+$AQ73+$AR73),0)</f>
        <v>65.6850923625857</v>
      </c>
      <c r="BC73" s="153" t="n">
        <f aca="false">IFERROR(IF($N73="VCA",INDEX(APOIO_REDES!$A:$W,MATCH($C73&amp;$I73&amp;$H73&amp;$N73&amp;$O73,APOIO_REDES!$W:$W,0),MATCH(BC$5,APOIO_REDES!$5:$5,0)),0)*($AI73+$AQ73+$AR73),0)</f>
        <v>0.722534637414271</v>
      </c>
      <c r="BD73" s="153" t="n">
        <f aca="false">IF(AND($N73="VCA",$AF73&gt;=1.25,$AF73&lt;1.5),$M73*$AF73*2,0)</f>
        <v>601.51916</v>
      </c>
      <c r="BE73" s="153" t="n">
        <f aca="false">IF(AND($N73="VCA",$AF73&gt;=1.5,$AF73&lt;3),$M73*$AF73*2,0)</f>
        <v>0</v>
      </c>
      <c r="BF73" s="153" t="n">
        <f aca="false">IF(AND($N73="VCA",$AF73&gt;=3),$M73*$AF73*2,0)</f>
        <v>0</v>
      </c>
      <c r="BG73" s="153" t="n">
        <f aca="false">($BB73+$BC73)*$AK73</f>
        <v>152.7375421</v>
      </c>
      <c r="BH73" s="153" t="n">
        <f aca="false">IF(AND($M73&lt;&gt;"",$N73="VCA",$Q73="LINEAR"),($M73*2)/100,IF(AND($M73&lt;&gt;"",$N73="MND",$Q73="EMBOQUE"),($AN73*2)/100,0))</f>
        <v>4.4132</v>
      </c>
      <c r="BI73" s="153" t="n">
        <f aca="false">IF(AND($M73&lt;&gt;"",$N73="VCA",$Q73="LINEAR"),$M73,IF(AND($M73&lt;&gt;"",$N73="MND",$Q73="EMBOQUE"),$AN73*2,0))</f>
        <v>220.66</v>
      </c>
      <c r="BJ73" s="153" t="n">
        <f aca="false">IF(AND($M73&lt;&gt;"",$N73="VCA",$Q73="LINEAR"),($M73*6.8)/100,IF(AND($M73&lt;&gt;"",$N73="MND",$Q73="EMBOQUE"),($AN73*2*6.8)/100,0))</f>
        <v>15.00488</v>
      </c>
      <c r="BK73" s="153" t="n">
        <f aca="false">IF(AND($M73&lt;&gt;"",$N73="VCA",$Q73="LINEAR"),($M73*2.5)/50,IF(AND($M73&lt;&gt;"",$N73="MND",$Q73="EMBOQUE"),($AN73*2*2.5)/50,0))</f>
        <v>11.033</v>
      </c>
      <c r="BL73" s="157" t="str">
        <f aca="false">K73&amp;J73</f>
        <v>Zona01REDES</v>
      </c>
      <c r="BM73" s="152" t="s">
        <v>1559</v>
      </c>
      <c r="BN73" s="152" t="s">
        <v>1560</v>
      </c>
      <c r="BO73" s="152" t="s">
        <v>1748</v>
      </c>
      <c r="BP73" s="152" t="s">
        <v>1766</v>
      </c>
      <c r="BQ73" s="152" t="s">
        <v>1806</v>
      </c>
      <c r="BR73" s="152" t="s">
        <v>1807</v>
      </c>
      <c r="BS73" s="152" t="n">
        <v>203324.212</v>
      </c>
      <c r="BT73" s="152" t="n">
        <v>8238728.331</v>
      </c>
      <c r="BU73" s="152" t="n">
        <v>203499.297</v>
      </c>
      <c r="BV73" s="152" t="n">
        <v>8238594.092</v>
      </c>
      <c r="BW73" s="152" t="n">
        <v>-15.9135411</v>
      </c>
      <c r="BX73" s="152" t="n">
        <v>-47.7699584</v>
      </c>
      <c r="BY73" s="152" t="s">
        <v>1766</v>
      </c>
    </row>
    <row r="74" customFormat="false" ht="13.8" hidden="false" customHeight="false" outlineLevel="0" collapsed="false">
      <c r="A74" s="149" t="n">
        <f aca="false">IF(C74&lt;&gt;"",ROW(A69),"")</f>
        <v>69</v>
      </c>
      <c r="B74" s="150" t="str">
        <f aca="false">HYPERLINK("https://www.google.com/maps/dir/-15.917302,-47.760003/-15.9137328,-47.7718438/data=!4m3!4m2!3e0!5i0")</f>
        <v>https://www.google.com/maps/dir/-15.917302,-47.760003/-15.9137328,-47.7718438/data=!4m3!4m2!3e0!5i0</v>
      </c>
      <c r="C74" s="151" t="s">
        <v>117</v>
      </c>
      <c r="D74" s="152" t="s">
        <v>112</v>
      </c>
      <c r="E74" s="152" t="s">
        <v>113</v>
      </c>
      <c r="F74" s="152" t="s">
        <v>117</v>
      </c>
      <c r="G74" s="152" t="s">
        <v>782</v>
      </c>
      <c r="H74" s="152" t="n">
        <v>63</v>
      </c>
      <c r="I74" s="152" t="s">
        <v>115</v>
      </c>
      <c r="J74" s="152" t="s">
        <v>6</v>
      </c>
      <c r="K74" s="152" t="s">
        <v>1547</v>
      </c>
      <c r="L74" s="152" t="s">
        <v>120</v>
      </c>
      <c r="M74" s="153" t="n">
        <f aca="false">44.37</f>
        <v>44.37</v>
      </c>
      <c r="N74" s="152" t="s">
        <v>1548</v>
      </c>
      <c r="O74" s="152" t="s">
        <v>1549</v>
      </c>
      <c r="P74" s="152" t="s">
        <v>1550</v>
      </c>
      <c r="Q74" s="152" t="s">
        <v>1551</v>
      </c>
      <c r="R74" s="154" t="s">
        <v>1808</v>
      </c>
      <c r="S74" s="154" t="s">
        <v>1553</v>
      </c>
      <c r="T74" s="155" t="s">
        <v>1746</v>
      </c>
      <c r="U74" s="152" t="str">
        <f aca="false">RIGHT(T74,7)</f>
        <v>003/037</v>
      </c>
      <c r="V74" s="152" t="s">
        <v>1555</v>
      </c>
      <c r="W74" s="156" t="n">
        <v>45882</v>
      </c>
      <c r="X74" s="152" t="s">
        <v>1594</v>
      </c>
      <c r="Y74" s="152"/>
      <c r="Z74" s="152" t="s">
        <v>1557</v>
      </c>
      <c r="AA74" s="153" t="n">
        <v>2.5</v>
      </c>
      <c r="AB74" s="151" t="s">
        <v>1809</v>
      </c>
      <c r="AC74" s="151" t="s">
        <v>186</v>
      </c>
      <c r="AD74" s="151" t="str">
        <f aca="false">CONCATENATE($C74,$I74,$H74,$N74,$J74,$K74)</f>
        <v>TUBO PEADPEAD63VCAREDESZona01</v>
      </c>
      <c r="AE74" s="153" t="n">
        <f aca="false">IFERROR(INDEX(APOIO_REDES!$A:$W,MATCH($C74&amp;$I74&amp;$H74&amp;$N74&amp;$O74,APOIO_REDES!$W:$W,0),MATCH(AE$5,APOIO_REDES!$5:$5,0)),0)</f>
        <v>1.2</v>
      </c>
      <c r="AF74" s="153" t="n">
        <f aca="false">IFERROR(INDEX(APOIO_REDES!$A:$W,MATCH($C74&amp;$I74&amp;$H74&amp;$N74&amp;$O74,APOIO_REDES!$W:$W,0),MATCH(AF$5,APOIO_REDES!$5:$5,0)),0)</f>
        <v>1.363</v>
      </c>
      <c r="AG74" s="153" t="n">
        <f aca="false">IFERROR(INDEX(APOIO_REDES!$A:$W,MATCH($C74&amp;$I74&amp;$H74&amp;$N74&amp;$O74,APOIO_REDES!$W:$W,0),MATCH(AG$5,APOIO_REDES!$5:$5,0)),0)</f>
        <v>0.65</v>
      </c>
      <c r="AH74" s="153" t="n">
        <f aca="false">IFERROR(INDEX(APOIO_REDES!$A:$W,MATCH($C74&amp;$I74&amp;$H74&amp;$N74&amp;$O74,APOIO_REDES!$W:$W,0),MATCH(AH$5,APOIO_REDES!$5:$5,0)),0)</f>
        <v>0.1</v>
      </c>
      <c r="AI74" s="153" t="n">
        <f aca="false">IFERROR(IF($H74&lt;&gt;"",(((($H74/1000)/2)^2)*PI()*$M74),0),0)</f>
        <v>0.138312174427971</v>
      </c>
      <c r="AJ74" s="153" t="n">
        <f aca="false">IFERROR(IF(AND($H74&lt;&gt;"",$I74="FoFo",OR($N74="MND",$N74="VCA"),$Q74="LINEAR"),0,IF(AND($H74&lt;&gt;"",$I74="PEAD",$N74="VCA",$Q74="LINEAR"),($H74/1000)+0.3,IF(AND($H74&lt;&gt;"",$I74="PEAD",$N74="MND",$Q74="EMBOQUE"),0,IF(AND($H74&lt;&gt;"",$I74="PVC",$N74="VCA",$Q74="LINEAR"),($H74/1000)+0.2,IF(AND($H74&lt;&gt;"",$I74="PVC",$N74="MND",$Q74="EMBOQUE"),0,IF(AND($H74&lt;&gt;"",$I74="PEAD",$N74="VCA",$Q74="PREDIAL"),0,0)))))),0)</f>
        <v>0.363</v>
      </c>
      <c r="AK74" s="153" t="n">
        <f aca="false">IF(AA74&lt;&gt;"",AA74,0)</f>
        <v>2.5</v>
      </c>
      <c r="AL74" s="153" t="n">
        <f aca="false">IF(AND($N74="MND",$Q74="EMBOQUE"),$M74,IF(AND($N74="VCA",$Q74="LINEAR"),$M74,IF(AND($N74="VCA",$Q74="PREDIAL"),0,0)))</f>
        <v>44.37</v>
      </c>
      <c r="AM74" s="153" t="n">
        <f aca="false">IF(AND($N74="MND",$Q74="EMBOQUE"),$M74,IF(AND($N74="VCA",$Q74="LINEAR"),$M74,IF(AND($N74="VCA",$Q74="PREDIAL"),0,0)))</f>
        <v>44.37</v>
      </c>
      <c r="AN74" s="153" t="n">
        <f aca="false">ROUND(IF(AND($N74="VCA",$M74&lt;&gt;"",$Q74="LINEAR"),$M74/100,IF(AND($N74="MND",$M74&gt;100,$Q74="EMBOQUE"),$M74/100,0)),0)</f>
        <v>0</v>
      </c>
      <c r="AO74" s="153" t="n">
        <f aca="false">IF(AND($N74="MND",$Q74="EMBOQUE"),$AN74*2*2,IF(AND($N74="VCA",$Q74="LINEAR"),$M74*2,IF(AND($N74="VCA",$Q74="PREDIAL"),0,0)))</f>
        <v>88.74</v>
      </c>
      <c r="AP74" s="153" t="n">
        <f aca="false">IFERROR($M74*$AF74*$AG74,0)</f>
        <v>39.3096015</v>
      </c>
      <c r="AQ74" s="153" t="n">
        <f aca="false">IFERROR(IF(AND($N74="VCA",$AH74&gt;0),$M74*$AG74*$AH74,0),0)</f>
        <v>2.88405</v>
      </c>
      <c r="AR74" s="153" t="n">
        <f aca="false">IFERROR(IF(AND($N74="VCA",$AJ74&gt;0),($M74*$AG74*$AJ74)-$AI74,0),0)</f>
        <v>10.330789325572</v>
      </c>
      <c r="AS74" s="153" t="n">
        <f aca="false">IFERROR(IF(AND($N74="VCA",$AP74&gt;0),$AP74-$AI74-$AQ74-$AR74,0),0)</f>
        <v>25.95645</v>
      </c>
      <c r="AT74" s="153" t="n">
        <f aca="false">IFERROR(IF($N74="VCA",INDEX(APOIO_REDES!$A:$W,MATCH($C74&amp;$I74&amp;$H74&amp;$N74&amp;$O74,APOIO_REDES!$W:$W,0),MATCH(AT$5,APOIO_REDES!$5:$5,0)),0)*$AP74,0)</f>
        <v>0.427700099368134</v>
      </c>
      <c r="AU74" s="153" t="n">
        <f aca="false">IFERROR(IF($N74="VCA",INDEX(APOIO_REDES!$A:$W,MATCH($C74&amp;$I74&amp;$H74&amp;$N74&amp;$O74,APOIO_REDES!$W:$W,0),MATCH(AU$5,APOIO_REDES!$5:$5,0)),0)*$AP74,0)</f>
        <v>0.341549715767665</v>
      </c>
      <c r="AV74" s="153" t="n">
        <f aca="false">IFERROR(IF($N74="VCA",INDEX(APOIO_REDES!$A:$W,MATCH($C74&amp;$I74&amp;$H74&amp;$N74&amp;$O74,APOIO_REDES!$W:$W,0),MATCH(AV$5,APOIO_REDES!$5:$5,0)),0)*$AP74,0)</f>
        <v>0.0472677993918486</v>
      </c>
      <c r="AW74" s="153" t="n">
        <f aca="false">IFERROR(IF($N74="VCA",INDEX(APOIO_REDES!$A:$W,MATCH($C74&amp;$I74&amp;$H74&amp;$N74&amp;$O74,APOIO_REDES!$W:$W,0),MATCH(AW$5,APOIO_REDES!$5:$5,0)),0)*$AP74,0)</f>
        <v>26.9824150552555</v>
      </c>
      <c r="AX74" s="153" t="n">
        <f aca="false">IFERROR(IF($N74="VCA",INDEX(APOIO_REDES!$A:$W,MATCH($C74&amp;$I74&amp;$H74&amp;$N74&amp;$O74,APOIO_REDES!$W:$W,0),MATCH(AX$5,APOIO_REDES!$5:$5,0)),0)*$AP74,0)</f>
        <v>3.73428938278318</v>
      </c>
      <c r="AY74" s="153" t="n">
        <f aca="false">IFERROR(IF($N74="VCA",INDEX(APOIO_REDES!$A:$W,MATCH($C74&amp;$I74&amp;$H74&amp;$N74&amp;$O74,APOIO_REDES!$W:$W,0),MATCH(AY$5,APOIO_REDES!$5:$5,0)),0)*$AP74,0)</f>
        <v>6.83099015188995</v>
      </c>
      <c r="AZ74" s="153" t="n">
        <f aca="false">IFERROR(IF($N74="VCA",INDEX(APOIO_REDES!$A:$W,MATCH($C74&amp;$I74&amp;$H74&amp;$N74&amp;$O74,APOIO_REDES!$W:$W,0),MATCH(AZ$5,APOIO_REDES!$5:$5,0)),0)*$AP74,0)</f>
        <v>0.945389295543757</v>
      </c>
      <c r="BA74" s="153" t="n">
        <f aca="false">IFERROR(IF(AND($N74="VCA",$Q74="LINEAR"),INDEX(APOIO_REDES!$A:$W,MATCH($C74&amp;$I74&amp;$H74&amp;$N74&amp;$O74,APOIO_REDES!$W:$W,0),MATCH(BA$5,APOIO_REDES!$5:$5,0)),IF(AND($N74="MND",$Q74="EMBOQUE"),INDEX(APOIO_REDES!$A:$W,MATCH($C74&amp;$I74&amp;$H74&amp;$N74&amp;$O74,APOIO_REDES!$W:$W,0),MATCH(BA$5,APOIO_REDES!$5:$5,0)),0))*$M74/10,0)</f>
        <v>3.57611008021485</v>
      </c>
      <c r="BB74" s="153" t="n">
        <f aca="false">IFERROR(IF($N74="VCA",INDEX(APOIO_REDES!$A:$W,MATCH($C74&amp;$I74&amp;$H74&amp;$N74&amp;$O74,APOIO_REDES!$W:$W,0),MATCH(BB$5,APOIO_REDES!$5:$5,0)),0)*($AI74+$AQ74+$AR74),0)</f>
        <v>13.2078652593489</v>
      </c>
      <c r="BC74" s="153" t="n">
        <f aca="false">IFERROR(IF($N74="VCA",INDEX(APOIO_REDES!$A:$W,MATCH($C74&amp;$I74&amp;$H74&amp;$N74&amp;$O74,APOIO_REDES!$W:$W,0),MATCH(BC$5,APOIO_REDES!$5:$5,0)),0)*($AI74+$AQ74+$AR74),0)</f>
        <v>0.145286240651098</v>
      </c>
      <c r="BD74" s="153" t="n">
        <f aca="false">IF(AND($N74="VCA",$AF74&gt;=1.25,$AF74&lt;1.5),$M74*$AF74*2,0)</f>
        <v>120.95262</v>
      </c>
      <c r="BE74" s="153" t="n">
        <f aca="false">IF(AND($N74="VCA",$AF74&gt;=1.5,$AF74&lt;3),$M74*$AF74*2,0)</f>
        <v>0</v>
      </c>
      <c r="BF74" s="153" t="n">
        <f aca="false">IF(AND($N74="VCA",$AF74&gt;=3),$M74*$AF74*2,0)</f>
        <v>0</v>
      </c>
      <c r="BG74" s="153" t="n">
        <f aca="false">($BB74+$BC74)*$AK74</f>
        <v>33.38287875</v>
      </c>
      <c r="BH74" s="153" t="n">
        <f aca="false">IF(AND($M74&lt;&gt;"",$N74="VCA",$Q74="LINEAR"),($M74*2)/100,IF(AND($M74&lt;&gt;"",$N74="MND",$Q74="EMBOQUE"),($AN74*2)/100,0))</f>
        <v>0.8874</v>
      </c>
      <c r="BI74" s="153" t="n">
        <f aca="false">IF(AND($M74&lt;&gt;"",$N74="VCA",$Q74="LINEAR"),$M74,IF(AND($M74&lt;&gt;"",$N74="MND",$Q74="EMBOQUE"),$AN74*2,0))</f>
        <v>44.37</v>
      </c>
      <c r="BJ74" s="153" t="n">
        <f aca="false">IF(AND($M74&lt;&gt;"",$N74="VCA",$Q74="LINEAR"),($M74*6.8)/100,IF(AND($M74&lt;&gt;"",$N74="MND",$Q74="EMBOQUE"),($AN74*2*6.8)/100,0))</f>
        <v>3.01716</v>
      </c>
      <c r="BK74" s="153" t="n">
        <f aca="false">IF(AND($M74&lt;&gt;"",$N74="VCA",$Q74="LINEAR"),($M74*2.5)/50,IF(AND($M74&lt;&gt;"",$N74="MND",$Q74="EMBOQUE"),($AN74*2*2.5)/50,0))</f>
        <v>2.2185</v>
      </c>
      <c r="BL74" s="157" t="str">
        <f aca="false">K74&amp;J74</f>
        <v>Zona01REDES</v>
      </c>
      <c r="BM74" s="152" t="s">
        <v>1559</v>
      </c>
      <c r="BN74" s="152" t="s">
        <v>1560</v>
      </c>
      <c r="BO74" s="152" t="s">
        <v>1748</v>
      </c>
      <c r="BP74" s="152" t="s">
        <v>1810</v>
      </c>
      <c r="BQ74" s="152" t="s">
        <v>1811</v>
      </c>
      <c r="BR74" s="152" t="s">
        <v>1812</v>
      </c>
      <c r="BS74" s="152" t="n">
        <v>203210.134</v>
      </c>
      <c r="BT74" s="152" t="n">
        <v>8238637.453</v>
      </c>
      <c r="BU74" s="152" t="n">
        <v>203176.601</v>
      </c>
      <c r="BV74" s="152" t="n">
        <v>8238666.504</v>
      </c>
      <c r="BW74" s="152" t="n">
        <v>-15.9135993</v>
      </c>
      <c r="BX74" s="152" t="n">
        <v>-47.771998</v>
      </c>
      <c r="BY74" s="152" t="s">
        <v>1810</v>
      </c>
    </row>
    <row r="75" customFormat="false" ht="13.8" hidden="false" customHeight="false" outlineLevel="0" collapsed="false">
      <c r="A75" s="149" t="n">
        <f aca="false">IF(C75&lt;&gt;"",ROW(A70),"")</f>
        <v>70</v>
      </c>
      <c r="B75" s="150" t="str">
        <f aca="false">HYPERLINK("https://www.google.com/maps/dir/-15.917302,-47.760003/-15.9138216,-47.7689947/data=!4m3!4m2!3e0!5i0")</f>
        <v>https://www.google.com/maps/dir/-15.917302,-47.760003/-15.9138216,-47.7689947/data=!4m3!4m2!3e0!5i0</v>
      </c>
      <c r="C75" s="151" t="s">
        <v>117</v>
      </c>
      <c r="D75" s="152" t="s">
        <v>112</v>
      </c>
      <c r="E75" s="152" t="s">
        <v>113</v>
      </c>
      <c r="F75" s="152" t="s">
        <v>117</v>
      </c>
      <c r="G75" s="152" t="s">
        <v>114</v>
      </c>
      <c r="H75" s="152" t="n">
        <v>225</v>
      </c>
      <c r="I75" s="152" t="s">
        <v>115</v>
      </c>
      <c r="J75" s="152" t="s">
        <v>6</v>
      </c>
      <c r="K75" s="152" t="s">
        <v>1547</v>
      </c>
      <c r="L75" s="152" t="s">
        <v>120</v>
      </c>
      <c r="M75" s="153" t="n">
        <f aca="false">44.23</f>
        <v>44.23</v>
      </c>
      <c r="N75" s="152" t="s">
        <v>1548</v>
      </c>
      <c r="O75" s="152" t="s">
        <v>1549</v>
      </c>
      <c r="P75" s="152" t="s">
        <v>1550</v>
      </c>
      <c r="Q75" s="152" t="s">
        <v>1551</v>
      </c>
      <c r="R75" s="154" t="s">
        <v>1813</v>
      </c>
      <c r="S75" s="154" t="s">
        <v>1593</v>
      </c>
      <c r="T75" s="155" t="s">
        <v>1746</v>
      </c>
      <c r="U75" s="152" t="str">
        <f aca="false">RIGHT(T75,7)</f>
        <v>003/037</v>
      </c>
      <c r="V75" s="152" t="s">
        <v>1555</v>
      </c>
      <c r="W75" s="156" t="n">
        <v>45882</v>
      </c>
      <c r="X75" s="152" t="s">
        <v>1556</v>
      </c>
      <c r="Y75" s="152"/>
      <c r="Z75" s="152" t="s">
        <v>1557</v>
      </c>
      <c r="AA75" s="153" t="n">
        <v>2</v>
      </c>
      <c r="AB75" s="151" t="s">
        <v>1814</v>
      </c>
      <c r="AC75" s="151" t="s">
        <v>508</v>
      </c>
      <c r="AD75" s="151" t="str">
        <f aca="false">CONCATENATE($C75,$I75,$H75,$N75,$J75,$K75)</f>
        <v>TUBO PEADPEAD225VCAREDESZona01</v>
      </c>
      <c r="AE75" s="153" t="n">
        <f aca="false">IFERROR(INDEX(APOIO_REDES!$A:$W,MATCH($C75&amp;$I75&amp;$H75&amp;$N75&amp;$O75,APOIO_REDES!$W:$W,0),MATCH(AE$5,APOIO_REDES!$5:$5,0)),0)</f>
        <v>1.2</v>
      </c>
      <c r="AF75" s="153" t="n">
        <f aca="false">IFERROR(INDEX(APOIO_REDES!$A:$W,MATCH($C75&amp;$I75&amp;$H75&amp;$N75&amp;$O75,APOIO_REDES!$W:$W,0),MATCH(AF$5,APOIO_REDES!$5:$5,0)),0)</f>
        <v>1.525</v>
      </c>
      <c r="AG75" s="153" t="n">
        <f aca="false">IFERROR(INDEX(APOIO_REDES!$A:$W,MATCH($C75&amp;$I75&amp;$H75&amp;$N75&amp;$O75,APOIO_REDES!$W:$W,0),MATCH(AG$5,APOIO_REDES!$5:$5,0)),0)</f>
        <v>0.8</v>
      </c>
      <c r="AH75" s="153" t="n">
        <f aca="false">IFERROR(INDEX(APOIO_REDES!$A:$W,MATCH($C75&amp;$I75&amp;$H75&amp;$N75&amp;$O75,APOIO_REDES!$W:$W,0),MATCH(AH$5,APOIO_REDES!$5:$5,0)),0)</f>
        <v>0.1</v>
      </c>
      <c r="AI75" s="153" t="n">
        <f aca="false">IFERROR(IF($H75&lt;&gt;"",(((($H75/1000)/2)^2)*PI()*$M75),0),0)</f>
        <v>1.75861938883288</v>
      </c>
      <c r="AJ75" s="153" t="n">
        <f aca="false">IFERROR(IF(AND($H75&lt;&gt;"",$I75="FoFo",OR($N75="MND",$N75="VCA"),$Q75="LINEAR"),0,IF(AND($H75&lt;&gt;"",$I75="PEAD",$N75="VCA",$Q75="LINEAR"),($H75/1000)+0.3,IF(AND($H75&lt;&gt;"",$I75="PEAD",$N75="MND",$Q75="EMBOQUE"),0,IF(AND($H75&lt;&gt;"",$I75="PVC",$N75="VCA",$Q75="LINEAR"),($H75/1000)+0.2,IF(AND($H75&lt;&gt;"",$I75="PVC",$N75="MND",$Q75="EMBOQUE"),0,IF(AND($H75&lt;&gt;"",$I75="PEAD",$N75="VCA",$Q75="PREDIAL"),0,0)))))),0)</f>
        <v>0.525</v>
      </c>
      <c r="AK75" s="153" t="n">
        <f aca="false">IF(AA75&lt;&gt;"",AA75,0)</f>
        <v>2</v>
      </c>
      <c r="AL75" s="153" t="n">
        <f aca="false">IF(AND($N75="MND",$Q75="EMBOQUE"),$M75,IF(AND($N75="VCA",$Q75="LINEAR"),$M75,IF(AND($N75="VCA",$Q75="PREDIAL"),0,0)))</f>
        <v>44.23</v>
      </c>
      <c r="AM75" s="153" t="n">
        <f aca="false">IF(AND($N75="MND",$Q75="EMBOQUE"),$M75,IF(AND($N75="VCA",$Q75="LINEAR"),$M75,IF(AND($N75="VCA",$Q75="PREDIAL"),0,0)))</f>
        <v>44.23</v>
      </c>
      <c r="AN75" s="153" t="n">
        <f aca="false">ROUND(IF(AND($N75="VCA",$M75&lt;&gt;"",$Q75="LINEAR"),$M75/100,IF(AND($N75="MND",$M75&gt;100,$Q75="EMBOQUE"),$M75/100,0)),0)</f>
        <v>0</v>
      </c>
      <c r="AO75" s="153" t="n">
        <f aca="false">IF(AND($N75="MND",$Q75="EMBOQUE"),$AN75*2*2,IF(AND($N75="VCA",$Q75="LINEAR"),$M75*2,IF(AND($N75="VCA",$Q75="PREDIAL"),0,0)))</f>
        <v>88.46</v>
      </c>
      <c r="AP75" s="153" t="n">
        <f aca="false">IFERROR($M75*$AF75*$AG75,0)</f>
        <v>53.9606</v>
      </c>
      <c r="AQ75" s="153" t="n">
        <f aca="false">IFERROR(IF(AND($N75="VCA",$AH75&gt;0),$M75*$AG75*$AH75,0),0)</f>
        <v>3.5384</v>
      </c>
      <c r="AR75" s="153" t="n">
        <f aca="false">IFERROR(IF(AND($N75="VCA",$AJ75&gt;0),($M75*$AG75*$AJ75)-$AI75,0),0)</f>
        <v>16.8179806111671</v>
      </c>
      <c r="AS75" s="153" t="n">
        <f aca="false">IFERROR(IF(AND($N75="VCA",$AP75&gt;0),$AP75-$AI75-$AQ75-$AR75,0),0)</f>
        <v>31.8456</v>
      </c>
      <c r="AT75" s="153" t="n">
        <f aca="false">IFERROR(IF($N75="VCA",INDEX(APOIO_REDES!$A:$W,MATCH($C75&amp;$I75&amp;$H75&amp;$N75&amp;$O75,APOIO_REDES!$W:$W,0),MATCH(AT$5,APOIO_REDES!$5:$5,0)),0)*$AP75,0)</f>
        <v>0.587107299522335</v>
      </c>
      <c r="AU75" s="153" t="n">
        <f aca="false">IFERROR(IF($N75="VCA",INDEX(APOIO_REDES!$A:$W,MATCH($C75&amp;$I75&amp;$H75&amp;$N75&amp;$O75,APOIO_REDES!$W:$W,0),MATCH(AU$5,APOIO_REDES!$5:$5,0)),0)*$AP75,0)</f>
        <v>0.468847988516308</v>
      </c>
      <c r="AV75" s="153" t="n">
        <f aca="false">IFERROR(IF($N75="VCA",INDEX(APOIO_REDES!$A:$W,MATCH($C75&amp;$I75&amp;$H75&amp;$N75&amp;$O75,APOIO_REDES!$W:$W,0),MATCH(AV$5,APOIO_REDES!$5:$5,0)),0)*$AP75,0)</f>
        <v>0.0648848810096379</v>
      </c>
      <c r="AW75" s="153" t="n">
        <f aca="false">IFERROR(IF($N75="VCA",INDEX(APOIO_REDES!$A:$W,MATCH($C75&amp;$I75&amp;$H75&amp;$N75&amp;$O75,APOIO_REDES!$W:$W,0),MATCH(AW$5,APOIO_REDES!$5:$5,0)),0)*$AP75,0)</f>
        <v>37.0389739471314</v>
      </c>
      <c r="AX75" s="153" t="n">
        <f aca="false">IFERROR(IF($N75="VCA",INDEX(APOIO_REDES!$A:$W,MATCH($C75&amp;$I75&amp;$H75&amp;$N75&amp;$O75,APOIO_REDES!$W:$W,0),MATCH(AX$5,APOIO_REDES!$5:$5,0)),0)*$AP75,0)</f>
        <v>5.12608848676856</v>
      </c>
      <c r="AY75" s="153" t="n">
        <f aca="false">IFERROR(IF($N75="VCA",INDEX(APOIO_REDES!$A:$W,MATCH($C75&amp;$I75&amp;$H75&amp;$N75&amp;$O75,APOIO_REDES!$W:$W,0),MATCH(AY$5,APOIO_REDES!$5:$5,0)),0)*$AP75,0)</f>
        <v>9.37695405510719</v>
      </c>
      <c r="AZ75" s="153" t="n">
        <f aca="false">IFERROR(IF($N75="VCA",INDEX(APOIO_REDES!$A:$W,MATCH($C75&amp;$I75&amp;$H75&amp;$N75&amp;$O75,APOIO_REDES!$W:$W,0),MATCH(AZ$5,APOIO_REDES!$5:$5,0)),0)*$AP75,0)</f>
        <v>1.29774334194455</v>
      </c>
      <c r="BA75" s="153" t="n">
        <f aca="false">IFERROR(IF(AND($N75="VCA",$Q75="LINEAR"),INDEX(APOIO_REDES!$A:$W,MATCH($C75&amp;$I75&amp;$H75&amp;$N75&amp;$O75,APOIO_REDES!$W:$W,0),MATCH(BA$5,APOIO_REDES!$5:$5,0)),IF(AND($N75="MND",$Q75="EMBOQUE"),INDEX(APOIO_REDES!$A:$W,MATCH($C75&amp;$I75&amp;$H75&amp;$N75&amp;$O75,APOIO_REDES!$W:$W,0),MATCH(BA$5,APOIO_REDES!$5:$5,0)),0))*$M75/10,0)</f>
        <v>3.56482643335368</v>
      </c>
      <c r="BB75" s="153" t="n">
        <f aca="false">IFERROR(IF($N75="VCA",INDEX(APOIO_REDES!$A:$W,MATCH($C75&amp;$I75&amp;$H75&amp;$N75&amp;$O75,APOIO_REDES!$W:$W,0),MATCH(BB$5,APOIO_REDES!$5:$5,0)),0)*($AI75+$AQ75+$AR75),0)</f>
        <v>21.8743822542941</v>
      </c>
      <c r="BC75" s="153" t="n">
        <f aca="false">IFERROR(IF($N75="VCA",INDEX(APOIO_REDES!$A:$W,MATCH($C75&amp;$I75&amp;$H75&amp;$N75&amp;$O75,APOIO_REDES!$W:$W,0),MATCH(BC$5,APOIO_REDES!$5:$5,0)),0)*($AI75+$AQ75+$AR75),0)</f>
        <v>0.240617745705875</v>
      </c>
      <c r="BD75" s="153" t="n">
        <f aca="false">IF(AND($N75="VCA",$AF75&gt;=1.25,$AF75&lt;1.5),$M75*$AF75*2,0)</f>
        <v>0</v>
      </c>
      <c r="BE75" s="153" t="n">
        <f aca="false">IF(AND($N75="VCA",$AF75&gt;=1.5,$AF75&lt;3),$M75*$AF75*2,0)</f>
        <v>134.9015</v>
      </c>
      <c r="BF75" s="153" t="n">
        <f aca="false">IF(AND($N75="VCA",$AF75&gt;=3),$M75*$AF75*2,0)</f>
        <v>0</v>
      </c>
      <c r="BG75" s="153" t="n">
        <f aca="false">($BB75+$BC75)*$AK75</f>
        <v>44.23</v>
      </c>
      <c r="BH75" s="153" t="n">
        <f aca="false">IF(AND($M75&lt;&gt;"",$N75="VCA",$Q75="LINEAR"),($M75*2)/100,IF(AND($M75&lt;&gt;"",$N75="MND",$Q75="EMBOQUE"),($AN75*2)/100,0))</f>
        <v>0.8846</v>
      </c>
      <c r="BI75" s="153" t="n">
        <f aca="false">IF(AND($M75&lt;&gt;"",$N75="VCA",$Q75="LINEAR"),$M75,IF(AND($M75&lt;&gt;"",$N75="MND",$Q75="EMBOQUE"),$AN75*2,0))</f>
        <v>44.23</v>
      </c>
      <c r="BJ75" s="153" t="n">
        <f aca="false">IF(AND($M75&lt;&gt;"",$N75="VCA",$Q75="LINEAR"),($M75*6.8)/100,IF(AND($M75&lt;&gt;"",$N75="MND",$Q75="EMBOQUE"),($AN75*2*6.8)/100,0))</f>
        <v>3.00764</v>
      </c>
      <c r="BK75" s="153" t="n">
        <f aca="false">IF(AND($M75&lt;&gt;"",$N75="VCA",$Q75="LINEAR"),($M75*2.5)/50,IF(AND($M75&lt;&gt;"",$N75="MND",$Q75="EMBOQUE"),($AN75*2*2.5)/50,0))</f>
        <v>2.2115</v>
      </c>
      <c r="BL75" s="157" t="str">
        <f aca="false">K75&amp;J75</f>
        <v>Zona01REDES</v>
      </c>
      <c r="BM75" s="152" t="s">
        <v>1559</v>
      </c>
      <c r="BN75" s="152" t="s">
        <v>1560</v>
      </c>
      <c r="BO75" s="152" t="s">
        <v>1748</v>
      </c>
      <c r="BP75" s="152" t="s">
        <v>1792</v>
      </c>
      <c r="BQ75" s="152" t="s">
        <v>1778</v>
      </c>
      <c r="BR75" s="152" t="s">
        <v>1815</v>
      </c>
      <c r="BS75" s="152" t="n">
        <v>203515.523</v>
      </c>
      <c r="BT75" s="152" t="n">
        <v>8238631.681</v>
      </c>
      <c r="BU75" s="152" t="n">
        <v>203533.809</v>
      </c>
      <c r="BV75" s="152" t="n">
        <v>8238671.833</v>
      </c>
      <c r="BW75" s="152" t="n">
        <v>-15.9136392</v>
      </c>
      <c r="BX75" s="152" t="n">
        <v>-47.7689105</v>
      </c>
      <c r="BY75" s="152" t="s">
        <v>1792</v>
      </c>
    </row>
    <row r="76" customFormat="false" ht="13.8" hidden="false" customHeight="false" outlineLevel="0" collapsed="false">
      <c r="A76" s="149" t="n">
        <f aca="false">IF(C76&lt;&gt;"",ROW(A71),"")</f>
        <v>71</v>
      </c>
      <c r="B76" s="150" t="str">
        <f aca="false">HYPERLINK("https://www.google.com/maps/dir/-15.917302,-47.760003/-15.9140329,-47.7726304/data=!4m3!4m2!3e0!5i0")</f>
        <v>https://www.google.com/maps/dir/-15.917302,-47.760003/-15.9140329,-47.7726304/data=!4m3!4m2!3e0!5i0</v>
      </c>
      <c r="C76" s="151" t="s">
        <v>117</v>
      </c>
      <c r="D76" s="152" t="s">
        <v>112</v>
      </c>
      <c r="E76" s="152" t="s">
        <v>113</v>
      </c>
      <c r="F76" s="152" t="s">
        <v>117</v>
      </c>
      <c r="G76" s="152" t="s">
        <v>782</v>
      </c>
      <c r="H76" s="152" t="n">
        <v>63</v>
      </c>
      <c r="I76" s="152" t="s">
        <v>115</v>
      </c>
      <c r="J76" s="152" t="s">
        <v>6</v>
      </c>
      <c r="K76" s="152" t="s">
        <v>1547</v>
      </c>
      <c r="L76" s="152" t="s">
        <v>120</v>
      </c>
      <c r="M76" s="153" t="n">
        <f aca="false">80.93</f>
        <v>80.93</v>
      </c>
      <c r="N76" s="152" t="s">
        <v>1548</v>
      </c>
      <c r="O76" s="152" t="s">
        <v>1549</v>
      </c>
      <c r="P76" s="152" t="s">
        <v>1550</v>
      </c>
      <c r="Q76" s="152" t="s">
        <v>1551</v>
      </c>
      <c r="R76" s="154" t="s">
        <v>1816</v>
      </c>
      <c r="S76" s="154" t="s">
        <v>1553</v>
      </c>
      <c r="T76" s="155" t="s">
        <v>1746</v>
      </c>
      <c r="U76" s="152" t="str">
        <f aca="false">RIGHT(T76,7)</f>
        <v>003/037</v>
      </c>
      <c r="V76" s="152" t="s">
        <v>1555</v>
      </c>
      <c r="W76" s="156" t="n">
        <v>45882</v>
      </c>
      <c r="X76" s="152" t="s">
        <v>1594</v>
      </c>
      <c r="Y76" s="152"/>
      <c r="Z76" s="152" t="s">
        <v>1557</v>
      </c>
      <c r="AA76" s="153" t="n">
        <v>2.6</v>
      </c>
      <c r="AB76" s="151" t="s">
        <v>1817</v>
      </c>
      <c r="AC76" s="151" t="s">
        <v>186</v>
      </c>
      <c r="AD76" s="151" t="str">
        <f aca="false">CONCATENATE($C76,$I76,$H76,$N76,$J76,$K76)</f>
        <v>TUBO PEADPEAD63VCAREDESZona01</v>
      </c>
      <c r="AE76" s="153" t="n">
        <f aca="false">IFERROR(INDEX(APOIO_REDES!$A:$W,MATCH($C76&amp;$I76&amp;$H76&amp;$N76&amp;$O76,APOIO_REDES!$W:$W,0),MATCH(AE$5,APOIO_REDES!$5:$5,0)),0)</f>
        <v>1.2</v>
      </c>
      <c r="AF76" s="153" t="n">
        <f aca="false">IFERROR(INDEX(APOIO_REDES!$A:$W,MATCH($C76&amp;$I76&amp;$H76&amp;$N76&amp;$O76,APOIO_REDES!$W:$W,0),MATCH(AF$5,APOIO_REDES!$5:$5,0)),0)</f>
        <v>1.363</v>
      </c>
      <c r="AG76" s="153" t="n">
        <f aca="false">IFERROR(INDEX(APOIO_REDES!$A:$W,MATCH($C76&amp;$I76&amp;$H76&amp;$N76&amp;$O76,APOIO_REDES!$W:$W,0),MATCH(AG$5,APOIO_REDES!$5:$5,0)),0)</f>
        <v>0.65</v>
      </c>
      <c r="AH76" s="153" t="n">
        <f aca="false">IFERROR(INDEX(APOIO_REDES!$A:$W,MATCH($C76&amp;$I76&amp;$H76&amp;$N76&amp;$O76,APOIO_REDES!$W:$W,0),MATCH(AH$5,APOIO_REDES!$5:$5,0)),0)</f>
        <v>0.1</v>
      </c>
      <c r="AI76" s="153" t="n">
        <f aca="false">IFERROR(IF($H76&lt;&gt;"",(((($H76/1000)/2)^2)*PI()*$M76),0),0)</f>
        <v>0.252278662980746</v>
      </c>
      <c r="AJ76" s="153" t="n">
        <f aca="false">IFERROR(IF(AND($H76&lt;&gt;"",$I76="FoFo",OR($N76="MND",$N76="VCA"),$Q76="LINEAR"),0,IF(AND($H76&lt;&gt;"",$I76="PEAD",$N76="VCA",$Q76="LINEAR"),($H76/1000)+0.3,IF(AND($H76&lt;&gt;"",$I76="PEAD",$N76="MND",$Q76="EMBOQUE"),0,IF(AND($H76&lt;&gt;"",$I76="PVC",$N76="VCA",$Q76="LINEAR"),($H76/1000)+0.2,IF(AND($H76&lt;&gt;"",$I76="PVC",$N76="MND",$Q76="EMBOQUE"),0,IF(AND($H76&lt;&gt;"",$I76="PEAD",$N76="VCA",$Q76="PREDIAL"),0,0)))))),0)</f>
        <v>0.363</v>
      </c>
      <c r="AK76" s="153" t="n">
        <f aca="false">IF(AA76&lt;&gt;"",AA76,0)</f>
        <v>2.6</v>
      </c>
      <c r="AL76" s="153" t="n">
        <f aca="false">IF(AND($N76="MND",$Q76="EMBOQUE"),$M76,IF(AND($N76="VCA",$Q76="LINEAR"),$M76,IF(AND($N76="VCA",$Q76="PREDIAL"),0,0)))</f>
        <v>80.93</v>
      </c>
      <c r="AM76" s="153" t="n">
        <f aca="false">IF(AND($N76="MND",$Q76="EMBOQUE"),$M76,IF(AND($N76="VCA",$Q76="LINEAR"),$M76,IF(AND($N76="VCA",$Q76="PREDIAL"),0,0)))</f>
        <v>80.93</v>
      </c>
      <c r="AN76" s="153" t="n">
        <f aca="false">ROUND(IF(AND($N76="VCA",$M76&lt;&gt;"",$Q76="LINEAR"),$M76/100,IF(AND($N76="MND",$M76&gt;100,$Q76="EMBOQUE"),$M76/100,0)),0)</f>
        <v>1</v>
      </c>
      <c r="AO76" s="153" t="n">
        <f aca="false">IF(AND($N76="MND",$Q76="EMBOQUE"),$AN76*2*2,IF(AND($N76="VCA",$Q76="LINEAR"),$M76*2,IF(AND($N76="VCA",$Q76="PREDIAL"),0,0)))</f>
        <v>161.86</v>
      </c>
      <c r="AP76" s="153" t="n">
        <f aca="false">IFERROR($M76*$AF76*$AG76,0)</f>
        <v>71.6999335</v>
      </c>
      <c r="AQ76" s="153" t="n">
        <f aca="false">IFERROR(IF(AND($N76="VCA",$AH76&gt;0),$M76*$AG76*$AH76,0),0)</f>
        <v>5.26045</v>
      </c>
      <c r="AR76" s="153" t="n">
        <f aca="false">IFERROR(IF(AND($N76="VCA",$AJ76&gt;0),($M76*$AG76*$AJ76)-$AI76,0),0)</f>
        <v>18.8431548370193</v>
      </c>
      <c r="AS76" s="153" t="n">
        <f aca="false">IFERROR(IF(AND($N76="VCA",$AP76&gt;0),$AP76-$AI76-$AQ76-$AR76,0),0)</f>
        <v>47.34405</v>
      </c>
      <c r="AT76" s="153" t="n">
        <f aca="false">IFERROR(IF($N76="VCA",INDEX(APOIO_REDES!$A:$W,MATCH($C76&amp;$I76&amp;$H76&amp;$N76&amp;$O76,APOIO_REDES!$W:$W,0),MATCH(AT$5,APOIO_REDES!$5:$5,0)),0)*$AP76,0)</f>
        <v>0.780116498577037</v>
      </c>
      <c r="AU76" s="153" t="n">
        <f aca="false">IFERROR(IF($N76="VCA",INDEX(APOIO_REDES!$A:$W,MATCH($C76&amp;$I76&amp;$H76&amp;$N76&amp;$O76,APOIO_REDES!$W:$W,0),MATCH(AU$5,APOIO_REDES!$5:$5,0)),0)*$AP76,0)</f>
        <v>0.622979907529347</v>
      </c>
      <c r="AV76" s="153" t="n">
        <f aca="false">IFERROR(IF($N76="VCA",INDEX(APOIO_REDES!$A:$W,MATCH($C76&amp;$I76&amp;$H76&amp;$N76&amp;$O76,APOIO_REDES!$W:$W,0),MATCH(AV$5,APOIO_REDES!$5:$5,0)),0)*$AP76,0)</f>
        <v>0.0862155286180371</v>
      </c>
      <c r="AW76" s="153" t="n">
        <f aca="false">IFERROR(IF($N76="VCA",INDEX(APOIO_REDES!$A:$W,MATCH($C76&amp;$I76&amp;$H76&amp;$N76&amp;$O76,APOIO_REDES!$W:$W,0),MATCH(AW$5,APOIO_REDES!$5:$5,0)),0)*$AP76,0)</f>
        <v>49.2153899125947</v>
      </c>
      <c r="AX76" s="153" t="n">
        <f aca="false">IFERROR(IF($N76="VCA",INDEX(APOIO_REDES!$A:$W,MATCH($C76&amp;$I76&amp;$H76&amp;$N76&amp;$O76,APOIO_REDES!$W:$W,0),MATCH(AX$5,APOIO_REDES!$5:$5,0)),0)*$AP76,0)</f>
        <v>6.81126977121124</v>
      </c>
      <c r="AY76" s="153" t="n">
        <f aca="false">IFERROR(IF($N76="VCA",INDEX(APOIO_REDES!$A:$W,MATCH($C76&amp;$I76&amp;$H76&amp;$N76&amp;$O76,APOIO_REDES!$W:$W,0),MATCH(AY$5,APOIO_REDES!$5:$5,0)),0)*$AP76,0)</f>
        <v>12.4595905565124</v>
      </c>
      <c r="AZ76" s="153" t="n">
        <f aca="false">IFERROR(IF($N76="VCA",INDEX(APOIO_REDES!$A:$W,MATCH($C76&amp;$I76&amp;$H76&amp;$N76&amp;$O76,APOIO_REDES!$W:$W,0),MATCH(AZ$5,APOIO_REDES!$5:$5,0)),0)*$AP76,0)</f>
        <v>1.72437132495732</v>
      </c>
      <c r="BA76" s="153" t="n">
        <f aca="false">IFERROR(IF(AND($N76="VCA",$Q76="LINEAR"),INDEX(APOIO_REDES!$A:$W,MATCH($C76&amp;$I76&amp;$H76&amp;$N76&amp;$O76,APOIO_REDES!$W:$W,0),MATCH(BA$5,APOIO_REDES!$5:$5,0)),IF(AND($N76="MND",$Q76="EMBOQUE"),INDEX(APOIO_REDES!$A:$W,MATCH($C76&amp;$I76&amp;$H76&amp;$N76&amp;$O76,APOIO_REDES!$W:$W,0),MATCH(BA$5,APOIO_REDES!$5:$5,0)),0))*$M76/10,0)</f>
        <v>6.52275386053162</v>
      </c>
      <c r="BB76" s="153" t="n">
        <f aca="false">IFERROR(IF($N76="VCA",INDEX(APOIO_REDES!$A:$W,MATCH($C76&amp;$I76&amp;$H76&amp;$N76&amp;$O76,APOIO_REDES!$W:$W,0),MATCH(BB$5,APOIO_REDES!$5:$5,0)),0)*($AI76+$AQ76+$AR76),0)</f>
        <v>24.0908842785465</v>
      </c>
      <c r="BC76" s="153" t="n">
        <f aca="false">IFERROR(IF($N76="VCA",INDEX(APOIO_REDES!$A:$W,MATCH($C76&amp;$I76&amp;$H76&amp;$N76&amp;$O76,APOIO_REDES!$W:$W,0),MATCH(BC$5,APOIO_REDES!$5:$5,0)),0)*($AI76+$AQ76+$AR76),0)</f>
        <v>0.264999221453535</v>
      </c>
      <c r="BD76" s="153" t="n">
        <f aca="false">IF(AND($N76="VCA",$AF76&gt;=1.25,$AF76&lt;1.5),$M76*$AF76*2,0)</f>
        <v>220.61518</v>
      </c>
      <c r="BE76" s="153" t="n">
        <f aca="false">IF(AND($N76="VCA",$AF76&gt;=1.5,$AF76&lt;3),$M76*$AF76*2,0)</f>
        <v>0</v>
      </c>
      <c r="BF76" s="153" t="n">
        <f aca="false">IF(AND($N76="VCA",$AF76&gt;=3),$M76*$AF76*2,0)</f>
        <v>0</v>
      </c>
      <c r="BG76" s="153" t="n">
        <f aca="false">($BB76+$BC76)*$AK76</f>
        <v>63.3252971</v>
      </c>
      <c r="BH76" s="153" t="n">
        <f aca="false">IF(AND($M76&lt;&gt;"",$N76="VCA",$Q76="LINEAR"),($M76*2)/100,IF(AND($M76&lt;&gt;"",$N76="MND",$Q76="EMBOQUE"),($AN76*2)/100,0))</f>
        <v>1.6186</v>
      </c>
      <c r="BI76" s="153" t="n">
        <f aca="false">IF(AND($M76&lt;&gt;"",$N76="VCA",$Q76="LINEAR"),$M76,IF(AND($M76&lt;&gt;"",$N76="MND",$Q76="EMBOQUE"),$AN76*2,0))</f>
        <v>80.93</v>
      </c>
      <c r="BJ76" s="153" t="n">
        <f aca="false">IF(AND($M76&lt;&gt;"",$N76="VCA",$Q76="LINEAR"),($M76*6.8)/100,IF(AND($M76&lt;&gt;"",$N76="MND",$Q76="EMBOQUE"),($AN76*2*6.8)/100,0))</f>
        <v>5.50324</v>
      </c>
      <c r="BK76" s="153" t="n">
        <f aca="false">IF(AND($M76&lt;&gt;"",$N76="VCA",$Q76="LINEAR"),($M76*2.5)/50,IF(AND($M76&lt;&gt;"",$N76="MND",$Q76="EMBOQUE"),($AN76*2*2.5)/50,0))</f>
        <v>4.0465</v>
      </c>
      <c r="BL76" s="157" t="str">
        <f aca="false">K76&amp;J76</f>
        <v>Zona01REDES</v>
      </c>
      <c r="BM76" s="152" t="s">
        <v>1559</v>
      </c>
      <c r="BN76" s="152" t="s">
        <v>1560</v>
      </c>
      <c r="BO76" s="152" t="s">
        <v>1748</v>
      </c>
      <c r="BP76" s="152" t="s">
        <v>1818</v>
      </c>
      <c r="BQ76" s="152" t="s">
        <v>1811</v>
      </c>
      <c r="BR76" s="152" t="s">
        <v>1819</v>
      </c>
      <c r="BS76" s="152" t="n">
        <v>203126.284</v>
      </c>
      <c r="BT76" s="152" t="n">
        <v>8238603.116</v>
      </c>
      <c r="BU76" s="152" t="n">
        <v>203176.601</v>
      </c>
      <c r="BV76" s="152" t="n">
        <v>8238666.504</v>
      </c>
      <c r="BW76" s="152" t="n">
        <v>-15.9137497</v>
      </c>
      <c r="BX76" s="152" t="n">
        <v>-47.7723917</v>
      </c>
      <c r="BY76" s="152" t="s">
        <v>1818</v>
      </c>
    </row>
    <row r="77" customFormat="false" ht="13.8" hidden="false" customHeight="false" outlineLevel="0" collapsed="false">
      <c r="A77" s="149" t="n">
        <f aca="false">IF(C77&lt;&gt;"",ROW(A72),"")</f>
        <v>72</v>
      </c>
      <c r="B77" s="150" t="str">
        <f aca="false">HYPERLINK("https://www.google.com/maps/dir/-15.917302,-47.760003/-15.9139424,-47.7720102/data=!4m3!4m2!3e0!5i0")</f>
        <v>https://www.google.com/maps/dir/-15.917302,-47.760003/-15.9139424,-47.7720102/data=!4m3!4m2!3e0!5i0</v>
      </c>
      <c r="C77" s="151" t="s">
        <v>117</v>
      </c>
      <c r="D77" s="152" t="s">
        <v>112</v>
      </c>
      <c r="E77" s="152" t="s">
        <v>113</v>
      </c>
      <c r="F77" s="152" t="s">
        <v>117</v>
      </c>
      <c r="G77" s="152" t="s">
        <v>782</v>
      </c>
      <c r="H77" s="152" t="n">
        <v>63</v>
      </c>
      <c r="I77" s="152" t="s">
        <v>115</v>
      </c>
      <c r="J77" s="152" t="s">
        <v>6</v>
      </c>
      <c r="K77" s="152" t="s">
        <v>1547</v>
      </c>
      <c r="L77" s="152" t="s">
        <v>120</v>
      </c>
      <c r="M77" s="153" t="n">
        <f aca="false">29.26</f>
        <v>29.26</v>
      </c>
      <c r="N77" s="152" t="s">
        <v>1548</v>
      </c>
      <c r="O77" s="152" t="s">
        <v>1549</v>
      </c>
      <c r="P77" s="152" t="s">
        <v>1550</v>
      </c>
      <c r="Q77" s="152" t="s">
        <v>1551</v>
      </c>
      <c r="R77" s="154" t="s">
        <v>1820</v>
      </c>
      <c r="S77" s="154" t="s">
        <v>1553</v>
      </c>
      <c r="T77" s="155" t="s">
        <v>1746</v>
      </c>
      <c r="U77" s="152" t="str">
        <f aca="false">RIGHT(T77,7)</f>
        <v>003/037</v>
      </c>
      <c r="V77" s="152" t="s">
        <v>1555</v>
      </c>
      <c r="W77" s="156" t="n">
        <v>45882</v>
      </c>
      <c r="X77" s="152" t="s">
        <v>1594</v>
      </c>
      <c r="Y77" s="152"/>
      <c r="Z77" s="152" t="s">
        <v>1557</v>
      </c>
      <c r="AA77" s="153" t="n">
        <v>2.5</v>
      </c>
      <c r="AB77" s="151" t="s">
        <v>1821</v>
      </c>
      <c r="AC77" s="151" t="s">
        <v>186</v>
      </c>
      <c r="AD77" s="151" t="str">
        <f aca="false">CONCATENATE($C77,$I77,$H77,$N77,$J77,$K77)</f>
        <v>TUBO PEADPEAD63VCAREDESZona01</v>
      </c>
      <c r="AE77" s="153" t="n">
        <f aca="false">IFERROR(INDEX(APOIO_REDES!$A:$W,MATCH($C77&amp;$I77&amp;$H77&amp;$N77&amp;$O77,APOIO_REDES!$W:$W,0),MATCH(AE$5,APOIO_REDES!$5:$5,0)),0)</f>
        <v>1.2</v>
      </c>
      <c r="AF77" s="153" t="n">
        <f aca="false">IFERROR(INDEX(APOIO_REDES!$A:$W,MATCH($C77&amp;$I77&amp;$H77&amp;$N77&amp;$O77,APOIO_REDES!$W:$W,0),MATCH(AF$5,APOIO_REDES!$5:$5,0)),0)</f>
        <v>1.363</v>
      </c>
      <c r="AG77" s="153" t="n">
        <f aca="false">IFERROR(INDEX(APOIO_REDES!$A:$W,MATCH($C77&amp;$I77&amp;$H77&amp;$N77&amp;$O77,APOIO_REDES!$W:$W,0),MATCH(AG$5,APOIO_REDES!$5:$5,0)),0)</f>
        <v>0.65</v>
      </c>
      <c r="AH77" s="153" t="n">
        <f aca="false">IFERROR(INDEX(APOIO_REDES!$A:$W,MATCH($C77&amp;$I77&amp;$H77&amp;$N77&amp;$O77,APOIO_REDES!$W:$W,0),MATCH(AH$5,APOIO_REDES!$5:$5,0)),0)</f>
        <v>0.1</v>
      </c>
      <c r="AI77" s="153" t="n">
        <f aca="false">IFERROR(IF($H77&lt;&gt;"",(((($H77/1000)/2)^2)*PI()*$M77),0),0)</f>
        <v>0.0912105977859461</v>
      </c>
      <c r="AJ77" s="153" t="n">
        <f aca="false">IFERROR(IF(AND($H77&lt;&gt;"",$I77="FoFo",OR($N77="MND",$N77="VCA"),$Q77="LINEAR"),0,IF(AND($H77&lt;&gt;"",$I77="PEAD",$N77="VCA",$Q77="LINEAR"),($H77/1000)+0.3,IF(AND($H77&lt;&gt;"",$I77="PEAD",$N77="MND",$Q77="EMBOQUE"),0,IF(AND($H77&lt;&gt;"",$I77="PVC",$N77="VCA",$Q77="LINEAR"),($H77/1000)+0.2,IF(AND($H77&lt;&gt;"",$I77="PVC",$N77="MND",$Q77="EMBOQUE"),0,IF(AND($H77&lt;&gt;"",$I77="PEAD",$N77="VCA",$Q77="PREDIAL"),0,0)))))),0)</f>
        <v>0.363</v>
      </c>
      <c r="AK77" s="153" t="n">
        <f aca="false">IF(AA77&lt;&gt;"",AA77,0)</f>
        <v>2.5</v>
      </c>
      <c r="AL77" s="153" t="n">
        <f aca="false">IF(AND($N77="MND",$Q77="EMBOQUE"),$M77,IF(AND($N77="VCA",$Q77="LINEAR"),$M77,IF(AND($N77="VCA",$Q77="PREDIAL"),0,0)))</f>
        <v>29.26</v>
      </c>
      <c r="AM77" s="153" t="n">
        <f aca="false">IF(AND($N77="MND",$Q77="EMBOQUE"),$M77,IF(AND($N77="VCA",$Q77="LINEAR"),$M77,IF(AND($N77="VCA",$Q77="PREDIAL"),0,0)))</f>
        <v>29.26</v>
      </c>
      <c r="AN77" s="153" t="n">
        <f aca="false">ROUND(IF(AND($N77="VCA",$M77&lt;&gt;"",$Q77="LINEAR"),$M77/100,IF(AND($N77="MND",$M77&gt;100,$Q77="EMBOQUE"),$M77/100,0)),0)</f>
        <v>0</v>
      </c>
      <c r="AO77" s="153" t="n">
        <f aca="false">IF(AND($N77="MND",$Q77="EMBOQUE"),$AN77*2*2,IF(AND($N77="VCA",$Q77="LINEAR"),$M77*2,IF(AND($N77="VCA",$Q77="PREDIAL"),0,0)))</f>
        <v>58.52</v>
      </c>
      <c r="AP77" s="153" t="n">
        <f aca="false">IFERROR($M77*$AF77*$AG77,0)</f>
        <v>25.922897</v>
      </c>
      <c r="AQ77" s="153" t="n">
        <f aca="false">IFERROR(IF(AND($N77="VCA",$AH77&gt;0),$M77*$AG77*$AH77,0),0)</f>
        <v>1.9019</v>
      </c>
      <c r="AR77" s="153" t="n">
        <f aca="false">IFERROR(IF(AND($N77="VCA",$AJ77&gt;0),($M77*$AG77*$AJ77)-$AI77,0),0)</f>
        <v>6.81268640221405</v>
      </c>
      <c r="AS77" s="153" t="n">
        <f aca="false">IFERROR(IF(AND($N77="VCA",$AP77&gt;0),$AP77-$AI77-$AQ77-$AR77,0),0)</f>
        <v>17.1171</v>
      </c>
      <c r="AT77" s="153" t="n">
        <f aca="false">IFERROR(IF($N77="VCA",INDEX(APOIO_REDES!$A:$W,MATCH($C77&amp;$I77&amp;$H77&amp;$N77&amp;$O77,APOIO_REDES!$W:$W,0),MATCH(AT$5,APOIO_REDES!$5:$5,0)),0)*$AP77,0)</f>
        <v>0.282048792145856</v>
      </c>
      <c r="AU77" s="153" t="n">
        <f aca="false">IFERROR(IF($N77="VCA",INDEX(APOIO_REDES!$A:$W,MATCH($C77&amp;$I77&amp;$H77&amp;$N77&amp;$O77,APOIO_REDES!$W:$W,0),MATCH(AU$5,APOIO_REDES!$5:$5,0)),0)*$AP77,0)</f>
        <v>0.225236526557626</v>
      </c>
      <c r="AV77" s="153" t="n">
        <f aca="false">IFERROR(IF($N77="VCA",INDEX(APOIO_REDES!$A:$W,MATCH($C77&amp;$I77&amp;$H77&amp;$N77&amp;$O77,APOIO_REDES!$W:$W,0),MATCH(AV$5,APOIO_REDES!$5:$5,0)),0)*$AP77,0)</f>
        <v>0.0311709670995152</v>
      </c>
      <c r="AW77" s="153" t="n">
        <f aca="false">IFERROR(IF($N77="VCA",INDEX(APOIO_REDES!$A:$W,MATCH($C77&amp;$I77&amp;$H77&amp;$N77&amp;$O77,APOIO_REDES!$W:$W,0),MATCH(AW$5,APOIO_REDES!$5:$5,0)),0)*$AP77,0)</f>
        <v>17.7936773612075</v>
      </c>
      <c r="AX77" s="153" t="n">
        <f aca="false">IFERROR(IF($N77="VCA",INDEX(APOIO_REDES!$A:$W,MATCH($C77&amp;$I77&amp;$H77&amp;$N77&amp;$O77,APOIO_REDES!$W:$W,0),MATCH(AX$5,APOIO_REDES!$5:$5,0)),0)*$AP77,0)</f>
        <v>2.46259426054171</v>
      </c>
      <c r="AY77" s="153" t="n">
        <f aca="false">IFERROR(IF($N77="VCA",INDEX(APOIO_REDES!$A:$W,MATCH($C77&amp;$I77&amp;$H77&amp;$N77&amp;$O77,APOIO_REDES!$W:$W,0),MATCH(AY$5,APOIO_REDES!$5:$5,0)),0)*$AP77,0)</f>
        <v>4.50472778553752</v>
      </c>
      <c r="AZ77" s="153" t="n">
        <f aca="false">IFERROR(IF($N77="VCA",INDEX(APOIO_REDES!$A:$W,MATCH($C77&amp;$I77&amp;$H77&amp;$N77&amp;$O77,APOIO_REDES!$W:$W,0),MATCH(AZ$5,APOIO_REDES!$5:$5,0)),0)*$AP77,0)</f>
        <v>0.623441306910307</v>
      </c>
      <c r="BA77" s="153" t="n">
        <f aca="false">IFERROR(IF(AND($N77="VCA",$Q77="LINEAR"),INDEX(APOIO_REDES!$A:$W,MATCH($C77&amp;$I77&amp;$H77&amp;$N77&amp;$O77,APOIO_REDES!$W:$W,0),MATCH(BA$5,APOIO_REDES!$5:$5,0)),IF(AND($N77="MND",$Q77="EMBOQUE"),INDEX(APOIO_REDES!$A:$W,MATCH($C77&amp;$I77&amp;$H77&amp;$N77&amp;$O77,APOIO_REDES!$W:$W,0),MATCH(BA$5,APOIO_REDES!$5:$5,0)),0))*$M77/10,0)</f>
        <v>2.35828219398437</v>
      </c>
      <c r="BB77" s="153" t="n">
        <f aca="false">IFERROR(IF($N77="VCA",INDEX(APOIO_REDES!$A:$W,MATCH($C77&amp;$I77&amp;$H77&amp;$N77&amp;$O77,APOIO_REDES!$W:$W,0),MATCH(BB$5,APOIO_REDES!$5:$5,0)),0)*($AI77+$AQ77+$AR77),0)</f>
        <v>8.70998732225713</v>
      </c>
      <c r="BC77" s="153" t="n">
        <f aca="false">IFERROR(IF($N77="VCA",INDEX(APOIO_REDES!$A:$W,MATCH($C77&amp;$I77&amp;$H77&amp;$N77&amp;$O77,APOIO_REDES!$W:$W,0),MATCH(BC$5,APOIO_REDES!$5:$5,0)),0)*($AI77+$AQ77+$AR77),0)</f>
        <v>0.0958096777428695</v>
      </c>
      <c r="BD77" s="153" t="n">
        <f aca="false">IF(AND($N77="VCA",$AF77&gt;=1.25,$AF77&lt;1.5),$M77*$AF77*2,0)</f>
        <v>79.76276</v>
      </c>
      <c r="BE77" s="153" t="n">
        <f aca="false">IF(AND($N77="VCA",$AF77&gt;=1.5,$AF77&lt;3),$M77*$AF77*2,0)</f>
        <v>0</v>
      </c>
      <c r="BF77" s="153" t="n">
        <f aca="false">IF(AND($N77="VCA",$AF77&gt;=3),$M77*$AF77*2,0)</f>
        <v>0</v>
      </c>
      <c r="BG77" s="153" t="n">
        <f aca="false">($BB77+$BC77)*$AK77</f>
        <v>22.0144925</v>
      </c>
      <c r="BH77" s="153" t="n">
        <f aca="false">IF(AND($M77&lt;&gt;"",$N77="VCA",$Q77="LINEAR"),($M77*2)/100,IF(AND($M77&lt;&gt;"",$N77="MND",$Q77="EMBOQUE"),($AN77*2)/100,0))</f>
        <v>0.5852</v>
      </c>
      <c r="BI77" s="153" t="n">
        <f aca="false">IF(AND($M77&lt;&gt;"",$N77="VCA",$Q77="LINEAR"),$M77,IF(AND($M77&lt;&gt;"",$N77="MND",$Q77="EMBOQUE"),$AN77*2,0))</f>
        <v>29.26</v>
      </c>
      <c r="BJ77" s="153" t="n">
        <f aca="false">IF(AND($M77&lt;&gt;"",$N77="VCA",$Q77="LINEAR"),($M77*6.8)/100,IF(AND($M77&lt;&gt;"",$N77="MND",$Q77="EMBOQUE"),($AN77*2*6.8)/100,0))</f>
        <v>1.98968</v>
      </c>
      <c r="BK77" s="153" t="n">
        <f aca="false">IF(AND($M77&lt;&gt;"",$N77="VCA",$Q77="LINEAR"),($M77*2.5)/50,IF(AND($M77&lt;&gt;"",$N77="MND",$Q77="EMBOQUE"),($AN77*2*2.5)/50,0))</f>
        <v>1.463</v>
      </c>
      <c r="BL77" s="157" t="str">
        <f aca="false">K77&amp;J77</f>
        <v>Zona01REDES</v>
      </c>
      <c r="BM77" s="152" t="s">
        <v>1559</v>
      </c>
      <c r="BN77" s="152" t="s">
        <v>1560</v>
      </c>
      <c r="BO77" s="152" t="s">
        <v>1748</v>
      </c>
      <c r="BP77" s="152" t="s">
        <v>1822</v>
      </c>
      <c r="BQ77" s="152" t="s">
        <v>1810</v>
      </c>
      <c r="BR77" s="152" t="s">
        <v>1823</v>
      </c>
      <c r="BS77" s="152" t="n">
        <v>203192.611</v>
      </c>
      <c r="BT77" s="152" t="n">
        <v>8238614.015</v>
      </c>
      <c r="BU77" s="152" t="n">
        <v>203210.134</v>
      </c>
      <c r="BV77" s="152" t="n">
        <v>8238637.453</v>
      </c>
      <c r="BW77" s="152" t="n">
        <v>-15.9138376</v>
      </c>
      <c r="BX77" s="152" t="n">
        <v>-47.7719269</v>
      </c>
      <c r="BY77" s="152" t="s">
        <v>1822</v>
      </c>
    </row>
    <row r="78" customFormat="false" ht="13.8" hidden="false" customHeight="false" outlineLevel="0" collapsed="false">
      <c r="A78" s="149" t="n">
        <f aca="false">IF(C78&lt;&gt;"",ROW(A73),"")</f>
        <v>73</v>
      </c>
      <c r="B78" s="150" t="str">
        <f aca="false">HYPERLINK("https://www.google.com/maps/dir/-15.917302,-47.760003/-15.9132438,-47.7710157/data=!4m3!4m2!3e0!5i0")</f>
        <v>https://www.google.com/maps/dir/-15.917302,-47.760003/-15.9132438,-47.7710157/data=!4m3!4m2!3e0!5i0</v>
      </c>
      <c r="C78" s="151" t="s">
        <v>117</v>
      </c>
      <c r="D78" s="152" t="s">
        <v>112</v>
      </c>
      <c r="E78" s="152" t="s">
        <v>113</v>
      </c>
      <c r="F78" s="152" t="s">
        <v>117</v>
      </c>
      <c r="G78" s="152" t="s">
        <v>782</v>
      </c>
      <c r="H78" s="152" t="n">
        <v>63</v>
      </c>
      <c r="I78" s="152" t="s">
        <v>115</v>
      </c>
      <c r="J78" s="152" t="s">
        <v>6</v>
      </c>
      <c r="K78" s="152" t="s">
        <v>1547</v>
      </c>
      <c r="L78" s="152" t="s">
        <v>120</v>
      </c>
      <c r="M78" s="153" t="n">
        <f aca="false">230.72</f>
        <v>230.72</v>
      </c>
      <c r="N78" s="152" t="s">
        <v>1548</v>
      </c>
      <c r="O78" s="152" t="s">
        <v>1549</v>
      </c>
      <c r="P78" s="152" t="s">
        <v>1550</v>
      </c>
      <c r="Q78" s="152" t="s">
        <v>1551</v>
      </c>
      <c r="R78" s="154" t="s">
        <v>1824</v>
      </c>
      <c r="S78" s="154" t="s">
        <v>1553</v>
      </c>
      <c r="T78" s="155" t="s">
        <v>1746</v>
      </c>
      <c r="U78" s="152" t="str">
        <f aca="false">RIGHT(T78,7)</f>
        <v>003/037</v>
      </c>
      <c r="V78" s="152" t="s">
        <v>1555</v>
      </c>
      <c r="W78" s="156" t="n">
        <v>45882</v>
      </c>
      <c r="X78" s="152" t="s">
        <v>1556</v>
      </c>
      <c r="Y78" s="152" t="s">
        <v>1772</v>
      </c>
      <c r="Z78" s="152" t="s">
        <v>1557</v>
      </c>
      <c r="AA78" s="153" t="n">
        <v>2.3</v>
      </c>
      <c r="AB78" s="151" t="s">
        <v>1825</v>
      </c>
      <c r="AC78" s="151" t="s">
        <v>186</v>
      </c>
      <c r="AD78" s="151" t="str">
        <f aca="false">CONCATENATE($C78,$I78,$H78,$N78,$J78,$K78)</f>
        <v>TUBO PEADPEAD63VCAREDESZona01</v>
      </c>
      <c r="AE78" s="153" t="n">
        <f aca="false">IFERROR(INDEX(APOIO_REDES!$A:$W,MATCH($C78&amp;$I78&amp;$H78&amp;$N78&amp;$O78,APOIO_REDES!$W:$W,0),MATCH(AE$5,APOIO_REDES!$5:$5,0)),0)</f>
        <v>1.2</v>
      </c>
      <c r="AF78" s="153" t="n">
        <f aca="false">IFERROR(INDEX(APOIO_REDES!$A:$W,MATCH($C78&amp;$I78&amp;$H78&amp;$N78&amp;$O78,APOIO_REDES!$W:$W,0),MATCH(AF$5,APOIO_REDES!$5:$5,0)),0)</f>
        <v>1.363</v>
      </c>
      <c r="AG78" s="153" t="n">
        <f aca="false">IFERROR(INDEX(APOIO_REDES!$A:$W,MATCH($C78&amp;$I78&amp;$H78&amp;$N78&amp;$O78,APOIO_REDES!$W:$W,0),MATCH(AG$5,APOIO_REDES!$5:$5,0)),0)</f>
        <v>0.65</v>
      </c>
      <c r="AH78" s="153" t="n">
        <f aca="false">IFERROR(INDEX(APOIO_REDES!$A:$W,MATCH($C78&amp;$I78&amp;$H78&amp;$N78&amp;$O78,APOIO_REDES!$W:$W,0),MATCH(AH$5,APOIO_REDES!$5:$5,0)),0)</f>
        <v>0.1</v>
      </c>
      <c r="AI78" s="153" t="n">
        <f aca="false">IFERROR(IF($H78&lt;&gt;"",(((($H78/1000)/2)^2)*PI()*$M78),0),0)</f>
        <v>0.719210838044206</v>
      </c>
      <c r="AJ78" s="153" t="n">
        <f aca="false">IFERROR(IF(AND($H78&lt;&gt;"",$I78="FoFo",OR($N78="MND",$N78="VCA"),$Q78="LINEAR"),0,IF(AND($H78&lt;&gt;"",$I78="PEAD",$N78="VCA",$Q78="LINEAR"),($H78/1000)+0.3,IF(AND($H78&lt;&gt;"",$I78="PEAD",$N78="MND",$Q78="EMBOQUE"),0,IF(AND($H78&lt;&gt;"",$I78="PVC",$N78="VCA",$Q78="LINEAR"),($H78/1000)+0.2,IF(AND($H78&lt;&gt;"",$I78="PVC",$N78="MND",$Q78="EMBOQUE"),0,IF(AND($H78&lt;&gt;"",$I78="PEAD",$N78="VCA",$Q78="PREDIAL"),0,0)))))),0)</f>
        <v>0.363</v>
      </c>
      <c r="AK78" s="153" t="n">
        <f aca="false">IF(AA78&lt;&gt;"",AA78,0)</f>
        <v>2.3</v>
      </c>
      <c r="AL78" s="153" t="n">
        <f aca="false">IF(AND($N78="MND",$Q78="EMBOQUE"),$M78,IF(AND($N78="VCA",$Q78="LINEAR"),$M78,IF(AND($N78="VCA",$Q78="PREDIAL"),0,0)))</f>
        <v>230.72</v>
      </c>
      <c r="AM78" s="153" t="n">
        <f aca="false">IF(AND($N78="MND",$Q78="EMBOQUE"),$M78,IF(AND($N78="VCA",$Q78="LINEAR"),$M78,IF(AND($N78="VCA",$Q78="PREDIAL"),0,0)))</f>
        <v>230.72</v>
      </c>
      <c r="AN78" s="153" t="n">
        <f aca="false">ROUND(IF(AND($N78="VCA",$M78&lt;&gt;"",$Q78="LINEAR"),$M78/100,IF(AND($N78="MND",$M78&gt;100,$Q78="EMBOQUE"),$M78/100,0)),0)</f>
        <v>2</v>
      </c>
      <c r="AO78" s="153" t="n">
        <f aca="false">IF(AND($N78="MND",$Q78="EMBOQUE"),$AN78*2*2,IF(AND($N78="VCA",$Q78="LINEAR"),$M78*2,IF(AND($N78="VCA",$Q78="PREDIAL"),0,0)))</f>
        <v>461.44</v>
      </c>
      <c r="AP78" s="153" t="n">
        <f aca="false">IFERROR($M78*$AF78*$AG78,0)</f>
        <v>204.406384</v>
      </c>
      <c r="AQ78" s="153" t="n">
        <f aca="false">IFERROR(IF(AND($N78="VCA",$AH78&gt;0),$M78*$AG78*$AH78,0),0)</f>
        <v>14.9968</v>
      </c>
      <c r="AR78" s="153" t="n">
        <f aca="false">IFERROR(IF(AND($N78="VCA",$AJ78&gt;0),($M78*$AG78*$AJ78)-$AI78,0),0)</f>
        <v>53.7191731619558</v>
      </c>
      <c r="AS78" s="153" t="n">
        <f aca="false">IFERROR(IF(AND($N78="VCA",$AP78&gt;0),$AP78-$AI78-$AQ78-$AR78,0),0)</f>
        <v>134.9712</v>
      </c>
      <c r="AT78" s="153" t="n">
        <f aca="false">IFERROR(IF($N78="VCA",INDEX(APOIO_REDES!$A:$W,MATCH($C78&amp;$I78&amp;$H78&amp;$N78&amp;$O78,APOIO_REDES!$W:$W,0),MATCH(AT$5,APOIO_REDES!$5:$5,0)),0)*$AP78,0)</f>
        <v>2.22400195912139</v>
      </c>
      <c r="AU78" s="153" t="n">
        <f aca="false">IFERROR(IF($N78="VCA",INDEX(APOIO_REDES!$A:$W,MATCH($C78&amp;$I78&amp;$H78&amp;$N78&amp;$O78,APOIO_REDES!$W:$W,0),MATCH(AU$5,APOIO_REDES!$5:$5,0)),0)*$AP78,0)</f>
        <v>1.77602773094243</v>
      </c>
      <c r="AV78" s="153" t="n">
        <f aca="false">IFERROR(IF($N78="VCA",INDEX(APOIO_REDES!$A:$W,MATCH($C78&amp;$I78&amp;$H78&amp;$N78&amp;$O78,APOIO_REDES!$W:$W,0),MATCH(AV$5,APOIO_REDES!$5:$5,0)),0)*$AP78,0)</f>
        <v>0.245788295598091</v>
      </c>
      <c r="AW78" s="153" t="n">
        <f aca="false">IFERROR(IF($N78="VCA",INDEX(APOIO_REDES!$A:$W,MATCH($C78&amp;$I78&amp;$H78&amp;$N78&amp;$O78,APOIO_REDES!$W:$W,0),MATCH(AW$5,APOIO_REDES!$5:$5,0)),0)*$AP78,0)</f>
        <v>140.30612579555</v>
      </c>
      <c r="AX78" s="153" t="n">
        <f aca="false">IFERROR(IF($N78="VCA",INDEX(APOIO_REDES!$A:$W,MATCH($C78&amp;$I78&amp;$H78&amp;$N78&amp;$O78,APOIO_REDES!$W:$W,0),MATCH(AX$5,APOIO_REDES!$5:$5,0)),0)*$AP78,0)</f>
        <v>19.4179681405394</v>
      </c>
      <c r="AY78" s="153" t="n">
        <f aca="false">IFERROR(IF($N78="VCA",INDEX(APOIO_REDES!$A:$W,MATCH($C78&amp;$I78&amp;$H78&amp;$N78&amp;$O78,APOIO_REDES!$W:$W,0),MATCH(AY$5,APOIO_REDES!$5:$5,0)),0)*$AP78,0)</f>
        <v>35.5205329692145</v>
      </c>
      <c r="AZ78" s="153" t="n">
        <f aca="false">IFERROR(IF($N78="VCA",INDEX(APOIO_REDES!$A:$W,MATCH($C78&amp;$I78&amp;$H78&amp;$N78&amp;$O78,APOIO_REDES!$W:$W,0),MATCH(AZ$5,APOIO_REDES!$5:$5,0)),0)*$AP78,0)</f>
        <v>4.91593910903438</v>
      </c>
      <c r="BA78" s="153" t="n">
        <f aca="false">IFERROR(IF(AND($N78="VCA",$Q78="LINEAR"),INDEX(APOIO_REDES!$A:$W,MATCH($C78&amp;$I78&amp;$H78&amp;$N78&amp;$O78,APOIO_REDES!$W:$W,0),MATCH(BA$5,APOIO_REDES!$5:$5,0)),IF(AND($N78="MND",$Q78="EMBOQUE"),INDEX(APOIO_REDES!$A:$W,MATCH($C78&amp;$I78&amp;$H78&amp;$N78&amp;$O78,APOIO_REDES!$W:$W,0),MATCH(BA$5,APOIO_REDES!$5:$5,0)),0))*$M78/10,0)</f>
        <v>18.5954500272069</v>
      </c>
      <c r="BB78" s="153" t="n">
        <f aca="false">IFERROR(IF($N78="VCA",INDEX(APOIO_REDES!$A:$W,MATCH($C78&amp;$I78&amp;$H78&amp;$N78&amp;$O78,APOIO_REDES!$W:$W,0),MATCH(BB$5,APOIO_REDES!$5:$5,0)),0)*($AI78+$AQ78+$AR78),0)</f>
        <v>68.6797086463146</v>
      </c>
      <c r="BC78" s="153" t="n">
        <f aca="false">IFERROR(IF($N78="VCA",INDEX(APOIO_REDES!$A:$W,MATCH($C78&amp;$I78&amp;$H78&amp;$N78&amp;$O78,APOIO_REDES!$W:$W,0),MATCH(BC$5,APOIO_REDES!$5:$5,0)),0)*($AI78+$AQ78+$AR78),0)</f>
        <v>0.755475353685402</v>
      </c>
      <c r="BD78" s="153" t="n">
        <f aca="false">IF(AND($N78="VCA",$AF78&gt;=1.25,$AF78&lt;1.5),$M78*$AF78*2,0)</f>
        <v>628.94272</v>
      </c>
      <c r="BE78" s="153" t="n">
        <f aca="false">IF(AND($N78="VCA",$AF78&gt;=1.5,$AF78&lt;3),$M78*$AF78*2,0)</f>
        <v>0</v>
      </c>
      <c r="BF78" s="153" t="n">
        <f aca="false">IF(AND($N78="VCA",$AF78&gt;=3),$M78*$AF78*2,0)</f>
        <v>0</v>
      </c>
      <c r="BG78" s="153" t="n">
        <f aca="false">($BB78+$BC78)*$AK78</f>
        <v>159.7009232</v>
      </c>
      <c r="BH78" s="153" t="n">
        <f aca="false">IF(AND($M78&lt;&gt;"",$N78="VCA",$Q78="LINEAR"),($M78*2)/100,IF(AND($M78&lt;&gt;"",$N78="MND",$Q78="EMBOQUE"),($AN78*2)/100,0))</f>
        <v>4.6144</v>
      </c>
      <c r="BI78" s="153" t="n">
        <f aca="false">IF(AND($M78&lt;&gt;"",$N78="VCA",$Q78="LINEAR"),$M78,IF(AND($M78&lt;&gt;"",$N78="MND",$Q78="EMBOQUE"),$AN78*2,0))</f>
        <v>230.72</v>
      </c>
      <c r="BJ78" s="153" t="n">
        <f aca="false">IF(AND($M78&lt;&gt;"",$N78="VCA",$Q78="LINEAR"),($M78*6.8)/100,IF(AND($M78&lt;&gt;"",$N78="MND",$Q78="EMBOQUE"),($AN78*2*6.8)/100,0))</f>
        <v>15.68896</v>
      </c>
      <c r="BK78" s="153" t="n">
        <f aca="false">IF(AND($M78&lt;&gt;"",$N78="VCA",$Q78="LINEAR"),($M78*2.5)/50,IF(AND($M78&lt;&gt;"",$N78="MND",$Q78="EMBOQUE"),($AN78*2*2.5)/50,0))</f>
        <v>11.536</v>
      </c>
      <c r="BL78" s="157" t="str">
        <f aca="false">K78&amp;J78</f>
        <v>Zona01REDES</v>
      </c>
      <c r="BM78" s="152" t="s">
        <v>1559</v>
      </c>
      <c r="BN78" s="152" t="s">
        <v>1560</v>
      </c>
      <c r="BO78" s="152" t="s">
        <v>1748</v>
      </c>
      <c r="BP78" s="152" t="s">
        <v>1796</v>
      </c>
      <c r="BQ78" s="152" t="s">
        <v>1826</v>
      </c>
      <c r="BR78" s="152" t="s">
        <v>1827</v>
      </c>
      <c r="BS78" s="152" t="n">
        <v>203298.13</v>
      </c>
      <c r="BT78" s="152" t="n">
        <v>8238692.777</v>
      </c>
      <c r="BU78" s="152" t="n">
        <v>203484.489</v>
      </c>
      <c r="BV78" s="152" t="n">
        <v>8238556.918</v>
      </c>
      <c r="BW78" s="152" t="n">
        <v>-15.9138777</v>
      </c>
      <c r="BX78" s="152" t="n">
        <v>-47.7701616</v>
      </c>
      <c r="BY78" s="152" t="s">
        <v>1796</v>
      </c>
    </row>
    <row r="79" customFormat="false" ht="13.8" hidden="false" customHeight="false" outlineLevel="0" collapsed="false">
      <c r="A79" s="149" t="n">
        <f aca="false">IF(C79&lt;&gt;"",ROW(A74),"")</f>
        <v>74</v>
      </c>
      <c r="B79" s="150" t="str">
        <f aca="false">HYPERLINK("https://www.google.com/maps/dir/-15.917302,-47.760003/-15.9141590,-47.7691508/data=!4m3!4m2!3e0!5i1")</f>
        <v>https://www.google.com/maps/dir/-15.917302,-47.760003/-15.9141590,-47.7691508/data=!4m3!4m2!3e0!5i1</v>
      </c>
      <c r="C79" s="151" t="s">
        <v>117</v>
      </c>
      <c r="D79" s="152" t="s">
        <v>112</v>
      </c>
      <c r="E79" s="152" t="s">
        <v>113</v>
      </c>
      <c r="F79" s="152" t="s">
        <v>117</v>
      </c>
      <c r="G79" s="152" t="s">
        <v>114</v>
      </c>
      <c r="H79" s="152" t="n">
        <v>225</v>
      </c>
      <c r="I79" s="152" t="s">
        <v>115</v>
      </c>
      <c r="J79" s="152" t="s">
        <v>6</v>
      </c>
      <c r="K79" s="152" t="s">
        <v>1547</v>
      </c>
      <c r="L79" s="152" t="s">
        <v>120</v>
      </c>
      <c r="M79" s="153" t="n">
        <f aca="false">40.95</f>
        <v>40.95</v>
      </c>
      <c r="N79" s="152" t="s">
        <v>1548</v>
      </c>
      <c r="O79" s="152" t="s">
        <v>1549</v>
      </c>
      <c r="P79" s="152" t="s">
        <v>1550</v>
      </c>
      <c r="Q79" s="152" t="s">
        <v>1551</v>
      </c>
      <c r="R79" s="154" t="s">
        <v>1828</v>
      </c>
      <c r="S79" s="154" t="s">
        <v>1593</v>
      </c>
      <c r="T79" s="155" t="s">
        <v>1746</v>
      </c>
      <c r="U79" s="152" t="str">
        <f aca="false">RIGHT(T79,7)</f>
        <v>003/037</v>
      </c>
      <c r="V79" s="152" t="s">
        <v>1555</v>
      </c>
      <c r="W79" s="156" t="n">
        <v>45882</v>
      </c>
      <c r="X79" s="152" t="s">
        <v>1556</v>
      </c>
      <c r="Y79" s="152"/>
      <c r="Z79" s="152" t="s">
        <v>1557</v>
      </c>
      <c r="AA79" s="153" t="n">
        <v>2.4</v>
      </c>
      <c r="AB79" s="151" t="s">
        <v>1829</v>
      </c>
      <c r="AC79" s="151" t="s">
        <v>508</v>
      </c>
      <c r="AD79" s="151" t="str">
        <f aca="false">CONCATENATE($C79,$I79,$H79,$N79,$J79,$K79)</f>
        <v>TUBO PEADPEAD225VCAREDESZona01</v>
      </c>
      <c r="AE79" s="153" t="n">
        <f aca="false">IFERROR(INDEX(APOIO_REDES!$A:$W,MATCH($C79&amp;$I79&amp;$H79&amp;$N79&amp;$O79,APOIO_REDES!$W:$W,0),MATCH(AE$5,APOIO_REDES!$5:$5,0)),0)</f>
        <v>1.2</v>
      </c>
      <c r="AF79" s="153" t="n">
        <f aca="false">IFERROR(INDEX(APOIO_REDES!$A:$W,MATCH($C79&amp;$I79&amp;$H79&amp;$N79&amp;$O79,APOIO_REDES!$W:$W,0),MATCH(AF$5,APOIO_REDES!$5:$5,0)),0)</f>
        <v>1.525</v>
      </c>
      <c r="AG79" s="153" t="n">
        <f aca="false">IFERROR(INDEX(APOIO_REDES!$A:$W,MATCH($C79&amp;$I79&amp;$H79&amp;$N79&amp;$O79,APOIO_REDES!$W:$W,0),MATCH(AG$5,APOIO_REDES!$5:$5,0)),0)</f>
        <v>0.8</v>
      </c>
      <c r="AH79" s="153" t="n">
        <f aca="false">IFERROR(INDEX(APOIO_REDES!$A:$W,MATCH($C79&amp;$I79&amp;$H79&amp;$N79&amp;$O79,APOIO_REDES!$W:$W,0),MATCH(AH$5,APOIO_REDES!$5:$5,0)),0)</f>
        <v>0.1</v>
      </c>
      <c r="AI79" s="153" t="n">
        <f aca="false">IFERROR(IF($H79&lt;&gt;"",(((($H79/1000)/2)^2)*PI()*$M79),0),0)</f>
        <v>1.62820402380073</v>
      </c>
      <c r="AJ79" s="153" t="n">
        <f aca="false">IFERROR(IF(AND($H79&lt;&gt;"",$I79="FoFo",OR($N79="MND",$N79="VCA"),$Q79="LINEAR"),0,IF(AND($H79&lt;&gt;"",$I79="PEAD",$N79="VCA",$Q79="LINEAR"),($H79/1000)+0.3,IF(AND($H79&lt;&gt;"",$I79="PEAD",$N79="MND",$Q79="EMBOQUE"),0,IF(AND($H79&lt;&gt;"",$I79="PVC",$N79="VCA",$Q79="LINEAR"),($H79/1000)+0.2,IF(AND($H79&lt;&gt;"",$I79="PVC",$N79="MND",$Q79="EMBOQUE"),0,IF(AND($H79&lt;&gt;"",$I79="PEAD",$N79="VCA",$Q79="PREDIAL"),0,0)))))),0)</f>
        <v>0.525</v>
      </c>
      <c r="AK79" s="153" t="n">
        <f aca="false">IF(AA79&lt;&gt;"",AA79,0)</f>
        <v>2.4</v>
      </c>
      <c r="AL79" s="153" t="n">
        <f aca="false">IF(AND($N79="MND",$Q79="EMBOQUE"),$M79,IF(AND($N79="VCA",$Q79="LINEAR"),$M79,IF(AND($N79="VCA",$Q79="PREDIAL"),0,0)))</f>
        <v>40.95</v>
      </c>
      <c r="AM79" s="153" t="n">
        <f aca="false">IF(AND($N79="MND",$Q79="EMBOQUE"),$M79,IF(AND($N79="VCA",$Q79="LINEAR"),$M79,IF(AND($N79="VCA",$Q79="PREDIAL"),0,0)))</f>
        <v>40.95</v>
      </c>
      <c r="AN79" s="153" t="n">
        <f aca="false">ROUND(IF(AND($N79="VCA",$M79&lt;&gt;"",$Q79="LINEAR"),$M79/100,IF(AND($N79="MND",$M79&gt;100,$Q79="EMBOQUE"),$M79/100,0)),0)</f>
        <v>0</v>
      </c>
      <c r="AO79" s="153" t="n">
        <f aca="false">IF(AND($N79="MND",$Q79="EMBOQUE"),$AN79*2*2,IF(AND($N79="VCA",$Q79="LINEAR"),$M79*2,IF(AND($N79="VCA",$Q79="PREDIAL"),0,0)))</f>
        <v>81.9</v>
      </c>
      <c r="AP79" s="153" t="n">
        <f aca="false">IFERROR($M79*$AF79*$AG79,0)</f>
        <v>49.959</v>
      </c>
      <c r="AQ79" s="153" t="n">
        <f aca="false">IFERROR(IF(AND($N79="VCA",$AH79&gt;0),$M79*$AG79*$AH79,0),0)</f>
        <v>3.276</v>
      </c>
      <c r="AR79" s="153" t="n">
        <f aca="false">IFERROR(IF(AND($N79="VCA",$AJ79&gt;0),($M79*$AG79*$AJ79)-$AI79,0),0)</f>
        <v>15.5707959761993</v>
      </c>
      <c r="AS79" s="153" t="n">
        <f aca="false">IFERROR(IF(AND($N79="VCA",$AP79&gt;0),$AP79-$AI79-$AQ79-$AR79,0),0)</f>
        <v>29.484</v>
      </c>
      <c r="AT79" s="153" t="n">
        <f aca="false">IFERROR(IF($N79="VCA",INDEX(APOIO_REDES!$A:$W,MATCH($C79&amp;$I79&amp;$H79&amp;$N79&amp;$O79,APOIO_REDES!$W:$W,0),MATCH(AT$5,APOIO_REDES!$5:$5,0)),0)*$AP79,0)</f>
        <v>0.543568707109194</v>
      </c>
      <c r="AU79" s="153" t="n">
        <f aca="false">IFERROR(IF($N79="VCA",INDEX(APOIO_REDES!$A:$W,MATCH($C79&amp;$I79&amp;$H79&amp;$N79&amp;$O79,APOIO_REDES!$W:$W,0),MATCH(AU$5,APOIO_REDES!$5:$5,0)),0)*$AP79,0)</f>
        <v>0.434079247789799</v>
      </c>
      <c r="AV79" s="153" t="n">
        <f aca="false">IFERROR(IF($N79="VCA",INDEX(APOIO_REDES!$A:$W,MATCH($C79&amp;$I79&amp;$H79&amp;$N79&amp;$O79,APOIO_REDES!$W:$W,0),MATCH(AV$5,APOIO_REDES!$5:$5,0)),0)*$AP79,0)</f>
        <v>0.0600731602384055</v>
      </c>
      <c r="AW79" s="153" t="n">
        <f aca="false">IFERROR(IF($N79="VCA",INDEX(APOIO_REDES!$A:$W,MATCH($C79&amp;$I79&amp;$H79&amp;$N79&amp;$O79,APOIO_REDES!$W:$W,0),MATCH(AW$5,APOIO_REDES!$5:$5,0)),0)*$AP79,0)</f>
        <v>34.2922447012216</v>
      </c>
      <c r="AX79" s="153" t="n">
        <f aca="false">IFERROR(IF($N79="VCA",INDEX(APOIO_REDES!$A:$W,MATCH($C79&amp;$I79&amp;$H79&amp;$N79&amp;$O79,APOIO_REDES!$W:$W,0),MATCH(AX$5,APOIO_REDES!$5:$5,0)),0)*$AP79,0)</f>
        <v>4.745948983341</v>
      </c>
      <c r="AY79" s="153" t="n">
        <f aca="false">IFERROR(IF($N79="VCA",INDEX(APOIO_REDES!$A:$W,MATCH($C79&amp;$I79&amp;$H79&amp;$N79&amp;$O79,APOIO_REDES!$W:$W,0),MATCH(AY$5,APOIO_REDES!$5:$5,0)),0)*$AP79,0)</f>
        <v>8.68157966440514</v>
      </c>
      <c r="AZ79" s="153" t="n">
        <f aca="false">IFERROR(IF($N79="VCA",INDEX(APOIO_REDES!$A:$W,MATCH($C79&amp;$I79&amp;$H79&amp;$N79&amp;$O79,APOIO_REDES!$W:$W,0),MATCH(AZ$5,APOIO_REDES!$5:$5,0)),0)*$AP79,0)</f>
        <v>1.20150553589485</v>
      </c>
      <c r="BA79" s="153" t="n">
        <f aca="false">IFERROR(IF(AND($N79="VCA",$Q79="LINEAR"),INDEX(APOIO_REDES!$A:$W,MATCH($C79&amp;$I79&amp;$H79&amp;$N79&amp;$O79,APOIO_REDES!$W:$W,0),MATCH(BA$5,APOIO_REDES!$5:$5,0)),IF(AND($N79="MND",$Q79="EMBOQUE"),INDEX(APOIO_REDES!$A:$W,MATCH($C79&amp;$I79&amp;$H79&amp;$N79&amp;$O79,APOIO_REDES!$W:$W,0),MATCH(BA$5,APOIO_REDES!$5:$5,0)),0))*$M79/10,0)</f>
        <v>3.300466706892</v>
      </c>
      <c r="BB79" s="153" t="n">
        <f aca="false">IFERROR(IF($N79="VCA",INDEX(APOIO_REDES!$A:$W,MATCH($C79&amp;$I79&amp;$H79&amp;$N79&amp;$O79,APOIO_REDES!$W:$W,0),MATCH(BB$5,APOIO_REDES!$5:$5,0)),0)*($AI79+$AQ79+$AR79),0)</f>
        <v>20.2522259397094</v>
      </c>
      <c r="BC79" s="153" t="n">
        <f aca="false">IFERROR(IF($N79="VCA",INDEX(APOIO_REDES!$A:$W,MATCH($C79&amp;$I79&amp;$H79&amp;$N79&amp;$O79,APOIO_REDES!$W:$W,0),MATCH(BC$5,APOIO_REDES!$5:$5,0)),0)*($AI79+$AQ79+$AR79),0)</f>
        <v>0.222774060290653</v>
      </c>
      <c r="BD79" s="153" t="n">
        <f aca="false">IF(AND($N79="VCA",$AF79&gt;=1.25,$AF79&lt;1.5),$M79*$AF79*2,0)</f>
        <v>0</v>
      </c>
      <c r="BE79" s="153" t="n">
        <f aca="false">IF(AND($N79="VCA",$AF79&gt;=1.5,$AF79&lt;3),$M79*$AF79*2,0)</f>
        <v>124.8975</v>
      </c>
      <c r="BF79" s="153" t="n">
        <f aca="false">IF(AND($N79="VCA",$AF79&gt;=3),$M79*$AF79*2,0)</f>
        <v>0</v>
      </c>
      <c r="BG79" s="153" t="n">
        <f aca="false">($BB79+$BC79)*$AK79</f>
        <v>49.14</v>
      </c>
      <c r="BH79" s="153" t="n">
        <f aca="false">IF(AND($M79&lt;&gt;"",$N79="VCA",$Q79="LINEAR"),($M79*2)/100,IF(AND($M79&lt;&gt;"",$N79="MND",$Q79="EMBOQUE"),($AN79*2)/100,0))</f>
        <v>0.819</v>
      </c>
      <c r="BI79" s="153" t="n">
        <f aca="false">IF(AND($M79&lt;&gt;"",$N79="VCA",$Q79="LINEAR"),$M79,IF(AND($M79&lt;&gt;"",$N79="MND",$Q79="EMBOQUE"),$AN79*2,0))</f>
        <v>40.95</v>
      </c>
      <c r="BJ79" s="153" t="n">
        <f aca="false">IF(AND($M79&lt;&gt;"",$N79="VCA",$Q79="LINEAR"),($M79*6.8)/100,IF(AND($M79&lt;&gt;"",$N79="MND",$Q79="EMBOQUE"),($AN79*2*6.8)/100,0))</f>
        <v>2.7846</v>
      </c>
      <c r="BK79" s="153" t="n">
        <f aca="false">IF(AND($M79&lt;&gt;"",$N79="VCA",$Q79="LINEAR"),($M79*2.5)/50,IF(AND($M79&lt;&gt;"",$N79="MND",$Q79="EMBOQUE"),($AN79*2*2.5)/50,0))</f>
        <v>2.0475</v>
      </c>
      <c r="BL79" s="157" t="str">
        <f aca="false">K79&amp;J79</f>
        <v>Zona01REDES</v>
      </c>
      <c r="BM79" s="152" t="s">
        <v>1559</v>
      </c>
      <c r="BN79" s="152" t="s">
        <v>1560</v>
      </c>
      <c r="BO79" s="152" t="s">
        <v>1748</v>
      </c>
      <c r="BP79" s="152" t="s">
        <v>1806</v>
      </c>
      <c r="BQ79" s="152" t="s">
        <v>1792</v>
      </c>
      <c r="BR79" s="152" t="s">
        <v>1830</v>
      </c>
      <c r="BS79" s="152" t="n">
        <v>203499.297</v>
      </c>
      <c r="BT79" s="152" t="n">
        <v>8238594.092</v>
      </c>
      <c r="BU79" s="152" t="n">
        <v>203515.523</v>
      </c>
      <c r="BV79" s="152" t="n">
        <v>8238631.681</v>
      </c>
      <c r="BW79" s="152" t="n">
        <v>-15.9139894</v>
      </c>
      <c r="BX79" s="152" t="n">
        <v>-47.7690749</v>
      </c>
      <c r="BY79" s="152" t="s">
        <v>1806</v>
      </c>
    </row>
    <row r="80" customFormat="false" ht="13.8" hidden="false" customHeight="false" outlineLevel="0" collapsed="false">
      <c r="A80" s="149" t="n">
        <f aca="false">IF(C80&lt;&gt;"",ROW(A75),"")</f>
        <v>75</v>
      </c>
      <c r="B80" s="150" t="str">
        <f aca="false">HYPERLINK("https://www.google.com/maps/dir/-15.917302,-47.760003/-15.9142846,-47.7722812/data=!4m3!4m2!3e0!5i0")</f>
        <v>https://www.google.com/maps/dir/-15.917302,-47.760003/-15.9142846,-47.7722812/data=!4m3!4m2!3e0!5i0</v>
      </c>
      <c r="C80" s="151" t="s">
        <v>117</v>
      </c>
      <c r="D80" s="152" t="s">
        <v>112</v>
      </c>
      <c r="E80" s="152" t="s">
        <v>113</v>
      </c>
      <c r="F80" s="152" t="s">
        <v>117</v>
      </c>
      <c r="G80" s="152" t="s">
        <v>782</v>
      </c>
      <c r="H80" s="152" t="n">
        <v>63</v>
      </c>
      <c r="I80" s="152" t="s">
        <v>115</v>
      </c>
      <c r="J80" s="152" t="s">
        <v>6</v>
      </c>
      <c r="K80" s="152" t="s">
        <v>1547</v>
      </c>
      <c r="L80" s="152" t="s">
        <v>120</v>
      </c>
      <c r="M80" s="153" t="n">
        <f aca="false">47.75</f>
        <v>47.75</v>
      </c>
      <c r="N80" s="152" t="s">
        <v>1548</v>
      </c>
      <c r="O80" s="152" t="s">
        <v>1549</v>
      </c>
      <c r="P80" s="152" t="s">
        <v>1550</v>
      </c>
      <c r="Q80" s="152" t="s">
        <v>1551</v>
      </c>
      <c r="R80" s="154" t="s">
        <v>1831</v>
      </c>
      <c r="S80" s="154" t="s">
        <v>1553</v>
      </c>
      <c r="T80" s="155" t="s">
        <v>1746</v>
      </c>
      <c r="U80" s="152" t="str">
        <f aca="false">RIGHT(T80,7)</f>
        <v>003/037</v>
      </c>
      <c r="V80" s="152" t="s">
        <v>1555</v>
      </c>
      <c r="W80" s="156" t="n">
        <v>45882</v>
      </c>
      <c r="X80" s="152" t="s">
        <v>1594</v>
      </c>
      <c r="Y80" s="152"/>
      <c r="Z80" s="152" t="s">
        <v>1557</v>
      </c>
      <c r="AA80" s="153" t="n">
        <v>2.5</v>
      </c>
      <c r="AB80" s="151" t="s">
        <v>1832</v>
      </c>
      <c r="AC80" s="151" t="s">
        <v>186</v>
      </c>
      <c r="AD80" s="151" t="str">
        <f aca="false">CONCATENATE($C80,$I80,$H80,$N80,$J80,$K80)</f>
        <v>TUBO PEADPEAD63VCAREDESZona01</v>
      </c>
      <c r="AE80" s="153" t="n">
        <f aca="false">IFERROR(INDEX(APOIO_REDES!$A:$W,MATCH($C80&amp;$I80&amp;$H80&amp;$N80&amp;$O80,APOIO_REDES!$W:$W,0),MATCH(AE$5,APOIO_REDES!$5:$5,0)),0)</f>
        <v>1.2</v>
      </c>
      <c r="AF80" s="153" t="n">
        <f aca="false">IFERROR(INDEX(APOIO_REDES!$A:$W,MATCH($C80&amp;$I80&amp;$H80&amp;$N80&amp;$O80,APOIO_REDES!$W:$W,0),MATCH(AF$5,APOIO_REDES!$5:$5,0)),0)</f>
        <v>1.363</v>
      </c>
      <c r="AG80" s="153" t="n">
        <f aca="false">IFERROR(INDEX(APOIO_REDES!$A:$W,MATCH($C80&amp;$I80&amp;$H80&amp;$N80&amp;$O80,APOIO_REDES!$W:$W,0),MATCH(AG$5,APOIO_REDES!$5:$5,0)),0)</f>
        <v>0.65</v>
      </c>
      <c r="AH80" s="153" t="n">
        <f aca="false">IFERROR(INDEX(APOIO_REDES!$A:$W,MATCH($C80&amp;$I80&amp;$H80&amp;$N80&amp;$O80,APOIO_REDES!$W:$W,0),MATCH(AH$5,APOIO_REDES!$5:$5,0)),0)</f>
        <v>0.1</v>
      </c>
      <c r="AI80" s="153" t="n">
        <f aca="false">IFERROR(IF($H80&lt;&gt;"",(((($H80/1000)/2)^2)*PI()*$M80),0),0)</f>
        <v>0.148848463577544</v>
      </c>
      <c r="AJ80" s="153" t="n">
        <f aca="false">IFERROR(IF(AND($H80&lt;&gt;"",$I80="FoFo",OR($N80="MND",$N80="VCA"),$Q80="LINEAR"),0,IF(AND($H80&lt;&gt;"",$I80="PEAD",$N80="VCA",$Q80="LINEAR"),($H80/1000)+0.3,IF(AND($H80&lt;&gt;"",$I80="PEAD",$N80="MND",$Q80="EMBOQUE"),0,IF(AND($H80&lt;&gt;"",$I80="PVC",$N80="VCA",$Q80="LINEAR"),($H80/1000)+0.2,IF(AND($H80&lt;&gt;"",$I80="PVC",$N80="MND",$Q80="EMBOQUE"),0,IF(AND($H80&lt;&gt;"",$I80="PEAD",$N80="VCA",$Q80="PREDIAL"),0,0)))))),0)</f>
        <v>0.363</v>
      </c>
      <c r="AK80" s="153" t="n">
        <f aca="false">IF(AA80&lt;&gt;"",AA80,0)</f>
        <v>2.5</v>
      </c>
      <c r="AL80" s="153" t="n">
        <f aca="false">IF(AND($N80="MND",$Q80="EMBOQUE"),$M80,IF(AND($N80="VCA",$Q80="LINEAR"),$M80,IF(AND($N80="VCA",$Q80="PREDIAL"),0,0)))</f>
        <v>47.75</v>
      </c>
      <c r="AM80" s="153" t="n">
        <f aca="false">IF(AND($N80="MND",$Q80="EMBOQUE"),$M80,IF(AND($N80="VCA",$Q80="LINEAR"),$M80,IF(AND($N80="VCA",$Q80="PREDIAL"),0,0)))</f>
        <v>47.75</v>
      </c>
      <c r="AN80" s="153" t="n">
        <f aca="false">ROUND(IF(AND($N80="VCA",$M80&lt;&gt;"",$Q80="LINEAR"),$M80/100,IF(AND($N80="MND",$M80&gt;100,$Q80="EMBOQUE"),$M80/100,0)),0)</f>
        <v>0</v>
      </c>
      <c r="AO80" s="153" t="n">
        <f aca="false">IF(AND($N80="MND",$Q80="EMBOQUE"),$AN80*2*2,IF(AND($N80="VCA",$Q80="LINEAR"),$M80*2,IF(AND($N80="VCA",$Q80="PREDIAL"),0,0)))</f>
        <v>95.5</v>
      </c>
      <c r="AP80" s="153" t="n">
        <f aca="false">IFERROR($M80*$AF80*$AG80,0)</f>
        <v>42.3041125</v>
      </c>
      <c r="AQ80" s="153" t="n">
        <f aca="false">IFERROR(IF(AND($N80="VCA",$AH80&gt;0),$M80*$AG80*$AH80,0),0)</f>
        <v>3.10375</v>
      </c>
      <c r="AR80" s="153" t="n">
        <f aca="false">IFERROR(IF(AND($N80="VCA",$AJ80&gt;0),($M80*$AG80*$AJ80)-$AI80,0),0)</f>
        <v>11.1177640364225</v>
      </c>
      <c r="AS80" s="153" t="n">
        <f aca="false">IFERROR(IF(AND($N80="VCA",$AP80&gt;0),$AP80-$AI80-$AQ80-$AR80,0),0)</f>
        <v>27.93375</v>
      </c>
      <c r="AT80" s="153" t="n">
        <f aca="false">IFERROR(IF($N80="VCA",INDEX(APOIO_REDES!$A:$W,MATCH($C80&amp;$I80&amp;$H80&amp;$N80&amp;$O80,APOIO_REDES!$W:$W,0),MATCH(AT$5,APOIO_REDES!$5:$5,0)),0)*$AP80,0)</f>
        <v>0.460281265378148</v>
      </c>
      <c r="AU80" s="153" t="n">
        <f aca="false">IFERROR(IF($N80="VCA",INDEX(APOIO_REDES!$A:$W,MATCH($C80&amp;$I80&amp;$H80&amp;$N80&amp;$O80,APOIO_REDES!$W:$W,0),MATCH(AU$5,APOIO_REDES!$5:$5,0)),0)*$AP80,0)</f>
        <v>0.367568152533378</v>
      </c>
      <c r="AV80" s="153" t="n">
        <f aca="false">IFERROR(IF($N80="VCA",INDEX(APOIO_REDES!$A:$W,MATCH($C80&amp;$I80&amp;$H80&amp;$N80&amp;$O80,APOIO_REDES!$W:$W,0),MATCH(AV$5,APOIO_REDES!$5:$5,0)),0)*$AP80,0)</f>
        <v>0.0508685467874864</v>
      </c>
      <c r="AW80" s="153" t="n">
        <f aca="false">IFERROR(IF($N80="VCA",INDEX(APOIO_REDES!$A:$W,MATCH($C80&amp;$I80&amp;$H80&amp;$N80&amp;$O80,APOIO_REDES!$W:$W,0),MATCH(AW$5,APOIO_REDES!$5:$5,0)),0)*$AP80,0)</f>
        <v>29.0378706082589</v>
      </c>
      <c r="AX80" s="153" t="n">
        <f aca="false">IFERROR(IF($N80="VCA",INDEX(APOIO_REDES!$A:$W,MATCH($C80&amp;$I80&amp;$H80&amp;$N80&amp;$O80,APOIO_REDES!$W:$W,0),MATCH(AX$5,APOIO_REDES!$5:$5,0)),0)*$AP80,0)</f>
        <v>4.01875857624289</v>
      </c>
      <c r="AY80" s="153" t="n">
        <f aca="false">IFERROR(IF($N80="VCA",INDEX(APOIO_REDES!$A:$W,MATCH($C80&amp;$I80&amp;$H80&amp;$N80&amp;$O80,APOIO_REDES!$W:$W,0),MATCH(AY$5,APOIO_REDES!$5:$5,0)),0)*$AP80,0)</f>
        <v>7.35135857004158</v>
      </c>
      <c r="AZ80" s="153" t="n">
        <f aca="false">IFERROR(IF($N80="VCA",INDEX(APOIO_REDES!$A:$W,MATCH($C80&amp;$I80&amp;$H80&amp;$N80&amp;$O80,APOIO_REDES!$W:$W,0),MATCH(AZ$5,APOIO_REDES!$5:$5,0)),0)*$AP80,0)</f>
        <v>1.01740678075759</v>
      </c>
      <c r="BA80" s="153" t="n">
        <f aca="false">IFERROR(IF(AND($N80="VCA",$Q80="LINEAR"),INDEX(APOIO_REDES!$A:$W,MATCH($C80&amp;$I80&amp;$H80&amp;$N80&amp;$O80,APOIO_REDES!$W:$W,0),MATCH(BA$5,APOIO_REDES!$5:$5,0)),IF(AND($N80="MND",$Q80="EMBOQUE"),INDEX(APOIO_REDES!$A:$W,MATCH($C80&amp;$I80&amp;$H80&amp;$N80&amp;$O80,APOIO_REDES!$W:$W,0),MATCH(BA$5,APOIO_REDES!$5:$5,0)),0))*$M80/10,0)</f>
        <v>3.84852955443451</v>
      </c>
      <c r="BB80" s="153" t="n">
        <f aca="false">IFERROR(IF($N80="VCA",INDEX(APOIO_REDES!$A:$W,MATCH($C80&amp;$I80&amp;$H80&amp;$N80&amp;$O80,APOIO_REDES!$W:$W,0),MATCH(BB$5,APOIO_REDES!$5:$5,0)),0)*($AI80+$AQ80+$AR80),0)</f>
        <v>14.2140087025898</v>
      </c>
      <c r="BC80" s="153" t="n">
        <f aca="false">IFERROR(IF($N80="VCA",INDEX(APOIO_REDES!$A:$W,MATCH($C80&amp;$I80&amp;$H80&amp;$N80&amp;$O80,APOIO_REDES!$W:$W,0),MATCH(BC$5,APOIO_REDES!$5:$5,0)),0)*($AI80+$AQ80+$AR80),0)</f>
        <v>0.156353797410185</v>
      </c>
      <c r="BD80" s="153" t="n">
        <f aca="false">IF(AND($N80="VCA",$AF80&gt;=1.25,$AF80&lt;1.5),$M80*$AF80*2,0)</f>
        <v>130.1665</v>
      </c>
      <c r="BE80" s="153" t="n">
        <f aca="false">IF(AND($N80="VCA",$AF80&gt;=1.5,$AF80&lt;3),$M80*$AF80*2,0)</f>
        <v>0</v>
      </c>
      <c r="BF80" s="153" t="n">
        <f aca="false">IF(AND($N80="VCA",$AF80&gt;=3),$M80*$AF80*2,0)</f>
        <v>0</v>
      </c>
      <c r="BG80" s="153" t="n">
        <f aca="false">($BB80+$BC80)*$AK80</f>
        <v>35.92590625</v>
      </c>
      <c r="BH80" s="153" t="n">
        <f aca="false">IF(AND($M80&lt;&gt;"",$N80="VCA",$Q80="LINEAR"),($M80*2)/100,IF(AND($M80&lt;&gt;"",$N80="MND",$Q80="EMBOQUE"),($AN80*2)/100,0))</f>
        <v>0.955</v>
      </c>
      <c r="BI80" s="153" t="n">
        <f aca="false">IF(AND($M80&lt;&gt;"",$N80="VCA",$Q80="LINEAR"),$M80,IF(AND($M80&lt;&gt;"",$N80="MND",$Q80="EMBOQUE"),$AN80*2,0))</f>
        <v>47.75</v>
      </c>
      <c r="BJ80" s="153" t="n">
        <f aca="false">IF(AND($M80&lt;&gt;"",$N80="VCA",$Q80="LINEAR"),($M80*6.8)/100,IF(AND($M80&lt;&gt;"",$N80="MND",$Q80="EMBOQUE"),($AN80*2*6.8)/100,0))</f>
        <v>3.247</v>
      </c>
      <c r="BK80" s="153" t="n">
        <f aca="false">IF(AND($M80&lt;&gt;"",$N80="VCA",$Q80="LINEAR"),($M80*2.5)/50,IF(AND($M80&lt;&gt;"",$N80="MND",$Q80="EMBOQUE"),($AN80*2*2.5)/50,0))</f>
        <v>2.3875</v>
      </c>
      <c r="BL80" s="157" t="str">
        <f aca="false">K80&amp;J80</f>
        <v>Zona01REDES</v>
      </c>
      <c r="BM80" s="152" t="s">
        <v>1559</v>
      </c>
      <c r="BN80" s="152" t="s">
        <v>1560</v>
      </c>
      <c r="BO80" s="152" t="s">
        <v>1748</v>
      </c>
      <c r="BP80" s="152" t="s">
        <v>1833</v>
      </c>
      <c r="BQ80" s="152" t="s">
        <v>1822</v>
      </c>
      <c r="BR80" s="152" t="s">
        <v>1834</v>
      </c>
      <c r="BS80" s="152" t="n">
        <v>203164.071</v>
      </c>
      <c r="BT80" s="152" t="n">
        <v>8238575.734</v>
      </c>
      <c r="BU80" s="152" t="n">
        <v>203192.611</v>
      </c>
      <c r="BV80" s="152" t="n">
        <v>8238614.015</v>
      </c>
      <c r="BW80" s="152" t="n">
        <v>-15.9141135</v>
      </c>
      <c r="BX80" s="152" t="n">
        <v>-47.7721457</v>
      </c>
      <c r="BY80" s="152" t="s">
        <v>1833</v>
      </c>
    </row>
    <row r="81" customFormat="false" ht="13.8" hidden="false" customHeight="false" outlineLevel="0" collapsed="false">
      <c r="A81" s="149" t="n">
        <f aca="false">IF(C81&lt;&gt;"",ROW(A76),"")</f>
        <v>76</v>
      </c>
      <c r="B81" s="150" t="str">
        <f aca="false">HYPERLINK("https://www.google.com/maps/dir/-15.917302,-47.760003/-15.9142846,-47.7722812/data=!4m3!4m2!3e0!5i0")</f>
        <v>https://www.google.com/maps/dir/-15.917302,-47.760003/-15.9142846,-47.7722812/data=!4m3!4m2!3e0!5i0</v>
      </c>
      <c r="C81" s="151" t="s">
        <v>117</v>
      </c>
      <c r="D81" s="152" t="s">
        <v>112</v>
      </c>
      <c r="E81" s="152" t="s">
        <v>113</v>
      </c>
      <c r="F81" s="152" t="s">
        <v>117</v>
      </c>
      <c r="G81" s="152" t="s">
        <v>782</v>
      </c>
      <c r="H81" s="152" t="n">
        <v>63</v>
      </c>
      <c r="I81" s="152" t="s">
        <v>115</v>
      </c>
      <c r="J81" s="152" t="s">
        <v>6</v>
      </c>
      <c r="K81" s="152" t="s">
        <v>1547</v>
      </c>
      <c r="L81" s="152" t="s">
        <v>120</v>
      </c>
      <c r="M81" s="153" t="n">
        <f aca="false">46.67</f>
        <v>46.67</v>
      </c>
      <c r="N81" s="152" t="s">
        <v>1548</v>
      </c>
      <c r="O81" s="152" t="s">
        <v>1549</v>
      </c>
      <c r="P81" s="152" t="s">
        <v>1550</v>
      </c>
      <c r="Q81" s="152" t="s">
        <v>1551</v>
      </c>
      <c r="R81" s="154" t="s">
        <v>1835</v>
      </c>
      <c r="S81" s="154" t="s">
        <v>1553</v>
      </c>
      <c r="T81" s="155" t="s">
        <v>1746</v>
      </c>
      <c r="U81" s="152" t="str">
        <f aca="false">RIGHT(T81,7)</f>
        <v>003/037</v>
      </c>
      <c r="V81" s="152" t="s">
        <v>1555</v>
      </c>
      <c r="W81" s="156" t="n">
        <v>45882</v>
      </c>
      <c r="X81" s="152" t="s">
        <v>1594</v>
      </c>
      <c r="Y81" s="152"/>
      <c r="Z81" s="152" t="s">
        <v>1557</v>
      </c>
      <c r="AA81" s="153" t="n">
        <v>2.5</v>
      </c>
      <c r="AB81" s="151" t="s">
        <v>1836</v>
      </c>
      <c r="AC81" s="151" t="s">
        <v>186</v>
      </c>
      <c r="AD81" s="151" t="str">
        <f aca="false">CONCATENATE($C81,$I81,$H81,$N81,$J81,$K81)</f>
        <v>TUBO PEADPEAD63VCAREDESZona01</v>
      </c>
      <c r="AE81" s="153" t="n">
        <f aca="false">IFERROR(INDEX(APOIO_REDES!$A:$W,MATCH($C81&amp;$I81&amp;$H81&amp;$N81&amp;$O81,APOIO_REDES!$W:$W,0),MATCH(AE$5,APOIO_REDES!$5:$5,0)),0)</f>
        <v>1.2</v>
      </c>
      <c r="AF81" s="153" t="n">
        <f aca="false">IFERROR(INDEX(APOIO_REDES!$A:$W,MATCH($C81&amp;$I81&amp;$H81&amp;$N81&amp;$O81,APOIO_REDES!$W:$W,0),MATCH(AF$5,APOIO_REDES!$5:$5,0)),0)</f>
        <v>1.363</v>
      </c>
      <c r="AG81" s="153" t="n">
        <f aca="false">IFERROR(INDEX(APOIO_REDES!$A:$W,MATCH($C81&amp;$I81&amp;$H81&amp;$N81&amp;$O81,APOIO_REDES!$W:$W,0),MATCH(AG$5,APOIO_REDES!$5:$5,0)),0)</f>
        <v>0.65</v>
      </c>
      <c r="AH81" s="153" t="n">
        <f aca="false">IFERROR(INDEX(APOIO_REDES!$A:$W,MATCH($C81&amp;$I81&amp;$H81&amp;$N81&amp;$O81,APOIO_REDES!$W:$W,0),MATCH(AH$5,APOIO_REDES!$5:$5,0)),0)</f>
        <v>0.1</v>
      </c>
      <c r="AI81" s="153" t="n">
        <f aca="false">IFERROR(IF($H81&lt;&gt;"",(((($H81/1000)/2)^2)*PI()*$M81),0),0)</f>
        <v>0.145481838642177</v>
      </c>
      <c r="AJ81" s="153" t="n">
        <f aca="false">IFERROR(IF(AND($H81&lt;&gt;"",$I81="FoFo",OR($N81="MND",$N81="VCA"),$Q81="LINEAR"),0,IF(AND($H81&lt;&gt;"",$I81="PEAD",$N81="VCA",$Q81="LINEAR"),($H81/1000)+0.3,IF(AND($H81&lt;&gt;"",$I81="PEAD",$N81="MND",$Q81="EMBOQUE"),0,IF(AND($H81&lt;&gt;"",$I81="PVC",$N81="VCA",$Q81="LINEAR"),($H81/1000)+0.2,IF(AND($H81&lt;&gt;"",$I81="PVC",$N81="MND",$Q81="EMBOQUE"),0,IF(AND($H81&lt;&gt;"",$I81="PEAD",$N81="VCA",$Q81="PREDIAL"),0,0)))))),0)</f>
        <v>0.363</v>
      </c>
      <c r="AK81" s="153" t="n">
        <f aca="false">IF(AA81&lt;&gt;"",AA81,0)</f>
        <v>2.5</v>
      </c>
      <c r="AL81" s="153" t="n">
        <f aca="false">IF(AND($N81="MND",$Q81="EMBOQUE"),$M81,IF(AND($N81="VCA",$Q81="LINEAR"),$M81,IF(AND($N81="VCA",$Q81="PREDIAL"),0,0)))</f>
        <v>46.67</v>
      </c>
      <c r="AM81" s="153" t="n">
        <f aca="false">IF(AND($N81="MND",$Q81="EMBOQUE"),$M81,IF(AND($N81="VCA",$Q81="LINEAR"),$M81,IF(AND($N81="VCA",$Q81="PREDIAL"),0,0)))</f>
        <v>46.67</v>
      </c>
      <c r="AN81" s="153" t="n">
        <f aca="false">ROUND(IF(AND($N81="VCA",$M81&lt;&gt;"",$Q81="LINEAR"),$M81/100,IF(AND($N81="MND",$M81&gt;100,$Q81="EMBOQUE"),$M81/100,0)),0)</f>
        <v>0</v>
      </c>
      <c r="AO81" s="153" t="n">
        <f aca="false">IF(AND($N81="MND",$Q81="EMBOQUE"),$AN81*2*2,IF(AND($N81="VCA",$Q81="LINEAR"),$M81*2,IF(AND($N81="VCA",$Q81="PREDIAL"),0,0)))</f>
        <v>93.34</v>
      </c>
      <c r="AP81" s="153" t="n">
        <f aca="false">IFERROR($M81*$AF81*$AG81,0)</f>
        <v>41.3472865</v>
      </c>
      <c r="AQ81" s="153" t="n">
        <f aca="false">IFERROR(IF(AND($N81="VCA",$AH81&gt;0),$M81*$AG81*$AH81,0),0)</f>
        <v>3.03355</v>
      </c>
      <c r="AR81" s="153" t="n">
        <f aca="false">IFERROR(IF(AND($N81="VCA",$AJ81&gt;0),($M81*$AG81*$AJ81)-$AI81,0),0)</f>
        <v>10.8663046613578</v>
      </c>
      <c r="AS81" s="153" t="n">
        <f aca="false">IFERROR(IF(AND($N81="VCA",$AP81&gt;0),$AP81-$AI81-$AQ81-$AR81,0),0)</f>
        <v>27.30195</v>
      </c>
      <c r="AT81" s="153" t="n">
        <f aca="false">IFERROR(IF($N81="VCA",INDEX(APOIO_REDES!$A:$W,MATCH($C81&amp;$I81&amp;$H81&amp;$N81&amp;$O81,APOIO_REDES!$W:$W,0),MATCH(AT$5,APOIO_REDES!$5:$5,0)),0)*$AP81,0)</f>
        <v>0.449870715292108</v>
      </c>
      <c r="AU81" s="153" t="n">
        <f aca="false">IFERROR(IF($N81="VCA",INDEX(APOIO_REDES!$A:$W,MATCH($C81&amp;$I81&amp;$H81&amp;$N81&amp;$O81,APOIO_REDES!$W:$W,0),MATCH(AU$5,APOIO_REDES!$5:$5,0)),0)*$AP81,0)</f>
        <v>0.359254569188121</v>
      </c>
      <c r="AV81" s="153" t="n">
        <f aca="false">IFERROR(IF($N81="VCA",INDEX(APOIO_REDES!$A:$W,MATCH($C81&amp;$I81&amp;$H81&amp;$N81&amp;$O81,APOIO_REDES!$W:$W,0),MATCH(AV$5,APOIO_REDES!$5:$5,0)),0)*$AP81,0)</f>
        <v>0.0497180121166909</v>
      </c>
      <c r="AW81" s="153" t="n">
        <f aca="false">IFERROR(IF($N81="VCA",INDEX(APOIO_REDES!$A:$W,MATCH($C81&amp;$I81&amp;$H81&amp;$N81&amp;$O81,APOIO_REDES!$W:$W,0),MATCH(AW$5,APOIO_REDES!$5:$5,0)),0)*$AP81,0)</f>
        <v>28.3810978280093</v>
      </c>
      <c r="AX81" s="153" t="n">
        <f aca="false">IFERROR(IF($N81="VCA",INDEX(APOIO_REDES!$A:$W,MATCH($C81&amp;$I81&amp;$H81&amp;$N81&amp;$O81,APOIO_REDES!$W:$W,0),MATCH(AX$5,APOIO_REDES!$5:$5,0)),0)*$AP81,0)</f>
        <v>3.92786309430901</v>
      </c>
      <c r="AY81" s="153" t="n">
        <f aca="false">IFERROR(IF($N81="VCA",INDEX(APOIO_REDES!$A:$W,MATCH($C81&amp;$I81&amp;$H81&amp;$N81&amp;$O81,APOIO_REDES!$W:$W,0),MATCH(AY$5,APOIO_REDES!$5:$5,0)),0)*$AP81,0)</f>
        <v>7.18508700447834</v>
      </c>
      <c r="AZ81" s="153" t="n">
        <f aca="false">IFERROR(IF($N81="VCA",INDEX(APOIO_REDES!$A:$W,MATCH($C81&amp;$I81&amp;$H81&amp;$N81&amp;$O81,APOIO_REDES!$W:$W,0),MATCH(AZ$5,APOIO_REDES!$5:$5,0)),0)*$AP81,0)</f>
        <v>0.994395276606426</v>
      </c>
      <c r="BA81" s="153" t="n">
        <f aca="false">IFERROR(IF(AND($N81="VCA",$Q81="LINEAR"),INDEX(APOIO_REDES!$A:$W,MATCH($C81&amp;$I81&amp;$H81&amp;$N81&amp;$O81,APOIO_REDES!$W:$W,0),MATCH(BA$5,APOIO_REDES!$5:$5,0)),IF(AND($N81="MND",$Q81="EMBOQUE"),INDEX(APOIO_REDES!$A:$W,MATCH($C81&amp;$I81&amp;$H81&amp;$N81&amp;$O81,APOIO_REDES!$W:$W,0),MATCH(BA$5,APOIO_REDES!$5:$5,0)),0))*$M81/10,0)</f>
        <v>3.76148427864835</v>
      </c>
      <c r="BB81" s="153" t="n">
        <f aca="false">IFERROR(IF($N81="VCA",INDEX(APOIO_REDES!$A:$W,MATCH($C81&amp;$I81&amp;$H81&amp;$N81&amp;$O81,APOIO_REDES!$W:$W,0),MATCH(BB$5,APOIO_REDES!$5:$5,0)),0)*($AI81+$AQ81+$AR81),0)</f>
        <v>13.8925190816726</v>
      </c>
      <c r="BC81" s="153" t="n">
        <f aca="false">IFERROR(IF($N81="VCA",INDEX(APOIO_REDES!$A:$W,MATCH($C81&amp;$I81&amp;$H81&amp;$N81&amp;$O81,APOIO_REDES!$W:$W,0),MATCH(BC$5,APOIO_REDES!$5:$5,0)),0)*($AI81+$AQ81+$AR81),0)</f>
        <v>0.1528174183274</v>
      </c>
      <c r="BD81" s="153" t="n">
        <f aca="false">IF(AND($N81="VCA",$AF81&gt;=1.25,$AF81&lt;1.5),$M81*$AF81*2,0)</f>
        <v>127.22242</v>
      </c>
      <c r="BE81" s="153" t="n">
        <f aca="false">IF(AND($N81="VCA",$AF81&gt;=1.5,$AF81&lt;3),$M81*$AF81*2,0)</f>
        <v>0</v>
      </c>
      <c r="BF81" s="153" t="n">
        <f aca="false">IF(AND($N81="VCA",$AF81&gt;=3),$M81*$AF81*2,0)</f>
        <v>0</v>
      </c>
      <c r="BG81" s="153" t="n">
        <f aca="false">($BB81+$BC81)*$AK81</f>
        <v>35.11334125</v>
      </c>
      <c r="BH81" s="153" t="n">
        <f aca="false">IF(AND($M81&lt;&gt;"",$N81="VCA",$Q81="LINEAR"),($M81*2)/100,IF(AND($M81&lt;&gt;"",$N81="MND",$Q81="EMBOQUE"),($AN81*2)/100,0))</f>
        <v>0.9334</v>
      </c>
      <c r="BI81" s="153" t="n">
        <f aca="false">IF(AND($M81&lt;&gt;"",$N81="VCA",$Q81="LINEAR"),$M81,IF(AND($M81&lt;&gt;"",$N81="MND",$Q81="EMBOQUE"),$AN81*2,0))</f>
        <v>46.67</v>
      </c>
      <c r="BJ81" s="153" t="n">
        <f aca="false">IF(AND($M81&lt;&gt;"",$N81="VCA",$Q81="LINEAR"),($M81*6.8)/100,IF(AND($M81&lt;&gt;"",$N81="MND",$Q81="EMBOQUE"),($AN81*2*6.8)/100,0))</f>
        <v>3.17356</v>
      </c>
      <c r="BK81" s="153" t="n">
        <f aca="false">IF(AND($M81&lt;&gt;"",$N81="VCA",$Q81="LINEAR"),($M81*2.5)/50,IF(AND($M81&lt;&gt;"",$N81="MND",$Q81="EMBOQUE"),($AN81*2*2.5)/50,0))</f>
        <v>2.3335</v>
      </c>
      <c r="BL81" s="157" t="str">
        <f aca="false">K81&amp;J81</f>
        <v>Zona01REDES</v>
      </c>
      <c r="BM81" s="152" t="s">
        <v>1559</v>
      </c>
      <c r="BN81" s="152" t="s">
        <v>1560</v>
      </c>
      <c r="BO81" s="152" t="s">
        <v>1748</v>
      </c>
      <c r="BP81" s="152" t="s">
        <v>1833</v>
      </c>
      <c r="BQ81" s="152" t="s">
        <v>1818</v>
      </c>
      <c r="BR81" s="152" t="s">
        <v>1837</v>
      </c>
      <c r="BS81" s="152" t="n">
        <v>203164.071</v>
      </c>
      <c r="BT81" s="152" t="n">
        <v>8238575.734</v>
      </c>
      <c r="BU81" s="152" t="n">
        <v>203126.284</v>
      </c>
      <c r="BV81" s="152" t="n">
        <v>8238603.116</v>
      </c>
      <c r="BW81" s="152" t="n">
        <v>-15.9141605</v>
      </c>
      <c r="BX81" s="152" t="n">
        <v>-47.7724571</v>
      </c>
      <c r="BY81" s="152" t="s">
        <v>1833</v>
      </c>
    </row>
    <row r="82" customFormat="false" ht="13.8" hidden="false" customHeight="false" outlineLevel="0" collapsed="false">
      <c r="A82" s="149" t="n">
        <f aca="false">IF(C82&lt;&gt;"",ROW(A77),"")</f>
        <v>77</v>
      </c>
      <c r="B82" s="150" t="str">
        <f aca="false">HYPERLINK("https://www.google.com/maps/dir/-15.917302,-47.760003/-15.9143039,-47.7728664/data=!4m3!4m2!3e0!5i0")</f>
        <v>https://www.google.com/maps/dir/-15.917302,-47.760003/-15.9143039,-47.7728664/data=!4m3!4m2!3e0!5i0</v>
      </c>
      <c r="C82" s="151" t="s">
        <v>117</v>
      </c>
      <c r="D82" s="152" t="s">
        <v>112</v>
      </c>
      <c r="E82" s="152" t="s">
        <v>113</v>
      </c>
      <c r="F82" s="152" t="s">
        <v>117</v>
      </c>
      <c r="G82" s="152" t="s">
        <v>782</v>
      </c>
      <c r="H82" s="152" t="n">
        <v>63</v>
      </c>
      <c r="I82" s="152" t="s">
        <v>115</v>
      </c>
      <c r="J82" s="152" t="s">
        <v>6</v>
      </c>
      <c r="K82" s="152" t="s">
        <v>1547</v>
      </c>
      <c r="L82" s="152" t="s">
        <v>120</v>
      </c>
      <c r="M82" s="153" t="n">
        <f aca="false">39.24</f>
        <v>39.24</v>
      </c>
      <c r="N82" s="152" t="s">
        <v>1548</v>
      </c>
      <c r="O82" s="152" t="s">
        <v>1549</v>
      </c>
      <c r="P82" s="152" t="s">
        <v>1550</v>
      </c>
      <c r="Q82" s="152" t="s">
        <v>1551</v>
      </c>
      <c r="R82" s="154" t="s">
        <v>1838</v>
      </c>
      <c r="S82" s="154" t="s">
        <v>1553</v>
      </c>
      <c r="T82" s="155" t="s">
        <v>1746</v>
      </c>
      <c r="U82" s="152" t="str">
        <f aca="false">RIGHT(T82,7)</f>
        <v>003/037</v>
      </c>
      <c r="V82" s="152" t="s">
        <v>1555</v>
      </c>
      <c r="W82" s="156" t="n">
        <v>45882</v>
      </c>
      <c r="X82" s="152" t="s">
        <v>1594</v>
      </c>
      <c r="Y82" s="152" t="s">
        <v>1839</v>
      </c>
      <c r="Z82" s="152" t="s">
        <v>1557</v>
      </c>
      <c r="AA82" s="153" t="n">
        <v>2.6</v>
      </c>
      <c r="AB82" s="151" t="s">
        <v>1840</v>
      </c>
      <c r="AC82" s="151" t="s">
        <v>186</v>
      </c>
      <c r="AD82" s="151" t="str">
        <f aca="false">CONCATENATE($C82,$I82,$H82,$N82,$J82,$K82)</f>
        <v>TUBO PEADPEAD63VCAREDESZona01</v>
      </c>
      <c r="AE82" s="153" t="n">
        <f aca="false">IFERROR(INDEX(APOIO_REDES!$A:$W,MATCH($C82&amp;$I82&amp;$H82&amp;$N82&amp;$O82,APOIO_REDES!$W:$W,0),MATCH(AE$5,APOIO_REDES!$5:$5,0)),0)</f>
        <v>1.2</v>
      </c>
      <c r="AF82" s="153" t="n">
        <f aca="false">IFERROR(INDEX(APOIO_REDES!$A:$W,MATCH($C82&amp;$I82&amp;$H82&amp;$N82&amp;$O82,APOIO_REDES!$W:$W,0),MATCH(AF$5,APOIO_REDES!$5:$5,0)),0)</f>
        <v>1.363</v>
      </c>
      <c r="AG82" s="153" t="n">
        <f aca="false">IFERROR(INDEX(APOIO_REDES!$A:$W,MATCH($C82&amp;$I82&amp;$H82&amp;$N82&amp;$O82,APOIO_REDES!$W:$W,0),MATCH(AG$5,APOIO_REDES!$5:$5,0)),0)</f>
        <v>0.65</v>
      </c>
      <c r="AH82" s="153" t="n">
        <f aca="false">IFERROR(INDEX(APOIO_REDES!$A:$W,MATCH($C82&amp;$I82&amp;$H82&amp;$N82&amp;$O82,APOIO_REDES!$W:$W,0),MATCH(AH$5,APOIO_REDES!$5:$5,0)),0)</f>
        <v>0.1</v>
      </c>
      <c r="AI82" s="153" t="n">
        <f aca="false">IFERROR(IF($H82&lt;&gt;"",(((($H82/1000)/2)^2)*PI()*$M82),0),0)</f>
        <v>0.12232070598498</v>
      </c>
      <c r="AJ82" s="153" t="n">
        <f aca="false">IFERROR(IF(AND($H82&lt;&gt;"",$I82="FoFo",OR($N82="MND",$N82="VCA"),$Q82="LINEAR"),0,IF(AND($H82&lt;&gt;"",$I82="PEAD",$N82="VCA",$Q82="LINEAR"),($H82/1000)+0.3,IF(AND($H82&lt;&gt;"",$I82="PEAD",$N82="MND",$Q82="EMBOQUE"),0,IF(AND($H82&lt;&gt;"",$I82="PVC",$N82="VCA",$Q82="LINEAR"),($H82/1000)+0.2,IF(AND($H82&lt;&gt;"",$I82="PVC",$N82="MND",$Q82="EMBOQUE"),0,IF(AND($H82&lt;&gt;"",$I82="PEAD",$N82="VCA",$Q82="PREDIAL"),0,0)))))),0)</f>
        <v>0.363</v>
      </c>
      <c r="AK82" s="153" t="n">
        <f aca="false">IF(AA82&lt;&gt;"",AA82,0)</f>
        <v>2.6</v>
      </c>
      <c r="AL82" s="153" t="n">
        <f aca="false">IF(AND($N82="MND",$Q82="EMBOQUE"),$M82,IF(AND($N82="VCA",$Q82="LINEAR"),$M82,IF(AND($N82="VCA",$Q82="PREDIAL"),0,0)))</f>
        <v>39.24</v>
      </c>
      <c r="AM82" s="153" t="n">
        <f aca="false">IF(AND($N82="MND",$Q82="EMBOQUE"),$M82,IF(AND($N82="VCA",$Q82="LINEAR"),$M82,IF(AND($N82="VCA",$Q82="PREDIAL"),0,0)))</f>
        <v>39.24</v>
      </c>
      <c r="AN82" s="153" t="n">
        <f aca="false">ROUND(IF(AND($N82="VCA",$M82&lt;&gt;"",$Q82="LINEAR"),$M82/100,IF(AND($N82="MND",$M82&gt;100,$Q82="EMBOQUE"),$M82/100,0)),0)</f>
        <v>0</v>
      </c>
      <c r="AO82" s="153" t="n">
        <f aca="false">IF(AND($N82="MND",$Q82="EMBOQUE"),$AN82*2*2,IF(AND($N82="VCA",$Q82="LINEAR"),$M82*2,IF(AND($N82="VCA",$Q82="PREDIAL"),0,0)))</f>
        <v>78.48</v>
      </c>
      <c r="AP82" s="153" t="n">
        <f aca="false">IFERROR($M82*$AF82*$AG82,0)</f>
        <v>34.764678</v>
      </c>
      <c r="AQ82" s="153" t="n">
        <f aca="false">IFERROR(IF(AND($N82="VCA",$AH82&gt;0),$M82*$AG82*$AH82,0),0)</f>
        <v>2.5506</v>
      </c>
      <c r="AR82" s="153" t="n">
        <f aca="false">IFERROR(IF(AND($N82="VCA",$AJ82&gt;0),($M82*$AG82*$AJ82)-$AI82,0),0)</f>
        <v>9.13635729401502</v>
      </c>
      <c r="AS82" s="153" t="n">
        <f aca="false">IFERROR(IF(AND($N82="VCA",$AP82&gt;0),$AP82-$AI82-$AQ82-$AR82,0),0)</f>
        <v>22.9554</v>
      </c>
      <c r="AT82" s="153" t="n">
        <f aca="false">IFERROR(IF($N82="VCA",INDEX(APOIO_REDES!$A:$W,MATCH($C82&amp;$I82&amp;$H82&amp;$N82&amp;$O82,APOIO_REDES!$W:$W,0),MATCH(AT$5,APOIO_REDES!$5:$5,0)),0)*$AP82,0)</f>
        <v>0.378249986459445</v>
      </c>
      <c r="AU82" s="153" t="n">
        <f aca="false">IFERROR(IF($N82="VCA",INDEX(APOIO_REDES!$A:$W,MATCH($C82&amp;$I82&amp;$H82&amp;$N82&amp;$O82,APOIO_REDES!$W:$W,0),MATCH(AU$5,APOIO_REDES!$5:$5,0)),0)*$AP82,0)</f>
        <v>0.302060194877691</v>
      </c>
      <c r="AV82" s="153" t="n">
        <f aca="false">IFERROR(IF($N82="VCA",INDEX(APOIO_REDES!$A:$W,MATCH($C82&amp;$I82&amp;$H82&amp;$N82&amp;$O82,APOIO_REDES!$W:$W,0),MATCH(AV$5,APOIO_REDES!$5:$5,0)),0)*$AP82,0)</f>
        <v>0.0418027597055699</v>
      </c>
      <c r="AW82" s="153" t="n">
        <f aca="false">IFERROR(IF($N82="VCA",INDEX(APOIO_REDES!$A:$W,MATCH($C82&amp;$I82&amp;$H82&amp;$N82&amp;$O82,APOIO_REDES!$W:$W,0),MATCH(AW$5,APOIO_REDES!$5:$5,0)),0)*$AP82,0)</f>
        <v>23.8627443490698</v>
      </c>
      <c r="AX82" s="153" t="n">
        <f aca="false">IFERROR(IF($N82="VCA",INDEX(APOIO_REDES!$A:$W,MATCH($C82&amp;$I82&amp;$H82&amp;$N82&amp;$O82,APOIO_REDES!$W:$W,0),MATCH(AX$5,APOIO_REDES!$5:$5,0)),0)*$AP82,0)</f>
        <v>3.30253584359729</v>
      </c>
      <c r="AY82" s="153" t="n">
        <f aca="false">IFERROR(IF($N82="VCA",INDEX(APOIO_REDES!$A:$W,MATCH($C82&amp;$I82&amp;$H82&amp;$N82&amp;$O82,APOIO_REDES!$W:$W,0),MATCH(AY$5,APOIO_REDES!$5:$5,0)),0)*$AP82,0)</f>
        <v>6.04120021546454</v>
      </c>
      <c r="AZ82" s="153" t="n">
        <f aca="false">IFERROR(IF($N82="VCA",INDEX(APOIO_REDES!$A:$W,MATCH($C82&amp;$I82&amp;$H82&amp;$N82&amp;$O82,APOIO_REDES!$W:$W,0),MATCH(AZ$5,APOIO_REDES!$5:$5,0)),0)*$AP82,0)</f>
        <v>0.836084650825716</v>
      </c>
      <c r="BA82" s="153" t="n">
        <f aca="false">IFERROR(IF(AND($N82="VCA",$Q82="LINEAR"),INDEX(APOIO_REDES!$A:$W,MATCH($C82&amp;$I82&amp;$H82&amp;$N82&amp;$O82,APOIO_REDES!$W:$W,0),MATCH(BA$5,APOIO_REDES!$5:$5,0)),IF(AND($N82="MND",$Q82="EMBOQUE"),INDEX(APOIO_REDES!$A:$W,MATCH($C82&amp;$I82&amp;$H82&amp;$N82&amp;$O82,APOIO_REDES!$W:$W,0),MATCH(BA$5,APOIO_REDES!$5:$5,0)),0))*$M82/10,0)</f>
        <v>3.16264502023058</v>
      </c>
      <c r="BB82" s="153" t="n">
        <f aca="false">IFERROR(IF($N82="VCA",INDEX(APOIO_REDES!$A:$W,MATCH($C82&amp;$I82&amp;$H82&amp;$N82&amp;$O82,APOIO_REDES!$W:$W,0),MATCH(BB$5,APOIO_REDES!$5:$5,0)),0)*($AI82+$AQ82+$AR82),0)</f>
        <v>11.6807895599921</v>
      </c>
      <c r="BC82" s="153" t="n">
        <f aca="false">IFERROR(IF($N82="VCA",INDEX(APOIO_REDES!$A:$W,MATCH($C82&amp;$I82&amp;$H82&amp;$N82&amp;$O82,APOIO_REDES!$W:$W,0),MATCH(BC$5,APOIO_REDES!$5:$5,0)),0)*($AI82+$AQ82+$AR82),0)</f>
        <v>0.128488440007867</v>
      </c>
      <c r="BD82" s="153" t="n">
        <f aca="false">IF(AND($N82="VCA",$AF82&gt;=1.25,$AF82&lt;1.5),$M82*$AF82*2,0)</f>
        <v>106.96824</v>
      </c>
      <c r="BE82" s="153" t="n">
        <f aca="false">IF(AND($N82="VCA",$AF82&gt;=1.5,$AF82&lt;3),$M82*$AF82*2,0)</f>
        <v>0</v>
      </c>
      <c r="BF82" s="153" t="n">
        <f aca="false">IF(AND($N82="VCA",$AF82&gt;=3),$M82*$AF82*2,0)</f>
        <v>0</v>
      </c>
      <c r="BG82" s="153" t="n">
        <f aca="false">($BB82+$BC82)*$AK82</f>
        <v>30.7041228</v>
      </c>
      <c r="BH82" s="153" t="n">
        <f aca="false">IF(AND($M82&lt;&gt;"",$N82="VCA",$Q82="LINEAR"),($M82*2)/100,IF(AND($M82&lt;&gt;"",$N82="MND",$Q82="EMBOQUE"),($AN82*2)/100,0))</f>
        <v>0.7848</v>
      </c>
      <c r="BI82" s="153" t="n">
        <f aca="false">IF(AND($M82&lt;&gt;"",$N82="VCA",$Q82="LINEAR"),$M82,IF(AND($M82&lt;&gt;"",$N82="MND",$Q82="EMBOQUE"),$AN82*2,0))</f>
        <v>39.24</v>
      </c>
      <c r="BJ82" s="153" t="n">
        <f aca="false">IF(AND($M82&lt;&gt;"",$N82="VCA",$Q82="LINEAR"),($M82*6.8)/100,IF(AND($M82&lt;&gt;"",$N82="MND",$Q82="EMBOQUE"),($AN82*2*6.8)/100,0))</f>
        <v>2.66832</v>
      </c>
      <c r="BK82" s="153" t="n">
        <f aca="false">IF(AND($M82&lt;&gt;"",$N82="VCA",$Q82="LINEAR"),($M82*2.5)/50,IF(AND($M82&lt;&gt;"",$N82="MND",$Q82="EMBOQUE"),($AN82*2*2.5)/50,0))</f>
        <v>1.962</v>
      </c>
      <c r="BL82" s="157" t="str">
        <f aca="false">K82&amp;J82</f>
        <v>Zona01REDES</v>
      </c>
      <c r="BM82" s="152" t="s">
        <v>1559</v>
      </c>
      <c r="BN82" s="152" t="s">
        <v>1560</v>
      </c>
      <c r="BO82" s="152" t="s">
        <v>1748</v>
      </c>
      <c r="BP82" s="152" t="s">
        <v>1841</v>
      </c>
      <c r="BQ82" s="152" t="s">
        <v>1818</v>
      </c>
      <c r="BR82" s="152" t="s">
        <v>1842</v>
      </c>
      <c r="BS82" s="152" t="n">
        <v>203101.404</v>
      </c>
      <c r="BT82" s="152" t="n">
        <v>8238572.774</v>
      </c>
      <c r="BU82" s="152" t="n">
        <v>203126.284</v>
      </c>
      <c r="BV82" s="152" t="n">
        <v>8238603.116</v>
      </c>
      <c r="BW82" s="152" t="n">
        <v>-15.9141684</v>
      </c>
      <c r="BX82" s="152" t="n">
        <v>-47.7727484</v>
      </c>
      <c r="BY82" s="152" t="s">
        <v>1841</v>
      </c>
    </row>
    <row r="83" customFormat="false" ht="13.8" hidden="false" customHeight="false" outlineLevel="0" collapsed="false">
      <c r="A83" s="149" t="n">
        <f aca="false">IF(C83&lt;&gt;"",ROW(A78),"")</f>
        <v>78</v>
      </c>
      <c r="B83" s="150" t="str">
        <f aca="false">HYPERLINK("https://www.google.com/maps/dir/-15.917302,-47.760003/-15.9148475,-47.7694979/data=!4m3!4m2!3e0!5i0")</f>
        <v>https://www.google.com/maps/dir/-15.917302,-47.760003/-15.9148475,-47.7694979/data=!4m3!4m2!3e0!5i0</v>
      </c>
      <c r="C83" s="151" t="s">
        <v>117</v>
      </c>
      <c r="D83" s="152" t="s">
        <v>112</v>
      </c>
      <c r="E83" s="152" t="s">
        <v>113</v>
      </c>
      <c r="F83" s="152" t="s">
        <v>117</v>
      </c>
      <c r="G83" s="152" t="s">
        <v>782</v>
      </c>
      <c r="H83" s="152" t="n">
        <v>63</v>
      </c>
      <c r="I83" s="152" t="s">
        <v>115</v>
      </c>
      <c r="J83" s="152" t="s">
        <v>6</v>
      </c>
      <c r="K83" s="152" t="s">
        <v>1547</v>
      </c>
      <c r="L83" s="152" t="s">
        <v>120</v>
      </c>
      <c r="M83" s="153" t="n">
        <f aca="false">236.95</f>
        <v>236.95</v>
      </c>
      <c r="N83" s="152" t="s">
        <v>1548</v>
      </c>
      <c r="O83" s="152" t="s">
        <v>1549</v>
      </c>
      <c r="P83" s="152" t="s">
        <v>1550</v>
      </c>
      <c r="Q83" s="152" t="s">
        <v>1551</v>
      </c>
      <c r="R83" s="154" t="s">
        <v>1843</v>
      </c>
      <c r="S83" s="154" t="s">
        <v>1553</v>
      </c>
      <c r="T83" s="155" t="s">
        <v>1746</v>
      </c>
      <c r="U83" s="152" t="str">
        <f aca="false">RIGHT(T83,7)</f>
        <v>003/037</v>
      </c>
      <c r="V83" s="152" t="s">
        <v>1555</v>
      </c>
      <c r="W83" s="156" t="n">
        <v>45882</v>
      </c>
      <c r="X83" s="152" t="s">
        <v>1556</v>
      </c>
      <c r="Y83" s="152" t="s">
        <v>1772</v>
      </c>
      <c r="Z83" s="152" t="s">
        <v>1557</v>
      </c>
      <c r="AA83" s="153" t="n">
        <v>2.1</v>
      </c>
      <c r="AB83" s="151" t="s">
        <v>1844</v>
      </c>
      <c r="AC83" s="151" t="s">
        <v>186</v>
      </c>
      <c r="AD83" s="151" t="str">
        <f aca="false">CONCATENATE($C83,$I83,$H83,$N83,$J83,$K83)</f>
        <v>TUBO PEADPEAD63VCAREDESZona01</v>
      </c>
      <c r="AE83" s="153" t="n">
        <f aca="false">IFERROR(INDEX(APOIO_REDES!$A:$W,MATCH($C83&amp;$I83&amp;$H83&amp;$N83&amp;$O83,APOIO_REDES!$W:$W,0),MATCH(AE$5,APOIO_REDES!$5:$5,0)),0)</f>
        <v>1.2</v>
      </c>
      <c r="AF83" s="153" t="n">
        <f aca="false">IFERROR(INDEX(APOIO_REDES!$A:$W,MATCH($C83&amp;$I83&amp;$H83&amp;$N83&amp;$O83,APOIO_REDES!$W:$W,0),MATCH(AF$5,APOIO_REDES!$5:$5,0)),0)</f>
        <v>1.363</v>
      </c>
      <c r="AG83" s="153" t="n">
        <f aca="false">IFERROR(INDEX(APOIO_REDES!$A:$W,MATCH($C83&amp;$I83&amp;$H83&amp;$N83&amp;$O83,APOIO_REDES!$W:$W,0),MATCH(AG$5,APOIO_REDES!$5:$5,0)),0)</f>
        <v>0.65</v>
      </c>
      <c r="AH83" s="153" t="n">
        <f aca="false">IFERROR(INDEX(APOIO_REDES!$A:$W,MATCH($C83&amp;$I83&amp;$H83&amp;$N83&amp;$O83,APOIO_REDES!$W:$W,0),MATCH(AH$5,APOIO_REDES!$5:$5,0)),0)</f>
        <v>0.1</v>
      </c>
      <c r="AI83" s="153" t="n">
        <f aca="false">IFERROR(IF($H83&lt;&gt;"",(((($H83/1000)/2)^2)*PI()*$M83),0),0)</f>
        <v>0.738631276328774</v>
      </c>
      <c r="AJ83" s="153" t="n">
        <f aca="false">IFERROR(IF(AND($H83&lt;&gt;"",$I83="FoFo",OR($N83="MND",$N83="VCA"),$Q83="LINEAR"),0,IF(AND($H83&lt;&gt;"",$I83="PEAD",$N83="VCA",$Q83="LINEAR"),($H83/1000)+0.3,IF(AND($H83&lt;&gt;"",$I83="PEAD",$N83="MND",$Q83="EMBOQUE"),0,IF(AND($H83&lt;&gt;"",$I83="PVC",$N83="VCA",$Q83="LINEAR"),($H83/1000)+0.2,IF(AND($H83&lt;&gt;"",$I83="PVC",$N83="MND",$Q83="EMBOQUE"),0,IF(AND($H83&lt;&gt;"",$I83="PEAD",$N83="VCA",$Q83="PREDIAL"),0,0)))))),0)</f>
        <v>0.363</v>
      </c>
      <c r="AK83" s="153" t="n">
        <f aca="false">IF(AA83&lt;&gt;"",AA83,0)</f>
        <v>2.1</v>
      </c>
      <c r="AL83" s="153" t="n">
        <f aca="false">IF(AND($N83="MND",$Q83="EMBOQUE"),$M83,IF(AND($N83="VCA",$Q83="LINEAR"),$M83,IF(AND($N83="VCA",$Q83="PREDIAL"),0,0)))</f>
        <v>236.95</v>
      </c>
      <c r="AM83" s="153" t="n">
        <f aca="false">IF(AND($N83="MND",$Q83="EMBOQUE"),$M83,IF(AND($N83="VCA",$Q83="LINEAR"),$M83,IF(AND($N83="VCA",$Q83="PREDIAL"),0,0)))</f>
        <v>236.95</v>
      </c>
      <c r="AN83" s="153" t="n">
        <f aca="false">ROUND(IF(AND($N83="VCA",$M83&lt;&gt;"",$Q83="LINEAR"),$M83/100,IF(AND($N83="MND",$M83&gt;100,$Q83="EMBOQUE"),$M83/100,0)),0)</f>
        <v>2</v>
      </c>
      <c r="AO83" s="153" t="n">
        <f aca="false">IF(AND($N83="MND",$Q83="EMBOQUE"),$AN83*2*2,IF(AND($N83="VCA",$Q83="LINEAR"),$M83*2,IF(AND($N83="VCA",$Q83="PREDIAL"),0,0)))</f>
        <v>473.9</v>
      </c>
      <c r="AP83" s="153" t="n">
        <f aca="false">IFERROR($M83*$AF83*$AG83,0)</f>
        <v>209.9258525</v>
      </c>
      <c r="AQ83" s="153" t="n">
        <f aca="false">IFERROR(IF(AND($N83="VCA",$AH83&gt;0),$M83*$AG83*$AH83,0),0)</f>
        <v>15.40175</v>
      </c>
      <c r="AR83" s="153" t="n">
        <f aca="false">IFERROR(IF(AND($N83="VCA",$AJ83&gt;0),($M83*$AG83*$AJ83)-$AI83,0),0)</f>
        <v>55.1697212236712</v>
      </c>
      <c r="AS83" s="153" t="n">
        <f aca="false">IFERROR(IF(AND($N83="VCA",$AP83&gt;0),$AP83-$AI83-$AQ83-$AR83,0),0)</f>
        <v>138.61575</v>
      </c>
      <c r="AT83" s="153" t="n">
        <f aca="false">IFERROR(IF($N83="VCA",INDEX(APOIO_REDES!$A:$W,MATCH($C83&amp;$I83&amp;$H83&amp;$N83&amp;$O83,APOIO_REDES!$W:$W,0),MATCH(AT$5,APOIO_REDES!$5:$5,0)),0)*$AP83,0)</f>
        <v>2.28405541008067</v>
      </c>
      <c r="AU83" s="153" t="n">
        <f aca="false">IFERROR(IF($N83="VCA",INDEX(APOIO_REDES!$A:$W,MATCH($C83&amp;$I83&amp;$H83&amp;$N83&amp;$O83,APOIO_REDES!$W:$W,0),MATCH(AU$5,APOIO_REDES!$5:$5,0)),0)*$AP83,0)</f>
        <v>1.8239847904248</v>
      </c>
      <c r="AV83" s="153" t="n">
        <f aca="false">IFERROR(IF($N83="VCA",INDEX(APOIO_REDES!$A:$W,MATCH($C83&amp;$I83&amp;$H83&amp;$N83&amp;$O83,APOIO_REDES!$W:$W,0),MATCH(AV$5,APOIO_REDES!$5:$5,0)),0)*$AP83,0)</f>
        <v>0.252425176152773</v>
      </c>
      <c r="AW83" s="153" t="n">
        <f aca="false">IFERROR(IF($N83="VCA",INDEX(APOIO_REDES!$A:$W,MATCH($C83&amp;$I83&amp;$H83&amp;$N83&amp;$O83,APOIO_REDES!$W:$W,0),MATCH(AW$5,APOIO_REDES!$5:$5,0)),0)*$AP83,0)</f>
        <v>144.094731740879</v>
      </c>
      <c r="AX83" s="153" t="n">
        <f aca="false">IFERROR(IF($N83="VCA",INDEX(APOIO_REDES!$A:$W,MATCH($C83&amp;$I83&amp;$H83&amp;$N83&amp;$O83,APOIO_REDES!$W:$W,0),MATCH(AX$5,APOIO_REDES!$5:$5,0)),0)*$AP83,0)</f>
        <v>19.9423004113246</v>
      </c>
      <c r="AY83" s="153" t="n">
        <f aca="false">IFERROR(IF($N83="VCA",INDEX(APOIO_REDES!$A:$W,MATCH($C83&amp;$I83&amp;$H83&amp;$N83&amp;$O83,APOIO_REDES!$W:$W,0),MATCH(AY$5,APOIO_REDES!$5:$5,0)),0)*$AP83,0)</f>
        <v>36.4796735742692</v>
      </c>
      <c r="AZ83" s="153" t="n">
        <f aca="false">IFERROR(IF($N83="VCA",INDEX(APOIO_REDES!$A:$W,MATCH($C83&amp;$I83&amp;$H83&amp;$N83&amp;$O83,APOIO_REDES!$W:$W,0),MATCH(AZ$5,APOIO_REDES!$5:$5,0)),0)*$AP83,0)</f>
        <v>5.04868139686935</v>
      </c>
      <c r="BA83" s="153" t="n">
        <f aca="false">IFERROR(IF(AND($N83="VCA",$Q83="LINEAR"),INDEX(APOIO_REDES!$A:$W,MATCH($C83&amp;$I83&amp;$H83&amp;$N83&amp;$O83,APOIO_REDES!$W:$W,0),MATCH(BA$5,APOIO_REDES!$5:$5,0)),IF(AND($N83="MND",$Q83="EMBOQUE"),INDEX(APOIO_REDES!$A:$W,MATCH($C83&amp;$I83&amp;$H83&amp;$N83&amp;$O83,APOIO_REDES!$W:$W,0),MATCH(BA$5,APOIO_REDES!$5:$5,0)),0))*$M83/10,0)</f>
        <v>19.0975723125289</v>
      </c>
      <c r="BB83" s="153" t="n">
        <f aca="false">IFERROR(IF($N83="VCA",INDEX(APOIO_REDES!$A:$W,MATCH($C83&amp;$I83&amp;$H83&amp;$N83&amp;$O83,APOIO_REDES!$W:$W,0),MATCH(BB$5,APOIO_REDES!$5:$5,0)),0)*($AI83+$AQ83+$AR83),0)</f>
        <v>70.5342274780871</v>
      </c>
      <c r="BC83" s="153" t="n">
        <f aca="false">IFERROR(IF($N83="VCA",INDEX(APOIO_REDES!$A:$W,MATCH($C83&amp;$I83&amp;$H83&amp;$N83&amp;$O83,APOIO_REDES!$W:$W,0),MATCH(BC$5,APOIO_REDES!$5:$5,0)),0)*($AI83+$AQ83+$AR83),0)</f>
        <v>0.77587502191295</v>
      </c>
      <c r="BD83" s="153" t="n">
        <f aca="false">IF(AND($N83="VCA",$AF83&gt;=1.25,$AF83&lt;1.5),$M83*$AF83*2,0)</f>
        <v>645.9257</v>
      </c>
      <c r="BE83" s="153" t="n">
        <f aca="false">IF(AND($N83="VCA",$AF83&gt;=1.5,$AF83&lt;3),$M83*$AF83*2,0)</f>
        <v>0</v>
      </c>
      <c r="BF83" s="153" t="n">
        <f aca="false">IF(AND($N83="VCA",$AF83&gt;=3),$M83*$AF83*2,0)</f>
        <v>0</v>
      </c>
      <c r="BG83" s="153" t="n">
        <f aca="false">($BB83+$BC83)*$AK83</f>
        <v>149.75121525</v>
      </c>
      <c r="BH83" s="153" t="n">
        <f aca="false">IF(AND($M83&lt;&gt;"",$N83="VCA",$Q83="LINEAR"),($M83*2)/100,IF(AND($M83&lt;&gt;"",$N83="MND",$Q83="EMBOQUE"),($AN83*2)/100,0))</f>
        <v>4.739</v>
      </c>
      <c r="BI83" s="153" t="n">
        <f aca="false">IF(AND($M83&lt;&gt;"",$N83="VCA",$Q83="LINEAR"),$M83,IF(AND($M83&lt;&gt;"",$N83="MND",$Q83="EMBOQUE"),$AN83*2,0))</f>
        <v>236.95</v>
      </c>
      <c r="BJ83" s="153" t="n">
        <f aca="false">IF(AND($M83&lt;&gt;"",$N83="VCA",$Q83="LINEAR"),($M83*6.8)/100,IF(AND($M83&lt;&gt;"",$N83="MND",$Q83="EMBOQUE"),($AN83*2*6.8)/100,0))</f>
        <v>16.1126</v>
      </c>
      <c r="BK83" s="153" t="n">
        <f aca="false">IF(AND($M83&lt;&gt;"",$N83="VCA",$Q83="LINEAR"),($M83*2.5)/50,IF(AND($M83&lt;&gt;"",$N83="MND",$Q83="EMBOQUE"),($AN83*2*2.5)/50,0))</f>
        <v>11.8475</v>
      </c>
      <c r="BL83" s="157" t="str">
        <f aca="false">K83&amp;J83</f>
        <v>Zona01REDES</v>
      </c>
      <c r="BM83" s="152" t="s">
        <v>1559</v>
      </c>
      <c r="BN83" s="152" t="s">
        <v>1560</v>
      </c>
      <c r="BO83" s="152" t="s">
        <v>1748</v>
      </c>
      <c r="BP83" s="152" t="s">
        <v>1845</v>
      </c>
      <c r="BQ83" s="152" t="s">
        <v>1788</v>
      </c>
      <c r="BR83" s="152" t="s">
        <v>1846</v>
      </c>
      <c r="BS83" s="152" t="n">
        <v>203463.119</v>
      </c>
      <c r="BT83" s="152" t="n">
        <v>8238517.373</v>
      </c>
      <c r="BU83" s="152" t="n">
        <v>203272.484</v>
      </c>
      <c r="BV83" s="152" t="n">
        <v>8238657.818</v>
      </c>
      <c r="BW83" s="152" t="n">
        <v>-15.9142149</v>
      </c>
      <c r="BX83" s="152" t="n">
        <v>-47.7703882</v>
      </c>
      <c r="BY83" s="152" t="s">
        <v>1845</v>
      </c>
    </row>
    <row r="84" customFormat="false" ht="13.8" hidden="false" customHeight="false" outlineLevel="0" collapsed="false">
      <c r="A84" s="149" t="n">
        <f aca="false">IF(C84&lt;&gt;"",ROW(A79),"")</f>
        <v>79</v>
      </c>
      <c r="B84" s="150" t="str">
        <f aca="false">HYPERLINK("https://www.google.com/maps/dir/-15.917302,-47.760003/-15.9140711,-47.7732031/data=!4m3!4m2!3e0!5i0")</f>
        <v>https://www.google.com/maps/dir/-15.917302,-47.760003/-15.9140711,-47.7732031/data=!4m3!4m2!3e0!5i0</v>
      </c>
      <c r="C84" s="151" t="s">
        <v>117</v>
      </c>
      <c r="D84" s="152" t="s">
        <v>112</v>
      </c>
      <c r="E84" s="152" t="s">
        <v>113</v>
      </c>
      <c r="F84" s="152" t="s">
        <v>117</v>
      </c>
      <c r="G84" s="152" t="s">
        <v>782</v>
      </c>
      <c r="H84" s="152" t="n">
        <v>63</v>
      </c>
      <c r="I84" s="152" t="s">
        <v>115</v>
      </c>
      <c r="J84" s="152" t="s">
        <v>6</v>
      </c>
      <c r="K84" s="152" t="s">
        <v>1547</v>
      </c>
      <c r="L84" s="152" t="s">
        <v>120</v>
      </c>
      <c r="M84" s="153" t="n">
        <f aca="false">44.34</f>
        <v>44.34</v>
      </c>
      <c r="N84" s="152" t="s">
        <v>1548</v>
      </c>
      <c r="O84" s="152" t="s">
        <v>1549</v>
      </c>
      <c r="P84" s="152" t="s">
        <v>1550</v>
      </c>
      <c r="Q84" s="152" t="s">
        <v>1551</v>
      </c>
      <c r="R84" s="154" t="s">
        <v>1847</v>
      </c>
      <c r="S84" s="154" t="s">
        <v>1553</v>
      </c>
      <c r="T84" s="155" t="s">
        <v>1746</v>
      </c>
      <c r="U84" s="152" t="str">
        <f aca="false">RIGHT(T84,7)</f>
        <v>003/037</v>
      </c>
      <c r="V84" s="152" t="s">
        <v>1555</v>
      </c>
      <c r="W84" s="156" t="n">
        <v>45882</v>
      </c>
      <c r="X84" s="152" t="s">
        <v>1594</v>
      </c>
      <c r="Y84" s="152" t="s">
        <v>1839</v>
      </c>
      <c r="Z84" s="152" t="s">
        <v>1557</v>
      </c>
      <c r="AA84" s="153" t="n">
        <v>2.6</v>
      </c>
      <c r="AB84" s="151" t="s">
        <v>1848</v>
      </c>
      <c r="AC84" s="151" t="s">
        <v>186</v>
      </c>
      <c r="AD84" s="151" t="str">
        <f aca="false">CONCATENATE($C84,$I84,$H84,$N84,$J84,$K84)</f>
        <v>TUBO PEADPEAD63VCAREDESZona01</v>
      </c>
      <c r="AE84" s="153" t="n">
        <f aca="false">IFERROR(INDEX(APOIO_REDES!$A:$W,MATCH($C84&amp;$I84&amp;$H84&amp;$N84&amp;$O84,APOIO_REDES!$W:$W,0),MATCH(AE$5,APOIO_REDES!$5:$5,0)),0)</f>
        <v>1.2</v>
      </c>
      <c r="AF84" s="153" t="n">
        <f aca="false">IFERROR(INDEX(APOIO_REDES!$A:$W,MATCH($C84&amp;$I84&amp;$H84&amp;$N84&amp;$O84,APOIO_REDES!$W:$W,0),MATCH(AF$5,APOIO_REDES!$5:$5,0)),0)</f>
        <v>1.363</v>
      </c>
      <c r="AG84" s="153" t="n">
        <f aca="false">IFERROR(INDEX(APOIO_REDES!$A:$W,MATCH($C84&amp;$I84&amp;$H84&amp;$N84&amp;$O84,APOIO_REDES!$W:$W,0),MATCH(AG$5,APOIO_REDES!$5:$5,0)),0)</f>
        <v>0.65</v>
      </c>
      <c r="AH84" s="153" t="n">
        <f aca="false">IFERROR(INDEX(APOIO_REDES!$A:$W,MATCH($C84&amp;$I84&amp;$H84&amp;$N84&amp;$O84,APOIO_REDES!$W:$W,0),MATCH(AH$5,APOIO_REDES!$5:$5,0)),0)</f>
        <v>0.1</v>
      </c>
      <c r="AI84" s="153" t="n">
        <f aca="false">IFERROR(IF($H84&lt;&gt;"",(((($H84/1000)/2)^2)*PI()*$M84),0),0)</f>
        <v>0.138218657068655</v>
      </c>
      <c r="AJ84" s="153" t="n">
        <f aca="false">IFERROR(IF(AND($H84&lt;&gt;"",$I84="FoFo",OR($N84="MND",$N84="VCA"),$Q84="LINEAR"),0,IF(AND($H84&lt;&gt;"",$I84="PEAD",$N84="VCA",$Q84="LINEAR"),($H84/1000)+0.3,IF(AND($H84&lt;&gt;"",$I84="PEAD",$N84="MND",$Q84="EMBOQUE"),0,IF(AND($H84&lt;&gt;"",$I84="PVC",$N84="VCA",$Q84="LINEAR"),($H84/1000)+0.2,IF(AND($H84&lt;&gt;"",$I84="PVC",$N84="MND",$Q84="EMBOQUE"),0,IF(AND($H84&lt;&gt;"",$I84="PEAD",$N84="VCA",$Q84="PREDIAL"),0,0)))))),0)</f>
        <v>0.363</v>
      </c>
      <c r="AK84" s="153" t="n">
        <f aca="false">IF(AA84&lt;&gt;"",AA84,0)</f>
        <v>2.6</v>
      </c>
      <c r="AL84" s="153" t="n">
        <f aca="false">IF(AND($N84="MND",$Q84="EMBOQUE"),$M84,IF(AND($N84="VCA",$Q84="LINEAR"),$M84,IF(AND($N84="VCA",$Q84="PREDIAL"),0,0)))</f>
        <v>44.34</v>
      </c>
      <c r="AM84" s="153" t="n">
        <f aca="false">IF(AND($N84="MND",$Q84="EMBOQUE"),$M84,IF(AND($N84="VCA",$Q84="LINEAR"),$M84,IF(AND($N84="VCA",$Q84="PREDIAL"),0,0)))</f>
        <v>44.34</v>
      </c>
      <c r="AN84" s="153" t="n">
        <f aca="false">ROUND(IF(AND($N84="VCA",$M84&lt;&gt;"",$Q84="LINEAR"),$M84/100,IF(AND($N84="MND",$M84&gt;100,$Q84="EMBOQUE"),$M84/100,0)),0)</f>
        <v>0</v>
      </c>
      <c r="AO84" s="153" t="n">
        <f aca="false">IF(AND($N84="MND",$Q84="EMBOQUE"),$AN84*2*2,IF(AND($N84="VCA",$Q84="LINEAR"),$M84*2,IF(AND($N84="VCA",$Q84="PREDIAL"),0,0)))</f>
        <v>88.68</v>
      </c>
      <c r="AP84" s="153" t="n">
        <f aca="false">IFERROR($M84*$AF84*$AG84,0)</f>
        <v>39.283023</v>
      </c>
      <c r="AQ84" s="153" t="n">
        <f aca="false">IFERROR(IF(AND($N84="VCA",$AH84&gt;0),$M84*$AG84*$AH84,0),0)</f>
        <v>2.8821</v>
      </c>
      <c r="AR84" s="153" t="n">
        <f aca="false">IFERROR(IF(AND($N84="VCA",$AJ84&gt;0),($M84*$AG84*$AJ84)-$AI84,0),0)</f>
        <v>10.3238043429313</v>
      </c>
      <c r="AS84" s="153" t="n">
        <f aca="false">IFERROR(IF(AND($N84="VCA",$AP84&gt;0),$AP84-$AI84-$AQ84-$AR84,0),0)</f>
        <v>25.9389</v>
      </c>
      <c r="AT84" s="153" t="n">
        <f aca="false">IFERROR(IF($N84="VCA",INDEX(APOIO_REDES!$A:$W,MATCH($C84&amp;$I84&amp;$H84&amp;$N84&amp;$O84,APOIO_REDES!$W:$W,0),MATCH(AT$5,APOIO_REDES!$5:$5,0)),0)*$AP84,0)</f>
        <v>0.4274109174213</v>
      </c>
      <c r="AU84" s="153" t="n">
        <f aca="false">IFERROR(IF($N84="VCA",INDEX(APOIO_REDES!$A:$W,MATCH($C84&amp;$I84&amp;$H84&amp;$N84&amp;$O84,APOIO_REDES!$W:$W,0),MATCH(AU$5,APOIO_REDES!$5:$5,0)),0)*$AP84,0)</f>
        <v>0.341318782896963</v>
      </c>
      <c r="AV84" s="153" t="n">
        <f aca="false">IFERROR(IF($N84="VCA",INDEX(APOIO_REDES!$A:$W,MATCH($C84&amp;$I84&amp;$H84&amp;$N84&amp;$O84,APOIO_REDES!$W:$W,0),MATCH(AV$5,APOIO_REDES!$5:$5,0)),0)*$AP84,0)</f>
        <v>0.0472358400954376</v>
      </c>
      <c r="AW84" s="153" t="n">
        <f aca="false">IFERROR(IF($N84="VCA",INDEX(APOIO_REDES!$A:$W,MATCH($C84&amp;$I84&amp;$H84&amp;$N84&amp;$O84,APOIO_REDES!$W:$W,0),MATCH(AW$5,APOIO_REDES!$5:$5,0)),0)*$AP84,0)</f>
        <v>26.9641713669152</v>
      </c>
      <c r="AX84" s="153" t="n">
        <f aca="false">IFERROR(IF($N84="VCA",INDEX(APOIO_REDES!$A:$W,MATCH($C84&amp;$I84&amp;$H84&amp;$N84&amp;$O84,APOIO_REDES!$W:$W,0),MATCH(AX$5,APOIO_REDES!$5:$5,0)),0)*$AP84,0)</f>
        <v>3.73176450828502</v>
      </c>
      <c r="AY84" s="153" t="n">
        <f aca="false">IFERROR(IF($N84="VCA",INDEX(APOIO_REDES!$A:$W,MATCH($C84&amp;$I84&amp;$H84&amp;$N84&amp;$O84,APOIO_REDES!$W:$W,0),MATCH(AY$5,APOIO_REDES!$5:$5,0)),0)*$AP84,0)</f>
        <v>6.82637149729097</v>
      </c>
      <c r="AZ84" s="153" t="n">
        <f aca="false">IFERROR(IF($N84="VCA",INDEX(APOIO_REDES!$A:$W,MATCH($C84&amp;$I84&amp;$H84&amp;$N84&amp;$O84,APOIO_REDES!$W:$W,0),MATCH(AZ$5,APOIO_REDES!$5:$5,0)),0)*$AP84,0)</f>
        <v>0.944750087095114</v>
      </c>
      <c r="BA84" s="153" t="n">
        <f aca="false">IFERROR(IF(AND($N84="VCA",$Q84="LINEAR"),INDEX(APOIO_REDES!$A:$W,MATCH($C84&amp;$I84&amp;$H84&amp;$N84&amp;$O84,APOIO_REDES!$W:$W,0),MATCH(BA$5,APOIO_REDES!$5:$5,0)),IF(AND($N84="MND",$Q84="EMBOQUE"),INDEX(APOIO_REDES!$A:$W,MATCH($C84&amp;$I84&amp;$H84&amp;$N84&amp;$O84,APOIO_REDES!$W:$W,0),MATCH(BA$5,APOIO_REDES!$5:$5,0)),0))*$M84/10,0)</f>
        <v>3.57369215588746</v>
      </c>
      <c r="BB84" s="153" t="n">
        <f aca="false">IFERROR(IF($N84="VCA",INDEX(APOIO_REDES!$A:$W,MATCH($C84&amp;$I84&amp;$H84&amp;$N84&amp;$O84,APOIO_REDES!$W:$W,0),MATCH(BB$5,APOIO_REDES!$5:$5,0)),0)*($AI84+$AQ84+$AR84),0)</f>
        <v>13.1989349921012</v>
      </c>
      <c r="BC84" s="153" t="n">
        <f aca="false">IFERROR(IF($N84="VCA",INDEX(APOIO_REDES!$A:$W,MATCH($C84&amp;$I84&amp;$H84&amp;$N84&amp;$O84,APOIO_REDES!$W:$W,0),MATCH(BC$5,APOIO_REDES!$5:$5,0)),0)*($AI84+$AQ84+$AR84),0)</f>
        <v>0.145188007898798</v>
      </c>
      <c r="BD84" s="153" t="n">
        <f aca="false">IF(AND($N84="VCA",$AF84&gt;=1.25,$AF84&lt;1.5),$M84*$AF84*2,0)</f>
        <v>120.87084</v>
      </c>
      <c r="BE84" s="153" t="n">
        <f aca="false">IF(AND($N84="VCA",$AF84&gt;=1.5,$AF84&lt;3),$M84*$AF84*2,0)</f>
        <v>0</v>
      </c>
      <c r="BF84" s="153" t="n">
        <f aca="false">IF(AND($N84="VCA",$AF84&gt;=3),$M84*$AF84*2,0)</f>
        <v>0</v>
      </c>
      <c r="BG84" s="153" t="n">
        <f aca="false">($BB84+$BC84)*$AK84</f>
        <v>34.6947198</v>
      </c>
      <c r="BH84" s="153" t="n">
        <f aca="false">IF(AND($M84&lt;&gt;"",$N84="VCA",$Q84="LINEAR"),($M84*2)/100,IF(AND($M84&lt;&gt;"",$N84="MND",$Q84="EMBOQUE"),($AN84*2)/100,0))</f>
        <v>0.8868</v>
      </c>
      <c r="BI84" s="153" t="n">
        <f aca="false">IF(AND($M84&lt;&gt;"",$N84="VCA",$Q84="LINEAR"),$M84,IF(AND($M84&lt;&gt;"",$N84="MND",$Q84="EMBOQUE"),$AN84*2,0))</f>
        <v>44.34</v>
      </c>
      <c r="BJ84" s="153" t="n">
        <f aca="false">IF(AND($M84&lt;&gt;"",$N84="VCA",$Q84="LINEAR"),($M84*6.8)/100,IF(AND($M84&lt;&gt;"",$N84="MND",$Q84="EMBOQUE"),($AN84*2*6.8)/100,0))</f>
        <v>3.01512</v>
      </c>
      <c r="BK84" s="153" t="n">
        <f aca="false">IF(AND($M84&lt;&gt;"",$N84="VCA",$Q84="LINEAR"),($M84*2.5)/50,IF(AND($M84&lt;&gt;"",$N84="MND",$Q84="EMBOQUE"),($AN84*2*2.5)/50,0))</f>
        <v>2.217</v>
      </c>
      <c r="BL84" s="157" t="str">
        <f aca="false">K84&amp;J84</f>
        <v>Zona01REDES</v>
      </c>
      <c r="BM84" s="152" t="s">
        <v>1559</v>
      </c>
      <c r="BN84" s="152" t="s">
        <v>1560</v>
      </c>
      <c r="BO84" s="152" t="s">
        <v>1748</v>
      </c>
      <c r="BP84" s="152" t="s">
        <v>1849</v>
      </c>
      <c r="BQ84" s="152" t="s">
        <v>1841</v>
      </c>
      <c r="BR84" s="152" t="s">
        <v>1850</v>
      </c>
      <c r="BS84" s="152" t="n">
        <v>203064.986</v>
      </c>
      <c r="BT84" s="152" t="n">
        <v>8238598.069</v>
      </c>
      <c r="BU84" s="152" t="n">
        <v>203101.404</v>
      </c>
      <c r="BV84" s="152" t="n">
        <v>8238572.774</v>
      </c>
      <c r="BW84" s="152" t="n">
        <v>-15.9141875</v>
      </c>
      <c r="BX84" s="152" t="n">
        <v>-47.7730347</v>
      </c>
      <c r="BY84" s="152" t="s">
        <v>1849</v>
      </c>
    </row>
    <row r="85" customFormat="false" ht="13.8" hidden="false" customHeight="false" outlineLevel="0" collapsed="false">
      <c r="A85" s="149" t="n">
        <f aca="false">IF(C85&lt;&gt;"",ROW(A80),"")</f>
        <v>80</v>
      </c>
      <c r="B85" s="150" t="str">
        <f aca="false">HYPERLINK("https://www.google.com/maps/dir/-15.917302,-47.760003/-15.9144929,-47.7692936/data=!4m3!4m2!3e0!5i0")</f>
        <v>https://www.google.com/maps/dir/-15.917302,-47.760003/-15.9144929,-47.7692936/data=!4m3!4m2!3e0!5i0</v>
      </c>
      <c r="C85" s="151" t="s">
        <v>117</v>
      </c>
      <c r="D85" s="152" t="s">
        <v>112</v>
      </c>
      <c r="E85" s="152" t="s">
        <v>113</v>
      </c>
      <c r="F85" s="152" t="s">
        <v>117</v>
      </c>
      <c r="G85" s="152" t="s">
        <v>114</v>
      </c>
      <c r="H85" s="152" t="n">
        <v>225</v>
      </c>
      <c r="I85" s="152" t="s">
        <v>115</v>
      </c>
      <c r="J85" s="152" t="s">
        <v>6</v>
      </c>
      <c r="K85" s="152" t="s">
        <v>1547</v>
      </c>
      <c r="L85" s="152" t="s">
        <v>120</v>
      </c>
      <c r="M85" s="153" t="n">
        <f aca="false">40.01</f>
        <v>40.01</v>
      </c>
      <c r="N85" s="152" t="s">
        <v>1548</v>
      </c>
      <c r="O85" s="152" t="s">
        <v>1549</v>
      </c>
      <c r="P85" s="152" t="s">
        <v>1550</v>
      </c>
      <c r="Q85" s="152" t="s">
        <v>1551</v>
      </c>
      <c r="R85" s="154" t="s">
        <v>1851</v>
      </c>
      <c r="S85" s="154" t="s">
        <v>1593</v>
      </c>
      <c r="T85" s="155" t="s">
        <v>1746</v>
      </c>
      <c r="U85" s="152" t="str">
        <f aca="false">RIGHT(T85,7)</f>
        <v>003/037</v>
      </c>
      <c r="V85" s="152" t="s">
        <v>1555</v>
      </c>
      <c r="W85" s="156" t="n">
        <v>45882</v>
      </c>
      <c r="X85" s="152" t="s">
        <v>1556</v>
      </c>
      <c r="Y85" s="152" t="s">
        <v>1772</v>
      </c>
      <c r="Z85" s="152" t="s">
        <v>1557</v>
      </c>
      <c r="AA85" s="153" t="n">
        <v>2</v>
      </c>
      <c r="AB85" s="151" t="s">
        <v>1852</v>
      </c>
      <c r="AC85" s="151" t="s">
        <v>508</v>
      </c>
      <c r="AD85" s="151" t="str">
        <f aca="false">CONCATENATE($C85,$I85,$H85,$N85,$J85,$K85)</f>
        <v>TUBO PEADPEAD225VCAREDESZona01</v>
      </c>
      <c r="AE85" s="153" t="n">
        <f aca="false">IFERROR(INDEX(APOIO_REDES!$A:$W,MATCH($C85&amp;$I85&amp;$H85&amp;$N85&amp;$O85,APOIO_REDES!$W:$W,0),MATCH(AE$5,APOIO_REDES!$5:$5,0)),0)</f>
        <v>1.2</v>
      </c>
      <c r="AF85" s="153" t="n">
        <f aca="false">IFERROR(INDEX(APOIO_REDES!$A:$W,MATCH($C85&amp;$I85&amp;$H85&amp;$N85&amp;$O85,APOIO_REDES!$W:$W,0),MATCH(AF$5,APOIO_REDES!$5:$5,0)),0)</f>
        <v>1.525</v>
      </c>
      <c r="AG85" s="153" t="n">
        <f aca="false">IFERROR(INDEX(APOIO_REDES!$A:$W,MATCH($C85&amp;$I85&amp;$H85&amp;$N85&amp;$O85,APOIO_REDES!$W:$W,0),MATCH(AG$5,APOIO_REDES!$5:$5,0)),0)</f>
        <v>0.8</v>
      </c>
      <c r="AH85" s="153" t="n">
        <f aca="false">IFERROR(INDEX(APOIO_REDES!$A:$W,MATCH($C85&amp;$I85&amp;$H85&amp;$N85&amp;$O85,APOIO_REDES!$W:$W,0),MATCH(AH$5,APOIO_REDES!$5:$5,0)),0)</f>
        <v>0.1</v>
      </c>
      <c r="AI85" s="153" t="n">
        <f aca="false">IFERROR(IF($H85&lt;&gt;"",(((($H85/1000)/2)^2)*PI()*$M85),0),0)</f>
        <v>1.59082888870005</v>
      </c>
      <c r="AJ85" s="153" t="n">
        <f aca="false">IFERROR(IF(AND($H85&lt;&gt;"",$I85="FoFo",OR($N85="MND",$N85="VCA"),$Q85="LINEAR"),0,IF(AND($H85&lt;&gt;"",$I85="PEAD",$N85="VCA",$Q85="LINEAR"),($H85/1000)+0.3,IF(AND($H85&lt;&gt;"",$I85="PEAD",$N85="MND",$Q85="EMBOQUE"),0,IF(AND($H85&lt;&gt;"",$I85="PVC",$N85="VCA",$Q85="LINEAR"),($H85/1000)+0.2,IF(AND($H85&lt;&gt;"",$I85="PVC",$N85="MND",$Q85="EMBOQUE"),0,IF(AND($H85&lt;&gt;"",$I85="PEAD",$N85="VCA",$Q85="PREDIAL"),0,0)))))),0)</f>
        <v>0.525</v>
      </c>
      <c r="AK85" s="153" t="n">
        <f aca="false">IF(AA85&lt;&gt;"",AA85,0)</f>
        <v>2</v>
      </c>
      <c r="AL85" s="153" t="n">
        <f aca="false">IF(AND($N85="MND",$Q85="EMBOQUE"),$M85,IF(AND($N85="VCA",$Q85="LINEAR"),$M85,IF(AND($N85="VCA",$Q85="PREDIAL"),0,0)))</f>
        <v>40.01</v>
      </c>
      <c r="AM85" s="153" t="n">
        <f aca="false">IF(AND($N85="MND",$Q85="EMBOQUE"),$M85,IF(AND($N85="VCA",$Q85="LINEAR"),$M85,IF(AND($N85="VCA",$Q85="PREDIAL"),0,0)))</f>
        <v>40.01</v>
      </c>
      <c r="AN85" s="153" t="n">
        <f aca="false">ROUND(IF(AND($N85="VCA",$M85&lt;&gt;"",$Q85="LINEAR"),$M85/100,IF(AND($N85="MND",$M85&gt;100,$Q85="EMBOQUE"),$M85/100,0)),0)</f>
        <v>0</v>
      </c>
      <c r="AO85" s="153" t="n">
        <f aca="false">IF(AND($N85="MND",$Q85="EMBOQUE"),$AN85*2*2,IF(AND($N85="VCA",$Q85="LINEAR"),$M85*2,IF(AND($N85="VCA",$Q85="PREDIAL"),0,0)))</f>
        <v>80.02</v>
      </c>
      <c r="AP85" s="153" t="n">
        <f aca="false">IFERROR($M85*$AF85*$AG85,0)</f>
        <v>48.8122</v>
      </c>
      <c r="AQ85" s="153" t="n">
        <f aca="false">IFERROR(IF(AND($N85="VCA",$AH85&gt;0),$M85*$AG85*$AH85,0),0)</f>
        <v>3.2008</v>
      </c>
      <c r="AR85" s="153" t="n">
        <f aca="false">IFERROR(IF(AND($N85="VCA",$AJ85&gt;0),($M85*$AG85*$AJ85)-$AI85,0),0)</f>
        <v>15.2133711113</v>
      </c>
      <c r="AS85" s="153" t="n">
        <f aca="false">IFERROR(IF(AND($N85="VCA",$AP85&gt;0),$AP85-$AI85-$AQ85-$AR85,0),0)</f>
        <v>28.8072</v>
      </c>
      <c r="AT85" s="153" t="n">
        <f aca="false">IFERROR(IF($N85="VCA",INDEX(APOIO_REDES!$A:$W,MATCH($C85&amp;$I85&amp;$H85&amp;$N85&amp;$O85,APOIO_REDES!$W:$W,0),MATCH(AT$5,APOIO_REDES!$5:$5,0)),0)*$AP85,0)</f>
        <v>0.53109118367372</v>
      </c>
      <c r="AU85" s="153" t="n">
        <f aca="false">IFERROR(IF($N85="VCA",INDEX(APOIO_REDES!$A:$W,MATCH($C85&amp;$I85&amp;$H85&amp;$N85&amp;$O85,APOIO_REDES!$W:$W,0),MATCH(AU$5,APOIO_REDES!$5:$5,0)),0)*$AP85,0)</f>
        <v>0.424115035508422</v>
      </c>
      <c r="AV85" s="153" t="n">
        <f aca="false">IFERROR(IF($N85="VCA",INDEX(APOIO_REDES!$A:$W,MATCH($C85&amp;$I85&amp;$H85&amp;$N85&amp;$O85,APOIO_REDES!$W:$W,0),MATCH(AV$5,APOIO_REDES!$5:$5,0)),0)*$AP85,0)</f>
        <v>0.0586941914807961</v>
      </c>
      <c r="AW85" s="153" t="n">
        <f aca="false">IFERROR(IF($N85="VCA",INDEX(APOIO_REDES!$A:$W,MATCH($C85&amp;$I85&amp;$H85&amp;$N85&amp;$O85,APOIO_REDES!$W:$W,0),MATCH(AW$5,APOIO_REDES!$5:$5,0)),0)*$AP85,0)</f>
        <v>33.5050722953816</v>
      </c>
      <c r="AX85" s="153" t="n">
        <f aca="false">IFERROR(IF($N85="VCA",INDEX(APOIO_REDES!$A:$W,MATCH($C85&amp;$I85&amp;$H85&amp;$N85&amp;$O85,APOIO_REDES!$W:$W,0),MATCH(AX$5,APOIO_REDES!$5:$5,0)),0)*$AP85,0)</f>
        <v>4.63700656467579</v>
      </c>
      <c r="AY85" s="153" t="n">
        <f aca="false">IFERROR(IF($N85="VCA",INDEX(APOIO_REDES!$A:$W,MATCH($C85&amp;$I85&amp;$H85&amp;$N85&amp;$O85,APOIO_REDES!$W:$W,0),MATCH(AY$5,APOIO_REDES!$5:$5,0)),0)*$AP85,0)</f>
        <v>8.48229554024053</v>
      </c>
      <c r="AZ85" s="153" t="n">
        <f aca="false">IFERROR(IF($N85="VCA",INDEX(APOIO_REDES!$A:$W,MATCH($C85&amp;$I85&amp;$H85&amp;$N85&amp;$O85,APOIO_REDES!$W:$W,0),MATCH(AZ$5,APOIO_REDES!$5:$5,0)),0)*$AP85,0)</f>
        <v>1.17392518903915</v>
      </c>
      <c r="BA85" s="153" t="n">
        <f aca="false">IFERROR(IF(AND($N85="VCA",$Q85="LINEAR"),INDEX(APOIO_REDES!$A:$W,MATCH($C85&amp;$I85&amp;$H85&amp;$N85&amp;$O85,APOIO_REDES!$W:$W,0),MATCH(BA$5,APOIO_REDES!$5:$5,0)),IF(AND($N85="MND",$Q85="EMBOQUE"),INDEX(APOIO_REDES!$A:$W,MATCH($C85&amp;$I85&amp;$H85&amp;$N85&amp;$O85,APOIO_REDES!$W:$W,0),MATCH(BA$5,APOIO_REDES!$5:$5,0)),0))*$M85/10,0)</f>
        <v>3.22470507796701</v>
      </c>
      <c r="BB85" s="153" t="n">
        <f aca="false">IFERROR(IF($N85="VCA",INDEX(APOIO_REDES!$A:$W,MATCH($C85&amp;$I85&amp;$H85&amp;$N85&amp;$O85,APOIO_REDES!$W:$W,0),MATCH(BB$5,APOIO_REDES!$5:$5,0)),0)*($AI85+$AQ85+$AR85),0)</f>
        <v>19.7873396788223</v>
      </c>
      <c r="BC85" s="153" t="n">
        <f aca="false">IFERROR(IF($N85="VCA",INDEX(APOIO_REDES!$A:$W,MATCH($C85&amp;$I85&amp;$H85&amp;$N85&amp;$O85,APOIO_REDES!$W:$W,0),MATCH(BC$5,APOIO_REDES!$5:$5,0)),0)*($AI85+$AQ85+$AR85),0)</f>
        <v>0.217660321177754</v>
      </c>
      <c r="BD85" s="153" t="n">
        <f aca="false">IF(AND($N85="VCA",$AF85&gt;=1.25,$AF85&lt;1.5),$M85*$AF85*2,0)</f>
        <v>0</v>
      </c>
      <c r="BE85" s="153" t="n">
        <f aca="false">IF(AND($N85="VCA",$AF85&gt;=1.5,$AF85&lt;3),$M85*$AF85*2,0)</f>
        <v>122.0305</v>
      </c>
      <c r="BF85" s="153" t="n">
        <f aca="false">IF(AND($N85="VCA",$AF85&gt;=3),$M85*$AF85*2,0)</f>
        <v>0</v>
      </c>
      <c r="BG85" s="153" t="n">
        <f aca="false">($BB85+$BC85)*$AK85</f>
        <v>40.01</v>
      </c>
      <c r="BH85" s="153" t="n">
        <f aca="false">IF(AND($M85&lt;&gt;"",$N85="VCA",$Q85="LINEAR"),($M85*2)/100,IF(AND($M85&lt;&gt;"",$N85="MND",$Q85="EMBOQUE"),($AN85*2)/100,0))</f>
        <v>0.8002</v>
      </c>
      <c r="BI85" s="153" t="n">
        <f aca="false">IF(AND($M85&lt;&gt;"",$N85="VCA",$Q85="LINEAR"),$M85,IF(AND($M85&lt;&gt;"",$N85="MND",$Q85="EMBOQUE"),$AN85*2,0))</f>
        <v>40.01</v>
      </c>
      <c r="BJ85" s="153" t="n">
        <f aca="false">IF(AND($M85&lt;&gt;"",$N85="VCA",$Q85="LINEAR"),($M85*6.8)/100,IF(AND($M85&lt;&gt;"",$N85="MND",$Q85="EMBOQUE"),($AN85*2*6.8)/100,0))</f>
        <v>2.72068</v>
      </c>
      <c r="BK85" s="153" t="n">
        <f aca="false">IF(AND($M85&lt;&gt;"",$N85="VCA",$Q85="LINEAR"),($M85*2.5)/50,IF(AND($M85&lt;&gt;"",$N85="MND",$Q85="EMBOQUE"),($AN85*2*2.5)/50,0))</f>
        <v>2.0005</v>
      </c>
      <c r="BL85" s="157" t="str">
        <f aca="false">K85&amp;J85</f>
        <v>Zona01REDES</v>
      </c>
      <c r="BM85" s="152" t="s">
        <v>1559</v>
      </c>
      <c r="BN85" s="152" t="s">
        <v>1560</v>
      </c>
      <c r="BO85" s="152" t="s">
        <v>1748</v>
      </c>
      <c r="BP85" s="152" t="s">
        <v>1826</v>
      </c>
      <c r="BQ85" s="152" t="s">
        <v>1806</v>
      </c>
      <c r="BR85" s="152" t="s">
        <v>1853</v>
      </c>
      <c r="BS85" s="152" t="n">
        <v>203484.489</v>
      </c>
      <c r="BT85" s="152" t="n">
        <v>8238556.918</v>
      </c>
      <c r="BU85" s="152" t="n">
        <v>203499.297</v>
      </c>
      <c r="BV85" s="152" t="n">
        <v>8238594.092</v>
      </c>
      <c r="BW85" s="152" t="n">
        <v>-15.9143261</v>
      </c>
      <c r="BX85" s="152" t="n">
        <v>-47.7692219</v>
      </c>
      <c r="BY85" s="152" t="s">
        <v>1826</v>
      </c>
    </row>
    <row r="86" customFormat="false" ht="13.8" hidden="false" customHeight="false" outlineLevel="0" collapsed="false">
      <c r="A86" s="149" t="n">
        <f aca="false">IF(C86&lt;&gt;"",ROW(A81),"")</f>
        <v>81</v>
      </c>
      <c r="B86" s="150" t="str">
        <f aca="false">HYPERLINK("https://www.google.com/maps/dir/-15.917302,-47.760003/-15.9150851,-47.7700684/data=!4m3!4m2!3e0!5i0")</f>
        <v>https://www.google.com/maps/dir/-15.917302,-47.760003/-15.9150851,-47.7700684/data=!4m3!4m2!3e0!5i0</v>
      </c>
      <c r="C86" s="151" t="s">
        <v>117</v>
      </c>
      <c r="D86" s="152" t="s">
        <v>112</v>
      </c>
      <c r="E86" s="152" t="s">
        <v>113</v>
      </c>
      <c r="F86" s="152" t="s">
        <v>117</v>
      </c>
      <c r="G86" s="152" t="s">
        <v>782</v>
      </c>
      <c r="H86" s="152" t="n">
        <v>63</v>
      </c>
      <c r="I86" s="152" t="s">
        <v>115</v>
      </c>
      <c r="J86" s="152" t="s">
        <v>6</v>
      </c>
      <c r="K86" s="152" t="s">
        <v>1547</v>
      </c>
      <c r="L86" s="152" t="s">
        <v>120</v>
      </c>
      <c r="M86" s="153" t="n">
        <f aca="false">241.83</f>
        <v>241.83</v>
      </c>
      <c r="N86" s="152" t="s">
        <v>1548</v>
      </c>
      <c r="O86" s="152" t="s">
        <v>1549</v>
      </c>
      <c r="P86" s="152" t="s">
        <v>1550</v>
      </c>
      <c r="Q86" s="152" t="s">
        <v>1551</v>
      </c>
      <c r="R86" s="154" t="s">
        <v>1854</v>
      </c>
      <c r="S86" s="154" t="s">
        <v>1553</v>
      </c>
      <c r="T86" s="155" t="s">
        <v>1746</v>
      </c>
      <c r="U86" s="152" t="str">
        <f aca="false">RIGHT(T86,7)</f>
        <v>003/037</v>
      </c>
      <c r="V86" s="152" t="s">
        <v>1555</v>
      </c>
      <c r="W86" s="156" t="n">
        <v>45882</v>
      </c>
      <c r="X86" s="152" t="s">
        <v>1594</v>
      </c>
      <c r="Y86" s="152" t="s">
        <v>1855</v>
      </c>
      <c r="Z86" s="152" t="s">
        <v>1557</v>
      </c>
      <c r="AA86" s="153" t="n">
        <v>2.2</v>
      </c>
      <c r="AB86" s="151" t="s">
        <v>1856</v>
      </c>
      <c r="AC86" s="151" t="s">
        <v>186</v>
      </c>
      <c r="AD86" s="151" t="str">
        <f aca="false">CONCATENATE($C86,$I86,$H86,$N86,$J86,$K86)</f>
        <v>TUBO PEADPEAD63VCAREDESZona01</v>
      </c>
      <c r="AE86" s="153" t="n">
        <f aca="false">IFERROR(INDEX(APOIO_REDES!$A:$W,MATCH($C86&amp;$I86&amp;$H86&amp;$N86&amp;$O86,APOIO_REDES!$W:$W,0),MATCH(AE$5,APOIO_REDES!$5:$5,0)),0)</f>
        <v>1.2</v>
      </c>
      <c r="AF86" s="153" t="n">
        <f aca="false">IFERROR(INDEX(APOIO_REDES!$A:$W,MATCH($C86&amp;$I86&amp;$H86&amp;$N86&amp;$O86,APOIO_REDES!$W:$W,0),MATCH(AF$5,APOIO_REDES!$5:$5,0)),0)</f>
        <v>1.363</v>
      </c>
      <c r="AG86" s="153" t="n">
        <f aca="false">IFERROR(INDEX(APOIO_REDES!$A:$W,MATCH($C86&amp;$I86&amp;$H86&amp;$N86&amp;$O86,APOIO_REDES!$W:$W,0),MATCH(AG$5,APOIO_REDES!$5:$5,0)),0)</f>
        <v>0.65</v>
      </c>
      <c r="AH86" s="153" t="n">
        <f aca="false">IFERROR(INDEX(APOIO_REDES!$A:$W,MATCH($C86&amp;$I86&amp;$H86&amp;$N86&amp;$O86,APOIO_REDES!$W:$W,0),MATCH(AH$5,APOIO_REDES!$5:$5,0)),0)</f>
        <v>0.1</v>
      </c>
      <c r="AI86" s="153" t="n">
        <f aca="false">IFERROR(IF($H86&lt;&gt;"",(((($H86/1000)/2)^2)*PI()*$M86),0),0)</f>
        <v>0.753843433444133</v>
      </c>
      <c r="AJ86" s="153" t="n">
        <f aca="false">IFERROR(IF(AND($H86&lt;&gt;"",$I86="FoFo",OR($N86="MND",$N86="VCA"),$Q86="LINEAR"),0,IF(AND($H86&lt;&gt;"",$I86="PEAD",$N86="VCA",$Q86="LINEAR"),($H86/1000)+0.3,IF(AND($H86&lt;&gt;"",$I86="PEAD",$N86="MND",$Q86="EMBOQUE"),0,IF(AND($H86&lt;&gt;"",$I86="PVC",$N86="VCA",$Q86="LINEAR"),($H86/1000)+0.2,IF(AND($H86&lt;&gt;"",$I86="PVC",$N86="MND",$Q86="EMBOQUE"),0,IF(AND($H86&lt;&gt;"",$I86="PEAD",$N86="VCA",$Q86="PREDIAL"),0,0)))))),0)</f>
        <v>0.363</v>
      </c>
      <c r="AK86" s="153" t="n">
        <f aca="false">IF(AA86&lt;&gt;"",AA86,0)</f>
        <v>2.2</v>
      </c>
      <c r="AL86" s="153" t="n">
        <f aca="false">IF(AND($N86="MND",$Q86="EMBOQUE"),$M86,IF(AND($N86="VCA",$Q86="LINEAR"),$M86,IF(AND($N86="VCA",$Q86="PREDIAL"),0,0)))</f>
        <v>241.83</v>
      </c>
      <c r="AM86" s="153" t="n">
        <f aca="false">IF(AND($N86="MND",$Q86="EMBOQUE"),$M86,IF(AND($N86="VCA",$Q86="LINEAR"),$M86,IF(AND($N86="VCA",$Q86="PREDIAL"),0,0)))</f>
        <v>241.83</v>
      </c>
      <c r="AN86" s="153" t="n">
        <f aca="false">ROUND(IF(AND($N86="VCA",$M86&lt;&gt;"",$Q86="LINEAR"),$M86/100,IF(AND($N86="MND",$M86&gt;100,$Q86="EMBOQUE"),$M86/100,0)),0)</f>
        <v>2</v>
      </c>
      <c r="AO86" s="153" t="n">
        <f aca="false">IF(AND($N86="MND",$Q86="EMBOQUE"),$AN86*2*2,IF(AND($N86="VCA",$Q86="LINEAR"),$M86*2,IF(AND($N86="VCA",$Q86="PREDIAL"),0,0)))</f>
        <v>483.66</v>
      </c>
      <c r="AP86" s="153" t="n">
        <f aca="false">IFERROR($M86*$AF86*$AG86,0)</f>
        <v>214.2492885</v>
      </c>
      <c r="AQ86" s="153" t="n">
        <f aca="false">IFERROR(IF(AND($N86="VCA",$AH86&gt;0),$M86*$AG86*$AH86,0),0)</f>
        <v>15.71895</v>
      </c>
      <c r="AR86" s="153" t="n">
        <f aca="false">IFERROR(IF(AND($N86="VCA",$AJ86&gt;0),($M86*$AG86*$AJ86)-$AI86,0),0)</f>
        <v>56.3059450665559</v>
      </c>
      <c r="AS86" s="153" t="n">
        <f aca="false">IFERROR(IF(AND($N86="VCA",$AP86&gt;0),$AP86-$AI86-$AQ86-$AR86,0),0)</f>
        <v>141.47055</v>
      </c>
      <c r="AT86" s="153" t="n">
        <f aca="false">IFERROR(IF($N86="VCA",INDEX(APOIO_REDES!$A:$W,MATCH($C86&amp;$I86&amp;$H86&amp;$N86&amp;$O86,APOIO_REDES!$W:$W,0),MATCH(AT$5,APOIO_REDES!$5:$5,0)),0)*$AP86,0)</f>
        <v>2.33109567343241</v>
      </c>
      <c r="AU86" s="153" t="n">
        <f aca="false">IFERROR(IF($N86="VCA",INDEX(APOIO_REDES!$A:$W,MATCH($C86&amp;$I86&amp;$H86&amp;$N86&amp;$O86,APOIO_REDES!$W:$W,0),MATCH(AU$5,APOIO_REDES!$5:$5,0)),0)*$AP86,0)</f>
        <v>1.86154987072559</v>
      </c>
      <c r="AV86" s="153" t="n">
        <f aca="false">IFERROR(IF($N86="VCA",INDEX(APOIO_REDES!$A:$W,MATCH($C86&amp;$I86&amp;$H86&amp;$N86&amp;$O86,APOIO_REDES!$W:$W,0),MATCH(AV$5,APOIO_REDES!$5:$5,0)),0)*$AP86,0)</f>
        <v>0.25762388836896</v>
      </c>
      <c r="AW86" s="153" t="n">
        <f aca="false">IFERROR(IF($N86="VCA",INDEX(APOIO_REDES!$A:$W,MATCH($C86&amp;$I86&amp;$H86&amp;$N86&amp;$O86,APOIO_REDES!$W:$W,0),MATCH(AW$5,APOIO_REDES!$5:$5,0)),0)*$AP86,0)</f>
        <v>147.062371710895</v>
      </c>
      <c r="AX86" s="153" t="n">
        <f aca="false">IFERROR(IF($N86="VCA",INDEX(APOIO_REDES!$A:$W,MATCH($C86&amp;$I86&amp;$H86&amp;$N86&amp;$O86,APOIO_REDES!$W:$W,0),MATCH(AX$5,APOIO_REDES!$5:$5,0)),0)*$AP86,0)</f>
        <v>20.3530133296925</v>
      </c>
      <c r="AY86" s="153" t="n">
        <f aca="false">IFERROR(IF($N86="VCA",INDEX(APOIO_REDES!$A:$W,MATCH($C86&amp;$I86&amp;$H86&amp;$N86&amp;$O86,APOIO_REDES!$W:$W,0),MATCH(AY$5,APOIO_REDES!$5:$5,0)),0)*$AP86,0)</f>
        <v>37.2309747223698</v>
      </c>
      <c r="AZ86" s="153" t="n">
        <f aca="false">IFERROR(IF($N86="VCA",INDEX(APOIO_REDES!$A:$W,MATCH($C86&amp;$I86&amp;$H86&amp;$N86&amp;$O86,APOIO_REDES!$W:$W,0),MATCH(AZ$5,APOIO_REDES!$5:$5,0)),0)*$AP86,0)</f>
        <v>5.15265930451537</v>
      </c>
      <c r="BA86" s="153" t="n">
        <f aca="false">IFERROR(IF(AND($N86="VCA",$Q86="LINEAR"),INDEX(APOIO_REDES!$A:$W,MATCH($C86&amp;$I86&amp;$H86&amp;$N86&amp;$O86,APOIO_REDES!$W:$W,0),MATCH(BA$5,APOIO_REDES!$5:$5,0)),IF(AND($N86="MND",$Q86="EMBOQUE"),INDEX(APOIO_REDES!$A:$W,MATCH($C86&amp;$I86&amp;$H86&amp;$N86&amp;$O86,APOIO_REDES!$W:$W,0),MATCH(BA$5,APOIO_REDES!$5:$5,0)),0))*$M86/10,0)</f>
        <v>19.4908880031183</v>
      </c>
      <c r="BB86" s="153" t="n">
        <f aca="false">IFERROR(IF($N86="VCA",INDEX(APOIO_REDES!$A:$W,MATCH($C86&amp;$I86&amp;$H86&amp;$N86&amp;$O86,APOIO_REDES!$W:$W,0),MATCH(BB$5,APOIO_REDES!$5:$5,0)),0)*($AI86+$AQ86+$AR86),0)</f>
        <v>71.986884283713</v>
      </c>
      <c r="BC86" s="153" t="n">
        <f aca="false">IFERROR(IF($N86="VCA",INDEX(APOIO_REDES!$A:$W,MATCH($C86&amp;$I86&amp;$H86&amp;$N86&amp;$O86,APOIO_REDES!$W:$W,0),MATCH(BC$5,APOIO_REDES!$5:$5,0)),0)*($AI86+$AQ86+$AR86),0)</f>
        <v>0.791854216287017</v>
      </c>
      <c r="BD86" s="153" t="n">
        <f aca="false">IF(AND($N86="VCA",$AF86&gt;=1.25,$AF86&lt;1.5),$M86*$AF86*2,0)</f>
        <v>659.22858</v>
      </c>
      <c r="BE86" s="153" t="n">
        <f aca="false">IF(AND($N86="VCA",$AF86&gt;=1.5,$AF86&lt;3),$M86*$AF86*2,0)</f>
        <v>0</v>
      </c>
      <c r="BF86" s="153" t="n">
        <f aca="false">IF(AND($N86="VCA",$AF86&gt;=3),$M86*$AF86*2,0)</f>
        <v>0</v>
      </c>
      <c r="BG86" s="153" t="n">
        <f aca="false">($BB86+$BC86)*$AK86</f>
        <v>160.1132247</v>
      </c>
      <c r="BH86" s="153" t="n">
        <f aca="false">IF(AND($M86&lt;&gt;"",$N86="VCA",$Q86="LINEAR"),($M86*2)/100,IF(AND($M86&lt;&gt;"",$N86="MND",$Q86="EMBOQUE"),($AN86*2)/100,0))</f>
        <v>4.8366</v>
      </c>
      <c r="BI86" s="153" t="n">
        <f aca="false">IF(AND($M86&lt;&gt;"",$N86="VCA",$Q86="LINEAR"),$M86,IF(AND($M86&lt;&gt;"",$N86="MND",$Q86="EMBOQUE"),$AN86*2,0))</f>
        <v>241.83</v>
      </c>
      <c r="BJ86" s="153" t="n">
        <f aca="false">IF(AND($M86&lt;&gt;"",$N86="VCA",$Q86="LINEAR"),($M86*6.8)/100,IF(AND($M86&lt;&gt;"",$N86="MND",$Q86="EMBOQUE"),($AN86*2*6.8)/100,0))</f>
        <v>16.44444</v>
      </c>
      <c r="BK86" s="153" t="n">
        <f aca="false">IF(AND($M86&lt;&gt;"",$N86="VCA",$Q86="LINEAR"),($M86*2.5)/50,IF(AND($M86&lt;&gt;"",$N86="MND",$Q86="EMBOQUE"),($AN86*2*2.5)/50,0))</f>
        <v>12.0915</v>
      </c>
      <c r="BL86" s="157" t="str">
        <f aca="false">K86&amp;J86</f>
        <v>Zona01REDES</v>
      </c>
      <c r="BM86" s="152" t="s">
        <v>1559</v>
      </c>
      <c r="BN86" s="152" t="s">
        <v>1560</v>
      </c>
      <c r="BO86" s="152" t="s">
        <v>1748</v>
      </c>
      <c r="BP86" s="152" t="s">
        <v>1857</v>
      </c>
      <c r="BQ86" s="152" t="s">
        <v>1810</v>
      </c>
      <c r="BR86" s="152" t="s">
        <v>1858</v>
      </c>
      <c r="BS86" s="152" t="n">
        <v>203402.015</v>
      </c>
      <c r="BT86" s="152" t="n">
        <v>8238490.493</v>
      </c>
      <c r="BU86" s="152" t="n">
        <v>203210.134</v>
      </c>
      <c r="BV86" s="152" t="n">
        <v>8238637.453</v>
      </c>
      <c r="BW86" s="152" t="n">
        <v>-15.9144146</v>
      </c>
      <c r="BX86" s="152" t="n">
        <v>-47.7709637</v>
      </c>
      <c r="BY86" s="152" t="s">
        <v>1857</v>
      </c>
    </row>
    <row r="87" customFormat="false" ht="13.8" hidden="false" customHeight="false" outlineLevel="0" collapsed="false">
      <c r="A87" s="149" t="n">
        <f aca="false">IF(C87&lt;&gt;"",ROW(A82),"")</f>
        <v>82</v>
      </c>
      <c r="B87" s="150" t="str">
        <f aca="false">HYPERLINK("https://www.google.com/maps/dir/-15.917302,-47.760003/-15.9148615,-47.7738529/data=!4m3!4m2!3e0!5i1")</f>
        <v>https://www.google.com/maps/dir/-15.917302,-47.760003/-15.9148615,-47.7738529/data=!4m3!4m2!3e0!5i1</v>
      </c>
      <c r="C87" s="151" t="s">
        <v>117</v>
      </c>
      <c r="D87" s="152" t="s">
        <v>112</v>
      </c>
      <c r="E87" s="152" t="s">
        <v>113</v>
      </c>
      <c r="F87" s="152" t="s">
        <v>117</v>
      </c>
      <c r="G87" s="152" t="s">
        <v>782</v>
      </c>
      <c r="H87" s="152" t="n">
        <v>63</v>
      </c>
      <c r="I87" s="152" t="s">
        <v>115</v>
      </c>
      <c r="J87" s="152" t="s">
        <v>6</v>
      </c>
      <c r="K87" s="152" t="s">
        <v>1547</v>
      </c>
      <c r="L87" s="152" t="s">
        <v>120</v>
      </c>
      <c r="M87" s="153" t="n">
        <f aca="false">111.84</f>
        <v>111.84</v>
      </c>
      <c r="N87" s="152" t="s">
        <v>1548</v>
      </c>
      <c r="O87" s="152" t="s">
        <v>1549</v>
      </c>
      <c r="P87" s="152" t="s">
        <v>1550</v>
      </c>
      <c r="Q87" s="152" t="s">
        <v>1551</v>
      </c>
      <c r="R87" s="154" t="s">
        <v>1859</v>
      </c>
      <c r="S87" s="154" t="s">
        <v>1553</v>
      </c>
      <c r="T87" s="155" t="s">
        <v>1746</v>
      </c>
      <c r="U87" s="152" t="str">
        <f aca="false">RIGHT(T87,7)</f>
        <v>003/037</v>
      </c>
      <c r="V87" s="152" t="s">
        <v>1555</v>
      </c>
      <c r="W87" s="156" t="n">
        <v>45882</v>
      </c>
      <c r="X87" s="152" t="s">
        <v>1594</v>
      </c>
      <c r="Y87" s="152" t="s">
        <v>1860</v>
      </c>
      <c r="Z87" s="152" t="s">
        <v>1557</v>
      </c>
      <c r="AA87" s="153" t="n">
        <v>3.3</v>
      </c>
      <c r="AB87" s="151" t="s">
        <v>1861</v>
      </c>
      <c r="AC87" s="151" t="s">
        <v>186</v>
      </c>
      <c r="AD87" s="151" t="str">
        <f aca="false">CONCATENATE($C87,$I87,$H87,$N87,$J87,$K87)</f>
        <v>TUBO PEADPEAD63VCAREDESZona01</v>
      </c>
      <c r="AE87" s="153" t="n">
        <f aca="false">IFERROR(INDEX(APOIO_REDES!$A:$W,MATCH($C87&amp;$I87&amp;$H87&amp;$N87&amp;$O87,APOIO_REDES!$W:$W,0),MATCH(AE$5,APOIO_REDES!$5:$5,0)),0)</f>
        <v>1.2</v>
      </c>
      <c r="AF87" s="153" t="n">
        <f aca="false">IFERROR(INDEX(APOIO_REDES!$A:$W,MATCH($C87&amp;$I87&amp;$H87&amp;$N87&amp;$O87,APOIO_REDES!$W:$W,0),MATCH(AF$5,APOIO_REDES!$5:$5,0)),0)</f>
        <v>1.363</v>
      </c>
      <c r="AG87" s="153" t="n">
        <f aca="false">IFERROR(INDEX(APOIO_REDES!$A:$W,MATCH($C87&amp;$I87&amp;$H87&amp;$N87&amp;$O87,APOIO_REDES!$W:$W,0),MATCH(AG$5,APOIO_REDES!$5:$5,0)),0)</f>
        <v>0.65</v>
      </c>
      <c r="AH87" s="153" t="n">
        <f aca="false">IFERROR(INDEX(APOIO_REDES!$A:$W,MATCH($C87&amp;$I87&amp;$H87&amp;$N87&amp;$O87,APOIO_REDES!$W:$W,0),MATCH(AH$5,APOIO_REDES!$5:$5,0)),0)</f>
        <v>0.1</v>
      </c>
      <c r="AI87" s="153" t="n">
        <f aca="false">IFERROR(IF($H87&lt;&gt;"",(((($H87/1000)/2)^2)*PI()*$M87),0),0)</f>
        <v>0.348632715529057</v>
      </c>
      <c r="AJ87" s="153" t="n">
        <f aca="false">IFERROR(IF(AND($H87&lt;&gt;"",$I87="FoFo",OR($N87="MND",$N87="VCA"),$Q87="LINEAR"),0,IF(AND($H87&lt;&gt;"",$I87="PEAD",$N87="VCA",$Q87="LINEAR"),($H87/1000)+0.3,IF(AND($H87&lt;&gt;"",$I87="PEAD",$N87="MND",$Q87="EMBOQUE"),0,IF(AND($H87&lt;&gt;"",$I87="PVC",$N87="VCA",$Q87="LINEAR"),($H87/1000)+0.2,IF(AND($H87&lt;&gt;"",$I87="PVC",$N87="MND",$Q87="EMBOQUE"),0,IF(AND($H87&lt;&gt;"",$I87="PEAD",$N87="VCA",$Q87="PREDIAL"),0,0)))))),0)</f>
        <v>0.363</v>
      </c>
      <c r="AK87" s="153" t="n">
        <f aca="false">IF(AA87&lt;&gt;"",AA87,0)</f>
        <v>3.3</v>
      </c>
      <c r="AL87" s="153" t="n">
        <f aca="false">IF(AND($N87="MND",$Q87="EMBOQUE"),$M87,IF(AND($N87="VCA",$Q87="LINEAR"),$M87,IF(AND($N87="VCA",$Q87="PREDIAL"),0,0)))</f>
        <v>111.84</v>
      </c>
      <c r="AM87" s="153" t="n">
        <f aca="false">IF(AND($N87="MND",$Q87="EMBOQUE"),$M87,IF(AND($N87="VCA",$Q87="LINEAR"),$M87,IF(AND($N87="VCA",$Q87="PREDIAL"),0,0)))</f>
        <v>111.84</v>
      </c>
      <c r="AN87" s="153" t="n">
        <f aca="false">ROUND(IF(AND($N87="VCA",$M87&lt;&gt;"",$Q87="LINEAR"),$M87/100,IF(AND($N87="MND",$M87&gt;100,$Q87="EMBOQUE"),$M87/100,0)),0)</f>
        <v>1</v>
      </c>
      <c r="AO87" s="153" t="n">
        <f aca="false">IF(AND($N87="MND",$Q87="EMBOQUE"),$AN87*2*2,IF(AND($N87="VCA",$Q87="LINEAR"),$M87*2,IF(AND($N87="VCA",$Q87="PREDIAL"),0,0)))</f>
        <v>223.68</v>
      </c>
      <c r="AP87" s="153" t="n">
        <f aca="false">IFERROR($M87*$AF87*$AG87,0)</f>
        <v>99.084648</v>
      </c>
      <c r="AQ87" s="153" t="n">
        <f aca="false">IFERROR(IF(AND($N87="VCA",$AH87&gt;0),$M87*$AG87*$AH87,0),0)</f>
        <v>7.2696</v>
      </c>
      <c r="AR87" s="153" t="n">
        <f aca="false">IFERROR(IF(AND($N87="VCA",$AJ87&gt;0),($M87*$AG87*$AJ87)-$AI87,0),0)</f>
        <v>26.0400152844709</v>
      </c>
      <c r="AS87" s="153" t="n">
        <f aca="false">IFERROR(IF(AND($N87="VCA",$AP87&gt;0),$AP87-$AI87-$AQ87-$AR87,0),0)</f>
        <v>65.4264</v>
      </c>
      <c r="AT87" s="153" t="n">
        <f aca="false">IFERROR(IF($N87="VCA",INDEX(APOIO_REDES!$A:$W,MATCH($C87&amp;$I87&amp;$H87&amp;$N87&amp;$O87,APOIO_REDES!$W:$W,0),MATCH(AT$5,APOIO_REDES!$5:$5,0)),0)*$AP87,0)</f>
        <v>1.07807029779879</v>
      </c>
      <c r="AU87" s="153" t="n">
        <f aca="false">IFERROR(IF($N87="VCA",INDEX(APOIO_REDES!$A:$W,MATCH($C87&amp;$I87&amp;$H87&amp;$N87&amp;$O87,APOIO_REDES!$W:$W,0),MATCH(AU$5,APOIO_REDES!$5:$5,0)),0)*$AP87,0)</f>
        <v>0.860917741975561</v>
      </c>
      <c r="AV87" s="153" t="n">
        <f aca="false">IFERROR(IF($N87="VCA",INDEX(APOIO_REDES!$A:$W,MATCH($C87&amp;$I87&amp;$H87&amp;$N87&amp;$O87,APOIO_REDES!$W:$W,0),MATCH(AV$5,APOIO_REDES!$5:$5,0)),0)*$AP87,0)</f>
        <v>0.119144257020157</v>
      </c>
      <c r="AW87" s="153" t="n">
        <f aca="false">IFERROR(IF($N87="VCA",INDEX(APOIO_REDES!$A:$W,MATCH($C87&amp;$I87&amp;$H87&amp;$N87&amp;$O87,APOIO_REDES!$W:$W,0),MATCH(AW$5,APOIO_REDES!$5:$5,0)),0)*$AP87,0)</f>
        <v>68.0124701325168</v>
      </c>
      <c r="AX87" s="153" t="n">
        <f aca="false">IFERROR(IF($N87="VCA",INDEX(APOIO_REDES!$A:$W,MATCH($C87&amp;$I87&amp;$H87&amp;$N87&amp;$O87,APOIO_REDES!$W:$W,0),MATCH(AX$5,APOIO_REDES!$5:$5,0)),0)*$AP87,0)</f>
        <v>9.41273212915192</v>
      </c>
      <c r="AY87" s="153" t="n">
        <f aca="false">IFERROR(IF($N87="VCA",INDEX(APOIO_REDES!$A:$W,MATCH($C87&amp;$I87&amp;$H87&amp;$N87&amp;$O87,APOIO_REDES!$W:$W,0),MATCH(AY$5,APOIO_REDES!$5:$5,0)),0)*$AP87,0)</f>
        <v>17.2183443449937</v>
      </c>
      <c r="AZ87" s="153" t="n">
        <f aca="false">IFERROR(IF($N87="VCA",INDEX(APOIO_REDES!$A:$W,MATCH($C87&amp;$I87&amp;$H87&amp;$N87&amp;$O87,APOIO_REDES!$W:$W,0),MATCH(AZ$5,APOIO_REDES!$5:$5,0)),0)*$AP87,0)</f>
        <v>2.38296909654302</v>
      </c>
      <c r="BA87" s="153" t="n">
        <f aca="false">IFERROR(IF(AND($N87="VCA",$Q87="LINEAR"),INDEX(APOIO_REDES!$A:$W,MATCH($C87&amp;$I87&amp;$H87&amp;$N87&amp;$O87,APOIO_REDES!$W:$W,0),MATCH(BA$5,APOIO_REDES!$5:$5,0)),IF(AND($N87="MND",$Q87="EMBOQUE"),INDEX(APOIO_REDES!$A:$W,MATCH($C87&amp;$I87&amp;$H87&amp;$N87&amp;$O87,APOIO_REDES!$W:$W,0),MATCH(BA$5,APOIO_REDES!$5:$5,0)),0))*$M87/10,0)</f>
        <v>9.01402189252263</v>
      </c>
      <c r="BB87" s="153" t="n">
        <f aca="false">IFERROR(IF($N87="VCA",INDEX(APOIO_REDES!$A:$W,MATCH($C87&amp;$I87&amp;$H87&amp;$N87&amp;$O87,APOIO_REDES!$W:$W,0),MATCH(BB$5,APOIO_REDES!$5:$5,0)),0)*($AI87+$AQ87+$AR87),0)</f>
        <v>33.2920362994271</v>
      </c>
      <c r="BC87" s="153" t="n">
        <f aca="false">IFERROR(IF($N87="VCA",INDEX(APOIO_REDES!$A:$W,MATCH($C87&amp;$I87&amp;$H87&amp;$N87&amp;$O87,APOIO_REDES!$W:$W,0),MATCH(BC$5,APOIO_REDES!$5:$5,0)),0)*($AI87+$AQ87+$AR87),0)</f>
        <v>0.366211700572882</v>
      </c>
      <c r="BD87" s="153" t="n">
        <f aca="false">IF(AND($N87="VCA",$AF87&gt;=1.25,$AF87&lt;1.5),$M87*$AF87*2,0)</f>
        <v>304.87584</v>
      </c>
      <c r="BE87" s="153" t="n">
        <f aca="false">IF(AND($N87="VCA",$AF87&gt;=1.5,$AF87&lt;3),$M87*$AF87*2,0)</f>
        <v>0</v>
      </c>
      <c r="BF87" s="153" t="n">
        <f aca="false">IF(AND($N87="VCA",$AF87&gt;=3),$M87*$AF87*2,0)</f>
        <v>0</v>
      </c>
      <c r="BG87" s="153" t="n">
        <f aca="false">($BB87+$BC87)*$AK87</f>
        <v>111.0722184</v>
      </c>
      <c r="BH87" s="153" t="n">
        <f aca="false">IF(AND($M87&lt;&gt;"",$N87="VCA",$Q87="LINEAR"),($M87*2)/100,IF(AND($M87&lt;&gt;"",$N87="MND",$Q87="EMBOQUE"),($AN87*2)/100,0))</f>
        <v>2.2368</v>
      </c>
      <c r="BI87" s="153" t="n">
        <f aca="false">IF(AND($M87&lt;&gt;"",$N87="VCA",$Q87="LINEAR"),$M87,IF(AND($M87&lt;&gt;"",$N87="MND",$Q87="EMBOQUE"),$AN87*2,0))</f>
        <v>111.84</v>
      </c>
      <c r="BJ87" s="153" t="n">
        <f aca="false">IF(AND($M87&lt;&gt;"",$N87="VCA",$Q87="LINEAR"),($M87*6.8)/100,IF(AND($M87&lt;&gt;"",$N87="MND",$Q87="EMBOQUE"),($AN87*2*6.8)/100,0))</f>
        <v>7.60512</v>
      </c>
      <c r="BK87" s="153" t="n">
        <f aca="false">IF(AND($M87&lt;&gt;"",$N87="VCA",$Q87="LINEAR"),($M87*2.5)/50,IF(AND($M87&lt;&gt;"",$N87="MND",$Q87="EMBOQUE"),($AN87*2*2.5)/50,0))</f>
        <v>5.592</v>
      </c>
      <c r="BL87" s="157" t="str">
        <f aca="false">K87&amp;J87</f>
        <v>Zona01REDES</v>
      </c>
      <c r="BM87" s="152" t="s">
        <v>1559</v>
      </c>
      <c r="BN87" s="152" t="s">
        <v>1560</v>
      </c>
      <c r="BO87" s="152" t="s">
        <v>1748</v>
      </c>
      <c r="BP87" s="152" t="s">
        <v>1862</v>
      </c>
      <c r="BQ87" s="152" t="s">
        <v>1849</v>
      </c>
      <c r="BR87" s="152" t="s">
        <v>1850</v>
      </c>
      <c r="BS87" s="152" t="n">
        <v>202996.886</v>
      </c>
      <c r="BT87" s="152" t="n">
        <v>8238509.349</v>
      </c>
      <c r="BU87" s="152" t="n">
        <v>203064.986</v>
      </c>
      <c r="BV87" s="152" t="n">
        <v>8238598.069</v>
      </c>
      <c r="BW87" s="152" t="n">
        <v>-15.9144676</v>
      </c>
      <c r="BX87" s="152" t="n">
        <v>-47.7735263</v>
      </c>
      <c r="BY87" s="152" t="s">
        <v>1862</v>
      </c>
    </row>
    <row r="88" customFormat="false" ht="13.8" hidden="false" customHeight="false" outlineLevel="0" collapsed="false">
      <c r="A88" s="149" t="n">
        <f aca="false">IF(C88&lt;&gt;"",ROW(A83),"")</f>
        <v>83</v>
      </c>
      <c r="B88" s="150" t="str">
        <f aca="false">HYPERLINK("https://www.google.com/maps/dir/-15.917302,-47.760003/-15.9139424,-47.7720102/data=!4m3!4m2!3e0!5i0")</f>
        <v>https://www.google.com/maps/dir/-15.917302,-47.760003/-15.9139424,-47.7720102/data=!4m3!4m2!3e0!5i0</v>
      </c>
      <c r="C88" s="151" t="s">
        <v>117</v>
      </c>
      <c r="D88" s="152" t="s">
        <v>112</v>
      </c>
      <c r="E88" s="152" t="s">
        <v>113</v>
      </c>
      <c r="F88" s="152" t="s">
        <v>117</v>
      </c>
      <c r="G88" s="152" t="s">
        <v>782</v>
      </c>
      <c r="H88" s="152" t="n">
        <v>63</v>
      </c>
      <c r="I88" s="152" t="s">
        <v>115</v>
      </c>
      <c r="J88" s="152" t="s">
        <v>6</v>
      </c>
      <c r="K88" s="152" t="s">
        <v>1547</v>
      </c>
      <c r="L88" s="152" t="s">
        <v>120</v>
      </c>
      <c r="M88" s="153" t="n">
        <f aca="false">240.25</f>
        <v>240.25</v>
      </c>
      <c r="N88" s="152" t="s">
        <v>1548</v>
      </c>
      <c r="O88" s="152" t="s">
        <v>1549</v>
      </c>
      <c r="P88" s="152" t="s">
        <v>1550</v>
      </c>
      <c r="Q88" s="152" t="s">
        <v>1551</v>
      </c>
      <c r="R88" s="154" t="s">
        <v>1863</v>
      </c>
      <c r="S88" s="154" t="s">
        <v>1553</v>
      </c>
      <c r="T88" s="155" t="s">
        <v>1746</v>
      </c>
      <c r="U88" s="152" t="str">
        <f aca="false">RIGHT(T88,7)</f>
        <v>003/037</v>
      </c>
      <c r="V88" s="152" t="s">
        <v>1555</v>
      </c>
      <c r="W88" s="156" t="n">
        <v>45882</v>
      </c>
      <c r="X88" s="152" t="s">
        <v>1594</v>
      </c>
      <c r="Y88" s="152"/>
      <c r="Z88" s="152" t="s">
        <v>1557</v>
      </c>
      <c r="AA88" s="153" t="n">
        <v>2.5</v>
      </c>
      <c r="AB88" s="151" t="s">
        <v>1864</v>
      </c>
      <c r="AC88" s="151" t="s">
        <v>186</v>
      </c>
      <c r="AD88" s="151" t="str">
        <f aca="false">CONCATENATE($C88,$I88,$H88,$N88,$J88,$K88)</f>
        <v>TUBO PEADPEAD63VCAREDESZona01</v>
      </c>
      <c r="AE88" s="153" t="n">
        <f aca="false">IFERROR(INDEX(APOIO_REDES!$A:$W,MATCH($C88&amp;$I88&amp;$H88&amp;$N88&amp;$O88,APOIO_REDES!$W:$W,0),MATCH(AE$5,APOIO_REDES!$5:$5,0)),0)</f>
        <v>1.2</v>
      </c>
      <c r="AF88" s="153" t="n">
        <f aca="false">IFERROR(INDEX(APOIO_REDES!$A:$W,MATCH($C88&amp;$I88&amp;$H88&amp;$N88&amp;$O88,APOIO_REDES!$W:$W,0),MATCH(AF$5,APOIO_REDES!$5:$5,0)),0)</f>
        <v>1.363</v>
      </c>
      <c r="AG88" s="153" t="n">
        <f aca="false">IFERROR(INDEX(APOIO_REDES!$A:$W,MATCH($C88&amp;$I88&amp;$H88&amp;$N88&amp;$O88,APOIO_REDES!$W:$W,0),MATCH(AG$5,APOIO_REDES!$5:$5,0)),0)</f>
        <v>0.65</v>
      </c>
      <c r="AH88" s="153" t="n">
        <f aca="false">IFERROR(INDEX(APOIO_REDES!$A:$W,MATCH($C88&amp;$I88&amp;$H88&amp;$N88&amp;$O88,APOIO_REDES!$W:$W,0),MATCH(AH$5,APOIO_REDES!$5:$5,0)),0)</f>
        <v>0.1</v>
      </c>
      <c r="AI88" s="153" t="n">
        <f aca="false">IFERROR(IF($H88&lt;&gt;"",(((($H88/1000)/2)^2)*PI()*$M88),0),0)</f>
        <v>0.748918185853504</v>
      </c>
      <c r="AJ88" s="153" t="n">
        <f aca="false">IFERROR(IF(AND($H88&lt;&gt;"",$I88="FoFo",OR($N88="MND",$N88="VCA"),$Q88="LINEAR"),0,IF(AND($H88&lt;&gt;"",$I88="PEAD",$N88="VCA",$Q88="LINEAR"),($H88/1000)+0.3,IF(AND($H88&lt;&gt;"",$I88="PEAD",$N88="MND",$Q88="EMBOQUE"),0,IF(AND($H88&lt;&gt;"",$I88="PVC",$N88="VCA",$Q88="LINEAR"),($H88/1000)+0.2,IF(AND($H88&lt;&gt;"",$I88="PVC",$N88="MND",$Q88="EMBOQUE"),0,IF(AND($H88&lt;&gt;"",$I88="PEAD",$N88="VCA",$Q88="PREDIAL"),0,0)))))),0)</f>
        <v>0.363</v>
      </c>
      <c r="AK88" s="153" t="n">
        <f aca="false">IF(AA88&lt;&gt;"",AA88,0)</f>
        <v>2.5</v>
      </c>
      <c r="AL88" s="153" t="n">
        <f aca="false">IF(AND($N88="MND",$Q88="EMBOQUE"),$M88,IF(AND($N88="VCA",$Q88="LINEAR"),$M88,IF(AND($N88="VCA",$Q88="PREDIAL"),0,0)))</f>
        <v>240.25</v>
      </c>
      <c r="AM88" s="153" t="n">
        <f aca="false">IF(AND($N88="MND",$Q88="EMBOQUE"),$M88,IF(AND($N88="VCA",$Q88="LINEAR"),$M88,IF(AND($N88="VCA",$Q88="PREDIAL"),0,0)))</f>
        <v>240.25</v>
      </c>
      <c r="AN88" s="153" t="n">
        <f aca="false">ROUND(IF(AND($N88="VCA",$M88&lt;&gt;"",$Q88="LINEAR"),$M88/100,IF(AND($N88="MND",$M88&gt;100,$Q88="EMBOQUE"),$M88/100,0)),0)</f>
        <v>2</v>
      </c>
      <c r="AO88" s="153" t="n">
        <f aca="false">IF(AND($N88="MND",$Q88="EMBOQUE"),$AN88*2*2,IF(AND($N88="VCA",$Q88="LINEAR"),$M88*2,IF(AND($N88="VCA",$Q88="PREDIAL"),0,0)))</f>
        <v>480.5</v>
      </c>
      <c r="AP88" s="153" t="n">
        <f aca="false">IFERROR($M88*$AF88*$AG88,0)</f>
        <v>212.8494875</v>
      </c>
      <c r="AQ88" s="153" t="n">
        <f aca="false">IFERROR(IF(AND($N88="VCA",$AH88&gt;0),$M88*$AG88*$AH88,0),0)</f>
        <v>15.61625</v>
      </c>
      <c r="AR88" s="153" t="n">
        <f aca="false">IFERROR(IF(AND($N88="VCA",$AJ88&gt;0),($M88*$AG88*$AJ88)-$AI88,0),0)</f>
        <v>55.9380693141465</v>
      </c>
      <c r="AS88" s="153" t="n">
        <f aca="false">IFERROR(IF(AND($N88="VCA",$AP88&gt;0),$AP88-$AI88-$AQ88-$AR88,0),0)</f>
        <v>140.54625</v>
      </c>
      <c r="AT88" s="153" t="n">
        <f aca="false">IFERROR(IF($N88="VCA",INDEX(APOIO_REDES!$A:$W,MATCH($C88&amp;$I88&amp;$H88&amp;$N88&amp;$O88,APOIO_REDES!$W:$W,0),MATCH(AT$5,APOIO_REDES!$5:$5,0)),0)*$AP88,0)</f>
        <v>2.31586542423246</v>
      </c>
      <c r="AU88" s="153" t="n">
        <f aca="false">IFERROR(IF($N88="VCA",INDEX(APOIO_REDES!$A:$W,MATCH($C88&amp;$I88&amp;$H88&amp;$N88&amp;$O88,APOIO_REDES!$W:$W,0),MATCH(AU$5,APOIO_REDES!$5:$5,0)),0)*$AP88,0)</f>
        <v>1.84938740620197</v>
      </c>
      <c r="AV88" s="153" t="n">
        <f aca="false">IFERROR(IF($N88="VCA",INDEX(APOIO_REDES!$A:$W,MATCH($C88&amp;$I88&amp;$H88&amp;$N88&amp;$O88,APOIO_REDES!$W:$W,0),MATCH(AV$5,APOIO_REDES!$5:$5,0)),0)*$AP88,0)</f>
        <v>0.255940698757981</v>
      </c>
      <c r="AW88" s="153" t="n">
        <f aca="false">IFERROR(IF($N88="VCA",INDEX(APOIO_REDES!$A:$W,MATCH($C88&amp;$I88&amp;$H88&amp;$N88&amp;$O88,APOIO_REDES!$W:$W,0),MATCH(AW$5,APOIO_REDES!$5:$5,0)),0)*$AP88,0)</f>
        <v>146.101537458308</v>
      </c>
      <c r="AX88" s="153" t="n">
        <f aca="false">IFERROR(IF($N88="VCA",INDEX(APOIO_REDES!$A:$W,MATCH($C88&amp;$I88&amp;$H88&amp;$N88&amp;$O88,APOIO_REDES!$W:$W,0),MATCH(AX$5,APOIO_REDES!$5:$5,0)),0)*$AP88,0)</f>
        <v>20.2200366061226</v>
      </c>
      <c r="AY88" s="153" t="n">
        <f aca="false">IFERROR(IF($N88="VCA",INDEX(APOIO_REDES!$A:$W,MATCH($C88&amp;$I88&amp;$H88&amp;$N88&amp;$O88,APOIO_REDES!$W:$W,0),MATCH(AY$5,APOIO_REDES!$5:$5,0)),0)*$AP88,0)</f>
        <v>36.9877255801569</v>
      </c>
      <c r="AZ88" s="153" t="n">
        <f aca="false">IFERROR(IF($N88="VCA",INDEX(APOIO_REDES!$A:$W,MATCH($C88&amp;$I88&amp;$H88&amp;$N88&amp;$O88,APOIO_REDES!$W:$W,0),MATCH(AZ$5,APOIO_REDES!$5:$5,0)),0)*$AP88,0)</f>
        <v>5.11899432622014</v>
      </c>
      <c r="BA88" s="153" t="n">
        <f aca="false">IFERROR(IF(AND($N88="VCA",$Q88="LINEAR"),INDEX(APOIO_REDES!$A:$W,MATCH($C88&amp;$I88&amp;$H88&amp;$N88&amp;$O88,APOIO_REDES!$W:$W,0),MATCH(BA$5,APOIO_REDES!$5:$5,0)),IF(AND($N88="MND",$Q88="EMBOQUE"),INDEX(APOIO_REDES!$A:$W,MATCH($C88&amp;$I88&amp;$H88&amp;$N88&amp;$O88,APOIO_REDES!$W:$W,0),MATCH(BA$5,APOIO_REDES!$5:$5,0)),0))*$M88/10,0)</f>
        <v>19.3635439885422</v>
      </c>
      <c r="BB88" s="153" t="n">
        <f aca="false">IFERROR(IF($N88="VCA",INDEX(APOIO_REDES!$A:$W,MATCH($C88&amp;$I88&amp;$H88&amp;$N88&amp;$O88,APOIO_REDES!$W:$W,0),MATCH(BB$5,APOIO_REDES!$5:$5,0)),0)*($AI88+$AQ88+$AR88),0)</f>
        <v>71.5165568753341</v>
      </c>
      <c r="BC88" s="153" t="n">
        <f aca="false">IFERROR(IF($N88="VCA",INDEX(APOIO_REDES!$A:$W,MATCH($C88&amp;$I88&amp;$H88&amp;$N88&amp;$O88,APOIO_REDES!$W:$W,0),MATCH(BC$5,APOIO_REDES!$5:$5,0)),0)*($AI88+$AQ88+$AR88),0)</f>
        <v>0.786680624665905</v>
      </c>
      <c r="BD88" s="153" t="n">
        <f aca="false">IF(AND($N88="VCA",$AF88&gt;=1.25,$AF88&lt;1.5),$M88*$AF88*2,0)</f>
        <v>654.9215</v>
      </c>
      <c r="BE88" s="153" t="n">
        <f aca="false">IF(AND($N88="VCA",$AF88&gt;=1.5,$AF88&lt;3),$M88*$AF88*2,0)</f>
        <v>0</v>
      </c>
      <c r="BF88" s="153" t="n">
        <f aca="false">IF(AND($N88="VCA",$AF88&gt;=3),$M88*$AF88*2,0)</f>
        <v>0</v>
      </c>
      <c r="BG88" s="153" t="n">
        <f aca="false">($BB88+$BC88)*$AK88</f>
        <v>180.75809375</v>
      </c>
      <c r="BH88" s="153" t="n">
        <f aca="false">IF(AND($M88&lt;&gt;"",$N88="VCA",$Q88="LINEAR"),($M88*2)/100,IF(AND($M88&lt;&gt;"",$N88="MND",$Q88="EMBOQUE"),($AN88*2)/100,0))</f>
        <v>4.805</v>
      </c>
      <c r="BI88" s="153" t="n">
        <f aca="false">IF(AND($M88&lt;&gt;"",$N88="VCA",$Q88="LINEAR"),$M88,IF(AND($M88&lt;&gt;"",$N88="MND",$Q88="EMBOQUE"),$AN88*2,0))</f>
        <v>240.25</v>
      </c>
      <c r="BJ88" s="153" t="n">
        <f aca="false">IF(AND($M88&lt;&gt;"",$N88="VCA",$Q88="LINEAR"),($M88*6.8)/100,IF(AND($M88&lt;&gt;"",$N88="MND",$Q88="EMBOQUE"),($AN88*2*6.8)/100,0))</f>
        <v>16.337</v>
      </c>
      <c r="BK88" s="153" t="n">
        <f aca="false">IF(AND($M88&lt;&gt;"",$N88="VCA",$Q88="LINEAR"),($M88*2.5)/50,IF(AND($M88&lt;&gt;"",$N88="MND",$Q88="EMBOQUE"),($AN88*2*2.5)/50,0))</f>
        <v>12.0125</v>
      </c>
      <c r="BL88" s="157" t="str">
        <f aca="false">K88&amp;J88</f>
        <v>Zona01REDES</v>
      </c>
      <c r="BM88" s="152" t="s">
        <v>1559</v>
      </c>
      <c r="BN88" s="152" t="s">
        <v>1560</v>
      </c>
      <c r="BO88" s="152" t="s">
        <v>1748</v>
      </c>
      <c r="BP88" s="152" t="s">
        <v>1822</v>
      </c>
      <c r="BQ88" s="152" t="s">
        <v>1865</v>
      </c>
      <c r="BR88" s="152" t="s">
        <v>1866</v>
      </c>
      <c r="BS88" s="152" t="n">
        <v>203192.611</v>
      </c>
      <c r="BT88" s="152" t="n">
        <v>8238614.015</v>
      </c>
      <c r="BU88" s="152" t="n">
        <v>203384.997</v>
      </c>
      <c r="BV88" s="152" t="n">
        <v>8238470.143</v>
      </c>
      <c r="BW88" s="152" t="n">
        <v>-15.9146051</v>
      </c>
      <c r="BX88" s="152" t="n">
        <v>-47.7711227</v>
      </c>
      <c r="BY88" s="152" t="s">
        <v>1822</v>
      </c>
    </row>
    <row r="89" customFormat="false" ht="13.8" hidden="false" customHeight="false" outlineLevel="0" collapsed="false">
      <c r="A89" s="149" t="n">
        <f aca="false">IF(C89&lt;&gt;"",ROW(A84),"")</f>
        <v>84</v>
      </c>
      <c r="B89" s="150" t="str">
        <f aca="false">HYPERLINK("https://www.google.com/maps/dir/-15.917302,-47.760003/-15.9148475,-47.7694979/data=!4m3!4m2!3e0!5i0")</f>
        <v>https://www.google.com/maps/dir/-15.917302,-47.760003/-15.9148475,-47.7694979/data=!4m3!4m2!3e0!5i0</v>
      </c>
      <c r="C89" s="151" t="s">
        <v>117</v>
      </c>
      <c r="D89" s="152" t="s">
        <v>112</v>
      </c>
      <c r="E89" s="152" t="s">
        <v>113</v>
      </c>
      <c r="F89" s="152" t="s">
        <v>117</v>
      </c>
      <c r="G89" s="152" t="s">
        <v>114</v>
      </c>
      <c r="H89" s="152" t="n">
        <v>225</v>
      </c>
      <c r="I89" s="152" t="s">
        <v>115</v>
      </c>
      <c r="J89" s="152" t="s">
        <v>6</v>
      </c>
      <c r="K89" s="152" t="s">
        <v>1547</v>
      </c>
      <c r="L89" s="152" t="s">
        <v>120</v>
      </c>
      <c r="M89" s="153" t="n">
        <f aca="false">45.14</f>
        <v>45.14</v>
      </c>
      <c r="N89" s="152" t="s">
        <v>1548</v>
      </c>
      <c r="O89" s="152" t="s">
        <v>1549</v>
      </c>
      <c r="P89" s="152" t="s">
        <v>1550</v>
      </c>
      <c r="Q89" s="152" t="s">
        <v>1551</v>
      </c>
      <c r="R89" s="154" t="s">
        <v>1867</v>
      </c>
      <c r="S89" s="154" t="s">
        <v>1593</v>
      </c>
      <c r="T89" s="155" t="s">
        <v>1746</v>
      </c>
      <c r="U89" s="152" t="str">
        <f aca="false">RIGHT(T89,7)</f>
        <v>003/037</v>
      </c>
      <c r="V89" s="152" t="s">
        <v>1555</v>
      </c>
      <c r="W89" s="156" t="n">
        <v>45882</v>
      </c>
      <c r="X89" s="152" t="s">
        <v>1556</v>
      </c>
      <c r="Y89" s="152" t="s">
        <v>1772</v>
      </c>
      <c r="Z89" s="152" t="s">
        <v>1557</v>
      </c>
      <c r="AA89" s="153" t="n">
        <v>2.1</v>
      </c>
      <c r="AB89" s="151" t="s">
        <v>1868</v>
      </c>
      <c r="AC89" s="151" t="s">
        <v>508</v>
      </c>
      <c r="AD89" s="151" t="str">
        <f aca="false">CONCATENATE($C89,$I89,$H89,$N89,$J89,$K89)</f>
        <v>TUBO PEADPEAD225VCAREDESZona01</v>
      </c>
      <c r="AE89" s="153" t="n">
        <f aca="false">IFERROR(INDEX(APOIO_REDES!$A:$W,MATCH($C89&amp;$I89&amp;$H89&amp;$N89&amp;$O89,APOIO_REDES!$W:$W,0),MATCH(AE$5,APOIO_REDES!$5:$5,0)),0)</f>
        <v>1.2</v>
      </c>
      <c r="AF89" s="153" t="n">
        <f aca="false">IFERROR(INDEX(APOIO_REDES!$A:$W,MATCH($C89&amp;$I89&amp;$H89&amp;$N89&amp;$O89,APOIO_REDES!$W:$W,0),MATCH(AF$5,APOIO_REDES!$5:$5,0)),0)</f>
        <v>1.525</v>
      </c>
      <c r="AG89" s="153" t="n">
        <f aca="false">IFERROR(INDEX(APOIO_REDES!$A:$W,MATCH($C89&amp;$I89&amp;$H89&amp;$N89&amp;$O89,APOIO_REDES!$W:$W,0),MATCH(AG$5,APOIO_REDES!$5:$5,0)),0)</f>
        <v>0.8</v>
      </c>
      <c r="AH89" s="153" t="n">
        <f aca="false">IFERROR(INDEX(APOIO_REDES!$A:$W,MATCH($C89&amp;$I89&amp;$H89&amp;$N89&amp;$O89,APOIO_REDES!$W:$W,0),MATCH(AH$5,APOIO_REDES!$5:$5,0)),0)</f>
        <v>0.1</v>
      </c>
      <c r="AI89" s="153" t="n">
        <f aca="false">IFERROR(IF($H89&lt;&gt;"",(((($H89/1000)/2)^2)*PI()*$M89),0),0)</f>
        <v>1.79480170047289</v>
      </c>
      <c r="AJ89" s="153" t="n">
        <f aca="false">IFERROR(IF(AND($H89&lt;&gt;"",$I89="FoFo",OR($N89="MND",$N89="VCA"),$Q89="LINEAR"),0,IF(AND($H89&lt;&gt;"",$I89="PEAD",$N89="VCA",$Q89="LINEAR"),($H89/1000)+0.3,IF(AND($H89&lt;&gt;"",$I89="PEAD",$N89="MND",$Q89="EMBOQUE"),0,IF(AND($H89&lt;&gt;"",$I89="PVC",$N89="VCA",$Q89="LINEAR"),($H89/1000)+0.2,IF(AND($H89&lt;&gt;"",$I89="PVC",$N89="MND",$Q89="EMBOQUE"),0,IF(AND($H89&lt;&gt;"",$I89="PEAD",$N89="VCA",$Q89="PREDIAL"),0,0)))))),0)</f>
        <v>0.525</v>
      </c>
      <c r="AK89" s="153" t="n">
        <f aca="false">IF(AA89&lt;&gt;"",AA89,0)</f>
        <v>2.1</v>
      </c>
      <c r="AL89" s="153" t="n">
        <f aca="false">IF(AND($N89="MND",$Q89="EMBOQUE"),$M89,IF(AND($N89="VCA",$Q89="LINEAR"),$M89,IF(AND($N89="VCA",$Q89="PREDIAL"),0,0)))</f>
        <v>45.14</v>
      </c>
      <c r="AM89" s="153" t="n">
        <f aca="false">IF(AND($N89="MND",$Q89="EMBOQUE"),$M89,IF(AND($N89="VCA",$Q89="LINEAR"),$M89,IF(AND($N89="VCA",$Q89="PREDIAL"),0,0)))</f>
        <v>45.14</v>
      </c>
      <c r="AN89" s="153" t="n">
        <f aca="false">ROUND(IF(AND($N89="VCA",$M89&lt;&gt;"",$Q89="LINEAR"),$M89/100,IF(AND($N89="MND",$M89&gt;100,$Q89="EMBOQUE"),$M89/100,0)),0)</f>
        <v>0</v>
      </c>
      <c r="AO89" s="153" t="n">
        <f aca="false">IF(AND($N89="MND",$Q89="EMBOQUE"),$AN89*2*2,IF(AND($N89="VCA",$Q89="LINEAR"),$M89*2,IF(AND($N89="VCA",$Q89="PREDIAL"),0,0)))</f>
        <v>90.28</v>
      </c>
      <c r="AP89" s="153" t="n">
        <f aca="false">IFERROR($M89*$AF89*$AG89,0)</f>
        <v>55.0708</v>
      </c>
      <c r="AQ89" s="153" t="n">
        <f aca="false">IFERROR(IF(AND($N89="VCA",$AH89&gt;0),$M89*$AG89*$AH89,0),0)</f>
        <v>3.6112</v>
      </c>
      <c r="AR89" s="153" t="n">
        <f aca="false">IFERROR(IF(AND($N89="VCA",$AJ89&gt;0),($M89*$AG89*$AJ89)-$AI89,0),0)</f>
        <v>17.1639982995271</v>
      </c>
      <c r="AS89" s="153" t="n">
        <f aca="false">IFERROR(IF(AND($N89="VCA",$AP89&gt;0),$AP89-$AI89-$AQ89-$AR89,0),0)</f>
        <v>32.5008</v>
      </c>
      <c r="AT89" s="153" t="n">
        <f aca="false">IFERROR(IF($N89="VCA",INDEX(APOIO_REDES!$A:$W,MATCH($C89&amp;$I89&amp;$H89&amp;$N89&amp;$O89,APOIO_REDES!$W:$W,0),MATCH(AT$5,APOIO_REDES!$5:$5,0)),0)*$AP89,0)</f>
        <v>0.599186604124762</v>
      </c>
      <c r="AU89" s="153" t="n">
        <f aca="false">IFERROR(IF($N89="VCA",INDEX(APOIO_REDES!$A:$W,MATCH($C89&amp;$I89&amp;$H89&amp;$N89&amp;$O89,APOIO_REDES!$W:$W,0),MATCH(AU$5,APOIO_REDES!$5:$5,0)),0)*$AP89,0)</f>
        <v>0.478494194022748</v>
      </c>
      <c r="AV89" s="153" t="n">
        <f aca="false">IFERROR(IF($N89="VCA",INDEX(APOIO_REDES!$A:$W,MATCH($C89&amp;$I89&amp;$H89&amp;$N89&amp;$O89,APOIO_REDES!$W:$W,0),MATCH(AV$5,APOIO_REDES!$5:$5,0)),0)*$AP89,0)</f>
        <v>0.0662198401260469</v>
      </c>
      <c r="AW89" s="153" t="n">
        <f aca="false">IFERROR(IF($N89="VCA",INDEX(APOIO_REDES!$A:$W,MATCH($C89&amp;$I89&amp;$H89&amp;$N89&amp;$O89,APOIO_REDES!$W:$W,0),MATCH(AW$5,APOIO_REDES!$5:$5,0)),0)*$AP89,0)</f>
        <v>37.8010238293808</v>
      </c>
      <c r="AX89" s="153" t="n">
        <f aca="false">IFERROR(IF($N89="VCA",INDEX(APOIO_REDES!$A:$W,MATCH($C89&amp;$I89&amp;$H89&amp;$N89&amp;$O89,APOIO_REDES!$W:$W,0),MATCH(AX$5,APOIO_REDES!$5:$5,0)),0)*$AP89,0)</f>
        <v>5.23155401973169</v>
      </c>
      <c r="AY89" s="153" t="n">
        <f aca="false">IFERROR(IF($N89="VCA",INDEX(APOIO_REDES!$A:$W,MATCH($C89&amp;$I89&amp;$H89&amp;$N89&amp;$O89,APOIO_REDES!$W:$W,0),MATCH(AY$5,APOIO_REDES!$5:$5,0)),0)*$AP89,0)</f>
        <v>9.56987804764953</v>
      </c>
      <c r="AZ89" s="153" t="n">
        <f aca="false">IFERROR(IF($N89="VCA",INDEX(APOIO_REDES!$A:$W,MATCH($C89&amp;$I89&amp;$H89&amp;$N89&amp;$O89,APOIO_REDES!$W:$W,0),MATCH(AZ$5,APOIO_REDES!$5:$5,0)),0)*$AP89,0)</f>
        <v>1.32444346496443</v>
      </c>
      <c r="BA89" s="153" t="n">
        <f aca="false">IFERROR(IF(AND($N89="VCA",$Q89="LINEAR"),INDEX(APOIO_REDES!$A:$W,MATCH($C89&amp;$I89&amp;$H89&amp;$N89&amp;$O89,APOIO_REDES!$W:$W,0),MATCH(BA$5,APOIO_REDES!$5:$5,0)),IF(AND($N89="MND",$Q89="EMBOQUE"),INDEX(APOIO_REDES!$A:$W,MATCH($C89&amp;$I89&amp;$H89&amp;$N89&amp;$O89,APOIO_REDES!$W:$W,0),MATCH(BA$5,APOIO_REDES!$5:$5,0)),0))*$M89/10,0)</f>
        <v>3.63817013795128</v>
      </c>
      <c r="BB89" s="153" t="n">
        <f aca="false">IFERROR(IF($N89="VCA",INDEX(APOIO_REDES!$A:$W,MATCH($C89&amp;$I89&amp;$H89&amp;$N89&amp;$O89,APOIO_REDES!$W:$W,0),MATCH(BB$5,APOIO_REDES!$5:$5,0)),0)*($AI89+$AQ89+$AR89),0)</f>
        <v>22.324431719621</v>
      </c>
      <c r="BC89" s="153" t="n">
        <f aca="false">IFERROR(IF($N89="VCA",INDEX(APOIO_REDES!$A:$W,MATCH($C89&amp;$I89&amp;$H89&amp;$N89&amp;$O89,APOIO_REDES!$W:$W,0),MATCH(BC$5,APOIO_REDES!$5:$5,0)),0)*($AI89+$AQ89+$AR89),0)</f>
        <v>0.245568280379001</v>
      </c>
      <c r="BD89" s="153" t="n">
        <f aca="false">IF(AND($N89="VCA",$AF89&gt;=1.25,$AF89&lt;1.5),$M89*$AF89*2,0)</f>
        <v>0</v>
      </c>
      <c r="BE89" s="153" t="n">
        <f aca="false">IF(AND($N89="VCA",$AF89&gt;=1.5,$AF89&lt;3),$M89*$AF89*2,0)</f>
        <v>137.677</v>
      </c>
      <c r="BF89" s="153" t="n">
        <f aca="false">IF(AND($N89="VCA",$AF89&gt;=3),$M89*$AF89*2,0)</f>
        <v>0</v>
      </c>
      <c r="BG89" s="153" t="n">
        <f aca="false">($BB89+$BC89)*$AK89</f>
        <v>47.397</v>
      </c>
      <c r="BH89" s="153" t="n">
        <f aca="false">IF(AND($M89&lt;&gt;"",$N89="VCA",$Q89="LINEAR"),($M89*2)/100,IF(AND($M89&lt;&gt;"",$N89="MND",$Q89="EMBOQUE"),($AN89*2)/100,0))</f>
        <v>0.9028</v>
      </c>
      <c r="BI89" s="153" t="n">
        <f aca="false">IF(AND($M89&lt;&gt;"",$N89="VCA",$Q89="LINEAR"),$M89,IF(AND($M89&lt;&gt;"",$N89="MND",$Q89="EMBOQUE"),$AN89*2,0))</f>
        <v>45.14</v>
      </c>
      <c r="BJ89" s="153" t="n">
        <f aca="false">IF(AND($M89&lt;&gt;"",$N89="VCA",$Q89="LINEAR"),($M89*6.8)/100,IF(AND($M89&lt;&gt;"",$N89="MND",$Q89="EMBOQUE"),($AN89*2*6.8)/100,0))</f>
        <v>3.06952</v>
      </c>
      <c r="BK89" s="153" t="n">
        <f aca="false">IF(AND($M89&lt;&gt;"",$N89="VCA",$Q89="LINEAR"),($M89*2.5)/50,IF(AND($M89&lt;&gt;"",$N89="MND",$Q89="EMBOQUE"),($AN89*2*2.5)/50,0))</f>
        <v>2.257</v>
      </c>
      <c r="BL89" s="157" t="str">
        <f aca="false">K89&amp;J89</f>
        <v>Zona01REDES</v>
      </c>
      <c r="BM89" s="152" t="s">
        <v>1559</v>
      </c>
      <c r="BN89" s="152" t="s">
        <v>1560</v>
      </c>
      <c r="BO89" s="152" t="s">
        <v>1748</v>
      </c>
      <c r="BP89" s="152" t="s">
        <v>1845</v>
      </c>
      <c r="BQ89" s="152" t="s">
        <v>1826</v>
      </c>
      <c r="BR89" s="152" t="s">
        <v>1869</v>
      </c>
      <c r="BS89" s="152" t="n">
        <v>203463.119</v>
      </c>
      <c r="BT89" s="152" t="n">
        <v>8238517.373</v>
      </c>
      <c r="BU89" s="152" t="n">
        <v>203484.489</v>
      </c>
      <c r="BV89" s="152" t="n">
        <v>8238556.918</v>
      </c>
      <c r="BW89" s="152" t="n">
        <v>-15.9146669</v>
      </c>
      <c r="BX89" s="152" t="n">
        <v>-47.7694002</v>
      </c>
      <c r="BY89" s="152" t="s">
        <v>1845</v>
      </c>
    </row>
    <row r="90" customFormat="false" ht="13.8" hidden="false" customHeight="false" outlineLevel="0" collapsed="false">
      <c r="A90" s="149" t="n">
        <f aca="false">IF(C90&lt;&gt;"",ROW(A85),"")</f>
        <v>85</v>
      </c>
      <c r="B90" s="150" t="str">
        <f aca="false">HYPERLINK("https://www.google.com/maps/dir/-15.917302,-47.760003/-15.9149640,-47.7719369/data=!4m3!4m2!3e0!5i0")</f>
        <v>https://www.google.com/maps/dir/-15.917302,-47.760003/-15.9149640,-47.7719369/data=!4m3!4m2!3e0!5i0</v>
      </c>
      <c r="C90" s="151" t="s">
        <v>117</v>
      </c>
      <c r="D90" s="152" t="s">
        <v>112</v>
      </c>
      <c r="E90" s="152" t="s">
        <v>113</v>
      </c>
      <c r="F90" s="152" t="s">
        <v>117</v>
      </c>
      <c r="G90" s="152" t="s">
        <v>782</v>
      </c>
      <c r="H90" s="152" t="n">
        <v>63</v>
      </c>
      <c r="I90" s="152" t="s">
        <v>115</v>
      </c>
      <c r="J90" s="152" t="s">
        <v>6</v>
      </c>
      <c r="K90" s="152" t="s">
        <v>1547</v>
      </c>
      <c r="L90" s="152" t="s">
        <v>120</v>
      </c>
      <c r="M90" s="153" t="n">
        <f aca="false">122.27+1.3</f>
        <v>123.57</v>
      </c>
      <c r="N90" s="152" t="s">
        <v>1548</v>
      </c>
      <c r="O90" s="152" t="s">
        <v>1549</v>
      </c>
      <c r="P90" s="152" t="s">
        <v>1550</v>
      </c>
      <c r="Q90" s="152" t="s">
        <v>1551</v>
      </c>
      <c r="R90" s="154" t="s">
        <v>1870</v>
      </c>
      <c r="S90" s="154" t="s">
        <v>1553</v>
      </c>
      <c r="T90" s="155" t="s">
        <v>1746</v>
      </c>
      <c r="U90" s="152" t="str">
        <f aca="false">RIGHT(T90,7)</f>
        <v>003/037</v>
      </c>
      <c r="V90" s="152" t="s">
        <v>1555</v>
      </c>
      <c r="W90" s="156" t="n">
        <v>45882</v>
      </c>
      <c r="X90" s="152" t="s">
        <v>1594</v>
      </c>
      <c r="Y90" s="152" t="s">
        <v>1855</v>
      </c>
      <c r="Z90" s="152" t="s">
        <v>1557</v>
      </c>
      <c r="AA90" s="153" t="n">
        <v>2.5</v>
      </c>
      <c r="AB90" s="151" t="s">
        <v>1871</v>
      </c>
      <c r="AC90" s="151" t="s">
        <v>186</v>
      </c>
      <c r="AD90" s="151" t="str">
        <f aca="false">CONCATENATE($C90,$I90,$H90,$N90,$J90,$K90)</f>
        <v>TUBO PEADPEAD63VCAREDESZona01</v>
      </c>
      <c r="AE90" s="153" t="n">
        <f aca="false">IFERROR(INDEX(APOIO_REDES!$A:$W,MATCH($C90&amp;$I90&amp;$H90&amp;$N90&amp;$O90,APOIO_REDES!$W:$W,0),MATCH(AE$5,APOIO_REDES!$5:$5,0)),0)</f>
        <v>1.2</v>
      </c>
      <c r="AF90" s="153" t="n">
        <f aca="false">IFERROR(INDEX(APOIO_REDES!$A:$W,MATCH($C90&amp;$I90&amp;$H90&amp;$N90&amp;$O90,APOIO_REDES!$W:$W,0),MATCH(AF$5,APOIO_REDES!$5:$5,0)),0)</f>
        <v>1.363</v>
      </c>
      <c r="AG90" s="153" t="n">
        <f aca="false">IFERROR(INDEX(APOIO_REDES!$A:$W,MATCH($C90&amp;$I90&amp;$H90&amp;$N90&amp;$O90,APOIO_REDES!$W:$W,0),MATCH(AG$5,APOIO_REDES!$5:$5,0)),0)</f>
        <v>0.65</v>
      </c>
      <c r="AH90" s="153" t="n">
        <f aca="false">IFERROR(INDEX(APOIO_REDES!$A:$W,MATCH($C90&amp;$I90&amp;$H90&amp;$N90&amp;$O90,APOIO_REDES!$W:$W,0),MATCH(AH$5,APOIO_REDES!$5:$5,0)),0)</f>
        <v>0.1</v>
      </c>
      <c r="AI90" s="153" t="n">
        <f aca="false">IFERROR(IF($H90&lt;&gt;"",(((($H90/1000)/2)^2)*PI()*$M90),0),0)</f>
        <v>0.385198003021509</v>
      </c>
      <c r="AJ90" s="153" t="n">
        <f aca="false">IFERROR(IF(AND($H90&lt;&gt;"",$I90="FoFo",OR($N90="MND",$N90="VCA"),$Q90="LINEAR"),0,IF(AND($H90&lt;&gt;"",$I90="PEAD",$N90="VCA",$Q90="LINEAR"),($H90/1000)+0.3,IF(AND($H90&lt;&gt;"",$I90="PEAD",$N90="MND",$Q90="EMBOQUE"),0,IF(AND($H90&lt;&gt;"",$I90="PVC",$N90="VCA",$Q90="LINEAR"),($H90/1000)+0.2,IF(AND($H90&lt;&gt;"",$I90="PVC",$N90="MND",$Q90="EMBOQUE"),0,IF(AND($H90&lt;&gt;"",$I90="PEAD",$N90="VCA",$Q90="PREDIAL"),0,0)))))),0)</f>
        <v>0.363</v>
      </c>
      <c r="AK90" s="153" t="n">
        <f aca="false">IF(AA90&lt;&gt;"",AA90,0)</f>
        <v>2.5</v>
      </c>
      <c r="AL90" s="153" t="n">
        <f aca="false">IF(AND($N90="MND",$Q90="EMBOQUE"),$M90,IF(AND($N90="VCA",$Q90="LINEAR"),$M90,IF(AND($N90="VCA",$Q90="PREDIAL"),0,0)))</f>
        <v>123.57</v>
      </c>
      <c r="AM90" s="153" t="n">
        <f aca="false">IF(AND($N90="MND",$Q90="EMBOQUE"),$M90,IF(AND($N90="VCA",$Q90="LINEAR"),$M90,IF(AND($N90="VCA",$Q90="PREDIAL"),0,0)))</f>
        <v>123.57</v>
      </c>
      <c r="AN90" s="153" t="n">
        <f aca="false">ROUND(IF(AND($N90="VCA",$M90&lt;&gt;"",$Q90="LINEAR"),$M90/100,IF(AND($N90="MND",$M90&gt;100,$Q90="EMBOQUE"),$M90/100,0)),0)</f>
        <v>1</v>
      </c>
      <c r="AO90" s="153" t="n">
        <f aca="false">IF(AND($N90="MND",$Q90="EMBOQUE"),$AN90*2*2,IF(AND($N90="VCA",$Q90="LINEAR"),$M90*2,IF(AND($N90="VCA",$Q90="PREDIAL"),0,0)))</f>
        <v>247.14</v>
      </c>
      <c r="AP90" s="153" t="n">
        <f aca="false">IFERROR($M90*$AF90*$AG90,0)</f>
        <v>109.4768415</v>
      </c>
      <c r="AQ90" s="153" t="n">
        <f aca="false">IFERROR(IF(AND($N90="VCA",$AH90&gt;0),$M90*$AG90*$AH90,0),0)</f>
        <v>8.03205</v>
      </c>
      <c r="AR90" s="153" t="n">
        <f aca="false">IFERROR(IF(AND($N90="VCA",$AJ90&gt;0),($M90*$AG90*$AJ90)-$AI90,0),0)</f>
        <v>28.7711434969785</v>
      </c>
      <c r="AS90" s="153" t="n">
        <f aca="false">IFERROR(IF(AND($N90="VCA",$AP90&gt;0),$AP90-$AI90-$AQ90-$AR90,0),0)</f>
        <v>72.28845</v>
      </c>
      <c r="AT90" s="153" t="n">
        <f aca="false">IFERROR(IF($N90="VCA",INDEX(APOIO_REDES!$A:$W,MATCH($C90&amp;$I90&amp;$H90&amp;$N90&amp;$O90,APOIO_REDES!$W:$W,0),MATCH(AT$5,APOIO_REDES!$5:$5,0)),0)*$AP90,0)</f>
        <v>1.19114043901105</v>
      </c>
      <c r="AU90" s="153" t="n">
        <f aca="false">IFERROR(IF($N90="VCA",INDEX(APOIO_REDES!$A:$W,MATCH($C90&amp;$I90&amp;$H90&amp;$N90&amp;$O90,APOIO_REDES!$W:$W,0),MATCH(AU$5,APOIO_REDES!$5:$5,0)),0)*$AP90,0)</f>
        <v>0.951212494419886</v>
      </c>
      <c r="AV90" s="153" t="n">
        <f aca="false">IFERROR(IF($N90="VCA",INDEX(APOIO_REDES!$A:$W,MATCH($C90&amp;$I90&amp;$H90&amp;$N90&amp;$O90,APOIO_REDES!$W:$W,0),MATCH(AV$5,APOIO_REDES!$5:$5,0)),0)*$AP90,0)</f>
        <v>0.131640341916852</v>
      </c>
      <c r="AW90" s="153" t="n">
        <f aca="false">IFERROR(IF($N90="VCA",INDEX(APOIO_REDES!$A:$W,MATCH($C90&amp;$I90&amp;$H90&amp;$N90&amp;$O90,APOIO_REDES!$W:$W,0),MATCH(AW$5,APOIO_REDES!$5:$5,0)),0)*$AP90,0)</f>
        <v>75.1457522735614</v>
      </c>
      <c r="AX90" s="153" t="n">
        <f aca="false">IFERROR(IF($N90="VCA",INDEX(APOIO_REDES!$A:$W,MATCH($C90&amp;$I90&amp;$H90&amp;$N90&amp;$O90,APOIO_REDES!$W:$W,0),MATCH(AX$5,APOIO_REDES!$5:$5,0)),0)*$AP90,0)</f>
        <v>10.3999580579337</v>
      </c>
      <c r="AY90" s="153" t="n">
        <f aca="false">IFERROR(IF($N90="VCA",INDEX(APOIO_REDES!$A:$W,MATCH($C90&amp;$I90&amp;$H90&amp;$N90&amp;$O90,APOIO_REDES!$W:$W,0),MATCH(AY$5,APOIO_REDES!$5:$5,0)),0)*$AP90,0)</f>
        <v>19.0242382931945</v>
      </c>
      <c r="AZ90" s="153" t="n">
        <f aca="false">IFERROR(IF($N90="VCA",INDEX(APOIO_REDES!$A:$W,MATCH($C90&amp;$I90&amp;$H90&amp;$N90&amp;$O90,APOIO_REDES!$W:$W,0),MATCH(AZ$5,APOIO_REDES!$5:$5,0)),0)*$AP90,0)</f>
        <v>2.63289959996263</v>
      </c>
      <c r="BA90" s="153" t="n">
        <f aca="false">IFERROR(IF(AND($N90="VCA",$Q90="LINEAR"),INDEX(APOIO_REDES!$A:$W,MATCH($C90&amp;$I90&amp;$H90&amp;$N90&amp;$O90,APOIO_REDES!$W:$W,0),MATCH(BA$5,APOIO_REDES!$5:$5,0)),IF(AND($N90="MND",$Q90="EMBOQUE"),INDEX(APOIO_REDES!$A:$W,MATCH($C90&amp;$I90&amp;$H90&amp;$N90&amp;$O90,APOIO_REDES!$W:$W,0),MATCH(BA$5,APOIO_REDES!$5:$5,0)),0))*$M90/10,0)</f>
        <v>9.95943030453345</v>
      </c>
      <c r="BB90" s="153" t="n">
        <f aca="false">IFERROR(IF($N90="VCA",INDEX(APOIO_REDES!$A:$W,MATCH($C90&amp;$I90&amp;$H90&amp;$N90&amp;$O90,APOIO_REDES!$W:$W,0),MATCH(BB$5,APOIO_REDES!$5:$5,0)),0)*($AI90+$AQ90+$AR90),0)</f>
        <v>36.783770793278</v>
      </c>
      <c r="BC90" s="153" t="n">
        <f aca="false">IFERROR(IF($N90="VCA",INDEX(APOIO_REDES!$A:$W,MATCH($C90&amp;$I90&amp;$H90&amp;$N90&amp;$O90,APOIO_REDES!$W:$W,0),MATCH(BC$5,APOIO_REDES!$5:$5,0)),0)*($AI90+$AQ90+$AR90),0)</f>
        <v>0.404620706722023</v>
      </c>
      <c r="BD90" s="153" t="n">
        <f aca="false">IF(AND($N90="VCA",$AF90&gt;=1.25,$AF90&lt;1.5),$M90*$AF90*2,0)</f>
        <v>336.85182</v>
      </c>
      <c r="BE90" s="153" t="n">
        <f aca="false">IF(AND($N90="VCA",$AF90&gt;=1.5,$AF90&lt;3),$M90*$AF90*2,0)</f>
        <v>0</v>
      </c>
      <c r="BF90" s="153" t="n">
        <f aca="false">IF(AND($N90="VCA",$AF90&gt;=3),$M90*$AF90*2,0)</f>
        <v>0</v>
      </c>
      <c r="BG90" s="153" t="n">
        <f aca="false">($BB90+$BC90)*$AK90</f>
        <v>92.97097875</v>
      </c>
      <c r="BH90" s="153" t="n">
        <f aca="false">IF(AND($M90&lt;&gt;"",$N90="VCA",$Q90="LINEAR"),($M90*2)/100,IF(AND($M90&lt;&gt;"",$N90="MND",$Q90="EMBOQUE"),($AN90*2)/100,0))</f>
        <v>2.4714</v>
      </c>
      <c r="BI90" s="153" t="n">
        <f aca="false">IF(AND($M90&lt;&gt;"",$N90="VCA",$Q90="LINEAR"),$M90,IF(AND($M90&lt;&gt;"",$N90="MND",$Q90="EMBOQUE"),$AN90*2,0))</f>
        <v>123.57</v>
      </c>
      <c r="BJ90" s="153" t="n">
        <f aca="false">IF(AND($M90&lt;&gt;"",$N90="VCA",$Q90="LINEAR"),($M90*6.8)/100,IF(AND($M90&lt;&gt;"",$N90="MND",$Q90="EMBOQUE"),($AN90*2*6.8)/100,0))</f>
        <v>8.40276</v>
      </c>
      <c r="BK90" s="153" t="n">
        <f aca="false">IF(AND($M90&lt;&gt;"",$N90="VCA",$Q90="LINEAR"),($M90*2.5)/50,IF(AND($M90&lt;&gt;"",$N90="MND",$Q90="EMBOQUE"),($AN90*2*2.5)/50,0))</f>
        <v>6.1785</v>
      </c>
      <c r="BL90" s="157" t="str">
        <f aca="false">K90&amp;J90</f>
        <v>Zona01REDES</v>
      </c>
      <c r="BM90" s="152" t="s">
        <v>1559</v>
      </c>
      <c r="BN90" s="152" t="s">
        <v>1560</v>
      </c>
      <c r="BO90" s="152" t="s">
        <v>1748</v>
      </c>
      <c r="BP90" s="152" t="s">
        <v>1872</v>
      </c>
      <c r="BQ90" s="152" t="s">
        <v>1841</v>
      </c>
      <c r="BR90" s="152" t="s">
        <v>1873</v>
      </c>
      <c r="BS90" s="152" t="n">
        <v>203201.963</v>
      </c>
      <c r="BT90" s="152" t="n">
        <v>8238500.997</v>
      </c>
      <c r="BU90" s="152" t="n">
        <v>203102.464</v>
      </c>
      <c r="BV90" s="152" t="n">
        <v>8238572.021</v>
      </c>
      <c r="BW90" s="152" t="n">
        <v>-15.9146359</v>
      </c>
      <c r="BX90" s="152" t="n">
        <v>-47.7723954</v>
      </c>
      <c r="BY90" s="152" t="s">
        <v>1872</v>
      </c>
    </row>
    <row r="91" customFormat="false" ht="13.8" hidden="false" customHeight="false" outlineLevel="0" collapsed="false">
      <c r="A91" s="149" t="n">
        <f aca="false">IF(C91&lt;&gt;"",ROW(A86),"")</f>
        <v>86</v>
      </c>
      <c r="B91" s="150" t="str">
        <f aca="false">HYPERLINK("https://www.google.com/maps/dir/-15.917302,-47.760003/-15.9148688,-47.7738534/data=!4m3!4m2!3e0!5i0")</f>
        <v>https://www.google.com/maps/dir/-15.917302,-47.760003/-15.9148688,-47.7738534/data=!4m3!4m2!3e0!5i0</v>
      </c>
      <c r="C91" s="151" t="s">
        <v>117</v>
      </c>
      <c r="D91" s="152" t="s">
        <v>112</v>
      </c>
      <c r="E91" s="152" t="s">
        <v>113</v>
      </c>
      <c r="F91" s="152" t="s">
        <v>117</v>
      </c>
      <c r="G91" s="152" t="s">
        <v>782</v>
      </c>
      <c r="H91" s="152" t="n">
        <v>63</v>
      </c>
      <c r="I91" s="152" t="s">
        <v>115</v>
      </c>
      <c r="J91" s="152" t="s">
        <v>6</v>
      </c>
      <c r="K91" s="152" t="s">
        <v>1547</v>
      </c>
      <c r="L91" s="152" t="s">
        <v>120</v>
      </c>
      <c r="M91" s="153" t="n">
        <f aca="false">0.67</f>
        <v>0.67</v>
      </c>
      <c r="N91" s="152" t="s">
        <v>1548</v>
      </c>
      <c r="O91" s="152" t="s">
        <v>1549</v>
      </c>
      <c r="P91" s="152" t="s">
        <v>1550</v>
      </c>
      <c r="Q91" s="152" t="s">
        <v>1551</v>
      </c>
      <c r="R91" s="154" t="s">
        <v>1874</v>
      </c>
      <c r="S91" s="154" t="s">
        <v>1553</v>
      </c>
      <c r="T91" s="155" t="s">
        <v>1746</v>
      </c>
      <c r="U91" s="152" t="str">
        <f aca="false">RIGHT(T91,7)</f>
        <v>003/037</v>
      </c>
      <c r="V91" s="152" t="s">
        <v>1555</v>
      </c>
      <c r="W91" s="156" t="n">
        <v>45882</v>
      </c>
      <c r="X91" s="152" t="s">
        <v>1594</v>
      </c>
      <c r="Y91" s="152" t="s">
        <v>1860</v>
      </c>
      <c r="Z91" s="152" t="s">
        <v>1557</v>
      </c>
      <c r="AA91" s="153" t="n">
        <v>2.8</v>
      </c>
      <c r="AB91" s="151" t="s">
        <v>1875</v>
      </c>
      <c r="AC91" s="151" t="s">
        <v>186</v>
      </c>
      <c r="AD91" s="151" t="str">
        <f aca="false">CONCATENATE($C91,$I91,$H91,$N91,$J91,$K91)</f>
        <v>TUBO PEADPEAD63VCAREDESZona01</v>
      </c>
      <c r="AE91" s="153" t="n">
        <f aca="false">IFERROR(INDEX(APOIO_REDES!$A:$W,MATCH($C91&amp;$I91&amp;$H91&amp;$N91&amp;$O91,APOIO_REDES!$W:$W,0),MATCH(AE$5,APOIO_REDES!$5:$5,0)),0)</f>
        <v>1.2</v>
      </c>
      <c r="AF91" s="153" t="n">
        <f aca="false">IFERROR(INDEX(APOIO_REDES!$A:$W,MATCH($C91&amp;$I91&amp;$H91&amp;$N91&amp;$O91,APOIO_REDES!$W:$W,0),MATCH(AF$5,APOIO_REDES!$5:$5,0)),0)</f>
        <v>1.363</v>
      </c>
      <c r="AG91" s="153" t="n">
        <f aca="false">IFERROR(INDEX(APOIO_REDES!$A:$W,MATCH($C91&amp;$I91&amp;$H91&amp;$N91&amp;$O91,APOIO_REDES!$W:$W,0),MATCH(AG$5,APOIO_REDES!$5:$5,0)),0)</f>
        <v>0.65</v>
      </c>
      <c r="AH91" s="153" t="n">
        <f aca="false">IFERROR(INDEX(APOIO_REDES!$A:$W,MATCH($C91&amp;$I91&amp;$H91&amp;$N91&amp;$O91,APOIO_REDES!$W:$W,0),MATCH(AH$5,APOIO_REDES!$5:$5,0)),0)</f>
        <v>0.1</v>
      </c>
      <c r="AI91" s="153" t="n">
        <f aca="false">IFERROR(IF($H91&lt;&gt;"",(((($H91/1000)/2)^2)*PI()*$M91),0),0)</f>
        <v>0.0020885543580514</v>
      </c>
      <c r="AJ91" s="153" t="n">
        <f aca="false">IFERROR(IF(AND($H91&lt;&gt;"",$I91="FoFo",OR($N91="MND",$N91="VCA"),$Q91="LINEAR"),0,IF(AND($H91&lt;&gt;"",$I91="PEAD",$N91="VCA",$Q91="LINEAR"),($H91/1000)+0.3,IF(AND($H91&lt;&gt;"",$I91="PEAD",$N91="MND",$Q91="EMBOQUE"),0,IF(AND($H91&lt;&gt;"",$I91="PVC",$N91="VCA",$Q91="LINEAR"),($H91/1000)+0.2,IF(AND($H91&lt;&gt;"",$I91="PVC",$N91="MND",$Q91="EMBOQUE"),0,IF(AND($H91&lt;&gt;"",$I91="PEAD",$N91="VCA",$Q91="PREDIAL"),0,0)))))),0)</f>
        <v>0.363</v>
      </c>
      <c r="AK91" s="153" t="n">
        <f aca="false">IF(AA91&lt;&gt;"",AA91,0)</f>
        <v>2.8</v>
      </c>
      <c r="AL91" s="153" t="n">
        <f aca="false">IF(AND($N91="MND",$Q91="EMBOQUE"),$M91,IF(AND($N91="VCA",$Q91="LINEAR"),$M91,IF(AND($N91="VCA",$Q91="PREDIAL"),0,0)))</f>
        <v>0.67</v>
      </c>
      <c r="AM91" s="153" t="n">
        <f aca="false">IF(AND($N91="MND",$Q91="EMBOQUE"),$M91,IF(AND($N91="VCA",$Q91="LINEAR"),$M91,IF(AND($N91="VCA",$Q91="PREDIAL"),0,0)))</f>
        <v>0.67</v>
      </c>
      <c r="AN91" s="153" t="n">
        <f aca="false">ROUND(IF(AND($N91="VCA",$M91&lt;&gt;"",$Q91="LINEAR"),$M91/100,IF(AND($N91="MND",$M91&gt;100,$Q91="EMBOQUE"),$M91/100,0)),0)</f>
        <v>0</v>
      </c>
      <c r="AO91" s="153" t="n">
        <f aca="false">IF(AND($N91="MND",$Q91="EMBOQUE"),$AN91*2*2,IF(AND($N91="VCA",$Q91="LINEAR"),$M91*2,IF(AND($N91="VCA",$Q91="PREDIAL"),0,0)))</f>
        <v>1.34</v>
      </c>
      <c r="AP91" s="153" t="n">
        <f aca="false">IFERROR($M91*$AF91*$AG91,0)</f>
        <v>0.5935865</v>
      </c>
      <c r="AQ91" s="153" t="n">
        <f aca="false">IFERROR(IF(AND($N91="VCA",$AH91&gt;0),$M91*$AG91*$AH91,0),0)</f>
        <v>0.04355</v>
      </c>
      <c r="AR91" s="153" t="n">
        <f aca="false">IFERROR(IF(AND($N91="VCA",$AJ91&gt;0),($M91*$AG91*$AJ91)-$AI91,0),0)</f>
        <v>0.155997945641949</v>
      </c>
      <c r="AS91" s="153" t="n">
        <f aca="false">IFERROR(IF(AND($N91="VCA",$AP91&gt;0),$AP91-$AI91-$AQ91-$AR91,0),0)</f>
        <v>0.39195</v>
      </c>
      <c r="AT91" s="153" t="n">
        <f aca="false">IFERROR(IF($N91="VCA",INDEX(APOIO_REDES!$A:$W,MATCH($C91&amp;$I91&amp;$H91&amp;$N91&amp;$O91,APOIO_REDES!$W:$W,0),MATCH(AT$5,APOIO_REDES!$5:$5,0)),0)*$AP91,0)</f>
        <v>0.00645839681263579</v>
      </c>
      <c r="AU91" s="153" t="n">
        <f aca="false">IFERROR(IF($N91="VCA",INDEX(APOIO_REDES!$A:$W,MATCH($C91&amp;$I91&amp;$H91&amp;$N91&amp;$O91,APOIO_REDES!$W:$W,0),MATCH(AU$5,APOIO_REDES!$5:$5,0)),0)*$AP91,0)</f>
        <v>0.00515750077900238</v>
      </c>
      <c r="AV91" s="153" t="n">
        <f aca="false">IFERROR(IF($N91="VCA",INDEX(APOIO_REDES!$A:$W,MATCH($C91&amp;$I91&amp;$H91&amp;$N91&amp;$O91,APOIO_REDES!$W:$W,0),MATCH(AV$5,APOIO_REDES!$5:$5,0)),0)*$AP91,0)</f>
        <v>0.000713757619845358</v>
      </c>
      <c r="AW91" s="153" t="n">
        <f aca="false">IFERROR(IF($N91="VCA",INDEX(APOIO_REDES!$A:$W,MATCH($C91&amp;$I91&amp;$H91&amp;$N91&amp;$O91,APOIO_REDES!$W:$W,0),MATCH(AW$5,APOIO_REDES!$5:$5,0)),0)*$AP91,0)</f>
        <v>0.407442372932638</v>
      </c>
      <c r="AX91" s="153" t="n">
        <f aca="false">IFERROR(IF($N91="VCA",INDEX(APOIO_REDES!$A:$W,MATCH($C91&amp;$I91&amp;$H91&amp;$N91&amp;$O91,APOIO_REDES!$W:$W,0),MATCH(AX$5,APOIO_REDES!$5:$5,0)),0)*$AP91,0)</f>
        <v>0.0563888637923085</v>
      </c>
      <c r="AY91" s="153" t="n">
        <f aca="false">IFERROR(IF($N91="VCA",INDEX(APOIO_REDES!$A:$W,MATCH($C91&amp;$I91&amp;$H91&amp;$N91&amp;$O91,APOIO_REDES!$W:$W,0),MATCH(AY$5,APOIO_REDES!$5:$5,0)),0)*$AP91,0)</f>
        <v>0.103149952710531</v>
      </c>
      <c r="AZ91" s="153" t="n">
        <f aca="false">IFERROR(IF($N91="VCA",INDEX(APOIO_REDES!$A:$W,MATCH($C91&amp;$I91&amp;$H91&amp;$N91&amp;$O91,APOIO_REDES!$W:$W,0),MATCH(AZ$5,APOIO_REDES!$5:$5,0)),0)*$AP91,0)</f>
        <v>0.0142756553530385</v>
      </c>
      <c r="BA91" s="153" t="n">
        <f aca="false">IFERROR(IF(AND($N91="VCA",$Q91="LINEAR"),INDEX(APOIO_REDES!$A:$W,MATCH($C91&amp;$I91&amp;$H91&amp;$N91&amp;$O91,APOIO_REDES!$W:$W,0),MATCH(BA$5,APOIO_REDES!$5:$5,0)),IF(AND($N91="MND",$Q91="EMBOQUE"),INDEX(APOIO_REDES!$A:$W,MATCH($C91&amp;$I91&amp;$H91&amp;$N91&amp;$O91,APOIO_REDES!$W:$W,0),MATCH(BA$5,APOIO_REDES!$5:$5,0)),0))*$M91/10,0)</f>
        <v>0.0540003099784528</v>
      </c>
      <c r="BB91" s="153" t="n">
        <f aca="false">IFERROR(IF($N91="VCA",INDEX(APOIO_REDES!$A:$W,MATCH($C91&amp;$I91&amp;$H91&amp;$N91&amp;$O91,APOIO_REDES!$W:$W,0),MATCH(BB$5,APOIO_REDES!$5:$5,0)),0)*($AI91+$AQ91+$AR91),0)</f>
        <v>0.199442635198642</v>
      </c>
      <c r="BC91" s="153" t="n">
        <f aca="false">IFERROR(IF($N91="VCA",INDEX(APOIO_REDES!$A:$W,MATCH($C91&amp;$I91&amp;$H91&amp;$N91&amp;$O91,APOIO_REDES!$W:$W,0),MATCH(BC$5,APOIO_REDES!$5:$5,0)),0)*($AI91+$AQ91+$AR91),0)</f>
        <v>0.00219386480135757</v>
      </c>
      <c r="BD91" s="153" t="n">
        <f aca="false">IF(AND($N91="VCA",$AF91&gt;=1.25,$AF91&lt;1.5),$M91*$AF91*2,0)</f>
        <v>1.82642</v>
      </c>
      <c r="BE91" s="153" t="n">
        <f aca="false">IF(AND($N91="VCA",$AF91&gt;=1.5,$AF91&lt;3),$M91*$AF91*2,0)</f>
        <v>0</v>
      </c>
      <c r="BF91" s="153" t="n">
        <f aca="false">IF(AND($N91="VCA",$AF91&gt;=3),$M91*$AF91*2,0)</f>
        <v>0</v>
      </c>
      <c r="BG91" s="153" t="n">
        <f aca="false">($BB91+$BC91)*$AK91</f>
        <v>0.5645822</v>
      </c>
      <c r="BH91" s="153" t="n">
        <f aca="false">IF(AND($M91&lt;&gt;"",$N91="VCA",$Q91="LINEAR"),($M91*2)/100,IF(AND($M91&lt;&gt;"",$N91="MND",$Q91="EMBOQUE"),($AN91*2)/100,0))</f>
        <v>0.0134</v>
      </c>
      <c r="BI91" s="153" t="n">
        <f aca="false">IF(AND($M91&lt;&gt;"",$N91="VCA",$Q91="LINEAR"),$M91,IF(AND($M91&lt;&gt;"",$N91="MND",$Q91="EMBOQUE"),$AN91*2,0))</f>
        <v>0.67</v>
      </c>
      <c r="BJ91" s="153" t="n">
        <f aca="false">IF(AND($M91&lt;&gt;"",$N91="VCA",$Q91="LINEAR"),($M91*6.8)/100,IF(AND($M91&lt;&gt;"",$N91="MND",$Q91="EMBOQUE"),($AN91*2*6.8)/100,0))</f>
        <v>0.04556</v>
      </c>
      <c r="BK91" s="153" t="n">
        <f aca="false">IF(AND($M91&lt;&gt;"",$N91="VCA",$Q91="LINEAR"),($M91*2.5)/50,IF(AND($M91&lt;&gt;"",$N91="MND",$Q91="EMBOQUE"),($AN91*2*2.5)/50,0))</f>
        <v>0.0335</v>
      </c>
      <c r="BL91" s="157" t="str">
        <f aca="false">K91&amp;J91</f>
        <v>Zona01REDES</v>
      </c>
      <c r="BM91" s="152" t="s">
        <v>1559</v>
      </c>
      <c r="BN91" s="152" t="s">
        <v>1560</v>
      </c>
      <c r="BO91" s="152" t="s">
        <v>1748</v>
      </c>
      <c r="BP91" s="152" t="s">
        <v>1876</v>
      </c>
      <c r="BQ91" s="152" t="s">
        <v>1862</v>
      </c>
      <c r="BR91" s="152" t="s">
        <v>1850</v>
      </c>
      <c r="BS91" s="152" t="n">
        <v>202996.481</v>
      </c>
      <c r="BT91" s="152" t="n">
        <v>8238508.818</v>
      </c>
      <c r="BU91" s="152" t="n">
        <v>202996.886</v>
      </c>
      <c r="BV91" s="152" t="n">
        <v>8238509.349</v>
      </c>
      <c r="BW91" s="152" t="n">
        <v>-15.9148664</v>
      </c>
      <c r="BX91" s="152" t="n">
        <v>-47.7738515</v>
      </c>
      <c r="BY91" s="152" t="s">
        <v>1876</v>
      </c>
    </row>
    <row r="92" customFormat="false" ht="13.8" hidden="false" customHeight="false" outlineLevel="0" collapsed="false">
      <c r="A92" s="149" t="n">
        <f aca="false">IF(C92&lt;&gt;"",ROW(A87),"")</f>
        <v>87</v>
      </c>
      <c r="B92" s="150" t="str">
        <f aca="false">HYPERLINK("https://www.google.com/maps/dir/-15.917302,-47.760003/-15.9148475,-47.7694979/data=!4m3!4m2!3e0!5i0")</f>
        <v>https://www.google.com/maps/dir/-15.917302,-47.760003/-15.9148475,-47.7694979/data=!4m3!4m2!3e0!5i0</v>
      </c>
      <c r="C92" s="151" t="s">
        <v>117</v>
      </c>
      <c r="D92" s="152" t="s">
        <v>112</v>
      </c>
      <c r="E92" s="152" t="s">
        <v>113</v>
      </c>
      <c r="F92" s="152" t="s">
        <v>117</v>
      </c>
      <c r="G92" s="152" t="s">
        <v>114</v>
      </c>
      <c r="H92" s="152" t="n">
        <v>225</v>
      </c>
      <c r="I92" s="152" t="s">
        <v>115</v>
      </c>
      <c r="J92" s="152" t="s">
        <v>6</v>
      </c>
      <c r="K92" s="152" t="s">
        <v>1547</v>
      </c>
      <c r="L92" s="152" t="s">
        <v>120</v>
      </c>
      <c r="M92" s="153" t="n">
        <f aca="false">25.62</f>
        <v>25.62</v>
      </c>
      <c r="N92" s="152" t="s">
        <v>1548</v>
      </c>
      <c r="O92" s="152" t="s">
        <v>1549</v>
      </c>
      <c r="P92" s="152" t="s">
        <v>1550</v>
      </c>
      <c r="Q92" s="152" t="s">
        <v>1551</v>
      </c>
      <c r="R92" s="154" t="s">
        <v>1877</v>
      </c>
      <c r="S92" s="154" t="s">
        <v>1593</v>
      </c>
      <c r="T92" s="155" t="s">
        <v>1746</v>
      </c>
      <c r="U92" s="152" t="str">
        <f aca="false">RIGHT(T92,7)</f>
        <v>003/037</v>
      </c>
      <c r="V92" s="152" t="s">
        <v>1555</v>
      </c>
      <c r="W92" s="156" t="n">
        <v>45882</v>
      </c>
      <c r="X92" s="152" t="s">
        <v>1556</v>
      </c>
      <c r="Y92" s="152" t="s">
        <v>1772</v>
      </c>
      <c r="Z92" s="152" t="s">
        <v>1557</v>
      </c>
      <c r="AA92" s="153" t="n">
        <v>2.1</v>
      </c>
      <c r="AB92" s="151" t="s">
        <v>1878</v>
      </c>
      <c r="AC92" s="151" t="s">
        <v>508</v>
      </c>
      <c r="AD92" s="151" t="str">
        <f aca="false">CONCATENATE($C92,$I92,$H92,$N92,$J92,$K92)</f>
        <v>TUBO PEADPEAD225VCAREDESZona01</v>
      </c>
      <c r="AE92" s="153" t="n">
        <f aca="false">IFERROR(INDEX(APOIO_REDES!$A:$W,MATCH($C92&amp;$I92&amp;$H92&amp;$N92&amp;$O92,APOIO_REDES!$W:$W,0),MATCH(AE$5,APOIO_REDES!$5:$5,0)),0)</f>
        <v>1.2</v>
      </c>
      <c r="AF92" s="153" t="n">
        <f aca="false">IFERROR(INDEX(APOIO_REDES!$A:$W,MATCH($C92&amp;$I92&amp;$H92&amp;$N92&amp;$O92,APOIO_REDES!$W:$W,0),MATCH(AF$5,APOIO_REDES!$5:$5,0)),0)</f>
        <v>1.525</v>
      </c>
      <c r="AG92" s="153" t="n">
        <f aca="false">IFERROR(INDEX(APOIO_REDES!$A:$W,MATCH($C92&amp;$I92&amp;$H92&amp;$N92&amp;$O92,APOIO_REDES!$W:$W,0),MATCH(AG$5,APOIO_REDES!$5:$5,0)),0)</f>
        <v>0.8</v>
      </c>
      <c r="AH92" s="153" t="n">
        <f aca="false">IFERROR(INDEX(APOIO_REDES!$A:$W,MATCH($C92&amp;$I92&amp;$H92&amp;$N92&amp;$O92,APOIO_REDES!$W:$W,0),MATCH(AH$5,APOIO_REDES!$5:$5,0)),0)</f>
        <v>0.1</v>
      </c>
      <c r="AI92" s="153" t="n">
        <f aca="false">IFERROR(IF($H92&lt;&gt;"",(((($H92/1000)/2)^2)*PI()*$M92),0),0)</f>
        <v>1.01867123540353</v>
      </c>
      <c r="AJ92" s="153" t="n">
        <f aca="false">IFERROR(IF(AND($H92&lt;&gt;"",$I92="FoFo",OR($N92="MND",$N92="VCA"),$Q92="LINEAR"),0,IF(AND($H92&lt;&gt;"",$I92="PEAD",$N92="VCA",$Q92="LINEAR"),($H92/1000)+0.3,IF(AND($H92&lt;&gt;"",$I92="PEAD",$N92="MND",$Q92="EMBOQUE"),0,IF(AND($H92&lt;&gt;"",$I92="PVC",$N92="VCA",$Q92="LINEAR"),($H92/1000)+0.2,IF(AND($H92&lt;&gt;"",$I92="PVC",$N92="MND",$Q92="EMBOQUE"),0,IF(AND($H92&lt;&gt;"",$I92="PEAD",$N92="VCA",$Q92="PREDIAL"),0,0)))))),0)</f>
        <v>0.525</v>
      </c>
      <c r="AK92" s="153" t="n">
        <f aca="false">IF(AA92&lt;&gt;"",AA92,0)</f>
        <v>2.1</v>
      </c>
      <c r="AL92" s="153" t="n">
        <f aca="false">IF(AND($N92="MND",$Q92="EMBOQUE"),$M92,IF(AND($N92="VCA",$Q92="LINEAR"),$M92,IF(AND($N92="VCA",$Q92="PREDIAL"),0,0)))</f>
        <v>25.62</v>
      </c>
      <c r="AM92" s="153" t="n">
        <f aca="false">IF(AND($N92="MND",$Q92="EMBOQUE"),$M92,IF(AND($N92="VCA",$Q92="LINEAR"),$M92,IF(AND($N92="VCA",$Q92="PREDIAL"),0,0)))</f>
        <v>25.62</v>
      </c>
      <c r="AN92" s="153" t="n">
        <f aca="false">ROUND(IF(AND($N92="VCA",$M92&lt;&gt;"",$Q92="LINEAR"),$M92/100,IF(AND($N92="MND",$M92&gt;100,$Q92="EMBOQUE"),$M92/100,0)),0)</f>
        <v>0</v>
      </c>
      <c r="AO92" s="153" t="n">
        <f aca="false">IF(AND($N92="MND",$Q92="EMBOQUE"),$AN92*2*2,IF(AND($N92="VCA",$Q92="LINEAR"),$M92*2,IF(AND($N92="VCA",$Q92="PREDIAL"),0,0)))</f>
        <v>51.24</v>
      </c>
      <c r="AP92" s="153" t="n">
        <f aca="false">IFERROR($M92*$AF92*$AG92,0)</f>
        <v>31.2564</v>
      </c>
      <c r="AQ92" s="153" t="n">
        <f aca="false">IFERROR(IF(AND($N92="VCA",$AH92&gt;0),$M92*$AG92*$AH92,0),0)</f>
        <v>2.0496</v>
      </c>
      <c r="AR92" s="153" t="n">
        <f aca="false">IFERROR(IF(AND($N92="VCA",$AJ92&gt;0),($M92*$AG92*$AJ92)-$AI92,0),0)</f>
        <v>9.74172876459647</v>
      </c>
      <c r="AS92" s="153" t="n">
        <f aca="false">IFERROR(IF(AND($N92="VCA",$AP92&gt;0),$AP92-$AI92-$AQ92-$AR92,0),0)</f>
        <v>18.4464</v>
      </c>
      <c r="AT92" s="153" t="n">
        <f aca="false">IFERROR(IF($N92="VCA",INDEX(APOIO_REDES!$A:$W,MATCH($C92&amp;$I92&amp;$H92&amp;$N92&amp;$O92,APOIO_REDES!$W:$W,0),MATCH(AT$5,APOIO_REDES!$5:$5,0)),0)*$AP92,0)</f>
        <v>0.340078883422162</v>
      </c>
      <c r="AU92" s="153" t="n">
        <f aca="false">IFERROR(IF($N92="VCA",INDEX(APOIO_REDES!$A:$W,MATCH($C92&amp;$I92&amp;$H92&amp;$N92&amp;$O92,APOIO_REDES!$W:$W,0),MATCH(AU$5,APOIO_REDES!$5:$5,0)),0)*$AP92,0)</f>
        <v>0.271577785796695</v>
      </c>
      <c r="AV92" s="153" t="n">
        <f aca="false">IFERROR(IF($N92="VCA",INDEX(APOIO_REDES!$A:$W,MATCH($C92&amp;$I92&amp;$H92&amp;$N92&amp;$O92,APOIO_REDES!$W:$W,0),MATCH(AV$5,APOIO_REDES!$5:$5,0)),0)*$AP92,0)</f>
        <v>0.0375842335850537</v>
      </c>
      <c r="AW92" s="153" t="n">
        <f aca="false">IFERROR(IF($N92="VCA",INDEX(APOIO_REDES!$A:$W,MATCH($C92&amp;$I92&amp;$H92&amp;$N92&amp;$O92,APOIO_REDES!$W:$W,0),MATCH(AW$5,APOIO_REDES!$5:$5,0)),0)*$AP92,0)</f>
        <v>21.4546351464053</v>
      </c>
      <c r="AX92" s="153" t="n">
        <f aca="false">IFERROR(IF($N92="VCA",INDEX(APOIO_REDES!$A:$W,MATCH($C92&amp;$I92&amp;$H92&amp;$N92&amp;$O92,APOIO_REDES!$W:$W,0),MATCH(AX$5,APOIO_REDES!$5:$5,0)),0)*$AP92,0)</f>
        <v>2.96926038957745</v>
      </c>
      <c r="AY92" s="153" t="n">
        <f aca="false">IFERROR(IF($N92="VCA",INDEX(APOIO_REDES!$A:$W,MATCH($C92&amp;$I92&amp;$H92&amp;$N92&amp;$O92,APOIO_REDES!$W:$W,0),MATCH(AY$5,APOIO_REDES!$5:$5,0)),0)*$AP92,0)</f>
        <v>5.4315524054227</v>
      </c>
      <c r="AZ92" s="153" t="n">
        <f aca="false">IFERROR(IF($N92="VCA",INDEX(APOIO_REDES!$A:$W,MATCH($C92&amp;$I92&amp;$H92&amp;$N92&amp;$O92,APOIO_REDES!$W:$W,0),MATCH(AZ$5,APOIO_REDES!$5:$5,0)),0)*$AP92,0)</f>
        <v>0.751711155790625</v>
      </c>
      <c r="BA92" s="153" t="n">
        <f aca="false">IFERROR(IF(AND($N92="VCA",$Q92="LINEAR"),INDEX(APOIO_REDES!$A:$W,MATCH($C92&amp;$I92&amp;$H92&amp;$N92&amp;$O92,APOIO_REDES!$W:$W,0),MATCH(BA$5,APOIO_REDES!$5:$5,0)),IF(AND($N92="MND",$Q92="EMBOQUE"),INDEX(APOIO_REDES!$A:$W,MATCH($C92&amp;$I92&amp;$H92&amp;$N92&amp;$O92,APOIO_REDES!$W:$W,0),MATCH(BA$5,APOIO_REDES!$5:$5,0)),0))*$M92/10,0)</f>
        <v>2.06490737559397</v>
      </c>
      <c r="BB92" s="153" t="n">
        <f aca="false">IFERROR(IF($N92="VCA",INDEX(APOIO_REDES!$A:$W,MATCH($C92&amp;$I92&amp;$H92&amp;$N92&amp;$O92,APOIO_REDES!$W:$W,0),MATCH(BB$5,APOIO_REDES!$5:$5,0)),0)*($AI92+$AQ92+$AR92),0)</f>
        <v>12.6706234084335</v>
      </c>
      <c r="BC92" s="153" t="n">
        <f aca="false">IFERROR(IF($N92="VCA",INDEX(APOIO_REDES!$A:$W,MATCH($C92&amp;$I92&amp;$H92&amp;$N92&amp;$O92,APOIO_REDES!$W:$W,0),MATCH(BC$5,APOIO_REDES!$5:$5,0)),0)*($AI92+$AQ92+$AR92),0)</f>
        <v>0.13937659156646</v>
      </c>
      <c r="BD92" s="153" t="n">
        <f aca="false">IF(AND($N92="VCA",$AF92&gt;=1.25,$AF92&lt;1.5),$M92*$AF92*2,0)</f>
        <v>0</v>
      </c>
      <c r="BE92" s="153" t="n">
        <f aca="false">IF(AND($N92="VCA",$AF92&gt;=1.5,$AF92&lt;3),$M92*$AF92*2,0)</f>
        <v>78.141</v>
      </c>
      <c r="BF92" s="153" t="n">
        <f aca="false">IF(AND($N92="VCA",$AF92&gt;=3),$M92*$AF92*2,0)</f>
        <v>0</v>
      </c>
      <c r="BG92" s="153" t="n">
        <f aca="false">($BB92+$BC92)*$AK92</f>
        <v>26.901</v>
      </c>
      <c r="BH92" s="153" t="n">
        <f aca="false">IF(AND($M92&lt;&gt;"",$N92="VCA",$Q92="LINEAR"),($M92*2)/100,IF(AND($M92&lt;&gt;"",$N92="MND",$Q92="EMBOQUE"),($AN92*2)/100,0))</f>
        <v>0.5124</v>
      </c>
      <c r="BI92" s="153" t="n">
        <f aca="false">IF(AND($M92&lt;&gt;"",$N92="VCA",$Q92="LINEAR"),$M92,IF(AND($M92&lt;&gt;"",$N92="MND",$Q92="EMBOQUE"),$AN92*2,0))</f>
        <v>25.62</v>
      </c>
      <c r="BJ92" s="153" t="n">
        <f aca="false">IF(AND($M92&lt;&gt;"",$N92="VCA",$Q92="LINEAR"),($M92*6.8)/100,IF(AND($M92&lt;&gt;"",$N92="MND",$Q92="EMBOQUE"),($AN92*2*6.8)/100,0))</f>
        <v>1.74216</v>
      </c>
      <c r="BK92" s="153" t="n">
        <f aca="false">IF(AND($M92&lt;&gt;"",$N92="VCA",$Q92="LINEAR"),($M92*2.5)/50,IF(AND($M92&lt;&gt;"",$N92="MND",$Q92="EMBOQUE"),($AN92*2*2.5)/50,0))</f>
        <v>1.281</v>
      </c>
      <c r="BL92" s="157" t="str">
        <f aca="false">K92&amp;J92</f>
        <v>Zona01REDES</v>
      </c>
      <c r="BM92" s="152" t="s">
        <v>1559</v>
      </c>
      <c r="BN92" s="152" t="s">
        <v>1560</v>
      </c>
      <c r="BO92" s="152" t="s">
        <v>1748</v>
      </c>
      <c r="BP92" s="152" t="s">
        <v>1845</v>
      </c>
      <c r="BQ92" s="152" t="s">
        <v>1879</v>
      </c>
      <c r="BR92" s="152" t="s">
        <v>1880</v>
      </c>
      <c r="BS92" s="152" t="n">
        <v>203463.119</v>
      </c>
      <c r="BT92" s="152" t="n">
        <v>8238517.373</v>
      </c>
      <c r="BU92" s="152" t="n">
        <v>203452.322</v>
      </c>
      <c r="BV92" s="152" t="n">
        <v>8238494.139</v>
      </c>
      <c r="BW92" s="152" t="n">
        <v>-15.9149515</v>
      </c>
      <c r="BX92" s="152" t="n">
        <v>-47.7695501</v>
      </c>
      <c r="BY92" s="152" t="s">
        <v>1845</v>
      </c>
    </row>
    <row r="93" customFormat="false" ht="13.8" hidden="false" customHeight="false" outlineLevel="0" collapsed="false">
      <c r="A93" s="149" t="n">
        <f aca="false">IF(C93&lt;&gt;"",ROW(A88),"")</f>
        <v>88</v>
      </c>
      <c r="B93" s="150" t="str">
        <f aca="false">HYPERLINK("https://www.google.com/maps/dir/-15.917302,-47.760003/-15.9156051,-47.7705103/data=!4m3!4m2!3e0!5i0")</f>
        <v>https://www.google.com/maps/dir/-15.917302,-47.760003/-15.9156051,-47.7705103/data=!4m3!4m2!3e0!5i0</v>
      </c>
      <c r="C93" s="151" t="s">
        <v>117</v>
      </c>
      <c r="D93" s="152" t="s">
        <v>112</v>
      </c>
      <c r="E93" s="152" t="s">
        <v>113</v>
      </c>
      <c r="F93" s="152" t="s">
        <v>117</v>
      </c>
      <c r="G93" s="152" t="s">
        <v>782</v>
      </c>
      <c r="H93" s="152" t="n">
        <v>63</v>
      </c>
      <c r="I93" s="152" t="s">
        <v>115</v>
      </c>
      <c r="J93" s="152" t="s">
        <v>6</v>
      </c>
      <c r="K93" s="152" t="s">
        <v>1547</v>
      </c>
      <c r="L93" s="152" t="s">
        <v>120</v>
      </c>
      <c r="M93" s="153" t="n">
        <f aca="false">239.35</f>
        <v>239.35</v>
      </c>
      <c r="N93" s="152" t="s">
        <v>1548</v>
      </c>
      <c r="O93" s="152" t="s">
        <v>1549</v>
      </c>
      <c r="P93" s="152" t="s">
        <v>1550</v>
      </c>
      <c r="Q93" s="152" t="s">
        <v>1551</v>
      </c>
      <c r="R93" s="154" t="s">
        <v>1881</v>
      </c>
      <c r="S93" s="154" t="s">
        <v>1553</v>
      </c>
      <c r="T93" s="155" t="s">
        <v>1746</v>
      </c>
      <c r="U93" s="152" t="str">
        <f aca="false">RIGHT(T93,7)</f>
        <v>003/037</v>
      </c>
      <c r="V93" s="152" t="s">
        <v>1555</v>
      </c>
      <c r="W93" s="156" t="n">
        <v>45882</v>
      </c>
      <c r="X93" s="152" t="s">
        <v>1594</v>
      </c>
      <c r="Y93" s="152" t="s">
        <v>1855</v>
      </c>
      <c r="Z93" s="152" t="s">
        <v>1557</v>
      </c>
      <c r="AA93" s="153" t="n">
        <v>2.3</v>
      </c>
      <c r="AB93" s="151" t="s">
        <v>1882</v>
      </c>
      <c r="AC93" s="151" t="s">
        <v>186</v>
      </c>
      <c r="AD93" s="151" t="str">
        <f aca="false">CONCATENATE($C93,$I93,$H93,$N93,$J93,$K93)</f>
        <v>TUBO PEADPEAD63VCAREDESZona01</v>
      </c>
      <c r="AE93" s="153" t="n">
        <f aca="false">IFERROR(INDEX(APOIO_REDES!$A:$W,MATCH($C93&amp;$I93&amp;$H93&amp;$N93&amp;$O93,APOIO_REDES!$W:$W,0),MATCH(AE$5,APOIO_REDES!$5:$5,0)),0)</f>
        <v>1.2</v>
      </c>
      <c r="AF93" s="153" t="n">
        <f aca="false">IFERROR(INDEX(APOIO_REDES!$A:$W,MATCH($C93&amp;$I93&amp;$H93&amp;$N93&amp;$O93,APOIO_REDES!$W:$W,0),MATCH(AF$5,APOIO_REDES!$5:$5,0)),0)</f>
        <v>1.363</v>
      </c>
      <c r="AG93" s="153" t="n">
        <f aca="false">IFERROR(INDEX(APOIO_REDES!$A:$W,MATCH($C93&amp;$I93&amp;$H93&amp;$N93&amp;$O93,APOIO_REDES!$W:$W,0),MATCH(AG$5,APOIO_REDES!$5:$5,0)),0)</f>
        <v>0.65</v>
      </c>
      <c r="AH93" s="153" t="n">
        <f aca="false">IFERROR(INDEX(APOIO_REDES!$A:$W,MATCH($C93&amp;$I93&amp;$H93&amp;$N93&amp;$O93,APOIO_REDES!$W:$W,0),MATCH(AH$5,APOIO_REDES!$5:$5,0)),0)</f>
        <v>0.1</v>
      </c>
      <c r="AI93" s="153" t="n">
        <f aca="false">IFERROR(IF($H93&lt;&gt;"",(((($H93/1000)/2)^2)*PI()*$M93),0),0)</f>
        <v>0.746112665074032</v>
      </c>
      <c r="AJ93" s="153" t="n">
        <f aca="false">IFERROR(IF(AND($H93&lt;&gt;"",$I93="FoFo",OR($N93="MND",$N93="VCA"),$Q93="LINEAR"),0,IF(AND($H93&lt;&gt;"",$I93="PEAD",$N93="VCA",$Q93="LINEAR"),($H93/1000)+0.3,IF(AND($H93&lt;&gt;"",$I93="PEAD",$N93="MND",$Q93="EMBOQUE"),0,IF(AND($H93&lt;&gt;"",$I93="PVC",$N93="VCA",$Q93="LINEAR"),($H93/1000)+0.2,IF(AND($H93&lt;&gt;"",$I93="PVC",$N93="MND",$Q93="EMBOQUE"),0,IF(AND($H93&lt;&gt;"",$I93="PEAD",$N93="VCA",$Q93="PREDIAL"),0,0)))))),0)</f>
        <v>0.363</v>
      </c>
      <c r="AK93" s="153" t="n">
        <f aca="false">IF(AA93&lt;&gt;"",AA93,0)</f>
        <v>2.3</v>
      </c>
      <c r="AL93" s="153" t="n">
        <f aca="false">IF(AND($N93="MND",$Q93="EMBOQUE"),$M93,IF(AND($N93="VCA",$Q93="LINEAR"),$M93,IF(AND($N93="VCA",$Q93="PREDIAL"),0,0)))</f>
        <v>239.35</v>
      </c>
      <c r="AM93" s="153" t="n">
        <f aca="false">IF(AND($N93="MND",$Q93="EMBOQUE"),$M93,IF(AND($N93="VCA",$Q93="LINEAR"),$M93,IF(AND($N93="VCA",$Q93="PREDIAL"),0,0)))</f>
        <v>239.35</v>
      </c>
      <c r="AN93" s="153" t="n">
        <f aca="false">ROUND(IF(AND($N93="VCA",$M93&lt;&gt;"",$Q93="LINEAR"),$M93/100,IF(AND($N93="MND",$M93&gt;100,$Q93="EMBOQUE"),$M93/100,0)),0)</f>
        <v>2</v>
      </c>
      <c r="AO93" s="153" t="n">
        <f aca="false">IF(AND($N93="MND",$Q93="EMBOQUE"),$AN93*2*2,IF(AND($N93="VCA",$Q93="LINEAR"),$M93*2,IF(AND($N93="VCA",$Q93="PREDIAL"),0,0)))</f>
        <v>478.7</v>
      </c>
      <c r="AP93" s="153" t="n">
        <f aca="false">IFERROR($M93*$AF93*$AG93,0)</f>
        <v>212.0521325</v>
      </c>
      <c r="AQ93" s="153" t="n">
        <f aca="false">IFERROR(IF(AND($N93="VCA",$AH93&gt;0),$M93*$AG93*$AH93,0),0)</f>
        <v>15.55775</v>
      </c>
      <c r="AR93" s="153" t="n">
        <f aca="false">IFERROR(IF(AND($N93="VCA",$AJ93&gt;0),($M93*$AG93*$AJ93)-$AI93,0),0)</f>
        <v>55.728519834926</v>
      </c>
      <c r="AS93" s="153" t="n">
        <f aca="false">IFERROR(IF(AND($N93="VCA",$AP93&gt;0),$AP93-$AI93-$AQ93-$AR93,0),0)</f>
        <v>140.01975</v>
      </c>
      <c r="AT93" s="153" t="n">
        <f aca="false">IFERROR(IF($N93="VCA",INDEX(APOIO_REDES!$A:$W,MATCH($C93&amp;$I93&amp;$H93&amp;$N93&amp;$O93,APOIO_REDES!$W:$W,0),MATCH(AT$5,APOIO_REDES!$5:$5,0)),0)*$AP93,0)</f>
        <v>2.30718996582743</v>
      </c>
      <c r="AU93" s="153" t="n">
        <f aca="false">IFERROR(IF($N93="VCA",INDEX(APOIO_REDES!$A:$W,MATCH($C93&amp;$I93&amp;$H93&amp;$N93&amp;$O93,APOIO_REDES!$W:$W,0),MATCH(AU$5,APOIO_REDES!$5:$5,0)),0)*$AP93,0)</f>
        <v>1.84245942008092</v>
      </c>
      <c r="AV93" s="153" t="n">
        <f aca="false">IFERROR(IF($N93="VCA",INDEX(APOIO_REDES!$A:$W,MATCH($C93&amp;$I93&amp;$H93&amp;$N93&amp;$O93,APOIO_REDES!$W:$W,0),MATCH(AV$5,APOIO_REDES!$5:$5,0)),0)*$AP93,0)</f>
        <v>0.254981919865652</v>
      </c>
      <c r="AW93" s="153" t="n">
        <f aca="false">IFERROR(IF($N93="VCA",INDEX(APOIO_REDES!$A:$W,MATCH($C93&amp;$I93&amp;$H93&amp;$N93&amp;$O93,APOIO_REDES!$W:$W,0),MATCH(AW$5,APOIO_REDES!$5:$5,0)),0)*$AP93,0)</f>
        <v>145.5542268081</v>
      </c>
      <c r="AX93" s="153" t="n">
        <f aca="false">IFERROR(IF($N93="VCA",INDEX(APOIO_REDES!$A:$W,MATCH($C93&amp;$I93&amp;$H93&amp;$N93&amp;$O93,APOIO_REDES!$W:$W,0),MATCH(AX$5,APOIO_REDES!$5:$5,0)),0)*$AP93,0)</f>
        <v>20.1442903711777</v>
      </c>
      <c r="AY93" s="153" t="n">
        <f aca="false">IFERROR(IF($N93="VCA",INDEX(APOIO_REDES!$A:$W,MATCH($C93&amp;$I93&amp;$H93&amp;$N93&amp;$O93,APOIO_REDES!$W:$W,0),MATCH(AY$5,APOIO_REDES!$5:$5,0)),0)*$AP93,0)</f>
        <v>36.8491659421875</v>
      </c>
      <c r="AZ93" s="153" t="n">
        <f aca="false">IFERROR(IF($N93="VCA",INDEX(APOIO_REDES!$A:$W,MATCH($C93&amp;$I93&amp;$H93&amp;$N93&amp;$O93,APOIO_REDES!$W:$W,0),MATCH(AZ$5,APOIO_REDES!$5:$5,0)),0)*$AP93,0)</f>
        <v>5.09981807276083</v>
      </c>
      <c r="BA93" s="153" t="n">
        <f aca="false">IFERROR(IF(AND($N93="VCA",$Q93="LINEAR"),INDEX(APOIO_REDES!$A:$W,MATCH($C93&amp;$I93&amp;$H93&amp;$N93&amp;$O93,APOIO_REDES!$W:$W,0),MATCH(BA$5,APOIO_REDES!$5:$5,0)),IF(AND($N93="MND",$Q93="EMBOQUE"),INDEX(APOIO_REDES!$A:$W,MATCH($C93&amp;$I93&amp;$H93&amp;$N93&amp;$O93,APOIO_REDES!$W:$W,0),MATCH(BA$5,APOIO_REDES!$5:$5,0)),0))*$M93/10,0)</f>
        <v>19.2910062587204</v>
      </c>
      <c r="BB93" s="153" t="n">
        <f aca="false">IFERROR(IF($N93="VCA",INDEX(APOIO_REDES!$A:$W,MATCH($C93&amp;$I93&amp;$H93&amp;$N93&amp;$O93,APOIO_REDES!$W:$W,0),MATCH(BB$5,APOIO_REDES!$5:$5,0)),0)*($AI93+$AQ93+$AR93),0)</f>
        <v>71.2486488579031</v>
      </c>
      <c r="BC93" s="153" t="n">
        <f aca="false">IFERROR(IF($N93="VCA",INDEX(APOIO_REDES!$A:$W,MATCH($C93&amp;$I93&amp;$H93&amp;$N93&amp;$O93,APOIO_REDES!$W:$W,0),MATCH(BC$5,APOIO_REDES!$5:$5,0)),0)*($AI93+$AQ93+$AR93),0)</f>
        <v>0.783733642096918</v>
      </c>
      <c r="BD93" s="153" t="n">
        <f aca="false">IF(AND($N93="VCA",$AF93&gt;=1.25,$AF93&lt;1.5),$M93*$AF93*2,0)</f>
        <v>652.4681</v>
      </c>
      <c r="BE93" s="153" t="n">
        <f aca="false">IF(AND($N93="VCA",$AF93&gt;=1.5,$AF93&lt;3),$M93*$AF93*2,0)</f>
        <v>0</v>
      </c>
      <c r="BF93" s="153" t="n">
        <f aca="false">IF(AND($N93="VCA",$AF93&gt;=3),$M93*$AF93*2,0)</f>
        <v>0</v>
      </c>
      <c r="BG93" s="153" t="n">
        <f aca="false">($BB93+$BC93)*$AK93</f>
        <v>165.67447975</v>
      </c>
      <c r="BH93" s="153" t="n">
        <f aca="false">IF(AND($M93&lt;&gt;"",$N93="VCA",$Q93="LINEAR"),($M93*2)/100,IF(AND($M93&lt;&gt;"",$N93="MND",$Q93="EMBOQUE"),($AN93*2)/100,0))</f>
        <v>4.787</v>
      </c>
      <c r="BI93" s="153" t="n">
        <f aca="false">IF(AND($M93&lt;&gt;"",$N93="VCA",$Q93="LINEAR"),$M93,IF(AND($M93&lt;&gt;"",$N93="MND",$Q93="EMBOQUE"),$AN93*2,0))</f>
        <v>239.35</v>
      </c>
      <c r="BJ93" s="153" t="n">
        <f aca="false">IF(AND($M93&lt;&gt;"",$N93="VCA",$Q93="LINEAR"),($M93*6.8)/100,IF(AND($M93&lt;&gt;"",$N93="MND",$Q93="EMBOQUE"),($AN93*2*6.8)/100,0))</f>
        <v>16.2758</v>
      </c>
      <c r="BK93" s="153" t="n">
        <f aca="false">IF(AND($M93&lt;&gt;"",$N93="VCA",$Q93="LINEAR"),($M93*2.5)/50,IF(AND($M93&lt;&gt;"",$N93="MND",$Q93="EMBOQUE"),($AN93*2*2.5)/50,0))</f>
        <v>11.9675</v>
      </c>
      <c r="BL93" s="157" t="str">
        <f aca="false">K93&amp;J93</f>
        <v>Zona01REDES</v>
      </c>
      <c r="BM93" s="152" t="s">
        <v>1559</v>
      </c>
      <c r="BN93" s="152" t="s">
        <v>1560</v>
      </c>
      <c r="BO93" s="152" t="s">
        <v>1748</v>
      </c>
      <c r="BP93" s="152" t="s">
        <v>1883</v>
      </c>
      <c r="BQ93" s="152" t="s">
        <v>1833</v>
      </c>
      <c r="BR93" s="152" t="s">
        <v>1884</v>
      </c>
      <c r="BS93" s="152" t="n">
        <v>203355.483</v>
      </c>
      <c r="BT93" s="152" t="n">
        <v>8238432.301</v>
      </c>
      <c r="BU93" s="152" t="n">
        <v>203164.071</v>
      </c>
      <c r="BV93" s="152" t="n">
        <v>8238575.734</v>
      </c>
      <c r="BW93" s="152" t="n">
        <v>-15.9149471</v>
      </c>
      <c r="BX93" s="152" t="n">
        <v>-47.7713994</v>
      </c>
      <c r="BY93" s="152" t="s">
        <v>1883</v>
      </c>
    </row>
    <row r="94" customFormat="false" ht="13.8" hidden="false" customHeight="false" outlineLevel="0" collapsed="false">
      <c r="A94" s="149" t="n">
        <f aca="false">IF(C94&lt;&gt;"",ROW(A89),"")</f>
        <v>89</v>
      </c>
      <c r="B94" s="150" t="str">
        <f aca="false">HYPERLINK("https://www.google.com/maps/dir/-15.917302,-47.760003/-15.9150375,-47.7739814/data=!4m3!4m2!3e0!5i0")</f>
        <v>https://www.google.com/maps/dir/-15.917302,-47.760003/-15.9150375,-47.7739814/data=!4m3!4m2!3e0!5i0</v>
      </c>
      <c r="C94" s="151" t="s">
        <v>117</v>
      </c>
      <c r="D94" s="152" t="s">
        <v>112</v>
      </c>
      <c r="E94" s="152" t="s">
        <v>113</v>
      </c>
      <c r="F94" s="152" t="s">
        <v>117</v>
      </c>
      <c r="G94" s="152" t="s">
        <v>782</v>
      </c>
      <c r="H94" s="152" t="n">
        <v>63</v>
      </c>
      <c r="I94" s="152" t="s">
        <v>115</v>
      </c>
      <c r="J94" s="152" t="s">
        <v>6</v>
      </c>
      <c r="K94" s="152" t="s">
        <v>1547</v>
      </c>
      <c r="L94" s="152" t="s">
        <v>120</v>
      </c>
      <c r="M94" s="153" t="n">
        <f aca="false">23.18</f>
        <v>23.18</v>
      </c>
      <c r="N94" s="152" t="s">
        <v>1548</v>
      </c>
      <c r="O94" s="152" t="s">
        <v>1549</v>
      </c>
      <c r="P94" s="152" t="s">
        <v>1550</v>
      </c>
      <c r="Q94" s="152" t="s">
        <v>1551</v>
      </c>
      <c r="R94" s="154" t="s">
        <v>1885</v>
      </c>
      <c r="S94" s="154" t="s">
        <v>1553</v>
      </c>
      <c r="T94" s="155" t="s">
        <v>1746</v>
      </c>
      <c r="U94" s="152" t="str">
        <f aca="false">RIGHT(T94,7)</f>
        <v>003/037</v>
      </c>
      <c r="V94" s="152" t="s">
        <v>1555</v>
      </c>
      <c r="W94" s="156" t="n">
        <v>45882</v>
      </c>
      <c r="X94" s="152" t="s">
        <v>1594</v>
      </c>
      <c r="Y94" s="152" t="s">
        <v>1886</v>
      </c>
      <c r="Z94" s="152" t="s">
        <v>1557</v>
      </c>
      <c r="AA94" s="153" t="n">
        <v>2.8</v>
      </c>
      <c r="AB94" s="151" t="s">
        <v>1887</v>
      </c>
      <c r="AC94" s="151" t="s">
        <v>186</v>
      </c>
      <c r="AD94" s="151" t="str">
        <f aca="false">CONCATENATE($C94,$I94,$H94,$N94,$J94,$K94)</f>
        <v>TUBO PEADPEAD63VCAREDESZona01</v>
      </c>
      <c r="AE94" s="153" t="n">
        <f aca="false">IFERROR(INDEX(APOIO_REDES!$A:$W,MATCH($C94&amp;$I94&amp;$H94&amp;$N94&amp;$O94,APOIO_REDES!$W:$W,0),MATCH(AE$5,APOIO_REDES!$5:$5,0)),0)</f>
        <v>1.2</v>
      </c>
      <c r="AF94" s="153" t="n">
        <f aca="false">IFERROR(INDEX(APOIO_REDES!$A:$W,MATCH($C94&amp;$I94&amp;$H94&amp;$N94&amp;$O94,APOIO_REDES!$W:$W,0),MATCH(AF$5,APOIO_REDES!$5:$5,0)),0)</f>
        <v>1.363</v>
      </c>
      <c r="AG94" s="153" t="n">
        <f aca="false">IFERROR(INDEX(APOIO_REDES!$A:$W,MATCH($C94&amp;$I94&amp;$H94&amp;$N94&amp;$O94,APOIO_REDES!$W:$W,0),MATCH(AG$5,APOIO_REDES!$5:$5,0)),0)</f>
        <v>0.65</v>
      </c>
      <c r="AH94" s="153" t="n">
        <f aca="false">IFERROR(INDEX(APOIO_REDES!$A:$W,MATCH($C94&amp;$I94&amp;$H94&amp;$N94&amp;$O94,APOIO_REDES!$W:$W,0),MATCH(AH$5,APOIO_REDES!$5:$5,0)),0)</f>
        <v>0.1</v>
      </c>
      <c r="AI94" s="153" t="n">
        <f aca="false">IFERROR(IF($H94&lt;&gt;"",(((($H94/1000)/2)^2)*PI()*$M94),0),0)</f>
        <v>0.0722577462979573</v>
      </c>
      <c r="AJ94" s="153" t="n">
        <f aca="false">IFERROR(IF(AND($H94&lt;&gt;"",$I94="FoFo",OR($N94="MND",$N94="VCA"),$Q94="LINEAR"),0,IF(AND($H94&lt;&gt;"",$I94="PEAD",$N94="VCA",$Q94="LINEAR"),($H94/1000)+0.3,IF(AND($H94&lt;&gt;"",$I94="PEAD",$N94="MND",$Q94="EMBOQUE"),0,IF(AND($H94&lt;&gt;"",$I94="PVC",$N94="VCA",$Q94="LINEAR"),($H94/1000)+0.2,IF(AND($H94&lt;&gt;"",$I94="PVC",$N94="MND",$Q94="EMBOQUE"),0,IF(AND($H94&lt;&gt;"",$I94="PEAD",$N94="VCA",$Q94="PREDIAL"),0,0)))))),0)</f>
        <v>0.363</v>
      </c>
      <c r="AK94" s="153" t="n">
        <f aca="false">IF(AA94&lt;&gt;"",AA94,0)</f>
        <v>2.8</v>
      </c>
      <c r="AL94" s="153" t="n">
        <f aca="false">IF(AND($N94="MND",$Q94="EMBOQUE"),$M94,IF(AND($N94="VCA",$Q94="LINEAR"),$M94,IF(AND($N94="VCA",$Q94="PREDIAL"),0,0)))</f>
        <v>23.18</v>
      </c>
      <c r="AM94" s="153" t="n">
        <f aca="false">IF(AND($N94="MND",$Q94="EMBOQUE"),$M94,IF(AND($N94="VCA",$Q94="LINEAR"),$M94,IF(AND($N94="VCA",$Q94="PREDIAL"),0,0)))</f>
        <v>23.18</v>
      </c>
      <c r="AN94" s="153" t="n">
        <f aca="false">ROUND(IF(AND($N94="VCA",$M94&lt;&gt;"",$Q94="LINEAR"),$M94/100,IF(AND($N94="MND",$M94&gt;100,$Q94="EMBOQUE"),$M94/100,0)),0)</f>
        <v>0</v>
      </c>
      <c r="AO94" s="153" t="n">
        <f aca="false">IF(AND($N94="MND",$Q94="EMBOQUE"),$AN94*2*2,IF(AND($N94="VCA",$Q94="LINEAR"),$M94*2,IF(AND($N94="VCA",$Q94="PREDIAL"),0,0)))</f>
        <v>46.36</v>
      </c>
      <c r="AP94" s="153" t="n">
        <f aca="false">IFERROR($M94*$AF94*$AG94,0)</f>
        <v>20.536321</v>
      </c>
      <c r="AQ94" s="153" t="n">
        <f aca="false">IFERROR(IF(AND($N94="VCA",$AH94&gt;0),$M94*$AG94*$AH94,0),0)</f>
        <v>1.5067</v>
      </c>
      <c r="AR94" s="153" t="n">
        <f aca="false">IFERROR(IF(AND($N94="VCA",$AJ94&gt;0),($M94*$AG94*$AJ94)-$AI94,0),0)</f>
        <v>5.39706325370204</v>
      </c>
      <c r="AS94" s="153" t="n">
        <f aca="false">IFERROR(IF(AND($N94="VCA",$AP94&gt;0),$AP94-$AI94-$AQ94-$AR94,0),0)</f>
        <v>13.5603</v>
      </c>
      <c r="AT94" s="153" t="n">
        <f aca="false">IFERROR(IF($N94="VCA",INDEX(APOIO_REDES!$A:$W,MATCH($C94&amp;$I94&amp;$H94&amp;$N94&amp;$O94,APOIO_REDES!$W:$W,0),MATCH(AT$5,APOIO_REDES!$5:$5,0)),0)*$AP94,0)</f>
        <v>0.223441250920743</v>
      </c>
      <c r="AU94" s="153" t="n">
        <f aca="false">IFERROR(IF($N94="VCA",INDEX(APOIO_REDES!$A:$W,MATCH($C94&amp;$I94&amp;$H94&amp;$N94&amp;$O94,APOIO_REDES!$W:$W,0),MATCH(AU$5,APOIO_REDES!$5:$5,0)),0)*$AP94,0)</f>
        <v>0.178434131428769</v>
      </c>
      <c r="AV94" s="153" t="n">
        <f aca="false">IFERROR(IF($N94="VCA",INDEX(APOIO_REDES!$A:$W,MATCH($C94&amp;$I94&amp;$H94&amp;$N94&amp;$O94,APOIO_REDES!$W:$W,0),MATCH(AV$5,APOIO_REDES!$5:$5,0)),0)*$AP94,0)</f>
        <v>0.0246938830268887</v>
      </c>
      <c r="AW94" s="153" t="n">
        <f aca="false">IFERROR(IF($N94="VCA",INDEX(APOIO_REDES!$A:$W,MATCH($C94&amp;$I94&amp;$H94&amp;$N94&amp;$O94,APOIO_REDES!$W:$W,0),MATCH(AW$5,APOIO_REDES!$5:$5,0)),0)*$AP94,0)</f>
        <v>14.0962898575799</v>
      </c>
      <c r="AX94" s="153" t="n">
        <f aca="false">IFERROR(IF($N94="VCA",INDEX(APOIO_REDES!$A:$W,MATCH($C94&amp;$I94&amp;$H94&amp;$N94&amp;$O94,APOIO_REDES!$W:$W,0),MATCH(AX$5,APOIO_REDES!$5:$5,0)),0)*$AP94,0)</f>
        <v>1.95088636224733</v>
      </c>
      <c r="AY94" s="153" t="n">
        <f aca="false">IFERROR(IF($N94="VCA",INDEX(APOIO_REDES!$A:$W,MATCH($C94&amp;$I94&amp;$H94&amp;$N94&amp;$O94,APOIO_REDES!$W:$W,0),MATCH(AY$5,APOIO_REDES!$5:$5,0)),0)*$AP94,0)</f>
        <v>3.56868045347778</v>
      </c>
      <c r="AZ94" s="153" t="n">
        <f aca="false">IFERROR(IF($N94="VCA",INDEX(APOIO_REDES!$A:$W,MATCH($C94&amp;$I94&amp;$H94&amp;$N94&amp;$O94,APOIO_REDES!$W:$W,0),MATCH(AZ$5,APOIO_REDES!$5:$5,0)),0)*$AP94,0)</f>
        <v>0.493895061318555</v>
      </c>
      <c r="BA94" s="153" t="n">
        <f aca="false">IFERROR(IF(AND($N94="VCA",$Q94="LINEAR"),INDEX(APOIO_REDES!$A:$W,MATCH($C94&amp;$I94&amp;$H94&amp;$N94&amp;$O94,APOIO_REDES!$W:$W,0),MATCH(BA$5,APOIO_REDES!$5:$5,0)),IF(AND($N94="MND",$Q94="EMBOQUE"),INDEX(APOIO_REDES!$A:$W,MATCH($C94&amp;$I94&amp;$H94&amp;$N94&amp;$O94,APOIO_REDES!$W:$W,0),MATCH(BA$5,APOIO_REDES!$5:$5,0)),0))*$M94/10,0)</f>
        <v>1.86824953029931</v>
      </c>
      <c r="BB94" s="153" t="n">
        <f aca="false">IFERROR(IF($N94="VCA",INDEX(APOIO_REDES!$A:$W,MATCH($C94&amp;$I94&amp;$H94&amp;$N94&amp;$O94,APOIO_REDES!$W:$W,0),MATCH(BB$5,APOIO_REDES!$5:$5,0)),0)*($AI94+$AQ94+$AR94),0)</f>
        <v>6.90011982672318</v>
      </c>
      <c r="BC94" s="153" t="n">
        <f aca="false">IFERROR(IF($N94="VCA",INDEX(APOIO_REDES!$A:$W,MATCH($C94&amp;$I94&amp;$H94&amp;$N94&amp;$O94,APOIO_REDES!$W:$W,0),MATCH(BC$5,APOIO_REDES!$5:$5,0)),0)*($AI94+$AQ94+$AR94),0)</f>
        <v>0.0759011732768187</v>
      </c>
      <c r="BD94" s="153" t="n">
        <f aca="false">IF(AND($N94="VCA",$AF94&gt;=1.25,$AF94&lt;1.5),$M94*$AF94*2,0)</f>
        <v>63.18868</v>
      </c>
      <c r="BE94" s="153" t="n">
        <f aca="false">IF(AND($N94="VCA",$AF94&gt;=1.5,$AF94&lt;3),$M94*$AF94*2,0)</f>
        <v>0</v>
      </c>
      <c r="BF94" s="153" t="n">
        <f aca="false">IF(AND($N94="VCA",$AF94&gt;=3),$M94*$AF94*2,0)</f>
        <v>0</v>
      </c>
      <c r="BG94" s="153" t="n">
        <f aca="false">($BB94+$BC94)*$AK94</f>
        <v>19.5328588</v>
      </c>
      <c r="BH94" s="153" t="n">
        <f aca="false">IF(AND($M94&lt;&gt;"",$N94="VCA",$Q94="LINEAR"),($M94*2)/100,IF(AND($M94&lt;&gt;"",$N94="MND",$Q94="EMBOQUE"),($AN94*2)/100,0))</f>
        <v>0.4636</v>
      </c>
      <c r="BI94" s="153" t="n">
        <f aca="false">IF(AND($M94&lt;&gt;"",$N94="VCA",$Q94="LINEAR"),$M94,IF(AND($M94&lt;&gt;"",$N94="MND",$Q94="EMBOQUE"),$AN94*2,0))</f>
        <v>23.18</v>
      </c>
      <c r="BJ94" s="153" t="n">
        <f aca="false">IF(AND($M94&lt;&gt;"",$N94="VCA",$Q94="LINEAR"),($M94*6.8)/100,IF(AND($M94&lt;&gt;"",$N94="MND",$Q94="EMBOQUE"),($AN94*2*6.8)/100,0))</f>
        <v>1.57624</v>
      </c>
      <c r="BK94" s="153" t="n">
        <f aca="false">IF(AND($M94&lt;&gt;"",$N94="VCA",$Q94="LINEAR"),($M94*2.5)/50,IF(AND($M94&lt;&gt;"",$N94="MND",$Q94="EMBOQUE"),($AN94*2*2.5)/50,0))</f>
        <v>1.159</v>
      </c>
      <c r="BL94" s="157" t="str">
        <f aca="false">K94&amp;J94</f>
        <v>Zona01REDES</v>
      </c>
      <c r="BM94" s="152" t="s">
        <v>1559</v>
      </c>
      <c r="BN94" s="152" t="s">
        <v>1560</v>
      </c>
      <c r="BO94" s="152" t="s">
        <v>1748</v>
      </c>
      <c r="BP94" s="152" t="s">
        <v>1888</v>
      </c>
      <c r="BQ94" s="152" t="s">
        <v>1876</v>
      </c>
      <c r="BR94" s="152" t="s">
        <v>1850</v>
      </c>
      <c r="BS94" s="152" t="n">
        <v>202983.012</v>
      </c>
      <c r="BT94" s="152" t="n">
        <v>8238489.95</v>
      </c>
      <c r="BU94" s="152" t="n">
        <v>202996.481</v>
      </c>
      <c r="BV94" s="152" t="n">
        <v>8238508.818</v>
      </c>
      <c r="BW94" s="152" t="n">
        <v>-15.9149532</v>
      </c>
      <c r="BX94" s="152" t="n">
        <v>-47.7739174</v>
      </c>
      <c r="BY94" s="152" t="s">
        <v>1888</v>
      </c>
    </row>
    <row r="95" customFormat="false" ht="13.8" hidden="false" customHeight="false" outlineLevel="0" collapsed="false">
      <c r="A95" s="149" t="n">
        <f aca="false">IF(C95&lt;&gt;"",ROW(A90),"")</f>
        <v>90</v>
      </c>
      <c r="B95" s="150" t="str">
        <f aca="false">HYPERLINK("https://www.google.com/maps/dir/-15.917302,-47.760003/-15.9150491,-47.7719899/data=!4m3!4m2!3e0!5i0")</f>
        <v>https://www.google.com/maps/dir/-15.917302,-47.760003/-15.9150491,-47.7719899/data=!4m3!4m2!3e0!5i0</v>
      </c>
      <c r="C95" s="151" t="s">
        <v>117</v>
      </c>
      <c r="D95" s="152" t="s">
        <v>112</v>
      </c>
      <c r="E95" s="152" t="s">
        <v>113</v>
      </c>
      <c r="F95" s="152" t="s">
        <v>117</v>
      </c>
      <c r="G95" s="152" t="s">
        <v>782</v>
      </c>
      <c r="H95" s="152" t="n">
        <v>63</v>
      </c>
      <c r="I95" s="152" t="s">
        <v>115</v>
      </c>
      <c r="J95" s="152" t="s">
        <v>6</v>
      </c>
      <c r="K95" s="152" t="s">
        <v>1547</v>
      </c>
      <c r="L95" s="152" t="s">
        <v>120</v>
      </c>
      <c r="M95" s="153" t="n">
        <f aca="false">11.01</f>
        <v>11.01</v>
      </c>
      <c r="N95" s="152" t="s">
        <v>1548</v>
      </c>
      <c r="O95" s="152" t="s">
        <v>1549</v>
      </c>
      <c r="P95" s="152" t="s">
        <v>1550</v>
      </c>
      <c r="Q95" s="152" t="s">
        <v>1551</v>
      </c>
      <c r="R95" s="154" t="s">
        <v>1889</v>
      </c>
      <c r="S95" s="154" t="s">
        <v>1553</v>
      </c>
      <c r="T95" s="155" t="s">
        <v>1746</v>
      </c>
      <c r="U95" s="152" t="str">
        <f aca="false">RIGHT(T95,7)</f>
        <v>003/037</v>
      </c>
      <c r="V95" s="152" t="s">
        <v>1555</v>
      </c>
      <c r="W95" s="156" t="n">
        <v>45882</v>
      </c>
      <c r="X95" s="152" t="s">
        <v>1594</v>
      </c>
      <c r="Y95" s="152" t="s">
        <v>1839</v>
      </c>
      <c r="Z95" s="152" t="s">
        <v>1557</v>
      </c>
      <c r="AA95" s="153" t="n">
        <v>2.5</v>
      </c>
      <c r="AB95" s="151" t="s">
        <v>1890</v>
      </c>
      <c r="AC95" s="151" t="s">
        <v>186</v>
      </c>
      <c r="AD95" s="151" t="str">
        <f aca="false">CONCATENATE($C95,$I95,$H95,$N95,$J95,$K95)</f>
        <v>TUBO PEADPEAD63VCAREDESZona01</v>
      </c>
      <c r="AE95" s="153" t="n">
        <f aca="false">IFERROR(INDEX(APOIO_REDES!$A:$W,MATCH($C95&amp;$I95&amp;$H95&amp;$N95&amp;$O95,APOIO_REDES!$W:$W,0),MATCH(AE$5,APOIO_REDES!$5:$5,0)),0)</f>
        <v>1.2</v>
      </c>
      <c r="AF95" s="153" t="n">
        <f aca="false">IFERROR(INDEX(APOIO_REDES!$A:$W,MATCH($C95&amp;$I95&amp;$H95&amp;$N95&amp;$O95,APOIO_REDES!$W:$W,0),MATCH(AF$5,APOIO_REDES!$5:$5,0)),0)</f>
        <v>1.363</v>
      </c>
      <c r="AG95" s="153" t="n">
        <f aca="false">IFERROR(INDEX(APOIO_REDES!$A:$W,MATCH($C95&amp;$I95&amp;$H95&amp;$N95&amp;$O95,APOIO_REDES!$W:$W,0),MATCH(AG$5,APOIO_REDES!$5:$5,0)),0)</f>
        <v>0.65</v>
      </c>
      <c r="AH95" s="153" t="n">
        <f aca="false">IFERROR(INDEX(APOIO_REDES!$A:$W,MATCH($C95&amp;$I95&amp;$H95&amp;$N95&amp;$O95,APOIO_REDES!$W:$W,0),MATCH(AH$5,APOIO_REDES!$5:$5,0)),0)</f>
        <v>0.1</v>
      </c>
      <c r="AI95" s="153" t="n">
        <f aca="false">IFERROR(IF($H95&lt;&gt;"",(((($H95/1000)/2)^2)*PI()*$M95),0),0)</f>
        <v>0.0343208708688744</v>
      </c>
      <c r="AJ95" s="153" t="n">
        <f aca="false">IFERROR(IF(AND($H95&lt;&gt;"",$I95="FoFo",OR($N95="MND",$N95="VCA"),$Q95="LINEAR"),0,IF(AND($H95&lt;&gt;"",$I95="PEAD",$N95="VCA",$Q95="LINEAR"),($H95/1000)+0.3,IF(AND($H95&lt;&gt;"",$I95="PEAD",$N95="MND",$Q95="EMBOQUE"),0,IF(AND($H95&lt;&gt;"",$I95="PVC",$N95="VCA",$Q95="LINEAR"),($H95/1000)+0.2,IF(AND($H95&lt;&gt;"",$I95="PVC",$N95="MND",$Q95="EMBOQUE"),0,IF(AND($H95&lt;&gt;"",$I95="PEAD",$N95="VCA",$Q95="PREDIAL"),0,0)))))),0)</f>
        <v>0.363</v>
      </c>
      <c r="AK95" s="153" t="n">
        <f aca="false">IF(AA95&lt;&gt;"",AA95,0)</f>
        <v>2.5</v>
      </c>
      <c r="AL95" s="153" t="n">
        <f aca="false">IF(AND($N95="MND",$Q95="EMBOQUE"),$M95,IF(AND($N95="VCA",$Q95="LINEAR"),$M95,IF(AND($N95="VCA",$Q95="PREDIAL"),0,0)))</f>
        <v>11.01</v>
      </c>
      <c r="AM95" s="153" t="n">
        <f aca="false">IF(AND($N95="MND",$Q95="EMBOQUE"),$M95,IF(AND($N95="VCA",$Q95="LINEAR"),$M95,IF(AND($N95="VCA",$Q95="PREDIAL"),0,0)))</f>
        <v>11.01</v>
      </c>
      <c r="AN95" s="153" t="n">
        <f aca="false">ROUND(IF(AND($N95="VCA",$M95&lt;&gt;"",$Q95="LINEAR"),$M95/100,IF(AND($N95="MND",$M95&gt;100,$Q95="EMBOQUE"),$M95/100,0)),0)</f>
        <v>0</v>
      </c>
      <c r="AO95" s="153" t="n">
        <f aca="false">IF(AND($N95="MND",$Q95="EMBOQUE"),$AN95*2*2,IF(AND($N95="VCA",$Q95="LINEAR"),$M95*2,IF(AND($N95="VCA",$Q95="PREDIAL"),0,0)))</f>
        <v>22.02</v>
      </c>
      <c r="AP95" s="153" t="n">
        <f aca="false">IFERROR($M95*$AF95*$AG95,0)</f>
        <v>9.7543095</v>
      </c>
      <c r="AQ95" s="153" t="n">
        <f aca="false">IFERROR(IF(AND($N95="VCA",$AH95&gt;0),$M95*$AG95*$AH95,0),0)</f>
        <v>0.71565</v>
      </c>
      <c r="AR95" s="153" t="n">
        <f aca="false">IFERROR(IF(AND($N95="VCA",$AJ95&gt;0),($M95*$AG95*$AJ95)-$AI95,0),0)</f>
        <v>2.56348862913113</v>
      </c>
      <c r="AS95" s="153" t="n">
        <f aca="false">IFERROR(IF(AND($N95="VCA",$AP95&gt;0),$AP95-$AI95-$AQ95-$AR95,0),0)</f>
        <v>6.44085</v>
      </c>
      <c r="AT95" s="153" t="n">
        <f aca="false">IFERROR(IF($N95="VCA",INDEX(APOIO_REDES!$A:$W,MATCH($C95&amp;$I95&amp;$H95&amp;$N95&amp;$O95,APOIO_REDES!$W:$W,0),MATCH(AT$5,APOIO_REDES!$5:$5,0)),0)*$AP95,0)</f>
        <v>0.106129774488239</v>
      </c>
      <c r="AU95" s="153" t="n">
        <f aca="false">IFERROR(IF($N95="VCA",INDEX(APOIO_REDES!$A:$W,MATCH($C95&amp;$I95&amp;$H95&amp;$N95&amp;$O95,APOIO_REDES!$W:$W,0),MATCH(AU$5,APOIO_REDES!$5:$5,0)),0)*$AP95,0)</f>
        <v>0.0847523635474868</v>
      </c>
      <c r="AV95" s="153" t="n">
        <f aca="false">IFERROR(IF($N95="VCA",INDEX(APOIO_REDES!$A:$W,MATCH($C95&amp;$I95&amp;$H95&amp;$N95&amp;$O95,APOIO_REDES!$W:$W,0),MATCH(AV$5,APOIO_REDES!$5:$5,0)),0)*$AP95,0)</f>
        <v>0.0117290617828319</v>
      </c>
      <c r="AW95" s="153" t="n">
        <f aca="false">IFERROR(IF($N95="VCA",INDEX(APOIO_REDES!$A:$W,MATCH($C95&amp;$I95&amp;$H95&amp;$N95&amp;$O95,APOIO_REDES!$W:$W,0),MATCH(AW$5,APOIO_REDES!$5:$5,0)),0)*$AP95,0)</f>
        <v>6.69543362087813</v>
      </c>
      <c r="AX95" s="153" t="n">
        <f aca="false">IFERROR(IF($N95="VCA",INDEX(APOIO_REDES!$A:$W,MATCH($C95&amp;$I95&amp;$H95&amp;$N95&amp;$O95,APOIO_REDES!$W:$W,0),MATCH(AX$5,APOIO_REDES!$5:$5,0)),0)*$AP95,0)</f>
        <v>0.926628940825846</v>
      </c>
      <c r="AY95" s="153" t="n">
        <f aca="false">IFERROR(IF($N95="VCA",INDEX(APOIO_REDES!$A:$W,MATCH($C95&amp;$I95&amp;$H95&amp;$N95&amp;$O95,APOIO_REDES!$W:$W,0),MATCH(AY$5,APOIO_REDES!$5:$5,0)),0)*$AP95,0)</f>
        <v>1.69504623782529</v>
      </c>
      <c r="AZ95" s="153" t="n">
        <f aca="false">IFERROR(IF($N95="VCA",INDEX(APOIO_REDES!$A:$W,MATCH($C95&amp;$I95&amp;$H95&amp;$N95&amp;$O95,APOIO_REDES!$W:$W,0),MATCH(AZ$5,APOIO_REDES!$5:$5,0)),0)*$AP95,0)</f>
        <v>0.23458950065217</v>
      </c>
      <c r="BA95" s="153" t="n">
        <f aca="false">IFERROR(IF(AND($N95="VCA",$Q95="LINEAR"),INDEX(APOIO_REDES!$A:$W,MATCH($C95&amp;$I95&amp;$H95&amp;$N95&amp;$O95,APOIO_REDES!$W:$W,0),MATCH(BA$5,APOIO_REDES!$5:$5,0)),IF(AND($N95="MND",$Q95="EMBOQUE"),INDEX(APOIO_REDES!$A:$W,MATCH($C95&amp;$I95&amp;$H95&amp;$N95&amp;$O95,APOIO_REDES!$W:$W,0),MATCH(BA$5,APOIO_REDES!$5:$5,0)),0))*$M95/10,0)</f>
        <v>0.887378228153381</v>
      </c>
      <c r="BB95" s="153" t="n">
        <f aca="false">IFERROR(IF($N95="VCA",INDEX(APOIO_REDES!$A:$W,MATCH($C95&amp;$I95&amp;$H95&amp;$N95&amp;$O95,APOIO_REDES!$W:$W,0),MATCH(BB$5,APOIO_REDES!$5:$5,0)),0)*($AI95+$AQ95+$AR95),0)</f>
        <v>3.27740807990605</v>
      </c>
      <c r="BC95" s="153" t="n">
        <f aca="false">IFERROR(IF($N95="VCA",INDEX(APOIO_REDES!$A:$W,MATCH($C95&amp;$I95&amp;$H95&amp;$N95&amp;$O95,APOIO_REDES!$W:$W,0),MATCH(BC$5,APOIO_REDES!$5:$5,0)),0)*($AI95+$AQ95+$AR95),0)</f>
        <v>0.0360514200939505</v>
      </c>
      <c r="BD95" s="153" t="n">
        <f aca="false">IF(AND($N95="VCA",$AF95&gt;=1.25,$AF95&lt;1.5),$M95*$AF95*2,0)</f>
        <v>30.01326</v>
      </c>
      <c r="BE95" s="153" t="n">
        <f aca="false">IF(AND($N95="VCA",$AF95&gt;=1.5,$AF95&lt;3),$M95*$AF95*2,0)</f>
        <v>0</v>
      </c>
      <c r="BF95" s="153" t="n">
        <f aca="false">IF(AND($N95="VCA",$AF95&gt;=3),$M95*$AF95*2,0)</f>
        <v>0</v>
      </c>
      <c r="BG95" s="153" t="n">
        <f aca="false">($BB95+$BC95)*$AK95</f>
        <v>8.28364875</v>
      </c>
      <c r="BH95" s="153" t="n">
        <f aca="false">IF(AND($M95&lt;&gt;"",$N95="VCA",$Q95="LINEAR"),($M95*2)/100,IF(AND($M95&lt;&gt;"",$N95="MND",$Q95="EMBOQUE"),($AN95*2)/100,0))</f>
        <v>0.2202</v>
      </c>
      <c r="BI95" s="153" t="n">
        <f aca="false">IF(AND($M95&lt;&gt;"",$N95="VCA",$Q95="LINEAR"),$M95,IF(AND($M95&lt;&gt;"",$N95="MND",$Q95="EMBOQUE"),$AN95*2,0))</f>
        <v>11.01</v>
      </c>
      <c r="BJ95" s="153" t="n">
        <f aca="false">IF(AND($M95&lt;&gt;"",$N95="VCA",$Q95="LINEAR"),($M95*6.8)/100,IF(AND($M95&lt;&gt;"",$N95="MND",$Q95="EMBOQUE"),($AN95*2*6.8)/100,0))</f>
        <v>0.74868</v>
      </c>
      <c r="BK95" s="153" t="n">
        <f aca="false">IF(AND($M95&lt;&gt;"",$N95="VCA",$Q95="LINEAR"),($M95*2.5)/50,IF(AND($M95&lt;&gt;"",$N95="MND",$Q95="EMBOQUE"),($AN95*2*2.5)/50,0))</f>
        <v>0.5505</v>
      </c>
      <c r="BL95" s="157" t="str">
        <f aca="false">K95&amp;J95</f>
        <v>Zona01REDES</v>
      </c>
      <c r="BM95" s="152" t="s">
        <v>1559</v>
      </c>
      <c r="BN95" s="152" t="s">
        <v>1560</v>
      </c>
      <c r="BO95" s="152" t="s">
        <v>1748</v>
      </c>
      <c r="BP95" s="152" t="s">
        <v>1891</v>
      </c>
      <c r="BQ95" s="152" t="s">
        <v>1872</v>
      </c>
      <c r="BR95" s="152" t="s">
        <v>1873</v>
      </c>
      <c r="BS95" s="152" t="n">
        <v>203196.413</v>
      </c>
      <c r="BT95" s="152" t="n">
        <v>8238491.509</v>
      </c>
      <c r="BU95" s="152" t="n">
        <v>203201.963</v>
      </c>
      <c r="BV95" s="152" t="n">
        <v>8238500.997</v>
      </c>
      <c r="BW95" s="152" t="n">
        <v>-15.9150073</v>
      </c>
      <c r="BX95" s="152" t="n">
        <v>-47.7719622</v>
      </c>
      <c r="BY95" s="152" t="s">
        <v>1891</v>
      </c>
    </row>
    <row r="96" customFormat="false" ht="13.8" hidden="false" customHeight="false" outlineLevel="0" collapsed="false">
      <c r="A96" s="149" t="n">
        <f aca="false">IF(C96&lt;&gt;"",ROW(A91),"")</f>
        <v>91</v>
      </c>
      <c r="B96" s="150" t="str">
        <f aca="false">HYPERLINK("https://www.google.com/maps/dir/-15.917302,-47.760003/-15.9150560,-47.7696015/data=!4m3!4m2!3e0!5i1")</f>
        <v>https://www.google.com/maps/dir/-15.917302,-47.760003/-15.9150560,-47.7696015/data=!4m3!4m2!3e0!5i1</v>
      </c>
      <c r="C96" s="151" t="s">
        <v>117</v>
      </c>
      <c r="D96" s="152" t="s">
        <v>112</v>
      </c>
      <c r="E96" s="152" t="s">
        <v>113</v>
      </c>
      <c r="F96" s="152" t="s">
        <v>117</v>
      </c>
      <c r="G96" s="152" t="s">
        <v>114</v>
      </c>
      <c r="H96" s="152" t="n">
        <v>225</v>
      </c>
      <c r="I96" s="152" t="s">
        <v>115</v>
      </c>
      <c r="J96" s="152" t="s">
        <v>6</v>
      </c>
      <c r="K96" s="152" t="s">
        <v>1547</v>
      </c>
      <c r="L96" s="152" t="s">
        <v>120</v>
      </c>
      <c r="M96" s="153" t="n">
        <f aca="false">5.19</f>
        <v>5.19</v>
      </c>
      <c r="N96" s="152" t="s">
        <v>1548</v>
      </c>
      <c r="O96" s="152" t="s">
        <v>1549</v>
      </c>
      <c r="P96" s="152" t="s">
        <v>1550</v>
      </c>
      <c r="Q96" s="152" t="s">
        <v>1551</v>
      </c>
      <c r="R96" s="154" t="s">
        <v>1892</v>
      </c>
      <c r="S96" s="154" t="s">
        <v>1593</v>
      </c>
      <c r="T96" s="155" t="s">
        <v>1746</v>
      </c>
      <c r="U96" s="152" t="str">
        <f aca="false">RIGHT(T96,7)</f>
        <v>003/037</v>
      </c>
      <c r="V96" s="152" t="s">
        <v>1555</v>
      </c>
      <c r="W96" s="156" t="n">
        <v>45882</v>
      </c>
      <c r="X96" s="152" t="s">
        <v>1556</v>
      </c>
      <c r="Y96" s="152" t="s">
        <v>1772</v>
      </c>
      <c r="Z96" s="152" t="s">
        <v>1557</v>
      </c>
      <c r="AA96" s="153" t="n">
        <v>2.6</v>
      </c>
      <c r="AB96" s="151" t="s">
        <v>1893</v>
      </c>
      <c r="AC96" s="151" t="s">
        <v>508</v>
      </c>
      <c r="AD96" s="151" t="str">
        <f aca="false">CONCATENATE($C96,$I96,$H96,$N96,$J96,$K96)</f>
        <v>TUBO PEADPEAD225VCAREDESZona01</v>
      </c>
      <c r="AE96" s="153" t="n">
        <f aca="false">IFERROR(INDEX(APOIO_REDES!$A:$W,MATCH($C96&amp;$I96&amp;$H96&amp;$N96&amp;$O96,APOIO_REDES!$W:$W,0),MATCH(AE$5,APOIO_REDES!$5:$5,0)),0)</f>
        <v>1.2</v>
      </c>
      <c r="AF96" s="153" t="n">
        <f aca="false">IFERROR(INDEX(APOIO_REDES!$A:$W,MATCH($C96&amp;$I96&amp;$H96&amp;$N96&amp;$O96,APOIO_REDES!$W:$W,0),MATCH(AF$5,APOIO_REDES!$5:$5,0)),0)</f>
        <v>1.525</v>
      </c>
      <c r="AG96" s="153" t="n">
        <f aca="false">IFERROR(INDEX(APOIO_REDES!$A:$W,MATCH($C96&amp;$I96&amp;$H96&amp;$N96&amp;$O96,APOIO_REDES!$W:$W,0),MATCH(AG$5,APOIO_REDES!$5:$5,0)),0)</f>
        <v>0.8</v>
      </c>
      <c r="AH96" s="153" t="n">
        <f aca="false">IFERROR(INDEX(APOIO_REDES!$A:$W,MATCH($C96&amp;$I96&amp;$H96&amp;$N96&amp;$O96,APOIO_REDES!$W:$W,0),MATCH(AH$5,APOIO_REDES!$5:$5,0)),0)</f>
        <v>0.1</v>
      </c>
      <c r="AI96" s="153" t="n">
        <f aca="false">IFERROR(IF($H96&lt;&gt;"",(((($H96/1000)/2)^2)*PI()*$M96),0),0)</f>
        <v>0.206358458694158</v>
      </c>
      <c r="AJ96" s="153" t="n">
        <f aca="false">IFERROR(IF(AND($H96&lt;&gt;"",$I96="FoFo",OR($N96="MND",$N96="VCA"),$Q96="LINEAR"),0,IF(AND($H96&lt;&gt;"",$I96="PEAD",$N96="VCA",$Q96="LINEAR"),($H96/1000)+0.3,IF(AND($H96&lt;&gt;"",$I96="PEAD",$N96="MND",$Q96="EMBOQUE"),0,IF(AND($H96&lt;&gt;"",$I96="PVC",$N96="VCA",$Q96="LINEAR"),($H96/1000)+0.2,IF(AND($H96&lt;&gt;"",$I96="PVC",$N96="MND",$Q96="EMBOQUE"),0,IF(AND($H96&lt;&gt;"",$I96="PEAD",$N96="VCA",$Q96="PREDIAL"),0,0)))))),0)</f>
        <v>0.525</v>
      </c>
      <c r="AK96" s="153" t="n">
        <f aca="false">IF(AA96&lt;&gt;"",AA96,0)</f>
        <v>2.6</v>
      </c>
      <c r="AL96" s="153" t="n">
        <f aca="false">IF(AND($N96="MND",$Q96="EMBOQUE"),$M96,IF(AND($N96="VCA",$Q96="LINEAR"),$M96,IF(AND($N96="VCA",$Q96="PREDIAL"),0,0)))</f>
        <v>5.19</v>
      </c>
      <c r="AM96" s="153" t="n">
        <f aca="false">IF(AND($N96="MND",$Q96="EMBOQUE"),$M96,IF(AND($N96="VCA",$Q96="LINEAR"),$M96,IF(AND($N96="VCA",$Q96="PREDIAL"),0,0)))</f>
        <v>5.19</v>
      </c>
      <c r="AN96" s="153" t="n">
        <f aca="false">ROUND(IF(AND($N96="VCA",$M96&lt;&gt;"",$Q96="LINEAR"),$M96/100,IF(AND($N96="MND",$M96&gt;100,$Q96="EMBOQUE"),$M96/100,0)),0)</f>
        <v>0</v>
      </c>
      <c r="AO96" s="153" t="n">
        <f aca="false">IF(AND($N96="MND",$Q96="EMBOQUE"),$AN96*2*2,IF(AND($N96="VCA",$Q96="LINEAR"),$M96*2,IF(AND($N96="VCA",$Q96="PREDIAL"),0,0)))</f>
        <v>10.38</v>
      </c>
      <c r="AP96" s="153" t="n">
        <f aca="false">IFERROR($M96*$AF96*$AG96,0)</f>
        <v>6.3318</v>
      </c>
      <c r="AQ96" s="153" t="n">
        <f aca="false">IFERROR(IF(AND($N96="VCA",$AH96&gt;0),$M96*$AG96*$AH96,0),0)</f>
        <v>0.4152</v>
      </c>
      <c r="AR96" s="153" t="n">
        <f aca="false">IFERROR(IF(AND($N96="VCA",$AJ96&gt;0),($M96*$AG96*$AJ96)-$AI96,0),0)</f>
        <v>1.97344154130584</v>
      </c>
      <c r="AS96" s="153" t="n">
        <f aca="false">IFERROR(IF(AND($N96="VCA",$AP96&gt;0),$AP96-$AI96-$AQ96-$AR96,0),0)</f>
        <v>3.7368</v>
      </c>
      <c r="AT96" s="153" t="n">
        <f aca="false">IFERROR(IF($N96="VCA",INDEX(APOIO_REDES!$A:$W,MATCH($C96&amp;$I96&amp;$H96&amp;$N96&amp;$O96,APOIO_REDES!$W:$W,0),MATCH(AT$5,APOIO_REDES!$5:$5,0)),0)*$AP96,0)</f>
        <v>0.0688918581171359</v>
      </c>
      <c r="AU96" s="153" t="n">
        <f aca="false">IFERROR(IF($N96="VCA",INDEX(APOIO_REDES!$A:$W,MATCH($C96&amp;$I96&amp;$H96&amp;$N96&amp;$O96,APOIO_REDES!$W:$W,0),MATCH(AU$5,APOIO_REDES!$5:$5,0)),0)*$AP96,0)</f>
        <v>0.0550151720642017</v>
      </c>
      <c r="AV96" s="153" t="n">
        <f aca="false">IFERROR(IF($N96="VCA",INDEX(APOIO_REDES!$A:$W,MATCH($C96&amp;$I96&amp;$H96&amp;$N96&amp;$O96,APOIO_REDES!$W:$W,0),MATCH(AV$5,APOIO_REDES!$5:$5,0)),0)*$AP96,0)</f>
        <v>0.00761366792765139</v>
      </c>
      <c r="AW96" s="153" t="n">
        <f aca="false">IFERROR(IF($N96="VCA",INDEX(APOIO_REDES!$A:$W,MATCH($C96&amp;$I96&amp;$H96&amp;$N96&amp;$O96,APOIO_REDES!$W:$W,0),MATCH(AW$5,APOIO_REDES!$5:$5,0)),0)*$AP96,0)</f>
        <v>4.34619658118047</v>
      </c>
      <c r="AX96" s="153" t="n">
        <f aca="false">IFERROR(IF($N96="VCA",INDEX(APOIO_REDES!$A:$W,MATCH($C96&amp;$I96&amp;$H96&amp;$N96&amp;$O96,APOIO_REDES!$W:$W,0),MATCH(AX$5,APOIO_REDES!$5:$5,0)),0)*$AP96,0)</f>
        <v>0.601501226460068</v>
      </c>
      <c r="AY96" s="153" t="n">
        <f aca="false">IFERROR(IF($N96="VCA",INDEX(APOIO_REDES!$A:$W,MATCH($C96&amp;$I96&amp;$H96&amp;$N96&amp;$O96,APOIO_REDES!$W:$W,0),MATCH(AY$5,APOIO_REDES!$5:$5,0)),0)*$AP96,0)</f>
        <v>1.10030277065355</v>
      </c>
      <c r="AZ96" s="153" t="n">
        <f aca="false">IFERROR(IF($N96="VCA",INDEX(APOIO_REDES!$A:$W,MATCH($C96&amp;$I96&amp;$H96&amp;$N96&amp;$O96,APOIO_REDES!$W:$W,0),MATCH(AZ$5,APOIO_REDES!$5:$5,0)),0)*$AP96,0)</f>
        <v>0.15227872359693</v>
      </c>
      <c r="BA96" s="153" t="n">
        <f aca="false">IFERROR(IF(AND($N96="VCA",$Q96="LINEAR"),INDEX(APOIO_REDES!$A:$W,MATCH($C96&amp;$I96&amp;$H96&amp;$N96&amp;$O96,APOIO_REDES!$W:$W,0),MATCH(BA$5,APOIO_REDES!$5:$5,0)),IF(AND($N96="MND",$Q96="EMBOQUE"),INDEX(APOIO_REDES!$A:$W,MATCH($C96&amp;$I96&amp;$H96&amp;$N96&amp;$O96,APOIO_REDES!$W:$W,0),MATCH(BA$5,APOIO_REDES!$5:$5,0)),0))*$M96/10,0)</f>
        <v>0.41830090863906</v>
      </c>
      <c r="BB96" s="153" t="n">
        <f aca="false">IFERROR(IF($N96="VCA",INDEX(APOIO_REDES!$A:$W,MATCH($C96&amp;$I96&amp;$H96&amp;$N96&amp;$O96,APOIO_REDES!$W:$W,0),MATCH(BB$5,APOIO_REDES!$5:$5,0)),0)*($AI96+$AQ96+$AR96),0)</f>
        <v>2.56676563191921</v>
      </c>
      <c r="BC96" s="153" t="n">
        <f aca="false">IFERROR(IF($N96="VCA",INDEX(APOIO_REDES!$A:$W,MATCH($C96&amp;$I96&amp;$H96&amp;$N96&amp;$O96,APOIO_REDES!$W:$W,0),MATCH(BC$5,APOIO_REDES!$5:$5,0)),0)*($AI96+$AQ96+$AR96),0)</f>
        <v>0.0282343680807934</v>
      </c>
      <c r="BD96" s="153" t="n">
        <f aca="false">IF(AND($N96="VCA",$AF96&gt;=1.25,$AF96&lt;1.5),$M96*$AF96*2,0)</f>
        <v>0</v>
      </c>
      <c r="BE96" s="153" t="n">
        <f aca="false">IF(AND($N96="VCA",$AF96&gt;=1.5,$AF96&lt;3),$M96*$AF96*2,0)</f>
        <v>15.8295</v>
      </c>
      <c r="BF96" s="153" t="n">
        <f aca="false">IF(AND($N96="VCA",$AF96&gt;=3),$M96*$AF96*2,0)</f>
        <v>0</v>
      </c>
      <c r="BG96" s="153" t="n">
        <f aca="false">($BB96+$BC96)*$AK96</f>
        <v>6.747</v>
      </c>
      <c r="BH96" s="153" t="n">
        <f aca="false">IF(AND($M96&lt;&gt;"",$N96="VCA",$Q96="LINEAR"),($M96*2)/100,IF(AND($M96&lt;&gt;"",$N96="MND",$Q96="EMBOQUE"),($AN96*2)/100,0))</f>
        <v>0.1038</v>
      </c>
      <c r="BI96" s="153" t="n">
        <f aca="false">IF(AND($M96&lt;&gt;"",$N96="VCA",$Q96="LINEAR"),$M96,IF(AND($M96&lt;&gt;"",$N96="MND",$Q96="EMBOQUE"),$AN96*2,0))</f>
        <v>5.19</v>
      </c>
      <c r="BJ96" s="153" t="n">
        <f aca="false">IF(AND($M96&lt;&gt;"",$N96="VCA",$Q96="LINEAR"),($M96*6.8)/100,IF(AND($M96&lt;&gt;"",$N96="MND",$Q96="EMBOQUE"),($AN96*2*6.8)/100,0))</f>
        <v>0.35292</v>
      </c>
      <c r="BK96" s="153" t="n">
        <f aca="false">IF(AND($M96&lt;&gt;"",$N96="VCA",$Q96="LINEAR"),($M96*2.5)/50,IF(AND($M96&lt;&gt;"",$N96="MND",$Q96="EMBOQUE"),($AN96*2*2.5)/50,0))</f>
        <v>0.2595</v>
      </c>
      <c r="BL96" s="157" t="str">
        <f aca="false">K96&amp;J96</f>
        <v>Zona01REDES</v>
      </c>
      <c r="BM96" s="152" t="s">
        <v>1559</v>
      </c>
      <c r="BN96" s="152" t="s">
        <v>1560</v>
      </c>
      <c r="BO96" s="152" t="s">
        <v>1748</v>
      </c>
      <c r="BP96" s="152" t="s">
        <v>1879</v>
      </c>
      <c r="BQ96" s="152" t="s">
        <v>1894</v>
      </c>
      <c r="BR96" s="152" t="s">
        <v>1895</v>
      </c>
      <c r="BS96" s="152" t="n">
        <v>203452.322</v>
      </c>
      <c r="BT96" s="152" t="n">
        <v>8238494.139</v>
      </c>
      <c r="BU96" s="152" t="n">
        <v>203450.173</v>
      </c>
      <c r="BV96" s="152" t="n">
        <v>8238489.415</v>
      </c>
      <c r="BW96" s="152" t="n">
        <v>-15.9150772</v>
      </c>
      <c r="BX96" s="152" t="n">
        <v>-47.7696118</v>
      </c>
      <c r="BY96" s="152" t="s">
        <v>1879</v>
      </c>
    </row>
    <row r="97" customFormat="false" ht="13.8" hidden="false" customHeight="false" outlineLevel="0" collapsed="false">
      <c r="A97" s="149" t="n">
        <f aca="false">IF(C97&lt;&gt;"",ROW(A92),"")</f>
        <v>92</v>
      </c>
      <c r="B97" s="150" t="str">
        <f aca="false">HYPERLINK("https://www.google.com/maps/dir/-15.917302,-47.760003/-15.9151133,-47.7695872/data=!4m3!4m2!3e0!5i0")</f>
        <v>https://www.google.com/maps/dir/-15.917302,-47.760003/-15.9151133,-47.7695872/data=!4m3!4m2!3e0!5i0</v>
      </c>
      <c r="C97" s="151" t="s">
        <v>117</v>
      </c>
      <c r="D97" s="152" t="s">
        <v>112</v>
      </c>
      <c r="E97" s="152" t="s">
        <v>113</v>
      </c>
      <c r="F97" s="152" t="s">
        <v>117</v>
      </c>
      <c r="G97" s="152" t="s">
        <v>114</v>
      </c>
      <c r="H97" s="152" t="n">
        <v>225</v>
      </c>
      <c r="I97" s="152" t="s">
        <v>115</v>
      </c>
      <c r="J97" s="152" t="s">
        <v>6</v>
      </c>
      <c r="K97" s="152" t="s">
        <v>1547</v>
      </c>
      <c r="L97" s="152" t="s">
        <v>120</v>
      </c>
      <c r="M97" s="153" t="n">
        <f aca="false">4.09</f>
        <v>4.09</v>
      </c>
      <c r="N97" s="152" t="s">
        <v>1548</v>
      </c>
      <c r="O97" s="152" t="s">
        <v>1549</v>
      </c>
      <c r="P97" s="152" t="s">
        <v>1550</v>
      </c>
      <c r="Q97" s="152" t="s">
        <v>1551</v>
      </c>
      <c r="R97" s="154" t="s">
        <v>1896</v>
      </c>
      <c r="S97" s="154" t="s">
        <v>1593</v>
      </c>
      <c r="T97" s="155" t="s">
        <v>1746</v>
      </c>
      <c r="U97" s="152" t="str">
        <f aca="false">RIGHT(T97,7)</f>
        <v>003/037</v>
      </c>
      <c r="V97" s="152" t="s">
        <v>1555</v>
      </c>
      <c r="W97" s="156" t="n">
        <v>45882</v>
      </c>
      <c r="X97" s="152" t="s">
        <v>1556</v>
      </c>
      <c r="Y97" s="152" t="s">
        <v>1772</v>
      </c>
      <c r="Z97" s="152" t="s">
        <v>1557</v>
      </c>
      <c r="AA97" s="153" t="n">
        <v>2.1</v>
      </c>
      <c r="AB97" s="151" t="s">
        <v>1897</v>
      </c>
      <c r="AC97" s="151" t="s">
        <v>508</v>
      </c>
      <c r="AD97" s="151" t="str">
        <f aca="false">CONCATENATE($C97,$I97,$H97,$N97,$J97,$K97)</f>
        <v>TUBO PEADPEAD225VCAREDESZona01</v>
      </c>
      <c r="AE97" s="153" t="n">
        <f aca="false">IFERROR(INDEX(APOIO_REDES!$A:$W,MATCH($C97&amp;$I97&amp;$H97&amp;$N97&amp;$O97,APOIO_REDES!$W:$W,0),MATCH(AE$5,APOIO_REDES!$5:$5,0)),0)</f>
        <v>1.2</v>
      </c>
      <c r="AF97" s="153" t="n">
        <f aca="false">IFERROR(INDEX(APOIO_REDES!$A:$W,MATCH($C97&amp;$I97&amp;$H97&amp;$N97&amp;$O97,APOIO_REDES!$W:$W,0),MATCH(AF$5,APOIO_REDES!$5:$5,0)),0)</f>
        <v>1.525</v>
      </c>
      <c r="AG97" s="153" t="n">
        <f aca="false">IFERROR(INDEX(APOIO_REDES!$A:$W,MATCH($C97&amp;$I97&amp;$H97&amp;$N97&amp;$O97,APOIO_REDES!$W:$W,0),MATCH(AG$5,APOIO_REDES!$5:$5,0)),0)</f>
        <v>0.8</v>
      </c>
      <c r="AH97" s="153" t="n">
        <f aca="false">IFERROR(INDEX(APOIO_REDES!$A:$W,MATCH($C97&amp;$I97&amp;$H97&amp;$N97&amp;$O97,APOIO_REDES!$W:$W,0),MATCH(AH$5,APOIO_REDES!$5:$5,0)),0)</f>
        <v>0.1</v>
      </c>
      <c r="AI97" s="153" t="n">
        <f aca="false">IFERROR(IF($H97&lt;&gt;"",(((($H97/1000)/2)^2)*PI()*$M97),0),0)</f>
        <v>0.162621598469963</v>
      </c>
      <c r="AJ97" s="153" t="n">
        <f aca="false">IFERROR(IF(AND($H97&lt;&gt;"",$I97="FoFo",OR($N97="MND",$N97="VCA"),$Q97="LINEAR"),0,IF(AND($H97&lt;&gt;"",$I97="PEAD",$N97="VCA",$Q97="LINEAR"),($H97/1000)+0.3,IF(AND($H97&lt;&gt;"",$I97="PEAD",$N97="MND",$Q97="EMBOQUE"),0,IF(AND($H97&lt;&gt;"",$I97="PVC",$N97="VCA",$Q97="LINEAR"),($H97/1000)+0.2,IF(AND($H97&lt;&gt;"",$I97="PVC",$N97="MND",$Q97="EMBOQUE"),0,IF(AND($H97&lt;&gt;"",$I97="PEAD",$N97="VCA",$Q97="PREDIAL"),0,0)))))),0)</f>
        <v>0.525</v>
      </c>
      <c r="AK97" s="153" t="n">
        <f aca="false">IF(AA97&lt;&gt;"",AA97,0)</f>
        <v>2.1</v>
      </c>
      <c r="AL97" s="153" t="n">
        <f aca="false">IF(AND($N97="MND",$Q97="EMBOQUE"),$M97,IF(AND($N97="VCA",$Q97="LINEAR"),$M97,IF(AND($N97="VCA",$Q97="PREDIAL"),0,0)))</f>
        <v>4.09</v>
      </c>
      <c r="AM97" s="153" t="n">
        <f aca="false">IF(AND($N97="MND",$Q97="EMBOQUE"),$M97,IF(AND($N97="VCA",$Q97="LINEAR"),$M97,IF(AND($N97="VCA",$Q97="PREDIAL"),0,0)))</f>
        <v>4.09</v>
      </c>
      <c r="AN97" s="153" t="n">
        <f aca="false">ROUND(IF(AND($N97="VCA",$M97&lt;&gt;"",$Q97="LINEAR"),$M97/100,IF(AND($N97="MND",$M97&gt;100,$Q97="EMBOQUE"),$M97/100,0)),0)</f>
        <v>0</v>
      </c>
      <c r="AO97" s="153" t="n">
        <f aca="false">IF(AND($N97="MND",$Q97="EMBOQUE"),$AN97*2*2,IF(AND($N97="VCA",$Q97="LINEAR"),$M97*2,IF(AND($N97="VCA",$Q97="PREDIAL"),0,0)))</f>
        <v>8.18</v>
      </c>
      <c r="AP97" s="153" t="n">
        <f aca="false">IFERROR($M97*$AF97*$AG97,0)</f>
        <v>4.9898</v>
      </c>
      <c r="AQ97" s="153" t="n">
        <f aca="false">IFERROR(IF(AND($N97="VCA",$AH97&gt;0),$M97*$AG97*$AH97,0),0)</f>
        <v>0.3272</v>
      </c>
      <c r="AR97" s="153" t="n">
        <f aca="false">IFERROR(IF(AND($N97="VCA",$AJ97&gt;0),($M97*$AG97*$AJ97)-$AI97,0),0)</f>
        <v>1.55517840153004</v>
      </c>
      <c r="AS97" s="153" t="n">
        <f aca="false">IFERROR(IF(AND($N97="VCA",$AP97&gt;0),$AP97-$AI97-$AQ97-$AR97,0),0)</f>
        <v>2.9448</v>
      </c>
      <c r="AT97" s="153" t="n">
        <f aca="false">IFERROR(IF($N97="VCA",INDEX(APOIO_REDES!$A:$W,MATCH($C97&amp;$I97&amp;$H97&amp;$N97&amp;$O97,APOIO_REDES!$W:$W,0),MATCH(AT$5,APOIO_REDES!$5:$5,0)),0)*$AP97,0)</f>
        <v>0.0542905009054115</v>
      </c>
      <c r="AU97" s="153" t="n">
        <f aca="false">IFERROR(IF($N97="VCA",INDEX(APOIO_REDES!$A:$W,MATCH($C97&amp;$I97&amp;$H97&amp;$N97&amp;$O97,APOIO_REDES!$W:$W,0),MATCH(AU$5,APOIO_REDES!$5:$5,0)),0)*$AP97,0)</f>
        <v>0.0433549236498237</v>
      </c>
      <c r="AV97" s="153" t="n">
        <f aca="false">IFERROR(IF($N97="VCA",INDEX(APOIO_REDES!$A:$W,MATCH($C97&amp;$I97&amp;$H97&amp;$N97&amp;$O97,APOIO_REDES!$W:$W,0),MATCH(AV$5,APOIO_REDES!$5:$5,0)),0)*$AP97,0)</f>
        <v>0.0059999810836405</v>
      </c>
      <c r="AW97" s="153" t="n">
        <f aca="false">IFERROR(IF($N97="VCA",INDEX(APOIO_REDES!$A:$W,MATCH($C97&amp;$I97&amp;$H97&amp;$N97&amp;$O97,APOIO_REDES!$W:$W,0),MATCH(AW$5,APOIO_REDES!$5:$5,0)),0)*$AP97,0)</f>
        <v>3.42503738285706</v>
      </c>
      <c r="AX97" s="153" t="n">
        <f aca="false">IFERROR(IF($N97="VCA",INDEX(APOIO_REDES!$A:$W,MATCH($C97&amp;$I97&amp;$H97&amp;$N97&amp;$O97,APOIO_REDES!$W:$W,0),MATCH(AX$5,APOIO_REDES!$5:$5,0)),0)*$AP97,0)</f>
        <v>0.474015417383753</v>
      </c>
      <c r="AY97" s="153" t="n">
        <f aca="false">IFERROR(IF($N97="VCA",INDEX(APOIO_REDES!$A:$W,MATCH($C97&amp;$I97&amp;$H97&amp;$N97&amp;$O97,APOIO_REDES!$W:$W,0),MATCH(AY$5,APOIO_REDES!$5:$5,0)),0)*$AP97,0)</f>
        <v>0.867097944503468</v>
      </c>
      <c r="AZ97" s="153" t="n">
        <f aca="false">IFERROR(IF($N97="VCA",INDEX(APOIO_REDES!$A:$W,MATCH($C97&amp;$I97&amp;$H97&amp;$N97&amp;$O97,APOIO_REDES!$W:$W,0),MATCH(AZ$5,APOIO_REDES!$5:$5,0)),0)*$AP97,0)</f>
        <v>0.120003849616848</v>
      </c>
      <c r="BA97" s="153" t="n">
        <f aca="false">IFERROR(IF(AND($N97="VCA",$Q97="LINEAR"),INDEX(APOIO_REDES!$A:$W,MATCH($C97&amp;$I97&amp;$H97&amp;$N97&amp;$O97,APOIO_REDES!$W:$W,0),MATCH(BA$5,APOIO_REDES!$5:$5,0)),IF(AND($N97="MND",$Q97="EMBOQUE"),INDEX(APOIO_REDES!$A:$W,MATCH($C97&amp;$I97&amp;$H97&amp;$N97&amp;$O97,APOIO_REDES!$W:$W,0),MATCH(BA$5,APOIO_REDES!$5:$5,0)),0))*$M97/10,0)</f>
        <v>0.329643683301301</v>
      </c>
      <c r="BB97" s="153" t="n">
        <f aca="false">IFERROR(IF($N97="VCA",INDEX(APOIO_REDES!$A:$W,MATCH($C97&amp;$I97&amp;$H97&amp;$N97&amp;$O97,APOIO_REDES!$W:$W,0),MATCH(BB$5,APOIO_REDES!$5:$5,0)),0)*($AI97+$AQ97+$AR97),0)</f>
        <v>2.0227497947109</v>
      </c>
      <c r="BC97" s="153" t="n">
        <f aca="false">IFERROR(IF($N97="VCA",INDEX(APOIO_REDES!$A:$W,MATCH($C97&amp;$I97&amp;$H97&amp;$N97&amp;$O97,APOIO_REDES!$W:$W,0),MATCH(BC$5,APOIO_REDES!$5:$5,0)),0)*($AI97+$AQ97+$AR97),0)</f>
        <v>0.0222502052891031</v>
      </c>
      <c r="BD97" s="153" t="n">
        <f aca="false">IF(AND($N97="VCA",$AF97&gt;=1.25,$AF97&lt;1.5),$M97*$AF97*2,0)</f>
        <v>0</v>
      </c>
      <c r="BE97" s="153" t="n">
        <f aca="false">IF(AND($N97="VCA",$AF97&gt;=1.5,$AF97&lt;3),$M97*$AF97*2,0)</f>
        <v>12.4745</v>
      </c>
      <c r="BF97" s="153" t="n">
        <f aca="false">IF(AND($N97="VCA",$AF97&gt;=3),$M97*$AF97*2,0)</f>
        <v>0</v>
      </c>
      <c r="BG97" s="153" t="n">
        <f aca="false">($BB97+$BC97)*$AK97</f>
        <v>4.2945</v>
      </c>
      <c r="BH97" s="153" t="n">
        <f aca="false">IF(AND($M97&lt;&gt;"",$N97="VCA",$Q97="LINEAR"),($M97*2)/100,IF(AND($M97&lt;&gt;"",$N97="MND",$Q97="EMBOQUE"),($AN97*2)/100,0))</f>
        <v>0.0818</v>
      </c>
      <c r="BI97" s="153" t="n">
        <f aca="false">IF(AND($M97&lt;&gt;"",$N97="VCA",$Q97="LINEAR"),$M97,IF(AND($M97&lt;&gt;"",$N97="MND",$Q97="EMBOQUE"),$AN97*2,0))</f>
        <v>4.09</v>
      </c>
      <c r="BJ97" s="153" t="n">
        <f aca="false">IF(AND($M97&lt;&gt;"",$N97="VCA",$Q97="LINEAR"),($M97*6.8)/100,IF(AND($M97&lt;&gt;"",$N97="MND",$Q97="EMBOQUE"),($AN97*2*6.8)/100,0))</f>
        <v>0.27812</v>
      </c>
      <c r="BK97" s="153" t="n">
        <f aca="false">IF(AND($M97&lt;&gt;"",$N97="VCA",$Q97="LINEAR"),($M97*2.5)/50,IF(AND($M97&lt;&gt;"",$N97="MND",$Q97="EMBOQUE"),($AN97*2*2.5)/50,0))</f>
        <v>0.2045</v>
      </c>
      <c r="BL97" s="157" t="str">
        <f aca="false">K97&amp;J97</f>
        <v>Zona01REDES</v>
      </c>
      <c r="BM97" s="152" t="s">
        <v>1559</v>
      </c>
      <c r="BN97" s="152" t="s">
        <v>1560</v>
      </c>
      <c r="BO97" s="152" t="s">
        <v>1748</v>
      </c>
      <c r="BP97" s="152" t="s">
        <v>1898</v>
      </c>
      <c r="BQ97" s="152" t="s">
        <v>1894</v>
      </c>
      <c r="BR97" s="152" t="s">
        <v>1899</v>
      </c>
      <c r="BS97" s="152" t="n">
        <v>203453.935</v>
      </c>
      <c r="BT97" s="152" t="n">
        <v>8238487.808</v>
      </c>
      <c r="BU97" s="152" t="n">
        <v>203450.173</v>
      </c>
      <c r="BV97" s="152" t="n">
        <v>8238489.415</v>
      </c>
      <c r="BW97" s="152" t="n">
        <v>-15.9151059</v>
      </c>
      <c r="BX97" s="152" t="n">
        <v>-47.7696047</v>
      </c>
      <c r="BY97" s="152" t="s">
        <v>1898</v>
      </c>
    </row>
    <row r="98" customFormat="false" ht="13.8" hidden="false" customHeight="false" outlineLevel="0" collapsed="false">
      <c r="A98" s="149" t="n">
        <f aca="false">IF(C98&lt;&gt;"",ROW(A93),"")</f>
        <v>93</v>
      </c>
      <c r="B98" s="150" t="str">
        <f aca="false">HYPERLINK("https://www.google.com/maps/dir/-15.917302,-47.760003/-15.9151369,-47.7720574/data=!4m3!4m2!3e0!5i0")</f>
        <v>https://www.google.com/maps/dir/-15.917302,-47.760003/-15.9151369,-47.7720574/data=!4m3!4m2!3e0!5i0</v>
      </c>
      <c r="C98" s="151" t="s">
        <v>117</v>
      </c>
      <c r="D98" s="152" t="s">
        <v>112</v>
      </c>
      <c r="E98" s="152" t="s">
        <v>113</v>
      </c>
      <c r="F98" s="152" t="s">
        <v>117</v>
      </c>
      <c r="G98" s="152" t="s">
        <v>782</v>
      </c>
      <c r="H98" s="152" t="n">
        <v>90</v>
      </c>
      <c r="I98" s="152" t="s">
        <v>115</v>
      </c>
      <c r="J98" s="152" t="s">
        <v>6</v>
      </c>
      <c r="K98" s="152" t="s">
        <v>1547</v>
      </c>
      <c r="L98" s="152" t="s">
        <v>120</v>
      </c>
      <c r="M98" s="153" t="n">
        <f aca="false">12.12</f>
        <v>12.12</v>
      </c>
      <c r="N98" s="152" t="s">
        <v>1548</v>
      </c>
      <c r="O98" s="152" t="s">
        <v>1549</v>
      </c>
      <c r="P98" s="152" t="s">
        <v>1550</v>
      </c>
      <c r="Q98" s="152" t="s">
        <v>1551</v>
      </c>
      <c r="R98" s="154" t="s">
        <v>1900</v>
      </c>
      <c r="S98" s="154" t="s">
        <v>1593</v>
      </c>
      <c r="T98" s="155" t="s">
        <v>1746</v>
      </c>
      <c r="U98" s="152" t="str">
        <f aca="false">RIGHT(T98,7)</f>
        <v>003/037</v>
      </c>
      <c r="V98" s="152" t="s">
        <v>1555</v>
      </c>
      <c r="W98" s="156" t="n">
        <v>45882</v>
      </c>
      <c r="X98" s="152" t="s">
        <v>1594</v>
      </c>
      <c r="Y98" s="152" t="s">
        <v>1839</v>
      </c>
      <c r="Z98" s="152" t="s">
        <v>1557</v>
      </c>
      <c r="AA98" s="153" t="n">
        <v>2.5</v>
      </c>
      <c r="AB98" s="151" t="s">
        <v>1901</v>
      </c>
      <c r="AC98" s="151" t="s">
        <v>526</v>
      </c>
      <c r="AD98" s="151" t="str">
        <f aca="false">CONCATENATE($C98,$I98,$H98,$N98,$J98,$K98)</f>
        <v>TUBO PEADPEAD90VCAREDESZona01</v>
      </c>
      <c r="AE98" s="153" t="n">
        <f aca="false">IFERROR(INDEX(APOIO_REDES!$A:$W,MATCH($C98&amp;$I98&amp;$H98&amp;$N98&amp;$O98,APOIO_REDES!$W:$W,0),MATCH(AE$5,APOIO_REDES!$5:$5,0)),0)</f>
        <v>1.2</v>
      </c>
      <c r="AF98" s="153" t="n">
        <f aca="false">IFERROR(INDEX(APOIO_REDES!$A:$W,MATCH($C98&amp;$I98&amp;$H98&amp;$N98&amp;$O98,APOIO_REDES!$W:$W,0),MATCH(AF$5,APOIO_REDES!$5:$5,0)),0)</f>
        <v>1.39</v>
      </c>
      <c r="AG98" s="153" t="n">
        <f aca="false">IFERROR(INDEX(APOIO_REDES!$A:$W,MATCH($C98&amp;$I98&amp;$H98&amp;$N98&amp;$O98,APOIO_REDES!$W:$W,0),MATCH(AG$5,APOIO_REDES!$5:$5,0)),0)</f>
        <v>0.75</v>
      </c>
      <c r="AH98" s="153" t="n">
        <f aca="false">IFERROR(INDEX(APOIO_REDES!$A:$W,MATCH($C98&amp;$I98&amp;$H98&amp;$N98&amp;$O98,APOIO_REDES!$W:$W,0),MATCH(AH$5,APOIO_REDES!$5:$5,0)),0)</f>
        <v>0.1</v>
      </c>
      <c r="AI98" s="153" t="n">
        <f aca="false">IFERROR(IF($H98&lt;&gt;"",(((($H98/1000)/2)^2)*PI()*$M98),0),0)</f>
        <v>0.0771041084970543</v>
      </c>
      <c r="AJ98" s="153" t="n">
        <f aca="false">IFERROR(IF(AND($H98&lt;&gt;"",$I98="FoFo",OR($N98="MND",$N98="VCA"),$Q98="LINEAR"),0,IF(AND($H98&lt;&gt;"",$I98="PEAD",$N98="VCA",$Q98="LINEAR"),($H98/1000)+0.3,IF(AND($H98&lt;&gt;"",$I98="PEAD",$N98="MND",$Q98="EMBOQUE"),0,IF(AND($H98&lt;&gt;"",$I98="PVC",$N98="VCA",$Q98="LINEAR"),($H98/1000)+0.2,IF(AND($H98&lt;&gt;"",$I98="PVC",$N98="MND",$Q98="EMBOQUE"),0,IF(AND($H98&lt;&gt;"",$I98="PEAD",$N98="VCA",$Q98="PREDIAL"),0,0)))))),0)</f>
        <v>0.39</v>
      </c>
      <c r="AK98" s="153" t="n">
        <f aca="false">IF(AA98&lt;&gt;"",AA98,0)</f>
        <v>2.5</v>
      </c>
      <c r="AL98" s="153" t="n">
        <f aca="false">IF(AND($N98="MND",$Q98="EMBOQUE"),$M98,IF(AND($N98="VCA",$Q98="LINEAR"),$M98,IF(AND($N98="VCA",$Q98="PREDIAL"),0,0)))</f>
        <v>12.12</v>
      </c>
      <c r="AM98" s="153" t="n">
        <f aca="false">IF(AND($N98="MND",$Q98="EMBOQUE"),$M98,IF(AND($N98="VCA",$Q98="LINEAR"),$M98,IF(AND($N98="VCA",$Q98="PREDIAL"),0,0)))</f>
        <v>12.12</v>
      </c>
      <c r="AN98" s="153" t="n">
        <f aca="false">ROUND(IF(AND($N98="VCA",$M98&lt;&gt;"",$Q98="LINEAR"),$M98/100,IF(AND($N98="MND",$M98&gt;100,$Q98="EMBOQUE"),$M98/100,0)),0)</f>
        <v>0</v>
      </c>
      <c r="AO98" s="153" t="n">
        <f aca="false">IF(AND($N98="MND",$Q98="EMBOQUE"),$AN98*2*2,IF(AND($N98="VCA",$Q98="LINEAR"),$M98*2,IF(AND($N98="VCA",$Q98="PREDIAL"),0,0)))</f>
        <v>24.24</v>
      </c>
      <c r="AP98" s="153" t="n">
        <f aca="false">IFERROR($M98*$AF98*$AG98,0)</f>
        <v>12.6351</v>
      </c>
      <c r="AQ98" s="153" t="n">
        <f aca="false">IFERROR(IF(AND($N98="VCA",$AH98&gt;0),$M98*$AG98*$AH98,0),0)</f>
        <v>0.909</v>
      </c>
      <c r="AR98" s="153" t="n">
        <f aca="false">IFERROR(IF(AND($N98="VCA",$AJ98&gt;0),($M98*$AG98*$AJ98)-$AI98,0),0)</f>
        <v>3.46799589150295</v>
      </c>
      <c r="AS98" s="153" t="n">
        <f aca="false">IFERROR(IF(AND($N98="VCA",$AP98&gt;0),$AP98-$AI98-$AQ98-$AR98,0),0)</f>
        <v>8.181</v>
      </c>
      <c r="AT98" s="153" t="n">
        <f aca="false">IFERROR(IF($N98="VCA",INDEX(APOIO_REDES!$A:$W,MATCH($C98&amp;$I98&amp;$H98&amp;$N98&amp;$O98,APOIO_REDES!$W:$W,0),MATCH(AT$5,APOIO_REDES!$5:$5,0)),0)*$AP98,0)</f>
        <v>0.137473627798702</v>
      </c>
      <c r="AU98" s="153" t="n">
        <f aca="false">IFERROR(IF($N98="VCA",INDEX(APOIO_REDES!$A:$W,MATCH($C98&amp;$I98&amp;$H98&amp;$N98&amp;$O98,APOIO_REDES!$W:$W,0),MATCH(AU$5,APOIO_REDES!$5:$5,0)),0)*$AP98,0)</f>
        <v>0.109782715902018</v>
      </c>
      <c r="AV98" s="153" t="n">
        <f aca="false">IFERROR(IF($N98="VCA",INDEX(APOIO_REDES!$A:$W,MATCH($C98&amp;$I98&amp;$H98&amp;$N98&amp;$O98,APOIO_REDES!$W:$W,0),MATCH(AV$5,APOIO_REDES!$5:$5,0)),0)*$AP98,0)</f>
        <v>0.0151930660527288</v>
      </c>
      <c r="AW98" s="153" t="n">
        <f aca="false">IFERROR(IF($N98="VCA",INDEX(APOIO_REDES!$A:$W,MATCH($C98&amp;$I98&amp;$H98&amp;$N98&amp;$O98,APOIO_REDES!$W:$W,0),MATCH(AW$5,APOIO_REDES!$5:$5,0)),0)*$AP98,0)</f>
        <v>8.67283054153216</v>
      </c>
      <c r="AX98" s="153" t="n">
        <f aca="false">IFERROR(IF($N98="VCA",INDEX(APOIO_REDES!$A:$W,MATCH($C98&amp;$I98&amp;$H98&amp;$N98&amp;$O98,APOIO_REDES!$W:$W,0),MATCH(AX$5,APOIO_REDES!$5:$5,0)),0)*$AP98,0)</f>
        <v>1.20029504192261</v>
      </c>
      <c r="AY98" s="153" t="n">
        <f aca="false">IFERROR(IF($N98="VCA",INDEX(APOIO_REDES!$A:$W,MATCH($C98&amp;$I98&amp;$H98&amp;$N98&amp;$O98,APOIO_REDES!$W:$W,0),MATCH(AY$5,APOIO_REDES!$5:$5,0)),0)*$AP98,0)</f>
        <v>2.19565297979794</v>
      </c>
      <c r="AZ98" s="153" t="n">
        <f aca="false">IFERROR(IF($N98="VCA",INDEX(APOIO_REDES!$A:$W,MATCH($C98&amp;$I98&amp;$H98&amp;$N98&amp;$O98,APOIO_REDES!$W:$W,0),MATCH(AZ$5,APOIO_REDES!$5:$5,0)),0)*$AP98,0)</f>
        <v>0.303872026993836</v>
      </c>
      <c r="BA98" s="153" t="n">
        <f aca="false">IFERROR(IF(AND($N98="VCA",$Q98="LINEAR"),INDEX(APOIO_REDES!$A:$W,MATCH($C98&amp;$I98&amp;$H98&amp;$N98&amp;$O98,APOIO_REDES!$W:$W,0),MATCH(BA$5,APOIO_REDES!$5:$5,0)),IF(AND($N98="MND",$Q98="EMBOQUE"),INDEX(APOIO_REDES!$A:$W,MATCH($C98&amp;$I98&amp;$H98&amp;$N98&amp;$O98,APOIO_REDES!$W:$W,0),MATCH(BA$5,APOIO_REDES!$5:$5,0)),0))*$M98/10,0)</f>
        <v>0.976841428266937</v>
      </c>
      <c r="BB98" s="153" t="n">
        <f aca="false">IFERROR(IF($N98="VCA",INDEX(APOIO_REDES!$A:$W,MATCH($C98&amp;$I98&amp;$H98&amp;$N98&amp;$O98,APOIO_REDES!$W:$W,0),MATCH(BB$5,APOIO_REDES!$5:$5,0)),0)*($AI98+$AQ98+$AR98),0)</f>
        <v>4.4056380736537</v>
      </c>
      <c r="BC98" s="153" t="n">
        <f aca="false">IFERROR(IF($N98="VCA",INDEX(APOIO_REDES!$A:$W,MATCH($C98&amp;$I98&amp;$H98&amp;$N98&amp;$O98,APOIO_REDES!$W:$W,0),MATCH(BC$5,APOIO_REDES!$5:$5,0)),0)*($AI98+$AQ98+$AR98),0)</f>
        <v>0.0484619263463052</v>
      </c>
      <c r="BD98" s="153" t="n">
        <f aca="false">IF(AND($N98="VCA",$AF98&gt;=1.25,$AF98&lt;1.5),$M98*$AF98*2,0)</f>
        <v>33.6936</v>
      </c>
      <c r="BE98" s="153" t="n">
        <f aca="false">IF(AND($N98="VCA",$AF98&gt;=1.5,$AF98&lt;3),$M98*$AF98*2,0)</f>
        <v>0</v>
      </c>
      <c r="BF98" s="153" t="n">
        <f aca="false">IF(AND($N98="VCA",$AF98&gt;=3),$M98*$AF98*2,0)</f>
        <v>0</v>
      </c>
      <c r="BG98" s="153" t="n">
        <f aca="false">($BB98+$BC98)*$AK98</f>
        <v>11.13525</v>
      </c>
      <c r="BH98" s="153" t="n">
        <f aca="false">IF(AND($M98&lt;&gt;"",$N98="VCA",$Q98="LINEAR"),($M98*2)/100,IF(AND($M98&lt;&gt;"",$N98="MND",$Q98="EMBOQUE"),($AN98*2)/100,0))</f>
        <v>0.2424</v>
      </c>
      <c r="BI98" s="153" t="n">
        <f aca="false">IF(AND($M98&lt;&gt;"",$N98="VCA",$Q98="LINEAR"),$M98,IF(AND($M98&lt;&gt;"",$N98="MND",$Q98="EMBOQUE"),$AN98*2,0))</f>
        <v>12.12</v>
      </c>
      <c r="BJ98" s="153" t="n">
        <f aca="false">IF(AND($M98&lt;&gt;"",$N98="VCA",$Q98="LINEAR"),($M98*6.8)/100,IF(AND($M98&lt;&gt;"",$N98="MND",$Q98="EMBOQUE"),($AN98*2*6.8)/100,0))</f>
        <v>0.82416</v>
      </c>
      <c r="BK98" s="153" t="n">
        <f aca="false">IF(AND($M98&lt;&gt;"",$N98="VCA",$Q98="LINEAR"),($M98*2.5)/50,IF(AND($M98&lt;&gt;"",$N98="MND",$Q98="EMBOQUE"),($AN98*2*2.5)/50,0))</f>
        <v>0.606</v>
      </c>
      <c r="BL98" s="157" t="str">
        <f aca="false">K98&amp;J98</f>
        <v>Zona01REDES</v>
      </c>
      <c r="BM98" s="152" t="s">
        <v>1559</v>
      </c>
      <c r="BN98" s="152" t="s">
        <v>1560</v>
      </c>
      <c r="BO98" s="152" t="s">
        <v>1748</v>
      </c>
      <c r="BP98" s="152" t="s">
        <v>1902</v>
      </c>
      <c r="BQ98" s="152" t="s">
        <v>1891</v>
      </c>
      <c r="BR98" s="152" t="s">
        <v>1903</v>
      </c>
      <c r="BS98" s="152" t="n">
        <v>203189.303</v>
      </c>
      <c r="BT98" s="152" t="n">
        <v>8238481.691</v>
      </c>
      <c r="BU98" s="152" t="n">
        <v>203196.413</v>
      </c>
      <c r="BV98" s="152" t="n">
        <v>8238491.509</v>
      </c>
      <c r="BW98" s="152" t="n">
        <v>-15.915093</v>
      </c>
      <c r="BX98" s="152" t="n">
        <v>-47.7720236</v>
      </c>
      <c r="BY98" s="152" t="s">
        <v>1902</v>
      </c>
    </row>
    <row r="99" customFormat="false" ht="13.8" hidden="false" customHeight="false" outlineLevel="0" collapsed="false">
      <c r="A99" s="149" t="n">
        <f aca="false">IF(C99&lt;&gt;"",ROW(A94),"")</f>
        <v>94</v>
      </c>
      <c r="B99" s="150" t="str">
        <f aca="false">HYPERLINK("https://www.google.com/maps/dir/-15.917302,-47.760003/-15.9152646,-47.7702327/data=!4m3!4m2!3e0!5i0")</f>
        <v>https://www.google.com/maps/dir/-15.917302,-47.760003/-15.9152646,-47.7702327/data=!4m3!4m2!3e0!5i0</v>
      </c>
      <c r="C99" s="151" t="s">
        <v>117</v>
      </c>
      <c r="D99" s="152" t="s">
        <v>112</v>
      </c>
      <c r="E99" s="152" t="s">
        <v>113</v>
      </c>
      <c r="F99" s="152" t="s">
        <v>117</v>
      </c>
      <c r="G99" s="152" t="s">
        <v>782</v>
      </c>
      <c r="H99" s="152" t="n">
        <v>63</v>
      </c>
      <c r="I99" s="152" t="s">
        <v>115</v>
      </c>
      <c r="J99" s="152" t="s">
        <v>6</v>
      </c>
      <c r="K99" s="152" t="s">
        <v>1547</v>
      </c>
      <c r="L99" s="152" t="s">
        <v>120</v>
      </c>
      <c r="M99" s="153" t="n">
        <f aca="false">26.54</f>
        <v>26.54</v>
      </c>
      <c r="N99" s="152" t="s">
        <v>1548</v>
      </c>
      <c r="O99" s="152" t="s">
        <v>1549</v>
      </c>
      <c r="P99" s="152" t="s">
        <v>1550</v>
      </c>
      <c r="Q99" s="152" t="s">
        <v>1551</v>
      </c>
      <c r="R99" s="154" t="s">
        <v>1904</v>
      </c>
      <c r="S99" s="154" t="s">
        <v>1553</v>
      </c>
      <c r="T99" s="155" t="s">
        <v>1746</v>
      </c>
      <c r="U99" s="152" t="str">
        <f aca="false">RIGHT(T99,7)</f>
        <v>003/037</v>
      </c>
      <c r="V99" s="152" t="s">
        <v>1555</v>
      </c>
      <c r="W99" s="156" t="n">
        <v>45882</v>
      </c>
      <c r="X99" s="152" t="s">
        <v>1594</v>
      </c>
      <c r="Y99" s="152"/>
      <c r="Z99" s="152" t="s">
        <v>1557</v>
      </c>
      <c r="AA99" s="153" t="n">
        <v>2.5</v>
      </c>
      <c r="AB99" s="151" t="s">
        <v>1905</v>
      </c>
      <c r="AC99" s="151" t="s">
        <v>186</v>
      </c>
      <c r="AD99" s="151" t="str">
        <f aca="false">CONCATENATE($C99,$I99,$H99,$N99,$J99,$K99)</f>
        <v>TUBO PEADPEAD63VCAREDESZona01</v>
      </c>
      <c r="AE99" s="153" t="n">
        <f aca="false">IFERROR(INDEX(APOIO_REDES!$A:$W,MATCH($C99&amp;$I99&amp;$H99&amp;$N99&amp;$O99,APOIO_REDES!$W:$W,0),MATCH(AE$5,APOIO_REDES!$5:$5,0)),0)</f>
        <v>1.2</v>
      </c>
      <c r="AF99" s="153" t="n">
        <f aca="false">IFERROR(INDEX(APOIO_REDES!$A:$W,MATCH($C99&amp;$I99&amp;$H99&amp;$N99&amp;$O99,APOIO_REDES!$W:$W,0),MATCH(AF$5,APOIO_REDES!$5:$5,0)),0)</f>
        <v>1.363</v>
      </c>
      <c r="AG99" s="153" t="n">
        <f aca="false">IFERROR(INDEX(APOIO_REDES!$A:$W,MATCH($C99&amp;$I99&amp;$H99&amp;$N99&amp;$O99,APOIO_REDES!$W:$W,0),MATCH(AG$5,APOIO_REDES!$5:$5,0)),0)</f>
        <v>0.65</v>
      </c>
      <c r="AH99" s="153" t="n">
        <f aca="false">IFERROR(INDEX(APOIO_REDES!$A:$W,MATCH($C99&amp;$I99&amp;$H99&amp;$N99&amp;$O99,APOIO_REDES!$W:$W,0),MATCH(AH$5,APOIO_REDES!$5:$5,0)),0)</f>
        <v>0.1</v>
      </c>
      <c r="AI99" s="153" t="n">
        <f aca="false">IFERROR(IF($H99&lt;&gt;"",(((($H99/1000)/2)^2)*PI()*$M99),0),0)</f>
        <v>0.0827316905413195</v>
      </c>
      <c r="AJ99" s="153" t="n">
        <f aca="false">IFERROR(IF(AND($H99&lt;&gt;"",$I99="FoFo",OR($N99="MND",$N99="VCA"),$Q99="LINEAR"),0,IF(AND($H99&lt;&gt;"",$I99="PEAD",$N99="VCA",$Q99="LINEAR"),($H99/1000)+0.3,IF(AND($H99&lt;&gt;"",$I99="PEAD",$N99="MND",$Q99="EMBOQUE"),0,IF(AND($H99&lt;&gt;"",$I99="PVC",$N99="VCA",$Q99="LINEAR"),($H99/1000)+0.2,IF(AND($H99&lt;&gt;"",$I99="PVC",$N99="MND",$Q99="EMBOQUE"),0,IF(AND($H99&lt;&gt;"",$I99="PEAD",$N99="VCA",$Q99="PREDIAL"),0,0)))))),0)</f>
        <v>0.363</v>
      </c>
      <c r="AK99" s="153" t="n">
        <f aca="false">IF(AA99&lt;&gt;"",AA99,0)</f>
        <v>2.5</v>
      </c>
      <c r="AL99" s="153" t="n">
        <f aca="false">IF(AND($N99="MND",$Q99="EMBOQUE"),$M99,IF(AND($N99="VCA",$Q99="LINEAR"),$M99,IF(AND($N99="VCA",$Q99="PREDIAL"),0,0)))</f>
        <v>26.54</v>
      </c>
      <c r="AM99" s="153" t="n">
        <f aca="false">IF(AND($N99="MND",$Q99="EMBOQUE"),$M99,IF(AND($N99="VCA",$Q99="LINEAR"),$M99,IF(AND($N99="VCA",$Q99="PREDIAL"),0,0)))</f>
        <v>26.54</v>
      </c>
      <c r="AN99" s="153" t="n">
        <f aca="false">ROUND(IF(AND($N99="VCA",$M99&lt;&gt;"",$Q99="LINEAR"),$M99/100,IF(AND($N99="MND",$M99&gt;100,$Q99="EMBOQUE"),$M99/100,0)),0)</f>
        <v>0</v>
      </c>
      <c r="AO99" s="153" t="n">
        <f aca="false">IF(AND($N99="MND",$Q99="EMBOQUE"),$AN99*2*2,IF(AND($N99="VCA",$Q99="LINEAR"),$M99*2,IF(AND($N99="VCA",$Q99="PREDIAL"),0,0)))</f>
        <v>53.08</v>
      </c>
      <c r="AP99" s="153" t="n">
        <f aca="false">IFERROR($M99*$AF99*$AG99,0)</f>
        <v>23.513113</v>
      </c>
      <c r="AQ99" s="153" t="n">
        <f aca="false">IFERROR(IF(AND($N99="VCA",$AH99&gt;0),$M99*$AG99*$AH99,0),0)</f>
        <v>1.7251</v>
      </c>
      <c r="AR99" s="153" t="n">
        <f aca="false">IFERROR(IF(AND($N99="VCA",$AJ99&gt;0),($M99*$AG99*$AJ99)-$AI99,0),0)</f>
        <v>6.17938130945868</v>
      </c>
      <c r="AS99" s="153" t="n">
        <f aca="false">IFERROR(IF(AND($N99="VCA",$AP99&gt;0),$AP99-$AI99-$AQ99-$AR99,0),0)</f>
        <v>15.5259</v>
      </c>
      <c r="AT99" s="153" t="n">
        <f aca="false">IFERROR(IF($N99="VCA",INDEX(APOIO_REDES!$A:$W,MATCH($C99&amp;$I99&amp;$H99&amp;$N99&amp;$O99,APOIO_REDES!$W:$W,0),MATCH(AT$5,APOIO_REDES!$5:$5,0)),0)*$AP99,0)</f>
        <v>0.2558296289662</v>
      </c>
      <c r="AU99" s="153" t="n">
        <f aca="false">IFERROR(IF($N99="VCA",INDEX(APOIO_REDES!$A:$W,MATCH($C99&amp;$I99&amp;$H99&amp;$N99&amp;$O99,APOIO_REDES!$W:$W,0),MATCH(AU$5,APOIO_REDES!$5:$5,0)),0)*$AP99,0)</f>
        <v>0.204298612947348</v>
      </c>
      <c r="AV99" s="153" t="n">
        <f aca="false">IFERROR(IF($N99="VCA",INDEX(APOIO_REDES!$A:$W,MATCH($C99&amp;$I99&amp;$H99&amp;$N99&amp;$O99,APOIO_REDES!$W:$W,0),MATCH(AV$5,APOIO_REDES!$5:$5,0)),0)*$AP99,0)</f>
        <v>0.0282733242249191</v>
      </c>
      <c r="AW99" s="153" t="n">
        <f aca="false">IFERROR(IF($N99="VCA",INDEX(APOIO_REDES!$A:$W,MATCH($C99&amp;$I99&amp;$H99&amp;$N99&amp;$O99,APOIO_REDES!$W:$W,0),MATCH(AW$5,APOIO_REDES!$5:$5,0)),0)*$AP99,0)</f>
        <v>16.1395829516899</v>
      </c>
      <c r="AX99" s="153" t="n">
        <f aca="false">IFERROR(IF($N99="VCA",INDEX(APOIO_REDES!$A:$W,MATCH($C99&amp;$I99&amp;$H99&amp;$N99&amp;$O99,APOIO_REDES!$W:$W,0),MATCH(AX$5,APOIO_REDES!$5:$5,0)),0)*$AP99,0)</f>
        <v>2.2336723060416</v>
      </c>
      <c r="AY99" s="153" t="n">
        <f aca="false">IFERROR(IF($N99="VCA",INDEX(APOIO_REDES!$A:$W,MATCH($C99&amp;$I99&amp;$H99&amp;$N99&amp;$O99,APOIO_REDES!$W:$W,0),MATCH(AY$5,APOIO_REDES!$5:$5,0)),0)*$AP99,0)</f>
        <v>4.08596976856343</v>
      </c>
      <c r="AZ99" s="153" t="n">
        <f aca="false">IFERROR(IF($N99="VCA",INDEX(APOIO_REDES!$A:$W,MATCH($C99&amp;$I99&amp;$H99&amp;$N99&amp;$O99,APOIO_REDES!$W:$W,0),MATCH(AZ$5,APOIO_REDES!$5:$5,0)),0)*$AP99,0)</f>
        <v>0.565486407566629</v>
      </c>
      <c r="BA99" s="153" t="n">
        <f aca="false">IFERROR(IF(AND($N99="VCA",$Q99="LINEAR"),INDEX(APOIO_REDES!$A:$W,MATCH($C99&amp;$I99&amp;$H99&amp;$N99&amp;$O99,APOIO_REDES!$W:$W,0),MATCH(BA$5,APOIO_REDES!$5:$5,0)),IF(AND($N99="MND",$Q99="EMBOQUE"),INDEX(APOIO_REDES!$A:$W,MATCH($C99&amp;$I99&amp;$H99&amp;$N99&amp;$O99,APOIO_REDES!$W:$W,0),MATCH(BA$5,APOIO_REDES!$5:$5,0)),0))*$M99/10,0)</f>
        <v>2.13905705496737</v>
      </c>
      <c r="BB99" s="153" t="n">
        <f aca="false">IFERROR(IF($N99="VCA",INDEX(APOIO_REDES!$A:$W,MATCH($C99&amp;$I99&amp;$H99&amp;$N99&amp;$O99,APOIO_REDES!$W:$W,0),MATCH(BB$5,APOIO_REDES!$5:$5,0)),0)*($AI99+$AQ99+$AR99),0)</f>
        <v>7.90030975846563</v>
      </c>
      <c r="BC99" s="153" t="n">
        <f aca="false">IFERROR(IF($N99="VCA",INDEX(APOIO_REDES!$A:$W,MATCH($C99&amp;$I99&amp;$H99&amp;$N99&amp;$O99,APOIO_REDES!$W:$W,0),MATCH(BC$5,APOIO_REDES!$5:$5,0)),0)*($AI99+$AQ99+$AR99),0)</f>
        <v>0.0869032415343731</v>
      </c>
      <c r="BD99" s="153" t="n">
        <f aca="false">IF(AND($N99="VCA",$AF99&gt;=1.25,$AF99&lt;1.5),$M99*$AF99*2,0)</f>
        <v>72.34804</v>
      </c>
      <c r="BE99" s="153" t="n">
        <f aca="false">IF(AND($N99="VCA",$AF99&gt;=1.5,$AF99&lt;3),$M99*$AF99*2,0)</f>
        <v>0</v>
      </c>
      <c r="BF99" s="153" t="n">
        <f aca="false">IF(AND($N99="VCA",$AF99&gt;=3),$M99*$AF99*2,0)</f>
        <v>0</v>
      </c>
      <c r="BG99" s="153" t="n">
        <f aca="false">($BB99+$BC99)*$AK99</f>
        <v>19.9680325</v>
      </c>
      <c r="BH99" s="153" t="n">
        <f aca="false">IF(AND($M99&lt;&gt;"",$N99="VCA",$Q99="LINEAR"),($M99*2)/100,IF(AND($M99&lt;&gt;"",$N99="MND",$Q99="EMBOQUE"),($AN99*2)/100,0))</f>
        <v>0.5308</v>
      </c>
      <c r="BI99" s="153" t="n">
        <f aca="false">IF(AND($M99&lt;&gt;"",$N99="VCA",$Q99="LINEAR"),$M99,IF(AND($M99&lt;&gt;"",$N99="MND",$Q99="EMBOQUE"),$AN99*2,0))</f>
        <v>26.54</v>
      </c>
      <c r="BJ99" s="153" t="n">
        <f aca="false">IF(AND($M99&lt;&gt;"",$N99="VCA",$Q99="LINEAR"),($M99*6.8)/100,IF(AND($M99&lt;&gt;"",$N99="MND",$Q99="EMBOQUE"),($AN99*2*6.8)/100,0))</f>
        <v>1.80472</v>
      </c>
      <c r="BK99" s="153" t="n">
        <f aca="false">IF(AND($M99&lt;&gt;"",$N99="VCA",$Q99="LINEAR"),($M99*2.5)/50,IF(AND($M99&lt;&gt;"",$N99="MND",$Q99="EMBOQUE"),($AN99*2*2.5)/50,0))</f>
        <v>1.327</v>
      </c>
      <c r="BL99" s="157" t="str">
        <f aca="false">K99&amp;J99</f>
        <v>Zona01REDES</v>
      </c>
      <c r="BM99" s="152" t="s">
        <v>1559</v>
      </c>
      <c r="BN99" s="152" t="s">
        <v>1560</v>
      </c>
      <c r="BO99" s="152" t="s">
        <v>1748</v>
      </c>
      <c r="BP99" s="152" t="s">
        <v>1865</v>
      </c>
      <c r="BQ99" s="152" t="s">
        <v>1857</v>
      </c>
      <c r="BR99" s="152" t="s">
        <v>1906</v>
      </c>
      <c r="BS99" s="152" t="n">
        <v>203384.997</v>
      </c>
      <c r="BT99" s="152" t="n">
        <v>8238470.143</v>
      </c>
      <c r="BU99" s="152" t="n">
        <v>203402.015</v>
      </c>
      <c r="BV99" s="152" t="n">
        <v>8238490.493</v>
      </c>
      <c r="BW99" s="152" t="n">
        <v>-15.9151724</v>
      </c>
      <c r="BX99" s="152" t="n">
        <v>-47.7701536</v>
      </c>
      <c r="BY99" s="152" t="s">
        <v>1865</v>
      </c>
    </row>
    <row r="100" customFormat="false" ht="13.8" hidden="false" customHeight="false" outlineLevel="0" collapsed="false">
      <c r="A100" s="149" t="n">
        <f aca="false">IF(C100&lt;&gt;"",ROW(A95),"")</f>
        <v>95</v>
      </c>
      <c r="B100" s="150" t="str">
        <f aca="false">HYPERLINK("https://www.google.com/maps/dir/-15.917302,-47.760003/-15.9153081,-47.7697190/data=!4m3!4m2!3e0!5i0")</f>
        <v>https://www.google.com/maps/dir/-15.917302,-47.760003/-15.9153081,-47.7697190/data=!4m3!4m2!3e0!5i0</v>
      </c>
      <c r="C100" s="151" t="s">
        <v>117</v>
      </c>
      <c r="D100" s="152" t="s">
        <v>112</v>
      </c>
      <c r="E100" s="152" t="s">
        <v>113</v>
      </c>
      <c r="F100" s="152" t="s">
        <v>117</v>
      </c>
      <c r="G100" s="152" t="s">
        <v>782</v>
      </c>
      <c r="H100" s="152" t="n">
        <v>90</v>
      </c>
      <c r="I100" s="152" t="s">
        <v>115</v>
      </c>
      <c r="J100" s="152" t="s">
        <v>6</v>
      </c>
      <c r="K100" s="152" t="s">
        <v>1547</v>
      </c>
      <c r="L100" s="152" t="s">
        <v>120</v>
      </c>
      <c r="M100" s="153" t="n">
        <f aca="false">45.12+0.41</f>
        <v>45.53</v>
      </c>
      <c r="N100" s="152" t="s">
        <v>1548</v>
      </c>
      <c r="O100" s="152" t="s">
        <v>1549</v>
      </c>
      <c r="P100" s="152" t="s">
        <v>1550</v>
      </c>
      <c r="Q100" s="152" t="s">
        <v>1551</v>
      </c>
      <c r="R100" s="154" t="s">
        <v>1907</v>
      </c>
      <c r="S100" s="154" t="s">
        <v>1593</v>
      </c>
      <c r="T100" s="155" t="s">
        <v>1746</v>
      </c>
      <c r="U100" s="152" t="str">
        <f aca="false">RIGHT(T100,7)</f>
        <v>003/037</v>
      </c>
      <c r="V100" s="152" t="s">
        <v>1555</v>
      </c>
      <c r="W100" s="156" t="n">
        <v>45882</v>
      </c>
      <c r="X100" s="152" t="s">
        <v>1594</v>
      </c>
      <c r="Y100" s="152" t="s">
        <v>1855</v>
      </c>
      <c r="Z100" s="152" t="s">
        <v>1557</v>
      </c>
      <c r="AA100" s="153" t="n">
        <v>2.2</v>
      </c>
      <c r="AB100" s="151" t="s">
        <v>1908</v>
      </c>
      <c r="AC100" s="151" t="s">
        <v>526</v>
      </c>
      <c r="AD100" s="151" t="str">
        <f aca="false">CONCATENATE($C100,$I100,$H100,$N100,$J100,$K100)</f>
        <v>TUBO PEADPEAD90VCAREDESZona01</v>
      </c>
      <c r="AE100" s="153" t="n">
        <f aca="false">IFERROR(INDEX(APOIO_REDES!$A:$W,MATCH($C100&amp;$I100&amp;$H100&amp;$N100&amp;$O100,APOIO_REDES!$W:$W,0),MATCH(AE$5,APOIO_REDES!$5:$5,0)),0)</f>
        <v>1.2</v>
      </c>
      <c r="AF100" s="153" t="n">
        <f aca="false">IFERROR(INDEX(APOIO_REDES!$A:$W,MATCH($C100&amp;$I100&amp;$H100&amp;$N100&amp;$O100,APOIO_REDES!$W:$W,0),MATCH(AF$5,APOIO_REDES!$5:$5,0)),0)</f>
        <v>1.39</v>
      </c>
      <c r="AG100" s="153" t="n">
        <f aca="false">IFERROR(INDEX(APOIO_REDES!$A:$W,MATCH($C100&amp;$I100&amp;$H100&amp;$N100&amp;$O100,APOIO_REDES!$W:$W,0),MATCH(AG$5,APOIO_REDES!$5:$5,0)),0)</f>
        <v>0.75</v>
      </c>
      <c r="AH100" s="153" t="n">
        <f aca="false">IFERROR(INDEX(APOIO_REDES!$A:$W,MATCH($C100&amp;$I100&amp;$H100&amp;$N100&amp;$O100,APOIO_REDES!$W:$W,0),MATCH(AH$5,APOIO_REDES!$5:$5,0)),0)</f>
        <v>0.1</v>
      </c>
      <c r="AI100" s="153" t="n">
        <f aca="false">IFERROR(IF($H100&lt;&gt;"",(((($H100/1000)/2)^2)*PI()*$M100),0),0)</f>
        <v>0.289649344873835</v>
      </c>
      <c r="AJ100" s="153" t="n">
        <f aca="false">IFERROR(IF(AND($H100&lt;&gt;"",$I100="FoFo",OR($N100="MND",$N100="VCA"),$Q100="LINEAR"),0,IF(AND($H100&lt;&gt;"",$I100="PEAD",$N100="VCA",$Q100="LINEAR"),($H100/1000)+0.3,IF(AND($H100&lt;&gt;"",$I100="PEAD",$N100="MND",$Q100="EMBOQUE"),0,IF(AND($H100&lt;&gt;"",$I100="PVC",$N100="VCA",$Q100="LINEAR"),($H100/1000)+0.2,IF(AND($H100&lt;&gt;"",$I100="PVC",$N100="MND",$Q100="EMBOQUE"),0,IF(AND($H100&lt;&gt;"",$I100="PEAD",$N100="VCA",$Q100="PREDIAL"),0,0)))))),0)</f>
        <v>0.39</v>
      </c>
      <c r="AK100" s="153" t="n">
        <f aca="false">IF(AA100&lt;&gt;"",AA100,0)</f>
        <v>2.2</v>
      </c>
      <c r="AL100" s="153" t="n">
        <f aca="false">IF(AND($N100="MND",$Q100="EMBOQUE"),$M100,IF(AND($N100="VCA",$Q100="LINEAR"),$M100,IF(AND($N100="VCA",$Q100="PREDIAL"),0,0)))</f>
        <v>45.53</v>
      </c>
      <c r="AM100" s="153" t="n">
        <f aca="false">IF(AND($N100="MND",$Q100="EMBOQUE"),$M100,IF(AND($N100="VCA",$Q100="LINEAR"),$M100,IF(AND($N100="VCA",$Q100="PREDIAL"),0,0)))</f>
        <v>45.53</v>
      </c>
      <c r="AN100" s="153" t="n">
        <f aca="false">ROUND(IF(AND($N100="VCA",$M100&lt;&gt;"",$Q100="LINEAR"),$M100/100,IF(AND($N100="MND",$M100&gt;100,$Q100="EMBOQUE"),$M100/100,0)),0)</f>
        <v>0</v>
      </c>
      <c r="AO100" s="153" t="n">
        <f aca="false">IF(AND($N100="MND",$Q100="EMBOQUE"),$AN100*2*2,IF(AND($N100="VCA",$Q100="LINEAR"),$M100*2,IF(AND($N100="VCA",$Q100="PREDIAL"),0,0)))</f>
        <v>91.06</v>
      </c>
      <c r="AP100" s="153" t="n">
        <f aca="false">IFERROR($M100*$AF100*$AG100,0)</f>
        <v>47.465025</v>
      </c>
      <c r="AQ100" s="153" t="n">
        <f aca="false">IFERROR(IF(AND($N100="VCA",$AH100&gt;0),$M100*$AG100*$AH100,0),0)</f>
        <v>3.41475</v>
      </c>
      <c r="AR100" s="153" t="n">
        <f aca="false">IFERROR(IF(AND($N100="VCA",$AJ100&gt;0),($M100*$AG100*$AJ100)-$AI100,0),0)</f>
        <v>13.0278756551262</v>
      </c>
      <c r="AS100" s="153" t="n">
        <f aca="false">IFERROR(IF(AND($N100="VCA",$AP100&gt;0),$AP100-$AI100-$AQ100-$AR100,0),0)</f>
        <v>30.73275</v>
      </c>
      <c r="AT100" s="153" t="n">
        <f aca="false">IFERROR(IF($N100="VCA",INDEX(APOIO_REDES!$A:$W,MATCH($C100&amp;$I100&amp;$H100&amp;$N100&amp;$O100,APOIO_REDES!$W:$W,0),MATCH(AT$5,APOIO_REDES!$5:$5,0)),0)*$AP100,0)</f>
        <v>0.516433520930274</v>
      </c>
      <c r="AU100" s="153" t="n">
        <f aca="false">IFERROR(IF($N100="VCA",INDEX(APOIO_REDES!$A:$W,MATCH($C100&amp;$I100&amp;$H100&amp;$N100&amp;$O100,APOIO_REDES!$W:$W,0),MATCH(AU$5,APOIO_REDES!$5:$5,0)),0)*$AP100,0)</f>
        <v>0.412409823021358</v>
      </c>
      <c r="AV100" s="153" t="n">
        <f aca="false">IFERROR(IF($N100="VCA",INDEX(APOIO_REDES!$A:$W,MATCH($C100&amp;$I100&amp;$H100&amp;$N100&amp;$O100,APOIO_REDES!$W:$W,0),MATCH(AV$5,APOIO_REDES!$5:$5,0)),0)*$AP100,0)</f>
        <v>0.0570742819621073</v>
      </c>
      <c r="AW100" s="153" t="n">
        <f aca="false">IFERROR(IF($N100="VCA",INDEX(APOIO_REDES!$A:$W,MATCH($C100&amp;$I100&amp;$H100&amp;$N100&amp;$O100,APOIO_REDES!$W:$W,0),MATCH(AW$5,APOIO_REDES!$5:$5,0)),0)*$AP100,0)</f>
        <v>32.5803609369603</v>
      </c>
      <c r="AX100" s="153" t="n">
        <f aca="false">IFERROR(IF($N100="VCA",INDEX(APOIO_REDES!$A:$W,MATCH($C100&amp;$I100&amp;$H100&amp;$N100&amp;$O100,APOIO_REDES!$W:$W,0),MATCH(AX$5,APOIO_REDES!$5:$5,0)),0)*$AP100,0)</f>
        <v>4.50902914676045</v>
      </c>
      <c r="AY100" s="153" t="n">
        <f aca="false">IFERROR(IF($N100="VCA",INDEX(APOIO_REDES!$A:$W,MATCH($C100&amp;$I100&amp;$H100&amp;$N100&amp;$O100,APOIO_REDES!$W:$W,0),MATCH(AY$5,APOIO_REDES!$5:$5,0)),0)*$AP100,0)</f>
        <v>8.24819143318485</v>
      </c>
      <c r="AZ100" s="153" t="n">
        <f aca="false">IFERROR(IF($N100="VCA",INDEX(APOIO_REDES!$A:$W,MATCH($C100&amp;$I100&amp;$H100&amp;$N100&amp;$O100,APOIO_REDES!$W:$W,0),MATCH(AZ$5,APOIO_REDES!$5:$5,0)),0)*$AP100,0)</f>
        <v>1.14152585718064</v>
      </c>
      <c r="BA100" s="153" t="n">
        <f aca="false">IFERROR(IF(AND($N100="VCA",$Q100="LINEAR"),INDEX(APOIO_REDES!$A:$W,MATCH($C100&amp;$I100&amp;$H100&amp;$N100&amp;$O100,APOIO_REDES!$W:$W,0),MATCH(BA$5,APOIO_REDES!$5:$5,0)),IF(AND($N100="MND",$Q100="EMBOQUE"),INDEX(APOIO_REDES!$A:$W,MATCH($C100&amp;$I100&amp;$H100&amp;$N100&amp;$O100,APOIO_REDES!$W:$W,0),MATCH(BA$5,APOIO_REDES!$5:$5,0)),0))*$M100/10,0)</f>
        <v>3.6696031542074</v>
      </c>
      <c r="BB100" s="153" t="n">
        <f aca="false">IFERROR(IF($N100="VCA",INDEX(APOIO_REDES!$A:$W,MATCH($C100&amp;$I100&amp;$H100&amp;$N100&amp;$O100,APOIO_REDES!$W:$W,0),MATCH(BB$5,APOIO_REDES!$5:$5,0)),0)*($AI100+$AQ100+$AR100),0)</f>
        <v>16.5502228954994</v>
      </c>
      <c r="BC100" s="153" t="n">
        <f aca="false">IFERROR(IF($N100="VCA",INDEX(APOIO_REDES!$A:$W,MATCH($C100&amp;$I100&amp;$H100&amp;$N100&amp;$O100,APOIO_REDES!$W:$W,0),MATCH(BC$5,APOIO_REDES!$5:$5,0)),0)*($AI100+$AQ100+$AR100),0)</f>
        <v>0.1820521045006</v>
      </c>
      <c r="BD100" s="153" t="n">
        <f aca="false">IF(AND($N100="VCA",$AF100&gt;=1.25,$AF100&lt;1.5),$M100*$AF100*2,0)</f>
        <v>126.5734</v>
      </c>
      <c r="BE100" s="153" t="n">
        <f aca="false">IF(AND($N100="VCA",$AF100&gt;=1.5,$AF100&lt;3),$M100*$AF100*2,0)</f>
        <v>0</v>
      </c>
      <c r="BF100" s="153" t="n">
        <f aca="false">IF(AND($N100="VCA",$AF100&gt;=3),$M100*$AF100*2,0)</f>
        <v>0</v>
      </c>
      <c r="BG100" s="153" t="n">
        <f aca="false">($BB100+$BC100)*$AK100</f>
        <v>36.811005</v>
      </c>
      <c r="BH100" s="153" t="n">
        <f aca="false">IF(AND($M100&lt;&gt;"",$N100="VCA",$Q100="LINEAR"),($M100*2)/100,IF(AND($M100&lt;&gt;"",$N100="MND",$Q100="EMBOQUE"),($AN100*2)/100,0))</f>
        <v>0.9106</v>
      </c>
      <c r="BI100" s="153" t="n">
        <f aca="false">IF(AND($M100&lt;&gt;"",$N100="VCA",$Q100="LINEAR"),$M100,IF(AND($M100&lt;&gt;"",$N100="MND",$Q100="EMBOQUE"),$AN100*2,0))</f>
        <v>45.53</v>
      </c>
      <c r="BJ100" s="153" t="n">
        <f aca="false">IF(AND($M100&lt;&gt;"",$N100="VCA",$Q100="LINEAR"),($M100*6.8)/100,IF(AND($M100&lt;&gt;"",$N100="MND",$Q100="EMBOQUE"),($AN100*2*6.8)/100,0))</f>
        <v>3.09604</v>
      </c>
      <c r="BK100" s="153" t="n">
        <f aca="false">IF(AND($M100&lt;&gt;"",$N100="VCA",$Q100="LINEAR"),($M100*2.5)/50,IF(AND($M100&lt;&gt;"",$N100="MND",$Q100="EMBOQUE"),($AN100*2*2.5)/50,0))</f>
        <v>2.2765</v>
      </c>
      <c r="BL100" s="157" t="str">
        <f aca="false">K100&amp;J100</f>
        <v>Zona01REDES</v>
      </c>
      <c r="BM100" s="152" t="s">
        <v>1559</v>
      </c>
      <c r="BN100" s="152" t="s">
        <v>1560</v>
      </c>
      <c r="BO100" s="152" t="s">
        <v>1748</v>
      </c>
      <c r="BP100" s="152" t="s">
        <v>1909</v>
      </c>
      <c r="BQ100" s="152" t="s">
        <v>1857</v>
      </c>
      <c r="BR100" s="152" t="s">
        <v>1910</v>
      </c>
      <c r="BS100" s="152" t="n">
        <v>203440.102</v>
      </c>
      <c r="BT100" s="152" t="n">
        <v>8238466.056</v>
      </c>
      <c r="BU100" s="152" t="n">
        <v>203402.34</v>
      </c>
      <c r="BV100" s="152" t="n">
        <v>8238490.251</v>
      </c>
      <c r="BW100" s="152" t="n">
        <v>-15.915209</v>
      </c>
      <c r="BX100" s="152" t="n">
        <v>-47.7699013</v>
      </c>
      <c r="BY100" s="152" t="s">
        <v>1909</v>
      </c>
    </row>
    <row r="101" customFormat="false" ht="13.8" hidden="false" customHeight="false" outlineLevel="0" collapsed="false">
      <c r="A101" s="149" t="n">
        <f aca="false">IF(C101&lt;&gt;"",ROW(A96),"")</f>
        <v>96</v>
      </c>
      <c r="B101" s="150" t="str">
        <f aca="false">HYPERLINK("https://www.google.com/maps/dir/-15.917302,-47.760003/-15.9155577,-47.7732931/data=!4m3!4m2!3e0!5i0")</f>
        <v>https://www.google.com/maps/dir/-15.917302,-47.760003/-15.9155577,-47.7732931/data=!4m3!4m2!3e0!5i0</v>
      </c>
      <c r="C101" s="151" t="s">
        <v>117</v>
      </c>
      <c r="D101" s="152" t="s">
        <v>112</v>
      </c>
      <c r="E101" s="152" t="s">
        <v>113</v>
      </c>
      <c r="F101" s="152" t="s">
        <v>117</v>
      </c>
      <c r="G101" s="152" t="s">
        <v>782</v>
      </c>
      <c r="H101" s="152" t="n">
        <v>63</v>
      </c>
      <c r="I101" s="152" t="s">
        <v>115</v>
      </c>
      <c r="J101" s="152" t="s">
        <v>6</v>
      </c>
      <c r="K101" s="152" t="s">
        <v>1547</v>
      </c>
      <c r="L101" s="152" t="s">
        <v>120</v>
      </c>
      <c r="M101" s="153" t="n">
        <f aca="false">93.58</f>
        <v>93.58</v>
      </c>
      <c r="N101" s="152" t="s">
        <v>1548</v>
      </c>
      <c r="O101" s="152" t="s">
        <v>1549</v>
      </c>
      <c r="P101" s="152" t="s">
        <v>1550</v>
      </c>
      <c r="Q101" s="152" t="s">
        <v>1551</v>
      </c>
      <c r="R101" s="154" t="s">
        <v>1911</v>
      </c>
      <c r="S101" s="154" t="s">
        <v>1553</v>
      </c>
      <c r="T101" s="155" t="s">
        <v>1746</v>
      </c>
      <c r="U101" s="152" t="str">
        <f aca="false">RIGHT(T101,7)</f>
        <v>003/037</v>
      </c>
      <c r="V101" s="152" t="s">
        <v>1555</v>
      </c>
      <c r="W101" s="156" t="n">
        <v>45882</v>
      </c>
      <c r="X101" s="152" t="s">
        <v>1594</v>
      </c>
      <c r="Y101" s="152" t="s">
        <v>1886</v>
      </c>
      <c r="Z101" s="152" t="s">
        <v>1557</v>
      </c>
      <c r="AA101" s="153" t="n">
        <v>2.7</v>
      </c>
      <c r="AB101" s="151" t="s">
        <v>1912</v>
      </c>
      <c r="AC101" s="151" t="s">
        <v>186</v>
      </c>
      <c r="AD101" s="151" t="str">
        <f aca="false">CONCATENATE($C101,$I101,$H101,$N101,$J101,$K101)</f>
        <v>TUBO PEADPEAD63VCAREDESZona01</v>
      </c>
      <c r="AE101" s="153" t="n">
        <f aca="false">IFERROR(INDEX(APOIO_REDES!$A:$W,MATCH($C101&amp;$I101&amp;$H101&amp;$N101&amp;$O101,APOIO_REDES!$W:$W,0),MATCH(AE$5,APOIO_REDES!$5:$5,0)),0)</f>
        <v>1.2</v>
      </c>
      <c r="AF101" s="153" t="n">
        <f aca="false">IFERROR(INDEX(APOIO_REDES!$A:$W,MATCH($C101&amp;$I101&amp;$H101&amp;$N101&amp;$O101,APOIO_REDES!$W:$W,0),MATCH(AF$5,APOIO_REDES!$5:$5,0)),0)</f>
        <v>1.363</v>
      </c>
      <c r="AG101" s="153" t="n">
        <f aca="false">IFERROR(INDEX(APOIO_REDES!$A:$W,MATCH($C101&amp;$I101&amp;$H101&amp;$N101&amp;$O101,APOIO_REDES!$W:$W,0),MATCH(AG$5,APOIO_REDES!$5:$5,0)),0)</f>
        <v>0.65</v>
      </c>
      <c r="AH101" s="153" t="n">
        <f aca="false">IFERROR(INDEX(APOIO_REDES!$A:$W,MATCH($C101&amp;$I101&amp;$H101&amp;$N101&amp;$O101,APOIO_REDES!$W:$W,0),MATCH(AH$5,APOIO_REDES!$5:$5,0)),0)</f>
        <v>0.1</v>
      </c>
      <c r="AI101" s="153" t="n">
        <f aca="false">IFERROR(IF($H101&lt;&gt;"",(((($H101/1000)/2)^2)*PI()*$M101),0),0)</f>
        <v>0.29171181615888</v>
      </c>
      <c r="AJ101" s="153" t="n">
        <f aca="false">IFERROR(IF(AND($H101&lt;&gt;"",$I101="FoFo",OR($N101="MND",$N101="VCA"),$Q101="LINEAR"),0,IF(AND($H101&lt;&gt;"",$I101="PEAD",$N101="VCA",$Q101="LINEAR"),($H101/1000)+0.3,IF(AND($H101&lt;&gt;"",$I101="PEAD",$N101="MND",$Q101="EMBOQUE"),0,IF(AND($H101&lt;&gt;"",$I101="PVC",$N101="VCA",$Q101="LINEAR"),($H101/1000)+0.2,IF(AND($H101&lt;&gt;"",$I101="PVC",$N101="MND",$Q101="EMBOQUE"),0,IF(AND($H101&lt;&gt;"",$I101="PEAD",$N101="VCA",$Q101="PREDIAL"),0,0)))))),0)</f>
        <v>0.363</v>
      </c>
      <c r="AK101" s="153" t="n">
        <f aca="false">IF(AA101&lt;&gt;"",AA101,0)</f>
        <v>2.7</v>
      </c>
      <c r="AL101" s="153" t="n">
        <f aca="false">IF(AND($N101="MND",$Q101="EMBOQUE"),$M101,IF(AND($N101="VCA",$Q101="LINEAR"),$M101,IF(AND($N101="VCA",$Q101="PREDIAL"),0,0)))</f>
        <v>93.58</v>
      </c>
      <c r="AM101" s="153" t="n">
        <f aca="false">IF(AND($N101="MND",$Q101="EMBOQUE"),$M101,IF(AND($N101="VCA",$Q101="LINEAR"),$M101,IF(AND($N101="VCA",$Q101="PREDIAL"),0,0)))</f>
        <v>93.58</v>
      </c>
      <c r="AN101" s="153" t="n">
        <f aca="false">ROUND(IF(AND($N101="VCA",$M101&lt;&gt;"",$Q101="LINEAR"),$M101/100,IF(AND($N101="MND",$M101&gt;100,$Q101="EMBOQUE"),$M101/100,0)),0)</f>
        <v>1</v>
      </c>
      <c r="AO101" s="153" t="n">
        <f aca="false">IF(AND($N101="MND",$Q101="EMBOQUE"),$AN101*2*2,IF(AND($N101="VCA",$Q101="LINEAR"),$M101*2,IF(AND($N101="VCA",$Q101="PREDIAL"),0,0)))</f>
        <v>187.16</v>
      </c>
      <c r="AP101" s="153" t="n">
        <f aca="false">IFERROR($M101*$AF101*$AG101,0)</f>
        <v>82.907201</v>
      </c>
      <c r="AQ101" s="153" t="n">
        <f aca="false">IFERROR(IF(AND($N101="VCA",$AH101&gt;0),$M101*$AG101*$AH101,0),0)</f>
        <v>6.0827</v>
      </c>
      <c r="AR101" s="153" t="n">
        <f aca="false">IFERROR(IF(AND($N101="VCA",$AJ101&gt;0),($M101*$AG101*$AJ101)-$AI101,0),0)</f>
        <v>21.7884891838411</v>
      </c>
      <c r="AS101" s="153" t="n">
        <f aca="false">IFERROR(IF(AND($N101="VCA",$AP101&gt;0),$AP101-$AI101-$AQ101-$AR101,0),0)</f>
        <v>54.7443</v>
      </c>
      <c r="AT101" s="153" t="n">
        <f aca="false">IFERROR(IF($N101="VCA",INDEX(APOIO_REDES!$A:$W,MATCH($C101&amp;$I101&amp;$H101&amp;$N101&amp;$O101,APOIO_REDES!$W:$W,0),MATCH(AT$5,APOIO_REDES!$5:$5,0)),0)*$AP101,0)</f>
        <v>0.902054886158891</v>
      </c>
      <c r="AU101" s="153" t="n">
        <f aca="false">IFERROR(IF($N101="VCA",INDEX(APOIO_REDES!$A:$W,MATCH($C101&amp;$I101&amp;$H101&amp;$N101&amp;$O101,APOIO_REDES!$W:$W,0),MATCH(AU$5,APOIO_REDES!$5:$5,0)),0)*$AP101,0)</f>
        <v>0.720356601341854</v>
      </c>
      <c r="AV101" s="153" t="n">
        <f aca="false">IFERROR(IF($N101="VCA",INDEX(APOIO_REDES!$A:$W,MATCH($C101&amp;$I101&amp;$H101&amp;$N101&amp;$O101,APOIO_REDES!$W:$W,0),MATCH(AV$5,APOIO_REDES!$5:$5,0)),0)*$AP101,0)</f>
        <v>0.0996916986046696</v>
      </c>
      <c r="AW101" s="153" t="n">
        <f aca="false">IFERROR(IF($N101="VCA",INDEX(APOIO_REDES!$A:$W,MATCH($C101&amp;$I101&amp;$H101&amp;$N101&amp;$O101,APOIO_REDES!$W:$W,0),MATCH(AW$5,APOIO_REDES!$5:$5,0)),0)*$AP101,0)</f>
        <v>56.9081451627407</v>
      </c>
      <c r="AX101" s="153" t="n">
        <f aca="false">IFERROR(IF($N101="VCA",INDEX(APOIO_REDES!$A:$W,MATCH($C101&amp;$I101&amp;$H101&amp;$N101&amp;$O101,APOIO_REDES!$W:$W,0),MATCH(AX$5,APOIO_REDES!$5:$5,0)),0)*$AP101,0)</f>
        <v>7.87592518460333</v>
      </c>
      <c r="AY101" s="153" t="n">
        <f aca="false">IFERROR(IF($N101="VCA",INDEX(APOIO_REDES!$A:$W,MATCH($C101&amp;$I101&amp;$H101&amp;$N101&amp;$O101,APOIO_REDES!$W:$W,0),MATCH(AY$5,APOIO_REDES!$5:$5,0)),0)*$AP101,0)</f>
        <v>14.4071232457485</v>
      </c>
      <c r="AZ101" s="153" t="n">
        <f aca="false">IFERROR(IF($N101="VCA",INDEX(APOIO_REDES!$A:$W,MATCH($C101&amp;$I101&amp;$H101&amp;$N101&amp;$O101,APOIO_REDES!$W:$W,0),MATCH(AZ$5,APOIO_REDES!$5:$5,0)),0)*$AP101,0)</f>
        <v>1.993904220802</v>
      </c>
      <c r="BA101" s="153" t="n">
        <f aca="false">IFERROR(IF(AND($N101="VCA",$Q101="LINEAR"),INDEX(APOIO_REDES!$A:$W,MATCH($C101&amp;$I101&amp;$H101&amp;$N101&amp;$O101,APOIO_REDES!$W:$W,0),MATCH(BA$5,APOIO_REDES!$5:$5,0)),IF(AND($N101="MND",$Q101="EMBOQUE"),INDEX(APOIO_REDES!$A:$W,MATCH($C101&amp;$I101&amp;$H101&amp;$N101&amp;$O101,APOIO_REDES!$W:$W,0),MATCH(BA$5,APOIO_REDES!$5:$5,0)),0))*$M101/10,0)</f>
        <v>7.54231195191584</v>
      </c>
      <c r="BB101" s="153" t="n">
        <f aca="false">IFERROR(IF($N101="VCA",INDEX(APOIO_REDES!$A:$W,MATCH($C101&amp;$I101&amp;$H101&amp;$N101&amp;$O101,APOIO_REDES!$W:$W,0),MATCH(BB$5,APOIO_REDES!$5:$5,0)),0)*($AI101+$AQ101+$AR101),0)</f>
        <v>27.8564803013268</v>
      </c>
      <c r="BC101" s="153" t="n">
        <f aca="false">IFERROR(IF($N101="VCA",INDEX(APOIO_REDES!$A:$W,MATCH($C101&amp;$I101&amp;$H101&amp;$N101&amp;$O101,APOIO_REDES!$W:$W,0),MATCH(BC$5,APOIO_REDES!$5:$5,0)),0)*($AI101+$AQ101+$AR101),0)</f>
        <v>0.306420698673196</v>
      </c>
      <c r="BD101" s="153" t="n">
        <f aca="false">IF(AND($N101="VCA",$AF101&gt;=1.25,$AF101&lt;1.5),$M101*$AF101*2,0)</f>
        <v>255.09908</v>
      </c>
      <c r="BE101" s="153" t="n">
        <f aca="false">IF(AND($N101="VCA",$AF101&gt;=1.5,$AF101&lt;3),$M101*$AF101*2,0)</f>
        <v>0</v>
      </c>
      <c r="BF101" s="153" t="n">
        <f aca="false">IF(AND($N101="VCA",$AF101&gt;=3),$M101*$AF101*2,0)</f>
        <v>0</v>
      </c>
      <c r="BG101" s="153" t="n">
        <f aca="false">($BB101+$BC101)*$AK101</f>
        <v>76.0398327</v>
      </c>
      <c r="BH101" s="153" t="n">
        <f aca="false">IF(AND($M101&lt;&gt;"",$N101="VCA",$Q101="LINEAR"),($M101*2)/100,IF(AND($M101&lt;&gt;"",$N101="MND",$Q101="EMBOQUE"),($AN101*2)/100,0))</f>
        <v>1.8716</v>
      </c>
      <c r="BI101" s="153" t="n">
        <f aca="false">IF(AND($M101&lt;&gt;"",$N101="VCA",$Q101="LINEAR"),$M101,IF(AND($M101&lt;&gt;"",$N101="MND",$Q101="EMBOQUE"),$AN101*2,0))</f>
        <v>93.58</v>
      </c>
      <c r="BJ101" s="153" t="n">
        <f aca="false">IF(AND($M101&lt;&gt;"",$N101="VCA",$Q101="LINEAR"),($M101*6.8)/100,IF(AND($M101&lt;&gt;"",$N101="MND",$Q101="EMBOQUE"),($AN101*2*6.8)/100,0))</f>
        <v>6.36344</v>
      </c>
      <c r="BK101" s="153" t="n">
        <f aca="false">IF(AND($M101&lt;&gt;"",$N101="VCA",$Q101="LINEAR"),($M101*2.5)/50,IF(AND($M101&lt;&gt;"",$N101="MND",$Q101="EMBOQUE"),($AN101*2*2.5)/50,0))</f>
        <v>4.679</v>
      </c>
      <c r="BL101" s="157" t="str">
        <f aca="false">K101&amp;J101</f>
        <v>Zona01REDES</v>
      </c>
      <c r="BM101" s="152" t="s">
        <v>1559</v>
      </c>
      <c r="BN101" s="152" t="s">
        <v>1560</v>
      </c>
      <c r="BO101" s="152" t="s">
        <v>1748</v>
      </c>
      <c r="BP101" s="152" t="s">
        <v>1913</v>
      </c>
      <c r="BQ101" s="152" t="s">
        <v>1888</v>
      </c>
      <c r="BR101" s="152" t="s">
        <v>1850</v>
      </c>
      <c r="BS101" s="152" t="n">
        <v>203057.526</v>
      </c>
      <c r="BT101" s="152" t="n">
        <v>8238433.339</v>
      </c>
      <c r="BU101" s="152" t="n">
        <v>202983.012</v>
      </c>
      <c r="BV101" s="152" t="n">
        <v>8238489.95</v>
      </c>
      <c r="BW101" s="152" t="n">
        <v>-15.9152976</v>
      </c>
      <c r="BX101" s="152" t="n">
        <v>-47.7736373</v>
      </c>
      <c r="BY101" s="152" t="s">
        <v>1913</v>
      </c>
    </row>
    <row r="102" customFormat="false" ht="13.8" hidden="false" customHeight="false" outlineLevel="0" collapsed="false">
      <c r="A102" s="149" t="n">
        <f aca="false">IF(C102&lt;&gt;"",ROW(A97),"")</f>
        <v>97</v>
      </c>
      <c r="B102" s="150" t="str">
        <f aca="false">HYPERLINK("https://www.google.com/maps/dir/-15.917302,-47.760003/-15.9156051,-47.7705103/data=!4m3!4m2!3e0!5i0")</f>
        <v>https://www.google.com/maps/dir/-15.917302,-47.760003/-15.9156051,-47.7705103/data=!4m3!4m2!3e0!5i0</v>
      </c>
      <c r="C102" s="151" t="s">
        <v>117</v>
      </c>
      <c r="D102" s="152" t="s">
        <v>112</v>
      </c>
      <c r="E102" s="152" t="s">
        <v>113</v>
      </c>
      <c r="F102" s="152" t="s">
        <v>117</v>
      </c>
      <c r="G102" s="152" t="s">
        <v>782</v>
      </c>
      <c r="H102" s="152" t="n">
        <v>63</v>
      </c>
      <c r="I102" s="152" t="s">
        <v>115</v>
      </c>
      <c r="J102" s="152" t="s">
        <v>6</v>
      </c>
      <c r="K102" s="152" t="s">
        <v>1547</v>
      </c>
      <c r="L102" s="152" t="s">
        <v>120</v>
      </c>
      <c r="M102" s="153" t="n">
        <f aca="false">47.99</f>
        <v>47.99</v>
      </c>
      <c r="N102" s="152" t="s">
        <v>1548</v>
      </c>
      <c r="O102" s="152" t="s">
        <v>1549</v>
      </c>
      <c r="P102" s="152" t="s">
        <v>1550</v>
      </c>
      <c r="Q102" s="152" t="s">
        <v>1551</v>
      </c>
      <c r="R102" s="154" t="s">
        <v>1914</v>
      </c>
      <c r="S102" s="154" t="s">
        <v>1553</v>
      </c>
      <c r="T102" s="155" t="s">
        <v>1746</v>
      </c>
      <c r="U102" s="152" t="str">
        <f aca="false">RIGHT(T102,7)</f>
        <v>003/037</v>
      </c>
      <c r="V102" s="152" t="s">
        <v>1555</v>
      </c>
      <c r="W102" s="156" t="n">
        <v>45882</v>
      </c>
      <c r="X102" s="152" t="s">
        <v>1594</v>
      </c>
      <c r="Y102" s="152" t="s">
        <v>1855</v>
      </c>
      <c r="Z102" s="152" t="s">
        <v>1557</v>
      </c>
      <c r="AA102" s="153" t="n">
        <v>2.3</v>
      </c>
      <c r="AB102" s="151" t="s">
        <v>1915</v>
      </c>
      <c r="AC102" s="151" t="s">
        <v>186</v>
      </c>
      <c r="AD102" s="151" t="str">
        <f aca="false">CONCATENATE($C102,$I102,$H102,$N102,$J102,$K102)</f>
        <v>TUBO PEADPEAD63VCAREDESZona01</v>
      </c>
      <c r="AE102" s="153" t="n">
        <f aca="false">IFERROR(INDEX(APOIO_REDES!$A:$W,MATCH($C102&amp;$I102&amp;$H102&amp;$N102&amp;$O102,APOIO_REDES!$W:$W,0),MATCH(AE$5,APOIO_REDES!$5:$5,0)),0)</f>
        <v>1.2</v>
      </c>
      <c r="AF102" s="153" t="n">
        <f aca="false">IFERROR(INDEX(APOIO_REDES!$A:$W,MATCH($C102&amp;$I102&amp;$H102&amp;$N102&amp;$O102,APOIO_REDES!$W:$W,0),MATCH(AF$5,APOIO_REDES!$5:$5,0)),0)</f>
        <v>1.363</v>
      </c>
      <c r="AG102" s="153" t="n">
        <f aca="false">IFERROR(INDEX(APOIO_REDES!$A:$W,MATCH($C102&amp;$I102&amp;$H102&amp;$N102&amp;$O102,APOIO_REDES!$W:$W,0),MATCH(AG$5,APOIO_REDES!$5:$5,0)),0)</f>
        <v>0.65</v>
      </c>
      <c r="AH102" s="153" t="n">
        <f aca="false">IFERROR(INDEX(APOIO_REDES!$A:$W,MATCH($C102&amp;$I102&amp;$H102&amp;$N102&amp;$O102,APOIO_REDES!$W:$W,0),MATCH(AH$5,APOIO_REDES!$5:$5,0)),0)</f>
        <v>0.1</v>
      </c>
      <c r="AI102" s="153" t="n">
        <f aca="false">IFERROR(IF($H102&lt;&gt;"",(((($H102/1000)/2)^2)*PI()*$M102),0),0)</f>
        <v>0.149596602452069</v>
      </c>
      <c r="AJ102" s="153" t="n">
        <f aca="false">IFERROR(IF(AND($H102&lt;&gt;"",$I102="FoFo",OR($N102="MND",$N102="VCA"),$Q102="LINEAR"),0,IF(AND($H102&lt;&gt;"",$I102="PEAD",$N102="VCA",$Q102="LINEAR"),($H102/1000)+0.3,IF(AND($H102&lt;&gt;"",$I102="PEAD",$N102="MND",$Q102="EMBOQUE"),0,IF(AND($H102&lt;&gt;"",$I102="PVC",$N102="VCA",$Q102="LINEAR"),($H102/1000)+0.2,IF(AND($H102&lt;&gt;"",$I102="PVC",$N102="MND",$Q102="EMBOQUE"),0,IF(AND($H102&lt;&gt;"",$I102="PEAD",$N102="VCA",$Q102="PREDIAL"),0,0)))))),0)</f>
        <v>0.363</v>
      </c>
      <c r="AK102" s="153" t="n">
        <f aca="false">IF(AA102&lt;&gt;"",AA102,0)</f>
        <v>2.3</v>
      </c>
      <c r="AL102" s="153" t="n">
        <f aca="false">IF(AND($N102="MND",$Q102="EMBOQUE"),$M102,IF(AND($N102="VCA",$Q102="LINEAR"),$M102,IF(AND($N102="VCA",$Q102="PREDIAL"),0,0)))</f>
        <v>47.99</v>
      </c>
      <c r="AM102" s="153" t="n">
        <f aca="false">IF(AND($N102="MND",$Q102="EMBOQUE"),$M102,IF(AND($N102="VCA",$Q102="LINEAR"),$M102,IF(AND($N102="VCA",$Q102="PREDIAL"),0,0)))</f>
        <v>47.99</v>
      </c>
      <c r="AN102" s="153" t="n">
        <f aca="false">ROUND(IF(AND($N102="VCA",$M102&lt;&gt;"",$Q102="LINEAR"),$M102/100,IF(AND($N102="MND",$M102&gt;100,$Q102="EMBOQUE"),$M102/100,0)),0)</f>
        <v>0</v>
      </c>
      <c r="AO102" s="153" t="n">
        <f aca="false">IF(AND($N102="MND",$Q102="EMBOQUE"),$AN102*2*2,IF(AND($N102="VCA",$Q102="LINEAR"),$M102*2,IF(AND($N102="VCA",$Q102="PREDIAL"),0,0)))</f>
        <v>95.98</v>
      </c>
      <c r="AP102" s="153" t="n">
        <f aca="false">IFERROR($M102*$AF102*$AG102,0)</f>
        <v>42.5167405</v>
      </c>
      <c r="AQ102" s="153" t="n">
        <f aca="false">IFERROR(IF(AND($N102="VCA",$AH102&gt;0),$M102*$AG102*$AH102,0),0)</f>
        <v>3.11935</v>
      </c>
      <c r="AR102" s="153" t="n">
        <f aca="false">IFERROR(IF(AND($N102="VCA",$AJ102&gt;0),($M102*$AG102*$AJ102)-$AI102,0),0)</f>
        <v>11.1736438975479</v>
      </c>
      <c r="AS102" s="153" t="n">
        <f aca="false">IFERROR(IF(AND($N102="VCA",$AP102&gt;0),$AP102-$AI102-$AQ102-$AR102,0),0)</f>
        <v>28.07415</v>
      </c>
      <c r="AT102" s="153" t="n">
        <f aca="false">IFERROR(IF($N102="VCA",INDEX(APOIO_REDES!$A:$W,MATCH($C102&amp;$I102&amp;$H102&amp;$N102&amp;$O102,APOIO_REDES!$W:$W,0),MATCH(AT$5,APOIO_REDES!$5:$5,0)),0)*$AP102,0)</f>
        <v>0.462594720952823</v>
      </c>
      <c r="AU102" s="153" t="n">
        <f aca="false">IFERROR(IF($N102="VCA",INDEX(APOIO_REDES!$A:$W,MATCH($C102&amp;$I102&amp;$H102&amp;$N102&amp;$O102,APOIO_REDES!$W:$W,0),MATCH(AU$5,APOIO_REDES!$5:$5,0)),0)*$AP102,0)</f>
        <v>0.369415615498991</v>
      </c>
      <c r="AV102" s="153" t="n">
        <f aca="false">IFERROR(IF($N102="VCA",INDEX(APOIO_REDES!$A:$W,MATCH($C102&amp;$I102&amp;$H102&amp;$N102&amp;$O102,APOIO_REDES!$W:$W,0),MATCH(AV$5,APOIO_REDES!$5:$5,0)),0)*$AP102,0)</f>
        <v>0.0511242211587743</v>
      </c>
      <c r="AW102" s="153" t="n">
        <f aca="false">IFERROR(IF($N102="VCA",INDEX(APOIO_REDES!$A:$W,MATCH($C102&amp;$I102&amp;$H102&amp;$N102&amp;$O102,APOIO_REDES!$W:$W,0),MATCH(AW$5,APOIO_REDES!$5:$5,0)),0)*$AP102,0)</f>
        <v>29.1838201149811</v>
      </c>
      <c r="AX102" s="153" t="n">
        <f aca="false">IFERROR(IF($N102="VCA",INDEX(APOIO_REDES!$A:$W,MATCH($C102&amp;$I102&amp;$H102&amp;$N102&amp;$O102,APOIO_REDES!$W:$W,0),MATCH(AX$5,APOIO_REDES!$5:$5,0)),0)*$AP102,0)</f>
        <v>4.03895757222819</v>
      </c>
      <c r="AY102" s="153" t="n">
        <f aca="false">IFERROR(IF($N102="VCA",INDEX(APOIO_REDES!$A:$W,MATCH($C102&amp;$I102&amp;$H102&amp;$N102&amp;$O102,APOIO_REDES!$W:$W,0),MATCH(AY$5,APOIO_REDES!$5:$5,0)),0)*$AP102,0)</f>
        <v>7.38830780683341</v>
      </c>
      <c r="AZ102" s="153" t="n">
        <f aca="false">IFERROR(IF($N102="VCA",INDEX(APOIO_REDES!$A:$W,MATCH($C102&amp;$I102&amp;$H102&amp;$N102&amp;$O102,APOIO_REDES!$W:$W,0),MATCH(AZ$5,APOIO_REDES!$5:$5,0)),0)*$AP102,0)</f>
        <v>1.02252044834674</v>
      </c>
      <c r="BA102" s="153" t="n">
        <f aca="false">IFERROR(IF(AND($N102="VCA",$Q102="LINEAR"),INDEX(APOIO_REDES!$A:$W,MATCH($C102&amp;$I102&amp;$H102&amp;$N102&amp;$O102,APOIO_REDES!$W:$W,0),MATCH(BA$5,APOIO_REDES!$5:$5,0)),IF(AND($N102="MND",$Q102="EMBOQUE"),INDEX(APOIO_REDES!$A:$W,MATCH($C102&amp;$I102&amp;$H102&amp;$N102&amp;$O102,APOIO_REDES!$W:$W,0),MATCH(BA$5,APOIO_REDES!$5:$5,0)),0))*$M102/10,0)</f>
        <v>3.86787294905366</v>
      </c>
      <c r="BB102" s="153" t="n">
        <f aca="false">IFERROR(IF($N102="VCA",INDEX(APOIO_REDES!$A:$W,MATCH($C102&amp;$I102&amp;$H102&amp;$N102&amp;$O102,APOIO_REDES!$W:$W,0),MATCH(BB$5,APOIO_REDES!$5:$5,0)),0)*($AI102+$AQ102+$AR102),0)</f>
        <v>14.2854508405714</v>
      </c>
      <c r="BC102" s="153" t="n">
        <f aca="false">IFERROR(IF($N102="VCA",INDEX(APOIO_REDES!$A:$W,MATCH($C102&amp;$I102&amp;$H102&amp;$N102&amp;$O102,APOIO_REDES!$W:$W,0),MATCH(BC$5,APOIO_REDES!$5:$5,0)),0)*($AI102+$AQ102+$AR102),0)</f>
        <v>0.157139659428582</v>
      </c>
      <c r="BD102" s="153" t="n">
        <f aca="false">IF(AND($N102="VCA",$AF102&gt;=1.25,$AF102&lt;1.5),$M102*$AF102*2,0)</f>
        <v>130.82074</v>
      </c>
      <c r="BE102" s="153" t="n">
        <f aca="false">IF(AND($N102="VCA",$AF102&gt;=1.5,$AF102&lt;3),$M102*$AF102*2,0)</f>
        <v>0</v>
      </c>
      <c r="BF102" s="153" t="n">
        <f aca="false">IF(AND($N102="VCA",$AF102&gt;=3),$M102*$AF102*2,0)</f>
        <v>0</v>
      </c>
      <c r="BG102" s="153" t="n">
        <f aca="false">($BB102+$BC102)*$AK102</f>
        <v>33.21795815</v>
      </c>
      <c r="BH102" s="153" t="n">
        <f aca="false">IF(AND($M102&lt;&gt;"",$N102="VCA",$Q102="LINEAR"),($M102*2)/100,IF(AND($M102&lt;&gt;"",$N102="MND",$Q102="EMBOQUE"),($AN102*2)/100,0))</f>
        <v>0.9598</v>
      </c>
      <c r="BI102" s="153" t="n">
        <f aca="false">IF(AND($M102&lt;&gt;"",$N102="VCA",$Q102="LINEAR"),$M102,IF(AND($M102&lt;&gt;"",$N102="MND",$Q102="EMBOQUE"),$AN102*2,0))</f>
        <v>47.99</v>
      </c>
      <c r="BJ102" s="153" t="n">
        <f aca="false">IF(AND($M102&lt;&gt;"",$N102="VCA",$Q102="LINEAR"),($M102*6.8)/100,IF(AND($M102&lt;&gt;"",$N102="MND",$Q102="EMBOQUE"),($AN102*2*6.8)/100,0))</f>
        <v>3.26332</v>
      </c>
      <c r="BK102" s="153" t="n">
        <f aca="false">IF(AND($M102&lt;&gt;"",$N102="VCA",$Q102="LINEAR"),($M102*2.5)/50,IF(AND($M102&lt;&gt;"",$N102="MND",$Q102="EMBOQUE"),($AN102*2*2.5)/50,0))</f>
        <v>2.3995</v>
      </c>
      <c r="BL102" s="157" t="str">
        <f aca="false">K102&amp;J102</f>
        <v>Zona01REDES</v>
      </c>
      <c r="BM102" s="152" t="s">
        <v>1559</v>
      </c>
      <c r="BN102" s="152" t="s">
        <v>1560</v>
      </c>
      <c r="BO102" s="152" t="s">
        <v>1748</v>
      </c>
      <c r="BP102" s="152" t="s">
        <v>1883</v>
      </c>
      <c r="BQ102" s="152" t="s">
        <v>1865</v>
      </c>
      <c r="BR102" s="152" t="s">
        <v>1916</v>
      </c>
      <c r="BS102" s="152" t="n">
        <v>203355.483</v>
      </c>
      <c r="BT102" s="152" t="n">
        <v>8238432.301</v>
      </c>
      <c r="BU102" s="152" t="n">
        <v>203384.997</v>
      </c>
      <c r="BV102" s="152" t="n">
        <v>8238470.143</v>
      </c>
      <c r="BW102" s="152" t="n">
        <v>-15.9154337</v>
      </c>
      <c r="BX102" s="152" t="n">
        <v>-47.7703728</v>
      </c>
      <c r="BY102" s="152" t="s">
        <v>1883</v>
      </c>
    </row>
    <row r="103" customFormat="false" ht="13.8" hidden="false" customHeight="false" outlineLevel="0" collapsed="false">
      <c r="A103" s="149" t="n">
        <f aca="false">IF(C103&lt;&gt;"",ROW(A98),"")</f>
        <v>98</v>
      </c>
      <c r="B103" s="150" t="str">
        <f aca="false">HYPERLINK("https://www.google.com/maps/dir/-15.917302,-47.760003/-15.9156496,-47.7741520/data=!4m3!4m2!3e0!5i0")</f>
        <v>https://www.google.com/maps/dir/-15.917302,-47.760003/-15.9156496,-47.7741520/data=!4m3!4m2!3e0!5i0</v>
      </c>
      <c r="C103" s="151" t="s">
        <v>117</v>
      </c>
      <c r="D103" s="152" t="s">
        <v>112</v>
      </c>
      <c r="E103" s="152" t="s">
        <v>113</v>
      </c>
      <c r="F103" s="152" t="s">
        <v>117</v>
      </c>
      <c r="G103" s="152" t="s">
        <v>782</v>
      </c>
      <c r="H103" s="152" t="n">
        <v>63</v>
      </c>
      <c r="I103" s="152" t="s">
        <v>115</v>
      </c>
      <c r="J103" s="152" t="s">
        <v>6</v>
      </c>
      <c r="K103" s="152" t="s">
        <v>1547</v>
      </c>
      <c r="L103" s="152" t="s">
        <v>120</v>
      </c>
      <c r="M103" s="153" t="n">
        <f aca="false">28.42</f>
        <v>28.42</v>
      </c>
      <c r="N103" s="152" t="s">
        <v>1548</v>
      </c>
      <c r="O103" s="152" t="s">
        <v>1549</v>
      </c>
      <c r="P103" s="152" t="s">
        <v>1550</v>
      </c>
      <c r="Q103" s="152" t="s">
        <v>1551</v>
      </c>
      <c r="R103" s="154" t="s">
        <v>1917</v>
      </c>
      <c r="S103" s="154" t="s">
        <v>1553</v>
      </c>
      <c r="T103" s="155" t="s">
        <v>1746</v>
      </c>
      <c r="U103" s="152" t="str">
        <f aca="false">RIGHT(T103,7)</f>
        <v>003/037</v>
      </c>
      <c r="V103" s="152" t="s">
        <v>1555</v>
      </c>
      <c r="W103" s="156" t="n">
        <v>45882</v>
      </c>
      <c r="X103" s="152" t="s">
        <v>1594</v>
      </c>
      <c r="Y103" s="152" t="s">
        <v>1886</v>
      </c>
      <c r="Z103" s="152" t="s">
        <v>1557</v>
      </c>
      <c r="AA103" s="153" t="n">
        <v>2.8</v>
      </c>
      <c r="AB103" s="151" t="s">
        <v>1918</v>
      </c>
      <c r="AC103" s="151" t="s">
        <v>186</v>
      </c>
      <c r="AD103" s="151" t="str">
        <f aca="false">CONCATENATE($C103,$I103,$H103,$N103,$J103,$K103)</f>
        <v>TUBO PEADPEAD63VCAREDESZona01</v>
      </c>
      <c r="AE103" s="153" t="n">
        <f aca="false">IFERROR(INDEX(APOIO_REDES!$A:$W,MATCH($C103&amp;$I103&amp;$H103&amp;$N103&amp;$O103,APOIO_REDES!$W:$W,0),MATCH(AE$5,APOIO_REDES!$5:$5,0)),0)</f>
        <v>1.2</v>
      </c>
      <c r="AF103" s="153" t="n">
        <f aca="false">IFERROR(INDEX(APOIO_REDES!$A:$W,MATCH($C103&amp;$I103&amp;$H103&amp;$N103&amp;$O103,APOIO_REDES!$W:$W,0),MATCH(AF$5,APOIO_REDES!$5:$5,0)),0)</f>
        <v>1.363</v>
      </c>
      <c r="AG103" s="153" t="n">
        <f aca="false">IFERROR(INDEX(APOIO_REDES!$A:$W,MATCH($C103&amp;$I103&amp;$H103&amp;$N103&amp;$O103,APOIO_REDES!$W:$W,0),MATCH(AG$5,APOIO_REDES!$5:$5,0)),0)</f>
        <v>0.65</v>
      </c>
      <c r="AH103" s="153" t="n">
        <f aca="false">IFERROR(INDEX(APOIO_REDES!$A:$W,MATCH($C103&amp;$I103&amp;$H103&amp;$N103&amp;$O103,APOIO_REDES!$W:$W,0),MATCH(AH$5,APOIO_REDES!$5:$5,0)),0)</f>
        <v>0.1</v>
      </c>
      <c r="AI103" s="153" t="n">
        <f aca="false">IFERROR(IF($H103&lt;&gt;"",(((($H103/1000)/2)^2)*PI()*$M103),0),0)</f>
        <v>0.0885921117251055</v>
      </c>
      <c r="AJ103" s="153" t="n">
        <f aca="false">IFERROR(IF(AND($H103&lt;&gt;"",$I103="FoFo",OR($N103="MND",$N103="VCA"),$Q103="LINEAR"),0,IF(AND($H103&lt;&gt;"",$I103="PEAD",$N103="VCA",$Q103="LINEAR"),($H103/1000)+0.3,IF(AND($H103&lt;&gt;"",$I103="PEAD",$N103="MND",$Q103="EMBOQUE"),0,IF(AND($H103&lt;&gt;"",$I103="PVC",$N103="VCA",$Q103="LINEAR"),($H103/1000)+0.2,IF(AND($H103&lt;&gt;"",$I103="PVC",$N103="MND",$Q103="EMBOQUE"),0,IF(AND($H103&lt;&gt;"",$I103="PEAD",$N103="VCA",$Q103="PREDIAL"),0,0)))))),0)</f>
        <v>0.363</v>
      </c>
      <c r="AK103" s="153" t="n">
        <f aca="false">IF(AA103&lt;&gt;"",AA103,0)</f>
        <v>2.8</v>
      </c>
      <c r="AL103" s="153" t="n">
        <f aca="false">IF(AND($N103="MND",$Q103="EMBOQUE"),$M103,IF(AND($N103="VCA",$Q103="LINEAR"),$M103,IF(AND($N103="VCA",$Q103="PREDIAL"),0,0)))</f>
        <v>28.42</v>
      </c>
      <c r="AM103" s="153" t="n">
        <f aca="false">IF(AND($N103="MND",$Q103="EMBOQUE"),$M103,IF(AND($N103="VCA",$Q103="LINEAR"),$M103,IF(AND($N103="VCA",$Q103="PREDIAL"),0,0)))</f>
        <v>28.42</v>
      </c>
      <c r="AN103" s="153" t="n">
        <f aca="false">ROUND(IF(AND($N103="VCA",$M103&lt;&gt;"",$Q103="LINEAR"),$M103/100,IF(AND($N103="MND",$M103&gt;100,$Q103="EMBOQUE"),$M103/100,0)),0)</f>
        <v>0</v>
      </c>
      <c r="AO103" s="153" t="n">
        <f aca="false">IF(AND($N103="MND",$Q103="EMBOQUE"),$AN103*2*2,IF(AND($N103="VCA",$Q103="LINEAR"),$M103*2,IF(AND($N103="VCA",$Q103="PREDIAL"),0,0)))</f>
        <v>56.84</v>
      </c>
      <c r="AP103" s="153" t="n">
        <f aca="false">IFERROR($M103*$AF103*$AG103,0)</f>
        <v>25.178699</v>
      </c>
      <c r="AQ103" s="153" t="n">
        <f aca="false">IFERROR(IF(AND($N103="VCA",$AH103&gt;0),$M103*$AG103*$AH103,0),0)</f>
        <v>1.8473</v>
      </c>
      <c r="AR103" s="153" t="n">
        <f aca="false">IFERROR(IF(AND($N103="VCA",$AJ103&gt;0),($M103*$AG103*$AJ103)-$AI103,0),0)</f>
        <v>6.6171068882749</v>
      </c>
      <c r="AS103" s="153" t="n">
        <f aca="false">IFERROR(IF(AND($N103="VCA",$AP103&gt;0),$AP103-$AI103-$AQ103-$AR103,0),0)</f>
        <v>16.6257</v>
      </c>
      <c r="AT103" s="153" t="n">
        <f aca="false">IFERROR(IF($N103="VCA",INDEX(APOIO_REDES!$A:$W,MATCH($C103&amp;$I103&amp;$H103&amp;$N103&amp;$O103,APOIO_REDES!$W:$W,0),MATCH(AT$5,APOIO_REDES!$5:$5,0)),0)*$AP103,0)</f>
        <v>0.273951697634491</v>
      </c>
      <c r="AU103" s="153" t="n">
        <f aca="false">IFERROR(IF($N103="VCA",INDEX(APOIO_REDES!$A:$W,MATCH($C103&amp;$I103&amp;$H103&amp;$N103&amp;$O103,APOIO_REDES!$W:$W,0),MATCH(AU$5,APOIO_REDES!$5:$5,0)),0)*$AP103,0)</f>
        <v>0.218770406177981</v>
      </c>
      <c r="AV103" s="153" t="n">
        <f aca="false">IFERROR(IF($N103="VCA",INDEX(APOIO_REDES!$A:$W,MATCH($C103&amp;$I103&amp;$H103&amp;$N103&amp;$O103,APOIO_REDES!$W:$W,0),MATCH(AV$5,APOIO_REDES!$5:$5,0)),0)*$AP103,0)</f>
        <v>0.0302761068000076</v>
      </c>
      <c r="AW103" s="153" t="n">
        <f aca="false">IFERROR(IF($N103="VCA",INDEX(APOIO_REDES!$A:$W,MATCH($C103&amp;$I103&amp;$H103&amp;$N103&amp;$O103,APOIO_REDES!$W:$W,0),MATCH(AW$5,APOIO_REDES!$5:$5,0)),0)*$AP103,0)</f>
        <v>17.28285408768</v>
      </c>
      <c r="AX103" s="153" t="n">
        <f aca="false">IFERROR(IF($N103="VCA",INDEX(APOIO_REDES!$A:$W,MATCH($C103&amp;$I103&amp;$H103&amp;$N103&amp;$O103,APOIO_REDES!$W:$W,0),MATCH(AX$5,APOIO_REDES!$5:$5,0)),0)*$AP103,0)</f>
        <v>2.39189777459315</v>
      </c>
      <c r="AY103" s="153" t="n">
        <f aca="false">IFERROR(IF($N103="VCA",INDEX(APOIO_REDES!$A:$W,MATCH($C103&amp;$I103&amp;$H103&amp;$N103&amp;$O103,APOIO_REDES!$W:$W,0),MATCH(AY$5,APOIO_REDES!$5:$5,0)),0)*$AP103,0)</f>
        <v>4.37540545676611</v>
      </c>
      <c r="AZ103" s="153" t="n">
        <f aca="false">IFERROR(IF($N103="VCA",INDEX(APOIO_REDES!$A:$W,MATCH($C103&amp;$I103&amp;$H103&amp;$N103&amp;$O103,APOIO_REDES!$W:$W,0),MATCH(AZ$5,APOIO_REDES!$5:$5,0)),0)*$AP103,0)</f>
        <v>0.605543470348289</v>
      </c>
      <c r="BA103" s="153" t="n">
        <f aca="false">IFERROR(IF(AND($N103="VCA",$Q103="LINEAR"),INDEX(APOIO_REDES!$A:$W,MATCH($C103&amp;$I103&amp;$H103&amp;$N103&amp;$O103,APOIO_REDES!$W:$W,0),MATCH(BA$5,APOIO_REDES!$5:$5,0)),IF(AND($N103="MND",$Q103="EMBOQUE"),INDEX(APOIO_REDES!$A:$W,MATCH($C103&amp;$I103&amp;$H103&amp;$N103&amp;$O103,APOIO_REDES!$W:$W,0),MATCH(BA$5,APOIO_REDES!$5:$5,0)),0))*$M103/10,0)</f>
        <v>2.29058031281736</v>
      </c>
      <c r="BB103" s="153" t="n">
        <f aca="false">IFERROR(IF($N103="VCA",INDEX(APOIO_REDES!$A:$W,MATCH($C103&amp;$I103&amp;$H103&amp;$N103&amp;$O103,APOIO_REDES!$W:$W,0),MATCH(BB$5,APOIO_REDES!$5:$5,0)),0)*($AI103+$AQ103+$AR103),0)</f>
        <v>8.45993983932152</v>
      </c>
      <c r="BC103" s="153" t="n">
        <f aca="false">IFERROR(IF($N103="VCA",INDEX(APOIO_REDES!$A:$W,MATCH($C103&amp;$I103&amp;$H103&amp;$N103&amp;$O103,APOIO_REDES!$W:$W,0),MATCH(BC$5,APOIO_REDES!$5:$5,0)),0)*($AI103+$AQ103+$AR103),0)</f>
        <v>0.0930591606784809</v>
      </c>
      <c r="BD103" s="153" t="n">
        <f aca="false">IF(AND($N103="VCA",$AF103&gt;=1.25,$AF103&lt;1.5),$M103*$AF103*2,0)</f>
        <v>77.47292</v>
      </c>
      <c r="BE103" s="153" t="n">
        <f aca="false">IF(AND($N103="VCA",$AF103&gt;=1.5,$AF103&lt;3),$M103*$AF103*2,0)</f>
        <v>0</v>
      </c>
      <c r="BF103" s="153" t="n">
        <f aca="false">IF(AND($N103="VCA",$AF103&gt;=3),$M103*$AF103*2,0)</f>
        <v>0</v>
      </c>
      <c r="BG103" s="153" t="n">
        <f aca="false">($BB103+$BC103)*$AK103</f>
        <v>23.9483972</v>
      </c>
      <c r="BH103" s="153" t="n">
        <f aca="false">IF(AND($M103&lt;&gt;"",$N103="VCA",$Q103="LINEAR"),($M103*2)/100,IF(AND($M103&lt;&gt;"",$N103="MND",$Q103="EMBOQUE"),($AN103*2)/100,0))</f>
        <v>0.5684</v>
      </c>
      <c r="BI103" s="153" t="n">
        <f aca="false">IF(AND($M103&lt;&gt;"",$N103="VCA",$Q103="LINEAR"),$M103,IF(AND($M103&lt;&gt;"",$N103="MND",$Q103="EMBOQUE"),$AN103*2,0))</f>
        <v>28.42</v>
      </c>
      <c r="BJ103" s="153" t="n">
        <f aca="false">IF(AND($M103&lt;&gt;"",$N103="VCA",$Q103="LINEAR"),($M103*6.8)/100,IF(AND($M103&lt;&gt;"",$N103="MND",$Q103="EMBOQUE"),($AN103*2*6.8)/100,0))</f>
        <v>1.93256</v>
      </c>
      <c r="BK103" s="153" t="n">
        <f aca="false">IF(AND($M103&lt;&gt;"",$N103="VCA",$Q103="LINEAR"),($M103*2.5)/50,IF(AND($M103&lt;&gt;"",$N103="MND",$Q103="EMBOQUE"),($AN103*2*2.5)/50,0))</f>
        <v>1.421</v>
      </c>
      <c r="BL103" s="157" t="str">
        <f aca="false">K103&amp;J103</f>
        <v>Zona01REDES</v>
      </c>
      <c r="BM103" s="152" t="s">
        <v>1559</v>
      </c>
      <c r="BN103" s="152" t="s">
        <v>1560</v>
      </c>
      <c r="BO103" s="152" t="s">
        <v>1748</v>
      </c>
      <c r="BP103" s="152" t="s">
        <v>1919</v>
      </c>
      <c r="BQ103" s="152" t="s">
        <v>1920</v>
      </c>
      <c r="BR103" s="152" t="s">
        <v>1850</v>
      </c>
      <c r="BS103" s="152" t="n">
        <v>202965.981</v>
      </c>
      <c r="BT103" s="152" t="n">
        <v>8238421.729</v>
      </c>
      <c r="BU103" s="152" t="n">
        <v>202980.949</v>
      </c>
      <c r="BV103" s="152" t="n">
        <v>8238445.887</v>
      </c>
      <c r="BW103" s="152" t="n">
        <v>-15.9155434</v>
      </c>
      <c r="BX103" s="152" t="n">
        <v>-47.7740775</v>
      </c>
      <c r="BY103" s="152" t="s">
        <v>1919</v>
      </c>
    </row>
    <row r="104" customFormat="false" ht="13.8" hidden="false" customHeight="false" outlineLevel="0" collapsed="false">
      <c r="A104" s="149" t="n">
        <f aca="false">IF(C104&lt;&gt;"",ROW(A99),"")</f>
        <v>99</v>
      </c>
      <c r="B104" s="150" t="str">
        <f aca="false">HYPERLINK("https://www.google.com/maps/dir/-15.917302,-47.760003/-15.9153081,-47.7697190/data=!4m3!4m2!3e0!5i0")</f>
        <v>https://www.google.com/maps/dir/-15.917302,-47.760003/-15.9153081,-47.7697190/data=!4m3!4m2!3e0!5i0</v>
      </c>
      <c r="C104" s="151" t="s">
        <v>117</v>
      </c>
      <c r="D104" s="152" t="s">
        <v>112</v>
      </c>
      <c r="E104" s="152" t="s">
        <v>113</v>
      </c>
      <c r="F104" s="152" t="s">
        <v>117</v>
      </c>
      <c r="G104" s="152" t="s">
        <v>114</v>
      </c>
      <c r="H104" s="152" t="n">
        <v>160</v>
      </c>
      <c r="I104" s="152" t="s">
        <v>115</v>
      </c>
      <c r="J104" s="152" t="s">
        <v>6</v>
      </c>
      <c r="K104" s="152" t="s">
        <v>1547</v>
      </c>
      <c r="L104" s="152" t="s">
        <v>120</v>
      </c>
      <c r="M104" s="153" t="n">
        <f aca="false">81.59</f>
        <v>81.59</v>
      </c>
      <c r="N104" s="152" t="s">
        <v>1548</v>
      </c>
      <c r="O104" s="152" t="s">
        <v>1549</v>
      </c>
      <c r="P104" s="152" t="s">
        <v>1550</v>
      </c>
      <c r="Q104" s="152" t="s">
        <v>1551</v>
      </c>
      <c r="R104" s="154" t="s">
        <v>1921</v>
      </c>
      <c r="S104" s="154" t="s">
        <v>1593</v>
      </c>
      <c r="T104" s="155" t="s">
        <v>1746</v>
      </c>
      <c r="U104" s="152" t="str">
        <f aca="false">RIGHT(T104,7)</f>
        <v>003/037</v>
      </c>
      <c r="V104" s="152" t="s">
        <v>1555</v>
      </c>
      <c r="W104" s="156" t="n">
        <v>45882</v>
      </c>
      <c r="X104" s="152" t="s">
        <v>1594</v>
      </c>
      <c r="Y104" s="152" t="s">
        <v>1855</v>
      </c>
      <c r="Z104" s="152" t="s">
        <v>1557</v>
      </c>
      <c r="AA104" s="153" t="n">
        <v>2.2</v>
      </c>
      <c r="AB104" s="151" t="s">
        <v>1922</v>
      </c>
      <c r="AC104" s="151" t="s">
        <v>505</v>
      </c>
      <c r="AD104" s="151" t="str">
        <f aca="false">CONCATENATE($C104,$I104,$H104,$N104,$J104,$K104)</f>
        <v>TUBO PEADPEAD160VCAREDESZona01</v>
      </c>
      <c r="AE104" s="153" t="n">
        <f aca="false">IFERROR(INDEX(APOIO_REDES!$A:$W,MATCH($C104&amp;$I104&amp;$H104&amp;$N104&amp;$O104,APOIO_REDES!$W:$W,0),MATCH(AE$5,APOIO_REDES!$5:$5,0)),0)</f>
        <v>1.2</v>
      </c>
      <c r="AF104" s="153" t="n">
        <f aca="false">IFERROR(INDEX(APOIO_REDES!$A:$W,MATCH($C104&amp;$I104&amp;$H104&amp;$N104&amp;$O104,APOIO_REDES!$W:$W,0),MATCH(AF$5,APOIO_REDES!$5:$5,0)),0)</f>
        <v>1.46</v>
      </c>
      <c r="AG104" s="153" t="n">
        <f aca="false">IFERROR(INDEX(APOIO_REDES!$A:$W,MATCH($C104&amp;$I104&amp;$H104&amp;$N104&amp;$O104,APOIO_REDES!$W:$W,0),MATCH(AG$5,APOIO_REDES!$5:$5,0)),0)</f>
        <v>0.75</v>
      </c>
      <c r="AH104" s="153" t="n">
        <f aca="false">IFERROR(INDEX(APOIO_REDES!$A:$W,MATCH($C104&amp;$I104&amp;$H104&amp;$N104&amp;$O104,APOIO_REDES!$W:$W,0),MATCH(AH$5,APOIO_REDES!$5:$5,0)),0)</f>
        <v>0.1</v>
      </c>
      <c r="AI104" s="153" t="n">
        <f aca="false">IFERROR(IF($H104&lt;&gt;"",(((($H104/1000)/2)^2)*PI()*$M104),0),0)</f>
        <v>1.6404642854809</v>
      </c>
      <c r="AJ104" s="153" t="n">
        <f aca="false">IFERROR(IF(AND($H104&lt;&gt;"",$I104="FoFo",OR($N104="MND",$N104="VCA"),$Q104="LINEAR"),0,IF(AND($H104&lt;&gt;"",$I104="PEAD",$N104="VCA",$Q104="LINEAR"),($H104/1000)+0.3,IF(AND($H104&lt;&gt;"",$I104="PEAD",$N104="MND",$Q104="EMBOQUE"),0,IF(AND($H104&lt;&gt;"",$I104="PVC",$N104="VCA",$Q104="LINEAR"),($H104/1000)+0.2,IF(AND($H104&lt;&gt;"",$I104="PVC",$N104="MND",$Q104="EMBOQUE"),0,IF(AND($H104&lt;&gt;"",$I104="PEAD",$N104="VCA",$Q104="PREDIAL"),0,0)))))),0)</f>
        <v>0.46</v>
      </c>
      <c r="AK104" s="153" t="n">
        <f aca="false">IF(AA104&lt;&gt;"",AA104,0)</f>
        <v>2.2</v>
      </c>
      <c r="AL104" s="153" t="n">
        <f aca="false">IF(AND($N104="MND",$Q104="EMBOQUE"),$M104,IF(AND($N104="VCA",$Q104="LINEAR"),$M104,IF(AND($N104="VCA",$Q104="PREDIAL"),0,0)))</f>
        <v>81.59</v>
      </c>
      <c r="AM104" s="153" t="n">
        <f aca="false">IF(AND($N104="MND",$Q104="EMBOQUE"),$M104,IF(AND($N104="VCA",$Q104="LINEAR"),$M104,IF(AND($N104="VCA",$Q104="PREDIAL"),0,0)))</f>
        <v>81.59</v>
      </c>
      <c r="AN104" s="153" t="n">
        <f aca="false">ROUND(IF(AND($N104="VCA",$M104&lt;&gt;"",$Q104="LINEAR"),$M104/100,IF(AND($N104="MND",$M104&gt;100,$Q104="EMBOQUE"),$M104/100,0)),0)</f>
        <v>1</v>
      </c>
      <c r="AO104" s="153" t="n">
        <f aca="false">IF(AND($N104="MND",$Q104="EMBOQUE"),$AN104*2*2,IF(AND($N104="VCA",$Q104="LINEAR"),$M104*2,IF(AND($N104="VCA",$Q104="PREDIAL"),0,0)))</f>
        <v>163.18</v>
      </c>
      <c r="AP104" s="153" t="n">
        <f aca="false">IFERROR($M104*$AF104*$AG104,0)</f>
        <v>89.34105</v>
      </c>
      <c r="AQ104" s="153" t="n">
        <f aca="false">IFERROR(IF(AND($N104="VCA",$AH104&gt;0),$M104*$AG104*$AH104,0),0)</f>
        <v>6.11925</v>
      </c>
      <c r="AR104" s="153" t="n">
        <f aca="false">IFERROR(IF(AND($N104="VCA",$AJ104&gt;0),($M104*$AG104*$AJ104)-$AI104,0),0)</f>
        <v>26.5080857145191</v>
      </c>
      <c r="AS104" s="153" t="n">
        <f aca="false">IFERROR(IF(AND($N104="VCA",$AP104&gt;0),$AP104-$AI104-$AQ104-$AR104,0),0)</f>
        <v>55.07325</v>
      </c>
      <c r="AT104" s="153" t="n">
        <f aca="false">IFERROR(IF($N104="VCA",INDEX(APOIO_REDES!$A:$W,MATCH($C104&amp;$I104&amp;$H104&amp;$N104&amp;$O104,APOIO_REDES!$W:$W,0),MATCH(AT$5,APOIO_REDES!$5:$5,0)),0)*$AP104,0)</f>
        <v>0.972057067600989</v>
      </c>
      <c r="AU104" s="153" t="n">
        <f aca="false">IFERROR(IF($N104="VCA",INDEX(APOIO_REDES!$A:$W,MATCH($C104&amp;$I104&amp;$H104&amp;$N104&amp;$O104,APOIO_REDES!$W:$W,0),MATCH(AU$5,APOIO_REDES!$5:$5,0)),0)*$AP104,0)</f>
        <v>0.776258447542001</v>
      </c>
      <c r="AV104" s="153" t="n">
        <f aca="false">IFERROR(IF($N104="VCA",INDEX(APOIO_REDES!$A:$W,MATCH($C104&amp;$I104&amp;$H104&amp;$N104&amp;$O104,APOIO_REDES!$W:$W,0),MATCH(AV$5,APOIO_REDES!$5:$5,0)),0)*$AP104,0)</f>
        <v>0.107428075272071</v>
      </c>
      <c r="AW104" s="153" t="n">
        <f aca="false">IFERROR(IF($N104="VCA",INDEX(APOIO_REDES!$A:$W,MATCH($C104&amp;$I104&amp;$H104&amp;$N104&amp;$O104,APOIO_REDES!$W:$W,0),MATCH(AW$5,APOIO_REDES!$5:$5,0)),0)*$AP104,0)</f>
        <v>61.3243889682355</v>
      </c>
      <c r="AX104" s="153" t="n">
        <f aca="false">IFERROR(IF($N104="VCA",INDEX(APOIO_REDES!$A:$W,MATCH($C104&amp;$I104&amp;$H104&amp;$N104&amp;$O104,APOIO_REDES!$W:$W,0),MATCH(AX$5,APOIO_REDES!$5:$5,0)),0)*$AP104,0)</f>
        <v>8.4871207473752</v>
      </c>
      <c r="AY104" s="153" t="n">
        <f aca="false">IFERROR(IF($N104="VCA",INDEX(APOIO_REDES!$A:$W,MATCH($C104&amp;$I104&amp;$H104&amp;$N104&amp;$O104,APOIO_REDES!$W:$W,0),MATCH(AY$5,APOIO_REDES!$5:$5,0)),0)*$AP104,0)</f>
        <v>15.5251594883125</v>
      </c>
      <c r="AZ104" s="153" t="n">
        <f aca="false">IFERROR(IF($N104="VCA",INDEX(APOIO_REDES!$A:$W,MATCH($C104&amp;$I104&amp;$H104&amp;$N104&amp;$O104,APOIO_REDES!$W:$W,0),MATCH(AZ$5,APOIO_REDES!$5:$5,0)),0)*$AP104,0)</f>
        <v>2.14863720566182</v>
      </c>
      <c r="BA104" s="153" t="n">
        <f aca="false">IFERROR(IF(AND($N104="VCA",$Q104="LINEAR"),INDEX(APOIO_REDES!$A:$W,MATCH($C104&amp;$I104&amp;$H104&amp;$N104&amp;$O104,APOIO_REDES!$W:$W,0),MATCH(BA$5,APOIO_REDES!$5:$5,0)),IF(AND($N104="MND",$Q104="EMBOQUE"),INDEX(APOIO_REDES!$A:$W,MATCH($C104&amp;$I104&amp;$H104&amp;$N104&amp;$O104,APOIO_REDES!$W:$W,0),MATCH(BA$5,APOIO_REDES!$5:$5,0)),0))*$M104/10,0)</f>
        <v>6.57594819573427</v>
      </c>
      <c r="BB104" s="153" t="n">
        <f aca="false">IFERROR(IF($N104="VCA",INDEX(APOIO_REDES!$A:$W,MATCH($C104&amp;$I104&amp;$H104&amp;$N104&amp;$O104,APOIO_REDES!$W:$W,0),MATCH(BB$5,APOIO_REDES!$5:$5,0)),0)*($AI104+$AQ104+$AR104),0)</f>
        <v>33.8949561932489</v>
      </c>
      <c r="BC104" s="153" t="n">
        <f aca="false">IFERROR(IF($N104="VCA",INDEX(APOIO_REDES!$A:$W,MATCH($C104&amp;$I104&amp;$H104&amp;$N104&amp;$O104,APOIO_REDES!$W:$W,0),MATCH(BC$5,APOIO_REDES!$5:$5,0)),0)*($AI104+$AQ104+$AR104),0)</f>
        <v>0.372843806751064</v>
      </c>
      <c r="BD104" s="153" t="n">
        <f aca="false">IF(AND($N104="VCA",$AF104&gt;=1.25,$AF104&lt;1.5),$M104*$AF104*2,0)</f>
        <v>238.2428</v>
      </c>
      <c r="BE104" s="153" t="n">
        <f aca="false">IF(AND($N104="VCA",$AF104&gt;=1.5,$AF104&lt;3),$M104*$AF104*2,0)</f>
        <v>0</v>
      </c>
      <c r="BF104" s="153" t="n">
        <f aca="false">IF(AND($N104="VCA",$AF104&gt;=3),$M104*$AF104*2,0)</f>
        <v>0</v>
      </c>
      <c r="BG104" s="153" t="n">
        <f aca="false">($BB104+$BC104)*$AK104</f>
        <v>75.38916</v>
      </c>
      <c r="BH104" s="153" t="n">
        <f aca="false">IF(AND($M104&lt;&gt;"",$N104="VCA",$Q104="LINEAR"),($M104*2)/100,IF(AND($M104&lt;&gt;"",$N104="MND",$Q104="EMBOQUE"),($AN104*2)/100,0))</f>
        <v>1.6318</v>
      </c>
      <c r="BI104" s="153" t="n">
        <f aca="false">IF(AND($M104&lt;&gt;"",$N104="VCA",$Q104="LINEAR"),$M104,IF(AND($M104&lt;&gt;"",$N104="MND",$Q104="EMBOQUE"),$AN104*2,0))</f>
        <v>81.59</v>
      </c>
      <c r="BJ104" s="153" t="n">
        <f aca="false">IF(AND($M104&lt;&gt;"",$N104="VCA",$Q104="LINEAR"),($M104*6.8)/100,IF(AND($M104&lt;&gt;"",$N104="MND",$Q104="EMBOQUE"),($AN104*2*6.8)/100,0))</f>
        <v>5.54812</v>
      </c>
      <c r="BK104" s="153" t="n">
        <f aca="false">IF(AND($M104&lt;&gt;"",$N104="VCA",$Q104="LINEAR"),($M104*2.5)/50,IF(AND($M104&lt;&gt;"",$N104="MND",$Q104="EMBOQUE"),($AN104*2*2.5)/50,0))</f>
        <v>4.0795</v>
      </c>
      <c r="BL104" s="157" t="str">
        <f aca="false">K104&amp;J104</f>
        <v>Zona01REDES</v>
      </c>
      <c r="BM104" s="152" t="s">
        <v>1559</v>
      </c>
      <c r="BN104" s="152" t="s">
        <v>1560</v>
      </c>
      <c r="BO104" s="152" t="s">
        <v>1748</v>
      </c>
      <c r="BP104" s="152" t="s">
        <v>1909</v>
      </c>
      <c r="BQ104" s="152" t="s">
        <v>1923</v>
      </c>
      <c r="BR104" s="152" t="s">
        <v>1924</v>
      </c>
      <c r="BS104" s="152" t="n">
        <v>203440.102</v>
      </c>
      <c r="BT104" s="152" t="n">
        <v>8238466.056</v>
      </c>
      <c r="BU104" s="152" t="n">
        <v>203409.54</v>
      </c>
      <c r="BV104" s="152" t="n">
        <v>8238390.766</v>
      </c>
      <c r="BW104" s="152" t="n">
        <v>-15.9156514</v>
      </c>
      <c r="BX104" s="152" t="n">
        <v>-47.7698505</v>
      </c>
      <c r="BY104" s="152" t="s">
        <v>1909</v>
      </c>
    </row>
    <row r="105" customFormat="false" ht="13.8" hidden="false" customHeight="false" outlineLevel="0" collapsed="false">
      <c r="A105" s="149" t="n">
        <f aca="false">IF(C105&lt;&gt;"",ROW(A100),"")</f>
        <v>100</v>
      </c>
      <c r="B105" s="150" t="str">
        <f aca="false">HYPERLINK("https://www.google.com/maps/dir/-15.917302,-47.760003/-15.9156663,-47.7733810/data=!4m3!4m2!3e0!5i0")</f>
        <v>https://www.google.com/maps/dir/-15.917302,-47.760003/-15.9156663,-47.7733810/data=!4m3!4m2!3e0!5i0</v>
      </c>
      <c r="C105" s="151" t="s">
        <v>117</v>
      </c>
      <c r="D105" s="152" t="s">
        <v>112</v>
      </c>
      <c r="E105" s="152" t="s">
        <v>113</v>
      </c>
      <c r="F105" s="152" t="s">
        <v>117</v>
      </c>
      <c r="G105" s="152" t="s">
        <v>782</v>
      </c>
      <c r="H105" s="152" t="n">
        <v>63</v>
      </c>
      <c r="I105" s="152" t="s">
        <v>115</v>
      </c>
      <c r="J105" s="152" t="s">
        <v>6</v>
      </c>
      <c r="K105" s="152" t="s">
        <v>1547</v>
      </c>
      <c r="L105" s="152" t="s">
        <v>120</v>
      </c>
      <c r="M105" s="153" t="n">
        <f aca="false">15.22</f>
        <v>15.22</v>
      </c>
      <c r="N105" s="152" t="s">
        <v>1548</v>
      </c>
      <c r="O105" s="152" t="s">
        <v>1549</v>
      </c>
      <c r="P105" s="152" t="s">
        <v>1550</v>
      </c>
      <c r="Q105" s="152" t="s">
        <v>1551</v>
      </c>
      <c r="R105" s="154" t="s">
        <v>1925</v>
      </c>
      <c r="S105" s="154" t="s">
        <v>1553</v>
      </c>
      <c r="T105" s="155" t="s">
        <v>1746</v>
      </c>
      <c r="U105" s="152" t="str">
        <f aca="false">RIGHT(T105,7)</f>
        <v>003/037</v>
      </c>
      <c r="V105" s="152" t="s">
        <v>1555</v>
      </c>
      <c r="W105" s="156" t="n">
        <v>45882</v>
      </c>
      <c r="X105" s="152" t="s">
        <v>1594</v>
      </c>
      <c r="Y105" s="152" t="s">
        <v>1886</v>
      </c>
      <c r="Z105" s="152" t="s">
        <v>1557</v>
      </c>
      <c r="AA105" s="153" t="n">
        <v>2.7</v>
      </c>
      <c r="AB105" s="151" t="s">
        <v>1926</v>
      </c>
      <c r="AC105" s="151" t="s">
        <v>186</v>
      </c>
      <c r="AD105" s="151" t="str">
        <f aca="false">CONCATENATE($C105,$I105,$H105,$N105,$J105,$K105)</f>
        <v>TUBO PEADPEAD63VCAREDESZona01</v>
      </c>
      <c r="AE105" s="153" t="n">
        <f aca="false">IFERROR(INDEX(APOIO_REDES!$A:$W,MATCH($C105&amp;$I105&amp;$H105&amp;$N105&amp;$O105,APOIO_REDES!$W:$W,0),MATCH(AE$5,APOIO_REDES!$5:$5,0)),0)</f>
        <v>1.2</v>
      </c>
      <c r="AF105" s="153" t="n">
        <f aca="false">IFERROR(INDEX(APOIO_REDES!$A:$W,MATCH($C105&amp;$I105&amp;$H105&amp;$N105&amp;$O105,APOIO_REDES!$W:$W,0),MATCH(AF$5,APOIO_REDES!$5:$5,0)),0)</f>
        <v>1.363</v>
      </c>
      <c r="AG105" s="153" t="n">
        <f aca="false">IFERROR(INDEX(APOIO_REDES!$A:$W,MATCH($C105&amp;$I105&amp;$H105&amp;$N105&amp;$O105,APOIO_REDES!$W:$W,0),MATCH(AG$5,APOIO_REDES!$5:$5,0)),0)</f>
        <v>0.65</v>
      </c>
      <c r="AH105" s="153" t="n">
        <f aca="false">IFERROR(INDEX(APOIO_REDES!$A:$W,MATCH($C105&amp;$I105&amp;$H105&amp;$N105&amp;$O105,APOIO_REDES!$W:$W,0),MATCH(AH$5,APOIO_REDES!$5:$5,0)),0)</f>
        <v>0.1</v>
      </c>
      <c r="AI105" s="153" t="n">
        <f aca="false">IFERROR(IF($H105&lt;&gt;"",(((($H105/1000)/2)^2)*PI()*$M105),0),0)</f>
        <v>0.0474444736261825</v>
      </c>
      <c r="AJ105" s="153" t="n">
        <f aca="false">IFERROR(IF(AND($H105&lt;&gt;"",$I105="FoFo",OR($N105="MND",$N105="VCA"),$Q105="LINEAR"),0,IF(AND($H105&lt;&gt;"",$I105="PEAD",$N105="VCA",$Q105="LINEAR"),($H105/1000)+0.3,IF(AND($H105&lt;&gt;"",$I105="PEAD",$N105="MND",$Q105="EMBOQUE"),0,IF(AND($H105&lt;&gt;"",$I105="PVC",$N105="VCA",$Q105="LINEAR"),($H105/1000)+0.2,IF(AND($H105&lt;&gt;"",$I105="PVC",$N105="MND",$Q105="EMBOQUE"),0,IF(AND($H105&lt;&gt;"",$I105="PEAD",$N105="VCA",$Q105="PREDIAL"),0,0)))))),0)</f>
        <v>0.363</v>
      </c>
      <c r="AK105" s="153" t="n">
        <f aca="false">IF(AA105&lt;&gt;"",AA105,0)</f>
        <v>2.7</v>
      </c>
      <c r="AL105" s="153" t="n">
        <f aca="false">IF(AND($N105="MND",$Q105="EMBOQUE"),$M105,IF(AND($N105="VCA",$Q105="LINEAR"),$M105,IF(AND($N105="VCA",$Q105="PREDIAL"),0,0)))</f>
        <v>15.22</v>
      </c>
      <c r="AM105" s="153" t="n">
        <f aca="false">IF(AND($N105="MND",$Q105="EMBOQUE"),$M105,IF(AND($N105="VCA",$Q105="LINEAR"),$M105,IF(AND($N105="VCA",$Q105="PREDIAL"),0,0)))</f>
        <v>15.22</v>
      </c>
      <c r="AN105" s="153" t="n">
        <f aca="false">ROUND(IF(AND($N105="VCA",$M105&lt;&gt;"",$Q105="LINEAR"),$M105/100,IF(AND($N105="MND",$M105&gt;100,$Q105="EMBOQUE"),$M105/100,0)),0)</f>
        <v>0</v>
      </c>
      <c r="AO105" s="153" t="n">
        <f aca="false">IF(AND($N105="MND",$Q105="EMBOQUE"),$AN105*2*2,IF(AND($N105="VCA",$Q105="LINEAR"),$M105*2,IF(AND($N105="VCA",$Q105="PREDIAL"),0,0)))</f>
        <v>30.44</v>
      </c>
      <c r="AP105" s="153" t="n">
        <f aca="false">IFERROR($M105*$AF105*$AG105,0)</f>
        <v>13.484159</v>
      </c>
      <c r="AQ105" s="153" t="n">
        <f aca="false">IFERROR(IF(AND($N105="VCA",$AH105&gt;0),$M105*$AG105*$AH105,0),0)</f>
        <v>0.9893</v>
      </c>
      <c r="AR105" s="153" t="n">
        <f aca="false">IFERROR(IF(AND($N105="VCA",$AJ105&gt;0),($M105*$AG105*$AJ105)-$AI105,0),0)</f>
        <v>3.54371452637382</v>
      </c>
      <c r="AS105" s="153" t="n">
        <f aca="false">IFERROR(IF(AND($N105="VCA",$AP105&gt;0),$AP105-$AI105-$AQ105-$AR105,0),0)</f>
        <v>8.9037</v>
      </c>
      <c r="AT105" s="153" t="n">
        <f aca="false">IFERROR(IF($N105="VCA",INDEX(APOIO_REDES!$A:$W,MATCH($C105&amp;$I105&amp;$H105&amp;$N105&amp;$O105,APOIO_REDES!$W:$W,0),MATCH(AT$5,APOIO_REDES!$5:$5,0)),0)*$AP105,0)</f>
        <v>0.146711641027338</v>
      </c>
      <c r="AU105" s="153" t="n">
        <f aca="false">IFERROR(IF($N105="VCA",INDEX(APOIO_REDES!$A:$W,MATCH($C105&amp;$I105&amp;$H105&amp;$N105&amp;$O105,APOIO_REDES!$W:$W,0),MATCH(AU$5,APOIO_REDES!$5:$5,0)),0)*$AP105,0)</f>
        <v>0.117159943069278</v>
      </c>
      <c r="AV105" s="153" t="n">
        <f aca="false">IFERROR(IF($N105="VCA",INDEX(APOIO_REDES!$A:$W,MATCH($C105&amp;$I105&amp;$H105&amp;$N105&amp;$O105,APOIO_REDES!$W:$W,0),MATCH(AV$5,APOIO_REDES!$5:$5,0)),0)*$AP105,0)</f>
        <v>0.0162140163791737</v>
      </c>
      <c r="AW105" s="153" t="n">
        <f aca="false">IFERROR(IF($N105="VCA",INDEX(APOIO_REDES!$A:$W,MATCH($C105&amp;$I105&amp;$H105&amp;$N105&amp;$O105,APOIO_REDES!$W:$W,0),MATCH(AW$5,APOIO_REDES!$5:$5,0)),0)*$AP105,0)</f>
        <v>9.25563121796232</v>
      </c>
      <c r="AX105" s="153" t="n">
        <f aca="false">IFERROR(IF($N105="VCA",INDEX(APOIO_REDES!$A:$W,MATCH($C105&amp;$I105&amp;$H105&amp;$N105&amp;$O105,APOIO_REDES!$W:$W,0),MATCH(AX$5,APOIO_REDES!$5:$5,0)),0)*$AP105,0)</f>
        <v>1.2809529954014</v>
      </c>
      <c r="AY105" s="153" t="n">
        <f aca="false">IFERROR(IF($N105="VCA",INDEX(APOIO_REDES!$A:$W,MATCH($C105&amp;$I105&amp;$H105&amp;$N105&amp;$O105,APOIO_REDES!$W:$W,0),MATCH(AY$5,APOIO_REDES!$5:$5,0)),0)*$AP105,0)</f>
        <v>2.34319743321535</v>
      </c>
      <c r="AZ105" s="153" t="n">
        <f aca="false">IFERROR(IF($N105="VCA",INDEX(APOIO_REDES!$A:$W,MATCH($C105&amp;$I105&amp;$H105&amp;$N105&amp;$O105,APOIO_REDES!$W:$W,0),MATCH(AZ$5,APOIO_REDES!$5:$5,0)),0)*$AP105,0)</f>
        <v>0.324291752945143</v>
      </c>
      <c r="BA105" s="153" t="n">
        <f aca="false">IFERROR(IF(AND($N105="VCA",$Q105="LINEAR"),INDEX(APOIO_REDES!$A:$W,MATCH($C105&amp;$I105&amp;$H105&amp;$N105&amp;$O105,APOIO_REDES!$W:$W,0),MATCH(BA$5,APOIO_REDES!$5:$5,0)),IF(AND($N105="MND",$Q105="EMBOQUE"),INDEX(APOIO_REDES!$A:$W,MATCH($C105&amp;$I105&amp;$H105&amp;$N105&amp;$O105,APOIO_REDES!$W:$W,0),MATCH(BA$5,APOIO_REDES!$5:$5,0)),0))*$M105/10,0)</f>
        <v>1.22669360876426</v>
      </c>
      <c r="BB105" s="153" t="n">
        <f aca="false">IFERROR(IF($N105="VCA",INDEX(APOIO_REDES!$A:$W,MATCH($C105&amp;$I105&amp;$H105&amp;$N105&amp;$O105,APOIO_REDES!$W:$W,0),MATCH(BB$5,APOIO_REDES!$5:$5,0)),0)*($AI105+$AQ105+$AR105),0)</f>
        <v>4.53062225033334</v>
      </c>
      <c r="BC105" s="153" t="n">
        <f aca="false">IFERROR(IF($N105="VCA",INDEX(APOIO_REDES!$A:$W,MATCH($C105&amp;$I105&amp;$H105&amp;$N105&amp;$O105,APOIO_REDES!$W:$W,0),MATCH(BC$5,APOIO_REDES!$5:$5,0)),0)*($AI105+$AQ105+$AR105),0)</f>
        <v>0.0498367496666601</v>
      </c>
      <c r="BD105" s="153" t="n">
        <f aca="false">IF(AND($N105="VCA",$AF105&gt;=1.25,$AF105&lt;1.5),$M105*$AF105*2,0)</f>
        <v>41.48972</v>
      </c>
      <c r="BE105" s="153" t="n">
        <f aca="false">IF(AND($N105="VCA",$AF105&gt;=1.5,$AF105&lt;3),$M105*$AF105*2,0)</f>
        <v>0</v>
      </c>
      <c r="BF105" s="153" t="n">
        <f aca="false">IF(AND($N105="VCA",$AF105&gt;=3),$M105*$AF105*2,0)</f>
        <v>0</v>
      </c>
      <c r="BG105" s="153" t="n">
        <f aca="false">($BB105+$BC105)*$AK105</f>
        <v>12.3672393</v>
      </c>
      <c r="BH105" s="153" t="n">
        <f aca="false">IF(AND($M105&lt;&gt;"",$N105="VCA",$Q105="LINEAR"),($M105*2)/100,IF(AND($M105&lt;&gt;"",$N105="MND",$Q105="EMBOQUE"),($AN105*2)/100,0))</f>
        <v>0.3044</v>
      </c>
      <c r="BI105" s="153" t="n">
        <f aca="false">IF(AND($M105&lt;&gt;"",$N105="VCA",$Q105="LINEAR"),$M105,IF(AND($M105&lt;&gt;"",$N105="MND",$Q105="EMBOQUE"),$AN105*2,0))</f>
        <v>15.22</v>
      </c>
      <c r="BJ105" s="153" t="n">
        <f aca="false">IF(AND($M105&lt;&gt;"",$N105="VCA",$Q105="LINEAR"),($M105*6.8)/100,IF(AND($M105&lt;&gt;"",$N105="MND",$Q105="EMBOQUE"),($AN105*2*6.8)/100,0))</f>
        <v>1.03496</v>
      </c>
      <c r="BK105" s="153" t="n">
        <f aca="false">IF(AND($M105&lt;&gt;"",$N105="VCA",$Q105="LINEAR"),($M105*2.5)/50,IF(AND($M105&lt;&gt;"",$N105="MND",$Q105="EMBOQUE"),($AN105*2*2.5)/50,0))</f>
        <v>0.761</v>
      </c>
      <c r="BL105" s="157" t="str">
        <f aca="false">K105&amp;J105</f>
        <v>Zona01REDES</v>
      </c>
      <c r="BM105" s="152" t="s">
        <v>1559</v>
      </c>
      <c r="BN105" s="152" t="s">
        <v>1560</v>
      </c>
      <c r="BO105" s="152" t="s">
        <v>1748</v>
      </c>
      <c r="BP105" s="152" t="s">
        <v>1927</v>
      </c>
      <c r="BQ105" s="152" t="s">
        <v>1913</v>
      </c>
      <c r="BR105" s="152" t="s">
        <v>1850</v>
      </c>
      <c r="BS105" s="152" t="n">
        <v>203048.306</v>
      </c>
      <c r="BT105" s="152" t="n">
        <v>8238421.234</v>
      </c>
      <c r="BU105" s="152" t="n">
        <v>203057.526</v>
      </c>
      <c r="BV105" s="152" t="n">
        <v>8238433.339</v>
      </c>
      <c r="BW105" s="152" t="n">
        <v>-15.9156118</v>
      </c>
      <c r="BX105" s="152" t="n">
        <v>-47.7733369</v>
      </c>
      <c r="BY105" s="152" t="s">
        <v>1927</v>
      </c>
    </row>
    <row r="106" customFormat="false" ht="13.8" hidden="false" customHeight="false" outlineLevel="0" collapsed="false">
      <c r="A106" s="149" t="n">
        <f aca="false">IF(C106&lt;&gt;"",ROW(A101),"")</f>
        <v>101</v>
      </c>
      <c r="B106" s="150" t="str">
        <f aca="false">HYPERLINK("https://www.google.com/maps/dir/-15.917302,-47.760003/-15.9154352,-47.7740061/data=!4m3!4m2!3e0!5i0")</f>
        <v>https://www.google.com/maps/dir/-15.917302,-47.760003/-15.9154352,-47.7740061/data=!4m3!4m2!3e0!5i0</v>
      </c>
      <c r="C106" s="151" t="s">
        <v>117</v>
      </c>
      <c r="D106" s="152" t="s">
        <v>112</v>
      </c>
      <c r="E106" s="152" t="s">
        <v>113</v>
      </c>
      <c r="F106" s="152" t="s">
        <v>117</v>
      </c>
      <c r="G106" s="152" t="s">
        <v>782</v>
      </c>
      <c r="H106" s="152" t="n">
        <v>63</v>
      </c>
      <c r="I106" s="152" t="s">
        <v>115</v>
      </c>
      <c r="J106" s="152" t="s">
        <v>6</v>
      </c>
      <c r="K106" s="152" t="s">
        <v>1547</v>
      </c>
      <c r="L106" s="152" t="s">
        <v>120</v>
      </c>
      <c r="M106" s="153" t="n">
        <f aca="false">68.63</f>
        <v>68.63</v>
      </c>
      <c r="N106" s="152" t="s">
        <v>1548</v>
      </c>
      <c r="O106" s="152" t="s">
        <v>1549</v>
      </c>
      <c r="P106" s="152" t="s">
        <v>1550</v>
      </c>
      <c r="Q106" s="152" t="s">
        <v>1551</v>
      </c>
      <c r="R106" s="154" t="s">
        <v>1928</v>
      </c>
      <c r="S106" s="154" t="s">
        <v>1553</v>
      </c>
      <c r="T106" s="155" t="s">
        <v>1746</v>
      </c>
      <c r="U106" s="152" t="str">
        <f aca="false">RIGHT(T106,7)</f>
        <v>003/037</v>
      </c>
      <c r="V106" s="152" t="s">
        <v>1555</v>
      </c>
      <c r="W106" s="156" t="n">
        <v>45882</v>
      </c>
      <c r="X106" s="152" t="s">
        <v>1594</v>
      </c>
      <c r="Y106" s="152" t="s">
        <v>1886</v>
      </c>
      <c r="Z106" s="152" t="s">
        <v>1557</v>
      </c>
      <c r="AA106" s="153" t="n">
        <v>2.8</v>
      </c>
      <c r="AB106" s="151" t="s">
        <v>1929</v>
      </c>
      <c r="AC106" s="151" t="s">
        <v>186</v>
      </c>
      <c r="AD106" s="151" t="str">
        <f aca="false">CONCATENATE($C106,$I106,$H106,$N106,$J106,$K106)</f>
        <v>TUBO PEADPEAD63VCAREDESZona01</v>
      </c>
      <c r="AE106" s="153" t="n">
        <f aca="false">IFERROR(INDEX(APOIO_REDES!$A:$W,MATCH($C106&amp;$I106&amp;$H106&amp;$N106&amp;$O106,APOIO_REDES!$W:$W,0),MATCH(AE$5,APOIO_REDES!$5:$5,0)),0)</f>
        <v>1.2</v>
      </c>
      <c r="AF106" s="153" t="n">
        <f aca="false">IFERROR(INDEX(APOIO_REDES!$A:$W,MATCH($C106&amp;$I106&amp;$H106&amp;$N106&amp;$O106,APOIO_REDES!$W:$W,0),MATCH(AF$5,APOIO_REDES!$5:$5,0)),0)</f>
        <v>1.363</v>
      </c>
      <c r="AG106" s="153" t="n">
        <f aca="false">IFERROR(INDEX(APOIO_REDES!$A:$W,MATCH($C106&amp;$I106&amp;$H106&amp;$N106&amp;$O106,APOIO_REDES!$W:$W,0),MATCH(AG$5,APOIO_REDES!$5:$5,0)),0)</f>
        <v>0.65</v>
      </c>
      <c r="AH106" s="153" t="n">
        <f aca="false">IFERROR(INDEX(APOIO_REDES!$A:$W,MATCH($C106&amp;$I106&amp;$H106&amp;$N106&amp;$O106,APOIO_REDES!$W:$W,0),MATCH(AH$5,APOIO_REDES!$5:$5,0)),0)</f>
        <v>0.1</v>
      </c>
      <c r="AI106" s="153" t="n">
        <f aca="false">IFERROR(IF($H106&lt;&gt;"",(((($H106/1000)/2)^2)*PI()*$M106),0),0)</f>
        <v>0.213936545661295</v>
      </c>
      <c r="AJ106" s="153" t="n">
        <f aca="false">IFERROR(IF(AND($H106&lt;&gt;"",$I106="FoFo",OR($N106="MND",$N106="VCA"),$Q106="LINEAR"),0,IF(AND($H106&lt;&gt;"",$I106="PEAD",$N106="VCA",$Q106="LINEAR"),($H106/1000)+0.3,IF(AND($H106&lt;&gt;"",$I106="PEAD",$N106="MND",$Q106="EMBOQUE"),0,IF(AND($H106&lt;&gt;"",$I106="PVC",$N106="VCA",$Q106="LINEAR"),($H106/1000)+0.2,IF(AND($H106&lt;&gt;"",$I106="PVC",$N106="MND",$Q106="EMBOQUE"),0,IF(AND($H106&lt;&gt;"",$I106="PEAD",$N106="VCA",$Q106="PREDIAL"),0,0)))))),0)</f>
        <v>0.363</v>
      </c>
      <c r="AK106" s="153" t="n">
        <f aca="false">IF(AA106&lt;&gt;"",AA106,0)</f>
        <v>2.8</v>
      </c>
      <c r="AL106" s="153" t="n">
        <f aca="false">IF(AND($N106="MND",$Q106="EMBOQUE"),$M106,IF(AND($N106="VCA",$Q106="LINEAR"),$M106,IF(AND($N106="VCA",$Q106="PREDIAL"),0,0)))</f>
        <v>68.63</v>
      </c>
      <c r="AM106" s="153" t="n">
        <f aca="false">IF(AND($N106="MND",$Q106="EMBOQUE"),$M106,IF(AND($N106="VCA",$Q106="LINEAR"),$M106,IF(AND($N106="VCA",$Q106="PREDIAL"),0,0)))</f>
        <v>68.63</v>
      </c>
      <c r="AN106" s="153" t="n">
        <f aca="false">ROUND(IF(AND($N106="VCA",$M106&lt;&gt;"",$Q106="LINEAR"),$M106/100,IF(AND($N106="MND",$M106&gt;100,$Q106="EMBOQUE"),$M106/100,0)),0)</f>
        <v>1</v>
      </c>
      <c r="AO106" s="153" t="n">
        <f aca="false">IF(AND($N106="MND",$Q106="EMBOQUE"),$AN106*2*2,IF(AND($N106="VCA",$Q106="LINEAR"),$M106*2,IF(AND($N106="VCA",$Q106="PREDIAL"),0,0)))</f>
        <v>137.26</v>
      </c>
      <c r="AP106" s="153" t="n">
        <f aca="false">IFERROR($M106*$AF106*$AG106,0)</f>
        <v>60.8027485</v>
      </c>
      <c r="AQ106" s="153" t="n">
        <f aca="false">IFERROR(IF(AND($N106="VCA",$AH106&gt;0),$M106*$AG106*$AH106,0),0)</f>
        <v>4.46095</v>
      </c>
      <c r="AR106" s="153" t="n">
        <f aca="false">IFERROR(IF(AND($N106="VCA",$AJ106&gt;0),($M106*$AG106*$AJ106)-$AI106,0),0)</f>
        <v>15.9793119543387</v>
      </c>
      <c r="AS106" s="153" t="n">
        <f aca="false">IFERROR(IF(AND($N106="VCA",$AP106&gt;0),$AP106-$AI106-$AQ106-$AR106,0),0)</f>
        <v>40.14855</v>
      </c>
      <c r="AT106" s="153" t="n">
        <f aca="false">IFERROR(IF($N106="VCA",INDEX(APOIO_REDES!$A:$W,MATCH($C106&amp;$I106&amp;$H106&amp;$N106&amp;$O106,APOIO_REDES!$W:$W,0),MATCH(AT$5,APOIO_REDES!$5:$5,0)),0)*$AP106,0)</f>
        <v>0.661551900374917</v>
      </c>
      <c r="AU106" s="153" t="n">
        <f aca="false">IFERROR(IF($N106="VCA",INDEX(APOIO_REDES!$A:$W,MATCH($C106&amp;$I106&amp;$H106&amp;$N106&amp;$O106,APOIO_REDES!$W:$W,0),MATCH(AU$5,APOIO_REDES!$5:$5,0)),0)*$AP106,0)</f>
        <v>0.528297430541691</v>
      </c>
      <c r="AV106" s="153" t="n">
        <f aca="false">IFERROR(IF($N106="VCA",INDEX(APOIO_REDES!$A:$W,MATCH($C106&amp;$I106&amp;$H106&amp;$N106&amp;$O106,APOIO_REDES!$W:$W,0),MATCH(AV$5,APOIO_REDES!$5:$5,0)),0)*$AP106,0)</f>
        <v>0.0731122170895327</v>
      </c>
      <c r="AW106" s="153" t="n">
        <f aca="false">IFERROR(IF($N106="VCA",INDEX(APOIO_REDES!$A:$W,MATCH($C106&amp;$I106&amp;$H106&amp;$N106&amp;$O106,APOIO_REDES!$W:$W,0),MATCH(AW$5,APOIO_REDES!$5:$5,0)),0)*$AP106,0)</f>
        <v>41.735477693085</v>
      </c>
      <c r="AX106" s="153" t="n">
        <f aca="false">IFERROR(IF($N106="VCA",INDEX(APOIO_REDES!$A:$W,MATCH($C106&amp;$I106&amp;$H106&amp;$N106&amp;$O106,APOIO_REDES!$W:$W,0),MATCH(AX$5,APOIO_REDES!$5:$5,0)),0)*$AP106,0)</f>
        <v>5.77607122696438</v>
      </c>
      <c r="AY106" s="153" t="n">
        <f aca="false">IFERROR(IF($N106="VCA",INDEX(APOIO_REDES!$A:$W,MATCH($C106&amp;$I106&amp;$H106&amp;$N106&amp;$O106,APOIO_REDES!$W:$W,0),MATCH(AY$5,APOIO_REDES!$5:$5,0)),0)*$AP106,0)</f>
        <v>10.565942170931</v>
      </c>
      <c r="AZ106" s="153" t="n">
        <f aca="false">IFERROR(IF($N106="VCA",INDEX(APOIO_REDES!$A:$W,MATCH($C106&amp;$I106&amp;$H106&amp;$N106&amp;$O106,APOIO_REDES!$W:$W,0),MATCH(AZ$5,APOIO_REDES!$5:$5,0)),0)*$AP106,0)</f>
        <v>1.46229586101348</v>
      </c>
      <c r="BA106" s="153" t="n">
        <f aca="false">IFERROR(IF(AND($N106="VCA",$Q106="LINEAR"),INDEX(APOIO_REDES!$A:$W,MATCH($C106&amp;$I106&amp;$H106&amp;$N106&amp;$O106,APOIO_REDES!$W:$W,0),MATCH(BA$5,APOIO_REDES!$5:$5,0)),IF(AND($N106="MND",$Q106="EMBOQUE"),INDEX(APOIO_REDES!$A:$W,MATCH($C106&amp;$I106&amp;$H106&amp;$N106&amp;$O106,APOIO_REDES!$W:$W,0),MATCH(BA$5,APOIO_REDES!$5:$5,0)),0))*$M106/10,0)</f>
        <v>5.53140488630032</v>
      </c>
      <c r="BB106" s="153" t="n">
        <f aca="false">IFERROR(IF($N106="VCA",INDEX(APOIO_REDES!$A:$W,MATCH($C106&amp;$I106&amp;$H106&amp;$N106&amp;$O106,APOIO_REDES!$W:$W,0),MATCH(BB$5,APOIO_REDES!$5:$5,0)),0)*($AI106+$AQ106+$AR106),0)</f>
        <v>20.4294747069893</v>
      </c>
      <c r="BC106" s="153" t="n">
        <f aca="false">IFERROR(IF($N106="VCA",INDEX(APOIO_REDES!$A:$W,MATCH($C106&amp;$I106&amp;$H106&amp;$N106&amp;$O106,APOIO_REDES!$W:$W,0),MATCH(BC$5,APOIO_REDES!$5:$5,0)),0)*($AI106+$AQ106+$AR106),0)</f>
        <v>0.224723793010702</v>
      </c>
      <c r="BD106" s="153" t="n">
        <f aca="false">IF(AND($N106="VCA",$AF106&gt;=1.25,$AF106&lt;1.5),$M106*$AF106*2,0)</f>
        <v>187.08538</v>
      </c>
      <c r="BE106" s="153" t="n">
        <f aca="false">IF(AND($N106="VCA",$AF106&gt;=1.5,$AF106&lt;3),$M106*$AF106*2,0)</f>
        <v>0</v>
      </c>
      <c r="BF106" s="153" t="n">
        <f aca="false">IF(AND($N106="VCA",$AF106&gt;=3),$M106*$AF106*2,0)</f>
        <v>0</v>
      </c>
      <c r="BG106" s="153" t="n">
        <f aca="false">($BB106+$BC106)*$AK106</f>
        <v>57.8317558</v>
      </c>
      <c r="BH106" s="153" t="n">
        <f aca="false">IF(AND($M106&lt;&gt;"",$N106="VCA",$Q106="LINEAR"),($M106*2)/100,IF(AND($M106&lt;&gt;"",$N106="MND",$Q106="EMBOQUE"),($AN106*2)/100,0))</f>
        <v>1.3726</v>
      </c>
      <c r="BI106" s="153" t="n">
        <f aca="false">IF(AND($M106&lt;&gt;"",$N106="VCA",$Q106="LINEAR"),$M106,IF(AND($M106&lt;&gt;"",$N106="MND",$Q106="EMBOQUE"),$AN106*2,0))</f>
        <v>68.63</v>
      </c>
      <c r="BJ106" s="153" t="n">
        <f aca="false">IF(AND($M106&lt;&gt;"",$N106="VCA",$Q106="LINEAR"),($M106*6.8)/100,IF(AND($M106&lt;&gt;"",$N106="MND",$Q106="EMBOQUE"),($AN106*2*6.8)/100,0))</f>
        <v>4.66684</v>
      </c>
      <c r="BK106" s="153" t="n">
        <f aca="false">IF(AND($M106&lt;&gt;"",$N106="VCA",$Q106="LINEAR"),($M106*2.5)/50,IF(AND($M106&lt;&gt;"",$N106="MND",$Q106="EMBOQUE"),($AN106*2*2.5)/50,0))</f>
        <v>3.4315</v>
      </c>
      <c r="BL106" s="157" t="str">
        <f aca="false">K106&amp;J106</f>
        <v>Zona01REDES</v>
      </c>
      <c r="BM106" s="152" t="s">
        <v>1559</v>
      </c>
      <c r="BN106" s="152" t="s">
        <v>1560</v>
      </c>
      <c r="BO106" s="152" t="s">
        <v>1748</v>
      </c>
      <c r="BP106" s="152" t="s">
        <v>1920</v>
      </c>
      <c r="BQ106" s="152" t="s">
        <v>1930</v>
      </c>
      <c r="BR106" s="152" t="s">
        <v>1850</v>
      </c>
      <c r="BS106" s="152" t="n">
        <v>202980.949</v>
      </c>
      <c r="BT106" s="152" t="n">
        <v>8238445.887</v>
      </c>
      <c r="BU106" s="152" t="n">
        <v>203037.79</v>
      </c>
      <c r="BV106" s="152" t="n">
        <v>8238407.426</v>
      </c>
      <c r="BW106" s="152" t="n">
        <v>-15.9156122</v>
      </c>
      <c r="BX106" s="152" t="n">
        <v>-47.7737433</v>
      </c>
      <c r="BY106" s="152" t="s">
        <v>1920</v>
      </c>
    </row>
    <row r="107" customFormat="false" ht="13.8" hidden="false" customHeight="false" outlineLevel="0" collapsed="false">
      <c r="A107" s="149" t="n">
        <f aca="false">IF(C107&lt;&gt;"",ROW(A102),"")</f>
        <v>102</v>
      </c>
      <c r="B107" s="150" t="str">
        <f aca="false">HYPERLINK("https://www.google.com/maps/dir/-15.917302,-47.760003/-15.9157676,-47.7742254/data=!4m3!4m2!3e0!5i0")</f>
        <v>https://www.google.com/maps/dir/-15.917302,-47.760003/-15.9157676,-47.7742254/data=!4m3!4m2!3e0!5i0</v>
      </c>
      <c r="C107" s="151" t="s">
        <v>117</v>
      </c>
      <c r="D107" s="152" t="s">
        <v>112</v>
      </c>
      <c r="E107" s="152" t="s">
        <v>113</v>
      </c>
      <c r="F107" s="152" t="s">
        <v>117</v>
      </c>
      <c r="G107" s="152" t="s">
        <v>782</v>
      </c>
      <c r="H107" s="152" t="n">
        <v>63</v>
      </c>
      <c r="I107" s="152" t="s">
        <v>115</v>
      </c>
      <c r="J107" s="152" t="s">
        <v>6</v>
      </c>
      <c r="K107" s="152" t="s">
        <v>1547</v>
      </c>
      <c r="L107" s="152" t="s">
        <v>120</v>
      </c>
      <c r="M107" s="153" t="n">
        <f aca="false">15.25</f>
        <v>15.25</v>
      </c>
      <c r="N107" s="152" t="s">
        <v>1548</v>
      </c>
      <c r="O107" s="152" t="s">
        <v>1549</v>
      </c>
      <c r="P107" s="152" t="s">
        <v>1550</v>
      </c>
      <c r="Q107" s="152" t="s">
        <v>1551</v>
      </c>
      <c r="R107" s="154" t="s">
        <v>1931</v>
      </c>
      <c r="S107" s="154" t="s">
        <v>1553</v>
      </c>
      <c r="T107" s="155" t="s">
        <v>1746</v>
      </c>
      <c r="U107" s="152" t="str">
        <f aca="false">RIGHT(T107,7)</f>
        <v>003/037</v>
      </c>
      <c r="V107" s="152" t="s">
        <v>1555</v>
      </c>
      <c r="W107" s="156" t="n">
        <v>45882</v>
      </c>
      <c r="X107" s="152" t="s">
        <v>1594</v>
      </c>
      <c r="Y107" s="152" t="s">
        <v>1886</v>
      </c>
      <c r="Z107" s="152" t="s">
        <v>1557</v>
      </c>
      <c r="AA107" s="153" t="n">
        <v>2.8</v>
      </c>
      <c r="AB107" s="151" t="s">
        <v>1932</v>
      </c>
      <c r="AC107" s="151" t="s">
        <v>186</v>
      </c>
      <c r="AD107" s="151" t="str">
        <f aca="false">CONCATENATE($C107,$I107,$H107,$N107,$J107,$K107)</f>
        <v>TUBO PEADPEAD63VCAREDESZona01</v>
      </c>
      <c r="AE107" s="153" t="n">
        <f aca="false">IFERROR(INDEX(APOIO_REDES!$A:$W,MATCH($C107&amp;$I107&amp;$H107&amp;$N107&amp;$O107,APOIO_REDES!$W:$W,0),MATCH(AE$5,APOIO_REDES!$5:$5,0)),0)</f>
        <v>1.2</v>
      </c>
      <c r="AF107" s="153" t="n">
        <f aca="false">IFERROR(INDEX(APOIO_REDES!$A:$W,MATCH($C107&amp;$I107&amp;$H107&amp;$N107&amp;$O107,APOIO_REDES!$W:$W,0),MATCH(AF$5,APOIO_REDES!$5:$5,0)),0)</f>
        <v>1.363</v>
      </c>
      <c r="AG107" s="153" t="n">
        <f aca="false">IFERROR(INDEX(APOIO_REDES!$A:$W,MATCH($C107&amp;$I107&amp;$H107&amp;$N107&amp;$O107,APOIO_REDES!$W:$W,0),MATCH(AG$5,APOIO_REDES!$5:$5,0)),0)</f>
        <v>0.65</v>
      </c>
      <c r="AH107" s="153" t="n">
        <f aca="false">IFERROR(INDEX(APOIO_REDES!$A:$W,MATCH($C107&amp;$I107&amp;$H107&amp;$N107&amp;$O107,APOIO_REDES!$W:$W,0),MATCH(AH$5,APOIO_REDES!$5:$5,0)),0)</f>
        <v>0.1</v>
      </c>
      <c r="AI107" s="153" t="n">
        <f aca="false">IFERROR(IF($H107&lt;&gt;"",(((($H107/1000)/2)^2)*PI()*$M107),0),0)</f>
        <v>0.0475379909854982</v>
      </c>
      <c r="AJ107" s="153" t="n">
        <f aca="false">IFERROR(IF(AND($H107&lt;&gt;"",$I107="FoFo",OR($N107="MND",$N107="VCA"),$Q107="LINEAR"),0,IF(AND($H107&lt;&gt;"",$I107="PEAD",$N107="VCA",$Q107="LINEAR"),($H107/1000)+0.3,IF(AND($H107&lt;&gt;"",$I107="PEAD",$N107="MND",$Q107="EMBOQUE"),0,IF(AND($H107&lt;&gt;"",$I107="PVC",$N107="VCA",$Q107="LINEAR"),($H107/1000)+0.2,IF(AND($H107&lt;&gt;"",$I107="PVC",$N107="MND",$Q107="EMBOQUE"),0,IF(AND($H107&lt;&gt;"",$I107="PEAD",$N107="VCA",$Q107="PREDIAL"),0,0)))))),0)</f>
        <v>0.363</v>
      </c>
      <c r="AK107" s="153" t="n">
        <f aca="false">IF(AA107&lt;&gt;"",AA107,0)</f>
        <v>2.8</v>
      </c>
      <c r="AL107" s="153" t="n">
        <f aca="false">IF(AND($N107="MND",$Q107="EMBOQUE"),$M107,IF(AND($N107="VCA",$Q107="LINEAR"),$M107,IF(AND($N107="VCA",$Q107="PREDIAL"),0,0)))</f>
        <v>15.25</v>
      </c>
      <c r="AM107" s="153" t="n">
        <f aca="false">IF(AND($N107="MND",$Q107="EMBOQUE"),$M107,IF(AND($N107="VCA",$Q107="LINEAR"),$M107,IF(AND($N107="VCA",$Q107="PREDIAL"),0,0)))</f>
        <v>15.25</v>
      </c>
      <c r="AN107" s="153" t="n">
        <f aca="false">ROUND(IF(AND($N107="VCA",$M107&lt;&gt;"",$Q107="LINEAR"),$M107/100,IF(AND($N107="MND",$M107&gt;100,$Q107="EMBOQUE"),$M107/100,0)),0)</f>
        <v>0</v>
      </c>
      <c r="AO107" s="153" t="n">
        <f aca="false">IF(AND($N107="MND",$Q107="EMBOQUE"),$AN107*2*2,IF(AND($N107="VCA",$Q107="LINEAR"),$M107*2,IF(AND($N107="VCA",$Q107="PREDIAL"),0,0)))</f>
        <v>30.5</v>
      </c>
      <c r="AP107" s="153" t="n">
        <f aca="false">IFERROR($M107*$AF107*$AG107,0)</f>
        <v>13.5107375</v>
      </c>
      <c r="AQ107" s="153" t="n">
        <f aca="false">IFERROR(IF(AND($N107="VCA",$AH107&gt;0),$M107*$AG107*$AH107,0),0)</f>
        <v>0.99125</v>
      </c>
      <c r="AR107" s="153" t="n">
        <f aca="false">IFERROR(IF(AND($N107="VCA",$AJ107&gt;0),($M107*$AG107*$AJ107)-$AI107,0),0)</f>
        <v>3.5506995090145</v>
      </c>
      <c r="AS107" s="153" t="n">
        <f aca="false">IFERROR(IF(AND($N107="VCA",$AP107&gt;0),$AP107-$AI107-$AQ107-$AR107,0),0)</f>
        <v>8.92125</v>
      </c>
      <c r="AT107" s="153" t="n">
        <f aca="false">IFERROR(IF($N107="VCA",INDEX(APOIO_REDES!$A:$W,MATCH($C107&amp;$I107&amp;$H107&amp;$N107&amp;$O107,APOIO_REDES!$W:$W,0),MATCH(AT$5,APOIO_REDES!$5:$5,0)),0)*$AP107,0)</f>
        <v>0.147000822974173</v>
      </c>
      <c r="AU107" s="153" t="n">
        <f aca="false">IFERROR(IF($N107="VCA",INDEX(APOIO_REDES!$A:$W,MATCH($C107&amp;$I107&amp;$H107&amp;$N107&amp;$O107,APOIO_REDES!$W:$W,0),MATCH(AU$5,APOIO_REDES!$5:$5,0)),0)*$AP107,0)</f>
        <v>0.117390875939979</v>
      </c>
      <c r="AV107" s="153" t="n">
        <f aca="false">IFERROR(IF($N107="VCA",INDEX(APOIO_REDES!$A:$W,MATCH($C107&amp;$I107&amp;$H107&amp;$N107&amp;$O107,APOIO_REDES!$W:$W,0),MATCH(AV$5,APOIO_REDES!$5:$5,0)),0)*$AP107,0)</f>
        <v>0.0162459756755846</v>
      </c>
      <c r="AW107" s="153" t="n">
        <f aca="false">IFERROR(IF($N107="VCA",INDEX(APOIO_REDES!$A:$W,MATCH($C107&amp;$I107&amp;$H107&amp;$N107&amp;$O107,APOIO_REDES!$W:$W,0),MATCH(AW$5,APOIO_REDES!$5:$5,0)),0)*$AP107,0)</f>
        <v>9.27387490630259</v>
      </c>
      <c r="AX107" s="153" t="n">
        <f aca="false">IFERROR(IF($N107="VCA",INDEX(APOIO_REDES!$A:$W,MATCH($C107&amp;$I107&amp;$H107&amp;$N107&amp;$O107,APOIO_REDES!$W:$W,0),MATCH(AX$5,APOIO_REDES!$5:$5,0)),0)*$AP107,0)</f>
        <v>1.28347786989956</v>
      </c>
      <c r="AY107" s="153" t="n">
        <f aca="false">IFERROR(IF($N107="VCA",INDEX(APOIO_REDES!$A:$W,MATCH($C107&amp;$I107&amp;$H107&amp;$N107&amp;$O107,APOIO_REDES!$W:$W,0),MATCH(AY$5,APOIO_REDES!$5:$5,0)),0)*$AP107,0)</f>
        <v>2.34781608781433</v>
      </c>
      <c r="AZ107" s="153" t="n">
        <f aca="false">IFERROR(IF($N107="VCA",INDEX(APOIO_REDES!$A:$W,MATCH($C107&amp;$I107&amp;$H107&amp;$N107&amp;$O107,APOIO_REDES!$W:$W,0),MATCH(AZ$5,APOIO_REDES!$5:$5,0)),0)*$AP107,0)</f>
        <v>0.324930961393786</v>
      </c>
      <c r="BA107" s="153" t="n">
        <f aca="false">IFERROR(IF(AND($N107="VCA",$Q107="LINEAR"),INDEX(APOIO_REDES!$A:$W,MATCH($C107&amp;$I107&amp;$H107&amp;$N107&amp;$O107,APOIO_REDES!$W:$W,0),MATCH(BA$5,APOIO_REDES!$5:$5,0)),IF(AND($N107="MND",$Q107="EMBOQUE"),INDEX(APOIO_REDES!$A:$W,MATCH($C107&amp;$I107&amp;$H107&amp;$N107&amp;$O107,APOIO_REDES!$W:$W,0),MATCH(BA$5,APOIO_REDES!$5:$5,0)),0))*$M107/10,0)</f>
        <v>1.22911153309165</v>
      </c>
      <c r="BB107" s="153" t="n">
        <f aca="false">IFERROR(IF($N107="VCA",INDEX(APOIO_REDES!$A:$W,MATCH($C107&amp;$I107&amp;$H107&amp;$N107&amp;$O107,APOIO_REDES!$W:$W,0),MATCH(BB$5,APOIO_REDES!$5:$5,0)),0)*($AI107+$AQ107+$AR107),0)</f>
        <v>4.53955251758104</v>
      </c>
      <c r="BC107" s="153" t="n">
        <f aca="false">IFERROR(IF($N107="VCA",INDEX(APOIO_REDES!$A:$W,MATCH($C107&amp;$I107&amp;$H107&amp;$N107&amp;$O107,APOIO_REDES!$W:$W,0),MATCH(BC$5,APOIO_REDES!$5:$5,0)),0)*($AI107+$AQ107+$AR107),0)</f>
        <v>0.0499349824189597</v>
      </c>
      <c r="BD107" s="153" t="n">
        <f aca="false">IF(AND($N107="VCA",$AF107&gt;=1.25,$AF107&lt;1.5),$M107*$AF107*2,0)</f>
        <v>41.5715</v>
      </c>
      <c r="BE107" s="153" t="n">
        <f aca="false">IF(AND($N107="VCA",$AF107&gt;=1.5,$AF107&lt;3),$M107*$AF107*2,0)</f>
        <v>0</v>
      </c>
      <c r="BF107" s="153" t="n">
        <f aca="false">IF(AND($N107="VCA",$AF107&gt;=3),$M107*$AF107*2,0)</f>
        <v>0</v>
      </c>
      <c r="BG107" s="153" t="n">
        <f aca="false">($BB107+$BC107)*$AK107</f>
        <v>12.850565</v>
      </c>
      <c r="BH107" s="153" t="n">
        <f aca="false">IF(AND($M107&lt;&gt;"",$N107="VCA",$Q107="LINEAR"),($M107*2)/100,IF(AND($M107&lt;&gt;"",$N107="MND",$Q107="EMBOQUE"),($AN107*2)/100,0))</f>
        <v>0.305</v>
      </c>
      <c r="BI107" s="153" t="n">
        <f aca="false">IF(AND($M107&lt;&gt;"",$N107="VCA",$Q107="LINEAR"),$M107,IF(AND($M107&lt;&gt;"",$N107="MND",$Q107="EMBOQUE"),$AN107*2,0))</f>
        <v>15.25</v>
      </c>
      <c r="BJ107" s="153" t="n">
        <f aca="false">IF(AND($M107&lt;&gt;"",$N107="VCA",$Q107="LINEAR"),($M107*6.8)/100,IF(AND($M107&lt;&gt;"",$N107="MND",$Q107="EMBOQUE"),($AN107*2*6.8)/100,0))</f>
        <v>1.037</v>
      </c>
      <c r="BK107" s="153" t="n">
        <f aca="false">IF(AND($M107&lt;&gt;"",$N107="VCA",$Q107="LINEAR"),($M107*2.5)/50,IF(AND($M107&lt;&gt;"",$N107="MND",$Q107="EMBOQUE"),($AN107*2*2.5)/50,0))</f>
        <v>0.7625</v>
      </c>
      <c r="BL107" s="157" t="str">
        <f aca="false">K107&amp;J107</f>
        <v>Zona01REDES</v>
      </c>
      <c r="BM107" s="152" t="s">
        <v>1559</v>
      </c>
      <c r="BN107" s="152" t="s">
        <v>1560</v>
      </c>
      <c r="BO107" s="152" t="s">
        <v>1748</v>
      </c>
      <c r="BP107" s="152" t="s">
        <v>1933</v>
      </c>
      <c r="BQ107" s="152" t="s">
        <v>1919</v>
      </c>
      <c r="BR107" s="152" t="s">
        <v>1850</v>
      </c>
      <c r="BS107" s="152" t="n">
        <v>202957.949</v>
      </c>
      <c r="BT107" s="152" t="n">
        <v>8238408.765</v>
      </c>
      <c r="BU107" s="152" t="n">
        <v>202965.981</v>
      </c>
      <c r="BV107" s="152" t="n">
        <v>8238421.729</v>
      </c>
      <c r="BW107" s="152" t="n">
        <v>-15.9157096</v>
      </c>
      <c r="BX107" s="152" t="n">
        <v>-47.7741871</v>
      </c>
      <c r="BY107" s="152" t="s">
        <v>1933</v>
      </c>
    </row>
    <row r="108" customFormat="false" ht="13.8" hidden="false" customHeight="false" outlineLevel="0" collapsed="false">
      <c r="A108" s="149" t="n">
        <f aca="false">IF(C108&lt;&gt;"",ROW(A103),"")</f>
        <v>103</v>
      </c>
      <c r="B108" s="150" t="str">
        <f aca="false">HYPERLINK("https://www.google.com/maps/dir/-15.917302,-47.760003/-15.9157893,-47.7734805/data=!4m3!4m2!3e0!5i0")</f>
        <v>https://www.google.com/maps/dir/-15.917302,-47.760003/-15.9157893,-47.7734805/data=!4m3!4m2!3e0!5i0</v>
      </c>
      <c r="C108" s="151" t="s">
        <v>117</v>
      </c>
      <c r="D108" s="152" t="s">
        <v>112</v>
      </c>
      <c r="E108" s="152" t="s">
        <v>113</v>
      </c>
      <c r="F108" s="152" t="s">
        <v>117</v>
      </c>
      <c r="G108" s="152" t="s">
        <v>782</v>
      </c>
      <c r="H108" s="152" t="n">
        <v>63</v>
      </c>
      <c r="I108" s="152" t="s">
        <v>115</v>
      </c>
      <c r="J108" s="152" t="s">
        <v>6</v>
      </c>
      <c r="K108" s="152" t="s">
        <v>1547</v>
      </c>
      <c r="L108" s="152" t="s">
        <v>120</v>
      </c>
      <c r="M108" s="153" t="n">
        <f aca="false">17.29</f>
        <v>17.29</v>
      </c>
      <c r="N108" s="152" t="s">
        <v>1548</v>
      </c>
      <c r="O108" s="152" t="s">
        <v>1549</v>
      </c>
      <c r="P108" s="152" t="s">
        <v>1550</v>
      </c>
      <c r="Q108" s="152" t="s">
        <v>1551</v>
      </c>
      <c r="R108" s="154" t="s">
        <v>1934</v>
      </c>
      <c r="S108" s="154" t="s">
        <v>1553</v>
      </c>
      <c r="T108" s="155" t="s">
        <v>1746</v>
      </c>
      <c r="U108" s="152" t="str">
        <f aca="false">RIGHT(T108,7)</f>
        <v>003/037</v>
      </c>
      <c r="V108" s="152" t="s">
        <v>1555</v>
      </c>
      <c r="W108" s="156" t="n">
        <v>45882</v>
      </c>
      <c r="X108" s="152" t="s">
        <v>1594</v>
      </c>
      <c r="Y108" s="152" t="s">
        <v>1886</v>
      </c>
      <c r="Z108" s="152" t="s">
        <v>1557</v>
      </c>
      <c r="AA108" s="153" t="n">
        <v>2.7</v>
      </c>
      <c r="AB108" s="151" t="s">
        <v>1935</v>
      </c>
      <c r="AC108" s="151" t="s">
        <v>186</v>
      </c>
      <c r="AD108" s="151" t="str">
        <f aca="false">CONCATENATE($C108,$I108,$H108,$N108,$J108,$K108)</f>
        <v>TUBO PEADPEAD63VCAREDESZona01</v>
      </c>
      <c r="AE108" s="153" t="n">
        <f aca="false">IFERROR(INDEX(APOIO_REDES!$A:$W,MATCH($C108&amp;$I108&amp;$H108&amp;$N108&amp;$O108,APOIO_REDES!$W:$W,0),MATCH(AE$5,APOIO_REDES!$5:$5,0)),0)</f>
        <v>1.2</v>
      </c>
      <c r="AF108" s="153" t="n">
        <f aca="false">IFERROR(INDEX(APOIO_REDES!$A:$W,MATCH($C108&amp;$I108&amp;$H108&amp;$N108&amp;$O108,APOIO_REDES!$W:$W,0),MATCH(AF$5,APOIO_REDES!$5:$5,0)),0)</f>
        <v>1.363</v>
      </c>
      <c r="AG108" s="153" t="n">
        <f aca="false">IFERROR(INDEX(APOIO_REDES!$A:$W,MATCH($C108&amp;$I108&amp;$H108&amp;$N108&amp;$O108,APOIO_REDES!$W:$W,0),MATCH(AG$5,APOIO_REDES!$5:$5,0)),0)</f>
        <v>0.65</v>
      </c>
      <c r="AH108" s="153" t="n">
        <f aca="false">IFERROR(INDEX(APOIO_REDES!$A:$W,MATCH($C108&amp;$I108&amp;$H108&amp;$N108&amp;$O108,APOIO_REDES!$W:$W,0),MATCH(AH$5,APOIO_REDES!$5:$5,0)),0)</f>
        <v>0.1</v>
      </c>
      <c r="AI108" s="153" t="n">
        <f aca="false">IFERROR(IF($H108&lt;&gt;"",(((($H108/1000)/2)^2)*PI()*$M108),0),0)</f>
        <v>0.0538971714189681</v>
      </c>
      <c r="AJ108" s="153" t="n">
        <f aca="false">IFERROR(IF(AND($H108&lt;&gt;"",$I108="FoFo",OR($N108="MND",$N108="VCA"),$Q108="LINEAR"),0,IF(AND($H108&lt;&gt;"",$I108="PEAD",$N108="VCA",$Q108="LINEAR"),($H108/1000)+0.3,IF(AND($H108&lt;&gt;"",$I108="PEAD",$N108="MND",$Q108="EMBOQUE"),0,IF(AND($H108&lt;&gt;"",$I108="PVC",$N108="VCA",$Q108="LINEAR"),($H108/1000)+0.2,IF(AND($H108&lt;&gt;"",$I108="PVC",$N108="MND",$Q108="EMBOQUE"),0,IF(AND($H108&lt;&gt;"",$I108="PEAD",$N108="VCA",$Q108="PREDIAL"),0,0)))))),0)</f>
        <v>0.363</v>
      </c>
      <c r="AK108" s="153" t="n">
        <f aca="false">IF(AA108&lt;&gt;"",AA108,0)</f>
        <v>2.7</v>
      </c>
      <c r="AL108" s="153" t="n">
        <f aca="false">IF(AND($N108="MND",$Q108="EMBOQUE"),$M108,IF(AND($N108="VCA",$Q108="LINEAR"),$M108,IF(AND($N108="VCA",$Q108="PREDIAL"),0,0)))</f>
        <v>17.29</v>
      </c>
      <c r="AM108" s="153" t="n">
        <f aca="false">IF(AND($N108="MND",$Q108="EMBOQUE"),$M108,IF(AND($N108="VCA",$Q108="LINEAR"),$M108,IF(AND($N108="VCA",$Q108="PREDIAL"),0,0)))</f>
        <v>17.29</v>
      </c>
      <c r="AN108" s="153" t="n">
        <f aca="false">ROUND(IF(AND($N108="VCA",$M108&lt;&gt;"",$Q108="LINEAR"),$M108/100,IF(AND($N108="MND",$M108&gt;100,$Q108="EMBOQUE"),$M108/100,0)),0)</f>
        <v>0</v>
      </c>
      <c r="AO108" s="153" t="n">
        <f aca="false">IF(AND($N108="MND",$Q108="EMBOQUE"),$AN108*2*2,IF(AND($N108="VCA",$Q108="LINEAR"),$M108*2,IF(AND($N108="VCA",$Q108="PREDIAL"),0,0)))</f>
        <v>34.58</v>
      </c>
      <c r="AP108" s="153" t="n">
        <f aca="false">IFERROR($M108*$AF108*$AG108,0)</f>
        <v>15.3180755</v>
      </c>
      <c r="AQ108" s="153" t="n">
        <f aca="false">IFERROR(IF(AND($N108="VCA",$AH108&gt;0),$M108*$AG108*$AH108,0),0)</f>
        <v>1.12385</v>
      </c>
      <c r="AR108" s="153" t="n">
        <f aca="false">IFERROR(IF(AND($N108="VCA",$AJ108&gt;0),($M108*$AG108*$AJ108)-$AI108,0),0)</f>
        <v>4.02567832858103</v>
      </c>
      <c r="AS108" s="153" t="n">
        <f aca="false">IFERROR(IF(AND($N108="VCA",$AP108&gt;0),$AP108-$AI108-$AQ108-$AR108,0),0)</f>
        <v>10.11465</v>
      </c>
      <c r="AT108" s="153" t="n">
        <f aca="false">IFERROR(IF($N108="VCA",INDEX(APOIO_REDES!$A:$W,MATCH($C108&amp;$I108&amp;$H108&amp;$N108&amp;$O108,APOIO_REDES!$W:$W,0),MATCH(AT$5,APOIO_REDES!$5:$5,0)),0)*$AP108,0)</f>
        <v>0.166665195358915</v>
      </c>
      <c r="AU108" s="153" t="n">
        <f aca="false">IFERROR(IF($N108="VCA",INDEX(APOIO_REDES!$A:$W,MATCH($C108&amp;$I108&amp;$H108&amp;$N108&amp;$O108,APOIO_REDES!$W:$W,0),MATCH(AU$5,APOIO_REDES!$5:$5,0)),0)*$AP108,0)</f>
        <v>0.133094311147688</v>
      </c>
      <c r="AV108" s="153" t="n">
        <f aca="false">IFERROR(IF($N108="VCA",INDEX(APOIO_REDES!$A:$W,MATCH($C108&amp;$I108&amp;$H108&amp;$N108&amp;$O108,APOIO_REDES!$W:$W,0),MATCH(AV$5,APOIO_REDES!$5:$5,0)),0)*$AP108,0)</f>
        <v>0.0184192078315317</v>
      </c>
      <c r="AW108" s="153" t="n">
        <f aca="false">IFERROR(IF($N108="VCA",INDEX(APOIO_REDES!$A:$W,MATCH($C108&amp;$I108&amp;$H108&amp;$N108&amp;$O108,APOIO_REDES!$W:$W,0),MATCH(AW$5,APOIO_REDES!$5:$5,0)),0)*$AP108,0)</f>
        <v>10.5144457134408</v>
      </c>
      <c r="AX108" s="153" t="n">
        <f aca="false">IFERROR(IF($N108="VCA",INDEX(APOIO_REDES!$A:$W,MATCH($C108&amp;$I108&amp;$H108&amp;$N108&amp;$O108,APOIO_REDES!$W:$W,0),MATCH(AX$5,APOIO_REDES!$5:$5,0)),0)*$AP108,0)</f>
        <v>1.45516933577465</v>
      </c>
      <c r="AY108" s="153" t="n">
        <f aca="false">IFERROR(IF($N108="VCA",INDEX(APOIO_REDES!$A:$W,MATCH($C108&amp;$I108&amp;$H108&amp;$N108&amp;$O108,APOIO_REDES!$W:$W,0),MATCH(AY$5,APOIO_REDES!$5:$5,0)),0)*$AP108,0)</f>
        <v>2.6618846005449</v>
      </c>
      <c r="AZ108" s="153" t="n">
        <f aca="false">IFERROR(IF($N108="VCA",INDEX(APOIO_REDES!$A:$W,MATCH($C108&amp;$I108&amp;$H108&amp;$N108&amp;$O108,APOIO_REDES!$W:$W,0),MATCH(AZ$5,APOIO_REDES!$5:$5,0)),0)*$AP108,0)</f>
        <v>0.368397135901545</v>
      </c>
      <c r="BA108" s="153" t="n">
        <f aca="false">IFERROR(IF(AND($N108="VCA",$Q108="LINEAR"),INDEX(APOIO_REDES!$A:$W,MATCH($C108&amp;$I108&amp;$H108&amp;$N108&amp;$O108,APOIO_REDES!$W:$W,0),MATCH(BA$5,APOIO_REDES!$5:$5,0)),IF(AND($N108="MND",$Q108="EMBOQUE"),INDEX(APOIO_REDES!$A:$W,MATCH($C108&amp;$I108&amp;$H108&amp;$N108&amp;$O108,APOIO_REDES!$W:$W,0),MATCH(BA$5,APOIO_REDES!$5:$5,0)),0))*$M108/10,0)</f>
        <v>1.3935303873544</v>
      </c>
      <c r="BB108" s="153" t="n">
        <f aca="false">IFERROR(IF($N108="VCA",INDEX(APOIO_REDES!$A:$W,MATCH($C108&amp;$I108&amp;$H108&amp;$N108&amp;$O108,APOIO_REDES!$W:$W,0),MATCH(BB$5,APOIO_REDES!$5:$5,0)),0)*($AI108+$AQ108+$AR108),0)</f>
        <v>5.14681069042467</v>
      </c>
      <c r="BC108" s="153" t="n">
        <f aca="false">IFERROR(IF($N108="VCA",INDEX(APOIO_REDES!$A:$W,MATCH($C108&amp;$I108&amp;$H108&amp;$N108&amp;$O108,APOIO_REDES!$W:$W,0),MATCH(BC$5,APOIO_REDES!$5:$5,0)),0)*($AI108+$AQ108+$AR108),0)</f>
        <v>0.056614809575332</v>
      </c>
      <c r="BD108" s="153" t="n">
        <f aca="false">IF(AND($N108="VCA",$AF108&gt;=1.25,$AF108&lt;1.5),$M108*$AF108*2,0)</f>
        <v>47.13254</v>
      </c>
      <c r="BE108" s="153" t="n">
        <f aca="false">IF(AND($N108="VCA",$AF108&gt;=1.5,$AF108&lt;3),$M108*$AF108*2,0)</f>
        <v>0</v>
      </c>
      <c r="BF108" s="153" t="n">
        <f aca="false">IF(AND($N108="VCA",$AF108&gt;=3),$M108*$AF108*2,0)</f>
        <v>0</v>
      </c>
      <c r="BG108" s="153" t="n">
        <f aca="false">($BB108+$BC108)*$AK108</f>
        <v>14.04924885</v>
      </c>
      <c r="BH108" s="153" t="n">
        <f aca="false">IF(AND($M108&lt;&gt;"",$N108="VCA",$Q108="LINEAR"),($M108*2)/100,IF(AND($M108&lt;&gt;"",$N108="MND",$Q108="EMBOQUE"),($AN108*2)/100,0))</f>
        <v>0.3458</v>
      </c>
      <c r="BI108" s="153" t="n">
        <f aca="false">IF(AND($M108&lt;&gt;"",$N108="VCA",$Q108="LINEAR"),$M108,IF(AND($M108&lt;&gt;"",$N108="MND",$Q108="EMBOQUE"),$AN108*2,0))</f>
        <v>17.29</v>
      </c>
      <c r="BJ108" s="153" t="n">
        <f aca="false">IF(AND($M108&lt;&gt;"",$N108="VCA",$Q108="LINEAR"),($M108*6.8)/100,IF(AND($M108&lt;&gt;"",$N108="MND",$Q108="EMBOQUE"),($AN108*2*6.8)/100,0))</f>
        <v>1.17572</v>
      </c>
      <c r="BK108" s="153" t="n">
        <f aca="false">IF(AND($M108&lt;&gt;"",$N108="VCA",$Q108="LINEAR"),($M108*2.5)/50,IF(AND($M108&lt;&gt;"",$N108="MND",$Q108="EMBOQUE"),($AN108*2*2.5)/50,0))</f>
        <v>0.8645</v>
      </c>
      <c r="BL108" s="157" t="str">
        <f aca="false">K108&amp;J108</f>
        <v>Zona01REDES</v>
      </c>
      <c r="BM108" s="152" t="s">
        <v>1559</v>
      </c>
      <c r="BN108" s="152" t="s">
        <v>1560</v>
      </c>
      <c r="BO108" s="152" t="s">
        <v>1748</v>
      </c>
      <c r="BP108" s="152" t="s">
        <v>1930</v>
      </c>
      <c r="BQ108" s="152" t="s">
        <v>1927</v>
      </c>
      <c r="BR108" s="152" t="s">
        <v>1850</v>
      </c>
      <c r="BS108" s="152" t="n">
        <v>203037.79</v>
      </c>
      <c r="BT108" s="152" t="n">
        <v>8238407.426</v>
      </c>
      <c r="BU108" s="152" t="n">
        <v>203048.267</v>
      </c>
      <c r="BV108" s="152" t="n">
        <v>8238421.182</v>
      </c>
      <c r="BW108" s="152" t="n">
        <v>-15.9157278</v>
      </c>
      <c r="BX108" s="152" t="n">
        <v>-47.7734307</v>
      </c>
      <c r="BY108" s="152" t="s">
        <v>1930</v>
      </c>
    </row>
    <row r="109" customFormat="false" ht="13.8" hidden="false" customHeight="false" outlineLevel="0" collapsed="false">
      <c r="A109" s="149" t="n">
        <f aca="false">IF(C109&lt;&gt;"",ROW(A104),"")</f>
        <v>104</v>
      </c>
      <c r="B109" s="150" t="str">
        <f aca="false">HYPERLINK("https://www.google.com/maps/dir/-15.917302,-47.760003/-15.9159843,-47.7700135/data=!4m3!4m2!3e0!5i0")</f>
        <v>https://www.google.com/maps/dir/-15.917302,-47.760003/-15.9159843,-47.7700135/data=!4m3!4m2!3e0!5i0</v>
      </c>
      <c r="C109" s="151" t="s">
        <v>117</v>
      </c>
      <c r="D109" s="152" t="s">
        <v>112</v>
      </c>
      <c r="E109" s="152" t="s">
        <v>113</v>
      </c>
      <c r="F109" s="152" t="s">
        <v>117</v>
      </c>
      <c r="G109" s="152" t="s">
        <v>782</v>
      </c>
      <c r="H109" s="152" t="n">
        <v>90</v>
      </c>
      <c r="I109" s="152" t="s">
        <v>115</v>
      </c>
      <c r="J109" s="152" t="s">
        <v>6</v>
      </c>
      <c r="K109" s="152" t="s">
        <v>1547</v>
      </c>
      <c r="L109" s="152" t="s">
        <v>120</v>
      </c>
      <c r="M109" s="153" t="n">
        <f aca="false">67.8+0.38</f>
        <v>68.18</v>
      </c>
      <c r="N109" s="152" t="s">
        <v>1548</v>
      </c>
      <c r="O109" s="152" t="s">
        <v>1549</v>
      </c>
      <c r="P109" s="152" t="s">
        <v>1550</v>
      </c>
      <c r="Q109" s="152" t="s">
        <v>1551</v>
      </c>
      <c r="R109" s="154" t="s">
        <v>1936</v>
      </c>
      <c r="S109" s="154" t="s">
        <v>1593</v>
      </c>
      <c r="T109" s="155" t="s">
        <v>1746</v>
      </c>
      <c r="U109" s="152" t="str">
        <f aca="false">RIGHT(T109,7)</f>
        <v>003/037</v>
      </c>
      <c r="V109" s="152" t="s">
        <v>1555</v>
      </c>
      <c r="W109" s="156" t="n">
        <v>45882</v>
      </c>
      <c r="X109" s="152" t="s">
        <v>1594</v>
      </c>
      <c r="Y109" s="152"/>
      <c r="Z109" s="152" t="s">
        <v>1557</v>
      </c>
      <c r="AA109" s="153" t="n">
        <v>2.2</v>
      </c>
      <c r="AB109" s="151" t="s">
        <v>1937</v>
      </c>
      <c r="AC109" s="151" t="s">
        <v>526</v>
      </c>
      <c r="AD109" s="151" t="str">
        <f aca="false">CONCATENATE($C109,$I109,$H109,$N109,$J109,$K109)</f>
        <v>TUBO PEADPEAD90VCAREDESZona01</v>
      </c>
      <c r="AE109" s="153" t="n">
        <f aca="false">IFERROR(INDEX(APOIO_REDES!$A:$W,MATCH($C109&amp;$I109&amp;$H109&amp;$N109&amp;$O109,APOIO_REDES!$W:$W,0),MATCH(AE$5,APOIO_REDES!$5:$5,0)),0)</f>
        <v>1.2</v>
      </c>
      <c r="AF109" s="153" t="n">
        <f aca="false">IFERROR(INDEX(APOIO_REDES!$A:$W,MATCH($C109&amp;$I109&amp;$H109&amp;$N109&amp;$O109,APOIO_REDES!$W:$W,0),MATCH(AF$5,APOIO_REDES!$5:$5,0)),0)</f>
        <v>1.39</v>
      </c>
      <c r="AG109" s="153" t="n">
        <f aca="false">IFERROR(INDEX(APOIO_REDES!$A:$W,MATCH($C109&amp;$I109&amp;$H109&amp;$N109&amp;$O109,APOIO_REDES!$W:$W,0),MATCH(AG$5,APOIO_REDES!$5:$5,0)),0)</f>
        <v>0.75</v>
      </c>
      <c r="AH109" s="153" t="n">
        <f aca="false">IFERROR(INDEX(APOIO_REDES!$A:$W,MATCH($C109&amp;$I109&amp;$H109&amp;$N109&amp;$O109,APOIO_REDES!$W:$W,0),MATCH(AH$5,APOIO_REDES!$5:$5,0)),0)</f>
        <v>0.1</v>
      </c>
      <c r="AI109" s="153" t="n">
        <f aca="false">IFERROR(IF($H109&lt;&gt;"",(((($H109/1000)/2)^2)*PI()*$M109),0),0)</f>
        <v>0.433742418921548</v>
      </c>
      <c r="AJ109" s="153" t="n">
        <f aca="false">IFERROR(IF(AND($H109&lt;&gt;"",$I109="FoFo",OR($N109="MND",$N109="VCA"),$Q109="LINEAR"),0,IF(AND($H109&lt;&gt;"",$I109="PEAD",$N109="VCA",$Q109="LINEAR"),($H109/1000)+0.3,IF(AND($H109&lt;&gt;"",$I109="PEAD",$N109="MND",$Q109="EMBOQUE"),0,IF(AND($H109&lt;&gt;"",$I109="PVC",$N109="VCA",$Q109="LINEAR"),($H109/1000)+0.2,IF(AND($H109&lt;&gt;"",$I109="PVC",$N109="MND",$Q109="EMBOQUE"),0,IF(AND($H109&lt;&gt;"",$I109="PEAD",$N109="VCA",$Q109="PREDIAL"),0,0)))))),0)</f>
        <v>0.39</v>
      </c>
      <c r="AK109" s="153" t="n">
        <f aca="false">IF(AA109&lt;&gt;"",AA109,0)</f>
        <v>2.2</v>
      </c>
      <c r="AL109" s="153" t="n">
        <f aca="false">IF(AND($N109="MND",$Q109="EMBOQUE"),$M109,IF(AND($N109="VCA",$Q109="LINEAR"),$M109,IF(AND($N109="VCA",$Q109="PREDIAL"),0,0)))</f>
        <v>68.18</v>
      </c>
      <c r="AM109" s="153" t="n">
        <f aca="false">IF(AND($N109="MND",$Q109="EMBOQUE"),$M109,IF(AND($N109="VCA",$Q109="LINEAR"),$M109,IF(AND($N109="VCA",$Q109="PREDIAL"),0,0)))</f>
        <v>68.18</v>
      </c>
      <c r="AN109" s="153" t="n">
        <f aca="false">ROUND(IF(AND($N109="VCA",$M109&lt;&gt;"",$Q109="LINEAR"),$M109/100,IF(AND($N109="MND",$M109&gt;100,$Q109="EMBOQUE"),$M109/100,0)),0)</f>
        <v>1</v>
      </c>
      <c r="AO109" s="153" t="n">
        <f aca="false">IF(AND($N109="MND",$Q109="EMBOQUE"),$AN109*2*2,IF(AND($N109="VCA",$Q109="LINEAR"),$M109*2,IF(AND($N109="VCA",$Q109="PREDIAL"),0,0)))</f>
        <v>136.36</v>
      </c>
      <c r="AP109" s="153" t="n">
        <f aca="false">IFERROR($M109*$AF109*$AG109,0)</f>
        <v>71.07765</v>
      </c>
      <c r="AQ109" s="153" t="n">
        <f aca="false">IFERROR(IF(AND($N109="VCA",$AH109&gt;0),$M109*$AG109*$AH109,0),0)</f>
        <v>5.1135</v>
      </c>
      <c r="AR109" s="153" t="n">
        <f aca="false">IFERROR(IF(AND($N109="VCA",$AJ109&gt;0),($M109*$AG109*$AJ109)-$AI109,0),0)</f>
        <v>19.5089075810785</v>
      </c>
      <c r="AS109" s="153" t="n">
        <f aca="false">IFERROR(IF(AND($N109="VCA",$AP109&gt;0),$AP109-$AI109-$AQ109-$AR109,0),0)</f>
        <v>46.0215</v>
      </c>
      <c r="AT109" s="153" t="n">
        <f aca="false">IFERROR(IF($N109="VCA",INDEX(APOIO_REDES!$A:$W,MATCH($C109&amp;$I109&amp;$H109&amp;$N109&amp;$O109,APOIO_REDES!$W:$W,0),MATCH(AT$5,APOIO_REDES!$5:$5,0)),0)*$AP109,0)</f>
        <v>0.773345869910522</v>
      </c>
      <c r="AU109" s="153" t="n">
        <f aca="false">IFERROR(IF($N109="VCA",INDEX(APOIO_REDES!$A:$W,MATCH($C109&amp;$I109&amp;$H109&amp;$N109&amp;$O109,APOIO_REDES!$W:$W,0),MATCH(AU$5,APOIO_REDES!$5:$5,0)),0)*$AP109,0)</f>
        <v>0.617573066848148</v>
      </c>
      <c r="AV109" s="153" t="n">
        <f aca="false">IFERROR(IF($N109="VCA",INDEX(APOIO_REDES!$A:$W,MATCH($C109&amp;$I109&amp;$H109&amp;$N109&amp;$O109,APOIO_REDES!$W:$W,0),MATCH(AV$5,APOIO_REDES!$5:$5,0)),0)*$AP109,0)</f>
        <v>0.0854672643131227</v>
      </c>
      <c r="AW109" s="153" t="n">
        <f aca="false">IFERROR(IF($N109="VCA",INDEX(APOIO_REDES!$A:$W,MATCH($C109&amp;$I109&amp;$H109&amp;$N109&amp;$O109,APOIO_REDES!$W:$W,0),MATCH(AW$5,APOIO_REDES!$5:$5,0)),0)*$AP109,0)</f>
        <v>48.7882496965068</v>
      </c>
      <c r="AX109" s="153" t="n">
        <f aca="false">IFERROR(IF($N109="VCA",INDEX(APOIO_REDES!$A:$W,MATCH($C109&amp;$I109&amp;$H109&amp;$N109&amp;$O109,APOIO_REDES!$W:$W,0),MATCH(AX$5,APOIO_REDES!$5:$5,0)),0)*$AP109,0)</f>
        <v>6.75215478203662</v>
      </c>
      <c r="AY109" s="153" t="n">
        <f aca="false">IFERROR(IF($N109="VCA",INDEX(APOIO_REDES!$A:$W,MATCH($C109&amp;$I109&amp;$H109&amp;$N109&amp;$O109,APOIO_REDES!$W:$W,0),MATCH(AY$5,APOIO_REDES!$5:$5,0)),0)*$AP109,0)</f>
        <v>12.3514538087973</v>
      </c>
      <c r="AZ109" s="153" t="n">
        <f aca="false">IFERROR(IF($N109="VCA",INDEX(APOIO_REDES!$A:$W,MATCH($C109&amp;$I109&amp;$H109&amp;$N109&amp;$O109,APOIO_REDES!$W:$W,0),MATCH(AZ$5,APOIO_REDES!$5:$5,0)),0)*$AP109,0)</f>
        <v>1.70940551158744</v>
      </c>
      <c r="BA109" s="153" t="n">
        <f aca="false">IFERROR(IF(AND($N109="VCA",$Q109="LINEAR"),INDEX(APOIO_REDES!$A:$W,MATCH($C109&amp;$I109&amp;$H109&amp;$N109&amp;$O109,APOIO_REDES!$W:$W,0),MATCH(BA$5,APOIO_REDES!$5:$5,0)),IF(AND($N109="MND",$Q109="EMBOQUE"),INDEX(APOIO_REDES!$A:$W,MATCH($C109&amp;$I109&amp;$H109&amp;$N109&amp;$O109,APOIO_REDES!$W:$W,0),MATCH(BA$5,APOIO_REDES!$5:$5,0)),0))*$M109/10,0)</f>
        <v>5.49513602138942</v>
      </c>
      <c r="BB109" s="153" t="n">
        <f aca="false">IFERROR(IF($N109="VCA",INDEX(APOIO_REDES!$A:$W,MATCH($C109&amp;$I109&amp;$H109&amp;$N109&amp;$O109,APOIO_REDES!$W:$W,0),MATCH(BB$5,APOIO_REDES!$5:$5,0)),0)*($AI109+$AQ109+$AR109),0)</f>
        <v>24.7835316717582</v>
      </c>
      <c r="BC109" s="153" t="n">
        <f aca="false">IFERROR(IF($N109="VCA",INDEX(APOIO_REDES!$A:$W,MATCH($C109&amp;$I109&amp;$H109&amp;$N109&amp;$O109,APOIO_REDES!$W:$W,0),MATCH(BC$5,APOIO_REDES!$5:$5,0)),0)*($AI109+$AQ109+$AR109),0)</f>
        <v>0.272618328241839</v>
      </c>
      <c r="BD109" s="153" t="n">
        <f aca="false">IF(AND($N109="VCA",$AF109&gt;=1.25,$AF109&lt;1.5),$M109*$AF109*2,0)</f>
        <v>189.5404</v>
      </c>
      <c r="BE109" s="153" t="n">
        <f aca="false">IF(AND($N109="VCA",$AF109&gt;=1.5,$AF109&lt;3),$M109*$AF109*2,0)</f>
        <v>0</v>
      </c>
      <c r="BF109" s="153" t="n">
        <f aca="false">IF(AND($N109="VCA",$AF109&gt;=3),$M109*$AF109*2,0)</f>
        <v>0</v>
      </c>
      <c r="BG109" s="153" t="n">
        <f aca="false">($BB109+$BC109)*$AK109</f>
        <v>55.12353</v>
      </c>
      <c r="BH109" s="153" t="n">
        <f aca="false">IF(AND($M109&lt;&gt;"",$N109="VCA",$Q109="LINEAR"),($M109*2)/100,IF(AND($M109&lt;&gt;"",$N109="MND",$Q109="EMBOQUE"),($AN109*2)/100,0))</f>
        <v>1.3636</v>
      </c>
      <c r="BI109" s="153" t="n">
        <f aca="false">IF(AND($M109&lt;&gt;"",$N109="VCA",$Q109="LINEAR"),$M109,IF(AND($M109&lt;&gt;"",$N109="MND",$Q109="EMBOQUE"),$AN109*2,0))</f>
        <v>68.18</v>
      </c>
      <c r="BJ109" s="153" t="n">
        <f aca="false">IF(AND($M109&lt;&gt;"",$N109="VCA",$Q109="LINEAR"),($M109*6.8)/100,IF(AND($M109&lt;&gt;"",$N109="MND",$Q109="EMBOQUE"),($AN109*2*6.8)/100,0))</f>
        <v>4.63624</v>
      </c>
      <c r="BK109" s="153" t="n">
        <f aca="false">IF(AND($M109&lt;&gt;"",$N109="VCA",$Q109="LINEAR"),($M109*2.5)/50,IF(AND($M109&lt;&gt;"",$N109="MND",$Q109="EMBOQUE"),($AN109*2*2.5)/50,0))</f>
        <v>3.409</v>
      </c>
      <c r="BL109" s="157" t="str">
        <f aca="false">K109&amp;J109</f>
        <v>Zona01REDES</v>
      </c>
      <c r="BM109" s="152" t="s">
        <v>1559</v>
      </c>
      <c r="BN109" s="152" t="s">
        <v>1560</v>
      </c>
      <c r="BO109" s="152" t="s">
        <v>1748</v>
      </c>
      <c r="BP109" s="152" t="s">
        <v>1923</v>
      </c>
      <c r="BQ109" s="152" t="s">
        <v>1883</v>
      </c>
      <c r="BR109" s="152" t="s">
        <v>1938</v>
      </c>
      <c r="BS109" s="152" t="n">
        <v>203409.54</v>
      </c>
      <c r="BT109" s="152" t="n">
        <v>8238390.766</v>
      </c>
      <c r="BU109" s="152" t="n">
        <v>203355.759</v>
      </c>
      <c r="BV109" s="152" t="n">
        <v>8238432.043</v>
      </c>
      <c r="BW109" s="152" t="n">
        <v>-15.915795</v>
      </c>
      <c r="BX109" s="152" t="n">
        <v>-47.7702622</v>
      </c>
      <c r="BY109" s="152" t="s">
        <v>1923</v>
      </c>
    </row>
    <row r="110" customFormat="false" ht="13.8" hidden="false" customHeight="false" outlineLevel="0" collapsed="false">
      <c r="A110" s="149" t="n">
        <f aca="false">IF(C110&lt;&gt;"",ROW(A105),"")</f>
        <v>105</v>
      </c>
      <c r="B110" s="150" t="str">
        <f aca="false">HYPERLINK("https://www.google.com/maps/dir/-15.917302,-47.760003/-15.9164504,-47.7702722/data=!4m3!4m2!3e0!5i0")</f>
        <v>https://www.google.com/maps/dir/-15.917302,-47.760003/-15.9164504,-47.7702722/data=!4m3!4m2!3e0!5i0</v>
      </c>
      <c r="C110" s="151" t="s">
        <v>117</v>
      </c>
      <c r="D110" s="152" t="s">
        <v>112</v>
      </c>
      <c r="E110" s="152" t="s">
        <v>113</v>
      </c>
      <c r="F110" s="152" t="s">
        <v>117</v>
      </c>
      <c r="G110" s="152" t="s">
        <v>782</v>
      </c>
      <c r="H110" s="152" t="n">
        <v>90</v>
      </c>
      <c r="I110" s="152" t="s">
        <v>115</v>
      </c>
      <c r="J110" s="152" t="s">
        <v>6</v>
      </c>
      <c r="K110" s="152" t="s">
        <v>1547</v>
      </c>
      <c r="L110" s="152" t="s">
        <v>120</v>
      </c>
      <c r="M110" s="153" t="n">
        <f aca="false">240.35+0.34</f>
        <v>240.69</v>
      </c>
      <c r="N110" s="152" t="s">
        <v>1548</v>
      </c>
      <c r="O110" s="152" t="s">
        <v>1549</v>
      </c>
      <c r="P110" s="152" t="s">
        <v>1550</v>
      </c>
      <c r="Q110" s="152" t="s">
        <v>1551</v>
      </c>
      <c r="R110" s="154" t="s">
        <v>1939</v>
      </c>
      <c r="S110" s="154" t="s">
        <v>1593</v>
      </c>
      <c r="T110" s="155" t="s">
        <v>1746</v>
      </c>
      <c r="U110" s="152" t="str">
        <f aca="false">RIGHT(T110,7)</f>
        <v>003/037</v>
      </c>
      <c r="V110" s="152" t="s">
        <v>1555</v>
      </c>
      <c r="W110" s="156" t="n">
        <v>45882</v>
      </c>
      <c r="X110" s="152" t="s">
        <v>1594</v>
      </c>
      <c r="Y110" s="152" t="s">
        <v>1940</v>
      </c>
      <c r="Z110" s="152" t="s">
        <v>1557</v>
      </c>
      <c r="AA110" s="153" t="n">
        <v>2.3</v>
      </c>
      <c r="AB110" s="151" t="s">
        <v>1941</v>
      </c>
      <c r="AC110" s="151" t="s">
        <v>526</v>
      </c>
      <c r="AD110" s="151" t="str">
        <f aca="false">CONCATENATE($C110,$I110,$H110,$N110,$J110,$K110)</f>
        <v>TUBO PEADPEAD90VCAREDESZona01</v>
      </c>
      <c r="AE110" s="153" t="n">
        <f aca="false">IFERROR(INDEX(APOIO_REDES!$A:$W,MATCH($C110&amp;$I110&amp;$H110&amp;$N110&amp;$O110,APOIO_REDES!$W:$W,0),MATCH(AE$5,APOIO_REDES!$5:$5,0)),0)</f>
        <v>1.2</v>
      </c>
      <c r="AF110" s="153" t="n">
        <f aca="false">IFERROR(INDEX(APOIO_REDES!$A:$W,MATCH($C110&amp;$I110&amp;$H110&amp;$N110&amp;$O110,APOIO_REDES!$W:$W,0),MATCH(AF$5,APOIO_REDES!$5:$5,0)),0)</f>
        <v>1.39</v>
      </c>
      <c r="AG110" s="153" t="n">
        <f aca="false">IFERROR(INDEX(APOIO_REDES!$A:$W,MATCH($C110&amp;$I110&amp;$H110&amp;$N110&amp;$O110,APOIO_REDES!$W:$W,0),MATCH(AG$5,APOIO_REDES!$5:$5,0)),0)</f>
        <v>0.75</v>
      </c>
      <c r="AH110" s="153" t="n">
        <f aca="false">IFERROR(INDEX(APOIO_REDES!$A:$W,MATCH($C110&amp;$I110&amp;$H110&amp;$N110&amp;$O110,APOIO_REDES!$W:$W,0),MATCH(AH$5,APOIO_REDES!$5:$5,0)),0)</f>
        <v>0.1</v>
      </c>
      <c r="AI110" s="153" t="n">
        <f aca="false">IFERROR(IF($H110&lt;&gt;"",(((($H110/1000)/2)^2)*PI()*$M110),0),0)</f>
        <v>1.53120361997987</v>
      </c>
      <c r="AJ110" s="153" t="n">
        <f aca="false">IFERROR(IF(AND($H110&lt;&gt;"",$I110="FoFo",OR($N110="MND",$N110="VCA"),$Q110="LINEAR"),0,IF(AND($H110&lt;&gt;"",$I110="PEAD",$N110="VCA",$Q110="LINEAR"),($H110/1000)+0.3,IF(AND($H110&lt;&gt;"",$I110="PEAD",$N110="MND",$Q110="EMBOQUE"),0,IF(AND($H110&lt;&gt;"",$I110="PVC",$N110="VCA",$Q110="LINEAR"),($H110/1000)+0.2,IF(AND($H110&lt;&gt;"",$I110="PVC",$N110="MND",$Q110="EMBOQUE"),0,IF(AND($H110&lt;&gt;"",$I110="PEAD",$N110="VCA",$Q110="PREDIAL"),0,0)))))),0)</f>
        <v>0.39</v>
      </c>
      <c r="AK110" s="153" t="n">
        <f aca="false">IF(AA110&lt;&gt;"",AA110,0)</f>
        <v>2.3</v>
      </c>
      <c r="AL110" s="153" t="n">
        <f aca="false">IF(AND($N110="MND",$Q110="EMBOQUE"),$M110,IF(AND($N110="VCA",$Q110="LINEAR"),$M110,IF(AND($N110="VCA",$Q110="PREDIAL"),0,0)))</f>
        <v>240.69</v>
      </c>
      <c r="AM110" s="153" t="n">
        <f aca="false">IF(AND($N110="MND",$Q110="EMBOQUE"),$M110,IF(AND($N110="VCA",$Q110="LINEAR"),$M110,IF(AND($N110="VCA",$Q110="PREDIAL"),0,0)))</f>
        <v>240.69</v>
      </c>
      <c r="AN110" s="153" t="n">
        <f aca="false">ROUND(IF(AND($N110="VCA",$M110&lt;&gt;"",$Q110="LINEAR"),$M110/100,IF(AND($N110="MND",$M110&gt;100,$Q110="EMBOQUE"),$M110/100,0)),0)</f>
        <v>2</v>
      </c>
      <c r="AO110" s="153" t="n">
        <f aca="false">IF(AND($N110="MND",$Q110="EMBOQUE"),$AN110*2*2,IF(AND($N110="VCA",$Q110="LINEAR"),$M110*2,IF(AND($N110="VCA",$Q110="PREDIAL"),0,0)))</f>
        <v>481.38</v>
      </c>
      <c r="AP110" s="153" t="n">
        <f aca="false">IFERROR($M110*$AF110*$AG110,0)</f>
        <v>250.919325</v>
      </c>
      <c r="AQ110" s="153" t="n">
        <f aca="false">IFERROR(IF(AND($N110="VCA",$AH110&gt;0),$M110*$AG110*$AH110,0),0)</f>
        <v>18.05175</v>
      </c>
      <c r="AR110" s="153" t="n">
        <f aca="false">IFERROR(IF(AND($N110="VCA",$AJ110&gt;0),($M110*$AG110*$AJ110)-$AI110,0),0)</f>
        <v>68.8706213800201</v>
      </c>
      <c r="AS110" s="153" t="n">
        <f aca="false">IFERROR(IF(AND($N110="VCA",$AP110&gt;0),$AP110-$AI110-$AQ110-$AR110,0),0)</f>
        <v>162.46575</v>
      </c>
      <c r="AT110" s="153" t="n">
        <f aca="false">IFERROR(IF($N110="VCA",INDEX(APOIO_REDES!$A:$W,MATCH($C110&amp;$I110&amp;$H110&amp;$N110&amp;$O110,APOIO_REDES!$W:$W,0),MATCH(AT$5,APOIO_REDES!$5:$5,0)),0)*$AP110,0)</f>
        <v>2.73007652432918</v>
      </c>
      <c r="AU110" s="153" t="n">
        <f aca="false">IFERROR(IF($N110="VCA",INDEX(APOIO_REDES!$A:$W,MATCH($C110&amp;$I110&amp;$H110&amp;$N110&amp;$O110,APOIO_REDES!$W:$W,0),MATCH(AU$5,APOIO_REDES!$5:$5,0)),0)*$AP110,0)</f>
        <v>2.18016517247992</v>
      </c>
      <c r="AV110" s="153" t="n">
        <f aca="false">IFERROR(IF($N110="VCA",INDEX(APOIO_REDES!$A:$W,MATCH($C110&amp;$I110&amp;$H110&amp;$N110&amp;$O110,APOIO_REDES!$W:$W,0),MATCH(AV$5,APOIO_REDES!$5:$5,0)),0)*$AP110,0)</f>
        <v>0.301717744903572</v>
      </c>
      <c r="AW110" s="153" t="n">
        <f aca="false">IFERROR(IF($N110="VCA",INDEX(APOIO_REDES!$A:$W,MATCH($C110&amp;$I110&amp;$H110&amp;$N110&amp;$O110,APOIO_REDES!$W:$W,0),MATCH(AW$5,APOIO_REDES!$5:$5,0)),0)*$AP110,0)</f>
        <v>172.232968897803</v>
      </c>
      <c r="AX110" s="153" t="n">
        <f aca="false">IFERROR(IF($N110="VCA",INDEX(APOIO_REDES!$A:$W,MATCH($C110&amp;$I110&amp;$H110&amp;$N110&amp;$O110,APOIO_REDES!$W:$W,0),MATCH(AX$5,APOIO_REDES!$5:$5,0)),0)*$AP110,0)</f>
        <v>23.8365522805573</v>
      </c>
      <c r="AY110" s="153" t="n">
        <f aca="false">IFERROR(IF($N110="VCA",INDEX(APOIO_REDES!$A:$W,MATCH($C110&amp;$I110&amp;$H110&amp;$N110&amp;$O110,APOIO_REDES!$W:$W,0),MATCH(AY$5,APOIO_REDES!$5:$5,0)),0)*$AP110,0)</f>
        <v>43.6032768735616</v>
      </c>
      <c r="AZ110" s="153" t="n">
        <f aca="false">IFERROR(IF($N110="VCA",INDEX(APOIO_REDES!$A:$W,MATCH($C110&amp;$I110&amp;$H110&amp;$N110&amp;$O110,APOIO_REDES!$W:$W,0),MATCH(AZ$5,APOIO_REDES!$5:$5,0)),0)*$AP110,0)</f>
        <v>6.03456750636521</v>
      </c>
      <c r="BA110" s="153" t="n">
        <f aca="false">IFERROR(IF(AND($N110="VCA",$Q110="LINEAR"),INDEX(APOIO_REDES!$A:$W,MATCH($C110&amp;$I110&amp;$H110&amp;$N110&amp;$O110,APOIO_REDES!$W:$W,0),MATCH(BA$5,APOIO_REDES!$5:$5,0)),IF(AND($N110="MND",$Q110="EMBOQUE"),INDEX(APOIO_REDES!$A:$W,MATCH($C110&amp;$I110&amp;$H110&amp;$N110&amp;$O110,APOIO_REDES!$W:$W,0),MATCH(BA$5,APOIO_REDES!$5:$5,0)),0))*$M110/10,0)</f>
        <v>19.3990068786773</v>
      </c>
      <c r="BB110" s="153" t="n">
        <f aca="false">IFERROR(IF($N110="VCA",INDEX(APOIO_REDES!$A:$W,MATCH($C110&amp;$I110&amp;$H110&amp;$N110&amp;$O110,APOIO_REDES!$W:$W,0),MATCH(BB$5,APOIO_REDES!$5:$5,0)),0)*($AI110+$AQ110+$AR110),0)</f>
        <v>87.4911739230782</v>
      </c>
      <c r="BC110" s="153" t="n">
        <f aca="false">IFERROR(IF($N110="VCA",INDEX(APOIO_REDES!$A:$W,MATCH($C110&amp;$I110&amp;$H110&amp;$N110&amp;$O110,APOIO_REDES!$W:$W,0),MATCH(BC$5,APOIO_REDES!$5:$5,0)),0)*($AI110+$AQ110+$AR110),0)</f>
        <v>0.962401076921798</v>
      </c>
      <c r="BD110" s="153" t="n">
        <f aca="false">IF(AND($N110="VCA",$AF110&gt;=1.25,$AF110&lt;1.5),$M110*$AF110*2,0)</f>
        <v>669.1182</v>
      </c>
      <c r="BE110" s="153" t="n">
        <f aca="false">IF(AND($N110="VCA",$AF110&gt;=1.5,$AF110&lt;3),$M110*$AF110*2,0)</f>
        <v>0</v>
      </c>
      <c r="BF110" s="153" t="n">
        <f aca="false">IF(AND($N110="VCA",$AF110&gt;=3),$M110*$AF110*2,0)</f>
        <v>0</v>
      </c>
      <c r="BG110" s="153" t="n">
        <f aca="false">($BB110+$BC110)*$AK110</f>
        <v>203.4432225</v>
      </c>
      <c r="BH110" s="153" t="n">
        <f aca="false">IF(AND($M110&lt;&gt;"",$N110="VCA",$Q110="LINEAR"),($M110*2)/100,IF(AND($M110&lt;&gt;"",$N110="MND",$Q110="EMBOQUE"),($AN110*2)/100,0))</f>
        <v>4.8138</v>
      </c>
      <c r="BI110" s="153" t="n">
        <f aca="false">IF(AND($M110&lt;&gt;"",$N110="VCA",$Q110="LINEAR"),$M110,IF(AND($M110&lt;&gt;"",$N110="MND",$Q110="EMBOQUE"),$AN110*2,0))</f>
        <v>240.69</v>
      </c>
      <c r="BJ110" s="153" t="n">
        <f aca="false">IF(AND($M110&lt;&gt;"",$N110="VCA",$Q110="LINEAR"),($M110*6.8)/100,IF(AND($M110&lt;&gt;"",$N110="MND",$Q110="EMBOQUE"),($AN110*2*6.8)/100,0))</f>
        <v>16.36692</v>
      </c>
      <c r="BK110" s="153" t="n">
        <f aca="false">IF(AND($M110&lt;&gt;"",$N110="VCA",$Q110="LINEAR"),($M110*2.5)/50,IF(AND($M110&lt;&gt;"",$N110="MND",$Q110="EMBOQUE"),($AN110*2*2.5)/50,0))</f>
        <v>12.0345</v>
      </c>
      <c r="BL110" s="157" t="str">
        <f aca="false">K110&amp;J110</f>
        <v>Zona01REDES</v>
      </c>
      <c r="BM110" s="152" t="s">
        <v>1559</v>
      </c>
      <c r="BN110" s="152" t="s">
        <v>1560</v>
      </c>
      <c r="BO110" s="152" t="s">
        <v>1748</v>
      </c>
      <c r="BP110" s="152" t="s">
        <v>1942</v>
      </c>
      <c r="BQ110" s="152" t="s">
        <v>1902</v>
      </c>
      <c r="BR110" s="152" t="s">
        <v>1943</v>
      </c>
      <c r="BS110" s="152" t="n">
        <v>203382.51</v>
      </c>
      <c r="BT110" s="152" t="n">
        <v>8238338.785</v>
      </c>
      <c r="BU110" s="152" t="n">
        <v>203189.303</v>
      </c>
      <c r="BV110" s="152" t="n">
        <v>8238481.691</v>
      </c>
      <c r="BW110" s="152" t="n">
        <v>-15.9157882</v>
      </c>
      <c r="BX110" s="152" t="n">
        <v>-47.7711605</v>
      </c>
      <c r="BY110" s="152" t="s">
        <v>1942</v>
      </c>
    </row>
    <row r="111" customFormat="false" ht="13.8" hidden="false" customHeight="false" outlineLevel="0" collapsed="false">
      <c r="A111" s="149" t="n">
        <f aca="false">IF(C111&lt;&gt;"",ROW(A106),"")</f>
        <v>106</v>
      </c>
      <c r="B111" s="150" t="str">
        <f aca="false">HYPERLINK("https://www.google.com/maps/dir/-15.917302,-47.760003/-15.9160330,-47.7738753/data=!4m3!4m2!3e0!5i0")</f>
        <v>https://www.google.com/maps/dir/-15.917302,-47.760003/-15.9160330,-47.7738753/data=!4m3!4m2!3e0!5i0</v>
      </c>
      <c r="C111" s="151" t="s">
        <v>117</v>
      </c>
      <c r="D111" s="152" t="s">
        <v>112</v>
      </c>
      <c r="E111" s="152" t="s">
        <v>113</v>
      </c>
      <c r="F111" s="152" t="s">
        <v>117</v>
      </c>
      <c r="G111" s="152" t="s">
        <v>782</v>
      </c>
      <c r="H111" s="152" t="n">
        <v>63</v>
      </c>
      <c r="I111" s="152" t="s">
        <v>115</v>
      </c>
      <c r="J111" s="152" t="s">
        <v>6</v>
      </c>
      <c r="K111" s="152" t="s">
        <v>1547</v>
      </c>
      <c r="L111" s="152" t="s">
        <v>120</v>
      </c>
      <c r="M111" s="153" t="n">
        <f aca="false">47.65</f>
        <v>47.65</v>
      </c>
      <c r="N111" s="152" t="s">
        <v>1548</v>
      </c>
      <c r="O111" s="152" t="s">
        <v>1549</v>
      </c>
      <c r="P111" s="152" t="s">
        <v>1550</v>
      </c>
      <c r="Q111" s="152" t="s">
        <v>1551</v>
      </c>
      <c r="R111" s="154" t="s">
        <v>1944</v>
      </c>
      <c r="S111" s="154" t="s">
        <v>1553</v>
      </c>
      <c r="T111" s="155" t="s">
        <v>1746</v>
      </c>
      <c r="U111" s="152" t="str">
        <f aca="false">RIGHT(T111,7)</f>
        <v>003/037</v>
      </c>
      <c r="V111" s="152" t="s">
        <v>1555</v>
      </c>
      <c r="W111" s="156" t="n">
        <v>45882</v>
      </c>
      <c r="X111" s="152" t="s">
        <v>1594</v>
      </c>
      <c r="Y111" s="152" t="s">
        <v>1886</v>
      </c>
      <c r="Z111" s="152" t="s">
        <v>1557</v>
      </c>
      <c r="AA111" s="153" t="n">
        <v>2.8</v>
      </c>
      <c r="AB111" s="151" t="s">
        <v>1945</v>
      </c>
      <c r="AC111" s="151" t="s">
        <v>186</v>
      </c>
      <c r="AD111" s="151" t="str">
        <f aca="false">CONCATENATE($C111,$I111,$H111,$N111,$J111,$K111)</f>
        <v>TUBO PEADPEAD63VCAREDESZona01</v>
      </c>
      <c r="AE111" s="153" t="n">
        <f aca="false">IFERROR(INDEX(APOIO_REDES!$A:$W,MATCH($C111&amp;$I111&amp;$H111&amp;$N111&amp;$O111,APOIO_REDES!$W:$W,0),MATCH(AE$5,APOIO_REDES!$5:$5,0)),0)</f>
        <v>1.2</v>
      </c>
      <c r="AF111" s="153" t="n">
        <f aca="false">IFERROR(INDEX(APOIO_REDES!$A:$W,MATCH($C111&amp;$I111&amp;$H111&amp;$N111&amp;$O111,APOIO_REDES!$W:$W,0),MATCH(AF$5,APOIO_REDES!$5:$5,0)),0)</f>
        <v>1.363</v>
      </c>
      <c r="AG111" s="153" t="n">
        <f aca="false">IFERROR(INDEX(APOIO_REDES!$A:$W,MATCH($C111&amp;$I111&amp;$H111&amp;$N111&amp;$O111,APOIO_REDES!$W:$W,0),MATCH(AG$5,APOIO_REDES!$5:$5,0)),0)</f>
        <v>0.65</v>
      </c>
      <c r="AH111" s="153" t="n">
        <f aca="false">IFERROR(INDEX(APOIO_REDES!$A:$W,MATCH($C111&amp;$I111&amp;$H111&amp;$N111&amp;$O111,APOIO_REDES!$W:$W,0),MATCH(AH$5,APOIO_REDES!$5:$5,0)),0)</f>
        <v>0.1</v>
      </c>
      <c r="AI111" s="153" t="n">
        <f aca="false">IFERROR(IF($H111&lt;&gt;"",(((($H111/1000)/2)^2)*PI()*$M111),0),0)</f>
        <v>0.148536739046491</v>
      </c>
      <c r="AJ111" s="153" t="n">
        <f aca="false">IFERROR(IF(AND($H111&lt;&gt;"",$I111="FoFo",OR($N111="MND",$N111="VCA"),$Q111="LINEAR"),0,IF(AND($H111&lt;&gt;"",$I111="PEAD",$N111="VCA",$Q111="LINEAR"),($H111/1000)+0.3,IF(AND($H111&lt;&gt;"",$I111="PEAD",$N111="MND",$Q111="EMBOQUE"),0,IF(AND($H111&lt;&gt;"",$I111="PVC",$N111="VCA",$Q111="LINEAR"),($H111/1000)+0.2,IF(AND($H111&lt;&gt;"",$I111="PVC",$N111="MND",$Q111="EMBOQUE"),0,IF(AND($H111&lt;&gt;"",$I111="PEAD",$N111="VCA",$Q111="PREDIAL"),0,0)))))),0)</f>
        <v>0.363</v>
      </c>
      <c r="AK111" s="153" t="n">
        <f aca="false">IF(AA111&lt;&gt;"",AA111,0)</f>
        <v>2.8</v>
      </c>
      <c r="AL111" s="153" t="n">
        <f aca="false">IF(AND($N111="MND",$Q111="EMBOQUE"),$M111,IF(AND($N111="VCA",$Q111="LINEAR"),$M111,IF(AND($N111="VCA",$Q111="PREDIAL"),0,0)))</f>
        <v>47.65</v>
      </c>
      <c r="AM111" s="153" t="n">
        <f aca="false">IF(AND($N111="MND",$Q111="EMBOQUE"),$M111,IF(AND($N111="VCA",$Q111="LINEAR"),$M111,IF(AND($N111="VCA",$Q111="PREDIAL"),0,0)))</f>
        <v>47.65</v>
      </c>
      <c r="AN111" s="153" t="n">
        <f aca="false">ROUND(IF(AND($N111="VCA",$M111&lt;&gt;"",$Q111="LINEAR"),$M111/100,IF(AND($N111="MND",$M111&gt;100,$Q111="EMBOQUE"),$M111/100,0)),0)</f>
        <v>0</v>
      </c>
      <c r="AO111" s="153" t="n">
        <f aca="false">IF(AND($N111="MND",$Q111="EMBOQUE"),$AN111*2*2,IF(AND($N111="VCA",$Q111="LINEAR"),$M111*2,IF(AND($N111="VCA",$Q111="PREDIAL"),0,0)))</f>
        <v>95.3</v>
      </c>
      <c r="AP111" s="153" t="n">
        <f aca="false">IFERROR($M111*$AF111*$AG111,0)</f>
        <v>42.2155175</v>
      </c>
      <c r="AQ111" s="153" t="n">
        <f aca="false">IFERROR(IF(AND($N111="VCA",$AH111&gt;0),$M111*$AG111*$AH111,0),0)</f>
        <v>3.09725</v>
      </c>
      <c r="AR111" s="153" t="n">
        <f aca="false">IFERROR(IF(AND($N111="VCA",$AJ111&gt;0),($M111*$AG111*$AJ111)-$AI111,0),0)</f>
        <v>11.0944807609535</v>
      </c>
      <c r="AS111" s="153" t="n">
        <f aca="false">IFERROR(IF(AND($N111="VCA",$AP111&gt;0),$AP111-$AI111-$AQ111-$AR111,0),0)</f>
        <v>27.87525</v>
      </c>
      <c r="AT111" s="153" t="n">
        <f aca="false">IFERROR(IF($N111="VCA",INDEX(APOIO_REDES!$A:$W,MATCH($C111&amp;$I111&amp;$H111&amp;$N111&amp;$O111,APOIO_REDES!$W:$W,0),MATCH(AT$5,APOIO_REDES!$5:$5,0)),0)*$AP111,0)</f>
        <v>0.459317325555366</v>
      </c>
      <c r="AU111" s="153" t="n">
        <f aca="false">IFERROR(IF($N111="VCA",INDEX(APOIO_REDES!$A:$W,MATCH($C111&amp;$I111&amp;$H111&amp;$N111&amp;$O111,APOIO_REDES!$W:$W,0),MATCH(AU$5,APOIO_REDES!$5:$5,0)),0)*$AP111,0)</f>
        <v>0.366798376297706</v>
      </c>
      <c r="AV111" s="153" t="n">
        <f aca="false">IFERROR(IF($N111="VCA",INDEX(APOIO_REDES!$A:$W,MATCH($C111&amp;$I111&amp;$H111&amp;$N111&amp;$O111,APOIO_REDES!$W:$W,0),MATCH(AV$5,APOIO_REDES!$5:$5,0)),0)*$AP111,0)</f>
        <v>0.0507620157994497</v>
      </c>
      <c r="AW111" s="153" t="n">
        <f aca="false">IFERROR(IF($N111="VCA",INDEX(APOIO_REDES!$A:$W,MATCH($C111&amp;$I111&amp;$H111&amp;$N111&amp;$O111,APOIO_REDES!$W:$W,0),MATCH(AW$5,APOIO_REDES!$5:$5,0)),0)*$AP111,0)</f>
        <v>28.9770583137914</v>
      </c>
      <c r="AX111" s="153" t="n">
        <f aca="false">IFERROR(IF($N111="VCA",INDEX(APOIO_REDES!$A:$W,MATCH($C111&amp;$I111&amp;$H111&amp;$N111&amp;$O111,APOIO_REDES!$W:$W,0),MATCH(AX$5,APOIO_REDES!$5:$5,0)),0)*$AP111,0)</f>
        <v>4.01034232791568</v>
      </c>
      <c r="AY111" s="153" t="n">
        <f aca="false">IFERROR(IF($N111="VCA",INDEX(APOIO_REDES!$A:$W,MATCH($C111&amp;$I111&amp;$H111&amp;$N111&amp;$O111,APOIO_REDES!$W:$W,0),MATCH(AY$5,APOIO_REDES!$5:$5,0)),0)*$AP111,0)</f>
        <v>7.33596305471165</v>
      </c>
      <c r="AZ111" s="153" t="n">
        <f aca="false">IFERROR(IF($N111="VCA",INDEX(APOIO_REDES!$A:$W,MATCH($C111&amp;$I111&amp;$H111&amp;$N111&amp;$O111,APOIO_REDES!$W:$W,0),MATCH(AZ$5,APOIO_REDES!$5:$5,0)),0)*$AP111,0)</f>
        <v>1.01527608592878</v>
      </c>
      <c r="BA111" s="153" t="n">
        <f aca="false">IFERROR(IF(AND($N111="VCA",$Q111="LINEAR"),INDEX(APOIO_REDES!$A:$W,MATCH($C111&amp;$I111&amp;$H111&amp;$N111&amp;$O111,APOIO_REDES!$W:$W,0),MATCH(BA$5,APOIO_REDES!$5:$5,0)),IF(AND($N111="MND",$Q111="EMBOQUE"),INDEX(APOIO_REDES!$A:$W,MATCH($C111&amp;$I111&amp;$H111&amp;$N111&amp;$O111,APOIO_REDES!$W:$W,0),MATCH(BA$5,APOIO_REDES!$5:$5,0)),0))*$M111/10,0)</f>
        <v>3.84046980667653</v>
      </c>
      <c r="BB111" s="153" t="n">
        <f aca="false">IFERROR(IF($N111="VCA",INDEX(APOIO_REDES!$A:$W,MATCH($C111&amp;$I111&amp;$H111&amp;$N111&amp;$O111,APOIO_REDES!$W:$W,0),MATCH(BB$5,APOIO_REDES!$5:$5,0)),0)*($AI111+$AQ111+$AR111),0)</f>
        <v>14.1842411450975</v>
      </c>
      <c r="BC111" s="153" t="n">
        <f aca="false">IFERROR(IF($N111="VCA",INDEX(APOIO_REDES!$A:$W,MATCH($C111&amp;$I111&amp;$H111&amp;$N111&amp;$O111,APOIO_REDES!$W:$W,0),MATCH(BC$5,APOIO_REDES!$5:$5,0)),0)*($AI111+$AQ111+$AR111),0)</f>
        <v>0.15602635490252</v>
      </c>
      <c r="BD111" s="153" t="n">
        <f aca="false">IF(AND($N111="VCA",$AF111&gt;=1.25,$AF111&lt;1.5),$M111*$AF111*2,0)</f>
        <v>129.8939</v>
      </c>
      <c r="BE111" s="153" t="n">
        <f aca="false">IF(AND($N111="VCA",$AF111&gt;=1.5,$AF111&lt;3),$M111*$AF111*2,0)</f>
        <v>0</v>
      </c>
      <c r="BF111" s="153" t="n">
        <f aca="false">IF(AND($N111="VCA",$AF111&gt;=3),$M111*$AF111*2,0)</f>
        <v>0</v>
      </c>
      <c r="BG111" s="153" t="n">
        <f aca="false">($BB111+$BC111)*$AK111</f>
        <v>40.152749</v>
      </c>
      <c r="BH111" s="153" t="n">
        <f aca="false">IF(AND($M111&lt;&gt;"",$N111="VCA",$Q111="LINEAR"),($M111*2)/100,IF(AND($M111&lt;&gt;"",$N111="MND",$Q111="EMBOQUE"),($AN111*2)/100,0))</f>
        <v>0.953</v>
      </c>
      <c r="BI111" s="153" t="n">
        <f aca="false">IF(AND($M111&lt;&gt;"",$N111="VCA",$Q111="LINEAR"),$M111,IF(AND($M111&lt;&gt;"",$N111="MND",$Q111="EMBOQUE"),$AN111*2,0))</f>
        <v>47.65</v>
      </c>
      <c r="BJ111" s="153" t="n">
        <f aca="false">IF(AND($M111&lt;&gt;"",$N111="VCA",$Q111="LINEAR"),($M111*6.8)/100,IF(AND($M111&lt;&gt;"",$N111="MND",$Q111="EMBOQUE"),($AN111*2*6.8)/100,0))</f>
        <v>3.2402</v>
      </c>
      <c r="BK111" s="153" t="n">
        <f aca="false">IF(AND($M111&lt;&gt;"",$N111="VCA",$Q111="LINEAR"),($M111*2.5)/50,IF(AND($M111&lt;&gt;"",$N111="MND",$Q111="EMBOQUE"),($AN111*2*2.5)/50,0))</f>
        <v>2.3825</v>
      </c>
      <c r="BL111" s="157" t="str">
        <f aca="false">K111&amp;J111</f>
        <v>Zona01REDES</v>
      </c>
      <c r="BM111" s="152" t="s">
        <v>1559</v>
      </c>
      <c r="BN111" s="152" t="s">
        <v>1560</v>
      </c>
      <c r="BO111" s="152" t="s">
        <v>1748</v>
      </c>
      <c r="BP111" s="152" t="s">
        <v>1946</v>
      </c>
      <c r="BQ111" s="152" t="s">
        <v>1933</v>
      </c>
      <c r="BR111" s="152" t="s">
        <v>1850</v>
      </c>
      <c r="BS111" s="152" t="n">
        <v>202995.846</v>
      </c>
      <c r="BT111" s="152" t="n">
        <v>8238379.88</v>
      </c>
      <c r="BU111" s="152" t="n">
        <v>202957.949</v>
      </c>
      <c r="BV111" s="152" t="n">
        <v>8238408.765</v>
      </c>
      <c r="BW111" s="152" t="n">
        <v>-15.9159003</v>
      </c>
      <c r="BX111" s="152" t="n">
        <v>-47.7740503</v>
      </c>
      <c r="BY111" s="152" t="s">
        <v>1946</v>
      </c>
    </row>
    <row r="112" customFormat="false" ht="13.8" hidden="false" customHeight="false" outlineLevel="0" collapsed="false">
      <c r="A112" s="149" t="n">
        <f aca="false">IF(C112&lt;&gt;"",ROW(A107),"")</f>
        <v>107</v>
      </c>
      <c r="B112" s="150" t="str">
        <f aca="false">HYPERLINK("https://www.google.com/maps/dir/-15.917302,-47.760003/-15.9148688,-47.7738534/data=!4m3!4m2!3e0!5i0")</f>
        <v>https://www.google.com/maps/dir/-15.917302,-47.760003/-15.9148688,-47.7738534/data=!4m3!4m2!3e0!5i0</v>
      </c>
      <c r="C112" s="151" t="s">
        <v>117</v>
      </c>
      <c r="D112" s="152" t="s">
        <v>112</v>
      </c>
      <c r="E112" s="152" t="s">
        <v>113</v>
      </c>
      <c r="F112" s="152" t="s">
        <v>117</v>
      </c>
      <c r="G112" s="152" t="s">
        <v>782</v>
      </c>
      <c r="H112" s="152" t="n">
        <v>63</v>
      </c>
      <c r="I112" s="152" t="s">
        <v>115</v>
      </c>
      <c r="J112" s="152" t="s">
        <v>6</v>
      </c>
      <c r="K112" s="152" t="s">
        <v>1547</v>
      </c>
      <c r="L112" s="152" t="s">
        <v>120</v>
      </c>
      <c r="M112" s="153" t="n">
        <f aca="false">413.35+0.55</f>
        <v>413.9</v>
      </c>
      <c r="N112" s="152" t="s">
        <v>1548</v>
      </c>
      <c r="O112" s="152" t="s">
        <v>1549</v>
      </c>
      <c r="P112" s="152" t="s">
        <v>1550</v>
      </c>
      <c r="Q112" s="152" t="s">
        <v>1551</v>
      </c>
      <c r="R112" s="154" t="s">
        <v>1947</v>
      </c>
      <c r="S112" s="154" t="s">
        <v>1553</v>
      </c>
      <c r="T112" s="155" t="s">
        <v>1746</v>
      </c>
      <c r="U112" s="152" t="str">
        <f aca="false">RIGHT(T112,7)</f>
        <v>003/037</v>
      </c>
      <c r="V112" s="152" t="s">
        <v>1555</v>
      </c>
      <c r="W112" s="156" t="n">
        <v>45882</v>
      </c>
      <c r="X112" s="152" t="s">
        <v>1594</v>
      </c>
      <c r="Y112" s="152" t="s">
        <v>1860</v>
      </c>
      <c r="Z112" s="152" t="s">
        <v>1557</v>
      </c>
      <c r="AA112" s="153" t="n">
        <v>2.8</v>
      </c>
      <c r="AB112" s="151" t="s">
        <v>1948</v>
      </c>
      <c r="AC112" s="151" t="s">
        <v>186</v>
      </c>
      <c r="AD112" s="151" t="str">
        <f aca="false">CONCATENATE($C112,$I112,$H112,$N112,$J112,$K112)</f>
        <v>TUBO PEADPEAD63VCAREDESZona01</v>
      </c>
      <c r="AE112" s="153" t="n">
        <f aca="false">IFERROR(INDEX(APOIO_REDES!$A:$W,MATCH($C112&amp;$I112&amp;$H112&amp;$N112&amp;$O112,APOIO_REDES!$W:$W,0),MATCH(AE$5,APOIO_REDES!$5:$5,0)),0)</f>
        <v>1.2</v>
      </c>
      <c r="AF112" s="153" t="n">
        <f aca="false">IFERROR(INDEX(APOIO_REDES!$A:$W,MATCH($C112&amp;$I112&amp;$H112&amp;$N112&amp;$O112,APOIO_REDES!$W:$W,0),MATCH(AF$5,APOIO_REDES!$5:$5,0)),0)</f>
        <v>1.363</v>
      </c>
      <c r="AG112" s="153" t="n">
        <f aca="false">IFERROR(INDEX(APOIO_REDES!$A:$W,MATCH($C112&amp;$I112&amp;$H112&amp;$N112&amp;$O112,APOIO_REDES!$W:$W,0),MATCH(AG$5,APOIO_REDES!$5:$5,0)),0)</f>
        <v>0.65</v>
      </c>
      <c r="AH112" s="153" t="n">
        <f aca="false">IFERROR(INDEX(APOIO_REDES!$A:$W,MATCH($C112&amp;$I112&amp;$H112&amp;$N112&amp;$O112,APOIO_REDES!$W:$W,0),MATCH(AH$5,APOIO_REDES!$5:$5,0)),0)</f>
        <v>0.1</v>
      </c>
      <c r="AI112" s="153" t="n">
        <f aca="false">IFERROR(IF($H112&lt;&gt;"",(((($H112/1000)/2)^2)*PI()*$M112),0),0)</f>
        <v>1.29022783402608</v>
      </c>
      <c r="AJ112" s="153" t="n">
        <f aca="false">IFERROR(IF(AND($H112&lt;&gt;"",$I112="FoFo",OR($N112="MND",$N112="VCA"),$Q112="LINEAR"),0,IF(AND($H112&lt;&gt;"",$I112="PEAD",$N112="VCA",$Q112="LINEAR"),($H112/1000)+0.3,IF(AND($H112&lt;&gt;"",$I112="PEAD",$N112="MND",$Q112="EMBOQUE"),0,IF(AND($H112&lt;&gt;"",$I112="PVC",$N112="VCA",$Q112="LINEAR"),($H112/1000)+0.2,IF(AND($H112&lt;&gt;"",$I112="PVC",$N112="MND",$Q112="EMBOQUE"),0,IF(AND($H112&lt;&gt;"",$I112="PEAD",$N112="VCA",$Q112="PREDIAL"),0,0)))))),0)</f>
        <v>0.363</v>
      </c>
      <c r="AK112" s="153" t="n">
        <f aca="false">IF(AA112&lt;&gt;"",AA112,0)</f>
        <v>2.8</v>
      </c>
      <c r="AL112" s="153" t="n">
        <f aca="false">IF(AND($N112="MND",$Q112="EMBOQUE"),$M112,IF(AND($N112="VCA",$Q112="LINEAR"),$M112,IF(AND($N112="VCA",$Q112="PREDIAL"),0,0)))</f>
        <v>413.9</v>
      </c>
      <c r="AM112" s="153" t="n">
        <f aca="false">IF(AND($N112="MND",$Q112="EMBOQUE"),$M112,IF(AND($N112="VCA",$Q112="LINEAR"),$M112,IF(AND($N112="VCA",$Q112="PREDIAL"),0,0)))</f>
        <v>413.9</v>
      </c>
      <c r="AN112" s="153" t="n">
        <f aca="false">ROUND(IF(AND($N112="VCA",$M112&lt;&gt;"",$Q112="LINEAR"),$M112/100,IF(AND($N112="MND",$M112&gt;100,$Q112="EMBOQUE"),$M112/100,0)),0)</f>
        <v>4</v>
      </c>
      <c r="AO112" s="153" t="n">
        <f aca="false">IF(AND($N112="MND",$Q112="EMBOQUE"),$AN112*2*2,IF(AND($N112="VCA",$Q112="LINEAR"),$M112*2,IF(AND($N112="VCA",$Q112="PREDIAL"),0,0)))</f>
        <v>827.8</v>
      </c>
      <c r="AP112" s="153" t="n">
        <f aca="false">IFERROR($M112*$AF112*$AG112,0)</f>
        <v>366.694705</v>
      </c>
      <c r="AQ112" s="153" t="n">
        <f aca="false">IFERROR(IF(AND($N112="VCA",$AH112&gt;0),$M112*$AG112*$AH112,0),0)</f>
        <v>26.9035</v>
      </c>
      <c r="AR112" s="153" t="n">
        <f aca="false">IFERROR(IF(AND($N112="VCA",$AJ112&gt;0),($M112*$AG112*$AJ112)-$AI112,0),0)</f>
        <v>96.3694771659739</v>
      </c>
      <c r="AS112" s="153" t="n">
        <f aca="false">IFERROR(IF(AND($N112="VCA",$AP112&gt;0),$AP112-$AI112-$AQ112-$AR112,0),0)</f>
        <v>242.1315</v>
      </c>
      <c r="AT112" s="153" t="n">
        <f aca="false">IFERROR(IF($N112="VCA",INDEX(APOIO_REDES!$A:$W,MATCH($C112&amp;$I112&amp;$H112&amp;$N112&amp;$O112,APOIO_REDES!$W:$W,0),MATCH(AT$5,APOIO_REDES!$5:$5,0)),0)*$AP112,0)</f>
        <v>3.98974692649247</v>
      </c>
      <c r="AU112" s="153" t="n">
        <f aca="false">IFERROR(IF($N112="VCA",INDEX(APOIO_REDES!$A:$W,MATCH($C112&amp;$I112&amp;$H112&amp;$N112&amp;$O112,APOIO_REDES!$W:$W,0),MATCH(AU$5,APOIO_REDES!$5:$5,0)),0)*$AP112,0)</f>
        <v>3.18610383944639</v>
      </c>
      <c r="AV112" s="153" t="n">
        <f aca="false">IFERROR(IF($N112="VCA",INDEX(APOIO_REDES!$A:$W,MATCH($C112&amp;$I112&amp;$H112&amp;$N112&amp;$O112,APOIO_REDES!$W:$W,0),MATCH(AV$5,APOIO_REDES!$5:$5,0)),0)*$AP112,0)</f>
        <v>0.440931759483573</v>
      </c>
      <c r="AW112" s="153" t="n">
        <f aca="false">IFERROR(IF($N112="VCA",INDEX(APOIO_REDES!$A:$W,MATCH($C112&amp;$I112&amp;$H112&amp;$N112&amp;$O112,APOIO_REDES!$W:$W,0),MATCH(AW$5,APOIO_REDES!$5:$5,0)),0)*$AP112,0)</f>
        <v>251.702086801222</v>
      </c>
      <c r="AX112" s="153" t="n">
        <f aca="false">IFERROR(IF($N112="VCA",INDEX(APOIO_REDES!$A:$W,MATCH($C112&amp;$I112&amp;$H112&amp;$N112&amp;$O112,APOIO_REDES!$W:$W,0),MATCH(AX$5,APOIO_REDES!$5:$5,0)),0)*$AP112,0)</f>
        <v>34.8348518263231</v>
      </c>
      <c r="AY112" s="153" t="n">
        <f aca="false">IFERROR(IF($N112="VCA",INDEX(APOIO_REDES!$A:$W,MATCH($C112&amp;$I112&amp;$H112&amp;$N112&amp;$O112,APOIO_REDES!$W:$W,0),MATCH(AY$5,APOIO_REDES!$5:$5,0)),0)*$AP112,0)</f>
        <v>63.7220379505803</v>
      </c>
      <c r="AZ112" s="153" t="n">
        <f aca="false">IFERROR(IF($N112="VCA",INDEX(APOIO_REDES!$A:$W,MATCH($C112&amp;$I112&amp;$H112&amp;$N112&amp;$O112,APOIO_REDES!$W:$W,0),MATCH(AZ$5,APOIO_REDES!$5:$5,0)),0)*$AP112,0)</f>
        <v>8.81894589645168</v>
      </c>
      <c r="BA112" s="153" t="n">
        <f aca="false">IFERROR(IF(AND($N112="VCA",$Q112="LINEAR"),INDEX(APOIO_REDES!$A:$W,MATCH($C112&amp;$I112&amp;$H112&amp;$N112&amp;$O112,APOIO_REDES!$W:$W,0),MATCH(BA$5,APOIO_REDES!$5:$5,0)),IF(AND($N112="MND",$Q112="EMBOQUE"),INDEX(APOIO_REDES!$A:$W,MATCH($C112&amp;$I112&amp;$H112&amp;$N112&amp;$O112,APOIO_REDES!$W:$W,0),MATCH(BA$5,APOIO_REDES!$5:$5,0)),0))*$M112/10,0)</f>
        <v>33.3592959702711</v>
      </c>
      <c r="BB112" s="153" t="n">
        <f aca="false">IFERROR(IF($N112="VCA",INDEX(APOIO_REDES!$A:$W,MATCH($C112&amp;$I112&amp;$H112&amp;$N112&amp;$O112,APOIO_REDES!$W:$W,0),MATCH(BB$5,APOIO_REDES!$5:$5,0)),0)*($AI112+$AQ112+$AR112),0)</f>
        <v>123.207920460773</v>
      </c>
      <c r="BC112" s="153" t="n">
        <f aca="false">IFERROR(IF($N112="VCA",INDEX(APOIO_REDES!$A:$W,MATCH($C112&amp;$I112&amp;$H112&amp;$N112&amp;$O112,APOIO_REDES!$W:$W,0),MATCH(BC$5,APOIO_REDES!$5:$5,0)),0)*($AI112+$AQ112+$AR112),0)</f>
        <v>1.35528453922672</v>
      </c>
      <c r="BD112" s="153" t="n">
        <f aca="false">IF(AND($N112="VCA",$AF112&gt;=1.25,$AF112&lt;1.5),$M112*$AF112*2,0)</f>
        <v>1128.2914</v>
      </c>
      <c r="BE112" s="153" t="n">
        <f aca="false">IF(AND($N112="VCA",$AF112&gt;=1.5,$AF112&lt;3),$M112*$AF112*2,0)</f>
        <v>0</v>
      </c>
      <c r="BF112" s="153" t="n">
        <f aca="false">IF(AND($N112="VCA",$AF112&gt;=3),$M112*$AF112*2,0)</f>
        <v>0</v>
      </c>
      <c r="BG112" s="153" t="n">
        <f aca="false">($BB112+$BC112)*$AK112</f>
        <v>348.776974</v>
      </c>
      <c r="BH112" s="153" t="n">
        <f aca="false">IF(AND($M112&lt;&gt;"",$N112="VCA",$Q112="LINEAR"),($M112*2)/100,IF(AND($M112&lt;&gt;"",$N112="MND",$Q112="EMBOQUE"),($AN112*2)/100,0))</f>
        <v>8.278</v>
      </c>
      <c r="BI112" s="153" t="n">
        <f aca="false">IF(AND($M112&lt;&gt;"",$N112="VCA",$Q112="LINEAR"),$M112,IF(AND($M112&lt;&gt;"",$N112="MND",$Q112="EMBOQUE"),$AN112*2,0))</f>
        <v>413.9</v>
      </c>
      <c r="BJ112" s="153" t="n">
        <f aca="false">IF(AND($M112&lt;&gt;"",$N112="VCA",$Q112="LINEAR"),($M112*6.8)/100,IF(AND($M112&lt;&gt;"",$N112="MND",$Q112="EMBOQUE"),($AN112*2*6.8)/100,0))</f>
        <v>28.1452</v>
      </c>
      <c r="BK112" s="153" t="n">
        <f aca="false">IF(AND($M112&lt;&gt;"",$N112="VCA",$Q112="LINEAR"),($M112*2.5)/50,IF(AND($M112&lt;&gt;"",$N112="MND",$Q112="EMBOQUE"),($AN112*2*2.5)/50,0))</f>
        <v>20.695</v>
      </c>
      <c r="BL112" s="157" t="str">
        <f aca="false">K112&amp;J112</f>
        <v>Zona01REDES</v>
      </c>
      <c r="BM112" s="152" t="s">
        <v>1559</v>
      </c>
      <c r="BN112" s="152" t="s">
        <v>1560</v>
      </c>
      <c r="BO112" s="152" t="s">
        <v>1748</v>
      </c>
      <c r="BP112" s="152" t="s">
        <v>1876</v>
      </c>
      <c r="BQ112" s="152" t="s">
        <v>1949</v>
      </c>
      <c r="BR112" s="152" t="s">
        <v>1950</v>
      </c>
      <c r="BS112" s="152" t="n">
        <v>202996.481</v>
      </c>
      <c r="BT112" s="152" t="n">
        <v>8238508.818</v>
      </c>
      <c r="BU112" s="152" t="n">
        <v>203327.183</v>
      </c>
      <c r="BV112" s="152" t="n">
        <v>8238260.963</v>
      </c>
      <c r="BW112" s="152" t="n">
        <v>-15.9160132</v>
      </c>
      <c r="BX112" s="152" t="n">
        <v>-47.7723301</v>
      </c>
      <c r="BY112" s="152" t="s">
        <v>1876</v>
      </c>
    </row>
    <row r="113" customFormat="false" ht="13.8" hidden="false" customHeight="false" outlineLevel="0" collapsed="false">
      <c r="A113" s="149" t="n">
        <f aca="false">IF(C113&lt;&gt;"",ROW(A108),"")</f>
        <v>108</v>
      </c>
      <c r="B113" s="150" t="str">
        <f aca="false">HYPERLINK("https://www.google.com/maps/dir/-15.917302,-47.760003/-15.9162386,-47.7740237/data=!4m3!4m2!3e0!5i0")</f>
        <v>https://www.google.com/maps/dir/-15.917302,-47.760003/-15.9162386,-47.7740237/data=!4m3!4m2!3e0!5i0</v>
      </c>
      <c r="C113" s="151" t="s">
        <v>117</v>
      </c>
      <c r="D113" s="152" t="s">
        <v>112</v>
      </c>
      <c r="E113" s="152" t="s">
        <v>113</v>
      </c>
      <c r="F113" s="152" t="s">
        <v>117</v>
      </c>
      <c r="G113" s="152" t="s">
        <v>782</v>
      </c>
      <c r="H113" s="152" t="n">
        <v>63</v>
      </c>
      <c r="I113" s="152" t="s">
        <v>115</v>
      </c>
      <c r="J113" s="152" t="s">
        <v>6</v>
      </c>
      <c r="K113" s="152" t="s">
        <v>1547</v>
      </c>
      <c r="L113" s="152" t="s">
        <v>120</v>
      </c>
      <c r="M113" s="153" t="n">
        <f aca="false">27.77</f>
        <v>27.77</v>
      </c>
      <c r="N113" s="152" t="s">
        <v>1548</v>
      </c>
      <c r="O113" s="152" t="s">
        <v>1549</v>
      </c>
      <c r="P113" s="152" t="s">
        <v>1550</v>
      </c>
      <c r="Q113" s="152" t="s">
        <v>1551</v>
      </c>
      <c r="R113" s="154" t="s">
        <v>1951</v>
      </c>
      <c r="S113" s="154" t="s">
        <v>1553</v>
      </c>
      <c r="T113" s="155" t="s">
        <v>1746</v>
      </c>
      <c r="U113" s="152" t="str">
        <f aca="false">RIGHT(T113,7)</f>
        <v>003/037</v>
      </c>
      <c r="V113" s="152" t="s">
        <v>1555</v>
      </c>
      <c r="W113" s="156" t="n">
        <v>45882</v>
      </c>
      <c r="X113" s="152" t="s">
        <v>1594</v>
      </c>
      <c r="Y113" s="152" t="s">
        <v>1952</v>
      </c>
      <c r="Z113" s="152" t="s">
        <v>1557</v>
      </c>
      <c r="AA113" s="153" t="n">
        <v>2.8</v>
      </c>
      <c r="AB113" s="151" t="s">
        <v>1953</v>
      </c>
      <c r="AC113" s="151" t="s">
        <v>186</v>
      </c>
      <c r="AD113" s="151" t="str">
        <f aca="false">CONCATENATE($C113,$I113,$H113,$N113,$J113,$K113)</f>
        <v>TUBO PEADPEAD63VCAREDESZona01</v>
      </c>
      <c r="AE113" s="153" t="n">
        <f aca="false">IFERROR(INDEX(APOIO_REDES!$A:$W,MATCH($C113&amp;$I113&amp;$H113&amp;$N113&amp;$O113,APOIO_REDES!$W:$W,0),MATCH(AE$5,APOIO_REDES!$5:$5,0)),0)</f>
        <v>1.2</v>
      </c>
      <c r="AF113" s="153" t="n">
        <f aca="false">IFERROR(INDEX(APOIO_REDES!$A:$W,MATCH($C113&amp;$I113&amp;$H113&amp;$N113&amp;$O113,APOIO_REDES!$W:$W,0),MATCH(AF$5,APOIO_REDES!$5:$5,0)),0)</f>
        <v>1.363</v>
      </c>
      <c r="AG113" s="153" t="n">
        <f aca="false">IFERROR(INDEX(APOIO_REDES!$A:$W,MATCH($C113&amp;$I113&amp;$H113&amp;$N113&amp;$O113,APOIO_REDES!$W:$W,0),MATCH(AG$5,APOIO_REDES!$5:$5,0)),0)</f>
        <v>0.65</v>
      </c>
      <c r="AH113" s="153" t="n">
        <f aca="false">IFERROR(INDEX(APOIO_REDES!$A:$W,MATCH($C113&amp;$I113&amp;$H113&amp;$N113&amp;$O113,APOIO_REDES!$W:$W,0),MATCH(AH$5,APOIO_REDES!$5:$5,0)),0)</f>
        <v>0.1</v>
      </c>
      <c r="AI113" s="153" t="n">
        <f aca="false">IFERROR(IF($H113&lt;&gt;"",(((($H113/1000)/2)^2)*PI()*$M113),0),0)</f>
        <v>0.0865659022732646</v>
      </c>
      <c r="AJ113" s="153" t="n">
        <f aca="false">IFERROR(IF(AND($H113&lt;&gt;"",$I113="FoFo",OR($N113="MND",$N113="VCA"),$Q113="LINEAR"),0,IF(AND($H113&lt;&gt;"",$I113="PEAD",$N113="VCA",$Q113="LINEAR"),($H113/1000)+0.3,IF(AND($H113&lt;&gt;"",$I113="PEAD",$N113="MND",$Q113="EMBOQUE"),0,IF(AND($H113&lt;&gt;"",$I113="PVC",$N113="VCA",$Q113="LINEAR"),($H113/1000)+0.2,IF(AND($H113&lt;&gt;"",$I113="PVC",$N113="MND",$Q113="EMBOQUE"),0,IF(AND($H113&lt;&gt;"",$I113="PEAD",$N113="VCA",$Q113="PREDIAL"),0,0)))))),0)</f>
        <v>0.363</v>
      </c>
      <c r="AK113" s="153" t="n">
        <f aca="false">IF(AA113&lt;&gt;"",AA113,0)</f>
        <v>2.8</v>
      </c>
      <c r="AL113" s="153" t="n">
        <f aca="false">IF(AND($N113="MND",$Q113="EMBOQUE"),$M113,IF(AND($N113="VCA",$Q113="LINEAR"),$M113,IF(AND($N113="VCA",$Q113="PREDIAL"),0,0)))</f>
        <v>27.77</v>
      </c>
      <c r="AM113" s="153" t="n">
        <f aca="false">IF(AND($N113="MND",$Q113="EMBOQUE"),$M113,IF(AND($N113="VCA",$Q113="LINEAR"),$M113,IF(AND($N113="VCA",$Q113="PREDIAL"),0,0)))</f>
        <v>27.77</v>
      </c>
      <c r="AN113" s="153" t="n">
        <f aca="false">ROUND(IF(AND($N113="VCA",$M113&lt;&gt;"",$Q113="LINEAR"),$M113/100,IF(AND($N113="MND",$M113&gt;100,$Q113="EMBOQUE"),$M113/100,0)),0)</f>
        <v>0</v>
      </c>
      <c r="AO113" s="153" t="n">
        <f aca="false">IF(AND($N113="MND",$Q113="EMBOQUE"),$AN113*2*2,IF(AND($N113="VCA",$Q113="LINEAR"),$M113*2,IF(AND($N113="VCA",$Q113="PREDIAL"),0,0)))</f>
        <v>55.54</v>
      </c>
      <c r="AP113" s="153" t="n">
        <f aca="false">IFERROR($M113*$AF113*$AG113,0)</f>
        <v>24.6028315</v>
      </c>
      <c r="AQ113" s="153" t="n">
        <f aca="false">IFERROR(IF(AND($N113="VCA",$AH113&gt;0),$M113*$AG113*$AH113,0),0)</f>
        <v>1.80505</v>
      </c>
      <c r="AR113" s="153" t="n">
        <f aca="false">IFERROR(IF(AND($N113="VCA",$AJ113&gt;0),($M113*$AG113*$AJ113)-$AI113,0),0)</f>
        <v>6.46576559772674</v>
      </c>
      <c r="AS113" s="153" t="n">
        <f aca="false">IFERROR(IF(AND($N113="VCA",$AP113&gt;0),$AP113-$AI113-$AQ113-$AR113,0),0)</f>
        <v>16.24545</v>
      </c>
      <c r="AT113" s="153" t="n">
        <f aca="false">IFERROR(IF($N113="VCA",INDEX(APOIO_REDES!$A:$W,MATCH($C113&amp;$I113&amp;$H113&amp;$N113&amp;$O113,APOIO_REDES!$W:$W,0),MATCH(AT$5,APOIO_REDES!$5:$5,0)),0)*$AP113,0)</f>
        <v>0.267686088786412</v>
      </c>
      <c r="AU113" s="153" t="n">
        <f aca="false">IFERROR(IF($N113="VCA",INDEX(APOIO_REDES!$A:$W,MATCH($C113&amp;$I113&amp;$H113&amp;$N113&amp;$O113,APOIO_REDES!$W:$W,0),MATCH(AU$5,APOIO_REDES!$5:$5,0)),0)*$AP113,0)</f>
        <v>0.213766860646113</v>
      </c>
      <c r="AV113" s="153" t="n">
        <f aca="false">IFERROR(IF($N113="VCA",INDEX(APOIO_REDES!$A:$W,MATCH($C113&amp;$I113&amp;$H113&amp;$N113&amp;$O113,APOIO_REDES!$W:$W,0),MATCH(AV$5,APOIO_REDES!$5:$5,0)),0)*$AP113,0)</f>
        <v>0.0295836553777696</v>
      </c>
      <c r="AW113" s="153" t="n">
        <f aca="false">IFERROR(IF($N113="VCA",INDEX(APOIO_REDES!$A:$W,MATCH($C113&amp;$I113&amp;$H113&amp;$N113&amp;$O113,APOIO_REDES!$W:$W,0),MATCH(AW$5,APOIO_REDES!$5:$5,0)),0)*$AP113,0)</f>
        <v>16.8875741736409</v>
      </c>
      <c r="AX113" s="153" t="n">
        <f aca="false">IFERROR(IF($N113="VCA",INDEX(APOIO_REDES!$A:$W,MATCH($C113&amp;$I113&amp;$H113&amp;$N113&amp;$O113,APOIO_REDES!$W:$W,0),MATCH(AX$5,APOIO_REDES!$5:$5,0)),0)*$AP113,0)</f>
        <v>2.33719216046628</v>
      </c>
      <c r="AY113" s="153" t="n">
        <f aca="false">IFERROR(IF($N113="VCA",INDEX(APOIO_REDES!$A:$W,MATCH($C113&amp;$I113&amp;$H113&amp;$N113&amp;$O113,APOIO_REDES!$W:$W,0),MATCH(AY$5,APOIO_REDES!$5:$5,0)),0)*$AP113,0)</f>
        <v>4.27533460712156</v>
      </c>
      <c r="AZ113" s="153" t="n">
        <f aca="false">IFERROR(IF($N113="VCA",INDEX(APOIO_REDES!$A:$W,MATCH($C113&amp;$I113&amp;$H113&amp;$N113&amp;$O113,APOIO_REDES!$W:$W,0),MATCH(AZ$5,APOIO_REDES!$5:$5,0)),0)*$AP113,0)</f>
        <v>0.591693953961013</v>
      </c>
      <c r="BA113" s="153" t="n">
        <f aca="false">IFERROR(IF(AND($N113="VCA",$Q113="LINEAR"),INDEX(APOIO_REDES!$A:$W,MATCH($C113&amp;$I113&amp;$H113&amp;$N113&amp;$O113,APOIO_REDES!$W:$W,0),MATCH(BA$5,APOIO_REDES!$5:$5,0)),IF(AND($N113="MND",$Q113="EMBOQUE"),INDEX(APOIO_REDES!$A:$W,MATCH($C113&amp;$I113&amp;$H113&amp;$N113&amp;$O113,APOIO_REDES!$W:$W,0),MATCH(BA$5,APOIO_REDES!$5:$5,0)),0))*$M113/10,0)</f>
        <v>2.2381919523905</v>
      </c>
      <c r="BB113" s="153" t="n">
        <f aca="false">IFERROR(IF($N113="VCA",INDEX(APOIO_REDES!$A:$W,MATCH($C113&amp;$I113&amp;$H113&amp;$N113&amp;$O113,APOIO_REDES!$W:$W,0),MATCH(BB$5,APOIO_REDES!$5:$5,0)),0)*($AI113+$AQ113+$AR113),0)</f>
        <v>8.26645071562134</v>
      </c>
      <c r="BC113" s="153" t="n">
        <f aca="false">IFERROR(IF($N113="VCA",INDEX(APOIO_REDES!$A:$W,MATCH($C113&amp;$I113&amp;$H113&amp;$N113&amp;$O113,APOIO_REDES!$W:$W,0),MATCH(BC$5,APOIO_REDES!$5:$5,0)),0)*($AI113+$AQ113+$AR113),0)</f>
        <v>0.0909307843786564</v>
      </c>
      <c r="BD113" s="153" t="n">
        <f aca="false">IF(AND($N113="VCA",$AF113&gt;=1.25,$AF113&lt;1.5),$M113*$AF113*2,0)</f>
        <v>75.70102</v>
      </c>
      <c r="BE113" s="153" t="n">
        <f aca="false">IF(AND($N113="VCA",$AF113&gt;=1.5,$AF113&lt;3),$M113*$AF113*2,0)</f>
        <v>0</v>
      </c>
      <c r="BF113" s="153" t="n">
        <f aca="false">IF(AND($N113="VCA",$AF113&gt;=3),$M113*$AF113*2,0)</f>
        <v>0</v>
      </c>
      <c r="BG113" s="153" t="n">
        <f aca="false">($BB113+$BC113)*$AK113</f>
        <v>23.4006682</v>
      </c>
      <c r="BH113" s="153" t="n">
        <f aca="false">IF(AND($M113&lt;&gt;"",$N113="VCA",$Q113="LINEAR"),($M113*2)/100,IF(AND($M113&lt;&gt;"",$N113="MND",$Q113="EMBOQUE"),($AN113*2)/100,0))</f>
        <v>0.5554</v>
      </c>
      <c r="BI113" s="153" t="n">
        <f aca="false">IF(AND($M113&lt;&gt;"",$N113="VCA",$Q113="LINEAR"),$M113,IF(AND($M113&lt;&gt;"",$N113="MND",$Q113="EMBOQUE"),$AN113*2,0))</f>
        <v>27.77</v>
      </c>
      <c r="BJ113" s="153" t="n">
        <f aca="false">IF(AND($M113&lt;&gt;"",$N113="VCA",$Q113="LINEAR"),($M113*6.8)/100,IF(AND($M113&lt;&gt;"",$N113="MND",$Q113="EMBOQUE"),($AN113*2*6.8)/100,0))</f>
        <v>1.88836</v>
      </c>
      <c r="BK113" s="153" t="n">
        <f aca="false">IF(AND($M113&lt;&gt;"",$N113="VCA",$Q113="LINEAR"),($M113*2.5)/50,IF(AND($M113&lt;&gt;"",$N113="MND",$Q113="EMBOQUE"),($AN113*2*2.5)/50,0))</f>
        <v>1.3885</v>
      </c>
      <c r="BL113" s="157" t="str">
        <f aca="false">K113&amp;J113</f>
        <v>Zona01REDES</v>
      </c>
      <c r="BM113" s="152" t="s">
        <v>1559</v>
      </c>
      <c r="BN113" s="152" t="s">
        <v>1560</v>
      </c>
      <c r="BO113" s="152" t="s">
        <v>1748</v>
      </c>
      <c r="BP113" s="152" t="s">
        <v>1954</v>
      </c>
      <c r="BQ113" s="152" t="s">
        <v>1946</v>
      </c>
      <c r="BR113" s="152" t="s">
        <v>1850</v>
      </c>
      <c r="BS113" s="152" t="n">
        <v>202980.254</v>
      </c>
      <c r="BT113" s="152" t="n">
        <v>8238356.9</v>
      </c>
      <c r="BU113" s="152" t="n">
        <v>202995.846</v>
      </c>
      <c r="BV113" s="152" t="n">
        <v>8238379.88</v>
      </c>
      <c r="BW113" s="152" t="n">
        <v>-15.9161358</v>
      </c>
      <c r="BX113" s="152" t="n">
        <v>-47.7739495</v>
      </c>
      <c r="BY113" s="152" t="s">
        <v>1954</v>
      </c>
    </row>
    <row r="114" customFormat="false" ht="13.8" hidden="false" customHeight="false" outlineLevel="0" collapsed="false">
      <c r="A114" s="149" t="n">
        <f aca="false">IF(C114&lt;&gt;"",ROW(A109),"")</f>
        <v>109</v>
      </c>
      <c r="B114" s="150" t="str">
        <f aca="false">HYPERLINK("https://www.google.com/maps/dir/-15.917302,-47.760003/-15.9152744,-47.7726751/data=!4m3!4m2!3e0!5i1")</f>
        <v>https://www.google.com/maps/dir/-15.917302,-47.760003/-15.9152744,-47.7726751/data=!4m3!4m2!3e0!5i1</v>
      </c>
      <c r="C114" s="151" t="s">
        <v>117</v>
      </c>
      <c r="D114" s="152" t="s">
        <v>112</v>
      </c>
      <c r="E114" s="152" t="s">
        <v>113</v>
      </c>
      <c r="F114" s="152" t="s">
        <v>117</v>
      </c>
      <c r="G114" s="152" t="s">
        <v>782</v>
      </c>
      <c r="H114" s="152" t="n">
        <v>63</v>
      </c>
      <c r="I114" s="152" t="s">
        <v>115</v>
      </c>
      <c r="J114" s="152" t="s">
        <v>6</v>
      </c>
      <c r="K114" s="152" t="s">
        <v>1547</v>
      </c>
      <c r="L114" s="152" t="s">
        <v>120</v>
      </c>
      <c r="M114" s="153" t="n">
        <f aca="false">287.24</f>
        <v>287.24</v>
      </c>
      <c r="N114" s="152" t="s">
        <v>1548</v>
      </c>
      <c r="O114" s="152" t="s">
        <v>1549</v>
      </c>
      <c r="P114" s="152" t="s">
        <v>1550</v>
      </c>
      <c r="Q114" s="152" t="s">
        <v>1551</v>
      </c>
      <c r="R114" s="154" t="s">
        <v>1955</v>
      </c>
      <c r="S114" s="154" t="s">
        <v>1553</v>
      </c>
      <c r="T114" s="155" t="s">
        <v>1746</v>
      </c>
      <c r="U114" s="152" t="str">
        <f aca="false">RIGHT(T114,7)</f>
        <v>003/037</v>
      </c>
      <c r="V114" s="152" t="s">
        <v>1555</v>
      </c>
      <c r="W114" s="156" t="n">
        <v>45882</v>
      </c>
      <c r="X114" s="152" t="s">
        <v>1594</v>
      </c>
      <c r="Y114" s="152" t="s">
        <v>1956</v>
      </c>
      <c r="Z114" s="152" t="s">
        <v>1557</v>
      </c>
      <c r="AA114" s="153" t="n">
        <v>3.2</v>
      </c>
      <c r="AB114" s="151" t="s">
        <v>1957</v>
      </c>
      <c r="AC114" s="151" t="s">
        <v>186</v>
      </c>
      <c r="AD114" s="151" t="str">
        <f aca="false">CONCATENATE($C114,$I114,$H114,$N114,$J114,$K114)</f>
        <v>TUBO PEADPEAD63VCAREDESZona01</v>
      </c>
      <c r="AE114" s="153" t="n">
        <f aca="false">IFERROR(INDEX(APOIO_REDES!$A:$W,MATCH($C114&amp;$I114&amp;$H114&amp;$N114&amp;$O114,APOIO_REDES!$W:$W,0),MATCH(AE$5,APOIO_REDES!$5:$5,0)),0)</f>
        <v>1.2</v>
      </c>
      <c r="AF114" s="153" t="n">
        <f aca="false">IFERROR(INDEX(APOIO_REDES!$A:$W,MATCH($C114&amp;$I114&amp;$H114&amp;$N114&amp;$O114,APOIO_REDES!$W:$W,0),MATCH(AF$5,APOIO_REDES!$5:$5,0)),0)</f>
        <v>1.363</v>
      </c>
      <c r="AG114" s="153" t="n">
        <f aca="false">IFERROR(INDEX(APOIO_REDES!$A:$W,MATCH($C114&amp;$I114&amp;$H114&amp;$N114&amp;$O114,APOIO_REDES!$W:$W,0),MATCH(AG$5,APOIO_REDES!$5:$5,0)),0)</f>
        <v>0.65</v>
      </c>
      <c r="AH114" s="153" t="n">
        <f aca="false">IFERROR(INDEX(APOIO_REDES!$A:$W,MATCH($C114&amp;$I114&amp;$H114&amp;$N114&amp;$O114,APOIO_REDES!$W:$W,0),MATCH(AH$5,APOIO_REDES!$5:$5,0)),0)</f>
        <v>0.1</v>
      </c>
      <c r="AI114" s="153" t="n">
        <f aca="false">IFERROR(IF($H114&lt;&gt;"",(((($H114/1000)/2)^2)*PI()*$M114),0),0)</f>
        <v>0.89539754299505</v>
      </c>
      <c r="AJ114" s="153" t="n">
        <f aca="false">IFERROR(IF(AND($H114&lt;&gt;"",$I114="FoFo",OR($N114="MND",$N114="VCA"),$Q114="LINEAR"),0,IF(AND($H114&lt;&gt;"",$I114="PEAD",$N114="VCA",$Q114="LINEAR"),($H114/1000)+0.3,IF(AND($H114&lt;&gt;"",$I114="PEAD",$N114="MND",$Q114="EMBOQUE"),0,IF(AND($H114&lt;&gt;"",$I114="PVC",$N114="VCA",$Q114="LINEAR"),($H114/1000)+0.2,IF(AND($H114&lt;&gt;"",$I114="PVC",$N114="MND",$Q114="EMBOQUE"),0,IF(AND($H114&lt;&gt;"",$I114="PEAD",$N114="VCA",$Q114="PREDIAL"),0,0)))))),0)</f>
        <v>0.363</v>
      </c>
      <c r="AK114" s="153" t="n">
        <f aca="false">IF(AA114&lt;&gt;"",AA114,0)</f>
        <v>3.2</v>
      </c>
      <c r="AL114" s="153" t="n">
        <f aca="false">IF(AND($N114="MND",$Q114="EMBOQUE"),$M114,IF(AND($N114="VCA",$Q114="LINEAR"),$M114,IF(AND($N114="VCA",$Q114="PREDIAL"),0,0)))</f>
        <v>287.24</v>
      </c>
      <c r="AM114" s="153" t="n">
        <f aca="false">IF(AND($N114="MND",$Q114="EMBOQUE"),$M114,IF(AND($N114="VCA",$Q114="LINEAR"),$M114,IF(AND($N114="VCA",$Q114="PREDIAL"),0,0)))</f>
        <v>287.24</v>
      </c>
      <c r="AN114" s="153" t="n">
        <f aca="false">ROUND(IF(AND($N114="VCA",$M114&lt;&gt;"",$Q114="LINEAR"),$M114/100,IF(AND($N114="MND",$M114&gt;100,$Q114="EMBOQUE"),$M114/100,0)),0)</f>
        <v>3</v>
      </c>
      <c r="AO114" s="153" t="n">
        <f aca="false">IF(AND($N114="MND",$Q114="EMBOQUE"),$AN114*2*2,IF(AND($N114="VCA",$Q114="LINEAR"),$M114*2,IF(AND($N114="VCA",$Q114="PREDIAL"),0,0)))</f>
        <v>574.48</v>
      </c>
      <c r="AP114" s="153" t="n">
        <f aca="false">IFERROR($M114*$AF114*$AG114,0)</f>
        <v>254.480278</v>
      </c>
      <c r="AQ114" s="153" t="n">
        <f aca="false">IFERROR(IF(AND($N114="VCA",$AH114&gt;0),$M114*$AG114*$AH114,0),0)</f>
        <v>18.6706</v>
      </c>
      <c r="AR114" s="153" t="n">
        <f aca="false">IFERROR(IF(AND($N114="VCA",$AJ114&gt;0),($M114*$AG114*$AJ114)-$AI114,0),0)</f>
        <v>66.878880457005</v>
      </c>
      <c r="AS114" s="153" t="n">
        <f aca="false">IFERROR(IF(AND($N114="VCA",$AP114&gt;0),$AP114-$AI114-$AQ114-$AR114,0),0)</f>
        <v>168.0354</v>
      </c>
      <c r="AT114" s="153" t="n">
        <f aca="false">IFERROR(IF($N114="VCA",INDEX(APOIO_REDES!$A:$W,MATCH($C114&amp;$I114&amp;$H114&amp;$N114&amp;$O114,APOIO_REDES!$W:$W,0),MATCH(AT$5,APOIO_REDES!$5:$5,0)),0)*$AP114,0)</f>
        <v>2.76882074695747</v>
      </c>
      <c r="AU114" s="153" t="n">
        <f aca="false">IFERROR(IF($N114="VCA",INDEX(APOIO_REDES!$A:$W,MATCH($C114&amp;$I114&amp;$H114&amp;$N114&amp;$O114,APOIO_REDES!$W:$W,0),MATCH(AU$5,APOIO_REDES!$5:$5,0)),0)*$AP114,0)</f>
        <v>2.21110525934424</v>
      </c>
      <c r="AV114" s="153" t="n">
        <f aca="false">IFERROR(IF($N114="VCA",INDEX(APOIO_REDES!$A:$W,MATCH($C114&amp;$I114&amp;$H114&amp;$N114&amp;$O114,APOIO_REDES!$W:$W,0),MATCH(AV$5,APOIO_REDES!$5:$5,0)),0)*$AP114,0)</f>
        <v>0.305999610036389</v>
      </c>
      <c r="AW114" s="153" t="n">
        <f aca="false">IFERROR(IF($N114="VCA",INDEX(APOIO_REDES!$A:$W,MATCH($C114&amp;$I114&amp;$H114&amp;$N114&amp;$O114,APOIO_REDES!$W:$W,0),MATCH(AW$5,APOIO_REDES!$5:$5,0)),0)*$AP114,0)</f>
        <v>174.677234628614</v>
      </c>
      <c r="AX114" s="153" t="n">
        <f aca="false">IFERROR(IF($N114="VCA",INDEX(APOIO_REDES!$A:$W,MATCH($C114&amp;$I114&amp;$H114&amp;$N114&amp;$O114,APOIO_REDES!$W:$W,0),MATCH(AX$5,APOIO_REDES!$5:$5,0)),0)*$AP114,0)</f>
        <v>24.1748316950787</v>
      </c>
      <c r="AY114" s="153" t="n">
        <f aca="false">IFERROR(IF($N114="VCA",INDEX(APOIO_REDES!$A:$W,MATCH($C114&amp;$I114&amp;$H114&amp;$N114&amp;$O114,APOIO_REDES!$W:$W,0),MATCH(AY$5,APOIO_REDES!$5:$5,0)),0)*$AP114,0)</f>
        <v>44.222078233691</v>
      </c>
      <c r="AZ114" s="153" t="n">
        <f aca="false">IFERROR(IF($N114="VCA",INDEX(APOIO_REDES!$A:$W,MATCH($C114&amp;$I114&amp;$H114&amp;$N114&amp;$O114,APOIO_REDES!$W:$W,0),MATCH(AZ$5,APOIO_REDES!$5:$5,0)),0)*$AP114,0)</f>
        <v>6.12020782627876</v>
      </c>
      <c r="BA114" s="153" t="n">
        <f aca="false">IFERROR(IF(AND($N114="VCA",$Q114="LINEAR"),INDEX(APOIO_REDES!$A:$W,MATCH($C114&amp;$I114&amp;$H114&amp;$N114&amp;$O114,APOIO_REDES!$W:$W,0),MATCH(BA$5,APOIO_REDES!$5:$5,0)),IF(AND($N114="MND",$Q114="EMBOQUE"),INDEX(APOIO_REDES!$A:$W,MATCH($C114&amp;$I114&amp;$H114&amp;$N114&amp;$O114,APOIO_REDES!$W:$W,0),MATCH(BA$5,APOIO_REDES!$5:$5,0)),0))*$M114/10,0)</f>
        <v>23.1508194600161</v>
      </c>
      <c r="BB114" s="153" t="n">
        <f aca="false">IFERROR(IF($N114="VCA",INDEX(APOIO_REDES!$A:$W,MATCH($C114&amp;$I114&amp;$H114&amp;$N114&amp;$O114,APOIO_REDES!$W:$W,0),MATCH(BB$5,APOIO_REDES!$5:$5,0)),0)*($AI114+$AQ114+$AR114),0)</f>
        <v>85.5043321409822</v>
      </c>
      <c r="BC114" s="153" t="n">
        <f aca="false">IFERROR(IF($N114="VCA",INDEX(APOIO_REDES!$A:$W,MATCH($C114&amp;$I114&amp;$H114&amp;$N114&amp;$O114,APOIO_REDES!$W:$W,0),MATCH(BC$5,APOIO_REDES!$5:$5,0)),0)*($AI114+$AQ114+$AR114),0)</f>
        <v>0.940545859017834</v>
      </c>
      <c r="BD114" s="153" t="n">
        <f aca="false">IF(AND($N114="VCA",$AF114&gt;=1.25,$AF114&lt;1.5),$M114*$AF114*2,0)</f>
        <v>783.01624</v>
      </c>
      <c r="BE114" s="153" t="n">
        <f aca="false">IF(AND($N114="VCA",$AF114&gt;=1.5,$AF114&lt;3),$M114*$AF114*2,0)</f>
        <v>0</v>
      </c>
      <c r="BF114" s="153" t="n">
        <f aca="false">IF(AND($N114="VCA",$AF114&gt;=3),$M114*$AF114*2,0)</f>
        <v>0</v>
      </c>
      <c r="BG114" s="153" t="n">
        <f aca="false">($BB114+$BC114)*$AK114</f>
        <v>276.6236096</v>
      </c>
      <c r="BH114" s="153" t="n">
        <f aca="false">IF(AND($M114&lt;&gt;"",$N114="VCA",$Q114="LINEAR"),($M114*2)/100,IF(AND($M114&lt;&gt;"",$N114="MND",$Q114="EMBOQUE"),($AN114*2)/100,0))</f>
        <v>5.7448</v>
      </c>
      <c r="BI114" s="153" t="n">
        <f aca="false">IF(AND($M114&lt;&gt;"",$N114="VCA",$Q114="LINEAR"),$M114,IF(AND($M114&lt;&gt;"",$N114="MND",$Q114="EMBOQUE"),$AN114*2,0))</f>
        <v>287.24</v>
      </c>
      <c r="BJ114" s="153" t="n">
        <f aca="false">IF(AND($M114&lt;&gt;"",$N114="VCA",$Q114="LINEAR"),($M114*6.8)/100,IF(AND($M114&lt;&gt;"",$N114="MND",$Q114="EMBOQUE"),($AN114*2*6.8)/100,0))</f>
        <v>19.53232</v>
      </c>
      <c r="BK114" s="153" t="n">
        <f aca="false">IF(AND($M114&lt;&gt;"",$N114="VCA",$Q114="LINEAR"),($M114*2.5)/50,IF(AND($M114&lt;&gt;"",$N114="MND",$Q114="EMBOQUE"),($AN114*2*2.5)/50,0))</f>
        <v>14.362</v>
      </c>
      <c r="BL114" s="157" t="str">
        <f aca="false">K114&amp;J114</f>
        <v>Zona01REDES</v>
      </c>
      <c r="BM114" s="152" t="s">
        <v>1559</v>
      </c>
      <c r="BN114" s="152" t="s">
        <v>1560</v>
      </c>
      <c r="BO114" s="152" t="s">
        <v>1748</v>
      </c>
      <c r="BP114" s="152" t="s">
        <v>1958</v>
      </c>
      <c r="BQ114" s="152" t="s">
        <v>1959</v>
      </c>
      <c r="BR114" s="152" t="s">
        <v>1960</v>
      </c>
      <c r="BS114" s="152" t="n">
        <v>203123.333</v>
      </c>
      <c r="BT114" s="152" t="n">
        <v>8238464.817</v>
      </c>
      <c r="BU114" s="152" t="n">
        <v>203341.009</v>
      </c>
      <c r="BV114" s="152" t="n">
        <v>8238280.505</v>
      </c>
      <c r="BW114" s="152" t="n">
        <v>-15.9161889</v>
      </c>
      <c r="BX114" s="152" t="n">
        <v>-47.7717344</v>
      </c>
      <c r="BY114" s="152" t="s">
        <v>1958</v>
      </c>
    </row>
    <row r="115" customFormat="false" ht="13.8" hidden="false" customHeight="false" outlineLevel="0" collapsed="false">
      <c r="A115" s="149" t="n">
        <f aca="false">IF(C115&lt;&gt;"",ROW(A110),"")</f>
        <v>110</v>
      </c>
      <c r="B115" s="150" t="str">
        <f aca="false">HYPERLINK("https://www.google.com/maps/dir/-15.917302,-47.760003/-15.9159843,-47.7700135/data=!4m3!4m2!3e0!5i0")</f>
        <v>https://www.google.com/maps/dir/-15.917302,-47.760003/-15.9159843,-47.7700135/data=!4m3!4m2!3e0!5i0</v>
      </c>
      <c r="C115" s="151" t="s">
        <v>117</v>
      </c>
      <c r="D115" s="152" t="s">
        <v>112</v>
      </c>
      <c r="E115" s="152" t="s">
        <v>113</v>
      </c>
      <c r="F115" s="152" t="s">
        <v>117</v>
      </c>
      <c r="G115" s="152" t="s">
        <v>114</v>
      </c>
      <c r="H115" s="152" t="n">
        <v>160</v>
      </c>
      <c r="I115" s="152" t="s">
        <v>115</v>
      </c>
      <c r="J115" s="152" t="s">
        <v>6</v>
      </c>
      <c r="K115" s="152" t="s">
        <v>1547</v>
      </c>
      <c r="L115" s="152" t="s">
        <v>120</v>
      </c>
      <c r="M115" s="153" t="n">
        <f aca="false">58.6</f>
        <v>58.6</v>
      </c>
      <c r="N115" s="152" t="s">
        <v>1548</v>
      </c>
      <c r="O115" s="152" t="s">
        <v>1549</v>
      </c>
      <c r="P115" s="152" t="s">
        <v>1550</v>
      </c>
      <c r="Q115" s="152" t="s">
        <v>1551</v>
      </c>
      <c r="R115" s="154" t="s">
        <v>1961</v>
      </c>
      <c r="S115" s="154" t="s">
        <v>1593</v>
      </c>
      <c r="T115" s="155" t="s">
        <v>1746</v>
      </c>
      <c r="U115" s="152" t="str">
        <f aca="false">RIGHT(T115,7)</f>
        <v>003/037</v>
      </c>
      <c r="V115" s="152" t="s">
        <v>1555</v>
      </c>
      <c r="W115" s="156" t="n">
        <v>45882</v>
      </c>
      <c r="X115" s="152" t="s">
        <v>1594</v>
      </c>
      <c r="Y115" s="152"/>
      <c r="Z115" s="152" t="s">
        <v>1557</v>
      </c>
      <c r="AA115" s="153" t="n">
        <v>2.2</v>
      </c>
      <c r="AB115" s="151" t="s">
        <v>1962</v>
      </c>
      <c r="AC115" s="151" t="s">
        <v>505</v>
      </c>
      <c r="AD115" s="151" t="str">
        <f aca="false">CONCATENATE($C115,$I115,$H115,$N115,$J115,$K115)</f>
        <v>TUBO PEADPEAD160VCAREDESZona01</v>
      </c>
      <c r="AE115" s="153" t="n">
        <f aca="false">IFERROR(INDEX(APOIO_REDES!$A:$W,MATCH($C115&amp;$I115&amp;$H115&amp;$N115&amp;$O115,APOIO_REDES!$W:$W,0),MATCH(AE$5,APOIO_REDES!$5:$5,0)),0)</f>
        <v>1.2</v>
      </c>
      <c r="AF115" s="153" t="n">
        <f aca="false">IFERROR(INDEX(APOIO_REDES!$A:$W,MATCH($C115&amp;$I115&amp;$H115&amp;$N115&amp;$O115,APOIO_REDES!$W:$W,0),MATCH(AF$5,APOIO_REDES!$5:$5,0)),0)</f>
        <v>1.46</v>
      </c>
      <c r="AG115" s="153" t="n">
        <f aca="false">IFERROR(INDEX(APOIO_REDES!$A:$W,MATCH($C115&amp;$I115&amp;$H115&amp;$N115&amp;$O115,APOIO_REDES!$W:$W,0),MATCH(AG$5,APOIO_REDES!$5:$5,0)),0)</f>
        <v>0.75</v>
      </c>
      <c r="AH115" s="153" t="n">
        <f aca="false">IFERROR(INDEX(APOIO_REDES!$A:$W,MATCH($C115&amp;$I115&amp;$H115&amp;$N115&amp;$O115,APOIO_REDES!$W:$W,0),MATCH(AH$5,APOIO_REDES!$5:$5,0)),0)</f>
        <v>0.1</v>
      </c>
      <c r="AI115" s="153" t="n">
        <f aca="false">IFERROR(IF($H115&lt;&gt;"",(((($H115/1000)/2)^2)*PI()*$M115),0),0)</f>
        <v>1.17822290880232</v>
      </c>
      <c r="AJ115" s="153" t="n">
        <f aca="false">IFERROR(IF(AND($H115&lt;&gt;"",$I115="FoFo",OR($N115="MND",$N115="VCA"),$Q115="LINEAR"),0,IF(AND($H115&lt;&gt;"",$I115="PEAD",$N115="VCA",$Q115="LINEAR"),($H115/1000)+0.3,IF(AND($H115&lt;&gt;"",$I115="PEAD",$N115="MND",$Q115="EMBOQUE"),0,IF(AND($H115&lt;&gt;"",$I115="PVC",$N115="VCA",$Q115="LINEAR"),($H115/1000)+0.2,IF(AND($H115&lt;&gt;"",$I115="PVC",$N115="MND",$Q115="EMBOQUE"),0,IF(AND($H115&lt;&gt;"",$I115="PEAD",$N115="VCA",$Q115="PREDIAL"),0,0)))))),0)</f>
        <v>0.46</v>
      </c>
      <c r="AK115" s="153" t="n">
        <f aca="false">IF(AA115&lt;&gt;"",AA115,0)</f>
        <v>2.2</v>
      </c>
      <c r="AL115" s="153" t="n">
        <f aca="false">IF(AND($N115="MND",$Q115="EMBOQUE"),$M115,IF(AND($N115="VCA",$Q115="LINEAR"),$M115,IF(AND($N115="VCA",$Q115="PREDIAL"),0,0)))</f>
        <v>58.6</v>
      </c>
      <c r="AM115" s="153" t="n">
        <f aca="false">IF(AND($N115="MND",$Q115="EMBOQUE"),$M115,IF(AND($N115="VCA",$Q115="LINEAR"),$M115,IF(AND($N115="VCA",$Q115="PREDIAL"),0,0)))</f>
        <v>58.6</v>
      </c>
      <c r="AN115" s="153" t="n">
        <f aca="false">ROUND(IF(AND($N115="VCA",$M115&lt;&gt;"",$Q115="LINEAR"),$M115/100,IF(AND($N115="MND",$M115&gt;100,$Q115="EMBOQUE"),$M115/100,0)),0)</f>
        <v>1</v>
      </c>
      <c r="AO115" s="153" t="n">
        <f aca="false">IF(AND($N115="MND",$Q115="EMBOQUE"),$AN115*2*2,IF(AND($N115="VCA",$Q115="LINEAR"),$M115*2,IF(AND($N115="VCA",$Q115="PREDIAL"),0,0)))</f>
        <v>117.2</v>
      </c>
      <c r="AP115" s="153" t="n">
        <f aca="false">IFERROR($M115*$AF115*$AG115,0)</f>
        <v>64.167</v>
      </c>
      <c r="AQ115" s="153" t="n">
        <f aca="false">IFERROR(IF(AND($N115="VCA",$AH115&gt;0),$M115*$AG115*$AH115,0),0)</f>
        <v>4.395</v>
      </c>
      <c r="AR115" s="153" t="n">
        <f aca="false">IFERROR(IF(AND($N115="VCA",$AJ115&gt;0),($M115*$AG115*$AJ115)-$AI115,0),0)</f>
        <v>19.0387770911977</v>
      </c>
      <c r="AS115" s="153" t="n">
        <f aca="false">IFERROR(IF(AND($N115="VCA",$AP115&gt;0),$AP115-$AI115-$AQ115-$AR115,0),0)</f>
        <v>39.555</v>
      </c>
      <c r="AT115" s="153" t="n">
        <f aca="false">IFERROR(IF($N115="VCA",INDEX(APOIO_REDES!$A:$W,MATCH($C115&amp;$I115&amp;$H115&amp;$N115&amp;$O115,APOIO_REDES!$W:$W,0),MATCH(AT$5,APOIO_REDES!$5:$5,0)),0)*$AP115,0)</f>
        <v>0.698155952462532</v>
      </c>
      <c r="AU115" s="153" t="n">
        <f aca="false">IFERROR(IF($N115="VCA",INDEX(APOIO_REDES!$A:$W,MATCH($C115&amp;$I115&amp;$H115&amp;$N115&amp;$O115,APOIO_REDES!$W:$W,0),MATCH(AU$5,APOIO_REDES!$5:$5,0)),0)*$AP115,0)</f>
        <v>0.557528435175405</v>
      </c>
      <c r="AV115" s="153" t="n">
        <f aca="false">IFERROR(IF($N115="VCA",INDEX(APOIO_REDES!$A:$W,MATCH($C115&amp;$I115&amp;$H115&amp;$N115&amp;$O115,APOIO_REDES!$W:$W,0),MATCH(AV$5,APOIO_REDES!$5:$5,0)),0)*$AP115,0)</f>
        <v>0.0771575586584552</v>
      </c>
      <c r="AW115" s="153" t="n">
        <f aca="false">IFERROR(IF($N115="VCA",INDEX(APOIO_REDES!$A:$W,MATCH($C115&amp;$I115&amp;$H115&amp;$N115&amp;$O115,APOIO_REDES!$W:$W,0),MATCH(AW$5,APOIO_REDES!$5:$5,0)),0)*$AP115,0)</f>
        <v>44.0447259901777</v>
      </c>
      <c r="AX115" s="153" t="n">
        <f aca="false">IFERROR(IF($N115="VCA",INDEX(APOIO_REDES!$A:$W,MATCH($C115&amp;$I115&amp;$H115&amp;$N115&amp;$O115,APOIO_REDES!$W:$W,0),MATCH(AX$5,APOIO_REDES!$5:$5,0)),0)*$AP115,0)</f>
        <v>6.09566461326372</v>
      </c>
      <c r="AY115" s="153" t="n">
        <f aca="false">IFERROR(IF($N115="VCA",INDEX(APOIO_REDES!$A:$W,MATCH($C115&amp;$I115&amp;$H115&amp;$N115&amp;$O115,APOIO_REDES!$W:$W,0),MATCH(AY$5,APOIO_REDES!$5:$5,0)),0)*$AP115,0)</f>
        <v>11.1505619072817</v>
      </c>
      <c r="AZ115" s="153" t="n">
        <f aca="false">IFERROR(IF($N115="VCA",INDEX(APOIO_REDES!$A:$W,MATCH($C115&amp;$I115&amp;$H115&amp;$N115&amp;$O115,APOIO_REDES!$W:$W,0),MATCH(AZ$5,APOIO_REDES!$5:$5,0)),0)*$AP115,0)</f>
        <v>1.54320554298054</v>
      </c>
      <c r="BA115" s="153" t="n">
        <f aca="false">IFERROR(IF(AND($N115="VCA",$Q115="LINEAR"),INDEX(APOIO_REDES!$A:$W,MATCH($C115&amp;$I115&amp;$H115&amp;$N115&amp;$O115,APOIO_REDES!$W:$W,0),MATCH(BA$5,APOIO_REDES!$5:$5,0)),IF(AND($N115="MND",$Q115="EMBOQUE"),INDEX(APOIO_REDES!$A:$W,MATCH($C115&amp;$I115&amp;$H115&amp;$N115&amp;$O115,APOIO_REDES!$W:$W,0),MATCH(BA$5,APOIO_REDES!$5:$5,0)),0))*$M115/10,0)</f>
        <v>4.72301218617513</v>
      </c>
      <c r="BB115" s="153" t="n">
        <f aca="false">IFERROR(IF($N115="VCA",INDEX(APOIO_REDES!$A:$W,MATCH($C115&amp;$I115&amp;$H115&amp;$N115&amp;$O115,APOIO_REDES!$W:$W,0),MATCH(BB$5,APOIO_REDES!$5:$5,0)),0)*($AI115+$AQ115+$AR115),0)</f>
        <v>24.3442141552199</v>
      </c>
      <c r="BC115" s="153" t="n">
        <f aca="false">IFERROR(IF($N115="VCA",INDEX(APOIO_REDES!$A:$W,MATCH($C115&amp;$I115&amp;$H115&amp;$N115&amp;$O115,APOIO_REDES!$W:$W,0),MATCH(BC$5,APOIO_REDES!$5:$5,0)),0)*($AI115+$AQ115+$AR115),0)</f>
        <v>0.267785844780149</v>
      </c>
      <c r="BD115" s="153" t="n">
        <f aca="false">IF(AND($N115="VCA",$AF115&gt;=1.25,$AF115&lt;1.5),$M115*$AF115*2,0)</f>
        <v>171.112</v>
      </c>
      <c r="BE115" s="153" t="n">
        <f aca="false">IF(AND($N115="VCA",$AF115&gt;=1.5,$AF115&lt;3),$M115*$AF115*2,0)</f>
        <v>0</v>
      </c>
      <c r="BF115" s="153" t="n">
        <f aca="false">IF(AND($N115="VCA",$AF115&gt;=3),$M115*$AF115*2,0)</f>
        <v>0</v>
      </c>
      <c r="BG115" s="153" t="n">
        <f aca="false">($BB115+$BC115)*$AK115</f>
        <v>54.1464</v>
      </c>
      <c r="BH115" s="153" t="n">
        <f aca="false">IF(AND($M115&lt;&gt;"",$N115="VCA",$Q115="LINEAR"),($M115*2)/100,IF(AND($M115&lt;&gt;"",$N115="MND",$Q115="EMBOQUE"),($AN115*2)/100,0))</f>
        <v>1.172</v>
      </c>
      <c r="BI115" s="153" t="n">
        <f aca="false">IF(AND($M115&lt;&gt;"",$N115="VCA",$Q115="LINEAR"),$M115,IF(AND($M115&lt;&gt;"",$N115="MND",$Q115="EMBOQUE"),$AN115*2,0))</f>
        <v>58.6</v>
      </c>
      <c r="BJ115" s="153" t="n">
        <f aca="false">IF(AND($M115&lt;&gt;"",$N115="VCA",$Q115="LINEAR"),($M115*6.8)/100,IF(AND($M115&lt;&gt;"",$N115="MND",$Q115="EMBOQUE"),($AN115*2*6.8)/100,0))</f>
        <v>3.9848</v>
      </c>
      <c r="BK115" s="153" t="n">
        <f aca="false">IF(AND($M115&lt;&gt;"",$N115="VCA",$Q115="LINEAR"),($M115*2.5)/50,IF(AND($M115&lt;&gt;"",$N115="MND",$Q115="EMBOQUE"),($AN115*2*2.5)/50,0))</f>
        <v>2.93</v>
      </c>
      <c r="BL115" s="157" t="str">
        <f aca="false">K115&amp;J115</f>
        <v>Zona01REDES</v>
      </c>
      <c r="BM115" s="152" t="s">
        <v>1559</v>
      </c>
      <c r="BN115" s="152" t="s">
        <v>1560</v>
      </c>
      <c r="BO115" s="152" t="s">
        <v>1748</v>
      </c>
      <c r="BP115" s="152" t="s">
        <v>1923</v>
      </c>
      <c r="BQ115" s="152" t="s">
        <v>1942</v>
      </c>
      <c r="BR115" s="152" t="s">
        <v>1963</v>
      </c>
      <c r="BS115" s="152" t="n">
        <v>203409.54</v>
      </c>
      <c r="BT115" s="152" t="n">
        <v>8238390.766</v>
      </c>
      <c r="BU115" s="152" t="n">
        <v>203382.804</v>
      </c>
      <c r="BV115" s="152" t="n">
        <v>8238338.635</v>
      </c>
      <c r="BW115" s="152" t="n">
        <v>-15.9162168</v>
      </c>
      <c r="BX115" s="152" t="n">
        <v>-47.7701441</v>
      </c>
      <c r="BY115" s="152" t="s">
        <v>1923</v>
      </c>
    </row>
    <row r="116" customFormat="false" ht="13.8" hidden="false" customHeight="false" outlineLevel="0" collapsed="false">
      <c r="A116" s="149" t="n">
        <f aca="false">IF(C116&lt;&gt;"",ROW(A111),"")</f>
        <v>111</v>
      </c>
      <c r="B116" s="150" t="str">
        <f aca="false">HYPERLINK("https://www.google.com/maps/dir/-15.917302,-47.760003/-15.9166131,-47.7742938/data=!4m3!4m2!3e0!5i0")</f>
        <v>https://www.google.com/maps/dir/-15.917302,-47.760003/-15.9166131,-47.7742938/data=!4m3!4m2!3e0!5i0</v>
      </c>
      <c r="C116" s="151" t="s">
        <v>117</v>
      </c>
      <c r="D116" s="152" t="s">
        <v>112</v>
      </c>
      <c r="E116" s="152" t="s">
        <v>113</v>
      </c>
      <c r="F116" s="152" t="s">
        <v>117</v>
      </c>
      <c r="G116" s="152" t="s">
        <v>782</v>
      </c>
      <c r="H116" s="152" t="n">
        <v>63</v>
      </c>
      <c r="I116" s="152" t="s">
        <v>115</v>
      </c>
      <c r="J116" s="152" t="s">
        <v>6</v>
      </c>
      <c r="K116" s="152" t="s">
        <v>1547</v>
      </c>
      <c r="L116" s="152" t="s">
        <v>120</v>
      </c>
      <c r="M116" s="153" t="n">
        <f aca="false">50.57</f>
        <v>50.57</v>
      </c>
      <c r="N116" s="152" t="s">
        <v>1548</v>
      </c>
      <c r="O116" s="152" t="s">
        <v>1549</v>
      </c>
      <c r="P116" s="152" t="s">
        <v>1550</v>
      </c>
      <c r="Q116" s="152" t="s">
        <v>1551</v>
      </c>
      <c r="R116" s="154" t="s">
        <v>1964</v>
      </c>
      <c r="S116" s="154" t="s">
        <v>1553</v>
      </c>
      <c r="T116" s="155" t="s">
        <v>1965</v>
      </c>
      <c r="U116" s="152" t="str">
        <f aca="false">RIGHT(T116,7)</f>
        <v>005/037</v>
      </c>
      <c r="V116" s="152" t="s">
        <v>1555</v>
      </c>
      <c r="W116" s="156" t="n">
        <v>45882</v>
      </c>
      <c r="X116" s="152" t="s">
        <v>1594</v>
      </c>
      <c r="Y116" s="152" t="s">
        <v>1966</v>
      </c>
      <c r="Z116" s="152" t="s">
        <v>1557</v>
      </c>
      <c r="AA116" s="153" t="n">
        <v>2.8</v>
      </c>
      <c r="AB116" s="151" t="s">
        <v>1967</v>
      </c>
      <c r="AC116" s="151" t="s">
        <v>186</v>
      </c>
      <c r="AD116" s="151" t="str">
        <f aca="false">CONCATENATE($C116,$I116,$H116,$N116,$J116,$K116)</f>
        <v>TUBO PEADPEAD63VCAREDESZona01</v>
      </c>
      <c r="AE116" s="153" t="n">
        <f aca="false">IFERROR(INDEX(APOIO_REDES!$A:$W,MATCH($C116&amp;$I116&amp;$H116&amp;$N116&amp;$O116,APOIO_REDES!$W:$W,0),MATCH(AE$5,APOIO_REDES!$5:$5,0)),0)</f>
        <v>1.2</v>
      </c>
      <c r="AF116" s="153" t="n">
        <f aca="false">IFERROR(INDEX(APOIO_REDES!$A:$W,MATCH($C116&amp;$I116&amp;$H116&amp;$N116&amp;$O116,APOIO_REDES!$W:$W,0),MATCH(AF$5,APOIO_REDES!$5:$5,0)),0)</f>
        <v>1.363</v>
      </c>
      <c r="AG116" s="153" t="n">
        <f aca="false">IFERROR(INDEX(APOIO_REDES!$A:$W,MATCH($C116&amp;$I116&amp;$H116&amp;$N116&amp;$O116,APOIO_REDES!$W:$W,0),MATCH(AG$5,APOIO_REDES!$5:$5,0)),0)</f>
        <v>0.65</v>
      </c>
      <c r="AH116" s="153" t="n">
        <f aca="false">IFERROR(INDEX(APOIO_REDES!$A:$W,MATCH($C116&amp;$I116&amp;$H116&amp;$N116&amp;$O116,APOIO_REDES!$W:$W,0),MATCH(AH$5,APOIO_REDES!$5:$5,0)),0)</f>
        <v>0.1</v>
      </c>
      <c r="AI116" s="153" t="n">
        <f aca="false">IFERROR(IF($H116&lt;&gt;"",(((($H116/1000)/2)^2)*PI()*$M116),0),0)</f>
        <v>0.157639095353223</v>
      </c>
      <c r="AJ116" s="153" t="n">
        <f aca="false">IFERROR(IF(AND($H116&lt;&gt;"",$I116="FoFo",OR($N116="MND",$N116="VCA"),$Q116="LINEAR"),0,IF(AND($H116&lt;&gt;"",$I116="PEAD",$N116="VCA",$Q116="LINEAR"),($H116/1000)+0.3,IF(AND($H116&lt;&gt;"",$I116="PEAD",$N116="MND",$Q116="EMBOQUE"),0,IF(AND($H116&lt;&gt;"",$I116="PVC",$N116="VCA",$Q116="LINEAR"),($H116/1000)+0.2,IF(AND($H116&lt;&gt;"",$I116="PVC",$N116="MND",$Q116="EMBOQUE"),0,IF(AND($H116&lt;&gt;"",$I116="PEAD",$N116="VCA",$Q116="PREDIAL"),0,0)))))),0)</f>
        <v>0.363</v>
      </c>
      <c r="AK116" s="153" t="n">
        <f aca="false">IF(AA116&lt;&gt;"",AA116,0)</f>
        <v>2.8</v>
      </c>
      <c r="AL116" s="153" t="n">
        <f aca="false">IF(AND($N116="MND",$Q116="EMBOQUE"),$M116,IF(AND($N116="VCA",$Q116="LINEAR"),$M116,IF(AND($N116="VCA",$Q116="PREDIAL"),0,0)))</f>
        <v>50.57</v>
      </c>
      <c r="AM116" s="153" t="n">
        <f aca="false">IF(AND($N116="MND",$Q116="EMBOQUE"),$M116,IF(AND($N116="VCA",$Q116="LINEAR"),$M116,IF(AND($N116="VCA",$Q116="PREDIAL"),0,0)))</f>
        <v>50.57</v>
      </c>
      <c r="AN116" s="153" t="n">
        <f aca="false">ROUND(IF(AND($N116="VCA",$M116&lt;&gt;"",$Q116="LINEAR"),$M116/100,IF(AND($N116="MND",$M116&gt;100,$Q116="EMBOQUE"),$M116/100,0)),0)</f>
        <v>1</v>
      </c>
      <c r="AO116" s="153" t="n">
        <f aca="false">IF(AND($N116="MND",$Q116="EMBOQUE"),$AN116*2*2,IF(AND($N116="VCA",$Q116="LINEAR"),$M116*2,IF(AND($N116="VCA",$Q116="PREDIAL"),0,0)))</f>
        <v>101.14</v>
      </c>
      <c r="AP116" s="153" t="n">
        <f aca="false">IFERROR($M116*$AF116*$AG116,0)</f>
        <v>44.8024915</v>
      </c>
      <c r="AQ116" s="153" t="n">
        <f aca="false">IFERROR(IF(AND($N116="VCA",$AH116&gt;0),$M116*$AG116*$AH116,0),0)</f>
        <v>3.28705</v>
      </c>
      <c r="AR116" s="153" t="n">
        <f aca="false">IFERROR(IF(AND($N116="VCA",$AJ116&gt;0),($M116*$AG116*$AJ116)-$AI116,0),0)</f>
        <v>11.7743524046468</v>
      </c>
      <c r="AS116" s="153" t="n">
        <f aca="false">IFERROR(IF(AND($N116="VCA",$AP116&gt;0),$AP116-$AI116-$AQ116-$AR116,0),0)</f>
        <v>29.58345</v>
      </c>
      <c r="AT116" s="153" t="n">
        <f aca="false">IFERROR(IF($N116="VCA",INDEX(APOIO_REDES!$A:$W,MATCH($C116&amp;$I116&amp;$H116&amp;$N116&amp;$O116,APOIO_REDES!$W:$W,0),MATCH(AT$5,APOIO_REDES!$5:$5,0)),0)*$AP116,0)</f>
        <v>0.487464368380585</v>
      </c>
      <c r="AU116" s="153" t="n">
        <f aca="false">IFERROR(IF($N116="VCA",INDEX(APOIO_REDES!$A:$W,MATCH($C116&amp;$I116&amp;$H116&amp;$N116&amp;$O116,APOIO_REDES!$W:$W,0),MATCH(AU$5,APOIO_REDES!$5:$5,0)),0)*$AP116,0)</f>
        <v>0.389275842379329</v>
      </c>
      <c r="AV116" s="153" t="n">
        <f aca="false">IFERROR(IF($N116="VCA",INDEX(APOIO_REDES!$A:$W,MATCH($C116&amp;$I116&amp;$H116&amp;$N116&amp;$O116,APOIO_REDES!$W:$W,0),MATCH(AV$5,APOIO_REDES!$5:$5,0)),0)*$AP116,0)</f>
        <v>0.0538727206501191</v>
      </c>
      <c r="AW116" s="153" t="n">
        <f aca="false">IFERROR(IF($N116="VCA",INDEX(APOIO_REDES!$A:$W,MATCH($C116&amp;$I116&amp;$H116&amp;$N116&amp;$O116,APOIO_REDES!$W:$W,0),MATCH(AW$5,APOIO_REDES!$5:$5,0)),0)*$AP116,0)</f>
        <v>30.7527773122441</v>
      </c>
      <c r="AX116" s="153" t="n">
        <f aca="false">IFERROR(IF($N116="VCA",INDEX(APOIO_REDES!$A:$W,MATCH($C116&amp;$I116&amp;$H116&amp;$N116&amp;$O116,APOIO_REDES!$W:$W,0),MATCH(AX$5,APOIO_REDES!$5:$5,0)),0)*$AP116,0)</f>
        <v>4.25609677907021</v>
      </c>
      <c r="AY116" s="153" t="n">
        <f aca="false">IFERROR(IF($N116="VCA",INDEX(APOIO_REDES!$A:$W,MATCH($C116&amp;$I116&amp;$H116&amp;$N116&amp;$O116,APOIO_REDES!$W:$W,0),MATCH(AY$5,APOIO_REDES!$5:$5,0)),0)*$AP116,0)</f>
        <v>7.78551210234561</v>
      </c>
      <c r="AZ116" s="153" t="n">
        <f aca="false">IFERROR(IF($N116="VCA",INDEX(APOIO_REDES!$A:$W,MATCH($C116&amp;$I116&amp;$H116&amp;$N116&amp;$O116,APOIO_REDES!$W:$W,0),MATCH(AZ$5,APOIO_REDES!$5:$5,0)),0)*$AP116,0)</f>
        <v>1.07749237493008</v>
      </c>
      <c r="BA116" s="153" t="n">
        <f aca="false">IFERROR(IF(AND($N116="VCA",$Q116="LINEAR"),INDEX(APOIO_REDES!$A:$W,MATCH($C116&amp;$I116&amp;$H116&amp;$N116&amp;$O116,APOIO_REDES!$W:$W,0),MATCH(BA$5,APOIO_REDES!$5:$5,0)),IF(AND($N116="MND",$Q116="EMBOQUE"),INDEX(APOIO_REDES!$A:$W,MATCH($C116&amp;$I116&amp;$H116&amp;$N116&amp;$O116,APOIO_REDES!$W:$W,0),MATCH(BA$5,APOIO_REDES!$5:$5,0)),0))*$M116/10,0)</f>
        <v>4.07581444120949</v>
      </c>
      <c r="BB116" s="153" t="n">
        <f aca="false">IFERROR(IF($N116="VCA",INDEX(APOIO_REDES!$A:$W,MATCH($C116&amp;$I116&amp;$H116&amp;$N116&amp;$O116,APOIO_REDES!$W:$W,0),MATCH(BB$5,APOIO_REDES!$5:$5,0)),0)*($AI116+$AQ116+$AR116),0)</f>
        <v>15.0534538238737</v>
      </c>
      <c r="BC116" s="153" t="n">
        <f aca="false">IFERROR(IF($N116="VCA",INDEX(APOIO_REDES!$A:$W,MATCH($C116&amp;$I116&amp;$H116&amp;$N116&amp;$O116,APOIO_REDES!$W:$W,0),MATCH(BC$5,APOIO_REDES!$5:$5,0)),0)*($AI116+$AQ116+$AR116),0)</f>
        <v>0.165587676126347</v>
      </c>
      <c r="BD116" s="153" t="n">
        <f aca="false">IF(AND($N116="VCA",$AF116&gt;=1.25,$AF116&lt;1.5),$M116*$AF116*2,0)</f>
        <v>137.85382</v>
      </c>
      <c r="BE116" s="153" t="n">
        <f aca="false">IF(AND($N116="VCA",$AF116&gt;=1.5,$AF116&lt;3),$M116*$AF116*2,0)</f>
        <v>0</v>
      </c>
      <c r="BF116" s="153" t="n">
        <f aca="false">IF(AND($N116="VCA",$AF116&gt;=3),$M116*$AF116*2,0)</f>
        <v>0</v>
      </c>
      <c r="BG116" s="153" t="n">
        <f aca="false">($BB116+$BC116)*$AK116</f>
        <v>42.6133162</v>
      </c>
      <c r="BH116" s="153" t="n">
        <f aca="false">IF(AND($M116&lt;&gt;"",$N116="VCA",$Q116="LINEAR"),($M116*2)/100,IF(AND($M116&lt;&gt;"",$N116="MND",$Q116="EMBOQUE"),($AN116*2)/100,0))</f>
        <v>1.0114</v>
      </c>
      <c r="BI116" s="153" t="n">
        <f aca="false">IF(AND($M116&lt;&gt;"",$N116="VCA",$Q116="LINEAR"),$M116,IF(AND($M116&lt;&gt;"",$N116="MND",$Q116="EMBOQUE"),$AN116*2,0))</f>
        <v>50.57</v>
      </c>
      <c r="BJ116" s="153" t="n">
        <f aca="false">IF(AND($M116&lt;&gt;"",$N116="VCA",$Q116="LINEAR"),($M116*6.8)/100,IF(AND($M116&lt;&gt;"",$N116="MND",$Q116="EMBOQUE"),($AN116*2*6.8)/100,0))</f>
        <v>3.43876</v>
      </c>
      <c r="BK116" s="153" t="n">
        <f aca="false">IF(AND($M116&lt;&gt;"",$N116="VCA",$Q116="LINEAR"),($M116*2.5)/50,IF(AND($M116&lt;&gt;"",$N116="MND",$Q116="EMBOQUE"),($AN116*2*2.5)/50,0))</f>
        <v>2.5285</v>
      </c>
      <c r="BL116" s="157" t="str">
        <f aca="false">K116&amp;J116</f>
        <v>Zona01REDES</v>
      </c>
      <c r="BM116" s="152" t="s">
        <v>1559</v>
      </c>
      <c r="BN116" s="152" t="s">
        <v>1560</v>
      </c>
      <c r="BO116" s="152" t="s">
        <v>1968</v>
      </c>
      <c r="BP116" s="152" t="s">
        <v>1969</v>
      </c>
      <c r="BQ116" s="152" t="s">
        <v>1954</v>
      </c>
      <c r="BR116" s="152" t="s">
        <v>1850</v>
      </c>
      <c r="BS116" s="152" t="n">
        <v>202951.858</v>
      </c>
      <c r="BT116" s="152" t="n">
        <v>8238315.05</v>
      </c>
      <c r="BU116" s="152" t="n">
        <v>202980.254</v>
      </c>
      <c r="BV116" s="152" t="n">
        <v>8238356.9</v>
      </c>
      <c r="BW116" s="152" t="n">
        <v>-15.9164259</v>
      </c>
      <c r="BX116" s="152" t="n">
        <v>-47.7741587</v>
      </c>
      <c r="BY116" s="152" t="s">
        <v>1969</v>
      </c>
    </row>
    <row r="117" customFormat="false" ht="13.8" hidden="false" customHeight="false" outlineLevel="0" collapsed="false">
      <c r="A117" s="149" t="n">
        <f aca="false">IF(C117&lt;&gt;"",ROW(A112),"")</f>
        <v>112</v>
      </c>
      <c r="B117" s="150" t="str">
        <f aca="false">HYPERLINK("https://www.google.com/maps/dir/-15.917302,-47.760003/-15.9175013,-47.7724965/data=!4m3!4m2!3e0!5i0")</f>
        <v>https://www.google.com/maps/dir/-15.917302,-47.760003/-15.9175013,-47.7724965/data=!4m3!4m2!3e0!5i0</v>
      </c>
      <c r="C117" s="151" t="s">
        <v>117</v>
      </c>
      <c r="D117" s="152" t="s">
        <v>112</v>
      </c>
      <c r="E117" s="152" t="s">
        <v>113</v>
      </c>
      <c r="F117" s="152" t="s">
        <v>117</v>
      </c>
      <c r="G117" s="152" t="s">
        <v>782</v>
      </c>
      <c r="H117" s="152" t="n">
        <v>63</v>
      </c>
      <c r="I117" s="152" t="s">
        <v>115</v>
      </c>
      <c r="J117" s="152" t="s">
        <v>6</v>
      </c>
      <c r="K117" s="152" t="s">
        <v>1547</v>
      </c>
      <c r="L117" s="152" t="s">
        <v>120</v>
      </c>
      <c r="M117" s="153" t="n">
        <f aca="false">225.1</f>
        <v>225.1</v>
      </c>
      <c r="N117" s="152" t="s">
        <v>1548</v>
      </c>
      <c r="O117" s="152" t="s">
        <v>1549</v>
      </c>
      <c r="P117" s="152" t="s">
        <v>1550</v>
      </c>
      <c r="Q117" s="152" t="s">
        <v>1551</v>
      </c>
      <c r="R117" s="154" t="s">
        <v>1970</v>
      </c>
      <c r="S117" s="154" t="s">
        <v>1553</v>
      </c>
      <c r="T117" s="155" t="s">
        <v>1965</v>
      </c>
      <c r="U117" s="152" t="str">
        <f aca="false">RIGHT(T117,7)</f>
        <v>005/037</v>
      </c>
      <c r="V117" s="152" t="s">
        <v>1555</v>
      </c>
      <c r="W117" s="156" t="n">
        <v>45882</v>
      </c>
      <c r="X117" s="152" t="s">
        <v>1594</v>
      </c>
      <c r="Y117" s="152" t="s">
        <v>1971</v>
      </c>
      <c r="Z117" s="152" t="s">
        <v>1557</v>
      </c>
      <c r="AA117" s="153" t="n">
        <v>2.6</v>
      </c>
      <c r="AB117" s="151" t="s">
        <v>1972</v>
      </c>
      <c r="AC117" s="151" t="s">
        <v>186</v>
      </c>
      <c r="AD117" s="151" t="str">
        <f aca="false">CONCATENATE($C117,$I117,$H117,$N117,$J117,$K117)</f>
        <v>TUBO PEADPEAD63VCAREDESZona01</v>
      </c>
      <c r="AE117" s="153" t="n">
        <f aca="false">IFERROR(INDEX(APOIO_REDES!$A:$W,MATCH($C117&amp;$I117&amp;$H117&amp;$N117&amp;$O117,APOIO_REDES!$W:$W,0),MATCH(AE$5,APOIO_REDES!$5:$5,0)),0)</f>
        <v>1.2</v>
      </c>
      <c r="AF117" s="153" t="n">
        <f aca="false">IFERROR(INDEX(APOIO_REDES!$A:$W,MATCH($C117&amp;$I117&amp;$H117&amp;$N117&amp;$O117,APOIO_REDES!$W:$W,0),MATCH(AF$5,APOIO_REDES!$5:$5,0)),0)</f>
        <v>1.363</v>
      </c>
      <c r="AG117" s="153" t="n">
        <f aca="false">IFERROR(INDEX(APOIO_REDES!$A:$W,MATCH($C117&amp;$I117&amp;$H117&amp;$N117&amp;$O117,APOIO_REDES!$W:$W,0),MATCH(AG$5,APOIO_REDES!$5:$5,0)),0)</f>
        <v>0.65</v>
      </c>
      <c r="AH117" s="153" t="n">
        <f aca="false">IFERROR(INDEX(APOIO_REDES!$A:$W,MATCH($C117&amp;$I117&amp;$H117&amp;$N117&amp;$O117,APOIO_REDES!$W:$W,0),MATCH(AH$5,APOIO_REDES!$5:$5,0)),0)</f>
        <v>0.1</v>
      </c>
      <c r="AI117" s="153" t="n">
        <f aca="false">IFERROR(IF($H117&lt;&gt;"",(((($H117/1000)/2)^2)*PI()*$M117),0),0)</f>
        <v>0.701691919399059</v>
      </c>
      <c r="AJ117" s="153" t="n">
        <f aca="false">IFERROR(IF(AND($H117&lt;&gt;"",$I117="FoFo",OR($N117="MND",$N117="VCA"),$Q117="LINEAR"),0,IF(AND($H117&lt;&gt;"",$I117="PEAD",$N117="VCA",$Q117="LINEAR"),($H117/1000)+0.3,IF(AND($H117&lt;&gt;"",$I117="PEAD",$N117="MND",$Q117="EMBOQUE"),0,IF(AND($H117&lt;&gt;"",$I117="PVC",$N117="VCA",$Q117="LINEAR"),($H117/1000)+0.2,IF(AND($H117&lt;&gt;"",$I117="PVC",$N117="MND",$Q117="EMBOQUE"),0,IF(AND($H117&lt;&gt;"",$I117="PEAD",$N117="VCA",$Q117="PREDIAL"),0,0)))))),0)</f>
        <v>0.363</v>
      </c>
      <c r="AK117" s="153" t="n">
        <f aca="false">IF(AA117&lt;&gt;"",AA117,0)</f>
        <v>2.6</v>
      </c>
      <c r="AL117" s="153" t="n">
        <f aca="false">IF(AND($N117="MND",$Q117="EMBOQUE"),$M117,IF(AND($N117="VCA",$Q117="LINEAR"),$M117,IF(AND($N117="VCA",$Q117="PREDIAL"),0,0)))</f>
        <v>225.1</v>
      </c>
      <c r="AM117" s="153" t="n">
        <f aca="false">IF(AND($N117="MND",$Q117="EMBOQUE"),$M117,IF(AND($N117="VCA",$Q117="LINEAR"),$M117,IF(AND($N117="VCA",$Q117="PREDIAL"),0,0)))</f>
        <v>225.1</v>
      </c>
      <c r="AN117" s="153" t="n">
        <f aca="false">ROUND(IF(AND($N117="VCA",$M117&lt;&gt;"",$Q117="LINEAR"),$M117/100,IF(AND($N117="MND",$M117&gt;100,$Q117="EMBOQUE"),$M117/100,0)),0)</f>
        <v>2</v>
      </c>
      <c r="AO117" s="153" t="n">
        <f aca="false">IF(AND($N117="MND",$Q117="EMBOQUE"),$AN117*2*2,IF(AND($N117="VCA",$Q117="LINEAR"),$M117*2,IF(AND($N117="VCA",$Q117="PREDIAL"),0,0)))</f>
        <v>450.2</v>
      </c>
      <c r="AP117" s="153" t="n">
        <f aca="false">IFERROR($M117*$AF117*$AG117,0)</f>
        <v>199.427345</v>
      </c>
      <c r="AQ117" s="153" t="n">
        <f aca="false">IFERROR(IF(AND($N117="VCA",$AH117&gt;0),$M117*$AG117*$AH117,0),0)</f>
        <v>14.6315</v>
      </c>
      <c r="AR117" s="153" t="n">
        <f aca="false">IFERROR(IF(AND($N117="VCA",$AJ117&gt;0),($M117*$AG117*$AJ117)-$AI117,0),0)</f>
        <v>52.4106530806009</v>
      </c>
      <c r="AS117" s="153" t="n">
        <f aca="false">IFERROR(IF(AND($N117="VCA",$AP117&gt;0),$AP117-$AI117-$AQ117-$AR117,0),0)</f>
        <v>131.6835</v>
      </c>
      <c r="AT117" s="153" t="n">
        <f aca="false">IFERROR(IF($N117="VCA",INDEX(APOIO_REDES!$A:$W,MATCH($C117&amp;$I117&amp;$H117&amp;$N117&amp;$O117,APOIO_REDES!$W:$W,0),MATCH(AT$5,APOIO_REDES!$5:$5,0)),0)*$AP117,0)</f>
        <v>2.16982854108107</v>
      </c>
      <c r="AU117" s="153" t="n">
        <f aca="false">IFERROR(IF($N117="VCA",INDEX(APOIO_REDES!$A:$W,MATCH($C117&amp;$I117&amp;$H117&amp;$N117&amp;$O117,APOIO_REDES!$W:$W,0),MATCH(AU$5,APOIO_REDES!$5:$5,0)),0)*$AP117,0)</f>
        <v>1.73276630649766</v>
      </c>
      <c r="AV117" s="153" t="n">
        <f aca="false">IFERROR(IF($N117="VCA",INDEX(APOIO_REDES!$A:$W,MATCH($C117&amp;$I117&amp;$H117&amp;$N117&amp;$O117,APOIO_REDES!$W:$W,0),MATCH(AV$5,APOIO_REDES!$5:$5,0)),0)*$AP117,0)</f>
        <v>0.239801254070433</v>
      </c>
      <c r="AW117" s="153" t="n">
        <f aca="false">IFERROR(IF($N117="VCA",INDEX(APOIO_REDES!$A:$W,MATCH($C117&amp;$I117&amp;$H117&amp;$N117&amp;$O117,APOIO_REDES!$W:$W,0),MATCH(AW$5,APOIO_REDES!$5:$5,0)),0)*$AP117,0)</f>
        <v>136.888474846473</v>
      </c>
      <c r="AX117" s="153" t="n">
        <f aca="false">IFERROR(IF($N117="VCA",INDEX(APOIO_REDES!$A:$W,MATCH($C117&amp;$I117&amp;$H117&amp;$N117&amp;$O117,APOIO_REDES!$W:$W,0),MATCH(AX$5,APOIO_REDES!$5:$5,0)),0)*$AP117,0)</f>
        <v>18.9449749845502</v>
      </c>
      <c r="AY117" s="153" t="n">
        <f aca="false">IFERROR(IF($N117="VCA",INDEX(APOIO_REDES!$A:$W,MATCH($C117&amp;$I117&amp;$H117&amp;$N117&amp;$O117,APOIO_REDES!$W:$W,0),MATCH(AY$5,APOIO_REDES!$5:$5,0)),0)*$AP117,0)</f>
        <v>34.6553050076725</v>
      </c>
      <c r="AZ117" s="153" t="n">
        <f aca="false">IFERROR(IF($N117="VCA",INDEX(APOIO_REDES!$A:$W,MATCH($C117&amp;$I117&amp;$H117&amp;$N117&amp;$O117,APOIO_REDES!$W:$W,0),MATCH(AZ$5,APOIO_REDES!$5:$5,0)),0)*$AP117,0)</f>
        <v>4.79619405965517</v>
      </c>
      <c r="BA117" s="153" t="n">
        <f aca="false">IFERROR(IF(AND($N117="VCA",$Q117="LINEAR"),INDEX(APOIO_REDES!$A:$W,MATCH($C117&amp;$I117&amp;$H117&amp;$N117&amp;$O117,APOIO_REDES!$W:$W,0),MATCH(BA$5,APOIO_REDES!$5:$5,0)),IF(AND($N117="MND",$Q117="EMBOQUE"),INDEX(APOIO_REDES!$A:$W,MATCH($C117&amp;$I117&amp;$H117&amp;$N117&amp;$O117,APOIO_REDES!$W:$W,0),MATCH(BA$5,APOIO_REDES!$5:$5,0)),0))*$M117/10,0)</f>
        <v>18.1424922032085</v>
      </c>
      <c r="BB117" s="153" t="n">
        <f aca="false">IFERROR(IF($N117="VCA",INDEX(APOIO_REDES!$A:$W,MATCH($C117&amp;$I117&amp;$H117&amp;$N117&amp;$O117,APOIO_REDES!$W:$W,0),MATCH(BB$5,APOIO_REDES!$5:$5,0)),0)*($AI117+$AQ117+$AR117),0)</f>
        <v>67.0067719152454</v>
      </c>
      <c r="BC117" s="153" t="n">
        <f aca="false">IFERROR(IF($N117="VCA",INDEX(APOIO_REDES!$A:$W,MATCH($C117&amp;$I117&amp;$H117&amp;$N117&amp;$O117,APOIO_REDES!$W:$W,0),MATCH(BC$5,APOIO_REDES!$5:$5,0)),0)*($AI117+$AQ117+$AR117),0)</f>
        <v>0.737073084754611</v>
      </c>
      <c r="BD117" s="153" t="n">
        <f aca="false">IF(AND($N117="VCA",$AF117&gt;=1.25,$AF117&lt;1.5),$M117*$AF117*2,0)</f>
        <v>613.6226</v>
      </c>
      <c r="BE117" s="153" t="n">
        <f aca="false">IF(AND($N117="VCA",$AF117&gt;=1.5,$AF117&lt;3),$M117*$AF117*2,0)</f>
        <v>0</v>
      </c>
      <c r="BF117" s="153" t="n">
        <f aca="false">IF(AND($N117="VCA",$AF117&gt;=3),$M117*$AF117*2,0)</f>
        <v>0</v>
      </c>
      <c r="BG117" s="153" t="n">
        <f aca="false">($BB117+$BC117)*$AK117</f>
        <v>176.133997</v>
      </c>
      <c r="BH117" s="153" t="n">
        <f aca="false">IF(AND($M117&lt;&gt;"",$N117="VCA",$Q117="LINEAR"),($M117*2)/100,IF(AND($M117&lt;&gt;"",$N117="MND",$Q117="EMBOQUE"),($AN117*2)/100,0))</f>
        <v>4.502</v>
      </c>
      <c r="BI117" s="153" t="n">
        <f aca="false">IF(AND($M117&lt;&gt;"",$N117="VCA",$Q117="LINEAR"),$M117,IF(AND($M117&lt;&gt;"",$N117="MND",$Q117="EMBOQUE"),$AN117*2,0))</f>
        <v>225.1</v>
      </c>
      <c r="BJ117" s="153" t="n">
        <f aca="false">IF(AND($M117&lt;&gt;"",$N117="VCA",$Q117="LINEAR"),($M117*6.8)/100,IF(AND($M117&lt;&gt;"",$N117="MND",$Q117="EMBOQUE"),($AN117*2*6.8)/100,0))</f>
        <v>15.3068</v>
      </c>
      <c r="BK117" s="153" t="n">
        <f aca="false">IF(AND($M117&lt;&gt;"",$N117="VCA",$Q117="LINEAR"),($M117*2.5)/50,IF(AND($M117&lt;&gt;"",$N117="MND",$Q117="EMBOQUE"),($AN117*2*2.5)/50,0))</f>
        <v>11.255</v>
      </c>
      <c r="BL117" s="157" t="str">
        <f aca="false">K117&amp;J117</f>
        <v>Zona01REDES</v>
      </c>
      <c r="BM117" s="152" t="s">
        <v>1559</v>
      </c>
      <c r="BN117" s="152" t="s">
        <v>1560</v>
      </c>
      <c r="BO117" s="152" t="s">
        <v>1968</v>
      </c>
      <c r="BP117" s="152" t="s">
        <v>1973</v>
      </c>
      <c r="BQ117" s="152" t="s">
        <v>1954</v>
      </c>
      <c r="BR117" s="152" t="s">
        <v>1974</v>
      </c>
      <c r="BS117" s="152" t="n">
        <v>203145.74</v>
      </c>
      <c r="BT117" s="152" t="n">
        <v>8238219.27</v>
      </c>
      <c r="BU117" s="152" t="n">
        <v>202980.254</v>
      </c>
      <c r="BV117" s="152" t="n">
        <v>8238356.9</v>
      </c>
      <c r="BW117" s="152" t="n">
        <v>-15.9168088</v>
      </c>
      <c r="BX117" s="152" t="n">
        <v>-47.7731544</v>
      </c>
      <c r="BY117" s="152" t="s">
        <v>1973</v>
      </c>
    </row>
    <row r="118" customFormat="false" ht="13.8" hidden="false" customHeight="false" outlineLevel="0" collapsed="false">
      <c r="A118" s="149" t="n">
        <f aca="false">IF(C118&lt;&gt;"",ROW(A113),"")</f>
        <v>113</v>
      </c>
      <c r="B118" s="150" t="str">
        <f aca="false">HYPERLINK("https://www.google.com/maps/dir/-15.917302,-47.760003/-15.9175013,-47.7724965/data=!4m3!4m2!3e0!5i0")</f>
        <v>https://www.google.com/maps/dir/-15.917302,-47.760003/-15.9175013,-47.7724965/data=!4m3!4m2!3e0!5i0</v>
      </c>
      <c r="C118" s="151" t="s">
        <v>117</v>
      </c>
      <c r="D118" s="152" t="s">
        <v>112</v>
      </c>
      <c r="E118" s="152" t="s">
        <v>113</v>
      </c>
      <c r="F118" s="152" t="s">
        <v>117</v>
      </c>
      <c r="G118" s="152" t="s">
        <v>782</v>
      </c>
      <c r="H118" s="152" t="n">
        <v>63</v>
      </c>
      <c r="I118" s="152" t="s">
        <v>115</v>
      </c>
      <c r="J118" s="152" t="s">
        <v>6</v>
      </c>
      <c r="K118" s="152" t="s">
        <v>1547</v>
      </c>
      <c r="L118" s="152" t="s">
        <v>120</v>
      </c>
      <c r="M118" s="153" t="n">
        <f aca="false">219.94</f>
        <v>219.94</v>
      </c>
      <c r="N118" s="152" t="s">
        <v>1548</v>
      </c>
      <c r="O118" s="152" t="s">
        <v>1549</v>
      </c>
      <c r="P118" s="152" t="s">
        <v>1550</v>
      </c>
      <c r="Q118" s="152" t="s">
        <v>1551</v>
      </c>
      <c r="R118" s="154" t="s">
        <v>1975</v>
      </c>
      <c r="S118" s="154" t="s">
        <v>1553</v>
      </c>
      <c r="T118" s="155" t="s">
        <v>1965</v>
      </c>
      <c r="U118" s="152" t="str">
        <f aca="false">RIGHT(T118,7)</f>
        <v>005/037</v>
      </c>
      <c r="V118" s="152" t="s">
        <v>1555</v>
      </c>
      <c r="W118" s="156" t="n">
        <v>45882</v>
      </c>
      <c r="X118" s="152" t="s">
        <v>1594</v>
      </c>
      <c r="Y118" s="152" t="s">
        <v>1971</v>
      </c>
      <c r="Z118" s="152" t="s">
        <v>1557</v>
      </c>
      <c r="AA118" s="153" t="n">
        <v>2.6</v>
      </c>
      <c r="AB118" s="151" t="s">
        <v>1976</v>
      </c>
      <c r="AC118" s="151" t="s">
        <v>186</v>
      </c>
      <c r="AD118" s="151" t="str">
        <f aca="false">CONCATENATE($C118,$I118,$H118,$N118,$J118,$K118)</f>
        <v>TUBO PEADPEAD63VCAREDESZona01</v>
      </c>
      <c r="AE118" s="153" t="n">
        <f aca="false">IFERROR(INDEX(APOIO_REDES!$A:$W,MATCH($C118&amp;$I118&amp;$H118&amp;$N118&amp;$O118,APOIO_REDES!$W:$W,0),MATCH(AE$5,APOIO_REDES!$5:$5,0)),0)</f>
        <v>1.2</v>
      </c>
      <c r="AF118" s="153" t="n">
        <f aca="false">IFERROR(INDEX(APOIO_REDES!$A:$W,MATCH($C118&amp;$I118&amp;$H118&amp;$N118&amp;$O118,APOIO_REDES!$W:$W,0),MATCH(AF$5,APOIO_REDES!$5:$5,0)),0)</f>
        <v>1.363</v>
      </c>
      <c r="AG118" s="153" t="n">
        <f aca="false">IFERROR(INDEX(APOIO_REDES!$A:$W,MATCH($C118&amp;$I118&amp;$H118&amp;$N118&amp;$O118,APOIO_REDES!$W:$W,0),MATCH(AG$5,APOIO_REDES!$5:$5,0)),0)</f>
        <v>0.65</v>
      </c>
      <c r="AH118" s="153" t="n">
        <f aca="false">IFERROR(INDEX(APOIO_REDES!$A:$W,MATCH($C118&amp;$I118&amp;$H118&amp;$N118&amp;$O118,APOIO_REDES!$W:$W,0),MATCH(AH$5,APOIO_REDES!$5:$5,0)),0)</f>
        <v>0.1</v>
      </c>
      <c r="AI118" s="153" t="n">
        <f aca="false">IFERROR(IF($H118&lt;&gt;"",(((($H118/1000)/2)^2)*PI()*$M118),0),0)</f>
        <v>0.685606933596752</v>
      </c>
      <c r="AJ118" s="153" t="n">
        <f aca="false">IFERROR(IF(AND($H118&lt;&gt;"",$I118="FoFo",OR($N118="MND",$N118="VCA"),$Q118="LINEAR"),0,IF(AND($H118&lt;&gt;"",$I118="PEAD",$N118="VCA",$Q118="LINEAR"),($H118/1000)+0.3,IF(AND($H118&lt;&gt;"",$I118="PEAD",$N118="MND",$Q118="EMBOQUE"),0,IF(AND($H118&lt;&gt;"",$I118="PVC",$N118="VCA",$Q118="LINEAR"),($H118/1000)+0.2,IF(AND($H118&lt;&gt;"",$I118="PVC",$N118="MND",$Q118="EMBOQUE"),0,IF(AND($H118&lt;&gt;"",$I118="PEAD",$N118="VCA",$Q118="PREDIAL"),0,0)))))),0)</f>
        <v>0.363</v>
      </c>
      <c r="AK118" s="153" t="n">
        <f aca="false">IF(AA118&lt;&gt;"",AA118,0)</f>
        <v>2.6</v>
      </c>
      <c r="AL118" s="153" t="n">
        <f aca="false">IF(AND($N118="MND",$Q118="EMBOQUE"),$M118,IF(AND($N118="VCA",$Q118="LINEAR"),$M118,IF(AND($N118="VCA",$Q118="PREDIAL"),0,0)))</f>
        <v>219.94</v>
      </c>
      <c r="AM118" s="153" t="n">
        <f aca="false">IF(AND($N118="MND",$Q118="EMBOQUE"),$M118,IF(AND($N118="VCA",$Q118="LINEAR"),$M118,IF(AND($N118="VCA",$Q118="PREDIAL"),0,0)))</f>
        <v>219.94</v>
      </c>
      <c r="AN118" s="153" t="n">
        <f aca="false">ROUND(IF(AND($N118="VCA",$M118&lt;&gt;"",$Q118="LINEAR"),$M118/100,IF(AND($N118="MND",$M118&gt;100,$Q118="EMBOQUE"),$M118/100,0)),0)</f>
        <v>2</v>
      </c>
      <c r="AO118" s="153" t="n">
        <f aca="false">IF(AND($N118="MND",$Q118="EMBOQUE"),$AN118*2*2,IF(AND($N118="VCA",$Q118="LINEAR"),$M118*2,IF(AND($N118="VCA",$Q118="PREDIAL"),0,0)))</f>
        <v>439.88</v>
      </c>
      <c r="AP118" s="153" t="n">
        <f aca="false">IFERROR($M118*$AF118*$AG118,0)</f>
        <v>194.855843</v>
      </c>
      <c r="AQ118" s="153" t="n">
        <f aca="false">IFERROR(IF(AND($N118="VCA",$AH118&gt;0),$M118*$AG118*$AH118,0),0)</f>
        <v>14.2961</v>
      </c>
      <c r="AR118" s="153" t="n">
        <f aca="false">IFERROR(IF(AND($N118="VCA",$AJ118&gt;0),($M118*$AG118*$AJ118)-$AI118,0),0)</f>
        <v>51.2092360664033</v>
      </c>
      <c r="AS118" s="153" t="n">
        <f aca="false">IFERROR(IF(AND($N118="VCA",$AP118&gt;0),$AP118-$AI118-$AQ118-$AR118,0),0)</f>
        <v>128.6649</v>
      </c>
      <c r="AT118" s="153" t="n">
        <f aca="false">IFERROR(IF($N118="VCA",INDEX(APOIO_REDES!$A:$W,MATCH($C118&amp;$I118&amp;$H118&amp;$N118&amp;$O118,APOIO_REDES!$W:$W,0),MATCH(AT$5,APOIO_REDES!$5:$5,0)),0)*$AP118,0)</f>
        <v>2.12008924622555</v>
      </c>
      <c r="AU118" s="153" t="n">
        <f aca="false">IFERROR(IF($N118="VCA",INDEX(APOIO_REDES!$A:$W,MATCH($C118&amp;$I118&amp;$H118&amp;$N118&amp;$O118,APOIO_REDES!$W:$W,0),MATCH(AU$5,APOIO_REDES!$5:$5,0)),0)*$AP118,0)</f>
        <v>1.69304585273699</v>
      </c>
      <c r="AV118" s="153" t="n">
        <f aca="false">IFERROR(IF($N118="VCA",INDEX(APOIO_REDES!$A:$W,MATCH($C118&amp;$I118&amp;$H118&amp;$N118&amp;$O118,APOIO_REDES!$W:$W,0),MATCH(AV$5,APOIO_REDES!$5:$5,0)),0)*$AP118,0)</f>
        <v>0.234304255087743</v>
      </c>
      <c r="AW118" s="153" t="n">
        <f aca="false">IFERROR(IF($N118="VCA",INDEX(APOIO_REDES!$A:$W,MATCH($C118&amp;$I118&amp;$H118&amp;$N118&amp;$O118,APOIO_REDES!$W:$W,0),MATCH(AW$5,APOIO_REDES!$5:$5,0)),0)*$AP118,0)</f>
        <v>133.750560451947</v>
      </c>
      <c r="AX118" s="153" t="n">
        <f aca="false">IFERROR(IF($N118="VCA",INDEX(APOIO_REDES!$A:$W,MATCH($C118&amp;$I118&amp;$H118&amp;$N118&amp;$O118,APOIO_REDES!$W:$W,0),MATCH(AX$5,APOIO_REDES!$5:$5,0)),0)*$AP118,0)</f>
        <v>18.5106965708662</v>
      </c>
      <c r="AY118" s="153" t="n">
        <f aca="false">IFERROR(IF($N118="VCA",INDEX(APOIO_REDES!$A:$W,MATCH($C118&amp;$I118&amp;$H118&amp;$N118&amp;$O118,APOIO_REDES!$W:$W,0),MATCH(AY$5,APOIO_REDES!$5:$5,0)),0)*$AP118,0)</f>
        <v>33.8608964166481</v>
      </c>
      <c r="AZ118" s="153" t="n">
        <f aca="false">IFERROR(IF($N118="VCA",INDEX(APOIO_REDES!$A:$W,MATCH($C118&amp;$I118&amp;$H118&amp;$N118&amp;$O118,APOIO_REDES!$W:$W,0),MATCH(AZ$5,APOIO_REDES!$5:$5,0)),0)*$AP118,0)</f>
        <v>4.68625020648848</v>
      </c>
      <c r="BA118" s="153" t="n">
        <f aca="false">IFERROR(IF(AND($N118="VCA",$Q118="LINEAR"),INDEX(APOIO_REDES!$A:$W,MATCH($C118&amp;$I118&amp;$H118&amp;$N118&amp;$O118,APOIO_REDES!$W:$W,0),MATCH(BA$5,APOIO_REDES!$5:$5,0)),IF(AND($N118="MND",$Q118="EMBOQUE"),INDEX(APOIO_REDES!$A:$W,MATCH($C118&amp;$I118&amp;$H118&amp;$N118&amp;$O118,APOIO_REDES!$W:$W,0),MATCH(BA$5,APOIO_REDES!$5:$5,0)),0))*$M118/10,0)</f>
        <v>17.7266092188969</v>
      </c>
      <c r="BB118" s="153" t="n">
        <f aca="false">IFERROR(IF($N118="VCA",INDEX(APOIO_REDES!$A:$W,MATCH($C118&amp;$I118&amp;$H118&amp;$N118&amp;$O118,APOIO_REDES!$W:$W,0),MATCH(BB$5,APOIO_REDES!$5:$5,0)),0)*($AI118+$AQ118+$AR118),0)</f>
        <v>65.4707659486409</v>
      </c>
      <c r="BC118" s="153" t="n">
        <f aca="false">IFERROR(IF($N118="VCA",INDEX(APOIO_REDES!$A:$W,MATCH($C118&amp;$I118&amp;$H118&amp;$N118&amp;$O118,APOIO_REDES!$W:$W,0),MATCH(BC$5,APOIO_REDES!$5:$5,0)),0)*($AI118+$AQ118+$AR118),0)</f>
        <v>0.720177051359081</v>
      </c>
      <c r="BD118" s="153" t="n">
        <f aca="false">IF(AND($N118="VCA",$AF118&gt;=1.25,$AF118&lt;1.5),$M118*$AF118*2,0)</f>
        <v>599.55644</v>
      </c>
      <c r="BE118" s="153" t="n">
        <f aca="false">IF(AND($N118="VCA",$AF118&gt;=1.5,$AF118&lt;3),$M118*$AF118*2,0)</f>
        <v>0</v>
      </c>
      <c r="BF118" s="153" t="n">
        <f aca="false">IF(AND($N118="VCA",$AF118&gt;=3),$M118*$AF118*2,0)</f>
        <v>0</v>
      </c>
      <c r="BG118" s="153" t="n">
        <f aca="false">($BB118+$BC118)*$AK118</f>
        <v>172.0964518</v>
      </c>
      <c r="BH118" s="153" t="n">
        <f aca="false">IF(AND($M118&lt;&gt;"",$N118="VCA",$Q118="LINEAR"),($M118*2)/100,IF(AND($M118&lt;&gt;"",$N118="MND",$Q118="EMBOQUE"),($AN118*2)/100,0))</f>
        <v>4.3988</v>
      </c>
      <c r="BI118" s="153" t="n">
        <f aca="false">IF(AND($M118&lt;&gt;"",$N118="VCA",$Q118="LINEAR"),$M118,IF(AND($M118&lt;&gt;"",$N118="MND",$Q118="EMBOQUE"),$AN118*2,0))</f>
        <v>219.94</v>
      </c>
      <c r="BJ118" s="153" t="n">
        <f aca="false">IF(AND($M118&lt;&gt;"",$N118="VCA",$Q118="LINEAR"),($M118*6.8)/100,IF(AND($M118&lt;&gt;"",$N118="MND",$Q118="EMBOQUE"),($AN118*2*6.8)/100,0))</f>
        <v>14.95592</v>
      </c>
      <c r="BK118" s="153" t="n">
        <f aca="false">IF(AND($M118&lt;&gt;"",$N118="VCA",$Q118="LINEAR"),($M118*2.5)/50,IF(AND($M118&lt;&gt;"",$N118="MND",$Q118="EMBOQUE"),($AN118*2*2.5)/50,0))</f>
        <v>10.997</v>
      </c>
      <c r="BL118" s="157" t="str">
        <f aca="false">K118&amp;J118</f>
        <v>Zona01REDES</v>
      </c>
      <c r="BM118" s="152" t="s">
        <v>1559</v>
      </c>
      <c r="BN118" s="152" t="s">
        <v>1560</v>
      </c>
      <c r="BO118" s="152" t="s">
        <v>1968</v>
      </c>
      <c r="BP118" s="152" t="s">
        <v>1973</v>
      </c>
      <c r="BQ118" s="152" t="s">
        <v>1969</v>
      </c>
      <c r="BR118" s="152" t="s">
        <v>1977</v>
      </c>
      <c r="BS118" s="152" t="n">
        <v>203145.74</v>
      </c>
      <c r="BT118" s="152" t="n">
        <v>8238219.27</v>
      </c>
      <c r="BU118" s="152" t="n">
        <v>202951.858</v>
      </c>
      <c r="BV118" s="152" t="n">
        <v>8238315.05</v>
      </c>
      <c r="BW118" s="152" t="n">
        <v>-15.9171342</v>
      </c>
      <c r="BX118" s="152" t="n">
        <v>-47.7734206</v>
      </c>
      <c r="BY118" s="152" t="s">
        <v>1973</v>
      </c>
    </row>
    <row r="119" customFormat="false" ht="13.8" hidden="false" customHeight="false" outlineLevel="0" collapsed="false">
      <c r="A119" s="149" t="n">
        <f aca="false">IF(C119&lt;&gt;"",ROW(A114),"")</f>
        <v>114</v>
      </c>
      <c r="B119" s="150" t="str">
        <f aca="false">HYPERLINK("https://www.google.com/maps/dir/-15.917302,-47.760003/-15.9174413,-47.7710257/data=!4m3!4m2!3e0!5i0")</f>
        <v>https://www.google.com/maps/dir/-15.917302,-47.760003/-15.9174413,-47.7710257/data=!4m3!4m2!3e0!5i0</v>
      </c>
      <c r="C119" s="151" t="s">
        <v>117</v>
      </c>
      <c r="D119" s="152" t="s">
        <v>112</v>
      </c>
      <c r="E119" s="152" t="s">
        <v>113</v>
      </c>
      <c r="F119" s="152" t="s">
        <v>117</v>
      </c>
      <c r="G119" s="152" t="s">
        <v>782</v>
      </c>
      <c r="H119" s="152" t="n">
        <v>63</v>
      </c>
      <c r="I119" s="152" t="s">
        <v>115</v>
      </c>
      <c r="J119" s="152" t="s">
        <v>6</v>
      </c>
      <c r="K119" s="152" t="s">
        <v>1547</v>
      </c>
      <c r="L119" s="152" t="s">
        <v>120</v>
      </c>
      <c r="M119" s="153" t="n">
        <f aca="false">319.22+1.28</f>
        <v>320.5</v>
      </c>
      <c r="N119" s="152" t="s">
        <v>1548</v>
      </c>
      <c r="O119" s="152" t="s">
        <v>1549</v>
      </c>
      <c r="P119" s="152" t="s">
        <v>1550</v>
      </c>
      <c r="Q119" s="152" t="s">
        <v>1551</v>
      </c>
      <c r="R119" s="154" t="s">
        <v>1978</v>
      </c>
      <c r="S119" s="154" t="s">
        <v>1553</v>
      </c>
      <c r="T119" s="155" t="s">
        <v>1979</v>
      </c>
      <c r="U119" s="152" t="str">
        <f aca="false">RIGHT(T119,7)</f>
        <v>006/037</v>
      </c>
      <c r="V119" s="152" t="s">
        <v>1555</v>
      </c>
      <c r="W119" s="156" t="n">
        <v>45882</v>
      </c>
      <c r="X119" s="152" t="s">
        <v>1594</v>
      </c>
      <c r="Y119" s="152" t="s">
        <v>1980</v>
      </c>
      <c r="Z119" s="152" t="s">
        <v>1557</v>
      </c>
      <c r="AA119" s="153" t="n">
        <v>2.4</v>
      </c>
      <c r="AB119" s="151" t="s">
        <v>1981</v>
      </c>
      <c r="AC119" s="151" t="s">
        <v>186</v>
      </c>
      <c r="AD119" s="151" t="str">
        <f aca="false">CONCATENATE($C119,$I119,$H119,$N119,$J119,$K119)</f>
        <v>TUBO PEADPEAD63VCAREDESZona01</v>
      </c>
      <c r="AE119" s="153" t="n">
        <f aca="false">IFERROR(INDEX(APOIO_REDES!$A:$W,MATCH($C119&amp;$I119&amp;$H119&amp;$N119&amp;$O119,APOIO_REDES!$W:$W,0),MATCH(AE$5,APOIO_REDES!$5:$5,0)),0)</f>
        <v>1.2</v>
      </c>
      <c r="AF119" s="153" t="n">
        <f aca="false">IFERROR(INDEX(APOIO_REDES!$A:$W,MATCH($C119&amp;$I119&amp;$H119&amp;$N119&amp;$O119,APOIO_REDES!$W:$W,0),MATCH(AF$5,APOIO_REDES!$5:$5,0)),0)</f>
        <v>1.363</v>
      </c>
      <c r="AG119" s="153" t="n">
        <f aca="false">IFERROR(INDEX(APOIO_REDES!$A:$W,MATCH($C119&amp;$I119&amp;$H119&amp;$N119&amp;$O119,APOIO_REDES!$W:$W,0),MATCH(AG$5,APOIO_REDES!$5:$5,0)),0)</f>
        <v>0.65</v>
      </c>
      <c r="AH119" s="153" t="n">
        <f aca="false">IFERROR(INDEX(APOIO_REDES!$A:$W,MATCH($C119&amp;$I119&amp;$H119&amp;$N119&amp;$O119,APOIO_REDES!$W:$W,0),MATCH(AH$5,APOIO_REDES!$5:$5,0)),0)</f>
        <v>0.1</v>
      </c>
      <c r="AI119" s="153" t="n">
        <f aca="false">IFERROR(IF($H119&lt;&gt;"",(((($H119/1000)/2)^2)*PI()*$M119),0),0)</f>
        <v>0.999077122023093</v>
      </c>
      <c r="AJ119" s="153" t="n">
        <f aca="false">IFERROR(IF(AND($H119&lt;&gt;"",$I119="FoFo",OR($N119="MND",$N119="VCA"),$Q119="LINEAR"),0,IF(AND($H119&lt;&gt;"",$I119="PEAD",$N119="VCA",$Q119="LINEAR"),($H119/1000)+0.3,IF(AND($H119&lt;&gt;"",$I119="PEAD",$N119="MND",$Q119="EMBOQUE"),0,IF(AND($H119&lt;&gt;"",$I119="PVC",$N119="VCA",$Q119="LINEAR"),($H119/1000)+0.2,IF(AND($H119&lt;&gt;"",$I119="PVC",$N119="MND",$Q119="EMBOQUE"),0,IF(AND($H119&lt;&gt;"",$I119="PEAD",$N119="VCA",$Q119="PREDIAL"),0,0)))))),0)</f>
        <v>0.363</v>
      </c>
      <c r="AK119" s="153" t="n">
        <f aca="false">IF(AA119&lt;&gt;"",AA119,0)</f>
        <v>2.4</v>
      </c>
      <c r="AL119" s="153" t="n">
        <f aca="false">IF(AND($N119="MND",$Q119="EMBOQUE"),$M119,IF(AND($N119="VCA",$Q119="LINEAR"),$M119,IF(AND($N119="VCA",$Q119="PREDIAL"),0,0)))</f>
        <v>320.5</v>
      </c>
      <c r="AM119" s="153" t="n">
        <f aca="false">IF(AND($N119="MND",$Q119="EMBOQUE"),$M119,IF(AND($N119="VCA",$Q119="LINEAR"),$M119,IF(AND($N119="VCA",$Q119="PREDIAL"),0,0)))</f>
        <v>320.5</v>
      </c>
      <c r="AN119" s="153" t="n">
        <f aca="false">ROUND(IF(AND($N119="VCA",$M119&lt;&gt;"",$Q119="LINEAR"),$M119/100,IF(AND($N119="MND",$M119&gt;100,$Q119="EMBOQUE"),$M119/100,0)),0)</f>
        <v>3</v>
      </c>
      <c r="AO119" s="153" t="n">
        <f aca="false">IF(AND($N119="MND",$Q119="EMBOQUE"),$AN119*2*2,IF(AND($N119="VCA",$Q119="LINEAR"),$M119*2,IF(AND($N119="VCA",$Q119="PREDIAL"),0,0)))</f>
        <v>641</v>
      </c>
      <c r="AP119" s="153" t="n">
        <f aca="false">IFERROR($M119*$AF119*$AG119,0)</f>
        <v>283.946975</v>
      </c>
      <c r="AQ119" s="153" t="n">
        <f aca="false">IFERROR(IF(AND($N119="VCA",$AH119&gt;0),$M119*$AG119*$AH119,0),0)</f>
        <v>20.8325</v>
      </c>
      <c r="AR119" s="153" t="n">
        <f aca="false">IFERROR(IF(AND($N119="VCA",$AJ119&gt;0),($M119*$AG119*$AJ119)-$AI119,0),0)</f>
        <v>74.6228978779769</v>
      </c>
      <c r="AS119" s="153" t="n">
        <f aca="false">IFERROR(IF(AND($N119="VCA",$AP119&gt;0),$AP119-$AI119-$AQ119-$AR119,0),0)</f>
        <v>187.4925</v>
      </c>
      <c r="AT119" s="153" t="n">
        <f aca="false">IFERROR(IF($N119="VCA",INDEX(APOIO_REDES!$A:$W,MATCH($C119&amp;$I119&amp;$H119&amp;$N119&amp;$O119,APOIO_REDES!$W:$W,0),MATCH(AT$5,APOIO_REDES!$5:$5,0)),0)*$AP119,0)</f>
        <v>3.08942713201458</v>
      </c>
      <c r="AU119" s="153" t="n">
        <f aca="false">IFERROR(IF($N119="VCA",INDEX(APOIO_REDES!$A:$W,MATCH($C119&amp;$I119&amp;$H119&amp;$N119&amp;$O119,APOIO_REDES!$W:$W,0),MATCH(AU$5,APOIO_REDES!$5:$5,0)),0)*$AP119,0)</f>
        <v>2.46713283532875</v>
      </c>
      <c r="AV119" s="153" t="n">
        <f aca="false">IFERROR(IF($N119="VCA",INDEX(APOIO_REDES!$A:$W,MATCH($C119&amp;$I119&amp;$H119&amp;$N119&amp;$O119,APOIO_REDES!$W:$W,0),MATCH(AV$5,APOIO_REDES!$5:$5,0)),0)*$AP119,0)</f>
        <v>0.341431816657369</v>
      </c>
      <c r="AW119" s="153" t="n">
        <f aca="false">IFERROR(IF($N119="VCA",INDEX(APOIO_REDES!$A:$W,MATCH($C119&amp;$I119&amp;$H119&amp;$N119&amp;$O119,APOIO_REDES!$W:$W,0),MATCH(AW$5,APOIO_REDES!$5:$5,0)),0)*$AP119,0)</f>
        <v>194.903403768523</v>
      </c>
      <c r="AX119" s="153" t="n">
        <f aca="false">IFERROR(IF($N119="VCA",INDEX(APOIO_REDES!$A:$W,MATCH($C119&amp;$I119&amp;$H119&amp;$N119&amp;$O119,APOIO_REDES!$W:$W,0),MATCH(AX$5,APOIO_REDES!$5:$5,0)),0)*$AP119,0)</f>
        <v>26.9740758887088</v>
      </c>
      <c r="AY119" s="153" t="n">
        <f aca="false">IFERROR(IF($N119="VCA",INDEX(APOIO_REDES!$A:$W,MATCH($C119&amp;$I119&amp;$H119&amp;$N119&amp;$O119,APOIO_REDES!$W:$W,0),MATCH(AY$5,APOIO_REDES!$5:$5,0)),0)*$AP119,0)</f>
        <v>49.3426266324257</v>
      </c>
      <c r="AZ119" s="153" t="n">
        <f aca="false">IFERROR(IF($N119="VCA",INDEX(APOIO_REDES!$A:$W,MATCH($C119&amp;$I119&amp;$H119&amp;$N119&amp;$O119,APOIO_REDES!$W:$W,0),MATCH(AZ$5,APOIO_REDES!$5:$5,0)),0)*$AP119,0)</f>
        <v>6.82887692634154</v>
      </c>
      <c r="BA119" s="153" t="n">
        <f aca="false">IFERROR(IF(AND($N119="VCA",$Q119="LINEAR"),INDEX(APOIO_REDES!$A:$W,MATCH($C119&amp;$I119&amp;$H119&amp;$N119&amp;$O119,APOIO_REDES!$W:$W,0),MATCH(BA$5,APOIO_REDES!$5:$5,0)),IF(AND($N119="MND",$Q119="EMBOQUE"),INDEX(APOIO_REDES!$A:$W,MATCH($C119&amp;$I119&amp;$H119&amp;$N119&amp;$O119,APOIO_REDES!$W:$W,0),MATCH(BA$5,APOIO_REDES!$5:$5,0)),0))*$M119/10,0)</f>
        <v>25.8314915643196</v>
      </c>
      <c r="BB119" s="153" t="n">
        <f aca="false">IFERROR(IF($N119="VCA",INDEX(APOIO_REDES!$A:$W,MATCH($C119&amp;$I119&amp;$H119&amp;$N119&amp;$O119,APOIO_REDES!$W:$W,0),MATCH(BB$5,APOIO_REDES!$5:$5,0)),0)*($AI119+$AQ119+$AR119),0)</f>
        <v>95.4050217629327</v>
      </c>
      <c r="BC119" s="153" t="n">
        <f aca="false">IFERROR(IF($N119="VCA",INDEX(APOIO_REDES!$A:$W,MATCH($C119&amp;$I119&amp;$H119&amp;$N119&amp;$O119,APOIO_REDES!$W:$W,0),MATCH(BC$5,APOIO_REDES!$5:$5,0)),0)*($AI119+$AQ119+$AR119),0)</f>
        <v>1.04945323706732</v>
      </c>
      <c r="BD119" s="153" t="n">
        <f aca="false">IF(AND($N119="VCA",$AF119&gt;=1.25,$AF119&lt;1.5),$M119*$AF119*2,0)</f>
        <v>873.683</v>
      </c>
      <c r="BE119" s="153" t="n">
        <f aca="false">IF(AND($N119="VCA",$AF119&gt;=1.5,$AF119&lt;3),$M119*$AF119*2,0)</f>
        <v>0</v>
      </c>
      <c r="BF119" s="153" t="n">
        <f aca="false">IF(AND($N119="VCA",$AF119&gt;=3),$M119*$AF119*2,0)</f>
        <v>0</v>
      </c>
      <c r="BG119" s="153" t="n">
        <f aca="false">($BB119+$BC119)*$AK119</f>
        <v>231.49074</v>
      </c>
      <c r="BH119" s="153" t="n">
        <f aca="false">IF(AND($M119&lt;&gt;"",$N119="VCA",$Q119="LINEAR"),($M119*2)/100,IF(AND($M119&lt;&gt;"",$N119="MND",$Q119="EMBOQUE"),($AN119*2)/100,0))</f>
        <v>6.41</v>
      </c>
      <c r="BI119" s="153" t="n">
        <f aca="false">IF(AND($M119&lt;&gt;"",$N119="VCA",$Q119="LINEAR"),$M119,IF(AND($M119&lt;&gt;"",$N119="MND",$Q119="EMBOQUE"),$AN119*2,0))</f>
        <v>320.5</v>
      </c>
      <c r="BJ119" s="153" t="n">
        <f aca="false">IF(AND($M119&lt;&gt;"",$N119="VCA",$Q119="LINEAR"),($M119*6.8)/100,IF(AND($M119&lt;&gt;"",$N119="MND",$Q119="EMBOQUE"),($AN119*2*6.8)/100,0))</f>
        <v>21.794</v>
      </c>
      <c r="BK119" s="153" t="n">
        <f aca="false">IF(AND($M119&lt;&gt;"",$N119="VCA",$Q119="LINEAR"),($M119*2.5)/50,IF(AND($M119&lt;&gt;"",$N119="MND",$Q119="EMBOQUE"),($AN119*2*2.5)/50,0))</f>
        <v>16.025</v>
      </c>
      <c r="BL119" s="157" t="str">
        <f aca="false">K119&amp;J119</f>
        <v>Zona01REDES</v>
      </c>
      <c r="BM119" s="152" t="s">
        <v>1559</v>
      </c>
      <c r="BN119" s="152" t="s">
        <v>1560</v>
      </c>
      <c r="BO119" s="152" t="s">
        <v>1982</v>
      </c>
      <c r="BP119" s="152" t="s">
        <v>1983</v>
      </c>
      <c r="BQ119" s="152" t="s">
        <v>1927</v>
      </c>
      <c r="BR119" s="152" t="s">
        <v>1984</v>
      </c>
      <c r="BS119" s="152" t="n">
        <v>203303.234</v>
      </c>
      <c r="BT119" s="152" t="n">
        <v>8238228.005</v>
      </c>
      <c r="BU119" s="152" t="n">
        <v>203048.985</v>
      </c>
      <c r="BV119" s="152" t="n">
        <v>8238420.717</v>
      </c>
      <c r="BW119" s="152" t="n">
        <v>-15.9165568</v>
      </c>
      <c r="BX119" s="152" t="n">
        <v>-47.7722015</v>
      </c>
      <c r="BY119" s="152" t="s">
        <v>1983</v>
      </c>
    </row>
    <row r="120" customFormat="false" ht="13.8" hidden="false" customHeight="false" outlineLevel="0" collapsed="false">
      <c r="A120" s="149" t="n">
        <f aca="false">IF(C120&lt;&gt;"",ROW(A115),"")</f>
        <v>115</v>
      </c>
      <c r="B120" s="150" t="str">
        <f aca="false">HYPERLINK("https://www.google.com/maps/dir/-15.917302,-47.760003/-15.9169832,-47.7722396/data=!4m3!4m2!3e0!5i0")</f>
        <v>https://www.google.com/maps/dir/-15.917302,-47.760003/-15.9169832,-47.7722396/data=!4m3!4m2!3e0!5i0</v>
      </c>
      <c r="C120" s="151" t="s">
        <v>117</v>
      </c>
      <c r="D120" s="152" t="s">
        <v>112</v>
      </c>
      <c r="E120" s="152" t="s">
        <v>113</v>
      </c>
      <c r="F120" s="152" t="s">
        <v>117</v>
      </c>
      <c r="G120" s="152" t="s">
        <v>782</v>
      </c>
      <c r="H120" s="152" t="n">
        <v>63</v>
      </c>
      <c r="I120" s="152" t="s">
        <v>115</v>
      </c>
      <c r="J120" s="152" t="s">
        <v>6</v>
      </c>
      <c r="K120" s="152" t="s">
        <v>1547</v>
      </c>
      <c r="L120" s="152" t="s">
        <v>120</v>
      </c>
      <c r="M120" s="153" t="n">
        <f aca="false">152.53</f>
        <v>152.53</v>
      </c>
      <c r="N120" s="152" t="s">
        <v>1548</v>
      </c>
      <c r="O120" s="152" t="s">
        <v>1549</v>
      </c>
      <c r="P120" s="152" t="s">
        <v>1550</v>
      </c>
      <c r="Q120" s="152" t="s">
        <v>1551</v>
      </c>
      <c r="R120" s="154" t="s">
        <v>1985</v>
      </c>
      <c r="S120" s="154" t="s">
        <v>1553</v>
      </c>
      <c r="T120" s="155" t="s">
        <v>1979</v>
      </c>
      <c r="U120" s="152" t="str">
        <f aca="false">RIGHT(T120,7)</f>
        <v>006/037</v>
      </c>
      <c r="V120" s="152" t="s">
        <v>1555</v>
      </c>
      <c r="W120" s="156" t="n">
        <v>45882</v>
      </c>
      <c r="X120" s="152" t="s">
        <v>1594</v>
      </c>
      <c r="Y120" s="152" t="s">
        <v>1986</v>
      </c>
      <c r="Z120" s="152" t="s">
        <v>1557</v>
      </c>
      <c r="AA120" s="153" t="n">
        <v>2.6</v>
      </c>
      <c r="AB120" s="151" t="s">
        <v>1987</v>
      </c>
      <c r="AC120" s="151" t="s">
        <v>186</v>
      </c>
      <c r="AD120" s="151" t="str">
        <f aca="false">CONCATENATE($C120,$I120,$H120,$N120,$J120,$K120)</f>
        <v>TUBO PEADPEAD63VCAREDESZona01</v>
      </c>
      <c r="AE120" s="153" t="n">
        <f aca="false">IFERROR(INDEX(APOIO_REDES!$A:$W,MATCH($C120&amp;$I120&amp;$H120&amp;$N120&amp;$O120,APOIO_REDES!$W:$W,0),MATCH(AE$5,APOIO_REDES!$5:$5,0)),0)</f>
        <v>1.2</v>
      </c>
      <c r="AF120" s="153" t="n">
        <f aca="false">IFERROR(INDEX(APOIO_REDES!$A:$W,MATCH($C120&amp;$I120&amp;$H120&amp;$N120&amp;$O120,APOIO_REDES!$W:$W,0),MATCH(AF$5,APOIO_REDES!$5:$5,0)),0)</f>
        <v>1.363</v>
      </c>
      <c r="AG120" s="153" t="n">
        <f aca="false">IFERROR(INDEX(APOIO_REDES!$A:$W,MATCH($C120&amp;$I120&amp;$H120&amp;$N120&amp;$O120,APOIO_REDES!$W:$W,0),MATCH(AG$5,APOIO_REDES!$5:$5,0)),0)</f>
        <v>0.65</v>
      </c>
      <c r="AH120" s="153" t="n">
        <f aca="false">IFERROR(INDEX(APOIO_REDES!$A:$W,MATCH($C120&amp;$I120&amp;$H120&amp;$N120&amp;$O120,APOIO_REDES!$W:$W,0),MATCH(AH$5,APOIO_REDES!$5:$5,0)),0)</f>
        <v>0.1</v>
      </c>
      <c r="AI120" s="153" t="n">
        <f aca="false">IFERROR(IF($H120&lt;&gt;"",(((($H120/1000)/2)^2)*PI()*$M120),0),0)</f>
        <v>0.475473427214298</v>
      </c>
      <c r="AJ120" s="153" t="n">
        <f aca="false">IFERROR(IF(AND($H120&lt;&gt;"",$I120="FoFo",OR($N120="MND",$N120="VCA"),$Q120="LINEAR"),0,IF(AND($H120&lt;&gt;"",$I120="PEAD",$N120="VCA",$Q120="LINEAR"),($H120/1000)+0.3,IF(AND($H120&lt;&gt;"",$I120="PEAD",$N120="MND",$Q120="EMBOQUE"),0,IF(AND($H120&lt;&gt;"",$I120="PVC",$N120="VCA",$Q120="LINEAR"),($H120/1000)+0.2,IF(AND($H120&lt;&gt;"",$I120="PVC",$N120="MND",$Q120="EMBOQUE"),0,IF(AND($H120&lt;&gt;"",$I120="PEAD",$N120="VCA",$Q120="PREDIAL"),0,0)))))),0)</f>
        <v>0.363</v>
      </c>
      <c r="AK120" s="153" t="n">
        <f aca="false">IF(AA120&lt;&gt;"",AA120,0)</f>
        <v>2.6</v>
      </c>
      <c r="AL120" s="153" t="n">
        <f aca="false">IF(AND($N120="MND",$Q120="EMBOQUE"),$M120,IF(AND($N120="VCA",$Q120="LINEAR"),$M120,IF(AND($N120="VCA",$Q120="PREDIAL"),0,0)))</f>
        <v>152.53</v>
      </c>
      <c r="AM120" s="153" t="n">
        <f aca="false">IF(AND($N120="MND",$Q120="EMBOQUE"),$M120,IF(AND($N120="VCA",$Q120="LINEAR"),$M120,IF(AND($N120="VCA",$Q120="PREDIAL"),0,0)))</f>
        <v>152.53</v>
      </c>
      <c r="AN120" s="153" t="n">
        <f aca="false">ROUND(IF(AND($N120="VCA",$M120&lt;&gt;"",$Q120="LINEAR"),$M120/100,IF(AND($N120="MND",$M120&gt;100,$Q120="EMBOQUE"),$M120/100,0)),0)</f>
        <v>2</v>
      </c>
      <c r="AO120" s="153" t="n">
        <f aca="false">IF(AND($N120="MND",$Q120="EMBOQUE"),$AN120*2*2,IF(AND($N120="VCA",$Q120="LINEAR"),$M120*2,IF(AND($N120="VCA",$Q120="PREDIAL"),0,0)))</f>
        <v>305.06</v>
      </c>
      <c r="AP120" s="153" t="n">
        <f aca="false">IFERROR($M120*$AF120*$AG120,0)</f>
        <v>135.1339535</v>
      </c>
      <c r="AQ120" s="153" t="n">
        <f aca="false">IFERROR(IF(AND($N120="VCA",$AH120&gt;0),$M120*$AG120*$AH120,0),0)</f>
        <v>9.91445</v>
      </c>
      <c r="AR120" s="153" t="n">
        <f aca="false">IFERROR(IF(AND($N120="VCA",$AJ120&gt;0),($M120*$AG120*$AJ120)-$AI120,0),0)</f>
        <v>35.5139800727857</v>
      </c>
      <c r="AS120" s="153" t="n">
        <f aca="false">IFERROR(IF(AND($N120="VCA",$AP120&gt;0),$AP120-$AI120-$AQ120-$AR120,0),0)</f>
        <v>89.23005</v>
      </c>
      <c r="AT120" s="153" t="n">
        <f aca="false">IFERROR(IF($N120="VCA",INDEX(APOIO_REDES!$A:$W,MATCH($C120&amp;$I120&amp;$H120&amp;$N120&amp;$O120,APOIO_REDES!$W:$W,0),MATCH(AT$5,APOIO_REDES!$5:$5,0)),0)*$AP120,0)</f>
        <v>1.47029741168856</v>
      </c>
      <c r="AU120" s="153" t="n">
        <f aca="false">IFERROR(IF($N120="VCA",INDEX(APOIO_REDES!$A:$W,MATCH($C120&amp;$I120&amp;$H120&amp;$N120&amp;$O120,APOIO_REDES!$W:$W,0),MATCH(AU$5,APOIO_REDES!$5:$5,0)),0)*$AP120,0)</f>
        <v>1.1741396922705</v>
      </c>
      <c r="AV120" s="153" t="n">
        <f aca="false">IFERROR(IF($N120="VCA",INDEX(APOIO_REDES!$A:$W,MATCH($C120&amp;$I120&amp;$H120&amp;$N120&amp;$O120,APOIO_REDES!$W:$W,0),MATCH(AV$5,APOIO_REDES!$5:$5,0)),0)*$AP120,0)</f>
        <v>0.162491716052257</v>
      </c>
      <c r="AW120" s="153" t="n">
        <f aca="false">IFERROR(IF($N120="VCA",INDEX(APOIO_REDES!$A:$W,MATCH($C120&amp;$I120&amp;$H120&amp;$N120&amp;$O120,APOIO_REDES!$W:$W,0),MATCH(AW$5,APOIO_REDES!$5:$5,0)),0)*$AP120,0)</f>
        <v>92.7569927513662</v>
      </c>
      <c r="AX120" s="153" t="n">
        <f aca="false">IFERROR(IF($N120="VCA",INDEX(APOIO_REDES!$A:$W,MATCH($C120&amp;$I120&amp;$H120&amp;$N120&amp;$O120,APOIO_REDES!$W:$W,0),MATCH(AX$5,APOIO_REDES!$5:$5,0)),0)*$AP120,0)</f>
        <v>12.8373035734938</v>
      </c>
      <c r="AY120" s="153" t="n">
        <f aca="false">IFERROR(IF($N120="VCA",INDEX(APOIO_REDES!$A:$W,MATCH($C120&amp;$I120&amp;$H120&amp;$N120&amp;$O120,APOIO_REDES!$W:$W,0),MATCH(AY$5,APOIO_REDES!$5:$5,0)),0)*$AP120,0)</f>
        <v>23.4827795327423</v>
      </c>
      <c r="AZ120" s="153" t="n">
        <f aca="false">IFERROR(IF($N120="VCA",INDEX(APOIO_REDES!$A:$W,MATCH($C120&amp;$I120&amp;$H120&amp;$N120&amp;$O120,APOIO_REDES!$W:$W,0),MATCH(AZ$5,APOIO_REDES!$5:$5,0)),0)*$AP120,0)</f>
        <v>3.24994882238651</v>
      </c>
      <c r="BA120" s="153" t="n">
        <f aca="false">IFERROR(IF(AND($N120="VCA",$Q120="LINEAR"),INDEX(APOIO_REDES!$A:$W,MATCH($C120&amp;$I120&amp;$H120&amp;$N120&amp;$O120,APOIO_REDES!$W:$W,0),MATCH(BA$5,APOIO_REDES!$5:$5,0)),IF(AND($N120="MND",$Q120="EMBOQUE"),INDEX(APOIO_REDES!$A:$W,MATCH($C120&amp;$I120&amp;$H120&amp;$N120&amp;$O120,APOIO_REDES!$W:$W,0),MATCH(BA$5,APOIO_REDES!$5:$5,0)),0))*$M120/10,0)</f>
        <v>12.2935332552439</v>
      </c>
      <c r="BB120" s="153" t="n">
        <f aca="false">IFERROR(IF($N120="VCA",INDEX(APOIO_REDES!$A:$W,MATCH($C120&amp;$I120&amp;$H120&amp;$N120&amp;$O120,APOIO_REDES!$W:$W,0),MATCH(BB$5,APOIO_REDES!$5:$5,0)),0)*($AI120+$AQ120+$AR120),0)</f>
        <v>45.4044554430581</v>
      </c>
      <c r="BC120" s="153" t="n">
        <f aca="false">IFERROR(IF($N120="VCA",INDEX(APOIO_REDES!$A:$W,MATCH($C120&amp;$I120&amp;$H120&amp;$N120&amp;$O120,APOIO_REDES!$W:$W,0),MATCH(BC$5,APOIO_REDES!$5:$5,0)),0)*($AI120+$AQ120+$AR120),0)</f>
        <v>0.499448056941896</v>
      </c>
      <c r="BD120" s="153" t="n">
        <f aca="false">IF(AND($N120="VCA",$AF120&gt;=1.25,$AF120&lt;1.5),$M120*$AF120*2,0)</f>
        <v>415.79678</v>
      </c>
      <c r="BE120" s="153" t="n">
        <f aca="false">IF(AND($N120="VCA",$AF120&gt;=1.5,$AF120&lt;3),$M120*$AF120*2,0)</f>
        <v>0</v>
      </c>
      <c r="BF120" s="153" t="n">
        <f aca="false">IF(AND($N120="VCA",$AF120&gt;=3),$M120*$AF120*2,0)</f>
        <v>0</v>
      </c>
      <c r="BG120" s="153" t="n">
        <f aca="false">($BB120+$BC120)*$AK120</f>
        <v>119.3501491</v>
      </c>
      <c r="BH120" s="153" t="n">
        <f aca="false">IF(AND($M120&lt;&gt;"",$N120="VCA",$Q120="LINEAR"),($M120*2)/100,IF(AND($M120&lt;&gt;"",$N120="MND",$Q120="EMBOQUE"),($AN120*2)/100,0))</f>
        <v>3.0506</v>
      </c>
      <c r="BI120" s="153" t="n">
        <f aca="false">IF(AND($M120&lt;&gt;"",$N120="VCA",$Q120="LINEAR"),$M120,IF(AND($M120&lt;&gt;"",$N120="MND",$Q120="EMBOQUE"),$AN120*2,0))</f>
        <v>152.53</v>
      </c>
      <c r="BJ120" s="153" t="n">
        <f aca="false">IF(AND($M120&lt;&gt;"",$N120="VCA",$Q120="LINEAR"),($M120*6.8)/100,IF(AND($M120&lt;&gt;"",$N120="MND",$Q120="EMBOQUE"),($AN120*2*6.8)/100,0))</f>
        <v>10.37204</v>
      </c>
      <c r="BK120" s="153" t="n">
        <f aca="false">IF(AND($M120&lt;&gt;"",$N120="VCA",$Q120="LINEAR"),($M120*2.5)/50,IF(AND($M120&lt;&gt;"",$N120="MND",$Q120="EMBOQUE"),($AN120*2*2.5)/50,0))</f>
        <v>7.6265</v>
      </c>
      <c r="BL120" s="157" t="str">
        <f aca="false">K120&amp;J120</f>
        <v>Zona01REDES</v>
      </c>
      <c r="BM120" s="152" t="s">
        <v>1559</v>
      </c>
      <c r="BN120" s="152" t="s">
        <v>1560</v>
      </c>
      <c r="BO120" s="152" t="s">
        <v>1982</v>
      </c>
      <c r="BP120" s="152" t="s">
        <v>1988</v>
      </c>
      <c r="BQ120" s="152" t="s">
        <v>1989</v>
      </c>
      <c r="BR120" s="152" t="s">
        <v>1990</v>
      </c>
      <c r="BS120" s="152" t="n">
        <v>203172.501</v>
      </c>
      <c r="BT120" s="152" t="n">
        <v>8238276.992</v>
      </c>
      <c r="BU120" s="152" t="n">
        <v>203050.146</v>
      </c>
      <c r="BV120" s="152" t="n">
        <v>8238368</v>
      </c>
      <c r="BW120" s="152" t="n">
        <v>-15.9165707</v>
      </c>
      <c r="BX120" s="152" t="n">
        <v>-47.7728093</v>
      </c>
      <c r="BY120" s="152" t="s">
        <v>1988</v>
      </c>
    </row>
    <row r="121" customFormat="false" ht="13.8" hidden="false" customHeight="false" outlineLevel="0" collapsed="false">
      <c r="A121" s="149" t="n">
        <f aca="false">IF(C121&lt;&gt;"",ROW(A116),"")</f>
        <v>116</v>
      </c>
      <c r="B121" s="150" t="str">
        <f aca="false">HYPERLINK("https://www.google.com/maps/dir/-15.917302,-47.760003/-15.9181418,-47.7715333/data=!4m3!4m2!3e0!5i0")</f>
        <v>https://www.google.com/maps/dir/-15.917302,-47.760003/-15.9181418,-47.7715333/data=!4m3!4m2!3e0!5i0</v>
      </c>
      <c r="C121" s="151" t="s">
        <v>117</v>
      </c>
      <c r="D121" s="152" t="s">
        <v>112</v>
      </c>
      <c r="E121" s="152" t="s">
        <v>113</v>
      </c>
      <c r="F121" s="152" t="s">
        <v>117</v>
      </c>
      <c r="G121" s="152" t="s">
        <v>114</v>
      </c>
      <c r="H121" s="152" t="n">
        <v>225</v>
      </c>
      <c r="I121" s="152" t="s">
        <v>115</v>
      </c>
      <c r="J121" s="152" t="s">
        <v>6</v>
      </c>
      <c r="K121" s="152" t="s">
        <v>1547</v>
      </c>
      <c r="L121" s="152" t="s">
        <v>120</v>
      </c>
      <c r="M121" s="153" t="n">
        <f aca="false">397.16</f>
        <v>397.16</v>
      </c>
      <c r="N121" s="152" t="s">
        <v>1548</v>
      </c>
      <c r="O121" s="152" t="s">
        <v>1549</v>
      </c>
      <c r="P121" s="152" t="s">
        <v>1550</v>
      </c>
      <c r="Q121" s="152" t="s">
        <v>1551</v>
      </c>
      <c r="R121" s="154" t="s">
        <v>1991</v>
      </c>
      <c r="S121" s="154" t="s">
        <v>1593</v>
      </c>
      <c r="T121" s="155" t="s">
        <v>1979</v>
      </c>
      <c r="U121" s="152" t="str">
        <f aca="false">RIGHT(T121,7)</f>
        <v>006/037</v>
      </c>
      <c r="V121" s="152" t="s">
        <v>1555</v>
      </c>
      <c r="W121" s="156" t="n">
        <v>45882</v>
      </c>
      <c r="X121" s="152" t="s">
        <v>1594</v>
      </c>
      <c r="Y121" s="152" t="s">
        <v>1971</v>
      </c>
      <c r="Z121" s="152" t="s">
        <v>1557</v>
      </c>
      <c r="AA121" s="153" t="n">
        <v>2.5</v>
      </c>
      <c r="AB121" s="151" t="s">
        <v>1992</v>
      </c>
      <c r="AC121" s="151" t="s">
        <v>508</v>
      </c>
      <c r="AD121" s="151" t="str">
        <f aca="false">CONCATENATE($C121,$I121,$H121,$N121,$J121,$K121)</f>
        <v>TUBO PEADPEAD225VCAREDESZona01</v>
      </c>
      <c r="AE121" s="153" t="n">
        <f aca="false">IFERROR(INDEX(APOIO_REDES!$A:$W,MATCH($C121&amp;$I121&amp;$H121&amp;$N121&amp;$O121,APOIO_REDES!$W:$W,0),MATCH(AE$5,APOIO_REDES!$5:$5,0)),0)</f>
        <v>1.2</v>
      </c>
      <c r="AF121" s="153" t="n">
        <f aca="false">IFERROR(INDEX(APOIO_REDES!$A:$W,MATCH($C121&amp;$I121&amp;$H121&amp;$N121&amp;$O121,APOIO_REDES!$W:$W,0),MATCH(AF$5,APOIO_REDES!$5:$5,0)),0)</f>
        <v>1.525</v>
      </c>
      <c r="AG121" s="153" t="n">
        <f aca="false">IFERROR(INDEX(APOIO_REDES!$A:$W,MATCH($C121&amp;$I121&amp;$H121&amp;$N121&amp;$O121,APOIO_REDES!$W:$W,0),MATCH(AG$5,APOIO_REDES!$5:$5,0)),0)</f>
        <v>0.8</v>
      </c>
      <c r="AH121" s="153" t="n">
        <f aca="false">IFERROR(INDEX(APOIO_REDES!$A:$W,MATCH($C121&amp;$I121&amp;$H121&amp;$N121&amp;$O121,APOIO_REDES!$W:$W,0),MATCH(AH$5,APOIO_REDES!$5:$5,0)),0)</f>
        <v>0.1</v>
      </c>
      <c r="AI121" s="153" t="n">
        <f aca="false">IFERROR(IF($H121&lt;&gt;"",(((($H121/1000)/2)^2)*PI()*$M121),0),0)</f>
        <v>15.7913921878559</v>
      </c>
      <c r="AJ121" s="153" t="n">
        <f aca="false">IFERROR(IF(AND($H121&lt;&gt;"",$I121="FoFo",OR($N121="MND",$N121="VCA"),$Q121="LINEAR"),0,IF(AND($H121&lt;&gt;"",$I121="PEAD",$N121="VCA",$Q121="LINEAR"),($H121/1000)+0.3,IF(AND($H121&lt;&gt;"",$I121="PEAD",$N121="MND",$Q121="EMBOQUE"),0,IF(AND($H121&lt;&gt;"",$I121="PVC",$N121="VCA",$Q121="LINEAR"),($H121/1000)+0.2,IF(AND($H121&lt;&gt;"",$I121="PVC",$N121="MND",$Q121="EMBOQUE"),0,IF(AND($H121&lt;&gt;"",$I121="PEAD",$N121="VCA",$Q121="PREDIAL"),0,0)))))),0)</f>
        <v>0.525</v>
      </c>
      <c r="AK121" s="153" t="n">
        <f aca="false">IF(AA121&lt;&gt;"",AA121,0)</f>
        <v>2.5</v>
      </c>
      <c r="AL121" s="153" t="n">
        <f aca="false">IF(AND($N121="MND",$Q121="EMBOQUE"),$M121,IF(AND($N121="VCA",$Q121="LINEAR"),$M121,IF(AND($N121="VCA",$Q121="PREDIAL"),0,0)))</f>
        <v>397.16</v>
      </c>
      <c r="AM121" s="153" t="n">
        <f aca="false">IF(AND($N121="MND",$Q121="EMBOQUE"),$M121,IF(AND($N121="VCA",$Q121="LINEAR"),$M121,IF(AND($N121="VCA",$Q121="PREDIAL"),0,0)))</f>
        <v>397.16</v>
      </c>
      <c r="AN121" s="153" t="n">
        <f aca="false">ROUND(IF(AND($N121="VCA",$M121&lt;&gt;"",$Q121="LINEAR"),$M121/100,IF(AND($N121="MND",$M121&gt;100,$Q121="EMBOQUE"),$M121/100,0)),0)</f>
        <v>4</v>
      </c>
      <c r="AO121" s="153" t="n">
        <f aca="false">IF(AND($N121="MND",$Q121="EMBOQUE"),$AN121*2*2,IF(AND($N121="VCA",$Q121="LINEAR"),$M121*2,IF(AND($N121="VCA",$Q121="PREDIAL"),0,0)))</f>
        <v>794.32</v>
      </c>
      <c r="AP121" s="153" t="n">
        <f aca="false">IFERROR($M121*$AF121*$AG121,0)</f>
        <v>484.5352</v>
      </c>
      <c r="AQ121" s="153" t="n">
        <f aca="false">IFERROR(IF(AND($N121="VCA",$AH121&gt;0),$M121*$AG121*$AH121,0),0)</f>
        <v>31.7728</v>
      </c>
      <c r="AR121" s="153" t="n">
        <f aca="false">IFERROR(IF(AND($N121="VCA",$AJ121&gt;0),($M121*$AG121*$AJ121)-$AI121,0),0)</f>
        <v>151.015807812144</v>
      </c>
      <c r="AS121" s="153" t="n">
        <f aca="false">IFERROR(IF(AND($N121="VCA",$AP121&gt;0),$AP121-$AI121-$AQ121-$AR121,0),0)</f>
        <v>285.9552</v>
      </c>
      <c r="AT121" s="153" t="n">
        <f aca="false">IFERROR(IF($N121="VCA",INDEX(APOIO_REDES!$A:$W,MATCH($C121&amp;$I121&amp;$H121&amp;$N121&amp;$O121,APOIO_REDES!$W:$W,0),MATCH(AT$5,APOIO_REDES!$5:$5,0)),0)*$AP121,0)</f>
        <v>5.27188639109859</v>
      </c>
      <c r="AU121" s="153" t="n">
        <f aca="false">IFERROR(IF($N121="VCA",INDEX(APOIO_REDES!$A:$W,MATCH($C121&amp;$I121&amp;$H121&amp;$N121&amp;$O121,APOIO_REDES!$W:$W,0),MATCH(AU$5,APOIO_REDES!$5:$5,0)),0)*$AP121,0)</f>
        <v>4.20998569114034</v>
      </c>
      <c r="AV121" s="153" t="n">
        <f aca="false">IFERROR(IF($N121="VCA",INDEX(APOIO_REDES!$A:$W,MATCH($C121&amp;$I121&amp;$H121&amp;$N121&amp;$O121,APOIO_REDES!$W:$W,0),MATCH(AV$5,APOIO_REDES!$5:$5,0)),0)*$AP121,0)</f>
        <v>0.582628969970332</v>
      </c>
      <c r="AW121" s="153" t="n">
        <f aca="false">IFERROR(IF($N121="VCA",INDEX(APOIO_REDES!$A:$W,MATCH($C121&amp;$I121&amp;$H121&amp;$N121&amp;$O121,APOIO_REDES!$W:$W,0),MATCH(AW$5,APOIO_REDES!$5:$5,0)),0)*$AP121,0)</f>
        <v>332.588715641934</v>
      </c>
      <c r="AX121" s="153" t="n">
        <f aca="false">IFERROR(IF($N121="VCA",INDEX(APOIO_REDES!$A:$W,MATCH($C121&amp;$I121&amp;$H121&amp;$N121&amp;$O121,APOIO_REDES!$W:$W,0),MATCH(AX$5,APOIO_REDES!$5:$5,0)),0)*$AP121,0)</f>
        <v>46.0293308479539</v>
      </c>
      <c r="AY121" s="153" t="n">
        <f aca="false">IFERROR(IF($N121="VCA",INDEX(APOIO_REDES!$A:$W,MATCH($C121&amp;$I121&amp;$H121&amp;$N121&amp;$O121,APOIO_REDES!$W:$W,0),MATCH(AY$5,APOIO_REDES!$5:$5,0)),0)*$AP121,0)</f>
        <v>84.1996625034224</v>
      </c>
      <c r="AZ121" s="153" t="n">
        <f aca="false">IFERROR(IF($N121="VCA",INDEX(APOIO_REDES!$A:$W,MATCH($C121&amp;$I121&amp;$H121&amp;$N121&amp;$O121,APOIO_REDES!$W:$W,0),MATCH(AZ$5,APOIO_REDES!$5:$5,0)),0)*$AP121,0)</f>
        <v>11.6529899544811</v>
      </c>
      <c r="BA121" s="153" t="n">
        <f aca="false">IFERROR(IF(AND($N121="VCA",$Q121="LINEAR"),INDEX(APOIO_REDES!$A:$W,MATCH($C121&amp;$I121&amp;$H121&amp;$N121&amp;$O121,APOIO_REDES!$W:$W,0),MATCH(BA$5,APOIO_REDES!$5:$5,0)),IF(AND($N121="MND",$Q121="EMBOQUE"),INDEX(APOIO_REDES!$A:$W,MATCH($C121&amp;$I121&amp;$H121&amp;$N121&amp;$O121,APOIO_REDES!$W:$W,0),MATCH(BA$5,APOIO_REDES!$5:$5,0)),0))*$M121/10,0)</f>
        <v>32.0100941955855</v>
      </c>
      <c r="BB121" s="153" t="n">
        <f aca="false">IFERROR(IF($N121="VCA",INDEX(APOIO_REDES!$A:$W,MATCH($C121&amp;$I121&amp;$H121&amp;$N121&amp;$O121,APOIO_REDES!$W:$W,0),MATCH(BB$5,APOIO_REDES!$5:$5,0)),0)*($AI121+$AQ121+$AR121),0)</f>
        <v>196.41939082332</v>
      </c>
      <c r="BC121" s="153" t="n">
        <f aca="false">IFERROR(IF($N121="VCA",INDEX(APOIO_REDES!$A:$W,MATCH($C121&amp;$I121&amp;$H121&amp;$N121&amp;$O121,APOIO_REDES!$W:$W,0),MATCH(BC$5,APOIO_REDES!$5:$5,0)),0)*($AI121+$AQ121+$AR121),0)</f>
        <v>2.16060917667975</v>
      </c>
      <c r="BD121" s="153" t="n">
        <f aca="false">IF(AND($N121="VCA",$AF121&gt;=1.25,$AF121&lt;1.5),$M121*$AF121*2,0)</f>
        <v>0</v>
      </c>
      <c r="BE121" s="153" t="n">
        <f aca="false">IF(AND($N121="VCA",$AF121&gt;=1.5,$AF121&lt;3),$M121*$AF121*2,0)</f>
        <v>1211.338</v>
      </c>
      <c r="BF121" s="153" t="n">
        <f aca="false">IF(AND($N121="VCA",$AF121&gt;=3),$M121*$AF121*2,0)</f>
        <v>0</v>
      </c>
      <c r="BG121" s="153" t="n">
        <f aca="false">($BB121+$BC121)*$AK121</f>
        <v>496.45</v>
      </c>
      <c r="BH121" s="153" t="n">
        <f aca="false">IF(AND($M121&lt;&gt;"",$N121="VCA",$Q121="LINEAR"),($M121*2)/100,IF(AND($M121&lt;&gt;"",$N121="MND",$Q121="EMBOQUE"),($AN121*2)/100,0))</f>
        <v>7.9432</v>
      </c>
      <c r="BI121" s="153" t="n">
        <f aca="false">IF(AND($M121&lt;&gt;"",$N121="VCA",$Q121="LINEAR"),$M121,IF(AND($M121&lt;&gt;"",$N121="MND",$Q121="EMBOQUE"),$AN121*2,0))</f>
        <v>397.16</v>
      </c>
      <c r="BJ121" s="153" t="n">
        <f aca="false">IF(AND($M121&lt;&gt;"",$N121="VCA",$Q121="LINEAR"),($M121*6.8)/100,IF(AND($M121&lt;&gt;"",$N121="MND",$Q121="EMBOQUE"),($AN121*2*6.8)/100,0))</f>
        <v>27.00688</v>
      </c>
      <c r="BK121" s="153" t="n">
        <f aca="false">IF(AND($M121&lt;&gt;"",$N121="VCA",$Q121="LINEAR"),($M121*2.5)/50,IF(AND($M121&lt;&gt;"",$N121="MND",$Q121="EMBOQUE"),($AN121*2*2.5)/50,0))</f>
        <v>19.858</v>
      </c>
      <c r="BL121" s="157" t="str">
        <f aca="false">K121&amp;J121</f>
        <v>Zona01REDES</v>
      </c>
      <c r="BM121" s="152" t="s">
        <v>1559</v>
      </c>
      <c r="BN121" s="152" t="s">
        <v>1560</v>
      </c>
      <c r="BO121" s="152" t="s">
        <v>1982</v>
      </c>
      <c r="BP121" s="152" t="s">
        <v>1993</v>
      </c>
      <c r="BQ121" s="152" t="s">
        <v>1898</v>
      </c>
      <c r="BR121" s="152" t="s">
        <v>1899</v>
      </c>
      <c r="BS121" s="152" t="n">
        <v>203249.874</v>
      </c>
      <c r="BT121" s="152" t="n">
        <v>8238149.719</v>
      </c>
      <c r="BU121" s="152" t="n">
        <v>203453.935</v>
      </c>
      <c r="BV121" s="152" t="n">
        <v>8238487.808</v>
      </c>
      <c r="BW121" s="152" t="n">
        <v>-15.9167115</v>
      </c>
      <c r="BX121" s="152" t="n">
        <v>-47.7704155</v>
      </c>
      <c r="BY121" s="152" t="s">
        <v>1993</v>
      </c>
    </row>
    <row r="122" customFormat="false" ht="13.8" hidden="false" customHeight="false" outlineLevel="0" collapsed="false">
      <c r="A122" s="149" t="n">
        <f aca="false">IF(C122&lt;&gt;"",ROW(A117),"")</f>
        <v>117</v>
      </c>
      <c r="B122" s="150" t="str">
        <f aca="false">HYPERLINK("https://www.google.com/maps/dir/-15.917302,-47.760003/-15.9164504,-47.7702722/data=!4m3!4m2!3e0!5i0")</f>
        <v>https://www.google.com/maps/dir/-15.917302,-47.760003/-15.9164504,-47.7702722/data=!4m3!4m2!3e0!5i0</v>
      </c>
      <c r="C122" s="151" t="s">
        <v>117</v>
      </c>
      <c r="D122" s="152" t="s">
        <v>112</v>
      </c>
      <c r="E122" s="152" t="s">
        <v>113</v>
      </c>
      <c r="F122" s="152" t="s">
        <v>117</v>
      </c>
      <c r="G122" s="152" t="s">
        <v>114</v>
      </c>
      <c r="H122" s="152" t="n">
        <v>160</v>
      </c>
      <c r="I122" s="152" t="s">
        <v>115</v>
      </c>
      <c r="J122" s="152" t="s">
        <v>6</v>
      </c>
      <c r="K122" s="152" t="s">
        <v>1547</v>
      </c>
      <c r="L122" s="152" t="s">
        <v>120</v>
      </c>
      <c r="M122" s="153" t="n">
        <f aca="false">71.92+0.07</f>
        <v>71.99</v>
      </c>
      <c r="N122" s="152" t="s">
        <v>1548</v>
      </c>
      <c r="O122" s="152" t="s">
        <v>1549</v>
      </c>
      <c r="P122" s="152" t="s">
        <v>1550</v>
      </c>
      <c r="Q122" s="152" t="s">
        <v>1551</v>
      </c>
      <c r="R122" s="154" t="s">
        <v>1994</v>
      </c>
      <c r="S122" s="154" t="s">
        <v>1593</v>
      </c>
      <c r="T122" s="155" t="s">
        <v>1979</v>
      </c>
      <c r="U122" s="152" t="str">
        <f aca="false">RIGHT(T122,7)</f>
        <v>006/037</v>
      </c>
      <c r="V122" s="152" t="s">
        <v>1555</v>
      </c>
      <c r="W122" s="156" t="n">
        <v>45882</v>
      </c>
      <c r="X122" s="152" t="s">
        <v>1594</v>
      </c>
      <c r="Y122" s="152" t="s">
        <v>1940</v>
      </c>
      <c r="Z122" s="152" t="s">
        <v>1557</v>
      </c>
      <c r="AA122" s="153" t="n">
        <v>2.3</v>
      </c>
      <c r="AB122" s="151" t="s">
        <v>1995</v>
      </c>
      <c r="AC122" s="151" t="s">
        <v>505</v>
      </c>
      <c r="AD122" s="151" t="str">
        <f aca="false">CONCATENATE($C122,$I122,$H122,$N122,$J122,$K122)</f>
        <v>TUBO PEADPEAD160VCAREDESZona01</v>
      </c>
      <c r="AE122" s="153" t="n">
        <f aca="false">IFERROR(INDEX(APOIO_REDES!$A:$W,MATCH($C122&amp;$I122&amp;$H122&amp;$N122&amp;$O122,APOIO_REDES!$W:$W,0),MATCH(AE$5,APOIO_REDES!$5:$5,0)),0)</f>
        <v>1.2</v>
      </c>
      <c r="AF122" s="153" t="n">
        <f aca="false">IFERROR(INDEX(APOIO_REDES!$A:$W,MATCH($C122&amp;$I122&amp;$H122&amp;$N122&amp;$O122,APOIO_REDES!$W:$W,0),MATCH(AF$5,APOIO_REDES!$5:$5,0)),0)</f>
        <v>1.46</v>
      </c>
      <c r="AG122" s="153" t="n">
        <f aca="false">IFERROR(INDEX(APOIO_REDES!$A:$W,MATCH($C122&amp;$I122&amp;$H122&amp;$N122&amp;$O122,APOIO_REDES!$W:$W,0),MATCH(AG$5,APOIO_REDES!$5:$5,0)),0)</f>
        <v>0.75</v>
      </c>
      <c r="AH122" s="153" t="n">
        <f aca="false">IFERROR(INDEX(APOIO_REDES!$A:$W,MATCH($C122&amp;$I122&amp;$H122&amp;$N122&amp;$O122,APOIO_REDES!$W:$W,0),MATCH(AH$5,APOIO_REDES!$5:$5,0)),0)</f>
        <v>0.1</v>
      </c>
      <c r="AI122" s="153" t="n">
        <f aca="false">IFERROR(IF($H122&lt;&gt;"",(((($H122/1000)/2)^2)*PI()*$M122),0),0)</f>
        <v>1.44744483284435</v>
      </c>
      <c r="AJ122" s="153" t="n">
        <f aca="false">IFERROR(IF(AND($H122&lt;&gt;"",$I122="FoFo",OR($N122="MND",$N122="VCA"),$Q122="LINEAR"),0,IF(AND($H122&lt;&gt;"",$I122="PEAD",$N122="VCA",$Q122="LINEAR"),($H122/1000)+0.3,IF(AND($H122&lt;&gt;"",$I122="PEAD",$N122="MND",$Q122="EMBOQUE"),0,IF(AND($H122&lt;&gt;"",$I122="PVC",$N122="VCA",$Q122="LINEAR"),($H122/1000)+0.2,IF(AND($H122&lt;&gt;"",$I122="PVC",$N122="MND",$Q122="EMBOQUE"),0,IF(AND($H122&lt;&gt;"",$I122="PEAD",$N122="VCA",$Q122="PREDIAL"),0,0)))))),0)</f>
        <v>0.46</v>
      </c>
      <c r="AK122" s="153" t="n">
        <f aca="false">IF(AA122&lt;&gt;"",AA122,0)</f>
        <v>2.3</v>
      </c>
      <c r="AL122" s="153" t="n">
        <f aca="false">IF(AND($N122="MND",$Q122="EMBOQUE"),$M122,IF(AND($N122="VCA",$Q122="LINEAR"),$M122,IF(AND($N122="VCA",$Q122="PREDIAL"),0,0)))</f>
        <v>71.99</v>
      </c>
      <c r="AM122" s="153" t="n">
        <f aca="false">IF(AND($N122="MND",$Q122="EMBOQUE"),$M122,IF(AND($N122="VCA",$Q122="LINEAR"),$M122,IF(AND($N122="VCA",$Q122="PREDIAL"),0,0)))</f>
        <v>71.99</v>
      </c>
      <c r="AN122" s="153" t="n">
        <f aca="false">ROUND(IF(AND($N122="VCA",$M122&lt;&gt;"",$Q122="LINEAR"),$M122/100,IF(AND($N122="MND",$M122&gt;100,$Q122="EMBOQUE"),$M122/100,0)),0)</f>
        <v>1</v>
      </c>
      <c r="AO122" s="153" t="n">
        <f aca="false">IF(AND($N122="MND",$Q122="EMBOQUE"),$AN122*2*2,IF(AND($N122="VCA",$Q122="LINEAR"),$M122*2,IF(AND($N122="VCA",$Q122="PREDIAL"),0,0)))</f>
        <v>143.98</v>
      </c>
      <c r="AP122" s="153" t="n">
        <f aca="false">IFERROR($M122*$AF122*$AG122,0)</f>
        <v>78.82905</v>
      </c>
      <c r="AQ122" s="153" t="n">
        <f aca="false">IFERROR(IF(AND($N122="VCA",$AH122&gt;0),$M122*$AG122*$AH122,0),0)</f>
        <v>5.39925</v>
      </c>
      <c r="AR122" s="153" t="n">
        <f aca="false">IFERROR(IF(AND($N122="VCA",$AJ122&gt;0),($M122*$AG122*$AJ122)-$AI122,0),0)</f>
        <v>23.3891051671557</v>
      </c>
      <c r="AS122" s="153" t="n">
        <f aca="false">IFERROR(IF(AND($N122="VCA",$AP122&gt;0),$AP122-$AI122-$AQ122-$AR122,0),0)</f>
        <v>48.59325</v>
      </c>
      <c r="AT122" s="153" t="n">
        <f aca="false">IFERROR(IF($N122="VCA",INDEX(APOIO_REDES!$A:$W,MATCH($C122&amp;$I122&amp;$H122&amp;$N122&amp;$O122,APOIO_REDES!$W:$W,0),MATCH(AT$5,APOIO_REDES!$5:$5,0)),0)*$AP122,0)</f>
        <v>0.85768339620781</v>
      </c>
      <c r="AU122" s="153" t="n">
        <f aca="false">IFERROR(IF($N122="VCA",INDEX(APOIO_REDES!$A:$W,MATCH($C122&amp;$I122&amp;$H122&amp;$N122&amp;$O122,APOIO_REDES!$W:$W,0),MATCH(AU$5,APOIO_REDES!$5:$5,0)),0)*$AP122,0)</f>
        <v>0.684922731199273</v>
      </c>
      <c r="AV122" s="153" t="n">
        <f aca="false">IFERROR(IF($N122="VCA",INDEX(APOIO_REDES!$A:$W,MATCH($C122&amp;$I122&amp;$H122&amp;$N122&amp;$O122,APOIO_REDES!$W:$W,0),MATCH(AV$5,APOIO_REDES!$5:$5,0)),0)*$AP122,0)</f>
        <v>0.0947879291437233</v>
      </c>
      <c r="AW122" s="153" t="n">
        <f aca="false">IFERROR(IF($N122="VCA",INDEX(APOIO_REDES!$A:$W,MATCH($C122&amp;$I122&amp;$H122&amp;$N122&amp;$O122,APOIO_REDES!$W:$W,0),MATCH(AW$5,APOIO_REDES!$5:$5,0)),0)*$AP122,0)</f>
        <v>54.1088707172848</v>
      </c>
      <c r="AX122" s="153" t="n">
        <f aca="false">IFERROR(IF($N122="VCA",INDEX(APOIO_REDES!$A:$W,MATCH($C122&amp;$I122&amp;$H122&amp;$N122&amp;$O122,APOIO_REDES!$W:$W,0),MATCH(AX$5,APOIO_REDES!$5:$5,0)),0)*$AP122,0)</f>
        <v>7.48851357523643</v>
      </c>
      <c r="AY122" s="153" t="n">
        <f aca="false">IFERROR(IF($N122="VCA",INDEX(APOIO_REDES!$A:$W,MATCH($C122&amp;$I122&amp;$H122&amp;$N122&amp;$O122,APOIO_REDES!$W:$W,0),MATCH(AY$5,APOIO_REDES!$5:$5,0)),0)*$AP122,0)</f>
        <v>13.6984462748329</v>
      </c>
      <c r="AZ122" s="153" t="n">
        <f aca="false">IFERROR(IF($N122="VCA",INDEX(APOIO_REDES!$A:$W,MATCH($C122&amp;$I122&amp;$H122&amp;$N122&amp;$O122,APOIO_REDES!$W:$W,0),MATCH(AZ$5,APOIO_REDES!$5:$5,0)),0)*$AP122,0)</f>
        <v>1.89582537609504</v>
      </c>
      <c r="BA122" s="153" t="n">
        <f aca="false">IFERROR(IF(AND($N122="VCA",$Q122="LINEAR"),INDEX(APOIO_REDES!$A:$W,MATCH($C122&amp;$I122&amp;$H122&amp;$N122&amp;$O122,APOIO_REDES!$W:$W,0),MATCH(BA$5,APOIO_REDES!$5:$5,0)),IF(AND($N122="MND",$Q122="EMBOQUE"),INDEX(APOIO_REDES!$A:$W,MATCH($C122&amp;$I122&amp;$H122&amp;$N122&amp;$O122,APOIO_REDES!$W:$W,0),MATCH(BA$5,APOIO_REDES!$5:$5,0)),0))*$M122/10,0)</f>
        <v>5.80221241096838</v>
      </c>
      <c r="BB122" s="153" t="n">
        <f aca="false">IFERROR(IF($N122="VCA",INDEX(APOIO_REDES!$A:$W,MATCH($C122&amp;$I122&amp;$H122&amp;$N122&amp;$O122,APOIO_REDES!$W:$W,0),MATCH(BB$5,APOIO_REDES!$5:$5,0)),0)*($AI122+$AQ122+$AR122),0)</f>
        <v>29.90682554666</v>
      </c>
      <c r="BC122" s="153" t="n">
        <f aca="false">IFERROR(IF($N122="VCA",INDEX(APOIO_REDES!$A:$W,MATCH($C122&amp;$I122&amp;$H122&amp;$N122&amp;$O122,APOIO_REDES!$W:$W,0),MATCH(BC$5,APOIO_REDES!$5:$5,0)),0)*($AI122+$AQ122+$AR122),0)</f>
        <v>0.328974453339982</v>
      </c>
      <c r="BD122" s="153" t="n">
        <f aca="false">IF(AND($N122="VCA",$AF122&gt;=1.25,$AF122&lt;1.5),$M122*$AF122*2,0)</f>
        <v>210.2108</v>
      </c>
      <c r="BE122" s="153" t="n">
        <f aca="false">IF(AND($N122="VCA",$AF122&gt;=1.5,$AF122&lt;3),$M122*$AF122*2,0)</f>
        <v>0</v>
      </c>
      <c r="BF122" s="153" t="n">
        <f aca="false">IF(AND($N122="VCA",$AF122&gt;=3),$M122*$AF122*2,0)</f>
        <v>0</v>
      </c>
      <c r="BG122" s="153" t="n">
        <f aca="false">($BB122+$BC122)*$AK122</f>
        <v>69.54234</v>
      </c>
      <c r="BH122" s="153" t="n">
        <f aca="false">IF(AND($M122&lt;&gt;"",$N122="VCA",$Q122="LINEAR"),($M122*2)/100,IF(AND($M122&lt;&gt;"",$N122="MND",$Q122="EMBOQUE"),($AN122*2)/100,0))</f>
        <v>1.4398</v>
      </c>
      <c r="BI122" s="153" t="n">
        <f aca="false">IF(AND($M122&lt;&gt;"",$N122="VCA",$Q122="LINEAR"),$M122,IF(AND($M122&lt;&gt;"",$N122="MND",$Q122="EMBOQUE"),$AN122*2,0))</f>
        <v>71.99</v>
      </c>
      <c r="BJ122" s="153" t="n">
        <f aca="false">IF(AND($M122&lt;&gt;"",$N122="VCA",$Q122="LINEAR"),($M122*6.8)/100,IF(AND($M122&lt;&gt;"",$N122="MND",$Q122="EMBOQUE"),($AN122*2*6.8)/100,0))</f>
        <v>4.89532</v>
      </c>
      <c r="BK122" s="153" t="n">
        <f aca="false">IF(AND($M122&lt;&gt;"",$N122="VCA",$Q122="LINEAR"),($M122*2.5)/50,IF(AND($M122&lt;&gt;"",$N122="MND",$Q122="EMBOQUE"),($AN122*2*2.5)/50,0))</f>
        <v>3.5995</v>
      </c>
      <c r="BL122" s="157" t="str">
        <f aca="false">K122&amp;J122</f>
        <v>Zona01REDES</v>
      </c>
      <c r="BM122" s="152" t="s">
        <v>1559</v>
      </c>
      <c r="BN122" s="152" t="s">
        <v>1560</v>
      </c>
      <c r="BO122" s="152" t="s">
        <v>1982</v>
      </c>
      <c r="BP122" s="152" t="s">
        <v>1942</v>
      </c>
      <c r="BQ122" s="152" t="s">
        <v>1959</v>
      </c>
      <c r="BR122" s="152" t="s">
        <v>1996</v>
      </c>
      <c r="BS122" s="152" t="n">
        <v>203382.773</v>
      </c>
      <c r="BT122" s="152" t="n">
        <v>8238338.575</v>
      </c>
      <c r="BU122" s="152" t="n">
        <v>203341.009</v>
      </c>
      <c r="BV122" s="152" t="n">
        <v>8238280.505</v>
      </c>
      <c r="BW122" s="152" t="n">
        <v>-15.9167129</v>
      </c>
      <c r="BX122" s="152" t="n">
        <v>-47.7704641</v>
      </c>
      <c r="BY122" s="152" t="s">
        <v>1942</v>
      </c>
    </row>
    <row r="123" customFormat="false" ht="13.8" hidden="false" customHeight="false" outlineLevel="0" collapsed="false">
      <c r="A123" s="149" t="n">
        <f aca="false">IF(C123&lt;&gt;"",ROW(A118),"")</f>
        <v>118</v>
      </c>
      <c r="B123" s="150" t="str">
        <f aca="false">HYPERLINK("https://www.google.com/maps/dir/-15.917302,-47.760003/-15.9169717,-47.7706667/data=!4m3!4m2!3e0!5i0")</f>
        <v>https://www.google.com/maps/dir/-15.917302,-47.760003/-15.9169717,-47.7706667/data=!4m3!4m2!3e0!5i0</v>
      </c>
      <c r="C123" s="151" t="s">
        <v>117</v>
      </c>
      <c r="D123" s="152" t="s">
        <v>112</v>
      </c>
      <c r="E123" s="152" t="s">
        <v>113</v>
      </c>
      <c r="F123" s="152" t="s">
        <v>117</v>
      </c>
      <c r="G123" s="152" t="s">
        <v>114</v>
      </c>
      <c r="H123" s="152" t="n">
        <v>160</v>
      </c>
      <c r="I123" s="152" t="s">
        <v>115</v>
      </c>
      <c r="J123" s="152" t="s">
        <v>6</v>
      </c>
      <c r="K123" s="152" t="s">
        <v>1547</v>
      </c>
      <c r="L123" s="152" t="s">
        <v>120</v>
      </c>
      <c r="M123" s="153" t="n">
        <f aca="false">23.93</f>
        <v>23.93</v>
      </c>
      <c r="N123" s="152" t="s">
        <v>1548</v>
      </c>
      <c r="O123" s="152" t="s">
        <v>1549</v>
      </c>
      <c r="P123" s="152" t="s">
        <v>1550</v>
      </c>
      <c r="Q123" s="152" t="s">
        <v>1551</v>
      </c>
      <c r="R123" s="154" t="s">
        <v>1997</v>
      </c>
      <c r="S123" s="154" t="s">
        <v>1593</v>
      </c>
      <c r="T123" s="155" t="s">
        <v>1979</v>
      </c>
      <c r="U123" s="152" t="str">
        <f aca="false">RIGHT(T123,7)</f>
        <v>006/037</v>
      </c>
      <c r="V123" s="152" t="s">
        <v>1555</v>
      </c>
      <c r="W123" s="156" t="n">
        <v>45882</v>
      </c>
      <c r="X123" s="152" t="s">
        <v>1594</v>
      </c>
      <c r="Y123" s="152" t="s">
        <v>1956</v>
      </c>
      <c r="Z123" s="152" t="s">
        <v>1557</v>
      </c>
      <c r="AA123" s="153" t="n">
        <v>2.4</v>
      </c>
      <c r="AB123" s="151" t="s">
        <v>1998</v>
      </c>
      <c r="AC123" s="151" t="s">
        <v>505</v>
      </c>
      <c r="AD123" s="151" t="str">
        <f aca="false">CONCATENATE($C123,$I123,$H123,$N123,$J123,$K123)</f>
        <v>TUBO PEADPEAD160VCAREDESZona01</v>
      </c>
      <c r="AE123" s="153" t="n">
        <f aca="false">IFERROR(INDEX(APOIO_REDES!$A:$W,MATCH($C123&amp;$I123&amp;$H123&amp;$N123&amp;$O123,APOIO_REDES!$W:$W,0),MATCH(AE$5,APOIO_REDES!$5:$5,0)),0)</f>
        <v>1.2</v>
      </c>
      <c r="AF123" s="153" t="n">
        <f aca="false">IFERROR(INDEX(APOIO_REDES!$A:$W,MATCH($C123&amp;$I123&amp;$H123&amp;$N123&amp;$O123,APOIO_REDES!$W:$W,0),MATCH(AF$5,APOIO_REDES!$5:$5,0)),0)</f>
        <v>1.46</v>
      </c>
      <c r="AG123" s="153" t="n">
        <f aca="false">IFERROR(INDEX(APOIO_REDES!$A:$W,MATCH($C123&amp;$I123&amp;$H123&amp;$N123&amp;$O123,APOIO_REDES!$W:$W,0),MATCH(AG$5,APOIO_REDES!$5:$5,0)),0)</f>
        <v>0.75</v>
      </c>
      <c r="AH123" s="153" t="n">
        <f aca="false">IFERROR(INDEX(APOIO_REDES!$A:$W,MATCH($C123&amp;$I123&amp;$H123&amp;$N123&amp;$O123,APOIO_REDES!$W:$W,0),MATCH(AH$5,APOIO_REDES!$5:$5,0)),0)</f>
        <v>0.1</v>
      </c>
      <c r="AI123" s="153" t="n">
        <f aca="false">IFERROR(IF($H123&lt;&gt;"",(((($H123/1000)/2)^2)*PI()*$M123),0),0)</f>
        <v>0.481141198082584</v>
      </c>
      <c r="AJ123" s="153" t="n">
        <f aca="false">IFERROR(IF(AND($H123&lt;&gt;"",$I123="FoFo",OR($N123="MND",$N123="VCA"),$Q123="LINEAR"),0,IF(AND($H123&lt;&gt;"",$I123="PEAD",$N123="VCA",$Q123="LINEAR"),($H123/1000)+0.3,IF(AND($H123&lt;&gt;"",$I123="PEAD",$N123="MND",$Q123="EMBOQUE"),0,IF(AND($H123&lt;&gt;"",$I123="PVC",$N123="VCA",$Q123="LINEAR"),($H123/1000)+0.2,IF(AND($H123&lt;&gt;"",$I123="PVC",$N123="MND",$Q123="EMBOQUE"),0,IF(AND($H123&lt;&gt;"",$I123="PEAD",$N123="VCA",$Q123="PREDIAL"),0,0)))))),0)</f>
        <v>0.46</v>
      </c>
      <c r="AK123" s="153" t="n">
        <f aca="false">IF(AA123&lt;&gt;"",AA123,0)</f>
        <v>2.4</v>
      </c>
      <c r="AL123" s="153" t="n">
        <f aca="false">IF(AND($N123="MND",$Q123="EMBOQUE"),$M123,IF(AND($N123="VCA",$Q123="LINEAR"),$M123,IF(AND($N123="VCA",$Q123="PREDIAL"),0,0)))</f>
        <v>23.93</v>
      </c>
      <c r="AM123" s="153" t="n">
        <f aca="false">IF(AND($N123="MND",$Q123="EMBOQUE"),$M123,IF(AND($N123="VCA",$Q123="LINEAR"),$M123,IF(AND($N123="VCA",$Q123="PREDIAL"),0,0)))</f>
        <v>23.93</v>
      </c>
      <c r="AN123" s="153" t="n">
        <f aca="false">ROUND(IF(AND($N123="VCA",$M123&lt;&gt;"",$Q123="LINEAR"),$M123/100,IF(AND($N123="MND",$M123&gt;100,$Q123="EMBOQUE"),$M123/100,0)),0)</f>
        <v>0</v>
      </c>
      <c r="AO123" s="153" t="n">
        <f aca="false">IF(AND($N123="MND",$Q123="EMBOQUE"),$AN123*2*2,IF(AND($N123="VCA",$Q123="LINEAR"),$M123*2,IF(AND($N123="VCA",$Q123="PREDIAL"),0,0)))</f>
        <v>47.86</v>
      </c>
      <c r="AP123" s="153" t="n">
        <f aca="false">IFERROR($M123*$AF123*$AG123,0)</f>
        <v>26.20335</v>
      </c>
      <c r="AQ123" s="153" t="n">
        <f aca="false">IFERROR(IF(AND($N123="VCA",$AH123&gt;0),$M123*$AG123*$AH123,0),0)</f>
        <v>1.79475</v>
      </c>
      <c r="AR123" s="153" t="n">
        <f aca="false">IFERROR(IF(AND($N123="VCA",$AJ123&gt;0),($M123*$AG123*$AJ123)-$AI123,0),0)</f>
        <v>7.77470880191742</v>
      </c>
      <c r="AS123" s="153" t="n">
        <f aca="false">IFERROR(IF(AND($N123="VCA",$AP123&gt;0),$AP123-$AI123-$AQ123-$AR123,0),0)</f>
        <v>16.15275</v>
      </c>
      <c r="AT123" s="153" t="n">
        <f aca="false">IFERROR(IF($N123="VCA",INDEX(APOIO_REDES!$A:$W,MATCH($C123&amp;$I123&amp;$H123&amp;$N123&amp;$O123,APOIO_REDES!$W:$W,0),MATCH(AT$5,APOIO_REDES!$5:$5,0)),0)*$AP123,0)</f>
        <v>0.285100203795706</v>
      </c>
      <c r="AU123" s="153" t="n">
        <f aca="false">IFERROR(IF($N123="VCA",INDEX(APOIO_REDES!$A:$W,MATCH($C123&amp;$I123&amp;$H123&amp;$N123&amp;$O123,APOIO_REDES!$W:$W,0),MATCH(AU$5,APOIO_REDES!$5:$5,0)),0)*$AP123,0)</f>
        <v>0.227673301258489</v>
      </c>
      <c r="AV123" s="153" t="n">
        <f aca="false">IFERROR(IF($N123="VCA",INDEX(APOIO_REDES!$A:$W,MATCH($C123&amp;$I123&amp;$H123&amp;$N123&amp;$O123,APOIO_REDES!$W:$W,0),MATCH(AV$5,APOIO_REDES!$5:$5,0)),0)*$AP123,0)</f>
        <v>0.0315081975886831</v>
      </c>
      <c r="AW123" s="153" t="n">
        <f aca="false">IFERROR(IF($N123="VCA",INDEX(APOIO_REDES!$A:$W,MATCH($C123&amp;$I123&amp;$H123&amp;$N123&amp;$O123,APOIO_REDES!$W:$W,0),MATCH(AW$5,APOIO_REDES!$5:$5,0)),0)*$AP123,0)</f>
        <v>17.9861824734633</v>
      </c>
      <c r="AX123" s="153" t="n">
        <f aca="false">IFERROR(IF($N123="VCA",INDEX(APOIO_REDES!$A:$W,MATCH($C123&amp;$I123&amp;$H123&amp;$N123&amp;$O123,APOIO_REDES!$W:$W,0),MATCH(AX$5,APOIO_REDES!$5:$5,0)),0)*$AP123,0)</f>
        <v>2.48923641971674</v>
      </c>
      <c r="AY123" s="153" t="n">
        <f aca="false">IFERROR(IF($N123="VCA",INDEX(APOIO_REDES!$A:$W,MATCH($C123&amp;$I123&amp;$H123&amp;$N123&amp;$O123,APOIO_REDES!$W:$W,0),MATCH(AY$5,APOIO_REDES!$5:$5,0)),0)*$AP123,0)</f>
        <v>4.55346324985069</v>
      </c>
      <c r="AZ123" s="153" t="n">
        <f aca="false">IFERROR(IF($N123="VCA",INDEX(APOIO_REDES!$A:$W,MATCH($C123&amp;$I123&amp;$H123&amp;$N123&amp;$O123,APOIO_REDES!$W:$W,0),MATCH(AZ$5,APOIO_REDES!$5:$5,0)),0)*$AP123,0)</f>
        <v>0.630186154326355</v>
      </c>
      <c r="BA123" s="153" t="n">
        <f aca="false">IFERROR(IF(AND($N123="VCA",$Q123="LINEAR"),INDEX(APOIO_REDES!$A:$W,MATCH($C123&amp;$I123&amp;$H123&amp;$N123&amp;$O123,APOIO_REDES!$W:$W,0),MATCH(BA$5,APOIO_REDES!$5:$5,0)),IF(AND($N123="MND",$Q123="EMBOQUE"),INDEX(APOIO_REDES!$A:$W,MATCH($C123&amp;$I123&amp;$H123&amp;$N123&amp;$O123,APOIO_REDES!$W:$W,0),MATCH(BA$5,APOIO_REDES!$5:$5,0)),0))*$M123/10,0)</f>
        <v>1.92869763848414</v>
      </c>
      <c r="BB123" s="153" t="n">
        <f aca="false">IFERROR(IF($N123="VCA",INDEX(APOIO_REDES!$A:$W,MATCH($C123&amp;$I123&amp;$H123&amp;$N123&amp;$O123,APOIO_REDES!$W:$W,0),MATCH(BB$5,APOIO_REDES!$5:$5,0)),0)*($AI123+$AQ123+$AR123),0)</f>
        <v>9.94124649717425</v>
      </c>
      <c r="BC123" s="153" t="n">
        <f aca="false">IFERROR(IF($N123="VCA",INDEX(APOIO_REDES!$A:$W,MATCH($C123&amp;$I123&amp;$H123&amp;$N123&amp;$O123,APOIO_REDES!$W:$W,0),MATCH(BC$5,APOIO_REDES!$5:$5,0)),0)*($AI123+$AQ123+$AR123),0)</f>
        <v>0.10935350282575</v>
      </c>
      <c r="BD123" s="153" t="n">
        <f aca="false">IF(AND($N123="VCA",$AF123&gt;=1.25,$AF123&lt;1.5),$M123*$AF123*2,0)</f>
        <v>69.8756</v>
      </c>
      <c r="BE123" s="153" t="n">
        <f aca="false">IF(AND($N123="VCA",$AF123&gt;=1.5,$AF123&lt;3),$M123*$AF123*2,0)</f>
        <v>0</v>
      </c>
      <c r="BF123" s="153" t="n">
        <f aca="false">IF(AND($N123="VCA",$AF123&gt;=3),$M123*$AF123*2,0)</f>
        <v>0</v>
      </c>
      <c r="BG123" s="153" t="n">
        <f aca="false">($BB123+$BC123)*$AK123</f>
        <v>24.12144</v>
      </c>
      <c r="BH123" s="153" t="n">
        <f aca="false">IF(AND($M123&lt;&gt;"",$N123="VCA",$Q123="LINEAR"),($M123*2)/100,IF(AND($M123&lt;&gt;"",$N123="MND",$Q123="EMBOQUE"),($AN123*2)/100,0))</f>
        <v>0.4786</v>
      </c>
      <c r="BI123" s="153" t="n">
        <f aca="false">IF(AND($M123&lt;&gt;"",$N123="VCA",$Q123="LINEAR"),$M123,IF(AND($M123&lt;&gt;"",$N123="MND",$Q123="EMBOQUE"),$AN123*2,0))</f>
        <v>23.93</v>
      </c>
      <c r="BJ123" s="153" t="n">
        <f aca="false">IF(AND($M123&lt;&gt;"",$N123="VCA",$Q123="LINEAR"),($M123*6.8)/100,IF(AND($M123&lt;&gt;"",$N123="MND",$Q123="EMBOQUE"),($AN123*2*6.8)/100,0))</f>
        <v>1.62724</v>
      </c>
      <c r="BK123" s="153" t="n">
        <f aca="false">IF(AND($M123&lt;&gt;"",$N123="VCA",$Q123="LINEAR"),($M123*2.5)/50,IF(AND($M123&lt;&gt;"",$N123="MND",$Q123="EMBOQUE"),($AN123*2*2.5)/50,0))</f>
        <v>1.1965</v>
      </c>
      <c r="BL123" s="157" t="str">
        <f aca="false">K123&amp;J123</f>
        <v>Zona01REDES</v>
      </c>
      <c r="BM123" s="152" t="s">
        <v>1559</v>
      </c>
      <c r="BN123" s="152" t="s">
        <v>1560</v>
      </c>
      <c r="BO123" s="152" t="s">
        <v>1982</v>
      </c>
      <c r="BP123" s="152" t="s">
        <v>1959</v>
      </c>
      <c r="BQ123" s="152" t="s">
        <v>1949</v>
      </c>
      <c r="BR123" s="152" t="s">
        <v>1999</v>
      </c>
      <c r="BS123" s="152" t="n">
        <v>203341.009</v>
      </c>
      <c r="BT123" s="152" t="n">
        <v>8238280.505</v>
      </c>
      <c r="BU123" s="152" t="n">
        <v>203327.639</v>
      </c>
      <c r="BV123" s="152" t="n">
        <v>8238260.665</v>
      </c>
      <c r="BW123" s="152" t="n">
        <v>-15.9170613</v>
      </c>
      <c r="BX123" s="152" t="n">
        <v>-47.7707291</v>
      </c>
      <c r="BY123" s="152" t="s">
        <v>1959</v>
      </c>
    </row>
    <row r="124" customFormat="false" ht="13.8" hidden="false" customHeight="false" outlineLevel="0" collapsed="false">
      <c r="A124" s="149" t="n">
        <f aca="false">IF(C124&lt;&gt;"",ROW(A119),"")</f>
        <v>119</v>
      </c>
      <c r="B124" s="150" t="str">
        <f aca="false">HYPERLINK("https://www.google.com/maps/dir/-15.917302,-47.760003/-15.9171465,-47.7707981/data=!4m3!4m2!3e0!5i0")</f>
        <v>https://www.google.com/maps/dir/-15.917302,-47.760003/-15.9171465,-47.7707981/data=!4m3!4m2!3e0!5i0</v>
      </c>
      <c r="C124" s="151" t="s">
        <v>117</v>
      </c>
      <c r="D124" s="152" t="s">
        <v>112</v>
      </c>
      <c r="E124" s="152" t="s">
        <v>113</v>
      </c>
      <c r="F124" s="152" t="s">
        <v>117</v>
      </c>
      <c r="G124" s="152" t="s">
        <v>114</v>
      </c>
      <c r="H124" s="152" t="n">
        <v>160</v>
      </c>
      <c r="I124" s="152" t="s">
        <v>115</v>
      </c>
      <c r="J124" s="152" t="s">
        <v>6</v>
      </c>
      <c r="K124" s="152" t="s">
        <v>1547</v>
      </c>
      <c r="L124" s="152" t="s">
        <v>120</v>
      </c>
      <c r="M124" s="153" t="n">
        <f aca="false">40.75</f>
        <v>40.75</v>
      </c>
      <c r="N124" s="152" t="s">
        <v>1548</v>
      </c>
      <c r="O124" s="152" t="s">
        <v>1549</v>
      </c>
      <c r="P124" s="152" t="s">
        <v>1550</v>
      </c>
      <c r="Q124" s="152" t="s">
        <v>1551</v>
      </c>
      <c r="R124" s="154" t="s">
        <v>2000</v>
      </c>
      <c r="S124" s="154" t="s">
        <v>1593</v>
      </c>
      <c r="T124" s="155" t="s">
        <v>1979</v>
      </c>
      <c r="U124" s="152" t="str">
        <f aca="false">RIGHT(T124,7)</f>
        <v>006/037</v>
      </c>
      <c r="V124" s="152" t="s">
        <v>1555</v>
      </c>
      <c r="W124" s="156" t="n">
        <v>45882</v>
      </c>
      <c r="X124" s="152" t="s">
        <v>1594</v>
      </c>
      <c r="Y124" s="152" t="s">
        <v>1860</v>
      </c>
      <c r="Z124" s="152" t="s">
        <v>1557</v>
      </c>
      <c r="AA124" s="153" t="n">
        <v>2.4</v>
      </c>
      <c r="AB124" s="151" t="s">
        <v>2001</v>
      </c>
      <c r="AC124" s="151" t="s">
        <v>505</v>
      </c>
      <c r="AD124" s="151" t="str">
        <f aca="false">CONCATENATE($C124,$I124,$H124,$N124,$J124,$K124)</f>
        <v>TUBO PEADPEAD160VCAREDESZona01</v>
      </c>
      <c r="AE124" s="153" t="n">
        <f aca="false">IFERROR(INDEX(APOIO_REDES!$A:$W,MATCH($C124&amp;$I124&amp;$H124&amp;$N124&amp;$O124,APOIO_REDES!$W:$W,0),MATCH(AE$5,APOIO_REDES!$5:$5,0)),0)</f>
        <v>1.2</v>
      </c>
      <c r="AF124" s="153" t="n">
        <f aca="false">IFERROR(INDEX(APOIO_REDES!$A:$W,MATCH($C124&amp;$I124&amp;$H124&amp;$N124&amp;$O124,APOIO_REDES!$W:$W,0),MATCH(AF$5,APOIO_REDES!$5:$5,0)),0)</f>
        <v>1.46</v>
      </c>
      <c r="AG124" s="153" t="n">
        <f aca="false">IFERROR(INDEX(APOIO_REDES!$A:$W,MATCH($C124&amp;$I124&amp;$H124&amp;$N124&amp;$O124,APOIO_REDES!$W:$W,0),MATCH(AG$5,APOIO_REDES!$5:$5,0)),0)</f>
        <v>0.75</v>
      </c>
      <c r="AH124" s="153" t="n">
        <f aca="false">IFERROR(INDEX(APOIO_REDES!$A:$W,MATCH($C124&amp;$I124&amp;$H124&amp;$N124&amp;$O124,APOIO_REDES!$W:$W,0),MATCH(AH$5,APOIO_REDES!$5:$5,0)),0)</f>
        <v>0.1</v>
      </c>
      <c r="AI124" s="153" t="n">
        <f aca="false">IFERROR(IF($H124&lt;&gt;"",(((($H124/1000)/2)^2)*PI()*$M124),0),0)</f>
        <v>0.819327364056218</v>
      </c>
      <c r="AJ124" s="153" t="n">
        <f aca="false">IFERROR(IF(AND($H124&lt;&gt;"",$I124="FoFo",OR($N124="MND",$N124="VCA"),$Q124="LINEAR"),0,IF(AND($H124&lt;&gt;"",$I124="PEAD",$N124="VCA",$Q124="LINEAR"),($H124/1000)+0.3,IF(AND($H124&lt;&gt;"",$I124="PEAD",$N124="MND",$Q124="EMBOQUE"),0,IF(AND($H124&lt;&gt;"",$I124="PVC",$N124="VCA",$Q124="LINEAR"),($H124/1000)+0.2,IF(AND($H124&lt;&gt;"",$I124="PVC",$N124="MND",$Q124="EMBOQUE"),0,IF(AND($H124&lt;&gt;"",$I124="PEAD",$N124="VCA",$Q124="PREDIAL"),0,0)))))),0)</f>
        <v>0.46</v>
      </c>
      <c r="AK124" s="153" t="n">
        <f aca="false">IF(AA124&lt;&gt;"",AA124,0)</f>
        <v>2.4</v>
      </c>
      <c r="AL124" s="153" t="n">
        <f aca="false">IF(AND($N124="MND",$Q124="EMBOQUE"),$M124,IF(AND($N124="VCA",$Q124="LINEAR"),$M124,IF(AND($N124="VCA",$Q124="PREDIAL"),0,0)))</f>
        <v>40.75</v>
      </c>
      <c r="AM124" s="153" t="n">
        <f aca="false">IF(AND($N124="MND",$Q124="EMBOQUE"),$M124,IF(AND($N124="VCA",$Q124="LINEAR"),$M124,IF(AND($N124="VCA",$Q124="PREDIAL"),0,0)))</f>
        <v>40.75</v>
      </c>
      <c r="AN124" s="153" t="n">
        <f aca="false">ROUND(IF(AND($N124="VCA",$M124&lt;&gt;"",$Q124="LINEAR"),$M124/100,IF(AND($N124="MND",$M124&gt;100,$Q124="EMBOQUE"),$M124/100,0)),0)</f>
        <v>0</v>
      </c>
      <c r="AO124" s="153" t="n">
        <f aca="false">IF(AND($N124="MND",$Q124="EMBOQUE"),$AN124*2*2,IF(AND($N124="VCA",$Q124="LINEAR"),$M124*2,IF(AND($N124="VCA",$Q124="PREDIAL"),0,0)))</f>
        <v>81.5</v>
      </c>
      <c r="AP124" s="153" t="n">
        <f aca="false">IFERROR($M124*$AF124*$AG124,0)</f>
        <v>44.62125</v>
      </c>
      <c r="AQ124" s="153" t="n">
        <f aca="false">IFERROR(IF(AND($N124="VCA",$AH124&gt;0),$M124*$AG124*$AH124,0),0)</f>
        <v>3.05625</v>
      </c>
      <c r="AR124" s="153" t="n">
        <f aca="false">IFERROR(IF(AND($N124="VCA",$AJ124&gt;0),($M124*$AG124*$AJ124)-$AI124,0),0)</f>
        <v>13.2394226359438</v>
      </c>
      <c r="AS124" s="153" t="n">
        <f aca="false">IFERROR(IF(AND($N124="VCA",$AP124&gt;0),$AP124-$AI124-$AQ124-$AR124,0),0)</f>
        <v>27.50625</v>
      </c>
      <c r="AT124" s="153" t="n">
        <f aca="false">IFERROR(IF($N124="VCA",INDEX(APOIO_REDES!$A:$W,MATCH($C124&amp;$I124&amp;$H124&amp;$N124&amp;$O124,APOIO_REDES!$W:$W,0),MATCH(AT$5,APOIO_REDES!$5:$5,0)),0)*$AP124,0)</f>
        <v>0.485492407215839</v>
      </c>
      <c r="AU124" s="153" t="n">
        <f aca="false">IFERROR(IF($N124="VCA",INDEX(APOIO_REDES!$A:$W,MATCH($C124&amp;$I124&amp;$H124&amp;$N124&amp;$O124,APOIO_REDES!$W:$W,0),MATCH(AU$5,APOIO_REDES!$5:$5,0)),0)*$AP124,0)</f>
        <v>0.387701087600644</v>
      </c>
      <c r="AV124" s="153" t="n">
        <f aca="false">IFERROR(IF($N124="VCA",INDEX(APOIO_REDES!$A:$W,MATCH($C124&amp;$I124&amp;$H124&amp;$N124&amp;$O124,APOIO_REDES!$W:$W,0),MATCH(AV$5,APOIO_REDES!$5:$5,0)),0)*$AP124,0)</f>
        <v>0.0536547869510588</v>
      </c>
      <c r="AW124" s="153" t="n">
        <f aca="false">IFERROR(IF($N124="VCA",INDEX(APOIO_REDES!$A:$W,MATCH($C124&amp;$I124&amp;$H124&amp;$N124&amp;$O124,APOIO_REDES!$W:$W,0),MATCH(AW$5,APOIO_REDES!$5:$5,0)),0)*$AP124,0)</f>
        <v>30.6283717423164</v>
      </c>
      <c r="AX124" s="153" t="n">
        <f aca="false">IFERROR(IF($N124="VCA",INDEX(APOIO_REDES!$A:$W,MATCH($C124&amp;$I124&amp;$H124&amp;$N124&amp;$O124,APOIO_REDES!$W:$W,0),MATCH(AX$5,APOIO_REDES!$5:$5,0)),0)*$AP124,0)</f>
        <v>4.2388794025682</v>
      </c>
      <c r="AY124" s="153" t="n">
        <f aca="false">IFERROR(IF($N124="VCA",INDEX(APOIO_REDES!$A:$W,MATCH($C124&amp;$I124&amp;$H124&amp;$N124&amp;$O124,APOIO_REDES!$W:$W,0),MATCH(AY$5,APOIO_REDES!$5:$5,0)),0)*$AP124,0)</f>
        <v>7.75401702596805</v>
      </c>
      <c r="AZ124" s="153" t="n">
        <f aca="false">IFERROR(IF($N124="VCA",INDEX(APOIO_REDES!$A:$W,MATCH($C124&amp;$I124&amp;$H124&amp;$N124&amp;$O124,APOIO_REDES!$W:$W,0),MATCH(AZ$5,APOIO_REDES!$5:$5,0)),0)*$AP124,0)</f>
        <v>1.07313354737981</v>
      </c>
      <c r="BA124" s="153" t="n">
        <f aca="false">IFERROR(IF(AND($N124="VCA",$Q124="LINEAR"),INDEX(APOIO_REDES!$A:$W,MATCH($C124&amp;$I124&amp;$H124&amp;$N124&amp;$O124,APOIO_REDES!$W:$W,0),MATCH(BA$5,APOIO_REDES!$5:$5,0)),IF(AND($N124="MND",$Q124="EMBOQUE"),INDEX(APOIO_REDES!$A:$W,MATCH($C124&amp;$I124&amp;$H124&amp;$N124&amp;$O124,APOIO_REDES!$W:$W,0),MATCH(BA$5,APOIO_REDES!$5:$5,0)),0))*$M124/10,0)</f>
        <v>3.28434721137605</v>
      </c>
      <c r="BB124" s="153" t="n">
        <f aca="false">IFERROR(IF($N124="VCA",INDEX(APOIO_REDES!$A:$W,MATCH($C124&amp;$I124&amp;$H124&amp;$N124&amp;$O124,APOIO_REDES!$W:$W,0),MATCH(BB$5,APOIO_REDES!$5:$5,0)),0)*($AI124+$AQ124+$AR124),0)</f>
        <v>16.9287837342186</v>
      </c>
      <c r="BC124" s="153" t="n">
        <f aca="false">IFERROR(IF($N124="VCA",INDEX(APOIO_REDES!$A:$W,MATCH($C124&amp;$I124&amp;$H124&amp;$N124&amp;$O124,APOIO_REDES!$W:$W,0),MATCH(BC$5,APOIO_REDES!$5:$5,0)),0)*($AI124+$AQ124+$AR124),0)</f>
        <v>0.186216265781418</v>
      </c>
      <c r="BD124" s="153" t="n">
        <f aca="false">IF(AND($N124="VCA",$AF124&gt;=1.25,$AF124&lt;1.5),$M124*$AF124*2,0)</f>
        <v>118.99</v>
      </c>
      <c r="BE124" s="153" t="n">
        <f aca="false">IF(AND($N124="VCA",$AF124&gt;=1.5,$AF124&lt;3),$M124*$AF124*2,0)</f>
        <v>0</v>
      </c>
      <c r="BF124" s="153" t="n">
        <f aca="false">IF(AND($N124="VCA",$AF124&gt;=3),$M124*$AF124*2,0)</f>
        <v>0</v>
      </c>
      <c r="BG124" s="153" t="n">
        <f aca="false">($BB124+$BC124)*$AK124</f>
        <v>41.076</v>
      </c>
      <c r="BH124" s="153" t="n">
        <f aca="false">IF(AND($M124&lt;&gt;"",$N124="VCA",$Q124="LINEAR"),($M124*2)/100,IF(AND($M124&lt;&gt;"",$N124="MND",$Q124="EMBOQUE"),($AN124*2)/100,0))</f>
        <v>0.815</v>
      </c>
      <c r="BI124" s="153" t="n">
        <f aca="false">IF(AND($M124&lt;&gt;"",$N124="VCA",$Q124="LINEAR"),$M124,IF(AND($M124&lt;&gt;"",$N124="MND",$Q124="EMBOQUE"),$AN124*2,0))</f>
        <v>40.75</v>
      </c>
      <c r="BJ124" s="153" t="n">
        <f aca="false">IF(AND($M124&lt;&gt;"",$N124="VCA",$Q124="LINEAR"),($M124*6.8)/100,IF(AND($M124&lt;&gt;"",$N124="MND",$Q124="EMBOQUE"),($AN124*2*6.8)/100,0))</f>
        <v>2.771</v>
      </c>
      <c r="BK124" s="153" t="n">
        <f aca="false">IF(AND($M124&lt;&gt;"",$N124="VCA",$Q124="LINEAR"),($M124*2.5)/50,IF(AND($M124&lt;&gt;"",$N124="MND",$Q124="EMBOQUE"),($AN124*2*2.5)/50,0))</f>
        <v>2.0375</v>
      </c>
      <c r="BL124" s="157" t="str">
        <f aca="false">K124&amp;J124</f>
        <v>Zona01REDES</v>
      </c>
      <c r="BM124" s="152" t="s">
        <v>1559</v>
      </c>
      <c r="BN124" s="152" t="s">
        <v>1560</v>
      </c>
      <c r="BO124" s="152" t="s">
        <v>1982</v>
      </c>
      <c r="BP124" s="152" t="s">
        <v>1949</v>
      </c>
      <c r="BQ124" s="152" t="s">
        <v>1983</v>
      </c>
      <c r="BR124" s="152" t="s">
        <v>2002</v>
      </c>
      <c r="BS124" s="152" t="n">
        <v>203327.623</v>
      </c>
      <c r="BT124" s="152" t="n">
        <v>8238260.641</v>
      </c>
      <c r="BU124" s="152" t="n">
        <v>203303.521</v>
      </c>
      <c r="BV124" s="152" t="n">
        <v>8238227.785</v>
      </c>
      <c r="BW124" s="152" t="n">
        <v>-15.917297</v>
      </c>
      <c r="BX124" s="152" t="n">
        <v>-47.7709077</v>
      </c>
      <c r="BY124" s="152" t="s">
        <v>1949</v>
      </c>
    </row>
    <row r="125" customFormat="false" ht="13.8" hidden="false" customHeight="false" outlineLevel="0" collapsed="false">
      <c r="A125" s="149" t="n">
        <f aca="false">IF(C125&lt;&gt;"",ROW(A120),"")</f>
        <v>120</v>
      </c>
      <c r="B125" s="150" t="str">
        <f aca="false">HYPERLINK("https://www.google.com/maps/dir/-15.917302,-47.760003/-15.9177351,-47.7712390/data=!4m3!4m2!3e0!5i0")</f>
        <v>https://www.google.com/maps/dir/-15.917302,-47.760003/-15.9177351,-47.7712390/data=!4m3!4m2!3e0!5i0</v>
      </c>
      <c r="C125" s="151" t="s">
        <v>117</v>
      </c>
      <c r="D125" s="152" t="s">
        <v>112</v>
      </c>
      <c r="E125" s="152" t="s">
        <v>113</v>
      </c>
      <c r="F125" s="152" t="s">
        <v>117</v>
      </c>
      <c r="G125" s="152" t="s">
        <v>782</v>
      </c>
      <c r="H125" s="152" t="n">
        <v>90</v>
      </c>
      <c r="I125" s="152" t="s">
        <v>115</v>
      </c>
      <c r="J125" s="152" t="s">
        <v>6</v>
      </c>
      <c r="K125" s="152" t="s">
        <v>1547</v>
      </c>
      <c r="L125" s="152" t="s">
        <v>120</v>
      </c>
      <c r="M125" s="153" t="n">
        <f aca="false">135.75</f>
        <v>135.75</v>
      </c>
      <c r="N125" s="152" t="s">
        <v>1548</v>
      </c>
      <c r="O125" s="152" t="s">
        <v>1549</v>
      </c>
      <c r="P125" s="152" t="s">
        <v>1550</v>
      </c>
      <c r="Q125" s="152" t="s">
        <v>1551</v>
      </c>
      <c r="R125" s="154" t="s">
        <v>2003</v>
      </c>
      <c r="S125" s="154" t="s">
        <v>1593</v>
      </c>
      <c r="T125" s="155" t="s">
        <v>1979</v>
      </c>
      <c r="U125" s="152" t="str">
        <f aca="false">RIGHT(T125,7)</f>
        <v>006/037</v>
      </c>
      <c r="V125" s="152" t="s">
        <v>1555</v>
      </c>
      <c r="W125" s="156" t="n">
        <v>45882</v>
      </c>
      <c r="X125" s="152" t="s">
        <v>1594</v>
      </c>
      <c r="Y125" s="152" t="s">
        <v>1986</v>
      </c>
      <c r="Z125" s="152" t="s">
        <v>1557</v>
      </c>
      <c r="AA125" s="153" t="n">
        <v>2.5</v>
      </c>
      <c r="AB125" s="151" t="s">
        <v>2004</v>
      </c>
      <c r="AC125" s="151" t="s">
        <v>526</v>
      </c>
      <c r="AD125" s="151" t="str">
        <f aca="false">CONCATENATE($C125,$I125,$H125,$N125,$J125,$K125)</f>
        <v>TUBO PEADPEAD90VCAREDESZona01</v>
      </c>
      <c r="AE125" s="153" t="n">
        <f aca="false">IFERROR(INDEX(APOIO_REDES!$A:$W,MATCH($C125&amp;$I125&amp;$H125&amp;$N125&amp;$O125,APOIO_REDES!$W:$W,0),MATCH(AE$5,APOIO_REDES!$5:$5,0)),0)</f>
        <v>1.2</v>
      </c>
      <c r="AF125" s="153" t="n">
        <f aca="false">IFERROR(INDEX(APOIO_REDES!$A:$W,MATCH($C125&amp;$I125&amp;$H125&amp;$N125&amp;$O125,APOIO_REDES!$W:$W,0),MATCH(AF$5,APOIO_REDES!$5:$5,0)),0)</f>
        <v>1.39</v>
      </c>
      <c r="AG125" s="153" t="n">
        <f aca="false">IFERROR(INDEX(APOIO_REDES!$A:$W,MATCH($C125&amp;$I125&amp;$H125&amp;$N125&amp;$O125,APOIO_REDES!$W:$W,0),MATCH(AG$5,APOIO_REDES!$5:$5,0)),0)</f>
        <v>0.75</v>
      </c>
      <c r="AH125" s="153" t="n">
        <f aca="false">IFERROR(INDEX(APOIO_REDES!$A:$W,MATCH($C125&amp;$I125&amp;$H125&amp;$N125&amp;$O125,APOIO_REDES!$W:$W,0),MATCH(AH$5,APOIO_REDES!$5:$5,0)),0)</f>
        <v>0.1</v>
      </c>
      <c r="AI125" s="153" t="n">
        <f aca="false">IFERROR(IF($H125&lt;&gt;"",(((($H125/1000)/2)^2)*PI()*$M125),0),0)</f>
        <v>0.863604185517749</v>
      </c>
      <c r="AJ125" s="153" t="n">
        <f aca="false">IFERROR(IF(AND($H125&lt;&gt;"",$I125="FoFo",OR($N125="MND",$N125="VCA"),$Q125="LINEAR"),0,IF(AND($H125&lt;&gt;"",$I125="PEAD",$N125="VCA",$Q125="LINEAR"),($H125/1000)+0.3,IF(AND($H125&lt;&gt;"",$I125="PEAD",$N125="MND",$Q125="EMBOQUE"),0,IF(AND($H125&lt;&gt;"",$I125="PVC",$N125="VCA",$Q125="LINEAR"),($H125/1000)+0.2,IF(AND($H125&lt;&gt;"",$I125="PVC",$N125="MND",$Q125="EMBOQUE"),0,IF(AND($H125&lt;&gt;"",$I125="PEAD",$N125="VCA",$Q125="PREDIAL"),0,0)))))),0)</f>
        <v>0.39</v>
      </c>
      <c r="AK125" s="153" t="n">
        <f aca="false">IF(AA125&lt;&gt;"",AA125,0)</f>
        <v>2.5</v>
      </c>
      <c r="AL125" s="153" t="n">
        <f aca="false">IF(AND($N125="MND",$Q125="EMBOQUE"),$M125,IF(AND($N125="VCA",$Q125="LINEAR"),$M125,IF(AND($N125="VCA",$Q125="PREDIAL"),0,0)))</f>
        <v>135.75</v>
      </c>
      <c r="AM125" s="153" t="n">
        <f aca="false">IF(AND($N125="MND",$Q125="EMBOQUE"),$M125,IF(AND($N125="VCA",$Q125="LINEAR"),$M125,IF(AND($N125="VCA",$Q125="PREDIAL"),0,0)))</f>
        <v>135.75</v>
      </c>
      <c r="AN125" s="153" t="n">
        <f aca="false">ROUND(IF(AND($N125="VCA",$M125&lt;&gt;"",$Q125="LINEAR"),$M125/100,IF(AND($N125="MND",$M125&gt;100,$Q125="EMBOQUE"),$M125/100,0)),0)</f>
        <v>1</v>
      </c>
      <c r="AO125" s="153" t="n">
        <f aca="false">IF(AND($N125="MND",$Q125="EMBOQUE"),$AN125*2*2,IF(AND($N125="VCA",$Q125="LINEAR"),$M125*2,IF(AND($N125="VCA",$Q125="PREDIAL"),0,0)))</f>
        <v>271.5</v>
      </c>
      <c r="AP125" s="153" t="n">
        <f aca="false">IFERROR($M125*$AF125*$AG125,0)</f>
        <v>141.519375</v>
      </c>
      <c r="AQ125" s="153" t="n">
        <f aca="false">IFERROR(IF(AND($N125="VCA",$AH125&gt;0),$M125*$AG125*$AH125,0),0)</f>
        <v>10.18125</v>
      </c>
      <c r="AR125" s="153" t="n">
        <f aca="false">IFERROR(IF(AND($N125="VCA",$AJ125&gt;0),($M125*$AG125*$AJ125)-$AI125,0),0)</f>
        <v>38.8432708144823</v>
      </c>
      <c r="AS125" s="153" t="n">
        <f aca="false">IFERROR(IF(AND($N125="VCA",$AP125&gt;0),$AP125-$AI125-$AQ125-$AR125,0),0)</f>
        <v>91.63125</v>
      </c>
      <c r="AT125" s="153" t="n">
        <f aca="false">IFERROR(IF($N125="VCA",INDEX(APOIO_REDES!$A:$W,MATCH($C125&amp;$I125&amp;$H125&amp;$N125&amp;$O125,APOIO_REDES!$W:$W,0),MATCH(AT$5,APOIO_REDES!$5:$5,0)),0)*$AP125,0)</f>
        <v>1.53977268759685</v>
      </c>
      <c r="AU125" s="153" t="n">
        <f aca="false">IFERROR(IF($N125="VCA",INDEX(APOIO_REDES!$A:$W,MATCH($C125&amp;$I125&amp;$H125&amp;$N125&amp;$O125,APOIO_REDES!$W:$W,0),MATCH(AU$5,APOIO_REDES!$5:$5,0)),0)*$AP125,0)</f>
        <v>1.22962076598176</v>
      </c>
      <c r="AV125" s="153" t="n">
        <f aca="false">IFERROR(IF($N125="VCA",INDEX(APOIO_REDES!$A:$W,MATCH($C125&amp;$I125&amp;$H125&amp;$N125&amp;$O125,APOIO_REDES!$W:$W,0),MATCH(AV$5,APOIO_REDES!$5:$5,0)),0)*$AP125,0)</f>
        <v>0.17016986111039</v>
      </c>
      <c r="AW125" s="153" t="n">
        <f aca="false">IFERROR(IF($N125="VCA",INDEX(APOIO_REDES!$A:$W,MATCH($C125&amp;$I125&amp;$H125&amp;$N125&amp;$O125,APOIO_REDES!$W:$W,0),MATCH(AW$5,APOIO_REDES!$5:$5,0)),0)*$AP125,0)</f>
        <v>97.1399955456263</v>
      </c>
      <c r="AX125" s="153" t="n">
        <f aca="false">IFERROR(IF($N125="VCA",INDEX(APOIO_REDES!$A:$W,MATCH($C125&amp;$I125&amp;$H125&amp;$N125&amp;$O125,APOIO_REDES!$W:$W,0),MATCH(AX$5,APOIO_REDES!$5:$5,0)),0)*$AP125,0)</f>
        <v>13.4438986749996</v>
      </c>
      <c r="AY125" s="153" t="n">
        <f aca="false">IFERROR(IF($N125="VCA",INDEX(APOIO_REDES!$A:$W,MATCH($C125&amp;$I125&amp;$H125&amp;$N125&amp;$O125,APOIO_REDES!$W:$W,0),MATCH(AY$5,APOIO_REDES!$5:$5,0)),0)*$AP125,0)</f>
        <v>24.5924003306577</v>
      </c>
      <c r="AZ125" s="153" t="n">
        <f aca="false">IFERROR(IF($N125="VCA",INDEX(APOIO_REDES!$A:$W,MATCH($C125&amp;$I125&amp;$H125&amp;$N125&amp;$O125,APOIO_REDES!$W:$W,0),MATCH(AZ$5,APOIO_REDES!$5:$5,0)),0)*$AP125,0)</f>
        <v>3.40351713402749</v>
      </c>
      <c r="BA125" s="153" t="n">
        <f aca="false">IFERROR(IF(AND($N125="VCA",$Q125="LINEAR"),INDEX(APOIO_REDES!$A:$W,MATCH($C125&amp;$I125&amp;$H125&amp;$N125&amp;$O125,APOIO_REDES!$W:$W,0),MATCH(BA$5,APOIO_REDES!$5:$5,0)),IF(AND($N125="MND",$Q125="EMBOQUE"),INDEX(APOIO_REDES!$A:$W,MATCH($C125&amp;$I125&amp;$H125&amp;$N125&amp;$O125,APOIO_REDES!$W:$W,0),MATCH(BA$5,APOIO_REDES!$5:$5,0)),0))*$M125/10,0)</f>
        <v>10.9411075814552</v>
      </c>
      <c r="BB125" s="153" t="n">
        <f aca="false">IFERROR(IF($N125="VCA",INDEX(APOIO_REDES!$A:$W,MATCH($C125&amp;$I125&amp;$H125&amp;$N125&amp;$O125,APOIO_REDES!$W:$W,0),MATCH(BB$5,APOIO_REDES!$5:$5,0)),0)*($AI125+$AQ125+$AR125),0)</f>
        <v>49.3453274338687</v>
      </c>
      <c r="BC125" s="153" t="n">
        <f aca="false">IFERROR(IF($N125="VCA",INDEX(APOIO_REDES!$A:$W,MATCH($C125&amp;$I125&amp;$H125&amp;$N125&amp;$O125,APOIO_REDES!$W:$W,0),MATCH(BC$5,APOIO_REDES!$5:$5,0)),0)*($AI125+$AQ125+$AR125),0)</f>
        <v>0.542797566131265</v>
      </c>
      <c r="BD125" s="153" t="n">
        <f aca="false">IF(AND($N125="VCA",$AF125&gt;=1.25,$AF125&lt;1.5),$M125*$AF125*2,0)</f>
        <v>377.385</v>
      </c>
      <c r="BE125" s="153" t="n">
        <f aca="false">IF(AND($N125="VCA",$AF125&gt;=1.5,$AF125&lt;3),$M125*$AF125*2,0)</f>
        <v>0</v>
      </c>
      <c r="BF125" s="153" t="n">
        <f aca="false">IF(AND($N125="VCA",$AF125&gt;=3),$M125*$AF125*2,0)</f>
        <v>0</v>
      </c>
      <c r="BG125" s="153" t="n">
        <f aca="false">($BB125+$BC125)*$AK125</f>
        <v>124.7203125</v>
      </c>
      <c r="BH125" s="153" t="n">
        <f aca="false">IF(AND($M125&lt;&gt;"",$N125="VCA",$Q125="LINEAR"),($M125*2)/100,IF(AND($M125&lt;&gt;"",$N125="MND",$Q125="EMBOQUE"),($AN125*2)/100,0))</f>
        <v>2.715</v>
      </c>
      <c r="BI125" s="153" t="n">
        <f aca="false">IF(AND($M125&lt;&gt;"",$N125="VCA",$Q125="LINEAR"),$M125,IF(AND($M125&lt;&gt;"",$N125="MND",$Q125="EMBOQUE"),$AN125*2,0))</f>
        <v>135.75</v>
      </c>
      <c r="BJ125" s="153" t="n">
        <f aca="false">IF(AND($M125&lt;&gt;"",$N125="VCA",$Q125="LINEAR"),($M125*6.8)/100,IF(AND($M125&lt;&gt;"",$N125="MND",$Q125="EMBOQUE"),($AN125*2*6.8)/100,0))</f>
        <v>9.231</v>
      </c>
      <c r="BK125" s="153" t="n">
        <f aca="false">IF(AND($M125&lt;&gt;"",$N125="VCA",$Q125="LINEAR"),($M125*2.5)/50,IF(AND($M125&lt;&gt;"",$N125="MND",$Q125="EMBOQUE"),($AN125*2*2.5)/50,0))</f>
        <v>6.7875</v>
      </c>
      <c r="BL125" s="157" t="str">
        <f aca="false">K125&amp;J125</f>
        <v>Zona01REDES</v>
      </c>
      <c r="BM125" s="152" t="s">
        <v>1559</v>
      </c>
      <c r="BN125" s="152" t="s">
        <v>1560</v>
      </c>
      <c r="BO125" s="152" t="s">
        <v>1982</v>
      </c>
      <c r="BP125" s="152" t="s">
        <v>2005</v>
      </c>
      <c r="BQ125" s="152" t="s">
        <v>1988</v>
      </c>
      <c r="BR125" s="152" t="s">
        <v>2006</v>
      </c>
      <c r="BS125" s="152" t="n">
        <v>203280.812</v>
      </c>
      <c r="BT125" s="152" t="n">
        <v>8238195.164</v>
      </c>
      <c r="BU125" s="152" t="n">
        <v>203172.501</v>
      </c>
      <c r="BV125" s="152" t="n">
        <v>8238276.992</v>
      </c>
      <c r="BW125" s="152" t="n">
        <v>-15.9173597</v>
      </c>
      <c r="BX125" s="152" t="n">
        <v>-47.7717397</v>
      </c>
      <c r="BY125" s="152" t="s">
        <v>2005</v>
      </c>
    </row>
    <row r="126" customFormat="false" ht="13.8" hidden="false" customHeight="false" outlineLevel="0" collapsed="false">
      <c r="A126" s="149" t="n">
        <f aca="false">IF(C126&lt;&gt;"",ROW(A121),"")</f>
        <v>121</v>
      </c>
      <c r="B126" s="150" t="str">
        <f aca="false">HYPERLINK("https://www.google.com/maps/dir/-15.917302,-47.760003/-15.9174413,-47.7710257/data=!4m3!4m2!3e0!5i0")</f>
        <v>https://www.google.com/maps/dir/-15.917302,-47.760003/-15.9174413,-47.7710257/data=!4m3!4m2!3e0!5i0</v>
      </c>
      <c r="C126" s="151" t="s">
        <v>117</v>
      </c>
      <c r="D126" s="152" t="s">
        <v>112</v>
      </c>
      <c r="E126" s="152" t="s">
        <v>113</v>
      </c>
      <c r="F126" s="152" t="s">
        <v>117</v>
      </c>
      <c r="G126" s="152" t="s">
        <v>114</v>
      </c>
      <c r="H126" s="152" t="n">
        <v>160</v>
      </c>
      <c r="I126" s="152" t="s">
        <v>115</v>
      </c>
      <c r="J126" s="152" t="s">
        <v>6</v>
      </c>
      <c r="K126" s="152" t="s">
        <v>1547</v>
      </c>
      <c r="L126" s="152" t="s">
        <v>120</v>
      </c>
      <c r="M126" s="153" t="n">
        <f aca="false">40.33</f>
        <v>40.33</v>
      </c>
      <c r="N126" s="152" t="s">
        <v>1548</v>
      </c>
      <c r="O126" s="152" t="s">
        <v>1549</v>
      </c>
      <c r="P126" s="152" t="s">
        <v>1550</v>
      </c>
      <c r="Q126" s="152" t="s">
        <v>1551</v>
      </c>
      <c r="R126" s="154" t="s">
        <v>2007</v>
      </c>
      <c r="S126" s="154" t="s">
        <v>1593</v>
      </c>
      <c r="T126" s="155" t="s">
        <v>1979</v>
      </c>
      <c r="U126" s="152" t="str">
        <f aca="false">RIGHT(T126,7)</f>
        <v>006/037</v>
      </c>
      <c r="V126" s="152" t="s">
        <v>1555</v>
      </c>
      <c r="W126" s="156" t="n">
        <v>45882</v>
      </c>
      <c r="X126" s="152" t="s">
        <v>1594</v>
      </c>
      <c r="Y126" s="152" t="s">
        <v>1980</v>
      </c>
      <c r="Z126" s="152" t="s">
        <v>1557</v>
      </c>
      <c r="AA126" s="153" t="n">
        <v>2.4</v>
      </c>
      <c r="AB126" s="151" t="s">
        <v>2008</v>
      </c>
      <c r="AC126" s="151" t="s">
        <v>505</v>
      </c>
      <c r="AD126" s="151" t="str">
        <f aca="false">CONCATENATE($C126,$I126,$H126,$N126,$J126,$K126)</f>
        <v>TUBO PEADPEAD160VCAREDESZona01</v>
      </c>
      <c r="AE126" s="153" t="n">
        <f aca="false">IFERROR(INDEX(APOIO_REDES!$A:$W,MATCH($C126&amp;$I126&amp;$H126&amp;$N126&amp;$O126,APOIO_REDES!$W:$W,0),MATCH(AE$5,APOIO_REDES!$5:$5,0)),0)</f>
        <v>1.2</v>
      </c>
      <c r="AF126" s="153" t="n">
        <f aca="false">IFERROR(INDEX(APOIO_REDES!$A:$W,MATCH($C126&amp;$I126&amp;$H126&amp;$N126&amp;$O126,APOIO_REDES!$W:$W,0),MATCH(AF$5,APOIO_REDES!$5:$5,0)),0)</f>
        <v>1.46</v>
      </c>
      <c r="AG126" s="153" t="n">
        <f aca="false">IFERROR(INDEX(APOIO_REDES!$A:$W,MATCH($C126&amp;$I126&amp;$H126&amp;$N126&amp;$O126,APOIO_REDES!$W:$W,0),MATCH(AG$5,APOIO_REDES!$5:$5,0)),0)</f>
        <v>0.75</v>
      </c>
      <c r="AH126" s="153" t="n">
        <f aca="false">IFERROR(INDEX(APOIO_REDES!$A:$W,MATCH($C126&amp;$I126&amp;$H126&amp;$N126&amp;$O126,APOIO_REDES!$W:$W,0),MATCH(AH$5,APOIO_REDES!$5:$5,0)),0)</f>
        <v>0.1</v>
      </c>
      <c r="AI126" s="153" t="n">
        <f aca="false">IFERROR(IF($H126&lt;&gt;"",(((($H126/1000)/2)^2)*PI()*$M126),0),0)</f>
        <v>0.810882763003369</v>
      </c>
      <c r="AJ126" s="153" t="n">
        <f aca="false">IFERROR(IF(AND($H126&lt;&gt;"",$I126="FoFo",OR($N126="MND",$N126="VCA"),$Q126="LINEAR"),0,IF(AND($H126&lt;&gt;"",$I126="PEAD",$N126="VCA",$Q126="LINEAR"),($H126/1000)+0.3,IF(AND($H126&lt;&gt;"",$I126="PEAD",$N126="MND",$Q126="EMBOQUE"),0,IF(AND($H126&lt;&gt;"",$I126="PVC",$N126="VCA",$Q126="LINEAR"),($H126/1000)+0.2,IF(AND($H126&lt;&gt;"",$I126="PVC",$N126="MND",$Q126="EMBOQUE"),0,IF(AND($H126&lt;&gt;"",$I126="PEAD",$N126="VCA",$Q126="PREDIAL"),0,0)))))),0)</f>
        <v>0.46</v>
      </c>
      <c r="AK126" s="153" t="n">
        <f aca="false">IF(AA126&lt;&gt;"",AA126,0)</f>
        <v>2.4</v>
      </c>
      <c r="AL126" s="153" t="n">
        <f aca="false">IF(AND($N126="MND",$Q126="EMBOQUE"),$M126,IF(AND($N126="VCA",$Q126="LINEAR"),$M126,IF(AND($N126="VCA",$Q126="PREDIAL"),0,0)))</f>
        <v>40.33</v>
      </c>
      <c r="AM126" s="153" t="n">
        <f aca="false">IF(AND($N126="MND",$Q126="EMBOQUE"),$M126,IF(AND($N126="VCA",$Q126="LINEAR"),$M126,IF(AND($N126="VCA",$Q126="PREDIAL"),0,0)))</f>
        <v>40.33</v>
      </c>
      <c r="AN126" s="153" t="n">
        <f aca="false">ROUND(IF(AND($N126="VCA",$M126&lt;&gt;"",$Q126="LINEAR"),$M126/100,IF(AND($N126="MND",$M126&gt;100,$Q126="EMBOQUE"),$M126/100,0)),0)</f>
        <v>0</v>
      </c>
      <c r="AO126" s="153" t="n">
        <f aca="false">IF(AND($N126="MND",$Q126="EMBOQUE"),$AN126*2*2,IF(AND($N126="VCA",$Q126="LINEAR"),$M126*2,IF(AND($N126="VCA",$Q126="PREDIAL"),0,0)))</f>
        <v>80.66</v>
      </c>
      <c r="AP126" s="153" t="n">
        <f aca="false">IFERROR($M126*$AF126*$AG126,0)</f>
        <v>44.16135</v>
      </c>
      <c r="AQ126" s="153" t="n">
        <f aca="false">IFERROR(IF(AND($N126="VCA",$AH126&gt;0),$M126*$AG126*$AH126,0),0)</f>
        <v>3.02475</v>
      </c>
      <c r="AR126" s="153" t="n">
        <f aca="false">IFERROR(IF(AND($N126="VCA",$AJ126&gt;0),($M126*$AG126*$AJ126)-$AI126,0),0)</f>
        <v>13.1029672369966</v>
      </c>
      <c r="AS126" s="153" t="n">
        <f aca="false">IFERROR(IF(AND($N126="VCA",$AP126&gt;0),$AP126-$AI126-$AQ126-$AR126,0),0)</f>
        <v>27.22275</v>
      </c>
      <c r="AT126" s="153" t="n">
        <f aca="false">IFERROR(IF($N126="VCA",INDEX(APOIO_REDES!$A:$W,MATCH($C126&amp;$I126&amp;$H126&amp;$N126&amp;$O126,APOIO_REDES!$W:$W,0),MATCH(AT$5,APOIO_REDES!$5:$5,0)),0)*$AP126,0)</f>
        <v>0.480488559092388</v>
      </c>
      <c r="AU126" s="153" t="n">
        <f aca="false">IFERROR(IF($N126="VCA",INDEX(APOIO_REDES!$A:$W,MATCH($C126&amp;$I126&amp;$H126&amp;$N126&amp;$O126,APOIO_REDES!$W:$W,0),MATCH(AU$5,APOIO_REDES!$5:$5,0)),0)*$AP126,0)</f>
        <v>0.38370515001065</v>
      </c>
      <c r="AV126" s="153" t="n">
        <f aca="false">IFERROR(IF($N126="VCA",INDEX(APOIO_REDES!$A:$W,MATCH($C126&amp;$I126&amp;$H126&amp;$N126&amp;$O126,APOIO_REDES!$W:$W,0),MATCH(AV$5,APOIO_REDES!$5:$5,0)),0)*$AP126,0)</f>
        <v>0.0531017805579436</v>
      </c>
      <c r="AW126" s="153" t="n">
        <f aca="false">IFERROR(IF($N126="VCA",INDEX(APOIO_REDES!$A:$W,MATCH($C126&amp;$I126&amp;$H126&amp;$N126&amp;$O126,APOIO_REDES!$W:$W,0),MATCH(AW$5,APOIO_REDES!$5:$5,0)),0)*$AP126,0)</f>
        <v>30.3126928188373</v>
      </c>
      <c r="AX126" s="153" t="n">
        <f aca="false">IFERROR(IF($N126="VCA",INDEX(APOIO_REDES!$A:$W,MATCH($C126&amp;$I126&amp;$H126&amp;$N126&amp;$O126,APOIO_REDES!$W:$W,0),MATCH(AX$5,APOIO_REDES!$5:$5,0)),0)*$AP126,0)</f>
        <v>4.19519033878713</v>
      </c>
      <c r="AY126" s="153" t="n">
        <f aca="false">IFERROR(IF($N126="VCA",INDEX(APOIO_REDES!$A:$W,MATCH($C126&amp;$I126&amp;$H126&amp;$N126&amp;$O126,APOIO_REDES!$W:$W,0),MATCH(AY$5,APOIO_REDES!$5:$5,0)),0)*$AP126,0)</f>
        <v>7.67409832287832</v>
      </c>
      <c r="AZ126" s="153" t="n">
        <f aca="false">IFERROR(IF($N126="VCA",INDEX(APOIO_REDES!$A:$W,MATCH($C126&amp;$I126&amp;$H126&amp;$N126&amp;$O126,APOIO_REDES!$W:$W,0),MATCH(AZ$5,APOIO_REDES!$5:$5,0)),0)*$AP126,0)</f>
        <v>1.06207302983627</v>
      </c>
      <c r="BA126" s="153" t="n">
        <f aca="false">IFERROR(IF(AND($N126="VCA",$Q126="LINEAR"),INDEX(APOIO_REDES!$A:$W,MATCH($C126&amp;$I126&amp;$H126&amp;$N126&amp;$O126,APOIO_REDES!$W:$W,0),MATCH(BA$5,APOIO_REDES!$5:$5,0)),IF(AND($N126="MND",$Q126="EMBOQUE"),INDEX(APOIO_REDES!$A:$W,MATCH($C126&amp;$I126&amp;$H126&amp;$N126&amp;$O126,APOIO_REDES!$W:$W,0),MATCH(BA$5,APOIO_REDES!$5:$5,0)),0))*$M126/10,0)</f>
        <v>3.25049627079254</v>
      </c>
      <c r="BB126" s="153" t="n">
        <f aca="false">IFERROR(IF($N126="VCA",INDEX(APOIO_REDES!$A:$W,MATCH($C126&amp;$I126&amp;$H126&amp;$N126&amp;$O126,APOIO_REDES!$W:$W,0),MATCH(BB$5,APOIO_REDES!$5:$5,0)),0)*($AI126+$AQ126+$AR126),0)</f>
        <v>16.7543030184303</v>
      </c>
      <c r="BC126" s="153" t="n">
        <f aca="false">IFERROR(IF($N126="VCA",INDEX(APOIO_REDES!$A:$W,MATCH($C126&amp;$I126&amp;$H126&amp;$N126&amp;$O126,APOIO_REDES!$W:$W,0),MATCH(BC$5,APOIO_REDES!$5:$5,0)),0)*($AI126+$AQ126+$AR126),0)</f>
        <v>0.184296981569683</v>
      </c>
      <c r="BD126" s="153" t="n">
        <f aca="false">IF(AND($N126="VCA",$AF126&gt;=1.25,$AF126&lt;1.5),$M126*$AF126*2,0)</f>
        <v>117.7636</v>
      </c>
      <c r="BE126" s="153" t="n">
        <f aca="false">IF(AND($N126="VCA",$AF126&gt;=1.5,$AF126&lt;3),$M126*$AF126*2,0)</f>
        <v>0</v>
      </c>
      <c r="BF126" s="153" t="n">
        <f aca="false">IF(AND($N126="VCA",$AF126&gt;=3),$M126*$AF126*2,0)</f>
        <v>0</v>
      </c>
      <c r="BG126" s="153" t="n">
        <f aca="false">($BB126+$BC126)*$AK126</f>
        <v>40.65264</v>
      </c>
      <c r="BH126" s="153" t="n">
        <f aca="false">IF(AND($M126&lt;&gt;"",$N126="VCA",$Q126="LINEAR"),($M126*2)/100,IF(AND($M126&lt;&gt;"",$N126="MND",$Q126="EMBOQUE"),($AN126*2)/100,0))</f>
        <v>0.8066</v>
      </c>
      <c r="BI126" s="153" t="n">
        <f aca="false">IF(AND($M126&lt;&gt;"",$N126="VCA",$Q126="LINEAR"),$M126,IF(AND($M126&lt;&gt;"",$N126="MND",$Q126="EMBOQUE"),$AN126*2,0))</f>
        <v>40.33</v>
      </c>
      <c r="BJ126" s="153" t="n">
        <f aca="false">IF(AND($M126&lt;&gt;"",$N126="VCA",$Q126="LINEAR"),($M126*6.8)/100,IF(AND($M126&lt;&gt;"",$N126="MND",$Q126="EMBOQUE"),($AN126*2*6.8)/100,0))</f>
        <v>2.74244</v>
      </c>
      <c r="BK126" s="153" t="n">
        <f aca="false">IF(AND($M126&lt;&gt;"",$N126="VCA",$Q126="LINEAR"),($M126*2.5)/50,IF(AND($M126&lt;&gt;"",$N126="MND",$Q126="EMBOQUE"),($AN126*2*2.5)/50,0))</f>
        <v>2.0165</v>
      </c>
      <c r="BL126" s="157" t="str">
        <f aca="false">K126&amp;J126</f>
        <v>Zona01REDES</v>
      </c>
      <c r="BM126" s="152" t="s">
        <v>1559</v>
      </c>
      <c r="BN126" s="152" t="s">
        <v>1560</v>
      </c>
      <c r="BO126" s="152" t="s">
        <v>1982</v>
      </c>
      <c r="BP126" s="152" t="s">
        <v>1983</v>
      </c>
      <c r="BQ126" s="152" t="s">
        <v>2005</v>
      </c>
      <c r="BR126" s="152" t="s">
        <v>2009</v>
      </c>
      <c r="BS126" s="152" t="n">
        <v>203303.521</v>
      </c>
      <c r="BT126" s="152" t="n">
        <v>8238227.785</v>
      </c>
      <c r="BU126" s="152" t="n">
        <v>203280.812</v>
      </c>
      <c r="BV126" s="152" t="n">
        <v>8238195.164</v>
      </c>
      <c r="BW126" s="152" t="n">
        <v>-15.9175876</v>
      </c>
      <c r="BX126" s="152" t="n">
        <v>-47.7711287</v>
      </c>
      <c r="BY126" s="152" t="s">
        <v>1983</v>
      </c>
    </row>
    <row r="127" customFormat="false" ht="13.8" hidden="false" customHeight="false" outlineLevel="0" collapsed="false">
      <c r="A127" s="149" t="n">
        <f aca="false">IF(C127&lt;&gt;"",ROW(A122),"")</f>
        <v>122</v>
      </c>
      <c r="B127" s="150" t="str">
        <f aca="false">HYPERLINK("https://www.google.com/maps/dir/-15.917302,-47.760003/-15.9180277,-47.7714702/data=!4m3!4m2!3e0!5i0")</f>
        <v>https://www.google.com/maps/dir/-15.917302,-47.760003/-15.9180277,-47.7714702/data=!4m3!4m2!3e0!5i0</v>
      </c>
      <c r="C127" s="151" t="s">
        <v>117</v>
      </c>
      <c r="D127" s="152" t="s">
        <v>112</v>
      </c>
      <c r="E127" s="152" t="s">
        <v>113</v>
      </c>
      <c r="F127" s="152" t="s">
        <v>117</v>
      </c>
      <c r="G127" s="152" t="s">
        <v>782</v>
      </c>
      <c r="H127" s="152" t="n">
        <v>90</v>
      </c>
      <c r="I127" s="152" t="s">
        <v>115</v>
      </c>
      <c r="J127" s="152" t="s">
        <v>6</v>
      </c>
      <c r="K127" s="152" t="s">
        <v>1547</v>
      </c>
      <c r="L127" s="152" t="s">
        <v>120</v>
      </c>
      <c r="M127" s="153" t="n">
        <f aca="false">125.39</f>
        <v>125.39</v>
      </c>
      <c r="N127" s="152" t="s">
        <v>1548</v>
      </c>
      <c r="O127" s="152" t="s">
        <v>1549</v>
      </c>
      <c r="P127" s="152" t="s">
        <v>1550</v>
      </c>
      <c r="Q127" s="152" t="s">
        <v>1551</v>
      </c>
      <c r="R127" s="154" t="s">
        <v>2010</v>
      </c>
      <c r="S127" s="154" t="s">
        <v>1593</v>
      </c>
      <c r="T127" s="155" t="s">
        <v>1979</v>
      </c>
      <c r="U127" s="152" t="str">
        <f aca="false">RIGHT(T127,7)</f>
        <v>006/037</v>
      </c>
      <c r="V127" s="152" t="s">
        <v>1555</v>
      </c>
      <c r="W127" s="156" t="n">
        <v>45882</v>
      </c>
      <c r="X127" s="152" t="s">
        <v>1594</v>
      </c>
      <c r="Y127" s="152" t="s">
        <v>1971</v>
      </c>
      <c r="Z127" s="152" t="s">
        <v>1557</v>
      </c>
      <c r="AA127" s="153" t="n">
        <v>2.5</v>
      </c>
      <c r="AB127" s="151" t="s">
        <v>2011</v>
      </c>
      <c r="AC127" s="151" t="s">
        <v>526</v>
      </c>
      <c r="AD127" s="151" t="str">
        <f aca="false">CONCATENATE($C127,$I127,$H127,$N127,$J127,$K127)</f>
        <v>TUBO PEADPEAD90VCAREDESZona01</v>
      </c>
      <c r="AE127" s="153" t="n">
        <f aca="false">IFERROR(INDEX(APOIO_REDES!$A:$W,MATCH($C127&amp;$I127&amp;$H127&amp;$N127&amp;$O127,APOIO_REDES!$W:$W,0),MATCH(AE$5,APOIO_REDES!$5:$5,0)),0)</f>
        <v>1.2</v>
      </c>
      <c r="AF127" s="153" t="n">
        <f aca="false">IFERROR(INDEX(APOIO_REDES!$A:$W,MATCH($C127&amp;$I127&amp;$H127&amp;$N127&amp;$O127,APOIO_REDES!$W:$W,0),MATCH(AF$5,APOIO_REDES!$5:$5,0)),0)</f>
        <v>1.39</v>
      </c>
      <c r="AG127" s="153" t="n">
        <f aca="false">IFERROR(INDEX(APOIO_REDES!$A:$W,MATCH($C127&amp;$I127&amp;$H127&amp;$N127&amp;$O127,APOIO_REDES!$W:$W,0),MATCH(AG$5,APOIO_REDES!$5:$5,0)),0)</f>
        <v>0.75</v>
      </c>
      <c r="AH127" s="153" t="n">
        <f aca="false">IFERROR(INDEX(APOIO_REDES!$A:$W,MATCH($C127&amp;$I127&amp;$H127&amp;$N127&amp;$O127,APOIO_REDES!$W:$W,0),MATCH(AH$5,APOIO_REDES!$5:$5,0)),0)</f>
        <v>0.1</v>
      </c>
      <c r="AI127" s="153" t="n">
        <f aca="false">IFERROR(IF($H127&lt;&gt;"",(((($H127/1000)/2)^2)*PI()*$M127),0),0)</f>
        <v>0.797696713238089</v>
      </c>
      <c r="AJ127" s="153" t="n">
        <f aca="false">IFERROR(IF(AND($H127&lt;&gt;"",$I127="FoFo",OR($N127="MND",$N127="VCA"),$Q127="LINEAR"),0,IF(AND($H127&lt;&gt;"",$I127="PEAD",$N127="VCA",$Q127="LINEAR"),($H127/1000)+0.3,IF(AND($H127&lt;&gt;"",$I127="PEAD",$N127="MND",$Q127="EMBOQUE"),0,IF(AND($H127&lt;&gt;"",$I127="PVC",$N127="VCA",$Q127="LINEAR"),($H127/1000)+0.2,IF(AND($H127&lt;&gt;"",$I127="PVC",$N127="MND",$Q127="EMBOQUE"),0,IF(AND($H127&lt;&gt;"",$I127="PEAD",$N127="VCA",$Q127="PREDIAL"),0,0)))))),0)</f>
        <v>0.39</v>
      </c>
      <c r="AK127" s="153" t="n">
        <f aca="false">IF(AA127&lt;&gt;"",AA127,0)</f>
        <v>2.5</v>
      </c>
      <c r="AL127" s="153" t="n">
        <f aca="false">IF(AND($N127="MND",$Q127="EMBOQUE"),$M127,IF(AND($N127="VCA",$Q127="LINEAR"),$M127,IF(AND($N127="VCA",$Q127="PREDIAL"),0,0)))</f>
        <v>125.39</v>
      </c>
      <c r="AM127" s="153" t="n">
        <f aca="false">IF(AND($N127="MND",$Q127="EMBOQUE"),$M127,IF(AND($N127="VCA",$Q127="LINEAR"),$M127,IF(AND($N127="VCA",$Q127="PREDIAL"),0,0)))</f>
        <v>125.39</v>
      </c>
      <c r="AN127" s="153" t="n">
        <f aca="false">ROUND(IF(AND($N127="VCA",$M127&lt;&gt;"",$Q127="LINEAR"),$M127/100,IF(AND($N127="MND",$M127&gt;100,$Q127="EMBOQUE"),$M127/100,0)),0)</f>
        <v>1</v>
      </c>
      <c r="AO127" s="153" t="n">
        <f aca="false">IF(AND($N127="MND",$Q127="EMBOQUE"),$AN127*2*2,IF(AND($N127="VCA",$Q127="LINEAR"),$M127*2,IF(AND($N127="VCA",$Q127="PREDIAL"),0,0)))</f>
        <v>250.78</v>
      </c>
      <c r="AP127" s="153" t="n">
        <f aca="false">IFERROR($M127*$AF127*$AG127,0)</f>
        <v>130.719075</v>
      </c>
      <c r="AQ127" s="153" t="n">
        <f aca="false">IFERROR(IF(AND($N127="VCA",$AH127&gt;0),$M127*$AG127*$AH127,0),0)</f>
        <v>9.40425</v>
      </c>
      <c r="AR127" s="153" t="n">
        <f aca="false">IFERROR(IF(AND($N127="VCA",$AJ127&gt;0),($M127*$AG127*$AJ127)-$AI127,0),0)</f>
        <v>35.8788782867619</v>
      </c>
      <c r="AS127" s="153" t="n">
        <f aca="false">IFERROR(IF(AND($N127="VCA",$AP127&gt;0),$AP127-$AI127-$AQ127-$AR127,0),0)</f>
        <v>84.63825</v>
      </c>
      <c r="AT127" s="153" t="n">
        <f aca="false">IFERROR(IF($N127="VCA",INDEX(APOIO_REDES!$A:$W,MATCH($C127&amp;$I127&amp;$H127&amp;$N127&amp;$O127,APOIO_REDES!$W:$W,0),MATCH(AT$5,APOIO_REDES!$5:$5,0)),0)*$AP127,0)</f>
        <v>1.42226222687123</v>
      </c>
      <c r="AU127" s="153" t="n">
        <f aca="false">IFERROR(IF($N127="VCA",INDEX(APOIO_REDES!$A:$W,MATCH($C127&amp;$I127&amp;$H127&amp;$N127&amp;$O127,APOIO_REDES!$W:$W,0),MATCH(AU$5,APOIO_REDES!$5:$5,0)),0)*$AP127,0)</f>
        <v>1.13578009463317</v>
      </c>
      <c r="AV127" s="153" t="n">
        <f aca="false">IFERROR(IF($N127="VCA",INDEX(APOIO_REDES!$A:$W,MATCH($C127&amp;$I127&amp;$H127&amp;$N127&amp;$O127,APOIO_REDES!$W:$W,0),MATCH(AV$5,APOIO_REDES!$5:$5,0)),0)*$AP127,0)</f>
        <v>0.157183048873899</v>
      </c>
      <c r="AW127" s="153" t="n">
        <f aca="false">IFERROR(IF($N127="VCA",INDEX(APOIO_REDES!$A:$W,MATCH($C127&amp;$I127&amp;$H127&amp;$N127&amp;$O127,APOIO_REDES!$W:$W,0),MATCH(AW$5,APOIO_REDES!$5:$5,0)),0)*$AP127,0)</f>
        <v>89.7265859408183</v>
      </c>
      <c r="AX127" s="153" t="n">
        <f aca="false">IFERROR(IF($N127="VCA",INDEX(APOIO_REDES!$A:$W,MATCH($C127&amp;$I127&amp;$H127&amp;$N127&amp;$O127,APOIO_REDES!$W:$W,0),MATCH(AX$5,APOIO_REDES!$5:$5,0)),0)*$AP127,0)</f>
        <v>12.4179039031911</v>
      </c>
      <c r="AY127" s="153" t="n">
        <f aca="false">IFERROR(IF($N127="VCA",INDEX(APOIO_REDES!$A:$W,MATCH($C127&amp;$I127&amp;$H127&amp;$N127&amp;$O127,APOIO_REDES!$W:$W,0),MATCH(AY$5,APOIO_REDES!$5:$5,0)),0)*$AP127,0)</f>
        <v>22.715588047596</v>
      </c>
      <c r="AZ127" s="153" t="n">
        <f aca="false">IFERROR(IF($N127="VCA",INDEX(APOIO_REDES!$A:$W,MATCH($C127&amp;$I127&amp;$H127&amp;$N127&amp;$O127,APOIO_REDES!$W:$W,0),MATCH(AZ$5,APOIO_REDES!$5:$5,0)),0)*$AP127,0)</f>
        <v>3.14377173801626</v>
      </c>
      <c r="BA127" s="153" t="n">
        <f aca="false">IFERROR(IF(AND($N127="VCA",$Q127="LINEAR"),INDEX(APOIO_REDES!$A:$W,MATCH($C127&amp;$I127&amp;$H127&amp;$N127&amp;$O127,APOIO_REDES!$W:$W,0),MATCH(BA$5,APOIO_REDES!$5:$5,0)),IF(AND($N127="MND",$Q127="EMBOQUE"),INDEX(APOIO_REDES!$A:$W,MATCH($C127&amp;$I127&amp;$H127&amp;$N127&amp;$O127,APOIO_REDES!$W:$W,0),MATCH(BA$5,APOIO_REDES!$5:$5,0)),0))*$M127/10,0)</f>
        <v>10.1061177137287</v>
      </c>
      <c r="BB127" s="153" t="n">
        <f aca="false">IFERROR(IF($N127="VCA",INDEX(APOIO_REDES!$A:$W,MATCH($C127&amp;$I127&amp;$H127&amp;$N127&amp;$O127,APOIO_REDES!$W:$W,0),MATCH(BB$5,APOIO_REDES!$5:$5,0)),0)*($AI127+$AQ127+$AR127),0)</f>
        <v>45.579451984772</v>
      </c>
      <c r="BC127" s="153" t="n">
        <f aca="false">IFERROR(IF($N127="VCA",INDEX(APOIO_REDES!$A:$W,MATCH($C127&amp;$I127&amp;$H127&amp;$N127&amp;$O127,APOIO_REDES!$W:$W,0),MATCH(BC$5,APOIO_REDES!$5:$5,0)),0)*($AI127+$AQ127+$AR127),0)</f>
        <v>0.501373015227987</v>
      </c>
      <c r="BD127" s="153" t="n">
        <f aca="false">IF(AND($N127="VCA",$AF127&gt;=1.25,$AF127&lt;1.5),$M127*$AF127*2,0)</f>
        <v>348.5842</v>
      </c>
      <c r="BE127" s="153" t="n">
        <f aca="false">IF(AND($N127="VCA",$AF127&gt;=1.5,$AF127&lt;3),$M127*$AF127*2,0)</f>
        <v>0</v>
      </c>
      <c r="BF127" s="153" t="n">
        <f aca="false">IF(AND($N127="VCA",$AF127&gt;=3),$M127*$AF127*2,0)</f>
        <v>0</v>
      </c>
      <c r="BG127" s="153" t="n">
        <f aca="false">($BB127+$BC127)*$AK127</f>
        <v>115.2020625</v>
      </c>
      <c r="BH127" s="153" t="n">
        <f aca="false">IF(AND($M127&lt;&gt;"",$N127="VCA",$Q127="LINEAR"),($M127*2)/100,IF(AND($M127&lt;&gt;"",$N127="MND",$Q127="EMBOQUE"),($AN127*2)/100,0))</f>
        <v>2.5078</v>
      </c>
      <c r="BI127" s="153" t="n">
        <f aca="false">IF(AND($M127&lt;&gt;"",$N127="VCA",$Q127="LINEAR"),$M127,IF(AND($M127&lt;&gt;"",$N127="MND",$Q127="EMBOQUE"),$AN127*2,0))</f>
        <v>125.39</v>
      </c>
      <c r="BJ127" s="153" t="n">
        <f aca="false">IF(AND($M127&lt;&gt;"",$N127="VCA",$Q127="LINEAR"),($M127*6.8)/100,IF(AND($M127&lt;&gt;"",$N127="MND",$Q127="EMBOQUE"),($AN127*2*6.8)/100,0))</f>
        <v>8.52652</v>
      </c>
      <c r="BK127" s="153" t="n">
        <f aca="false">IF(AND($M127&lt;&gt;"",$N127="VCA",$Q127="LINEAR"),($M127*2.5)/50,IF(AND($M127&lt;&gt;"",$N127="MND",$Q127="EMBOQUE"),($AN127*2*2.5)/50,0))</f>
        <v>6.2695</v>
      </c>
      <c r="BL127" s="157" t="str">
        <f aca="false">K127&amp;J127</f>
        <v>Zona01REDES</v>
      </c>
      <c r="BM127" s="152" t="s">
        <v>1559</v>
      </c>
      <c r="BN127" s="152" t="s">
        <v>1560</v>
      </c>
      <c r="BO127" s="152" t="s">
        <v>1982</v>
      </c>
      <c r="BP127" s="152" t="s">
        <v>2012</v>
      </c>
      <c r="BQ127" s="152" t="s">
        <v>1973</v>
      </c>
      <c r="BR127" s="152" t="s">
        <v>2013</v>
      </c>
      <c r="BS127" s="152" t="n">
        <v>203256.467</v>
      </c>
      <c r="BT127" s="152" t="n">
        <v>8238162.444</v>
      </c>
      <c r="BU127" s="152" t="n">
        <v>203145.74</v>
      </c>
      <c r="BV127" s="152" t="n">
        <v>8238219.27</v>
      </c>
      <c r="BW127" s="152" t="n">
        <v>-15.917738</v>
      </c>
      <c r="BX127" s="152" t="n">
        <v>-47.7719722</v>
      </c>
      <c r="BY127" s="152" t="s">
        <v>2012</v>
      </c>
    </row>
    <row r="128" customFormat="false" ht="13.8" hidden="false" customHeight="false" outlineLevel="0" collapsed="false">
      <c r="A128" s="149" t="n">
        <f aca="false">IF(C128&lt;&gt;"",ROW(A123),"")</f>
        <v>123</v>
      </c>
      <c r="B128" s="150" t="str">
        <f aca="false">HYPERLINK("https://www.google.com/maps/dir/-15.917302,-47.760003/-15.9177351,-47.7712390/data=!4m3!4m2!3e0!5i0")</f>
        <v>https://www.google.com/maps/dir/-15.917302,-47.760003/-15.9177351,-47.7712390/data=!4m3!4m2!3e0!5i0</v>
      </c>
      <c r="C128" s="151" t="s">
        <v>117</v>
      </c>
      <c r="D128" s="152" t="s">
        <v>112</v>
      </c>
      <c r="E128" s="152" t="s">
        <v>113</v>
      </c>
      <c r="F128" s="152" t="s">
        <v>117</v>
      </c>
      <c r="G128" s="152" t="s">
        <v>114</v>
      </c>
      <c r="H128" s="152" t="n">
        <v>160</v>
      </c>
      <c r="I128" s="152" t="s">
        <v>115</v>
      </c>
      <c r="J128" s="152" t="s">
        <v>6</v>
      </c>
      <c r="K128" s="152" t="s">
        <v>1547</v>
      </c>
      <c r="L128" s="152" t="s">
        <v>120</v>
      </c>
      <c r="M128" s="153" t="n">
        <f aca="false">40.78</f>
        <v>40.78</v>
      </c>
      <c r="N128" s="152" t="s">
        <v>1548</v>
      </c>
      <c r="O128" s="152" t="s">
        <v>1549</v>
      </c>
      <c r="P128" s="152" t="s">
        <v>1550</v>
      </c>
      <c r="Q128" s="152" t="s">
        <v>1551</v>
      </c>
      <c r="R128" s="154" t="s">
        <v>2014</v>
      </c>
      <c r="S128" s="154" t="s">
        <v>1593</v>
      </c>
      <c r="T128" s="155" t="s">
        <v>1979</v>
      </c>
      <c r="U128" s="152" t="str">
        <f aca="false">RIGHT(T128,7)</f>
        <v>006/037</v>
      </c>
      <c r="V128" s="152" t="s">
        <v>1555</v>
      </c>
      <c r="W128" s="156" t="n">
        <v>45882</v>
      </c>
      <c r="X128" s="152" t="s">
        <v>1594</v>
      </c>
      <c r="Y128" s="152" t="s">
        <v>1986</v>
      </c>
      <c r="Z128" s="152" t="s">
        <v>1557</v>
      </c>
      <c r="AA128" s="153" t="n">
        <v>2.5</v>
      </c>
      <c r="AB128" s="151" t="s">
        <v>2015</v>
      </c>
      <c r="AC128" s="151" t="s">
        <v>505</v>
      </c>
      <c r="AD128" s="151" t="str">
        <f aca="false">CONCATENATE($C128,$I128,$H128,$N128,$J128,$K128)</f>
        <v>TUBO PEADPEAD160VCAREDESZona01</v>
      </c>
      <c r="AE128" s="153" t="n">
        <f aca="false">IFERROR(INDEX(APOIO_REDES!$A:$W,MATCH($C128&amp;$I128&amp;$H128&amp;$N128&amp;$O128,APOIO_REDES!$W:$W,0),MATCH(AE$5,APOIO_REDES!$5:$5,0)),0)</f>
        <v>1.2</v>
      </c>
      <c r="AF128" s="153" t="n">
        <f aca="false">IFERROR(INDEX(APOIO_REDES!$A:$W,MATCH($C128&amp;$I128&amp;$H128&amp;$N128&amp;$O128,APOIO_REDES!$W:$W,0),MATCH(AF$5,APOIO_REDES!$5:$5,0)),0)</f>
        <v>1.46</v>
      </c>
      <c r="AG128" s="153" t="n">
        <f aca="false">IFERROR(INDEX(APOIO_REDES!$A:$W,MATCH($C128&amp;$I128&amp;$H128&amp;$N128&amp;$O128,APOIO_REDES!$W:$W,0),MATCH(AG$5,APOIO_REDES!$5:$5,0)),0)</f>
        <v>0.75</v>
      </c>
      <c r="AH128" s="153" t="n">
        <f aca="false">IFERROR(INDEX(APOIO_REDES!$A:$W,MATCH($C128&amp;$I128&amp;$H128&amp;$N128&amp;$O128,APOIO_REDES!$W:$W,0),MATCH(AH$5,APOIO_REDES!$5:$5,0)),0)</f>
        <v>0.1</v>
      </c>
      <c r="AI128" s="153" t="n">
        <f aca="false">IFERROR(IF($H128&lt;&gt;"",(((($H128/1000)/2)^2)*PI()*$M128),0),0)</f>
        <v>0.819930549845707</v>
      </c>
      <c r="AJ128" s="153" t="n">
        <f aca="false">IFERROR(IF(AND($H128&lt;&gt;"",$I128="FoFo",OR($N128="MND",$N128="VCA"),$Q128="LINEAR"),0,IF(AND($H128&lt;&gt;"",$I128="PEAD",$N128="VCA",$Q128="LINEAR"),($H128/1000)+0.3,IF(AND($H128&lt;&gt;"",$I128="PEAD",$N128="MND",$Q128="EMBOQUE"),0,IF(AND($H128&lt;&gt;"",$I128="PVC",$N128="VCA",$Q128="LINEAR"),($H128/1000)+0.2,IF(AND($H128&lt;&gt;"",$I128="PVC",$N128="MND",$Q128="EMBOQUE"),0,IF(AND($H128&lt;&gt;"",$I128="PEAD",$N128="VCA",$Q128="PREDIAL"),0,0)))))),0)</f>
        <v>0.46</v>
      </c>
      <c r="AK128" s="153" t="n">
        <f aca="false">IF(AA128&lt;&gt;"",AA128,0)</f>
        <v>2.5</v>
      </c>
      <c r="AL128" s="153" t="n">
        <f aca="false">IF(AND($N128="MND",$Q128="EMBOQUE"),$M128,IF(AND($N128="VCA",$Q128="LINEAR"),$M128,IF(AND($N128="VCA",$Q128="PREDIAL"),0,0)))</f>
        <v>40.78</v>
      </c>
      <c r="AM128" s="153" t="n">
        <f aca="false">IF(AND($N128="MND",$Q128="EMBOQUE"),$M128,IF(AND($N128="VCA",$Q128="LINEAR"),$M128,IF(AND($N128="VCA",$Q128="PREDIAL"),0,0)))</f>
        <v>40.78</v>
      </c>
      <c r="AN128" s="153" t="n">
        <f aca="false">ROUND(IF(AND($N128="VCA",$M128&lt;&gt;"",$Q128="LINEAR"),$M128/100,IF(AND($N128="MND",$M128&gt;100,$Q128="EMBOQUE"),$M128/100,0)),0)</f>
        <v>0</v>
      </c>
      <c r="AO128" s="153" t="n">
        <f aca="false">IF(AND($N128="MND",$Q128="EMBOQUE"),$AN128*2*2,IF(AND($N128="VCA",$Q128="LINEAR"),$M128*2,IF(AND($N128="VCA",$Q128="PREDIAL"),0,0)))</f>
        <v>81.56</v>
      </c>
      <c r="AP128" s="153" t="n">
        <f aca="false">IFERROR($M128*$AF128*$AG128,0)</f>
        <v>44.6541</v>
      </c>
      <c r="AQ128" s="153" t="n">
        <f aca="false">IFERROR(IF(AND($N128="VCA",$AH128&gt;0),$M128*$AG128*$AH128,0),0)</f>
        <v>3.0585</v>
      </c>
      <c r="AR128" s="153" t="n">
        <f aca="false">IFERROR(IF(AND($N128="VCA",$AJ128&gt;0),($M128*$AG128*$AJ128)-$AI128,0),0)</f>
        <v>13.2491694501543</v>
      </c>
      <c r="AS128" s="153" t="n">
        <f aca="false">IFERROR(IF(AND($N128="VCA",$AP128&gt;0),$AP128-$AI128-$AQ128-$AR128,0),0)</f>
        <v>27.5265</v>
      </c>
      <c r="AT128" s="153" t="n">
        <f aca="false">IFERROR(IF($N128="VCA",INDEX(APOIO_REDES!$A:$W,MATCH($C128&amp;$I128&amp;$H128&amp;$N128&amp;$O128,APOIO_REDES!$W:$W,0),MATCH(AT$5,APOIO_REDES!$5:$5,0)),0)*$AP128,0)</f>
        <v>0.485849824938943</v>
      </c>
      <c r="AU128" s="153" t="n">
        <f aca="false">IFERROR(IF($N128="VCA",INDEX(APOIO_REDES!$A:$W,MATCH($C128&amp;$I128&amp;$H128&amp;$N128&amp;$O128,APOIO_REDES!$W:$W,0),MATCH(AU$5,APOIO_REDES!$5:$5,0)),0)*$AP128,0)</f>
        <v>0.387986511714215</v>
      </c>
      <c r="AV128" s="153" t="n">
        <f aca="false">IFERROR(IF($N128="VCA",INDEX(APOIO_REDES!$A:$W,MATCH($C128&amp;$I128&amp;$H128&amp;$N128&amp;$O128,APOIO_REDES!$W:$W,0),MATCH(AV$5,APOIO_REDES!$5:$5,0)),0)*$AP128,0)</f>
        <v>0.0536942874077099</v>
      </c>
      <c r="AW128" s="153" t="n">
        <f aca="false">IFERROR(IF($N128="VCA",INDEX(APOIO_REDES!$A:$W,MATCH($C128&amp;$I128&amp;$H128&amp;$N128&amp;$O128,APOIO_REDES!$W:$W,0),MATCH(AW$5,APOIO_REDES!$5:$5,0)),0)*$AP128,0)</f>
        <v>30.6509202368506</v>
      </c>
      <c r="AX128" s="153" t="n">
        <f aca="false">IFERROR(IF($N128="VCA",INDEX(APOIO_REDES!$A:$W,MATCH($C128&amp;$I128&amp;$H128&amp;$N128&amp;$O128,APOIO_REDES!$W:$W,0),MATCH(AX$5,APOIO_REDES!$5:$5,0)),0)*$AP128,0)</f>
        <v>4.24200004998113</v>
      </c>
      <c r="AY128" s="153" t="n">
        <f aca="false">IFERROR(IF($N128="VCA",INDEX(APOIO_REDES!$A:$W,MATCH($C128&amp;$I128&amp;$H128&amp;$N128&amp;$O128,APOIO_REDES!$W:$W,0),MATCH(AY$5,APOIO_REDES!$5:$5,0)),0)*$AP128,0)</f>
        <v>7.75972550476018</v>
      </c>
      <c r="AZ128" s="153" t="n">
        <f aca="false">IFERROR(IF($N128="VCA",INDEX(APOIO_REDES!$A:$W,MATCH($C128&amp;$I128&amp;$H128&amp;$N128&amp;$O128,APOIO_REDES!$W:$W,0),MATCH(AZ$5,APOIO_REDES!$5:$5,0)),0)*$AP128,0)</f>
        <v>1.07392358434721</v>
      </c>
      <c r="BA128" s="153" t="n">
        <f aca="false">IFERROR(IF(AND($N128="VCA",$Q128="LINEAR"),INDEX(APOIO_REDES!$A:$W,MATCH($C128&amp;$I128&amp;$H128&amp;$N128&amp;$O128,APOIO_REDES!$W:$W,0),MATCH(BA$5,APOIO_REDES!$5:$5,0)),IF(AND($N128="MND",$Q128="EMBOQUE"),INDEX(APOIO_REDES!$A:$W,MATCH($C128&amp;$I128&amp;$H128&amp;$N128&amp;$O128,APOIO_REDES!$W:$W,0),MATCH(BA$5,APOIO_REDES!$5:$5,0)),0))*$M128/10,0)</f>
        <v>3.28676513570344</v>
      </c>
      <c r="BB128" s="153" t="n">
        <f aca="false">IFERROR(IF($N128="VCA",INDEX(APOIO_REDES!$A:$W,MATCH($C128&amp;$I128&amp;$H128&amp;$N128&amp;$O128,APOIO_REDES!$W:$W,0),MATCH(BB$5,APOIO_REDES!$5:$5,0)),0)*($AI128+$AQ128+$AR128),0)</f>
        <v>16.9412466424892</v>
      </c>
      <c r="BC128" s="153" t="n">
        <f aca="false">IFERROR(IF($N128="VCA",INDEX(APOIO_REDES!$A:$W,MATCH($C128&amp;$I128&amp;$H128&amp;$N128&amp;$O128,APOIO_REDES!$W:$W,0),MATCH(BC$5,APOIO_REDES!$5:$5,0)),0)*($AI128+$AQ128+$AR128),0)</f>
        <v>0.186353357510827</v>
      </c>
      <c r="BD128" s="153" t="n">
        <f aca="false">IF(AND($N128="VCA",$AF128&gt;=1.25,$AF128&lt;1.5),$M128*$AF128*2,0)</f>
        <v>119.0776</v>
      </c>
      <c r="BE128" s="153" t="n">
        <f aca="false">IF(AND($N128="VCA",$AF128&gt;=1.5,$AF128&lt;3),$M128*$AF128*2,0)</f>
        <v>0</v>
      </c>
      <c r="BF128" s="153" t="n">
        <f aca="false">IF(AND($N128="VCA",$AF128&gt;=3),$M128*$AF128*2,0)</f>
        <v>0</v>
      </c>
      <c r="BG128" s="153" t="n">
        <f aca="false">($BB128+$BC128)*$AK128</f>
        <v>42.819</v>
      </c>
      <c r="BH128" s="153" t="n">
        <f aca="false">IF(AND($M128&lt;&gt;"",$N128="VCA",$Q128="LINEAR"),($M128*2)/100,IF(AND($M128&lt;&gt;"",$N128="MND",$Q128="EMBOQUE"),($AN128*2)/100,0))</f>
        <v>0.8156</v>
      </c>
      <c r="BI128" s="153" t="n">
        <f aca="false">IF(AND($M128&lt;&gt;"",$N128="VCA",$Q128="LINEAR"),$M128,IF(AND($M128&lt;&gt;"",$N128="MND",$Q128="EMBOQUE"),$AN128*2,0))</f>
        <v>40.78</v>
      </c>
      <c r="BJ128" s="153" t="n">
        <f aca="false">IF(AND($M128&lt;&gt;"",$N128="VCA",$Q128="LINEAR"),($M128*6.8)/100,IF(AND($M128&lt;&gt;"",$N128="MND",$Q128="EMBOQUE"),($AN128*2*6.8)/100,0))</f>
        <v>2.77304</v>
      </c>
      <c r="BK128" s="153" t="n">
        <f aca="false">IF(AND($M128&lt;&gt;"",$N128="VCA",$Q128="LINEAR"),($M128*2.5)/50,IF(AND($M128&lt;&gt;"",$N128="MND",$Q128="EMBOQUE"),($AN128*2*2.5)/50,0))</f>
        <v>2.039</v>
      </c>
      <c r="BL128" s="157" t="str">
        <f aca="false">K128&amp;J128</f>
        <v>Zona01REDES</v>
      </c>
      <c r="BM128" s="152" t="s">
        <v>1559</v>
      </c>
      <c r="BN128" s="152" t="s">
        <v>1560</v>
      </c>
      <c r="BO128" s="152" t="s">
        <v>1982</v>
      </c>
      <c r="BP128" s="152" t="s">
        <v>2005</v>
      </c>
      <c r="BQ128" s="152" t="s">
        <v>2012</v>
      </c>
      <c r="BR128" s="152" t="s">
        <v>2016</v>
      </c>
      <c r="BS128" s="152" t="n">
        <v>203280.812</v>
      </c>
      <c r="BT128" s="152" t="n">
        <v>8238195.164</v>
      </c>
      <c r="BU128" s="152" t="n">
        <v>203256.467</v>
      </c>
      <c r="BV128" s="152" t="n">
        <v>8238162.444</v>
      </c>
      <c r="BW128" s="152" t="n">
        <v>-15.9178813</v>
      </c>
      <c r="BX128" s="152" t="n">
        <v>-47.7713547</v>
      </c>
      <c r="BY128" s="152" t="s">
        <v>2005</v>
      </c>
    </row>
    <row r="129" customFormat="false" ht="13.8" hidden="false" customHeight="false" outlineLevel="0" collapsed="false">
      <c r="A129" s="149" t="n">
        <f aca="false">IF(C129&lt;&gt;"",ROW(A124),"")</f>
        <v>124</v>
      </c>
      <c r="B129" s="150" t="str">
        <f aca="false">HYPERLINK("https://www.google.com/maps/dir/-15.917302,-47.760003/-15.9180277,-47.7714702/data=!4m3!4m2!3e0!5i0")</f>
        <v>https://www.google.com/maps/dir/-15.917302,-47.760003/-15.9180277,-47.7714702/data=!4m3!4m2!3e0!5i0</v>
      </c>
      <c r="C129" s="151" t="s">
        <v>117</v>
      </c>
      <c r="D129" s="152" t="s">
        <v>112</v>
      </c>
      <c r="E129" s="152" t="s">
        <v>113</v>
      </c>
      <c r="F129" s="152" t="s">
        <v>117</v>
      </c>
      <c r="G129" s="152" t="s">
        <v>114</v>
      </c>
      <c r="H129" s="152" t="n">
        <v>160</v>
      </c>
      <c r="I129" s="152" t="s">
        <v>115</v>
      </c>
      <c r="J129" s="152" t="s">
        <v>6</v>
      </c>
      <c r="K129" s="152" t="s">
        <v>1547</v>
      </c>
      <c r="L129" s="152" t="s">
        <v>120</v>
      </c>
      <c r="M129" s="153" t="n">
        <f aca="false">10.64</f>
        <v>10.64</v>
      </c>
      <c r="N129" s="152" t="s">
        <v>1548</v>
      </c>
      <c r="O129" s="152" t="s">
        <v>1549</v>
      </c>
      <c r="P129" s="152" t="s">
        <v>1550</v>
      </c>
      <c r="Q129" s="152" t="s">
        <v>1551</v>
      </c>
      <c r="R129" s="154" t="s">
        <v>2017</v>
      </c>
      <c r="S129" s="154" t="s">
        <v>1593</v>
      </c>
      <c r="T129" s="155" t="s">
        <v>1979</v>
      </c>
      <c r="U129" s="152" t="str">
        <f aca="false">RIGHT(T129,7)</f>
        <v>006/037</v>
      </c>
      <c r="V129" s="152" t="s">
        <v>1555</v>
      </c>
      <c r="W129" s="156" t="n">
        <v>45882</v>
      </c>
      <c r="X129" s="152" t="s">
        <v>1594</v>
      </c>
      <c r="Y129" s="152" t="s">
        <v>1971</v>
      </c>
      <c r="Z129" s="152" t="s">
        <v>1557</v>
      </c>
      <c r="AA129" s="153" t="n">
        <v>2.5</v>
      </c>
      <c r="AB129" s="151" t="s">
        <v>2018</v>
      </c>
      <c r="AC129" s="151" t="s">
        <v>505</v>
      </c>
      <c r="AD129" s="151" t="str">
        <f aca="false">CONCATENATE($C129,$I129,$H129,$N129,$J129,$K129)</f>
        <v>TUBO PEADPEAD160VCAREDESZona01</v>
      </c>
      <c r="AE129" s="153" t="n">
        <f aca="false">IFERROR(INDEX(APOIO_REDES!$A:$W,MATCH($C129&amp;$I129&amp;$H129&amp;$N129&amp;$O129,APOIO_REDES!$W:$W,0),MATCH(AE$5,APOIO_REDES!$5:$5,0)),0)</f>
        <v>1.2</v>
      </c>
      <c r="AF129" s="153" t="n">
        <f aca="false">IFERROR(INDEX(APOIO_REDES!$A:$W,MATCH($C129&amp;$I129&amp;$H129&amp;$N129&amp;$O129,APOIO_REDES!$W:$W,0),MATCH(AF$5,APOIO_REDES!$5:$5,0)),0)</f>
        <v>1.46</v>
      </c>
      <c r="AG129" s="153" t="n">
        <f aca="false">IFERROR(INDEX(APOIO_REDES!$A:$W,MATCH($C129&amp;$I129&amp;$H129&amp;$N129&amp;$O129,APOIO_REDES!$W:$W,0),MATCH(AG$5,APOIO_REDES!$5:$5,0)),0)</f>
        <v>0.75</v>
      </c>
      <c r="AH129" s="153" t="n">
        <f aca="false">IFERROR(INDEX(APOIO_REDES!$A:$W,MATCH($C129&amp;$I129&amp;$H129&amp;$N129&amp;$O129,APOIO_REDES!$W:$W,0),MATCH(AH$5,APOIO_REDES!$5:$5,0)),0)</f>
        <v>0.1</v>
      </c>
      <c r="AI129" s="153" t="n">
        <f aca="false">IFERROR(IF($H129&lt;&gt;"",(((($H129/1000)/2)^2)*PI()*$M129),0),0)</f>
        <v>0.213929893338851</v>
      </c>
      <c r="AJ129" s="153" t="n">
        <f aca="false">IFERROR(IF(AND($H129&lt;&gt;"",$I129="FoFo",OR($N129="MND",$N129="VCA"),$Q129="LINEAR"),0,IF(AND($H129&lt;&gt;"",$I129="PEAD",$N129="VCA",$Q129="LINEAR"),($H129/1000)+0.3,IF(AND($H129&lt;&gt;"",$I129="PEAD",$N129="MND",$Q129="EMBOQUE"),0,IF(AND($H129&lt;&gt;"",$I129="PVC",$N129="VCA",$Q129="LINEAR"),($H129/1000)+0.2,IF(AND($H129&lt;&gt;"",$I129="PVC",$N129="MND",$Q129="EMBOQUE"),0,IF(AND($H129&lt;&gt;"",$I129="PEAD",$N129="VCA",$Q129="PREDIAL"),0,0)))))),0)</f>
        <v>0.46</v>
      </c>
      <c r="AK129" s="153" t="n">
        <f aca="false">IF(AA129&lt;&gt;"",AA129,0)</f>
        <v>2.5</v>
      </c>
      <c r="AL129" s="153" t="n">
        <f aca="false">IF(AND($N129="MND",$Q129="EMBOQUE"),$M129,IF(AND($N129="VCA",$Q129="LINEAR"),$M129,IF(AND($N129="VCA",$Q129="PREDIAL"),0,0)))</f>
        <v>10.64</v>
      </c>
      <c r="AM129" s="153" t="n">
        <f aca="false">IF(AND($N129="MND",$Q129="EMBOQUE"),$M129,IF(AND($N129="VCA",$Q129="LINEAR"),$M129,IF(AND($N129="VCA",$Q129="PREDIAL"),0,0)))</f>
        <v>10.64</v>
      </c>
      <c r="AN129" s="153" t="n">
        <f aca="false">ROUND(IF(AND($N129="VCA",$M129&lt;&gt;"",$Q129="LINEAR"),$M129/100,IF(AND($N129="MND",$M129&gt;100,$Q129="EMBOQUE"),$M129/100,0)),0)</f>
        <v>0</v>
      </c>
      <c r="AO129" s="153" t="n">
        <f aca="false">IF(AND($N129="MND",$Q129="EMBOQUE"),$AN129*2*2,IF(AND($N129="VCA",$Q129="LINEAR"),$M129*2,IF(AND($N129="VCA",$Q129="PREDIAL"),0,0)))</f>
        <v>21.28</v>
      </c>
      <c r="AP129" s="153" t="n">
        <f aca="false">IFERROR($M129*$AF129*$AG129,0)</f>
        <v>11.6508</v>
      </c>
      <c r="AQ129" s="153" t="n">
        <f aca="false">IFERROR(IF(AND($N129="VCA",$AH129&gt;0),$M129*$AG129*$AH129,0),0)</f>
        <v>0.798</v>
      </c>
      <c r="AR129" s="153" t="n">
        <f aca="false">IFERROR(IF(AND($N129="VCA",$AJ129&gt;0),($M129*$AG129*$AJ129)-$AI129,0),0)</f>
        <v>3.45687010666115</v>
      </c>
      <c r="AS129" s="153" t="n">
        <f aca="false">IFERROR(IF(AND($N129="VCA",$AP129&gt;0),$AP129-$AI129-$AQ129-$AR129,0),0)</f>
        <v>7.182</v>
      </c>
      <c r="AT129" s="153" t="n">
        <f aca="false">IFERROR(IF($N129="VCA",INDEX(APOIO_REDES!$A:$W,MATCH($C129&amp;$I129&amp;$H129&amp;$N129&amp;$O129,APOIO_REDES!$W:$W,0),MATCH(AT$5,APOIO_REDES!$5:$5,0)),0)*$AP129,0)</f>
        <v>0.126764152460774</v>
      </c>
      <c r="AU129" s="153" t="n">
        <f aca="false">IFERROR(IF($N129="VCA",INDEX(APOIO_REDES!$A:$W,MATCH($C129&amp;$I129&amp;$H129&amp;$N129&amp;$O129,APOIO_REDES!$W:$W,0),MATCH(AU$5,APOIO_REDES!$5:$5,0)),0)*$AP129,0)</f>
        <v>0.101230418946524</v>
      </c>
      <c r="AV129" s="153" t="n">
        <f aca="false">IFERROR(IF($N129="VCA",INDEX(APOIO_REDES!$A:$W,MATCH($C129&amp;$I129&amp;$H129&amp;$N129&amp;$O129,APOIO_REDES!$W:$W,0),MATCH(AV$5,APOIO_REDES!$5:$5,0)),0)*$AP129,0)</f>
        <v>0.0140094952922519</v>
      </c>
      <c r="AW129" s="153" t="n">
        <f aca="false">IFERROR(IF($N129="VCA",INDEX(APOIO_REDES!$A:$W,MATCH($C129&amp;$I129&amp;$H129&amp;$N129&amp;$O129,APOIO_REDES!$W:$W,0),MATCH(AW$5,APOIO_REDES!$5:$5,0)),0)*$AP129,0)</f>
        <v>7.99719939480359</v>
      </c>
      <c r="AX129" s="153" t="n">
        <f aca="false">IFERROR(IF($N129="VCA",INDEX(APOIO_REDES!$A:$W,MATCH($C129&amp;$I129&amp;$H129&amp;$N129&amp;$O129,APOIO_REDES!$W:$W,0),MATCH(AX$5,APOIO_REDES!$5:$5,0)),0)*$AP129,0)</f>
        <v>1.10678961578713</v>
      </c>
      <c r="AY129" s="153" t="n">
        <f aca="false">IFERROR(IF($N129="VCA",INDEX(APOIO_REDES!$A:$W,MATCH($C129&amp;$I129&amp;$H129&amp;$N129&amp;$O129,APOIO_REDES!$W:$W,0),MATCH(AY$5,APOIO_REDES!$5:$5,0)),0)*$AP129,0)</f>
        <v>2.02460714493988</v>
      </c>
      <c r="AZ129" s="153" t="n">
        <f aca="false">IFERROR(IF($N129="VCA",INDEX(APOIO_REDES!$A:$W,MATCH($C129&amp;$I129&amp;$H129&amp;$N129&amp;$O129,APOIO_REDES!$W:$W,0),MATCH(AZ$5,APOIO_REDES!$5:$5,0)),0)*$AP129,0)</f>
        <v>0.280199777769846</v>
      </c>
      <c r="BA129" s="153" t="n">
        <f aca="false">IFERROR(IF(AND($N129="VCA",$Q129="LINEAR"),INDEX(APOIO_REDES!$A:$W,MATCH($C129&amp;$I129&amp;$H129&amp;$N129&amp;$O129,APOIO_REDES!$W:$W,0),MATCH(BA$5,APOIO_REDES!$5:$5,0)),IF(AND($N129="MND",$Q129="EMBOQUE"),INDEX(APOIO_REDES!$A:$W,MATCH($C129&amp;$I129&amp;$H129&amp;$N129&amp;$O129,APOIO_REDES!$W:$W,0),MATCH(BA$5,APOIO_REDES!$5:$5,0)),0))*$M129/10,0)</f>
        <v>0.857557161448862</v>
      </c>
      <c r="BB129" s="153" t="n">
        <f aca="false">IFERROR(IF($N129="VCA",INDEX(APOIO_REDES!$A:$W,MATCH($C129&amp;$I129&amp;$H129&amp;$N129&amp;$O129,APOIO_REDES!$W:$W,0),MATCH(BB$5,APOIO_REDES!$5:$5,0)),0)*($AI129+$AQ129+$AR129),0)</f>
        <v>4.42017813330272</v>
      </c>
      <c r="BC129" s="153" t="n">
        <f aca="false">IFERROR(IF($N129="VCA",INDEX(APOIO_REDES!$A:$W,MATCH($C129&amp;$I129&amp;$H129&amp;$N129&amp;$O129,APOIO_REDES!$W:$W,0),MATCH(BC$5,APOIO_REDES!$5:$5,0)),0)*($AI129+$AQ129+$AR129),0)</f>
        <v>0.0486218666972831</v>
      </c>
      <c r="BD129" s="153" t="n">
        <f aca="false">IF(AND($N129="VCA",$AF129&gt;=1.25,$AF129&lt;1.5),$M129*$AF129*2,0)</f>
        <v>31.0688</v>
      </c>
      <c r="BE129" s="153" t="n">
        <f aca="false">IF(AND($N129="VCA",$AF129&gt;=1.5,$AF129&lt;3),$M129*$AF129*2,0)</f>
        <v>0</v>
      </c>
      <c r="BF129" s="153" t="n">
        <f aca="false">IF(AND($N129="VCA",$AF129&gt;=3),$M129*$AF129*2,0)</f>
        <v>0</v>
      </c>
      <c r="BG129" s="153" t="n">
        <f aca="false">($BB129+$BC129)*$AK129</f>
        <v>11.172</v>
      </c>
      <c r="BH129" s="153" t="n">
        <f aca="false">IF(AND($M129&lt;&gt;"",$N129="VCA",$Q129="LINEAR"),($M129*2)/100,IF(AND($M129&lt;&gt;"",$N129="MND",$Q129="EMBOQUE"),($AN129*2)/100,0))</f>
        <v>0.2128</v>
      </c>
      <c r="BI129" s="153" t="n">
        <f aca="false">IF(AND($M129&lt;&gt;"",$N129="VCA",$Q129="LINEAR"),$M129,IF(AND($M129&lt;&gt;"",$N129="MND",$Q129="EMBOQUE"),$AN129*2,0))</f>
        <v>10.64</v>
      </c>
      <c r="BJ129" s="153" t="n">
        <f aca="false">IF(AND($M129&lt;&gt;"",$N129="VCA",$Q129="LINEAR"),($M129*6.8)/100,IF(AND($M129&lt;&gt;"",$N129="MND",$Q129="EMBOQUE"),($AN129*2*6.8)/100,0))</f>
        <v>0.72352</v>
      </c>
      <c r="BK129" s="153" t="n">
        <f aca="false">IF(AND($M129&lt;&gt;"",$N129="VCA",$Q129="LINEAR"),($M129*2.5)/50,IF(AND($M129&lt;&gt;"",$N129="MND",$Q129="EMBOQUE"),($AN129*2*2.5)/50,0))</f>
        <v>0.532</v>
      </c>
      <c r="BL129" s="157" t="str">
        <f aca="false">K129&amp;J129</f>
        <v>Zona01REDES</v>
      </c>
      <c r="BM129" s="152" t="s">
        <v>1559</v>
      </c>
      <c r="BN129" s="152" t="s">
        <v>1560</v>
      </c>
      <c r="BO129" s="152" t="s">
        <v>1982</v>
      </c>
      <c r="BP129" s="152" t="s">
        <v>2012</v>
      </c>
      <c r="BQ129" s="152" t="s">
        <v>2019</v>
      </c>
      <c r="BR129" s="152" t="s">
        <v>2020</v>
      </c>
      <c r="BS129" s="152" t="n">
        <v>203256.467</v>
      </c>
      <c r="BT129" s="152" t="n">
        <v>8238162.444</v>
      </c>
      <c r="BU129" s="152" t="n">
        <v>203249.058</v>
      </c>
      <c r="BV129" s="152" t="n">
        <v>8238155.391</v>
      </c>
      <c r="BW129" s="152" t="n">
        <v>-15.9180521</v>
      </c>
      <c r="BX129" s="152" t="n">
        <v>-47.7715104</v>
      </c>
      <c r="BY129" s="152" t="s">
        <v>2012</v>
      </c>
    </row>
    <row r="130" customFormat="false" ht="13.8" hidden="false" customHeight="false" outlineLevel="0" collapsed="false">
      <c r="A130" s="149" t="n">
        <f aca="false">IF(C130&lt;&gt;"",ROW(A125),"")</f>
        <v>125</v>
      </c>
      <c r="B130" s="150" t="str">
        <f aca="false">HYPERLINK("https://www.google.com/maps/dir/-15.917302,-47.760003/-15.9180905,-47.7715402/data=!4m3!4m2!3e0!5i0")</f>
        <v>https://www.google.com/maps/dir/-15.917302,-47.760003/-15.9180905,-47.7715402/data=!4m3!4m2!3e0!5i0</v>
      </c>
      <c r="C130" s="151" t="s">
        <v>117</v>
      </c>
      <c r="D130" s="152" t="s">
        <v>112</v>
      </c>
      <c r="E130" s="152" t="s">
        <v>113</v>
      </c>
      <c r="F130" s="152" t="s">
        <v>117</v>
      </c>
      <c r="G130" s="152" t="s">
        <v>114</v>
      </c>
      <c r="H130" s="152" t="n">
        <v>160</v>
      </c>
      <c r="I130" s="152" t="s">
        <v>115</v>
      </c>
      <c r="J130" s="152" t="s">
        <v>6</v>
      </c>
      <c r="K130" s="152" t="s">
        <v>1547</v>
      </c>
      <c r="L130" s="152" t="s">
        <v>120</v>
      </c>
      <c r="M130" s="153" t="n">
        <f aca="false">4.32</f>
        <v>4.32</v>
      </c>
      <c r="N130" s="152" t="s">
        <v>1548</v>
      </c>
      <c r="O130" s="152" t="s">
        <v>1549</v>
      </c>
      <c r="P130" s="152" t="s">
        <v>1550</v>
      </c>
      <c r="Q130" s="152" t="s">
        <v>1551</v>
      </c>
      <c r="R130" s="154" t="s">
        <v>2021</v>
      </c>
      <c r="S130" s="154" t="s">
        <v>1593</v>
      </c>
      <c r="T130" s="155" t="s">
        <v>1979</v>
      </c>
      <c r="U130" s="152" t="str">
        <f aca="false">RIGHT(T130,7)</f>
        <v>006/037</v>
      </c>
      <c r="V130" s="152" t="s">
        <v>1555</v>
      </c>
      <c r="W130" s="156" t="n">
        <v>45882</v>
      </c>
      <c r="X130" s="152" t="s">
        <v>1594</v>
      </c>
      <c r="Y130" s="152" t="s">
        <v>1971</v>
      </c>
      <c r="Z130" s="152" t="s">
        <v>1557</v>
      </c>
      <c r="AA130" s="153" t="n">
        <v>2.5</v>
      </c>
      <c r="AB130" s="151" t="s">
        <v>2022</v>
      </c>
      <c r="AC130" s="151" t="s">
        <v>505</v>
      </c>
      <c r="AD130" s="151" t="str">
        <f aca="false">CONCATENATE($C130,$I130,$H130,$N130,$J130,$K130)</f>
        <v>TUBO PEADPEAD160VCAREDESZona01</v>
      </c>
      <c r="AE130" s="153" t="n">
        <f aca="false">IFERROR(INDEX(APOIO_REDES!$A:$W,MATCH($C130&amp;$I130&amp;$H130&amp;$N130&amp;$O130,APOIO_REDES!$W:$W,0),MATCH(AE$5,APOIO_REDES!$5:$5,0)),0)</f>
        <v>1.2</v>
      </c>
      <c r="AF130" s="153" t="n">
        <f aca="false">IFERROR(INDEX(APOIO_REDES!$A:$W,MATCH($C130&amp;$I130&amp;$H130&amp;$N130&amp;$O130,APOIO_REDES!$W:$W,0),MATCH(AF$5,APOIO_REDES!$5:$5,0)),0)</f>
        <v>1.46</v>
      </c>
      <c r="AG130" s="153" t="n">
        <f aca="false">IFERROR(INDEX(APOIO_REDES!$A:$W,MATCH($C130&amp;$I130&amp;$H130&amp;$N130&amp;$O130,APOIO_REDES!$W:$W,0),MATCH(AG$5,APOIO_REDES!$5:$5,0)),0)</f>
        <v>0.75</v>
      </c>
      <c r="AH130" s="153" t="n">
        <f aca="false">IFERROR(INDEX(APOIO_REDES!$A:$W,MATCH($C130&amp;$I130&amp;$H130&amp;$N130&amp;$O130,APOIO_REDES!$W:$W,0),MATCH(AH$5,APOIO_REDES!$5:$5,0)),0)</f>
        <v>0.1</v>
      </c>
      <c r="AI130" s="153" t="n">
        <f aca="false">IFERROR(IF($H130&lt;&gt;"",(((($H130/1000)/2)^2)*PI()*$M130),0),0)</f>
        <v>0.0868587536864506</v>
      </c>
      <c r="AJ130" s="153" t="n">
        <f aca="false">IFERROR(IF(AND($H130&lt;&gt;"",$I130="FoFo",OR($N130="MND",$N130="VCA"),$Q130="LINEAR"),0,IF(AND($H130&lt;&gt;"",$I130="PEAD",$N130="VCA",$Q130="LINEAR"),($H130/1000)+0.3,IF(AND($H130&lt;&gt;"",$I130="PEAD",$N130="MND",$Q130="EMBOQUE"),0,IF(AND($H130&lt;&gt;"",$I130="PVC",$N130="VCA",$Q130="LINEAR"),($H130/1000)+0.2,IF(AND($H130&lt;&gt;"",$I130="PVC",$N130="MND",$Q130="EMBOQUE"),0,IF(AND($H130&lt;&gt;"",$I130="PEAD",$N130="VCA",$Q130="PREDIAL"),0,0)))))),0)</f>
        <v>0.46</v>
      </c>
      <c r="AK130" s="153" t="n">
        <f aca="false">IF(AA130&lt;&gt;"",AA130,0)</f>
        <v>2.5</v>
      </c>
      <c r="AL130" s="153" t="n">
        <f aca="false">IF(AND($N130="MND",$Q130="EMBOQUE"),$M130,IF(AND($N130="VCA",$Q130="LINEAR"),$M130,IF(AND($N130="VCA",$Q130="PREDIAL"),0,0)))</f>
        <v>4.32</v>
      </c>
      <c r="AM130" s="153" t="n">
        <f aca="false">IF(AND($N130="MND",$Q130="EMBOQUE"),$M130,IF(AND($N130="VCA",$Q130="LINEAR"),$M130,IF(AND($N130="VCA",$Q130="PREDIAL"),0,0)))</f>
        <v>4.32</v>
      </c>
      <c r="AN130" s="153" t="n">
        <f aca="false">ROUND(IF(AND($N130="VCA",$M130&lt;&gt;"",$Q130="LINEAR"),$M130/100,IF(AND($N130="MND",$M130&gt;100,$Q130="EMBOQUE"),$M130/100,0)),0)</f>
        <v>0</v>
      </c>
      <c r="AO130" s="153" t="n">
        <f aca="false">IF(AND($N130="MND",$Q130="EMBOQUE"),$AN130*2*2,IF(AND($N130="VCA",$Q130="LINEAR"),$M130*2,IF(AND($N130="VCA",$Q130="PREDIAL"),0,0)))</f>
        <v>8.64</v>
      </c>
      <c r="AP130" s="153" t="n">
        <f aca="false">IFERROR($M130*$AF130*$AG130,0)</f>
        <v>4.7304</v>
      </c>
      <c r="AQ130" s="153" t="n">
        <f aca="false">IFERROR(IF(AND($N130="VCA",$AH130&gt;0),$M130*$AG130*$AH130,0),0)</f>
        <v>0.324</v>
      </c>
      <c r="AR130" s="153" t="n">
        <f aca="false">IFERROR(IF(AND($N130="VCA",$AJ130&gt;0),($M130*$AG130*$AJ130)-$AI130,0),0)</f>
        <v>1.40354124631355</v>
      </c>
      <c r="AS130" s="153" t="n">
        <f aca="false">IFERROR(IF(AND($N130="VCA",$AP130&gt;0),$AP130-$AI130-$AQ130-$AR130,0),0)</f>
        <v>2.916</v>
      </c>
      <c r="AT130" s="153" t="n">
        <f aca="false">IFERROR(IF($N130="VCA",INDEX(APOIO_REDES!$A:$W,MATCH($C130&amp;$I130&amp;$H130&amp;$N130&amp;$O130,APOIO_REDES!$W:$W,0),MATCH(AT$5,APOIO_REDES!$5:$5,0)),0)*$AP130,0)</f>
        <v>0.0514681521269307</v>
      </c>
      <c r="AU130" s="153" t="n">
        <f aca="false">IFERROR(IF($N130="VCA",INDEX(APOIO_REDES!$A:$W,MATCH($C130&amp;$I130&amp;$H130&amp;$N130&amp;$O130,APOIO_REDES!$W:$W,0),MATCH(AU$5,APOIO_REDES!$5:$5,0)),0)*$AP130,0)</f>
        <v>0.0411010723542278</v>
      </c>
      <c r="AV130" s="153" t="n">
        <f aca="false">IFERROR(IF($N130="VCA",INDEX(APOIO_REDES!$A:$W,MATCH($C130&amp;$I130&amp;$H130&amp;$N130&amp;$O130,APOIO_REDES!$W:$W,0),MATCH(AV$5,APOIO_REDES!$5:$5,0)),0)*$AP130,0)</f>
        <v>0.00568806575775642</v>
      </c>
      <c r="AW130" s="153" t="n">
        <f aca="false">IFERROR(IF($N130="VCA",INDEX(APOIO_REDES!$A:$W,MATCH($C130&amp;$I130&amp;$H130&amp;$N130&amp;$O130,APOIO_REDES!$W:$W,0),MATCH(AW$5,APOIO_REDES!$5:$5,0)),0)*$AP130,0)</f>
        <v>3.24698321292777</v>
      </c>
      <c r="AX130" s="153" t="n">
        <f aca="false">IFERROR(IF($N130="VCA",INDEX(APOIO_REDES!$A:$W,MATCH($C130&amp;$I130&amp;$H130&amp;$N130&amp;$O130,APOIO_REDES!$W:$W,0),MATCH(AX$5,APOIO_REDES!$5:$5,0)),0)*$AP130,0)</f>
        <v>0.449373227462444</v>
      </c>
      <c r="AY130" s="153" t="n">
        <f aca="false">IFERROR(IF($N130="VCA",INDEX(APOIO_REDES!$A:$W,MATCH($C130&amp;$I130&amp;$H130&amp;$N130&amp;$O130,APOIO_REDES!$W:$W,0),MATCH(AY$5,APOIO_REDES!$5:$5,0)),0)*$AP130,0)</f>
        <v>0.822020946065816</v>
      </c>
      <c r="AZ130" s="153" t="n">
        <f aca="false">IFERROR(IF($N130="VCA",INDEX(APOIO_REDES!$A:$W,MATCH($C130&amp;$I130&amp;$H130&amp;$N130&amp;$O130,APOIO_REDES!$W:$W,0),MATCH(AZ$5,APOIO_REDES!$5:$5,0)),0)*$AP130,0)</f>
        <v>0.11376532330505</v>
      </c>
      <c r="BA130" s="153" t="n">
        <f aca="false">IFERROR(IF(AND($N130="VCA",$Q130="LINEAR"),INDEX(APOIO_REDES!$A:$W,MATCH($C130&amp;$I130&amp;$H130&amp;$N130&amp;$O130,APOIO_REDES!$W:$W,0),MATCH(BA$5,APOIO_REDES!$5:$5,0)),IF(AND($N130="MND",$Q130="EMBOQUE"),INDEX(APOIO_REDES!$A:$W,MATCH($C130&amp;$I130&amp;$H130&amp;$N130&amp;$O130,APOIO_REDES!$W:$W,0),MATCH(BA$5,APOIO_REDES!$5:$5,0)),0))*$M130/10,0)</f>
        <v>0.348181103144651</v>
      </c>
      <c r="BB130" s="153" t="n">
        <f aca="false">IFERROR(IF($N130="VCA",INDEX(APOIO_REDES!$A:$W,MATCH($C130&amp;$I130&amp;$H130&amp;$N130&amp;$O130,APOIO_REDES!$W:$W,0),MATCH(BB$5,APOIO_REDES!$5:$5,0)),0)*($AI130+$AQ130+$AR130),0)</f>
        <v>1.79465879096501</v>
      </c>
      <c r="BC130" s="153" t="n">
        <f aca="false">IFERROR(IF($N130="VCA",INDEX(APOIO_REDES!$A:$W,MATCH($C130&amp;$I130&amp;$H130&amp;$N130&amp;$O130,APOIO_REDES!$W:$W,0),MATCH(BC$5,APOIO_REDES!$5:$5,0)),0)*($AI130+$AQ130+$AR130),0)</f>
        <v>0.0197412090349871</v>
      </c>
      <c r="BD130" s="153" t="n">
        <f aca="false">IF(AND($N130="VCA",$AF130&gt;=1.25,$AF130&lt;1.5),$M130*$AF130*2,0)</f>
        <v>12.6144</v>
      </c>
      <c r="BE130" s="153" t="n">
        <f aca="false">IF(AND($N130="VCA",$AF130&gt;=1.5,$AF130&lt;3),$M130*$AF130*2,0)</f>
        <v>0</v>
      </c>
      <c r="BF130" s="153" t="n">
        <f aca="false">IF(AND($N130="VCA",$AF130&gt;=3),$M130*$AF130*2,0)</f>
        <v>0</v>
      </c>
      <c r="BG130" s="153" t="n">
        <f aca="false">($BB130+$BC130)*$AK130</f>
        <v>4.536</v>
      </c>
      <c r="BH130" s="153" t="n">
        <f aca="false">IF(AND($M130&lt;&gt;"",$N130="VCA",$Q130="LINEAR"),($M130*2)/100,IF(AND($M130&lt;&gt;"",$N130="MND",$Q130="EMBOQUE"),($AN130*2)/100,0))</f>
        <v>0.0864</v>
      </c>
      <c r="BI130" s="153" t="n">
        <f aca="false">IF(AND($M130&lt;&gt;"",$N130="VCA",$Q130="LINEAR"),$M130,IF(AND($M130&lt;&gt;"",$N130="MND",$Q130="EMBOQUE"),$AN130*2,0))</f>
        <v>4.32</v>
      </c>
      <c r="BJ130" s="153" t="n">
        <f aca="false">IF(AND($M130&lt;&gt;"",$N130="VCA",$Q130="LINEAR"),($M130*6.8)/100,IF(AND($M130&lt;&gt;"",$N130="MND",$Q130="EMBOQUE"),($AN130*2*6.8)/100,0))</f>
        <v>0.29376</v>
      </c>
      <c r="BK130" s="153" t="n">
        <f aca="false">IF(AND($M130&lt;&gt;"",$N130="VCA",$Q130="LINEAR"),($M130*2.5)/50,IF(AND($M130&lt;&gt;"",$N130="MND",$Q130="EMBOQUE"),($AN130*2*2.5)/50,0))</f>
        <v>0.216</v>
      </c>
      <c r="BL130" s="157" t="str">
        <f aca="false">K130&amp;J130</f>
        <v>Zona01REDES</v>
      </c>
      <c r="BM130" s="152" t="s">
        <v>1559</v>
      </c>
      <c r="BN130" s="152" t="s">
        <v>1560</v>
      </c>
      <c r="BO130" s="152" t="s">
        <v>1982</v>
      </c>
      <c r="BP130" s="152" t="s">
        <v>2019</v>
      </c>
      <c r="BQ130" s="152" t="s">
        <v>2023</v>
      </c>
      <c r="BR130" s="152" t="s">
        <v>2020</v>
      </c>
      <c r="BS130" s="152" t="n">
        <v>203249.058</v>
      </c>
      <c r="BT130" s="152" t="n">
        <v>8238155.391</v>
      </c>
      <c r="BU130" s="152" t="n">
        <v>203246.506</v>
      </c>
      <c r="BV130" s="152" t="n">
        <v>8238151.909</v>
      </c>
      <c r="BW130" s="152" t="n">
        <v>-15.918106</v>
      </c>
      <c r="BX130" s="152" t="n">
        <v>-47.7715524</v>
      </c>
      <c r="BY130" s="152" t="s">
        <v>2019</v>
      </c>
    </row>
    <row r="131" customFormat="false" ht="13.8" hidden="false" customHeight="false" outlineLevel="0" collapsed="false">
      <c r="A131" s="149" t="n">
        <f aca="false">IF(C131&lt;&gt;"",ROW(A126),"")</f>
        <v>126</v>
      </c>
      <c r="B131" s="150" t="str">
        <f aca="false">HYPERLINK("https://www.google.com/maps/dir/-15.917302,-47.760003/-15.9181216,-47.7715645/data=!4m3!4m2!3e0!5i0")</f>
        <v>https://www.google.com/maps/dir/-15.917302,-47.760003/-15.9181216,-47.7715645/data=!4m3!4m2!3e0!5i0</v>
      </c>
      <c r="C131" s="151" t="s">
        <v>117</v>
      </c>
      <c r="D131" s="152" t="s">
        <v>112</v>
      </c>
      <c r="E131" s="152" t="s">
        <v>113</v>
      </c>
      <c r="F131" s="152" t="s">
        <v>117</v>
      </c>
      <c r="G131" s="152" t="s">
        <v>114</v>
      </c>
      <c r="H131" s="152" t="n">
        <v>225</v>
      </c>
      <c r="I131" s="152" t="s">
        <v>115</v>
      </c>
      <c r="J131" s="152" t="s">
        <v>6</v>
      </c>
      <c r="K131" s="152" t="s">
        <v>1547</v>
      </c>
      <c r="L131" s="152" t="s">
        <v>120</v>
      </c>
      <c r="M131" s="153" t="n">
        <f aca="false">2.77</f>
        <v>2.77</v>
      </c>
      <c r="N131" s="152" t="s">
        <v>1548</v>
      </c>
      <c r="O131" s="152" t="s">
        <v>1549</v>
      </c>
      <c r="P131" s="152" t="s">
        <v>1550</v>
      </c>
      <c r="Q131" s="152" t="s">
        <v>1551</v>
      </c>
      <c r="R131" s="154" t="s">
        <v>2024</v>
      </c>
      <c r="S131" s="154" t="s">
        <v>1593</v>
      </c>
      <c r="T131" s="155" t="s">
        <v>1979</v>
      </c>
      <c r="U131" s="152" t="str">
        <f aca="false">RIGHT(T131,7)</f>
        <v>006/037</v>
      </c>
      <c r="V131" s="152" t="s">
        <v>1555</v>
      </c>
      <c r="W131" s="156" t="n">
        <v>45882</v>
      </c>
      <c r="X131" s="152" t="s">
        <v>1594</v>
      </c>
      <c r="Y131" s="152" t="s">
        <v>1971</v>
      </c>
      <c r="Z131" s="152" t="s">
        <v>1557</v>
      </c>
      <c r="AA131" s="153" t="n">
        <v>2.5</v>
      </c>
      <c r="AB131" s="151" t="s">
        <v>2025</v>
      </c>
      <c r="AC131" s="151" t="s">
        <v>508</v>
      </c>
      <c r="AD131" s="151" t="str">
        <f aca="false">CONCATENATE($C131,$I131,$H131,$N131,$J131,$K131)</f>
        <v>TUBO PEADPEAD225VCAREDESZona01</v>
      </c>
      <c r="AE131" s="153" t="n">
        <f aca="false">IFERROR(INDEX(APOIO_REDES!$A:$W,MATCH($C131&amp;$I131&amp;$H131&amp;$N131&amp;$O131,APOIO_REDES!$W:$W,0),MATCH(AE$5,APOIO_REDES!$5:$5,0)),0)</f>
        <v>1.2</v>
      </c>
      <c r="AF131" s="153" t="n">
        <f aca="false">IFERROR(INDEX(APOIO_REDES!$A:$W,MATCH($C131&amp;$I131&amp;$H131&amp;$N131&amp;$O131,APOIO_REDES!$W:$W,0),MATCH(AF$5,APOIO_REDES!$5:$5,0)),0)</f>
        <v>1.525</v>
      </c>
      <c r="AG131" s="153" t="n">
        <f aca="false">IFERROR(INDEX(APOIO_REDES!$A:$W,MATCH($C131&amp;$I131&amp;$H131&amp;$N131&amp;$O131,APOIO_REDES!$W:$W,0),MATCH(AG$5,APOIO_REDES!$5:$5,0)),0)</f>
        <v>0.8</v>
      </c>
      <c r="AH131" s="153" t="n">
        <f aca="false">IFERROR(INDEX(APOIO_REDES!$A:$W,MATCH($C131&amp;$I131&amp;$H131&amp;$N131&amp;$O131,APOIO_REDES!$W:$W,0),MATCH(AH$5,APOIO_REDES!$5:$5,0)),0)</f>
        <v>0.1</v>
      </c>
      <c r="AI131" s="153" t="n">
        <f aca="false">IFERROR(IF($H131&lt;&gt;"",(((($H131/1000)/2)^2)*PI()*$M131),0),0)</f>
        <v>0.110137366200928</v>
      </c>
      <c r="AJ131" s="153" t="n">
        <f aca="false">IFERROR(IF(AND($H131&lt;&gt;"",$I131="FoFo",OR($N131="MND",$N131="VCA"),$Q131="LINEAR"),0,IF(AND($H131&lt;&gt;"",$I131="PEAD",$N131="VCA",$Q131="LINEAR"),($H131/1000)+0.3,IF(AND($H131&lt;&gt;"",$I131="PEAD",$N131="MND",$Q131="EMBOQUE"),0,IF(AND($H131&lt;&gt;"",$I131="PVC",$N131="VCA",$Q131="LINEAR"),($H131/1000)+0.2,IF(AND($H131&lt;&gt;"",$I131="PVC",$N131="MND",$Q131="EMBOQUE"),0,IF(AND($H131&lt;&gt;"",$I131="PEAD",$N131="VCA",$Q131="PREDIAL"),0,0)))))),0)</f>
        <v>0.525</v>
      </c>
      <c r="AK131" s="153" t="n">
        <f aca="false">IF(AA131&lt;&gt;"",AA131,0)</f>
        <v>2.5</v>
      </c>
      <c r="AL131" s="153" t="n">
        <f aca="false">IF(AND($N131="MND",$Q131="EMBOQUE"),$M131,IF(AND($N131="VCA",$Q131="LINEAR"),$M131,IF(AND($N131="VCA",$Q131="PREDIAL"),0,0)))</f>
        <v>2.77</v>
      </c>
      <c r="AM131" s="153" t="n">
        <f aca="false">IF(AND($N131="MND",$Q131="EMBOQUE"),$M131,IF(AND($N131="VCA",$Q131="LINEAR"),$M131,IF(AND($N131="VCA",$Q131="PREDIAL"),0,0)))</f>
        <v>2.77</v>
      </c>
      <c r="AN131" s="153" t="n">
        <f aca="false">ROUND(IF(AND($N131="VCA",$M131&lt;&gt;"",$Q131="LINEAR"),$M131/100,IF(AND($N131="MND",$M131&gt;100,$Q131="EMBOQUE"),$M131/100,0)),0)</f>
        <v>0</v>
      </c>
      <c r="AO131" s="153" t="n">
        <f aca="false">IF(AND($N131="MND",$Q131="EMBOQUE"),$AN131*2*2,IF(AND($N131="VCA",$Q131="LINEAR"),$M131*2,IF(AND($N131="VCA",$Q131="PREDIAL"),0,0)))</f>
        <v>5.54</v>
      </c>
      <c r="AP131" s="153" t="n">
        <f aca="false">IFERROR($M131*$AF131*$AG131,0)</f>
        <v>3.3794</v>
      </c>
      <c r="AQ131" s="153" t="n">
        <f aca="false">IFERROR(IF(AND($N131="VCA",$AH131&gt;0),$M131*$AG131*$AH131,0),0)</f>
        <v>0.2216</v>
      </c>
      <c r="AR131" s="153" t="n">
        <f aca="false">IFERROR(IF(AND($N131="VCA",$AJ131&gt;0),($M131*$AG131*$AJ131)-$AI131,0),0)</f>
        <v>1.05326263379907</v>
      </c>
      <c r="AS131" s="153" t="n">
        <f aca="false">IFERROR(IF(AND($N131="VCA",$AP131&gt;0),$AP131-$AI131-$AQ131-$AR131,0),0)</f>
        <v>1.9944</v>
      </c>
      <c r="AT131" s="153" t="n">
        <f aca="false">IFERROR(IF($N131="VCA",INDEX(APOIO_REDES!$A:$W,MATCH($C131&amp;$I131&amp;$H131&amp;$N131&amp;$O131,APOIO_REDES!$W:$W,0),MATCH(AT$5,APOIO_REDES!$5:$5,0)),0)*$AP131,0)</f>
        <v>0.0367688722513423</v>
      </c>
      <c r="AU131" s="153" t="n">
        <f aca="false">IFERROR(IF($N131="VCA",INDEX(APOIO_REDES!$A:$W,MATCH($C131&amp;$I131&amp;$H131&amp;$N131&amp;$O131,APOIO_REDES!$W:$W,0),MATCH(AU$5,APOIO_REDES!$5:$5,0)),0)*$AP131,0)</f>
        <v>0.0293626255525701</v>
      </c>
      <c r="AV131" s="153" t="n">
        <f aca="false">IFERROR(IF($N131="VCA",INDEX(APOIO_REDES!$A:$W,MATCH($C131&amp;$I131&amp;$H131&amp;$N131&amp;$O131,APOIO_REDES!$W:$W,0),MATCH(AV$5,APOIO_REDES!$5:$5,0)),0)*$AP131,0)</f>
        <v>0.00406355687082743</v>
      </c>
      <c r="AW131" s="153" t="n">
        <f aca="false">IFERROR(IF($N131="VCA",INDEX(APOIO_REDES!$A:$W,MATCH($C131&amp;$I131&amp;$H131&amp;$N131&amp;$O131,APOIO_REDES!$W:$W,0),MATCH(AW$5,APOIO_REDES!$5:$5,0)),0)*$AP131,0)</f>
        <v>2.31964634486896</v>
      </c>
      <c r="AX131" s="153" t="n">
        <f aca="false">IFERROR(IF($N131="VCA",INDEX(APOIO_REDES!$A:$W,MATCH($C131&amp;$I131&amp;$H131&amp;$N131&amp;$O131,APOIO_REDES!$W:$W,0),MATCH(AX$5,APOIO_REDES!$5:$5,0)),0)*$AP131,0)</f>
        <v>0.321032446492175</v>
      </c>
      <c r="AY131" s="153" t="n">
        <f aca="false">IFERROR(IF($N131="VCA",INDEX(APOIO_REDES!$A:$W,MATCH($C131&amp;$I131&amp;$H131&amp;$N131&amp;$O131,APOIO_REDES!$W:$W,0),MATCH(AY$5,APOIO_REDES!$5:$5,0)),0)*$AP131,0)</f>
        <v>0.587252153123376</v>
      </c>
      <c r="AZ131" s="153" t="n">
        <f aca="false">IFERROR(IF($N131="VCA",INDEX(APOIO_REDES!$A:$W,MATCH($C131&amp;$I131&amp;$H131&amp;$N131&amp;$O131,APOIO_REDES!$W:$W,0),MATCH(AZ$5,APOIO_REDES!$5:$5,0)),0)*$AP131,0)</f>
        <v>0.0812740008407506</v>
      </c>
      <c r="BA131" s="153" t="n">
        <f aca="false">IFERROR(IF(AND($N131="VCA",$Q131="LINEAR"),INDEX(APOIO_REDES!$A:$W,MATCH($C131&amp;$I131&amp;$H131&amp;$N131&amp;$O131,APOIO_REDES!$W:$W,0),MATCH(BA$5,APOIO_REDES!$5:$5,0)),IF(AND($N131="MND",$Q131="EMBOQUE"),INDEX(APOIO_REDES!$A:$W,MATCH($C131&amp;$I131&amp;$H131&amp;$N131&amp;$O131,APOIO_REDES!$W:$W,0),MATCH(BA$5,APOIO_REDES!$5:$5,0)),0))*$M131/10,0)</f>
        <v>0.223255012895991</v>
      </c>
      <c r="BB131" s="153" t="n">
        <f aca="false">IFERROR(IF($N131="VCA",INDEX(APOIO_REDES!$A:$W,MATCH($C131&amp;$I131&amp;$H131&amp;$N131&amp;$O131,APOIO_REDES!$W:$W,0),MATCH(BB$5,APOIO_REDES!$5:$5,0)),0)*($AI131+$AQ131+$AR131),0)</f>
        <v>1.36993079006093</v>
      </c>
      <c r="BC131" s="153" t="n">
        <f aca="false">IFERROR(IF($N131="VCA",INDEX(APOIO_REDES!$A:$W,MATCH($C131&amp;$I131&amp;$H131&amp;$N131&amp;$O131,APOIO_REDES!$W:$W,0),MATCH(BC$5,APOIO_REDES!$5:$5,0)),0)*($AI131+$AQ131+$AR131),0)</f>
        <v>0.0150692099390747</v>
      </c>
      <c r="BD131" s="153" t="n">
        <f aca="false">IF(AND($N131="VCA",$AF131&gt;=1.25,$AF131&lt;1.5),$M131*$AF131*2,0)</f>
        <v>0</v>
      </c>
      <c r="BE131" s="153" t="n">
        <f aca="false">IF(AND($N131="VCA",$AF131&gt;=1.5,$AF131&lt;3),$M131*$AF131*2,0)</f>
        <v>8.4485</v>
      </c>
      <c r="BF131" s="153" t="n">
        <f aca="false">IF(AND($N131="VCA",$AF131&gt;=3),$M131*$AF131*2,0)</f>
        <v>0</v>
      </c>
      <c r="BG131" s="153" t="n">
        <f aca="false">($BB131+$BC131)*$AK131</f>
        <v>3.4625</v>
      </c>
      <c r="BH131" s="153" t="n">
        <f aca="false">IF(AND($M131&lt;&gt;"",$N131="VCA",$Q131="LINEAR"),($M131*2)/100,IF(AND($M131&lt;&gt;"",$N131="MND",$Q131="EMBOQUE"),($AN131*2)/100,0))</f>
        <v>0.0554</v>
      </c>
      <c r="BI131" s="153" t="n">
        <f aca="false">IF(AND($M131&lt;&gt;"",$N131="VCA",$Q131="LINEAR"),$M131,IF(AND($M131&lt;&gt;"",$N131="MND",$Q131="EMBOQUE"),$AN131*2,0))</f>
        <v>2.77</v>
      </c>
      <c r="BJ131" s="153" t="n">
        <f aca="false">IF(AND($M131&lt;&gt;"",$N131="VCA",$Q131="LINEAR"),($M131*6.8)/100,IF(AND($M131&lt;&gt;"",$N131="MND",$Q131="EMBOQUE"),($AN131*2*6.8)/100,0))</f>
        <v>0.18836</v>
      </c>
      <c r="BK131" s="153" t="n">
        <f aca="false">IF(AND($M131&lt;&gt;"",$N131="VCA",$Q131="LINEAR"),($M131*2.5)/50,IF(AND($M131&lt;&gt;"",$N131="MND",$Q131="EMBOQUE"),($AN131*2*2.5)/50,0))</f>
        <v>0.1385</v>
      </c>
      <c r="BL131" s="157" t="str">
        <f aca="false">K131&amp;J131</f>
        <v>Zona01REDES</v>
      </c>
      <c r="BM131" s="152" t="s">
        <v>1559</v>
      </c>
      <c r="BN131" s="152" t="s">
        <v>1560</v>
      </c>
      <c r="BO131" s="152" t="s">
        <v>1982</v>
      </c>
      <c r="BP131" s="152" t="s">
        <v>2023</v>
      </c>
      <c r="BQ131" s="152" t="s">
        <v>2026</v>
      </c>
      <c r="BR131" s="152" t="s">
        <v>2027</v>
      </c>
      <c r="BS131" s="152" t="n">
        <v>203246.506</v>
      </c>
      <c r="BT131" s="152" t="n">
        <v>8238151.909</v>
      </c>
      <c r="BU131" s="152" t="n">
        <v>203244.868</v>
      </c>
      <c r="BV131" s="152" t="n">
        <v>8238149.674</v>
      </c>
      <c r="BW131" s="152" t="n">
        <v>-15.9181316</v>
      </c>
      <c r="BX131" s="152" t="n">
        <v>-47.7715723</v>
      </c>
      <c r="BY131" s="152" t="s">
        <v>2023</v>
      </c>
    </row>
    <row r="132" customFormat="false" ht="13.8" hidden="false" customHeight="false" outlineLevel="0" collapsed="false">
      <c r="A132" s="149" t="n">
        <f aca="false">IF(C132&lt;&gt;"",ROW(A127),"")</f>
        <v>127</v>
      </c>
      <c r="B132" s="150" t="str">
        <f aca="false">HYPERLINK("https://www.google.com/maps/dir/-15.917302,-47.760003/-15.9181216,-47.7715645/data=!4m3!4m2!3e0!5i0")</f>
        <v>https://www.google.com/maps/dir/-15.917302,-47.760003/-15.9181216,-47.7715645/data=!4m3!4m2!3e0!5i0</v>
      </c>
      <c r="C132" s="151" t="s">
        <v>117</v>
      </c>
      <c r="D132" s="152" t="s">
        <v>112</v>
      </c>
      <c r="E132" s="152" t="s">
        <v>113</v>
      </c>
      <c r="F132" s="152" t="s">
        <v>117</v>
      </c>
      <c r="G132" s="152" t="s">
        <v>114</v>
      </c>
      <c r="H132" s="152" t="n">
        <v>225</v>
      </c>
      <c r="I132" s="152" t="s">
        <v>115</v>
      </c>
      <c r="J132" s="152" t="s">
        <v>6</v>
      </c>
      <c r="K132" s="152" t="s">
        <v>1547</v>
      </c>
      <c r="L132" s="152" t="s">
        <v>120</v>
      </c>
      <c r="M132" s="153" t="n">
        <f aca="false">4.01</f>
        <v>4.01</v>
      </c>
      <c r="N132" s="152" t="s">
        <v>1548</v>
      </c>
      <c r="O132" s="152" t="s">
        <v>1549</v>
      </c>
      <c r="P132" s="152" t="s">
        <v>1550</v>
      </c>
      <c r="Q132" s="152" t="s">
        <v>1551</v>
      </c>
      <c r="R132" s="154" t="s">
        <v>2028</v>
      </c>
      <c r="S132" s="154" t="s">
        <v>1593</v>
      </c>
      <c r="T132" s="155" t="s">
        <v>1979</v>
      </c>
      <c r="U132" s="152" t="str">
        <f aca="false">RIGHT(T132,7)</f>
        <v>006/037</v>
      </c>
      <c r="V132" s="152" t="s">
        <v>1555</v>
      </c>
      <c r="W132" s="156" t="n">
        <v>45882</v>
      </c>
      <c r="X132" s="152" t="s">
        <v>1594</v>
      </c>
      <c r="Y132" s="152" t="s">
        <v>1971</v>
      </c>
      <c r="Z132" s="152" t="s">
        <v>1557</v>
      </c>
      <c r="AA132" s="153" t="n">
        <v>2.5</v>
      </c>
      <c r="AB132" s="151" t="s">
        <v>2029</v>
      </c>
      <c r="AC132" s="151" t="s">
        <v>508</v>
      </c>
      <c r="AD132" s="151" t="str">
        <f aca="false">CONCATENATE($C132,$I132,$H132,$N132,$J132,$K132)</f>
        <v>TUBO PEADPEAD225VCAREDESZona01</v>
      </c>
      <c r="AE132" s="153" t="n">
        <f aca="false">IFERROR(INDEX(APOIO_REDES!$A:$W,MATCH($C132&amp;$I132&amp;$H132&amp;$N132&amp;$O132,APOIO_REDES!$W:$W,0),MATCH(AE$5,APOIO_REDES!$5:$5,0)),0)</f>
        <v>1.2</v>
      </c>
      <c r="AF132" s="153" t="n">
        <f aca="false">IFERROR(INDEX(APOIO_REDES!$A:$W,MATCH($C132&amp;$I132&amp;$H132&amp;$N132&amp;$O132,APOIO_REDES!$W:$W,0),MATCH(AF$5,APOIO_REDES!$5:$5,0)),0)</f>
        <v>1.525</v>
      </c>
      <c r="AG132" s="153" t="n">
        <f aca="false">IFERROR(INDEX(APOIO_REDES!$A:$W,MATCH($C132&amp;$I132&amp;$H132&amp;$N132&amp;$O132,APOIO_REDES!$W:$W,0),MATCH(AG$5,APOIO_REDES!$5:$5,0)),0)</f>
        <v>0.8</v>
      </c>
      <c r="AH132" s="153" t="n">
        <f aca="false">IFERROR(INDEX(APOIO_REDES!$A:$W,MATCH($C132&amp;$I132&amp;$H132&amp;$N132&amp;$O132,APOIO_REDES!$W:$W,0),MATCH(AH$5,APOIO_REDES!$5:$5,0)),0)</f>
        <v>0.1</v>
      </c>
      <c r="AI132" s="153" t="n">
        <f aca="false">IFERROR(IF($H132&lt;&gt;"",(((($H132/1000)/2)^2)*PI()*$M132),0),0)</f>
        <v>0.159440735908203</v>
      </c>
      <c r="AJ132" s="153" t="n">
        <f aca="false">IFERROR(IF(AND($H132&lt;&gt;"",$I132="FoFo",OR($N132="MND",$N132="VCA"),$Q132="LINEAR"),0,IF(AND($H132&lt;&gt;"",$I132="PEAD",$N132="VCA",$Q132="LINEAR"),($H132/1000)+0.3,IF(AND($H132&lt;&gt;"",$I132="PEAD",$N132="MND",$Q132="EMBOQUE"),0,IF(AND($H132&lt;&gt;"",$I132="PVC",$N132="VCA",$Q132="LINEAR"),($H132/1000)+0.2,IF(AND($H132&lt;&gt;"",$I132="PVC",$N132="MND",$Q132="EMBOQUE"),0,IF(AND($H132&lt;&gt;"",$I132="PEAD",$N132="VCA",$Q132="PREDIAL"),0,0)))))),0)</f>
        <v>0.525</v>
      </c>
      <c r="AK132" s="153" t="n">
        <f aca="false">IF(AA132&lt;&gt;"",AA132,0)</f>
        <v>2.5</v>
      </c>
      <c r="AL132" s="153" t="n">
        <f aca="false">IF(AND($N132="MND",$Q132="EMBOQUE"),$M132,IF(AND($N132="VCA",$Q132="LINEAR"),$M132,IF(AND($N132="VCA",$Q132="PREDIAL"),0,0)))</f>
        <v>4.01</v>
      </c>
      <c r="AM132" s="153" t="n">
        <f aca="false">IF(AND($N132="MND",$Q132="EMBOQUE"),$M132,IF(AND($N132="VCA",$Q132="LINEAR"),$M132,IF(AND($N132="VCA",$Q132="PREDIAL"),0,0)))</f>
        <v>4.01</v>
      </c>
      <c r="AN132" s="153" t="n">
        <f aca="false">ROUND(IF(AND($N132="VCA",$M132&lt;&gt;"",$Q132="LINEAR"),$M132/100,IF(AND($N132="MND",$M132&gt;100,$Q132="EMBOQUE"),$M132/100,0)),0)</f>
        <v>0</v>
      </c>
      <c r="AO132" s="153" t="n">
        <f aca="false">IF(AND($N132="MND",$Q132="EMBOQUE"),$AN132*2*2,IF(AND($N132="VCA",$Q132="LINEAR"),$M132*2,IF(AND($N132="VCA",$Q132="PREDIAL"),0,0)))</f>
        <v>8.02</v>
      </c>
      <c r="AP132" s="153" t="n">
        <f aca="false">IFERROR($M132*$AF132*$AG132,0)</f>
        <v>4.8922</v>
      </c>
      <c r="AQ132" s="153" t="n">
        <f aca="false">IFERROR(IF(AND($N132="VCA",$AH132&gt;0),$M132*$AG132*$AH132,0),0)</f>
        <v>0.3208</v>
      </c>
      <c r="AR132" s="153" t="n">
        <f aca="false">IFERROR(IF(AND($N132="VCA",$AJ132&gt;0),($M132*$AG132*$AJ132)-$AI132,0),0)</f>
        <v>1.5247592640918</v>
      </c>
      <c r="AS132" s="153" t="n">
        <f aca="false">IFERROR(IF(AND($N132="VCA",$AP132&gt;0),$AP132-$AI132-$AQ132-$AR132,0),0)</f>
        <v>2.8872</v>
      </c>
      <c r="AT132" s="153" t="n">
        <f aca="false">IFERROR(IF($N132="VCA",INDEX(APOIO_REDES!$A:$W,MATCH($C132&amp;$I132&amp;$H132&amp;$N132&amp;$O132,APOIO_REDES!$W:$W,0),MATCH(AT$5,APOIO_REDES!$5:$5,0)),0)*$AP132,0)</f>
        <v>0.0532285840172861</v>
      </c>
      <c r="AU132" s="153" t="n">
        <f aca="false">IFERROR(IF($N132="VCA",INDEX(APOIO_REDES!$A:$W,MATCH($C132&amp;$I132&amp;$H132&amp;$N132&amp;$O132,APOIO_REDES!$W:$W,0),MATCH(AU$5,APOIO_REDES!$5:$5,0)),0)*$AP132,0)</f>
        <v>0.0425069055833235</v>
      </c>
      <c r="AV132" s="153" t="n">
        <f aca="false">IFERROR(IF($N132="VCA",INDEX(APOIO_REDES!$A:$W,MATCH($C132&amp;$I132&amp;$H132&amp;$N132&amp;$O132,APOIO_REDES!$W:$W,0),MATCH(AV$5,APOIO_REDES!$5:$5,0)),0)*$AP132,0)</f>
        <v>0.0058826220404397</v>
      </c>
      <c r="AW132" s="153" t="n">
        <f aca="false">IFERROR(IF($N132="VCA",INDEX(APOIO_REDES!$A:$W,MATCH($C132&amp;$I132&amp;$H132&amp;$N132&amp;$O132,APOIO_REDES!$W:$W,0),MATCH(AW$5,APOIO_REDES!$5:$5,0)),0)*$AP132,0)</f>
        <v>3.35804398661535</v>
      </c>
      <c r="AX132" s="153" t="n">
        <f aca="false">IFERROR(IF($N132="VCA",INDEX(APOIO_REDES!$A:$W,MATCH($C132&amp;$I132&amp;$H132&amp;$N132&amp;$O132,APOIO_REDES!$W:$W,0),MATCH(AX$5,APOIO_REDES!$5:$5,0)),0)*$AP132,0)</f>
        <v>0.464743722178203</v>
      </c>
      <c r="AY132" s="153" t="n">
        <f aca="false">IFERROR(IF($N132="VCA",INDEX(APOIO_REDES!$A:$W,MATCH($C132&amp;$I132&amp;$H132&amp;$N132&amp;$O132,APOIO_REDES!$W:$W,0),MATCH(AY$5,APOIO_REDES!$5:$5,0)),0)*$AP132,0)</f>
        <v>0.850137593510736</v>
      </c>
      <c r="AZ132" s="153" t="n">
        <f aca="false">IFERROR(IF($N132="VCA",INDEX(APOIO_REDES!$A:$W,MATCH($C132&amp;$I132&amp;$H132&amp;$N132&amp;$O132,APOIO_REDES!$W:$W,0),MATCH(AZ$5,APOIO_REDES!$5:$5,0)),0)*$AP132,0)</f>
        <v>0.117656586054661</v>
      </c>
      <c r="BA132" s="153" t="n">
        <f aca="false">IFERROR(IF(AND($N132="VCA",$Q132="LINEAR"),INDEX(APOIO_REDES!$A:$W,MATCH($C132&amp;$I132&amp;$H132&amp;$N132&amp;$O132,APOIO_REDES!$W:$W,0),MATCH(BA$5,APOIO_REDES!$5:$5,0)),IF(AND($N132="MND",$Q132="EMBOQUE"),INDEX(APOIO_REDES!$A:$W,MATCH($C132&amp;$I132&amp;$H132&amp;$N132&amp;$O132,APOIO_REDES!$W:$W,0),MATCH(BA$5,APOIO_REDES!$5:$5,0)),0))*$M132/10,0)</f>
        <v>0.323195885094919</v>
      </c>
      <c r="BB132" s="153" t="n">
        <f aca="false">IFERROR(IF($N132="VCA",INDEX(APOIO_REDES!$A:$W,MATCH($C132&amp;$I132&amp;$H132&amp;$N132&amp;$O132,APOIO_REDES!$W:$W,0),MATCH(BB$5,APOIO_REDES!$5:$5,0)),0)*($AI132+$AQ132+$AR132),0)</f>
        <v>1.98318500655029</v>
      </c>
      <c r="BC132" s="153" t="n">
        <f aca="false">IFERROR(IF($N132="VCA",INDEX(APOIO_REDES!$A:$W,MATCH($C132&amp;$I132&amp;$H132&amp;$N132&amp;$O132,APOIO_REDES!$W:$W,0),MATCH(BC$5,APOIO_REDES!$5:$5,0)),0)*($AI132+$AQ132+$AR132),0)</f>
        <v>0.0218149934497074</v>
      </c>
      <c r="BD132" s="153" t="n">
        <f aca="false">IF(AND($N132="VCA",$AF132&gt;=1.25,$AF132&lt;1.5),$M132*$AF132*2,0)</f>
        <v>0</v>
      </c>
      <c r="BE132" s="153" t="n">
        <f aca="false">IF(AND($N132="VCA",$AF132&gt;=1.5,$AF132&lt;3),$M132*$AF132*2,0)</f>
        <v>12.2305</v>
      </c>
      <c r="BF132" s="153" t="n">
        <f aca="false">IF(AND($N132="VCA",$AF132&gt;=3),$M132*$AF132*2,0)</f>
        <v>0</v>
      </c>
      <c r="BG132" s="153" t="n">
        <f aca="false">($BB132+$BC132)*$AK132</f>
        <v>5.0125</v>
      </c>
      <c r="BH132" s="153" t="n">
        <f aca="false">IF(AND($M132&lt;&gt;"",$N132="VCA",$Q132="LINEAR"),($M132*2)/100,IF(AND($M132&lt;&gt;"",$N132="MND",$Q132="EMBOQUE"),($AN132*2)/100,0))</f>
        <v>0.0802</v>
      </c>
      <c r="BI132" s="153" t="n">
        <f aca="false">IF(AND($M132&lt;&gt;"",$N132="VCA",$Q132="LINEAR"),$M132,IF(AND($M132&lt;&gt;"",$N132="MND",$Q132="EMBOQUE"),$AN132*2,0))</f>
        <v>4.01</v>
      </c>
      <c r="BJ132" s="153" t="n">
        <f aca="false">IF(AND($M132&lt;&gt;"",$N132="VCA",$Q132="LINEAR"),($M132*6.8)/100,IF(AND($M132&lt;&gt;"",$N132="MND",$Q132="EMBOQUE"),($AN132*2*6.8)/100,0))</f>
        <v>0.27268</v>
      </c>
      <c r="BK132" s="153" t="n">
        <f aca="false">IF(AND($M132&lt;&gt;"",$N132="VCA",$Q132="LINEAR"),($M132*2.5)/50,IF(AND($M132&lt;&gt;"",$N132="MND",$Q132="EMBOQUE"),($AN132*2*2.5)/50,0))</f>
        <v>0.2005</v>
      </c>
      <c r="BL132" s="157" t="str">
        <f aca="false">K132&amp;J132</f>
        <v>Zona01REDES</v>
      </c>
      <c r="BM132" s="152" t="s">
        <v>1559</v>
      </c>
      <c r="BN132" s="152" t="s">
        <v>1560</v>
      </c>
      <c r="BO132" s="152" t="s">
        <v>1982</v>
      </c>
      <c r="BP132" s="152" t="s">
        <v>2023</v>
      </c>
      <c r="BQ132" s="152" t="s">
        <v>1993</v>
      </c>
      <c r="BR132" s="152" t="s">
        <v>1899</v>
      </c>
      <c r="BS132" s="152" t="n">
        <v>203246.51</v>
      </c>
      <c r="BT132" s="152" t="n">
        <v>8238151.903</v>
      </c>
      <c r="BU132" s="152" t="n">
        <v>203249.874</v>
      </c>
      <c r="BV132" s="152" t="n">
        <v>8238149.719</v>
      </c>
      <c r="BW132" s="152" t="n">
        <v>-15.9181317</v>
      </c>
      <c r="BX132" s="152" t="n">
        <v>-47.7715489</v>
      </c>
      <c r="BY132" s="152" t="s">
        <v>2023</v>
      </c>
    </row>
    <row r="133" customFormat="false" ht="13.8" hidden="false" customHeight="false" outlineLevel="0" collapsed="false">
      <c r="A133" s="149" t="n">
        <f aca="false">IF(C133&lt;&gt;"",ROW(A128),"")</f>
        <v>128</v>
      </c>
      <c r="B133" s="150" t="str">
        <f aca="false">HYPERLINK("https://www.google.com/maps/dir/-15.917302,-47.760003/-15.9181415,-47.7715801/data=!4m3!4m2!3e0!5i0")</f>
        <v>https://www.google.com/maps/dir/-15.917302,-47.760003/-15.9181415,-47.7715801/data=!4m3!4m2!3e0!5i0</v>
      </c>
      <c r="C133" s="151" t="s">
        <v>117</v>
      </c>
      <c r="D133" s="152" t="s">
        <v>112</v>
      </c>
      <c r="E133" s="152" t="s">
        <v>113</v>
      </c>
      <c r="F133" s="152" t="s">
        <v>117</v>
      </c>
      <c r="G133" s="152" t="s">
        <v>114</v>
      </c>
      <c r="H133" s="152" t="n">
        <v>225</v>
      </c>
      <c r="I133" s="152" t="s">
        <v>115</v>
      </c>
      <c r="J133" s="152" t="s">
        <v>6</v>
      </c>
      <c r="K133" s="152" t="s">
        <v>1547</v>
      </c>
      <c r="L133" s="152" t="s">
        <v>120</v>
      </c>
      <c r="M133" s="153" t="n">
        <f aca="false">80.35</f>
        <v>80.35</v>
      </c>
      <c r="N133" s="152" t="s">
        <v>1548</v>
      </c>
      <c r="O133" s="152" t="s">
        <v>1549</v>
      </c>
      <c r="P133" s="152" t="s">
        <v>1550</v>
      </c>
      <c r="Q133" s="152" t="s">
        <v>1551</v>
      </c>
      <c r="R133" s="154" t="s">
        <v>2030</v>
      </c>
      <c r="S133" s="154" t="s">
        <v>1593</v>
      </c>
      <c r="T133" s="155" t="s">
        <v>1979</v>
      </c>
      <c r="U133" s="152" t="str">
        <f aca="false">RIGHT(T133,7)</f>
        <v>006/037</v>
      </c>
      <c r="V133" s="152" t="s">
        <v>1555</v>
      </c>
      <c r="W133" s="156" t="n">
        <v>45882</v>
      </c>
      <c r="X133" s="152" t="s">
        <v>1594</v>
      </c>
      <c r="Y133" s="152" t="s">
        <v>1971</v>
      </c>
      <c r="Z133" s="152" t="s">
        <v>1557</v>
      </c>
      <c r="AA133" s="153" t="n">
        <v>2.5</v>
      </c>
      <c r="AB133" s="151" t="s">
        <v>2031</v>
      </c>
      <c r="AC133" s="151" t="s">
        <v>508</v>
      </c>
      <c r="AD133" s="151" t="str">
        <f aca="false">CONCATENATE($C133,$I133,$H133,$N133,$J133,$K133)</f>
        <v>TUBO PEADPEAD225VCAREDESZona01</v>
      </c>
      <c r="AE133" s="153" t="n">
        <f aca="false">IFERROR(INDEX(APOIO_REDES!$A:$W,MATCH($C133&amp;$I133&amp;$H133&amp;$N133&amp;$O133,APOIO_REDES!$W:$W,0),MATCH(AE$5,APOIO_REDES!$5:$5,0)),0)</f>
        <v>1.2</v>
      </c>
      <c r="AF133" s="153" t="n">
        <f aca="false">IFERROR(INDEX(APOIO_REDES!$A:$W,MATCH($C133&amp;$I133&amp;$H133&amp;$N133&amp;$O133,APOIO_REDES!$W:$W,0),MATCH(AF$5,APOIO_REDES!$5:$5,0)),0)</f>
        <v>1.525</v>
      </c>
      <c r="AG133" s="153" t="n">
        <f aca="false">IFERROR(INDEX(APOIO_REDES!$A:$W,MATCH($C133&amp;$I133&amp;$H133&amp;$N133&amp;$O133,APOIO_REDES!$W:$W,0),MATCH(AG$5,APOIO_REDES!$5:$5,0)),0)</f>
        <v>0.8</v>
      </c>
      <c r="AH133" s="153" t="n">
        <f aca="false">IFERROR(INDEX(APOIO_REDES!$A:$W,MATCH($C133&amp;$I133&amp;$H133&amp;$N133&amp;$O133,APOIO_REDES!$W:$W,0),MATCH(AH$5,APOIO_REDES!$5:$5,0)),0)</f>
        <v>0.1</v>
      </c>
      <c r="AI133" s="153" t="n">
        <f aca="false">IFERROR(IF($H133&lt;&gt;"",(((($H133/1000)/2)^2)*PI()*$M133),0),0)</f>
        <v>3.19477883546736</v>
      </c>
      <c r="AJ133" s="153" t="n">
        <f aca="false">IFERROR(IF(AND($H133&lt;&gt;"",$I133="FoFo",OR($N133="MND",$N133="VCA"),$Q133="LINEAR"),0,IF(AND($H133&lt;&gt;"",$I133="PEAD",$N133="VCA",$Q133="LINEAR"),($H133/1000)+0.3,IF(AND($H133&lt;&gt;"",$I133="PEAD",$N133="MND",$Q133="EMBOQUE"),0,IF(AND($H133&lt;&gt;"",$I133="PVC",$N133="VCA",$Q133="LINEAR"),($H133/1000)+0.2,IF(AND($H133&lt;&gt;"",$I133="PVC",$N133="MND",$Q133="EMBOQUE"),0,IF(AND($H133&lt;&gt;"",$I133="PEAD",$N133="VCA",$Q133="PREDIAL"),0,0)))))),0)</f>
        <v>0.525</v>
      </c>
      <c r="AK133" s="153" t="n">
        <f aca="false">IF(AA133&lt;&gt;"",AA133,0)</f>
        <v>2.5</v>
      </c>
      <c r="AL133" s="153" t="n">
        <f aca="false">IF(AND($N133="MND",$Q133="EMBOQUE"),$M133,IF(AND($N133="VCA",$Q133="LINEAR"),$M133,IF(AND($N133="VCA",$Q133="PREDIAL"),0,0)))</f>
        <v>80.35</v>
      </c>
      <c r="AM133" s="153" t="n">
        <f aca="false">IF(AND($N133="MND",$Q133="EMBOQUE"),$M133,IF(AND($N133="VCA",$Q133="LINEAR"),$M133,IF(AND($N133="VCA",$Q133="PREDIAL"),0,0)))</f>
        <v>80.35</v>
      </c>
      <c r="AN133" s="153" t="n">
        <f aca="false">ROUND(IF(AND($N133="VCA",$M133&lt;&gt;"",$Q133="LINEAR"),$M133/100,IF(AND($N133="MND",$M133&gt;100,$Q133="EMBOQUE"),$M133/100,0)),0)</f>
        <v>1</v>
      </c>
      <c r="AO133" s="153" t="n">
        <f aca="false">IF(AND($N133="MND",$Q133="EMBOQUE"),$AN133*2*2,IF(AND($N133="VCA",$Q133="LINEAR"),$M133*2,IF(AND($N133="VCA",$Q133="PREDIAL"),0,0)))</f>
        <v>160.7</v>
      </c>
      <c r="AP133" s="153" t="n">
        <f aca="false">IFERROR($M133*$AF133*$AG133,0)</f>
        <v>98.027</v>
      </c>
      <c r="AQ133" s="153" t="n">
        <f aca="false">IFERROR(IF(AND($N133="VCA",$AH133&gt;0),$M133*$AG133*$AH133,0),0)</f>
        <v>6.428</v>
      </c>
      <c r="AR133" s="153" t="n">
        <f aca="false">IFERROR(IF(AND($N133="VCA",$AJ133&gt;0),($M133*$AG133*$AJ133)-$AI133,0),0)</f>
        <v>30.5522211645326</v>
      </c>
      <c r="AS133" s="153" t="n">
        <f aca="false">IFERROR(IF(AND($N133="VCA",$AP133&gt;0),$AP133-$AI133-$AQ133-$AR133,0),0)</f>
        <v>57.852</v>
      </c>
      <c r="AT133" s="153" t="n">
        <f aca="false">IFERROR(IF($N133="VCA",INDEX(APOIO_REDES!$A:$W,MATCH($C133&amp;$I133&amp;$H133&amp;$N133&amp;$O133,APOIO_REDES!$W:$W,0),MATCH(AT$5,APOIO_REDES!$5:$5,0)),0)*$AP133,0)</f>
        <v>1.06656277451096</v>
      </c>
      <c r="AU133" s="153" t="n">
        <f aca="false">IFERROR(IF($N133="VCA",INDEX(APOIO_REDES!$A:$W,MATCH($C133&amp;$I133&amp;$H133&amp;$N133&amp;$O133,APOIO_REDES!$W:$W,0),MATCH(AU$5,APOIO_REDES!$5:$5,0)),0)*$AP133,0)</f>
        <v>0.851728145541157</v>
      </c>
      <c r="AV133" s="153" t="n">
        <f aca="false">IFERROR(IF($N133="VCA",INDEX(APOIO_REDES!$A:$W,MATCH($C133&amp;$I133&amp;$H133&amp;$N133&amp;$O133,APOIO_REDES!$W:$W,0),MATCH(AV$5,APOIO_REDES!$5:$5,0)),0)*$AP133,0)</f>
        <v>0.117872489014796</v>
      </c>
      <c r="AW133" s="153" t="n">
        <f aca="false">IFERROR(IF($N133="VCA",INDEX(APOIO_REDES!$A:$W,MATCH($C133&amp;$I133&amp;$H133&amp;$N133&amp;$O133,APOIO_REDES!$W:$W,0),MATCH(AW$5,APOIO_REDES!$5:$5,0)),0)*$AP133,0)</f>
        <v>67.2864923502602</v>
      </c>
      <c r="AX133" s="153" t="n">
        <f aca="false">IFERROR(IF($N133="VCA",INDEX(APOIO_REDES!$A:$W,MATCH($C133&amp;$I133&amp;$H133&amp;$N133&amp;$O133,APOIO_REDES!$W:$W,0),MATCH(AX$5,APOIO_REDES!$5:$5,0)),0)*$AP133,0)</f>
        <v>9.31225887207447</v>
      </c>
      <c r="AY133" s="153" t="n">
        <f aca="false">IFERROR(IF($N133="VCA",INDEX(APOIO_REDES!$A:$W,MATCH($C133&amp;$I133&amp;$H133&amp;$N133&amp;$O133,APOIO_REDES!$W:$W,0),MATCH(AY$5,APOIO_REDES!$5:$5,0)),0)*$AP133,0)</f>
        <v>17.0345525283261</v>
      </c>
      <c r="AZ133" s="153" t="n">
        <f aca="false">IFERROR(IF($N133="VCA",INDEX(APOIO_REDES!$A:$W,MATCH($C133&amp;$I133&amp;$H133&amp;$N133&amp;$O133,APOIO_REDES!$W:$W,0),MATCH(AZ$5,APOIO_REDES!$5:$5,0)),0)*$AP133,0)</f>
        <v>2.35753284027232</v>
      </c>
      <c r="BA133" s="153" t="n">
        <f aca="false">IFERROR(IF(AND($N133="VCA",$Q133="LINEAR"),INDEX(APOIO_REDES!$A:$W,MATCH($C133&amp;$I133&amp;$H133&amp;$N133&amp;$O133,APOIO_REDES!$W:$W,0),MATCH(BA$5,APOIO_REDES!$5:$5,0)),IF(AND($N133="MND",$Q133="EMBOQUE"),INDEX(APOIO_REDES!$A:$W,MATCH($C133&amp;$I133&amp;$H133&amp;$N133&amp;$O133,APOIO_REDES!$W:$W,0),MATCH(BA$5,APOIO_REDES!$5:$5,0)),0))*$M133/10,0)</f>
        <v>6.47600732353535</v>
      </c>
      <c r="BB133" s="153" t="n">
        <f aca="false">IFERROR(IF($N133="VCA",INDEX(APOIO_REDES!$A:$W,MATCH($C133&amp;$I133&amp;$H133&amp;$N133&amp;$O133,APOIO_REDES!$W:$W,0),MATCH(BB$5,APOIO_REDES!$5:$5,0)),0)*($AI133+$AQ133+$AR133),0)</f>
        <v>39.737884108807</v>
      </c>
      <c r="BC133" s="153" t="n">
        <f aca="false">IFERROR(IF($N133="VCA",INDEX(APOIO_REDES!$A:$W,MATCH($C133&amp;$I133&amp;$H133&amp;$N133&amp;$O133,APOIO_REDES!$W:$W,0),MATCH(BC$5,APOIO_REDES!$5:$5,0)),0)*($AI133+$AQ133+$AR133),0)</f>
        <v>0.437115891193015</v>
      </c>
      <c r="BD133" s="153" t="n">
        <f aca="false">IF(AND($N133="VCA",$AF133&gt;=1.25,$AF133&lt;1.5),$M133*$AF133*2,0)</f>
        <v>0</v>
      </c>
      <c r="BE133" s="153" t="n">
        <f aca="false">IF(AND($N133="VCA",$AF133&gt;=1.5,$AF133&lt;3),$M133*$AF133*2,0)</f>
        <v>245.0675</v>
      </c>
      <c r="BF133" s="153" t="n">
        <f aca="false">IF(AND($N133="VCA",$AF133&gt;=3),$M133*$AF133*2,0)</f>
        <v>0</v>
      </c>
      <c r="BG133" s="153" t="n">
        <f aca="false">($BB133+$BC133)*$AK133</f>
        <v>100.4375</v>
      </c>
      <c r="BH133" s="153" t="n">
        <f aca="false">IF(AND($M133&lt;&gt;"",$N133="VCA",$Q133="LINEAR"),($M133*2)/100,IF(AND($M133&lt;&gt;"",$N133="MND",$Q133="EMBOQUE"),($AN133*2)/100,0))</f>
        <v>1.607</v>
      </c>
      <c r="BI133" s="153" t="n">
        <f aca="false">IF(AND($M133&lt;&gt;"",$N133="VCA",$Q133="LINEAR"),$M133,IF(AND($M133&lt;&gt;"",$N133="MND",$Q133="EMBOQUE"),$AN133*2,0))</f>
        <v>80.35</v>
      </c>
      <c r="BJ133" s="153" t="n">
        <f aca="false">IF(AND($M133&lt;&gt;"",$N133="VCA",$Q133="LINEAR"),($M133*6.8)/100,IF(AND($M133&lt;&gt;"",$N133="MND",$Q133="EMBOQUE"),($AN133*2*6.8)/100,0))</f>
        <v>5.4638</v>
      </c>
      <c r="BK133" s="153" t="n">
        <f aca="false">IF(AND($M133&lt;&gt;"",$N133="VCA",$Q133="LINEAR"),($M133*2.5)/50,IF(AND($M133&lt;&gt;"",$N133="MND",$Q133="EMBOQUE"),($AN133*2*2.5)/50,0))</f>
        <v>4.0175</v>
      </c>
      <c r="BL133" s="157" t="str">
        <f aca="false">K133&amp;J133</f>
        <v>Zona01REDES</v>
      </c>
      <c r="BM133" s="152" t="s">
        <v>1559</v>
      </c>
      <c r="BN133" s="152" t="s">
        <v>1560</v>
      </c>
      <c r="BO133" s="152" t="s">
        <v>1982</v>
      </c>
      <c r="BP133" s="152" t="s">
        <v>2026</v>
      </c>
      <c r="BQ133" s="152" t="s">
        <v>2032</v>
      </c>
      <c r="BR133" s="152" t="s">
        <v>2027</v>
      </c>
      <c r="BS133" s="152" t="n">
        <v>203244.868</v>
      </c>
      <c r="BT133" s="152" t="n">
        <v>8238149.674</v>
      </c>
      <c r="BU133" s="152" t="n">
        <v>203197.466</v>
      </c>
      <c r="BV133" s="152" t="n">
        <v>8238084.798</v>
      </c>
      <c r="BW133" s="152" t="n">
        <v>-15.9184324</v>
      </c>
      <c r="BX133" s="152" t="n">
        <v>-47.7718042</v>
      </c>
      <c r="BY133" s="152" t="s">
        <v>2026</v>
      </c>
    </row>
    <row r="134" customFormat="false" ht="13.8" hidden="false" customHeight="false" outlineLevel="0" collapsed="false">
      <c r="A134" s="149" t="n">
        <f aca="false">IF(C134&lt;&gt;"",ROW(A129),"")</f>
        <v>129</v>
      </c>
      <c r="B134" s="150" t="str">
        <f aca="false">HYPERLINK("https://www.google.com/maps/dir/-15.917302,-47.760003/-15.9172410,-47.7754921/data=!4m3!4m2!3e0!5i0")</f>
        <v>https://www.google.com/maps/dir/-15.917302,-47.760003/-15.9172410,-47.7754921/data=!4m3!4m2!3e0!5i0</v>
      </c>
      <c r="C134" s="151" t="s">
        <v>117</v>
      </c>
      <c r="D134" s="152" t="s">
        <v>112</v>
      </c>
      <c r="E134" s="152" t="s">
        <v>113</v>
      </c>
      <c r="F134" s="152" t="s">
        <v>117</v>
      </c>
      <c r="G134" s="152" t="s">
        <v>782</v>
      </c>
      <c r="H134" s="152" t="n">
        <v>63</v>
      </c>
      <c r="I134" s="152" t="s">
        <v>115</v>
      </c>
      <c r="J134" s="152" t="s">
        <v>6</v>
      </c>
      <c r="K134" s="152" t="s">
        <v>2033</v>
      </c>
      <c r="L134" s="152" t="s">
        <v>120</v>
      </c>
      <c r="M134" s="153" t="n">
        <f aca="false">65.09</f>
        <v>65.09</v>
      </c>
      <c r="N134" s="152" t="s">
        <v>1548</v>
      </c>
      <c r="O134" s="152" t="s">
        <v>1549</v>
      </c>
      <c r="P134" s="152" t="s">
        <v>1550</v>
      </c>
      <c r="Q134" s="152" t="s">
        <v>1551</v>
      </c>
      <c r="R134" s="154" t="s">
        <v>2034</v>
      </c>
      <c r="S134" s="154" t="s">
        <v>1553</v>
      </c>
      <c r="T134" s="155" t="s">
        <v>1965</v>
      </c>
      <c r="U134" s="152" t="str">
        <f aca="false">RIGHT(T134,7)</f>
        <v>005/037</v>
      </c>
      <c r="V134" s="152" t="s">
        <v>1555</v>
      </c>
      <c r="W134" s="156" t="n">
        <v>45882</v>
      </c>
      <c r="X134" s="152" t="s">
        <v>1594</v>
      </c>
      <c r="Y134" s="152" t="s">
        <v>2035</v>
      </c>
      <c r="Z134" s="152" t="s">
        <v>1557</v>
      </c>
      <c r="AA134" s="153" t="n">
        <v>3.2</v>
      </c>
      <c r="AB134" s="151" t="s">
        <v>2036</v>
      </c>
      <c r="AC134" s="151" t="s">
        <v>186</v>
      </c>
      <c r="AD134" s="151" t="str">
        <f aca="false">CONCATENATE($C134,$I134,$H134,$N134,$J134,$K134)</f>
        <v>TUBO PEADPEAD63VCAREDESZona02</v>
      </c>
      <c r="AE134" s="153" t="n">
        <f aca="false">IFERROR(INDEX(APOIO_REDES!$A:$W,MATCH($C134&amp;$I134&amp;$H134&amp;$N134&amp;$O134,APOIO_REDES!$W:$W,0),MATCH(AE$5,APOIO_REDES!$5:$5,0)),0)</f>
        <v>1.2</v>
      </c>
      <c r="AF134" s="153" t="n">
        <f aca="false">IFERROR(INDEX(APOIO_REDES!$A:$W,MATCH($C134&amp;$I134&amp;$H134&amp;$N134&amp;$O134,APOIO_REDES!$W:$W,0),MATCH(AF$5,APOIO_REDES!$5:$5,0)),0)</f>
        <v>1.363</v>
      </c>
      <c r="AG134" s="153" t="n">
        <f aca="false">IFERROR(INDEX(APOIO_REDES!$A:$W,MATCH($C134&amp;$I134&amp;$H134&amp;$N134&amp;$O134,APOIO_REDES!$W:$W,0),MATCH(AG$5,APOIO_REDES!$5:$5,0)),0)</f>
        <v>0.65</v>
      </c>
      <c r="AH134" s="153" t="n">
        <f aca="false">IFERROR(INDEX(APOIO_REDES!$A:$W,MATCH($C134&amp;$I134&amp;$H134&amp;$N134&amp;$O134,APOIO_REDES!$W:$W,0),MATCH(AH$5,APOIO_REDES!$5:$5,0)),0)</f>
        <v>0.1</v>
      </c>
      <c r="AI134" s="153" t="n">
        <f aca="false">IFERROR(IF($H134&lt;&gt;"",(((($H134/1000)/2)^2)*PI()*$M134),0),0)</f>
        <v>0.202901497262038</v>
      </c>
      <c r="AJ134" s="153" t="n">
        <f aca="false">IFERROR(IF(AND($H134&lt;&gt;"",$I134="FoFo",OR($N134="MND",$N134="VCA"),$Q134="LINEAR"),0,IF(AND($H134&lt;&gt;"",$I134="PEAD",$N134="VCA",$Q134="LINEAR"),($H134/1000)+0.3,IF(AND($H134&lt;&gt;"",$I134="PEAD",$N134="MND",$Q134="EMBOQUE"),0,IF(AND($H134&lt;&gt;"",$I134="PVC",$N134="VCA",$Q134="LINEAR"),($H134/1000)+0.2,IF(AND($H134&lt;&gt;"",$I134="PVC",$N134="MND",$Q134="EMBOQUE"),0,IF(AND($H134&lt;&gt;"",$I134="PEAD",$N134="VCA",$Q134="PREDIAL"),0,0)))))),0)</f>
        <v>0.363</v>
      </c>
      <c r="AK134" s="153" t="n">
        <f aca="false">IF(AA134&lt;&gt;"",AA134,0)</f>
        <v>3.2</v>
      </c>
      <c r="AL134" s="153" t="n">
        <f aca="false">IF(AND($N134="MND",$Q134="EMBOQUE"),$M134,IF(AND($N134="VCA",$Q134="LINEAR"),$M134,IF(AND($N134="VCA",$Q134="PREDIAL"),0,0)))</f>
        <v>65.09</v>
      </c>
      <c r="AM134" s="153" t="n">
        <f aca="false">IF(AND($N134="MND",$Q134="EMBOQUE"),$M134,IF(AND($N134="VCA",$Q134="LINEAR"),$M134,IF(AND($N134="VCA",$Q134="PREDIAL"),0,0)))</f>
        <v>65.09</v>
      </c>
      <c r="AN134" s="153" t="n">
        <f aca="false">ROUND(IF(AND($N134="VCA",$M134&lt;&gt;"",$Q134="LINEAR"),$M134/100,IF(AND($N134="MND",$M134&gt;100,$Q134="EMBOQUE"),$M134/100,0)),0)</f>
        <v>1</v>
      </c>
      <c r="AO134" s="153" t="n">
        <f aca="false">IF(AND($N134="MND",$Q134="EMBOQUE"),$AN134*2*2,IF(AND($N134="VCA",$Q134="LINEAR"),$M134*2,IF(AND($N134="VCA",$Q134="PREDIAL"),0,0)))</f>
        <v>130.18</v>
      </c>
      <c r="AP134" s="153" t="n">
        <f aca="false">IFERROR($M134*$AF134*$AG134,0)</f>
        <v>57.6664855</v>
      </c>
      <c r="AQ134" s="153" t="n">
        <f aca="false">IFERROR(IF(AND($N134="VCA",$AH134&gt;0),$M134*$AG134*$AH134,0),0)</f>
        <v>4.23085</v>
      </c>
      <c r="AR134" s="153" t="n">
        <f aca="false">IFERROR(IF(AND($N134="VCA",$AJ134&gt;0),($M134*$AG134*$AJ134)-$AI134,0),0)</f>
        <v>15.155084002738</v>
      </c>
      <c r="AS134" s="153" t="n">
        <f aca="false">IFERROR(IF(AND($N134="VCA",$AP134&gt;0),$AP134-$AI134-$AQ134-$AR134,0),0)</f>
        <v>38.07765</v>
      </c>
      <c r="AT134" s="153" t="n">
        <f aca="false">IFERROR(IF($N134="VCA",INDEX(APOIO_REDES!$A:$W,MATCH($C134&amp;$I134&amp;$H134&amp;$N134&amp;$O134,APOIO_REDES!$W:$W,0),MATCH(AT$5,APOIO_REDES!$5:$5,0)),0)*$AP134,0)</f>
        <v>0.627428430648453</v>
      </c>
      <c r="AU134" s="153" t="n">
        <f aca="false">IFERROR(IF($N134="VCA",INDEX(APOIO_REDES!$A:$W,MATCH($C134&amp;$I134&amp;$H134&amp;$N134&amp;$O134,APOIO_REDES!$W:$W,0),MATCH(AU$5,APOIO_REDES!$5:$5,0)),0)*$AP134,0)</f>
        <v>0.501047351798902</v>
      </c>
      <c r="AV134" s="153" t="n">
        <f aca="false">IFERROR(IF($N134="VCA",INDEX(APOIO_REDES!$A:$W,MATCH($C134&amp;$I134&amp;$H134&amp;$N134&amp;$O134,APOIO_REDES!$W:$W,0),MATCH(AV$5,APOIO_REDES!$5:$5,0)),0)*$AP134,0)</f>
        <v>0.0693410201130364</v>
      </c>
      <c r="AW134" s="153" t="n">
        <f aca="false">IFERROR(IF($N134="VCA",INDEX(APOIO_REDES!$A:$W,MATCH($C134&amp;$I134&amp;$H134&amp;$N134&amp;$O134,APOIO_REDES!$W:$W,0),MATCH(AW$5,APOIO_REDES!$5:$5,0)),0)*$AP134,0)</f>
        <v>39.5827224689335</v>
      </c>
      <c r="AX134" s="153" t="n">
        <f aca="false">IFERROR(IF($N134="VCA",INDEX(APOIO_REDES!$A:$W,MATCH($C134&amp;$I134&amp;$H134&amp;$N134&amp;$O134,APOIO_REDES!$W:$W,0),MATCH(AX$5,APOIO_REDES!$5:$5,0)),0)*$AP134,0)</f>
        <v>5.47813603618114</v>
      </c>
      <c r="AY134" s="153" t="n">
        <f aca="false">IFERROR(IF($N134="VCA",INDEX(APOIO_REDES!$A:$W,MATCH($C134&amp;$I134&amp;$H134&amp;$N134&amp;$O134,APOIO_REDES!$W:$W,0),MATCH(AY$5,APOIO_REDES!$5:$5,0)),0)*$AP134,0)</f>
        <v>10.0209409282514</v>
      </c>
      <c r="AZ134" s="153" t="n">
        <f aca="false">IFERROR(IF($N134="VCA",INDEX(APOIO_REDES!$A:$W,MATCH($C134&amp;$I134&amp;$H134&amp;$N134&amp;$O134,APOIO_REDES!$W:$W,0),MATCH(AZ$5,APOIO_REDES!$5:$5,0)),0)*$AP134,0)</f>
        <v>1.38686926407354</v>
      </c>
      <c r="BA134" s="153" t="n">
        <f aca="false">IFERROR(IF(AND($N134="VCA",$Q134="LINEAR"),INDEX(APOIO_REDES!$A:$W,MATCH($C134&amp;$I134&amp;$H134&amp;$N134&amp;$O134,APOIO_REDES!$W:$W,0),MATCH(BA$5,APOIO_REDES!$5:$5,0)),IF(AND($N134="MND",$Q134="EMBOQUE"),INDEX(APOIO_REDES!$A:$W,MATCH($C134&amp;$I134&amp;$H134&amp;$N134&amp;$O134,APOIO_REDES!$W:$W,0),MATCH(BA$5,APOIO_REDES!$5:$5,0)),0))*$M134/10,0)</f>
        <v>5.2460898156679</v>
      </c>
      <c r="BB134" s="153" t="n">
        <f aca="false">IFERROR(IF($N134="VCA",INDEX(APOIO_REDES!$A:$W,MATCH($C134&amp;$I134&amp;$H134&amp;$N134&amp;$O134,APOIO_REDES!$W:$W,0),MATCH(BB$5,APOIO_REDES!$5:$5,0)),0)*($AI134+$AQ134+$AR134),0)</f>
        <v>19.3757031717606</v>
      </c>
      <c r="BC134" s="153" t="n">
        <f aca="false">IFERROR(IF($N134="VCA",INDEX(APOIO_REDES!$A:$W,MATCH($C134&amp;$I134&amp;$H134&amp;$N134&amp;$O134,APOIO_REDES!$W:$W,0),MATCH(BC$5,APOIO_REDES!$5:$5,0)),0)*($AI134+$AQ134+$AR134),0)</f>
        <v>0.21313232823935</v>
      </c>
      <c r="BD134" s="153" t="n">
        <f aca="false">IF(AND($N134="VCA",$AF134&gt;=1.25,$AF134&lt;1.5),$M134*$AF134*2,0)</f>
        <v>177.43534</v>
      </c>
      <c r="BE134" s="153" t="n">
        <f aca="false">IF(AND($N134="VCA",$AF134&gt;=1.5,$AF134&lt;3),$M134*$AF134*2,0)</f>
        <v>0</v>
      </c>
      <c r="BF134" s="153" t="n">
        <f aca="false">IF(AND($N134="VCA",$AF134&gt;=3),$M134*$AF134*2,0)</f>
        <v>0</v>
      </c>
      <c r="BG134" s="153" t="n">
        <f aca="false">($BB134+$BC134)*$AK134</f>
        <v>62.6842736</v>
      </c>
      <c r="BH134" s="153" t="n">
        <f aca="false">IF(AND($M134&lt;&gt;"",$N134="VCA",$Q134="LINEAR"),($M134*2)/100,IF(AND($M134&lt;&gt;"",$N134="MND",$Q134="EMBOQUE"),($AN134*2)/100,0))</f>
        <v>1.3018</v>
      </c>
      <c r="BI134" s="153" t="n">
        <f aca="false">IF(AND($M134&lt;&gt;"",$N134="VCA",$Q134="LINEAR"),$M134,IF(AND($M134&lt;&gt;"",$N134="MND",$Q134="EMBOQUE"),$AN134*2,0))</f>
        <v>65.09</v>
      </c>
      <c r="BJ134" s="153" t="n">
        <f aca="false">IF(AND($M134&lt;&gt;"",$N134="VCA",$Q134="LINEAR"),($M134*6.8)/100,IF(AND($M134&lt;&gt;"",$N134="MND",$Q134="EMBOQUE"),($AN134*2*6.8)/100,0))</f>
        <v>4.42612</v>
      </c>
      <c r="BK134" s="153" t="n">
        <f aca="false">IF(AND($M134&lt;&gt;"",$N134="VCA",$Q134="LINEAR"),($M134*2.5)/50,IF(AND($M134&lt;&gt;"",$N134="MND",$Q134="EMBOQUE"),($AN134*2*2.5)/50,0))</f>
        <v>3.2545</v>
      </c>
      <c r="BL134" s="157" t="str">
        <f aca="false">K134&amp;J134</f>
        <v>Zona02REDES</v>
      </c>
      <c r="BM134" s="152" t="s">
        <v>2037</v>
      </c>
      <c r="BN134" s="152" t="s">
        <v>1560</v>
      </c>
      <c r="BO134" s="152" t="s">
        <v>1968</v>
      </c>
      <c r="BP134" s="152" t="s">
        <v>2038</v>
      </c>
      <c r="BQ134" s="152" t="s">
        <v>2039</v>
      </c>
      <c r="BR134" s="152" t="s">
        <v>2040</v>
      </c>
      <c r="BS134" s="152" t="n">
        <v>202824.554</v>
      </c>
      <c r="BT134" s="152" t="n">
        <v>8238243.722</v>
      </c>
      <c r="BU134" s="152" t="n">
        <v>202791.211</v>
      </c>
      <c r="BV134" s="152" t="n">
        <v>8238187.82</v>
      </c>
      <c r="BW134" s="152" t="n">
        <v>-15.9174923</v>
      </c>
      <c r="BX134" s="152" t="n">
        <v>-47.7756497</v>
      </c>
      <c r="BY134" s="152" t="s">
        <v>2038</v>
      </c>
    </row>
    <row r="135" customFormat="false" ht="13.8" hidden="false" customHeight="false" outlineLevel="0" collapsed="false">
      <c r="A135" s="149" t="n">
        <f aca="false">IF(C135&lt;&gt;"",ROW(A130),"")</f>
        <v>130</v>
      </c>
      <c r="B135" s="150" t="str">
        <f aca="false">HYPERLINK("https://www.google.com/maps/dir/-15.917302,-47.760003/-15.9178127,-47.7756909/data=!4m3!4m2!3e0!5i1")</f>
        <v>https://www.google.com/maps/dir/-15.917302,-47.760003/-15.9178127,-47.7756909/data=!4m3!4m2!3e0!5i1</v>
      </c>
      <c r="C135" s="151" t="s">
        <v>117</v>
      </c>
      <c r="D135" s="152" t="s">
        <v>112</v>
      </c>
      <c r="E135" s="152" t="s">
        <v>113</v>
      </c>
      <c r="F135" s="152" t="s">
        <v>117</v>
      </c>
      <c r="G135" s="152" t="s">
        <v>782</v>
      </c>
      <c r="H135" s="152" t="n">
        <v>63</v>
      </c>
      <c r="I135" s="152" t="s">
        <v>115</v>
      </c>
      <c r="J135" s="152" t="s">
        <v>6</v>
      </c>
      <c r="K135" s="152" t="s">
        <v>2033</v>
      </c>
      <c r="L135" s="152" t="s">
        <v>120</v>
      </c>
      <c r="M135" s="153" t="n">
        <f aca="false">21.28+3.95</f>
        <v>25.23</v>
      </c>
      <c r="N135" s="152" t="s">
        <v>1548</v>
      </c>
      <c r="O135" s="152" t="s">
        <v>1549</v>
      </c>
      <c r="P135" s="152" t="s">
        <v>1550</v>
      </c>
      <c r="Q135" s="152" t="s">
        <v>1551</v>
      </c>
      <c r="R135" s="154" t="s">
        <v>2041</v>
      </c>
      <c r="S135" s="154" t="s">
        <v>1553</v>
      </c>
      <c r="T135" s="155" t="s">
        <v>1965</v>
      </c>
      <c r="U135" s="152" t="str">
        <f aca="false">RIGHT(T135,7)</f>
        <v>005/037</v>
      </c>
      <c r="V135" s="152" t="s">
        <v>1555</v>
      </c>
      <c r="W135" s="156" t="n">
        <v>45882</v>
      </c>
      <c r="X135" s="152" t="s">
        <v>1594</v>
      </c>
      <c r="Y135" s="152" t="s">
        <v>2042</v>
      </c>
      <c r="Z135" s="152" t="s">
        <v>1557</v>
      </c>
      <c r="AA135" s="153" t="n">
        <v>4.3</v>
      </c>
      <c r="AB135" s="151" t="s">
        <v>2043</v>
      </c>
      <c r="AC135" s="151" t="s">
        <v>186</v>
      </c>
      <c r="AD135" s="151" t="str">
        <f aca="false">CONCATENATE($C135,$I135,$H135,$N135,$J135,$K135)</f>
        <v>TUBO PEADPEAD63VCAREDESZona02</v>
      </c>
      <c r="AE135" s="153" t="n">
        <f aca="false">IFERROR(INDEX(APOIO_REDES!$A:$W,MATCH($C135&amp;$I135&amp;$H135&amp;$N135&amp;$O135,APOIO_REDES!$W:$W,0),MATCH(AE$5,APOIO_REDES!$5:$5,0)),0)</f>
        <v>1.2</v>
      </c>
      <c r="AF135" s="153" t="n">
        <f aca="false">IFERROR(INDEX(APOIO_REDES!$A:$W,MATCH($C135&amp;$I135&amp;$H135&amp;$N135&amp;$O135,APOIO_REDES!$W:$W,0),MATCH(AF$5,APOIO_REDES!$5:$5,0)),0)</f>
        <v>1.363</v>
      </c>
      <c r="AG135" s="153" t="n">
        <f aca="false">IFERROR(INDEX(APOIO_REDES!$A:$W,MATCH($C135&amp;$I135&amp;$H135&amp;$N135&amp;$O135,APOIO_REDES!$W:$W,0),MATCH(AG$5,APOIO_REDES!$5:$5,0)),0)</f>
        <v>0.65</v>
      </c>
      <c r="AH135" s="153" t="n">
        <f aca="false">IFERROR(INDEX(APOIO_REDES!$A:$W,MATCH($C135&amp;$I135&amp;$H135&amp;$N135&amp;$O135,APOIO_REDES!$W:$W,0),MATCH(AH$5,APOIO_REDES!$5:$5,0)),0)</f>
        <v>0.1</v>
      </c>
      <c r="AI135" s="153" t="n">
        <f aca="false">IFERROR(IF($H135&lt;&gt;"",(((($H135/1000)/2)^2)*PI()*$M135),0),0)</f>
        <v>0.0786480991845324</v>
      </c>
      <c r="AJ135" s="153" t="n">
        <f aca="false">IFERROR(IF(AND($H135&lt;&gt;"",$I135="FoFo",OR($N135="MND",$N135="VCA"),$Q135="LINEAR"),0,IF(AND($H135&lt;&gt;"",$I135="PEAD",$N135="VCA",$Q135="LINEAR"),($H135/1000)+0.3,IF(AND($H135&lt;&gt;"",$I135="PEAD",$N135="MND",$Q135="EMBOQUE"),0,IF(AND($H135&lt;&gt;"",$I135="PVC",$N135="VCA",$Q135="LINEAR"),($H135/1000)+0.2,IF(AND($H135&lt;&gt;"",$I135="PVC",$N135="MND",$Q135="EMBOQUE"),0,IF(AND($H135&lt;&gt;"",$I135="PEAD",$N135="VCA",$Q135="PREDIAL"),0,0)))))),0)</f>
        <v>0.363</v>
      </c>
      <c r="AK135" s="153" t="n">
        <f aca="false">IF(AA135&lt;&gt;"",AA135,0)</f>
        <v>4.3</v>
      </c>
      <c r="AL135" s="153" t="n">
        <f aca="false">IF(AND($N135="MND",$Q135="EMBOQUE"),$M135,IF(AND($N135="VCA",$Q135="LINEAR"),$M135,IF(AND($N135="VCA",$Q135="PREDIAL"),0,0)))</f>
        <v>25.23</v>
      </c>
      <c r="AM135" s="153" t="n">
        <f aca="false">IF(AND($N135="MND",$Q135="EMBOQUE"),$M135,IF(AND($N135="VCA",$Q135="LINEAR"),$M135,IF(AND($N135="VCA",$Q135="PREDIAL"),0,0)))</f>
        <v>25.23</v>
      </c>
      <c r="AN135" s="153" t="n">
        <f aca="false">ROUND(IF(AND($N135="VCA",$M135&lt;&gt;"",$Q135="LINEAR"),$M135/100,IF(AND($N135="MND",$M135&gt;100,$Q135="EMBOQUE"),$M135/100,0)),0)</f>
        <v>0</v>
      </c>
      <c r="AO135" s="153" t="n">
        <f aca="false">IF(AND($N135="MND",$Q135="EMBOQUE"),$AN135*2*2,IF(AND($N135="VCA",$Q135="LINEAR"),$M135*2,IF(AND($N135="VCA",$Q135="PREDIAL"),0,0)))</f>
        <v>50.46</v>
      </c>
      <c r="AP135" s="153" t="n">
        <f aca="false">IFERROR($M135*$AF135*$AG135,0)</f>
        <v>22.3525185</v>
      </c>
      <c r="AQ135" s="153" t="n">
        <f aca="false">IFERROR(IF(AND($N135="VCA",$AH135&gt;0),$M135*$AG135*$AH135,0),0)</f>
        <v>1.63995</v>
      </c>
      <c r="AR135" s="153" t="n">
        <f aca="false">IFERROR(IF(AND($N135="VCA",$AJ135&gt;0),($M135*$AG135*$AJ135)-$AI135,0),0)</f>
        <v>5.87437040081547</v>
      </c>
      <c r="AS135" s="153" t="n">
        <f aca="false">IFERROR(IF(AND($N135="VCA",$AP135&gt;0),$AP135-$AI135-$AQ135-$AR135,0),0)</f>
        <v>14.75955</v>
      </c>
      <c r="AT135" s="153" t="n">
        <f aca="false">IFERROR(IF($N135="VCA",INDEX(APOIO_REDES!$A:$W,MATCH($C135&amp;$I135&amp;$H135&amp;$N135&amp;$O135,APOIO_REDES!$W:$W,0),MATCH(AT$5,APOIO_REDES!$5:$5,0)),0)*$AP135,0)</f>
        <v>0.243202017287763</v>
      </c>
      <c r="AU135" s="153" t="n">
        <f aca="false">IFERROR(IF($N135="VCA",INDEX(APOIO_REDES!$A:$W,MATCH($C135&amp;$I135&amp;$H135&amp;$N135&amp;$O135,APOIO_REDES!$W:$W,0),MATCH(AU$5,APOIO_REDES!$5:$5,0)),0)*$AP135,0)</f>
        <v>0.194214544260045</v>
      </c>
      <c r="AV135" s="153" t="n">
        <f aca="false">IFERROR(IF($N135="VCA",INDEX(APOIO_REDES!$A:$W,MATCH($C135&amp;$I135&amp;$H135&amp;$N135&amp;$O135,APOIO_REDES!$W:$W,0),MATCH(AV$5,APOIO_REDES!$5:$5,0)),0)*$AP135,0)</f>
        <v>0.0268777682816394</v>
      </c>
      <c r="AW135" s="153" t="n">
        <f aca="false">IFERROR(IF($N135="VCA",INDEX(APOIO_REDES!$A:$W,MATCH($C135&amp;$I135&amp;$H135&amp;$N135&amp;$O135,APOIO_REDES!$W:$W,0),MATCH(AW$5,APOIO_REDES!$5:$5,0)),0)*$AP135,0)</f>
        <v>15.3429418941649</v>
      </c>
      <c r="AX135" s="153" t="n">
        <f aca="false">IFERROR(IF($N135="VCA",INDEX(APOIO_REDES!$A:$W,MATCH($C135&amp;$I135&amp;$H135&amp;$N135&amp;$O135,APOIO_REDES!$W:$W,0),MATCH(AX$5,APOIO_REDES!$5:$5,0)),0)*$AP135,0)</f>
        <v>2.12341945295514</v>
      </c>
      <c r="AY135" s="153" t="n">
        <f aca="false">IFERROR(IF($N135="VCA",INDEX(APOIO_REDES!$A:$W,MATCH($C135&amp;$I135&amp;$H135&amp;$N135&amp;$O135,APOIO_REDES!$W:$W,0),MATCH(AY$5,APOIO_REDES!$5:$5,0)),0)*$AP135,0)</f>
        <v>3.88428851774134</v>
      </c>
      <c r="AZ135" s="153" t="n">
        <f aca="false">IFERROR(IF($N135="VCA",INDEX(APOIO_REDES!$A:$W,MATCH($C135&amp;$I135&amp;$H135&amp;$N135&amp;$O135,APOIO_REDES!$W:$W,0),MATCH(AZ$5,APOIO_REDES!$5:$5,0)),0)*$AP135,0)</f>
        <v>0.537574305309195</v>
      </c>
      <c r="BA135" s="153" t="n">
        <f aca="false">IFERROR(IF(AND($N135="VCA",$Q135="LINEAR"),INDEX(APOIO_REDES!$A:$W,MATCH($C135&amp;$I135&amp;$H135&amp;$N135&amp;$O135,APOIO_REDES!$W:$W,0),MATCH(BA$5,APOIO_REDES!$5:$5,0)),IF(AND($N135="MND",$Q135="EMBOQUE"),INDEX(APOIO_REDES!$A:$W,MATCH($C135&amp;$I135&amp;$H135&amp;$N135&amp;$O135,APOIO_REDES!$W:$W,0),MATCH(BA$5,APOIO_REDES!$5:$5,0)),0))*$M135/10,0)</f>
        <v>2.03347435933786</v>
      </c>
      <c r="BB135" s="153" t="n">
        <f aca="false">IFERROR(IF($N135="VCA",INDEX(APOIO_REDES!$A:$W,MATCH($C135&amp;$I135&amp;$H135&amp;$N135&amp;$O135,APOIO_REDES!$W:$W,0),MATCH(BB$5,APOIO_REDES!$5:$5,0)),0)*($AI135+$AQ135+$AR135),0)</f>
        <v>7.51035475531604</v>
      </c>
      <c r="BC135" s="153" t="n">
        <f aca="false">IFERROR(IF($N135="VCA",INDEX(APOIO_REDES!$A:$W,MATCH($C135&amp;$I135&amp;$H135&amp;$N135&amp;$O135,APOIO_REDES!$W:$W,0),MATCH(BC$5,APOIO_REDES!$5:$5,0)),0)*($AI135+$AQ135+$AR135),0)</f>
        <v>0.0826137446839575</v>
      </c>
      <c r="BD135" s="153" t="n">
        <f aca="false">IF(AND($N135="VCA",$AF135&gt;=1.25,$AF135&lt;1.5),$M135*$AF135*2,0)</f>
        <v>68.77698</v>
      </c>
      <c r="BE135" s="153" t="n">
        <f aca="false">IF(AND($N135="VCA",$AF135&gt;=1.5,$AF135&lt;3),$M135*$AF135*2,0)</f>
        <v>0</v>
      </c>
      <c r="BF135" s="153" t="n">
        <f aca="false">IF(AND($N135="VCA",$AF135&gt;=3),$M135*$AF135*2,0)</f>
        <v>0</v>
      </c>
      <c r="BG135" s="153" t="n">
        <f aca="false">($BB135+$BC135)*$AK135</f>
        <v>32.64976455</v>
      </c>
      <c r="BH135" s="153" t="n">
        <f aca="false">IF(AND($M135&lt;&gt;"",$N135="VCA",$Q135="LINEAR"),($M135*2)/100,IF(AND($M135&lt;&gt;"",$N135="MND",$Q135="EMBOQUE"),($AN135*2)/100,0))</f>
        <v>0.5046</v>
      </c>
      <c r="BI135" s="153" t="n">
        <f aca="false">IF(AND($M135&lt;&gt;"",$N135="VCA",$Q135="LINEAR"),$M135,IF(AND($M135&lt;&gt;"",$N135="MND",$Q135="EMBOQUE"),$AN135*2,0))</f>
        <v>25.23</v>
      </c>
      <c r="BJ135" s="153" t="n">
        <f aca="false">IF(AND($M135&lt;&gt;"",$N135="VCA",$Q135="LINEAR"),($M135*6.8)/100,IF(AND($M135&lt;&gt;"",$N135="MND",$Q135="EMBOQUE"),($AN135*2*6.8)/100,0))</f>
        <v>1.71564</v>
      </c>
      <c r="BK135" s="153" t="n">
        <f aca="false">IF(AND($M135&lt;&gt;"",$N135="VCA",$Q135="LINEAR"),($M135*2.5)/50,IF(AND($M135&lt;&gt;"",$N135="MND",$Q135="EMBOQUE"),($AN135*2*2.5)/50,0))</f>
        <v>1.2615</v>
      </c>
      <c r="BL135" s="157" t="str">
        <f aca="false">K135&amp;J135</f>
        <v>Zona02REDES</v>
      </c>
      <c r="BM135" s="152" t="s">
        <v>2037</v>
      </c>
      <c r="BN135" s="152" t="s">
        <v>1560</v>
      </c>
      <c r="BO135" s="152" t="s">
        <v>1968</v>
      </c>
      <c r="BP135" s="152" t="s">
        <v>2044</v>
      </c>
      <c r="BQ135" s="152" t="s">
        <v>2045</v>
      </c>
      <c r="BR135" s="152" t="s">
        <v>2046</v>
      </c>
      <c r="BS135" s="152" t="n">
        <v>202803.94</v>
      </c>
      <c r="BT135" s="152" t="n">
        <v>8238180.232</v>
      </c>
      <c r="BU135" s="152" t="n">
        <v>202814.625</v>
      </c>
      <c r="BV135" s="152" t="n">
        <v>8238198.634</v>
      </c>
      <c r="BW135" s="152" t="n">
        <v>-15.9177303</v>
      </c>
      <c r="BX135" s="152" t="n">
        <v>-47.7756399</v>
      </c>
      <c r="BY135" s="152" t="s">
        <v>2044</v>
      </c>
    </row>
    <row r="136" customFormat="false" ht="13.8" hidden="false" customHeight="false" outlineLevel="0" collapsed="false">
      <c r="A136" s="149" t="n">
        <f aca="false">IF(C136&lt;&gt;"",ROW(A131),"")</f>
        <v>131</v>
      </c>
      <c r="B136" s="150" t="str">
        <f aca="false">HYPERLINK("https://www.google.com/maps/dir/-15.917302,-47.760003/-15.9177427,-47.7758087/data=!4m3!4m2!3e0!5i0")</f>
        <v>https://www.google.com/maps/dir/-15.917302,-47.760003/-15.9177427,-47.7758087/data=!4m3!4m2!3e0!5i0</v>
      </c>
      <c r="C136" s="151" t="s">
        <v>117</v>
      </c>
      <c r="D136" s="152" t="s">
        <v>112</v>
      </c>
      <c r="E136" s="152" t="s">
        <v>113</v>
      </c>
      <c r="F136" s="152" t="s">
        <v>117</v>
      </c>
      <c r="G136" s="152" t="s">
        <v>782</v>
      </c>
      <c r="H136" s="152" t="n">
        <v>63</v>
      </c>
      <c r="I136" s="152" t="s">
        <v>115</v>
      </c>
      <c r="J136" s="152" t="s">
        <v>6</v>
      </c>
      <c r="K136" s="152" t="s">
        <v>2033</v>
      </c>
      <c r="L136" s="152" t="s">
        <v>120</v>
      </c>
      <c r="M136" s="153" t="n">
        <f aca="false">14.82</f>
        <v>14.82</v>
      </c>
      <c r="N136" s="152" t="s">
        <v>1548</v>
      </c>
      <c r="O136" s="152" t="s">
        <v>1549</v>
      </c>
      <c r="P136" s="152" t="s">
        <v>1550</v>
      </c>
      <c r="Q136" s="152" t="s">
        <v>1551</v>
      </c>
      <c r="R136" s="154" t="s">
        <v>2047</v>
      </c>
      <c r="S136" s="154" t="s">
        <v>1553</v>
      </c>
      <c r="T136" s="155" t="s">
        <v>1965</v>
      </c>
      <c r="U136" s="152" t="str">
        <f aca="false">RIGHT(T136,7)</f>
        <v>005/037</v>
      </c>
      <c r="V136" s="152" t="s">
        <v>1555</v>
      </c>
      <c r="W136" s="156" t="n">
        <v>45882</v>
      </c>
      <c r="X136" s="152" t="s">
        <v>1594</v>
      </c>
      <c r="Y136" s="152" t="s">
        <v>2042</v>
      </c>
      <c r="Z136" s="152" t="s">
        <v>1557</v>
      </c>
      <c r="AA136" s="153" t="n">
        <v>3.1</v>
      </c>
      <c r="AB136" s="151" t="s">
        <v>2048</v>
      </c>
      <c r="AC136" s="151" t="s">
        <v>186</v>
      </c>
      <c r="AD136" s="151" t="str">
        <f aca="false">CONCATENATE($C136,$I136,$H136,$N136,$J136,$K136)</f>
        <v>TUBO PEADPEAD63VCAREDESZona02</v>
      </c>
      <c r="AE136" s="153" t="n">
        <f aca="false">IFERROR(INDEX(APOIO_REDES!$A:$W,MATCH($C136&amp;$I136&amp;$H136&amp;$N136&amp;$O136,APOIO_REDES!$W:$W,0),MATCH(AE$5,APOIO_REDES!$5:$5,0)),0)</f>
        <v>1.2</v>
      </c>
      <c r="AF136" s="153" t="n">
        <f aca="false">IFERROR(INDEX(APOIO_REDES!$A:$W,MATCH($C136&amp;$I136&amp;$H136&amp;$N136&amp;$O136,APOIO_REDES!$W:$W,0),MATCH(AF$5,APOIO_REDES!$5:$5,0)),0)</f>
        <v>1.363</v>
      </c>
      <c r="AG136" s="153" t="n">
        <f aca="false">IFERROR(INDEX(APOIO_REDES!$A:$W,MATCH($C136&amp;$I136&amp;$H136&amp;$N136&amp;$O136,APOIO_REDES!$W:$W,0),MATCH(AG$5,APOIO_REDES!$5:$5,0)),0)</f>
        <v>0.65</v>
      </c>
      <c r="AH136" s="153" t="n">
        <f aca="false">IFERROR(INDEX(APOIO_REDES!$A:$W,MATCH($C136&amp;$I136&amp;$H136&amp;$N136&amp;$O136,APOIO_REDES!$W:$W,0),MATCH(AH$5,APOIO_REDES!$5:$5,0)),0)</f>
        <v>0.1</v>
      </c>
      <c r="AI136" s="153" t="n">
        <f aca="false">IFERROR(IF($H136&lt;&gt;"",(((($H136/1000)/2)^2)*PI()*$M136),0),0)</f>
        <v>0.0461975755019727</v>
      </c>
      <c r="AJ136" s="153" t="n">
        <f aca="false">IFERROR(IF(AND($H136&lt;&gt;"",$I136="FoFo",OR($N136="MND",$N136="VCA"),$Q136="LINEAR"),0,IF(AND($H136&lt;&gt;"",$I136="PEAD",$N136="VCA",$Q136="LINEAR"),($H136/1000)+0.3,IF(AND($H136&lt;&gt;"",$I136="PEAD",$N136="MND",$Q136="EMBOQUE"),0,IF(AND($H136&lt;&gt;"",$I136="PVC",$N136="VCA",$Q136="LINEAR"),($H136/1000)+0.2,IF(AND($H136&lt;&gt;"",$I136="PVC",$N136="MND",$Q136="EMBOQUE"),0,IF(AND($H136&lt;&gt;"",$I136="PEAD",$N136="VCA",$Q136="PREDIAL"),0,0)))))),0)</f>
        <v>0.363</v>
      </c>
      <c r="AK136" s="153" t="n">
        <f aca="false">IF(AA136&lt;&gt;"",AA136,0)</f>
        <v>3.1</v>
      </c>
      <c r="AL136" s="153" t="n">
        <f aca="false">IF(AND($N136="MND",$Q136="EMBOQUE"),$M136,IF(AND($N136="VCA",$Q136="LINEAR"),$M136,IF(AND($N136="VCA",$Q136="PREDIAL"),0,0)))</f>
        <v>14.82</v>
      </c>
      <c r="AM136" s="153" t="n">
        <f aca="false">IF(AND($N136="MND",$Q136="EMBOQUE"),$M136,IF(AND($N136="VCA",$Q136="LINEAR"),$M136,IF(AND($N136="VCA",$Q136="PREDIAL"),0,0)))</f>
        <v>14.82</v>
      </c>
      <c r="AN136" s="153" t="n">
        <f aca="false">ROUND(IF(AND($N136="VCA",$M136&lt;&gt;"",$Q136="LINEAR"),$M136/100,IF(AND($N136="MND",$M136&gt;100,$Q136="EMBOQUE"),$M136/100,0)),0)</f>
        <v>0</v>
      </c>
      <c r="AO136" s="153" t="n">
        <f aca="false">IF(AND($N136="MND",$Q136="EMBOQUE"),$AN136*2*2,IF(AND($N136="VCA",$Q136="LINEAR"),$M136*2,IF(AND($N136="VCA",$Q136="PREDIAL"),0,0)))</f>
        <v>29.64</v>
      </c>
      <c r="AP136" s="153" t="n">
        <f aca="false">IFERROR($M136*$AF136*$AG136,0)</f>
        <v>13.129779</v>
      </c>
      <c r="AQ136" s="153" t="n">
        <f aca="false">IFERROR(IF(AND($N136="VCA",$AH136&gt;0),$M136*$AG136*$AH136,0),0)</f>
        <v>0.9633</v>
      </c>
      <c r="AR136" s="153" t="n">
        <f aca="false">IFERROR(IF(AND($N136="VCA",$AJ136&gt;0),($M136*$AG136*$AJ136)-$AI136,0),0)</f>
        <v>3.45058142449803</v>
      </c>
      <c r="AS136" s="153" t="n">
        <f aca="false">IFERROR(IF(AND($N136="VCA",$AP136&gt;0),$AP136-$AI136-$AQ136-$AR136,0),0)</f>
        <v>8.6697</v>
      </c>
      <c r="AT136" s="153" t="n">
        <f aca="false">IFERROR(IF($N136="VCA",INDEX(APOIO_REDES!$A:$W,MATCH($C136&amp;$I136&amp;$H136&amp;$N136&amp;$O136,APOIO_REDES!$W:$W,0),MATCH(AT$5,APOIO_REDES!$5:$5,0)),0)*$AP136,0)</f>
        <v>0.142855881736213</v>
      </c>
      <c r="AU136" s="153" t="n">
        <f aca="false">IFERROR(IF($N136="VCA",INDEX(APOIO_REDES!$A:$W,MATCH($C136&amp;$I136&amp;$H136&amp;$N136&amp;$O136,APOIO_REDES!$W:$W,0),MATCH(AU$5,APOIO_REDES!$5:$5,0)),0)*$AP136,0)</f>
        <v>0.11408083812659</v>
      </c>
      <c r="AV136" s="153" t="n">
        <f aca="false">IFERROR(IF($N136="VCA",INDEX(APOIO_REDES!$A:$W,MATCH($C136&amp;$I136&amp;$H136&amp;$N136&amp;$O136,APOIO_REDES!$W:$W,0),MATCH(AV$5,APOIO_REDES!$5:$5,0)),0)*$AP136,0)</f>
        <v>0.0157878924270272</v>
      </c>
      <c r="AW136" s="153" t="n">
        <f aca="false">IFERROR(IF($N136="VCA",INDEX(APOIO_REDES!$A:$W,MATCH($C136&amp;$I136&amp;$H136&amp;$N136&amp;$O136,APOIO_REDES!$W:$W,0),MATCH(AW$5,APOIO_REDES!$5:$5,0)),0)*$AP136,0)</f>
        <v>9.01238204009209</v>
      </c>
      <c r="AX136" s="153" t="n">
        <f aca="false">IFERROR(IF($N136="VCA",INDEX(APOIO_REDES!$A:$W,MATCH($C136&amp;$I136&amp;$H136&amp;$N136&amp;$O136,APOIO_REDES!$W:$W,0),MATCH(AX$5,APOIO_REDES!$5:$5,0)),0)*$AP136,0)</f>
        <v>1.24728800209256</v>
      </c>
      <c r="AY136" s="153" t="n">
        <f aca="false">IFERROR(IF($N136="VCA",INDEX(APOIO_REDES!$A:$W,MATCH($C136&amp;$I136&amp;$H136&amp;$N136&amp;$O136,APOIO_REDES!$W:$W,0),MATCH(AY$5,APOIO_REDES!$5:$5,0)),0)*$AP136,0)</f>
        <v>2.28161537189563</v>
      </c>
      <c r="AZ136" s="153" t="n">
        <f aca="false">IFERROR(IF($N136="VCA",INDEX(APOIO_REDES!$A:$W,MATCH($C136&amp;$I136&amp;$H136&amp;$N136&amp;$O136,APOIO_REDES!$W:$W,0),MATCH(AZ$5,APOIO_REDES!$5:$5,0)),0)*$AP136,0)</f>
        <v>0.315768973629896</v>
      </c>
      <c r="BA136" s="153" t="n">
        <f aca="false">IFERROR(IF(AND($N136="VCA",$Q136="LINEAR"),INDEX(APOIO_REDES!$A:$W,MATCH($C136&amp;$I136&amp;$H136&amp;$N136&amp;$O136,APOIO_REDES!$W:$W,0),MATCH(BA$5,APOIO_REDES!$5:$5,0)),IF(AND($N136="MND",$Q136="EMBOQUE"),INDEX(APOIO_REDES!$A:$W,MATCH($C136&amp;$I136&amp;$H136&amp;$N136&amp;$O136,APOIO_REDES!$W:$W,0),MATCH(BA$5,APOIO_REDES!$5:$5,0)),0))*$M136/10,0)</f>
        <v>1.19445461773234</v>
      </c>
      <c r="BB136" s="153" t="n">
        <f aca="false">IFERROR(IF($N136="VCA",INDEX(APOIO_REDES!$A:$W,MATCH($C136&amp;$I136&amp;$H136&amp;$N136&amp;$O136,APOIO_REDES!$W:$W,0),MATCH(BB$5,APOIO_REDES!$5:$5,0)),0)*($AI136+$AQ136+$AR136),0)</f>
        <v>4.411552020364</v>
      </c>
      <c r="BC136" s="153" t="n">
        <f aca="false">IFERROR(IF($N136="VCA",INDEX(APOIO_REDES!$A:$W,MATCH($C136&amp;$I136&amp;$H136&amp;$N136&amp;$O136,APOIO_REDES!$W:$W,0),MATCH(BC$5,APOIO_REDES!$5:$5,0)),0)*($AI136+$AQ136+$AR136),0)</f>
        <v>0.0485269796359988</v>
      </c>
      <c r="BD136" s="153" t="n">
        <f aca="false">IF(AND($N136="VCA",$AF136&gt;=1.25,$AF136&lt;1.5),$M136*$AF136*2,0)</f>
        <v>40.39932</v>
      </c>
      <c r="BE136" s="153" t="n">
        <f aca="false">IF(AND($N136="VCA",$AF136&gt;=1.5,$AF136&lt;3),$M136*$AF136*2,0)</f>
        <v>0</v>
      </c>
      <c r="BF136" s="153" t="n">
        <f aca="false">IF(AND($N136="VCA",$AF136&gt;=3),$M136*$AF136*2,0)</f>
        <v>0</v>
      </c>
      <c r="BG136" s="153" t="n">
        <f aca="false">($BB136+$BC136)*$AK136</f>
        <v>13.8262449</v>
      </c>
      <c r="BH136" s="153" t="n">
        <f aca="false">IF(AND($M136&lt;&gt;"",$N136="VCA",$Q136="LINEAR"),($M136*2)/100,IF(AND($M136&lt;&gt;"",$N136="MND",$Q136="EMBOQUE"),($AN136*2)/100,0))</f>
        <v>0.2964</v>
      </c>
      <c r="BI136" s="153" t="n">
        <f aca="false">IF(AND($M136&lt;&gt;"",$N136="VCA",$Q136="LINEAR"),$M136,IF(AND($M136&lt;&gt;"",$N136="MND",$Q136="EMBOQUE"),$AN136*2,0))</f>
        <v>14.82</v>
      </c>
      <c r="BJ136" s="153" t="n">
        <f aca="false">IF(AND($M136&lt;&gt;"",$N136="VCA",$Q136="LINEAR"),($M136*6.8)/100,IF(AND($M136&lt;&gt;"",$N136="MND",$Q136="EMBOQUE"),($AN136*2*6.8)/100,0))</f>
        <v>1.00776</v>
      </c>
      <c r="BK136" s="153" t="n">
        <f aca="false">IF(AND($M136&lt;&gt;"",$N136="VCA",$Q136="LINEAR"),($M136*2.5)/50,IF(AND($M136&lt;&gt;"",$N136="MND",$Q136="EMBOQUE"),($AN136*2*2.5)/50,0))</f>
        <v>0.741</v>
      </c>
      <c r="BL136" s="157" t="str">
        <f aca="false">K136&amp;J136</f>
        <v>Zona02REDES</v>
      </c>
      <c r="BM136" s="152" t="s">
        <v>2037</v>
      </c>
      <c r="BN136" s="152" t="s">
        <v>1560</v>
      </c>
      <c r="BO136" s="152" t="s">
        <v>1968</v>
      </c>
      <c r="BP136" s="152" t="s">
        <v>2039</v>
      </c>
      <c r="BQ136" s="152" t="s">
        <v>2044</v>
      </c>
      <c r="BR136" s="152" t="s">
        <v>2040</v>
      </c>
      <c r="BS136" s="152" t="n">
        <v>202791.211</v>
      </c>
      <c r="BT136" s="152" t="n">
        <v>8238187.82</v>
      </c>
      <c r="BU136" s="152" t="n">
        <v>202803.94</v>
      </c>
      <c r="BV136" s="152" t="n">
        <v>8238180.232</v>
      </c>
      <c r="BW136" s="152" t="n">
        <v>-15.9177777</v>
      </c>
      <c r="BX136" s="152" t="n">
        <v>-47.7757498</v>
      </c>
      <c r="BY136" s="152" t="s">
        <v>2039</v>
      </c>
    </row>
    <row r="137" customFormat="false" ht="13.8" hidden="false" customHeight="false" outlineLevel="0" collapsed="false">
      <c r="A137" s="149" t="n">
        <f aca="false">IF(C137&lt;&gt;"",ROW(A132),"")</f>
        <v>132</v>
      </c>
      <c r="B137" s="150" t="str">
        <f aca="false">HYPERLINK("https://www.google.com/maps/dir/-15.917302,-47.760003/-15.9180588,-47.7758431/data=!4m3!4m2!3e0!5i0")</f>
        <v>https://www.google.com/maps/dir/-15.917302,-47.760003/-15.9180588,-47.7758431/data=!4m3!4m2!3e0!5i0</v>
      </c>
      <c r="C137" s="151" t="s">
        <v>117</v>
      </c>
      <c r="D137" s="152" t="s">
        <v>112</v>
      </c>
      <c r="E137" s="152" t="s">
        <v>113</v>
      </c>
      <c r="F137" s="152" t="s">
        <v>117</v>
      </c>
      <c r="G137" s="152" t="s">
        <v>782</v>
      </c>
      <c r="H137" s="152" t="n">
        <v>63</v>
      </c>
      <c r="I137" s="152" t="s">
        <v>115</v>
      </c>
      <c r="J137" s="152" t="s">
        <v>6</v>
      </c>
      <c r="K137" s="152" t="s">
        <v>2033</v>
      </c>
      <c r="L137" s="152" t="s">
        <v>120</v>
      </c>
      <c r="M137" s="153" t="n">
        <f aca="false">31.76</f>
        <v>31.76</v>
      </c>
      <c r="N137" s="152" t="s">
        <v>1548</v>
      </c>
      <c r="O137" s="152" t="s">
        <v>1549</v>
      </c>
      <c r="P137" s="152" t="s">
        <v>1550</v>
      </c>
      <c r="Q137" s="152" t="s">
        <v>1551</v>
      </c>
      <c r="R137" s="154" t="s">
        <v>2049</v>
      </c>
      <c r="S137" s="154" t="s">
        <v>1553</v>
      </c>
      <c r="T137" s="155" t="s">
        <v>1965</v>
      </c>
      <c r="U137" s="152" t="str">
        <f aca="false">RIGHT(T137,7)</f>
        <v>005/037</v>
      </c>
      <c r="V137" s="152" t="s">
        <v>1555</v>
      </c>
      <c r="W137" s="156" t="n">
        <v>45882</v>
      </c>
      <c r="X137" s="152" t="s">
        <v>1594</v>
      </c>
      <c r="Y137" s="152" t="s">
        <v>2042</v>
      </c>
      <c r="Z137" s="152" t="s">
        <v>1557</v>
      </c>
      <c r="AA137" s="153" t="n">
        <v>3.1</v>
      </c>
      <c r="AB137" s="151" t="s">
        <v>2050</v>
      </c>
      <c r="AC137" s="151" t="s">
        <v>186</v>
      </c>
      <c r="AD137" s="151" t="str">
        <f aca="false">CONCATENATE($C137,$I137,$H137,$N137,$J137,$K137)</f>
        <v>TUBO PEADPEAD63VCAREDESZona02</v>
      </c>
      <c r="AE137" s="153" t="n">
        <f aca="false">IFERROR(INDEX(APOIO_REDES!$A:$W,MATCH($C137&amp;$I137&amp;$H137&amp;$N137&amp;$O137,APOIO_REDES!$W:$W,0),MATCH(AE$5,APOIO_REDES!$5:$5,0)),0)</f>
        <v>1.2</v>
      </c>
      <c r="AF137" s="153" t="n">
        <f aca="false">IFERROR(INDEX(APOIO_REDES!$A:$W,MATCH($C137&amp;$I137&amp;$H137&amp;$N137&amp;$O137,APOIO_REDES!$W:$W,0),MATCH(AF$5,APOIO_REDES!$5:$5,0)),0)</f>
        <v>1.363</v>
      </c>
      <c r="AG137" s="153" t="n">
        <f aca="false">IFERROR(INDEX(APOIO_REDES!$A:$W,MATCH($C137&amp;$I137&amp;$H137&amp;$N137&amp;$O137,APOIO_REDES!$W:$W,0),MATCH(AG$5,APOIO_REDES!$5:$5,0)),0)</f>
        <v>0.65</v>
      </c>
      <c r="AH137" s="153" t="n">
        <f aca="false">IFERROR(INDEX(APOIO_REDES!$A:$W,MATCH($C137&amp;$I137&amp;$H137&amp;$N137&amp;$O137,APOIO_REDES!$W:$W,0),MATCH(AH$5,APOIO_REDES!$5:$5,0)),0)</f>
        <v>0.1</v>
      </c>
      <c r="AI137" s="153" t="n">
        <f aca="false">IFERROR(IF($H137&lt;&gt;"",(((($H137/1000)/2)^2)*PI()*$M137),0),0)</f>
        <v>0.0990037110622573</v>
      </c>
      <c r="AJ137" s="153" t="n">
        <f aca="false">IFERROR(IF(AND($H137&lt;&gt;"",$I137="FoFo",OR($N137="MND",$N137="VCA"),$Q137="LINEAR"),0,IF(AND($H137&lt;&gt;"",$I137="PEAD",$N137="VCA",$Q137="LINEAR"),($H137/1000)+0.3,IF(AND($H137&lt;&gt;"",$I137="PEAD",$N137="MND",$Q137="EMBOQUE"),0,IF(AND($H137&lt;&gt;"",$I137="PVC",$N137="VCA",$Q137="LINEAR"),($H137/1000)+0.2,IF(AND($H137&lt;&gt;"",$I137="PVC",$N137="MND",$Q137="EMBOQUE"),0,IF(AND($H137&lt;&gt;"",$I137="PEAD",$N137="VCA",$Q137="PREDIAL"),0,0)))))),0)</f>
        <v>0.363</v>
      </c>
      <c r="AK137" s="153" t="n">
        <f aca="false">IF(AA137&lt;&gt;"",AA137,0)</f>
        <v>3.1</v>
      </c>
      <c r="AL137" s="153" t="n">
        <f aca="false">IF(AND($N137="MND",$Q137="EMBOQUE"),$M137,IF(AND($N137="VCA",$Q137="LINEAR"),$M137,IF(AND($N137="VCA",$Q137="PREDIAL"),0,0)))</f>
        <v>31.76</v>
      </c>
      <c r="AM137" s="153" t="n">
        <f aca="false">IF(AND($N137="MND",$Q137="EMBOQUE"),$M137,IF(AND($N137="VCA",$Q137="LINEAR"),$M137,IF(AND($N137="VCA",$Q137="PREDIAL"),0,0)))</f>
        <v>31.76</v>
      </c>
      <c r="AN137" s="153" t="n">
        <f aca="false">ROUND(IF(AND($N137="VCA",$M137&lt;&gt;"",$Q137="LINEAR"),$M137/100,IF(AND($N137="MND",$M137&gt;100,$Q137="EMBOQUE"),$M137/100,0)),0)</f>
        <v>0</v>
      </c>
      <c r="AO137" s="153" t="n">
        <f aca="false">IF(AND($N137="MND",$Q137="EMBOQUE"),$AN137*2*2,IF(AND($N137="VCA",$Q137="LINEAR"),$M137*2,IF(AND($N137="VCA",$Q137="PREDIAL"),0,0)))</f>
        <v>63.52</v>
      </c>
      <c r="AP137" s="153" t="n">
        <f aca="false">IFERROR($M137*$AF137*$AG137,0)</f>
        <v>28.137772</v>
      </c>
      <c r="AQ137" s="153" t="n">
        <f aca="false">IFERROR(IF(AND($N137="VCA",$AH137&gt;0),$M137*$AG137*$AH137,0),0)</f>
        <v>2.0644</v>
      </c>
      <c r="AR137" s="153" t="n">
        <f aca="false">IFERROR(IF(AND($N137="VCA",$AJ137&gt;0),($M137*$AG137*$AJ137)-$AI137,0),0)</f>
        <v>7.39476828893774</v>
      </c>
      <c r="AS137" s="153" t="n">
        <f aca="false">IFERROR(IF(AND($N137="VCA",$AP137&gt;0),$AP137-$AI137-$AQ137-$AR137,0),0)</f>
        <v>18.5796</v>
      </c>
      <c r="AT137" s="153" t="n">
        <f aca="false">IFERROR(IF($N137="VCA",INDEX(APOIO_REDES!$A:$W,MATCH($C137&amp;$I137&amp;$H137&amp;$N137&amp;$O137,APOIO_REDES!$W:$W,0),MATCH(AT$5,APOIO_REDES!$5:$5,0)),0)*$AP137,0)</f>
        <v>0.306147287715392</v>
      </c>
      <c r="AU137" s="153" t="n">
        <f aca="false">IFERROR(IF($N137="VCA",INDEX(APOIO_REDES!$A:$W,MATCH($C137&amp;$I137&amp;$H137&amp;$N137&amp;$O137,APOIO_REDES!$W:$W,0),MATCH(AU$5,APOIO_REDES!$5:$5,0)),0)*$AP137,0)</f>
        <v>0.244480932449426</v>
      </c>
      <c r="AV137" s="153" t="n">
        <f aca="false">IFERROR(IF($N137="VCA",INDEX(APOIO_REDES!$A:$W,MATCH($C137&amp;$I137&amp;$H137&amp;$N137&amp;$O137,APOIO_REDES!$W:$W,0),MATCH(AV$5,APOIO_REDES!$5:$5,0)),0)*$AP137,0)</f>
        <v>0.0338342418004307</v>
      </c>
      <c r="AW137" s="153" t="n">
        <f aca="false">IFERROR(IF($N137="VCA",INDEX(APOIO_REDES!$A:$W,MATCH($C137&amp;$I137&amp;$H137&amp;$N137&amp;$O137,APOIO_REDES!$W:$W,0),MATCH(AW$5,APOIO_REDES!$5:$5,0)),0)*$AP137,0)</f>
        <v>19.3139847228964</v>
      </c>
      <c r="AX137" s="153" t="n">
        <f aca="false">IFERROR(IF($N137="VCA",INDEX(APOIO_REDES!$A:$W,MATCH($C137&amp;$I137&amp;$H137&amp;$N137&amp;$O137,APOIO_REDES!$W:$W,0),MATCH(AX$5,APOIO_REDES!$5:$5,0)),0)*$AP137,0)</f>
        <v>2.67300046872197</v>
      </c>
      <c r="AY137" s="153" t="n">
        <f aca="false">IFERROR(IF($N137="VCA",INDEX(APOIO_REDES!$A:$W,MATCH($C137&amp;$I137&amp;$H137&amp;$N137&amp;$O137,APOIO_REDES!$W:$W,0),MATCH(AY$5,APOIO_REDES!$5:$5,0)),0)*$AP137,0)</f>
        <v>4.88961566878577</v>
      </c>
      <c r="AZ137" s="153" t="n">
        <f aca="false">IFERROR(IF($N137="VCA",INDEX(APOIO_REDES!$A:$W,MATCH($C137&amp;$I137&amp;$H137&amp;$N137&amp;$O137,APOIO_REDES!$W:$W,0),MATCH(AZ$5,APOIO_REDES!$5:$5,0)),0)*$AP137,0)</f>
        <v>0.6767086776306</v>
      </c>
      <c r="BA137" s="153" t="n">
        <f aca="false">IFERROR(IF(AND($N137="VCA",$Q137="LINEAR"),INDEX(APOIO_REDES!$A:$W,MATCH($C137&amp;$I137&amp;$H137&amp;$N137&amp;$O137,APOIO_REDES!$W:$W,0),MATCH(BA$5,APOIO_REDES!$5:$5,0)),IF(AND($N137="MND",$Q137="EMBOQUE"),INDEX(APOIO_REDES!$A:$W,MATCH($C137&amp;$I137&amp;$H137&amp;$N137&amp;$O137,APOIO_REDES!$W:$W,0),MATCH(BA$5,APOIO_REDES!$5:$5,0)),0))*$M137/10,0)</f>
        <v>2.55977588793382</v>
      </c>
      <c r="BB137" s="153" t="n">
        <f aca="false">IFERROR(IF($N137="VCA",INDEX(APOIO_REDES!$A:$W,MATCH($C137&amp;$I137&amp;$H137&amp;$N137&amp;$O137,APOIO_REDES!$W:$W,0),MATCH(BB$5,APOIO_REDES!$5:$5,0)),0)*($AI137+$AQ137+$AR137),0)</f>
        <v>9.4541762595655</v>
      </c>
      <c r="BC137" s="153" t="n">
        <f aca="false">IFERROR(IF($N137="VCA",INDEX(APOIO_REDES!$A:$W,MATCH($C137&amp;$I137&amp;$H137&amp;$N137&amp;$O137,APOIO_REDES!$W:$W,0),MATCH(BC$5,APOIO_REDES!$5:$5,0)),0)*($AI137+$AQ137+$AR137),0)</f>
        <v>0.103995740434502</v>
      </c>
      <c r="BD137" s="153" t="n">
        <f aca="false">IF(AND($N137="VCA",$AF137&gt;=1.25,$AF137&lt;1.5),$M137*$AF137*2,0)</f>
        <v>86.57776</v>
      </c>
      <c r="BE137" s="153" t="n">
        <f aca="false">IF(AND($N137="VCA",$AF137&gt;=1.5,$AF137&lt;3),$M137*$AF137*2,0)</f>
        <v>0</v>
      </c>
      <c r="BF137" s="153" t="n">
        <f aca="false">IF(AND($N137="VCA",$AF137&gt;=3),$M137*$AF137*2,0)</f>
        <v>0</v>
      </c>
      <c r="BG137" s="153" t="n">
        <f aca="false">($BB137+$BC137)*$AK137</f>
        <v>29.6303332</v>
      </c>
      <c r="BH137" s="153" t="n">
        <f aca="false">IF(AND($M137&lt;&gt;"",$N137="VCA",$Q137="LINEAR"),($M137*2)/100,IF(AND($M137&lt;&gt;"",$N137="MND",$Q137="EMBOQUE"),($AN137*2)/100,0))</f>
        <v>0.6352</v>
      </c>
      <c r="BI137" s="153" t="n">
        <f aca="false">IF(AND($M137&lt;&gt;"",$N137="VCA",$Q137="LINEAR"),$M137,IF(AND($M137&lt;&gt;"",$N137="MND",$Q137="EMBOQUE"),$AN137*2,0))</f>
        <v>31.76</v>
      </c>
      <c r="BJ137" s="153" t="n">
        <f aca="false">IF(AND($M137&lt;&gt;"",$N137="VCA",$Q137="LINEAR"),($M137*6.8)/100,IF(AND($M137&lt;&gt;"",$N137="MND",$Q137="EMBOQUE"),($AN137*2*6.8)/100,0))</f>
        <v>2.15968</v>
      </c>
      <c r="BK137" s="153" t="n">
        <f aca="false">IF(AND($M137&lt;&gt;"",$N137="VCA",$Q137="LINEAR"),($M137*2.5)/50,IF(AND($M137&lt;&gt;"",$N137="MND",$Q137="EMBOQUE"),($AN137*2*2.5)/50,0))</f>
        <v>1.588</v>
      </c>
      <c r="BL137" s="157" t="str">
        <f aca="false">K137&amp;J137</f>
        <v>Zona02REDES</v>
      </c>
      <c r="BM137" s="152" t="s">
        <v>2037</v>
      </c>
      <c r="BN137" s="152" t="s">
        <v>1560</v>
      </c>
      <c r="BO137" s="152" t="s">
        <v>1968</v>
      </c>
      <c r="BP137" s="152" t="s">
        <v>2051</v>
      </c>
      <c r="BQ137" s="152" t="s">
        <v>2044</v>
      </c>
      <c r="BR137" s="152" t="s">
        <v>2046</v>
      </c>
      <c r="BS137" s="152" t="n">
        <v>202787.991</v>
      </c>
      <c r="BT137" s="152" t="n">
        <v>8238152.765</v>
      </c>
      <c r="BU137" s="152" t="n">
        <v>202803.94</v>
      </c>
      <c r="BV137" s="152" t="n">
        <v>8238180.232</v>
      </c>
      <c r="BW137" s="152" t="n">
        <v>-15.9179358</v>
      </c>
      <c r="BX137" s="152" t="n">
        <v>-47.775767</v>
      </c>
      <c r="BY137" s="152" t="s">
        <v>2051</v>
      </c>
    </row>
    <row r="138" customFormat="false" ht="13.8" hidden="false" customHeight="false" outlineLevel="0" collapsed="false">
      <c r="A138" s="149" t="n">
        <f aca="false">IF(C138&lt;&gt;"",ROW(A133),"")</f>
        <v>133</v>
      </c>
      <c r="B138" s="150" t="str">
        <f aca="false">HYPERLINK("https://www.google.com/maps/dir/-15.917302,-47.760003/-15.9181918,-47.7756525/data=!4m3!4m2!3e0!5i0")</f>
        <v>https://www.google.com/maps/dir/-15.917302,-47.760003/-15.9181918,-47.7756525/data=!4m3!4m2!3e0!5i0</v>
      </c>
      <c r="C138" s="151" t="s">
        <v>117</v>
      </c>
      <c r="D138" s="152" t="s">
        <v>112</v>
      </c>
      <c r="E138" s="152" t="s">
        <v>113</v>
      </c>
      <c r="F138" s="152" t="s">
        <v>117</v>
      </c>
      <c r="G138" s="152" t="s">
        <v>782</v>
      </c>
      <c r="H138" s="152" t="n">
        <v>63</v>
      </c>
      <c r="I138" s="152" t="s">
        <v>115</v>
      </c>
      <c r="J138" s="152" t="s">
        <v>6</v>
      </c>
      <c r="K138" s="152" t="s">
        <v>2033</v>
      </c>
      <c r="L138" s="152" t="s">
        <v>120</v>
      </c>
      <c r="M138" s="153" t="n">
        <f aca="false">62.47+3.94</f>
        <v>66.41</v>
      </c>
      <c r="N138" s="152" t="s">
        <v>1548</v>
      </c>
      <c r="O138" s="152" t="s">
        <v>1549</v>
      </c>
      <c r="P138" s="152" t="s">
        <v>1550</v>
      </c>
      <c r="Q138" s="152" t="s">
        <v>1551</v>
      </c>
      <c r="R138" s="154" t="s">
        <v>2052</v>
      </c>
      <c r="S138" s="154" t="s">
        <v>1553</v>
      </c>
      <c r="T138" s="155" t="s">
        <v>1965</v>
      </c>
      <c r="U138" s="152" t="str">
        <f aca="false">RIGHT(T138,7)</f>
        <v>005/037</v>
      </c>
      <c r="V138" s="152" t="s">
        <v>1555</v>
      </c>
      <c r="W138" s="156" t="n">
        <v>45882</v>
      </c>
      <c r="X138" s="152" t="s">
        <v>1594</v>
      </c>
      <c r="Y138" s="152" t="s">
        <v>2053</v>
      </c>
      <c r="Z138" s="152" t="s">
        <v>1557</v>
      </c>
      <c r="AA138" s="153" t="n">
        <v>3.1</v>
      </c>
      <c r="AB138" s="151" t="s">
        <v>2054</v>
      </c>
      <c r="AC138" s="151" t="s">
        <v>186</v>
      </c>
      <c r="AD138" s="151" t="str">
        <f aca="false">CONCATENATE($C138,$I138,$H138,$N138,$J138,$K138)</f>
        <v>TUBO PEADPEAD63VCAREDESZona02</v>
      </c>
      <c r="AE138" s="153" t="n">
        <f aca="false">IFERROR(INDEX(APOIO_REDES!$A:$W,MATCH($C138&amp;$I138&amp;$H138&amp;$N138&amp;$O138,APOIO_REDES!$W:$W,0),MATCH(AE$5,APOIO_REDES!$5:$5,0)),0)</f>
        <v>1.2</v>
      </c>
      <c r="AF138" s="153" t="n">
        <f aca="false">IFERROR(INDEX(APOIO_REDES!$A:$W,MATCH($C138&amp;$I138&amp;$H138&amp;$N138&amp;$O138,APOIO_REDES!$W:$W,0),MATCH(AF$5,APOIO_REDES!$5:$5,0)),0)</f>
        <v>1.363</v>
      </c>
      <c r="AG138" s="153" t="n">
        <f aca="false">IFERROR(INDEX(APOIO_REDES!$A:$W,MATCH($C138&amp;$I138&amp;$H138&amp;$N138&amp;$O138,APOIO_REDES!$W:$W,0),MATCH(AG$5,APOIO_REDES!$5:$5,0)),0)</f>
        <v>0.65</v>
      </c>
      <c r="AH138" s="153" t="n">
        <f aca="false">IFERROR(INDEX(APOIO_REDES!$A:$W,MATCH($C138&amp;$I138&amp;$H138&amp;$N138&amp;$O138,APOIO_REDES!$W:$W,0),MATCH(AH$5,APOIO_REDES!$5:$5,0)),0)</f>
        <v>0.1</v>
      </c>
      <c r="AI138" s="153" t="n">
        <f aca="false">IFERROR(IF($H138&lt;&gt;"",(((($H138/1000)/2)^2)*PI()*$M138),0),0)</f>
        <v>0.20701626107193</v>
      </c>
      <c r="AJ138" s="153" t="n">
        <f aca="false">IFERROR(IF(AND($H138&lt;&gt;"",$I138="FoFo",OR($N138="MND",$N138="VCA"),$Q138="LINEAR"),0,IF(AND($H138&lt;&gt;"",$I138="PEAD",$N138="VCA",$Q138="LINEAR"),($H138/1000)+0.3,IF(AND($H138&lt;&gt;"",$I138="PEAD",$N138="MND",$Q138="EMBOQUE"),0,IF(AND($H138&lt;&gt;"",$I138="PVC",$N138="VCA",$Q138="LINEAR"),($H138/1000)+0.2,IF(AND($H138&lt;&gt;"",$I138="PVC",$N138="MND",$Q138="EMBOQUE"),0,IF(AND($H138&lt;&gt;"",$I138="PEAD",$N138="VCA",$Q138="PREDIAL"),0,0)))))),0)</f>
        <v>0.363</v>
      </c>
      <c r="AK138" s="153" t="n">
        <f aca="false">IF(AA138&lt;&gt;"",AA138,0)</f>
        <v>3.1</v>
      </c>
      <c r="AL138" s="153" t="n">
        <f aca="false">IF(AND($N138="MND",$Q138="EMBOQUE"),$M138,IF(AND($N138="VCA",$Q138="LINEAR"),$M138,IF(AND($N138="VCA",$Q138="PREDIAL"),0,0)))</f>
        <v>66.41</v>
      </c>
      <c r="AM138" s="153" t="n">
        <f aca="false">IF(AND($N138="MND",$Q138="EMBOQUE"),$M138,IF(AND($N138="VCA",$Q138="LINEAR"),$M138,IF(AND($N138="VCA",$Q138="PREDIAL"),0,0)))</f>
        <v>66.41</v>
      </c>
      <c r="AN138" s="153" t="n">
        <f aca="false">ROUND(IF(AND($N138="VCA",$M138&lt;&gt;"",$Q138="LINEAR"),$M138/100,IF(AND($N138="MND",$M138&gt;100,$Q138="EMBOQUE"),$M138/100,0)),0)</f>
        <v>1</v>
      </c>
      <c r="AO138" s="153" t="n">
        <f aca="false">IF(AND($N138="MND",$Q138="EMBOQUE"),$AN138*2*2,IF(AND($N138="VCA",$Q138="LINEAR"),$M138*2,IF(AND($N138="VCA",$Q138="PREDIAL"),0,0)))</f>
        <v>132.82</v>
      </c>
      <c r="AP138" s="153" t="n">
        <f aca="false">IFERROR($M138*$AF138*$AG138,0)</f>
        <v>58.8359395</v>
      </c>
      <c r="AQ138" s="153" t="n">
        <f aca="false">IFERROR(IF(AND($N138="VCA",$AH138&gt;0),$M138*$AG138*$AH138,0),0)</f>
        <v>4.31665</v>
      </c>
      <c r="AR138" s="153" t="n">
        <f aca="false">IFERROR(IF(AND($N138="VCA",$AJ138&gt;0),($M138*$AG138*$AJ138)-$AI138,0),0)</f>
        <v>15.4624232389281</v>
      </c>
      <c r="AS138" s="153" t="n">
        <f aca="false">IFERROR(IF(AND($N138="VCA",$AP138&gt;0),$AP138-$AI138-$AQ138-$AR138,0),0)</f>
        <v>38.84985</v>
      </c>
      <c r="AT138" s="153" t="n">
        <f aca="false">IFERROR(IF($N138="VCA",INDEX(APOIO_REDES!$A:$W,MATCH($C138&amp;$I138&amp;$H138&amp;$N138&amp;$O138,APOIO_REDES!$W:$W,0),MATCH(AT$5,APOIO_REDES!$5:$5,0)),0)*$AP138,0)</f>
        <v>0.640152436309168</v>
      </c>
      <c r="AU138" s="153" t="n">
        <f aca="false">IFERROR(IF($N138="VCA",INDEX(APOIO_REDES!$A:$W,MATCH($C138&amp;$I138&amp;$H138&amp;$N138&amp;$O138,APOIO_REDES!$W:$W,0),MATCH(AU$5,APOIO_REDES!$5:$5,0)),0)*$AP138,0)</f>
        <v>0.511208398109773</v>
      </c>
      <c r="AV138" s="153" t="n">
        <f aca="false">IFERROR(IF($N138="VCA",INDEX(APOIO_REDES!$A:$W,MATCH($C138&amp;$I138&amp;$H138&amp;$N138&amp;$O138,APOIO_REDES!$W:$W,0),MATCH(AV$5,APOIO_REDES!$5:$5,0)),0)*$AP138,0)</f>
        <v>0.0707472291551198</v>
      </c>
      <c r="AW138" s="153" t="n">
        <f aca="false">IFERROR(IF($N138="VCA",INDEX(APOIO_REDES!$A:$W,MATCH($C138&amp;$I138&amp;$H138&amp;$N138&amp;$O138,APOIO_REDES!$W:$W,0),MATCH(AW$5,APOIO_REDES!$5:$5,0)),0)*$AP138,0)</f>
        <v>40.3854447559053</v>
      </c>
      <c r="AX138" s="153" t="n">
        <f aca="false">IFERROR(IF($N138="VCA",INDEX(APOIO_REDES!$A:$W,MATCH($C138&amp;$I138&amp;$H138&amp;$N138&amp;$O138,APOIO_REDES!$W:$W,0),MATCH(AX$5,APOIO_REDES!$5:$5,0)),0)*$AP138,0)</f>
        <v>5.58923051410031</v>
      </c>
      <c r="AY138" s="153" t="n">
        <f aca="false">IFERROR(IF($N138="VCA",INDEX(APOIO_REDES!$A:$W,MATCH($C138&amp;$I138&amp;$H138&amp;$N138&amp;$O138,APOIO_REDES!$W:$W,0),MATCH(AY$5,APOIO_REDES!$5:$5,0)),0)*$AP138,0)</f>
        <v>10.2241617306065</v>
      </c>
      <c r="AZ138" s="153" t="n">
        <f aca="false">IFERROR(IF($N138="VCA",INDEX(APOIO_REDES!$A:$W,MATCH($C138&amp;$I138&amp;$H138&amp;$N138&amp;$O138,APOIO_REDES!$W:$W,0),MATCH(AZ$5,APOIO_REDES!$5:$5,0)),0)*$AP138,0)</f>
        <v>1.41499443581386</v>
      </c>
      <c r="BA138" s="153" t="n">
        <f aca="false">IFERROR(IF(AND($N138="VCA",$Q138="LINEAR"),INDEX(APOIO_REDES!$A:$W,MATCH($C138&amp;$I138&amp;$H138&amp;$N138&amp;$O138,APOIO_REDES!$W:$W,0),MATCH(BA$5,APOIO_REDES!$5:$5,0)),IF(AND($N138="MND",$Q138="EMBOQUE"),INDEX(APOIO_REDES!$A:$W,MATCH($C138&amp;$I138&amp;$H138&amp;$N138&amp;$O138,APOIO_REDES!$W:$W,0),MATCH(BA$5,APOIO_REDES!$5:$5,0)),0))*$M138/10,0)</f>
        <v>5.35247848607321</v>
      </c>
      <c r="BB138" s="153" t="n">
        <f aca="false">IFERROR(IF($N138="VCA",INDEX(APOIO_REDES!$A:$W,MATCH($C138&amp;$I138&amp;$H138&amp;$N138&amp;$O138,APOIO_REDES!$W:$W,0),MATCH(BB$5,APOIO_REDES!$5:$5,0)),0)*($AI138+$AQ138+$AR138),0)</f>
        <v>19.7686349306595</v>
      </c>
      <c r="BC138" s="153" t="n">
        <f aca="false">IFERROR(IF($N138="VCA",INDEX(APOIO_REDES!$A:$W,MATCH($C138&amp;$I138&amp;$H138&amp;$N138&amp;$O138,APOIO_REDES!$W:$W,0),MATCH(BC$5,APOIO_REDES!$5:$5,0)),0)*($AI138+$AQ138+$AR138),0)</f>
        <v>0.217454569340532</v>
      </c>
      <c r="BD138" s="153" t="n">
        <f aca="false">IF(AND($N138="VCA",$AF138&gt;=1.25,$AF138&lt;1.5),$M138*$AF138*2,0)</f>
        <v>181.03366</v>
      </c>
      <c r="BE138" s="153" t="n">
        <f aca="false">IF(AND($N138="VCA",$AF138&gt;=1.5,$AF138&lt;3),$M138*$AF138*2,0)</f>
        <v>0</v>
      </c>
      <c r="BF138" s="153" t="n">
        <f aca="false">IF(AND($N138="VCA",$AF138&gt;=3),$M138*$AF138*2,0)</f>
        <v>0</v>
      </c>
      <c r="BG138" s="153" t="n">
        <f aca="false">($BB138+$BC138)*$AK138</f>
        <v>61.95687745</v>
      </c>
      <c r="BH138" s="153" t="n">
        <f aca="false">IF(AND($M138&lt;&gt;"",$N138="VCA",$Q138="LINEAR"),($M138*2)/100,IF(AND($M138&lt;&gt;"",$N138="MND",$Q138="EMBOQUE"),($AN138*2)/100,0))</f>
        <v>1.3282</v>
      </c>
      <c r="BI138" s="153" t="n">
        <f aca="false">IF(AND($M138&lt;&gt;"",$N138="VCA",$Q138="LINEAR"),$M138,IF(AND($M138&lt;&gt;"",$N138="MND",$Q138="EMBOQUE"),$AN138*2,0))</f>
        <v>66.41</v>
      </c>
      <c r="BJ138" s="153" t="n">
        <f aca="false">IF(AND($M138&lt;&gt;"",$N138="VCA",$Q138="LINEAR"),($M138*6.8)/100,IF(AND($M138&lt;&gt;"",$N138="MND",$Q138="EMBOQUE"),($AN138*2*6.8)/100,0))</f>
        <v>4.51588</v>
      </c>
      <c r="BK138" s="153" t="n">
        <f aca="false">IF(AND($M138&lt;&gt;"",$N138="VCA",$Q138="LINEAR"),($M138*2.5)/50,IF(AND($M138&lt;&gt;"",$N138="MND",$Q138="EMBOQUE"),($AN138*2*2.5)/50,0))</f>
        <v>3.3205</v>
      </c>
      <c r="BL138" s="157" t="str">
        <f aca="false">K138&amp;J138</f>
        <v>Zona02REDES</v>
      </c>
      <c r="BM138" s="152" t="s">
        <v>2037</v>
      </c>
      <c r="BN138" s="152" t="s">
        <v>1560</v>
      </c>
      <c r="BO138" s="152" t="s">
        <v>1968</v>
      </c>
      <c r="BP138" s="152" t="s">
        <v>2055</v>
      </c>
      <c r="BQ138" s="152" t="s">
        <v>2056</v>
      </c>
      <c r="BR138" s="152" t="s">
        <v>2057</v>
      </c>
      <c r="BS138" s="152" t="n">
        <v>202808.585</v>
      </c>
      <c r="BT138" s="152" t="n">
        <v>8238138.328</v>
      </c>
      <c r="BU138" s="152" t="n">
        <v>202841.64</v>
      </c>
      <c r="BV138" s="152" t="n">
        <v>8238191.317</v>
      </c>
      <c r="BW138" s="152" t="n">
        <v>-15.917954</v>
      </c>
      <c r="BX138" s="152" t="n">
        <v>-47.775496</v>
      </c>
      <c r="BY138" s="152" t="s">
        <v>2055</v>
      </c>
    </row>
    <row r="139" customFormat="false" ht="13.8" hidden="false" customHeight="false" outlineLevel="0" collapsed="false">
      <c r="A139" s="149" t="n">
        <f aca="false">IF(C139&lt;&gt;"",ROW(A134),"")</f>
        <v>134</v>
      </c>
      <c r="B139" s="150" t="str">
        <f aca="false">HYPERLINK("https://www.google.com/maps/dir/-15.917302,-47.760003/-15.9179286,-47.7760603/data=!4m3!4m2!3e0!5i0")</f>
        <v>https://www.google.com/maps/dir/-15.917302,-47.760003/-15.9179286,-47.7760603/data=!4m3!4m2!3e0!5i0</v>
      </c>
      <c r="C139" s="151" t="s">
        <v>117</v>
      </c>
      <c r="D139" s="152" t="s">
        <v>112</v>
      </c>
      <c r="E139" s="152" t="s">
        <v>113</v>
      </c>
      <c r="F139" s="152" t="s">
        <v>117</v>
      </c>
      <c r="G139" s="152" t="s">
        <v>782</v>
      </c>
      <c r="H139" s="152" t="n">
        <v>63</v>
      </c>
      <c r="I139" s="152" t="s">
        <v>115</v>
      </c>
      <c r="J139" s="152" t="s">
        <v>6</v>
      </c>
      <c r="K139" s="152" t="s">
        <v>2033</v>
      </c>
      <c r="L139" s="152" t="s">
        <v>120</v>
      </c>
      <c r="M139" s="153" t="n">
        <f aca="false">27.38</f>
        <v>27.38</v>
      </c>
      <c r="N139" s="152" t="s">
        <v>1548</v>
      </c>
      <c r="O139" s="152" t="s">
        <v>1549</v>
      </c>
      <c r="P139" s="152" t="s">
        <v>1550</v>
      </c>
      <c r="Q139" s="152" t="s">
        <v>1551</v>
      </c>
      <c r="R139" s="154" t="s">
        <v>2058</v>
      </c>
      <c r="S139" s="154" t="s">
        <v>1553</v>
      </c>
      <c r="T139" s="155" t="s">
        <v>1965</v>
      </c>
      <c r="U139" s="152" t="str">
        <f aca="false">RIGHT(T139,7)</f>
        <v>005/037</v>
      </c>
      <c r="V139" s="152" t="s">
        <v>1555</v>
      </c>
      <c r="W139" s="156" t="n">
        <v>45882</v>
      </c>
      <c r="X139" s="152" t="s">
        <v>1594</v>
      </c>
      <c r="Y139" s="152" t="s">
        <v>2053</v>
      </c>
      <c r="Z139" s="152" t="s">
        <v>1557</v>
      </c>
      <c r="AA139" s="153" t="n">
        <v>3.1</v>
      </c>
      <c r="AB139" s="151" t="s">
        <v>2059</v>
      </c>
      <c r="AC139" s="151" t="s">
        <v>186</v>
      </c>
      <c r="AD139" s="151" t="str">
        <f aca="false">CONCATENATE($C139,$I139,$H139,$N139,$J139,$K139)</f>
        <v>TUBO PEADPEAD63VCAREDESZona02</v>
      </c>
      <c r="AE139" s="153" t="n">
        <f aca="false">IFERROR(INDEX(APOIO_REDES!$A:$W,MATCH($C139&amp;$I139&amp;$H139&amp;$N139&amp;$O139,APOIO_REDES!$W:$W,0),MATCH(AE$5,APOIO_REDES!$5:$5,0)),0)</f>
        <v>1.2</v>
      </c>
      <c r="AF139" s="153" t="n">
        <f aca="false">IFERROR(INDEX(APOIO_REDES!$A:$W,MATCH($C139&amp;$I139&amp;$H139&amp;$N139&amp;$O139,APOIO_REDES!$W:$W,0),MATCH(AF$5,APOIO_REDES!$5:$5,0)),0)</f>
        <v>1.363</v>
      </c>
      <c r="AG139" s="153" t="n">
        <f aca="false">IFERROR(INDEX(APOIO_REDES!$A:$W,MATCH($C139&amp;$I139&amp;$H139&amp;$N139&amp;$O139,APOIO_REDES!$W:$W,0),MATCH(AG$5,APOIO_REDES!$5:$5,0)),0)</f>
        <v>0.65</v>
      </c>
      <c r="AH139" s="153" t="n">
        <f aca="false">IFERROR(INDEX(APOIO_REDES!$A:$W,MATCH($C139&amp;$I139&amp;$H139&amp;$N139&amp;$O139,APOIO_REDES!$W:$W,0),MATCH(AH$5,APOIO_REDES!$5:$5,0)),0)</f>
        <v>0.1</v>
      </c>
      <c r="AI139" s="153" t="n">
        <f aca="false">IFERROR(IF($H139&lt;&gt;"",(((($H139/1000)/2)^2)*PI()*$M139),0),0)</f>
        <v>0.08535017660216</v>
      </c>
      <c r="AJ139" s="153" t="n">
        <f aca="false">IFERROR(IF(AND($H139&lt;&gt;"",$I139="FoFo",OR($N139="MND",$N139="VCA"),$Q139="LINEAR"),0,IF(AND($H139&lt;&gt;"",$I139="PEAD",$N139="VCA",$Q139="LINEAR"),($H139/1000)+0.3,IF(AND($H139&lt;&gt;"",$I139="PEAD",$N139="MND",$Q139="EMBOQUE"),0,IF(AND($H139&lt;&gt;"",$I139="PVC",$N139="VCA",$Q139="LINEAR"),($H139/1000)+0.2,IF(AND($H139&lt;&gt;"",$I139="PVC",$N139="MND",$Q139="EMBOQUE"),0,IF(AND($H139&lt;&gt;"",$I139="PEAD",$N139="VCA",$Q139="PREDIAL"),0,0)))))),0)</f>
        <v>0.363</v>
      </c>
      <c r="AK139" s="153" t="n">
        <f aca="false">IF(AA139&lt;&gt;"",AA139,0)</f>
        <v>3.1</v>
      </c>
      <c r="AL139" s="153" t="n">
        <f aca="false">IF(AND($N139="MND",$Q139="EMBOQUE"),$M139,IF(AND($N139="VCA",$Q139="LINEAR"),$M139,IF(AND($N139="VCA",$Q139="PREDIAL"),0,0)))</f>
        <v>27.38</v>
      </c>
      <c r="AM139" s="153" t="n">
        <f aca="false">IF(AND($N139="MND",$Q139="EMBOQUE"),$M139,IF(AND($N139="VCA",$Q139="LINEAR"),$M139,IF(AND($N139="VCA",$Q139="PREDIAL"),0,0)))</f>
        <v>27.38</v>
      </c>
      <c r="AN139" s="153" t="n">
        <f aca="false">ROUND(IF(AND($N139="VCA",$M139&lt;&gt;"",$Q139="LINEAR"),$M139/100,IF(AND($N139="MND",$M139&gt;100,$Q139="EMBOQUE"),$M139/100,0)),0)</f>
        <v>0</v>
      </c>
      <c r="AO139" s="153" t="n">
        <f aca="false">IF(AND($N139="MND",$Q139="EMBOQUE"),$AN139*2*2,IF(AND($N139="VCA",$Q139="LINEAR"),$M139*2,IF(AND($N139="VCA",$Q139="PREDIAL"),0,0)))</f>
        <v>54.76</v>
      </c>
      <c r="AP139" s="153" t="n">
        <f aca="false">IFERROR($M139*$AF139*$AG139,0)</f>
        <v>24.257311</v>
      </c>
      <c r="AQ139" s="153" t="n">
        <f aca="false">IFERROR(IF(AND($N139="VCA",$AH139&gt;0),$M139*$AG139*$AH139,0),0)</f>
        <v>1.7797</v>
      </c>
      <c r="AR139" s="153" t="n">
        <f aca="false">IFERROR(IF(AND($N139="VCA",$AJ139&gt;0),($M139*$AG139*$AJ139)-$AI139,0),0)</f>
        <v>6.37496082339784</v>
      </c>
      <c r="AS139" s="153" t="n">
        <f aca="false">IFERROR(IF(AND($N139="VCA",$AP139&gt;0),$AP139-$AI139-$AQ139-$AR139,0),0)</f>
        <v>16.0173</v>
      </c>
      <c r="AT139" s="153" t="n">
        <f aca="false">IFERROR(IF($N139="VCA",INDEX(APOIO_REDES!$A:$W,MATCH($C139&amp;$I139&amp;$H139&amp;$N139&amp;$O139,APOIO_REDES!$W:$W,0),MATCH(AT$5,APOIO_REDES!$5:$5,0)),0)*$AP139,0)</f>
        <v>0.263926723477564</v>
      </c>
      <c r="AU139" s="153" t="n">
        <f aca="false">IFERROR(IF($N139="VCA",INDEX(APOIO_REDES!$A:$W,MATCH($C139&amp;$I139&amp;$H139&amp;$N139&amp;$O139,APOIO_REDES!$W:$W,0),MATCH(AU$5,APOIO_REDES!$5:$5,0)),0)*$AP139,0)</f>
        <v>0.210764733326993</v>
      </c>
      <c r="AV139" s="153" t="n">
        <f aca="false">IFERROR(IF($N139="VCA",INDEX(APOIO_REDES!$A:$W,MATCH($C139&amp;$I139&amp;$H139&amp;$N139&amp;$O139,APOIO_REDES!$W:$W,0),MATCH(AV$5,APOIO_REDES!$5:$5,0)),0)*$AP139,0)</f>
        <v>0.0291681845244267</v>
      </c>
      <c r="AW139" s="153" t="n">
        <f aca="false">IFERROR(IF($N139="VCA",INDEX(APOIO_REDES!$A:$W,MATCH($C139&amp;$I139&amp;$H139&amp;$N139&amp;$O139,APOIO_REDES!$W:$W,0),MATCH(AW$5,APOIO_REDES!$5:$5,0)),0)*$AP139,0)</f>
        <v>16.6504062252174</v>
      </c>
      <c r="AX139" s="153" t="n">
        <f aca="false">IFERROR(IF($N139="VCA",INDEX(APOIO_REDES!$A:$W,MATCH($C139&amp;$I139&amp;$H139&amp;$N139&amp;$O139,APOIO_REDES!$W:$W,0),MATCH(AX$5,APOIO_REDES!$5:$5,0)),0)*$AP139,0)</f>
        <v>2.30436879199016</v>
      </c>
      <c r="AY139" s="153" t="n">
        <f aca="false">IFERROR(IF($N139="VCA",INDEX(APOIO_REDES!$A:$W,MATCH($C139&amp;$I139&amp;$H139&amp;$N139&amp;$O139,APOIO_REDES!$W:$W,0),MATCH(AY$5,APOIO_REDES!$5:$5,0)),0)*$AP139,0)</f>
        <v>4.21529209733484</v>
      </c>
      <c r="AZ139" s="153" t="n">
        <f aca="false">IFERROR(IF($N139="VCA",INDEX(APOIO_REDES!$A:$W,MATCH($C139&amp;$I139&amp;$H139&amp;$N139&amp;$O139,APOIO_REDES!$W:$W,0),MATCH(AZ$5,APOIO_REDES!$5:$5,0)),0)*$AP139,0)</f>
        <v>0.583384244128647</v>
      </c>
      <c r="BA139" s="153" t="n">
        <f aca="false">IFERROR(IF(AND($N139="VCA",$Q139="LINEAR"),INDEX(APOIO_REDES!$A:$W,MATCH($C139&amp;$I139&amp;$H139&amp;$N139&amp;$O139,APOIO_REDES!$W:$W,0),MATCH(BA$5,APOIO_REDES!$5:$5,0)),IF(AND($N139="MND",$Q139="EMBOQUE"),INDEX(APOIO_REDES!$A:$W,MATCH($C139&amp;$I139&amp;$H139&amp;$N139&amp;$O139,APOIO_REDES!$W:$W,0),MATCH(BA$5,APOIO_REDES!$5:$5,0)),0))*$M139/10,0)</f>
        <v>2.20675893613438</v>
      </c>
      <c r="BB139" s="153" t="n">
        <f aca="false">IFERROR(IF($N139="VCA",INDEX(APOIO_REDES!$A:$W,MATCH($C139&amp;$I139&amp;$H139&amp;$N139&amp;$O139,APOIO_REDES!$W:$W,0),MATCH(BB$5,APOIO_REDES!$5:$5,0)),0)*($AI139+$AQ139+$AR139),0)</f>
        <v>8.15035724140124</v>
      </c>
      <c r="BC139" s="153" t="n">
        <f aca="false">IFERROR(IF($N139="VCA",INDEX(APOIO_REDES!$A:$W,MATCH($C139&amp;$I139&amp;$H139&amp;$N139&amp;$O139,APOIO_REDES!$W:$W,0),MATCH(BC$5,APOIO_REDES!$5:$5,0)),0)*($AI139+$AQ139+$AR139),0)</f>
        <v>0.0896537585987617</v>
      </c>
      <c r="BD139" s="153" t="n">
        <f aca="false">IF(AND($N139="VCA",$AF139&gt;=1.25,$AF139&lt;1.5),$M139*$AF139*2,0)</f>
        <v>74.63788</v>
      </c>
      <c r="BE139" s="153" t="n">
        <f aca="false">IF(AND($N139="VCA",$AF139&gt;=1.5,$AF139&lt;3),$M139*$AF139*2,0)</f>
        <v>0</v>
      </c>
      <c r="BF139" s="153" t="n">
        <f aca="false">IF(AND($N139="VCA",$AF139&gt;=3),$M139*$AF139*2,0)</f>
        <v>0</v>
      </c>
      <c r="BG139" s="153" t="n">
        <f aca="false">($BB139+$BC139)*$AK139</f>
        <v>25.5440341</v>
      </c>
      <c r="BH139" s="153" t="n">
        <f aca="false">IF(AND($M139&lt;&gt;"",$N139="VCA",$Q139="LINEAR"),($M139*2)/100,IF(AND($M139&lt;&gt;"",$N139="MND",$Q139="EMBOQUE"),($AN139*2)/100,0))</f>
        <v>0.5476</v>
      </c>
      <c r="BI139" s="153" t="n">
        <f aca="false">IF(AND($M139&lt;&gt;"",$N139="VCA",$Q139="LINEAR"),$M139,IF(AND($M139&lt;&gt;"",$N139="MND",$Q139="EMBOQUE"),$AN139*2,0))</f>
        <v>27.38</v>
      </c>
      <c r="BJ139" s="153" t="n">
        <f aca="false">IF(AND($M139&lt;&gt;"",$N139="VCA",$Q139="LINEAR"),($M139*6.8)/100,IF(AND($M139&lt;&gt;"",$N139="MND",$Q139="EMBOQUE"),($AN139*2*6.8)/100,0))</f>
        <v>1.86184</v>
      </c>
      <c r="BK139" s="153" t="n">
        <f aca="false">IF(AND($M139&lt;&gt;"",$N139="VCA",$Q139="LINEAR"),($M139*2.5)/50,IF(AND($M139&lt;&gt;"",$N139="MND",$Q139="EMBOQUE"),($AN139*2*2.5)/50,0))</f>
        <v>1.369</v>
      </c>
      <c r="BL139" s="157" t="str">
        <f aca="false">K139&amp;J139</f>
        <v>Zona02REDES</v>
      </c>
      <c r="BM139" s="152" t="s">
        <v>2037</v>
      </c>
      <c r="BN139" s="152" t="s">
        <v>1560</v>
      </c>
      <c r="BO139" s="152" t="s">
        <v>1968</v>
      </c>
      <c r="BP139" s="152" t="s">
        <v>2060</v>
      </c>
      <c r="BQ139" s="152" t="s">
        <v>2051</v>
      </c>
      <c r="BR139" s="152" t="s">
        <v>2061</v>
      </c>
      <c r="BS139" s="152" t="n">
        <v>202764.532</v>
      </c>
      <c r="BT139" s="152" t="n">
        <v>8238166.876</v>
      </c>
      <c r="BU139" s="152" t="n">
        <v>202787.991</v>
      </c>
      <c r="BV139" s="152" t="n">
        <v>8238152.765</v>
      </c>
      <c r="BW139" s="152" t="n">
        <v>-15.9179937</v>
      </c>
      <c r="BX139" s="152" t="n">
        <v>-47.7759517</v>
      </c>
      <c r="BY139" s="152" t="s">
        <v>2060</v>
      </c>
    </row>
    <row r="140" customFormat="false" ht="13.8" hidden="false" customHeight="false" outlineLevel="0" collapsed="false">
      <c r="A140" s="149" t="n">
        <f aca="false">IF(C140&lt;&gt;"",ROW(A135),"")</f>
        <v>135</v>
      </c>
      <c r="B140" s="150" t="str">
        <f aca="false">HYPERLINK("https://www.google.com/maps/dir/-15.917302,-47.760003/-15.9182937,-47.7754796/data=!4m3!4m2!3e0!5i0")</f>
        <v>https://www.google.com/maps/dir/-15.917302,-47.760003/-15.9182937,-47.7754796/data=!4m3!4m2!3e0!5i0</v>
      </c>
      <c r="C140" s="151" t="s">
        <v>117</v>
      </c>
      <c r="D140" s="152" t="s">
        <v>112</v>
      </c>
      <c r="E140" s="152" t="s">
        <v>113</v>
      </c>
      <c r="F140" s="152" t="s">
        <v>117</v>
      </c>
      <c r="G140" s="152" t="s">
        <v>782</v>
      </c>
      <c r="H140" s="152" t="n">
        <v>63</v>
      </c>
      <c r="I140" s="152" t="s">
        <v>115</v>
      </c>
      <c r="J140" s="152" t="s">
        <v>6</v>
      </c>
      <c r="K140" s="152" t="s">
        <v>2033</v>
      </c>
      <c r="L140" s="152" t="s">
        <v>120</v>
      </c>
      <c r="M140" s="153" t="n">
        <f aca="false">66.06+5.39</f>
        <v>71.45</v>
      </c>
      <c r="N140" s="152" t="s">
        <v>1548</v>
      </c>
      <c r="O140" s="152" t="s">
        <v>1549</v>
      </c>
      <c r="P140" s="152" t="s">
        <v>1550</v>
      </c>
      <c r="Q140" s="152" t="s">
        <v>1551</v>
      </c>
      <c r="R140" s="154" t="s">
        <v>2062</v>
      </c>
      <c r="S140" s="154" t="s">
        <v>1553</v>
      </c>
      <c r="T140" s="155" t="s">
        <v>1965</v>
      </c>
      <c r="U140" s="152" t="str">
        <f aca="false">RIGHT(T140,7)</f>
        <v>005/037</v>
      </c>
      <c r="V140" s="152" t="s">
        <v>1555</v>
      </c>
      <c r="W140" s="156" t="n">
        <v>45882</v>
      </c>
      <c r="X140" s="152" t="s">
        <v>1594</v>
      </c>
      <c r="Y140" s="152" t="s">
        <v>2063</v>
      </c>
      <c r="Z140" s="152" t="s">
        <v>1557</v>
      </c>
      <c r="AA140" s="153" t="n">
        <v>3.1</v>
      </c>
      <c r="AB140" s="151" t="s">
        <v>2064</v>
      </c>
      <c r="AC140" s="151" t="s">
        <v>186</v>
      </c>
      <c r="AD140" s="151" t="str">
        <f aca="false">CONCATENATE($C140,$I140,$H140,$N140,$J140,$K140)</f>
        <v>TUBO PEADPEAD63VCAREDESZona02</v>
      </c>
      <c r="AE140" s="153" t="n">
        <f aca="false">IFERROR(INDEX(APOIO_REDES!$A:$W,MATCH($C140&amp;$I140&amp;$H140&amp;$N140&amp;$O140,APOIO_REDES!$W:$W,0),MATCH(AE$5,APOIO_REDES!$5:$5,0)),0)</f>
        <v>1.2</v>
      </c>
      <c r="AF140" s="153" t="n">
        <f aca="false">IFERROR(INDEX(APOIO_REDES!$A:$W,MATCH($C140&amp;$I140&amp;$H140&amp;$N140&amp;$O140,APOIO_REDES!$W:$W,0),MATCH(AF$5,APOIO_REDES!$5:$5,0)),0)</f>
        <v>1.363</v>
      </c>
      <c r="AG140" s="153" t="n">
        <f aca="false">IFERROR(INDEX(APOIO_REDES!$A:$W,MATCH($C140&amp;$I140&amp;$H140&amp;$N140&amp;$O140,APOIO_REDES!$W:$W,0),MATCH(AG$5,APOIO_REDES!$5:$5,0)),0)</f>
        <v>0.65</v>
      </c>
      <c r="AH140" s="153" t="n">
        <f aca="false">IFERROR(INDEX(APOIO_REDES!$A:$W,MATCH($C140&amp;$I140&amp;$H140&amp;$N140&amp;$O140,APOIO_REDES!$W:$W,0),MATCH(AH$5,APOIO_REDES!$5:$5,0)),0)</f>
        <v>0.1</v>
      </c>
      <c r="AI140" s="153" t="n">
        <f aca="false">IFERROR(IF($H140&lt;&gt;"",(((($H140/1000)/2)^2)*PI()*$M140),0),0)</f>
        <v>0.222727177436974</v>
      </c>
      <c r="AJ140" s="153" t="n">
        <f aca="false">IFERROR(IF(AND($H140&lt;&gt;"",$I140="FoFo",OR($N140="MND",$N140="VCA"),$Q140="LINEAR"),0,IF(AND($H140&lt;&gt;"",$I140="PEAD",$N140="VCA",$Q140="LINEAR"),($H140/1000)+0.3,IF(AND($H140&lt;&gt;"",$I140="PEAD",$N140="MND",$Q140="EMBOQUE"),0,IF(AND($H140&lt;&gt;"",$I140="PVC",$N140="VCA",$Q140="LINEAR"),($H140/1000)+0.2,IF(AND($H140&lt;&gt;"",$I140="PVC",$N140="MND",$Q140="EMBOQUE"),0,IF(AND($H140&lt;&gt;"",$I140="PEAD",$N140="VCA",$Q140="PREDIAL"),0,0)))))),0)</f>
        <v>0.363</v>
      </c>
      <c r="AK140" s="153" t="n">
        <f aca="false">IF(AA140&lt;&gt;"",AA140,0)</f>
        <v>3.1</v>
      </c>
      <c r="AL140" s="153" t="n">
        <f aca="false">IF(AND($N140="MND",$Q140="EMBOQUE"),$M140,IF(AND($N140="VCA",$Q140="LINEAR"),$M140,IF(AND($N140="VCA",$Q140="PREDIAL"),0,0)))</f>
        <v>71.45</v>
      </c>
      <c r="AM140" s="153" t="n">
        <f aca="false">IF(AND($N140="MND",$Q140="EMBOQUE"),$M140,IF(AND($N140="VCA",$Q140="LINEAR"),$M140,IF(AND($N140="VCA",$Q140="PREDIAL"),0,0)))</f>
        <v>71.45</v>
      </c>
      <c r="AN140" s="153" t="n">
        <f aca="false">ROUND(IF(AND($N140="VCA",$M140&lt;&gt;"",$Q140="LINEAR"),$M140/100,IF(AND($N140="MND",$M140&gt;100,$Q140="EMBOQUE"),$M140/100,0)),0)</f>
        <v>1</v>
      </c>
      <c r="AO140" s="153" t="n">
        <f aca="false">IF(AND($N140="MND",$Q140="EMBOQUE"),$AN140*2*2,IF(AND($N140="VCA",$Q140="LINEAR"),$M140*2,IF(AND($N140="VCA",$Q140="PREDIAL"),0,0)))</f>
        <v>142.9</v>
      </c>
      <c r="AP140" s="153" t="n">
        <f aca="false">IFERROR($M140*$AF140*$AG140,0)</f>
        <v>63.3011275</v>
      </c>
      <c r="AQ140" s="153" t="n">
        <f aca="false">IFERROR(IF(AND($N140="VCA",$AH140&gt;0),$M140*$AG140*$AH140,0),0)</f>
        <v>4.64425</v>
      </c>
      <c r="AR140" s="153" t="n">
        <f aca="false">IFERROR(IF(AND($N140="VCA",$AJ140&gt;0),($M140*$AG140*$AJ140)-$AI140,0),0)</f>
        <v>16.635900322563</v>
      </c>
      <c r="AS140" s="153" t="n">
        <f aca="false">IFERROR(IF(AND($N140="VCA",$AP140&gt;0),$AP140-$AI140-$AQ140-$AR140,0),0)</f>
        <v>41.79825</v>
      </c>
      <c r="AT140" s="153" t="n">
        <f aca="false">IFERROR(IF($N140="VCA",INDEX(APOIO_REDES!$A:$W,MATCH($C140&amp;$I140&amp;$H140&amp;$N140&amp;$O140,APOIO_REDES!$W:$W,0),MATCH(AT$5,APOIO_REDES!$5:$5,0)),0)*$AP140,0)</f>
        <v>0.688735003377354</v>
      </c>
      <c r="AU140" s="153" t="n">
        <f aca="false">IFERROR(IF($N140="VCA",INDEX(APOIO_REDES!$A:$W,MATCH($C140&amp;$I140&amp;$H140&amp;$N140&amp;$O140,APOIO_REDES!$W:$W,0),MATCH(AU$5,APOIO_REDES!$5:$5,0)),0)*$AP140,0)</f>
        <v>0.550005120387641</v>
      </c>
      <c r="AV140" s="153" t="n">
        <f aca="false">IFERROR(IF($N140="VCA",INDEX(APOIO_REDES!$A:$W,MATCH($C140&amp;$I140&amp;$H140&amp;$N140&amp;$O140,APOIO_REDES!$W:$W,0),MATCH(AV$5,APOIO_REDES!$5:$5,0)),0)*$AP140,0)</f>
        <v>0.0761163909521655</v>
      </c>
      <c r="AW140" s="153" t="n">
        <f aca="false">IFERROR(IF($N140="VCA",INDEX(APOIO_REDES!$A:$W,MATCH($C140&amp;$I140&amp;$H140&amp;$N140&amp;$O140,APOIO_REDES!$W:$W,0),MATCH(AW$5,APOIO_REDES!$5:$5,0)),0)*$AP140,0)</f>
        <v>43.4503843970702</v>
      </c>
      <c r="AX140" s="153" t="n">
        <f aca="false">IFERROR(IF($N140="VCA",INDEX(APOIO_REDES!$A:$W,MATCH($C140&amp;$I140&amp;$H140&amp;$N140&amp;$O140,APOIO_REDES!$W:$W,0),MATCH(AX$5,APOIO_REDES!$5:$5,0)),0)*$AP140,0)</f>
        <v>6.01340942979171</v>
      </c>
      <c r="AY140" s="153" t="n">
        <f aca="false">IFERROR(IF($N140="VCA",INDEX(APOIO_REDES!$A:$W,MATCH($C140&amp;$I140&amp;$H140&amp;$N140&amp;$O140,APOIO_REDES!$W:$W,0),MATCH(AY$5,APOIO_REDES!$5:$5,0)),0)*$AP140,0)</f>
        <v>11.000095703235</v>
      </c>
      <c r="AZ140" s="153" t="n">
        <f aca="false">IFERROR(IF($N140="VCA",INDEX(APOIO_REDES!$A:$W,MATCH($C140&amp;$I140&amp;$H140&amp;$N140&amp;$O140,APOIO_REDES!$W:$W,0),MATCH(AZ$5,APOIO_REDES!$5:$5,0)),0)*$AP140,0)</f>
        <v>1.52238145518597</v>
      </c>
      <c r="BA140" s="153" t="n">
        <f aca="false">IFERROR(IF(AND($N140="VCA",$Q140="LINEAR"),INDEX(APOIO_REDES!$A:$W,MATCH($C140&amp;$I140&amp;$H140&amp;$N140&amp;$O140,APOIO_REDES!$W:$W,0),MATCH(BA$5,APOIO_REDES!$5:$5,0)),IF(AND($N140="MND",$Q140="EMBOQUE"),INDEX(APOIO_REDES!$A:$W,MATCH($C140&amp;$I140&amp;$H140&amp;$N140&amp;$O140,APOIO_REDES!$W:$W,0),MATCH(BA$5,APOIO_REDES!$5:$5,0)),0))*$M140/10,0)</f>
        <v>5.7586897730753</v>
      </c>
      <c r="BB140" s="153" t="n">
        <f aca="false">IFERROR(IF($N140="VCA",INDEX(APOIO_REDES!$A:$W,MATCH($C140&amp;$I140&amp;$H140&amp;$N140&amp;$O140,APOIO_REDES!$W:$W,0),MATCH(BB$5,APOIO_REDES!$5:$5,0)),0)*($AI140+$AQ140+$AR140),0)</f>
        <v>21.2689198282731</v>
      </c>
      <c r="BC140" s="153" t="n">
        <f aca="false">IFERROR(IF($N140="VCA",INDEX(APOIO_REDES!$A:$W,MATCH($C140&amp;$I140&amp;$H140&amp;$N140&amp;$O140,APOIO_REDES!$W:$W,0),MATCH(BC$5,APOIO_REDES!$5:$5,0)),0)*($AI140+$AQ140+$AR140),0)</f>
        <v>0.233957671726864</v>
      </c>
      <c r="BD140" s="153" t="n">
        <f aca="false">IF(AND($N140="VCA",$AF140&gt;=1.25,$AF140&lt;1.5),$M140*$AF140*2,0)</f>
        <v>194.7727</v>
      </c>
      <c r="BE140" s="153" t="n">
        <f aca="false">IF(AND($N140="VCA",$AF140&gt;=1.5,$AF140&lt;3),$M140*$AF140*2,0)</f>
        <v>0</v>
      </c>
      <c r="BF140" s="153" t="n">
        <f aca="false">IF(AND($N140="VCA",$AF140&gt;=3),$M140*$AF140*2,0)</f>
        <v>0</v>
      </c>
      <c r="BG140" s="153" t="n">
        <f aca="false">($BB140+$BC140)*$AK140</f>
        <v>66.65892025</v>
      </c>
      <c r="BH140" s="153" t="n">
        <f aca="false">IF(AND($M140&lt;&gt;"",$N140="VCA",$Q140="LINEAR"),($M140*2)/100,IF(AND($M140&lt;&gt;"",$N140="MND",$Q140="EMBOQUE"),($AN140*2)/100,0))</f>
        <v>1.429</v>
      </c>
      <c r="BI140" s="153" t="n">
        <f aca="false">IF(AND($M140&lt;&gt;"",$N140="VCA",$Q140="LINEAR"),$M140,IF(AND($M140&lt;&gt;"",$N140="MND",$Q140="EMBOQUE"),$AN140*2,0))</f>
        <v>71.45</v>
      </c>
      <c r="BJ140" s="153" t="n">
        <f aca="false">IF(AND($M140&lt;&gt;"",$N140="VCA",$Q140="LINEAR"),($M140*6.8)/100,IF(AND($M140&lt;&gt;"",$N140="MND",$Q140="EMBOQUE"),($AN140*2*6.8)/100,0))</f>
        <v>4.8586</v>
      </c>
      <c r="BK140" s="153" t="n">
        <f aca="false">IF(AND($M140&lt;&gt;"",$N140="VCA",$Q140="LINEAR"),($M140*2.5)/50,IF(AND($M140&lt;&gt;"",$N140="MND",$Q140="EMBOQUE"),($AN140*2*2.5)/50,0))</f>
        <v>3.5725</v>
      </c>
      <c r="BL140" s="157" t="str">
        <f aca="false">K140&amp;J140</f>
        <v>Zona02REDES</v>
      </c>
      <c r="BM140" s="152" t="s">
        <v>2037</v>
      </c>
      <c r="BN140" s="152" t="s">
        <v>1560</v>
      </c>
      <c r="BO140" s="152" t="s">
        <v>1968</v>
      </c>
      <c r="BP140" s="152" t="s">
        <v>2065</v>
      </c>
      <c r="BQ140" s="152" t="s">
        <v>2066</v>
      </c>
      <c r="BR140" s="152" t="s">
        <v>2067</v>
      </c>
      <c r="BS140" s="152" t="n">
        <v>202827.285</v>
      </c>
      <c r="BT140" s="152" t="n">
        <v>8238127.275</v>
      </c>
      <c r="BU140" s="152" t="n">
        <v>202861.891</v>
      </c>
      <c r="BV140" s="152" t="n">
        <v>8238183.535</v>
      </c>
      <c r="BW140" s="152" t="n">
        <v>-15.9180428</v>
      </c>
      <c r="BX140" s="152" t="n">
        <v>-47.775313</v>
      </c>
      <c r="BY140" s="152" t="s">
        <v>2065</v>
      </c>
    </row>
    <row r="141" customFormat="false" ht="13.8" hidden="false" customHeight="false" outlineLevel="0" collapsed="false">
      <c r="A141" s="149" t="n">
        <f aca="false">IF(C141&lt;&gt;"",ROW(A136),"")</f>
        <v>136</v>
      </c>
      <c r="B141" s="150" t="str">
        <f aca="false">HYPERLINK("https://www.google.com/maps/dir/-15.917302,-47.760003/-15.9183977,-47.7752847/data=!4m3!4m2!3e0!5i0")</f>
        <v>https://www.google.com/maps/dir/-15.917302,-47.760003/-15.9183977,-47.7752847/data=!4m3!4m2!3e0!5i0</v>
      </c>
      <c r="C141" s="151" t="s">
        <v>117</v>
      </c>
      <c r="D141" s="152" t="s">
        <v>112</v>
      </c>
      <c r="E141" s="152" t="s">
        <v>113</v>
      </c>
      <c r="F141" s="152" t="s">
        <v>117</v>
      </c>
      <c r="G141" s="152" t="s">
        <v>782</v>
      </c>
      <c r="H141" s="152" t="n">
        <v>63</v>
      </c>
      <c r="I141" s="152" t="s">
        <v>115</v>
      </c>
      <c r="J141" s="152" t="s">
        <v>6</v>
      </c>
      <c r="K141" s="152" t="s">
        <v>2033</v>
      </c>
      <c r="L141" s="152" t="s">
        <v>120</v>
      </c>
      <c r="M141" s="153" t="n">
        <f aca="false">70.85+5.14</f>
        <v>75.99</v>
      </c>
      <c r="N141" s="152" t="s">
        <v>1548</v>
      </c>
      <c r="O141" s="152" t="s">
        <v>1549</v>
      </c>
      <c r="P141" s="152" t="s">
        <v>1550</v>
      </c>
      <c r="Q141" s="152" t="s">
        <v>1551</v>
      </c>
      <c r="R141" s="154" t="s">
        <v>2068</v>
      </c>
      <c r="S141" s="154" t="s">
        <v>1553</v>
      </c>
      <c r="T141" s="155" t="s">
        <v>1965</v>
      </c>
      <c r="U141" s="152" t="str">
        <f aca="false">RIGHT(T141,7)</f>
        <v>005/037</v>
      </c>
      <c r="V141" s="152" t="s">
        <v>1555</v>
      </c>
      <c r="W141" s="156" t="n">
        <v>45882</v>
      </c>
      <c r="X141" s="152" t="s">
        <v>1594</v>
      </c>
      <c r="Y141" s="152" t="s">
        <v>2063</v>
      </c>
      <c r="Z141" s="152" t="s">
        <v>1557</v>
      </c>
      <c r="AA141" s="153" t="n">
        <v>3</v>
      </c>
      <c r="AB141" s="151" t="s">
        <v>2069</v>
      </c>
      <c r="AC141" s="151" t="s">
        <v>186</v>
      </c>
      <c r="AD141" s="151" t="str">
        <f aca="false">CONCATENATE($C141,$I141,$H141,$N141,$J141,$K141)</f>
        <v>TUBO PEADPEAD63VCAREDESZona02</v>
      </c>
      <c r="AE141" s="153" t="n">
        <f aca="false">IFERROR(INDEX(APOIO_REDES!$A:$W,MATCH($C141&amp;$I141&amp;$H141&amp;$N141&amp;$O141,APOIO_REDES!$W:$W,0),MATCH(AE$5,APOIO_REDES!$5:$5,0)),0)</f>
        <v>1.2</v>
      </c>
      <c r="AF141" s="153" t="n">
        <f aca="false">IFERROR(INDEX(APOIO_REDES!$A:$W,MATCH($C141&amp;$I141&amp;$H141&amp;$N141&amp;$O141,APOIO_REDES!$W:$W,0),MATCH(AF$5,APOIO_REDES!$5:$5,0)),0)</f>
        <v>1.363</v>
      </c>
      <c r="AG141" s="153" t="n">
        <f aca="false">IFERROR(INDEX(APOIO_REDES!$A:$W,MATCH($C141&amp;$I141&amp;$H141&amp;$N141&amp;$O141,APOIO_REDES!$W:$W,0),MATCH(AG$5,APOIO_REDES!$5:$5,0)),0)</f>
        <v>0.65</v>
      </c>
      <c r="AH141" s="153" t="n">
        <f aca="false">IFERROR(INDEX(APOIO_REDES!$A:$W,MATCH($C141&amp;$I141&amp;$H141&amp;$N141&amp;$O141,APOIO_REDES!$W:$W,0),MATCH(AH$5,APOIO_REDES!$5:$5,0)),0)</f>
        <v>0.1</v>
      </c>
      <c r="AI141" s="153" t="n">
        <f aca="false">IFERROR(IF($H141&lt;&gt;"",(((($H141/1000)/2)^2)*PI()*$M141),0),0)</f>
        <v>0.236879471146755</v>
      </c>
      <c r="AJ141" s="153" t="n">
        <f aca="false">IFERROR(IF(AND($H141&lt;&gt;"",$I141="FoFo",OR($N141="MND",$N141="VCA"),$Q141="LINEAR"),0,IF(AND($H141&lt;&gt;"",$I141="PEAD",$N141="VCA",$Q141="LINEAR"),($H141/1000)+0.3,IF(AND($H141&lt;&gt;"",$I141="PEAD",$N141="MND",$Q141="EMBOQUE"),0,IF(AND($H141&lt;&gt;"",$I141="PVC",$N141="VCA",$Q141="LINEAR"),($H141/1000)+0.2,IF(AND($H141&lt;&gt;"",$I141="PVC",$N141="MND",$Q141="EMBOQUE"),0,IF(AND($H141&lt;&gt;"",$I141="PEAD",$N141="VCA",$Q141="PREDIAL"),0,0)))))),0)</f>
        <v>0.363</v>
      </c>
      <c r="AK141" s="153" t="n">
        <f aca="false">IF(AA141&lt;&gt;"",AA141,0)</f>
        <v>3</v>
      </c>
      <c r="AL141" s="153" t="n">
        <f aca="false">IF(AND($N141="MND",$Q141="EMBOQUE"),$M141,IF(AND($N141="VCA",$Q141="LINEAR"),$M141,IF(AND($N141="VCA",$Q141="PREDIAL"),0,0)))</f>
        <v>75.99</v>
      </c>
      <c r="AM141" s="153" t="n">
        <f aca="false">IF(AND($N141="MND",$Q141="EMBOQUE"),$M141,IF(AND($N141="VCA",$Q141="LINEAR"),$M141,IF(AND($N141="VCA",$Q141="PREDIAL"),0,0)))</f>
        <v>75.99</v>
      </c>
      <c r="AN141" s="153" t="n">
        <f aca="false">ROUND(IF(AND($N141="VCA",$M141&lt;&gt;"",$Q141="LINEAR"),$M141/100,IF(AND($N141="MND",$M141&gt;100,$Q141="EMBOQUE"),$M141/100,0)),0)</f>
        <v>1</v>
      </c>
      <c r="AO141" s="153" t="n">
        <f aca="false">IF(AND($N141="MND",$Q141="EMBOQUE"),$AN141*2*2,IF(AND($N141="VCA",$Q141="LINEAR"),$M141*2,IF(AND($N141="VCA",$Q141="PREDIAL"),0,0)))</f>
        <v>151.98</v>
      </c>
      <c r="AP141" s="153" t="n">
        <f aca="false">IFERROR($M141*$AF141*$AG141,0)</f>
        <v>67.3233405</v>
      </c>
      <c r="AQ141" s="153" t="n">
        <f aca="false">IFERROR(IF(AND($N141="VCA",$AH141&gt;0),$M141*$AG141*$AH141,0),0)</f>
        <v>4.93935</v>
      </c>
      <c r="AR141" s="153" t="n">
        <f aca="false">IFERROR(IF(AND($N141="VCA",$AJ141&gt;0),($M141*$AG141*$AJ141)-$AI141,0),0)</f>
        <v>17.6929610288532</v>
      </c>
      <c r="AS141" s="153" t="n">
        <f aca="false">IFERROR(IF(AND($N141="VCA",$AP141&gt;0),$AP141-$AI141-$AQ141-$AR141,0),0)</f>
        <v>44.45415</v>
      </c>
      <c r="AT141" s="153" t="n">
        <f aca="false">IFERROR(IF($N141="VCA",INDEX(APOIO_REDES!$A:$W,MATCH($C141&amp;$I141&amp;$H141&amp;$N141&amp;$O141,APOIO_REDES!$W:$W,0),MATCH(AT$5,APOIO_REDES!$5:$5,0)),0)*$AP141,0)</f>
        <v>0.732497871331632</v>
      </c>
      <c r="AU141" s="153" t="n">
        <f aca="false">IFERROR(IF($N141="VCA",INDEX(APOIO_REDES!$A:$W,MATCH($C141&amp;$I141&amp;$H141&amp;$N141&amp;$O141,APOIO_REDES!$W:$W,0),MATCH(AU$5,APOIO_REDES!$5:$5,0)),0)*$AP141,0)</f>
        <v>0.58495296148715</v>
      </c>
      <c r="AV141" s="153" t="n">
        <f aca="false">IFERROR(IF($N141="VCA",INDEX(APOIO_REDES!$A:$W,MATCH($C141&amp;$I141&amp;$H141&amp;$N141&amp;$O141,APOIO_REDES!$W:$W,0),MATCH(AV$5,APOIO_REDES!$5:$5,0)),0)*$AP141,0)</f>
        <v>0.080952897809028</v>
      </c>
      <c r="AW141" s="153" t="n">
        <f aca="false">IFERROR(IF($N141="VCA",INDEX(APOIO_REDES!$A:$W,MATCH($C141&amp;$I141&amp;$H141&amp;$N141&amp;$O141,APOIO_REDES!$W:$W,0),MATCH(AW$5,APOIO_REDES!$5:$5,0)),0)*$AP141,0)</f>
        <v>46.2112625658973</v>
      </c>
      <c r="AX141" s="153" t="n">
        <f aca="false">IFERROR(IF($N141="VCA",INDEX(APOIO_REDES!$A:$W,MATCH($C141&amp;$I141&amp;$H141&amp;$N141&amp;$O141,APOIO_REDES!$W:$W,0),MATCH(AX$5,APOIO_REDES!$5:$5,0)),0)*$AP141,0)</f>
        <v>6.39550710384705</v>
      </c>
      <c r="AY141" s="153" t="n">
        <f aca="false">IFERROR(IF($N141="VCA",INDEX(APOIO_REDES!$A:$W,MATCH($C141&amp;$I141&amp;$H141&amp;$N141&amp;$O141,APOIO_REDES!$W:$W,0),MATCH(AY$5,APOIO_REDES!$5:$5,0)),0)*$AP141,0)</f>
        <v>11.6990520992138</v>
      </c>
      <c r="AZ141" s="153" t="n">
        <f aca="false">IFERROR(IF($N141="VCA",INDEX(APOIO_REDES!$A:$W,MATCH($C141&amp;$I141&amp;$H141&amp;$N141&amp;$O141,APOIO_REDES!$W:$W,0),MATCH(AZ$5,APOIO_REDES!$5:$5,0)),0)*$AP141,0)</f>
        <v>1.61911500041402</v>
      </c>
      <c r="BA141" s="153" t="n">
        <f aca="false">IFERROR(IF(AND($N141="VCA",$Q141="LINEAR"),INDEX(APOIO_REDES!$A:$W,MATCH($C141&amp;$I141&amp;$H141&amp;$N141&amp;$O141,APOIO_REDES!$W:$W,0),MATCH(BA$5,APOIO_REDES!$5:$5,0)),IF(AND($N141="MND",$Q141="EMBOQUE"),INDEX(APOIO_REDES!$A:$W,MATCH($C141&amp;$I141&amp;$H141&amp;$N141&amp;$O141,APOIO_REDES!$W:$W,0),MATCH(BA$5,APOIO_REDES!$5:$5,0)),0))*$M141/10,0)</f>
        <v>6.1246023212875</v>
      </c>
      <c r="BB141" s="153" t="n">
        <f aca="false">IFERROR(IF($N141="VCA",INDEX(APOIO_REDES!$A:$W,MATCH($C141&amp;$I141&amp;$H141&amp;$N141&amp;$O141,APOIO_REDES!$W:$W,0),MATCH(BB$5,APOIO_REDES!$5:$5,0)),0)*($AI141+$AQ141+$AR141),0)</f>
        <v>22.6203669384251</v>
      </c>
      <c r="BC141" s="153" t="n">
        <f aca="false">IFERROR(IF($N141="VCA",INDEX(APOIO_REDES!$A:$W,MATCH($C141&amp;$I141&amp;$H141&amp;$N141&amp;$O141,APOIO_REDES!$W:$W,0),MATCH(BC$5,APOIO_REDES!$5:$5,0)),0)*($AI141+$AQ141+$AR141),0)</f>
        <v>0.248823561574868</v>
      </c>
      <c r="BD141" s="153" t="n">
        <f aca="false">IF(AND($N141="VCA",$AF141&gt;=1.25,$AF141&lt;1.5),$M141*$AF141*2,0)</f>
        <v>207.14874</v>
      </c>
      <c r="BE141" s="153" t="n">
        <f aca="false">IF(AND($N141="VCA",$AF141&gt;=1.5,$AF141&lt;3),$M141*$AF141*2,0)</f>
        <v>0</v>
      </c>
      <c r="BF141" s="153" t="n">
        <f aca="false">IF(AND($N141="VCA",$AF141&gt;=3),$M141*$AF141*2,0)</f>
        <v>0</v>
      </c>
      <c r="BG141" s="153" t="n">
        <f aca="false">($BB141+$BC141)*$AK141</f>
        <v>68.6075715</v>
      </c>
      <c r="BH141" s="153" t="n">
        <f aca="false">IF(AND($M141&lt;&gt;"",$N141="VCA",$Q141="LINEAR"),($M141*2)/100,IF(AND($M141&lt;&gt;"",$N141="MND",$Q141="EMBOQUE"),($AN141*2)/100,0))</f>
        <v>1.5198</v>
      </c>
      <c r="BI141" s="153" t="n">
        <f aca="false">IF(AND($M141&lt;&gt;"",$N141="VCA",$Q141="LINEAR"),$M141,IF(AND($M141&lt;&gt;"",$N141="MND",$Q141="EMBOQUE"),$AN141*2,0))</f>
        <v>75.99</v>
      </c>
      <c r="BJ141" s="153" t="n">
        <f aca="false">IF(AND($M141&lt;&gt;"",$N141="VCA",$Q141="LINEAR"),($M141*6.8)/100,IF(AND($M141&lt;&gt;"",$N141="MND",$Q141="EMBOQUE"),($AN141*2*6.8)/100,0))</f>
        <v>5.16732</v>
      </c>
      <c r="BK141" s="153" t="n">
        <f aca="false">IF(AND($M141&lt;&gt;"",$N141="VCA",$Q141="LINEAR"),($M141*2.5)/50,IF(AND($M141&lt;&gt;"",$N141="MND",$Q141="EMBOQUE"),($AN141*2*2.5)/50,0))</f>
        <v>3.7995</v>
      </c>
      <c r="BL141" s="157" t="str">
        <f aca="false">K141&amp;J141</f>
        <v>Zona02REDES</v>
      </c>
      <c r="BM141" s="152" t="s">
        <v>2037</v>
      </c>
      <c r="BN141" s="152" t="s">
        <v>1560</v>
      </c>
      <c r="BO141" s="152" t="s">
        <v>1968</v>
      </c>
      <c r="BP141" s="152" t="s">
        <v>2070</v>
      </c>
      <c r="BQ141" s="152" t="s">
        <v>2071</v>
      </c>
      <c r="BR141" s="152" t="s">
        <v>2072</v>
      </c>
      <c r="BS141" s="152" t="n">
        <v>202848.316</v>
      </c>
      <c r="BT141" s="152" t="n">
        <v>8238116.043</v>
      </c>
      <c r="BU141" s="152" t="n">
        <v>202884.183</v>
      </c>
      <c r="BV141" s="152" t="n">
        <v>8238177.131</v>
      </c>
      <c r="BW141" s="152" t="n">
        <v>-15.9181254</v>
      </c>
      <c r="BX141" s="152" t="n">
        <v>-47.7751113</v>
      </c>
      <c r="BY141" s="152" t="s">
        <v>2070</v>
      </c>
    </row>
    <row r="142" customFormat="false" ht="13.8" hidden="false" customHeight="false" outlineLevel="0" collapsed="false">
      <c r="A142" s="149" t="n">
        <f aca="false">IF(C142&lt;&gt;"",ROW(A137),"")</f>
        <v>137</v>
      </c>
      <c r="B142" s="150" t="str">
        <f aca="false">HYPERLINK("https://www.google.com/maps/dir/-15.917302,-47.760003/-15.9190457,-47.7722690/data=!4m3!4m2!3e0!5i0")</f>
        <v>https://www.google.com/maps/dir/-15.917302,-47.760003/-15.9190457,-47.7722690/data=!4m3!4m2!3e0!5i0</v>
      </c>
      <c r="C142" s="151" t="s">
        <v>117</v>
      </c>
      <c r="D142" s="152" t="s">
        <v>112</v>
      </c>
      <c r="E142" s="152" t="s">
        <v>113</v>
      </c>
      <c r="F142" s="152" t="s">
        <v>117</v>
      </c>
      <c r="G142" s="152" t="s">
        <v>782</v>
      </c>
      <c r="H142" s="152" t="n">
        <v>63</v>
      </c>
      <c r="I142" s="152" t="s">
        <v>115</v>
      </c>
      <c r="J142" s="152" t="s">
        <v>6</v>
      </c>
      <c r="K142" s="152" t="s">
        <v>2033</v>
      </c>
      <c r="L142" s="152" t="s">
        <v>120</v>
      </c>
      <c r="M142" s="153" t="n">
        <f aca="false">398.28+0.94</f>
        <v>399.22</v>
      </c>
      <c r="N142" s="152" t="s">
        <v>1548</v>
      </c>
      <c r="O142" s="152" t="s">
        <v>1549</v>
      </c>
      <c r="P142" s="152" t="s">
        <v>1550</v>
      </c>
      <c r="Q142" s="152" t="s">
        <v>1551</v>
      </c>
      <c r="R142" s="154" t="s">
        <v>2073</v>
      </c>
      <c r="S142" s="154" t="s">
        <v>1553</v>
      </c>
      <c r="T142" s="155" t="s">
        <v>1965</v>
      </c>
      <c r="U142" s="152" t="str">
        <f aca="false">RIGHT(T142,7)</f>
        <v>005/037</v>
      </c>
      <c r="V142" s="152" t="s">
        <v>1555</v>
      </c>
      <c r="W142" s="156" t="n">
        <v>45882</v>
      </c>
      <c r="X142" s="152" t="s">
        <v>1594</v>
      </c>
      <c r="Y142" s="152" t="s">
        <v>2035</v>
      </c>
      <c r="Z142" s="152" t="s">
        <v>1557</v>
      </c>
      <c r="AA142" s="153" t="n">
        <v>2.6</v>
      </c>
      <c r="AB142" s="151" t="s">
        <v>2074</v>
      </c>
      <c r="AC142" s="151" t="s">
        <v>186</v>
      </c>
      <c r="AD142" s="151" t="str">
        <f aca="false">CONCATENATE($C142,$I142,$H142,$N142,$J142,$K142)</f>
        <v>TUBO PEADPEAD63VCAREDESZona02</v>
      </c>
      <c r="AE142" s="153" t="n">
        <f aca="false">IFERROR(INDEX(APOIO_REDES!$A:$W,MATCH($C142&amp;$I142&amp;$H142&amp;$N142&amp;$O142,APOIO_REDES!$W:$W,0),MATCH(AE$5,APOIO_REDES!$5:$5,0)),0)</f>
        <v>1.2</v>
      </c>
      <c r="AF142" s="153" t="n">
        <f aca="false">IFERROR(INDEX(APOIO_REDES!$A:$W,MATCH($C142&amp;$I142&amp;$H142&amp;$N142&amp;$O142,APOIO_REDES!$W:$W,0),MATCH(AF$5,APOIO_REDES!$5:$5,0)),0)</f>
        <v>1.363</v>
      </c>
      <c r="AG142" s="153" t="n">
        <f aca="false">IFERROR(INDEX(APOIO_REDES!$A:$W,MATCH($C142&amp;$I142&amp;$H142&amp;$N142&amp;$O142,APOIO_REDES!$W:$W,0),MATCH(AG$5,APOIO_REDES!$5:$5,0)),0)</f>
        <v>0.65</v>
      </c>
      <c r="AH142" s="153" t="n">
        <f aca="false">IFERROR(INDEX(APOIO_REDES!$A:$W,MATCH($C142&amp;$I142&amp;$H142&amp;$N142&amp;$O142,APOIO_REDES!$W:$W,0),MATCH(AH$5,APOIO_REDES!$5:$5,0)),0)</f>
        <v>0.1</v>
      </c>
      <c r="AI142" s="153" t="n">
        <f aca="false">IFERROR(IF($H142&lt;&gt;"",(((($H142/1000)/2)^2)*PI()*$M142),0),0)</f>
        <v>1.24446667286758</v>
      </c>
      <c r="AJ142" s="153" t="n">
        <f aca="false">IFERROR(IF(AND($H142&lt;&gt;"",$I142="FoFo",OR($N142="MND",$N142="VCA"),$Q142="LINEAR"),0,IF(AND($H142&lt;&gt;"",$I142="PEAD",$N142="VCA",$Q142="LINEAR"),($H142/1000)+0.3,IF(AND($H142&lt;&gt;"",$I142="PEAD",$N142="MND",$Q142="EMBOQUE"),0,IF(AND($H142&lt;&gt;"",$I142="PVC",$N142="VCA",$Q142="LINEAR"),($H142/1000)+0.2,IF(AND($H142&lt;&gt;"",$I142="PVC",$N142="MND",$Q142="EMBOQUE"),0,IF(AND($H142&lt;&gt;"",$I142="PEAD",$N142="VCA",$Q142="PREDIAL"),0,0)))))),0)</f>
        <v>0.363</v>
      </c>
      <c r="AK142" s="153" t="n">
        <f aca="false">IF(AA142&lt;&gt;"",AA142,0)</f>
        <v>2.6</v>
      </c>
      <c r="AL142" s="153" t="n">
        <f aca="false">IF(AND($N142="MND",$Q142="EMBOQUE"),$M142,IF(AND($N142="VCA",$Q142="LINEAR"),$M142,IF(AND($N142="VCA",$Q142="PREDIAL"),0,0)))</f>
        <v>399.22</v>
      </c>
      <c r="AM142" s="153" t="n">
        <f aca="false">IF(AND($N142="MND",$Q142="EMBOQUE"),$M142,IF(AND($N142="VCA",$Q142="LINEAR"),$M142,IF(AND($N142="VCA",$Q142="PREDIAL"),0,0)))</f>
        <v>399.22</v>
      </c>
      <c r="AN142" s="153" t="n">
        <f aca="false">ROUND(IF(AND($N142="VCA",$M142&lt;&gt;"",$Q142="LINEAR"),$M142/100,IF(AND($N142="MND",$M142&gt;100,$Q142="EMBOQUE"),$M142/100,0)),0)</f>
        <v>4</v>
      </c>
      <c r="AO142" s="153" t="n">
        <f aca="false">IF(AND($N142="MND",$Q142="EMBOQUE"),$AN142*2*2,IF(AND($N142="VCA",$Q142="LINEAR"),$M142*2,IF(AND($N142="VCA",$Q142="PREDIAL"),0,0)))</f>
        <v>798.44</v>
      </c>
      <c r="AP142" s="153" t="n">
        <f aca="false">IFERROR($M142*$AF142*$AG142,0)</f>
        <v>353.688959</v>
      </c>
      <c r="AQ142" s="153" t="n">
        <f aca="false">IFERROR(IF(AND($N142="VCA",$AH142&gt;0),$M142*$AG142*$AH142,0),0)</f>
        <v>25.9493</v>
      </c>
      <c r="AR142" s="153" t="n">
        <f aca="false">IFERROR(IF(AND($N142="VCA",$AJ142&gt;0),($M142*$AG142*$AJ142)-$AI142,0),0)</f>
        <v>92.9514923271324</v>
      </c>
      <c r="AS142" s="153" t="n">
        <f aca="false">IFERROR(IF(AND($N142="VCA",$AP142&gt;0),$AP142-$AI142-$AQ142-$AR142,0),0)</f>
        <v>233.5437</v>
      </c>
      <c r="AT142" s="153" t="n">
        <f aca="false">IFERROR(IF($N142="VCA",INDEX(APOIO_REDES!$A:$W,MATCH($C142&amp;$I142&amp;$H142&amp;$N142&amp;$O142,APOIO_REDES!$W:$W,0),MATCH(AT$5,APOIO_REDES!$5:$5,0)),0)*$AP142,0)</f>
        <v>3.84824056050815</v>
      </c>
      <c r="AU142" s="153" t="n">
        <f aca="false">IFERROR(IF($N142="VCA",INDEX(APOIO_REDES!$A:$W,MATCH($C142&amp;$I142&amp;$H142&amp;$N142&amp;$O142,APOIO_REDES!$W:$W,0),MATCH(AU$5,APOIO_REDES!$5:$5,0)),0)*$AP142,0)</f>
        <v>3.07310068804974</v>
      </c>
      <c r="AV142" s="153" t="n">
        <f aca="false">IFERROR(IF($N142="VCA",INDEX(APOIO_REDES!$A:$W,MATCH($C142&amp;$I142&amp;$H142&amp;$N142&amp;$O142,APOIO_REDES!$W:$W,0),MATCH(AV$5,APOIO_REDES!$5:$5,0)),0)*$AP142,0)</f>
        <v>0.425293010439797</v>
      </c>
      <c r="AW142" s="153" t="n">
        <f aca="false">IFERROR(IF($N142="VCA",INDEX(APOIO_REDES!$A:$W,MATCH($C142&amp;$I142&amp;$H142&amp;$N142&amp;$O142,APOIO_REDES!$W:$W,0),MATCH(AW$5,APOIO_REDES!$5:$5,0)),0)*$AP142,0)</f>
        <v>242.774841973385</v>
      </c>
      <c r="AX142" s="153" t="n">
        <f aca="false">IFERROR(IF($N142="VCA",INDEX(APOIO_REDES!$A:$W,MATCH($C142&amp;$I142&amp;$H142&amp;$N142&amp;$O142,APOIO_REDES!$W:$W,0),MATCH(AX$5,APOIO_REDES!$5:$5,0)),0)*$AP142,0)</f>
        <v>33.5993465718887</v>
      </c>
      <c r="AY142" s="153" t="n">
        <f aca="false">IFERROR(IF($N142="VCA",INDEX(APOIO_REDES!$A:$W,MATCH($C142&amp;$I142&amp;$H142&amp;$N142&amp;$O142,APOIO_REDES!$W:$W,0),MATCH(AY$5,APOIO_REDES!$5:$5,0)),0)*$AP142,0)</f>
        <v>61.4619763001466</v>
      </c>
      <c r="AZ142" s="153" t="n">
        <f aca="false">IFERROR(IF($N142="VCA",INDEX(APOIO_REDES!$A:$W,MATCH($C142&amp;$I142&amp;$H142&amp;$N142&amp;$O142,APOIO_REDES!$W:$W,0),MATCH(AZ$5,APOIO_REDES!$5:$5,0)),0)*$AP142,0)</f>
        <v>8.50615989558212</v>
      </c>
      <c r="BA142" s="153" t="n">
        <f aca="false">IFERROR(IF(AND($N142="VCA",$Q142="LINEAR"),INDEX(APOIO_REDES!$A:$W,MATCH($C142&amp;$I142&amp;$H142&amp;$N142&amp;$O142,APOIO_REDES!$W:$W,0),MATCH(BA$5,APOIO_REDES!$5:$5,0)),IF(AND($N142="MND",$Q142="EMBOQUE"),INDEX(APOIO_REDES!$A:$W,MATCH($C142&amp;$I142&amp;$H142&amp;$N142&amp;$O142,APOIO_REDES!$W:$W,0),MATCH(BA$5,APOIO_REDES!$5:$5,0)),0))*$M142/10,0)</f>
        <v>32.1761249993999</v>
      </c>
      <c r="BB142" s="153" t="n">
        <f aca="false">IFERROR(IF($N142="VCA",INDEX(APOIO_REDES!$A:$W,MATCH($C142&amp;$I142&amp;$H142&amp;$N142&amp;$O142,APOIO_REDES!$W:$W,0),MATCH(BB$5,APOIO_REDES!$5:$5,0)),0)*($AI142+$AQ142+$AR142),0)</f>
        <v>118.838043020899</v>
      </c>
      <c r="BC142" s="153" t="n">
        <f aca="false">IFERROR(IF($N142="VCA",INDEX(APOIO_REDES!$A:$W,MATCH($C142&amp;$I142&amp;$H142&amp;$N142&amp;$O142,APOIO_REDES!$W:$W,0),MATCH(BC$5,APOIO_REDES!$5:$5,0)),0)*($AI142+$AQ142+$AR142),0)</f>
        <v>1.30721597910145</v>
      </c>
      <c r="BD142" s="153" t="n">
        <f aca="false">IF(AND($N142="VCA",$AF142&gt;=1.25,$AF142&lt;1.5),$M142*$AF142*2,0)</f>
        <v>1088.27372</v>
      </c>
      <c r="BE142" s="153" t="n">
        <f aca="false">IF(AND($N142="VCA",$AF142&gt;=1.5,$AF142&lt;3),$M142*$AF142*2,0)</f>
        <v>0</v>
      </c>
      <c r="BF142" s="153" t="n">
        <f aca="false">IF(AND($N142="VCA",$AF142&gt;=3),$M142*$AF142*2,0)</f>
        <v>0</v>
      </c>
      <c r="BG142" s="153" t="n">
        <f aca="false">($BB142+$BC142)*$AK142</f>
        <v>312.3776734</v>
      </c>
      <c r="BH142" s="153" t="n">
        <f aca="false">IF(AND($M142&lt;&gt;"",$N142="VCA",$Q142="LINEAR"),($M142*2)/100,IF(AND($M142&lt;&gt;"",$N142="MND",$Q142="EMBOQUE"),($AN142*2)/100,0))</f>
        <v>7.9844</v>
      </c>
      <c r="BI142" s="153" t="n">
        <f aca="false">IF(AND($M142&lt;&gt;"",$N142="VCA",$Q142="LINEAR"),$M142,IF(AND($M142&lt;&gt;"",$N142="MND",$Q142="EMBOQUE"),$AN142*2,0))</f>
        <v>399.22</v>
      </c>
      <c r="BJ142" s="153" t="n">
        <f aca="false">IF(AND($M142&lt;&gt;"",$N142="VCA",$Q142="LINEAR"),($M142*6.8)/100,IF(AND($M142&lt;&gt;"",$N142="MND",$Q142="EMBOQUE"),($AN142*2*6.8)/100,0))</f>
        <v>27.14696</v>
      </c>
      <c r="BK142" s="153" t="n">
        <f aca="false">IF(AND($M142&lt;&gt;"",$N142="VCA",$Q142="LINEAR"),($M142*2.5)/50,IF(AND($M142&lt;&gt;"",$N142="MND",$Q142="EMBOQUE"),($AN142*2*2.5)/50,0))</f>
        <v>19.961</v>
      </c>
      <c r="BL142" s="157" t="str">
        <f aca="false">K142&amp;J142</f>
        <v>Zona02REDES</v>
      </c>
      <c r="BM142" s="152" t="s">
        <v>2037</v>
      </c>
      <c r="BN142" s="152" t="s">
        <v>1560</v>
      </c>
      <c r="BO142" s="152" t="s">
        <v>1968</v>
      </c>
      <c r="BP142" s="152" t="s">
        <v>2075</v>
      </c>
      <c r="BQ142" s="152" t="s">
        <v>2038</v>
      </c>
      <c r="BR142" s="152" t="s">
        <v>2076</v>
      </c>
      <c r="BS142" s="152" t="n">
        <v>203171.574</v>
      </c>
      <c r="BT142" s="152" t="n">
        <v>8238049.055</v>
      </c>
      <c r="BU142" s="152" t="n">
        <v>202824.554</v>
      </c>
      <c r="BV142" s="152" t="n">
        <v>8238243.722</v>
      </c>
      <c r="BW142" s="152" t="n">
        <v>-15.9181421</v>
      </c>
      <c r="BX142" s="152" t="n">
        <v>-47.7738859</v>
      </c>
      <c r="BY142" s="152" t="s">
        <v>2075</v>
      </c>
    </row>
    <row r="143" customFormat="false" ht="13.8" hidden="false" customHeight="false" outlineLevel="0" collapsed="false">
      <c r="A143" s="149" t="n">
        <f aca="false">IF(C143&lt;&gt;"",ROW(A138),"")</f>
        <v>138</v>
      </c>
      <c r="B143" s="150" t="str">
        <f aca="false">HYPERLINK("https://www.google.com/maps/dir/-15.917302,-47.760003/-15.9181918,-47.7756525/data=!4m3!4m2!3e0!5i0")</f>
        <v>https://www.google.com/maps/dir/-15.917302,-47.760003/-15.9181918,-47.7756525/data=!4m3!4m2!3e0!5i0</v>
      </c>
      <c r="C143" s="151" t="s">
        <v>117</v>
      </c>
      <c r="D143" s="152" t="s">
        <v>112</v>
      </c>
      <c r="E143" s="152" t="s">
        <v>113</v>
      </c>
      <c r="F143" s="152" t="s">
        <v>117</v>
      </c>
      <c r="G143" s="152" t="s">
        <v>782</v>
      </c>
      <c r="H143" s="152" t="n">
        <v>63</v>
      </c>
      <c r="I143" s="152" t="s">
        <v>115</v>
      </c>
      <c r="J143" s="152" t="s">
        <v>6</v>
      </c>
      <c r="K143" s="152" t="s">
        <v>2033</v>
      </c>
      <c r="L143" s="152" t="s">
        <v>120</v>
      </c>
      <c r="M143" s="153" t="n">
        <f aca="false">25.15</f>
        <v>25.15</v>
      </c>
      <c r="N143" s="152" t="s">
        <v>1548</v>
      </c>
      <c r="O143" s="152" t="s">
        <v>1549</v>
      </c>
      <c r="P143" s="152" t="s">
        <v>1550</v>
      </c>
      <c r="Q143" s="152" t="s">
        <v>1551</v>
      </c>
      <c r="R143" s="154" t="s">
        <v>2077</v>
      </c>
      <c r="S143" s="154" t="s">
        <v>1553</v>
      </c>
      <c r="T143" s="155" t="s">
        <v>1965</v>
      </c>
      <c r="U143" s="152" t="str">
        <f aca="false">RIGHT(T143,7)</f>
        <v>005/037</v>
      </c>
      <c r="V143" s="152" t="s">
        <v>1555</v>
      </c>
      <c r="W143" s="156" t="n">
        <v>45882</v>
      </c>
      <c r="X143" s="152" t="s">
        <v>1594</v>
      </c>
      <c r="Y143" s="152" t="s">
        <v>2053</v>
      </c>
      <c r="Z143" s="152" t="s">
        <v>1557</v>
      </c>
      <c r="AA143" s="153" t="n">
        <v>3.1</v>
      </c>
      <c r="AB143" s="151" t="s">
        <v>2078</v>
      </c>
      <c r="AC143" s="151" t="s">
        <v>186</v>
      </c>
      <c r="AD143" s="151" t="str">
        <f aca="false">CONCATENATE($C143,$I143,$H143,$N143,$J143,$K143)</f>
        <v>TUBO PEADPEAD63VCAREDESZona02</v>
      </c>
      <c r="AE143" s="153" t="n">
        <f aca="false">IFERROR(INDEX(APOIO_REDES!$A:$W,MATCH($C143&amp;$I143&amp;$H143&amp;$N143&amp;$O143,APOIO_REDES!$W:$W,0),MATCH(AE$5,APOIO_REDES!$5:$5,0)),0)</f>
        <v>1.2</v>
      </c>
      <c r="AF143" s="153" t="n">
        <f aca="false">IFERROR(INDEX(APOIO_REDES!$A:$W,MATCH($C143&amp;$I143&amp;$H143&amp;$N143&amp;$O143,APOIO_REDES!$W:$W,0),MATCH(AF$5,APOIO_REDES!$5:$5,0)),0)</f>
        <v>1.363</v>
      </c>
      <c r="AG143" s="153" t="n">
        <f aca="false">IFERROR(INDEX(APOIO_REDES!$A:$W,MATCH($C143&amp;$I143&amp;$H143&amp;$N143&amp;$O143,APOIO_REDES!$W:$W,0),MATCH(AG$5,APOIO_REDES!$5:$5,0)),0)</f>
        <v>0.65</v>
      </c>
      <c r="AH143" s="153" t="n">
        <f aca="false">IFERROR(INDEX(APOIO_REDES!$A:$W,MATCH($C143&amp;$I143&amp;$H143&amp;$N143&amp;$O143,APOIO_REDES!$W:$W,0),MATCH(AH$5,APOIO_REDES!$5:$5,0)),0)</f>
        <v>0.1</v>
      </c>
      <c r="AI143" s="153" t="n">
        <f aca="false">IFERROR(IF($H143&lt;&gt;"",(((($H143/1000)/2)^2)*PI()*$M143),0),0)</f>
        <v>0.0783987195596905</v>
      </c>
      <c r="AJ143" s="153" t="n">
        <f aca="false">IFERROR(IF(AND($H143&lt;&gt;"",$I143="FoFo",OR($N143="MND",$N143="VCA"),$Q143="LINEAR"),0,IF(AND($H143&lt;&gt;"",$I143="PEAD",$N143="VCA",$Q143="LINEAR"),($H143/1000)+0.3,IF(AND($H143&lt;&gt;"",$I143="PEAD",$N143="MND",$Q143="EMBOQUE"),0,IF(AND($H143&lt;&gt;"",$I143="PVC",$N143="VCA",$Q143="LINEAR"),($H143/1000)+0.2,IF(AND($H143&lt;&gt;"",$I143="PVC",$N143="MND",$Q143="EMBOQUE"),0,IF(AND($H143&lt;&gt;"",$I143="PEAD",$N143="VCA",$Q143="PREDIAL"),0,0)))))),0)</f>
        <v>0.363</v>
      </c>
      <c r="AK143" s="153" t="n">
        <f aca="false">IF(AA143&lt;&gt;"",AA143,0)</f>
        <v>3.1</v>
      </c>
      <c r="AL143" s="153" t="n">
        <f aca="false">IF(AND($N143="MND",$Q143="EMBOQUE"),$M143,IF(AND($N143="VCA",$Q143="LINEAR"),$M143,IF(AND($N143="VCA",$Q143="PREDIAL"),0,0)))</f>
        <v>25.15</v>
      </c>
      <c r="AM143" s="153" t="n">
        <f aca="false">IF(AND($N143="MND",$Q143="EMBOQUE"),$M143,IF(AND($N143="VCA",$Q143="LINEAR"),$M143,IF(AND($N143="VCA",$Q143="PREDIAL"),0,0)))</f>
        <v>25.15</v>
      </c>
      <c r="AN143" s="153" t="n">
        <f aca="false">ROUND(IF(AND($N143="VCA",$M143&lt;&gt;"",$Q143="LINEAR"),$M143/100,IF(AND($N143="MND",$M143&gt;100,$Q143="EMBOQUE"),$M143/100,0)),0)</f>
        <v>0</v>
      </c>
      <c r="AO143" s="153" t="n">
        <f aca="false">IF(AND($N143="MND",$Q143="EMBOQUE"),$AN143*2*2,IF(AND($N143="VCA",$Q143="LINEAR"),$M143*2,IF(AND($N143="VCA",$Q143="PREDIAL"),0,0)))</f>
        <v>50.3</v>
      </c>
      <c r="AP143" s="153" t="n">
        <f aca="false">IFERROR($M143*$AF143*$AG143,0)</f>
        <v>22.2816425</v>
      </c>
      <c r="AQ143" s="153" t="n">
        <f aca="false">IFERROR(IF(AND($N143="VCA",$AH143&gt;0),$M143*$AG143*$AH143,0),0)</f>
        <v>1.63475</v>
      </c>
      <c r="AR143" s="153" t="n">
        <f aca="false">IFERROR(IF(AND($N143="VCA",$AJ143&gt;0),($M143*$AG143*$AJ143)-$AI143,0),0)</f>
        <v>5.85574378044031</v>
      </c>
      <c r="AS143" s="153" t="n">
        <f aca="false">IFERROR(IF(AND($N143="VCA",$AP143&gt;0),$AP143-$AI143-$AQ143-$AR143,0),0)</f>
        <v>14.71275</v>
      </c>
      <c r="AT143" s="153" t="n">
        <f aca="false">IFERROR(IF($N143="VCA",INDEX(APOIO_REDES!$A:$W,MATCH($C143&amp;$I143&amp;$H143&amp;$N143&amp;$O143,APOIO_REDES!$W:$W,0),MATCH(AT$5,APOIO_REDES!$5:$5,0)),0)*$AP143,0)</f>
        <v>0.242430865429537</v>
      </c>
      <c r="AU143" s="153" t="n">
        <f aca="false">IFERROR(IF($N143="VCA",INDEX(APOIO_REDES!$A:$W,MATCH($C143&amp;$I143&amp;$H143&amp;$N143&amp;$O143,APOIO_REDES!$W:$W,0),MATCH(AU$5,APOIO_REDES!$5:$5,0)),0)*$AP143,0)</f>
        <v>0.193598723271507</v>
      </c>
      <c r="AV143" s="153" t="n">
        <f aca="false">IFERROR(IF($N143="VCA",INDEX(APOIO_REDES!$A:$W,MATCH($C143&amp;$I143&amp;$H143&amp;$N143&amp;$O143,APOIO_REDES!$W:$W,0),MATCH(AV$5,APOIO_REDES!$5:$5,0)),0)*$AP143,0)</f>
        <v>0.0267925434912101</v>
      </c>
      <c r="AW143" s="153" t="n">
        <f aca="false">IFERROR(IF($N143="VCA",INDEX(APOIO_REDES!$A:$W,MATCH($C143&amp;$I143&amp;$H143&amp;$N143&amp;$O143,APOIO_REDES!$W:$W,0),MATCH(AW$5,APOIO_REDES!$5:$5,0)),0)*$AP143,0)</f>
        <v>15.2942920585908</v>
      </c>
      <c r="AX143" s="153" t="n">
        <f aca="false">IFERROR(IF($N143="VCA",INDEX(APOIO_REDES!$A:$W,MATCH($C143&amp;$I143&amp;$H143&amp;$N143&amp;$O143,APOIO_REDES!$W:$W,0),MATCH(AX$5,APOIO_REDES!$5:$5,0)),0)*$AP143,0)</f>
        <v>2.11668645429337</v>
      </c>
      <c r="AY143" s="153" t="n">
        <f aca="false">IFERROR(IF($N143="VCA",INDEX(APOIO_REDES!$A:$W,MATCH($C143&amp;$I143&amp;$H143&amp;$N143&amp;$O143,APOIO_REDES!$W:$W,0),MATCH(AY$5,APOIO_REDES!$5:$5,0)),0)*$AP143,0)</f>
        <v>3.8719721054774</v>
      </c>
      <c r="AZ143" s="153" t="n">
        <f aca="false">IFERROR(IF($N143="VCA",INDEX(APOIO_REDES!$A:$W,MATCH($C143&amp;$I143&amp;$H143&amp;$N143&amp;$O143,APOIO_REDES!$W:$W,0),MATCH(AZ$5,APOIO_REDES!$5:$5,0)),0)*$AP143,0)</f>
        <v>0.535869749446146</v>
      </c>
      <c r="BA143" s="153" t="n">
        <f aca="false">IFERROR(IF(AND($N143="VCA",$Q143="LINEAR"),INDEX(APOIO_REDES!$A:$W,MATCH($C143&amp;$I143&amp;$H143&amp;$N143&amp;$O143,APOIO_REDES!$W:$W,0),MATCH(BA$5,APOIO_REDES!$5:$5,0)),IF(AND($N143="MND",$Q143="EMBOQUE"),INDEX(APOIO_REDES!$A:$W,MATCH($C143&amp;$I143&amp;$H143&amp;$N143&amp;$O143,APOIO_REDES!$W:$W,0),MATCH(BA$5,APOIO_REDES!$5:$5,0)),0))*$M143/10,0)</f>
        <v>2.02702656113147</v>
      </c>
      <c r="BB143" s="153" t="n">
        <f aca="false">IFERROR(IF($N143="VCA",INDEX(APOIO_REDES!$A:$W,MATCH($C143&amp;$I143&amp;$H143&amp;$N143&amp;$O143,APOIO_REDES!$W:$W,0),MATCH(BB$5,APOIO_REDES!$5:$5,0)),0)*($AI143+$AQ143+$AR143),0)</f>
        <v>7.48654070932217</v>
      </c>
      <c r="BC143" s="153" t="n">
        <f aca="false">IFERROR(IF($N143="VCA",INDEX(APOIO_REDES!$A:$W,MATCH($C143&amp;$I143&amp;$H143&amp;$N143&amp;$O143,APOIO_REDES!$W:$W,0),MATCH(BC$5,APOIO_REDES!$5:$5,0)),0)*($AI143+$AQ143+$AR143),0)</f>
        <v>0.0823517906778253</v>
      </c>
      <c r="BD143" s="153" t="n">
        <f aca="false">IF(AND($N143="VCA",$AF143&gt;=1.25,$AF143&lt;1.5),$M143*$AF143*2,0)</f>
        <v>68.5589</v>
      </c>
      <c r="BE143" s="153" t="n">
        <f aca="false">IF(AND($N143="VCA",$AF143&gt;=1.5,$AF143&lt;3),$M143*$AF143*2,0)</f>
        <v>0</v>
      </c>
      <c r="BF143" s="153" t="n">
        <f aca="false">IF(AND($N143="VCA",$AF143&gt;=3),$M143*$AF143*2,0)</f>
        <v>0</v>
      </c>
      <c r="BG143" s="153" t="n">
        <f aca="false">($BB143+$BC143)*$AK143</f>
        <v>23.46356675</v>
      </c>
      <c r="BH143" s="153" t="n">
        <f aca="false">IF(AND($M143&lt;&gt;"",$N143="VCA",$Q143="LINEAR"),($M143*2)/100,IF(AND($M143&lt;&gt;"",$N143="MND",$Q143="EMBOQUE"),($AN143*2)/100,0))</f>
        <v>0.503</v>
      </c>
      <c r="BI143" s="153" t="n">
        <f aca="false">IF(AND($M143&lt;&gt;"",$N143="VCA",$Q143="LINEAR"),$M143,IF(AND($M143&lt;&gt;"",$N143="MND",$Q143="EMBOQUE"),$AN143*2,0))</f>
        <v>25.15</v>
      </c>
      <c r="BJ143" s="153" t="n">
        <f aca="false">IF(AND($M143&lt;&gt;"",$N143="VCA",$Q143="LINEAR"),($M143*6.8)/100,IF(AND($M143&lt;&gt;"",$N143="MND",$Q143="EMBOQUE"),($AN143*2*6.8)/100,0))</f>
        <v>1.7102</v>
      </c>
      <c r="BK143" s="153" t="n">
        <f aca="false">IF(AND($M143&lt;&gt;"",$N143="VCA",$Q143="LINEAR"),($M143*2.5)/50,IF(AND($M143&lt;&gt;"",$N143="MND",$Q143="EMBOQUE"),($AN143*2*2.5)/50,0))</f>
        <v>1.2575</v>
      </c>
      <c r="BL143" s="157" t="str">
        <f aca="false">K143&amp;J143</f>
        <v>Zona02REDES</v>
      </c>
      <c r="BM143" s="152" t="s">
        <v>2037</v>
      </c>
      <c r="BN143" s="152" t="s">
        <v>1560</v>
      </c>
      <c r="BO143" s="152" t="s">
        <v>1968</v>
      </c>
      <c r="BP143" s="152" t="s">
        <v>2055</v>
      </c>
      <c r="BQ143" s="152" t="s">
        <v>2051</v>
      </c>
      <c r="BR143" s="152" t="s">
        <v>2046</v>
      </c>
      <c r="BS143" s="152" t="n">
        <v>202808.585</v>
      </c>
      <c r="BT143" s="152" t="n">
        <v>8238138.328</v>
      </c>
      <c r="BU143" s="152" t="n">
        <v>202787.991</v>
      </c>
      <c r="BV143" s="152" t="n">
        <v>8238152.765</v>
      </c>
      <c r="BW143" s="152" t="n">
        <v>-15.9181253</v>
      </c>
      <c r="BX143" s="152" t="n">
        <v>-47.7757479</v>
      </c>
      <c r="BY143" s="152" t="s">
        <v>2055</v>
      </c>
    </row>
    <row r="144" customFormat="false" ht="13.8" hidden="false" customHeight="false" outlineLevel="0" collapsed="false">
      <c r="A144" s="149" t="n">
        <f aca="false">IF(C144&lt;&gt;"",ROW(A139),"")</f>
        <v>139</v>
      </c>
      <c r="B144" s="150" t="str">
        <f aca="false">HYPERLINK("https://www.google.com/maps/dir/-15.917302,-47.760003/-15.9183657,-47.7763949/data=!4m3!4m2!3e0!5i1")</f>
        <v>https://www.google.com/maps/dir/-15.917302,-47.760003/-15.9183657,-47.7763949/data=!4m3!4m2!3e0!5i1</v>
      </c>
      <c r="C144" s="151" t="s">
        <v>117</v>
      </c>
      <c r="D144" s="152" t="s">
        <v>112</v>
      </c>
      <c r="E144" s="152" t="s">
        <v>113</v>
      </c>
      <c r="F144" s="152" t="s">
        <v>117</v>
      </c>
      <c r="G144" s="152" t="s">
        <v>782</v>
      </c>
      <c r="H144" s="152" t="n">
        <v>63</v>
      </c>
      <c r="I144" s="152" t="s">
        <v>115</v>
      </c>
      <c r="J144" s="152" t="s">
        <v>6</v>
      </c>
      <c r="K144" s="152" t="s">
        <v>2033</v>
      </c>
      <c r="L144" s="152" t="s">
        <v>120</v>
      </c>
      <c r="M144" s="153" t="n">
        <f aca="false">60.24</f>
        <v>60.24</v>
      </c>
      <c r="N144" s="152" t="s">
        <v>1548</v>
      </c>
      <c r="O144" s="152" t="s">
        <v>1549</v>
      </c>
      <c r="P144" s="152" t="s">
        <v>1550</v>
      </c>
      <c r="Q144" s="152" t="s">
        <v>1551</v>
      </c>
      <c r="R144" s="154" t="s">
        <v>2079</v>
      </c>
      <c r="S144" s="154" t="s">
        <v>1553</v>
      </c>
      <c r="T144" s="155" t="s">
        <v>1965</v>
      </c>
      <c r="U144" s="152" t="str">
        <f aca="false">RIGHT(T144,7)</f>
        <v>005/037</v>
      </c>
      <c r="V144" s="152" t="s">
        <v>1555</v>
      </c>
      <c r="W144" s="156" t="n">
        <v>45882</v>
      </c>
      <c r="X144" s="152" t="s">
        <v>1594</v>
      </c>
      <c r="Y144" s="152" t="s">
        <v>2080</v>
      </c>
      <c r="Z144" s="152" t="s">
        <v>1557</v>
      </c>
      <c r="AA144" s="153" t="n">
        <v>4.1</v>
      </c>
      <c r="AB144" s="151" t="s">
        <v>2081</v>
      </c>
      <c r="AC144" s="151" t="s">
        <v>186</v>
      </c>
      <c r="AD144" s="151" t="str">
        <f aca="false">CONCATENATE($C144,$I144,$H144,$N144,$J144,$K144)</f>
        <v>TUBO PEADPEAD63VCAREDESZona02</v>
      </c>
      <c r="AE144" s="153" t="n">
        <f aca="false">IFERROR(INDEX(APOIO_REDES!$A:$W,MATCH($C144&amp;$I144&amp;$H144&amp;$N144&amp;$O144,APOIO_REDES!$W:$W,0),MATCH(AE$5,APOIO_REDES!$5:$5,0)),0)</f>
        <v>1.2</v>
      </c>
      <c r="AF144" s="153" t="n">
        <f aca="false">IFERROR(INDEX(APOIO_REDES!$A:$W,MATCH($C144&amp;$I144&amp;$H144&amp;$N144&amp;$O144,APOIO_REDES!$W:$W,0),MATCH(AF$5,APOIO_REDES!$5:$5,0)),0)</f>
        <v>1.363</v>
      </c>
      <c r="AG144" s="153" t="n">
        <f aca="false">IFERROR(INDEX(APOIO_REDES!$A:$W,MATCH($C144&amp;$I144&amp;$H144&amp;$N144&amp;$O144,APOIO_REDES!$W:$W,0),MATCH(AG$5,APOIO_REDES!$5:$5,0)),0)</f>
        <v>0.65</v>
      </c>
      <c r="AH144" s="153" t="n">
        <f aca="false">IFERROR(INDEX(APOIO_REDES!$A:$W,MATCH($C144&amp;$I144&amp;$H144&amp;$N144&amp;$O144,APOIO_REDES!$W:$W,0),MATCH(AH$5,APOIO_REDES!$5:$5,0)),0)</f>
        <v>0.1</v>
      </c>
      <c r="AI144" s="153" t="n">
        <f aca="false">IFERROR(IF($H144&lt;&gt;"",(((($H144/1000)/2)^2)*PI()*$M144),0),0)</f>
        <v>0.187782857505994</v>
      </c>
      <c r="AJ144" s="153" t="n">
        <f aca="false">IFERROR(IF(AND($H144&lt;&gt;"",$I144="FoFo",OR($N144="MND",$N144="VCA"),$Q144="LINEAR"),0,IF(AND($H144&lt;&gt;"",$I144="PEAD",$N144="VCA",$Q144="LINEAR"),($H144/1000)+0.3,IF(AND($H144&lt;&gt;"",$I144="PEAD",$N144="MND",$Q144="EMBOQUE"),0,IF(AND($H144&lt;&gt;"",$I144="PVC",$N144="VCA",$Q144="LINEAR"),($H144/1000)+0.2,IF(AND($H144&lt;&gt;"",$I144="PVC",$N144="MND",$Q144="EMBOQUE"),0,IF(AND($H144&lt;&gt;"",$I144="PEAD",$N144="VCA",$Q144="PREDIAL"),0,0)))))),0)</f>
        <v>0.363</v>
      </c>
      <c r="AK144" s="153" t="n">
        <f aca="false">IF(AA144&lt;&gt;"",AA144,0)</f>
        <v>4.1</v>
      </c>
      <c r="AL144" s="153" t="n">
        <f aca="false">IF(AND($N144="MND",$Q144="EMBOQUE"),$M144,IF(AND($N144="VCA",$Q144="LINEAR"),$M144,IF(AND($N144="VCA",$Q144="PREDIAL"),0,0)))</f>
        <v>60.24</v>
      </c>
      <c r="AM144" s="153" t="n">
        <f aca="false">IF(AND($N144="MND",$Q144="EMBOQUE"),$M144,IF(AND($N144="VCA",$Q144="LINEAR"),$M144,IF(AND($N144="VCA",$Q144="PREDIAL"),0,0)))</f>
        <v>60.24</v>
      </c>
      <c r="AN144" s="153" t="n">
        <f aca="false">ROUND(IF(AND($N144="VCA",$M144&lt;&gt;"",$Q144="LINEAR"),$M144/100,IF(AND($N144="MND",$M144&gt;100,$Q144="EMBOQUE"),$M144/100,0)),0)</f>
        <v>1</v>
      </c>
      <c r="AO144" s="153" t="n">
        <f aca="false">IF(AND($N144="MND",$Q144="EMBOQUE"),$AN144*2*2,IF(AND($N144="VCA",$Q144="LINEAR"),$M144*2,IF(AND($N144="VCA",$Q144="PREDIAL"),0,0)))</f>
        <v>120.48</v>
      </c>
      <c r="AP144" s="153" t="n">
        <f aca="false">IFERROR($M144*$AF144*$AG144,0)</f>
        <v>53.369628</v>
      </c>
      <c r="AQ144" s="153" t="n">
        <f aca="false">IFERROR(IF(AND($N144="VCA",$AH144&gt;0),$M144*$AG144*$AH144,0),0)</f>
        <v>3.9156</v>
      </c>
      <c r="AR144" s="153" t="n">
        <f aca="false">IFERROR(IF(AND($N144="VCA",$AJ144&gt;0),($M144*$AG144*$AJ144)-$AI144,0),0)</f>
        <v>14.025845142494</v>
      </c>
      <c r="AS144" s="153" t="n">
        <f aca="false">IFERROR(IF(AND($N144="VCA",$AP144&gt;0),$AP144-$AI144-$AQ144-$AR144,0),0)</f>
        <v>35.2404</v>
      </c>
      <c r="AT144" s="153" t="n">
        <f aca="false">IFERROR(IF($N144="VCA",INDEX(APOIO_REDES!$A:$W,MATCH($C144&amp;$I144&amp;$H144&amp;$N144&amp;$O144,APOIO_REDES!$W:$W,0),MATCH(AT$5,APOIO_REDES!$5:$5,0)),0)*$AP144,0)</f>
        <v>0.580677349243552</v>
      </c>
      <c r="AU144" s="153" t="n">
        <f aca="false">IFERROR(IF($N144="VCA",INDEX(APOIO_REDES!$A:$W,MATCH($C144&amp;$I144&amp;$H144&amp;$N144&amp;$O144,APOIO_REDES!$W:$W,0),MATCH(AU$5,APOIO_REDES!$5:$5,0)),0)*$AP144,0)</f>
        <v>0.463713204368811</v>
      </c>
      <c r="AV144" s="153" t="n">
        <f aca="false">IFERROR(IF($N144="VCA",INDEX(APOIO_REDES!$A:$W,MATCH($C144&amp;$I144&amp;$H144&amp;$N144&amp;$O144,APOIO_REDES!$W:$W,0),MATCH(AV$5,APOIO_REDES!$5:$5,0)),0)*$AP144,0)</f>
        <v>0.0641742671932603</v>
      </c>
      <c r="AW144" s="153" t="n">
        <f aca="false">IFERROR(IF($N144="VCA",INDEX(APOIO_REDES!$A:$W,MATCH($C144&amp;$I144&amp;$H144&amp;$N144&amp;$O144,APOIO_REDES!$W:$W,0),MATCH(AW$5,APOIO_REDES!$5:$5,0)),0)*$AP144,0)</f>
        <v>36.6333261872569</v>
      </c>
      <c r="AX144" s="153" t="n">
        <f aca="false">IFERROR(IF($N144="VCA",INDEX(APOIO_REDES!$A:$W,MATCH($C144&amp;$I144&amp;$H144&amp;$N144&amp;$O144,APOIO_REDES!$W:$W,0),MATCH(AX$5,APOIO_REDES!$5:$5,0)),0)*$AP144,0)</f>
        <v>5.06994799231144</v>
      </c>
      <c r="AY144" s="153" t="n">
        <f aca="false">IFERROR(IF($N144="VCA",INDEX(APOIO_REDES!$A:$W,MATCH($C144&amp;$I144&amp;$H144&amp;$N144&amp;$O144,APOIO_REDES!$W:$W,0),MATCH(AY$5,APOIO_REDES!$5:$5,0)),0)*$AP144,0)</f>
        <v>9.27425843474984</v>
      </c>
      <c r="AZ144" s="153" t="n">
        <f aca="false">IFERROR(IF($N144="VCA",INDEX(APOIO_REDES!$A:$W,MATCH($C144&amp;$I144&amp;$H144&amp;$N144&amp;$O144,APOIO_REDES!$W:$W,0),MATCH(AZ$5,APOIO_REDES!$5:$5,0)),0)*$AP144,0)</f>
        <v>1.28353056487618</v>
      </c>
      <c r="BA144" s="153" t="n">
        <f aca="false">IFERROR(IF(AND($N144="VCA",$Q144="LINEAR"),INDEX(APOIO_REDES!$A:$W,MATCH($C144&amp;$I144&amp;$H144&amp;$N144&amp;$O144,APOIO_REDES!$W:$W,0),MATCH(BA$5,APOIO_REDES!$5:$5,0)),IF(AND($N144="MND",$Q144="EMBOQUE"),INDEX(APOIO_REDES!$A:$W,MATCH($C144&amp;$I144&amp;$H144&amp;$N144&amp;$O144,APOIO_REDES!$W:$W,0),MATCH(BA$5,APOIO_REDES!$5:$5,0)),0))*$M144/10,0)</f>
        <v>4.85519204940596</v>
      </c>
      <c r="BB144" s="153" t="n">
        <f aca="false">IFERROR(IF($N144="VCA",INDEX(APOIO_REDES!$A:$W,MATCH($C144&amp;$I144&amp;$H144&amp;$N144&amp;$O144,APOIO_REDES!$W:$W,0),MATCH(BB$5,APOIO_REDES!$5:$5,0)),0)*($AI144+$AQ144+$AR144),0)</f>
        <v>17.9319766333824</v>
      </c>
      <c r="BC144" s="153" t="n">
        <f aca="false">IFERROR(IF($N144="VCA",INDEX(APOIO_REDES!$A:$W,MATCH($C144&amp;$I144&amp;$H144&amp;$N144&amp;$O144,APOIO_REDES!$W:$W,0),MATCH(BC$5,APOIO_REDES!$5:$5,0)),0)*($AI144+$AQ144+$AR144),0)</f>
        <v>0.197251366617582</v>
      </c>
      <c r="BD144" s="153" t="n">
        <f aca="false">IF(AND($N144="VCA",$AF144&gt;=1.25,$AF144&lt;1.5),$M144*$AF144*2,0)</f>
        <v>164.21424</v>
      </c>
      <c r="BE144" s="153" t="n">
        <f aca="false">IF(AND($N144="VCA",$AF144&gt;=1.5,$AF144&lt;3),$M144*$AF144*2,0)</f>
        <v>0</v>
      </c>
      <c r="BF144" s="153" t="n">
        <f aca="false">IF(AND($N144="VCA",$AF144&gt;=3),$M144*$AF144*2,0)</f>
        <v>0</v>
      </c>
      <c r="BG144" s="153" t="n">
        <f aca="false">($BB144+$BC144)*$AK144</f>
        <v>74.3298348</v>
      </c>
      <c r="BH144" s="153" t="n">
        <f aca="false">IF(AND($M144&lt;&gt;"",$N144="VCA",$Q144="LINEAR"),($M144*2)/100,IF(AND($M144&lt;&gt;"",$N144="MND",$Q144="EMBOQUE"),($AN144*2)/100,0))</f>
        <v>1.2048</v>
      </c>
      <c r="BI144" s="153" t="n">
        <f aca="false">IF(AND($M144&lt;&gt;"",$N144="VCA",$Q144="LINEAR"),$M144,IF(AND($M144&lt;&gt;"",$N144="MND",$Q144="EMBOQUE"),$AN144*2,0))</f>
        <v>60.24</v>
      </c>
      <c r="BJ144" s="153" t="n">
        <f aca="false">IF(AND($M144&lt;&gt;"",$N144="VCA",$Q144="LINEAR"),($M144*6.8)/100,IF(AND($M144&lt;&gt;"",$N144="MND",$Q144="EMBOQUE"),($AN144*2*6.8)/100,0))</f>
        <v>4.09632</v>
      </c>
      <c r="BK144" s="153" t="n">
        <f aca="false">IF(AND($M144&lt;&gt;"",$N144="VCA",$Q144="LINEAR"),($M144*2.5)/50,IF(AND($M144&lt;&gt;"",$N144="MND",$Q144="EMBOQUE"),($AN144*2*2.5)/50,0))</f>
        <v>3.012</v>
      </c>
      <c r="BL144" s="157" t="str">
        <f aca="false">K144&amp;J144</f>
        <v>Zona02REDES</v>
      </c>
      <c r="BM144" s="152" t="s">
        <v>2037</v>
      </c>
      <c r="BN144" s="152" t="s">
        <v>1560</v>
      </c>
      <c r="BO144" s="152" t="s">
        <v>1968</v>
      </c>
      <c r="BP144" s="152" t="s">
        <v>2082</v>
      </c>
      <c r="BQ144" s="152" t="s">
        <v>2060</v>
      </c>
      <c r="BR144" s="152" t="s">
        <v>2061</v>
      </c>
      <c r="BS144" s="152" t="n">
        <v>202729.319</v>
      </c>
      <c r="BT144" s="152" t="n">
        <v>8238117.998</v>
      </c>
      <c r="BU144" s="152" t="n">
        <v>202764.532</v>
      </c>
      <c r="BV144" s="152" t="n">
        <v>8238166.876</v>
      </c>
      <c r="BW144" s="152" t="n">
        <v>-15.9181472</v>
      </c>
      <c r="BX144" s="152" t="n">
        <v>-47.7762276</v>
      </c>
      <c r="BY144" s="152" t="s">
        <v>2082</v>
      </c>
    </row>
    <row r="145" customFormat="false" ht="13.8" hidden="false" customHeight="false" outlineLevel="0" collapsed="false">
      <c r="A145" s="149" t="n">
        <f aca="false">IF(C145&lt;&gt;"",ROW(A140),"")</f>
        <v>140</v>
      </c>
      <c r="B145" s="150" t="str">
        <f aca="false">HYPERLINK("https://www.google.com/maps/dir/-15.917302,-47.760003/-15.9182937,-47.7754796/data=!4m3!4m2!3e0!5i0")</f>
        <v>https://www.google.com/maps/dir/-15.917302,-47.760003/-15.9182937,-47.7754796/data=!4m3!4m2!3e0!5i0</v>
      </c>
      <c r="C145" s="151" t="s">
        <v>117</v>
      </c>
      <c r="D145" s="152" t="s">
        <v>112</v>
      </c>
      <c r="E145" s="152" t="s">
        <v>113</v>
      </c>
      <c r="F145" s="152" t="s">
        <v>117</v>
      </c>
      <c r="G145" s="152" t="s">
        <v>782</v>
      </c>
      <c r="H145" s="152" t="n">
        <v>63</v>
      </c>
      <c r="I145" s="152" t="s">
        <v>115</v>
      </c>
      <c r="J145" s="152" t="s">
        <v>6</v>
      </c>
      <c r="K145" s="152" t="s">
        <v>2033</v>
      </c>
      <c r="L145" s="152" t="s">
        <v>120</v>
      </c>
      <c r="M145" s="153" t="n">
        <f aca="false">20.36</f>
        <v>20.36</v>
      </c>
      <c r="N145" s="152" t="s">
        <v>1548</v>
      </c>
      <c r="O145" s="152" t="s">
        <v>1549</v>
      </c>
      <c r="P145" s="152" t="s">
        <v>1550</v>
      </c>
      <c r="Q145" s="152" t="s">
        <v>1551</v>
      </c>
      <c r="R145" s="154" t="s">
        <v>2083</v>
      </c>
      <c r="S145" s="154" t="s">
        <v>1553</v>
      </c>
      <c r="T145" s="155" t="s">
        <v>1965</v>
      </c>
      <c r="U145" s="152" t="str">
        <f aca="false">RIGHT(T145,7)</f>
        <v>005/037</v>
      </c>
      <c r="V145" s="152" t="s">
        <v>1555</v>
      </c>
      <c r="W145" s="156" t="n">
        <v>45882</v>
      </c>
      <c r="X145" s="152" t="s">
        <v>1594</v>
      </c>
      <c r="Y145" s="152" t="s">
        <v>2063</v>
      </c>
      <c r="Z145" s="152" t="s">
        <v>1557</v>
      </c>
      <c r="AA145" s="153" t="n">
        <v>3.1</v>
      </c>
      <c r="AB145" s="151" t="s">
        <v>2084</v>
      </c>
      <c r="AC145" s="151" t="s">
        <v>186</v>
      </c>
      <c r="AD145" s="151" t="str">
        <f aca="false">CONCATENATE($C145,$I145,$H145,$N145,$J145,$K145)</f>
        <v>TUBO PEADPEAD63VCAREDESZona02</v>
      </c>
      <c r="AE145" s="153" t="n">
        <f aca="false">IFERROR(INDEX(APOIO_REDES!$A:$W,MATCH($C145&amp;$I145&amp;$H145&amp;$N145&amp;$O145,APOIO_REDES!$W:$W,0),MATCH(AE$5,APOIO_REDES!$5:$5,0)),0)</f>
        <v>1.2</v>
      </c>
      <c r="AF145" s="153" t="n">
        <f aca="false">IFERROR(INDEX(APOIO_REDES!$A:$W,MATCH($C145&amp;$I145&amp;$H145&amp;$N145&amp;$O145,APOIO_REDES!$W:$W,0),MATCH(AF$5,APOIO_REDES!$5:$5,0)),0)</f>
        <v>1.363</v>
      </c>
      <c r="AG145" s="153" t="n">
        <f aca="false">IFERROR(INDEX(APOIO_REDES!$A:$W,MATCH($C145&amp;$I145&amp;$H145&amp;$N145&amp;$O145,APOIO_REDES!$W:$W,0),MATCH(AG$5,APOIO_REDES!$5:$5,0)),0)</f>
        <v>0.65</v>
      </c>
      <c r="AH145" s="153" t="n">
        <f aca="false">IFERROR(INDEX(APOIO_REDES!$A:$W,MATCH($C145&amp;$I145&amp;$H145&amp;$N145&amp;$O145,APOIO_REDES!$W:$W,0),MATCH(AH$5,APOIO_REDES!$5:$5,0)),0)</f>
        <v>0.1</v>
      </c>
      <c r="AI145" s="153" t="n">
        <f aca="false">IFERROR(IF($H145&lt;&gt;"",(((($H145/1000)/2)^2)*PI()*$M145),0),0)</f>
        <v>0.0634671145222783</v>
      </c>
      <c r="AJ145" s="153" t="n">
        <f aca="false">IFERROR(IF(AND($H145&lt;&gt;"",$I145="FoFo",OR($N145="MND",$N145="VCA"),$Q145="LINEAR"),0,IF(AND($H145&lt;&gt;"",$I145="PEAD",$N145="VCA",$Q145="LINEAR"),($H145/1000)+0.3,IF(AND($H145&lt;&gt;"",$I145="PEAD",$N145="MND",$Q145="EMBOQUE"),0,IF(AND($H145&lt;&gt;"",$I145="PVC",$N145="VCA",$Q145="LINEAR"),($H145/1000)+0.2,IF(AND($H145&lt;&gt;"",$I145="PVC",$N145="MND",$Q145="EMBOQUE"),0,IF(AND($H145&lt;&gt;"",$I145="PEAD",$N145="VCA",$Q145="PREDIAL"),0,0)))))),0)</f>
        <v>0.363</v>
      </c>
      <c r="AK145" s="153" t="n">
        <f aca="false">IF(AA145&lt;&gt;"",AA145,0)</f>
        <v>3.1</v>
      </c>
      <c r="AL145" s="153" t="n">
        <f aca="false">IF(AND($N145="MND",$Q145="EMBOQUE"),$M145,IF(AND($N145="VCA",$Q145="LINEAR"),$M145,IF(AND($N145="VCA",$Q145="PREDIAL"),0,0)))</f>
        <v>20.36</v>
      </c>
      <c r="AM145" s="153" t="n">
        <f aca="false">IF(AND($N145="MND",$Q145="EMBOQUE"),$M145,IF(AND($N145="VCA",$Q145="LINEAR"),$M145,IF(AND($N145="VCA",$Q145="PREDIAL"),0,0)))</f>
        <v>20.36</v>
      </c>
      <c r="AN145" s="153" t="n">
        <f aca="false">ROUND(IF(AND($N145="VCA",$M145&lt;&gt;"",$Q145="LINEAR"),$M145/100,IF(AND($N145="MND",$M145&gt;100,$Q145="EMBOQUE"),$M145/100,0)),0)</f>
        <v>0</v>
      </c>
      <c r="AO145" s="153" t="n">
        <f aca="false">IF(AND($N145="MND",$Q145="EMBOQUE"),$AN145*2*2,IF(AND($N145="VCA",$Q145="LINEAR"),$M145*2,IF(AND($N145="VCA",$Q145="PREDIAL"),0,0)))</f>
        <v>40.72</v>
      </c>
      <c r="AP145" s="153" t="n">
        <f aca="false">IFERROR($M145*$AF145*$AG145,0)</f>
        <v>18.037942</v>
      </c>
      <c r="AQ145" s="153" t="n">
        <f aca="false">IFERROR(IF(AND($N145="VCA",$AH145&gt;0),$M145*$AG145*$AH145,0),0)</f>
        <v>1.3234</v>
      </c>
      <c r="AR145" s="153" t="n">
        <f aca="false">IFERROR(IF(AND($N145="VCA",$AJ145&gt;0),($M145*$AG145*$AJ145)-$AI145,0),0)</f>
        <v>4.74047488547772</v>
      </c>
      <c r="AS145" s="153" t="n">
        <f aca="false">IFERROR(IF(AND($N145="VCA",$AP145&gt;0),$AP145-$AI145-$AQ145-$AR145,0),0)</f>
        <v>11.9106</v>
      </c>
      <c r="AT145" s="153" t="n">
        <f aca="false">IFERROR(IF($N145="VCA",INDEX(APOIO_REDES!$A:$W,MATCH($C145&amp;$I145&amp;$H145&amp;$N145&amp;$O145,APOIO_REDES!$W:$W,0),MATCH(AT$5,APOIO_REDES!$5:$5,0)),0)*$AP145,0)</f>
        <v>0.196258147918305</v>
      </c>
      <c r="AU145" s="153" t="n">
        <f aca="false">IFERROR(IF($N145="VCA",INDEX(APOIO_REDES!$A:$W,MATCH($C145&amp;$I145&amp;$H145&amp;$N145&amp;$O145,APOIO_REDES!$W:$W,0),MATCH(AU$5,APOIO_REDES!$5:$5,0)),0)*$AP145,0)</f>
        <v>0.156726441582818</v>
      </c>
      <c r="AV145" s="153" t="n">
        <f aca="false">IFERROR(IF($N145="VCA",INDEX(APOIO_REDES!$A:$W,MATCH($C145&amp;$I145&amp;$H145&amp;$N145&amp;$O145,APOIO_REDES!$W:$W,0),MATCH(AV$5,APOIO_REDES!$5:$5,0)),0)*$AP145,0)</f>
        <v>0.021689709164256</v>
      </c>
      <c r="AW145" s="153" t="n">
        <f aca="false">IFERROR(IF($N145="VCA",INDEX(APOIO_REDES!$A:$W,MATCH($C145&amp;$I145&amp;$H145&amp;$N145&amp;$O145,APOIO_REDES!$W:$W,0),MATCH(AW$5,APOIO_REDES!$5:$5,0)),0)*$AP145,0)</f>
        <v>12.3813831535948</v>
      </c>
      <c r="AX145" s="153" t="n">
        <f aca="false">IFERROR(IF($N145="VCA",INDEX(APOIO_REDES!$A:$W,MATCH($C145&amp;$I145&amp;$H145&amp;$N145&amp;$O145,APOIO_REDES!$W:$W,0),MATCH(AX$5,APOIO_REDES!$5:$5,0)),0)*$AP145,0)</f>
        <v>1.71354815942</v>
      </c>
      <c r="AY145" s="153" t="n">
        <f aca="false">IFERROR(IF($N145="VCA",INDEX(APOIO_REDES!$A:$W,MATCH($C145&amp;$I145&amp;$H145&amp;$N145&amp;$O145,APOIO_REDES!$W:$W,0),MATCH(AY$5,APOIO_REDES!$5:$5,0)),0)*$AP145,0)</f>
        <v>3.13452692117375</v>
      </c>
      <c r="AZ145" s="153" t="n">
        <f aca="false">IFERROR(IF($N145="VCA",INDEX(APOIO_REDES!$A:$W,MATCH($C145&amp;$I145&amp;$H145&amp;$N145&amp;$O145,APOIO_REDES!$W:$W,0),MATCH(AZ$5,APOIO_REDES!$5:$5,0)),0)*$AP145,0)</f>
        <v>0.433809467146065</v>
      </c>
      <c r="BA145" s="153" t="n">
        <f aca="false">IFERROR(IF(AND($N145="VCA",$Q145="LINEAR"),INDEX(APOIO_REDES!$A:$W,MATCH($C145&amp;$I145&amp;$H145&amp;$N145&amp;$O145,APOIO_REDES!$W:$W,0),MATCH(BA$5,APOIO_REDES!$5:$5,0)),IF(AND($N145="MND",$Q145="EMBOQUE"),INDEX(APOIO_REDES!$A:$W,MATCH($C145&amp;$I145&amp;$H145&amp;$N145&amp;$O145,APOIO_REDES!$W:$W,0),MATCH(BA$5,APOIO_REDES!$5:$5,0)),0))*$M145/10,0)</f>
        <v>1.64096464352433</v>
      </c>
      <c r="BB145" s="153" t="n">
        <f aca="false">IFERROR(IF($N145="VCA",INDEX(APOIO_REDES!$A:$W,MATCH($C145&amp;$I145&amp;$H145&amp;$N145&amp;$O145,APOIO_REDES!$W:$W,0),MATCH(BB$5,APOIO_REDES!$5:$5,0)),0)*($AI145+$AQ145+$AR145),0)</f>
        <v>6.06067470543934</v>
      </c>
      <c r="BC145" s="153" t="n">
        <f aca="false">IFERROR(IF($N145="VCA",INDEX(APOIO_REDES!$A:$W,MATCH($C145&amp;$I145&amp;$H145&amp;$N145&amp;$O145,APOIO_REDES!$W:$W,0),MATCH(BC$5,APOIO_REDES!$5:$5,0)),0)*($AI145+$AQ145+$AR145),0)</f>
        <v>0.066667294560657</v>
      </c>
      <c r="BD145" s="153" t="n">
        <f aca="false">IF(AND($N145="VCA",$AF145&gt;=1.25,$AF145&lt;1.5),$M145*$AF145*2,0)</f>
        <v>55.50136</v>
      </c>
      <c r="BE145" s="153" t="n">
        <f aca="false">IF(AND($N145="VCA",$AF145&gt;=1.5,$AF145&lt;3),$M145*$AF145*2,0)</f>
        <v>0</v>
      </c>
      <c r="BF145" s="153" t="n">
        <f aca="false">IF(AND($N145="VCA",$AF145&gt;=3),$M145*$AF145*2,0)</f>
        <v>0</v>
      </c>
      <c r="BG145" s="153" t="n">
        <f aca="false">($BB145+$BC145)*$AK145</f>
        <v>18.9947602</v>
      </c>
      <c r="BH145" s="153" t="n">
        <f aca="false">IF(AND($M145&lt;&gt;"",$N145="VCA",$Q145="LINEAR"),($M145*2)/100,IF(AND($M145&lt;&gt;"",$N145="MND",$Q145="EMBOQUE"),($AN145*2)/100,0))</f>
        <v>0.4072</v>
      </c>
      <c r="BI145" s="153" t="n">
        <f aca="false">IF(AND($M145&lt;&gt;"",$N145="VCA",$Q145="LINEAR"),$M145,IF(AND($M145&lt;&gt;"",$N145="MND",$Q145="EMBOQUE"),$AN145*2,0))</f>
        <v>20.36</v>
      </c>
      <c r="BJ145" s="153" t="n">
        <f aca="false">IF(AND($M145&lt;&gt;"",$N145="VCA",$Q145="LINEAR"),($M145*6.8)/100,IF(AND($M145&lt;&gt;"",$N145="MND",$Q145="EMBOQUE"),($AN145*2*6.8)/100,0))</f>
        <v>1.38448</v>
      </c>
      <c r="BK145" s="153" t="n">
        <f aca="false">IF(AND($M145&lt;&gt;"",$N145="VCA",$Q145="LINEAR"),($M145*2.5)/50,IF(AND($M145&lt;&gt;"",$N145="MND",$Q145="EMBOQUE"),($AN145*2*2.5)/50,0))</f>
        <v>1.018</v>
      </c>
      <c r="BL145" s="157" t="str">
        <f aca="false">K145&amp;J145</f>
        <v>Zona02REDES</v>
      </c>
      <c r="BM145" s="152" t="s">
        <v>2037</v>
      </c>
      <c r="BN145" s="152" t="s">
        <v>1560</v>
      </c>
      <c r="BO145" s="152" t="s">
        <v>1968</v>
      </c>
      <c r="BP145" s="152" t="s">
        <v>2065</v>
      </c>
      <c r="BQ145" s="152" t="s">
        <v>2055</v>
      </c>
      <c r="BR145" s="152" t="s">
        <v>2085</v>
      </c>
      <c r="BS145" s="152" t="n">
        <v>202826.072</v>
      </c>
      <c r="BT145" s="152" t="n">
        <v>8238127.98</v>
      </c>
      <c r="BU145" s="152" t="n">
        <v>202808.585</v>
      </c>
      <c r="BV145" s="152" t="n">
        <v>8238138.328</v>
      </c>
      <c r="BW145" s="152" t="n">
        <v>-15.9182423</v>
      </c>
      <c r="BX145" s="152" t="n">
        <v>-47.7755737</v>
      </c>
      <c r="BY145" s="152" t="s">
        <v>2065</v>
      </c>
    </row>
    <row r="146" customFormat="false" ht="13.8" hidden="false" customHeight="false" outlineLevel="0" collapsed="false">
      <c r="A146" s="149" t="n">
        <f aca="false">IF(C146&lt;&gt;"",ROW(A141),"")</f>
        <v>141</v>
      </c>
      <c r="B146" s="150" t="str">
        <f aca="false">HYPERLINK("https://www.google.com/maps/dir/-15.917302,-47.760003/-15.9182937,-47.7754796/data=!4m3!4m2!3e0!5i0")</f>
        <v>https://www.google.com/maps/dir/-15.917302,-47.760003/-15.9182937,-47.7754796/data=!4m3!4m2!3e0!5i0</v>
      </c>
      <c r="C146" s="151" t="s">
        <v>117</v>
      </c>
      <c r="D146" s="152" t="s">
        <v>112</v>
      </c>
      <c r="E146" s="152" t="s">
        <v>113</v>
      </c>
      <c r="F146" s="152" t="s">
        <v>117</v>
      </c>
      <c r="G146" s="152" t="s">
        <v>782</v>
      </c>
      <c r="H146" s="152" t="n">
        <v>63</v>
      </c>
      <c r="I146" s="152" t="s">
        <v>115</v>
      </c>
      <c r="J146" s="152" t="s">
        <v>6</v>
      </c>
      <c r="K146" s="152" t="s">
        <v>2033</v>
      </c>
      <c r="L146" s="152" t="s">
        <v>120</v>
      </c>
      <c r="M146" s="153" t="n">
        <f aca="false">23.86</f>
        <v>23.86</v>
      </c>
      <c r="N146" s="152" t="s">
        <v>1548</v>
      </c>
      <c r="O146" s="152" t="s">
        <v>1549</v>
      </c>
      <c r="P146" s="152" t="s">
        <v>1550</v>
      </c>
      <c r="Q146" s="152" t="s">
        <v>1551</v>
      </c>
      <c r="R146" s="154" t="s">
        <v>2086</v>
      </c>
      <c r="S146" s="154" t="s">
        <v>1553</v>
      </c>
      <c r="T146" s="155" t="s">
        <v>1965</v>
      </c>
      <c r="U146" s="152" t="str">
        <f aca="false">RIGHT(T146,7)</f>
        <v>005/037</v>
      </c>
      <c r="V146" s="152" t="s">
        <v>1555</v>
      </c>
      <c r="W146" s="156" t="n">
        <v>45882</v>
      </c>
      <c r="X146" s="152" t="s">
        <v>1594</v>
      </c>
      <c r="Y146" s="152" t="s">
        <v>2063</v>
      </c>
      <c r="Z146" s="152" t="s">
        <v>1557</v>
      </c>
      <c r="AA146" s="153" t="n">
        <v>3.1</v>
      </c>
      <c r="AB146" s="151" t="s">
        <v>2087</v>
      </c>
      <c r="AC146" s="151" t="s">
        <v>186</v>
      </c>
      <c r="AD146" s="151" t="str">
        <f aca="false">CONCATENATE($C146,$I146,$H146,$N146,$J146,$K146)</f>
        <v>TUBO PEADPEAD63VCAREDESZona02</v>
      </c>
      <c r="AE146" s="153" t="n">
        <f aca="false">IFERROR(INDEX(APOIO_REDES!$A:$W,MATCH($C146&amp;$I146&amp;$H146&amp;$N146&amp;$O146,APOIO_REDES!$W:$W,0),MATCH(AE$5,APOIO_REDES!$5:$5,0)),0)</f>
        <v>1.2</v>
      </c>
      <c r="AF146" s="153" t="n">
        <f aca="false">IFERROR(INDEX(APOIO_REDES!$A:$W,MATCH($C146&amp;$I146&amp;$H146&amp;$N146&amp;$O146,APOIO_REDES!$W:$W,0),MATCH(AF$5,APOIO_REDES!$5:$5,0)),0)</f>
        <v>1.363</v>
      </c>
      <c r="AG146" s="153" t="n">
        <f aca="false">IFERROR(INDEX(APOIO_REDES!$A:$W,MATCH($C146&amp;$I146&amp;$H146&amp;$N146&amp;$O146,APOIO_REDES!$W:$W,0),MATCH(AG$5,APOIO_REDES!$5:$5,0)),0)</f>
        <v>0.65</v>
      </c>
      <c r="AH146" s="153" t="n">
        <f aca="false">IFERROR(INDEX(APOIO_REDES!$A:$W,MATCH($C146&amp;$I146&amp;$H146&amp;$N146&amp;$O146,APOIO_REDES!$W:$W,0),MATCH(AH$5,APOIO_REDES!$5:$5,0)),0)</f>
        <v>0.1</v>
      </c>
      <c r="AI146" s="153" t="n">
        <f aca="false">IFERROR(IF($H146&lt;&gt;"",(((($H146/1000)/2)^2)*PI()*$M146),0),0)</f>
        <v>0.0743774731091139</v>
      </c>
      <c r="AJ146" s="153" t="n">
        <f aca="false">IFERROR(IF(AND($H146&lt;&gt;"",$I146="FoFo",OR($N146="MND",$N146="VCA"),$Q146="LINEAR"),0,IF(AND($H146&lt;&gt;"",$I146="PEAD",$N146="VCA",$Q146="LINEAR"),($H146/1000)+0.3,IF(AND($H146&lt;&gt;"",$I146="PEAD",$N146="MND",$Q146="EMBOQUE"),0,IF(AND($H146&lt;&gt;"",$I146="PVC",$N146="VCA",$Q146="LINEAR"),($H146/1000)+0.2,IF(AND($H146&lt;&gt;"",$I146="PVC",$N146="MND",$Q146="EMBOQUE"),0,IF(AND($H146&lt;&gt;"",$I146="PEAD",$N146="VCA",$Q146="PREDIAL"),0,0)))))),0)</f>
        <v>0.363</v>
      </c>
      <c r="AK146" s="153" t="n">
        <f aca="false">IF(AA146&lt;&gt;"",AA146,0)</f>
        <v>3.1</v>
      </c>
      <c r="AL146" s="153" t="n">
        <f aca="false">IF(AND($N146="MND",$Q146="EMBOQUE"),$M146,IF(AND($N146="VCA",$Q146="LINEAR"),$M146,IF(AND($N146="VCA",$Q146="PREDIAL"),0,0)))</f>
        <v>23.86</v>
      </c>
      <c r="AM146" s="153" t="n">
        <f aca="false">IF(AND($N146="MND",$Q146="EMBOQUE"),$M146,IF(AND($N146="VCA",$Q146="LINEAR"),$M146,IF(AND($N146="VCA",$Q146="PREDIAL"),0,0)))</f>
        <v>23.86</v>
      </c>
      <c r="AN146" s="153" t="n">
        <f aca="false">ROUND(IF(AND($N146="VCA",$M146&lt;&gt;"",$Q146="LINEAR"),$M146/100,IF(AND($N146="MND",$M146&gt;100,$Q146="EMBOQUE"),$M146/100,0)),0)</f>
        <v>0</v>
      </c>
      <c r="AO146" s="153" t="n">
        <f aca="false">IF(AND($N146="MND",$Q146="EMBOQUE"),$AN146*2*2,IF(AND($N146="VCA",$Q146="LINEAR"),$M146*2,IF(AND($N146="VCA",$Q146="PREDIAL"),0,0)))</f>
        <v>47.72</v>
      </c>
      <c r="AP146" s="153" t="n">
        <f aca="false">IFERROR($M146*$AF146*$AG146,0)</f>
        <v>21.138767</v>
      </c>
      <c r="AQ146" s="153" t="n">
        <f aca="false">IFERROR(IF(AND($N146="VCA",$AH146&gt;0),$M146*$AG146*$AH146,0),0)</f>
        <v>1.5509</v>
      </c>
      <c r="AR146" s="153" t="n">
        <f aca="false">IFERROR(IF(AND($N146="VCA",$AJ146&gt;0),($M146*$AG146*$AJ146)-$AI146,0),0)</f>
        <v>5.55538952689089</v>
      </c>
      <c r="AS146" s="153" t="n">
        <f aca="false">IFERROR(IF(AND($N146="VCA",$AP146&gt;0),$AP146-$AI146-$AQ146-$AR146,0),0)</f>
        <v>13.9581</v>
      </c>
      <c r="AT146" s="153" t="n">
        <f aca="false">IFERROR(IF($N146="VCA",INDEX(APOIO_REDES!$A:$W,MATCH($C146&amp;$I146&amp;$H146&amp;$N146&amp;$O146,APOIO_REDES!$W:$W,0),MATCH(AT$5,APOIO_REDES!$5:$5,0)),0)*$AP146,0)</f>
        <v>0.229996041715657</v>
      </c>
      <c r="AU146" s="153" t="n">
        <f aca="false">IFERROR(IF($N146="VCA",INDEX(APOIO_REDES!$A:$W,MATCH($C146&amp;$I146&amp;$H146&amp;$N146&amp;$O146,APOIO_REDES!$W:$W,0),MATCH(AU$5,APOIO_REDES!$5:$5,0)),0)*$AP146,0)</f>
        <v>0.183668609831338</v>
      </c>
      <c r="AV146" s="153" t="n">
        <f aca="false">IFERROR(IF($N146="VCA",INDEX(APOIO_REDES!$A:$W,MATCH($C146&amp;$I146&amp;$H146&amp;$N146&amp;$O146,APOIO_REDES!$W:$W,0),MATCH(AV$5,APOIO_REDES!$5:$5,0)),0)*$AP146,0)</f>
        <v>0.0254182937455377</v>
      </c>
      <c r="AW146" s="153" t="n">
        <f aca="false">IFERROR(IF($N146="VCA",INDEX(APOIO_REDES!$A:$W,MATCH($C146&amp;$I146&amp;$H146&amp;$N146&amp;$O146,APOIO_REDES!$W:$W,0),MATCH(AW$5,APOIO_REDES!$5:$5,0)),0)*$AP146,0)</f>
        <v>14.5098134599593</v>
      </c>
      <c r="AX146" s="153" t="n">
        <f aca="false">IFERROR(IF($N146="VCA",INDEX(APOIO_REDES!$A:$W,MATCH($C146&amp;$I146&amp;$H146&amp;$N146&amp;$O146,APOIO_REDES!$W:$W,0),MATCH(AX$5,APOIO_REDES!$5:$5,0)),0)*$AP146,0)</f>
        <v>2.00811685087236</v>
      </c>
      <c r="AY146" s="153" t="n">
        <f aca="false">IFERROR(IF($N146="VCA",INDEX(APOIO_REDES!$A:$W,MATCH($C146&amp;$I146&amp;$H146&amp;$N146&amp;$O146,APOIO_REDES!$W:$W,0),MATCH(AY$5,APOIO_REDES!$5:$5,0)),0)*$AP146,0)</f>
        <v>3.6733699577213</v>
      </c>
      <c r="AZ146" s="153" t="n">
        <f aca="false">IFERROR(IF($N146="VCA",INDEX(APOIO_REDES!$A:$W,MATCH($C146&amp;$I146&amp;$H146&amp;$N146&amp;$O146,APOIO_REDES!$W:$W,0),MATCH(AZ$5,APOIO_REDES!$5:$5,0)),0)*$AP146,0)</f>
        <v>0.508383786154475</v>
      </c>
      <c r="BA146" s="153" t="n">
        <f aca="false">IFERROR(IF(AND($N146="VCA",$Q146="LINEAR"),INDEX(APOIO_REDES!$A:$W,MATCH($C146&amp;$I146&amp;$H146&amp;$N146&amp;$O146,APOIO_REDES!$W:$W,0),MATCH(BA$5,APOIO_REDES!$5:$5,0)),IF(AND($N146="MND",$Q146="EMBOQUE"),INDEX(APOIO_REDES!$A:$W,MATCH($C146&amp;$I146&amp;$H146&amp;$N146&amp;$O146,APOIO_REDES!$W:$W,0),MATCH(BA$5,APOIO_REDES!$5:$5,0)),0))*$M146/10,0)</f>
        <v>1.92305581505356</v>
      </c>
      <c r="BB146" s="153" t="n">
        <f aca="false">IFERROR(IF($N146="VCA",INDEX(APOIO_REDES!$A:$W,MATCH($C146&amp;$I146&amp;$H146&amp;$N146&amp;$O146,APOIO_REDES!$W:$W,0),MATCH(BB$5,APOIO_REDES!$5:$5,0)),0)*($AI146+$AQ146+$AR146),0)</f>
        <v>7.10253921767106</v>
      </c>
      <c r="BC146" s="153" t="n">
        <f aca="false">IFERROR(IF($N146="VCA",INDEX(APOIO_REDES!$A:$W,MATCH($C146&amp;$I146&amp;$H146&amp;$N146&amp;$O146,APOIO_REDES!$W:$W,0),MATCH(BC$5,APOIO_REDES!$5:$5,0)),0)*($AI146+$AQ146+$AR146),0)</f>
        <v>0.0781277823289428</v>
      </c>
      <c r="BD146" s="153" t="n">
        <f aca="false">IF(AND($N146="VCA",$AF146&gt;=1.25,$AF146&lt;1.5),$M146*$AF146*2,0)</f>
        <v>65.04236</v>
      </c>
      <c r="BE146" s="153" t="n">
        <f aca="false">IF(AND($N146="VCA",$AF146&gt;=1.5,$AF146&lt;3),$M146*$AF146*2,0)</f>
        <v>0</v>
      </c>
      <c r="BF146" s="153" t="n">
        <f aca="false">IF(AND($N146="VCA",$AF146&gt;=3),$M146*$AF146*2,0)</f>
        <v>0</v>
      </c>
      <c r="BG146" s="153" t="n">
        <f aca="false">($BB146+$BC146)*$AK146</f>
        <v>22.2600677</v>
      </c>
      <c r="BH146" s="153" t="n">
        <f aca="false">IF(AND($M146&lt;&gt;"",$N146="VCA",$Q146="LINEAR"),($M146*2)/100,IF(AND($M146&lt;&gt;"",$N146="MND",$Q146="EMBOQUE"),($AN146*2)/100,0))</f>
        <v>0.4772</v>
      </c>
      <c r="BI146" s="153" t="n">
        <f aca="false">IF(AND($M146&lt;&gt;"",$N146="VCA",$Q146="LINEAR"),$M146,IF(AND($M146&lt;&gt;"",$N146="MND",$Q146="EMBOQUE"),$AN146*2,0))</f>
        <v>23.86</v>
      </c>
      <c r="BJ146" s="153" t="n">
        <f aca="false">IF(AND($M146&lt;&gt;"",$N146="VCA",$Q146="LINEAR"),($M146*6.8)/100,IF(AND($M146&lt;&gt;"",$N146="MND",$Q146="EMBOQUE"),($AN146*2*6.8)/100,0))</f>
        <v>1.62248</v>
      </c>
      <c r="BK146" s="153" t="n">
        <f aca="false">IF(AND($M146&lt;&gt;"",$N146="VCA",$Q146="LINEAR"),($M146*2.5)/50,IF(AND($M146&lt;&gt;"",$N146="MND",$Q146="EMBOQUE"),($AN146*2*2.5)/50,0))</f>
        <v>1.193</v>
      </c>
      <c r="BL146" s="157" t="str">
        <f aca="false">K146&amp;J146</f>
        <v>Zona02REDES</v>
      </c>
      <c r="BM146" s="152" t="s">
        <v>2037</v>
      </c>
      <c r="BN146" s="152" t="s">
        <v>1560</v>
      </c>
      <c r="BO146" s="152" t="s">
        <v>1968</v>
      </c>
      <c r="BP146" s="152" t="s">
        <v>2065</v>
      </c>
      <c r="BQ146" s="152" t="s">
        <v>2070</v>
      </c>
      <c r="BR146" s="152" t="s">
        <v>2088</v>
      </c>
      <c r="BS146" s="152" t="n">
        <v>202827.285</v>
      </c>
      <c r="BT146" s="152" t="n">
        <v>8238127.275</v>
      </c>
      <c r="BU146" s="152" t="n">
        <v>202848.316</v>
      </c>
      <c r="BV146" s="152" t="n">
        <v>8238116.043</v>
      </c>
      <c r="BW146" s="152" t="n">
        <v>-15.9183491</v>
      </c>
      <c r="BX146" s="152" t="n">
        <v>-47.7753841</v>
      </c>
      <c r="BY146" s="152" t="s">
        <v>2065</v>
      </c>
    </row>
    <row r="147" customFormat="false" ht="13.8" hidden="false" customHeight="false" outlineLevel="0" collapsed="false">
      <c r="A147" s="149" t="n">
        <f aca="false">IF(C147&lt;&gt;"",ROW(A142),"")</f>
        <v>142</v>
      </c>
      <c r="B147" s="150" t="str">
        <f aca="false">HYPERLINK("https://www.google.com/maps/dir/-15.917302,-47.760003/-15.9183977,-47.7752847/data=!4m3!4m2!3e0!5i0")</f>
        <v>https://www.google.com/maps/dir/-15.917302,-47.760003/-15.9183977,-47.7752847/data=!4m3!4m2!3e0!5i0</v>
      </c>
      <c r="C147" s="151" t="s">
        <v>117</v>
      </c>
      <c r="D147" s="152" t="s">
        <v>112</v>
      </c>
      <c r="E147" s="152" t="s">
        <v>113</v>
      </c>
      <c r="F147" s="152" t="s">
        <v>117</v>
      </c>
      <c r="G147" s="152" t="s">
        <v>782</v>
      </c>
      <c r="H147" s="152" t="n">
        <v>63</v>
      </c>
      <c r="I147" s="152" t="s">
        <v>115</v>
      </c>
      <c r="J147" s="152" t="s">
        <v>6</v>
      </c>
      <c r="K147" s="152" t="s">
        <v>2033</v>
      </c>
      <c r="L147" s="152" t="s">
        <v>120</v>
      </c>
      <c r="M147" s="153" t="n">
        <f aca="false">12.88</f>
        <v>12.88</v>
      </c>
      <c r="N147" s="152" t="s">
        <v>1548</v>
      </c>
      <c r="O147" s="152" t="s">
        <v>1549</v>
      </c>
      <c r="P147" s="152" t="s">
        <v>1550</v>
      </c>
      <c r="Q147" s="152" t="s">
        <v>1551</v>
      </c>
      <c r="R147" s="154" t="s">
        <v>2089</v>
      </c>
      <c r="S147" s="154" t="s">
        <v>1553</v>
      </c>
      <c r="T147" s="155" t="s">
        <v>1965</v>
      </c>
      <c r="U147" s="152" t="str">
        <f aca="false">RIGHT(T147,7)</f>
        <v>005/037</v>
      </c>
      <c r="V147" s="152" t="s">
        <v>1555</v>
      </c>
      <c r="W147" s="156" t="n">
        <v>45882</v>
      </c>
      <c r="X147" s="152" t="s">
        <v>1594</v>
      </c>
      <c r="Y147" s="152" t="s">
        <v>2063</v>
      </c>
      <c r="Z147" s="152" t="s">
        <v>1557</v>
      </c>
      <c r="AA147" s="153" t="n">
        <v>3</v>
      </c>
      <c r="AB147" s="151" t="s">
        <v>2090</v>
      </c>
      <c r="AC147" s="151" t="s">
        <v>186</v>
      </c>
      <c r="AD147" s="151" t="str">
        <f aca="false">CONCATENATE($C147,$I147,$H147,$N147,$J147,$K147)</f>
        <v>TUBO PEADPEAD63VCAREDESZona02</v>
      </c>
      <c r="AE147" s="153" t="n">
        <f aca="false">IFERROR(INDEX(APOIO_REDES!$A:$W,MATCH($C147&amp;$I147&amp;$H147&amp;$N147&amp;$O147,APOIO_REDES!$W:$W,0),MATCH(AE$5,APOIO_REDES!$5:$5,0)),0)</f>
        <v>1.2</v>
      </c>
      <c r="AF147" s="153" t="n">
        <f aca="false">IFERROR(INDEX(APOIO_REDES!$A:$W,MATCH($C147&amp;$I147&amp;$H147&amp;$N147&amp;$O147,APOIO_REDES!$W:$W,0),MATCH(AF$5,APOIO_REDES!$5:$5,0)),0)</f>
        <v>1.363</v>
      </c>
      <c r="AG147" s="153" t="n">
        <f aca="false">IFERROR(INDEX(APOIO_REDES!$A:$W,MATCH($C147&amp;$I147&amp;$H147&amp;$N147&amp;$O147,APOIO_REDES!$W:$W,0),MATCH(AG$5,APOIO_REDES!$5:$5,0)),0)</f>
        <v>0.65</v>
      </c>
      <c r="AH147" s="153" t="n">
        <f aca="false">IFERROR(INDEX(APOIO_REDES!$A:$W,MATCH($C147&amp;$I147&amp;$H147&amp;$N147&amp;$O147,APOIO_REDES!$W:$W,0),MATCH(AH$5,APOIO_REDES!$5:$5,0)),0)</f>
        <v>0.1</v>
      </c>
      <c r="AI147" s="153" t="n">
        <f aca="false">IFERROR(IF($H147&lt;&gt;"",(((($H147/1000)/2)^2)*PI()*$M147),0),0)</f>
        <v>0.0401501195995552</v>
      </c>
      <c r="AJ147" s="153" t="n">
        <f aca="false">IFERROR(IF(AND($H147&lt;&gt;"",$I147="FoFo",OR($N147="MND",$N147="VCA"),$Q147="LINEAR"),0,IF(AND($H147&lt;&gt;"",$I147="PEAD",$N147="VCA",$Q147="LINEAR"),($H147/1000)+0.3,IF(AND($H147&lt;&gt;"",$I147="PEAD",$N147="MND",$Q147="EMBOQUE"),0,IF(AND($H147&lt;&gt;"",$I147="PVC",$N147="VCA",$Q147="LINEAR"),($H147/1000)+0.2,IF(AND($H147&lt;&gt;"",$I147="PVC",$N147="MND",$Q147="EMBOQUE"),0,IF(AND($H147&lt;&gt;"",$I147="PEAD",$N147="VCA",$Q147="PREDIAL"),0,0)))))),0)</f>
        <v>0.363</v>
      </c>
      <c r="AK147" s="153" t="n">
        <f aca="false">IF(AA147&lt;&gt;"",AA147,0)</f>
        <v>3</v>
      </c>
      <c r="AL147" s="153" t="n">
        <f aca="false">IF(AND($N147="MND",$Q147="EMBOQUE"),$M147,IF(AND($N147="VCA",$Q147="LINEAR"),$M147,IF(AND($N147="VCA",$Q147="PREDIAL"),0,0)))</f>
        <v>12.88</v>
      </c>
      <c r="AM147" s="153" t="n">
        <f aca="false">IF(AND($N147="MND",$Q147="EMBOQUE"),$M147,IF(AND($N147="VCA",$Q147="LINEAR"),$M147,IF(AND($N147="VCA",$Q147="PREDIAL"),0,0)))</f>
        <v>12.88</v>
      </c>
      <c r="AN147" s="153" t="n">
        <f aca="false">ROUND(IF(AND($N147="VCA",$M147&lt;&gt;"",$Q147="LINEAR"),$M147/100,IF(AND($N147="MND",$M147&gt;100,$Q147="EMBOQUE"),$M147/100,0)),0)</f>
        <v>0</v>
      </c>
      <c r="AO147" s="153" t="n">
        <f aca="false">IF(AND($N147="MND",$Q147="EMBOQUE"),$AN147*2*2,IF(AND($N147="VCA",$Q147="LINEAR"),$M147*2,IF(AND($N147="VCA",$Q147="PREDIAL"),0,0)))</f>
        <v>25.76</v>
      </c>
      <c r="AP147" s="153" t="n">
        <f aca="false">IFERROR($M147*$AF147*$AG147,0)</f>
        <v>11.411036</v>
      </c>
      <c r="AQ147" s="153" t="n">
        <f aca="false">IFERROR(IF(AND($N147="VCA",$AH147&gt;0),$M147*$AG147*$AH147,0),0)</f>
        <v>0.8372</v>
      </c>
      <c r="AR147" s="153" t="n">
        <f aca="false">IFERROR(IF(AND($N147="VCA",$AJ147&gt;0),($M147*$AG147*$AJ147)-$AI147,0),0)</f>
        <v>2.99888588040045</v>
      </c>
      <c r="AS147" s="153" t="n">
        <f aca="false">IFERROR(IF(AND($N147="VCA",$AP147&gt;0),$AP147-$AI147-$AQ147-$AR147,0),0)</f>
        <v>7.5348</v>
      </c>
      <c r="AT147" s="153" t="n">
        <f aca="false">IFERROR(IF($N147="VCA",INDEX(APOIO_REDES!$A:$W,MATCH($C147&amp;$I147&amp;$H147&amp;$N147&amp;$O147,APOIO_REDES!$W:$W,0),MATCH(AT$5,APOIO_REDES!$5:$5,0)),0)*$AP147,0)</f>
        <v>0.124155449174252</v>
      </c>
      <c r="AU147" s="153" t="n">
        <f aca="false">IFERROR(IF($N147="VCA",INDEX(APOIO_REDES!$A:$W,MATCH($C147&amp;$I147&amp;$H147&amp;$N147&amp;$O147,APOIO_REDES!$W:$W,0),MATCH(AU$5,APOIO_REDES!$5:$5,0)),0)*$AP147,0)</f>
        <v>0.0991471791545531</v>
      </c>
      <c r="AV147" s="153" t="n">
        <f aca="false">IFERROR(IF($N147="VCA",INDEX(APOIO_REDES!$A:$W,MATCH($C147&amp;$I147&amp;$H147&amp;$N147&amp;$O147,APOIO_REDES!$W:$W,0),MATCH(AV$5,APOIO_REDES!$5:$5,0)),0)*$AP147,0)</f>
        <v>0.0137211912591167</v>
      </c>
      <c r="AW147" s="153" t="n">
        <f aca="false">IFERROR(IF($N147="VCA",INDEX(APOIO_REDES!$A:$W,MATCH($C147&amp;$I147&amp;$H147&amp;$N147&amp;$O147,APOIO_REDES!$W:$W,0),MATCH(AW$5,APOIO_REDES!$5:$5,0)),0)*$AP147,0)</f>
        <v>7.83262352742147</v>
      </c>
      <c r="AX147" s="153" t="n">
        <f aca="false">IFERROR(IF($N147="VCA",INDEX(APOIO_REDES!$A:$W,MATCH($C147&amp;$I147&amp;$H147&amp;$N147&amp;$O147,APOIO_REDES!$W:$W,0),MATCH(AX$5,APOIO_REDES!$5:$5,0)),0)*$AP147,0)</f>
        <v>1.08401278454468</v>
      </c>
      <c r="AY147" s="153" t="n">
        <f aca="false">IFERROR(IF($N147="VCA",INDEX(APOIO_REDES!$A:$W,MATCH($C147&amp;$I147&amp;$H147&amp;$N147&amp;$O147,APOIO_REDES!$W:$W,0),MATCH(AY$5,APOIO_REDES!$5:$5,0)),0)*$AP147,0)</f>
        <v>1.98294237449499</v>
      </c>
      <c r="AZ147" s="153" t="n">
        <f aca="false">IFERROR(IF($N147="VCA",INDEX(APOIO_REDES!$A:$W,MATCH($C147&amp;$I147&amp;$H147&amp;$N147&amp;$O147,APOIO_REDES!$W:$W,0),MATCH(AZ$5,APOIO_REDES!$5:$5,0)),0)*$AP147,0)</f>
        <v>0.274433493950949</v>
      </c>
      <c r="BA147" s="153" t="n">
        <f aca="false">IFERROR(IF(AND($N147="VCA",$Q147="LINEAR"),INDEX(APOIO_REDES!$A:$W,MATCH($C147&amp;$I147&amp;$H147&amp;$N147&amp;$O147,APOIO_REDES!$W:$W,0),MATCH(BA$5,APOIO_REDES!$5:$5,0)),IF(AND($N147="MND",$Q147="EMBOQUE"),INDEX(APOIO_REDES!$A:$W,MATCH($C147&amp;$I147&amp;$H147&amp;$N147&amp;$O147,APOIO_REDES!$W:$W,0),MATCH(BA$5,APOIO_REDES!$5:$5,0)),0))*$M147/10,0)</f>
        <v>1.03809551122757</v>
      </c>
      <c r="BB147" s="153" t="n">
        <f aca="false">IFERROR(IF($N147="VCA",INDEX(APOIO_REDES!$A:$W,MATCH($C147&amp;$I147&amp;$H147&amp;$N147&amp;$O147,APOIO_REDES!$W:$W,0),MATCH(BB$5,APOIO_REDES!$5:$5,0)),0)*($AI147+$AQ147+$AR147),0)</f>
        <v>3.83406140501271</v>
      </c>
      <c r="BC147" s="153" t="n">
        <f aca="false">IFERROR(IF($N147="VCA",INDEX(APOIO_REDES!$A:$W,MATCH($C147&amp;$I147&amp;$H147&amp;$N147&amp;$O147,APOIO_REDES!$W:$W,0),MATCH(BC$5,APOIO_REDES!$5:$5,0)),0)*($AI147+$AQ147+$AR147),0)</f>
        <v>0.0421745949872918</v>
      </c>
      <c r="BD147" s="153" t="n">
        <f aca="false">IF(AND($N147="VCA",$AF147&gt;=1.25,$AF147&lt;1.5),$M147*$AF147*2,0)</f>
        <v>35.11088</v>
      </c>
      <c r="BE147" s="153" t="n">
        <f aca="false">IF(AND($N147="VCA",$AF147&gt;=1.5,$AF147&lt;3),$M147*$AF147*2,0)</f>
        <v>0</v>
      </c>
      <c r="BF147" s="153" t="n">
        <f aca="false">IF(AND($N147="VCA",$AF147&gt;=3),$M147*$AF147*2,0)</f>
        <v>0</v>
      </c>
      <c r="BG147" s="153" t="n">
        <f aca="false">($BB147+$BC147)*$AK147</f>
        <v>11.628708</v>
      </c>
      <c r="BH147" s="153" t="n">
        <f aca="false">IF(AND($M147&lt;&gt;"",$N147="VCA",$Q147="LINEAR"),($M147*2)/100,IF(AND($M147&lt;&gt;"",$N147="MND",$Q147="EMBOQUE"),($AN147*2)/100,0))</f>
        <v>0.2576</v>
      </c>
      <c r="BI147" s="153" t="n">
        <f aca="false">IF(AND($M147&lt;&gt;"",$N147="VCA",$Q147="LINEAR"),$M147,IF(AND($M147&lt;&gt;"",$N147="MND",$Q147="EMBOQUE"),$AN147*2,0))</f>
        <v>12.88</v>
      </c>
      <c r="BJ147" s="153" t="n">
        <f aca="false">IF(AND($M147&lt;&gt;"",$N147="VCA",$Q147="LINEAR"),($M147*6.8)/100,IF(AND($M147&lt;&gt;"",$N147="MND",$Q147="EMBOQUE"),($AN147*2*6.8)/100,0))</f>
        <v>0.87584</v>
      </c>
      <c r="BK147" s="153" t="n">
        <f aca="false">IF(AND($M147&lt;&gt;"",$N147="VCA",$Q147="LINEAR"),($M147*2.5)/50,IF(AND($M147&lt;&gt;"",$N147="MND",$Q147="EMBOQUE"),($AN147*2*2.5)/50,0))</f>
        <v>0.644</v>
      </c>
      <c r="BL147" s="157" t="str">
        <f aca="false">K147&amp;J147</f>
        <v>Zona02REDES</v>
      </c>
      <c r="BM147" s="152" t="s">
        <v>2037</v>
      </c>
      <c r="BN147" s="152" t="s">
        <v>1560</v>
      </c>
      <c r="BO147" s="152" t="s">
        <v>1968</v>
      </c>
      <c r="BP147" s="152" t="s">
        <v>2070</v>
      </c>
      <c r="BQ147" s="152" t="s">
        <v>2091</v>
      </c>
      <c r="BR147" s="152" t="s">
        <v>2092</v>
      </c>
      <c r="BS147" s="152" t="n">
        <v>202848.316</v>
      </c>
      <c r="BT147" s="152" t="n">
        <v>8238116.043</v>
      </c>
      <c r="BU147" s="152" t="n">
        <v>202860.029</v>
      </c>
      <c r="BV147" s="152" t="n">
        <v>8238110.709</v>
      </c>
      <c r="BW147" s="152" t="n">
        <v>-15.9184235</v>
      </c>
      <c r="BX147" s="152" t="n">
        <v>-47.7752309</v>
      </c>
      <c r="BY147" s="152" t="s">
        <v>2070</v>
      </c>
    </row>
    <row r="148" customFormat="false" ht="13.8" hidden="false" customHeight="false" outlineLevel="0" collapsed="false">
      <c r="A148" s="149" t="n">
        <f aca="false">IF(C148&lt;&gt;"",ROW(A143),"")</f>
        <v>143</v>
      </c>
      <c r="B148" s="150" t="str">
        <f aca="false">HYPERLINK("https://www.google.com/maps/dir/-15.917302,-47.760003/-15.9185174,-47.7765110/data=!4m3!4m2!3e0!5i2")</f>
        <v>https://www.google.com/maps/dir/-15.917302,-47.760003/-15.9185174,-47.7765110/data=!4m3!4m2!3e0!5i2</v>
      </c>
      <c r="C148" s="151" t="s">
        <v>117</v>
      </c>
      <c r="D148" s="152" t="s">
        <v>112</v>
      </c>
      <c r="E148" s="152" t="s">
        <v>113</v>
      </c>
      <c r="F148" s="152" t="s">
        <v>117</v>
      </c>
      <c r="G148" s="152" t="s">
        <v>782</v>
      </c>
      <c r="H148" s="152" t="n">
        <v>63</v>
      </c>
      <c r="I148" s="152" t="s">
        <v>115</v>
      </c>
      <c r="J148" s="152" t="s">
        <v>6</v>
      </c>
      <c r="K148" s="152" t="s">
        <v>2033</v>
      </c>
      <c r="L148" s="152" t="s">
        <v>120</v>
      </c>
      <c r="M148" s="153" t="n">
        <f aca="false">20.89</f>
        <v>20.89</v>
      </c>
      <c r="N148" s="152" t="s">
        <v>1548</v>
      </c>
      <c r="O148" s="152" t="s">
        <v>1549</v>
      </c>
      <c r="P148" s="152" t="s">
        <v>1550</v>
      </c>
      <c r="Q148" s="152" t="s">
        <v>1551</v>
      </c>
      <c r="R148" s="154" t="s">
        <v>2093</v>
      </c>
      <c r="S148" s="154" t="s">
        <v>1553</v>
      </c>
      <c r="T148" s="155" t="s">
        <v>1965</v>
      </c>
      <c r="U148" s="152" t="str">
        <f aca="false">RIGHT(T148,7)</f>
        <v>005/037</v>
      </c>
      <c r="V148" s="152" t="s">
        <v>1555</v>
      </c>
      <c r="W148" s="156" t="n">
        <v>45882</v>
      </c>
      <c r="X148" s="152" t="s">
        <v>1594</v>
      </c>
      <c r="Y148" s="152" t="s">
        <v>2080</v>
      </c>
      <c r="Z148" s="152" t="s">
        <v>1557</v>
      </c>
      <c r="AA148" s="153" t="n">
        <v>4.5</v>
      </c>
      <c r="AB148" s="151" t="s">
        <v>2094</v>
      </c>
      <c r="AC148" s="151" t="s">
        <v>186</v>
      </c>
      <c r="AD148" s="151" t="str">
        <f aca="false">CONCATENATE($C148,$I148,$H148,$N148,$J148,$K148)</f>
        <v>TUBO PEADPEAD63VCAREDESZona02</v>
      </c>
      <c r="AE148" s="153" t="n">
        <f aca="false">IFERROR(INDEX(APOIO_REDES!$A:$W,MATCH($C148&amp;$I148&amp;$H148&amp;$N148&amp;$O148,APOIO_REDES!$W:$W,0),MATCH(AE$5,APOIO_REDES!$5:$5,0)),0)</f>
        <v>1.2</v>
      </c>
      <c r="AF148" s="153" t="n">
        <f aca="false">IFERROR(INDEX(APOIO_REDES!$A:$W,MATCH($C148&amp;$I148&amp;$H148&amp;$N148&amp;$O148,APOIO_REDES!$W:$W,0),MATCH(AF$5,APOIO_REDES!$5:$5,0)),0)</f>
        <v>1.363</v>
      </c>
      <c r="AG148" s="153" t="n">
        <f aca="false">IFERROR(INDEX(APOIO_REDES!$A:$W,MATCH($C148&amp;$I148&amp;$H148&amp;$N148&amp;$O148,APOIO_REDES!$W:$W,0),MATCH(AG$5,APOIO_REDES!$5:$5,0)),0)</f>
        <v>0.65</v>
      </c>
      <c r="AH148" s="153" t="n">
        <f aca="false">IFERROR(INDEX(APOIO_REDES!$A:$W,MATCH($C148&amp;$I148&amp;$H148&amp;$N148&amp;$O148,APOIO_REDES!$W:$W,0),MATCH(AH$5,APOIO_REDES!$5:$5,0)),0)</f>
        <v>0.1</v>
      </c>
      <c r="AI148" s="153" t="n">
        <f aca="false">IFERROR(IF($H148&lt;&gt;"",(((($H148/1000)/2)^2)*PI()*$M148),0),0)</f>
        <v>0.0651192545368562</v>
      </c>
      <c r="AJ148" s="153" t="n">
        <f aca="false">IFERROR(IF(AND($H148&lt;&gt;"",$I148="FoFo",OR($N148="MND",$N148="VCA"),$Q148="LINEAR"),0,IF(AND($H148&lt;&gt;"",$I148="PEAD",$N148="VCA",$Q148="LINEAR"),($H148/1000)+0.3,IF(AND($H148&lt;&gt;"",$I148="PEAD",$N148="MND",$Q148="EMBOQUE"),0,IF(AND($H148&lt;&gt;"",$I148="PVC",$N148="VCA",$Q148="LINEAR"),($H148/1000)+0.2,IF(AND($H148&lt;&gt;"",$I148="PVC",$N148="MND",$Q148="EMBOQUE"),0,IF(AND($H148&lt;&gt;"",$I148="PEAD",$N148="VCA",$Q148="PREDIAL"),0,0)))))),0)</f>
        <v>0.363</v>
      </c>
      <c r="AK148" s="153" t="n">
        <f aca="false">IF(AA148&lt;&gt;"",AA148,0)</f>
        <v>4.5</v>
      </c>
      <c r="AL148" s="153" t="n">
        <f aca="false">IF(AND($N148="MND",$Q148="EMBOQUE"),$M148,IF(AND($N148="VCA",$Q148="LINEAR"),$M148,IF(AND($N148="VCA",$Q148="PREDIAL"),0,0)))</f>
        <v>20.89</v>
      </c>
      <c r="AM148" s="153" t="n">
        <f aca="false">IF(AND($N148="MND",$Q148="EMBOQUE"),$M148,IF(AND($N148="VCA",$Q148="LINEAR"),$M148,IF(AND($N148="VCA",$Q148="PREDIAL"),0,0)))</f>
        <v>20.89</v>
      </c>
      <c r="AN148" s="153" t="n">
        <f aca="false">ROUND(IF(AND($N148="VCA",$M148&lt;&gt;"",$Q148="LINEAR"),$M148/100,IF(AND($N148="MND",$M148&gt;100,$Q148="EMBOQUE"),$M148/100,0)),0)</f>
        <v>0</v>
      </c>
      <c r="AO148" s="153" t="n">
        <f aca="false">IF(AND($N148="MND",$Q148="EMBOQUE"),$AN148*2*2,IF(AND($N148="VCA",$Q148="LINEAR"),$M148*2,IF(AND($N148="VCA",$Q148="PREDIAL"),0,0)))</f>
        <v>41.78</v>
      </c>
      <c r="AP148" s="153" t="n">
        <f aca="false">IFERROR($M148*$AF148*$AG148,0)</f>
        <v>18.5074955</v>
      </c>
      <c r="AQ148" s="153" t="n">
        <f aca="false">IFERROR(IF(AND($N148="VCA",$AH148&gt;0),$M148*$AG148*$AH148,0),0)</f>
        <v>1.35785</v>
      </c>
      <c r="AR148" s="153" t="n">
        <f aca="false">IFERROR(IF(AND($N148="VCA",$AJ148&gt;0),($M148*$AG148*$AJ148)-$AI148,0),0)</f>
        <v>4.86387624546314</v>
      </c>
      <c r="AS148" s="153" t="n">
        <f aca="false">IFERROR(IF(AND($N148="VCA",$AP148&gt;0),$AP148-$AI148-$AQ148-$AR148,0),0)</f>
        <v>12.22065</v>
      </c>
      <c r="AT148" s="153" t="n">
        <f aca="false">IFERROR(IF($N148="VCA",INDEX(APOIO_REDES!$A:$W,MATCH($C148&amp;$I148&amp;$H148&amp;$N148&amp;$O148,APOIO_REDES!$W:$W,0),MATCH(AT$5,APOIO_REDES!$5:$5,0)),0)*$AP148,0)</f>
        <v>0.201367028979047</v>
      </c>
      <c r="AU148" s="153" t="n">
        <f aca="false">IFERROR(IF($N148="VCA",INDEX(APOIO_REDES!$A:$W,MATCH($C148&amp;$I148&amp;$H148&amp;$N148&amp;$O148,APOIO_REDES!$W:$W,0),MATCH(AU$5,APOIO_REDES!$5:$5,0)),0)*$AP148,0)</f>
        <v>0.16080625563188</v>
      </c>
      <c r="AV148" s="153" t="n">
        <f aca="false">IFERROR(IF($N148="VCA",INDEX(APOIO_REDES!$A:$W,MATCH($C148&amp;$I148&amp;$H148&amp;$N148&amp;$O148,APOIO_REDES!$W:$W,0),MATCH(AV$5,APOIO_REDES!$5:$5,0)),0)*$AP148,0)</f>
        <v>0.0222543234008501</v>
      </c>
      <c r="AW148" s="153" t="n">
        <f aca="false">IFERROR(IF($N148="VCA",INDEX(APOIO_REDES!$A:$W,MATCH($C148&amp;$I148&amp;$H148&amp;$N148&amp;$O148,APOIO_REDES!$W:$W,0),MATCH(AW$5,APOIO_REDES!$5:$5,0)),0)*$AP148,0)</f>
        <v>12.7036883142729</v>
      </c>
      <c r="AX148" s="153" t="n">
        <f aca="false">IFERROR(IF($N148="VCA",INDEX(APOIO_REDES!$A:$W,MATCH($C148&amp;$I148&amp;$H148&amp;$N148&amp;$O148,APOIO_REDES!$W:$W,0),MATCH(AX$5,APOIO_REDES!$5:$5,0)),0)*$AP148,0)</f>
        <v>1.75815427555422</v>
      </c>
      <c r="AY148" s="153" t="n">
        <f aca="false">IFERROR(IF($N148="VCA",INDEX(APOIO_REDES!$A:$W,MATCH($C148&amp;$I148&amp;$H148&amp;$N148&amp;$O148,APOIO_REDES!$W:$W,0),MATCH(AY$5,APOIO_REDES!$5:$5,0)),0)*$AP148,0)</f>
        <v>3.21612315242238</v>
      </c>
      <c r="AZ148" s="153" t="n">
        <f aca="false">IFERROR(IF($N148="VCA",INDEX(APOIO_REDES!$A:$W,MATCH($C148&amp;$I148&amp;$H148&amp;$N148&amp;$O148,APOIO_REDES!$W:$W,0),MATCH(AZ$5,APOIO_REDES!$5:$5,0)),0)*$AP148,0)</f>
        <v>0.445102149738767</v>
      </c>
      <c r="BA148" s="153" t="n">
        <f aca="false">IFERROR(IF(AND($N148="VCA",$Q148="LINEAR"),INDEX(APOIO_REDES!$A:$W,MATCH($C148&amp;$I148&amp;$H148&amp;$N148&amp;$O148,APOIO_REDES!$W:$W,0),MATCH(BA$5,APOIO_REDES!$5:$5,0)),IF(AND($N148="MND",$Q148="EMBOQUE"),INDEX(APOIO_REDES!$A:$W,MATCH($C148&amp;$I148&amp;$H148&amp;$N148&amp;$O148,APOIO_REDES!$W:$W,0),MATCH(BA$5,APOIO_REDES!$5:$5,0)),0))*$M148/10,0)</f>
        <v>1.68368130664161</v>
      </c>
      <c r="BB148" s="153" t="n">
        <f aca="false">IFERROR(IF($N148="VCA",INDEX(APOIO_REDES!$A:$W,MATCH($C148&amp;$I148&amp;$H148&amp;$N148&amp;$O148,APOIO_REDES!$W:$W,0),MATCH(BB$5,APOIO_REDES!$5:$5,0)),0)*($AI148+$AQ148+$AR148),0)</f>
        <v>6.21844276014872</v>
      </c>
      <c r="BC148" s="153" t="n">
        <f aca="false">IFERROR(IF($N148="VCA",INDEX(APOIO_REDES!$A:$W,MATCH($C148&amp;$I148&amp;$H148&amp;$N148&amp;$O148,APOIO_REDES!$W:$W,0),MATCH(BC$5,APOIO_REDES!$5:$5,0)),0)*($AI148+$AQ148+$AR148),0)</f>
        <v>0.0684027398512831</v>
      </c>
      <c r="BD148" s="153" t="n">
        <f aca="false">IF(AND($N148="VCA",$AF148&gt;=1.25,$AF148&lt;1.5),$M148*$AF148*2,0)</f>
        <v>56.94614</v>
      </c>
      <c r="BE148" s="153" t="n">
        <f aca="false">IF(AND($N148="VCA",$AF148&gt;=1.5,$AF148&lt;3),$M148*$AF148*2,0)</f>
        <v>0</v>
      </c>
      <c r="BF148" s="153" t="n">
        <f aca="false">IF(AND($N148="VCA",$AF148&gt;=3),$M148*$AF148*2,0)</f>
        <v>0</v>
      </c>
      <c r="BG148" s="153" t="n">
        <f aca="false">($BB148+$BC148)*$AK148</f>
        <v>28.29080475</v>
      </c>
      <c r="BH148" s="153" t="n">
        <f aca="false">IF(AND($M148&lt;&gt;"",$N148="VCA",$Q148="LINEAR"),($M148*2)/100,IF(AND($M148&lt;&gt;"",$N148="MND",$Q148="EMBOQUE"),($AN148*2)/100,0))</f>
        <v>0.4178</v>
      </c>
      <c r="BI148" s="153" t="n">
        <f aca="false">IF(AND($M148&lt;&gt;"",$N148="VCA",$Q148="LINEAR"),$M148,IF(AND($M148&lt;&gt;"",$N148="MND",$Q148="EMBOQUE"),$AN148*2,0))</f>
        <v>20.89</v>
      </c>
      <c r="BJ148" s="153" t="n">
        <f aca="false">IF(AND($M148&lt;&gt;"",$N148="VCA",$Q148="LINEAR"),($M148*6.8)/100,IF(AND($M148&lt;&gt;"",$N148="MND",$Q148="EMBOQUE"),($AN148*2*6.8)/100,0))</f>
        <v>1.42052</v>
      </c>
      <c r="BK148" s="153" t="n">
        <f aca="false">IF(AND($M148&lt;&gt;"",$N148="VCA",$Q148="LINEAR"),($M148*2.5)/50,IF(AND($M148&lt;&gt;"",$N148="MND",$Q148="EMBOQUE"),($AN148*2*2.5)/50,0))</f>
        <v>1.0445</v>
      </c>
      <c r="BL148" s="157" t="str">
        <f aca="false">K148&amp;J148</f>
        <v>Zona02REDES</v>
      </c>
      <c r="BM148" s="152" t="s">
        <v>2037</v>
      </c>
      <c r="BN148" s="152" t="s">
        <v>1560</v>
      </c>
      <c r="BO148" s="152" t="s">
        <v>1968</v>
      </c>
      <c r="BP148" s="152" t="s">
        <v>2095</v>
      </c>
      <c r="BQ148" s="152" t="s">
        <v>2082</v>
      </c>
      <c r="BR148" s="152" t="s">
        <v>2061</v>
      </c>
      <c r="BS148" s="152" t="n">
        <v>202717.105</v>
      </c>
      <c r="BT148" s="152" t="n">
        <v>8238101.045</v>
      </c>
      <c r="BU148" s="152" t="n">
        <v>202729.319</v>
      </c>
      <c r="BV148" s="152" t="n">
        <v>8238117.998</v>
      </c>
      <c r="BW148" s="152" t="n">
        <v>-15.9184416</v>
      </c>
      <c r="BX148" s="152" t="n">
        <v>-47.776453</v>
      </c>
      <c r="BY148" s="152" t="s">
        <v>2095</v>
      </c>
    </row>
    <row r="149" customFormat="false" ht="13.8" hidden="false" customHeight="false" outlineLevel="0" collapsed="false">
      <c r="A149" s="149" t="n">
        <f aca="false">IF(C149&lt;&gt;"",ROW(A144),"")</f>
        <v>144</v>
      </c>
      <c r="B149" s="150" t="str">
        <f aca="false">HYPERLINK("https://www.google.com/maps/dir/-15.917302,-47.760003/-15.9186117,-47.7752875/data=!4m3!4m2!3e0!5i0")</f>
        <v>https://www.google.com/maps/dir/-15.917302,-47.760003/-15.9186117,-47.7752875/data=!4m3!4m2!3e0!5i0</v>
      </c>
      <c r="C149" s="151" t="s">
        <v>117</v>
      </c>
      <c r="D149" s="152" t="s">
        <v>112</v>
      </c>
      <c r="E149" s="152" t="s">
        <v>113</v>
      </c>
      <c r="F149" s="152" t="s">
        <v>117</v>
      </c>
      <c r="G149" s="152" t="s">
        <v>782</v>
      </c>
      <c r="H149" s="152" t="n">
        <v>63</v>
      </c>
      <c r="I149" s="152" t="s">
        <v>115</v>
      </c>
      <c r="J149" s="152" t="s">
        <v>6</v>
      </c>
      <c r="K149" s="152" t="s">
        <v>2033</v>
      </c>
      <c r="L149" s="152" t="s">
        <v>120</v>
      </c>
      <c r="M149" s="153" t="n">
        <f aca="false">21.78+4.04</f>
        <v>25.82</v>
      </c>
      <c r="N149" s="152" t="s">
        <v>1548</v>
      </c>
      <c r="O149" s="152" t="s">
        <v>1549</v>
      </c>
      <c r="P149" s="152" t="s">
        <v>1550</v>
      </c>
      <c r="Q149" s="152" t="s">
        <v>1551</v>
      </c>
      <c r="R149" s="154" t="s">
        <v>2096</v>
      </c>
      <c r="S149" s="154" t="s">
        <v>1553</v>
      </c>
      <c r="T149" s="155" t="s">
        <v>1965</v>
      </c>
      <c r="U149" s="152" t="str">
        <f aca="false">RIGHT(T149,7)</f>
        <v>005/037</v>
      </c>
      <c r="V149" s="152" t="s">
        <v>1555</v>
      </c>
      <c r="W149" s="156" t="n">
        <v>45882</v>
      </c>
      <c r="X149" s="152" t="s">
        <v>1594</v>
      </c>
      <c r="Y149" s="152" t="s">
        <v>2063</v>
      </c>
      <c r="Z149" s="152" t="s">
        <v>1557</v>
      </c>
      <c r="AA149" s="153" t="n">
        <v>3.1</v>
      </c>
      <c r="AB149" s="151" t="s">
        <v>2097</v>
      </c>
      <c r="AC149" s="151" t="s">
        <v>186</v>
      </c>
      <c r="AD149" s="151" t="str">
        <f aca="false">CONCATENATE($C149,$I149,$H149,$N149,$J149,$K149)</f>
        <v>TUBO PEADPEAD63VCAREDESZona02</v>
      </c>
      <c r="AE149" s="153" t="n">
        <f aca="false">IFERROR(INDEX(APOIO_REDES!$A:$W,MATCH($C149&amp;$I149&amp;$H149&amp;$N149&amp;$O149,APOIO_REDES!$W:$W,0),MATCH(AE$5,APOIO_REDES!$5:$5,0)),0)</f>
        <v>1.2</v>
      </c>
      <c r="AF149" s="153" t="n">
        <f aca="false">IFERROR(INDEX(APOIO_REDES!$A:$W,MATCH($C149&amp;$I149&amp;$H149&amp;$N149&amp;$O149,APOIO_REDES!$W:$W,0),MATCH(AF$5,APOIO_REDES!$5:$5,0)),0)</f>
        <v>1.363</v>
      </c>
      <c r="AG149" s="153" t="n">
        <f aca="false">IFERROR(INDEX(APOIO_REDES!$A:$W,MATCH($C149&amp;$I149&amp;$H149&amp;$N149&amp;$O149,APOIO_REDES!$W:$W,0),MATCH(AG$5,APOIO_REDES!$5:$5,0)),0)</f>
        <v>0.65</v>
      </c>
      <c r="AH149" s="153" t="n">
        <f aca="false">IFERROR(INDEX(APOIO_REDES!$A:$W,MATCH($C149&amp;$I149&amp;$H149&amp;$N149&amp;$O149,APOIO_REDES!$W:$W,0),MATCH(AH$5,APOIO_REDES!$5:$5,0)),0)</f>
        <v>0.1</v>
      </c>
      <c r="AI149" s="153" t="n">
        <f aca="false">IFERROR(IF($H149&lt;&gt;"",(((($H149/1000)/2)^2)*PI()*$M149),0),0)</f>
        <v>0.0804872739177419</v>
      </c>
      <c r="AJ149" s="153" t="n">
        <f aca="false">IFERROR(IF(AND($H149&lt;&gt;"",$I149="FoFo",OR($N149="MND",$N149="VCA"),$Q149="LINEAR"),0,IF(AND($H149&lt;&gt;"",$I149="PEAD",$N149="VCA",$Q149="LINEAR"),($H149/1000)+0.3,IF(AND($H149&lt;&gt;"",$I149="PEAD",$N149="MND",$Q149="EMBOQUE"),0,IF(AND($H149&lt;&gt;"",$I149="PVC",$N149="VCA",$Q149="LINEAR"),($H149/1000)+0.2,IF(AND($H149&lt;&gt;"",$I149="PVC",$N149="MND",$Q149="EMBOQUE"),0,IF(AND($H149&lt;&gt;"",$I149="PEAD",$N149="VCA",$Q149="PREDIAL"),0,0)))))),0)</f>
        <v>0.363</v>
      </c>
      <c r="AK149" s="153" t="n">
        <f aca="false">IF(AA149&lt;&gt;"",AA149,0)</f>
        <v>3.1</v>
      </c>
      <c r="AL149" s="153" t="n">
        <f aca="false">IF(AND($N149="MND",$Q149="EMBOQUE"),$M149,IF(AND($N149="VCA",$Q149="LINEAR"),$M149,IF(AND($N149="VCA",$Q149="PREDIAL"),0,0)))</f>
        <v>25.82</v>
      </c>
      <c r="AM149" s="153" t="n">
        <f aca="false">IF(AND($N149="MND",$Q149="EMBOQUE"),$M149,IF(AND($N149="VCA",$Q149="LINEAR"),$M149,IF(AND($N149="VCA",$Q149="PREDIAL"),0,0)))</f>
        <v>25.82</v>
      </c>
      <c r="AN149" s="153" t="n">
        <f aca="false">ROUND(IF(AND($N149="VCA",$M149&lt;&gt;"",$Q149="LINEAR"),$M149/100,IF(AND($N149="MND",$M149&gt;100,$Q149="EMBOQUE"),$M149/100,0)),0)</f>
        <v>0</v>
      </c>
      <c r="AO149" s="153" t="n">
        <f aca="false">IF(AND($N149="MND",$Q149="EMBOQUE"),$AN149*2*2,IF(AND($N149="VCA",$Q149="LINEAR"),$M149*2,IF(AND($N149="VCA",$Q149="PREDIAL"),0,0)))</f>
        <v>51.64</v>
      </c>
      <c r="AP149" s="153" t="n">
        <f aca="false">IFERROR($M149*$AF149*$AG149,0)</f>
        <v>22.875229</v>
      </c>
      <c r="AQ149" s="153" t="n">
        <f aca="false">IFERROR(IF(AND($N149="VCA",$AH149&gt;0),$M149*$AG149*$AH149,0),0)</f>
        <v>1.6783</v>
      </c>
      <c r="AR149" s="153" t="n">
        <f aca="false">IFERROR(IF(AND($N149="VCA",$AJ149&gt;0),($M149*$AG149*$AJ149)-$AI149,0),0)</f>
        <v>6.01174172608226</v>
      </c>
      <c r="AS149" s="153" t="n">
        <f aca="false">IFERROR(IF(AND($N149="VCA",$AP149&gt;0),$AP149-$AI149-$AQ149-$AR149,0),0)</f>
        <v>15.1047</v>
      </c>
      <c r="AT149" s="153" t="n">
        <f aca="false">IFERROR(IF($N149="VCA",INDEX(APOIO_REDES!$A:$W,MATCH($C149&amp;$I149&amp;$H149&amp;$N149&amp;$O149,APOIO_REDES!$W:$W,0),MATCH(AT$5,APOIO_REDES!$5:$5,0)),0)*$AP149,0)</f>
        <v>0.248889262242173</v>
      </c>
      <c r="AU149" s="153" t="n">
        <f aca="false">IFERROR(IF($N149="VCA",INDEX(APOIO_REDES!$A:$W,MATCH($C149&amp;$I149&amp;$H149&amp;$N149&amp;$O149,APOIO_REDES!$W:$W,0),MATCH(AU$5,APOIO_REDES!$5:$5,0)),0)*$AP149,0)</f>
        <v>0.19875622405051</v>
      </c>
      <c r="AV149" s="153" t="n">
        <f aca="false">IFERROR(IF($N149="VCA",INDEX(APOIO_REDES!$A:$W,MATCH($C149&amp;$I149&amp;$H149&amp;$N149&amp;$O149,APOIO_REDES!$W:$W,0),MATCH(AV$5,APOIO_REDES!$5:$5,0)),0)*$AP149,0)</f>
        <v>0.0275063011110555</v>
      </c>
      <c r="AW149" s="153" t="n">
        <f aca="false">IFERROR(IF($N149="VCA",INDEX(APOIO_REDES!$A:$W,MATCH($C149&amp;$I149&amp;$H149&amp;$N149&amp;$O149,APOIO_REDES!$W:$W,0),MATCH(AW$5,APOIO_REDES!$5:$5,0)),0)*$AP149,0)</f>
        <v>15.7017344315235</v>
      </c>
      <c r="AX149" s="153" t="n">
        <f aca="false">IFERROR(IF($N149="VCA",INDEX(APOIO_REDES!$A:$W,MATCH($C149&amp;$I149&amp;$H149&amp;$N149&amp;$O149,APOIO_REDES!$W:$W,0),MATCH(AX$5,APOIO_REDES!$5:$5,0)),0)*$AP149,0)</f>
        <v>2.17307531808568</v>
      </c>
      <c r="AY149" s="153" t="n">
        <f aca="false">IFERROR(IF($N149="VCA",INDEX(APOIO_REDES!$A:$W,MATCH($C149&amp;$I149&amp;$H149&amp;$N149&amp;$O149,APOIO_REDES!$W:$W,0),MATCH(AY$5,APOIO_REDES!$5:$5,0)),0)*$AP149,0)</f>
        <v>3.97512205818793</v>
      </c>
      <c r="AZ149" s="153" t="n">
        <f aca="false">IFERROR(IF($N149="VCA",INDEX(APOIO_REDES!$A:$W,MATCH($C149&amp;$I149&amp;$H149&amp;$N149&amp;$O149,APOIO_REDES!$W:$W,0),MATCH(AZ$5,APOIO_REDES!$5:$5,0)),0)*$AP149,0)</f>
        <v>0.550145404799184</v>
      </c>
      <c r="BA149" s="153" t="n">
        <f aca="false">IFERROR(IF(AND($N149="VCA",$Q149="LINEAR"),INDEX(APOIO_REDES!$A:$W,MATCH($C149&amp;$I149&amp;$H149&amp;$N149&amp;$O149,APOIO_REDES!$W:$W,0),MATCH(BA$5,APOIO_REDES!$5:$5,0)),IF(AND($N149="MND",$Q149="EMBOQUE"),INDEX(APOIO_REDES!$A:$W,MATCH($C149&amp;$I149&amp;$H149&amp;$N149&amp;$O149,APOIO_REDES!$W:$W,0),MATCH(BA$5,APOIO_REDES!$5:$5,0)),0))*$M149/10,0)</f>
        <v>2.08102687110993</v>
      </c>
      <c r="BB149" s="153" t="n">
        <f aca="false">IFERROR(IF($N149="VCA",INDEX(APOIO_REDES!$A:$W,MATCH($C149&amp;$I149&amp;$H149&amp;$N149&amp;$O149,APOIO_REDES!$W:$W,0),MATCH(BB$5,APOIO_REDES!$5:$5,0)),0)*($AI149+$AQ149+$AR149),0)</f>
        <v>7.68598334452082</v>
      </c>
      <c r="BC149" s="153" t="n">
        <f aca="false">IFERROR(IF($N149="VCA",INDEX(APOIO_REDES!$A:$W,MATCH($C149&amp;$I149&amp;$H149&amp;$N149&amp;$O149,APOIO_REDES!$W:$W,0),MATCH(BC$5,APOIO_REDES!$5:$5,0)),0)*($AI149+$AQ149+$AR149),0)</f>
        <v>0.0845456554791828</v>
      </c>
      <c r="BD149" s="153" t="n">
        <f aca="false">IF(AND($N149="VCA",$AF149&gt;=1.25,$AF149&lt;1.5),$M149*$AF149*2,0)</f>
        <v>70.38532</v>
      </c>
      <c r="BE149" s="153" t="n">
        <f aca="false">IF(AND($N149="VCA",$AF149&gt;=1.5,$AF149&lt;3),$M149*$AF149*2,0)</f>
        <v>0</v>
      </c>
      <c r="BF149" s="153" t="n">
        <f aca="false">IF(AND($N149="VCA",$AF149&gt;=3),$M149*$AF149*2,0)</f>
        <v>0</v>
      </c>
      <c r="BG149" s="153" t="n">
        <f aca="false">($BB149+$BC149)*$AK149</f>
        <v>24.0886399</v>
      </c>
      <c r="BH149" s="153" t="n">
        <f aca="false">IF(AND($M149&lt;&gt;"",$N149="VCA",$Q149="LINEAR"),($M149*2)/100,IF(AND($M149&lt;&gt;"",$N149="MND",$Q149="EMBOQUE"),($AN149*2)/100,0))</f>
        <v>0.5164</v>
      </c>
      <c r="BI149" s="153" t="n">
        <f aca="false">IF(AND($M149&lt;&gt;"",$N149="VCA",$Q149="LINEAR"),$M149,IF(AND($M149&lt;&gt;"",$N149="MND",$Q149="EMBOQUE"),$AN149*2,0))</f>
        <v>25.82</v>
      </c>
      <c r="BJ149" s="153" t="n">
        <f aca="false">IF(AND($M149&lt;&gt;"",$N149="VCA",$Q149="LINEAR"),($M149*6.8)/100,IF(AND($M149&lt;&gt;"",$N149="MND",$Q149="EMBOQUE"),($AN149*2*6.8)/100,0))</f>
        <v>1.75576</v>
      </c>
      <c r="BK149" s="153" t="n">
        <f aca="false">IF(AND($M149&lt;&gt;"",$N149="VCA",$Q149="LINEAR"),($M149*2.5)/50,IF(AND($M149&lt;&gt;"",$N149="MND",$Q149="EMBOQUE"),($AN149*2*2.5)/50,0))</f>
        <v>1.291</v>
      </c>
      <c r="BL149" s="157" t="str">
        <f aca="false">K149&amp;J149</f>
        <v>Zona02REDES</v>
      </c>
      <c r="BM149" s="152" t="s">
        <v>2037</v>
      </c>
      <c r="BN149" s="152" t="s">
        <v>1560</v>
      </c>
      <c r="BO149" s="152" t="s">
        <v>1968</v>
      </c>
      <c r="BP149" s="152" t="s">
        <v>2098</v>
      </c>
      <c r="BQ149" s="152" t="s">
        <v>2091</v>
      </c>
      <c r="BR149" s="152" t="s">
        <v>2099</v>
      </c>
      <c r="BS149" s="152" t="n">
        <v>202848.339</v>
      </c>
      <c r="BT149" s="152" t="n">
        <v>8238092.342</v>
      </c>
      <c r="BU149" s="152" t="n">
        <v>202860.029</v>
      </c>
      <c r="BV149" s="152" t="n">
        <v>8238110.709</v>
      </c>
      <c r="BW149" s="152" t="n">
        <v>-15.9185286</v>
      </c>
      <c r="BX149" s="152" t="n">
        <v>-47.7752332</v>
      </c>
      <c r="BY149" s="152" t="s">
        <v>2098</v>
      </c>
    </row>
    <row r="150" customFormat="false" ht="13.8" hidden="false" customHeight="false" outlineLevel="0" collapsed="false">
      <c r="A150" s="149" t="n">
        <f aca="false">IF(C150&lt;&gt;"",ROW(A145),"")</f>
        <v>145</v>
      </c>
      <c r="B150" s="150" t="str">
        <f aca="false">HYPERLINK("https://www.google.com/maps/dir/-15.917302,-47.760003/-15.9183254,-47.7743239/data=!4m3!4m2!3e0!5i1")</f>
        <v>https://www.google.com/maps/dir/-15.917302,-47.760003/-15.9183254,-47.7743239/data=!4m3!4m2!3e0!5i1</v>
      </c>
      <c r="C150" s="151" t="s">
        <v>117</v>
      </c>
      <c r="D150" s="152" t="s">
        <v>112</v>
      </c>
      <c r="E150" s="152" t="s">
        <v>113</v>
      </c>
      <c r="F150" s="152" t="s">
        <v>117</v>
      </c>
      <c r="G150" s="152" t="s">
        <v>782</v>
      </c>
      <c r="H150" s="152" t="n">
        <v>63</v>
      </c>
      <c r="I150" s="152" t="s">
        <v>115</v>
      </c>
      <c r="J150" s="152" t="s">
        <v>6</v>
      </c>
      <c r="K150" s="152" t="s">
        <v>2033</v>
      </c>
      <c r="L150" s="152" t="s">
        <v>120</v>
      </c>
      <c r="M150" s="153" t="n">
        <f aca="false">57.93+3.96</f>
        <v>61.89</v>
      </c>
      <c r="N150" s="152" t="s">
        <v>1548</v>
      </c>
      <c r="O150" s="152" t="s">
        <v>1549</v>
      </c>
      <c r="P150" s="152" t="s">
        <v>1550</v>
      </c>
      <c r="Q150" s="152" t="s">
        <v>1551</v>
      </c>
      <c r="R150" s="154" t="s">
        <v>2100</v>
      </c>
      <c r="S150" s="154" t="s">
        <v>1553</v>
      </c>
      <c r="T150" s="155" t="s">
        <v>1965</v>
      </c>
      <c r="U150" s="152" t="str">
        <f aca="false">RIGHT(T150,7)</f>
        <v>005/037</v>
      </c>
      <c r="V150" s="152" t="s">
        <v>1555</v>
      </c>
      <c r="W150" s="156" t="n">
        <v>45882</v>
      </c>
      <c r="X150" s="152" t="s">
        <v>1594</v>
      </c>
      <c r="Y150" s="152" t="s">
        <v>2042</v>
      </c>
      <c r="Z150" s="152" t="s">
        <v>1557</v>
      </c>
      <c r="AA150" s="153" t="n">
        <v>4.1</v>
      </c>
      <c r="AB150" s="151" t="s">
        <v>2101</v>
      </c>
      <c r="AC150" s="151" t="s">
        <v>186</v>
      </c>
      <c r="AD150" s="151" t="str">
        <f aca="false">CONCATENATE($C150,$I150,$H150,$N150,$J150,$K150)</f>
        <v>TUBO PEADPEAD63VCAREDESZona02</v>
      </c>
      <c r="AE150" s="153" t="n">
        <f aca="false">IFERROR(INDEX(APOIO_REDES!$A:$W,MATCH($C150&amp;$I150&amp;$H150&amp;$N150&amp;$O150,APOIO_REDES!$W:$W,0),MATCH(AE$5,APOIO_REDES!$5:$5,0)),0)</f>
        <v>1.2</v>
      </c>
      <c r="AF150" s="153" t="n">
        <f aca="false">IFERROR(INDEX(APOIO_REDES!$A:$W,MATCH($C150&amp;$I150&amp;$H150&amp;$N150&amp;$O150,APOIO_REDES!$W:$W,0),MATCH(AF$5,APOIO_REDES!$5:$5,0)),0)</f>
        <v>1.363</v>
      </c>
      <c r="AG150" s="153" t="n">
        <f aca="false">IFERROR(INDEX(APOIO_REDES!$A:$W,MATCH($C150&amp;$I150&amp;$H150&amp;$N150&amp;$O150,APOIO_REDES!$W:$W,0),MATCH(AG$5,APOIO_REDES!$5:$5,0)),0)</f>
        <v>0.65</v>
      </c>
      <c r="AH150" s="153" t="n">
        <f aca="false">IFERROR(INDEX(APOIO_REDES!$A:$W,MATCH($C150&amp;$I150&amp;$H150&amp;$N150&amp;$O150,APOIO_REDES!$W:$W,0),MATCH(AH$5,APOIO_REDES!$5:$5,0)),0)</f>
        <v>0.1</v>
      </c>
      <c r="AI150" s="153" t="n">
        <f aca="false">IFERROR(IF($H150&lt;&gt;"",(((($H150/1000)/2)^2)*PI()*$M150),0),0)</f>
        <v>0.19292631226836</v>
      </c>
      <c r="AJ150" s="153" t="n">
        <f aca="false">IFERROR(IF(AND($H150&lt;&gt;"",$I150="FoFo",OR($N150="MND",$N150="VCA"),$Q150="LINEAR"),0,IF(AND($H150&lt;&gt;"",$I150="PEAD",$N150="VCA",$Q150="LINEAR"),($H150/1000)+0.3,IF(AND($H150&lt;&gt;"",$I150="PEAD",$N150="MND",$Q150="EMBOQUE"),0,IF(AND($H150&lt;&gt;"",$I150="PVC",$N150="VCA",$Q150="LINEAR"),($H150/1000)+0.2,IF(AND($H150&lt;&gt;"",$I150="PVC",$N150="MND",$Q150="EMBOQUE"),0,IF(AND($H150&lt;&gt;"",$I150="PEAD",$N150="VCA",$Q150="PREDIAL"),0,0)))))),0)</f>
        <v>0.363</v>
      </c>
      <c r="AK150" s="153" t="n">
        <f aca="false">IF(AA150&lt;&gt;"",AA150,0)</f>
        <v>4.1</v>
      </c>
      <c r="AL150" s="153" t="n">
        <f aca="false">IF(AND($N150="MND",$Q150="EMBOQUE"),$M150,IF(AND($N150="VCA",$Q150="LINEAR"),$M150,IF(AND($N150="VCA",$Q150="PREDIAL"),0,0)))</f>
        <v>61.89</v>
      </c>
      <c r="AM150" s="153" t="n">
        <f aca="false">IF(AND($N150="MND",$Q150="EMBOQUE"),$M150,IF(AND($N150="VCA",$Q150="LINEAR"),$M150,IF(AND($N150="VCA",$Q150="PREDIAL"),0,0)))</f>
        <v>61.89</v>
      </c>
      <c r="AN150" s="153" t="n">
        <f aca="false">ROUND(IF(AND($N150="VCA",$M150&lt;&gt;"",$Q150="LINEAR"),$M150/100,IF(AND($N150="MND",$M150&gt;100,$Q150="EMBOQUE"),$M150/100,0)),0)</f>
        <v>1</v>
      </c>
      <c r="AO150" s="153" t="n">
        <f aca="false">IF(AND($N150="MND",$Q150="EMBOQUE"),$AN150*2*2,IF(AND($N150="VCA",$Q150="LINEAR"),$M150*2,IF(AND($N150="VCA",$Q150="PREDIAL"),0,0)))</f>
        <v>123.78</v>
      </c>
      <c r="AP150" s="153" t="n">
        <f aca="false">IFERROR($M150*$AF150*$AG150,0)</f>
        <v>54.8314455</v>
      </c>
      <c r="AQ150" s="153" t="n">
        <f aca="false">IFERROR(IF(AND($N150="VCA",$AH150&gt;0),$M150*$AG150*$AH150,0),0)</f>
        <v>4.02285</v>
      </c>
      <c r="AR150" s="153" t="n">
        <f aca="false">IFERROR(IF(AND($N150="VCA",$AJ150&gt;0),($M150*$AG150*$AJ150)-$AI150,0),0)</f>
        <v>14.4100191877316</v>
      </c>
      <c r="AS150" s="153" t="n">
        <f aca="false">IFERROR(IF(AND($N150="VCA",$AP150&gt;0),$AP150-$AI150-$AQ150-$AR150,0),0)</f>
        <v>36.20565</v>
      </c>
      <c r="AT150" s="153" t="n">
        <f aca="false">IFERROR(IF($N150="VCA",INDEX(APOIO_REDES!$A:$W,MATCH($C150&amp;$I150&amp;$H150&amp;$N150&amp;$O150,APOIO_REDES!$W:$W,0),MATCH(AT$5,APOIO_REDES!$5:$5,0)),0)*$AP150,0)</f>
        <v>0.596582356319446</v>
      </c>
      <c r="AU150" s="153" t="n">
        <f aca="false">IFERROR(IF($N150="VCA",INDEX(APOIO_REDES!$A:$W,MATCH($C150&amp;$I150&amp;$H150&amp;$N150&amp;$O150,APOIO_REDES!$W:$W,0),MATCH(AU$5,APOIO_REDES!$5:$5,0)),0)*$AP150,0)</f>
        <v>0.476414512257399</v>
      </c>
      <c r="AV150" s="153" t="n">
        <f aca="false">IFERROR(IF($N150="VCA",INDEX(APOIO_REDES!$A:$W,MATCH($C150&amp;$I150&amp;$H150&amp;$N150&amp;$O150,APOIO_REDES!$W:$W,0),MATCH(AV$5,APOIO_REDES!$5:$5,0)),0)*$AP150,0)</f>
        <v>0.0659320284958645</v>
      </c>
      <c r="AW150" s="153" t="n">
        <f aca="false">IFERROR(IF($N150="VCA",INDEX(APOIO_REDES!$A:$W,MATCH($C150&amp;$I150&amp;$H150&amp;$N150&amp;$O150,APOIO_REDES!$W:$W,0),MATCH(AW$5,APOIO_REDES!$5:$5,0)),0)*$AP150,0)</f>
        <v>37.6367290459716</v>
      </c>
      <c r="AX150" s="153" t="n">
        <f aca="false">IFERROR(IF($N150="VCA",INDEX(APOIO_REDES!$A:$W,MATCH($C150&amp;$I150&amp;$H150&amp;$N150&amp;$O150,APOIO_REDES!$W:$W,0),MATCH(AX$5,APOIO_REDES!$5:$5,0)),0)*$AP150,0)</f>
        <v>5.20881608971041</v>
      </c>
      <c r="AY150" s="153" t="n">
        <f aca="false">IFERROR(IF($N150="VCA",INDEX(APOIO_REDES!$A:$W,MATCH($C150&amp;$I150&amp;$H150&amp;$N150&amp;$O150,APOIO_REDES!$W:$W,0),MATCH(AY$5,APOIO_REDES!$5:$5,0)),0)*$AP150,0)</f>
        <v>9.52828443769369</v>
      </c>
      <c r="AZ150" s="153" t="n">
        <f aca="false">IFERROR(IF($N150="VCA",INDEX(APOIO_REDES!$A:$W,MATCH($C150&amp;$I150&amp;$H150&amp;$N150&amp;$O150,APOIO_REDES!$W:$W,0),MATCH(AZ$5,APOIO_REDES!$5:$5,0)),0)*$AP150,0)</f>
        <v>1.31868702955157</v>
      </c>
      <c r="BA150" s="153" t="n">
        <f aca="false">IFERROR(IF(AND($N150="VCA",$Q150="LINEAR"),INDEX(APOIO_REDES!$A:$W,MATCH($C150&amp;$I150&amp;$H150&amp;$N150&amp;$O150,APOIO_REDES!$W:$W,0),MATCH(BA$5,APOIO_REDES!$5:$5,0)),IF(AND($N150="MND",$Q150="EMBOQUE"),INDEX(APOIO_REDES!$A:$W,MATCH($C150&amp;$I150&amp;$H150&amp;$N150&amp;$O150,APOIO_REDES!$W:$W,0),MATCH(BA$5,APOIO_REDES!$5:$5,0)),0))*$M150/10,0)</f>
        <v>4.9881778874126</v>
      </c>
      <c r="BB150" s="153" t="n">
        <f aca="false">IFERROR(IF($N150="VCA",INDEX(APOIO_REDES!$A:$W,MATCH($C150&amp;$I150&amp;$H150&amp;$N150&amp;$O150,APOIO_REDES!$W:$W,0),MATCH(BB$5,APOIO_REDES!$5:$5,0)),0)*($AI150+$AQ150+$AR150),0)</f>
        <v>18.4231413320059</v>
      </c>
      <c r="BC150" s="153" t="n">
        <f aca="false">IFERROR(IF($N150="VCA",INDEX(APOIO_REDES!$A:$W,MATCH($C150&amp;$I150&amp;$H150&amp;$N150&amp;$O150,APOIO_REDES!$W:$W,0),MATCH(BC$5,APOIO_REDES!$5:$5,0)),0)*($AI150+$AQ150+$AR150),0)</f>
        <v>0.20265416799406</v>
      </c>
      <c r="BD150" s="153" t="n">
        <f aca="false">IF(AND($N150="VCA",$AF150&gt;=1.25,$AF150&lt;1.5),$M150*$AF150*2,0)</f>
        <v>168.71214</v>
      </c>
      <c r="BE150" s="153" t="n">
        <f aca="false">IF(AND($N150="VCA",$AF150&gt;=1.5,$AF150&lt;3),$M150*$AF150*2,0)</f>
        <v>0</v>
      </c>
      <c r="BF150" s="153" t="n">
        <f aca="false">IF(AND($N150="VCA",$AF150&gt;=3),$M150*$AF150*2,0)</f>
        <v>0</v>
      </c>
      <c r="BG150" s="153" t="n">
        <f aca="false">($BB150+$BC150)*$AK150</f>
        <v>76.36576155</v>
      </c>
      <c r="BH150" s="153" t="n">
        <f aca="false">IF(AND($M150&lt;&gt;"",$N150="VCA",$Q150="LINEAR"),($M150*2)/100,IF(AND($M150&lt;&gt;"",$N150="MND",$Q150="EMBOQUE"),($AN150*2)/100,0))</f>
        <v>1.2378</v>
      </c>
      <c r="BI150" s="153" t="n">
        <f aca="false">IF(AND($M150&lt;&gt;"",$N150="VCA",$Q150="LINEAR"),$M150,IF(AND($M150&lt;&gt;"",$N150="MND",$Q150="EMBOQUE"),$AN150*2,0))</f>
        <v>61.89</v>
      </c>
      <c r="BJ150" s="153" t="n">
        <f aca="false">IF(AND($M150&lt;&gt;"",$N150="VCA",$Q150="LINEAR"),($M150*6.8)/100,IF(AND($M150&lt;&gt;"",$N150="MND",$Q150="EMBOQUE"),($AN150*2*6.8)/100,0))</f>
        <v>4.20852</v>
      </c>
      <c r="BK150" s="153" t="n">
        <f aca="false">IF(AND($M150&lt;&gt;"",$N150="VCA",$Q150="LINEAR"),($M150*2.5)/50,IF(AND($M150&lt;&gt;"",$N150="MND",$Q150="EMBOQUE"),($AN150*2*2.5)/50,0))</f>
        <v>3.0945</v>
      </c>
      <c r="BL150" s="157" t="str">
        <f aca="false">K150&amp;J150</f>
        <v>Zona02REDES</v>
      </c>
      <c r="BM150" s="152" t="s">
        <v>2037</v>
      </c>
      <c r="BN150" s="152" t="s">
        <v>1560</v>
      </c>
      <c r="BO150" s="152" t="s">
        <v>1968</v>
      </c>
      <c r="BP150" s="152" t="s">
        <v>2102</v>
      </c>
      <c r="BQ150" s="152" t="s">
        <v>2103</v>
      </c>
      <c r="BR150" s="152" t="s">
        <v>2104</v>
      </c>
      <c r="BS150" s="152" t="n">
        <v>202951.153</v>
      </c>
      <c r="BT150" s="152" t="n">
        <v>8238125.413</v>
      </c>
      <c r="BU150" s="152" t="n">
        <v>202922.753</v>
      </c>
      <c r="BV150" s="152" t="n">
        <v>8238074.943</v>
      </c>
      <c r="BW150" s="152" t="n">
        <v>-15.9185535</v>
      </c>
      <c r="BX150" s="152" t="n">
        <v>-47.7744561</v>
      </c>
      <c r="BY150" s="152" t="s">
        <v>2102</v>
      </c>
    </row>
    <row r="151" customFormat="false" ht="13.8" hidden="false" customHeight="false" outlineLevel="0" collapsed="false">
      <c r="A151" s="149" t="n">
        <f aca="false">IF(C151&lt;&gt;"",ROW(A146),"")</f>
        <v>146</v>
      </c>
      <c r="B151" s="150" t="str">
        <f aca="false">HYPERLINK("https://www.google.com/maps/dir/-15.917302,-47.760003/-15.9185784,-47.7764308/data=!4m3!4m2!3e0!5i2")</f>
        <v>https://www.google.com/maps/dir/-15.917302,-47.760003/-15.9185784,-47.7764308/data=!4m3!4m2!3e0!5i2</v>
      </c>
      <c r="C151" s="151" t="s">
        <v>117</v>
      </c>
      <c r="D151" s="152" t="s">
        <v>112</v>
      </c>
      <c r="E151" s="152" t="s">
        <v>113</v>
      </c>
      <c r="F151" s="152" t="s">
        <v>117</v>
      </c>
      <c r="G151" s="152" t="s">
        <v>782</v>
      </c>
      <c r="H151" s="152" t="n">
        <v>63</v>
      </c>
      <c r="I151" s="152" t="s">
        <v>115</v>
      </c>
      <c r="J151" s="152" t="s">
        <v>6</v>
      </c>
      <c r="K151" s="152" t="s">
        <v>2033</v>
      </c>
      <c r="L151" s="152" t="s">
        <v>120</v>
      </c>
      <c r="M151" s="153" t="n">
        <f aca="false">10.93</f>
        <v>10.93</v>
      </c>
      <c r="N151" s="152" t="s">
        <v>1548</v>
      </c>
      <c r="O151" s="152" t="s">
        <v>1549</v>
      </c>
      <c r="P151" s="152" t="s">
        <v>1550</v>
      </c>
      <c r="Q151" s="152" t="s">
        <v>1551</v>
      </c>
      <c r="R151" s="154" t="s">
        <v>2105</v>
      </c>
      <c r="S151" s="154" t="s">
        <v>1553</v>
      </c>
      <c r="T151" s="155" t="s">
        <v>1965</v>
      </c>
      <c r="U151" s="152" t="str">
        <f aca="false">RIGHT(T151,7)</f>
        <v>005/037</v>
      </c>
      <c r="V151" s="152" t="s">
        <v>1555</v>
      </c>
      <c r="W151" s="156" t="n">
        <v>45882</v>
      </c>
      <c r="X151" s="152" t="s">
        <v>1594</v>
      </c>
      <c r="Y151" s="152" t="s">
        <v>2080</v>
      </c>
      <c r="Z151" s="152" t="s">
        <v>1557</v>
      </c>
      <c r="AA151" s="153" t="n">
        <v>4.5</v>
      </c>
      <c r="AB151" s="151" t="s">
        <v>2106</v>
      </c>
      <c r="AC151" s="151" t="s">
        <v>186</v>
      </c>
      <c r="AD151" s="151" t="str">
        <f aca="false">CONCATENATE($C151,$I151,$H151,$N151,$J151,$K151)</f>
        <v>TUBO PEADPEAD63VCAREDESZona02</v>
      </c>
      <c r="AE151" s="153" t="n">
        <f aca="false">IFERROR(INDEX(APOIO_REDES!$A:$W,MATCH($C151&amp;$I151&amp;$H151&amp;$N151&amp;$O151,APOIO_REDES!$W:$W,0),MATCH(AE$5,APOIO_REDES!$5:$5,0)),0)</f>
        <v>1.2</v>
      </c>
      <c r="AF151" s="153" t="n">
        <f aca="false">IFERROR(INDEX(APOIO_REDES!$A:$W,MATCH($C151&amp;$I151&amp;$H151&amp;$N151&amp;$O151,APOIO_REDES!$W:$W,0),MATCH(AF$5,APOIO_REDES!$5:$5,0)),0)</f>
        <v>1.363</v>
      </c>
      <c r="AG151" s="153" t="n">
        <f aca="false">IFERROR(INDEX(APOIO_REDES!$A:$W,MATCH($C151&amp;$I151&amp;$H151&amp;$N151&amp;$O151,APOIO_REDES!$W:$W,0),MATCH(AG$5,APOIO_REDES!$5:$5,0)),0)</f>
        <v>0.65</v>
      </c>
      <c r="AH151" s="153" t="n">
        <f aca="false">IFERROR(INDEX(APOIO_REDES!$A:$W,MATCH($C151&amp;$I151&amp;$H151&amp;$N151&amp;$O151,APOIO_REDES!$W:$W,0),MATCH(AH$5,APOIO_REDES!$5:$5,0)),0)</f>
        <v>0.1</v>
      </c>
      <c r="AI151" s="153" t="n">
        <f aca="false">IFERROR(IF($H151&lt;&gt;"",(((($H151/1000)/2)^2)*PI()*$M151),0),0)</f>
        <v>0.0340714912440325</v>
      </c>
      <c r="AJ151" s="153" t="n">
        <f aca="false">IFERROR(IF(AND($H151&lt;&gt;"",$I151="FoFo",OR($N151="MND",$N151="VCA"),$Q151="LINEAR"),0,IF(AND($H151&lt;&gt;"",$I151="PEAD",$N151="VCA",$Q151="LINEAR"),($H151/1000)+0.3,IF(AND($H151&lt;&gt;"",$I151="PEAD",$N151="MND",$Q151="EMBOQUE"),0,IF(AND($H151&lt;&gt;"",$I151="PVC",$N151="VCA",$Q151="LINEAR"),($H151/1000)+0.2,IF(AND($H151&lt;&gt;"",$I151="PVC",$N151="MND",$Q151="EMBOQUE"),0,IF(AND($H151&lt;&gt;"",$I151="PEAD",$N151="VCA",$Q151="PREDIAL"),0,0)))))),0)</f>
        <v>0.363</v>
      </c>
      <c r="AK151" s="153" t="n">
        <f aca="false">IF(AA151&lt;&gt;"",AA151,0)</f>
        <v>4.5</v>
      </c>
      <c r="AL151" s="153" t="n">
        <f aca="false">IF(AND($N151="MND",$Q151="EMBOQUE"),$M151,IF(AND($N151="VCA",$Q151="LINEAR"),$M151,IF(AND($N151="VCA",$Q151="PREDIAL"),0,0)))</f>
        <v>10.93</v>
      </c>
      <c r="AM151" s="153" t="n">
        <f aca="false">IF(AND($N151="MND",$Q151="EMBOQUE"),$M151,IF(AND($N151="VCA",$Q151="LINEAR"),$M151,IF(AND($N151="VCA",$Q151="PREDIAL"),0,0)))</f>
        <v>10.93</v>
      </c>
      <c r="AN151" s="153" t="n">
        <f aca="false">ROUND(IF(AND($N151="VCA",$M151&lt;&gt;"",$Q151="LINEAR"),$M151/100,IF(AND($N151="MND",$M151&gt;100,$Q151="EMBOQUE"),$M151/100,0)),0)</f>
        <v>0</v>
      </c>
      <c r="AO151" s="153" t="n">
        <f aca="false">IF(AND($N151="MND",$Q151="EMBOQUE"),$AN151*2*2,IF(AND($N151="VCA",$Q151="LINEAR"),$M151*2,IF(AND($N151="VCA",$Q151="PREDIAL"),0,0)))</f>
        <v>21.86</v>
      </c>
      <c r="AP151" s="153" t="n">
        <f aca="false">IFERROR($M151*$AF151*$AG151,0)</f>
        <v>9.6834335</v>
      </c>
      <c r="AQ151" s="153" t="n">
        <f aca="false">IFERROR(IF(AND($N151="VCA",$AH151&gt;0),$M151*$AG151*$AH151,0),0)</f>
        <v>0.71045</v>
      </c>
      <c r="AR151" s="153" t="n">
        <f aca="false">IFERROR(IF(AND($N151="VCA",$AJ151&gt;0),($M151*$AG151*$AJ151)-$AI151,0),0)</f>
        <v>2.54486200875597</v>
      </c>
      <c r="AS151" s="153" t="n">
        <f aca="false">IFERROR(IF(AND($N151="VCA",$AP151&gt;0),$AP151-$AI151-$AQ151-$AR151,0),0)</f>
        <v>6.39405</v>
      </c>
      <c r="AT151" s="153" t="n">
        <f aca="false">IFERROR(IF($N151="VCA",INDEX(APOIO_REDES!$A:$W,MATCH($C151&amp;$I151&amp;$H151&amp;$N151&amp;$O151,APOIO_REDES!$W:$W,0),MATCH(AT$5,APOIO_REDES!$5:$5,0)),0)*$AP151,0)</f>
        <v>0.105358622630014</v>
      </c>
      <c r="AU151" s="153" t="n">
        <f aca="false">IFERROR(IF($N151="VCA",INDEX(APOIO_REDES!$A:$W,MATCH($C151&amp;$I151&amp;$H151&amp;$N151&amp;$O151,APOIO_REDES!$W:$W,0),MATCH(AU$5,APOIO_REDES!$5:$5,0)),0)*$AP151,0)</f>
        <v>0.0841365425589492</v>
      </c>
      <c r="AV151" s="153" t="n">
        <f aca="false">IFERROR(IF($N151="VCA",INDEX(APOIO_REDES!$A:$W,MATCH($C151&amp;$I151&amp;$H151&amp;$N151&amp;$O151,APOIO_REDES!$W:$W,0),MATCH(AV$5,APOIO_REDES!$5:$5,0)),0)*$AP151,0)</f>
        <v>0.0116438369924026</v>
      </c>
      <c r="AW151" s="153" t="n">
        <f aca="false">IFERROR(IF($N151="VCA",INDEX(APOIO_REDES!$A:$W,MATCH($C151&amp;$I151&amp;$H151&amp;$N151&amp;$O151,APOIO_REDES!$W:$W,0),MATCH(AW$5,APOIO_REDES!$5:$5,0)),0)*$AP151,0)</f>
        <v>6.64678378530409</v>
      </c>
      <c r="AX151" s="153" t="n">
        <f aca="false">IFERROR(IF($N151="VCA",INDEX(APOIO_REDES!$A:$W,MATCH($C151&amp;$I151&amp;$H151&amp;$N151&amp;$O151,APOIO_REDES!$W:$W,0),MATCH(AX$5,APOIO_REDES!$5:$5,0)),0)*$AP151,0)</f>
        <v>0.919895942164078</v>
      </c>
      <c r="AY151" s="153" t="n">
        <f aca="false">IFERROR(IF($N151="VCA",INDEX(APOIO_REDES!$A:$W,MATCH($C151&amp;$I151&amp;$H151&amp;$N151&amp;$O151,APOIO_REDES!$W:$W,0),MATCH(AY$5,APOIO_REDES!$5:$5,0)),0)*$AP151,0)</f>
        <v>1.68272982556135</v>
      </c>
      <c r="AZ151" s="153" t="n">
        <f aca="false">IFERROR(IF($N151="VCA",INDEX(APOIO_REDES!$A:$W,MATCH($C151&amp;$I151&amp;$H151&amp;$N151&amp;$O151,APOIO_REDES!$W:$W,0),MATCH(AZ$5,APOIO_REDES!$5:$5,0)),0)*$AP151,0)</f>
        <v>0.23288494478912</v>
      </c>
      <c r="BA151" s="153" t="n">
        <f aca="false">IFERROR(IF(AND($N151="VCA",$Q151="LINEAR"),INDEX(APOIO_REDES!$A:$W,MATCH($C151&amp;$I151&amp;$H151&amp;$N151&amp;$O151,APOIO_REDES!$W:$W,0),MATCH(BA$5,APOIO_REDES!$5:$5,0)),IF(AND($N151="MND",$Q151="EMBOQUE"),INDEX(APOIO_REDES!$A:$W,MATCH($C151&amp;$I151&amp;$H151&amp;$N151&amp;$O151,APOIO_REDES!$W:$W,0),MATCH(BA$5,APOIO_REDES!$5:$5,0)),0))*$M151/10,0)</f>
        <v>0.880930429946999</v>
      </c>
      <c r="BB151" s="153" t="n">
        <f aca="false">IFERROR(IF($N151="VCA",INDEX(APOIO_REDES!$A:$W,MATCH($C151&amp;$I151&amp;$H151&amp;$N151&amp;$O151,APOIO_REDES!$W:$W,0),MATCH(BB$5,APOIO_REDES!$5:$5,0)),0)*($AI151+$AQ151+$AR151),0)</f>
        <v>3.25359403391218</v>
      </c>
      <c r="BC151" s="153" t="n">
        <f aca="false">IFERROR(IF($N151="VCA",INDEX(APOIO_REDES!$A:$W,MATCH($C151&amp;$I151&amp;$H151&amp;$N151&amp;$O151,APOIO_REDES!$W:$W,0),MATCH(BC$5,APOIO_REDES!$5:$5,0)),0)*($AI151+$AQ151+$AR151),0)</f>
        <v>0.0357894660878183</v>
      </c>
      <c r="BD151" s="153" t="n">
        <f aca="false">IF(AND($N151="VCA",$AF151&gt;=1.25,$AF151&lt;1.5),$M151*$AF151*2,0)</f>
        <v>29.79518</v>
      </c>
      <c r="BE151" s="153" t="n">
        <f aca="false">IF(AND($N151="VCA",$AF151&gt;=1.5,$AF151&lt;3),$M151*$AF151*2,0)</f>
        <v>0</v>
      </c>
      <c r="BF151" s="153" t="n">
        <f aca="false">IF(AND($N151="VCA",$AF151&gt;=3),$M151*$AF151*2,0)</f>
        <v>0</v>
      </c>
      <c r="BG151" s="153" t="n">
        <f aca="false">($BB151+$BC151)*$AK151</f>
        <v>14.80222575</v>
      </c>
      <c r="BH151" s="153" t="n">
        <f aca="false">IF(AND($M151&lt;&gt;"",$N151="VCA",$Q151="LINEAR"),($M151*2)/100,IF(AND($M151&lt;&gt;"",$N151="MND",$Q151="EMBOQUE"),($AN151*2)/100,0))</f>
        <v>0.2186</v>
      </c>
      <c r="BI151" s="153" t="n">
        <f aca="false">IF(AND($M151&lt;&gt;"",$N151="VCA",$Q151="LINEAR"),$M151,IF(AND($M151&lt;&gt;"",$N151="MND",$Q151="EMBOQUE"),$AN151*2,0))</f>
        <v>10.93</v>
      </c>
      <c r="BJ151" s="153" t="n">
        <f aca="false">IF(AND($M151&lt;&gt;"",$N151="VCA",$Q151="LINEAR"),($M151*6.8)/100,IF(AND($M151&lt;&gt;"",$N151="MND",$Q151="EMBOQUE"),($AN151*2*6.8)/100,0))</f>
        <v>0.74324</v>
      </c>
      <c r="BK151" s="153" t="n">
        <f aca="false">IF(AND($M151&lt;&gt;"",$N151="VCA",$Q151="LINEAR"),($M151*2.5)/50,IF(AND($M151&lt;&gt;"",$N151="MND",$Q151="EMBOQUE"),($AN151*2*2.5)/50,0))</f>
        <v>0.5465</v>
      </c>
      <c r="BL151" s="157" t="str">
        <f aca="false">K151&amp;J151</f>
        <v>Zona02REDES</v>
      </c>
      <c r="BM151" s="152" t="s">
        <v>2037</v>
      </c>
      <c r="BN151" s="152" t="s">
        <v>1560</v>
      </c>
      <c r="BO151" s="152" t="s">
        <v>1968</v>
      </c>
      <c r="BP151" s="152" t="s">
        <v>2107</v>
      </c>
      <c r="BQ151" s="152" t="s">
        <v>2095</v>
      </c>
      <c r="BR151" s="152" t="s">
        <v>2061</v>
      </c>
      <c r="BS151" s="152" t="n">
        <v>202725.785</v>
      </c>
      <c r="BT151" s="152" t="n">
        <v>8238094.399</v>
      </c>
      <c r="BU151" s="152" t="n">
        <v>202717.105</v>
      </c>
      <c r="BV151" s="152" t="n">
        <v>8238101.045</v>
      </c>
      <c r="BW151" s="152" t="n">
        <v>-15.9185479</v>
      </c>
      <c r="BX151" s="152" t="n">
        <v>-47.7764709</v>
      </c>
      <c r="BY151" s="152" t="s">
        <v>2107</v>
      </c>
    </row>
    <row r="152" customFormat="false" ht="13.8" hidden="false" customHeight="false" outlineLevel="0" collapsed="false">
      <c r="A152" s="149" t="n">
        <f aca="false">IF(C152&lt;&gt;"",ROW(A147),"")</f>
        <v>147</v>
      </c>
      <c r="B152" s="150" t="str">
        <f aca="false">HYPERLINK("https://www.google.com/maps/dir/-15.917302,-47.760003/-15.9184473,-47.7751761/data=!4m3!4m2!3e0!5i0")</f>
        <v>https://www.google.com/maps/dir/-15.917302,-47.760003/-15.9184473,-47.7751761/data=!4m3!4m2!3e0!5i0</v>
      </c>
      <c r="C152" s="151" t="s">
        <v>117</v>
      </c>
      <c r="D152" s="152" t="s">
        <v>112</v>
      </c>
      <c r="E152" s="152" t="s">
        <v>113</v>
      </c>
      <c r="F152" s="152" t="s">
        <v>117</v>
      </c>
      <c r="G152" s="152" t="s">
        <v>782</v>
      </c>
      <c r="H152" s="152" t="n">
        <v>110</v>
      </c>
      <c r="I152" s="152" t="s">
        <v>115</v>
      </c>
      <c r="J152" s="152" t="s">
        <v>6</v>
      </c>
      <c r="K152" s="152" t="s">
        <v>2033</v>
      </c>
      <c r="L152" s="152" t="s">
        <v>120</v>
      </c>
      <c r="M152" s="153" t="n">
        <f aca="false">71.6+0.62</f>
        <v>72.22</v>
      </c>
      <c r="N152" s="152" t="s">
        <v>1548</v>
      </c>
      <c r="O152" s="152" t="s">
        <v>1549</v>
      </c>
      <c r="P152" s="152" t="s">
        <v>1550</v>
      </c>
      <c r="Q152" s="152" t="s">
        <v>1551</v>
      </c>
      <c r="R152" s="154" t="s">
        <v>2108</v>
      </c>
      <c r="S152" s="154" t="s">
        <v>1593</v>
      </c>
      <c r="T152" s="155" t="s">
        <v>1965</v>
      </c>
      <c r="U152" s="152" t="str">
        <f aca="false">RIGHT(T152,7)</f>
        <v>005/037</v>
      </c>
      <c r="V152" s="152" t="s">
        <v>1555</v>
      </c>
      <c r="W152" s="156" t="n">
        <v>45882</v>
      </c>
      <c r="X152" s="152" t="s">
        <v>1594</v>
      </c>
      <c r="Y152" s="152" t="s">
        <v>2063</v>
      </c>
      <c r="Z152" s="152" t="s">
        <v>1557</v>
      </c>
      <c r="AA152" s="153" t="n">
        <v>3</v>
      </c>
      <c r="AB152" s="151" t="s">
        <v>2109</v>
      </c>
      <c r="AC152" s="151" t="s">
        <v>502</v>
      </c>
      <c r="AD152" s="151" t="str">
        <f aca="false">CONCATENATE($C152,$I152,$H152,$N152,$J152,$K152)</f>
        <v>TUBO PEADPEAD110VCAREDESZona02</v>
      </c>
      <c r="AE152" s="153" t="n">
        <f aca="false">IFERROR(INDEX(APOIO_REDES!$A:$W,MATCH($C152&amp;$I152&amp;$H152&amp;$N152&amp;$O152,APOIO_REDES!$W:$W,0),MATCH(AE$5,APOIO_REDES!$5:$5,0)),0)</f>
        <v>1.2</v>
      </c>
      <c r="AF152" s="153" t="n">
        <f aca="false">IFERROR(INDEX(APOIO_REDES!$A:$W,MATCH($C152&amp;$I152&amp;$H152&amp;$N152&amp;$O152,APOIO_REDES!$W:$W,0),MATCH(AF$5,APOIO_REDES!$5:$5,0)),0)</f>
        <v>1.41</v>
      </c>
      <c r="AG152" s="153" t="n">
        <f aca="false">IFERROR(INDEX(APOIO_REDES!$A:$W,MATCH($C152&amp;$I152&amp;$H152&amp;$N152&amp;$O152,APOIO_REDES!$W:$W,0),MATCH(AG$5,APOIO_REDES!$5:$5,0)),0)</f>
        <v>0.75</v>
      </c>
      <c r="AH152" s="153" t="n">
        <f aca="false">IFERROR(INDEX(APOIO_REDES!$A:$W,MATCH($C152&amp;$I152&amp;$H152&amp;$N152&amp;$O152,APOIO_REDES!$W:$W,0),MATCH(AH$5,APOIO_REDES!$5:$5,0)),0)</f>
        <v>0.1</v>
      </c>
      <c r="AI152" s="153" t="n">
        <f aca="false">IFERROR(IF($H152&lt;&gt;"",(((($H152/1000)/2)^2)*PI()*$M152),0),0)</f>
        <v>0.686329609862821</v>
      </c>
      <c r="AJ152" s="153" t="n">
        <f aca="false">IFERROR(IF(AND($H152&lt;&gt;"",$I152="FoFo",OR($N152="MND",$N152="VCA"),$Q152="LINEAR"),0,IF(AND($H152&lt;&gt;"",$I152="PEAD",$N152="VCA",$Q152="LINEAR"),($H152/1000)+0.3,IF(AND($H152&lt;&gt;"",$I152="PEAD",$N152="MND",$Q152="EMBOQUE"),0,IF(AND($H152&lt;&gt;"",$I152="PVC",$N152="VCA",$Q152="LINEAR"),($H152/1000)+0.2,IF(AND($H152&lt;&gt;"",$I152="PVC",$N152="MND",$Q152="EMBOQUE"),0,IF(AND($H152&lt;&gt;"",$I152="PEAD",$N152="VCA",$Q152="PREDIAL"),0,0)))))),0)</f>
        <v>0.41</v>
      </c>
      <c r="AK152" s="153" t="n">
        <f aca="false">IF(AA152&lt;&gt;"",AA152,0)</f>
        <v>3</v>
      </c>
      <c r="AL152" s="153" t="n">
        <f aca="false">IF(AND($N152="MND",$Q152="EMBOQUE"),$M152,IF(AND($N152="VCA",$Q152="LINEAR"),$M152,IF(AND($N152="VCA",$Q152="PREDIAL"),0,0)))</f>
        <v>72.22</v>
      </c>
      <c r="AM152" s="153" t="n">
        <f aca="false">IF(AND($N152="MND",$Q152="EMBOQUE"),$M152,IF(AND($N152="VCA",$Q152="LINEAR"),$M152,IF(AND($N152="VCA",$Q152="PREDIAL"),0,0)))</f>
        <v>72.22</v>
      </c>
      <c r="AN152" s="153" t="n">
        <f aca="false">ROUND(IF(AND($N152="VCA",$M152&lt;&gt;"",$Q152="LINEAR"),$M152/100,IF(AND($N152="MND",$M152&gt;100,$Q152="EMBOQUE"),$M152/100,0)),0)</f>
        <v>1</v>
      </c>
      <c r="AO152" s="153" t="n">
        <f aca="false">IF(AND($N152="MND",$Q152="EMBOQUE"),$AN152*2*2,IF(AND($N152="VCA",$Q152="LINEAR"),$M152*2,IF(AND($N152="VCA",$Q152="PREDIAL"),0,0)))</f>
        <v>144.44</v>
      </c>
      <c r="AP152" s="153" t="n">
        <f aca="false">IFERROR($M152*$AF152*$AG152,0)</f>
        <v>76.37265</v>
      </c>
      <c r="AQ152" s="153" t="n">
        <f aca="false">IFERROR(IF(AND($N152="VCA",$AH152&gt;0),$M152*$AG152*$AH152,0),0)</f>
        <v>5.4165</v>
      </c>
      <c r="AR152" s="153" t="n">
        <f aca="false">IFERROR(IF(AND($N152="VCA",$AJ152&gt;0),($M152*$AG152*$AJ152)-$AI152,0),0)</f>
        <v>21.5213203901372</v>
      </c>
      <c r="AS152" s="153" t="n">
        <f aca="false">IFERROR(IF(AND($N152="VCA",$AP152&gt;0),$AP152-$AI152-$AQ152-$AR152,0),0)</f>
        <v>48.7485</v>
      </c>
      <c r="AT152" s="153" t="n">
        <f aca="false">IFERROR(IF($N152="VCA",INDEX(APOIO_REDES!$A:$W,MATCH($C152&amp;$I152&amp;$H152&amp;$N152&amp;$O152,APOIO_REDES!$W:$W,0),MATCH(AT$5,APOIO_REDES!$5:$5,0)),0)*$AP152,0)</f>
        <v>0.830957037150523</v>
      </c>
      <c r="AU152" s="153" t="n">
        <f aca="false">IFERROR(IF($N152="VCA",INDEX(APOIO_REDES!$A:$W,MATCH($C152&amp;$I152&amp;$H152&amp;$N152&amp;$O152,APOIO_REDES!$W:$W,0),MATCH(AU$5,APOIO_REDES!$5:$5,0)),0)*$AP152,0)</f>
        <v>0.663579784697724</v>
      </c>
      <c r="AV152" s="153" t="n">
        <f aca="false">IFERROR(IF($N152="VCA",INDEX(APOIO_REDES!$A:$W,MATCH($C152&amp;$I152&amp;$H152&amp;$N152&amp;$O152,APOIO_REDES!$W:$W,0),MATCH(AV$5,APOIO_REDES!$5:$5,0)),0)*$AP152,0)</f>
        <v>0.0918342328966083</v>
      </c>
      <c r="AW152" s="153" t="n">
        <f aca="false">IFERROR(IF($N152="VCA",INDEX(APOIO_REDES!$A:$W,MATCH($C152&amp;$I152&amp;$H152&amp;$N152&amp;$O152,APOIO_REDES!$W:$W,0),MATCH(AW$5,APOIO_REDES!$5:$5,0)),0)*$AP152,0)</f>
        <v>52.4227787241689</v>
      </c>
      <c r="AX152" s="153" t="n">
        <f aca="false">IFERROR(IF($N152="VCA",INDEX(APOIO_REDES!$A:$W,MATCH($C152&amp;$I152&amp;$H152&amp;$N152&amp;$O152,APOIO_REDES!$W:$W,0),MATCH(AX$5,APOIO_REDES!$5:$5,0)),0)*$AP152,0)</f>
        <v>7.25516324631314</v>
      </c>
      <c r="AY152" s="153" t="n">
        <f aca="false">IFERROR(IF($N152="VCA",INDEX(APOIO_REDES!$A:$W,MATCH($C152&amp;$I152&amp;$H152&amp;$N152&amp;$O152,APOIO_REDES!$W:$W,0),MATCH(AY$5,APOIO_REDES!$5:$5,0)),0)*$AP152,0)</f>
        <v>13.2715876049707</v>
      </c>
      <c r="AZ152" s="153" t="n">
        <f aca="false">IFERROR(IF($N152="VCA",INDEX(APOIO_REDES!$A:$W,MATCH($C152&amp;$I152&amp;$H152&amp;$N152&amp;$O152,APOIO_REDES!$W:$W,0),MATCH(AZ$5,APOIO_REDES!$5:$5,0)),0)*$AP152,0)</f>
        <v>1.83674936980244</v>
      </c>
      <c r="BA152" s="153" t="n">
        <f aca="false">IFERROR(IF(AND($N152="VCA",$Q152="LINEAR"),INDEX(APOIO_REDES!$A:$W,MATCH($C152&amp;$I152&amp;$H152&amp;$N152&amp;$O152,APOIO_REDES!$W:$W,0),MATCH(BA$5,APOIO_REDES!$5:$5,0)),IF(AND($N152="MND",$Q152="EMBOQUE"),INDEX(APOIO_REDES!$A:$W,MATCH($C152&amp;$I152&amp;$H152&amp;$N152&amp;$O152,APOIO_REDES!$W:$W,0),MATCH(BA$5,APOIO_REDES!$5:$5,0)),0))*$M152/10,0)</f>
        <v>5.82074983081173</v>
      </c>
      <c r="BB152" s="153" t="n">
        <f aca="false">IFERROR(IF($N152="VCA",INDEX(APOIO_REDES!$A:$W,MATCH($C152&amp;$I152&amp;$H152&amp;$N152&amp;$O152,APOIO_REDES!$W:$W,0),MATCH(BB$5,APOIO_REDES!$5:$5,0)),0)*($AI152+$AQ152+$AR152),0)</f>
        <v>27.323591071669</v>
      </c>
      <c r="BC152" s="153" t="n">
        <f aca="false">IFERROR(IF($N152="VCA",INDEX(APOIO_REDES!$A:$W,MATCH($C152&amp;$I152&amp;$H152&amp;$N152&amp;$O152,APOIO_REDES!$W:$W,0),MATCH(BC$5,APOIO_REDES!$5:$5,0)),0)*($AI152+$AQ152+$AR152),0)</f>
        <v>0.30055892833104</v>
      </c>
      <c r="BD152" s="153" t="n">
        <f aca="false">IF(AND($N152="VCA",$AF152&gt;=1.25,$AF152&lt;1.5),$M152*$AF152*2,0)</f>
        <v>203.6604</v>
      </c>
      <c r="BE152" s="153" t="n">
        <f aca="false">IF(AND($N152="VCA",$AF152&gt;=1.5,$AF152&lt;3),$M152*$AF152*2,0)</f>
        <v>0</v>
      </c>
      <c r="BF152" s="153" t="n">
        <f aca="false">IF(AND($N152="VCA",$AF152&gt;=3),$M152*$AF152*2,0)</f>
        <v>0</v>
      </c>
      <c r="BG152" s="153" t="n">
        <f aca="false">($BB152+$BC152)*$AK152</f>
        <v>82.87245</v>
      </c>
      <c r="BH152" s="153" t="n">
        <f aca="false">IF(AND($M152&lt;&gt;"",$N152="VCA",$Q152="LINEAR"),($M152*2)/100,IF(AND($M152&lt;&gt;"",$N152="MND",$Q152="EMBOQUE"),($AN152*2)/100,0))</f>
        <v>1.4444</v>
      </c>
      <c r="BI152" s="153" t="n">
        <f aca="false">IF(AND($M152&lt;&gt;"",$N152="VCA",$Q152="LINEAR"),$M152,IF(AND($M152&lt;&gt;"",$N152="MND",$Q152="EMBOQUE"),$AN152*2,0))</f>
        <v>72.22</v>
      </c>
      <c r="BJ152" s="153" t="n">
        <f aca="false">IF(AND($M152&lt;&gt;"",$N152="VCA",$Q152="LINEAR"),($M152*6.8)/100,IF(AND($M152&lt;&gt;"",$N152="MND",$Q152="EMBOQUE"),($AN152*2*6.8)/100,0))</f>
        <v>4.91096</v>
      </c>
      <c r="BK152" s="153" t="n">
        <f aca="false">IF(AND($M152&lt;&gt;"",$N152="VCA",$Q152="LINEAR"),($M152*2.5)/50,IF(AND($M152&lt;&gt;"",$N152="MND",$Q152="EMBOQUE"),($AN152*2*2.5)/50,0))</f>
        <v>3.611</v>
      </c>
      <c r="BL152" s="157" t="str">
        <f aca="false">K152&amp;J152</f>
        <v>Zona02REDES</v>
      </c>
      <c r="BM152" s="152" t="s">
        <v>2037</v>
      </c>
      <c r="BN152" s="152" t="s">
        <v>1560</v>
      </c>
      <c r="BO152" s="152" t="s">
        <v>1968</v>
      </c>
      <c r="BP152" s="152" t="s">
        <v>2091</v>
      </c>
      <c r="BQ152" s="152" t="s">
        <v>2103</v>
      </c>
      <c r="BR152" s="152" t="s">
        <v>2110</v>
      </c>
      <c r="BS152" s="152" t="n">
        <v>202860.029</v>
      </c>
      <c r="BT152" s="152" t="n">
        <v>8238110.709</v>
      </c>
      <c r="BU152" s="152" t="n">
        <v>202922.213</v>
      </c>
      <c r="BV152" s="152" t="n">
        <v>8238075.243</v>
      </c>
      <c r="BW152" s="152" t="n">
        <v>-15.9186088</v>
      </c>
      <c r="BX152" s="152" t="n">
        <v>-47.7748867</v>
      </c>
      <c r="BY152" s="152" t="s">
        <v>2091</v>
      </c>
    </row>
    <row r="153" customFormat="false" ht="13.8" hidden="false" customHeight="false" outlineLevel="0" collapsed="false">
      <c r="A153" s="149" t="n">
        <f aca="false">IF(C153&lt;&gt;"",ROW(A148),"")</f>
        <v>148</v>
      </c>
      <c r="B153" s="150" t="str">
        <f aca="false">HYPERLINK("https://www.google.com/maps/dir/-15.917302,-47.760003/-15.9188599,-47.7744472/data=!4m3!4m2!3e0!5i0")</f>
        <v>https://www.google.com/maps/dir/-15.917302,-47.760003/-15.9188599,-47.7744472/data=!4m3!4m2!3e0!5i0</v>
      </c>
      <c r="C153" s="151" t="s">
        <v>117</v>
      </c>
      <c r="D153" s="152" t="s">
        <v>112</v>
      </c>
      <c r="E153" s="152" t="s">
        <v>113</v>
      </c>
      <c r="F153" s="152" t="s">
        <v>117</v>
      </c>
      <c r="G153" s="152" t="s">
        <v>782</v>
      </c>
      <c r="H153" s="152" t="n">
        <v>63</v>
      </c>
      <c r="I153" s="152" t="s">
        <v>115</v>
      </c>
      <c r="J153" s="152" t="s">
        <v>6</v>
      </c>
      <c r="K153" s="152" t="s">
        <v>2033</v>
      </c>
      <c r="L153" s="152" t="s">
        <v>120</v>
      </c>
      <c r="M153" s="153" t="n">
        <f aca="false">59.38+4.01</f>
        <v>63.39</v>
      </c>
      <c r="N153" s="152" t="s">
        <v>1548</v>
      </c>
      <c r="O153" s="152" t="s">
        <v>1549</v>
      </c>
      <c r="P153" s="152" t="s">
        <v>1550</v>
      </c>
      <c r="Q153" s="152" t="s">
        <v>1551</v>
      </c>
      <c r="R153" s="154" t="s">
        <v>2111</v>
      </c>
      <c r="S153" s="154" t="s">
        <v>1553</v>
      </c>
      <c r="T153" s="155" t="s">
        <v>1965</v>
      </c>
      <c r="U153" s="152" t="str">
        <f aca="false">RIGHT(T153,7)</f>
        <v>005/037</v>
      </c>
      <c r="V153" s="152" t="s">
        <v>1555</v>
      </c>
      <c r="W153" s="156" t="n">
        <v>45882</v>
      </c>
      <c r="X153" s="152" t="s">
        <v>1594</v>
      </c>
      <c r="Y153" s="152" t="s">
        <v>2063</v>
      </c>
      <c r="Z153" s="152" t="s">
        <v>1557</v>
      </c>
      <c r="AA153" s="153" t="n">
        <v>2.9</v>
      </c>
      <c r="AB153" s="151" t="s">
        <v>2112</v>
      </c>
      <c r="AC153" s="151" t="s">
        <v>186</v>
      </c>
      <c r="AD153" s="151" t="str">
        <f aca="false">CONCATENATE($C153,$I153,$H153,$N153,$J153,$K153)</f>
        <v>TUBO PEADPEAD63VCAREDESZona02</v>
      </c>
      <c r="AE153" s="153" t="n">
        <f aca="false">IFERROR(INDEX(APOIO_REDES!$A:$W,MATCH($C153&amp;$I153&amp;$H153&amp;$N153&amp;$O153,APOIO_REDES!$W:$W,0),MATCH(AE$5,APOIO_REDES!$5:$5,0)),0)</f>
        <v>1.2</v>
      </c>
      <c r="AF153" s="153" t="n">
        <f aca="false">IFERROR(INDEX(APOIO_REDES!$A:$W,MATCH($C153&amp;$I153&amp;$H153&amp;$N153&amp;$O153,APOIO_REDES!$W:$W,0),MATCH(AF$5,APOIO_REDES!$5:$5,0)),0)</f>
        <v>1.363</v>
      </c>
      <c r="AG153" s="153" t="n">
        <f aca="false">IFERROR(INDEX(APOIO_REDES!$A:$W,MATCH($C153&amp;$I153&amp;$H153&amp;$N153&amp;$O153,APOIO_REDES!$W:$W,0),MATCH(AG$5,APOIO_REDES!$5:$5,0)),0)</f>
        <v>0.65</v>
      </c>
      <c r="AH153" s="153" t="n">
        <f aca="false">IFERROR(INDEX(APOIO_REDES!$A:$W,MATCH($C153&amp;$I153&amp;$H153&amp;$N153&amp;$O153,APOIO_REDES!$W:$W,0),MATCH(AH$5,APOIO_REDES!$5:$5,0)),0)</f>
        <v>0.1</v>
      </c>
      <c r="AI153" s="153" t="n">
        <f aca="false">IFERROR(IF($H153&lt;&gt;"",(((($H153/1000)/2)^2)*PI()*$M153),0),0)</f>
        <v>0.197602180234146</v>
      </c>
      <c r="AJ153" s="153" t="n">
        <f aca="false">IFERROR(IF(AND($H153&lt;&gt;"",$I153="FoFo",OR($N153="MND",$N153="VCA"),$Q153="LINEAR"),0,IF(AND($H153&lt;&gt;"",$I153="PEAD",$N153="VCA",$Q153="LINEAR"),($H153/1000)+0.3,IF(AND($H153&lt;&gt;"",$I153="PEAD",$N153="MND",$Q153="EMBOQUE"),0,IF(AND($H153&lt;&gt;"",$I153="PVC",$N153="VCA",$Q153="LINEAR"),($H153/1000)+0.2,IF(AND($H153&lt;&gt;"",$I153="PVC",$N153="MND",$Q153="EMBOQUE"),0,IF(AND($H153&lt;&gt;"",$I153="PEAD",$N153="VCA",$Q153="PREDIAL"),0,0)))))),0)</f>
        <v>0.363</v>
      </c>
      <c r="AK153" s="153" t="n">
        <f aca="false">IF(AA153&lt;&gt;"",AA153,0)</f>
        <v>2.9</v>
      </c>
      <c r="AL153" s="153" t="n">
        <f aca="false">IF(AND($N153="MND",$Q153="EMBOQUE"),$M153,IF(AND($N153="VCA",$Q153="LINEAR"),$M153,IF(AND($N153="VCA",$Q153="PREDIAL"),0,0)))</f>
        <v>63.39</v>
      </c>
      <c r="AM153" s="153" t="n">
        <f aca="false">IF(AND($N153="MND",$Q153="EMBOQUE"),$M153,IF(AND($N153="VCA",$Q153="LINEAR"),$M153,IF(AND($N153="VCA",$Q153="PREDIAL"),0,0)))</f>
        <v>63.39</v>
      </c>
      <c r="AN153" s="153" t="n">
        <f aca="false">ROUND(IF(AND($N153="VCA",$M153&lt;&gt;"",$Q153="LINEAR"),$M153/100,IF(AND($N153="MND",$M153&gt;100,$Q153="EMBOQUE"),$M153/100,0)),0)</f>
        <v>1</v>
      </c>
      <c r="AO153" s="153" t="n">
        <f aca="false">IF(AND($N153="MND",$Q153="EMBOQUE"),$AN153*2*2,IF(AND($N153="VCA",$Q153="LINEAR"),$M153*2,IF(AND($N153="VCA",$Q153="PREDIAL"),0,0)))</f>
        <v>126.78</v>
      </c>
      <c r="AP153" s="153" t="n">
        <f aca="false">IFERROR($M153*$AF153*$AG153,0)</f>
        <v>56.1603705</v>
      </c>
      <c r="AQ153" s="153" t="n">
        <f aca="false">IFERROR(IF(AND($N153="VCA",$AH153&gt;0),$M153*$AG153*$AH153,0),0)</f>
        <v>4.12035</v>
      </c>
      <c r="AR153" s="153" t="n">
        <f aca="false">IFERROR(IF(AND($N153="VCA",$AJ153&gt;0),($M153*$AG153*$AJ153)-$AI153,0),0)</f>
        <v>14.7592683197659</v>
      </c>
      <c r="AS153" s="153" t="n">
        <f aca="false">IFERROR(IF(AND($N153="VCA",$AP153&gt;0),$AP153-$AI153-$AQ153-$AR153,0),0)</f>
        <v>37.08315</v>
      </c>
      <c r="AT153" s="153" t="n">
        <f aca="false">IFERROR(IF($N153="VCA",INDEX(APOIO_REDES!$A:$W,MATCH($C153&amp;$I153&amp;$H153&amp;$N153&amp;$O153,APOIO_REDES!$W:$W,0),MATCH(AT$5,APOIO_REDES!$5:$5,0)),0)*$AP153,0)</f>
        <v>0.611041453661168</v>
      </c>
      <c r="AU153" s="153" t="n">
        <f aca="false">IFERROR(IF($N153="VCA",INDEX(APOIO_REDES!$A:$W,MATCH($C153&amp;$I153&amp;$H153&amp;$N153&amp;$O153,APOIO_REDES!$W:$W,0),MATCH(AU$5,APOIO_REDES!$5:$5,0)),0)*$AP153,0)</f>
        <v>0.487961155792479</v>
      </c>
      <c r="AV153" s="153" t="n">
        <f aca="false">IFERROR(IF($N153="VCA",INDEX(APOIO_REDES!$A:$W,MATCH($C153&amp;$I153&amp;$H153&amp;$N153&amp;$O153,APOIO_REDES!$W:$W,0),MATCH(AV$5,APOIO_REDES!$5:$5,0)),0)*$AP153,0)</f>
        <v>0.0675299933164138</v>
      </c>
      <c r="AW153" s="153" t="n">
        <f aca="false">IFERROR(IF($N153="VCA",INDEX(APOIO_REDES!$A:$W,MATCH($C153&amp;$I153&amp;$H153&amp;$N153&amp;$O153,APOIO_REDES!$W:$W,0),MATCH(AW$5,APOIO_REDES!$5:$5,0)),0)*$AP153,0)</f>
        <v>38.548913462985</v>
      </c>
      <c r="AX153" s="153" t="n">
        <f aca="false">IFERROR(IF($N153="VCA",INDEX(APOIO_REDES!$A:$W,MATCH($C153&amp;$I153&amp;$H153&amp;$N153&amp;$O153,APOIO_REDES!$W:$W,0),MATCH(AX$5,APOIO_REDES!$5:$5,0)),0)*$AP153,0)</f>
        <v>5.33505981461857</v>
      </c>
      <c r="AY153" s="153" t="n">
        <f aca="false">IFERROR(IF($N153="VCA",INDEX(APOIO_REDES!$A:$W,MATCH($C153&amp;$I153&amp;$H153&amp;$N153&amp;$O153,APOIO_REDES!$W:$W,0),MATCH(AY$5,APOIO_REDES!$5:$5,0)),0)*$AP153,0)</f>
        <v>9.75921716764264</v>
      </c>
      <c r="AZ153" s="153" t="n">
        <f aca="false">IFERROR(IF($N153="VCA",INDEX(APOIO_REDES!$A:$W,MATCH($C153&amp;$I153&amp;$H153&amp;$N153&amp;$O153,APOIO_REDES!$W:$W,0),MATCH(AZ$5,APOIO_REDES!$5:$5,0)),0)*$AP153,0)</f>
        <v>1.35064745198374</v>
      </c>
      <c r="BA153" s="153" t="n">
        <f aca="false">IFERROR(IF(AND($N153="VCA",$Q153="LINEAR"),INDEX(APOIO_REDES!$A:$W,MATCH($C153&amp;$I153&amp;$H153&amp;$N153&amp;$O153,APOIO_REDES!$W:$W,0),MATCH(BA$5,APOIO_REDES!$5:$5,0)),IF(AND($N153="MND",$Q153="EMBOQUE"),INDEX(APOIO_REDES!$A:$W,MATCH($C153&amp;$I153&amp;$H153&amp;$N153&amp;$O153,APOIO_REDES!$W:$W,0),MATCH(BA$5,APOIO_REDES!$5:$5,0)),0))*$M153/10,0)</f>
        <v>5.10907410378227</v>
      </c>
      <c r="BB153" s="153" t="n">
        <f aca="false">IFERROR(IF($N153="VCA",INDEX(APOIO_REDES!$A:$W,MATCH($C153&amp;$I153&amp;$H153&amp;$N153&amp;$O153,APOIO_REDES!$W:$W,0),MATCH(BB$5,APOIO_REDES!$5:$5,0)),0)*($AI153+$AQ153+$AR153),0)</f>
        <v>18.869654694391</v>
      </c>
      <c r="BC153" s="153" t="n">
        <f aca="false">IFERROR(IF($N153="VCA",INDEX(APOIO_REDES!$A:$W,MATCH($C153&amp;$I153&amp;$H153&amp;$N153&amp;$O153,APOIO_REDES!$W:$W,0),MATCH(BC$5,APOIO_REDES!$5:$5,0)),0)*($AI153+$AQ153+$AR153),0)</f>
        <v>0.20756580560904</v>
      </c>
      <c r="BD153" s="153" t="n">
        <f aca="false">IF(AND($N153="VCA",$AF153&gt;=1.25,$AF153&lt;1.5),$M153*$AF153*2,0)</f>
        <v>172.80114</v>
      </c>
      <c r="BE153" s="153" t="n">
        <f aca="false">IF(AND($N153="VCA",$AF153&gt;=1.5,$AF153&lt;3),$M153*$AF153*2,0)</f>
        <v>0</v>
      </c>
      <c r="BF153" s="153" t="n">
        <f aca="false">IF(AND($N153="VCA",$AF153&gt;=3),$M153*$AF153*2,0)</f>
        <v>0</v>
      </c>
      <c r="BG153" s="153" t="n">
        <f aca="false">($BB153+$BC153)*$AK153</f>
        <v>55.32393945</v>
      </c>
      <c r="BH153" s="153" t="n">
        <f aca="false">IF(AND($M153&lt;&gt;"",$N153="VCA",$Q153="LINEAR"),($M153*2)/100,IF(AND($M153&lt;&gt;"",$N153="MND",$Q153="EMBOQUE"),($AN153*2)/100,0))</f>
        <v>1.2678</v>
      </c>
      <c r="BI153" s="153" t="n">
        <f aca="false">IF(AND($M153&lt;&gt;"",$N153="VCA",$Q153="LINEAR"),$M153,IF(AND($M153&lt;&gt;"",$N153="MND",$Q153="EMBOQUE"),$AN153*2,0))</f>
        <v>63.39</v>
      </c>
      <c r="BJ153" s="153" t="n">
        <f aca="false">IF(AND($M153&lt;&gt;"",$N153="VCA",$Q153="LINEAR"),($M153*6.8)/100,IF(AND($M153&lt;&gt;"",$N153="MND",$Q153="EMBOQUE"),($AN153*2*6.8)/100,0))</f>
        <v>4.31052</v>
      </c>
      <c r="BK153" s="153" t="n">
        <f aca="false">IF(AND($M153&lt;&gt;"",$N153="VCA",$Q153="LINEAR"),($M153*2.5)/50,IF(AND($M153&lt;&gt;"",$N153="MND",$Q153="EMBOQUE"),($AN153*2*2.5)/50,0))</f>
        <v>3.1695</v>
      </c>
      <c r="BL153" s="157" t="str">
        <f aca="false">K153&amp;J153</f>
        <v>Zona02REDES</v>
      </c>
      <c r="BM153" s="152" t="s">
        <v>2037</v>
      </c>
      <c r="BN153" s="152" t="s">
        <v>1560</v>
      </c>
      <c r="BO153" s="152" t="s">
        <v>1968</v>
      </c>
      <c r="BP153" s="152" t="s">
        <v>2113</v>
      </c>
      <c r="BQ153" s="152" t="s">
        <v>2114</v>
      </c>
      <c r="BR153" s="152" t="s">
        <v>2115</v>
      </c>
      <c r="BS153" s="152" t="n">
        <v>202938.735</v>
      </c>
      <c r="BT153" s="152" t="n">
        <v>8238066.061</v>
      </c>
      <c r="BU153" s="152" t="n">
        <v>202973.813</v>
      </c>
      <c r="BV153" s="152" t="n">
        <v>8238105.768</v>
      </c>
      <c r="BW153" s="152" t="n">
        <v>-15.9186315</v>
      </c>
      <c r="BX153" s="152" t="n">
        <v>-47.7743019</v>
      </c>
      <c r="BY153" s="152" t="s">
        <v>2113</v>
      </c>
    </row>
    <row r="154" customFormat="false" ht="13.8" hidden="false" customHeight="false" outlineLevel="0" collapsed="false">
      <c r="A154" s="149" t="n">
        <f aca="false">IF(C154&lt;&gt;"",ROW(A149),"")</f>
        <v>149</v>
      </c>
      <c r="B154" s="150" t="str">
        <f aca="false">HYPERLINK("https://www.google.com/maps/dir/-15.917302,-47.760003/-15.9186755,-47.7765201/data=!4m3!4m2!3e0!5i2")</f>
        <v>https://www.google.com/maps/dir/-15.917302,-47.760003/-15.9186755,-47.7765201/data=!4m3!4m2!3e0!5i2</v>
      </c>
      <c r="C154" s="151" t="s">
        <v>117</v>
      </c>
      <c r="D154" s="152" t="s">
        <v>112</v>
      </c>
      <c r="E154" s="152" t="s">
        <v>113</v>
      </c>
      <c r="F154" s="152" t="s">
        <v>117</v>
      </c>
      <c r="G154" s="152" t="s">
        <v>782</v>
      </c>
      <c r="H154" s="152" t="n">
        <v>63</v>
      </c>
      <c r="I154" s="152" t="s">
        <v>115</v>
      </c>
      <c r="J154" s="152" t="s">
        <v>6</v>
      </c>
      <c r="K154" s="152" t="s">
        <v>2033</v>
      </c>
      <c r="L154" s="152" t="s">
        <v>120</v>
      </c>
      <c r="M154" s="153" t="n">
        <f aca="false">14.39</f>
        <v>14.39</v>
      </c>
      <c r="N154" s="152" t="s">
        <v>1548</v>
      </c>
      <c r="O154" s="152" t="s">
        <v>1549</v>
      </c>
      <c r="P154" s="152" t="s">
        <v>1550</v>
      </c>
      <c r="Q154" s="152" t="s">
        <v>1551</v>
      </c>
      <c r="R154" s="154" t="s">
        <v>2116</v>
      </c>
      <c r="S154" s="154" t="s">
        <v>1553</v>
      </c>
      <c r="T154" s="155" t="s">
        <v>1965</v>
      </c>
      <c r="U154" s="152" t="str">
        <f aca="false">RIGHT(T154,7)</f>
        <v>005/037</v>
      </c>
      <c r="V154" s="152" t="s">
        <v>1555</v>
      </c>
      <c r="W154" s="156" t="n">
        <v>45882</v>
      </c>
      <c r="X154" s="152" t="s">
        <v>1594</v>
      </c>
      <c r="Y154" s="152" t="s">
        <v>2117</v>
      </c>
      <c r="Z154" s="152" t="s">
        <v>1557</v>
      </c>
      <c r="AA154" s="153" t="n">
        <v>4.4</v>
      </c>
      <c r="AB154" s="151" t="s">
        <v>2118</v>
      </c>
      <c r="AC154" s="151" t="s">
        <v>186</v>
      </c>
      <c r="AD154" s="151" t="str">
        <f aca="false">CONCATENATE($C154,$I154,$H154,$N154,$J154,$K154)</f>
        <v>TUBO PEADPEAD63VCAREDESZona02</v>
      </c>
      <c r="AE154" s="153" t="n">
        <f aca="false">IFERROR(INDEX(APOIO_REDES!$A:$W,MATCH($C154&amp;$I154&amp;$H154&amp;$N154&amp;$O154,APOIO_REDES!$W:$W,0),MATCH(AE$5,APOIO_REDES!$5:$5,0)),0)</f>
        <v>1.2</v>
      </c>
      <c r="AF154" s="153" t="n">
        <f aca="false">IFERROR(INDEX(APOIO_REDES!$A:$W,MATCH($C154&amp;$I154&amp;$H154&amp;$N154&amp;$O154,APOIO_REDES!$W:$W,0),MATCH(AF$5,APOIO_REDES!$5:$5,0)),0)</f>
        <v>1.363</v>
      </c>
      <c r="AG154" s="153" t="n">
        <f aca="false">IFERROR(INDEX(APOIO_REDES!$A:$W,MATCH($C154&amp;$I154&amp;$H154&amp;$N154&amp;$O154,APOIO_REDES!$W:$W,0),MATCH(AG$5,APOIO_REDES!$5:$5,0)),0)</f>
        <v>0.65</v>
      </c>
      <c r="AH154" s="153" t="n">
        <f aca="false">IFERROR(INDEX(APOIO_REDES!$A:$W,MATCH($C154&amp;$I154&amp;$H154&amp;$N154&amp;$O154,APOIO_REDES!$W:$W,0),MATCH(AH$5,APOIO_REDES!$5:$5,0)),0)</f>
        <v>0.1</v>
      </c>
      <c r="AI154" s="153" t="n">
        <f aca="false">IFERROR(IF($H154&lt;&gt;"",(((($H154/1000)/2)^2)*PI()*$M154),0),0)</f>
        <v>0.0448571600184472</v>
      </c>
      <c r="AJ154" s="153" t="n">
        <f aca="false">IFERROR(IF(AND($H154&lt;&gt;"",$I154="FoFo",OR($N154="MND",$N154="VCA"),$Q154="LINEAR"),0,IF(AND($H154&lt;&gt;"",$I154="PEAD",$N154="VCA",$Q154="LINEAR"),($H154/1000)+0.3,IF(AND($H154&lt;&gt;"",$I154="PEAD",$N154="MND",$Q154="EMBOQUE"),0,IF(AND($H154&lt;&gt;"",$I154="PVC",$N154="VCA",$Q154="LINEAR"),($H154/1000)+0.2,IF(AND($H154&lt;&gt;"",$I154="PVC",$N154="MND",$Q154="EMBOQUE"),0,IF(AND($H154&lt;&gt;"",$I154="PEAD",$N154="VCA",$Q154="PREDIAL"),0,0)))))),0)</f>
        <v>0.363</v>
      </c>
      <c r="AK154" s="153" t="n">
        <f aca="false">IF(AA154&lt;&gt;"",AA154,0)</f>
        <v>4.4</v>
      </c>
      <c r="AL154" s="153" t="n">
        <f aca="false">IF(AND($N154="MND",$Q154="EMBOQUE"),$M154,IF(AND($N154="VCA",$Q154="LINEAR"),$M154,IF(AND($N154="VCA",$Q154="PREDIAL"),0,0)))</f>
        <v>14.39</v>
      </c>
      <c r="AM154" s="153" t="n">
        <f aca="false">IF(AND($N154="MND",$Q154="EMBOQUE"),$M154,IF(AND($N154="VCA",$Q154="LINEAR"),$M154,IF(AND($N154="VCA",$Q154="PREDIAL"),0,0)))</f>
        <v>14.39</v>
      </c>
      <c r="AN154" s="153" t="n">
        <f aca="false">ROUND(IF(AND($N154="VCA",$M154&lt;&gt;"",$Q154="LINEAR"),$M154/100,IF(AND($N154="MND",$M154&gt;100,$Q154="EMBOQUE"),$M154/100,0)),0)</f>
        <v>0</v>
      </c>
      <c r="AO154" s="153" t="n">
        <f aca="false">IF(AND($N154="MND",$Q154="EMBOQUE"),$AN154*2*2,IF(AND($N154="VCA",$Q154="LINEAR"),$M154*2,IF(AND($N154="VCA",$Q154="PREDIAL"),0,0)))</f>
        <v>28.78</v>
      </c>
      <c r="AP154" s="153" t="n">
        <f aca="false">IFERROR($M154*$AF154*$AG154,0)</f>
        <v>12.7488205</v>
      </c>
      <c r="AQ154" s="153" t="n">
        <f aca="false">IFERROR(IF(AND($N154="VCA",$AH154&gt;0),$M154*$AG154*$AH154,0),0)</f>
        <v>0.93535</v>
      </c>
      <c r="AR154" s="153" t="n">
        <f aca="false">IFERROR(IF(AND($N154="VCA",$AJ154&gt;0),($M154*$AG154*$AJ154)-$AI154,0),0)</f>
        <v>3.35046333998155</v>
      </c>
      <c r="AS154" s="153" t="n">
        <f aca="false">IFERROR(IF(AND($N154="VCA",$AP154&gt;0),$AP154-$AI154-$AQ154-$AR154,0),0)</f>
        <v>8.41815</v>
      </c>
      <c r="AT154" s="153" t="n">
        <f aca="false">IFERROR(IF($N154="VCA",INDEX(APOIO_REDES!$A:$W,MATCH($C154&amp;$I154&amp;$H154&amp;$N154&amp;$O154,APOIO_REDES!$W:$W,0),MATCH(AT$5,APOIO_REDES!$5:$5,0)),0)*$AP154,0)</f>
        <v>0.138710940498252</v>
      </c>
      <c r="AU154" s="153" t="n">
        <f aca="false">IFERROR(IF($N154="VCA",INDEX(APOIO_REDES!$A:$W,MATCH($C154&amp;$I154&amp;$H154&amp;$N154&amp;$O154,APOIO_REDES!$W:$W,0),MATCH(AU$5,APOIO_REDES!$5:$5,0)),0)*$AP154,0)</f>
        <v>0.1107708003132</v>
      </c>
      <c r="AV154" s="153" t="n">
        <f aca="false">IFERROR(IF($N154="VCA",INDEX(APOIO_REDES!$A:$W,MATCH($C154&amp;$I154&amp;$H154&amp;$N154&amp;$O154,APOIO_REDES!$W:$W,0),MATCH(AV$5,APOIO_REDES!$5:$5,0)),0)*$AP154,0)</f>
        <v>0.0153298091784697</v>
      </c>
      <c r="AW154" s="153" t="n">
        <f aca="false">IFERROR(IF($N154="VCA",INDEX(APOIO_REDES!$A:$W,MATCH($C154&amp;$I154&amp;$H154&amp;$N154&amp;$O154,APOIO_REDES!$W:$W,0),MATCH(AW$5,APOIO_REDES!$5:$5,0)),0)*$AP154,0)</f>
        <v>8.75088917388159</v>
      </c>
      <c r="AX154" s="153" t="n">
        <f aca="false">IFERROR(IF($N154="VCA",INDEX(APOIO_REDES!$A:$W,MATCH($C154&amp;$I154&amp;$H154&amp;$N154&amp;$O154,APOIO_REDES!$W:$W,0),MATCH(AX$5,APOIO_REDES!$5:$5,0)),0)*$AP154,0)</f>
        <v>1.21109813428555</v>
      </c>
      <c r="AY154" s="153" t="n">
        <f aca="false">IFERROR(IF($N154="VCA",INDEX(APOIO_REDES!$A:$W,MATCH($C154&amp;$I154&amp;$H154&amp;$N154&amp;$O154,APOIO_REDES!$W:$W,0),MATCH(AY$5,APOIO_REDES!$5:$5,0)),0)*$AP154,0)</f>
        <v>2.21541465597693</v>
      </c>
      <c r="AZ154" s="153" t="n">
        <f aca="false">IFERROR(IF($N154="VCA",INDEX(APOIO_REDES!$A:$W,MATCH($C154&amp;$I154&amp;$H154&amp;$N154&amp;$O154,APOIO_REDES!$W:$W,0),MATCH(AZ$5,APOIO_REDES!$5:$5,0)),0)*$AP154,0)</f>
        <v>0.306606985866005</v>
      </c>
      <c r="BA154" s="153" t="n">
        <f aca="false">IFERROR(IF(AND($N154="VCA",$Q154="LINEAR"),INDEX(APOIO_REDES!$A:$W,MATCH($C154&amp;$I154&amp;$H154&amp;$N154&amp;$O154,APOIO_REDES!$W:$W,0),MATCH(BA$5,APOIO_REDES!$5:$5,0)),IF(AND($N154="MND",$Q154="EMBOQUE"),INDEX(APOIO_REDES!$A:$W,MATCH($C154&amp;$I154&amp;$H154&amp;$N154&amp;$O154,APOIO_REDES!$W:$W,0),MATCH(BA$5,APOIO_REDES!$5:$5,0)),0))*$M154/10,0)</f>
        <v>1.15979770237304</v>
      </c>
      <c r="BB154" s="153" t="n">
        <f aca="false">IFERROR(IF($N154="VCA",INDEX(APOIO_REDES!$A:$W,MATCH($C154&amp;$I154&amp;$H154&amp;$N154&amp;$O154,APOIO_REDES!$W:$W,0),MATCH(BB$5,APOIO_REDES!$5:$5,0)),0)*($AI154+$AQ154+$AR154),0)</f>
        <v>4.28355152314696</v>
      </c>
      <c r="BC154" s="153" t="n">
        <f aca="false">IFERROR(IF($N154="VCA",INDEX(APOIO_REDES!$A:$W,MATCH($C154&amp;$I154&amp;$H154&amp;$N154&amp;$O154,APOIO_REDES!$W:$W,0),MATCH(BC$5,APOIO_REDES!$5:$5,0)),0)*($AI154+$AQ154+$AR154),0)</f>
        <v>0.047118976853038</v>
      </c>
      <c r="BD154" s="153" t="n">
        <f aca="false">IF(AND($N154="VCA",$AF154&gt;=1.25,$AF154&lt;1.5),$M154*$AF154*2,0)</f>
        <v>39.22714</v>
      </c>
      <c r="BE154" s="153" t="n">
        <f aca="false">IF(AND($N154="VCA",$AF154&gt;=1.5,$AF154&lt;3),$M154*$AF154*2,0)</f>
        <v>0</v>
      </c>
      <c r="BF154" s="153" t="n">
        <f aca="false">IF(AND($N154="VCA",$AF154&gt;=3),$M154*$AF154*2,0)</f>
        <v>0</v>
      </c>
      <c r="BG154" s="153" t="n">
        <f aca="false">($BB154+$BC154)*$AK154</f>
        <v>19.0549502</v>
      </c>
      <c r="BH154" s="153" t="n">
        <f aca="false">IF(AND($M154&lt;&gt;"",$N154="VCA",$Q154="LINEAR"),($M154*2)/100,IF(AND($M154&lt;&gt;"",$N154="MND",$Q154="EMBOQUE"),($AN154*2)/100,0))</f>
        <v>0.2878</v>
      </c>
      <c r="BI154" s="153" t="n">
        <f aca="false">IF(AND($M154&lt;&gt;"",$N154="VCA",$Q154="LINEAR"),$M154,IF(AND($M154&lt;&gt;"",$N154="MND",$Q154="EMBOQUE"),$AN154*2,0))</f>
        <v>14.39</v>
      </c>
      <c r="BJ154" s="153" t="n">
        <f aca="false">IF(AND($M154&lt;&gt;"",$N154="VCA",$Q154="LINEAR"),($M154*6.8)/100,IF(AND($M154&lt;&gt;"",$N154="MND",$Q154="EMBOQUE"),($AN154*2*6.8)/100,0))</f>
        <v>0.97852</v>
      </c>
      <c r="BK154" s="153" t="n">
        <f aca="false">IF(AND($M154&lt;&gt;"",$N154="VCA",$Q154="LINEAR"),($M154*2.5)/50,IF(AND($M154&lt;&gt;"",$N154="MND",$Q154="EMBOQUE"),($AN154*2*2.5)/50,0))</f>
        <v>0.7195</v>
      </c>
      <c r="BL154" s="157" t="str">
        <f aca="false">K154&amp;J154</f>
        <v>Zona02REDES</v>
      </c>
      <c r="BM154" s="152" t="s">
        <v>2037</v>
      </c>
      <c r="BN154" s="152" t="s">
        <v>1560</v>
      </c>
      <c r="BO154" s="152" t="s">
        <v>1968</v>
      </c>
      <c r="BP154" s="152" t="s">
        <v>2119</v>
      </c>
      <c r="BQ154" s="152" t="s">
        <v>2107</v>
      </c>
      <c r="BR154" s="152" t="s">
        <v>2061</v>
      </c>
      <c r="BS154" s="152" t="n">
        <v>202716.365</v>
      </c>
      <c r="BT154" s="152" t="n">
        <v>8238083.524</v>
      </c>
      <c r="BU154" s="152" t="n">
        <v>202725.785</v>
      </c>
      <c r="BV154" s="152" t="n">
        <v>8238094.399</v>
      </c>
      <c r="BW154" s="152" t="n">
        <v>-15.918627</v>
      </c>
      <c r="BX154" s="152" t="n">
        <v>-47.7764755</v>
      </c>
      <c r="BY154" s="152" t="s">
        <v>2119</v>
      </c>
    </row>
    <row r="155" customFormat="false" ht="13.8" hidden="false" customHeight="false" outlineLevel="0" collapsed="false">
      <c r="A155" s="149" t="n">
        <f aca="false">IF(C155&lt;&gt;"",ROW(A150),"")</f>
        <v>150</v>
      </c>
      <c r="B155" s="150" t="str">
        <f aca="false">HYPERLINK("https://www.google.com/maps/dir/-15.917302,-47.760003/-15.9188332,-47.7766651/data=!4m3!4m2!3e0!5i2")</f>
        <v>https://www.google.com/maps/dir/-15.917302,-47.760003/-15.9188332,-47.7766651/data=!4m3!4m2!3e0!5i2</v>
      </c>
      <c r="C155" s="151" t="s">
        <v>117</v>
      </c>
      <c r="D155" s="152" t="s">
        <v>112</v>
      </c>
      <c r="E155" s="152" t="s">
        <v>113</v>
      </c>
      <c r="F155" s="152" t="s">
        <v>117</v>
      </c>
      <c r="G155" s="152" t="s">
        <v>782</v>
      </c>
      <c r="H155" s="152" t="n">
        <v>63</v>
      </c>
      <c r="I155" s="152" t="s">
        <v>115</v>
      </c>
      <c r="J155" s="152" t="s">
        <v>6</v>
      </c>
      <c r="K155" s="152" t="s">
        <v>2033</v>
      </c>
      <c r="L155" s="152" t="s">
        <v>120</v>
      </c>
      <c r="M155" s="153" t="n">
        <f aca="false">23.37</f>
        <v>23.37</v>
      </c>
      <c r="N155" s="152" t="s">
        <v>1548</v>
      </c>
      <c r="O155" s="152" t="s">
        <v>1549</v>
      </c>
      <c r="P155" s="152" t="s">
        <v>1550</v>
      </c>
      <c r="Q155" s="152" t="s">
        <v>1551</v>
      </c>
      <c r="R155" s="154" t="s">
        <v>2120</v>
      </c>
      <c r="S155" s="154" t="s">
        <v>1553</v>
      </c>
      <c r="T155" s="155" t="s">
        <v>1965</v>
      </c>
      <c r="U155" s="152" t="str">
        <f aca="false">RIGHT(T155,7)</f>
        <v>005/037</v>
      </c>
      <c r="V155" s="152" t="s">
        <v>1555</v>
      </c>
      <c r="W155" s="156" t="n">
        <v>45882</v>
      </c>
      <c r="X155" s="152" t="s">
        <v>1594</v>
      </c>
      <c r="Y155" s="152" t="s">
        <v>2117</v>
      </c>
      <c r="Z155" s="152" t="s">
        <v>1557</v>
      </c>
      <c r="AA155" s="153" t="n">
        <v>4.4</v>
      </c>
      <c r="AB155" s="151" t="s">
        <v>2121</v>
      </c>
      <c r="AC155" s="151" t="s">
        <v>186</v>
      </c>
      <c r="AD155" s="151" t="str">
        <f aca="false">CONCATENATE($C155,$I155,$H155,$N155,$J155,$K155)</f>
        <v>TUBO PEADPEAD63VCAREDESZona02</v>
      </c>
      <c r="AE155" s="153" t="n">
        <f aca="false">IFERROR(INDEX(APOIO_REDES!$A:$W,MATCH($C155&amp;$I155&amp;$H155&amp;$N155&amp;$O155,APOIO_REDES!$W:$W,0),MATCH(AE$5,APOIO_REDES!$5:$5,0)),0)</f>
        <v>1.2</v>
      </c>
      <c r="AF155" s="153" t="n">
        <f aca="false">IFERROR(INDEX(APOIO_REDES!$A:$W,MATCH($C155&amp;$I155&amp;$H155&amp;$N155&amp;$O155,APOIO_REDES!$W:$W,0),MATCH(AF$5,APOIO_REDES!$5:$5,0)),0)</f>
        <v>1.363</v>
      </c>
      <c r="AG155" s="153" t="n">
        <f aca="false">IFERROR(INDEX(APOIO_REDES!$A:$W,MATCH($C155&amp;$I155&amp;$H155&amp;$N155&amp;$O155,APOIO_REDES!$W:$W,0),MATCH(AG$5,APOIO_REDES!$5:$5,0)),0)</f>
        <v>0.65</v>
      </c>
      <c r="AH155" s="153" t="n">
        <f aca="false">IFERROR(INDEX(APOIO_REDES!$A:$W,MATCH($C155&amp;$I155&amp;$H155&amp;$N155&amp;$O155,APOIO_REDES!$W:$W,0),MATCH(AH$5,APOIO_REDES!$5:$5,0)),0)</f>
        <v>0.1</v>
      </c>
      <c r="AI155" s="153" t="n">
        <f aca="false">IFERROR(IF($H155&lt;&gt;"",(((($H155/1000)/2)^2)*PI()*$M155),0),0)</f>
        <v>0.0728500229069569</v>
      </c>
      <c r="AJ155" s="153" t="n">
        <f aca="false">IFERROR(IF(AND($H155&lt;&gt;"",$I155="FoFo",OR($N155="MND",$N155="VCA"),$Q155="LINEAR"),0,IF(AND($H155&lt;&gt;"",$I155="PEAD",$N155="VCA",$Q155="LINEAR"),($H155/1000)+0.3,IF(AND($H155&lt;&gt;"",$I155="PEAD",$N155="MND",$Q155="EMBOQUE"),0,IF(AND($H155&lt;&gt;"",$I155="PVC",$N155="VCA",$Q155="LINEAR"),($H155/1000)+0.2,IF(AND($H155&lt;&gt;"",$I155="PVC",$N155="MND",$Q155="EMBOQUE"),0,IF(AND($H155&lt;&gt;"",$I155="PEAD",$N155="VCA",$Q155="PREDIAL"),0,0)))))),0)</f>
        <v>0.363</v>
      </c>
      <c r="AK155" s="153" t="n">
        <f aca="false">IF(AA155&lt;&gt;"",AA155,0)</f>
        <v>4.4</v>
      </c>
      <c r="AL155" s="153" t="n">
        <f aca="false">IF(AND($N155="MND",$Q155="EMBOQUE"),$M155,IF(AND($N155="VCA",$Q155="LINEAR"),$M155,IF(AND($N155="VCA",$Q155="PREDIAL"),0,0)))</f>
        <v>23.37</v>
      </c>
      <c r="AM155" s="153" t="n">
        <f aca="false">IF(AND($N155="MND",$Q155="EMBOQUE"),$M155,IF(AND($N155="VCA",$Q155="LINEAR"),$M155,IF(AND($N155="VCA",$Q155="PREDIAL"),0,0)))</f>
        <v>23.37</v>
      </c>
      <c r="AN155" s="153" t="n">
        <f aca="false">ROUND(IF(AND($N155="VCA",$M155&lt;&gt;"",$Q155="LINEAR"),$M155/100,IF(AND($N155="MND",$M155&gt;100,$Q155="EMBOQUE"),$M155/100,0)),0)</f>
        <v>0</v>
      </c>
      <c r="AO155" s="153" t="n">
        <f aca="false">IF(AND($N155="MND",$Q155="EMBOQUE"),$AN155*2*2,IF(AND($N155="VCA",$Q155="LINEAR"),$M155*2,IF(AND($N155="VCA",$Q155="PREDIAL"),0,0)))</f>
        <v>46.74</v>
      </c>
      <c r="AP155" s="153" t="n">
        <f aca="false">IFERROR($M155*$AF155*$AG155,0)</f>
        <v>20.7046515</v>
      </c>
      <c r="AQ155" s="153" t="n">
        <f aca="false">IFERROR(IF(AND($N155="VCA",$AH155&gt;0),$M155*$AG155*$AH155,0),0)</f>
        <v>1.51905</v>
      </c>
      <c r="AR155" s="153" t="n">
        <f aca="false">IFERROR(IF(AND($N155="VCA",$AJ155&gt;0),($M155*$AG155*$AJ155)-$AI155,0),0)</f>
        <v>5.44130147709304</v>
      </c>
      <c r="AS155" s="153" t="n">
        <f aca="false">IFERROR(IF(AND($N155="VCA",$AP155&gt;0),$AP155-$AI155-$AQ155-$AR155,0),0)</f>
        <v>13.67145</v>
      </c>
      <c r="AT155" s="153" t="n">
        <f aca="false">IFERROR(IF($N155="VCA",INDEX(APOIO_REDES!$A:$W,MATCH($C155&amp;$I155&amp;$H155&amp;$N155&amp;$O155,APOIO_REDES!$W:$W,0),MATCH(AT$5,APOIO_REDES!$5:$5,0)),0)*$AP155,0)</f>
        <v>0.225272736584027</v>
      </c>
      <c r="AU155" s="153" t="n">
        <f aca="false">IFERROR(IF($N155="VCA",INDEX(APOIO_REDES!$A:$W,MATCH($C155&amp;$I155&amp;$H155&amp;$N155&amp;$O155,APOIO_REDES!$W:$W,0),MATCH(AU$5,APOIO_REDES!$5:$5,0)),0)*$AP155,0)</f>
        <v>0.179896706276546</v>
      </c>
      <c r="AV155" s="153" t="n">
        <f aca="false">IFERROR(IF($N155="VCA",INDEX(APOIO_REDES!$A:$W,MATCH($C155&amp;$I155&amp;$H155&amp;$N155&amp;$O155,APOIO_REDES!$W:$W,0),MATCH(AV$5,APOIO_REDES!$5:$5,0)),0)*$AP155,0)</f>
        <v>0.0248962919041582</v>
      </c>
      <c r="AW155" s="153" t="n">
        <f aca="false">IFERROR(IF($N155="VCA",INDEX(APOIO_REDES!$A:$W,MATCH($C155&amp;$I155&amp;$H155&amp;$N155&amp;$O155,APOIO_REDES!$W:$W,0),MATCH(AW$5,APOIO_REDES!$5:$5,0)),0)*$AP155,0)</f>
        <v>14.2118332170683</v>
      </c>
      <c r="AX155" s="153" t="n">
        <f aca="false">IFERROR(IF($N155="VCA",INDEX(APOIO_REDES!$A:$W,MATCH($C155&amp;$I155&amp;$H155&amp;$N155&amp;$O155,APOIO_REDES!$W:$W,0),MATCH(AX$5,APOIO_REDES!$5:$5,0)),0)*$AP155,0)</f>
        <v>1.96687723406903</v>
      </c>
      <c r="AY155" s="153" t="n">
        <f aca="false">IFERROR(IF($N155="VCA",INDEX(APOIO_REDES!$A:$W,MATCH($C155&amp;$I155&amp;$H155&amp;$N155&amp;$O155,APOIO_REDES!$W:$W,0),MATCH(AY$5,APOIO_REDES!$5:$5,0)),0)*$AP155,0)</f>
        <v>3.59793193260464</v>
      </c>
      <c r="AZ155" s="153" t="n">
        <f aca="false">IFERROR(IF($N155="VCA",INDEX(APOIO_REDES!$A:$W,MATCH($C155&amp;$I155&amp;$H155&amp;$N155&amp;$O155,APOIO_REDES!$W:$W,0),MATCH(AZ$5,APOIO_REDES!$5:$5,0)),0)*$AP155,0)</f>
        <v>0.497943381493297</v>
      </c>
      <c r="BA155" s="153" t="n">
        <f aca="false">IFERROR(IF(AND($N155="VCA",$Q155="LINEAR"),INDEX(APOIO_REDES!$A:$W,MATCH($C155&amp;$I155&amp;$H155&amp;$N155&amp;$O155,APOIO_REDES!$W:$W,0),MATCH(BA$5,APOIO_REDES!$5:$5,0)),IF(AND($N155="MND",$Q155="EMBOQUE"),INDEX(APOIO_REDES!$A:$W,MATCH($C155&amp;$I155&amp;$H155&amp;$N155&amp;$O155,APOIO_REDES!$W:$W,0),MATCH(BA$5,APOIO_REDES!$5:$5,0)),0))*$M155/10,0)</f>
        <v>1.88356305103947</v>
      </c>
      <c r="BB155" s="153" t="n">
        <f aca="false">IFERROR(IF($N155="VCA",INDEX(APOIO_REDES!$A:$W,MATCH($C155&amp;$I155&amp;$H155&amp;$N155&amp;$O155,APOIO_REDES!$W:$W,0),MATCH(BB$5,APOIO_REDES!$5:$5,0)),0)*($AI155+$AQ155+$AR155),0)</f>
        <v>6.95667818595862</v>
      </c>
      <c r="BC155" s="153" t="n">
        <f aca="false">IFERROR(IF($N155="VCA",INDEX(APOIO_REDES!$A:$W,MATCH($C155&amp;$I155&amp;$H155&amp;$N155&amp;$O155,APOIO_REDES!$W:$W,0),MATCH(BC$5,APOIO_REDES!$5:$5,0)),0)*($AI155+$AQ155+$AR155),0)</f>
        <v>0.0765233140413828</v>
      </c>
      <c r="BD155" s="153" t="n">
        <f aca="false">IF(AND($N155="VCA",$AF155&gt;=1.25,$AF155&lt;1.5),$M155*$AF155*2,0)</f>
        <v>63.70662</v>
      </c>
      <c r="BE155" s="153" t="n">
        <f aca="false">IF(AND($N155="VCA",$AF155&gt;=1.5,$AF155&lt;3),$M155*$AF155*2,0)</f>
        <v>0</v>
      </c>
      <c r="BF155" s="153" t="n">
        <f aca="false">IF(AND($N155="VCA",$AF155&gt;=3),$M155*$AF155*2,0)</f>
        <v>0</v>
      </c>
      <c r="BG155" s="153" t="n">
        <f aca="false">($BB155+$BC155)*$AK155</f>
        <v>30.9460866</v>
      </c>
      <c r="BH155" s="153" t="n">
        <f aca="false">IF(AND($M155&lt;&gt;"",$N155="VCA",$Q155="LINEAR"),($M155*2)/100,IF(AND($M155&lt;&gt;"",$N155="MND",$Q155="EMBOQUE"),($AN155*2)/100,0))</f>
        <v>0.4674</v>
      </c>
      <c r="BI155" s="153" t="n">
        <f aca="false">IF(AND($M155&lt;&gt;"",$N155="VCA",$Q155="LINEAR"),$M155,IF(AND($M155&lt;&gt;"",$N155="MND",$Q155="EMBOQUE"),$AN155*2,0))</f>
        <v>23.37</v>
      </c>
      <c r="BJ155" s="153" t="n">
        <f aca="false">IF(AND($M155&lt;&gt;"",$N155="VCA",$Q155="LINEAR"),($M155*6.8)/100,IF(AND($M155&lt;&gt;"",$N155="MND",$Q155="EMBOQUE"),($AN155*2*6.8)/100,0))</f>
        <v>1.58916</v>
      </c>
      <c r="BK155" s="153" t="n">
        <f aca="false">IF(AND($M155&lt;&gt;"",$N155="VCA",$Q155="LINEAR"),($M155*2.5)/50,IF(AND($M155&lt;&gt;"",$N155="MND",$Q155="EMBOQUE"),($AN155*2*2.5)/50,0))</f>
        <v>1.1685</v>
      </c>
      <c r="BL155" s="157" t="str">
        <f aca="false">K155&amp;J155</f>
        <v>Zona02REDES</v>
      </c>
      <c r="BM155" s="152" t="s">
        <v>2037</v>
      </c>
      <c r="BN155" s="152" t="s">
        <v>1560</v>
      </c>
      <c r="BO155" s="152" t="s">
        <v>1968</v>
      </c>
      <c r="BP155" s="152" t="s">
        <v>2122</v>
      </c>
      <c r="BQ155" s="152" t="s">
        <v>2119</v>
      </c>
      <c r="BR155" s="152" t="s">
        <v>2061</v>
      </c>
      <c r="BS155" s="152" t="n">
        <v>202701.062</v>
      </c>
      <c r="BT155" s="152" t="n">
        <v>8238065.856</v>
      </c>
      <c r="BU155" s="152" t="n">
        <v>202716.365</v>
      </c>
      <c r="BV155" s="152" t="n">
        <v>8238083.524</v>
      </c>
      <c r="BW155" s="152" t="n">
        <v>-15.9187543</v>
      </c>
      <c r="BX155" s="152" t="n">
        <v>-47.7765926</v>
      </c>
      <c r="BY155" s="152" t="s">
        <v>2122</v>
      </c>
    </row>
    <row r="156" customFormat="false" ht="13.8" hidden="false" customHeight="false" outlineLevel="0" collapsed="false">
      <c r="A156" s="149" t="n">
        <f aca="false">IF(C156&lt;&gt;"",ROW(A151),"")</f>
        <v>151</v>
      </c>
      <c r="B156" s="150" t="str">
        <f aca="false">HYPERLINK("https://www.google.com/maps/dir/-15.917302,-47.760003/-15.9187777,-47.7745952/data=!4m3!4m2!3e0!5i0")</f>
        <v>https://www.google.com/maps/dir/-15.917302,-47.760003/-15.9187777,-47.7745952/data=!4m3!4m2!3e0!5i0</v>
      </c>
      <c r="C156" s="151" t="s">
        <v>117</v>
      </c>
      <c r="D156" s="152" t="s">
        <v>112</v>
      </c>
      <c r="E156" s="152" t="s">
        <v>113</v>
      </c>
      <c r="F156" s="152" t="s">
        <v>117</v>
      </c>
      <c r="G156" s="152" t="s">
        <v>782</v>
      </c>
      <c r="H156" s="152" t="n">
        <v>110</v>
      </c>
      <c r="I156" s="152" t="s">
        <v>115</v>
      </c>
      <c r="J156" s="152" t="s">
        <v>6</v>
      </c>
      <c r="K156" s="152" t="s">
        <v>2033</v>
      </c>
      <c r="L156" s="152" t="s">
        <v>120</v>
      </c>
      <c r="M156" s="153" t="n">
        <f aca="false">18.28</f>
        <v>18.28</v>
      </c>
      <c r="N156" s="152" t="s">
        <v>1548</v>
      </c>
      <c r="O156" s="152" t="s">
        <v>1549</v>
      </c>
      <c r="P156" s="152" t="s">
        <v>1550</v>
      </c>
      <c r="Q156" s="152" t="s">
        <v>1551</v>
      </c>
      <c r="R156" s="154" t="s">
        <v>2123</v>
      </c>
      <c r="S156" s="154" t="s">
        <v>1593</v>
      </c>
      <c r="T156" s="155" t="s">
        <v>1965</v>
      </c>
      <c r="U156" s="152" t="str">
        <f aca="false">RIGHT(T156,7)</f>
        <v>005/037</v>
      </c>
      <c r="V156" s="152" t="s">
        <v>1555</v>
      </c>
      <c r="W156" s="156" t="n">
        <v>45882</v>
      </c>
      <c r="X156" s="152" t="s">
        <v>1594</v>
      </c>
      <c r="Y156" s="152" t="s">
        <v>2063</v>
      </c>
      <c r="Z156" s="152" t="s">
        <v>1557</v>
      </c>
      <c r="AA156" s="153" t="n">
        <v>3</v>
      </c>
      <c r="AB156" s="151" t="s">
        <v>2124</v>
      </c>
      <c r="AC156" s="151" t="s">
        <v>502</v>
      </c>
      <c r="AD156" s="151" t="str">
        <f aca="false">CONCATENATE($C156,$I156,$H156,$N156,$J156,$K156)</f>
        <v>TUBO PEADPEAD110VCAREDESZona02</v>
      </c>
      <c r="AE156" s="153" t="n">
        <f aca="false">IFERROR(INDEX(APOIO_REDES!$A:$W,MATCH($C156&amp;$I156&amp;$H156&amp;$N156&amp;$O156,APOIO_REDES!$W:$W,0),MATCH(AE$5,APOIO_REDES!$5:$5,0)),0)</f>
        <v>1.2</v>
      </c>
      <c r="AF156" s="153" t="n">
        <f aca="false">IFERROR(INDEX(APOIO_REDES!$A:$W,MATCH($C156&amp;$I156&amp;$H156&amp;$N156&amp;$O156,APOIO_REDES!$W:$W,0),MATCH(AF$5,APOIO_REDES!$5:$5,0)),0)</f>
        <v>1.41</v>
      </c>
      <c r="AG156" s="153" t="n">
        <f aca="false">IFERROR(INDEX(APOIO_REDES!$A:$W,MATCH($C156&amp;$I156&amp;$H156&amp;$N156&amp;$O156,APOIO_REDES!$W:$W,0),MATCH(AG$5,APOIO_REDES!$5:$5,0)),0)</f>
        <v>0.75</v>
      </c>
      <c r="AH156" s="153" t="n">
        <f aca="false">IFERROR(INDEX(APOIO_REDES!$A:$W,MATCH($C156&amp;$I156&amp;$H156&amp;$N156&amp;$O156,APOIO_REDES!$W:$W,0),MATCH(AH$5,APOIO_REDES!$5:$5,0)),0)</f>
        <v>0.1</v>
      </c>
      <c r="AI156" s="153" t="n">
        <f aca="false">IFERROR(IF($H156&lt;&gt;"",(((($H156/1000)/2)^2)*PI()*$M156),0),0)</f>
        <v>0.173720648965555</v>
      </c>
      <c r="AJ156" s="153" t="n">
        <f aca="false">IFERROR(IF(AND($H156&lt;&gt;"",$I156="FoFo",OR($N156="MND",$N156="VCA"),$Q156="LINEAR"),0,IF(AND($H156&lt;&gt;"",$I156="PEAD",$N156="VCA",$Q156="LINEAR"),($H156/1000)+0.3,IF(AND($H156&lt;&gt;"",$I156="PEAD",$N156="MND",$Q156="EMBOQUE"),0,IF(AND($H156&lt;&gt;"",$I156="PVC",$N156="VCA",$Q156="LINEAR"),($H156/1000)+0.2,IF(AND($H156&lt;&gt;"",$I156="PVC",$N156="MND",$Q156="EMBOQUE"),0,IF(AND($H156&lt;&gt;"",$I156="PEAD",$N156="VCA",$Q156="PREDIAL"),0,0)))))),0)</f>
        <v>0.41</v>
      </c>
      <c r="AK156" s="153" t="n">
        <f aca="false">IF(AA156&lt;&gt;"",AA156,0)</f>
        <v>3</v>
      </c>
      <c r="AL156" s="153" t="n">
        <f aca="false">IF(AND($N156="MND",$Q156="EMBOQUE"),$M156,IF(AND($N156="VCA",$Q156="LINEAR"),$M156,IF(AND($N156="VCA",$Q156="PREDIAL"),0,0)))</f>
        <v>18.28</v>
      </c>
      <c r="AM156" s="153" t="n">
        <f aca="false">IF(AND($N156="MND",$Q156="EMBOQUE"),$M156,IF(AND($N156="VCA",$Q156="LINEAR"),$M156,IF(AND($N156="VCA",$Q156="PREDIAL"),0,0)))</f>
        <v>18.28</v>
      </c>
      <c r="AN156" s="153" t="n">
        <f aca="false">ROUND(IF(AND($N156="VCA",$M156&lt;&gt;"",$Q156="LINEAR"),$M156/100,IF(AND($N156="MND",$M156&gt;100,$Q156="EMBOQUE"),$M156/100,0)),0)</f>
        <v>0</v>
      </c>
      <c r="AO156" s="153" t="n">
        <f aca="false">IF(AND($N156="MND",$Q156="EMBOQUE"),$AN156*2*2,IF(AND($N156="VCA",$Q156="LINEAR"),$M156*2,IF(AND($N156="VCA",$Q156="PREDIAL"),0,0)))</f>
        <v>36.56</v>
      </c>
      <c r="AP156" s="153" t="n">
        <f aca="false">IFERROR($M156*$AF156*$AG156,0)</f>
        <v>19.3311</v>
      </c>
      <c r="AQ156" s="153" t="n">
        <f aca="false">IFERROR(IF(AND($N156="VCA",$AH156&gt;0),$M156*$AG156*$AH156,0),0)</f>
        <v>1.371</v>
      </c>
      <c r="AR156" s="153" t="n">
        <f aca="false">IFERROR(IF(AND($N156="VCA",$AJ156&gt;0),($M156*$AG156*$AJ156)-$AI156,0),0)</f>
        <v>5.44737935103445</v>
      </c>
      <c r="AS156" s="153" t="n">
        <f aca="false">IFERROR(IF(AND($N156="VCA",$AP156&gt;0),$AP156-$AI156-$AQ156-$AR156,0),0)</f>
        <v>12.339</v>
      </c>
      <c r="AT156" s="153" t="n">
        <f aca="false">IFERROR(IF($N156="VCA",INDEX(APOIO_REDES!$A:$W,MATCH($C156&amp;$I156&amp;$H156&amp;$N156&amp;$O156,APOIO_REDES!$W:$W,0),MATCH(AT$5,APOIO_REDES!$5:$5,0)),0)*$AP156,0)</f>
        <v>0.210328089713536</v>
      </c>
      <c r="AU156" s="153" t="n">
        <f aca="false">IFERROR(IF($N156="VCA",INDEX(APOIO_REDES!$A:$W,MATCH($C156&amp;$I156&amp;$H156&amp;$N156&amp;$O156,APOIO_REDES!$W:$W,0),MATCH(AU$5,APOIO_REDES!$5:$5,0)),0)*$AP156,0)</f>
        <v>0.167962316038139</v>
      </c>
      <c r="AV156" s="153" t="n">
        <f aca="false">IFERROR(IF($N156="VCA",INDEX(APOIO_REDES!$A:$W,MATCH($C156&amp;$I156&amp;$H156&amp;$N156&amp;$O156,APOIO_REDES!$W:$W,0),MATCH(AV$5,APOIO_REDES!$5:$5,0)),0)*$AP156,0)</f>
        <v>0.0232446659837995</v>
      </c>
      <c r="AW156" s="153" t="n">
        <f aca="false">IFERROR(IF($N156="VCA",INDEX(APOIO_REDES!$A:$W,MATCH($C156&amp;$I156&amp;$H156&amp;$N156&amp;$O156,APOIO_REDES!$W:$W,0),MATCH(AW$5,APOIO_REDES!$5:$5,0)),0)*$AP156,0)</f>
        <v>13.2690168246719</v>
      </c>
      <c r="AX156" s="153" t="n">
        <f aca="false">IFERROR(IF($N156="VCA",INDEX(APOIO_REDES!$A:$W,MATCH($C156&amp;$I156&amp;$H156&amp;$N156&amp;$O156,APOIO_REDES!$W:$W,0),MATCH(AX$5,APOIO_REDES!$5:$5,0)),0)*$AP156,0)</f>
        <v>1.8363941310247</v>
      </c>
      <c r="AY156" s="153" t="n">
        <f aca="false">IFERROR(IF($N156="VCA",INDEX(APOIO_REDES!$A:$W,MATCH($C156&amp;$I156&amp;$H156&amp;$N156&amp;$O156,APOIO_REDES!$W:$W,0),MATCH(AY$5,APOIO_REDES!$5:$5,0)),0)*$AP156,0)</f>
        <v>3.35924427331576</v>
      </c>
      <c r="AZ156" s="153" t="n">
        <f aca="false">IFERROR(IF($N156="VCA",INDEX(APOIO_REDES!$A:$W,MATCH($C156&amp;$I156&amp;$H156&amp;$N156&amp;$O156,APOIO_REDES!$W:$W,0),MATCH(AZ$5,APOIO_REDES!$5:$5,0)),0)*$AP156,0)</f>
        <v>0.464909699252126</v>
      </c>
      <c r="BA156" s="153" t="n">
        <f aca="false">IFERROR(IF(AND($N156="VCA",$Q156="LINEAR"),INDEX(APOIO_REDES!$A:$W,MATCH($C156&amp;$I156&amp;$H156&amp;$N156&amp;$O156,APOIO_REDES!$W:$W,0),MATCH(BA$5,APOIO_REDES!$5:$5,0)),IF(AND($N156="MND",$Q156="EMBOQUE"),INDEX(APOIO_REDES!$A:$W,MATCH($C156&amp;$I156&amp;$H156&amp;$N156&amp;$O156,APOIO_REDES!$W:$W,0),MATCH(BA$5,APOIO_REDES!$5:$5,0)),0))*$M156/10,0)</f>
        <v>1.47332189015838</v>
      </c>
      <c r="BB156" s="153" t="n">
        <f aca="false">IFERROR(IF($N156="VCA",INDEX(APOIO_REDES!$A:$W,MATCH($C156&amp;$I156&amp;$H156&amp;$N156&amp;$O156,APOIO_REDES!$W:$W,0),MATCH(BB$5,APOIO_REDES!$5:$5,0)),0)*($AI156+$AQ156+$AR156),0)</f>
        <v>6.91602388244404</v>
      </c>
      <c r="BC156" s="153" t="n">
        <f aca="false">IFERROR(IF($N156="VCA",INDEX(APOIO_REDES!$A:$W,MATCH($C156&amp;$I156&amp;$H156&amp;$N156&amp;$O156,APOIO_REDES!$W:$W,0),MATCH(BC$5,APOIO_REDES!$5:$5,0)),0)*($AI156+$AQ156+$AR156),0)</f>
        <v>0.0760761175559598</v>
      </c>
      <c r="BD156" s="153" t="n">
        <f aca="false">IF(AND($N156="VCA",$AF156&gt;=1.25,$AF156&lt;1.5),$M156*$AF156*2,0)</f>
        <v>51.5496</v>
      </c>
      <c r="BE156" s="153" t="n">
        <f aca="false">IF(AND($N156="VCA",$AF156&gt;=1.5,$AF156&lt;3),$M156*$AF156*2,0)</f>
        <v>0</v>
      </c>
      <c r="BF156" s="153" t="n">
        <f aca="false">IF(AND($N156="VCA",$AF156&gt;=3),$M156*$AF156*2,0)</f>
        <v>0</v>
      </c>
      <c r="BG156" s="153" t="n">
        <f aca="false">($BB156+$BC156)*$AK156</f>
        <v>20.9763</v>
      </c>
      <c r="BH156" s="153" t="n">
        <f aca="false">IF(AND($M156&lt;&gt;"",$N156="VCA",$Q156="LINEAR"),($M156*2)/100,IF(AND($M156&lt;&gt;"",$N156="MND",$Q156="EMBOQUE"),($AN156*2)/100,0))</f>
        <v>0.3656</v>
      </c>
      <c r="BI156" s="153" t="n">
        <f aca="false">IF(AND($M156&lt;&gt;"",$N156="VCA",$Q156="LINEAR"),$M156,IF(AND($M156&lt;&gt;"",$N156="MND",$Q156="EMBOQUE"),$AN156*2,0))</f>
        <v>18.28</v>
      </c>
      <c r="BJ156" s="153" t="n">
        <f aca="false">IF(AND($M156&lt;&gt;"",$N156="VCA",$Q156="LINEAR"),($M156*6.8)/100,IF(AND($M156&lt;&gt;"",$N156="MND",$Q156="EMBOQUE"),($AN156*2*6.8)/100,0))</f>
        <v>1.24304</v>
      </c>
      <c r="BK156" s="153" t="n">
        <f aca="false">IF(AND($M156&lt;&gt;"",$N156="VCA",$Q156="LINEAR"),($M156*2.5)/50,IF(AND($M156&lt;&gt;"",$N156="MND",$Q156="EMBOQUE"),($AN156*2*2.5)/50,0))</f>
        <v>0.914</v>
      </c>
      <c r="BL156" s="157" t="str">
        <f aca="false">K156&amp;J156</f>
        <v>Zona02REDES</v>
      </c>
      <c r="BM156" s="152" t="s">
        <v>2037</v>
      </c>
      <c r="BN156" s="152" t="s">
        <v>1560</v>
      </c>
      <c r="BO156" s="152" t="s">
        <v>1968</v>
      </c>
      <c r="BP156" s="152" t="s">
        <v>2103</v>
      </c>
      <c r="BQ156" s="152" t="s">
        <v>2113</v>
      </c>
      <c r="BR156" s="152" t="s">
        <v>2125</v>
      </c>
      <c r="BS156" s="152" t="n">
        <v>202922.753</v>
      </c>
      <c r="BT156" s="152" t="n">
        <v>8238074.943</v>
      </c>
      <c r="BU156" s="152" t="n">
        <v>202938.735</v>
      </c>
      <c r="BV156" s="152" t="n">
        <v>8238066.061</v>
      </c>
      <c r="BW156" s="152" t="n">
        <v>-15.9188188</v>
      </c>
      <c r="BX156" s="152" t="n">
        <v>-47.7745212</v>
      </c>
      <c r="BY156" s="152" t="s">
        <v>2103</v>
      </c>
    </row>
    <row r="157" customFormat="false" ht="13.8" hidden="false" customHeight="false" outlineLevel="0" collapsed="false">
      <c r="A157" s="149" t="n">
        <f aca="false">IF(C157&lt;&gt;"",ROW(A152),"")</f>
        <v>152</v>
      </c>
      <c r="B157" s="150" t="str">
        <f aca="false">HYPERLINK("https://www.google.com/maps/dir/-15.917302,-47.760003/-15.9191130,-47.7739886/data=!4m3!4m2!3e0!5i0")</f>
        <v>https://www.google.com/maps/dir/-15.917302,-47.760003/-15.9191130,-47.7739886/data=!4m3!4m2!3e0!5i0</v>
      </c>
      <c r="C157" s="151" t="s">
        <v>117</v>
      </c>
      <c r="D157" s="152" t="s">
        <v>112</v>
      </c>
      <c r="E157" s="152" t="s">
        <v>113</v>
      </c>
      <c r="F157" s="152" t="s">
        <v>117</v>
      </c>
      <c r="G157" s="152" t="s">
        <v>782</v>
      </c>
      <c r="H157" s="152" t="n">
        <v>63</v>
      </c>
      <c r="I157" s="152" t="s">
        <v>115</v>
      </c>
      <c r="J157" s="152" t="s">
        <v>6</v>
      </c>
      <c r="K157" s="152" t="s">
        <v>2033</v>
      </c>
      <c r="L157" s="152" t="s">
        <v>120</v>
      </c>
      <c r="M157" s="153" t="n">
        <f aca="false">53.69+3.94</f>
        <v>57.63</v>
      </c>
      <c r="N157" s="152" t="s">
        <v>1548</v>
      </c>
      <c r="O157" s="152" t="s">
        <v>1549</v>
      </c>
      <c r="P157" s="152" t="s">
        <v>1550</v>
      </c>
      <c r="Q157" s="152" t="s">
        <v>1551</v>
      </c>
      <c r="R157" s="154" t="s">
        <v>2126</v>
      </c>
      <c r="S157" s="154" t="s">
        <v>1553</v>
      </c>
      <c r="T157" s="155" t="s">
        <v>1965</v>
      </c>
      <c r="U157" s="152" t="str">
        <f aca="false">RIGHT(T157,7)</f>
        <v>005/037</v>
      </c>
      <c r="V157" s="152" t="s">
        <v>1555</v>
      </c>
      <c r="W157" s="156" t="n">
        <v>45882</v>
      </c>
      <c r="X157" s="152" t="s">
        <v>1594</v>
      </c>
      <c r="Y157" s="152" t="s">
        <v>2063</v>
      </c>
      <c r="Z157" s="152" t="s">
        <v>1557</v>
      </c>
      <c r="AA157" s="153" t="n">
        <v>2.9</v>
      </c>
      <c r="AB157" s="151" t="s">
        <v>2127</v>
      </c>
      <c r="AC157" s="151" t="s">
        <v>186</v>
      </c>
      <c r="AD157" s="151" t="str">
        <f aca="false">CONCATENATE($C157,$I157,$H157,$N157,$J157,$K157)</f>
        <v>TUBO PEADPEAD63VCAREDESZona02</v>
      </c>
      <c r="AE157" s="153" t="n">
        <f aca="false">IFERROR(INDEX(APOIO_REDES!$A:$W,MATCH($C157&amp;$I157&amp;$H157&amp;$N157&amp;$O157,APOIO_REDES!$W:$W,0),MATCH(AE$5,APOIO_REDES!$5:$5,0)),0)</f>
        <v>1.2</v>
      </c>
      <c r="AF157" s="153" t="n">
        <f aca="false">IFERROR(INDEX(APOIO_REDES!$A:$W,MATCH($C157&amp;$I157&amp;$H157&amp;$N157&amp;$O157,APOIO_REDES!$W:$W,0),MATCH(AF$5,APOIO_REDES!$5:$5,0)),0)</f>
        <v>1.363</v>
      </c>
      <c r="AG157" s="153" t="n">
        <f aca="false">IFERROR(INDEX(APOIO_REDES!$A:$W,MATCH($C157&amp;$I157&amp;$H157&amp;$N157&amp;$O157,APOIO_REDES!$W:$W,0),MATCH(AG$5,APOIO_REDES!$5:$5,0)),0)</f>
        <v>0.65</v>
      </c>
      <c r="AH157" s="153" t="n">
        <f aca="false">IFERROR(INDEX(APOIO_REDES!$A:$W,MATCH($C157&amp;$I157&amp;$H157&amp;$N157&amp;$O157,APOIO_REDES!$W:$W,0),MATCH(AH$5,APOIO_REDES!$5:$5,0)),0)</f>
        <v>0.1</v>
      </c>
      <c r="AI157" s="153" t="n">
        <f aca="false">IFERROR(IF($H157&lt;&gt;"",(((($H157/1000)/2)^2)*PI()*$M157),0),0)</f>
        <v>0.179646847245525</v>
      </c>
      <c r="AJ157" s="153" t="n">
        <f aca="false">IFERROR(IF(AND($H157&lt;&gt;"",$I157="FoFo",OR($N157="MND",$N157="VCA"),$Q157="LINEAR"),0,IF(AND($H157&lt;&gt;"",$I157="PEAD",$N157="VCA",$Q157="LINEAR"),($H157/1000)+0.3,IF(AND($H157&lt;&gt;"",$I157="PEAD",$N157="MND",$Q157="EMBOQUE"),0,IF(AND($H157&lt;&gt;"",$I157="PVC",$N157="VCA",$Q157="LINEAR"),($H157/1000)+0.2,IF(AND($H157&lt;&gt;"",$I157="PVC",$N157="MND",$Q157="EMBOQUE"),0,IF(AND($H157&lt;&gt;"",$I157="PEAD",$N157="VCA",$Q157="PREDIAL"),0,0)))))),0)</f>
        <v>0.363</v>
      </c>
      <c r="AK157" s="153" t="n">
        <f aca="false">IF(AA157&lt;&gt;"",AA157,0)</f>
        <v>2.9</v>
      </c>
      <c r="AL157" s="153" t="n">
        <f aca="false">IF(AND($N157="MND",$Q157="EMBOQUE"),$M157,IF(AND($N157="VCA",$Q157="LINEAR"),$M157,IF(AND($N157="VCA",$Q157="PREDIAL"),0,0)))</f>
        <v>57.63</v>
      </c>
      <c r="AM157" s="153" t="n">
        <f aca="false">IF(AND($N157="MND",$Q157="EMBOQUE"),$M157,IF(AND($N157="VCA",$Q157="LINEAR"),$M157,IF(AND($N157="VCA",$Q157="PREDIAL"),0,0)))</f>
        <v>57.63</v>
      </c>
      <c r="AN157" s="153" t="n">
        <f aca="false">ROUND(IF(AND($N157="VCA",$M157&lt;&gt;"",$Q157="LINEAR"),$M157/100,IF(AND($N157="MND",$M157&gt;100,$Q157="EMBOQUE"),$M157/100,0)),0)</f>
        <v>1</v>
      </c>
      <c r="AO157" s="153" t="n">
        <f aca="false">IF(AND($N157="MND",$Q157="EMBOQUE"),$AN157*2*2,IF(AND($N157="VCA",$Q157="LINEAR"),$M157*2,IF(AND($N157="VCA",$Q157="PREDIAL"),0,0)))</f>
        <v>115.26</v>
      </c>
      <c r="AP157" s="153" t="n">
        <f aca="false">IFERROR($M157*$AF157*$AG157,0)</f>
        <v>51.0572985</v>
      </c>
      <c r="AQ157" s="153" t="n">
        <f aca="false">IFERROR(IF(AND($N157="VCA",$AH157&gt;0),$M157*$AG157*$AH157,0),0)</f>
        <v>3.74595</v>
      </c>
      <c r="AR157" s="153" t="n">
        <f aca="false">IFERROR(IF(AND($N157="VCA",$AJ157&gt;0),($M157*$AG157*$AJ157)-$AI157,0),0)</f>
        <v>13.4181516527545</v>
      </c>
      <c r="AS157" s="153" t="n">
        <f aca="false">IFERROR(IF(AND($N157="VCA",$AP157&gt;0),$AP157-$AI157-$AQ157-$AR157,0),0)</f>
        <v>33.71355</v>
      </c>
      <c r="AT157" s="153" t="n">
        <f aca="false">IFERROR(IF($N157="VCA",INDEX(APOIO_REDES!$A:$W,MATCH($C157&amp;$I157&amp;$H157&amp;$N157&amp;$O157,APOIO_REDES!$W:$W,0),MATCH(AT$5,APOIO_REDES!$5:$5,0)),0)*$AP157,0)</f>
        <v>0.555518519868956</v>
      </c>
      <c r="AU157" s="153" t="n">
        <f aca="false">IFERROR(IF($N157="VCA",INDEX(APOIO_REDES!$A:$W,MATCH($C157&amp;$I157&amp;$H157&amp;$N157&amp;$O157,APOIO_REDES!$W:$W,0),MATCH(AU$5,APOIO_REDES!$5:$5,0)),0)*$AP157,0)</f>
        <v>0.443622044617772</v>
      </c>
      <c r="AV157" s="153" t="n">
        <f aca="false">IFERROR(IF($N157="VCA",INDEX(APOIO_REDES!$A:$W,MATCH($C157&amp;$I157&amp;$H157&amp;$N157&amp;$O157,APOIO_REDES!$W:$W,0),MATCH(AV$5,APOIO_REDES!$5:$5,0)),0)*$AP157,0)</f>
        <v>0.0613938084055045</v>
      </c>
      <c r="AW157" s="153" t="n">
        <f aca="false">IFERROR(IF($N157="VCA",INDEX(APOIO_REDES!$A:$W,MATCH($C157&amp;$I157&amp;$H157&amp;$N157&amp;$O157,APOIO_REDES!$W:$W,0),MATCH(AW$5,APOIO_REDES!$5:$5,0)),0)*$AP157,0)</f>
        <v>35.0461253016537</v>
      </c>
      <c r="AX157" s="153" t="n">
        <f aca="false">IFERROR(IF($N157="VCA",INDEX(APOIO_REDES!$A:$W,MATCH($C157&amp;$I157&amp;$H157&amp;$N157&amp;$O157,APOIO_REDES!$W:$W,0),MATCH(AX$5,APOIO_REDES!$5:$5,0)),0)*$AP157,0)</f>
        <v>4.85028391097126</v>
      </c>
      <c r="AY157" s="153" t="n">
        <f aca="false">IFERROR(IF($N157="VCA",INDEX(APOIO_REDES!$A:$W,MATCH($C157&amp;$I157&amp;$H157&amp;$N157&amp;$O157,APOIO_REDES!$W:$W,0),MATCH(AY$5,APOIO_REDES!$5:$5,0)),0)*$AP157,0)</f>
        <v>8.87243548463867</v>
      </c>
      <c r="AZ157" s="153" t="n">
        <f aca="false">IFERROR(IF($N157="VCA",INDEX(APOIO_REDES!$A:$W,MATCH($C157&amp;$I157&amp;$H157&amp;$N157&amp;$O157,APOIO_REDES!$W:$W,0),MATCH(AZ$5,APOIO_REDES!$5:$5,0)),0)*$AP157,0)</f>
        <v>1.22791942984419</v>
      </c>
      <c r="BA157" s="153" t="n">
        <f aca="false">IFERROR(IF(AND($N157="VCA",$Q157="LINEAR"),INDEX(APOIO_REDES!$A:$W,MATCH($C157&amp;$I157&amp;$H157&amp;$N157&amp;$O157,APOIO_REDES!$W:$W,0),MATCH(BA$5,APOIO_REDES!$5:$5,0)),IF(AND($N157="MND",$Q157="EMBOQUE"),INDEX(APOIO_REDES!$A:$W,MATCH($C157&amp;$I157&amp;$H157&amp;$N157&amp;$O157,APOIO_REDES!$W:$W,0),MATCH(BA$5,APOIO_REDES!$5:$5,0)),0))*$M157/10,0)</f>
        <v>4.64483263292274</v>
      </c>
      <c r="BB157" s="153" t="n">
        <f aca="false">IFERROR(IF($N157="VCA",INDEX(APOIO_REDES!$A:$W,MATCH($C157&amp;$I157&amp;$H157&amp;$N157&amp;$O157,APOIO_REDES!$W:$W,0),MATCH(BB$5,APOIO_REDES!$5:$5,0)),0)*($AI157+$AQ157+$AR157),0)</f>
        <v>17.1550433828325</v>
      </c>
      <c r="BC157" s="153" t="n">
        <f aca="false">IFERROR(IF($N157="VCA",INDEX(APOIO_REDES!$A:$W,MATCH($C157&amp;$I157&amp;$H157&amp;$N157&amp;$O157,APOIO_REDES!$W:$W,0),MATCH(BC$5,APOIO_REDES!$5:$5,0)),0)*($AI157+$AQ157+$AR157),0)</f>
        <v>0.188705117167518</v>
      </c>
      <c r="BD157" s="153" t="n">
        <f aca="false">IF(AND($N157="VCA",$AF157&gt;=1.25,$AF157&lt;1.5),$M157*$AF157*2,0)</f>
        <v>157.09938</v>
      </c>
      <c r="BE157" s="153" t="n">
        <f aca="false">IF(AND($N157="VCA",$AF157&gt;=1.5,$AF157&lt;3),$M157*$AF157*2,0)</f>
        <v>0</v>
      </c>
      <c r="BF157" s="153" t="n">
        <f aca="false">IF(AND($N157="VCA",$AF157&gt;=3),$M157*$AF157*2,0)</f>
        <v>0</v>
      </c>
      <c r="BG157" s="153" t="n">
        <f aca="false">($BB157+$BC157)*$AK157</f>
        <v>50.29687065</v>
      </c>
      <c r="BH157" s="153" t="n">
        <f aca="false">IF(AND($M157&lt;&gt;"",$N157="VCA",$Q157="LINEAR"),($M157*2)/100,IF(AND($M157&lt;&gt;"",$N157="MND",$Q157="EMBOQUE"),($AN157*2)/100,0))</f>
        <v>1.1526</v>
      </c>
      <c r="BI157" s="153" t="n">
        <f aca="false">IF(AND($M157&lt;&gt;"",$N157="VCA",$Q157="LINEAR"),$M157,IF(AND($M157&lt;&gt;"",$N157="MND",$Q157="EMBOQUE"),$AN157*2,0))</f>
        <v>57.63</v>
      </c>
      <c r="BJ157" s="153" t="n">
        <f aca="false">IF(AND($M157&lt;&gt;"",$N157="VCA",$Q157="LINEAR"),($M157*6.8)/100,IF(AND($M157&lt;&gt;"",$N157="MND",$Q157="EMBOQUE"),($AN157*2*6.8)/100,0))</f>
        <v>3.91884</v>
      </c>
      <c r="BK157" s="153" t="n">
        <f aca="false">IF(AND($M157&lt;&gt;"",$N157="VCA",$Q157="LINEAR"),($M157*2.5)/50,IF(AND($M157&lt;&gt;"",$N157="MND",$Q157="EMBOQUE"),($AN157*2*2.5)/50,0))</f>
        <v>2.8815</v>
      </c>
      <c r="BL157" s="157" t="str">
        <f aca="false">K157&amp;J157</f>
        <v>Zona02REDES</v>
      </c>
      <c r="BM157" s="152" t="s">
        <v>2037</v>
      </c>
      <c r="BN157" s="152" t="s">
        <v>1560</v>
      </c>
      <c r="BO157" s="152" t="s">
        <v>1968</v>
      </c>
      <c r="BP157" s="152" t="s">
        <v>2128</v>
      </c>
      <c r="BQ157" s="152" t="s">
        <v>2129</v>
      </c>
      <c r="BR157" s="152" t="s">
        <v>2130</v>
      </c>
      <c r="BS157" s="152" t="n">
        <v>202988.24</v>
      </c>
      <c r="BT157" s="152" t="n">
        <v>8238038.683</v>
      </c>
      <c r="BU157" s="152" t="n">
        <v>203012.402</v>
      </c>
      <c r="BV157" s="152" t="n">
        <v>8238086.63</v>
      </c>
      <c r="BW157" s="152" t="n">
        <v>-15.918898</v>
      </c>
      <c r="BX157" s="152" t="n">
        <v>-47.7738729</v>
      </c>
      <c r="BY157" s="152" t="s">
        <v>2128</v>
      </c>
    </row>
    <row r="158" customFormat="false" ht="13.8" hidden="false" customHeight="false" outlineLevel="0" collapsed="false">
      <c r="A158" s="149" t="n">
        <f aca="false">IF(C158&lt;&gt;"",ROW(A153),"")</f>
        <v>153</v>
      </c>
      <c r="B158" s="150" t="str">
        <f aca="false">HYPERLINK("https://www.google.com/maps/dir/-15.917302,-47.760003/-15.9189632,-47.7765141/data=!4m3!4m2!3e0!5i2")</f>
        <v>https://www.google.com/maps/dir/-15.917302,-47.760003/-15.9189632,-47.7765141/data=!4m3!4m2!3e0!5i2</v>
      </c>
      <c r="C158" s="151" t="s">
        <v>117</v>
      </c>
      <c r="D158" s="152" t="s">
        <v>112</v>
      </c>
      <c r="E158" s="152" t="s">
        <v>113</v>
      </c>
      <c r="F158" s="152" t="s">
        <v>117</v>
      </c>
      <c r="G158" s="152" t="s">
        <v>782</v>
      </c>
      <c r="H158" s="152" t="n">
        <v>63</v>
      </c>
      <c r="I158" s="152" t="s">
        <v>115</v>
      </c>
      <c r="J158" s="152" t="s">
        <v>6</v>
      </c>
      <c r="K158" s="152" t="s">
        <v>2033</v>
      </c>
      <c r="L158" s="152" t="s">
        <v>120</v>
      </c>
      <c r="M158" s="153" t="n">
        <f aca="false">21.66</f>
        <v>21.66</v>
      </c>
      <c r="N158" s="152" t="s">
        <v>1548</v>
      </c>
      <c r="O158" s="152" t="s">
        <v>1549</v>
      </c>
      <c r="P158" s="152" t="s">
        <v>1550</v>
      </c>
      <c r="Q158" s="152" t="s">
        <v>1551</v>
      </c>
      <c r="R158" s="154" t="s">
        <v>2131</v>
      </c>
      <c r="S158" s="154" t="s">
        <v>1553</v>
      </c>
      <c r="T158" s="155" t="s">
        <v>1965</v>
      </c>
      <c r="U158" s="152" t="str">
        <f aca="false">RIGHT(T158,7)</f>
        <v>005/037</v>
      </c>
      <c r="V158" s="152" t="s">
        <v>1555</v>
      </c>
      <c r="W158" s="156" t="n">
        <v>45882</v>
      </c>
      <c r="X158" s="152" t="s">
        <v>1594</v>
      </c>
      <c r="Y158" s="152" t="s">
        <v>2117</v>
      </c>
      <c r="Z158" s="152" t="s">
        <v>1557</v>
      </c>
      <c r="AA158" s="153" t="n">
        <v>4.4</v>
      </c>
      <c r="AB158" s="151" t="s">
        <v>2132</v>
      </c>
      <c r="AC158" s="151" t="s">
        <v>186</v>
      </c>
      <c r="AD158" s="151" t="str">
        <f aca="false">CONCATENATE($C158,$I158,$H158,$N158,$J158,$K158)</f>
        <v>TUBO PEADPEAD63VCAREDESZona02</v>
      </c>
      <c r="AE158" s="153" t="n">
        <f aca="false">IFERROR(INDEX(APOIO_REDES!$A:$W,MATCH($C158&amp;$I158&amp;$H158&amp;$N158&amp;$O158,APOIO_REDES!$W:$W,0),MATCH(AE$5,APOIO_REDES!$5:$5,0)),0)</f>
        <v>1.2</v>
      </c>
      <c r="AF158" s="153" t="n">
        <f aca="false">IFERROR(INDEX(APOIO_REDES!$A:$W,MATCH($C158&amp;$I158&amp;$H158&amp;$N158&amp;$O158,APOIO_REDES!$W:$W,0),MATCH(AF$5,APOIO_REDES!$5:$5,0)),0)</f>
        <v>1.363</v>
      </c>
      <c r="AG158" s="153" t="n">
        <f aca="false">IFERROR(INDEX(APOIO_REDES!$A:$W,MATCH($C158&amp;$I158&amp;$H158&amp;$N158&amp;$O158,APOIO_REDES!$W:$W,0),MATCH(AG$5,APOIO_REDES!$5:$5,0)),0)</f>
        <v>0.65</v>
      </c>
      <c r="AH158" s="153" t="n">
        <f aca="false">IFERROR(INDEX(APOIO_REDES!$A:$W,MATCH($C158&amp;$I158&amp;$H158&amp;$N158&amp;$O158,APOIO_REDES!$W:$W,0),MATCH(AH$5,APOIO_REDES!$5:$5,0)),0)</f>
        <v>0.1</v>
      </c>
      <c r="AI158" s="153" t="n">
        <f aca="false">IFERROR(IF($H158&lt;&gt;"",(((($H158/1000)/2)^2)*PI()*$M158),0),0)</f>
        <v>0.0675195334259601</v>
      </c>
      <c r="AJ158" s="153" t="n">
        <f aca="false">IFERROR(IF(AND($H158&lt;&gt;"",$I158="FoFo",OR($N158="MND",$N158="VCA"),$Q158="LINEAR"),0,IF(AND($H158&lt;&gt;"",$I158="PEAD",$N158="VCA",$Q158="LINEAR"),($H158/1000)+0.3,IF(AND($H158&lt;&gt;"",$I158="PEAD",$N158="MND",$Q158="EMBOQUE"),0,IF(AND($H158&lt;&gt;"",$I158="PVC",$N158="VCA",$Q158="LINEAR"),($H158/1000)+0.2,IF(AND($H158&lt;&gt;"",$I158="PVC",$N158="MND",$Q158="EMBOQUE"),0,IF(AND($H158&lt;&gt;"",$I158="PEAD",$N158="VCA",$Q158="PREDIAL"),0,0)))))),0)</f>
        <v>0.363</v>
      </c>
      <c r="AK158" s="153" t="n">
        <f aca="false">IF(AA158&lt;&gt;"",AA158,0)</f>
        <v>4.4</v>
      </c>
      <c r="AL158" s="153" t="n">
        <f aca="false">IF(AND($N158="MND",$Q158="EMBOQUE"),$M158,IF(AND($N158="VCA",$Q158="LINEAR"),$M158,IF(AND($N158="VCA",$Q158="PREDIAL"),0,0)))</f>
        <v>21.66</v>
      </c>
      <c r="AM158" s="153" t="n">
        <f aca="false">IF(AND($N158="MND",$Q158="EMBOQUE"),$M158,IF(AND($N158="VCA",$Q158="LINEAR"),$M158,IF(AND($N158="VCA",$Q158="PREDIAL"),0,0)))</f>
        <v>21.66</v>
      </c>
      <c r="AN158" s="153" t="n">
        <f aca="false">ROUND(IF(AND($N158="VCA",$M158&lt;&gt;"",$Q158="LINEAR"),$M158/100,IF(AND($N158="MND",$M158&gt;100,$Q158="EMBOQUE"),$M158/100,0)),0)</f>
        <v>0</v>
      </c>
      <c r="AO158" s="153" t="n">
        <f aca="false">IF(AND($N158="MND",$Q158="EMBOQUE"),$AN158*2*2,IF(AND($N158="VCA",$Q158="LINEAR"),$M158*2,IF(AND($N158="VCA",$Q158="PREDIAL"),0,0)))</f>
        <v>43.32</v>
      </c>
      <c r="AP158" s="153" t="n">
        <f aca="false">IFERROR($M158*$AF158*$AG158,0)</f>
        <v>19.189677</v>
      </c>
      <c r="AQ158" s="153" t="n">
        <f aca="false">IFERROR(IF(AND($N158="VCA",$AH158&gt;0),$M158*$AG158*$AH158,0),0)</f>
        <v>1.4079</v>
      </c>
      <c r="AR158" s="153" t="n">
        <f aca="false">IFERROR(IF(AND($N158="VCA",$AJ158&gt;0),($M158*$AG158*$AJ158)-$AI158,0),0)</f>
        <v>5.04315746657404</v>
      </c>
      <c r="AS158" s="153" t="n">
        <f aca="false">IFERROR(IF(AND($N158="VCA",$AP158&gt;0),$AP158-$AI158-$AQ158-$AR158,0),0)</f>
        <v>12.6711</v>
      </c>
      <c r="AT158" s="153" t="n">
        <f aca="false">IFERROR(IF($N158="VCA",INDEX(APOIO_REDES!$A:$W,MATCH($C158&amp;$I158&amp;$H158&amp;$N158&amp;$O158,APOIO_REDES!$W:$W,0),MATCH(AT$5,APOIO_REDES!$5:$5,0)),0)*$AP158,0)</f>
        <v>0.208789365614464</v>
      </c>
      <c r="AU158" s="153" t="n">
        <f aca="false">IFERROR(IF($N158="VCA",INDEX(APOIO_REDES!$A:$W,MATCH($C158&amp;$I158&amp;$H158&amp;$N158&amp;$O158,APOIO_REDES!$W:$W,0),MATCH(AU$5,APOIO_REDES!$5:$5,0)),0)*$AP158,0)</f>
        <v>0.166733532646554</v>
      </c>
      <c r="AV158" s="153" t="n">
        <f aca="false">IFERROR(IF($N158="VCA",INDEX(APOIO_REDES!$A:$W,MATCH($C158&amp;$I158&amp;$H158&amp;$N158&amp;$O158,APOIO_REDES!$W:$W,0),MATCH(AV$5,APOIO_REDES!$5:$5,0)),0)*$AP158,0)</f>
        <v>0.023074612008732</v>
      </c>
      <c r="AW158" s="153" t="n">
        <f aca="false">IFERROR(IF($N158="VCA",INDEX(APOIO_REDES!$A:$W,MATCH($C158&amp;$I158&amp;$H158&amp;$N158&amp;$O158,APOIO_REDES!$W:$W,0),MATCH(AW$5,APOIO_REDES!$5:$5,0)),0)*$AP158,0)</f>
        <v>13.1719429816731</v>
      </c>
      <c r="AX158" s="153" t="n">
        <f aca="false">IFERROR(IF($N158="VCA",INDEX(APOIO_REDES!$A:$W,MATCH($C158&amp;$I158&amp;$H158&amp;$N158&amp;$O158,APOIO_REDES!$W:$W,0),MATCH(AX$5,APOIO_REDES!$5:$5,0)),0)*$AP158,0)</f>
        <v>1.82295938767374</v>
      </c>
      <c r="AY158" s="153" t="n">
        <f aca="false">IFERROR(IF($N158="VCA",INDEX(APOIO_REDES!$A:$W,MATCH($C158&amp;$I158&amp;$H158&amp;$N158&amp;$O158,APOIO_REDES!$W:$W,0),MATCH(AY$5,APOIO_REDES!$5:$5,0)),0)*$AP158,0)</f>
        <v>3.33466862046284</v>
      </c>
      <c r="AZ158" s="153" t="n">
        <f aca="false">IFERROR(IF($N158="VCA",INDEX(APOIO_REDES!$A:$W,MATCH($C158&amp;$I158&amp;$H158&amp;$N158&amp;$O158,APOIO_REDES!$W:$W,0),MATCH(AZ$5,APOIO_REDES!$5:$5,0)),0)*$AP158,0)</f>
        <v>0.461508499920617</v>
      </c>
      <c r="BA158" s="153" t="n">
        <f aca="false">IFERROR(IF(AND($N158="VCA",$Q158="LINEAR"),INDEX(APOIO_REDES!$A:$W,MATCH($C158&amp;$I158&amp;$H158&amp;$N158&amp;$O158,APOIO_REDES!$W:$W,0),MATCH(BA$5,APOIO_REDES!$5:$5,0)),IF(AND($N158="MND",$Q158="EMBOQUE"),INDEX(APOIO_REDES!$A:$W,MATCH($C158&amp;$I158&amp;$H158&amp;$N158&amp;$O158,APOIO_REDES!$W:$W,0),MATCH(BA$5,APOIO_REDES!$5:$5,0)),0))*$M158/10,0)</f>
        <v>1.74574136437804</v>
      </c>
      <c r="BB158" s="153" t="n">
        <f aca="false">IFERROR(IF($N158="VCA",INDEX(APOIO_REDES!$A:$W,MATCH($C158&amp;$I158&amp;$H158&amp;$N158&amp;$O158,APOIO_REDES!$W:$W,0),MATCH(BB$5,APOIO_REDES!$5:$5,0)),0)*($AI158+$AQ158+$AR158),0)</f>
        <v>6.4476529528397</v>
      </c>
      <c r="BC158" s="153" t="n">
        <f aca="false">IFERROR(IF($N158="VCA",INDEX(APOIO_REDES!$A:$W,MATCH($C158&amp;$I158&amp;$H158&amp;$N158&amp;$O158,APOIO_REDES!$W:$W,0),MATCH(BC$5,APOIO_REDES!$5:$5,0)),0)*($AI158+$AQ158+$AR158),0)</f>
        <v>0.070924047160306</v>
      </c>
      <c r="BD158" s="153" t="n">
        <f aca="false">IF(AND($N158="VCA",$AF158&gt;=1.25,$AF158&lt;1.5),$M158*$AF158*2,0)</f>
        <v>59.04516</v>
      </c>
      <c r="BE158" s="153" t="n">
        <f aca="false">IF(AND($N158="VCA",$AF158&gt;=1.5,$AF158&lt;3),$M158*$AF158*2,0)</f>
        <v>0</v>
      </c>
      <c r="BF158" s="153" t="n">
        <f aca="false">IF(AND($N158="VCA",$AF158&gt;=3),$M158*$AF158*2,0)</f>
        <v>0</v>
      </c>
      <c r="BG158" s="153" t="n">
        <f aca="false">($BB158+$BC158)*$AK158</f>
        <v>28.6817388</v>
      </c>
      <c r="BH158" s="153" t="n">
        <f aca="false">IF(AND($M158&lt;&gt;"",$N158="VCA",$Q158="LINEAR"),($M158*2)/100,IF(AND($M158&lt;&gt;"",$N158="MND",$Q158="EMBOQUE"),($AN158*2)/100,0))</f>
        <v>0.4332</v>
      </c>
      <c r="BI158" s="153" t="n">
        <f aca="false">IF(AND($M158&lt;&gt;"",$N158="VCA",$Q158="LINEAR"),$M158,IF(AND($M158&lt;&gt;"",$N158="MND",$Q158="EMBOQUE"),$AN158*2,0))</f>
        <v>21.66</v>
      </c>
      <c r="BJ158" s="153" t="n">
        <f aca="false">IF(AND($M158&lt;&gt;"",$N158="VCA",$Q158="LINEAR"),($M158*6.8)/100,IF(AND($M158&lt;&gt;"",$N158="MND",$Q158="EMBOQUE"),($AN158*2*6.8)/100,0))</f>
        <v>1.47288</v>
      </c>
      <c r="BK158" s="153" t="n">
        <f aca="false">IF(AND($M158&lt;&gt;"",$N158="VCA",$Q158="LINEAR"),($M158*2.5)/50,IF(AND($M158&lt;&gt;"",$N158="MND",$Q158="EMBOQUE"),($AN158*2*2.5)/50,0))</f>
        <v>1.083</v>
      </c>
      <c r="BL158" s="157" t="str">
        <f aca="false">K158&amp;J158</f>
        <v>Zona02REDES</v>
      </c>
      <c r="BM158" s="152" t="s">
        <v>2037</v>
      </c>
      <c r="BN158" s="152" t="s">
        <v>1560</v>
      </c>
      <c r="BO158" s="152" t="s">
        <v>1968</v>
      </c>
      <c r="BP158" s="152" t="s">
        <v>2133</v>
      </c>
      <c r="BQ158" s="152" t="s">
        <v>2122</v>
      </c>
      <c r="BR158" s="152" t="s">
        <v>2061</v>
      </c>
      <c r="BS158" s="152" t="n">
        <v>202717.436</v>
      </c>
      <c r="BT158" s="152" t="n">
        <v>8238051.681</v>
      </c>
      <c r="BU158" s="152" t="n">
        <v>202701.062</v>
      </c>
      <c r="BV158" s="152" t="n">
        <v>8238065.856</v>
      </c>
      <c r="BW158" s="152" t="n">
        <v>-15.9188982</v>
      </c>
      <c r="BX158" s="152" t="n">
        <v>-47.7765896</v>
      </c>
      <c r="BY158" s="152" t="s">
        <v>2133</v>
      </c>
    </row>
    <row r="159" customFormat="false" ht="13.8" hidden="false" customHeight="false" outlineLevel="0" collapsed="false">
      <c r="A159" s="149" t="n">
        <f aca="false">IF(C159&lt;&gt;"",ROW(A154),"")</f>
        <v>154</v>
      </c>
      <c r="B159" s="150" t="str">
        <f aca="false">HYPERLINK("https://www.google.com/maps/dir/-15.917302,-47.760003/-15.9192697,-47.7737171/data=!4m3!4m2!3e0!5i0")</f>
        <v>https://www.google.com/maps/dir/-15.917302,-47.760003/-15.9192697,-47.7737171/data=!4m3!4m2!3e0!5i0</v>
      </c>
      <c r="C159" s="151" t="s">
        <v>117</v>
      </c>
      <c r="D159" s="152" t="s">
        <v>112</v>
      </c>
      <c r="E159" s="152" t="s">
        <v>113</v>
      </c>
      <c r="F159" s="152" t="s">
        <v>117</v>
      </c>
      <c r="G159" s="152" t="s">
        <v>782</v>
      </c>
      <c r="H159" s="152" t="n">
        <v>63</v>
      </c>
      <c r="I159" s="152" t="s">
        <v>115</v>
      </c>
      <c r="J159" s="152" t="s">
        <v>6</v>
      </c>
      <c r="K159" s="152" t="s">
        <v>2033</v>
      </c>
      <c r="L159" s="152" t="s">
        <v>120</v>
      </c>
      <c r="M159" s="153" t="n">
        <f aca="false">68.64+4</f>
        <v>72.64</v>
      </c>
      <c r="N159" s="152" t="s">
        <v>1548</v>
      </c>
      <c r="O159" s="152" t="s">
        <v>1549</v>
      </c>
      <c r="P159" s="152" t="s">
        <v>1550</v>
      </c>
      <c r="Q159" s="152" t="s">
        <v>1551</v>
      </c>
      <c r="R159" s="154" t="s">
        <v>2134</v>
      </c>
      <c r="S159" s="154" t="s">
        <v>1553</v>
      </c>
      <c r="T159" s="155" t="s">
        <v>1965</v>
      </c>
      <c r="U159" s="152" t="str">
        <f aca="false">RIGHT(T159,7)</f>
        <v>005/037</v>
      </c>
      <c r="V159" s="152" t="s">
        <v>1555</v>
      </c>
      <c r="W159" s="156" t="n">
        <v>45882</v>
      </c>
      <c r="X159" s="152" t="s">
        <v>1594</v>
      </c>
      <c r="Y159" s="152" t="s">
        <v>2063</v>
      </c>
      <c r="Z159" s="152" t="s">
        <v>1557</v>
      </c>
      <c r="AA159" s="153" t="n">
        <v>2.9</v>
      </c>
      <c r="AB159" s="151" t="s">
        <v>2135</v>
      </c>
      <c r="AC159" s="151" t="s">
        <v>186</v>
      </c>
      <c r="AD159" s="151" t="str">
        <f aca="false">CONCATENATE($C159,$I159,$H159,$N159,$J159,$K159)</f>
        <v>TUBO PEADPEAD63VCAREDESZona02</v>
      </c>
      <c r="AE159" s="153" t="n">
        <f aca="false">IFERROR(INDEX(APOIO_REDES!$A:$W,MATCH($C159&amp;$I159&amp;$H159&amp;$N159&amp;$O159,APOIO_REDES!$W:$W,0),MATCH(AE$5,APOIO_REDES!$5:$5,0)),0)</f>
        <v>1.2</v>
      </c>
      <c r="AF159" s="153" t="n">
        <f aca="false">IFERROR(INDEX(APOIO_REDES!$A:$W,MATCH($C159&amp;$I159&amp;$H159&amp;$N159&amp;$O159,APOIO_REDES!$W:$W,0),MATCH(AF$5,APOIO_REDES!$5:$5,0)),0)</f>
        <v>1.363</v>
      </c>
      <c r="AG159" s="153" t="n">
        <f aca="false">IFERROR(INDEX(APOIO_REDES!$A:$W,MATCH($C159&amp;$I159&amp;$H159&amp;$N159&amp;$O159,APOIO_REDES!$W:$W,0),MATCH(AG$5,APOIO_REDES!$5:$5,0)),0)</f>
        <v>0.65</v>
      </c>
      <c r="AH159" s="153" t="n">
        <f aca="false">IFERROR(INDEX(APOIO_REDES!$A:$W,MATCH($C159&amp;$I159&amp;$H159&amp;$N159&amp;$O159,APOIO_REDES!$W:$W,0),MATCH(AH$5,APOIO_REDES!$5:$5,0)),0)</f>
        <v>0.1</v>
      </c>
      <c r="AI159" s="153" t="n">
        <f aca="false">IFERROR(IF($H159&lt;&gt;"",(((($H159/1000)/2)^2)*PI()*$M159),0),0)</f>
        <v>0.226436699356498</v>
      </c>
      <c r="AJ159" s="153" t="n">
        <f aca="false">IFERROR(IF(AND($H159&lt;&gt;"",$I159="FoFo",OR($N159="MND",$N159="VCA"),$Q159="LINEAR"),0,IF(AND($H159&lt;&gt;"",$I159="PEAD",$N159="VCA",$Q159="LINEAR"),($H159/1000)+0.3,IF(AND($H159&lt;&gt;"",$I159="PEAD",$N159="MND",$Q159="EMBOQUE"),0,IF(AND($H159&lt;&gt;"",$I159="PVC",$N159="VCA",$Q159="LINEAR"),($H159/1000)+0.2,IF(AND($H159&lt;&gt;"",$I159="PVC",$N159="MND",$Q159="EMBOQUE"),0,IF(AND($H159&lt;&gt;"",$I159="PEAD",$N159="VCA",$Q159="PREDIAL"),0,0)))))),0)</f>
        <v>0.363</v>
      </c>
      <c r="AK159" s="153" t="n">
        <f aca="false">IF(AA159&lt;&gt;"",AA159,0)</f>
        <v>2.9</v>
      </c>
      <c r="AL159" s="153" t="n">
        <f aca="false">IF(AND($N159="MND",$Q159="EMBOQUE"),$M159,IF(AND($N159="VCA",$Q159="LINEAR"),$M159,IF(AND($N159="VCA",$Q159="PREDIAL"),0,0)))</f>
        <v>72.64</v>
      </c>
      <c r="AM159" s="153" t="n">
        <f aca="false">IF(AND($N159="MND",$Q159="EMBOQUE"),$M159,IF(AND($N159="VCA",$Q159="LINEAR"),$M159,IF(AND($N159="VCA",$Q159="PREDIAL"),0,0)))</f>
        <v>72.64</v>
      </c>
      <c r="AN159" s="153" t="n">
        <f aca="false">ROUND(IF(AND($N159="VCA",$M159&lt;&gt;"",$Q159="LINEAR"),$M159/100,IF(AND($N159="MND",$M159&gt;100,$Q159="EMBOQUE"),$M159/100,0)),0)</f>
        <v>1</v>
      </c>
      <c r="AO159" s="153" t="n">
        <f aca="false">IF(AND($N159="MND",$Q159="EMBOQUE"),$AN159*2*2,IF(AND($N159="VCA",$Q159="LINEAR"),$M159*2,IF(AND($N159="VCA",$Q159="PREDIAL"),0,0)))</f>
        <v>145.28</v>
      </c>
      <c r="AP159" s="153" t="n">
        <f aca="false">IFERROR($M159*$AF159*$AG159,0)</f>
        <v>64.355408</v>
      </c>
      <c r="AQ159" s="153" t="n">
        <f aca="false">IFERROR(IF(AND($N159="VCA",$AH159&gt;0),$M159*$AG159*$AH159,0),0)</f>
        <v>4.7216</v>
      </c>
      <c r="AR159" s="153" t="n">
        <f aca="false">IFERROR(IF(AND($N159="VCA",$AJ159&gt;0),($M159*$AG159*$AJ159)-$AI159,0),0)</f>
        <v>16.9129713006435</v>
      </c>
      <c r="AS159" s="153" t="n">
        <f aca="false">IFERROR(IF(AND($N159="VCA",$AP159&gt;0),$AP159-$AI159-$AQ159-$AR159,0),0)</f>
        <v>42.4944</v>
      </c>
      <c r="AT159" s="153" t="n">
        <f aca="false">IFERROR(IF($N159="VCA",INDEX(APOIO_REDES!$A:$W,MATCH($C159&amp;$I159&amp;$H159&amp;$N159&amp;$O159,APOIO_REDES!$W:$W,0),MATCH(AT$5,APOIO_REDES!$5:$5,0)),0)*$AP159,0)</f>
        <v>0.700205887268453</v>
      </c>
      <c r="AU159" s="153" t="n">
        <f aca="false">IFERROR(IF($N159="VCA",INDEX(APOIO_REDES!$A:$W,MATCH($C159&amp;$I159&amp;$H159&amp;$N159&amp;$O159,APOIO_REDES!$W:$W,0),MATCH(AU$5,APOIO_REDES!$5:$5,0)),0)*$AP159,0)</f>
        <v>0.559165457592138</v>
      </c>
      <c r="AV159" s="153" t="n">
        <f aca="false">IFERROR(IF($N159="VCA",INDEX(APOIO_REDES!$A:$W,MATCH($C159&amp;$I159&amp;$H159&amp;$N159&amp;$O159,APOIO_REDES!$W:$W,0),MATCH(AV$5,APOIO_REDES!$5:$5,0)),0)*$AP159,0)</f>
        <v>0.0773841097098012</v>
      </c>
      <c r="AW159" s="153" t="n">
        <f aca="false">IFERROR(IF($N159="VCA",INDEX(APOIO_REDES!$A:$W,MATCH($C159&amp;$I159&amp;$H159&amp;$N159&amp;$O159,APOIO_REDES!$W:$W,0),MATCH(AW$5,APOIO_REDES!$5:$5,0)),0)*$AP159,0)</f>
        <v>44.1740507012341</v>
      </c>
      <c r="AX159" s="153" t="n">
        <f aca="false">IFERROR(IF($N159="VCA",INDEX(APOIO_REDES!$A:$W,MATCH($C159&amp;$I159&amp;$H159&amp;$N159&amp;$O159,APOIO_REDES!$W:$W,0),MATCH(AX$5,APOIO_REDES!$5:$5,0)),0)*$AP159,0)</f>
        <v>6.11356278488551</v>
      </c>
      <c r="AY159" s="153" t="n">
        <f aca="false">IFERROR(IF($N159="VCA",INDEX(APOIO_REDES!$A:$W,MATCH($C159&amp;$I159&amp;$H159&amp;$N159&amp;$O159,APOIO_REDES!$W:$W,0),MATCH(AY$5,APOIO_REDES!$5:$5,0)),0)*$AP159,0)</f>
        <v>11.1833023356612</v>
      </c>
      <c r="AZ159" s="153" t="n">
        <f aca="false">IFERROR(IF($N159="VCA",INDEX(APOIO_REDES!$A:$W,MATCH($C159&amp;$I159&amp;$H159&amp;$N159&amp;$O159,APOIO_REDES!$W:$W,0),MATCH(AZ$5,APOIO_REDES!$5:$5,0)),0)*$AP159,0)</f>
        <v>1.54773672364883</v>
      </c>
      <c r="BA159" s="153" t="n">
        <f aca="false">IFERROR(IF(AND($N159="VCA",$Q159="LINEAR"),INDEX(APOIO_REDES!$A:$W,MATCH($C159&amp;$I159&amp;$H159&amp;$N159&amp;$O159,APOIO_REDES!$W:$W,0),MATCH(BA$5,APOIO_REDES!$5:$5,0)),IF(AND($N159="MND",$Q159="EMBOQUE"),INDEX(APOIO_REDES!$A:$W,MATCH($C159&amp;$I159&amp;$H159&amp;$N159&amp;$O159,APOIO_REDES!$W:$W,0),MATCH(BA$5,APOIO_REDES!$5:$5,0)),0))*$M159/10,0)</f>
        <v>5.85460077139524</v>
      </c>
      <c r="BB159" s="153" t="n">
        <f aca="false">IFERROR(IF($N159="VCA",INDEX(APOIO_REDES!$A:$W,MATCH($C159&amp;$I159&amp;$H159&amp;$N159&amp;$O159,APOIO_REDES!$W:$W,0),MATCH(BB$5,APOIO_REDES!$5:$5,0)),0)*($AI159+$AQ159+$AR159),0)</f>
        <v>21.6231537624319</v>
      </c>
      <c r="BC159" s="153" t="n">
        <f aca="false">IFERROR(IF($N159="VCA",INDEX(APOIO_REDES!$A:$W,MATCH($C159&amp;$I159&amp;$H159&amp;$N159&amp;$O159,APOIO_REDES!$W:$W,0),MATCH(BC$5,APOIO_REDES!$5:$5,0)),0)*($AI159+$AQ159+$AR159),0)</f>
        <v>0.237854237568081</v>
      </c>
      <c r="BD159" s="153" t="n">
        <f aca="false">IF(AND($N159="VCA",$AF159&gt;=1.25,$AF159&lt;1.5),$M159*$AF159*2,0)</f>
        <v>198.01664</v>
      </c>
      <c r="BE159" s="153" t="n">
        <f aca="false">IF(AND($N159="VCA",$AF159&gt;=1.5,$AF159&lt;3),$M159*$AF159*2,0)</f>
        <v>0</v>
      </c>
      <c r="BF159" s="153" t="n">
        <f aca="false">IF(AND($N159="VCA",$AF159&gt;=3),$M159*$AF159*2,0)</f>
        <v>0</v>
      </c>
      <c r="BG159" s="153" t="n">
        <f aca="false">($BB159+$BC159)*$AK159</f>
        <v>63.3969232</v>
      </c>
      <c r="BH159" s="153" t="n">
        <f aca="false">IF(AND($M159&lt;&gt;"",$N159="VCA",$Q159="LINEAR"),($M159*2)/100,IF(AND($M159&lt;&gt;"",$N159="MND",$Q159="EMBOQUE"),($AN159*2)/100,0))</f>
        <v>1.4528</v>
      </c>
      <c r="BI159" s="153" t="n">
        <f aca="false">IF(AND($M159&lt;&gt;"",$N159="VCA",$Q159="LINEAR"),$M159,IF(AND($M159&lt;&gt;"",$N159="MND",$Q159="EMBOQUE"),$AN159*2,0))</f>
        <v>72.64</v>
      </c>
      <c r="BJ159" s="153" t="n">
        <f aca="false">IF(AND($M159&lt;&gt;"",$N159="VCA",$Q159="LINEAR"),($M159*6.8)/100,IF(AND($M159&lt;&gt;"",$N159="MND",$Q159="EMBOQUE"),($AN159*2*6.8)/100,0))</f>
        <v>4.93952</v>
      </c>
      <c r="BK159" s="153" t="n">
        <f aca="false">IF(AND($M159&lt;&gt;"",$N159="VCA",$Q159="LINEAR"),($M159*2.5)/50,IF(AND($M159&lt;&gt;"",$N159="MND",$Q159="EMBOQUE"),($AN159*2*2.5)/50,0))</f>
        <v>3.632</v>
      </c>
      <c r="BL159" s="157" t="str">
        <f aca="false">K159&amp;J159</f>
        <v>Zona02REDES</v>
      </c>
      <c r="BM159" s="152" t="s">
        <v>2037</v>
      </c>
      <c r="BN159" s="152" t="s">
        <v>1560</v>
      </c>
      <c r="BO159" s="152" t="s">
        <v>1968</v>
      </c>
      <c r="BP159" s="152" t="s">
        <v>2136</v>
      </c>
      <c r="BQ159" s="152" t="s">
        <v>2137</v>
      </c>
      <c r="BR159" s="152" t="s">
        <v>2138</v>
      </c>
      <c r="BS159" s="152" t="n">
        <v>203017.562</v>
      </c>
      <c r="BT159" s="152" t="n">
        <v>8238021.722</v>
      </c>
      <c r="BU159" s="152" t="n">
        <v>203047.737</v>
      </c>
      <c r="BV159" s="152" t="n">
        <v>8238083.367</v>
      </c>
      <c r="BW159" s="152" t="n">
        <v>-15.9189925</v>
      </c>
      <c r="BX159" s="152" t="n">
        <v>-47.773574</v>
      </c>
      <c r="BY159" s="152" t="s">
        <v>2136</v>
      </c>
    </row>
    <row r="160" customFormat="false" ht="13.8" hidden="false" customHeight="false" outlineLevel="0" collapsed="false">
      <c r="A160" s="149" t="n">
        <f aca="false">IF(C160&lt;&gt;"",ROW(A155),"")</f>
        <v>155</v>
      </c>
      <c r="B160" s="150" t="str">
        <f aca="false">HYPERLINK("https://www.google.com/maps/dir/-15.917302,-47.760003/-15.9188599,-47.7744472/data=!4m3!4m2!3e0!5i0")</f>
        <v>https://www.google.com/maps/dir/-15.917302,-47.760003/-15.9188599,-47.7744472/data=!4m3!4m2!3e0!5i0</v>
      </c>
      <c r="C160" s="151" t="s">
        <v>117</v>
      </c>
      <c r="D160" s="152" t="s">
        <v>112</v>
      </c>
      <c r="E160" s="152" t="s">
        <v>113</v>
      </c>
      <c r="F160" s="152" t="s">
        <v>117</v>
      </c>
      <c r="G160" s="152" t="s">
        <v>782</v>
      </c>
      <c r="H160" s="152" t="n">
        <v>110</v>
      </c>
      <c r="I160" s="152" t="s">
        <v>115</v>
      </c>
      <c r="J160" s="152" t="s">
        <v>6</v>
      </c>
      <c r="K160" s="152" t="s">
        <v>2033</v>
      </c>
      <c r="L160" s="152" t="s">
        <v>120</v>
      </c>
      <c r="M160" s="153" t="n">
        <f aca="false">56.57</f>
        <v>56.57</v>
      </c>
      <c r="N160" s="152" t="s">
        <v>1548</v>
      </c>
      <c r="O160" s="152" t="s">
        <v>1549</v>
      </c>
      <c r="P160" s="152" t="s">
        <v>1550</v>
      </c>
      <c r="Q160" s="152" t="s">
        <v>1551</v>
      </c>
      <c r="R160" s="154" t="s">
        <v>2139</v>
      </c>
      <c r="S160" s="154" t="s">
        <v>1593</v>
      </c>
      <c r="T160" s="155" t="s">
        <v>1965</v>
      </c>
      <c r="U160" s="152" t="str">
        <f aca="false">RIGHT(T160,7)</f>
        <v>005/037</v>
      </c>
      <c r="V160" s="152" t="s">
        <v>1555</v>
      </c>
      <c r="W160" s="156" t="n">
        <v>45882</v>
      </c>
      <c r="X160" s="152" t="s">
        <v>1594</v>
      </c>
      <c r="Y160" s="152" t="s">
        <v>2063</v>
      </c>
      <c r="Z160" s="152" t="s">
        <v>1557</v>
      </c>
      <c r="AA160" s="153" t="n">
        <v>2.9</v>
      </c>
      <c r="AB160" s="151" t="s">
        <v>2140</v>
      </c>
      <c r="AC160" s="151" t="s">
        <v>502</v>
      </c>
      <c r="AD160" s="151" t="str">
        <f aca="false">CONCATENATE($C160,$I160,$H160,$N160,$J160,$K160)</f>
        <v>TUBO PEADPEAD110VCAREDESZona02</v>
      </c>
      <c r="AE160" s="153" t="n">
        <f aca="false">IFERROR(INDEX(APOIO_REDES!$A:$W,MATCH($C160&amp;$I160&amp;$H160&amp;$N160&amp;$O160,APOIO_REDES!$W:$W,0),MATCH(AE$5,APOIO_REDES!$5:$5,0)),0)</f>
        <v>1.2</v>
      </c>
      <c r="AF160" s="153" t="n">
        <f aca="false">IFERROR(INDEX(APOIO_REDES!$A:$W,MATCH($C160&amp;$I160&amp;$H160&amp;$N160&amp;$O160,APOIO_REDES!$W:$W,0),MATCH(AF$5,APOIO_REDES!$5:$5,0)),0)</f>
        <v>1.41</v>
      </c>
      <c r="AG160" s="153" t="n">
        <f aca="false">IFERROR(INDEX(APOIO_REDES!$A:$W,MATCH($C160&amp;$I160&amp;$H160&amp;$N160&amp;$O160,APOIO_REDES!$W:$W,0),MATCH(AG$5,APOIO_REDES!$5:$5,0)),0)</f>
        <v>0.75</v>
      </c>
      <c r="AH160" s="153" t="n">
        <f aca="false">IFERROR(INDEX(APOIO_REDES!$A:$W,MATCH($C160&amp;$I160&amp;$H160&amp;$N160&amp;$O160,APOIO_REDES!$W:$W,0),MATCH(AH$5,APOIO_REDES!$5:$5,0)),0)</f>
        <v>0.1</v>
      </c>
      <c r="AI160" s="153" t="n">
        <f aca="false">IFERROR(IF($H160&lt;&gt;"",(((($H160/1000)/2)^2)*PI()*$M160),0),0)</f>
        <v>0.537602686651063</v>
      </c>
      <c r="AJ160" s="153" t="n">
        <f aca="false">IFERROR(IF(AND($H160&lt;&gt;"",$I160="FoFo",OR($N160="MND",$N160="VCA"),$Q160="LINEAR"),0,IF(AND($H160&lt;&gt;"",$I160="PEAD",$N160="VCA",$Q160="LINEAR"),($H160/1000)+0.3,IF(AND($H160&lt;&gt;"",$I160="PEAD",$N160="MND",$Q160="EMBOQUE"),0,IF(AND($H160&lt;&gt;"",$I160="PVC",$N160="VCA",$Q160="LINEAR"),($H160/1000)+0.2,IF(AND($H160&lt;&gt;"",$I160="PVC",$N160="MND",$Q160="EMBOQUE"),0,IF(AND($H160&lt;&gt;"",$I160="PEAD",$N160="VCA",$Q160="PREDIAL"),0,0)))))),0)</f>
        <v>0.41</v>
      </c>
      <c r="AK160" s="153" t="n">
        <f aca="false">IF(AA160&lt;&gt;"",AA160,0)</f>
        <v>2.9</v>
      </c>
      <c r="AL160" s="153" t="n">
        <f aca="false">IF(AND($N160="MND",$Q160="EMBOQUE"),$M160,IF(AND($N160="VCA",$Q160="LINEAR"),$M160,IF(AND($N160="VCA",$Q160="PREDIAL"),0,0)))</f>
        <v>56.57</v>
      </c>
      <c r="AM160" s="153" t="n">
        <f aca="false">IF(AND($N160="MND",$Q160="EMBOQUE"),$M160,IF(AND($N160="VCA",$Q160="LINEAR"),$M160,IF(AND($N160="VCA",$Q160="PREDIAL"),0,0)))</f>
        <v>56.57</v>
      </c>
      <c r="AN160" s="153" t="n">
        <f aca="false">ROUND(IF(AND($N160="VCA",$M160&lt;&gt;"",$Q160="LINEAR"),$M160/100,IF(AND($N160="MND",$M160&gt;100,$Q160="EMBOQUE"),$M160/100,0)),0)</f>
        <v>1</v>
      </c>
      <c r="AO160" s="153" t="n">
        <f aca="false">IF(AND($N160="MND",$Q160="EMBOQUE"),$AN160*2*2,IF(AND($N160="VCA",$Q160="LINEAR"),$M160*2,IF(AND($N160="VCA",$Q160="PREDIAL"),0,0)))</f>
        <v>113.14</v>
      </c>
      <c r="AP160" s="153" t="n">
        <f aca="false">IFERROR($M160*$AF160*$AG160,0)</f>
        <v>59.822775</v>
      </c>
      <c r="AQ160" s="153" t="n">
        <f aca="false">IFERROR(IF(AND($N160="VCA",$AH160&gt;0),$M160*$AG160*$AH160,0),0)</f>
        <v>4.24275</v>
      </c>
      <c r="AR160" s="153" t="n">
        <f aca="false">IFERROR(IF(AND($N160="VCA",$AJ160&gt;0),($M160*$AG160*$AJ160)-$AI160,0),0)</f>
        <v>16.8576723133489</v>
      </c>
      <c r="AS160" s="153" t="n">
        <f aca="false">IFERROR(IF(AND($N160="VCA",$AP160&gt;0),$AP160-$AI160-$AQ160-$AR160,0),0)</f>
        <v>38.18475</v>
      </c>
      <c r="AT160" s="153" t="n">
        <f aca="false">IFERROR(IF($N160="VCA",INDEX(APOIO_REDES!$A:$W,MATCH($C160&amp;$I160&amp;$H160&amp;$N160&amp;$O160,APOIO_REDES!$W:$W,0),MATCH(AT$5,APOIO_REDES!$5:$5,0)),0)*$AP160,0)</f>
        <v>0.650889498637567</v>
      </c>
      <c r="AU160" s="153" t="n">
        <f aca="false">IFERROR(IF($N160="VCA",INDEX(APOIO_REDES!$A:$W,MATCH($C160&amp;$I160&amp;$H160&amp;$N160&amp;$O160,APOIO_REDES!$W:$W,0),MATCH(AU$5,APOIO_REDES!$5:$5,0)),0)*$AP160,0)</f>
        <v>0.519782725288705</v>
      </c>
      <c r="AV160" s="153" t="n">
        <f aca="false">IFERROR(IF($N160="VCA",INDEX(APOIO_REDES!$A:$W,MATCH($C160&amp;$I160&amp;$H160&amp;$N160&amp;$O160,APOIO_REDES!$W:$W,0),MATCH(AV$5,APOIO_REDES!$5:$5,0)),0)*$AP160,0)</f>
        <v>0.0719338487255765</v>
      </c>
      <c r="AW160" s="153" t="n">
        <f aca="false">IFERROR(IF($N160="VCA",INDEX(APOIO_REDES!$A:$W,MATCH($C160&amp;$I160&amp;$H160&amp;$N160&amp;$O160,APOIO_REDES!$W:$W,0),MATCH(AW$5,APOIO_REDES!$5:$5,0)),0)*$AP160,0)</f>
        <v>41.0628162894798</v>
      </c>
      <c r="AX160" s="153" t="n">
        <f aca="false">IFERROR(IF($N160="VCA",INDEX(APOIO_REDES!$A:$W,MATCH($C160&amp;$I160&amp;$H160&amp;$N160&amp;$O160,APOIO_REDES!$W:$W,0),MATCH(AX$5,APOIO_REDES!$5:$5,0)),0)*$AP160,0)</f>
        <v>5.6829768048177</v>
      </c>
      <c r="AY160" s="153" t="n">
        <f aca="false">IFERROR(IF($N160="VCA",INDEX(APOIO_REDES!$A:$W,MATCH($C160&amp;$I160&amp;$H160&amp;$N160&amp;$O160,APOIO_REDES!$W:$W,0),MATCH(AY$5,APOIO_REDES!$5:$5,0)),0)*$AP160,0)</f>
        <v>10.3956481696648</v>
      </c>
      <c r="AZ160" s="153" t="n">
        <f aca="false">IFERROR(IF($N160="VCA",INDEX(APOIO_REDES!$A:$W,MATCH($C160&amp;$I160&amp;$H160&amp;$N160&amp;$O160,APOIO_REDES!$W:$W,0),MATCH(AZ$5,APOIO_REDES!$5:$5,0)),0)*$AP160,0)</f>
        <v>1.43872766338582</v>
      </c>
      <c r="BA160" s="153" t="n">
        <f aca="false">IFERROR(IF(AND($N160="VCA",$Q160="LINEAR"),INDEX(APOIO_REDES!$A:$W,MATCH($C160&amp;$I160&amp;$H160&amp;$N160&amp;$O160,APOIO_REDES!$W:$W,0),MATCH(BA$5,APOIO_REDES!$5:$5,0)),IF(AND($N160="MND",$Q160="EMBOQUE"),INDEX(APOIO_REDES!$A:$W,MATCH($C160&amp;$I160&amp;$H160&amp;$N160&amp;$O160,APOIO_REDES!$W:$W,0),MATCH(BA$5,APOIO_REDES!$5:$5,0)),0))*$M160/10,0)</f>
        <v>4.55939930668817</v>
      </c>
      <c r="BB160" s="153" t="n">
        <f aca="false">IFERROR(IF($N160="VCA",INDEX(APOIO_REDES!$A:$W,MATCH($C160&amp;$I160&amp;$H160&amp;$N160&amp;$O160,APOIO_REDES!$W:$W,0),MATCH(BB$5,APOIO_REDES!$5:$5,0)),0)*($AI160+$AQ160+$AR160),0)</f>
        <v>21.4025968834715</v>
      </c>
      <c r="BC160" s="153" t="n">
        <f aca="false">IFERROR(IF($N160="VCA",INDEX(APOIO_REDES!$A:$W,MATCH($C160&amp;$I160&amp;$H160&amp;$N160&amp;$O160,APOIO_REDES!$W:$W,0),MATCH(BC$5,APOIO_REDES!$5:$5,0)),0)*($AI160+$AQ160+$AR160),0)</f>
        <v>0.235428116528482</v>
      </c>
      <c r="BD160" s="153" t="n">
        <f aca="false">IF(AND($N160="VCA",$AF160&gt;=1.25,$AF160&lt;1.5),$M160*$AF160*2,0)</f>
        <v>159.5274</v>
      </c>
      <c r="BE160" s="153" t="n">
        <f aca="false">IF(AND($N160="VCA",$AF160&gt;=1.5,$AF160&lt;3),$M160*$AF160*2,0)</f>
        <v>0</v>
      </c>
      <c r="BF160" s="153" t="n">
        <f aca="false">IF(AND($N160="VCA",$AF160&gt;=3),$M160*$AF160*2,0)</f>
        <v>0</v>
      </c>
      <c r="BG160" s="153" t="n">
        <f aca="false">($BB160+$BC160)*$AK160</f>
        <v>62.7502725</v>
      </c>
      <c r="BH160" s="153" t="n">
        <f aca="false">IF(AND($M160&lt;&gt;"",$N160="VCA",$Q160="LINEAR"),($M160*2)/100,IF(AND($M160&lt;&gt;"",$N160="MND",$Q160="EMBOQUE"),($AN160*2)/100,0))</f>
        <v>1.1314</v>
      </c>
      <c r="BI160" s="153" t="n">
        <f aca="false">IF(AND($M160&lt;&gt;"",$N160="VCA",$Q160="LINEAR"),$M160,IF(AND($M160&lt;&gt;"",$N160="MND",$Q160="EMBOQUE"),$AN160*2,0))</f>
        <v>56.57</v>
      </c>
      <c r="BJ160" s="153" t="n">
        <f aca="false">IF(AND($M160&lt;&gt;"",$N160="VCA",$Q160="LINEAR"),($M160*6.8)/100,IF(AND($M160&lt;&gt;"",$N160="MND",$Q160="EMBOQUE"),($AN160*2*6.8)/100,0))</f>
        <v>3.84676</v>
      </c>
      <c r="BK160" s="153" t="n">
        <f aca="false">IF(AND($M160&lt;&gt;"",$N160="VCA",$Q160="LINEAR"),($M160*2.5)/50,IF(AND($M160&lt;&gt;"",$N160="MND",$Q160="EMBOQUE"),($AN160*2*2.5)/50,0))</f>
        <v>2.8285</v>
      </c>
      <c r="BL160" s="157" t="str">
        <f aca="false">K160&amp;J160</f>
        <v>Zona02REDES</v>
      </c>
      <c r="BM160" s="152" t="s">
        <v>2037</v>
      </c>
      <c r="BN160" s="152" t="s">
        <v>1560</v>
      </c>
      <c r="BO160" s="152" t="s">
        <v>1968</v>
      </c>
      <c r="BP160" s="152" t="s">
        <v>2113</v>
      </c>
      <c r="BQ160" s="152" t="s">
        <v>2128</v>
      </c>
      <c r="BR160" s="152" t="s">
        <v>2141</v>
      </c>
      <c r="BS160" s="152" t="n">
        <v>202938.735</v>
      </c>
      <c r="BT160" s="152" t="n">
        <v>8238066.061</v>
      </c>
      <c r="BU160" s="152" t="n">
        <v>202988.24</v>
      </c>
      <c r="BV160" s="152" t="n">
        <v>8238038.683</v>
      </c>
      <c r="BW160" s="152" t="n">
        <v>-15.9189872</v>
      </c>
      <c r="BX160" s="152" t="n">
        <v>-47.7742183</v>
      </c>
      <c r="BY160" s="152" t="s">
        <v>2113</v>
      </c>
    </row>
    <row r="161" customFormat="false" ht="13.8" hidden="false" customHeight="false" outlineLevel="0" collapsed="false">
      <c r="A161" s="149" t="n">
        <f aca="false">IF(C161&lt;&gt;"",ROW(A156),"")</f>
        <v>156</v>
      </c>
      <c r="B161" s="150" t="str">
        <f aca="false">HYPERLINK("https://www.google.com/maps/dir/-15.917302,-47.760003/-15.9190467,-47.7765860/data=!4m3!4m2!3e0!5i2")</f>
        <v>https://www.google.com/maps/dir/-15.917302,-47.760003/-15.9190467,-47.7765860/data=!4m3!4m2!3e0!5i2</v>
      </c>
      <c r="C161" s="151" t="s">
        <v>117</v>
      </c>
      <c r="D161" s="152" t="s">
        <v>112</v>
      </c>
      <c r="E161" s="152" t="s">
        <v>113</v>
      </c>
      <c r="F161" s="152" t="s">
        <v>117</v>
      </c>
      <c r="G161" s="152" t="s">
        <v>782</v>
      </c>
      <c r="H161" s="152" t="n">
        <v>63</v>
      </c>
      <c r="I161" s="152" t="s">
        <v>115</v>
      </c>
      <c r="J161" s="152" t="s">
        <v>6</v>
      </c>
      <c r="K161" s="152" t="s">
        <v>2033</v>
      </c>
      <c r="L161" s="152" t="s">
        <v>120</v>
      </c>
      <c r="M161" s="153" t="n">
        <f aca="false">12.04</f>
        <v>12.04</v>
      </c>
      <c r="N161" s="152" t="s">
        <v>1548</v>
      </c>
      <c r="O161" s="152" t="s">
        <v>1549</v>
      </c>
      <c r="P161" s="152" t="s">
        <v>1550</v>
      </c>
      <c r="Q161" s="152" t="s">
        <v>1551</v>
      </c>
      <c r="R161" s="154" t="s">
        <v>2142</v>
      </c>
      <c r="S161" s="154" t="s">
        <v>1553</v>
      </c>
      <c r="T161" s="155" t="s">
        <v>1965</v>
      </c>
      <c r="U161" s="152" t="str">
        <f aca="false">RIGHT(T161,7)</f>
        <v>005/037</v>
      </c>
      <c r="V161" s="152" t="s">
        <v>1555</v>
      </c>
      <c r="W161" s="156" t="n">
        <v>45882</v>
      </c>
      <c r="X161" s="152" t="s">
        <v>1594</v>
      </c>
      <c r="Y161" s="152" t="s">
        <v>2117</v>
      </c>
      <c r="Z161" s="152" t="s">
        <v>1557</v>
      </c>
      <c r="AA161" s="153" t="n">
        <v>4.4</v>
      </c>
      <c r="AB161" s="151" t="s">
        <v>2143</v>
      </c>
      <c r="AC161" s="151" t="s">
        <v>186</v>
      </c>
      <c r="AD161" s="151" t="str">
        <f aca="false">CONCATENATE($C161,$I161,$H161,$N161,$J161,$K161)</f>
        <v>TUBO PEADPEAD63VCAREDESZona02</v>
      </c>
      <c r="AE161" s="153" t="n">
        <f aca="false">IFERROR(INDEX(APOIO_REDES!$A:$W,MATCH($C161&amp;$I161&amp;$H161&amp;$N161&amp;$O161,APOIO_REDES!$W:$W,0),MATCH(AE$5,APOIO_REDES!$5:$5,0)),0)</f>
        <v>1.2</v>
      </c>
      <c r="AF161" s="153" t="n">
        <f aca="false">IFERROR(INDEX(APOIO_REDES!$A:$W,MATCH($C161&amp;$I161&amp;$H161&amp;$N161&amp;$O161,APOIO_REDES!$W:$W,0),MATCH(AF$5,APOIO_REDES!$5:$5,0)),0)</f>
        <v>1.363</v>
      </c>
      <c r="AG161" s="153" t="n">
        <f aca="false">IFERROR(INDEX(APOIO_REDES!$A:$W,MATCH($C161&amp;$I161&amp;$H161&amp;$N161&amp;$O161,APOIO_REDES!$W:$W,0),MATCH(AG$5,APOIO_REDES!$5:$5,0)),0)</f>
        <v>0.65</v>
      </c>
      <c r="AH161" s="153" t="n">
        <f aca="false">IFERROR(INDEX(APOIO_REDES!$A:$W,MATCH($C161&amp;$I161&amp;$H161&amp;$N161&amp;$O161,APOIO_REDES!$W:$W,0),MATCH(AH$5,APOIO_REDES!$5:$5,0)),0)</f>
        <v>0.1</v>
      </c>
      <c r="AI161" s="153" t="n">
        <f aca="false">IFERROR(IF($H161&lt;&gt;"",(((($H161/1000)/2)^2)*PI()*$M161),0),0)</f>
        <v>0.0375316335387146</v>
      </c>
      <c r="AJ161" s="153" t="n">
        <f aca="false">IFERROR(IF(AND($H161&lt;&gt;"",$I161="FoFo",OR($N161="MND",$N161="VCA"),$Q161="LINEAR"),0,IF(AND($H161&lt;&gt;"",$I161="PEAD",$N161="VCA",$Q161="LINEAR"),($H161/1000)+0.3,IF(AND($H161&lt;&gt;"",$I161="PEAD",$N161="MND",$Q161="EMBOQUE"),0,IF(AND($H161&lt;&gt;"",$I161="PVC",$N161="VCA",$Q161="LINEAR"),($H161/1000)+0.2,IF(AND($H161&lt;&gt;"",$I161="PVC",$N161="MND",$Q161="EMBOQUE"),0,IF(AND($H161&lt;&gt;"",$I161="PEAD",$N161="VCA",$Q161="PREDIAL"),0,0)))))),0)</f>
        <v>0.363</v>
      </c>
      <c r="AK161" s="153" t="n">
        <f aca="false">IF(AA161&lt;&gt;"",AA161,0)</f>
        <v>4.4</v>
      </c>
      <c r="AL161" s="153" t="n">
        <f aca="false">IF(AND($N161="MND",$Q161="EMBOQUE"),$M161,IF(AND($N161="VCA",$Q161="LINEAR"),$M161,IF(AND($N161="VCA",$Q161="PREDIAL"),0,0)))</f>
        <v>12.04</v>
      </c>
      <c r="AM161" s="153" t="n">
        <f aca="false">IF(AND($N161="MND",$Q161="EMBOQUE"),$M161,IF(AND($N161="VCA",$Q161="LINEAR"),$M161,IF(AND($N161="VCA",$Q161="PREDIAL"),0,0)))</f>
        <v>12.04</v>
      </c>
      <c r="AN161" s="153" t="n">
        <f aca="false">ROUND(IF(AND($N161="VCA",$M161&lt;&gt;"",$Q161="LINEAR"),$M161/100,IF(AND($N161="MND",$M161&gt;100,$Q161="EMBOQUE"),$M161/100,0)),0)</f>
        <v>0</v>
      </c>
      <c r="AO161" s="153" t="n">
        <f aca="false">IF(AND($N161="MND",$Q161="EMBOQUE"),$AN161*2*2,IF(AND($N161="VCA",$Q161="LINEAR"),$M161*2,IF(AND($N161="VCA",$Q161="PREDIAL"),0,0)))</f>
        <v>24.08</v>
      </c>
      <c r="AP161" s="153" t="n">
        <f aca="false">IFERROR($M161*$AF161*$AG161,0)</f>
        <v>10.666838</v>
      </c>
      <c r="AQ161" s="153" t="n">
        <f aca="false">IFERROR(IF(AND($N161="VCA",$AH161&gt;0),$M161*$AG161*$AH161,0),0)</f>
        <v>0.7826</v>
      </c>
      <c r="AR161" s="153" t="n">
        <f aca="false">IFERROR(IF(AND($N161="VCA",$AJ161&gt;0),($M161*$AG161*$AJ161)-$AI161,0),0)</f>
        <v>2.80330636646129</v>
      </c>
      <c r="AS161" s="153" t="n">
        <f aca="false">IFERROR(IF(AND($N161="VCA",$AP161&gt;0),$AP161-$AI161-$AQ161-$AR161,0),0)</f>
        <v>7.0434</v>
      </c>
      <c r="AT161" s="153" t="n">
        <f aca="false">IFERROR(IF($N161="VCA",INDEX(APOIO_REDES!$A:$W,MATCH($C161&amp;$I161&amp;$H161&amp;$N161&amp;$O161,APOIO_REDES!$W:$W,0),MATCH(AT$5,APOIO_REDES!$5:$5,0)),0)*$AP161,0)</f>
        <v>0.116058354662888</v>
      </c>
      <c r="AU161" s="153" t="n">
        <f aca="false">IFERROR(IF($N161="VCA",INDEX(APOIO_REDES!$A:$W,MATCH($C161&amp;$I161&amp;$H161&amp;$N161&amp;$O161,APOIO_REDES!$W:$W,0),MATCH(AU$5,APOIO_REDES!$5:$5,0)),0)*$AP161,0)</f>
        <v>0.0926810587749083</v>
      </c>
      <c r="AV161" s="153" t="n">
        <f aca="false">IFERROR(IF($N161="VCA",INDEX(APOIO_REDES!$A:$W,MATCH($C161&amp;$I161&amp;$H161&amp;$N161&amp;$O161,APOIO_REDES!$W:$W,0),MATCH(AV$5,APOIO_REDES!$5:$5,0)),0)*$AP161,0)</f>
        <v>0.0128263309596091</v>
      </c>
      <c r="AW161" s="153" t="n">
        <f aca="false">IFERROR(IF($N161="VCA",INDEX(APOIO_REDES!$A:$W,MATCH($C161&amp;$I161&amp;$H161&amp;$N161&amp;$O161,APOIO_REDES!$W:$W,0),MATCH(AW$5,APOIO_REDES!$5:$5,0)),0)*$AP161,0)</f>
        <v>7.32180025389398</v>
      </c>
      <c r="AX161" s="153" t="n">
        <f aca="false">IFERROR(IF($N161="VCA",INDEX(APOIO_REDES!$A:$W,MATCH($C161&amp;$I161&amp;$H161&amp;$N161&amp;$O161,APOIO_REDES!$W:$W,0),MATCH(AX$5,APOIO_REDES!$5:$5,0)),0)*$AP161,0)</f>
        <v>1.01331629859611</v>
      </c>
      <c r="AY161" s="153" t="n">
        <f aca="false">IFERROR(IF($N161="VCA",INDEX(APOIO_REDES!$A:$W,MATCH($C161&amp;$I161&amp;$H161&amp;$N161&amp;$O161,APOIO_REDES!$W:$W,0),MATCH(AY$5,APOIO_REDES!$5:$5,0)),0)*$AP161,0)</f>
        <v>1.85362004572357</v>
      </c>
      <c r="AZ161" s="153" t="n">
        <f aca="false">IFERROR(IF($N161="VCA",INDEX(APOIO_REDES!$A:$W,MATCH($C161&amp;$I161&amp;$H161&amp;$N161&amp;$O161,APOIO_REDES!$W:$W,0),MATCH(AZ$5,APOIO_REDES!$5:$5,0)),0)*$AP161,0)</f>
        <v>0.25653565738893</v>
      </c>
      <c r="BA161" s="153" t="n">
        <f aca="false">IFERROR(IF(AND($N161="VCA",$Q161="LINEAR"),INDEX(APOIO_REDES!$A:$W,MATCH($C161&amp;$I161&amp;$H161&amp;$N161&amp;$O161,APOIO_REDES!$W:$W,0),MATCH(BA$5,APOIO_REDES!$5:$5,0)),IF(AND($N161="MND",$Q161="EMBOQUE"),INDEX(APOIO_REDES!$A:$W,MATCH($C161&amp;$I161&amp;$H161&amp;$N161&amp;$O161,APOIO_REDES!$W:$W,0),MATCH(BA$5,APOIO_REDES!$5:$5,0)),0))*$M161/10,0)</f>
        <v>0.970393630060555</v>
      </c>
      <c r="BB161" s="153" t="n">
        <f aca="false">IFERROR(IF($N161="VCA",INDEX(APOIO_REDES!$A:$W,MATCH($C161&amp;$I161&amp;$H161&amp;$N161&amp;$O161,APOIO_REDES!$W:$W,0),MATCH(BB$5,APOIO_REDES!$5:$5,0)),0)*($AI161+$AQ161+$AR161),0)</f>
        <v>3.5840139220771</v>
      </c>
      <c r="BC161" s="153" t="n">
        <f aca="false">IFERROR(IF($N161="VCA",INDEX(APOIO_REDES!$A:$W,MATCH($C161&amp;$I161&amp;$H161&amp;$N161&amp;$O161,APOIO_REDES!$W:$W,0),MATCH(BC$5,APOIO_REDES!$5:$5,0)),0)*($AI161+$AQ161+$AR161),0)</f>
        <v>0.0394240779229032</v>
      </c>
      <c r="BD161" s="153" t="n">
        <f aca="false">IF(AND($N161="VCA",$AF161&gt;=1.25,$AF161&lt;1.5),$M161*$AF161*2,0)</f>
        <v>32.82104</v>
      </c>
      <c r="BE161" s="153" t="n">
        <f aca="false">IF(AND($N161="VCA",$AF161&gt;=1.5,$AF161&lt;3),$M161*$AF161*2,0)</f>
        <v>0</v>
      </c>
      <c r="BF161" s="153" t="n">
        <f aca="false">IF(AND($N161="VCA",$AF161&gt;=3),$M161*$AF161*2,0)</f>
        <v>0</v>
      </c>
      <c r="BG161" s="153" t="n">
        <f aca="false">($BB161+$BC161)*$AK161</f>
        <v>15.9431272</v>
      </c>
      <c r="BH161" s="153" t="n">
        <f aca="false">IF(AND($M161&lt;&gt;"",$N161="VCA",$Q161="LINEAR"),($M161*2)/100,IF(AND($M161&lt;&gt;"",$N161="MND",$Q161="EMBOQUE"),($AN161*2)/100,0))</f>
        <v>0.2408</v>
      </c>
      <c r="BI161" s="153" t="n">
        <f aca="false">IF(AND($M161&lt;&gt;"",$N161="VCA",$Q161="LINEAR"),$M161,IF(AND($M161&lt;&gt;"",$N161="MND",$Q161="EMBOQUE"),$AN161*2,0))</f>
        <v>12.04</v>
      </c>
      <c r="BJ161" s="153" t="n">
        <f aca="false">IF(AND($M161&lt;&gt;"",$N161="VCA",$Q161="LINEAR"),($M161*6.8)/100,IF(AND($M161&lt;&gt;"",$N161="MND",$Q161="EMBOQUE"),($AN161*2*6.8)/100,0))</f>
        <v>0.81872</v>
      </c>
      <c r="BK161" s="153" t="n">
        <f aca="false">IF(AND($M161&lt;&gt;"",$N161="VCA",$Q161="LINEAR"),($M161*2.5)/50,IF(AND($M161&lt;&gt;"",$N161="MND",$Q161="EMBOQUE"),($AN161*2*2.5)/50,0))</f>
        <v>0.602</v>
      </c>
      <c r="BL161" s="157" t="str">
        <f aca="false">K161&amp;J161</f>
        <v>Zona02REDES</v>
      </c>
      <c r="BM161" s="152" t="s">
        <v>2037</v>
      </c>
      <c r="BN161" s="152" t="s">
        <v>1560</v>
      </c>
      <c r="BO161" s="152" t="s">
        <v>1968</v>
      </c>
      <c r="BP161" s="152" t="s">
        <v>2144</v>
      </c>
      <c r="BQ161" s="152" t="s">
        <v>2133</v>
      </c>
      <c r="BR161" s="152" t="s">
        <v>2061</v>
      </c>
      <c r="BS161" s="152" t="n">
        <v>202709.849</v>
      </c>
      <c r="BT161" s="152" t="n">
        <v>8238042.329</v>
      </c>
      <c r="BU161" s="152" t="n">
        <v>202717.436</v>
      </c>
      <c r="BV161" s="152" t="n">
        <v>8238051.681</v>
      </c>
      <c r="BW161" s="152" t="n">
        <v>-15.9190049</v>
      </c>
      <c r="BX161" s="152" t="n">
        <v>-47.77655</v>
      </c>
      <c r="BY161" s="152" t="s">
        <v>2144</v>
      </c>
    </row>
    <row r="162" customFormat="false" ht="13.8" hidden="false" customHeight="false" outlineLevel="0" collapsed="false">
      <c r="A162" s="149" t="n">
        <f aca="false">IF(C162&lt;&gt;"",ROW(A157),"")</f>
        <v>157</v>
      </c>
      <c r="B162" s="150" t="str">
        <f aca="false">HYPERLINK("https://www.google.com/maps/dir/-15.917302,-47.760003/-15.9194259,-47.7734379/data=!4m3!4m2!3e0!5i0")</f>
        <v>https://www.google.com/maps/dir/-15.917302,-47.760003/-15.9194259,-47.7734379/data=!4m3!4m2!3e0!5i0</v>
      </c>
      <c r="C162" s="151" t="s">
        <v>117</v>
      </c>
      <c r="D162" s="152" t="s">
        <v>112</v>
      </c>
      <c r="E162" s="152" t="s">
        <v>113</v>
      </c>
      <c r="F162" s="152" t="s">
        <v>117</v>
      </c>
      <c r="G162" s="152" t="s">
        <v>782</v>
      </c>
      <c r="H162" s="152" t="n">
        <v>63</v>
      </c>
      <c r="I162" s="152" t="s">
        <v>115</v>
      </c>
      <c r="J162" s="152" t="s">
        <v>6</v>
      </c>
      <c r="K162" s="152" t="s">
        <v>2033</v>
      </c>
      <c r="L162" s="152" t="s">
        <v>120</v>
      </c>
      <c r="M162" s="153" t="n">
        <f aca="false">69.3+2.64</f>
        <v>71.94</v>
      </c>
      <c r="N162" s="152" t="s">
        <v>1548</v>
      </c>
      <c r="O162" s="152" t="s">
        <v>1549</v>
      </c>
      <c r="P162" s="152" t="s">
        <v>1550</v>
      </c>
      <c r="Q162" s="152" t="s">
        <v>1551</v>
      </c>
      <c r="R162" s="154" t="s">
        <v>2145</v>
      </c>
      <c r="S162" s="154" t="s">
        <v>1553</v>
      </c>
      <c r="T162" s="155" t="s">
        <v>1965</v>
      </c>
      <c r="U162" s="152" t="str">
        <f aca="false">RIGHT(T162,7)</f>
        <v>005/037</v>
      </c>
      <c r="V162" s="152" t="s">
        <v>1555</v>
      </c>
      <c r="W162" s="156" t="n">
        <v>45882</v>
      </c>
      <c r="X162" s="152" t="s">
        <v>1594</v>
      </c>
      <c r="Y162" s="152" t="s">
        <v>2063</v>
      </c>
      <c r="Z162" s="152" t="s">
        <v>1557</v>
      </c>
      <c r="AA162" s="153" t="n">
        <v>2.8</v>
      </c>
      <c r="AB162" s="151" t="s">
        <v>2146</v>
      </c>
      <c r="AC162" s="151" t="s">
        <v>186</v>
      </c>
      <c r="AD162" s="151" t="str">
        <f aca="false">CONCATENATE($C162,$I162,$H162,$N162,$J162,$K162)</f>
        <v>TUBO PEADPEAD63VCAREDESZona02</v>
      </c>
      <c r="AE162" s="153" t="n">
        <f aca="false">IFERROR(INDEX(APOIO_REDES!$A:$W,MATCH($C162&amp;$I162&amp;$H162&amp;$N162&amp;$O162,APOIO_REDES!$W:$W,0),MATCH(AE$5,APOIO_REDES!$5:$5,0)),0)</f>
        <v>1.2</v>
      </c>
      <c r="AF162" s="153" t="n">
        <f aca="false">IFERROR(INDEX(APOIO_REDES!$A:$W,MATCH($C162&amp;$I162&amp;$H162&amp;$N162&amp;$O162,APOIO_REDES!$W:$W,0),MATCH(AF$5,APOIO_REDES!$5:$5,0)),0)</f>
        <v>1.363</v>
      </c>
      <c r="AG162" s="153" t="n">
        <f aca="false">IFERROR(INDEX(APOIO_REDES!$A:$W,MATCH($C162&amp;$I162&amp;$H162&amp;$N162&amp;$O162,APOIO_REDES!$W:$W,0),MATCH(AG$5,APOIO_REDES!$5:$5,0)),0)</f>
        <v>0.65</v>
      </c>
      <c r="AH162" s="153" t="n">
        <f aca="false">IFERROR(INDEX(APOIO_REDES!$A:$W,MATCH($C162&amp;$I162&amp;$H162&amp;$N162&amp;$O162,APOIO_REDES!$W:$W,0),MATCH(AH$5,APOIO_REDES!$5:$5,0)),0)</f>
        <v>0.1</v>
      </c>
      <c r="AI162" s="153" t="n">
        <f aca="false">IFERROR(IF($H162&lt;&gt;"",(((($H162/1000)/2)^2)*PI()*$M162),0),0)</f>
        <v>0.224254627639131</v>
      </c>
      <c r="AJ162" s="153" t="n">
        <f aca="false">IFERROR(IF(AND($H162&lt;&gt;"",$I162="FoFo",OR($N162="MND",$N162="VCA"),$Q162="LINEAR"),0,IF(AND($H162&lt;&gt;"",$I162="PEAD",$N162="VCA",$Q162="LINEAR"),($H162/1000)+0.3,IF(AND($H162&lt;&gt;"",$I162="PEAD",$N162="MND",$Q162="EMBOQUE"),0,IF(AND($H162&lt;&gt;"",$I162="PVC",$N162="VCA",$Q162="LINEAR"),($H162/1000)+0.2,IF(AND($H162&lt;&gt;"",$I162="PVC",$N162="MND",$Q162="EMBOQUE"),0,IF(AND($H162&lt;&gt;"",$I162="PEAD",$N162="VCA",$Q162="PREDIAL"),0,0)))))),0)</f>
        <v>0.363</v>
      </c>
      <c r="AK162" s="153" t="n">
        <f aca="false">IF(AA162&lt;&gt;"",AA162,0)</f>
        <v>2.8</v>
      </c>
      <c r="AL162" s="153" t="n">
        <f aca="false">IF(AND($N162="MND",$Q162="EMBOQUE"),$M162,IF(AND($N162="VCA",$Q162="LINEAR"),$M162,IF(AND($N162="VCA",$Q162="PREDIAL"),0,0)))</f>
        <v>71.94</v>
      </c>
      <c r="AM162" s="153" t="n">
        <f aca="false">IF(AND($N162="MND",$Q162="EMBOQUE"),$M162,IF(AND($N162="VCA",$Q162="LINEAR"),$M162,IF(AND($N162="VCA",$Q162="PREDIAL"),0,0)))</f>
        <v>71.94</v>
      </c>
      <c r="AN162" s="153" t="n">
        <f aca="false">ROUND(IF(AND($N162="VCA",$M162&lt;&gt;"",$Q162="LINEAR"),$M162/100,IF(AND($N162="MND",$M162&gt;100,$Q162="EMBOQUE"),$M162/100,0)),0)</f>
        <v>1</v>
      </c>
      <c r="AO162" s="153" t="n">
        <f aca="false">IF(AND($N162="MND",$Q162="EMBOQUE"),$AN162*2*2,IF(AND($N162="VCA",$Q162="LINEAR"),$M162*2,IF(AND($N162="VCA",$Q162="PREDIAL"),0,0)))</f>
        <v>143.88</v>
      </c>
      <c r="AP162" s="153" t="n">
        <f aca="false">IFERROR($M162*$AF162*$AG162,0)</f>
        <v>63.735243</v>
      </c>
      <c r="AQ162" s="153" t="n">
        <f aca="false">IFERROR(IF(AND($N162="VCA",$AH162&gt;0),$M162*$AG162*$AH162,0),0)</f>
        <v>4.6761</v>
      </c>
      <c r="AR162" s="153" t="n">
        <f aca="false">IFERROR(IF(AND($N162="VCA",$AJ162&gt;0),($M162*$AG162*$AJ162)-$AI162,0),0)</f>
        <v>16.7499883723609</v>
      </c>
      <c r="AS162" s="153" t="n">
        <f aca="false">IFERROR(IF(AND($N162="VCA",$AP162&gt;0),$AP162-$AI162-$AQ162-$AR162,0),0)</f>
        <v>42.0849</v>
      </c>
      <c r="AT162" s="153" t="n">
        <f aca="false">IFERROR(IF($N162="VCA",INDEX(APOIO_REDES!$A:$W,MATCH($C162&amp;$I162&amp;$H162&amp;$N162&amp;$O162,APOIO_REDES!$W:$W,0),MATCH(AT$5,APOIO_REDES!$5:$5,0)),0)*$AP162,0)</f>
        <v>0.693458308508983</v>
      </c>
      <c r="AU162" s="153" t="n">
        <f aca="false">IFERROR(IF($N162="VCA",INDEX(APOIO_REDES!$A:$W,MATCH($C162&amp;$I162&amp;$H162&amp;$N162&amp;$O162,APOIO_REDES!$W:$W,0),MATCH(AU$5,APOIO_REDES!$5:$5,0)),0)*$AP162,0)</f>
        <v>0.553777023942434</v>
      </c>
      <c r="AV162" s="153" t="n">
        <f aca="false">IFERROR(IF($N162="VCA",INDEX(APOIO_REDES!$A:$W,MATCH($C162&amp;$I162&amp;$H162&amp;$N162&amp;$O162,APOIO_REDES!$W:$W,0),MATCH(AV$5,APOIO_REDES!$5:$5,0)),0)*$AP162,0)</f>
        <v>0.0766383927935449</v>
      </c>
      <c r="AW162" s="153" t="n">
        <f aca="false">IFERROR(IF($N162="VCA",INDEX(APOIO_REDES!$A:$W,MATCH($C162&amp;$I162&amp;$H162&amp;$N162&amp;$O162,APOIO_REDES!$W:$W,0),MATCH(AW$5,APOIO_REDES!$5:$5,0)),0)*$AP162,0)</f>
        <v>43.7483646399612</v>
      </c>
      <c r="AX162" s="153" t="n">
        <f aca="false">IFERROR(IF($N162="VCA",INDEX(APOIO_REDES!$A:$W,MATCH($C162&amp;$I162&amp;$H162&amp;$N162&amp;$O162,APOIO_REDES!$W:$W,0),MATCH(AX$5,APOIO_REDES!$5:$5,0)),0)*$AP162,0)</f>
        <v>6.05464904659504</v>
      </c>
      <c r="AY162" s="153" t="n">
        <f aca="false">IFERROR(IF($N162="VCA",INDEX(APOIO_REDES!$A:$W,MATCH($C162&amp;$I162&amp;$H162&amp;$N162&amp;$O162,APOIO_REDES!$W:$W,0),MATCH(AY$5,APOIO_REDES!$5:$5,0)),0)*$AP162,0)</f>
        <v>11.0755337283517</v>
      </c>
      <c r="AZ162" s="153" t="n">
        <f aca="false">IFERROR(IF($N162="VCA",INDEX(APOIO_REDES!$A:$W,MATCH($C162&amp;$I162&amp;$H162&amp;$N162&amp;$O162,APOIO_REDES!$W:$W,0),MATCH(AZ$5,APOIO_REDES!$5:$5,0)),0)*$AP162,0)</f>
        <v>1.53282185984715</v>
      </c>
      <c r="BA162" s="153" t="n">
        <f aca="false">IFERROR(IF(AND($N162="VCA",$Q162="LINEAR"),INDEX(APOIO_REDES!$A:$W,MATCH($C162&amp;$I162&amp;$H162&amp;$N162&amp;$O162,APOIO_REDES!$W:$W,0),MATCH(BA$5,APOIO_REDES!$5:$5,0)),IF(AND($N162="MND",$Q162="EMBOQUE"),INDEX(APOIO_REDES!$A:$W,MATCH($C162&amp;$I162&amp;$H162&amp;$N162&amp;$O162,APOIO_REDES!$W:$W,0),MATCH(BA$5,APOIO_REDES!$5:$5,0)),0))*$M162/10,0)</f>
        <v>5.79818253708939</v>
      </c>
      <c r="BB162" s="153" t="n">
        <f aca="false">IFERROR(IF($N162="VCA",INDEX(APOIO_REDES!$A:$W,MATCH($C162&amp;$I162&amp;$H162&amp;$N162&amp;$O162,APOIO_REDES!$W:$W,0),MATCH(BB$5,APOIO_REDES!$5:$5,0)),0)*($AI162+$AQ162+$AR162),0)</f>
        <v>21.4147808599856</v>
      </c>
      <c r="BC162" s="153" t="n">
        <f aca="false">IFERROR(IF($N162="VCA",INDEX(APOIO_REDES!$A:$W,MATCH($C162&amp;$I162&amp;$H162&amp;$N162&amp;$O162,APOIO_REDES!$W:$W,0),MATCH(BC$5,APOIO_REDES!$5:$5,0)),0)*($AI162+$AQ162+$AR162),0)</f>
        <v>0.235562140014424</v>
      </c>
      <c r="BD162" s="153" t="n">
        <f aca="false">IF(AND($N162="VCA",$AF162&gt;=1.25,$AF162&lt;1.5),$M162*$AF162*2,0)</f>
        <v>196.10844</v>
      </c>
      <c r="BE162" s="153" t="n">
        <f aca="false">IF(AND($N162="VCA",$AF162&gt;=1.5,$AF162&lt;3),$M162*$AF162*2,0)</f>
        <v>0</v>
      </c>
      <c r="BF162" s="153" t="n">
        <f aca="false">IF(AND($N162="VCA",$AF162&gt;=3),$M162*$AF162*2,0)</f>
        <v>0</v>
      </c>
      <c r="BG162" s="153" t="n">
        <f aca="false">($BB162+$BC162)*$AK162</f>
        <v>60.6209604</v>
      </c>
      <c r="BH162" s="153" t="n">
        <f aca="false">IF(AND($M162&lt;&gt;"",$N162="VCA",$Q162="LINEAR"),($M162*2)/100,IF(AND($M162&lt;&gt;"",$N162="MND",$Q162="EMBOQUE"),($AN162*2)/100,0))</f>
        <v>1.4388</v>
      </c>
      <c r="BI162" s="153" t="n">
        <f aca="false">IF(AND($M162&lt;&gt;"",$N162="VCA",$Q162="LINEAR"),$M162,IF(AND($M162&lt;&gt;"",$N162="MND",$Q162="EMBOQUE"),$AN162*2,0))</f>
        <v>71.94</v>
      </c>
      <c r="BJ162" s="153" t="n">
        <f aca="false">IF(AND($M162&lt;&gt;"",$N162="VCA",$Q162="LINEAR"),($M162*6.8)/100,IF(AND($M162&lt;&gt;"",$N162="MND",$Q162="EMBOQUE"),($AN162*2*6.8)/100,0))</f>
        <v>4.89192</v>
      </c>
      <c r="BK162" s="153" t="n">
        <f aca="false">IF(AND($M162&lt;&gt;"",$N162="VCA",$Q162="LINEAR"),($M162*2.5)/50,IF(AND($M162&lt;&gt;"",$N162="MND",$Q162="EMBOQUE"),($AN162*2*2.5)/50,0))</f>
        <v>3.597</v>
      </c>
      <c r="BL162" s="157" t="str">
        <f aca="false">K162&amp;J162</f>
        <v>Zona02REDES</v>
      </c>
      <c r="BM162" s="152" t="s">
        <v>2037</v>
      </c>
      <c r="BN162" s="152" t="s">
        <v>1560</v>
      </c>
      <c r="BO162" s="152" t="s">
        <v>1968</v>
      </c>
      <c r="BP162" s="152" t="s">
        <v>2147</v>
      </c>
      <c r="BQ162" s="152" t="s">
        <v>2148</v>
      </c>
      <c r="BR162" s="152" t="s">
        <v>2149</v>
      </c>
      <c r="BS162" s="152" t="n">
        <v>203047.734</v>
      </c>
      <c r="BT162" s="152" t="n">
        <v>8238004.876</v>
      </c>
      <c r="BU162" s="152" t="n">
        <v>203079.667</v>
      </c>
      <c r="BV162" s="152" t="n">
        <v>8238066.369</v>
      </c>
      <c r="BW162" s="152" t="n">
        <v>-15.9191502</v>
      </c>
      <c r="BX162" s="152" t="n">
        <v>-47.7732838</v>
      </c>
      <c r="BY162" s="152" t="s">
        <v>2147</v>
      </c>
    </row>
    <row r="163" customFormat="false" ht="13.8" hidden="false" customHeight="false" outlineLevel="0" collapsed="false">
      <c r="A163" s="149" t="n">
        <f aca="false">IF(C163&lt;&gt;"",ROW(A158),"")</f>
        <v>158</v>
      </c>
      <c r="B163" s="150" t="str">
        <f aca="false">HYPERLINK("https://www.google.com/maps/dir/-15.917302,-47.760003/-15.9192697,-47.7737171/data=!4m3!4m2!3e0!5i0")</f>
        <v>https://www.google.com/maps/dir/-15.917302,-47.760003/-15.9192697,-47.7737171/data=!4m3!4m2!3e0!5i0</v>
      </c>
      <c r="C163" s="151" t="s">
        <v>117</v>
      </c>
      <c r="D163" s="152" t="s">
        <v>112</v>
      </c>
      <c r="E163" s="152" t="s">
        <v>113</v>
      </c>
      <c r="F163" s="152" t="s">
        <v>117</v>
      </c>
      <c r="G163" s="152" t="s">
        <v>782</v>
      </c>
      <c r="H163" s="152" t="n">
        <v>110</v>
      </c>
      <c r="I163" s="152" t="s">
        <v>115</v>
      </c>
      <c r="J163" s="152" t="s">
        <v>6</v>
      </c>
      <c r="K163" s="152" t="s">
        <v>2033</v>
      </c>
      <c r="L163" s="152" t="s">
        <v>120</v>
      </c>
      <c r="M163" s="153" t="n">
        <f aca="false">33.96</f>
        <v>33.96</v>
      </c>
      <c r="N163" s="152" t="s">
        <v>1548</v>
      </c>
      <c r="O163" s="152" t="s">
        <v>1549</v>
      </c>
      <c r="P163" s="152" t="s">
        <v>1550</v>
      </c>
      <c r="Q163" s="152" t="s">
        <v>1551</v>
      </c>
      <c r="R163" s="154" t="s">
        <v>2150</v>
      </c>
      <c r="S163" s="154" t="s">
        <v>1593</v>
      </c>
      <c r="T163" s="155" t="s">
        <v>1965</v>
      </c>
      <c r="U163" s="152" t="str">
        <f aca="false">RIGHT(T163,7)</f>
        <v>005/037</v>
      </c>
      <c r="V163" s="152" t="s">
        <v>1555</v>
      </c>
      <c r="W163" s="156" t="n">
        <v>45882</v>
      </c>
      <c r="X163" s="152" t="s">
        <v>1594</v>
      </c>
      <c r="Y163" s="152" t="s">
        <v>2063</v>
      </c>
      <c r="Z163" s="152" t="s">
        <v>1557</v>
      </c>
      <c r="AA163" s="153" t="n">
        <v>2.9</v>
      </c>
      <c r="AB163" s="151" t="s">
        <v>2151</v>
      </c>
      <c r="AC163" s="151" t="s">
        <v>502</v>
      </c>
      <c r="AD163" s="151" t="str">
        <f aca="false">CONCATENATE($C163,$I163,$H163,$N163,$J163,$K163)</f>
        <v>TUBO PEADPEAD110VCAREDESZona02</v>
      </c>
      <c r="AE163" s="153" t="n">
        <f aca="false">IFERROR(INDEX(APOIO_REDES!$A:$W,MATCH($C163&amp;$I163&amp;$H163&amp;$N163&amp;$O163,APOIO_REDES!$W:$W,0),MATCH(AE$5,APOIO_REDES!$5:$5,0)),0)</f>
        <v>1.2</v>
      </c>
      <c r="AF163" s="153" t="n">
        <f aca="false">IFERROR(INDEX(APOIO_REDES!$A:$W,MATCH($C163&amp;$I163&amp;$H163&amp;$N163&amp;$O163,APOIO_REDES!$W:$W,0),MATCH(AF$5,APOIO_REDES!$5:$5,0)),0)</f>
        <v>1.41</v>
      </c>
      <c r="AG163" s="153" t="n">
        <f aca="false">IFERROR(INDEX(APOIO_REDES!$A:$W,MATCH($C163&amp;$I163&amp;$H163&amp;$N163&amp;$O163,APOIO_REDES!$W:$W,0),MATCH(AG$5,APOIO_REDES!$5:$5,0)),0)</f>
        <v>0.75</v>
      </c>
      <c r="AH163" s="153" t="n">
        <f aca="false">IFERROR(INDEX(APOIO_REDES!$A:$W,MATCH($C163&amp;$I163&amp;$H163&amp;$N163&amp;$O163,APOIO_REDES!$W:$W,0),MATCH(AH$5,APOIO_REDES!$5:$5,0)),0)</f>
        <v>0.1</v>
      </c>
      <c r="AI163" s="153" t="n">
        <f aca="false">IFERROR(IF($H163&lt;&gt;"",(((($H163/1000)/2)^2)*PI()*$M163),0),0)</f>
        <v>0.322732671710626</v>
      </c>
      <c r="AJ163" s="153" t="n">
        <f aca="false">IFERROR(IF(AND($H163&lt;&gt;"",$I163="FoFo",OR($N163="MND",$N163="VCA"),$Q163="LINEAR"),0,IF(AND($H163&lt;&gt;"",$I163="PEAD",$N163="VCA",$Q163="LINEAR"),($H163/1000)+0.3,IF(AND($H163&lt;&gt;"",$I163="PEAD",$N163="MND",$Q163="EMBOQUE"),0,IF(AND($H163&lt;&gt;"",$I163="PVC",$N163="VCA",$Q163="LINEAR"),($H163/1000)+0.2,IF(AND($H163&lt;&gt;"",$I163="PVC",$N163="MND",$Q163="EMBOQUE"),0,IF(AND($H163&lt;&gt;"",$I163="PEAD",$N163="VCA",$Q163="PREDIAL"),0,0)))))),0)</f>
        <v>0.41</v>
      </c>
      <c r="AK163" s="153" t="n">
        <f aca="false">IF(AA163&lt;&gt;"",AA163,0)</f>
        <v>2.9</v>
      </c>
      <c r="AL163" s="153" t="n">
        <f aca="false">IF(AND($N163="MND",$Q163="EMBOQUE"),$M163,IF(AND($N163="VCA",$Q163="LINEAR"),$M163,IF(AND($N163="VCA",$Q163="PREDIAL"),0,0)))</f>
        <v>33.96</v>
      </c>
      <c r="AM163" s="153" t="n">
        <f aca="false">IF(AND($N163="MND",$Q163="EMBOQUE"),$M163,IF(AND($N163="VCA",$Q163="LINEAR"),$M163,IF(AND($N163="VCA",$Q163="PREDIAL"),0,0)))</f>
        <v>33.96</v>
      </c>
      <c r="AN163" s="153" t="n">
        <f aca="false">ROUND(IF(AND($N163="VCA",$M163&lt;&gt;"",$Q163="LINEAR"),$M163/100,IF(AND($N163="MND",$M163&gt;100,$Q163="EMBOQUE"),$M163/100,0)),0)</f>
        <v>0</v>
      </c>
      <c r="AO163" s="153" t="n">
        <f aca="false">IF(AND($N163="MND",$Q163="EMBOQUE"),$AN163*2*2,IF(AND($N163="VCA",$Q163="LINEAR"),$M163*2,IF(AND($N163="VCA",$Q163="PREDIAL"),0,0)))</f>
        <v>67.92</v>
      </c>
      <c r="AP163" s="153" t="n">
        <f aca="false">IFERROR($M163*$AF163*$AG163,0)</f>
        <v>35.9127</v>
      </c>
      <c r="AQ163" s="153" t="n">
        <f aca="false">IFERROR(IF(AND($N163="VCA",$AH163&gt;0),$M163*$AG163*$AH163,0),0)</f>
        <v>2.547</v>
      </c>
      <c r="AR163" s="153" t="n">
        <f aca="false">IFERROR(IF(AND($N163="VCA",$AJ163&gt;0),($M163*$AG163*$AJ163)-$AI163,0),0)</f>
        <v>10.1199673282894</v>
      </c>
      <c r="AS163" s="153" t="n">
        <f aca="false">IFERROR(IF(AND($N163="VCA",$AP163&gt;0),$AP163-$AI163-$AQ163-$AR163,0),0)</f>
        <v>22.923</v>
      </c>
      <c r="AT163" s="153" t="n">
        <f aca="false">IFERROR(IF($N163="VCA",INDEX(APOIO_REDES!$A:$W,MATCH($C163&amp;$I163&amp;$H163&amp;$N163&amp;$O163,APOIO_REDES!$W:$W,0),MATCH(AT$5,APOIO_REDES!$5:$5,0)),0)*$AP163,0)</f>
        <v>0.390740805616613</v>
      </c>
      <c r="AU163" s="153" t="n">
        <f aca="false">IFERROR(IF($N163="VCA",INDEX(APOIO_REDES!$A:$W,MATCH($C163&amp;$I163&amp;$H163&amp;$N163&amp;$O163,APOIO_REDES!$W:$W,0),MATCH(AU$5,APOIO_REDES!$5:$5,0)),0)*$AP163,0)</f>
        <v>0.31203502476232</v>
      </c>
      <c r="AV163" s="153" t="n">
        <f aca="false">IFERROR(IF($N163="VCA",INDEX(APOIO_REDES!$A:$W,MATCH($C163&amp;$I163&amp;$H163&amp;$N163&amp;$O163,APOIO_REDES!$W:$W,0),MATCH(AV$5,APOIO_REDES!$5:$5,0)),0)*$AP163,0)</f>
        <v>0.0431831978561177</v>
      </c>
      <c r="AW163" s="153" t="n">
        <f aca="false">IFERROR(IF($N163="VCA",INDEX(APOIO_REDES!$A:$W,MATCH($C163&amp;$I163&amp;$H163&amp;$N163&amp;$O163,APOIO_REDES!$W:$W,0),MATCH(AW$5,APOIO_REDES!$5:$5,0)),0)*$AP163,0)</f>
        <v>24.6507555451783</v>
      </c>
      <c r="AX163" s="153" t="n">
        <f aca="false">IFERROR(IF($N163="VCA",INDEX(APOIO_REDES!$A:$W,MATCH($C163&amp;$I163&amp;$H163&amp;$N163&amp;$O163,APOIO_REDES!$W:$W,0),MATCH(AX$5,APOIO_REDES!$5:$5,0)),0)*$AP163,0)</f>
        <v>3.41159434844633</v>
      </c>
      <c r="AY163" s="153" t="n">
        <f aca="false">IFERROR(IF($N163="VCA",INDEX(APOIO_REDES!$A:$W,MATCH($C163&amp;$I163&amp;$H163&amp;$N163&amp;$O163,APOIO_REDES!$W:$W,0),MATCH(AY$5,APOIO_REDES!$5:$5,0)),0)*$AP163,0)</f>
        <v>6.24069669156474</v>
      </c>
      <c r="AZ163" s="153" t="n">
        <f aca="false">IFERROR(IF($N163="VCA",INDEX(APOIO_REDES!$A:$W,MATCH($C163&amp;$I163&amp;$H163&amp;$N163&amp;$O163,APOIO_REDES!$W:$W,0),MATCH(AZ$5,APOIO_REDES!$5:$5,0)),0)*$AP163,0)</f>
        <v>0.863694386575613</v>
      </c>
      <c r="BA163" s="153" t="n">
        <f aca="false">IFERROR(IF(AND($N163="VCA",$Q163="LINEAR"),INDEX(APOIO_REDES!$A:$W,MATCH($C163&amp;$I163&amp;$H163&amp;$N163&amp;$O163,APOIO_REDES!$W:$W,0),MATCH(BA$5,APOIO_REDES!$5:$5,0)),IF(AND($N163="MND",$Q163="EMBOQUE"),INDEX(APOIO_REDES!$A:$W,MATCH($C163&amp;$I163&amp;$H163&amp;$N163&amp;$O163,APOIO_REDES!$W:$W,0),MATCH(BA$5,APOIO_REDES!$5:$5,0)),0))*$M163/10,0)</f>
        <v>2.73709033860934</v>
      </c>
      <c r="BB163" s="153" t="n">
        <f aca="false">IFERROR(IF($N163="VCA",INDEX(APOIO_REDES!$A:$W,MATCH($C163&amp;$I163&amp;$H163&amp;$N163&amp;$O163,APOIO_REDES!$W:$W,0),MATCH(BB$5,APOIO_REDES!$5:$5,0)),0)*($AI163+$AQ163+$AR163),0)</f>
        <v>12.8483682192451</v>
      </c>
      <c r="BC163" s="153" t="n">
        <f aca="false">IFERROR(IF($N163="VCA",INDEX(APOIO_REDES!$A:$W,MATCH($C163&amp;$I163&amp;$H163&amp;$N163&amp;$O163,APOIO_REDES!$W:$W,0),MATCH(BC$5,APOIO_REDES!$5:$5,0)),0)*($AI163+$AQ163+$AR163),0)</f>
        <v>0.141331780754945</v>
      </c>
      <c r="BD163" s="153" t="n">
        <f aca="false">IF(AND($N163="VCA",$AF163&gt;=1.25,$AF163&lt;1.5),$M163*$AF163*2,0)</f>
        <v>95.7672</v>
      </c>
      <c r="BE163" s="153" t="n">
        <f aca="false">IF(AND($N163="VCA",$AF163&gt;=1.5,$AF163&lt;3),$M163*$AF163*2,0)</f>
        <v>0</v>
      </c>
      <c r="BF163" s="153" t="n">
        <f aca="false">IF(AND($N163="VCA",$AF163&gt;=3),$M163*$AF163*2,0)</f>
        <v>0</v>
      </c>
      <c r="BG163" s="153" t="n">
        <f aca="false">($BB163+$BC163)*$AK163</f>
        <v>37.67013</v>
      </c>
      <c r="BH163" s="153" t="n">
        <f aca="false">IF(AND($M163&lt;&gt;"",$N163="VCA",$Q163="LINEAR"),($M163*2)/100,IF(AND($M163&lt;&gt;"",$N163="MND",$Q163="EMBOQUE"),($AN163*2)/100,0))</f>
        <v>0.6792</v>
      </c>
      <c r="BI163" s="153" t="n">
        <f aca="false">IF(AND($M163&lt;&gt;"",$N163="VCA",$Q163="LINEAR"),$M163,IF(AND($M163&lt;&gt;"",$N163="MND",$Q163="EMBOQUE"),$AN163*2,0))</f>
        <v>33.96</v>
      </c>
      <c r="BJ163" s="153" t="n">
        <f aca="false">IF(AND($M163&lt;&gt;"",$N163="VCA",$Q163="LINEAR"),($M163*6.8)/100,IF(AND($M163&lt;&gt;"",$N163="MND",$Q163="EMBOQUE"),($AN163*2*6.8)/100,0))</f>
        <v>2.30928</v>
      </c>
      <c r="BK163" s="153" t="n">
        <f aca="false">IF(AND($M163&lt;&gt;"",$N163="VCA",$Q163="LINEAR"),($M163*2.5)/50,IF(AND($M163&lt;&gt;"",$N163="MND",$Q163="EMBOQUE"),($AN163*2*2.5)/50,0))</f>
        <v>1.698</v>
      </c>
      <c r="BL163" s="157" t="str">
        <f aca="false">K163&amp;J163</f>
        <v>Zona02REDES</v>
      </c>
      <c r="BM163" s="152" t="s">
        <v>2037</v>
      </c>
      <c r="BN163" s="152" t="s">
        <v>1560</v>
      </c>
      <c r="BO163" s="152" t="s">
        <v>1968</v>
      </c>
      <c r="BP163" s="152" t="s">
        <v>2136</v>
      </c>
      <c r="BQ163" s="152" t="s">
        <v>2128</v>
      </c>
      <c r="BR163" s="152" t="s">
        <v>2152</v>
      </c>
      <c r="BS163" s="152" t="n">
        <v>203017.562</v>
      </c>
      <c r="BT163" s="152" t="n">
        <v>8238021.722</v>
      </c>
      <c r="BU163" s="152" t="n">
        <v>202988.24</v>
      </c>
      <c r="BV163" s="152" t="n">
        <v>8238038.683</v>
      </c>
      <c r="BW163" s="152" t="n">
        <v>-15.9191896</v>
      </c>
      <c r="BX163" s="152" t="n">
        <v>-47.7738522</v>
      </c>
      <c r="BY163" s="152" t="s">
        <v>2136</v>
      </c>
    </row>
    <row r="164" customFormat="false" ht="13.8" hidden="false" customHeight="false" outlineLevel="0" collapsed="false">
      <c r="A164" s="149" t="n">
        <f aca="false">IF(C164&lt;&gt;"",ROW(A159),"")</f>
        <v>159</v>
      </c>
      <c r="B164" s="150" t="str">
        <f aca="false">HYPERLINK("https://www.google.com/maps/dir/-15.917302,-47.760003/-15.9194194,-47.7734490/data=!4m3!4m2!3e0!5i0")</f>
        <v>https://www.google.com/maps/dir/-15.917302,-47.760003/-15.9194194,-47.7734490/data=!4m3!4m2!3e0!5i0</v>
      </c>
      <c r="C164" s="151" t="s">
        <v>117</v>
      </c>
      <c r="D164" s="152" t="s">
        <v>112</v>
      </c>
      <c r="E164" s="152" t="s">
        <v>113</v>
      </c>
      <c r="F164" s="152" t="s">
        <v>117</v>
      </c>
      <c r="G164" s="152" t="s">
        <v>782</v>
      </c>
      <c r="H164" s="152" t="n">
        <v>110</v>
      </c>
      <c r="I164" s="152" t="s">
        <v>115</v>
      </c>
      <c r="J164" s="152" t="s">
        <v>6</v>
      </c>
      <c r="K164" s="152" t="s">
        <v>2033</v>
      </c>
      <c r="L164" s="152" t="s">
        <v>120</v>
      </c>
      <c r="M164" s="153" t="n">
        <f aca="false">33.18</f>
        <v>33.18</v>
      </c>
      <c r="N164" s="152" t="s">
        <v>1548</v>
      </c>
      <c r="O164" s="152" t="s">
        <v>1549</v>
      </c>
      <c r="P164" s="152" t="s">
        <v>1550</v>
      </c>
      <c r="Q164" s="152" t="s">
        <v>1551</v>
      </c>
      <c r="R164" s="154" t="s">
        <v>2153</v>
      </c>
      <c r="S164" s="154" t="s">
        <v>1593</v>
      </c>
      <c r="T164" s="155" t="s">
        <v>1965</v>
      </c>
      <c r="U164" s="152" t="str">
        <f aca="false">RIGHT(T164,7)</f>
        <v>005/037</v>
      </c>
      <c r="V164" s="152" t="s">
        <v>1555</v>
      </c>
      <c r="W164" s="156" t="n">
        <v>45882</v>
      </c>
      <c r="X164" s="152" t="s">
        <v>1594</v>
      </c>
      <c r="Y164" s="152" t="s">
        <v>2063</v>
      </c>
      <c r="Z164" s="152" t="s">
        <v>1557</v>
      </c>
      <c r="AA164" s="153" t="n">
        <v>2.8</v>
      </c>
      <c r="AB164" s="151" t="s">
        <v>2154</v>
      </c>
      <c r="AC164" s="151" t="s">
        <v>502</v>
      </c>
      <c r="AD164" s="151" t="str">
        <f aca="false">CONCATENATE($C164,$I164,$H164,$N164,$J164,$K164)</f>
        <v>TUBO PEADPEAD110VCAREDESZona02</v>
      </c>
      <c r="AE164" s="153" t="n">
        <f aca="false">IFERROR(INDEX(APOIO_REDES!$A:$W,MATCH($C164&amp;$I164&amp;$H164&amp;$N164&amp;$O164,APOIO_REDES!$W:$W,0),MATCH(AE$5,APOIO_REDES!$5:$5,0)),0)</f>
        <v>1.2</v>
      </c>
      <c r="AF164" s="153" t="n">
        <f aca="false">IFERROR(INDEX(APOIO_REDES!$A:$W,MATCH($C164&amp;$I164&amp;$H164&amp;$N164&amp;$O164,APOIO_REDES!$W:$W,0),MATCH(AF$5,APOIO_REDES!$5:$5,0)),0)</f>
        <v>1.41</v>
      </c>
      <c r="AG164" s="153" t="n">
        <f aca="false">IFERROR(INDEX(APOIO_REDES!$A:$W,MATCH($C164&amp;$I164&amp;$H164&amp;$N164&amp;$O164,APOIO_REDES!$W:$W,0),MATCH(AG$5,APOIO_REDES!$5:$5,0)),0)</f>
        <v>0.75</v>
      </c>
      <c r="AH164" s="153" t="n">
        <f aca="false">IFERROR(INDEX(APOIO_REDES!$A:$W,MATCH($C164&amp;$I164&amp;$H164&amp;$N164&amp;$O164,APOIO_REDES!$W:$W,0),MATCH(AH$5,APOIO_REDES!$5:$5,0)),0)</f>
        <v>0.1</v>
      </c>
      <c r="AI164" s="153" t="n">
        <f aca="false">IFERROR(IF($H164&lt;&gt;"",(((($H164/1000)/2)^2)*PI()*$M164),0),0)</f>
        <v>0.315320083844481</v>
      </c>
      <c r="AJ164" s="153" t="n">
        <f aca="false">IFERROR(IF(AND($H164&lt;&gt;"",$I164="FoFo",OR($N164="MND",$N164="VCA"),$Q164="LINEAR"),0,IF(AND($H164&lt;&gt;"",$I164="PEAD",$N164="VCA",$Q164="LINEAR"),($H164/1000)+0.3,IF(AND($H164&lt;&gt;"",$I164="PEAD",$N164="MND",$Q164="EMBOQUE"),0,IF(AND($H164&lt;&gt;"",$I164="PVC",$N164="VCA",$Q164="LINEAR"),($H164/1000)+0.2,IF(AND($H164&lt;&gt;"",$I164="PVC",$N164="MND",$Q164="EMBOQUE"),0,IF(AND($H164&lt;&gt;"",$I164="PEAD",$N164="VCA",$Q164="PREDIAL"),0,0)))))),0)</f>
        <v>0.41</v>
      </c>
      <c r="AK164" s="153" t="n">
        <f aca="false">IF(AA164&lt;&gt;"",AA164,0)</f>
        <v>2.8</v>
      </c>
      <c r="AL164" s="153" t="n">
        <f aca="false">IF(AND($N164="MND",$Q164="EMBOQUE"),$M164,IF(AND($N164="VCA",$Q164="LINEAR"),$M164,IF(AND($N164="VCA",$Q164="PREDIAL"),0,0)))</f>
        <v>33.18</v>
      </c>
      <c r="AM164" s="153" t="n">
        <f aca="false">IF(AND($N164="MND",$Q164="EMBOQUE"),$M164,IF(AND($N164="VCA",$Q164="LINEAR"),$M164,IF(AND($N164="VCA",$Q164="PREDIAL"),0,0)))</f>
        <v>33.18</v>
      </c>
      <c r="AN164" s="153" t="n">
        <f aca="false">ROUND(IF(AND($N164="VCA",$M164&lt;&gt;"",$Q164="LINEAR"),$M164/100,IF(AND($N164="MND",$M164&gt;100,$Q164="EMBOQUE"),$M164/100,0)),0)</f>
        <v>0</v>
      </c>
      <c r="AO164" s="153" t="n">
        <f aca="false">IF(AND($N164="MND",$Q164="EMBOQUE"),$AN164*2*2,IF(AND($N164="VCA",$Q164="LINEAR"),$M164*2,IF(AND($N164="VCA",$Q164="PREDIAL"),0,0)))</f>
        <v>66.36</v>
      </c>
      <c r="AP164" s="153" t="n">
        <f aca="false">IFERROR($M164*$AF164*$AG164,0)</f>
        <v>35.08785</v>
      </c>
      <c r="AQ164" s="153" t="n">
        <f aca="false">IFERROR(IF(AND($N164="VCA",$AH164&gt;0),$M164*$AG164*$AH164,0),0)</f>
        <v>2.4885</v>
      </c>
      <c r="AR164" s="153" t="n">
        <f aca="false">IFERROR(IF(AND($N164="VCA",$AJ164&gt;0),($M164*$AG164*$AJ164)-$AI164,0),0)</f>
        <v>9.88752991615552</v>
      </c>
      <c r="AS164" s="153" t="n">
        <f aca="false">IFERROR(IF(AND($N164="VCA",$AP164&gt;0),$AP164-$AI164-$AQ164-$AR164,0),0)</f>
        <v>22.3965</v>
      </c>
      <c r="AT164" s="153" t="n">
        <f aca="false">IFERROR(IF($N164="VCA",INDEX(APOIO_REDES!$A:$W,MATCH($C164&amp;$I164&amp;$H164&amp;$N164&amp;$O164,APOIO_REDES!$W:$W,0),MATCH(AT$5,APOIO_REDES!$5:$5,0)),0)*$AP164,0)</f>
        <v>0.381766193473475</v>
      </c>
      <c r="AU164" s="153" t="n">
        <f aca="false">IFERROR(IF($N164="VCA",INDEX(APOIO_REDES!$A:$W,MATCH($C164&amp;$I164&amp;$H164&amp;$N164&amp;$O164,APOIO_REDES!$W:$W,0),MATCH(AU$5,APOIO_REDES!$5:$5,0)),0)*$AP164,0)</f>
        <v>0.304868142568132</v>
      </c>
      <c r="AV164" s="153" t="n">
        <f aca="false">IFERROR(IF($N164="VCA",INDEX(APOIO_REDES!$A:$W,MATCH($C164&amp;$I164&amp;$H164&amp;$N164&amp;$O164,APOIO_REDES!$W:$W,0),MATCH(AV$5,APOIO_REDES!$5:$5,0)),0)*$AP164,0)</f>
        <v>0.0421913576226733</v>
      </c>
      <c r="AW164" s="153" t="n">
        <f aca="false">IFERROR(IF($N164="VCA",INDEX(APOIO_REDES!$A:$W,MATCH($C164&amp;$I164&amp;$H164&amp;$N164&amp;$O164,APOIO_REDES!$W:$W,0),MATCH(AW$5,APOIO_REDES!$5:$5,0)),0)*$AP164,0)</f>
        <v>24.0845721139286</v>
      </c>
      <c r="AX164" s="153" t="n">
        <f aca="false">IFERROR(IF($N164="VCA",INDEX(APOIO_REDES!$A:$W,MATCH($C164&amp;$I164&amp;$H164&amp;$N164&amp;$O164,APOIO_REDES!$W:$W,0),MATCH(AX$5,APOIO_REDES!$5:$5,0)),0)*$AP164,0)</f>
        <v>3.33323617436541</v>
      </c>
      <c r="AY164" s="153" t="n">
        <f aca="false">IFERROR(IF($N164="VCA",INDEX(APOIO_REDES!$A:$W,MATCH($C164&amp;$I164&amp;$H164&amp;$N164&amp;$O164,APOIO_REDES!$W:$W,0),MATCH(AY$5,APOIO_REDES!$5:$5,0)),0)*$AP164,0)</f>
        <v>6.0973591350447</v>
      </c>
      <c r="AZ164" s="153" t="n">
        <f aca="false">IFERROR(IF($N164="VCA",INDEX(APOIO_REDES!$A:$W,MATCH($C164&amp;$I164&amp;$H164&amp;$N164&amp;$O164,APOIO_REDES!$W:$W,0),MATCH(AZ$5,APOIO_REDES!$5:$5,0)),0)*$AP164,0)</f>
        <v>0.843856882997021</v>
      </c>
      <c r="BA164" s="153" t="n">
        <f aca="false">IFERROR(IF(AND($N164="VCA",$Q164="LINEAR"),INDEX(APOIO_REDES!$A:$W,MATCH($C164&amp;$I164&amp;$H164&amp;$N164&amp;$O164,APOIO_REDES!$W:$W,0),MATCH(BA$5,APOIO_REDES!$5:$5,0)),IF(AND($N164="MND",$Q164="EMBOQUE"),INDEX(APOIO_REDES!$A:$W,MATCH($C164&amp;$I164&amp;$H164&amp;$N164&amp;$O164,APOIO_REDES!$W:$W,0),MATCH(BA$5,APOIO_REDES!$5:$5,0)),0))*$M164/10,0)</f>
        <v>2.67422430609711</v>
      </c>
      <c r="BB164" s="153" t="n">
        <f aca="false">IFERROR(IF($N164="VCA",INDEX(APOIO_REDES!$A:$W,MATCH($C164&amp;$I164&amp;$H164&amp;$N164&amp;$O164,APOIO_REDES!$W:$W,0),MATCH(BB$5,APOIO_REDES!$5:$5,0)),0)*($AI164+$AQ164+$AR164),0)</f>
        <v>12.5532643555521</v>
      </c>
      <c r="BC164" s="153" t="n">
        <f aca="false">IFERROR(IF($N164="VCA",INDEX(APOIO_REDES!$A:$W,MATCH($C164&amp;$I164&amp;$H164&amp;$N164&amp;$O164,APOIO_REDES!$W:$W,0),MATCH(BC$5,APOIO_REDES!$5:$5,0)),0)*($AI164+$AQ164+$AR164),0)</f>
        <v>0.138085644447853</v>
      </c>
      <c r="BD164" s="153" t="n">
        <f aca="false">IF(AND($N164="VCA",$AF164&gt;=1.25,$AF164&lt;1.5),$M164*$AF164*2,0)</f>
        <v>93.5676</v>
      </c>
      <c r="BE164" s="153" t="n">
        <f aca="false">IF(AND($N164="VCA",$AF164&gt;=1.5,$AF164&lt;3),$M164*$AF164*2,0)</f>
        <v>0</v>
      </c>
      <c r="BF164" s="153" t="n">
        <f aca="false">IF(AND($N164="VCA",$AF164&gt;=3),$M164*$AF164*2,0)</f>
        <v>0</v>
      </c>
      <c r="BG164" s="153" t="n">
        <f aca="false">($BB164+$BC164)*$AK164</f>
        <v>35.53578</v>
      </c>
      <c r="BH164" s="153" t="n">
        <f aca="false">IF(AND($M164&lt;&gt;"",$N164="VCA",$Q164="LINEAR"),($M164*2)/100,IF(AND($M164&lt;&gt;"",$N164="MND",$Q164="EMBOQUE"),($AN164*2)/100,0))</f>
        <v>0.6636</v>
      </c>
      <c r="BI164" s="153" t="n">
        <f aca="false">IF(AND($M164&lt;&gt;"",$N164="VCA",$Q164="LINEAR"),$M164,IF(AND($M164&lt;&gt;"",$N164="MND",$Q164="EMBOQUE"),$AN164*2,0))</f>
        <v>33.18</v>
      </c>
      <c r="BJ164" s="153" t="n">
        <f aca="false">IF(AND($M164&lt;&gt;"",$N164="VCA",$Q164="LINEAR"),($M164*6.8)/100,IF(AND($M164&lt;&gt;"",$N164="MND",$Q164="EMBOQUE"),($AN164*2*6.8)/100,0))</f>
        <v>2.25624</v>
      </c>
      <c r="BK164" s="153" t="n">
        <f aca="false">IF(AND($M164&lt;&gt;"",$N164="VCA",$Q164="LINEAR"),($M164*2.5)/50,IF(AND($M164&lt;&gt;"",$N164="MND",$Q164="EMBOQUE"),($AN164*2*2.5)/50,0))</f>
        <v>1.659</v>
      </c>
      <c r="BL164" s="157" t="str">
        <f aca="false">K164&amp;J164</f>
        <v>Zona02REDES</v>
      </c>
      <c r="BM164" s="152" t="s">
        <v>2037</v>
      </c>
      <c r="BN164" s="152" t="s">
        <v>1560</v>
      </c>
      <c r="BO164" s="152" t="s">
        <v>1968</v>
      </c>
      <c r="BP164" s="152" t="s">
        <v>2155</v>
      </c>
      <c r="BQ164" s="152" t="s">
        <v>2136</v>
      </c>
      <c r="BR164" s="152" t="s">
        <v>2156</v>
      </c>
      <c r="BS164" s="152" t="n">
        <v>203046.507</v>
      </c>
      <c r="BT164" s="152" t="n">
        <v>8238005.525</v>
      </c>
      <c r="BU164" s="152" t="n">
        <v>203017.562</v>
      </c>
      <c r="BV164" s="152" t="n">
        <v>8238021.722</v>
      </c>
      <c r="BW164" s="152" t="n">
        <v>-15.9193459</v>
      </c>
      <c r="BX164" s="152" t="n">
        <v>-47.7735838</v>
      </c>
      <c r="BY164" s="152" t="s">
        <v>2155</v>
      </c>
    </row>
    <row r="165" customFormat="false" ht="13.8" hidden="false" customHeight="false" outlineLevel="0" collapsed="false">
      <c r="A165" s="149" t="n">
        <f aca="false">IF(C165&lt;&gt;"",ROW(A160),"")</f>
        <v>160</v>
      </c>
      <c r="B165" s="150" t="str">
        <f aca="false">HYPERLINK("https://www.google.com/maps/dir/-15.917302,-47.760003/-15.9194259,-47.7734379/data=!4m3!4m2!3e0!5i0")</f>
        <v>https://www.google.com/maps/dir/-15.917302,-47.760003/-15.9194259,-47.7734379/data=!4m3!4m2!3e0!5i0</v>
      </c>
      <c r="C165" s="151" t="s">
        <v>117</v>
      </c>
      <c r="D165" s="152" t="s">
        <v>112</v>
      </c>
      <c r="E165" s="152" t="s">
        <v>113</v>
      </c>
      <c r="F165" s="152" t="s">
        <v>117</v>
      </c>
      <c r="G165" s="152" t="s">
        <v>782</v>
      </c>
      <c r="H165" s="152" t="n">
        <v>110</v>
      </c>
      <c r="I165" s="152" t="s">
        <v>115</v>
      </c>
      <c r="J165" s="152" t="s">
        <v>6</v>
      </c>
      <c r="K165" s="152" t="s">
        <v>2033</v>
      </c>
      <c r="L165" s="152" t="s">
        <v>120</v>
      </c>
      <c r="M165" s="153" t="n">
        <f aca="false">1.39</f>
        <v>1.39</v>
      </c>
      <c r="N165" s="152" t="s">
        <v>1548</v>
      </c>
      <c r="O165" s="152" t="s">
        <v>1549</v>
      </c>
      <c r="P165" s="152" t="s">
        <v>1550</v>
      </c>
      <c r="Q165" s="152" t="s">
        <v>1551</v>
      </c>
      <c r="R165" s="154" t="s">
        <v>2157</v>
      </c>
      <c r="S165" s="154" t="s">
        <v>1593</v>
      </c>
      <c r="T165" s="155" t="s">
        <v>1965</v>
      </c>
      <c r="U165" s="152" t="str">
        <f aca="false">RIGHT(T165,7)</f>
        <v>005/037</v>
      </c>
      <c r="V165" s="152" t="s">
        <v>1555</v>
      </c>
      <c r="W165" s="156" t="n">
        <v>45882</v>
      </c>
      <c r="X165" s="152" t="s">
        <v>1594</v>
      </c>
      <c r="Y165" s="152" t="s">
        <v>2063</v>
      </c>
      <c r="Z165" s="152" t="s">
        <v>1557</v>
      </c>
      <c r="AA165" s="153" t="n">
        <v>2.8</v>
      </c>
      <c r="AB165" s="151" t="s">
        <v>2158</v>
      </c>
      <c r="AC165" s="151" t="s">
        <v>502</v>
      </c>
      <c r="AD165" s="151" t="str">
        <f aca="false">CONCATENATE($C165,$I165,$H165,$N165,$J165,$K165)</f>
        <v>TUBO PEADPEAD110VCAREDESZona02</v>
      </c>
      <c r="AE165" s="153" t="n">
        <f aca="false">IFERROR(INDEX(APOIO_REDES!$A:$W,MATCH($C165&amp;$I165&amp;$H165&amp;$N165&amp;$O165,APOIO_REDES!$W:$W,0),MATCH(AE$5,APOIO_REDES!$5:$5,0)),0)</f>
        <v>1.2</v>
      </c>
      <c r="AF165" s="153" t="n">
        <f aca="false">IFERROR(INDEX(APOIO_REDES!$A:$W,MATCH($C165&amp;$I165&amp;$H165&amp;$N165&amp;$O165,APOIO_REDES!$W:$W,0),MATCH(AF$5,APOIO_REDES!$5:$5,0)),0)</f>
        <v>1.41</v>
      </c>
      <c r="AG165" s="153" t="n">
        <f aca="false">IFERROR(INDEX(APOIO_REDES!$A:$W,MATCH($C165&amp;$I165&amp;$H165&amp;$N165&amp;$O165,APOIO_REDES!$W:$W,0),MATCH(AG$5,APOIO_REDES!$5:$5,0)),0)</f>
        <v>0.75</v>
      </c>
      <c r="AH165" s="153" t="n">
        <f aca="false">IFERROR(INDEX(APOIO_REDES!$A:$W,MATCH($C165&amp;$I165&amp;$H165&amp;$N165&amp;$O165,APOIO_REDES!$W:$W,0),MATCH(AH$5,APOIO_REDES!$5:$5,0)),0)</f>
        <v>0.1</v>
      </c>
      <c r="AI165" s="153" t="n">
        <f aca="false">IFERROR(IF($H165&lt;&gt;"",(((($H165/1000)/2)^2)*PI()*$M165),0),0)</f>
        <v>0.0132096117101817</v>
      </c>
      <c r="AJ165" s="153" t="n">
        <f aca="false">IFERROR(IF(AND($H165&lt;&gt;"",$I165="FoFo",OR($N165="MND",$N165="VCA"),$Q165="LINEAR"),0,IF(AND($H165&lt;&gt;"",$I165="PEAD",$N165="VCA",$Q165="LINEAR"),($H165/1000)+0.3,IF(AND($H165&lt;&gt;"",$I165="PEAD",$N165="MND",$Q165="EMBOQUE"),0,IF(AND($H165&lt;&gt;"",$I165="PVC",$N165="VCA",$Q165="LINEAR"),($H165/1000)+0.2,IF(AND($H165&lt;&gt;"",$I165="PVC",$N165="MND",$Q165="EMBOQUE"),0,IF(AND($H165&lt;&gt;"",$I165="PEAD",$N165="VCA",$Q165="PREDIAL"),0,0)))))),0)</f>
        <v>0.41</v>
      </c>
      <c r="AK165" s="153" t="n">
        <f aca="false">IF(AA165&lt;&gt;"",AA165,0)</f>
        <v>2.8</v>
      </c>
      <c r="AL165" s="153" t="n">
        <f aca="false">IF(AND($N165="MND",$Q165="EMBOQUE"),$M165,IF(AND($N165="VCA",$Q165="LINEAR"),$M165,IF(AND($N165="VCA",$Q165="PREDIAL"),0,0)))</f>
        <v>1.39</v>
      </c>
      <c r="AM165" s="153" t="n">
        <f aca="false">IF(AND($N165="MND",$Q165="EMBOQUE"),$M165,IF(AND($N165="VCA",$Q165="LINEAR"),$M165,IF(AND($N165="VCA",$Q165="PREDIAL"),0,0)))</f>
        <v>1.39</v>
      </c>
      <c r="AN165" s="153" t="n">
        <f aca="false">ROUND(IF(AND($N165="VCA",$M165&lt;&gt;"",$Q165="LINEAR"),$M165/100,IF(AND($N165="MND",$M165&gt;100,$Q165="EMBOQUE"),$M165/100,0)),0)</f>
        <v>0</v>
      </c>
      <c r="AO165" s="153" t="n">
        <f aca="false">IF(AND($N165="MND",$Q165="EMBOQUE"),$AN165*2*2,IF(AND($N165="VCA",$Q165="LINEAR"),$M165*2,IF(AND($N165="VCA",$Q165="PREDIAL"),0,0)))</f>
        <v>2.78</v>
      </c>
      <c r="AP165" s="153" t="n">
        <f aca="false">IFERROR($M165*$AF165*$AG165,0)</f>
        <v>1.469925</v>
      </c>
      <c r="AQ165" s="153" t="n">
        <f aca="false">IFERROR(IF(AND($N165="VCA",$AH165&gt;0),$M165*$AG165*$AH165,0),0)</f>
        <v>0.10425</v>
      </c>
      <c r="AR165" s="153" t="n">
        <f aca="false">IFERROR(IF(AND($N165="VCA",$AJ165&gt;0),($M165*$AG165*$AJ165)-$AI165,0),0)</f>
        <v>0.414215388289818</v>
      </c>
      <c r="AS165" s="153" t="n">
        <f aca="false">IFERROR(IF(AND($N165="VCA",$AP165&gt;0),$AP165-$AI165-$AQ165-$AR165,0),0)</f>
        <v>0.93825</v>
      </c>
      <c r="AT165" s="153" t="n">
        <f aca="false">IFERROR(IF($N165="VCA",INDEX(APOIO_REDES!$A:$W,MATCH($C165&amp;$I165&amp;$H165&amp;$N165&amp;$O165,APOIO_REDES!$W:$W,0),MATCH(AT$5,APOIO_REDES!$5:$5,0)),0)*$AP165,0)</f>
        <v>0.0159932190755916</v>
      </c>
      <c r="AU165" s="153" t="n">
        <f aca="false">IFERROR(IF($N165="VCA",INDEX(APOIO_REDES!$A:$W,MATCH($C165&amp;$I165&amp;$H165&amp;$N165&amp;$O165,APOIO_REDES!$W:$W,0),MATCH(AU$5,APOIO_REDES!$5:$5,0)),0)*$AP165,0)</f>
        <v>0.0127717516024624</v>
      </c>
      <c r="AV165" s="153" t="n">
        <f aca="false">IFERROR(IF($N165="VCA",INDEX(APOIO_REDES!$A:$W,MATCH($C165&amp;$I165&amp;$H165&amp;$N165&amp;$O165,APOIO_REDES!$W:$W,0),MATCH(AV$5,APOIO_REDES!$5:$5,0)),0)*$AP165,0)</f>
        <v>0.00176751015959963</v>
      </c>
      <c r="AW165" s="153" t="n">
        <f aca="false">IFERROR(IF($N165="VCA",INDEX(APOIO_REDES!$A:$W,MATCH($C165&amp;$I165&amp;$H165&amp;$N165&amp;$O165,APOIO_REDES!$W:$W,0),MATCH(AW$5,APOIO_REDES!$5:$5,0)),0)*$AP165,0)</f>
        <v>1.00896790953468</v>
      </c>
      <c r="AX165" s="153" t="n">
        <f aca="false">IFERROR(IF($N165="VCA",INDEX(APOIO_REDES!$A:$W,MATCH($C165&amp;$I165&amp;$H165&amp;$N165&amp;$O165,APOIO_REDES!$W:$W,0),MATCH(AX$5,APOIO_REDES!$5:$5,0)),0)*$AP165,0)</f>
        <v>0.139638284580106</v>
      </c>
      <c r="AY165" s="153" t="n">
        <f aca="false">IFERROR(IF($N165="VCA",INDEX(APOIO_REDES!$A:$W,MATCH($C165&amp;$I165&amp;$H165&amp;$N165&amp;$O165,APOIO_REDES!$W:$W,0),MATCH(AY$5,APOIO_REDES!$5:$5,0)),0)*$AP165,0)</f>
        <v>0.255434876362632</v>
      </c>
      <c r="AZ165" s="153" t="n">
        <f aca="false">IFERROR(IF($N165="VCA",INDEX(APOIO_REDES!$A:$W,MATCH($C165&amp;$I165&amp;$H165&amp;$N165&amp;$O165,APOIO_REDES!$W:$W,0),MATCH(AZ$5,APOIO_REDES!$5:$5,0)),0)*$AP165,0)</f>
        <v>0.0353514486849264</v>
      </c>
      <c r="BA165" s="153" t="n">
        <f aca="false">IFERROR(IF(AND($N165="VCA",$Q165="LINEAR"),INDEX(APOIO_REDES!$A:$W,MATCH($C165&amp;$I165&amp;$H165&amp;$N165&amp;$O165,APOIO_REDES!$W:$W,0),MATCH(BA$5,APOIO_REDES!$5:$5,0)),IF(AND($N165="MND",$Q165="EMBOQUE"),INDEX(APOIO_REDES!$A:$W,MATCH($C165&amp;$I165&amp;$H165&amp;$N165&amp;$O165,APOIO_REDES!$W:$W,0),MATCH(BA$5,APOIO_REDES!$5:$5,0)),0))*$M165/10,0)</f>
        <v>0.112030493835895</v>
      </c>
      <c r="BB165" s="153" t="n">
        <f aca="false">IFERROR(IF($N165="VCA",INDEX(APOIO_REDES!$A:$W,MATCH($C165&amp;$I165&amp;$H165&amp;$N165&amp;$O165,APOIO_REDES!$W:$W,0),MATCH(BB$5,APOIO_REDES!$5:$5,0)),0)*($AI165+$AQ165+$AR165),0)</f>
        <v>0.525890218632233</v>
      </c>
      <c r="BC165" s="153" t="n">
        <f aca="false">IFERROR(IF($N165="VCA",INDEX(APOIO_REDES!$A:$W,MATCH($C165&amp;$I165&amp;$H165&amp;$N165&amp;$O165,APOIO_REDES!$W:$W,0),MATCH(BC$5,APOIO_REDES!$5:$5,0)),0)*($AI165+$AQ165+$AR165),0)</f>
        <v>0.00578478136776718</v>
      </c>
      <c r="BD165" s="153" t="n">
        <f aca="false">IF(AND($N165="VCA",$AF165&gt;=1.25,$AF165&lt;1.5),$M165*$AF165*2,0)</f>
        <v>3.9198</v>
      </c>
      <c r="BE165" s="153" t="n">
        <f aca="false">IF(AND($N165="VCA",$AF165&gt;=1.5,$AF165&lt;3),$M165*$AF165*2,0)</f>
        <v>0</v>
      </c>
      <c r="BF165" s="153" t="n">
        <f aca="false">IF(AND($N165="VCA",$AF165&gt;=3),$M165*$AF165*2,0)</f>
        <v>0</v>
      </c>
      <c r="BG165" s="153" t="n">
        <f aca="false">($BB165+$BC165)*$AK165</f>
        <v>1.48869</v>
      </c>
      <c r="BH165" s="153" t="n">
        <f aca="false">IF(AND($M165&lt;&gt;"",$N165="VCA",$Q165="LINEAR"),($M165*2)/100,IF(AND($M165&lt;&gt;"",$N165="MND",$Q165="EMBOQUE"),($AN165*2)/100,0))</f>
        <v>0.0278</v>
      </c>
      <c r="BI165" s="153" t="n">
        <f aca="false">IF(AND($M165&lt;&gt;"",$N165="VCA",$Q165="LINEAR"),$M165,IF(AND($M165&lt;&gt;"",$N165="MND",$Q165="EMBOQUE"),$AN165*2,0))</f>
        <v>1.39</v>
      </c>
      <c r="BJ165" s="153" t="n">
        <f aca="false">IF(AND($M165&lt;&gt;"",$N165="VCA",$Q165="LINEAR"),($M165*6.8)/100,IF(AND($M165&lt;&gt;"",$N165="MND",$Q165="EMBOQUE"),($AN165*2*6.8)/100,0))</f>
        <v>0.09452</v>
      </c>
      <c r="BK165" s="153" t="n">
        <f aca="false">IF(AND($M165&lt;&gt;"",$N165="VCA",$Q165="LINEAR"),($M165*2.5)/50,IF(AND($M165&lt;&gt;"",$N165="MND",$Q165="EMBOQUE"),($AN165*2*2.5)/50,0))</f>
        <v>0.0695</v>
      </c>
      <c r="BL165" s="157" t="str">
        <f aca="false">K165&amp;J165</f>
        <v>Zona02REDES</v>
      </c>
      <c r="BM165" s="152" t="s">
        <v>2037</v>
      </c>
      <c r="BN165" s="152" t="s">
        <v>1560</v>
      </c>
      <c r="BO165" s="152" t="s">
        <v>1968</v>
      </c>
      <c r="BP165" s="152" t="s">
        <v>2147</v>
      </c>
      <c r="BQ165" s="152" t="s">
        <v>2155</v>
      </c>
      <c r="BR165" s="152" t="s">
        <v>2156</v>
      </c>
      <c r="BS165" s="152" t="n">
        <v>203047.708</v>
      </c>
      <c r="BT165" s="152" t="n">
        <v>8238004.827</v>
      </c>
      <c r="BU165" s="152" t="n">
        <v>203046.507</v>
      </c>
      <c r="BV165" s="152" t="n">
        <v>8238005.525</v>
      </c>
      <c r="BW165" s="152" t="n">
        <v>-15.9194227</v>
      </c>
      <c r="BX165" s="152" t="n">
        <v>-47.7734434</v>
      </c>
      <c r="BY165" s="152" t="s">
        <v>2147</v>
      </c>
    </row>
    <row r="166" customFormat="false" ht="13.8" hidden="false" customHeight="false" outlineLevel="0" collapsed="false">
      <c r="A166" s="149" t="n">
        <f aca="false">IF(C166&lt;&gt;"",ROW(A161),"")</f>
        <v>161</v>
      </c>
      <c r="B166" s="150" t="str">
        <f aca="false">HYPERLINK("https://www.google.com/maps/dir/-15.917302,-47.760003/-15.9188280,-47.7750298/data=!4m3!4m2!3e0!5i0")</f>
        <v>https://www.google.com/maps/dir/-15.917302,-47.760003/-15.9188280,-47.7750298/data=!4m3!4m2!3e0!5i0</v>
      </c>
      <c r="C166" s="151" t="s">
        <v>117</v>
      </c>
      <c r="D166" s="152" t="s">
        <v>112</v>
      </c>
      <c r="E166" s="152" t="s">
        <v>113</v>
      </c>
      <c r="F166" s="152" t="s">
        <v>117</v>
      </c>
      <c r="G166" s="152" t="s">
        <v>782</v>
      </c>
      <c r="H166" s="152" t="n">
        <v>63</v>
      </c>
      <c r="I166" s="152" t="s">
        <v>115</v>
      </c>
      <c r="J166" s="152" t="s">
        <v>6</v>
      </c>
      <c r="K166" s="152" t="s">
        <v>2033</v>
      </c>
      <c r="L166" s="152" t="s">
        <v>120</v>
      </c>
      <c r="M166" s="153" t="n">
        <f aca="false">223.48+4.33</f>
        <v>227.81</v>
      </c>
      <c r="N166" s="152" t="s">
        <v>1548</v>
      </c>
      <c r="O166" s="152" t="s">
        <v>1549</v>
      </c>
      <c r="P166" s="152" t="s">
        <v>1550</v>
      </c>
      <c r="Q166" s="152" t="s">
        <v>1551</v>
      </c>
      <c r="R166" s="154" t="s">
        <v>2159</v>
      </c>
      <c r="S166" s="154" t="s">
        <v>1553</v>
      </c>
      <c r="T166" s="155" t="s">
        <v>1965</v>
      </c>
      <c r="U166" s="152" t="str">
        <f aca="false">RIGHT(T166,7)</f>
        <v>005/037</v>
      </c>
      <c r="V166" s="152" t="s">
        <v>1555</v>
      </c>
      <c r="W166" s="156" t="n">
        <v>45882</v>
      </c>
      <c r="X166" s="152" t="s">
        <v>1594</v>
      </c>
      <c r="Y166" s="152" t="s">
        <v>2063</v>
      </c>
      <c r="Z166" s="152" t="s">
        <v>1557</v>
      </c>
      <c r="AA166" s="153" t="n">
        <v>3</v>
      </c>
      <c r="AB166" s="151" t="s">
        <v>2160</v>
      </c>
      <c r="AC166" s="151" t="s">
        <v>186</v>
      </c>
      <c r="AD166" s="151" t="str">
        <f aca="false">CONCATENATE($C166,$I166,$H166,$N166,$J166,$K166)</f>
        <v>TUBO PEADPEAD63VCAREDESZona02</v>
      </c>
      <c r="AE166" s="153" t="n">
        <f aca="false">IFERROR(INDEX(APOIO_REDES!$A:$W,MATCH($C166&amp;$I166&amp;$H166&amp;$N166&amp;$O166,APOIO_REDES!$W:$W,0),MATCH(AE$5,APOIO_REDES!$5:$5,0)),0)</f>
        <v>1.2</v>
      </c>
      <c r="AF166" s="153" t="n">
        <f aca="false">IFERROR(INDEX(APOIO_REDES!$A:$W,MATCH($C166&amp;$I166&amp;$H166&amp;$N166&amp;$O166,APOIO_REDES!$W:$W,0),MATCH(AF$5,APOIO_REDES!$5:$5,0)),0)</f>
        <v>1.363</v>
      </c>
      <c r="AG166" s="153" t="n">
        <f aca="false">IFERROR(INDEX(APOIO_REDES!$A:$W,MATCH($C166&amp;$I166&amp;$H166&amp;$N166&amp;$O166,APOIO_REDES!$W:$W,0),MATCH(AG$5,APOIO_REDES!$5:$5,0)),0)</f>
        <v>0.65</v>
      </c>
      <c r="AH166" s="153" t="n">
        <f aca="false">IFERROR(INDEX(APOIO_REDES!$A:$W,MATCH($C166&amp;$I166&amp;$H166&amp;$N166&amp;$O166,APOIO_REDES!$W:$W,0),MATCH(AH$5,APOIO_REDES!$5:$5,0)),0)</f>
        <v>0.1</v>
      </c>
      <c r="AI166" s="153" t="n">
        <f aca="false">IFERROR(IF($H166&lt;&gt;"",(((($H166/1000)/2)^2)*PI()*$M166),0),0)</f>
        <v>0.71013965419058</v>
      </c>
      <c r="AJ166" s="153" t="n">
        <f aca="false">IFERROR(IF(AND($H166&lt;&gt;"",$I166="FoFo",OR($N166="MND",$N166="VCA"),$Q166="LINEAR"),0,IF(AND($H166&lt;&gt;"",$I166="PEAD",$N166="VCA",$Q166="LINEAR"),($H166/1000)+0.3,IF(AND($H166&lt;&gt;"",$I166="PEAD",$N166="MND",$Q166="EMBOQUE"),0,IF(AND($H166&lt;&gt;"",$I166="PVC",$N166="VCA",$Q166="LINEAR"),($H166/1000)+0.2,IF(AND($H166&lt;&gt;"",$I166="PVC",$N166="MND",$Q166="EMBOQUE"),0,IF(AND($H166&lt;&gt;"",$I166="PEAD",$N166="VCA",$Q166="PREDIAL"),0,0)))))),0)</f>
        <v>0.363</v>
      </c>
      <c r="AK166" s="153" t="n">
        <f aca="false">IF(AA166&lt;&gt;"",AA166,0)</f>
        <v>3</v>
      </c>
      <c r="AL166" s="153" t="n">
        <f aca="false">IF(AND($N166="MND",$Q166="EMBOQUE"),$M166,IF(AND($N166="VCA",$Q166="LINEAR"),$M166,IF(AND($N166="VCA",$Q166="PREDIAL"),0,0)))</f>
        <v>227.81</v>
      </c>
      <c r="AM166" s="153" t="n">
        <f aca="false">IF(AND($N166="MND",$Q166="EMBOQUE"),$M166,IF(AND($N166="VCA",$Q166="LINEAR"),$M166,IF(AND($N166="VCA",$Q166="PREDIAL"),0,0)))</f>
        <v>227.81</v>
      </c>
      <c r="AN166" s="153" t="n">
        <f aca="false">ROUND(IF(AND($N166="VCA",$M166&lt;&gt;"",$Q166="LINEAR"),$M166/100,IF(AND($N166="MND",$M166&gt;100,$Q166="EMBOQUE"),$M166/100,0)),0)</f>
        <v>2</v>
      </c>
      <c r="AO166" s="153" t="n">
        <f aca="false">IF(AND($N166="MND",$Q166="EMBOQUE"),$AN166*2*2,IF(AND($N166="VCA",$Q166="LINEAR"),$M166*2,IF(AND($N166="VCA",$Q166="PREDIAL"),0,0)))</f>
        <v>455.62</v>
      </c>
      <c r="AP166" s="153" t="n">
        <f aca="false">IFERROR($M166*$AF166*$AG166,0)</f>
        <v>201.8282695</v>
      </c>
      <c r="AQ166" s="153" t="n">
        <f aca="false">IFERROR(IF(AND($N166="VCA",$AH166&gt;0),$M166*$AG166*$AH166,0),0)</f>
        <v>14.80765</v>
      </c>
      <c r="AR166" s="153" t="n">
        <f aca="false">IFERROR(IF(AND($N166="VCA",$AJ166&gt;0),($M166*$AG166*$AJ166)-$AI166,0),0)</f>
        <v>53.0416298458094</v>
      </c>
      <c r="AS166" s="153" t="n">
        <f aca="false">IFERROR(IF(AND($N166="VCA",$AP166&gt;0),$AP166-$AI166-$AQ166-$AR166,0),0)</f>
        <v>133.26885</v>
      </c>
      <c r="AT166" s="153" t="n">
        <f aca="false">IFERROR(IF($N166="VCA",INDEX(APOIO_REDES!$A:$W,MATCH($C166&amp;$I166&amp;$H166&amp;$N166&amp;$O166,APOIO_REDES!$W:$W,0),MATCH(AT$5,APOIO_REDES!$5:$5,0)),0)*$AP166,0)</f>
        <v>2.19595131027845</v>
      </c>
      <c r="AU166" s="153" t="n">
        <f aca="false">IFERROR(IF($N166="VCA",INDEX(APOIO_REDES!$A:$W,MATCH($C166&amp;$I166&amp;$H166&amp;$N166&amp;$O166,APOIO_REDES!$W:$W,0),MATCH(AU$5,APOIO_REDES!$5:$5,0)),0)*$AP166,0)</f>
        <v>1.75362724248437</v>
      </c>
      <c r="AV166" s="153" t="n">
        <f aca="false">IFERROR(IF($N166="VCA",INDEX(APOIO_REDES!$A:$W,MATCH($C166&amp;$I166&amp;$H166&amp;$N166&amp;$O166,APOIO_REDES!$W:$W,0),MATCH(AV$5,APOIO_REDES!$5:$5,0)),0)*$AP166,0)</f>
        <v>0.242688243846225</v>
      </c>
      <c r="AW166" s="153" t="n">
        <f aca="false">IFERROR(IF($N166="VCA",INDEX(APOIO_REDES!$A:$W,MATCH($C166&amp;$I166&amp;$H166&amp;$N166&amp;$O166,APOIO_REDES!$W:$W,0),MATCH(AW$5,APOIO_REDES!$5:$5,0)),0)*$AP166,0)</f>
        <v>138.536488026544</v>
      </c>
      <c r="AX166" s="153" t="n">
        <f aca="false">IFERROR(IF($N166="VCA",INDEX(APOIO_REDES!$A:$W,MATCH($C166&amp;$I166&amp;$H166&amp;$N166&amp;$O166,APOIO_REDES!$W:$W,0),MATCH(AX$5,APOIO_REDES!$5:$5,0)),0)*$AP166,0)</f>
        <v>19.1730553142176</v>
      </c>
      <c r="AY166" s="153" t="n">
        <f aca="false">IFERROR(IF($N166="VCA",INDEX(APOIO_REDES!$A:$W,MATCH($C166&amp;$I166&amp;$H166&amp;$N166&amp;$O166,APOIO_REDES!$W:$W,0),MATCH(AY$5,APOIO_REDES!$5:$5,0)),0)*$AP166,0)</f>
        <v>35.0725234731136</v>
      </c>
      <c r="AZ166" s="153" t="n">
        <f aca="false">IFERROR(IF($N166="VCA",INDEX(APOIO_REDES!$A:$W,MATCH($C166&amp;$I166&amp;$H166&amp;$N166&amp;$O166,APOIO_REDES!$W:$W,0),MATCH(AZ$5,APOIO_REDES!$5:$5,0)),0)*$AP166,0)</f>
        <v>4.85393588951596</v>
      </c>
      <c r="BA166" s="153" t="n">
        <f aca="false">IFERROR(IF(AND($N166="VCA",$Q166="LINEAR"),INDEX(APOIO_REDES!$A:$W,MATCH($C166&amp;$I166&amp;$H166&amp;$N166&amp;$O166,APOIO_REDES!$W:$W,0),MATCH(BA$5,APOIO_REDES!$5:$5,0)),IF(AND($N166="MND",$Q166="EMBOQUE"),INDEX(APOIO_REDES!$A:$W,MATCH($C166&amp;$I166&amp;$H166&amp;$N166&amp;$O166,APOIO_REDES!$W:$W,0),MATCH(BA$5,APOIO_REDES!$5:$5,0)),0))*$M166/10,0)</f>
        <v>18.3609113674498</v>
      </c>
      <c r="BB166" s="153" t="n">
        <f aca="false">IFERROR(IF($N166="VCA",INDEX(APOIO_REDES!$A:$W,MATCH($C166&amp;$I166&amp;$H166&amp;$N166&amp;$O166,APOIO_REDES!$W:$W,0),MATCH(BB$5,APOIO_REDES!$5:$5,0)),0)*($AI166+$AQ166+$AR166),0)</f>
        <v>67.8134727232877</v>
      </c>
      <c r="BC166" s="153" t="n">
        <f aca="false">IFERROR(IF($N166="VCA",INDEX(APOIO_REDES!$A:$W,MATCH($C166&amp;$I166&amp;$H166&amp;$N166&amp;$O166,APOIO_REDES!$W:$W,0),MATCH(BC$5,APOIO_REDES!$5:$5,0)),0)*($AI166+$AQ166+$AR166),0)</f>
        <v>0.745946776712341</v>
      </c>
      <c r="BD166" s="153" t="n">
        <f aca="false">IF(AND($N166="VCA",$AF166&gt;=1.25,$AF166&lt;1.5),$M166*$AF166*2,0)</f>
        <v>621.01006</v>
      </c>
      <c r="BE166" s="153" t="n">
        <f aca="false">IF(AND($N166="VCA",$AF166&gt;=1.5,$AF166&lt;3),$M166*$AF166*2,0)</f>
        <v>0</v>
      </c>
      <c r="BF166" s="153" t="n">
        <f aca="false">IF(AND($N166="VCA",$AF166&gt;=3),$M166*$AF166*2,0)</f>
        <v>0</v>
      </c>
      <c r="BG166" s="153" t="n">
        <f aca="false">($BB166+$BC166)*$AK166</f>
        <v>205.6782585</v>
      </c>
      <c r="BH166" s="153" t="n">
        <f aca="false">IF(AND($M166&lt;&gt;"",$N166="VCA",$Q166="LINEAR"),($M166*2)/100,IF(AND($M166&lt;&gt;"",$N166="MND",$Q166="EMBOQUE"),($AN166*2)/100,0))</f>
        <v>4.5562</v>
      </c>
      <c r="BI166" s="153" t="n">
        <f aca="false">IF(AND($M166&lt;&gt;"",$N166="VCA",$Q166="LINEAR"),$M166,IF(AND($M166&lt;&gt;"",$N166="MND",$Q166="EMBOQUE"),$AN166*2,0))</f>
        <v>227.81</v>
      </c>
      <c r="BJ166" s="153" t="n">
        <f aca="false">IF(AND($M166&lt;&gt;"",$N166="VCA",$Q166="LINEAR"),($M166*6.8)/100,IF(AND($M166&lt;&gt;"",$N166="MND",$Q166="EMBOQUE"),($AN166*2*6.8)/100,0))</f>
        <v>15.49108</v>
      </c>
      <c r="BK166" s="153" t="n">
        <f aca="false">IF(AND($M166&lt;&gt;"",$N166="VCA",$Q166="LINEAR"),($M166*2.5)/50,IF(AND($M166&lt;&gt;"",$N166="MND",$Q166="EMBOQUE"),($AN166*2*2.5)/50,0))</f>
        <v>11.3905</v>
      </c>
      <c r="BL166" s="157" t="str">
        <f aca="false">K166&amp;J166</f>
        <v>Zona02REDES</v>
      </c>
      <c r="BM166" s="152" t="s">
        <v>2037</v>
      </c>
      <c r="BN166" s="152" t="s">
        <v>1560</v>
      </c>
      <c r="BO166" s="152" t="s">
        <v>1968</v>
      </c>
      <c r="BP166" s="152" t="s">
        <v>2161</v>
      </c>
      <c r="BQ166" s="152" t="s">
        <v>2155</v>
      </c>
      <c r="BR166" s="152" t="s">
        <v>2162</v>
      </c>
      <c r="BS166" s="152" t="n">
        <v>202876.267</v>
      </c>
      <c r="BT166" s="152" t="n">
        <v>8238068.758</v>
      </c>
      <c r="BU166" s="152" t="n">
        <v>203046.507</v>
      </c>
      <c r="BV166" s="152" t="n">
        <v>8238005.525</v>
      </c>
      <c r="BW166" s="152" t="n">
        <v>-15.9194364</v>
      </c>
      <c r="BX166" s="152" t="n">
        <v>-47.774198</v>
      </c>
      <c r="BY166" s="152" t="s">
        <v>2161</v>
      </c>
    </row>
    <row r="167" customFormat="false" ht="13.8" hidden="false" customHeight="false" outlineLevel="0" collapsed="false">
      <c r="A167" s="149" t="n">
        <f aca="false">IF(C167&lt;&gt;"",ROW(A162),"")</f>
        <v>162</v>
      </c>
      <c r="B167" s="150" t="str">
        <f aca="false">HYPERLINK("https://www.google.com/maps/dir/-15.917302,-47.760003/-15.9205085,-47.7734921/data=!4m3!4m2!3e0!5i2")</f>
        <v>https://www.google.com/maps/dir/-15.917302,-47.760003/-15.9205085,-47.7734921/data=!4m3!4m2!3e0!5i2</v>
      </c>
      <c r="C167" s="151" t="s">
        <v>117</v>
      </c>
      <c r="D167" s="152" t="s">
        <v>112</v>
      </c>
      <c r="E167" s="152" t="s">
        <v>113</v>
      </c>
      <c r="F167" s="152" t="s">
        <v>117</v>
      </c>
      <c r="G167" s="152" t="s">
        <v>782</v>
      </c>
      <c r="H167" s="152" t="n">
        <v>63</v>
      </c>
      <c r="I167" s="152" t="s">
        <v>115</v>
      </c>
      <c r="J167" s="152" t="s">
        <v>6</v>
      </c>
      <c r="K167" s="152" t="s">
        <v>2033</v>
      </c>
      <c r="L167" s="152" t="s">
        <v>120</v>
      </c>
      <c r="M167" s="153" t="n">
        <f aca="false">391.22</f>
        <v>391.22</v>
      </c>
      <c r="N167" s="152" t="s">
        <v>1548</v>
      </c>
      <c r="O167" s="152" t="s">
        <v>1549</v>
      </c>
      <c r="P167" s="152" t="s">
        <v>1550</v>
      </c>
      <c r="Q167" s="152" t="s">
        <v>1551</v>
      </c>
      <c r="R167" s="154" t="s">
        <v>2163</v>
      </c>
      <c r="S167" s="154" t="s">
        <v>1553</v>
      </c>
      <c r="T167" s="155" t="s">
        <v>1965</v>
      </c>
      <c r="U167" s="152" t="str">
        <f aca="false">RIGHT(T167,7)</f>
        <v>005/037</v>
      </c>
      <c r="V167" s="152" t="s">
        <v>1555</v>
      </c>
      <c r="W167" s="156" t="n">
        <v>45882</v>
      </c>
      <c r="X167" s="152" t="s">
        <v>1594</v>
      </c>
      <c r="Y167" s="152" t="s">
        <v>2164</v>
      </c>
      <c r="Z167" s="152" t="s">
        <v>1557</v>
      </c>
      <c r="AA167" s="153" t="n">
        <v>4.1</v>
      </c>
      <c r="AB167" s="151" t="s">
        <v>2165</v>
      </c>
      <c r="AC167" s="151" t="s">
        <v>186</v>
      </c>
      <c r="AD167" s="151" t="str">
        <f aca="false">CONCATENATE($C167,$I167,$H167,$N167,$J167,$K167)</f>
        <v>TUBO PEADPEAD63VCAREDESZona02</v>
      </c>
      <c r="AE167" s="153" t="n">
        <f aca="false">IFERROR(INDEX(APOIO_REDES!$A:$W,MATCH($C167&amp;$I167&amp;$H167&amp;$N167&amp;$O167,APOIO_REDES!$W:$W,0),MATCH(AE$5,APOIO_REDES!$5:$5,0)),0)</f>
        <v>1.2</v>
      </c>
      <c r="AF167" s="153" t="n">
        <f aca="false">IFERROR(INDEX(APOIO_REDES!$A:$W,MATCH($C167&amp;$I167&amp;$H167&amp;$N167&amp;$O167,APOIO_REDES!$W:$W,0),MATCH(AF$5,APOIO_REDES!$5:$5,0)),0)</f>
        <v>1.363</v>
      </c>
      <c r="AG167" s="153" t="n">
        <f aca="false">IFERROR(INDEX(APOIO_REDES!$A:$W,MATCH($C167&amp;$I167&amp;$H167&amp;$N167&amp;$O167,APOIO_REDES!$W:$W,0),MATCH(AG$5,APOIO_REDES!$5:$5,0)),0)</f>
        <v>0.65</v>
      </c>
      <c r="AH167" s="153" t="n">
        <f aca="false">IFERROR(INDEX(APOIO_REDES!$A:$W,MATCH($C167&amp;$I167&amp;$H167&amp;$N167&amp;$O167,APOIO_REDES!$W:$W,0),MATCH(AH$5,APOIO_REDES!$5:$5,0)),0)</f>
        <v>0.1</v>
      </c>
      <c r="AI167" s="153" t="n">
        <f aca="false">IFERROR(IF($H167&lt;&gt;"",(((($H167/1000)/2)^2)*PI()*$M167),0),0)</f>
        <v>1.21952871038338</v>
      </c>
      <c r="AJ167" s="153" t="n">
        <f aca="false">IFERROR(IF(AND($H167&lt;&gt;"",$I167="FoFo",OR($N167="MND",$N167="VCA"),$Q167="LINEAR"),0,IF(AND($H167&lt;&gt;"",$I167="PEAD",$N167="VCA",$Q167="LINEAR"),($H167/1000)+0.3,IF(AND($H167&lt;&gt;"",$I167="PEAD",$N167="MND",$Q167="EMBOQUE"),0,IF(AND($H167&lt;&gt;"",$I167="PVC",$N167="VCA",$Q167="LINEAR"),($H167/1000)+0.2,IF(AND($H167&lt;&gt;"",$I167="PVC",$N167="MND",$Q167="EMBOQUE"),0,IF(AND($H167&lt;&gt;"",$I167="PEAD",$N167="VCA",$Q167="PREDIAL"),0,0)))))),0)</f>
        <v>0.363</v>
      </c>
      <c r="AK167" s="153" t="n">
        <f aca="false">IF(AA167&lt;&gt;"",AA167,0)</f>
        <v>4.1</v>
      </c>
      <c r="AL167" s="153" t="n">
        <f aca="false">IF(AND($N167="MND",$Q167="EMBOQUE"),$M167,IF(AND($N167="VCA",$Q167="LINEAR"),$M167,IF(AND($N167="VCA",$Q167="PREDIAL"),0,0)))</f>
        <v>391.22</v>
      </c>
      <c r="AM167" s="153" t="n">
        <f aca="false">IF(AND($N167="MND",$Q167="EMBOQUE"),$M167,IF(AND($N167="VCA",$Q167="LINEAR"),$M167,IF(AND($N167="VCA",$Q167="PREDIAL"),0,0)))</f>
        <v>391.22</v>
      </c>
      <c r="AN167" s="153" t="n">
        <f aca="false">ROUND(IF(AND($N167="VCA",$M167&lt;&gt;"",$Q167="LINEAR"),$M167/100,IF(AND($N167="MND",$M167&gt;100,$Q167="EMBOQUE"),$M167/100,0)),0)</f>
        <v>4</v>
      </c>
      <c r="AO167" s="153" t="n">
        <f aca="false">IF(AND($N167="MND",$Q167="EMBOQUE"),$AN167*2*2,IF(AND($N167="VCA",$Q167="LINEAR"),$M167*2,IF(AND($N167="VCA",$Q167="PREDIAL"),0,0)))</f>
        <v>782.44</v>
      </c>
      <c r="AP167" s="153" t="n">
        <f aca="false">IFERROR($M167*$AF167*$AG167,0)</f>
        <v>346.601359</v>
      </c>
      <c r="AQ167" s="153" t="n">
        <f aca="false">IFERROR(IF(AND($N167="VCA",$AH167&gt;0),$M167*$AG167*$AH167,0),0)</f>
        <v>25.4293</v>
      </c>
      <c r="AR167" s="153" t="n">
        <f aca="false">IFERROR(IF(AND($N167="VCA",$AJ167&gt;0),($M167*$AG167*$AJ167)-$AI167,0),0)</f>
        <v>91.0888302896166</v>
      </c>
      <c r="AS167" s="153" t="n">
        <f aca="false">IFERROR(IF(AND($N167="VCA",$AP167&gt;0),$AP167-$AI167-$AQ167-$AR167,0),0)</f>
        <v>228.8637</v>
      </c>
      <c r="AT167" s="153" t="n">
        <f aca="false">IFERROR(IF($N167="VCA",INDEX(APOIO_REDES!$A:$W,MATCH($C167&amp;$I167&amp;$H167&amp;$N167&amp;$O167,APOIO_REDES!$W:$W,0),MATCH(AT$5,APOIO_REDES!$5:$5,0)),0)*$AP167,0)</f>
        <v>3.77112537468563</v>
      </c>
      <c r="AU167" s="153" t="n">
        <f aca="false">IFERROR(IF($N167="VCA",INDEX(APOIO_REDES!$A:$W,MATCH($C167&amp;$I167&amp;$H167&amp;$N167&amp;$O167,APOIO_REDES!$W:$W,0),MATCH(AU$5,APOIO_REDES!$5:$5,0)),0)*$AP167,0)</f>
        <v>3.01151858919598</v>
      </c>
      <c r="AV167" s="153" t="n">
        <f aca="false">IFERROR(IF($N167="VCA",INDEX(APOIO_REDES!$A:$W,MATCH($C167&amp;$I167&amp;$H167&amp;$N167&amp;$O167,APOIO_REDES!$W:$W,0),MATCH(AV$5,APOIO_REDES!$5:$5,0)),0)*$AP167,0)</f>
        <v>0.416770531396867</v>
      </c>
      <c r="AW167" s="153" t="n">
        <f aca="false">IFERROR(IF($N167="VCA",INDEX(APOIO_REDES!$A:$W,MATCH($C167&amp;$I167&amp;$H167&amp;$N167&amp;$O167,APOIO_REDES!$W:$W,0),MATCH(AW$5,APOIO_REDES!$5:$5,0)),0)*$AP167,0)</f>
        <v>237.90985841598</v>
      </c>
      <c r="AX167" s="153" t="n">
        <f aca="false">IFERROR(IF($N167="VCA",INDEX(APOIO_REDES!$A:$W,MATCH($C167&amp;$I167&amp;$H167&amp;$N167&amp;$O167,APOIO_REDES!$W:$W,0),MATCH(AX$5,APOIO_REDES!$5:$5,0)),0)*$AP167,0)</f>
        <v>32.9260467057119</v>
      </c>
      <c r="AY167" s="153" t="n">
        <f aca="false">IFERROR(IF($N167="VCA",INDEX(APOIO_REDES!$A:$W,MATCH($C167&amp;$I167&amp;$H167&amp;$N167&amp;$O167,APOIO_REDES!$W:$W,0),MATCH(AY$5,APOIO_REDES!$5:$5,0)),0)*$AP167,0)</f>
        <v>60.2303350737522</v>
      </c>
      <c r="AZ167" s="153" t="n">
        <f aca="false">IFERROR(IF($N167="VCA",INDEX(APOIO_REDES!$A:$W,MATCH($C167&amp;$I167&amp;$H167&amp;$N167&amp;$O167,APOIO_REDES!$W:$W,0),MATCH(AZ$5,APOIO_REDES!$5:$5,0)),0)*$AP167,0)</f>
        <v>8.33570430927718</v>
      </c>
      <c r="BA167" s="153" t="n">
        <f aca="false">IFERROR(IF(AND($N167="VCA",$Q167="LINEAR"),INDEX(APOIO_REDES!$A:$W,MATCH($C167&amp;$I167&amp;$H167&amp;$N167&amp;$O167,APOIO_REDES!$W:$W,0),MATCH(BA$5,APOIO_REDES!$5:$5,0)),IF(AND($N167="MND",$Q167="EMBOQUE"),INDEX(APOIO_REDES!$A:$W,MATCH($C167&amp;$I167&amp;$H167&amp;$N167&amp;$O167,APOIO_REDES!$W:$W,0),MATCH(BA$5,APOIO_REDES!$5:$5,0)),0))*$M167/10,0)</f>
        <v>31.5313451787616</v>
      </c>
      <c r="BB167" s="153" t="n">
        <f aca="false">IFERROR(IF($N167="VCA",INDEX(APOIO_REDES!$A:$W,MATCH($C167&amp;$I167&amp;$H167&amp;$N167&amp;$O167,APOIO_REDES!$W:$W,0),MATCH(BB$5,APOIO_REDES!$5:$5,0)),0)*($AI167+$AQ167+$AR167),0)</f>
        <v>116.456638421512</v>
      </c>
      <c r="BC167" s="153" t="n">
        <f aca="false">IFERROR(IF($N167="VCA",INDEX(APOIO_REDES!$A:$W,MATCH($C167&amp;$I167&amp;$H167&amp;$N167&amp;$O167,APOIO_REDES!$W:$W,0),MATCH(BC$5,APOIO_REDES!$5:$5,0)),0)*($AI167+$AQ167+$AR167),0)</f>
        <v>1.28102057848822</v>
      </c>
      <c r="BD167" s="153" t="n">
        <f aca="false">IF(AND($N167="VCA",$AF167&gt;=1.25,$AF167&lt;1.5),$M167*$AF167*2,0)</f>
        <v>1066.46572</v>
      </c>
      <c r="BE167" s="153" t="n">
        <f aca="false">IF(AND($N167="VCA",$AF167&gt;=1.5,$AF167&lt;3),$M167*$AF167*2,0)</f>
        <v>0</v>
      </c>
      <c r="BF167" s="153" t="n">
        <f aca="false">IF(AND($N167="VCA",$AF167&gt;=3),$M167*$AF167*2,0)</f>
        <v>0</v>
      </c>
      <c r="BG167" s="153" t="n">
        <f aca="false">($BB167+$BC167)*$AK167</f>
        <v>482.7244019</v>
      </c>
      <c r="BH167" s="153" t="n">
        <f aca="false">IF(AND($M167&lt;&gt;"",$N167="VCA",$Q167="LINEAR"),($M167*2)/100,IF(AND($M167&lt;&gt;"",$N167="MND",$Q167="EMBOQUE"),($AN167*2)/100,0))</f>
        <v>7.8244</v>
      </c>
      <c r="BI167" s="153" t="n">
        <f aca="false">IF(AND($M167&lt;&gt;"",$N167="VCA",$Q167="LINEAR"),$M167,IF(AND($M167&lt;&gt;"",$N167="MND",$Q167="EMBOQUE"),$AN167*2,0))</f>
        <v>391.22</v>
      </c>
      <c r="BJ167" s="153" t="n">
        <f aca="false">IF(AND($M167&lt;&gt;"",$N167="VCA",$Q167="LINEAR"),($M167*6.8)/100,IF(AND($M167&lt;&gt;"",$N167="MND",$Q167="EMBOQUE"),($AN167*2*6.8)/100,0))</f>
        <v>26.60296</v>
      </c>
      <c r="BK167" s="153" t="n">
        <f aca="false">IF(AND($M167&lt;&gt;"",$N167="VCA",$Q167="LINEAR"),($M167*2.5)/50,IF(AND($M167&lt;&gt;"",$N167="MND",$Q167="EMBOQUE"),($AN167*2*2.5)/50,0))</f>
        <v>19.561</v>
      </c>
      <c r="BL167" s="157" t="str">
        <f aca="false">K167&amp;J167</f>
        <v>Zona02REDES</v>
      </c>
      <c r="BM167" s="152" t="s">
        <v>2037</v>
      </c>
      <c r="BN167" s="152" t="s">
        <v>1560</v>
      </c>
      <c r="BO167" s="152" t="s">
        <v>1968</v>
      </c>
      <c r="BP167" s="152" t="s">
        <v>2166</v>
      </c>
      <c r="BQ167" s="152" t="s">
        <v>2082</v>
      </c>
      <c r="BR167" s="152" t="s">
        <v>2167</v>
      </c>
      <c r="BS167" s="152" t="n">
        <v>203043.492</v>
      </c>
      <c r="BT167" s="152" t="n">
        <v>8237884.875</v>
      </c>
      <c r="BU167" s="152" t="n">
        <v>202729.319</v>
      </c>
      <c r="BV167" s="152" t="n">
        <v>8238117.998</v>
      </c>
      <c r="BW167" s="152" t="n">
        <v>-15.9194388</v>
      </c>
      <c r="BX167" s="152" t="n">
        <v>-47.7749448</v>
      </c>
      <c r="BY167" s="152" t="s">
        <v>2166</v>
      </c>
    </row>
    <row r="168" customFormat="false" ht="13.8" hidden="false" customHeight="false" outlineLevel="0" collapsed="false">
      <c r="A168" s="149" t="n">
        <f aca="false">IF(C168&lt;&gt;"",ROW(A163),"")</f>
        <v>163</v>
      </c>
      <c r="B168" s="150" t="str">
        <f aca="false">HYPERLINK("https://www.google.com/maps/dir/-15.917302,-47.760003/-15.9195531,-47.7768010/data=!4m3!4m2!3e0!5i2")</f>
        <v>https://www.google.com/maps/dir/-15.917302,-47.760003/-15.9195531,-47.7768010/data=!4m3!4m2!3e0!5i2</v>
      </c>
      <c r="C168" s="151" t="s">
        <v>117</v>
      </c>
      <c r="D168" s="152" t="s">
        <v>112</v>
      </c>
      <c r="E168" s="152" t="s">
        <v>113</v>
      </c>
      <c r="F168" s="152" t="s">
        <v>117</v>
      </c>
      <c r="G168" s="152" t="s">
        <v>782</v>
      </c>
      <c r="H168" s="152" t="n">
        <v>63</v>
      </c>
      <c r="I168" s="152" t="s">
        <v>115</v>
      </c>
      <c r="J168" s="152" t="s">
        <v>6</v>
      </c>
      <c r="K168" s="152" t="s">
        <v>2033</v>
      </c>
      <c r="L168" s="152" t="s">
        <v>120</v>
      </c>
      <c r="M168" s="153" t="n">
        <f aca="false">8.89</f>
        <v>8.89</v>
      </c>
      <c r="N168" s="152" t="s">
        <v>1548</v>
      </c>
      <c r="O168" s="152" t="s">
        <v>1549</v>
      </c>
      <c r="P168" s="152" t="s">
        <v>1550</v>
      </c>
      <c r="Q168" s="152" t="s">
        <v>1551</v>
      </c>
      <c r="R168" s="154" t="s">
        <v>2168</v>
      </c>
      <c r="S168" s="154" t="s">
        <v>1553</v>
      </c>
      <c r="T168" s="155" t="s">
        <v>1965</v>
      </c>
      <c r="U168" s="152" t="str">
        <f aca="false">RIGHT(T168,7)</f>
        <v>005/037</v>
      </c>
      <c r="V168" s="152" t="s">
        <v>1555</v>
      </c>
      <c r="W168" s="156" t="n">
        <v>45882</v>
      </c>
      <c r="X168" s="152" t="s">
        <v>1594</v>
      </c>
      <c r="Y168" s="152"/>
      <c r="Z168" s="152" t="s">
        <v>1557</v>
      </c>
      <c r="AA168" s="153" t="n">
        <v>4.3</v>
      </c>
      <c r="AB168" s="151" t="s">
        <v>2169</v>
      </c>
      <c r="AC168" s="151" t="s">
        <v>186</v>
      </c>
      <c r="AD168" s="151" t="str">
        <f aca="false">CONCATENATE($C168,$I168,$H168,$N168,$J168,$K168)</f>
        <v>TUBO PEADPEAD63VCAREDESZona02</v>
      </c>
      <c r="AE168" s="153" t="n">
        <f aca="false">IFERROR(INDEX(APOIO_REDES!$A:$W,MATCH($C168&amp;$I168&amp;$H168&amp;$N168&amp;$O168,APOIO_REDES!$W:$W,0),MATCH(AE$5,APOIO_REDES!$5:$5,0)),0)</f>
        <v>1.2</v>
      </c>
      <c r="AF168" s="153" t="n">
        <f aca="false">IFERROR(INDEX(APOIO_REDES!$A:$W,MATCH($C168&amp;$I168&amp;$H168&amp;$N168&amp;$O168,APOIO_REDES!$W:$W,0),MATCH(AF$5,APOIO_REDES!$5:$5,0)),0)</f>
        <v>1.363</v>
      </c>
      <c r="AG168" s="153" t="n">
        <f aca="false">IFERROR(INDEX(APOIO_REDES!$A:$W,MATCH($C168&amp;$I168&amp;$H168&amp;$N168&amp;$O168,APOIO_REDES!$W:$W,0),MATCH(AG$5,APOIO_REDES!$5:$5,0)),0)</f>
        <v>0.65</v>
      </c>
      <c r="AH168" s="153" t="n">
        <f aca="false">IFERROR(INDEX(APOIO_REDES!$A:$W,MATCH($C168&amp;$I168&amp;$H168&amp;$N168&amp;$O168,APOIO_REDES!$W:$W,0),MATCH(AH$5,APOIO_REDES!$5:$5,0)),0)</f>
        <v>0.1</v>
      </c>
      <c r="AI168" s="153" t="n">
        <f aca="false">IFERROR(IF($H168&lt;&gt;"",(((($H168/1000)/2)^2)*PI()*$M168),0),0)</f>
        <v>0.0277123108105626</v>
      </c>
      <c r="AJ168" s="153" t="n">
        <f aca="false">IFERROR(IF(AND($H168&lt;&gt;"",$I168="FoFo",OR($N168="MND",$N168="VCA"),$Q168="LINEAR"),0,IF(AND($H168&lt;&gt;"",$I168="PEAD",$N168="VCA",$Q168="LINEAR"),($H168/1000)+0.3,IF(AND($H168&lt;&gt;"",$I168="PEAD",$N168="MND",$Q168="EMBOQUE"),0,IF(AND($H168&lt;&gt;"",$I168="PVC",$N168="VCA",$Q168="LINEAR"),($H168/1000)+0.2,IF(AND($H168&lt;&gt;"",$I168="PVC",$N168="MND",$Q168="EMBOQUE"),0,IF(AND($H168&lt;&gt;"",$I168="PEAD",$N168="VCA",$Q168="PREDIAL"),0,0)))))),0)</f>
        <v>0.363</v>
      </c>
      <c r="AK168" s="153" t="n">
        <f aca="false">IF(AA168&lt;&gt;"",AA168,0)</f>
        <v>4.3</v>
      </c>
      <c r="AL168" s="153" t="n">
        <f aca="false">IF(AND($N168="MND",$Q168="EMBOQUE"),$M168,IF(AND($N168="VCA",$Q168="LINEAR"),$M168,IF(AND($N168="VCA",$Q168="PREDIAL"),0,0)))</f>
        <v>8.89</v>
      </c>
      <c r="AM168" s="153" t="n">
        <f aca="false">IF(AND($N168="MND",$Q168="EMBOQUE"),$M168,IF(AND($N168="VCA",$Q168="LINEAR"),$M168,IF(AND($N168="VCA",$Q168="PREDIAL"),0,0)))</f>
        <v>8.89</v>
      </c>
      <c r="AN168" s="153" t="n">
        <f aca="false">ROUND(IF(AND($N168="VCA",$M168&lt;&gt;"",$Q168="LINEAR"),$M168/100,IF(AND($N168="MND",$M168&gt;100,$Q168="EMBOQUE"),$M168/100,0)),0)</f>
        <v>0</v>
      </c>
      <c r="AO168" s="153" t="n">
        <f aca="false">IF(AND($N168="MND",$Q168="EMBOQUE"),$AN168*2*2,IF(AND($N168="VCA",$Q168="LINEAR"),$M168*2,IF(AND($N168="VCA",$Q168="PREDIAL"),0,0)))</f>
        <v>17.78</v>
      </c>
      <c r="AP168" s="153" t="n">
        <f aca="false">IFERROR($M168*$AF168*$AG168,0)</f>
        <v>7.8760955</v>
      </c>
      <c r="AQ168" s="153" t="n">
        <f aca="false">IFERROR(IF(AND($N168="VCA",$AH168&gt;0),$M168*$AG168*$AH168,0),0)</f>
        <v>0.57785</v>
      </c>
      <c r="AR168" s="153" t="n">
        <f aca="false">IFERROR(IF(AND($N168="VCA",$AJ168&gt;0),($M168*$AG168*$AJ168)-$AI168,0),0)</f>
        <v>2.06988318918944</v>
      </c>
      <c r="AS168" s="153" t="n">
        <f aca="false">IFERROR(IF(AND($N168="VCA",$AP168&gt;0),$AP168-$AI168-$AQ168-$AR168,0),0)</f>
        <v>5.20065</v>
      </c>
      <c r="AT168" s="153" t="n">
        <f aca="false">IFERROR(IF($N168="VCA",INDEX(APOIO_REDES!$A:$W,MATCH($C168&amp;$I168&amp;$H168&amp;$N168&amp;$O168,APOIO_REDES!$W:$W,0),MATCH(AT$5,APOIO_REDES!$5:$5,0)),0)*$AP168,0)</f>
        <v>0.0856942502452719</v>
      </c>
      <c r="AU168" s="153" t="n">
        <f aca="false">IFERROR(IF($N168="VCA",INDEX(APOIO_REDES!$A:$W,MATCH($C168&amp;$I168&amp;$H168&amp;$N168&amp;$O168,APOIO_REDES!$W:$W,0),MATCH(AU$5,APOIO_REDES!$5:$5,0)),0)*$AP168,0)</f>
        <v>0.0684331073512405</v>
      </c>
      <c r="AV168" s="153" t="n">
        <f aca="false">IFERROR(IF($N168="VCA",INDEX(APOIO_REDES!$A:$W,MATCH($C168&amp;$I168&amp;$H168&amp;$N168&amp;$O168,APOIO_REDES!$W:$W,0),MATCH(AV$5,APOIO_REDES!$5:$5,0)),0)*$AP168,0)</f>
        <v>0.00947060483645557</v>
      </c>
      <c r="AW168" s="153" t="n">
        <f aca="false">IFERROR(IF($N168="VCA",INDEX(APOIO_REDES!$A:$W,MATCH($C168&amp;$I168&amp;$H168&amp;$N168&amp;$O168,APOIO_REDES!$W:$W,0),MATCH(AW$5,APOIO_REDES!$5:$5,0)),0)*$AP168,0)</f>
        <v>5.4062129781659</v>
      </c>
      <c r="AX168" s="153" t="n">
        <f aca="false">IFERROR(IF($N168="VCA",INDEX(APOIO_REDES!$A:$W,MATCH($C168&amp;$I168&amp;$H168&amp;$N168&amp;$O168,APOIO_REDES!$W:$W,0),MATCH(AX$5,APOIO_REDES!$5:$5,0)),0)*$AP168,0)</f>
        <v>0.74820447628899</v>
      </c>
      <c r="AY168" s="153" t="n">
        <f aca="false">IFERROR(IF($N168="VCA",INDEX(APOIO_REDES!$A:$W,MATCH($C168&amp;$I168&amp;$H168&amp;$N168&amp;$O168,APOIO_REDES!$W:$W,0),MATCH(AY$5,APOIO_REDES!$5:$5,0)),0)*$AP168,0)</f>
        <v>1.36866131283078</v>
      </c>
      <c r="AZ168" s="153" t="n">
        <f aca="false">IFERROR(IF($N168="VCA",INDEX(APOIO_REDES!$A:$W,MATCH($C168&amp;$I168&amp;$H168&amp;$N168&amp;$O168,APOIO_REDES!$W:$W,0),MATCH(AZ$5,APOIO_REDES!$5:$5,0)),0)*$AP168,0)</f>
        <v>0.189418770281361</v>
      </c>
      <c r="BA168" s="153" t="n">
        <f aca="false">IFERROR(IF(AND($N168="VCA",$Q168="LINEAR"),INDEX(APOIO_REDES!$A:$W,MATCH($C168&amp;$I168&amp;$H168&amp;$N168&amp;$O168,APOIO_REDES!$W:$W,0),MATCH(BA$5,APOIO_REDES!$5:$5,0)),IF(AND($N168="MND",$Q168="EMBOQUE"),INDEX(APOIO_REDES!$A:$W,MATCH($C168&amp;$I168&amp;$H168&amp;$N168&amp;$O168,APOIO_REDES!$W:$W,0),MATCH(BA$5,APOIO_REDES!$5:$5,0)),0))*$M168/10,0)</f>
        <v>0.716511575684247</v>
      </c>
      <c r="BB168" s="153" t="n">
        <f aca="false">IFERROR(IF($N168="VCA",INDEX(APOIO_REDES!$A:$W,MATCH($C168&amp;$I168&amp;$H168&amp;$N168&amp;$O168,APOIO_REDES!$W:$W,0),MATCH(BB$5,APOIO_REDES!$5:$5,0)),0)*($AI168+$AQ168+$AR168),0)</f>
        <v>2.64633586106855</v>
      </c>
      <c r="BC168" s="153" t="n">
        <f aca="false">IFERROR(IF($N168="VCA",INDEX(APOIO_REDES!$A:$W,MATCH($C168&amp;$I168&amp;$H168&amp;$N168&amp;$O168,APOIO_REDES!$W:$W,0),MATCH(BC$5,APOIO_REDES!$5:$5,0)),0)*($AI168+$AQ168+$AR168),0)</f>
        <v>0.029109638931446</v>
      </c>
      <c r="BD168" s="153" t="n">
        <f aca="false">IF(AND($N168="VCA",$AF168&gt;=1.25,$AF168&lt;1.5),$M168*$AF168*2,0)</f>
        <v>24.23414</v>
      </c>
      <c r="BE168" s="153" t="n">
        <f aca="false">IF(AND($N168="VCA",$AF168&gt;=1.5,$AF168&lt;3),$M168*$AF168*2,0)</f>
        <v>0</v>
      </c>
      <c r="BF168" s="153" t="n">
        <f aca="false">IF(AND($N168="VCA",$AF168&gt;=3),$M168*$AF168*2,0)</f>
        <v>0</v>
      </c>
      <c r="BG168" s="153" t="n">
        <f aca="false">($BB168+$BC168)*$AK168</f>
        <v>11.50441565</v>
      </c>
      <c r="BH168" s="153" t="n">
        <f aca="false">IF(AND($M168&lt;&gt;"",$N168="VCA",$Q168="LINEAR"),($M168*2)/100,IF(AND($M168&lt;&gt;"",$N168="MND",$Q168="EMBOQUE"),($AN168*2)/100,0))</f>
        <v>0.1778</v>
      </c>
      <c r="BI168" s="153" t="n">
        <f aca="false">IF(AND($M168&lt;&gt;"",$N168="VCA",$Q168="LINEAR"),$M168,IF(AND($M168&lt;&gt;"",$N168="MND",$Q168="EMBOQUE"),$AN168*2,0))</f>
        <v>8.89</v>
      </c>
      <c r="BJ168" s="153" t="n">
        <f aca="false">IF(AND($M168&lt;&gt;"",$N168="VCA",$Q168="LINEAR"),($M168*6.8)/100,IF(AND($M168&lt;&gt;"",$N168="MND",$Q168="EMBOQUE"),($AN168*2*6.8)/100,0))</f>
        <v>0.60452</v>
      </c>
      <c r="BK168" s="153" t="n">
        <f aca="false">IF(AND($M168&lt;&gt;"",$N168="VCA",$Q168="LINEAR"),($M168*2.5)/50,IF(AND($M168&lt;&gt;"",$N168="MND",$Q168="EMBOQUE"),($AN168*2*2.5)/50,0))</f>
        <v>0.4445</v>
      </c>
      <c r="BL168" s="157" t="str">
        <f aca="false">K168&amp;J168</f>
        <v>Zona02REDES</v>
      </c>
      <c r="BM168" s="152" t="s">
        <v>2037</v>
      </c>
      <c r="BN168" s="152" t="s">
        <v>1560</v>
      </c>
      <c r="BO168" s="152" t="s">
        <v>1968</v>
      </c>
      <c r="BP168" s="152" t="s">
        <v>2170</v>
      </c>
      <c r="BQ168" s="152" t="s">
        <v>2171</v>
      </c>
      <c r="BR168" s="152" t="s">
        <v>2172</v>
      </c>
      <c r="BS168" s="152" t="n">
        <v>202687.91</v>
      </c>
      <c r="BT168" s="152" t="n">
        <v>8237985.714</v>
      </c>
      <c r="BU168" s="152" t="n">
        <v>202692.883</v>
      </c>
      <c r="BV168" s="152" t="n">
        <v>8237993.086</v>
      </c>
      <c r="BW168" s="152" t="n">
        <v>-15.9195223</v>
      </c>
      <c r="BX168" s="152" t="n">
        <v>-47.7767741</v>
      </c>
      <c r="BY168" s="152" t="s">
        <v>2170</v>
      </c>
    </row>
    <row r="169" customFormat="false" ht="13.8" hidden="false" customHeight="false" outlineLevel="0" collapsed="false">
      <c r="A169" s="149" t="n">
        <f aca="false">IF(C169&lt;&gt;"",ROW(A164),"")</f>
        <v>164</v>
      </c>
      <c r="B169" s="150" t="str">
        <f aca="false">HYPERLINK("https://www.google.com/maps/dir/-15.917302,-47.760003/-15.9194893,-47.7767504/data=!4m3!4m2!3e0!5i2")</f>
        <v>https://www.google.com/maps/dir/-15.917302,-47.760003/-15.9194893,-47.7767504/data=!4m3!4m2!3e0!5i2</v>
      </c>
      <c r="C169" s="151" t="s">
        <v>117</v>
      </c>
      <c r="D169" s="152" t="s">
        <v>112</v>
      </c>
      <c r="E169" s="152" t="s">
        <v>113</v>
      </c>
      <c r="F169" s="152" t="s">
        <v>117</v>
      </c>
      <c r="G169" s="152" t="s">
        <v>782</v>
      </c>
      <c r="H169" s="152" t="n">
        <v>63</v>
      </c>
      <c r="I169" s="152" t="s">
        <v>115</v>
      </c>
      <c r="J169" s="152" t="s">
        <v>6</v>
      </c>
      <c r="K169" s="152" t="s">
        <v>2033</v>
      </c>
      <c r="L169" s="152" t="s">
        <v>120</v>
      </c>
      <c r="M169" s="153" t="n">
        <f aca="false">17.95</f>
        <v>17.95</v>
      </c>
      <c r="N169" s="152" t="s">
        <v>2173</v>
      </c>
      <c r="O169" s="152" t="s">
        <v>1549</v>
      </c>
      <c r="P169" s="152" t="s">
        <v>1550</v>
      </c>
      <c r="Q169" s="152" t="s">
        <v>1551</v>
      </c>
      <c r="R169" s="154" t="s">
        <v>2174</v>
      </c>
      <c r="S169" s="154" t="s">
        <v>1553</v>
      </c>
      <c r="T169" s="155" t="s">
        <v>1965</v>
      </c>
      <c r="U169" s="152" t="str">
        <f aca="false">RIGHT(T169,7)</f>
        <v>005/037</v>
      </c>
      <c r="V169" s="152" t="s">
        <v>1555</v>
      </c>
      <c r="W169" s="156" t="n">
        <v>45882</v>
      </c>
      <c r="X169" s="152" t="s">
        <v>1594</v>
      </c>
      <c r="Y169" s="152" t="s">
        <v>2117</v>
      </c>
      <c r="Z169" s="152" t="s">
        <v>1557</v>
      </c>
      <c r="AA169" s="153" t="n">
        <v>4.4</v>
      </c>
      <c r="AB169" s="151" t="s">
        <v>2175</v>
      </c>
      <c r="AC169" s="151" t="s">
        <v>186</v>
      </c>
      <c r="AD169" s="151" t="str">
        <f aca="false">CONCATENATE($C169,$I169,$H169,$N169,$J169,$K169)</f>
        <v>TUBO PEADPEAD63MNDREDESZona02</v>
      </c>
      <c r="AE169" s="153" t="n">
        <f aca="false">IFERROR(INDEX(APOIO_REDES!$A:$W,MATCH($C169&amp;$I169&amp;$H169&amp;$N169&amp;$O169,APOIO_REDES!$W:$W,0),MATCH(AE$5,APOIO_REDES!$5:$5,0)),0)</f>
        <v>0</v>
      </c>
      <c r="AF169" s="153" t="n">
        <f aca="false">IFERROR(INDEX(APOIO_REDES!$A:$W,MATCH($C169&amp;$I169&amp;$H169&amp;$N169&amp;$O169,APOIO_REDES!$W:$W,0),MATCH(AF$5,APOIO_REDES!$5:$5,0)),0)</f>
        <v>0</v>
      </c>
      <c r="AG169" s="153" t="n">
        <f aca="false">IFERROR(INDEX(APOIO_REDES!$A:$W,MATCH($C169&amp;$I169&amp;$H169&amp;$N169&amp;$O169,APOIO_REDES!$W:$W,0),MATCH(AG$5,APOIO_REDES!$5:$5,0)),0)</f>
        <v>0</v>
      </c>
      <c r="AH169" s="153" t="n">
        <f aca="false">IFERROR(INDEX(APOIO_REDES!$A:$W,MATCH($C169&amp;$I169&amp;$H169&amp;$N169&amp;$O169,APOIO_REDES!$W:$W,0),MATCH(AH$5,APOIO_REDES!$5:$5,0)),0)</f>
        <v>0</v>
      </c>
      <c r="AI169" s="153" t="n">
        <f aca="false">IFERROR(IF($H169&lt;&gt;"",(((($H169/1000)/2)^2)*PI()*$M169),0),0)</f>
        <v>0.0559545533239143</v>
      </c>
      <c r="AJ169" s="153" t="n">
        <f aca="false">IFERROR(IF(AND($H169&lt;&gt;"",$I169="FoFo",OR($N169="MND",$N169="VCA"),$Q169="LINEAR"),0,IF(AND($H169&lt;&gt;"",$I169="PEAD",$N169="VCA",$Q169="LINEAR"),($H169/1000)+0.3,IF(AND($H169&lt;&gt;"",$I169="PEAD",$N169="MND",$Q169="EMBOQUE"),0,IF(AND($H169&lt;&gt;"",$I169="PVC",$N169="VCA",$Q169="LINEAR"),($H169/1000)+0.2,IF(AND($H169&lt;&gt;"",$I169="PVC",$N169="MND",$Q169="EMBOQUE"),0,IF(AND($H169&lt;&gt;"",$I169="PEAD",$N169="VCA",$Q169="PREDIAL"),0,0)))))),0)</f>
        <v>0</v>
      </c>
      <c r="AK169" s="153" t="n">
        <f aca="false">IF(AA169&lt;&gt;"",AA169,0)</f>
        <v>4.4</v>
      </c>
      <c r="AL169" s="153" t="n">
        <f aca="false">IF(AND($N169="MND",$Q169="EMBOQUE"),$M169,IF(AND($N169="VCA",$Q169="LINEAR"),$M169,IF(AND($N169="VCA",$Q169="PREDIAL"),0,0)))</f>
        <v>0</v>
      </c>
      <c r="AM169" s="153" t="n">
        <f aca="false">IF(AND($N169="MND",$Q169="EMBOQUE"),$M169,IF(AND($N169="VCA",$Q169="LINEAR"),$M169,IF(AND($N169="VCA",$Q169="PREDIAL"),0,0)))</f>
        <v>0</v>
      </c>
      <c r="AN169" s="153" t="n">
        <f aca="false">ROUND(IF(AND($N169="VCA",$M169&lt;&gt;"",$Q169="LINEAR"),$M169/100,IF(AND($N169="MND",$M169&gt;100,$Q169="EMBOQUE"),$M169/100,0)),0)</f>
        <v>0</v>
      </c>
      <c r="AO169" s="153" t="n">
        <f aca="false">IF(AND($N169="MND",$Q169="EMBOQUE"),$AN169*2*2,IF(AND($N169="VCA",$Q169="LINEAR"),$M169*2,IF(AND($N169="VCA",$Q169="PREDIAL"),0,0)))</f>
        <v>0</v>
      </c>
      <c r="AP169" s="153" t="n">
        <f aca="false">IFERROR($M169*$AF169*$AG169,0)</f>
        <v>0</v>
      </c>
      <c r="AQ169" s="153" t="n">
        <f aca="false">IFERROR(IF(AND($N169="VCA",$AH169&gt;0),$M169*$AG169*$AH169,0),0)</f>
        <v>0</v>
      </c>
      <c r="AR169" s="153" t="n">
        <f aca="false">IFERROR(IF(AND($N169="VCA",$AJ169&gt;0),($M169*$AG169*$AJ169)-$AI169,0),0)</f>
        <v>0</v>
      </c>
      <c r="AS169" s="153" t="n">
        <f aca="false">IFERROR(IF(AND($N169="VCA",$AP169&gt;0),$AP169-$AI169-$AQ169-$AR169,0),0)</f>
        <v>0</v>
      </c>
      <c r="AT169" s="153" t="n">
        <f aca="false">IFERROR(IF($N169="VCA",INDEX(APOIO_REDES!$A:$W,MATCH($C169&amp;$I169&amp;$H169&amp;$N169&amp;$O169,APOIO_REDES!$W:$W,0),MATCH(AT$5,APOIO_REDES!$5:$5,0)),0)*$AP169,0)</f>
        <v>0</v>
      </c>
      <c r="AU169" s="153" t="n">
        <f aca="false">IFERROR(IF($N169="VCA",INDEX(APOIO_REDES!$A:$W,MATCH($C169&amp;$I169&amp;$H169&amp;$N169&amp;$O169,APOIO_REDES!$W:$W,0),MATCH(AU$5,APOIO_REDES!$5:$5,0)),0)*$AP169,0)</f>
        <v>0</v>
      </c>
      <c r="AV169" s="153" t="n">
        <f aca="false">IFERROR(IF($N169="VCA",INDEX(APOIO_REDES!$A:$W,MATCH($C169&amp;$I169&amp;$H169&amp;$N169&amp;$O169,APOIO_REDES!$W:$W,0),MATCH(AV$5,APOIO_REDES!$5:$5,0)),0)*$AP169,0)</f>
        <v>0</v>
      </c>
      <c r="AW169" s="153" t="n">
        <f aca="false">IFERROR(IF($N169="VCA",INDEX(APOIO_REDES!$A:$W,MATCH($C169&amp;$I169&amp;$H169&amp;$N169&amp;$O169,APOIO_REDES!$W:$W,0),MATCH(AW$5,APOIO_REDES!$5:$5,0)),0)*$AP169,0)</f>
        <v>0</v>
      </c>
      <c r="AX169" s="153" t="n">
        <f aca="false">IFERROR(IF($N169="VCA",INDEX(APOIO_REDES!$A:$W,MATCH($C169&amp;$I169&amp;$H169&amp;$N169&amp;$O169,APOIO_REDES!$W:$W,0),MATCH(AX$5,APOIO_REDES!$5:$5,0)),0)*$AP169,0)</f>
        <v>0</v>
      </c>
      <c r="AY169" s="153" t="n">
        <f aca="false">IFERROR(IF($N169="VCA",INDEX(APOIO_REDES!$A:$W,MATCH($C169&amp;$I169&amp;$H169&amp;$N169&amp;$O169,APOIO_REDES!$W:$W,0),MATCH(AY$5,APOIO_REDES!$5:$5,0)),0)*$AP169,0)</f>
        <v>0</v>
      </c>
      <c r="AZ169" s="153" t="n">
        <f aca="false">IFERROR(IF($N169="VCA",INDEX(APOIO_REDES!$A:$W,MATCH($C169&amp;$I169&amp;$H169&amp;$N169&amp;$O169,APOIO_REDES!$W:$W,0),MATCH(AZ$5,APOIO_REDES!$5:$5,0)),0)*$AP169,0)</f>
        <v>0</v>
      </c>
      <c r="BA169" s="153" t="n">
        <f aca="false">IFERROR(IF(AND($N169="VCA",$Q169="LINEAR"),INDEX(APOIO_REDES!$A:$W,MATCH($C169&amp;$I169&amp;$H169&amp;$N169&amp;$O169,APOIO_REDES!$W:$W,0),MATCH(BA$5,APOIO_REDES!$5:$5,0)),IF(AND($N169="MND",$Q169="EMBOQUE"),INDEX(APOIO_REDES!$A:$W,MATCH($C169&amp;$I169&amp;$H169&amp;$N169&amp;$O169,APOIO_REDES!$W:$W,0),MATCH(BA$5,APOIO_REDES!$5:$5,0)),0))*$M169/10,0)</f>
        <v>0</v>
      </c>
      <c r="BB169" s="153" t="n">
        <f aca="false">IFERROR(IF($N169="VCA",INDEX(APOIO_REDES!$A:$W,MATCH($C169&amp;$I169&amp;$H169&amp;$N169&amp;$O169,APOIO_REDES!$W:$W,0),MATCH(BB$5,APOIO_REDES!$5:$5,0)),0)*($AI169+$AQ169+$AR169),0)</f>
        <v>0</v>
      </c>
      <c r="BC169" s="153" t="n">
        <f aca="false">IFERROR(IF($N169="VCA",INDEX(APOIO_REDES!$A:$W,MATCH($C169&amp;$I169&amp;$H169&amp;$N169&amp;$O169,APOIO_REDES!$W:$W,0),MATCH(BC$5,APOIO_REDES!$5:$5,0)),0)*($AI169+$AQ169+$AR169),0)</f>
        <v>0</v>
      </c>
      <c r="BD169" s="153" t="n">
        <f aca="false">IF(AND($N169="VCA",$AF169&gt;=1.25,$AF169&lt;1.5),$M169*$AF169*2,0)</f>
        <v>0</v>
      </c>
      <c r="BE169" s="153" t="n">
        <f aca="false">IF(AND($N169="VCA",$AF169&gt;=1.5,$AF169&lt;3),$M169*$AF169*2,0)</f>
        <v>0</v>
      </c>
      <c r="BF169" s="153" t="n">
        <f aca="false">IF(AND($N169="VCA",$AF169&gt;=3),$M169*$AF169*2,0)</f>
        <v>0</v>
      </c>
      <c r="BG169" s="153" t="n">
        <f aca="false">($BB169+$BC169)*$AK169</f>
        <v>0</v>
      </c>
      <c r="BH169" s="153" t="n">
        <f aca="false">IF(AND($M169&lt;&gt;"",$N169="VCA",$Q169="LINEAR"),($M169*2)/100,IF(AND($M169&lt;&gt;"",$N169="MND",$Q169="EMBOQUE"),($AN169*2)/100,0))</f>
        <v>0</v>
      </c>
      <c r="BI169" s="153" t="n">
        <f aca="false">IF(AND($M169&lt;&gt;"",$N169="VCA",$Q169="LINEAR"),$M169,IF(AND($M169&lt;&gt;"",$N169="MND",$Q169="EMBOQUE"),$AN169*2,0))</f>
        <v>0</v>
      </c>
      <c r="BJ169" s="153" t="n">
        <f aca="false">IF(AND($M169&lt;&gt;"",$N169="VCA",$Q169="LINEAR"),($M169*6.8)/100,IF(AND($M169&lt;&gt;"",$N169="MND",$Q169="EMBOQUE"),($AN169*2*6.8)/100,0))</f>
        <v>0</v>
      </c>
      <c r="BK169" s="153" t="n">
        <f aca="false">IF(AND($M169&lt;&gt;"",$N169="VCA",$Q169="LINEAR"),($M169*2.5)/50,IF(AND($M169&lt;&gt;"",$N169="MND",$Q169="EMBOQUE"),($AN169*2*2.5)/50,0))</f>
        <v>0</v>
      </c>
      <c r="BL169" s="157" t="str">
        <f aca="false">K169&amp;J169</f>
        <v>Zona02REDES</v>
      </c>
      <c r="BM169" s="152" t="s">
        <v>2037</v>
      </c>
      <c r="BN169" s="152" t="s">
        <v>1560</v>
      </c>
      <c r="BO169" s="152" t="s">
        <v>1968</v>
      </c>
      <c r="BP169" s="152" t="s">
        <v>2176</v>
      </c>
      <c r="BQ169" s="152" t="s">
        <v>2171</v>
      </c>
      <c r="BR169" s="152" t="s">
        <v>2177</v>
      </c>
      <c r="BS169" s="152" t="n">
        <v>202707.734</v>
      </c>
      <c r="BT169" s="152" t="n">
        <v>8237982.998</v>
      </c>
      <c r="BU169" s="152" t="n">
        <v>202692.883</v>
      </c>
      <c r="BV169" s="152" t="n">
        <v>8237993.086</v>
      </c>
      <c r="BW169" s="152" t="n">
        <v>-15.9195357</v>
      </c>
      <c r="BX169" s="152" t="n">
        <v>-47.7766817</v>
      </c>
      <c r="BY169" s="152" t="s">
        <v>2171</v>
      </c>
    </row>
    <row r="170" customFormat="false" ht="13.8" hidden="false" customHeight="false" outlineLevel="0" collapsed="false">
      <c r="A170" s="149" t="n">
        <f aca="false">IF(C170&lt;&gt;"",ROW(A165),"")</f>
        <v>165</v>
      </c>
      <c r="B170" s="150" t="str">
        <f aca="false">HYPERLINK("https://www.google.com/maps/dir/-15.917302,-47.760003/-15.9194259,-47.7734379/data=!4m3!4m2!3e0!5i0")</f>
        <v>https://www.google.com/maps/dir/-15.917302,-47.760003/-15.9194259,-47.7734379/data=!4m3!4m2!3e0!5i0</v>
      </c>
      <c r="C170" s="151" t="s">
        <v>117</v>
      </c>
      <c r="D170" s="152" t="s">
        <v>112</v>
      </c>
      <c r="E170" s="152" t="s">
        <v>113</v>
      </c>
      <c r="F170" s="152" t="s">
        <v>117</v>
      </c>
      <c r="G170" s="152" t="s">
        <v>782</v>
      </c>
      <c r="H170" s="152" t="n">
        <v>110</v>
      </c>
      <c r="I170" s="152" t="s">
        <v>115</v>
      </c>
      <c r="J170" s="152" t="s">
        <v>6</v>
      </c>
      <c r="K170" s="152" t="s">
        <v>2033</v>
      </c>
      <c r="L170" s="152" t="s">
        <v>120</v>
      </c>
      <c r="M170" s="153" t="n">
        <f aca="false">75.73</f>
        <v>75.73</v>
      </c>
      <c r="N170" s="152" t="s">
        <v>1548</v>
      </c>
      <c r="O170" s="152" t="s">
        <v>1549</v>
      </c>
      <c r="P170" s="152" t="s">
        <v>1550</v>
      </c>
      <c r="Q170" s="152" t="s">
        <v>1551</v>
      </c>
      <c r="R170" s="154" t="s">
        <v>2178</v>
      </c>
      <c r="S170" s="154" t="s">
        <v>1593</v>
      </c>
      <c r="T170" s="155" t="s">
        <v>1965</v>
      </c>
      <c r="U170" s="152" t="str">
        <f aca="false">RIGHT(T170,7)</f>
        <v>005/037</v>
      </c>
      <c r="V170" s="152" t="s">
        <v>1555</v>
      </c>
      <c r="W170" s="156" t="n">
        <v>45882</v>
      </c>
      <c r="X170" s="152" t="s">
        <v>1594</v>
      </c>
      <c r="Y170" s="152" t="s">
        <v>2063</v>
      </c>
      <c r="Z170" s="152" t="s">
        <v>1557</v>
      </c>
      <c r="AA170" s="153" t="n">
        <v>2.8</v>
      </c>
      <c r="AB170" s="151" t="s">
        <v>2179</v>
      </c>
      <c r="AC170" s="151" t="s">
        <v>502</v>
      </c>
      <c r="AD170" s="151" t="str">
        <f aca="false">CONCATENATE($C170,$I170,$H170,$N170,$J170,$K170)</f>
        <v>TUBO PEADPEAD110VCAREDESZona02</v>
      </c>
      <c r="AE170" s="153" t="n">
        <f aca="false">IFERROR(INDEX(APOIO_REDES!$A:$W,MATCH($C170&amp;$I170&amp;$H170&amp;$N170&amp;$O170,APOIO_REDES!$W:$W,0),MATCH(AE$5,APOIO_REDES!$5:$5,0)),0)</f>
        <v>1.2</v>
      </c>
      <c r="AF170" s="153" t="n">
        <f aca="false">IFERROR(INDEX(APOIO_REDES!$A:$W,MATCH($C170&amp;$I170&amp;$H170&amp;$N170&amp;$O170,APOIO_REDES!$W:$W,0),MATCH(AF$5,APOIO_REDES!$5:$5,0)),0)</f>
        <v>1.41</v>
      </c>
      <c r="AG170" s="153" t="n">
        <f aca="false">IFERROR(INDEX(APOIO_REDES!$A:$W,MATCH($C170&amp;$I170&amp;$H170&amp;$N170&amp;$O170,APOIO_REDES!$W:$W,0),MATCH(AG$5,APOIO_REDES!$5:$5,0)),0)</f>
        <v>0.75</v>
      </c>
      <c r="AH170" s="153" t="n">
        <f aca="false">IFERROR(INDEX(APOIO_REDES!$A:$W,MATCH($C170&amp;$I170&amp;$H170&amp;$N170&amp;$O170,APOIO_REDES!$W:$W,0),MATCH(AH$5,APOIO_REDES!$5:$5,0)),0)</f>
        <v>0.1</v>
      </c>
      <c r="AI170" s="153" t="n">
        <f aca="false">IFERROR(IF($H170&lt;&gt;"",(((($H170/1000)/2)^2)*PI()*$M170),0),0)</f>
        <v>0.719686255260474</v>
      </c>
      <c r="AJ170" s="153" t="n">
        <f aca="false">IFERROR(IF(AND($H170&lt;&gt;"",$I170="FoFo",OR($N170="MND",$N170="VCA"),$Q170="LINEAR"),0,IF(AND($H170&lt;&gt;"",$I170="PEAD",$N170="VCA",$Q170="LINEAR"),($H170/1000)+0.3,IF(AND($H170&lt;&gt;"",$I170="PEAD",$N170="MND",$Q170="EMBOQUE"),0,IF(AND($H170&lt;&gt;"",$I170="PVC",$N170="VCA",$Q170="LINEAR"),($H170/1000)+0.2,IF(AND($H170&lt;&gt;"",$I170="PVC",$N170="MND",$Q170="EMBOQUE"),0,IF(AND($H170&lt;&gt;"",$I170="PEAD",$N170="VCA",$Q170="PREDIAL"),0,0)))))),0)</f>
        <v>0.41</v>
      </c>
      <c r="AK170" s="153" t="n">
        <f aca="false">IF(AA170&lt;&gt;"",AA170,0)</f>
        <v>2.8</v>
      </c>
      <c r="AL170" s="153" t="n">
        <f aca="false">IF(AND($N170="MND",$Q170="EMBOQUE"),$M170,IF(AND($N170="VCA",$Q170="LINEAR"),$M170,IF(AND($N170="VCA",$Q170="PREDIAL"),0,0)))</f>
        <v>75.73</v>
      </c>
      <c r="AM170" s="153" t="n">
        <f aca="false">IF(AND($N170="MND",$Q170="EMBOQUE"),$M170,IF(AND($N170="VCA",$Q170="LINEAR"),$M170,IF(AND($N170="VCA",$Q170="PREDIAL"),0,0)))</f>
        <v>75.73</v>
      </c>
      <c r="AN170" s="153" t="n">
        <f aca="false">ROUND(IF(AND($N170="VCA",$M170&lt;&gt;"",$Q170="LINEAR"),$M170/100,IF(AND($N170="MND",$M170&gt;100,$Q170="EMBOQUE"),$M170/100,0)),0)</f>
        <v>1</v>
      </c>
      <c r="AO170" s="153" t="n">
        <f aca="false">IF(AND($N170="MND",$Q170="EMBOQUE"),$AN170*2*2,IF(AND($N170="VCA",$Q170="LINEAR"),$M170*2,IF(AND($N170="VCA",$Q170="PREDIAL"),0,0)))</f>
        <v>151.46</v>
      </c>
      <c r="AP170" s="153" t="n">
        <f aca="false">IFERROR($M170*$AF170*$AG170,0)</f>
        <v>80.084475</v>
      </c>
      <c r="AQ170" s="153" t="n">
        <f aca="false">IFERROR(IF(AND($N170="VCA",$AH170&gt;0),$M170*$AG170*$AH170,0),0)</f>
        <v>5.67975</v>
      </c>
      <c r="AR170" s="153" t="n">
        <f aca="false">IFERROR(IF(AND($N170="VCA",$AJ170&gt;0),($M170*$AG170*$AJ170)-$AI170,0),0)</f>
        <v>22.5672887447395</v>
      </c>
      <c r="AS170" s="153" t="n">
        <f aca="false">IFERROR(IF(AND($N170="VCA",$AP170&gt;0),$AP170-$AI170-$AQ170-$AR170,0),0)</f>
        <v>51.11775</v>
      </c>
      <c r="AT170" s="153" t="n">
        <f aca="false">IFERROR(IF($N170="VCA",INDEX(APOIO_REDES!$A:$W,MATCH($C170&amp;$I170&amp;$H170&amp;$N170&amp;$O170,APOIO_REDES!$W:$W,0),MATCH(AT$5,APOIO_REDES!$5:$5,0)),0)*$AP170,0)</f>
        <v>0.871342791794643</v>
      </c>
      <c r="AU170" s="153" t="n">
        <f aca="false">IFERROR(IF($N170="VCA",INDEX(APOIO_REDES!$A:$W,MATCH($C170&amp;$I170&amp;$H170&amp;$N170&amp;$O170,APOIO_REDES!$W:$W,0),MATCH(AU$5,APOIO_REDES!$5:$5,0)),0)*$AP170,0)</f>
        <v>0.695830754571568</v>
      </c>
      <c r="AV170" s="153" t="n">
        <f aca="false">IFERROR(IF($N170="VCA",INDEX(APOIO_REDES!$A:$W,MATCH($C170&amp;$I170&amp;$H170&amp;$N170&amp;$O170,APOIO_REDES!$W:$W,0),MATCH(AV$5,APOIO_REDES!$5:$5,0)),0)*$AP170,0)</f>
        <v>0.0962975139471081</v>
      </c>
      <c r="AW170" s="153" t="n">
        <f aca="false">IFERROR(IF($N170="VCA",INDEX(APOIO_REDES!$A:$W,MATCH($C170&amp;$I170&amp;$H170&amp;$N170&amp;$O170,APOIO_REDES!$W:$W,0),MATCH(AW$5,APOIO_REDES!$5:$5,0)),0)*$AP170,0)</f>
        <v>54.9706041647924</v>
      </c>
      <c r="AX170" s="153" t="n">
        <f aca="false">IFERROR(IF($N170="VCA",INDEX(APOIO_REDES!$A:$W,MATCH($C170&amp;$I170&amp;$H170&amp;$N170&amp;$O170,APOIO_REDES!$W:$W,0),MATCH(AX$5,APOIO_REDES!$5:$5,0)),0)*$AP170,0)</f>
        <v>7.60777502967729</v>
      </c>
      <c r="AY170" s="153" t="n">
        <f aca="false">IFERROR(IF($N170="VCA",INDEX(APOIO_REDES!$A:$W,MATCH($C170&amp;$I170&amp;$H170&amp;$N170&amp;$O170,APOIO_REDES!$W:$W,0),MATCH(AY$5,APOIO_REDES!$5:$5,0)),0)*$AP170,0)</f>
        <v>13.9166066093109</v>
      </c>
      <c r="AZ170" s="153" t="n">
        <f aca="false">IFERROR(IF($N170="VCA",INDEX(APOIO_REDES!$A:$W,MATCH($C170&amp;$I170&amp;$H170&amp;$N170&amp;$O170,APOIO_REDES!$W:$W,0),MATCH(AZ$5,APOIO_REDES!$5:$5,0)),0)*$AP170,0)</f>
        <v>1.9260181359061</v>
      </c>
      <c r="BA170" s="153" t="n">
        <f aca="false">IFERROR(IF(AND($N170="VCA",$Q170="LINEAR"),INDEX(APOIO_REDES!$A:$W,MATCH($C170&amp;$I170&amp;$H170&amp;$N170&amp;$O170,APOIO_REDES!$W:$W,0),MATCH(BA$5,APOIO_REDES!$5:$5,0)),IF(AND($N170="MND",$Q170="EMBOQUE"),INDEX(APOIO_REDES!$A:$W,MATCH($C170&amp;$I170&amp;$H170&amp;$N170&amp;$O170,APOIO_REDES!$W:$W,0),MATCH(BA$5,APOIO_REDES!$5:$5,0)),0))*$M170/10,0)</f>
        <v>6.10364697711676</v>
      </c>
      <c r="BB170" s="153" t="n">
        <f aca="false">IFERROR(IF($N170="VCA",INDEX(APOIO_REDES!$A:$W,MATCH($C170&amp;$I170&amp;$H170&amp;$N170&amp;$O170,APOIO_REDES!$W:$W,0),MATCH(BB$5,APOIO_REDES!$5:$5,0)),0)*($AI170+$AQ170+$AR170),0)</f>
        <v>28.651558458287</v>
      </c>
      <c r="BC170" s="153" t="n">
        <f aca="false">IFERROR(IF($N170="VCA",INDEX(APOIO_REDES!$A:$W,MATCH($C170&amp;$I170&amp;$H170&amp;$N170&amp;$O170,APOIO_REDES!$W:$W,0),MATCH(BC$5,APOIO_REDES!$5:$5,0)),0)*($AI170+$AQ170+$AR170),0)</f>
        <v>0.315166541712956</v>
      </c>
      <c r="BD170" s="153" t="n">
        <f aca="false">IF(AND($N170="VCA",$AF170&gt;=1.25,$AF170&lt;1.5),$M170*$AF170*2,0)</f>
        <v>213.5586</v>
      </c>
      <c r="BE170" s="153" t="n">
        <f aca="false">IF(AND($N170="VCA",$AF170&gt;=1.5,$AF170&lt;3),$M170*$AF170*2,0)</f>
        <v>0</v>
      </c>
      <c r="BF170" s="153" t="n">
        <f aca="false">IF(AND($N170="VCA",$AF170&gt;=3),$M170*$AF170*2,0)</f>
        <v>0</v>
      </c>
      <c r="BG170" s="153" t="n">
        <f aca="false">($BB170+$BC170)*$AK170</f>
        <v>81.10683</v>
      </c>
      <c r="BH170" s="153" t="n">
        <f aca="false">IF(AND($M170&lt;&gt;"",$N170="VCA",$Q170="LINEAR"),($M170*2)/100,IF(AND($M170&lt;&gt;"",$N170="MND",$Q170="EMBOQUE"),($AN170*2)/100,0))</f>
        <v>1.5146</v>
      </c>
      <c r="BI170" s="153" t="n">
        <f aca="false">IF(AND($M170&lt;&gt;"",$N170="VCA",$Q170="LINEAR"),$M170,IF(AND($M170&lt;&gt;"",$N170="MND",$Q170="EMBOQUE"),$AN170*2,0))</f>
        <v>75.73</v>
      </c>
      <c r="BJ170" s="153" t="n">
        <f aca="false">IF(AND($M170&lt;&gt;"",$N170="VCA",$Q170="LINEAR"),($M170*6.8)/100,IF(AND($M170&lt;&gt;"",$N170="MND",$Q170="EMBOQUE"),($AN170*2*6.8)/100,0))</f>
        <v>5.14964</v>
      </c>
      <c r="BK170" s="153" t="n">
        <f aca="false">IF(AND($M170&lt;&gt;"",$N170="VCA",$Q170="LINEAR"),($M170*2.5)/50,IF(AND($M170&lt;&gt;"",$N170="MND",$Q170="EMBOQUE"),($AN170*2*2.5)/50,0))</f>
        <v>3.7865</v>
      </c>
      <c r="BL170" s="157" t="str">
        <f aca="false">K170&amp;J170</f>
        <v>Zona02REDES</v>
      </c>
      <c r="BM170" s="152" t="s">
        <v>2037</v>
      </c>
      <c r="BN170" s="152" t="s">
        <v>1560</v>
      </c>
      <c r="BO170" s="152" t="s">
        <v>1968</v>
      </c>
      <c r="BP170" s="152" t="s">
        <v>2147</v>
      </c>
      <c r="BQ170" s="152" t="s">
        <v>2180</v>
      </c>
      <c r="BR170" s="152" t="s">
        <v>2181</v>
      </c>
      <c r="BS170" s="152" t="n">
        <v>203047.708</v>
      </c>
      <c r="BT170" s="152" t="n">
        <v>8238004.827</v>
      </c>
      <c r="BU170" s="152" t="n">
        <v>203112.348</v>
      </c>
      <c r="BV170" s="152" t="n">
        <v>8237965.761</v>
      </c>
      <c r="BW170" s="152" t="n">
        <v>-15.9195904</v>
      </c>
      <c r="BX170" s="152" t="n">
        <v>-47.773128</v>
      </c>
      <c r="BY170" s="152" t="s">
        <v>2147</v>
      </c>
    </row>
    <row r="171" customFormat="false" ht="13.8" hidden="false" customHeight="false" outlineLevel="0" collapsed="false">
      <c r="A171" s="149" t="n">
        <f aca="false">IF(C171&lt;&gt;"",ROW(A166),"")</f>
        <v>166</v>
      </c>
      <c r="B171" s="150" t="str">
        <f aca="false">HYPERLINK("https://www.google.com/maps/dir/-15.917302,-47.760003/-15.9198628,-47.7770184/data=!4m3!4m2!3e0!5i2")</f>
        <v>https://www.google.com/maps/dir/-15.917302,-47.760003/-15.9198628,-47.7770184/data=!4m3!4m2!3e0!5i2</v>
      </c>
      <c r="C171" s="151" t="s">
        <v>117</v>
      </c>
      <c r="D171" s="152" t="s">
        <v>112</v>
      </c>
      <c r="E171" s="152" t="s">
        <v>113</v>
      </c>
      <c r="F171" s="152" t="s">
        <v>117</v>
      </c>
      <c r="G171" s="152" t="s">
        <v>782</v>
      </c>
      <c r="H171" s="152" t="n">
        <v>63</v>
      </c>
      <c r="I171" s="152" t="s">
        <v>115</v>
      </c>
      <c r="J171" s="152" t="s">
        <v>6</v>
      </c>
      <c r="K171" s="152" t="s">
        <v>2033</v>
      </c>
      <c r="L171" s="152" t="s">
        <v>120</v>
      </c>
      <c r="M171" s="153" t="n">
        <f aca="false">41.46</f>
        <v>41.46</v>
      </c>
      <c r="N171" s="152" t="s">
        <v>1548</v>
      </c>
      <c r="O171" s="152" t="s">
        <v>1549</v>
      </c>
      <c r="P171" s="152" t="s">
        <v>1550</v>
      </c>
      <c r="Q171" s="152" t="s">
        <v>1551</v>
      </c>
      <c r="R171" s="154" t="s">
        <v>2182</v>
      </c>
      <c r="S171" s="154" t="s">
        <v>1553</v>
      </c>
      <c r="T171" s="155" t="s">
        <v>1965</v>
      </c>
      <c r="U171" s="152" t="str">
        <f aca="false">RIGHT(T171,7)</f>
        <v>005/037</v>
      </c>
      <c r="V171" s="152" t="s">
        <v>1555</v>
      </c>
      <c r="W171" s="156" t="n">
        <v>45882</v>
      </c>
      <c r="X171" s="152" t="s">
        <v>1594</v>
      </c>
      <c r="Y171" s="152"/>
      <c r="Z171" s="152" t="s">
        <v>1557</v>
      </c>
      <c r="AA171" s="153" t="n">
        <v>4.3</v>
      </c>
      <c r="AB171" s="151" t="s">
        <v>2183</v>
      </c>
      <c r="AC171" s="151" t="s">
        <v>186</v>
      </c>
      <c r="AD171" s="151" t="str">
        <f aca="false">CONCATENATE($C171,$I171,$H171,$N171,$J171,$K171)</f>
        <v>TUBO PEADPEAD63VCAREDESZona02</v>
      </c>
      <c r="AE171" s="153" t="n">
        <f aca="false">IFERROR(INDEX(APOIO_REDES!$A:$W,MATCH($C171&amp;$I171&amp;$H171&amp;$N171&amp;$O171,APOIO_REDES!$W:$W,0),MATCH(AE$5,APOIO_REDES!$5:$5,0)),0)</f>
        <v>1.2</v>
      </c>
      <c r="AF171" s="153" t="n">
        <f aca="false">IFERROR(INDEX(APOIO_REDES!$A:$W,MATCH($C171&amp;$I171&amp;$H171&amp;$N171&amp;$O171,APOIO_REDES!$W:$W,0),MATCH(AF$5,APOIO_REDES!$5:$5,0)),0)</f>
        <v>1.363</v>
      </c>
      <c r="AG171" s="153" t="n">
        <f aca="false">IFERROR(INDEX(APOIO_REDES!$A:$W,MATCH($C171&amp;$I171&amp;$H171&amp;$N171&amp;$O171,APOIO_REDES!$W:$W,0),MATCH(AG$5,APOIO_REDES!$5:$5,0)),0)</f>
        <v>0.65</v>
      </c>
      <c r="AH171" s="153" t="n">
        <f aca="false">IFERROR(INDEX(APOIO_REDES!$A:$W,MATCH($C171&amp;$I171&amp;$H171&amp;$N171&amp;$O171,APOIO_REDES!$W:$W,0),MATCH(AH$5,APOIO_REDES!$5:$5,0)),0)</f>
        <v>0.1</v>
      </c>
      <c r="AI171" s="153" t="n">
        <f aca="false">IFERROR(IF($H171&lt;&gt;"",(((($H171/1000)/2)^2)*PI()*$M171),0),0)</f>
        <v>0.129240990574345</v>
      </c>
      <c r="AJ171" s="153" t="n">
        <f aca="false">IFERROR(IF(AND($H171&lt;&gt;"",$I171="FoFo",OR($N171="MND",$N171="VCA"),$Q171="LINEAR"),0,IF(AND($H171&lt;&gt;"",$I171="PEAD",$N171="VCA",$Q171="LINEAR"),($H171/1000)+0.3,IF(AND($H171&lt;&gt;"",$I171="PEAD",$N171="MND",$Q171="EMBOQUE"),0,IF(AND($H171&lt;&gt;"",$I171="PVC",$N171="VCA",$Q171="LINEAR"),($H171/1000)+0.2,IF(AND($H171&lt;&gt;"",$I171="PVC",$N171="MND",$Q171="EMBOQUE"),0,IF(AND($H171&lt;&gt;"",$I171="PEAD",$N171="VCA",$Q171="PREDIAL"),0,0)))))),0)</f>
        <v>0.363</v>
      </c>
      <c r="AK171" s="153" t="n">
        <f aca="false">IF(AA171&lt;&gt;"",AA171,0)</f>
        <v>4.3</v>
      </c>
      <c r="AL171" s="153" t="n">
        <f aca="false">IF(AND($N171="MND",$Q171="EMBOQUE"),$M171,IF(AND($N171="VCA",$Q171="LINEAR"),$M171,IF(AND($N171="VCA",$Q171="PREDIAL"),0,0)))</f>
        <v>41.46</v>
      </c>
      <c r="AM171" s="153" t="n">
        <f aca="false">IF(AND($N171="MND",$Q171="EMBOQUE"),$M171,IF(AND($N171="VCA",$Q171="LINEAR"),$M171,IF(AND($N171="VCA",$Q171="PREDIAL"),0,0)))</f>
        <v>41.46</v>
      </c>
      <c r="AN171" s="153" t="n">
        <f aca="false">ROUND(IF(AND($N171="VCA",$M171&lt;&gt;"",$Q171="LINEAR"),$M171/100,IF(AND($N171="MND",$M171&gt;100,$Q171="EMBOQUE"),$M171/100,0)),0)</f>
        <v>0</v>
      </c>
      <c r="AO171" s="153" t="n">
        <f aca="false">IF(AND($N171="MND",$Q171="EMBOQUE"),$AN171*2*2,IF(AND($N171="VCA",$Q171="LINEAR"),$M171*2,IF(AND($N171="VCA",$Q171="PREDIAL"),0,0)))</f>
        <v>82.92</v>
      </c>
      <c r="AP171" s="153" t="n">
        <f aca="false">IFERROR($M171*$AF171*$AG171,0)</f>
        <v>36.731487</v>
      </c>
      <c r="AQ171" s="153" t="n">
        <f aca="false">IFERROR(IF(AND($N171="VCA",$AH171&gt;0),$M171*$AG171*$AH171,0),0)</f>
        <v>2.6949</v>
      </c>
      <c r="AR171" s="153" t="n">
        <f aca="false">IFERROR(IF(AND($N171="VCA",$AJ171&gt;0),($M171*$AG171*$AJ171)-$AI171,0),0)</f>
        <v>9.65324600942565</v>
      </c>
      <c r="AS171" s="153" t="n">
        <f aca="false">IFERROR(IF(AND($N171="VCA",$AP171&gt;0),$AP171-$AI171-$AQ171-$AR171,0),0)</f>
        <v>24.2541</v>
      </c>
      <c r="AT171" s="153" t="n">
        <f aca="false">IFERROR(IF($N171="VCA",INDEX(APOIO_REDES!$A:$W,MATCH($C171&amp;$I171&amp;$H171&amp;$N171&amp;$O171,APOIO_REDES!$W:$W,0),MATCH(AT$5,APOIO_REDES!$5:$5,0)),0)*$AP171,0)</f>
        <v>0.399649450525194</v>
      </c>
      <c r="AU171" s="153" t="n">
        <f aca="false">IFERROR(IF($N171="VCA",INDEX(APOIO_REDES!$A:$W,MATCH($C171&amp;$I171&amp;$H171&amp;$N171&amp;$O171,APOIO_REDES!$W:$W,0),MATCH(AU$5,APOIO_REDES!$5:$5,0)),0)*$AP171,0)</f>
        <v>0.31914922730961</v>
      </c>
      <c r="AV171" s="153" t="n">
        <f aca="false">IFERROR(IF($N171="VCA",INDEX(APOIO_REDES!$A:$W,MATCH($C171&amp;$I171&amp;$H171&amp;$N171&amp;$O171,APOIO_REDES!$W:$W,0),MATCH(AV$5,APOIO_REDES!$5:$5,0)),0)*$AP171,0)</f>
        <v>0.0441677476399829</v>
      </c>
      <c r="AW171" s="153" t="n">
        <f aca="false">IFERROR(IF($N171="VCA",INDEX(APOIO_REDES!$A:$W,MATCH($C171&amp;$I171&amp;$H171&amp;$N171&amp;$O171,APOIO_REDES!$W:$W,0),MATCH(AW$5,APOIO_REDES!$5:$5,0)),0)*$AP171,0)</f>
        <v>25.2127772862495</v>
      </c>
      <c r="AX171" s="153" t="n">
        <f aca="false">IFERROR(IF($N171="VCA",INDEX(APOIO_REDES!$A:$W,MATCH($C171&amp;$I171&amp;$H171&amp;$N171&amp;$O171,APOIO_REDES!$W:$W,0),MATCH(AX$5,APOIO_REDES!$5:$5,0)),0)*$AP171,0)</f>
        <v>3.48937655646136</v>
      </c>
      <c r="AY171" s="153" t="n">
        <f aca="false">IFERROR(IF($N171="VCA",INDEX(APOIO_REDES!$A:$W,MATCH($C171&amp;$I171&amp;$H171&amp;$N171&amp;$O171,APOIO_REDES!$W:$W,0),MATCH(AY$5,APOIO_REDES!$5:$5,0)),0)*$AP171,0)</f>
        <v>6.38298065578898</v>
      </c>
      <c r="AZ171" s="153" t="n">
        <f aca="false">IFERROR(IF($N171="VCA",INDEX(APOIO_REDES!$A:$W,MATCH($C171&amp;$I171&amp;$H171&amp;$N171&amp;$O171,APOIO_REDES!$W:$W,0),MATCH(AZ$5,APOIO_REDES!$5:$5,0)),0)*$AP171,0)</f>
        <v>0.883386076025336</v>
      </c>
      <c r="BA171" s="153" t="n">
        <f aca="false">IFERROR(IF(AND($N171="VCA",$Q171="LINEAR"),INDEX(APOIO_REDES!$A:$W,MATCH($C171&amp;$I171&amp;$H171&amp;$N171&amp;$O171,APOIO_REDES!$W:$W,0),MATCH(BA$5,APOIO_REDES!$5:$5,0)),IF(AND($N171="MND",$Q171="EMBOQUE"),INDEX(APOIO_REDES!$A:$W,MATCH($C171&amp;$I171&amp;$H171&amp;$N171&amp;$O171,APOIO_REDES!$W:$W,0),MATCH(BA$5,APOIO_REDES!$5:$5,0)),0))*$M171/10,0)</f>
        <v>3.34157142045769</v>
      </c>
      <c r="BB171" s="153" t="n">
        <f aca="false">IFERROR(IF($N171="VCA",INDEX(APOIO_REDES!$A:$W,MATCH($C171&amp;$I171&amp;$H171&amp;$N171&amp;$O171,APOIO_REDES!$W:$W,0),MATCH(BB$5,APOIO_REDES!$5:$5,0)),0)*($AI171+$AQ171+$AR171),0)</f>
        <v>12.341629336322</v>
      </c>
      <c r="BC171" s="153" t="n">
        <f aca="false">IFERROR(IF($N171="VCA",INDEX(APOIO_REDES!$A:$W,MATCH($C171&amp;$I171&amp;$H171&amp;$N171&amp;$O171,APOIO_REDES!$W:$W,0),MATCH(BC$5,APOIO_REDES!$5:$5,0)),0)*($AI171+$AQ171+$AR171),0)</f>
        <v>0.135757663678037</v>
      </c>
      <c r="BD171" s="153" t="n">
        <f aca="false">IF(AND($N171="VCA",$AF171&gt;=1.25,$AF171&lt;1.5),$M171*$AF171*2,0)</f>
        <v>113.01996</v>
      </c>
      <c r="BE171" s="153" t="n">
        <f aca="false">IF(AND($N171="VCA",$AF171&gt;=1.5,$AF171&lt;3),$M171*$AF171*2,0)</f>
        <v>0</v>
      </c>
      <c r="BF171" s="153" t="n">
        <f aca="false">IF(AND($N171="VCA",$AF171&gt;=3),$M171*$AF171*2,0)</f>
        <v>0</v>
      </c>
      <c r="BG171" s="153" t="n">
        <f aca="false">($BB171+$BC171)*$AK171</f>
        <v>53.6527641</v>
      </c>
      <c r="BH171" s="153" t="n">
        <f aca="false">IF(AND($M171&lt;&gt;"",$N171="VCA",$Q171="LINEAR"),($M171*2)/100,IF(AND($M171&lt;&gt;"",$N171="MND",$Q171="EMBOQUE"),($AN171*2)/100,0))</f>
        <v>0.8292</v>
      </c>
      <c r="BI171" s="153" t="n">
        <f aca="false">IF(AND($M171&lt;&gt;"",$N171="VCA",$Q171="LINEAR"),$M171,IF(AND($M171&lt;&gt;"",$N171="MND",$Q171="EMBOQUE"),$AN171*2,0))</f>
        <v>41.46</v>
      </c>
      <c r="BJ171" s="153" t="n">
        <f aca="false">IF(AND($M171&lt;&gt;"",$N171="VCA",$Q171="LINEAR"),($M171*6.8)/100,IF(AND($M171&lt;&gt;"",$N171="MND",$Q171="EMBOQUE"),($AN171*2*6.8)/100,0))</f>
        <v>2.81928</v>
      </c>
      <c r="BK171" s="153" t="n">
        <f aca="false">IF(AND($M171&lt;&gt;"",$N171="VCA",$Q171="LINEAR"),($M171*2.5)/50,IF(AND($M171&lt;&gt;"",$N171="MND",$Q171="EMBOQUE"),($AN171*2*2.5)/50,0))</f>
        <v>2.073</v>
      </c>
      <c r="BL171" s="157" t="str">
        <f aca="false">K171&amp;J171</f>
        <v>Zona02REDES</v>
      </c>
      <c r="BM171" s="152" t="s">
        <v>2037</v>
      </c>
      <c r="BN171" s="152" t="s">
        <v>1560</v>
      </c>
      <c r="BO171" s="152" t="s">
        <v>1968</v>
      </c>
      <c r="BP171" s="152" t="s">
        <v>2184</v>
      </c>
      <c r="BQ171" s="152" t="s">
        <v>2170</v>
      </c>
      <c r="BR171" s="152" t="s">
        <v>2172</v>
      </c>
      <c r="BS171" s="152" t="n">
        <v>202664.727</v>
      </c>
      <c r="BT171" s="152" t="n">
        <v>8237951.345</v>
      </c>
      <c r="BU171" s="152" t="n">
        <v>202687.91</v>
      </c>
      <c r="BV171" s="152" t="n">
        <v>8237985.714</v>
      </c>
      <c r="BW171" s="152" t="n">
        <v>-15.9197091</v>
      </c>
      <c r="BX171" s="152" t="n">
        <v>-47.7769081</v>
      </c>
      <c r="BY171" s="152" t="s">
        <v>2184</v>
      </c>
    </row>
    <row r="172" customFormat="false" ht="13.8" hidden="false" customHeight="false" outlineLevel="0" collapsed="false">
      <c r="A172" s="149" t="n">
        <f aca="false">IF(C172&lt;&gt;"",ROW(A167),"")</f>
        <v>167</v>
      </c>
      <c r="B172" s="150" t="str">
        <f aca="false">HYPERLINK("https://www.google.com/maps/dir/-15.917302,-47.760003/-15.9208026,-47.7737893/data=!4m3!4m2!3e0!5i2")</f>
        <v>https://www.google.com/maps/dir/-15.917302,-47.760003/-15.9208026,-47.7737893/data=!4m3!4m2!3e0!5i2</v>
      </c>
      <c r="C172" s="151" t="s">
        <v>117</v>
      </c>
      <c r="D172" s="152" t="s">
        <v>112</v>
      </c>
      <c r="E172" s="152" t="s">
        <v>113</v>
      </c>
      <c r="F172" s="152" t="s">
        <v>117</v>
      </c>
      <c r="G172" s="152" t="s">
        <v>782</v>
      </c>
      <c r="H172" s="152" t="n">
        <v>63</v>
      </c>
      <c r="I172" s="152" t="s">
        <v>115</v>
      </c>
      <c r="J172" s="152" t="s">
        <v>6</v>
      </c>
      <c r="K172" s="152" t="s">
        <v>2033</v>
      </c>
      <c r="L172" s="152" t="s">
        <v>120</v>
      </c>
      <c r="M172" s="153" t="n">
        <f aca="false">375.8</f>
        <v>375.8</v>
      </c>
      <c r="N172" s="152" t="s">
        <v>1548</v>
      </c>
      <c r="O172" s="152" t="s">
        <v>1549</v>
      </c>
      <c r="P172" s="152" t="s">
        <v>1550</v>
      </c>
      <c r="Q172" s="152" t="s">
        <v>1551</v>
      </c>
      <c r="R172" s="154" t="s">
        <v>2185</v>
      </c>
      <c r="S172" s="154" t="s">
        <v>1553</v>
      </c>
      <c r="T172" s="155" t="s">
        <v>1965</v>
      </c>
      <c r="U172" s="152" t="str">
        <f aca="false">RIGHT(T172,7)</f>
        <v>005/037</v>
      </c>
      <c r="V172" s="152" t="s">
        <v>1555</v>
      </c>
      <c r="W172" s="156" t="n">
        <v>45882</v>
      </c>
      <c r="X172" s="152" t="s">
        <v>1594</v>
      </c>
      <c r="Y172" s="152" t="s">
        <v>2186</v>
      </c>
      <c r="Z172" s="152" t="s">
        <v>1557</v>
      </c>
      <c r="AA172" s="153" t="n">
        <v>4.1</v>
      </c>
      <c r="AB172" s="151" t="s">
        <v>2187</v>
      </c>
      <c r="AC172" s="151" t="s">
        <v>186</v>
      </c>
      <c r="AD172" s="151" t="str">
        <f aca="false">CONCATENATE($C172,$I172,$H172,$N172,$J172,$K172)</f>
        <v>TUBO PEADPEAD63VCAREDESZona02</v>
      </c>
      <c r="AE172" s="153" t="n">
        <f aca="false">IFERROR(INDEX(APOIO_REDES!$A:$W,MATCH($C172&amp;$I172&amp;$H172&amp;$N172&amp;$O172,APOIO_REDES!$W:$W,0),MATCH(AE$5,APOIO_REDES!$5:$5,0)),0)</f>
        <v>1.2</v>
      </c>
      <c r="AF172" s="153" t="n">
        <f aca="false">IFERROR(INDEX(APOIO_REDES!$A:$W,MATCH($C172&amp;$I172&amp;$H172&amp;$N172&amp;$O172,APOIO_REDES!$W:$W,0),MATCH(AF$5,APOIO_REDES!$5:$5,0)),0)</f>
        <v>1.363</v>
      </c>
      <c r="AG172" s="153" t="n">
        <f aca="false">IFERROR(INDEX(APOIO_REDES!$A:$W,MATCH($C172&amp;$I172&amp;$H172&amp;$N172&amp;$O172,APOIO_REDES!$W:$W,0),MATCH(AG$5,APOIO_REDES!$5:$5,0)),0)</f>
        <v>0.65</v>
      </c>
      <c r="AH172" s="153" t="n">
        <f aca="false">IFERROR(INDEX(APOIO_REDES!$A:$W,MATCH($C172&amp;$I172&amp;$H172&amp;$N172&amp;$O172,APOIO_REDES!$W:$W,0),MATCH(AH$5,APOIO_REDES!$5:$5,0)),0)</f>
        <v>0.1</v>
      </c>
      <c r="AI172" s="153" t="n">
        <f aca="false">IFERROR(IF($H172&lt;&gt;"",(((($H172/1000)/2)^2)*PI()*$M172),0),0)</f>
        <v>1.1714607876951</v>
      </c>
      <c r="AJ172" s="153" t="n">
        <f aca="false">IFERROR(IF(AND($H172&lt;&gt;"",$I172="FoFo",OR($N172="MND",$N172="VCA"),$Q172="LINEAR"),0,IF(AND($H172&lt;&gt;"",$I172="PEAD",$N172="VCA",$Q172="LINEAR"),($H172/1000)+0.3,IF(AND($H172&lt;&gt;"",$I172="PEAD",$N172="MND",$Q172="EMBOQUE"),0,IF(AND($H172&lt;&gt;"",$I172="PVC",$N172="VCA",$Q172="LINEAR"),($H172/1000)+0.2,IF(AND($H172&lt;&gt;"",$I172="PVC",$N172="MND",$Q172="EMBOQUE"),0,IF(AND($H172&lt;&gt;"",$I172="PEAD",$N172="VCA",$Q172="PREDIAL"),0,0)))))),0)</f>
        <v>0.363</v>
      </c>
      <c r="AK172" s="153" t="n">
        <f aca="false">IF(AA172&lt;&gt;"",AA172,0)</f>
        <v>4.1</v>
      </c>
      <c r="AL172" s="153" t="n">
        <f aca="false">IF(AND($N172="MND",$Q172="EMBOQUE"),$M172,IF(AND($N172="VCA",$Q172="LINEAR"),$M172,IF(AND($N172="VCA",$Q172="PREDIAL"),0,0)))</f>
        <v>375.8</v>
      </c>
      <c r="AM172" s="153" t="n">
        <f aca="false">IF(AND($N172="MND",$Q172="EMBOQUE"),$M172,IF(AND($N172="VCA",$Q172="LINEAR"),$M172,IF(AND($N172="VCA",$Q172="PREDIAL"),0,0)))</f>
        <v>375.8</v>
      </c>
      <c r="AN172" s="153" t="n">
        <f aca="false">ROUND(IF(AND($N172="VCA",$M172&lt;&gt;"",$Q172="LINEAR"),$M172/100,IF(AND($N172="MND",$M172&gt;100,$Q172="EMBOQUE"),$M172/100,0)),0)</f>
        <v>4</v>
      </c>
      <c r="AO172" s="153" t="n">
        <f aca="false">IF(AND($N172="MND",$Q172="EMBOQUE"),$AN172*2*2,IF(AND($N172="VCA",$Q172="LINEAR"),$M172*2,IF(AND($N172="VCA",$Q172="PREDIAL"),0,0)))</f>
        <v>751.6</v>
      </c>
      <c r="AP172" s="153" t="n">
        <f aca="false">IFERROR($M172*$AF172*$AG172,0)</f>
        <v>332.94001</v>
      </c>
      <c r="AQ172" s="153" t="n">
        <f aca="false">IFERROR(IF(AND($N172="VCA",$AH172&gt;0),$M172*$AG172*$AH172,0),0)</f>
        <v>24.427</v>
      </c>
      <c r="AR172" s="153" t="n">
        <f aca="false">IFERROR(IF(AND($N172="VCA",$AJ172&gt;0),($M172*$AG172*$AJ172)-$AI172,0),0)</f>
        <v>87.4985492123049</v>
      </c>
      <c r="AS172" s="153" t="n">
        <f aca="false">IFERROR(IF(AND($N172="VCA",$AP172&gt;0),$AP172-$AI172-$AQ172-$AR172,0),0)</f>
        <v>219.843</v>
      </c>
      <c r="AT172" s="153" t="n">
        <f aca="false">IFERROR(IF($N172="VCA",INDEX(APOIO_REDES!$A:$W,MATCH($C172&amp;$I172&amp;$H172&amp;$N172&amp;$O172,APOIO_REDES!$W:$W,0),MATCH(AT$5,APOIO_REDES!$5:$5,0)),0)*$AP172,0)</f>
        <v>3.62248585401273</v>
      </c>
      <c r="AU172" s="153" t="n">
        <f aca="false">IFERROR(IF($N172="VCA",INDEX(APOIO_REDES!$A:$W,MATCH($C172&amp;$I172&amp;$H172&amp;$N172&amp;$O172,APOIO_REDES!$W:$W,0),MATCH(AU$5,APOIO_REDES!$5:$5,0)),0)*$AP172,0)</f>
        <v>2.89281909365536</v>
      </c>
      <c r="AV172" s="153" t="n">
        <f aca="false">IFERROR(IF($N172="VCA",INDEX(APOIO_REDES!$A:$W,MATCH($C172&amp;$I172&amp;$H172&amp;$N172&amp;$O172,APOIO_REDES!$W:$W,0),MATCH(AV$5,APOIO_REDES!$5:$5,0)),0)*$AP172,0)</f>
        <v>0.40034345304162</v>
      </c>
      <c r="AW172" s="153" t="n">
        <f aca="false">IFERROR(IF($N172="VCA",INDEX(APOIO_REDES!$A:$W,MATCH($C172&amp;$I172&amp;$H172&amp;$N172&amp;$O172,APOIO_REDES!$W:$W,0),MATCH(AW$5,APOIO_REDES!$5:$5,0)),0)*$AP172,0)</f>
        <v>228.532602609083</v>
      </c>
      <c r="AX172" s="153" t="n">
        <f aca="false">IFERROR(IF($N172="VCA",INDEX(APOIO_REDES!$A:$W,MATCH($C172&amp;$I172&amp;$H172&amp;$N172&amp;$O172,APOIO_REDES!$W:$W,0),MATCH(AX$5,APOIO_REDES!$5:$5,0)),0)*$AP172,0)</f>
        <v>31.628261213656</v>
      </c>
      <c r="AY172" s="153" t="n">
        <f aca="false">IFERROR(IF($N172="VCA",INDEX(APOIO_REDES!$A:$W,MATCH($C172&amp;$I172&amp;$H172&amp;$N172&amp;$O172,APOIO_REDES!$W:$W,0),MATCH(AY$5,APOIO_REDES!$5:$5,0)),0)*$AP172,0)</f>
        <v>57.856346609877</v>
      </c>
      <c r="AZ172" s="153" t="n">
        <f aca="false">IFERROR(IF($N172="VCA",INDEX(APOIO_REDES!$A:$W,MATCH($C172&amp;$I172&amp;$H172&amp;$N172&amp;$O172,APOIO_REDES!$W:$W,0),MATCH(AZ$5,APOIO_REDES!$5:$5,0)),0)*$AP172,0)</f>
        <v>8.00715116667442</v>
      </c>
      <c r="BA172" s="153" t="n">
        <f aca="false">IFERROR(IF(AND($N172="VCA",$Q172="LINEAR"),INDEX(APOIO_REDES!$A:$W,MATCH($C172&amp;$I172&amp;$H172&amp;$N172&amp;$O172,APOIO_REDES!$W:$W,0),MATCH(BA$5,APOIO_REDES!$5:$5,0)),IF(AND($N172="MND",$Q172="EMBOQUE"),INDEX(APOIO_REDES!$A:$W,MATCH($C172&amp;$I172&amp;$H172&amp;$N172&amp;$O172,APOIO_REDES!$W:$W,0),MATCH(BA$5,APOIO_REDES!$5:$5,0)),0))*$M172/10,0)</f>
        <v>30.2885320744814</v>
      </c>
      <c r="BB172" s="153" t="n">
        <f aca="false">IFERROR(IF($N172="VCA",INDEX(APOIO_REDES!$A:$W,MATCH($C172&amp;$I172&amp;$H172&amp;$N172&amp;$O172,APOIO_REDES!$W:$W,0),MATCH(BB$5,APOIO_REDES!$5:$5,0)),0)*($AI172+$AQ172+$AR172),0)</f>
        <v>111.866481056194</v>
      </c>
      <c r="BC172" s="153" t="n">
        <f aca="false">IFERROR(IF($N172="VCA",INDEX(APOIO_REDES!$A:$W,MATCH($C172&amp;$I172&amp;$H172&amp;$N172&amp;$O172,APOIO_REDES!$W:$W,0),MATCH(BC$5,APOIO_REDES!$5:$5,0)),0)*($AI172+$AQ172+$AR172),0)</f>
        <v>1.23052894380623</v>
      </c>
      <c r="BD172" s="153" t="n">
        <f aca="false">IF(AND($N172="VCA",$AF172&gt;=1.25,$AF172&lt;1.5),$M172*$AF172*2,0)</f>
        <v>1024.4308</v>
      </c>
      <c r="BE172" s="153" t="n">
        <f aca="false">IF(AND($N172="VCA",$AF172&gt;=1.5,$AF172&lt;3),$M172*$AF172*2,0)</f>
        <v>0</v>
      </c>
      <c r="BF172" s="153" t="n">
        <f aca="false">IF(AND($N172="VCA",$AF172&gt;=3),$M172*$AF172*2,0)</f>
        <v>0</v>
      </c>
      <c r="BG172" s="153" t="n">
        <f aca="false">($BB172+$BC172)*$AK172</f>
        <v>463.697741</v>
      </c>
      <c r="BH172" s="153" t="n">
        <f aca="false">IF(AND($M172&lt;&gt;"",$N172="VCA",$Q172="LINEAR"),($M172*2)/100,IF(AND($M172&lt;&gt;"",$N172="MND",$Q172="EMBOQUE"),($AN172*2)/100,0))</f>
        <v>7.516</v>
      </c>
      <c r="BI172" s="153" t="n">
        <f aca="false">IF(AND($M172&lt;&gt;"",$N172="VCA",$Q172="LINEAR"),$M172,IF(AND($M172&lt;&gt;"",$N172="MND",$Q172="EMBOQUE"),$AN172*2,0))</f>
        <v>375.8</v>
      </c>
      <c r="BJ172" s="153" t="n">
        <f aca="false">IF(AND($M172&lt;&gt;"",$N172="VCA",$Q172="LINEAR"),($M172*6.8)/100,IF(AND($M172&lt;&gt;"",$N172="MND",$Q172="EMBOQUE"),($AN172*2*6.8)/100,0))</f>
        <v>25.5544</v>
      </c>
      <c r="BK172" s="153" t="n">
        <f aca="false">IF(AND($M172&lt;&gt;"",$N172="VCA",$Q172="LINEAR"),($M172*2.5)/50,IF(AND($M172&lt;&gt;"",$N172="MND",$Q172="EMBOQUE"),($AN172*2*2.5)/50,0))</f>
        <v>18.79</v>
      </c>
      <c r="BL172" s="157" t="str">
        <f aca="false">K172&amp;J172</f>
        <v>Zona02REDES</v>
      </c>
      <c r="BM172" s="152" t="s">
        <v>2037</v>
      </c>
      <c r="BN172" s="152" t="s">
        <v>1560</v>
      </c>
      <c r="BO172" s="152" t="s">
        <v>1968</v>
      </c>
      <c r="BP172" s="152" t="s">
        <v>2188</v>
      </c>
      <c r="BQ172" s="152" t="s">
        <v>2119</v>
      </c>
      <c r="BR172" s="152" t="s">
        <v>2189</v>
      </c>
      <c r="BS172" s="152" t="n">
        <v>203012.076</v>
      </c>
      <c r="BT172" s="152" t="n">
        <v>8237851.886</v>
      </c>
      <c r="BU172" s="152" t="n">
        <v>202716.365</v>
      </c>
      <c r="BV172" s="152" t="n">
        <v>8238083.524</v>
      </c>
      <c r="BW172" s="152" t="n">
        <v>-15.9197649</v>
      </c>
      <c r="BX172" s="152" t="n">
        <v>-47.7751766</v>
      </c>
      <c r="BY172" s="152" t="s">
        <v>2188</v>
      </c>
    </row>
    <row r="173" customFormat="false" ht="13.8" hidden="false" customHeight="false" outlineLevel="0" collapsed="false">
      <c r="A173" s="149" t="n">
        <f aca="false">IF(C173&lt;&gt;"",ROW(A168),"")</f>
        <v>168</v>
      </c>
      <c r="B173" s="150" t="str">
        <f aca="false">HYPERLINK("https://www.google.com/maps/dir/-15.917302,-47.760003/-15.9199248,-47.7769106/data=!4m3!4m2!3e0!5i2")</f>
        <v>https://www.google.com/maps/dir/-15.917302,-47.760003/-15.9199248,-47.7769106/data=!4m3!4m2!3e0!5i2</v>
      </c>
      <c r="C173" s="151" t="s">
        <v>117</v>
      </c>
      <c r="D173" s="152" t="s">
        <v>112</v>
      </c>
      <c r="E173" s="152" t="s">
        <v>113</v>
      </c>
      <c r="F173" s="152" t="s">
        <v>117</v>
      </c>
      <c r="G173" s="152" t="s">
        <v>782</v>
      </c>
      <c r="H173" s="152" t="n">
        <v>63</v>
      </c>
      <c r="I173" s="152" t="s">
        <v>115</v>
      </c>
      <c r="J173" s="152" t="s">
        <v>6</v>
      </c>
      <c r="K173" s="152" t="s">
        <v>2033</v>
      </c>
      <c r="L173" s="152" t="s">
        <v>120</v>
      </c>
      <c r="M173" s="153" t="n">
        <f aca="false">13.38</f>
        <v>13.38</v>
      </c>
      <c r="N173" s="152" t="s">
        <v>1548</v>
      </c>
      <c r="O173" s="152" t="s">
        <v>1549</v>
      </c>
      <c r="P173" s="152" t="s">
        <v>1550</v>
      </c>
      <c r="Q173" s="152" t="s">
        <v>1551</v>
      </c>
      <c r="R173" s="154" t="s">
        <v>2190</v>
      </c>
      <c r="S173" s="154" t="s">
        <v>1553</v>
      </c>
      <c r="T173" s="155" t="s">
        <v>1965</v>
      </c>
      <c r="U173" s="152" t="str">
        <f aca="false">RIGHT(T173,7)</f>
        <v>005/037</v>
      </c>
      <c r="V173" s="152" t="s">
        <v>1555</v>
      </c>
      <c r="W173" s="156" t="n">
        <v>45882</v>
      </c>
      <c r="X173" s="152" t="s">
        <v>1594</v>
      </c>
      <c r="Y173" s="152"/>
      <c r="Z173" s="152" t="s">
        <v>1557</v>
      </c>
      <c r="AA173" s="153" t="n">
        <v>4.3</v>
      </c>
      <c r="AB173" s="151" t="s">
        <v>2191</v>
      </c>
      <c r="AC173" s="151" t="s">
        <v>186</v>
      </c>
      <c r="AD173" s="151" t="str">
        <f aca="false">CONCATENATE($C173,$I173,$H173,$N173,$J173,$K173)</f>
        <v>TUBO PEADPEAD63VCAREDESZona02</v>
      </c>
      <c r="AE173" s="153" t="n">
        <f aca="false">IFERROR(INDEX(APOIO_REDES!$A:$W,MATCH($C173&amp;$I173&amp;$H173&amp;$N173&amp;$O173,APOIO_REDES!$W:$W,0),MATCH(AE$5,APOIO_REDES!$5:$5,0)),0)</f>
        <v>1.2</v>
      </c>
      <c r="AF173" s="153" t="n">
        <f aca="false">IFERROR(INDEX(APOIO_REDES!$A:$W,MATCH($C173&amp;$I173&amp;$H173&amp;$N173&amp;$O173,APOIO_REDES!$W:$W,0),MATCH(AF$5,APOIO_REDES!$5:$5,0)),0)</f>
        <v>1.363</v>
      </c>
      <c r="AG173" s="153" t="n">
        <f aca="false">IFERROR(INDEX(APOIO_REDES!$A:$W,MATCH($C173&amp;$I173&amp;$H173&amp;$N173&amp;$O173,APOIO_REDES!$W:$W,0),MATCH(AG$5,APOIO_REDES!$5:$5,0)),0)</f>
        <v>0.65</v>
      </c>
      <c r="AH173" s="153" t="n">
        <f aca="false">IFERROR(INDEX(APOIO_REDES!$A:$W,MATCH($C173&amp;$I173&amp;$H173&amp;$N173&amp;$O173,APOIO_REDES!$W:$W,0),MATCH(AH$5,APOIO_REDES!$5:$5,0)),0)</f>
        <v>0.1</v>
      </c>
      <c r="AI173" s="153" t="n">
        <f aca="false">IFERROR(IF($H173&lt;&gt;"",(((($H173/1000)/2)^2)*PI()*$M173),0),0)</f>
        <v>0.0417087422548174</v>
      </c>
      <c r="AJ173" s="153" t="n">
        <f aca="false">IFERROR(IF(AND($H173&lt;&gt;"",$I173="FoFo",OR($N173="MND",$N173="VCA"),$Q173="LINEAR"),0,IF(AND($H173&lt;&gt;"",$I173="PEAD",$N173="VCA",$Q173="LINEAR"),($H173/1000)+0.3,IF(AND($H173&lt;&gt;"",$I173="PEAD",$N173="MND",$Q173="EMBOQUE"),0,IF(AND($H173&lt;&gt;"",$I173="PVC",$N173="VCA",$Q173="LINEAR"),($H173/1000)+0.2,IF(AND($H173&lt;&gt;"",$I173="PVC",$N173="MND",$Q173="EMBOQUE"),0,IF(AND($H173&lt;&gt;"",$I173="PEAD",$N173="VCA",$Q173="PREDIAL"),0,0)))))),0)</f>
        <v>0.363</v>
      </c>
      <c r="AK173" s="153" t="n">
        <f aca="false">IF(AA173&lt;&gt;"",AA173,0)</f>
        <v>4.3</v>
      </c>
      <c r="AL173" s="153" t="n">
        <f aca="false">IF(AND($N173="MND",$Q173="EMBOQUE"),$M173,IF(AND($N173="VCA",$Q173="LINEAR"),$M173,IF(AND($N173="VCA",$Q173="PREDIAL"),0,0)))</f>
        <v>13.38</v>
      </c>
      <c r="AM173" s="153" t="n">
        <f aca="false">IF(AND($N173="MND",$Q173="EMBOQUE"),$M173,IF(AND($N173="VCA",$Q173="LINEAR"),$M173,IF(AND($N173="VCA",$Q173="PREDIAL"),0,0)))</f>
        <v>13.38</v>
      </c>
      <c r="AN173" s="153" t="n">
        <f aca="false">ROUND(IF(AND($N173="VCA",$M173&lt;&gt;"",$Q173="LINEAR"),$M173/100,IF(AND($N173="MND",$M173&gt;100,$Q173="EMBOQUE"),$M173/100,0)),0)</f>
        <v>0</v>
      </c>
      <c r="AO173" s="153" t="n">
        <f aca="false">IF(AND($N173="MND",$Q173="EMBOQUE"),$AN173*2*2,IF(AND($N173="VCA",$Q173="LINEAR"),$M173*2,IF(AND($N173="VCA",$Q173="PREDIAL"),0,0)))</f>
        <v>26.76</v>
      </c>
      <c r="AP173" s="153" t="n">
        <f aca="false">IFERROR($M173*$AF173*$AG173,0)</f>
        <v>11.854011</v>
      </c>
      <c r="AQ173" s="153" t="n">
        <f aca="false">IFERROR(IF(AND($N173="VCA",$AH173&gt;0),$M173*$AG173*$AH173,0),0)</f>
        <v>0.8697</v>
      </c>
      <c r="AR173" s="153" t="n">
        <f aca="false">IFERROR(IF(AND($N173="VCA",$AJ173&gt;0),($M173*$AG173*$AJ173)-$AI173,0),0)</f>
        <v>3.11530225774518</v>
      </c>
      <c r="AS173" s="153" t="n">
        <f aca="false">IFERROR(IF(AND($N173="VCA",$AP173&gt;0),$AP173-$AI173-$AQ173-$AR173,0),0)</f>
        <v>7.8273</v>
      </c>
      <c r="AT173" s="153" t="n">
        <f aca="false">IFERROR(IF($N173="VCA",INDEX(APOIO_REDES!$A:$W,MATCH($C173&amp;$I173&amp;$H173&amp;$N173&amp;$O173,APOIO_REDES!$W:$W,0),MATCH(AT$5,APOIO_REDES!$5:$5,0)),0)*$AP173,0)</f>
        <v>0.12897514828816</v>
      </c>
      <c r="AU173" s="153" t="n">
        <f aca="false">IFERROR(IF($N173="VCA",INDEX(APOIO_REDES!$A:$W,MATCH($C173&amp;$I173&amp;$H173&amp;$N173&amp;$O173,APOIO_REDES!$W:$W,0),MATCH(AU$5,APOIO_REDES!$5:$5,0)),0)*$AP173,0)</f>
        <v>0.102996060332913</v>
      </c>
      <c r="AV173" s="153" t="n">
        <f aca="false">IFERROR(IF($N173="VCA",INDEX(APOIO_REDES!$A:$W,MATCH($C173&amp;$I173&amp;$H173&amp;$N173&amp;$O173,APOIO_REDES!$W:$W,0),MATCH(AV$5,APOIO_REDES!$5:$5,0)),0)*$AP173,0)</f>
        <v>0.0142538461992998</v>
      </c>
      <c r="AW173" s="153" t="n">
        <f aca="false">IFERROR(IF($N173="VCA",INDEX(APOIO_REDES!$A:$W,MATCH($C173&amp;$I173&amp;$H173&amp;$N173&amp;$O173,APOIO_REDES!$W:$W,0),MATCH(AW$5,APOIO_REDES!$5:$5,0)),0)*$AP173,0)</f>
        <v>8.13668499975926</v>
      </c>
      <c r="AX173" s="153" t="n">
        <f aca="false">IFERROR(IF($N173="VCA",INDEX(APOIO_REDES!$A:$W,MATCH($C173&amp;$I173&amp;$H173&amp;$N173&amp;$O173,APOIO_REDES!$W:$W,0),MATCH(AX$5,APOIO_REDES!$5:$5,0)),0)*$AP173,0)</f>
        <v>1.12609402618073</v>
      </c>
      <c r="AY173" s="153" t="n">
        <f aca="false">IFERROR(IF($N173="VCA",INDEX(APOIO_REDES!$A:$W,MATCH($C173&amp;$I173&amp;$H173&amp;$N173&amp;$O173,APOIO_REDES!$W:$W,0),MATCH(AY$5,APOIO_REDES!$5:$5,0)),0)*$AP173,0)</f>
        <v>2.05991995114464</v>
      </c>
      <c r="AZ173" s="153" t="n">
        <f aca="false">IFERROR(IF($N173="VCA",INDEX(APOIO_REDES!$A:$W,MATCH($C173&amp;$I173&amp;$H173&amp;$N173&amp;$O173,APOIO_REDES!$W:$W,0),MATCH(AZ$5,APOIO_REDES!$5:$5,0)),0)*$AP173,0)</f>
        <v>0.285086968095007</v>
      </c>
      <c r="BA173" s="153" t="n">
        <f aca="false">IFERROR(IF(AND($N173="VCA",$Q173="LINEAR"),INDEX(APOIO_REDES!$A:$W,MATCH($C173&amp;$I173&amp;$H173&amp;$N173&amp;$O173,APOIO_REDES!$W:$W,0),MATCH(BA$5,APOIO_REDES!$5:$5,0)),IF(AND($N173="MND",$Q173="EMBOQUE"),INDEX(APOIO_REDES!$A:$W,MATCH($C173&amp;$I173&amp;$H173&amp;$N173&amp;$O173,APOIO_REDES!$W:$W,0),MATCH(BA$5,APOIO_REDES!$5:$5,0)),0))*$M173/10,0)</f>
        <v>1.07839425001746</v>
      </c>
      <c r="BB173" s="153" t="n">
        <f aca="false">IFERROR(IF($N173="VCA",INDEX(APOIO_REDES!$A:$W,MATCH($C173&amp;$I173&amp;$H173&amp;$N173&amp;$O173,APOIO_REDES!$W:$W,0),MATCH(BB$5,APOIO_REDES!$5:$5,0)),0)*($AI173+$AQ173+$AR173),0)</f>
        <v>3.98289919247438</v>
      </c>
      <c r="BC173" s="153" t="n">
        <f aca="false">IFERROR(IF($N173="VCA",INDEX(APOIO_REDES!$A:$W,MATCH($C173&amp;$I173&amp;$H173&amp;$N173&amp;$O173,APOIO_REDES!$W:$W,0),MATCH(BC$5,APOIO_REDES!$5:$5,0)),0)*($AI173+$AQ173+$AR173),0)</f>
        <v>0.0438118075256184</v>
      </c>
      <c r="BD173" s="153" t="n">
        <f aca="false">IF(AND($N173="VCA",$AF173&gt;=1.25,$AF173&lt;1.5),$M173*$AF173*2,0)</f>
        <v>36.47388</v>
      </c>
      <c r="BE173" s="153" t="n">
        <f aca="false">IF(AND($N173="VCA",$AF173&gt;=1.5,$AF173&lt;3),$M173*$AF173*2,0)</f>
        <v>0</v>
      </c>
      <c r="BF173" s="153" t="n">
        <f aca="false">IF(AND($N173="VCA",$AF173&gt;=3),$M173*$AF173*2,0)</f>
        <v>0</v>
      </c>
      <c r="BG173" s="153" t="n">
        <f aca="false">($BB173+$BC173)*$AK173</f>
        <v>17.3148573</v>
      </c>
      <c r="BH173" s="153" t="n">
        <f aca="false">IF(AND($M173&lt;&gt;"",$N173="VCA",$Q173="LINEAR"),($M173*2)/100,IF(AND($M173&lt;&gt;"",$N173="MND",$Q173="EMBOQUE"),($AN173*2)/100,0))</f>
        <v>0.2676</v>
      </c>
      <c r="BI173" s="153" t="n">
        <f aca="false">IF(AND($M173&lt;&gt;"",$N173="VCA",$Q173="LINEAR"),$M173,IF(AND($M173&lt;&gt;"",$N173="MND",$Q173="EMBOQUE"),$AN173*2,0))</f>
        <v>13.38</v>
      </c>
      <c r="BJ173" s="153" t="n">
        <f aca="false">IF(AND($M173&lt;&gt;"",$N173="VCA",$Q173="LINEAR"),($M173*6.8)/100,IF(AND($M173&lt;&gt;"",$N173="MND",$Q173="EMBOQUE"),($AN173*2*6.8)/100,0))</f>
        <v>0.90984</v>
      </c>
      <c r="BK173" s="153" t="n">
        <f aca="false">IF(AND($M173&lt;&gt;"",$N173="VCA",$Q173="LINEAR"),($M173*2.5)/50,IF(AND($M173&lt;&gt;"",$N173="MND",$Q173="EMBOQUE"),($AN173*2*2.5)/50,0))</f>
        <v>0.669</v>
      </c>
      <c r="BL173" s="157" t="str">
        <f aca="false">K173&amp;J173</f>
        <v>Zona02REDES</v>
      </c>
      <c r="BM173" s="152" t="s">
        <v>2037</v>
      </c>
      <c r="BN173" s="152" t="s">
        <v>1560</v>
      </c>
      <c r="BO173" s="152" t="s">
        <v>1968</v>
      </c>
      <c r="BP173" s="152" t="s">
        <v>2192</v>
      </c>
      <c r="BQ173" s="152" t="s">
        <v>2184</v>
      </c>
      <c r="BR173" s="152" t="s">
        <v>2172</v>
      </c>
      <c r="BS173" s="152" t="n">
        <v>202676.289</v>
      </c>
      <c r="BT173" s="152" t="n">
        <v>8237944.613</v>
      </c>
      <c r="BU173" s="152" t="n">
        <v>202664.727</v>
      </c>
      <c r="BV173" s="152" t="n">
        <v>8237951.345</v>
      </c>
      <c r="BW173" s="152" t="n">
        <v>-15.9198939</v>
      </c>
      <c r="BX173" s="152" t="n">
        <v>-47.7769649</v>
      </c>
      <c r="BY173" s="152" t="s">
        <v>2192</v>
      </c>
    </row>
    <row r="174" customFormat="false" ht="13.8" hidden="false" customHeight="false" outlineLevel="0" collapsed="false">
      <c r="A174" s="149" t="n">
        <f aca="false">IF(C174&lt;&gt;"",ROW(A169),"")</f>
        <v>169</v>
      </c>
      <c r="B174" s="150" t="str">
        <f aca="false">HYPERLINK("https://www.google.com/maps/dir/-15.917302,-47.760003/-15.9201280,-47.7770496/data=!4m3!4m2!3e0!5i2")</f>
        <v>https://www.google.com/maps/dir/-15.917302,-47.760003/-15.9201280,-47.7770496/data=!4m3!4m2!3e0!5i2</v>
      </c>
      <c r="C174" s="151" t="s">
        <v>117</v>
      </c>
      <c r="D174" s="152" t="s">
        <v>112</v>
      </c>
      <c r="E174" s="152" t="s">
        <v>113</v>
      </c>
      <c r="F174" s="152" t="s">
        <v>117</v>
      </c>
      <c r="G174" s="152" t="s">
        <v>782</v>
      </c>
      <c r="H174" s="152" t="n">
        <v>63</v>
      </c>
      <c r="I174" s="152" t="s">
        <v>115</v>
      </c>
      <c r="J174" s="152" t="s">
        <v>6</v>
      </c>
      <c r="K174" s="152" t="s">
        <v>2033</v>
      </c>
      <c r="L174" s="152" t="s">
        <v>120</v>
      </c>
      <c r="M174" s="153" t="n">
        <f aca="false">26.93</f>
        <v>26.93</v>
      </c>
      <c r="N174" s="152" t="s">
        <v>1548</v>
      </c>
      <c r="O174" s="152" t="s">
        <v>1549</v>
      </c>
      <c r="P174" s="152" t="s">
        <v>1550</v>
      </c>
      <c r="Q174" s="152" t="s">
        <v>1551</v>
      </c>
      <c r="R174" s="154" t="s">
        <v>2193</v>
      </c>
      <c r="S174" s="154" t="s">
        <v>1553</v>
      </c>
      <c r="T174" s="155" t="s">
        <v>1965</v>
      </c>
      <c r="U174" s="152" t="str">
        <f aca="false">RIGHT(T174,7)</f>
        <v>005/037</v>
      </c>
      <c r="V174" s="152" t="s">
        <v>1555</v>
      </c>
      <c r="W174" s="156" t="n">
        <v>45882</v>
      </c>
      <c r="X174" s="152" t="s">
        <v>1594</v>
      </c>
      <c r="Y174" s="152"/>
      <c r="Z174" s="152" t="s">
        <v>1557</v>
      </c>
      <c r="AA174" s="153" t="n">
        <v>4.3</v>
      </c>
      <c r="AB174" s="151" t="s">
        <v>2194</v>
      </c>
      <c r="AC174" s="151" t="s">
        <v>186</v>
      </c>
      <c r="AD174" s="151" t="str">
        <f aca="false">CONCATENATE($C174,$I174,$H174,$N174,$J174,$K174)</f>
        <v>TUBO PEADPEAD63VCAREDESZona02</v>
      </c>
      <c r="AE174" s="153" t="n">
        <f aca="false">IFERROR(INDEX(APOIO_REDES!$A:$W,MATCH($C174&amp;$I174&amp;$H174&amp;$N174&amp;$O174,APOIO_REDES!$W:$W,0),MATCH(AE$5,APOIO_REDES!$5:$5,0)),0)</f>
        <v>1.2</v>
      </c>
      <c r="AF174" s="153" t="n">
        <f aca="false">IFERROR(INDEX(APOIO_REDES!$A:$W,MATCH($C174&amp;$I174&amp;$H174&amp;$N174&amp;$O174,APOIO_REDES!$W:$W,0),MATCH(AF$5,APOIO_REDES!$5:$5,0)),0)</f>
        <v>1.363</v>
      </c>
      <c r="AG174" s="153" t="n">
        <f aca="false">IFERROR(INDEX(APOIO_REDES!$A:$W,MATCH($C174&amp;$I174&amp;$H174&amp;$N174&amp;$O174,APOIO_REDES!$W:$W,0),MATCH(AG$5,APOIO_REDES!$5:$5,0)),0)</f>
        <v>0.65</v>
      </c>
      <c r="AH174" s="153" t="n">
        <f aca="false">IFERROR(INDEX(APOIO_REDES!$A:$W,MATCH($C174&amp;$I174&amp;$H174&amp;$N174&amp;$O174,APOIO_REDES!$W:$W,0),MATCH(AH$5,APOIO_REDES!$5:$5,0)),0)</f>
        <v>0.1</v>
      </c>
      <c r="AI174" s="153" t="n">
        <f aca="false">IFERROR(IF($H174&lt;&gt;"",(((($H174/1000)/2)^2)*PI()*$M174),0),0)</f>
        <v>0.083947416212424</v>
      </c>
      <c r="AJ174" s="153" t="n">
        <f aca="false">IFERROR(IF(AND($H174&lt;&gt;"",$I174="FoFo",OR($N174="MND",$N174="VCA"),$Q174="LINEAR"),0,IF(AND($H174&lt;&gt;"",$I174="PEAD",$N174="VCA",$Q174="LINEAR"),($H174/1000)+0.3,IF(AND($H174&lt;&gt;"",$I174="PEAD",$N174="MND",$Q174="EMBOQUE"),0,IF(AND($H174&lt;&gt;"",$I174="PVC",$N174="VCA",$Q174="LINEAR"),($H174/1000)+0.2,IF(AND($H174&lt;&gt;"",$I174="PVC",$N174="MND",$Q174="EMBOQUE"),0,IF(AND($H174&lt;&gt;"",$I174="PEAD",$N174="VCA",$Q174="PREDIAL"),0,0)))))),0)</f>
        <v>0.363</v>
      </c>
      <c r="AK174" s="153" t="n">
        <f aca="false">IF(AA174&lt;&gt;"",AA174,0)</f>
        <v>4.3</v>
      </c>
      <c r="AL174" s="153" t="n">
        <f aca="false">IF(AND($N174="MND",$Q174="EMBOQUE"),$M174,IF(AND($N174="VCA",$Q174="LINEAR"),$M174,IF(AND($N174="VCA",$Q174="PREDIAL"),0,0)))</f>
        <v>26.93</v>
      </c>
      <c r="AM174" s="153" t="n">
        <f aca="false">IF(AND($N174="MND",$Q174="EMBOQUE"),$M174,IF(AND($N174="VCA",$Q174="LINEAR"),$M174,IF(AND($N174="VCA",$Q174="PREDIAL"),0,0)))</f>
        <v>26.93</v>
      </c>
      <c r="AN174" s="153" t="n">
        <f aca="false">ROUND(IF(AND($N174="VCA",$M174&lt;&gt;"",$Q174="LINEAR"),$M174/100,IF(AND($N174="MND",$M174&gt;100,$Q174="EMBOQUE"),$M174/100,0)),0)</f>
        <v>0</v>
      </c>
      <c r="AO174" s="153" t="n">
        <f aca="false">IF(AND($N174="MND",$Q174="EMBOQUE"),$AN174*2*2,IF(AND($N174="VCA",$Q174="LINEAR"),$M174*2,IF(AND($N174="VCA",$Q174="PREDIAL"),0,0)))</f>
        <v>53.86</v>
      </c>
      <c r="AP174" s="153" t="n">
        <f aca="false">IFERROR($M174*$AF174*$AG174,0)</f>
        <v>23.8586335</v>
      </c>
      <c r="AQ174" s="153" t="n">
        <f aca="false">IFERROR(IF(AND($N174="VCA",$AH174&gt;0),$M174*$AG174*$AH174,0),0)</f>
        <v>1.75045</v>
      </c>
      <c r="AR174" s="153" t="n">
        <f aca="false">IFERROR(IF(AND($N174="VCA",$AJ174&gt;0),($M174*$AG174*$AJ174)-$AI174,0),0)</f>
        <v>6.27018608378758</v>
      </c>
      <c r="AS174" s="153" t="n">
        <f aca="false">IFERROR(IF(AND($N174="VCA",$AP174&gt;0),$AP174-$AI174-$AQ174-$AR174,0),0)</f>
        <v>15.75405</v>
      </c>
      <c r="AT174" s="153" t="n">
        <f aca="false">IFERROR(IF($N174="VCA",INDEX(APOIO_REDES!$A:$W,MATCH($C174&amp;$I174&amp;$H174&amp;$N174&amp;$O174,APOIO_REDES!$W:$W,0),MATCH(AT$5,APOIO_REDES!$5:$5,0)),0)*$AP174,0)</f>
        <v>0.259588994275047</v>
      </c>
      <c r="AU174" s="153" t="n">
        <f aca="false">IFERROR(IF($N174="VCA",INDEX(APOIO_REDES!$A:$W,MATCH($C174&amp;$I174&amp;$H174&amp;$N174&amp;$O174,APOIO_REDES!$W:$W,0),MATCH(AU$5,APOIO_REDES!$5:$5,0)),0)*$AP174,0)</f>
        <v>0.207300740266469</v>
      </c>
      <c r="AV174" s="153" t="n">
        <f aca="false">IFERROR(IF($N174="VCA",INDEX(APOIO_REDES!$A:$W,MATCH($C174&amp;$I174&amp;$H174&amp;$N174&amp;$O174,APOIO_REDES!$W:$W,0),MATCH(AV$5,APOIO_REDES!$5:$5,0)),0)*$AP174,0)</f>
        <v>0.0286887950782619</v>
      </c>
      <c r="AW174" s="153" t="n">
        <f aca="false">IFERROR(IF($N174="VCA",INDEX(APOIO_REDES!$A:$W,MATCH($C174&amp;$I174&amp;$H174&amp;$N174&amp;$O174,APOIO_REDES!$W:$W,0),MATCH(AW$5,APOIO_REDES!$5:$5,0)),0)*$AP174,0)</f>
        <v>16.3767509001134</v>
      </c>
      <c r="AX174" s="153" t="n">
        <f aca="false">IFERROR(IF($N174="VCA",INDEX(APOIO_REDES!$A:$W,MATCH($C174&amp;$I174&amp;$H174&amp;$N174&amp;$O174,APOIO_REDES!$W:$W,0),MATCH(AX$5,APOIO_REDES!$5:$5,0)),0)*$AP174,0)</f>
        <v>2.26649567451772</v>
      </c>
      <c r="AY174" s="153" t="n">
        <f aca="false">IFERROR(IF($N174="VCA",INDEX(APOIO_REDES!$A:$W,MATCH($C174&amp;$I174&amp;$H174&amp;$N174&amp;$O174,APOIO_REDES!$W:$W,0),MATCH(AY$5,APOIO_REDES!$5:$5,0)),0)*$AP174,0)</f>
        <v>4.14601227835015</v>
      </c>
      <c r="AZ174" s="153" t="n">
        <f aca="false">IFERROR(IF($N174="VCA",INDEX(APOIO_REDES!$A:$W,MATCH($C174&amp;$I174&amp;$H174&amp;$N174&amp;$O174,APOIO_REDES!$W:$W,0),MATCH(AZ$5,APOIO_REDES!$5:$5,0)),0)*$AP174,0)</f>
        <v>0.573796117398994</v>
      </c>
      <c r="BA174" s="153" t="n">
        <f aca="false">IFERROR(IF(AND($N174="VCA",$Q174="LINEAR"),INDEX(APOIO_REDES!$A:$W,MATCH($C174&amp;$I174&amp;$H174&amp;$N174&amp;$O174,APOIO_REDES!$W:$W,0),MATCH(BA$5,APOIO_REDES!$5:$5,0)),IF(AND($N174="MND",$Q174="EMBOQUE"),INDEX(APOIO_REDES!$A:$W,MATCH($C174&amp;$I174&amp;$H174&amp;$N174&amp;$O174,APOIO_REDES!$W:$W,0),MATCH(BA$5,APOIO_REDES!$5:$5,0)),0))*$M174/10,0)</f>
        <v>2.17049007122348</v>
      </c>
      <c r="BB174" s="153" t="n">
        <f aca="false">IFERROR(IF($N174="VCA",INDEX(APOIO_REDES!$A:$W,MATCH($C174&amp;$I174&amp;$H174&amp;$N174&amp;$O174,APOIO_REDES!$W:$W,0),MATCH(BB$5,APOIO_REDES!$5:$5,0)),0)*($AI174+$AQ174+$AR174),0)</f>
        <v>8.01640323268573</v>
      </c>
      <c r="BC174" s="153" t="n">
        <f aca="false">IFERROR(IF($N174="VCA",INDEX(APOIO_REDES!$A:$W,MATCH($C174&amp;$I174&amp;$H174&amp;$N174&amp;$O174,APOIO_REDES!$W:$W,0),MATCH(BC$5,APOIO_REDES!$5:$5,0)),0)*($AI174+$AQ174+$AR174),0)</f>
        <v>0.0881802673142678</v>
      </c>
      <c r="BD174" s="153" t="n">
        <f aca="false">IF(AND($N174="VCA",$AF174&gt;=1.25,$AF174&lt;1.5),$M174*$AF174*2,0)</f>
        <v>73.41118</v>
      </c>
      <c r="BE174" s="153" t="n">
        <f aca="false">IF(AND($N174="VCA",$AF174&gt;=1.5,$AF174&lt;3),$M174*$AF174*2,0)</f>
        <v>0</v>
      </c>
      <c r="BF174" s="153" t="n">
        <f aca="false">IF(AND($N174="VCA",$AF174&gt;=3),$M174*$AF174*2,0)</f>
        <v>0</v>
      </c>
      <c r="BG174" s="153" t="n">
        <f aca="false">($BB174+$BC174)*$AK174</f>
        <v>34.84970905</v>
      </c>
      <c r="BH174" s="153" t="n">
        <f aca="false">IF(AND($M174&lt;&gt;"",$N174="VCA",$Q174="LINEAR"),($M174*2)/100,IF(AND($M174&lt;&gt;"",$N174="MND",$Q174="EMBOQUE"),($AN174*2)/100,0))</f>
        <v>0.5386</v>
      </c>
      <c r="BI174" s="153" t="n">
        <f aca="false">IF(AND($M174&lt;&gt;"",$N174="VCA",$Q174="LINEAR"),$M174,IF(AND($M174&lt;&gt;"",$N174="MND",$Q174="EMBOQUE"),$AN174*2,0))</f>
        <v>26.93</v>
      </c>
      <c r="BJ174" s="153" t="n">
        <f aca="false">IF(AND($M174&lt;&gt;"",$N174="VCA",$Q174="LINEAR"),($M174*6.8)/100,IF(AND($M174&lt;&gt;"",$N174="MND",$Q174="EMBOQUE"),($AN174*2*6.8)/100,0))</f>
        <v>1.83124</v>
      </c>
      <c r="BK174" s="153" t="n">
        <f aca="false">IF(AND($M174&lt;&gt;"",$N174="VCA",$Q174="LINEAR"),($M174*2.5)/50,IF(AND($M174&lt;&gt;"",$N174="MND",$Q174="EMBOQUE"),($AN174*2*2.5)/50,0))</f>
        <v>1.3465</v>
      </c>
      <c r="BL174" s="157" t="str">
        <f aca="false">K174&amp;J174</f>
        <v>Zona02REDES</v>
      </c>
      <c r="BM174" s="152" t="s">
        <v>2037</v>
      </c>
      <c r="BN174" s="152" t="s">
        <v>1560</v>
      </c>
      <c r="BO174" s="152" t="s">
        <v>1968</v>
      </c>
      <c r="BP174" s="152" t="s">
        <v>2195</v>
      </c>
      <c r="BQ174" s="152" t="s">
        <v>2192</v>
      </c>
      <c r="BR174" s="152" t="s">
        <v>2196</v>
      </c>
      <c r="BS174" s="152" t="n">
        <v>202661.769</v>
      </c>
      <c r="BT174" s="152" t="n">
        <v>8237921.94</v>
      </c>
      <c r="BU174" s="152" t="n">
        <v>202676.331</v>
      </c>
      <c r="BV174" s="152" t="n">
        <v>8237944.589</v>
      </c>
      <c r="BW174" s="152" t="n">
        <v>-15.9200266</v>
      </c>
      <c r="BX174" s="152" t="n">
        <v>-47.7769803</v>
      </c>
      <c r="BY174" s="152" t="s">
        <v>2195</v>
      </c>
    </row>
    <row r="175" customFormat="false" ht="13.8" hidden="false" customHeight="false" outlineLevel="0" collapsed="false">
      <c r="A175" s="149" t="n">
        <f aca="false">IF(C175&lt;&gt;"",ROW(A170),"")</f>
        <v>170</v>
      </c>
      <c r="B175" s="150" t="str">
        <f aca="false">HYPERLINK("https://www.google.com/maps/dir/-15.917302,-47.760003/-15.9210544,-47.7739465/data=!4m3!4m2!3e0!5i2")</f>
        <v>https://www.google.com/maps/dir/-15.917302,-47.760003/-15.9210544,-47.7739465/data=!4m3!4m2!3e0!5i2</v>
      </c>
      <c r="C175" s="151" t="s">
        <v>117</v>
      </c>
      <c r="D175" s="152" t="s">
        <v>112</v>
      </c>
      <c r="E175" s="152" t="s">
        <v>113</v>
      </c>
      <c r="F175" s="152" t="s">
        <v>117</v>
      </c>
      <c r="G175" s="152" t="s">
        <v>782</v>
      </c>
      <c r="H175" s="152" t="n">
        <v>63</v>
      </c>
      <c r="I175" s="152" t="s">
        <v>115</v>
      </c>
      <c r="J175" s="152" t="s">
        <v>6</v>
      </c>
      <c r="K175" s="152" t="s">
        <v>2033</v>
      </c>
      <c r="L175" s="152" t="s">
        <v>120</v>
      </c>
      <c r="M175" s="153" t="n">
        <f aca="false">359.87</f>
        <v>359.87</v>
      </c>
      <c r="N175" s="152" t="s">
        <v>1548</v>
      </c>
      <c r="O175" s="152" t="s">
        <v>1549</v>
      </c>
      <c r="P175" s="152" t="s">
        <v>1550</v>
      </c>
      <c r="Q175" s="152" t="s">
        <v>1551</v>
      </c>
      <c r="R175" s="154" t="s">
        <v>2197</v>
      </c>
      <c r="S175" s="154" t="s">
        <v>1553</v>
      </c>
      <c r="T175" s="155" t="s">
        <v>1965</v>
      </c>
      <c r="U175" s="152" t="str">
        <f aca="false">RIGHT(T175,7)</f>
        <v>005/037</v>
      </c>
      <c r="V175" s="152" t="s">
        <v>1555</v>
      </c>
      <c r="W175" s="156" t="n">
        <v>45882</v>
      </c>
      <c r="X175" s="152" t="s">
        <v>1594</v>
      </c>
      <c r="Y175" s="152" t="s">
        <v>2186</v>
      </c>
      <c r="Z175" s="152" t="s">
        <v>1557</v>
      </c>
      <c r="AA175" s="153" t="n">
        <v>4.1</v>
      </c>
      <c r="AB175" s="151" t="s">
        <v>2198</v>
      </c>
      <c r="AC175" s="151" t="s">
        <v>186</v>
      </c>
      <c r="AD175" s="151" t="str">
        <f aca="false">CONCATENATE($C175,$I175,$H175,$N175,$J175,$K175)</f>
        <v>TUBO PEADPEAD63VCAREDESZona02</v>
      </c>
      <c r="AE175" s="153" t="n">
        <f aca="false">IFERROR(INDEX(APOIO_REDES!$A:$W,MATCH($C175&amp;$I175&amp;$H175&amp;$N175&amp;$O175,APOIO_REDES!$W:$W,0),MATCH(AE$5,APOIO_REDES!$5:$5,0)),0)</f>
        <v>1.2</v>
      </c>
      <c r="AF175" s="153" t="n">
        <f aca="false">IFERROR(INDEX(APOIO_REDES!$A:$W,MATCH($C175&amp;$I175&amp;$H175&amp;$N175&amp;$O175,APOIO_REDES!$W:$W,0),MATCH(AF$5,APOIO_REDES!$5:$5,0)),0)</f>
        <v>1.363</v>
      </c>
      <c r="AG175" s="153" t="n">
        <f aca="false">IFERROR(INDEX(APOIO_REDES!$A:$W,MATCH($C175&amp;$I175&amp;$H175&amp;$N175&amp;$O175,APOIO_REDES!$W:$W,0),MATCH(AG$5,APOIO_REDES!$5:$5,0)),0)</f>
        <v>0.65</v>
      </c>
      <c r="AH175" s="153" t="n">
        <f aca="false">IFERROR(INDEX(APOIO_REDES!$A:$W,MATCH($C175&amp;$I175&amp;$H175&amp;$N175&amp;$O175,APOIO_REDES!$W:$W,0),MATCH(AH$5,APOIO_REDES!$5:$5,0)),0)</f>
        <v>0.1</v>
      </c>
      <c r="AI175" s="153" t="n">
        <f aca="false">IFERROR(IF($H175&lt;&gt;"",(((($H175/1000)/2)^2)*PI()*$M175),0),0)</f>
        <v>1.12180306989844</v>
      </c>
      <c r="AJ175" s="153" t="n">
        <f aca="false">IFERROR(IF(AND($H175&lt;&gt;"",$I175="FoFo",OR($N175="MND",$N175="VCA"),$Q175="LINEAR"),0,IF(AND($H175&lt;&gt;"",$I175="PEAD",$N175="VCA",$Q175="LINEAR"),($H175/1000)+0.3,IF(AND($H175&lt;&gt;"",$I175="PEAD",$N175="MND",$Q175="EMBOQUE"),0,IF(AND($H175&lt;&gt;"",$I175="PVC",$N175="VCA",$Q175="LINEAR"),($H175/1000)+0.2,IF(AND($H175&lt;&gt;"",$I175="PVC",$N175="MND",$Q175="EMBOQUE"),0,IF(AND($H175&lt;&gt;"",$I175="PEAD",$N175="VCA",$Q175="PREDIAL"),0,0)))))),0)</f>
        <v>0.363</v>
      </c>
      <c r="AK175" s="153" t="n">
        <f aca="false">IF(AA175&lt;&gt;"",AA175,0)</f>
        <v>4.1</v>
      </c>
      <c r="AL175" s="153" t="n">
        <f aca="false">IF(AND($N175="MND",$Q175="EMBOQUE"),$M175,IF(AND($N175="VCA",$Q175="LINEAR"),$M175,IF(AND($N175="VCA",$Q175="PREDIAL"),0,0)))</f>
        <v>359.87</v>
      </c>
      <c r="AM175" s="153" t="n">
        <f aca="false">IF(AND($N175="MND",$Q175="EMBOQUE"),$M175,IF(AND($N175="VCA",$Q175="LINEAR"),$M175,IF(AND($N175="VCA",$Q175="PREDIAL"),0,0)))</f>
        <v>359.87</v>
      </c>
      <c r="AN175" s="153" t="n">
        <f aca="false">ROUND(IF(AND($N175="VCA",$M175&lt;&gt;"",$Q175="LINEAR"),$M175/100,IF(AND($N175="MND",$M175&gt;100,$Q175="EMBOQUE"),$M175/100,0)),0)</f>
        <v>4</v>
      </c>
      <c r="AO175" s="153" t="n">
        <f aca="false">IF(AND($N175="MND",$Q175="EMBOQUE"),$AN175*2*2,IF(AND($N175="VCA",$Q175="LINEAR"),$M175*2,IF(AND($N175="VCA",$Q175="PREDIAL"),0,0)))</f>
        <v>719.74</v>
      </c>
      <c r="AP175" s="153" t="n">
        <f aca="false">IFERROR($M175*$AF175*$AG175,0)</f>
        <v>318.8268265</v>
      </c>
      <c r="AQ175" s="153" t="n">
        <f aca="false">IFERROR(IF(AND($N175="VCA",$AH175&gt;0),$M175*$AG175*$AH175,0),0)</f>
        <v>23.39155</v>
      </c>
      <c r="AR175" s="153" t="n">
        <f aca="false">IFERROR(IF(AND($N175="VCA",$AJ175&gt;0),($M175*$AG175*$AJ175)-$AI175,0),0)</f>
        <v>83.7895234301016</v>
      </c>
      <c r="AS175" s="153" t="n">
        <f aca="false">IFERROR(IF(AND($N175="VCA",$AP175&gt;0),$AP175-$AI175-$AQ175-$AR175,0),0)</f>
        <v>210.52395</v>
      </c>
      <c r="AT175" s="153" t="n">
        <f aca="false">IFERROR(IF($N175="VCA",INDEX(APOIO_REDES!$A:$W,MATCH($C175&amp;$I175&amp;$H175&amp;$N175&amp;$O175,APOIO_REDES!$W:$W,0),MATCH(AT$5,APOIO_REDES!$5:$5,0)),0)*$AP175,0)</f>
        <v>3.46893024024364</v>
      </c>
      <c r="AU175" s="153" t="n">
        <f aca="false">IFERROR(IF($N175="VCA",INDEX(APOIO_REDES!$A:$W,MATCH($C175&amp;$I175&amp;$H175&amp;$N175&amp;$O175,APOIO_REDES!$W:$W,0),MATCH(AU$5,APOIO_REDES!$5:$5,0)),0)*$AP175,0)</f>
        <v>2.77019373931281</v>
      </c>
      <c r="AV175" s="153" t="n">
        <f aca="false">IFERROR(IF($N175="VCA",INDEX(APOIO_REDES!$A:$W,MATCH($C175&amp;$I175&amp;$H175&amp;$N175&amp;$O175,APOIO_REDES!$W:$W,0),MATCH(AV$5,APOIO_REDES!$5:$5,0)),0)*$AP175,0)</f>
        <v>0.383373066647387</v>
      </c>
      <c r="AW175" s="153" t="n">
        <f aca="false">IFERROR(IF($N175="VCA",INDEX(APOIO_REDES!$A:$W,MATCH($C175&amp;$I175&amp;$H175&amp;$N175&amp;$O175,APOIO_REDES!$W:$W,0),MATCH(AW$5,APOIO_REDES!$5:$5,0)),0)*$AP175,0)</f>
        <v>218.845204100401</v>
      </c>
      <c r="AX175" s="153" t="n">
        <f aca="false">IFERROR(IF($N175="VCA",INDEX(APOIO_REDES!$A:$W,MATCH($C175&amp;$I175&amp;$H175&amp;$N175&amp;$O175,APOIO_REDES!$W:$W,0),MATCH(AX$5,APOIO_REDES!$5:$5,0)),0)*$AP175,0)</f>
        <v>30.2875528551315</v>
      </c>
      <c r="AY175" s="153" t="n">
        <f aca="false">IFERROR(IF($N175="VCA",INDEX(APOIO_REDES!$A:$W,MATCH($C175&amp;$I175&amp;$H175&amp;$N175&amp;$O175,APOIO_REDES!$W:$W,0),MATCH(AY$5,APOIO_REDES!$5:$5,0)),0)*$AP175,0)</f>
        <v>55.4038410178191</v>
      </c>
      <c r="AZ175" s="153" t="n">
        <f aca="false">IFERROR(IF($N175="VCA",INDEX(APOIO_REDES!$A:$W,MATCH($C175&amp;$I175&amp;$H175&amp;$N175&amp;$O175,APOIO_REDES!$W:$W,0),MATCH(AZ$5,APOIO_REDES!$5:$5,0)),0)*$AP175,0)</f>
        <v>7.66773148044471</v>
      </c>
      <c r="BA175" s="153" t="n">
        <f aca="false">IFERROR(IF(AND($N175="VCA",$Q175="LINEAR"),INDEX(APOIO_REDES!$A:$W,MATCH($C175&amp;$I175&amp;$H175&amp;$N175&amp;$O175,APOIO_REDES!$W:$W,0),MATCH(BA$5,APOIO_REDES!$5:$5,0)),IF(AND($N175="MND",$Q175="EMBOQUE"),INDEX(APOIO_REDES!$A:$W,MATCH($C175&amp;$I175&amp;$H175&amp;$N175&amp;$O175,APOIO_REDES!$W:$W,0),MATCH(BA$5,APOIO_REDES!$5:$5,0)),0))*$M175/10,0)</f>
        <v>29.0046142566355</v>
      </c>
      <c r="BB175" s="153" t="n">
        <f aca="false">IFERROR(IF($N175="VCA",INDEX(APOIO_REDES!$A:$W,MATCH($C175&amp;$I175&amp;$H175&amp;$N175&amp;$O175,APOIO_REDES!$W:$W,0),MATCH(BB$5,APOIO_REDES!$5:$5,0)),0)*($AI175+$AQ175+$AR175),0)</f>
        <v>107.124509147665</v>
      </c>
      <c r="BC175" s="153" t="n">
        <f aca="false">IFERROR(IF($N175="VCA",INDEX(APOIO_REDES!$A:$W,MATCH($C175&amp;$I175&amp;$H175&amp;$N175&amp;$O175,APOIO_REDES!$W:$W,0),MATCH(BC$5,APOIO_REDES!$5:$5,0)),0)*($AI175+$AQ175+$AR175),0)</f>
        <v>1.17836735233515</v>
      </c>
      <c r="BD175" s="153" t="n">
        <f aca="false">IF(AND($N175="VCA",$AF175&gt;=1.25,$AF175&lt;1.5),$M175*$AF175*2,0)</f>
        <v>981.00562</v>
      </c>
      <c r="BE175" s="153" t="n">
        <f aca="false">IF(AND($N175="VCA",$AF175&gt;=1.5,$AF175&lt;3),$M175*$AF175*2,0)</f>
        <v>0</v>
      </c>
      <c r="BF175" s="153" t="n">
        <f aca="false">IF(AND($N175="VCA",$AF175&gt;=3),$M175*$AF175*2,0)</f>
        <v>0</v>
      </c>
      <c r="BG175" s="153" t="n">
        <f aca="false">($BB175+$BC175)*$AK175</f>
        <v>444.04179365</v>
      </c>
      <c r="BH175" s="153" t="n">
        <f aca="false">IF(AND($M175&lt;&gt;"",$N175="VCA",$Q175="LINEAR"),($M175*2)/100,IF(AND($M175&lt;&gt;"",$N175="MND",$Q175="EMBOQUE"),($AN175*2)/100,0))</f>
        <v>7.1974</v>
      </c>
      <c r="BI175" s="153" t="n">
        <f aca="false">IF(AND($M175&lt;&gt;"",$N175="VCA",$Q175="LINEAR"),$M175,IF(AND($M175&lt;&gt;"",$N175="MND",$Q175="EMBOQUE"),$AN175*2,0))</f>
        <v>359.87</v>
      </c>
      <c r="BJ175" s="153" t="n">
        <f aca="false">IF(AND($M175&lt;&gt;"",$N175="VCA",$Q175="LINEAR"),($M175*6.8)/100,IF(AND($M175&lt;&gt;"",$N175="MND",$Q175="EMBOQUE"),($AN175*2*6.8)/100,0))</f>
        <v>24.47116</v>
      </c>
      <c r="BK175" s="153" t="n">
        <f aca="false">IF(AND($M175&lt;&gt;"",$N175="VCA",$Q175="LINEAR"),($M175*2.5)/50,IF(AND($M175&lt;&gt;"",$N175="MND",$Q175="EMBOQUE"),($AN175*2*2.5)/50,0))</f>
        <v>17.9935</v>
      </c>
      <c r="BL175" s="157" t="str">
        <f aca="false">K175&amp;J175</f>
        <v>Zona02REDES</v>
      </c>
      <c r="BM175" s="152" t="s">
        <v>2037</v>
      </c>
      <c r="BN175" s="152" t="s">
        <v>1560</v>
      </c>
      <c r="BO175" s="152" t="s">
        <v>1968</v>
      </c>
      <c r="BP175" s="152" t="s">
        <v>2199</v>
      </c>
      <c r="BQ175" s="152" t="s">
        <v>2144</v>
      </c>
      <c r="BR175" s="152" t="s">
        <v>2200</v>
      </c>
      <c r="BS175" s="152" t="n">
        <v>202995.606</v>
      </c>
      <c r="BT175" s="152" t="n">
        <v>8237823.784</v>
      </c>
      <c r="BU175" s="152" t="n">
        <v>202709.849</v>
      </c>
      <c r="BV175" s="152" t="n">
        <v>8238042.329</v>
      </c>
      <c r="BW175" s="152" t="n">
        <v>-15.9200691</v>
      </c>
      <c r="BX175" s="152" t="n">
        <v>-47.7752818</v>
      </c>
      <c r="BY175" s="152" t="s">
        <v>2199</v>
      </c>
    </row>
    <row r="176" customFormat="false" ht="13.8" hidden="false" customHeight="false" outlineLevel="0" collapsed="false">
      <c r="A176" s="149" t="n">
        <f aca="false">IF(C176&lt;&gt;"",ROW(A171),"")</f>
        <v>171</v>
      </c>
      <c r="B176" s="150" t="str">
        <f aca="false">HYPERLINK("https://www.google.com/maps/dir/-15.917302,-47.760003/-15.9197864,-47.7728395/data=!4m3!4m2!3e0!5i0")</f>
        <v>https://www.google.com/maps/dir/-15.917302,-47.760003/-15.9197864,-47.7728395/data=!4m3!4m2!3e0!5i0</v>
      </c>
      <c r="C176" s="151" t="s">
        <v>117</v>
      </c>
      <c r="D176" s="152" t="s">
        <v>112</v>
      </c>
      <c r="E176" s="152" t="s">
        <v>113</v>
      </c>
      <c r="F176" s="152" t="s">
        <v>117</v>
      </c>
      <c r="G176" s="152" t="s">
        <v>114</v>
      </c>
      <c r="H176" s="152" t="n">
        <v>160</v>
      </c>
      <c r="I176" s="152" t="s">
        <v>115</v>
      </c>
      <c r="J176" s="152" t="s">
        <v>6</v>
      </c>
      <c r="K176" s="152" t="s">
        <v>2033</v>
      </c>
      <c r="L176" s="152" t="s">
        <v>120</v>
      </c>
      <c r="M176" s="153" t="n">
        <f aca="false">106.49</f>
        <v>106.49</v>
      </c>
      <c r="N176" s="152" t="s">
        <v>1548</v>
      </c>
      <c r="O176" s="152" t="s">
        <v>1549</v>
      </c>
      <c r="P176" s="152" t="s">
        <v>1550</v>
      </c>
      <c r="Q176" s="152" t="s">
        <v>1551</v>
      </c>
      <c r="R176" s="154" t="s">
        <v>2201</v>
      </c>
      <c r="S176" s="154" t="s">
        <v>1593</v>
      </c>
      <c r="T176" s="155" t="s">
        <v>1965</v>
      </c>
      <c r="U176" s="152" t="str">
        <f aca="false">RIGHT(T176,7)</f>
        <v>005/037</v>
      </c>
      <c r="V176" s="152" t="s">
        <v>1555</v>
      </c>
      <c r="W176" s="156" t="n">
        <v>45882</v>
      </c>
      <c r="X176" s="152" t="s">
        <v>1594</v>
      </c>
      <c r="Y176" s="152" t="s">
        <v>2053</v>
      </c>
      <c r="Z176" s="152" t="s">
        <v>1557</v>
      </c>
      <c r="AA176" s="153" t="n">
        <v>2.7</v>
      </c>
      <c r="AB176" s="151" t="s">
        <v>2202</v>
      </c>
      <c r="AC176" s="151" t="s">
        <v>505</v>
      </c>
      <c r="AD176" s="151" t="str">
        <f aca="false">CONCATENATE($C176,$I176,$H176,$N176,$J176,$K176)</f>
        <v>TUBO PEADPEAD160VCAREDESZona02</v>
      </c>
      <c r="AE176" s="153" t="n">
        <f aca="false">IFERROR(INDEX(APOIO_REDES!$A:$W,MATCH($C176&amp;$I176&amp;$H176&amp;$N176&amp;$O176,APOIO_REDES!$W:$W,0),MATCH(AE$5,APOIO_REDES!$5:$5,0)),0)</f>
        <v>1.2</v>
      </c>
      <c r="AF176" s="153" t="n">
        <f aca="false">IFERROR(INDEX(APOIO_REDES!$A:$W,MATCH($C176&amp;$I176&amp;$H176&amp;$N176&amp;$O176,APOIO_REDES!$W:$W,0),MATCH(AF$5,APOIO_REDES!$5:$5,0)),0)</f>
        <v>1.46</v>
      </c>
      <c r="AG176" s="153" t="n">
        <f aca="false">IFERROR(INDEX(APOIO_REDES!$A:$W,MATCH($C176&amp;$I176&amp;$H176&amp;$N176&amp;$O176,APOIO_REDES!$W:$W,0),MATCH(AG$5,APOIO_REDES!$5:$5,0)),0)</f>
        <v>0.75</v>
      </c>
      <c r="AH176" s="153" t="n">
        <f aca="false">IFERROR(INDEX(APOIO_REDES!$A:$W,MATCH($C176&amp;$I176&amp;$H176&amp;$N176&amp;$O176,APOIO_REDES!$W:$W,0),MATCH(AH$5,APOIO_REDES!$5:$5,0)),0)</f>
        <v>0.1</v>
      </c>
      <c r="AI176" s="153" t="n">
        <f aca="false">IFERROR(IF($H176&lt;&gt;"",(((($H176/1000)/2)^2)*PI()*$M176),0),0)</f>
        <v>2.14110849075697</v>
      </c>
      <c r="AJ176" s="153" t="n">
        <f aca="false">IFERROR(IF(AND($H176&lt;&gt;"",$I176="FoFo",OR($N176="MND",$N176="VCA"),$Q176="LINEAR"),0,IF(AND($H176&lt;&gt;"",$I176="PEAD",$N176="VCA",$Q176="LINEAR"),($H176/1000)+0.3,IF(AND($H176&lt;&gt;"",$I176="PEAD",$N176="MND",$Q176="EMBOQUE"),0,IF(AND($H176&lt;&gt;"",$I176="PVC",$N176="VCA",$Q176="LINEAR"),($H176/1000)+0.2,IF(AND($H176&lt;&gt;"",$I176="PVC",$N176="MND",$Q176="EMBOQUE"),0,IF(AND($H176&lt;&gt;"",$I176="PEAD",$N176="VCA",$Q176="PREDIAL"),0,0)))))),0)</f>
        <v>0.46</v>
      </c>
      <c r="AK176" s="153" t="n">
        <f aca="false">IF(AA176&lt;&gt;"",AA176,0)</f>
        <v>2.7</v>
      </c>
      <c r="AL176" s="153" t="n">
        <f aca="false">IF(AND($N176="MND",$Q176="EMBOQUE"),$M176,IF(AND($N176="VCA",$Q176="LINEAR"),$M176,IF(AND($N176="VCA",$Q176="PREDIAL"),0,0)))</f>
        <v>106.49</v>
      </c>
      <c r="AM176" s="153" t="n">
        <f aca="false">IF(AND($N176="MND",$Q176="EMBOQUE"),$M176,IF(AND($N176="VCA",$Q176="LINEAR"),$M176,IF(AND($N176="VCA",$Q176="PREDIAL"),0,0)))</f>
        <v>106.49</v>
      </c>
      <c r="AN176" s="153" t="n">
        <f aca="false">ROUND(IF(AND($N176="VCA",$M176&lt;&gt;"",$Q176="LINEAR"),$M176/100,IF(AND($N176="MND",$M176&gt;100,$Q176="EMBOQUE"),$M176/100,0)),0)</f>
        <v>1</v>
      </c>
      <c r="AO176" s="153" t="n">
        <f aca="false">IF(AND($N176="MND",$Q176="EMBOQUE"),$AN176*2*2,IF(AND($N176="VCA",$Q176="LINEAR"),$M176*2,IF(AND($N176="VCA",$Q176="PREDIAL"),0,0)))</f>
        <v>212.98</v>
      </c>
      <c r="AP176" s="153" t="n">
        <f aca="false">IFERROR($M176*$AF176*$AG176,0)</f>
        <v>116.60655</v>
      </c>
      <c r="AQ176" s="153" t="n">
        <f aca="false">IFERROR(IF(AND($N176="VCA",$AH176&gt;0),$M176*$AG176*$AH176,0),0)</f>
        <v>7.98675</v>
      </c>
      <c r="AR176" s="153" t="n">
        <f aca="false">IFERROR(IF(AND($N176="VCA",$AJ176&gt;0),($M176*$AG176*$AJ176)-$AI176,0),0)</f>
        <v>34.597941509243</v>
      </c>
      <c r="AS176" s="153" t="n">
        <f aca="false">IFERROR(IF(AND($N176="VCA",$AP176&gt;0),$AP176-$AI176-$AQ176-$AR176,0),0)</f>
        <v>71.88075</v>
      </c>
      <c r="AT176" s="153" t="n">
        <f aca="false">IFERROR(IF($N176="VCA",INDEX(APOIO_REDES!$A:$W,MATCH($C176&amp;$I176&amp;$H176&amp;$N176&amp;$O176,APOIO_REDES!$W:$W,0),MATCH(AT$5,APOIO_REDES!$5:$5,0)),0)*$AP176,0)</f>
        <v>1.26871377777705</v>
      </c>
      <c r="AU176" s="153" t="n">
        <f aca="false">IFERROR(IF($N176="VCA",INDEX(APOIO_REDES!$A:$W,MATCH($C176&amp;$I176&amp;$H176&amp;$N176&amp;$O176,APOIO_REDES!$W:$W,0),MATCH(AU$5,APOIO_REDES!$5:$5,0)),0)*$AP176,0)</f>
        <v>1.01316046180595</v>
      </c>
      <c r="AV176" s="153" t="n">
        <f aca="false">IFERROR(IF($N176="VCA",INDEX(APOIO_REDES!$A:$W,MATCH($C176&amp;$I176&amp;$H176&amp;$N176&amp;$O176,APOIO_REDES!$W:$W,0),MATCH(AV$5,APOIO_REDES!$5:$5,0)),0)*$AP176,0)</f>
        <v>0.140213454292473</v>
      </c>
      <c r="AW176" s="153" t="n">
        <f aca="false">IFERROR(IF($N176="VCA",INDEX(APOIO_REDES!$A:$W,MATCH($C176&amp;$I176&amp;$H176&amp;$N176&amp;$O176,APOIO_REDES!$W:$W,0),MATCH(AW$5,APOIO_REDES!$5:$5,0)),0)*$AP176,0)</f>
        <v>80.0396394316386</v>
      </c>
      <c r="AX176" s="153" t="n">
        <f aca="false">IFERROR(IF($N176="VCA",INDEX(APOIO_REDES!$A:$W,MATCH($C176&amp;$I176&amp;$H176&amp;$N176&amp;$O176,APOIO_REDES!$W:$W,0),MATCH(AX$5,APOIO_REDES!$5:$5,0)),0)*$AP176,0)</f>
        <v>11.0772581001101</v>
      </c>
      <c r="AY176" s="153" t="n">
        <f aca="false">IFERROR(IF($N176="VCA",INDEX(APOIO_REDES!$A:$W,MATCH($C176&amp;$I176&amp;$H176&amp;$N176&amp;$O176,APOIO_REDES!$W:$W,0),MATCH(AY$5,APOIO_REDES!$5:$5,0)),0)*$AP176,0)</f>
        <v>20.2631968857752</v>
      </c>
      <c r="AZ176" s="153" t="n">
        <f aca="false">IFERROR(IF($N176="VCA",INDEX(APOIO_REDES!$A:$W,MATCH($C176&amp;$I176&amp;$H176&amp;$N176&amp;$O176,APOIO_REDES!$W:$W,0),MATCH(AZ$5,APOIO_REDES!$5:$5,0)),0)*$AP176,0)</f>
        <v>2.80436788860065</v>
      </c>
      <c r="BA176" s="153" t="n">
        <f aca="false">IFERROR(IF(AND($N176="VCA",$Q176="LINEAR"),INDEX(APOIO_REDES!$A:$W,MATCH($C176&amp;$I176&amp;$H176&amp;$N176&amp;$O176,APOIO_REDES!$W:$W,0),MATCH(BA$5,APOIO_REDES!$5:$5,0)),IF(AND($N176="MND",$Q176="EMBOQUE"),INDEX(APOIO_REDES!$A:$W,MATCH($C176&amp;$I176&amp;$H176&amp;$N176&amp;$O176,APOIO_REDES!$W:$W,0),MATCH(BA$5,APOIO_REDES!$5:$5,0)),0))*$M176/10,0)</f>
        <v>8.5828253874708</v>
      </c>
      <c r="BB176" s="153" t="n">
        <f aca="false">IFERROR(IF($N176="VCA",INDEX(APOIO_REDES!$A:$W,MATCH($C176&amp;$I176&amp;$H176&amp;$N176&amp;$O176,APOIO_REDES!$W:$W,0),MATCH(BB$5,APOIO_REDES!$5:$5,0)),0)*($AI176+$AQ176+$AR176),0)</f>
        <v>44.2391700578389</v>
      </c>
      <c r="BC176" s="153" t="n">
        <f aca="false">IFERROR(IF($N176="VCA",INDEX(APOIO_REDES!$A:$W,MATCH($C176&amp;$I176&amp;$H176&amp;$N176&amp;$O176,APOIO_REDES!$W:$W,0),MATCH(BC$5,APOIO_REDES!$5:$5,0)),0)*($AI176+$AQ176+$AR176),0)</f>
        <v>0.48662994216106</v>
      </c>
      <c r="BD176" s="153" t="n">
        <f aca="false">IF(AND($N176="VCA",$AF176&gt;=1.25,$AF176&lt;1.5),$M176*$AF176*2,0)</f>
        <v>310.9508</v>
      </c>
      <c r="BE176" s="153" t="n">
        <f aca="false">IF(AND($N176="VCA",$AF176&gt;=1.5,$AF176&lt;3),$M176*$AF176*2,0)</f>
        <v>0</v>
      </c>
      <c r="BF176" s="153" t="n">
        <f aca="false">IF(AND($N176="VCA",$AF176&gt;=3),$M176*$AF176*2,0)</f>
        <v>0</v>
      </c>
      <c r="BG176" s="153" t="n">
        <f aca="false">($BB176+$BC176)*$AK176</f>
        <v>120.75966</v>
      </c>
      <c r="BH176" s="153" t="n">
        <f aca="false">IF(AND($M176&lt;&gt;"",$N176="VCA",$Q176="LINEAR"),($M176*2)/100,IF(AND($M176&lt;&gt;"",$N176="MND",$Q176="EMBOQUE"),($AN176*2)/100,0))</f>
        <v>2.1298</v>
      </c>
      <c r="BI176" s="153" t="n">
        <f aca="false">IF(AND($M176&lt;&gt;"",$N176="VCA",$Q176="LINEAR"),$M176,IF(AND($M176&lt;&gt;"",$N176="MND",$Q176="EMBOQUE"),$AN176*2,0))</f>
        <v>106.49</v>
      </c>
      <c r="BJ176" s="153" t="n">
        <f aca="false">IF(AND($M176&lt;&gt;"",$N176="VCA",$Q176="LINEAR"),($M176*6.8)/100,IF(AND($M176&lt;&gt;"",$N176="MND",$Q176="EMBOQUE"),($AN176*2*6.8)/100,0))</f>
        <v>7.24132</v>
      </c>
      <c r="BK176" s="153" t="n">
        <f aca="false">IF(AND($M176&lt;&gt;"",$N176="VCA",$Q176="LINEAR"),($M176*2.5)/50,IF(AND($M176&lt;&gt;"",$N176="MND",$Q176="EMBOQUE"),($AN176*2*2.5)/50,0))</f>
        <v>5.3245</v>
      </c>
      <c r="BL176" s="157" t="str">
        <f aca="false">K176&amp;J176</f>
        <v>Zona02REDES</v>
      </c>
      <c r="BM176" s="152" t="s">
        <v>2037</v>
      </c>
      <c r="BN176" s="152" t="s">
        <v>1560</v>
      </c>
      <c r="BO176" s="152" t="s">
        <v>1968</v>
      </c>
      <c r="BP176" s="152" t="s">
        <v>2180</v>
      </c>
      <c r="BQ176" s="152" t="s">
        <v>2166</v>
      </c>
      <c r="BR176" s="152" t="s">
        <v>2203</v>
      </c>
      <c r="BS176" s="152" t="n">
        <v>203112.348</v>
      </c>
      <c r="BT176" s="152" t="n">
        <v>8237965.761</v>
      </c>
      <c r="BU176" s="152" t="n">
        <v>203043.492</v>
      </c>
      <c r="BV176" s="152" t="n">
        <v>8237884.875</v>
      </c>
      <c r="BW176" s="152" t="n">
        <v>-15.920168</v>
      </c>
      <c r="BX176" s="152" t="n">
        <v>-47.7731414</v>
      </c>
      <c r="BY176" s="152" t="s">
        <v>2180</v>
      </c>
    </row>
    <row r="177" customFormat="false" ht="13.8" hidden="false" customHeight="false" outlineLevel="0" collapsed="false">
      <c r="A177" s="149" t="n">
        <f aca="false">IF(C177&lt;&gt;"",ROW(A172),"")</f>
        <v>172</v>
      </c>
      <c r="B177" s="150" t="str">
        <f aca="false">HYPERLINK("https://www.google.com/maps/dir/-15.917302,-47.760003/-15.9207081,-47.7750860/data=!4m3!4m2!3e0!5i2")</f>
        <v>https://www.google.com/maps/dir/-15.917302,-47.760003/-15.9207081,-47.7750860/data=!4m3!4m2!3e0!5i2</v>
      </c>
      <c r="C177" s="151" t="s">
        <v>117</v>
      </c>
      <c r="D177" s="152" t="s">
        <v>112</v>
      </c>
      <c r="E177" s="152" t="s">
        <v>113</v>
      </c>
      <c r="F177" s="152" t="s">
        <v>117</v>
      </c>
      <c r="G177" s="152" t="s">
        <v>782</v>
      </c>
      <c r="H177" s="152" t="n">
        <v>63</v>
      </c>
      <c r="I177" s="152" t="s">
        <v>115</v>
      </c>
      <c r="J177" s="152" t="s">
        <v>6</v>
      </c>
      <c r="K177" s="152" t="s">
        <v>2033</v>
      </c>
      <c r="L177" s="152" t="s">
        <v>120</v>
      </c>
      <c r="M177" s="153" t="n">
        <f aca="false">205.73</f>
        <v>205.73</v>
      </c>
      <c r="N177" s="152" t="s">
        <v>1548</v>
      </c>
      <c r="O177" s="152" t="s">
        <v>1549</v>
      </c>
      <c r="P177" s="152" t="s">
        <v>1550</v>
      </c>
      <c r="Q177" s="152" t="s">
        <v>1551</v>
      </c>
      <c r="R177" s="154" t="s">
        <v>2204</v>
      </c>
      <c r="S177" s="154" t="s">
        <v>1553</v>
      </c>
      <c r="T177" s="155" t="s">
        <v>1965</v>
      </c>
      <c r="U177" s="152" t="str">
        <f aca="false">RIGHT(T177,7)</f>
        <v>005/037</v>
      </c>
      <c r="V177" s="152" t="s">
        <v>1555</v>
      </c>
      <c r="W177" s="156" t="n">
        <v>45882</v>
      </c>
      <c r="X177" s="152" t="s">
        <v>1594</v>
      </c>
      <c r="Y177" s="152"/>
      <c r="Z177" s="152" t="s">
        <v>1557</v>
      </c>
      <c r="AA177" s="153" t="n">
        <v>4.2</v>
      </c>
      <c r="AB177" s="151" t="s">
        <v>2205</v>
      </c>
      <c r="AC177" s="151" t="s">
        <v>186</v>
      </c>
      <c r="AD177" s="151" t="str">
        <f aca="false">CONCATENATE($C177,$I177,$H177,$N177,$J177,$K177)</f>
        <v>TUBO PEADPEAD63VCAREDESZona02</v>
      </c>
      <c r="AE177" s="153" t="n">
        <f aca="false">IFERROR(INDEX(APOIO_REDES!$A:$W,MATCH($C177&amp;$I177&amp;$H177&amp;$N177&amp;$O177,APOIO_REDES!$W:$W,0),MATCH(AE$5,APOIO_REDES!$5:$5,0)),0)</f>
        <v>1.2</v>
      </c>
      <c r="AF177" s="153" t="n">
        <f aca="false">IFERROR(INDEX(APOIO_REDES!$A:$W,MATCH($C177&amp;$I177&amp;$H177&amp;$N177&amp;$O177,APOIO_REDES!$W:$W,0),MATCH(AF$5,APOIO_REDES!$5:$5,0)),0)</f>
        <v>1.363</v>
      </c>
      <c r="AG177" s="153" t="n">
        <f aca="false">IFERROR(INDEX(APOIO_REDES!$A:$W,MATCH($C177&amp;$I177&amp;$H177&amp;$N177&amp;$O177,APOIO_REDES!$W:$W,0),MATCH(AG$5,APOIO_REDES!$5:$5,0)),0)</f>
        <v>0.65</v>
      </c>
      <c r="AH177" s="153" t="n">
        <f aca="false">IFERROR(INDEX(APOIO_REDES!$A:$W,MATCH($C177&amp;$I177&amp;$H177&amp;$N177&amp;$O177,APOIO_REDES!$W:$W,0),MATCH(AH$5,APOIO_REDES!$5:$5,0)),0)</f>
        <v>0.1</v>
      </c>
      <c r="AI177" s="153" t="n">
        <f aca="false">IFERROR(IF($H177&lt;&gt;"",(((($H177/1000)/2)^2)*PI()*$M177),0),0)</f>
        <v>0.6413108777342</v>
      </c>
      <c r="AJ177" s="153" t="n">
        <f aca="false">IFERROR(IF(AND($H177&lt;&gt;"",$I177="FoFo",OR($N177="MND",$N177="VCA"),$Q177="LINEAR"),0,IF(AND($H177&lt;&gt;"",$I177="PEAD",$N177="VCA",$Q177="LINEAR"),($H177/1000)+0.3,IF(AND($H177&lt;&gt;"",$I177="PEAD",$N177="MND",$Q177="EMBOQUE"),0,IF(AND($H177&lt;&gt;"",$I177="PVC",$N177="VCA",$Q177="LINEAR"),($H177/1000)+0.2,IF(AND($H177&lt;&gt;"",$I177="PVC",$N177="MND",$Q177="EMBOQUE"),0,IF(AND($H177&lt;&gt;"",$I177="PEAD",$N177="VCA",$Q177="PREDIAL"),0,0)))))),0)</f>
        <v>0.363</v>
      </c>
      <c r="AK177" s="153" t="n">
        <f aca="false">IF(AA177&lt;&gt;"",AA177,0)</f>
        <v>4.2</v>
      </c>
      <c r="AL177" s="153" t="n">
        <f aca="false">IF(AND($N177="MND",$Q177="EMBOQUE"),$M177,IF(AND($N177="VCA",$Q177="LINEAR"),$M177,IF(AND($N177="VCA",$Q177="PREDIAL"),0,0)))</f>
        <v>205.73</v>
      </c>
      <c r="AM177" s="153" t="n">
        <f aca="false">IF(AND($N177="MND",$Q177="EMBOQUE"),$M177,IF(AND($N177="VCA",$Q177="LINEAR"),$M177,IF(AND($N177="VCA",$Q177="PREDIAL"),0,0)))</f>
        <v>205.73</v>
      </c>
      <c r="AN177" s="153" t="n">
        <f aca="false">ROUND(IF(AND($N177="VCA",$M177&lt;&gt;"",$Q177="LINEAR"),$M177/100,IF(AND($N177="MND",$M177&gt;100,$Q177="EMBOQUE"),$M177/100,0)),0)</f>
        <v>2</v>
      </c>
      <c r="AO177" s="153" t="n">
        <f aca="false">IF(AND($N177="MND",$Q177="EMBOQUE"),$AN177*2*2,IF(AND($N177="VCA",$Q177="LINEAR"),$M177*2,IF(AND($N177="VCA",$Q177="PREDIAL"),0,0)))</f>
        <v>411.46</v>
      </c>
      <c r="AP177" s="153" t="n">
        <f aca="false">IFERROR($M177*$AF177*$AG177,0)</f>
        <v>182.2664935</v>
      </c>
      <c r="AQ177" s="153" t="n">
        <f aca="false">IFERROR(IF(AND($N177="VCA",$AH177&gt;0),$M177*$AG177*$AH177,0),0)</f>
        <v>13.37245</v>
      </c>
      <c r="AR177" s="153" t="n">
        <f aca="false">IFERROR(IF(AND($N177="VCA",$AJ177&gt;0),($M177*$AG177*$AJ177)-$AI177,0),0)</f>
        <v>47.9006826222658</v>
      </c>
      <c r="AS177" s="153" t="n">
        <f aca="false">IFERROR(IF(AND($N177="VCA",$AP177&gt;0),$AP177-$AI177-$AQ177-$AR177,0),0)</f>
        <v>120.35205</v>
      </c>
      <c r="AT177" s="153" t="n">
        <f aca="false">IFERROR(IF($N177="VCA",INDEX(APOIO_REDES!$A:$W,MATCH($C177&amp;$I177&amp;$H177&amp;$N177&amp;$O177,APOIO_REDES!$W:$W,0),MATCH(AT$5,APOIO_REDES!$5:$5,0)),0)*$AP177,0)</f>
        <v>1.9831133974083</v>
      </c>
      <c r="AU177" s="153" t="n">
        <f aca="false">IFERROR(IF($N177="VCA",INDEX(APOIO_REDES!$A:$W,MATCH($C177&amp;$I177&amp;$H177&amp;$N177&amp;$O177,APOIO_REDES!$W:$W,0),MATCH(AU$5,APOIO_REDES!$5:$5,0)),0)*$AP177,0)</f>
        <v>1.583660649648</v>
      </c>
      <c r="AV177" s="153" t="n">
        <f aca="false">IFERROR(IF($N177="VCA",INDEX(APOIO_REDES!$A:$W,MATCH($C177&amp;$I177&amp;$H177&amp;$N177&amp;$O177,APOIO_REDES!$W:$W,0),MATCH(AV$5,APOIO_REDES!$5:$5,0)),0)*$AP177,0)</f>
        <v>0.21916620168774</v>
      </c>
      <c r="AW177" s="153" t="n">
        <f aca="false">IFERROR(IF($N177="VCA",INDEX(APOIO_REDES!$A:$W,MATCH($C177&amp;$I177&amp;$H177&amp;$N177&amp;$O177,APOIO_REDES!$W:$W,0),MATCH(AW$5,APOIO_REDES!$5:$5,0)),0)*$AP177,0)</f>
        <v>125.109133408107</v>
      </c>
      <c r="AX177" s="153" t="n">
        <f aca="false">IFERROR(IF($N177="VCA",INDEX(APOIO_REDES!$A:$W,MATCH($C177&amp;$I177&amp;$H177&amp;$N177&amp;$O177,APOIO_REDES!$W:$W,0),MATCH(AX$5,APOIO_REDES!$5:$5,0)),0)*$AP177,0)</f>
        <v>17.3147476835696</v>
      </c>
      <c r="AY177" s="153" t="n">
        <f aca="false">IFERROR(IF($N177="VCA",INDEX(APOIO_REDES!$A:$W,MATCH($C177&amp;$I177&amp;$H177&amp;$N177&amp;$O177,APOIO_REDES!$W:$W,0),MATCH(AY$5,APOIO_REDES!$5:$5,0)),0)*$AP177,0)</f>
        <v>31.673193688265</v>
      </c>
      <c r="AZ177" s="153" t="n">
        <f aca="false">IFERROR(IF($N177="VCA",INDEX(APOIO_REDES!$A:$W,MATCH($C177&amp;$I177&amp;$H177&amp;$N177&amp;$O177,APOIO_REDES!$W:$W,0),MATCH(AZ$5,APOIO_REDES!$5:$5,0)),0)*$AP177,0)</f>
        <v>4.38347847131434</v>
      </c>
      <c r="BA177" s="153" t="n">
        <f aca="false">IFERROR(IF(AND($N177="VCA",$Q177="LINEAR"),INDEX(APOIO_REDES!$A:$W,MATCH($C177&amp;$I177&amp;$H177&amp;$N177&amp;$O177,APOIO_REDES!$W:$W,0),MATCH(BA$5,APOIO_REDES!$5:$5,0)),IF(AND($N177="MND",$Q177="EMBOQUE"),INDEX(APOIO_REDES!$A:$W,MATCH($C177&amp;$I177&amp;$H177&amp;$N177&amp;$O177,APOIO_REDES!$W:$W,0),MATCH(BA$5,APOIO_REDES!$5:$5,0)),0))*$M177/10,0)</f>
        <v>16.5813190624882</v>
      </c>
      <c r="BB177" s="153" t="n">
        <f aca="false">IFERROR(IF($N177="VCA",INDEX(APOIO_REDES!$A:$W,MATCH($C177&amp;$I177&amp;$H177&amp;$N177&amp;$O177,APOIO_REDES!$W:$W,0),MATCH(BB$5,APOIO_REDES!$5:$5,0)),0)*($AI177+$AQ177+$AR177),0)</f>
        <v>61.2407960289802</v>
      </c>
      <c r="BC177" s="153" t="n">
        <f aca="false">IFERROR(IF($N177="VCA",INDEX(APOIO_REDES!$A:$W,MATCH($C177&amp;$I177&amp;$H177&amp;$N177&amp;$O177,APOIO_REDES!$W:$W,0),MATCH(BC$5,APOIO_REDES!$5:$5,0)),0)*($AI177+$AQ177+$AR177),0)</f>
        <v>0.673647471019841</v>
      </c>
      <c r="BD177" s="153" t="n">
        <f aca="false">IF(AND($N177="VCA",$AF177&gt;=1.25,$AF177&lt;1.5),$M177*$AF177*2,0)</f>
        <v>560.81998</v>
      </c>
      <c r="BE177" s="153" t="n">
        <f aca="false">IF(AND($N177="VCA",$AF177&gt;=1.5,$AF177&lt;3),$M177*$AF177*2,0)</f>
        <v>0</v>
      </c>
      <c r="BF177" s="153" t="n">
        <f aca="false">IF(AND($N177="VCA",$AF177&gt;=3),$M177*$AF177*2,0)</f>
        <v>0</v>
      </c>
      <c r="BG177" s="153" t="n">
        <f aca="false">($BB177+$BC177)*$AK177</f>
        <v>260.0406627</v>
      </c>
      <c r="BH177" s="153" t="n">
        <f aca="false">IF(AND($M177&lt;&gt;"",$N177="VCA",$Q177="LINEAR"),($M177*2)/100,IF(AND($M177&lt;&gt;"",$N177="MND",$Q177="EMBOQUE"),($AN177*2)/100,0))</f>
        <v>4.1146</v>
      </c>
      <c r="BI177" s="153" t="n">
        <f aca="false">IF(AND($M177&lt;&gt;"",$N177="VCA",$Q177="LINEAR"),$M177,IF(AND($M177&lt;&gt;"",$N177="MND",$Q177="EMBOQUE"),$AN177*2,0))</f>
        <v>205.73</v>
      </c>
      <c r="BJ177" s="153" t="n">
        <f aca="false">IF(AND($M177&lt;&gt;"",$N177="VCA",$Q177="LINEAR"),($M177*6.8)/100,IF(AND($M177&lt;&gt;"",$N177="MND",$Q177="EMBOQUE"),($AN177*2*6.8)/100,0))</f>
        <v>13.98964</v>
      </c>
      <c r="BK177" s="153" t="n">
        <f aca="false">IF(AND($M177&lt;&gt;"",$N177="VCA",$Q177="LINEAR"),($M177*2.5)/50,IF(AND($M177&lt;&gt;"",$N177="MND",$Q177="EMBOQUE"),($AN177*2*2.5)/50,0))</f>
        <v>10.2865</v>
      </c>
      <c r="BL177" s="157" t="str">
        <f aca="false">K177&amp;J177</f>
        <v>Zona02REDES</v>
      </c>
      <c r="BM177" s="152" t="s">
        <v>2037</v>
      </c>
      <c r="BN177" s="152" t="s">
        <v>1560</v>
      </c>
      <c r="BO177" s="152" t="s">
        <v>1968</v>
      </c>
      <c r="BP177" s="152" t="s">
        <v>2206</v>
      </c>
      <c r="BQ177" s="152" t="s">
        <v>2176</v>
      </c>
      <c r="BR177" s="152" t="s">
        <v>2207</v>
      </c>
      <c r="BS177" s="152" t="n">
        <v>202873.007</v>
      </c>
      <c r="BT177" s="152" t="n">
        <v>8237860.508</v>
      </c>
      <c r="BU177" s="152" t="n">
        <v>202707.734</v>
      </c>
      <c r="BV177" s="152" t="n">
        <v>8237982.998</v>
      </c>
      <c r="BW177" s="152" t="n">
        <v>-15.920137</v>
      </c>
      <c r="BX177" s="152" t="n">
        <v>-47.7758431</v>
      </c>
      <c r="BY177" s="152" t="s">
        <v>2206</v>
      </c>
    </row>
    <row r="178" customFormat="false" ht="13.8" hidden="false" customHeight="false" outlineLevel="0" collapsed="false">
      <c r="A178" s="149" t="n">
        <f aca="false">IF(C178&lt;&gt;"",ROW(A173),"")</f>
        <v>173</v>
      </c>
      <c r="B178" s="150" t="str">
        <f aca="false">HYPERLINK("https://www.google.com/maps/dir/-15.917302,-47.760003/-15.9187866,-47.7720749/data=!4m3!4m2!3e0!5i0")</f>
        <v>https://www.google.com/maps/dir/-15.917302,-47.760003/-15.9187866,-47.7720749/data=!4m3!4m2!3e0!5i0</v>
      </c>
      <c r="C178" s="151" t="s">
        <v>117</v>
      </c>
      <c r="D178" s="152" t="s">
        <v>112</v>
      </c>
      <c r="E178" s="152" t="s">
        <v>113</v>
      </c>
      <c r="F178" s="152" t="s">
        <v>117</v>
      </c>
      <c r="G178" s="152" t="s">
        <v>114</v>
      </c>
      <c r="H178" s="152" t="n">
        <v>225</v>
      </c>
      <c r="I178" s="152" t="s">
        <v>115</v>
      </c>
      <c r="J178" s="152" t="s">
        <v>6</v>
      </c>
      <c r="K178" s="152" t="s">
        <v>2033</v>
      </c>
      <c r="L178" s="152" t="s">
        <v>120</v>
      </c>
      <c r="M178" s="153" t="n">
        <f aca="false">8.61</f>
        <v>8.61</v>
      </c>
      <c r="N178" s="152" t="s">
        <v>1548</v>
      </c>
      <c r="O178" s="152" t="s">
        <v>1549</v>
      </c>
      <c r="P178" s="152" t="s">
        <v>1550</v>
      </c>
      <c r="Q178" s="152" t="s">
        <v>1551</v>
      </c>
      <c r="R178" s="154" t="s">
        <v>2208</v>
      </c>
      <c r="S178" s="154" t="s">
        <v>1593</v>
      </c>
      <c r="T178" s="155" t="s">
        <v>1979</v>
      </c>
      <c r="U178" s="152" t="str">
        <f aca="false">RIGHT(T178,7)</f>
        <v>006/037</v>
      </c>
      <c r="V178" s="152" t="s">
        <v>1555</v>
      </c>
      <c r="W178" s="156" t="n">
        <v>45882</v>
      </c>
      <c r="X178" s="152" t="s">
        <v>1594</v>
      </c>
      <c r="Y178" s="152" t="s">
        <v>2209</v>
      </c>
      <c r="Z178" s="152" t="s">
        <v>1557</v>
      </c>
      <c r="AA178" s="153" t="n">
        <v>2.6</v>
      </c>
      <c r="AB178" s="151" t="s">
        <v>2210</v>
      </c>
      <c r="AC178" s="151" t="s">
        <v>508</v>
      </c>
      <c r="AD178" s="151" t="str">
        <f aca="false">CONCATENATE($C178,$I178,$H178,$N178,$J178,$K178)</f>
        <v>TUBO PEADPEAD225VCAREDESZona02</v>
      </c>
      <c r="AE178" s="153" t="n">
        <f aca="false">IFERROR(INDEX(APOIO_REDES!$A:$W,MATCH($C178&amp;$I178&amp;$H178&amp;$N178&amp;$O178,APOIO_REDES!$W:$W,0),MATCH(AE$5,APOIO_REDES!$5:$5,0)),0)</f>
        <v>1.2</v>
      </c>
      <c r="AF178" s="153" t="n">
        <f aca="false">IFERROR(INDEX(APOIO_REDES!$A:$W,MATCH($C178&amp;$I178&amp;$H178&amp;$N178&amp;$O178,APOIO_REDES!$W:$W,0),MATCH(AF$5,APOIO_REDES!$5:$5,0)),0)</f>
        <v>1.525</v>
      </c>
      <c r="AG178" s="153" t="n">
        <f aca="false">IFERROR(INDEX(APOIO_REDES!$A:$W,MATCH($C178&amp;$I178&amp;$H178&amp;$N178&amp;$O178,APOIO_REDES!$W:$W,0),MATCH(AG$5,APOIO_REDES!$5:$5,0)),0)</f>
        <v>0.8</v>
      </c>
      <c r="AH178" s="153" t="n">
        <f aca="false">IFERROR(INDEX(APOIO_REDES!$A:$W,MATCH($C178&amp;$I178&amp;$H178&amp;$N178&amp;$O178,APOIO_REDES!$W:$W,0),MATCH(AH$5,APOIO_REDES!$5:$5,0)),0)</f>
        <v>0.1</v>
      </c>
      <c r="AI178" s="153" t="n">
        <f aca="false">IFERROR(IF($H178&lt;&gt;"",(((($H178/1000)/2)^2)*PI()*$M178),0),0)</f>
        <v>0.342340333209384</v>
      </c>
      <c r="AJ178" s="153" t="n">
        <f aca="false">IFERROR(IF(AND($H178&lt;&gt;"",$I178="FoFo",OR($N178="MND",$N178="VCA"),$Q178="LINEAR"),0,IF(AND($H178&lt;&gt;"",$I178="PEAD",$N178="VCA",$Q178="LINEAR"),($H178/1000)+0.3,IF(AND($H178&lt;&gt;"",$I178="PEAD",$N178="MND",$Q178="EMBOQUE"),0,IF(AND($H178&lt;&gt;"",$I178="PVC",$N178="VCA",$Q178="LINEAR"),($H178/1000)+0.2,IF(AND($H178&lt;&gt;"",$I178="PVC",$N178="MND",$Q178="EMBOQUE"),0,IF(AND($H178&lt;&gt;"",$I178="PEAD",$N178="VCA",$Q178="PREDIAL"),0,0)))))),0)</f>
        <v>0.525</v>
      </c>
      <c r="AK178" s="153" t="n">
        <f aca="false">IF(AA178&lt;&gt;"",AA178,0)</f>
        <v>2.6</v>
      </c>
      <c r="AL178" s="153" t="n">
        <f aca="false">IF(AND($N178="MND",$Q178="EMBOQUE"),$M178,IF(AND($N178="VCA",$Q178="LINEAR"),$M178,IF(AND($N178="VCA",$Q178="PREDIAL"),0,0)))</f>
        <v>8.61</v>
      </c>
      <c r="AM178" s="153" t="n">
        <f aca="false">IF(AND($N178="MND",$Q178="EMBOQUE"),$M178,IF(AND($N178="VCA",$Q178="LINEAR"),$M178,IF(AND($N178="VCA",$Q178="PREDIAL"),0,0)))</f>
        <v>8.61</v>
      </c>
      <c r="AN178" s="153" t="n">
        <f aca="false">ROUND(IF(AND($N178="VCA",$M178&lt;&gt;"",$Q178="LINEAR"),$M178/100,IF(AND($N178="MND",$M178&gt;100,$Q178="EMBOQUE"),$M178/100,0)),0)</f>
        <v>0</v>
      </c>
      <c r="AO178" s="153" t="n">
        <f aca="false">IF(AND($N178="MND",$Q178="EMBOQUE"),$AN178*2*2,IF(AND($N178="VCA",$Q178="LINEAR"),$M178*2,IF(AND($N178="VCA",$Q178="PREDIAL"),0,0)))</f>
        <v>17.22</v>
      </c>
      <c r="AP178" s="153" t="n">
        <f aca="false">IFERROR($M178*$AF178*$AG178,0)</f>
        <v>10.5042</v>
      </c>
      <c r="AQ178" s="153" t="n">
        <f aca="false">IFERROR(IF(AND($N178="VCA",$AH178&gt;0),$M178*$AG178*$AH178,0),0)</f>
        <v>0.6888</v>
      </c>
      <c r="AR178" s="153" t="n">
        <f aca="false">IFERROR(IF(AND($N178="VCA",$AJ178&gt;0),($M178*$AG178*$AJ178)-$AI178,0),0)</f>
        <v>3.27385966679062</v>
      </c>
      <c r="AS178" s="153" t="n">
        <f aca="false">IFERROR(IF(AND($N178="VCA",$AP178&gt;0),$AP178-$AI178-$AQ178-$AR178,0),0)</f>
        <v>6.1992</v>
      </c>
      <c r="AT178" s="153" t="n">
        <f aca="false">IFERROR(IF($N178="VCA",INDEX(APOIO_REDES!$A:$W,MATCH($C178&amp;$I178&amp;$H178&amp;$N178&amp;$O178,APOIO_REDES!$W:$W,0),MATCH(AT$5,APOIO_REDES!$5:$5,0)),0)*$AP178,0)</f>
        <v>0.114288805084497</v>
      </c>
      <c r="AU178" s="153" t="n">
        <f aca="false">IFERROR(IF($N178="VCA",INDEX(APOIO_REDES!$A:$W,MATCH($C178&amp;$I178&amp;$H178&amp;$N178&amp;$O178,APOIO_REDES!$W:$W,0),MATCH(AU$5,APOIO_REDES!$5:$5,0)),0)*$AP178,0)</f>
        <v>0.091267944407086</v>
      </c>
      <c r="AV178" s="153" t="n">
        <f aca="false">IFERROR(IF($N178="VCA",INDEX(APOIO_REDES!$A:$W,MATCH($C178&amp;$I178&amp;$H178&amp;$N178&amp;$O178,APOIO_REDES!$W:$W,0),MATCH(AV$5,APOIO_REDES!$5:$5,0)),0)*$AP178,0)</f>
        <v>0.0126307670244852</v>
      </c>
      <c r="AW178" s="153" t="n">
        <f aca="false">IFERROR(IF($N178="VCA",INDEX(APOIO_REDES!$A:$W,MATCH($C178&amp;$I178&amp;$H178&amp;$N178&amp;$O178,APOIO_REDES!$W:$W,0),MATCH(AW$5,APOIO_REDES!$5:$5,0)),0)*$AP178,0)</f>
        <v>7.21016427051326</v>
      </c>
      <c r="AX178" s="153" t="n">
        <f aca="false">IFERROR(IF($N178="VCA",INDEX(APOIO_REDES!$A:$W,MATCH($C178&amp;$I178&amp;$H178&amp;$N178&amp;$O178,APOIO_REDES!$W:$W,0),MATCH(AX$5,APOIO_REDES!$5:$5,0)),0)*$AP178,0)</f>
        <v>0.997866196497339</v>
      </c>
      <c r="AY178" s="153" t="n">
        <f aca="false">IFERROR(IF($N178="VCA",INDEX(APOIO_REDES!$A:$W,MATCH($C178&amp;$I178&amp;$H178&amp;$N178&amp;$O178,APOIO_REDES!$W:$W,0),MATCH(AY$5,APOIO_REDES!$5:$5,0)),0)*$AP178,0)</f>
        <v>1.82535777559288</v>
      </c>
      <c r="AZ178" s="153" t="n">
        <f aca="false">IFERROR(IF($N178="VCA",INDEX(APOIO_REDES!$A:$W,MATCH($C178&amp;$I178&amp;$H178&amp;$N178&amp;$O178,APOIO_REDES!$W:$W,0),MATCH(AZ$5,APOIO_REDES!$5:$5,0)),0)*$AP178,0)</f>
        <v>0.252624240880456</v>
      </c>
      <c r="BA178" s="153" t="n">
        <f aca="false">IFERROR(IF(AND($N178="VCA",$Q178="LINEAR"),INDEX(APOIO_REDES!$A:$W,MATCH($C178&amp;$I178&amp;$H178&amp;$N178&amp;$O178,APOIO_REDES!$W:$W,0),MATCH(BA$5,APOIO_REDES!$5:$5,0)),IF(AND($N178="MND",$Q178="EMBOQUE"),INDEX(APOIO_REDES!$A:$W,MATCH($C178&amp;$I178&amp;$H178&amp;$N178&amp;$O178,APOIO_REDES!$W:$W,0),MATCH(BA$5,APOIO_REDES!$5:$5,0)),0))*$M178/10,0)</f>
        <v>0.693944281961908</v>
      </c>
      <c r="BB178" s="153" t="n">
        <f aca="false">IFERROR(IF($N178="VCA",INDEX(APOIO_REDES!$A:$W,MATCH($C178&amp;$I178&amp;$H178&amp;$N178&amp;$O178,APOIO_REDES!$W:$W,0),MATCH(BB$5,APOIO_REDES!$5:$5,0)),0)*($AI178+$AQ178+$AR178),0)</f>
        <v>4.25816032578504</v>
      </c>
      <c r="BC178" s="153" t="n">
        <f aca="false">IFERROR(IF($N178="VCA",INDEX(APOIO_REDES!$A:$W,MATCH($C178&amp;$I178&amp;$H178&amp;$N178&amp;$O178,APOIO_REDES!$W:$W,0),MATCH(BC$5,APOIO_REDES!$5:$5,0)),0)*($AI178+$AQ178+$AR178),0)</f>
        <v>0.0468396742149578</v>
      </c>
      <c r="BD178" s="153" t="n">
        <f aca="false">IF(AND($N178="VCA",$AF178&gt;=1.25,$AF178&lt;1.5),$M178*$AF178*2,0)</f>
        <v>0</v>
      </c>
      <c r="BE178" s="153" t="n">
        <f aca="false">IF(AND($N178="VCA",$AF178&gt;=1.5,$AF178&lt;3),$M178*$AF178*2,0)</f>
        <v>26.2605</v>
      </c>
      <c r="BF178" s="153" t="n">
        <f aca="false">IF(AND($N178="VCA",$AF178&gt;=3),$M178*$AF178*2,0)</f>
        <v>0</v>
      </c>
      <c r="BG178" s="153" t="n">
        <f aca="false">($BB178+$BC178)*$AK178</f>
        <v>11.193</v>
      </c>
      <c r="BH178" s="153" t="n">
        <f aca="false">IF(AND($M178&lt;&gt;"",$N178="VCA",$Q178="LINEAR"),($M178*2)/100,IF(AND($M178&lt;&gt;"",$N178="MND",$Q178="EMBOQUE"),($AN178*2)/100,0))</f>
        <v>0.1722</v>
      </c>
      <c r="BI178" s="153" t="n">
        <f aca="false">IF(AND($M178&lt;&gt;"",$N178="VCA",$Q178="LINEAR"),$M178,IF(AND($M178&lt;&gt;"",$N178="MND",$Q178="EMBOQUE"),$AN178*2,0))</f>
        <v>8.61</v>
      </c>
      <c r="BJ178" s="153" t="n">
        <f aca="false">IF(AND($M178&lt;&gt;"",$N178="VCA",$Q178="LINEAR"),($M178*6.8)/100,IF(AND($M178&lt;&gt;"",$N178="MND",$Q178="EMBOQUE"),($AN178*2*6.8)/100,0))</f>
        <v>0.58548</v>
      </c>
      <c r="BK178" s="153" t="n">
        <f aca="false">IF(AND($M178&lt;&gt;"",$N178="VCA",$Q178="LINEAR"),($M178*2.5)/50,IF(AND($M178&lt;&gt;"",$N178="MND",$Q178="EMBOQUE"),($AN178*2*2.5)/50,0))</f>
        <v>0.4305</v>
      </c>
      <c r="BL178" s="157" t="str">
        <f aca="false">K178&amp;J178</f>
        <v>Zona02REDES</v>
      </c>
      <c r="BM178" s="152" t="s">
        <v>2037</v>
      </c>
      <c r="BN178" s="152" t="s">
        <v>1560</v>
      </c>
      <c r="BO178" s="152" t="s">
        <v>1982</v>
      </c>
      <c r="BP178" s="152" t="s">
        <v>2032</v>
      </c>
      <c r="BQ178" s="152" t="s">
        <v>2211</v>
      </c>
      <c r="BR178" s="152" t="s">
        <v>2027</v>
      </c>
      <c r="BS178" s="152" t="n">
        <v>203197.466</v>
      </c>
      <c r="BT178" s="152" t="n">
        <v>8238084.798</v>
      </c>
      <c r="BU178" s="152" t="n">
        <v>203192.549</v>
      </c>
      <c r="BV178" s="152" t="n">
        <v>8238077.725</v>
      </c>
      <c r="BW178" s="152" t="n">
        <v>-15.9187534</v>
      </c>
      <c r="BX178" s="152" t="n">
        <v>-47.7720538</v>
      </c>
      <c r="BY178" s="152" t="s">
        <v>2211</v>
      </c>
    </row>
    <row r="179" customFormat="false" ht="13.8" hidden="false" customHeight="false" outlineLevel="0" collapsed="false">
      <c r="A179" s="149" t="n">
        <f aca="false">IF(C179&lt;&gt;"",ROW(A174),"")</f>
        <v>174</v>
      </c>
      <c r="B179" s="150" t="str">
        <f aca="false">HYPERLINK("https://www.google.com/maps/dir/-15.917302,-47.760003/-15.9187866,-47.7720749/data=!4m3!4m2!3e0!5i0")</f>
        <v>https://www.google.com/maps/dir/-15.917302,-47.760003/-15.9187866,-47.7720749/data=!4m3!4m2!3e0!5i0</v>
      </c>
      <c r="C179" s="151" t="s">
        <v>117</v>
      </c>
      <c r="D179" s="152" t="s">
        <v>112</v>
      </c>
      <c r="E179" s="152" t="s">
        <v>113</v>
      </c>
      <c r="F179" s="152" t="s">
        <v>117</v>
      </c>
      <c r="G179" s="152" t="s">
        <v>114</v>
      </c>
      <c r="H179" s="152" t="n">
        <v>225</v>
      </c>
      <c r="I179" s="152" t="s">
        <v>115</v>
      </c>
      <c r="J179" s="152" t="s">
        <v>6</v>
      </c>
      <c r="K179" s="152" t="s">
        <v>2033</v>
      </c>
      <c r="L179" s="152" t="s">
        <v>120</v>
      </c>
      <c r="M179" s="153" t="n">
        <f aca="false">28.83</f>
        <v>28.83</v>
      </c>
      <c r="N179" s="152" t="s">
        <v>1548</v>
      </c>
      <c r="O179" s="152" t="s">
        <v>1549</v>
      </c>
      <c r="P179" s="152" t="s">
        <v>1550</v>
      </c>
      <c r="Q179" s="152" t="s">
        <v>1551</v>
      </c>
      <c r="R179" s="154" t="s">
        <v>2212</v>
      </c>
      <c r="S179" s="154" t="s">
        <v>1593</v>
      </c>
      <c r="T179" s="155" t="s">
        <v>1979</v>
      </c>
      <c r="U179" s="152" t="str">
        <f aca="false">RIGHT(T179,7)</f>
        <v>006/037</v>
      </c>
      <c r="V179" s="152" t="s">
        <v>1555</v>
      </c>
      <c r="W179" s="156" t="n">
        <v>45882</v>
      </c>
      <c r="X179" s="152" t="s">
        <v>1594</v>
      </c>
      <c r="Y179" s="152" t="s">
        <v>2209</v>
      </c>
      <c r="Z179" s="152" t="s">
        <v>1557</v>
      </c>
      <c r="AA179" s="153" t="n">
        <v>2.6</v>
      </c>
      <c r="AB179" s="151" t="s">
        <v>2213</v>
      </c>
      <c r="AC179" s="151" t="s">
        <v>508</v>
      </c>
      <c r="AD179" s="151" t="str">
        <f aca="false">CONCATENATE($C179,$I179,$H179,$N179,$J179,$K179)</f>
        <v>TUBO PEADPEAD225VCAREDESZona02</v>
      </c>
      <c r="AE179" s="153" t="n">
        <f aca="false">IFERROR(INDEX(APOIO_REDES!$A:$W,MATCH($C179&amp;$I179&amp;$H179&amp;$N179&amp;$O179,APOIO_REDES!$W:$W,0),MATCH(AE$5,APOIO_REDES!$5:$5,0)),0)</f>
        <v>1.2</v>
      </c>
      <c r="AF179" s="153" t="n">
        <f aca="false">IFERROR(INDEX(APOIO_REDES!$A:$W,MATCH($C179&amp;$I179&amp;$H179&amp;$N179&amp;$O179,APOIO_REDES!$W:$W,0),MATCH(AF$5,APOIO_REDES!$5:$5,0)),0)</f>
        <v>1.525</v>
      </c>
      <c r="AG179" s="153" t="n">
        <f aca="false">IFERROR(INDEX(APOIO_REDES!$A:$W,MATCH($C179&amp;$I179&amp;$H179&amp;$N179&amp;$O179,APOIO_REDES!$W:$W,0),MATCH(AG$5,APOIO_REDES!$5:$5,0)),0)</f>
        <v>0.8</v>
      </c>
      <c r="AH179" s="153" t="n">
        <f aca="false">IFERROR(INDEX(APOIO_REDES!$A:$W,MATCH($C179&amp;$I179&amp;$H179&amp;$N179&amp;$O179,APOIO_REDES!$W:$W,0),MATCH(AH$5,APOIO_REDES!$5:$5,0)),0)</f>
        <v>0.1</v>
      </c>
      <c r="AI179" s="153" t="n">
        <f aca="false">IFERROR(IF($H179&lt;&gt;"",(((($H179/1000)/2)^2)*PI()*$M179),0),0)</f>
        <v>1.14630334569414</v>
      </c>
      <c r="AJ179" s="153" t="n">
        <f aca="false">IFERROR(IF(AND($H179&lt;&gt;"",$I179="FoFo",OR($N179="MND",$N179="VCA"),$Q179="LINEAR"),0,IF(AND($H179&lt;&gt;"",$I179="PEAD",$N179="VCA",$Q179="LINEAR"),($H179/1000)+0.3,IF(AND($H179&lt;&gt;"",$I179="PEAD",$N179="MND",$Q179="EMBOQUE"),0,IF(AND($H179&lt;&gt;"",$I179="PVC",$N179="VCA",$Q179="LINEAR"),($H179/1000)+0.2,IF(AND($H179&lt;&gt;"",$I179="PVC",$N179="MND",$Q179="EMBOQUE"),0,IF(AND($H179&lt;&gt;"",$I179="PEAD",$N179="VCA",$Q179="PREDIAL"),0,0)))))),0)</f>
        <v>0.525</v>
      </c>
      <c r="AK179" s="153" t="n">
        <f aca="false">IF(AA179&lt;&gt;"",AA179,0)</f>
        <v>2.6</v>
      </c>
      <c r="AL179" s="153" t="n">
        <f aca="false">IF(AND($N179="MND",$Q179="EMBOQUE"),$M179,IF(AND($N179="VCA",$Q179="LINEAR"),$M179,IF(AND($N179="VCA",$Q179="PREDIAL"),0,0)))</f>
        <v>28.83</v>
      </c>
      <c r="AM179" s="153" t="n">
        <f aca="false">IF(AND($N179="MND",$Q179="EMBOQUE"),$M179,IF(AND($N179="VCA",$Q179="LINEAR"),$M179,IF(AND($N179="VCA",$Q179="PREDIAL"),0,0)))</f>
        <v>28.83</v>
      </c>
      <c r="AN179" s="153" t="n">
        <f aca="false">ROUND(IF(AND($N179="VCA",$M179&lt;&gt;"",$Q179="LINEAR"),$M179/100,IF(AND($N179="MND",$M179&gt;100,$Q179="EMBOQUE"),$M179/100,0)),0)</f>
        <v>0</v>
      </c>
      <c r="AO179" s="153" t="n">
        <f aca="false">IF(AND($N179="MND",$Q179="EMBOQUE"),$AN179*2*2,IF(AND($N179="VCA",$Q179="LINEAR"),$M179*2,IF(AND($N179="VCA",$Q179="PREDIAL"),0,0)))</f>
        <v>57.66</v>
      </c>
      <c r="AP179" s="153" t="n">
        <f aca="false">IFERROR($M179*$AF179*$AG179,0)</f>
        <v>35.1726</v>
      </c>
      <c r="AQ179" s="153" t="n">
        <f aca="false">IFERROR(IF(AND($N179="VCA",$AH179&gt;0),$M179*$AG179*$AH179,0),0)</f>
        <v>2.3064</v>
      </c>
      <c r="AR179" s="153" t="n">
        <f aca="false">IFERROR(IF(AND($N179="VCA",$AJ179&gt;0),($M179*$AG179*$AJ179)-$AI179,0),0)</f>
        <v>10.9622966543059</v>
      </c>
      <c r="AS179" s="153" t="n">
        <f aca="false">IFERROR(IF(AND($N179="VCA",$AP179&gt;0),$AP179-$AI179-$AQ179-$AR179,0),0)</f>
        <v>20.7576</v>
      </c>
      <c r="AT179" s="153" t="n">
        <f aca="false">IFERROR(IF($N179="VCA",INDEX(APOIO_REDES!$A:$W,MATCH($C179&amp;$I179&amp;$H179&amp;$N179&amp;$O179,APOIO_REDES!$W:$W,0),MATCH(AT$5,APOIO_REDES!$5:$5,0)),0)*$AP179,0)</f>
        <v>0.382688298558194</v>
      </c>
      <c r="AU179" s="153" t="n">
        <f aca="false">IFERROR(IF($N179="VCA",INDEX(APOIO_REDES!$A:$W,MATCH($C179&amp;$I179&amp;$H179&amp;$N179&amp;$O179,APOIO_REDES!$W:$W,0),MATCH(AU$5,APOIO_REDES!$5:$5,0)),0)*$AP179,0)</f>
        <v>0.305604510715016</v>
      </c>
      <c r="AV179" s="153" t="n">
        <f aca="false">IFERROR(IF($N179="VCA",INDEX(APOIO_REDES!$A:$W,MATCH($C179&amp;$I179&amp;$H179&amp;$N179&amp;$O179,APOIO_REDES!$W:$W,0),MATCH(AV$5,APOIO_REDES!$5:$5,0)),0)*$AP179,0)</f>
        <v>0.0422932651934854</v>
      </c>
      <c r="AW179" s="153" t="n">
        <f aca="false">IFERROR(IF($N179="VCA",INDEX(APOIO_REDES!$A:$W,MATCH($C179&amp;$I179&amp;$H179&amp;$N179&amp;$O179,APOIO_REDES!$W:$W,0),MATCH(AW$5,APOIO_REDES!$5:$5,0)),0)*$AP179,0)</f>
        <v>24.1427451706036</v>
      </c>
      <c r="AX179" s="153" t="n">
        <f aca="false">IFERROR(IF($N179="VCA",INDEX(APOIO_REDES!$A:$W,MATCH($C179&amp;$I179&amp;$H179&amp;$N179&amp;$O179,APOIO_REDES!$W:$W,0),MATCH(AX$5,APOIO_REDES!$5:$5,0)),0)*$AP179,0)</f>
        <v>3.34128715970015</v>
      </c>
      <c r="AY179" s="153" t="n">
        <f aca="false">IFERROR(IF($N179="VCA",INDEX(APOIO_REDES!$A:$W,MATCH($C179&amp;$I179&amp;$H179&amp;$N179&amp;$O179,APOIO_REDES!$W:$W,0),MATCH(AY$5,APOIO_REDES!$5:$5,0)),0)*$AP179,0)</f>
        <v>6.11208648900611</v>
      </c>
      <c r="AZ179" s="153" t="n">
        <f aca="false">IFERROR(IF($N179="VCA",INDEX(APOIO_REDES!$A:$W,MATCH($C179&amp;$I179&amp;$H179&amp;$N179&amp;$O179,APOIO_REDES!$W:$W,0),MATCH(AZ$5,APOIO_REDES!$5:$5,0)),0)*$AP179,0)</f>
        <v>0.845895106223408</v>
      </c>
      <c r="BA179" s="153" t="n">
        <f aca="false">IFERROR(IF(AND($N179="VCA",$Q179="LINEAR"),INDEX(APOIO_REDES!$A:$W,MATCH($C179&amp;$I179&amp;$H179&amp;$N179&amp;$O179,APOIO_REDES!$W:$W,0),MATCH(BA$5,APOIO_REDES!$5:$5,0)),IF(AND($N179="MND",$Q179="EMBOQUE"),INDEX(APOIO_REDES!$A:$W,MATCH($C179&amp;$I179&amp;$H179&amp;$N179&amp;$O179,APOIO_REDES!$W:$W,0),MATCH(BA$5,APOIO_REDES!$5:$5,0)),0))*$M179/10,0)</f>
        <v>2.32362527862507</v>
      </c>
      <c r="BB179" s="153" t="n">
        <f aca="false">IFERROR(IF($N179="VCA",INDEX(APOIO_REDES!$A:$W,MATCH($C179&amp;$I179&amp;$H179&amp;$N179&amp;$O179,APOIO_REDES!$W:$W,0),MATCH(BB$5,APOIO_REDES!$5:$5,0)),0)*($AI179+$AQ179+$AR179),0)</f>
        <v>14.2581605333778</v>
      </c>
      <c r="BC179" s="153" t="n">
        <f aca="false">IFERROR(IF($N179="VCA",INDEX(APOIO_REDES!$A:$W,MATCH($C179&amp;$I179&amp;$H179&amp;$N179&amp;$O179,APOIO_REDES!$W:$W,0),MATCH(BC$5,APOIO_REDES!$5:$5,0)),0)*($AI179+$AQ179+$AR179),0)</f>
        <v>0.156839466622211</v>
      </c>
      <c r="BD179" s="153" t="n">
        <f aca="false">IF(AND($N179="VCA",$AF179&gt;=1.25,$AF179&lt;1.5),$M179*$AF179*2,0)</f>
        <v>0</v>
      </c>
      <c r="BE179" s="153" t="n">
        <f aca="false">IF(AND($N179="VCA",$AF179&gt;=1.5,$AF179&lt;3),$M179*$AF179*2,0)</f>
        <v>87.9315</v>
      </c>
      <c r="BF179" s="153" t="n">
        <f aca="false">IF(AND($N179="VCA",$AF179&gt;=3),$M179*$AF179*2,0)</f>
        <v>0</v>
      </c>
      <c r="BG179" s="153" t="n">
        <f aca="false">($BB179+$BC179)*$AK179</f>
        <v>37.479</v>
      </c>
      <c r="BH179" s="153" t="n">
        <f aca="false">IF(AND($M179&lt;&gt;"",$N179="VCA",$Q179="LINEAR"),($M179*2)/100,IF(AND($M179&lt;&gt;"",$N179="MND",$Q179="EMBOQUE"),($AN179*2)/100,0))</f>
        <v>0.5766</v>
      </c>
      <c r="BI179" s="153" t="n">
        <f aca="false">IF(AND($M179&lt;&gt;"",$N179="VCA",$Q179="LINEAR"),$M179,IF(AND($M179&lt;&gt;"",$N179="MND",$Q179="EMBOQUE"),$AN179*2,0))</f>
        <v>28.83</v>
      </c>
      <c r="BJ179" s="153" t="n">
        <f aca="false">IF(AND($M179&lt;&gt;"",$N179="VCA",$Q179="LINEAR"),($M179*6.8)/100,IF(AND($M179&lt;&gt;"",$N179="MND",$Q179="EMBOQUE"),($AN179*2*6.8)/100,0))</f>
        <v>1.96044</v>
      </c>
      <c r="BK179" s="153" t="n">
        <f aca="false">IF(AND($M179&lt;&gt;"",$N179="VCA",$Q179="LINEAR"),($M179*2.5)/50,IF(AND($M179&lt;&gt;"",$N179="MND",$Q179="EMBOQUE"),($AN179*2*2.5)/50,0))</f>
        <v>1.4415</v>
      </c>
      <c r="BL179" s="157" t="str">
        <f aca="false">K179&amp;J179</f>
        <v>Zona02REDES</v>
      </c>
      <c r="BM179" s="152" t="s">
        <v>2037</v>
      </c>
      <c r="BN179" s="152" t="s">
        <v>1560</v>
      </c>
      <c r="BO179" s="152" t="s">
        <v>1982</v>
      </c>
      <c r="BP179" s="152" t="s">
        <v>2211</v>
      </c>
      <c r="BQ179" s="152" t="s">
        <v>2214</v>
      </c>
      <c r="BR179" s="152" t="s">
        <v>2027</v>
      </c>
      <c r="BS179" s="152" t="n">
        <v>203192.549</v>
      </c>
      <c r="BT179" s="152" t="n">
        <v>8238077.725</v>
      </c>
      <c r="BU179" s="152" t="n">
        <v>203176.049</v>
      </c>
      <c r="BV179" s="152" t="n">
        <v>8238054.079</v>
      </c>
      <c r="BW179" s="152" t="n">
        <v>-15.9188909</v>
      </c>
      <c r="BX179" s="152" t="n">
        <v>-47.7721555</v>
      </c>
      <c r="BY179" s="152" t="s">
        <v>2211</v>
      </c>
    </row>
    <row r="180" customFormat="false" ht="13.8" hidden="false" customHeight="false" outlineLevel="0" collapsed="false">
      <c r="A180" s="149" t="n">
        <f aca="false">IF(C180&lt;&gt;"",ROW(A175),"")</f>
        <v>175</v>
      </c>
      <c r="B180" s="150" t="str">
        <f aca="false">HYPERLINK("https://www.google.com/maps/dir/-15.917302,-47.760003/-15.9189966,-47.7722341/data=!4m3!4m2!3e0!5i0")</f>
        <v>https://www.google.com/maps/dir/-15.917302,-47.760003/-15.9189966,-47.7722341/data=!4m3!4m2!3e0!5i0</v>
      </c>
      <c r="C180" s="151" t="s">
        <v>117</v>
      </c>
      <c r="D180" s="152" t="s">
        <v>112</v>
      </c>
      <c r="E180" s="152" t="s">
        <v>113</v>
      </c>
      <c r="F180" s="152" t="s">
        <v>117</v>
      </c>
      <c r="G180" s="152" t="s">
        <v>114</v>
      </c>
      <c r="H180" s="152" t="n">
        <v>225</v>
      </c>
      <c r="I180" s="152" t="s">
        <v>115</v>
      </c>
      <c r="J180" s="152" t="s">
        <v>6</v>
      </c>
      <c r="K180" s="152" t="s">
        <v>2033</v>
      </c>
      <c r="L180" s="152" t="s">
        <v>120</v>
      </c>
      <c r="M180" s="153" t="n">
        <f aca="false">2.62</f>
        <v>2.62</v>
      </c>
      <c r="N180" s="152" t="s">
        <v>1548</v>
      </c>
      <c r="O180" s="152" t="s">
        <v>1549</v>
      </c>
      <c r="P180" s="152" t="s">
        <v>1550</v>
      </c>
      <c r="Q180" s="152" t="s">
        <v>1551</v>
      </c>
      <c r="R180" s="154" t="s">
        <v>2215</v>
      </c>
      <c r="S180" s="154" t="s">
        <v>1593</v>
      </c>
      <c r="T180" s="155" t="s">
        <v>1979</v>
      </c>
      <c r="U180" s="152" t="str">
        <f aca="false">RIGHT(T180,7)</f>
        <v>006/037</v>
      </c>
      <c r="V180" s="152" t="s">
        <v>1555</v>
      </c>
      <c r="W180" s="156" t="n">
        <v>45882</v>
      </c>
      <c r="X180" s="152" t="s">
        <v>1594</v>
      </c>
      <c r="Y180" s="152" t="s">
        <v>2035</v>
      </c>
      <c r="Z180" s="152" t="s">
        <v>1557</v>
      </c>
      <c r="AA180" s="153" t="n">
        <v>2.6</v>
      </c>
      <c r="AB180" s="151" t="s">
        <v>2216</v>
      </c>
      <c r="AC180" s="151" t="s">
        <v>508</v>
      </c>
      <c r="AD180" s="151" t="str">
        <f aca="false">CONCATENATE($C180,$I180,$H180,$N180,$J180,$K180)</f>
        <v>TUBO PEADPEAD225VCAREDESZona02</v>
      </c>
      <c r="AE180" s="153" t="n">
        <f aca="false">IFERROR(INDEX(APOIO_REDES!$A:$W,MATCH($C180&amp;$I180&amp;$H180&amp;$N180&amp;$O180,APOIO_REDES!$W:$W,0),MATCH(AE$5,APOIO_REDES!$5:$5,0)),0)</f>
        <v>1.2</v>
      </c>
      <c r="AF180" s="153" t="n">
        <f aca="false">IFERROR(INDEX(APOIO_REDES!$A:$W,MATCH($C180&amp;$I180&amp;$H180&amp;$N180&amp;$O180,APOIO_REDES!$W:$W,0),MATCH(AF$5,APOIO_REDES!$5:$5,0)),0)</f>
        <v>1.525</v>
      </c>
      <c r="AG180" s="153" t="n">
        <f aca="false">IFERROR(INDEX(APOIO_REDES!$A:$W,MATCH($C180&amp;$I180&amp;$H180&amp;$N180&amp;$O180,APOIO_REDES!$W:$W,0),MATCH(AG$5,APOIO_REDES!$5:$5,0)),0)</f>
        <v>0.8</v>
      </c>
      <c r="AH180" s="153" t="n">
        <f aca="false">IFERROR(INDEX(APOIO_REDES!$A:$W,MATCH($C180&amp;$I180&amp;$H180&amp;$N180&amp;$O180,APOIO_REDES!$W:$W,0),MATCH(AH$5,APOIO_REDES!$5:$5,0)),0)</f>
        <v>0.1</v>
      </c>
      <c r="AI180" s="153" t="n">
        <f aca="false">IFERROR(IF($H180&lt;&gt;"",(((($H180/1000)/2)^2)*PI()*$M180),0),0)</f>
        <v>0.104173248897629</v>
      </c>
      <c r="AJ180" s="153" t="n">
        <f aca="false">IFERROR(IF(AND($H180&lt;&gt;"",$I180="FoFo",OR($N180="MND",$N180="VCA"),$Q180="LINEAR"),0,IF(AND($H180&lt;&gt;"",$I180="PEAD",$N180="VCA",$Q180="LINEAR"),($H180/1000)+0.3,IF(AND($H180&lt;&gt;"",$I180="PEAD",$N180="MND",$Q180="EMBOQUE"),0,IF(AND($H180&lt;&gt;"",$I180="PVC",$N180="VCA",$Q180="LINEAR"),($H180/1000)+0.2,IF(AND($H180&lt;&gt;"",$I180="PVC",$N180="MND",$Q180="EMBOQUE"),0,IF(AND($H180&lt;&gt;"",$I180="PEAD",$N180="VCA",$Q180="PREDIAL"),0,0)))))),0)</f>
        <v>0.525</v>
      </c>
      <c r="AK180" s="153" t="n">
        <f aca="false">IF(AA180&lt;&gt;"",AA180,0)</f>
        <v>2.6</v>
      </c>
      <c r="AL180" s="153" t="n">
        <f aca="false">IF(AND($N180="MND",$Q180="EMBOQUE"),$M180,IF(AND($N180="VCA",$Q180="LINEAR"),$M180,IF(AND($N180="VCA",$Q180="PREDIAL"),0,0)))</f>
        <v>2.62</v>
      </c>
      <c r="AM180" s="153" t="n">
        <f aca="false">IF(AND($N180="MND",$Q180="EMBOQUE"),$M180,IF(AND($N180="VCA",$Q180="LINEAR"),$M180,IF(AND($N180="VCA",$Q180="PREDIAL"),0,0)))</f>
        <v>2.62</v>
      </c>
      <c r="AN180" s="153" t="n">
        <f aca="false">ROUND(IF(AND($N180="VCA",$M180&lt;&gt;"",$Q180="LINEAR"),$M180/100,IF(AND($N180="MND",$M180&gt;100,$Q180="EMBOQUE"),$M180/100,0)),0)</f>
        <v>0</v>
      </c>
      <c r="AO180" s="153" t="n">
        <f aca="false">IF(AND($N180="MND",$Q180="EMBOQUE"),$AN180*2*2,IF(AND($N180="VCA",$Q180="LINEAR"),$M180*2,IF(AND($N180="VCA",$Q180="PREDIAL"),0,0)))</f>
        <v>5.24</v>
      </c>
      <c r="AP180" s="153" t="n">
        <f aca="false">IFERROR($M180*$AF180*$AG180,0)</f>
        <v>3.1964</v>
      </c>
      <c r="AQ180" s="153" t="n">
        <f aca="false">IFERROR(IF(AND($N180="VCA",$AH180&gt;0),$M180*$AG180*$AH180,0),0)</f>
        <v>0.2096</v>
      </c>
      <c r="AR180" s="153" t="n">
        <f aca="false">IFERROR(IF(AND($N180="VCA",$AJ180&gt;0),($M180*$AG180*$AJ180)-$AI180,0),0)</f>
        <v>0.996226751102371</v>
      </c>
      <c r="AS180" s="153" t="n">
        <f aca="false">IFERROR(IF(AND($N180="VCA",$AP180&gt;0),$AP180-$AI180-$AQ180-$AR180,0),0)</f>
        <v>1.8864</v>
      </c>
      <c r="AT180" s="153" t="n">
        <f aca="false">IFERROR(IF($N180="VCA",INDEX(APOIO_REDES!$A:$W,MATCH($C180&amp;$I180&amp;$H180&amp;$N180&amp;$O180,APOIO_REDES!$W:$W,0),MATCH(AT$5,APOIO_REDES!$5:$5,0)),0)*$AP180,0)</f>
        <v>0.0347777780861071</v>
      </c>
      <c r="AU180" s="153" t="n">
        <f aca="false">IFERROR(IF($N180="VCA",INDEX(APOIO_REDES!$A:$W,MATCH($C180&amp;$I180&amp;$H180&amp;$N180&amp;$O180,APOIO_REDES!$W:$W,0),MATCH(AU$5,APOIO_REDES!$5:$5,0)),0)*$AP180,0)</f>
        <v>0.0277725916778822</v>
      </c>
      <c r="AV180" s="153" t="n">
        <f aca="false">IFERROR(IF($N180="VCA",INDEX(APOIO_REDES!$A:$W,MATCH($C180&amp;$I180&amp;$H180&amp;$N180&amp;$O180,APOIO_REDES!$W:$W,0),MATCH(AV$5,APOIO_REDES!$5:$5,0)),0)*$AP180,0)</f>
        <v>0.00384350866482594</v>
      </c>
      <c r="AW180" s="153" t="n">
        <f aca="false">IFERROR(IF($N180="VCA",INDEX(APOIO_REDES!$A:$W,MATCH($C180&amp;$I180&amp;$H180&amp;$N180&amp;$O180,APOIO_REDES!$W:$W,0),MATCH(AW$5,APOIO_REDES!$5:$5,0)),0)*$AP180,0)</f>
        <v>2.19403372691577</v>
      </c>
      <c r="AX180" s="153" t="n">
        <f aca="false">IFERROR(IF($N180="VCA",INDEX(APOIO_REDES!$A:$W,MATCH($C180&amp;$I180&amp;$H180&amp;$N180&amp;$O180,APOIO_REDES!$W:$W,0),MATCH(AX$5,APOIO_REDES!$5:$5,0)),0)*$AP180,0)</f>
        <v>0.303648017981769</v>
      </c>
      <c r="AY180" s="153" t="n">
        <f aca="false">IFERROR(IF($N180="VCA",INDEX(APOIO_REDES!$A:$W,MATCH($C180&amp;$I180&amp;$H180&amp;$N180&amp;$O180,APOIO_REDES!$W:$W,0),MATCH(AY$5,APOIO_REDES!$5:$5,0)),0)*$AP180,0)</f>
        <v>0.555451495012002</v>
      </c>
      <c r="AZ180" s="153" t="n">
        <f aca="false">IFERROR(IF($N180="VCA",INDEX(APOIO_REDES!$A:$W,MATCH($C180&amp;$I180&amp;$H180&amp;$N180&amp;$O180,APOIO_REDES!$W:$W,0),MATCH(AZ$5,APOIO_REDES!$5:$5,0)),0)*$AP180,0)</f>
        <v>0.0768728816616486</v>
      </c>
      <c r="BA180" s="153" t="n">
        <f aca="false">IFERROR(IF(AND($N180="VCA",$Q180="LINEAR"),INDEX(APOIO_REDES!$A:$W,MATCH($C180&amp;$I180&amp;$H180&amp;$N180&amp;$O180,APOIO_REDES!$W:$W,0),MATCH(BA$5,APOIO_REDES!$5:$5,0)),IF(AND($N180="MND",$Q180="EMBOQUE"),INDEX(APOIO_REDES!$A:$W,MATCH($C180&amp;$I180&amp;$H180&amp;$N180&amp;$O180,APOIO_REDES!$W:$W,0),MATCH(BA$5,APOIO_REDES!$5:$5,0)),0))*$M180/10,0)</f>
        <v>0.211165391259024</v>
      </c>
      <c r="BB180" s="153" t="n">
        <f aca="false">IFERROR(IF($N180="VCA",INDEX(APOIO_REDES!$A:$W,MATCH($C180&amp;$I180&amp;$H180&amp;$N180&amp;$O180,APOIO_REDES!$W:$W,0),MATCH(BB$5,APOIO_REDES!$5:$5,0)),0)*($AI180+$AQ180+$AR180),0)</f>
        <v>1.29574681225979</v>
      </c>
      <c r="BC180" s="153" t="n">
        <f aca="false">IFERROR(IF($N180="VCA",INDEX(APOIO_REDES!$A:$W,MATCH($C180&amp;$I180&amp;$H180&amp;$N180&amp;$O180,APOIO_REDES!$W:$W,0),MATCH(BC$5,APOIO_REDES!$5:$5,0)),0)*($AI180+$AQ180+$AR180),0)</f>
        <v>0.0142531877402078</v>
      </c>
      <c r="BD180" s="153" t="n">
        <f aca="false">IF(AND($N180="VCA",$AF180&gt;=1.25,$AF180&lt;1.5),$M180*$AF180*2,0)</f>
        <v>0</v>
      </c>
      <c r="BE180" s="153" t="n">
        <f aca="false">IF(AND($N180="VCA",$AF180&gt;=1.5,$AF180&lt;3),$M180*$AF180*2,0)</f>
        <v>7.991</v>
      </c>
      <c r="BF180" s="153" t="n">
        <f aca="false">IF(AND($N180="VCA",$AF180&gt;=3),$M180*$AF180*2,0)</f>
        <v>0</v>
      </c>
      <c r="BG180" s="153" t="n">
        <f aca="false">($BB180+$BC180)*$AK180</f>
        <v>3.406</v>
      </c>
      <c r="BH180" s="153" t="n">
        <f aca="false">IF(AND($M180&lt;&gt;"",$N180="VCA",$Q180="LINEAR"),($M180*2)/100,IF(AND($M180&lt;&gt;"",$N180="MND",$Q180="EMBOQUE"),($AN180*2)/100,0))</f>
        <v>0.0524</v>
      </c>
      <c r="BI180" s="153" t="n">
        <f aca="false">IF(AND($M180&lt;&gt;"",$N180="VCA",$Q180="LINEAR"),$M180,IF(AND($M180&lt;&gt;"",$N180="MND",$Q180="EMBOQUE"),$AN180*2,0))</f>
        <v>2.62</v>
      </c>
      <c r="BJ180" s="153" t="n">
        <f aca="false">IF(AND($M180&lt;&gt;"",$N180="VCA",$Q180="LINEAR"),($M180*6.8)/100,IF(AND($M180&lt;&gt;"",$N180="MND",$Q180="EMBOQUE"),($AN180*2*6.8)/100,0))</f>
        <v>0.17816</v>
      </c>
      <c r="BK180" s="153" t="n">
        <f aca="false">IF(AND($M180&lt;&gt;"",$N180="VCA",$Q180="LINEAR"),($M180*2.5)/50,IF(AND($M180&lt;&gt;"",$N180="MND",$Q180="EMBOQUE"),($AN180*2*2.5)/50,0))</f>
        <v>0.131</v>
      </c>
      <c r="BL180" s="157" t="str">
        <f aca="false">K180&amp;J180</f>
        <v>Zona02REDES</v>
      </c>
      <c r="BM180" s="152" t="s">
        <v>2037</v>
      </c>
      <c r="BN180" s="152" t="s">
        <v>1560</v>
      </c>
      <c r="BO180" s="152" t="s">
        <v>1982</v>
      </c>
      <c r="BP180" s="152" t="s">
        <v>2214</v>
      </c>
      <c r="BQ180" s="152" t="s">
        <v>2217</v>
      </c>
      <c r="BR180" s="152" t="s">
        <v>2218</v>
      </c>
      <c r="BS180" s="152" t="n">
        <v>203176.049</v>
      </c>
      <c r="BT180" s="152" t="n">
        <v>8238054.079</v>
      </c>
      <c r="BU180" s="152" t="n">
        <v>203178.138</v>
      </c>
      <c r="BV180" s="152" t="n">
        <v>8238052.504</v>
      </c>
      <c r="BW180" s="152" t="n">
        <v>-15.9190038</v>
      </c>
      <c r="BX180" s="152" t="n">
        <v>-47.7722244</v>
      </c>
      <c r="BY180" s="152" t="s">
        <v>2214</v>
      </c>
    </row>
    <row r="181" customFormat="false" ht="13.8" hidden="false" customHeight="false" outlineLevel="0" collapsed="false">
      <c r="A181" s="149" t="n">
        <f aca="false">IF(C181&lt;&gt;"",ROW(A176),"")</f>
        <v>176</v>
      </c>
      <c r="B181" s="150" t="str">
        <f aca="false">HYPERLINK("https://www.google.com/maps/dir/-15.917302,-47.760003/-15.9197864,-47.7728395/data=!4m3!4m2!3e0!5i0")</f>
        <v>https://www.google.com/maps/dir/-15.917302,-47.760003/-15.9197864,-47.7728395/data=!4m3!4m2!3e0!5i0</v>
      </c>
      <c r="C181" s="151" t="s">
        <v>117</v>
      </c>
      <c r="D181" s="152" t="s">
        <v>112</v>
      </c>
      <c r="E181" s="152" t="s">
        <v>113</v>
      </c>
      <c r="F181" s="152" t="s">
        <v>117</v>
      </c>
      <c r="G181" s="152" t="s">
        <v>114</v>
      </c>
      <c r="H181" s="152" t="n">
        <v>160</v>
      </c>
      <c r="I181" s="152" t="s">
        <v>115</v>
      </c>
      <c r="J181" s="152" t="s">
        <v>6</v>
      </c>
      <c r="K181" s="152" t="s">
        <v>2033</v>
      </c>
      <c r="L181" s="152" t="s">
        <v>120</v>
      </c>
      <c r="M181" s="153" t="n">
        <f aca="false">102.33</f>
        <v>102.33</v>
      </c>
      <c r="N181" s="152" t="s">
        <v>1548</v>
      </c>
      <c r="O181" s="152" t="s">
        <v>1549</v>
      </c>
      <c r="P181" s="152" t="s">
        <v>1550</v>
      </c>
      <c r="Q181" s="152" t="s">
        <v>1551</v>
      </c>
      <c r="R181" s="154" t="s">
        <v>2219</v>
      </c>
      <c r="S181" s="154" t="s">
        <v>1593</v>
      </c>
      <c r="T181" s="155" t="s">
        <v>1979</v>
      </c>
      <c r="U181" s="152" t="str">
        <f aca="false">RIGHT(T181,7)</f>
        <v>006/037</v>
      </c>
      <c r="V181" s="152" t="s">
        <v>1555</v>
      </c>
      <c r="W181" s="156" t="n">
        <v>45882</v>
      </c>
      <c r="X181" s="152" t="s">
        <v>1594</v>
      </c>
      <c r="Y181" s="152" t="s">
        <v>2053</v>
      </c>
      <c r="Z181" s="152" t="s">
        <v>1557</v>
      </c>
      <c r="AA181" s="153" t="n">
        <v>2.7</v>
      </c>
      <c r="AB181" s="151" t="s">
        <v>2220</v>
      </c>
      <c r="AC181" s="151" t="s">
        <v>505</v>
      </c>
      <c r="AD181" s="151" t="str">
        <f aca="false">CONCATENATE($C181,$I181,$H181,$N181,$J181,$K181)</f>
        <v>TUBO PEADPEAD160VCAREDESZona02</v>
      </c>
      <c r="AE181" s="153" t="n">
        <f aca="false">IFERROR(INDEX(APOIO_REDES!$A:$W,MATCH($C181&amp;$I181&amp;$H181&amp;$N181&amp;$O181,APOIO_REDES!$W:$W,0),MATCH(AE$5,APOIO_REDES!$5:$5,0)),0)</f>
        <v>1.2</v>
      </c>
      <c r="AF181" s="153" t="n">
        <f aca="false">IFERROR(INDEX(APOIO_REDES!$A:$W,MATCH($C181&amp;$I181&amp;$H181&amp;$N181&amp;$O181,APOIO_REDES!$W:$W,0),MATCH(AF$5,APOIO_REDES!$5:$5,0)),0)</f>
        <v>1.46</v>
      </c>
      <c r="AG181" s="153" t="n">
        <f aca="false">IFERROR(INDEX(APOIO_REDES!$A:$W,MATCH($C181&amp;$I181&amp;$H181&amp;$N181&amp;$O181,APOIO_REDES!$W:$W,0),MATCH(AG$5,APOIO_REDES!$5:$5,0)),0)</f>
        <v>0.75</v>
      </c>
      <c r="AH181" s="153" t="n">
        <f aca="false">IFERROR(INDEX(APOIO_REDES!$A:$W,MATCH($C181&amp;$I181&amp;$H181&amp;$N181&amp;$O181,APOIO_REDES!$W:$W,0),MATCH(AH$5,APOIO_REDES!$5:$5,0)),0)</f>
        <v>0.1</v>
      </c>
      <c r="AI181" s="153" t="n">
        <f aca="false">IFERROR(IF($H181&lt;&gt;"",(((($H181/1000)/2)^2)*PI()*$M181),0),0)</f>
        <v>2.0574667279478</v>
      </c>
      <c r="AJ181" s="153" t="n">
        <f aca="false">IFERROR(IF(AND($H181&lt;&gt;"",$I181="FoFo",OR($N181="MND",$N181="VCA"),$Q181="LINEAR"),0,IF(AND($H181&lt;&gt;"",$I181="PEAD",$N181="VCA",$Q181="LINEAR"),($H181/1000)+0.3,IF(AND($H181&lt;&gt;"",$I181="PEAD",$N181="MND",$Q181="EMBOQUE"),0,IF(AND($H181&lt;&gt;"",$I181="PVC",$N181="VCA",$Q181="LINEAR"),($H181/1000)+0.2,IF(AND($H181&lt;&gt;"",$I181="PVC",$N181="MND",$Q181="EMBOQUE"),0,IF(AND($H181&lt;&gt;"",$I181="PEAD",$N181="VCA",$Q181="PREDIAL"),0,0)))))),0)</f>
        <v>0.46</v>
      </c>
      <c r="AK181" s="153" t="n">
        <f aca="false">IF(AA181&lt;&gt;"",AA181,0)</f>
        <v>2.7</v>
      </c>
      <c r="AL181" s="153" t="n">
        <f aca="false">IF(AND($N181="MND",$Q181="EMBOQUE"),$M181,IF(AND($N181="VCA",$Q181="LINEAR"),$M181,IF(AND($N181="VCA",$Q181="PREDIAL"),0,0)))</f>
        <v>102.33</v>
      </c>
      <c r="AM181" s="153" t="n">
        <f aca="false">IF(AND($N181="MND",$Q181="EMBOQUE"),$M181,IF(AND($N181="VCA",$Q181="LINEAR"),$M181,IF(AND($N181="VCA",$Q181="PREDIAL"),0,0)))</f>
        <v>102.33</v>
      </c>
      <c r="AN181" s="153" t="n">
        <f aca="false">ROUND(IF(AND($N181="VCA",$M181&lt;&gt;"",$Q181="LINEAR"),$M181/100,IF(AND($N181="MND",$M181&gt;100,$Q181="EMBOQUE"),$M181/100,0)),0)</f>
        <v>1</v>
      </c>
      <c r="AO181" s="153" t="n">
        <f aca="false">IF(AND($N181="MND",$Q181="EMBOQUE"),$AN181*2*2,IF(AND($N181="VCA",$Q181="LINEAR"),$M181*2,IF(AND($N181="VCA",$Q181="PREDIAL"),0,0)))</f>
        <v>204.66</v>
      </c>
      <c r="AP181" s="153" t="n">
        <f aca="false">IFERROR($M181*$AF181*$AG181,0)</f>
        <v>112.05135</v>
      </c>
      <c r="AQ181" s="153" t="n">
        <f aca="false">IFERROR(IF(AND($N181="VCA",$AH181&gt;0),$M181*$AG181*$AH181,0),0)</f>
        <v>7.67475</v>
      </c>
      <c r="AR181" s="153" t="n">
        <f aca="false">IFERROR(IF(AND($N181="VCA",$AJ181&gt;0),($M181*$AG181*$AJ181)-$AI181,0),0)</f>
        <v>33.2463832720522</v>
      </c>
      <c r="AS181" s="153" t="n">
        <f aca="false">IFERROR(IF(AND($N181="VCA",$AP181&gt;0),$AP181-$AI181-$AQ181-$AR181,0),0)</f>
        <v>69.07275</v>
      </c>
      <c r="AT181" s="153" t="n">
        <f aca="false">IFERROR(IF($N181="VCA",INDEX(APOIO_REDES!$A:$W,MATCH($C181&amp;$I181&amp;$H181&amp;$N181&amp;$O181,APOIO_REDES!$W:$W,0),MATCH(AT$5,APOIO_REDES!$5:$5,0)),0)*$AP181,0)</f>
        <v>1.21915185350667</v>
      </c>
      <c r="AU181" s="153" t="n">
        <f aca="false">IFERROR(IF($N181="VCA",INDEX(APOIO_REDES!$A:$W,MATCH($C181&amp;$I181&amp;$H181&amp;$N181&amp;$O181,APOIO_REDES!$W:$W,0),MATCH(AU$5,APOIO_REDES!$5:$5,0)),0)*$AP181,0)</f>
        <v>0.973581651390771</v>
      </c>
      <c r="AV181" s="153" t="n">
        <f aca="false">IFERROR(IF($N181="VCA",INDEX(APOIO_REDES!$A:$W,MATCH($C181&amp;$I181&amp;$H181&amp;$N181&amp;$O181,APOIO_REDES!$W:$W,0),MATCH(AV$5,APOIO_REDES!$5:$5,0)),0)*$AP181,0)</f>
        <v>0.134736057636855</v>
      </c>
      <c r="AW181" s="153" t="n">
        <f aca="false">IFERROR(IF($N181="VCA",INDEX(APOIO_REDES!$A:$W,MATCH($C181&amp;$I181&amp;$H181&amp;$N181&amp;$O181,APOIO_REDES!$W:$W,0),MATCH(AW$5,APOIO_REDES!$5:$5,0)),0)*$AP181,0)</f>
        <v>76.9129148562267</v>
      </c>
      <c r="AX181" s="153" t="n">
        <f aca="false">IFERROR(IF($N181="VCA",INDEX(APOIO_REDES!$A:$W,MATCH($C181&amp;$I181&amp;$H181&amp;$N181&amp;$O181,APOIO_REDES!$W:$W,0),MATCH(AX$5,APOIO_REDES!$5:$5,0)),0)*$AP181,0)</f>
        <v>10.6445283255167</v>
      </c>
      <c r="AY181" s="153" t="n">
        <f aca="false">IFERROR(IF($N181="VCA",INDEX(APOIO_REDES!$A:$W,MATCH($C181&amp;$I181&amp;$H181&amp;$N181&amp;$O181,APOIO_REDES!$W:$W,0),MATCH(AY$5,APOIO_REDES!$5:$5,0)),0)*$AP181,0)</f>
        <v>19.471621159934</v>
      </c>
      <c r="AZ181" s="153" t="n">
        <f aca="false">IFERROR(IF($N181="VCA",INDEX(APOIO_REDES!$A:$W,MATCH($C181&amp;$I181&amp;$H181&amp;$N181&amp;$O181,APOIO_REDES!$W:$W,0),MATCH(AZ$5,APOIO_REDES!$5:$5,0)),0)*$AP181,0)</f>
        <v>2.69481609578838</v>
      </c>
      <c r="BA181" s="153" t="n">
        <f aca="false">IFERROR(IF(AND($N181="VCA",$Q181="LINEAR"),INDEX(APOIO_REDES!$A:$W,MATCH($C181&amp;$I181&amp;$H181&amp;$N181&amp;$O181,APOIO_REDES!$W:$W,0),MATCH(BA$5,APOIO_REDES!$5:$5,0)),IF(AND($N181="MND",$Q181="EMBOQUE"),INDEX(APOIO_REDES!$A:$W,MATCH($C181&amp;$I181&amp;$H181&amp;$N181&amp;$O181,APOIO_REDES!$W:$W,0),MATCH(BA$5,APOIO_REDES!$5:$5,0)),0))*$M181/10,0)</f>
        <v>8.24753988073892</v>
      </c>
      <c r="BB181" s="153" t="n">
        <f aca="false">IFERROR(IF($N181="VCA",INDEX(APOIO_REDES!$A:$W,MATCH($C181&amp;$I181&amp;$H181&amp;$N181&amp;$O181,APOIO_REDES!$W:$W,0),MATCH(BB$5,APOIO_REDES!$5:$5,0)),0)*($AI181+$AQ181+$AR181),0)</f>
        <v>42.5109801109837</v>
      </c>
      <c r="BC181" s="153" t="n">
        <f aca="false">IFERROR(IF($N181="VCA",INDEX(APOIO_REDES!$A:$W,MATCH($C181&amp;$I181&amp;$H181&amp;$N181&amp;$O181,APOIO_REDES!$W:$W,0),MATCH(BC$5,APOIO_REDES!$5:$5,0)),0)*($AI181+$AQ181+$AR181),0)</f>
        <v>0.467619889016257</v>
      </c>
      <c r="BD181" s="153" t="n">
        <f aca="false">IF(AND($N181="VCA",$AF181&gt;=1.25,$AF181&lt;1.5),$M181*$AF181*2,0)</f>
        <v>298.8036</v>
      </c>
      <c r="BE181" s="153" t="n">
        <f aca="false">IF(AND($N181="VCA",$AF181&gt;=1.5,$AF181&lt;3),$M181*$AF181*2,0)</f>
        <v>0</v>
      </c>
      <c r="BF181" s="153" t="n">
        <f aca="false">IF(AND($N181="VCA",$AF181&gt;=3),$M181*$AF181*2,0)</f>
        <v>0</v>
      </c>
      <c r="BG181" s="153" t="n">
        <f aca="false">($BB181+$BC181)*$AK181</f>
        <v>116.04222</v>
      </c>
      <c r="BH181" s="153" t="n">
        <f aca="false">IF(AND($M181&lt;&gt;"",$N181="VCA",$Q181="LINEAR"),($M181*2)/100,IF(AND($M181&lt;&gt;"",$N181="MND",$Q181="EMBOQUE"),($AN181*2)/100,0))</f>
        <v>2.0466</v>
      </c>
      <c r="BI181" s="153" t="n">
        <f aca="false">IF(AND($M181&lt;&gt;"",$N181="VCA",$Q181="LINEAR"),$M181,IF(AND($M181&lt;&gt;"",$N181="MND",$Q181="EMBOQUE"),$AN181*2,0))</f>
        <v>102.33</v>
      </c>
      <c r="BJ181" s="153" t="n">
        <f aca="false">IF(AND($M181&lt;&gt;"",$N181="VCA",$Q181="LINEAR"),($M181*6.8)/100,IF(AND($M181&lt;&gt;"",$N181="MND",$Q181="EMBOQUE"),($AN181*2*6.8)/100,0))</f>
        <v>6.95844</v>
      </c>
      <c r="BK181" s="153" t="n">
        <f aca="false">IF(AND($M181&lt;&gt;"",$N181="VCA",$Q181="LINEAR"),($M181*2.5)/50,IF(AND($M181&lt;&gt;"",$N181="MND",$Q181="EMBOQUE"),($AN181*2*2.5)/50,0))</f>
        <v>5.1165</v>
      </c>
      <c r="BL181" s="157" t="str">
        <f aca="false">K181&amp;J181</f>
        <v>Zona02REDES</v>
      </c>
      <c r="BM181" s="152" t="s">
        <v>2037</v>
      </c>
      <c r="BN181" s="152" t="s">
        <v>1560</v>
      </c>
      <c r="BO181" s="152" t="s">
        <v>1982</v>
      </c>
      <c r="BP181" s="152" t="s">
        <v>2180</v>
      </c>
      <c r="BQ181" s="152" t="s">
        <v>2075</v>
      </c>
      <c r="BR181" s="152" t="s">
        <v>2221</v>
      </c>
      <c r="BS181" s="152" t="n">
        <v>203112.348</v>
      </c>
      <c r="BT181" s="152" t="n">
        <v>8237965.761</v>
      </c>
      <c r="BU181" s="152" t="n">
        <v>203172.385</v>
      </c>
      <c r="BV181" s="152" t="n">
        <v>8238048.583</v>
      </c>
      <c r="BW181" s="152" t="n">
        <v>-15.9194182</v>
      </c>
      <c r="BX181" s="152" t="n">
        <v>-47.772551</v>
      </c>
      <c r="BY181" s="152" t="s">
        <v>2180</v>
      </c>
    </row>
    <row r="182" customFormat="false" ht="13.8" hidden="false" customHeight="false" outlineLevel="0" collapsed="false">
      <c r="A182" s="149" t="n">
        <f aca="false">IF(C182&lt;&gt;"",ROW(A177),"")</f>
        <v>177</v>
      </c>
      <c r="B182" s="150" t="str">
        <f aca="false">HYPERLINK("https://www.google.com/maps/dir/-15.917302,-47.760003/-15.9190110,-47.7722148/data=!4m3!4m2!3e0!5i0")</f>
        <v>https://www.google.com/maps/dir/-15.917302,-47.760003/-15.9190110,-47.7722148/data=!4m3!4m2!3e0!5i0</v>
      </c>
      <c r="C182" s="151" t="s">
        <v>117</v>
      </c>
      <c r="D182" s="152" t="s">
        <v>112</v>
      </c>
      <c r="E182" s="152" t="s">
        <v>113</v>
      </c>
      <c r="F182" s="152" t="s">
        <v>117</v>
      </c>
      <c r="G182" s="152" t="s">
        <v>114</v>
      </c>
      <c r="H182" s="152" t="n">
        <v>225</v>
      </c>
      <c r="I182" s="152" t="s">
        <v>115</v>
      </c>
      <c r="J182" s="152" t="s">
        <v>6</v>
      </c>
      <c r="K182" s="152" t="s">
        <v>2033</v>
      </c>
      <c r="L182" s="152" t="s">
        <v>120</v>
      </c>
      <c r="M182" s="153" t="n">
        <f aca="false">230.28</f>
        <v>230.28</v>
      </c>
      <c r="N182" s="152" t="s">
        <v>1548</v>
      </c>
      <c r="O182" s="152" t="s">
        <v>1549</v>
      </c>
      <c r="P182" s="152" t="s">
        <v>1550</v>
      </c>
      <c r="Q182" s="152" t="s">
        <v>1551</v>
      </c>
      <c r="R182" s="154" t="s">
        <v>2222</v>
      </c>
      <c r="S182" s="154" t="s">
        <v>1593</v>
      </c>
      <c r="T182" s="155" t="s">
        <v>1979</v>
      </c>
      <c r="U182" s="152" t="str">
        <f aca="false">RIGHT(T182,7)</f>
        <v>006/037</v>
      </c>
      <c r="V182" s="152" t="s">
        <v>1555</v>
      </c>
      <c r="W182" s="156" t="n">
        <v>45882</v>
      </c>
      <c r="X182" s="152" t="s">
        <v>1594</v>
      </c>
      <c r="Y182" s="152" t="s">
        <v>2035</v>
      </c>
      <c r="Z182" s="152" t="s">
        <v>1557</v>
      </c>
      <c r="AA182" s="153" t="n">
        <v>2.6</v>
      </c>
      <c r="AB182" s="151" t="s">
        <v>2223</v>
      </c>
      <c r="AC182" s="151" t="s">
        <v>508</v>
      </c>
      <c r="AD182" s="151" t="str">
        <f aca="false">CONCATENATE($C182,$I182,$H182,$N182,$J182,$K182)</f>
        <v>TUBO PEADPEAD225VCAREDESZona02</v>
      </c>
      <c r="AE182" s="153" t="n">
        <f aca="false">IFERROR(INDEX(APOIO_REDES!$A:$W,MATCH($C182&amp;$I182&amp;$H182&amp;$N182&amp;$O182,APOIO_REDES!$W:$W,0),MATCH(AE$5,APOIO_REDES!$5:$5,0)),0)</f>
        <v>1.2</v>
      </c>
      <c r="AF182" s="153" t="n">
        <f aca="false">IFERROR(INDEX(APOIO_REDES!$A:$W,MATCH($C182&amp;$I182&amp;$H182&amp;$N182&amp;$O182,APOIO_REDES!$W:$W,0),MATCH(AF$5,APOIO_REDES!$5:$5,0)),0)</f>
        <v>1.525</v>
      </c>
      <c r="AG182" s="153" t="n">
        <f aca="false">IFERROR(INDEX(APOIO_REDES!$A:$W,MATCH($C182&amp;$I182&amp;$H182&amp;$N182&amp;$O182,APOIO_REDES!$W:$W,0),MATCH(AG$5,APOIO_REDES!$5:$5,0)),0)</f>
        <v>0.8</v>
      </c>
      <c r="AH182" s="153" t="n">
        <f aca="false">IFERROR(INDEX(APOIO_REDES!$A:$W,MATCH($C182&amp;$I182&amp;$H182&amp;$N182&amp;$O182,APOIO_REDES!$W:$W,0),MATCH(AH$5,APOIO_REDES!$5:$5,0)),0)</f>
        <v>0.1</v>
      </c>
      <c r="AI182" s="153" t="n">
        <f aca="false">IFERROR(IF($H182&lt;&gt;"",(((($H182/1000)/2)^2)*PI()*$M182),0),0)</f>
        <v>9.1561128840252</v>
      </c>
      <c r="AJ182" s="153" t="n">
        <f aca="false">IFERROR(IF(AND($H182&lt;&gt;"",$I182="FoFo",OR($N182="MND",$N182="VCA"),$Q182="LINEAR"),0,IF(AND($H182&lt;&gt;"",$I182="PEAD",$N182="VCA",$Q182="LINEAR"),($H182/1000)+0.3,IF(AND($H182&lt;&gt;"",$I182="PEAD",$N182="MND",$Q182="EMBOQUE"),0,IF(AND($H182&lt;&gt;"",$I182="PVC",$N182="VCA",$Q182="LINEAR"),($H182/1000)+0.2,IF(AND($H182&lt;&gt;"",$I182="PVC",$N182="MND",$Q182="EMBOQUE"),0,IF(AND($H182&lt;&gt;"",$I182="PEAD",$N182="VCA",$Q182="PREDIAL"),0,0)))))),0)</f>
        <v>0.525</v>
      </c>
      <c r="AK182" s="153" t="n">
        <f aca="false">IF(AA182&lt;&gt;"",AA182,0)</f>
        <v>2.6</v>
      </c>
      <c r="AL182" s="153" t="n">
        <f aca="false">IF(AND($N182="MND",$Q182="EMBOQUE"),$M182,IF(AND($N182="VCA",$Q182="LINEAR"),$M182,IF(AND($N182="VCA",$Q182="PREDIAL"),0,0)))</f>
        <v>230.28</v>
      </c>
      <c r="AM182" s="153" t="n">
        <f aca="false">IF(AND($N182="MND",$Q182="EMBOQUE"),$M182,IF(AND($N182="VCA",$Q182="LINEAR"),$M182,IF(AND($N182="VCA",$Q182="PREDIAL"),0,0)))</f>
        <v>230.28</v>
      </c>
      <c r="AN182" s="153" t="n">
        <f aca="false">ROUND(IF(AND($N182="VCA",$M182&lt;&gt;"",$Q182="LINEAR"),$M182/100,IF(AND($N182="MND",$M182&gt;100,$Q182="EMBOQUE"),$M182/100,0)),0)</f>
        <v>2</v>
      </c>
      <c r="AO182" s="153" t="n">
        <f aca="false">IF(AND($N182="MND",$Q182="EMBOQUE"),$AN182*2*2,IF(AND($N182="VCA",$Q182="LINEAR"),$M182*2,IF(AND($N182="VCA",$Q182="PREDIAL"),0,0)))</f>
        <v>460.56</v>
      </c>
      <c r="AP182" s="153" t="n">
        <f aca="false">IFERROR($M182*$AF182*$AG182,0)</f>
        <v>280.9416</v>
      </c>
      <c r="AQ182" s="153" t="n">
        <f aca="false">IFERROR(IF(AND($N182="VCA",$AH182&gt;0),$M182*$AG182*$AH182,0),0)</f>
        <v>18.4224</v>
      </c>
      <c r="AR182" s="153" t="n">
        <f aca="false">IFERROR(IF(AND($N182="VCA",$AJ182&gt;0),($M182*$AG182*$AJ182)-$AI182,0),0)</f>
        <v>87.5614871159748</v>
      </c>
      <c r="AS182" s="153" t="n">
        <f aca="false">IFERROR(IF(AND($N182="VCA",$AP182&gt;0),$AP182-$AI182-$AQ182-$AR182,0),0)</f>
        <v>165.8016</v>
      </c>
      <c r="AT182" s="153" t="n">
        <f aca="false">IFERROR(IF($N182="VCA",INDEX(APOIO_REDES!$A:$W,MATCH($C182&amp;$I182&amp;$H182&amp;$N182&amp;$O182,APOIO_REDES!$W:$W,0),MATCH(AT$5,APOIO_REDES!$5:$5,0)),0)*$AP182,0)</f>
        <v>3.05672776246899</v>
      </c>
      <c r="AU182" s="153" t="n">
        <f aca="false">IFERROR(IF($N182="VCA",INDEX(APOIO_REDES!$A:$W,MATCH($C182&amp;$I182&amp;$H182&amp;$N182&amp;$O182,APOIO_REDES!$W:$W,0),MATCH(AU$5,APOIO_REDES!$5:$5,0)),0)*$AP182,0)</f>
        <v>2.44102000442088</v>
      </c>
      <c r="AV182" s="153" t="n">
        <f aca="false">IFERROR(IF($N182="VCA",INDEX(APOIO_REDES!$A:$W,MATCH($C182&amp;$I182&amp;$H182&amp;$N182&amp;$O182,APOIO_REDES!$W:$W,0),MATCH(AV$5,APOIO_REDES!$5:$5,0)),0)*$AP182,0)</f>
        <v>0.33781800585348</v>
      </c>
      <c r="AW182" s="153" t="n">
        <f aca="false">IFERROR(IF($N182="VCA",INDEX(APOIO_REDES!$A:$W,MATCH($C182&amp;$I182&amp;$H182&amp;$N182&amp;$O182,APOIO_REDES!$W:$W,0),MATCH(AW$5,APOIO_REDES!$5:$5,0)),0)*$AP182,0)</f>
        <v>192.840491081741</v>
      </c>
      <c r="AX182" s="153" t="n">
        <f aca="false">IFERROR(IF($N182="VCA",INDEX(APOIO_REDES!$A:$W,MATCH($C182&amp;$I182&amp;$H182&amp;$N182&amp;$O182,APOIO_REDES!$W:$W,0),MATCH(AX$5,APOIO_REDES!$5:$5,0)),0)*$AP182,0)</f>
        <v>26.6885746491762</v>
      </c>
      <c r="AY182" s="153" t="n">
        <f aca="false">IFERROR(IF($N182="VCA",INDEX(APOIO_REDES!$A:$W,MATCH($C182&amp;$I182&amp;$H182&amp;$N182&amp;$O182,APOIO_REDES!$W:$W,0),MATCH(AY$5,APOIO_REDES!$5:$5,0)),0)*$AP182,0)</f>
        <v>48.8203703325816</v>
      </c>
      <c r="AZ182" s="153" t="n">
        <f aca="false">IFERROR(IF($N182="VCA",INDEX(APOIO_REDES!$A:$W,MATCH($C182&amp;$I182&amp;$H182&amp;$N182&amp;$O182,APOIO_REDES!$W:$W,0),MATCH(AZ$5,APOIO_REDES!$5:$5,0)),0)*$AP182,0)</f>
        <v>6.75659816375742</v>
      </c>
      <c r="BA182" s="153" t="n">
        <f aca="false">IFERROR(IF(AND($N182="VCA",$Q182="LINEAR"),INDEX(APOIO_REDES!$A:$W,MATCH($C182&amp;$I182&amp;$H182&amp;$N182&amp;$O182,APOIO_REDES!$W:$W,0),MATCH(BA$5,APOIO_REDES!$5:$5,0)),IF(AND($N182="MND",$Q182="EMBOQUE"),INDEX(APOIO_REDES!$A:$W,MATCH($C182&amp;$I182&amp;$H182&amp;$N182&amp;$O182,APOIO_REDES!$W:$W,0),MATCH(BA$5,APOIO_REDES!$5:$5,0)),0))*$M182/10,0)</f>
        <v>18.5599871370718</v>
      </c>
      <c r="BB182" s="153" t="n">
        <f aca="false">IFERROR(IF($N182="VCA",INDEX(APOIO_REDES!$A:$W,MATCH($C182&amp;$I182&amp;$H182&amp;$N182&amp;$O182,APOIO_REDES!$W:$W,0),MATCH(BB$5,APOIO_REDES!$5:$5,0)),0)*($AI182+$AQ182+$AR182),0)</f>
        <v>113.8872427203</v>
      </c>
      <c r="BC182" s="153" t="n">
        <f aca="false">IFERROR(IF($N182="VCA",INDEX(APOIO_REDES!$A:$W,MATCH($C182&amp;$I182&amp;$H182&amp;$N182&amp;$O182,APOIO_REDES!$W:$W,0),MATCH(BC$5,APOIO_REDES!$5:$5,0)),0)*($AI182+$AQ182+$AR182),0)</f>
        <v>1.25275727970041</v>
      </c>
      <c r="BD182" s="153" t="n">
        <f aca="false">IF(AND($N182="VCA",$AF182&gt;=1.25,$AF182&lt;1.5),$M182*$AF182*2,0)</f>
        <v>0</v>
      </c>
      <c r="BE182" s="153" t="n">
        <f aca="false">IF(AND($N182="VCA",$AF182&gt;=1.5,$AF182&lt;3),$M182*$AF182*2,0)</f>
        <v>702.354</v>
      </c>
      <c r="BF182" s="153" t="n">
        <f aca="false">IF(AND($N182="VCA",$AF182&gt;=3),$M182*$AF182*2,0)</f>
        <v>0</v>
      </c>
      <c r="BG182" s="153" t="n">
        <f aca="false">($BB182+$BC182)*$AK182</f>
        <v>299.364</v>
      </c>
      <c r="BH182" s="153" t="n">
        <f aca="false">IF(AND($M182&lt;&gt;"",$N182="VCA",$Q182="LINEAR"),($M182*2)/100,IF(AND($M182&lt;&gt;"",$N182="MND",$Q182="EMBOQUE"),($AN182*2)/100,0))</f>
        <v>4.6056</v>
      </c>
      <c r="BI182" s="153" t="n">
        <f aca="false">IF(AND($M182&lt;&gt;"",$N182="VCA",$Q182="LINEAR"),$M182,IF(AND($M182&lt;&gt;"",$N182="MND",$Q182="EMBOQUE"),$AN182*2,0))</f>
        <v>230.28</v>
      </c>
      <c r="BJ182" s="153" t="n">
        <f aca="false">IF(AND($M182&lt;&gt;"",$N182="VCA",$Q182="LINEAR"),($M182*6.8)/100,IF(AND($M182&lt;&gt;"",$N182="MND",$Q182="EMBOQUE"),($AN182*2*6.8)/100,0))</f>
        <v>15.65904</v>
      </c>
      <c r="BK182" s="153" t="n">
        <f aca="false">IF(AND($M182&lt;&gt;"",$N182="VCA",$Q182="LINEAR"),($M182*2.5)/50,IF(AND($M182&lt;&gt;"",$N182="MND",$Q182="EMBOQUE"),($AN182*2*2.5)/50,0))</f>
        <v>11.514</v>
      </c>
      <c r="BL182" s="157" t="str">
        <f aca="false">K182&amp;J182</f>
        <v>Zona02REDES</v>
      </c>
      <c r="BM182" s="152" t="s">
        <v>2037</v>
      </c>
      <c r="BN182" s="152" t="s">
        <v>1560</v>
      </c>
      <c r="BO182" s="152" t="s">
        <v>1982</v>
      </c>
      <c r="BP182" s="152" t="s">
        <v>2217</v>
      </c>
      <c r="BQ182" s="152" t="s">
        <v>2032</v>
      </c>
      <c r="BR182" s="152" t="s">
        <v>2218</v>
      </c>
      <c r="BS182" s="152" t="n">
        <v>203178.138</v>
      </c>
      <c r="BT182" s="152" t="n">
        <v>8238052.504</v>
      </c>
      <c r="BU182" s="152" t="n">
        <v>203033.978</v>
      </c>
      <c r="BV182" s="152" t="n">
        <v>8237873.778</v>
      </c>
      <c r="BW182" s="152" t="n">
        <v>-15.9198453</v>
      </c>
      <c r="BX182" s="152" t="n">
        <v>-47.772856</v>
      </c>
      <c r="BY182" s="152" t="s">
        <v>2217</v>
      </c>
    </row>
    <row r="183" customFormat="false" ht="13.8" hidden="false" customHeight="false" outlineLevel="0" collapsed="false">
      <c r="A183" s="149" t="n">
        <f aca="false">IF(C183&lt;&gt;"",ROW(A178),"")</f>
        <v>178</v>
      </c>
      <c r="B183" s="150" t="str">
        <f aca="false">HYPERLINK("https://www.google.com/maps/dir/-15.917302,-47.760003/-15.9213367,-47.7740611/data=!4m3!4m2!3e0!5i1")</f>
        <v>https://www.google.com/maps/dir/-15.917302,-47.760003/-15.9213367,-47.7740611/data=!4m3!4m2!3e0!5i1</v>
      </c>
      <c r="C183" s="151" t="s">
        <v>117</v>
      </c>
      <c r="D183" s="152" t="s">
        <v>112</v>
      </c>
      <c r="E183" s="152" t="s">
        <v>113</v>
      </c>
      <c r="F183" s="152" t="s">
        <v>117</v>
      </c>
      <c r="G183" s="152" t="s">
        <v>114</v>
      </c>
      <c r="H183" s="152" t="n">
        <v>280</v>
      </c>
      <c r="I183" s="152" t="s">
        <v>115</v>
      </c>
      <c r="J183" s="152" t="s">
        <v>6</v>
      </c>
      <c r="K183" s="152" t="s">
        <v>2224</v>
      </c>
      <c r="L183" s="152" t="s">
        <v>120</v>
      </c>
      <c r="M183" s="153" t="n">
        <f aca="false">157.36</f>
        <v>157.36</v>
      </c>
      <c r="N183" s="152" t="s">
        <v>1548</v>
      </c>
      <c r="O183" s="152" t="s">
        <v>1549</v>
      </c>
      <c r="P183" s="152" t="s">
        <v>1550</v>
      </c>
      <c r="Q183" s="152" t="s">
        <v>1551</v>
      </c>
      <c r="R183" s="154" t="s">
        <v>2225</v>
      </c>
      <c r="S183" s="154" t="s">
        <v>2226</v>
      </c>
      <c r="T183" s="155" t="s">
        <v>2227</v>
      </c>
      <c r="U183" s="152" t="str">
        <f aca="false">RIGHT(T183,7)</f>
        <v>008/037</v>
      </c>
      <c r="V183" s="152" t="s">
        <v>1555</v>
      </c>
      <c r="W183" s="156" t="n">
        <v>45882</v>
      </c>
      <c r="X183" s="152" t="s">
        <v>1594</v>
      </c>
      <c r="Y183" s="152"/>
      <c r="Z183" s="152" t="s">
        <v>1557</v>
      </c>
      <c r="AA183" s="153" t="n">
        <v>3.6</v>
      </c>
      <c r="AB183" s="151" t="s">
        <v>2228</v>
      </c>
      <c r="AC183" s="151" t="s">
        <v>499</v>
      </c>
      <c r="AD183" s="151" t="str">
        <f aca="false">CONCATENATE($C183,$I183,$H183,$N183,$J183,$K183)</f>
        <v>TUBO PEADPEAD280VCAREDESADUTORA</v>
      </c>
      <c r="AE183" s="153" t="n">
        <f aca="false">IFERROR(INDEX(APOIO_REDES!$A:$W,MATCH($C183&amp;$I183&amp;$H183&amp;$N183&amp;$O183,APOIO_REDES!$W:$W,0),MATCH(AE$5,APOIO_REDES!$5:$5,0)),0)</f>
        <v>1.2</v>
      </c>
      <c r="AF183" s="153" t="n">
        <f aca="false">IFERROR(INDEX(APOIO_REDES!$A:$W,MATCH($C183&amp;$I183&amp;$H183&amp;$N183&amp;$O183,APOIO_REDES!$W:$W,0),MATCH(AF$5,APOIO_REDES!$5:$5,0)),0)</f>
        <v>1.58</v>
      </c>
      <c r="AG183" s="153" t="n">
        <f aca="false">IFERROR(INDEX(APOIO_REDES!$A:$W,MATCH($C183&amp;$I183&amp;$H183&amp;$N183&amp;$O183,APOIO_REDES!$W:$W,0),MATCH(AG$5,APOIO_REDES!$5:$5,0)),0)</f>
        <v>0.9</v>
      </c>
      <c r="AH183" s="153" t="n">
        <f aca="false">IFERROR(INDEX(APOIO_REDES!$A:$W,MATCH($C183&amp;$I183&amp;$H183&amp;$N183&amp;$O183,APOIO_REDES!$W:$W,0),MATCH(AH$5,APOIO_REDES!$5:$5,0)),0)</f>
        <v>0.1</v>
      </c>
      <c r="AI183" s="153" t="n">
        <f aca="false">IFERROR(IF($H183&lt;&gt;"",(((($H183/1000)/2)^2)*PI()*$M183),0),0)</f>
        <v>9.68947599139024</v>
      </c>
      <c r="AJ183" s="153" t="n">
        <f aca="false">IFERROR(IF(AND($H183&lt;&gt;"",$I183="FoFo",OR($N183="MND",$N183="VCA"),$Q183="LINEAR"),0,IF(AND($H183&lt;&gt;"",$I183="PEAD",$N183="VCA",$Q183="LINEAR"),($H183/1000)+0.3,IF(AND($H183&lt;&gt;"",$I183="PEAD",$N183="MND",$Q183="EMBOQUE"),0,IF(AND($H183&lt;&gt;"",$I183="PVC",$N183="VCA",$Q183="LINEAR"),($H183/1000)+0.2,IF(AND($H183&lt;&gt;"",$I183="PVC",$N183="MND",$Q183="EMBOQUE"),0,IF(AND($H183&lt;&gt;"",$I183="PEAD",$N183="VCA",$Q183="PREDIAL"),0,0)))))),0)</f>
        <v>0.58</v>
      </c>
      <c r="AK183" s="153" t="n">
        <f aca="false">IF(AA183&lt;&gt;"",AA183,0)</f>
        <v>3.6</v>
      </c>
      <c r="AL183" s="153" t="n">
        <f aca="false">IF(AND($N183="MND",$Q183="EMBOQUE"),$M183,IF(AND($N183="VCA",$Q183="LINEAR"),$M183,IF(AND($N183="VCA",$Q183="PREDIAL"),0,0)))</f>
        <v>157.36</v>
      </c>
      <c r="AM183" s="153" t="n">
        <f aca="false">IF(AND($N183="MND",$Q183="EMBOQUE"),$M183,IF(AND($N183="VCA",$Q183="LINEAR"),$M183,IF(AND($N183="VCA",$Q183="PREDIAL"),0,0)))</f>
        <v>157.36</v>
      </c>
      <c r="AN183" s="153" t="n">
        <f aca="false">ROUND(IF(AND($N183="VCA",$M183&lt;&gt;"",$Q183="LINEAR"),$M183/100,IF(AND($N183="MND",$M183&gt;100,$Q183="EMBOQUE"),$M183/100,0)),0)</f>
        <v>2</v>
      </c>
      <c r="AO183" s="153" t="n">
        <f aca="false">IF(AND($N183="MND",$Q183="EMBOQUE"),$AN183*2*2,IF(AND($N183="VCA",$Q183="LINEAR"),$M183*2,IF(AND($N183="VCA",$Q183="PREDIAL"),0,0)))</f>
        <v>314.72</v>
      </c>
      <c r="AP183" s="153" t="n">
        <f aca="false">IFERROR($M183*$AF183*$AG183,0)</f>
        <v>223.76592</v>
      </c>
      <c r="AQ183" s="153" t="n">
        <f aca="false">IFERROR(IF(AND($N183="VCA",$AH183&gt;0),$M183*$AG183*$AH183,0),0)</f>
        <v>14.1624</v>
      </c>
      <c r="AR183" s="153" t="n">
        <f aca="false">IFERROR(IF(AND($N183="VCA",$AJ183&gt;0),($M183*$AG183*$AJ183)-$AI183,0),0)</f>
        <v>72.4524440086098</v>
      </c>
      <c r="AS183" s="153" t="n">
        <f aca="false">IFERROR(IF(AND($N183="VCA",$AP183&gt;0),$AP183-$AI183-$AQ183-$AR183,0),0)</f>
        <v>127.4616</v>
      </c>
      <c r="AT183" s="153" t="n">
        <f aca="false">IFERROR(IF($N183="VCA",INDEX(APOIO_REDES!$A:$W,MATCH($C183&amp;$I183&amp;$H183&amp;$N183&amp;$O183,APOIO_REDES!$W:$W,0),MATCH(AT$5,APOIO_REDES!$5:$5,0)),0)*$AP183,0)</f>
        <v>2.43463944093155</v>
      </c>
      <c r="AU183" s="153" t="n">
        <f aca="false">IFERROR(IF($N183="VCA",INDEX(APOIO_REDES!$A:$W,MATCH($C183&amp;$I183&amp;$H183&amp;$N183&amp;$O183,APOIO_REDES!$W:$W,0),MATCH(AU$5,APOIO_REDES!$5:$5,0)),0)*$AP183,0)</f>
        <v>1.94423711912953</v>
      </c>
      <c r="AV183" s="153" t="n">
        <f aca="false">IFERROR(IF($N183="VCA",INDEX(APOIO_REDES!$A:$W,MATCH($C183&amp;$I183&amp;$H183&amp;$N183&amp;$O183,APOIO_REDES!$W:$W,0),MATCH(AV$5,APOIO_REDES!$5:$5,0)),0)*$AP183,0)</f>
        <v>0.269067154427715</v>
      </c>
      <c r="AW183" s="153" t="n">
        <f aca="false">IFERROR(IF($N183="VCA",INDEX(APOIO_REDES!$A:$W,MATCH($C183&amp;$I183&amp;$H183&amp;$N183&amp;$O183,APOIO_REDES!$W:$W,0),MATCH(AW$5,APOIO_REDES!$5:$5,0)),0)*$AP183,0)</f>
        <v>153.594661310955</v>
      </c>
      <c r="AX183" s="153" t="n">
        <f aca="false">IFERROR(IF($N183="VCA",INDEX(APOIO_REDES!$A:$W,MATCH($C183&amp;$I183&amp;$H183&amp;$N183&amp;$O183,APOIO_REDES!$W:$W,0),MATCH(AX$5,APOIO_REDES!$5:$5,0)),0)*$AP183,0)</f>
        <v>21.2570636027615</v>
      </c>
      <c r="AY183" s="153" t="n">
        <f aca="false">IFERROR(IF($N183="VCA",INDEX(APOIO_REDES!$A:$W,MATCH($C183&amp;$I183&amp;$H183&amp;$N183&amp;$O183,APOIO_REDES!$W:$W,0),MATCH(AY$5,APOIO_REDES!$5:$5,0)),0)*$AP183,0)</f>
        <v>38.8847186824978</v>
      </c>
      <c r="AZ183" s="153" t="n">
        <f aca="false">IFERROR(IF($N183="VCA",INDEX(APOIO_REDES!$A:$W,MATCH($C183&amp;$I183&amp;$H183&amp;$N183&amp;$O183,APOIO_REDES!$W:$W,0),MATCH(AZ$5,APOIO_REDES!$5:$5,0)),0)*$AP183,0)</f>
        <v>5.38153268929731</v>
      </c>
      <c r="BA183" s="153" t="n">
        <f aca="false">IFERROR(IF(AND($N183="VCA",$Q183="LINEAR"),INDEX(APOIO_REDES!$A:$W,MATCH($C183&amp;$I183&amp;$H183&amp;$N183&amp;$O183,APOIO_REDES!$W:$W,0),MATCH(BA$5,APOIO_REDES!$5:$5,0)),IF(AND($N183="MND",$Q183="EMBOQUE"),INDEX(APOIO_REDES!$A:$W,MATCH($C183&amp;$I183&amp;$H183&amp;$N183&amp;$O183,APOIO_REDES!$W:$W,0),MATCH(BA$5,APOIO_REDES!$5:$5,0)),0))*$M183/10,0)</f>
        <v>12.6828190719542</v>
      </c>
      <c r="BB183" s="153" t="n">
        <f aca="false">IFERROR(IF($N183="VCA",INDEX(APOIO_REDES!$A:$W,MATCH($C183&amp;$I183&amp;$H183&amp;$N183&amp;$O183,APOIO_REDES!$W:$W,0),MATCH(BB$5,APOIO_REDES!$5:$5,0)),0)*($AI183+$AQ183+$AR183),0)</f>
        <v>95.2565004937763</v>
      </c>
      <c r="BC183" s="153" t="n">
        <f aca="false">IFERROR(IF($N183="VCA",INDEX(APOIO_REDES!$A:$W,MATCH($C183&amp;$I183&amp;$H183&amp;$N183&amp;$O183,APOIO_REDES!$W:$W,0),MATCH(BC$5,APOIO_REDES!$5:$5,0)),0)*($AI183+$AQ183+$AR183),0)</f>
        <v>1.04781950622371</v>
      </c>
      <c r="BD183" s="153" t="n">
        <f aca="false">IF(AND($N183="VCA",$AF183&gt;=1.25,$AF183&lt;1.5),$M183*$AF183*2,0)</f>
        <v>0</v>
      </c>
      <c r="BE183" s="153" t="n">
        <f aca="false">IF(AND($N183="VCA",$AF183&gt;=1.5,$AF183&lt;3),$M183*$AF183*2,0)</f>
        <v>497.2576</v>
      </c>
      <c r="BF183" s="153" t="n">
        <f aca="false">IF(AND($N183="VCA",$AF183&gt;=3),$M183*$AF183*2,0)</f>
        <v>0</v>
      </c>
      <c r="BG183" s="153" t="n">
        <f aca="false">($BB183+$BC183)*$AK183</f>
        <v>346.695552</v>
      </c>
      <c r="BH183" s="153" t="n">
        <f aca="false">IF(AND($M183&lt;&gt;"",$N183="VCA",$Q183="LINEAR"),($M183*2)/100,IF(AND($M183&lt;&gt;"",$N183="MND",$Q183="EMBOQUE"),($AN183*2)/100,0))</f>
        <v>3.1472</v>
      </c>
      <c r="BI183" s="153" t="n">
        <f aca="false">IF(AND($M183&lt;&gt;"",$N183="VCA",$Q183="LINEAR"),$M183,IF(AND($M183&lt;&gt;"",$N183="MND",$Q183="EMBOQUE"),$AN183*2,0))</f>
        <v>157.36</v>
      </c>
      <c r="BJ183" s="153" t="n">
        <f aca="false">IF(AND($M183&lt;&gt;"",$N183="VCA",$Q183="LINEAR"),($M183*6.8)/100,IF(AND($M183&lt;&gt;"",$N183="MND",$Q183="EMBOQUE"),($AN183*2*6.8)/100,0))</f>
        <v>10.70048</v>
      </c>
      <c r="BK183" s="153" t="n">
        <f aca="false">IF(AND($M183&lt;&gt;"",$N183="VCA",$Q183="LINEAR"),($M183*2.5)/50,IF(AND($M183&lt;&gt;"",$N183="MND",$Q183="EMBOQUE"),($AN183*2*2.5)/50,0))</f>
        <v>7.868</v>
      </c>
      <c r="BL183" s="157" t="str">
        <f aca="false">K183&amp;J183</f>
        <v>ADUTORAREDES</v>
      </c>
      <c r="BM183" s="152" t="s">
        <v>2229</v>
      </c>
      <c r="BN183" s="152" t="s">
        <v>2230</v>
      </c>
      <c r="BO183" s="152" t="s">
        <v>2231</v>
      </c>
      <c r="BP183" s="152" t="s">
        <v>2232</v>
      </c>
      <c r="BQ183" s="152" t="s">
        <v>2233</v>
      </c>
      <c r="BR183" s="152" t="s">
        <v>2234</v>
      </c>
      <c r="BS183" s="152" t="n">
        <v>202903.521</v>
      </c>
      <c r="BT183" s="152" t="n">
        <v>8237657.488</v>
      </c>
      <c r="BU183" s="152" t="n">
        <v>202983.757</v>
      </c>
      <c r="BV183" s="152" t="n">
        <v>8237792.369</v>
      </c>
      <c r="BW183" s="152" t="n">
        <v>-15.9219461</v>
      </c>
      <c r="BX183" s="152" t="n">
        <v>-47.7744335</v>
      </c>
      <c r="BY183" s="152" t="s">
        <v>2235</v>
      </c>
    </row>
    <row r="184" customFormat="false" ht="13.8" hidden="false" customHeight="false" outlineLevel="0" collapsed="false">
      <c r="A184" s="149" t="n">
        <f aca="false">IF(C184&lt;&gt;"",ROW(A179),"")</f>
        <v>179</v>
      </c>
      <c r="B184" s="150" t="str">
        <f aca="false">HYPERLINK("https://www.google.com/maps/dir/-15.917302,-47.760003/-15.9226056,-47.7748878/data=!4m3!4m2!3e0!5i1")</f>
        <v>https://www.google.com/maps/dir/-15.917302,-47.760003/-15.9226056,-47.7748878/data=!4m3!4m2!3e0!5i1</v>
      </c>
      <c r="C184" s="151" t="s">
        <v>117</v>
      </c>
      <c r="D184" s="152" t="s">
        <v>112</v>
      </c>
      <c r="E184" s="152" t="s">
        <v>113</v>
      </c>
      <c r="F184" s="152" t="s">
        <v>117</v>
      </c>
      <c r="G184" s="152" t="s">
        <v>114</v>
      </c>
      <c r="H184" s="152" t="n">
        <v>280</v>
      </c>
      <c r="I184" s="152" t="s">
        <v>115</v>
      </c>
      <c r="J184" s="152" t="s">
        <v>6</v>
      </c>
      <c r="K184" s="152" t="s">
        <v>2224</v>
      </c>
      <c r="L184" s="152" t="s">
        <v>120</v>
      </c>
      <c r="M184" s="153" t="n">
        <f aca="false">9.11</f>
        <v>9.11</v>
      </c>
      <c r="N184" s="152" t="s">
        <v>1548</v>
      </c>
      <c r="O184" s="152" t="s">
        <v>1549</v>
      </c>
      <c r="P184" s="152" t="s">
        <v>1550</v>
      </c>
      <c r="Q184" s="152" t="s">
        <v>1551</v>
      </c>
      <c r="R184" s="154" t="s">
        <v>2236</v>
      </c>
      <c r="S184" s="154" t="s">
        <v>2226</v>
      </c>
      <c r="T184" s="155" t="s">
        <v>2227</v>
      </c>
      <c r="U184" s="152" t="str">
        <f aca="false">RIGHT(T184,7)</f>
        <v>008/037</v>
      </c>
      <c r="V184" s="152" t="s">
        <v>1555</v>
      </c>
      <c r="W184" s="156" t="n">
        <v>45882</v>
      </c>
      <c r="X184" s="152" t="s">
        <v>1594</v>
      </c>
      <c r="Y184" s="152" t="s">
        <v>2237</v>
      </c>
      <c r="Z184" s="152" t="s">
        <v>1557</v>
      </c>
      <c r="AA184" s="153" t="n">
        <v>3.8</v>
      </c>
      <c r="AB184" s="151" t="s">
        <v>2238</v>
      </c>
      <c r="AC184" s="151" t="s">
        <v>499</v>
      </c>
      <c r="AD184" s="151" t="str">
        <f aca="false">CONCATENATE($C184,$I184,$H184,$N184,$J184,$K184)</f>
        <v>TUBO PEADPEAD280VCAREDESADUTORA</v>
      </c>
      <c r="AE184" s="153" t="n">
        <f aca="false">IFERROR(INDEX(APOIO_REDES!$A:$W,MATCH($C184&amp;$I184&amp;$H184&amp;$N184&amp;$O184,APOIO_REDES!$W:$W,0),MATCH(AE$5,APOIO_REDES!$5:$5,0)),0)</f>
        <v>1.2</v>
      </c>
      <c r="AF184" s="153" t="n">
        <f aca="false">IFERROR(INDEX(APOIO_REDES!$A:$W,MATCH($C184&amp;$I184&amp;$H184&amp;$N184&amp;$O184,APOIO_REDES!$W:$W,0),MATCH(AF$5,APOIO_REDES!$5:$5,0)),0)</f>
        <v>1.58</v>
      </c>
      <c r="AG184" s="153" t="n">
        <f aca="false">IFERROR(INDEX(APOIO_REDES!$A:$W,MATCH($C184&amp;$I184&amp;$H184&amp;$N184&amp;$O184,APOIO_REDES!$W:$W,0),MATCH(AG$5,APOIO_REDES!$5:$5,0)),0)</f>
        <v>0.9</v>
      </c>
      <c r="AH184" s="153" t="n">
        <f aca="false">IFERROR(INDEX(APOIO_REDES!$A:$W,MATCH($C184&amp;$I184&amp;$H184&amp;$N184&amp;$O184,APOIO_REDES!$W:$W,0),MATCH(AH$5,APOIO_REDES!$5:$5,0)),0)</f>
        <v>0.1</v>
      </c>
      <c r="AI184" s="153" t="n">
        <f aca="false">IFERROR(IF($H184&lt;&gt;"",(((($H184/1000)/2)^2)*PI()*$M184),0),0)</f>
        <v>0.560950217854379</v>
      </c>
      <c r="AJ184" s="153" t="n">
        <f aca="false">IFERROR(IF(AND($H184&lt;&gt;"",$I184="FoFo",OR($N184="MND",$N184="VCA"),$Q184="LINEAR"),0,IF(AND($H184&lt;&gt;"",$I184="PEAD",$N184="VCA",$Q184="LINEAR"),($H184/1000)+0.3,IF(AND($H184&lt;&gt;"",$I184="PEAD",$N184="MND",$Q184="EMBOQUE"),0,IF(AND($H184&lt;&gt;"",$I184="PVC",$N184="VCA",$Q184="LINEAR"),($H184/1000)+0.2,IF(AND($H184&lt;&gt;"",$I184="PVC",$N184="MND",$Q184="EMBOQUE"),0,IF(AND($H184&lt;&gt;"",$I184="PEAD",$N184="VCA",$Q184="PREDIAL"),0,0)))))),0)</f>
        <v>0.58</v>
      </c>
      <c r="AK184" s="153" t="n">
        <f aca="false">IF(AA184&lt;&gt;"",AA184,0)</f>
        <v>3.8</v>
      </c>
      <c r="AL184" s="153" t="n">
        <f aca="false">IF(AND($N184="MND",$Q184="EMBOQUE"),$M184,IF(AND($N184="VCA",$Q184="LINEAR"),$M184,IF(AND($N184="VCA",$Q184="PREDIAL"),0,0)))</f>
        <v>9.11</v>
      </c>
      <c r="AM184" s="153" t="n">
        <f aca="false">IF(AND($N184="MND",$Q184="EMBOQUE"),$M184,IF(AND($N184="VCA",$Q184="LINEAR"),$M184,IF(AND($N184="VCA",$Q184="PREDIAL"),0,0)))</f>
        <v>9.11</v>
      </c>
      <c r="AN184" s="153" t="n">
        <f aca="false">ROUND(IF(AND($N184="VCA",$M184&lt;&gt;"",$Q184="LINEAR"),$M184/100,IF(AND($N184="MND",$M184&gt;100,$Q184="EMBOQUE"),$M184/100,0)),0)</f>
        <v>0</v>
      </c>
      <c r="AO184" s="153" t="n">
        <f aca="false">IF(AND($N184="MND",$Q184="EMBOQUE"),$AN184*2*2,IF(AND($N184="VCA",$Q184="LINEAR"),$M184*2,IF(AND($N184="VCA",$Q184="PREDIAL"),0,0)))</f>
        <v>18.22</v>
      </c>
      <c r="AP184" s="153" t="n">
        <f aca="false">IFERROR($M184*$AF184*$AG184,0)</f>
        <v>12.95442</v>
      </c>
      <c r="AQ184" s="153" t="n">
        <f aca="false">IFERROR(IF(AND($N184="VCA",$AH184&gt;0),$M184*$AG184*$AH184,0),0)</f>
        <v>0.8199</v>
      </c>
      <c r="AR184" s="153" t="n">
        <f aca="false">IFERROR(IF(AND($N184="VCA",$AJ184&gt;0),($M184*$AG184*$AJ184)-$AI184,0),0)</f>
        <v>4.19446978214562</v>
      </c>
      <c r="AS184" s="153" t="n">
        <f aca="false">IFERROR(IF(AND($N184="VCA",$AP184&gt;0),$AP184-$AI184-$AQ184-$AR184,0),0)</f>
        <v>7.3791</v>
      </c>
      <c r="AT184" s="153" t="n">
        <f aca="false">IFERROR(IF($N184="VCA",INDEX(APOIO_REDES!$A:$W,MATCH($C184&amp;$I184&amp;$H184&amp;$N184&amp;$O184,APOIO_REDES!$W:$W,0),MATCH(AT$5,APOIO_REDES!$5:$5,0)),0)*$AP184,0)</f>
        <v>0.140947923912598</v>
      </c>
      <c r="AU184" s="153" t="n">
        <f aca="false">IFERROR(IF($N184="VCA",INDEX(APOIO_REDES!$A:$W,MATCH($C184&amp;$I184&amp;$H184&amp;$N184&amp;$O184,APOIO_REDES!$W:$W,0),MATCH(AU$5,APOIO_REDES!$5:$5,0)),0)*$AP184,0)</f>
        <v>0.112557194682702</v>
      </c>
      <c r="AV184" s="153" t="n">
        <f aca="false">IFERROR(IF($N184="VCA",INDEX(APOIO_REDES!$A:$W,MATCH($C184&amp;$I184&amp;$H184&amp;$N184&amp;$O184,APOIO_REDES!$W:$W,0),MATCH(AV$5,APOIO_REDES!$5:$5,0)),0)*$AP184,0)</f>
        <v>0.0155770321354632</v>
      </c>
      <c r="AW184" s="153" t="n">
        <f aca="false">IFERROR(IF($N184="VCA",INDEX(APOIO_REDES!$A:$W,MATCH($C184&amp;$I184&amp;$H184&amp;$N184&amp;$O184,APOIO_REDES!$W:$W,0),MATCH(AW$5,APOIO_REDES!$5:$5,0)),0)*$AP184,0)</f>
        <v>8.89201426374426</v>
      </c>
      <c r="AX184" s="153" t="n">
        <f aca="false">IFERROR(IF($N184="VCA",INDEX(APOIO_REDES!$A:$W,MATCH($C184&amp;$I184&amp;$H184&amp;$N184&amp;$O184,APOIO_REDES!$W:$W,0),MATCH(AX$5,APOIO_REDES!$5:$5,0)),0)*$AP184,0)</f>
        <v>1.23062944472012</v>
      </c>
      <c r="AY184" s="153" t="n">
        <f aca="false">IFERROR(IF($N184="VCA",INDEX(APOIO_REDES!$A:$W,MATCH($C184&amp;$I184&amp;$H184&amp;$N184&amp;$O184,APOIO_REDES!$W:$W,0),MATCH(AY$5,APOIO_REDES!$5:$5,0)),0)*$AP184,0)</f>
        <v>2.25114252159097</v>
      </c>
      <c r="AZ184" s="153" t="n">
        <f aca="false">IFERROR(IF($N184="VCA",INDEX(APOIO_REDES!$A:$W,MATCH($C184&amp;$I184&amp;$H184&amp;$N184&amp;$O184,APOIO_REDES!$W:$W,0),MATCH(AZ$5,APOIO_REDES!$5:$5,0)),0)*$AP184,0)</f>
        <v>0.311551619213895</v>
      </c>
      <c r="BA184" s="153" t="n">
        <f aca="false">IFERROR(IF(AND($N184="VCA",$Q184="LINEAR"),INDEX(APOIO_REDES!$A:$W,MATCH($C184&amp;$I184&amp;$H184&amp;$N184&amp;$O184,APOIO_REDES!$W:$W,0),MATCH(BA$5,APOIO_REDES!$5:$5,0)),IF(AND($N184="MND",$Q184="EMBOQUE"),INDEX(APOIO_REDES!$A:$W,MATCH($C184&amp;$I184&amp;$H184&amp;$N184&amp;$O184,APOIO_REDES!$W:$W,0),MATCH(BA$5,APOIO_REDES!$5:$5,0)),0))*$M184/10,0)</f>
        <v>0.734243020751798</v>
      </c>
      <c r="BB184" s="153" t="n">
        <f aca="false">IFERROR(IF($N184="VCA",INDEX(APOIO_REDES!$A:$W,MATCH($C184&amp;$I184&amp;$H184&amp;$N184&amp;$O184,APOIO_REDES!$W:$W,0),MATCH(BB$5,APOIO_REDES!$5:$5,0)),0)*($AI184+$AQ184+$AR184),0)</f>
        <v>5.51465886818952</v>
      </c>
      <c r="BC184" s="153" t="n">
        <f aca="false">IFERROR(IF($N184="VCA",INDEX(APOIO_REDES!$A:$W,MATCH($C184&amp;$I184&amp;$H184&amp;$N184&amp;$O184,APOIO_REDES!$W:$W,0),MATCH(BC$5,APOIO_REDES!$5:$5,0)),0)*($AI184+$AQ184+$AR184),0)</f>
        <v>0.0606611318104852</v>
      </c>
      <c r="BD184" s="153" t="n">
        <f aca="false">IF(AND($N184="VCA",$AF184&gt;=1.25,$AF184&lt;1.5),$M184*$AF184*2,0)</f>
        <v>0</v>
      </c>
      <c r="BE184" s="153" t="n">
        <f aca="false">IF(AND($N184="VCA",$AF184&gt;=1.5,$AF184&lt;3),$M184*$AF184*2,0)</f>
        <v>28.7876</v>
      </c>
      <c r="BF184" s="153" t="n">
        <f aca="false">IF(AND($N184="VCA",$AF184&gt;=3),$M184*$AF184*2,0)</f>
        <v>0</v>
      </c>
      <c r="BG184" s="153" t="n">
        <f aca="false">($BB184+$BC184)*$AK184</f>
        <v>21.186216</v>
      </c>
      <c r="BH184" s="153" t="n">
        <f aca="false">IF(AND($M184&lt;&gt;"",$N184="VCA",$Q184="LINEAR"),($M184*2)/100,IF(AND($M184&lt;&gt;"",$N184="MND",$Q184="EMBOQUE"),($AN184*2)/100,0))</f>
        <v>0.1822</v>
      </c>
      <c r="BI184" s="153" t="n">
        <f aca="false">IF(AND($M184&lt;&gt;"",$N184="VCA",$Q184="LINEAR"),$M184,IF(AND($M184&lt;&gt;"",$N184="MND",$Q184="EMBOQUE"),$AN184*2,0))</f>
        <v>9.11</v>
      </c>
      <c r="BJ184" s="153" t="n">
        <f aca="false">IF(AND($M184&lt;&gt;"",$N184="VCA",$Q184="LINEAR"),($M184*6.8)/100,IF(AND($M184&lt;&gt;"",$N184="MND",$Q184="EMBOQUE"),($AN184*2*6.8)/100,0))</f>
        <v>0.61948</v>
      </c>
      <c r="BK184" s="153" t="n">
        <f aca="false">IF(AND($M184&lt;&gt;"",$N184="VCA",$Q184="LINEAR"),($M184*2.5)/50,IF(AND($M184&lt;&gt;"",$N184="MND",$Q184="EMBOQUE"),($AN184*2*2.5)/50,0))</f>
        <v>0.4555</v>
      </c>
      <c r="BL184" s="157" t="str">
        <f aca="false">K184&amp;J184</f>
        <v>ADUTORAREDES</v>
      </c>
      <c r="BM184" s="152" t="s">
        <v>2229</v>
      </c>
      <c r="BN184" s="152" t="s">
        <v>2230</v>
      </c>
      <c r="BO184" s="152" t="s">
        <v>2231</v>
      </c>
      <c r="BP184" s="152" t="s">
        <v>2232</v>
      </c>
      <c r="BQ184" s="152" t="s">
        <v>2232</v>
      </c>
      <c r="BR184" s="152" t="s">
        <v>2239</v>
      </c>
      <c r="BS184" s="152" t="n">
        <v>202899.156</v>
      </c>
      <c r="BT184" s="152" t="n">
        <v>8237649.474</v>
      </c>
      <c r="BU184" s="152" t="n">
        <v>202903.513</v>
      </c>
      <c r="BV184" s="152" t="n">
        <v>8237657.474</v>
      </c>
      <c r="BW184" s="152" t="n">
        <v>-15.922581</v>
      </c>
      <c r="BX184" s="152" t="n">
        <v>-47.7748474</v>
      </c>
      <c r="BY184" s="152" t="s">
        <v>2240</v>
      </c>
    </row>
    <row r="185" customFormat="false" ht="13.8" hidden="false" customHeight="false" outlineLevel="0" collapsed="false">
      <c r="A185" s="149" t="n">
        <f aca="false">IF(C185&lt;&gt;"",ROW(A180),"")</f>
        <v>180</v>
      </c>
      <c r="B185" s="150" t="str">
        <f aca="false">HYPERLINK("https://www.google.com/maps/dir/-15.917302,-47.760003/-15.9227396,-47.7748797/data=!4m3!4m2!3e0!5i1")</f>
        <v>https://www.google.com/maps/dir/-15.917302,-47.760003/-15.9227396,-47.7748797/data=!4m3!4m2!3e0!5i1</v>
      </c>
      <c r="C185" s="151" t="s">
        <v>117</v>
      </c>
      <c r="D185" s="152" t="s">
        <v>112</v>
      </c>
      <c r="E185" s="152" t="s">
        <v>113</v>
      </c>
      <c r="F185" s="152" t="s">
        <v>117</v>
      </c>
      <c r="G185" s="152" t="s">
        <v>114</v>
      </c>
      <c r="H185" s="152" t="n">
        <v>280</v>
      </c>
      <c r="I185" s="152" t="s">
        <v>115</v>
      </c>
      <c r="J185" s="152" t="s">
        <v>6</v>
      </c>
      <c r="K185" s="152" t="s">
        <v>2224</v>
      </c>
      <c r="L185" s="152" t="s">
        <v>120</v>
      </c>
      <c r="M185" s="153" t="n">
        <f aca="false">38.44</f>
        <v>38.44</v>
      </c>
      <c r="N185" s="152" t="s">
        <v>1548</v>
      </c>
      <c r="O185" s="152" t="s">
        <v>1549</v>
      </c>
      <c r="P185" s="152" t="s">
        <v>1550</v>
      </c>
      <c r="Q185" s="152" t="s">
        <v>1551</v>
      </c>
      <c r="R185" s="154" t="s">
        <v>2241</v>
      </c>
      <c r="S185" s="154" t="s">
        <v>2226</v>
      </c>
      <c r="T185" s="155" t="s">
        <v>2227</v>
      </c>
      <c r="U185" s="152" t="str">
        <f aca="false">RIGHT(T185,7)</f>
        <v>008/037</v>
      </c>
      <c r="V185" s="152" t="s">
        <v>1555</v>
      </c>
      <c r="W185" s="156" t="n">
        <v>45882</v>
      </c>
      <c r="X185" s="152" t="s">
        <v>1594</v>
      </c>
      <c r="Y185" s="152" t="s">
        <v>2242</v>
      </c>
      <c r="Z185" s="152" t="s">
        <v>1557</v>
      </c>
      <c r="AA185" s="153" t="n">
        <v>3.8</v>
      </c>
      <c r="AB185" s="151" t="s">
        <v>2238</v>
      </c>
      <c r="AC185" s="151" t="s">
        <v>499</v>
      </c>
      <c r="AD185" s="151" t="str">
        <f aca="false">CONCATENATE($C185,$I185,$H185,$N185,$J185,$K185)</f>
        <v>TUBO PEADPEAD280VCAREDESADUTORA</v>
      </c>
      <c r="AE185" s="153" t="n">
        <f aca="false">IFERROR(INDEX(APOIO_REDES!$A:$W,MATCH($C185&amp;$I185&amp;$H185&amp;$N185&amp;$O185,APOIO_REDES!$W:$W,0),MATCH(AE$5,APOIO_REDES!$5:$5,0)),0)</f>
        <v>1.2</v>
      </c>
      <c r="AF185" s="153" t="n">
        <f aca="false">IFERROR(INDEX(APOIO_REDES!$A:$W,MATCH($C185&amp;$I185&amp;$H185&amp;$N185&amp;$O185,APOIO_REDES!$W:$W,0),MATCH(AF$5,APOIO_REDES!$5:$5,0)),0)</f>
        <v>1.58</v>
      </c>
      <c r="AG185" s="153" t="n">
        <f aca="false">IFERROR(INDEX(APOIO_REDES!$A:$W,MATCH($C185&amp;$I185&amp;$H185&amp;$N185&amp;$O185,APOIO_REDES!$W:$W,0),MATCH(AG$5,APOIO_REDES!$5:$5,0)),0)</f>
        <v>0.9</v>
      </c>
      <c r="AH185" s="153" t="n">
        <f aca="false">IFERROR(INDEX(APOIO_REDES!$A:$W,MATCH($C185&amp;$I185&amp;$H185&amp;$N185&amp;$O185,APOIO_REDES!$W:$W,0),MATCH(AH$5,APOIO_REDES!$5:$5,0)),0)</f>
        <v>0.1</v>
      </c>
      <c r="AI185" s="153" t="n">
        <f aca="false">IFERROR(IF($H185&lt;&gt;"",(((($H185/1000)/2)^2)*PI()*$M185),0),0)</f>
        <v>2.36695130343824</v>
      </c>
      <c r="AJ185" s="153" t="n">
        <f aca="false">IFERROR(IF(AND($H185&lt;&gt;"",$I185="FoFo",OR($N185="MND",$N185="VCA"),$Q185="LINEAR"),0,IF(AND($H185&lt;&gt;"",$I185="PEAD",$N185="VCA",$Q185="LINEAR"),($H185/1000)+0.3,IF(AND($H185&lt;&gt;"",$I185="PEAD",$N185="MND",$Q185="EMBOQUE"),0,IF(AND($H185&lt;&gt;"",$I185="PVC",$N185="VCA",$Q185="LINEAR"),($H185/1000)+0.2,IF(AND($H185&lt;&gt;"",$I185="PVC",$N185="MND",$Q185="EMBOQUE"),0,IF(AND($H185&lt;&gt;"",$I185="PEAD",$N185="VCA",$Q185="PREDIAL"),0,0)))))),0)</f>
        <v>0.58</v>
      </c>
      <c r="AK185" s="153" t="n">
        <f aca="false">IF(AA185&lt;&gt;"",AA185,0)</f>
        <v>3.8</v>
      </c>
      <c r="AL185" s="153" t="n">
        <f aca="false">IF(AND($N185="MND",$Q185="EMBOQUE"),$M185,IF(AND($N185="VCA",$Q185="LINEAR"),$M185,IF(AND($N185="VCA",$Q185="PREDIAL"),0,0)))</f>
        <v>38.44</v>
      </c>
      <c r="AM185" s="153" t="n">
        <f aca="false">IF(AND($N185="MND",$Q185="EMBOQUE"),$M185,IF(AND($N185="VCA",$Q185="LINEAR"),$M185,IF(AND($N185="VCA",$Q185="PREDIAL"),0,0)))</f>
        <v>38.44</v>
      </c>
      <c r="AN185" s="153" t="n">
        <f aca="false">ROUND(IF(AND($N185="VCA",$M185&lt;&gt;"",$Q185="LINEAR"),$M185/100,IF(AND($N185="MND",$M185&gt;100,$Q185="EMBOQUE"),$M185/100,0)),0)</f>
        <v>0</v>
      </c>
      <c r="AO185" s="153" t="n">
        <f aca="false">IF(AND($N185="MND",$Q185="EMBOQUE"),$AN185*2*2,IF(AND($N185="VCA",$Q185="LINEAR"),$M185*2,IF(AND($N185="VCA",$Q185="PREDIAL"),0,0)))</f>
        <v>76.88</v>
      </c>
      <c r="AP185" s="153" t="n">
        <f aca="false">IFERROR($M185*$AF185*$AG185,0)</f>
        <v>54.66168</v>
      </c>
      <c r="AQ185" s="153" t="n">
        <f aca="false">IFERROR(IF(AND($N185="VCA",$AH185&gt;0),$M185*$AG185*$AH185,0),0)</f>
        <v>3.4596</v>
      </c>
      <c r="AR185" s="153" t="n">
        <f aca="false">IFERROR(IF(AND($N185="VCA",$AJ185&gt;0),($M185*$AG185*$AJ185)-$AI185,0),0)</f>
        <v>17.6987286965618</v>
      </c>
      <c r="AS185" s="153" t="n">
        <f aca="false">IFERROR(IF(AND($N185="VCA",$AP185&gt;0),$AP185-$AI185-$AQ185-$AR185,0),0)</f>
        <v>31.1364</v>
      </c>
      <c r="AT185" s="153" t="n">
        <f aca="false">IFERROR(IF($N185="VCA",INDEX(APOIO_REDES!$A:$W,MATCH($C185&amp;$I185&amp;$H185&amp;$N185&amp;$O185,APOIO_REDES!$W:$W,0),MATCH(AT$5,APOIO_REDES!$5:$5,0)),0)*$AP185,0)</f>
        <v>0.594735257431423</v>
      </c>
      <c r="AU185" s="153" t="n">
        <f aca="false">IFERROR(IF($N185="VCA",INDEX(APOIO_REDES!$A:$W,MATCH($C185&amp;$I185&amp;$H185&amp;$N185&amp;$O185,APOIO_REDES!$W:$W,0),MATCH(AU$5,APOIO_REDES!$5:$5,0)),0)*$AP185,0)</f>
        <v>0.474939469111205</v>
      </c>
      <c r="AV185" s="153" t="n">
        <f aca="false">IFERROR(IF($N185="VCA",INDEX(APOIO_REDES!$A:$W,MATCH($C185&amp;$I185&amp;$H185&amp;$N185&amp;$O185,APOIO_REDES!$W:$W,0),MATCH(AV$5,APOIO_REDES!$5:$5,0)),0)*$AP185,0)</f>
        <v>0.0657278941039741</v>
      </c>
      <c r="AW185" s="153" t="n">
        <f aca="false">IFERROR(IF($N185="VCA",INDEX(APOIO_REDES!$A:$W,MATCH($C185&amp;$I185&amp;$H185&amp;$N185&amp;$O185,APOIO_REDES!$W:$W,0),MATCH(AW$5,APOIO_REDES!$5:$5,0)),0)*$AP185,0)</f>
        <v>37.5202006913643</v>
      </c>
      <c r="AX185" s="153" t="n">
        <f aca="false">IFERROR(IF($N185="VCA",INDEX(APOIO_REDES!$A:$W,MATCH($C185&amp;$I185&amp;$H185&amp;$N185&amp;$O185,APOIO_REDES!$W:$W,0),MATCH(AX$5,APOIO_REDES!$5:$5,0)),0)*$AP185,0)</f>
        <v>5.19268889737007</v>
      </c>
      <c r="AY185" s="153" t="n">
        <f aca="false">IFERROR(IF($N185="VCA",INDEX(APOIO_REDES!$A:$W,MATCH($C185&amp;$I185&amp;$H185&amp;$N185&amp;$O185,APOIO_REDES!$W:$W,0),MATCH(AY$5,APOIO_REDES!$5:$5,0)),0)*$AP185,0)</f>
        <v>9.49878359275048</v>
      </c>
      <c r="AZ185" s="153" t="n">
        <f aca="false">IFERROR(IF($N185="VCA",INDEX(APOIO_REDES!$A:$W,MATCH($C185&amp;$I185&amp;$H185&amp;$N185&amp;$O185,APOIO_REDES!$W:$W,0),MATCH(AZ$5,APOIO_REDES!$5:$5,0)),0)*$AP185,0)</f>
        <v>1.31460419786851</v>
      </c>
      <c r="BA185" s="153" t="n">
        <f aca="false">IFERROR(IF(AND($N185="VCA",$Q185="LINEAR"),INDEX(APOIO_REDES!$A:$W,MATCH($C185&amp;$I185&amp;$H185&amp;$N185&amp;$O185,APOIO_REDES!$W:$W,0),MATCH(BA$5,APOIO_REDES!$5:$5,0)),IF(AND($N185="MND",$Q185="EMBOQUE"),INDEX(APOIO_REDES!$A:$W,MATCH($C185&amp;$I185&amp;$H185&amp;$N185&amp;$O185,APOIO_REDES!$W:$W,0),MATCH(BA$5,APOIO_REDES!$5:$5,0)),0))*$M185/10,0)</f>
        <v>3.09816703816675</v>
      </c>
      <c r="BB185" s="153" t="n">
        <f aca="false">IFERROR(IF($N185="VCA",INDEX(APOIO_REDES!$A:$W,MATCH($C185&amp;$I185&amp;$H185&amp;$N185&amp;$O185,APOIO_REDES!$W:$W,0),MATCH(BB$5,APOIO_REDES!$5:$5,0)),0)*($AI185+$AQ185+$AR185),0)</f>
        <v>23.2693179904726</v>
      </c>
      <c r="BC185" s="153" t="n">
        <f aca="false">IFERROR(IF($N185="VCA",INDEX(APOIO_REDES!$A:$W,MATCH($C185&amp;$I185&amp;$H185&amp;$N185&amp;$O185,APOIO_REDES!$W:$W,0),MATCH(BC$5,APOIO_REDES!$5:$5,0)),0)*($AI185+$AQ185+$AR185),0)</f>
        <v>0.255962009527448</v>
      </c>
      <c r="BD185" s="153" t="n">
        <f aca="false">IF(AND($N185="VCA",$AF185&gt;=1.25,$AF185&lt;1.5),$M185*$AF185*2,0)</f>
        <v>0</v>
      </c>
      <c r="BE185" s="153" t="n">
        <f aca="false">IF(AND($N185="VCA",$AF185&gt;=1.5,$AF185&lt;3),$M185*$AF185*2,0)</f>
        <v>121.4704</v>
      </c>
      <c r="BF185" s="153" t="n">
        <f aca="false">IF(AND($N185="VCA",$AF185&gt;=3),$M185*$AF185*2,0)</f>
        <v>0</v>
      </c>
      <c r="BG185" s="153" t="n">
        <f aca="false">($BB185+$BC185)*$AK185</f>
        <v>89.396064</v>
      </c>
      <c r="BH185" s="153" t="n">
        <f aca="false">IF(AND($M185&lt;&gt;"",$N185="VCA",$Q185="LINEAR"),($M185*2)/100,IF(AND($M185&lt;&gt;"",$N185="MND",$Q185="EMBOQUE"),($AN185*2)/100,0))</f>
        <v>0.7688</v>
      </c>
      <c r="BI185" s="153" t="n">
        <f aca="false">IF(AND($M185&lt;&gt;"",$N185="VCA",$Q185="LINEAR"),$M185,IF(AND($M185&lt;&gt;"",$N185="MND",$Q185="EMBOQUE"),$AN185*2,0))</f>
        <v>38.44</v>
      </c>
      <c r="BJ185" s="153" t="n">
        <f aca="false">IF(AND($M185&lt;&gt;"",$N185="VCA",$Q185="LINEAR"),($M185*6.8)/100,IF(AND($M185&lt;&gt;"",$N185="MND",$Q185="EMBOQUE"),($AN185*2*6.8)/100,0))</f>
        <v>2.61392</v>
      </c>
      <c r="BK185" s="153" t="n">
        <f aca="false">IF(AND($M185&lt;&gt;"",$N185="VCA",$Q185="LINEAR"),($M185*2.5)/50,IF(AND($M185&lt;&gt;"",$N185="MND",$Q185="EMBOQUE"),($AN185*2*2.5)/50,0))</f>
        <v>1.922</v>
      </c>
      <c r="BL185" s="157" t="str">
        <f aca="false">K185&amp;J185</f>
        <v>ADUTORAREDES</v>
      </c>
      <c r="BM185" s="152" t="s">
        <v>2229</v>
      </c>
      <c r="BN185" s="152" t="s">
        <v>2230</v>
      </c>
      <c r="BO185" s="152" t="s">
        <v>2231</v>
      </c>
      <c r="BP185" s="152" t="s">
        <v>2232</v>
      </c>
      <c r="BQ185" s="152" t="s">
        <v>2232</v>
      </c>
      <c r="BR185" s="152" t="s">
        <v>2243</v>
      </c>
      <c r="BS185" s="152" t="n">
        <v>202877.492</v>
      </c>
      <c r="BT185" s="152" t="n">
        <v>8237617.519</v>
      </c>
      <c r="BU185" s="152" t="n">
        <v>202899.07</v>
      </c>
      <c r="BV185" s="152" t="n">
        <v>8237649.331</v>
      </c>
      <c r="BW185" s="152" t="n">
        <v>-15.9227615</v>
      </c>
      <c r="BX185" s="152" t="n">
        <v>-47.7749701</v>
      </c>
      <c r="BY185" s="152" t="s">
        <v>2244</v>
      </c>
    </row>
    <row r="186" customFormat="false" ht="13.8" hidden="false" customHeight="false" outlineLevel="0" collapsed="false">
      <c r="A186" s="149" t="n">
        <f aca="false">IF(C186&lt;&gt;"",ROW(A181),"")</f>
        <v>181</v>
      </c>
      <c r="B186" s="150" t="str">
        <f aca="false">HYPERLINK("https://www.google.com/maps/dir/-15.917302,-47.760003/-15.9245601,-47.7758102/data=!4m3!4m2!3e0!5i2")</f>
        <v>https://www.google.com/maps/dir/-15.917302,-47.760003/-15.9245601,-47.7758102/data=!4m3!4m2!3e0!5i2</v>
      </c>
      <c r="C186" s="151" t="s">
        <v>117</v>
      </c>
      <c r="D186" s="152" t="s">
        <v>112</v>
      </c>
      <c r="E186" s="152" t="s">
        <v>113</v>
      </c>
      <c r="F186" s="152" t="s">
        <v>117</v>
      </c>
      <c r="G186" s="152" t="s">
        <v>114</v>
      </c>
      <c r="H186" s="152" t="n">
        <v>280</v>
      </c>
      <c r="I186" s="152" t="s">
        <v>115</v>
      </c>
      <c r="J186" s="152" t="s">
        <v>6</v>
      </c>
      <c r="K186" s="152" t="s">
        <v>2224</v>
      </c>
      <c r="L186" s="152" t="s">
        <v>120</v>
      </c>
      <c r="M186" s="153" t="n">
        <f aca="false">217.08</f>
        <v>217.08</v>
      </c>
      <c r="N186" s="152" t="s">
        <v>1548</v>
      </c>
      <c r="O186" s="152" t="s">
        <v>1549</v>
      </c>
      <c r="P186" s="152" t="s">
        <v>1550</v>
      </c>
      <c r="Q186" s="152" t="s">
        <v>1551</v>
      </c>
      <c r="R186" s="154" t="s">
        <v>2245</v>
      </c>
      <c r="S186" s="154" t="s">
        <v>2226</v>
      </c>
      <c r="T186" s="155" t="s">
        <v>2227</v>
      </c>
      <c r="U186" s="152" t="str">
        <f aca="false">RIGHT(T186,7)</f>
        <v>008/037</v>
      </c>
      <c r="V186" s="152" t="s">
        <v>1555</v>
      </c>
      <c r="W186" s="156" t="n">
        <v>45882</v>
      </c>
      <c r="X186" s="152" t="s">
        <v>1594</v>
      </c>
      <c r="Y186" s="152"/>
      <c r="Z186" s="152" t="s">
        <v>1557</v>
      </c>
      <c r="AA186" s="153" t="n">
        <v>3.9</v>
      </c>
      <c r="AB186" s="151" t="s">
        <v>2246</v>
      </c>
      <c r="AC186" s="151" t="s">
        <v>499</v>
      </c>
      <c r="AD186" s="151" t="str">
        <f aca="false">CONCATENATE($C186,$I186,$H186,$N186,$J186,$K186)</f>
        <v>TUBO PEADPEAD280VCAREDESADUTORA</v>
      </c>
      <c r="AE186" s="153" t="n">
        <f aca="false">IFERROR(INDEX(APOIO_REDES!$A:$W,MATCH($C186&amp;$I186&amp;$H186&amp;$N186&amp;$O186,APOIO_REDES!$W:$W,0),MATCH(AE$5,APOIO_REDES!$5:$5,0)),0)</f>
        <v>1.2</v>
      </c>
      <c r="AF186" s="153" t="n">
        <f aca="false">IFERROR(INDEX(APOIO_REDES!$A:$W,MATCH($C186&amp;$I186&amp;$H186&amp;$N186&amp;$O186,APOIO_REDES!$W:$W,0),MATCH(AF$5,APOIO_REDES!$5:$5,0)),0)</f>
        <v>1.58</v>
      </c>
      <c r="AG186" s="153" t="n">
        <f aca="false">IFERROR(INDEX(APOIO_REDES!$A:$W,MATCH($C186&amp;$I186&amp;$H186&amp;$N186&amp;$O186,APOIO_REDES!$W:$W,0),MATCH(AG$5,APOIO_REDES!$5:$5,0)),0)</f>
        <v>0.9</v>
      </c>
      <c r="AH186" s="153" t="n">
        <f aca="false">IFERROR(INDEX(APOIO_REDES!$A:$W,MATCH($C186&amp;$I186&amp;$H186&amp;$N186&amp;$O186,APOIO_REDES!$W:$W,0),MATCH(AH$5,APOIO_REDES!$5:$5,0)),0)</f>
        <v>0.1</v>
      </c>
      <c r="AI186" s="153" t="n">
        <f aca="false">IFERROR(IF($H186&lt;&gt;"",(((($H186/1000)/2)^2)*PI()*$M186),0),0)</f>
        <v>13.3667478915289</v>
      </c>
      <c r="AJ186" s="153" t="n">
        <f aca="false">IFERROR(IF(AND($H186&lt;&gt;"",$I186="FoFo",OR($N186="MND",$N186="VCA"),$Q186="LINEAR"),0,IF(AND($H186&lt;&gt;"",$I186="PEAD",$N186="VCA",$Q186="LINEAR"),($H186/1000)+0.3,IF(AND($H186&lt;&gt;"",$I186="PEAD",$N186="MND",$Q186="EMBOQUE"),0,IF(AND($H186&lt;&gt;"",$I186="PVC",$N186="VCA",$Q186="LINEAR"),($H186/1000)+0.2,IF(AND($H186&lt;&gt;"",$I186="PVC",$N186="MND",$Q186="EMBOQUE"),0,IF(AND($H186&lt;&gt;"",$I186="PEAD",$N186="VCA",$Q186="PREDIAL"),0,0)))))),0)</f>
        <v>0.58</v>
      </c>
      <c r="AK186" s="153" t="n">
        <f aca="false">IF(AA186&lt;&gt;"",AA186,0)</f>
        <v>3.9</v>
      </c>
      <c r="AL186" s="153" t="n">
        <f aca="false">IF(AND($N186="MND",$Q186="EMBOQUE"),$M186,IF(AND($N186="VCA",$Q186="LINEAR"),$M186,IF(AND($N186="VCA",$Q186="PREDIAL"),0,0)))</f>
        <v>217.08</v>
      </c>
      <c r="AM186" s="153" t="n">
        <f aca="false">IF(AND($N186="MND",$Q186="EMBOQUE"),$M186,IF(AND($N186="VCA",$Q186="LINEAR"),$M186,IF(AND($N186="VCA",$Q186="PREDIAL"),0,0)))</f>
        <v>217.08</v>
      </c>
      <c r="AN186" s="153" t="n">
        <f aca="false">ROUND(IF(AND($N186="VCA",$M186&lt;&gt;"",$Q186="LINEAR"),$M186/100,IF(AND($N186="MND",$M186&gt;100,$Q186="EMBOQUE"),$M186/100,0)),0)</f>
        <v>2</v>
      </c>
      <c r="AO186" s="153" t="n">
        <f aca="false">IF(AND($N186="MND",$Q186="EMBOQUE"),$AN186*2*2,IF(AND($N186="VCA",$Q186="LINEAR"),$M186*2,IF(AND($N186="VCA",$Q186="PREDIAL"),0,0)))</f>
        <v>434.16</v>
      </c>
      <c r="AP186" s="153" t="n">
        <f aca="false">IFERROR($M186*$AF186*$AG186,0)</f>
        <v>308.68776</v>
      </c>
      <c r="AQ186" s="153" t="n">
        <f aca="false">IFERROR(IF(AND($N186="VCA",$AH186&gt;0),$M186*$AG186*$AH186,0),0)</f>
        <v>19.5372</v>
      </c>
      <c r="AR186" s="153" t="n">
        <f aca="false">IFERROR(IF(AND($N186="VCA",$AJ186&gt;0),($M186*$AG186*$AJ186)-$AI186,0),0)</f>
        <v>99.9490121084711</v>
      </c>
      <c r="AS186" s="153" t="n">
        <f aca="false">IFERROR(IF(AND($N186="VCA",$AP186&gt;0),$AP186-$AI186-$AQ186-$AR186,0),0)</f>
        <v>175.8348</v>
      </c>
      <c r="AT186" s="153" t="n">
        <f aca="false">IFERROR(IF($N186="VCA",INDEX(APOIO_REDES!$A:$W,MATCH($C186&amp;$I186&amp;$H186&amp;$N186&amp;$O186,APOIO_REDES!$W:$W,0),MATCH(AT$5,APOIO_REDES!$5:$5,0)),0)*$AP186,0)</f>
        <v>3.35861419571315</v>
      </c>
      <c r="AU186" s="153" t="n">
        <f aca="false">IFERROR(IF($N186="VCA",INDEX(APOIO_REDES!$A:$W,MATCH($C186&amp;$I186&amp;$H186&amp;$N186&amp;$O186,APOIO_REDES!$W:$W,0),MATCH(AU$5,APOIO_REDES!$5:$5,0)),0)*$AP186,0)</f>
        <v>2.68209833388815</v>
      </c>
      <c r="AV186" s="153" t="n">
        <f aca="false">IFERROR(IF($N186="VCA",INDEX(APOIO_REDES!$A:$W,MATCH($C186&amp;$I186&amp;$H186&amp;$N186&amp;$O186,APOIO_REDES!$W:$W,0),MATCH(AV$5,APOIO_REDES!$5:$5,0)),0)*$AP186,0)</f>
        <v>0.371181354112661</v>
      </c>
      <c r="AW186" s="153" t="n">
        <f aca="false">IFERROR(IF($N186="VCA",INDEX(APOIO_REDES!$A:$W,MATCH($C186&amp;$I186&amp;$H186&amp;$N186&amp;$O186,APOIO_REDES!$W:$W,0),MATCH(AW$5,APOIO_REDES!$5:$5,0)),0)*$AP186,0)</f>
        <v>211.88567029348</v>
      </c>
      <c r="AX186" s="153" t="n">
        <f aca="false">IFERROR(IF($N186="VCA",INDEX(APOIO_REDES!$A:$W,MATCH($C186&amp;$I186&amp;$H186&amp;$N186&amp;$O186,APOIO_REDES!$W:$W,0),MATCH(AX$5,APOIO_REDES!$5:$5,0)),0)*$AP186,0)</f>
        <v>29.3243732008609</v>
      </c>
      <c r="AY186" s="153" t="n">
        <f aca="false">IFERROR(IF($N186="VCA",INDEX(APOIO_REDES!$A:$W,MATCH($C186&amp;$I186&amp;$H186&amp;$N186&amp;$O186,APOIO_REDES!$W:$W,0),MATCH(AY$5,APOIO_REDES!$5:$5,0)),0)*$AP186,0)</f>
        <v>53.6419339832017</v>
      </c>
      <c r="AZ186" s="153" t="n">
        <f aca="false">IFERROR(IF($N186="VCA",INDEX(APOIO_REDES!$A:$W,MATCH($C186&amp;$I186&amp;$H186&amp;$N186&amp;$O186,APOIO_REDES!$W:$W,0),MATCH(AZ$5,APOIO_REDES!$5:$5,0)),0)*$AP186,0)</f>
        <v>7.4238886387434</v>
      </c>
      <c r="BA186" s="153" t="n">
        <f aca="false">IFERROR(IF(AND($N186="VCA",$Q186="LINEAR"),INDEX(APOIO_REDES!$A:$W,MATCH($C186&amp;$I186&amp;$H186&amp;$N186&amp;$O186,APOIO_REDES!$W:$W,0),MATCH(BA$5,APOIO_REDES!$5:$5,0)),IF(AND($N186="MND",$Q186="EMBOQUE"),INDEX(APOIO_REDES!$A:$W,MATCH($C186&amp;$I186&amp;$H186&amp;$N186&amp;$O186,APOIO_REDES!$W:$W,0),MATCH(BA$5,APOIO_REDES!$5:$5,0)),0))*$M186/10,0)</f>
        <v>17.4961004330187</v>
      </c>
      <c r="BB186" s="153" t="n">
        <f aca="false">IFERROR(IF($N186="VCA",INDEX(APOIO_REDES!$A:$W,MATCH($C186&amp;$I186&amp;$H186&amp;$N186&amp;$O186,APOIO_REDES!$W:$W,0),MATCH(BB$5,APOIO_REDES!$5:$5,0)),0)*($AI186+$AQ186+$AR186),0)</f>
        <v>131.407480472731</v>
      </c>
      <c r="BC186" s="153" t="n">
        <f aca="false">IFERROR(IF($N186="VCA",INDEX(APOIO_REDES!$A:$W,MATCH($C186&amp;$I186&amp;$H186&amp;$N186&amp;$O186,APOIO_REDES!$W:$W,0),MATCH(BC$5,APOIO_REDES!$5:$5,0)),0)*($AI186+$AQ186+$AR186),0)</f>
        <v>1.44547952726895</v>
      </c>
      <c r="BD186" s="153" t="n">
        <f aca="false">IF(AND($N186="VCA",$AF186&gt;=1.25,$AF186&lt;1.5),$M186*$AF186*2,0)</f>
        <v>0</v>
      </c>
      <c r="BE186" s="153" t="n">
        <f aca="false">IF(AND($N186="VCA",$AF186&gt;=1.5,$AF186&lt;3),$M186*$AF186*2,0)</f>
        <v>685.9728</v>
      </c>
      <c r="BF186" s="153" t="n">
        <f aca="false">IF(AND($N186="VCA",$AF186&gt;=3),$M186*$AF186*2,0)</f>
        <v>0</v>
      </c>
      <c r="BG186" s="153" t="n">
        <f aca="false">($BB186+$BC186)*$AK186</f>
        <v>518.126544</v>
      </c>
      <c r="BH186" s="153" t="n">
        <f aca="false">IF(AND($M186&lt;&gt;"",$N186="VCA",$Q186="LINEAR"),($M186*2)/100,IF(AND($M186&lt;&gt;"",$N186="MND",$Q186="EMBOQUE"),($AN186*2)/100,0))</f>
        <v>4.3416</v>
      </c>
      <c r="BI186" s="153" t="n">
        <f aca="false">IF(AND($M186&lt;&gt;"",$N186="VCA",$Q186="LINEAR"),$M186,IF(AND($M186&lt;&gt;"",$N186="MND",$Q186="EMBOQUE"),$AN186*2,0))</f>
        <v>217.08</v>
      </c>
      <c r="BJ186" s="153" t="n">
        <f aca="false">IF(AND($M186&lt;&gt;"",$N186="VCA",$Q186="LINEAR"),($M186*6.8)/100,IF(AND($M186&lt;&gt;"",$N186="MND",$Q186="EMBOQUE"),($AN186*2*6.8)/100,0))</f>
        <v>14.76144</v>
      </c>
      <c r="BK186" s="153" t="n">
        <f aca="false">IF(AND($M186&lt;&gt;"",$N186="VCA",$Q186="LINEAR"),($M186*2.5)/50,IF(AND($M186&lt;&gt;"",$N186="MND",$Q186="EMBOQUE"),($AN186*2*2.5)/50,0))</f>
        <v>10.854</v>
      </c>
      <c r="BL186" s="157" t="str">
        <f aca="false">K186&amp;J186</f>
        <v>ADUTORAREDES</v>
      </c>
      <c r="BM186" s="152" t="s">
        <v>2229</v>
      </c>
      <c r="BN186" s="152" t="s">
        <v>2230</v>
      </c>
      <c r="BO186" s="152" t="s">
        <v>2231</v>
      </c>
      <c r="BP186" s="152" t="s">
        <v>2247</v>
      </c>
      <c r="BQ186" s="152" t="s">
        <v>2232</v>
      </c>
      <c r="BR186" s="152" t="s">
        <v>2248</v>
      </c>
      <c r="BS186" s="152" t="n">
        <v>202802.112</v>
      </c>
      <c r="BT186" s="152" t="n">
        <v>8237433.838</v>
      </c>
      <c r="BU186" s="152" t="n">
        <v>202877.487</v>
      </c>
      <c r="BV186" s="152" t="n">
        <v>8237617.511</v>
      </c>
      <c r="BW186" s="152" t="n">
        <v>-15.923698</v>
      </c>
      <c r="BX186" s="152" t="n">
        <v>-47.7756665</v>
      </c>
      <c r="BY186" s="152" t="s">
        <v>2247</v>
      </c>
    </row>
    <row r="187" customFormat="false" ht="13.8" hidden="false" customHeight="false" outlineLevel="0" collapsed="false">
      <c r="A187" s="149" t="n">
        <f aca="false">IF(C187&lt;&gt;"",ROW(A182),"")</f>
        <v>182</v>
      </c>
      <c r="B187" s="150" t="str">
        <f aca="false">HYPERLINK("https://www.google.com/maps/dir/-15.917302,-47.760003/-15.9202592,-47.7768567/data=!4m3!4m2!3e0!5i1")</f>
        <v>https://www.google.com/maps/dir/-15.917302,-47.760003/-15.9202592,-47.7768567/data=!4m3!4m2!3e0!5i1</v>
      </c>
      <c r="C187" s="151" t="s">
        <v>117</v>
      </c>
      <c r="D187" s="152" t="s">
        <v>112</v>
      </c>
      <c r="E187" s="152" t="s">
        <v>113</v>
      </c>
      <c r="F187" s="152" t="s">
        <v>117</v>
      </c>
      <c r="G187" s="152" t="s">
        <v>782</v>
      </c>
      <c r="H187" s="152" t="n">
        <v>63</v>
      </c>
      <c r="I187" s="152" t="s">
        <v>115</v>
      </c>
      <c r="J187" s="152" t="s">
        <v>6</v>
      </c>
      <c r="K187" s="152" t="s">
        <v>2033</v>
      </c>
      <c r="L187" s="152" t="s">
        <v>120</v>
      </c>
      <c r="M187" s="153" t="n">
        <f aca="false">25.27</f>
        <v>25.27</v>
      </c>
      <c r="N187" s="152" t="s">
        <v>1548</v>
      </c>
      <c r="O187" s="152" t="s">
        <v>1549</v>
      </c>
      <c r="P187" s="152" t="s">
        <v>1550</v>
      </c>
      <c r="Q187" s="152" t="s">
        <v>1551</v>
      </c>
      <c r="R187" s="154" t="s">
        <v>2249</v>
      </c>
      <c r="S187" s="154" t="s">
        <v>1553</v>
      </c>
      <c r="T187" s="155" t="s">
        <v>2227</v>
      </c>
      <c r="U187" s="152" t="str">
        <f aca="false">RIGHT(T187,7)</f>
        <v>008/037</v>
      </c>
      <c r="V187" s="152" t="s">
        <v>1555</v>
      </c>
      <c r="W187" s="156" t="n">
        <v>45882</v>
      </c>
      <c r="X187" s="152" t="s">
        <v>1594</v>
      </c>
      <c r="Y187" s="152"/>
      <c r="Z187" s="152" t="s">
        <v>1557</v>
      </c>
      <c r="AA187" s="153" t="n">
        <v>4.2</v>
      </c>
      <c r="AB187" s="151" t="s">
        <v>2250</v>
      </c>
      <c r="AC187" s="151" t="s">
        <v>186</v>
      </c>
      <c r="AD187" s="151" t="str">
        <f aca="false">CONCATENATE($C187,$I187,$H187,$N187,$J187,$K187)</f>
        <v>TUBO PEADPEAD63VCAREDESZona02</v>
      </c>
      <c r="AE187" s="153" t="n">
        <f aca="false">IFERROR(INDEX(APOIO_REDES!$A:$W,MATCH($C187&amp;$I187&amp;$H187&amp;$N187&amp;$O187,APOIO_REDES!$W:$W,0),MATCH(AE$5,APOIO_REDES!$5:$5,0)),0)</f>
        <v>1.2</v>
      </c>
      <c r="AF187" s="153" t="n">
        <f aca="false">IFERROR(INDEX(APOIO_REDES!$A:$W,MATCH($C187&amp;$I187&amp;$H187&amp;$N187&amp;$O187,APOIO_REDES!$W:$W,0),MATCH(AF$5,APOIO_REDES!$5:$5,0)),0)</f>
        <v>1.363</v>
      </c>
      <c r="AG187" s="153" t="n">
        <f aca="false">IFERROR(INDEX(APOIO_REDES!$A:$W,MATCH($C187&amp;$I187&amp;$H187&amp;$N187&amp;$O187,APOIO_REDES!$W:$W,0),MATCH(AG$5,APOIO_REDES!$5:$5,0)),0)</f>
        <v>0.65</v>
      </c>
      <c r="AH187" s="153" t="n">
        <f aca="false">IFERROR(INDEX(APOIO_REDES!$A:$W,MATCH($C187&amp;$I187&amp;$H187&amp;$N187&amp;$O187,APOIO_REDES!$W:$W,0),MATCH(AH$5,APOIO_REDES!$5:$5,0)),0)</f>
        <v>0.1</v>
      </c>
      <c r="AI187" s="153" t="n">
        <f aca="false">IFERROR(IF($H187&lt;&gt;"",(((($H187/1000)/2)^2)*PI()*$M187),0),0)</f>
        <v>0.0787727889969534</v>
      </c>
      <c r="AJ187" s="153" t="n">
        <f aca="false">IFERROR(IF(AND($H187&lt;&gt;"",$I187="FoFo",OR($N187="MND",$N187="VCA"),$Q187="LINEAR"),0,IF(AND($H187&lt;&gt;"",$I187="PEAD",$N187="VCA",$Q187="LINEAR"),($H187/1000)+0.3,IF(AND($H187&lt;&gt;"",$I187="PEAD",$N187="MND",$Q187="EMBOQUE"),0,IF(AND($H187&lt;&gt;"",$I187="PVC",$N187="VCA",$Q187="LINEAR"),($H187/1000)+0.2,IF(AND($H187&lt;&gt;"",$I187="PVC",$N187="MND",$Q187="EMBOQUE"),0,IF(AND($H187&lt;&gt;"",$I187="PEAD",$N187="VCA",$Q187="PREDIAL"),0,0)))))),0)</f>
        <v>0.363</v>
      </c>
      <c r="AK187" s="153" t="n">
        <f aca="false">IF(AA187&lt;&gt;"",AA187,0)</f>
        <v>4.2</v>
      </c>
      <c r="AL187" s="153" t="n">
        <f aca="false">IF(AND($N187="MND",$Q187="EMBOQUE"),$M187,IF(AND($N187="VCA",$Q187="LINEAR"),$M187,IF(AND($N187="VCA",$Q187="PREDIAL"),0,0)))</f>
        <v>25.27</v>
      </c>
      <c r="AM187" s="153" t="n">
        <f aca="false">IF(AND($N187="MND",$Q187="EMBOQUE"),$M187,IF(AND($N187="VCA",$Q187="LINEAR"),$M187,IF(AND($N187="VCA",$Q187="PREDIAL"),0,0)))</f>
        <v>25.27</v>
      </c>
      <c r="AN187" s="153" t="n">
        <f aca="false">ROUND(IF(AND($N187="VCA",$M187&lt;&gt;"",$Q187="LINEAR"),$M187/100,IF(AND($N187="MND",$M187&gt;100,$Q187="EMBOQUE"),$M187/100,0)),0)</f>
        <v>0</v>
      </c>
      <c r="AO187" s="153" t="n">
        <f aca="false">IF(AND($N187="MND",$Q187="EMBOQUE"),$AN187*2*2,IF(AND($N187="VCA",$Q187="LINEAR"),$M187*2,IF(AND($N187="VCA",$Q187="PREDIAL"),0,0)))</f>
        <v>50.54</v>
      </c>
      <c r="AP187" s="153" t="n">
        <f aca="false">IFERROR($M187*$AF187*$AG187,0)</f>
        <v>22.3879565</v>
      </c>
      <c r="AQ187" s="153" t="n">
        <f aca="false">IFERROR(IF(AND($N187="VCA",$AH187&gt;0),$M187*$AG187*$AH187,0),0)</f>
        <v>1.64255</v>
      </c>
      <c r="AR187" s="153" t="n">
        <f aca="false">IFERROR(IF(AND($N187="VCA",$AJ187&gt;0),($M187*$AG187*$AJ187)-$AI187,0),0)</f>
        <v>5.88368371100305</v>
      </c>
      <c r="AS187" s="153" t="n">
        <f aca="false">IFERROR(IF(AND($N187="VCA",$AP187&gt;0),$AP187-$AI187-$AQ187-$AR187,0),0)</f>
        <v>14.78295</v>
      </c>
      <c r="AT187" s="153" t="n">
        <f aca="false">IFERROR(IF($N187="VCA",INDEX(APOIO_REDES!$A:$W,MATCH($C187&amp;$I187&amp;$H187&amp;$N187&amp;$O187,APOIO_REDES!$W:$W,0),MATCH(AT$5,APOIO_REDES!$5:$5,0)),0)*$AP187,0)</f>
        <v>0.243587593216875</v>
      </c>
      <c r="AU187" s="153" t="n">
        <f aca="false">IFERROR(IF($N187="VCA",INDEX(APOIO_REDES!$A:$W,MATCH($C187&amp;$I187&amp;$H187&amp;$N187&amp;$O187,APOIO_REDES!$W:$W,0),MATCH(AU$5,APOIO_REDES!$5:$5,0)),0)*$AP187,0)</f>
        <v>0.194522454754313</v>
      </c>
      <c r="AV187" s="153" t="n">
        <f aca="false">IFERROR(IF($N187="VCA",INDEX(APOIO_REDES!$A:$W,MATCH($C187&amp;$I187&amp;$H187&amp;$N187&amp;$O187,APOIO_REDES!$W:$W,0),MATCH(AV$5,APOIO_REDES!$5:$5,0)),0)*$AP187,0)</f>
        <v>0.026920380676854</v>
      </c>
      <c r="AW187" s="153" t="n">
        <f aca="false">IFERROR(IF($N187="VCA",INDEX(APOIO_REDES!$A:$W,MATCH($C187&amp;$I187&amp;$H187&amp;$N187&amp;$O187,APOIO_REDES!$W:$W,0),MATCH(AW$5,APOIO_REDES!$5:$5,0)),0)*$AP187,0)</f>
        <v>15.3672668119519</v>
      </c>
      <c r="AX187" s="153" t="n">
        <f aca="false">IFERROR(IF($N187="VCA",INDEX(APOIO_REDES!$A:$W,MATCH($C187&amp;$I187&amp;$H187&amp;$N187&amp;$O187,APOIO_REDES!$W:$W,0),MATCH(AX$5,APOIO_REDES!$5:$5,0)),0)*$AP187,0)</f>
        <v>2.12678595228603</v>
      </c>
      <c r="AY187" s="153" t="n">
        <f aca="false">IFERROR(IF($N187="VCA",INDEX(APOIO_REDES!$A:$W,MATCH($C187&amp;$I187&amp;$H187&amp;$N187&amp;$O187,APOIO_REDES!$W:$W,0),MATCH(AY$5,APOIO_REDES!$5:$5,0)),0)*$AP187,0)</f>
        <v>3.89044672387331</v>
      </c>
      <c r="AZ187" s="153" t="n">
        <f aca="false">IFERROR(IF($N187="VCA",INDEX(APOIO_REDES!$A:$W,MATCH($C187&amp;$I187&amp;$H187&amp;$N187&amp;$O187,APOIO_REDES!$W:$W,0),MATCH(AZ$5,APOIO_REDES!$5:$5,0)),0)*$AP187,0)</f>
        <v>0.53842658324072</v>
      </c>
      <c r="BA187" s="153" t="n">
        <f aca="false">IFERROR(IF(AND($N187="VCA",$Q187="LINEAR"),INDEX(APOIO_REDES!$A:$W,MATCH($C187&amp;$I187&amp;$H187&amp;$N187&amp;$O187,APOIO_REDES!$W:$W,0),MATCH(BA$5,APOIO_REDES!$5:$5,0)),IF(AND($N187="MND",$Q187="EMBOQUE"),INDEX(APOIO_REDES!$A:$W,MATCH($C187&amp;$I187&amp;$H187&amp;$N187&amp;$O187,APOIO_REDES!$W:$W,0),MATCH(BA$5,APOIO_REDES!$5:$5,0)),0))*$M187/10,0)</f>
        <v>2.03669825844105</v>
      </c>
      <c r="BB187" s="153" t="n">
        <f aca="false">IFERROR(IF($N187="VCA",INDEX(APOIO_REDES!$A:$W,MATCH($C187&amp;$I187&amp;$H187&amp;$N187&amp;$O187,APOIO_REDES!$W:$W,0),MATCH(BB$5,APOIO_REDES!$5:$5,0)),0)*($AI187+$AQ187+$AR187),0)</f>
        <v>7.52226177831298</v>
      </c>
      <c r="BC187" s="153" t="n">
        <f aca="false">IFERROR(IF($N187="VCA",INDEX(APOIO_REDES!$A:$W,MATCH($C187&amp;$I187&amp;$H187&amp;$N187&amp;$O187,APOIO_REDES!$W:$W,0),MATCH(BC$5,APOIO_REDES!$5:$5,0)),0)*($AI187+$AQ187+$AR187),0)</f>
        <v>0.0827447216870236</v>
      </c>
      <c r="BD187" s="153" t="n">
        <f aca="false">IF(AND($N187="VCA",$AF187&gt;=1.25,$AF187&lt;1.5),$M187*$AF187*2,0)</f>
        <v>68.88602</v>
      </c>
      <c r="BE187" s="153" t="n">
        <f aca="false">IF(AND($N187="VCA",$AF187&gt;=1.5,$AF187&lt;3),$M187*$AF187*2,0)</f>
        <v>0</v>
      </c>
      <c r="BF187" s="153" t="n">
        <f aca="false">IF(AND($N187="VCA",$AF187&gt;=3),$M187*$AF187*2,0)</f>
        <v>0</v>
      </c>
      <c r="BG187" s="153" t="n">
        <f aca="false">($BB187+$BC187)*$AK187</f>
        <v>31.9410273</v>
      </c>
      <c r="BH187" s="153" t="n">
        <f aca="false">IF(AND($M187&lt;&gt;"",$N187="VCA",$Q187="LINEAR"),($M187*2)/100,IF(AND($M187&lt;&gt;"",$N187="MND",$Q187="EMBOQUE"),($AN187*2)/100,0))</f>
        <v>0.5054</v>
      </c>
      <c r="BI187" s="153" t="n">
        <f aca="false">IF(AND($M187&lt;&gt;"",$N187="VCA",$Q187="LINEAR"),$M187,IF(AND($M187&lt;&gt;"",$N187="MND",$Q187="EMBOQUE"),$AN187*2,0))</f>
        <v>25.27</v>
      </c>
      <c r="BJ187" s="153" t="n">
        <f aca="false">IF(AND($M187&lt;&gt;"",$N187="VCA",$Q187="LINEAR"),($M187*6.8)/100,IF(AND($M187&lt;&gt;"",$N187="MND",$Q187="EMBOQUE"),($AN187*2*6.8)/100,0))</f>
        <v>1.71836</v>
      </c>
      <c r="BK187" s="153" t="n">
        <f aca="false">IF(AND($M187&lt;&gt;"",$N187="VCA",$Q187="LINEAR"),($M187*2.5)/50,IF(AND($M187&lt;&gt;"",$N187="MND",$Q187="EMBOQUE"),($AN187*2*2.5)/50,0))</f>
        <v>1.2635</v>
      </c>
      <c r="BL187" s="157" t="str">
        <f aca="false">K187&amp;J187</f>
        <v>Zona02REDES</v>
      </c>
      <c r="BM187" s="152" t="s">
        <v>2037</v>
      </c>
      <c r="BN187" s="152" t="s">
        <v>1560</v>
      </c>
      <c r="BO187" s="152" t="s">
        <v>2231</v>
      </c>
      <c r="BP187" s="152" t="s">
        <v>2251</v>
      </c>
      <c r="BQ187" s="152" t="s">
        <v>2195</v>
      </c>
      <c r="BR187" s="152" t="s">
        <v>2196</v>
      </c>
      <c r="BS187" s="152" t="n">
        <v>202682.637</v>
      </c>
      <c r="BT187" s="152" t="n">
        <v>8237907.687</v>
      </c>
      <c r="BU187" s="152" t="n">
        <v>202661.769</v>
      </c>
      <c r="BV187" s="152" t="n">
        <v>8237921.94</v>
      </c>
      <c r="BW187" s="152" t="n">
        <v>-15.9201936</v>
      </c>
      <c r="BX187" s="152" t="n">
        <v>-47.7769532</v>
      </c>
      <c r="BY187" s="152" t="s">
        <v>2251</v>
      </c>
    </row>
    <row r="188" customFormat="false" ht="13.8" hidden="false" customHeight="false" outlineLevel="0" collapsed="false">
      <c r="A188" s="149" t="n">
        <f aca="false">IF(C188&lt;&gt;"",ROW(A183),"")</f>
        <v>183</v>
      </c>
      <c r="B188" s="150" t="str">
        <f aca="false">HYPERLINK("https://www.google.com/maps/dir/-15.917302,-47.760003/-15.9210592,-47.7753623/data=!4m3!4m2!3e0!5i2")</f>
        <v>https://www.google.com/maps/dir/-15.917302,-47.760003/-15.9210592,-47.7753623/data=!4m3!4m2!3e0!5i2</v>
      </c>
      <c r="C188" s="151" t="s">
        <v>117</v>
      </c>
      <c r="D188" s="152" t="s">
        <v>112</v>
      </c>
      <c r="E188" s="152" t="s">
        <v>113</v>
      </c>
      <c r="F188" s="152" t="s">
        <v>117</v>
      </c>
      <c r="G188" s="152" t="s">
        <v>782</v>
      </c>
      <c r="H188" s="152" t="n">
        <v>63</v>
      </c>
      <c r="I188" s="152" t="s">
        <v>115</v>
      </c>
      <c r="J188" s="152" t="s">
        <v>6</v>
      </c>
      <c r="K188" s="152" t="s">
        <v>2033</v>
      </c>
      <c r="L188" s="152" t="s">
        <v>120</v>
      </c>
      <c r="M188" s="153" t="n">
        <f aca="false">208.19</f>
        <v>208.19</v>
      </c>
      <c r="N188" s="152" t="s">
        <v>1548</v>
      </c>
      <c r="O188" s="152" t="s">
        <v>1549</v>
      </c>
      <c r="P188" s="152" t="s">
        <v>1550</v>
      </c>
      <c r="Q188" s="152" t="s">
        <v>1551</v>
      </c>
      <c r="R188" s="154" t="s">
        <v>2252</v>
      </c>
      <c r="S188" s="154" t="s">
        <v>1553</v>
      </c>
      <c r="T188" s="155" t="s">
        <v>2227</v>
      </c>
      <c r="U188" s="152" t="str">
        <f aca="false">RIGHT(T188,7)</f>
        <v>008/037</v>
      </c>
      <c r="V188" s="152" t="s">
        <v>1555</v>
      </c>
      <c r="W188" s="156" t="n">
        <v>45882</v>
      </c>
      <c r="X188" s="152" t="s">
        <v>1594</v>
      </c>
      <c r="Y188" s="152"/>
      <c r="Z188" s="152" t="s">
        <v>1557</v>
      </c>
      <c r="AA188" s="153" t="n">
        <v>4.1</v>
      </c>
      <c r="AB188" s="151" t="s">
        <v>2253</v>
      </c>
      <c r="AC188" s="151" t="s">
        <v>186</v>
      </c>
      <c r="AD188" s="151" t="str">
        <f aca="false">CONCATENATE($C188,$I188,$H188,$N188,$J188,$K188)</f>
        <v>TUBO PEADPEAD63VCAREDESZona02</v>
      </c>
      <c r="AE188" s="153" t="n">
        <f aca="false">IFERROR(INDEX(APOIO_REDES!$A:$W,MATCH($C188&amp;$I188&amp;$H188&amp;$N188&amp;$O188,APOIO_REDES!$W:$W,0),MATCH(AE$5,APOIO_REDES!$5:$5,0)),0)</f>
        <v>1.2</v>
      </c>
      <c r="AF188" s="153" t="n">
        <f aca="false">IFERROR(INDEX(APOIO_REDES!$A:$W,MATCH($C188&amp;$I188&amp;$H188&amp;$N188&amp;$O188,APOIO_REDES!$W:$W,0),MATCH(AF$5,APOIO_REDES!$5:$5,0)),0)</f>
        <v>1.363</v>
      </c>
      <c r="AG188" s="153" t="n">
        <f aca="false">IFERROR(INDEX(APOIO_REDES!$A:$W,MATCH($C188&amp;$I188&amp;$H188&amp;$N188&amp;$O188,APOIO_REDES!$W:$W,0),MATCH(AG$5,APOIO_REDES!$5:$5,0)),0)</f>
        <v>0.65</v>
      </c>
      <c r="AH188" s="153" t="n">
        <f aca="false">IFERROR(INDEX(APOIO_REDES!$A:$W,MATCH($C188&amp;$I188&amp;$H188&amp;$N188&amp;$O188,APOIO_REDES!$W:$W,0),MATCH(AH$5,APOIO_REDES!$5:$5,0)),0)</f>
        <v>0.1</v>
      </c>
      <c r="AI188" s="153" t="n">
        <f aca="false">IFERROR(IF($H188&lt;&gt;"",(((($H188/1000)/2)^2)*PI()*$M188),0),0)</f>
        <v>0.64897930119809</v>
      </c>
      <c r="AJ188" s="153" t="n">
        <f aca="false">IFERROR(IF(AND($H188&lt;&gt;"",$I188="FoFo",OR($N188="MND",$N188="VCA"),$Q188="LINEAR"),0,IF(AND($H188&lt;&gt;"",$I188="PEAD",$N188="VCA",$Q188="LINEAR"),($H188/1000)+0.3,IF(AND($H188&lt;&gt;"",$I188="PEAD",$N188="MND",$Q188="EMBOQUE"),0,IF(AND($H188&lt;&gt;"",$I188="PVC",$N188="VCA",$Q188="LINEAR"),($H188/1000)+0.2,IF(AND($H188&lt;&gt;"",$I188="PVC",$N188="MND",$Q188="EMBOQUE"),0,IF(AND($H188&lt;&gt;"",$I188="PEAD",$N188="VCA",$Q188="PREDIAL"),0,0)))))),0)</f>
        <v>0.363</v>
      </c>
      <c r="AK188" s="153" t="n">
        <f aca="false">IF(AA188&lt;&gt;"",AA188,0)</f>
        <v>4.1</v>
      </c>
      <c r="AL188" s="153" t="n">
        <f aca="false">IF(AND($N188="MND",$Q188="EMBOQUE"),$M188,IF(AND($N188="VCA",$Q188="LINEAR"),$M188,IF(AND($N188="VCA",$Q188="PREDIAL"),0,0)))</f>
        <v>208.19</v>
      </c>
      <c r="AM188" s="153" t="n">
        <f aca="false">IF(AND($N188="MND",$Q188="EMBOQUE"),$M188,IF(AND($N188="VCA",$Q188="LINEAR"),$M188,IF(AND($N188="VCA",$Q188="PREDIAL"),0,0)))</f>
        <v>208.19</v>
      </c>
      <c r="AN188" s="153" t="n">
        <f aca="false">ROUND(IF(AND($N188="VCA",$M188&lt;&gt;"",$Q188="LINEAR"),$M188/100,IF(AND($N188="MND",$M188&gt;100,$Q188="EMBOQUE"),$M188/100,0)),0)</f>
        <v>2</v>
      </c>
      <c r="AO188" s="153" t="n">
        <f aca="false">IF(AND($N188="MND",$Q188="EMBOQUE"),$AN188*2*2,IF(AND($N188="VCA",$Q188="LINEAR"),$M188*2,IF(AND($N188="VCA",$Q188="PREDIAL"),0,0)))</f>
        <v>416.38</v>
      </c>
      <c r="AP188" s="153" t="n">
        <f aca="false">IFERROR($M188*$AF188*$AG188,0)</f>
        <v>184.4459305</v>
      </c>
      <c r="AQ188" s="153" t="n">
        <f aca="false">IFERROR(IF(AND($N188="VCA",$AH188&gt;0),$M188*$AG188*$AH188,0),0)</f>
        <v>13.53235</v>
      </c>
      <c r="AR188" s="153" t="n">
        <f aca="false">IFERROR(IF(AND($N188="VCA",$AJ188&gt;0),($M188*$AG188*$AJ188)-$AI188,0),0)</f>
        <v>48.4734511988019</v>
      </c>
      <c r="AS188" s="153" t="n">
        <f aca="false">IFERROR(IF(AND($N188="VCA",$AP188&gt;0),$AP188-$AI188-$AQ188-$AR188,0),0)</f>
        <v>121.79115</v>
      </c>
      <c r="AT188" s="153" t="n">
        <f aca="false">IFERROR(IF($N188="VCA",INDEX(APOIO_REDES!$A:$W,MATCH($C188&amp;$I188&amp;$H188&amp;$N188&amp;$O188,APOIO_REDES!$W:$W,0),MATCH(AT$5,APOIO_REDES!$5:$5,0)),0)*$AP188,0)</f>
        <v>2.00682631704872</v>
      </c>
      <c r="AU188" s="153" t="n">
        <f aca="false">IFERROR(IF($N188="VCA",INDEX(APOIO_REDES!$A:$W,MATCH($C188&amp;$I188&amp;$H188&amp;$N188&amp;$O188,APOIO_REDES!$W:$W,0),MATCH(AU$5,APOIO_REDES!$5:$5,0)),0)*$AP188,0)</f>
        <v>1.60259714504553</v>
      </c>
      <c r="AV188" s="153" t="n">
        <f aca="false">IFERROR(IF($N188="VCA",INDEX(APOIO_REDES!$A:$W,MATCH($C188&amp;$I188&amp;$H188&amp;$N188&amp;$O188,APOIO_REDES!$W:$W,0),MATCH(AV$5,APOIO_REDES!$5:$5,0)),0)*$AP188,0)</f>
        <v>0.221786863993441</v>
      </c>
      <c r="AW188" s="153" t="n">
        <f aca="false">IFERROR(IF($N188="VCA",INDEX(APOIO_REDES!$A:$W,MATCH($C188&amp;$I188&amp;$H188&amp;$N188&amp;$O188,APOIO_REDES!$W:$W,0),MATCH(AW$5,APOIO_REDES!$5:$5,0)),0)*$AP188,0)</f>
        <v>126.605115852009</v>
      </c>
      <c r="AX188" s="153" t="n">
        <f aca="false">IFERROR(IF($N188="VCA",INDEX(APOIO_REDES!$A:$W,MATCH($C188&amp;$I188&amp;$H188&amp;$N188&amp;$O188,APOIO_REDES!$W:$W,0),MATCH(AX$5,APOIO_REDES!$5:$5,0)),0)*$AP188,0)</f>
        <v>17.521787392419</v>
      </c>
      <c r="AY188" s="153" t="n">
        <f aca="false">IFERROR(IF($N188="VCA",INDEX(APOIO_REDES!$A:$W,MATCH($C188&amp;$I188&amp;$H188&amp;$N188&amp;$O188,APOIO_REDES!$W:$W,0),MATCH(AY$5,APOIO_REDES!$5:$5,0)),0)*$AP188,0)</f>
        <v>32.0519233653813</v>
      </c>
      <c r="AZ188" s="153" t="n">
        <f aca="false">IFERROR(IF($N188="VCA",INDEX(APOIO_REDES!$A:$W,MATCH($C188&amp;$I188&amp;$H188&amp;$N188&amp;$O188,APOIO_REDES!$W:$W,0),MATCH(AZ$5,APOIO_REDES!$5:$5,0)),0)*$AP188,0)</f>
        <v>4.4358935641031</v>
      </c>
      <c r="BA188" s="153" t="n">
        <f aca="false">IFERROR(IF(AND($N188="VCA",$Q188="LINEAR"),INDEX(APOIO_REDES!$A:$W,MATCH($C188&amp;$I188&amp;$H188&amp;$N188&amp;$O188,APOIO_REDES!$W:$W,0),MATCH(BA$5,APOIO_REDES!$5:$5,0)),IF(AND($N188="MND",$Q188="EMBOQUE"),INDEX(APOIO_REDES!$A:$W,MATCH($C188&amp;$I188&amp;$H188&amp;$N188&amp;$O188,APOIO_REDES!$W:$W,0),MATCH(BA$5,APOIO_REDES!$5:$5,0)),0))*$M188/10,0)</f>
        <v>16.7795888573345</v>
      </c>
      <c r="BB188" s="153" t="n">
        <f aca="false">IFERROR(IF($N188="VCA",INDEX(APOIO_REDES!$A:$W,MATCH($C188&amp;$I188&amp;$H188&amp;$N188&amp;$O188,APOIO_REDES!$W:$W,0),MATCH(BB$5,APOIO_REDES!$5:$5,0)),0)*($AI188+$AQ188+$AR188),0)</f>
        <v>61.9730779432916</v>
      </c>
      <c r="BC188" s="153" t="n">
        <f aca="false">IFERROR(IF($N188="VCA",INDEX(APOIO_REDES!$A:$W,MATCH($C188&amp;$I188&amp;$H188&amp;$N188&amp;$O188,APOIO_REDES!$W:$W,0),MATCH(BC$5,APOIO_REDES!$5:$5,0)),0)*($AI188+$AQ188+$AR188),0)</f>
        <v>0.681702556708407</v>
      </c>
      <c r="BD188" s="153" t="n">
        <f aca="false">IF(AND($N188="VCA",$AF188&gt;=1.25,$AF188&lt;1.5),$M188*$AF188*2,0)</f>
        <v>567.52594</v>
      </c>
      <c r="BE188" s="153" t="n">
        <f aca="false">IF(AND($N188="VCA",$AF188&gt;=1.5,$AF188&lt;3),$M188*$AF188*2,0)</f>
        <v>0</v>
      </c>
      <c r="BF188" s="153" t="n">
        <f aca="false">IF(AND($N188="VCA",$AF188&gt;=3),$M188*$AF188*2,0)</f>
        <v>0</v>
      </c>
      <c r="BG188" s="153" t="n">
        <f aca="false">($BB188+$BC188)*$AK188</f>
        <v>256.88460005</v>
      </c>
      <c r="BH188" s="153" t="n">
        <f aca="false">IF(AND($M188&lt;&gt;"",$N188="VCA",$Q188="LINEAR"),($M188*2)/100,IF(AND($M188&lt;&gt;"",$N188="MND",$Q188="EMBOQUE"),($AN188*2)/100,0))</f>
        <v>4.1638</v>
      </c>
      <c r="BI188" s="153" t="n">
        <f aca="false">IF(AND($M188&lt;&gt;"",$N188="VCA",$Q188="LINEAR"),$M188,IF(AND($M188&lt;&gt;"",$N188="MND",$Q188="EMBOQUE"),$AN188*2,0))</f>
        <v>208.19</v>
      </c>
      <c r="BJ188" s="153" t="n">
        <f aca="false">IF(AND($M188&lt;&gt;"",$N188="VCA",$Q188="LINEAR"),($M188*6.8)/100,IF(AND($M188&lt;&gt;"",$N188="MND",$Q188="EMBOQUE"),($AN188*2*6.8)/100,0))</f>
        <v>14.15692</v>
      </c>
      <c r="BK188" s="153" t="n">
        <f aca="false">IF(AND($M188&lt;&gt;"",$N188="VCA",$Q188="LINEAR"),($M188*2.5)/50,IF(AND($M188&lt;&gt;"",$N188="MND",$Q188="EMBOQUE"),($AN188*2*2.5)/50,0))</f>
        <v>10.4095</v>
      </c>
      <c r="BL188" s="157" t="str">
        <f aca="false">K188&amp;J188</f>
        <v>Zona02REDES</v>
      </c>
      <c r="BM188" s="152" t="s">
        <v>2037</v>
      </c>
      <c r="BN188" s="152" t="s">
        <v>1560</v>
      </c>
      <c r="BO188" s="152" t="s">
        <v>2231</v>
      </c>
      <c r="BP188" s="152" t="s">
        <v>2254</v>
      </c>
      <c r="BQ188" s="152" t="s">
        <v>2192</v>
      </c>
      <c r="BR188" s="152" t="s">
        <v>2255</v>
      </c>
      <c r="BS188" s="152" t="n">
        <v>202843.924</v>
      </c>
      <c r="BT188" s="152" t="n">
        <v>8237821.236</v>
      </c>
      <c r="BU188" s="152" t="n">
        <v>202676.368</v>
      </c>
      <c r="BV188" s="152" t="n">
        <v>8237944.642</v>
      </c>
      <c r="BW188" s="152" t="n">
        <v>-15.920483</v>
      </c>
      <c r="BX188" s="152" t="n">
        <v>-47.7761292</v>
      </c>
      <c r="BY188" s="152" t="s">
        <v>2254</v>
      </c>
    </row>
    <row r="189" customFormat="false" ht="13.8" hidden="false" customHeight="false" outlineLevel="0" collapsed="false">
      <c r="A189" s="149" t="n">
        <f aca="false">IF(C189&lt;&gt;"",ROW(A184),"")</f>
        <v>184</v>
      </c>
      <c r="B189" s="150" t="str">
        <f aca="false">HYPERLINK("https://www.google.com/maps/dir/-15.917302,-47.760003/-15.9205085,-47.7734921/data=!4m3!4m2!3e0!5i2")</f>
        <v>https://www.google.com/maps/dir/-15.917302,-47.760003/-15.9205085,-47.7734921/data=!4m3!4m2!3e0!5i2</v>
      </c>
      <c r="C189" s="151" t="s">
        <v>117</v>
      </c>
      <c r="D189" s="152" t="s">
        <v>112</v>
      </c>
      <c r="E189" s="152" t="s">
        <v>113</v>
      </c>
      <c r="F189" s="152" t="s">
        <v>117</v>
      </c>
      <c r="G189" s="152" t="s">
        <v>114</v>
      </c>
      <c r="H189" s="152" t="n">
        <v>160</v>
      </c>
      <c r="I189" s="152" t="s">
        <v>115</v>
      </c>
      <c r="J189" s="152" t="s">
        <v>6</v>
      </c>
      <c r="K189" s="152" t="s">
        <v>2033</v>
      </c>
      <c r="L189" s="152" t="s">
        <v>120</v>
      </c>
      <c r="M189" s="153" t="n">
        <f aca="false">45.64</f>
        <v>45.64</v>
      </c>
      <c r="N189" s="152" t="s">
        <v>1548</v>
      </c>
      <c r="O189" s="152" t="s">
        <v>1549</v>
      </c>
      <c r="P189" s="152" t="s">
        <v>1550</v>
      </c>
      <c r="Q189" s="152" t="s">
        <v>1551</v>
      </c>
      <c r="R189" s="154" t="s">
        <v>2256</v>
      </c>
      <c r="S189" s="154" t="s">
        <v>1593</v>
      </c>
      <c r="T189" s="155" t="s">
        <v>2227</v>
      </c>
      <c r="U189" s="152" t="str">
        <f aca="false">RIGHT(T189,7)</f>
        <v>008/037</v>
      </c>
      <c r="V189" s="152" t="s">
        <v>1555</v>
      </c>
      <c r="W189" s="156" t="n">
        <v>45882</v>
      </c>
      <c r="X189" s="152" t="s">
        <v>1594</v>
      </c>
      <c r="Y189" s="152" t="s">
        <v>2164</v>
      </c>
      <c r="Z189" s="152" t="s">
        <v>1557</v>
      </c>
      <c r="AA189" s="153" t="n">
        <v>4.1</v>
      </c>
      <c r="AB189" s="151" t="s">
        <v>2257</v>
      </c>
      <c r="AC189" s="151" t="s">
        <v>505</v>
      </c>
      <c r="AD189" s="151" t="str">
        <f aca="false">CONCATENATE($C189,$I189,$H189,$N189,$J189,$K189)</f>
        <v>TUBO PEADPEAD160VCAREDESZona02</v>
      </c>
      <c r="AE189" s="153" t="n">
        <f aca="false">IFERROR(INDEX(APOIO_REDES!$A:$W,MATCH($C189&amp;$I189&amp;$H189&amp;$N189&amp;$O189,APOIO_REDES!$W:$W,0),MATCH(AE$5,APOIO_REDES!$5:$5,0)),0)</f>
        <v>1.2</v>
      </c>
      <c r="AF189" s="153" t="n">
        <f aca="false">IFERROR(INDEX(APOIO_REDES!$A:$W,MATCH($C189&amp;$I189&amp;$H189&amp;$N189&amp;$O189,APOIO_REDES!$W:$W,0),MATCH(AF$5,APOIO_REDES!$5:$5,0)),0)</f>
        <v>1.46</v>
      </c>
      <c r="AG189" s="153" t="n">
        <f aca="false">IFERROR(INDEX(APOIO_REDES!$A:$W,MATCH($C189&amp;$I189&amp;$H189&amp;$N189&amp;$O189,APOIO_REDES!$W:$W,0),MATCH(AG$5,APOIO_REDES!$5:$5,0)),0)</f>
        <v>0.75</v>
      </c>
      <c r="AH189" s="153" t="n">
        <f aca="false">IFERROR(INDEX(APOIO_REDES!$A:$W,MATCH($C189&amp;$I189&amp;$H189&amp;$N189&amp;$O189,APOIO_REDES!$W:$W,0),MATCH(AH$5,APOIO_REDES!$5:$5,0)),0)</f>
        <v>0.1</v>
      </c>
      <c r="AI189" s="153" t="n">
        <f aca="false">IFERROR(IF($H189&lt;&gt;"",(((($H189/1000)/2)^2)*PI()*$M189),0),0)</f>
        <v>0.917646647742964</v>
      </c>
      <c r="AJ189" s="153" t="n">
        <f aca="false">IFERROR(IF(AND($H189&lt;&gt;"",$I189="FoFo",OR($N189="MND",$N189="VCA"),$Q189="LINEAR"),0,IF(AND($H189&lt;&gt;"",$I189="PEAD",$N189="VCA",$Q189="LINEAR"),($H189/1000)+0.3,IF(AND($H189&lt;&gt;"",$I189="PEAD",$N189="MND",$Q189="EMBOQUE"),0,IF(AND($H189&lt;&gt;"",$I189="PVC",$N189="VCA",$Q189="LINEAR"),($H189/1000)+0.2,IF(AND($H189&lt;&gt;"",$I189="PVC",$N189="MND",$Q189="EMBOQUE"),0,IF(AND($H189&lt;&gt;"",$I189="PEAD",$N189="VCA",$Q189="PREDIAL"),0,0)))))),0)</f>
        <v>0.46</v>
      </c>
      <c r="AK189" s="153" t="n">
        <f aca="false">IF(AA189&lt;&gt;"",AA189,0)</f>
        <v>4.1</v>
      </c>
      <c r="AL189" s="153" t="n">
        <f aca="false">IF(AND($N189="MND",$Q189="EMBOQUE"),$M189,IF(AND($N189="VCA",$Q189="LINEAR"),$M189,IF(AND($N189="VCA",$Q189="PREDIAL"),0,0)))</f>
        <v>45.64</v>
      </c>
      <c r="AM189" s="153" t="n">
        <f aca="false">IF(AND($N189="MND",$Q189="EMBOQUE"),$M189,IF(AND($N189="VCA",$Q189="LINEAR"),$M189,IF(AND($N189="VCA",$Q189="PREDIAL"),0,0)))</f>
        <v>45.64</v>
      </c>
      <c r="AN189" s="153" t="n">
        <f aca="false">ROUND(IF(AND($N189="VCA",$M189&lt;&gt;"",$Q189="LINEAR"),$M189/100,IF(AND($N189="MND",$M189&gt;100,$Q189="EMBOQUE"),$M189/100,0)),0)</f>
        <v>0</v>
      </c>
      <c r="AO189" s="153" t="n">
        <f aca="false">IF(AND($N189="MND",$Q189="EMBOQUE"),$AN189*2*2,IF(AND($N189="VCA",$Q189="LINEAR"),$M189*2,IF(AND($N189="VCA",$Q189="PREDIAL"),0,0)))</f>
        <v>91.28</v>
      </c>
      <c r="AP189" s="153" t="n">
        <f aca="false">IFERROR($M189*$AF189*$AG189,0)</f>
        <v>49.9758</v>
      </c>
      <c r="AQ189" s="153" t="n">
        <f aca="false">IFERROR(IF(AND($N189="VCA",$AH189&gt;0),$M189*$AG189*$AH189,0),0)</f>
        <v>3.423</v>
      </c>
      <c r="AR189" s="153" t="n">
        <f aca="false">IFERROR(IF(AND($N189="VCA",$AJ189&gt;0),($M189*$AG189*$AJ189)-$AI189,0),0)</f>
        <v>14.828153352257</v>
      </c>
      <c r="AS189" s="153" t="n">
        <f aca="false">IFERROR(IF(AND($N189="VCA",$AP189&gt;0),$AP189-$AI189-$AQ189-$AR189,0),0)</f>
        <v>30.807</v>
      </c>
      <c r="AT189" s="153" t="n">
        <f aca="false">IFERROR(IF($N189="VCA",INDEX(APOIO_REDES!$A:$W,MATCH($C189&amp;$I189&amp;$H189&amp;$N189&amp;$O189,APOIO_REDES!$W:$W,0),MATCH(AT$5,APOIO_REDES!$5:$5,0)),0)*$AP189,0)</f>
        <v>0.54375149608174</v>
      </c>
      <c r="AU189" s="153" t="n">
        <f aca="false">IFERROR(IF($N189="VCA",INDEX(APOIO_REDES!$A:$W,MATCH($C189&amp;$I189&amp;$H189&amp;$N189&amp;$O189,APOIO_REDES!$W:$W,0),MATCH(AU$5,APOIO_REDES!$5:$5,0)),0)*$AP189,0)</f>
        <v>0.434225218112721</v>
      </c>
      <c r="AV189" s="153" t="n">
        <f aca="false">IFERROR(IF($N189="VCA",INDEX(APOIO_REDES!$A:$W,MATCH($C189&amp;$I189&amp;$H189&amp;$N189&amp;$O189,APOIO_REDES!$W:$W,0),MATCH(AV$5,APOIO_REDES!$5:$5,0)),0)*$AP189,0)</f>
        <v>0.0600933613851859</v>
      </c>
      <c r="AW189" s="153" t="n">
        <f aca="false">IFERROR(IF($N189="VCA",INDEX(APOIO_REDES!$A:$W,MATCH($C189&amp;$I189&amp;$H189&amp;$N189&amp;$O189,APOIO_REDES!$W:$W,0),MATCH(AW$5,APOIO_REDES!$5:$5,0)),0)*$AP189,0)</f>
        <v>34.3037763513944</v>
      </c>
      <c r="AX189" s="153" t="n">
        <f aca="false">IFERROR(IF($N189="VCA",INDEX(APOIO_REDES!$A:$W,MATCH($C189&amp;$I189&amp;$H189&amp;$N189&amp;$O189,APOIO_REDES!$W:$W,0),MATCH(AX$5,APOIO_REDES!$5:$5,0)),0)*$AP189,0)</f>
        <v>4.74754493087638</v>
      </c>
      <c r="AY189" s="153" t="n">
        <f aca="false">IFERROR(IF($N189="VCA",INDEX(APOIO_REDES!$A:$W,MATCH($C189&amp;$I189&amp;$H189&amp;$N189&amp;$O189,APOIO_REDES!$W:$W,0),MATCH(AY$5,APOIO_REDES!$5:$5,0)),0)*$AP189,0)</f>
        <v>8.68449906908422</v>
      </c>
      <c r="AZ189" s="153" t="n">
        <f aca="false">IFERROR(IF($N189="VCA",INDEX(APOIO_REDES!$A:$W,MATCH($C189&amp;$I189&amp;$H189&amp;$N189&amp;$O189,APOIO_REDES!$W:$W,0),MATCH(AZ$5,APOIO_REDES!$5:$5,0)),0)*$AP189,0)</f>
        <v>1.20190957306539</v>
      </c>
      <c r="BA189" s="153" t="n">
        <f aca="false">IFERROR(IF(AND($N189="VCA",$Q189="LINEAR"),INDEX(APOIO_REDES!$A:$W,MATCH($C189&amp;$I189&amp;$H189&amp;$N189&amp;$O189,APOIO_REDES!$W:$W,0),MATCH(BA$5,APOIO_REDES!$5:$5,0)),IF(AND($N189="MND",$Q189="EMBOQUE"),INDEX(APOIO_REDES!$A:$W,MATCH($C189&amp;$I189&amp;$H189&amp;$N189&amp;$O189,APOIO_REDES!$W:$W,0),MATCH(BA$5,APOIO_REDES!$5:$5,0)),0))*$M189/10,0)</f>
        <v>3.67846887674117</v>
      </c>
      <c r="BB189" s="153" t="n">
        <f aca="false">IFERROR(IF($N189="VCA",INDEX(APOIO_REDES!$A:$W,MATCH($C189&amp;$I189&amp;$H189&amp;$N189&amp;$O189,APOIO_REDES!$W:$W,0),MATCH(BB$5,APOIO_REDES!$5:$5,0)),0)*($AI189+$AQ189+$AR189),0)</f>
        <v>18.9602377823248</v>
      </c>
      <c r="BC189" s="153" t="n">
        <f aca="false">IFERROR(IF($N189="VCA",INDEX(APOIO_REDES!$A:$W,MATCH($C189&amp;$I189&amp;$H189&amp;$N189&amp;$O189,APOIO_REDES!$W:$W,0),MATCH(BC$5,APOIO_REDES!$5:$5,0)),0)*($AI189+$AQ189+$AR189),0)</f>
        <v>0.208562217675188</v>
      </c>
      <c r="BD189" s="153" t="n">
        <f aca="false">IF(AND($N189="VCA",$AF189&gt;=1.25,$AF189&lt;1.5),$M189*$AF189*2,0)</f>
        <v>133.2688</v>
      </c>
      <c r="BE189" s="153" t="n">
        <f aca="false">IF(AND($N189="VCA",$AF189&gt;=1.5,$AF189&lt;3),$M189*$AF189*2,0)</f>
        <v>0</v>
      </c>
      <c r="BF189" s="153" t="n">
        <f aca="false">IF(AND($N189="VCA",$AF189&gt;=3),$M189*$AF189*2,0)</f>
        <v>0</v>
      </c>
      <c r="BG189" s="153" t="n">
        <f aca="false">($BB189+$BC189)*$AK189</f>
        <v>78.59208</v>
      </c>
      <c r="BH189" s="153" t="n">
        <f aca="false">IF(AND($M189&lt;&gt;"",$N189="VCA",$Q189="LINEAR"),($M189*2)/100,IF(AND($M189&lt;&gt;"",$N189="MND",$Q189="EMBOQUE"),($AN189*2)/100,0))</f>
        <v>0.9128</v>
      </c>
      <c r="BI189" s="153" t="n">
        <f aca="false">IF(AND($M189&lt;&gt;"",$N189="VCA",$Q189="LINEAR"),$M189,IF(AND($M189&lt;&gt;"",$N189="MND",$Q189="EMBOQUE"),$AN189*2,0))</f>
        <v>45.64</v>
      </c>
      <c r="BJ189" s="153" t="n">
        <f aca="false">IF(AND($M189&lt;&gt;"",$N189="VCA",$Q189="LINEAR"),($M189*6.8)/100,IF(AND($M189&lt;&gt;"",$N189="MND",$Q189="EMBOQUE"),($AN189*2*6.8)/100,0))</f>
        <v>3.10352</v>
      </c>
      <c r="BK189" s="153" t="n">
        <f aca="false">IF(AND($M189&lt;&gt;"",$N189="VCA",$Q189="LINEAR"),($M189*2.5)/50,IF(AND($M189&lt;&gt;"",$N189="MND",$Q189="EMBOQUE"),($AN189*2*2.5)/50,0))</f>
        <v>2.282</v>
      </c>
      <c r="BL189" s="157" t="str">
        <f aca="false">K189&amp;J189</f>
        <v>Zona02REDES</v>
      </c>
      <c r="BM189" s="152" t="s">
        <v>2037</v>
      </c>
      <c r="BN189" s="152" t="s">
        <v>1560</v>
      </c>
      <c r="BO189" s="152" t="s">
        <v>2231</v>
      </c>
      <c r="BP189" s="152" t="s">
        <v>2166</v>
      </c>
      <c r="BQ189" s="152" t="s">
        <v>2188</v>
      </c>
      <c r="BR189" s="152" t="s">
        <v>2258</v>
      </c>
      <c r="BS189" s="152" t="n">
        <v>203043.492</v>
      </c>
      <c r="BT189" s="152" t="n">
        <v>8237884.875</v>
      </c>
      <c r="BU189" s="152" t="n">
        <v>203012.076</v>
      </c>
      <c r="BV189" s="152" t="n">
        <v>8237851.886</v>
      </c>
      <c r="BW189" s="152" t="n">
        <v>-15.9206479</v>
      </c>
      <c r="BX189" s="152" t="n">
        <v>-47.7736487</v>
      </c>
      <c r="BY189" s="152" t="s">
        <v>2166</v>
      </c>
    </row>
    <row r="190" customFormat="false" ht="13.8" hidden="false" customHeight="false" outlineLevel="0" collapsed="false">
      <c r="A190" s="149" t="n">
        <f aca="false">IF(C190&lt;&gt;"",ROW(A185),"")</f>
        <v>185</v>
      </c>
      <c r="B190" s="150" t="str">
        <f aca="false">HYPERLINK("https://www.google.com/maps/dir/-15.917302,-47.760003/-15.9208628,-47.7748759/data=!4m3!4m2!3e0!5i2")</f>
        <v>https://www.google.com/maps/dir/-15.917302,-47.760003/-15.9208628,-47.7748759/data=!4m3!4m2!3e0!5i2</v>
      </c>
      <c r="C190" s="151" t="s">
        <v>117</v>
      </c>
      <c r="D190" s="152" t="s">
        <v>112</v>
      </c>
      <c r="E190" s="152" t="s">
        <v>113</v>
      </c>
      <c r="F190" s="152" t="s">
        <v>117</v>
      </c>
      <c r="G190" s="152" t="s">
        <v>782</v>
      </c>
      <c r="H190" s="152" t="n">
        <v>63</v>
      </c>
      <c r="I190" s="152" t="s">
        <v>115</v>
      </c>
      <c r="J190" s="152" t="s">
        <v>6</v>
      </c>
      <c r="K190" s="152" t="s">
        <v>2033</v>
      </c>
      <c r="L190" s="152" t="s">
        <v>120</v>
      </c>
      <c r="M190" s="153" t="n">
        <f aca="false">28.3+3.96</f>
        <v>32.26</v>
      </c>
      <c r="N190" s="152" t="s">
        <v>1548</v>
      </c>
      <c r="O190" s="152" t="s">
        <v>1549</v>
      </c>
      <c r="P190" s="152" t="s">
        <v>1550</v>
      </c>
      <c r="Q190" s="152" t="s">
        <v>1551</v>
      </c>
      <c r="R190" s="154" t="s">
        <v>2259</v>
      </c>
      <c r="S190" s="154" t="s">
        <v>1553</v>
      </c>
      <c r="T190" s="155" t="s">
        <v>2227</v>
      </c>
      <c r="U190" s="152" t="str">
        <f aca="false">RIGHT(T190,7)</f>
        <v>008/037</v>
      </c>
      <c r="V190" s="152" t="s">
        <v>1555</v>
      </c>
      <c r="W190" s="156" t="n">
        <v>45882</v>
      </c>
      <c r="X190" s="152" t="s">
        <v>1594</v>
      </c>
      <c r="Y190" s="152"/>
      <c r="Z190" s="152" t="s">
        <v>1557</v>
      </c>
      <c r="AA190" s="153" t="n">
        <v>4.1</v>
      </c>
      <c r="AB190" s="151" t="s">
        <v>2260</v>
      </c>
      <c r="AC190" s="151" t="s">
        <v>186</v>
      </c>
      <c r="AD190" s="151" t="str">
        <f aca="false">CONCATENATE($C190,$I190,$H190,$N190,$J190,$K190)</f>
        <v>TUBO PEADPEAD63VCAREDESZona02</v>
      </c>
      <c r="AE190" s="153" t="n">
        <f aca="false">IFERROR(INDEX(APOIO_REDES!$A:$W,MATCH($C190&amp;$I190&amp;$H190&amp;$N190&amp;$O190,APOIO_REDES!$W:$W,0),MATCH(AE$5,APOIO_REDES!$5:$5,0)),0)</f>
        <v>1.2</v>
      </c>
      <c r="AF190" s="153" t="n">
        <f aca="false">IFERROR(INDEX(APOIO_REDES!$A:$W,MATCH($C190&amp;$I190&amp;$H190&amp;$N190&amp;$O190,APOIO_REDES!$W:$W,0),MATCH(AF$5,APOIO_REDES!$5:$5,0)),0)</f>
        <v>1.363</v>
      </c>
      <c r="AG190" s="153" t="n">
        <f aca="false">IFERROR(INDEX(APOIO_REDES!$A:$W,MATCH($C190&amp;$I190&amp;$H190&amp;$N190&amp;$O190,APOIO_REDES!$W:$W,0),MATCH(AG$5,APOIO_REDES!$5:$5,0)),0)</f>
        <v>0.65</v>
      </c>
      <c r="AH190" s="153" t="n">
        <f aca="false">IFERROR(INDEX(APOIO_REDES!$A:$W,MATCH($C190&amp;$I190&amp;$H190&amp;$N190&amp;$O190,APOIO_REDES!$W:$W,0),MATCH(AH$5,APOIO_REDES!$5:$5,0)),0)</f>
        <v>0.1</v>
      </c>
      <c r="AI190" s="153" t="n">
        <f aca="false">IFERROR(IF($H190&lt;&gt;"",(((($H190/1000)/2)^2)*PI()*$M190),0),0)</f>
        <v>0.100562333717519</v>
      </c>
      <c r="AJ190" s="153" t="n">
        <f aca="false">IFERROR(IF(AND($H190&lt;&gt;"",$I190="FoFo",OR($N190="MND",$N190="VCA"),$Q190="LINEAR"),0,IF(AND($H190&lt;&gt;"",$I190="PEAD",$N190="VCA",$Q190="LINEAR"),($H190/1000)+0.3,IF(AND($H190&lt;&gt;"",$I190="PEAD",$N190="MND",$Q190="EMBOQUE"),0,IF(AND($H190&lt;&gt;"",$I190="PVC",$N190="VCA",$Q190="LINEAR"),($H190/1000)+0.2,IF(AND($H190&lt;&gt;"",$I190="PVC",$N190="MND",$Q190="EMBOQUE"),0,IF(AND($H190&lt;&gt;"",$I190="PEAD",$N190="VCA",$Q190="PREDIAL"),0,0)))))),0)</f>
        <v>0.363</v>
      </c>
      <c r="AK190" s="153" t="n">
        <f aca="false">IF(AA190&lt;&gt;"",AA190,0)</f>
        <v>4.1</v>
      </c>
      <c r="AL190" s="153" t="n">
        <f aca="false">IF(AND($N190="MND",$Q190="EMBOQUE"),$M190,IF(AND($N190="VCA",$Q190="LINEAR"),$M190,IF(AND($N190="VCA",$Q190="PREDIAL"),0,0)))</f>
        <v>32.26</v>
      </c>
      <c r="AM190" s="153" t="n">
        <f aca="false">IF(AND($N190="MND",$Q190="EMBOQUE"),$M190,IF(AND($N190="VCA",$Q190="LINEAR"),$M190,IF(AND($N190="VCA",$Q190="PREDIAL"),0,0)))</f>
        <v>32.26</v>
      </c>
      <c r="AN190" s="153" t="n">
        <f aca="false">ROUND(IF(AND($N190="VCA",$M190&lt;&gt;"",$Q190="LINEAR"),$M190/100,IF(AND($N190="MND",$M190&gt;100,$Q190="EMBOQUE"),$M190/100,0)),0)</f>
        <v>0</v>
      </c>
      <c r="AO190" s="153" t="n">
        <f aca="false">IF(AND($N190="MND",$Q190="EMBOQUE"),$AN190*2*2,IF(AND($N190="VCA",$Q190="LINEAR"),$M190*2,IF(AND($N190="VCA",$Q190="PREDIAL"),0,0)))</f>
        <v>64.52</v>
      </c>
      <c r="AP190" s="153" t="n">
        <f aca="false">IFERROR($M190*$AF190*$AG190,0)</f>
        <v>28.580747</v>
      </c>
      <c r="AQ190" s="153" t="n">
        <f aca="false">IFERROR(IF(AND($N190="VCA",$AH190&gt;0),$M190*$AG190*$AH190,0),0)</f>
        <v>2.0969</v>
      </c>
      <c r="AR190" s="153" t="n">
        <f aca="false">IFERROR(IF(AND($N190="VCA",$AJ190&gt;0),($M190*$AG190*$AJ190)-$AI190,0),0)</f>
        <v>7.51118466628248</v>
      </c>
      <c r="AS190" s="153" t="n">
        <f aca="false">IFERROR(IF(AND($N190="VCA",$AP190&gt;0),$AP190-$AI190-$AQ190-$AR190,0),0)</f>
        <v>18.8721</v>
      </c>
      <c r="AT190" s="153" t="n">
        <f aca="false">IFERROR(IF($N190="VCA",INDEX(APOIO_REDES!$A:$W,MATCH($C190&amp;$I190&amp;$H190&amp;$N190&amp;$O190,APOIO_REDES!$W:$W,0),MATCH(AT$5,APOIO_REDES!$5:$5,0)),0)*$AP190,0)</f>
        <v>0.310966986829299</v>
      </c>
      <c r="AU190" s="153" t="n">
        <f aca="false">IFERROR(IF($N190="VCA",INDEX(APOIO_REDES!$A:$W,MATCH($C190&amp;$I190&amp;$H190&amp;$N190&amp;$O190,APOIO_REDES!$W:$W,0),MATCH(AU$5,APOIO_REDES!$5:$5,0)),0)*$AP190,0)</f>
        <v>0.248329813627786</v>
      </c>
      <c r="AV190" s="153" t="n">
        <f aca="false">IFERROR(IF($N190="VCA",INDEX(APOIO_REDES!$A:$W,MATCH($C190&amp;$I190&amp;$H190&amp;$N190&amp;$O190,APOIO_REDES!$W:$W,0),MATCH(AV$5,APOIO_REDES!$5:$5,0)),0)*$AP190,0)</f>
        <v>0.0343668967406138</v>
      </c>
      <c r="AW190" s="153" t="n">
        <f aca="false">IFERROR(IF($N190="VCA",INDEX(APOIO_REDES!$A:$W,MATCH($C190&amp;$I190&amp;$H190&amp;$N190&amp;$O190,APOIO_REDES!$W:$W,0),MATCH(AW$5,APOIO_REDES!$5:$5,0)),0)*$AP190,0)</f>
        <v>19.6180461952342</v>
      </c>
      <c r="AX190" s="153" t="n">
        <f aca="false">IFERROR(IF($N190="VCA",INDEX(APOIO_REDES!$A:$W,MATCH($C190&amp;$I190&amp;$H190&amp;$N190&amp;$O190,APOIO_REDES!$W:$W,0),MATCH(AX$5,APOIO_REDES!$5:$5,0)),0)*$AP190,0)</f>
        <v>2.71508171035802</v>
      </c>
      <c r="AY190" s="153" t="n">
        <f aca="false">IFERROR(IF($N190="VCA",INDEX(APOIO_REDES!$A:$W,MATCH($C190&amp;$I190&amp;$H190&amp;$N190&amp;$O190,APOIO_REDES!$W:$W,0),MATCH(AY$5,APOIO_REDES!$5:$5,0)),0)*$AP190,0)</f>
        <v>4.96659324543542</v>
      </c>
      <c r="AZ190" s="153" t="n">
        <f aca="false">IFERROR(IF($N190="VCA",INDEX(APOIO_REDES!$A:$W,MATCH($C190&amp;$I190&amp;$H190&amp;$N190&amp;$O190,APOIO_REDES!$W:$W,0),MATCH(AZ$5,APOIO_REDES!$5:$5,0)),0)*$AP190,0)</f>
        <v>0.687362151774658</v>
      </c>
      <c r="BA190" s="153" t="n">
        <f aca="false">IFERROR(IF(AND($N190="VCA",$Q190="LINEAR"),INDEX(APOIO_REDES!$A:$W,MATCH($C190&amp;$I190&amp;$H190&amp;$N190&amp;$O190,APOIO_REDES!$W:$W,0),MATCH(BA$5,APOIO_REDES!$5:$5,0)),IF(AND($N190="MND",$Q190="EMBOQUE"),INDEX(APOIO_REDES!$A:$W,MATCH($C190&amp;$I190&amp;$H190&amp;$N190&amp;$O190,APOIO_REDES!$W:$W,0),MATCH(BA$5,APOIO_REDES!$5:$5,0)),0))*$M190/10,0)</f>
        <v>2.60007462672371</v>
      </c>
      <c r="BB190" s="153" t="n">
        <f aca="false">IFERROR(IF($N190="VCA",INDEX(APOIO_REDES!$A:$W,MATCH($C190&amp;$I190&amp;$H190&amp;$N190&amp;$O190,APOIO_REDES!$W:$W,0),MATCH(BB$5,APOIO_REDES!$5:$5,0)),0)*($AI190+$AQ190+$AR190),0)</f>
        <v>9.60301404702717</v>
      </c>
      <c r="BC190" s="153" t="n">
        <f aca="false">IFERROR(IF($N190="VCA",INDEX(APOIO_REDES!$A:$W,MATCH($C190&amp;$I190&amp;$H190&amp;$N190&amp;$O190,APOIO_REDES!$W:$W,0),MATCH(BC$5,APOIO_REDES!$5:$5,0)),0)*($AI190+$AQ190+$AR190),0)</f>
        <v>0.105632952972829</v>
      </c>
      <c r="BD190" s="153" t="n">
        <f aca="false">IF(AND($N190="VCA",$AF190&gt;=1.25,$AF190&lt;1.5),$M190*$AF190*2,0)</f>
        <v>87.94076</v>
      </c>
      <c r="BE190" s="153" t="n">
        <f aca="false">IF(AND($N190="VCA",$AF190&gt;=1.5,$AF190&lt;3),$M190*$AF190*2,0)</f>
        <v>0</v>
      </c>
      <c r="BF190" s="153" t="n">
        <f aca="false">IF(AND($N190="VCA",$AF190&gt;=3),$M190*$AF190*2,0)</f>
        <v>0</v>
      </c>
      <c r="BG190" s="153" t="n">
        <f aca="false">($BB190+$BC190)*$AK190</f>
        <v>39.8054527</v>
      </c>
      <c r="BH190" s="153" t="n">
        <f aca="false">IF(AND($M190&lt;&gt;"",$N190="VCA",$Q190="LINEAR"),($M190*2)/100,IF(AND($M190&lt;&gt;"",$N190="MND",$Q190="EMBOQUE"),($AN190*2)/100,0))</f>
        <v>0.6452</v>
      </c>
      <c r="BI190" s="153" t="n">
        <f aca="false">IF(AND($M190&lt;&gt;"",$N190="VCA",$Q190="LINEAR"),$M190,IF(AND($M190&lt;&gt;"",$N190="MND",$Q190="EMBOQUE"),$AN190*2,0))</f>
        <v>32.26</v>
      </c>
      <c r="BJ190" s="153" t="n">
        <f aca="false">IF(AND($M190&lt;&gt;"",$N190="VCA",$Q190="LINEAR"),($M190*6.8)/100,IF(AND($M190&lt;&gt;"",$N190="MND",$Q190="EMBOQUE"),($AN190*2*6.8)/100,0))</f>
        <v>2.19368</v>
      </c>
      <c r="BK190" s="153" t="n">
        <f aca="false">IF(AND($M190&lt;&gt;"",$N190="VCA",$Q190="LINEAR"),($M190*2.5)/50,IF(AND($M190&lt;&gt;"",$N190="MND",$Q190="EMBOQUE"),($AN190*2*2.5)/50,0))</f>
        <v>1.613</v>
      </c>
      <c r="BL190" s="157" t="str">
        <f aca="false">K190&amp;J190</f>
        <v>Zona02REDES</v>
      </c>
      <c r="BM190" s="152" t="s">
        <v>2037</v>
      </c>
      <c r="BN190" s="152" t="s">
        <v>1560</v>
      </c>
      <c r="BO190" s="152" t="s">
        <v>2231</v>
      </c>
      <c r="BP190" s="152" t="s">
        <v>2261</v>
      </c>
      <c r="BQ190" s="152" t="s">
        <v>2206</v>
      </c>
      <c r="BR190" s="152" t="s">
        <v>2262</v>
      </c>
      <c r="BS190" s="152" t="n">
        <v>202895.753</v>
      </c>
      <c r="BT190" s="152" t="n">
        <v>8237843.672</v>
      </c>
      <c r="BU190" s="152" t="n">
        <v>202873.007</v>
      </c>
      <c r="BV190" s="152" t="n">
        <v>8237860.508</v>
      </c>
      <c r="BW190" s="152" t="n">
        <v>-15.9207855</v>
      </c>
      <c r="BX190" s="152" t="n">
        <v>-47.7749809</v>
      </c>
      <c r="BY190" s="152" t="s">
        <v>2261</v>
      </c>
    </row>
    <row r="191" customFormat="false" ht="13.8" hidden="false" customHeight="false" outlineLevel="0" collapsed="false">
      <c r="A191" s="149" t="n">
        <f aca="false">IF(C191&lt;&gt;"",ROW(A186),"")</f>
        <v>186</v>
      </c>
      <c r="B191" s="150" t="str">
        <f aca="false">HYPERLINK("https://www.google.com/maps/dir/-15.917302,-47.760003/-15.9208026,-47.7737893/data=!4m3!4m2!3e0!5i2")</f>
        <v>https://www.google.com/maps/dir/-15.917302,-47.760003/-15.9208026,-47.7737893/data=!4m3!4m2!3e0!5i2</v>
      </c>
      <c r="C191" s="151" t="s">
        <v>117</v>
      </c>
      <c r="D191" s="152" t="s">
        <v>112</v>
      </c>
      <c r="E191" s="152" t="s">
        <v>113</v>
      </c>
      <c r="F191" s="152" t="s">
        <v>117</v>
      </c>
      <c r="G191" s="152" t="s">
        <v>114</v>
      </c>
      <c r="H191" s="152" t="n">
        <v>225</v>
      </c>
      <c r="I191" s="152" t="s">
        <v>115</v>
      </c>
      <c r="J191" s="152" t="s">
        <v>6</v>
      </c>
      <c r="K191" s="152" t="s">
        <v>2033</v>
      </c>
      <c r="L191" s="152" t="s">
        <v>120</v>
      </c>
      <c r="M191" s="153" t="n">
        <f aca="false">35.68</f>
        <v>35.68</v>
      </c>
      <c r="N191" s="152" t="s">
        <v>1548</v>
      </c>
      <c r="O191" s="152" t="s">
        <v>1549</v>
      </c>
      <c r="P191" s="152" t="s">
        <v>1550</v>
      </c>
      <c r="Q191" s="152" t="s">
        <v>1551</v>
      </c>
      <c r="R191" s="154" t="s">
        <v>2263</v>
      </c>
      <c r="S191" s="154" t="s">
        <v>1593</v>
      </c>
      <c r="T191" s="155" t="s">
        <v>2227</v>
      </c>
      <c r="U191" s="152" t="str">
        <f aca="false">RIGHT(T191,7)</f>
        <v>008/037</v>
      </c>
      <c r="V191" s="152" t="s">
        <v>1555</v>
      </c>
      <c r="W191" s="156" t="n">
        <v>45882</v>
      </c>
      <c r="X191" s="152" t="s">
        <v>1594</v>
      </c>
      <c r="Y191" s="152" t="s">
        <v>2186</v>
      </c>
      <c r="Z191" s="152" t="s">
        <v>1557</v>
      </c>
      <c r="AA191" s="153" t="n">
        <v>4.1</v>
      </c>
      <c r="AB191" s="151" t="s">
        <v>2264</v>
      </c>
      <c r="AC191" s="151" t="s">
        <v>508</v>
      </c>
      <c r="AD191" s="151" t="str">
        <f aca="false">CONCATENATE($C191,$I191,$H191,$N191,$J191,$K191)</f>
        <v>TUBO PEADPEAD225VCAREDESZona02</v>
      </c>
      <c r="AE191" s="153" t="n">
        <f aca="false">IFERROR(INDEX(APOIO_REDES!$A:$W,MATCH($C191&amp;$I191&amp;$H191&amp;$N191&amp;$O191,APOIO_REDES!$W:$W,0),MATCH(AE$5,APOIO_REDES!$5:$5,0)),0)</f>
        <v>1.2</v>
      </c>
      <c r="AF191" s="153" t="n">
        <f aca="false">IFERROR(INDEX(APOIO_REDES!$A:$W,MATCH($C191&amp;$I191&amp;$H191&amp;$N191&amp;$O191,APOIO_REDES!$W:$W,0),MATCH(AF$5,APOIO_REDES!$5:$5,0)),0)</f>
        <v>1.525</v>
      </c>
      <c r="AG191" s="153" t="n">
        <f aca="false">IFERROR(INDEX(APOIO_REDES!$A:$W,MATCH($C191&amp;$I191&amp;$H191&amp;$N191&amp;$O191,APOIO_REDES!$W:$W,0),MATCH(AG$5,APOIO_REDES!$5:$5,0)),0)</f>
        <v>0.8</v>
      </c>
      <c r="AH191" s="153" t="n">
        <f aca="false">IFERROR(INDEX(APOIO_REDES!$A:$W,MATCH($C191&amp;$I191&amp;$H191&amp;$N191&amp;$O191,APOIO_REDES!$W:$W,0),MATCH(AH$5,APOIO_REDES!$5:$5,0)),0)</f>
        <v>0.1</v>
      </c>
      <c r="AI191" s="153" t="n">
        <f aca="false">IFERROR(IF($H191&lt;&gt;"",(((($H191/1000)/2)^2)*PI()*$M191),0),0)</f>
        <v>1.41866470254481</v>
      </c>
      <c r="AJ191" s="153" t="n">
        <f aca="false">IFERROR(IF(AND($H191&lt;&gt;"",$I191="FoFo",OR($N191="MND",$N191="VCA"),$Q191="LINEAR"),0,IF(AND($H191&lt;&gt;"",$I191="PEAD",$N191="VCA",$Q191="LINEAR"),($H191/1000)+0.3,IF(AND($H191&lt;&gt;"",$I191="PEAD",$N191="MND",$Q191="EMBOQUE"),0,IF(AND($H191&lt;&gt;"",$I191="PVC",$N191="VCA",$Q191="LINEAR"),($H191/1000)+0.2,IF(AND($H191&lt;&gt;"",$I191="PVC",$N191="MND",$Q191="EMBOQUE"),0,IF(AND($H191&lt;&gt;"",$I191="PEAD",$N191="VCA",$Q191="PREDIAL"),0,0)))))),0)</f>
        <v>0.525</v>
      </c>
      <c r="AK191" s="153" t="n">
        <f aca="false">IF(AA191&lt;&gt;"",AA191,0)</f>
        <v>4.1</v>
      </c>
      <c r="AL191" s="153" t="n">
        <f aca="false">IF(AND($N191="MND",$Q191="EMBOQUE"),$M191,IF(AND($N191="VCA",$Q191="LINEAR"),$M191,IF(AND($N191="VCA",$Q191="PREDIAL"),0,0)))</f>
        <v>35.68</v>
      </c>
      <c r="AM191" s="153" t="n">
        <f aca="false">IF(AND($N191="MND",$Q191="EMBOQUE"),$M191,IF(AND($N191="VCA",$Q191="LINEAR"),$M191,IF(AND($N191="VCA",$Q191="PREDIAL"),0,0)))</f>
        <v>35.68</v>
      </c>
      <c r="AN191" s="153" t="n">
        <f aca="false">ROUND(IF(AND($N191="VCA",$M191&lt;&gt;"",$Q191="LINEAR"),$M191/100,IF(AND($N191="MND",$M191&gt;100,$Q191="EMBOQUE"),$M191/100,0)),0)</f>
        <v>0</v>
      </c>
      <c r="AO191" s="153" t="n">
        <f aca="false">IF(AND($N191="MND",$Q191="EMBOQUE"),$AN191*2*2,IF(AND($N191="VCA",$Q191="LINEAR"),$M191*2,IF(AND($N191="VCA",$Q191="PREDIAL"),0,0)))</f>
        <v>71.36</v>
      </c>
      <c r="AP191" s="153" t="n">
        <f aca="false">IFERROR($M191*$AF191*$AG191,0)</f>
        <v>43.5296</v>
      </c>
      <c r="AQ191" s="153" t="n">
        <f aca="false">IFERROR(IF(AND($N191="VCA",$AH191&gt;0),$M191*$AG191*$AH191,0),0)</f>
        <v>2.8544</v>
      </c>
      <c r="AR191" s="153" t="n">
        <f aca="false">IFERROR(IF(AND($N191="VCA",$AJ191&gt;0),($M191*$AG191*$AJ191)-$AI191,0),0)</f>
        <v>13.5669352974552</v>
      </c>
      <c r="AS191" s="153" t="n">
        <f aca="false">IFERROR(IF(AND($N191="VCA",$AP191&gt;0),$AP191-$AI191-$AQ191-$AR191,0),0)</f>
        <v>25.6896</v>
      </c>
      <c r="AT191" s="153" t="n">
        <f aca="false">IFERROR(IF($N191="VCA",INDEX(APOIO_REDES!$A:$W,MATCH($C191&amp;$I191&amp;$H191&amp;$N191&amp;$O191,APOIO_REDES!$W:$W,0),MATCH(AT$5,APOIO_REDES!$5:$5,0)),0)*$AP191,0)</f>
        <v>0.473614932103932</v>
      </c>
      <c r="AU191" s="153" t="n">
        <f aca="false">IFERROR(IF($N191="VCA",INDEX(APOIO_REDES!$A:$W,MATCH($C191&amp;$I191&amp;$H191&amp;$N191&amp;$O191,APOIO_REDES!$W:$W,0),MATCH(AU$5,APOIO_REDES!$5:$5,0)),0)*$AP191,0)</f>
        <v>0.378216057659097</v>
      </c>
      <c r="AV191" s="153" t="n">
        <f aca="false">IFERROR(IF($N191="VCA",INDEX(APOIO_REDES!$A:$W,MATCH($C191&amp;$I191&amp;$H191&amp;$N191&amp;$O191,APOIO_REDES!$W:$W,0),MATCH(AV$5,APOIO_REDES!$5:$5,0)),0)*$AP191,0)</f>
        <v>0.0523421332675533</v>
      </c>
      <c r="AW191" s="153" t="n">
        <f aca="false">IFERROR(IF($N191="VCA",INDEX(APOIO_REDES!$A:$W,MATCH($C191&amp;$I191&amp;$H191&amp;$N191&amp;$O191,APOIO_REDES!$W:$W,0),MATCH(AW$5,APOIO_REDES!$5:$5,0)),0)*$AP191,0)</f>
        <v>29.8790547237994</v>
      </c>
      <c r="AX191" s="153" t="n">
        <f aca="false">IFERROR(IF($N191="VCA",INDEX(APOIO_REDES!$A:$W,MATCH($C191&amp;$I191&amp;$H191&amp;$N191&amp;$O191,APOIO_REDES!$W:$W,0),MATCH(AX$5,APOIO_REDES!$5:$5,0)),0)*$AP191,0)</f>
        <v>4.13517606167538</v>
      </c>
      <c r="AY191" s="153" t="n">
        <f aca="false">IFERROR(IF($N191="VCA",INDEX(APOIO_REDES!$A:$W,MATCH($C191&amp;$I191&amp;$H191&amp;$N191&amp;$O191,APOIO_REDES!$W:$W,0),MATCH(AY$5,APOIO_REDES!$5:$5,0)),0)*$AP191,0)</f>
        <v>7.56431654275886</v>
      </c>
      <c r="AZ191" s="153" t="n">
        <f aca="false">IFERROR(IF($N191="VCA",INDEX(APOIO_REDES!$A:$W,MATCH($C191&amp;$I191&amp;$H191&amp;$N191&amp;$O191,APOIO_REDES!$W:$W,0),MATCH(AZ$5,APOIO_REDES!$5:$5,0)),0)*$AP191,0)</f>
        <v>1.04687954873573</v>
      </c>
      <c r="BA191" s="153" t="n">
        <f aca="false">IFERROR(IF(AND($N191="VCA",$Q191="LINEAR"),INDEX(APOIO_REDES!$A:$W,MATCH($C191&amp;$I191&amp;$H191&amp;$N191&amp;$O191,APOIO_REDES!$W:$W,0),MATCH(BA$5,APOIO_REDES!$5:$5,0)),IF(AND($N191="MND",$Q191="EMBOQUE"),INDEX(APOIO_REDES!$A:$W,MATCH($C191&amp;$I191&amp;$H191&amp;$N191&amp;$O191,APOIO_REDES!$W:$W,0),MATCH(BA$5,APOIO_REDES!$5:$5,0)),0))*$M191/10,0)</f>
        <v>2.87571800004656</v>
      </c>
      <c r="BB191" s="153" t="n">
        <f aca="false">IFERROR(IF($N191="VCA",INDEX(APOIO_REDES!$A:$W,MATCH($C191&amp;$I191&amp;$H191&amp;$N191&amp;$O191,APOIO_REDES!$W:$W,0),MATCH(BB$5,APOIO_REDES!$5:$5,0)),0)*($AI191+$AQ191+$AR191),0)</f>
        <v>17.6458955196295</v>
      </c>
      <c r="BC191" s="153" t="n">
        <f aca="false">IFERROR(IF($N191="VCA",INDEX(APOIO_REDES!$A:$W,MATCH($C191&amp;$I191&amp;$H191&amp;$N191&amp;$O191,APOIO_REDES!$W:$W,0),MATCH(BC$5,APOIO_REDES!$5:$5,0)),0)*($AI191+$AQ191+$AR191),0)</f>
        <v>0.194104480370464</v>
      </c>
      <c r="BD191" s="153" t="n">
        <f aca="false">IF(AND($N191="VCA",$AF191&gt;=1.25,$AF191&lt;1.5),$M191*$AF191*2,0)</f>
        <v>0</v>
      </c>
      <c r="BE191" s="153" t="n">
        <f aca="false">IF(AND($N191="VCA",$AF191&gt;=1.5,$AF191&lt;3),$M191*$AF191*2,0)</f>
        <v>108.824</v>
      </c>
      <c r="BF191" s="153" t="n">
        <f aca="false">IF(AND($N191="VCA",$AF191&gt;=3),$M191*$AF191*2,0)</f>
        <v>0</v>
      </c>
      <c r="BG191" s="153" t="n">
        <f aca="false">($BB191+$BC191)*$AK191</f>
        <v>73.144</v>
      </c>
      <c r="BH191" s="153" t="n">
        <f aca="false">IF(AND($M191&lt;&gt;"",$N191="VCA",$Q191="LINEAR"),($M191*2)/100,IF(AND($M191&lt;&gt;"",$N191="MND",$Q191="EMBOQUE"),($AN191*2)/100,0))</f>
        <v>0.7136</v>
      </c>
      <c r="BI191" s="153" t="n">
        <f aca="false">IF(AND($M191&lt;&gt;"",$N191="VCA",$Q191="LINEAR"),$M191,IF(AND($M191&lt;&gt;"",$N191="MND",$Q191="EMBOQUE"),$AN191*2,0))</f>
        <v>35.68</v>
      </c>
      <c r="BJ191" s="153" t="n">
        <f aca="false">IF(AND($M191&lt;&gt;"",$N191="VCA",$Q191="LINEAR"),($M191*6.8)/100,IF(AND($M191&lt;&gt;"",$N191="MND",$Q191="EMBOQUE"),($AN191*2*6.8)/100,0))</f>
        <v>2.42624</v>
      </c>
      <c r="BK191" s="153" t="n">
        <f aca="false">IF(AND($M191&lt;&gt;"",$N191="VCA",$Q191="LINEAR"),($M191*2.5)/50,IF(AND($M191&lt;&gt;"",$N191="MND",$Q191="EMBOQUE"),($AN191*2*2.5)/50,0))</f>
        <v>1.784</v>
      </c>
      <c r="BL191" s="157" t="str">
        <f aca="false">K191&amp;J191</f>
        <v>Zona02REDES</v>
      </c>
      <c r="BM191" s="152" t="s">
        <v>2037</v>
      </c>
      <c r="BN191" s="152" t="s">
        <v>1560</v>
      </c>
      <c r="BO191" s="152" t="s">
        <v>2231</v>
      </c>
      <c r="BP191" s="152" t="s">
        <v>2032</v>
      </c>
      <c r="BQ191" s="152" t="s">
        <v>2032</v>
      </c>
      <c r="BR191" s="152" t="s">
        <v>2218</v>
      </c>
      <c r="BS191" s="152" t="n">
        <v>203023.661</v>
      </c>
      <c r="BT191" s="152" t="n">
        <v>8237862.936</v>
      </c>
      <c r="BU191" s="152" t="n">
        <v>203003.526</v>
      </c>
      <c r="BV191" s="152" t="n">
        <v>8237833.61</v>
      </c>
      <c r="BW191" s="152" t="n">
        <v>-15.920829</v>
      </c>
      <c r="BX191" s="152" t="n">
        <v>-47.7737849</v>
      </c>
      <c r="BY191" s="152" t="s">
        <v>2188</v>
      </c>
    </row>
    <row r="192" customFormat="false" ht="13.8" hidden="false" customHeight="false" outlineLevel="0" collapsed="false">
      <c r="A192" s="149" t="n">
        <f aca="false">IF(C192&lt;&gt;"",ROW(A187),"")</f>
        <v>187</v>
      </c>
      <c r="B192" s="150" t="str">
        <f aca="false">HYPERLINK("https://www.google.com/maps/dir/-15.917302,-47.760003/-15.9207081,-47.7750860/data=!4m3!4m2!3e0!5i2")</f>
        <v>https://www.google.com/maps/dir/-15.917302,-47.760003/-15.9207081,-47.7750860/data=!4m3!4m2!3e0!5i2</v>
      </c>
      <c r="C192" s="151" t="s">
        <v>117</v>
      </c>
      <c r="D192" s="152" t="s">
        <v>112</v>
      </c>
      <c r="E192" s="152" t="s">
        <v>113</v>
      </c>
      <c r="F192" s="152" t="s">
        <v>117</v>
      </c>
      <c r="G192" s="152" t="s">
        <v>782</v>
      </c>
      <c r="H192" s="152" t="n">
        <v>63</v>
      </c>
      <c r="I192" s="152" t="s">
        <v>115</v>
      </c>
      <c r="J192" s="152" t="s">
        <v>6</v>
      </c>
      <c r="K192" s="152" t="s">
        <v>2033</v>
      </c>
      <c r="L192" s="152" t="s">
        <v>120</v>
      </c>
      <c r="M192" s="153" t="n">
        <f aca="false">48.87</f>
        <v>48.87</v>
      </c>
      <c r="N192" s="152" t="s">
        <v>1548</v>
      </c>
      <c r="O192" s="152" t="s">
        <v>1549</v>
      </c>
      <c r="P192" s="152" t="s">
        <v>1550</v>
      </c>
      <c r="Q192" s="152" t="s">
        <v>1551</v>
      </c>
      <c r="R192" s="154" t="s">
        <v>2265</v>
      </c>
      <c r="S192" s="154" t="s">
        <v>1553</v>
      </c>
      <c r="T192" s="155" t="s">
        <v>2227</v>
      </c>
      <c r="U192" s="152" t="str">
        <f aca="false">RIGHT(T192,7)</f>
        <v>008/037</v>
      </c>
      <c r="V192" s="152" t="s">
        <v>1555</v>
      </c>
      <c r="W192" s="156" t="n">
        <v>45882</v>
      </c>
      <c r="X192" s="152" t="s">
        <v>1594</v>
      </c>
      <c r="Y192" s="152"/>
      <c r="Z192" s="152" t="s">
        <v>1557</v>
      </c>
      <c r="AA192" s="153" t="n">
        <v>4.2</v>
      </c>
      <c r="AB192" s="151" t="s">
        <v>2266</v>
      </c>
      <c r="AC192" s="151" t="s">
        <v>186</v>
      </c>
      <c r="AD192" s="151" t="str">
        <f aca="false">CONCATENATE($C192,$I192,$H192,$N192,$J192,$K192)</f>
        <v>TUBO PEADPEAD63VCAREDESZona02</v>
      </c>
      <c r="AE192" s="153" t="n">
        <f aca="false">IFERROR(INDEX(APOIO_REDES!$A:$W,MATCH($C192&amp;$I192&amp;$H192&amp;$N192&amp;$O192,APOIO_REDES!$W:$W,0),MATCH(AE$5,APOIO_REDES!$5:$5,0)),0)</f>
        <v>1.2</v>
      </c>
      <c r="AF192" s="153" t="n">
        <f aca="false">IFERROR(INDEX(APOIO_REDES!$A:$W,MATCH($C192&amp;$I192&amp;$H192&amp;$N192&amp;$O192,APOIO_REDES!$W:$W,0),MATCH(AF$5,APOIO_REDES!$5:$5,0)),0)</f>
        <v>1.363</v>
      </c>
      <c r="AG192" s="153" t="n">
        <f aca="false">IFERROR(INDEX(APOIO_REDES!$A:$W,MATCH($C192&amp;$I192&amp;$H192&amp;$N192&amp;$O192,APOIO_REDES!$W:$W,0),MATCH(AG$5,APOIO_REDES!$5:$5,0)),0)</f>
        <v>0.65</v>
      </c>
      <c r="AH192" s="153" t="n">
        <f aca="false">IFERROR(INDEX(APOIO_REDES!$A:$W,MATCH($C192&amp;$I192&amp;$H192&amp;$N192&amp;$O192,APOIO_REDES!$W:$W,0),MATCH(AH$5,APOIO_REDES!$5:$5,0)),0)</f>
        <v>0.1</v>
      </c>
      <c r="AI192" s="153" t="n">
        <f aca="false">IFERROR(IF($H192&lt;&gt;"",(((($H192/1000)/2)^2)*PI()*$M192),0),0)</f>
        <v>0.152339778325331</v>
      </c>
      <c r="AJ192" s="153" t="n">
        <f aca="false">IFERROR(IF(AND($H192&lt;&gt;"",$I192="FoFo",OR($N192="MND",$N192="VCA"),$Q192="LINEAR"),0,IF(AND($H192&lt;&gt;"",$I192="PEAD",$N192="VCA",$Q192="LINEAR"),($H192/1000)+0.3,IF(AND($H192&lt;&gt;"",$I192="PEAD",$N192="MND",$Q192="EMBOQUE"),0,IF(AND($H192&lt;&gt;"",$I192="PVC",$N192="VCA",$Q192="LINEAR"),($H192/1000)+0.2,IF(AND($H192&lt;&gt;"",$I192="PVC",$N192="MND",$Q192="EMBOQUE"),0,IF(AND($H192&lt;&gt;"",$I192="PEAD",$N192="VCA",$Q192="PREDIAL"),0,0)))))),0)</f>
        <v>0.363</v>
      </c>
      <c r="AK192" s="153" t="n">
        <f aca="false">IF(AA192&lt;&gt;"",AA192,0)</f>
        <v>4.2</v>
      </c>
      <c r="AL192" s="153" t="n">
        <f aca="false">IF(AND($N192="MND",$Q192="EMBOQUE"),$M192,IF(AND($N192="VCA",$Q192="LINEAR"),$M192,IF(AND($N192="VCA",$Q192="PREDIAL"),0,0)))</f>
        <v>48.87</v>
      </c>
      <c r="AM192" s="153" t="n">
        <f aca="false">IF(AND($N192="MND",$Q192="EMBOQUE"),$M192,IF(AND($N192="VCA",$Q192="LINEAR"),$M192,IF(AND($N192="VCA",$Q192="PREDIAL"),0,0)))</f>
        <v>48.87</v>
      </c>
      <c r="AN192" s="153" t="n">
        <f aca="false">ROUND(IF(AND($N192="VCA",$M192&lt;&gt;"",$Q192="LINEAR"),$M192/100,IF(AND($N192="MND",$M192&gt;100,$Q192="EMBOQUE"),$M192/100,0)),0)</f>
        <v>0</v>
      </c>
      <c r="AO192" s="153" t="n">
        <f aca="false">IF(AND($N192="MND",$Q192="EMBOQUE"),$AN192*2*2,IF(AND($N192="VCA",$Q192="LINEAR"),$M192*2,IF(AND($N192="VCA",$Q192="PREDIAL"),0,0)))</f>
        <v>97.74</v>
      </c>
      <c r="AP192" s="153" t="n">
        <f aca="false">IFERROR($M192*$AF192*$AG192,0)</f>
        <v>43.2963765</v>
      </c>
      <c r="AQ192" s="153" t="n">
        <f aca="false">IFERROR(IF(AND($N192="VCA",$AH192&gt;0),$M192*$AG192*$AH192,0),0)</f>
        <v>3.17655</v>
      </c>
      <c r="AR192" s="153" t="n">
        <f aca="false">IFERROR(IF(AND($N192="VCA",$AJ192&gt;0),($M192*$AG192*$AJ192)-$AI192,0),0)</f>
        <v>11.3785367216747</v>
      </c>
      <c r="AS192" s="153" t="n">
        <f aca="false">IFERROR(IF(AND($N192="VCA",$AP192&gt;0),$AP192-$AI192-$AQ192-$AR192,0),0)</f>
        <v>28.58895</v>
      </c>
      <c r="AT192" s="153" t="n">
        <f aca="false">IFERROR(IF($N192="VCA",INDEX(APOIO_REDES!$A:$W,MATCH($C192&amp;$I192&amp;$H192&amp;$N192&amp;$O192,APOIO_REDES!$W:$W,0),MATCH(AT$5,APOIO_REDES!$5:$5,0)),0)*$AP192,0)</f>
        <v>0.4710773913933</v>
      </c>
      <c r="AU192" s="153" t="n">
        <f aca="false">IFERROR(IF($N192="VCA",INDEX(APOIO_REDES!$A:$W,MATCH($C192&amp;$I192&amp;$H192&amp;$N192&amp;$O192,APOIO_REDES!$W:$W,0),MATCH(AU$5,APOIO_REDES!$5:$5,0)),0)*$AP192,0)</f>
        <v>0.376189646372905</v>
      </c>
      <c r="AV192" s="153" t="n">
        <f aca="false">IFERROR(IF($N192="VCA",INDEX(APOIO_REDES!$A:$W,MATCH($C192&amp;$I192&amp;$H192&amp;$N192&amp;$O192,APOIO_REDES!$W:$W,0),MATCH(AV$5,APOIO_REDES!$5:$5,0)),0)*$AP192,0)</f>
        <v>0.0520616938534965</v>
      </c>
      <c r="AW192" s="153" t="n">
        <f aca="false">IFERROR(IF($N192="VCA",INDEX(APOIO_REDES!$A:$W,MATCH($C192&amp;$I192&amp;$H192&amp;$N192&amp;$O192,APOIO_REDES!$W:$W,0),MATCH(AW$5,APOIO_REDES!$5:$5,0)),0)*$AP192,0)</f>
        <v>29.7189683062956</v>
      </c>
      <c r="AX192" s="153" t="n">
        <f aca="false">IFERROR(IF($N192="VCA",INDEX(APOIO_REDES!$A:$W,MATCH($C192&amp;$I192&amp;$H192&amp;$N192&amp;$O192,APOIO_REDES!$W:$W,0),MATCH(AX$5,APOIO_REDES!$5:$5,0)),0)*$AP192,0)</f>
        <v>4.11302055750764</v>
      </c>
      <c r="AY192" s="153" t="n">
        <f aca="false">IFERROR(IF($N192="VCA",INDEX(APOIO_REDES!$A:$W,MATCH($C192&amp;$I192&amp;$H192&amp;$N192&amp;$O192,APOIO_REDES!$W:$W,0),MATCH(AY$5,APOIO_REDES!$5:$5,0)),0)*$AP192,0)</f>
        <v>7.5237883417368</v>
      </c>
      <c r="AZ192" s="153" t="n">
        <f aca="false">IFERROR(IF($N192="VCA",INDEX(APOIO_REDES!$A:$W,MATCH($C192&amp;$I192&amp;$H192&amp;$N192&amp;$O192,APOIO_REDES!$W:$W,0),MATCH(AZ$5,APOIO_REDES!$5:$5,0)),0)*$AP192,0)</f>
        <v>1.04127056284028</v>
      </c>
      <c r="BA192" s="153" t="n">
        <f aca="false">IFERROR(IF(AND($N192="VCA",$Q192="LINEAR"),INDEX(APOIO_REDES!$A:$W,MATCH($C192&amp;$I192&amp;$H192&amp;$N192&amp;$O192,APOIO_REDES!$W:$W,0),MATCH(BA$5,APOIO_REDES!$5:$5,0)),IF(AND($N192="MND",$Q192="EMBOQUE"),INDEX(APOIO_REDES!$A:$W,MATCH($C192&amp;$I192&amp;$H192&amp;$N192&amp;$O192,APOIO_REDES!$W:$W,0),MATCH(BA$5,APOIO_REDES!$5:$5,0)),0))*$M192/10,0)</f>
        <v>3.93879872932386</v>
      </c>
      <c r="BB192" s="153" t="n">
        <f aca="false">IFERROR(IF($N192="VCA",INDEX(APOIO_REDES!$A:$W,MATCH($C192&amp;$I192&amp;$H192&amp;$N192&amp;$O192,APOIO_REDES!$W:$W,0),MATCH(BB$5,APOIO_REDES!$5:$5,0)),0)*($AI192+$AQ192+$AR192),0)</f>
        <v>14.547405346504</v>
      </c>
      <c r="BC192" s="153" t="n">
        <f aca="false">IFERROR(IF($N192="VCA",INDEX(APOIO_REDES!$A:$W,MATCH($C192&amp;$I192&amp;$H192&amp;$N192&amp;$O192,APOIO_REDES!$W:$W,0),MATCH(BC$5,APOIO_REDES!$5:$5,0)),0)*($AI192+$AQ192+$AR192),0)</f>
        <v>0.160021153496037</v>
      </c>
      <c r="BD192" s="153" t="n">
        <f aca="false">IF(AND($N192="VCA",$AF192&gt;=1.25,$AF192&lt;1.5),$M192*$AF192*2,0)</f>
        <v>133.21962</v>
      </c>
      <c r="BE192" s="153" t="n">
        <f aca="false">IF(AND($N192="VCA",$AF192&gt;=1.5,$AF192&lt;3),$M192*$AF192*2,0)</f>
        <v>0</v>
      </c>
      <c r="BF192" s="153" t="n">
        <f aca="false">IF(AND($N192="VCA",$AF192&gt;=3),$M192*$AF192*2,0)</f>
        <v>0</v>
      </c>
      <c r="BG192" s="153" t="n">
        <f aca="false">($BB192+$BC192)*$AK192</f>
        <v>61.7711913</v>
      </c>
      <c r="BH192" s="153" t="n">
        <f aca="false">IF(AND($M192&lt;&gt;"",$N192="VCA",$Q192="LINEAR"),($M192*2)/100,IF(AND($M192&lt;&gt;"",$N192="MND",$Q192="EMBOQUE"),($AN192*2)/100,0))</f>
        <v>0.9774</v>
      </c>
      <c r="BI192" s="153" t="n">
        <f aca="false">IF(AND($M192&lt;&gt;"",$N192="VCA",$Q192="LINEAR"),$M192,IF(AND($M192&lt;&gt;"",$N192="MND",$Q192="EMBOQUE"),$AN192*2,0))</f>
        <v>48.87</v>
      </c>
      <c r="BJ192" s="153" t="n">
        <f aca="false">IF(AND($M192&lt;&gt;"",$N192="VCA",$Q192="LINEAR"),($M192*6.8)/100,IF(AND($M192&lt;&gt;"",$N192="MND",$Q192="EMBOQUE"),($AN192*2*6.8)/100,0))</f>
        <v>3.32316</v>
      </c>
      <c r="BK192" s="153" t="n">
        <f aca="false">IF(AND($M192&lt;&gt;"",$N192="VCA",$Q192="LINEAR"),($M192*2.5)/50,IF(AND($M192&lt;&gt;"",$N192="MND",$Q192="EMBOQUE"),($AN192*2*2.5)/50,0))</f>
        <v>2.4435</v>
      </c>
      <c r="BL192" s="157" t="str">
        <f aca="false">K192&amp;J192</f>
        <v>Zona02REDES</v>
      </c>
      <c r="BM192" s="152" t="s">
        <v>2037</v>
      </c>
      <c r="BN192" s="152" t="s">
        <v>1560</v>
      </c>
      <c r="BO192" s="152" t="s">
        <v>2231</v>
      </c>
      <c r="BP192" s="152" t="s">
        <v>2206</v>
      </c>
      <c r="BQ192" s="152" t="s">
        <v>2254</v>
      </c>
      <c r="BR192" s="152" t="s">
        <v>2267</v>
      </c>
      <c r="BS192" s="152" t="n">
        <v>202873.007</v>
      </c>
      <c r="BT192" s="152" t="n">
        <v>8237860.508</v>
      </c>
      <c r="BU192" s="152" t="n">
        <v>202843.924</v>
      </c>
      <c r="BV192" s="152" t="n">
        <v>8237821.236</v>
      </c>
      <c r="BW192" s="152" t="n">
        <v>-15.9208837</v>
      </c>
      <c r="BX192" s="152" t="n">
        <v>-47.7752242</v>
      </c>
      <c r="BY192" s="152" t="s">
        <v>2206</v>
      </c>
    </row>
    <row r="193" customFormat="false" ht="13.8" hidden="false" customHeight="false" outlineLevel="0" collapsed="false">
      <c r="A193" s="149" t="n">
        <f aca="false">IF(C193&lt;&gt;"",ROW(A188),"")</f>
        <v>188</v>
      </c>
      <c r="B193" s="150" t="str">
        <f aca="false">HYPERLINK("https://www.google.com/maps/dir/-15.917302,-47.760003/-15.9208026,-47.7737893/data=!4m3!4m2!3e0!5i2")</f>
        <v>https://www.google.com/maps/dir/-15.917302,-47.760003/-15.9208026,-47.7737893/data=!4m3!4m2!3e0!5i2</v>
      </c>
      <c r="C193" s="151" t="s">
        <v>117</v>
      </c>
      <c r="D193" s="152" t="s">
        <v>112</v>
      </c>
      <c r="E193" s="152" t="s">
        <v>113</v>
      </c>
      <c r="F193" s="152" t="s">
        <v>117</v>
      </c>
      <c r="G193" s="152" t="s">
        <v>114</v>
      </c>
      <c r="H193" s="152" t="n">
        <v>160</v>
      </c>
      <c r="I193" s="152" t="s">
        <v>115</v>
      </c>
      <c r="J193" s="152" t="s">
        <v>6</v>
      </c>
      <c r="K193" s="152" t="s">
        <v>2033</v>
      </c>
      <c r="L193" s="152" t="s">
        <v>120</v>
      </c>
      <c r="M193" s="153" t="n">
        <f aca="false">32.57</f>
        <v>32.57</v>
      </c>
      <c r="N193" s="152" t="s">
        <v>1548</v>
      </c>
      <c r="O193" s="152" t="s">
        <v>1549</v>
      </c>
      <c r="P193" s="152" t="s">
        <v>1550</v>
      </c>
      <c r="Q193" s="152" t="s">
        <v>1551</v>
      </c>
      <c r="R193" s="154" t="s">
        <v>2268</v>
      </c>
      <c r="S193" s="154" t="s">
        <v>1593</v>
      </c>
      <c r="T193" s="155" t="s">
        <v>2227</v>
      </c>
      <c r="U193" s="152" t="str">
        <f aca="false">RIGHT(T193,7)</f>
        <v>008/037</v>
      </c>
      <c r="V193" s="152" t="s">
        <v>1555</v>
      </c>
      <c r="W193" s="156" t="n">
        <v>45882</v>
      </c>
      <c r="X193" s="152" t="s">
        <v>1594</v>
      </c>
      <c r="Y193" s="152" t="s">
        <v>2186</v>
      </c>
      <c r="Z193" s="152" t="s">
        <v>1557</v>
      </c>
      <c r="AA193" s="153" t="n">
        <v>4.1</v>
      </c>
      <c r="AB193" s="151" t="s">
        <v>2269</v>
      </c>
      <c r="AC193" s="151" t="s">
        <v>505</v>
      </c>
      <c r="AD193" s="151" t="str">
        <f aca="false">CONCATENATE($C193,$I193,$H193,$N193,$J193,$K193)</f>
        <v>TUBO PEADPEAD160VCAREDESZona02</v>
      </c>
      <c r="AE193" s="153" t="n">
        <f aca="false">IFERROR(INDEX(APOIO_REDES!$A:$W,MATCH($C193&amp;$I193&amp;$H193&amp;$N193&amp;$O193,APOIO_REDES!$W:$W,0),MATCH(AE$5,APOIO_REDES!$5:$5,0)),0)</f>
        <v>1.2</v>
      </c>
      <c r="AF193" s="153" t="n">
        <f aca="false">IFERROR(INDEX(APOIO_REDES!$A:$W,MATCH($C193&amp;$I193&amp;$H193&amp;$N193&amp;$O193,APOIO_REDES!$W:$W,0),MATCH(AF$5,APOIO_REDES!$5:$5,0)),0)</f>
        <v>1.46</v>
      </c>
      <c r="AG193" s="153" t="n">
        <f aca="false">IFERROR(INDEX(APOIO_REDES!$A:$W,MATCH($C193&amp;$I193&amp;$H193&amp;$N193&amp;$O193,APOIO_REDES!$W:$W,0),MATCH(AG$5,APOIO_REDES!$5:$5,0)),0)</f>
        <v>0.75</v>
      </c>
      <c r="AH193" s="153" t="n">
        <f aca="false">IFERROR(INDEX(APOIO_REDES!$A:$W,MATCH($C193&amp;$I193&amp;$H193&amp;$N193&amp;$O193,APOIO_REDES!$W:$W,0),MATCH(AH$5,APOIO_REDES!$5:$5,0)),0)</f>
        <v>0.1</v>
      </c>
      <c r="AI193" s="153" t="n">
        <f aca="false">IFERROR(IF($H193&lt;&gt;"",(((($H193/1000)/2)^2)*PI()*$M193),0),0)</f>
        <v>0.654858705455485</v>
      </c>
      <c r="AJ193" s="153" t="n">
        <f aca="false">IFERROR(IF(AND($H193&lt;&gt;"",$I193="FoFo",OR($N193="MND",$N193="VCA"),$Q193="LINEAR"),0,IF(AND($H193&lt;&gt;"",$I193="PEAD",$N193="VCA",$Q193="LINEAR"),($H193/1000)+0.3,IF(AND($H193&lt;&gt;"",$I193="PEAD",$N193="MND",$Q193="EMBOQUE"),0,IF(AND($H193&lt;&gt;"",$I193="PVC",$N193="VCA",$Q193="LINEAR"),($H193/1000)+0.2,IF(AND($H193&lt;&gt;"",$I193="PVC",$N193="MND",$Q193="EMBOQUE"),0,IF(AND($H193&lt;&gt;"",$I193="PEAD",$N193="VCA",$Q193="PREDIAL"),0,0)))))),0)</f>
        <v>0.46</v>
      </c>
      <c r="AK193" s="153" t="n">
        <f aca="false">IF(AA193&lt;&gt;"",AA193,0)</f>
        <v>4.1</v>
      </c>
      <c r="AL193" s="153" t="n">
        <f aca="false">IF(AND($N193="MND",$Q193="EMBOQUE"),$M193,IF(AND($N193="VCA",$Q193="LINEAR"),$M193,IF(AND($N193="VCA",$Q193="PREDIAL"),0,0)))</f>
        <v>32.57</v>
      </c>
      <c r="AM193" s="153" t="n">
        <f aca="false">IF(AND($N193="MND",$Q193="EMBOQUE"),$M193,IF(AND($N193="VCA",$Q193="LINEAR"),$M193,IF(AND($N193="VCA",$Q193="PREDIAL"),0,0)))</f>
        <v>32.57</v>
      </c>
      <c r="AN193" s="153" t="n">
        <f aca="false">ROUND(IF(AND($N193="VCA",$M193&lt;&gt;"",$Q193="LINEAR"),$M193/100,IF(AND($N193="MND",$M193&gt;100,$Q193="EMBOQUE"),$M193/100,0)),0)</f>
        <v>0</v>
      </c>
      <c r="AO193" s="153" t="n">
        <f aca="false">IF(AND($N193="MND",$Q193="EMBOQUE"),$AN193*2*2,IF(AND($N193="VCA",$Q193="LINEAR"),$M193*2,IF(AND($N193="VCA",$Q193="PREDIAL"),0,0)))</f>
        <v>65.14</v>
      </c>
      <c r="AP193" s="153" t="n">
        <f aca="false">IFERROR($M193*$AF193*$AG193,0)</f>
        <v>35.66415</v>
      </c>
      <c r="AQ193" s="153" t="n">
        <f aca="false">IFERROR(IF(AND($N193="VCA",$AH193&gt;0),$M193*$AG193*$AH193,0),0)</f>
        <v>2.44275</v>
      </c>
      <c r="AR193" s="153" t="n">
        <f aca="false">IFERROR(IF(AND($N193="VCA",$AJ193&gt;0),($M193*$AG193*$AJ193)-$AI193,0),0)</f>
        <v>10.5817912945445</v>
      </c>
      <c r="AS193" s="153" t="n">
        <f aca="false">IFERROR(IF(AND($N193="VCA",$AP193&gt;0),$AP193-$AI193-$AQ193-$AR193,0),0)</f>
        <v>21.98475</v>
      </c>
      <c r="AT193" s="153" t="n">
        <f aca="false">IFERROR(IF($N193="VCA",INDEX(APOIO_REDES!$A:$W,MATCH($C193&amp;$I193&amp;$H193&amp;$N193&amp;$O193,APOIO_REDES!$W:$W,0),MATCH(AT$5,APOIO_REDES!$5:$5,0)),0)*$AP193,0)</f>
        <v>0.388036508049568</v>
      </c>
      <c r="AU193" s="153" t="n">
        <f aca="false">IFERROR(IF($N193="VCA",INDEX(APOIO_REDES!$A:$W,MATCH($C193&amp;$I193&amp;$H193&amp;$N193&amp;$O193,APOIO_REDES!$W:$W,0),MATCH(AU$5,APOIO_REDES!$5:$5,0)),0)*$AP193,0)</f>
        <v>0.309875445966944</v>
      </c>
      <c r="AV193" s="153" t="n">
        <f aca="false">IFERROR(IF($N193="VCA",INDEX(APOIO_REDES!$A:$W,MATCH($C193&amp;$I193&amp;$H193&amp;$N193&amp;$O193,APOIO_REDES!$W:$W,0),MATCH(AV$5,APOIO_REDES!$5:$5,0)),0)*$AP193,0)</f>
        <v>0.042884329104196</v>
      </c>
      <c r="AW193" s="153" t="n">
        <f aca="false">IFERROR(IF($N193="VCA",INDEX(APOIO_REDES!$A:$W,MATCH($C193&amp;$I193&amp;$H193&amp;$N193&amp;$O193,APOIO_REDES!$W:$W,0),MATCH(AW$5,APOIO_REDES!$5:$5,0)),0)*$AP193,0)</f>
        <v>24.4801488993189</v>
      </c>
      <c r="AX193" s="153" t="n">
        <f aca="false">IFERROR(IF($N193="VCA",INDEX(APOIO_REDES!$A:$W,MATCH($C193&amp;$I193&amp;$H193&amp;$N193&amp;$O193,APOIO_REDES!$W:$W,0),MATCH(AX$5,APOIO_REDES!$5:$5,0)),0)*$AP193,0)</f>
        <v>3.38798287464162</v>
      </c>
      <c r="AY193" s="153" t="n">
        <f aca="false">IFERROR(IF($N193="VCA",INDEX(APOIO_REDES!$A:$W,MATCH($C193&amp;$I193&amp;$H193&amp;$N193&amp;$O193,APOIO_REDES!$W:$W,0),MATCH(AY$5,APOIO_REDES!$5:$5,0)),0)*$AP193,0)</f>
        <v>6.19750514198232</v>
      </c>
      <c r="AZ193" s="153" t="n">
        <f aca="false">IFERROR(IF($N193="VCA",INDEX(APOIO_REDES!$A:$W,MATCH($C193&amp;$I193&amp;$H193&amp;$N193&amp;$O193,APOIO_REDES!$W:$W,0),MATCH(AZ$5,APOIO_REDES!$5:$5,0)),0)*$AP193,0)</f>
        <v>0.857716800936455</v>
      </c>
      <c r="BA193" s="153" t="n">
        <f aca="false">IFERROR(IF(AND($N193="VCA",$Q193="LINEAR"),INDEX(APOIO_REDES!$A:$W,MATCH($C193&amp;$I193&amp;$H193&amp;$N193&amp;$O193,APOIO_REDES!$W:$W,0),MATCH(BA$5,APOIO_REDES!$5:$5,0)),IF(AND($N193="MND",$Q193="EMBOQUE"),INDEX(APOIO_REDES!$A:$W,MATCH($C193&amp;$I193&amp;$H193&amp;$N193&amp;$O193,APOIO_REDES!$W:$W,0),MATCH(BA$5,APOIO_REDES!$5:$5,0)),0))*$M193/10,0)</f>
        <v>2.62505984477344</v>
      </c>
      <c r="BB193" s="153" t="n">
        <f aca="false">IFERROR(IF($N193="VCA",INDEX(APOIO_REDES!$A:$W,MATCH($C193&amp;$I193&amp;$H193&amp;$N193&amp;$O193,APOIO_REDES!$W:$W,0),MATCH(BB$5,APOIO_REDES!$5:$5,0)),0)*($AI193+$AQ193+$AR193),0)</f>
        <v>13.5305640791043</v>
      </c>
      <c r="BC193" s="153" t="n">
        <f aca="false">IFERROR(IF($N193="VCA",INDEX(APOIO_REDES!$A:$W,MATCH($C193&amp;$I193&amp;$H193&amp;$N193&amp;$O193,APOIO_REDES!$W:$W,0),MATCH(BC$5,APOIO_REDES!$5:$5,0)),0)*($AI193+$AQ193+$AR193),0)</f>
        <v>0.148835920895725</v>
      </c>
      <c r="BD193" s="153" t="n">
        <f aca="false">IF(AND($N193="VCA",$AF193&gt;=1.25,$AF193&lt;1.5),$M193*$AF193*2,0)</f>
        <v>95.1044</v>
      </c>
      <c r="BE193" s="153" t="n">
        <f aca="false">IF(AND($N193="VCA",$AF193&gt;=1.5,$AF193&lt;3),$M193*$AF193*2,0)</f>
        <v>0</v>
      </c>
      <c r="BF193" s="153" t="n">
        <f aca="false">IF(AND($N193="VCA",$AF193&gt;=3),$M193*$AF193*2,0)</f>
        <v>0</v>
      </c>
      <c r="BG193" s="153" t="n">
        <f aca="false">($BB193+$BC193)*$AK193</f>
        <v>56.08554</v>
      </c>
      <c r="BH193" s="153" t="n">
        <f aca="false">IF(AND($M193&lt;&gt;"",$N193="VCA",$Q193="LINEAR"),($M193*2)/100,IF(AND($M193&lt;&gt;"",$N193="MND",$Q193="EMBOQUE"),($AN193*2)/100,0))</f>
        <v>0.6514</v>
      </c>
      <c r="BI193" s="153" t="n">
        <f aca="false">IF(AND($M193&lt;&gt;"",$N193="VCA",$Q193="LINEAR"),$M193,IF(AND($M193&lt;&gt;"",$N193="MND",$Q193="EMBOQUE"),$AN193*2,0))</f>
        <v>32.57</v>
      </c>
      <c r="BJ193" s="153" t="n">
        <f aca="false">IF(AND($M193&lt;&gt;"",$N193="VCA",$Q193="LINEAR"),($M193*6.8)/100,IF(AND($M193&lt;&gt;"",$N193="MND",$Q193="EMBOQUE"),($AN193*2*6.8)/100,0))</f>
        <v>2.21476</v>
      </c>
      <c r="BK193" s="153" t="n">
        <f aca="false">IF(AND($M193&lt;&gt;"",$N193="VCA",$Q193="LINEAR"),($M193*2.5)/50,IF(AND($M193&lt;&gt;"",$N193="MND",$Q193="EMBOQUE"),($AN193*2*2.5)/50,0))</f>
        <v>1.6285</v>
      </c>
      <c r="BL193" s="157" t="str">
        <f aca="false">K193&amp;J193</f>
        <v>Zona02REDES</v>
      </c>
      <c r="BM193" s="152" t="s">
        <v>2037</v>
      </c>
      <c r="BN193" s="152" t="s">
        <v>1560</v>
      </c>
      <c r="BO193" s="152" t="s">
        <v>2231</v>
      </c>
      <c r="BP193" s="152" t="s">
        <v>2188</v>
      </c>
      <c r="BQ193" s="152" t="s">
        <v>2199</v>
      </c>
      <c r="BR193" s="152" t="s">
        <v>2270</v>
      </c>
      <c r="BS193" s="152" t="n">
        <v>203012.076</v>
      </c>
      <c r="BT193" s="152" t="n">
        <v>8237851.886</v>
      </c>
      <c r="BU193" s="152" t="n">
        <v>202995.606</v>
      </c>
      <c r="BV193" s="152" t="n">
        <v>8237823.784</v>
      </c>
      <c r="BW193" s="152" t="n">
        <v>-15.9209279</v>
      </c>
      <c r="BX193" s="152" t="n">
        <v>-47.773869</v>
      </c>
      <c r="BY193" s="152" t="s">
        <v>2188</v>
      </c>
    </row>
    <row r="194" customFormat="false" ht="13.8" hidden="false" customHeight="false" outlineLevel="0" collapsed="false">
      <c r="A194" s="149" t="n">
        <f aca="false">IF(C194&lt;&gt;"",ROW(A189),"")</f>
        <v>189</v>
      </c>
      <c r="B194" s="150" t="str">
        <f aca="false">HYPERLINK("https://www.google.com/maps/dir/-15.917302,-47.760003/-15.9210544,-47.7739465/data=!4m3!4m2!3e0!5i2")</f>
        <v>https://www.google.com/maps/dir/-15.917302,-47.760003/-15.9210544,-47.7739465/data=!4m3!4m2!3e0!5i2</v>
      </c>
      <c r="C194" s="151" t="s">
        <v>117</v>
      </c>
      <c r="D194" s="152" t="s">
        <v>112</v>
      </c>
      <c r="E194" s="152" t="s">
        <v>113</v>
      </c>
      <c r="F194" s="152" t="s">
        <v>117</v>
      </c>
      <c r="G194" s="152" t="s">
        <v>114</v>
      </c>
      <c r="H194" s="152" t="n">
        <v>160</v>
      </c>
      <c r="I194" s="152" t="s">
        <v>115</v>
      </c>
      <c r="J194" s="152" t="s">
        <v>6</v>
      </c>
      <c r="K194" s="152" t="s">
        <v>2033</v>
      </c>
      <c r="L194" s="152" t="s">
        <v>120</v>
      </c>
      <c r="M194" s="153" t="n">
        <f aca="false">3.77</f>
        <v>3.77</v>
      </c>
      <c r="N194" s="152" t="s">
        <v>1548</v>
      </c>
      <c r="O194" s="152" t="s">
        <v>1549</v>
      </c>
      <c r="P194" s="152" t="s">
        <v>1550</v>
      </c>
      <c r="Q194" s="152" t="s">
        <v>1551</v>
      </c>
      <c r="R194" s="154" t="s">
        <v>2271</v>
      </c>
      <c r="S194" s="154" t="s">
        <v>1593</v>
      </c>
      <c r="T194" s="155" t="s">
        <v>2227</v>
      </c>
      <c r="U194" s="152" t="str">
        <f aca="false">RIGHT(T194,7)</f>
        <v>008/037</v>
      </c>
      <c r="V194" s="152" t="s">
        <v>1555</v>
      </c>
      <c r="W194" s="156" t="n">
        <v>45882</v>
      </c>
      <c r="X194" s="152" t="s">
        <v>1594</v>
      </c>
      <c r="Y194" s="152" t="s">
        <v>2186</v>
      </c>
      <c r="Z194" s="152" t="s">
        <v>1557</v>
      </c>
      <c r="AA194" s="153" t="n">
        <v>4.1</v>
      </c>
      <c r="AB194" s="151" t="s">
        <v>2272</v>
      </c>
      <c r="AC194" s="151" t="s">
        <v>505</v>
      </c>
      <c r="AD194" s="151" t="str">
        <f aca="false">CONCATENATE($C194,$I194,$H194,$N194,$J194,$K194)</f>
        <v>TUBO PEADPEAD160VCAREDESZona02</v>
      </c>
      <c r="AE194" s="153" t="n">
        <f aca="false">IFERROR(INDEX(APOIO_REDES!$A:$W,MATCH($C194&amp;$I194&amp;$H194&amp;$N194&amp;$O194,APOIO_REDES!$W:$W,0),MATCH(AE$5,APOIO_REDES!$5:$5,0)),0)</f>
        <v>1.2</v>
      </c>
      <c r="AF194" s="153" t="n">
        <f aca="false">IFERROR(INDEX(APOIO_REDES!$A:$W,MATCH($C194&amp;$I194&amp;$H194&amp;$N194&amp;$O194,APOIO_REDES!$W:$W,0),MATCH(AF$5,APOIO_REDES!$5:$5,0)),0)</f>
        <v>1.46</v>
      </c>
      <c r="AG194" s="153" t="n">
        <f aca="false">IFERROR(INDEX(APOIO_REDES!$A:$W,MATCH($C194&amp;$I194&amp;$H194&amp;$N194&amp;$O194,APOIO_REDES!$W:$W,0),MATCH(AG$5,APOIO_REDES!$5:$5,0)),0)</f>
        <v>0.75</v>
      </c>
      <c r="AH194" s="153" t="n">
        <f aca="false">IFERROR(INDEX(APOIO_REDES!$A:$W,MATCH($C194&amp;$I194&amp;$H194&amp;$N194&amp;$O194,APOIO_REDES!$W:$W,0),MATCH(AH$5,APOIO_REDES!$5:$5,0)),0)</f>
        <v>0.1</v>
      </c>
      <c r="AI194" s="153" t="n">
        <f aca="false">IFERROR(IF($H194&lt;&gt;"",(((($H194/1000)/2)^2)*PI()*$M194),0),0)</f>
        <v>0.0758003475458145</v>
      </c>
      <c r="AJ194" s="153" t="n">
        <f aca="false">IFERROR(IF(AND($H194&lt;&gt;"",$I194="FoFo",OR($N194="MND",$N194="VCA"),$Q194="LINEAR"),0,IF(AND($H194&lt;&gt;"",$I194="PEAD",$N194="VCA",$Q194="LINEAR"),($H194/1000)+0.3,IF(AND($H194&lt;&gt;"",$I194="PEAD",$N194="MND",$Q194="EMBOQUE"),0,IF(AND($H194&lt;&gt;"",$I194="PVC",$N194="VCA",$Q194="LINEAR"),($H194/1000)+0.2,IF(AND($H194&lt;&gt;"",$I194="PVC",$N194="MND",$Q194="EMBOQUE"),0,IF(AND($H194&lt;&gt;"",$I194="PEAD",$N194="VCA",$Q194="PREDIAL"),0,0)))))),0)</f>
        <v>0.46</v>
      </c>
      <c r="AK194" s="153" t="n">
        <f aca="false">IF(AA194&lt;&gt;"",AA194,0)</f>
        <v>4.1</v>
      </c>
      <c r="AL194" s="153" t="n">
        <f aca="false">IF(AND($N194="MND",$Q194="EMBOQUE"),$M194,IF(AND($N194="VCA",$Q194="LINEAR"),$M194,IF(AND($N194="VCA",$Q194="PREDIAL"),0,0)))</f>
        <v>3.77</v>
      </c>
      <c r="AM194" s="153" t="n">
        <f aca="false">IF(AND($N194="MND",$Q194="EMBOQUE"),$M194,IF(AND($N194="VCA",$Q194="LINEAR"),$M194,IF(AND($N194="VCA",$Q194="PREDIAL"),0,0)))</f>
        <v>3.77</v>
      </c>
      <c r="AN194" s="153" t="n">
        <f aca="false">ROUND(IF(AND($N194="VCA",$M194&lt;&gt;"",$Q194="LINEAR"),$M194/100,IF(AND($N194="MND",$M194&gt;100,$Q194="EMBOQUE"),$M194/100,0)),0)</f>
        <v>0</v>
      </c>
      <c r="AO194" s="153" t="n">
        <f aca="false">IF(AND($N194="MND",$Q194="EMBOQUE"),$AN194*2*2,IF(AND($N194="VCA",$Q194="LINEAR"),$M194*2,IF(AND($N194="VCA",$Q194="PREDIAL"),0,0)))</f>
        <v>7.54</v>
      </c>
      <c r="AP194" s="153" t="n">
        <f aca="false">IFERROR($M194*$AF194*$AG194,0)</f>
        <v>4.12815</v>
      </c>
      <c r="AQ194" s="153" t="n">
        <f aca="false">IFERROR(IF(AND($N194="VCA",$AH194&gt;0),$M194*$AG194*$AH194,0),0)</f>
        <v>0.28275</v>
      </c>
      <c r="AR194" s="153" t="n">
        <f aca="false">IFERROR(IF(AND($N194="VCA",$AJ194&gt;0),($M194*$AG194*$AJ194)-$AI194,0),0)</f>
        <v>1.22484965245419</v>
      </c>
      <c r="AS194" s="153" t="n">
        <f aca="false">IFERROR(IF(AND($N194="VCA",$AP194&gt;0),$AP194-$AI194-$AQ194-$AR194,0),0)</f>
        <v>2.54475</v>
      </c>
      <c r="AT194" s="153" t="n">
        <f aca="false">IFERROR(IF($N194="VCA",INDEX(APOIO_REDES!$A:$W,MATCH($C194&amp;$I194&amp;$H194&amp;$N194&amp;$O194,APOIO_REDES!$W:$W,0),MATCH(AT$5,APOIO_REDES!$5:$5,0)),0)*$AP194,0)</f>
        <v>0.0449154938700298</v>
      </c>
      <c r="AU194" s="153" t="n">
        <f aca="false">IFERROR(IF($N194="VCA",INDEX(APOIO_REDES!$A:$W,MATCH($C194&amp;$I194&amp;$H194&amp;$N194&amp;$O194,APOIO_REDES!$W:$W,0),MATCH(AU$5,APOIO_REDES!$5:$5,0)),0)*$AP194,0)</f>
        <v>0.035868296938759</v>
      </c>
      <c r="AV194" s="153" t="n">
        <f aca="false">IFERROR(IF($N194="VCA",INDEX(APOIO_REDES!$A:$W,MATCH($C194&amp;$I194&amp;$H194&amp;$N194&amp;$O194,APOIO_REDES!$W:$W,0),MATCH(AV$5,APOIO_REDES!$5:$5,0)),0)*$AP194,0)</f>
        <v>0.00496389071915317</v>
      </c>
      <c r="AW194" s="153" t="n">
        <f aca="false">IFERROR(IF($N194="VCA",INDEX(APOIO_REDES!$A:$W,MATCH($C194&amp;$I194&amp;$H194&amp;$N194&amp;$O194,APOIO_REDES!$W:$W,0),MATCH(AW$5,APOIO_REDES!$5:$5,0)),0)*$AP194,0)</f>
        <v>2.83359414646706</v>
      </c>
      <c r="AX194" s="153" t="n">
        <f aca="false">IFERROR(IF($N194="VCA",INDEX(APOIO_REDES!$A:$W,MATCH($C194&amp;$I194&amp;$H194&amp;$N194&amp;$O194,APOIO_REDES!$W:$W,0),MATCH(AX$5,APOIO_REDES!$5:$5,0)),0)*$AP194,0)</f>
        <v>0.392161358225328</v>
      </c>
      <c r="AY194" s="153" t="n">
        <f aca="false">IFERROR(IF($N194="VCA",INDEX(APOIO_REDES!$A:$W,MATCH($C194&amp;$I194&amp;$H194&amp;$N194&amp;$O194,APOIO_REDES!$W:$W,0),MATCH(AY$5,APOIO_REDES!$5:$5,0)),0)*$AP194,0)</f>
        <v>0.717365501543547</v>
      </c>
      <c r="AZ194" s="153" t="n">
        <f aca="false">IFERROR(IF($N194="VCA",INDEX(APOIO_REDES!$A:$W,MATCH($C194&amp;$I194&amp;$H194&amp;$N194&amp;$O194,APOIO_REDES!$W:$W,0),MATCH(AZ$5,APOIO_REDES!$5:$5,0)),0)*$AP194,0)</f>
        <v>0.0992813122361202</v>
      </c>
      <c r="BA194" s="153" t="n">
        <f aca="false">IFERROR(IF(AND($N194="VCA",$Q194="LINEAR"),INDEX(APOIO_REDES!$A:$W,MATCH($C194&amp;$I194&amp;$H194&amp;$N194&amp;$O194,APOIO_REDES!$W:$W,0),MATCH(BA$5,APOIO_REDES!$5:$5,0)),IF(AND($N194="MND",$Q194="EMBOQUE"),INDEX(APOIO_REDES!$A:$W,MATCH($C194&amp;$I194&amp;$H194&amp;$N194&amp;$O194,APOIO_REDES!$W:$W,0),MATCH(BA$5,APOIO_REDES!$5:$5,0)),0))*$M194/10,0)</f>
        <v>0.303852490475772</v>
      </c>
      <c r="BB194" s="153" t="n">
        <f aca="false">IFERROR(IF($N194="VCA",INDEX(APOIO_REDES!$A:$W,MATCH($C194&amp;$I194&amp;$H194&amp;$N194&amp;$O194,APOIO_REDES!$W:$W,0),MATCH(BB$5,APOIO_REDES!$5:$5,0)),0)*($AI194+$AQ194+$AR194),0)</f>
        <v>1.56617213933752</v>
      </c>
      <c r="BC194" s="153" t="n">
        <f aca="false">IFERROR(IF($N194="VCA",INDEX(APOIO_REDES!$A:$W,MATCH($C194&amp;$I194&amp;$H194&amp;$N194&amp;$O194,APOIO_REDES!$W:$W,0),MATCH(BC$5,APOIO_REDES!$5:$5,0)),0)*($AI194+$AQ194+$AR194),0)</f>
        <v>0.0172278606624772</v>
      </c>
      <c r="BD194" s="153" t="n">
        <f aca="false">IF(AND($N194="VCA",$AF194&gt;=1.25,$AF194&lt;1.5),$M194*$AF194*2,0)</f>
        <v>11.0084</v>
      </c>
      <c r="BE194" s="153" t="n">
        <f aca="false">IF(AND($N194="VCA",$AF194&gt;=1.5,$AF194&lt;3),$M194*$AF194*2,0)</f>
        <v>0</v>
      </c>
      <c r="BF194" s="153" t="n">
        <f aca="false">IF(AND($N194="VCA",$AF194&gt;=3),$M194*$AF194*2,0)</f>
        <v>0</v>
      </c>
      <c r="BG194" s="153" t="n">
        <f aca="false">($BB194+$BC194)*$AK194</f>
        <v>6.49194</v>
      </c>
      <c r="BH194" s="153" t="n">
        <f aca="false">IF(AND($M194&lt;&gt;"",$N194="VCA",$Q194="LINEAR"),($M194*2)/100,IF(AND($M194&lt;&gt;"",$N194="MND",$Q194="EMBOQUE"),($AN194*2)/100,0))</f>
        <v>0.0754</v>
      </c>
      <c r="BI194" s="153" t="n">
        <f aca="false">IF(AND($M194&lt;&gt;"",$N194="VCA",$Q194="LINEAR"),$M194,IF(AND($M194&lt;&gt;"",$N194="MND",$Q194="EMBOQUE"),$AN194*2,0))</f>
        <v>3.77</v>
      </c>
      <c r="BJ194" s="153" t="n">
        <f aca="false">IF(AND($M194&lt;&gt;"",$N194="VCA",$Q194="LINEAR"),($M194*6.8)/100,IF(AND($M194&lt;&gt;"",$N194="MND",$Q194="EMBOQUE"),($AN194*2*6.8)/100,0))</f>
        <v>0.25636</v>
      </c>
      <c r="BK194" s="153" t="n">
        <f aca="false">IF(AND($M194&lt;&gt;"",$N194="VCA",$Q194="LINEAR"),($M194*2.5)/50,IF(AND($M194&lt;&gt;"",$N194="MND",$Q194="EMBOQUE"),($AN194*2*2.5)/50,0))</f>
        <v>0.1885</v>
      </c>
      <c r="BL194" s="157" t="str">
        <f aca="false">K194&amp;J194</f>
        <v>Zona02REDES</v>
      </c>
      <c r="BM194" s="152" t="s">
        <v>2037</v>
      </c>
      <c r="BN194" s="152" t="s">
        <v>1560</v>
      </c>
      <c r="BO194" s="152" t="s">
        <v>2231</v>
      </c>
      <c r="BP194" s="152" t="s">
        <v>2199</v>
      </c>
      <c r="BQ194" s="152" t="s">
        <v>2273</v>
      </c>
      <c r="BR194" s="152" t="s">
        <v>2274</v>
      </c>
      <c r="BS194" s="152" t="n">
        <v>202995.606</v>
      </c>
      <c r="BT194" s="152" t="n">
        <v>8237823.784</v>
      </c>
      <c r="BU194" s="152" t="n">
        <v>202993.941</v>
      </c>
      <c r="BV194" s="152" t="n">
        <v>8237820.4</v>
      </c>
      <c r="BW194" s="152" t="n">
        <v>-15.9210696</v>
      </c>
      <c r="BX194" s="152" t="n">
        <v>-47.7739545</v>
      </c>
      <c r="BY194" s="152" t="s">
        <v>2199</v>
      </c>
    </row>
    <row r="195" customFormat="false" ht="13.8" hidden="false" customHeight="false" outlineLevel="0" collapsed="false">
      <c r="A195" s="149" t="n">
        <f aca="false">IF(C195&lt;&gt;"",ROW(A190),"")</f>
        <v>190</v>
      </c>
      <c r="B195" s="150" t="str">
        <f aca="false">HYPERLINK("https://www.google.com/maps/dir/-15.917302,-47.760003/-15.9211127,-47.7768154/data=!4m3!4m2!3e0!5i1")</f>
        <v>https://www.google.com/maps/dir/-15.917302,-47.760003/-15.9211127,-47.7768154/data=!4m3!4m2!3e0!5i1</v>
      </c>
      <c r="C195" s="151" t="s">
        <v>117</v>
      </c>
      <c r="D195" s="152" t="s">
        <v>112</v>
      </c>
      <c r="E195" s="152" t="s">
        <v>113</v>
      </c>
      <c r="F195" s="152" t="s">
        <v>117</v>
      </c>
      <c r="G195" s="152" t="s">
        <v>782</v>
      </c>
      <c r="H195" s="152" t="n">
        <v>63</v>
      </c>
      <c r="I195" s="152" t="s">
        <v>115</v>
      </c>
      <c r="J195" s="152" t="s">
        <v>6</v>
      </c>
      <c r="K195" s="152" t="s">
        <v>2033</v>
      </c>
      <c r="L195" s="152" t="s">
        <v>120</v>
      </c>
      <c r="M195" s="153" t="n">
        <f aca="false">0.96</f>
        <v>0.96</v>
      </c>
      <c r="N195" s="152" t="s">
        <v>1548</v>
      </c>
      <c r="O195" s="152" t="s">
        <v>1549</v>
      </c>
      <c r="P195" s="152" t="s">
        <v>1550</v>
      </c>
      <c r="Q195" s="152" t="s">
        <v>1551</v>
      </c>
      <c r="R195" s="154" t="s">
        <v>2275</v>
      </c>
      <c r="S195" s="154" t="s">
        <v>1553</v>
      </c>
      <c r="T195" s="155" t="s">
        <v>2227</v>
      </c>
      <c r="U195" s="152" t="str">
        <f aca="false">RIGHT(T195,7)</f>
        <v>008/037</v>
      </c>
      <c r="V195" s="152" t="s">
        <v>1555</v>
      </c>
      <c r="W195" s="156" t="n">
        <v>45882</v>
      </c>
      <c r="X195" s="152" t="s">
        <v>1594</v>
      </c>
      <c r="Y195" s="152" t="s">
        <v>2276</v>
      </c>
      <c r="Z195" s="152" t="s">
        <v>1557</v>
      </c>
      <c r="AA195" s="153" t="n">
        <v>4.1</v>
      </c>
      <c r="AB195" s="151" t="s">
        <v>2277</v>
      </c>
      <c r="AC195" s="151" t="s">
        <v>186</v>
      </c>
      <c r="AD195" s="151" t="str">
        <f aca="false">CONCATENATE($C195,$I195,$H195,$N195,$J195,$K195)</f>
        <v>TUBO PEADPEAD63VCAREDESZona02</v>
      </c>
      <c r="AE195" s="153" t="n">
        <f aca="false">IFERROR(INDEX(APOIO_REDES!$A:$W,MATCH($C195&amp;$I195&amp;$H195&amp;$N195&amp;$O195,APOIO_REDES!$W:$W,0),MATCH(AE$5,APOIO_REDES!$5:$5,0)),0)</f>
        <v>1.2</v>
      </c>
      <c r="AF195" s="153" t="n">
        <f aca="false">IFERROR(INDEX(APOIO_REDES!$A:$W,MATCH($C195&amp;$I195&amp;$H195&amp;$N195&amp;$O195,APOIO_REDES!$W:$W,0),MATCH(AF$5,APOIO_REDES!$5:$5,0)),0)</f>
        <v>1.363</v>
      </c>
      <c r="AG195" s="153" t="n">
        <f aca="false">IFERROR(INDEX(APOIO_REDES!$A:$W,MATCH($C195&amp;$I195&amp;$H195&amp;$N195&amp;$O195,APOIO_REDES!$W:$W,0),MATCH(AG$5,APOIO_REDES!$5:$5,0)),0)</f>
        <v>0.65</v>
      </c>
      <c r="AH195" s="153" t="n">
        <f aca="false">IFERROR(INDEX(APOIO_REDES!$A:$W,MATCH($C195&amp;$I195&amp;$H195&amp;$N195&amp;$O195,APOIO_REDES!$W:$W,0),MATCH(AH$5,APOIO_REDES!$5:$5,0)),0)</f>
        <v>0.1</v>
      </c>
      <c r="AI195" s="153" t="n">
        <f aca="false">IFERROR(IF($H195&lt;&gt;"",(((($H195/1000)/2)^2)*PI()*$M195),0),0)</f>
        <v>0.00299255549810349</v>
      </c>
      <c r="AJ195" s="153" t="n">
        <f aca="false">IFERROR(IF(AND($H195&lt;&gt;"",$I195="FoFo",OR($N195="MND",$N195="VCA"),$Q195="LINEAR"),0,IF(AND($H195&lt;&gt;"",$I195="PEAD",$N195="VCA",$Q195="LINEAR"),($H195/1000)+0.3,IF(AND($H195&lt;&gt;"",$I195="PEAD",$N195="MND",$Q195="EMBOQUE"),0,IF(AND($H195&lt;&gt;"",$I195="PVC",$N195="VCA",$Q195="LINEAR"),($H195/1000)+0.2,IF(AND($H195&lt;&gt;"",$I195="PVC",$N195="MND",$Q195="EMBOQUE"),0,IF(AND($H195&lt;&gt;"",$I195="PEAD",$N195="VCA",$Q195="PREDIAL"),0,0)))))),0)</f>
        <v>0.363</v>
      </c>
      <c r="AK195" s="153" t="n">
        <f aca="false">IF(AA195&lt;&gt;"",AA195,0)</f>
        <v>4.1</v>
      </c>
      <c r="AL195" s="153" t="n">
        <f aca="false">IF(AND($N195="MND",$Q195="EMBOQUE"),$M195,IF(AND($N195="VCA",$Q195="LINEAR"),$M195,IF(AND($N195="VCA",$Q195="PREDIAL"),0,0)))</f>
        <v>0.96</v>
      </c>
      <c r="AM195" s="153" t="n">
        <f aca="false">IF(AND($N195="MND",$Q195="EMBOQUE"),$M195,IF(AND($N195="VCA",$Q195="LINEAR"),$M195,IF(AND($N195="VCA",$Q195="PREDIAL"),0,0)))</f>
        <v>0.96</v>
      </c>
      <c r="AN195" s="153" t="n">
        <f aca="false">ROUND(IF(AND($N195="VCA",$M195&lt;&gt;"",$Q195="LINEAR"),$M195/100,IF(AND($N195="MND",$M195&gt;100,$Q195="EMBOQUE"),$M195/100,0)),0)</f>
        <v>0</v>
      </c>
      <c r="AO195" s="153" t="n">
        <f aca="false">IF(AND($N195="MND",$Q195="EMBOQUE"),$AN195*2*2,IF(AND($N195="VCA",$Q195="LINEAR"),$M195*2,IF(AND($N195="VCA",$Q195="PREDIAL"),0,0)))</f>
        <v>1.92</v>
      </c>
      <c r="AP195" s="153" t="n">
        <f aca="false">IFERROR($M195*$AF195*$AG195,0)</f>
        <v>0.850512</v>
      </c>
      <c r="AQ195" s="153" t="n">
        <f aca="false">IFERROR(IF(AND($N195="VCA",$AH195&gt;0),$M195*$AG195*$AH195,0),0)</f>
        <v>0.0624</v>
      </c>
      <c r="AR195" s="153" t="n">
        <f aca="false">IFERROR(IF(AND($N195="VCA",$AJ195&gt;0),($M195*$AG195*$AJ195)-$AI195,0),0)</f>
        <v>0.223519444501897</v>
      </c>
      <c r="AS195" s="153" t="n">
        <f aca="false">IFERROR(IF(AND($N195="VCA",$AP195&gt;0),$AP195-$AI195-$AQ195-$AR195,0),0)</f>
        <v>0.5616</v>
      </c>
      <c r="AT195" s="153" t="n">
        <f aca="false">IFERROR(IF($N195="VCA",INDEX(APOIO_REDES!$A:$W,MATCH($C195&amp;$I195&amp;$H195&amp;$N195&amp;$O195,APOIO_REDES!$W:$W,0),MATCH(AT$5,APOIO_REDES!$5:$5,0)),0)*$AP195,0)</f>
        <v>0.00925382229870203</v>
      </c>
      <c r="AU195" s="153" t="n">
        <f aca="false">IFERROR(IF($N195="VCA",INDEX(APOIO_REDES!$A:$W,MATCH($C195&amp;$I195&amp;$H195&amp;$N195&amp;$O195,APOIO_REDES!$W:$W,0),MATCH(AU$5,APOIO_REDES!$5:$5,0)),0)*$AP195,0)</f>
        <v>0.00738985186245116</v>
      </c>
      <c r="AV195" s="153" t="n">
        <f aca="false">IFERROR(IF($N195="VCA",INDEX(APOIO_REDES!$A:$W,MATCH($C195&amp;$I195&amp;$H195&amp;$N195&amp;$O195,APOIO_REDES!$W:$W,0),MATCH(AV$5,APOIO_REDES!$5:$5,0)),0)*$AP195,0)</f>
        <v>0.00102269748515156</v>
      </c>
      <c r="AW195" s="153" t="n">
        <f aca="false">IFERROR(IF($N195="VCA",INDEX(APOIO_REDES!$A:$W,MATCH($C195&amp;$I195&amp;$H195&amp;$N195&amp;$O195,APOIO_REDES!$W:$W,0),MATCH(AW$5,APOIO_REDES!$5:$5,0)),0)*$AP195,0)</f>
        <v>0.583798026888556</v>
      </c>
      <c r="AX195" s="153" t="n">
        <f aca="false">IFERROR(IF($N195="VCA",INDEX(APOIO_REDES!$A:$W,MATCH($C195&amp;$I195&amp;$H195&amp;$N195&amp;$O195,APOIO_REDES!$W:$W,0),MATCH(AX$5,APOIO_REDES!$5:$5,0)),0)*$AP195,0)</f>
        <v>0.0807959839412182</v>
      </c>
      <c r="AY195" s="153" t="n">
        <f aca="false">IFERROR(IF($N195="VCA",INDEX(APOIO_REDES!$A:$W,MATCH($C195&amp;$I195&amp;$H195&amp;$N195&amp;$O195,APOIO_REDES!$W:$W,0),MATCH(AY$5,APOIO_REDES!$5:$5,0)),0)*$AP195,0)</f>
        <v>0.147796947167328</v>
      </c>
      <c r="AZ195" s="153" t="n">
        <f aca="false">IFERROR(IF($N195="VCA",INDEX(APOIO_REDES!$A:$W,MATCH($C195&amp;$I195&amp;$H195&amp;$N195&amp;$O195,APOIO_REDES!$W:$W,0),MATCH(AZ$5,APOIO_REDES!$5:$5,0)),0)*$AP195,0)</f>
        <v>0.0204546703565924</v>
      </c>
      <c r="BA195" s="153" t="n">
        <f aca="false">IFERROR(IF(AND($N195="VCA",$Q195="LINEAR"),INDEX(APOIO_REDES!$A:$W,MATCH($C195&amp;$I195&amp;$H195&amp;$N195&amp;$O195,APOIO_REDES!$W:$W,0),MATCH(BA$5,APOIO_REDES!$5:$5,0)),IF(AND($N195="MND",$Q195="EMBOQUE"),INDEX(APOIO_REDES!$A:$W,MATCH($C195&amp;$I195&amp;$H195&amp;$N195&amp;$O195,APOIO_REDES!$W:$W,0),MATCH(BA$5,APOIO_REDES!$5:$5,0)),0))*$M195/10,0)</f>
        <v>0.0773735784765891</v>
      </c>
      <c r="BB195" s="153" t="n">
        <f aca="false">IFERROR(IF($N195="VCA",INDEX(APOIO_REDES!$A:$W,MATCH($C195&amp;$I195&amp;$H195&amp;$N195&amp;$O195,APOIO_REDES!$W:$W,0),MATCH(BB$5,APOIO_REDES!$5:$5,0)),0)*($AI195+$AQ195+$AR195),0)</f>
        <v>0.285768551926413</v>
      </c>
      <c r="BC195" s="153" t="n">
        <f aca="false">IFERROR(IF($N195="VCA",INDEX(APOIO_REDES!$A:$W,MATCH($C195&amp;$I195&amp;$H195&amp;$N195&amp;$O195,APOIO_REDES!$W:$W,0),MATCH(BC$5,APOIO_REDES!$5:$5,0)),0)*($AI195+$AQ195+$AR195),0)</f>
        <v>0.00314344807358697</v>
      </c>
      <c r="BD195" s="153" t="n">
        <f aca="false">IF(AND($N195="VCA",$AF195&gt;=1.25,$AF195&lt;1.5),$M195*$AF195*2,0)</f>
        <v>2.61696</v>
      </c>
      <c r="BE195" s="153" t="n">
        <f aca="false">IF(AND($N195="VCA",$AF195&gt;=1.5,$AF195&lt;3),$M195*$AF195*2,0)</f>
        <v>0</v>
      </c>
      <c r="BF195" s="153" t="n">
        <f aca="false">IF(AND($N195="VCA",$AF195&gt;=3),$M195*$AF195*2,0)</f>
        <v>0</v>
      </c>
      <c r="BG195" s="153" t="n">
        <f aca="false">($BB195+$BC195)*$AK195</f>
        <v>1.1845392</v>
      </c>
      <c r="BH195" s="153" t="n">
        <f aca="false">IF(AND($M195&lt;&gt;"",$N195="VCA",$Q195="LINEAR"),($M195*2)/100,IF(AND($M195&lt;&gt;"",$N195="MND",$Q195="EMBOQUE"),($AN195*2)/100,0))</f>
        <v>0.0192</v>
      </c>
      <c r="BI195" s="153" t="n">
        <f aca="false">IF(AND($M195&lt;&gt;"",$N195="VCA",$Q195="LINEAR"),$M195,IF(AND($M195&lt;&gt;"",$N195="MND",$Q195="EMBOQUE"),$AN195*2,0))</f>
        <v>0.96</v>
      </c>
      <c r="BJ195" s="153" t="n">
        <f aca="false">IF(AND($M195&lt;&gt;"",$N195="VCA",$Q195="LINEAR"),($M195*6.8)/100,IF(AND($M195&lt;&gt;"",$N195="MND",$Q195="EMBOQUE"),($AN195*2*6.8)/100,0))</f>
        <v>0.06528</v>
      </c>
      <c r="BK195" s="153" t="n">
        <f aca="false">IF(AND($M195&lt;&gt;"",$N195="VCA",$Q195="LINEAR"),($M195*2.5)/50,IF(AND($M195&lt;&gt;"",$N195="MND",$Q195="EMBOQUE"),($AN195*2*2.5)/50,0))</f>
        <v>0.048</v>
      </c>
      <c r="BL195" s="157" t="str">
        <f aca="false">K195&amp;J195</f>
        <v>Zona02REDES</v>
      </c>
      <c r="BM195" s="152" t="s">
        <v>2037</v>
      </c>
      <c r="BN195" s="152" t="s">
        <v>1560</v>
      </c>
      <c r="BO195" s="152" t="s">
        <v>2231</v>
      </c>
      <c r="BP195" s="152" t="s">
        <v>2278</v>
      </c>
      <c r="BQ195" s="152" t="s">
        <v>2279</v>
      </c>
      <c r="BR195" s="152" t="s">
        <v>2280</v>
      </c>
      <c r="BS195" s="152" t="n">
        <v>202688.312</v>
      </c>
      <c r="BT195" s="152" t="n">
        <v>8237813.246</v>
      </c>
      <c r="BU195" s="152" t="n">
        <v>202687.738</v>
      </c>
      <c r="BV195" s="152" t="n">
        <v>8237812.48</v>
      </c>
      <c r="BW195" s="152" t="n">
        <v>-15.9211161</v>
      </c>
      <c r="BX195" s="152" t="n">
        <v>-47.7768182</v>
      </c>
      <c r="BY195" s="152" t="s">
        <v>2278</v>
      </c>
    </row>
    <row r="196" customFormat="false" ht="13.8" hidden="false" customHeight="false" outlineLevel="0" collapsed="false">
      <c r="A196" s="149" t="n">
        <f aca="false">IF(C196&lt;&gt;"",ROW(A191),"")</f>
        <v>191</v>
      </c>
      <c r="B196" s="150" t="str">
        <f aca="false">HYPERLINK("https://www.google.com/maps/dir/-15.917302,-47.760003/-15.9210848,-47.7739625/data=!4m3!4m2!3e0!5i0")</f>
        <v>https://www.google.com/maps/dir/-15.917302,-47.760003/-15.9210848,-47.7739625/data=!4m3!4m2!3e0!5i0</v>
      </c>
      <c r="C196" s="151" t="s">
        <v>117</v>
      </c>
      <c r="D196" s="152" t="s">
        <v>112</v>
      </c>
      <c r="E196" s="152" t="s">
        <v>113</v>
      </c>
      <c r="F196" s="152" t="s">
        <v>117</v>
      </c>
      <c r="G196" s="152" t="s">
        <v>114</v>
      </c>
      <c r="H196" s="152" t="n">
        <v>160</v>
      </c>
      <c r="I196" s="152" t="s">
        <v>115</v>
      </c>
      <c r="J196" s="152" t="s">
        <v>6</v>
      </c>
      <c r="K196" s="152" t="s">
        <v>2033</v>
      </c>
      <c r="L196" s="152" t="s">
        <v>120</v>
      </c>
      <c r="M196" s="153" t="n">
        <f aca="false">19.33</f>
        <v>19.33</v>
      </c>
      <c r="N196" s="152" t="s">
        <v>1548</v>
      </c>
      <c r="O196" s="152" t="s">
        <v>1549</v>
      </c>
      <c r="P196" s="152" t="s">
        <v>1550</v>
      </c>
      <c r="Q196" s="152" t="s">
        <v>1551</v>
      </c>
      <c r="R196" s="154" t="s">
        <v>2281</v>
      </c>
      <c r="S196" s="154" t="s">
        <v>1593</v>
      </c>
      <c r="T196" s="155" t="s">
        <v>2227</v>
      </c>
      <c r="U196" s="152" t="str">
        <f aca="false">RIGHT(T196,7)</f>
        <v>008/037</v>
      </c>
      <c r="V196" s="152" t="s">
        <v>1555</v>
      </c>
      <c r="W196" s="156" t="n">
        <v>45882</v>
      </c>
      <c r="X196" s="152" t="s">
        <v>1594</v>
      </c>
      <c r="Y196" s="152" t="s">
        <v>2186</v>
      </c>
      <c r="Z196" s="152" t="s">
        <v>1557</v>
      </c>
      <c r="AA196" s="153" t="n">
        <v>2.9</v>
      </c>
      <c r="AB196" s="151" t="s">
        <v>2282</v>
      </c>
      <c r="AC196" s="151" t="s">
        <v>505</v>
      </c>
      <c r="AD196" s="151" t="str">
        <f aca="false">CONCATENATE($C196,$I196,$H196,$N196,$J196,$K196)</f>
        <v>TUBO PEADPEAD160VCAREDESZona02</v>
      </c>
      <c r="AE196" s="153" t="n">
        <f aca="false">IFERROR(INDEX(APOIO_REDES!$A:$W,MATCH($C196&amp;$I196&amp;$H196&amp;$N196&amp;$O196,APOIO_REDES!$W:$W,0),MATCH(AE$5,APOIO_REDES!$5:$5,0)),0)</f>
        <v>1.2</v>
      </c>
      <c r="AF196" s="153" t="n">
        <f aca="false">IFERROR(INDEX(APOIO_REDES!$A:$W,MATCH($C196&amp;$I196&amp;$H196&amp;$N196&amp;$O196,APOIO_REDES!$W:$W,0),MATCH(AF$5,APOIO_REDES!$5:$5,0)),0)</f>
        <v>1.46</v>
      </c>
      <c r="AG196" s="153" t="n">
        <f aca="false">IFERROR(INDEX(APOIO_REDES!$A:$W,MATCH($C196&amp;$I196&amp;$H196&amp;$N196&amp;$O196,APOIO_REDES!$W:$W,0),MATCH(AG$5,APOIO_REDES!$5:$5,0)),0)</f>
        <v>0.75</v>
      </c>
      <c r="AH196" s="153" t="n">
        <f aca="false">IFERROR(INDEX(APOIO_REDES!$A:$W,MATCH($C196&amp;$I196&amp;$H196&amp;$N196&amp;$O196,APOIO_REDES!$W:$W,0),MATCH(AH$5,APOIO_REDES!$5:$5,0)),0)</f>
        <v>0.1</v>
      </c>
      <c r="AI196" s="153" t="n">
        <f aca="false">IFERROR(IF($H196&lt;&gt;"",(((($H196/1000)/2)^2)*PI()*$M196),0),0)</f>
        <v>0.3886527103609</v>
      </c>
      <c r="AJ196" s="153" t="n">
        <f aca="false">IFERROR(IF(AND($H196&lt;&gt;"",$I196="FoFo",OR($N196="MND",$N196="VCA"),$Q196="LINEAR"),0,IF(AND($H196&lt;&gt;"",$I196="PEAD",$N196="VCA",$Q196="LINEAR"),($H196/1000)+0.3,IF(AND($H196&lt;&gt;"",$I196="PEAD",$N196="MND",$Q196="EMBOQUE"),0,IF(AND($H196&lt;&gt;"",$I196="PVC",$N196="VCA",$Q196="LINEAR"),($H196/1000)+0.2,IF(AND($H196&lt;&gt;"",$I196="PVC",$N196="MND",$Q196="EMBOQUE"),0,IF(AND($H196&lt;&gt;"",$I196="PEAD",$N196="VCA",$Q196="PREDIAL"),0,0)))))),0)</f>
        <v>0.46</v>
      </c>
      <c r="AK196" s="153" t="n">
        <f aca="false">IF(AA196&lt;&gt;"",AA196,0)</f>
        <v>2.9</v>
      </c>
      <c r="AL196" s="153" t="n">
        <f aca="false">IF(AND($N196="MND",$Q196="EMBOQUE"),$M196,IF(AND($N196="VCA",$Q196="LINEAR"),$M196,IF(AND($N196="VCA",$Q196="PREDIAL"),0,0)))</f>
        <v>19.33</v>
      </c>
      <c r="AM196" s="153" t="n">
        <f aca="false">IF(AND($N196="MND",$Q196="EMBOQUE"),$M196,IF(AND($N196="VCA",$Q196="LINEAR"),$M196,IF(AND($N196="VCA",$Q196="PREDIAL"),0,0)))</f>
        <v>19.33</v>
      </c>
      <c r="AN196" s="153" t="n">
        <f aca="false">ROUND(IF(AND($N196="VCA",$M196&lt;&gt;"",$Q196="LINEAR"),$M196/100,IF(AND($N196="MND",$M196&gt;100,$Q196="EMBOQUE"),$M196/100,0)),0)</f>
        <v>0</v>
      </c>
      <c r="AO196" s="153" t="n">
        <f aca="false">IF(AND($N196="MND",$Q196="EMBOQUE"),$AN196*2*2,IF(AND($N196="VCA",$Q196="LINEAR"),$M196*2,IF(AND($N196="VCA",$Q196="PREDIAL"),0,0)))</f>
        <v>38.66</v>
      </c>
      <c r="AP196" s="153" t="n">
        <f aca="false">IFERROR($M196*$AF196*$AG196,0)</f>
        <v>21.16635</v>
      </c>
      <c r="AQ196" s="153" t="n">
        <f aca="false">IFERROR(IF(AND($N196="VCA",$AH196&gt;0),$M196*$AG196*$AH196,0),0)</f>
        <v>1.44975</v>
      </c>
      <c r="AR196" s="153" t="n">
        <f aca="false">IFERROR(IF(AND($N196="VCA",$AJ196&gt;0),($M196*$AG196*$AJ196)-$AI196,0),0)</f>
        <v>6.2801972896391</v>
      </c>
      <c r="AS196" s="153" t="n">
        <f aca="false">IFERROR(IF(AND($N196="VCA",$AP196&gt;0),$AP196-$AI196-$AQ196-$AR196,0),0)</f>
        <v>13.04775</v>
      </c>
      <c r="AT196" s="153" t="n">
        <f aca="false">IFERROR(IF($N196="VCA",INDEX(APOIO_REDES!$A:$W,MATCH($C196&amp;$I196&amp;$H196&amp;$N196&amp;$O196,APOIO_REDES!$W:$W,0),MATCH(AT$5,APOIO_REDES!$5:$5,0)),0)*$AP196,0)</f>
        <v>0.230296152919808</v>
      </c>
      <c r="AU196" s="153" t="n">
        <f aca="false">IFERROR(IF($N196="VCA",INDEX(APOIO_REDES!$A:$W,MATCH($C196&amp;$I196&amp;$H196&amp;$N196&amp;$O196,APOIO_REDES!$W:$W,0),MATCH(AU$5,APOIO_REDES!$5:$5,0)),0)*$AP196,0)</f>
        <v>0.183908270510931</v>
      </c>
      <c r="AV196" s="153" t="n">
        <f aca="false">IFERROR(IF($N196="VCA",INDEX(APOIO_REDES!$A:$W,MATCH($C196&amp;$I196&amp;$H196&amp;$N196&amp;$O196,APOIO_REDES!$W:$W,0),MATCH(AV$5,APOIO_REDES!$5:$5,0)),0)*$AP196,0)</f>
        <v>0.0254514609021832</v>
      </c>
      <c r="AW196" s="153" t="n">
        <f aca="false">IFERROR(IF($N196="VCA",INDEX(APOIO_REDES!$A:$W,MATCH($C196&amp;$I196&amp;$H196&amp;$N196&amp;$O196,APOIO_REDES!$W:$W,0),MATCH(AW$5,APOIO_REDES!$5:$5,0)),0)*$AP196,0)</f>
        <v>14.5287466448828</v>
      </c>
      <c r="AX196" s="153" t="n">
        <f aca="false">IFERROR(IF($N196="VCA",INDEX(APOIO_REDES!$A:$W,MATCH($C196&amp;$I196&amp;$H196&amp;$N196&amp;$O196,APOIO_REDES!$W:$W,0),MATCH(AX$5,APOIO_REDES!$5:$5,0)),0)*$AP196,0)</f>
        <v>2.01073714973358</v>
      </c>
      <c r="AY196" s="153" t="n">
        <f aca="false">IFERROR(IF($N196="VCA",INDEX(APOIO_REDES!$A:$W,MATCH($C196&amp;$I196&amp;$H196&amp;$N196&amp;$O196,APOIO_REDES!$W:$W,0),MATCH(AY$5,APOIO_REDES!$5:$5,0)),0)*$AP196,0)</f>
        <v>3.67816316839172</v>
      </c>
      <c r="AZ196" s="153" t="n">
        <f aca="false">IFERROR(IF($N196="VCA",INDEX(APOIO_REDES!$A:$W,MATCH($C196&amp;$I196&amp;$H196&amp;$N196&amp;$O196,APOIO_REDES!$W:$W,0),MATCH(AZ$5,APOIO_REDES!$5:$5,0)),0)*$AP196,0)</f>
        <v>0.50904715265894</v>
      </c>
      <c r="BA196" s="153" t="n">
        <f aca="false">IFERROR(IF(AND($N196="VCA",$Q196="LINEAR"),INDEX(APOIO_REDES!$A:$W,MATCH($C196&amp;$I196&amp;$H196&amp;$N196&amp;$O196,APOIO_REDES!$W:$W,0),MATCH(BA$5,APOIO_REDES!$5:$5,0)),IF(AND($N196="MND",$Q196="EMBOQUE"),INDEX(APOIO_REDES!$A:$W,MATCH($C196&amp;$I196&amp;$H196&amp;$N196&amp;$O196,APOIO_REDES!$W:$W,0),MATCH(BA$5,APOIO_REDES!$5:$5,0)),0))*$M196/10,0)</f>
        <v>1.55794924161715</v>
      </c>
      <c r="BB196" s="153" t="n">
        <f aca="false">IFERROR(IF($N196="VCA",INDEX(APOIO_REDES!$A:$W,MATCH($C196&amp;$I196&amp;$H196&amp;$N196&amp;$O196,APOIO_REDES!$W:$W,0),MATCH(BB$5,APOIO_REDES!$5:$5,0)),0)*($AI196+$AQ196+$AR196),0)</f>
        <v>8.03026722901706</v>
      </c>
      <c r="BC196" s="153" t="n">
        <f aca="false">IFERROR(IF($N196="VCA",INDEX(APOIO_REDES!$A:$W,MATCH($C196&amp;$I196&amp;$H196&amp;$N196&amp;$O196,APOIO_REDES!$W:$W,0),MATCH(BC$5,APOIO_REDES!$5:$5,0)),0)*($AI196+$AQ196+$AR196),0)</f>
        <v>0.08833277098294</v>
      </c>
      <c r="BD196" s="153" t="n">
        <f aca="false">IF(AND($N196="VCA",$AF196&gt;=1.25,$AF196&lt;1.5),$M196*$AF196*2,0)</f>
        <v>56.4436</v>
      </c>
      <c r="BE196" s="153" t="n">
        <f aca="false">IF(AND($N196="VCA",$AF196&gt;=1.5,$AF196&lt;3),$M196*$AF196*2,0)</f>
        <v>0</v>
      </c>
      <c r="BF196" s="153" t="n">
        <f aca="false">IF(AND($N196="VCA",$AF196&gt;=3),$M196*$AF196*2,0)</f>
        <v>0</v>
      </c>
      <c r="BG196" s="153" t="n">
        <f aca="false">($BB196+$BC196)*$AK196</f>
        <v>23.54394</v>
      </c>
      <c r="BH196" s="153" t="n">
        <f aca="false">IF(AND($M196&lt;&gt;"",$N196="VCA",$Q196="LINEAR"),($M196*2)/100,IF(AND($M196&lt;&gt;"",$N196="MND",$Q196="EMBOQUE"),($AN196*2)/100,0))</f>
        <v>0.3866</v>
      </c>
      <c r="BI196" s="153" t="n">
        <f aca="false">IF(AND($M196&lt;&gt;"",$N196="VCA",$Q196="LINEAR"),$M196,IF(AND($M196&lt;&gt;"",$N196="MND",$Q196="EMBOQUE"),$AN196*2,0))</f>
        <v>19.33</v>
      </c>
      <c r="BJ196" s="153" t="n">
        <f aca="false">IF(AND($M196&lt;&gt;"",$N196="VCA",$Q196="LINEAR"),($M196*6.8)/100,IF(AND($M196&lt;&gt;"",$N196="MND",$Q196="EMBOQUE"),($AN196*2*6.8)/100,0))</f>
        <v>1.31444</v>
      </c>
      <c r="BK196" s="153" t="n">
        <f aca="false">IF(AND($M196&lt;&gt;"",$N196="VCA",$Q196="LINEAR"),($M196*2.5)/50,IF(AND($M196&lt;&gt;"",$N196="MND",$Q196="EMBOQUE"),($AN196*2*2.5)/50,0))</f>
        <v>0.9665</v>
      </c>
      <c r="BL196" s="157" t="str">
        <f aca="false">K196&amp;J196</f>
        <v>Zona02REDES</v>
      </c>
      <c r="BM196" s="152" t="s">
        <v>2037</v>
      </c>
      <c r="BN196" s="152" t="s">
        <v>1560</v>
      </c>
      <c r="BO196" s="152" t="s">
        <v>2231</v>
      </c>
      <c r="BP196" s="152" t="s">
        <v>2273</v>
      </c>
      <c r="BQ196" s="152" t="s">
        <v>2283</v>
      </c>
      <c r="BR196" s="152" t="s">
        <v>2274</v>
      </c>
      <c r="BS196" s="152" t="n">
        <v>202993.941</v>
      </c>
      <c r="BT196" s="152" t="n">
        <v>8237820.4</v>
      </c>
      <c r="BU196" s="152" t="n">
        <v>202986.492</v>
      </c>
      <c r="BV196" s="152" t="n">
        <v>8237802.589</v>
      </c>
      <c r="BW196" s="152" t="n">
        <v>-15.9211645</v>
      </c>
      <c r="BX196" s="152" t="n">
        <v>-47.7739988</v>
      </c>
      <c r="BY196" s="152" t="s">
        <v>2273</v>
      </c>
    </row>
    <row r="197" customFormat="false" ht="13.8" hidden="false" customHeight="false" outlineLevel="0" collapsed="false">
      <c r="A197" s="149" t="n">
        <f aca="false">IF(C197&lt;&gt;"",ROW(A192),"")</f>
        <v>192</v>
      </c>
      <c r="B197" s="150" t="str">
        <f aca="false">HYPERLINK("https://www.google.com/maps/dir/-15.917302,-47.760003/-15.9211160,-47.7768256/data=!4m3!4m2!3e0!5i1")</f>
        <v>https://www.google.com/maps/dir/-15.917302,-47.760003/-15.9211160,-47.7768256/data=!4m3!4m2!3e0!5i1</v>
      </c>
      <c r="C197" s="151" t="s">
        <v>117</v>
      </c>
      <c r="D197" s="152" t="s">
        <v>112</v>
      </c>
      <c r="E197" s="152" t="s">
        <v>113</v>
      </c>
      <c r="F197" s="152" t="s">
        <v>117</v>
      </c>
      <c r="G197" s="152" t="s">
        <v>782</v>
      </c>
      <c r="H197" s="152" t="n">
        <v>63</v>
      </c>
      <c r="I197" s="152" t="s">
        <v>115</v>
      </c>
      <c r="J197" s="152" t="s">
        <v>6</v>
      </c>
      <c r="K197" s="152" t="s">
        <v>2033</v>
      </c>
      <c r="L197" s="152" t="s">
        <v>120</v>
      </c>
      <c r="M197" s="153" t="n">
        <f aca="false">2.77</f>
        <v>2.77</v>
      </c>
      <c r="N197" s="152" t="s">
        <v>1548</v>
      </c>
      <c r="O197" s="152" t="s">
        <v>1549</v>
      </c>
      <c r="P197" s="152" t="s">
        <v>1550</v>
      </c>
      <c r="Q197" s="152" t="s">
        <v>1551</v>
      </c>
      <c r="R197" s="154" t="s">
        <v>2284</v>
      </c>
      <c r="S197" s="154" t="s">
        <v>1553</v>
      </c>
      <c r="T197" s="155" t="s">
        <v>2227</v>
      </c>
      <c r="U197" s="152" t="str">
        <f aca="false">RIGHT(T197,7)</f>
        <v>008/037</v>
      </c>
      <c r="V197" s="152" t="s">
        <v>1555</v>
      </c>
      <c r="W197" s="156" t="n">
        <v>45882</v>
      </c>
      <c r="X197" s="152" t="s">
        <v>1594</v>
      </c>
      <c r="Y197" s="152" t="s">
        <v>2276</v>
      </c>
      <c r="Z197" s="152" t="s">
        <v>1557</v>
      </c>
      <c r="AA197" s="153" t="n">
        <v>4.1</v>
      </c>
      <c r="AB197" s="151" t="s">
        <v>2285</v>
      </c>
      <c r="AC197" s="151" t="s">
        <v>186</v>
      </c>
      <c r="AD197" s="151" t="str">
        <f aca="false">CONCATENATE($C197,$I197,$H197,$N197,$J197,$K197)</f>
        <v>TUBO PEADPEAD63VCAREDESZona02</v>
      </c>
      <c r="AE197" s="153" t="n">
        <f aca="false">IFERROR(INDEX(APOIO_REDES!$A:$W,MATCH($C197&amp;$I197&amp;$H197&amp;$N197&amp;$O197,APOIO_REDES!$W:$W,0),MATCH(AE$5,APOIO_REDES!$5:$5,0)),0)</f>
        <v>1.2</v>
      </c>
      <c r="AF197" s="153" t="n">
        <f aca="false">IFERROR(INDEX(APOIO_REDES!$A:$W,MATCH($C197&amp;$I197&amp;$H197&amp;$N197&amp;$O197,APOIO_REDES!$W:$W,0),MATCH(AF$5,APOIO_REDES!$5:$5,0)),0)</f>
        <v>1.363</v>
      </c>
      <c r="AG197" s="153" t="n">
        <f aca="false">IFERROR(INDEX(APOIO_REDES!$A:$W,MATCH($C197&amp;$I197&amp;$H197&amp;$N197&amp;$O197,APOIO_REDES!$W:$W,0),MATCH(AG$5,APOIO_REDES!$5:$5,0)),0)</f>
        <v>0.65</v>
      </c>
      <c r="AH197" s="153" t="n">
        <f aca="false">IFERROR(INDEX(APOIO_REDES!$A:$W,MATCH($C197&amp;$I197&amp;$H197&amp;$N197&amp;$O197,APOIO_REDES!$W:$W,0),MATCH(AH$5,APOIO_REDES!$5:$5,0)),0)</f>
        <v>0.1</v>
      </c>
      <c r="AI197" s="153" t="n">
        <f aca="false">IFERROR(IF($H197&lt;&gt;"",(((($H197/1000)/2)^2)*PI()*$M197),0),0)</f>
        <v>0.00863476951015279</v>
      </c>
      <c r="AJ197" s="153" t="n">
        <f aca="false">IFERROR(IF(AND($H197&lt;&gt;"",$I197="FoFo",OR($N197="MND",$N197="VCA"),$Q197="LINEAR"),0,IF(AND($H197&lt;&gt;"",$I197="PEAD",$N197="VCA",$Q197="LINEAR"),($H197/1000)+0.3,IF(AND($H197&lt;&gt;"",$I197="PEAD",$N197="MND",$Q197="EMBOQUE"),0,IF(AND($H197&lt;&gt;"",$I197="PVC",$N197="VCA",$Q197="LINEAR"),($H197/1000)+0.2,IF(AND($H197&lt;&gt;"",$I197="PVC",$N197="MND",$Q197="EMBOQUE"),0,IF(AND($H197&lt;&gt;"",$I197="PEAD",$N197="VCA",$Q197="PREDIAL"),0,0)))))),0)</f>
        <v>0.363</v>
      </c>
      <c r="AK197" s="153" t="n">
        <f aca="false">IF(AA197&lt;&gt;"",AA197,0)</f>
        <v>4.1</v>
      </c>
      <c r="AL197" s="153" t="n">
        <f aca="false">IF(AND($N197="MND",$Q197="EMBOQUE"),$M197,IF(AND($N197="VCA",$Q197="LINEAR"),$M197,IF(AND($N197="VCA",$Q197="PREDIAL"),0,0)))</f>
        <v>2.77</v>
      </c>
      <c r="AM197" s="153" t="n">
        <f aca="false">IF(AND($N197="MND",$Q197="EMBOQUE"),$M197,IF(AND($N197="VCA",$Q197="LINEAR"),$M197,IF(AND($N197="VCA",$Q197="PREDIAL"),0,0)))</f>
        <v>2.77</v>
      </c>
      <c r="AN197" s="153" t="n">
        <f aca="false">ROUND(IF(AND($N197="VCA",$M197&lt;&gt;"",$Q197="LINEAR"),$M197/100,IF(AND($N197="MND",$M197&gt;100,$Q197="EMBOQUE"),$M197/100,0)),0)</f>
        <v>0</v>
      </c>
      <c r="AO197" s="153" t="n">
        <f aca="false">IF(AND($N197="MND",$Q197="EMBOQUE"),$AN197*2*2,IF(AND($N197="VCA",$Q197="LINEAR"),$M197*2,IF(AND($N197="VCA",$Q197="PREDIAL"),0,0)))</f>
        <v>5.54</v>
      </c>
      <c r="AP197" s="153" t="n">
        <f aca="false">IFERROR($M197*$AF197*$AG197,0)</f>
        <v>2.4540815</v>
      </c>
      <c r="AQ197" s="153" t="n">
        <f aca="false">IFERROR(IF(AND($N197="VCA",$AH197&gt;0),$M197*$AG197*$AH197,0),0)</f>
        <v>0.18005</v>
      </c>
      <c r="AR197" s="153" t="n">
        <f aca="false">IFERROR(IF(AND($N197="VCA",$AJ197&gt;0),($M197*$AG197*$AJ197)-$AI197,0),0)</f>
        <v>0.644946730489847</v>
      </c>
      <c r="AS197" s="153" t="n">
        <f aca="false">IFERROR(IF(AND($N197="VCA",$AP197&gt;0),$AP197-$AI197-$AQ197-$AR197,0),0)</f>
        <v>1.62045</v>
      </c>
      <c r="AT197" s="153" t="n">
        <f aca="false">IFERROR(IF($N197="VCA",INDEX(APOIO_REDES!$A:$W,MATCH($C197&amp;$I197&amp;$H197&amp;$N197&amp;$O197,APOIO_REDES!$W:$W,0),MATCH(AT$5,APOIO_REDES!$5:$5,0)),0)*$AP197,0)</f>
        <v>0.0267011330910465</v>
      </c>
      <c r="AU197" s="153" t="n">
        <f aca="false">IFERROR(IF($N197="VCA",INDEX(APOIO_REDES!$A:$W,MATCH($C197&amp;$I197&amp;$H197&amp;$N197&amp;$O197,APOIO_REDES!$W:$W,0),MATCH(AU$5,APOIO_REDES!$5:$5,0)),0)*$AP197,0)</f>
        <v>0.0213228017281143</v>
      </c>
      <c r="AV197" s="153" t="n">
        <f aca="false">IFERROR(IF($N197="VCA",INDEX(APOIO_REDES!$A:$W,MATCH($C197&amp;$I197&amp;$H197&amp;$N197&amp;$O197,APOIO_REDES!$W:$W,0),MATCH(AV$5,APOIO_REDES!$5:$5,0)),0)*$AP197,0)</f>
        <v>0.00295090836861439</v>
      </c>
      <c r="AW197" s="153" t="n">
        <f aca="false">IFERROR(IF($N197="VCA",INDEX(APOIO_REDES!$A:$W,MATCH($C197&amp;$I197&amp;$H197&amp;$N197&amp;$O197,APOIO_REDES!$W:$W,0),MATCH(AW$5,APOIO_REDES!$5:$5,0)),0)*$AP197,0)</f>
        <v>1.68450055675136</v>
      </c>
      <c r="AX197" s="153" t="n">
        <f aca="false">IFERROR(IF($N197="VCA",INDEX(APOIO_REDES!$A:$W,MATCH($C197&amp;$I197&amp;$H197&amp;$N197&amp;$O197,APOIO_REDES!$W:$W,0),MATCH(AX$5,APOIO_REDES!$5:$5,0)),0)*$AP197,0)</f>
        <v>0.233130078663723</v>
      </c>
      <c r="AY197" s="153" t="n">
        <f aca="false">IFERROR(IF($N197="VCA",INDEX(APOIO_REDES!$A:$W,MATCH($C197&amp;$I197&amp;$H197&amp;$N197&amp;$O197,APOIO_REDES!$W:$W,0),MATCH(AY$5,APOIO_REDES!$5:$5,0)),0)*$AP197,0)</f>
        <v>0.426455774639061</v>
      </c>
      <c r="AZ197" s="153" t="n">
        <f aca="false">IFERROR(IF($N197="VCA",INDEX(APOIO_REDES!$A:$W,MATCH($C197&amp;$I197&amp;$H197&amp;$N197&amp;$O197,APOIO_REDES!$W:$W,0),MATCH(AZ$5,APOIO_REDES!$5:$5,0)),0)*$AP197,0)</f>
        <v>0.0590202467580844</v>
      </c>
      <c r="BA197" s="153" t="n">
        <f aca="false">IFERROR(IF(AND($N197="VCA",$Q197="LINEAR"),INDEX(APOIO_REDES!$A:$W,MATCH($C197&amp;$I197&amp;$H197&amp;$N197&amp;$O197,APOIO_REDES!$W:$W,0),MATCH(BA$5,APOIO_REDES!$5:$5,0)),IF(AND($N197="MND",$Q197="EMBOQUE"),INDEX(APOIO_REDES!$A:$W,MATCH($C197&amp;$I197&amp;$H197&amp;$N197&amp;$O197,APOIO_REDES!$W:$W,0),MATCH(BA$5,APOIO_REDES!$5:$5,0)),0))*$M197/10,0)</f>
        <v>0.223255012895991</v>
      </c>
      <c r="BB197" s="153" t="n">
        <f aca="false">IFERROR(IF($N197="VCA",INDEX(APOIO_REDES!$A:$W,MATCH($C197&amp;$I197&amp;$H197&amp;$N197&amp;$O197,APOIO_REDES!$W:$W,0),MATCH(BB$5,APOIO_REDES!$5:$5,0)),0)*($AI197+$AQ197+$AR197),0)</f>
        <v>0.824561342537671</v>
      </c>
      <c r="BC197" s="153" t="n">
        <f aca="false">IFERROR(IF($N197="VCA",INDEX(APOIO_REDES!$A:$W,MATCH($C197&amp;$I197&amp;$H197&amp;$N197&amp;$O197,APOIO_REDES!$W:$W,0),MATCH(BC$5,APOIO_REDES!$5:$5,0)),0)*($AI197+$AQ197+$AR197),0)</f>
        <v>0.00907015746232906</v>
      </c>
      <c r="BD197" s="153" t="n">
        <f aca="false">IF(AND($N197="VCA",$AF197&gt;=1.25,$AF197&lt;1.5),$M197*$AF197*2,0)</f>
        <v>7.55102</v>
      </c>
      <c r="BE197" s="153" t="n">
        <f aca="false">IF(AND($N197="VCA",$AF197&gt;=1.5,$AF197&lt;3),$M197*$AF197*2,0)</f>
        <v>0</v>
      </c>
      <c r="BF197" s="153" t="n">
        <f aca="false">IF(AND($N197="VCA",$AF197&gt;=3),$M197*$AF197*2,0)</f>
        <v>0</v>
      </c>
      <c r="BG197" s="153" t="n">
        <f aca="false">($BB197+$BC197)*$AK197</f>
        <v>3.41788915</v>
      </c>
      <c r="BH197" s="153" t="n">
        <f aca="false">IF(AND($M197&lt;&gt;"",$N197="VCA",$Q197="LINEAR"),($M197*2)/100,IF(AND($M197&lt;&gt;"",$N197="MND",$Q197="EMBOQUE"),($AN197*2)/100,0))</f>
        <v>0.0554</v>
      </c>
      <c r="BI197" s="153" t="n">
        <f aca="false">IF(AND($M197&lt;&gt;"",$N197="VCA",$Q197="LINEAR"),$M197,IF(AND($M197&lt;&gt;"",$N197="MND",$Q197="EMBOQUE"),$AN197*2,0))</f>
        <v>2.77</v>
      </c>
      <c r="BJ197" s="153" t="n">
        <f aca="false">IF(AND($M197&lt;&gt;"",$N197="VCA",$Q197="LINEAR"),($M197*6.8)/100,IF(AND($M197&lt;&gt;"",$N197="MND",$Q197="EMBOQUE"),($AN197*2*6.8)/100,0))</f>
        <v>0.18836</v>
      </c>
      <c r="BK197" s="153" t="n">
        <f aca="false">IF(AND($M197&lt;&gt;"",$N197="VCA",$Q197="LINEAR"),($M197*2.5)/50,IF(AND($M197&lt;&gt;"",$N197="MND",$Q197="EMBOQUE"),($AN197*2*2.5)/50,0))</f>
        <v>0.1385</v>
      </c>
      <c r="BL197" s="157" t="str">
        <f aca="false">K197&amp;J197</f>
        <v>Zona02REDES</v>
      </c>
      <c r="BM197" s="152" t="s">
        <v>2037</v>
      </c>
      <c r="BN197" s="152" t="s">
        <v>1560</v>
      </c>
      <c r="BO197" s="152" t="s">
        <v>2231</v>
      </c>
      <c r="BP197" s="152" t="s">
        <v>2279</v>
      </c>
      <c r="BQ197" s="152" t="s">
        <v>2286</v>
      </c>
      <c r="BR197" s="152" t="s">
        <v>2280</v>
      </c>
      <c r="BS197" s="152" t="n">
        <v>202687.738</v>
      </c>
      <c r="BT197" s="152" t="n">
        <v>8237812.48</v>
      </c>
      <c r="BU197" s="152" t="n">
        <v>202686.079</v>
      </c>
      <c r="BV197" s="152" t="n">
        <v>8237810.267</v>
      </c>
      <c r="BW197" s="152" t="n">
        <v>-15.9211294</v>
      </c>
      <c r="BX197" s="152" t="n">
        <v>-47.7768288</v>
      </c>
      <c r="BY197" s="152" t="s">
        <v>2279</v>
      </c>
    </row>
    <row r="198" customFormat="false" ht="13.8" hidden="false" customHeight="false" outlineLevel="0" collapsed="false">
      <c r="A198" s="149" t="n">
        <f aca="false">IF(C198&lt;&gt;"",ROW(A193),"")</f>
        <v>193</v>
      </c>
      <c r="B198" s="150" t="str">
        <f aca="false">HYPERLINK("https://www.google.com/maps/dir/-15.917302,-47.760003/-15.9213367,-47.7740611/data=!4m3!4m2!3e0!5i1")</f>
        <v>https://www.google.com/maps/dir/-15.917302,-47.760003/-15.9213367,-47.7740611/data=!4m3!4m2!3e0!5i1</v>
      </c>
      <c r="C198" s="151" t="s">
        <v>117</v>
      </c>
      <c r="D198" s="152" t="s">
        <v>112</v>
      </c>
      <c r="E198" s="152" t="s">
        <v>113</v>
      </c>
      <c r="F198" s="152" t="s">
        <v>117</v>
      </c>
      <c r="G198" s="152" t="s">
        <v>114</v>
      </c>
      <c r="H198" s="152" t="n">
        <v>225</v>
      </c>
      <c r="I198" s="152" t="s">
        <v>115</v>
      </c>
      <c r="J198" s="152" t="s">
        <v>6</v>
      </c>
      <c r="K198" s="152" t="s">
        <v>2033</v>
      </c>
      <c r="L198" s="152" t="s">
        <v>120</v>
      </c>
      <c r="M198" s="153" t="n">
        <f aca="false">34.38</f>
        <v>34.38</v>
      </c>
      <c r="N198" s="152" t="s">
        <v>1548</v>
      </c>
      <c r="O198" s="152" t="s">
        <v>1549</v>
      </c>
      <c r="P198" s="152" t="s">
        <v>1550</v>
      </c>
      <c r="Q198" s="152" t="s">
        <v>1551</v>
      </c>
      <c r="R198" s="154" t="s">
        <v>2287</v>
      </c>
      <c r="S198" s="154" t="s">
        <v>1593</v>
      </c>
      <c r="T198" s="155" t="s">
        <v>2227</v>
      </c>
      <c r="U198" s="152" t="str">
        <f aca="false">RIGHT(T198,7)</f>
        <v>008/037</v>
      </c>
      <c r="V198" s="152" t="s">
        <v>1555</v>
      </c>
      <c r="W198" s="156" t="n">
        <v>45882</v>
      </c>
      <c r="X198" s="152" t="s">
        <v>1594</v>
      </c>
      <c r="Y198" s="152"/>
      <c r="Z198" s="152" t="s">
        <v>1557</v>
      </c>
      <c r="AA198" s="153" t="n">
        <v>3.6</v>
      </c>
      <c r="AB198" s="151" t="s">
        <v>2288</v>
      </c>
      <c r="AC198" s="151" t="s">
        <v>508</v>
      </c>
      <c r="AD198" s="151" t="str">
        <f aca="false">CONCATENATE($C198,$I198,$H198,$N198,$J198,$K198)</f>
        <v>TUBO PEADPEAD225VCAREDESZona02</v>
      </c>
      <c r="AE198" s="153" t="n">
        <f aca="false">IFERROR(INDEX(APOIO_REDES!$A:$W,MATCH($C198&amp;$I198&amp;$H198&amp;$N198&amp;$O198,APOIO_REDES!$W:$W,0),MATCH(AE$5,APOIO_REDES!$5:$5,0)),0)</f>
        <v>1.2</v>
      </c>
      <c r="AF198" s="153" t="n">
        <f aca="false">IFERROR(INDEX(APOIO_REDES!$A:$W,MATCH($C198&amp;$I198&amp;$H198&amp;$N198&amp;$O198,APOIO_REDES!$W:$W,0),MATCH(AF$5,APOIO_REDES!$5:$5,0)),0)</f>
        <v>1.525</v>
      </c>
      <c r="AG198" s="153" t="n">
        <f aca="false">IFERROR(INDEX(APOIO_REDES!$A:$W,MATCH($C198&amp;$I198&amp;$H198&amp;$N198&amp;$O198,APOIO_REDES!$W:$W,0),MATCH(AG$5,APOIO_REDES!$5:$5,0)),0)</f>
        <v>0.8</v>
      </c>
      <c r="AH198" s="153" t="n">
        <f aca="false">IFERROR(INDEX(APOIO_REDES!$A:$W,MATCH($C198&amp;$I198&amp;$H198&amp;$N198&amp;$O198,APOIO_REDES!$W:$W,0),MATCH(AH$5,APOIO_REDES!$5:$5,0)),0)</f>
        <v>0.1</v>
      </c>
      <c r="AI198" s="153" t="n">
        <f aca="false">IFERROR(IF($H198&lt;&gt;"",(((($H198/1000)/2)^2)*PI()*$M198),0),0)</f>
        <v>1.36697568591622</v>
      </c>
      <c r="AJ198" s="153" t="n">
        <f aca="false">IFERROR(IF(AND($H198&lt;&gt;"",$I198="FoFo",OR($N198="MND",$N198="VCA"),$Q198="LINEAR"),0,IF(AND($H198&lt;&gt;"",$I198="PEAD",$N198="VCA",$Q198="LINEAR"),($H198/1000)+0.3,IF(AND($H198&lt;&gt;"",$I198="PEAD",$N198="MND",$Q198="EMBOQUE"),0,IF(AND($H198&lt;&gt;"",$I198="PVC",$N198="VCA",$Q198="LINEAR"),($H198/1000)+0.2,IF(AND($H198&lt;&gt;"",$I198="PVC",$N198="MND",$Q198="EMBOQUE"),0,IF(AND($H198&lt;&gt;"",$I198="PEAD",$N198="VCA",$Q198="PREDIAL"),0,0)))))),0)</f>
        <v>0.525</v>
      </c>
      <c r="AK198" s="153" t="n">
        <f aca="false">IF(AA198&lt;&gt;"",AA198,0)</f>
        <v>3.6</v>
      </c>
      <c r="AL198" s="153" t="n">
        <f aca="false">IF(AND($N198="MND",$Q198="EMBOQUE"),$M198,IF(AND($N198="VCA",$Q198="LINEAR"),$M198,IF(AND($N198="VCA",$Q198="PREDIAL"),0,0)))</f>
        <v>34.38</v>
      </c>
      <c r="AM198" s="153" t="n">
        <f aca="false">IF(AND($N198="MND",$Q198="EMBOQUE"),$M198,IF(AND($N198="VCA",$Q198="LINEAR"),$M198,IF(AND($N198="VCA",$Q198="PREDIAL"),0,0)))</f>
        <v>34.38</v>
      </c>
      <c r="AN198" s="153" t="n">
        <f aca="false">ROUND(IF(AND($N198="VCA",$M198&lt;&gt;"",$Q198="LINEAR"),$M198/100,IF(AND($N198="MND",$M198&gt;100,$Q198="EMBOQUE"),$M198/100,0)),0)</f>
        <v>0</v>
      </c>
      <c r="AO198" s="153" t="n">
        <f aca="false">IF(AND($N198="MND",$Q198="EMBOQUE"),$AN198*2*2,IF(AND($N198="VCA",$Q198="LINEAR"),$M198*2,IF(AND($N198="VCA",$Q198="PREDIAL"),0,0)))</f>
        <v>68.76</v>
      </c>
      <c r="AP198" s="153" t="n">
        <f aca="false">IFERROR($M198*$AF198*$AG198,0)</f>
        <v>41.9436</v>
      </c>
      <c r="AQ198" s="153" t="n">
        <f aca="false">IFERROR(IF(AND($N198="VCA",$AH198&gt;0),$M198*$AG198*$AH198,0),0)</f>
        <v>2.7504</v>
      </c>
      <c r="AR198" s="153" t="n">
        <f aca="false">IFERROR(IF(AND($N198="VCA",$AJ198&gt;0),($M198*$AG198*$AJ198)-$AI198,0),0)</f>
        <v>13.0726243140838</v>
      </c>
      <c r="AS198" s="153" t="n">
        <f aca="false">IFERROR(IF(AND($N198="VCA",$AP198&gt;0),$AP198-$AI198-$AQ198-$AR198,0),0)</f>
        <v>24.7536</v>
      </c>
      <c r="AT198" s="153" t="n">
        <f aca="false">IFERROR(IF($N198="VCA",INDEX(APOIO_REDES!$A:$W,MATCH($C198&amp;$I198&amp;$H198&amp;$N198&amp;$O198,APOIO_REDES!$W:$W,0),MATCH(AT$5,APOIO_REDES!$5:$5,0)),0)*$AP198,0)</f>
        <v>0.456358782671895</v>
      </c>
      <c r="AU198" s="153" t="n">
        <f aca="false">IFERROR(IF($N198="VCA",INDEX(APOIO_REDES!$A:$W,MATCH($C198&amp;$I198&amp;$H198&amp;$N198&amp;$O198,APOIO_REDES!$W:$W,0),MATCH(AU$5,APOIO_REDES!$5:$5,0)),0)*$AP198,0)</f>
        <v>0.364435764078469</v>
      </c>
      <c r="AV198" s="153" t="n">
        <f aca="false">IFERROR(IF($N198="VCA",INDEX(APOIO_REDES!$A:$W,MATCH($C198&amp;$I198&amp;$H198&amp;$N198&amp;$O198,APOIO_REDES!$W:$W,0),MATCH(AV$5,APOIO_REDES!$5:$5,0)),0)*$AP198,0)</f>
        <v>0.0504350488155404</v>
      </c>
      <c r="AW198" s="153" t="n">
        <f aca="false">IFERROR(IF($N198="VCA",INDEX(APOIO_REDES!$A:$W,MATCH($C198&amp;$I198&amp;$H198&amp;$N198&amp;$O198,APOIO_REDES!$W:$W,0),MATCH(AW$5,APOIO_REDES!$5:$5,0)),0)*$AP198,0)</f>
        <v>28.7904120348718</v>
      </c>
      <c r="AX198" s="153" t="n">
        <f aca="false">IFERROR(IF($N198="VCA",INDEX(APOIO_REDES!$A:$W,MATCH($C198&amp;$I198&amp;$H198&amp;$N198&amp;$O198,APOIO_REDES!$W:$W,0),MATCH(AX$5,APOIO_REDES!$5:$5,0)),0)*$AP198,0)</f>
        <v>3.98451101458519</v>
      </c>
      <c r="AY198" s="153" t="n">
        <f aca="false">IFERROR(IF($N198="VCA",INDEX(APOIO_REDES!$A:$W,MATCH($C198&amp;$I198&amp;$H198&amp;$N198&amp;$O198,APOIO_REDES!$W:$W,0),MATCH(AY$5,APOIO_REDES!$5:$5,0)),0)*$AP198,0)</f>
        <v>7.28871083912696</v>
      </c>
      <c r="AZ198" s="153" t="n">
        <f aca="false">IFERROR(IF($N198="VCA",INDEX(APOIO_REDES!$A:$W,MATCH($C198&amp;$I198&amp;$H198&amp;$N198&amp;$O198,APOIO_REDES!$W:$W,0),MATCH(AZ$5,APOIO_REDES!$5:$5,0)),0)*$AP198,0)</f>
        <v>1.00873651585018</v>
      </c>
      <c r="BA198" s="153" t="n">
        <f aca="false">IFERROR(IF(AND($N198="VCA",$Q198="LINEAR"),INDEX(APOIO_REDES!$A:$W,MATCH($C198&amp;$I198&amp;$H198&amp;$N198&amp;$O198,APOIO_REDES!$W:$W,0),MATCH(BA$5,APOIO_REDES!$5:$5,0)),IF(AND($N198="MND",$Q198="EMBOQUE"),INDEX(APOIO_REDES!$A:$W,MATCH($C198&amp;$I198&amp;$H198&amp;$N198&amp;$O198,APOIO_REDES!$W:$W,0),MATCH(BA$5,APOIO_REDES!$5:$5,0)),0))*$M198/10,0)</f>
        <v>2.77094127919285</v>
      </c>
      <c r="BB198" s="153" t="n">
        <f aca="false">IFERROR(IF($N198="VCA",INDEX(APOIO_REDES!$A:$W,MATCH($C198&amp;$I198&amp;$H198&amp;$N198&amp;$O198,APOIO_REDES!$W:$W,0),MATCH(BB$5,APOIO_REDES!$5:$5,0)),0)*($AI198+$AQ198+$AR198),0)</f>
        <v>17.0029677120197</v>
      </c>
      <c r="BC198" s="153" t="n">
        <f aca="false">IFERROR(IF($N198="VCA",INDEX(APOIO_REDES!$A:$W,MATCH($C198&amp;$I198&amp;$H198&amp;$N198&amp;$O198,APOIO_REDES!$W:$W,0),MATCH(BC$5,APOIO_REDES!$5:$5,0)),0)*($AI198+$AQ198+$AR198),0)</f>
        <v>0.187032287980285</v>
      </c>
      <c r="BD198" s="153" t="n">
        <f aca="false">IF(AND($N198="VCA",$AF198&gt;=1.25,$AF198&lt;1.5),$M198*$AF198*2,0)</f>
        <v>0</v>
      </c>
      <c r="BE198" s="153" t="n">
        <f aca="false">IF(AND($N198="VCA",$AF198&gt;=1.5,$AF198&lt;3),$M198*$AF198*2,0)</f>
        <v>104.859</v>
      </c>
      <c r="BF198" s="153" t="n">
        <f aca="false">IF(AND($N198="VCA",$AF198&gt;=3),$M198*$AF198*2,0)</f>
        <v>0</v>
      </c>
      <c r="BG198" s="153" t="n">
        <f aca="false">($BB198+$BC198)*$AK198</f>
        <v>61.884</v>
      </c>
      <c r="BH198" s="153" t="n">
        <f aca="false">IF(AND($M198&lt;&gt;"",$N198="VCA",$Q198="LINEAR"),($M198*2)/100,IF(AND($M198&lt;&gt;"",$N198="MND",$Q198="EMBOQUE"),($AN198*2)/100,0))</f>
        <v>0.6876</v>
      </c>
      <c r="BI198" s="153" t="n">
        <f aca="false">IF(AND($M198&lt;&gt;"",$N198="VCA",$Q198="LINEAR"),$M198,IF(AND($M198&lt;&gt;"",$N198="MND",$Q198="EMBOQUE"),$AN198*2,0))</f>
        <v>34.38</v>
      </c>
      <c r="BJ198" s="153" t="n">
        <f aca="false">IF(AND($M198&lt;&gt;"",$N198="VCA",$Q198="LINEAR"),($M198*6.8)/100,IF(AND($M198&lt;&gt;"",$N198="MND",$Q198="EMBOQUE"),($AN198*2*6.8)/100,0))</f>
        <v>2.33784</v>
      </c>
      <c r="BK198" s="153" t="n">
        <f aca="false">IF(AND($M198&lt;&gt;"",$N198="VCA",$Q198="LINEAR"),($M198*2.5)/50,IF(AND($M198&lt;&gt;"",$N198="MND",$Q198="EMBOQUE"),($AN198*2*2.5)/50,0))</f>
        <v>1.719</v>
      </c>
      <c r="BL198" s="157" t="str">
        <f aca="false">K198&amp;J198</f>
        <v>Zona02REDES</v>
      </c>
      <c r="BM198" s="152" t="s">
        <v>2037</v>
      </c>
      <c r="BN198" s="152" t="s">
        <v>1560</v>
      </c>
      <c r="BO198" s="152" t="s">
        <v>2231</v>
      </c>
      <c r="BP198" s="152" t="s">
        <v>2032</v>
      </c>
      <c r="BQ198" s="152" t="s">
        <v>2235</v>
      </c>
      <c r="BR198" s="152" t="s">
        <v>2218</v>
      </c>
      <c r="BS198" s="152" t="n">
        <v>202997.869</v>
      </c>
      <c r="BT198" s="152" t="n">
        <v>8237823.706</v>
      </c>
      <c r="BU198" s="152" t="n">
        <v>202983.757</v>
      </c>
      <c r="BV198" s="152" t="n">
        <v>8237792.369</v>
      </c>
      <c r="BW198" s="152" t="n">
        <v>-15.9211967</v>
      </c>
      <c r="BX198" s="152" t="n">
        <v>-47.7739916</v>
      </c>
      <c r="BY198" s="152" t="s">
        <v>2235</v>
      </c>
    </row>
    <row r="199" customFormat="false" ht="13.8" hidden="false" customHeight="false" outlineLevel="0" collapsed="false">
      <c r="A199" s="149" t="n">
        <f aca="false">IF(C199&lt;&gt;"",ROW(A194),"")</f>
        <v>194</v>
      </c>
      <c r="B199" s="150" t="str">
        <f aca="false">HYPERLINK("https://www.google.com/maps/dir/-15.917302,-47.760003/-15.9211393,-47.7768366/data=!4m3!4m2!3e0!5i1")</f>
        <v>https://www.google.com/maps/dir/-15.917302,-47.760003/-15.9211393,-47.7768366/data=!4m3!4m2!3e0!5i1</v>
      </c>
      <c r="C199" s="151" t="s">
        <v>117</v>
      </c>
      <c r="D199" s="152" t="s">
        <v>112</v>
      </c>
      <c r="E199" s="152" t="s">
        <v>113</v>
      </c>
      <c r="F199" s="152" t="s">
        <v>117</v>
      </c>
      <c r="G199" s="152" t="s">
        <v>782</v>
      </c>
      <c r="H199" s="152" t="n">
        <v>63</v>
      </c>
      <c r="I199" s="152" t="s">
        <v>115</v>
      </c>
      <c r="J199" s="152" t="s">
        <v>6</v>
      </c>
      <c r="K199" s="152" t="s">
        <v>2033</v>
      </c>
      <c r="L199" s="152" t="s">
        <v>120</v>
      </c>
      <c r="M199" s="153" t="n">
        <f aca="false">31.48</f>
        <v>31.48</v>
      </c>
      <c r="N199" s="152" t="s">
        <v>1548</v>
      </c>
      <c r="O199" s="152" t="s">
        <v>1549</v>
      </c>
      <c r="P199" s="152" t="s">
        <v>1550</v>
      </c>
      <c r="Q199" s="152" t="s">
        <v>1551</v>
      </c>
      <c r="R199" s="154" t="s">
        <v>2289</v>
      </c>
      <c r="S199" s="154" t="s">
        <v>1553</v>
      </c>
      <c r="T199" s="155" t="s">
        <v>2227</v>
      </c>
      <c r="U199" s="152" t="str">
        <f aca="false">RIGHT(T199,7)</f>
        <v>008/037</v>
      </c>
      <c r="V199" s="152" t="s">
        <v>1555</v>
      </c>
      <c r="W199" s="156" t="n">
        <v>45882</v>
      </c>
      <c r="X199" s="152" t="s">
        <v>1594</v>
      </c>
      <c r="Y199" s="152"/>
      <c r="Z199" s="152" t="s">
        <v>1557</v>
      </c>
      <c r="AA199" s="153" t="n">
        <v>4.1</v>
      </c>
      <c r="AB199" s="151" t="s">
        <v>2290</v>
      </c>
      <c r="AC199" s="151" t="s">
        <v>186</v>
      </c>
      <c r="AD199" s="151" t="str">
        <f aca="false">CONCATENATE($C199,$I199,$H199,$N199,$J199,$K199)</f>
        <v>TUBO PEADPEAD63VCAREDESZona02</v>
      </c>
      <c r="AE199" s="153" t="n">
        <f aca="false">IFERROR(INDEX(APOIO_REDES!$A:$W,MATCH($C199&amp;$I199&amp;$H199&amp;$N199&amp;$O199,APOIO_REDES!$W:$W,0),MATCH(AE$5,APOIO_REDES!$5:$5,0)),0)</f>
        <v>1.2</v>
      </c>
      <c r="AF199" s="153" t="n">
        <f aca="false">IFERROR(INDEX(APOIO_REDES!$A:$W,MATCH($C199&amp;$I199&amp;$H199&amp;$N199&amp;$O199,APOIO_REDES!$W:$W,0),MATCH(AF$5,APOIO_REDES!$5:$5,0)),0)</f>
        <v>1.363</v>
      </c>
      <c r="AG199" s="153" t="n">
        <f aca="false">IFERROR(INDEX(APOIO_REDES!$A:$W,MATCH($C199&amp;$I199&amp;$H199&amp;$N199&amp;$O199,APOIO_REDES!$W:$W,0),MATCH(AG$5,APOIO_REDES!$5:$5,0)),0)</f>
        <v>0.65</v>
      </c>
      <c r="AH199" s="153" t="n">
        <f aca="false">IFERROR(INDEX(APOIO_REDES!$A:$W,MATCH($C199&amp;$I199&amp;$H199&amp;$N199&amp;$O199,APOIO_REDES!$W:$W,0),MATCH(AH$5,APOIO_REDES!$5:$5,0)),0)</f>
        <v>0.1</v>
      </c>
      <c r="AI199" s="153" t="n">
        <f aca="false">IFERROR(IF($H199&lt;&gt;"",(((($H199/1000)/2)^2)*PI()*$M199),0),0)</f>
        <v>0.0981308823753104</v>
      </c>
      <c r="AJ199" s="153" t="n">
        <f aca="false">IFERROR(IF(AND($H199&lt;&gt;"",$I199="FoFo",OR($N199="MND",$N199="VCA"),$Q199="LINEAR"),0,IF(AND($H199&lt;&gt;"",$I199="PEAD",$N199="VCA",$Q199="LINEAR"),($H199/1000)+0.3,IF(AND($H199&lt;&gt;"",$I199="PEAD",$N199="MND",$Q199="EMBOQUE"),0,IF(AND($H199&lt;&gt;"",$I199="PVC",$N199="VCA",$Q199="LINEAR"),($H199/1000)+0.2,IF(AND($H199&lt;&gt;"",$I199="PVC",$N199="MND",$Q199="EMBOQUE"),0,IF(AND($H199&lt;&gt;"",$I199="PEAD",$N199="VCA",$Q199="PREDIAL"),0,0)))))),0)</f>
        <v>0.363</v>
      </c>
      <c r="AK199" s="153" t="n">
        <f aca="false">IF(AA199&lt;&gt;"",AA199,0)</f>
        <v>4.1</v>
      </c>
      <c r="AL199" s="153" t="n">
        <f aca="false">IF(AND($N199="MND",$Q199="EMBOQUE"),$M199,IF(AND($N199="VCA",$Q199="LINEAR"),$M199,IF(AND($N199="VCA",$Q199="PREDIAL"),0,0)))</f>
        <v>31.48</v>
      </c>
      <c r="AM199" s="153" t="n">
        <f aca="false">IF(AND($N199="MND",$Q199="EMBOQUE"),$M199,IF(AND($N199="VCA",$Q199="LINEAR"),$M199,IF(AND($N199="VCA",$Q199="PREDIAL"),0,0)))</f>
        <v>31.48</v>
      </c>
      <c r="AN199" s="153" t="n">
        <f aca="false">ROUND(IF(AND($N199="VCA",$M199&lt;&gt;"",$Q199="LINEAR"),$M199/100,IF(AND($N199="MND",$M199&gt;100,$Q199="EMBOQUE"),$M199/100,0)),0)</f>
        <v>0</v>
      </c>
      <c r="AO199" s="153" t="n">
        <f aca="false">IF(AND($N199="MND",$Q199="EMBOQUE"),$AN199*2*2,IF(AND($N199="VCA",$Q199="LINEAR"),$M199*2,IF(AND($N199="VCA",$Q199="PREDIAL"),0,0)))</f>
        <v>62.96</v>
      </c>
      <c r="AP199" s="153" t="n">
        <f aca="false">IFERROR($M199*$AF199*$AG199,0)</f>
        <v>27.889706</v>
      </c>
      <c r="AQ199" s="153" t="n">
        <f aca="false">IFERROR(IF(AND($N199="VCA",$AH199&gt;0),$M199*$AG199*$AH199,0),0)</f>
        <v>2.0462</v>
      </c>
      <c r="AR199" s="153" t="n">
        <f aca="false">IFERROR(IF(AND($N199="VCA",$AJ199&gt;0),($M199*$AG199*$AJ199)-$AI199,0),0)</f>
        <v>7.32957511762469</v>
      </c>
      <c r="AS199" s="153" t="n">
        <f aca="false">IFERROR(IF(AND($N199="VCA",$AP199&gt;0),$AP199-$AI199-$AQ199-$AR199,0),0)</f>
        <v>18.4158</v>
      </c>
      <c r="AT199" s="153" t="n">
        <f aca="false">IFERROR(IF($N199="VCA",INDEX(APOIO_REDES!$A:$W,MATCH($C199&amp;$I199&amp;$H199&amp;$N199&amp;$O199,APOIO_REDES!$W:$W,0),MATCH(AT$5,APOIO_REDES!$5:$5,0)),0)*$AP199,0)</f>
        <v>0.303448256211604</v>
      </c>
      <c r="AU199" s="153" t="n">
        <f aca="false">IFERROR(IF($N199="VCA",INDEX(APOIO_REDES!$A:$W,MATCH($C199&amp;$I199&amp;$H199&amp;$N199&amp;$O199,APOIO_REDES!$W:$W,0),MATCH(AU$5,APOIO_REDES!$5:$5,0)),0)*$AP199,0)</f>
        <v>0.242325558989544</v>
      </c>
      <c r="AV199" s="153" t="n">
        <f aca="false">IFERROR(IF($N199="VCA",INDEX(APOIO_REDES!$A:$W,MATCH($C199&amp;$I199&amp;$H199&amp;$N199&amp;$O199,APOIO_REDES!$W:$W,0),MATCH(AV$5,APOIO_REDES!$5:$5,0)),0)*$AP199,0)</f>
        <v>0.0335359550339282</v>
      </c>
      <c r="AW199" s="153" t="n">
        <f aca="false">IFERROR(IF($N199="VCA",INDEX(APOIO_REDES!$A:$W,MATCH($C199&amp;$I199&amp;$H199&amp;$N199&amp;$O199,APOIO_REDES!$W:$W,0),MATCH(AW$5,APOIO_REDES!$5:$5,0)),0)*$AP199,0)</f>
        <v>19.1437102983872</v>
      </c>
      <c r="AX199" s="153" t="n">
        <f aca="false">IFERROR(IF($N199="VCA",INDEX(APOIO_REDES!$A:$W,MATCH($C199&amp;$I199&amp;$H199&amp;$N199&amp;$O199,APOIO_REDES!$W:$W,0),MATCH(AX$5,APOIO_REDES!$5:$5,0)),0)*$AP199,0)</f>
        <v>2.64943497340578</v>
      </c>
      <c r="AY199" s="153" t="n">
        <f aca="false">IFERROR(IF($N199="VCA",INDEX(APOIO_REDES!$A:$W,MATCH($C199&amp;$I199&amp;$H199&amp;$N199&amp;$O199,APOIO_REDES!$W:$W,0),MATCH(AY$5,APOIO_REDES!$5:$5,0)),0)*$AP199,0)</f>
        <v>4.84650822586197</v>
      </c>
      <c r="AZ199" s="153" t="n">
        <f aca="false">IFERROR(IF($N199="VCA",INDEX(APOIO_REDES!$A:$W,MATCH($C199&amp;$I199&amp;$H199&amp;$N199&amp;$O199,APOIO_REDES!$W:$W,0),MATCH(AZ$5,APOIO_REDES!$5:$5,0)),0)*$AP199,0)</f>
        <v>0.670742732109927</v>
      </c>
      <c r="BA199" s="153" t="n">
        <f aca="false">IFERROR(IF(AND($N199="VCA",$Q199="LINEAR"),INDEX(APOIO_REDES!$A:$W,MATCH($C199&amp;$I199&amp;$H199&amp;$N199&amp;$O199,APOIO_REDES!$W:$W,0),MATCH(BA$5,APOIO_REDES!$5:$5,0)),IF(AND($N199="MND",$Q199="EMBOQUE"),INDEX(APOIO_REDES!$A:$W,MATCH($C199&amp;$I199&amp;$H199&amp;$N199&amp;$O199,APOIO_REDES!$W:$W,0),MATCH(BA$5,APOIO_REDES!$5:$5,0)),0))*$M199/10,0)</f>
        <v>2.53720859421148</v>
      </c>
      <c r="BB199" s="153" t="n">
        <f aca="false">IFERROR(IF($N199="VCA",INDEX(APOIO_REDES!$A:$W,MATCH($C199&amp;$I199&amp;$H199&amp;$N199&amp;$O199,APOIO_REDES!$W:$W,0),MATCH(BB$5,APOIO_REDES!$5:$5,0)),0)*($AI199+$AQ199+$AR199),0)</f>
        <v>9.37082709858696</v>
      </c>
      <c r="BC199" s="153" t="n">
        <f aca="false">IFERROR(IF($N199="VCA",INDEX(APOIO_REDES!$A:$W,MATCH($C199&amp;$I199&amp;$H199&amp;$N199&amp;$O199,APOIO_REDES!$W:$W,0),MATCH(BC$5,APOIO_REDES!$5:$5,0)),0)*($AI199+$AQ199+$AR199),0)</f>
        <v>0.103078901413039</v>
      </c>
      <c r="BD199" s="153" t="n">
        <f aca="false">IF(AND($N199="VCA",$AF199&gt;=1.25,$AF199&lt;1.5),$M199*$AF199*2,0)</f>
        <v>85.81448</v>
      </c>
      <c r="BE199" s="153" t="n">
        <f aca="false">IF(AND($N199="VCA",$AF199&gt;=1.5,$AF199&lt;3),$M199*$AF199*2,0)</f>
        <v>0</v>
      </c>
      <c r="BF199" s="153" t="n">
        <f aca="false">IF(AND($N199="VCA",$AF199&gt;=3),$M199*$AF199*2,0)</f>
        <v>0</v>
      </c>
      <c r="BG199" s="153" t="n">
        <f aca="false">($BB199+$BC199)*$AK199</f>
        <v>38.8430146</v>
      </c>
      <c r="BH199" s="153" t="n">
        <f aca="false">IF(AND($M199&lt;&gt;"",$N199="VCA",$Q199="LINEAR"),($M199*2)/100,IF(AND($M199&lt;&gt;"",$N199="MND",$Q199="EMBOQUE"),($AN199*2)/100,0))</f>
        <v>0.6296</v>
      </c>
      <c r="BI199" s="153" t="n">
        <f aca="false">IF(AND($M199&lt;&gt;"",$N199="VCA",$Q199="LINEAR"),$M199,IF(AND($M199&lt;&gt;"",$N199="MND",$Q199="EMBOQUE"),$AN199*2,0))</f>
        <v>31.48</v>
      </c>
      <c r="BJ199" s="153" t="n">
        <f aca="false">IF(AND($M199&lt;&gt;"",$N199="VCA",$Q199="LINEAR"),($M199*6.8)/100,IF(AND($M199&lt;&gt;"",$N199="MND",$Q199="EMBOQUE"),($AN199*2*6.8)/100,0))</f>
        <v>2.14064</v>
      </c>
      <c r="BK199" s="153" t="n">
        <f aca="false">IF(AND($M199&lt;&gt;"",$N199="VCA",$Q199="LINEAR"),($M199*2.5)/50,IF(AND($M199&lt;&gt;"",$N199="MND",$Q199="EMBOQUE"),($AN199*2*2.5)/50,0))</f>
        <v>1.574</v>
      </c>
      <c r="BL199" s="157" t="str">
        <f aca="false">K199&amp;J199</f>
        <v>Zona02REDES</v>
      </c>
      <c r="BM199" s="152" t="s">
        <v>2037</v>
      </c>
      <c r="BN199" s="152" t="s">
        <v>1560</v>
      </c>
      <c r="BO199" s="152" t="s">
        <v>2231</v>
      </c>
      <c r="BP199" s="152" t="s">
        <v>2286</v>
      </c>
      <c r="BQ199" s="152" t="s">
        <v>2291</v>
      </c>
      <c r="BR199" s="152" t="s">
        <v>2280</v>
      </c>
      <c r="BS199" s="152" t="n">
        <v>202686.079</v>
      </c>
      <c r="BT199" s="152" t="n">
        <v>8237810.267</v>
      </c>
      <c r="BU199" s="152" t="n">
        <v>202711.715</v>
      </c>
      <c r="BV199" s="152" t="n">
        <v>8237791.989</v>
      </c>
      <c r="BW199" s="152" t="n">
        <v>-15.9212234</v>
      </c>
      <c r="BX199" s="152" t="n">
        <v>-47.7767182</v>
      </c>
      <c r="BY199" s="152" t="s">
        <v>2286</v>
      </c>
    </row>
    <row r="200" customFormat="false" ht="13.8" hidden="false" customHeight="false" outlineLevel="0" collapsed="false">
      <c r="A200" s="149" t="n">
        <f aca="false">IF(C200&lt;&gt;"",ROW(A195),"")</f>
        <v>195</v>
      </c>
      <c r="B200" s="150" t="str">
        <f aca="false">HYPERLINK("https://www.google.com/maps/dir/-15.917302,-47.760003/-15.9221481,-47.7746061/data=!4m3!4m2!3e0!5i1")</f>
        <v>https://www.google.com/maps/dir/-15.917302,-47.760003/-15.9221481,-47.7746061/data=!4m3!4m2!3e0!5i1</v>
      </c>
      <c r="C200" s="151" t="s">
        <v>117</v>
      </c>
      <c r="D200" s="152" t="s">
        <v>112</v>
      </c>
      <c r="E200" s="152" t="s">
        <v>113</v>
      </c>
      <c r="F200" s="152" t="s">
        <v>117</v>
      </c>
      <c r="G200" s="152" t="s">
        <v>782</v>
      </c>
      <c r="H200" s="152" t="n">
        <v>63</v>
      </c>
      <c r="I200" s="152" t="s">
        <v>115</v>
      </c>
      <c r="J200" s="152" t="s">
        <v>6</v>
      </c>
      <c r="K200" s="152" t="s">
        <v>2033</v>
      </c>
      <c r="L200" s="152" t="s">
        <v>120</v>
      </c>
      <c r="M200" s="153" t="n">
        <f aca="false">333.5+0.99</f>
        <v>334.49</v>
      </c>
      <c r="N200" s="152" t="s">
        <v>1548</v>
      </c>
      <c r="O200" s="152" t="s">
        <v>1549</v>
      </c>
      <c r="P200" s="152" t="s">
        <v>1550</v>
      </c>
      <c r="Q200" s="152" t="s">
        <v>1551</v>
      </c>
      <c r="R200" s="154" t="s">
        <v>2292</v>
      </c>
      <c r="S200" s="154" t="s">
        <v>1553</v>
      </c>
      <c r="T200" s="155" t="s">
        <v>2227</v>
      </c>
      <c r="U200" s="152" t="str">
        <f aca="false">RIGHT(T200,7)</f>
        <v>008/037</v>
      </c>
      <c r="V200" s="152" t="s">
        <v>1555</v>
      </c>
      <c r="W200" s="156" t="n">
        <v>45882</v>
      </c>
      <c r="X200" s="152" t="s">
        <v>1594</v>
      </c>
      <c r="Y200" s="152"/>
      <c r="Z200" s="152" t="s">
        <v>1557</v>
      </c>
      <c r="AA200" s="153" t="n">
        <v>3.9</v>
      </c>
      <c r="AB200" s="151" t="s">
        <v>2293</v>
      </c>
      <c r="AC200" s="151" t="s">
        <v>186</v>
      </c>
      <c r="AD200" s="151" t="str">
        <f aca="false">CONCATENATE($C200,$I200,$H200,$N200,$J200,$K200)</f>
        <v>TUBO PEADPEAD63VCAREDESZona02</v>
      </c>
      <c r="AE200" s="153" t="n">
        <f aca="false">IFERROR(INDEX(APOIO_REDES!$A:$W,MATCH($C200&amp;$I200&amp;$H200&amp;$N200&amp;$O200,APOIO_REDES!$W:$W,0),MATCH(AE$5,APOIO_REDES!$5:$5,0)),0)</f>
        <v>1.2</v>
      </c>
      <c r="AF200" s="153" t="n">
        <f aca="false">IFERROR(INDEX(APOIO_REDES!$A:$W,MATCH($C200&amp;$I200&amp;$H200&amp;$N200&amp;$O200,APOIO_REDES!$W:$W,0),MATCH(AF$5,APOIO_REDES!$5:$5,0)),0)</f>
        <v>1.363</v>
      </c>
      <c r="AG200" s="153" t="n">
        <f aca="false">IFERROR(INDEX(APOIO_REDES!$A:$W,MATCH($C200&amp;$I200&amp;$H200&amp;$N200&amp;$O200,APOIO_REDES!$W:$W,0),MATCH(AG$5,APOIO_REDES!$5:$5,0)),0)</f>
        <v>0.65</v>
      </c>
      <c r="AH200" s="153" t="n">
        <f aca="false">IFERROR(INDEX(APOIO_REDES!$A:$W,MATCH($C200&amp;$I200&amp;$H200&amp;$N200&amp;$O200,APOIO_REDES!$W:$W,0),MATCH(AH$5,APOIO_REDES!$5:$5,0)),0)</f>
        <v>0.1</v>
      </c>
      <c r="AI200" s="153" t="n">
        <f aca="false">IFERROR(IF($H200&lt;&gt;"",(((($H200/1000)/2)^2)*PI()*$M200),0),0)</f>
        <v>1.04268738391733</v>
      </c>
      <c r="AJ200" s="153" t="n">
        <f aca="false">IFERROR(IF(AND($H200&lt;&gt;"",$I200="FoFo",OR($N200="MND",$N200="VCA"),$Q200="LINEAR"),0,IF(AND($H200&lt;&gt;"",$I200="PEAD",$N200="VCA",$Q200="LINEAR"),($H200/1000)+0.3,IF(AND($H200&lt;&gt;"",$I200="PEAD",$N200="MND",$Q200="EMBOQUE"),0,IF(AND($H200&lt;&gt;"",$I200="PVC",$N200="VCA",$Q200="LINEAR"),($H200/1000)+0.2,IF(AND($H200&lt;&gt;"",$I200="PVC",$N200="MND",$Q200="EMBOQUE"),0,IF(AND($H200&lt;&gt;"",$I200="PEAD",$N200="VCA",$Q200="PREDIAL"),0,0)))))),0)</f>
        <v>0.363</v>
      </c>
      <c r="AK200" s="153" t="n">
        <f aca="false">IF(AA200&lt;&gt;"",AA200,0)</f>
        <v>3.9</v>
      </c>
      <c r="AL200" s="153" t="n">
        <f aca="false">IF(AND($N200="MND",$Q200="EMBOQUE"),$M200,IF(AND($N200="VCA",$Q200="LINEAR"),$M200,IF(AND($N200="VCA",$Q200="PREDIAL"),0,0)))</f>
        <v>334.49</v>
      </c>
      <c r="AM200" s="153" t="n">
        <f aca="false">IF(AND($N200="MND",$Q200="EMBOQUE"),$M200,IF(AND($N200="VCA",$Q200="LINEAR"),$M200,IF(AND($N200="VCA",$Q200="PREDIAL"),0,0)))</f>
        <v>334.49</v>
      </c>
      <c r="AN200" s="153" t="n">
        <f aca="false">ROUND(IF(AND($N200="VCA",$M200&lt;&gt;"",$Q200="LINEAR"),$M200/100,IF(AND($N200="MND",$M200&gt;100,$Q200="EMBOQUE"),$M200/100,0)),0)</f>
        <v>3</v>
      </c>
      <c r="AO200" s="153" t="n">
        <f aca="false">IF(AND($N200="MND",$Q200="EMBOQUE"),$AN200*2*2,IF(AND($N200="VCA",$Q200="LINEAR"),$M200*2,IF(AND($N200="VCA",$Q200="PREDIAL"),0,0)))</f>
        <v>668.98</v>
      </c>
      <c r="AP200" s="153" t="n">
        <f aca="false">IFERROR($M200*$AF200*$AG200,0)</f>
        <v>296.3414155</v>
      </c>
      <c r="AQ200" s="153" t="n">
        <f aca="false">IFERROR(IF(AND($N200="VCA",$AH200&gt;0),$M200*$AG200*$AH200,0),0)</f>
        <v>21.74185</v>
      </c>
      <c r="AR200" s="153" t="n">
        <f aca="false">IFERROR(IF(AND($N200="VCA",$AJ200&gt;0),($M200*$AG200*$AJ200)-$AI200,0),0)</f>
        <v>77.8802281160827</v>
      </c>
      <c r="AS200" s="153" t="n">
        <f aca="false">IFERROR(IF(AND($N200="VCA",$AP200&gt;0),$AP200-$AI200-$AQ200-$AR200,0),0)</f>
        <v>195.67665</v>
      </c>
      <c r="AT200" s="153" t="n">
        <f aca="false">IFERROR(IF($N200="VCA",INDEX(APOIO_REDES!$A:$W,MATCH($C200&amp;$I200&amp;$H200&amp;$N200&amp;$O200,APOIO_REDES!$W:$W,0),MATCH(AT$5,APOIO_REDES!$5:$5,0)),0)*$AP200,0)</f>
        <v>3.22428231322171</v>
      </c>
      <c r="AU200" s="153" t="n">
        <f aca="false">IFERROR(IF($N200="VCA",INDEX(APOIO_REDES!$A:$W,MATCH($C200&amp;$I200&amp;$H200&amp;$N200&amp;$O200,APOIO_REDES!$W:$W,0),MATCH(AU$5,APOIO_REDES!$5:$5,0)),0)*$AP200,0)</f>
        <v>2.57482453069926</v>
      </c>
      <c r="AV200" s="153" t="n">
        <f aca="false">IFERROR(IF($N200="VCA",INDEX(APOIO_REDES!$A:$W,MATCH($C200&amp;$I200&amp;$H200&amp;$N200&amp;$O200,APOIO_REDES!$W:$W,0),MATCH(AV$5,APOIO_REDES!$5:$5,0)),0)*$AP200,0)</f>
        <v>0.356335501883692</v>
      </c>
      <c r="AW200" s="153" t="n">
        <f aca="false">IFERROR(IF($N200="VCA",INDEX(APOIO_REDES!$A:$W,MATCH($C200&amp;$I200&amp;$H200&amp;$N200&amp;$O200,APOIO_REDES!$W:$W,0),MATCH(AW$5,APOIO_REDES!$5:$5,0)),0)*$AP200,0)</f>
        <v>203.411043764535</v>
      </c>
      <c r="AX200" s="153" t="n">
        <f aca="false">IFERROR(IF($N200="VCA",INDEX(APOIO_REDES!$A:$W,MATCH($C200&amp;$I200&amp;$H200&amp;$N200&amp;$O200,APOIO_REDES!$W:$W,0),MATCH(AX$5,APOIO_REDES!$5:$5,0)),0)*$AP200,0)</f>
        <v>28.1515090296855</v>
      </c>
      <c r="AY200" s="153" t="n">
        <f aca="false">IFERROR(IF($N200="VCA",INDEX(APOIO_REDES!$A:$W,MATCH($C200&amp;$I200&amp;$H200&amp;$N200&amp;$O200,APOIO_REDES!$W:$W,0),MATCH(AY$5,APOIO_REDES!$5:$5,0)),0)*$AP200,0)</f>
        <v>51.4964592270829</v>
      </c>
      <c r="AZ200" s="153" t="n">
        <f aca="false">IFERROR(IF($N200="VCA",INDEX(APOIO_REDES!$A:$W,MATCH($C200&amp;$I200&amp;$H200&amp;$N200&amp;$O200,APOIO_REDES!$W:$W,0),MATCH(AZ$5,APOIO_REDES!$5:$5,0)),0)*$AP200,0)</f>
        <v>7.1269611328923</v>
      </c>
      <c r="BA200" s="153" t="n">
        <f aca="false">IFERROR(IF(AND($N200="VCA",$Q200="LINEAR"),INDEX(APOIO_REDES!$A:$W,MATCH($C200&amp;$I200&amp;$H200&amp;$N200&amp;$O200,APOIO_REDES!$W:$W,0),MATCH(BA$5,APOIO_REDES!$5:$5,0)),IF(AND($N200="MND",$Q200="EMBOQUE"),INDEX(APOIO_REDES!$A:$W,MATCH($C200&amp;$I200&amp;$H200&amp;$N200&amp;$O200,APOIO_REDES!$W:$W,0),MATCH(BA$5,APOIO_REDES!$5:$5,0)),0))*$M200/10,0)</f>
        <v>26.9590502756607</v>
      </c>
      <c r="BB200" s="153" t="n">
        <f aca="false">IFERROR(IF($N200="VCA",INDEX(APOIO_REDES!$A:$W,MATCH($C200&amp;$I200&amp;$H200&amp;$N200&amp;$O200,APOIO_REDES!$W:$W,0),MATCH(BB$5,APOIO_REDES!$5:$5,0)),0)*($AI200+$AQ200+$AR200),0)</f>
        <v>99.5695030561103</v>
      </c>
      <c r="BC200" s="153" t="n">
        <f aca="false">IFERROR(IF($N200="VCA",INDEX(APOIO_REDES!$A:$W,MATCH($C200&amp;$I200&amp;$H200&amp;$N200&amp;$O200,APOIO_REDES!$W:$W,0),MATCH(BC$5,APOIO_REDES!$5:$5,0)),0)*($AI200+$AQ200+$AR200),0)</f>
        <v>1.09526244388969</v>
      </c>
      <c r="BD200" s="153" t="n">
        <f aca="false">IF(AND($N200="VCA",$AF200&gt;=1.25,$AF200&lt;1.5),$M200*$AF200*2,0)</f>
        <v>911.81974</v>
      </c>
      <c r="BE200" s="153" t="n">
        <f aca="false">IF(AND($N200="VCA",$AF200&gt;=1.5,$AF200&lt;3),$M200*$AF200*2,0)</f>
        <v>0</v>
      </c>
      <c r="BF200" s="153" t="n">
        <f aca="false">IF(AND($N200="VCA",$AF200&gt;=3),$M200*$AF200*2,0)</f>
        <v>0</v>
      </c>
      <c r="BG200" s="153" t="n">
        <f aca="false">($BB200+$BC200)*$AK200</f>
        <v>392.59258545</v>
      </c>
      <c r="BH200" s="153" t="n">
        <f aca="false">IF(AND($M200&lt;&gt;"",$N200="VCA",$Q200="LINEAR"),($M200*2)/100,IF(AND($M200&lt;&gt;"",$N200="MND",$Q200="EMBOQUE"),($AN200*2)/100,0))</f>
        <v>6.6898</v>
      </c>
      <c r="BI200" s="153" t="n">
        <f aca="false">IF(AND($M200&lt;&gt;"",$N200="VCA",$Q200="LINEAR"),$M200,IF(AND($M200&lt;&gt;"",$N200="MND",$Q200="EMBOQUE"),$AN200*2,0))</f>
        <v>334.49</v>
      </c>
      <c r="BJ200" s="153" t="n">
        <f aca="false">IF(AND($M200&lt;&gt;"",$N200="VCA",$Q200="LINEAR"),($M200*6.8)/100,IF(AND($M200&lt;&gt;"",$N200="MND",$Q200="EMBOQUE"),($AN200*2*6.8)/100,0))</f>
        <v>22.74532</v>
      </c>
      <c r="BK200" s="153" t="n">
        <f aca="false">IF(AND($M200&lt;&gt;"",$N200="VCA",$Q200="LINEAR"),($M200*2.5)/50,IF(AND($M200&lt;&gt;"",$N200="MND",$Q200="EMBOQUE"),($AN200*2*2.5)/50,0))</f>
        <v>16.7245</v>
      </c>
      <c r="BL200" s="157" t="str">
        <f aca="false">K200&amp;J200</f>
        <v>Zona02REDES</v>
      </c>
      <c r="BM200" s="152" t="s">
        <v>2037</v>
      </c>
      <c r="BN200" s="152" t="s">
        <v>1560</v>
      </c>
      <c r="BO200" s="152" t="s">
        <v>2231</v>
      </c>
      <c r="BP200" s="152" t="s">
        <v>2294</v>
      </c>
      <c r="BQ200" s="152" t="s">
        <v>2251</v>
      </c>
      <c r="BR200" s="152" t="s">
        <v>2295</v>
      </c>
      <c r="BS200" s="152" t="n">
        <v>202926.581</v>
      </c>
      <c r="BT200" s="152" t="n">
        <v>8237701.805</v>
      </c>
      <c r="BU200" s="152" t="n">
        <v>202682.144</v>
      </c>
      <c r="BV200" s="152" t="n">
        <v>8237906.826</v>
      </c>
      <c r="BW200" s="152" t="n">
        <v>-15.9212453</v>
      </c>
      <c r="BX200" s="152" t="n">
        <v>-47.7758517</v>
      </c>
      <c r="BY200" s="152" t="s">
        <v>2294</v>
      </c>
    </row>
    <row r="201" customFormat="false" ht="13.8" hidden="false" customHeight="false" outlineLevel="0" collapsed="false">
      <c r="A201" s="149" t="n">
        <f aca="false">IF(C201&lt;&gt;"",ROW(A196),"")</f>
        <v>196</v>
      </c>
      <c r="B201" s="150" t="str">
        <f aca="false">HYPERLINK("https://www.google.com/maps/dir/-15.917302,-47.760003/-15.9212447,-47.7740342/data=!4m3!4m2!3e0!5i1")</f>
        <v>https://www.google.com/maps/dir/-15.917302,-47.760003/-15.9212447,-47.7740342/data=!4m3!4m2!3e0!5i1</v>
      </c>
      <c r="C201" s="151" t="s">
        <v>117</v>
      </c>
      <c r="D201" s="152" t="s">
        <v>112</v>
      </c>
      <c r="E201" s="152" t="s">
        <v>113</v>
      </c>
      <c r="F201" s="152" t="s">
        <v>117</v>
      </c>
      <c r="G201" s="152" t="s">
        <v>114</v>
      </c>
      <c r="H201" s="152" t="n">
        <v>160</v>
      </c>
      <c r="I201" s="152" t="s">
        <v>115</v>
      </c>
      <c r="J201" s="152" t="s">
        <v>6</v>
      </c>
      <c r="K201" s="152" t="s">
        <v>2033</v>
      </c>
      <c r="L201" s="152" t="s">
        <v>120</v>
      </c>
      <c r="M201" s="153" t="n">
        <f aca="false">10.36</f>
        <v>10.36</v>
      </c>
      <c r="N201" s="152" t="s">
        <v>1548</v>
      </c>
      <c r="O201" s="152" t="s">
        <v>1549</v>
      </c>
      <c r="P201" s="152" t="s">
        <v>1550</v>
      </c>
      <c r="Q201" s="152" t="s">
        <v>1551</v>
      </c>
      <c r="R201" s="154" t="s">
        <v>2296</v>
      </c>
      <c r="S201" s="154" t="s">
        <v>1593</v>
      </c>
      <c r="T201" s="155" t="s">
        <v>2227</v>
      </c>
      <c r="U201" s="152" t="str">
        <f aca="false">RIGHT(T201,7)</f>
        <v>008/037</v>
      </c>
      <c r="V201" s="152" t="s">
        <v>1555</v>
      </c>
      <c r="W201" s="156" t="n">
        <v>45882</v>
      </c>
      <c r="X201" s="152" t="s">
        <v>1594</v>
      </c>
      <c r="Y201" s="152" t="s">
        <v>2186</v>
      </c>
      <c r="Z201" s="152" t="s">
        <v>1557</v>
      </c>
      <c r="AA201" s="153" t="n">
        <v>3.7</v>
      </c>
      <c r="AB201" s="151" t="s">
        <v>2297</v>
      </c>
      <c r="AC201" s="151" t="s">
        <v>505</v>
      </c>
      <c r="AD201" s="151" t="str">
        <f aca="false">CONCATENATE($C201,$I201,$H201,$N201,$J201,$K201)</f>
        <v>TUBO PEADPEAD160VCAREDESZona02</v>
      </c>
      <c r="AE201" s="153" t="n">
        <f aca="false">IFERROR(INDEX(APOIO_REDES!$A:$W,MATCH($C201&amp;$I201&amp;$H201&amp;$N201&amp;$O201,APOIO_REDES!$W:$W,0),MATCH(AE$5,APOIO_REDES!$5:$5,0)),0)</f>
        <v>1.2</v>
      </c>
      <c r="AF201" s="153" t="n">
        <f aca="false">IFERROR(INDEX(APOIO_REDES!$A:$W,MATCH($C201&amp;$I201&amp;$H201&amp;$N201&amp;$O201,APOIO_REDES!$W:$W,0),MATCH(AF$5,APOIO_REDES!$5:$5,0)),0)</f>
        <v>1.46</v>
      </c>
      <c r="AG201" s="153" t="n">
        <f aca="false">IFERROR(INDEX(APOIO_REDES!$A:$W,MATCH($C201&amp;$I201&amp;$H201&amp;$N201&amp;$O201,APOIO_REDES!$W:$W,0),MATCH(AG$5,APOIO_REDES!$5:$5,0)),0)</f>
        <v>0.75</v>
      </c>
      <c r="AH201" s="153" t="n">
        <f aca="false">IFERROR(INDEX(APOIO_REDES!$A:$W,MATCH($C201&amp;$I201&amp;$H201&amp;$N201&amp;$O201,APOIO_REDES!$W:$W,0),MATCH(AH$5,APOIO_REDES!$5:$5,0)),0)</f>
        <v>0.1</v>
      </c>
      <c r="AI201" s="153" t="n">
        <f aca="false">IFERROR(IF($H201&lt;&gt;"",(((($H201/1000)/2)^2)*PI()*$M201),0),0)</f>
        <v>0.208300159303618</v>
      </c>
      <c r="AJ201" s="153" t="n">
        <f aca="false">IFERROR(IF(AND($H201&lt;&gt;"",$I201="FoFo",OR($N201="MND",$N201="VCA"),$Q201="LINEAR"),0,IF(AND($H201&lt;&gt;"",$I201="PEAD",$N201="VCA",$Q201="LINEAR"),($H201/1000)+0.3,IF(AND($H201&lt;&gt;"",$I201="PEAD",$N201="MND",$Q201="EMBOQUE"),0,IF(AND($H201&lt;&gt;"",$I201="PVC",$N201="VCA",$Q201="LINEAR"),($H201/1000)+0.2,IF(AND($H201&lt;&gt;"",$I201="PVC",$N201="MND",$Q201="EMBOQUE"),0,IF(AND($H201&lt;&gt;"",$I201="PEAD",$N201="VCA",$Q201="PREDIAL"),0,0)))))),0)</f>
        <v>0.46</v>
      </c>
      <c r="AK201" s="153" t="n">
        <f aca="false">IF(AA201&lt;&gt;"",AA201,0)</f>
        <v>3.7</v>
      </c>
      <c r="AL201" s="153" t="n">
        <f aca="false">IF(AND($N201="MND",$Q201="EMBOQUE"),$M201,IF(AND($N201="VCA",$Q201="LINEAR"),$M201,IF(AND($N201="VCA",$Q201="PREDIAL"),0,0)))</f>
        <v>10.36</v>
      </c>
      <c r="AM201" s="153" t="n">
        <f aca="false">IF(AND($N201="MND",$Q201="EMBOQUE"),$M201,IF(AND($N201="VCA",$Q201="LINEAR"),$M201,IF(AND($N201="VCA",$Q201="PREDIAL"),0,0)))</f>
        <v>10.36</v>
      </c>
      <c r="AN201" s="153" t="n">
        <f aca="false">ROUND(IF(AND($N201="VCA",$M201&lt;&gt;"",$Q201="LINEAR"),$M201/100,IF(AND($N201="MND",$M201&gt;100,$Q201="EMBOQUE"),$M201/100,0)),0)</f>
        <v>0</v>
      </c>
      <c r="AO201" s="153" t="n">
        <f aca="false">IF(AND($N201="MND",$Q201="EMBOQUE"),$AN201*2*2,IF(AND($N201="VCA",$Q201="LINEAR"),$M201*2,IF(AND($N201="VCA",$Q201="PREDIAL"),0,0)))</f>
        <v>20.72</v>
      </c>
      <c r="AP201" s="153" t="n">
        <f aca="false">IFERROR($M201*$AF201*$AG201,0)</f>
        <v>11.3442</v>
      </c>
      <c r="AQ201" s="153" t="n">
        <f aca="false">IFERROR(IF(AND($N201="VCA",$AH201&gt;0),$M201*$AG201*$AH201,0),0)</f>
        <v>0.777</v>
      </c>
      <c r="AR201" s="153" t="n">
        <f aca="false">IFERROR(IF(AND($N201="VCA",$AJ201&gt;0),($M201*$AG201*$AJ201)-$AI201,0),0)</f>
        <v>3.36589984069638</v>
      </c>
      <c r="AS201" s="153" t="n">
        <f aca="false">IFERROR(IF(AND($N201="VCA",$AP201&gt;0),$AP201-$AI201-$AQ201-$AR201,0),0)</f>
        <v>6.993</v>
      </c>
      <c r="AT201" s="153" t="n">
        <f aca="false">IFERROR(IF($N201="VCA",INDEX(APOIO_REDES!$A:$W,MATCH($C201&amp;$I201&amp;$H201&amp;$N201&amp;$O201,APOIO_REDES!$W:$W,0),MATCH(AT$5,APOIO_REDES!$5:$5,0)),0)*$AP201,0)</f>
        <v>0.123428253711806</v>
      </c>
      <c r="AU201" s="153" t="n">
        <f aca="false">IFERROR(IF($N201="VCA",INDEX(APOIO_REDES!$A:$W,MATCH($C201&amp;$I201&amp;$H201&amp;$N201&amp;$O201,APOIO_REDES!$W:$W,0),MATCH(AU$5,APOIO_REDES!$5:$5,0)),0)*$AP201,0)</f>
        <v>0.0985664605531944</v>
      </c>
      <c r="AV201" s="153" t="n">
        <f aca="false">IFERROR(IF($N201="VCA",INDEX(APOIO_REDES!$A:$W,MATCH($C201&amp;$I201&amp;$H201&amp;$N201&amp;$O201,APOIO_REDES!$W:$W,0),MATCH(AV$5,APOIO_REDES!$5:$5,0)),0)*$AP201,0)</f>
        <v>0.0136408243635085</v>
      </c>
      <c r="AW201" s="153" t="n">
        <f aca="false">IFERROR(IF($N201="VCA",INDEX(APOIO_REDES!$A:$W,MATCH($C201&amp;$I201&amp;$H201&amp;$N201&amp;$O201,APOIO_REDES!$W:$W,0),MATCH(AW$5,APOIO_REDES!$5:$5,0)),0)*$AP201,0)</f>
        <v>7.78674677915087</v>
      </c>
      <c r="AX201" s="153" t="n">
        <f aca="false">IFERROR(IF($N201="VCA",INDEX(APOIO_REDES!$A:$W,MATCH($C201&amp;$I201&amp;$H201&amp;$N201&amp;$O201,APOIO_REDES!$W:$W,0),MATCH(AX$5,APOIO_REDES!$5:$5,0)),0)*$AP201,0)</f>
        <v>1.07766357326642</v>
      </c>
      <c r="AY201" s="153" t="n">
        <f aca="false">IFERROR(IF($N201="VCA",INDEX(APOIO_REDES!$A:$W,MATCH($C201&amp;$I201&amp;$H201&amp;$N201&amp;$O201,APOIO_REDES!$W:$W,0),MATCH(AY$5,APOIO_REDES!$5:$5,0)),0)*$AP201,0)</f>
        <v>1.97132800954672</v>
      </c>
      <c r="AZ201" s="153" t="n">
        <f aca="false">IFERROR(IF($N201="VCA",INDEX(APOIO_REDES!$A:$W,MATCH($C201&amp;$I201&amp;$H201&amp;$N201&amp;$O201,APOIO_REDES!$W:$W,0),MATCH(AZ$5,APOIO_REDES!$5:$5,0)),0)*$AP201,0)</f>
        <v>0.272826099407482</v>
      </c>
      <c r="BA201" s="153" t="n">
        <f aca="false">IFERROR(IF(AND($N201="VCA",$Q201="LINEAR"),INDEX(APOIO_REDES!$A:$W,MATCH($C201&amp;$I201&amp;$H201&amp;$N201&amp;$O201,APOIO_REDES!$W:$W,0),MATCH(BA$5,APOIO_REDES!$5:$5,0)),IF(AND($N201="MND",$Q201="EMBOQUE"),INDEX(APOIO_REDES!$A:$W,MATCH($C201&amp;$I201&amp;$H201&amp;$N201&amp;$O201,APOIO_REDES!$W:$W,0),MATCH(BA$5,APOIO_REDES!$5:$5,0)),0))*$M201/10,0)</f>
        <v>0.834989867726524</v>
      </c>
      <c r="BB201" s="153" t="n">
        <f aca="false">IFERROR(IF($N201="VCA",INDEX(APOIO_REDES!$A:$W,MATCH($C201&amp;$I201&amp;$H201&amp;$N201&amp;$O201,APOIO_REDES!$W:$W,0),MATCH(BB$5,APOIO_REDES!$5:$5,0)),0)*($AI201+$AQ201+$AR201),0)</f>
        <v>4.30385765611054</v>
      </c>
      <c r="BC201" s="153" t="n">
        <f aca="false">IFERROR(IF($N201="VCA",INDEX(APOIO_REDES!$A:$W,MATCH($C201&amp;$I201&amp;$H201&amp;$N201&amp;$O201,APOIO_REDES!$W:$W,0),MATCH(BC$5,APOIO_REDES!$5:$5,0)),0)*($AI201+$AQ201+$AR201),0)</f>
        <v>0.0473423438894598</v>
      </c>
      <c r="BD201" s="153" t="n">
        <f aca="false">IF(AND($N201="VCA",$AF201&gt;=1.25,$AF201&lt;1.5),$M201*$AF201*2,0)</f>
        <v>30.2512</v>
      </c>
      <c r="BE201" s="153" t="n">
        <f aca="false">IF(AND($N201="VCA",$AF201&gt;=1.5,$AF201&lt;3),$M201*$AF201*2,0)</f>
        <v>0</v>
      </c>
      <c r="BF201" s="153" t="n">
        <f aca="false">IF(AND($N201="VCA",$AF201&gt;=3),$M201*$AF201*2,0)</f>
        <v>0</v>
      </c>
      <c r="BG201" s="153" t="n">
        <f aca="false">($BB201+$BC201)*$AK201</f>
        <v>16.09944</v>
      </c>
      <c r="BH201" s="153" t="n">
        <f aca="false">IF(AND($M201&lt;&gt;"",$N201="VCA",$Q201="LINEAR"),($M201*2)/100,IF(AND($M201&lt;&gt;"",$N201="MND",$Q201="EMBOQUE"),($AN201*2)/100,0))</f>
        <v>0.2072</v>
      </c>
      <c r="BI201" s="153" t="n">
        <f aca="false">IF(AND($M201&lt;&gt;"",$N201="VCA",$Q201="LINEAR"),$M201,IF(AND($M201&lt;&gt;"",$N201="MND",$Q201="EMBOQUE"),$AN201*2,0))</f>
        <v>10.36</v>
      </c>
      <c r="BJ201" s="153" t="n">
        <f aca="false">IF(AND($M201&lt;&gt;"",$N201="VCA",$Q201="LINEAR"),($M201*6.8)/100,IF(AND($M201&lt;&gt;"",$N201="MND",$Q201="EMBOQUE"),($AN201*2*6.8)/100,0))</f>
        <v>0.70448</v>
      </c>
      <c r="BK201" s="153" t="n">
        <f aca="false">IF(AND($M201&lt;&gt;"",$N201="VCA",$Q201="LINEAR"),($M201*2.5)/50,IF(AND($M201&lt;&gt;"",$N201="MND",$Q201="EMBOQUE"),($AN201*2*2.5)/50,0))</f>
        <v>0.518</v>
      </c>
      <c r="BL201" s="157" t="str">
        <f aca="false">K201&amp;J201</f>
        <v>Zona02REDES</v>
      </c>
      <c r="BM201" s="152" t="s">
        <v>2037</v>
      </c>
      <c r="BN201" s="152" t="s">
        <v>1560</v>
      </c>
      <c r="BO201" s="152" t="s">
        <v>2231</v>
      </c>
      <c r="BP201" s="152" t="s">
        <v>2283</v>
      </c>
      <c r="BQ201" s="152" t="s">
        <v>2298</v>
      </c>
      <c r="BR201" s="152" t="s">
        <v>2274</v>
      </c>
      <c r="BS201" s="152" t="n">
        <v>202986.492</v>
      </c>
      <c r="BT201" s="152" t="n">
        <v>8237802.589</v>
      </c>
      <c r="BU201" s="152" t="n">
        <v>202982.015</v>
      </c>
      <c r="BV201" s="152" t="n">
        <v>8237793.244</v>
      </c>
      <c r="BW201" s="152" t="n">
        <v>-15.9212866</v>
      </c>
      <c r="BX201" s="152" t="n">
        <v>-47.7740557</v>
      </c>
      <c r="BY201" s="152" t="s">
        <v>2283</v>
      </c>
    </row>
    <row r="202" customFormat="false" ht="13.8" hidden="false" customHeight="false" outlineLevel="0" collapsed="false">
      <c r="A202" s="149" t="n">
        <f aca="false">IF(C202&lt;&gt;"",ROW(A197),"")</f>
        <v>197</v>
      </c>
      <c r="B202" s="150" t="str">
        <f aca="false">HYPERLINK("https://www.google.com/maps/dir/-15.917302,-47.760003/-15.9215470,-47.7746714/data=!4m3!4m2!3e0!5i2")</f>
        <v>https://www.google.com/maps/dir/-15.917302,-47.760003/-15.9215470,-47.7746714/data=!4m3!4m2!3e0!5i2</v>
      </c>
      <c r="C202" s="151" t="s">
        <v>117</v>
      </c>
      <c r="D202" s="152" t="s">
        <v>112</v>
      </c>
      <c r="E202" s="152" t="s">
        <v>113</v>
      </c>
      <c r="F202" s="152" t="s">
        <v>117</v>
      </c>
      <c r="G202" s="152" t="s">
        <v>782</v>
      </c>
      <c r="H202" s="152" t="n">
        <v>63</v>
      </c>
      <c r="I202" s="152" t="s">
        <v>115</v>
      </c>
      <c r="J202" s="152" t="s">
        <v>6</v>
      </c>
      <c r="K202" s="152" t="s">
        <v>2033</v>
      </c>
      <c r="L202" s="152" t="s">
        <v>120</v>
      </c>
      <c r="M202" s="153" t="n">
        <f aca="false">91.64</f>
        <v>91.64</v>
      </c>
      <c r="N202" s="152" t="s">
        <v>1548</v>
      </c>
      <c r="O202" s="152" t="s">
        <v>1549</v>
      </c>
      <c r="P202" s="152" t="s">
        <v>1550</v>
      </c>
      <c r="Q202" s="152" t="s">
        <v>1551</v>
      </c>
      <c r="R202" s="154" t="s">
        <v>2299</v>
      </c>
      <c r="S202" s="154" t="s">
        <v>1553</v>
      </c>
      <c r="T202" s="155" t="s">
        <v>2227</v>
      </c>
      <c r="U202" s="152" t="str">
        <f aca="false">RIGHT(T202,7)</f>
        <v>008/037</v>
      </c>
      <c r="V202" s="152" t="s">
        <v>1555</v>
      </c>
      <c r="W202" s="156" t="n">
        <v>45882</v>
      </c>
      <c r="X202" s="152" t="s">
        <v>1594</v>
      </c>
      <c r="Y202" s="152"/>
      <c r="Z202" s="152" t="s">
        <v>1557</v>
      </c>
      <c r="AA202" s="153" t="n">
        <v>4</v>
      </c>
      <c r="AB202" s="151" t="s">
        <v>2300</v>
      </c>
      <c r="AC202" s="151" t="s">
        <v>186</v>
      </c>
      <c r="AD202" s="151" t="str">
        <f aca="false">CONCATENATE($C202,$I202,$H202,$N202,$J202,$K202)</f>
        <v>TUBO PEADPEAD63VCAREDESZona02</v>
      </c>
      <c r="AE202" s="153" t="n">
        <f aca="false">IFERROR(INDEX(APOIO_REDES!$A:$W,MATCH($C202&amp;$I202&amp;$H202&amp;$N202&amp;$O202,APOIO_REDES!$W:$W,0),MATCH(AE$5,APOIO_REDES!$5:$5,0)),0)</f>
        <v>1.2</v>
      </c>
      <c r="AF202" s="153" t="n">
        <f aca="false">IFERROR(INDEX(APOIO_REDES!$A:$W,MATCH($C202&amp;$I202&amp;$H202&amp;$N202&amp;$O202,APOIO_REDES!$W:$W,0),MATCH(AF$5,APOIO_REDES!$5:$5,0)),0)</f>
        <v>1.363</v>
      </c>
      <c r="AG202" s="153" t="n">
        <f aca="false">IFERROR(INDEX(APOIO_REDES!$A:$W,MATCH($C202&amp;$I202&amp;$H202&amp;$N202&amp;$O202,APOIO_REDES!$W:$W,0),MATCH(AG$5,APOIO_REDES!$5:$5,0)),0)</f>
        <v>0.65</v>
      </c>
      <c r="AH202" s="153" t="n">
        <f aca="false">IFERROR(INDEX(APOIO_REDES!$A:$W,MATCH($C202&amp;$I202&amp;$H202&amp;$N202&amp;$O202,APOIO_REDES!$W:$W,0),MATCH(AH$5,APOIO_REDES!$5:$5,0)),0)</f>
        <v>0.1</v>
      </c>
      <c r="AI202" s="153" t="n">
        <f aca="false">IFERROR(IF($H202&lt;&gt;"",(((($H202/1000)/2)^2)*PI()*$M202),0),0)</f>
        <v>0.285664360256463</v>
      </c>
      <c r="AJ202" s="153" t="n">
        <f aca="false">IFERROR(IF(AND($H202&lt;&gt;"",$I202="FoFo",OR($N202="MND",$N202="VCA"),$Q202="LINEAR"),0,IF(AND($H202&lt;&gt;"",$I202="PEAD",$N202="VCA",$Q202="LINEAR"),($H202/1000)+0.3,IF(AND($H202&lt;&gt;"",$I202="PEAD",$N202="MND",$Q202="EMBOQUE"),0,IF(AND($H202&lt;&gt;"",$I202="PVC",$N202="VCA",$Q202="LINEAR"),($H202/1000)+0.2,IF(AND($H202&lt;&gt;"",$I202="PVC",$N202="MND",$Q202="EMBOQUE"),0,IF(AND($H202&lt;&gt;"",$I202="PEAD",$N202="VCA",$Q202="PREDIAL"),0,0)))))),0)</f>
        <v>0.363</v>
      </c>
      <c r="AK202" s="153" t="n">
        <f aca="false">IF(AA202&lt;&gt;"",AA202,0)</f>
        <v>4</v>
      </c>
      <c r="AL202" s="153" t="n">
        <f aca="false">IF(AND($N202="MND",$Q202="EMBOQUE"),$M202,IF(AND($N202="VCA",$Q202="LINEAR"),$M202,IF(AND($N202="VCA",$Q202="PREDIAL"),0,0)))</f>
        <v>91.64</v>
      </c>
      <c r="AM202" s="153" t="n">
        <f aca="false">IF(AND($N202="MND",$Q202="EMBOQUE"),$M202,IF(AND($N202="VCA",$Q202="LINEAR"),$M202,IF(AND($N202="VCA",$Q202="PREDIAL"),0,0)))</f>
        <v>91.64</v>
      </c>
      <c r="AN202" s="153" t="n">
        <f aca="false">ROUND(IF(AND($N202="VCA",$M202&lt;&gt;"",$Q202="LINEAR"),$M202/100,IF(AND($N202="MND",$M202&gt;100,$Q202="EMBOQUE"),$M202/100,0)),0)</f>
        <v>1</v>
      </c>
      <c r="AO202" s="153" t="n">
        <f aca="false">IF(AND($N202="MND",$Q202="EMBOQUE"),$AN202*2*2,IF(AND($N202="VCA",$Q202="LINEAR"),$M202*2,IF(AND($N202="VCA",$Q202="PREDIAL"),0,0)))</f>
        <v>183.28</v>
      </c>
      <c r="AP202" s="153" t="n">
        <f aca="false">IFERROR($M202*$AF202*$AG202,0)</f>
        <v>81.188458</v>
      </c>
      <c r="AQ202" s="153" t="n">
        <f aca="false">IFERROR(IF(AND($N202="VCA",$AH202&gt;0),$M202*$AG202*$AH202,0),0)</f>
        <v>5.9566</v>
      </c>
      <c r="AR202" s="153" t="n">
        <f aca="false">IFERROR(IF(AND($N202="VCA",$AJ202&gt;0),($M202*$AG202*$AJ202)-$AI202,0),0)</f>
        <v>21.3367936397435</v>
      </c>
      <c r="AS202" s="153" t="n">
        <f aca="false">IFERROR(IF(AND($N202="VCA",$AP202&gt;0),$AP202-$AI202-$AQ202-$AR202,0),0)</f>
        <v>53.6094</v>
      </c>
      <c r="AT202" s="153" t="n">
        <f aca="false">IFERROR(IF($N202="VCA",INDEX(APOIO_REDES!$A:$W,MATCH($C202&amp;$I202&amp;$H202&amp;$N202&amp;$O202,APOIO_REDES!$W:$W,0),MATCH(AT$5,APOIO_REDES!$5:$5,0)),0)*$AP202,0)</f>
        <v>0.883354453596931</v>
      </c>
      <c r="AU202" s="153" t="n">
        <f aca="false">IFERROR(IF($N202="VCA",INDEX(APOIO_REDES!$A:$W,MATCH($C202&amp;$I202&amp;$H202&amp;$N202&amp;$O202,APOIO_REDES!$W:$W,0),MATCH(AU$5,APOIO_REDES!$5:$5,0)),0)*$AP202,0)</f>
        <v>0.705422942369818</v>
      </c>
      <c r="AV202" s="153" t="n">
        <f aca="false">IFERROR(IF($N202="VCA",INDEX(APOIO_REDES!$A:$W,MATCH($C202&amp;$I202&amp;$H202&amp;$N202&amp;$O202,APOIO_REDES!$W:$W,0),MATCH(AV$5,APOIO_REDES!$5:$5,0)),0)*$AP202,0)</f>
        <v>0.0976249974367592</v>
      </c>
      <c r="AW202" s="153" t="n">
        <f aca="false">IFERROR(IF($N202="VCA",INDEX(APOIO_REDES!$A:$W,MATCH($C202&amp;$I202&amp;$H202&amp;$N202&amp;$O202,APOIO_REDES!$W:$W,0),MATCH(AW$5,APOIO_REDES!$5:$5,0)),0)*$AP202,0)</f>
        <v>55.7283866500701</v>
      </c>
      <c r="AX202" s="153" t="n">
        <f aca="false">IFERROR(IF($N202="VCA",INDEX(APOIO_REDES!$A:$W,MATCH($C202&amp;$I202&amp;$H202&amp;$N202&amp;$O202,APOIO_REDES!$W:$W,0),MATCH(AX$5,APOIO_REDES!$5:$5,0)),0)*$AP202,0)</f>
        <v>7.71264996705546</v>
      </c>
      <c r="AY202" s="153" t="n">
        <f aca="false">IFERROR(IF($N202="VCA",INDEX(APOIO_REDES!$A:$W,MATCH($C202&amp;$I202&amp;$H202&amp;$N202&amp;$O202,APOIO_REDES!$W:$W,0),MATCH(AY$5,APOIO_REDES!$5:$5,0)),0)*$AP202,0)</f>
        <v>14.1084502483479</v>
      </c>
      <c r="AZ202" s="153" t="n">
        <f aca="false">IFERROR(IF($N202="VCA",INDEX(APOIO_REDES!$A:$W,MATCH($C202&amp;$I202&amp;$H202&amp;$N202&amp;$O202,APOIO_REDES!$W:$W,0),MATCH(AZ$5,APOIO_REDES!$5:$5,0)),0)*$AP202,0)</f>
        <v>1.95256874112305</v>
      </c>
      <c r="BA202" s="153" t="n">
        <f aca="false">IFERROR(IF(AND($N202="VCA",$Q202="LINEAR"),INDEX(APOIO_REDES!$A:$W,MATCH($C202&amp;$I202&amp;$H202&amp;$N202&amp;$O202,APOIO_REDES!$W:$W,0),MATCH(BA$5,APOIO_REDES!$5:$5,0)),IF(AND($N202="MND",$Q202="EMBOQUE"),INDEX(APOIO_REDES!$A:$W,MATCH($C202&amp;$I202&amp;$H202&amp;$N202&amp;$O202,APOIO_REDES!$W:$W,0),MATCH(BA$5,APOIO_REDES!$5:$5,0)),0))*$M202/10,0)</f>
        <v>7.38595284541107</v>
      </c>
      <c r="BB202" s="153" t="n">
        <f aca="false">IFERROR(IF($N202="VCA",INDEX(APOIO_REDES!$A:$W,MATCH($C202&amp;$I202&amp;$H202&amp;$N202&amp;$O202,APOIO_REDES!$W:$W,0),MATCH(BB$5,APOIO_REDES!$5:$5,0)),0)*($AI202+$AQ202+$AR202),0)</f>
        <v>27.2789896859755</v>
      </c>
      <c r="BC202" s="153" t="n">
        <f aca="false">IFERROR(IF($N202="VCA",INDEX(APOIO_REDES!$A:$W,MATCH($C202&amp;$I202&amp;$H202&amp;$N202&amp;$O202,APOIO_REDES!$W:$W,0),MATCH(BC$5,APOIO_REDES!$5:$5,0)),0)*($AI202+$AQ202+$AR202),0)</f>
        <v>0.300068314024489</v>
      </c>
      <c r="BD202" s="153" t="n">
        <f aca="false">IF(AND($N202="VCA",$AF202&gt;=1.25,$AF202&lt;1.5),$M202*$AF202*2,0)</f>
        <v>249.81064</v>
      </c>
      <c r="BE202" s="153" t="n">
        <f aca="false">IF(AND($N202="VCA",$AF202&gt;=1.5,$AF202&lt;3),$M202*$AF202*2,0)</f>
        <v>0</v>
      </c>
      <c r="BF202" s="153" t="n">
        <f aca="false">IF(AND($N202="VCA",$AF202&gt;=3),$M202*$AF202*2,0)</f>
        <v>0</v>
      </c>
      <c r="BG202" s="153" t="n">
        <f aca="false">($BB202+$BC202)*$AK202</f>
        <v>110.316232</v>
      </c>
      <c r="BH202" s="153" t="n">
        <f aca="false">IF(AND($M202&lt;&gt;"",$N202="VCA",$Q202="LINEAR"),($M202*2)/100,IF(AND($M202&lt;&gt;"",$N202="MND",$Q202="EMBOQUE"),($AN202*2)/100,0))</f>
        <v>1.8328</v>
      </c>
      <c r="BI202" s="153" t="n">
        <f aca="false">IF(AND($M202&lt;&gt;"",$N202="VCA",$Q202="LINEAR"),$M202,IF(AND($M202&lt;&gt;"",$N202="MND",$Q202="EMBOQUE"),$AN202*2,0))</f>
        <v>91.64</v>
      </c>
      <c r="BJ202" s="153" t="n">
        <f aca="false">IF(AND($M202&lt;&gt;"",$N202="VCA",$Q202="LINEAR"),($M202*6.8)/100,IF(AND($M202&lt;&gt;"",$N202="MND",$Q202="EMBOQUE"),($AN202*2*6.8)/100,0))</f>
        <v>6.23152</v>
      </c>
      <c r="BK202" s="153" t="n">
        <f aca="false">IF(AND($M202&lt;&gt;"",$N202="VCA",$Q202="LINEAR"),($M202*2.5)/50,IF(AND($M202&lt;&gt;"",$N202="MND",$Q202="EMBOQUE"),($AN202*2*2.5)/50,0))</f>
        <v>4.582</v>
      </c>
      <c r="BL202" s="157" t="str">
        <f aca="false">K202&amp;J202</f>
        <v>Zona02REDES</v>
      </c>
      <c r="BM202" s="152" t="s">
        <v>2037</v>
      </c>
      <c r="BN202" s="152" t="s">
        <v>1560</v>
      </c>
      <c r="BO202" s="152" t="s">
        <v>2231</v>
      </c>
      <c r="BP202" s="152" t="s">
        <v>2301</v>
      </c>
      <c r="BQ202" s="152" t="s">
        <v>2254</v>
      </c>
      <c r="BR202" s="152" t="s">
        <v>2302</v>
      </c>
      <c r="BS202" s="152" t="n">
        <v>202918.661</v>
      </c>
      <c r="BT202" s="152" t="n">
        <v>8237768.207</v>
      </c>
      <c r="BU202" s="152" t="n">
        <v>202843.924</v>
      </c>
      <c r="BV202" s="152" t="n">
        <v>8237821.236</v>
      </c>
      <c r="BW202" s="152" t="n">
        <v>-15.9213035</v>
      </c>
      <c r="BX202" s="152" t="n">
        <v>-47.7750171</v>
      </c>
      <c r="BY202" s="152" t="s">
        <v>2301</v>
      </c>
    </row>
    <row r="203" customFormat="false" ht="13.8" hidden="false" customHeight="false" outlineLevel="0" collapsed="false">
      <c r="A203" s="149" t="n">
        <f aca="false">IF(C203&lt;&gt;"",ROW(A198),"")</f>
        <v>198</v>
      </c>
      <c r="B203" s="150" t="str">
        <f aca="false">HYPERLINK("https://www.google.com/maps/dir/-15.917302,-47.760003/-15.9213286,-47.7740771/data=!4m3!4m2!3e0!5i2")</f>
        <v>https://www.google.com/maps/dir/-15.917302,-47.760003/-15.9213286,-47.7740771/data=!4m3!4m2!3e0!5i2</v>
      </c>
      <c r="C203" s="151" t="s">
        <v>117</v>
      </c>
      <c r="D203" s="152" t="s">
        <v>112</v>
      </c>
      <c r="E203" s="152" t="s">
        <v>113</v>
      </c>
      <c r="F203" s="152" t="s">
        <v>117</v>
      </c>
      <c r="G203" s="152" t="s">
        <v>114</v>
      </c>
      <c r="H203" s="152" t="n">
        <v>160</v>
      </c>
      <c r="I203" s="152" t="s">
        <v>115</v>
      </c>
      <c r="J203" s="152" t="s">
        <v>6</v>
      </c>
      <c r="K203" s="152" t="s">
        <v>2033</v>
      </c>
      <c r="L203" s="152" t="s">
        <v>120</v>
      </c>
      <c r="M203" s="153" t="n">
        <f aca="false">1.94</f>
        <v>1.94</v>
      </c>
      <c r="N203" s="152" t="s">
        <v>1548</v>
      </c>
      <c r="O203" s="152" t="s">
        <v>1549</v>
      </c>
      <c r="P203" s="152" t="s">
        <v>1550</v>
      </c>
      <c r="Q203" s="152" t="s">
        <v>1551</v>
      </c>
      <c r="R203" s="154" t="s">
        <v>2303</v>
      </c>
      <c r="S203" s="154" t="s">
        <v>1593</v>
      </c>
      <c r="T203" s="155" t="s">
        <v>2227</v>
      </c>
      <c r="U203" s="152" t="str">
        <f aca="false">RIGHT(T203,7)</f>
        <v>008/037</v>
      </c>
      <c r="V203" s="152" t="s">
        <v>1555</v>
      </c>
      <c r="W203" s="156" t="n">
        <v>45882</v>
      </c>
      <c r="X203" s="152" t="s">
        <v>1594</v>
      </c>
      <c r="Y203" s="152"/>
      <c r="Z203" s="152" t="s">
        <v>1557</v>
      </c>
      <c r="AA203" s="153" t="n">
        <v>4</v>
      </c>
      <c r="AB203" s="151" t="s">
        <v>2304</v>
      </c>
      <c r="AC203" s="151" t="s">
        <v>505</v>
      </c>
      <c r="AD203" s="151" t="str">
        <f aca="false">CONCATENATE($C203,$I203,$H203,$N203,$J203,$K203)</f>
        <v>TUBO PEADPEAD160VCAREDESZona02</v>
      </c>
      <c r="AE203" s="153" t="n">
        <f aca="false">IFERROR(INDEX(APOIO_REDES!$A:$W,MATCH($C203&amp;$I203&amp;$H203&amp;$N203&amp;$O203,APOIO_REDES!$W:$W,0),MATCH(AE$5,APOIO_REDES!$5:$5,0)),0)</f>
        <v>1.2</v>
      </c>
      <c r="AF203" s="153" t="n">
        <f aca="false">IFERROR(INDEX(APOIO_REDES!$A:$W,MATCH($C203&amp;$I203&amp;$H203&amp;$N203&amp;$O203,APOIO_REDES!$W:$W,0),MATCH(AF$5,APOIO_REDES!$5:$5,0)),0)</f>
        <v>1.46</v>
      </c>
      <c r="AG203" s="153" t="n">
        <f aca="false">IFERROR(INDEX(APOIO_REDES!$A:$W,MATCH($C203&amp;$I203&amp;$H203&amp;$N203&amp;$O203,APOIO_REDES!$W:$W,0),MATCH(AG$5,APOIO_REDES!$5:$5,0)),0)</f>
        <v>0.75</v>
      </c>
      <c r="AH203" s="153" t="n">
        <f aca="false">IFERROR(INDEX(APOIO_REDES!$A:$W,MATCH($C203&amp;$I203&amp;$H203&amp;$N203&amp;$O203,APOIO_REDES!$W:$W,0),MATCH(AH$5,APOIO_REDES!$5:$5,0)),0)</f>
        <v>0.1</v>
      </c>
      <c r="AI203" s="153" t="n">
        <f aca="false">IFERROR(IF($H203&lt;&gt;"",(((($H203/1000)/2)^2)*PI()*$M203),0),0)</f>
        <v>0.0390060143869709</v>
      </c>
      <c r="AJ203" s="153" t="n">
        <f aca="false">IFERROR(IF(AND($H203&lt;&gt;"",$I203="FoFo",OR($N203="MND",$N203="VCA"),$Q203="LINEAR"),0,IF(AND($H203&lt;&gt;"",$I203="PEAD",$N203="VCA",$Q203="LINEAR"),($H203/1000)+0.3,IF(AND($H203&lt;&gt;"",$I203="PEAD",$N203="MND",$Q203="EMBOQUE"),0,IF(AND($H203&lt;&gt;"",$I203="PVC",$N203="VCA",$Q203="LINEAR"),($H203/1000)+0.2,IF(AND($H203&lt;&gt;"",$I203="PVC",$N203="MND",$Q203="EMBOQUE"),0,IF(AND($H203&lt;&gt;"",$I203="PEAD",$N203="VCA",$Q203="PREDIAL"),0,0)))))),0)</f>
        <v>0.46</v>
      </c>
      <c r="AK203" s="153" t="n">
        <f aca="false">IF(AA203&lt;&gt;"",AA203,0)</f>
        <v>4</v>
      </c>
      <c r="AL203" s="153" t="n">
        <f aca="false">IF(AND($N203="MND",$Q203="EMBOQUE"),$M203,IF(AND($N203="VCA",$Q203="LINEAR"),$M203,IF(AND($N203="VCA",$Q203="PREDIAL"),0,0)))</f>
        <v>1.94</v>
      </c>
      <c r="AM203" s="153" t="n">
        <f aca="false">IF(AND($N203="MND",$Q203="EMBOQUE"),$M203,IF(AND($N203="VCA",$Q203="LINEAR"),$M203,IF(AND($N203="VCA",$Q203="PREDIAL"),0,0)))</f>
        <v>1.94</v>
      </c>
      <c r="AN203" s="153" t="n">
        <f aca="false">ROUND(IF(AND($N203="VCA",$M203&lt;&gt;"",$Q203="LINEAR"),$M203/100,IF(AND($N203="MND",$M203&gt;100,$Q203="EMBOQUE"),$M203/100,0)),0)</f>
        <v>0</v>
      </c>
      <c r="AO203" s="153" t="n">
        <f aca="false">IF(AND($N203="MND",$Q203="EMBOQUE"),$AN203*2*2,IF(AND($N203="VCA",$Q203="LINEAR"),$M203*2,IF(AND($N203="VCA",$Q203="PREDIAL"),0,0)))</f>
        <v>3.88</v>
      </c>
      <c r="AP203" s="153" t="n">
        <f aca="false">IFERROR($M203*$AF203*$AG203,0)</f>
        <v>2.1243</v>
      </c>
      <c r="AQ203" s="153" t="n">
        <f aca="false">IFERROR(IF(AND($N203="VCA",$AH203&gt;0),$M203*$AG203*$AH203,0),0)</f>
        <v>0.1455</v>
      </c>
      <c r="AR203" s="153" t="n">
        <f aca="false">IFERROR(IF(AND($N203="VCA",$AJ203&gt;0),($M203*$AG203*$AJ203)-$AI203,0),0)</f>
        <v>0.630293985613029</v>
      </c>
      <c r="AS203" s="153" t="n">
        <f aca="false">IFERROR(IF(AND($N203="VCA",$AP203&gt;0),$AP203-$AI203-$AQ203-$AR203,0),0)</f>
        <v>1.3095</v>
      </c>
      <c r="AT203" s="153" t="n">
        <f aca="false">IFERROR(IF($N203="VCA",INDEX(APOIO_REDES!$A:$W,MATCH($C203&amp;$I203&amp;$H203&amp;$N203&amp;$O203,APOIO_REDES!$W:$W,0),MATCH(AT$5,APOIO_REDES!$5:$5,0)),0)*$AP203,0)</f>
        <v>0.023113012760705</v>
      </c>
      <c r="AU203" s="153" t="n">
        <f aca="false">IFERROR(IF($N203="VCA",INDEX(APOIO_REDES!$A:$W,MATCH($C203&amp;$I203&amp;$H203&amp;$N203&amp;$O203,APOIO_REDES!$W:$W,0),MATCH(AU$5,APOIO_REDES!$5:$5,0)),0)*$AP203,0)</f>
        <v>0.0184574260109264</v>
      </c>
      <c r="AV203" s="153" t="n">
        <f aca="false">IFERROR(IF($N203="VCA",INDEX(APOIO_REDES!$A:$W,MATCH($C203&amp;$I203&amp;$H203&amp;$N203&amp;$O203,APOIO_REDES!$W:$W,0),MATCH(AV$5,APOIO_REDES!$5:$5,0)),0)*$AP203,0)</f>
        <v>0.00255436286343691</v>
      </c>
      <c r="AW203" s="153" t="n">
        <f aca="false">IFERROR(IF($N203="VCA",INDEX(APOIO_REDES!$A:$W,MATCH($C203&amp;$I203&amp;$H203&amp;$N203&amp;$O203,APOIO_REDES!$W:$W,0),MATCH(AW$5,APOIO_REDES!$5:$5,0)),0)*$AP203,0)</f>
        <v>1.4581359798796</v>
      </c>
      <c r="AX203" s="153" t="n">
        <f aca="false">IFERROR(IF($N203="VCA",INDEX(APOIO_REDES!$A:$W,MATCH($C203&amp;$I203&amp;$H203&amp;$N203&amp;$O203,APOIO_REDES!$W:$W,0),MATCH(AX$5,APOIO_REDES!$5:$5,0)),0)*$AP203,0)</f>
        <v>0.201801866036376</v>
      </c>
      <c r="AY203" s="153" t="n">
        <f aca="false">IFERROR(IF($N203="VCA",INDEX(APOIO_REDES!$A:$W,MATCH($C203&amp;$I203&amp;$H203&amp;$N203&amp;$O203,APOIO_REDES!$W:$W,0),MATCH(AY$5,APOIO_REDES!$5:$5,0)),0)*$AP203,0)</f>
        <v>0.369148295224001</v>
      </c>
      <c r="AZ203" s="153" t="n">
        <f aca="false">IFERROR(IF($N203="VCA",INDEX(APOIO_REDES!$A:$W,MATCH($C203&amp;$I203&amp;$H203&amp;$N203&amp;$O203,APOIO_REDES!$W:$W,0),MATCH(AZ$5,APOIO_REDES!$5:$5,0)),0)*$AP203,0)</f>
        <v>0.0510890572249531</v>
      </c>
      <c r="BA203" s="153" t="n">
        <f aca="false">IFERROR(IF(AND($N203="VCA",$Q203="LINEAR"),INDEX(APOIO_REDES!$A:$W,MATCH($C203&amp;$I203&amp;$H203&amp;$N203&amp;$O203,APOIO_REDES!$W:$W,0),MATCH(BA$5,APOIO_REDES!$5:$5,0)),IF(AND($N203="MND",$Q203="EMBOQUE"),INDEX(APOIO_REDES!$A:$W,MATCH($C203&amp;$I203&amp;$H203&amp;$N203&amp;$O203,APOIO_REDES!$W:$W,0),MATCH(BA$5,APOIO_REDES!$5:$5,0)),0))*$M203/10,0)</f>
        <v>0.156359106504774</v>
      </c>
      <c r="BB203" s="153" t="n">
        <f aca="false">IFERROR(IF($N203="VCA",INDEX(APOIO_REDES!$A:$W,MATCH($C203&amp;$I203&amp;$H203&amp;$N203&amp;$O203,APOIO_REDES!$W:$W,0),MATCH(BB$5,APOIO_REDES!$5:$5,0)),0)*($AI203+$AQ203+$AR203),0)</f>
        <v>0.805934734831511</v>
      </c>
      <c r="BC203" s="153" t="n">
        <f aca="false">IFERROR(IF($N203="VCA",INDEX(APOIO_REDES!$A:$W,MATCH($C203&amp;$I203&amp;$H203&amp;$N203&amp;$O203,APOIO_REDES!$W:$W,0),MATCH(BC$5,APOIO_REDES!$5:$5,0)),0)*($AI203+$AQ203+$AR203),0)</f>
        <v>0.00886526516848958</v>
      </c>
      <c r="BD203" s="153" t="n">
        <f aca="false">IF(AND($N203="VCA",$AF203&gt;=1.25,$AF203&lt;1.5),$M203*$AF203*2,0)</f>
        <v>5.6648</v>
      </c>
      <c r="BE203" s="153" t="n">
        <f aca="false">IF(AND($N203="VCA",$AF203&gt;=1.5,$AF203&lt;3),$M203*$AF203*2,0)</f>
        <v>0</v>
      </c>
      <c r="BF203" s="153" t="n">
        <f aca="false">IF(AND($N203="VCA",$AF203&gt;=3),$M203*$AF203*2,0)</f>
        <v>0</v>
      </c>
      <c r="BG203" s="153" t="n">
        <f aca="false">($BB203+$BC203)*$AK203</f>
        <v>3.2592</v>
      </c>
      <c r="BH203" s="153" t="n">
        <f aca="false">IF(AND($M203&lt;&gt;"",$N203="VCA",$Q203="LINEAR"),($M203*2)/100,IF(AND($M203&lt;&gt;"",$N203="MND",$Q203="EMBOQUE"),($AN203*2)/100,0))</f>
        <v>0.0388</v>
      </c>
      <c r="BI203" s="153" t="n">
        <f aca="false">IF(AND($M203&lt;&gt;"",$N203="VCA",$Q203="LINEAR"),$M203,IF(AND($M203&lt;&gt;"",$N203="MND",$Q203="EMBOQUE"),$AN203*2,0))</f>
        <v>1.94</v>
      </c>
      <c r="BJ203" s="153" t="n">
        <f aca="false">IF(AND($M203&lt;&gt;"",$N203="VCA",$Q203="LINEAR"),($M203*6.8)/100,IF(AND($M203&lt;&gt;"",$N203="MND",$Q203="EMBOQUE"),($AN203*2*6.8)/100,0))</f>
        <v>0.13192</v>
      </c>
      <c r="BK203" s="153" t="n">
        <f aca="false">IF(AND($M203&lt;&gt;"",$N203="VCA",$Q203="LINEAR"),($M203*2.5)/50,IF(AND($M203&lt;&gt;"",$N203="MND",$Q203="EMBOQUE"),($AN203*2*2.5)/50,0))</f>
        <v>0.097</v>
      </c>
      <c r="BL203" s="157" t="str">
        <f aca="false">K203&amp;J203</f>
        <v>Zona02REDES</v>
      </c>
      <c r="BM203" s="152" t="s">
        <v>2037</v>
      </c>
      <c r="BN203" s="152" t="s">
        <v>1560</v>
      </c>
      <c r="BO203" s="152" t="s">
        <v>2231</v>
      </c>
      <c r="BP203" s="152" t="s">
        <v>2298</v>
      </c>
      <c r="BQ203" s="152" t="s">
        <v>2235</v>
      </c>
      <c r="BR203" s="152" t="s">
        <v>2274</v>
      </c>
      <c r="BS203" s="152" t="n">
        <v>202982.015</v>
      </c>
      <c r="BT203" s="152" t="n">
        <v>8237793.244</v>
      </c>
      <c r="BU203" s="152" t="n">
        <v>202983.748</v>
      </c>
      <c r="BV203" s="152" t="n">
        <v>8237792.369</v>
      </c>
      <c r="BW203" s="152" t="n">
        <v>-15.9213326</v>
      </c>
      <c r="BX203" s="152" t="n">
        <v>-47.7740691</v>
      </c>
      <c r="BY203" s="152" t="s">
        <v>2298</v>
      </c>
    </row>
    <row r="204" customFormat="false" ht="13.8" hidden="false" customHeight="false" outlineLevel="0" collapsed="false">
      <c r="A204" s="149" t="n">
        <f aca="false">IF(C204&lt;&gt;"",ROW(A199),"")</f>
        <v>199</v>
      </c>
      <c r="B204" s="150" t="str">
        <f aca="false">HYPERLINK("https://www.google.com/maps/dir/-15.917302,-47.760003/-15.9213074,-47.7765997/data=!4m3!4m2!3e0!5i1")</f>
        <v>https://www.google.com/maps/dir/-15.917302,-47.760003/-15.9213074,-47.7765997/data=!4m3!4m2!3e0!5i1</v>
      </c>
      <c r="C204" s="151" t="s">
        <v>117</v>
      </c>
      <c r="D204" s="152" t="s">
        <v>112</v>
      </c>
      <c r="E204" s="152" t="s">
        <v>113</v>
      </c>
      <c r="F204" s="152" t="s">
        <v>117</v>
      </c>
      <c r="G204" s="152" t="s">
        <v>782</v>
      </c>
      <c r="H204" s="152" t="n">
        <v>63</v>
      </c>
      <c r="I204" s="152" t="s">
        <v>115</v>
      </c>
      <c r="J204" s="152" t="s">
        <v>6</v>
      </c>
      <c r="K204" s="152" t="s">
        <v>2033</v>
      </c>
      <c r="L204" s="152" t="s">
        <v>120</v>
      </c>
      <c r="M204" s="153" t="n">
        <f aca="false">4.44</f>
        <v>4.44</v>
      </c>
      <c r="N204" s="152" t="s">
        <v>1548</v>
      </c>
      <c r="O204" s="152" t="s">
        <v>1549</v>
      </c>
      <c r="P204" s="152" t="s">
        <v>1550</v>
      </c>
      <c r="Q204" s="152" t="s">
        <v>1551</v>
      </c>
      <c r="R204" s="154" t="s">
        <v>2305</v>
      </c>
      <c r="S204" s="154" t="s">
        <v>1553</v>
      </c>
      <c r="T204" s="155" t="s">
        <v>2227</v>
      </c>
      <c r="U204" s="152" t="str">
        <f aca="false">RIGHT(T204,7)</f>
        <v>008/037</v>
      </c>
      <c r="V204" s="152" t="s">
        <v>1555</v>
      </c>
      <c r="W204" s="156" t="n">
        <v>45882</v>
      </c>
      <c r="X204" s="152" t="s">
        <v>1594</v>
      </c>
      <c r="Y204" s="152"/>
      <c r="Z204" s="152" t="s">
        <v>1557</v>
      </c>
      <c r="AA204" s="153" t="n">
        <v>4.1</v>
      </c>
      <c r="AB204" s="151" t="s">
        <v>2306</v>
      </c>
      <c r="AC204" s="151" t="s">
        <v>186</v>
      </c>
      <c r="AD204" s="151" t="str">
        <f aca="false">CONCATENATE($C204,$I204,$H204,$N204,$J204,$K204)</f>
        <v>TUBO PEADPEAD63VCAREDESZona02</v>
      </c>
      <c r="AE204" s="153" t="n">
        <f aca="false">IFERROR(INDEX(APOIO_REDES!$A:$W,MATCH($C204&amp;$I204&amp;$H204&amp;$N204&amp;$O204,APOIO_REDES!$W:$W,0),MATCH(AE$5,APOIO_REDES!$5:$5,0)),0)</f>
        <v>1.2</v>
      </c>
      <c r="AF204" s="153" t="n">
        <f aca="false">IFERROR(INDEX(APOIO_REDES!$A:$W,MATCH($C204&amp;$I204&amp;$H204&amp;$N204&amp;$O204,APOIO_REDES!$W:$W,0),MATCH(AF$5,APOIO_REDES!$5:$5,0)),0)</f>
        <v>1.363</v>
      </c>
      <c r="AG204" s="153" t="n">
        <f aca="false">IFERROR(INDEX(APOIO_REDES!$A:$W,MATCH($C204&amp;$I204&amp;$H204&amp;$N204&amp;$O204,APOIO_REDES!$W:$W,0),MATCH(AG$5,APOIO_REDES!$5:$5,0)),0)</f>
        <v>0.65</v>
      </c>
      <c r="AH204" s="153" t="n">
        <f aca="false">IFERROR(INDEX(APOIO_REDES!$A:$W,MATCH($C204&amp;$I204&amp;$H204&amp;$N204&amp;$O204,APOIO_REDES!$W:$W,0),MATCH(AH$5,APOIO_REDES!$5:$5,0)),0)</f>
        <v>0.1</v>
      </c>
      <c r="AI204" s="153" t="n">
        <f aca="false">IFERROR(IF($H204&lt;&gt;"",(((($H204/1000)/2)^2)*PI()*$M204),0),0)</f>
        <v>0.0138405691787287</v>
      </c>
      <c r="AJ204" s="153" t="n">
        <f aca="false">IFERROR(IF(AND($H204&lt;&gt;"",$I204="FoFo",OR($N204="MND",$N204="VCA"),$Q204="LINEAR"),0,IF(AND($H204&lt;&gt;"",$I204="PEAD",$N204="VCA",$Q204="LINEAR"),($H204/1000)+0.3,IF(AND($H204&lt;&gt;"",$I204="PEAD",$N204="MND",$Q204="EMBOQUE"),0,IF(AND($H204&lt;&gt;"",$I204="PVC",$N204="VCA",$Q204="LINEAR"),($H204/1000)+0.2,IF(AND($H204&lt;&gt;"",$I204="PVC",$N204="MND",$Q204="EMBOQUE"),0,IF(AND($H204&lt;&gt;"",$I204="PEAD",$N204="VCA",$Q204="PREDIAL"),0,0)))))),0)</f>
        <v>0.363</v>
      </c>
      <c r="AK204" s="153" t="n">
        <f aca="false">IF(AA204&lt;&gt;"",AA204,0)</f>
        <v>4.1</v>
      </c>
      <c r="AL204" s="153" t="n">
        <f aca="false">IF(AND($N204="MND",$Q204="EMBOQUE"),$M204,IF(AND($N204="VCA",$Q204="LINEAR"),$M204,IF(AND($N204="VCA",$Q204="PREDIAL"),0,0)))</f>
        <v>4.44</v>
      </c>
      <c r="AM204" s="153" t="n">
        <f aca="false">IF(AND($N204="MND",$Q204="EMBOQUE"),$M204,IF(AND($N204="VCA",$Q204="LINEAR"),$M204,IF(AND($N204="VCA",$Q204="PREDIAL"),0,0)))</f>
        <v>4.44</v>
      </c>
      <c r="AN204" s="153" t="n">
        <f aca="false">ROUND(IF(AND($N204="VCA",$M204&lt;&gt;"",$Q204="LINEAR"),$M204/100,IF(AND($N204="MND",$M204&gt;100,$Q204="EMBOQUE"),$M204/100,0)),0)</f>
        <v>0</v>
      </c>
      <c r="AO204" s="153" t="n">
        <f aca="false">IF(AND($N204="MND",$Q204="EMBOQUE"),$AN204*2*2,IF(AND($N204="VCA",$Q204="LINEAR"),$M204*2,IF(AND($N204="VCA",$Q204="PREDIAL"),0,0)))</f>
        <v>8.88</v>
      </c>
      <c r="AP204" s="153" t="n">
        <f aca="false">IFERROR($M204*$AF204*$AG204,0)</f>
        <v>3.933618</v>
      </c>
      <c r="AQ204" s="153" t="n">
        <f aca="false">IFERROR(IF(AND($N204="VCA",$AH204&gt;0),$M204*$AG204*$AH204,0),0)</f>
        <v>0.2886</v>
      </c>
      <c r="AR204" s="153" t="n">
        <f aca="false">IFERROR(IF(AND($N204="VCA",$AJ204&gt;0),($M204*$AG204*$AJ204)-$AI204,0),0)</f>
        <v>1.03377743082127</v>
      </c>
      <c r="AS204" s="153" t="n">
        <f aca="false">IFERROR(IF(AND($N204="VCA",$AP204&gt;0),$AP204-$AI204-$AQ204-$AR204,0),0)</f>
        <v>2.5974</v>
      </c>
      <c r="AT204" s="153" t="n">
        <f aca="false">IFERROR(IF($N204="VCA",INDEX(APOIO_REDES!$A:$W,MATCH($C204&amp;$I204&amp;$H204&amp;$N204&amp;$O204,APOIO_REDES!$W:$W,0),MATCH(AT$5,APOIO_REDES!$5:$5,0)),0)*$AP204,0)</f>
        <v>0.0427989281314969</v>
      </c>
      <c r="AU204" s="153" t="n">
        <f aca="false">IFERROR(IF($N204="VCA",INDEX(APOIO_REDES!$A:$W,MATCH($C204&amp;$I204&amp;$H204&amp;$N204&amp;$O204,APOIO_REDES!$W:$W,0),MATCH(AU$5,APOIO_REDES!$5:$5,0)),0)*$AP204,0)</f>
        <v>0.0341780648638366</v>
      </c>
      <c r="AV204" s="153" t="n">
        <f aca="false">IFERROR(IF($N204="VCA",INDEX(APOIO_REDES!$A:$W,MATCH($C204&amp;$I204&amp;$H204&amp;$N204&amp;$O204,APOIO_REDES!$W:$W,0),MATCH(AV$5,APOIO_REDES!$5:$5,0)),0)*$AP204,0)</f>
        <v>0.00472997586882596</v>
      </c>
      <c r="AW204" s="153" t="n">
        <f aca="false">IFERROR(IF($N204="VCA",INDEX(APOIO_REDES!$A:$W,MATCH($C204&amp;$I204&amp;$H204&amp;$N204&amp;$O204,APOIO_REDES!$W:$W,0),MATCH(AW$5,APOIO_REDES!$5:$5,0)),0)*$AP204,0)</f>
        <v>2.70006587435957</v>
      </c>
      <c r="AX204" s="153" t="n">
        <f aca="false">IFERROR(IF($N204="VCA",INDEX(APOIO_REDES!$A:$W,MATCH($C204&amp;$I204&amp;$H204&amp;$N204&amp;$O204,APOIO_REDES!$W:$W,0),MATCH(AX$5,APOIO_REDES!$5:$5,0)),0)*$AP204,0)</f>
        <v>0.373681425728134</v>
      </c>
      <c r="AY204" s="153" t="n">
        <f aca="false">IFERROR(IF($N204="VCA",INDEX(APOIO_REDES!$A:$W,MATCH($C204&amp;$I204&amp;$H204&amp;$N204&amp;$O204,APOIO_REDES!$W:$W,0),MATCH(AY$5,APOIO_REDES!$5:$5,0)),0)*$AP204,0)</f>
        <v>0.683560880648893</v>
      </c>
      <c r="AZ204" s="153" t="n">
        <f aca="false">IFERROR(IF($N204="VCA",INDEX(APOIO_REDES!$A:$W,MATCH($C204&amp;$I204&amp;$H204&amp;$N204&amp;$O204,APOIO_REDES!$W:$W,0),MATCH(AZ$5,APOIO_REDES!$5:$5,0)),0)*$AP204,0)</f>
        <v>0.0946028503992401</v>
      </c>
      <c r="BA204" s="153" t="n">
        <f aca="false">IFERROR(IF(AND($N204="VCA",$Q204="LINEAR"),INDEX(APOIO_REDES!$A:$W,MATCH($C204&amp;$I204&amp;$H204&amp;$N204&amp;$O204,APOIO_REDES!$W:$W,0),MATCH(BA$5,APOIO_REDES!$5:$5,0)),IF(AND($N204="MND",$Q204="EMBOQUE"),INDEX(APOIO_REDES!$A:$W,MATCH($C204&amp;$I204&amp;$H204&amp;$N204&amp;$O204,APOIO_REDES!$W:$W,0),MATCH(BA$5,APOIO_REDES!$5:$5,0)),0))*$M204/10,0)</f>
        <v>0.357852800454225</v>
      </c>
      <c r="BB204" s="153" t="n">
        <f aca="false">IFERROR(IF($N204="VCA",INDEX(APOIO_REDES!$A:$W,MATCH($C204&amp;$I204&amp;$H204&amp;$N204&amp;$O204,APOIO_REDES!$W:$W,0),MATCH(BB$5,APOIO_REDES!$5:$5,0)),0)*($AI204+$AQ204+$AR204),0)</f>
        <v>1.32167955265966</v>
      </c>
      <c r="BC204" s="153" t="n">
        <f aca="false">IFERROR(IF($N204="VCA",INDEX(APOIO_REDES!$A:$W,MATCH($C204&amp;$I204&amp;$H204&amp;$N204&amp;$O204,APOIO_REDES!$W:$W,0),MATCH(BC$5,APOIO_REDES!$5:$5,0)),0)*($AI204+$AQ204+$AR204),0)</f>
        <v>0.0145384473403397</v>
      </c>
      <c r="BD204" s="153" t="n">
        <f aca="false">IF(AND($N204="VCA",$AF204&gt;=1.25,$AF204&lt;1.5),$M204*$AF204*2,0)</f>
        <v>12.10344</v>
      </c>
      <c r="BE204" s="153" t="n">
        <f aca="false">IF(AND($N204="VCA",$AF204&gt;=1.5,$AF204&lt;3),$M204*$AF204*2,0)</f>
        <v>0</v>
      </c>
      <c r="BF204" s="153" t="n">
        <f aca="false">IF(AND($N204="VCA",$AF204&gt;=3),$M204*$AF204*2,0)</f>
        <v>0</v>
      </c>
      <c r="BG204" s="153" t="n">
        <f aca="false">($BB204+$BC204)*$AK204</f>
        <v>5.4784938</v>
      </c>
      <c r="BH204" s="153" t="n">
        <f aca="false">IF(AND($M204&lt;&gt;"",$N204="VCA",$Q204="LINEAR"),($M204*2)/100,IF(AND($M204&lt;&gt;"",$N204="MND",$Q204="EMBOQUE"),($AN204*2)/100,0))</f>
        <v>0.0888</v>
      </c>
      <c r="BI204" s="153" t="n">
        <f aca="false">IF(AND($M204&lt;&gt;"",$N204="VCA",$Q204="LINEAR"),$M204,IF(AND($M204&lt;&gt;"",$N204="MND",$Q204="EMBOQUE"),$AN204*2,0))</f>
        <v>4.44</v>
      </c>
      <c r="BJ204" s="153" t="n">
        <f aca="false">IF(AND($M204&lt;&gt;"",$N204="VCA",$Q204="LINEAR"),($M204*6.8)/100,IF(AND($M204&lt;&gt;"",$N204="MND",$Q204="EMBOQUE"),($AN204*2*6.8)/100,0))</f>
        <v>0.30192</v>
      </c>
      <c r="BK204" s="153" t="n">
        <f aca="false">IF(AND($M204&lt;&gt;"",$N204="VCA",$Q204="LINEAR"),($M204*2.5)/50,IF(AND($M204&lt;&gt;"",$N204="MND",$Q204="EMBOQUE"),($AN204*2*2.5)/50,0))</f>
        <v>0.222</v>
      </c>
      <c r="BL204" s="157" t="str">
        <f aca="false">K204&amp;J204</f>
        <v>Zona02REDES</v>
      </c>
      <c r="BM204" s="152" t="s">
        <v>2037</v>
      </c>
      <c r="BN204" s="152" t="s">
        <v>1560</v>
      </c>
      <c r="BO204" s="152" t="s">
        <v>2231</v>
      </c>
      <c r="BP204" s="152" t="s">
        <v>2291</v>
      </c>
      <c r="BQ204" s="152" t="s">
        <v>2307</v>
      </c>
      <c r="BR204" s="152" t="s">
        <v>2280</v>
      </c>
      <c r="BS204" s="152" t="n">
        <v>202711.715</v>
      </c>
      <c r="BT204" s="152" t="n">
        <v>8237791.989</v>
      </c>
      <c r="BU204" s="152" t="n">
        <v>202709.153</v>
      </c>
      <c r="BV204" s="152" t="n">
        <v>8237788.359</v>
      </c>
      <c r="BW204" s="152" t="n">
        <v>-15.9213237</v>
      </c>
      <c r="BX204" s="152" t="n">
        <v>-47.7766119</v>
      </c>
      <c r="BY204" s="152" t="s">
        <v>2291</v>
      </c>
    </row>
    <row r="205" customFormat="false" ht="13.8" hidden="false" customHeight="false" outlineLevel="0" collapsed="false">
      <c r="A205" s="149" t="n">
        <f aca="false">IF(C205&lt;&gt;"",ROW(A200),"")</f>
        <v>200</v>
      </c>
      <c r="B205" s="150" t="str">
        <f aca="false">HYPERLINK("https://www.google.com/maps/dir/-15.917302,-47.760003/-15.9213399,-47.7766240/data=!4m3!4m2!3e0!5i1")</f>
        <v>https://www.google.com/maps/dir/-15.917302,-47.760003/-15.9213399,-47.7766240/data=!4m3!4m2!3e0!5i1</v>
      </c>
      <c r="C205" s="151" t="s">
        <v>117</v>
      </c>
      <c r="D205" s="152" t="s">
        <v>112</v>
      </c>
      <c r="E205" s="152" t="s">
        <v>113</v>
      </c>
      <c r="F205" s="152" t="s">
        <v>117</v>
      </c>
      <c r="G205" s="152" t="s">
        <v>782</v>
      </c>
      <c r="H205" s="152" t="n">
        <v>63</v>
      </c>
      <c r="I205" s="152" t="s">
        <v>115</v>
      </c>
      <c r="J205" s="152" t="s">
        <v>6</v>
      </c>
      <c r="K205" s="152" t="s">
        <v>2033</v>
      </c>
      <c r="L205" s="152" t="s">
        <v>120</v>
      </c>
      <c r="M205" s="153" t="n">
        <f aca="false">17.59+1</f>
        <v>18.59</v>
      </c>
      <c r="N205" s="152" t="s">
        <v>1548</v>
      </c>
      <c r="O205" s="152" t="s">
        <v>1549</v>
      </c>
      <c r="P205" s="152" t="s">
        <v>1550</v>
      </c>
      <c r="Q205" s="152" t="s">
        <v>1551</v>
      </c>
      <c r="R205" s="154" t="s">
        <v>2308</v>
      </c>
      <c r="S205" s="154" t="s">
        <v>1553</v>
      </c>
      <c r="T205" s="155" t="s">
        <v>2227</v>
      </c>
      <c r="U205" s="152" t="str">
        <f aca="false">RIGHT(T205,7)</f>
        <v>008/037</v>
      </c>
      <c r="V205" s="152" t="s">
        <v>1555</v>
      </c>
      <c r="W205" s="156" t="n">
        <v>45882</v>
      </c>
      <c r="X205" s="152" t="s">
        <v>1594</v>
      </c>
      <c r="Y205" s="152"/>
      <c r="Z205" s="152" t="s">
        <v>1557</v>
      </c>
      <c r="AA205" s="153" t="n">
        <v>4.1</v>
      </c>
      <c r="AB205" s="151" t="s">
        <v>2309</v>
      </c>
      <c r="AC205" s="151" t="s">
        <v>186</v>
      </c>
      <c r="AD205" s="151" t="str">
        <f aca="false">CONCATENATE($C205,$I205,$H205,$N205,$J205,$K205)</f>
        <v>TUBO PEADPEAD63VCAREDESZona02</v>
      </c>
      <c r="AE205" s="153" t="n">
        <f aca="false">IFERROR(INDEX(APOIO_REDES!$A:$W,MATCH($C205&amp;$I205&amp;$H205&amp;$N205&amp;$O205,APOIO_REDES!$W:$W,0),MATCH(AE$5,APOIO_REDES!$5:$5,0)),0)</f>
        <v>1.2</v>
      </c>
      <c r="AF205" s="153" t="n">
        <f aca="false">IFERROR(INDEX(APOIO_REDES!$A:$W,MATCH($C205&amp;$I205&amp;$H205&amp;$N205&amp;$O205,APOIO_REDES!$W:$W,0),MATCH(AF$5,APOIO_REDES!$5:$5,0)),0)</f>
        <v>1.363</v>
      </c>
      <c r="AG205" s="153" t="n">
        <f aca="false">IFERROR(INDEX(APOIO_REDES!$A:$W,MATCH($C205&amp;$I205&amp;$H205&amp;$N205&amp;$O205,APOIO_REDES!$W:$W,0),MATCH(AG$5,APOIO_REDES!$5:$5,0)),0)</f>
        <v>0.65</v>
      </c>
      <c r="AH205" s="153" t="n">
        <f aca="false">IFERROR(INDEX(APOIO_REDES!$A:$W,MATCH($C205&amp;$I205&amp;$H205&amp;$N205&amp;$O205,APOIO_REDES!$W:$W,0),MATCH(AH$5,APOIO_REDES!$5:$5,0)),0)</f>
        <v>0.1</v>
      </c>
      <c r="AI205" s="153" t="n">
        <f aca="false">IFERROR(IF($H205&lt;&gt;"",(((($H205/1000)/2)^2)*PI()*$M205),0),0)</f>
        <v>0.0579495903226499</v>
      </c>
      <c r="AJ205" s="153" t="n">
        <f aca="false">IFERROR(IF(AND($H205&lt;&gt;"",$I205="FoFo",OR($N205="MND",$N205="VCA"),$Q205="LINEAR"),0,IF(AND($H205&lt;&gt;"",$I205="PEAD",$N205="VCA",$Q205="LINEAR"),($H205/1000)+0.3,IF(AND($H205&lt;&gt;"",$I205="PEAD",$N205="MND",$Q205="EMBOQUE"),0,IF(AND($H205&lt;&gt;"",$I205="PVC",$N205="VCA",$Q205="LINEAR"),($H205/1000)+0.2,IF(AND($H205&lt;&gt;"",$I205="PVC",$N205="MND",$Q205="EMBOQUE"),0,IF(AND($H205&lt;&gt;"",$I205="PEAD",$N205="VCA",$Q205="PREDIAL"),0,0)))))),0)</f>
        <v>0.363</v>
      </c>
      <c r="AK205" s="153" t="n">
        <f aca="false">IF(AA205&lt;&gt;"",AA205,0)</f>
        <v>4.1</v>
      </c>
      <c r="AL205" s="153" t="n">
        <f aca="false">IF(AND($N205="MND",$Q205="EMBOQUE"),$M205,IF(AND($N205="VCA",$Q205="LINEAR"),$M205,IF(AND($N205="VCA",$Q205="PREDIAL"),0,0)))</f>
        <v>18.59</v>
      </c>
      <c r="AM205" s="153" t="n">
        <f aca="false">IF(AND($N205="MND",$Q205="EMBOQUE"),$M205,IF(AND($N205="VCA",$Q205="LINEAR"),$M205,IF(AND($N205="VCA",$Q205="PREDIAL"),0,0)))</f>
        <v>18.59</v>
      </c>
      <c r="AN205" s="153" t="n">
        <f aca="false">ROUND(IF(AND($N205="VCA",$M205&lt;&gt;"",$Q205="LINEAR"),$M205/100,IF(AND($N205="MND",$M205&gt;100,$Q205="EMBOQUE"),$M205/100,0)),0)</f>
        <v>0</v>
      </c>
      <c r="AO205" s="153" t="n">
        <f aca="false">IF(AND($N205="MND",$Q205="EMBOQUE"),$AN205*2*2,IF(AND($N205="VCA",$Q205="LINEAR"),$M205*2,IF(AND($N205="VCA",$Q205="PREDIAL"),0,0)))</f>
        <v>37.18</v>
      </c>
      <c r="AP205" s="153" t="n">
        <f aca="false">IFERROR($M205*$AF205*$AG205,0)</f>
        <v>16.4698105</v>
      </c>
      <c r="AQ205" s="153" t="n">
        <f aca="false">IFERROR(IF(AND($N205="VCA",$AH205&gt;0),$M205*$AG205*$AH205,0),0)</f>
        <v>1.20835</v>
      </c>
      <c r="AR205" s="153" t="n">
        <f aca="false">IFERROR(IF(AND($N205="VCA",$AJ205&gt;0),($M205*$AG205*$AJ205)-$AI205,0),0)</f>
        <v>4.32836090967735</v>
      </c>
      <c r="AS205" s="153" t="n">
        <f aca="false">IFERROR(IF(AND($N205="VCA",$AP205&gt;0),$AP205-$AI205-$AQ205-$AR205,0),0)</f>
        <v>10.87515</v>
      </c>
      <c r="AT205" s="153" t="n">
        <f aca="false">IFERROR(IF($N205="VCA",INDEX(APOIO_REDES!$A:$W,MATCH($C205&amp;$I205&amp;$H205&amp;$N205&amp;$O205,APOIO_REDES!$W:$W,0),MATCH(AT$5,APOIO_REDES!$5:$5,0)),0)*$AP205,0)</f>
        <v>0.179196413055074</v>
      </c>
      <c r="AU205" s="153" t="n">
        <f aca="false">IFERROR(IF($N205="VCA",INDEX(APOIO_REDES!$A:$W,MATCH($C205&amp;$I205&amp;$H205&amp;$N205&amp;$O205,APOIO_REDES!$W:$W,0),MATCH(AU$5,APOIO_REDES!$5:$5,0)),0)*$AP205,0)</f>
        <v>0.143101402211424</v>
      </c>
      <c r="AV205" s="153" t="n">
        <f aca="false">IFERROR(IF($N205="VCA",INDEX(APOIO_REDES!$A:$W,MATCH($C205&amp;$I205&amp;$H205&amp;$N205&amp;$O205,APOIO_REDES!$W:$W,0),MATCH(AV$5,APOIO_REDES!$5:$5,0)),0)*$AP205,0)</f>
        <v>0.0198041106760078</v>
      </c>
      <c r="AW205" s="153" t="n">
        <f aca="false">IFERROR(IF($N205="VCA",INDEX(APOIO_REDES!$A:$W,MATCH($C205&amp;$I205&amp;$H205&amp;$N205&amp;$O205,APOIO_REDES!$W:$W,0),MATCH(AW$5,APOIO_REDES!$5:$5,0)),0)*$AP205,0)</f>
        <v>11.305005541519</v>
      </c>
      <c r="AX205" s="153" t="n">
        <f aca="false">IFERROR(IF($N205="VCA",INDEX(APOIO_REDES!$A:$W,MATCH($C205&amp;$I205&amp;$H205&amp;$N205&amp;$O205,APOIO_REDES!$W:$W,0),MATCH(AX$5,APOIO_REDES!$5:$5,0)),0)*$AP205,0)</f>
        <v>1.56458056402838</v>
      </c>
      <c r="AY205" s="153" t="n">
        <f aca="false">IFERROR(IF($N205="VCA",INDEX(APOIO_REDES!$A:$W,MATCH($C205&amp;$I205&amp;$H205&amp;$N205&amp;$O205,APOIO_REDES!$W:$W,0),MATCH(AY$5,APOIO_REDES!$5:$5,0)),0)*$AP205,0)</f>
        <v>2.86202629983399</v>
      </c>
      <c r="AZ205" s="153" t="n">
        <f aca="false">IFERROR(IF($N205="VCA",INDEX(APOIO_REDES!$A:$W,MATCH($C205&amp;$I205&amp;$H205&amp;$N205&amp;$O205,APOIO_REDES!$W:$W,0),MATCH(AZ$5,APOIO_REDES!$5:$5,0)),0)*$AP205,0)</f>
        <v>0.396096168676097</v>
      </c>
      <c r="BA205" s="153" t="n">
        <f aca="false">IFERROR(IF(AND($N205="VCA",$Q205="LINEAR"),INDEX(APOIO_REDES!$A:$W,MATCH($C205&amp;$I205&amp;$H205&amp;$N205&amp;$O205,APOIO_REDES!$W:$W,0),MATCH(BA$5,APOIO_REDES!$5:$5,0)),IF(AND($N205="MND",$Q205="EMBOQUE"),INDEX(APOIO_REDES!$A:$W,MATCH($C205&amp;$I205&amp;$H205&amp;$N205&amp;$O205,APOIO_REDES!$W:$W,0),MATCH(BA$5,APOIO_REDES!$5:$5,0)),0))*$M205/10,0)</f>
        <v>1.49830710820812</v>
      </c>
      <c r="BB205" s="153" t="n">
        <f aca="false">IFERROR(IF($N205="VCA",INDEX(APOIO_REDES!$A:$W,MATCH($C205&amp;$I205&amp;$H205&amp;$N205&amp;$O205,APOIO_REDES!$W:$W,0),MATCH(BB$5,APOIO_REDES!$5:$5,0)),0)*($AI205+$AQ205+$AR205),0)</f>
        <v>5.53378893782502</v>
      </c>
      <c r="BC205" s="153" t="n">
        <f aca="false">IFERROR(IF($N205="VCA",INDEX(APOIO_REDES!$A:$W,MATCH($C205&amp;$I205&amp;$H205&amp;$N205&amp;$O205,APOIO_REDES!$W:$W,0),MATCH(BC$5,APOIO_REDES!$5:$5,0)),0)*($AI205+$AQ205+$AR205),0)</f>
        <v>0.060871562174981</v>
      </c>
      <c r="BD205" s="153" t="n">
        <f aca="false">IF(AND($N205="VCA",$AF205&gt;=1.25,$AF205&lt;1.5),$M205*$AF205*2,0)</f>
        <v>50.67634</v>
      </c>
      <c r="BE205" s="153" t="n">
        <f aca="false">IF(AND($N205="VCA",$AF205&gt;=1.5,$AF205&lt;3),$M205*$AF205*2,0)</f>
        <v>0</v>
      </c>
      <c r="BF205" s="153" t="n">
        <f aca="false">IF(AND($N205="VCA",$AF205&gt;=3),$M205*$AF205*2,0)</f>
        <v>0</v>
      </c>
      <c r="BG205" s="153" t="n">
        <f aca="false">($BB205+$BC205)*$AK205</f>
        <v>22.93810805</v>
      </c>
      <c r="BH205" s="153" t="n">
        <f aca="false">IF(AND($M205&lt;&gt;"",$N205="VCA",$Q205="LINEAR"),($M205*2)/100,IF(AND($M205&lt;&gt;"",$N205="MND",$Q205="EMBOQUE"),($AN205*2)/100,0))</f>
        <v>0.3718</v>
      </c>
      <c r="BI205" s="153" t="n">
        <f aca="false">IF(AND($M205&lt;&gt;"",$N205="VCA",$Q205="LINEAR"),$M205,IF(AND($M205&lt;&gt;"",$N205="MND",$Q205="EMBOQUE"),$AN205*2,0))</f>
        <v>18.59</v>
      </c>
      <c r="BJ205" s="153" t="n">
        <f aca="false">IF(AND($M205&lt;&gt;"",$N205="VCA",$Q205="LINEAR"),($M205*6.8)/100,IF(AND($M205&lt;&gt;"",$N205="MND",$Q205="EMBOQUE"),($AN205*2*6.8)/100,0))</f>
        <v>1.26412</v>
      </c>
      <c r="BK205" s="153" t="n">
        <f aca="false">IF(AND($M205&lt;&gt;"",$N205="VCA",$Q205="LINEAR"),($M205*2.5)/50,IF(AND($M205&lt;&gt;"",$N205="MND",$Q205="EMBOQUE"),($AN205*2*2.5)/50,0))</f>
        <v>0.9295</v>
      </c>
      <c r="BL205" s="157" t="str">
        <f aca="false">K205&amp;J205</f>
        <v>Zona02REDES</v>
      </c>
      <c r="BM205" s="152" t="s">
        <v>2037</v>
      </c>
      <c r="BN205" s="152" t="s">
        <v>1560</v>
      </c>
      <c r="BO205" s="152" t="s">
        <v>2231</v>
      </c>
      <c r="BP205" s="152" t="s">
        <v>2307</v>
      </c>
      <c r="BQ205" s="152" t="s">
        <v>2310</v>
      </c>
      <c r="BR205" s="152" t="s">
        <v>2311</v>
      </c>
      <c r="BS205" s="152" t="n">
        <v>202709.979</v>
      </c>
      <c r="BT205" s="152" t="n">
        <v>8237787.796</v>
      </c>
      <c r="BU205" s="152" t="n">
        <v>202724.516</v>
      </c>
      <c r="BV205" s="152" t="n">
        <v>8237777.894</v>
      </c>
      <c r="BW205" s="152" t="n">
        <v>-15.9213907</v>
      </c>
      <c r="BX205" s="152" t="n">
        <v>-47.7765492</v>
      </c>
      <c r="BY205" s="152" t="s">
        <v>2307</v>
      </c>
    </row>
    <row r="206" customFormat="false" ht="13.8" hidden="false" customHeight="false" outlineLevel="0" collapsed="false">
      <c r="A206" s="149" t="n">
        <f aca="false">IF(C206&lt;&gt;"",ROW(A201),"")</f>
        <v>201</v>
      </c>
      <c r="B206" s="150" t="str">
        <f aca="false">HYPERLINK("https://www.google.com/maps/dir/-15.917302,-47.760003/-15.9214262,-47.7745568/data=!4m3!4m2!3e0!5i2")</f>
        <v>https://www.google.com/maps/dir/-15.917302,-47.760003/-15.9214262,-47.7745568/data=!4m3!4m2!3e0!5i2</v>
      </c>
      <c r="C206" s="151" t="s">
        <v>117</v>
      </c>
      <c r="D206" s="152" t="s">
        <v>112</v>
      </c>
      <c r="E206" s="152" t="s">
        <v>113</v>
      </c>
      <c r="F206" s="152" t="s">
        <v>117</v>
      </c>
      <c r="G206" s="152" t="s">
        <v>782</v>
      </c>
      <c r="H206" s="152" t="n">
        <v>63</v>
      </c>
      <c r="I206" s="152" t="s">
        <v>115</v>
      </c>
      <c r="J206" s="152" t="s">
        <v>6</v>
      </c>
      <c r="K206" s="152" t="s">
        <v>2033</v>
      </c>
      <c r="L206" s="152" t="s">
        <v>120</v>
      </c>
      <c r="M206" s="153" t="n">
        <f aca="false">18.17</f>
        <v>18.17</v>
      </c>
      <c r="N206" s="152" t="s">
        <v>1548</v>
      </c>
      <c r="O206" s="152" t="s">
        <v>1549</v>
      </c>
      <c r="P206" s="152" t="s">
        <v>1550</v>
      </c>
      <c r="Q206" s="152" t="s">
        <v>1551</v>
      </c>
      <c r="R206" s="154" t="s">
        <v>2312</v>
      </c>
      <c r="S206" s="154" t="s">
        <v>1553</v>
      </c>
      <c r="T206" s="155" t="s">
        <v>2227</v>
      </c>
      <c r="U206" s="152" t="str">
        <f aca="false">RIGHT(T206,7)</f>
        <v>008/037</v>
      </c>
      <c r="V206" s="152" t="s">
        <v>1555</v>
      </c>
      <c r="W206" s="156" t="n">
        <v>45882</v>
      </c>
      <c r="X206" s="152" t="s">
        <v>1594</v>
      </c>
      <c r="Y206" s="152"/>
      <c r="Z206" s="152" t="s">
        <v>1557</v>
      </c>
      <c r="AA206" s="153" t="n">
        <v>4</v>
      </c>
      <c r="AB206" s="151" t="s">
        <v>2313</v>
      </c>
      <c r="AC206" s="151" t="s">
        <v>186</v>
      </c>
      <c r="AD206" s="151" t="str">
        <f aca="false">CONCATENATE($C206,$I206,$H206,$N206,$J206,$K206)</f>
        <v>TUBO PEADPEAD63VCAREDESZona02</v>
      </c>
      <c r="AE206" s="153" t="n">
        <f aca="false">IFERROR(INDEX(APOIO_REDES!$A:$W,MATCH($C206&amp;$I206&amp;$H206&amp;$N206&amp;$O206,APOIO_REDES!$W:$W,0),MATCH(AE$5,APOIO_REDES!$5:$5,0)),0)</f>
        <v>1.2</v>
      </c>
      <c r="AF206" s="153" t="n">
        <f aca="false">IFERROR(INDEX(APOIO_REDES!$A:$W,MATCH($C206&amp;$I206&amp;$H206&amp;$N206&amp;$O206,APOIO_REDES!$W:$W,0),MATCH(AF$5,APOIO_REDES!$5:$5,0)),0)</f>
        <v>1.363</v>
      </c>
      <c r="AG206" s="153" t="n">
        <f aca="false">IFERROR(INDEX(APOIO_REDES!$A:$W,MATCH($C206&amp;$I206&amp;$H206&amp;$N206&amp;$O206,APOIO_REDES!$W:$W,0),MATCH(AG$5,APOIO_REDES!$5:$5,0)),0)</f>
        <v>0.65</v>
      </c>
      <c r="AH206" s="153" t="n">
        <f aca="false">IFERROR(INDEX(APOIO_REDES!$A:$W,MATCH($C206&amp;$I206&amp;$H206&amp;$N206&amp;$O206,APOIO_REDES!$W:$W,0),MATCH(AH$5,APOIO_REDES!$5:$5,0)),0)</f>
        <v>0.1</v>
      </c>
      <c r="AI206" s="153" t="n">
        <f aca="false">IFERROR(IF($H206&lt;&gt;"",(((($H206/1000)/2)^2)*PI()*$M206),0),0)</f>
        <v>0.0566403472922297</v>
      </c>
      <c r="AJ206" s="153" t="n">
        <f aca="false">IFERROR(IF(AND($H206&lt;&gt;"",$I206="FoFo",OR($N206="MND",$N206="VCA"),$Q206="LINEAR"),0,IF(AND($H206&lt;&gt;"",$I206="PEAD",$N206="VCA",$Q206="LINEAR"),($H206/1000)+0.3,IF(AND($H206&lt;&gt;"",$I206="PEAD",$N206="MND",$Q206="EMBOQUE"),0,IF(AND($H206&lt;&gt;"",$I206="PVC",$N206="VCA",$Q206="LINEAR"),($H206/1000)+0.2,IF(AND($H206&lt;&gt;"",$I206="PVC",$N206="MND",$Q206="EMBOQUE"),0,IF(AND($H206&lt;&gt;"",$I206="PEAD",$N206="VCA",$Q206="PREDIAL"),0,0)))))),0)</f>
        <v>0.363</v>
      </c>
      <c r="AK206" s="153" t="n">
        <f aca="false">IF(AA206&lt;&gt;"",AA206,0)</f>
        <v>4</v>
      </c>
      <c r="AL206" s="153" t="n">
        <f aca="false">IF(AND($N206="MND",$Q206="EMBOQUE"),$M206,IF(AND($N206="VCA",$Q206="LINEAR"),$M206,IF(AND($N206="VCA",$Q206="PREDIAL"),0,0)))</f>
        <v>18.17</v>
      </c>
      <c r="AM206" s="153" t="n">
        <f aca="false">IF(AND($N206="MND",$Q206="EMBOQUE"),$M206,IF(AND($N206="VCA",$Q206="LINEAR"),$M206,IF(AND($N206="VCA",$Q206="PREDIAL"),0,0)))</f>
        <v>18.17</v>
      </c>
      <c r="AN206" s="153" t="n">
        <f aca="false">ROUND(IF(AND($N206="VCA",$M206&lt;&gt;"",$Q206="LINEAR"),$M206/100,IF(AND($N206="MND",$M206&gt;100,$Q206="EMBOQUE"),$M206/100,0)),0)</f>
        <v>0</v>
      </c>
      <c r="AO206" s="153" t="n">
        <f aca="false">IF(AND($N206="MND",$Q206="EMBOQUE"),$AN206*2*2,IF(AND($N206="VCA",$Q206="LINEAR"),$M206*2,IF(AND($N206="VCA",$Q206="PREDIAL"),0,0)))</f>
        <v>36.34</v>
      </c>
      <c r="AP206" s="153" t="n">
        <f aca="false">IFERROR($M206*$AF206*$AG206,0)</f>
        <v>16.0977115</v>
      </c>
      <c r="AQ206" s="153" t="n">
        <f aca="false">IFERROR(IF(AND($N206="VCA",$AH206&gt;0),$M206*$AG206*$AH206,0),0)</f>
        <v>1.18105</v>
      </c>
      <c r="AR206" s="153" t="n">
        <f aca="false">IFERROR(IF(AND($N206="VCA",$AJ206&gt;0),($M206*$AG206*$AJ206)-$AI206,0),0)</f>
        <v>4.23057115270777</v>
      </c>
      <c r="AS206" s="153" t="n">
        <f aca="false">IFERROR(IF(AND($N206="VCA",$AP206&gt;0),$AP206-$AI206-$AQ206-$AR206,0),0)</f>
        <v>10.62945</v>
      </c>
      <c r="AT206" s="153" t="n">
        <f aca="false">IFERROR(IF($N206="VCA",INDEX(APOIO_REDES!$A:$W,MATCH($C206&amp;$I206&amp;$H206&amp;$N206&amp;$O206,APOIO_REDES!$W:$W,0),MATCH(AT$5,APOIO_REDES!$5:$5,0)),0)*$AP206,0)</f>
        <v>0.175147865799392</v>
      </c>
      <c r="AU206" s="153" t="n">
        <f aca="false">IFERROR(IF($N206="VCA",INDEX(APOIO_REDES!$A:$W,MATCH($C206&amp;$I206&amp;$H206&amp;$N206&amp;$O206,APOIO_REDES!$W:$W,0),MATCH(AU$5,APOIO_REDES!$5:$5,0)),0)*$AP206,0)</f>
        <v>0.139868342021602</v>
      </c>
      <c r="AV206" s="153" t="n">
        <f aca="false">IFERROR(IF($N206="VCA",INDEX(APOIO_REDES!$A:$W,MATCH($C206&amp;$I206&amp;$H206&amp;$N206&amp;$O206,APOIO_REDES!$W:$W,0),MATCH(AV$5,APOIO_REDES!$5:$5,0)),0)*$AP206,0)</f>
        <v>0.019356680526254</v>
      </c>
      <c r="AW206" s="153" t="n">
        <f aca="false">IFERROR(IF($N206="VCA",INDEX(APOIO_REDES!$A:$W,MATCH($C206&amp;$I206&amp;$H206&amp;$N206&amp;$O206,APOIO_REDES!$W:$W,0),MATCH(AW$5,APOIO_REDES!$5:$5,0)),0)*$AP206,0)</f>
        <v>11.0495939047553</v>
      </c>
      <c r="AX206" s="153" t="n">
        <f aca="false">IFERROR(IF($N206="VCA",INDEX(APOIO_REDES!$A:$W,MATCH($C206&amp;$I206&amp;$H206&amp;$N206&amp;$O206,APOIO_REDES!$W:$W,0),MATCH(AX$5,APOIO_REDES!$5:$5,0)),0)*$AP206,0)</f>
        <v>1.5292323210541</v>
      </c>
      <c r="AY206" s="153" t="n">
        <f aca="false">IFERROR(IF($N206="VCA",INDEX(APOIO_REDES!$A:$W,MATCH($C206&amp;$I206&amp;$H206&amp;$N206&amp;$O206,APOIO_REDES!$W:$W,0),MATCH(AY$5,APOIO_REDES!$5:$5,0)),0)*$AP206,0)</f>
        <v>2.79736513544828</v>
      </c>
      <c r="AZ206" s="153" t="n">
        <f aca="false">IFERROR(IF($N206="VCA",INDEX(APOIO_REDES!$A:$W,MATCH($C206&amp;$I206&amp;$H206&amp;$N206&amp;$O206,APOIO_REDES!$W:$W,0),MATCH(AZ$5,APOIO_REDES!$5:$5,0)),0)*$AP206,0)</f>
        <v>0.387147250395088</v>
      </c>
      <c r="BA206" s="153" t="n">
        <f aca="false">IFERROR(IF(AND($N206="VCA",$Q206="LINEAR"),INDEX(APOIO_REDES!$A:$W,MATCH($C206&amp;$I206&amp;$H206&amp;$N206&amp;$O206,APOIO_REDES!$W:$W,0),MATCH(BA$5,APOIO_REDES!$5:$5,0)),IF(AND($N206="MND",$Q206="EMBOQUE"),INDEX(APOIO_REDES!$A:$W,MATCH($C206&amp;$I206&amp;$H206&amp;$N206&amp;$O206,APOIO_REDES!$W:$W,0),MATCH(BA$5,APOIO_REDES!$5:$5,0)),0))*$M206/10,0)</f>
        <v>1.46445616762461</v>
      </c>
      <c r="BB206" s="153" t="n">
        <f aca="false">IFERROR(IF($N206="VCA",INDEX(APOIO_REDES!$A:$W,MATCH($C206&amp;$I206&amp;$H206&amp;$N206&amp;$O206,APOIO_REDES!$W:$W,0),MATCH(BB$5,APOIO_REDES!$5:$5,0)),0)*($AI206+$AQ206+$AR206),0)</f>
        <v>5.40876519635721</v>
      </c>
      <c r="BC206" s="153" t="n">
        <f aca="false">IFERROR(IF($N206="VCA",INDEX(APOIO_REDES!$A:$W,MATCH($C206&amp;$I206&amp;$H206&amp;$N206&amp;$O206,APOIO_REDES!$W:$W,0),MATCH(BC$5,APOIO_REDES!$5:$5,0)),0)*($AI206+$AQ206+$AR206),0)</f>
        <v>0.0594963036427867</v>
      </c>
      <c r="BD206" s="153" t="n">
        <f aca="false">IF(AND($N206="VCA",$AF206&gt;=1.25,$AF206&lt;1.5),$M206*$AF206*2,0)</f>
        <v>49.53142</v>
      </c>
      <c r="BE206" s="153" t="n">
        <f aca="false">IF(AND($N206="VCA",$AF206&gt;=1.5,$AF206&lt;3),$M206*$AF206*2,0)</f>
        <v>0</v>
      </c>
      <c r="BF206" s="153" t="n">
        <f aca="false">IF(AND($N206="VCA",$AF206&gt;=3),$M206*$AF206*2,0)</f>
        <v>0</v>
      </c>
      <c r="BG206" s="153" t="n">
        <f aca="false">($BB206+$BC206)*$AK206</f>
        <v>21.873046</v>
      </c>
      <c r="BH206" s="153" t="n">
        <f aca="false">IF(AND($M206&lt;&gt;"",$N206="VCA",$Q206="LINEAR"),($M206*2)/100,IF(AND($M206&lt;&gt;"",$N206="MND",$Q206="EMBOQUE"),($AN206*2)/100,0))</f>
        <v>0.3634</v>
      </c>
      <c r="BI206" s="153" t="n">
        <f aca="false">IF(AND($M206&lt;&gt;"",$N206="VCA",$Q206="LINEAR"),$M206,IF(AND($M206&lt;&gt;"",$N206="MND",$Q206="EMBOQUE"),$AN206*2,0))</f>
        <v>18.17</v>
      </c>
      <c r="BJ206" s="153" t="n">
        <f aca="false">IF(AND($M206&lt;&gt;"",$N206="VCA",$Q206="LINEAR"),($M206*6.8)/100,IF(AND($M206&lt;&gt;"",$N206="MND",$Q206="EMBOQUE"),($AN206*2*6.8)/100,0))</f>
        <v>1.23556</v>
      </c>
      <c r="BK206" s="153" t="n">
        <f aca="false">IF(AND($M206&lt;&gt;"",$N206="VCA",$Q206="LINEAR"),($M206*2.5)/50,IF(AND($M206&lt;&gt;"",$N206="MND",$Q206="EMBOQUE"),($AN206*2*2.5)/50,0))</f>
        <v>0.9085</v>
      </c>
      <c r="BL206" s="157" t="str">
        <f aca="false">K206&amp;J206</f>
        <v>Zona02REDES</v>
      </c>
      <c r="BM206" s="152" t="s">
        <v>2037</v>
      </c>
      <c r="BN206" s="152" t="s">
        <v>1560</v>
      </c>
      <c r="BO206" s="152" t="s">
        <v>2231</v>
      </c>
      <c r="BP206" s="152" t="s">
        <v>2314</v>
      </c>
      <c r="BQ206" s="152" t="s">
        <v>2301</v>
      </c>
      <c r="BR206" s="152" t="s">
        <v>2302</v>
      </c>
      <c r="BS206" s="152" t="n">
        <v>202930.768</v>
      </c>
      <c r="BT206" s="152" t="n">
        <v>8237781.748</v>
      </c>
      <c r="BU206" s="152" t="n">
        <v>202918.661</v>
      </c>
      <c r="BV206" s="152" t="n">
        <v>8237768.207</v>
      </c>
      <c r="BW206" s="152" t="n">
        <v>-15.921487</v>
      </c>
      <c r="BX206" s="152" t="n">
        <v>-47.7746137</v>
      </c>
      <c r="BY206" s="152" t="s">
        <v>2314</v>
      </c>
    </row>
    <row r="207" customFormat="false" ht="13.8" hidden="false" customHeight="false" outlineLevel="0" collapsed="false">
      <c r="A207" s="149" t="n">
        <f aca="false">IF(C207&lt;&gt;"",ROW(A202),"")</f>
        <v>202</v>
      </c>
      <c r="B207" s="150" t="str">
        <f aca="false">HYPERLINK("https://www.google.com/maps/dir/-15.917302,-47.760003/-15.9216635,-47.7742465/data=!4m3!4m2!3e0!5i2")</f>
        <v>https://www.google.com/maps/dir/-15.917302,-47.760003/-15.9216635,-47.7742465/data=!4m3!4m2!3e0!5i2</v>
      </c>
      <c r="C207" s="151" t="s">
        <v>117</v>
      </c>
      <c r="D207" s="152" t="s">
        <v>112</v>
      </c>
      <c r="E207" s="152" t="s">
        <v>113</v>
      </c>
      <c r="F207" s="152" t="s">
        <v>117</v>
      </c>
      <c r="G207" s="152" t="s">
        <v>782</v>
      </c>
      <c r="H207" s="152" t="n">
        <v>63</v>
      </c>
      <c r="I207" s="152" t="s">
        <v>115</v>
      </c>
      <c r="J207" s="152" t="s">
        <v>6</v>
      </c>
      <c r="K207" s="152" t="s">
        <v>2033</v>
      </c>
      <c r="L207" s="152" t="s">
        <v>120</v>
      </c>
      <c r="M207" s="153" t="n">
        <f aca="false">42.4</f>
        <v>42.4</v>
      </c>
      <c r="N207" s="152" t="s">
        <v>1548</v>
      </c>
      <c r="O207" s="152" t="s">
        <v>1549</v>
      </c>
      <c r="P207" s="152" t="s">
        <v>1550</v>
      </c>
      <c r="Q207" s="152" t="s">
        <v>1551</v>
      </c>
      <c r="R207" s="154" t="s">
        <v>2315</v>
      </c>
      <c r="S207" s="154" t="s">
        <v>1553</v>
      </c>
      <c r="T207" s="155" t="s">
        <v>2227</v>
      </c>
      <c r="U207" s="152" t="str">
        <f aca="false">RIGHT(T207,7)</f>
        <v>008/037</v>
      </c>
      <c r="V207" s="152" t="s">
        <v>1555</v>
      </c>
      <c r="W207" s="156" t="n">
        <v>45882</v>
      </c>
      <c r="X207" s="152" t="s">
        <v>1594</v>
      </c>
      <c r="Y207" s="152"/>
      <c r="Z207" s="152" t="s">
        <v>1557</v>
      </c>
      <c r="AA207" s="153" t="n">
        <v>4</v>
      </c>
      <c r="AB207" s="151" t="s">
        <v>2316</v>
      </c>
      <c r="AC207" s="151" t="s">
        <v>186</v>
      </c>
      <c r="AD207" s="151" t="str">
        <f aca="false">CONCATENATE($C207,$I207,$H207,$N207,$J207,$K207)</f>
        <v>TUBO PEADPEAD63VCAREDESZona02</v>
      </c>
      <c r="AE207" s="153" t="n">
        <f aca="false">IFERROR(INDEX(APOIO_REDES!$A:$W,MATCH($C207&amp;$I207&amp;$H207&amp;$N207&amp;$O207,APOIO_REDES!$W:$W,0),MATCH(AE$5,APOIO_REDES!$5:$5,0)),0)</f>
        <v>1.2</v>
      </c>
      <c r="AF207" s="153" t="n">
        <f aca="false">IFERROR(INDEX(APOIO_REDES!$A:$W,MATCH($C207&amp;$I207&amp;$H207&amp;$N207&amp;$O207,APOIO_REDES!$W:$W,0),MATCH(AF$5,APOIO_REDES!$5:$5,0)),0)</f>
        <v>1.363</v>
      </c>
      <c r="AG207" s="153" t="n">
        <f aca="false">IFERROR(INDEX(APOIO_REDES!$A:$W,MATCH($C207&amp;$I207&amp;$H207&amp;$N207&amp;$O207,APOIO_REDES!$W:$W,0),MATCH(AG$5,APOIO_REDES!$5:$5,0)),0)</f>
        <v>0.65</v>
      </c>
      <c r="AH207" s="153" t="n">
        <f aca="false">IFERROR(INDEX(APOIO_REDES!$A:$W,MATCH($C207&amp;$I207&amp;$H207&amp;$N207&amp;$O207,APOIO_REDES!$W:$W,0),MATCH(AH$5,APOIO_REDES!$5:$5,0)),0)</f>
        <v>0.1</v>
      </c>
      <c r="AI207" s="153" t="n">
        <f aca="false">IFERROR(IF($H207&lt;&gt;"",(((($H207/1000)/2)^2)*PI()*$M207),0),0)</f>
        <v>0.132171201166238</v>
      </c>
      <c r="AJ207" s="153" t="n">
        <f aca="false">IFERROR(IF(AND($H207&lt;&gt;"",$I207="FoFo",OR($N207="MND",$N207="VCA"),$Q207="LINEAR"),0,IF(AND($H207&lt;&gt;"",$I207="PEAD",$N207="VCA",$Q207="LINEAR"),($H207/1000)+0.3,IF(AND($H207&lt;&gt;"",$I207="PEAD",$N207="MND",$Q207="EMBOQUE"),0,IF(AND($H207&lt;&gt;"",$I207="PVC",$N207="VCA",$Q207="LINEAR"),($H207/1000)+0.2,IF(AND($H207&lt;&gt;"",$I207="PVC",$N207="MND",$Q207="EMBOQUE"),0,IF(AND($H207&lt;&gt;"",$I207="PEAD",$N207="VCA",$Q207="PREDIAL"),0,0)))))),0)</f>
        <v>0.363</v>
      </c>
      <c r="AK207" s="153" t="n">
        <f aca="false">IF(AA207&lt;&gt;"",AA207,0)</f>
        <v>4</v>
      </c>
      <c r="AL207" s="153" t="n">
        <f aca="false">IF(AND($N207="MND",$Q207="EMBOQUE"),$M207,IF(AND($N207="VCA",$Q207="LINEAR"),$M207,IF(AND($N207="VCA",$Q207="PREDIAL"),0,0)))</f>
        <v>42.4</v>
      </c>
      <c r="AM207" s="153" t="n">
        <f aca="false">IF(AND($N207="MND",$Q207="EMBOQUE"),$M207,IF(AND($N207="VCA",$Q207="LINEAR"),$M207,IF(AND($N207="VCA",$Q207="PREDIAL"),0,0)))</f>
        <v>42.4</v>
      </c>
      <c r="AN207" s="153" t="n">
        <f aca="false">ROUND(IF(AND($N207="VCA",$M207&lt;&gt;"",$Q207="LINEAR"),$M207/100,IF(AND($N207="MND",$M207&gt;100,$Q207="EMBOQUE"),$M207/100,0)),0)</f>
        <v>0</v>
      </c>
      <c r="AO207" s="153" t="n">
        <f aca="false">IF(AND($N207="MND",$Q207="EMBOQUE"),$AN207*2*2,IF(AND($N207="VCA",$Q207="LINEAR"),$M207*2,IF(AND($N207="VCA",$Q207="PREDIAL"),0,0)))</f>
        <v>84.8</v>
      </c>
      <c r="AP207" s="153" t="n">
        <f aca="false">IFERROR($M207*$AF207*$AG207,0)</f>
        <v>37.56428</v>
      </c>
      <c r="AQ207" s="153" t="n">
        <f aca="false">IFERROR(IF(AND($N207="VCA",$AH207&gt;0),$M207*$AG207*$AH207,0),0)</f>
        <v>2.756</v>
      </c>
      <c r="AR207" s="153" t="n">
        <f aca="false">IFERROR(IF(AND($N207="VCA",$AJ207&gt;0),($M207*$AG207*$AJ207)-$AI207,0),0)</f>
        <v>9.87210879883376</v>
      </c>
      <c r="AS207" s="153" t="n">
        <f aca="false">IFERROR(IF(AND($N207="VCA",$AP207&gt;0),$AP207-$AI207-$AQ207-$AR207,0),0)</f>
        <v>24.804</v>
      </c>
      <c r="AT207" s="153" t="n">
        <f aca="false">IFERROR(IF($N207="VCA",INDEX(APOIO_REDES!$A:$W,MATCH($C207&amp;$I207&amp;$H207&amp;$N207&amp;$O207,APOIO_REDES!$W:$W,0),MATCH(AT$5,APOIO_REDES!$5:$5,0)),0)*$AP207,0)</f>
        <v>0.40871048485934</v>
      </c>
      <c r="AU207" s="153" t="n">
        <f aca="false">IFERROR(IF($N207="VCA",INDEX(APOIO_REDES!$A:$W,MATCH($C207&amp;$I207&amp;$H207&amp;$N207&amp;$O207,APOIO_REDES!$W:$W,0),MATCH(AU$5,APOIO_REDES!$5:$5,0)),0)*$AP207,0)</f>
        <v>0.326385123924926</v>
      </c>
      <c r="AV207" s="153" t="n">
        <f aca="false">IFERROR(IF($N207="VCA",INDEX(APOIO_REDES!$A:$W,MATCH($C207&amp;$I207&amp;$H207&amp;$N207&amp;$O207,APOIO_REDES!$W:$W,0),MATCH(AV$5,APOIO_REDES!$5:$5,0)),0)*$AP207,0)</f>
        <v>0.0451691389275271</v>
      </c>
      <c r="AW207" s="153" t="n">
        <f aca="false">IFERROR(IF($N207="VCA",INDEX(APOIO_REDES!$A:$W,MATCH($C207&amp;$I207&amp;$H207&amp;$N207&amp;$O207,APOIO_REDES!$W:$W,0),MATCH(AW$5,APOIO_REDES!$5:$5,0)),0)*$AP207,0)</f>
        <v>25.7844128542446</v>
      </c>
      <c r="AX207" s="153" t="n">
        <f aca="false">IFERROR(IF($N207="VCA",INDEX(APOIO_REDES!$A:$W,MATCH($C207&amp;$I207&amp;$H207&amp;$N207&amp;$O207,APOIO_REDES!$W:$W,0),MATCH(AX$5,APOIO_REDES!$5:$5,0)),0)*$AP207,0)</f>
        <v>3.56848929073714</v>
      </c>
      <c r="AY207" s="153" t="n">
        <f aca="false">IFERROR(IF($N207="VCA",INDEX(APOIO_REDES!$A:$W,MATCH($C207&amp;$I207&amp;$H207&amp;$N207&amp;$O207,APOIO_REDES!$W:$W,0),MATCH(AY$5,APOIO_REDES!$5:$5,0)),0)*$AP207,0)</f>
        <v>6.52769849989033</v>
      </c>
      <c r="AZ207" s="153" t="n">
        <f aca="false">IFERROR(IF($N207="VCA",INDEX(APOIO_REDES!$A:$W,MATCH($C207&amp;$I207&amp;$H207&amp;$N207&amp;$O207,APOIO_REDES!$W:$W,0),MATCH(AZ$5,APOIO_REDES!$5:$5,0)),0)*$AP207,0)</f>
        <v>0.903414607416166</v>
      </c>
      <c r="BA207" s="153" t="n">
        <f aca="false">IFERROR(IF(AND($N207="VCA",$Q207="LINEAR"),INDEX(APOIO_REDES!$A:$W,MATCH($C207&amp;$I207&amp;$H207&amp;$N207&amp;$O207,APOIO_REDES!$W:$W,0),MATCH(BA$5,APOIO_REDES!$5:$5,0)),IF(AND($N207="MND",$Q207="EMBOQUE"),INDEX(APOIO_REDES!$A:$W,MATCH($C207&amp;$I207&amp;$H207&amp;$N207&amp;$O207,APOIO_REDES!$W:$W,0),MATCH(BA$5,APOIO_REDES!$5:$5,0)),0))*$M207/10,0)</f>
        <v>3.41733304938268</v>
      </c>
      <c r="BB207" s="153" t="n">
        <f aca="false">IFERROR(IF($N207="VCA",INDEX(APOIO_REDES!$A:$W,MATCH($C207&amp;$I207&amp;$H207&amp;$N207&amp;$O207,APOIO_REDES!$W:$W,0),MATCH(BB$5,APOIO_REDES!$5:$5,0)),0)*($AI207+$AQ207+$AR207),0)</f>
        <v>12.6214443767499</v>
      </c>
      <c r="BC207" s="153" t="n">
        <f aca="false">IFERROR(IF($N207="VCA",INDEX(APOIO_REDES!$A:$W,MATCH($C207&amp;$I207&amp;$H207&amp;$N207&amp;$O207,APOIO_REDES!$W:$W,0),MATCH(BC$5,APOIO_REDES!$5:$5,0)),0)*($AI207+$AQ207+$AR207),0)</f>
        <v>0.138835623250091</v>
      </c>
      <c r="BD207" s="153" t="n">
        <f aca="false">IF(AND($N207="VCA",$AF207&gt;=1.25,$AF207&lt;1.5),$M207*$AF207*2,0)</f>
        <v>115.5824</v>
      </c>
      <c r="BE207" s="153" t="n">
        <f aca="false">IF(AND($N207="VCA",$AF207&gt;=1.5,$AF207&lt;3),$M207*$AF207*2,0)</f>
        <v>0</v>
      </c>
      <c r="BF207" s="153" t="n">
        <f aca="false">IF(AND($N207="VCA",$AF207&gt;=3),$M207*$AF207*2,0)</f>
        <v>0</v>
      </c>
      <c r="BG207" s="153" t="n">
        <f aca="false">($BB207+$BC207)*$AK207</f>
        <v>51.04112</v>
      </c>
      <c r="BH207" s="153" t="n">
        <f aca="false">IF(AND($M207&lt;&gt;"",$N207="VCA",$Q207="LINEAR"),($M207*2)/100,IF(AND($M207&lt;&gt;"",$N207="MND",$Q207="EMBOQUE"),($AN207*2)/100,0))</f>
        <v>0.848</v>
      </c>
      <c r="BI207" s="153" t="n">
        <f aca="false">IF(AND($M207&lt;&gt;"",$N207="VCA",$Q207="LINEAR"),$M207,IF(AND($M207&lt;&gt;"",$N207="MND",$Q207="EMBOQUE"),$AN207*2,0))</f>
        <v>42.4</v>
      </c>
      <c r="BJ207" s="153" t="n">
        <f aca="false">IF(AND($M207&lt;&gt;"",$N207="VCA",$Q207="LINEAR"),($M207*6.8)/100,IF(AND($M207&lt;&gt;"",$N207="MND",$Q207="EMBOQUE"),($AN207*2*6.8)/100,0))</f>
        <v>2.8832</v>
      </c>
      <c r="BK207" s="153" t="n">
        <f aca="false">IF(AND($M207&lt;&gt;"",$N207="VCA",$Q207="LINEAR"),($M207*2.5)/50,IF(AND($M207&lt;&gt;"",$N207="MND",$Q207="EMBOQUE"),($AN207*2*2.5)/50,0))</f>
        <v>2.12</v>
      </c>
      <c r="BL207" s="157" t="str">
        <f aca="false">K207&amp;J207</f>
        <v>Zona02REDES</v>
      </c>
      <c r="BM207" s="152" t="s">
        <v>2037</v>
      </c>
      <c r="BN207" s="152" t="s">
        <v>1560</v>
      </c>
      <c r="BO207" s="152" t="s">
        <v>2231</v>
      </c>
      <c r="BP207" s="152" t="s">
        <v>2317</v>
      </c>
      <c r="BQ207" s="152" t="s">
        <v>2314</v>
      </c>
      <c r="BR207" s="152" t="s">
        <v>2302</v>
      </c>
      <c r="BS207" s="152" t="n">
        <v>202964.357</v>
      </c>
      <c r="BT207" s="152" t="n">
        <v>8237755.908</v>
      </c>
      <c r="BU207" s="152" t="n">
        <v>202930.768</v>
      </c>
      <c r="BV207" s="152" t="n">
        <v>8237781.748</v>
      </c>
      <c r="BW207" s="152" t="n">
        <v>-15.9215432</v>
      </c>
      <c r="BX207" s="152" t="n">
        <v>-47.7744004</v>
      </c>
      <c r="BY207" s="152" t="s">
        <v>2317</v>
      </c>
    </row>
    <row r="208" customFormat="false" ht="13.8" hidden="false" customHeight="false" outlineLevel="0" collapsed="false">
      <c r="A208" s="149" t="n">
        <f aca="false">IF(C208&lt;&gt;"",ROW(A203),"")</f>
        <v>203</v>
      </c>
      <c r="B208" s="150" t="str">
        <f aca="false">HYPERLINK("https://www.google.com/maps/dir/-15.917302,-47.760003/-15.9214362,-47.7764820/data=!4m3!4m2!3e0!5i1")</f>
        <v>https://www.google.com/maps/dir/-15.917302,-47.760003/-15.9214362,-47.7764820/data=!4m3!4m2!3e0!5i1</v>
      </c>
      <c r="C208" s="151" t="s">
        <v>117</v>
      </c>
      <c r="D208" s="152" t="s">
        <v>112</v>
      </c>
      <c r="E208" s="152" t="s">
        <v>113</v>
      </c>
      <c r="F208" s="152" t="s">
        <v>117</v>
      </c>
      <c r="G208" s="152" t="s">
        <v>782</v>
      </c>
      <c r="H208" s="152" t="n">
        <v>63</v>
      </c>
      <c r="I208" s="152" t="s">
        <v>115</v>
      </c>
      <c r="J208" s="152" t="s">
        <v>6</v>
      </c>
      <c r="K208" s="152" t="s">
        <v>2033</v>
      </c>
      <c r="L208" s="152" t="s">
        <v>120</v>
      </c>
      <c r="M208" s="153" t="n">
        <f aca="false">35.35</f>
        <v>35.35</v>
      </c>
      <c r="N208" s="152" t="s">
        <v>1548</v>
      </c>
      <c r="O208" s="152" t="s">
        <v>1549</v>
      </c>
      <c r="P208" s="152" t="s">
        <v>1550</v>
      </c>
      <c r="Q208" s="152" t="s">
        <v>1551</v>
      </c>
      <c r="R208" s="154" t="s">
        <v>2318</v>
      </c>
      <c r="S208" s="154" t="s">
        <v>1553</v>
      </c>
      <c r="T208" s="155" t="s">
        <v>2227</v>
      </c>
      <c r="U208" s="152" t="str">
        <f aca="false">RIGHT(T208,7)</f>
        <v>008/037</v>
      </c>
      <c r="V208" s="152" t="s">
        <v>1555</v>
      </c>
      <c r="W208" s="156" t="n">
        <v>45882</v>
      </c>
      <c r="X208" s="152" t="s">
        <v>1594</v>
      </c>
      <c r="Y208" s="152"/>
      <c r="Z208" s="152" t="s">
        <v>1557</v>
      </c>
      <c r="AA208" s="153" t="n">
        <v>4.1</v>
      </c>
      <c r="AB208" s="151" t="s">
        <v>2319</v>
      </c>
      <c r="AC208" s="151" t="s">
        <v>186</v>
      </c>
      <c r="AD208" s="151" t="str">
        <f aca="false">CONCATENATE($C208,$I208,$H208,$N208,$J208,$K208)</f>
        <v>TUBO PEADPEAD63VCAREDESZona02</v>
      </c>
      <c r="AE208" s="153" t="n">
        <f aca="false">IFERROR(INDEX(APOIO_REDES!$A:$W,MATCH($C208&amp;$I208&amp;$H208&amp;$N208&amp;$O208,APOIO_REDES!$W:$W,0),MATCH(AE$5,APOIO_REDES!$5:$5,0)),0)</f>
        <v>1.2</v>
      </c>
      <c r="AF208" s="153" t="n">
        <f aca="false">IFERROR(INDEX(APOIO_REDES!$A:$W,MATCH($C208&amp;$I208&amp;$H208&amp;$N208&amp;$O208,APOIO_REDES!$W:$W,0),MATCH(AF$5,APOIO_REDES!$5:$5,0)),0)</f>
        <v>1.363</v>
      </c>
      <c r="AG208" s="153" t="n">
        <f aca="false">IFERROR(INDEX(APOIO_REDES!$A:$W,MATCH($C208&amp;$I208&amp;$H208&amp;$N208&amp;$O208,APOIO_REDES!$W:$W,0),MATCH(AG$5,APOIO_REDES!$5:$5,0)),0)</f>
        <v>0.65</v>
      </c>
      <c r="AH208" s="153" t="n">
        <f aca="false">IFERROR(INDEX(APOIO_REDES!$A:$W,MATCH($C208&amp;$I208&amp;$H208&amp;$N208&amp;$O208,APOIO_REDES!$W:$W,0),MATCH(AH$5,APOIO_REDES!$5:$5,0)),0)</f>
        <v>0.1</v>
      </c>
      <c r="AI208" s="153" t="n">
        <f aca="false">IFERROR(IF($H208&lt;&gt;"",(((($H208/1000)/2)^2)*PI()*$M208),0),0)</f>
        <v>0.11019462172704</v>
      </c>
      <c r="AJ208" s="153" t="n">
        <f aca="false">IFERROR(IF(AND($H208&lt;&gt;"",$I208="FoFo",OR($N208="MND",$N208="VCA"),$Q208="LINEAR"),0,IF(AND($H208&lt;&gt;"",$I208="PEAD",$N208="VCA",$Q208="LINEAR"),($H208/1000)+0.3,IF(AND($H208&lt;&gt;"",$I208="PEAD",$N208="MND",$Q208="EMBOQUE"),0,IF(AND($H208&lt;&gt;"",$I208="PVC",$N208="VCA",$Q208="LINEAR"),($H208/1000)+0.2,IF(AND($H208&lt;&gt;"",$I208="PVC",$N208="MND",$Q208="EMBOQUE"),0,IF(AND($H208&lt;&gt;"",$I208="PEAD",$N208="VCA",$Q208="PREDIAL"),0,0)))))),0)</f>
        <v>0.363</v>
      </c>
      <c r="AK208" s="153" t="n">
        <f aca="false">IF(AA208&lt;&gt;"",AA208,0)</f>
        <v>4.1</v>
      </c>
      <c r="AL208" s="153" t="n">
        <f aca="false">IF(AND($N208="MND",$Q208="EMBOQUE"),$M208,IF(AND($N208="VCA",$Q208="LINEAR"),$M208,IF(AND($N208="VCA",$Q208="PREDIAL"),0,0)))</f>
        <v>35.35</v>
      </c>
      <c r="AM208" s="153" t="n">
        <f aca="false">IF(AND($N208="MND",$Q208="EMBOQUE"),$M208,IF(AND($N208="VCA",$Q208="LINEAR"),$M208,IF(AND($N208="VCA",$Q208="PREDIAL"),0,0)))</f>
        <v>35.35</v>
      </c>
      <c r="AN208" s="153" t="n">
        <f aca="false">ROUND(IF(AND($N208="VCA",$M208&lt;&gt;"",$Q208="LINEAR"),$M208/100,IF(AND($N208="MND",$M208&gt;100,$Q208="EMBOQUE"),$M208/100,0)),0)</f>
        <v>0</v>
      </c>
      <c r="AO208" s="153" t="n">
        <f aca="false">IF(AND($N208="MND",$Q208="EMBOQUE"),$AN208*2*2,IF(AND($N208="VCA",$Q208="LINEAR"),$M208*2,IF(AND($N208="VCA",$Q208="PREDIAL"),0,0)))</f>
        <v>70.7</v>
      </c>
      <c r="AP208" s="153" t="n">
        <f aca="false">IFERROR($M208*$AF208*$AG208,0)</f>
        <v>31.3183325</v>
      </c>
      <c r="AQ208" s="153" t="n">
        <f aca="false">IFERROR(IF(AND($N208="VCA",$AH208&gt;0),$M208*$AG208*$AH208,0),0)</f>
        <v>2.29775</v>
      </c>
      <c r="AR208" s="153" t="n">
        <f aca="false">IFERROR(IF(AND($N208="VCA",$AJ208&gt;0),($M208*$AG208*$AJ208)-$AI208,0),0)</f>
        <v>8.23063787827296</v>
      </c>
      <c r="AS208" s="153" t="n">
        <f aca="false">IFERROR(IF(AND($N208="VCA",$AP208&gt;0),$AP208-$AI208-$AQ208-$AR208,0),0)</f>
        <v>20.67975</v>
      </c>
      <c r="AT208" s="153" t="n">
        <f aca="false">IFERROR(IF($N208="VCA",INDEX(APOIO_REDES!$A:$W,MATCH($C208&amp;$I208&amp;$H208&amp;$N208&amp;$O208,APOIO_REDES!$W:$W,0),MATCH(AT$5,APOIO_REDES!$5:$5,0)),0)*$AP208,0)</f>
        <v>0.340752727353247</v>
      </c>
      <c r="AU208" s="153" t="n">
        <f aca="false">IFERROR(IF($N208="VCA",INDEX(APOIO_REDES!$A:$W,MATCH($C208&amp;$I208&amp;$H208&amp;$N208&amp;$O208,APOIO_REDES!$W:$W,0),MATCH(AU$5,APOIO_REDES!$5:$5,0)),0)*$AP208,0)</f>
        <v>0.272115899310051</v>
      </c>
      <c r="AV208" s="153" t="n">
        <f aca="false">IFERROR(IF($N208="VCA",INDEX(APOIO_REDES!$A:$W,MATCH($C208&amp;$I208&amp;$H208&amp;$N208&amp;$O208,APOIO_REDES!$W:$W,0),MATCH(AV$5,APOIO_REDES!$5:$5,0)),0)*$AP208,0)</f>
        <v>0.0376587042709454</v>
      </c>
      <c r="AW208" s="153" t="n">
        <f aca="false">IFERROR(IF($N208="VCA",INDEX(APOIO_REDES!$A:$W,MATCH($C208&amp;$I208&amp;$H208&amp;$N208&amp;$O208,APOIO_REDES!$W:$W,0),MATCH(AW$5,APOIO_REDES!$5:$5,0)),0)*$AP208,0)</f>
        <v>21.4971460942817</v>
      </c>
      <c r="AX208" s="153" t="n">
        <f aca="false">IFERROR(IF($N208="VCA",INDEX(APOIO_REDES!$A:$W,MATCH($C208&amp;$I208&amp;$H208&amp;$N208&amp;$O208,APOIO_REDES!$W:$W,0),MATCH(AX$5,APOIO_REDES!$5:$5,0)),0)*$AP208,0)</f>
        <v>2.97514378366882</v>
      </c>
      <c r="AY208" s="153" t="n">
        <f aca="false">IFERROR(IF($N208="VCA",INDEX(APOIO_REDES!$A:$W,MATCH($C208&amp;$I208&amp;$H208&amp;$N208&amp;$O208,APOIO_REDES!$W:$W,0),MATCH(AY$5,APOIO_REDES!$5:$5,0)),0)*$AP208,0)</f>
        <v>5.44231466913026</v>
      </c>
      <c r="AZ208" s="153" t="n">
        <f aca="false">IFERROR(IF($N208="VCA",INDEX(APOIO_REDES!$A:$W,MATCH($C208&amp;$I208&amp;$H208&amp;$N208&amp;$O208,APOIO_REDES!$W:$W,0),MATCH(AZ$5,APOIO_REDES!$5:$5,0)),0)*$AP208,0)</f>
        <v>0.75320062198494</v>
      </c>
      <c r="BA208" s="153" t="n">
        <f aca="false">IFERROR(IF(AND($N208="VCA",$Q208="LINEAR"),INDEX(APOIO_REDES!$A:$W,MATCH($C208&amp;$I208&amp;$H208&amp;$N208&amp;$O208,APOIO_REDES!$W:$W,0),MATCH(BA$5,APOIO_REDES!$5:$5,0)),IF(AND($N208="MND",$Q208="EMBOQUE"),INDEX(APOIO_REDES!$A:$W,MATCH($C208&amp;$I208&amp;$H208&amp;$N208&amp;$O208,APOIO_REDES!$W:$W,0),MATCH(BA$5,APOIO_REDES!$5:$5,0)),0))*$M208/10,0)</f>
        <v>2.84912083244523</v>
      </c>
      <c r="BB208" s="153" t="n">
        <f aca="false">IFERROR(IF($N208="VCA",INDEX(APOIO_REDES!$A:$W,MATCH($C208&amp;$I208&amp;$H208&amp;$N208&amp;$O208,APOIO_REDES!$W:$W,0),MATCH(BB$5,APOIO_REDES!$5:$5,0)),0)*($AI208+$AQ208+$AR208),0)</f>
        <v>10.5228315735403</v>
      </c>
      <c r="BC208" s="153" t="n">
        <f aca="false">IFERROR(IF($N208="VCA",INDEX(APOIO_REDES!$A:$W,MATCH($C208&amp;$I208&amp;$H208&amp;$N208&amp;$O208,APOIO_REDES!$W:$W,0),MATCH(BC$5,APOIO_REDES!$5:$5,0)),0)*($AI208+$AQ208+$AR208),0)</f>
        <v>0.115750926459687</v>
      </c>
      <c r="BD208" s="153" t="n">
        <f aca="false">IF(AND($N208="VCA",$AF208&gt;=1.25,$AF208&lt;1.5),$M208*$AF208*2,0)</f>
        <v>96.3641</v>
      </c>
      <c r="BE208" s="153" t="n">
        <f aca="false">IF(AND($N208="VCA",$AF208&gt;=1.5,$AF208&lt;3),$M208*$AF208*2,0)</f>
        <v>0</v>
      </c>
      <c r="BF208" s="153" t="n">
        <f aca="false">IF(AND($N208="VCA",$AF208&gt;=3),$M208*$AF208*2,0)</f>
        <v>0</v>
      </c>
      <c r="BG208" s="153" t="n">
        <f aca="false">($BB208+$BC208)*$AK208</f>
        <v>43.61818825</v>
      </c>
      <c r="BH208" s="153" t="n">
        <f aca="false">IF(AND($M208&lt;&gt;"",$N208="VCA",$Q208="LINEAR"),($M208*2)/100,IF(AND($M208&lt;&gt;"",$N208="MND",$Q208="EMBOQUE"),($AN208*2)/100,0))</f>
        <v>0.707</v>
      </c>
      <c r="BI208" s="153" t="n">
        <f aca="false">IF(AND($M208&lt;&gt;"",$N208="VCA",$Q208="LINEAR"),$M208,IF(AND($M208&lt;&gt;"",$N208="MND",$Q208="EMBOQUE"),$AN208*2,0))</f>
        <v>35.35</v>
      </c>
      <c r="BJ208" s="153" t="n">
        <f aca="false">IF(AND($M208&lt;&gt;"",$N208="VCA",$Q208="LINEAR"),($M208*6.8)/100,IF(AND($M208&lt;&gt;"",$N208="MND",$Q208="EMBOQUE"),($AN208*2*6.8)/100,0))</f>
        <v>2.4038</v>
      </c>
      <c r="BK208" s="153" t="n">
        <f aca="false">IF(AND($M208&lt;&gt;"",$N208="VCA",$Q208="LINEAR"),($M208*2.5)/50,IF(AND($M208&lt;&gt;"",$N208="MND",$Q208="EMBOQUE"),($AN208*2*2.5)/50,0))</f>
        <v>1.7675</v>
      </c>
      <c r="BL208" s="157" t="str">
        <f aca="false">K208&amp;J208</f>
        <v>Zona02REDES</v>
      </c>
      <c r="BM208" s="152" t="s">
        <v>2037</v>
      </c>
      <c r="BN208" s="152" t="s">
        <v>1560</v>
      </c>
      <c r="BO208" s="152" t="s">
        <v>2231</v>
      </c>
      <c r="BP208" s="152" t="s">
        <v>2310</v>
      </c>
      <c r="BQ208" s="152" t="s">
        <v>2320</v>
      </c>
      <c r="BR208" s="152" t="s">
        <v>2321</v>
      </c>
      <c r="BS208" s="152" t="n">
        <v>202724.516</v>
      </c>
      <c r="BT208" s="152" t="n">
        <v>8237777.894</v>
      </c>
      <c r="BU208" s="152" t="n">
        <v>202752.358</v>
      </c>
      <c r="BV208" s="152" t="n">
        <v>8237756.747</v>
      </c>
      <c r="BW208" s="152" t="n">
        <v>-15.9215318</v>
      </c>
      <c r="BX208" s="152" t="n">
        <v>-47.7763544</v>
      </c>
      <c r="BY208" s="152" t="s">
        <v>2310</v>
      </c>
    </row>
    <row r="209" customFormat="false" ht="13.8" hidden="false" customHeight="false" outlineLevel="0" collapsed="false">
      <c r="A209" s="149" t="n">
        <f aca="false">IF(C209&lt;&gt;"",ROW(A204),"")</f>
        <v>204</v>
      </c>
      <c r="B209" s="150" t="str">
        <f aca="false">HYPERLINK("https://www.google.com/maps/dir/-15.917302,-47.760003/-15.9218735,-47.7768376/data=!4m3!4m2!3e0!5i1")</f>
        <v>https://www.google.com/maps/dir/-15.917302,-47.760003/-15.9218735,-47.7768376/data=!4m3!4m2!3e0!5i1</v>
      </c>
      <c r="C209" s="151" t="s">
        <v>117</v>
      </c>
      <c r="D209" s="152" t="s">
        <v>112</v>
      </c>
      <c r="E209" s="152" t="s">
        <v>113</v>
      </c>
      <c r="F209" s="152" t="s">
        <v>117</v>
      </c>
      <c r="G209" s="152" t="s">
        <v>782</v>
      </c>
      <c r="H209" s="152" t="n">
        <v>63</v>
      </c>
      <c r="I209" s="152" t="s">
        <v>115</v>
      </c>
      <c r="J209" s="152" t="s">
        <v>6</v>
      </c>
      <c r="K209" s="152" t="s">
        <v>2033</v>
      </c>
      <c r="L209" s="152" t="s">
        <v>120</v>
      </c>
      <c r="M209" s="153" t="n">
        <f aca="false">61.65</f>
        <v>61.65</v>
      </c>
      <c r="N209" s="152" t="s">
        <v>1548</v>
      </c>
      <c r="O209" s="152" t="s">
        <v>1549</v>
      </c>
      <c r="P209" s="152" t="s">
        <v>1550</v>
      </c>
      <c r="Q209" s="152" t="s">
        <v>1551</v>
      </c>
      <c r="R209" s="154" t="s">
        <v>2322</v>
      </c>
      <c r="S209" s="154" t="s">
        <v>1553</v>
      </c>
      <c r="T209" s="155" t="s">
        <v>2227</v>
      </c>
      <c r="U209" s="152" t="str">
        <f aca="false">RIGHT(T209,7)</f>
        <v>008/037</v>
      </c>
      <c r="V209" s="152" t="s">
        <v>1555</v>
      </c>
      <c r="W209" s="156" t="n">
        <v>45882</v>
      </c>
      <c r="X209" s="152" t="s">
        <v>1594</v>
      </c>
      <c r="Y209" s="152" t="s">
        <v>2323</v>
      </c>
      <c r="Z209" s="152" t="s">
        <v>1557</v>
      </c>
      <c r="AA209" s="153" t="n">
        <v>4</v>
      </c>
      <c r="AB209" s="151" t="s">
        <v>2324</v>
      </c>
      <c r="AC209" s="151" t="s">
        <v>186</v>
      </c>
      <c r="AD209" s="151" t="str">
        <f aca="false">CONCATENATE($C209,$I209,$H209,$N209,$J209,$K209)</f>
        <v>TUBO PEADPEAD63VCAREDESZona02</v>
      </c>
      <c r="AE209" s="153" t="n">
        <f aca="false">IFERROR(INDEX(APOIO_REDES!$A:$W,MATCH($C209&amp;$I209&amp;$H209&amp;$N209&amp;$O209,APOIO_REDES!$W:$W,0),MATCH(AE$5,APOIO_REDES!$5:$5,0)),0)</f>
        <v>1.2</v>
      </c>
      <c r="AF209" s="153" t="n">
        <f aca="false">IFERROR(INDEX(APOIO_REDES!$A:$W,MATCH($C209&amp;$I209&amp;$H209&amp;$N209&amp;$O209,APOIO_REDES!$W:$W,0),MATCH(AF$5,APOIO_REDES!$5:$5,0)),0)</f>
        <v>1.363</v>
      </c>
      <c r="AG209" s="153" t="n">
        <f aca="false">IFERROR(INDEX(APOIO_REDES!$A:$W,MATCH($C209&amp;$I209&amp;$H209&amp;$N209&amp;$O209,APOIO_REDES!$W:$W,0),MATCH(AG$5,APOIO_REDES!$5:$5,0)),0)</f>
        <v>0.65</v>
      </c>
      <c r="AH209" s="153" t="n">
        <f aca="false">IFERROR(INDEX(APOIO_REDES!$A:$W,MATCH($C209&amp;$I209&amp;$H209&amp;$N209&amp;$O209,APOIO_REDES!$W:$W,0),MATCH(AH$5,APOIO_REDES!$5:$5,0)),0)</f>
        <v>0.1</v>
      </c>
      <c r="AI209" s="153" t="n">
        <f aca="false">IFERROR(IF($H209&lt;&gt;"",(((($H209/1000)/2)^2)*PI()*$M209),0),0)</f>
        <v>0.192178173393834</v>
      </c>
      <c r="AJ209" s="153" t="n">
        <f aca="false">IFERROR(IF(AND($H209&lt;&gt;"",$I209="FoFo",OR($N209="MND",$N209="VCA"),$Q209="LINEAR"),0,IF(AND($H209&lt;&gt;"",$I209="PEAD",$N209="VCA",$Q209="LINEAR"),($H209/1000)+0.3,IF(AND($H209&lt;&gt;"",$I209="PEAD",$N209="MND",$Q209="EMBOQUE"),0,IF(AND($H209&lt;&gt;"",$I209="PVC",$N209="VCA",$Q209="LINEAR"),($H209/1000)+0.2,IF(AND($H209&lt;&gt;"",$I209="PVC",$N209="MND",$Q209="EMBOQUE"),0,IF(AND($H209&lt;&gt;"",$I209="PEAD",$N209="VCA",$Q209="PREDIAL"),0,0)))))),0)</f>
        <v>0.363</v>
      </c>
      <c r="AK209" s="153" t="n">
        <f aca="false">IF(AA209&lt;&gt;"",AA209,0)</f>
        <v>4</v>
      </c>
      <c r="AL209" s="153" t="n">
        <f aca="false">IF(AND($N209="MND",$Q209="EMBOQUE"),$M209,IF(AND($N209="VCA",$Q209="LINEAR"),$M209,IF(AND($N209="VCA",$Q209="PREDIAL"),0,0)))</f>
        <v>61.65</v>
      </c>
      <c r="AM209" s="153" t="n">
        <f aca="false">IF(AND($N209="MND",$Q209="EMBOQUE"),$M209,IF(AND($N209="VCA",$Q209="LINEAR"),$M209,IF(AND($N209="VCA",$Q209="PREDIAL"),0,0)))</f>
        <v>61.65</v>
      </c>
      <c r="AN209" s="153" t="n">
        <f aca="false">ROUND(IF(AND($N209="VCA",$M209&lt;&gt;"",$Q209="LINEAR"),$M209/100,IF(AND($N209="MND",$M209&gt;100,$Q209="EMBOQUE"),$M209/100,0)),0)</f>
        <v>1</v>
      </c>
      <c r="AO209" s="153" t="n">
        <f aca="false">IF(AND($N209="MND",$Q209="EMBOQUE"),$AN209*2*2,IF(AND($N209="VCA",$Q209="LINEAR"),$M209*2,IF(AND($N209="VCA",$Q209="PREDIAL"),0,0)))</f>
        <v>123.3</v>
      </c>
      <c r="AP209" s="153" t="n">
        <f aca="false">IFERROR($M209*$AF209*$AG209,0)</f>
        <v>54.6188175</v>
      </c>
      <c r="AQ209" s="153" t="n">
        <f aca="false">IFERROR(IF(AND($N209="VCA",$AH209&gt;0),$M209*$AG209*$AH209,0),0)</f>
        <v>4.00725</v>
      </c>
      <c r="AR209" s="153" t="n">
        <f aca="false">IFERROR(IF(AND($N209="VCA",$AJ209&gt;0),($M209*$AG209*$AJ209)-$AI209,0),0)</f>
        <v>14.3541393266062</v>
      </c>
      <c r="AS209" s="153" t="n">
        <f aca="false">IFERROR(IF(AND($N209="VCA",$AP209&gt;0),$AP209-$AI209-$AQ209-$AR209,0),0)</f>
        <v>36.06525</v>
      </c>
      <c r="AT209" s="153" t="n">
        <f aca="false">IFERROR(IF($N209="VCA",INDEX(APOIO_REDES!$A:$W,MATCH($C209&amp;$I209&amp;$H209&amp;$N209&amp;$O209,APOIO_REDES!$W:$W,0),MATCH(AT$5,APOIO_REDES!$5:$5,0)),0)*$AP209,0)</f>
        <v>0.594268900744771</v>
      </c>
      <c r="AU209" s="153" t="n">
        <f aca="false">IFERROR(IF($N209="VCA",INDEX(APOIO_REDES!$A:$W,MATCH($C209&amp;$I209&amp;$H209&amp;$N209&amp;$O209,APOIO_REDES!$W:$W,0),MATCH(AU$5,APOIO_REDES!$5:$5,0)),0)*$AP209,0)</f>
        <v>0.474567049291786</v>
      </c>
      <c r="AV209" s="153" t="n">
        <f aca="false">IFERROR(IF($N209="VCA",INDEX(APOIO_REDES!$A:$W,MATCH($C209&amp;$I209&amp;$H209&amp;$N209&amp;$O209,APOIO_REDES!$W:$W,0),MATCH(AV$5,APOIO_REDES!$5:$5,0)),0)*$AP209,0)</f>
        <v>0.0656763541245766</v>
      </c>
      <c r="AW209" s="153" t="n">
        <f aca="false">IFERROR(IF($N209="VCA",INDEX(APOIO_REDES!$A:$W,MATCH($C209&amp;$I209&amp;$H209&amp;$N209&amp;$O209,APOIO_REDES!$W:$W,0),MATCH(AW$5,APOIO_REDES!$5:$5,0)),0)*$AP209,0)</f>
        <v>37.4907795392495</v>
      </c>
      <c r="AX209" s="153" t="n">
        <f aca="false">IFERROR(IF($N209="VCA",INDEX(APOIO_REDES!$A:$W,MATCH($C209&amp;$I209&amp;$H209&amp;$N209&amp;$O209,APOIO_REDES!$W:$W,0),MATCH(AX$5,APOIO_REDES!$5:$5,0)),0)*$AP209,0)</f>
        <v>5.18861709372511</v>
      </c>
      <c r="AY209" s="153" t="n">
        <f aca="false">IFERROR(IF($N209="VCA",INDEX(APOIO_REDES!$A:$W,MATCH($C209&amp;$I209&amp;$H209&amp;$N209&amp;$O209,APOIO_REDES!$W:$W,0),MATCH(AY$5,APOIO_REDES!$5:$5,0)),0)*$AP209,0)</f>
        <v>9.49133520090185</v>
      </c>
      <c r="AZ209" s="153" t="n">
        <f aca="false">IFERROR(IF($N209="VCA",INDEX(APOIO_REDES!$A:$W,MATCH($C209&amp;$I209&amp;$H209&amp;$N209&amp;$O209,APOIO_REDES!$W:$W,0),MATCH(AZ$5,APOIO_REDES!$5:$5,0)),0)*$AP209,0)</f>
        <v>1.31357336196242</v>
      </c>
      <c r="BA209" s="153" t="n">
        <f aca="false">IFERROR(IF(AND($N209="VCA",$Q209="LINEAR"),INDEX(APOIO_REDES!$A:$W,MATCH($C209&amp;$I209&amp;$H209&amp;$N209&amp;$O209,APOIO_REDES!$W:$W,0),MATCH(BA$5,APOIO_REDES!$5:$5,0)),IF(AND($N209="MND",$Q209="EMBOQUE"),INDEX(APOIO_REDES!$A:$W,MATCH($C209&amp;$I209&amp;$H209&amp;$N209&amp;$O209,APOIO_REDES!$W:$W,0),MATCH(BA$5,APOIO_REDES!$5:$5,0)),0))*$M209/10,0)</f>
        <v>4.96883449279345</v>
      </c>
      <c r="BB209" s="153" t="n">
        <f aca="false">IFERROR(IF($N209="VCA",INDEX(APOIO_REDES!$A:$W,MATCH($C209&amp;$I209&amp;$H209&amp;$N209&amp;$O209,APOIO_REDES!$W:$W,0),MATCH(BB$5,APOIO_REDES!$5:$5,0)),0)*($AI209+$AQ209+$AR209),0)</f>
        <v>18.3516991940243</v>
      </c>
      <c r="BC209" s="153" t="n">
        <f aca="false">IFERROR(IF($N209="VCA",INDEX(APOIO_REDES!$A:$W,MATCH($C209&amp;$I209&amp;$H209&amp;$N209&amp;$O209,APOIO_REDES!$W:$W,0),MATCH(BC$5,APOIO_REDES!$5:$5,0)),0)*($AI209+$AQ209+$AR209),0)</f>
        <v>0.201868305975663</v>
      </c>
      <c r="BD209" s="153" t="n">
        <f aca="false">IF(AND($N209="VCA",$AF209&gt;=1.25,$AF209&lt;1.5),$M209*$AF209*2,0)</f>
        <v>168.0579</v>
      </c>
      <c r="BE209" s="153" t="n">
        <f aca="false">IF(AND($N209="VCA",$AF209&gt;=1.5,$AF209&lt;3),$M209*$AF209*2,0)</f>
        <v>0</v>
      </c>
      <c r="BF209" s="153" t="n">
        <f aca="false">IF(AND($N209="VCA",$AF209&gt;=3),$M209*$AF209*2,0)</f>
        <v>0</v>
      </c>
      <c r="BG209" s="153" t="n">
        <f aca="false">($BB209+$BC209)*$AK209</f>
        <v>74.21427</v>
      </c>
      <c r="BH209" s="153" t="n">
        <f aca="false">IF(AND($M209&lt;&gt;"",$N209="VCA",$Q209="LINEAR"),($M209*2)/100,IF(AND($M209&lt;&gt;"",$N209="MND",$Q209="EMBOQUE"),($AN209*2)/100,0))</f>
        <v>1.233</v>
      </c>
      <c r="BI209" s="153" t="n">
        <f aca="false">IF(AND($M209&lt;&gt;"",$N209="VCA",$Q209="LINEAR"),$M209,IF(AND($M209&lt;&gt;"",$N209="MND",$Q209="EMBOQUE"),$AN209*2,0))</f>
        <v>61.65</v>
      </c>
      <c r="BJ209" s="153" t="n">
        <f aca="false">IF(AND($M209&lt;&gt;"",$N209="VCA",$Q209="LINEAR"),($M209*6.8)/100,IF(AND($M209&lt;&gt;"",$N209="MND",$Q209="EMBOQUE"),($AN209*2*6.8)/100,0))</f>
        <v>4.1922</v>
      </c>
      <c r="BK209" s="153" t="n">
        <f aca="false">IF(AND($M209&lt;&gt;"",$N209="VCA",$Q209="LINEAR"),($M209*2.5)/50,IF(AND($M209&lt;&gt;"",$N209="MND",$Q209="EMBOQUE"),($AN209*2*2.5)/50,0))</f>
        <v>3.0825</v>
      </c>
      <c r="BL209" s="157" t="str">
        <f aca="false">K209&amp;J209</f>
        <v>Zona02REDES</v>
      </c>
      <c r="BM209" s="152" t="s">
        <v>2037</v>
      </c>
      <c r="BN209" s="152" t="s">
        <v>1560</v>
      </c>
      <c r="BO209" s="152" t="s">
        <v>2231</v>
      </c>
      <c r="BP209" s="152" t="s">
        <v>2325</v>
      </c>
      <c r="BQ209" s="152" t="s">
        <v>2310</v>
      </c>
      <c r="BR209" s="152" t="s">
        <v>2326</v>
      </c>
      <c r="BS209" s="152" t="n">
        <v>202687.031</v>
      </c>
      <c r="BT209" s="152" t="n">
        <v>8237728.989</v>
      </c>
      <c r="BU209" s="152" t="n">
        <v>202724.516</v>
      </c>
      <c r="BV209" s="152" t="n">
        <v>8237777.894</v>
      </c>
      <c r="BW209" s="152" t="n">
        <v>-15.9216591</v>
      </c>
      <c r="BX209" s="152" t="n">
        <v>-47.7766543</v>
      </c>
      <c r="BY209" s="152" t="s">
        <v>2325</v>
      </c>
    </row>
    <row r="210" customFormat="false" ht="13.8" hidden="false" customHeight="false" outlineLevel="0" collapsed="false">
      <c r="A210" s="149" t="n">
        <f aca="false">IF(C210&lt;&gt;"",ROW(A205),"")</f>
        <v>205</v>
      </c>
      <c r="B210" s="150" t="str">
        <f aca="false">HYPERLINK("https://www.google.com/maps/dir/-15.917302,-47.760003/-15.9215569,-47.7772739/data=!4m3!4m2!3e0!5i1")</f>
        <v>https://www.google.com/maps/dir/-15.917302,-47.760003/-15.9215569,-47.7772739/data=!4m3!4m2!3e0!5i1</v>
      </c>
      <c r="C210" s="151" t="s">
        <v>117</v>
      </c>
      <c r="D210" s="152" t="s">
        <v>112</v>
      </c>
      <c r="E210" s="152" t="s">
        <v>113</v>
      </c>
      <c r="F210" s="152" t="s">
        <v>117</v>
      </c>
      <c r="G210" s="152" t="s">
        <v>782</v>
      </c>
      <c r="H210" s="152" t="n">
        <v>63</v>
      </c>
      <c r="I210" s="152" t="s">
        <v>115</v>
      </c>
      <c r="J210" s="152" t="s">
        <v>6</v>
      </c>
      <c r="K210" s="152" t="s">
        <v>2033</v>
      </c>
      <c r="L210" s="152" t="s">
        <v>120</v>
      </c>
      <c r="M210" s="153" t="n">
        <f aca="false">31.94</f>
        <v>31.94</v>
      </c>
      <c r="N210" s="152" t="s">
        <v>1548</v>
      </c>
      <c r="O210" s="152" t="s">
        <v>1549</v>
      </c>
      <c r="P210" s="152" t="s">
        <v>1550</v>
      </c>
      <c r="Q210" s="152" t="s">
        <v>1551</v>
      </c>
      <c r="R210" s="154" t="s">
        <v>2327</v>
      </c>
      <c r="S210" s="154" t="s">
        <v>1553</v>
      </c>
      <c r="T210" s="155" t="s">
        <v>2227</v>
      </c>
      <c r="U210" s="152" t="str">
        <f aca="false">RIGHT(T210,7)</f>
        <v>008/037</v>
      </c>
      <c r="V210" s="152" t="s">
        <v>1555</v>
      </c>
      <c r="W210" s="156" t="n">
        <v>45882</v>
      </c>
      <c r="X210" s="152" t="s">
        <v>1594</v>
      </c>
      <c r="Y210" s="152"/>
      <c r="Z210" s="152" t="s">
        <v>1557</v>
      </c>
      <c r="AA210" s="153" t="n">
        <v>4.1</v>
      </c>
      <c r="AB210" s="151" t="s">
        <v>2328</v>
      </c>
      <c r="AC210" s="151" t="s">
        <v>186</v>
      </c>
      <c r="AD210" s="151" t="str">
        <f aca="false">CONCATENATE($C210,$I210,$H210,$N210,$J210,$K210)</f>
        <v>TUBO PEADPEAD63VCAREDESZona02</v>
      </c>
      <c r="AE210" s="153" t="n">
        <f aca="false">IFERROR(INDEX(APOIO_REDES!$A:$W,MATCH($C210&amp;$I210&amp;$H210&amp;$N210&amp;$O210,APOIO_REDES!$W:$W,0),MATCH(AE$5,APOIO_REDES!$5:$5,0)),0)</f>
        <v>1.2</v>
      </c>
      <c r="AF210" s="153" t="n">
        <f aca="false">IFERROR(INDEX(APOIO_REDES!$A:$W,MATCH($C210&amp;$I210&amp;$H210&amp;$N210&amp;$O210,APOIO_REDES!$W:$W,0),MATCH(AF$5,APOIO_REDES!$5:$5,0)),0)</f>
        <v>1.363</v>
      </c>
      <c r="AG210" s="153" t="n">
        <f aca="false">IFERROR(INDEX(APOIO_REDES!$A:$W,MATCH($C210&amp;$I210&amp;$H210&amp;$N210&amp;$O210,APOIO_REDES!$W:$W,0),MATCH(AG$5,APOIO_REDES!$5:$5,0)),0)</f>
        <v>0.65</v>
      </c>
      <c r="AH210" s="153" t="n">
        <f aca="false">IFERROR(INDEX(APOIO_REDES!$A:$W,MATCH($C210&amp;$I210&amp;$H210&amp;$N210&amp;$O210,APOIO_REDES!$W:$W,0),MATCH(AH$5,APOIO_REDES!$5:$5,0)),0)</f>
        <v>0.1</v>
      </c>
      <c r="AI210" s="153" t="n">
        <f aca="false">IFERROR(IF($H210&lt;&gt;"",(((($H210/1000)/2)^2)*PI()*$M210),0),0)</f>
        <v>0.0995648152181517</v>
      </c>
      <c r="AJ210" s="153" t="n">
        <f aca="false">IFERROR(IF(AND($H210&lt;&gt;"",$I210="FoFo",OR($N210="MND",$N210="VCA"),$Q210="LINEAR"),0,IF(AND($H210&lt;&gt;"",$I210="PEAD",$N210="VCA",$Q210="LINEAR"),($H210/1000)+0.3,IF(AND($H210&lt;&gt;"",$I210="PEAD",$N210="MND",$Q210="EMBOQUE"),0,IF(AND($H210&lt;&gt;"",$I210="PVC",$N210="VCA",$Q210="LINEAR"),($H210/1000)+0.2,IF(AND($H210&lt;&gt;"",$I210="PVC",$N210="MND",$Q210="EMBOQUE"),0,IF(AND($H210&lt;&gt;"",$I210="PEAD",$N210="VCA",$Q210="PREDIAL"),0,0)))))),0)</f>
        <v>0.363</v>
      </c>
      <c r="AK210" s="153" t="n">
        <f aca="false">IF(AA210&lt;&gt;"",AA210,0)</f>
        <v>4.1</v>
      </c>
      <c r="AL210" s="153" t="n">
        <f aca="false">IF(AND($N210="MND",$Q210="EMBOQUE"),$M210,IF(AND($N210="VCA",$Q210="LINEAR"),$M210,IF(AND($N210="VCA",$Q210="PREDIAL"),0,0)))</f>
        <v>31.94</v>
      </c>
      <c r="AM210" s="153" t="n">
        <f aca="false">IF(AND($N210="MND",$Q210="EMBOQUE"),$M210,IF(AND($N210="VCA",$Q210="LINEAR"),$M210,IF(AND($N210="VCA",$Q210="PREDIAL"),0,0)))</f>
        <v>31.94</v>
      </c>
      <c r="AN210" s="153" t="n">
        <f aca="false">ROUND(IF(AND($N210="VCA",$M210&lt;&gt;"",$Q210="LINEAR"),$M210/100,IF(AND($N210="MND",$M210&gt;100,$Q210="EMBOQUE"),$M210/100,0)),0)</f>
        <v>0</v>
      </c>
      <c r="AO210" s="153" t="n">
        <f aca="false">IF(AND($N210="MND",$Q210="EMBOQUE"),$AN210*2*2,IF(AND($N210="VCA",$Q210="LINEAR"),$M210*2,IF(AND($N210="VCA",$Q210="PREDIAL"),0,0)))</f>
        <v>63.88</v>
      </c>
      <c r="AP210" s="153" t="n">
        <f aca="false">IFERROR($M210*$AF210*$AG210,0)</f>
        <v>28.297243</v>
      </c>
      <c r="AQ210" s="153" t="n">
        <f aca="false">IFERROR(IF(AND($N210="VCA",$AH210&gt;0),$M210*$AG210*$AH210,0),0)</f>
        <v>2.0761</v>
      </c>
      <c r="AR210" s="153" t="n">
        <f aca="false">IFERROR(IF(AND($N210="VCA",$AJ210&gt;0),($M210*$AG210*$AJ210)-$AI210,0),0)</f>
        <v>7.43667818478185</v>
      </c>
      <c r="AS210" s="153" t="n">
        <f aca="false">IFERROR(IF(AND($N210="VCA",$AP210&gt;0),$AP210-$AI210-$AQ210-$AR210,0),0)</f>
        <v>18.6849</v>
      </c>
      <c r="AT210" s="153" t="n">
        <f aca="false">IFERROR(IF($N210="VCA",INDEX(APOIO_REDES!$A:$W,MATCH($C210&amp;$I210&amp;$H210&amp;$N210&amp;$O210,APOIO_REDES!$W:$W,0),MATCH(AT$5,APOIO_REDES!$5:$5,0)),0)*$AP210,0)</f>
        <v>0.307882379396399</v>
      </c>
      <c r="AU210" s="153" t="n">
        <f aca="false">IFERROR(IF($N210="VCA",INDEX(APOIO_REDES!$A:$W,MATCH($C210&amp;$I210&amp;$H210&amp;$N210&amp;$O210,APOIO_REDES!$W:$W,0),MATCH(AU$5,APOIO_REDES!$5:$5,0)),0)*$AP210,0)</f>
        <v>0.245866529673636</v>
      </c>
      <c r="AV210" s="153" t="n">
        <f aca="false">IFERROR(IF($N210="VCA",INDEX(APOIO_REDES!$A:$W,MATCH($C210&amp;$I210&amp;$H210&amp;$N210&amp;$O210,APOIO_REDES!$W:$W,0),MATCH(AV$5,APOIO_REDES!$5:$5,0)),0)*$AP210,0)</f>
        <v>0.0340259975788966</v>
      </c>
      <c r="AW210" s="153" t="n">
        <f aca="false">IFERROR(IF($N210="VCA",INDEX(APOIO_REDES!$A:$W,MATCH($C210&amp;$I210&amp;$H210&amp;$N210&amp;$O210,APOIO_REDES!$W:$W,0),MATCH(AW$5,APOIO_REDES!$5:$5,0)),0)*$AP210,0)</f>
        <v>19.423446852938</v>
      </c>
      <c r="AX210" s="153" t="n">
        <f aca="false">IFERROR(IF($N210="VCA",INDEX(APOIO_REDES!$A:$W,MATCH($C210&amp;$I210&amp;$H210&amp;$N210&amp;$O210,APOIO_REDES!$W:$W,0),MATCH(AX$5,APOIO_REDES!$5:$5,0)),0)*$AP210,0)</f>
        <v>2.68814971571095</v>
      </c>
      <c r="AY210" s="153" t="n">
        <f aca="false">IFERROR(IF($N210="VCA",INDEX(APOIO_REDES!$A:$W,MATCH($C210&amp;$I210&amp;$H210&amp;$N210&amp;$O210,APOIO_REDES!$W:$W,0),MATCH(AY$5,APOIO_REDES!$5:$5,0)),0)*$AP210,0)</f>
        <v>4.91732759637965</v>
      </c>
      <c r="AZ210" s="153" t="n">
        <f aca="false">IFERROR(IF($N210="VCA",INDEX(APOIO_REDES!$A:$W,MATCH($C210&amp;$I210&amp;$H210&amp;$N210&amp;$O210,APOIO_REDES!$W:$W,0),MATCH(AZ$5,APOIO_REDES!$5:$5,0)),0)*$AP210,0)</f>
        <v>0.680543928322461</v>
      </c>
      <c r="BA210" s="153" t="n">
        <f aca="false">IFERROR(IF(AND($N210="VCA",$Q210="LINEAR"),INDEX(APOIO_REDES!$A:$W,MATCH($C210&amp;$I210&amp;$H210&amp;$N210&amp;$O210,APOIO_REDES!$W:$W,0),MATCH(BA$5,APOIO_REDES!$5:$5,0)),IF(AND($N210="MND",$Q210="EMBOQUE"),INDEX(APOIO_REDES!$A:$W,MATCH($C210&amp;$I210&amp;$H210&amp;$N210&amp;$O210,APOIO_REDES!$W:$W,0),MATCH(BA$5,APOIO_REDES!$5:$5,0)),0))*$M210/10,0)</f>
        <v>2.57428343389818</v>
      </c>
      <c r="BB210" s="153" t="n">
        <f aca="false">IFERROR(IF($N210="VCA",INDEX(APOIO_REDES!$A:$W,MATCH($C210&amp;$I210&amp;$H210&amp;$N210&amp;$O210,APOIO_REDES!$W:$W,0),MATCH(BB$5,APOIO_REDES!$5:$5,0)),0)*($AI210+$AQ210+$AR210),0)</f>
        <v>9.5077578630517</v>
      </c>
      <c r="BC210" s="153" t="n">
        <f aca="false">IFERROR(IF($N210="VCA",INDEX(APOIO_REDES!$A:$W,MATCH($C210&amp;$I210&amp;$H210&amp;$N210&amp;$O210,APOIO_REDES!$W:$W,0),MATCH(BC$5,APOIO_REDES!$5:$5,0)),0)*($AI210+$AQ210+$AR210),0)</f>
        <v>0.1045851369483</v>
      </c>
      <c r="BD210" s="153" t="n">
        <f aca="false">IF(AND($N210="VCA",$AF210&gt;=1.25,$AF210&lt;1.5),$M210*$AF210*2,0)</f>
        <v>87.06844</v>
      </c>
      <c r="BE210" s="153" t="n">
        <f aca="false">IF(AND($N210="VCA",$AF210&gt;=1.5,$AF210&lt;3),$M210*$AF210*2,0)</f>
        <v>0</v>
      </c>
      <c r="BF210" s="153" t="n">
        <f aca="false">IF(AND($N210="VCA",$AF210&gt;=3),$M210*$AF210*2,0)</f>
        <v>0</v>
      </c>
      <c r="BG210" s="153" t="n">
        <f aca="false">($BB210+$BC210)*$AK210</f>
        <v>39.4106063</v>
      </c>
      <c r="BH210" s="153" t="n">
        <f aca="false">IF(AND($M210&lt;&gt;"",$N210="VCA",$Q210="LINEAR"),($M210*2)/100,IF(AND($M210&lt;&gt;"",$N210="MND",$Q210="EMBOQUE"),($AN210*2)/100,0))</f>
        <v>0.6388</v>
      </c>
      <c r="BI210" s="153" t="n">
        <f aca="false">IF(AND($M210&lt;&gt;"",$N210="VCA",$Q210="LINEAR"),$M210,IF(AND($M210&lt;&gt;"",$N210="MND",$Q210="EMBOQUE"),$AN210*2,0))</f>
        <v>31.94</v>
      </c>
      <c r="BJ210" s="153" t="n">
        <f aca="false">IF(AND($M210&lt;&gt;"",$N210="VCA",$Q210="LINEAR"),($M210*6.8)/100,IF(AND($M210&lt;&gt;"",$N210="MND",$Q210="EMBOQUE"),($AN210*2*6.8)/100,0))</f>
        <v>2.17192</v>
      </c>
      <c r="BK210" s="153" t="n">
        <f aca="false">IF(AND($M210&lt;&gt;"",$N210="VCA",$Q210="LINEAR"),($M210*2.5)/50,IF(AND($M210&lt;&gt;"",$N210="MND",$Q210="EMBOQUE"),($AN210*2*2.5)/50,0))</f>
        <v>1.597</v>
      </c>
      <c r="BL210" s="157" t="str">
        <f aca="false">K210&amp;J210</f>
        <v>Zona02REDES</v>
      </c>
      <c r="BM210" s="152" t="s">
        <v>2037</v>
      </c>
      <c r="BN210" s="152" t="s">
        <v>1560</v>
      </c>
      <c r="BO210" s="152" t="s">
        <v>2231</v>
      </c>
      <c r="BP210" s="152" t="s">
        <v>2329</v>
      </c>
      <c r="BQ210" s="152" t="s">
        <v>2330</v>
      </c>
      <c r="BR210" s="152" t="s">
        <v>2331</v>
      </c>
      <c r="BS210" s="152" t="n">
        <v>202639.847</v>
      </c>
      <c r="BT210" s="152" t="n">
        <v>8237763.4</v>
      </c>
      <c r="BU210" s="152" t="n">
        <v>202626.95</v>
      </c>
      <c r="BV210" s="152" t="n">
        <v>8237734.26</v>
      </c>
      <c r="BW210" s="152" t="n">
        <v>-15.9216846</v>
      </c>
      <c r="BX210" s="152" t="n">
        <v>-47.7773432</v>
      </c>
      <c r="BY210" s="152" t="s">
        <v>2329</v>
      </c>
    </row>
    <row r="211" customFormat="false" ht="13.8" hidden="false" customHeight="false" outlineLevel="0" collapsed="false">
      <c r="A211" s="149" t="n">
        <f aca="false">IF(C211&lt;&gt;"",ROW(A206),"")</f>
        <v>206</v>
      </c>
      <c r="B211" s="150" t="str">
        <f aca="false">HYPERLINK("https://www.google.com/maps/dir/-15.917302,-47.760003/-15.9218735,-47.7768376/data=!4m3!4m2!3e0!5i1")</f>
        <v>https://www.google.com/maps/dir/-15.917302,-47.760003/-15.9218735,-47.7768376/data=!4m3!4m2!3e0!5i1</v>
      </c>
      <c r="C211" s="151" t="s">
        <v>117</v>
      </c>
      <c r="D211" s="152" t="s">
        <v>112</v>
      </c>
      <c r="E211" s="152" t="s">
        <v>113</v>
      </c>
      <c r="F211" s="152" t="s">
        <v>117</v>
      </c>
      <c r="G211" s="152" t="s">
        <v>782</v>
      </c>
      <c r="H211" s="152" t="n">
        <v>63</v>
      </c>
      <c r="I211" s="152" t="s">
        <v>115</v>
      </c>
      <c r="J211" s="152" t="s">
        <v>6</v>
      </c>
      <c r="K211" s="152" t="s">
        <v>2033</v>
      </c>
      <c r="L211" s="152" t="s">
        <v>120</v>
      </c>
      <c r="M211" s="153" t="n">
        <f aca="false">58.4</f>
        <v>58.4</v>
      </c>
      <c r="N211" s="152" t="s">
        <v>1548</v>
      </c>
      <c r="O211" s="152" t="s">
        <v>1549</v>
      </c>
      <c r="P211" s="152" t="s">
        <v>1550</v>
      </c>
      <c r="Q211" s="152" t="s">
        <v>1551</v>
      </c>
      <c r="R211" s="154" t="s">
        <v>2332</v>
      </c>
      <c r="S211" s="154" t="s">
        <v>1553</v>
      </c>
      <c r="T211" s="155" t="s">
        <v>2227</v>
      </c>
      <c r="U211" s="152" t="str">
        <f aca="false">RIGHT(T211,7)</f>
        <v>008/037</v>
      </c>
      <c r="V211" s="152" t="s">
        <v>1555</v>
      </c>
      <c r="W211" s="156" t="n">
        <v>45882</v>
      </c>
      <c r="X211" s="152" t="s">
        <v>1594</v>
      </c>
      <c r="Y211" s="152" t="s">
        <v>2323</v>
      </c>
      <c r="Z211" s="152" t="s">
        <v>1557</v>
      </c>
      <c r="AA211" s="153" t="n">
        <v>4</v>
      </c>
      <c r="AB211" s="151" t="s">
        <v>2333</v>
      </c>
      <c r="AC211" s="151" t="s">
        <v>186</v>
      </c>
      <c r="AD211" s="151" t="str">
        <f aca="false">CONCATENATE($C211,$I211,$H211,$N211,$J211,$K211)</f>
        <v>TUBO PEADPEAD63VCAREDESZona02</v>
      </c>
      <c r="AE211" s="153" t="n">
        <f aca="false">IFERROR(INDEX(APOIO_REDES!$A:$W,MATCH($C211&amp;$I211&amp;$H211&amp;$N211&amp;$O211,APOIO_REDES!$W:$W,0),MATCH(AE$5,APOIO_REDES!$5:$5,0)),0)</f>
        <v>1.2</v>
      </c>
      <c r="AF211" s="153" t="n">
        <f aca="false">IFERROR(INDEX(APOIO_REDES!$A:$W,MATCH($C211&amp;$I211&amp;$H211&amp;$N211&amp;$O211,APOIO_REDES!$W:$W,0),MATCH(AF$5,APOIO_REDES!$5:$5,0)),0)</f>
        <v>1.363</v>
      </c>
      <c r="AG211" s="153" t="n">
        <f aca="false">IFERROR(INDEX(APOIO_REDES!$A:$W,MATCH($C211&amp;$I211&amp;$H211&amp;$N211&amp;$O211,APOIO_REDES!$W:$W,0),MATCH(AG$5,APOIO_REDES!$5:$5,0)),0)</f>
        <v>0.65</v>
      </c>
      <c r="AH211" s="153" t="n">
        <f aca="false">IFERROR(INDEX(APOIO_REDES!$A:$W,MATCH($C211&amp;$I211&amp;$H211&amp;$N211&amp;$O211,APOIO_REDES!$W:$W,0),MATCH(AH$5,APOIO_REDES!$5:$5,0)),0)</f>
        <v>0.1</v>
      </c>
      <c r="AI211" s="153" t="n">
        <f aca="false">IFERROR(IF($H211&lt;&gt;"",(((($H211/1000)/2)^2)*PI()*$M211),0),0)</f>
        <v>0.182047126134629</v>
      </c>
      <c r="AJ211" s="153" t="n">
        <f aca="false">IFERROR(IF(AND($H211&lt;&gt;"",$I211="FoFo",OR($N211="MND",$N211="VCA"),$Q211="LINEAR"),0,IF(AND($H211&lt;&gt;"",$I211="PEAD",$N211="VCA",$Q211="LINEAR"),($H211/1000)+0.3,IF(AND($H211&lt;&gt;"",$I211="PEAD",$N211="MND",$Q211="EMBOQUE"),0,IF(AND($H211&lt;&gt;"",$I211="PVC",$N211="VCA",$Q211="LINEAR"),($H211/1000)+0.2,IF(AND($H211&lt;&gt;"",$I211="PVC",$N211="MND",$Q211="EMBOQUE"),0,IF(AND($H211&lt;&gt;"",$I211="PEAD",$N211="VCA",$Q211="PREDIAL"),0,0)))))),0)</f>
        <v>0.363</v>
      </c>
      <c r="AK211" s="153" t="n">
        <f aca="false">IF(AA211&lt;&gt;"",AA211,0)</f>
        <v>4</v>
      </c>
      <c r="AL211" s="153" t="n">
        <f aca="false">IF(AND($N211="MND",$Q211="EMBOQUE"),$M211,IF(AND($N211="VCA",$Q211="LINEAR"),$M211,IF(AND($N211="VCA",$Q211="PREDIAL"),0,0)))</f>
        <v>58.4</v>
      </c>
      <c r="AM211" s="153" t="n">
        <f aca="false">IF(AND($N211="MND",$Q211="EMBOQUE"),$M211,IF(AND($N211="VCA",$Q211="LINEAR"),$M211,IF(AND($N211="VCA",$Q211="PREDIAL"),0,0)))</f>
        <v>58.4</v>
      </c>
      <c r="AN211" s="153" t="n">
        <f aca="false">ROUND(IF(AND($N211="VCA",$M211&lt;&gt;"",$Q211="LINEAR"),$M211/100,IF(AND($N211="MND",$M211&gt;100,$Q211="EMBOQUE"),$M211/100,0)),0)</f>
        <v>1</v>
      </c>
      <c r="AO211" s="153" t="n">
        <f aca="false">IF(AND($N211="MND",$Q211="EMBOQUE"),$AN211*2*2,IF(AND($N211="VCA",$Q211="LINEAR"),$M211*2,IF(AND($N211="VCA",$Q211="PREDIAL"),0,0)))</f>
        <v>116.8</v>
      </c>
      <c r="AP211" s="153" t="n">
        <f aca="false">IFERROR($M211*$AF211*$AG211,0)</f>
        <v>51.73948</v>
      </c>
      <c r="AQ211" s="153" t="n">
        <f aca="false">IFERROR(IF(AND($N211="VCA",$AH211&gt;0),$M211*$AG211*$AH211,0),0)</f>
        <v>3.796</v>
      </c>
      <c r="AR211" s="153" t="n">
        <f aca="false">IFERROR(IF(AND($N211="VCA",$AJ211&gt;0),($M211*$AG211*$AJ211)-$AI211,0),0)</f>
        <v>13.5974328738654</v>
      </c>
      <c r="AS211" s="153" t="n">
        <f aca="false">IFERROR(IF(AND($N211="VCA",$AP211&gt;0),$AP211-$AI211-$AQ211-$AR211,0),0)</f>
        <v>34.164</v>
      </c>
      <c r="AT211" s="153" t="n">
        <f aca="false">IFERROR(IF($N211="VCA",INDEX(APOIO_REDES!$A:$W,MATCH($C211&amp;$I211&amp;$H211&amp;$N211&amp;$O211,APOIO_REDES!$W:$W,0),MATCH(AT$5,APOIO_REDES!$5:$5,0)),0)*$AP211,0)</f>
        <v>0.562940856504373</v>
      </c>
      <c r="AU211" s="153" t="n">
        <f aca="false">IFERROR(IF($N211="VCA",INDEX(APOIO_REDES!$A:$W,MATCH($C211&amp;$I211&amp;$H211&amp;$N211&amp;$O211,APOIO_REDES!$W:$W,0),MATCH(AU$5,APOIO_REDES!$5:$5,0)),0)*$AP211,0)</f>
        <v>0.449549321632446</v>
      </c>
      <c r="AV211" s="153" t="n">
        <f aca="false">IFERROR(IF($N211="VCA",INDEX(APOIO_REDES!$A:$W,MATCH($C211&amp;$I211&amp;$H211&amp;$N211&amp;$O211,APOIO_REDES!$W:$W,0),MATCH(AV$5,APOIO_REDES!$5:$5,0)),0)*$AP211,0)</f>
        <v>0.0622140970133865</v>
      </c>
      <c r="AW211" s="153" t="n">
        <f aca="false">IFERROR(IF($N211="VCA",INDEX(APOIO_REDES!$A:$W,MATCH($C211&amp;$I211&amp;$H211&amp;$N211&amp;$O211,APOIO_REDES!$W:$W,0),MATCH(AW$5,APOIO_REDES!$5:$5,0)),0)*$AP211,0)</f>
        <v>35.5143799690539</v>
      </c>
      <c r="AX211" s="153" t="n">
        <f aca="false">IFERROR(IF($N211="VCA",INDEX(APOIO_REDES!$A:$W,MATCH($C211&amp;$I211&amp;$H211&amp;$N211&amp;$O211,APOIO_REDES!$W:$W,0),MATCH(AX$5,APOIO_REDES!$5:$5,0)),0)*$AP211,0)</f>
        <v>4.91508902309078</v>
      </c>
      <c r="AY211" s="153" t="n">
        <f aca="false">IFERROR(IF($N211="VCA",INDEX(APOIO_REDES!$A:$W,MATCH($C211&amp;$I211&amp;$H211&amp;$N211&amp;$O211,APOIO_REDES!$W:$W,0),MATCH(AY$5,APOIO_REDES!$5:$5,0)),0)*$AP211,0)</f>
        <v>8.99098095267913</v>
      </c>
      <c r="AZ211" s="153" t="n">
        <f aca="false">IFERROR(IF($N211="VCA",INDEX(APOIO_REDES!$A:$W,MATCH($C211&amp;$I211&amp;$H211&amp;$N211&amp;$O211,APOIO_REDES!$W:$W,0),MATCH(AZ$5,APOIO_REDES!$5:$5,0)),0)*$AP211,0)</f>
        <v>1.24432578002604</v>
      </c>
      <c r="BA211" s="153" t="n">
        <f aca="false">IFERROR(IF(AND($N211="VCA",$Q211="LINEAR"),INDEX(APOIO_REDES!$A:$W,MATCH($C211&amp;$I211&amp;$H211&amp;$N211&amp;$O211,APOIO_REDES!$W:$W,0),MATCH(BA$5,APOIO_REDES!$5:$5,0)),IF(AND($N211="MND",$Q211="EMBOQUE"),INDEX(APOIO_REDES!$A:$W,MATCH($C211&amp;$I211&amp;$H211&amp;$N211&amp;$O211,APOIO_REDES!$W:$W,0),MATCH(BA$5,APOIO_REDES!$5:$5,0)),0))*$M211/10,0)</f>
        <v>4.70689269065917</v>
      </c>
      <c r="BB211" s="153" t="n">
        <f aca="false">IFERROR(IF($N211="VCA",INDEX(APOIO_REDES!$A:$W,MATCH($C211&amp;$I211&amp;$H211&amp;$N211&amp;$O211,APOIO_REDES!$W:$W,0),MATCH(BB$5,APOIO_REDES!$5:$5,0)),0)*($AI211+$AQ211+$AR211),0)</f>
        <v>17.3842535755235</v>
      </c>
      <c r="BC211" s="153" t="n">
        <f aca="false">IFERROR(IF($N211="VCA",INDEX(APOIO_REDES!$A:$W,MATCH($C211&amp;$I211&amp;$H211&amp;$N211&amp;$O211,APOIO_REDES!$W:$W,0),MATCH(BC$5,APOIO_REDES!$5:$5,0)),0)*($AI211+$AQ211+$AR211),0)</f>
        <v>0.191226424476541</v>
      </c>
      <c r="BD211" s="153" t="n">
        <f aca="false">IF(AND($N211="VCA",$AF211&gt;=1.25,$AF211&lt;1.5),$M211*$AF211*2,0)</f>
        <v>159.1984</v>
      </c>
      <c r="BE211" s="153" t="n">
        <f aca="false">IF(AND($N211="VCA",$AF211&gt;=1.5,$AF211&lt;3),$M211*$AF211*2,0)</f>
        <v>0</v>
      </c>
      <c r="BF211" s="153" t="n">
        <f aca="false">IF(AND($N211="VCA",$AF211&gt;=3),$M211*$AF211*2,0)</f>
        <v>0</v>
      </c>
      <c r="BG211" s="153" t="n">
        <f aca="false">($BB211+$BC211)*$AK211</f>
        <v>70.30192</v>
      </c>
      <c r="BH211" s="153" t="n">
        <f aca="false">IF(AND($M211&lt;&gt;"",$N211="VCA",$Q211="LINEAR"),($M211*2)/100,IF(AND($M211&lt;&gt;"",$N211="MND",$Q211="EMBOQUE"),($AN211*2)/100,0))</f>
        <v>1.168</v>
      </c>
      <c r="BI211" s="153" t="n">
        <f aca="false">IF(AND($M211&lt;&gt;"",$N211="VCA",$Q211="LINEAR"),$M211,IF(AND($M211&lt;&gt;"",$N211="MND",$Q211="EMBOQUE"),$AN211*2,0))</f>
        <v>58.4</v>
      </c>
      <c r="BJ211" s="153" t="n">
        <f aca="false">IF(AND($M211&lt;&gt;"",$N211="VCA",$Q211="LINEAR"),($M211*6.8)/100,IF(AND($M211&lt;&gt;"",$N211="MND",$Q211="EMBOQUE"),($AN211*2*6.8)/100,0))</f>
        <v>3.9712</v>
      </c>
      <c r="BK211" s="153" t="n">
        <f aca="false">IF(AND($M211&lt;&gt;"",$N211="VCA",$Q211="LINEAR"),($M211*2.5)/50,IF(AND($M211&lt;&gt;"",$N211="MND",$Q211="EMBOQUE"),($AN211*2*2.5)/50,0))</f>
        <v>2.92</v>
      </c>
      <c r="BL211" s="157" t="str">
        <f aca="false">K211&amp;J211</f>
        <v>Zona02REDES</v>
      </c>
      <c r="BM211" s="152" t="s">
        <v>2037</v>
      </c>
      <c r="BN211" s="152" t="s">
        <v>1560</v>
      </c>
      <c r="BO211" s="152" t="s">
        <v>2231</v>
      </c>
      <c r="BP211" s="152" t="s">
        <v>2325</v>
      </c>
      <c r="BQ211" s="152" t="s">
        <v>2329</v>
      </c>
      <c r="BR211" s="152" t="s">
        <v>2331</v>
      </c>
      <c r="BS211" s="152" t="n">
        <v>202687.031</v>
      </c>
      <c r="BT211" s="152" t="n">
        <v>8237728.989</v>
      </c>
      <c r="BU211" s="152" t="n">
        <v>202639.847</v>
      </c>
      <c r="BV211" s="152" t="n">
        <v>8237763.4</v>
      </c>
      <c r="BW211" s="152" t="n">
        <v>-15.9217148</v>
      </c>
      <c r="BX211" s="152" t="n">
        <v>-47.7770556</v>
      </c>
      <c r="BY211" s="152" t="s">
        <v>2325</v>
      </c>
    </row>
    <row r="212" customFormat="false" ht="13.8" hidden="false" customHeight="false" outlineLevel="0" collapsed="false">
      <c r="A212" s="149" t="n">
        <f aca="false">IF(C212&lt;&gt;"",ROW(A207),"")</f>
        <v>207</v>
      </c>
      <c r="B212" s="150" t="str">
        <f aca="false">HYPERLINK("https://www.google.com/maps/dir/-15.917302,-47.760003/-15.9221375,-47.7745527/data=!4m3!4m2!3e0!5i1")</f>
        <v>https://www.google.com/maps/dir/-15.917302,-47.760003/-15.9221375,-47.7745527/data=!4m3!4m2!3e0!5i1</v>
      </c>
      <c r="C212" s="151" t="s">
        <v>117</v>
      </c>
      <c r="D212" s="152" t="s">
        <v>112</v>
      </c>
      <c r="E212" s="152" t="s">
        <v>113</v>
      </c>
      <c r="F212" s="152" t="s">
        <v>117</v>
      </c>
      <c r="G212" s="152" t="s">
        <v>114</v>
      </c>
      <c r="H212" s="152" t="n">
        <v>250</v>
      </c>
      <c r="I212" s="152" t="s">
        <v>115</v>
      </c>
      <c r="J212" s="152" t="s">
        <v>6</v>
      </c>
      <c r="K212" s="152" t="s">
        <v>2033</v>
      </c>
      <c r="L212" s="152" t="s">
        <v>120</v>
      </c>
      <c r="M212" s="153" t="n">
        <f aca="false">94.91</f>
        <v>94.91</v>
      </c>
      <c r="N212" s="152" t="s">
        <v>1548</v>
      </c>
      <c r="O212" s="152" t="s">
        <v>1549</v>
      </c>
      <c r="P212" s="152" t="s">
        <v>1550</v>
      </c>
      <c r="Q212" s="152" t="s">
        <v>1551</v>
      </c>
      <c r="R212" s="154" t="s">
        <v>2334</v>
      </c>
      <c r="S212" s="154" t="s">
        <v>1593</v>
      </c>
      <c r="T212" s="155" t="s">
        <v>2227</v>
      </c>
      <c r="U212" s="152" t="str">
        <f aca="false">RIGHT(T212,7)</f>
        <v>008/037</v>
      </c>
      <c r="V212" s="152" t="s">
        <v>1555</v>
      </c>
      <c r="W212" s="156" t="n">
        <v>45882</v>
      </c>
      <c r="X212" s="152" t="s">
        <v>1594</v>
      </c>
      <c r="Y212" s="152"/>
      <c r="Z212" s="152" t="s">
        <v>1557</v>
      </c>
      <c r="AA212" s="153" t="n">
        <v>3.9</v>
      </c>
      <c r="AB212" s="151" t="s">
        <v>2335</v>
      </c>
      <c r="AC212" s="151" t="s">
        <v>511</v>
      </c>
      <c r="AD212" s="151" t="str">
        <f aca="false">CONCATENATE($C212,$I212,$H212,$N212,$J212,$K212)</f>
        <v>TUBO PEADPEAD250VCAREDESZona02</v>
      </c>
      <c r="AE212" s="153" t="n">
        <f aca="false">IFERROR(INDEX(APOIO_REDES!$A:$W,MATCH($C212&amp;$I212&amp;$H212&amp;$N212&amp;$O212,APOIO_REDES!$W:$W,0),MATCH(AE$5,APOIO_REDES!$5:$5,0)),0)</f>
        <v>1.2</v>
      </c>
      <c r="AF212" s="153" t="n">
        <f aca="false">IFERROR(INDEX(APOIO_REDES!$A:$W,MATCH($C212&amp;$I212&amp;$H212&amp;$N212&amp;$O212,APOIO_REDES!$W:$W,0),MATCH(AF$5,APOIO_REDES!$5:$5,0)),0)</f>
        <v>1.55</v>
      </c>
      <c r="AG212" s="153" t="n">
        <f aca="false">IFERROR(INDEX(APOIO_REDES!$A:$W,MATCH($C212&amp;$I212&amp;$H212&amp;$N212&amp;$O212,APOIO_REDES!$W:$W,0),MATCH(AG$5,APOIO_REDES!$5:$5,0)),0)</f>
        <v>0.85</v>
      </c>
      <c r="AH212" s="153" t="n">
        <f aca="false">IFERROR(INDEX(APOIO_REDES!$A:$W,MATCH($C212&amp;$I212&amp;$H212&amp;$N212&amp;$O212,APOIO_REDES!$W:$W,0),MATCH(AH$5,APOIO_REDES!$5:$5,0)),0)</f>
        <v>0.1</v>
      </c>
      <c r="AI212" s="153" t="n">
        <f aca="false">IFERROR(IF($H212&lt;&gt;"",(((($H212/1000)/2)^2)*PI()*$M212),0),0)</f>
        <v>4.65888373050324</v>
      </c>
      <c r="AJ212" s="153" t="n">
        <f aca="false">IFERROR(IF(AND($H212&lt;&gt;"",$I212="FoFo",OR($N212="MND",$N212="VCA"),$Q212="LINEAR"),0,IF(AND($H212&lt;&gt;"",$I212="PEAD",$N212="VCA",$Q212="LINEAR"),($H212/1000)+0.3,IF(AND($H212&lt;&gt;"",$I212="PEAD",$N212="MND",$Q212="EMBOQUE"),0,IF(AND($H212&lt;&gt;"",$I212="PVC",$N212="VCA",$Q212="LINEAR"),($H212/1000)+0.2,IF(AND($H212&lt;&gt;"",$I212="PVC",$N212="MND",$Q212="EMBOQUE"),0,IF(AND($H212&lt;&gt;"",$I212="PEAD",$N212="VCA",$Q212="PREDIAL"),0,0)))))),0)</f>
        <v>0.55</v>
      </c>
      <c r="AK212" s="153" t="n">
        <f aca="false">IF(AA212&lt;&gt;"",AA212,0)</f>
        <v>3.9</v>
      </c>
      <c r="AL212" s="153" t="n">
        <f aca="false">IF(AND($N212="MND",$Q212="EMBOQUE"),$M212,IF(AND($N212="VCA",$Q212="LINEAR"),$M212,IF(AND($N212="VCA",$Q212="PREDIAL"),0,0)))</f>
        <v>94.91</v>
      </c>
      <c r="AM212" s="153" t="n">
        <f aca="false">IF(AND($N212="MND",$Q212="EMBOQUE"),$M212,IF(AND($N212="VCA",$Q212="LINEAR"),$M212,IF(AND($N212="VCA",$Q212="PREDIAL"),0,0)))</f>
        <v>94.91</v>
      </c>
      <c r="AN212" s="153" t="n">
        <f aca="false">ROUND(IF(AND($N212="VCA",$M212&lt;&gt;"",$Q212="LINEAR"),$M212/100,IF(AND($N212="MND",$M212&gt;100,$Q212="EMBOQUE"),$M212/100,0)),0)</f>
        <v>1</v>
      </c>
      <c r="AO212" s="153" t="n">
        <f aca="false">IF(AND($N212="MND",$Q212="EMBOQUE"),$AN212*2*2,IF(AND($N212="VCA",$Q212="LINEAR"),$M212*2,IF(AND($N212="VCA",$Q212="PREDIAL"),0,0)))</f>
        <v>189.82</v>
      </c>
      <c r="AP212" s="153" t="n">
        <f aca="false">IFERROR($M212*$AF212*$AG212,0)</f>
        <v>125.043925</v>
      </c>
      <c r="AQ212" s="153" t="n">
        <f aca="false">IFERROR(IF(AND($N212="VCA",$AH212&gt;0),$M212*$AG212*$AH212,0),0)</f>
        <v>8.06735</v>
      </c>
      <c r="AR212" s="153" t="n">
        <f aca="false">IFERROR(IF(AND($N212="VCA",$AJ212&gt;0),($M212*$AG212*$AJ212)-$AI212,0),0)</f>
        <v>39.7115412694968</v>
      </c>
      <c r="AS212" s="153" t="n">
        <f aca="false">IFERROR(IF(AND($N212="VCA",$AP212&gt;0),$AP212-$AI212-$AQ212-$AR212,0),0)</f>
        <v>72.60615</v>
      </c>
      <c r="AT212" s="153" t="n">
        <f aca="false">IFERROR(IF($N212="VCA",INDEX(APOIO_REDES!$A:$W,MATCH($C212&amp;$I212&amp;$H212&amp;$N212&amp;$O212,APOIO_REDES!$W:$W,0),MATCH(AT$5,APOIO_REDES!$5:$5,0)),0)*$AP212,0)</f>
        <v>1.36051491511257</v>
      </c>
      <c r="AU212" s="153" t="n">
        <f aca="false">IFERROR(IF($N212="VCA",INDEX(APOIO_REDES!$A:$W,MATCH($C212&amp;$I212&amp;$H212&amp;$N212&amp;$O212,APOIO_REDES!$W:$W,0),MATCH(AU$5,APOIO_REDES!$5:$5,0)),0)*$AP212,0)</f>
        <v>1.08647036379199</v>
      </c>
      <c r="AV212" s="153" t="n">
        <f aca="false">IFERROR(IF($N212="VCA",INDEX(APOIO_REDES!$A:$W,MATCH($C212&amp;$I212&amp;$H212&amp;$N212&amp;$O212,APOIO_REDES!$W:$W,0),MATCH(AV$5,APOIO_REDES!$5:$5,0)),0)*$AP212,0)</f>
        <v>0.150358969222045</v>
      </c>
      <c r="AW212" s="153" t="n">
        <f aca="false">IFERROR(IF($N212="VCA",INDEX(APOIO_REDES!$A:$W,MATCH($C212&amp;$I212&amp;$H212&amp;$N212&amp;$O212,APOIO_REDES!$W:$W,0),MATCH(AW$5,APOIO_REDES!$5:$5,0)),0)*$AP212,0)</f>
        <v>85.8311190076103</v>
      </c>
      <c r="AX212" s="153" t="n">
        <f aca="false">IFERROR(IF($N212="VCA",INDEX(APOIO_REDES!$A:$W,MATCH($C212&amp;$I212&amp;$H212&amp;$N212&amp;$O212,APOIO_REDES!$W:$W,0),MATCH(AX$5,APOIO_REDES!$5:$5,0)),0)*$AP212,0)</f>
        <v>11.8787823760828</v>
      </c>
      <c r="AY212" s="153" t="n">
        <f aca="false">IFERROR(IF($N212="VCA",INDEX(APOIO_REDES!$A:$W,MATCH($C212&amp;$I212&amp;$H212&amp;$N212&amp;$O212,APOIO_REDES!$W:$W,0),MATCH(AY$5,APOIO_REDES!$5:$5,0)),0)*$AP212,0)</f>
        <v>21.7293940318542</v>
      </c>
      <c r="AZ212" s="153" t="n">
        <f aca="false">IFERROR(IF($N212="VCA",INDEX(APOIO_REDES!$A:$W,MATCH($C212&amp;$I212&amp;$H212&amp;$N212&amp;$O212,APOIO_REDES!$W:$W,0),MATCH(AZ$5,APOIO_REDES!$5:$5,0)),0)*$AP212,0)</f>
        <v>3.0072853363262</v>
      </c>
      <c r="BA212" s="153" t="n">
        <f aca="false">IFERROR(IF(AND($N212="VCA",$Q212="LINEAR"),INDEX(APOIO_REDES!$A:$W,MATCH($C212&amp;$I212&amp;$H212&amp;$N212&amp;$O212,APOIO_REDES!$W:$W,0),MATCH(BA$5,APOIO_REDES!$5:$5,0)),IF(AND($N212="MND",$Q212="EMBOQUE"),INDEX(APOIO_REDES!$A:$W,MATCH($C212&amp;$I212&amp;$H212&amp;$N212&amp;$O212,APOIO_REDES!$W:$W,0),MATCH(BA$5,APOIO_REDES!$5:$5,0)),0))*$M212/10,0)</f>
        <v>7.64950659709695</v>
      </c>
      <c r="BB212" s="153" t="n">
        <f aca="false">IFERROR(IF($N212="VCA",INDEX(APOIO_REDES!$A:$W,MATCH($C212&amp;$I212&amp;$H212&amp;$N212&amp;$O212,APOIO_REDES!$W:$W,0),MATCH(BB$5,APOIO_REDES!$5:$5,0)),0)*($AI212+$AQ212+$AR212),0)</f>
        <v>51.8672364872109</v>
      </c>
      <c r="BC212" s="153" t="n">
        <f aca="false">IFERROR(IF($N212="VCA",INDEX(APOIO_REDES!$A:$W,MATCH($C212&amp;$I212&amp;$H212&amp;$N212&amp;$O212,APOIO_REDES!$W:$W,0),MATCH(BC$5,APOIO_REDES!$5:$5,0)),0)*($AI212+$AQ212+$AR212),0)</f>
        <v>0.570538512789143</v>
      </c>
      <c r="BD212" s="153" t="n">
        <f aca="false">IF(AND($N212="VCA",$AF212&gt;=1.25,$AF212&lt;1.5),$M212*$AF212*2,0)</f>
        <v>0</v>
      </c>
      <c r="BE212" s="153" t="n">
        <f aca="false">IF(AND($N212="VCA",$AF212&gt;=1.5,$AF212&lt;3),$M212*$AF212*2,0)</f>
        <v>294.221</v>
      </c>
      <c r="BF212" s="153" t="n">
        <f aca="false">IF(AND($N212="VCA",$AF212&gt;=3),$M212*$AF212*2,0)</f>
        <v>0</v>
      </c>
      <c r="BG212" s="153" t="n">
        <f aca="false">($BB212+$BC212)*$AK212</f>
        <v>204.5073225</v>
      </c>
      <c r="BH212" s="153" t="n">
        <f aca="false">IF(AND($M212&lt;&gt;"",$N212="VCA",$Q212="LINEAR"),($M212*2)/100,IF(AND($M212&lt;&gt;"",$N212="MND",$Q212="EMBOQUE"),($AN212*2)/100,0))</f>
        <v>1.8982</v>
      </c>
      <c r="BI212" s="153" t="n">
        <f aca="false">IF(AND($M212&lt;&gt;"",$N212="VCA",$Q212="LINEAR"),$M212,IF(AND($M212&lt;&gt;"",$N212="MND",$Q212="EMBOQUE"),$AN212*2,0))</f>
        <v>94.91</v>
      </c>
      <c r="BJ212" s="153" t="n">
        <f aca="false">IF(AND($M212&lt;&gt;"",$N212="VCA",$Q212="LINEAR"),($M212*6.8)/100,IF(AND($M212&lt;&gt;"",$N212="MND",$Q212="EMBOQUE"),($AN212*2*6.8)/100,0))</f>
        <v>6.45388</v>
      </c>
      <c r="BK212" s="153" t="n">
        <f aca="false">IF(AND($M212&lt;&gt;"",$N212="VCA",$Q212="LINEAR"),($M212*2.5)/50,IF(AND($M212&lt;&gt;"",$N212="MND",$Q212="EMBOQUE"),($AN212*2*2.5)/50,0))</f>
        <v>4.7455</v>
      </c>
      <c r="BL212" s="157" t="str">
        <f aca="false">K212&amp;J212</f>
        <v>Zona02REDES</v>
      </c>
      <c r="BM212" s="152" t="s">
        <v>2037</v>
      </c>
      <c r="BN212" s="152" t="s">
        <v>1560</v>
      </c>
      <c r="BO212" s="152" t="s">
        <v>2231</v>
      </c>
      <c r="BP212" s="152" t="s">
        <v>2336</v>
      </c>
      <c r="BQ212" s="152" t="s">
        <v>2032</v>
      </c>
      <c r="BR212" s="152" t="s">
        <v>2337</v>
      </c>
      <c r="BS212" s="152" t="n">
        <v>202932.251</v>
      </c>
      <c r="BT212" s="152" t="n">
        <v>8237702.999</v>
      </c>
      <c r="BU212" s="152" t="n">
        <v>202981.781</v>
      </c>
      <c r="BV212" s="152" t="n">
        <v>8237783.63</v>
      </c>
      <c r="BW212" s="152" t="n">
        <v>-15.921788</v>
      </c>
      <c r="BX212" s="152" t="n">
        <v>-47.7742964</v>
      </c>
      <c r="BY212" s="152" t="s">
        <v>2336</v>
      </c>
    </row>
    <row r="213" customFormat="false" ht="13.8" hidden="false" customHeight="false" outlineLevel="0" collapsed="false">
      <c r="A213" s="149" t="n">
        <f aca="false">IF(C213&lt;&gt;"",ROW(A208),"")</f>
        <v>208</v>
      </c>
      <c r="B213" s="150" t="str">
        <f aca="false">HYPERLINK("https://www.google.com/maps/dir/-15.917302,-47.760003/-15.9219514,-47.7764963/data=!4m3!4m2!3e0!5i1")</f>
        <v>https://www.google.com/maps/dir/-15.917302,-47.760003/-15.9219514,-47.7764963/data=!4m3!4m2!3e0!5i1</v>
      </c>
      <c r="C213" s="151" t="s">
        <v>117</v>
      </c>
      <c r="D213" s="152" t="s">
        <v>112</v>
      </c>
      <c r="E213" s="152" t="s">
        <v>113</v>
      </c>
      <c r="F213" s="152" t="s">
        <v>117</v>
      </c>
      <c r="G213" s="152" t="s">
        <v>782</v>
      </c>
      <c r="H213" s="152" t="n">
        <v>63</v>
      </c>
      <c r="I213" s="152" t="s">
        <v>115</v>
      </c>
      <c r="J213" s="152" t="s">
        <v>6</v>
      </c>
      <c r="K213" s="152" t="s">
        <v>2033</v>
      </c>
      <c r="L213" s="152" t="s">
        <v>120</v>
      </c>
      <c r="M213" s="153" t="n">
        <f aca="false">46+2.01</f>
        <v>48.01</v>
      </c>
      <c r="N213" s="152" t="s">
        <v>1548</v>
      </c>
      <c r="O213" s="152" t="s">
        <v>1549</v>
      </c>
      <c r="P213" s="152" t="s">
        <v>1550</v>
      </c>
      <c r="Q213" s="152" t="s">
        <v>1551</v>
      </c>
      <c r="R213" s="154" t="s">
        <v>2338</v>
      </c>
      <c r="S213" s="154" t="s">
        <v>1553</v>
      </c>
      <c r="T213" s="155" t="s">
        <v>2227</v>
      </c>
      <c r="U213" s="152" t="str">
        <f aca="false">RIGHT(T213,7)</f>
        <v>008/037</v>
      </c>
      <c r="V213" s="152" t="s">
        <v>1555</v>
      </c>
      <c r="W213" s="156" t="n">
        <v>45882</v>
      </c>
      <c r="X213" s="152" t="s">
        <v>1594</v>
      </c>
      <c r="Y213" s="152" t="s">
        <v>2339</v>
      </c>
      <c r="Z213" s="152" t="s">
        <v>1557</v>
      </c>
      <c r="AA213" s="153" t="n">
        <v>4</v>
      </c>
      <c r="AB213" s="151" t="s">
        <v>2340</v>
      </c>
      <c r="AC213" s="151" t="s">
        <v>186</v>
      </c>
      <c r="AD213" s="151" t="str">
        <f aca="false">CONCATENATE($C213,$I213,$H213,$N213,$J213,$K213)</f>
        <v>TUBO PEADPEAD63VCAREDESZona02</v>
      </c>
      <c r="AE213" s="153" t="n">
        <f aca="false">IFERROR(INDEX(APOIO_REDES!$A:$W,MATCH($C213&amp;$I213&amp;$H213&amp;$N213&amp;$O213,APOIO_REDES!$W:$W,0),MATCH(AE$5,APOIO_REDES!$5:$5,0)),0)</f>
        <v>1.2</v>
      </c>
      <c r="AF213" s="153" t="n">
        <f aca="false">IFERROR(INDEX(APOIO_REDES!$A:$W,MATCH($C213&amp;$I213&amp;$H213&amp;$N213&amp;$O213,APOIO_REDES!$W:$W,0),MATCH(AF$5,APOIO_REDES!$5:$5,0)),0)</f>
        <v>1.363</v>
      </c>
      <c r="AG213" s="153" t="n">
        <f aca="false">IFERROR(INDEX(APOIO_REDES!$A:$W,MATCH($C213&amp;$I213&amp;$H213&amp;$N213&amp;$O213,APOIO_REDES!$W:$W,0),MATCH(AG$5,APOIO_REDES!$5:$5,0)),0)</f>
        <v>0.65</v>
      </c>
      <c r="AH213" s="153" t="n">
        <f aca="false">IFERROR(INDEX(APOIO_REDES!$A:$W,MATCH($C213&amp;$I213&amp;$H213&amp;$N213&amp;$O213,APOIO_REDES!$W:$W,0),MATCH(AH$5,APOIO_REDES!$5:$5,0)),0)</f>
        <v>0.1</v>
      </c>
      <c r="AI213" s="153" t="n">
        <f aca="false">IFERROR(IF($H213&lt;&gt;"",(((($H213/1000)/2)^2)*PI()*$M213),0),0)</f>
        <v>0.14965894735828</v>
      </c>
      <c r="AJ213" s="153" t="n">
        <f aca="false">IFERROR(IF(AND($H213&lt;&gt;"",$I213="FoFo",OR($N213="MND",$N213="VCA"),$Q213="LINEAR"),0,IF(AND($H213&lt;&gt;"",$I213="PEAD",$N213="VCA",$Q213="LINEAR"),($H213/1000)+0.3,IF(AND($H213&lt;&gt;"",$I213="PEAD",$N213="MND",$Q213="EMBOQUE"),0,IF(AND($H213&lt;&gt;"",$I213="PVC",$N213="VCA",$Q213="LINEAR"),($H213/1000)+0.2,IF(AND($H213&lt;&gt;"",$I213="PVC",$N213="MND",$Q213="EMBOQUE"),0,IF(AND($H213&lt;&gt;"",$I213="PEAD",$N213="VCA",$Q213="PREDIAL"),0,0)))))),0)</f>
        <v>0.363</v>
      </c>
      <c r="AK213" s="153" t="n">
        <f aca="false">IF(AA213&lt;&gt;"",AA213,0)</f>
        <v>4</v>
      </c>
      <c r="AL213" s="153" t="n">
        <f aca="false">IF(AND($N213="MND",$Q213="EMBOQUE"),$M213,IF(AND($N213="VCA",$Q213="LINEAR"),$M213,IF(AND($N213="VCA",$Q213="PREDIAL"),0,0)))</f>
        <v>48.01</v>
      </c>
      <c r="AM213" s="153" t="n">
        <f aca="false">IF(AND($N213="MND",$Q213="EMBOQUE"),$M213,IF(AND($N213="VCA",$Q213="LINEAR"),$M213,IF(AND($N213="VCA",$Q213="PREDIAL"),0,0)))</f>
        <v>48.01</v>
      </c>
      <c r="AN213" s="153" t="n">
        <f aca="false">ROUND(IF(AND($N213="VCA",$M213&lt;&gt;"",$Q213="LINEAR"),$M213/100,IF(AND($N213="MND",$M213&gt;100,$Q213="EMBOQUE"),$M213/100,0)),0)</f>
        <v>0</v>
      </c>
      <c r="AO213" s="153" t="n">
        <f aca="false">IF(AND($N213="MND",$Q213="EMBOQUE"),$AN213*2*2,IF(AND($N213="VCA",$Q213="LINEAR"),$M213*2,IF(AND($N213="VCA",$Q213="PREDIAL"),0,0)))</f>
        <v>96.02</v>
      </c>
      <c r="AP213" s="153" t="n">
        <f aca="false">IFERROR($M213*$AF213*$AG213,0)</f>
        <v>42.5344595</v>
      </c>
      <c r="AQ213" s="153" t="n">
        <f aca="false">IFERROR(IF(AND($N213="VCA",$AH213&gt;0),$M213*$AG213*$AH213,0),0)</f>
        <v>3.12065</v>
      </c>
      <c r="AR213" s="153" t="n">
        <f aca="false">IFERROR(IF(AND($N213="VCA",$AJ213&gt;0),($M213*$AG213*$AJ213)-$AI213,0),0)</f>
        <v>11.1783005526417</v>
      </c>
      <c r="AS213" s="153" t="n">
        <f aca="false">IFERROR(IF(AND($N213="VCA",$AP213&gt;0),$AP213-$AI213-$AQ213-$AR213,0),0)</f>
        <v>28.08585</v>
      </c>
      <c r="AT213" s="153" t="n">
        <f aca="false">IFERROR(IF($N213="VCA",INDEX(APOIO_REDES!$A:$W,MATCH($C213&amp;$I213&amp;$H213&amp;$N213&amp;$O213,APOIO_REDES!$W:$W,0),MATCH(AT$5,APOIO_REDES!$5:$5,0)),0)*$AP213,0)</f>
        <v>0.46278750891738</v>
      </c>
      <c r="AU213" s="153" t="n">
        <f aca="false">IFERROR(IF($N213="VCA",INDEX(APOIO_REDES!$A:$W,MATCH($C213&amp;$I213&amp;$H213&amp;$N213&amp;$O213,APOIO_REDES!$W:$W,0),MATCH(AU$5,APOIO_REDES!$5:$5,0)),0)*$AP213,0)</f>
        <v>0.369569570746125</v>
      </c>
      <c r="AV213" s="153" t="n">
        <f aca="false">IFERROR(IF($N213="VCA",INDEX(APOIO_REDES!$A:$W,MATCH($C213&amp;$I213&amp;$H213&amp;$N213&amp;$O213,APOIO_REDES!$W:$W,0),MATCH(AV$5,APOIO_REDES!$5:$5,0)),0)*$AP213,0)</f>
        <v>0.0511455273563816</v>
      </c>
      <c r="AW213" s="153" t="n">
        <f aca="false">IFERROR(IF($N213="VCA",INDEX(APOIO_REDES!$A:$W,MATCH($C213&amp;$I213&amp;$H213&amp;$N213&amp;$O213,APOIO_REDES!$W:$W,0),MATCH(AW$5,APOIO_REDES!$5:$5,0)),0)*$AP213,0)</f>
        <v>29.1959825738746</v>
      </c>
      <c r="AX213" s="153" t="n">
        <f aca="false">IFERROR(IF($N213="VCA",INDEX(APOIO_REDES!$A:$W,MATCH($C213&amp;$I213&amp;$H213&amp;$N213&amp;$O213,APOIO_REDES!$W:$W,0),MATCH(AX$5,APOIO_REDES!$5:$5,0)),0)*$AP213,0)</f>
        <v>4.04064082189363</v>
      </c>
      <c r="AY213" s="153" t="n">
        <f aca="false">IFERROR(IF($N213="VCA",INDEX(APOIO_REDES!$A:$W,MATCH($C213&amp;$I213&amp;$H213&amp;$N213&amp;$O213,APOIO_REDES!$W:$W,0),MATCH(AY$5,APOIO_REDES!$5:$5,0)),0)*$AP213,0)</f>
        <v>7.3913869098994</v>
      </c>
      <c r="AZ213" s="153" t="n">
        <f aca="false">IFERROR(IF($N213="VCA",INDEX(APOIO_REDES!$A:$W,MATCH($C213&amp;$I213&amp;$H213&amp;$N213&amp;$O213,APOIO_REDES!$W:$W,0),MATCH(AZ$5,APOIO_REDES!$5:$5,0)),0)*$AP213,0)</f>
        <v>1.0229465873125</v>
      </c>
      <c r="BA213" s="153" t="n">
        <f aca="false">IFERROR(IF(AND($N213="VCA",$Q213="LINEAR"),INDEX(APOIO_REDES!$A:$W,MATCH($C213&amp;$I213&amp;$H213&amp;$N213&amp;$O213,APOIO_REDES!$W:$W,0),MATCH(BA$5,APOIO_REDES!$5:$5,0)),IF(AND($N213="MND",$Q213="EMBOQUE"),INDEX(APOIO_REDES!$A:$W,MATCH($C213&amp;$I213&amp;$H213&amp;$N213&amp;$O213,APOIO_REDES!$W:$W,0),MATCH(BA$5,APOIO_REDES!$5:$5,0)),0))*$M213/10,0)</f>
        <v>3.86948489860525</v>
      </c>
      <c r="BB213" s="153" t="n">
        <f aca="false">IFERROR(IF($N213="VCA",INDEX(APOIO_REDES!$A:$W,MATCH($C213&amp;$I213&amp;$H213&amp;$N213&amp;$O213,APOIO_REDES!$W:$W,0),MATCH(BB$5,APOIO_REDES!$5:$5,0)),0)*($AI213+$AQ213+$AR213),0)</f>
        <v>14.2914043520699</v>
      </c>
      <c r="BC213" s="153" t="n">
        <f aca="false">IFERROR(IF($N213="VCA",INDEX(APOIO_REDES!$A:$W,MATCH($C213&amp;$I213&amp;$H213&amp;$N213&amp;$O213,APOIO_REDES!$W:$W,0),MATCH(BC$5,APOIO_REDES!$5:$5,0)),0)*($AI213+$AQ213+$AR213),0)</f>
        <v>0.157205147930115</v>
      </c>
      <c r="BD213" s="153" t="n">
        <f aca="false">IF(AND($N213="VCA",$AF213&gt;=1.25,$AF213&lt;1.5),$M213*$AF213*2,0)</f>
        <v>130.87526</v>
      </c>
      <c r="BE213" s="153" t="n">
        <f aca="false">IF(AND($N213="VCA",$AF213&gt;=1.5,$AF213&lt;3),$M213*$AF213*2,0)</f>
        <v>0</v>
      </c>
      <c r="BF213" s="153" t="n">
        <f aca="false">IF(AND($N213="VCA",$AF213&gt;=3),$M213*$AF213*2,0)</f>
        <v>0</v>
      </c>
      <c r="BG213" s="153" t="n">
        <f aca="false">($BB213+$BC213)*$AK213</f>
        <v>57.794438</v>
      </c>
      <c r="BH213" s="153" t="n">
        <f aca="false">IF(AND($M213&lt;&gt;"",$N213="VCA",$Q213="LINEAR"),($M213*2)/100,IF(AND($M213&lt;&gt;"",$N213="MND",$Q213="EMBOQUE"),($AN213*2)/100,0))</f>
        <v>0.9602</v>
      </c>
      <c r="BI213" s="153" t="n">
        <f aca="false">IF(AND($M213&lt;&gt;"",$N213="VCA",$Q213="LINEAR"),$M213,IF(AND($M213&lt;&gt;"",$N213="MND",$Q213="EMBOQUE"),$AN213*2,0))</f>
        <v>48.01</v>
      </c>
      <c r="BJ213" s="153" t="n">
        <f aca="false">IF(AND($M213&lt;&gt;"",$N213="VCA",$Q213="LINEAR"),($M213*6.8)/100,IF(AND($M213&lt;&gt;"",$N213="MND",$Q213="EMBOQUE"),($AN213*2*6.8)/100,0))</f>
        <v>3.26468</v>
      </c>
      <c r="BK213" s="153" t="n">
        <f aca="false">IF(AND($M213&lt;&gt;"",$N213="VCA",$Q213="LINEAR"),($M213*2.5)/50,IF(AND($M213&lt;&gt;"",$N213="MND",$Q213="EMBOQUE"),($AN213*2*2.5)/50,0))</f>
        <v>2.4005</v>
      </c>
      <c r="BL213" s="157" t="str">
        <f aca="false">K213&amp;J213</f>
        <v>Zona02REDES</v>
      </c>
      <c r="BM213" s="152" t="s">
        <v>2037</v>
      </c>
      <c r="BN213" s="152" t="s">
        <v>1560</v>
      </c>
      <c r="BO213" s="152" t="s">
        <v>2231</v>
      </c>
      <c r="BP213" s="152" t="s">
        <v>2341</v>
      </c>
      <c r="BQ213" s="152" t="s">
        <v>2320</v>
      </c>
      <c r="BR213" s="152" t="s">
        <v>2342</v>
      </c>
      <c r="BS213" s="152" t="n">
        <v>202723.737</v>
      </c>
      <c r="BT213" s="152" t="n">
        <v>8237720.828</v>
      </c>
      <c r="BU213" s="152" t="n">
        <v>202753.513</v>
      </c>
      <c r="BV213" s="152" t="n">
        <v>8237755.881</v>
      </c>
      <c r="BW213" s="152" t="n">
        <v>-15.9217954</v>
      </c>
      <c r="BX213" s="152" t="n">
        <v>-47.7763547</v>
      </c>
      <c r="BY213" s="152" t="s">
        <v>2341</v>
      </c>
    </row>
    <row r="214" customFormat="false" ht="13.8" hidden="false" customHeight="false" outlineLevel="0" collapsed="false">
      <c r="A214" s="149" t="n">
        <f aca="false">IF(C214&lt;&gt;"",ROW(A209),"")</f>
        <v>209</v>
      </c>
      <c r="B214" s="150" t="str">
        <f aca="false">HYPERLINK("https://www.google.com/maps/dir/-15.917302,-47.760003/-15.9219683,-47.7757648/data=!4m3!4m2!3e0!5i1")</f>
        <v>https://www.google.com/maps/dir/-15.917302,-47.760003/-15.9219683,-47.7757648/data=!4m3!4m2!3e0!5i1</v>
      </c>
      <c r="C214" s="151" t="s">
        <v>117</v>
      </c>
      <c r="D214" s="152" t="s">
        <v>112</v>
      </c>
      <c r="E214" s="152" t="s">
        <v>113</v>
      </c>
      <c r="F214" s="152" t="s">
        <v>117</v>
      </c>
      <c r="G214" s="152" t="s">
        <v>782</v>
      </c>
      <c r="H214" s="152" t="n">
        <v>63</v>
      </c>
      <c r="I214" s="152" t="s">
        <v>115</v>
      </c>
      <c r="J214" s="152" t="s">
        <v>6</v>
      </c>
      <c r="K214" s="152" t="s">
        <v>2033</v>
      </c>
      <c r="L214" s="152" t="s">
        <v>120</v>
      </c>
      <c r="M214" s="153" t="n">
        <f aca="false">60.44+1.44</f>
        <v>61.88</v>
      </c>
      <c r="N214" s="152" t="s">
        <v>1548</v>
      </c>
      <c r="O214" s="152" t="s">
        <v>1549</v>
      </c>
      <c r="P214" s="152" t="s">
        <v>1550</v>
      </c>
      <c r="Q214" s="152" t="s">
        <v>1551</v>
      </c>
      <c r="R214" s="154" t="s">
        <v>2343</v>
      </c>
      <c r="S214" s="154" t="s">
        <v>1553</v>
      </c>
      <c r="T214" s="155" t="s">
        <v>2227</v>
      </c>
      <c r="U214" s="152" t="str">
        <f aca="false">RIGHT(T214,7)</f>
        <v>008/037</v>
      </c>
      <c r="V214" s="152" t="s">
        <v>1555</v>
      </c>
      <c r="W214" s="156" t="n">
        <v>45882</v>
      </c>
      <c r="X214" s="152" t="s">
        <v>1594</v>
      </c>
      <c r="Y214" s="152" t="s">
        <v>2339</v>
      </c>
      <c r="Z214" s="152" t="s">
        <v>1557</v>
      </c>
      <c r="AA214" s="153" t="n">
        <v>4</v>
      </c>
      <c r="AB214" s="151" t="s">
        <v>2344</v>
      </c>
      <c r="AC214" s="151" t="s">
        <v>186</v>
      </c>
      <c r="AD214" s="151" t="str">
        <f aca="false">CONCATENATE($C214,$I214,$H214,$N214,$J214,$K214)</f>
        <v>TUBO PEADPEAD63VCAREDESZona02</v>
      </c>
      <c r="AE214" s="153" t="n">
        <f aca="false">IFERROR(INDEX(APOIO_REDES!$A:$W,MATCH($C214&amp;$I214&amp;$H214&amp;$N214&amp;$O214,APOIO_REDES!$W:$W,0),MATCH(AE$5,APOIO_REDES!$5:$5,0)),0)</f>
        <v>1.2</v>
      </c>
      <c r="AF214" s="153" t="n">
        <f aca="false">IFERROR(INDEX(APOIO_REDES!$A:$W,MATCH($C214&amp;$I214&amp;$H214&amp;$N214&amp;$O214,APOIO_REDES!$W:$W,0),MATCH(AF$5,APOIO_REDES!$5:$5,0)),0)</f>
        <v>1.363</v>
      </c>
      <c r="AG214" s="153" t="n">
        <f aca="false">IFERROR(INDEX(APOIO_REDES!$A:$W,MATCH($C214&amp;$I214&amp;$H214&amp;$N214&amp;$O214,APOIO_REDES!$W:$W,0),MATCH(AG$5,APOIO_REDES!$5:$5,0)),0)</f>
        <v>0.65</v>
      </c>
      <c r="AH214" s="153" t="n">
        <f aca="false">IFERROR(INDEX(APOIO_REDES!$A:$W,MATCH($C214&amp;$I214&amp;$H214&amp;$N214&amp;$O214,APOIO_REDES!$W:$W,0),MATCH(AH$5,APOIO_REDES!$5:$5,0)),0)</f>
        <v>0.1</v>
      </c>
      <c r="AI214" s="153" t="n">
        <f aca="false">IFERROR(IF($H214&lt;&gt;"",(((($H214/1000)/2)^2)*PI()*$M214),0),0)</f>
        <v>0.192895139815254</v>
      </c>
      <c r="AJ214" s="153" t="n">
        <f aca="false">IFERROR(IF(AND($H214&lt;&gt;"",$I214="FoFo",OR($N214="MND",$N214="VCA"),$Q214="LINEAR"),0,IF(AND($H214&lt;&gt;"",$I214="PEAD",$N214="VCA",$Q214="LINEAR"),($H214/1000)+0.3,IF(AND($H214&lt;&gt;"",$I214="PEAD",$N214="MND",$Q214="EMBOQUE"),0,IF(AND($H214&lt;&gt;"",$I214="PVC",$N214="VCA",$Q214="LINEAR"),($H214/1000)+0.2,IF(AND($H214&lt;&gt;"",$I214="PVC",$N214="MND",$Q214="EMBOQUE"),0,IF(AND($H214&lt;&gt;"",$I214="PEAD",$N214="VCA",$Q214="PREDIAL"),0,0)))))),0)</f>
        <v>0.363</v>
      </c>
      <c r="AK214" s="153" t="n">
        <f aca="false">IF(AA214&lt;&gt;"",AA214,0)</f>
        <v>4</v>
      </c>
      <c r="AL214" s="153" t="n">
        <f aca="false">IF(AND($N214="MND",$Q214="EMBOQUE"),$M214,IF(AND($N214="VCA",$Q214="LINEAR"),$M214,IF(AND($N214="VCA",$Q214="PREDIAL"),0,0)))</f>
        <v>61.88</v>
      </c>
      <c r="AM214" s="153" t="n">
        <f aca="false">IF(AND($N214="MND",$Q214="EMBOQUE"),$M214,IF(AND($N214="VCA",$Q214="LINEAR"),$M214,IF(AND($N214="VCA",$Q214="PREDIAL"),0,0)))</f>
        <v>61.88</v>
      </c>
      <c r="AN214" s="153" t="n">
        <f aca="false">ROUND(IF(AND($N214="VCA",$M214&lt;&gt;"",$Q214="LINEAR"),$M214/100,IF(AND($N214="MND",$M214&gt;100,$Q214="EMBOQUE"),$M214/100,0)),0)</f>
        <v>1</v>
      </c>
      <c r="AO214" s="153" t="n">
        <f aca="false">IF(AND($N214="MND",$Q214="EMBOQUE"),$AN214*2*2,IF(AND($N214="VCA",$Q214="LINEAR"),$M214*2,IF(AND($N214="VCA",$Q214="PREDIAL"),0,0)))</f>
        <v>123.76</v>
      </c>
      <c r="AP214" s="153" t="n">
        <f aca="false">IFERROR($M214*$AF214*$AG214,0)</f>
        <v>54.822586</v>
      </c>
      <c r="AQ214" s="153" t="n">
        <f aca="false">IFERROR(IF(AND($N214="VCA",$AH214&gt;0),$M214*$AG214*$AH214,0),0)</f>
        <v>4.0222</v>
      </c>
      <c r="AR214" s="153" t="n">
        <f aca="false">IFERROR(IF(AND($N214="VCA",$AJ214&gt;0),($M214*$AG214*$AJ214)-$AI214,0),0)</f>
        <v>14.4076908601847</v>
      </c>
      <c r="AS214" s="153" t="n">
        <f aca="false">IFERROR(IF(AND($N214="VCA",$AP214&gt;0),$AP214-$AI214-$AQ214-$AR214,0),0)</f>
        <v>36.1998</v>
      </c>
      <c r="AT214" s="153" t="n">
        <f aca="false">IFERROR(IF($N214="VCA",INDEX(APOIO_REDES!$A:$W,MATCH($C214&amp;$I214&amp;$H214&amp;$N214&amp;$O214,APOIO_REDES!$W:$W,0),MATCH(AT$5,APOIO_REDES!$5:$5,0)),0)*$AP214,0)</f>
        <v>0.596485962337168</v>
      </c>
      <c r="AU214" s="153" t="n">
        <f aca="false">IFERROR(IF($N214="VCA",INDEX(APOIO_REDES!$A:$W,MATCH($C214&amp;$I214&amp;$H214&amp;$N214&amp;$O214,APOIO_REDES!$W:$W,0),MATCH(AU$5,APOIO_REDES!$5:$5,0)),0)*$AP214,0)</f>
        <v>0.476337534633831</v>
      </c>
      <c r="AV214" s="153" t="n">
        <f aca="false">IFERROR(IF($N214="VCA",INDEX(APOIO_REDES!$A:$W,MATCH($C214&amp;$I214&amp;$H214&amp;$N214&amp;$O214,APOIO_REDES!$W:$W,0),MATCH(AV$5,APOIO_REDES!$5:$5,0)),0)*$AP214,0)</f>
        <v>0.0659213753970609</v>
      </c>
      <c r="AW214" s="153" t="n">
        <f aca="false">IFERROR(IF($N214="VCA",INDEX(APOIO_REDES!$A:$W,MATCH($C214&amp;$I214&amp;$H214&amp;$N214&amp;$O214,APOIO_REDES!$W:$W,0),MATCH(AW$5,APOIO_REDES!$5:$5,0)),0)*$AP214,0)</f>
        <v>37.6306478165249</v>
      </c>
      <c r="AX214" s="153" t="n">
        <f aca="false">IFERROR(IF($N214="VCA",INDEX(APOIO_REDES!$A:$W,MATCH($C214&amp;$I214&amp;$H214&amp;$N214&amp;$O214,APOIO_REDES!$W:$W,0),MATCH(AX$5,APOIO_REDES!$5:$5,0)),0)*$AP214,0)</f>
        <v>5.20797446487769</v>
      </c>
      <c r="AY214" s="153" t="n">
        <f aca="false">IFERROR(IF($N214="VCA",INDEX(APOIO_REDES!$A:$W,MATCH($C214&amp;$I214&amp;$H214&amp;$N214&amp;$O214,APOIO_REDES!$W:$W,0),MATCH(AY$5,APOIO_REDES!$5:$5,0)),0)*$AP214,0)</f>
        <v>9.52674488616069</v>
      </c>
      <c r="AZ214" s="153" t="n">
        <f aca="false">IFERROR(IF($N214="VCA",INDEX(APOIO_REDES!$A:$W,MATCH($C214&amp;$I214&amp;$H214&amp;$N214&amp;$O214,APOIO_REDES!$W:$W,0),MATCH(AZ$5,APOIO_REDES!$5:$5,0)),0)*$AP214,0)</f>
        <v>1.31847396006869</v>
      </c>
      <c r="BA214" s="153" t="n">
        <f aca="false">IFERROR(IF(AND($N214="VCA",$Q214="LINEAR"),INDEX(APOIO_REDES!$A:$W,MATCH($C214&amp;$I214&amp;$H214&amp;$N214&amp;$O214,APOIO_REDES!$W:$W,0),MATCH(BA$5,APOIO_REDES!$5:$5,0)),IF(AND($N214="MND",$Q214="EMBOQUE"),INDEX(APOIO_REDES!$A:$W,MATCH($C214&amp;$I214&amp;$H214&amp;$N214&amp;$O214,APOIO_REDES!$W:$W,0),MATCH(BA$5,APOIO_REDES!$5:$5,0)),0))*$M214/10,0)</f>
        <v>4.9873719126368</v>
      </c>
      <c r="BB214" s="153" t="n">
        <f aca="false">IFERROR(IF($N214="VCA",INDEX(APOIO_REDES!$A:$W,MATCH($C214&amp;$I214&amp;$H214&amp;$N214&amp;$O214,APOIO_REDES!$W:$W,0),MATCH(BB$5,APOIO_REDES!$5:$5,0)),0)*($AI214+$AQ214+$AR214),0)</f>
        <v>18.4201645762567</v>
      </c>
      <c r="BC214" s="153" t="n">
        <f aca="false">IFERROR(IF($N214="VCA",INDEX(APOIO_REDES!$A:$W,MATCH($C214&amp;$I214&amp;$H214&amp;$N214&amp;$O214,APOIO_REDES!$W:$W,0),MATCH(BC$5,APOIO_REDES!$5:$5,0)),0)*($AI214+$AQ214+$AR214),0)</f>
        <v>0.202621423743293</v>
      </c>
      <c r="BD214" s="153" t="n">
        <f aca="false">IF(AND($N214="VCA",$AF214&gt;=1.25,$AF214&lt;1.5),$M214*$AF214*2,0)</f>
        <v>168.68488</v>
      </c>
      <c r="BE214" s="153" t="n">
        <f aca="false">IF(AND($N214="VCA",$AF214&gt;=1.5,$AF214&lt;3),$M214*$AF214*2,0)</f>
        <v>0</v>
      </c>
      <c r="BF214" s="153" t="n">
        <f aca="false">IF(AND($N214="VCA",$AF214&gt;=3),$M214*$AF214*2,0)</f>
        <v>0</v>
      </c>
      <c r="BG214" s="153" t="n">
        <f aca="false">($BB214+$BC214)*$AK214</f>
        <v>74.491144</v>
      </c>
      <c r="BH214" s="153" t="n">
        <f aca="false">IF(AND($M214&lt;&gt;"",$N214="VCA",$Q214="LINEAR"),($M214*2)/100,IF(AND($M214&lt;&gt;"",$N214="MND",$Q214="EMBOQUE"),($AN214*2)/100,0))</f>
        <v>1.2376</v>
      </c>
      <c r="BI214" s="153" t="n">
        <f aca="false">IF(AND($M214&lt;&gt;"",$N214="VCA",$Q214="LINEAR"),$M214,IF(AND($M214&lt;&gt;"",$N214="MND",$Q214="EMBOQUE"),$AN214*2,0))</f>
        <v>61.88</v>
      </c>
      <c r="BJ214" s="153" t="n">
        <f aca="false">IF(AND($M214&lt;&gt;"",$N214="VCA",$Q214="LINEAR"),($M214*6.8)/100,IF(AND($M214&lt;&gt;"",$N214="MND",$Q214="EMBOQUE"),($AN214*2*6.8)/100,0))</f>
        <v>4.20784</v>
      </c>
      <c r="BK214" s="153" t="n">
        <f aca="false">IF(AND($M214&lt;&gt;"",$N214="VCA",$Q214="LINEAR"),($M214*2.5)/50,IF(AND($M214&lt;&gt;"",$N214="MND",$Q214="EMBOQUE"),($AN214*2*2.5)/50,0))</f>
        <v>3.094</v>
      </c>
      <c r="BL214" s="157" t="str">
        <f aca="false">K214&amp;J214</f>
        <v>Zona02REDES</v>
      </c>
      <c r="BM214" s="152" t="s">
        <v>2037</v>
      </c>
      <c r="BN214" s="152" t="s">
        <v>1560</v>
      </c>
      <c r="BO214" s="152" t="s">
        <v>2231</v>
      </c>
      <c r="BP214" s="152" t="s">
        <v>2345</v>
      </c>
      <c r="BQ214" s="152" t="s">
        <v>2320</v>
      </c>
      <c r="BR214" s="152" t="s">
        <v>2346</v>
      </c>
      <c r="BS214" s="152" t="n">
        <v>202802.134</v>
      </c>
      <c r="BT214" s="152" t="n">
        <v>8237720</v>
      </c>
      <c r="BU214" s="152" t="n">
        <v>202753.515</v>
      </c>
      <c r="BV214" s="152" t="n">
        <v>8237755.883</v>
      </c>
      <c r="BW214" s="152" t="n">
        <v>-15.9218038</v>
      </c>
      <c r="BX214" s="152" t="n">
        <v>-47.7759898</v>
      </c>
      <c r="BY214" s="152" t="s">
        <v>2345</v>
      </c>
    </row>
    <row r="215" customFormat="false" ht="13.8" hidden="false" customHeight="false" outlineLevel="0" collapsed="false">
      <c r="A215" s="149" t="n">
        <f aca="false">IF(C215&lt;&gt;"",ROW(A210),"")</f>
        <v>210</v>
      </c>
      <c r="B215" s="150" t="str">
        <f aca="false">HYPERLINK("https://www.google.com/maps/dir/-15.917302,-47.760003/-15.9211127,-47.7768154/data=!4m3!4m2!3e0!5i1")</f>
        <v>https://www.google.com/maps/dir/-15.917302,-47.760003/-15.9211127,-47.7768154/data=!4m3!4m2!3e0!5i1</v>
      </c>
      <c r="C215" s="151" t="s">
        <v>117</v>
      </c>
      <c r="D215" s="152" t="s">
        <v>112</v>
      </c>
      <c r="E215" s="152" t="s">
        <v>113</v>
      </c>
      <c r="F215" s="152" t="s">
        <v>117</v>
      </c>
      <c r="G215" s="152" t="s">
        <v>782</v>
      </c>
      <c r="H215" s="152" t="n">
        <v>63</v>
      </c>
      <c r="I215" s="152" t="s">
        <v>115</v>
      </c>
      <c r="J215" s="152" t="s">
        <v>6</v>
      </c>
      <c r="K215" s="152" t="s">
        <v>2033</v>
      </c>
      <c r="L215" s="152" t="s">
        <v>120</v>
      </c>
      <c r="M215" s="153" t="n">
        <f aca="false">263.33+0.49</f>
        <v>263.82</v>
      </c>
      <c r="N215" s="152" t="s">
        <v>1548</v>
      </c>
      <c r="O215" s="152" t="s">
        <v>1549</v>
      </c>
      <c r="P215" s="152" t="s">
        <v>1550</v>
      </c>
      <c r="Q215" s="152" t="s">
        <v>1551</v>
      </c>
      <c r="R215" s="154" t="s">
        <v>2347</v>
      </c>
      <c r="S215" s="154" t="s">
        <v>1553</v>
      </c>
      <c r="T215" s="155" t="s">
        <v>2227</v>
      </c>
      <c r="U215" s="152" t="str">
        <f aca="false">RIGHT(T215,7)</f>
        <v>008/037</v>
      </c>
      <c r="V215" s="152" t="s">
        <v>1555</v>
      </c>
      <c r="W215" s="156" t="n">
        <v>45882</v>
      </c>
      <c r="X215" s="152" t="s">
        <v>1594</v>
      </c>
      <c r="Y215" s="152" t="s">
        <v>2276</v>
      </c>
      <c r="Z215" s="152" t="s">
        <v>1557</v>
      </c>
      <c r="AA215" s="153" t="n">
        <v>4.1</v>
      </c>
      <c r="AB215" s="151" t="s">
        <v>2348</v>
      </c>
      <c r="AC215" s="151" t="s">
        <v>186</v>
      </c>
      <c r="AD215" s="151" t="str">
        <f aca="false">CONCATENATE($C215,$I215,$H215,$N215,$J215,$K215)</f>
        <v>TUBO PEADPEAD63VCAREDESZona02</v>
      </c>
      <c r="AE215" s="153" t="n">
        <f aca="false">IFERROR(INDEX(APOIO_REDES!$A:$W,MATCH($C215&amp;$I215&amp;$H215&amp;$N215&amp;$O215,APOIO_REDES!$W:$W,0),MATCH(AE$5,APOIO_REDES!$5:$5,0)),0)</f>
        <v>1.2</v>
      </c>
      <c r="AF215" s="153" t="n">
        <f aca="false">IFERROR(INDEX(APOIO_REDES!$A:$W,MATCH($C215&amp;$I215&amp;$H215&amp;$N215&amp;$O215,APOIO_REDES!$W:$W,0),MATCH(AF$5,APOIO_REDES!$5:$5,0)),0)</f>
        <v>1.363</v>
      </c>
      <c r="AG215" s="153" t="n">
        <f aca="false">IFERROR(INDEX(APOIO_REDES!$A:$W,MATCH($C215&amp;$I215&amp;$H215&amp;$N215&amp;$O215,APOIO_REDES!$W:$W,0),MATCH(AG$5,APOIO_REDES!$5:$5,0)),0)</f>
        <v>0.65</v>
      </c>
      <c r="AH215" s="153" t="n">
        <f aca="false">IFERROR(INDEX(APOIO_REDES!$A:$W,MATCH($C215&amp;$I215&amp;$H215&amp;$N215&amp;$O215,APOIO_REDES!$W:$W,0),MATCH(AH$5,APOIO_REDES!$5:$5,0)),0)</f>
        <v>0.1</v>
      </c>
      <c r="AI215" s="153" t="n">
        <f aca="false">IFERROR(IF($H215&lt;&gt;"",(((($H215/1000)/2)^2)*PI()*$M215),0),0)</f>
        <v>0.822391657822566</v>
      </c>
      <c r="AJ215" s="153" t="n">
        <f aca="false">IFERROR(IF(AND($H215&lt;&gt;"",$I215="FoFo",OR($N215="MND",$N215="VCA"),$Q215="LINEAR"),0,IF(AND($H215&lt;&gt;"",$I215="PEAD",$N215="VCA",$Q215="LINEAR"),($H215/1000)+0.3,IF(AND($H215&lt;&gt;"",$I215="PEAD",$N215="MND",$Q215="EMBOQUE"),0,IF(AND($H215&lt;&gt;"",$I215="PVC",$N215="VCA",$Q215="LINEAR"),($H215/1000)+0.2,IF(AND($H215&lt;&gt;"",$I215="PVC",$N215="MND",$Q215="EMBOQUE"),0,IF(AND($H215&lt;&gt;"",$I215="PEAD",$N215="VCA",$Q215="PREDIAL"),0,0)))))),0)</f>
        <v>0.363</v>
      </c>
      <c r="AK215" s="153" t="n">
        <f aca="false">IF(AA215&lt;&gt;"",AA215,0)</f>
        <v>4.1</v>
      </c>
      <c r="AL215" s="153" t="n">
        <f aca="false">IF(AND($N215="MND",$Q215="EMBOQUE"),$M215,IF(AND($N215="VCA",$Q215="LINEAR"),$M215,IF(AND($N215="VCA",$Q215="PREDIAL"),0,0)))</f>
        <v>263.82</v>
      </c>
      <c r="AM215" s="153" t="n">
        <f aca="false">IF(AND($N215="MND",$Q215="EMBOQUE"),$M215,IF(AND($N215="VCA",$Q215="LINEAR"),$M215,IF(AND($N215="VCA",$Q215="PREDIAL"),0,0)))</f>
        <v>263.82</v>
      </c>
      <c r="AN215" s="153" t="n">
        <f aca="false">ROUND(IF(AND($N215="VCA",$M215&lt;&gt;"",$Q215="LINEAR"),$M215/100,IF(AND($N215="MND",$M215&gt;100,$Q215="EMBOQUE"),$M215/100,0)),0)</f>
        <v>3</v>
      </c>
      <c r="AO215" s="153" t="n">
        <f aca="false">IF(AND($N215="MND",$Q215="EMBOQUE"),$AN215*2*2,IF(AND($N215="VCA",$Q215="LINEAR"),$M215*2,IF(AND($N215="VCA",$Q215="PREDIAL"),0,0)))</f>
        <v>527.64</v>
      </c>
      <c r="AP215" s="153" t="n">
        <f aca="false">IFERROR($M215*$AF215*$AG215,0)</f>
        <v>233.731329</v>
      </c>
      <c r="AQ215" s="153" t="n">
        <f aca="false">IFERROR(IF(AND($N215="VCA",$AH215&gt;0),$M215*$AG215*$AH215,0),0)</f>
        <v>17.1483</v>
      </c>
      <c r="AR215" s="153" t="n">
        <f aca="false">IFERROR(IF(AND($N215="VCA",$AJ215&gt;0),($M215*$AG215*$AJ215)-$AI215,0),0)</f>
        <v>61.4259373421774</v>
      </c>
      <c r="AS215" s="153" t="n">
        <f aca="false">IFERROR(IF(AND($N215="VCA",$AP215&gt;0),$AP215-$AI215-$AQ215-$AR215,0),0)</f>
        <v>154.3347</v>
      </c>
      <c r="AT215" s="153" t="n">
        <f aca="false">IFERROR(IF($N215="VCA",INDEX(APOIO_REDES!$A:$W,MATCH($C215&amp;$I215&amp;$H215&amp;$N215&amp;$O215,APOIO_REDES!$W:$W,0),MATCH(AT$5,APOIO_REDES!$5:$5,0)),0)*$AP215,0)</f>
        <v>2.54306604046205</v>
      </c>
      <c r="AU215" s="153" t="n">
        <f aca="false">IFERROR(IF($N215="VCA",INDEX(APOIO_REDES!$A:$W,MATCH($C215&amp;$I215&amp;$H215&amp;$N215&amp;$O215,APOIO_REDES!$W:$W,0),MATCH(AU$5,APOIO_REDES!$5:$5,0)),0)*$AP215,0)</f>
        <v>2.03082366494986</v>
      </c>
      <c r="AV215" s="153" t="n">
        <f aca="false">IFERROR(IF($N215="VCA",INDEX(APOIO_REDES!$A:$W,MATCH($C215&amp;$I215&amp;$H215&amp;$N215&amp;$O215,APOIO_REDES!$W:$W,0),MATCH(AV$5,APOIO_REDES!$5:$5,0)),0)*$AP215,0)</f>
        <v>0.281050052638213</v>
      </c>
      <c r="AW215" s="153" t="n">
        <f aca="false">IFERROR(IF($N215="VCA",INDEX(APOIO_REDES!$A:$W,MATCH($C215&amp;$I215&amp;$H215&amp;$N215&amp;$O215,APOIO_REDES!$W:$W,0),MATCH(AW$5,APOIO_REDES!$5:$5,0)),0)*$AP215,0)</f>
        <v>160.434995264311</v>
      </c>
      <c r="AX215" s="153" t="n">
        <f aca="false">IFERROR(IF($N215="VCA",INDEX(APOIO_REDES!$A:$W,MATCH($C215&amp;$I215&amp;$H215&amp;$N215&amp;$O215,APOIO_REDES!$W:$W,0),MATCH(AX$5,APOIO_REDES!$5:$5,0)),0)*$AP215,0)</f>
        <v>22.203746336846</v>
      </c>
      <c r="AY215" s="153" t="n">
        <f aca="false">IFERROR(IF($N215="VCA",INDEX(APOIO_REDES!$A:$W,MATCH($C215&amp;$I215&amp;$H215&amp;$N215&amp;$O215,APOIO_REDES!$W:$W,0),MATCH(AY$5,APOIO_REDES!$5:$5,0)),0)*$AP215,0)</f>
        <v>40.6164485434214</v>
      </c>
      <c r="AZ215" s="153" t="n">
        <f aca="false">IFERROR(IF($N215="VCA",INDEX(APOIO_REDES!$A:$W,MATCH($C215&amp;$I215&amp;$H215&amp;$N215&amp;$O215,APOIO_REDES!$W:$W,0),MATCH(AZ$5,APOIO_REDES!$5:$5,0)),0)*$AP215,0)</f>
        <v>5.62119909737106</v>
      </c>
      <c r="BA215" s="153" t="n">
        <f aca="false">IFERROR(IF(AND($N215="VCA",$Q215="LINEAR"),INDEX(APOIO_REDES!$A:$W,MATCH($C215&amp;$I215&amp;$H215&amp;$N215&amp;$O215,APOIO_REDES!$W:$W,0),MATCH(BA$5,APOIO_REDES!$5:$5,0)),IF(AND($N215="MND",$Q215="EMBOQUE"),INDEX(APOIO_REDES!$A:$W,MATCH($C215&amp;$I215&amp;$H215&amp;$N215&amp;$O215,APOIO_REDES!$W:$W,0),MATCH(BA$5,APOIO_REDES!$5:$5,0)),0))*$M215/10,0)</f>
        <v>21.2632265350976</v>
      </c>
      <c r="BB215" s="153" t="n">
        <f aca="false">IFERROR(IF($N215="VCA",INDEX(APOIO_REDES!$A:$W,MATCH($C215&amp;$I215&amp;$H215&amp;$N215&amp;$O215,APOIO_REDES!$W:$W,0),MATCH(BB$5,APOIO_REDES!$5:$5,0)),0)*($AI215+$AQ215+$AR215),0)</f>
        <v>78.5327701762774</v>
      </c>
      <c r="BC215" s="153" t="n">
        <f aca="false">IFERROR(IF($N215="VCA",INDEX(APOIO_REDES!$A:$W,MATCH($C215&amp;$I215&amp;$H215&amp;$N215&amp;$O215,APOIO_REDES!$W:$W,0),MATCH(BC$5,APOIO_REDES!$5:$5,0)),0)*($AI215+$AQ215+$AR215),0)</f>
        <v>0.863858823722619</v>
      </c>
      <c r="BD215" s="153" t="n">
        <f aca="false">IF(AND($N215="VCA",$AF215&gt;=1.25,$AF215&lt;1.5),$M215*$AF215*2,0)</f>
        <v>719.17332</v>
      </c>
      <c r="BE215" s="153" t="n">
        <f aca="false">IF(AND($N215="VCA",$AF215&gt;=1.5,$AF215&lt;3),$M215*$AF215*2,0)</f>
        <v>0</v>
      </c>
      <c r="BF215" s="153" t="n">
        <f aca="false">IF(AND($N215="VCA",$AF215&gt;=3),$M215*$AF215*2,0)</f>
        <v>0</v>
      </c>
      <c r="BG215" s="153" t="n">
        <f aca="false">($BB215+$BC215)*$AK215</f>
        <v>325.5261789</v>
      </c>
      <c r="BH215" s="153" t="n">
        <f aca="false">IF(AND($M215&lt;&gt;"",$N215="VCA",$Q215="LINEAR"),($M215*2)/100,IF(AND($M215&lt;&gt;"",$N215="MND",$Q215="EMBOQUE"),($AN215*2)/100,0))</f>
        <v>5.2764</v>
      </c>
      <c r="BI215" s="153" t="n">
        <f aca="false">IF(AND($M215&lt;&gt;"",$N215="VCA",$Q215="LINEAR"),$M215,IF(AND($M215&lt;&gt;"",$N215="MND",$Q215="EMBOQUE"),$AN215*2,0))</f>
        <v>263.82</v>
      </c>
      <c r="BJ215" s="153" t="n">
        <f aca="false">IF(AND($M215&lt;&gt;"",$N215="VCA",$Q215="LINEAR"),($M215*6.8)/100,IF(AND($M215&lt;&gt;"",$N215="MND",$Q215="EMBOQUE"),($AN215*2*6.8)/100,0))</f>
        <v>17.93976</v>
      </c>
      <c r="BK215" s="153" t="n">
        <f aca="false">IF(AND($M215&lt;&gt;"",$N215="VCA",$Q215="LINEAR"),($M215*2.5)/50,IF(AND($M215&lt;&gt;"",$N215="MND",$Q215="EMBOQUE"),($AN215*2*2.5)/50,0))</f>
        <v>13.191</v>
      </c>
      <c r="BL215" s="157" t="str">
        <f aca="false">K215&amp;J215</f>
        <v>Zona02REDES</v>
      </c>
      <c r="BM215" s="152" t="s">
        <v>2037</v>
      </c>
      <c r="BN215" s="152" t="s">
        <v>1560</v>
      </c>
      <c r="BO215" s="152" t="s">
        <v>2231</v>
      </c>
      <c r="BP215" s="152" t="s">
        <v>2278</v>
      </c>
      <c r="BQ215" s="152" t="s">
        <v>2349</v>
      </c>
      <c r="BR215" s="152" t="s">
        <v>2350</v>
      </c>
      <c r="BS215" s="152" t="n">
        <v>202688.312</v>
      </c>
      <c r="BT215" s="152" t="n">
        <v>8237813.246</v>
      </c>
      <c r="BU215" s="152" t="n">
        <v>202901.331</v>
      </c>
      <c r="BV215" s="152" t="n">
        <v>8237658.671</v>
      </c>
      <c r="BW215" s="152" t="n">
        <v>-15.9218395</v>
      </c>
      <c r="BX215" s="152" t="n">
        <v>-47.775843</v>
      </c>
      <c r="BY215" s="152" t="s">
        <v>2278</v>
      </c>
    </row>
    <row r="216" customFormat="false" ht="13.8" hidden="false" customHeight="false" outlineLevel="0" collapsed="false">
      <c r="A216" s="149" t="n">
        <f aca="false">IF(C216&lt;&gt;"",ROW(A211),"")</f>
        <v>211</v>
      </c>
      <c r="B216" s="150" t="str">
        <f aca="false">HYPERLINK("https://www.google.com/maps/dir/-15.917302,-47.760003/-15.9221481,-47.7746061/data=!4m3!4m2!3e0!5i1")</f>
        <v>https://www.google.com/maps/dir/-15.917302,-47.760003/-15.9221481,-47.7746061/data=!4m3!4m2!3e0!5i1</v>
      </c>
      <c r="C216" s="151" t="s">
        <v>117</v>
      </c>
      <c r="D216" s="152" t="s">
        <v>112</v>
      </c>
      <c r="E216" s="152" t="s">
        <v>113</v>
      </c>
      <c r="F216" s="152" t="s">
        <v>117</v>
      </c>
      <c r="G216" s="152" t="s">
        <v>114</v>
      </c>
      <c r="H216" s="152" t="n">
        <v>160</v>
      </c>
      <c r="I216" s="152" t="s">
        <v>115</v>
      </c>
      <c r="J216" s="152" t="s">
        <v>6</v>
      </c>
      <c r="K216" s="152" t="s">
        <v>2033</v>
      </c>
      <c r="L216" s="152" t="s">
        <v>120</v>
      </c>
      <c r="M216" s="153" t="n">
        <f aca="false">66+0.06</f>
        <v>66.06</v>
      </c>
      <c r="N216" s="152" t="s">
        <v>1548</v>
      </c>
      <c r="O216" s="152" t="s">
        <v>1549</v>
      </c>
      <c r="P216" s="152" t="s">
        <v>1550</v>
      </c>
      <c r="Q216" s="152" t="s">
        <v>1551</v>
      </c>
      <c r="R216" s="154" t="s">
        <v>2351</v>
      </c>
      <c r="S216" s="154" t="s">
        <v>1593</v>
      </c>
      <c r="T216" s="155" t="s">
        <v>2227</v>
      </c>
      <c r="U216" s="152" t="str">
        <f aca="false">RIGHT(T216,7)</f>
        <v>008/037</v>
      </c>
      <c r="V216" s="152" t="s">
        <v>1555</v>
      </c>
      <c r="W216" s="156" t="n">
        <v>45882</v>
      </c>
      <c r="X216" s="152" t="s">
        <v>1594</v>
      </c>
      <c r="Y216" s="152"/>
      <c r="Z216" s="152" t="s">
        <v>1557</v>
      </c>
      <c r="AA216" s="153" t="n">
        <v>3.9</v>
      </c>
      <c r="AB216" s="151" t="s">
        <v>2352</v>
      </c>
      <c r="AC216" s="151" t="s">
        <v>505</v>
      </c>
      <c r="AD216" s="151" t="str">
        <f aca="false">CONCATENATE($C216,$I216,$H216,$N216,$J216,$K216)</f>
        <v>TUBO PEADPEAD160VCAREDESZona02</v>
      </c>
      <c r="AE216" s="153" t="n">
        <f aca="false">IFERROR(INDEX(APOIO_REDES!$A:$W,MATCH($C216&amp;$I216&amp;$H216&amp;$N216&amp;$O216,APOIO_REDES!$W:$W,0),MATCH(AE$5,APOIO_REDES!$5:$5,0)),0)</f>
        <v>1.2</v>
      </c>
      <c r="AF216" s="153" t="n">
        <f aca="false">IFERROR(INDEX(APOIO_REDES!$A:$W,MATCH($C216&amp;$I216&amp;$H216&amp;$N216&amp;$O216,APOIO_REDES!$W:$W,0),MATCH(AF$5,APOIO_REDES!$5:$5,0)),0)</f>
        <v>1.46</v>
      </c>
      <c r="AG216" s="153" t="n">
        <f aca="false">IFERROR(INDEX(APOIO_REDES!$A:$W,MATCH($C216&amp;$I216&amp;$H216&amp;$N216&amp;$O216,APOIO_REDES!$W:$W,0),MATCH(AG$5,APOIO_REDES!$5:$5,0)),0)</f>
        <v>0.75</v>
      </c>
      <c r="AH216" s="153" t="n">
        <f aca="false">IFERROR(INDEX(APOIO_REDES!$A:$W,MATCH($C216&amp;$I216&amp;$H216&amp;$N216&amp;$O216,APOIO_REDES!$W:$W,0),MATCH(AH$5,APOIO_REDES!$5:$5,0)),0)</f>
        <v>0.1</v>
      </c>
      <c r="AI216" s="153" t="n">
        <f aca="false">IFERROR(IF($H216&lt;&gt;"",(((($H216/1000)/2)^2)*PI()*$M216),0),0)</f>
        <v>1.32821510845531</v>
      </c>
      <c r="AJ216" s="153" t="n">
        <f aca="false">IFERROR(IF(AND($H216&lt;&gt;"",$I216="FoFo",OR($N216="MND",$N216="VCA"),$Q216="LINEAR"),0,IF(AND($H216&lt;&gt;"",$I216="PEAD",$N216="VCA",$Q216="LINEAR"),($H216/1000)+0.3,IF(AND($H216&lt;&gt;"",$I216="PEAD",$N216="MND",$Q216="EMBOQUE"),0,IF(AND($H216&lt;&gt;"",$I216="PVC",$N216="VCA",$Q216="LINEAR"),($H216/1000)+0.2,IF(AND($H216&lt;&gt;"",$I216="PVC",$N216="MND",$Q216="EMBOQUE"),0,IF(AND($H216&lt;&gt;"",$I216="PEAD",$N216="VCA",$Q216="PREDIAL"),0,0)))))),0)</f>
        <v>0.46</v>
      </c>
      <c r="AK216" s="153" t="n">
        <f aca="false">IF(AA216&lt;&gt;"",AA216,0)</f>
        <v>3.9</v>
      </c>
      <c r="AL216" s="153" t="n">
        <f aca="false">IF(AND($N216="MND",$Q216="EMBOQUE"),$M216,IF(AND($N216="VCA",$Q216="LINEAR"),$M216,IF(AND($N216="VCA",$Q216="PREDIAL"),0,0)))</f>
        <v>66.06</v>
      </c>
      <c r="AM216" s="153" t="n">
        <f aca="false">IF(AND($N216="MND",$Q216="EMBOQUE"),$M216,IF(AND($N216="VCA",$Q216="LINEAR"),$M216,IF(AND($N216="VCA",$Q216="PREDIAL"),0,0)))</f>
        <v>66.06</v>
      </c>
      <c r="AN216" s="153" t="n">
        <f aca="false">ROUND(IF(AND($N216="VCA",$M216&lt;&gt;"",$Q216="LINEAR"),$M216/100,IF(AND($N216="MND",$M216&gt;100,$Q216="EMBOQUE"),$M216/100,0)),0)</f>
        <v>1</v>
      </c>
      <c r="AO216" s="153" t="n">
        <f aca="false">IF(AND($N216="MND",$Q216="EMBOQUE"),$AN216*2*2,IF(AND($N216="VCA",$Q216="LINEAR"),$M216*2,IF(AND($N216="VCA",$Q216="PREDIAL"),0,0)))</f>
        <v>132.12</v>
      </c>
      <c r="AP216" s="153" t="n">
        <f aca="false">IFERROR($M216*$AF216*$AG216,0)</f>
        <v>72.3357</v>
      </c>
      <c r="AQ216" s="153" t="n">
        <f aca="false">IFERROR(IF(AND($N216="VCA",$AH216&gt;0),$M216*$AG216*$AH216,0),0)</f>
        <v>4.9545</v>
      </c>
      <c r="AR216" s="153" t="n">
        <f aca="false">IFERROR(IF(AND($N216="VCA",$AJ216&gt;0),($M216*$AG216*$AJ216)-$AI216,0),0)</f>
        <v>21.4624848915447</v>
      </c>
      <c r="AS216" s="153" t="n">
        <f aca="false">IFERROR(IF(AND($N216="VCA",$AP216&gt;0),$AP216-$AI216-$AQ216-$AR216,0),0)</f>
        <v>44.5905</v>
      </c>
      <c r="AT216" s="153" t="n">
        <f aca="false">IFERROR(IF($N216="VCA",INDEX(APOIO_REDES!$A:$W,MATCH($C216&amp;$I216&amp;$H216&amp;$N216&amp;$O216,APOIO_REDES!$W:$W,0),MATCH(AT$5,APOIO_REDES!$5:$5,0)),0)*$AP216,0)</f>
        <v>0.787033826274315</v>
      </c>
      <c r="AU216" s="153" t="n">
        <f aca="false">IFERROR(IF($N216="VCA",INDEX(APOIO_REDES!$A:$W,MATCH($C216&amp;$I216&amp;$H216&amp;$N216&amp;$O216,APOIO_REDES!$W:$W,0),MATCH(AU$5,APOIO_REDES!$5:$5,0)),0)*$AP216,0)</f>
        <v>0.6285038980834</v>
      </c>
      <c r="AV216" s="153" t="n">
        <f aca="false">IFERROR(IF($N216="VCA",INDEX(APOIO_REDES!$A:$W,MATCH($C216&amp;$I216&amp;$H216&amp;$N216&amp;$O216,APOIO_REDES!$W:$W,0),MATCH(AV$5,APOIO_REDES!$5:$5,0)),0)*$AP216,0)</f>
        <v>0.086980005545692</v>
      </c>
      <c r="AW216" s="153" t="n">
        <f aca="false">IFERROR(IF($N216="VCA",INDEX(APOIO_REDES!$A:$W,MATCH($C216&amp;$I216&amp;$H216&amp;$N216&amp;$O216,APOIO_REDES!$W:$W,0),MATCH(AW$5,APOIO_REDES!$5:$5,0)),0)*$AP216,0)</f>
        <v>49.6517849643539</v>
      </c>
      <c r="AX216" s="153" t="n">
        <f aca="false">IFERROR(IF($N216="VCA",INDEX(APOIO_REDES!$A:$W,MATCH($C216&amp;$I216&amp;$H216&amp;$N216&amp;$O216,APOIO_REDES!$W:$W,0),MATCH(AX$5,APOIO_REDES!$5:$5,0)),0)*$AP216,0)</f>
        <v>6.87166560327988</v>
      </c>
      <c r="AY216" s="153" t="n">
        <f aca="false">IFERROR(IF($N216="VCA",INDEX(APOIO_REDES!$A:$W,MATCH($C216&amp;$I216&amp;$H216&amp;$N216&amp;$O216,APOIO_REDES!$W:$W,0),MATCH(AY$5,APOIO_REDES!$5:$5,0)),0)*$AP216,0)</f>
        <v>12.5700703002564</v>
      </c>
      <c r="AZ216" s="153" t="n">
        <f aca="false">IFERROR(IF($N216="VCA",INDEX(APOIO_REDES!$A:$W,MATCH($C216&amp;$I216&amp;$H216&amp;$N216&amp;$O216,APOIO_REDES!$W:$W,0),MATCH(AZ$5,APOIO_REDES!$5:$5,0)),0)*$AP216,0)</f>
        <v>1.73966140220639</v>
      </c>
      <c r="BA216" s="153" t="n">
        <f aca="false">IFERROR(IF(AND($N216="VCA",$Q216="LINEAR"),INDEX(APOIO_REDES!$A:$W,MATCH($C216&amp;$I216&amp;$H216&amp;$N216&amp;$O216,APOIO_REDES!$W:$W,0),MATCH(BA$5,APOIO_REDES!$5:$5,0)),IF(AND($N216="MND",$Q216="EMBOQUE"),INDEX(APOIO_REDES!$A:$W,MATCH($C216&amp;$I216&amp;$H216&amp;$N216&amp;$O216,APOIO_REDES!$W:$W,0),MATCH(BA$5,APOIO_REDES!$5:$5,0)),0))*$M216/10,0)</f>
        <v>5.32426936892029</v>
      </c>
      <c r="BB216" s="153" t="n">
        <f aca="false">IFERROR(IF($N216="VCA",INDEX(APOIO_REDES!$A:$W,MATCH($C216&amp;$I216&amp;$H216&amp;$N216&amp;$O216,APOIO_REDES!$W:$W,0),MATCH(BB$5,APOIO_REDES!$5:$5,0)),0)*($AI216+$AQ216+$AR216),0)</f>
        <v>27.44332401184</v>
      </c>
      <c r="BC216" s="153" t="n">
        <f aca="false">IFERROR(IF($N216="VCA",INDEX(APOIO_REDES!$A:$W,MATCH($C216&amp;$I216&amp;$H216&amp;$N216&amp;$O216,APOIO_REDES!$W:$W,0),MATCH(BC$5,APOIO_REDES!$5:$5,0)),0)*($AI216+$AQ216+$AR216),0)</f>
        <v>0.301875988160011</v>
      </c>
      <c r="BD216" s="153" t="n">
        <f aca="false">IF(AND($N216="VCA",$AF216&gt;=1.25,$AF216&lt;1.5),$M216*$AF216*2,0)</f>
        <v>192.8952</v>
      </c>
      <c r="BE216" s="153" t="n">
        <f aca="false">IF(AND($N216="VCA",$AF216&gt;=1.5,$AF216&lt;3),$M216*$AF216*2,0)</f>
        <v>0</v>
      </c>
      <c r="BF216" s="153" t="n">
        <f aca="false">IF(AND($N216="VCA",$AF216&gt;=3),$M216*$AF216*2,0)</f>
        <v>0</v>
      </c>
      <c r="BG216" s="153" t="n">
        <f aca="false">($BB216+$BC216)*$AK216</f>
        <v>108.20628</v>
      </c>
      <c r="BH216" s="153" t="n">
        <f aca="false">IF(AND($M216&lt;&gt;"",$N216="VCA",$Q216="LINEAR"),($M216*2)/100,IF(AND($M216&lt;&gt;"",$N216="MND",$Q216="EMBOQUE"),($AN216*2)/100,0))</f>
        <v>1.3212</v>
      </c>
      <c r="BI216" s="153" t="n">
        <f aca="false">IF(AND($M216&lt;&gt;"",$N216="VCA",$Q216="LINEAR"),$M216,IF(AND($M216&lt;&gt;"",$N216="MND",$Q216="EMBOQUE"),$AN216*2,0))</f>
        <v>66.06</v>
      </c>
      <c r="BJ216" s="153" t="n">
        <f aca="false">IF(AND($M216&lt;&gt;"",$N216="VCA",$Q216="LINEAR"),($M216*6.8)/100,IF(AND($M216&lt;&gt;"",$N216="MND",$Q216="EMBOQUE"),($AN216*2*6.8)/100,0))</f>
        <v>4.49208</v>
      </c>
      <c r="BK216" s="153" t="n">
        <f aca="false">IF(AND($M216&lt;&gt;"",$N216="VCA",$Q216="LINEAR"),($M216*2.5)/50,IF(AND($M216&lt;&gt;"",$N216="MND",$Q216="EMBOQUE"),($AN216*2*2.5)/50,0))</f>
        <v>3.303</v>
      </c>
      <c r="BL216" s="157" t="str">
        <f aca="false">K216&amp;J216</f>
        <v>Zona02REDES</v>
      </c>
      <c r="BM216" s="152" t="s">
        <v>2037</v>
      </c>
      <c r="BN216" s="152" t="s">
        <v>1560</v>
      </c>
      <c r="BO216" s="152" t="s">
        <v>2231</v>
      </c>
      <c r="BP216" s="152" t="s">
        <v>2294</v>
      </c>
      <c r="BQ216" s="152" t="s">
        <v>2317</v>
      </c>
      <c r="BR216" s="152" t="s">
        <v>2353</v>
      </c>
      <c r="BS216" s="152" t="n">
        <v>202926.585</v>
      </c>
      <c r="BT216" s="152" t="n">
        <v>8237701.802</v>
      </c>
      <c r="BU216" s="152" t="n">
        <v>202964.355</v>
      </c>
      <c r="BV216" s="152" t="n">
        <v>8237755.904</v>
      </c>
      <c r="BW216" s="152" t="n">
        <v>-15.9219071</v>
      </c>
      <c r="BX216" s="152" t="n">
        <v>-47.7744241</v>
      </c>
      <c r="BY216" s="152" t="s">
        <v>2294</v>
      </c>
    </row>
    <row r="217" customFormat="false" ht="13.8" hidden="false" customHeight="false" outlineLevel="0" collapsed="false">
      <c r="A217" s="149" t="n">
        <f aca="false">IF(C217&lt;&gt;"",ROW(A212),"")</f>
        <v>212</v>
      </c>
      <c r="B217" s="150" t="str">
        <f aca="false">HYPERLINK("https://www.google.com/maps/dir/-15.917302,-47.760003/-15.9218178,-47.7774000/data=!4m3!4m2!3e0!5i1")</f>
        <v>https://www.google.com/maps/dir/-15.917302,-47.760003/-15.9218178,-47.7774000/data=!4m3!4m2!3e0!5i1</v>
      </c>
      <c r="C217" s="151" t="s">
        <v>117</v>
      </c>
      <c r="D217" s="152" t="s">
        <v>112</v>
      </c>
      <c r="E217" s="152" t="s">
        <v>113</v>
      </c>
      <c r="F217" s="152" t="s">
        <v>117</v>
      </c>
      <c r="G217" s="152" t="s">
        <v>782</v>
      </c>
      <c r="H217" s="152" t="n">
        <v>63</v>
      </c>
      <c r="I217" s="152" t="s">
        <v>115</v>
      </c>
      <c r="J217" s="152" t="s">
        <v>6</v>
      </c>
      <c r="K217" s="152" t="s">
        <v>2033</v>
      </c>
      <c r="L217" s="152" t="s">
        <v>120</v>
      </c>
      <c r="M217" s="153" t="n">
        <f aca="false">12.78</f>
        <v>12.78</v>
      </c>
      <c r="N217" s="152" t="s">
        <v>1548</v>
      </c>
      <c r="O217" s="152" t="s">
        <v>1549</v>
      </c>
      <c r="P217" s="152" t="s">
        <v>1550</v>
      </c>
      <c r="Q217" s="152" t="s">
        <v>1551</v>
      </c>
      <c r="R217" s="154" t="s">
        <v>2354</v>
      </c>
      <c r="S217" s="154" t="s">
        <v>1553</v>
      </c>
      <c r="T217" s="155" t="s">
        <v>2227</v>
      </c>
      <c r="U217" s="152" t="str">
        <f aca="false">RIGHT(T217,7)</f>
        <v>008/037</v>
      </c>
      <c r="V217" s="152" t="s">
        <v>1555</v>
      </c>
      <c r="W217" s="156" t="n">
        <v>45882</v>
      </c>
      <c r="X217" s="152" t="s">
        <v>1594</v>
      </c>
      <c r="Y217" s="152" t="s">
        <v>2355</v>
      </c>
      <c r="Z217" s="152" t="s">
        <v>1557</v>
      </c>
      <c r="AA217" s="153" t="n">
        <v>4.1</v>
      </c>
      <c r="AB217" s="151" t="s">
        <v>2356</v>
      </c>
      <c r="AC217" s="151" t="s">
        <v>186</v>
      </c>
      <c r="AD217" s="151" t="str">
        <f aca="false">CONCATENATE($C217,$I217,$H217,$N217,$J217,$K217)</f>
        <v>TUBO PEADPEAD63VCAREDESZona02</v>
      </c>
      <c r="AE217" s="153" t="n">
        <f aca="false">IFERROR(INDEX(APOIO_REDES!$A:$W,MATCH($C217&amp;$I217&amp;$H217&amp;$N217&amp;$O217,APOIO_REDES!$W:$W,0),MATCH(AE$5,APOIO_REDES!$5:$5,0)),0)</f>
        <v>1.2</v>
      </c>
      <c r="AF217" s="153" t="n">
        <f aca="false">IFERROR(INDEX(APOIO_REDES!$A:$W,MATCH($C217&amp;$I217&amp;$H217&amp;$N217&amp;$O217,APOIO_REDES!$W:$W,0),MATCH(AF$5,APOIO_REDES!$5:$5,0)),0)</f>
        <v>1.363</v>
      </c>
      <c r="AG217" s="153" t="n">
        <f aca="false">IFERROR(INDEX(APOIO_REDES!$A:$W,MATCH($C217&amp;$I217&amp;$H217&amp;$N217&amp;$O217,APOIO_REDES!$W:$W,0),MATCH(AG$5,APOIO_REDES!$5:$5,0)),0)</f>
        <v>0.65</v>
      </c>
      <c r="AH217" s="153" t="n">
        <f aca="false">IFERROR(INDEX(APOIO_REDES!$A:$W,MATCH($C217&amp;$I217&amp;$H217&amp;$N217&amp;$O217,APOIO_REDES!$W:$W,0),MATCH(AH$5,APOIO_REDES!$5:$5,0)),0)</f>
        <v>0.1</v>
      </c>
      <c r="AI217" s="153" t="n">
        <f aca="false">IFERROR(IF($H217&lt;&gt;"",(((($H217/1000)/2)^2)*PI()*$M217),0),0)</f>
        <v>0.0398383950685028</v>
      </c>
      <c r="AJ217" s="153" t="n">
        <f aca="false">IFERROR(IF(AND($H217&lt;&gt;"",$I217="FoFo",OR($N217="MND",$N217="VCA"),$Q217="LINEAR"),0,IF(AND($H217&lt;&gt;"",$I217="PEAD",$N217="VCA",$Q217="LINEAR"),($H217/1000)+0.3,IF(AND($H217&lt;&gt;"",$I217="PEAD",$N217="MND",$Q217="EMBOQUE"),0,IF(AND($H217&lt;&gt;"",$I217="PVC",$N217="VCA",$Q217="LINEAR"),($H217/1000)+0.2,IF(AND($H217&lt;&gt;"",$I217="PVC",$N217="MND",$Q217="EMBOQUE"),0,IF(AND($H217&lt;&gt;"",$I217="PEAD",$N217="VCA",$Q217="PREDIAL"),0,0)))))),0)</f>
        <v>0.363</v>
      </c>
      <c r="AK217" s="153" t="n">
        <f aca="false">IF(AA217&lt;&gt;"",AA217,0)</f>
        <v>4.1</v>
      </c>
      <c r="AL217" s="153" t="n">
        <f aca="false">IF(AND($N217="MND",$Q217="EMBOQUE"),$M217,IF(AND($N217="VCA",$Q217="LINEAR"),$M217,IF(AND($N217="VCA",$Q217="PREDIAL"),0,0)))</f>
        <v>12.78</v>
      </c>
      <c r="AM217" s="153" t="n">
        <f aca="false">IF(AND($N217="MND",$Q217="EMBOQUE"),$M217,IF(AND($N217="VCA",$Q217="LINEAR"),$M217,IF(AND($N217="VCA",$Q217="PREDIAL"),0,0)))</f>
        <v>12.78</v>
      </c>
      <c r="AN217" s="153" t="n">
        <f aca="false">ROUND(IF(AND($N217="VCA",$M217&lt;&gt;"",$Q217="LINEAR"),$M217/100,IF(AND($N217="MND",$M217&gt;100,$Q217="EMBOQUE"),$M217/100,0)),0)</f>
        <v>0</v>
      </c>
      <c r="AO217" s="153" t="n">
        <f aca="false">IF(AND($N217="MND",$Q217="EMBOQUE"),$AN217*2*2,IF(AND($N217="VCA",$Q217="LINEAR"),$M217*2,IF(AND($N217="VCA",$Q217="PREDIAL"),0,0)))</f>
        <v>25.56</v>
      </c>
      <c r="AP217" s="153" t="n">
        <f aca="false">IFERROR($M217*$AF217*$AG217,0)</f>
        <v>11.322441</v>
      </c>
      <c r="AQ217" s="153" t="n">
        <f aca="false">IFERROR(IF(AND($N217="VCA",$AH217&gt;0),$M217*$AG217*$AH217,0),0)</f>
        <v>0.8307</v>
      </c>
      <c r="AR217" s="153" t="n">
        <f aca="false">IFERROR(IF(AND($N217="VCA",$AJ217&gt;0),($M217*$AG217*$AJ217)-$AI217,0),0)</f>
        <v>2.9756026049315</v>
      </c>
      <c r="AS217" s="153" t="n">
        <f aca="false">IFERROR(IF(AND($N217="VCA",$AP217&gt;0),$AP217-$AI217-$AQ217-$AR217,0),0)</f>
        <v>7.4763</v>
      </c>
      <c r="AT217" s="153" t="n">
        <f aca="false">IFERROR(IF($N217="VCA",INDEX(APOIO_REDES!$A:$W,MATCH($C217&amp;$I217&amp;$H217&amp;$N217&amp;$O217,APOIO_REDES!$W:$W,0),MATCH(AT$5,APOIO_REDES!$5:$5,0)),0)*$AP217,0)</f>
        <v>0.123191509351471</v>
      </c>
      <c r="AU217" s="153" t="n">
        <f aca="false">IFERROR(IF($N217="VCA",INDEX(APOIO_REDES!$A:$W,MATCH($C217&amp;$I217&amp;$H217&amp;$N217&amp;$O217,APOIO_REDES!$W:$W,0),MATCH(AU$5,APOIO_REDES!$5:$5,0)),0)*$AP217,0)</f>
        <v>0.0983774029188811</v>
      </c>
      <c r="AV217" s="153" t="n">
        <f aca="false">IFERROR(IF($N217="VCA",INDEX(APOIO_REDES!$A:$W,MATCH($C217&amp;$I217&amp;$H217&amp;$N217&amp;$O217,APOIO_REDES!$W:$W,0),MATCH(AV$5,APOIO_REDES!$5:$5,0)),0)*$AP217,0)</f>
        <v>0.0136146602710801</v>
      </c>
      <c r="AW217" s="153" t="n">
        <f aca="false">IFERROR(IF($N217="VCA",INDEX(APOIO_REDES!$A:$W,MATCH($C217&amp;$I217&amp;$H217&amp;$N217&amp;$O217,APOIO_REDES!$W:$W,0),MATCH(AW$5,APOIO_REDES!$5:$5,0)),0)*$AP217,0)</f>
        <v>7.77181123295391</v>
      </c>
      <c r="AX217" s="153" t="n">
        <f aca="false">IFERROR(IF($N217="VCA",INDEX(APOIO_REDES!$A:$W,MATCH($C217&amp;$I217&amp;$H217&amp;$N217&amp;$O217,APOIO_REDES!$W:$W,0),MATCH(AX$5,APOIO_REDES!$5:$5,0)),0)*$AP217,0)</f>
        <v>1.07559653621747</v>
      </c>
      <c r="AY217" s="153" t="n">
        <f aca="false">IFERROR(IF($N217="VCA",INDEX(APOIO_REDES!$A:$W,MATCH($C217&amp;$I217&amp;$H217&amp;$N217&amp;$O217,APOIO_REDES!$W:$W,0),MATCH(AY$5,APOIO_REDES!$5:$5,0)),0)*$AP217,0)</f>
        <v>1.96754685916506</v>
      </c>
      <c r="AZ217" s="153" t="n">
        <f aca="false">IFERROR(IF($N217="VCA",INDEX(APOIO_REDES!$A:$W,MATCH($C217&amp;$I217&amp;$H217&amp;$N217&amp;$O217,APOIO_REDES!$W:$W,0),MATCH(AZ$5,APOIO_REDES!$5:$5,0)),0)*$AP217,0)</f>
        <v>0.272302799122137</v>
      </c>
      <c r="BA217" s="153" t="n">
        <f aca="false">IFERROR(IF(AND($N217="VCA",$Q217="LINEAR"),INDEX(APOIO_REDES!$A:$W,MATCH($C217&amp;$I217&amp;$H217&amp;$N217&amp;$O217,APOIO_REDES!$W:$W,0),MATCH(BA$5,APOIO_REDES!$5:$5,0)),IF(AND($N217="MND",$Q217="EMBOQUE"),INDEX(APOIO_REDES!$A:$W,MATCH($C217&amp;$I217&amp;$H217&amp;$N217&amp;$O217,APOIO_REDES!$W:$W,0),MATCH(BA$5,APOIO_REDES!$5:$5,0)),0))*$M217/10,0)</f>
        <v>1.03003576346959</v>
      </c>
      <c r="BB217" s="153" t="n">
        <f aca="false">IFERROR(IF($N217="VCA",INDEX(APOIO_REDES!$A:$W,MATCH($C217&amp;$I217&amp;$H217&amp;$N217&amp;$O217,APOIO_REDES!$W:$W,0),MATCH(BB$5,APOIO_REDES!$5:$5,0)),0)*($AI217+$AQ217+$AR217),0)</f>
        <v>3.80429384752037</v>
      </c>
      <c r="BC217" s="153" t="n">
        <f aca="false">IFERROR(IF($N217="VCA",INDEX(APOIO_REDES!$A:$W,MATCH($C217&amp;$I217&amp;$H217&amp;$N217&amp;$O217,APOIO_REDES!$W:$W,0),MATCH(BC$5,APOIO_REDES!$5:$5,0)),0)*($AI217+$AQ217+$AR217),0)</f>
        <v>0.0418471524796265</v>
      </c>
      <c r="BD217" s="153" t="n">
        <f aca="false">IF(AND($N217="VCA",$AF217&gt;=1.25,$AF217&lt;1.5),$M217*$AF217*2,0)</f>
        <v>34.83828</v>
      </c>
      <c r="BE217" s="153" t="n">
        <f aca="false">IF(AND($N217="VCA",$AF217&gt;=1.5,$AF217&lt;3),$M217*$AF217*2,0)</f>
        <v>0</v>
      </c>
      <c r="BF217" s="153" t="n">
        <f aca="false">IF(AND($N217="VCA",$AF217&gt;=3),$M217*$AF217*2,0)</f>
        <v>0</v>
      </c>
      <c r="BG217" s="153" t="n">
        <f aca="false">($BB217+$BC217)*$AK217</f>
        <v>15.7691781</v>
      </c>
      <c r="BH217" s="153" t="n">
        <f aca="false">IF(AND($M217&lt;&gt;"",$N217="VCA",$Q217="LINEAR"),($M217*2)/100,IF(AND($M217&lt;&gt;"",$N217="MND",$Q217="EMBOQUE"),($AN217*2)/100,0))</f>
        <v>0.2556</v>
      </c>
      <c r="BI217" s="153" t="n">
        <f aca="false">IF(AND($M217&lt;&gt;"",$N217="VCA",$Q217="LINEAR"),$M217,IF(AND($M217&lt;&gt;"",$N217="MND",$Q217="EMBOQUE"),$AN217*2,0))</f>
        <v>12.78</v>
      </c>
      <c r="BJ217" s="153" t="n">
        <f aca="false">IF(AND($M217&lt;&gt;"",$N217="VCA",$Q217="LINEAR"),($M217*6.8)/100,IF(AND($M217&lt;&gt;"",$N217="MND",$Q217="EMBOQUE"),($AN217*2*6.8)/100,0))</f>
        <v>0.86904</v>
      </c>
      <c r="BK217" s="153" t="n">
        <f aca="false">IF(AND($M217&lt;&gt;"",$N217="VCA",$Q217="LINEAR"),($M217*2.5)/50,IF(AND($M217&lt;&gt;"",$N217="MND",$Q217="EMBOQUE"),($AN217*2*2.5)/50,0))</f>
        <v>0.639</v>
      </c>
      <c r="BL217" s="157" t="str">
        <f aca="false">K217&amp;J217</f>
        <v>Zona02REDES</v>
      </c>
      <c r="BM217" s="152" t="s">
        <v>2037</v>
      </c>
      <c r="BN217" s="152" t="s">
        <v>1560</v>
      </c>
      <c r="BO217" s="152" t="s">
        <v>2231</v>
      </c>
      <c r="BP217" s="152" t="s">
        <v>2330</v>
      </c>
      <c r="BQ217" s="152" t="s">
        <v>2357</v>
      </c>
      <c r="BR217" s="152" t="s">
        <v>2331</v>
      </c>
      <c r="BS217" s="152" t="n">
        <v>202626.95</v>
      </c>
      <c r="BT217" s="152" t="n">
        <v>8237734.26</v>
      </c>
      <c r="BU217" s="152" t="n">
        <v>202622.765</v>
      </c>
      <c r="BV217" s="152" t="n">
        <v>8237722.183</v>
      </c>
      <c r="BW217" s="152" t="n">
        <v>-15.9218728</v>
      </c>
      <c r="BX217" s="152" t="n">
        <v>-47.7774181</v>
      </c>
      <c r="BY217" s="152" t="s">
        <v>2330</v>
      </c>
    </row>
    <row r="218" customFormat="false" ht="13.8" hidden="false" customHeight="false" outlineLevel="0" collapsed="false">
      <c r="A218" s="149" t="n">
        <f aca="false">IF(C218&lt;&gt;"",ROW(A213),"")</f>
        <v>213</v>
      </c>
      <c r="B218" s="150" t="str">
        <f aca="false">HYPERLINK("https://www.google.com/maps/dir/-15.917302,-47.760003/-15.9224363,-47.7761059/data=!4m3!4m2!3e0!5i1")</f>
        <v>https://www.google.com/maps/dir/-15.917302,-47.760003/-15.9224363,-47.7761059/data=!4m3!4m2!3e0!5i1</v>
      </c>
      <c r="C218" s="151" t="s">
        <v>117</v>
      </c>
      <c r="D218" s="152" t="s">
        <v>112</v>
      </c>
      <c r="E218" s="152" t="s">
        <v>113</v>
      </c>
      <c r="F218" s="152" t="s">
        <v>117</v>
      </c>
      <c r="G218" s="152" t="s">
        <v>782</v>
      </c>
      <c r="H218" s="152" t="n">
        <v>63</v>
      </c>
      <c r="I218" s="152" t="s">
        <v>115</v>
      </c>
      <c r="J218" s="152" t="s">
        <v>6</v>
      </c>
      <c r="K218" s="152" t="s">
        <v>2033</v>
      </c>
      <c r="L218" s="152" t="s">
        <v>120</v>
      </c>
      <c r="M218" s="153" t="n">
        <f aca="false">100.21</f>
        <v>100.21</v>
      </c>
      <c r="N218" s="152" t="s">
        <v>1548</v>
      </c>
      <c r="O218" s="152" t="s">
        <v>1549</v>
      </c>
      <c r="P218" s="152" t="s">
        <v>1550</v>
      </c>
      <c r="Q218" s="152" t="s">
        <v>1551</v>
      </c>
      <c r="R218" s="154" t="s">
        <v>2358</v>
      </c>
      <c r="S218" s="154" t="s">
        <v>1553</v>
      </c>
      <c r="T218" s="155" t="s">
        <v>2227</v>
      </c>
      <c r="U218" s="152" t="str">
        <f aca="false">RIGHT(T218,7)</f>
        <v>008/037</v>
      </c>
      <c r="V218" s="152" t="s">
        <v>1555</v>
      </c>
      <c r="W218" s="156" t="n">
        <v>45882</v>
      </c>
      <c r="X218" s="152" t="s">
        <v>1594</v>
      </c>
      <c r="Y218" s="152" t="s">
        <v>2323</v>
      </c>
      <c r="Z218" s="152" t="s">
        <v>1557</v>
      </c>
      <c r="AA218" s="153" t="n">
        <v>3.9</v>
      </c>
      <c r="AB218" s="151" t="s">
        <v>2359</v>
      </c>
      <c r="AC218" s="151" t="s">
        <v>186</v>
      </c>
      <c r="AD218" s="151" t="str">
        <f aca="false">CONCATENATE($C218,$I218,$H218,$N218,$J218,$K218)</f>
        <v>TUBO PEADPEAD63VCAREDESZona02</v>
      </c>
      <c r="AE218" s="153" t="n">
        <f aca="false">IFERROR(INDEX(APOIO_REDES!$A:$W,MATCH($C218&amp;$I218&amp;$H218&amp;$N218&amp;$O218,APOIO_REDES!$W:$W,0),MATCH(AE$5,APOIO_REDES!$5:$5,0)),0)</f>
        <v>1.2</v>
      </c>
      <c r="AF218" s="153" t="n">
        <f aca="false">IFERROR(INDEX(APOIO_REDES!$A:$W,MATCH($C218&amp;$I218&amp;$H218&amp;$N218&amp;$O218,APOIO_REDES!$W:$W,0),MATCH(AF$5,APOIO_REDES!$5:$5,0)),0)</f>
        <v>1.363</v>
      </c>
      <c r="AG218" s="153" t="n">
        <f aca="false">IFERROR(INDEX(APOIO_REDES!$A:$W,MATCH($C218&amp;$I218&amp;$H218&amp;$N218&amp;$O218,APOIO_REDES!$W:$W,0),MATCH(AG$5,APOIO_REDES!$5:$5,0)),0)</f>
        <v>0.65</v>
      </c>
      <c r="AH218" s="153" t="n">
        <f aca="false">IFERROR(INDEX(APOIO_REDES!$A:$W,MATCH($C218&amp;$I218&amp;$H218&amp;$N218&amp;$O218,APOIO_REDES!$W:$W,0),MATCH(AH$5,APOIO_REDES!$5:$5,0)),0)</f>
        <v>0.1</v>
      </c>
      <c r="AI218" s="153" t="n">
        <f aca="false">IFERROR(IF($H218&lt;&gt;"",(((($H218/1000)/2)^2)*PI()*$M218),0),0)</f>
        <v>0.312379152567657</v>
      </c>
      <c r="AJ218" s="153" t="n">
        <f aca="false">IFERROR(IF(AND($H218&lt;&gt;"",$I218="FoFo",OR($N218="MND",$N218="VCA"),$Q218="LINEAR"),0,IF(AND($H218&lt;&gt;"",$I218="PEAD",$N218="VCA",$Q218="LINEAR"),($H218/1000)+0.3,IF(AND($H218&lt;&gt;"",$I218="PEAD",$N218="MND",$Q218="EMBOQUE"),0,IF(AND($H218&lt;&gt;"",$I218="PVC",$N218="VCA",$Q218="LINEAR"),($H218/1000)+0.2,IF(AND($H218&lt;&gt;"",$I218="PVC",$N218="MND",$Q218="EMBOQUE"),0,IF(AND($H218&lt;&gt;"",$I218="PEAD",$N218="VCA",$Q218="PREDIAL"),0,0)))))),0)</f>
        <v>0.363</v>
      </c>
      <c r="AK218" s="153" t="n">
        <f aca="false">IF(AA218&lt;&gt;"",AA218,0)</f>
        <v>3.9</v>
      </c>
      <c r="AL218" s="153" t="n">
        <f aca="false">IF(AND($N218="MND",$Q218="EMBOQUE"),$M218,IF(AND($N218="VCA",$Q218="LINEAR"),$M218,IF(AND($N218="VCA",$Q218="PREDIAL"),0,0)))</f>
        <v>100.21</v>
      </c>
      <c r="AM218" s="153" t="n">
        <f aca="false">IF(AND($N218="MND",$Q218="EMBOQUE"),$M218,IF(AND($N218="VCA",$Q218="LINEAR"),$M218,IF(AND($N218="VCA",$Q218="PREDIAL"),0,0)))</f>
        <v>100.21</v>
      </c>
      <c r="AN218" s="153" t="n">
        <f aca="false">ROUND(IF(AND($N218="VCA",$M218&lt;&gt;"",$Q218="LINEAR"),$M218/100,IF(AND($N218="MND",$M218&gt;100,$Q218="EMBOQUE"),$M218/100,0)),0)</f>
        <v>1</v>
      </c>
      <c r="AO218" s="153" t="n">
        <f aca="false">IF(AND($N218="MND",$Q218="EMBOQUE"),$AN218*2*2,IF(AND($N218="VCA",$Q218="LINEAR"),$M218*2,IF(AND($N218="VCA",$Q218="PREDIAL"),0,0)))</f>
        <v>200.42</v>
      </c>
      <c r="AP218" s="153" t="n">
        <f aca="false">IFERROR($M218*$AF218*$AG218,0)</f>
        <v>88.7810495</v>
      </c>
      <c r="AQ218" s="153" t="n">
        <f aca="false">IFERROR(IF(AND($N218="VCA",$AH218&gt;0),$M218*$AG218*$AH218,0),0)</f>
        <v>6.51365</v>
      </c>
      <c r="AR218" s="153" t="n">
        <f aca="false">IFERROR(IF(AND($N218="VCA",$AJ218&gt;0),($M218*$AG218*$AJ218)-$AI218,0),0)</f>
        <v>23.3321703474323</v>
      </c>
      <c r="AS218" s="153" t="n">
        <f aca="false">IFERROR(IF(AND($N218="VCA",$AP218&gt;0),$AP218-$AI218-$AQ218-$AR218,0),0)</f>
        <v>58.62285</v>
      </c>
      <c r="AT218" s="153" t="n">
        <f aca="false">IFERROR(IF($N218="VCA",INDEX(APOIO_REDES!$A:$W,MATCH($C218&amp;$I218&amp;$H218&amp;$N218&amp;$O218,APOIO_REDES!$W:$W,0),MATCH(AT$5,APOIO_REDES!$5:$5,0)),0)*$AP218,0)</f>
        <v>0.965964096409302</v>
      </c>
      <c r="AU218" s="153" t="n">
        <f aca="false">IFERROR(IF($N218="VCA",INDEX(APOIO_REDES!$A:$W,MATCH($C218&amp;$I218&amp;$H218&amp;$N218&amp;$O218,APOIO_REDES!$W:$W,0),MATCH(AU$5,APOIO_REDES!$5:$5,0)),0)*$AP218,0)</f>
        <v>0.771392765766908</v>
      </c>
      <c r="AV218" s="153" t="n">
        <f aca="false">IFERROR(IF($N218="VCA",INDEX(APOIO_REDES!$A:$W,MATCH($C218&amp;$I218&amp;$H218&amp;$N218&amp;$O218,APOIO_REDES!$W:$W,0),MATCH(AV$5,APOIO_REDES!$5:$5,0)),0)*$AP218,0)</f>
        <v>0.106754703111498</v>
      </c>
      <c r="AW218" s="153" t="n">
        <f aca="false">IFERROR(IF($N218="VCA",INDEX(APOIO_REDES!$A:$W,MATCH($C218&amp;$I218&amp;$H218&amp;$N218&amp;$O218,APOIO_REDES!$W:$W,0),MATCH(AW$5,APOIO_REDES!$5:$5,0)),0)*$AP218,0)</f>
        <v>60.9400002859398</v>
      </c>
      <c r="AX218" s="153" t="n">
        <f aca="false">IFERROR(IF($N218="VCA",INDEX(APOIO_REDES!$A:$W,MATCH($C218&amp;$I218&amp;$H218&amp;$N218&amp;$O218,APOIO_REDES!$W:$W,0),MATCH(AX$5,APOIO_REDES!$5:$5,0)),0)*$AP218,0)</f>
        <v>8.43392244869737</v>
      </c>
      <c r="AY218" s="153" t="n">
        <f aca="false">IFERROR(IF($N218="VCA",INDEX(APOIO_REDES!$A:$W,MATCH($C218&amp;$I218&amp;$H218&amp;$N218&amp;$O218,APOIO_REDES!$W:$W,0),MATCH(AY$5,APOIO_REDES!$5:$5,0)),0)*$AP218,0)</f>
        <v>15.4278459121229</v>
      </c>
      <c r="AZ218" s="153" t="n">
        <f aca="false">IFERROR(IF($N218="VCA",INDEX(APOIO_REDES!$A:$W,MATCH($C218&amp;$I218&amp;$H218&amp;$N218&amp;$O218,APOIO_REDES!$W:$W,0),MATCH(AZ$5,APOIO_REDES!$5:$5,0)),0)*$AP218,0)</f>
        <v>2.13516928795222</v>
      </c>
      <c r="BA218" s="153" t="n">
        <f aca="false">IFERROR(IF(AND($N218="VCA",$Q218="LINEAR"),INDEX(APOIO_REDES!$A:$W,MATCH($C218&amp;$I218&amp;$H218&amp;$N218&amp;$O218,APOIO_REDES!$W:$W,0),MATCH(BA$5,APOIO_REDES!$5:$5,0)),IF(AND($N218="MND",$Q218="EMBOQUE"),INDEX(APOIO_REDES!$A:$W,MATCH($C218&amp;$I218&amp;$H218&amp;$N218&amp;$O218,APOIO_REDES!$W:$W,0),MATCH(BA$5,APOIO_REDES!$5:$5,0)),0))*$M218/10,0)</f>
        <v>8.07667322826978</v>
      </c>
      <c r="BB218" s="153" t="n">
        <f aca="false">IFERROR(IF($N218="VCA",INDEX(APOIO_REDES!$A:$W,MATCH($C218&amp;$I218&amp;$H218&amp;$N218&amp;$O218,APOIO_REDES!$W:$W,0),MATCH(BB$5,APOIO_REDES!$5:$5,0)),0)*($AI218+$AQ218+$AR218),0)</f>
        <v>29.8300693630686</v>
      </c>
      <c r="BC218" s="153" t="n">
        <f aca="false">IFERROR(IF($N218="VCA",INDEX(APOIO_REDES!$A:$W,MATCH($C218&amp;$I218&amp;$H218&amp;$N218&amp;$O218,APOIO_REDES!$W:$W,0),MATCH(BC$5,APOIO_REDES!$5:$5,0)),0)*($AI218+$AQ218+$AR218),0)</f>
        <v>0.328130136931406</v>
      </c>
      <c r="BD218" s="153" t="n">
        <f aca="false">IF(AND($N218="VCA",$AF218&gt;=1.25,$AF218&lt;1.5),$M218*$AF218*2,0)</f>
        <v>273.17246</v>
      </c>
      <c r="BE218" s="153" t="n">
        <f aca="false">IF(AND($N218="VCA",$AF218&gt;=1.5,$AF218&lt;3),$M218*$AF218*2,0)</f>
        <v>0</v>
      </c>
      <c r="BF218" s="153" t="n">
        <f aca="false">IF(AND($N218="VCA",$AF218&gt;=3),$M218*$AF218*2,0)</f>
        <v>0</v>
      </c>
      <c r="BG218" s="153" t="n">
        <f aca="false">($BB218+$BC218)*$AK218</f>
        <v>117.61697805</v>
      </c>
      <c r="BH218" s="153" t="n">
        <f aca="false">IF(AND($M218&lt;&gt;"",$N218="VCA",$Q218="LINEAR"),($M218*2)/100,IF(AND($M218&lt;&gt;"",$N218="MND",$Q218="EMBOQUE"),($AN218*2)/100,0))</f>
        <v>2.0042</v>
      </c>
      <c r="BI218" s="153" t="n">
        <f aca="false">IF(AND($M218&lt;&gt;"",$N218="VCA",$Q218="LINEAR"),$M218,IF(AND($M218&lt;&gt;"",$N218="MND",$Q218="EMBOQUE"),$AN218*2,0))</f>
        <v>100.21</v>
      </c>
      <c r="BJ218" s="153" t="n">
        <f aca="false">IF(AND($M218&lt;&gt;"",$N218="VCA",$Q218="LINEAR"),($M218*6.8)/100,IF(AND($M218&lt;&gt;"",$N218="MND",$Q218="EMBOQUE"),($AN218*2*6.8)/100,0))</f>
        <v>6.81428</v>
      </c>
      <c r="BK218" s="153" t="n">
        <f aca="false">IF(AND($M218&lt;&gt;"",$N218="VCA",$Q218="LINEAR"),($M218*2.5)/50,IF(AND($M218&lt;&gt;"",$N218="MND",$Q218="EMBOQUE"),($AN218*2*2.5)/50,0))</f>
        <v>5.0105</v>
      </c>
      <c r="BL218" s="157" t="str">
        <f aca="false">K218&amp;J218</f>
        <v>Zona02REDES</v>
      </c>
      <c r="BM218" s="152" t="s">
        <v>2037</v>
      </c>
      <c r="BN218" s="152" t="s">
        <v>1560</v>
      </c>
      <c r="BO218" s="152" t="s">
        <v>2231</v>
      </c>
      <c r="BP218" s="152" t="s">
        <v>2360</v>
      </c>
      <c r="BQ218" s="152" t="s">
        <v>2325</v>
      </c>
      <c r="BR218" s="152" t="s">
        <v>2361</v>
      </c>
      <c r="BS218" s="152" t="n">
        <v>202766.283</v>
      </c>
      <c r="BT218" s="152" t="n">
        <v>8237667.695</v>
      </c>
      <c r="BU218" s="152" t="n">
        <v>202687.031</v>
      </c>
      <c r="BV218" s="152" t="n">
        <v>8237728.989</v>
      </c>
      <c r="BW218" s="152" t="n">
        <v>-15.9221557</v>
      </c>
      <c r="BX218" s="152" t="n">
        <v>-47.7764725</v>
      </c>
      <c r="BY218" s="152" t="s">
        <v>2360</v>
      </c>
    </row>
    <row r="219" customFormat="false" ht="13.8" hidden="false" customHeight="false" outlineLevel="0" collapsed="false">
      <c r="A219" s="149" t="n">
        <f aca="false">IF(C219&lt;&gt;"",ROW(A214),"")</f>
        <v>214</v>
      </c>
      <c r="B219" s="150" t="str">
        <f aca="false">HYPERLINK("https://www.google.com/maps/dir/-15.917302,-47.760003/-15.9222040,-47.7745975/data=!4m3!4m2!3e0!5i1")</f>
        <v>https://www.google.com/maps/dir/-15.917302,-47.760003/-15.9222040,-47.7745975/data=!4m3!4m2!3e0!5i1</v>
      </c>
      <c r="C219" s="151" t="s">
        <v>117</v>
      </c>
      <c r="D219" s="152" t="s">
        <v>112</v>
      </c>
      <c r="E219" s="152" t="s">
        <v>113</v>
      </c>
      <c r="F219" s="152" t="s">
        <v>117</v>
      </c>
      <c r="G219" s="152" t="s">
        <v>114</v>
      </c>
      <c r="H219" s="152" t="n">
        <v>250</v>
      </c>
      <c r="I219" s="152" t="s">
        <v>115</v>
      </c>
      <c r="J219" s="152" t="s">
        <v>6</v>
      </c>
      <c r="K219" s="152" t="s">
        <v>2033</v>
      </c>
      <c r="L219" s="152" t="s">
        <v>120</v>
      </c>
      <c r="M219" s="153" t="n">
        <f aca="false">3.31</f>
        <v>3.31</v>
      </c>
      <c r="N219" s="152" t="s">
        <v>1548</v>
      </c>
      <c r="O219" s="152" t="s">
        <v>1549</v>
      </c>
      <c r="P219" s="152" t="s">
        <v>1550</v>
      </c>
      <c r="Q219" s="152" t="s">
        <v>1551</v>
      </c>
      <c r="R219" s="154" t="s">
        <v>2362</v>
      </c>
      <c r="S219" s="154" t="s">
        <v>1593</v>
      </c>
      <c r="T219" s="155" t="s">
        <v>2227</v>
      </c>
      <c r="U219" s="152" t="str">
        <f aca="false">RIGHT(T219,7)</f>
        <v>008/037</v>
      </c>
      <c r="V219" s="152" t="s">
        <v>1555</v>
      </c>
      <c r="W219" s="156" t="n">
        <v>45882</v>
      </c>
      <c r="X219" s="152" t="s">
        <v>1594</v>
      </c>
      <c r="Y219" s="152"/>
      <c r="Z219" s="152" t="s">
        <v>1557</v>
      </c>
      <c r="AA219" s="153" t="n">
        <v>3.9</v>
      </c>
      <c r="AB219" s="151" t="s">
        <v>2363</v>
      </c>
      <c r="AC219" s="151" t="s">
        <v>511</v>
      </c>
      <c r="AD219" s="151" t="str">
        <f aca="false">CONCATENATE($C219,$I219,$H219,$N219,$J219,$K219)</f>
        <v>TUBO PEADPEAD250VCAREDESZona02</v>
      </c>
      <c r="AE219" s="153" t="n">
        <f aca="false">IFERROR(INDEX(APOIO_REDES!$A:$W,MATCH($C219&amp;$I219&amp;$H219&amp;$N219&amp;$O219,APOIO_REDES!$W:$W,0),MATCH(AE$5,APOIO_REDES!$5:$5,0)),0)</f>
        <v>1.2</v>
      </c>
      <c r="AF219" s="153" t="n">
        <f aca="false">IFERROR(INDEX(APOIO_REDES!$A:$W,MATCH($C219&amp;$I219&amp;$H219&amp;$N219&amp;$O219,APOIO_REDES!$W:$W,0),MATCH(AF$5,APOIO_REDES!$5:$5,0)),0)</f>
        <v>1.55</v>
      </c>
      <c r="AG219" s="153" t="n">
        <f aca="false">IFERROR(INDEX(APOIO_REDES!$A:$W,MATCH($C219&amp;$I219&amp;$H219&amp;$N219&amp;$O219,APOIO_REDES!$W:$W,0),MATCH(AG$5,APOIO_REDES!$5:$5,0)),0)</f>
        <v>0.85</v>
      </c>
      <c r="AH219" s="153" t="n">
        <f aca="false">IFERROR(INDEX(APOIO_REDES!$A:$W,MATCH($C219&amp;$I219&amp;$H219&amp;$N219&amp;$O219,APOIO_REDES!$W:$W,0),MATCH(AH$5,APOIO_REDES!$5:$5,0)),0)</f>
        <v>0.1</v>
      </c>
      <c r="AI219" s="153" t="n">
        <f aca="false">IFERROR(IF($H219&lt;&gt;"",(((($H219/1000)/2)^2)*PI()*$M219),0),0)</f>
        <v>0.162479245052847</v>
      </c>
      <c r="AJ219" s="153" t="n">
        <f aca="false">IFERROR(IF(AND($H219&lt;&gt;"",$I219="FoFo",OR($N219="MND",$N219="VCA"),$Q219="LINEAR"),0,IF(AND($H219&lt;&gt;"",$I219="PEAD",$N219="VCA",$Q219="LINEAR"),($H219/1000)+0.3,IF(AND($H219&lt;&gt;"",$I219="PEAD",$N219="MND",$Q219="EMBOQUE"),0,IF(AND($H219&lt;&gt;"",$I219="PVC",$N219="VCA",$Q219="LINEAR"),($H219/1000)+0.2,IF(AND($H219&lt;&gt;"",$I219="PVC",$N219="MND",$Q219="EMBOQUE"),0,IF(AND($H219&lt;&gt;"",$I219="PEAD",$N219="VCA",$Q219="PREDIAL"),0,0)))))),0)</f>
        <v>0.55</v>
      </c>
      <c r="AK219" s="153" t="n">
        <f aca="false">IF(AA219&lt;&gt;"",AA219,0)</f>
        <v>3.9</v>
      </c>
      <c r="AL219" s="153" t="n">
        <f aca="false">IF(AND($N219="MND",$Q219="EMBOQUE"),$M219,IF(AND($N219="VCA",$Q219="LINEAR"),$M219,IF(AND($N219="VCA",$Q219="PREDIAL"),0,0)))</f>
        <v>3.31</v>
      </c>
      <c r="AM219" s="153" t="n">
        <f aca="false">IF(AND($N219="MND",$Q219="EMBOQUE"),$M219,IF(AND($N219="VCA",$Q219="LINEAR"),$M219,IF(AND($N219="VCA",$Q219="PREDIAL"),0,0)))</f>
        <v>3.31</v>
      </c>
      <c r="AN219" s="153" t="n">
        <f aca="false">ROUND(IF(AND($N219="VCA",$M219&lt;&gt;"",$Q219="LINEAR"),$M219/100,IF(AND($N219="MND",$M219&gt;100,$Q219="EMBOQUE"),$M219/100,0)),0)</f>
        <v>0</v>
      </c>
      <c r="AO219" s="153" t="n">
        <f aca="false">IF(AND($N219="MND",$Q219="EMBOQUE"),$AN219*2*2,IF(AND($N219="VCA",$Q219="LINEAR"),$M219*2,IF(AND($N219="VCA",$Q219="PREDIAL"),0,0)))</f>
        <v>6.62</v>
      </c>
      <c r="AP219" s="153" t="n">
        <f aca="false">IFERROR($M219*$AF219*$AG219,0)</f>
        <v>4.360925</v>
      </c>
      <c r="AQ219" s="153" t="n">
        <f aca="false">IFERROR(IF(AND($N219="VCA",$AH219&gt;0),$M219*$AG219*$AH219,0),0)</f>
        <v>0.28135</v>
      </c>
      <c r="AR219" s="153" t="n">
        <f aca="false">IFERROR(IF(AND($N219="VCA",$AJ219&gt;0),($M219*$AG219*$AJ219)-$AI219,0),0)</f>
        <v>1.38494575494715</v>
      </c>
      <c r="AS219" s="153" t="n">
        <f aca="false">IFERROR(IF(AND($N219="VCA",$AP219&gt;0),$AP219-$AI219-$AQ219-$AR219,0),0)</f>
        <v>2.53215</v>
      </c>
      <c r="AT219" s="153" t="n">
        <f aca="false">IFERROR(IF($N219="VCA",INDEX(APOIO_REDES!$A:$W,MATCH($C219&amp;$I219&amp;$H219&amp;$N219&amp;$O219,APOIO_REDES!$W:$W,0),MATCH(AT$5,APOIO_REDES!$5:$5,0)),0)*$AP219,0)</f>
        <v>0.0474481547679129</v>
      </c>
      <c r="AU219" s="153" t="n">
        <f aca="false">IFERROR(IF($N219="VCA",INDEX(APOIO_REDES!$A:$W,MATCH($C219&amp;$I219&amp;$H219&amp;$N219&amp;$O219,APOIO_REDES!$W:$W,0),MATCH(AU$5,APOIO_REDES!$5:$5,0)),0)*$AP219,0)</f>
        <v>0.0378908113386523</v>
      </c>
      <c r="AV219" s="153" t="n">
        <f aca="false">IFERROR(IF($N219="VCA",INDEX(APOIO_REDES!$A:$W,MATCH($C219&amp;$I219&amp;$H219&amp;$N219&amp;$O219,APOIO_REDES!$W:$W,0),MATCH(AV$5,APOIO_REDES!$5:$5,0)),0)*$AP219,0)</f>
        <v>0.00524379083473785</v>
      </c>
      <c r="AW219" s="153" t="n">
        <f aca="false">IFERROR(IF($N219="VCA",INDEX(APOIO_REDES!$A:$W,MATCH($C219&amp;$I219&amp;$H219&amp;$N219&amp;$O219,APOIO_REDES!$W:$W,0),MATCH(AW$5,APOIO_REDES!$5:$5,0)),0)*$AP219,0)</f>
        <v>2.99337271009578</v>
      </c>
      <c r="AX219" s="153" t="n">
        <f aca="false">IFERROR(IF($N219="VCA",INDEX(APOIO_REDES!$A:$W,MATCH($C219&amp;$I219&amp;$H219&amp;$N219&amp;$O219,APOIO_REDES!$W:$W,0),MATCH(AX$5,APOIO_REDES!$5:$5,0)),0)*$AP219,0)</f>
        <v>0.414274256293688</v>
      </c>
      <c r="AY219" s="153" t="n">
        <f aca="false">IFERROR(IF($N219="VCA",INDEX(APOIO_REDES!$A:$W,MATCH($C219&amp;$I219&amp;$H219&amp;$N219&amp;$O219,APOIO_REDES!$W:$W,0),MATCH(AY$5,APOIO_REDES!$5:$5,0)),0)*$AP219,0)</f>
        <v>0.757815764887127</v>
      </c>
      <c r="AZ219" s="153" t="n">
        <f aca="false">IFERROR(IF($N219="VCA",INDEX(APOIO_REDES!$A:$W,MATCH($C219&amp;$I219&amp;$H219&amp;$N219&amp;$O219,APOIO_REDES!$W:$W,0),MATCH(AZ$5,APOIO_REDES!$5:$5,0)),0)*$AP219,0)</f>
        <v>0.104879511782106</v>
      </c>
      <c r="BA219" s="153" t="n">
        <f aca="false">IFERROR(IF(AND($N219="VCA",$Q219="LINEAR"),INDEX(APOIO_REDES!$A:$W,MATCH($C219&amp;$I219&amp;$H219&amp;$N219&amp;$O219,APOIO_REDES!$W:$W,0),MATCH(BA$5,APOIO_REDES!$5:$5,0)),IF(AND($N219="MND",$Q219="EMBOQUE"),INDEX(APOIO_REDES!$A:$W,MATCH($C219&amp;$I219&amp;$H219&amp;$N219&amp;$O219,APOIO_REDES!$W:$W,0),MATCH(BA$5,APOIO_REDES!$5:$5,0)),0))*$M219/10,0)</f>
        <v>0.266777650789073</v>
      </c>
      <c r="BB219" s="153" t="n">
        <f aca="false">IFERROR(IF($N219="VCA",INDEX(APOIO_REDES!$A:$W,MATCH($C219&amp;$I219&amp;$H219&amp;$N219&amp;$O219,APOIO_REDES!$W:$W,0),MATCH(BB$5,APOIO_REDES!$5:$5,0)),0)*($AI219+$AQ219+$AR219),0)</f>
        <v>1.80887738671023</v>
      </c>
      <c r="BC219" s="153" t="n">
        <f aca="false">IFERROR(IF($N219="VCA",INDEX(APOIO_REDES!$A:$W,MATCH($C219&amp;$I219&amp;$H219&amp;$N219&amp;$O219,APOIO_REDES!$W:$W,0),MATCH(BC$5,APOIO_REDES!$5:$5,0)),0)*($AI219+$AQ219+$AR219),0)</f>
        <v>0.0198976132897699</v>
      </c>
      <c r="BD219" s="153" t="n">
        <f aca="false">IF(AND($N219="VCA",$AF219&gt;=1.25,$AF219&lt;1.5),$M219*$AF219*2,0)</f>
        <v>0</v>
      </c>
      <c r="BE219" s="153" t="n">
        <f aca="false">IF(AND($N219="VCA",$AF219&gt;=1.5,$AF219&lt;3),$M219*$AF219*2,0)</f>
        <v>10.261</v>
      </c>
      <c r="BF219" s="153" t="n">
        <f aca="false">IF(AND($N219="VCA",$AF219&gt;=3),$M219*$AF219*2,0)</f>
        <v>0</v>
      </c>
      <c r="BG219" s="153" t="n">
        <f aca="false">($BB219+$BC219)*$AK219</f>
        <v>7.1322225</v>
      </c>
      <c r="BH219" s="153" t="n">
        <f aca="false">IF(AND($M219&lt;&gt;"",$N219="VCA",$Q219="LINEAR"),($M219*2)/100,IF(AND($M219&lt;&gt;"",$N219="MND",$Q219="EMBOQUE"),($AN219*2)/100,0))</f>
        <v>0.0662</v>
      </c>
      <c r="BI219" s="153" t="n">
        <f aca="false">IF(AND($M219&lt;&gt;"",$N219="VCA",$Q219="LINEAR"),$M219,IF(AND($M219&lt;&gt;"",$N219="MND",$Q219="EMBOQUE"),$AN219*2,0))</f>
        <v>3.31</v>
      </c>
      <c r="BJ219" s="153" t="n">
        <f aca="false">IF(AND($M219&lt;&gt;"",$N219="VCA",$Q219="LINEAR"),($M219*6.8)/100,IF(AND($M219&lt;&gt;"",$N219="MND",$Q219="EMBOQUE"),($AN219*2*6.8)/100,0))</f>
        <v>0.22508</v>
      </c>
      <c r="BK219" s="153" t="n">
        <f aca="false">IF(AND($M219&lt;&gt;"",$N219="VCA",$Q219="LINEAR"),($M219*2.5)/50,IF(AND($M219&lt;&gt;"",$N219="MND",$Q219="EMBOQUE"),($AN219*2*2.5)/50,0))</f>
        <v>0.1655</v>
      </c>
      <c r="BL219" s="157" t="str">
        <f aca="false">K219&amp;J219</f>
        <v>Zona02REDES</v>
      </c>
      <c r="BM219" s="152" t="s">
        <v>2037</v>
      </c>
      <c r="BN219" s="152" t="s">
        <v>1560</v>
      </c>
      <c r="BO219" s="152" t="s">
        <v>2231</v>
      </c>
      <c r="BP219" s="152" t="s">
        <v>2364</v>
      </c>
      <c r="BQ219" s="152" t="s">
        <v>2032</v>
      </c>
      <c r="BR219" s="152" t="s">
        <v>2365</v>
      </c>
      <c r="BS219" s="152" t="n">
        <v>202927.548</v>
      </c>
      <c r="BT219" s="152" t="n">
        <v>8237695.571</v>
      </c>
      <c r="BU219" s="152" t="n">
        <v>202926.123</v>
      </c>
      <c r="BV219" s="152" t="n">
        <v>8237692.588</v>
      </c>
      <c r="BW219" s="152" t="n">
        <v>-15.9222174</v>
      </c>
      <c r="BX219" s="152" t="n">
        <v>-47.7746044</v>
      </c>
      <c r="BY219" s="152" t="s">
        <v>2364</v>
      </c>
    </row>
    <row r="220" customFormat="false" ht="13.8" hidden="false" customHeight="false" outlineLevel="0" collapsed="false">
      <c r="A220" s="149" t="n">
        <f aca="false">IF(C220&lt;&gt;"",ROW(A215),"")</f>
        <v>215</v>
      </c>
      <c r="B220" s="150" t="str">
        <f aca="false">HYPERLINK("https://www.google.com/maps/dir/-15.917302,-47.760003/-15.9224363,-47.7761059/data=!4m3!4m2!3e0!5i1")</f>
        <v>https://www.google.com/maps/dir/-15.917302,-47.760003/-15.9224363,-47.7761059/data=!4m3!4m2!3e0!5i1</v>
      </c>
      <c r="C220" s="151" t="s">
        <v>117</v>
      </c>
      <c r="D220" s="152" t="s">
        <v>112</v>
      </c>
      <c r="E220" s="152" t="s">
        <v>113</v>
      </c>
      <c r="F220" s="152" t="s">
        <v>117</v>
      </c>
      <c r="G220" s="152" t="s">
        <v>782</v>
      </c>
      <c r="H220" s="152" t="n">
        <v>63</v>
      </c>
      <c r="I220" s="152" t="s">
        <v>115</v>
      </c>
      <c r="J220" s="152" t="s">
        <v>6</v>
      </c>
      <c r="K220" s="152" t="s">
        <v>2033</v>
      </c>
      <c r="L220" s="152" t="s">
        <v>120</v>
      </c>
      <c r="M220" s="153" t="n">
        <f aca="false">63.42</f>
        <v>63.42</v>
      </c>
      <c r="N220" s="152" t="s">
        <v>1548</v>
      </c>
      <c r="O220" s="152" t="s">
        <v>1549</v>
      </c>
      <c r="P220" s="152" t="s">
        <v>1550</v>
      </c>
      <c r="Q220" s="152" t="s">
        <v>1551</v>
      </c>
      <c r="R220" s="154" t="s">
        <v>2366</v>
      </c>
      <c r="S220" s="154" t="s">
        <v>1553</v>
      </c>
      <c r="T220" s="155" t="s">
        <v>2227</v>
      </c>
      <c r="U220" s="152" t="str">
        <f aca="false">RIGHT(T220,7)</f>
        <v>008/037</v>
      </c>
      <c r="V220" s="152" t="s">
        <v>1555</v>
      </c>
      <c r="W220" s="156" t="n">
        <v>45882</v>
      </c>
      <c r="X220" s="152" t="s">
        <v>1594</v>
      </c>
      <c r="Y220" s="152" t="s">
        <v>2323</v>
      </c>
      <c r="Z220" s="152" t="s">
        <v>1557</v>
      </c>
      <c r="AA220" s="153" t="n">
        <v>3.9</v>
      </c>
      <c r="AB220" s="151" t="s">
        <v>2367</v>
      </c>
      <c r="AC220" s="151" t="s">
        <v>186</v>
      </c>
      <c r="AD220" s="151" t="str">
        <f aca="false">CONCATENATE($C220,$I220,$H220,$N220,$J220,$K220)</f>
        <v>TUBO PEADPEAD63VCAREDESZona02</v>
      </c>
      <c r="AE220" s="153" t="n">
        <f aca="false">IFERROR(INDEX(APOIO_REDES!$A:$W,MATCH($C220&amp;$I220&amp;$H220&amp;$N220&amp;$O220,APOIO_REDES!$W:$W,0),MATCH(AE$5,APOIO_REDES!$5:$5,0)),0)</f>
        <v>1.2</v>
      </c>
      <c r="AF220" s="153" t="n">
        <f aca="false">IFERROR(INDEX(APOIO_REDES!$A:$W,MATCH($C220&amp;$I220&amp;$H220&amp;$N220&amp;$O220,APOIO_REDES!$W:$W,0),MATCH(AF$5,APOIO_REDES!$5:$5,0)),0)</f>
        <v>1.363</v>
      </c>
      <c r="AG220" s="153" t="n">
        <f aca="false">IFERROR(INDEX(APOIO_REDES!$A:$W,MATCH($C220&amp;$I220&amp;$H220&amp;$N220&amp;$O220,APOIO_REDES!$W:$W,0),MATCH(AG$5,APOIO_REDES!$5:$5,0)),0)</f>
        <v>0.65</v>
      </c>
      <c r="AH220" s="153" t="n">
        <f aca="false">IFERROR(INDEX(APOIO_REDES!$A:$W,MATCH($C220&amp;$I220&amp;$H220&amp;$N220&amp;$O220,APOIO_REDES!$W:$W,0),MATCH(AH$5,APOIO_REDES!$5:$5,0)),0)</f>
        <v>0.1</v>
      </c>
      <c r="AI220" s="153" t="n">
        <f aca="false">IFERROR(IF($H220&lt;&gt;"",(((($H220/1000)/2)^2)*PI()*$M220),0),0)</f>
        <v>0.197695697593462</v>
      </c>
      <c r="AJ220" s="153" t="n">
        <f aca="false">IFERROR(IF(AND($H220&lt;&gt;"",$I220="FoFo",OR($N220="MND",$N220="VCA"),$Q220="LINEAR"),0,IF(AND($H220&lt;&gt;"",$I220="PEAD",$N220="VCA",$Q220="LINEAR"),($H220/1000)+0.3,IF(AND($H220&lt;&gt;"",$I220="PEAD",$N220="MND",$Q220="EMBOQUE"),0,IF(AND($H220&lt;&gt;"",$I220="PVC",$N220="VCA",$Q220="LINEAR"),($H220/1000)+0.2,IF(AND($H220&lt;&gt;"",$I220="PVC",$N220="MND",$Q220="EMBOQUE"),0,IF(AND($H220&lt;&gt;"",$I220="PEAD",$N220="VCA",$Q220="PREDIAL"),0,0)))))),0)</f>
        <v>0.363</v>
      </c>
      <c r="AK220" s="153" t="n">
        <f aca="false">IF(AA220&lt;&gt;"",AA220,0)</f>
        <v>3.9</v>
      </c>
      <c r="AL220" s="153" t="n">
        <f aca="false">IF(AND($N220="MND",$Q220="EMBOQUE"),$M220,IF(AND($N220="VCA",$Q220="LINEAR"),$M220,IF(AND($N220="VCA",$Q220="PREDIAL"),0,0)))</f>
        <v>63.42</v>
      </c>
      <c r="AM220" s="153" t="n">
        <f aca="false">IF(AND($N220="MND",$Q220="EMBOQUE"),$M220,IF(AND($N220="VCA",$Q220="LINEAR"),$M220,IF(AND($N220="VCA",$Q220="PREDIAL"),0,0)))</f>
        <v>63.42</v>
      </c>
      <c r="AN220" s="153" t="n">
        <f aca="false">ROUND(IF(AND($N220="VCA",$M220&lt;&gt;"",$Q220="LINEAR"),$M220/100,IF(AND($N220="MND",$M220&gt;100,$Q220="EMBOQUE"),$M220/100,0)),0)</f>
        <v>1</v>
      </c>
      <c r="AO220" s="153" t="n">
        <f aca="false">IF(AND($N220="MND",$Q220="EMBOQUE"),$AN220*2*2,IF(AND($N220="VCA",$Q220="LINEAR"),$M220*2,IF(AND($N220="VCA",$Q220="PREDIAL"),0,0)))</f>
        <v>126.84</v>
      </c>
      <c r="AP220" s="153" t="n">
        <f aca="false">IFERROR($M220*$AF220*$AG220,0)</f>
        <v>56.186949</v>
      </c>
      <c r="AQ220" s="153" t="n">
        <f aca="false">IFERROR(IF(AND($N220="VCA",$AH220&gt;0),$M220*$AG220*$AH220,0),0)</f>
        <v>4.1223</v>
      </c>
      <c r="AR220" s="153" t="n">
        <f aca="false">IFERROR(IF(AND($N220="VCA",$AJ220&gt;0),($M220*$AG220*$AJ220)-$AI220,0),0)</f>
        <v>14.7662533024065</v>
      </c>
      <c r="AS220" s="153" t="n">
        <f aca="false">IFERROR(IF(AND($N220="VCA",$AP220&gt;0),$AP220-$AI220-$AQ220-$AR220,0),0)</f>
        <v>37.1007</v>
      </c>
      <c r="AT220" s="153" t="n">
        <f aca="false">IFERROR(IF($N220="VCA",INDEX(APOIO_REDES!$A:$W,MATCH($C220&amp;$I220&amp;$H220&amp;$N220&amp;$O220,APOIO_REDES!$W:$W,0),MATCH(AT$5,APOIO_REDES!$5:$5,0)),0)*$AP220,0)</f>
        <v>0.611330635608003</v>
      </c>
      <c r="AU220" s="153" t="n">
        <f aca="false">IFERROR(IF($N220="VCA",INDEX(APOIO_REDES!$A:$W,MATCH($C220&amp;$I220&amp;$H220&amp;$N220&amp;$O220,APOIO_REDES!$W:$W,0),MATCH(AU$5,APOIO_REDES!$5:$5,0)),0)*$AP220,0)</f>
        <v>0.48819208866318</v>
      </c>
      <c r="AV220" s="153" t="n">
        <f aca="false">IFERROR(IF($N220="VCA",INDEX(APOIO_REDES!$A:$W,MATCH($C220&amp;$I220&amp;$H220&amp;$N220&amp;$O220,APOIO_REDES!$W:$W,0),MATCH(AV$5,APOIO_REDES!$5:$5,0)),0)*$AP220,0)</f>
        <v>0.0675619526128248</v>
      </c>
      <c r="AW220" s="153" t="n">
        <f aca="false">IFERROR(IF($N220="VCA",INDEX(APOIO_REDES!$A:$W,MATCH($C220&amp;$I220&amp;$H220&amp;$N220&amp;$O220,APOIO_REDES!$W:$W,0),MATCH(AW$5,APOIO_REDES!$5:$5,0)),0)*$AP220,0)</f>
        <v>38.5671571513253</v>
      </c>
      <c r="AX220" s="153" t="n">
        <f aca="false">IFERROR(IF($N220="VCA",INDEX(APOIO_REDES!$A:$W,MATCH($C220&amp;$I220&amp;$H220&amp;$N220&amp;$O220,APOIO_REDES!$W:$W,0),MATCH(AX$5,APOIO_REDES!$5:$5,0)),0)*$AP220,0)</f>
        <v>5.33758468911673</v>
      </c>
      <c r="AY220" s="153" t="n">
        <f aca="false">IFERROR(IF($N220="VCA",INDEX(APOIO_REDES!$A:$W,MATCH($C220&amp;$I220&amp;$H220&amp;$N220&amp;$O220,APOIO_REDES!$W:$W,0),MATCH(AY$5,APOIO_REDES!$5:$5,0)),0)*$AP220,0)</f>
        <v>9.76383582224162</v>
      </c>
      <c r="AZ220" s="153" t="n">
        <f aca="false">IFERROR(IF($N220="VCA",INDEX(APOIO_REDES!$A:$W,MATCH($C220&amp;$I220&amp;$H220&amp;$N220&amp;$O220,APOIO_REDES!$W:$W,0),MATCH(AZ$5,APOIO_REDES!$5:$5,0)),0)*$AP220,0)</f>
        <v>1.35128666043239</v>
      </c>
      <c r="BA220" s="153" t="n">
        <f aca="false">IFERROR(IF(AND($N220="VCA",$Q220="LINEAR"),INDEX(APOIO_REDES!$A:$W,MATCH($C220&amp;$I220&amp;$H220&amp;$N220&amp;$O220,APOIO_REDES!$W:$W,0),MATCH(BA$5,APOIO_REDES!$5:$5,0)),IF(AND($N220="MND",$Q220="EMBOQUE"),INDEX(APOIO_REDES!$A:$W,MATCH($C220&amp;$I220&amp;$H220&amp;$N220&amp;$O220,APOIO_REDES!$W:$W,0),MATCH(BA$5,APOIO_REDES!$5:$5,0)),0))*$M220/10,0)</f>
        <v>5.11149202810967</v>
      </c>
      <c r="BB220" s="153" t="n">
        <f aca="false">IFERROR(IF($N220="VCA",INDEX(APOIO_REDES!$A:$W,MATCH($C220&amp;$I220&amp;$H220&amp;$N220&amp;$O220,APOIO_REDES!$W:$W,0),MATCH(BB$5,APOIO_REDES!$5:$5,0)),0)*($AI220+$AQ220+$AR220),0)</f>
        <v>18.8785849616387</v>
      </c>
      <c r="BC220" s="153" t="n">
        <f aca="false">IFERROR(IF($N220="VCA",INDEX(APOIO_REDES!$A:$W,MATCH($C220&amp;$I220&amp;$H220&amp;$N220&amp;$O220,APOIO_REDES!$W:$W,0),MATCH(BC$5,APOIO_REDES!$5:$5,0)),0)*($AI220+$AQ220+$AR220),0)</f>
        <v>0.207664038361339</v>
      </c>
      <c r="BD220" s="153" t="n">
        <f aca="false">IF(AND($N220="VCA",$AF220&gt;=1.25,$AF220&lt;1.5),$M220*$AF220*2,0)</f>
        <v>172.88292</v>
      </c>
      <c r="BE220" s="153" t="n">
        <f aca="false">IF(AND($N220="VCA",$AF220&gt;=1.5,$AF220&lt;3),$M220*$AF220*2,0)</f>
        <v>0</v>
      </c>
      <c r="BF220" s="153" t="n">
        <f aca="false">IF(AND($N220="VCA",$AF220&gt;=3),$M220*$AF220*2,0)</f>
        <v>0</v>
      </c>
      <c r="BG220" s="153" t="n">
        <f aca="false">($BB220+$BC220)*$AK220</f>
        <v>74.4363711</v>
      </c>
      <c r="BH220" s="153" t="n">
        <f aca="false">IF(AND($M220&lt;&gt;"",$N220="VCA",$Q220="LINEAR"),($M220*2)/100,IF(AND($M220&lt;&gt;"",$N220="MND",$Q220="EMBOQUE"),($AN220*2)/100,0))</f>
        <v>1.2684</v>
      </c>
      <c r="BI220" s="153" t="n">
        <f aca="false">IF(AND($M220&lt;&gt;"",$N220="VCA",$Q220="LINEAR"),$M220,IF(AND($M220&lt;&gt;"",$N220="MND",$Q220="EMBOQUE"),$AN220*2,0))</f>
        <v>63.42</v>
      </c>
      <c r="BJ220" s="153" t="n">
        <f aca="false">IF(AND($M220&lt;&gt;"",$N220="VCA",$Q220="LINEAR"),($M220*6.8)/100,IF(AND($M220&lt;&gt;"",$N220="MND",$Q220="EMBOQUE"),($AN220*2*6.8)/100,0))</f>
        <v>4.31256</v>
      </c>
      <c r="BK220" s="153" t="n">
        <f aca="false">IF(AND($M220&lt;&gt;"",$N220="VCA",$Q220="LINEAR"),($M220*2.5)/50,IF(AND($M220&lt;&gt;"",$N220="MND",$Q220="EMBOQUE"),($AN220*2*2.5)/50,0))</f>
        <v>3.171</v>
      </c>
      <c r="BL220" s="157" t="str">
        <f aca="false">K220&amp;J220</f>
        <v>Zona02REDES</v>
      </c>
      <c r="BM220" s="152" t="s">
        <v>2037</v>
      </c>
      <c r="BN220" s="152" t="s">
        <v>1560</v>
      </c>
      <c r="BO220" s="152" t="s">
        <v>2231</v>
      </c>
      <c r="BP220" s="152" t="s">
        <v>2360</v>
      </c>
      <c r="BQ220" s="152" t="s">
        <v>2345</v>
      </c>
      <c r="BR220" s="152" t="s">
        <v>2368</v>
      </c>
      <c r="BS220" s="152" t="n">
        <v>202766.283</v>
      </c>
      <c r="BT220" s="152" t="n">
        <v>8237667.695</v>
      </c>
      <c r="BU220" s="152" t="n">
        <v>202802.134</v>
      </c>
      <c r="BV220" s="152" t="n">
        <v>8237720</v>
      </c>
      <c r="BW220" s="152" t="n">
        <v>-15.9222028</v>
      </c>
      <c r="BX220" s="152" t="n">
        <v>-47.7759348</v>
      </c>
      <c r="BY220" s="152" t="s">
        <v>2360</v>
      </c>
    </row>
    <row r="221" customFormat="false" ht="13.8" hidden="false" customHeight="false" outlineLevel="0" collapsed="false">
      <c r="A221" s="149" t="n">
        <f aca="false">IF(C221&lt;&gt;"",ROW(A216),"")</f>
        <v>216</v>
      </c>
      <c r="B221" s="150" t="str">
        <f aca="false">HYPERLINK("https://www.google.com/maps/dir/-15.917302,-47.760003/-15.9226056,-47.7748878/data=!4m3!4m2!3e0!5i1")</f>
        <v>https://www.google.com/maps/dir/-15.917302,-47.760003/-15.9226056,-47.7748878/data=!4m3!4m2!3e0!5i1</v>
      </c>
      <c r="C221" s="151" t="s">
        <v>117</v>
      </c>
      <c r="D221" s="152" t="s">
        <v>112</v>
      </c>
      <c r="E221" s="152" t="s">
        <v>113</v>
      </c>
      <c r="F221" s="152" t="s">
        <v>117</v>
      </c>
      <c r="G221" s="152" t="s">
        <v>782</v>
      </c>
      <c r="H221" s="152" t="n">
        <v>63</v>
      </c>
      <c r="I221" s="152" t="s">
        <v>115</v>
      </c>
      <c r="J221" s="152" t="s">
        <v>6</v>
      </c>
      <c r="K221" s="152" t="s">
        <v>2033</v>
      </c>
      <c r="L221" s="152" t="s">
        <v>120</v>
      </c>
      <c r="M221" s="153" t="n">
        <f aca="false">116.6+1.37</f>
        <v>117.97</v>
      </c>
      <c r="N221" s="152" t="s">
        <v>1548</v>
      </c>
      <c r="O221" s="152" t="s">
        <v>1549</v>
      </c>
      <c r="P221" s="152" t="s">
        <v>1550</v>
      </c>
      <c r="Q221" s="152" t="s">
        <v>1551</v>
      </c>
      <c r="R221" s="154" t="s">
        <v>2369</v>
      </c>
      <c r="S221" s="154" t="s">
        <v>1553</v>
      </c>
      <c r="T221" s="155" t="s">
        <v>2227</v>
      </c>
      <c r="U221" s="152" t="str">
        <f aca="false">RIGHT(T221,7)</f>
        <v>008/037</v>
      </c>
      <c r="V221" s="152" t="s">
        <v>1555</v>
      </c>
      <c r="W221" s="156" t="n">
        <v>45882</v>
      </c>
      <c r="X221" s="152" t="s">
        <v>1594</v>
      </c>
      <c r="Y221" s="152" t="s">
        <v>2237</v>
      </c>
      <c r="Z221" s="152" t="s">
        <v>1557</v>
      </c>
      <c r="AA221" s="153" t="n">
        <v>3.8</v>
      </c>
      <c r="AB221" s="151" t="s">
        <v>2370</v>
      </c>
      <c r="AC221" s="151" t="s">
        <v>186</v>
      </c>
      <c r="AD221" s="151" t="str">
        <f aca="false">CONCATENATE($C221,$I221,$H221,$N221,$J221,$K221)</f>
        <v>TUBO PEADPEAD63VCAREDESZona02</v>
      </c>
      <c r="AE221" s="153" t="n">
        <f aca="false">IFERROR(INDEX(APOIO_REDES!$A:$W,MATCH($C221&amp;$I221&amp;$H221&amp;$N221&amp;$O221,APOIO_REDES!$W:$W,0),MATCH(AE$5,APOIO_REDES!$5:$5,0)),0)</f>
        <v>1.2</v>
      </c>
      <c r="AF221" s="153" t="n">
        <f aca="false">IFERROR(INDEX(APOIO_REDES!$A:$W,MATCH($C221&amp;$I221&amp;$H221&amp;$N221&amp;$O221,APOIO_REDES!$W:$W,0),MATCH(AF$5,APOIO_REDES!$5:$5,0)),0)</f>
        <v>1.363</v>
      </c>
      <c r="AG221" s="153" t="n">
        <f aca="false">IFERROR(INDEX(APOIO_REDES!$A:$W,MATCH($C221&amp;$I221&amp;$H221&amp;$N221&amp;$O221,APOIO_REDES!$W:$W,0),MATCH(AG$5,APOIO_REDES!$5:$5,0)),0)</f>
        <v>0.65</v>
      </c>
      <c r="AH221" s="153" t="n">
        <f aca="false">IFERROR(INDEX(APOIO_REDES!$A:$W,MATCH($C221&amp;$I221&amp;$H221&amp;$N221&amp;$O221,APOIO_REDES!$W:$W,0),MATCH(AH$5,APOIO_REDES!$5:$5,0)),0)</f>
        <v>0.1</v>
      </c>
      <c r="AI221" s="153" t="n">
        <f aca="false">IFERROR(IF($H221&lt;&gt;"",(((($H221/1000)/2)^2)*PI()*$M221),0),0)</f>
        <v>0.367741429282572</v>
      </c>
      <c r="AJ221" s="153" t="n">
        <f aca="false">IFERROR(IF(AND($H221&lt;&gt;"",$I221="FoFo",OR($N221="MND",$N221="VCA"),$Q221="LINEAR"),0,IF(AND($H221&lt;&gt;"",$I221="PEAD",$N221="VCA",$Q221="LINEAR"),($H221/1000)+0.3,IF(AND($H221&lt;&gt;"",$I221="PEAD",$N221="MND",$Q221="EMBOQUE"),0,IF(AND($H221&lt;&gt;"",$I221="PVC",$N221="VCA",$Q221="LINEAR"),($H221/1000)+0.2,IF(AND($H221&lt;&gt;"",$I221="PVC",$N221="MND",$Q221="EMBOQUE"),0,IF(AND($H221&lt;&gt;"",$I221="PEAD",$N221="VCA",$Q221="PREDIAL"),0,0)))))),0)</f>
        <v>0.363</v>
      </c>
      <c r="AK221" s="153" t="n">
        <f aca="false">IF(AA221&lt;&gt;"",AA221,0)</f>
        <v>3.8</v>
      </c>
      <c r="AL221" s="153" t="n">
        <f aca="false">IF(AND($N221="MND",$Q221="EMBOQUE"),$M221,IF(AND($N221="VCA",$Q221="LINEAR"),$M221,IF(AND($N221="VCA",$Q221="PREDIAL"),0,0)))</f>
        <v>117.97</v>
      </c>
      <c r="AM221" s="153" t="n">
        <f aca="false">IF(AND($N221="MND",$Q221="EMBOQUE"),$M221,IF(AND($N221="VCA",$Q221="LINEAR"),$M221,IF(AND($N221="VCA",$Q221="PREDIAL"),0,0)))</f>
        <v>117.97</v>
      </c>
      <c r="AN221" s="153" t="n">
        <f aca="false">ROUND(IF(AND($N221="VCA",$M221&lt;&gt;"",$Q221="LINEAR"),$M221/100,IF(AND($N221="MND",$M221&gt;100,$Q221="EMBOQUE"),$M221/100,0)),0)</f>
        <v>1</v>
      </c>
      <c r="AO221" s="153" t="n">
        <f aca="false">IF(AND($N221="MND",$Q221="EMBOQUE"),$AN221*2*2,IF(AND($N221="VCA",$Q221="LINEAR"),$M221*2,IF(AND($N221="VCA",$Q221="PREDIAL"),0,0)))</f>
        <v>235.94</v>
      </c>
      <c r="AP221" s="153" t="n">
        <f aca="false">IFERROR($M221*$AF221*$AG221,0)</f>
        <v>104.5155215</v>
      </c>
      <c r="AQ221" s="153" t="n">
        <f aca="false">IFERROR(IF(AND($N221="VCA",$AH221&gt;0),$M221*$AG221*$AH221,0),0)</f>
        <v>7.66805</v>
      </c>
      <c r="AR221" s="153" t="n">
        <f aca="false">IFERROR(IF(AND($N221="VCA",$AJ221&gt;0),($M221*$AG221*$AJ221)-$AI221,0),0)</f>
        <v>27.4672800707174</v>
      </c>
      <c r="AS221" s="153" t="n">
        <f aca="false">IFERROR(IF(AND($N221="VCA",$AP221&gt;0),$AP221-$AI221-$AQ221-$AR221,0),0)</f>
        <v>69.01245</v>
      </c>
      <c r="AT221" s="153" t="n">
        <f aca="false">IFERROR(IF($N221="VCA",INDEX(APOIO_REDES!$A:$W,MATCH($C221&amp;$I221&amp;$H221&amp;$N221&amp;$O221,APOIO_REDES!$W:$W,0),MATCH(AT$5,APOIO_REDES!$5:$5,0)),0)*$AP221,0)</f>
        <v>1.13715980893529</v>
      </c>
      <c r="AU221" s="153" t="n">
        <f aca="false">IFERROR(IF($N221="VCA",INDEX(APOIO_REDES!$A:$W,MATCH($C221&amp;$I221&amp;$H221&amp;$N221&amp;$O221,APOIO_REDES!$W:$W,0),MATCH(AU$5,APOIO_REDES!$5:$5,0)),0)*$AP221,0)</f>
        <v>0.908105025222254</v>
      </c>
      <c r="AV221" s="153" t="n">
        <f aca="false">IFERROR(IF($N221="VCA",INDEX(APOIO_REDES!$A:$W,MATCH($C221&amp;$I221&amp;$H221&amp;$N221&amp;$O221,APOIO_REDES!$W:$W,0),MATCH(AV$5,APOIO_REDES!$5:$5,0)),0)*$AP221,0)</f>
        <v>0.125674606586801</v>
      </c>
      <c r="AW221" s="153" t="n">
        <f aca="false">IFERROR(IF($N221="VCA",INDEX(APOIO_REDES!$A:$W,MATCH($C221&amp;$I221&amp;$H221&amp;$N221&amp;$O221,APOIO_REDES!$W:$W,0),MATCH(AW$5,APOIO_REDES!$5:$5,0)),0)*$AP221,0)</f>
        <v>71.7402637833781</v>
      </c>
      <c r="AX221" s="153" t="n">
        <f aca="false">IFERROR(IF($N221="VCA",INDEX(APOIO_REDES!$A:$W,MATCH($C221&amp;$I221&amp;$H221&amp;$N221&amp;$O221,APOIO_REDES!$W:$W,0),MATCH(AX$5,APOIO_REDES!$5:$5,0)),0)*$AP221,0)</f>
        <v>9.92864815160991</v>
      </c>
      <c r="AY221" s="153" t="n">
        <f aca="false">IFERROR(IF($N221="VCA",INDEX(APOIO_REDES!$A:$W,MATCH($C221&amp;$I221&amp;$H221&amp;$N221&amp;$O221,APOIO_REDES!$W:$W,0),MATCH(AY$5,APOIO_REDES!$5:$5,0)),0)*$AP221,0)</f>
        <v>18.1620894347184</v>
      </c>
      <c r="AZ221" s="153" t="n">
        <f aca="false">IFERROR(IF($N221="VCA",INDEX(APOIO_REDES!$A:$W,MATCH($C221&amp;$I221&amp;$H221&amp;$N221&amp;$O221,APOIO_REDES!$W:$W,0),MATCH(AZ$5,APOIO_REDES!$5:$5,0)),0)*$AP221,0)</f>
        <v>2.51358068954918</v>
      </c>
      <c r="BA221" s="153" t="n">
        <f aca="false">IFERROR(IF(AND($N221="VCA",$Q221="LINEAR"),INDEX(APOIO_REDES!$A:$W,MATCH($C221&amp;$I221&amp;$H221&amp;$N221&amp;$O221,APOIO_REDES!$W:$W,0),MATCH(BA$5,APOIO_REDES!$5:$5,0)),IF(AND($N221="MND",$Q221="EMBOQUE"),INDEX(APOIO_REDES!$A:$W,MATCH($C221&amp;$I221&amp;$H221&amp;$N221&amp;$O221,APOIO_REDES!$W:$W,0),MATCH(BA$5,APOIO_REDES!$5:$5,0)),0))*$M221/10,0)</f>
        <v>9.50808443008668</v>
      </c>
      <c r="BB221" s="153" t="n">
        <f aca="false">IFERROR(IF($N221="VCA",INDEX(APOIO_REDES!$A:$W,MATCH($C221&amp;$I221&amp;$H221&amp;$N221&amp;$O221,APOIO_REDES!$W:$W,0),MATCH(BB$5,APOIO_REDES!$5:$5,0)),0)*($AI221+$AQ221+$AR221),0)</f>
        <v>35.1167875737072</v>
      </c>
      <c r="BC221" s="153" t="n">
        <f aca="false">IFERROR(IF($N221="VCA",INDEX(APOIO_REDES!$A:$W,MATCH($C221&amp;$I221&amp;$H221&amp;$N221&amp;$O221,APOIO_REDES!$W:$W,0),MATCH(BC$5,APOIO_REDES!$5:$5,0)),0)*($AI221+$AQ221+$AR221),0)</f>
        <v>0.386283926292765</v>
      </c>
      <c r="BD221" s="153" t="n">
        <f aca="false">IF(AND($N221="VCA",$AF221&gt;=1.25,$AF221&lt;1.5),$M221*$AF221*2,0)</f>
        <v>321.58622</v>
      </c>
      <c r="BE221" s="153" t="n">
        <f aca="false">IF(AND($N221="VCA",$AF221&gt;=1.5,$AF221&lt;3),$M221*$AF221*2,0)</f>
        <v>0</v>
      </c>
      <c r="BF221" s="153" t="n">
        <f aca="false">IF(AND($N221="VCA",$AF221&gt;=3),$M221*$AF221*2,0)</f>
        <v>0</v>
      </c>
      <c r="BG221" s="153" t="n">
        <f aca="false">($BB221+$BC221)*$AK221</f>
        <v>134.9116717</v>
      </c>
      <c r="BH221" s="153" t="n">
        <f aca="false">IF(AND($M221&lt;&gt;"",$N221="VCA",$Q221="LINEAR"),($M221*2)/100,IF(AND($M221&lt;&gt;"",$N221="MND",$Q221="EMBOQUE"),($AN221*2)/100,0))</f>
        <v>2.3594</v>
      </c>
      <c r="BI221" s="153" t="n">
        <f aca="false">IF(AND($M221&lt;&gt;"",$N221="VCA",$Q221="LINEAR"),$M221,IF(AND($M221&lt;&gt;"",$N221="MND",$Q221="EMBOQUE"),$AN221*2,0))</f>
        <v>117.97</v>
      </c>
      <c r="BJ221" s="153" t="n">
        <f aca="false">IF(AND($M221&lt;&gt;"",$N221="VCA",$Q221="LINEAR"),($M221*6.8)/100,IF(AND($M221&lt;&gt;"",$N221="MND",$Q221="EMBOQUE"),($AN221*2*6.8)/100,0))</f>
        <v>8.02196</v>
      </c>
      <c r="BK221" s="153" t="n">
        <f aca="false">IF(AND($M221&lt;&gt;"",$N221="VCA",$Q221="LINEAR"),($M221*2.5)/50,IF(AND($M221&lt;&gt;"",$N221="MND",$Q221="EMBOQUE"),($AN221*2*2.5)/50,0))</f>
        <v>5.8985</v>
      </c>
      <c r="BL221" s="157" t="str">
        <f aca="false">K221&amp;J221</f>
        <v>Zona02REDES</v>
      </c>
      <c r="BM221" s="152" t="s">
        <v>2037</v>
      </c>
      <c r="BN221" s="152" t="s">
        <v>1560</v>
      </c>
      <c r="BO221" s="152" t="s">
        <v>2231</v>
      </c>
      <c r="BP221" s="152" t="s">
        <v>2240</v>
      </c>
      <c r="BQ221" s="152" t="s">
        <v>2345</v>
      </c>
      <c r="BR221" s="152" t="s">
        <v>2371</v>
      </c>
      <c r="BS221" s="152" t="n">
        <v>202897.039</v>
      </c>
      <c r="BT221" s="152" t="n">
        <v>8237650.689</v>
      </c>
      <c r="BU221" s="152" t="n">
        <v>202802.886</v>
      </c>
      <c r="BV221" s="152" t="n">
        <v>8237719.454</v>
      </c>
      <c r="BW221" s="152" t="n">
        <v>-15.9222906</v>
      </c>
      <c r="BX221" s="152" t="n">
        <v>-47.7753237</v>
      </c>
      <c r="BY221" s="152" t="s">
        <v>2240</v>
      </c>
    </row>
    <row r="222" customFormat="false" ht="13.8" hidden="false" customHeight="false" outlineLevel="0" collapsed="false">
      <c r="A222" s="149" t="n">
        <f aca="false">IF(C222&lt;&gt;"",ROW(A217),"")</f>
        <v>217</v>
      </c>
      <c r="B222" s="150" t="str">
        <f aca="false">HYPERLINK("https://www.google.com/maps/dir/-15.917302,-47.760003/-15.9225340,-47.7748468/data=!4m3!4m2!3e0!5i1")</f>
        <v>https://www.google.com/maps/dir/-15.917302,-47.760003/-15.9225340,-47.7748468/data=!4m3!4m2!3e0!5i1</v>
      </c>
      <c r="C222" s="151" t="s">
        <v>117</v>
      </c>
      <c r="D222" s="152" t="s">
        <v>112</v>
      </c>
      <c r="E222" s="152" t="s">
        <v>113</v>
      </c>
      <c r="F222" s="152" t="s">
        <v>117</v>
      </c>
      <c r="G222" s="152" t="s">
        <v>114</v>
      </c>
      <c r="H222" s="152" t="n">
        <v>160</v>
      </c>
      <c r="I222" s="152" t="s">
        <v>115</v>
      </c>
      <c r="J222" s="152" t="s">
        <v>6</v>
      </c>
      <c r="K222" s="152" t="s">
        <v>2033</v>
      </c>
      <c r="L222" s="152" t="s">
        <v>120</v>
      </c>
      <c r="M222" s="153" t="n">
        <f aca="false">49.96</f>
        <v>49.96</v>
      </c>
      <c r="N222" s="152" t="s">
        <v>1548</v>
      </c>
      <c r="O222" s="152" t="s">
        <v>1549</v>
      </c>
      <c r="P222" s="152" t="s">
        <v>1550</v>
      </c>
      <c r="Q222" s="152" t="s">
        <v>1551</v>
      </c>
      <c r="R222" s="154" t="s">
        <v>2372</v>
      </c>
      <c r="S222" s="154" t="s">
        <v>1593</v>
      </c>
      <c r="T222" s="155" t="s">
        <v>2227</v>
      </c>
      <c r="U222" s="152" t="str">
        <f aca="false">RIGHT(T222,7)</f>
        <v>008/037</v>
      </c>
      <c r="V222" s="152" t="s">
        <v>1555</v>
      </c>
      <c r="W222" s="156" t="n">
        <v>45882</v>
      </c>
      <c r="X222" s="152" t="s">
        <v>1594</v>
      </c>
      <c r="Y222" s="152" t="s">
        <v>2237</v>
      </c>
      <c r="Z222" s="152" t="s">
        <v>1557</v>
      </c>
      <c r="AA222" s="153" t="n">
        <v>3.9</v>
      </c>
      <c r="AB222" s="151" t="s">
        <v>2373</v>
      </c>
      <c r="AC222" s="151" t="s">
        <v>505</v>
      </c>
      <c r="AD222" s="151" t="str">
        <f aca="false">CONCATENATE($C222,$I222,$H222,$N222,$J222,$K222)</f>
        <v>TUBO PEADPEAD160VCAREDESZona02</v>
      </c>
      <c r="AE222" s="153" t="n">
        <f aca="false">IFERROR(INDEX(APOIO_REDES!$A:$W,MATCH($C222&amp;$I222&amp;$H222&amp;$N222&amp;$O222,APOIO_REDES!$W:$W,0),MATCH(AE$5,APOIO_REDES!$5:$5,0)),0)</f>
        <v>1.2</v>
      </c>
      <c r="AF222" s="153" t="n">
        <f aca="false">IFERROR(INDEX(APOIO_REDES!$A:$W,MATCH($C222&amp;$I222&amp;$H222&amp;$N222&amp;$O222,APOIO_REDES!$W:$W,0),MATCH(AF$5,APOIO_REDES!$5:$5,0)),0)</f>
        <v>1.46</v>
      </c>
      <c r="AG222" s="153" t="n">
        <f aca="false">IFERROR(INDEX(APOIO_REDES!$A:$W,MATCH($C222&amp;$I222&amp;$H222&amp;$N222&amp;$O222,APOIO_REDES!$W:$W,0),MATCH(AG$5,APOIO_REDES!$5:$5,0)),0)</f>
        <v>0.75</v>
      </c>
      <c r="AH222" s="153" t="n">
        <f aca="false">IFERROR(INDEX(APOIO_REDES!$A:$W,MATCH($C222&amp;$I222&amp;$H222&amp;$N222&amp;$O222,APOIO_REDES!$W:$W,0),MATCH(AH$5,APOIO_REDES!$5:$5,0)),0)</f>
        <v>0.1</v>
      </c>
      <c r="AI222" s="153" t="n">
        <f aca="false">IFERROR(IF($H222&lt;&gt;"",(((($H222/1000)/2)^2)*PI()*$M222),0),0)</f>
        <v>1.00450540142941</v>
      </c>
      <c r="AJ222" s="153" t="n">
        <f aca="false">IFERROR(IF(AND($H222&lt;&gt;"",$I222="FoFo",OR($N222="MND",$N222="VCA"),$Q222="LINEAR"),0,IF(AND($H222&lt;&gt;"",$I222="PEAD",$N222="VCA",$Q222="LINEAR"),($H222/1000)+0.3,IF(AND($H222&lt;&gt;"",$I222="PEAD",$N222="MND",$Q222="EMBOQUE"),0,IF(AND($H222&lt;&gt;"",$I222="PVC",$N222="VCA",$Q222="LINEAR"),($H222/1000)+0.2,IF(AND($H222&lt;&gt;"",$I222="PVC",$N222="MND",$Q222="EMBOQUE"),0,IF(AND($H222&lt;&gt;"",$I222="PEAD",$N222="VCA",$Q222="PREDIAL"),0,0)))))),0)</f>
        <v>0.46</v>
      </c>
      <c r="AK222" s="153" t="n">
        <f aca="false">IF(AA222&lt;&gt;"",AA222,0)</f>
        <v>3.9</v>
      </c>
      <c r="AL222" s="153" t="n">
        <f aca="false">IF(AND($N222="MND",$Q222="EMBOQUE"),$M222,IF(AND($N222="VCA",$Q222="LINEAR"),$M222,IF(AND($N222="VCA",$Q222="PREDIAL"),0,0)))</f>
        <v>49.96</v>
      </c>
      <c r="AM222" s="153" t="n">
        <f aca="false">IF(AND($N222="MND",$Q222="EMBOQUE"),$M222,IF(AND($N222="VCA",$Q222="LINEAR"),$M222,IF(AND($N222="VCA",$Q222="PREDIAL"),0,0)))</f>
        <v>49.96</v>
      </c>
      <c r="AN222" s="153" t="n">
        <f aca="false">ROUND(IF(AND($N222="VCA",$M222&lt;&gt;"",$Q222="LINEAR"),$M222/100,IF(AND($N222="MND",$M222&gt;100,$Q222="EMBOQUE"),$M222/100,0)),0)</f>
        <v>0</v>
      </c>
      <c r="AO222" s="153" t="n">
        <f aca="false">IF(AND($N222="MND",$Q222="EMBOQUE"),$AN222*2*2,IF(AND($N222="VCA",$Q222="LINEAR"),$M222*2,IF(AND($N222="VCA",$Q222="PREDIAL"),0,0)))</f>
        <v>99.92</v>
      </c>
      <c r="AP222" s="153" t="n">
        <f aca="false">IFERROR($M222*$AF222*$AG222,0)</f>
        <v>54.7062</v>
      </c>
      <c r="AQ222" s="153" t="n">
        <f aca="false">IFERROR(IF(AND($N222="VCA",$AH222&gt;0),$M222*$AG222*$AH222,0),0)</f>
        <v>3.747</v>
      </c>
      <c r="AR222" s="153" t="n">
        <f aca="false">IFERROR(IF(AND($N222="VCA",$AJ222&gt;0),($M222*$AG222*$AJ222)-$AI222,0),0)</f>
        <v>16.2316945985706</v>
      </c>
      <c r="AS222" s="153" t="n">
        <f aca="false">IFERROR(IF(AND($N222="VCA",$AP222&gt;0),$AP222-$AI222-$AQ222-$AR222,0),0)</f>
        <v>33.723</v>
      </c>
      <c r="AT222" s="153" t="n">
        <f aca="false">IFERROR(IF($N222="VCA",INDEX(APOIO_REDES!$A:$W,MATCH($C222&amp;$I222&amp;$H222&amp;$N222&amp;$O222,APOIO_REDES!$W:$W,0),MATCH(AT$5,APOIO_REDES!$5:$5,0)),0)*$AP222,0)</f>
        <v>0.595219648208671</v>
      </c>
      <c r="AU222" s="153" t="n">
        <f aca="false">IFERROR(IF($N222="VCA",INDEX(APOIO_REDES!$A:$W,MATCH($C222&amp;$I222&amp;$H222&amp;$N222&amp;$O222,APOIO_REDES!$W:$W,0),MATCH(AU$5,APOIO_REDES!$5:$5,0)),0)*$AP222,0)</f>
        <v>0.475326290466949</v>
      </c>
      <c r="AV222" s="153" t="n">
        <f aca="false">IFERROR(IF($N222="VCA",INDEX(APOIO_REDES!$A:$W,MATCH($C222&amp;$I222&amp;$H222&amp;$N222&amp;$O222,APOIO_REDES!$W:$W,0),MATCH(AV$5,APOIO_REDES!$5:$5,0)),0)*$AP222,0)</f>
        <v>0.0657814271429423</v>
      </c>
      <c r="AW222" s="153" t="n">
        <f aca="false">IFERROR(IF($N222="VCA",INDEX(APOIO_REDES!$A:$W,MATCH($C222&amp;$I222&amp;$H222&amp;$N222&amp;$O222,APOIO_REDES!$W:$W,0),MATCH(AW$5,APOIO_REDES!$5:$5,0)),0)*$AP222,0)</f>
        <v>37.5507595643221</v>
      </c>
      <c r="AX222" s="153" t="n">
        <f aca="false">IFERROR(IF($N222="VCA",INDEX(APOIO_REDES!$A:$W,MATCH($C222&amp;$I222&amp;$H222&amp;$N222&amp;$O222,APOIO_REDES!$W:$W,0),MATCH(AX$5,APOIO_REDES!$5:$5,0)),0)*$AP222,0)</f>
        <v>5.19691815833883</v>
      </c>
      <c r="AY222" s="153" t="n">
        <f aca="false">IFERROR(IF($N222="VCA",INDEX(APOIO_REDES!$A:$W,MATCH($C222&amp;$I222&amp;$H222&amp;$N222&amp;$O222,APOIO_REDES!$W:$W,0),MATCH(AY$5,APOIO_REDES!$5:$5,0)),0)*$AP222,0)</f>
        <v>9.50652001515003</v>
      </c>
      <c r="AZ222" s="153" t="n">
        <f aca="false">IFERROR(IF($N222="VCA",INDEX(APOIO_REDES!$A:$W,MATCH($C222&amp;$I222&amp;$H222&amp;$N222&amp;$O222,APOIO_REDES!$W:$W,0),MATCH(AZ$5,APOIO_REDES!$5:$5,0)),0)*$AP222,0)</f>
        <v>1.31567489637044</v>
      </c>
      <c r="BA222" s="153" t="n">
        <f aca="false">IFERROR(IF(AND($N222="VCA",$Q222="LINEAR"),INDEX(APOIO_REDES!$A:$W,MATCH($C222&amp;$I222&amp;$H222&amp;$N222&amp;$O222,APOIO_REDES!$W:$W,0),MATCH(BA$5,APOIO_REDES!$5:$5,0)),IF(AND($N222="MND",$Q222="EMBOQUE"),INDEX(APOIO_REDES!$A:$W,MATCH($C222&amp;$I222&amp;$H222&amp;$N222&amp;$O222,APOIO_REDES!$W:$W,0),MATCH(BA$5,APOIO_REDES!$5:$5,0)),0))*$M222/10,0)</f>
        <v>4.02664997988582</v>
      </c>
      <c r="BB222" s="153" t="n">
        <f aca="false">IFERROR(IF($N222="VCA",INDEX(APOIO_REDES!$A:$W,MATCH($C222&amp;$I222&amp;$H222&amp;$N222&amp;$O222,APOIO_REDES!$W:$W,0),MATCH(BB$5,APOIO_REDES!$5:$5,0)),0)*($AI222+$AQ222+$AR222),0)</f>
        <v>20.7548965732898</v>
      </c>
      <c r="BC222" s="153" t="n">
        <f aca="false">IFERROR(IF($N222="VCA",INDEX(APOIO_REDES!$A:$W,MATCH($C222&amp;$I222&amp;$H222&amp;$N222&amp;$O222,APOIO_REDES!$W:$W,0),MATCH(BC$5,APOIO_REDES!$5:$5,0)),0)*($AI222+$AQ222+$AR222),0)</f>
        <v>0.228303426710175</v>
      </c>
      <c r="BD222" s="153" t="n">
        <f aca="false">IF(AND($N222="VCA",$AF222&gt;=1.25,$AF222&lt;1.5),$M222*$AF222*2,0)</f>
        <v>145.8832</v>
      </c>
      <c r="BE222" s="153" t="n">
        <f aca="false">IF(AND($N222="VCA",$AF222&gt;=1.5,$AF222&lt;3),$M222*$AF222*2,0)</f>
        <v>0</v>
      </c>
      <c r="BF222" s="153" t="n">
        <f aca="false">IF(AND($N222="VCA",$AF222&gt;=3),$M222*$AF222*2,0)</f>
        <v>0</v>
      </c>
      <c r="BG222" s="153" t="n">
        <f aca="false">($BB222+$BC222)*$AK222</f>
        <v>81.83448</v>
      </c>
      <c r="BH222" s="153" t="n">
        <f aca="false">IF(AND($M222&lt;&gt;"",$N222="VCA",$Q222="LINEAR"),($M222*2)/100,IF(AND($M222&lt;&gt;"",$N222="MND",$Q222="EMBOQUE"),($AN222*2)/100,0))</f>
        <v>0.9992</v>
      </c>
      <c r="BI222" s="153" t="n">
        <f aca="false">IF(AND($M222&lt;&gt;"",$N222="VCA",$Q222="LINEAR"),$M222,IF(AND($M222&lt;&gt;"",$N222="MND",$Q222="EMBOQUE"),$AN222*2,0))</f>
        <v>49.96</v>
      </c>
      <c r="BJ222" s="153" t="n">
        <f aca="false">IF(AND($M222&lt;&gt;"",$N222="VCA",$Q222="LINEAR"),($M222*6.8)/100,IF(AND($M222&lt;&gt;"",$N222="MND",$Q222="EMBOQUE"),($AN222*2*6.8)/100,0))</f>
        <v>3.39728</v>
      </c>
      <c r="BK222" s="153" t="n">
        <f aca="false">IF(AND($M222&lt;&gt;"",$N222="VCA",$Q222="LINEAR"),($M222*2.5)/50,IF(AND($M222&lt;&gt;"",$N222="MND",$Q222="EMBOQUE"),($AN222*2*2.5)/50,0))</f>
        <v>2.498</v>
      </c>
      <c r="BL222" s="157" t="str">
        <f aca="false">K222&amp;J222</f>
        <v>Zona02REDES</v>
      </c>
      <c r="BM222" s="152" t="s">
        <v>2037</v>
      </c>
      <c r="BN222" s="152" t="s">
        <v>1560</v>
      </c>
      <c r="BO222" s="152" t="s">
        <v>2231</v>
      </c>
      <c r="BP222" s="152" t="s">
        <v>2349</v>
      </c>
      <c r="BQ222" s="152" t="s">
        <v>2294</v>
      </c>
      <c r="BR222" s="152" t="s">
        <v>2353</v>
      </c>
      <c r="BS222" s="152" t="n">
        <v>202901.756</v>
      </c>
      <c r="BT222" s="152" t="n">
        <v>8237658.43</v>
      </c>
      <c r="BU222" s="152" t="n">
        <v>202926.544</v>
      </c>
      <c r="BV222" s="152" t="n">
        <v>8237701.752</v>
      </c>
      <c r="BW222" s="152" t="n">
        <v>-15.9223387</v>
      </c>
      <c r="BX222" s="152" t="n">
        <v>-47.7747303</v>
      </c>
      <c r="BY222" s="152" t="s">
        <v>2349</v>
      </c>
    </row>
    <row r="223" customFormat="false" ht="13.8" hidden="false" customHeight="false" outlineLevel="0" collapsed="false">
      <c r="A223" s="149" t="n">
        <f aca="false">IF(C223&lt;&gt;"",ROW(A218),"")</f>
        <v>218</v>
      </c>
      <c r="B223" s="150" t="str">
        <f aca="false">HYPERLINK("https://www.google.com/maps/dir/-15.917302,-47.760003/-15.9219271,-47.7774384/data=!4m3!4m2!3e0!5i2")</f>
        <v>https://www.google.com/maps/dir/-15.917302,-47.760003/-15.9219271,-47.7774384/data=!4m3!4m2!3e0!5i2</v>
      </c>
      <c r="C223" s="151" t="s">
        <v>117</v>
      </c>
      <c r="D223" s="152" t="s">
        <v>112</v>
      </c>
      <c r="E223" s="152" t="s">
        <v>113</v>
      </c>
      <c r="F223" s="152" t="s">
        <v>117</v>
      </c>
      <c r="G223" s="152" t="s">
        <v>782</v>
      </c>
      <c r="H223" s="152" t="n">
        <v>63</v>
      </c>
      <c r="I223" s="152" t="s">
        <v>115</v>
      </c>
      <c r="J223" s="152" t="s">
        <v>6</v>
      </c>
      <c r="K223" s="152" t="s">
        <v>2033</v>
      </c>
      <c r="L223" s="152" t="s">
        <v>120</v>
      </c>
      <c r="M223" s="153" t="n">
        <f aca="false">123.55+0.05</f>
        <v>123.6</v>
      </c>
      <c r="N223" s="152" t="s">
        <v>1548</v>
      </c>
      <c r="O223" s="152" t="s">
        <v>1549</v>
      </c>
      <c r="P223" s="152" t="s">
        <v>1550</v>
      </c>
      <c r="Q223" s="152" t="s">
        <v>1551</v>
      </c>
      <c r="R223" s="154" t="s">
        <v>2374</v>
      </c>
      <c r="S223" s="154" t="s">
        <v>1553</v>
      </c>
      <c r="T223" s="155" t="s">
        <v>2227</v>
      </c>
      <c r="U223" s="152" t="str">
        <f aca="false">RIGHT(T223,7)</f>
        <v>008/037</v>
      </c>
      <c r="V223" s="152" t="s">
        <v>1555</v>
      </c>
      <c r="W223" s="156" t="n">
        <v>45882</v>
      </c>
      <c r="X223" s="152" t="s">
        <v>1594</v>
      </c>
      <c r="Y223" s="152" t="s">
        <v>2355</v>
      </c>
      <c r="Z223" s="152" t="s">
        <v>1557</v>
      </c>
      <c r="AA223" s="153" t="n">
        <v>4.1</v>
      </c>
      <c r="AB223" s="151" t="s">
        <v>2375</v>
      </c>
      <c r="AC223" s="151" t="s">
        <v>186</v>
      </c>
      <c r="AD223" s="151" t="str">
        <f aca="false">CONCATENATE($C223,$I223,$H223,$N223,$J223,$K223)</f>
        <v>TUBO PEADPEAD63VCAREDESZona02</v>
      </c>
      <c r="AE223" s="153" t="n">
        <f aca="false">IFERROR(INDEX(APOIO_REDES!$A:$W,MATCH($C223&amp;$I223&amp;$H223&amp;$N223&amp;$O223,APOIO_REDES!$W:$W,0),MATCH(AE$5,APOIO_REDES!$5:$5,0)),0)</f>
        <v>1.2</v>
      </c>
      <c r="AF223" s="153" t="n">
        <f aca="false">IFERROR(INDEX(APOIO_REDES!$A:$W,MATCH($C223&amp;$I223&amp;$H223&amp;$N223&amp;$O223,APOIO_REDES!$W:$W,0),MATCH(AF$5,APOIO_REDES!$5:$5,0)),0)</f>
        <v>1.363</v>
      </c>
      <c r="AG223" s="153" t="n">
        <f aca="false">IFERROR(INDEX(APOIO_REDES!$A:$W,MATCH($C223&amp;$I223&amp;$H223&amp;$N223&amp;$O223,APOIO_REDES!$W:$W,0),MATCH(AG$5,APOIO_REDES!$5:$5,0)),0)</f>
        <v>0.65</v>
      </c>
      <c r="AH223" s="153" t="n">
        <f aca="false">IFERROR(INDEX(APOIO_REDES!$A:$W,MATCH($C223&amp;$I223&amp;$H223&amp;$N223&amp;$O223,APOIO_REDES!$W:$W,0),MATCH(AH$5,APOIO_REDES!$5:$5,0)),0)</f>
        <v>0.1</v>
      </c>
      <c r="AI223" s="153" t="n">
        <f aca="false">IFERROR(IF($H223&lt;&gt;"",(((($H223/1000)/2)^2)*PI()*$M223),0),0)</f>
        <v>0.385291520380825</v>
      </c>
      <c r="AJ223" s="153" t="n">
        <f aca="false">IFERROR(IF(AND($H223&lt;&gt;"",$I223="FoFo",OR($N223="MND",$N223="VCA"),$Q223="LINEAR"),0,IF(AND($H223&lt;&gt;"",$I223="PEAD",$N223="VCA",$Q223="LINEAR"),($H223/1000)+0.3,IF(AND($H223&lt;&gt;"",$I223="PEAD",$N223="MND",$Q223="EMBOQUE"),0,IF(AND($H223&lt;&gt;"",$I223="PVC",$N223="VCA",$Q223="LINEAR"),($H223/1000)+0.2,IF(AND($H223&lt;&gt;"",$I223="PVC",$N223="MND",$Q223="EMBOQUE"),0,IF(AND($H223&lt;&gt;"",$I223="PEAD",$N223="VCA",$Q223="PREDIAL"),0,0)))))),0)</f>
        <v>0.363</v>
      </c>
      <c r="AK223" s="153" t="n">
        <f aca="false">IF(AA223&lt;&gt;"",AA223,0)</f>
        <v>4.1</v>
      </c>
      <c r="AL223" s="153" t="n">
        <f aca="false">IF(AND($N223="MND",$Q223="EMBOQUE"),$M223,IF(AND($N223="VCA",$Q223="LINEAR"),$M223,IF(AND($N223="VCA",$Q223="PREDIAL"),0,0)))</f>
        <v>123.6</v>
      </c>
      <c r="AM223" s="153" t="n">
        <f aca="false">IF(AND($N223="MND",$Q223="EMBOQUE"),$M223,IF(AND($N223="VCA",$Q223="LINEAR"),$M223,IF(AND($N223="VCA",$Q223="PREDIAL"),0,0)))</f>
        <v>123.6</v>
      </c>
      <c r="AN223" s="153" t="n">
        <f aca="false">ROUND(IF(AND($N223="VCA",$M223&lt;&gt;"",$Q223="LINEAR"),$M223/100,IF(AND($N223="MND",$M223&gt;100,$Q223="EMBOQUE"),$M223/100,0)),0)</f>
        <v>1</v>
      </c>
      <c r="AO223" s="153" t="n">
        <f aca="false">IF(AND($N223="MND",$Q223="EMBOQUE"),$AN223*2*2,IF(AND($N223="VCA",$Q223="LINEAR"),$M223*2,IF(AND($N223="VCA",$Q223="PREDIAL"),0,0)))</f>
        <v>247.2</v>
      </c>
      <c r="AP223" s="153" t="n">
        <f aca="false">IFERROR($M223*$AF223*$AG223,0)</f>
        <v>109.50342</v>
      </c>
      <c r="AQ223" s="153" t="n">
        <f aca="false">IFERROR(IF(AND($N223="VCA",$AH223&gt;0),$M223*$AG223*$AH223,0),0)</f>
        <v>8.034</v>
      </c>
      <c r="AR223" s="153" t="n">
        <f aca="false">IFERROR(IF(AND($N223="VCA",$AJ223&gt;0),($M223*$AG223*$AJ223)-$AI223,0),0)</f>
        <v>28.7781284796192</v>
      </c>
      <c r="AS223" s="153" t="n">
        <f aca="false">IFERROR(IF(AND($N223="VCA",$AP223&gt;0),$AP223-$AI223-$AQ223-$AR223,0),0)</f>
        <v>72.306</v>
      </c>
      <c r="AT223" s="153" t="n">
        <f aca="false">IFERROR(IF($N223="VCA",INDEX(APOIO_REDES!$A:$W,MATCH($C223&amp;$I223&amp;$H223&amp;$N223&amp;$O223,APOIO_REDES!$W:$W,0),MATCH(AT$5,APOIO_REDES!$5:$5,0)),0)*$AP223,0)</f>
        <v>1.19142962095789</v>
      </c>
      <c r="AU223" s="153" t="n">
        <f aca="false">IFERROR(IF($N223="VCA",INDEX(APOIO_REDES!$A:$W,MATCH($C223&amp;$I223&amp;$H223&amp;$N223&amp;$O223,APOIO_REDES!$W:$W,0),MATCH(AU$5,APOIO_REDES!$5:$5,0)),0)*$AP223,0)</f>
        <v>0.951443427290587</v>
      </c>
      <c r="AV223" s="153" t="n">
        <f aca="false">IFERROR(IF($N223="VCA",INDEX(APOIO_REDES!$A:$W,MATCH($C223&amp;$I223&amp;$H223&amp;$N223&amp;$O223,APOIO_REDES!$W:$W,0),MATCH(AV$5,APOIO_REDES!$5:$5,0)),0)*$AP223,0)</f>
        <v>0.131672301213263</v>
      </c>
      <c r="AW223" s="153" t="n">
        <f aca="false">IFERROR(IF($N223="VCA",INDEX(APOIO_REDES!$A:$W,MATCH($C223&amp;$I223&amp;$H223&amp;$N223&amp;$O223,APOIO_REDES!$W:$W,0),MATCH(AW$5,APOIO_REDES!$5:$5,0)),0)*$AP223,0)</f>
        <v>75.1639959619017</v>
      </c>
      <c r="AX223" s="153" t="n">
        <f aca="false">IFERROR(IF($N223="VCA",INDEX(APOIO_REDES!$A:$W,MATCH($C223&amp;$I223&amp;$H223&amp;$N223&amp;$O223,APOIO_REDES!$W:$W,0),MATCH(AX$5,APOIO_REDES!$5:$5,0)),0)*$AP223,0)</f>
        <v>10.4024829324318</v>
      </c>
      <c r="AY223" s="153" t="n">
        <f aca="false">IFERROR(IF($N223="VCA",INDEX(APOIO_REDES!$A:$W,MATCH($C223&amp;$I223&amp;$H223&amp;$N223&amp;$O223,APOIO_REDES!$W:$W,0),MATCH(AY$5,APOIO_REDES!$5:$5,0)),0)*$AP223,0)</f>
        <v>19.0288569477935</v>
      </c>
      <c r="AZ223" s="153" t="n">
        <f aca="false">IFERROR(IF($N223="VCA",INDEX(APOIO_REDES!$A:$W,MATCH($C223&amp;$I223&amp;$H223&amp;$N223&amp;$O223,APOIO_REDES!$W:$W,0),MATCH(AZ$5,APOIO_REDES!$5:$5,0)),0)*$AP223,0)</f>
        <v>2.63353880841128</v>
      </c>
      <c r="BA223" s="153" t="n">
        <f aca="false">IFERROR(IF(AND($N223="VCA",$Q223="LINEAR"),INDEX(APOIO_REDES!$A:$W,MATCH($C223&amp;$I223&amp;$H223&amp;$N223&amp;$O223,APOIO_REDES!$W:$W,0),MATCH(BA$5,APOIO_REDES!$5:$5,0)),IF(AND($N223="MND",$Q223="EMBOQUE"),INDEX(APOIO_REDES!$A:$W,MATCH($C223&amp;$I223&amp;$H223&amp;$N223&amp;$O223,APOIO_REDES!$W:$W,0),MATCH(BA$5,APOIO_REDES!$5:$5,0)),0))*$M223/10,0)</f>
        <v>9.96184822886084</v>
      </c>
      <c r="BB223" s="153" t="n">
        <f aca="false">IFERROR(IF($N223="VCA",INDEX(APOIO_REDES!$A:$W,MATCH($C223&amp;$I223&amp;$H223&amp;$N223&amp;$O223,APOIO_REDES!$W:$W,0),MATCH(BB$5,APOIO_REDES!$5:$5,0)),0)*($AI223+$AQ223+$AR223),0)</f>
        <v>36.7927010605257</v>
      </c>
      <c r="BC223" s="153" t="n">
        <f aca="false">IFERROR(IF($N223="VCA",INDEX(APOIO_REDES!$A:$W,MATCH($C223&amp;$I223&amp;$H223&amp;$N223&amp;$O223,APOIO_REDES!$W:$W,0),MATCH(BC$5,APOIO_REDES!$5:$5,0)),0)*($AI223+$AQ223+$AR223),0)</f>
        <v>0.404718939474322</v>
      </c>
      <c r="BD223" s="153" t="n">
        <f aca="false">IF(AND($N223="VCA",$AF223&gt;=1.25,$AF223&lt;1.5),$M223*$AF223*2,0)</f>
        <v>336.9336</v>
      </c>
      <c r="BE223" s="153" t="n">
        <f aca="false">IF(AND($N223="VCA",$AF223&gt;=1.5,$AF223&lt;3),$M223*$AF223*2,0)</f>
        <v>0</v>
      </c>
      <c r="BF223" s="153" t="n">
        <f aca="false">IF(AND($N223="VCA",$AF223&gt;=3),$M223*$AF223*2,0)</f>
        <v>0</v>
      </c>
      <c r="BG223" s="153" t="n">
        <f aca="false">($BB223+$BC223)*$AK223</f>
        <v>152.509422</v>
      </c>
      <c r="BH223" s="153" t="n">
        <f aca="false">IF(AND($M223&lt;&gt;"",$N223="VCA",$Q223="LINEAR"),($M223*2)/100,IF(AND($M223&lt;&gt;"",$N223="MND",$Q223="EMBOQUE"),($AN223*2)/100,0))</f>
        <v>2.472</v>
      </c>
      <c r="BI223" s="153" t="n">
        <f aca="false">IF(AND($M223&lt;&gt;"",$N223="VCA",$Q223="LINEAR"),$M223,IF(AND($M223&lt;&gt;"",$N223="MND",$Q223="EMBOQUE"),$AN223*2,0))</f>
        <v>123.6</v>
      </c>
      <c r="BJ223" s="153" t="n">
        <f aca="false">IF(AND($M223&lt;&gt;"",$N223="VCA",$Q223="LINEAR"),($M223*6.8)/100,IF(AND($M223&lt;&gt;"",$N223="MND",$Q223="EMBOQUE"),($AN223*2*6.8)/100,0))</f>
        <v>8.4048</v>
      </c>
      <c r="BK223" s="153" t="n">
        <f aca="false">IF(AND($M223&lt;&gt;"",$N223="VCA",$Q223="LINEAR"),($M223*2.5)/50,IF(AND($M223&lt;&gt;"",$N223="MND",$Q223="EMBOQUE"),($AN223*2*2.5)/50,0))</f>
        <v>6.18</v>
      </c>
      <c r="BL223" s="157" t="str">
        <f aca="false">K223&amp;J223</f>
        <v>Zona02REDES</v>
      </c>
      <c r="BM223" s="152" t="s">
        <v>2037</v>
      </c>
      <c r="BN223" s="152" t="s">
        <v>1560</v>
      </c>
      <c r="BO223" s="152" t="s">
        <v>2231</v>
      </c>
      <c r="BP223" s="152" t="s">
        <v>2357</v>
      </c>
      <c r="BQ223" s="152" t="s">
        <v>2376</v>
      </c>
      <c r="BR223" s="152" t="s">
        <v>2377</v>
      </c>
      <c r="BS223" s="152" t="n">
        <v>202622.765</v>
      </c>
      <c r="BT223" s="152" t="n">
        <v>8237722.183</v>
      </c>
      <c r="BU223" s="152" t="n">
        <v>202668.972</v>
      </c>
      <c r="BV223" s="152" t="n">
        <v>8237628.283</v>
      </c>
      <c r="BW223" s="152" t="n">
        <v>-15.9224086</v>
      </c>
      <c r="BX223" s="152" t="n">
        <v>-47.7774485</v>
      </c>
      <c r="BY223" s="152" t="s">
        <v>2357</v>
      </c>
    </row>
    <row r="224" customFormat="false" ht="13.8" hidden="false" customHeight="false" outlineLevel="0" collapsed="false">
      <c r="A224" s="149" t="n">
        <f aca="false">IF(C224&lt;&gt;"",ROW(A219),"")</f>
        <v>219</v>
      </c>
      <c r="B224" s="150" t="str">
        <f aca="false">HYPERLINK("https://www.google.com/maps/dir/-15.917302,-47.760003/-15.9226056,-47.7748878/data=!4m3!4m2!3e0!5i1")</f>
        <v>https://www.google.com/maps/dir/-15.917302,-47.760003/-15.9226056,-47.7748878/data=!4m3!4m2!3e0!5i1</v>
      </c>
      <c r="C224" s="151" t="s">
        <v>117</v>
      </c>
      <c r="D224" s="152" t="s">
        <v>112</v>
      </c>
      <c r="E224" s="152" t="s">
        <v>113</v>
      </c>
      <c r="F224" s="152" t="s">
        <v>117</v>
      </c>
      <c r="G224" s="152" t="s">
        <v>114</v>
      </c>
      <c r="H224" s="152" t="n">
        <v>160</v>
      </c>
      <c r="I224" s="152" t="s">
        <v>115</v>
      </c>
      <c r="J224" s="152" t="s">
        <v>6</v>
      </c>
      <c r="K224" s="152" t="s">
        <v>2033</v>
      </c>
      <c r="L224" s="152" t="s">
        <v>120</v>
      </c>
      <c r="M224" s="153" t="n">
        <f aca="false">9.05</f>
        <v>9.05</v>
      </c>
      <c r="N224" s="152" t="s">
        <v>1548</v>
      </c>
      <c r="O224" s="152" t="s">
        <v>1549</v>
      </c>
      <c r="P224" s="152" t="s">
        <v>1550</v>
      </c>
      <c r="Q224" s="152" t="s">
        <v>1551</v>
      </c>
      <c r="R224" s="154" t="s">
        <v>2378</v>
      </c>
      <c r="S224" s="154" t="s">
        <v>1593</v>
      </c>
      <c r="T224" s="155" t="s">
        <v>2227</v>
      </c>
      <c r="U224" s="152" t="str">
        <f aca="false">RIGHT(T224,7)</f>
        <v>008/037</v>
      </c>
      <c r="V224" s="152" t="s">
        <v>1555</v>
      </c>
      <c r="W224" s="156" t="n">
        <v>45882</v>
      </c>
      <c r="X224" s="152" t="s">
        <v>1594</v>
      </c>
      <c r="Y224" s="152" t="s">
        <v>2237</v>
      </c>
      <c r="Z224" s="152" t="s">
        <v>1557</v>
      </c>
      <c r="AA224" s="153" t="n">
        <v>3.8</v>
      </c>
      <c r="AB224" s="151" t="s">
        <v>2379</v>
      </c>
      <c r="AC224" s="151" t="s">
        <v>505</v>
      </c>
      <c r="AD224" s="151" t="str">
        <f aca="false">CONCATENATE($C224,$I224,$H224,$N224,$J224,$K224)</f>
        <v>TUBO PEADPEAD160VCAREDESZona02</v>
      </c>
      <c r="AE224" s="153" t="n">
        <f aca="false">IFERROR(INDEX(APOIO_REDES!$A:$W,MATCH($C224&amp;$I224&amp;$H224&amp;$N224&amp;$O224,APOIO_REDES!$W:$W,0),MATCH(AE$5,APOIO_REDES!$5:$5,0)),0)</f>
        <v>1.2</v>
      </c>
      <c r="AF224" s="153" t="n">
        <f aca="false">IFERROR(INDEX(APOIO_REDES!$A:$W,MATCH($C224&amp;$I224&amp;$H224&amp;$N224&amp;$O224,APOIO_REDES!$W:$W,0),MATCH(AF$5,APOIO_REDES!$5:$5,0)),0)</f>
        <v>1.46</v>
      </c>
      <c r="AG224" s="153" t="n">
        <f aca="false">IFERROR(INDEX(APOIO_REDES!$A:$W,MATCH($C224&amp;$I224&amp;$H224&amp;$N224&amp;$O224,APOIO_REDES!$W:$W,0),MATCH(AG$5,APOIO_REDES!$5:$5,0)),0)</f>
        <v>0.75</v>
      </c>
      <c r="AH224" s="153" t="n">
        <f aca="false">IFERROR(INDEX(APOIO_REDES!$A:$W,MATCH($C224&amp;$I224&amp;$H224&amp;$N224&amp;$O224,APOIO_REDES!$W:$W,0),MATCH(AH$5,APOIO_REDES!$5:$5,0)),0)</f>
        <v>0.1</v>
      </c>
      <c r="AI224" s="153" t="n">
        <f aca="false">IFERROR(IF($H224&lt;&gt;"",(((($H224/1000)/2)^2)*PI()*$M224),0),0)</f>
        <v>0.181961046495921</v>
      </c>
      <c r="AJ224" s="153" t="n">
        <f aca="false">IFERROR(IF(AND($H224&lt;&gt;"",$I224="FoFo",OR($N224="MND",$N224="VCA"),$Q224="LINEAR"),0,IF(AND($H224&lt;&gt;"",$I224="PEAD",$N224="VCA",$Q224="LINEAR"),($H224/1000)+0.3,IF(AND($H224&lt;&gt;"",$I224="PEAD",$N224="MND",$Q224="EMBOQUE"),0,IF(AND($H224&lt;&gt;"",$I224="PVC",$N224="VCA",$Q224="LINEAR"),($H224/1000)+0.2,IF(AND($H224&lt;&gt;"",$I224="PVC",$N224="MND",$Q224="EMBOQUE"),0,IF(AND($H224&lt;&gt;"",$I224="PEAD",$N224="VCA",$Q224="PREDIAL"),0,0)))))),0)</f>
        <v>0.46</v>
      </c>
      <c r="AK224" s="153" t="n">
        <f aca="false">IF(AA224&lt;&gt;"",AA224,0)</f>
        <v>3.8</v>
      </c>
      <c r="AL224" s="153" t="n">
        <f aca="false">IF(AND($N224="MND",$Q224="EMBOQUE"),$M224,IF(AND($N224="VCA",$Q224="LINEAR"),$M224,IF(AND($N224="VCA",$Q224="PREDIAL"),0,0)))</f>
        <v>9.05</v>
      </c>
      <c r="AM224" s="153" t="n">
        <f aca="false">IF(AND($N224="MND",$Q224="EMBOQUE"),$M224,IF(AND($N224="VCA",$Q224="LINEAR"),$M224,IF(AND($N224="VCA",$Q224="PREDIAL"),0,0)))</f>
        <v>9.05</v>
      </c>
      <c r="AN224" s="153" t="n">
        <f aca="false">ROUND(IF(AND($N224="VCA",$M224&lt;&gt;"",$Q224="LINEAR"),$M224/100,IF(AND($N224="MND",$M224&gt;100,$Q224="EMBOQUE"),$M224/100,0)),0)</f>
        <v>0</v>
      </c>
      <c r="AO224" s="153" t="n">
        <f aca="false">IF(AND($N224="MND",$Q224="EMBOQUE"),$AN224*2*2,IF(AND($N224="VCA",$Q224="LINEAR"),$M224*2,IF(AND($N224="VCA",$Q224="PREDIAL"),0,0)))</f>
        <v>18.1</v>
      </c>
      <c r="AP224" s="153" t="n">
        <f aca="false">IFERROR($M224*$AF224*$AG224,0)</f>
        <v>9.90975</v>
      </c>
      <c r="AQ224" s="153" t="n">
        <f aca="false">IFERROR(IF(AND($N224="VCA",$AH224&gt;0),$M224*$AG224*$AH224,0),0)</f>
        <v>0.67875</v>
      </c>
      <c r="AR224" s="153" t="n">
        <f aca="false">IFERROR(IF(AND($N224="VCA",$AJ224&gt;0),($M224*$AG224*$AJ224)-$AI224,0),0)</f>
        <v>2.94028895350408</v>
      </c>
      <c r="AS224" s="153" t="n">
        <f aca="false">IFERROR(IF(AND($N224="VCA",$AP224&gt;0),$AP224-$AI224-$AQ224-$AR224,0),0)</f>
        <v>6.10875</v>
      </c>
      <c r="AT224" s="153" t="n">
        <f aca="false">IFERROR(IF($N224="VCA",INDEX(APOIO_REDES!$A:$W,MATCH($C224&amp;$I224&amp;$H224&amp;$N224&amp;$O224,APOIO_REDES!$W:$W,0),MATCH(AT$5,APOIO_REDES!$5:$5,0)),0)*$AP224,0)</f>
        <v>0.107821013136278</v>
      </c>
      <c r="AU224" s="153" t="n">
        <f aca="false">IFERROR(IF($N224="VCA",INDEX(APOIO_REDES!$A:$W,MATCH($C224&amp;$I224&amp;$H224&amp;$N224&amp;$O224,APOIO_REDES!$W:$W,0),MATCH(AU$5,APOIO_REDES!$5:$5,0)),0)*$AP224,0)</f>
        <v>0.0861029409272596</v>
      </c>
      <c r="AV224" s="153" t="n">
        <f aca="false">IFERROR(IF($N224="VCA",INDEX(APOIO_REDES!$A:$W,MATCH($C224&amp;$I224&amp;$H224&amp;$N224&amp;$O224,APOIO_REDES!$W:$W,0),MATCH(AV$5,APOIO_REDES!$5:$5,0)),0)*$AP224,0)</f>
        <v>0.0119159710897444</v>
      </c>
      <c r="AW224" s="153" t="n">
        <f aca="false">IFERROR(IF($N224="VCA",INDEX(APOIO_REDES!$A:$W,MATCH($C224&amp;$I224&amp;$H224&amp;$N224&amp;$O224,APOIO_REDES!$W:$W,0),MATCH(AW$5,APOIO_REDES!$5:$5,0)),0)*$AP224,0)</f>
        <v>6.8021291844899</v>
      </c>
      <c r="AX224" s="153" t="n">
        <f aca="false">IFERROR(IF($N224="VCA",INDEX(APOIO_REDES!$A:$W,MATCH($C224&amp;$I224&amp;$H224&amp;$N224&amp;$O224,APOIO_REDES!$W:$W,0),MATCH(AX$5,APOIO_REDES!$5:$5,0)),0)*$AP224,0)</f>
        <v>0.941395302901649</v>
      </c>
      <c r="AY224" s="153" t="n">
        <f aca="false">IFERROR(IF($N224="VCA",INDEX(APOIO_REDES!$A:$W,MATCH($C224&amp;$I224&amp;$H224&amp;$N224&amp;$O224,APOIO_REDES!$W:$W,0),MATCH(AY$5,APOIO_REDES!$5:$5,0)),0)*$AP224,0)</f>
        <v>1.72205776895732</v>
      </c>
      <c r="AZ224" s="153" t="n">
        <f aca="false">IFERROR(IF($N224="VCA",INDEX(APOIO_REDES!$A:$W,MATCH($C224&amp;$I224&amp;$H224&amp;$N224&amp;$O224,APOIO_REDES!$W:$W,0),MATCH(AZ$5,APOIO_REDES!$5:$5,0)),0)*$AP224,0)</f>
        <v>0.238327818497848</v>
      </c>
      <c r="BA224" s="153" t="n">
        <f aca="false">IFERROR(IF(AND($N224="VCA",$Q224="LINEAR"),INDEX(APOIO_REDES!$A:$W,MATCH($C224&amp;$I224&amp;$H224&amp;$N224&amp;$O224,APOIO_REDES!$W:$W,0),MATCH(BA$5,APOIO_REDES!$5:$5,0)),IF(AND($N224="MND",$Q224="EMBOQUE"),INDEX(APOIO_REDES!$A:$W,MATCH($C224&amp;$I224&amp;$H224&amp;$N224&amp;$O224,APOIO_REDES!$W:$W,0),MATCH(BA$5,APOIO_REDES!$5:$5,0)),0))*$M224/10,0)</f>
        <v>0.729407172097012</v>
      </c>
      <c r="BB224" s="153" t="n">
        <f aca="false">IFERROR(IF($N224="VCA",INDEX(APOIO_REDES!$A:$W,MATCH($C224&amp;$I224&amp;$H224&amp;$N224&amp;$O224,APOIO_REDES!$W:$W,0),MATCH(BB$5,APOIO_REDES!$5:$5,0)),0)*($AI224+$AQ224+$AR224),0)</f>
        <v>3.75964399496143</v>
      </c>
      <c r="BC224" s="153" t="n">
        <f aca="false">IFERROR(IF($N224="VCA",INDEX(APOIO_REDES!$A:$W,MATCH($C224&amp;$I224&amp;$H224&amp;$N224&amp;$O224,APOIO_REDES!$W:$W,0),MATCH(BC$5,APOIO_REDES!$5:$5,0)),0)*($AI224+$AQ224+$AR224),0)</f>
        <v>0.0413560050385725</v>
      </c>
      <c r="BD224" s="153" t="n">
        <f aca="false">IF(AND($N224="VCA",$AF224&gt;=1.25,$AF224&lt;1.5),$M224*$AF224*2,0)</f>
        <v>26.426</v>
      </c>
      <c r="BE224" s="153" t="n">
        <f aca="false">IF(AND($N224="VCA",$AF224&gt;=1.5,$AF224&lt;3),$M224*$AF224*2,0)</f>
        <v>0</v>
      </c>
      <c r="BF224" s="153" t="n">
        <f aca="false">IF(AND($N224="VCA",$AF224&gt;=3),$M224*$AF224*2,0)</f>
        <v>0</v>
      </c>
      <c r="BG224" s="153" t="n">
        <f aca="false">($BB224+$BC224)*$AK224</f>
        <v>14.4438</v>
      </c>
      <c r="BH224" s="153" t="n">
        <f aca="false">IF(AND($M224&lt;&gt;"",$N224="VCA",$Q224="LINEAR"),($M224*2)/100,IF(AND($M224&lt;&gt;"",$N224="MND",$Q224="EMBOQUE"),($AN224*2)/100,0))</f>
        <v>0.181</v>
      </c>
      <c r="BI224" s="153" t="n">
        <f aca="false">IF(AND($M224&lt;&gt;"",$N224="VCA",$Q224="LINEAR"),$M224,IF(AND($M224&lt;&gt;"",$N224="MND",$Q224="EMBOQUE"),$AN224*2,0))</f>
        <v>9.05</v>
      </c>
      <c r="BJ224" s="153" t="n">
        <f aca="false">IF(AND($M224&lt;&gt;"",$N224="VCA",$Q224="LINEAR"),($M224*6.8)/100,IF(AND($M224&lt;&gt;"",$N224="MND",$Q224="EMBOQUE"),($AN224*2*6.8)/100,0))</f>
        <v>0.6154</v>
      </c>
      <c r="BK224" s="153" t="n">
        <f aca="false">IF(AND($M224&lt;&gt;"",$N224="VCA",$Q224="LINEAR"),($M224*2.5)/50,IF(AND($M224&lt;&gt;"",$N224="MND",$Q224="EMBOQUE"),($AN224*2*2.5)/50,0))</f>
        <v>0.4525</v>
      </c>
      <c r="BL224" s="157" t="str">
        <f aca="false">K224&amp;J224</f>
        <v>Zona02REDES</v>
      </c>
      <c r="BM224" s="152" t="s">
        <v>2037</v>
      </c>
      <c r="BN224" s="152" t="s">
        <v>1560</v>
      </c>
      <c r="BO224" s="152" t="s">
        <v>2231</v>
      </c>
      <c r="BP224" s="152" t="s">
        <v>2240</v>
      </c>
      <c r="BQ224" s="152" t="s">
        <v>2349</v>
      </c>
      <c r="BR224" s="152" t="s">
        <v>2380</v>
      </c>
      <c r="BS224" s="152" t="n">
        <v>202897.425</v>
      </c>
      <c r="BT224" s="152" t="n">
        <v>8237650.479</v>
      </c>
      <c r="BU224" s="152" t="n">
        <v>202901.756</v>
      </c>
      <c r="BV224" s="152" t="n">
        <v>8237658.43</v>
      </c>
      <c r="BW224" s="152" t="n">
        <v>-15.9225719</v>
      </c>
      <c r="BX224" s="152" t="n">
        <v>-47.7748635</v>
      </c>
      <c r="BY224" s="152" t="s">
        <v>2240</v>
      </c>
    </row>
    <row r="225" customFormat="false" ht="13.8" hidden="false" customHeight="false" outlineLevel="0" collapsed="false">
      <c r="A225" s="149" t="n">
        <f aca="false">IF(C225&lt;&gt;"",ROW(A220),"")</f>
        <v>220</v>
      </c>
      <c r="B225" s="150" t="str">
        <f aca="false">HYPERLINK("https://www.google.com/maps/dir/-15.917302,-47.760003/-15.9225438,-47.7756944/data=!4m3!4m2!3e0!5i1")</f>
        <v>https://www.google.com/maps/dir/-15.917302,-47.760003/-15.9225438,-47.7756944/data=!4m3!4m2!3e0!5i1</v>
      </c>
      <c r="C225" s="151" t="s">
        <v>117</v>
      </c>
      <c r="D225" s="152" t="s">
        <v>112</v>
      </c>
      <c r="E225" s="152" t="s">
        <v>113</v>
      </c>
      <c r="F225" s="152" t="s">
        <v>117</v>
      </c>
      <c r="G225" s="152" t="s">
        <v>782</v>
      </c>
      <c r="H225" s="152" t="n">
        <v>63</v>
      </c>
      <c r="I225" s="152" t="s">
        <v>115</v>
      </c>
      <c r="J225" s="152" t="s">
        <v>6</v>
      </c>
      <c r="K225" s="152" t="s">
        <v>2033</v>
      </c>
      <c r="L225" s="152" t="s">
        <v>120</v>
      </c>
      <c r="M225" s="153" t="n">
        <f aca="false">81.02+2.84</f>
        <v>83.86</v>
      </c>
      <c r="N225" s="152" t="s">
        <v>1548</v>
      </c>
      <c r="O225" s="152" t="s">
        <v>1549</v>
      </c>
      <c r="P225" s="152" t="s">
        <v>1550</v>
      </c>
      <c r="Q225" s="152" t="s">
        <v>1551</v>
      </c>
      <c r="R225" s="154" t="s">
        <v>2381</v>
      </c>
      <c r="S225" s="154" t="s">
        <v>1553</v>
      </c>
      <c r="T225" s="155" t="s">
        <v>2227</v>
      </c>
      <c r="U225" s="152" t="str">
        <f aca="false">RIGHT(T225,7)</f>
        <v>008/037</v>
      </c>
      <c r="V225" s="152" t="s">
        <v>1555</v>
      </c>
      <c r="W225" s="156" t="n">
        <v>45882</v>
      </c>
      <c r="X225" s="152" t="s">
        <v>1594</v>
      </c>
      <c r="Y225" s="152" t="s">
        <v>2237</v>
      </c>
      <c r="Z225" s="152" t="s">
        <v>1557</v>
      </c>
      <c r="AA225" s="153" t="n">
        <v>3.9</v>
      </c>
      <c r="AB225" s="151" t="s">
        <v>2382</v>
      </c>
      <c r="AC225" s="151" t="s">
        <v>186</v>
      </c>
      <c r="AD225" s="151" t="str">
        <f aca="false">CONCATENATE($C225,$I225,$H225,$N225,$J225,$K225)</f>
        <v>TUBO PEADPEAD63VCAREDESZona02</v>
      </c>
      <c r="AE225" s="153" t="n">
        <f aca="false">IFERROR(INDEX(APOIO_REDES!$A:$W,MATCH($C225&amp;$I225&amp;$H225&amp;$N225&amp;$O225,APOIO_REDES!$W:$W,0),MATCH(AE$5,APOIO_REDES!$5:$5,0)),0)</f>
        <v>1.2</v>
      </c>
      <c r="AF225" s="153" t="n">
        <f aca="false">IFERROR(INDEX(APOIO_REDES!$A:$W,MATCH($C225&amp;$I225&amp;$H225&amp;$N225&amp;$O225,APOIO_REDES!$W:$W,0),MATCH(AF$5,APOIO_REDES!$5:$5,0)),0)</f>
        <v>1.363</v>
      </c>
      <c r="AG225" s="153" t="n">
        <f aca="false">IFERROR(INDEX(APOIO_REDES!$A:$W,MATCH($C225&amp;$I225&amp;$H225&amp;$N225&amp;$O225,APOIO_REDES!$W:$W,0),MATCH(AG$5,APOIO_REDES!$5:$5,0)),0)</f>
        <v>0.65</v>
      </c>
      <c r="AH225" s="153" t="n">
        <f aca="false">IFERROR(INDEX(APOIO_REDES!$A:$W,MATCH($C225&amp;$I225&amp;$H225&amp;$N225&amp;$O225,APOIO_REDES!$W:$W,0),MATCH(AH$5,APOIO_REDES!$5:$5,0)),0)</f>
        <v>0.1</v>
      </c>
      <c r="AI225" s="153" t="n">
        <f aca="false">IFERROR(IF($H225&lt;&gt;"",(((($H225/1000)/2)^2)*PI()*$M225),0),0)</f>
        <v>0.261412191740582</v>
      </c>
      <c r="AJ225" s="153" t="n">
        <f aca="false">IFERROR(IF(AND($H225&lt;&gt;"",$I225="FoFo",OR($N225="MND",$N225="VCA"),$Q225="LINEAR"),0,IF(AND($H225&lt;&gt;"",$I225="PEAD",$N225="VCA",$Q225="LINEAR"),($H225/1000)+0.3,IF(AND($H225&lt;&gt;"",$I225="PEAD",$N225="MND",$Q225="EMBOQUE"),0,IF(AND($H225&lt;&gt;"",$I225="PVC",$N225="VCA",$Q225="LINEAR"),($H225/1000)+0.2,IF(AND($H225&lt;&gt;"",$I225="PVC",$N225="MND",$Q225="EMBOQUE"),0,IF(AND($H225&lt;&gt;"",$I225="PEAD",$N225="VCA",$Q225="PREDIAL"),0,0)))))),0)</f>
        <v>0.363</v>
      </c>
      <c r="AK225" s="153" t="n">
        <f aca="false">IF(AA225&lt;&gt;"",AA225,0)</f>
        <v>3.9</v>
      </c>
      <c r="AL225" s="153" t="n">
        <f aca="false">IF(AND($N225="MND",$Q225="EMBOQUE"),$M225,IF(AND($N225="VCA",$Q225="LINEAR"),$M225,IF(AND($N225="VCA",$Q225="PREDIAL"),0,0)))</f>
        <v>83.86</v>
      </c>
      <c r="AM225" s="153" t="n">
        <f aca="false">IF(AND($N225="MND",$Q225="EMBOQUE"),$M225,IF(AND($N225="VCA",$Q225="LINEAR"),$M225,IF(AND($N225="VCA",$Q225="PREDIAL"),0,0)))</f>
        <v>83.86</v>
      </c>
      <c r="AN225" s="153" t="n">
        <f aca="false">ROUND(IF(AND($N225="VCA",$M225&lt;&gt;"",$Q225="LINEAR"),$M225/100,IF(AND($N225="MND",$M225&gt;100,$Q225="EMBOQUE"),$M225/100,0)),0)</f>
        <v>1</v>
      </c>
      <c r="AO225" s="153" t="n">
        <f aca="false">IF(AND($N225="MND",$Q225="EMBOQUE"),$AN225*2*2,IF(AND($N225="VCA",$Q225="LINEAR"),$M225*2,IF(AND($N225="VCA",$Q225="PREDIAL"),0,0)))</f>
        <v>167.72</v>
      </c>
      <c r="AP225" s="153" t="n">
        <f aca="false">IFERROR($M225*$AF225*$AG225,0)</f>
        <v>74.295767</v>
      </c>
      <c r="AQ225" s="153" t="n">
        <f aca="false">IFERROR(IF(AND($N225="VCA",$AH225&gt;0),$M225*$AG225*$AH225,0),0)</f>
        <v>5.4509</v>
      </c>
      <c r="AR225" s="153" t="n">
        <f aca="false">IFERROR(IF(AND($N225="VCA",$AJ225&gt;0),($M225*$AG225*$AJ225)-$AI225,0),0)</f>
        <v>19.5253548082594</v>
      </c>
      <c r="AS225" s="153" t="n">
        <f aca="false">IFERROR(IF(AND($N225="VCA",$AP225&gt;0),$AP225-$AI225-$AQ225-$AR225,0),0)</f>
        <v>49.0581</v>
      </c>
      <c r="AT225" s="153" t="n">
        <f aca="false">IFERROR(IF($N225="VCA",INDEX(APOIO_REDES!$A:$W,MATCH($C225&amp;$I225&amp;$H225&amp;$N225&amp;$O225,APOIO_REDES!$W:$W,0),MATCH(AT$5,APOIO_REDES!$5:$5,0)),0)*$AP225,0)</f>
        <v>0.808359935384533</v>
      </c>
      <c r="AU225" s="153" t="n">
        <f aca="false">IFERROR(IF($N225="VCA",INDEX(APOIO_REDES!$A:$W,MATCH($C225&amp;$I225&amp;$H225&amp;$N225&amp;$O225,APOIO_REDES!$W:$W,0),MATCH(AU$5,APOIO_REDES!$5:$5,0)),0)*$AP225,0)</f>
        <v>0.645534351234536</v>
      </c>
      <c r="AV225" s="153" t="n">
        <f aca="false">IFERROR(IF($N225="VCA",INDEX(APOIO_REDES!$A:$W,MATCH($C225&amp;$I225&amp;$H225&amp;$N225&amp;$O225,APOIO_REDES!$W:$W,0),MATCH(AV$5,APOIO_REDES!$5:$5,0)),0)*$AP225,0)</f>
        <v>0.0893368865675101</v>
      </c>
      <c r="AW225" s="153" t="n">
        <f aca="false">IFERROR(IF($N225="VCA",INDEX(APOIO_REDES!$A:$W,MATCH($C225&amp;$I225&amp;$H225&amp;$N225&amp;$O225,APOIO_REDES!$W:$W,0),MATCH(AW$5,APOIO_REDES!$5:$5,0)),0)*$AP225,0)</f>
        <v>50.9971901404941</v>
      </c>
      <c r="AX225" s="153" t="n">
        <f aca="false">IFERROR(IF($N225="VCA",INDEX(APOIO_REDES!$A:$W,MATCH($C225&amp;$I225&amp;$H225&amp;$N225&amp;$O225,APOIO_REDES!$W:$W,0),MATCH(AX$5,APOIO_REDES!$5:$5,0)),0)*$AP225,0)</f>
        <v>7.0578658471985</v>
      </c>
      <c r="AY225" s="153" t="n">
        <f aca="false">IFERROR(IF($N225="VCA",INDEX(APOIO_REDES!$A:$W,MATCH($C225&amp;$I225&amp;$H225&amp;$N225&amp;$O225,APOIO_REDES!$W:$W,0),MATCH(AY$5,APOIO_REDES!$5:$5,0)),0)*$AP225,0)</f>
        <v>12.9106791556793</v>
      </c>
      <c r="AZ225" s="153" t="n">
        <f aca="false">IFERROR(IF($N225="VCA",INDEX(APOIO_REDES!$A:$W,MATCH($C225&amp;$I225&amp;$H225&amp;$N225&amp;$O225,APOIO_REDES!$W:$W,0),MATCH(AZ$5,APOIO_REDES!$5:$5,0)),0)*$AP225,0)</f>
        <v>1.7868006834415</v>
      </c>
      <c r="BA225" s="153" t="n">
        <f aca="false">IFERROR(IF(AND($N225="VCA",$Q225="LINEAR"),INDEX(APOIO_REDES!$A:$W,MATCH($C225&amp;$I225&amp;$H225&amp;$N225&amp;$O225,APOIO_REDES!$W:$W,0),MATCH(BA$5,APOIO_REDES!$5:$5,0)),IF(AND($N225="MND",$Q225="EMBOQUE"),INDEX(APOIO_REDES!$A:$W,MATCH($C225&amp;$I225&amp;$H225&amp;$N225&amp;$O225,APOIO_REDES!$W:$W,0),MATCH(BA$5,APOIO_REDES!$5:$5,0)),0))*$M225/10,0)</f>
        <v>6.75890446984038</v>
      </c>
      <c r="BB225" s="153" t="n">
        <f aca="false">IFERROR(IF($N225="VCA",INDEX(APOIO_REDES!$A:$W,MATCH($C225&amp;$I225&amp;$H225&amp;$N225&amp;$O225,APOIO_REDES!$W:$W,0),MATCH(BB$5,APOIO_REDES!$5:$5,0)),0)*($AI225+$AQ225+$AR225),0)</f>
        <v>24.9630737130719</v>
      </c>
      <c r="BC225" s="153" t="n">
        <f aca="false">IFERROR(IF($N225="VCA",INDEX(APOIO_REDES!$A:$W,MATCH($C225&amp;$I225&amp;$H225&amp;$N225&amp;$O225,APOIO_REDES!$W:$W,0),MATCH(BC$5,APOIO_REDES!$5:$5,0)),0)*($AI225+$AQ225+$AR225),0)</f>
        <v>0.274593286928128</v>
      </c>
      <c r="BD225" s="153" t="n">
        <f aca="false">IF(AND($N225="VCA",$AF225&gt;=1.25,$AF225&lt;1.5),$M225*$AF225*2,0)</f>
        <v>228.60236</v>
      </c>
      <c r="BE225" s="153" t="n">
        <f aca="false">IF(AND($N225="VCA",$AF225&gt;=1.5,$AF225&lt;3),$M225*$AF225*2,0)</f>
        <v>0</v>
      </c>
      <c r="BF225" s="153" t="n">
        <f aca="false">IF(AND($N225="VCA",$AF225&gt;=3),$M225*$AF225*2,0)</f>
        <v>0</v>
      </c>
      <c r="BG225" s="153" t="n">
        <f aca="false">($BB225+$BC225)*$AK225</f>
        <v>98.4269013</v>
      </c>
      <c r="BH225" s="153" t="n">
        <f aca="false">IF(AND($M225&lt;&gt;"",$N225="VCA",$Q225="LINEAR"),($M225*2)/100,IF(AND($M225&lt;&gt;"",$N225="MND",$Q225="EMBOQUE"),($AN225*2)/100,0))</f>
        <v>1.6772</v>
      </c>
      <c r="BI225" s="153" t="n">
        <f aca="false">IF(AND($M225&lt;&gt;"",$N225="VCA",$Q225="LINEAR"),$M225,IF(AND($M225&lt;&gt;"",$N225="MND",$Q225="EMBOQUE"),$AN225*2,0))</f>
        <v>83.86</v>
      </c>
      <c r="BJ225" s="153" t="n">
        <f aca="false">IF(AND($M225&lt;&gt;"",$N225="VCA",$Q225="LINEAR"),($M225*6.8)/100,IF(AND($M225&lt;&gt;"",$N225="MND",$Q225="EMBOQUE"),($AN225*2*6.8)/100,0))</f>
        <v>5.70248</v>
      </c>
      <c r="BK225" s="153" t="n">
        <f aca="false">IF(AND($M225&lt;&gt;"",$N225="VCA",$Q225="LINEAR"),($M225*2.5)/50,IF(AND($M225&lt;&gt;"",$N225="MND",$Q225="EMBOQUE"),($AN225*2*2.5)/50,0))</f>
        <v>4.193</v>
      </c>
      <c r="BL225" s="157" t="str">
        <f aca="false">K225&amp;J225</f>
        <v>Zona02REDES</v>
      </c>
      <c r="BM225" s="152" t="s">
        <v>2037</v>
      </c>
      <c r="BN225" s="152" t="s">
        <v>1560</v>
      </c>
      <c r="BO225" s="152" t="s">
        <v>2231</v>
      </c>
      <c r="BP225" s="152" t="s">
        <v>2383</v>
      </c>
      <c r="BQ225" s="152" t="s">
        <v>2384</v>
      </c>
      <c r="BR225" s="152" t="s">
        <v>2385</v>
      </c>
      <c r="BS225" s="152" t="n">
        <v>202810.528</v>
      </c>
      <c r="BT225" s="152" t="n">
        <v>8237656.383</v>
      </c>
      <c r="BU225" s="152" t="n">
        <v>202875.4</v>
      </c>
      <c r="BV225" s="152" t="n">
        <v>8237618.976</v>
      </c>
      <c r="BW225" s="152" t="n">
        <v>-15.9226689</v>
      </c>
      <c r="BX225" s="152" t="n">
        <v>-47.7753953</v>
      </c>
      <c r="BY225" s="152" t="s">
        <v>2383</v>
      </c>
    </row>
    <row r="226" customFormat="false" ht="13.8" hidden="false" customHeight="false" outlineLevel="0" collapsed="false">
      <c r="A226" s="149" t="n">
        <f aca="false">IF(C226&lt;&gt;"",ROW(A221),"")</f>
        <v>221</v>
      </c>
      <c r="B226" s="150" t="str">
        <f aca="false">HYPERLINK("https://www.google.com/maps/dir/-15.917302,-47.760003/-15.9234193,-47.7754912/data=!4m3!4m2!3e0!5i2")</f>
        <v>https://www.google.com/maps/dir/-15.917302,-47.760003/-15.9234193,-47.7754912/data=!4m3!4m2!3e0!5i2</v>
      </c>
      <c r="C226" s="151" t="s">
        <v>117</v>
      </c>
      <c r="D226" s="152" t="s">
        <v>112</v>
      </c>
      <c r="E226" s="152" t="s">
        <v>113</v>
      </c>
      <c r="F226" s="152" t="s">
        <v>117</v>
      </c>
      <c r="G226" s="152" t="s">
        <v>782</v>
      </c>
      <c r="H226" s="152" t="n">
        <v>63</v>
      </c>
      <c r="I226" s="152" t="s">
        <v>115</v>
      </c>
      <c r="J226" s="152" t="s">
        <v>6</v>
      </c>
      <c r="K226" s="152" t="s">
        <v>2033</v>
      </c>
      <c r="L226" s="152" t="s">
        <v>120</v>
      </c>
      <c r="M226" s="153" t="n">
        <f aca="false">266.27</f>
        <v>266.27</v>
      </c>
      <c r="N226" s="152" t="s">
        <v>1548</v>
      </c>
      <c r="O226" s="152" t="s">
        <v>1549</v>
      </c>
      <c r="P226" s="152" t="s">
        <v>1550</v>
      </c>
      <c r="Q226" s="152" t="s">
        <v>1551</v>
      </c>
      <c r="R226" s="154" t="s">
        <v>2386</v>
      </c>
      <c r="S226" s="154" t="s">
        <v>1553</v>
      </c>
      <c r="T226" s="155" t="s">
        <v>2227</v>
      </c>
      <c r="U226" s="152" t="str">
        <f aca="false">RIGHT(T226,7)</f>
        <v>008/037</v>
      </c>
      <c r="V226" s="152" t="s">
        <v>1555</v>
      </c>
      <c r="W226" s="156" t="n">
        <v>45882</v>
      </c>
      <c r="X226" s="152" t="s">
        <v>1594</v>
      </c>
      <c r="Y226" s="152" t="s">
        <v>2387</v>
      </c>
      <c r="Z226" s="152" t="s">
        <v>1557</v>
      </c>
      <c r="AA226" s="153" t="n">
        <v>3.8</v>
      </c>
      <c r="AB226" s="151" t="s">
        <v>2388</v>
      </c>
      <c r="AC226" s="151" t="s">
        <v>186</v>
      </c>
      <c r="AD226" s="151" t="str">
        <f aca="false">CONCATENATE($C226,$I226,$H226,$N226,$J226,$K226)</f>
        <v>TUBO PEADPEAD63VCAREDESZona02</v>
      </c>
      <c r="AE226" s="153" t="n">
        <f aca="false">IFERROR(INDEX(APOIO_REDES!$A:$W,MATCH($C226&amp;$I226&amp;$H226&amp;$N226&amp;$O226,APOIO_REDES!$W:$W,0),MATCH(AE$5,APOIO_REDES!$5:$5,0)),0)</f>
        <v>1.2</v>
      </c>
      <c r="AF226" s="153" t="n">
        <f aca="false">IFERROR(INDEX(APOIO_REDES!$A:$W,MATCH($C226&amp;$I226&amp;$H226&amp;$N226&amp;$O226,APOIO_REDES!$W:$W,0),MATCH(AF$5,APOIO_REDES!$5:$5,0)),0)</f>
        <v>1.363</v>
      </c>
      <c r="AG226" s="153" t="n">
        <f aca="false">IFERROR(INDEX(APOIO_REDES!$A:$W,MATCH($C226&amp;$I226&amp;$H226&amp;$N226&amp;$O226,APOIO_REDES!$W:$W,0),MATCH(AG$5,APOIO_REDES!$5:$5,0)),0)</f>
        <v>0.65</v>
      </c>
      <c r="AH226" s="153" t="n">
        <f aca="false">IFERROR(INDEX(APOIO_REDES!$A:$W,MATCH($C226&amp;$I226&amp;$H226&amp;$N226&amp;$O226,APOIO_REDES!$W:$W,0),MATCH(AH$5,APOIO_REDES!$5:$5,0)),0)</f>
        <v>0.1</v>
      </c>
      <c r="AI226" s="153" t="n">
        <f aca="false">IFERROR(IF($H226&lt;&gt;"",(((($H226/1000)/2)^2)*PI()*$M226),0),0)</f>
        <v>0.830028908833351</v>
      </c>
      <c r="AJ226" s="153" t="n">
        <f aca="false">IFERROR(IF(AND($H226&lt;&gt;"",$I226="FoFo",OR($N226="MND",$N226="VCA"),$Q226="LINEAR"),0,IF(AND($H226&lt;&gt;"",$I226="PEAD",$N226="VCA",$Q226="LINEAR"),($H226/1000)+0.3,IF(AND($H226&lt;&gt;"",$I226="PEAD",$N226="MND",$Q226="EMBOQUE"),0,IF(AND($H226&lt;&gt;"",$I226="PVC",$N226="VCA",$Q226="LINEAR"),($H226/1000)+0.2,IF(AND($H226&lt;&gt;"",$I226="PVC",$N226="MND",$Q226="EMBOQUE"),0,IF(AND($H226&lt;&gt;"",$I226="PEAD",$N226="VCA",$Q226="PREDIAL"),0,0)))))),0)</f>
        <v>0.363</v>
      </c>
      <c r="AK226" s="153" t="n">
        <f aca="false">IF(AA226&lt;&gt;"",AA226,0)</f>
        <v>3.8</v>
      </c>
      <c r="AL226" s="153" t="n">
        <f aca="false">IF(AND($N226="MND",$Q226="EMBOQUE"),$M226,IF(AND($N226="VCA",$Q226="LINEAR"),$M226,IF(AND($N226="VCA",$Q226="PREDIAL"),0,0)))</f>
        <v>266.27</v>
      </c>
      <c r="AM226" s="153" t="n">
        <f aca="false">IF(AND($N226="MND",$Q226="EMBOQUE"),$M226,IF(AND($N226="VCA",$Q226="LINEAR"),$M226,IF(AND($N226="VCA",$Q226="PREDIAL"),0,0)))</f>
        <v>266.27</v>
      </c>
      <c r="AN226" s="153" t="n">
        <f aca="false">ROUND(IF(AND($N226="VCA",$M226&lt;&gt;"",$Q226="LINEAR"),$M226/100,IF(AND($N226="MND",$M226&gt;100,$Q226="EMBOQUE"),$M226/100,0)),0)</f>
        <v>3</v>
      </c>
      <c r="AO226" s="153" t="n">
        <f aca="false">IF(AND($N226="MND",$Q226="EMBOQUE"),$AN226*2*2,IF(AND($N226="VCA",$Q226="LINEAR"),$M226*2,IF(AND($N226="VCA",$Q226="PREDIAL"),0,0)))</f>
        <v>532.54</v>
      </c>
      <c r="AP226" s="153" t="n">
        <f aca="false">IFERROR($M226*$AF226*$AG226,0)</f>
        <v>235.9019065</v>
      </c>
      <c r="AQ226" s="153" t="n">
        <f aca="false">IFERROR(IF(AND($N226="VCA",$AH226&gt;0),$M226*$AG226*$AH226,0),0)</f>
        <v>17.30755</v>
      </c>
      <c r="AR226" s="153" t="n">
        <f aca="false">IFERROR(IF(AND($N226="VCA",$AJ226&gt;0),($M226*$AG226*$AJ226)-$AI226,0),0)</f>
        <v>61.9963775911667</v>
      </c>
      <c r="AS226" s="153" t="n">
        <f aca="false">IFERROR(IF(AND($N226="VCA",$AP226&gt;0),$AP226-$AI226-$AQ226-$AR226,0),0)</f>
        <v>155.76795</v>
      </c>
      <c r="AT226" s="153" t="n">
        <f aca="false">IFERROR(IF($N226="VCA",INDEX(APOIO_REDES!$A:$W,MATCH($C226&amp;$I226&amp;$H226&amp;$N226&amp;$O226,APOIO_REDES!$W:$W,0),MATCH(AT$5,APOIO_REDES!$5:$5,0)),0)*$AP226,0)</f>
        <v>2.5666825661202</v>
      </c>
      <c r="AU226" s="153" t="n">
        <f aca="false">IFERROR(IF($N226="VCA",INDEX(APOIO_REDES!$A:$W,MATCH($C226&amp;$I226&amp;$H226&amp;$N226&amp;$O226,APOIO_REDES!$W:$W,0),MATCH(AU$5,APOIO_REDES!$5:$5,0)),0)*$AP226,0)</f>
        <v>2.04968318272382</v>
      </c>
      <c r="AV226" s="153" t="n">
        <f aca="false">IFERROR(IF($N226="VCA",INDEX(APOIO_REDES!$A:$W,MATCH($C226&amp;$I226&amp;$H226&amp;$N226&amp;$O226,APOIO_REDES!$W:$W,0),MATCH(AV$5,APOIO_REDES!$5:$5,0)),0)*$AP226,0)</f>
        <v>0.28366006184511</v>
      </c>
      <c r="AW226" s="153" t="n">
        <f aca="false">IFERROR(IF($N226="VCA",INDEX(APOIO_REDES!$A:$W,MATCH($C226&amp;$I226&amp;$H226&amp;$N226&amp;$O226,APOIO_REDES!$W:$W,0),MATCH(AW$5,APOIO_REDES!$5:$5,0)),0)*$AP226,0)</f>
        <v>161.924896478767</v>
      </c>
      <c r="AX226" s="153" t="n">
        <f aca="false">IFERROR(IF($N226="VCA",INDEX(APOIO_REDES!$A:$W,MATCH($C226&amp;$I226&amp;$H226&amp;$N226&amp;$O226,APOIO_REDES!$W:$W,0),MATCH(AX$5,APOIO_REDES!$5:$5,0)),0)*$AP226,0)</f>
        <v>22.4099444208627</v>
      </c>
      <c r="AY226" s="153" t="n">
        <f aca="false">IFERROR(IF($N226="VCA",INDEX(APOIO_REDES!$A:$W,MATCH($C226&amp;$I226&amp;$H226&amp;$N226&amp;$O226,APOIO_REDES!$W:$W,0),MATCH(AY$5,APOIO_REDES!$5:$5,0)),0)*$AP226,0)</f>
        <v>40.9936386690046</v>
      </c>
      <c r="AZ226" s="153" t="n">
        <f aca="false">IFERROR(IF($N226="VCA",INDEX(APOIO_REDES!$A:$W,MATCH($C226&amp;$I226&amp;$H226&amp;$N226&amp;$O226,APOIO_REDES!$W:$W,0),MATCH(AZ$5,APOIO_REDES!$5:$5,0)),0)*$AP226,0)</f>
        <v>5.67340112067695</v>
      </c>
      <c r="BA226" s="153" t="n">
        <f aca="false">IFERROR(IF(AND($N226="VCA",$Q226="LINEAR"),INDEX(APOIO_REDES!$A:$W,MATCH($C226&amp;$I226&amp;$H226&amp;$N226&amp;$O226,APOIO_REDES!$W:$W,0),MATCH(BA$5,APOIO_REDES!$5:$5,0)),IF(AND($N226="MND",$Q226="EMBOQUE"),INDEX(APOIO_REDES!$A:$W,MATCH($C226&amp;$I226&amp;$H226&amp;$N226&amp;$O226,APOIO_REDES!$W:$W,0),MATCH(BA$5,APOIO_REDES!$5:$5,0)),0))*$M226/10,0)</f>
        <v>21.4606903551681</v>
      </c>
      <c r="BB226" s="153" t="n">
        <f aca="false">IFERROR(IF($N226="VCA",INDEX(APOIO_REDES!$A:$W,MATCH($C226&amp;$I226&amp;$H226&amp;$N226&amp;$O226,APOIO_REDES!$W:$W,0),MATCH(BB$5,APOIO_REDES!$5:$5,0)),0)*($AI226+$AQ226+$AR226),0)</f>
        <v>79.2620753348396</v>
      </c>
      <c r="BC226" s="153" t="n">
        <f aca="false">IFERROR(IF($N226="VCA",INDEX(APOIO_REDES!$A:$W,MATCH($C226&amp;$I226&amp;$H226&amp;$N226&amp;$O226,APOIO_REDES!$W:$W,0),MATCH(BC$5,APOIO_REDES!$5:$5,0)),0)*($AI226+$AQ226+$AR226),0)</f>
        <v>0.871881165160419</v>
      </c>
      <c r="BD226" s="153" t="n">
        <f aca="false">IF(AND($N226="VCA",$AF226&gt;=1.25,$AF226&lt;1.5),$M226*$AF226*2,0)</f>
        <v>725.85202</v>
      </c>
      <c r="BE226" s="153" t="n">
        <f aca="false">IF(AND($N226="VCA",$AF226&gt;=1.5,$AF226&lt;3),$M226*$AF226*2,0)</f>
        <v>0</v>
      </c>
      <c r="BF226" s="153" t="n">
        <f aca="false">IF(AND($N226="VCA",$AF226&gt;=3),$M226*$AF226*2,0)</f>
        <v>0</v>
      </c>
      <c r="BG226" s="153" t="n">
        <f aca="false">($BB226+$BC226)*$AK226</f>
        <v>304.5090347</v>
      </c>
      <c r="BH226" s="153" t="n">
        <f aca="false">IF(AND($M226&lt;&gt;"",$N226="VCA",$Q226="LINEAR"),($M226*2)/100,IF(AND($M226&lt;&gt;"",$N226="MND",$Q226="EMBOQUE"),($AN226*2)/100,0))</f>
        <v>5.3254</v>
      </c>
      <c r="BI226" s="153" t="n">
        <f aca="false">IF(AND($M226&lt;&gt;"",$N226="VCA",$Q226="LINEAR"),$M226,IF(AND($M226&lt;&gt;"",$N226="MND",$Q226="EMBOQUE"),$AN226*2,0))</f>
        <v>266.27</v>
      </c>
      <c r="BJ226" s="153" t="n">
        <f aca="false">IF(AND($M226&lt;&gt;"",$N226="VCA",$Q226="LINEAR"),($M226*6.8)/100,IF(AND($M226&lt;&gt;"",$N226="MND",$Q226="EMBOQUE"),($AN226*2*6.8)/100,0))</f>
        <v>18.10636</v>
      </c>
      <c r="BK226" s="153" t="n">
        <f aca="false">IF(AND($M226&lt;&gt;"",$N226="VCA",$Q226="LINEAR"),($M226*2.5)/50,IF(AND($M226&lt;&gt;"",$N226="MND",$Q226="EMBOQUE"),($AN226*2*2.5)/50,0))</f>
        <v>13.3135</v>
      </c>
      <c r="BL226" s="157" t="str">
        <f aca="false">K226&amp;J226</f>
        <v>Zona02REDES</v>
      </c>
      <c r="BM226" s="152" t="s">
        <v>2037</v>
      </c>
      <c r="BN226" s="152" t="s">
        <v>1560</v>
      </c>
      <c r="BO226" s="152" t="s">
        <v>2231</v>
      </c>
      <c r="BP226" s="152" t="s">
        <v>2389</v>
      </c>
      <c r="BQ226" s="152" t="s">
        <v>2357</v>
      </c>
      <c r="BR226" s="152" t="s">
        <v>2390</v>
      </c>
      <c r="BS226" s="152" t="n">
        <v>202833.594</v>
      </c>
      <c r="BT226" s="152" t="n">
        <v>8237559.738</v>
      </c>
      <c r="BU226" s="152" t="n">
        <v>202622.765</v>
      </c>
      <c r="BV226" s="152" t="n">
        <v>8237722.183</v>
      </c>
      <c r="BW226" s="152" t="n">
        <v>-15.9226644</v>
      </c>
      <c r="BX226" s="152" t="n">
        <v>-47.7764577</v>
      </c>
      <c r="BY226" s="152" t="s">
        <v>2389</v>
      </c>
    </row>
    <row r="227" customFormat="false" ht="13.8" hidden="false" customHeight="false" outlineLevel="0" collapsed="false">
      <c r="A227" s="149" t="n">
        <f aca="false">IF(C227&lt;&gt;"",ROW(A222),"")</f>
        <v>222</v>
      </c>
      <c r="B227" s="150" t="str">
        <f aca="false">HYPERLINK("https://www.google.com/maps/dir/-15.917302,-47.760003/-15.9225317,-47.7777789/data=!4m3!4m2!3e0!5i2")</f>
        <v>https://www.google.com/maps/dir/-15.917302,-47.760003/-15.9225317,-47.7777789/data=!4m3!4m2!3e0!5i2</v>
      </c>
      <c r="C227" s="151" t="s">
        <v>117</v>
      </c>
      <c r="D227" s="152" t="s">
        <v>112</v>
      </c>
      <c r="E227" s="152" t="s">
        <v>113</v>
      </c>
      <c r="F227" s="152" t="s">
        <v>117</v>
      </c>
      <c r="G227" s="152" t="s">
        <v>782</v>
      </c>
      <c r="H227" s="152" t="n">
        <v>63</v>
      </c>
      <c r="I227" s="152" t="s">
        <v>115</v>
      </c>
      <c r="J227" s="152" t="s">
        <v>6</v>
      </c>
      <c r="K227" s="152" t="s">
        <v>2033</v>
      </c>
      <c r="L227" s="152" t="s">
        <v>120</v>
      </c>
      <c r="M227" s="153" t="n">
        <f aca="false">44.85</f>
        <v>44.85</v>
      </c>
      <c r="N227" s="152" t="s">
        <v>1548</v>
      </c>
      <c r="O227" s="152" t="s">
        <v>1549</v>
      </c>
      <c r="P227" s="152" t="s">
        <v>1550</v>
      </c>
      <c r="Q227" s="152" t="s">
        <v>1551</v>
      </c>
      <c r="R227" s="154" t="s">
        <v>2391</v>
      </c>
      <c r="S227" s="154" t="s">
        <v>1553</v>
      </c>
      <c r="T227" s="155" t="s">
        <v>2227</v>
      </c>
      <c r="U227" s="152" t="str">
        <f aca="false">RIGHT(T227,7)</f>
        <v>008/037</v>
      </c>
      <c r="V227" s="152" t="s">
        <v>1555</v>
      </c>
      <c r="W227" s="156" t="n">
        <v>45882</v>
      </c>
      <c r="X227" s="152" t="s">
        <v>1594</v>
      </c>
      <c r="Y227" s="152"/>
      <c r="Z227" s="152" t="s">
        <v>1557</v>
      </c>
      <c r="AA227" s="153" t="n">
        <v>4.1</v>
      </c>
      <c r="AB227" s="151" t="s">
        <v>2392</v>
      </c>
      <c r="AC227" s="151" t="s">
        <v>186</v>
      </c>
      <c r="AD227" s="151" t="str">
        <f aca="false">CONCATENATE($C227,$I227,$H227,$N227,$J227,$K227)</f>
        <v>TUBO PEADPEAD63VCAREDESZona02</v>
      </c>
      <c r="AE227" s="153" t="n">
        <f aca="false">IFERROR(INDEX(APOIO_REDES!$A:$W,MATCH($C227&amp;$I227&amp;$H227&amp;$N227&amp;$O227,APOIO_REDES!$W:$W,0),MATCH(AE$5,APOIO_REDES!$5:$5,0)),0)</f>
        <v>1.2</v>
      </c>
      <c r="AF227" s="153" t="n">
        <f aca="false">IFERROR(INDEX(APOIO_REDES!$A:$W,MATCH($C227&amp;$I227&amp;$H227&amp;$N227&amp;$O227,APOIO_REDES!$W:$W,0),MATCH(AF$5,APOIO_REDES!$5:$5,0)),0)</f>
        <v>1.363</v>
      </c>
      <c r="AG227" s="153" t="n">
        <f aca="false">IFERROR(INDEX(APOIO_REDES!$A:$W,MATCH($C227&amp;$I227&amp;$H227&amp;$N227&amp;$O227,APOIO_REDES!$W:$W,0),MATCH(AG$5,APOIO_REDES!$5:$5,0)),0)</f>
        <v>0.65</v>
      </c>
      <c r="AH227" s="153" t="n">
        <f aca="false">IFERROR(INDEX(APOIO_REDES!$A:$W,MATCH($C227&amp;$I227&amp;$H227&amp;$N227&amp;$O227,APOIO_REDES!$W:$W,0),MATCH(AH$5,APOIO_REDES!$5:$5,0)),0)</f>
        <v>0.1</v>
      </c>
      <c r="AI227" s="153" t="n">
        <f aca="false">IFERROR(IF($H227&lt;&gt;"",(((($H227/1000)/2)^2)*PI()*$M227),0),0)</f>
        <v>0.139808452177023</v>
      </c>
      <c r="AJ227" s="153" t="n">
        <f aca="false">IFERROR(IF(AND($H227&lt;&gt;"",$I227="FoFo",OR($N227="MND",$N227="VCA"),$Q227="LINEAR"),0,IF(AND($H227&lt;&gt;"",$I227="PEAD",$N227="VCA",$Q227="LINEAR"),($H227/1000)+0.3,IF(AND($H227&lt;&gt;"",$I227="PEAD",$N227="MND",$Q227="EMBOQUE"),0,IF(AND($H227&lt;&gt;"",$I227="PVC",$N227="VCA",$Q227="LINEAR"),($H227/1000)+0.2,IF(AND($H227&lt;&gt;"",$I227="PVC",$N227="MND",$Q227="EMBOQUE"),0,IF(AND($H227&lt;&gt;"",$I227="PEAD",$N227="VCA",$Q227="PREDIAL"),0,0)))))),0)</f>
        <v>0.363</v>
      </c>
      <c r="AK227" s="153" t="n">
        <f aca="false">IF(AA227&lt;&gt;"",AA227,0)</f>
        <v>4.1</v>
      </c>
      <c r="AL227" s="153" t="n">
        <f aca="false">IF(AND($N227="MND",$Q227="EMBOQUE"),$M227,IF(AND($N227="VCA",$Q227="LINEAR"),$M227,IF(AND($N227="VCA",$Q227="PREDIAL"),0,0)))</f>
        <v>44.85</v>
      </c>
      <c r="AM227" s="153" t="n">
        <f aca="false">IF(AND($N227="MND",$Q227="EMBOQUE"),$M227,IF(AND($N227="VCA",$Q227="LINEAR"),$M227,IF(AND($N227="VCA",$Q227="PREDIAL"),0,0)))</f>
        <v>44.85</v>
      </c>
      <c r="AN227" s="153" t="n">
        <f aca="false">ROUND(IF(AND($N227="VCA",$M227&lt;&gt;"",$Q227="LINEAR"),$M227/100,IF(AND($N227="MND",$M227&gt;100,$Q227="EMBOQUE"),$M227/100,0)),0)</f>
        <v>0</v>
      </c>
      <c r="AO227" s="153" t="n">
        <f aca="false">IF(AND($N227="MND",$Q227="EMBOQUE"),$AN227*2*2,IF(AND($N227="VCA",$Q227="LINEAR"),$M227*2,IF(AND($N227="VCA",$Q227="PREDIAL"),0,0)))</f>
        <v>89.7</v>
      </c>
      <c r="AP227" s="153" t="n">
        <f aca="false">IFERROR($M227*$AF227*$AG227,0)</f>
        <v>39.7348575</v>
      </c>
      <c r="AQ227" s="153" t="n">
        <f aca="false">IFERROR(IF(AND($N227="VCA",$AH227&gt;0),$M227*$AG227*$AH227,0),0)</f>
        <v>2.91525</v>
      </c>
      <c r="AR227" s="153" t="n">
        <f aca="false">IFERROR(IF(AND($N227="VCA",$AJ227&gt;0),($M227*$AG227*$AJ227)-$AI227,0),0)</f>
        <v>10.442549047823</v>
      </c>
      <c r="AS227" s="153" t="n">
        <f aca="false">IFERROR(IF(AND($N227="VCA",$AP227&gt;0),$AP227-$AI227-$AQ227-$AR227,0),0)</f>
        <v>26.23725</v>
      </c>
      <c r="AT227" s="153" t="n">
        <f aca="false">IFERROR(IF($N227="VCA",INDEX(APOIO_REDES!$A:$W,MATCH($C227&amp;$I227&amp;$H227&amp;$N227&amp;$O227,APOIO_REDES!$W:$W,0),MATCH(AT$5,APOIO_REDES!$5:$5,0)),0)*$AP227,0)</f>
        <v>0.432327010517485</v>
      </c>
      <c r="AU227" s="153" t="n">
        <f aca="false">IFERROR(IF($N227="VCA",INDEX(APOIO_REDES!$A:$W,MATCH($C227&amp;$I227&amp;$H227&amp;$N227&amp;$O227,APOIO_REDES!$W:$W,0),MATCH(AU$5,APOIO_REDES!$5:$5,0)),0)*$AP227,0)</f>
        <v>0.34524464169889</v>
      </c>
      <c r="AV227" s="153" t="n">
        <f aca="false">IFERROR(IF($N227="VCA",INDEX(APOIO_REDES!$A:$W,MATCH($C227&amp;$I227&amp;$H227&amp;$N227&amp;$O227,APOIO_REDES!$W:$W,0),MATCH(AV$5,APOIO_REDES!$5:$5,0)),0)*$AP227,0)</f>
        <v>0.0477791481344244</v>
      </c>
      <c r="AW227" s="153" t="n">
        <f aca="false">IFERROR(IF($N227="VCA",INDEX(APOIO_REDES!$A:$W,MATCH($C227&amp;$I227&amp;$H227&amp;$N227&amp;$O227,APOIO_REDES!$W:$W,0),MATCH(AW$5,APOIO_REDES!$5:$5,0)),0)*$AP227,0)</f>
        <v>27.2743140686998</v>
      </c>
      <c r="AX227" s="153" t="n">
        <f aca="false">IFERROR(IF($N227="VCA",INDEX(APOIO_REDES!$A:$W,MATCH($C227&amp;$I227&amp;$H227&amp;$N227&amp;$O227,APOIO_REDES!$W:$W,0),MATCH(AX$5,APOIO_REDES!$5:$5,0)),0)*$AP227,0)</f>
        <v>3.77468737475379</v>
      </c>
      <c r="AY227" s="153" t="n">
        <f aca="false">IFERROR(IF($N227="VCA",INDEX(APOIO_REDES!$A:$W,MATCH($C227&amp;$I227&amp;$H227&amp;$N227&amp;$O227,APOIO_REDES!$W:$W,0),MATCH(AY$5,APOIO_REDES!$5:$5,0)),0)*$AP227,0)</f>
        <v>6.90488862547361</v>
      </c>
      <c r="AZ227" s="153" t="n">
        <f aca="false">IFERROR(IF($N227="VCA",INDEX(APOIO_REDES!$A:$W,MATCH($C227&amp;$I227&amp;$H227&amp;$N227&amp;$O227,APOIO_REDES!$W:$W,0),MATCH(AZ$5,APOIO_REDES!$5:$5,0)),0)*$AP227,0)</f>
        <v>0.955616630722053</v>
      </c>
      <c r="BA227" s="153" t="n">
        <f aca="false">IFERROR(IF(AND($N227="VCA",$Q227="LINEAR"),INDEX(APOIO_REDES!$A:$W,MATCH($C227&amp;$I227&amp;$H227&amp;$N227&amp;$O227,APOIO_REDES!$W:$W,0),MATCH(BA$5,APOIO_REDES!$5:$5,0)),IF(AND($N227="MND",$Q227="EMBOQUE"),INDEX(APOIO_REDES!$A:$W,MATCH($C227&amp;$I227&amp;$H227&amp;$N227&amp;$O227,APOIO_REDES!$W:$W,0),MATCH(BA$5,APOIO_REDES!$5:$5,0)),0))*$M227/10,0)</f>
        <v>3.61479686945315</v>
      </c>
      <c r="BB227" s="153" t="n">
        <f aca="false">IFERROR(IF($N227="VCA",INDEX(APOIO_REDES!$A:$W,MATCH($C227&amp;$I227&amp;$H227&amp;$N227&amp;$O227,APOIO_REDES!$W:$W,0),MATCH(BB$5,APOIO_REDES!$5:$5,0)),0)*($AI227+$AQ227+$AR227),0)</f>
        <v>13.3507495353121</v>
      </c>
      <c r="BC227" s="153" t="n">
        <f aca="false">IFERROR(IF($N227="VCA",INDEX(APOIO_REDES!$A:$W,MATCH($C227&amp;$I227&amp;$H227&amp;$N227&amp;$O227,APOIO_REDES!$W:$W,0),MATCH(BC$5,APOIO_REDES!$5:$5,0)),0)*($AI227+$AQ227+$AR227),0)</f>
        <v>0.146857964687891</v>
      </c>
      <c r="BD227" s="153" t="n">
        <f aca="false">IF(AND($N227="VCA",$AF227&gt;=1.25,$AF227&lt;1.5),$M227*$AF227*2,0)</f>
        <v>122.2611</v>
      </c>
      <c r="BE227" s="153" t="n">
        <f aca="false">IF(AND($N227="VCA",$AF227&gt;=1.5,$AF227&lt;3),$M227*$AF227*2,0)</f>
        <v>0</v>
      </c>
      <c r="BF227" s="153" t="n">
        <f aca="false">IF(AND($N227="VCA",$AF227&gt;=3),$M227*$AF227*2,0)</f>
        <v>0</v>
      </c>
      <c r="BG227" s="153" t="n">
        <f aca="false">($BB227+$BC227)*$AK227</f>
        <v>55.34019075</v>
      </c>
      <c r="BH227" s="153" t="n">
        <f aca="false">IF(AND($M227&lt;&gt;"",$N227="VCA",$Q227="LINEAR"),($M227*2)/100,IF(AND($M227&lt;&gt;"",$N227="MND",$Q227="EMBOQUE"),($AN227*2)/100,0))</f>
        <v>0.897</v>
      </c>
      <c r="BI227" s="153" t="n">
        <f aca="false">IF(AND($M227&lt;&gt;"",$N227="VCA",$Q227="LINEAR"),$M227,IF(AND($M227&lt;&gt;"",$N227="MND",$Q227="EMBOQUE"),$AN227*2,0))</f>
        <v>44.85</v>
      </c>
      <c r="BJ227" s="153" t="n">
        <f aca="false">IF(AND($M227&lt;&gt;"",$N227="VCA",$Q227="LINEAR"),($M227*6.8)/100,IF(AND($M227&lt;&gt;"",$N227="MND",$Q227="EMBOQUE"),($AN227*2*6.8)/100,0))</f>
        <v>3.0498</v>
      </c>
      <c r="BK227" s="153" t="n">
        <f aca="false">IF(AND($M227&lt;&gt;"",$N227="VCA",$Q227="LINEAR"),($M227*2.5)/50,IF(AND($M227&lt;&gt;"",$N227="MND",$Q227="EMBOQUE"),($AN227*2*2.5)/50,0))</f>
        <v>2.2425</v>
      </c>
      <c r="BL227" s="157" t="str">
        <f aca="false">K227&amp;J227</f>
        <v>Zona02REDES</v>
      </c>
      <c r="BM227" s="152" t="s">
        <v>2037</v>
      </c>
      <c r="BN227" s="152" t="s">
        <v>1560</v>
      </c>
      <c r="BO227" s="152" t="s">
        <v>2231</v>
      </c>
      <c r="BP227" s="152" t="s">
        <v>2393</v>
      </c>
      <c r="BQ227" s="152" t="s">
        <v>2394</v>
      </c>
      <c r="BR227" s="152" t="s">
        <v>2395</v>
      </c>
      <c r="BS227" s="152" t="n">
        <v>202587.176</v>
      </c>
      <c r="BT227" s="152" t="n">
        <v>8237654.751</v>
      </c>
      <c r="BU227" s="152" t="n">
        <v>202561.346</v>
      </c>
      <c r="BV227" s="152" t="n">
        <v>8237618.089</v>
      </c>
      <c r="BW227" s="152" t="n">
        <v>-15.9226957</v>
      </c>
      <c r="BX227" s="152" t="n">
        <v>-47.7779017</v>
      </c>
      <c r="BY227" s="152" t="s">
        <v>2393</v>
      </c>
    </row>
    <row r="228" customFormat="false" ht="13.8" hidden="false" customHeight="false" outlineLevel="0" collapsed="false">
      <c r="A228" s="149" t="n">
        <f aca="false">IF(C228&lt;&gt;"",ROW(A223),"")</f>
        <v>223</v>
      </c>
      <c r="B228" s="150" t="str">
        <f aca="false">HYPERLINK("https://www.google.com/maps/dir/-15.917302,-47.760003/-15.9228897,-47.7750939/data=!4m3!4m2!3e0!5i1")</f>
        <v>https://www.google.com/maps/dir/-15.917302,-47.760003/-15.9228897,-47.7750939/data=!4m3!4m2!3e0!5i1</v>
      </c>
      <c r="C228" s="151" t="s">
        <v>117</v>
      </c>
      <c r="D228" s="152" t="s">
        <v>112</v>
      </c>
      <c r="E228" s="152" t="s">
        <v>113</v>
      </c>
      <c r="F228" s="152" t="s">
        <v>117</v>
      </c>
      <c r="G228" s="152" t="s">
        <v>114</v>
      </c>
      <c r="H228" s="152" t="n">
        <v>160</v>
      </c>
      <c r="I228" s="152" t="s">
        <v>115</v>
      </c>
      <c r="J228" s="152" t="s">
        <v>6</v>
      </c>
      <c r="K228" s="152" t="s">
        <v>2033</v>
      </c>
      <c r="L228" s="152" t="s">
        <v>120</v>
      </c>
      <c r="M228" s="153" t="n">
        <f aca="false">38.4+0.05</f>
        <v>38.45</v>
      </c>
      <c r="N228" s="152" t="s">
        <v>1548</v>
      </c>
      <c r="O228" s="152" t="s">
        <v>1549</v>
      </c>
      <c r="P228" s="152" t="s">
        <v>1550</v>
      </c>
      <c r="Q228" s="152" t="s">
        <v>1551</v>
      </c>
      <c r="R228" s="154" t="s">
        <v>2396</v>
      </c>
      <c r="S228" s="154" t="s">
        <v>1593</v>
      </c>
      <c r="T228" s="155" t="s">
        <v>2227</v>
      </c>
      <c r="U228" s="152" t="str">
        <f aca="false">RIGHT(T228,7)</f>
        <v>008/037</v>
      </c>
      <c r="V228" s="152" t="s">
        <v>1555</v>
      </c>
      <c r="W228" s="156" t="n">
        <v>45882</v>
      </c>
      <c r="X228" s="152" t="s">
        <v>1594</v>
      </c>
      <c r="Y228" s="152" t="s">
        <v>2237</v>
      </c>
      <c r="Z228" s="152" t="s">
        <v>1557</v>
      </c>
      <c r="AA228" s="153" t="n">
        <v>3.8</v>
      </c>
      <c r="AB228" s="151" t="s">
        <v>2397</v>
      </c>
      <c r="AC228" s="151" t="s">
        <v>505</v>
      </c>
      <c r="AD228" s="151" t="str">
        <f aca="false">CONCATENATE($C228,$I228,$H228,$N228,$J228,$K228)</f>
        <v>TUBO PEADPEAD160VCAREDESZona02</v>
      </c>
      <c r="AE228" s="153" t="n">
        <f aca="false">IFERROR(INDEX(APOIO_REDES!$A:$W,MATCH($C228&amp;$I228&amp;$H228&amp;$N228&amp;$O228,APOIO_REDES!$W:$W,0),MATCH(AE$5,APOIO_REDES!$5:$5,0)),0)</f>
        <v>1.2</v>
      </c>
      <c r="AF228" s="153" t="n">
        <f aca="false">IFERROR(INDEX(APOIO_REDES!$A:$W,MATCH($C228&amp;$I228&amp;$H228&amp;$N228&amp;$O228,APOIO_REDES!$W:$W,0),MATCH(AF$5,APOIO_REDES!$5:$5,0)),0)</f>
        <v>1.46</v>
      </c>
      <c r="AG228" s="153" t="n">
        <f aca="false">IFERROR(INDEX(APOIO_REDES!$A:$W,MATCH($C228&amp;$I228&amp;$H228&amp;$N228&amp;$O228,APOIO_REDES!$W:$W,0),MATCH(AG$5,APOIO_REDES!$5:$5,0)),0)</f>
        <v>0.75</v>
      </c>
      <c r="AH228" s="153" t="n">
        <f aca="false">IFERROR(INDEX(APOIO_REDES!$A:$W,MATCH($C228&amp;$I228&amp;$H228&amp;$N228&amp;$O228,APOIO_REDES!$W:$W,0),MATCH(AH$5,APOIO_REDES!$5:$5,0)),0)</f>
        <v>0.1</v>
      </c>
      <c r="AI228" s="153" t="n">
        <f aca="false">IFERROR(IF($H228&lt;&gt;"",(((($H228/1000)/2)^2)*PI()*$M228),0),0)</f>
        <v>0.773083120195376</v>
      </c>
      <c r="AJ228" s="153" t="n">
        <f aca="false">IFERROR(IF(AND($H228&lt;&gt;"",$I228="FoFo",OR($N228="MND",$N228="VCA"),$Q228="LINEAR"),0,IF(AND($H228&lt;&gt;"",$I228="PEAD",$N228="VCA",$Q228="LINEAR"),($H228/1000)+0.3,IF(AND($H228&lt;&gt;"",$I228="PEAD",$N228="MND",$Q228="EMBOQUE"),0,IF(AND($H228&lt;&gt;"",$I228="PVC",$N228="VCA",$Q228="LINEAR"),($H228/1000)+0.2,IF(AND($H228&lt;&gt;"",$I228="PVC",$N228="MND",$Q228="EMBOQUE"),0,IF(AND($H228&lt;&gt;"",$I228="PEAD",$N228="VCA",$Q228="PREDIAL"),0,0)))))),0)</f>
        <v>0.46</v>
      </c>
      <c r="AK228" s="153" t="n">
        <f aca="false">IF(AA228&lt;&gt;"",AA228,0)</f>
        <v>3.8</v>
      </c>
      <c r="AL228" s="153" t="n">
        <f aca="false">IF(AND($N228="MND",$Q228="EMBOQUE"),$M228,IF(AND($N228="VCA",$Q228="LINEAR"),$M228,IF(AND($N228="VCA",$Q228="PREDIAL"),0,0)))</f>
        <v>38.45</v>
      </c>
      <c r="AM228" s="153" t="n">
        <f aca="false">IF(AND($N228="MND",$Q228="EMBOQUE"),$M228,IF(AND($N228="VCA",$Q228="LINEAR"),$M228,IF(AND($N228="VCA",$Q228="PREDIAL"),0,0)))</f>
        <v>38.45</v>
      </c>
      <c r="AN228" s="153" t="n">
        <f aca="false">ROUND(IF(AND($N228="VCA",$M228&lt;&gt;"",$Q228="LINEAR"),$M228/100,IF(AND($N228="MND",$M228&gt;100,$Q228="EMBOQUE"),$M228/100,0)),0)</f>
        <v>0</v>
      </c>
      <c r="AO228" s="153" t="n">
        <f aca="false">IF(AND($N228="MND",$Q228="EMBOQUE"),$AN228*2*2,IF(AND($N228="VCA",$Q228="LINEAR"),$M228*2,IF(AND($N228="VCA",$Q228="PREDIAL"),0,0)))</f>
        <v>76.9</v>
      </c>
      <c r="AP228" s="153" t="n">
        <f aca="false">IFERROR($M228*$AF228*$AG228,0)</f>
        <v>42.10275</v>
      </c>
      <c r="AQ228" s="153" t="n">
        <f aca="false">IFERROR(IF(AND($N228="VCA",$AH228&gt;0),$M228*$AG228*$AH228,0),0)</f>
        <v>2.88375</v>
      </c>
      <c r="AR228" s="153" t="n">
        <f aca="false">IFERROR(IF(AND($N228="VCA",$AJ228&gt;0),($M228*$AG228*$AJ228)-$AI228,0),0)</f>
        <v>12.4921668798046</v>
      </c>
      <c r="AS228" s="153" t="n">
        <f aca="false">IFERROR(IF(AND($N228="VCA",$AP228&gt;0),$AP228-$AI228-$AQ228-$AR228,0),0)</f>
        <v>25.95375</v>
      </c>
      <c r="AT228" s="153" t="n">
        <f aca="false">IFERROR(IF($N228="VCA",INDEX(APOIO_REDES!$A:$W,MATCH($C228&amp;$I228&amp;$H228&amp;$N228&amp;$O228,APOIO_REDES!$W:$W,0),MATCH(AT$5,APOIO_REDES!$5:$5,0)),0)*$AP228,0)</f>
        <v>0.45809038177789</v>
      </c>
      <c r="AU228" s="153" t="n">
        <f aca="false">IFERROR(IF($N228="VCA",INDEX(APOIO_REDES!$A:$W,MATCH($C228&amp;$I228&amp;$H228&amp;$N228&amp;$O228,APOIO_REDES!$W:$W,0),MATCH(AU$5,APOIO_REDES!$5:$5,0)),0)*$AP228,0)</f>
        <v>0.365818572226865</v>
      </c>
      <c r="AV228" s="153" t="n">
        <f aca="false">IFERROR(IF($N228="VCA",INDEX(APOIO_REDES!$A:$W,MATCH($C228&amp;$I228&amp;$H228&amp;$N228&amp;$O228,APOIO_REDES!$W:$W,0),MATCH(AV$5,APOIO_REDES!$5:$5,0)),0)*$AP228,0)</f>
        <v>0.0506264186078089</v>
      </c>
      <c r="AW228" s="153" t="n">
        <f aca="false">IFERROR(IF($N228="VCA",INDEX(APOIO_REDES!$A:$W,MATCH($C228&amp;$I228&amp;$H228&amp;$N228&amp;$O228,APOIO_REDES!$W:$W,0),MATCH(AW$5,APOIO_REDES!$5:$5,0)),0)*$AP228,0)</f>
        <v>28.8996538280261</v>
      </c>
      <c r="AX228" s="153" t="n">
        <f aca="false">IFERROR(IF($N228="VCA",INDEX(APOIO_REDES!$A:$W,MATCH($C228&amp;$I228&amp;$H228&amp;$N228&amp;$O228,APOIO_REDES!$W:$W,0),MATCH(AX$5,APOIO_REDES!$5:$5,0)),0)*$AP228,0)</f>
        <v>3.99962976757662</v>
      </c>
      <c r="AY228" s="153" t="n">
        <f aca="false">IFERROR(IF($N228="VCA",INDEX(APOIO_REDES!$A:$W,MATCH($C228&amp;$I228&amp;$H228&amp;$N228&amp;$O228,APOIO_REDES!$W:$W,0),MATCH(AY$5,APOIO_REDES!$5:$5,0)),0)*$AP228,0)</f>
        <v>7.31636698523857</v>
      </c>
      <c r="AZ228" s="153" t="n">
        <f aca="false">IFERROR(IF($N228="VCA",INDEX(APOIO_REDES!$A:$W,MATCH($C228&amp;$I228&amp;$H228&amp;$N228&amp;$O228,APOIO_REDES!$W:$W,0),MATCH(AZ$5,APOIO_REDES!$5:$5,0)),0)*$AP228,0)</f>
        <v>1.01256404654611</v>
      </c>
      <c r="BA228" s="153" t="n">
        <f aca="false">IFERROR(IF(AND($N228="VCA",$Q228="LINEAR"),INDEX(APOIO_REDES!$A:$W,MATCH($C228&amp;$I228&amp;$H228&amp;$N228&amp;$O228,APOIO_REDES!$W:$W,0),MATCH(BA$5,APOIO_REDES!$5:$5,0)),IF(AND($N228="MND",$Q228="EMBOQUE"),INDEX(APOIO_REDES!$A:$W,MATCH($C228&amp;$I228&amp;$H228&amp;$N228&amp;$O228,APOIO_REDES!$W:$W,0),MATCH(BA$5,APOIO_REDES!$5:$5,0)),0))*$M228/10,0)</f>
        <v>3.09897301294255</v>
      </c>
      <c r="BB228" s="153" t="n">
        <f aca="false">IFERROR(IF($N228="VCA",INDEX(APOIO_REDES!$A:$W,MATCH($C228&amp;$I228&amp;$H228&amp;$N228&amp;$O228,APOIO_REDES!$W:$W,0),MATCH(BB$5,APOIO_REDES!$5:$5,0)),0)*($AI228+$AQ228+$AR228),0)</f>
        <v>15.97329410014</v>
      </c>
      <c r="BC228" s="153" t="n">
        <f aca="false">IFERROR(IF($N228="VCA",INDEX(APOIO_REDES!$A:$W,MATCH($C228&amp;$I228&amp;$H228&amp;$N228&amp;$O228,APOIO_REDES!$W:$W,0),MATCH(BC$5,APOIO_REDES!$5:$5,0)),0)*($AI228+$AQ228+$AR228),0)</f>
        <v>0.175705899860013</v>
      </c>
      <c r="BD228" s="153" t="n">
        <f aca="false">IF(AND($N228="VCA",$AF228&gt;=1.25,$AF228&lt;1.5),$M228*$AF228*2,0)</f>
        <v>112.274</v>
      </c>
      <c r="BE228" s="153" t="n">
        <f aca="false">IF(AND($N228="VCA",$AF228&gt;=1.5,$AF228&lt;3),$M228*$AF228*2,0)</f>
        <v>0</v>
      </c>
      <c r="BF228" s="153" t="n">
        <f aca="false">IF(AND($N228="VCA",$AF228&gt;=3),$M228*$AF228*2,0)</f>
        <v>0</v>
      </c>
      <c r="BG228" s="153" t="n">
        <f aca="false">($BB228+$BC228)*$AK228</f>
        <v>61.3662</v>
      </c>
      <c r="BH228" s="153" t="n">
        <f aca="false">IF(AND($M228&lt;&gt;"",$N228="VCA",$Q228="LINEAR"),($M228*2)/100,IF(AND($M228&lt;&gt;"",$N228="MND",$Q228="EMBOQUE"),($AN228*2)/100,0))</f>
        <v>0.769</v>
      </c>
      <c r="BI228" s="153" t="n">
        <f aca="false">IF(AND($M228&lt;&gt;"",$N228="VCA",$Q228="LINEAR"),$M228,IF(AND($M228&lt;&gt;"",$N228="MND",$Q228="EMBOQUE"),$AN228*2,0))</f>
        <v>38.45</v>
      </c>
      <c r="BJ228" s="153" t="n">
        <f aca="false">IF(AND($M228&lt;&gt;"",$N228="VCA",$Q228="LINEAR"),($M228*6.8)/100,IF(AND($M228&lt;&gt;"",$N228="MND",$Q228="EMBOQUE"),($AN228*2*6.8)/100,0))</f>
        <v>2.6146</v>
      </c>
      <c r="BK228" s="153" t="n">
        <f aca="false">IF(AND($M228&lt;&gt;"",$N228="VCA",$Q228="LINEAR"),($M228*2.5)/50,IF(AND($M228&lt;&gt;"",$N228="MND",$Q228="EMBOQUE"),($AN228*2*2.5)/50,0))</f>
        <v>1.9225</v>
      </c>
      <c r="BL228" s="157" t="str">
        <f aca="false">K228&amp;J228</f>
        <v>Zona02REDES</v>
      </c>
      <c r="BM228" s="152" t="s">
        <v>2037</v>
      </c>
      <c r="BN228" s="152" t="s">
        <v>1560</v>
      </c>
      <c r="BO228" s="152" t="s">
        <v>2231</v>
      </c>
      <c r="BP228" s="152" t="s">
        <v>2384</v>
      </c>
      <c r="BQ228" s="152" t="s">
        <v>2240</v>
      </c>
      <c r="BR228" s="152" t="s">
        <v>2398</v>
      </c>
      <c r="BS228" s="152" t="n">
        <v>202875.848</v>
      </c>
      <c r="BT228" s="152" t="n">
        <v>8237618.658</v>
      </c>
      <c r="BU228" s="152" t="n">
        <v>202897.399</v>
      </c>
      <c r="BV228" s="152" t="n">
        <v>8237650.431</v>
      </c>
      <c r="BW228" s="152" t="n">
        <v>-15.9227512</v>
      </c>
      <c r="BX228" s="152" t="n">
        <v>-47.7749855</v>
      </c>
      <c r="BY228" s="152" t="s">
        <v>2384</v>
      </c>
    </row>
    <row r="229" customFormat="false" ht="13.8" hidden="false" customHeight="false" outlineLevel="0" collapsed="false">
      <c r="A229" s="149" t="n">
        <f aca="false">IF(C229&lt;&gt;"",ROW(A224),"")</f>
        <v>224</v>
      </c>
      <c r="B229" s="150" t="str">
        <f aca="false">HYPERLINK("https://www.google.com/maps/dir/-15.917302,-47.760003/-15.9229481,-47.7771657/data=!4m3!4m2!3e0!5i2")</f>
        <v>https://www.google.com/maps/dir/-15.917302,-47.760003/-15.9229481,-47.7771657/data=!4m3!4m2!3e0!5i2</v>
      </c>
      <c r="C229" s="151" t="s">
        <v>117</v>
      </c>
      <c r="D229" s="152" t="s">
        <v>112</v>
      </c>
      <c r="E229" s="152" t="s">
        <v>113</v>
      </c>
      <c r="F229" s="152" t="s">
        <v>117</v>
      </c>
      <c r="G229" s="152" t="s">
        <v>782</v>
      </c>
      <c r="H229" s="152" t="n">
        <v>63</v>
      </c>
      <c r="I229" s="152" t="s">
        <v>115</v>
      </c>
      <c r="J229" s="152" t="s">
        <v>6</v>
      </c>
      <c r="K229" s="152" t="s">
        <v>2033</v>
      </c>
      <c r="L229" s="152" t="s">
        <v>120</v>
      </c>
      <c r="M229" s="153" t="n">
        <f aca="false">80.47+0.49</f>
        <v>80.96</v>
      </c>
      <c r="N229" s="152" t="s">
        <v>1548</v>
      </c>
      <c r="O229" s="152" t="s">
        <v>1549</v>
      </c>
      <c r="P229" s="152" t="s">
        <v>1550</v>
      </c>
      <c r="Q229" s="152" t="s">
        <v>1551</v>
      </c>
      <c r="R229" s="154" t="s">
        <v>2399</v>
      </c>
      <c r="S229" s="154" t="s">
        <v>1553</v>
      </c>
      <c r="T229" s="155" t="s">
        <v>2227</v>
      </c>
      <c r="U229" s="152" t="str">
        <f aca="false">RIGHT(T229,7)</f>
        <v>008/037</v>
      </c>
      <c r="V229" s="152" t="s">
        <v>1555</v>
      </c>
      <c r="W229" s="156" t="n">
        <v>45882</v>
      </c>
      <c r="X229" s="152" t="s">
        <v>1594</v>
      </c>
      <c r="Y229" s="152" t="s">
        <v>2400</v>
      </c>
      <c r="Z229" s="152" t="s">
        <v>1557</v>
      </c>
      <c r="AA229" s="153" t="n">
        <v>4</v>
      </c>
      <c r="AB229" s="151" t="s">
        <v>2401</v>
      </c>
      <c r="AC229" s="151" t="s">
        <v>186</v>
      </c>
      <c r="AD229" s="151" t="str">
        <f aca="false">CONCATENATE($C229,$I229,$H229,$N229,$J229,$K229)</f>
        <v>TUBO PEADPEAD63VCAREDESZona02</v>
      </c>
      <c r="AE229" s="153" t="n">
        <f aca="false">IFERROR(INDEX(APOIO_REDES!$A:$W,MATCH($C229&amp;$I229&amp;$H229&amp;$N229&amp;$O229,APOIO_REDES!$W:$W,0),MATCH(AE$5,APOIO_REDES!$5:$5,0)),0)</f>
        <v>1.2</v>
      </c>
      <c r="AF229" s="153" t="n">
        <f aca="false">IFERROR(INDEX(APOIO_REDES!$A:$W,MATCH($C229&amp;$I229&amp;$H229&amp;$N229&amp;$O229,APOIO_REDES!$W:$W,0),MATCH(AF$5,APOIO_REDES!$5:$5,0)),0)</f>
        <v>1.363</v>
      </c>
      <c r="AG229" s="153" t="n">
        <f aca="false">IFERROR(INDEX(APOIO_REDES!$A:$W,MATCH($C229&amp;$I229&amp;$H229&amp;$N229&amp;$O229,APOIO_REDES!$W:$W,0),MATCH(AG$5,APOIO_REDES!$5:$5,0)),0)</f>
        <v>0.65</v>
      </c>
      <c r="AH229" s="153" t="n">
        <f aca="false">IFERROR(INDEX(APOIO_REDES!$A:$W,MATCH($C229&amp;$I229&amp;$H229&amp;$N229&amp;$O229,APOIO_REDES!$W:$W,0),MATCH(AH$5,APOIO_REDES!$5:$5,0)),0)</f>
        <v>0.1</v>
      </c>
      <c r="AI229" s="153" t="n">
        <f aca="false">IFERROR(IF($H229&lt;&gt;"",(((($H229/1000)/2)^2)*PI()*$M229),0),0)</f>
        <v>0.252372180340061</v>
      </c>
      <c r="AJ229" s="153" t="n">
        <f aca="false">IFERROR(IF(AND($H229&lt;&gt;"",$I229="FoFo",OR($N229="MND",$N229="VCA"),$Q229="LINEAR"),0,IF(AND($H229&lt;&gt;"",$I229="PEAD",$N229="VCA",$Q229="LINEAR"),($H229/1000)+0.3,IF(AND($H229&lt;&gt;"",$I229="PEAD",$N229="MND",$Q229="EMBOQUE"),0,IF(AND($H229&lt;&gt;"",$I229="PVC",$N229="VCA",$Q229="LINEAR"),($H229/1000)+0.2,IF(AND($H229&lt;&gt;"",$I229="PVC",$N229="MND",$Q229="EMBOQUE"),0,IF(AND($H229&lt;&gt;"",$I229="PEAD",$N229="VCA",$Q229="PREDIAL"),0,0)))))),0)</f>
        <v>0.363</v>
      </c>
      <c r="AK229" s="153" t="n">
        <f aca="false">IF(AA229&lt;&gt;"",AA229,0)</f>
        <v>4</v>
      </c>
      <c r="AL229" s="153" t="n">
        <f aca="false">IF(AND($N229="MND",$Q229="EMBOQUE"),$M229,IF(AND($N229="VCA",$Q229="LINEAR"),$M229,IF(AND($N229="VCA",$Q229="PREDIAL"),0,0)))</f>
        <v>80.96</v>
      </c>
      <c r="AM229" s="153" t="n">
        <f aca="false">IF(AND($N229="MND",$Q229="EMBOQUE"),$M229,IF(AND($N229="VCA",$Q229="LINEAR"),$M229,IF(AND($N229="VCA",$Q229="PREDIAL"),0,0)))</f>
        <v>80.96</v>
      </c>
      <c r="AN229" s="153" t="n">
        <f aca="false">ROUND(IF(AND($N229="VCA",$M229&lt;&gt;"",$Q229="LINEAR"),$M229/100,IF(AND($N229="MND",$M229&gt;100,$Q229="EMBOQUE"),$M229/100,0)),0)</f>
        <v>1</v>
      </c>
      <c r="AO229" s="153" t="n">
        <f aca="false">IF(AND($N229="MND",$Q229="EMBOQUE"),$AN229*2*2,IF(AND($N229="VCA",$Q229="LINEAR"),$M229*2,IF(AND($N229="VCA",$Q229="PREDIAL"),0,0)))</f>
        <v>161.92</v>
      </c>
      <c r="AP229" s="153" t="n">
        <f aca="false">IFERROR($M229*$AF229*$AG229,0)</f>
        <v>71.726512</v>
      </c>
      <c r="AQ229" s="153" t="n">
        <f aca="false">IFERROR(IF(AND($N229="VCA",$AH229&gt;0),$M229*$AG229*$AH229,0),0)</f>
        <v>5.2624</v>
      </c>
      <c r="AR229" s="153" t="n">
        <f aca="false">IFERROR(IF(AND($N229="VCA",$AJ229&gt;0),($M229*$AG229*$AJ229)-$AI229,0),0)</f>
        <v>18.8501398196599</v>
      </c>
      <c r="AS229" s="153" t="n">
        <f aca="false">IFERROR(IF(AND($N229="VCA",$AP229&gt;0),$AP229-$AI229-$AQ229-$AR229,0),0)</f>
        <v>47.3616</v>
      </c>
      <c r="AT229" s="153" t="n">
        <f aca="false">IFERROR(IF($N229="VCA",INDEX(APOIO_REDES!$A:$W,MATCH($C229&amp;$I229&amp;$H229&amp;$N229&amp;$O229,APOIO_REDES!$W:$W,0),MATCH(AT$5,APOIO_REDES!$5:$5,0)),0)*$AP229,0)</f>
        <v>0.780405680523871</v>
      </c>
      <c r="AU229" s="153" t="n">
        <f aca="false">IFERROR(IF($N229="VCA",INDEX(APOIO_REDES!$A:$W,MATCH($C229&amp;$I229&amp;$H229&amp;$N229&amp;$O229,APOIO_REDES!$W:$W,0),MATCH(AU$5,APOIO_REDES!$5:$5,0)),0)*$AP229,0)</f>
        <v>0.623210840400048</v>
      </c>
      <c r="AV229" s="153" t="n">
        <f aca="false">IFERROR(IF($N229="VCA",INDEX(APOIO_REDES!$A:$W,MATCH($C229&amp;$I229&amp;$H229&amp;$N229&amp;$O229,APOIO_REDES!$W:$W,0),MATCH(AV$5,APOIO_REDES!$5:$5,0)),0)*$AP229,0)</f>
        <v>0.0862474879144481</v>
      </c>
      <c r="AW229" s="153" t="n">
        <f aca="false">IFERROR(IF($N229="VCA",INDEX(APOIO_REDES!$A:$W,MATCH($C229&amp;$I229&amp;$H229&amp;$N229&amp;$O229,APOIO_REDES!$W:$W,0),MATCH(AW$5,APOIO_REDES!$5:$5,0)),0)*$AP229,0)</f>
        <v>49.2336336009349</v>
      </c>
      <c r="AX229" s="153" t="n">
        <f aca="false">IFERROR(IF($N229="VCA",INDEX(APOIO_REDES!$A:$W,MATCH($C229&amp;$I229&amp;$H229&amp;$N229&amp;$O229,APOIO_REDES!$W:$W,0),MATCH(AX$5,APOIO_REDES!$5:$5,0)),0)*$AP229,0)</f>
        <v>6.8137946457094</v>
      </c>
      <c r="AY229" s="153" t="n">
        <f aca="false">IFERROR(IF($N229="VCA",INDEX(APOIO_REDES!$A:$W,MATCH($C229&amp;$I229&amp;$H229&amp;$N229&amp;$O229,APOIO_REDES!$W:$W,0),MATCH(AY$5,APOIO_REDES!$5:$5,0)),0)*$AP229,0)</f>
        <v>12.4642092111113</v>
      </c>
      <c r="AZ229" s="153" t="n">
        <f aca="false">IFERROR(IF($N229="VCA",INDEX(APOIO_REDES!$A:$W,MATCH($C229&amp;$I229&amp;$H229&amp;$N229&amp;$O229,APOIO_REDES!$W:$W,0),MATCH(AZ$5,APOIO_REDES!$5:$5,0)),0)*$AP229,0)</f>
        <v>1.72501053340596</v>
      </c>
      <c r="BA229" s="153" t="n">
        <f aca="false">IFERROR(IF(AND($N229="VCA",$Q229="LINEAR"),INDEX(APOIO_REDES!$A:$W,MATCH($C229&amp;$I229&amp;$H229&amp;$N229&amp;$O229,APOIO_REDES!$W:$W,0),MATCH(BA$5,APOIO_REDES!$5:$5,0)),IF(AND($N229="MND",$Q229="EMBOQUE"),INDEX(APOIO_REDES!$A:$W,MATCH($C229&amp;$I229&amp;$H229&amp;$N229&amp;$O229,APOIO_REDES!$W:$W,0),MATCH(BA$5,APOIO_REDES!$5:$5,0)),0))*$M229/10,0)</f>
        <v>6.52517178485901</v>
      </c>
      <c r="BB229" s="153" t="n">
        <f aca="false">IFERROR(IF($N229="VCA",INDEX(APOIO_REDES!$A:$W,MATCH($C229&amp;$I229&amp;$H229&amp;$N229&amp;$O229,APOIO_REDES!$W:$W,0),MATCH(BB$5,APOIO_REDES!$5:$5,0)),0)*($AI229+$AQ229+$AR229),0)</f>
        <v>24.0998145457942</v>
      </c>
      <c r="BC229" s="153" t="n">
        <f aca="false">IFERROR(IF($N229="VCA",INDEX(APOIO_REDES!$A:$W,MATCH($C229&amp;$I229&amp;$H229&amp;$N229&amp;$O229,APOIO_REDES!$W:$W,0),MATCH(BC$5,APOIO_REDES!$5:$5,0)),0)*($AI229+$AQ229+$AR229),0)</f>
        <v>0.265097454205834</v>
      </c>
      <c r="BD229" s="153" t="n">
        <f aca="false">IF(AND($N229="VCA",$AF229&gt;=1.25,$AF229&lt;1.5),$M229*$AF229*2,0)</f>
        <v>220.69696</v>
      </c>
      <c r="BE229" s="153" t="n">
        <f aca="false">IF(AND($N229="VCA",$AF229&gt;=1.5,$AF229&lt;3),$M229*$AF229*2,0)</f>
        <v>0</v>
      </c>
      <c r="BF229" s="153" t="n">
        <f aca="false">IF(AND($N229="VCA",$AF229&gt;=3),$M229*$AF229*2,0)</f>
        <v>0</v>
      </c>
      <c r="BG229" s="153" t="n">
        <f aca="false">($BB229+$BC229)*$AK229</f>
        <v>97.459648</v>
      </c>
      <c r="BH229" s="153" t="n">
        <f aca="false">IF(AND($M229&lt;&gt;"",$N229="VCA",$Q229="LINEAR"),($M229*2)/100,IF(AND($M229&lt;&gt;"",$N229="MND",$Q229="EMBOQUE"),($AN229*2)/100,0))</f>
        <v>1.6192</v>
      </c>
      <c r="BI229" s="153" t="n">
        <f aca="false">IF(AND($M229&lt;&gt;"",$N229="VCA",$Q229="LINEAR"),$M229,IF(AND($M229&lt;&gt;"",$N229="MND",$Q229="EMBOQUE"),$AN229*2,0))</f>
        <v>80.96</v>
      </c>
      <c r="BJ229" s="153" t="n">
        <f aca="false">IF(AND($M229&lt;&gt;"",$N229="VCA",$Q229="LINEAR"),($M229*6.8)/100,IF(AND($M229&lt;&gt;"",$N229="MND",$Q229="EMBOQUE"),($AN229*2*6.8)/100,0))</f>
        <v>5.50528</v>
      </c>
      <c r="BK229" s="153" t="n">
        <f aca="false">IF(AND($M229&lt;&gt;"",$N229="VCA",$Q229="LINEAR"),($M229*2.5)/50,IF(AND($M229&lt;&gt;"",$N229="MND",$Q229="EMBOQUE"),($AN229*2*2.5)/50,0))</f>
        <v>4.048</v>
      </c>
      <c r="BL229" s="157" t="str">
        <f aca="false">K229&amp;J229</f>
        <v>Zona02REDES</v>
      </c>
      <c r="BM229" s="152" t="s">
        <v>2037</v>
      </c>
      <c r="BN229" s="152" t="s">
        <v>1560</v>
      </c>
      <c r="BO229" s="152" t="s">
        <v>2231</v>
      </c>
      <c r="BP229" s="152" t="s">
        <v>2402</v>
      </c>
      <c r="BQ229" s="152" t="s">
        <v>2393</v>
      </c>
      <c r="BR229" s="152" t="s">
        <v>2403</v>
      </c>
      <c r="BS229" s="152" t="n">
        <v>202653.487</v>
      </c>
      <c r="BT229" s="152" t="n">
        <v>8237609.515</v>
      </c>
      <c r="BU229" s="152" t="n">
        <v>202587.176</v>
      </c>
      <c r="BV229" s="152" t="n">
        <v>8237654.751</v>
      </c>
      <c r="BW229" s="152" t="n">
        <v>-15.922732</v>
      </c>
      <c r="BX229" s="152" t="n">
        <v>-47.7774674</v>
      </c>
      <c r="BY229" s="152" t="s">
        <v>2402</v>
      </c>
    </row>
    <row r="230" customFormat="false" ht="13.8" hidden="false" customHeight="false" outlineLevel="0" collapsed="false">
      <c r="A230" s="149" t="n">
        <f aca="false">IF(C230&lt;&gt;"",ROW(A225),"")</f>
        <v>225</v>
      </c>
      <c r="B230" s="150" t="str">
        <f aca="false">HYPERLINK("https://www.google.com/maps/dir/-15.917302,-47.760003/-15.9230851,-47.7752330/data=!4m3!4m2!3e0!5i1")</f>
        <v>https://www.google.com/maps/dir/-15.917302,-47.760003/-15.9230851,-47.7752330/data=!4m3!4m2!3e0!5i1</v>
      </c>
      <c r="C230" s="151" t="s">
        <v>117</v>
      </c>
      <c r="D230" s="152" t="s">
        <v>112</v>
      </c>
      <c r="E230" s="152" t="s">
        <v>113</v>
      </c>
      <c r="F230" s="152" t="s">
        <v>117</v>
      </c>
      <c r="G230" s="152" t="s">
        <v>782</v>
      </c>
      <c r="H230" s="152" t="n">
        <v>63</v>
      </c>
      <c r="I230" s="152" t="s">
        <v>115</v>
      </c>
      <c r="J230" s="152" t="s">
        <v>6</v>
      </c>
      <c r="K230" s="152" t="s">
        <v>2033</v>
      </c>
      <c r="L230" s="152" t="s">
        <v>120</v>
      </c>
      <c r="M230" s="153" t="n">
        <f aca="false">117.94</f>
        <v>117.94</v>
      </c>
      <c r="N230" s="152" t="s">
        <v>1548</v>
      </c>
      <c r="O230" s="152" t="s">
        <v>1549</v>
      </c>
      <c r="P230" s="152" t="s">
        <v>1550</v>
      </c>
      <c r="Q230" s="152" t="s">
        <v>1551</v>
      </c>
      <c r="R230" s="154" t="s">
        <v>2404</v>
      </c>
      <c r="S230" s="154" t="s">
        <v>1553</v>
      </c>
      <c r="T230" s="155" t="s">
        <v>2227</v>
      </c>
      <c r="U230" s="152" t="str">
        <f aca="false">RIGHT(T230,7)</f>
        <v>008/037</v>
      </c>
      <c r="V230" s="152" t="s">
        <v>1555</v>
      </c>
      <c r="W230" s="156" t="n">
        <v>45882</v>
      </c>
      <c r="X230" s="152" t="s">
        <v>1594</v>
      </c>
      <c r="Y230" s="152" t="s">
        <v>2237</v>
      </c>
      <c r="Z230" s="152" t="s">
        <v>1557</v>
      </c>
      <c r="AA230" s="153" t="n">
        <v>3.8</v>
      </c>
      <c r="AB230" s="151" t="s">
        <v>2405</v>
      </c>
      <c r="AC230" s="151" t="s">
        <v>186</v>
      </c>
      <c r="AD230" s="151" t="str">
        <f aca="false">CONCATENATE($C230,$I230,$H230,$N230,$J230,$K230)</f>
        <v>TUBO PEADPEAD63VCAREDESZona02</v>
      </c>
      <c r="AE230" s="153" t="n">
        <f aca="false">IFERROR(INDEX(APOIO_REDES!$A:$W,MATCH($C230&amp;$I230&amp;$H230&amp;$N230&amp;$O230,APOIO_REDES!$W:$W,0),MATCH(AE$5,APOIO_REDES!$5:$5,0)),0)</f>
        <v>1.2</v>
      </c>
      <c r="AF230" s="153" t="n">
        <f aca="false">IFERROR(INDEX(APOIO_REDES!$A:$W,MATCH($C230&amp;$I230&amp;$H230&amp;$N230&amp;$O230,APOIO_REDES!$W:$W,0),MATCH(AF$5,APOIO_REDES!$5:$5,0)),0)</f>
        <v>1.363</v>
      </c>
      <c r="AG230" s="153" t="n">
        <f aca="false">IFERROR(INDEX(APOIO_REDES!$A:$W,MATCH($C230&amp;$I230&amp;$H230&amp;$N230&amp;$O230,APOIO_REDES!$W:$W,0),MATCH(AG$5,APOIO_REDES!$5:$5,0)),0)</f>
        <v>0.65</v>
      </c>
      <c r="AH230" s="153" t="n">
        <f aca="false">IFERROR(INDEX(APOIO_REDES!$A:$W,MATCH($C230&amp;$I230&amp;$H230&amp;$N230&amp;$O230,APOIO_REDES!$W:$W,0),MATCH(AH$5,APOIO_REDES!$5:$5,0)),0)</f>
        <v>0.1</v>
      </c>
      <c r="AI230" s="153" t="n">
        <f aca="false">IFERROR(IF($H230&lt;&gt;"",(((($H230/1000)/2)^2)*PI()*$M230),0),0)</f>
        <v>0.367647911923256</v>
      </c>
      <c r="AJ230" s="153" t="n">
        <f aca="false">IFERROR(IF(AND($H230&lt;&gt;"",$I230="FoFo",OR($N230="MND",$N230="VCA"),$Q230="LINEAR"),0,IF(AND($H230&lt;&gt;"",$I230="PEAD",$N230="VCA",$Q230="LINEAR"),($H230/1000)+0.3,IF(AND($H230&lt;&gt;"",$I230="PEAD",$N230="MND",$Q230="EMBOQUE"),0,IF(AND($H230&lt;&gt;"",$I230="PVC",$N230="VCA",$Q230="LINEAR"),($H230/1000)+0.2,IF(AND($H230&lt;&gt;"",$I230="PVC",$N230="MND",$Q230="EMBOQUE"),0,IF(AND($H230&lt;&gt;"",$I230="PEAD",$N230="VCA",$Q230="PREDIAL"),0,0)))))),0)</f>
        <v>0.363</v>
      </c>
      <c r="AK230" s="153" t="n">
        <f aca="false">IF(AA230&lt;&gt;"",AA230,0)</f>
        <v>3.8</v>
      </c>
      <c r="AL230" s="153" t="n">
        <f aca="false">IF(AND($N230="MND",$Q230="EMBOQUE"),$M230,IF(AND($N230="VCA",$Q230="LINEAR"),$M230,IF(AND($N230="VCA",$Q230="PREDIAL"),0,0)))</f>
        <v>117.94</v>
      </c>
      <c r="AM230" s="153" t="n">
        <f aca="false">IF(AND($N230="MND",$Q230="EMBOQUE"),$M230,IF(AND($N230="VCA",$Q230="LINEAR"),$M230,IF(AND($N230="VCA",$Q230="PREDIAL"),0,0)))</f>
        <v>117.94</v>
      </c>
      <c r="AN230" s="153" t="n">
        <f aca="false">ROUND(IF(AND($N230="VCA",$M230&lt;&gt;"",$Q230="LINEAR"),$M230/100,IF(AND($N230="MND",$M230&gt;100,$Q230="EMBOQUE"),$M230/100,0)),0)</f>
        <v>1</v>
      </c>
      <c r="AO230" s="153" t="n">
        <f aca="false">IF(AND($N230="MND",$Q230="EMBOQUE"),$AN230*2*2,IF(AND($N230="VCA",$Q230="LINEAR"),$M230*2,IF(AND($N230="VCA",$Q230="PREDIAL"),0,0)))</f>
        <v>235.88</v>
      </c>
      <c r="AP230" s="153" t="n">
        <f aca="false">IFERROR($M230*$AF230*$AG230,0)</f>
        <v>104.488943</v>
      </c>
      <c r="AQ230" s="153" t="n">
        <f aca="false">IFERROR(IF(AND($N230="VCA",$AH230&gt;0),$M230*$AG230*$AH230,0),0)</f>
        <v>7.6661</v>
      </c>
      <c r="AR230" s="153" t="n">
        <f aca="false">IFERROR(IF(AND($N230="VCA",$AJ230&gt;0),($M230*$AG230*$AJ230)-$AI230,0),0)</f>
        <v>27.4602950880767</v>
      </c>
      <c r="AS230" s="153" t="n">
        <f aca="false">IFERROR(IF(AND($N230="VCA",$AP230&gt;0),$AP230-$AI230-$AQ230-$AR230,0),0)</f>
        <v>68.9949</v>
      </c>
      <c r="AT230" s="153" t="n">
        <f aca="false">IFERROR(IF($N230="VCA",INDEX(APOIO_REDES!$A:$W,MATCH($C230&amp;$I230&amp;$H230&amp;$N230&amp;$O230,APOIO_REDES!$W:$W,0),MATCH(AT$5,APOIO_REDES!$5:$5,0)),0)*$AP230,0)</f>
        <v>1.13687062698846</v>
      </c>
      <c r="AU230" s="153" t="n">
        <f aca="false">IFERROR(IF($N230="VCA",INDEX(APOIO_REDES!$A:$W,MATCH($C230&amp;$I230&amp;$H230&amp;$N230&amp;$O230,APOIO_REDES!$W:$W,0),MATCH(AU$5,APOIO_REDES!$5:$5,0)),0)*$AP230,0)</f>
        <v>0.907874092351553</v>
      </c>
      <c r="AV230" s="153" t="n">
        <f aca="false">IFERROR(IF($N230="VCA",INDEX(APOIO_REDES!$A:$W,MATCH($C230&amp;$I230&amp;$H230&amp;$N230&amp;$O230,APOIO_REDES!$W:$W,0),MATCH(AV$5,APOIO_REDES!$5:$5,0)),0)*$AP230,0)</f>
        <v>0.12564264729039</v>
      </c>
      <c r="AW230" s="153" t="n">
        <f aca="false">IFERROR(IF($N230="VCA",INDEX(APOIO_REDES!$A:$W,MATCH($C230&amp;$I230&amp;$H230&amp;$N230&amp;$O230,APOIO_REDES!$W:$W,0),MATCH(AW$5,APOIO_REDES!$5:$5,0)),0)*$AP230,0)</f>
        <v>71.7220200950379</v>
      </c>
      <c r="AX230" s="153" t="n">
        <f aca="false">IFERROR(IF($N230="VCA",INDEX(APOIO_REDES!$A:$W,MATCH($C230&amp;$I230&amp;$H230&amp;$N230&amp;$O230,APOIO_REDES!$W:$W,0),MATCH(AX$5,APOIO_REDES!$5:$5,0)),0)*$AP230,0)</f>
        <v>9.92612327711175</v>
      </c>
      <c r="AY230" s="153" t="n">
        <f aca="false">IFERROR(IF($N230="VCA",INDEX(APOIO_REDES!$A:$W,MATCH($C230&amp;$I230&amp;$H230&amp;$N230&amp;$O230,APOIO_REDES!$W:$W,0),MATCH(AY$5,APOIO_REDES!$5:$5,0)),0)*$AP230,0)</f>
        <v>18.1574707801195</v>
      </c>
      <c r="AZ230" s="153" t="n">
        <f aca="false">IFERROR(IF($N230="VCA",INDEX(APOIO_REDES!$A:$W,MATCH($C230&amp;$I230&amp;$H230&amp;$N230&amp;$O230,APOIO_REDES!$W:$W,0),MATCH(AZ$5,APOIO_REDES!$5:$5,0)),0)*$AP230,0)</f>
        <v>2.51294148110053</v>
      </c>
      <c r="BA230" s="153" t="n">
        <f aca="false">IFERROR(IF(AND($N230="VCA",$Q230="LINEAR"),INDEX(APOIO_REDES!$A:$W,MATCH($C230&amp;$I230&amp;$H230&amp;$N230&amp;$O230,APOIO_REDES!$W:$W,0),MATCH(BA$5,APOIO_REDES!$5:$5,0)),IF(AND($N230="MND",$Q230="EMBOQUE"),INDEX(APOIO_REDES!$A:$W,MATCH($C230&amp;$I230&amp;$H230&amp;$N230&amp;$O230,APOIO_REDES!$W:$W,0),MATCH(BA$5,APOIO_REDES!$5:$5,0)),0))*$M230/10,0)</f>
        <v>9.50566650575929</v>
      </c>
      <c r="BB230" s="153" t="n">
        <f aca="false">IFERROR(IF($N230="VCA",INDEX(APOIO_REDES!$A:$W,MATCH($C230&amp;$I230&amp;$H230&amp;$N230&amp;$O230,APOIO_REDES!$W:$W,0),MATCH(BB$5,APOIO_REDES!$5:$5,0)),0)*($AI230+$AQ230+$AR230),0)</f>
        <v>35.1078573064595</v>
      </c>
      <c r="BC230" s="153" t="n">
        <f aca="false">IFERROR(IF($N230="VCA",INDEX(APOIO_REDES!$A:$W,MATCH($C230&amp;$I230&amp;$H230&amp;$N230&amp;$O230,APOIO_REDES!$W:$W,0),MATCH(BC$5,APOIO_REDES!$5:$5,0)),0)*($AI230+$AQ230+$AR230),0)</f>
        <v>0.386185693540466</v>
      </c>
      <c r="BD230" s="153" t="n">
        <f aca="false">IF(AND($N230="VCA",$AF230&gt;=1.25,$AF230&lt;1.5),$M230*$AF230*2,0)</f>
        <v>321.50444</v>
      </c>
      <c r="BE230" s="153" t="n">
        <f aca="false">IF(AND($N230="VCA",$AF230&gt;=1.5,$AF230&lt;3),$M230*$AF230*2,0)</f>
        <v>0</v>
      </c>
      <c r="BF230" s="153" t="n">
        <f aca="false">IF(AND($N230="VCA",$AF230&gt;=3),$M230*$AF230*2,0)</f>
        <v>0</v>
      </c>
      <c r="BG230" s="153" t="n">
        <f aca="false">($BB230+$BC230)*$AK230</f>
        <v>134.8773634</v>
      </c>
      <c r="BH230" s="153" t="n">
        <f aca="false">IF(AND($M230&lt;&gt;"",$N230="VCA",$Q230="LINEAR"),($M230*2)/100,IF(AND($M230&lt;&gt;"",$N230="MND",$Q230="EMBOQUE"),($AN230*2)/100,0))</f>
        <v>2.3588</v>
      </c>
      <c r="BI230" s="153" t="n">
        <f aca="false">IF(AND($M230&lt;&gt;"",$N230="VCA",$Q230="LINEAR"),$M230,IF(AND($M230&lt;&gt;"",$N230="MND",$Q230="EMBOQUE"),$AN230*2,0))</f>
        <v>117.94</v>
      </c>
      <c r="BJ230" s="153" t="n">
        <f aca="false">IF(AND($M230&lt;&gt;"",$N230="VCA",$Q230="LINEAR"),($M230*6.8)/100,IF(AND($M230&lt;&gt;"",$N230="MND",$Q230="EMBOQUE"),($AN230*2*6.8)/100,0))</f>
        <v>8.01992</v>
      </c>
      <c r="BK230" s="153" t="n">
        <f aca="false">IF(AND($M230&lt;&gt;"",$N230="VCA",$Q230="LINEAR"),($M230*2.5)/50,IF(AND($M230&lt;&gt;"",$N230="MND",$Q230="EMBOQUE"),($AN230*2*2.5)/50,0))</f>
        <v>5.897</v>
      </c>
      <c r="BL230" s="157" t="str">
        <f aca="false">K230&amp;J230</f>
        <v>Zona02REDES</v>
      </c>
      <c r="BM230" s="152" t="s">
        <v>2037</v>
      </c>
      <c r="BN230" s="152" t="s">
        <v>1560</v>
      </c>
      <c r="BO230" s="152" t="s">
        <v>2231</v>
      </c>
      <c r="BP230" s="152" t="s">
        <v>2406</v>
      </c>
      <c r="BQ230" s="152" t="s">
        <v>2360</v>
      </c>
      <c r="BR230" s="152" t="s">
        <v>2407</v>
      </c>
      <c r="BS230" s="152" t="n">
        <v>202860.761</v>
      </c>
      <c r="BT230" s="152" t="n">
        <v>8237597.11</v>
      </c>
      <c r="BU230" s="152" t="n">
        <v>202766.283</v>
      </c>
      <c r="BV230" s="152" t="n">
        <v>8237667.695</v>
      </c>
      <c r="BW230" s="152" t="n">
        <v>-15.9227628</v>
      </c>
      <c r="BX230" s="152" t="n">
        <v>-47.7756711</v>
      </c>
      <c r="BY230" s="152" t="s">
        <v>2406</v>
      </c>
    </row>
    <row r="231" customFormat="false" ht="13.8" hidden="false" customHeight="false" outlineLevel="0" collapsed="false">
      <c r="A231" s="149" t="n">
        <f aca="false">IF(C231&lt;&gt;"",ROW(A226),"")</f>
        <v>226</v>
      </c>
      <c r="B231" s="150" t="str">
        <f aca="false">HYPERLINK("https://www.google.com/maps/dir/-15.917302,-47.760003/-15.9227841,-47.7770154/data=!4m3!4m2!3e0!5i2")</f>
        <v>https://www.google.com/maps/dir/-15.917302,-47.760003/-15.9227841,-47.7770154/data=!4m3!4m2!3e0!5i2</v>
      </c>
      <c r="C231" s="151" t="s">
        <v>117</v>
      </c>
      <c r="D231" s="152" t="s">
        <v>112</v>
      </c>
      <c r="E231" s="152" t="s">
        <v>113</v>
      </c>
      <c r="F231" s="152" t="s">
        <v>117</v>
      </c>
      <c r="G231" s="152" t="s">
        <v>782</v>
      </c>
      <c r="H231" s="152" t="n">
        <v>63</v>
      </c>
      <c r="I231" s="152" t="s">
        <v>115</v>
      </c>
      <c r="J231" s="152" t="s">
        <v>6</v>
      </c>
      <c r="K231" s="152" t="s">
        <v>2033</v>
      </c>
      <c r="L231" s="152" t="s">
        <v>120</v>
      </c>
      <c r="M231" s="153" t="n">
        <f aca="false">23.79</f>
        <v>23.79</v>
      </c>
      <c r="N231" s="152" t="s">
        <v>1548</v>
      </c>
      <c r="O231" s="152" t="s">
        <v>1549</v>
      </c>
      <c r="P231" s="152" t="s">
        <v>1550</v>
      </c>
      <c r="Q231" s="152" t="s">
        <v>1551</v>
      </c>
      <c r="R231" s="154" t="s">
        <v>2408</v>
      </c>
      <c r="S231" s="154" t="s">
        <v>1553</v>
      </c>
      <c r="T231" s="155" t="s">
        <v>2227</v>
      </c>
      <c r="U231" s="152" t="str">
        <f aca="false">RIGHT(T231,7)</f>
        <v>008/037</v>
      </c>
      <c r="V231" s="152" t="s">
        <v>1555</v>
      </c>
      <c r="W231" s="156" t="n">
        <v>45882</v>
      </c>
      <c r="X231" s="152" t="s">
        <v>1594</v>
      </c>
      <c r="Y231" s="152" t="s">
        <v>2387</v>
      </c>
      <c r="Z231" s="152" t="s">
        <v>1557</v>
      </c>
      <c r="AA231" s="153" t="n">
        <v>4</v>
      </c>
      <c r="AB231" s="151" t="s">
        <v>2409</v>
      </c>
      <c r="AC231" s="151" t="s">
        <v>186</v>
      </c>
      <c r="AD231" s="151" t="str">
        <f aca="false">CONCATENATE($C231,$I231,$H231,$N231,$J231,$K231)</f>
        <v>TUBO PEADPEAD63VCAREDESZona02</v>
      </c>
      <c r="AE231" s="153" t="n">
        <f aca="false">IFERROR(INDEX(APOIO_REDES!$A:$W,MATCH($C231&amp;$I231&amp;$H231&amp;$N231&amp;$O231,APOIO_REDES!$W:$W,0),MATCH(AE$5,APOIO_REDES!$5:$5,0)),0)</f>
        <v>1.2</v>
      </c>
      <c r="AF231" s="153" t="n">
        <f aca="false">IFERROR(INDEX(APOIO_REDES!$A:$W,MATCH($C231&amp;$I231&amp;$H231&amp;$N231&amp;$O231,APOIO_REDES!$W:$W,0),MATCH(AF$5,APOIO_REDES!$5:$5,0)),0)</f>
        <v>1.363</v>
      </c>
      <c r="AG231" s="153" t="n">
        <f aca="false">IFERROR(INDEX(APOIO_REDES!$A:$W,MATCH($C231&amp;$I231&amp;$H231&amp;$N231&amp;$O231,APOIO_REDES!$W:$W,0),MATCH(AG$5,APOIO_REDES!$5:$5,0)),0)</f>
        <v>0.65</v>
      </c>
      <c r="AH231" s="153" t="n">
        <f aca="false">IFERROR(INDEX(APOIO_REDES!$A:$W,MATCH($C231&amp;$I231&amp;$H231&amp;$N231&amp;$O231,APOIO_REDES!$W:$W,0),MATCH(AH$5,APOIO_REDES!$5:$5,0)),0)</f>
        <v>0.1</v>
      </c>
      <c r="AI231" s="153" t="n">
        <f aca="false">IFERROR(IF($H231&lt;&gt;"",(((($H231/1000)/2)^2)*PI()*$M231),0),0)</f>
        <v>0.0741592659373772</v>
      </c>
      <c r="AJ231" s="153" t="n">
        <f aca="false">IFERROR(IF(AND($H231&lt;&gt;"",$I231="FoFo",OR($N231="MND",$N231="VCA"),$Q231="LINEAR"),0,IF(AND($H231&lt;&gt;"",$I231="PEAD",$N231="VCA",$Q231="LINEAR"),($H231/1000)+0.3,IF(AND($H231&lt;&gt;"",$I231="PEAD",$N231="MND",$Q231="EMBOQUE"),0,IF(AND($H231&lt;&gt;"",$I231="PVC",$N231="VCA",$Q231="LINEAR"),($H231/1000)+0.2,IF(AND($H231&lt;&gt;"",$I231="PVC",$N231="MND",$Q231="EMBOQUE"),0,IF(AND($H231&lt;&gt;"",$I231="PEAD",$N231="VCA",$Q231="PREDIAL"),0,0)))))),0)</f>
        <v>0.363</v>
      </c>
      <c r="AK231" s="153" t="n">
        <f aca="false">IF(AA231&lt;&gt;"",AA231,0)</f>
        <v>4</v>
      </c>
      <c r="AL231" s="153" t="n">
        <f aca="false">IF(AND($N231="MND",$Q231="EMBOQUE"),$M231,IF(AND($N231="VCA",$Q231="LINEAR"),$M231,IF(AND($N231="VCA",$Q231="PREDIAL"),0,0)))</f>
        <v>23.79</v>
      </c>
      <c r="AM231" s="153" t="n">
        <f aca="false">IF(AND($N231="MND",$Q231="EMBOQUE"),$M231,IF(AND($N231="VCA",$Q231="LINEAR"),$M231,IF(AND($N231="VCA",$Q231="PREDIAL"),0,0)))</f>
        <v>23.79</v>
      </c>
      <c r="AN231" s="153" t="n">
        <f aca="false">ROUND(IF(AND($N231="VCA",$M231&lt;&gt;"",$Q231="LINEAR"),$M231/100,IF(AND($N231="MND",$M231&gt;100,$Q231="EMBOQUE"),$M231/100,0)),0)</f>
        <v>0</v>
      </c>
      <c r="AO231" s="153" t="n">
        <f aca="false">IF(AND($N231="MND",$Q231="EMBOQUE"),$AN231*2*2,IF(AND($N231="VCA",$Q231="LINEAR"),$M231*2,IF(AND($N231="VCA",$Q231="PREDIAL"),0,0)))</f>
        <v>47.58</v>
      </c>
      <c r="AP231" s="153" t="n">
        <f aca="false">IFERROR($M231*$AF231*$AG231,0)</f>
        <v>21.0767505</v>
      </c>
      <c r="AQ231" s="153" t="n">
        <f aca="false">IFERROR(IF(AND($N231="VCA",$AH231&gt;0),$M231*$AG231*$AH231,0),0)</f>
        <v>1.54635</v>
      </c>
      <c r="AR231" s="153" t="n">
        <f aca="false">IFERROR(IF(AND($N231="VCA",$AJ231&gt;0),($M231*$AG231*$AJ231)-$AI231,0),0)</f>
        <v>5.53909123406262</v>
      </c>
      <c r="AS231" s="153" t="n">
        <f aca="false">IFERROR(IF(AND($N231="VCA",$AP231&gt;0),$AP231-$AI231-$AQ231-$AR231,0),0)</f>
        <v>13.91715</v>
      </c>
      <c r="AT231" s="153" t="n">
        <f aca="false">IFERROR(IF($N231="VCA",INDEX(APOIO_REDES!$A:$W,MATCH($C231&amp;$I231&amp;$H231&amp;$N231&amp;$O231,APOIO_REDES!$W:$W,0),MATCH(AT$5,APOIO_REDES!$5:$5,0)),0)*$AP231,0)</f>
        <v>0.22932128383971</v>
      </c>
      <c r="AU231" s="153" t="n">
        <f aca="false">IFERROR(IF($N231="VCA",INDEX(APOIO_REDES!$A:$W,MATCH($C231&amp;$I231&amp;$H231&amp;$N231&amp;$O231,APOIO_REDES!$W:$W,0),MATCH(AU$5,APOIO_REDES!$5:$5,0)),0)*$AP231,0)</f>
        <v>0.183129766466368</v>
      </c>
      <c r="AV231" s="153" t="n">
        <f aca="false">IFERROR(IF($N231="VCA",INDEX(APOIO_REDES!$A:$W,MATCH($C231&amp;$I231&amp;$H231&amp;$N231&amp;$O231,APOIO_REDES!$W:$W,0),MATCH(AV$5,APOIO_REDES!$5:$5,0)),0)*$AP231,0)</f>
        <v>0.025343722053912</v>
      </c>
      <c r="AW231" s="153" t="n">
        <f aca="false">IFERROR(IF($N231="VCA",INDEX(APOIO_REDES!$A:$W,MATCH($C231&amp;$I231&amp;$H231&amp;$N231&amp;$O231,APOIO_REDES!$W:$W,0),MATCH(AW$5,APOIO_REDES!$5:$5,0)),0)*$AP231,0)</f>
        <v>14.467244853832</v>
      </c>
      <c r="AX231" s="153" t="n">
        <f aca="false">IFERROR(IF($N231="VCA",INDEX(APOIO_REDES!$A:$W,MATCH($C231&amp;$I231&amp;$H231&amp;$N231&amp;$O231,APOIO_REDES!$W:$W,0),MATCH(AX$5,APOIO_REDES!$5:$5,0)),0)*$AP231,0)</f>
        <v>2.00222547704331</v>
      </c>
      <c r="AY231" s="153" t="n">
        <f aca="false">IFERROR(IF($N231="VCA",INDEX(APOIO_REDES!$A:$W,MATCH($C231&amp;$I231&amp;$H231&amp;$N231&amp;$O231,APOIO_REDES!$W:$W,0),MATCH(AY$5,APOIO_REDES!$5:$5,0)),0)*$AP231,0)</f>
        <v>3.66259309699035</v>
      </c>
      <c r="AZ231" s="153" t="n">
        <f aca="false">IFERROR(IF($N231="VCA",INDEX(APOIO_REDES!$A:$W,MATCH($C231&amp;$I231&amp;$H231&amp;$N231&amp;$O231,APOIO_REDES!$W:$W,0),MATCH(AZ$5,APOIO_REDES!$5:$5,0)),0)*$AP231,0)</f>
        <v>0.506892299774306</v>
      </c>
      <c r="BA231" s="153" t="n">
        <f aca="false">IFERROR(IF(AND($N231="VCA",$Q231="LINEAR"),INDEX(APOIO_REDES!$A:$W,MATCH($C231&amp;$I231&amp;$H231&amp;$N231&amp;$O231,APOIO_REDES!$W:$W,0),MATCH(BA$5,APOIO_REDES!$5:$5,0)),IF(AND($N231="MND",$Q231="EMBOQUE"),INDEX(APOIO_REDES!$A:$W,MATCH($C231&amp;$I231&amp;$H231&amp;$N231&amp;$O231,APOIO_REDES!$W:$W,0),MATCH(BA$5,APOIO_REDES!$5:$5,0)),0))*$M231/10,0)</f>
        <v>1.91741399162297</v>
      </c>
      <c r="BB231" s="153" t="n">
        <f aca="false">IFERROR(IF($N231="VCA",INDEX(APOIO_REDES!$A:$W,MATCH($C231&amp;$I231&amp;$H231&amp;$N231&amp;$O231,APOIO_REDES!$W:$W,0),MATCH(BB$5,APOIO_REDES!$5:$5,0)),0)*($AI231+$AQ231+$AR231),0)</f>
        <v>7.08170192742642</v>
      </c>
      <c r="BC231" s="153" t="n">
        <f aca="false">IFERROR(IF($N231="VCA",INDEX(APOIO_REDES!$A:$W,MATCH($C231&amp;$I231&amp;$H231&amp;$N231&amp;$O231,APOIO_REDES!$W:$W,0),MATCH(BC$5,APOIO_REDES!$5:$5,0)),0)*($AI231+$AQ231+$AR231),0)</f>
        <v>0.0778985725735771</v>
      </c>
      <c r="BD231" s="153" t="n">
        <f aca="false">IF(AND($N231="VCA",$AF231&gt;=1.25,$AF231&lt;1.5),$M231*$AF231*2,0)</f>
        <v>64.85154</v>
      </c>
      <c r="BE231" s="153" t="n">
        <f aca="false">IF(AND($N231="VCA",$AF231&gt;=1.5,$AF231&lt;3),$M231*$AF231*2,0)</f>
        <v>0</v>
      </c>
      <c r="BF231" s="153" t="n">
        <f aca="false">IF(AND($N231="VCA",$AF231&gt;=3),$M231*$AF231*2,0)</f>
        <v>0</v>
      </c>
      <c r="BG231" s="153" t="n">
        <f aca="false">($BB231+$BC231)*$AK231</f>
        <v>28.638402</v>
      </c>
      <c r="BH231" s="153" t="n">
        <f aca="false">IF(AND($M231&lt;&gt;"",$N231="VCA",$Q231="LINEAR"),($M231*2)/100,IF(AND($M231&lt;&gt;"",$N231="MND",$Q231="EMBOQUE"),($AN231*2)/100,0))</f>
        <v>0.4758</v>
      </c>
      <c r="BI231" s="153" t="n">
        <f aca="false">IF(AND($M231&lt;&gt;"",$N231="VCA",$Q231="LINEAR"),$M231,IF(AND($M231&lt;&gt;"",$N231="MND",$Q231="EMBOQUE"),$AN231*2,0))</f>
        <v>23.79</v>
      </c>
      <c r="BJ231" s="153" t="n">
        <f aca="false">IF(AND($M231&lt;&gt;"",$N231="VCA",$Q231="LINEAR"),($M231*6.8)/100,IF(AND($M231&lt;&gt;"",$N231="MND",$Q231="EMBOQUE"),($AN231*2*6.8)/100,0))</f>
        <v>1.61772</v>
      </c>
      <c r="BK231" s="153" t="n">
        <f aca="false">IF(AND($M231&lt;&gt;"",$N231="VCA",$Q231="LINEAR"),($M231*2.5)/50,IF(AND($M231&lt;&gt;"",$N231="MND",$Q231="EMBOQUE"),($AN231*2*2.5)/50,0))</f>
        <v>1.1895</v>
      </c>
      <c r="BL231" s="157" t="str">
        <f aca="false">K231&amp;J231</f>
        <v>Zona02REDES</v>
      </c>
      <c r="BM231" s="152" t="s">
        <v>2037</v>
      </c>
      <c r="BN231" s="152" t="s">
        <v>1560</v>
      </c>
      <c r="BO231" s="152" t="s">
        <v>2231</v>
      </c>
      <c r="BP231" s="152" t="s">
        <v>2376</v>
      </c>
      <c r="BQ231" s="152" t="s">
        <v>2402</v>
      </c>
      <c r="BR231" s="152" t="s">
        <v>2410</v>
      </c>
      <c r="BS231" s="152" t="n">
        <v>202668.938</v>
      </c>
      <c r="BT231" s="152" t="n">
        <v>8237628.242</v>
      </c>
      <c r="BU231" s="152" t="n">
        <v>202653.781</v>
      </c>
      <c r="BV231" s="152" t="n">
        <v>8237609.911</v>
      </c>
      <c r="BW231" s="152" t="n">
        <v>-15.9228627</v>
      </c>
      <c r="BX231" s="152" t="n">
        <v>-47.7770911</v>
      </c>
      <c r="BY231" s="152" t="s">
        <v>2376</v>
      </c>
    </row>
    <row r="232" customFormat="false" ht="13.8" hidden="false" customHeight="false" outlineLevel="0" collapsed="false">
      <c r="A232" s="149" t="n">
        <f aca="false">IF(C232&lt;&gt;"",ROW(A227),"")</f>
        <v>227</v>
      </c>
      <c r="B232" s="150" t="str">
        <f aca="false">HYPERLINK("https://www.google.com/maps/dir/-15.917302,-47.760003/-15.9228573,-47.7780278/data=!4m3!4m2!3e0!5i2")</f>
        <v>https://www.google.com/maps/dir/-15.917302,-47.760003/-15.9228573,-47.7780278/data=!4m3!4m2!3e0!5i2</v>
      </c>
      <c r="C232" s="151" t="s">
        <v>117</v>
      </c>
      <c r="D232" s="152" t="s">
        <v>112</v>
      </c>
      <c r="E232" s="152" t="s">
        <v>113</v>
      </c>
      <c r="F232" s="152" t="s">
        <v>117</v>
      </c>
      <c r="G232" s="152" t="s">
        <v>782</v>
      </c>
      <c r="H232" s="152" t="n">
        <v>63</v>
      </c>
      <c r="I232" s="152" t="s">
        <v>115</v>
      </c>
      <c r="J232" s="152" t="s">
        <v>6</v>
      </c>
      <c r="K232" s="152" t="s">
        <v>2033</v>
      </c>
      <c r="L232" s="152" t="s">
        <v>120</v>
      </c>
      <c r="M232" s="153" t="n">
        <f aca="false">2.53</f>
        <v>2.53</v>
      </c>
      <c r="N232" s="152" t="s">
        <v>1548</v>
      </c>
      <c r="O232" s="152" t="s">
        <v>1549</v>
      </c>
      <c r="P232" s="152" t="s">
        <v>1550</v>
      </c>
      <c r="Q232" s="152" t="s">
        <v>1551</v>
      </c>
      <c r="R232" s="154" t="s">
        <v>2411</v>
      </c>
      <c r="S232" s="154" t="s">
        <v>1553</v>
      </c>
      <c r="T232" s="155" t="s">
        <v>2227</v>
      </c>
      <c r="U232" s="152" t="str">
        <f aca="false">RIGHT(T232,7)</f>
        <v>008/037</v>
      </c>
      <c r="V232" s="152" t="s">
        <v>1555</v>
      </c>
      <c r="W232" s="156" t="n">
        <v>45882</v>
      </c>
      <c r="X232" s="152" t="s">
        <v>1594</v>
      </c>
      <c r="Y232" s="152"/>
      <c r="Z232" s="152" t="s">
        <v>1557</v>
      </c>
      <c r="AA232" s="153" t="n">
        <v>4.2</v>
      </c>
      <c r="AB232" s="151" t="s">
        <v>2412</v>
      </c>
      <c r="AC232" s="151" t="s">
        <v>186</v>
      </c>
      <c r="AD232" s="151" t="str">
        <f aca="false">CONCATENATE($C232,$I232,$H232,$N232,$J232,$K232)</f>
        <v>TUBO PEADPEAD63VCAREDESZona02</v>
      </c>
      <c r="AE232" s="153" t="n">
        <f aca="false">IFERROR(INDEX(APOIO_REDES!$A:$W,MATCH($C232&amp;$I232&amp;$H232&amp;$N232&amp;$O232,APOIO_REDES!$W:$W,0),MATCH(AE$5,APOIO_REDES!$5:$5,0)),0)</f>
        <v>1.2</v>
      </c>
      <c r="AF232" s="153" t="n">
        <f aca="false">IFERROR(INDEX(APOIO_REDES!$A:$W,MATCH($C232&amp;$I232&amp;$H232&amp;$N232&amp;$O232,APOIO_REDES!$W:$W,0),MATCH(AF$5,APOIO_REDES!$5:$5,0)),0)</f>
        <v>1.363</v>
      </c>
      <c r="AG232" s="153" t="n">
        <f aca="false">IFERROR(INDEX(APOIO_REDES!$A:$W,MATCH($C232&amp;$I232&amp;$H232&amp;$N232&amp;$O232,APOIO_REDES!$W:$W,0),MATCH(AG$5,APOIO_REDES!$5:$5,0)),0)</f>
        <v>0.65</v>
      </c>
      <c r="AH232" s="153" t="n">
        <f aca="false">IFERROR(INDEX(APOIO_REDES!$A:$W,MATCH($C232&amp;$I232&amp;$H232&amp;$N232&amp;$O232,APOIO_REDES!$W:$W,0),MATCH(AH$5,APOIO_REDES!$5:$5,0)),0)</f>
        <v>0.1</v>
      </c>
      <c r="AI232" s="153" t="n">
        <f aca="false">IFERROR(IF($H232&lt;&gt;"",(((($H232/1000)/2)^2)*PI()*$M232),0),0)</f>
        <v>0.00788663063562691</v>
      </c>
      <c r="AJ232" s="153" t="n">
        <f aca="false">IFERROR(IF(AND($H232&lt;&gt;"",$I232="FoFo",OR($N232="MND",$N232="VCA"),$Q232="LINEAR"),0,IF(AND($H232&lt;&gt;"",$I232="PEAD",$N232="VCA",$Q232="LINEAR"),($H232/1000)+0.3,IF(AND($H232&lt;&gt;"",$I232="PEAD",$N232="MND",$Q232="EMBOQUE"),0,IF(AND($H232&lt;&gt;"",$I232="PVC",$N232="VCA",$Q232="LINEAR"),($H232/1000)+0.2,IF(AND($H232&lt;&gt;"",$I232="PVC",$N232="MND",$Q232="EMBOQUE"),0,IF(AND($H232&lt;&gt;"",$I232="PEAD",$N232="VCA",$Q232="PREDIAL"),0,0)))))),0)</f>
        <v>0.363</v>
      </c>
      <c r="AK232" s="153" t="n">
        <f aca="false">IF(AA232&lt;&gt;"",AA232,0)</f>
        <v>4.2</v>
      </c>
      <c r="AL232" s="153" t="n">
        <f aca="false">IF(AND($N232="MND",$Q232="EMBOQUE"),$M232,IF(AND($N232="VCA",$Q232="LINEAR"),$M232,IF(AND($N232="VCA",$Q232="PREDIAL"),0,0)))</f>
        <v>2.53</v>
      </c>
      <c r="AM232" s="153" t="n">
        <f aca="false">IF(AND($N232="MND",$Q232="EMBOQUE"),$M232,IF(AND($N232="VCA",$Q232="LINEAR"),$M232,IF(AND($N232="VCA",$Q232="PREDIAL"),0,0)))</f>
        <v>2.53</v>
      </c>
      <c r="AN232" s="153" t="n">
        <f aca="false">ROUND(IF(AND($N232="VCA",$M232&lt;&gt;"",$Q232="LINEAR"),$M232/100,IF(AND($N232="MND",$M232&gt;100,$Q232="EMBOQUE"),$M232/100,0)),0)</f>
        <v>0</v>
      </c>
      <c r="AO232" s="153" t="n">
        <f aca="false">IF(AND($N232="MND",$Q232="EMBOQUE"),$AN232*2*2,IF(AND($N232="VCA",$Q232="LINEAR"),$M232*2,IF(AND($N232="VCA",$Q232="PREDIAL"),0,0)))</f>
        <v>5.06</v>
      </c>
      <c r="AP232" s="153" t="n">
        <f aca="false">IFERROR($M232*$AF232*$AG232,0)</f>
        <v>2.2414535</v>
      </c>
      <c r="AQ232" s="153" t="n">
        <f aca="false">IFERROR(IF(AND($N232="VCA",$AH232&gt;0),$M232*$AG232*$AH232,0),0)</f>
        <v>0.16445</v>
      </c>
      <c r="AR232" s="153" t="n">
        <f aca="false">IFERROR(IF(AND($N232="VCA",$AJ232&gt;0),($M232*$AG232*$AJ232)-$AI232,0),0)</f>
        <v>0.589066869364373</v>
      </c>
      <c r="AS232" s="153" t="n">
        <f aca="false">IFERROR(IF(AND($N232="VCA",$AP232&gt;0),$AP232-$AI232-$AQ232-$AR232,0),0)</f>
        <v>1.48005</v>
      </c>
      <c r="AT232" s="153" t="n">
        <f aca="false">IFERROR(IF($N232="VCA",INDEX(APOIO_REDES!$A:$W,MATCH($C232&amp;$I232&amp;$H232&amp;$N232&amp;$O232,APOIO_REDES!$W:$W,0),MATCH(AT$5,APOIO_REDES!$5:$5,0)),0)*$AP232,0)</f>
        <v>0.024387677516371</v>
      </c>
      <c r="AU232" s="153" t="n">
        <f aca="false">IFERROR(IF($N232="VCA",INDEX(APOIO_REDES!$A:$W,MATCH($C232&amp;$I232&amp;$H232&amp;$N232&amp;$O232,APOIO_REDES!$W:$W,0),MATCH(AU$5,APOIO_REDES!$5:$5,0)),0)*$AP232,0)</f>
        <v>0.0194753387625015</v>
      </c>
      <c r="AV232" s="153" t="n">
        <f aca="false">IFERROR(IF($N232="VCA",INDEX(APOIO_REDES!$A:$W,MATCH($C232&amp;$I232&amp;$H232&amp;$N232&amp;$O232,APOIO_REDES!$W:$W,0),MATCH(AV$5,APOIO_REDES!$5:$5,0)),0)*$AP232,0)</f>
        <v>0.0026952339973265</v>
      </c>
      <c r="AW232" s="153" t="n">
        <f aca="false">IFERROR(IF($N232="VCA",INDEX(APOIO_REDES!$A:$W,MATCH($C232&amp;$I232&amp;$H232&amp;$N232&amp;$O232,APOIO_REDES!$W:$W,0),MATCH(AW$5,APOIO_REDES!$5:$5,0)),0)*$AP232,0)</f>
        <v>1.53855105002922</v>
      </c>
      <c r="AX232" s="153" t="n">
        <f aca="false">IFERROR(IF($N232="VCA",INDEX(APOIO_REDES!$A:$W,MATCH($C232&amp;$I232&amp;$H232&amp;$N232&amp;$O232,APOIO_REDES!$W:$W,0),MATCH(AX$5,APOIO_REDES!$5:$5,0)),0)*$AP232,0)</f>
        <v>0.212931082678419</v>
      </c>
      <c r="AY232" s="153" t="n">
        <f aca="false">IFERROR(IF($N232="VCA",INDEX(APOIO_REDES!$A:$W,MATCH($C232&amp;$I232&amp;$H232&amp;$N232&amp;$O232,APOIO_REDES!$W:$W,0),MATCH(AY$5,APOIO_REDES!$5:$5,0)),0)*$AP232,0)</f>
        <v>0.389506537847229</v>
      </c>
      <c r="AZ232" s="153" t="n">
        <f aca="false">IFERROR(IF($N232="VCA",INDEX(APOIO_REDES!$A:$W,MATCH($C232&amp;$I232&amp;$H232&amp;$N232&amp;$O232,APOIO_REDES!$W:$W,0),MATCH(AZ$5,APOIO_REDES!$5:$5,0)),0)*$AP232,0)</f>
        <v>0.0539065791689363</v>
      </c>
      <c r="BA232" s="153" t="n">
        <f aca="false">IFERROR(IF(AND($N232="VCA",$Q232="LINEAR"),INDEX(APOIO_REDES!$A:$W,MATCH($C232&amp;$I232&amp;$H232&amp;$N232&amp;$O232,APOIO_REDES!$W:$W,0),MATCH(BA$5,APOIO_REDES!$5:$5,0)),IF(AND($N232="MND",$Q232="EMBOQUE"),INDEX(APOIO_REDES!$A:$W,MATCH($C232&amp;$I232&amp;$H232&amp;$N232&amp;$O232,APOIO_REDES!$W:$W,0),MATCH(BA$5,APOIO_REDES!$5:$5,0)),0))*$M232/10,0)</f>
        <v>0.203911618276844</v>
      </c>
      <c r="BB232" s="153" t="n">
        <f aca="false">IFERROR(IF($N232="VCA",INDEX(APOIO_REDES!$A:$W,MATCH($C232&amp;$I232&amp;$H232&amp;$N232&amp;$O232,APOIO_REDES!$W:$W,0),MATCH(BB$5,APOIO_REDES!$5:$5,0)),0)*($AI232+$AQ232+$AR232),0)</f>
        <v>0.753119204556068</v>
      </c>
      <c r="BC232" s="153" t="n">
        <f aca="false">IFERROR(IF($N232="VCA",INDEX(APOIO_REDES!$A:$W,MATCH($C232&amp;$I232&amp;$H232&amp;$N232&amp;$O232,APOIO_REDES!$W:$W,0),MATCH(BC$5,APOIO_REDES!$5:$5,0)),0)*($AI232+$AQ232+$AR232),0)</f>
        <v>0.00828429544393232</v>
      </c>
      <c r="BD232" s="153" t="n">
        <f aca="false">IF(AND($N232="VCA",$AF232&gt;=1.25,$AF232&lt;1.5),$M232*$AF232*2,0)</f>
        <v>6.89678</v>
      </c>
      <c r="BE232" s="153" t="n">
        <f aca="false">IF(AND($N232="VCA",$AF232&gt;=1.5,$AF232&lt;3),$M232*$AF232*2,0)</f>
        <v>0</v>
      </c>
      <c r="BF232" s="153" t="n">
        <f aca="false">IF(AND($N232="VCA",$AF232&gt;=3),$M232*$AF232*2,0)</f>
        <v>0</v>
      </c>
      <c r="BG232" s="153" t="n">
        <f aca="false">($BB232+$BC232)*$AK232</f>
        <v>3.1978947</v>
      </c>
      <c r="BH232" s="153" t="n">
        <f aca="false">IF(AND($M232&lt;&gt;"",$N232="VCA",$Q232="LINEAR"),($M232*2)/100,IF(AND($M232&lt;&gt;"",$N232="MND",$Q232="EMBOQUE"),($AN232*2)/100,0))</f>
        <v>0.0506</v>
      </c>
      <c r="BI232" s="153" t="n">
        <f aca="false">IF(AND($M232&lt;&gt;"",$N232="VCA",$Q232="LINEAR"),$M232,IF(AND($M232&lt;&gt;"",$N232="MND",$Q232="EMBOQUE"),$AN232*2,0))</f>
        <v>2.53</v>
      </c>
      <c r="BJ232" s="153" t="n">
        <f aca="false">IF(AND($M232&lt;&gt;"",$N232="VCA",$Q232="LINEAR"),($M232*6.8)/100,IF(AND($M232&lt;&gt;"",$N232="MND",$Q232="EMBOQUE"),($AN232*2*6.8)/100,0))</f>
        <v>0.17204</v>
      </c>
      <c r="BK232" s="153" t="n">
        <f aca="false">IF(AND($M232&lt;&gt;"",$N232="VCA",$Q232="LINEAR"),($M232*2.5)/50,IF(AND($M232&lt;&gt;"",$N232="MND",$Q232="EMBOQUE"),($AN232*2*2.5)/50,0))</f>
        <v>0.1265</v>
      </c>
      <c r="BL232" s="157" t="str">
        <f aca="false">K232&amp;J232</f>
        <v>Zona02REDES</v>
      </c>
      <c r="BM232" s="152" t="s">
        <v>2037</v>
      </c>
      <c r="BN232" s="152" t="s">
        <v>1560</v>
      </c>
      <c r="BO232" s="152" t="s">
        <v>2231</v>
      </c>
      <c r="BP232" s="152" t="s">
        <v>2394</v>
      </c>
      <c r="BQ232" s="152" t="s">
        <v>2413</v>
      </c>
      <c r="BR232" s="152" t="s">
        <v>2395</v>
      </c>
      <c r="BS232" s="152" t="n">
        <v>202561.346</v>
      </c>
      <c r="BT232" s="152" t="n">
        <v>8237618.089</v>
      </c>
      <c r="BU232" s="152" t="n">
        <v>202559.889</v>
      </c>
      <c r="BV232" s="152" t="n">
        <v>8237616.022</v>
      </c>
      <c r="BW232" s="152" t="n">
        <v>-15.9228689</v>
      </c>
      <c r="BX232" s="152" t="n">
        <v>-47.7780314</v>
      </c>
      <c r="BY232" s="152" t="s">
        <v>2394</v>
      </c>
    </row>
    <row r="233" customFormat="false" ht="13.8" hidden="false" customHeight="false" outlineLevel="0" collapsed="false">
      <c r="A233" s="149" t="n">
        <f aca="false">IF(C233&lt;&gt;"",ROW(A228),"")</f>
        <v>228</v>
      </c>
      <c r="B233" s="150" t="str">
        <f aca="false">HYPERLINK("https://www.google.com/maps/dir/-15.917302,-47.760003/-15.9230786,-47.7767209/data=!4m3!4m2!3e0!5i2")</f>
        <v>https://www.google.com/maps/dir/-15.917302,-47.760003/-15.9230786,-47.7767209/data=!4m3!4m2!3e0!5i2</v>
      </c>
      <c r="C233" s="151" t="s">
        <v>117</v>
      </c>
      <c r="D233" s="152" t="s">
        <v>112</v>
      </c>
      <c r="E233" s="152" t="s">
        <v>113</v>
      </c>
      <c r="F233" s="152" t="s">
        <v>117</v>
      </c>
      <c r="G233" s="152" t="s">
        <v>782</v>
      </c>
      <c r="H233" s="152" t="n">
        <v>90</v>
      </c>
      <c r="I233" s="152" t="s">
        <v>115</v>
      </c>
      <c r="J233" s="152" t="s">
        <v>6</v>
      </c>
      <c r="K233" s="152" t="s">
        <v>2033</v>
      </c>
      <c r="L233" s="152" t="s">
        <v>120</v>
      </c>
      <c r="M233" s="153" t="n">
        <f aca="false">45.37+0.54</f>
        <v>45.91</v>
      </c>
      <c r="N233" s="152" t="s">
        <v>1548</v>
      </c>
      <c r="O233" s="152" t="s">
        <v>1549</v>
      </c>
      <c r="P233" s="152" t="s">
        <v>1550</v>
      </c>
      <c r="Q233" s="152" t="s">
        <v>1551</v>
      </c>
      <c r="R233" s="154" t="s">
        <v>2414</v>
      </c>
      <c r="S233" s="154" t="s">
        <v>1593</v>
      </c>
      <c r="T233" s="155" t="s">
        <v>2227</v>
      </c>
      <c r="U233" s="152" t="str">
        <f aca="false">RIGHT(T233,7)</f>
        <v>008/037</v>
      </c>
      <c r="V233" s="152" t="s">
        <v>1555</v>
      </c>
      <c r="W233" s="156" t="n">
        <v>45882</v>
      </c>
      <c r="X233" s="152" t="s">
        <v>1594</v>
      </c>
      <c r="Y233" s="152" t="s">
        <v>2400</v>
      </c>
      <c r="Z233" s="152" t="s">
        <v>1557</v>
      </c>
      <c r="AA233" s="153" t="n">
        <v>4</v>
      </c>
      <c r="AB233" s="151" t="s">
        <v>2415</v>
      </c>
      <c r="AC233" s="151" t="s">
        <v>526</v>
      </c>
      <c r="AD233" s="151" t="str">
        <f aca="false">CONCATENATE($C233,$I233,$H233,$N233,$J233,$K233)</f>
        <v>TUBO PEADPEAD90VCAREDESZona02</v>
      </c>
      <c r="AE233" s="153" t="n">
        <f aca="false">IFERROR(INDEX(APOIO_REDES!$A:$W,MATCH($C233&amp;$I233&amp;$H233&amp;$N233&amp;$O233,APOIO_REDES!$W:$W,0),MATCH(AE$5,APOIO_REDES!$5:$5,0)),0)</f>
        <v>1.2</v>
      </c>
      <c r="AF233" s="153" t="n">
        <f aca="false">IFERROR(INDEX(APOIO_REDES!$A:$W,MATCH($C233&amp;$I233&amp;$H233&amp;$N233&amp;$O233,APOIO_REDES!$W:$W,0),MATCH(AF$5,APOIO_REDES!$5:$5,0)),0)</f>
        <v>1.39</v>
      </c>
      <c r="AG233" s="153" t="n">
        <f aca="false">IFERROR(INDEX(APOIO_REDES!$A:$W,MATCH($C233&amp;$I233&amp;$H233&amp;$N233&amp;$O233,APOIO_REDES!$W:$W,0),MATCH(AG$5,APOIO_REDES!$5:$5,0)),0)</f>
        <v>0.75</v>
      </c>
      <c r="AH233" s="153" t="n">
        <f aca="false">IFERROR(INDEX(APOIO_REDES!$A:$W,MATCH($C233&amp;$I233&amp;$H233&amp;$N233&amp;$O233,APOIO_REDES!$W:$W,0),MATCH(AH$5,APOIO_REDES!$5:$5,0)),0)</f>
        <v>0.1</v>
      </c>
      <c r="AI233" s="153" t="n">
        <f aca="false">IFERROR(IF($H233&lt;&gt;"",(((($H233/1000)/2)^2)*PI()*$M233),0),0)</f>
        <v>0.292066800420772</v>
      </c>
      <c r="AJ233" s="153" t="n">
        <f aca="false">IFERROR(IF(AND($H233&lt;&gt;"",$I233="FoFo",OR($N233="MND",$N233="VCA"),$Q233="LINEAR"),0,IF(AND($H233&lt;&gt;"",$I233="PEAD",$N233="VCA",$Q233="LINEAR"),($H233/1000)+0.3,IF(AND($H233&lt;&gt;"",$I233="PEAD",$N233="MND",$Q233="EMBOQUE"),0,IF(AND($H233&lt;&gt;"",$I233="PVC",$N233="VCA",$Q233="LINEAR"),($H233/1000)+0.2,IF(AND($H233&lt;&gt;"",$I233="PVC",$N233="MND",$Q233="EMBOQUE"),0,IF(AND($H233&lt;&gt;"",$I233="PEAD",$N233="VCA",$Q233="PREDIAL"),0,0)))))),0)</f>
        <v>0.39</v>
      </c>
      <c r="AK233" s="153" t="n">
        <f aca="false">IF(AA233&lt;&gt;"",AA233,0)</f>
        <v>4</v>
      </c>
      <c r="AL233" s="153" t="n">
        <f aca="false">IF(AND($N233="MND",$Q233="EMBOQUE"),$M233,IF(AND($N233="VCA",$Q233="LINEAR"),$M233,IF(AND($N233="VCA",$Q233="PREDIAL"),0,0)))</f>
        <v>45.91</v>
      </c>
      <c r="AM233" s="153" t="n">
        <f aca="false">IF(AND($N233="MND",$Q233="EMBOQUE"),$M233,IF(AND($N233="VCA",$Q233="LINEAR"),$M233,IF(AND($N233="VCA",$Q233="PREDIAL"),0,0)))</f>
        <v>45.91</v>
      </c>
      <c r="AN233" s="153" t="n">
        <f aca="false">ROUND(IF(AND($N233="VCA",$M233&lt;&gt;"",$Q233="LINEAR"),$M233/100,IF(AND($N233="MND",$M233&gt;100,$Q233="EMBOQUE"),$M233/100,0)),0)</f>
        <v>0</v>
      </c>
      <c r="AO233" s="153" t="n">
        <f aca="false">IF(AND($N233="MND",$Q233="EMBOQUE"),$AN233*2*2,IF(AND($N233="VCA",$Q233="LINEAR"),$M233*2,IF(AND($N233="VCA",$Q233="PREDIAL"),0,0)))</f>
        <v>91.82</v>
      </c>
      <c r="AP233" s="153" t="n">
        <f aca="false">IFERROR($M233*$AF233*$AG233,0)</f>
        <v>47.861175</v>
      </c>
      <c r="AQ233" s="153" t="n">
        <f aca="false">IFERROR(IF(AND($N233="VCA",$AH233&gt;0),$M233*$AG233*$AH233,0),0)</f>
        <v>3.44325</v>
      </c>
      <c r="AR233" s="153" t="n">
        <f aca="false">IFERROR(IF(AND($N233="VCA",$AJ233&gt;0),($M233*$AG233*$AJ233)-$AI233,0),0)</f>
        <v>13.1366081995792</v>
      </c>
      <c r="AS233" s="153" t="n">
        <f aca="false">IFERROR(IF(AND($N233="VCA",$AP233&gt;0),$AP233-$AI233-$AQ233-$AR233,0),0)</f>
        <v>30.98925</v>
      </c>
      <c r="AT233" s="153" t="n">
        <f aca="false">IFERROR(IF($N233="VCA",INDEX(APOIO_REDES!$A:$W,MATCH($C233&amp;$I233&amp;$H233&amp;$N233&amp;$O233,APOIO_REDES!$W:$W,0),MATCH(AT$5,APOIO_REDES!$5:$5,0)),0)*$AP233,0)</f>
        <v>0.520743750184689</v>
      </c>
      <c r="AU233" s="153" t="n">
        <f aca="false">IFERROR(IF($N233="VCA",INDEX(APOIO_REDES!$A:$W,MATCH($C233&amp;$I233&amp;$H233&amp;$N233&amp;$O233,APOIO_REDES!$W:$W,0),MATCH(AU$5,APOIO_REDES!$5:$5,0)),0)*$AP233,0)</f>
        <v>0.415851855368121</v>
      </c>
      <c r="AV233" s="153" t="n">
        <f aca="false">IFERROR(IF($N233="VCA",INDEX(APOIO_REDES!$A:$W,MATCH($C233&amp;$I233&amp;$H233&amp;$N233&amp;$O233,APOIO_REDES!$W:$W,0),MATCH(AV$5,APOIO_REDES!$5:$5,0)),0)*$AP233,0)</f>
        <v>0.057550632217886</v>
      </c>
      <c r="AW233" s="153" t="n">
        <f aca="false">IFERROR(IF($N233="VCA",INDEX(APOIO_REDES!$A:$W,MATCH($C233&amp;$I233&amp;$H233&amp;$N233&amp;$O233,APOIO_REDES!$W:$W,0),MATCH(AW$5,APOIO_REDES!$5:$5,0)),0)*$AP233,0)</f>
        <v>32.8522813664803</v>
      </c>
      <c r="AX233" s="153" t="n">
        <f aca="false">IFERROR(IF($N233="VCA",INDEX(APOIO_REDES!$A:$W,MATCH($C233&amp;$I233&amp;$H233&amp;$N233&amp;$O233,APOIO_REDES!$W:$W,0),MATCH(AX$5,APOIO_REDES!$5:$5,0)),0)*$AP233,0)</f>
        <v>4.54666215962601</v>
      </c>
      <c r="AY233" s="153" t="n">
        <f aca="false">IFERROR(IF($N233="VCA",INDEX(APOIO_REDES!$A:$W,MATCH($C233&amp;$I233&amp;$H233&amp;$N233&amp;$O233,APOIO_REDES!$W:$W,0),MATCH(AY$5,APOIO_REDES!$5:$5,0)),0)*$AP233,0)</f>
        <v>8.31703203816201</v>
      </c>
      <c r="AZ233" s="153" t="n">
        <f aca="false">IFERROR(IF($N233="VCA",INDEX(APOIO_REDES!$A:$W,MATCH($C233&amp;$I233&amp;$H233&amp;$N233&amp;$O233,APOIO_REDES!$W:$W,0),MATCH(AZ$5,APOIO_REDES!$5:$5,0)),0)*$AP233,0)</f>
        <v>1.15105319796097</v>
      </c>
      <c r="BA233" s="153" t="n">
        <f aca="false">IFERROR(IF(AND($N233="VCA",$Q233="LINEAR"),INDEX(APOIO_REDES!$A:$W,MATCH($C233&amp;$I233&amp;$H233&amp;$N233&amp;$O233,APOIO_REDES!$W:$W,0),MATCH(BA$5,APOIO_REDES!$5:$5,0)),IF(AND($N233="MND",$Q233="EMBOQUE"),INDEX(APOIO_REDES!$A:$W,MATCH($C233&amp;$I233&amp;$H233&amp;$N233&amp;$O233,APOIO_REDES!$W:$W,0),MATCH(BA$5,APOIO_REDES!$5:$5,0)),0))*$M233/10,0)</f>
        <v>3.70023019568771</v>
      </c>
      <c r="BB233" s="153" t="n">
        <f aca="false">IFERROR(IF($N233="VCA",INDEX(APOIO_REDES!$A:$W,MATCH($C233&amp;$I233&amp;$H233&amp;$N233&amp;$O233,APOIO_REDES!$W:$W,0),MATCH(BB$5,APOIO_REDES!$5:$5,0)),0)*($AI233+$AQ233+$AR233),0)</f>
        <v>16.6883534621651</v>
      </c>
      <c r="BC233" s="153" t="n">
        <f aca="false">IFERROR(IF($N233="VCA",INDEX(APOIO_REDES!$A:$W,MATCH($C233&amp;$I233&amp;$H233&amp;$N233&amp;$O233,APOIO_REDES!$W:$W,0),MATCH(BC$5,APOIO_REDES!$5:$5,0)),0)*($AI233+$AQ233+$AR233),0)</f>
        <v>0.18357153783489</v>
      </c>
      <c r="BD233" s="153" t="n">
        <f aca="false">IF(AND($N233="VCA",$AF233&gt;=1.25,$AF233&lt;1.5),$M233*$AF233*2,0)</f>
        <v>127.6298</v>
      </c>
      <c r="BE233" s="153" t="n">
        <f aca="false">IF(AND($N233="VCA",$AF233&gt;=1.5,$AF233&lt;3),$M233*$AF233*2,0)</f>
        <v>0</v>
      </c>
      <c r="BF233" s="153" t="n">
        <f aca="false">IF(AND($N233="VCA",$AF233&gt;=3),$M233*$AF233*2,0)</f>
        <v>0</v>
      </c>
      <c r="BG233" s="153" t="n">
        <f aca="false">($BB233+$BC233)*$AK233</f>
        <v>67.4877</v>
      </c>
      <c r="BH233" s="153" t="n">
        <f aca="false">IF(AND($M233&lt;&gt;"",$N233="VCA",$Q233="LINEAR"),($M233*2)/100,IF(AND($M233&lt;&gt;"",$N233="MND",$Q233="EMBOQUE"),($AN233*2)/100,0))</f>
        <v>0.9182</v>
      </c>
      <c r="BI233" s="153" t="n">
        <f aca="false">IF(AND($M233&lt;&gt;"",$N233="VCA",$Q233="LINEAR"),$M233,IF(AND($M233&lt;&gt;"",$N233="MND",$Q233="EMBOQUE"),$AN233*2,0))</f>
        <v>45.91</v>
      </c>
      <c r="BJ233" s="153" t="n">
        <f aca="false">IF(AND($M233&lt;&gt;"",$N233="VCA",$Q233="LINEAR"),($M233*6.8)/100,IF(AND($M233&lt;&gt;"",$N233="MND",$Q233="EMBOQUE"),($AN233*2*6.8)/100,0))</f>
        <v>3.12188</v>
      </c>
      <c r="BK233" s="153" t="n">
        <f aca="false">IF(AND($M233&lt;&gt;"",$N233="VCA",$Q233="LINEAR"),($M233*2.5)/50,IF(AND($M233&lt;&gt;"",$N233="MND",$Q233="EMBOQUE"),($AN233*2*2.5)/50,0))</f>
        <v>2.2955</v>
      </c>
      <c r="BL233" s="157" t="str">
        <f aca="false">K233&amp;J233</f>
        <v>Zona02REDES</v>
      </c>
      <c r="BM233" s="152" t="s">
        <v>2037</v>
      </c>
      <c r="BN233" s="152" t="s">
        <v>1560</v>
      </c>
      <c r="BO233" s="152" t="s">
        <v>2231</v>
      </c>
      <c r="BP233" s="152" t="s">
        <v>2416</v>
      </c>
      <c r="BQ233" s="152" t="s">
        <v>2376</v>
      </c>
      <c r="BR233" s="152" t="s">
        <v>2417</v>
      </c>
      <c r="BS233" s="152" t="n">
        <v>202701.332</v>
      </c>
      <c r="BT233" s="152" t="n">
        <v>8237595.708</v>
      </c>
      <c r="BU233" s="152" t="n">
        <v>202669.356</v>
      </c>
      <c r="BV233" s="152" t="n">
        <v>8237627.897</v>
      </c>
      <c r="BW233" s="152" t="n">
        <v>-15.9229313</v>
      </c>
      <c r="BX233" s="152" t="n">
        <v>-47.7768681</v>
      </c>
      <c r="BY233" s="152" t="s">
        <v>2416</v>
      </c>
    </row>
    <row r="234" customFormat="false" ht="13.8" hidden="false" customHeight="false" outlineLevel="0" collapsed="false">
      <c r="A234" s="149" t="n">
        <f aca="false">IF(C234&lt;&gt;"",ROW(A229),"")</f>
        <v>229</v>
      </c>
      <c r="B234" s="150" t="str">
        <f aca="false">HYPERLINK("https://www.google.com/maps/dir/-15.917302,-47.760003/-15.9228781,-47.7780384/data=!4m3!4m2!3e0!5i2")</f>
        <v>https://www.google.com/maps/dir/-15.917302,-47.760003/-15.9228781,-47.7780384/data=!4m3!4m2!3e0!5i2</v>
      </c>
      <c r="C234" s="151" t="s">
        <v>117</v>
      </c>
      <c r="D234" s="152" t="s">
        <v>112</v>
      </c>
      <c r="E234" s="152" t="s">
        <v>113</v>
      </c>
      <c r="F234" s="152" t="s">
        <v>117</v>
      </c>
      <c r="G234" s="152" t="s">
        <v>782</v>
      </c>
      <c r="H234" s="152" t="n">
        <v>63</v>
      </c>
      <c r="I234" s="152" t="s">
        <v>115</v>
      </c>
      <c r="J234" s="152" t="s">
        <v>6</v>
      </c>
      <c r="K234" s="152" t="s">
        <v>2033</v>
      </c>
      <c r="L234" s="152" t="s">
        <v>120</v>
      </c>
      <c r="M234" s="153" t="n">
        <f aca="false">21.43</f>
        <v>21.43</v>
      </c>
      <c r="N234" s="152" t="s">
        <v>1548</v>
      </c>
      <c r="O234" s="152" t="s">
        <v>1549</v>
      </c>
      <c r="P234" s="152" t="s">
        <v>1550</v>
      </c>
      <c r="Q234" s="152" t="s">
        <v>1551</v>
      </c>
      <c r="R234" s="154" t="s">
        <v>2418</v>
      </c>
      <c r="S234" s="154" t="s">
        <v>1553</v>
      </c>
      <c r="T234" s="155" t="s">
        <v>2227</v>
      </c>
      <c r="U234" s="152" t="str">
        <f aca="false">RIGHT(T234,7)</f>
        <v>008/037</v>
      </c>
      <c r="V234" s="152" t="s">
        <v>1555</v>
      </c>
      <c r="W234" s="156" t="n">
        <v>45882</v>
      </c>
      <c r="X234" s="152" t="s">
        <v>1594</v>
      </c>
      <c r="Y234" s="152"/>
      <c r="Z234" s="152" t="s">
        <v>1557</v>
      </c>
      <c r="AA234" s="153" t="n">
        <v>4.2</v>
      </c>
      <c r="AB234" s="151" t="s">
        <v>2419</v>
      </c>
      <c r="AC234" s="151" t="s">
        <v>186</v>
      </c>
      <c r="AD234" s="151" t="str">
        <f aca="false">CONCATENATE($C234,$I234,$H234,$N234,$J234,$K234)</f>
        <v>TUBO PEADPEAD63VCAREDESZona02</v>
      </c>
      <c r="AE234" s="153" t="n">
        <f aca="false">IFERROR(INDEX(APOIO_REDES!$A:$W,MATCH($C234&amp;$I234&amp;$H234&amp;$N234&amp;$O234,APOIO_REDES!$W:$W,0),MATCH(AE$5,APOIO_REDES!$5:$5,0)),0)</f>
        <v>1.2</v>
      </c>
      <c r="AF234" s="153" t="n">
        <f aca="false">IFERROR(INDEX(APOIO_REDES!$A:$W,MATCH($C234&amp;$I234&amp;$H234&amp;$N234&amp;$O234,APOIO_REDES!$W:$W,0),MATCH(AF$5,APOIO_REDES!$5:$5,0)),0)</f>
        <v>1.363</v>
      </c>
      <c r="AG234" s="153" t="n">
        <f aca="false">IFERROR(INDEX(APOIO_REDES!$A:$W,MATCH($C234&amp;$I234&amp;$H234&amp;$N234&amp;$O234,APOIO_REDES!$W:$W,0),MATCH(AG$5,APOIO_REDES!$5:$5,0)),0)</f>
        <v>0.65</v>
      </c>
      <c r="AH234" s="153" t="n">
        <f aca="false">IFERROR(INDEX(APOIO_REDES!$A:$W,MATCH($C234&amp;$I234&amp;$H234&amp;$N234&amp;$O234,APOIO_REDES!$W:$W,0),MATCH(AH$5,APOIO_REDES!$5:$5,0)),0)</f>
        <v>0.1</v>
      </c>
      <c r="AI234" s="153" t="n">
        <f aca="false">IFERROR(IF($H234&lt;&gt;"",(((($H234/1000)/2)^2)*PI()*$M234),0),0)</f>
        <v>0.0668025670045395</v>
      </c>
      <c r="AJ234" s="153" t="n">
        <f aca="false">IFERROR(IF(AND($H234&lt;&gt;"",$I234="FoFo",OR($N234="MND",$N234="VCA"),$Q234="LINEAR"),0,IF(AND($H234&lt;&gt;"",$I234="PEAD",$N234="VCA",$Q234="LINEAR"),($H234/1000)+0.3,IF(AND($H234&lt;&gt;"",$I234="PEAD",$N234="MND",$Q234="EMBOQUE"),0,IF(AND($H234&lt;&gt;"",$I234="PVC",$N234="VCA",$Q234="LINEAR"),($H234/1000)+0.2,IF(AND($H234&lt;&gt;"",$I234="PVC",$N234="MND",$Q234="EMBOQUE"),0,IF(AND($H234&lt;&gt;"",$I234="PEAD",$N234="VCA",$Q234="PREDIAL"),0,0)))))),0)</f>
        <v>0.363</v>
      </c>
      <c r="AK234" s="153" t="n">
        <f aca="false">IF(AA234&lt;&gt;"",AA234,0)</f>
        <v>4.2</v>
      </c>
      <c r="AL234" s="153" t="n">
        <f aca="false">IF(AND($N234="MND",$Q234="EMBOQUE"),$M234,IF(AND($N234="VCA",$Q234="LINEAR"),$M234,IF(AND($N234="VCA",$Q234="PREDIAL"),0,0)))</f>
        <v>21.43</v>
      </c>
      <c r="AM234" s="153" t="n">
        <f aca="false">IF(AND($N234="MND",$Q234="EMBOQUE"),$M234,IF(AND($N234="VCA",$Q234="LINEAR"),$M234,IF(AND($N234="VCA",$Q234="PREDIAL"),0,0)))</f>
        <v>21.43</v>
      </c>
      <c r="AN234" s="153" t="n">
        <f aca="false">ROUND(IF(AND($N234="VCA",$M234&lt;&gt;"",$Q234="LINEAR"),$M234/100,IF(AND($N234="MND",$M234&gt;100,$Q234="EMBOQUE"),$M234/100,0)),0)</f>
        <v>0</v>
      </c>
      <c r="AO234" s="153" t="n">
        <f aca="false">IF(AND($N234="MND",$Q234="EMBOQUE"),$AN234*2*2,IF(AND($N234="VCA",$Q234="LINEAR"),$M234*2,IF(AND($N234="VCA",$Q234="PREDIAL"),0,0)))</f>
        <v>42.86</v>
      </c>
      <c r="AP234" s="153" t="n">
        <f aca="false">IFERROR($M234*$AF234*$AG234,0)</f>
        <v>18.9859085</v>
      </c>
      <c r="AQ234" s="153" t="n">
        <f aca="false">IFERROR(IF(AND($N234="VCA",$AH234&gt;0),$M234*$AG234*$AH234,0),0)</f>
        <v>1.39295</v>
      </c>
      <c r="AR234" s="153" t="n">
        <f aca="false">IFERROR(IF(AND($N234="VCA",$AJ234&gt;0),($M234*$AG234*$AJ234)-$AI234,0),0)</f>
        <v>4.98960593299546</v>
      </c>
      <c r="AS234" s="153" t="n">
        <f aca="false">IFERROR(IF(AND($N234="VCA",$AP234&gt;0),$AP234-$AI234-$AQ234-$AR234,0),0)</f>
        <v>12.53655</v>
      </c>
      <c r="AT234" s="153" t="n">
        <f aca="false">IFERROR(IF($N234="VCA",INDEX(APOIO_REDES!$A:$W,MATCH($C234&amp;$I234&amp;$H234&amp;$N234&amp;$O234,APOIO_REDES!$W:$W,0),MATCH(AT$5,APOIO_REDES!$5:$5,0)),0)*$AP234,0)</f>
        <v>0.206572304022067</v>
      </c>
      <c r="AU234" s="153" t="n">
        <f aca="false">IFERROR(IF($N234="VCA",INDEX(APOIO_REDES!$A:$W,MATCH($C234&amp;$I234&amp;$H234&amp;$N234&amp;$O234,APOIO_REDES!$W:$W,0),MATCH(AU$5,APOIO_REDES!$5:$5,0)),0)*$AP234,0)</f>
        <v>0.164963047304509</v>
      </c>
      <c r="AV234" s="153" t="n">
        <f aca="false">IFERROR(IF($N234="VCA",INDEX(APOIO_REDES!$A:$W,MATCH($C234&amp;$I234&amp;$H234&amp;$N234&amp;$O234,APOIO_REDES!$W:$W,0),MATCH(AV$5,APOIO_REDES!$5:$5,0)),0)*$AP234,0)</f>
        <v>0.0228295907362478</v>
      </c>
      <c r="AW234" s="153" t="n">
        <f aca="false">IFERROR(IF($N234="VCA",INDEX(APOIO_REDES!$A:$W,MATCH($C234&amp;$I234&amp;$H234&amp;$N234&amp;$O234,APOIO_REDES!$W:$W,0),MATCH(AW$5,APOIO_REDES!$5:$5,0)),0)*$AP234,0)</f>
        <v>13.0320747043977</v>
      </c>
      <c r="AX234" s="153" t="n">
        <f aca="false">IFERROR(IF($N234="VCA",INDEX(APOIO_REDES!$A:$W,MATCH($C234&amp;$I234&amp;$H234&amp;$N234&amp;$O234,APOIO_REDES!$W:$W,0),MATCH(AX$5,APOIO_REDES!$5:$5,0)),0)*$AP234,0)</f>
        <v>1.80360201652115</v>
      </c>
      <c r="AY234" s="153" t="n">
        <f aca="false">IFERROR(IF($N234="VCA",INDEX(APOIO_REDES!$A:$W,MATCH($C234&amp;$I234&amp;$H234&amp;$N234&amp;$O234,APOIO_REDES!$W:$W,0),MATCH(AY$5,APOIO_REDES!$5:$5,0)),0)*$AP234,0)</f>
        <v>3.299258935204</v>
      </c>
      <c r="AZ234" s="153" t="n">
        <f aca="false">IFERROR(IF($N234="VCA",INDEX(APOIO_REDES!$A:$W,MATCH($C234&amp;$I234&amp;$H234&amp;$N234&amp;$O234,APOIO_REDES!$W:$W,0),MATCH(AZ$5,APOIO_REDES!$5:$5,0)),0)*$AP234,0)</f>
        <v>0.45660790181435</v>
      </c>
      <c r="BA234" s="153" t="n">
        <f aca="false">IFERROR(IF(AND($N234="VCA",$Q234="LINEAR"),INDEX(APOIO_REDES!$A:$W,MATCH($C234&amp;$I234&amp;$H234&amp;$N234&amp;$O234,APOIO_REDES!$W:$W,0),MATCH(BA$5,APOIO_REDES!$5:$5,0)),IF(AND($N234="MND",$Q234="EMBOQUE"),INDEX(APOIO_REDES!$A:$W,MATCH($C234&amp;$I234&amp;$H234&amp;$N234&amp;$O234,APOIO_REDES!$W:$W,0),MATCH(BA$5,APOIO_REDES!$5:$5,0)),0))*$M234/10,0)</f>
        <v>1.72720394453469</v>
      </c>
      <c r="BB234" s="153" t="n">
        <f aca="false">IFERROR(IF($N234="VCA",INDEX(APOIO_REDES!$A:$W,MATCH($C234&amp;$I234&amp;$H234&amp;$N234&amp;$O234,APOIO_REDES!$W:$W,0),MATCH(BB$5,APOIO_REDES!$5:$5,0)),0)*($AI234+$AQ234+$AR234),0)</f>
        <v>6.37918757060732</v>
      </c>
      <c r="BC234" s="153" t="n">
        <f aca="false">IFERROR(IF($N234="VCA",INDEX(APOIO_REDES!$A:$W,MATCH($C234&amp;$I234&amp;$H234&amp;$N234&amp;$O234,APOIO_REDES!$W:$W,0),MATCH(BC$5,APOIO_REDES!$5:$5,0)),0)*($AI234+$AQ234+$AR234),0)</f>
        <v>0.0701709293926758</v>
      </c>
      <c r="BD234" s="153" t="n">
        <f aca="false">IF(AND($N234="VCA",$AF234&gt;=1.25,$AF234&lt;1.5),$M234*$AF234*2,0)</f>
        <v>58.41818</v>
      </c>
      <c r="BE234" s="153" t="n">
        <f aca="false">IF(AND($N234="VCA",$AF234&gt;=1.5,$AF234&lt;3),$M234*$AF234*2,0)</f>
        <v>0</v>
      </c>
      <c r="BF234" s="153" t="n">
        <f aca="false">IF(AND($N234="VCA",$AF234&gt;=3),$M234*$AF234*2,0)</f>
        <v>0</v>
      </c>
      <c r="BG234" s="153" t="n">
        <f aca="false">($BB234+$BC234)*$AK234</f>
        <v>27.0873057</v>
      </c>
      <c r="BH234" s="153" t="n">
        <f aca="false">IF(AND($M234&lt;&gt;"",$N234="VCA",$Q234="LINEAR"),($M234*2)/100,IF(AND($M234&lt;&gt;"",$N234="MND",$Q234="EMBOQUE"),($AN234*2)/100,0))</f>
        <v>0.4286</v>
      </c>
      <c r="BI234" s="153" t="n">
        <f aca="false">IF(AND($M234&lt;&gt;"",$N234="VCA",$Q234="LINEAR"),$M234,IF(AND($M234&lt;&gt;"",$N234="MND",$Q234="EMBOQUE"),$AN234*2,0))</f>
        <v>21.43</v>
      </c>
      <c r="BJ234" s="153" t="n">
        <f aca="false">IF(AND($M234&lt;&gt;"",$N234="VCA",$Q234="LINEAR"),($M234*6.8)/100,IF(AND($M234&lt;&gt;"",$N234="MND",$Q234="EMBOQUE"),($AN234*2*6.8)/100,0))</f>
        <v>1.45724</v>
      </c>
      <c r="BK234" s="153" t="n">
        <f aca="false">IF(AND($M234&lt;&gt;"",$N234="VCA",$Q234="LINEAR"),($M234*2.5)/50,IF(AND($M234&lt;&gt;"",$N234="MND",$Q234="EMBOQUE"),($AN234*2*2.5)/50,0))</f>
        <v>1.0715</v>
      </c>
      <c r="BL234" s="157" t="str">
        <f aca="false">K234&amp;J234</f>
        <v>Zona02REDES</v>
      </c>
      <c r="BM234" s="152" t="s">
        <v>2037</v>
      </c>
      <c r="BN234" s="152" t="s">
        <v>1560</v>
      </c>
      <c r="BO234" s="152" t="s">
        <v>2231</v>
      </c>
      <c r="BP234" s="152" t="s">
        <v>2413</v>
      </c>
      <c r="BQ234" s="152" t="s">
        <v>2232</v>
      </c>
      <c r="BR234" s="152" t="s">
        <v>2395</v>
      </c>
      <c r="BS234" s="152" t="n">
        <v>202559.889</v>
      </c>
      <c r="BT234" s="152" t="n">
        <v>8237616.022</v>
      </c>
      <c r="BU234" s="152" t="n">
        <v>202577.138</v>
      </c>
      <c r="BV234" s="152" t="n">
        <v>8237603.297</v>
      </c>
      <c r="BW234" s="152" t="n">
        <v>-15.9229366</v>
      </c>
      <c r="BX234" s="152" t="n">
        <v>-47.7779587</v>
      </c>
      <c r="BY234" s="152" t="s">
        <v>2413</v>
      </c>
    </row>
    <row r="235" customFormat="false" ht="13.8" hidden="false" customHeight="false" outlineLevel="0" collapsed="false">
      <c r="A235" s="149" t="n">
        <f aca="false">IF(C235&lt;&gt;"",ROW(A230),"")</f>
        <v>230</v>
      </c>
      <c r="B235" s="150" t="str">
        <f aca="false">HYPERLINK("https://www.google.com/maps/dir/-15.917302,-47.760003/-15.9230851,-47.7752330/data=!4m3!4m2!3e0!5i1")</f>
        <v>https://www.google.com/maps/dir/-15.917302,-47.760003/-15.9230851,-47.7752330/data=!4m3!4m2!3e0!5i1</v>
      </c>
      <c r="C235" s="151" t="s">
        <v>117</v>
      </c>
      <c r="D235" s="152" t="s">
        <v>112</v>
      </c>
      <c r="E235" s="152" t="s">
        <v>113</v>
      </c>
      <c r="F235" s="152" t="s">
        <v>117</v>
      </c>
      <c r="G235" s="152" t="s">
        <v>114</v>
      </c>
      <c r="H235" s="152" t="n">
        <v>160</v>
      </c>
      <c r="I235" s="152" t="s">
        <v>115</v>
      </c>
      <c r="J235" s="152" t="s">
        <v>6</v>
      </c>
      <c r="K235" s="152" t="s">
        <v>2033</v>
      </c>
      <c r="L235" s="152" t="s">
        <v>120</v>
      </c>
      <c r="M235" s="153" t="n">
        <f aca="false">26.3</f>
        <v>26.3</v>
      </c>
      <c r="N235" s="152" t="s">
        <v>1548</v>
      </c>
      <c r="O235" s="152" t="s">
        <v>1549</v>
      </c>
      <c r="P235" s="152" t="s">
        <v>1550</v>
      </c>
      <c r="Q235" s="152" t="s">
        <v>1551</v>
      </c>
      <c r="R235" s="154" t="s">
        <v>2420</v>
      </c>
      <c r="S235" s="154" t="s">
        <v>1593</v>
      </c>
      <c r="T235" s="155" t="s">
        <v>2227</v>
      </c>
      <c r="U235" s="152" t="str">
        <f aca="false">RIGHT(T235,7)</f>
        <v>008/037</v>
      </c>
      <c r="V235" s="152" t="s">
        <v>1555</v>
      </c>
      <c r="W235" s="156" t="n">
        <v>45882</v>
      </c>
      <c r="X235" s="152" t="s">
        <v>1594</v>
      </c>
      <c r="Y235" s="152" t="s">
        <v>2237</v>
      </c>
      <c r="Z235" s="152" t="s">
        <v>1557</v>
      </c>
      <c r="AA235" s="153" t="n">
        <v>3.8</v>
      </c>
      <c r="AB235" s="151" t="s">
        <v>2421</v>
      </c>
      <c r="AC235" s="151" t="s">
        <v>505</v>
      </c>
      <c r="AD235" s="151" t="str">
        <f aca="false">CONCATENATE($C235,$I235,$H235,$N235,$J235,$K235)</f>
        <v>TUBO PEADPEAD160VCAREDESZona02</v>
      </c>
      <c r="AE235" s="153" t="n">
        <f aca="false">IFERROR(INDEX(APOIO_REDES!$A:$W,MATCH($C235&amp;$I235&amp;$H235&amp;$N235&amp;$O235,APOIO_REDES!$W:$W,0),MATCH(AE$5,APOIO_REDES!$5:$5,0)),0)</f>
        <v>1.2</v>
      </c>
      <c r="AF235" s="153" t="n">
        <f aca="false">IFERROR(INDEX(APOIO_REDES!$A:$W,MATCH($C235&amp;$I235&amp;$H235&amp;$N235&amp;$O235,APOIO_REDES!$W:$W,0),MATCH(AF$5,APOIO_REDES!$5:$5,0)),0)</f>
        <v>1.46</v>
      </c>
      <c r="AG235" s="153" t="n">
        <f aca="false">IFERROR(INDEX(APOIO_REDES!$A:$W,MATCH($C235&amp;$I235&amp;$H235&amp;$N235&amp;$O235,APOIO_REDES!$W:$W,0),MATCH(AG$5,APOIO_REDES!$5:$5,0)),0)</f>
        <v>0.75</v>
      </c>
      <c r="AH235" s="153" t="n">
        <f aca="false">IFERROR(INDEX(APOIO_REDES!$A:$W,MATCH($C235&amp;$I235&amp;$H235&amp;$N235&amp;$O235,APOIO_REDES!$W:$W,0),MATCH(AH$5,APOIO_REDES!$5:$5,0)),0)</f>
        <v>0.1</v>
      </c>
      <c r="AI235" s="153" t="n">
        <f aca="false">IFERROR(IF($H235&lt;&gt;"",(((($H235/1000)/2)^2)*PI()*$M235),0),0)</f>
        <v>0.528792875452234</v>
      </c>
      <c r="AJ235" s="153" t="n">
        <f aca="false">IFERROR(IF(AND($H235&lt;&gt;"",$I235="FoFo",OR($N235="MND",$N235="VCA"),$Q235="LINEAR"),0,IF(AND($H235&lt;&gt;"",$I235="PEAD",$N235="VCA",$Q235="LINEAR"),($H235/1000)+0.3,IF(AND($H235&lt;&gt;"",$I235="PEAD",$N235="MND",$Q235="EMBOQUE"),0,IF(AND($H235&lt;&gt;"",$I235="PVC",$N235="VCA",$Q235="LINEAR"),($H235/1000)+0.2,IF(AND($H235&lt;&gt;"",$I235="PVC",$N235="MND",$Q235="EMBOQUE"),0,IF(AND($H235&lt;&gt;"",$I235="PEAD",$N235="VCA",$Q235="PREDIAL"),0,0)))))),0)</f>
        <v>0.46</v>
      </c>
      <c r="AK235" s="153" t="n">
        <f aca="false">IF(AA235&lt;&gt;"",AA235,0)</f>
        <v>3.8</v>
      </c>
      <c r="AL235" s="153" t="n">
        <f aca="false">IF(AND($N235="MND",$Q235="EMBOQUE"),$M235,IF(AND($N235="VCA",$Q235="LINEAR"),$M235,IF(AND($N235="VCA",$Q235="PREDIAL"),0,0)))</f>
        <v>26.3</v>
      </c>
      <c r="AM235" s="153" t="n">
        <f aca="false">IF(AND($N235="MND",$Q235="EMBOQUE"),$M235,IF(AND($N235="VCA",$Q235="LINEAR"),$M235,IF(AND($N235="VCA",$Q235="PREDIAL"),0,0)))</f>
        <v>26.3</v>
      </c>
      <c r="AN235" s="153" t="n">
        <f aca="false">ROUND(IF(AND($N235="VCA",$M235&lt;&gt;"",$Q235="LINEAR"),$M235/100,IF(AND($N235="MND",$M235&gt;100,$Q235="EMBOQUE"),$M235/100,0)),0)</f>
        <v>0</v>
      </c>
      <c r="AO235" s="153" t="n">
        <f aca="false">IF(AND($N235="MND",$Q235="EMBOQUE"),$AN235*2*2,IF(AND($N235="VCA",$Q235="LINEAR"),$M235*2,IF(AND($N235="VCA",$Q235="PREDIAL"),0,0)))</f>
        <v>52.6</v>
      </c>
      <c r="AP235" s="153" t="n">
        <f aca="false">IFERROR($M235*$AF235*$AG235,0)</f>
        <v>28.7985</v>
      </c>
      <c r="AQ235" s="153" t="n">
        <f aca="false">IFERROR(IF(AND($N235="VCA",$AH235&gt;0),$M235*$AG235*$AH235,0),0)</f>
        <v>1.9725</v>
      </c>
      <c r="AR235" s="153" t="n">
        <f aca="false">IFERROR(IF(AND($N235="VCA",$AJ235&gt;0),($M235*$AG235*$AJ235)-$AI235,0),0)</f>
        <v>8.54470712454777</v>
      </c>
      <c r="AS235" s="153" t="n">
        <f aca="false">IFERROR(IF(AND($N235="VCA",$AP235&gt;0),$AP235-$AI235-$AQ235-$AR235,0),0)</f>
        <v>17.7525</v>
      </c>
      <c r="AT235" s="153" t="n">
        <f aca="false">IFERROR(IF($N235="VCA",INDEX(APOIO_REDES!$A:$W,MATCH($C235&amp;$I235&amp;$H235&amp;$N235&amp;$O235,APOIO_REDES!$W:$W,0),MATCH(AT$5,APOIO_REDES!$5:$5,0)),0)*$AP235,0)</f>
        <v>0.313336203920897</v>
      </c>
      <c r="AU235" s="153" t="n">
        <f aca="false">IFERROR(IF($N235="VCA",INDEX(APOIO_REDES!$A:$W,MATCH($C235&amp;$I235&amp;$H235&amp;$N235&amp;$O235,APOIO_REDES!$W:$W,0),MATCH(AU$5,APOIO_REDES!$5:$5,0)),0)*$AP235,0)</f>
        <v>0.2502218062306</v>
      </c>
      <c r="AV235" s="153" t="n">
        <f aca="false">IFERROR(IF($N235="VCA",INDEX(APOIO_REDES!$A:$W,MATCH($C235&amp;$I235&amp;$H235&amp;$N235&amp;$O235,APOIO_REDES!$W:$W,0),MATCH(AV$5,APOIO_REDES!$5:$5,0)),0)*$AP235,0)</f>
        <v>0.034628733664119</v>
      </c>
      <c r="AW235" s="153" t="n">
        <f aca="false">IFERROR(IF($N235="VCA",INDEX(APOIO_REDES!$A:$W,MATCH($C235&amp;$I235&amp;$H235&amp;$N235&amp;$O235,APOIO_REDES!$W:$W,0),MATCH(AW$5,APOIO_REDES!$5:$5,0)),0)*$AP235,0)</f>
        <v>19.7675135416668</v>
      </c>
      <c r="AX235" s="153" t="n">
        <f aca="false">IFERROR(IF($N235="VCA",INDEX(APOIO_REDES!$A:$W,MATCH($C235&amp;$I235&amp;$H235&amp;$N235&amp;$O235,APOIO_REDES!$W:$W,0),MATCH(AX$5,APOIO_REDES!$5:$5,0)),0)*$AP235,0)</f>
        <v>2.73576756533849</v>
      </c>
      <c r="AY235" s="153" t="n">
        <f aca="false">IFERROR(IF($N235="VCA",INDEX(APOIO_REDES!$A:$W,MATCH($C235&amp;$I235&amp;$H235&amp;$N235&amp;$O235,APOIO_REDES!$W:$W,0),MATCH(AY$5,APOIO_REDES!$5:$5,0)),0)*$AP235,0)</f>
        <v>5.00443307442846</v>
      </c>
      <c r="AZ235" s="153" t="n">
        <f aca="false">IFERROR(IF($N235="VCA",INDEX(APOIO_REDES!$A:$W,MATCH($C235&amp;$I235&amp;$H235&amp;$N235&amp;$O235,APOIO_REDES!$W:$W,0),MATCH(AZ$5,APOIO_REDES!$5:$5,0)),0)*$AP235,0)</f>
        <v>0.692599074750653</v>
      </c>
      <c r="BA235" s="153" t="n">
        <f aca="false">IFERROR(IF(AND($N235="VCA",$Q235="LINEAR"),INDEX(APOIO_REDES!$A:$W,MATCH($C235&amp;$I235&amp;$H235&amp;$N235&amp;$O235,APOIO_REDES!$W:$W,0),MATCH(BA$5,APOIO_REDES!$5:$5,0)),IF(AND($N235="MND",$Q235="EMBOQUE"),INDEX(APOIO_REDES!$A:$W,MATCH($C235&amp;$I235&amp;$H235&amp;$N235&amp;$O235,APOIO_REDES!$W:$W,0),MATCH(BA$5,APOIO_REDES!$5:$5,0)),0))*$M235/10,0)</f>
        <v>2.11971366034822</v>
      </c>
      <c r="BB235" s="153" t="n">
        <f aca="false">IFERROR(IF($N235="VCA",INDEX(APOIO_REDES!$A:$W,MATCH($C235&amp;$I235&amp;$H235&amp;$N235&amp;$O235,APOIO_REDES!$W:$W,0),MATCH(BB$5,APOIO_REDES!$5:$5,0)),0)*($AI235+$AQ235+$AR235),0)</f>
        <v>10.9258162505509</v>
      </c>
      <c r="BC235" s="153" t="n">
        <f aca="false">IFERROR(IF($N235="VCA",INDEX(APOIO_REDES!$A:$W,MATCH($C235&amp;$I235&amp;$H235&amp;$N235&amp;$O235,APOIO_REDES!$W:$W,0),MATCH(BC$5,APOIO_REDES!$5:$5,0)),0)*($AI235+$AQ235+$AR235),0)</f>
        <v>0.120183749449111</v>
      </c>
      <c r="BD235" s="153" t="n">
        <f aca="false">IF(AND($N235="VCA",$AF235&gt;=1.25,$AF235&lt;1.5),$M235*$AF235*2,0)</f>
        <v>76.796</v>
      </c>
      <c r="BE235" s="153" t="n">
        <f aca="false">IF(AND($N235="VCA",$AF235&gt;=1.5,$AF235&lt;3),$M235*$AF235*2,0)</f>
        <v>0</v>
      </c>
      <c r="BF235" s="153" t="n">
        <f aca="false">IF(AND($N235="VCA",$AF235&gt;=3),$M235*$AF235*2,0)</f>
        <v>0</v>
      </c>
      <c r="BG235" s="153" t="n">
        <f aca="false">($BB235+$BC235)*$AK235</f>
        <v>41.9748</v>
      </c>
      <c r="BH235" s="153" t="n">
        <f aca="false">IF(AND($M235&lt;&gt;"",$N235="VCA",$Q235="LINEAR"),($M235*2)/100,IF(AND($M235&lt;&gt;"",$N235="MND",$Q235="EMBOQUE"),($AN235*2)/100,0))</f>
        <v>0.526</v>
      </c>
      <c r="BI235" s="153" t="n">
        <f aca="false">IF(AND($M235&lt;&gt;"",$N235="VCA",$Q235="LINEAR"),$M235,IF(AND($M235&lt;&gt;"",$N235="MND",$Q235="EMBOQUE"),$AN235*2,0))</f>
        <v>26.3</v>
      </c>
      <c r="BJ235" s="153" t="n">
        <f aca="false">IF(AND($M235&lt;&gt;"",$N235="VCA",$Q235="LINEAR"),($M235*6.8)/100,IF(AND($M235&lt;&gt;"",$N235="MND",$Q235="EMBOQUE"),($AN235*2*6.8)/100,0))</f>
        <v>1.7884</v>
      </c>
      <c r="BK235" s="153" t="n">
        <f aca="false">IF(AND($M235&lt;&gt;"",$N235="VCA",$Q235="LINEAR"),($M235*2.5)/50,IF(AND($M235&lt;&gt;"",$N235="MND",$Q235="EMBOQUE"),($AN235*2*2.5)/50,0))</f>
        <v>1.315</v>
      </c>
      <c r="BL235" s="157" t="str">
        <f aca="false">K235&amp;J235</f>
        <v>Zona02REDES</v>
      </c>
      <c r="BM235" s="152" t="s">
        <v>2037</v>
      </c>
      <c r="BN235" s="152" t="s">
        <v>1560</v>
      </c>
      <c r="BO235" s="152" t="s">
        <v>2231</v>
      </c>
      <c r="BP235" s="152" t="s">
        <v>2406</v>
      </c>
      <c r="BQ235" s="152" t="s">
        <v>2384</v>
      </c>
      <c r="BR235" s="152" t="s">
        <v>2422</v>
      </c>
      <c r="BS235" s="152" t="n">
        <v>202860.761</v>
      </c>
      <c r="BT235" s="152" t="n">
        <v>8237597.11</v>
      </c>
      <c r="BU235" s="152" t="n">
        <v>202875.848</v>
      </c>
      <c r="BV235" s="152" t="n">
        <v>8237618.658</v>
      </c>
      <c r="BW235" s="152" t="n">
        <v>-15.9229887</v>
      </c>
      <c r="BX235" s="152" t="n">
        <v>-47.7751613</v>
      </c>
      <c r="BY235" s="152" t="s">
        <v>2406</v>
      </c>
    </row>
    <row r="236" customFormat="false" ht="13.8" hidden="false" customHeight="false" outlineLevel="0" collapsed="false">
      <c r="A236" s="149" t="n">
        <f aca="false">IF(C236&lt;&gt;"",ROW(A231),"")</f>
        <v>231</v>
      </c>
      <c r="B236" s="150" t="str">
        <f aca="false">HYPERLINK("https://www.google.com/maps/dir/-15.917302,-47.760003/-15.9233116,-47.7774307/data=!4m3!4m2!3e0!5i2")</f>
        <v>https://www.google.com/maps/dir/-15.917302,-47.760003/-15.9233116,-47.7774307/data=!4m3!4m2!3e0!5i2</v>
      </c>
      <c r="C236" s="151" t="s">
        <v>117</v>
      </c>
      <c r="D236" s="152" t="s">
        <v>112</v>
      </c>
      <c r="E236" s="152" t="s">
        <v>113</v>
      </c>
      <c r="F236" s="152" t="s">
        <v>117</v>
      </c>
      <c r="G236" s="152" t="s">
        <v>782</v>
      </c>
      <c r="H236" s="152" t="n">
        <v>63</v>
      </c>
      <c r="I236" s="152" t="s">
        <v>115</v>
      </c>
      <c r="J236" s="152" t="s">
        <v>6</v>
      </c>
      <c r="K236" s="152" t="s">
        <v>2033</v>
      </c>
      <c r="L236" s="152" t="s">
        <v>120</v>
      </c>
      <c r="M236" s="153" t="n">
        <f aca="false">49.36</f>
        <v>49.36</v>
      </c>
      <c r="N236" s="152" t="s">
        <v>1548</v>
      </c>
      <c r="O236" s="152" t="s">
        <v>1549</v>
      </c>
      <c r="P236" s="152" t="s">
        <v>1550</v>
      </c>
      <c r="Q236" s="152" t="s">
        <v>1551</v>
      </c>
      <c r="R236" s="154" t="s">
        <v>2423</v>
      </c>
      <c r="S236" s="154" t="s">
        <v>1553</v>
      </c>
      <c r="T236" s="155" t="s">
        <v>2227</v>
      </c>
      <c r="U236" s="152" t="str">
        <f aca="false">RIGHT(T236,7)</f>
        <v>008/037</v>
      </c>
      <c r="V236" s="152" t="s">
        <v>1555</v>
      </c>
      <c r="W236" s="156" t="n">
        <v>45882</v>
      </c>
      <c r="X236" s="152" t="s">
        <v>1594</v>
      </c>
      <c r="Y236" s="152" t="s">
        <v>2400</v>
      </c>
      <c r="Z236" s="152" t="s">
        <v>1557</v>
      </c>
      <c r="AA236" s="153" t="n">
        <v>4.1</v>
      </c>
      <c r="AB236" s="151" t="s">
        <v>2424</v>
      </c>
      <c r="AC236" s="151" t="s">
        <v>186</v>
      </c>
      <c r="AD236" s="151" t="str">
        <f aca="false">CONCATENATE($C236,$I236,$H236,$N236,$J236,$K236)</f>
        <v>TUBO PEADPEAD63VCAREDESZona02</v>
      </c>
      <c r="AE236" s="153" t="n">
        <f aca="false">IFERROR(INDEX(APOIO_REDES!$A:$W,MATCH($C236&amp;$I236&amp;$H236&amp;$N236&amp;$O236,APOIO_REDES!$W:$W,0),MATCH(AE$5,APOIO_REDES!$5:$5,0)),0)</f>
        <v>1.2</v>
      </c>
      <c r="AF236" s="153" t="n">
        <f aca="false">IFERROR(INDEX(APOIO_REDES!$A:$W,MATCH($C236&amp;$I236&amp;$H236&amp;$N236&amp;$O236,APOIO_REDES!$W:$W,0),MATCH(AF$5,APOIO_REDES!$5:$5,0)),0)</f>
        <v>1.363</v>
      </c>
      <c r="AG236" s="153" t="n">
        <f aca="false">IFERROR(INDEX(APOIO_REDES!$A:$W,MATCH($C236&amp;$I236&amp;$H236&amp;$N236&amp;$O236,APOIO_REDES!$W:$W,0),MATCH(AG$5,APOIO_REDES!$5:$5,0)),0)</f>
        <v>0.65</v>
      </c>
      <c r="AH236" s="153" t="n">
        <f aca="false">IFERROR(INDEX(APOIO_REDES!$A:$W,MATCH($C236&amp;$I236&amp;$H236&amp;$N236&amp;$O236,APOIO_REDES!$W:$W,0),MATCH(AH$5,APOIO_REDES!$5:$5,0)),0)</f>
        <v>0.1</v>
      </c>
      <c r="AI236" s="153" t="n">
        <f aca="false">IFERROR(IF($H236&lt;&gt;"",(((($H236/1000)/2)^2)*PI()*$M236),0),0)</f>
        <v>0.153867228527488</v>
      </c>
      <c r="AJ236" s="153" t="n">
        <f aca="false">IFERROR(IF(AND($H236&lt;&gt;"",$I236="FoFo",OR($N236="MND",$N236="VCA"),$Q236="LINEAR"),0,IF(AND($H236&lt;&gt;"",$I236="PEAD",$N236="VCA",$Q236="LINEAR"),($H236/1000)+0.3,IF(AND($H236&lt;&gt;"",$I236="PEAD",$N236="MND",$Q236="EMBOQUE"),0,IF(AND($H236&lt;&gt;"",$I236="PVC",$N236="VCA",$Q236="LINEAR"),($H236/1000)+0.2,IF(AND($H236&lt;&gt;"",$I236="PVC",$N236="MND",$Q236="EMBOQUE"),0,IF(AND($H236&lt;&gt;"",$I236="PEAD",$N236="VCA",$Q236="PREDIAL"),0,0)))))),0)</f>
        <v>0.363</v>
      </c>
      <c r="AK236" s="153" t="n">
        <f aca="false">IF(AA236&lt;&gt;"",AA236,0)</f>
        <v>4.1</v>
      </c>
      <c r="AL236" s="153" t="n">
        <f aca="false">IF(AND($N236="MND",$Q236="EMBOQUE"),$M236,IF(AND($N236="VCA",$Q236="LINEAR"),$M236,IF(AND($N236="VCA",$Q236="PREDIAL"),0,0)))</f>
        <v>49.36</v>
      </c>
      <c r="AM236" s="153" t="n">
        <f aca="false">IF(AND($N236="MND",$Q236="EMBOQUE"),$M236,IF(AND($N236="VCA",$Q236="LINEAR"),$M236,IF(AND($N236="VCA",$Q236="PREDIAL"),0,0)))</f>
        <v>49.36</v>
      </c>
      <c r="AN236" s="153" t="n">
        <f aca="false">ROUND(IF(AND($N236="VCA",$M236&lt;&gt;"",$Q236="LINEAR"),$M236/100,IF(AND($N236="MND",$M236&gt;100,$Q236="EMBOQUE"),$M236/100,0)),0)</f>
        <v>0</v>
      </c>
      <c r="AO236" s="153" t="n">
        <f aca="false">IF(AND($N236="MND",$Q236="EMBOQUE"),$AN236*2*2,IF(AND($N236="VCA",$Q236="LINEAR"),$M236*2,IF(AND($N236="VCA",$Q236="PREDIAL"),0,0)))</f>
        <v>98.72</v>
      </c>
      <c r="AP236" s="153" t="n">
        <f aca="false">IFERROR($M236*$AF236*$AG236,0)</f>
        <v>43.730492</v>
      </c>
      <c r="AQ236" s="153" t="n">
        <f aca="false">IFERROR(IF(AND($N236="VCA",$AH236&gt;0),$M236*$AG236*$AH236,0),0)</f>
        <v>3.2084</v>
      </c>
      <c r="AR236" s="153" t="n">
        <f aca="false">IFERROR(IF(AND($N236="VCA",$AJ236&gt;0),($M236*$AG236*$AJ236)-$AI236,0),0)</f>
        <v>11.4926247714725</v>
      </c>
      <c r="AS236" s="153" t="n">
        <f aca="false">IFERROR(IF(AND($N236="VCA",$AP236&gt;0),$AP236-$AI236-$AQ236-$AR236,0),0)</f>
        <v>28.8756</v>
      </c>
      <c r="AT236" s="153" t="n">
        <f aca="false">IFERROR(IF($N236="VCA",INDEX(APOIO_REDES!$A:$W,MATCH($C236&amp;$I236&amp;$H236&amp;$N236&amp;$O236,APOIO_REDES!$W:$W,0),MATCH(AT$5,APOIO_REDES!$5:$5,0)),0)*$AP236,0)</f>
        <v>0.475800696524929</v>
      </c>
      <c r="AU236" s="153" t="n">
        <f aca="false">IFERROR(IF($N236="VCA",INDEX(APOIO_REDES!$A:$W,MATCH($C236&amp;$I236&amp;$H236&amp;$N236&amp;$O236,APOIO_REDES!$W:$W,0),MATCH(AU$5,APOIO_REDES!$5:$5,0)),0)*$AP236,0)</f>
        <v>0.379961549927697</v>
      </c>
      <c r="AV236" s="153" t="n">
        <f aca="false">IFERROR(IF($N236="VCA",INDEX(APOIO_REDES!$A:$W,MATCH($C236&amp;$I236&amp;$H236&amp;$N236&amp;$O236,APOIO_REDES!$W:$W,0),MATCH(AV$5,APOIO_REDES!$5:$5,0)),0)*$AP236,0)</f>
        <v>0.052583695694876</v>
      </c>
      <c r="AW236" s="153" t="n">
        <f aca="false">IFERROR(IF($N236="VCA",INDEX(APOIO_REDES!$A:$W,MATCH($C236&amp;$I236&amp;$H236&amp;$N236&amp;$O236,APOIO_REDES!$W:$W,0),MATCH(AW$5,APOIO_REDES!$5:$5,0)),0)*$AP236,0)</f>
        <v>30.0169485491866</v>
      </c>
      <c r="AX236" s="153" t="n">
        <f aca="false">IFERROR(IF($N236="VCA",INDEX(APOIO_REDES!$A:$W,MATCH($C236&amp;$I236&amp;$H236&amp;$N236&amp;$O236,APOIO_REDES!$W:$W,0),MATCH(AX$5,APOIO_REDES!$5:$5,0)),0)*$AP236,0)</f>
        <v>4.15426017431097</v>
      </c>
      <c r="AY236" s="153" t="n">
        <f aca="false">IFERROR(IF($N236="VCA",INDEX(APOIO_REDES!$A:$W,MATCH($C236&amp;$I236&amp;$H236&amp;$N236&amp;$O236,APOIO_REDES!$W:$W,0),MATCH(AY$5,APOIO_REDES!$5:$5,0)),0)*$AP236,0)</f>
        <v>7.59922636685346</v>
      </c>
      <c r="AZ236" s="153" t="n">
        <f aca="false">IFERROR(IF($N236="VCA",INDEX(APOIO_REDES!$A:$W,MATCH($C236&amp;$I236&amp;$H236&amp;$N236&amp;$O236,APOIO_REDES!$W:$W,0),MATCH(AZ$5,APOIO_REDES!$5:$5,0)),0)*$AP236,0)</f>
        <v>1.05171096750146</v>
      </c>
      <c r="BA236" s="153" t="n">
        <f aca="false">IFERROR(IF(AND($N236="VCA",$Q236="LINEAR"),INDEX(APOIO_REDES!$A:$W,MATCH($C236&amp;$I236&amp;$H236&amp;$N236&amp;$O236,APOIO_REDES!$W:$W,0),MATCH(BA$5,APOIO_REDES!$5:$5,0)),IF(AND($N236="MND",$Q236="EMBOQUE"),INDEX(APOIO_REDES!$A:$W,MATCH($C236&amp;$I236&amp;$H236&amp;$N236&amp;$O236,APOIO_REDES!$W:$W,0),MATCH(BA$5,APOIO_REDES!$5:$5,0)),0))*$M236/10,0)</f>
        <v>3.97829149333796</v>
      </c>
      <c r="BB236" s="153" t="n">
        <f aca="false">IFERROR(IF($N236="VCA",INDEX(APOIO_REDES!$A:$W,MATCH($C236&amp;$I236&amp;$H236&amp;$N236&amp;$O236,APOIO_REDES!$W:$W,0),MATCH(BB$5,APOIO_REDES!$5:$5,0)),0)*($AI236+$AQ236+$AR236),0)</f>
        <v>14.6932663782164</v>
      </c>
      <c r="BC236" s="153" t="n">
        <f aca="false">IFERROR(IF($N236="VCA",INDEX(APOIO_REDES!$A:$W,MATCH($C236&amp;$I236&amp;$H236&amp;$N236&amp;$O236,APOIO_REDES!$W:$W,0),MATCH(BC$5,APOIO_REDES!$5:$5,0)),0)*($AI236+$AQ236+$AR236),0)</f>
        <v>0.161625621783597</v>
      </c>
      <c r="BD236" s="153" t="n">
        <f aca="false">IF(AND($N236="VCA",$AF236&gt;=1.25,$AF236&lt;1.5),$M236*$AF236*2,0)</f>
        <v>134.55536</v>
      </c>
      <c r="BE236" s="153" t="n">
        <f aca="false">IF(AND($N236="VCA",$AF236&gt;=1.5,$AF236&lt;3),$M236*$AF236*2,0)</f>
        <v>0</v>
      </c>
      <c r="BF236" s="153" t="n">
        <f aca="false">IF(AND($N236="VCA",$AF236&gt;=3),$M236*$AF236*2,0)</f>
        <v>0</v>
      </c>
      <c r="BG236" s="153" t="n">
        <f aca="false">($BB236+$BC236)*$AK236</f>
        <v>60.9050572</v>
      </c>
      <c r="BH236" s="153" t="n">
        <f aca="false">IF(AND($M236&lt;&gt;"",$N236="VCA",$Q236="LINEAR"),($M236*2)/100,IF(AND($M236&lt;&gt;"",$N236="MND",$Q236="EMBOQUE"),($AN236*2)/100,0))</f>
        <v>0.9872</v>
      </c>
      <c r="BI236" s="153" t="n">
        <f aca="false">IF(AND($M236&lt;&gt;"",$N236="VCA",$Q236="LINEAR"),$M236,IF(AND($M236&lt;&gt;"",$N236="MND",$Q236="EMBOQUE"),$AN236*2,0))</f>
        <v>49.36</v>
      </c>
      <c r="BJ236" s="153" t="n">
        <f aca="false">IF(AND($M236&lt;&gt;"",$N236="VCA",$Q236="LINEAR"),($M236*6.8)/100,IF(AND($M236&lt;&gt;"",$N236="MND",$Q236="EMBOQUE"),($AN236*2*6.8)/100,0))</f>
        <v>3.35648</v>
      </c>
      <c r="BK236" s="153" t="n">
        <f aca="false">IF(AND($M236&lt;&gt;"",$N236="VCA",$Q236="LINEAR"),($M236*2.5)/50,IF(AND($M236&lt;&gt;"",$N236="MND",$Q236="EMBOQUE"),($AN236*2*2.5)/50,0))</f>
        <v>2.468</v>
      </c>
      <c r="BL236" s="157" t="str">
        <f aca="false">K236&amp;J236</f>
        <v>Zona02REDES</v>
      </c>
      <c r="BM236" s="152" t="s">
        <v>2037</v>
      </c>
      <c r="BN236" s="152" t="s">
        <v>1560</v>
      </c>
      <c r="BO236" s="152" t="s">
        <v>2231</v>
      </c>
      <c r="BP236" s="152" t="s">
        <v>2425</v>
      </c>
      <c r="BQ236" s="152" t="s">
        <v>2402</v>
      </c>
      <c r="BR236" s="152" t="s">
        <v>2426</v>
      </c>
      <c r="BS236" s="152" t="n">
        <v>202625.635</v>
      </c>
      <c r="BT236" s="152" t="n">
        <v>8237568.898</v>
      </c>
      <c r="BU236" s="152" t="n">
        <v>202653.487</v>
      </c>
      <c r="BV236" s="152" t="n">
        <v>8237609.515</v>
      </c>
      <c r="BW236" s="152" t="n">
        <v>-15.9231234</v>
      </c>
      <c r="BX236" s="152" t="n">
        <v>-47.777308</v>
      </c>
      <c r="BY236" s="152" t="s">
        <v>2425</v>
      </c>
    </row>
    <row r="237" customFormat="false" ht="13.8" hidden="false" customHeight="false" outlineLevel="0" collapsed="false">
      <c r="A237" s="149" t="n">
        <f aca="false">IF(C237&lt;&gt;"",ROW(A232),"")</f>
        <v>232</v>
      </c>
      <c r="B237" s="150" t="str">
        <f aca="false">HYPERLINK("https://www.google.com/maps/dir/-15.917302,-47.760003/-15.9233190,-47.7774334/data=!4m3!4m2!3e0!5i2")</f>
        <v>https://www.google.com/maps/dir/-15.917302,-47.760003/-15.9233190,-47.7774334/data=!4m3!4m2!3e0!5i2</v>
      </c>
      <c r="C237" s="151" t="s">
        <v>117</v>
      </c>
      <c r="D237" s="152" t="s">
        <v>112</v>
      </c>
      <c r="E237" s="152" t="s">
        <v>113</v>
      </c>
      <c r="F237" s="152" t="s">
        <v>117</v>
      </c>
      <c r="G237" s="152" t="s">
        <v>782</v>
      </c>
      <c r="H237" s="152" t="n">
        <v>63</v>
      </c>
      <c r="I237" s="152" t="s">
        <v>115</v>
      </c>
      <c r="J237" s="152" t="s">
        <v>6</v>
      </c>
      <c r="K237" s="152" t="s">
        <v>2033</v>
      </c>
      <c r="L237" s="152" t="s">
        <v>120</v>
      </c>
      <c r="M237" s="153" t="n">
        <f aca="false">59.97+0.23</f>
        <v>60.2</v>
      </c>
      <c r="N237" s="152" t="s">
        <v>1548</v>
      </c>
      <c r="O237" s="152" t="s">
        <v>1549</v>
      </c>
      <c r="P237" s="152" t="s">
        <v>1550</v>
      </c>
      <c r="Q237" s="152" t="s">
        <v>1551</v>
      </c>
      <c r="R237" s="154" t="s">
        <v>2427</v>
      </c>
      <c r="S237" s="154" t="s">
        <v>1553</v>
      </c>
      <c r="T237" s="155" t="s">
        <v>2227</v>
      </c>
      <c r="U237" s="152" t="str">
        <f aca="false">RIGHT(T237,7)</f>
        <v>008/037</v>
      </c>
      <c r="V237" s="152" t="s">
        <v>1555</v>
      </c>
      <c r="W237" s="156" t="n">
        <v>45882</v>
      </c>
      <c r="X237" s="152" t="s">
        <v>1594</v>
      </c>
      <c r="Y237" s="152" t="s">
        <v>2400</v>
      </c>
      <c r="Z237" s="152" t="s">
        <v>1557</v>
      </c>
      <c r="AA237" s="153" t="n">
        <v>4.1</v>
      </c>
      <c r="AB237" s="151" t="s">
        <v>2428</v>
      </c>
      <c r="AC237" s="151" t="s">
        <v>186</v>
      </c>
      <c r="AD237" s="151" t="str">
        <f aca="false">CONCATENATE($C237,$I237,$H237,$N237,$J237,$K237)</f>
        <v>TUBO PEADPEAD63VCAREDESZona02</v>
      </c>
      <c r="AE237" s="153" t="n">
        <f aca="false">IFERROR(INDEX(APOIO_REDES!$A:$W,MATCH($C237&amp;$I237&amp;$H237&amp;$N237&amp;$O237,APOIO_REDES!$W:$W,0),MATCH(AE$5,APOIO_REDES!$5:$5,0)),0)</f>
        <v>1.2</v>
      </c>
      <c r="AF237" s="153" t="n">
        <f aca="false">IFERROR(INDEX(APOIO_REDES!$A:$W,MATCH($C237&amp;$I237&amp;$H237&amp;$N237&amp;$O237,APOIO_REDES!$W:$W,0),MATCH(AF$5,APOIO_REDES!$5:$5,0)),0)</f>
        <v>1.363</v>
      </c>
      <c r="AG237" s="153" t="n">
        <f aca="false">IFERROR(INDEX(APOIO_REDES!$A:$W,MATCH($C237&amp;$I237&amp;$H237&amp;$N237&amp;$O237,APOIO_REDES!$W:$W,0),MATCH(AG$5,APOIO_REDES!$5:$5,0)),0)</f>
        <v>0.65</v>
      </c>
      <c r="AH237" s="153" t="n">
        <f aca="false">IFERROR(INDEX(APOIO_REDES!$A:$W,MATCH($C237&amp;$I237&amp;$H237&amp;$N237&amp;$O237,APOIO_REDES!$W:$W,0),MATCH(AH$5,APOIO_REDES!$5:$5,0)),0)</f>
        <v>0.1</v>
      </c>
      <c r="AI237" s="153" t="n">
        <f aca="false">IFERROR(IF($H237&lt;&gt;"",(((($H237/1000)/2)^2)*PI()*$M237),0),0)</f>
        <v>0.187658167693573</v>
      </c>
      <c r="AJ237" s="153" t="n">
        <f aca="false">IFERROR(IF(AND($H237&lt;&gt;"",$I237="FoFo",OR($N237="MND",$N237="VCA"),$Q237="LINEAR"),0,IF(AND($H237&lt;&gt;"",$I237="PEAD",$N237="VCA",$Q237="LINEAR"),($H237/1000)+0.3,IF(AND($H237&lt;&gt;"",$I237="PEAD",$N237="MND",$Q237="EMBOQUE"),0,IF(AND($H237&lt;&gt;"",$I237="PVC",$N237="VCA",$Q237="LINEAR"),($H237/1000)+0.2,IF(AND($H237&lt;&gt;"",$I237="PVC",$N237="MND",$Q237="EMBOQUE"),0,IF(AND($H237&lt;&gt;"",$I237="PEAD",$N237="VCA",$Q237="PREDIAL"),0,0)))))),0)</f>
        <v>0.363</v>
      </c>
      <c r="AK237" s="153" t="n">
        <f aca="false">IF(AA237&lt;&gt;"",AA237,0)</f>
        <v>4.1</v>
      </c>
      <c r="AL237" s="153" t="n">
        <f aca="false">IF(AND($N237="MND",$Q237="EMBOQUE"),$M237,IF(AND($N237="VCA",$Q237="LINEAR"),$M237,IF(AND($N237="VCA",$Q237="PREDIAL"),0,0)))</f>
        <v>60.2</v>
      </c>
      <c r="AM237" s="153" t="n">
        <f aca="false">IF(AND($N237="MND",$Q237="EMBOQUE"),$M237,IF(AND($N237="VCA",$Q237="LINEAR"),$M237,IF(AND($N237="VCA",$Q237="PREDIAL"),0,0)))</f>
        <v>60.2</v>
      </c>
      <c r="AN237" s="153" t="n">
        <f aca="false">ROUND(IF(AND($N237="VCA",$M237&lt;&gt;"",$Q237="LINEAR"),$M237/100,IF(AND($N237="MND",$M237&gt;100,$Q237="EMBOQUE"),$M237/100,0)),0)</f>
        <v>1</v>
      </c>
      <c r="AO237" s="153" t="n">
        <f aca="false">IF(AND($N237="MND",$Q237="EMBOQUE"),$AN237*2*2,IF(AND($N237="VCA",$Q237="LINEAR"),$M237*2,IF(AND($N237="VCA",$Q237="PREDIAL"),0,0)))</f>
        <v>120.4</v>
      </c>
      <c r="AP237" s="153" t="n">
        <f aca="false">IFERROR($M237*$AF237*$AG237,0)</f>
        <v>53.33419</v>
      </c>
      <c r="AQ237" s="153" t="n">
        <f aca="false">IFERROR(IF(AND($N237="VCA",$AH237&gt;0),$M237*$AG237*$AH237,0),0)</f>
        <v>3.913</v>
      </c>
      <c r="AR237" s="153" t="n">
        <f aca="false">IFERROR(IF(AND($N237="VCA",$AJ237&gt;0),($M237*$AG237*$AJ237)-$AI237,0),0)</f>
        <v>14.0165318323064</v>
      </c>
      <c r="AS237" s="153" t="n">
        <f aca="false">IFERROR(IF(AND($N237="VCA",$AP237&gt;0),$AP237-$AI237-$AQ237-$AR237,0),0)</f>
        <v>35.217</v>
      </c>
      <c r="AT237" s="153" t="n">
        <f aca="false">IFERROR(IF($N237="VCA",INDEX(APOIO_REDES!$A:$W,MATCH($C237&amp;$I237&amp;$H237&amp;$N237&amp;$O237,APOIO_REDES!$W:$W,0),MATCH(AT$5,APOIO_REDES!$5:$5,0)),0)*$AP237,0)</f>
        <v>0.58029177331444</v>
      </c>
      <c r="AU237" s="153" t="n">
        <f aca="false">IFERROR(IF($N237="VCA",INDEX(APOIO_REDES!$A:$W,MATCH($C237&amp;$I237&amp;$H237&amp;$N237&amp;$O237,APOIO_REDES!$W:$W,0),MATCH(AU$5,APOIO_REDES!$5:$5,0)),0)*$AP237,0)</f>
        <v>0.463405293874542</v>
      </c>
      <c r="AV237" s="153" t="n">
        <f aca="false">IFERROR(IF($N237="VCA",INDEX(APOIO_REDES!$A:$W,MATCH($C237&amp;$I237&amp;$H237&amp;$N237&amp;$O237,APOIO_REDES!$W:$W,0),MATCH(AV$5,APOIO_REDES!$5:$5,0)),0)*$AP237,0)</f>
        <v>0.0641316547980456</v>
      </c>
      <c r="AW237" s="153" t="n">
        <f aca="false">IFERROR(IF($N237="VCA",INDEX(APOIO_REDES!$A:$W,MATCH($C237&amp;$I237&amp;$H237&amp;$N237&amp;$O237,APOIO_REDES!$W:$W,0),MATCH(AW$5,APOIO_REDES!$5:$5,0)),0)*$AP237,0)</f>
        <v>36.6090012694699</v>
      </c>
      <c r="AX237" s="153" t="n">
        <f aca="false">IFERROR(IF($N237="VCA",INDEX(APOIO_REDES!$A:$W,MATCH($C237&amp;$I237&amp;$H237&amp;$N237&amp;$O237,APOIO_REDES!$W:$W,0),MATCH(AX$5,APOIO_REDES!$5:$5,0)),0)*$AP237,0)</f>
        <v>5.06658149298056</v>
      </c>
      <c r="AY237" s="153" t="n">
        <f aca="false">IFERROR(IF($N237="VCA",INDEX(APOIO_REDES!$A:$W,MATCH($C237&amp;$I237&amp;$H237&amp;$N237&amp;$O237,APOIO_REDES!$W:$W,0),MATCH(AY$5,APOIO_REDES!$5:$5,0)),0)*$AP237,0)</f>
        <v>9.26810022861787</v>
      </c>
      <c r="AZ237" s="153" t="n">
        <f aca="false">IFERROR(IF($N237="VCA",INDEX(APOIO_REDES!$A:$W,MATCH($C237&amp;$I237&amp;$H237&amp;$N237&amp;$O237,APOIO_REDES!$W:$W,0),MATCH(AZ$5,APOIO_REDES!$5:$5,0)),0)*$AP237,0)</f>
        <v>1.28267828694465</v>
      </c>
      <c r="BA237" s="153" t="n">
        <f aca="false">IFERROR(IF(AND($N237="VCA",$Q237="LINEAR"),INDEX(APOIO_REDES!$A:$W,MATCH($C237&amp;$I237&amp;$H237&amp;$N237&amp;$O237,APOIO_REDES!$W:$W,0),MATCH(BA$5,APOIO_REDES!$5:$5,0)),IF(AND($N237="MND",$Q237="EMBOQUE"),INDEX(APOIO_REDES!$A:$W,MATCH($C237&amp;$I237&amp;$H237&amp;$N237&amp;$O237,APOIO_REDES!$W:$W,0),MATCH(BA$5,APOIO_REDES!$5:$5,0)),0))*$M237/10,0)</f>
        <v>4.85196815030277</v>
      </c>
      <c r="BB237" s="153" t="n">
        <f aca="false">IFERROR(IF($N237="VCA",INDEX(APOIO_REDES!$A:$W,MATCH($C237&amp;$I237&amp;$H237&amp;$N237&amp;$O237,APOIO_REDES!$W:$W,0),MATCH(BB$5,APOIO_REDES!$5:$5,0)),0)*($AI237+$AQ237+$AR237),0)</f>
        <v>17.9200696103855</v>
      </c>
      <c r="BC237" s="153" t="n">
        <f aca="false">IFERROR(IF($N237="VCA",INDEX(APOIO_REDES!$A:$W,MATCH($C237&amp;$I237&amp;$H237&amp;$N237&amp;$O237,APOIO_REDES!$W:$W,0),MATCH(BC$5,APOIO_REDES!$5:$5,0)),0)*($AI237+$AQ237+$AR237),0)</f>
        <v>0.197120389614516</v>
      </c>
      <c r="BD237" s="153" t="n">
        <f aca="false">IF(AND($N237="VCA",$AF237&gt;=1.25,$AF237&lt;1.5),$M237*$AF237*2,0)</f>
        <v>164.1052</v>
      </c>
      <c r="BE237" s="153" t="n">
        <f aca="false">IF(AND($N237="VCA",$AF237&gt;=1.5,$AF237&lt;3),$M237*$AF237*2,0)</f>
        <v>0</v>
      </c>
      <c r="BF237" s="153" t="n">
        <f aca="false">IF(AND($N237="VCA",$AF237&gt;=3),$M237*$AF237*2,0)</f>
        <v>0</v>
      </c>
      <c r="BG237" s="153" t="n">
        <f aca="false">($BB237+$BC237)*$AK237</f>
        <v>74.280479</v>
      </c>
      <c r="BH237" s="153" t="n">
        <f aca="false">IF(AND($M237&lt;&gt;"",$N237="VCA",$Q237="LINEAR"),($M237*2)/100,IF(AND($M237&lt;&gt;"",$N237="MND",$Q237="EMBOQUE"),($AN237*2)/100,0))</f>
        <v>1.204</v>
      </c>
      <c r="BI237" s="153" t="n">
        <f aca="false">IF(AND($M237&lt;&gt;"",$N237="VCA",$Q237="LINEAR"),$M237,IF(AND($M237&lt;&gt;"",$N237="MND",$Q237="EMBOQUE"),$AN237*2,0))</f>
        <v>60.2</v>
      </c>
      <c r="BJ237" s="153" t="n">
        <f aca="false">IF(AND($M237&lt;&gt;"",$N237="VCA",$Q237="LINEAR"),($M237*6.8)/100,IF(AND($M237&lt;&gt;"",$N237="MND",$Q237="EMBOQUE"),($AN237*2*6.8)/100,0))</f>
        <v>4.0936</v>
      </c>
      <c r="BK237" s="153" t="n">
        <f aca="false">IF(AND($M237&lt;&gt;"",$N237="VCA",$Q237="LINEAR"),($M237*2.5)/50,IF(AND($M237&lt;&gt;"",$N237="MND",$Q237="EMBOQUE"),($AN237*2*2.5)/50,0))</f>
        <v>3.01</v>
      </c>
      <c r="BL237" s="157" t="str">
        <f aca="false">K237&amp;J237</f>
        <v>Zona02REDES</v>
      </c>
      <c r="BM237" s="152" t="s">
        <v>2037</v>
      </c>
      <c r="BN237" s="152" t="s">
        <v>1560</v>
      </c>
      <c r="BO237" s="152" t="s">
        <v>2231</v>
      </c>
      <c r="BP237" s="152" t="s">
        <v>2232</v>
      </c>
      <c r="BQ237" s="152" t="s">
        <v>2429</v>
      </c>
      <c r="BR237" s="152" t="s">
        <v>2430</v>
      </c>
      <c r="BS237" s="152" t="n">
        <v>202577.149</v>
      </c>
      <c r="BT237" s="152" t="n">
        <v>8237603.306</v>
      </c>
      <c r="BU237" s="152" t="n">
        <v>202625.36</v>
      </c>
      <c r="BV237" s="152" t="n">
        <v>8237568.363</v>
      </c>
      <c r="BW237" s="152" t="n">
        <v>-15.9231598</v>
      </c>
      <c r="BX237" s="152" t="n">
        <v>-47.777658</v>
      </c>
      <c r="BY237" s="152" t="s">
        <v>2429</v>
      </c>
    </row>
    <row r="238" customFormat="false" ht="13.8" hidden="false" customHeight="false" outlineLevel="0" collapsed="false">
      <c r="A238" s="149" t="n">
        <f aca="false">IF(C238&lt;&gt;"",ROW(A233),"")</f>
        <v>233</v>
      </c>
      <c r="B238" s="150" t="str">
        <f aca="false">HYPERLINK("https://www.google.com/maps/dir/-15.917302,-47.760003/-15.9233072,-47.7764491/data=!4m3!4m2!3e0!5i2")</f>
        <v>https://www.google.com/maps/dir/-15.917302,-47.760003/-15.9233072,-47.7764491/data=!4m3!4m2!3e0!5i2</v>
      </c>
      <c r="C238" s="151" t="s">
        <v>117</v>
      </c>
      <c r="D238" s="152" t="s">
        <v>112</v>
      </c>
      <c r="E238" s="152" t="s">
        <v>113</v>
      </c>
      <c r="F238" s="152" t="s">
        <v>117</v>
      </c>
      <c r="G238" s="152" t="s">
        <v>782</v>
      </c>
      <c r="H238" s="152" t="n">
        <v>90</v>
      </c>
      <c r="I238" s="152" t="s">
        <v>115</v>
      </c>
      <c r="J238" s="152" t="s">
        <v>6</v>
      </c>
      <c r="K238" s="152" t="s">
        <v>2033</v>
      </c>
      <c r="L238" s="152" t="s">
        <v>120</v>
      </c>
      <c r="M238" s="153" t="n">
        <f aca="false">38.69</f>
        <v>38.69</v>
      </c>
      <c r="N238" s="152" t="s">
        <v>1548</v>
      </c>
      <c r="O238" s="152" t="s">
        <v>1549</v>
      </c>
      <c r="P238" s="152" t="s">
        <v>1550</v>
      </c>
      <c r="Q238" s="152" t="s">
        <v>1551</v>
      </c>
      <c r="R238" s="154" t="s">
        <v>2431</v>
      </c>
      <c r="S238" s="154" t="s">
        <v>1593</v>
      </c>
      <c r="T238" s="155" t="s">
        <v>2227</v>
      </c>
      <c r="U238" s="152" t="str">
        <f aca="false">RIGHT(T238,7)</f>
        <v>008/037</v>
      </c>
      <c r="V238" s="152" t="s">
        <v>1555</v>
      </c>
      <c r="W238" s="156" t="n">
        <v>45882</v>
      </c>
      <c r="X238" s="152" t="s">
        <v>1594</v>
      </c>
      <c r="Y238" s="152" t="s">
        <v>2387</v>
      </c>
      <c r="Z238" s="152" t="s">
        <v>1557</v>
      </c>
      <c r="AA238" s="153" t="n">
        <v>3.9</v>
      </c>
      <c r="AB238" s="151" t="s">
        <v>2432</v>
      </c>
      <c r="AC238" s="151" t="s">
        <v>526</v>
      </c>
      <c r="AD238" s="151" t="str">
        <f aca="false">CONCATENATE($C238,$I238,$H238,$N238,$J238,$K238)</f>
        <v>TUBO PEADPEAD90VCAREDESZona02</v>
      </c>
      <c r="AE238" s="153" t="n">
        <f aca="false">IFERROR(INDEX(APOIO_REDES!$A:$W,MATCH($C238&amp;$I238&amp;$H238&amp;$N238&amp;$O238,APOIO_REDES!$W:$W,0),MATCH(AE$5,APOIO_REDES!$5:$5,0)),0)</f>
        <v>1.2</v>
      </c>
      <c r="AF238" s="153" t="n">
        <f aca="false">IFERROR(INDEX(APOIO_REDES!$A:$W,MATCH($C238&amp;$I238&amp;$H238&amp;$N238&amp;$O238,APOIO_REDES!$W:$W,0),MATCH(AF$5,APOIO_REDES!$5:$5,0)),0)</f>
        <v>1.39</v>
      </c>
      <c r="AG238" s="153" t="n">
        <f aca="false">IFERROR(INDEX(APOIO_REDES!$A:$W,MATCH($C238&amp;$I238&amp;$H238&amp;$N238&amp;$O238,APOIO_REDES!$W:$W,0),MATCH(AG$5,APOIO_REDES!$5:$5,0)),0)</f>
        <v>0.75</v>
      </c>
      <c r="AH238" s="153" t="n">
        <f aca="false">IFERROR(INDEX(APOIO_REDES!$A:$W,MATCH($C238&amp;$I238&amp;$H238&amp;$N238&amp;$O238,APOIO_REDES!$W:$W,0),MATCH(AH$5,APOIO_REDES!$5:$5,0)),0)</f>
        <v>0.1</v>
      </c>
      <c r="AI238" s="153" t="n">
        <f aca="false">IFERROR(IF($H238&lt;&gt;"",(((($H238/1000)/2)^2)*PI()*$M238),0),0)</f>
        <v>0.246135145028963</v>
      </c>
      <c r="AJ238" s="153" t="n">
        <f aca="false">IFERROR(IF(AND($H238&lt;&gt;"",$I238="FoFo",OR($N238="MND",$N238="VCA"),$Q238="LINEAR"),0,IF(AND($H238&lt;&gt;"",$I238="PEAD",$N238="VCA",$Q238="LINEAR"),($H238/1000)+0.3,IF(AND($H238&lt;&gt;"",$I238="PEAD",$N238="MND",$Q238="EMBOQUE"),0,IF(AND($H238&lt;&gt;"",$I238="PVC",$N238="VCA",$Q238="LINEAR"),($H238/1000)+0.2,IF(AND($H238&lt;&gt;"",$I238="PVC",$N238="MND",$Q238="EMBOQUE"),0,IF(AND($H238&lt;&gt;"",$I238="PEAD",$N238="VCA",$Q238="PREDIAL"),0,0)))))),0)</f>
        <v>0.39</v>
      </c>
      <c r="AK238" s="153" t="n">
        <f aca="false">IF(AA238&lt;&gt;"",AA238,0)</f>
        <v>3.9</v>
      </c>
      <c r="AL238" s="153" t="n">
        <f aca="false">IF(AND($N238="MND",$Q238="EMBOQUE"),$M238,IF(AND($N238="VCA",$Q238="LINEAR"),$M238,IF(AND($N238="VCA",$Q238="PREDIAL"),0,0)))</f>
        <v>38.69</v>
      </c>
      <c r="AM238" s="153" t="n">
        <f aca="false">IF(AND($N238="MND",$Q238="EMBOQUE"),$M238,IF(AND($N238="VCA",$Q238="LINEAR"),$M238,IF(AND($N238="VCA",$Q238="PREDIAL"),0,0)))</f>
        <v>38.69</v>
      </c>
      <c r="AN238" s="153" t="n">
        <f aca="false">ROUND(IF(AND($N238="VCA",$M238&lt;&gt;"",$Q238="LINEAR"),$M238/100,IF(AND($N238="MND",$M238&gt;100,$Q238="EMBOQUE"),$M238/100,0)),0)</f>
        <v>0</v>
      </c>
      <c r="AO238" s="153" t="n">
        <f aca="false">IF(AND($N238="MND",$Q238="EMBOQUE"),$AN238*2*2,IF(AND($N238="VCA",$Q238="LINEAR"),$M238*2,IF(AND($N238="VCA",$Q238="PREDIAL"),0,0)))</f>
        <v>77.38</v>
      </c>
      <c r="AP238" s="153" t="n">
        <f aca="false">IFERROR($M238*$AF238*$AG238,0)</f>
        <v>40.334325</v>
      </c>
      <c r="AQ238" s="153" t="n">
        <f aca="false">IFERROR(IF(AND($N238="VCA",$AH238&gt;0),$M238*$AG238*$AH238,0),0)</f>
        <v>2.90175</v>
      </c>
      <c r="AR238" s="153" t="n">
        <f aca="false">IFERROR(IF(AND($N238="VCA",$AJ238&gt;0),($M238*$AG238*$AJ238)-$AI238,0),0)</f>
        <v>11.070689854971</v>
      </c>
      <c r="AS238" s="153" t="n">
        <f aca="false">IFERROR(IF(AND($N238="VCA",$AP238&gt;0),$AP238-$AI238-$AQ238-$AR238,0),0)</f>
        <v>26.11575</v>
      </c>
      <c r="AT238" s="153" t="n">
        <f aca="false">IFERROR(IF($N238="VCA",INDEX(APOIO_REDES!$A:$W,MATCH($C238&amp;$I238&amp;$H238&amp;$N238&amp;$O238,APOIO_REDES!$W:$W,0),MATCH(AT$5,APOIO_REDES!$5:$5,0)),0)*$AP238,0)</f>
        <v>0.438849394350808</v>
      </c>
      <c r="AU238" s="153" t="n">
        <f aca="false">IFERROR(IF($N238="VCA",INDEX(APOIO_REDES!$A:$W,MATCH($C238&amp;$I238&amp;$H238&amp;$N238&amp;$O238,APOIO_REDES!$W:$W,0),MATCH(AU$5,APOIO_REDES!$5:$5,0)),0)*$AP238,0)</f>
        <v>0.350453240779625</v>
      </c>
      <c r="AV238" s="153" t="n">
        <f aca="false">IFERROR(IF($N238="VCA",INDEX(APOIO_REDES!$A:$W,MATCH($C238&amp;$I238&amp;$H238&amp;$N238&amp;$O238,APOIO_REDES!$W:$W,0),MATCH(AV$5,APOIO_REDES!$5:$5,0)),0)*$AP238,0)</f>
        <v>0.0484999773580921</v>
      </c>
      <c r="AW238" s="153" t="n">
        <f aca="false">IFERROR(IF($N238="VCA",INDEX(APOIO_REDES!$A:$W,MATCH($C238&amp;$I238&amp;$H238&amp;$N238&amp;$O238,APOIO_REDES!$W:$W,0),MATCH(AW$5,APOIO_REDES!$5:$5,0)),0)*$AP238,0)</f>
        <v>27.6857932056006</v>
      </c>
      <c r="AX238" s="153" t="n">
        <f aca="false">IFERROR(IF($N238="VCA",INDEX(APOIO_REDES!$A:$W,MATCH($C238&amp;$I238&amp;$H238&amp;$N238&amp;$O238,APOIO_REDES!$W:$W,0),MATCH(AX$5,APOIO_REDES!$5:$5,0)),0)*$AP238,0)</f>
        <v>3.83163491518036</v>
      </c>
      <c r="AY238" s="153" t="n">
        <f aca="false">IFERROR(IF($N238="VCA",INDEX(APOIO_REDES!$A:$W,MATCH($C238&amp;$I238&amp;$H238&amp;$N238&amp;$O238,APOIO_REDES!$W:$W,0),MATCH(AY$5,APOIO_REDES!$5:$5,0)),0)*$AP238,0)</f>
        <v>7.00906054359591</v>
      </c>
      <c r="AZ238" s="153" t="n">
        <f aca="false">IFERROR(IF($N238="VCA",INDEX(APOIO_REDES!$A:$W,MATCH($C238&amp;$I238&amp;$H238&amp;$N238&amp;$O238,APOIO_REDES!$W:$W,0),MATCH(AZ$5,APOIO_REDES!$5:$5,0)),0)*$AP238,0)</f>
        <v>0.970033723134612</v>
      </c>
      <c r="BA238" s="153" t="n">
        <f aca="false">IFERROR(IF(AND($N238="VCA",$Q238="LINEAR"),INDEX(APOIO_REDES!$A:$W,MATCH($C238&amp;$I238&amp;$H238&amp;$N238&amp;$O238,APOIO_REDES!$W:$W,0),MATCH(BA$5,APOIO_REDES!$5:$5,0)),IF(AND($N238="MND",$Q238="EMBOQUE"),INDEX(APOIO_REDES!$A:$W,MATCH($C238&amp;$I238&amp;$H238&amp;$N238&amp;$O238,APOIO_REDES!$W:$W,0),MATCH(BA$5,APOIO_REDES!$5:$5,0)),0))*$M238/10,0)</f>
        <v>3.1183164075617</v>
      </c>
      <c r="BB238" s="153" t="n">
        <f aca="false">IFERROR(IF($N238="VCA",INDEX(APOIO_REDES!$A:$W,MATCH($C238&amp;$I238&amp;$H238&amp;$N238&amp;$O238,APOIO_REDES!$W:$W,0),MATCH(BB$5,APOIO_REDES!$5:$5,0)),0)*($AI238+$AQ238+$AR238),0)</f>
        <v>14.0638726955166</v>
      </c>
      <c r="BC238" s="153" t="n">
        <f aca="false">IFERROR(IF($N238="VCA",INDEX(APOIO_REDES!$A:$W,MATCH($C238&amp;$I238&amp;$H238&amp;$N238&amp;$O238,APOIO_REDES!$W:$W,0),MATCH(BC$5,APOIO_REDES!$5:$5,0)),0)*($AI238+$AQ238+$AR238),0)</f>
        <v>0.154702304483378</v>
      </c>
      <c r="BD238" s="153" t="n">
        <f aca="false">IF(AND($N238="VCA",$AF238&gt;=1.25,$AF238&lt;1.5),$M238*$AF238*2,0)</f>
        <v>107.5582</v>
      </c>
      <c r="BE238" s="153" t="n">
        <f aca="false">IF(AND($N238="VCA",$AF238&gt;=1.5,$AF238&lt;3),$M238*$AF238*2,0)</f>
        <v>0</v>
      </c>
      <c r="BF238" s="153" t="n">
        <f aca="false">IF(AND($N238="VCA",$AF238&gt;=3),$M238*$AF238*2,0)</f>
        <v>0</v>
      </c>
      <c r="BG238" s="153" t="n">
        <f aca="false">($BB238+$BC238)*$AK238</f>
        <v>55.4524425</v>
      </c>
      <c r="BH238" s="153" t="n">
        <f aca="false">IF(AND($M238&lt;&gt;"",$N238="VCA",$Q238="LINEAR"),($M238*2)/100,IF(AND($M238&lt;&gt;"",$N238="MND",$Q238="EMBOQUE"),($AN238*2)/100,0))</f>
        <v>0.7738</v>
      </c>
      <c r="BI238" s="153" t="n">
        <f aca="false">IF(AND($M238&lt;&gt;"",$N238="VCA",$Q238="LINEAR"),$M238,IF(AND($M238&lt;&gt;"",$N238="MND",$Q238="EMBOQUE"),$AN238*2,0))</f>
        <v>38.69</v>
      </c>
      <c r="BJ238" s="153" t="n">
        <f aca="false">IF(AND($M238&lt;&gt;"",$N238="VCA",$Q238="LINEAR"),($M238*6.8)/100,IF(AND($M238&lt;&gt;"",$N238="MND",$Q238="EMBOQUE"),($AN238*2*6.8)/100,0))</f>
        <v>2.63092</v>
      </c>
      <c r="BK238" s="153" t="n">
        <f aca="false">IF(AND($M238&lt;&gt;"",$N238="VCA",$Q238="LINEAR"),($M238*2.5)/50,IF(AND($M238&lt;&gt;"",$N238="MND",$Q238="EMBOQUE"),($AN238*2*2.5)/50,0))</f>
        <v>1.9345</v>
      </c>
      <c r="BL238" s="157" t="str">
        <f aca="false">K238&amp;J238</f>
        <v>Zona02REDES</v>
      </c>
      <c r="BM238" s="152" t="s">
        <v>2037</v>
      </c>
      <c r="BN238" s="152" t="s">
        <v>1560</v>
      </c>
      <c r="BO238" s="152" t="s">
        <v>2231</v>
      </c>
      <c r="BP238" s="152" t="s">
        <v>2433</v>
      </c>
      <c r="BQ238" s="152" t="s">
        <v>2416</v>
      </c>
      <c r="BR238" s="152" t="s">
        <v>2434</v>
      </c>
      <c r="BS238" s="152" t="n">
        <v>202730.792</v>
      </c>
      <c r="BT238" s="152" t="n">
        <v>8237570.775</v>
      </c>
      <c r="BU238" s="152" t="n">
        <v>202701.332</v>
      </c>
      <c r="BV238" s="152" t="n">
        <v>8237595.708</v>
      </c>
      <c r="BW238" s="152" t="n">
        <v>-15.9231918</v>
      </c>
      <c r="BX238" s="152" t="n">
        <v>-47.7765836</v>
      </c>
      <c r="BY238" s="152" t="s">
        <v>2433</v>
      </c>
    </row>
    <row r="239" customFormat="false" ht="13.8" hidden="false" customHeight="false" outlineLevel="0" collapsed="false">
      <c r="A239" s="149" t="n">
        <f aca="false">IF(C239&lt;&gt;"",ROW(A234),"")</f>
        <v>234</v>
      </c>
      <c r="B239" s="150" t="str">
        <f aca="false">HYPERLINK("https://www.google.com/maps/dir/-15.917302,-47.760003/-15.9230851,-47.7752330/data=!4m3!4m2!3e0!5i1")</f>
        <v>https://www.google.com/maps/dir/-15.917302,-47.760003/-15.9230851,-47.7752330/data=!4m3!4m2!3e0!5i1</v>
      </c>
      <c r="C239" s="151" t="s">
        <v>117</v>
      </c>
      <c r="D239" s="152" t="s">
        <v>112</v>
      </c>
      <c r="E239" s="152" t="s">
        <v>113</v>
      </c>
      <c r="F239" s="152" t="s">
        <v>117</v>
      </c>
      <c r="G239" s="152" t="s">
        <v>114</v>
      </c>
      <c r="H239" s="152" t="n">
        <v>160</v>
      </c>
      <c r="I239" s="152" t="s">
        <v>115</v>
      </c>
      <c r="J239" s="152" t="s">
        <v>6</v>
      </c>
      <c r="K239" s="152" t="s">
        <v>2033</v>
      </c>
      <c r="L239" s="152" t="s">
        <v>120</v>
      </c>
      <c r="M239" s="153" t="n">
        <f aca="false">46.2</f>
        <v>46.2</v>
      </c>
      <c r="N239" s="152" t="s">
        <v>1548</v>
      </c>
      <c r="O239" s="152" t="s">
        <v>1549</v>
      </c>
      <c r="P239" s="152" t="s">
        <v>1550</v>
      </c>
      <c r="Q239" s="152" t="s">
        <v>1551</v>
      </c>
      <c r="R239" s="154" t="s">
        <v>2435</v>
      </c>
      <c r="S239" s="154" t="s">
        <v>1593</v>
      </c>
      <c r="T239" s="155" t="s">
        <v>2227</v>
      </c>
      <c r="U239" s="152" t="str">
        <f aca="false">RIGHT(T239,7)</f>
        <v>008/037</v>
      </c>
      <c r="V239" s="152" t="s">
        <v>1555</v>
      </c>
      <c r="W239" s="156" t="n">
        <v>45882</v>
      </c>
      <c r="X239" s="152" t="s">
        <v>1594</v>
      </c>
      <c r="Y239" s="152" t="s">
        <v>2237</v>
      </c>
      <c r="Z239" s="152" t="s">
        <v>1557</v>
      </c>
      <c r="AA239" s="153" t="n">
        <v>3.8</v>
      </c>
      <c r="AB239" s="151" t="s">
        <v>2436</v>
      </c>
      <c r="AC239" s="151" t="s">
        <v>505</v>
      </c>
      <c r="AD239" s="151" t="str">
        <f aca="false">CONCATENATE($C239,$I239,$H239,$N239,$J239,$K239)</f>
        <v>TUBO PEADPEAD160VCAREDESZona02</v>
      </c>
      <c r="AE239" s="153" t="n">
        <f aca="false">IFERROR(INDEX(APOIO_REDES!$A:$W,MATCH($C239&amp;$I239&amp;$H239&amp;$N239&amp;$O239,APOIO_REDES!$W:$W,0),MATCH(AE$5,APOIO_REDES!$5:$5,0)),0)</f>
        <v>1.2</v>
      </c>
      <c r="AF239" s="153" t="n">
        <f aca="false">IFERROR(INDEX(APOIO_REDES!$A:$W,MATCH($C239&amp;$I239&amp;$H239&amp;$N239&amp;$O239,APOIO_REDES!$W:$W,0),MATCH(AF$5,APOIO_REDES!$5:$5,0)),0)</f>
        <v>1.46</v>
      </c>
      <c r="AG239" s="153" t="n">
        <f aca="false">IFERROR(INDEX(APOIO_REDES!$A:$W,MATCH($C239&amp;$I239&amp;$H239&amp;$N239&amp;$O239,APOIO_REDES!$W:$W,0),MATCH(AG$5,APOIO_REDES!$5:$5,0)),0)</f>
        <v>0.75</v>
      </c>
      <c r="AH239" s="153" t="n">
        <f aca="false">IFERROR(INDEX(APOIO_REDES!$A:$W,MATCH($C239&amp;$I239&amp;$H239&amp;$N239&amp;$O239,APOIO_REDES!$W:$W,0),MATCH(AH$5,APOIO_REDES!$5:$5,0)),0)</f>
        <v>0.1</v>
      </c>
      <c r="AI239" s="153" t="n">
        <f aca="false">IFERROR(IF($H239&lt;&gt;"",(((($H239/1000)/2)^2)*PI()*$M239),0),0)</f>
        <v>0.92890611581343</v>
      </c>
      <c r="AJ239" s="153" t="n">
        <f aca="false">IFERROR(IF(AND($H239&lt;&gt;"",$I239="FoFo",OR($N239="MND",$N239="VCA"),$Q239="LINEAR"),0,IF(AND($H239&lt;&gt;"",$I239="PEAD",$N239="VCA",$Q239="LINEAR"),($H239/1000)+0.3,IF(AND($H239&lt;&gt;"",$I239="PEAD",$N239="MND",$Q239="EMBOQUE"),0,IF(AND($H239&lt;&gt;"",$I239="PVC",$N239="VCA",$Q239="LINEAR"),($H239/1000)+0.2,IF(AND($H239&lt;&gt;"",$I239="PVC",$N239="MND",$Q239="EMBOQUE"),0,IF(AND($H239&lt;&gt;"",$I239="PEAD",$N239="VCA",$Q239="PREDIAL"),0,0)))))),0)</f>
        <v>0.46</v>
      </c>
      <c r="AK239" s="153" t="n">
        <f aca="false">IF(AA239&lt;&gt;"",AA239,0)</f>
        <v>3.8</v>
      </c>
      <c r="AL239" s="153" t="n">
        <f aca="false">IF(AND($N239="MND",$Q239="EMBOQUE"),$M239,IF(AND($N239="VCA",$Q239="LINEAR"),$M239,IF(AND($N239="VCA",$Q239="PREDIAL"),0,0)))</f>
        <v>46.2</v>
      </c>
      <c r="AM239" s="153" t="n">
        <f aca="false">IF(AND($N239="MND",$Q239="EMBOQUE"),$M239,IF(AND($N239="VCA",$Q239="LINEAR"),$M239,IF(AND($N239="VCA",$Q239="PREDIAL"),0,0)))</f>
        <v>46.2</v>
      </c>
      <c r="AN239" s="153" t="n">
        <f aca="false">ROUND(IF(AND($N239="VCA",$M239&lt;&gt;"",$Q239="LINEAR"),$M239/100,IF(AND($N239="MND",$M239&gt;100,$Q239="EMBOQUE"),$M239/100,0)),0)</f>
        <v>0</v>
      </c>
      <c r="AO239" s="153" t="n">
        <f aca="false">IF(AND($N239="MND",$Q239="EMBOQUE"),$AN239*2*2,IF(AND($N239="VCA",$Q239="LINEAR"),$M239*2,IF(AND($N239="VCA",$Q239="PREDIAL"),0,0)))</f>
        <v>92.4</v>
      </c>
      <c r="AP239" s="153" t="n">
        <f aca="false">IFERROR($M239*$AF239*$AG239,0)</f>
        <v>50.589</v>
      </c>
      <c r="AQ239" s="153" t="n">
        <f aca="false">IFERROR(IF(AND($N239="VCA",$AH239&gt;0),$M239*$AG239*$AH239,0),0)</f>
        <v>3.465</v>
      </c>
      <c r="AR239" s="153" t="n">
        <f aca="false">IFERROR(IF(AND($N239="VCA",$AJ239&gt;0),($M239*$AG239*$AJ239)-$AI239,0),0)</f>
        <v>15.0100938841866</v>
      </c>
      <c r="AS239" s="153" t="n">
        <f aca="false">IFERROR(IF(AND($N239="VCA",$AP239&gt;0),$AP239-$AI239-$AQ239-$AR239,0),0)</f>
        <v>31.185</v>
      </c>
      <c r="AT239" s="153" t="n">
        <f aca="false">IFERROR(IF($N239="VCA",INDEX(APOIO_REDES!$A:$W,MATCH($C239&amp;$I239&amp;$H239&amp;$N239&amp;$O239,APOIO_REDES!$W:$W,0),MATCH(AT$5,APOIO_REDES!$5:$5,0)),0)*$AP239,0)</f>
        <v>0.550423293579675</v>
      </c>
      <c r="AU239" s="153" t="n">
        <f aca="false">IFERROR(IF($N239="VCA",INDEX(APOIO_REDES!$A:$W,MATCH($C239&amp;$I239&amp;$H239&amp;$N239&amp;$O239,APOIO_REDES!$W:$W,0),MATCH(AU$5,APOIO_REDES!$5:$5,0)),0)*$AP239,0)</f>
        <v>0.439553134899381</v>
      </c>
      <c r="AV239" s="153" t="n">
        <f aca="false">IFERROR(IF($N239="VCA",INDEX(APOIO_REDES!$A:$W,MATCH($C239&amp;$I239&amp;$H239&amp;$N239&amp;$O239,APOIO_REDES!$W:$W,0),MATCH(AV$5,APOIO_REDES!$5:$5,0)),0)*$AP239,0)</f>
        <v>0.0608307032426729</v>
      </c>
      <c r="AW239" s="153" t="n">
        <f aca="false">IFERROR(IF($N239="VCA",INDEX(APOIO_REDES!$A:$W,MATCH($C239&amp;$I239&amp;$H239&amp;$N239&amp;$O239,APOIO_REDES!$W:$W,0),MATCH(AW$5,APOIO_REDES!$5:$5,0)),0)*$AP239,0)</f>
        <v>34.7246815826998</v>
      </c>
      <c r="AX239" s="153" t="n">
        <f aca="false">IFERROR(IF($N239="VCA",INDEX(APOIO_REDES!$A:$W,MATCH($C239&amp;$I239&amp;$H239&amp;$N239&amp;$O239,APOIO_REDES!$W:$W,0),MATCH(AX$5,APOIO_REDES!$5:$5,0)),0)*$AP239,0)</f>
        <v>4.80579701591781</v>
      </c>
      <c r="AY239" s="153" t="n">
        <f aca="false">IFERROR(IF($N239="VCA",INDEX(APOIO_REDES!$A:$W,MATCH($C239&amp;$I239&amp;$H239&amp;$N239&amp;$O239,APOIO_REDES!$W:$W,0),MATCH(AY$5,APOIO_REDES!$5:$5,0)),0)*$AP239,0)</f>
        <v>8.79105733987053</v>
      </c>
      <c r="AZ239" s="153" t="n">
        <f aca="false">IFERROR(IF($N239="VCA",INDEX(APOIO_REDES!$A:$W,MATCH($C239&amp;$I239&amp;$H239&amp;$N239&amp;$O239,APOIO_REDES!$W:$W,0),MATCH(AZ$5,APOIO_REDES!$5:$5,0)),0)*$AP239,0)</f>
        <v>1.21665692979012</v>
      </c>
      <c r="BA239" s="153" t="n">
        <f aca="false">IFERROR(IF(AND($N239="VCA",$Q239="LINEAR"),INDEX(APOIO_REDES!$A:$W,MATCH($C239&amp;$I239&amp;$H239&amp;$N239&amp;$O239,APOIO_REDES!$W:$W,0),MATCH(BA$5,APOIO_REDES!$5:$5,0)),IF(AND($N239="MND",$Q239="EMBOQUE"),INDEX(APOIO_REDES!$A:$W,MATCH($C239&amp;$I239&amp;$H239&amp;$N239&amp;$O239,APOIO_REDES!$W:$W,0),MATCH(BA$5,APOIO_REDES!$5:$5,0)),0))*$M239/10,0)</f>
        <v>3.72360346418585</v>
      </c>
      <c r="BB239" s="153" t="n">
        <f aca="false">IFERROR(IF($N239="VCA",INDEX(APOIO_REDES!$A:$W,MATCH($C239&amp;$I239&amp;$H239&amp;$N239&amp;$O239,APOIO_REDES!$W:$W,0),MATCH(BB$5,APOIO_REDES!$5:$5,0)),0)*($AI239+$AQ239+$AR239),0)</f>
        <v>19.1928787367092</v>
      </c>
      <c r="BC239" s="153" t="n">
        <f aca="false">IFERROR(IF($N239="VCA",INDEX(APOIO_REDES!$A:$W,MATCH($C239&amp;$I239&amp;$H239&amp;$N239&amp;$O239,APOIO_REDES!$W:$W,0),MATCH(BC$5,APOIO_REDES!$5:$5,0)),0)*($AI239+$AQ239+$AR239),0)</f>
        <v>0.211121263290834</v>
      </c>
      <c r="BD239" s="153" t="n">
        <f aca="false">IF(AND($N239="VCA",$AF239&gt;=1.25,$AF239&lt;1.5),$M239*$AF239*2,0)</f>
        <v>134.904</v>
      </c>
      <c r="BE239" s="153" t="n">
        <f aca="false">IF(AND($N239="VCA",$AF239&gt;=1.5,$AF239&lt;3),$M239*$AF239*2,0)</f>
        <v>0</v>
      </c>
      <c r="BF239" s="153" t="n">
        <f aca="false">IF(AND($N239="VCA",$AF239&gt;=3),$M239*$AF239*2,0)</f>
        <v>0</v>
      </c>
      <c r="BG239" s="153" t="n">
        <f aca="false">($BB239+$BC239)*$AK239</f>
        <v>73.7352</v>
      </c>
      <c r="BH239" s="153" t="n">
        <f aca="false">IF(AND($M239&lt;&gt;"",$N239="VCA",$Q239="LINEAR"),($M239*2)/100,IF(AND($M239&lt;&gt;"",$N239="MND",$Q239="EMBOQUE"),($AN239*2)/100,0))</f>
        <v>0.924</v>
      </c>
      <c r="BI239" s="153" t="n">
        <f aca="false">IF(AND($M239&lt;&gt;"",$N239="VCA",$Q239="LINEAR"),$M239,IF(AND($M239&lt;&gt;"",$N239="MND",$Q239="EMBOQUE"),$AN239*2,0))</f>
        <v>46.2</v>
      </c>
      <c r="BJ239" s="153" t="n">
        <f aca="false">IF(AND($M239&lt;&gt;"",$N239="VCA",$Q239="LINEAR"),($M239*6.8)/100,IF(AND($M239&lt;&gt;"",$N239="MND",$Q239="EMBOQUE"),($AN239*2*6.8)/100,0))</f>
        <v>3.1416</v>
      </c>
      <c r="BK239" s="153" t="n">
        <f aca="false">IF(AND($M239&lt;&gt;"",$N239="VCA",$Q239="LINEAR"),($M239*2.5)/50,IF(AND($M239&lt;&gt;"",$N239="MND",$Q239="EMBOQUE"),($AN239*2*2.5)/50,0))</f>
        <v>2.31</v>
      </c>
      <c r="BL239" s="157" t="str">
        <f aca="false">K239&amp;J239</f>
        <v>Zona02REDES</v>
      </c>
      <c r="BM239" s="152" t="s">
        <v>2037</v>
      </c>
      <c r="BN239" s="152" t="s">
        <v>1560</v>
      </c>
      <c r="BO239" s="152" t="s">
        <v>2231</v>
      </c>
      <c r="BP239" s="152" t="s">
        <v>2406</v>
      </c>
      <c r="BQ239" s="152" t="s">
        <v>2389</v>
      </c>
      <c r="BR239" s="152" t="s">
        <v>2437</v>
      </c>
      <c r="BS239" s="152" t="n">
        <v>202860.761</v>
      </c>
      <c r="BT239" s="152" t="n">
        <v>8237597.11</v>
      </c>
      <c r="BU239" s="152" t="n">
        <v>202833.594</v>
      </c>
      <c r="BV239" s="152" t="n">
        <v>8237559.738</v>
      </c>
      <c r="BW239" s="152" t="n">
        <v>-15.9232522</v>
      </c>
      <c r="BX239" s="152" t="n">
        <v>-47.7753621</v>
      </c>
      <c r="BY239" s="152" t="s">
        <v>2406</v>
      </c>
    </row>
    <row r="240" customFormat="false" ht="13.8" hidden="false" customHeight="false" outlineLevel="0" collapsed="false">
      <c r="A240" s="149" t="n">
        <f aca="false">IF(C240&lt;&gt;"",ROW(A235),"")</f>
        <v>235</v>
      </c>
      <c r="B240" s="150" t="str">
        <f aca="false">HYPERLINK("https://www.google.com/maps/dir/-15.917302,-47.760003/-15.9234010,-47.7769732/data=!4m3!4m2!3e0!5i2")</f>
        <v>https://www.google.com/maps/dir/-15.917302,-47.760003/-15.9234010,-47.7769732/data=!4m3!4m2!3e0!5i2</v>
      </c>
      <c r="C240" s="151" t="s">
        <v>117</v>
      </c>
      <c r="D240" s="152" t="s">
        <v>112</v>
      </c>
      <c r="E240" s="152" t="s">
        <v>113</v>
      </c>
      <c r="F240" s="152" t="s">
        <v>117</v>
      </c>
      <c r="G240" s="152" t="s">
        <v>782</v>
      </c>
      <c r="H240" s="152" t="n">
        <v>63</v>
      </c>
      <c r="I240" s="152" t="s">
        <v>115</v>
      </c>
      <c r="J240" s="152" t="s">
        <v>6</v>
      </c>
      <c r="K240" s="152" t="s">
        <v>2033</v>
      </c>
      <c r="L240" s="152" t="s">
        <v>120</v>
      </c>
      <c r="M240" s="153" t="n">
        <f aca="false">44.78+4</f>
        <v>48.78</v>
      </c>
      <c r="N240" s="152" t="s">
        <v>1548</v>
      </c>
      <c r="O240" s="152" t="s">
        <v>1549</v>
      </c>
      <c r="P240" s="152" t="s">
        <v>1550</v>
      </c>
      <c r="Q240" s="152" t="s">
        <v>1551</v>
      </c>
      <c r="R240" s="154" t="s">
        <v>2438</v>
      </c>
      <c r="S240" s="154" t="s">
        <v>1553</v>
      </c>
      <c r="T240" s="155" t="s">
        <v>2227</v>
      </c>
      <c r="U240" s="152" t="str">
        <f aca="false">RIGHT(T240,7)</f>
        <v>008/037</v>
      </c>
      <c r="V240" s="152" t="s">
        <v>1555</v>
      </c>
      <c r="W240" s="156" t="n">
        <v>45882</v>
      </c>
      <c r="X240" s="152" t="s">
        <v>1594</v>
      </c>
      <c r="Y240" s="152" t="s">
        <v>2400</v>
      </c>
      <c r="Z240" s="152" t="s">
        <v>1557</v>
      </c>
      <c r="AA240" s="153" t="n">
        <v>4</v>
      </c>
      <c r="AB240" s="151" t="s">
        <v>2439</v>
      </c>
      <c r="AC240" s="151" t="s">
        <v>186</v>
      </c>
      <c r="AD240" s="151" t="str">
        <f aca="false">CONCATENATE($C240,$I240,$H240,$N240,$J240,$K240)</f>
        <v>TUBO PEADPEAD63VCAREDESZona02</v>
      </c>
      <c r="AE240" s="153" t="n">
        <f aca="false">IFERROR(INDEX(APOIO_REDES!$A:$W,MATCH($C240&amp;$I240&amp;$H240&amp;$N240&amp;$O240,APOIO_REDES!$W:$W,0),MATCH(AE$5,APOIO_REDES!$5:$5,0)),0)</f>
        <v>1.2</v>
      </c>
      <c r="AF240" s="153" t="n">
        <f aca="false">IFERROR(INDEX(APOIO_REDES!$A:$W,MATCH($C240&amp;$I240&amp;$H240&amp;$N240&amp;$O240,APOIO_REDES!$W:$W,0),MATCH(AF$5,APOIO_REDES!$5:$5,0)),0)</f>
        <v>1.363</v>
      </c>
      <c r="AG240" s="153" t="n">
        <f aca="false">IFERROR(INDEX(APOIO_REDES!$A:$W,MATCH($C240&amp;$I240&amp;$H240&amp;$N240&amp;$O240,APOIO_REDES!$W:$W,0),MATCH(AG$5,APOIO_REDES!$5:$5,0)),0)</f>
        <v>0.65</v>
      </c>
      <c r="AH240" s="153" t="n">
        <f aca="false">IFERROR(INDEX(APOIO_REDES!$A:$W,MATCH($C240&amp;$I240&amp;$H240&amp;$N240&amp;$O240,APOIO_REDES!$W:$W,0),MATCH(AH$5,APOIO_REDES!$5:$5,0)),0)</f>
        <v>0.1</v>
      </c>
      <c r="AI240" s="153" t="n">
        <f aca="false">IFERROR(IF($H240&lt;&gt;"",(((($H240/1000)/2)^2)*PI()*$M240),0),0)</f>
        <v>0.152059226247384</v>
      </c>
      <c r="AJ240" s="153" t="n">
        <f aca="false">IFERROR(IF(AND($H240&lt;&gt;"",$I240="FoFo",OR($N240="MND",$N240="VCA"),$Q240="LINEAR"),0,IF(AND($H240&lt;&gt;"",$I240="PEAD",$N240="VCA",$Q240="LINEAR"),($H240/1000)+0.3,IF(AND($H240&lt;&gt;"",$I240="PEAD",$N240="MND",$Q240="EMBOQUE"),0,IF(AND($H240&lt;&gt;"",$I240="PVC",$N240="VCA",$Q240="LINEAR"),($H240/1000)+0.2,IF(AND($H240&lt;&gt;"",$I240="PVC",$N240="MND",$Q240="EMBOQUE"),0,IF(AND($H240&lt;&gt;"",$I240="PEAD",$N240="VCA",$Q240="PREDIAL"),0,0)))))),0)</f>
        <v>0.363</v>
      </c>
      <c r="AK240" s="153" t="n">
        <f aca="false">IF(AA240&lt;&gt;"",AA240,0)</f>
        <v>4</v>
      </c>
      <c r="AL240" s="153" t="n">
        <f aca="false">IF(AND($N240="MND",$Q240="EMBOQUE"),$M240,IF(AND($N240="VCA",$Q240="LINEAR"),$M240,IF(AND($N240="VCA",$Q240="PREDIAL"),0,0)))</f>
        <v>48.78</v>
      </c>
      <c r="AM240" s="153" t="n">
        <f aca="false">IF(AND($N240="MND",$Q240="EMBOQUE"),$M240,IF(AND($N240="VCA",$Q240="LINEAR"),$M240,IF(AND($N240="VCA",$Q240="PREDIAL"),0,0)))</f>
        <v>48.78</v>
      </c>
      <c r="AN240" s="153" t="n">
        <f aca="false">ROUND(IF(AND($N240="VCA",$M240&lt;&gt;"",$Q240="LINEAR"),$M240/100,IF(AND($N240="MND",$M240&gt;100,$Q240="EMBOQUE"),$M240/100,0)),0)</f>
        <v>0</v>
      </c>
      <c r="AO240" s="153" t="n">
        <f aca="false">IF(AND($N240="MND",$Q240="EMBOQUE"),$AN240*2*2,IF(AND($N240="VCA",$Q240="LINEAR"),$M240*2,IF(AND($N240="VCA",$Q240="PREDIAL"),0,0)))</f>
        <v>97.56</v>
      </c>
      <c r="AP240" s="153" t="n">
        <f aca="false">IFERROR($M240*$AF240*$AG240,0)</f>
        <v>43.216641</v>
      </c>
      <c r="AQ240" s="153" t="n">
        <f aca="false">IFERROR(IF(AND($N240="VCA",$AH240&gt;0),$M240*$AG240*$AH240,0),0)</f>
        <v>3.1707</v>
      </c>
      <c r="AR240" s="153" t="n">
        <f aca="false">IFERROR(IF(AND($N240="VCA",$AJ240&gt;0),($M240*$AG240*$AJ240)-$AI240,0),0)</f>
        <v>11.3575817737526</v>
      </c>
      <c r="AS240" s="153" t="n">
        <f aca="false">IFERROR(IF(AND($N240="VCA",$AP240&gt;0),$AP240-$AI240-$AQ240-$AR240,0),0)</f>
        <v>28.5363</v>
      </c>
      <c r="AT240" s="153" t="n">
        <f aca="false">IFERROR(IF($N240="VCA",INDEX(APOIO_REDES!$A:$W,MATCH($C240&amp;$I240&amp;$H240&amp;$N240&amp;$O240,APOIO_REDES!$W:$W,0),MATCH(AT$5,APOIO_REDES!$5:$5,0)),0)*$AP240,0)</f>
        <v>0.470209845552797</v>
      </c>
      <c r="AU240" s="153" t="n">
        <f aca="false">IFERROR(IF($N240="VCA",INDEX(APOIO_REDES!$A:$W,MATCH($C240&amp;$I240&amp;$H240&amp;$N240&amp;$O240,APOIO_REDES!$W:$W,0),MATCH(AU$5,APOIO_REDES!$5:$5,0)),0)*$AP240,0)</f>
        <v>0.3754968477608</v>
      </c>
      <c r="AV240" s="153" t="n">
        <f aca="false">IFERROR(IF($N240="VCA",INDEX(APOIO_REDES!$A:$W,MATCH($C240&amp;$I240&amp;$H240&amp;$N240&amp;$O240,APOIO_REDES!$W:$W,0),MATCH(AV$5,APOIO_REDES!$5:$5,0)),0)*$AP240,0)</f>
        <v>0.0519658159642636</v>
      </c>
      <c r="AW240" s="153" t="n">
        <f aca="false">IFERROR(IF($N240="VCA",INDEX(APOIO_REDES!$A:$W,MATCH($C240&amp;$I240&amp;$H240&amp;$N240&amp;$O240,APOIO_REDES!$W:$W,0),MATCH(AW$5,APOIO_REDES!$5:$5,0)),0)*$AP240,0)</f>
        <v>29.6642372412748</v>
      </c>
      <c r="AX240" s="153" t="n">
        <f aca="false">IFERROR(IF($N240="VCA",INDEX(APOIO_REDES!$A:$W,MATCH($C240&amp;$I240&amp;$H240&amp;$N240&amp;$O240,APOIO_REDES!$W:$W,0),MATCH(AX$5,APOIO_REDES!$5:$5,0)),0)*$AP240,0)</f>
        <v>4.10544593401315</v>
      </c>
      <c r="AY240" s="153" t="n">
        <f aca="false">IFERROR(IF($N240="VCA",INDEX(APOIO_REDES!$A:$W,MATCH($C240&amp;$I240&amp;$H240&amp;$N240&amp;$O240,APOIO_REDES!$W:$W,0),MATCH(AY$5,APOIO_REDES!$5:$5,0)),0)*$AP240,0)</f>
        <v>7.50993237793986</v>
      </c>
      <c r="AZ240" s="153" t="n">
        <f aca="false">IFERROR(IF($N240="VCA",INDEX(APOIO_REDES!$A:$W,MATCH($C240&amp;$I240&amp;$H240&amp;$N240&amp;$O240,APOIO_REDES!$W:$W,0),MATCH(AZ$5,APOIO_REDES!$5:$5,0)),0)*$AP240,0)</f>
        <v>1.03935293749435</v>
      </c>
      <c r="BA240" s="153" t="n">
        <f aca="false">IFERROR(IF(AND($N240="VCA",$Q240="LINEAR"),INDEX(APOIO_REDES!$A:$W,MATCH($C240&amp;$I240&amp;$H240&amp;$N240&amp;$O240,APOIO_REDES!$W:$W,0),MATCH(BA$5,APOIO_REDES!$5:$5,0)),IF(AND($N240="MND",$Q240="EMBOQUE"),INDEX(APOIO_REDES!$A:$W,MATCH($C240&amp;$I240&amp;$H240&amp;$N240&amp;$O240,APOIO_REDES!$W:$W,0),MATCH(BA$5,APOIO_REDES!$5:$5,0)),0))*$M240/10,0)</f>
        <v>3.93154495634168</v>
      </c>
      <c r="BB240" s="153" t="n">
        <f aca="false">IFERROR(IF($N240="VCA",INDEX(APOIO_REDES!$A:$W,MATCH($C240&amp;$I240&amp;$H240&amp;$N240&amp;$O240,APOIO_REDES!$W:$W,0),MATCH(BB$5,APOIO_REDES!$5:$5,0)),0)*($AI240+$AQ240+$AR240),0)</f>
        <v>14.5206145447609</v>
      </c>
      <c r="BC240" s="153" t="n">
        <f aca="false">IFERROR(IF($N240="VCA",INDEX(APOIO_REDES!$A:$W,MATCH($C240&amp;$I240&amp;$H240&amp;$N240&amp;$O240,APOIO_REDES!$W:$W,0),MATCH(BC$5,APOIO_REDES!$5:$5,0)),0)*($AI240+$AQ240+$AR240),0)</f>
        <v>0.159726455239138</v>
      </c>
      <c r="BD240" s="153" t="n">
        <f aca="false">IF(AND($N240="VCA",$AF240&gt;=1.25,$AF240&lt;1.5),$M240*$AF240*2,0)</f>
        <v>132.97428</v>
      </c>
      <c r="BE240" s="153" t="n">
        <f aca="false">IF(AND($N240="VCA",$AF240&gt;=1.5,$AF240&lt;3),$M240*$AF240*2,0)</f>
        <v>0</v>
      </c>
      <c r="BF240" s="153" t="n">
        <f aca="false">IF(AND($N240="VCA",$AF240&gt;=3),$M240*$AF240*2,0)</f>
        <v>0</v>
      </c>
      <c r="BG240" s="153" t="n">
        <f aca="false">($BB240+$BC240)*$AK240</f>
        <v>58.721364</v>
      </c>
      <c r="BH240" s="153" t="n">
        <f aca="false">IF(AND($M240&lt;&gt;"",$N240="VCA",$Q240="LINEAR"),($M240*2)/100,IF(AND($M240&lt;&gt;"",$N240="MND",$Q240="EMBOQUE"),($AN240*2)/100,0))</f>
        <v>0.9756</v>
      </c>
      <c r="BI240" s="153" t="n">
        <f aca="false">IF(AND($M240&lt;&gt;"",$N240="VCA",$Q240="LINEAR"),$M240,IF(AND($M240&lt;&gt;"",$N240="MND",$Q240="EMBOQUE"),$AN240*2,0))</f>
        <v>48.78</v>
      </c>
      <c r="BJ240" s="153" t="n">
        <f aca="false">IF(AND($M240&lt;&gt;"",$N240="VCA",$Q240="LINEAR"),($M240*6.8)/100,IF(AND($M240&lt;&gt;"",$N240="MND",$Q240="EMBOQUE"),($AN240*2*6.8)/100,0))</f>
        <v>3.31704</v>
      </c>
      <c r="BK240" s="153" t="n">
        <f aca="false">IF(AND($M240&lt;&gt;"",$N240="VCA",$Q240="LINEAR"),($M240*2.5)/50,IF(AND($M240&lt;&gt;"",$N240="MND",$Q240="EMBOQUE"),($AN240*2*2.5)/50,0))</f>
        <v>2.439</v>
      </c>
      <c r="BL240" s="157" t="str">
        <f aca="false">K240&amp;J240</f>
        <v>Zona02REDES</v>
      </c>
      <c r="BM240" s="152" t="s">
        <v>2037</v>
      </c>
      <c r="BN240" s="152" t="s">
        <v>1560</v>
      </c>
      <c r="BO240" s="152" t="s">
        <v>2231</v>
      </c>
      <c r="BP240" s="152" t="s">
        <v>2440</v>
      </c>
      <c r="BQ240" s="152" t="s">
        <v>2416</v>
      </c>
      <c r="BR240" s="152" t="s">
        <v>2441</v>
      </c>
      <c r="BS240" s="152" t="n">
        <v>202674.782</v>
      </c>
      <c r="BT240" s="152" t="n">
        <v>8237559.644</v>
      </c>
      <c r="BU240" s="152" t="n">
        <v>202701.332</v>
      </c>
      <c r="BV240" s="152" t="n">
        <v>8237595.708</v>
      </c>
      <c r="BW240" s="152" t="n">
        <v>-15.9232398</v>
      </c>
      <c r="BX240" s="152" t="n">
        <v>-47.7768471</v>
      </c>
      <c r="BY240" s="152" t="s">
        <v>2440</v>
      </c>
    </row>
    <row r="241" customFormat="false" ht="13.8" hidden="false" customHeight="false" outlineLevel="0" collapsed="false">
      <c r="A241" s="149" t="n">
        <f aca="false">IF(C241&lt;&gt;"",ROW(A236),"")</f>
        <v>236</v>
      </c>
      <c r="B241" s="150" t="str">
        <f aca="false">HYPERLINK("https://www.google.com/maps/dir/-15.917302,-47.760003/-15.9235637,-47.7760944/data=!4m3!4m2!3e0!5i2")</f>
        <v>https://www.google.com/maps/dir/-15.917302,-47.760003/-15.9235637,-47.7760944/data=!4m3!4m2!3e0!5i2</v>
      </c>
      <c r="C241" s="151" t="s">
        <v>117</v>
      </c>
      <c r="D241" s="152" t="s">
        <v>112</v>
      </c>
      <c r="E241" s="152" t="s">
        <v>113</v>
      </c>
      <c r="F241" s="152" t="s">
        <v>117</v>
      </c>
      <c r="G241" s="152" t="s">
        <v>782</v>
      </c>
      <c r="H241" s="152" t="n">
        <v>90</v>
      </c>
      <c r="I241" s="152" t="s">
        <v>115</v>
      </c>
      <c r="J241" s="152" t="s">
        <v>6</v>
      </c>
      <c r="K241" s="152" t="s">
        <v>2033</v>
      </c>
      <c r="L241" s="152" t="s">
        <v>120</v>
      </c>
      <c r="M241" s="153" t="n">
        <f aca="false">47.46</f>
        <v>47.46</v>
      </c>
      <c r="N241" s="152" t="s">
        <v>1548</v>
      </c>
      <c r="O241" s="152" t="s">
        <v>1549</v>
      </c>
      <c r="P241" s="152" t="s">
        <v>1550</v>
      </c>
      <c r="Q241" s="152" t="s">
        <v>1551</v>
      </c>
      <c r="R241" s="154" t="s">
        <v>2442</v>
      </c>
      <c r="S241" s="154" t="s">
        <v>1593</v>
      </c>
      <c r="T241" s="155" t="s">
        <v>2227</v>
      </c>
      <c r="U241" s="152" t="str">
        <f aca="false">RIGHT(T241,7)</f>
        <v>008/037</v>
      </c>
      <c r="V241" s="152" t="s">
        <v>1555</v>
      </c>
      <c r="W241" s="156" t="n">
        <v>45882</v>
      </c>
      <c r="X241" s="152" t="s">
        <v>1594</v>
      </c>
      <c r="Y241" s="152" t="s">
        <v>2387</v>
      </c>
      <c r="Z241" s="152" t="s">
        <v>1557</v>
      </c>
      <c r="AA241" s="153" t="n">
        <v>3.9</v>
      </c>
      <c r="AB241" s="151" t="s">
        <v>2443</v>
      </c>
      <c r="AC241" s="151" t="s">
        <v>526</v>
      </c>
      <c r="AD241" s="151" t="str">
        <f aca="false">CONCATENATE($C241,$I241,$H241,$N241,$J241,$K241)</f>
        <v>TUBO PEADPEAD90VCAREDESZona02</v>
      </c>
      <c r="AE241" s="153" t="n">
        <f aca="false">IFERROR(INDEX(APOIO_REDES!$A:$W,MATCH($C241&amp;$I241&amp;$H241&amp;$N241&amp;$O241,APOIO_REDES!$W:$W,0),MATCH(AE$5,APOIO_REDES!$5:$5,0)),0)</f>
        <v>1.2</v>
      </c>
      <c r="AF241" s="153" t="n">
        <f aca="false">IFERROR(INDEX(APOIO_REDES!$A:$W,MATCH($C241&amp;$I241&amp;$H241&amp;$N241&amp;$O241,APOIO_REDES!$W:$W,0),MATCH(AF$5,APOIO_REDES!$5:$5,0)),0)</f>
        <v>1.39</v>
      </c>
      <c r="AG241" s="153" t="n">
        <f aca="false">IFERROR(INDEX(APOIO_REDES!$A:$W,MATCH($C241&amp;$I241&amp;$H241&amp;$N241&amp;$O241,APOIO_REDES!$W:$W,0),MATCH(AG$5,APOIO_REDES!$5:$5,0)),0)</f>
        <v>0.75</v>
      </c>
      <c r="AH241" s="153" t="n">
        <f aca="false">IFERROR(INDEX(APOIO_REDES!$A:$W,MATCH($C241&amp;$I241&amp;$H241&amp;$N241&amp;$O241,APOIO_REDES!$W:$W,0),MATCH(AH$5,APOIO_REDES!$5:$5,0)),0)</f>
        <v>0.1</v>
      </c>
      <c r="AI241" s="153" t="n">
        <f aca="false">IFERROR(IF($H241&lt;&gt;"",(((($H241/1000)/2)^2)*PI()*$M241),0),0)</f>
        <v>0.301927474362227</v>
      </c>
      <c r="AJ241" s="153" t="n">
        <f aca="false">IFERROR(IF(AND($H241&lt;&gt;"",$I241="FoFo",OR($N241="MND",$N241="VCA"),$Q241="LINEAR"),0,IF(AND($H241&lt;&gt;"",$I241="PEAD",$N241="VCA",$Q241="LINEAR"),($H241/1000)+0.3,IF(AND($H241&lt;&gt;"",$I241="PEAD",$N241="MND",$Q241="EMBOQUE"),0,IF(AND($H241&lt;&gt;"",$I241="PVC",$N241="VCA",$Q241="LINEAR"),($H241/1000)+0.2,IF(AND($H241&lt;&gt;"",$I241="PVC",$N241="MND",$Q241="EMBOQUE"),0,IF(AND($H241&lt;&gt;"",$I241="PEAD",$N241="VCA",$Q241="PREDIAL"),0,0)))))),0)</f>
        <v>0.39</v>
      </c>
      <c r="AK241" s="153" t="n">
        <f aca="false">IF(AA241&lt;&gt;"",AA241,0)</f>
        <v>3.9</v>
      </c>
      <c r="AL241" s="153" t="n">
        <f aca="false">IF(AND($N241="MND",$Q241="EMBOQUE"),$M241,IF(AND($N241="VCA",$Q241="LINEAR"),$M241,IF(AND($N241="VCA",$Q241="PREDIAL"),0,0)))</f>
        <v>47.46</v>
      </c>
      <c r="AM241" s="153" t="n">
        <f aca="false">IF(AND($N241="MND",$Q241="EMBOQUE"),$M241,IF(AND($N241="VCA",$Q241="LINEAR"),$M241,IF(AND($N241="VCA",$Q241="PREDIAL"),0,0)))</f>
        <v>47.46</v>
      </c>
      <c r="AN241" s="153" t="n">
        <f aca="false">ROUND(IF(AND($N241="VCA",$M241&lt;&gt;"",$Q241="LINEAR"),$M241/100,IF(AND($N241="MND",$M241&gt;100,$Q241="EMBOQUE"),$M241/100,0)),0)</f>
        <v>0</v>
      </c>
      <c r="AO241" s="153" t="n">
        <f aca="false">IF(AND($N241="MND",$Q241="EMBOQUE"),$AN241*2*2,IF(AND($N241="VCA",$Q241="LINEAR"),$M241*2,IF(AND($N241="VCA",$Q241="PREDIAL"),0,0)))</f>
        <v>94.92</v>
      </c>
      <c r="AP241" s="153" t="n">
        <f aca="false">IFERROR($M241*$AF241*$AG241,0)</f>
        <v>49.47705</v>
      </c>
      <c r="AQ241" s="153" t="n">
        <f aca="false">IFERROR(IF(AND($N241="VCA",$AH241&gt;0),$M241*$AG241*$AH241,0),0)</f>
        <v>3.5595</v>
      </c>
      <c r="AR241" s="153" t="n">
        <f aca="false">IFERROR(IF(AND($N241="VCA",$AJ241&gt;0),($M241*$AG241*$AJ241)-$AI241,0),0)</f>
        <v>13.5801225256378</v>
      </c>
      <c r="AS241" s="153" t="n">
        <f aca="false">IFERROR(IF(AND($N241="VCA",$AP241&gt;0),$AP241-$AI241-$AQ241-$AR241,0),0)</f>
        <v>32.0355</v>
      </c>
      <c r="AT241" s="153" t="n">
        <f aca="false">IFERROR(IF($N241="VCA",INDEX(APOIO_REDES!$A:$W,MATCH($C241&amp;$I241&amp;$H241&amp;$N241&amp;$O241,APOIO_REDES!$W:$W,0),MATCH(AT$5,APOIO_REDES!$5:$5,0)),0)*$AP241,0)</f>
        <v>0.538324948459275</v>
      </c>
      <c r="AU241" s="153" t="n">
        <f aca="false">IFERROR(IF($N241="VCA",INDEX(APOIO_REDES!$A:$W,MATCH($C241&amp;$I241&amp;$H241&amp;$N241&amp;$O241,APOIO_REDES!$W:$W,0),MATCH(AU$5,APOIO_REDES!$5:$5,0)),0)*$AP241,0)</f>
        <v>0.42989172415097</v>
      </c>
      <c r="AV241" s="153" t="n">
        <f aca="false">IFERROR(IF($N241="VCA",INDEX(APOIO_REDES!$A:$W,MATCH($C241&amp;$I241&amp;$H241&amp;$N241&amp;$O241,APOIO_REDES!$W:$W,0),MATCH(AV$5,APOIO_REDES!$5:$5,0)),0)*$AP241,0)</f>
        <v>0.0594936398401409</v>
      </c>
      <c r="AW241" s="153" t="n">
        <f aca="false">IFERROR(IF($N241="VCA",INDEX(APOIO_REDES!$A:$W,MATCH($C241&amp;$I241&amp;$H241&amp;$N241&amp;$O241,APOIO_REDES!$W:$W,0),MATCH(AW$5,APOIO_REDES!$5:$5,0)),0)*$AP241,0)</f>
        <v>33.9614304868908</v>
      </c>
      <c r="AX241" s="153" t="n">
        <f aca="false">IFERROR(IF($N241="VCA",INDEX(APOIO_REDES!$A:$W,MATCH($C241&amp;$I241&amp;$H241&amp;$N241&amp;$O241,APOIO_REDES!$W:$W,0),MATCH(AX$5,APOIO_REDES!$5:$5,0)),0)*$AP241,0)</f>
        <v>4.70016523841974</v>
      </c>
      <c r="AY241" s="153" t="n">
        <f aca="false">IFERROR(IF($N241="VCA",INDEX(APOIO_REDES!$A:$W,MATCH($C241&amp;$I241&amp;$H241&amp;$N241&amp;$O241,APOIO_REDES!$W:$W,0),MATCH(AY$5,APOIO_REDES!$5:$5,0)),0)*$AP241,0)</f>
        <v>8.59782924267412</v>
      </c>
      <c r="AZ241" s="153" t="n">
        <f aca="false">IFERROR(IF($N241="VCA",INDEX(APOIO_REDES!$A:$W,MATCH($C241&amp;$I241&amp;$H241&amp;$N241&amp;$O241,APOIO_REDES!$W:$W,0),MATCH(AZ$5,APOIO_REDES!$5:$5,0)),0)*$AP241,0)</f>
        <v>1.18991471956497</v>
      </c>
      <c r="BA241" s="153" t="n">
        <f aca="false">IFERROR(IF(AND($N241="VCA",$Q241="LINEAR"),INDEX(APOIO_REDES!$A:$W,MATCH($C241&amp;$I241&amp;$H241&amp;$N241&amp;$O241,APOIO_REDES!$W:$W,0),MATCH(BA$5,APOIO_REDES!$5:$5,0)),IF(AND($N241="MND",$Q241="EMBOQUE"),INDEX(APOIO_REDES!$A:$W,MATCH($C241&amp;$I241&amp;$H241&amp;$N241&amp;$O241,APOIO_REDES!$W:$W,0),MATCH(BA$5,APOIO_REDES!$5:$5,0)),0))*$M241/10,0)</f>
        <v>3.82515628593637</v>
      </c>
      <c r="BB241" s="153" t="n">
        <f aca="false">IFERROR(IF($N241="VCA",INDEX(APOIO_REDES!$A:$W,MATCH($C241&amp;$I241&amp;$H241&amp;$N241&amp;$O241,APOIO_REDES!$W:$W,0),MATCH(BB$5,APOIO_REDES!$5:$5,0)),0)*($AI241+$AQ241+$AR241),0)</f>
        <v>17.2517807735647</v>
      </c>
      <c r="BC241" s="153" t="n">
        <f aca="false">IFERROR(IF($N241="VCA",INDEX(APOIO_REDES!$A:$W,MATCH($C241&amp;$I241&amp;$H241&amp;$N241&amp;$O241,APOIO_REDES!$W:$W,0),MATCH(BC$5,APOIO_REDES!$5:$5,0)),0)*($AI241+$AQ241+$AR241),0)</f>
        <v>0.189769226435284</v>
      </c>
      <c r="BD241" s="153" t="n">
        <f aca="false">IF(AND($N241="VCA",$AF241&gt;=1.25,$AF241&lt;1.5),$M241*$AF241*2,0)</f>
        <v>131.9388</v>
      </c>
      <c r="BE241" s="153" t="n">
        <f aca="false">IF(AND($N241="VCA",$AF241&gt;=1.5,$AF241&lt;3),$M241*$AF241*2,0)</f>
        <v>0</v>
      </c>
      <c r="BF241" s="153" t="n">
        <f aca="false">IF(AND($N241="VCA",$AF241&gt;=3),$M241*$AF241*2,0)</f>
        <v>0</v>
      </c>
      <c r="BG241" s="153" t="n">
        <f aca="false">($BB241+$BC241)*$AK241</f>
        <v>68.022045</v>
      </c>
      <c r="BH241" s="153" t="n">
        <f aca="false">IF(AND($M241&lt;&gt;"",$N241="VCA",$Q241="LINEAR"),($M241*2)/100,IF(AND($M241&lt;&gt;"",$N241="MND",$Q241="EMBOQUE"),($AN241*2)/100,0))</f>
        <v>0.9492</v>
      </c>
      <c r="BI241" s="153" t="n">
        <f aca="false">IF(AND($M241&lt;&gt;"",$N241="VCA",$Q241="LINEAR"),$M241,IF(AND($M241&lt;&gt;"",$N241="MND",$Q241="EMBOQUE"),$AN241*2,0))</f>
        <v>47.46</v>
      </c>
      <c r="BJ241" s="153" t="n">
        <f aca="false">IF(AND($M241&lt;&gt;"",$N241="VCA",$Q241="LINEAR"),($M241*6.8)/100,IF(AND($M241&lt;&gt;"",$N241="MND",$Q241="EMBOQUE"),($AN241*2*6.8)/100,0))</f>
        <v>3.22728</v>
      </c>
      <c r="BK241" s="153" t="n">
        <f aca="false">IF(AND($M241&lt;&gt;"",$N241="VCA",$Q241="LINEAR"),($M241*2.5)/50,IF(AND($M241&lt;&gt;"",$N241="MND",$Q241="EMBOQUE"),($AN241*2*2.5)/50,0))</f>
        <v>2.373</v>
      </c>
      <c r="BL241" s="157" t="str">
        <f aca="false">K241&amp;J241</f>
        <v>Zona02REDES</v>
      </c>
      <c r="BM241" s="152" t="s">
        <v>2037</v>
      </c>
      <c r="BN241" s="152" t="s">
        <v>1560</v>
      </c>
      <c r="BO241" s="152" t="s">
        <v>2231</v>
      </c>
      <c r="BP241" s="152" t="s">
        <v>2444</v>
      </c>
      <c r="BQ241" s="152" t="s">
        <v>2433</v>
      </c>
      <c r="BR241" s="152" t="s">
        <v>2445</v>
      </c>
      <c r="BS241" s="152" t="n">
        <v>202769.172</v>
      </c>
      <c r="BT241" s="152" t="n">
        <v>8237542.884</v>
      </c>
      <c r="BU241" s="152" t="n">
        <v>202730.792</v>
      </c>
      <c r="BV241" s="152" t="n">
        <v>8237570.775</v>
      </c>
      <c r="BW241" s="152" t="n">
        <v>-15.9234333</v>
      </c>
      <c r="BX241" s="152" t="n">
        <v>-47.77627</v>
      </c>
      <c r="BY241" s="152" t="s">
        <v>2444</v>
      </c>
    </row>
    <row r="242" customFormat="false" ht="13.8" hidden="false" customHeight="false" outlineLevel="0" collapsed="false">
      <c r="A242" s="149" t="n">
        <f aca="false">IF(C242&lt;&gt;"",ROW(A237),"")</f>
        <v>237</v>
      </c>
      <c r="B242" s="150" t="str">
        <f aca="false">HYPERLINK("https://www.google.com/maps/dir/-15.917302,-47.760003/-15.9233190,-47.7774334/data=!4m3!4m2!3e0!5i2")</f>
        <v>https://www.google.com/maps/dir/-15.917302,-47.760003/-15.9233190,-47.7774334/data=!4m3!4m2!3e0!5i2</v>
      </c>
      <c r="C242" s="151" t="s">
        <v>117</v>
      </c>
      <c r="D242" s="152" t="s">
        <v>112</v>
      </c>
      <c r="E242" s="152" t="s">
        <v>113</v>
      </c>
      <c r="F242" s="152" t="s">
        <v>117</v>
      </c>
      <c r="G242" s="152" t="s">
        <v>782</v>
      </c>
      <c r="H242" s="152" t="n">
        <v>63</v>
      </c>
      <c r="I242" s="152" t="s">
        <v>115</v>
      </c>
      <c r="J242" s="152" t="s">
        <v>6</v>
      </c>
      <c r="K242" s="152" t="s">
        <v>2033</v>
      </c>
      <c r="L242" s="152" t="s">
        <v>120</v>
      </c>
      <c r="M242" s="153" t="n">
        <f aca="false">135.17+0.51</f>
        <v>135.68</v>
      </c>
      <c r="N242" s="152" t="s">
        <v>1548</v>
      </c>
      <c r="O242" s="152" t="s">
        <v>1549</v>
      </c>
      <c r="P242" s="152" t="s">
        <v>1550</v>
      </c>
      <c r="Q242" s="152" t="s">
        <v>1551</v>
      </c>
      <c r="R242" s="154" t="s">
        <v>2446</v>
      </c>
      <c r="S242" s="154" t="s">
        <v>1553</v>
      </c>
      <c r="T242" s="155" t="s">
        <v>2227</v>
      </c>
      <c r="U242" s="152" t="str">
        <f aca="false">RIGHT(T242,7)</f>
        <v>008/037</v>
      </c>
      <c r="V242" s="152" t="s">
        <v>1555</v>
      </c>
      <c r="W242" s="156" t="n">
        <v>45882</v>
      </c>
      <c r="X242" s="152" t="s">
        <v>1594</v>
      </c>
      <c r="Y242" s="152" t="s">
        <v>2400</v>
      </c>
      <c r="Z242" s="152" t="s">
        <v>1557</v>
      </c>
      <c r="AA242" s="153" t="n">
        <v>4.1</v>
      </c>
      <c r="AB242" s="151" t="s">
        <v>2447</v>
      </c>
      <c r="AC242" s="151" t="s">
        <v>186</v>
      </c>
      <c r="AD242" s="151" t="str">
        <f aca="false">CONCATENATE($C242,$I242,$H242,$N242,$J242,$K242)</f>
        <v>TUBO PEADPEAD63VCAREDESZona02</v>
      </c>
      <c r="AE242" s="153" t="n">
        <f aca="false">IFERROR(INDEX(APOIO_REDES!$A:$W,MATCH($C242&amp;$I242&amp;$H242&amp;$N242&amp;$O242,APOIO_REDES!$W:$W,0),MATCH(AE$5,APOIO_REDES!$5:$5,0)),0)</f>
        <v>1.2</v>
      </c>
      <c r="AF242" s="153" t="n">
        <f aca="false">IFERROR(INDEX(APOIO_REDES!$A:$W,MATCH($C242&amp;$I242&amp;$H242&amp;$N242&amp;$O242,APOIO_REDES!$W:$W,0),MATCH(AF$5,APOIO_REDES!$5:$5,0)),0)</f>
        <v>1.363</v>
      </c>
      <c r="AG242" s="153" t="n">
        <f aca="false">IFERROR(INDEX(APOIO_REDES!$A:$W,MATCH($C242&amp;$I242&amp;$H242&amp;$N242&amp;$O242,APOIO_REDES!$W:$W,0),MATCH(AG$5,APOIO_REDES!$5:$5,0)),0)</f>
        <v>0.65</v>
      </c>
      <c r="AH242" s="153" t="n">
        <f aca="false">IFERROR(INDEX(APOIO_REDES!$A:$W,MATCH($C242&amp;$I242&amp;$H242&amp;$N242&amp;$O242,APOIO_REDES!$W:$W,0),MATCH(AH$5,APOIO_REDES!$5:$5,0)),0)</f>
        <v>0.1</v>
      </c>
      <c r="AI242" s="153" t="n">
        <f aca="false">IFERROR(IF($H242&lt;&gt;"",(((($H242/1000)/2)^2)*PI()*$M242),0),0)</f>
        <v>0.42294784373196</v>
      </c>
      <c r="AJ242" s="153" t="n">
        <f aca="false">IFERROR(IF(AND($H242&lt;&gt;"",$I242="FoFo",OR($N242="MND",$N242="VCA"),$Q242="LINEAR"),0,IF(AND($H242&lt;&gt;"",$I242="PEAD",$N242="VCA",$Q242="LINEAR"),($H242/1000)+0.3,IF(AND($H242&lt;&gt;"",$I242="PEAD",$N242="MND",$Q242="EMBOQUE"),0,IF(AND($H242&lt;&gt;"",$I242="PVC",$N242="VCA",$Q242="LINEAR"),($H242/1000)+0.2,IF(AND($H242&lt;&gt;"",$I242="PVC",$N242="MND",$Q242="EMBOQUE"),0,IF(AND($H242&lt;&gt;"",$I242="PEAD",$N242="VCA",$Q242="PREDIAL"),0,0)))))),0)</f>
        <v>0.363</v>
      </c>
      <c r="AK242" s="153" t="n">
        <f aca="false">IF(AA242&lt;&gt;"",AA242,0)</f>
        <v>4.1</v>
      </c>
      <c r="AL242" s="153" t="n">
        <f aca="false">IF(AND($N242="MND",$Q242="EMBOQUE"),$M242,IF(AND($N242="VCA",$Q242="LINEAR"),$M242,IF(AND($N242="VCA",$Q242="PREDIAL"),0,0)))</f>
        <v>135.68</v>
      </c>
      <c r="AM242" s="153" t="n">
        <f aca="false">IF(AND($N242="MND",$Q242="EMBOQUE"),$M242,IF(AND($N242="VCA",$Q242="LINEAR"),$M242,IF(AND($N242="VCA",$Q242="PREDIAL"),0,0)))</f>
        <v>135.68</v>
      </c>
      <c r="AN242" s="153" t="n">
        <f aca="false">ROUND(IF(AND($N242="VCA",$M242&lt;&gt;"",$Q242="LINEAR"),$M242/100,IF(AND($N242="MND",$M242&gt;100,$Q242="EMBOQUE"),$M242/100,0)),0)</f>
        <v>1</v>
      </c>
      <c r="AO242" s="153" t="n">
        <f aca="false">IF(AND($N242="MND",$Q242="EMBOQUE"),$AN242*2*2,IF(AND($N242="VCA",$Q242="LINEAR"),$M242*2,IF(AND($N242="VCA",$Q242="PREDIAL"),0,0)))</f>
        <v>271.36</v>
      </c>
      <c r="AP242" s="153" t="n">
        <f aca="false">IFERROR($M242*$AF242*$AG242,0)</f>
        <v>120.205696</v>
      </c>
      <c r="AQ242" s="153" t="n">
        <f aca="false">IFERROR(IF(AND($N242="VCA",$AH242&gt;0),$M242*$AG242*$AH242,0),0)</f>
        <v>8.8192</v>
      </c>
      <c r="AR242" s="153" t="n">
        <f aca="false">IFERROR(IF(AND($N242="VCA",$AJ242&gt;0),($M242*$AG242*$AJ242)-$AI242,0),0)</f>
        <v>31.590748156268</v>
      </c>
      <c r="AS242" s="153" t="n">
        <f aca="false">IFERROR(IF(AND($N242="VCA",$AP242&gt;0),$AP242-$AI242-$AQ242-$AR242,0),0)</f>
        <v>79.3728</v>
      </c>
      <c r="AT242" s="153" t="n">
        <f aca="false">IFERROR(IF($N242="VCA",INDEX(APOIO_REDES!$A:$W,MATCH($C242&amp;$I242&amp;$H242&amp;$N242&amp;$O242,APOIO_REDES!$W:$W,0),MATCH(AT$5,APOIO_REDES!$5:$5,0)),0)*$AP242,0)</f>
        <v>1.30787355154989</v>
      </c>
      <c r="AU242" s="153" t="n">
        <f aca="false">IFERROR(IF($N242="VCA",INDEX(APOIO_REDES!$A:$W,MATCH($C242&amp;$I242&amp;$H242&amp;$N242&amp;$O242,APOIO_REDES!$W:$W,0),MATCH(AU$5,APOIO_REDES!$5:$5,0)),0)*$AP242,0)</f>
        <v>1.04443239655976</v>
      </c>
      <c r="AV242" s="153" t="n">
        <f aca="false">IFERROR(IF($N242="VCA",INDEX(APOIO_REDES!$A:$W,MATCH($C242&amp;$I242&amp;$H242&amp;$N242&amp;$O242,APOIO_REDES!$W:$W,0),MATCH(AV$5,APOIO_REDES!$5:$5,0)),0)*$AP242,0)</f>
        <v>0.144541244568087</v>
      </c>
      <c r="AW242" s="153" t="n">
        <f aca="false">IFERROR(IF($N242="VCA",INDEX(APOIO_REDES!$A:$W,MATCH($C242&amp;$I242&amp;$H242&amp;$N242&amp;$O242,APOIO_REDES!$W:$W,0),MATCH(AW$5,APOIO_REDES!$5:$5,0)),0)*$AP242,0)</f>
        <v>82.5101211335826</v>
      </c>
      <c r="AX242" s="153" t="n">
        <f aca="false">IFERROR(IF($N242="VCA",INDEX(APOIO_REDES!$A:$W,MATCH($C242&amp;$I242&amp;$H242&amp;$N242&amp;$O242,APOIO_REDES!$W:$W,0),MATCH(AX$5,APOIO_REDES!$5:$5,0)),0)*$AP242,0)</f>
        <v>11.4191657303588</v>
      </c>
      <c r="AY242" s="153" t="n">
        <f aca="false">IFERROR(IF($N242="VCA",INDEX(APOIO_REDES!$A:$W,MATCH($C242&amp;$I242&amp;$H242&amp;$N242&amp;$O242,APOIO_REDES!$W:$W,0),MATCH(AY$5,APOIO_REDES!$5:$5,0)),0)*$AP242,0)</f>
        <v>20.888635199649</v>
      </c>
      <c r="AZ242" s="153" t="n">
        <f aca="false">IFERROR(IF($N242="VCA",INDEX(APOIO_REDES!$A:$W,MATCH($C242&amp;$I242&amp;$H242&amp;$N242&amp;$O242,APOIO_REDES!$W:$W,0),MATCH(AZ$5,APOIO_REDES!$5:$5,0)),0)*$AP242,0)</f>
        <v>2.89092674373173</v>
      </c>
      <c r="BA242" s="153" t="n">
        <f aca="false">IFERROR(IF(AND($N242="VCA",$Q242="LINEAR"),INDEX(APOIO_REDES!$A:$W,MATCH($C242&amp;$I242&amp;$H242&amp;$N242&amp;$O242,APOIO_REDES!$W:$W,0),MATCH(BA$5,APOIO_REDES!$5:$5,0)),IF(AND($N242="MND",$Q242="EMBOQUE"),INDEX(APOIO_REDES!$A:$W,MATCH($C242&amp;$I242&amp;$H242&amp;$N242&amp;$O242,APOIO_REDES!$W:$W,0),MATCH(BA$5,APOIO_REDES!$5:$5,0)),0))*$M242/10,0)</f>
        <v>10.9354657580246</v>
      </c>
      <c r="BB242" s="153" t="n">
        <f aca="false">IFERROR(IF($N242="VCA",INDEX(APOIO_REDES!$A:$W,MATCH($C242&amp;$I242&amp;$H242&amp;$N242&amp;$O242,APOIO_REDES!$W:$W,0),MATCH(BB$5,APOIO_REDES!$5:$5,0)),0)*($AI242+$AQ242+$AR242),0)</f>
        <v>40.3886220055997</v>
      </c>
      <c r="BC242" s="153" t="n">
        <f aca="false">IFERROR(IF($N242="VCA",INDEX(APOIO_REDES!$A:$W,MATCH($C242&amp;$I242&amp;$H242&amp;$N242&amp;$O242,APOIO_REDES!$W:$W,0),MATCH(BC$5,APOIO_REDES!$5:$5,0)),0)*($AI242+$AQ242+$AR242),0)</f>
        <v>0.444273994400291</v>
      </c>
      <c r="BD242" s="153" t="n">
        <f aca="false">IF(AND($N242="VCA",$AF242&gt;=1.25,$AF242&lt;1.5),$M242*$AF242*2,0)</f>
        <v>369.86368</v>
      </c>
      <c r="BE242" s="153" t="n">
        <f aca="false">IF(AND($N242="VCA",$AF242&gt;=1.5,$AF242&lt;3),$M242*$AF242*2,0)</f>
        <v>0</v>
      </c>
      <c r="BF242" s="153" t="n">
        <f aca="false">IF(AND($N242="VCA",$AF242&gt;=3),$M242*$AF242*2,0)</f>
        <v>0</v>
      </c>
      <c r="BG242" s="153" t="n">
        <f aca="false">($BB242+$BC242)*$AK242</f>
        <v>167.4148736</v>
      </c>
      <c r="BH242" s="153" t="n">
        <f aca="false">IF(AND($M242&lt;&gt;"",$N242="VCA",$Q242="LINEAR"),($M242*2)/100,IF(AND($M242&lt;&gt;"",$N242="MND",$Q242="EMBOQUE"),($AN242*2)/100,0))</f>
        <v>2.7136</v>
      </c>
      <c r="BI242" s="153" t="n">
        <f aca="false">IF(AND($M242&lt;&gt;"",$N242="VCA",$Q242="LINEAR"),$M242,IF(AND($M242&lt;&gt;"",$N242="MND",$Q242="EMBOQUE"),$AN242*2,0))</f>
        <v>135.68</v>
      </c>
      <c r="BJ242" s="153" t="n">
        <f aca="false">IF(AND($M242&lt;&gt;"",$N242="VCA",$Q242="LINEAR"),($M242*6.8)/100,IF(AND($M242&lt;&gt;"",$N242="MND",$Q242="EMBOQUE"),($AN242*2*6.8)/100,0))</f>
        <v>9.22624</v>
      </c>
      <c r="BK242" s="153" t="n">
        <f aca="false">IF(AND($M242&lt;&gt;"",$N242="VCA",$Q242="LINEAR"),($M242*2.5)/50,IF(AND($M242&lt;&gt;"",$N242="MND",$Q242="EMBOQUE"),($AN242*2*2.5)/50,0))</f>
        <v>6.784</v>
      </c>
      <c r="BL242" s="157" t="str">
        <f aca="false">K242&amp;J242</f>
        <v>Zona02REDES</v>
      </c>
      <c r="BM242" s="152" t="s">
        <v>2037</v>
      </c>
      <c r="BN242" s="152" t="s">
        <v>1560</v>
      </c>
      <c r="BO242" s="152" t="s">
        <v>2231</v>
      </c>
      <c r="BP242" s="152" t="s">
        <v>2429</v>
      </c>
      <c r="BQ242" s="152" t="s">
        <v>2448</v>
      </c>
      <c r="BR242" s="152" t="s">
        <v>2449</v>
      </c>
      <c r="BS242" s="152" t="n">
        <v>202625.243</v>
      </c>
      <c r="BT242" s="152" t="n">
        <v>8237568.128</v>
      </c>
      <c r="BU242" s="152" t="n">
        <v>202497.063</v>
      </c>
      <c r="BV242" s="152" t="n">
        <v>8237529.22</v>
      </c>
      <c r="BW242" s="152" t="n">
        <v>-15.9234874</v>
      </c>
      <c r="BX242" s="152" t="n">
        <v>-47.778032</v>
      </c>
      <c r="BY242" s="152" t="s">
        <v>2429</v>
      </c>
    </row>
    <row r="243" customFormat="false" ht="13.8" hidden="false" customHeight="false" outlineLevel="0" collapsed="false">
      <c r="A243" s="149" t="n">
        <f aca="false">IF(C243&lt;&gt;"",ROW(A238),"")</f>
        <v>238</v>
      </c>
      <c r="B243" s="150" t="str">
        <f aca="false">HYPERLINK("https://www.google.com/maps/dir/-15.917302,-47.760003/-15.9233190,-47.7774334/data=!4m3!4m2!3e0!5i2")</f>
        <v>https://www.google.com/maps/dir/-15.917302,-47.760003/-15.9233190,-47.7774334/data=!4m3!4m2!3e0!5i2</v>
      </c>
      <c r="C243" s="151" t="s">
        <v>117</v>
      </c>
      <c r="D243" s="152" t="s">
        <v>112</v>
      </c>
      <c r="E243" s="152" t="s">
        <v>113</v>
      </c>
      <c r="F243" s="152" t="s">
        <v>117</v>
      </c>
      <c r="G243" s="152" t="s">
        <v>782</v>
      </c>
      <c r="H243" s="152" t="n">
        <v>63</v>
      </c>
      <c r="I243" s="152" t="s">
        <v>115</v>
      </c>
      <c r="J243" s="152" t="s">
        <v>6</v>
      </c>
      <c r="K243" s="152" t="s">
        <v>2033</v>
      </c>
      <c r="L243" s="152" t="s">
        <v>120</v>
      </c>
      <c r="M243" s="153" t="n">
        <f aca="false">53.86</f>
        <v>53.86</v>
      </c>
      <c r="N243" s="152" t="s">
        <v>1548</v>
      </c>
      <c r="O243" s="152" t="s">
        <v>1549</v>
      </c>
      <c r="P243" s="152" t="s">
        <v>1550</v>
      </c>
      <c r="Q243" s="152" t="s">
        <v>1551</v>
      </c>
      <c r="R243" s="154" t="s">
        <v>2450</v>
      </c>
      <c r="S243" s="154" t="s">
        <v>1553</v>
      </c>
      <c r="T243" s="155" t="s">
        <v>2227</v>
      </c>
      <c r="U243" s="152" t="str">
        <f aca="false">RIGHT(T243,7)</f>
        <v>008/037</v>
      </c>
      <c r="V243" s="152" t="s">
        <v>1555</v>
      </c>
      <c r="W243" s="156" t="n">
        <v>45882</v>
      </c>
      <c r="X243" s="152" t="s">
        <v>1594</v>
      </c>
      <c r="Y243" s="152" t="s">
        <v>2400</v>
      </c>
      <c r="Z243" s="152" t="s">
        <v>1557</v>
      </c>
      <c r="AA243" s="153" t="n">
        <v>4.1</v>
      </c>
      <c r="AB243" s="151" t="s">
        <v>2451</v>
      </c>
      <c r="AC243" s="151" t="s">
        <v>186</v>
      </c>
      <c r="AD243" s="151" t="str">
        <f aca="false">CONCATENATE($C243,$I243,$H243,$N243,$J243,$K243)</f>
        <v>TUBO PEADPEAD63VCAREDESZona02</v>
      </c>
      <c r="AE243" s="153" t="n">
        <f aca="false">IFERROR(INDEX(APOIO_REDES!$A:$W,MATCH($C243&amp;$I243&amp;$H243&amp;$N243&amp;$O243,APOIO_REDES!$W:$W,0),MATCH(AE$5,APOIO_REDES!$5:$5,0)),0)</f>
        <v>1.2</v>
      </c>
      <c r="AF243" s="153" t="n">
        <f aca="false">IFERROR(INDEX(APOIO_REDES!$A:$W,MATCH($C243&amp;$I243&amp;$H243&amp;$N243&amp;$O243,APOIO_REDES!$W:$W,0),MATCH(AF$5,APOIO_REDES!$5:$5,0)),0)</f>
        <v>1.363</v>
      </c>
      <c r="AG243" s="153" t="n">
        <f aca="false">IFERROR(INDEX(APOIO_REDES!$A:$W,MATCH($C243&amp;$I243&amp;$H243&amp;$N243&amp;$O243,APOIO_REDES!$W:$W,0),MATCH(AG$5,APOIO_REDES!$5:$5,0)),0)</f>
        <v>0.65</v>
      </c>
      <c r="AH243" s="153" t="n">
        <f aca="false">IFERROR(INDEX(APOIO_REDES!$A:$W,MATCH($C243&amp;$I243&amp;$H243&amp;$N243&amp;$O243,APOIO_REDES!$W:$W,0),MATCH(AH$5,APOIO_REDES!$5:$5,0)),0)</f>
        <v>0.1</v>
      </c>
      <c r="AI243" s="153" t="n">
        <f aca="false">IFERROR(IF($H243&lt;&gt;"",(((($H243/1000)/2)^2)*PI()*$M243),0),0)</f>
        <v>0.167894832424848</v>
      </c>
      <c r="AJ243" s="153" t="n">
        <f aca="false">IFERROR(IF(AND($H243&lt;&gt;"",$I243="FoFo",OR($N243="MND",$N243="VCA"),$Q243="LINEAR"),0,IF(AND($H243&lt;&gt;"",$I243="PEAD",$N243="VCA",$Q243="LINEAR"),($H243/1000)+0.3,IF(AND($H243&lt;&gt;"",$I243="PEAD",$N243="MND",$Q243="EMBOQUE"),0,IF(AND($H243&lt;&gt;"",$I243="PVC",$N243="VCA",$Q243="LINEAR"),($H243/1000)+0.2,IF(AND($H243&lt;&gt;"",$I243="PVC",$N243="MND",$Q243="EMBOQUE"),0,IF(AND($H243&lt;&gt;"",$I243="PEAD",$N243="VCA",$Q243="PREDIAL"),0,0)))))),0)</f>
        <v>0.363</v>
      </c>
      <c r="AK243" s="153" t="n">
        <f aca="false">IF(AA243&lt;&gt;"",AA243,0)</f>
        <v>4.1</v>
      </c>
      <c r="AL243" s="153" t="n">
        <f aca="false">IF(AND($N243="MND",$Q243="EMBOQUE"),$M243,IF(AND($N243="VCA",$Q243="LINEAR"),$M243,IF(AND($N243="VCA",$Q243="PREDIAL"),0,0)))</f>
        <v>53.86</v>
      </c>
      <c r="AM243" s="153" t="n">
        <f aca="false">IF(AND($N243="MND",$Q243="EMBOQUE"),$M243,IF(AND($N243="VCA",$Q243="LINEAR"),$M243,IF(AND($N243="VCA",$Q243="PREDIAL"),0,0)))</f>
        <v>53.86</v>
      </c>
      <c r="AN243" s="153" t="n">
        <f aca="false">ROUND(IF(AND($N243="VCA",$M243&lt;&gt;"",$Q243="LINEAR"),$M243/100,IF(AND($N243="MND",$M243&gt;100,$Q243="EMBOQUE"),$M243/100,0)),0)</f>
        <v>1</v>
      </c>
      <c r="AO243" s="153" t="n">
        <f aca="false">IF(AND($N243="MND",$Q243="EMBOQUE"),$AN243*2*2,IF(AND($N243="VCA",$Q243="LINEAR"),$M243*2,IF(AND($N243="VCA",$Q243="PREDIAL"),0,0)))</f>
        <v>107.72</v>
      </c>
      <c r="AP243" s="153" t="n">
        <f aca="false">IFERROR($M243*$AF243*$AG243,0)</f>
        <v>47.717267</v>
      </c>
      <c r="AQ243" s="153" t="n">
        <f aca="false">IFERROR(IF(AND($N243="VCA",$AH243&gt;0),$M243*$AG243*$AH243,0),0)</f>
        <v>3.5009</v>
      </c>
      <c r="AR243" s="153" t="n">
        <f aca="false">IFERROR(IF(AND($N243="VCA",$AJ243&gt;0),($M243*$AG243*$AJ243)-$AI243,0),0)</f>
        <v>12.5403721675752</v>
      </c>
      <c r="AS243" s="153" t="n">
        <f aca="false">IFERROR(IF(AND($N243="VCA",$AP243&gt;0),$AP243-$AI243-$AQ243-$AR243,0),0)</f>
        <v>31.5081</v>
      </c>
      <c r="AT243" s="153" t="n">
        <f aca="false">IFERROR(IF($N243="VCA",INDEX(APOIO_REDES!$A:$W,MATCH($C243&amp;$I243&amp;$H243&amp;$N243&amp;$O243,APOIO_REDES!$W:$W,0),MATCH(AT$5,APOIO_REDES!$5:$5,0)),0)*$AP243,0)</f>
        <v>0.519177988550095</v>
      </c>
      <c r="AU243" s="153" t="n">
        <f aca="false">IFERROR(IF($N243="VCA",INDEX(APOIO_REDES!$A:$W,MATCH($C243&amp;$I243&amp;$H243&amp;$N243&amp;$O243,APOIO_REDES!$W:$W,0),MATCH(AU$5,APOIO_REDES!$5:$5,0)),0)*$AP243,0)</f>
        <v>0.414601480532937</v>
      </c>
      <c r="AV243" s="153" t="n">
        <f aca="false">IFERROR(IF($N243="VCA",INDEX(APOIO_REDES!$A:$W,MATCH($C243&amp;$I243&amp;$H243&amp;$N243&amp;$O243,APOIO_REDES!$W:$W,0),MATCH(AV$5,APOIO_REDES!$5:$5,0)),0)*$AP243,0)</f>
        <v>0.0573775901565239</v>
      </c>
      <c r="AW243" s="153" t="n">
        <f aca="false">IFERROR(IF($N243="VCA",INDEX(APOIO_REDES!$A:$W,MATCH($C243&amp;$I243&amp;$H243&amp;$N243&amp;$O243,APOIO_REDES!$W:$W,0),MATCH(AW$5,APOIO_REDES!$5:$5,0)),0)*$AP243,0)</f>
        <v>32.7535018002267</v>
      </c>
      <c r="AX243" s="153" t="n">
        <f aca="false">IFERROR(IF($N243="VCA",INDEX(APOIO_REDES!$A:$W,MATCH($C243&amp;$I243&amp;$H243&amp;$N243&amp;$O243,APOIO_REDES!$W:$W,0),MATCH(AX$5,APOIO_REDES!$5:$5,0)),0)*$AP243,0)</f>
        <v>4.53299134903543</v>
      </c>
      <c r="AY243" s="153" t="n">
        <f aca="false">IFERROR(IF($N243="VCA",INDEX(APOIO_REDES!$A:$W,MATCH($C243&amp;$I243&amp;$H243&amp;$N243&amp;$O243,APOIO_REDES!$W:$W,0),MATCH(AY$5,APOIO_REDES!$5:$5,0)),0)*$AP243,0)</f>
        <v>8.29202455670031</v>
      </c>
      <c r="AZ243" s="153" t="n">
        <f aca="false">IFERROR(IF($N243="VCA",INDEX(APOIO_REDES!$A:$W,MATCH($C243&amp;$I243&amp;$H243&amp;$N243&amp;$O243,APOIO_REDES!$W:$W,0),MATCH(AZ$5,APOIO_REDES!$5:$5,0)),0)*$AP243,0)</f>
        <v>1.14759223479799</v>
      </c>
      <c r="BA243" s="153" t="n">
        <f aca="false">IFERROR(IF(AND($N243="VCA",$Q243="LINEAR"),INDEX(APOIO_REDES!$A:$W,MATCH($C243&amp;$I243&amp;$H243&amp;$N243&amp;$O243,APOIO_REDES!$W:$W,0),MATCH(BA$5,APOIO_REDES!$5:$5,0)),IF(AND($N243="MND",$Q243="EMBOQUE"),INDEX(APOIO_REDES!$A:$W,MATCH($C243&amp;$I243&amp;$H243&amp;$N243&amp;$O243,APOIO_REDES!$W:$W,0),MATCH(BA$5,APOIO_REDES!$5:$5,0)),0))*$M243/10,0)</f>
        <v>4.34098014244697</v>
      </c>
      <c r="BB243" s="153" t="n">
        <f aca="false">IFERROR(IF($N243="VCA",INDEX(APOIO_REDES!$A:$W,MATCH($C243&amp;$I243&amp;$H243&amp;$N243&amp;$O243,APOIO_REDES!$W:$W,0),MATCH(BB$5,APOIO_REDES!$5:$5,0)),0)*($AI243+$AQ243+$AR243),0)</f>
        <v>16.0328064653715</v>
      </c>
      <c r="BC243" s="153" t="n">
        <f aca="false">IFERROR(IF($N243="VCA",INDEX(APOIO_REDES!$A:$W,MATCH($C243&amp;$I243&amp;$H243&amp;$N243&amp;$O243,APOIO_REDES!$W:$W,0),MATCH(BC$5,APOIO_REDES!$5:$5,0)),0)*($AI243+$AQ243+$AR243),0)</f>
        <v>0.176360534628536</v>
      </c>
      <c r="BD243" s="153" t="n">
        <f aca="false">IF(AND($N243="VCA",$AF243&gt;=1.25,$AF243&lt;1.5),$M243*$AF243*2,0)</f>
        <v>146.82236</v>
      </c>
      <c r="BE243" s="153" t="n">
        <f aca="false">IF(AND($N243="VCA",$AF243&gt;=1.5,$AF243&lt;3),$M243*$AF243*2,0)</f>
        <v>0</v>
      </c>
      <c r="BF243" s="153" t="n">
        <f aca="false">IF(AND($N243="VCA",$AF243&gt;=3),$M243*$AF243*2,0)</f>
        <v>0</v>
      </c>
      <c r="BG243" s="153" t="n">
        <f aca="false">($BB243+$BC243)*$AK243</f>
        <v>66.4575847</v>
      </c>
      <c r="BH243" s="153" t="n">
        <f aca="false">IF(AND($M243&lt;&gt;"",$N243="VCA",$Q243="LINEAR"),($M243*2)/100,IF(AND($M243&lt;&gt;"",$N243="MND",$Q243="EMBOQUE"),($AN243*2)/100,0))</f>
        <v>1.0772</v>
      </c>
      <c r="BI243" s="153" t="n">
        <f aca="false">IF(AND($M243&lt;&gt;"",$N243="VCA",$Q243="LINEAR"),$M243,IF(AND($M243&lt;&gt;"",$N243="MND",$Q243="EMBOQUE"),$AN243*2,0))</f>
        <v>53.86</v>
      </c>
      <c r="BJ243" s="153" t="n">
        <f aca="false">IF(AND($M243&lt;&gt;"",$N243="VCA",$Q243="LINEAR"),($M243*6.8)/100,IF(AND($M243&lt;&gt;"",$N243="MND",$Q243="EMBOQUE"),($AN243*2*6.8)/100,0))</f>
        <v>3.66248</v>
      </c>
      <c r="BK243" s="153" t="n">
        <f aca="false">IF(AND($M243&lt;&gt;"",$N243="VCA",$Q243="LINEAR"),($M243*2.5)/50,IF(AND($M243&lt;&gt;"",$N243="MND",$Q243="EMBOQUE"),($AN243*2*2.5)/50,0))</f>
        <v>2.693</v>
      </c>
      <c r="BL243" s="157" t="str">
        <f aca="false">K243&amp;J243</f>
        <v>Zona02REDES</v>
      </c>
      <c r="BM243" s="152" t="s">
        <v>2037</v>
      </c>
      <c r="BN243" s="152" t="s">
        <v>1560</v>
      </c>
      <c r="BO243" s="152" t="s">
        <v>2231</v>
      </c>
      <c r="BP243" s="152" t="s">
        <v>2429</v>
      </c>
      <c r="BQ243" s="152" t="s">
        <v>2452</v>
      </c>
      <c r="BR243" s="152" t="s">
        <v>2453</v>
      </c>
      <c r="BS243" s="152" t="n">
        <v>202625.478</v>
      </c>
      <c r="BT243" s="152" t="n">
        <v>8237568.142</v>
      </c>
      <c r="BU243" s="152" t="n">
        <v>202639.676</v>
      </c>
      <c r="BV243" s="152" t="n">
        <v>8237517.702</v>
      </c>
      <c r="BW243" s="152" t="n">
        <v>-15.9235345</v>
      </c>
      <c r="BX243" s="152" t="n">
        <v>-47.7773171</v>
      </c>
      <c r="BY243" s="152" t="s">
        <v>2429</v>
      </c>
    </row>
    <row r="244" customFormat="false" ht="13.8" hidden="false" customHeight="false" outlineLevel="0" collapsed="false">
      <c r="A244" s="149" t="n">
        <f aca="false">IF(C244&lt;&gt;"",ROW(A239),"")</f>
        <v>239</v>
      </c>
      <c r="B244" s="150" t="str">
        <f aca="false">HYPERLINK("https://www.google.com/maps/dir/-15.917302,-47.760003/-15.9233072,-47.7764491/data=!4m3!4m2!3e0!5i2")</f>
        <v>https://www.google.com/maps/dir/-15.917302,-47.760003/-15.9233072,-47.7764491/data=!4m3!4m2!3e0!5i2</v>
      </c>
      <c r="C244" s="151" t="s">
        <v>117</v>
      </c>
      <c r="D244" s="152" t="s">
        <v>112</v>
      </c>
      <c r="E244" s="152" t="s">
        <v>113</v>
      </c>
      <c r="F244" s="152" t="s">
        <v>117</v>
      </c>
      <c r="G244" s="152" t="s">
        <v>782</v>
      </c>
      <c r="H244" s="152" t="n">
        <v>63</v>
      </c>
      <c r="I244" s="152" t="s">
        <v>115</v>
      </c>
      <c r="J244" s="152" t="s">
        <v>6</v>
      </c>
      <c r="K244" s="152" t="s">
        <v>2033</v>
      </c>
      <c r="L244" s="152" t="s">
        <v>120</v>
      </c>
      <c r="M244" s="153" t="n">
        <f aca="false">75.49+4</f>
        <v>79.49</v>
      </c>
      <c r="N244" s="152" t="s">
        <v>1548</v>
      </c>
      <c r="O244" s="152" t="s">
        <v>1549</v>
      </c>
      <c r="P244" s="152" t="s">
        <v>1550</v>
      </c>
      <c r="Q244" s="152" t="s">
        <v>1551</v>
      </c>
      <c r="R244" s="154" t="s">
        <v>2454</v>
      </c>
      <c r="S244" s="154" t="s">
        <v>1553</v>
      </c>
      <c r="T244" s="155" t="s">
        <v>2227</v>
      </c>
      <c r="U244" s="152" t="str">
        <f aca="false">RIGHT(T244,7)</f>
        <v>008/037</v>
      </c>
      <c r="V244" s="152" t="s">
        <v>1555</v>
      </c>
      <c r="W244" s="156" t="n">
        <v>45882</v>
      </c>
      <c r="X244" s="152" t="s">
        <v>1594</v>
      </c>
      <c r="Y244" s="152" t="s">
        <v>2387</v>
      </c>
      <c r="Z244" s="152" t="s">
        <v>1557</v>
      </c>
      <c r="AA244" s="153" t="n">
        <v>3.9</v>
      </c>
      <c r="AB244" s="151" t="s">
        <v>2455</v>
      </c>
      <c r="AC244" s="151" t="s">
        <v>186</v>
      </c>
      <c r="AD244" s="151" t="str">
        <f aca="false">CONCATENATE($C244,$I244,$H244,$N244,$J244,$K244)</f>
        <v>TUBO PEADPEAD63VCAREDESZona02</v>
      </c>
      <c r="AE244" s="153" t="n">
        <f aca="false">IFERROR(INDEX(APOIO_REDES!$A:$W,MATCH($C244&amp;$I244&amp;$H244&amp;$N244&amp;$O244,APOIO_REDES!$W:$W,0),MATCH(AE$5,APOIO_REDES!$5:$5,0)),0)</f>
        <v>1.2</v>
      </c>
      <c r="AF244" s="153" t="n">
        <f aca="false">IFERROR(INDEX(APOIO_REDES!$A:$W,MATCH($C244&amp;$I244&amp;$H244&amp;$N244&amp;$O244,APOIO_REDES!$W:$W,0),MATCH(AF$5,APOIO_REDES!$5:$5,0)),0)</f>
        <v>1.363</v>
      </c>
      <c r="AG244" s="153" t="n">
        <f aca="false">IFERROR(INDEX(APOIO_REDES!$A:$W,MATCH($C244&amp;$I244&amp;$H244&amp;$N244&amp;$O244,APOIO_REDES!$W:$W,0),MATCH(AG$5,APOIO_REDES!$5:$5,0)),0)</f>
        <v>0.65</v>
      </c>
      <c r="AH244" s="153" t="n">
        <f aca="false">IFERROR(INDEX(APOIO_REDES!$A:$W,MATCH($C244&amp;$I244&amp;$H244&amp;$N244&amp;$O244,APOIO_REDES!$W:$W,0),MATCH(AH$5,APOIO_REDES!$5:$5,0)),0)</f>
        <v>0.1</v>
      </c>
      <c r="AI244" s="153" t="n">
        <f aca="false">IFERROR(IF($H244&lt;&gt;"",(((($H244/1000)/2)^2)*PI()*$M244),0),0)</f>
        <v>0.24778982973359</v>
      </c>
      <c r="AJ244" s="153" t="n">
        <f aca="false">IFERROR(IF(AND($H244&lt;&gt;"",$I244="FoFo",OR($N244="MND",$N244="VCA"),$Q244="LINEAR"),0,IF(AND($H244&lt;&gt;"",$I244="PEAD",$N244="VCA",$Q244="LINEAR"),($H244/1000)+0.3,IF(AND($H244&lt;&gt;"",$I244="PEAD",$N244="MND",$Q244="EMBOQUE"),0,IF(AND($H244&lt;&gt;"",$I244="PVC",$N244="VCA",$Q244="LINEAR"),($H244/1000)+0.2,IF(AND($H244&lt;&gt;"",$I244="PVC",$N244="MND",$Q244="EMBOQUE"),0,IF(AND($H244&lt;&gt;"",$I244="PEAD",$N244="VCA",$Q244="PREDIAL"),0,0)))))),0)</f>
        <v>0.363</v>
      </c>
      <c r="AK244" s="153" t="n">
        <f aca="false">IF(AA244&lt;&gt;"",AA244,0)</f>
        <v>3.9</v>
      </c>
      <c r="AL244" s="153" t="n">
        <f aca="false">IF(AND($N244="MND",$Q244="EMBOQUE"),$M244,IF(AND($N244="VCA",$Q244="LINEAR"),$M244,IF(AND($N244="VCA",$Q244="PREDIAL"),0,0)))</f>
        <v>79.49</v>
      </c>
      <c r="AM244" s="153" t="n">
        <f aca="false">IF(AND($N244="MND",$Q244="EMBOQUE"),$M244,IF(AND($N244="VCA",$Q244="LINEAR"),$M244,IF(AND($N244="VCA",$Q244="PREDIAL"),0,0)))</f>
        <v>79.49</v>
      </c>
      <c r="AN244" s="153" t="n">
        <f aca="false">ROUND(IF(AND($N244="VCA",$M244&lt;&gt;"",$Q244="LINEAR"),$M244/100,IF(AND($N244="MND",$M244&gt;100,$Q244="EMBOQUE"),$M244/100,0)),0)</f>
        <v>1</v>
      </c>
      <c r="AO244" s="153" t="n">
        <f aca="false">IF(AND($N244="MND",$Q244="EMBOQUE"),$AN244*2*2,IF(AND($N244="VCA",$Q244="LINEAR"),$M244*2,IF(AND($N244="VCA",$Q244="PREDIAL"),0,0)))</f>
        <v>158.98</v>
      </c>
      <c r="AP244" s="153" t="n">
        <f aca="false">IFERROR($M244*$AF244*$AG244,0)</f>
        <v>70.4241655</v>
      </c>
      <c r="AQ244" s="153" t="n">
        <f aca="false">IFERROR(IF(AND($N244="VCA",$AH244&gt;0),$M244*$AG244*$AH244,0),0)</f>
        <v>5.16685</v>
      </c>
      <c r="AR244" s="153" t="n">
        <f aca="false">IFERROR(IF(AND($N244="VCA",$AJ244&gt;0),($M244*$AG244*$AJ244)-$AI244,0),0)</f>
        <v>18.5078756702664</v>
      </c>
      <c r="AS244" s="153" t="n">
        <f aca="false">IFERROR(IF(AND($N244="VCA",$AP244&gt;0),$AP244-$AI244-$AQ244-$AR244,0),0)</f>
        <v>46.50165</v>
      </c>
      <c r="AT244" s="153" t="n">
        <f aca="false">IFERROR(IF($N244="VCA",INDEX(APOIO_REDES!$A:$W,MATCH($C244&amp;$I244&amp;$H244&amp;$N244&amp;$O244,APOIO_REDES!$W:$W,0),MATCH(AT$5,APOIO_REDES!$5:$5,0)),0)*$AP244,0)</f>
        <v>0.766235765128983</v>
      </c>
      <c r="AU244" s="153" t="n">
        <f aca="false">IFERROR(IF($N244="VCA",INDEX(APOIO_REDES!$A:$W,MATCH($C244&amp;$I244&amp;$H244&amp;$N244&amp;$O244,APOIO_REDES!$W:$W,0),MATCH(AU$5,APOIO_REDES!$5:$5,0)),0)*$AP244,0)</f>
        <v>0.61189512973567</v>
      </c>
      <c r="AV244" s="153" t="n">
        <f aca="false">IFERROR(IF($N244="VCA",INDEX(APOIO_REDES!$A:$W,MATCH($C244&amp;$I244&amp;$H244&amp;$N244&amp;$O244,APOIO_REDES!$W:$W,0),MATCH(AV$5,APOIO_REDES!$5:$5,0)),0)*$AP244,0)</f>
        <v>0.0846814823903097</v>
      </c>
      <c r="AW244" s="153" t="n">
        <f aca="false">IFERROR(IF($N244="VCA",INDEX(APOIO_REDES!$A:$W,MATCH($C244&amp;$I244&amp;$H244&amp;$N244&amp;$O244,APOIO_REDES!$W:$W,0),MATCH(AW$5,APOIO_REDES!$5:$5,0)),0)*$AP244,0)</f>
        <v>48.3396928722618</v>
      </c>
      <c r="AX244" s="153" t="n">
        <f aca="false">IFERROR(IF($N244="VCA",INDEX(APOIO_REDES!$A:$W,MATCH($C244&amp;$I244&amp;$H244&amp;$N244&amp;$O244,APOIO_REDES!$W:$W,0),MATCH(AX$5,APOIO_REDES!$5:$5,0)),0)*$AP244,0)</f>
        <v>6.69007579529941</v>
      </c>
      <c r="AY244" s="153" t="n">
        <f aca="false">IFERROR(IF($N244="VCA",INDEX(APOIO_REDES!$A:$W,MATCH($C244&amp;$I244&amp;$H244&amp;$N244&amp;$O244,APOIO_REDES!$W:$W,0),MATCH(AY$5,APOIO_REDES!$5:$5,0)),0)*$AP244,0)</f>
        <v>12.2378951357614</v>
      </c>
      <c r="AZ244" s="153" t="n">
        <f aca="false">IFERROR(IF($N244="VCA",INDEX(APOIO_REDES!$A:$W,MATCH($C244&amp;$I244&amp;$H244&amp;$N244&amp;$O244,APOIO_REDES!$W:$W,0),MATCH(AZ$5,APOIO_REDES!$5:$5,0)),0)*$AP244,0)</f>
        <v>1.69368931942243</v>
      </c>
      <c r="BA244" s="153" t="n">
        <f aca="false">IFERROR(IF(AND($N244="VCA",$Q244="LINEAR"),INDEX(APOIO_REDES!$A:$W,MATCH($C244&amp;$I244&amp;$H244&amp;$N244&amp;$O244,APOIO_REDES!$W:$W,0),MATCH(BA$5,APOIO_REDES!$5:$5,0)),IF(AND($N244="MND",$Q244="EMBOQUE"),INDEX(APOIO_REDES!$A:$W,MATCH($C244&amp;$I244&amp;$H244&amp;$N244&amp;$O244,APOIO_REDES!$W:$W,0),MATCH(BA$5,APOIO_REDES!$5:$5,0)),0))*$M244/10,0)</f>
        <v>6.40669349281673</v>
      </c>
      <c r="BB244" s="153" t="n">
        <f aca="false">IFERROR(IF($N244="VCA",INDEX(APOIO_REDES!$A:$W,MATCH($C244&amp;$I244&amp;$H244&amp;$N244&amp;$O244,APOIO_REDES!$W:$W,0),MATCH(BB$5,APOIO_REDES!$5:$5,0)),0)*($AI244+$AQ244+$AR244),0)</f>
        <v>23.6622314506568</v>
      </c>
      <c r="BC244" s="153" t="n">
        <f aca="false">IFERROR(IF($N244="VCA",INDEX(APOIO_REDES!$A:$W,MATCH($C244&amp;$I244&amp;$H244&amp;$N244&amp;$O244,APOIO_REDES!$W:$W,0),MATCH(BC$5,APOIO_REDES!$5:$5,0)),0)*($AI244+$AQ244+$AR244),0)</f>
        <v>0.260284049343154</v>
      </c>
      <c r="BD244" s="153" t="n">
        <f aca="false">IF(AND($N244="VCA",$AF244&gt;=1.25,$AF244&lt;1.5),$M244*$AF244*2,0)</f>
        <v>216.68974</v>
      </c>
      <c r="BE244" s="153" t="n">
        <f aca="false">IF(AND($N244="VCA",$AF244&gt;=1.5,$AF244&lt;3),$M244*$AF244*2,0)</f>
        <v>0</v>
      </c>
      <c r="BF244" s="153" t="n">
        <f aca="false">IF(AND($N244="VCA",$AF244&gt;=3),$M244*$AF244*2,0)</f>
        <v>0</v>
      </c>
      <c r="BG244" s="153" t="n">
        <f aca="false">($BB244+$BC244)*$AK244</f>
        <v>93.29781045</v>
      </c>
      <c r="BH244" s="153" t="n">
        <f aca="false">IF(AND($M244&lt;&gt;"",$N244="VCA",$Q244="LINEAR"),($M244*2)/100,IF(AND($M244&lt;&gt;"",$N244="MND",$Q244="EMBOQUE"),($AN244*2)/100,0))</f>
        <v>1.5898</v>
      </c>
      <c r="BI244" s="153" t="n">
        <f aca="false">IF(AND($M244&lt;&gt;"",$N244="VCA",$Q244="LINEAR"),$M244,IF(AND($M244&lt;&gt;"",$N244="MND",$Q244="EMBOQUE"),$AN244*2,0))</f>
        <v>79.49</v>
      </c>
      <c r="BJ244" s="153" t="n">
        <f aca="false">IF(AND($M244&lt;&gt;"",$N244="VCA",$Q244="LINEAR"),($M244*6.8)/100,IF(AND($M244&lt;&gt;"",$N244="MND",$Q244="EMBOQUE"),($AN244*2*6.8)/100,0))</f>
        <v>5.40532</v>
      </c>
      <c r="BK244" s="153" t="n">
        <f aca="false">IF(AND($M244&lt;&gt;"",$N244="VCA",$Q244="LINEAR"),($M244*2.5)/50,IF(AND($M244&lt;&gt;"",$N244="MND",$Q244="EMBOQUE"),($AN244*2*2.5)/50,0))</f>
        <v>3.9745</v>
      </c>
      <c r="BL244" s="157" t="str">
        <f aca="false">K244&amp;J244</f>
        <v>Zona02REDES</v>
      </c>
      <c r="BM244" s="152" t="s">
        <v>2037</v>
      </c>
      <c r="BN244" s="152" t="s">
        <v>1560</v>
      </c>
      <c r="BO244" s="152" t="s">
        <v>2231</v>
      </c>
      <c r="BP244" s="152" t="s">
        <v>2433</v>
      </c>
      <c r="BQ244" s="152" t="s">
        <v>2456</v>
      </c>
      <c r="BR244" s="152" t="s">
        <v>2457</v>
      </c>
      <c r="BS244" s="152" t="n">
        <v>202730.792</v>
      </c>
      <c r="BT244" s="152" t="n">
        <v>8237570.775</v>
      </c>
      <c r="BU244" s="152" t="n">
        <v>202689.156</v>
      </c>
      <c r="BV244" s="152" t="n">
        <v>8237507.802</v>
      </c>
      <c r="BW244" s="152" t="n">
        <v>-15.9235891</v>
      </c>
      <c r="BX244" s="152" t="n">
        <v>-47.7766473</v>
      </c>
      <c r="BY244" s="152" t="s">
        <v>2433</v>
      </c>
    </row>
    <row r="245" customFormat="false" ht="13.8" hidden="false" customHeight="false" outlineLevel="0" collapsed="false">
      <c r="A245" s="149" t="n">
        <f aca="false">IF(C245&lt;&gt;"",ROW(A240),"")</f>
        <v>240</v>
      </c>
      <c r="B245" s="150" t="str">
        <f aca="false">HYPERLINK("https://www.google.com/maps/dir/-15.917302,-47.760003/-15.9234193,-47.7754912/data=!4m3!4m2!3e0!5i2")</f>
        <v>https://www.google.com/maps/dir/-15.917302,-47.760003/-15.9234193,-47.7754912/data=!4m3!4m2!3e0!5i2</v>
      </c>
      <c r="C245" s="151" t="s">
        <v>117</v>
      </c>
      <c r="D245" s="152" t="s">
        <v>112</v>
      </c>
      <c r="E245" s="152" t="s">
        <v>113</v>
      </c>
      <c r="F245" s="152" t="s">
        <v>117</v>
      </c>
      <c r="G245" s="152" t="s">
        <v>114</v>
      </c>
      <c r="H245" s="152" t="n">
        <v>160</v>
      </c>
      <c r="I245" s="152" t="s">
        <v>115</v>
      </c>
      <c r="J245" s="152" t="s">
        <v>6</v>
      </c>
      <c r="K245" s="152" t="s">
        <v>2033</v>
      </c>
      <c r="L245" s="152" t="s">
        <v>120</v>
      </c>
      <c r="M245" s="153" t="n">
        <f aca="false">53.44</f>
        <v>53.44</v>
      </c>
      <c r="N245" s="152" t="s">
        <v>1548</v>
      </c>
      <c r="O245" s="152" t="s">
        <v>1549</v>
      </c>
      <c r="P245" s="152" t="s">
        <v>1550</v>
      </c>
      <c r="Q245" s="152" t="s">
        <v>1551</v>
      </c>
      <c r="R245" s="154" t="s">
        <v>2458</v>
      </c>
      <c r="S245" s="154" t="s">
        <v>1593</v>
      </c>
      <c r="T245" s="155" t="s">
        <v>2227</v>
      </c>
      <c r="U245" s="152" t="str">
        <f aca="false">RIGHT(T245,7)</f>
        <v>008/037</v>
      </c>
      <c r="V245" s="152" t="s">
        <v>1555</v>
      </c>
      <c r="W245" s="156" t="n">
        <v>45882</v>
      </c>
      <c r="X245" s="152" t="s">
        <v>1594</v>
      </c>
      <c r="Y245" s="152" t="s">
        <v>2387</v>
      </c>
      <c r="Z245" s="152" t="s">
        <v>1557</v>
      </c>
      <c r="AA245" s="153" t="n">
        <v>3.8</v>
      </c>
      <c r="AB245" s="151" t="s">
        <v>2459</v>
      </c>
      <c r="AC245" s="151" t="s">
        <v>505</v>
      </c>
      <c r="AD245" s="151" t="str">
        <f aca="false">CONCATENATE($C245,$I245,$H245,$N245,$J245,$K245)</f>
        <v>TUBO PEADPEAD160VCAREDESZona02</v>
      </c>
      <c r="AE245" s="153" t="n">
        <f aca="false">IFERROR(INDEX(APOIO_REDES!$A:$W,MATCH($C245&amp;$I245&amp;$H245&amp;$N245&amp;$O245,APOIO_REDES!$W:$W,0),MATCH(AE$5,APOIO_REDES!$5:$5,0)),0)</f>
        <v>1.2</v>
      </c>
      <c r="AF245" s="153" t="n">
        <f aca="false">IFERROR(INDEX(APOIO_REDES!$A:$W,MATCH($C245&amp;$I245&amp;$H245&amp;$N245&amp;$O245,APOIO_REDES!$W:$W,0),MATCH(AF$5,APOIO_REDES!$5:$5,0)),0)</f>
        <v>1.46</v>
      </c>
      <c r="AG245" s="153" t="n">
        <f aca="false">IFERROR(INDEX(APOIO_REDES!$A:$W,MATCH($C245&amp;$I245&amp;$H245&amp;$N245&amp;$O245,APOIO_REDES!$W:$W,0),MATCH(AG$5,APOIO_REDES!$5:$5,0)),0)</f>
        <v>0.75</v>
      </c>
      <c r="AH245" s="153" t="n">
        <f aca="false">IFERROR(INDEX(APOIO_REDES!$A:$W,MATCH($C245&amp;$I245&amp;$H245&amp;$N245&amp;$O245,APOIO_REDES!$W:$W,0),MATCH(AH$5,APOIO_REDES!$5:$5,0)),0)</f>
        <v>0.1</v>
      </c>
      <c r="AI245" s="153" t="n">
        <f aca="false">IFERROR(IF($H245&lt;&gt;"",(((($H245/1000)/2)^2)*PI()*$M245),0),0)</f>
        <v>1.07447495301017</v>
      </c>
      <c r="AJ245" s="153" t="n">
        <f aca="false">IFERROR(IF(AND($H245&lt;&gt;"",$I245="FoFo",OR($N245="MND",$N245="VCA"),$Q245="LINEAR"),0,IF(AND($H245&lt;&gt;"",$I245="PEAD",$N245="VCA",$Q245="LINEAR"),($H245/1000)+0.3,IF(AND($H245&lt;&gt;"",$I245="PEAD",$N245="MND",$Q245="EMBOQUE"),0,IF(AND($H245&lt;&gt;"",$I245="PVC",$N245="VCA",$Q245="LINEAR"),($H245/1000)+0.2,IF(AND($H245&lt;&gt;"",$I245="PVC",$N245="MND",$Q245="EMBOQUE"),0,IF(AND($H245&lt;&gt;"",$I245="PEAD",$N245="VCA",$Q245="PREDIAL"),0,0)))))),0)</f>
        <v>0.46</v>
      </c>
      <c r="AK245" s="153" t="n">
        <f aca="false">IF(AA245&lt;&gt;"",AA245,0)</f>
        <v>3.8</v>
      </c>
      <c r="AL245" s="153" t="n">
        <f aca="false">IF(AND($N245="MND",$Q245="EMBOQUE"),$M245,IF(AND($N245="VCA",$Q245="LINEAR"),$M245,IF(AND($N245="VCA",$Q245="PREDIAL"),0,0)))</f>
        <v>53.44</v>
      </c>
      <c r="AM245" s="153" t="n">
        <f aca="false">IF(AND($N245="MND",$Q245="EMBOQUE"),$M245,IF(AND($N245="VCA",$Q245="LINEAR"),$M245,IF(AND($N245="VCA",$Q245="PREDIAL"),0,0)))</f>
        <v>53.44</v>
      </c>
      <c r="AN245" s="153" t="n">
        <f aca="false">ROUND(IF(AND($N245="VCA",$M245&lt;&gt;"",$Q245="LINEAR"),$M245/100,IF(AND($N245="MND",$M245&gt;100,$Q245="EMBOQUE"),$M245/100,0)),0)</f>
        <v>1</v>
      </c>
      <c r="AO245" s="153" t="n">
        <f aca="false">IF(AND($N245="MND",$Q245="EMBOQUE"),$AN245*2*2,IF(AND($N245="VCA",$Q245="LINEAR"),$M245*2,IF(AND($N245="VCA",$Q245="PREDIAL"),0,0)))</f>
        <v>106.88</v>
      </c>
      <c r="AP245" s="153" t="n">
        <f aca="false">IFERROR($M245*$AF245*$AG245,0)</f>
        <v>58.5168</v>
      </c>
      <c r="AQ245" s="153" t="n">
        <f aca="false">IFERROR(IF(AND($N245="VCA",$AH245&gt;0),$M245*$AG245*$AH245,0),0)</f>
        <v>4.008</v>
      </c>
      <c r="AR245" s="153" t="n">
        <f aca="false">IFERROR(IF(AND($N245="VCA",$AJ245&gt;0),($M245*$AG245*$AJ245)-$AI245,0),0)</f>
        <v>17.3623250469898</v>
      </c>
      <c r="AS245" s="153" t="n">
        <f aca="false">IFERROR(IF(AND($N245="VCA",$AP245&gt;0),$AP245-$AI245-$AQ245-$AR245,0),0)</f>
        <v>36.072</v>
      </c>
      <c r="AT245" s="153" t="n">
        <f aca="false">IFERROR(IF($N245="VCA",INDEX(APOIO_REDES!$A:$W,MATCH($C245&amp;$I245&amp;$H245&amp;$N245&amp;$O245,APOIO_REDES!$W:$W,0),MATCH(AT$5,APOIO_REDES!$5:$5,0)),0)*$AP245,0)</f>
        <v>0.636680104088698</v>
      </c>
      <c r="AU245" s="153" t="n">
        <f aca="false">IFERROR(IF($N245="VCA",INDEX(APOIO_REDES!$A:$W,MATCH($C245&amp;$I245&amp;$H245&amp;$N245&amp;$O245,APOIO_REDES!$W:$W,0),MATCH(AU$5,APOIO_REDES!$5:$5,0)),0)*$AP245,0)</f>
        <v>0.508435487641188</v>
      </c>
      <c r="AV245" s="153" t="n">
        <f aca="false">IFERROR(IF($N245="VCA",INDEX(APOIO_REDES!$A:$W,MATCH($C245&amp;$I245&amp;$H245&amp;$N245&amp;$O245,APOIO_REDES!$W:$W,0),MATCH(AV$5,APOIO_REDES!$5:$5,0)),0)*$AP245,0)</f>
        <v>0.0703634801144683</v>
      </c>
      <c r="AW245" s="153" t="n">
        <f aca="false">IFERROR(IF($N245="VCA",INDEX(APOIO_REDES!$A:$W,MATCH($C245&amp;$I245&amp;$H245&amp;$N245&amp;$O245,APOIO_REDES!$W:$W,0),MATCH(AW$5,APOIO_REDES!$5:$5,0)),0)*$AP245,0)</f>
        <v>40.1663849302917</v>
      </c>
      <c r="AX245" s="153" t="n">
        <f aca="false">IFERROR(IF($N245="VCA",INDEX(APOIO_REDES!$A:$W,MATCH($C245&amp;$I245&amp;$H245&amp;$N245&amp;$O245,APOIO_REDES!$W:$W,0),MATCH(AX$5,APOIO_REDES!$5:$5,0)),0)*$AP245,0)</f>
        <v>5.55891325823913</v>
      </c>
      <c r="AY245" s="153" t="n">
        <f aca="false">IFERROR(IF($N245="VCA",INDEX(APOIO_REDES!$A:$W,MATCH($C245&amp;$I245&amp;$H245&amp;$N245&amp;$O245,APOIO_REDES!$W:$W,0),MATCH(AY$5,APOIO_REDES!$5:$5,0)),0)*$AP245,0)</f>
        <v>10.1687035550364</v>
      </c>
      <c r="AZ245" s="153" t="n">
        <f aca="false">IFERROR(IF($N245="VCA",INDEX(APOIO_REDES!$A:$W,MATCH($C245&amp;$I245&amp;$H245&amp;$N245&amp;$O245,APOIO_REDES!$W:$W,0),MATCH(AZ$5,APOIO_REDES!$5:$5,0)),0)*$AP245,0)</f>
        <v>1.4073191845884</v>
      </c>
      <c r="BA245" s="153" t="n">
        <f aca="false">IFERROR(IF(AND($N245="VCA",$Q245="LINEAR"),INDEX(APOIO_REDES!$A:$W,MATCH($C245&amp;$I245&amp;$H245&amp;$N245&amp;$O245,APOIO_REDES!$W:$W,0),MATCH(BA$5,APOIO_REDES!$5:$5,0)),IF(AND($N245="MND",$Q245="EMBOQUE"),INDEX(APOIO_REDES!$A:$W,MATCH($C245&amp;$I245&amp;$H245&amp;$N245&amp;$O245,APOIO_REDES!$W:$W,0),MATCH(BA$5,APOIO_REDES!$5:$5,0)),0))*$M245/10,0)</f>
        <v>4.30712920186346</v>
      </c>
      <c r="BB245" s="153" t="n">
        <f aca="false">IFERROR(IF($N245="VCA",INDEX(APOIO_REDES!$A:$W,MATCH($C245&amp;$I245&amp;$H245&amp;$N245&amp;$O245,APOIO_REDES!$W:$W,0),MATCH(BB$5,APOIO_REDES!$5:$5,0)),0)*($AI245+$AQ245+$AR245),0)</f>
        <v>22.2005939326783</v>
      </c>
      <c r="BC245" s="153" t="n">
        <f aca="false">IFERROR(IF($N245="VCA",INDEX(APOIO_REDES!$A:$W,MATCH($C245&amp;$I245&amp;$H245&amp;$N245&amp;$O245,APOIO_REDES!$W:$W,0),MATCH(BC$5,APOIO_REDES!$5:$5,0)),0)*($AI245+$AQ245+$AR245),0)</f>
        <v>0.244206067321692</v>
      </c>
      <c r="BD245" s="153" t="n">
        <f aca="false">IF(AND($N245="VCA",$AF245&gt;=1.25,$AF245&lt;1.5),$M245*$AF245*2,0)</f>
        <v>156.0448</v>
      </c>
      <c r="BE245" s="153" t="n">
        <f aca="false">IF(AND($N245="VCA",$AF245&gt;=1.5,$AF245&lt;3),$M245*$AF245*2,0)</f>
        <v>0</v>
      </c>
      <c r="BF245" s="153" t="n">
        <f aca="false">IF(AND($N245="VCA",$AF245&gt;=3),$M245*$AF245*2,0)</f>
        <v>0</v>
      </c>
      <c r="BG245" s="153" t="n">
        <f aca="false">($BB245+$BC245)*$AK245</f>
        <v>85.29024</v>
      </c>
      <c r="BH245" s="153" t="n">
        <f aca="false">IF(AND($M245&lt;&gt;"",$N245="VCA",$Q245="LINEAR"),($M245*2)/100,IF(AND($M245&lt;&gt;"",$N245="MND",$Q245="EMBOQUE"),($AN245*2)/100,0))</f>
        <v>1.0688</v>
      </c>
      <c r="BI245" s="153" t="n">
        <f aca="false">IF(AND($M245&lt;&gt;"",$N245="VCA",$Q245="LINEAR"),$M245,IF(AND($M245&lt;&gt;"",$N245="MND",$Q245="EMBOQUE"),$AN245*2,0))</f>
        <v>53.44</v>
      </c>
      <c r="BJ245" s="153" t="n">
        <f aca="false">IF(AND($M245&lt;&gt;"",$N245="VCA",$Q245="LINEAR"),($M245*6.8)/100,IF(AND($M245&lt;&gt;"",$N245="MND",$Q245="EMBOQUE"),($AN245*2*6.8)/100,0))</f>
        <v>3.63392</v>
      </c>
      <c r="BK245" s="153" t="n">
        <f aca="false">IF(AND($M245&lt;&gt;"",$N245="VCA",$Q245="LINEAR"),($M245*2.5)/50,IF(AND($M245&lt;&gt;"",$N245="MND",$Q245="EMBOQUE"),($AN245*2*2.5)/50,0))</f>
        <v>2.672</v>
      </c>
      <c r="BL245" s="157" t="str">
        <f aca="false">K245&amp;J245</f>
        <v>Zona02REDES</v>
      </c>
      <c r="BM245" s="152" t="s">
        <v>2037</v>
      </c>
      <c r="BN245" s="152" t="s">
        <v>1560</v>
      </c>
      <c r="BO245" s="152" t="s">
        <v>2231</v>
      </c>
      <c r="BP245" s="152" t="s">
        <v>2389</v>
      </c>
      <c r="BQ245" s="152" t="s">
        <v>2460</v>
      </c>
      <c r="BR245" s="152" t="s">
        <v>2461</v>
      </c>
      <c r="BS245" s="152" t="n">
        <v>202833.594</v>
      </c>
      <c r="BT245" s="152" t="n">
        <v>8237559.738</v>
      </c>
      <c r="BU245" s="152" t="n">
        <v>202803.916</v>
      </c>
      <c r="BV245" s="152" t="n">
        <v>8237515.298</v>
      </c>
      <c r="BW245" s="152" t="n">
        <v>-15.9236181</v>
      </c>
      <c r="BX245" s="152" t="n">
        <v>-47.7756324</v>
      </c>
      <c r="BY245" s="152" t="s">
        <v>2389</v>
      </c>
    </row>
    <row r="246" customFormat="false" ht="13.8" hidden="false" customHeight="false" outlineLevel="0" collapsed="false">
      <c r="A246" s="149" t="n">
        <f aca="false">IF(C246&lt;&gt;"",ROW(A241),"")</f>
        <v>241</v>
      </c>
      <c r="B246" s="150" t="str">
        <f aca="false">HYPERLINK("https://www.google.com/maps/dir/-15.917302,-47.760003/-15.9235637,-47.7760944/data=!4m3!4m2!3e0!5i2")</f>
        <v>https://www.google.com/maps/dir/-15.917302,-47.760003/-15.9235637,-47.7760944/data=!4m3!4m2!3e0!5i2</v>
      </c>
      <c r="C246" s="151" t="s">
        <v>117</v>
      </c>
      <c r="D246" s="152" t="s">
        <v>112</v>
      </c>
      <c r="E246" s="152" t="s">
        <v>113</v>
      </c>
      <c r="F246" s="152" t="s">
        <v>117</v>
      </c>
      <c r="G246" s="152" t="s">
        <v>782</v>
      </c>
      <c r="H246" s="152" t="n">
        <v>110</v>
      </c>
      <c r="I246" s="152" t="s">
        <v>115</v>
      </c>
      <c r="J246" s="152" t="s">
        <v>6</v>
      </c>
      <c r="K246" s="152" t="s">
        <v>2033</v>
      </c>
      <c r="L246" s="152" t="s">
        <v>120</v>
      </c>
      <c r="M246" s="153" t="n">
        <f aca="false">44.04+0.34</f>
        <v>44.38</v>
      </c>
      <c r="N246" s="152" t="s">
        <v>1548</v>
      </c>
      <c r="O246" s="152" t="s">
        <v>1549</v>
      </c>
      <c r="P246" s="152" t="s">
        <v>1550</v>
      </c>
      <c r="Q246" s="152" t="s">
        <v>1551</v>
      </c>
      <c r="R246" s="154" t="s">
        <v>2462</v>
      </c>
      <c r="S246" s="154" t="s">
        <v>1593</v>
      </c>
      <c r="T246" s="155" t="s">
        <v>2227</v>
      </c>
      <c r="U246" s="152" t="str">
        <f aca="false">RIGHT(T246,7)</f>
        <v>008/037</v>
      </c>
      <c r="V246" s="152" t="s">
        <v>1555</v>
      </c>
      <c r="W246" s="156" t="n">
        <v>45882</v>
      </c>
      <c r="X246" s="152" t="s">
        <v>1594</v>
      </c>
      <c r="Y246" s="152" t="s">
        <v>2387</v>
      </c>
      <c r="Z246" s="152" t="s">
        <v>1557</v>
      </c>
      <c r="AA246" s="153" t="n">
        <v>3.9</v>
      </c>
      <c r="AB246" s="151" t="s">
        <v>2463</v>
      </c>
      <c r="AC246" s="151" t="s">
        <v>502</v>
      </c>
      <c r="AD246" s="151" t="str">
        <f aca="false">CONCATENATE($C246,$I246,$H246,$N246,$J246,$K246)</f>
        <v>TUBO PEADPEAD110VCAREDESZona02</v>
      </c>
      <c r="AE246" s="153" t="n">
        <f aca="false">IFERROR(INDEX(APOIO_REDES!$A:$W,MATCH($C246&amp;$I246&amp;$H246&amp;$N246&amp;$O246,APOIO_REDES!$W:$W,0),MATCH(AE$5,APOIO_REDES!$5:$5,0)),0)</f>
        <v>1.2</v>
      </c>
      <c r="AF246" s="153" t="n">
        <f aca="false">IFERROR(INDEX(APOIO_REDES!$A:$W,MATCH($C246&amp;$I246&amp;$H246&amp;$N246&amp;$O246,APOIO_REDES!$W:$W,0),MATCH(AF$5,APOIO_REDES!$5:$5,0)),0)</f>
        <v>1.41</v>
      </c>
      <c r="AG246" s="153" t="n">
        <f aca="false">IFERROR(INDEX(APOIO_REDES!$A:$W,MATCH($C246&amp;$I246&amp;$H246&amp;$N246&amp;$O246,APOIO_REDES!$W:$W,0),MATCH(AG$5,APOIO_REDES!$5:$5,0)),0)</f>
        <v>0.75</v>
      </c>
      <c r="AH246" s="153" t="n">
        <f aca="false">IFERROR(INDEX(APOIO_REDES!$A:$W,MATCH($C246&amp;$I246&amp;$H246&amp;$N246&amp;$O246,APOIO_REDES!$W:$W,0),MATCH(AH$5,APOIO_REDES!$5:$5,0)),0)</f>
        <v>0.1</v>
      </c>
      <c r="AI246" s="153" t="n">
        <f aca="false">IFERROR(IF($H246&lt;&gt;"",(((($H246/1000)/2)^2)*PI()*$M246),0),0)</f>
        <v>0.421757242948103</v>
      </c>
      <c r="AJ246" s="153" t="n">
        <f aca="false">IFERROR(IF(AND($H246&lt;&gt;"",$I246="FoFo",OR($N246="MND",$N246="VCA"),$Q246="LINEAR"),0,IF(AND($H246&lt;&gt;"",$I246="PEAD",$N246="VCA",$Q246="LINEAR"),($H246/1000)+0.3,IF(AND($H246&lt;&gt;"",$I246="PEAD",$N246="MND",$Q246="EMBOQUE"),0,IF(AND($H246&lt;&gt;"",$I246="PVC",$N246="VCA",$Q246="LINEAR"),($H246/1000)+0.2,IF(AND($H246&lt;&gt;"",$I246="PVC",$N246="MND",$Q246="EMBOQUE"),0,IF(AND($H246&lt;&gt;"",$I246="PEAD",$N246="VCA",$Q246="PREDIAL"),0,0)))))),0)</f>
        <v>0.41</v>
      </c>
      <c r="AK246" s="153" t="n">
        <f aca="false">IF(AA246&lt;&gt;"",AA246,0)</f>
        <v>3.9</v>
      </c>
      <c r="AL246" s="153" t="n">
        <f aca="false">IF(AND($N246="MND",$Q246="EMBOQUE"),$M246,IF(AND($N246="VCA",$Q246="LINEAR"),$M246,IF(AND($N246="VCA",$Q246="PREDIAL"),0,0)))</f>
        <v>44.38</v>
      </c>
      <c r="AM246" s="153" t="n">
        <f aca="false">IF(AND($N246="MND",$Q246="EMBOQUE"),$M246,IF(AND($N246="VCA",$Q246="LINEAR"),$M246,IF(AND($N246="VCA",$Q246="PREDIAL"),0,0)))</f>
        <v>44.38</v>
      </c>
      <c r="AN246" s="153" t="n">
        <f aca="false">ROUND(IF(AND($N246="VCA",$M246&lt;&gt;"",$Q246="LINEAR"),$M246/100,IF(AND($N246="MND",$M246&gt;100,$Q246="EMBOQUE"),$M246/100,0)),0)</f>
        <v>0</v>
      </c>
      <c r="AO246" s="153" t="n">
        <f aca="false">IF(AND($N246="MND",$Q246="EMBOQUE"),$AN246*2*2,IF(AND($N246="VCA",$Q246="LINEAR"),$M246*2,IF(AND($N246="VCA",$Q246="PREDIAL"),0,0)))</f>
        <v>88.76</v>
      </c>
      <c r="AP246" s="153" t="n">
        <f aca="false">IFERROR($M246*$AF246*$AG246,0)</f>
        <v>46.93185</v>
      </c>
      <c r="AQ246" s="153" t="n">
        <f aca="false">IFERROR(IF(AND($N246="VCA",$AH246&gt;0),$M246*$AG246*$AH246,0),0)</f>
        <v>3.3285</v>
      </c>
      <c r="AR246" s="153" t="n">
        <f aca="false">IFERROR(IF(AND($N246="VCA",$AJ246&gt;0),($M246*$AG246*$AJ246)-$AI246,0),0)</f>
        <v>13.2250927570519</v>
      </c>
      <c r="AS246" s="153" t="n">
        <f aca="false">IFERROR(IF(AND($N246="VCA",$AP246&gt;0),$AP246-$AI246-$AQ246-$AR246,0),0)</f>
        <v>29.9565</v>
      </c>
      <c r="AT246" s="153" t="n">
        <f aca="false">IFERROR(IF($N246="VCA",INDEX(APOIO_REDES!$A:$W,MATCH($C246&amp;$I246&amp;$H246&amp;$N246&amp;$O246,APOIO_REDES!$W:$W,0),MATCH(AT$5,APOIO_REDES!$5:$5,0)),0)*$AP246,0)</f>
        <v>0.510632419118529</v>
      </c>
      <c r="AU246" s="153" t="n">
        <f aca="false">IFERROR(IF($N246="VCA",INDEX(APOIO_REDES!$A:$W,MATCH($C246&amp;$I246&amp;$H246&amp;$N246&amp;$O246,APOIO_REDES!$W:$W,0),MATCH(AU$5,APOIO_REDES!$5:$5,0)),0)*$AP246,0)</f>
        <v>0.407777220228261</v>
      </c>
      <c r="AV246" s="153" t="n">
        <f aca="false">IFERROR(IF($N246="VCA",INDEX(APOIO_REDES!$A:$W,MATCH($C246&amp;$I246&amp;$H246&amp;$N246&amp;$O246,APOIO_REDES!$W:$W,0),MATCH(AV$5,APOIO_REDES!$5:$5,0)),0)*$AP246,0)</f>
        <v>0.0564331661029006</v>
      </c>
      <c r="AW246" s="153" t="n">
        <f aca="false">IFERROR(IF($N246="VCA",INDEX(APOIO_REDES!$A:$W,MATCH($C246&amp;$I246&amp;$H246&amp;$N246&amp;$O246,APOIO_REDES!$W:$W,0),MATCH(AW$5,APOIO_REDES!$5:$5,0)),0)*$AP246,0)</f>
        <v>32.2143854857188</v>
      </c>
      <c r="AX246" s="153" t="n">
        <f aca="false">IFERROR(IF($N246="VCA",INDEX(APOIO_REDES!$A:$W,MATCH($C246&amp;$I246&amp;$H246&amp;$N246&amp;$O246,APOIO_REDES!$W:$W,0),MATCH(AX$5,APOIO_REDES!$5:$5,0)),0)*$AP246,0)</f>
        <v>4.45837918680943</v>
      </c>
      <c r="AY246" s="153" t="n">
        <f aca="false">IFERROR(IF($N246="VCA",INDEX(APOIO_REDES!$A:$W,MATCH($C246&amp;$I246&amp;$H246&amp;$N246&amp;$O246,APOIO_REDES!$W:$W,0),MATCH(AY$5,APOIO_REDES!$5:$5,0)),0)*$AP246,0)</f>
        <v>8.15553943379396</v>
      </c>
      <c r="AZ246" s="153" t="n">
        <f aca="false">IFERROR(IF($N246="VCA",INDEX(APOIO_REDES!$A:$W,MATCH($C246&amp;$I246&amp;$H246&amp;$N246&amp;$O246,APOIO_REDES!$W:$W,0),MATCH(AZ$5,APOIO_REDES!$5:$5,0)),0)*$AP246,0)</f>
        <v>1.12870308822808</v>
      </c>
      <c r="BA246" s="153" t="n">
        <f aca="false">IFERROR(IF(AND($N246="VCA",$Q246="LINEAR"),INDEX(APOIO_REDES!$A:$W,MATCH($C246&amp;$I246&amp;$H246&amp;$N246&amp;$O246,APOIO_REDES!$W:$W,0),MATCH(BA$5,APOIO_REDES!$5:$5,0)),IF(AND($N246="MND",$Q246="EMBOQUE"),INDEX(APOIO_REDES!$A:$W,MATCH($C246&amp;$I246&amp;$H246&amp;$N246&amp;$O246,APOIO_REDES!$W:$W,0),MATCH(BA$5,APOIO_REDES!$5:$5,0)),0))*$M246/10,0)</f>
        <v>3.57691605499065</v>
      </c>
      <c r="BB246" s="153" t="n">
        <f aca="false">IFERROR(IF($N246="VCA",INDEX(APOIO_REDES!$A:$W,MATCH($C246&amp;$I246&amp;$H246&amp;$N246&amp;$O246,APOIO_REDES!$W:$W,0),MATCH(BB$5,APOIO_REDES!$5:$5,0)),0)*($AI246+$AQ246+$AR246),0)</f>
        <v>16.7906531675529</v>
      </c>
      <c r="BC246" s="153" t="n">
        <f aca="false">IFERROR(IF($N246="VCA",INDEX(APOIO_REDES!$A:$W,MATCH($C246&amp;$I246&amp;$H246&amp;$N246&amp;$O246,APOIO_REDES!$W:$W,0),MATCH(BC$5,APOIO_REDES!$5:$5,0)),0)*($AI246+$AQ246+$AR246),0)</f>
        <v>0.184696832447128</v>
      </c>
      <c r="BD246" s="153" t="n">
        <f aca="false">IF(AND($N246="VCA",$AF246&gt;=1.25,$AF246&lt;1.5),$M246*$AF246*2,0)</f>
        <v>125.1516</v>
      </c>
      <c r="BE246" s="153" t="n">
        <f aca="false">IF(AND($N246="VCA",$AF246&gt;=1.5,$AF246&lt;3),$M246*$AF246*2,0)</f>
        <v>0</v>
      </c>
      <c r="BF246" s="153" t="n">
        <f aca="false">IF(AND($N246="VCA",$AF246&gt;=3),$M246*$AF246*2,0)</f>
        <v>0</v>
      </c>
      <c r="BG246" s="153" t="n">
        <f aca="false">($BB246+$BC246)*$AK246</f>
        <v>66.203865</v>
      </c>
      <c r="BH246" s="153" t="n">
        <f aca="false">IF(AND($M246&lt;&gt;"",$N246="VCA",$Q246="LINEAR"),($M246*2)/100,IF(AND($M246&lt;&gt;"",$N246="MND",$Q246="EMBOQUE"),($AN246*2)/100,0))</f>
        <v>0.8876</v>
      </c>
      <c r="BI246" s="153" t="n">
        <f aca="false">IF(AND($M246&lt;&gt;"",$N246="VCA",$Q246="LINEAR"),$M246,IF(AND($M246&lt;&gt;"",$N246="MND",$Q246="EMBOQUE"),$AN246*2,0))</f>
        <v>44.38</v>
      </c>
      <c r="BJ246" s="153" t="n">
        <f aca="false">IF(AND($M246&lt;&gt;"",$N246="VCA",$Q246="LINEAR"),($M246*6.8)/100,IF(AND($M246&lt;&gt;"",$N246="MND",$Q246="EMBOQUE"),($AN246*2*6.8)/100,0))</f>
        <v>3.01784</v>
      </c>
      <c r="BK246" s="153" t="n">
        <f aca="false">IF(AND($M246&lt;&gt;"",$N246="VCA",$Q246="LINEAR"),($M246*2.5)/50,IF(AND($M246&lt;&gt;"",$N246="MND",$Q246="EMBOQUE"),($AN246*2*2.5)/50,0))</f>
        <v>2.219</v>
      </c>
      <c r="BL246" s="157" t="str">
        <f aca="false">K246&amp;J246</f>
        <v>Zona02REDES</v>
      </c>
      <c r="BM246" s="152" t="s">
        <v>2037</v>
      </c>
      <c r="BN246" s="152" t="s">
        <v>1560</v>
      </c>
      <c r="BO246" s="152" t="s">
        <v>2231</v>
      </c>
      <c r="BP246" s="152" t="s">
        <v>2444</v>
      </c>
      <c r="BQ246" s="152" t="s">
        <v>2460</v>
      </c>
      <c r="BR246" s="152" t="s">
        <v>2464</v>
      </c>
      <c r="BS246" s="152" t="n">
        <v>202769.172</v>
      </c>
      <c r="BT246" s="152" t="n">
        <v>8237542.884</v>
      </c>
      <c r="BU246" s="152" t="n">
        <v>202803.615</v>
      </c>
      <c r="BV246" s="152" t="n">
        <v>8237515.463</v>
      </c>
      <c r="BW246" s="152" t="n">
        <v>-15.9236924</v>
      </c>
      <c r="BX246" s="152" t="n">
        <v>-47.7759378</v>
      </c>
      <c r="BY246" s="152" t="s">
        <v>2444</v>
      </c>
    </row>
    <row r="247" customFormat="false" ht="13.8" hidden="false" customHeight="false" outlineLevel="0" collapsed="false">
      <c r="A247" s="149" t="n">
        <f aca="false">IF(C247&lt;&gt;"",ROW(A242),"")</f>
        <v>242</v>
      </c>
      <c r="B247" s="150" t="str">
        <f aca="false">HYPERLINK("https://www.google.com/maps/dir/-15.917302,-47.760003/-15.9236518,-47.7786387/data=!4m3!4m2!3e0!5i2")</f>
        <v>https://www.google.com/maps/dir/-15.917302,-47.760003/-15.9236518,-47.7786387/data=!4m3!4m2!3e0!5i2</v>
      </c>
      <c r="C247" s="151" t="s">
        <v>117</v>
      </c>
      <c r="D247" s="152" t="s">
        <v>112</v>
      </c>
      <c r="E247" s="152" t="s">
        <v>113</v>
      </c>
      <c r="F247" s="152" t="s">
        <v>117</v>
      </c>
      <c r="G247" s="152" t="s">
        <v>782</v>
      </c>
      <c r="H247" s="152" t="n">
        <v>63</v>
      </c>
      <c r="I247" s="152" t="s">
        <v>115</v>
      </c>
      <c r="J247" s="152" t="s">
        <v>6</v>
      </c>
      <c r="K247" s="152" t="s">
        <v>2033</v>
      </c>
      <c r="L247" s="152" t="s">
        <v>120</v>
      </c>
      <c r="M247" s="153" t="n">
        <f aca="false">42.43</f>
        <v>42.43</v>
      </c>
      <c r="N247" s="152" t="s">
        <v>1548</v>
      </c>
      <c r="O247" s="152" t="s">
        <v>1549</v>
      </c>
      <c r="P247" s="152" t="s">
        <v>1550</v>
      </c>
      <c r="Q247" s="152" t="s">
        <v>1551</v>
      </c>
      <c r="R247" s="154" t="s">
        <v>2465</v>
      </c>
      <c r="S247" s="154" t="s">
        <v>1553</v>
      </c>
      <c r="T247" s="155" t="s">
        <v>2227</v>
      </c>
      <c r="U247" s="152" t="str">
        <f aca="false">RIGHT(T247,7)</f>
        <v>008/037</v>
      </c>
      <c r="V247" s="152" t="s">
        <v>1555</v>
      </c>
      <c r="W247" s="156" t="n">
        <v>45882</v>
      </c>
      <c r="X247" s="152" t="s">
        <v>1594</v>
      </c>
      <c r="Y247" s="152" t="s">
        <v>2400</v>
      </c>
      <c r="Z247" s="152" t="s">
        <v>1557</v>
      </c>
      <c r="AA247" s="153" t="n">
        <v>4.3</v>
      </c>
      <c r="AB247" s="151" t="s">
        <v>2466</v>
      </c>
      <c r="AC247" s="151" t="s">
        <v>186</v>
      </c>
      <c r="AD247" s="151" t="str">
        <f aca="false">CONCATENATE($C247,$I247,$H247,$N247,$J247,$K247)</f>
        <v>TUBO PEADPEAD63VCAREDESZona02</v>
      </c>
      <c r="AE247" s="153" t="n">
        <f aca="false">IFERROR(INDEX(APOIO_REDES!$A:$W,MATCH($C247&amp;$I247&amp;$H247&amp;$N247&amp;$O247,APOIO_REDES!$W:$W,0),MATCH(AE$5,APOIO_REDES!$5:$5,0)),0)</f>
        <v>1.2</v>
      </c>
      <c r="AF247" s="153" t="n">
        <f aca="false">IFERROR(INDEX(APOIO_REDES!$A:$W,MATCH($C247&amp;$I247&amp;$H247&amp;$N247&amp;$O247,APOIO_REDES!$W:$W,0),MATCH(AF$5,APOIO_REDES!$5:$5,0)),0)</f>
        <v>1.363</v>
      </c>
      <c r="AG247" s="153" t="n">
        <f aca="false">IFERROR(INDEX(APOIO_REDES!$A:$W,MATCH($C247&amp;$I247&amp;$H247&amp;$N247&amp;$O247,APOIO_REDES!$W:$W,0),MATCH(AG$5,APOIO_REDES!$5:$5,0)),0)</f>
        <v>0.65</v>
      </c>
      <c r="AH247" s="153" t="n">
        <f aca="false">IFERROR(INDEX(APOIO_REDES!$A:$W,MATCH($C247&amp;$I247&amp;$H247&amp;$N247&amp;$O247,APOIO_REDES!$W:$W,0),MATCH(AH$5,APOIO_REDES!$5:$5,0)),0)</f>
        <v>0.1</v>
      </c>
      <c r="AI247" s="153" t="n">
        <f aca="false">IFERROR(IF($H247&lt;&gt;"",(((($H247/1000)/2)^2)*PI()*$M247),0),0)</f>
        <v>0.132264718525553</v>
      </c>
      <c r="AJ247" s="153" t="n">
        <f aca="false">IFERROR(IF(AND($H247&lt;&gt;"",$I247="FoFo",OR($N247="MND",$N247="VCA"),$Q247="LINEAR"),0,IF(AND($H247&lt;&gt;"",$I247="PEAD",$N247="VCA",$Q247="LINEAR"),($H247/1000)+0.3,IF(AND($H247&lt;&gt;"",$I247="PEAD",$N247="MND",$Q247="EMBOQUE"),0,IF(AND($H247&lt;&gt;"",$I247="PVC",$N247="VCA",$Q247="LINEAR"),($H247/1000)+0.2,IF(AND($H247&lt;&gt;"",$I247="PVC",$N247="MND",$Q247="EMBOQUE"),0,IF(AND($H247&lt;&gt;"",$I247="PEAD",$N247="VCA",$Q247="PREDIAL"),0,0)))))),0)</f>
        <v>0.363</v>
      </c>
      <c r="AK247" s="153" t="n">
        <f aca="false">IF(AA247&lt;&gt;"",AA247,0)</f>
        <v>4.3</v>
      </c>
      <c r="AL247" s="153" t="n">
        <f aca="false">IF(AND($N247="MND",$Q247="EMBOQUE"),$M247,IF(AND($N247="VCA",$Q247="LINEAR"),$M247,IF(AND($N247="VCA",$Q247="PREDIAL"),0,0)))</f>
        <v>42.43</v>
      </c>
      <c r="AM247" s="153" t="n">
        <f aca="false">IF(AND($N247="MND",$Q247="EMBOQUE"),$M247,IF(AND($N247="VCA",$Q247="LINEAR"),$M247,IF(AND($N247="VCA",$Q247="PREDIAL"),0,0)))</f>
        <v>42.43</v>
      </c>
      <c r="AN247" s="153" t="n">
        <f aca="false">ROUND(IF(AND($N247="VCA",$M247&lt;&gt;"",$Q247="LINEAR"),$M247/100,IF(AND($N247="MND",$M247&gt;100,$Q247="EMBOQUE"),$M247/100,0)),0)</f>
        <v>0</v>
      </c>
      <c r="AO247" s="153" t="n">
        <f aca="false">IF(AND($N247="MND",$Q247="EMBOQUE"),$AN247*2*2,IF(AND($N247="VCA",$Q247="LINEAR"),$M247*2,IF(AND($N247="VCA",$Q247="PREDIAL"),0,0)))</f>
        <v>84.86</v>
      </c>
      <c r="AP247" s="153" t="n">
        <f aca="false">IFERROR($M247*$AF247*$AG247,0)</f>
        <v>37.5908585</v>
      </c>
      <c r="AQ247" s="153" t="n">
        <f aca="false">IFERROR(IF(AND($N247="VCA",$AH247&gt;0),$M247*$AG247*$AH247,0),0)</f>
        <v>2.75795</v>
      </c>
      <c r="AR247" s="153" t="n">
        <f aca="false">IFERROR(IF(AND($N247="VCA",$AJ247&gt;0),($M247*$AG247*$AJ247)-$AI247,0),0)</f>
        <v>9.87909378147445</v>
      </c>
      <c r="AS247" s="153" t="n">
        <f aca="false">IFERROR(IF(AND($N247="VCA",$AP247&gt;0),$AP247-$AI247-$AQ247-$AR247,0),0)</f>
        <v>24.82155</v>
      </c>
      <c r="AT247" s="153" t="n">
        <f aca="false">IFERROR(IF($N247="VCA",INDEX(APOIO_REDES!$A:$W,MATCH($C247&amp;$I247&amp;$H247&amp;$N247&amp;$O247,APOIO_REDES!$W:$W,0),MATCH(AT$5,APOIO_REDES!$5:$5,0)),0)*$AP247,0)</f>
        <v>0.408999666806174</v>
      </c>
      <c r="AU247" s="153" t="n">
        <f aca="false">IFERROR(IF($N247="VCA",INDEX(APOIO_REDES!$A:$W,MATCH($C247&amp;$I247&amp;$H247&amp;$N247&amp;$O247,APOIO_REDES!$W:$W,0),MATCH(AU$5,APOIO_REDES!$5:$5,0)),0)*$AP247,0)</f>
        <v>0.326616056795628</v>
      </c>
      <c r="AV247" s="153" t="n">
        <f aca="false">IFERROR(IF($N247="VCA",INDEX(APOIO_REDES!$A:$W,MATCH($C247&amp;$I247&amp;$H247&amp;$N247&amp;$O247,APOIO_REDES!$W:$W,0),MATCH(AV$5,APOIO_REDES!$5:$5,0)),0)*$AP247,0)</f>
        <v>0.0452010982239381</v>
      </c>
      <c r="AW247" s="153" t="n">
        <f aca="false">IFERROR(IF($N247="VCA",INDEX(APOIO_REDES!$A:$W,MATCH($C247&amp;$I247&amp;$H247&amp;$N247&amp;$O247,APOIO_REDES!$W:$W,0),MATCH(AW$5,APOIO_REDES!$5:$5,0)),0)*$AP247,0)</f>
        <v>25.8026565425849</v>
      </c>
      <c r="AX247" s="153" t="n">
        <f aca="false">IFERROR(IF($N247="VCA",INDEX(APOIO_REDES!$A:$W,MATCH($C247&amp;$I247&amp;$H247&amp;$N247&amp;$O247,APOIO_REDES!$W:$W,0),MATCH(AX$5,APOIO_REDES!$5:$5,0)),0)*$AP247,0)</f>
        <v>3.5710141652353</v>
      </c>
      <c r="AY247" s="153" t="n">
        <f aca="false">IFERROR(IF($N247="VCA",INDEX(APOIO_REDES!$A:$W,MATCH($C247&amp;$I247&amp;$H247&amp;$N247&amp;$O247,APOIO_REDES!$W:$W,0),MATCH(AY$5,APOIO_REDES!$5:$5,0)),0)*$AP247,0)</f>
        <v>6.53231715448931</v>
      </c>
      <c r="AZ247" s="153" t="n">
        <f aca="false">IFERROR(IF($N247="VCA",INDEX(APOIO_REDES!$A:$W,MATCH($C247&amp;$I247&amp;$H247&amp;$N247&amp;$O247,APOIO_REDES!$W:$W,0),MATCH(AZ$5,APOIO_REDES!$5:$5,0)),0)*$AP247,0)</f>
        <v>0.90405381586481</v>
      </c>
      <c r="BA247" s="153" t="n">
        <f aca="false">IFERROR(IF(AND($N247="VCA",$Q247="LINEAR"),INDEX(APOIO_REDES!$A:$W,MATCH($C247&amp;$I247&amp;$H247&amp;$N247&amp;$O247,APOIO_REDES!$W:$W,0),MATCH(BA$5,APOIO_REDES!$5:$5,0)),IF(AND($N247="MND",$Q247="EMBOQUE"),INDEX(APOIO_REDES!$A:$W,MATCH($C247&amp;$I247&amp;$H247&amp;$N247&amp;$O247,APOIO_REDES!$W:$W,0),MATCH(BA$5,APOIO_REDES!$5:$5,0)),0))*$M247/10,0)</f>
        <v>3.41975097371008</v>
      </c>
      <c r="BB247" s="153" t="n">
        <f aca="false">IFERROR(IF($N247="VCA",INDEX(APOIO_REDES!$A:$W,MATCH($C247&amp;$I247&amp;$H247&amp;$N247&amp;$O247,APOIO_REDES!$W:$W,0),MATCH(BB$5,APOIO_REDES!$5:$5,0)),0)*($AI247+$AQ247+$AR247),0)</f>
        <v>12.6303746439976</v>
      </c>
      <c r="BC247" s="153" t="n">
        <f aca="false">IFERROR(IF($N247="VCA",INDEX(APOIO_REDES!$A:$W,MATCH($C247&amp;$I247&amp;$H247&amp;$N247&amp;$O247,APOIO_REDES!$W:$W,0),MATCH(BC$5,APOIO_REDES!$5:$5,0)),0)*($AI247+$AQ247+$AR247),0)</f>
        <v>0.138933856002391</v>
      </c>
      <c r="BD247" s="153" t="n">
        <f aca="false">IF(AND($N247="VCA",$AF247&gt;=1.25,$AF247&lt;1.5),$M247*$AF247*2,0)</f>
        <v>115.66418</v>
      </c>
      <c r="BE247" s="153" t="n">
        <f aca="false">IF(AND($N247="VCA",$AF247&gt;=1.5,$AF247&lt;3),$M247*$AF247*2,0)</f>
        <v>0</v>
      </c>
      <c r="BF247" s="153" t="n">
        <f aca="false">IF(AND($N247="VCA",$AF247&gt;=3),$M247*$AF247*2,0)</f>
        <v>0</v>
      </c>
      <c r="BG247" s="153" t="n">
        <f aca="false">($BB247+$BC247)*$AK247</f>
        <v>54.90802655</v>
      </c>
      <c r="BH247" s="153" t="n">
        <f aca="false">IF(AND($M247&lt;&gt;"",$N247="VCA",$Q247="LINEAR"),($M247*2)/100,IF(AND($M247&lt;&gt;"",$N247="MND",$Q247="EMBOQUE"),($AN247*2)/100,0))</f>
        <v>0.8486</v>
      </c>
      <c r="BI247" s="153" t="n">
        <f aca="false">IF(AND($M247&lt;&gt;"",$N247="VCA",$Q247="LINEAR"),$M247,IF(AND($M247&lt;&gt;"",$N247="MND",$Q247="EMBOQUE"),$AN247*2,0))</f>
        <v>42.43</v>
      </c>
      <c r="BJ247" s="153" t="n">
        <f aca="false">IF(AND($M247&lt;&gt;"",$N247="VCA",$Q247="LINEAR"),($M247*6.8)/100,IF(AND($M247&lt;&gt;"",$N247="MND",$Q247="EMBOQUE"),($AN247*2*6.8)/100,0))</f>
        <v>2.88524</v>
      </c>
      <c r="BK247" s="153" t="n">
        <f aca="false">IF(AND($M247&lt;&gt;"",$N247="VCA",$Q247="LINEAR"),($M247*2.5)/50,IF(AND($M247&lt;&gt;"",$N247="MND",$Q247="EMBOQUE"),($AN247*2*2.5)/50,0))</f>
        <v>2.1215</v>
      </c>
      <c r="BL247" s="157" t="str">
        <f aca="false">K247&amp;J247</f>
        <v>Zona02REDES</v>
      </c>
      <c r="BM247" s="152" t="s">
        <v>2037</v>
      </c>
      <c r="BN247" s="152" t="s">
        <v>1560</v>
      </c>
      <c r="BO247" s="152" t="s">
        <v>2231</v>
      </c>
      <c r="BP247" s="152" t="s">
        <v>2448</v>
      </c>
      <c r="BQ247" s="152" t="s">
        <v>2467</v>
      </c>
      <c r="BR247" s="152" t="s">
        <v>2468</v>
      </c>
      <c r="BS247" s="152" t="n">
        <v>202497.063</v>
      </c>
      <c r="BT247" s="152" t="n">
        <v>8237529.22</v>
      </c>
      <c r="BU247" s="152" t="n">
        <v>202500.235</v>
      </c>
      <c r="BV247" s="152" t="n">
        <v>8237487.488</v>
      </c>
      <c r="BW247" s="152" t="n">
        <v>-15.9238414</v>
      </c>
      <c r="BX247" s="152" t="n">
        <v>-47.7786347</v>
      </c>
      <c r="BY247" s="152" t="s">
        <v>2448</v>
      </c>
    </row>
    <row r="248" customFormat="false" ht="13.8" hidden="false" customHeight="false" outlineLevel="0" collapsed="false">
      <c r="A248" s="149" t="n">
        <f aca="false">IF(C248&lt;&gt;"",ROW(A243),"")</f>
        <v>243</v>
      </c>
      <c r="B248" s="150" t="str">
        <f aca="false">HYPERLINK("https://www.google.com/maps/dir/-15.917302,-47.760003/-15.9237755,-47.7773060/data=!4m3!4m2!3e0!5i2")</f>
        <v>https://www.google.com/maps/dir/-15.917302,-47.760003/-15.9237755,-47.7773060/data=!4m3!4m2!3e0!5i2</v>
      </c>
      <c r="C248" s="151" t="s">
        <v>117</v>
      </c>
      <c r="D248" s="152" t="s">
        <v>112</v>
      </c>
      <c r="E248" s="152" t="s">
        <v>113</v>
      </c>
      <c r="F248" s="152" t="s">
        <v>117</v>
      </c>
      <c r="G248" s="152" t="s">
        <v>782</v>
      </c>
      <c r="H248" s="152" t="n">
        <v>63</v>
      </c>
      <c r="I248" s="152" t="s">
        <v>115</v>
      </c>
      <c r="J248" s="152" t="s">
        <v>6</v>
      </c>
      <c r="K248" s="152" t="s">
        <v>2033</v>
      </c>
      <c r="L248" s="152" t="s">
        <v>120</v>
      </c>
      <c r="M248" s="153" t="n">
        <f aca="false">103.95</f>
        <v>103.95</v>
      </c>
      <c r="N248" s="152" t="s">
        <v>1548</v>
      </c>
      <c r="O248" s="152" t="s">
        <v>1549</v>
      </c>
      <c r="P248" s="152" t="s">
        <v>1550</v>
      </c>
      <c r="Q248" s="152" t="s">
        <v>1551</v>
      </c>
      <c r="R248" s="154" t="s">
        <v>2469</v>
      </c>
      <c r="S248" s="154" t="s">
        <v>1553</v>
      </c>
      <c r="T248" s="155" t="s">
        <v>2227</v>
      </c>
      <c r="U248" s="152" t="str">
        <f aca="false">RIGHT(T248,7)</f>
        <v>008/037</v>
      </c>
      <c r="V248" s="152" t="s">
        <v>1555</v>
      </c>
      <c r="W248" s="156" t="n">
        <v>45882</v>
      </c>
      <c r="X248" s="152" t="s">
        <v>1594</v>
      </c>
      <c r="Y248" s="152" t="s">
        <v>2400</v>
      </c>
      <c r="Z248" s="152" t="s">
        <v>1557</v>
      </c>
      <c r="AA248" s="153" t="n">
        <v>4.2</v>
      </c>
      <c r="AB248" s="151" t="s">
        <v>2470</v>
      </c>
      <c r="AC248" s="151" t="s">
        <v>186</v>
      </c>
      <c r="AD248" s="151" t="str">
        <f aca="false">CONCATENATE($C248,$I248,$H248,$N248,$J248,$K248)</f>
        <v>TUBO PEADPEAD63VCAREDESZona02</v>
      </c>
      <c r="AE248" s="153" t="n">
        <f aca="false">IFERROR(INDEX(APOIO_REDES!$A:$W,MATCH($C248&amp;$I248&amp;$H248&amp;$N248&amp;$O248,APOIO_REDES!$W:$W,0),MATCH(AE$5,APOIO_REDES!$5:$5,0)),0)</f>
        <v>1.2</v>
      </c>
      <c r="AF248" s="153" t="n">
        <f aca="false">IFERROR(INDEX(APOIO_REDES!$A:$W,MATCH($C248&amp;$I248&amp;$H248&amp;$N248&amp;$O248,APOIO_REDES!$W:$W,0),MATCH(AF$5,APOIO_REDES!$5:$5,0)),0)</f>
        <v>1.363</v>
      </c>
      <c r="AG248" s="153" t="n">
        <f aca="false">IFERROR(INDEX(APOIO_REDES!$A:$W,MATCH($C248&amp;$I248&amp;$H248&amp;$N248&amp;$O248,APOIO_REDES!$W:$W,0),MATCH(AG$5,APOIO_REDES!$5:$5,0)),0)</f>
        <v>0.65</v>
      </c>
      <c r="AH248" s="153" t="n">
        <f aca="false">IFERROR(INDEX(APOIO_REDES!$A:$W,MATCH($C248&amp;$I248&amp;$H248&amp;$N248&amp;$O248,APOIO_REDES!$W:$W,0),MATCH(AH$5,APOIO_REDES!$5:$5,0)),0)</f>
        <v>0.1</v>
      </c>
      <c r="AI248" s="153" t="n">
        <f aca="false">IFERROR(IF($H248&lt;&gt;"",(((($H248/1000)/2)^2)*PI()*$M248),0),0)</f>
        <v>0.324037650029019</v>
      </c>
      <c r="AJ248" s="153" t="n">
        <f aca="false">IFERROR(IF(AND($H248&lt;&gt;"",$I248="FoFo",OR($N248="MND",$N248="VCA"),$Q248="LINEAR"),0,IF(AND($H248&lt;&gt;"",$I248="PEAD",$N248="VCA",$Q248="LINEAR"),($H248/1000)+0.3,IF(AND($H248&lt;&gt;"",$I248="PEAD",$N248="MND",$Q248="EMBOQUE"),0,IF(AND($H248&lt;&gt;"",$I248="PVC",$N248="VCA",$Q248="LINEAR"),($H248/1000)+0.2,IF(AND($H248&lt;&gt;"",$I248="PVC",$N248="MND",$Q248="EMBOQUE"),0,IF(AND($H248&lt;&gt;"",$I248="PEAD",$N248="VCA",$Q248="PREDIAL"),0,0)))))),0)</f>
        <v>0.363</v>
      </c>
      <c r="AK248" s="153" t="n">
        <f aca="false">IF(AA248&lt;&gt;"",AA248,0)</f>
        <v>4.2</v>
      </c>
      <c r="AL248" s="153" t="n">
        <f aca="false">IF(AND($N248="MND",$Q248="EMBOQUE"),$M248,IF(AND($N248="VCA",$Q248="LINEAR"),$M248,IF(AND($N248="VCA",$Q248="PREDIAL"),0,0)))</f>
        <v>103.95</v>
      </c>
      <c r="AM248" s="153" t="n">
        <f aca="false">IF(AND($N248="MND",$Q248="EMBOQUE"),$M248,IF(AND($N248="VCA",$Q248="LINEAR"),$M248,IF(AND($N248="VCA",$Q248="PREDIAL"),0,0)))</f>
        <v>103.95</v>
      </c>
      <c r="AN248" s="153" t="n">
        <f aca="false">ROUND(IF(AND($N248="VCA",$M248&lt;&gt;"",$Q248="LINEAR"),$M248/100,IF(AND($N248="MND",$M248&gt;100,$Q248="EMBOQUE"),$M248/100,0)),0)</f>
        <v>1</v>
      </c>
      <c r="AO248" s="153" t="n">
        <f aca="false">IF(AND($N248="MND",$Q248="EMBOQUE"),$AN248*2*2,IF(AND($N248="VCA",$Q248="LINEAR"),$M248*2,IF(AND($N248="VCA",$Q248="PREDIAL"),0,0)))</f>
        <v>207.9</v>
      </c>
      <c r="AP248" s="153" t="n">
        <f aca="false">IFERROR($M248*$AF248*$AG248,0)</f>
        <v>92.0945025</v>
      </c>
      <c r="AQ248" s="153" t="n">
        <f aca="false">IFERROR(IF(AND($N248="VCA",$AH248&gt;0),$M248*$AG248*$AH248,0),0)</f>
        <v>6.75675</v>
      </c>
      <c r="AR248" s="153" t="n">
        <f aca="false">IFERROR(IF(AND($N248="VCA",$AJ248&gt;0),($M248*$AG248*$AJ248)-$AI248,0),0)</f>
        <v>24.202964849971</v>
      </c>
      <c r="AS248" s="153" t="n">
        <f aca="false">IFERROR(IF(AND($N248="VCA",$AP248&gt;0),$AP248-$AI248-$AQ248-$AR248,0),0)</f>
        <v>60.81075</v>
      </c>
      <c r="AT248" s="153" t="n">
        <f aca="false">IFERROR(IF($N248="VCA",INDEX(APOIO_REDES!$A:$W,MATCH($C248&amp;$I248&amp;$H248&amp;$N248&amp;$O248,APOIO_REDES!$W:$W,0),MATCH(AT$5,APOIO_REDES!$5:$5,0)),0)*$AP248,0)</f>
        <v>1.00201544578133</v>
      </c>
      <c r="AU248" s="153" t="n">
        <f aca="false">IFERROR(IF($N248="VCA",INDEX(APOIO_REDES!$A:$W,MATCH($C248&amp;$I248&amp;$H248&amp;$N248&amp;$O248,APOIO_REDES!$W:$W,0),MATCH(AU$5,APOIO_REDES!$5:$5,0)),0)*$AP248,0)</f>
        <v>0.80018239698104</v>
      </c>
      <c r="AV248" s="153" t="n">
        <f aca="false">IFERROR(IF($N248="VCA",INDEX(APOIO_REDES!$A:$W,MATCH($C248&amp;$I248&amp;$H248&amp;$N248&amp;$O248,APOIO_REDES!$W:$W,0),MATCH(AV$5,APOIO_REDES!$5:$5,0)),0)*$AP248,0)</f>
        <v>0.110738962064067</v>
      </c>
      <c r="AW248" s="153" t="n">
        <f aca="false">IFERROR(IF($N248="VCA",INDEX(APOIO_REDES!$A:$W,MATCH($C248&amp;$I248&amp;$H248&amp;$N248&amp;$O248,APOIO_REDES!$W:$W,0),MATCH(AW$5,APOIO_REDES!$5:$5,0)),0)*$AP248,0)</f>
        <v>63.2143800990265</v>
      </c>
      <c r="AX248" s="153" t="n">
        <f aca="false">IFERROR(IF($N248="VCA",INDEX(APOIO_REDES!$A:$W,MATCH($C248&amp;$I248&amp;$H248&amp;$N248&amp;$O248,APOIO_REDES!$W:$W,0),MATCH(AX$5,APOIO_REDES!$5:$5,0)),0)*$AP248,0)</f>
        <v>8.74869013613503</v>
      </c>
      <c r="AY248" s="153" t="n">
        <f aca="false">IFERROR(IF($N248="VCA",INDEX(APOIO_REDES!$A:$W,MATCH($C248&amp;$I248&amp;$H248&amp;$N248&amp;$O248,APOIO_REDES!$W:$W,0),MATCH(AY$5,APOIO_REDES!$5:$5,0)),0)*$AP248,0)</f>
        <v>16.0036381854623</v>
      </c>
      <c r="AZ248" s="153" t="n">
        <f aca="false">IFERROR(IF($N248="VCA",INDEX(APOIO_REDES!$A:$W,MATCH($C248&amp;$I248&amp;$H248&amp;$N248&amp;$O248,APOIO_REDES!$W:$W,0),MATCH(AZ$5,APOIO_REDES!$5:$5,0)),0)*$AP248,0)</f>
        <v>2.21485727454978</v>
      </c>
      <c r="BA248" s="153" t="n">
        <f aca="false">IFERROR(IF(AND($N248="VCA",$Q248="LINEAR"),INDEX(APOIO_REDES!$A:$W,MATCH($C248&amp;$I248&amp;$H248&amp;$N248&amp;$O248,APOIO_REDES!$W:$W,0),MATCH(BA$5,APOIO_REDES!$5:$5,0)),IF(AND($N248="MND",$Q248="EMBOQUE"),INDEX(APOIO_REDES!$A:$W,MATCH($C248&amp;$I248&amp;$H248&amp;$N248&amp;$O248,APOIO_REDES!$W:$W,0),MATCH(BA$5,APOIO_REDES!$5:$5,0)),0))*$M248/10,0)</f>
        <v>8.37810779441816</v>
      </c>
      <c r="BB248" s="153" t="n">
        <f aca="false">IFERROR(IF($N248="VCA",INDEX(APOIO_REDES!$A:$W,MATCH($C248&amp;$I248&amp;$H248&amp;$N248&amp;$O248,APOIO_REDES!$W:$W,0),MATCH(BB$5,APOIO_REDES!$5:$5,0)),0)*($AI248+$AQ248+$AR248),0)</f>
        <v>30.9433760132819</v>
      </c>
      <c r="BC248" s="153" t="n">
        <f aca="false">IFERROR(IF($N248="VCA",INDEX(APOIO_REDES!$A:$W,MATCH($C248&amp;$I248&amp;$H248&amp;$N248&amp;$O248,APOIO_REDES!$W:$W,0),MATCH(BC$5,APOIO_REDES!$5:$5,0)),0)*($AI248+$AQ248+$AR248),0)</f>
        <v>0.340376486718089</v>
      </c>
      <c r="BD248" s="153" t="n">
        <f aca="false">IF(AND($N248="VCA",$AF248&gt;=1.25,$AF248&lt;1.5),$M248*$AF248*2,0)</f>
        <v>283.3677</v>
      </c>
      <c r="BE248" s="153" t="n">
        <f aca="false">IF(AND($N248="VCA",$AF248&gt;=1.5,$AF248&lt;3),$M248*$AF248*2,0)</f>
        <v>0</v>
      </c>
      <c r="BF248" s="153" t="n">
        <f aca="false">IF(AND($N248="VCA",$AF248&gt;=3),$M248*$AF248*2,0)</f>
        <v>0</v>
      </c>
      <c r="BG248" s="153" t="n">
        <f aca="false">($BB248+$BC248)*$AK248</f>
        <v>131.3917605</v>
      </c>
      <c r="BH248" s="153" t="n">
        <f aca="false">IF(AND($M248&lt;&gt;"",$N248="VCA",$Q248="LINEAR"),($M248*2)/100,IF(AND($M248&lt;&gt;"",$N248="MND",$Q248="EMBOQUE"),($AN248*2)/100,0))</f>
        <v>2.079</v>
      </c>
      <c r="BI248" s="153" t="n">
        <f aca="false">IF(AND($M248&lt;&gt;"",$N248="VCA",$Q248="LINEAR"),$M248,IF(AND($M248&lt;&gt;"",$N248="MND",$Q248="EMBOQUE"),$AN248*2,0))</f>
        <v>103.95</v>
      </c>
      <c r="BJ248" s="153" t="n">
        <f aca="false">IF(AND($M248&lt;&gt;"",$N248="VCA",$Q248="LINEAR"),($M248*6.8)/100,IF(AND($M248&lt;&gt;"",$N248="MND",$Q248="EMBOQUE"),($AN248*2*6.8)/100,0))</f>
        <v>7.0686</v>
      </c>
      <c r="BK248" s="153" t="n">
        <f aca="false">IF(AND($M248&lt;&gt;"",$N248="VCA",$Q248="LINEAR"),($M248*2.5)/50,IF(AND($M248&lt;&gt;"",$N248="MND",$Q248="EMBOQUE"),($AN248*2*2.5)/50,0))</f>
        <v>5.1975</v>
      </c>
      <c r="BL248" s="157" t="str">
        <f aca="false">K248&amp;J248</f>
        <v>Zona02REDES</v>
      </c>
      <c r="BM248" s="152" t="s">
        <v>2037</v>
      </c>
      <c r="BN248" s="152" t="s">
        <v>1560</v>
      </c>
      <c r="BO248" s="152" t="s">
        <v>2231</v>
      </c>
      <c r="BP248" s="152" t="s">
        <v>2452</v>
      </c>
      <c r="BQ248" s="152" t="s">
        <v>2471</v>
      </c>
      <c r="BR248" s="152" t="s">
        <v>2472</v>
      </c>
      <c r="BS248" s="152" t="n">
        <v>202639.676</v>
      </c>
      <c r="BT248" s="152" t="n">
        <v>8237517.702</v>
      </c>
      <c r="BU248" s="152" t="n">
        <v>202539.059</v>
      </c>
      <c r="BV248" s="152" t="n">
        <v>8237493.517</v>
      </c>
      <c r="BW248" s="152" t="n">
        <v>-15.9238748</v>
      </c>
      <c r="BX248" s="152" t="n">
        <v>-47.7777778</v>
      </c>
      <c r="BY248" s="152" t="s">
        <v>2452</v>
      </c>
    </row>
    <row r="249" customFormat="false" ht="13.8" hidden="false" customHeight="false" outlineLevel="0" collapsed="false">
      <c r="A249" s="149" t="n">
        <f aca="false">IF(C249&lt;&gt;"",ROW(A244),"")</f>
        <v>244</v>
      </c>
      <c r="B249" s="150" t="str">
        <f aca="false">HYPERLINK("https://www.google.com/maps/dir/-15.917302,-47.760003/-15.9241179,-47.7773160/data=!4m3!4m2!3e0!5i2")</f>
        <v>https://www.google.com/maps/dir/-15.917302,-47.760003/-15.9241179,-47.7773160/data=!4m3!4m2!3e0!5i2</v>
      </c>
      <c r="C249" s="151" t="s">
        <v>117</v>
      </c>
      <c r="D249" s="152" t="s">
        <v>112</v>
      </c>
      <c r="E249" s="152" t="s">
        <v>113</v>
      </c>
      <c r="F249" s="152" t="s">
        <v>117</v>
      </c>
      <c r="G249" s="152" t="s">
        <v>782</v>
      </c>
      <c r="H249" s="152" t="n">
        <v>63</v>
      </c>
      <c r="I249" s="152" t="s">
        <v>115</v>
      </c>
      <c r="J249" s="152" t="s">
        <v>6</v>
      </c>
      <c r="K249" s="152" t="s">
        <v>2033</v>
      </c>
      <c r="L249" s="152" t="s">
        <v>120</v>
      </c>
      <c r="M249" s="153" t="n">
        <f aca="false">37.93</f>
        <v>37.93</v>
      </c>
      <c r="N249" s="152" t="s">
        <v>1548</v>
      </c>
      <c r="O249" s="152" t="s">
        <v>1549</v>
      </c>
      <c r="P249" s="152" t="s">
        <v>1550</v>
      </c>
      <c r="Q249" s="152" t="s">
        <v>1551</v>
      </c>
      <c r="R249" s="154" t="s">
        <v>2473</v>
      </c>
      <c r="S249" s="154" t="s">
        <v>1553</v>
      </c>
      <c r="T249" s="155" t="s">
        <v>2227</v>
      </c>
      <c r="U249" s="152" t="str">
        <f aca="false">RIGHT(T249,7)</f>
        <v>008/037</v>
      </c>
      <c r="V249" s="152" t="s">
        <v>1555</v>
      </c>
      <c r="W249" s="156" t="n">
        <v>45882</v>
      </c>
      <c r="X249" s="152" t="s">
        <v>1594</v>
      </c>
      <c r="Y249" s="152" t="s">
        <v>2400</v>
      </c>
      <c r="Z249" s="152" t="s">
        <v>1557</v>
      </c>
      <c r="AA249" s="153" t="n">
        <v>4.1</v>
      </c>
      <c r="AB249" s="151" t="s">
        <v>2474</v>
      </c>
      <c r="AC249" s="151" t="s">
        <v>186</v>
      </c>
      <c r="AD249" s="151" t="str">
        <f aca="false">CONCATENATE($C249,$I249,$H249,$N249,$J249,$K249)</f>
        <v>TUBO PEADPEAD63VCAREDESZona02</v>
      </c>
      <c r="AE249" s="153" t="n">
        <f aca="false">IFERROR(INDEX(APOIO_REDES!$A:$W,MATCH($C249&amp;$I249&amp;$H249&amp;$N249&amp;$O249,APOIO_REDES!$W:$W,0),MATCH(AE$5,APOIO_REDES!$5:$5,0)),0)</f>
        <v>1.2</v>
      </c>
      <c r="AF249" s="153" t="n">
        <f aca="false">IFERROR(INDEX(APOIO_REDES!$A:$W,MATCH($C249&amp;$I249&amp;$H249&amp;$N249&amp;$O249,APOIO_REDES!$W:$W,0),MATCH(AF$5,APOIO_REDES!$5:$5,0)),0)</f>
        <v>1.363</v>
      </c>
      <c r="AG249" s="153" t="n">
        <f aca="false">IFERROR(INDEX(APOIO_REDES!$A:$W,MATCH($C249&amp;$I249&amp;$H249&amp;$N249&amp;$O249,APOIO_REDES!$W:$W,0),MATCH(AG$5,APOIO_REDES!$5:$5,0)),0)</f>
        <v>0.65</v>
      </c>
      <c r="AH249" s="153" t="n">
        <f aca="false">IFERROR(INDEX(APOIO_REDES!$A:$W,MATCH($C249&amp;$I249&amp;$H249&amp;$N249&amp;$O249,APOIO_REDES!$W:$W,0),MATCH(AH$5,APOIO_REDES!$5:$5,0)),0)</f>
        <v>0.1</v>
      </c>
      <c r="AI249" s="153" t="n">
        <f aca="false">IFERROR(IF($H249&lt;&gt;"",(((($H249/1000)/2)^2)*PI()*$M249),0),0)</f>
        <v>0.118237114628193</v>
      </c>
      <c r="AJ249" s="153" t="n">
        <f aca="false">IFERROR(IF(AND($H249&lt;&gt;"",$I249="FoFo",OR($N249="MND",$N249="VCA"),$Q249="LINEAR"),0,IF(AND($H249&lt;&gt;"",$I249="PEAD",$N249="VCA",$Q249="LINEAR"),($H249/1000)+0.3,IF(AND($H249&lt;&gt;"",$I249="PEAD",$N249="MND",$Q249="EMBOQUE"),0,IF(AND($H249&lt;&gt;"",$I249="PVC",$N249="VCA",$Q249="LINEAR"),($H249/1000)+0.2,IF(AND($H249&lt;&gt;"",$I249="PVC",$N249="MND",$Q249="EMBOQUE"),0,IF(AND($H249&lt;&gt;"",$I249="PEAD",$N249="VCA",$Q249="PREDIAL"),0,0)))))),0)</f>
        <v>0.363</v>
      </c>
      <c r="AK249" s="153" t="n">
        <f aca="false">IF(AA249&lt;&gt;"",AA249,0)</f>
        <v>4.1</v>
      </c>
      <c r="AL249" s="153" t="n">
        <f aca="false">IF(AND($N249="MND",$Q249="EMBOQUE"),$M249,IF(AND($N249="VCA",$Q249="LINEAR"),$M249,IF(AND($N249="VCA",$Q249="PREDIAL"),0,0)))</f>
        <v>37.93</v>
      </c>
      <c r="AM249" s="153" t="n">
        <f aca="false">IF(AND($N249="MND",$Q249="EMBOQUE"),$M249,IF(AND($N249="VCA",$Q249="LINEAR"),$M249,IF(AND($N249="VCA",$Q249="PREDIAL"),0,0)))</f>
        <v>37.93</v>
      </c>
      <c r="AN249" s="153" t="n">
        <f aca="false">ROUND(IF(AND($N249="VCA",$M249&lt;&gt;"",$Q249="LINEAR"),$M249/100,IF(AND($N249="MND",$M249&gt;100,$Q249="EMBOQUE"),$M249/100,0)),0)</f>
        <v>0</v>
      </c>
      <c r="AO249" s="153" t="n">
        <f aca="false">IF(AND($N249="MND",$Q249="EMBOQUE"),$AN249*2*2,IF(AND($N249="VCA",$Q249="LINEAR"),$M249*2,IF(AND($N249="VCA",$Q249="PREDIAL"),0,0)))</f>
        <v>75.86</v>
      </c>
      <c r="AP249" s="153" t="n">
        <f aca="false">IFERROR($M249*$AF249*$AG249,0)</f>
        <v>33.6040835</v>
      </c>
      <c r="AQ249" s="153" t="n">
        <f aca="false">IFERROR(IF(AND($N249="VCA",$AH249&gt;0),$M249*$AG249*$AH249,0),0)</f>
        <v>2.46545</v>
      </c>
      <c r="AR249" s="153" t="n">
        <f aca="false">IFERROR(IF(AND($N249="VCA",$AJ249&gt;0),($M249*$AG249*$AJ249)-$AI249,0),0)</f>
        <v>8.83134638537181</v>
      </c>
      <c r="AS249" s="153" t="n">
        <f aca="false">IFERROR(IF(AND($N249="VCA",$AP249&gt;0),$AP249-$AI249-$AQ249-$AR249,0),0)</f>
        <v>22.18905</v>
      </c>
      <c r="AT249" s="153" t="n">
        <f aca="false">IFERROR(IF($N249="VCA",INDEX(APOIO_REDES!$A:$W,MATCH($C249&amp;$I249&amp;$H249&amp;$N249&amp;$O249,APOIO_REDES!$W:$W,0),MATCH(AT$5,APOIO_REDES!$5:$5,0)),0)*$AP249,0)</f>
        <v>0.365622374781008</v>
      </c>
      <c r="AU249" s="153" t="n">
        <f aca="false">IFERROR(IF($N249="VCA",INDEX(APOIO_REDES!$A:$W,MATCH($C249&amp;$I249&amp;$H249&amp;$N249&amp;$O249,APOIO_REDES!$W:$W,0),MATCH(AU$5,APOIO_REDES!$5:$5,0)),0)*$AP249,0)</f>
        <v>0.291976126190388</v>
      </c>
      <c r="AV249" s="153" t="n">
        <f aca="false">IFERROR(IF($N249="VCA",INDEX(APOIO_REDES!$A:$W,MATCH($C249&amp;$I249&amp;$H249&amp;$N249&amp;$O249,APOIO_REDES!$W:$W,0),MATCH(AV$5,APOIO_REDES!$5:$5,0)),0)*$AP249,0)</f>
        <v>0.0404072037622902</v>
      </c>
      <c r="AW249" s="153" t="n">
        <f aca="false">IFERROR(IF($N249="VCA",INDEX(APOIO_REDES!$A:$W,MATCH($C249&amp;$I249&amp;$H249&amp;$N249&amp;$O249,APOIO_REDES!$W:$W,0),MATCH(AW$5,APOIO_REDES!$5:$5,0)),0)*$AP249,0)</f>
        <v>23.0661032915447</v>
      </c>
      <c r="AX249" s="153" t="n">
        <f aca="false">IFERROR(IF($N249="VCA",INDEX(APOIO_REDES!$A:$W,MATCH($C249&amp;$I249&amp;$H249&amp;$N249&amp;$O249,APOIO_REDES!$W:$W,0),MATCH(AX$5,APOIO_REDES!$5:$5,0)),0)*$AP249,0)</f>
        <v>3.19228299051084</v>
      </c>
      <c r="AY249" s="153" t="n">
        <f aca="false">IFERROR(IF($N249="VCA",INDEX(APOIO_REDES!$A:$W,MATCH($C249&amp;$I249&amp;$H249&amp;$N249&amp;$O249,APOIO_REDES!$W:$W,0),MATCH(AY$5,APOIO_REDES!$5:$5,0)),0)*$AP249,0)</f>
        <v>5.83951896464245</v>
      </c>
      <c r="AZ249" s="153" t="n">
        <f aca="false">IFERROR(IF($N249="VCA",INDEX(APOIO_REDES!$A:$W,MATCH($C249&amp;$I249&amp;$H249&amp;$N249&amp;$O249,APOIO_REDES!$W:$W,0),MATCH(AZ$5,APOIO_REDES!$5:$5,0)),0)*$AP249,0)</f>
        <v>0.808172548568283</v>
      </c>
      <c r="BA249" s="153" t="n">
        <f aca="false">IFERROR(IF(AND($N249="VCA",$Q249="LINEAR"),INDEX(APOIO_REDES!$A:$W,MATCH($C249&amp;$I249&amp;$H249&amp;$N249&amp;$O249,APOIO_REDES!$W:$W,0),MATCH(BA$5,APOIO_REDES!$5:$5,0)),IF(AND($N249="MND",$Q249="EMBOQUE"),INDEX(APOIO_REDES!$A:$W,MATCH($C249&amp;$I249&amp;$H249&amp;$N249&amp;$O249,APOIO_REDES!$W:$W,0),MATCH(BA$5,APOIO_REDES!$5:$5,0)),0))*$M249/10,0)</f>
        <v>3.05706232460107</v>
      </c>
      <c r="BB249" s="153" t="n">
        <f aca="false">IFERROR(IF($N249="VCA",INDEX(APOIO_REDES!$A:$W,MATCH($C249&amp;$I249&amp;$H249&amp;$N249&amp;$O249,APOIO_REDES!$W:$W,0),MATCH(BB$5,APOIO_REDES!$5:$5,0)),0)*($AI249+$AQ249+$AR249),0)</f>
        <v>11.2908345568426</v>
      </c>
      <c r="BC249" s="153" t="n">
        <f aca="false">IFERROR(IF($N249="VCA",INDEX(APOIO_REDES!$A:$W,MATCH($C249&amp;$I249&amp;$H249&amp;$N249&amp;$O249,APOIO_REDES!$W:$W,0),MATCH(BC$5,APOIO_REDES!$5:$5,0)),0)*($AI249+$AQ249+$AR249),0)</f>
        <v>0.124198943157452</v>
      </c>
      <c r="BD249" s="153" t="n">
        <f aca="false">IF(AND($N249="VCA",$AF249&gt;=1.25,$AF249&lt;1.5),$M249*$AF249*2,0)</f>
        <v>103.39718</v>
      </c>
      <c r="BE249" s="153" t="n">
        <f aca="false">IF(AND($N249="VCA",$AF249&gt;=1.5,$AF249&lt;3),$M249*$AF249*2,0)</f>
        <v>0</v>
      </c>
      <c r="BF249" s="153" t="n">
        <f aca="false">IF(AND($N249="VCA",$AF249&gt;=3),$M249*$AF249*2,0)</f>
        <v>0</v>
      </c>
      <c r="BG249" s="153" t="n">
        <f aca="false">($BB249+$BC249)*$AK249</f>
        <v>46.80163735</v>
      </c>
      <c r="BH249" s="153" t="n">
        <f aca="false">IF(AND($M249&lt;&gt;"",$N249="VCA",$Q249="LINEAR"),($M249*2)/100,IF(AND($M249&lt;&gt;"",$N249="MND",$Q249="EMBOQUE"),($AN249*2)/100,0))</f>
        <v>0.7586</v>
      </c>
      <c r="BI249" s="153" t="n">
        <f aca="false">IF(AND($M249&lt;&gt;"",$N249="VCA",$Q249="LINEAR"),$M249,IF(AND($M249&lt;&gt;"",$N249="MND",$Q249="EMBOQUE"),$AN249*2,0))</f>
        <v>37.93</v>
      </c>
      <c r="BJ249" s="153" t="n">
        <f aca="false">IF(AND($M249&lt;&gt;"",$N249="VCA",$Q249="LINEAR"),($M249*6.8)/100,IF(AND($M249&lt;&gt;"",$N249="MND",$Q249="EMBOQUE"),($AN249*2*6.8)/100,0))</f>
        <v>2.57924</v>
      </c>
      <c r="BK249" s="153" t="n">
        <f aca="false">IF(AND($M249&lt;&gt;"",$N249="VCA",$Q249="LINEAR"),($M249*2.5)/50,IF(AND($M249&lt;&gt;"",$N249="MND",$Q249="EMBOQUE"),($AN249*2*2.5)/50,0))</f>
        <v>1.8965</v>
      </c>
      <c r="BL249" s="157" t="str">
        <f aca="false">K249&amp;J249</f>
        <v>Zona02REDES</v>
      </c>
      <c r="BM249" s="152" t="s">
        <v>2037</v>
      </c>
      <c r="BN249" s="152" t="s">
        <v>1560</v>
      </c>
      <c r="BO249" s="152" t="s">
        <v>2231</v>
      </c>
      <c r="BP249" s="152" t="s">
        <v>2475</v>
      </c>
      <c r="BQ249" s="152" t="s">
        <v>2452</v>
      </c>
      <c r="BR249" s="152" t="s">
        <v>2476</v>
      </c>
      <c r="BS249" s="152" t="n">
        <v>202639.11</v>
      </c>
      <c r="BT249" s="152" t="n">
        <v>8237479.782</v>
      </c>
      <c r="BU249" s="152" t="n">
        <v>202639.676</v>
      </c>
      <c r="BV249" s="152" t="n">
        <v>8237517.702</v>
      </c>
      <c r="BW249" s="152" t="n">
        <v>-15.9239467</v>
      </c>
      <c r="BX249" s="152" t="n">
        <v>-47.7773098</v>
      </c>
      <c r="BY249" s="152" t="s">
        <v>2475</v>
      </c>
    </row>
    <row r="250" customFormat="false" ht="13.8" hidden="false" customHeight="false" outlineLevel="0" collapsed="false">
      <c r="A250" s="149" t="n">
        <f aca="false">IF(C250&lt;&gt;"",ROW(A245),"")</f>
        <v>245</v>
      </c>
      <c r="B250" s="150" t="str">
        <f aca="false">HYPERLINK("https://www.google.com/maps/dir/-15.917302,-47.760003/-15.9240316,-47.7786110/data=!4m3!4m2!3e0!5i2")</f>
        <v>https://www.google.com/maps/dir/-15.917302,-47.760003/-15.9240316,-47.7786110/data=!4m3!4m2!3e0!5i2</v>
      </c>
      <c r="C250" s="151" t="s">
        <v>117</v>
      </c>
      <c r="D250" s="152" t="s">
        <v>112</v>
      </c>
      <c r="E250" s="152" t="s">
        <v>113</v>
      </c>
      <c r="F250" s="152" t="s">
        <v>117</v>
      </c>
      <c r="G250" s="152" t="s">
        <v>782</v>
      </c>
      <c r="H250" s="152" t="n">
        <v>63</v>
      </c>
      <c r="I250" s="152" t="s">
        <v>115</v>
      </c>
      <c r="J250" s="152" t="s">
        <v>6</v>
      </c>
      <c r="K250" s="152" t="s">
        <v>2033</v>
      </c>
      <c r="L250" s="152" t="s">
        <v>120</v>
      </c>
      <c r="M250" s="153" t="n">
        <f aca="false">39.29</f>
        <v>39.29</v>
      </c>
      <c r="N250" s="152" t="s">
        <v>1548</v>
      </c>
      <c r="O250" s="152" t="s">
        <v>1549</v>
      </c>
      <c r="P250" s="152" t="s">
        <v>1550</v>
      </c>
      <c r="Q250" s="152" t="s">
        <v>1551</v>
      </c>
      <c r="R250" s="154" t="s">
        <v>2477</v>
      </c>
      <c r="S250" s="154" t="s">
        <v>1553</v>
      </c>
      <c r="T250" s="155" t="s">
        <v>2227</v>
      </c>
      <c r="U250" s="152" t="str">
        <f aca="false">RIGHT(T250,7)</f>
        <v>008/037</v>
      </c>
      <c r="V250" s="152" t="s">
        <v>1555</v>
      </c>
      <c r="W250" s="156" t="n">
        <v>45882</v>
      </c>
      <c r="X250" s="152" t="s">
        <v>1594</v>
      </c>
      <c r="Y250" s="152" t="s">
        <v>2400</v>
      </c>
      <c r="Z250" s="152" t="s">
        <v>1557</v>
      </c>
      <c r="AA250" s="153" t="n">
        <v>4.3</v>
      </c>
      <c r="AB250" s="151" t="s">
        <v>2478</v>
      </c>
      <c r="AC250" s="151" t="s">
        <v>186</v>
      </c>
      <c r="AD250" s="151" t="str">
        <f aca="false">CONCATENATE($C250,$I250,$H250,$N250,$J250,$K250)</f>
        <v>TUBO PEADPEAD63VCAREDESZona02</v>
      </c>
      <c r="AE250" s="153" t="n">
        <f aca="false">IFERROR(INDEX(APOIO_REDES!$A:$W,MATCH($C250&amp;$I250&amp;$H250&amp;$N250&amp;$O250,APOIO_REDES!$W:$W,0),MATCH(AE$5,APOIO_REDES!$5:$5,0)),0)</f>
        <v>1.2</v>
      </c>
      <c r="AF250" s="153" t="n">
        <f aca="false">IFERROR(INDEX(APOIO_REDES!$A:$W,MATCH($C250&amp;$I250&amp;$H250&amp;$N250&amp;$O250,APOIO_REDES!$W:$W,0),MATCH(AF$5,APOIO_REDES!$5:$5,0)),0)</f>
        <v>1.363</v>
      </c>
      <c r="AG250" s="153" t="n">
        <f aca="false">IFERROR(INDEX(APOIO_REDES!$A:$W,MATCH($C250&amp;$I250&amp;$H250&amp;$N250&amp;$O250,APOIO_REDES!$W:$W,0),MATCH(AG$5,APOIO_REDES!$5:$5,0)),0)</f>
        <v>0.65</v>
      </c>
      <c r="AH250" s="153" t="n">
        <f aca="false">IFERROR(INDEX(APOIO_REDES!$A:$W,MATCH($C250&amp;$I250&amp;$H250&amp;$N250&amp;$O250,APOIO_REDES!$W:$W,0),MATCH(AH$5,APOIO_REDES!$5:$5,0)),0)</f>
        <v>0.1</v>
      </c>
      <c r="AI250" s="153" t="n">
        <f aca="false">IFERROR(IF($H250&lt;&gt;"",(((($H250/1000)/2)^2)*PI()*$M250),0),0)</f>
        <v>0.122476568250507</v>
      </c>
      <c r="AJ250" s="153" t="n">
        <f aca="false">IFERROR(IF(AND($H250&lt;&gt;"",$I250="FoFo",OR($N250="MND",$N250="VCA"),$Q250="LINEAR"),0,IF(AND($H250&lt;&gt;"",$I250="PEAD",$N250="VCA",$Q250="LINEAR"),($H250/1000)+0.3,IF(AND($H250&lt;&gt;"",$I250="PEAD",$N250="MND",$Q250="EMBOQUE"),0,IF(AND($H250&lt;&gt;"",$I250="PVC",$N250="VCA",$Q250="LINEAR"),($H250/1000)+0.2,IF(AND($H250&lt;&gt;"",$I250="PVC",$N250="MND",$Q250="EMBOQUE"),0,IF(AND($H250&lt;&gt;"",$I250="PEAD",$N250="VCA",$Q250="PREDIAL"),0,0)))))),0)</f>
        <v>0.363</v>
      </c>
      <c r="AK250" s="153" t="n">
        <f aca="false">IF(AA250&lt;&gt;"",AA250,0)</f>
        <v>4.3</v>
      </c>
      <c r="AL250" s="153" t="n">
        <f aca="false">IF(AND($N250="MND",$Q250="EMBOQUE"),$M250,IF(AND($N250="VCA",$Q250="LINEAR"),$M250,IF(AND($N250="VCA",$Q250="PREDIAL"),0,0)))</f>
        <v>39.29</v>
      </c>
      <c r="AM250" s="153" t="n">
        <f aca="false">IF(AND($N250="MND",$Q250="EMBOQUE"),$M250,IF(AND($N250="VCA",$Q250="LINEAR"),$M250,IF(AND($N250="VCA",$Q250="PREDIAL"),0,0)))</f>
        <v>39.29</v>
      </c>
      <c r="AN250" s="153" t="n">
        <f aca="false">ROUND(IF(AND($N250="VCA",$M250&lt;&gt;"",$Q250="LINEAR"),$M250/100,IF(AND($N250="MND",$M250&gt;100,$Q250="EMBOQUE"),$M250/100,0)),0)</f>
        <v>0</v>
      </c>
      <c r="AO250" s="153" t="n">
        <f aca="false">IF(AND($N250="MND",$Q250="EMBOQUE"),$AN250*2*2,IF(AND($N250="VCA",$Q250="LINEAR"),$M250*2,IF(AND($N250="VCA",$Q250="PREDIAL"),0,0)))</f>
        <v>78.58</v>
      </c>
      <c r="AP250" s="153" t="n">
        <f aca="false">IFERROR($M250*$AF250*$AG250,0)</f>
        <v>34.8089755</v>
      </c>
      <c r="AQ250" s="153" t="n">
        <f aca="false">IFERROR(IF(AND($N250="VCA",$AH250&gt;0),$M250*$AG250*$AH250,0),0)</f>
        <v>2.55385</v>
      </c>
      <c r="AR250" s="153" t="n">
        <f aca="false">IFERROR(IF(AND($N250="VCA",$AJ250&gt;0),($M250*$AG250*$AJ250)-$AI250,0),0)</f>
        <v>9.14799893174949</v>
      </c>
      <c r="AS250" s="153" t="n">
        <f aca="false">IFERROR(IF(AND($N250="VCA",$AP250&gt;0),$AP250-$AI250-$AQ250-$AR250,0),0)</f>
        <v>22.98465</v>
      </c>
      <c r="AT250" s="153" t="n">
        <f aca="false">IFERROR(IF($N250="VCA",INDEX(APOIO_REDES!$A:$W,MATCH($C250&amp;$I250&amp;$H250&amp;$N250&amp;$O250,APOIO_REDES!$W:$W,0),MATCH(AT$5,APOIO_REDES!$5:$5,0)),0)*$AP250,0)</f>
        <v>0.378731956370836</v>
      </c>
      <c r="AU250" s="153" t="n">
        <f aca="false">IFERROR(IF($N250="VCA",INDEX(APOIO_REDES!$A:$W,MATCH($C250&amp;$I250&amp;$H250&amp;$N250&amp;$O250,APOIO_REDES!$W:$W,0),MATCH(AU$5,APOIO_REDES!$5:$5,0)),0)*$AP250,0)</f>
        <v>0.302445082995527</v>
      </c>
      <c r="AV250" s="153" t="n">
        <f aca="false">IFERROR(IF($N250="VCA",INDEX(APOIO_REDES!$A:$W,MATCH($C250&amp;$I250&amp;$H250&amp;$N250&amp;$O250,APOIO_REDES!$W:$W,0),MATCH(AV$5,APOIO_REDES!$5:$5,0)),0)*$AP250,0)</f>
        <v>0.0418560251995883</v>
      </c>
      <c r="AW250" s="153" t="n">
        <f aca="false">IFERROR(IF($N250="VCA",INDEX(APOIO_REDES!$A:$W,MATCH($C250&amp;$I250&amp;$H250&amp;$N250&amp;$O250,APOIO_REDES!$W:$W,0),MATCH(AW$5,APOIO_REDES!$5:$5,0)),0)*$AP250,0)</f>
        <v>23.8931504963035</v>
      </c>
      <c r="AX250" s="153" t="n">
        <f aca="false">IFERROR(IF($N250="VCA",INDEX(APOIO_REDES!$A:$W,MATCH($C250&amp;$I250&amp;$H250&amp;$N250&amp;$O250,APOIO_REDES!$W:$W,0),MATCH(AX$5,APOIO_REDES!$5:$5,0)),0)*$AP250,0)</f>
        <v>3.3067439677609</v>
      </c>
      <c r="AY250" s="153" t="n">
        <f aca="false">IFERROR(IF($N250="VCA",INDEX(APOIO_REDES!$A:$W,MATCH($C250&amp;$I250&amp;$H250&amp;$N250&amp;$O250,APOIO_REDES!$W:$W,0),MATCH(AY$5,APOIO_REDES!$5:$5,0)),0)*$AP250,0)</f>
        <v>6.0488979731295</v>
      </c>
      <c r="AZ250" s="153" t="n">
        <f aca="false">IFERROR(IF($N250="VCA",INDEX(APOIO_REDES!$A:$W,MATCH($C250&amp;$I250&amp;$H250&amp;$N250&amp;$O250,APOIO_REDES!$W:$W,0),MATCH(AZ$5,APOIO_REDES!$5:$5,0)),0)*$AP250,0)</f>
        <v>0.837149998240122</v>
      </c>
      <c r="BA250" s="153" t="n">
        <f aca="false">IFERROR(IF(AND($N250="VCA",$Q250="LINEAR"),INDEX(APOIO_REDES!$A:$W,MATCH($C250&amp;$I250&amp;$H250&amp;$N250&amp;$O250,APOIO_REDES!$W:$W,0),MATCH(BA$5,APOIO_REDES!$5:$5,0)),IF(AND($N250="MND",$Q250="EMBOQUE"),INDEX(APOIO_REDES!$A:$W,MATCH($C250&amp;$I250&amp;$H250&amp;$N250&amp;$O250,APOIO_REDES!$W:$W,0),MATCH(BA$5,APOIO_REDES!$5:$5,0)),0))*$M250/10,0)</f>
        <v>3.16667489410957</v>
      </c>
      <c r="BB250" s="153" t="n">
        <f aca="false">IFERROR(IF($N250="VCA",INDEX(APOIO_REDES!$A:$W,MATCH($C250&amp;$I250&amp;$H250&amp;$N250&amp;$O250,APOIO_REDES!$W:$W,0),MATCH(BB$5,APOIO_REDES!$5:$5,0)),0)*($AI250+$AQ250+$AR250),0)</f>
        <v>11.6956733387383</v>
      </c>
      <c r="BC250" s="153" t="n">
        <f aca="false">IFERROR(IF($N250="VCA",INDEX(APOIO_REDES!$A:$W,MATCH($C250&amp;$I250&amp;$H250&amp;$N250&amp;$O250,APOIO_REDES!$W:$W,0),MATCH(BC$5,APOIO_REDES!$5:$5,0)),0)*($AI250+$AQ250+$AR250),0)</f>
        <v>0.1286521612617</v>
      </c>
      <c r="BD250" s="153" t="n">
        <f aca="false">IF(AND($N250="VCA",$AF250&gt;=1.25,$AF250&lt;1.5),$M250*$AF250*2,0)</f>
        <v>107.10454</v>
      </c>
      <c r="BE250" s="153" t="n">
        <f aca="false">IF(AND($N250="VCA",$AF250&gt;=1.5,$AF250&lt;3),$M250*$AF250*2,0)</f>
        <v>0</v>
      </c>
      <c r="BF250" s="153" t="n">
        <f aca="false">IF(AND($N250="VCA",$AF250&gt;=3),$M250*$AF250*2,0)</f>
        <v>0</v>
      </c>
      <c r="BG250" s="153" t="n">
        <f aca="false">($BB250+$BC250)*$AK250</f>
        <v>50.84459965</v>
      </c>
      <c r="BH250" s="153" t="n">
        <f aca="false">IF(AND($M250&lt;&gt;"",$N250="VCA",$Q250="LINEAR"),($M250*2)/100,IF(AND($M250&lt;&gt;"",$N250="MND",$Q250="EMBOQUE"),($AN250*2)/100,0))</f>
        <v>0.7858</v>
      </c>
      <c r="BI250" s="153" t="n">
        <f aca="false">IF(AND($M250&lt;&gt;"",$N250="VCA",$Q250="LINEAR"),$M250,IF(AND($M250&lt;&gt;"",$N250="MND",$Q250="EMBOQUE"),$AN250*2,0))</f>
        <v>39.29</v>
      </c>
      <c r="BJ250" s="153" t="n">
        <f aca="false">IF(AND($M250&lt;&gt;"",$N250="VCA",$Q250="LINEAR"),($M250*6.8)/100,IF(AND($M250&lt;&gt;"",$N250="MND",$Q250="EMBOQUE"),($AN250*2*6.8)/100,0))</f>
        <v>2.67172</v>
      </c>
      <c r="BK250" s="153" t="n">
        <f aca="false">IF(AND($M250&lt;&gt;"",$N250="VCA",$Q250="LINEAR"),($M250*2.5)/50,IF(AND($M250&lt;&gt;"",$N250="MND",$Q250="EMBOQUE"),($AN250*2*2.5)/50,0))</f>
        <v>1.9645</v>
      </c>
      <c r="BL250" s="157" t="str">
        <f aca="false">K250&amp;J250</f>
        <v>Zona02REDES</v>
      </c>
      <c r="BM250" s="152" t="s">
        <v>2037</v>
      </c>
      <c r="BN250" s="152" t="s">
        <v>1560</v>
      </c>
      <c r="BO250" s="152" t="s">
        <v>2231</v>
      </c>
      <c r="BP250" s="152" t="s">
        <v>2467</v>
      </c>
      <c r="BQ250" s="152" t="s">
        <v>2471</v>
      </c>
      <c r="BR250" s="152" t="s">
        <v>2468</v>
      </c>
      <c r="BS250" s="152" t="n">
        <v>202500.235</v>
      </c>
      <c r="BT250" s="152" t="n">
        <v>8237487.488</v>
      </c>
      <c r="BU250" s="152" t="n">
        <v>202539.059</v>
      </c>
      <c r="BV250" s="152" t="n">
        <v>8237493.517</v>
      </c>
      <c r="BW250" s="152" t="n">
        <v>-15.9240067</v>
      </c>
      <c r="BX250" s="152" t="n">
        <v>-47.7784295</v>
      </c>
      <c r="BY250" s="152" t="s">
        <v>2467</v>
      </c>
    </row>
    <row r="251" customFormat="false" ht="13.8" hidden="false" customHeight="false" outlineLevel="0" collapsed="false">
      <c r="A251" s="149" t="n">
        <f aca="false">IF(C251&lt;&gt;"",ROW(A246),"")</f>
        <v>246</v>
      </c>
      <c r="B251" s="150" t="str">
        <f aca="false">HYPERLINK("https://www.google.com/maps/dir/-15.917302,-47.760003/-15.9238152,-47.7757762/data=!4m3!4m2!3e0!5i2")</f>
        <v>https://www.google.com/maps/dir/-15.917302,-47.760003/-15.9238152,-47.7757762/data=!4m3!4m2!3e0!5i2</v>
      </c>
      <c r="C251" s="151" t="s">
        <v>117</v>
      </c>
      <c r="D251" s="152" t="s">
        <v>112</v>
      </c>
      <c r="E251" s="152" t="s">
        <v>113</v>
      </c>
      <c r="F251" s="152" t="s">
        <v>117</v>
      </c>
      <c r="G251" s="152" t="s">
        <v>114</v>
      </c>
      <c r="H251" s="152" t="n">
        <v>160</v>
      </c>
      <c r="I251" s="152" t="s">
        <v>115</v>
      </c>
      <c r="J251" s="152" t="s">
        <v>6</v>
      </c>
      <c r="K251" s="152" t="s">
        <v>2033</v>
      </c>
      <c r="L251" s="152" t="s">
        <v>120</v>
      </c>
      <c r="M251" s="153" t="n">
        <f aca="false">79.36</f>
        <v>79.36</v>
      </c>
      <c r="N251" s="152" t="s">
        <v>1548</v>
      </c>
      <c r="O251" s="152" t="s">
        <v>1549</v>
      </c>
      <c r="P251" s="152" t="s">
        <v>1550</v>
      </c>
      <c r="Q251" s="152" t="s">
        <v>1551</v>
      </c>
      <c r="R251" s="154" t="s">
        <v>2479</v>
      </c>
      <c r="S251" s="154" t="s">
        <v>1593</v>
      </c>
      <c r="T251" s="155" t="s">
        <v>2227</v>
      </c>
      <c r="U251" s="152" t="str">
        <f aca="false">RIGHT(T251,7)</f>
        <v>008/037</v>
      </c>
      <c r="V251" s="152" t="s">
        <v>1555</v>
      </c>
      <c r="W251" s="156" t="n">
        <v>45882</v>
      </c>
      <c r="X251" s="152" t="s">
        <v>1594</v>
      </c>
      <c r="Y251" s="152" t="s">
        <v>2387</v>
      </c>
      <c r="Z251" s="152" t="s">
        <v>1557</v>
      </c>
      <c r="AA251" s="153" t="n">
        <v>3.9</v>
      </c>
      <c r="AB251" s="151" t="s">
        <v>2480</v>
      </c>
      <c r="AC251" s="151" t="s">
        <v>505</v>
      </c>
      <c r="AD251" s="151" t="str">
        <f aca="false">CONCATENATE($C251,$I251,$H251,$N251,$J251,$K251)</f>
        <v>TUBO PEADPEAD160VCAREDESZona02</v>
      </c>
      <c r="AE251" s="153" t="n">
        <f aca="false">IFERROR(INDEX(APOIO_REDES!$A:$W,MATCH($C251&amp;$I251&amp;$H251&amp;$N251&amp;$O251,APOIO_REDES!$W:$W,0),MATCH(AE$5,APOIO_REDES!$5:$5,0)),0)</f>
        <v>1.2</v>
      </c>
      <c r="AF251" s="153" t="n">
        <f aca="false">IFERROR(INDEX(APOIO_REDES!$A:$W,MATCH($C251&amp;$I251&amp;$H251&amp;$N251&amp;$O251,APOIO_REDES!$W:$W,0),MATCH(AF$5,APOIO_REDES!$5:$5,0)),0)</f>
        <v>1.46</v>
      </c>
      <c r="AG251" s="153" t="n">
        <f aca="false">IFERROR(INDEX(APOIO_REDES!$A:$W,MATCH($C251&amp;$I251&amp;$H251&amp;$N251&amp;$O251,APOIO_REDES!$W:$W,0),MATCH(AG$5,APOIO_REDES!$5:$5,0)),0)</f>
        <v>0.75</v>
      </c>
      <c r="AH251" s="153" t="n">
        <f aca="false">IFERROR(INDEX(APOIO_REDES!$A:$W,MATCH($C251&amp;$I251&amp;$H251&amp;$N251&amp;$O251,APOIO_REDES!$W:$W,0),MATCH(AH$5,APOIO_REDES!$5:$5,0)),0)</f>
        <v>0.1</v>
      </c>
      <c r="AI251" s="153" t="n">
        <f aca="false">IFERROR(IF($H251&lt;&gt;"",(((($H251/1000)/2)^2)*PI()*$M251),0),0)</f>
        <v>1.59562747512887</v>
      </c>
      <c r="AJ251" s="153" t="n">
        <f aca="false">IFERROR(IF(AND($H251&lt;&gt;"",$I251="FoFo",OR($N251="MND",$N251="VCA"),$Q251="LINEAR"),0,IF(AND($H251&lt;&gt;"",$I251="PEAD",$N251="VCA",$Q251="LINEAR"),($H251/1000)+0.3,IF(AND($H251&lt;&gt;"",$I251="PEAD",$N251="MND",$Q251="EMBOQUE"),0,IF(AND($H251&lt;&gt;"",$I251="PVC",$N251="VCA",$Q251="LINEAR"),($H251/1000)+0.2,IF(AND($H251&lt;&gt;"",$I251="PVC",$N251="MND",$Q251="EMBOQUE"),0,IF(AND($H251&lt;&gt;"",$I251="PEAD",$N251="VCA",$Q251="PREDIAL"),0,0)))))),0)</f>
        <v>0.46</v>
      </c>
      <c r="AK251" s="153" t="n">
        <f aca="false">IF(AA251&lt;&gt;"",AA251,0)</f>
        <v>3.9</v>
      </c>
      <c r="AL251" s="153" t="n">
        <f aca="false">IF(AND($N251="MND",$Q251="EMBOQUE"),$M251,IF(AND($N251="VCA",$Q251="LINEAR"),$M251,IF(AND($N251="VCA",$Q251="PREDIAL"),0,0)))</f>
        <v>79.36</v>
      </c>
      <c r="AM251" s="153" t="n">
        <f aca="false">IF(AND($N251="MND",$Q251="EMBOQUE"),$M251,IF(AND($N251="VCA",$Q251="LINEAR"),$M251,IF(AND($N251="VCA",$Q251="PREDIAL"),0,0)))</f>
        <v>79.36</v>
      </c>
      <c r="AN251" s="153" t="n">
        <f aca="false">ROUND(IF(AND($N251="VCA",$M251&lt;&gt;"",$Q251="LINEAR"),$M251/100,IF(AND($N251="MND",$M251&gt;100,$Q251="EMBOQUE"),$M251/100,0)),0)</f>
        <v>1</v>
      </c>
      <c r="AO251" s="153" t="n">
        <f aca="false">IF(AND($N251="MND",$Q251="EMBOQUE"),$AN251*2*2,IF(AND($N251="VCA",$Q251="LINEAR"),$M251*2,IF(AND($N251="VCA",$Q251="PREDIAL"),0,0)))</f>
        <v>158.72</v>
      </c>
      <c r="AP251" s="153" t="n">
        <f aca="false">IFERROR($M251*$AF251*$AG251,0)</f>
        <v>86.8992</v>
      </c>
      <c r="AQ251" s="153" t="n">
        <f aca="false">IFERROR(IF(AND($N251="VCA",$AH251&gt;0),$M251*$AG251*$AH251,0),0)</f>
        <v>5.952</v>
      </c>
      <c r="AR251" s="153" t="n">
        <f aca="false">IFERROR(IF(AND($N251="VCA",$AJ251&gt;0),($M251*$AG251*$AJ251)-$AI251,0),0)</f>
        <v>25.7835725248711</v>
      </c>
      <c r="AS251" s="153" t="n">
        <f aca="false">IFERROR(IF(AND($N251="VCA",$AP251&gt;0),$AP251-$AI251-$AQ251-$AR251,0),0)</f>
        <v>53.568</v>
      </c>
      <c r="AT251" s="153" t="n">
        <f aca="false">IFERROR(IF($N251="VCA",INDEX(APOIO_REDES!$A:$W,MATCH($C251&amp;$I251&amp;$H251&amp;$N251&amp;$O251,APOIO_REDES!$W:$W,0),MATCH(AT$5,APOIO_REDES!$5:$5,0)),0)*$AP251,0)</f>
        <v>0.945489016850282</v>
      </c>
      <c r="AU251" s="153" t="n">
        <f aca="false">IFERROR(IF($N251="VCA",INDEX(APOIO_REDES!$A:$W,MATCH($C251&amp;$I251&amp;$H251&amp;$N251&amp;$O251,APOIO_REDES!$W:$W,0),MATCH(AU$5,APOIO_REDES!$5:$5,0)),0)*$AP251,0)</f>
        <v>0.755041921766555</v>
      </c>
      <c r="AV251" s="153" t="n">
        <f aca="false">IFERROR(IF($N251="VCA",INDEX(APOIO_REDES!$A:$W,MATCH($C251&amp;$I251&amp;$H251&amp;$N251&amp;$O251,APOIO_REDES!$W:$W,0),MATCH(AV$5,APOIO_REDES!$5:$5,0)),0)*$AP251,0)</f>
        <v>0.104491874661007</v>
      </c>
      <c r="AW251" s="153" t="n">
        <f aca="false">IFERROR(IF($N251="VCA",INDEX(APOIO_REDES!$A:$W,MATCH($C251&amp;$I251&amp;$H251&amp;$N251&amp;$O251,APOIO_REDES!$W:$W,0),MATCH(AW$5,APOIO_REDES!$5:$5,0)),0)*$AP251,0)</f>
        <v>59.6482842078584</v>
      </c>
      <c r="AX251" s="153" t="n">
        <f aca="false">IFERROR(IF($N251="VCA",INDEX(APOIO_REDES!$A:$W,MATCH($C251&amp;$I251&amp;$H251&amp;$N251&amp;$O251,APOIO_REDES!$W:$W,0),MATCH(AX$5,APOIO_REDES!$5:$5,0)),0)*$AP251,0)</f>
        <v>8.2551526230138</v>
      </c>
      <c r="AY251" s="153" t="n">
        <f aca="false">IFERROR(IF($N251="VCA",INDEX(APOIO_REDES!$A:$W,MATCH($C251&amp;$I251&amp;$H251&amp;$N251&amp;$O251,APOIO_REDES!$W:$W,0),MATCH(AY$5,APOIO_REDES!$5:$5,0)),0)*$AP251,0)</f>
        <v>15.1008292314313</v>
      </c>
      <c r="AZ251" s="153" t="n">
        <f aca="false">IFERROR(IF($N251="VCA",INDEX(APOIO_REDES!$A:$W,MATCH($C251&amp;$I251&amp;$H251&amp;$N251&amp;$O251,APOIO_REDES!$W:$W,0),MATCH(AZ$5,APOIO_REDES!$5:$5,0)),0)*$AP251,0)</f>
        <v>2.0899111244187</v>
      </c>
      <c r="BA251" s="153" t="n">
        <f aca="false">IFERROR(IF(AND($N251="VCA",$Q251="LINEAR"),INDEX(APOIO_REDES!$A:$W,MATCH($C251&amp;$I251&amp;$H251&amp;$N251&amp;$O251,APOIO_REDES!$W:$W,0),MATCH(BA$5,APOIO_REDES!$5:$5,0)),IF(AND($N251="MND",$Q251="EMBOQUE"),INDEX(APOIO_REDES!$A:$W,MATCH($C251&amp;$I251&amp;$H251&amp;$N251&amp;$O251,APOIO_REDES!$W:$W,0),MATCH(BA$5,APOIO_REDES!$5:$5,0)),0))*$M251/10,0)</f>
        <v>6.39621582073136</v>
      </c>
      <c r="BB251" s="153" t="n">
        <f aca="false">IFERROR(IF($N251="VCA",INDEX(APOIO_REDES!$A:$W,MATCH($C251&amp;$I251&amp;$H251&amp;$N251&amp;$O251,APOIO_REDES!$W:$W,0),MATCH(BB$5,APOIO_REDES!$5:$5,0)),0)*($AI251+$AQ251+$AR251),0)</f>
        <v>32.9685466784684</v>
      </c>
      <c r="BC251" s="153" t="n">
        <f aca="false">IFERROR(IF($N251="VCA",INDEX(APOIO_REDES!$A:$W,MATCH($C251&amp;$I251&amp;$H251&amp;$N251&amp;$O251,APOIO_REDES!$W:$W,0),MATCH(BC$5,APOIO_REDES!$5:$5,0)),0)*($AI251+$AQ251+$AR251),0)</f>
        <v>0.362653321531615</v>
      </c>
      <c r="BD251" s="153" t="n">
        <f aca="false">IF(AND($N251="VCA",$AF251&gt;=1.25,$AF251&lt;1.5),$M251*$AF251*2,0)</f>
        <v>231.7312</v>
      </c>
      <c r="BE251" s="153" t="n">
        <f aca="false">IF(AND($N251="VCA",$AF251&gt;=1.5,$AF251&lt;3),$M251*$AF251*2,0)</f>
        <v>0</v>
      </c>
      <c r="BF251" s="153" t="n">
        <f aca="false">IF(AND($N251="VCA",$AF251&gt;=3),$M251*$AF251*2,0)</f>
        <v>0</v>
      </c>
      <c r="BG251" s="153" t="n">
        <f aca="false">($BB251+$BC251)*$AK251</f>
        <v>129.99168</v>
      </c>
      <c r="BH251" s="153" t="n">
        <f aca="false">IF(AND($M251&lt;&gt;"",$N251="VCA",$Q251="LINEAR"),($M251*2)/100,IF(AND($M251&lt;&gt;"",$N251="MND",$Q251="EMBOQUE"),($AN251*2)/100,0))</f>
        <v>1.5872</v>
      </c>
      <c r="BI251" s="153" t="n">
        <f aca="false">IF(AND($M251&lt;&gt;"",$N251="VCA",$Q251="LINEAR"),$M251,IF(AND($M251&lt;&gt;"",$N251="MND",$Q251="EMBOQUE"),$AN251*2,0))</f>
        <v>79.36</v>
      </c>
      <c r="BJ251" s="153" t="n">
        <f aca="false">IF(AND($M251&lt;&gt;"",$N251="VCA",$Q251="LINEAR"),($M251*6.8)/100,IF(AND($M251&lt;&gt;"",$N251="MND",$Q251="EMBOQUE"),($AN251*2*6.8)/100,0))</f>
        <v>5.39648</v>
      </c>
      <c r="BK251" s="153" t="n">
        <f aca="false">IF(AND($M251&lt;&gt;"",$N251="VCA",$Q251="LINEAR"),($M251*2.5)/50,IF(AND($M251&lt;&gt;"",$N251="MND",$Q251="EMBOQUE"),($AN251*2*2.5)/50,0))</f>
        <v>3.968</v>
      </c>
      <c r="BL251" s="157" t="str">
        <f aca="false">K251&amp;J251</f>
        <v>Zona02REDES</v>
      </c>
      <c r="BM251" s="152" t="s">
        <v>2037</v>
      </c>
      <c r="BN251" s="152" t="s">
        <v>1560</v>
      </c>
      <c r="BO251" s="152" t="s">
        <v>2231</v>
      </c>
      <c r="BP251" s="152" t="s">
        <v>2460</v>
      </c>
      <c r="BQ251" s="152" t="s">
        <v>2481</v>
      </c>
      <c r="BR251" s="152" t="s">
        <v>2461</v>
      </c>
      <c r="BS251" s="152" t="n">
        <v>202803.916</v>
      </c>
      <c r="BT251" s="152" t="n">
        <v>8237515.298</v>
      </c>
      <c r="BU251" s="152" t="n">
        <v>202792.636</v>
      </c>
      <c r="BV251" s="152" t="n">
        <v>8237444.363</v>
      </c>
      <c r="BW251" s="152" t="n">
        <v>-15.9241144</v>
      </c>
      <c r="BX251" s="152" t="n">
        <v>-47.775959</v>
      </c>
      <c r="BY251" s="152" t="s">
        <v>2460</v>
      </c>
    </row>
    <row r="252" customFormat="false" ht="13.8" hidden="false" customHeight="false" outlineLevel="0" collapsed="false">
      <c r="A252" s="149" t="n">
        <f aca="false">IF(C252&lt;&gt;"",ROW(A247),"")</f>
        <v>247</v>
      </c>
      <c r="B252" s="150" t="str">
        <f aca="false">HYPERLINK("https://www.google.com/maps/dir/-15.917302,-47.760003/-15.9235637,-47.7760944/data=!4m3!4m2!3e0!5i2")</f>
        <v>https://www.google.com/maps/dir/-15.917302,-47.760003/-15.9235637,-47.7760944/data=!4m3!4m2!3e0!5i2</v>
      </c>
      <c r="C252" s="151" t="s">
        <v>117</v>
      </c>
      <c r="D252" s="152" t="s">
        <v>112</v>
      </c>
      <c r="E252" s="152" t="s">
        <v>113</v>
      </c>
      <c r="F252" s="152" t="s">
        <v>117</v>
      </c>
      <c r="G252" s="152" t="s">
        <v>782</v>
      </c>
      <c r="H252" s="152" t="n">
        <v>90</v>
      </c>
      <c r="I252" s="152" t="s">
        <v>115</v>
      </c>
      <c r="J252" s="152" t="s">
        <v>6</v>
      </c>
      <c r="K252" s="152" t="s">
        <v>2033</v>
      </c>
      <c r="L252" s="152" t="s">
        <v>120</v>
      </c>
      <c r="M252" s="153" t="n">
        <f aca="false">163.42</f>
        <v>163.42</v>
      </c>
      <c r="N252" s="152" t="s">
        <v>1548</v>
      </c>
      <c r="O252" s="152" t="s">
        <v>1549</v>
      </c>
      <c r="P252" s="152" t="s">
        <v>1550</v>
      </c>
      <c r="Q252" s="152" t="s">
        <v>1551</v>
      </c>
      <c r="R252" s="154" t="s">
        <v>2482</v>
      </c>
      <c r="S252" s="154" t="s">
        <v>1593</v>
      </c>
      <c r="T252" s="155" t="s">
        <v>2227</v>
      </c>
      <c r="U252" s="152" t="str">
        <f aca="false">RIGHT(T252,7)</f>
        <v>008/037</v>
      </c>
      <c r="V252" s="152" t="s">
        <v>1555</v>
      </c>
      <c r="W252" s="156" t="n">
        <v>45882</v>
      </c>
      <c r="X252" s="152" t="s">
        <v>1594</v>
      </c>
      <c r="Y252" s="152" t="s">
        <v>2387</v>
      </c>
      <c r="Z252" s="152" t="s">
        <v>1557</v>
      </c>
      <c r="AA252" s="153" t="n">
        <v>3.9</v>
      </c>
      <c r="AB252" s="151" t="s">
        <v>2483</v>
      </c>
      <c r="AC252" s="151" t="s">
        <v>526</v>
      </c>
      <c r="AD252" s="151" t="str">
        <f aca="false">CONCATENATE($C252,$I252,$H252,$N252,$J252,$K252)</f>
        <v>TUBO PEADPEAD90VCAREDESZona02</v>
      </c>
      <c r="AE252" s="153" t="n">
        <f aca="false">IFERROR(INDEX(APOIO_REDES!$A:$W,MATCH($C252&amp;$I252&amp;$H252&amp;$N252&amp;$O252,APOIO_REDES!$W:$W,0),MATCH(AE$5,APOIO_REDES!$5:$5,0)),0)</f>
        <v>1.2</v>
      </c>
      <c r="AF252" s="153" t="n">
        <f aca="false">IFERROR(INDEX(APOIO_REDES!$A:$W,MATCH($C252&amp;$I252&amp;$H252&amp;$N252&amp;$O252,APOIO_REDES!$W:$W,0),MATCH(AF$5,APOIO_REDES!$5:$5,0)),0)</f>
        <v>1.39</v>
      </c>
      <c r="AG252" s="153" t="n">
        <f aca="false">IFERROR(INDEX(APOIO_REDES!$A:$W,MATCH($C252&amp;$I252&amp;$H252&amp;$N252&amp;$O252,APOIO_REDES!$W:$W,0),MATCH(AG$5,APOIO_REDES!$5:$5,0)),0)</f>
        <v>0.75</v>
      </c>
      <c r="AH252" s="153" t="n">
        <f aca="false">IFERROR(INDEX(APOIO_REDES!$A:$W,MATCH($C252&amp;$I252&amp;$H252&amp;$N252&amp;$O252,APOIO_REDES!$W:$W,0),MATCH(AH$5,APOIO_REDES!$5:$5,0)),0)</f>
        <v>0.1</v>
      </c>
      <c r="AI252" s="153" t="n">
        <f aca="false">IFERROR(IF($H252&lt;&gt;"",(((($H252/1000)/2)^2)*PI()*$M252),0),0)</f>
        <v>1.03963311968553</v>
      </c>
      <c r="AJ252" s="153" t="n">
        <f aca="false">IFERROR(IF(AND($H252&lt;&gt;"",$I252="FoFo",OR($N252="MND",$N252="VCA"),$Q252="LINEAR"),0,IF(AND($H252&lt;&gt;"",$I252="PEAD",$N252="VCA",$Q252="LINEAR"),($H252/1000)+0.3,IF(AND($H252&lt;&gt;"",$I252="PEAD",$N252="MND",$Q252="EMBOQUE"),0,IF(AND($H252&lt;&gt;"",$I252="PVC",$N252="VCA",$Q252="LINEAR"),($H252/1000)+0.2,IF(AND($H252&lt;&gt;"",$I252="PVC",$N252="MND",$Q252="EMBOQUE"),0,IF(AND($H252&lt;&gt;"",$I252="PEAD",$N252="VCA",$Q252="PREDIAL"),0,0)))))),0)</f>
        <v>0.39</v>
      </c>
      <c r="AK252" s="153" t="n">
        <f aca="false">IF(AA252&lt;&gt;"",AA252,0)</f>
        <v>3.9</v>
      </c>
      <c r="AL252" s="153" t="n">
        <f aca="false">IF(AND($N252="MND",$Q252="EMBOQUE"),$M252,IF(AND($N252="VCA",$Q252="LINEAR"),$M252,IF(AND($N252="VCA",$Q252="PREDIAL"),0,0)))</f>
        <v>163.42</v>
      </c>
      <c r="AM252" s="153" t="n">
        <f aca="false">IF(AND($N252="MND",$Q252="EMBOQUE"),$M252,IF(AND($N252="VCA",$Q252="LINEAR"),$M252,IF(AND($N252="VCA",$Q252="PREDIAL"),0,0)))</f>
        <v>163.42</v>
      </c>
      <c r="AN252" s="153" t="n">
        <f aca="false">ROUND(IF(AND($N252="VCA",$M252&lt;&gt;"",$Q252="LINEAR"),$M252/100,IF(AND($N252="MND",$M252&gt;100,$Q252="EMBOQUE"),$M252/100,0)),0)</f>
        <v>2</v>
      </c>
      <c r="AO252" s="153" t="n">
        <f aca="false">IF(AND($N252="MND",$Q252="EMBOQUE"),$AN252*2*2,IF(AND($N252="VCA",$Q252="LINEAR"),$M252*2,IF(AND($N252="VCA",$Q252="PREDIAL"),0,0)))</f>
        <v>326.84</v>
      </c>
      <c r="AP252" s="153" t="n">
        <f aca="false">IFERROR($M252*$AF252*$AG252,0)</f>
        <v>170.36535</v>
      </c>
      <c r="AQ252" s="153" t="n">
        <f aca="false">IFERROR(IF(AND($N252="VCA",$AH252&gt;0),$M252*$AG252*$AH252,0),0)</f>
        <v>12.2565</v>
      </c>
      <c r="AR252" s="153" t="n">
        <f aca="false">IFERROR(IF(AND($N252="VCA",$AJ252&gt;0),($M252*$AG252*$AJ252)-$AI252,0),0)</f>
        <v>46.7607168803145</v>
      </c>
      <c r="AS252" s="153" t="n">
        <f aca="false">IFERROR(IF(AND($N252="VCA",$AP252&gt;0),$AP252-$AI252-$AQ252-$AR252,0),0)</f>
        <v>110.3085</v>
      </c>
      <c r="AT252" s="153" t="n">
        <f aca="false">IFERROR(IF($N252="VCA",INDEX(APOIO_REDES!$A:$W,MATCH($C252&amp;$I252&amp;$H252&amp;$N252&amp;$O252,APOIO_REDES!$W:$W,0),MATCH(AT$5,APOIO_REDES!$5:$5,0)),0)*$AP252,0)</f>
        <v>1.85362543356963</v>
      </c>
      <c r="AU252" s="153" t="n">
        <f aca="false">IFERROR(IF($N252="VCA",INDEX(APOIO_REDES!$A:$W,MATCH($C252&amp;$I252&amp;$H252&amp;$N252&amp;$O252,APOIO_REDES!$W:$W,0),MATCH(AU$5,APOIO_REDES!$5:$5,0)),0)*$AP252,0)</f>
        <v>1.48025506870526</v>
      </c>
      <c r="AV252" s="153" t="n">
        <f aca="false">IFERROR(IF($N252="VCA",INDEX(APOIO_REDES!$A:$W,MATCH($C252&amp;$I252&amp;$H252&amp;$N252&amp;$O252,APOIO_REDES!$W:$W,0),MATCH(AV$5,APOIO_REDES!$5:$5,0)),0)*$AP252,0)</f>
        <v>0.204855681050902</v>
      </c>
      <c r="AW252" s="153" t="n">
        <f aca="false">IFERROR(IF($N252="VCA",INDEX(APOIO_REDES!$A:$W,MATCH($C252&amp;$I252&amp;$H252&amp;$N252&amp;$O252,APOIO_REDES!$W:$W,0),MATCH(AW$5,APOIO_REDES!$5:$5,0)),0)*$AP252,0)</f>
        <v>116.940096295147</v>
      </c>
      <c r="AX252" s="153" t="n">
        <f aca="false">IFERROR(IF($N252="VCA",INDEX(APOIO_REDES!$A:$W,MATCH($C252&amp;$I252&amp;$H252&amp;$N252&amp;$O252,APOIO_REDES!$W:$W,0),MATCH(AX$5,APOIO_REDES!$5:$5,0)),0)*$AP252,0)</f>
        <v>16.1841762170787</v>
      </c>
      <c r="AY252" s="153" t="n">
        <f aca="false">IFERROR(IF($N252="VCA",INDEX(APOIO_REDES!$A:$W,MATCH($C252&amp;$I252&amp;$H252&amp;$N252&amp;$O252,APOIO_REDES!$W:$W,0),MATCH(AY$5,APOIO_REDES!$5:$5,0)),0)*$AP252,0)</f>
        <v>29.6050833299158</v>
      </c>
      <c r="AZ252" s="153" t="n">
        <f aca="false">IFERROR(IF($N252="VCA",INDEX(APOIO_REDES!$A:$W,MATCH($C252&amp;$I252&amp;$H252&amp;$N252&amp;$O252,APOIO_REDES!$W:$W,0),MATCH(AZ$5,APOIO_REDES!$5:$5,0)),0)*$AP252,0)</f>
        <v>4.09725797453239</v>
      </c>
      <c r="BA252" s="153" t="n">
        <f aca="false">IFERROR(IF(AND($N252="VCA",$Q252="LINEAR"),INDEX(APOIO_REDES!$A:$W,MATCH($C252&amp;$I252&amp;$H252&amp;$N252&amp;$O252,APOIO_REDES!$W:$W,0),MATCH(BA$5,APOIO_REDES!$5:$5,0)),IF(AND($N252="MND",$Q252="EMBOQUE"),INDEX(APOIO_REDES!$A:$W,MATCH($C252&amp;$I252&amp;$H252&amp;$N252&amp;$O252,APOIO_REDES!$W:$W,0),MATCH(BA$5,APOIO_REDES!$5:$5,0)),0))*$M252/10,0)</f>
        <v>13.1712397860877</v>
      </c>
      <c r="BB252" s="153" t="n">
        <f aca="false">IFERROR(IF($N252="VCA",INDEX(APOIO_REDES!$A:$W,MATCH($C252&amp;$I252&amp;$H252&amp;$N252&amp;$O252,APOIO_REDES!$W:$W,0),MATCH(BB$5,APOIO_REDES!$5:$5,0)),0)*($AI252+$AQ252+$AR252),0)</f>
        <v>59.4034136960798</v>
      </c>
      <c r="BC252" s="153" t="n">
        <f aca="false">IFERROR(IF($N252="VCA",INDEX(APOIO_REDES!$A:$W,MATCH($C252&amp;$I252&amp;$H252&amp;$N252&amp;$O252,APOIO_REDES!$W:$W,0),MATCH(BC$5,APOIO_REDES!$5:$5,0)),0)*($AI252+$AQ252+$AR252),0)</f>
        <v>0.65343630392023</v>
      </c>
      <c r="BD252" s="153" t="n">
        <f aca="false">IF(AND($N252="VCA",$AF252&gt;=1.25,$AF252&lt;1.5),$M252*$AF252*2,0)</f>
        <v>454.3076</v>
      </c>
      <c r="BE252" s="153" t="n">
        <f aca="false">IF(AND($N252="VCA",$AF252&gt;=1.5,$AF252&lt;3),$M252*$AF252*2,0)</f>
        <v>0</v>
      </c>
      <c r="BF252" s="153" t="n">
        <f aca="false">IF(AND($N252="VCA",$AF252&gt;=3),$M252*$AF252*2,0)</f>
        <v>0</v>
      </c>
      <c r="BG252" s="153" t="n">
        <f aca="false">($BB252+$BC252)*$AK252</f>
        <v>234.221715</v>
      </c>
      <c r="BH252" s="153" t="n">
        <f aca="false">IF(AND($M252&lt;&gt;"",$N252="VCA",$Q252="LINEAR"),($M252*2)/100,IF(AND($M252&lt;&gt;"",$N252="MND",$Q252="EMBOQUE"),($AN252*2)/100,0))</f>
        <v>3.2684</v>
      </c>
      <c r="BI252" s="153" t="n">
        <f aca="false">IF(AND($M252&lt;&gt;"",$N252="VCA",$Q252="LINEAR"),$M252,IF(AND($M252&lt;&gt;"",$N252="MND",$Q252="EMBOQUE"),$AN252*2,0))</f>
        <v>163.42</v>
      </c>
      <c r="BJ252" s="153" t="n">
        <f aca="false">IF(AND($M252&lt;&gt;"",$N252="VCA",$Q252="LINEAR"),($M252*6.8)/100,IF(AND($M252&lt;&gt;"",$N252="MND",$Q252="EMBOQUE"),($AN252*2*6.8)/100,0))</f>
        <v>11.11256</v>
      </c>
      <c r="BK252" s="153" t="n">
        <f aca="false">IF(AND($M252&lt;&gt;"",$N252="VCA",$Q252="LINEAR"),($M252*2.5)/50,IF(AND($M252&lt;&gt;"",$N252="MND",$Q252="EMBOQUE"),($AN252*2*2.5)/50,0))</f>
        <v>8.171</v>
      </c>
      <c r="BL252" s="157" t="str">
        <f aca="false">K252&amp;J252</f>
        <v>Zona02REDES</v>
      </c>
      <c r="BM252" s="152" t="s">
        <v>2037</v>
      </c>
      <c r="BN252" s="152" t="s">
        <v>1560</v>
      </c>
      <c r="BO252" s="152" t="s">
        <v>2231</v>
      </c>
      <c r="BP252" s="152" t="s">
        <v>2444</v>
      </c>
      <c r="BQ252" s="152" t="s">
        <v>2484</v>
      </c>
      <c r="BR252" s="152" t="s">
        <v>2485</v>
      </c>
      <c r="BS252" s="152" t="n">
        <v>202769.172</v>
      </c>
      <c r="BT252" s="152" t="n">
        <v>8237542.884</v>
      </c>
      <c r="BU252" s="152" t="n">
        <v>202647.23</v>
      </c>
      <c r="BV252" s="152" t="n">
        <v>8237448.702</v>
      </c>
      <c r="BW252" s="152" t="n">
        <v>-15.9241652</v>
      </c>
      <c r="BX252" s="152" t="n">
        <v>-47.7765354</v>
      </c>
      <c r="BY252" s="152" t="s">
        <v>2444</v>
      </c>
    </row>
    <row r="253" customFormat="false" ht="13.8" hidden="false" customHeight="false" outlineLevel="0" collapsed="false">
      <c r="A253" s="149" t="n">
        <f aca="false">IF(C253&lt;&gt;"",ROW(A248),"")</f>
        <v>248</v>
      </c>
      <c r="B253" s="150" t="str">
        <f aca="false">HYPERLINK("https://www.google.com/maps/dir/-15.917302,-47.760003/-15.9245601,-47.7758102/data=!4m3!4m2!3e0!5i2")</f>
        <v>https://www.google.com/maps/dir/-15.917302,-47.760003/-15.9245601,-47.7758102/data=!4m3!4m2!3e0!5i2</v>
      </c>
      <c r="C253" s="151" t="s">
        <v>117</v>
      </c>
      <c r="D253" s="152" t="s">
        <v>112</v>
      </c>
      <c r="E253" s="152" t="s">
        <v>113</v>
      </c>
      <c r="F253" s="152" t="s">
        <v>117</v>
      </c>
      <c r="G253" s="152" t="s">
        <v>114</v>
      </c>
      <c r="H253" s="152" t="n">
        <v>280</v>
      </c>
      <c r="I253" s="152" t="s">
        <v>115</v>
      </c>
      <c r="J253" s="152" t="s">
        <v>6</v>
      </c>
      <c r="K253" s="152" t="s">
        <v>2224</v>
      </c>
      <c r="L253" s="152" t="s">
        <v>120</v>
      </c>
      <c r="M253" s="153" t="n">
        <f aca="false">11.6</f>
        <v>11.6</v>
      </c>
      <c r="N253" s="152" t="s">
        <v>1548</v>
      </c>
      <c r="O253" s="152" t="s">
        <v>1549</v>
      </c>
      <c r="P253" s="152" t="s">
        <v>1550</v>
      </c>
      <c r="Q253" s="152" t="s">
        <v>1551</v>
      </c>
      <c r="R253" s="154" t="s">
        <v>2486</v>
      </c>
      <c r="S253" s="154" t="s">
        <v>2226</v>
      </c>
      <c r="T253" s="155" t="s">
        <v>2487</v>
      </c>
      <c r="U253" s="152" t="str">
        <f aca="false">RIGHT(T253,7)</f>
        <v>011/037</v>
      </c>
      <c r="V253" s="152" t="s">
        <v>1555</v>
      </c>
      <c r="W253" s="156" t="n">
        <v>45882</v>
      </c>
      <c r="X253" s="152" t="s">
        <v>1594</v>
      </c>
      <c r="Y253" s="152"/>
      <c r="Z253" s="152" t="s">
        <v>1557</v>
      </c>
      <c r="AA253" s="153" t="n">
        <v>3.9</v>
      </c>
      <c r="AB253" s="151" t="s">
        <v>2488</v>
      </c>
      <c r="AC253" s="151" t="s">
        <v>499</v>
      </c>
      <c r="AD253" s="151" t="str">
        <f aca="false">CONCATENATE($C253,$I253,$H253,$N253,$J253,$K253)</f>
        <v>TUBO PEADPEAD280VCAREDESADUTORA</v>
      </c>
      <c r="AE253" s="153" t="n">
        <f aca="false">IFERROR(INDEX(APOIO_REDES!$A:$W,MATCH($C253&amp;$I253&amp;$H253&amp;$N253&amp;$O253,APOIO_REDES!$W:$W,0),MATCH(AE$5,APOIO_REDES!$5:$5,0)),0)</f>
        <v>1.2</v>
      </c>
      <c r="AF253" s="153" t="n">
        <f aca="false">IFERROR(INDEX(APOIO_REDES!$A:$W,MATCH($C253&amp;$I253&amp;$H253&amp;$N253&amp;$O253,APOIO_REDES!$W:$W,0),MATCH(AF$5,APOIO_REDES!$5:$5,0)),0)</f>
        <v>1.58</v>
      </c>
      <c r="AG253" s="153" t="n">
        <f aca="false">IFERROR(INDEX(APOIO_REDES!$A:$W,MATCH($C253&amp;$I253&amp;$H253&amp;$N253&amp;$O253,APOIO_REDES!$W:$W,0),MATCH(AG$5,APOIO_REDES!$5:$5,0)),0)</f>
        <v>0.9</v>
      </c>
      <c r="AH253" s="153" t="n">
        <f aca="false">IFERROR(INDEX(APOIO_REDES!$A:$W,MATCH($C253&amp;$I253&amp;$H253&amp;$N253&amp;$O253,APOIO_REDES!$W:$W,0),MATCH(AH$5,APOIO_REDES!$5:$5,0)),0)</f>
        <v>0.1</v>
      </c>
      <c r="AI253" s="153" t="n">
        <f aca="false">IFERROR(IF($H253&lt;&gt;"",(((($H253/1000)/2)^2)*PI()*$M253),0),0)</f>
        <v>0.714272505720175</v>
      </c>
      <c r="AJ253" s="153" t="n">
        <f aca="false">IFERROR(IF(AND($H253&lt;&gt;"",$I253="FoFo",OR($N253="MND",$N253="VCA"),$Q253="LINEAR"),0,IF(AND($H253&lt;&gt;"",$I253="PEAD",$N253="VCA",$Q253="LINEAR"),($H253/1000)+0.3,IF(AND($H253&lt;&gt;"",$I253="PEAD",$N253="MND",$Q253="EMBOQUE"),0,IF(AND($H253&lt;&gt;"",$I253="PVC",$N253="VCA",$Q253="LINEAR"),($H253/1000)+0.2,IF(AND($H253&lt;&gt;"",$I253="PVC",$N253="MND",$Q253="EMBOQUE"),0,IF(AND($H253&lt;&gt;"",$I253="PEAD",$N253="VCA",$Q253="PREDIAL"),0,0)))))),0)</f>
        <v>0.58</v>
      </c>
      <c r="AK253" s="153" t="n">
        <f aca="false">IF(AA253&lt;&gt;"",AA253,0)</f>
        <v>3.9</v>
      </c>
      <c r="AL253" s="153" t="n">
        <f aca="false">IF(AND($N253="MND",$Q253="EMBOQUE"),$M253,IF(AND($N253="VCA",$Q253="LINEAR"),$M253,IF(AND($N253="VCA",$Q253="PREDIAL"),0,0)))</f>
        <v>11.6</v>
      </c>
      <c r="AM253" s="153" t="n">
        <f aca="false">IF(AND($N253="MND",$Q253="EMBOQUE"),$M253,IF(AND($N253="VCA",$Q253="LINEAR"),$M253,IF(AND($N253="VCA",$Q253="PREDIAL"),0,0)))</f>
        <v>11.6</v>
      </c>
      <c r="AN253" s="153" t="n">
        <f aca="false">ROUND(IF(AND($N253="VCA",$M253&lt;&gt;"",$Q253="LINEAR"),$M253/100,IF(AND($N253="MND",$M253&gt;100,$Q253="EMBOQUE"),$M253/100,0)),0)</f>
        <v>0</v>
      </c>
      <c r="AO253" s="153" t="n">
        <f aca="false">IF(AND($N253="MND",$Q253="EMBOQUE"),$AN253*2*2,IF(AND($N253="VCA",$Q253="LINEAR"),$M253*2,IF(AND($N253="VCA",$Q253="PREDIAL"),0,0)))</f>
        <v>23.2</v>
      </c>
      <c r="AP253" s="153" t="n">
        <f aca="false">IFERROR($M253*$AF253*$AG253,0)</f>
        <v>16.4952</v>
      </c>
      <c r="AQ253" s="153" t="n">
        <f aca="false">IFERROR(IF(AND($N253="VCA",$AH253&gt;0),$M253*$AG253*$AH253,0),0)</f>
        <v>1.044</v>
      </c>
      <c r="AR253" s="153" t="n">
        <f aca="false">IFERROR(IF(AND($N253="VCA",$AJ253&gt;0),($M253*$AG253*$AJ253)-$AI253,0),0)</f>
        <v>5.34092749427983</v>
      </c>
      <c r="AS253" s="153" t="n">
        <f aca="false">IFERROR(IF(AND($N253="VCA",$AP253&gt;0),$AP253-$AI253-$AQ253-$AR253,0),0)</f>
        <v>9.396</v>
      </c>
      <c r="AT253" s="153" t="n">
        <f aca="false">IFERROR(IF($N253="VCA",INDEX(APOIO_REDES!$A:$W,MATCH($C253&amp;$I253&amp;$H253&amp;$N253&amp;$O253,APOIO_REDES!$W:$W,0),MATCH(AT$5,APOIO_REDES!$5:$5,0)),0)*$AP253,0)</f>
        <v>0.179472658329982</v>
      </c>
      <c r="AU253" s="153" t="n">
        <f aca="false">IFERROR(IF($N253="VCA",INDEX(APOIO_REDES!$A:$W,MATCH($C253&amp;$I253&amp;$H253&amp;$N253&amp;$O253,APOIO_REDES!$W:$W,0),MATCH(AU$5,APOIO_REDES!$5:$5,0)),0)*$AP253,0)</f>
        <v>0.143322004206295</v>
      </c>
      <c r="AV253" s="153" t="n">
        <f aca="false">IFERROR(IF($N253="VCA",INDEX(APOIO_REDES!$A:$W,MATCH($C253&amp;$I253&amp;$H253&amp;$N253&amp;$O253,APOIO_REDES!$W:$W,0),MATCH(AV$5,APOIO_REDES!$5:$5,0)),0)*$AP253,0)</f>
        <v>0.0198346402603044</v>
      </c>
      <c r="AW253" s="153" t="n">
        <f aca="false">IFERROR(IF($N253="VCA",INDEX(APOIO_REDES!$A:$W,MATCH($C253&amp;$I253&amp;$H253&amp;$N253&amp;$O253,APOIO_REDES!$W:$W,0),MATCH(AW$5,APOIO_REDES!$5:$5,0)),0)*$AP253,0)</f>
        <v>11.3224330910465</v>
      </c>
      <c r="AX253" s="153" t="n">
        <f aca="false">IFERROR(IF($N253="VCA",INDEX(APOIO_REDES!$A:$W,MATCH($C253&amp;$I253&amp;$H253&amp;$N253&amp;$O253,APOIO_REDES!$W:$W,0),MATCH(AX$5,APOIO_REDES!$5:$5,0)),0)*$AP253,0)</f>
        <v>1.56699248723967</v>
      </c>
      <c r="AY253" s="153" t="n">
        <f aca="false">IFERROR(IF($N253="VCA",INDEX(APOIO_REDES!$A:$W,MATCH($C253&amp;$I253&amp;$H253&amp;$N253&amp;$O253,APOIO_REDES!$W:$W,0),MATCH(AY$5,APOIO_REDES!$5:$5,0)),0)*$AP253,0)</f>
        <v>2.86643833704229</v>
      </c>
      <c r="AZ253" s="153" t="n">
        <f aca="false">IFERROR(IF($N253="VCA",INDEX(APOIO_REDES!$A:$W,MATCH($C253&amp;$I253&amp;$H253&amp;$N253&amp;$O253,APOIO_REDES!$W:$W,0),MATCH(AZ$5,APOIO_REDES!$5:$5,0)),0)*$AP253,0)</f>
        <v>0.396706781874993</v>
      </c>
      <c r="BA253" s="153" t="n">
        <f aca="false">IFERROR(IF(AND($N253="VCA",$Q253="LINEAR"),INDEX(APOIO_REDES!$A:$W,MATCH($C253&amp;$I253&amp;$H253&amp;$N253&amp;$O253,APOIO_REDES!$W:$W,0),MATCH(BA$5,APOIO_REDES!$5:$5,0)),IF(AND($N253="MND",$Q253="EMBOQUE"),INDEX(APOIO_REDES!$A:$W,MATCH($C253&amp;$I253&amp;$H253&amp;$N253&amp;$O253,APOIO_REDES!$W:$W,0),MATCH(BA$5,APOIO_REDES!$5:$5,0)),0))*$M253/10,0)</f>
        <v>0.934930739925451</v>
      </c>
      <c r="BB253" s="153" t="n">
        <f aca="false">IFERROR(IF($N253="VCA",INDEX(APOIO_REDES!$A:$W,MATCH($C253&amp;$I253&amp;$H253&amp;$N253&amp;$O253,APOIO_REDES!$W:$W,0),MATCH(BB$5,APOIO_REDES!$5:$5,0)),0)*($AI253+$AQ253+$AR253),0)</f>
        <v>7.02195860274406</v>
      </c>
      <c r="BC253" s="153" t="n">
        <f aca="false">IFERROR(IF($N253="VCA",INDEX(APOIO_REDES!$A:$W,MATCH($C253&amp;$I253&amp;$H253&amp;$N253&amp;$O253,APOIO_REDES!$W:$W,0),MATCH(BC$5,APOIO_REDES!$5:$5,0)),0)*($AI253+$AQ253+$AR253),0)</f>
        <v>0.0772413972559416</v>
      </c>
      <c r="BD253" s="153" t="n">
        <f aca="false">IF(AND($N253="VCA",$AF253&gt;=1.25,$AF253&lt;1.5),$M253*$AF253*2,0)</f>
        <v>0</v>
      </c>
      <c r="BE253" s="153" t="n">
        <f aca="false">IF(AND($N253="VCA",$AF253&gt;=1.5,$AF253&lt;3),$M253*$AF253*2,0)</f>
        <v>36.656</v>
      </c>
      <c r="BF253" s="153" t="n">
        <f aca="false">IF(AND($N253="VCA",$AF253&gt;=3),$M253*$AF253*2,0)</f>
        <v>0</v>
      </c>
      <c r="BG253" s="153" t="n">
        <f aca="false">($BB253+$BC253)*$AK253</f>
        <v>27.68688</v>
      </c>
      <c r="BH253" s="153" t="n">
        <f aca="false">IF(AND($M253&lt;&gt;"",$N253="VCA",$Q253="LINEAR"),($M253*2)/100,IF(AND($M253&lt;&gt;"",$N253="MND",$Q253="EMBOQUE"),($AN253*2)/100,0))</f>
        <v>0.232</v>
      </c>
      <c r="BI253" s="153" t="n">
        <f aca="false">IF(AND($M253&lt;&gt;"",$N253="VCA",$Q253="LINEAR"),$M253,IF(AND($M253&lt;&gt;"",$N253="MND",$Q253="EMBOQUE"),$AN253*2,0))</f>
        <v>11.6</v>
      </c>
      <c r="BJ253" s="153" t="n">
        <f aca="false">IF(AND($M253&lt;&gt;"",$N253="VCA",$Q253="LINEAR"),($M253*6.8)/100,IF(AND($M253&lt;&gt;"",$N253="MND",$Q253="EMBOQUE"),($AN253*2*6.8)/100,0))</f>
        <v>0.7888</v>
      </c>
      <c r="BK253" s="153" t="n">
        <f aca="false">IF(AND($M253&lt;&gt;"",$N253="VCA",$Q253="LINEAR"),($M253*2.5)/50,IF(AND($M253&lt;&gt;"",$N253="MND",$Q253="EMBOQUE"),($AN253*2*2.5)/50,0))</f>
        <v>0.58</v>
      </c>
      <c r="BL253" s="157" t="str">
        <f aca="false">K253&amp;J253</f>
        <v>ADUTORAREDES</v>
      </c>
      <c r="BM253" s="152" t="s">
        <v>2229</v>
      </c>
      <c r="BN253" s="152" t="s">
        <v>2230</v>
      </c>
      <c r="BO253" s="152" t="s">
        <v>2489</v>
      </c>
      <c r="BP253" s="152" t="s">
        <v>2032</v>
      </c>
      <c r="BQ253" s="152" t="s">
        <v>2247</v>
      </c>
      <c r="BR253" s="152" t="s">
        <v>2248</v>
      </c>
      <c r="BS253" s="152" t="n">
        <v>202809.671</v>
      </c>
      <c r="BT253" s="152" t="n">
        <v>8237425.037</v>
      </c>
      <c r="BU253" s="152" t="n">
        <v>202802.112</v>
      </c>
      <c r="BV253" s="152" t="n">
        <v>8237433.838</v>
      </c>
      <c r="BW253" s="152" t="n">
        <v>-15.9245925</v>
      </c>
      <c r="BX253" s="152" t="n">
        <v>-47.7757658</v>
      </c>
      <c r="BY253" s="152" t="s">
        <v>2247</v>
      </c>
    </row>
    <row r="254" customFormat="false" ht="13.8" hidden="false" customHeight="false" outlineLevel="0" collapsed="false">
      <c r="A254" s="149" t="n">
        <f aca="false">IF(C254&lt;&gt;"",ROW(A249),"")</f>
        <v>249</v>
      </c>
      <c r="B254" s="150" t="str">
        <f aca="false">HYPERLINK("https://www.google.com/maps/dir/-15.917302,-47.760003/-15.9243497,-47.7781506/data=!4m3!4m2!3e0!5i1")</f>
        <v>https://www.google.com/maps/dir/-15.917302,-47.760003/-15.9243497,-47.7781506/data=!4m3!4m2!3e0!5i1</v>
      </c>
      <c r="C254" s="151" t="s">
        <v>117</v>
      </c>
      <c r="D254" s="152" t="s">
        <v>112</v>
      </c>
      <c r="E254" s="152" t="s">
        <v>113</v>
      </c>
      <c r="F254" s="152" t="s">
        <v>117</v>
      </c>
      <c r="G254" s="152" t="s">
        <v>782</v>
      </c>
      <c r="H254" s="152" t="n">
        <v>63</v>
      </c>
      <c r="I254" s="152" t="s">
        <v>115</v>
      </c>
      <c r="J254" s="152" t="s">
        <v>6</v>
      </c>
      <c r="K254" s="152" t="s">
        <v>2033</v>
      </c>
      <c r="L254" s="152" t="s">
        <v>120</v>
      </c>
      <c r="M254" s="153" t="n">
        <f aca="false">42.01</f>
        <v>42.01</v>
      </c>
      <c r="N254" s="152" t="s">
        <v>1548</v>
      </c>
      <c r="O254" s="152" t="s">
        <v>1549</v>
      </c>
      <c r="P254" s="152" t="s">
        <v>1550</v>
      </c>
      <c r="Q254" s="152" t="s">
        <v>1551</v>
      </c>
      <c r="R254" s="154" t="s">
        <v>2490</v>
      </c>
      <c r="S254" s="154" t="s">
        <v>1553</v>
      </c>
      <c r="T254" s="155" t="s">
        <v>2487</v>
      </c>
      <c r="U254" s="152" t="str">
        <f aca="false">RIGHT(T254,7)</f>
        <v>011/037</v>
      </c>
      <c r="V254" s="152" t="s">
        <v>1555</v>
      </c>
      <c r="W254" s="156" t="n">
        <v>45882</v>
      </c>
      <c r="X254" s="152" t="s">
        <v>1594</v>
      </c>
      <c r="Y254" s="152" t="s">
        <v>2400</v>
      </c>
      <c r="Z254" s="152" t="s">
        <v>1557</v>
      </c>
      <c r="AA254" s="153" t="n">
        <v>3.9</v>
      </c>
      <c r="AB254" s="151" t="s">
        <v>2491</v>
      </c>
      <c r="AC254" s="151" t="s">
        <v>186</v>
      </c>
      <c r="AD254" s="151" t="str">
        <f aca="false">CONCATENATE($C254,$I254,$H254,$N254,$J254,$K254)</f>
        <v>TUBO PEADPEAD63VCAREDESZona02</v>
      </c>
      <c r="AE254" s="153" t="n">
        <f aca="false">IFERROR(INDEX(APOIO_REDES!$A:$W,MATCH($C254&amp;$I254&amp;$H254&amp;$N254&amp;$O254,APOIO_REDES!$W:$W,0),MATCH(AE$5,APOIO_REDES!$5:$5,0)),0)</f>
        <v>1.2</v>
      </c>
      <c r="AF254" s="153" t="n">
        <f aca="false">IFERROR(INDEX(APOIO_REDES!$A:$W,MATCH($C254&amp;$I254&amp;$H254&amp;$N254&amp;$O254,APOIO_REDES!$W:$W,0),MATCH(AF$5,APOIO_REDES!$5:$5,0)),0)</f>
        <v>1.363</v>
      </c>
      <c r="AG254" s="153" t="n">
        <f aca="false">IFERROR(INDEX(APOIO_REDES!$A:$W,MATCH($C254&amp;$I254&amp;$H254&amp;$N254&amp;$O254,APOIO_REDES!$W:$W,0),MATCH(AG$5,APOIO_REDES!$5:$5,0)),0)</f>
        <v>0.65</v>
      </c>
      <c r="AH254" s="153" t="n">
        <f aca="false">IFERROR(INDEX(APOIO_REDES!$A:$W,MATCH($C254&amp;$I254&amp;$H254&amp;$N254&amp;$O254,APOIO_REDES!$W:$W,0),MATCH(AH$5,APOIO_REDES!$5:$5,0)),0)</f>
        <v>0.1</v>
      </c>
      <c r="AI254" s="153" t="n">
        <f aca="false">IFERROR(IF($H254&lt;&gt;"",(((($H254/1000)/2)^2)*PI()*$M254),0),0)</f>
        <v>0.130955475495133</v>
      </c>
      <c r="AJ254" s="153" t="n">
        <f aca="false">IFERROR(IF(AND($H254&lt;&gt;"",$I254="FoFo",OR($N254="MND",$N254="VCA"),$Q254="LINEAR"),0,IF(AND($H254&lt;&gt;"",$I254="PEAD",$N254="VCA",$Q254="LINEAR"),($H254/1000)+0.3,IF(AND($H254&lt;&gt;"",$I254="PEAD",$N254="MND",$Q254="EMBOQUE"),0,IF(AND($H254&lt;&gt;"",$I254="PVC",$N254="VCA",$Q254="LINEAR"),($H254/1000)+0.2,IF(AND($H254&lt;&gt;"",$I254="PVC",$N254="MND",$Q254="EMBOQUE"),0,IF(AND($H254&lt;&gt;"",$I254="PEAD",$N254="VCA",$Q254="PREDIAL"),0,0)))))),0)</f>
        <v>0.363</v>
      </c>
      <c r="AK254" s="153" t="n">
        <f aca="false">IF(AA254&lt;&gt;"",AA254,0)</f>
        <v>3.9</v>
      </c>
      <c r="AL254" s="153" t="n">
        <f aca="false">IF(AND($N254="MND",$Q254="EMBOQUE"),$M254,IF(AND($N254="VCA",$Q254="LINEAR"),$M254,IF(AND($N254="VCA",$Q254="PREDIAL"),0,0)))</f>
        <v>42.01</v>
      </c>
      <c r="AM254" s="153" t="n">
        <f aca="false">IF(AND($N254="MND",$Q254="EMBOQUE"),$M254,IF(AND($N254="VCA",$Q254="LINEAR"),$M254,IF(AND($N254="VCA",$Q254="PREDIAL"),0,0)))</f>
        <v>42.01</v>
      </c>
      <c r="AN254" s="153" t="n">
        <f aca="false">ROUND(IF(AND($N254="VCA",$M254&lt;&gt;"",$Q254="LINEAR"),$M254/100,IF(AND($N254="MND",$M254&gt;100,$Q254="EMBOQUE"),$M254/100,0)),0)</f>
        <v>0</v>
      </c>
      <c r="AO254" s="153" t="n">
        <f aca="false">IF(AND($N254="MND",$Q254="EMBOQUE"),$AN254*2*2,IF(AND($N254="VCA",$Q254="LINEAR"),$M254*2,IF(AND($N254="VCA",$Q254="PREDIAL"),0,0)))</f>
        <v>84.02</v>
      </c>
      <c r="AP254" s="153" t="n">
        <f aca="false">IFERROR($M254*$AF254*$AG254,0)</f>
        <v>37.2187595</v>
      </c>
      <c r="AQ254" s="153" t="n">
        <f aca="false">IFERROR(IF(AND($N254="VCA",$AH254&gt;0),$M254*$AG254*$AH254,0),0)</f>
        <v>2.73065</v>
      </c>
      <c r="AR254" s="153" t="n">
        <f aca="false">IFERROR(IF(AND($N254="VCA",$AJ254&gt;0),($M254*$AG254*$AJ254)-$AI254,0),0)</f>
        <v>9.78130402450487</v>
      </c>
      <c r="AS254" s="153" t="n">
        <f aca="false">IFERROR(IF(AND($N254="VCA",$AP254&gt;0),$AP254-$AI254-$AQ254-$AR254,0),0)</f>
        <v>24.57585</v>
      </c>
      <c r="AT254" s="153" t="n">
        <f aca="false">IFERROR(IF($N254="VCA",INDEX(APOIO_REDES!$A:$W,MATCH($C254&amp;$I254&amp;$H254&amp;$N254&amp;$O254,APOIO_REDES!$W:$W,0),MATCH(AT$5,APOIO_REDES!$5:$5,0)),0)*$AP254,0)</f>
        <v>0.404951119550492</v>
      </c>
      <c r="AU254" s="153" t="n">
        <f aca="false">IFERROR(IF($N254="VCA",INDEX(APOIO_REDES!$A:$W,MATCH($C254&amp;$I254&amp;$H254&amp;$N254&amp;$O254,APOIO_REDES!$W:$W,0),MATCH(AU$5,APOIO_REDES!$5:$5,0)),0)*$AP254,0)</f>
        <v>0.323382996605806</v>
      </c>
      <c r="AV254" s="153" t="n">
        <f aca="false">IFERROR(IF($N254="VCA",INDEX(APOIO_REDES!$A:$W,MATCH($C254&amp;$I254&amp;$H254&amp;$N254&amp;$O254,APOIO_REDES!$W:$W,0),MATCH(AV$5,APOIO_REDES!$5:$5,0)),0)*$AP254,0)</f>
        <v>0.0447536680741843</v>
      </c>
      <c r="AW254" s="153" t="n">
        <f aca="false">IFERROR(IF($N254="VCA",INDEX(APOIO_REDES!$A:$W,MATCH($C254&amp;$I254&amp;$H254&amp;$N254&amp;$O254,APOIO_REDES!$W:$W,0),MATCH(AW$5,APOIO_REDES!$5:$5,0)),0)*$AP254,0)</f>
        <v>25.5472449058211</v>
      </c>
      <c r="AX254" s="153" t="n">
        <f aca="false">IFERROR(IF($N254="VCA",INDEX(APOIO_REDES!$A:$W,MATCH($C254&amp;$I254&amp;$H254&amp;$N254&amp;$O254,APOIO_REDES!$W:$W,0),MATCH(AX$5,APOIO_REDES!$5:$5,0)),0)*$AP254,0)</f>
        <v>3.53566592226102</v>
      </c>
      <c r="AY254" s="153" t="n">
        <f aca="false">IFERROR(IF($N254="VCA",INDEX(APOIO_REDES!$A:$W,MATCH($C254&amp;$I254&amp;$H254&amp;$N254&amp;$O254,APOIO_REDES!$W:$W,0),MATCH(AY$5,APOIO_REDES!$5:$5,0)),0)*$AP254,0)</f>
        <v>6.4676559901036</v>
      </c>
      <c r="AZ254" s="153" t="n">
        <f aca="false">IFERROR(IF($N254="VCA",INDEX(APOIO_REDES!$A:$W,MATCH($C254&amp;$I254&amp;$H254&amp;$N254&amp;$O254,APOIO_REDES!$W:$W,0),MATCH(AZ$5,APOIO_REDES!$5:$5,0)),0)*$AP254,0)</f>
        <v>0.8951048975838</v>
      </c>
      <c r="BA254" s="153" t="n">
        <f aca="false">IFERROR(IF(AND($N254="VCA",$Q254="LINEAR"),INDEX(APOIO_REDES!$A:$W,MATCH($C254&amp;$I254&amp;$H254&amp;$N254&amp;$O254,APOIO_REDES!$W:$W,0),MATCH(BA$5,APOIO_REDES!$5:$5,0)),IF(AND($N254="MND",$Q254="EMBOQUE"),INDEX(APOIO_REDES!$A:$W,MATCH($C254&amp;$I254&amp;$H254&amp;$N254&amp;$O254,APOIO_REDES!$W:$W,0),MATCH(BA$5,APOIO_REDES!$5:$5,0)),0))*$M254/10,0)</f>
        <v>3.38590003312657</v>
      </c>
      <c r="BB254" s="153" t="n">
        <f aca="false">IFERROR(IF($N254="VCA",INDEX(APOIO_REDES!$A:$W,MATCH($C254&amp;$I254&amp;$H254&amp;$N254&amp;$O254,APOIO_REDES!$W:$W,0),MATCH(BB$5,APOIO_REDES!$5:$5,0)),0)*($AI254+$AQ254+$AR254),0)</f>
        <v>12.5053509025298</v>
      </c>
      <c r="BC254" s="153" t="n">
        <f aca="false">IFERROR(IF($N254="VCA",INDEX(APOIO_REDES!$A:$W,MATCH($C254&amp;$I254&amp;$H254&amp;$N254&amp;$O254,APOIO_REDES!$W:$W,0),MATCH(BC$5,APOIO_REDES!$5:$5,0)),0)*($AI254+$AQ254+$AR254),0)</f>
        <v>0.137558597470196</v>
      </c>
      <c r="BD254" s="153" t="n">
        <f aca="false">IF(AND($N254="VCA",$AF254&gt;=1.25,$AF254&lt;1.5),$M254*$AF254*2,0)</f>
        <v>114.51926</v>
      </c>
      <c r="BE254" s="153" t="n">
        <f aca="false">IF(AND($N254="VCA",$AF254&gt;=1.5,$AF254&lt;3),$M254*$AF254*2,0)</f>
        <v>0</v>
      </c>
      <c r="BF254" s="153" t="n">
        <f aca="false">IF(AND($N254="VCA",$AF254&gt;=3),$M254*$AF254*2,0)</f>
        <v>0</v>
      </c>
      <c r="BG254" s="153" t="n">
        <f aca="false">($BB254+$BC254)*$AK254</f>
        <v>49.30734705</v>
      </c>
      <c r="BH254" s="153" t="n">
        <f aca="false">IF(AND($M254&lt;&gt;"",$N254="VCA",$Q254="LINEAR"),($M254*2)/100,IF(AND($M254&lt;&gt;"",$N254="MND",$Q254="EMBOQUE"),($AN254*2)/100,0))</f>
        <v>0.8402</v>
      </c>
      <c r="BI254" s="153" t="n">
        <f aca="false">IF(AND($M254&lt;&gt;"",$N254="VCA",$Q254="LINEAR"),$M254,IF(AND($M254&lt;&gt;"",$N254="MND",$Q254="EMBOQUE"),$AN254*2,0))</f>
        <v>42.01</v>
      </c>
      <c r="BJ254" s="153" t="n">
        <f aca="false">IF(AND($M254&lt;&gt;"",$N254="VCA",$Q254="LINEAR"),($M254*6.8)/100,IF(AND($M254&lt;&gt;"",$N254="MND",$Q254="EMBOQUE"),($AN254*2*6.8)/100,0))</f>
        <v>2.85668</v>
      </c>
      <c r="BK254" s="153" t="n">
        <f aca="false">IF(AND($M254&lt;&gt;"",$N254="VCA",$Q254="LINEAR"),($M254*2.5)/50,IF(AND($M254&lt;&gt;"",$N254="MND",$Q254="EMBOQUE"),($AN254*2*2.5)/50,0))</f>
        <v>2.1005</v>
      </c>
      <c r="BL254" s="157" t="str">
        <f aca="false">K254&amp;J254</f>
        <v>Zona02REDES</v>
      </c>
      <c r="BM254" s="152" t="s">
        <v>2037</v>
      </c>
      <c r="BN254" s="152" t="s">
        <v>1560</v>
      </c>
      <c r="BO254" s="152" t="s">
        <v>2489</v>
      </c>
      <c r="BP254" s="152" t="s">
        <v>2492</v>
      </c>
      <c r="BQ254" s="152" t="s">
        <v>2471</v>
      </c>
      <c r="BR254" s="152" t="s">
        <v>2493</v>
      </c>
      <c r="BS254" s="152" t="n">
        <v>202550.146</v>
      </c>
      <c r="BT254" s="152" t="n">
        <v>8237452.996</v>
      </c>
      <c r="BU254" s="152" t="n">
        <v>202539.059</v>
      </c>
      <c r="BV254" s="152" t="n">
        <v>8237493.517</v>
      </c>
      <c r="BW254" s="152" t="n">
        <v>-15.9241654</v>
      </c>
      <c r="BX254" s="152" t="n">
        <v>-47.7781987</v>
      </c>
      <c r="BY254" s="152" t="s">
        <v>2492</v>
      </c>
    </row>
    <row r="255" customFormat="false" ht="13.8" hidden="false" customHeight="false" outlineLevel="0" collapsed="false">
      <c r="A255" s="149" t="n">
        <f aca="false">IF(C255&lt;&gt;"",ROW(A250),"")</f>
        <v>250</v>
      </c>
      <c r="B255" s="150" t="str">
        <f aca="false">HYPERLINK("https://www.google.com/maps/dir/-15.917302,-47.760003/-15.9241179,-47.7773160/data=!4m3!4m2!3e0!5i2")</f>
        <v>https://www.google.com/maps/dir/-15.917302,-47.760003/-15.9241179,-47.7773160/data=!4m3!4m2!3e0!5i2</v>
      </c>
      <c r="C255" s="151" t="s">
        <v>117</v>
      </c>
      <c r="D255" s="152" t="s">
        <v>112</v>
      </c>
      <c r="E255" s="152" t="s">
        <v>113</v>
      </c>
      <c r="F255" s="152" t="s">
        <v>117</v>
      </c>
      <c r="G255" s="152" t="s">
        <v>782</v>
      </c>
      <c r="H255" s="152" t="n">
        <v>63</v>
      </c>
      <c r="I255" s="152" t="s">
        <v>115</v>
      </c>
      <c r="J255" s="152" t="s">
        <v>6</v>
      </c>
      <c r="K255" s="152" t="s">
        <v>2033</v>
      </c>
      <c r="L255" s="152" t="s">
        <v>120</v>
      </c>
      <c r="M255" s="153" t="n">
        <f aca="false">92.93+0.08</f>
        <v>93.01</v>
      </c>
      <c r="N255" s="152" t="s">
        <v>1548</v>
      </c>
      <c r="O255" s="152" t="s">
        <v>1549</v>
      </c>
      <c r="P255" s="152" t="s">
        <v>1550</v>
      </c>
      <c r="Q255" s="152" t="s">
        <v>1551</v>
      </c>
      <c r="R255" s="154" t="s">
        <v>2494</v>
      </c>
      <c r="S255" s="154" t="s">
        <v>1553</v>
      </c>
      <c r="T255" s="155" t="s">
        <v>2487</v>
      </c>
      <c r="U255" s="152" t="str">
        <f aca="false">RIGHT(T255,7)</f>
        <v>011/037</v>
      </c>
      <c r="V255" s="152" t="s">
        <v>1555</v>
      </c>
      <c r="W255" s="156" t="n">
        <v>45882</v>
      </c>
      <c r="X255" s="152" t="s">
        <v>1594</v>
      </c>
      <c r="Y255" s="152" t="s">
        <v>2400</v>
      </c>
      <c r="Z255" s="152" t="s">
        <v>1557</v>
      </c>
      <c r="AA255" s="153" t="n">
        <v>4.1</v>
      </c>
      <c r="AB255" s="151" t="s">
        <v>2495</v>
      </c>
      <c r="AC255" s="151" t="s">
        <v>186</v>
      </c>
      <c r="AD255" s="151" t="str">
        <f aca="false">CONCATENATE($C255,$I255,$H255,$N255,$J255,$K255)</f>
        <v>TUBO PEADPEAD63VCAREDESZona02</v>
      </c>
      <c r="AE255" s="153" t="n">
        <f aca="false">IFERROR(INDEX(APOIO_REDES!$A:$W,MATCH($C255&amp;$I255&amp;$H255&amp;$N255&amp;$O255,APOIO_REDES!$W:$W,0),MATCH(AE$5,APOIO_REDES!$5:$5,0)),0)</f>
        <v>1.2</v>
      </c>
      <c r="AF255" s="153" t="n">
        <f aca="false">IFERROR(INDEX(APOIO_REDES!$A:$W,MATCH($C255&amp;$I255&amp;$H255&amp;$N255&amp;$O255,APOIO_REDES!$W:$W,0),MATCH(AF$5,APOIO_REDES!$5:$5,0)),0)</f>
        <v>1.363</v>
      </c>
      <c r="AG255" s="153" t="n">
        <f aca="false">IFERROR(INDEX(APOIO_REDES!$A:$W,MATCH($C255&amp;$I255&amp;$H255&amp;$N255&amp;$O255,APOIO_REDES!$W:$W,0),MATCH(AG$5,APOIO_REDES!$5:$5,0)),0)</f>
        <v>0.65</v>
      </c>
      <c r="AH255" s="153" t="n">
        <f aca="false">IFERROR(INDEX(APOIO_REDES!$A:$W,MATCH($C255&amp;$I255&amp;$H255&amp;$N255&amp;$O255,APOIO_REDES!$W:$W,0),MATCH(AH$5,APOIO_REDES!$5:$5,0)),0)</f>
        <v>0.1</v>
      </c>
      <c r="AI255" s="153" t="n">
        <f aca="false">IFERROR(IF($H255&lt;&gt;"",(((($H255/1000)/2)^2)*PI()*$M255),0),0)</f>
        <v>0.289934986331881</v>
      </c>
      <c r="AJ255" s="153" t="n">
        <f aca="false">IFERROR(IF(AND($H255&lt;&gt;"",$I255="FoFo",OR($N255="MND",$N255="VCA"),$Q255="LINEAR"),0,IF(AND($H255&lt;&gt;"",$I255="PEAD",$N255="VCA",$Q255="LINEAR"),($H255/1000)+0.3,IF(AND($H255&lt;&gt;"",$I255="PEAD",$N255="MND",$Q255="EMBOQUE"),0,IF(AND($H255&lt;&gt;"",$I255="PVC",$N255="VCA",$Q255="LINEAR"),($H255/1000)+0.2,IF(AND($H255&lt;&gt;"",$I255="PVC",$N255="MND",$Q255="EMBOQUE"),0,IF(AND($H255&lt;&gt;"",$I255="PEAD",$N255="VCA",$Q255="PREDIAL"),0,0)))))),0)</f>
        <v>0.363</v>
      </c>
      <c r="AK255" s="153" t="n">
        <f aca="false">IF(AA255&lt;&gt;"",AA255,0)</f>
        <v>4.1</v>
      </c>
      <c r="AL255" s="153" t="n">
        <f aca="false">IF(AND($N255="MND",$Q255="EMBOQUE"),$M255,IF(AND($N255="VCA",$Q255="LINEAR"),$M255,IF(AND($N255="VCA",$Q255="PREDIAL"),0,0)))</f>
        <v>93.01</v>
      </c>
      <c r="AM255" s="153" t="n">
        <f aca="false">IF(AND($N255="MND",$Q255="EMBOQUE"),$M255,IF(AND($N255="VCA",$Q255="LINEAR"),$M255,IF(AND($N255="VCA",$Q255="PREDIAL"),0,0)))</f>
        <v>93.01</v>
      </c>
      <c r="AN255" s="153" t="n">
        <f aca="false">ROUND(IF(AND($N255="VCA",$M255&lt;&gt;"",$Q255="LINEAR"),$M255/100,IF(AND($N255="MND",$M255&gt;100,$Q255="EMBOQUE"),$M255/100,0)),0)</f>
        <v>1</v>
      </c>
      <c r="AO255" s="153" t="n">
        <f aca="false">IF(AND($N255="MND",$Q255="EMBOQUE"),$AN255*2*2,IF(AND($N255="VCA",$Q255="LINEAR"),$M255*2,IF(AND($N255="VCA",$Q255="PREDIAL"),0,0)))</f>
        <v>186.02</v>
      </c>
      <c r="AP255" s="153" t="n">
        <f aca="false">IFERROR($M255*$AF255*$AG255,0)</f>
        <v>82.4022095</v>
      </c>
      <c r="AQ255" s="153" t="n">
        <f aca="false">IFERROR(IF(AND($N255="VCA",$AH255&gt;0),$M255*$AG255*$AH255,0),0)</f>
        <v>6.04565</v>
      </c>
      <c r="AR255" s="153" t="n">
        <f aca="false">IFERROR(IF(AND($N255="VCA",$AJ255&gt;0),($M255*$AG255*$AJ255)-$AI255,0),0)</f>
        <v>21.6557745136681</v>
      </c>
      <c r="AS255" s="153" t="n">
        <f aca="false">IFERROR(IF(AND($N255="VCA",$AP255&gt;0),$AP255-$AI255-$AQ255-$AR255,0),0)</f>
        <v>54.41085</v>
      </c>
      <c r="AT255" s="153" t="n">
        <f aca="false">IFERROR(IF($N255="VCA",INDEX(APOIO_REDES!$A:$W,MATCH($C255&amp;$I255&amp;$H255&amp;$N255&amp;$O255,APOIO_REDES!$W:$W,0),MATCH(AT$5,APOIO_REDES!$5:$5,0)),0)*$AP255,0)</f>
        <v>0.896560429169037</v>
      </c>
      <c r="AU255" s="153" t="n">
        <f aca="false">IFERROR(IF($N255="VCA",INDEX(APOIO_REDES!$A:$W,MATCH($C255&amp;$I255&amp;$H255&amp;$N255&amp;$O255,APOIO_REDES!$W:$W,0),MATCH(AU$5,APOIO_REDES!$5:$5,0)),0)*$AP255,0)</f>
        <v>0.715968876798524</v>
      </c>
      <c r="AV255" s="153" t="n">
        <f aca="false">IFERROR(IF($N255="VCA",INDEX(APOIO_REDES!$A:$W,MATCH($C255&amp;$I255&amp;$H255&amp;$N255&amp;$O255,APOIO_REDES!$W:$W,0),MATCH(AV$5,APOIO_REDES!$5:$5,0)),0)*$AP255,0)</f>
        <v>0.0990844719728609</v>
      </c>
      <c r="AW255" s="153" t="n">
        <f aca="false">IFERROR(IF($N255="VCA",INDEX(APOIO_REDES!$A:$W,MATCH($C255&amp;$I255&amp;$H255&amp;$N255&amp;$O255,APOIO_REDES!$W:$W,0),MATCH(AW$5,APOIO_REDES!$5:$5,0)),0)*$AP255,0)</f>
        <v>56.5615150842757</v>
      </c>
      <c r="AX255" s="153" t="n">
        <f aca="false">IFERROR(IF($N255="VCA",INDEX(APOIO_REDES!$A:$W,MATCH($C255&amp;$I255&amp;$H255&amp;$N255&amp;$O255,APOIO_REDES!$W:$W,0),MATCH(AX$5,APOIO_REDES!$5:$5,0)),0)*$AP255,0)</f>
        <v>7.82795256913824</v>
      </c>
      <c r="AY255" s="153" t="n">
        <f aca="false">IFERROR(IF($N255="VCA",INDEX(APOIO_REDES!$A:$W,MATCH($C255&amp;$I255&amp;$H255&amp;$N255&amp;$O255,APOIO_REDES!$W:$W,0),MATCH(AY$5,APOIO_REDES!$5:$5,0)),0)*$AP255,0)</f>
        <v>14.3193688083679</v>
      </c>
      <c r="AZ255" s="153" t="n">
        <f aca="false">IFERROR(IF($N255="VCA",INDEX(APOIO_REDES!$A:$W,MATCH($C255&amp;$I255&amp;$H255&amp;$N255&amp;$O255,APOIO_REDES!$W:$W,0),MATCH(AZ$5,APOIO_REDES!$5:$5,0)),0)*$AP255,0)</f>
        <v>1.98175926027777</v>
      </c>
      <c r="BA255" s="153" t="n">
        <f aca="false">IFERROR(IF(AND($N255="VCA",$Q255="LINEAR"),INDEX(APOIO_REDES!$A:$W,MATCH($C255&amp;$I255&amp;$H255&amp;$N255&amp;$O255,APOIO_REDES!$W:$W,0),MATCH(BA$5,APOIO_REDES!$5:$5,0)),IF(AND($N255="MND",$Q255="EMBOQUE"),INDEX(APOIO_REDES!$A:$W,MATCH($C255&amp;$I255&amp;$H255&amp;$N255&amp;$O255,APOIO_REDES!$W:$W,0),MATCH(BA$5,APOIO_REDES!$5:$5,0)),0))*$M255/10,0)</f>
        <v>7.49637138969537</v>
      </c>
      <c r="BB255" s="153" t="n">
        <f aca="false">IFERROR(IF($N255="VCA",INDEX(APOIO_REDES!$A:$W,MATCH($C255&amp;$I255&amp;$H255&amp;$N255&amp;$O255,APOIO_REDES!$W:$W,0),MATCH(BB$5,APOIO_REDES!$5:$5,0)),0)*($AI255+$AQ255+$AR255),0)</f>
        <v>27.6868052236205</v>
      </c>
      <c r="BC255" s="153" t="n">
        <f aca="false">IFERROR(IF($N255="VCA",INDEX(APOIO_REDES!$A:$W,MATCH($C255&amp;$I255&amp;$H255&amp;$N255&amp;$O255,APOIO_REDES!$W:$W,0),MATCH(BC$5,APOIO_REDES!$5:$5,0)),0)*($AI255+$AQ255+$AR255),0)</f>
        <v>0.304554276379504</v>
      </c>
      <c r="BD255" s="153" t="n">
        <f aca="false">IF(AND($N255="VCA",$AF255&gt;=1.25,$AF255&lt;1.5),$M255*$AF255*2,0)</f>
        <v>253.54526</v>
      </c>
      <c r="BE255" s="153" t="n">
        <f aca="false">IF(AND($N255="VCA",$AF255&gt;=1.5,$AF255&lt;3),$M255*$AF255*2,0)</f>
        <v>0</v>
      </c>
      <c r="BF255" s="153" t="n">
        <f aca="false">IF(AND($N255="VCA",$AF255&gt;=3),$M255*$AF255*2,0)</f>
        <v>0</v>
      </c>
      <c r="BG255" s="153" t="n">
        <f aca="false">($BB255+$BC255)*$AK255</f>
        <v>114.76457395</v>
      </c>
      <c r="BH255" s="153" t="n">
        <f aca="false">IF(AND($M255&lt;&gt;"",$N255="VCA",$Q255="LINEAR"),($M255*2)/100,IF(AND($M255&lt;&gt;"",$N255="MND",$Q255="EMBOQUE"),($AN255*2)/100,0))</f>
        <v>1.8602</v>
      </c>
      <c r="BI255" s="153" t="n">
        <f aca="false">IF(AND($M255&lt;&gt;"",$N255="VCA",$Q255="LINEAR"),$M255,IF(AND($M255&lt;&gt;"",$N255="MND",$Q255="EMBOQUE"),$AN255*2,0))</f>
        <v>93.01</v>
      </c>
      <c r="BJ255" s="153" t="n">
        <f aca="false">IF(AND($M255&lt;&gt;"",$N255="VCA",$Q255="LINEAR"),($M255*6.8)/100,IF(AND($M255&lt;&gt;"",$N255="MND",$Q255="EMBOQUE"),($AN255*2*6.8)/100,0))</f>
        <v>6.32468</v>
      </c>
      <c r="BK255" s="153" t="n">
        <f aca="false">IF(AND($M255&lt;&gt;"",$N255="VCA",$Q255="LINEAR"),($M255*2.5)/50,IF(AND($M255&lt;&gt;"",$N255="MND",$Q255="EMBOQUE"),($AN255*2*2.5)/50,0))</f>
        <v>4.6505</v>
      </c>
      <c r="BL255" s="157" t="str">
        <f aca="false">K255&amp;J255</f>
        <v>Zona02REDES</v>
      </c>
      <c r="BM255" s="152" t="s">
        <v>2037</v>
      </c>
      <c r="BN255" s="152" t="s">
        <v>1560</v>
      </c>
      <c r="BO255" s="152" t="s">
        <v>2489</v>
      </c>
      <c r="BP255" s="152" t="s">
        <v>2475</v>
      </c>
      <c r="BQ255" s="152" t="s">
        <v>2492</v>
      </c>
      <c r="BR255" s="152" t="s">
        <v>2496</v>
      </c>
      <c r="BS255" s="152" t="n">
        <v>202639.11</v>
      </c>
      <c r="BT255" s="152" t="n">
        <v>8237479.782</v>
      </c>
      <c r="BU255" s="152" t="n">
        <v>202550.146</v>
      </c>
      <c r="BV255" s="152" t="n">
        <v>8237452.996</v>
      </c>
      <c r="BW255" s="152" t="n">
        <v>-15.9242422</v>
      </c>
      <c r="BX255" s="152" t="n">
        <v>-47.7777302</v>
      </c>
      <c r="BY255" s="152" t="s">
        <v>2475</v>
      </c>
    </row>
    <row r="256" customFormat="false" ht="13.8" hidden="false" customHeight="false" outlineLevel="0" collapsed="false">
      <c r="A256" s="149" t="n">
        <f aca="false">IF(C256&lt;&gt;"",ROW(A251),"")</f>
        <v>251</v>
      </c>
      <c r="B256" s="150" t="str">
        <f aca="false">HYPERLINK("https://www.google.com/maps/dir/-15.917302,-47.760003/-15.9243995,-47.7772441/data=!4m3!4m2!3e0!5i2")</f>
        <v>https://www.google.com/maps/dir/-15.917302,-47.760003/-15.9243995,-47.7772441/data=!4m3!4m2!3e0!5i2</v>
      </c>
      <c r="C256" s="151" t="s">
        <v>117</v>
      </c>
      <c r="D256" s="152" t="s">
        <v>112</v>
      </c>
      <c r="E256" s="152" t="s">
        <v>113</v>
      </c>
      <c r="F256" s="152" t="s">
        <v>117</v>
      </c>
      <c r="G256" s="152" t="s">
        <v>782</v>
      </c>
      <c r="H256" s="152" t="n">
        <v>63</v>
      </c>
      <c r="I256" s="152" t="s">
        <v>115</v>
      </c>
      <c r="J256" s="152" t="s">
        <v>6</v>
      </c>
      <c r="K256" s="152" t="s">
        <v>2033</v>
      </c>
      <c r="L256" s="152" t="s">
        <v>120</v>
      </c>
      <c r="M256" s="153" t="n">
        <f aca="false">32.51</f>
        <v>32.51</v>
      </c>
      <c r="N256" s="152" t="s">
        <v>1548</v>
      </c>
      <c r="O256" s="152" t="s">
        <v>1549</v>
      </c>
      <c r="P256" s="152" t="s">
        <v>1550</v>
      </c>
      <c r="Q256" s="152" t="s">
        <v>1551</v>
      </c>
      <c r="R256" s="154" t="s">
        <v>2497</v>
      </c>
      <c r="S256" s="154" t="s">
        <v>1553</v>
      </c>
      <c r="T256" s="155" t="s">
        <v>2487</v>
      </c>
      <c r="U256" s="152" t="str">
        <f aca="false">RIGHT(T256,7)</f>
        <v>011/037</v>
      </c>
      <c r="V256" s="152" t="s">
        <v>1555</v>
      </c>
      <c r="W256" s="156" t="n">
        <v>45882</v>
      </c>
      <c r="X256" s="152" t="s">
        <v>1594</v>
      </c>
      <c r="Y256" s="152" t="s">
        <v>2498</v>
      </c>
      <c r="Z256" s="152" t="s">
        <v>1557</v>
      </c>
      <c r="AA256" s="153" t="n">
        <v>4.1</v>
      </c>
      <c r="AB256" s="151" t="s">
        <v>2499</v>
      </c>
      <c r="AC256" s="151" t="s">
        <v>186</v>
      </c>
      <c r="AD256" s="151" t="str">
        <f aca="false">CONCATENATE($C256,$I256,$H256,$N256,$J256,$K256)</f>
        <v>TUBO PEADPEAD63VCAREDESZona02</v>
      </c>
      <c r="AE256" s="153" t="n">
        <f aca="false">IFERROR(INDEX(APOIO_REDES!$A:$W,MATCH($C256&amp;$I256&amp;$H256&amp;$N256&amp;$O256,APOIO_REDES!$W:$W,0),MATCH(AE$5,APOIO_REDES!$5:$5,0)),0)</f>
        <v>1.2</v>
      </c>
      <c r="AF256" s="153" t="n">
        <f aca="false">IFERROR(INDEX(APOIO_REDES!$A:$W,MATCH($C256&amp;$I256&amp;$H256&amp;$N256&amp;$O256,APOIO_REDES!$W:$W,0),MATCH(AF$5,APOIO_REDES!$5:$5,0)),0)</f>
        <v>1.363</v>
      </c>
      <c r="AG256" s="153" t="n">
        <f aca="false">IFERROR(INDEX(APOIO_REDES!$A:$W,MATCH($C256&amp;$I256&amp;$H256&amp;$N256&amp;$O256,APOIO_REDES!$W:$W,0),MATCH(AG$5,APOIO_REDES!$5:$5,0)),0)</f>
        <v>0.65</v>
      </c>
      <c r="AH256" s="153" t="n">
        <f aca="false">IFERROR(INDEX(APOIO_REDES!$A:$W,MATCH($C256&amp;$I256&amp;$H256&amp;$N256&amp;$O256,APOIO_REDES!$W:$W,0),MATCH(AH$5,APOIO_REDES!$5:$5,0)),0)</f>
        <v>0.1</v>
      </c>
      <c r="AI256" s="153" t="n">
        <f aca="false">IFERROR(IF($H256&lt;&gt;"",(((($H256/1000)/2)^2)*PI()*$M256),0),0)</f>
        <v>0.101341645045151</v>
      </c>
      <c r="AJ256" s="153" t="n">
        <f aca="false">IFERROR(IF(AND($H256&lt;&gt;"",$I256="FoFo",OR($N256="MND",$N256="VCA"),$Q256="LINEAR"),0,IF(AND($H256&lt;&gt;"",$I256="PEAD",$N256="VCA",$Q256="LINEAR"),($H256/1000)+0.3,IF(AND($H256&lt;&gt;"",$I256="PEAD",$N256="MND",$Q256="EMBOQUE"),0,IF(AND($H256&lt;&gt;"",$I256="PVC",$N256="VCA",$Q256="LINEAR"),($H256/1000)+0.2,IF(AND($H256&lt;&gt;"",$I256="PVC",$N256="MND",$Q256="EMBOQUE"),0,IF(AND($H256&lt;&gt;"",$I256="PEAD",$N256="VCA",$Q256="PREDIAL"),0,0)))))),0)</f>
        <v>0.363</v>
      </c>
      <c r="AK256" s="153" t="n">
        <f aca="false">IF(AA256&lt;&gt;"",AA256,0)</f>
        <v>4.1</v>
      </c>
      <c r="AL256" s="153" t="n">
        <f aca="false">IF(AND($N256="MND",$Q256="EMBOQUE"),$M256,IF(AND($N256="VCA",$Q256="LINEAR"),$M256,IF(AND($N256="VCA",$Q256="PREDIAL"),0,0)))</f>
        <v>32.51</v>
      </c>
      <c r="AM256" s="153" t="n">
        <f aca="false">IF(AND($N256="MND",$Q256="EMBOQUE"),$M256,IF(AND($N256="VCA",$Q256="LINEAR"),$M256,IF(AND($N256="VCA",$Q256="PREDIAL"),0,0)))</f>
        <v>32.51</v>
      </c>
      <c r="AN256" s="153" t="n">
        <f aca="false">ROUND(IF(AND($N256="VCA",$M256&lt;&gt;"",$Q256="LINEAR"),$M256/100,IF(AND($N256="MND",$M256&gt;100,$Q256="EMBOQUE"),$M256/100,0)),0)</f>
        <v>0</v>
      </c>
      <c r="AO256" s="153" t="n">
        <f aca="false">IF(AND($N256="MND",$Q256="EMBOQUE"),$AN256*2*2,IF(AND($N256="VCA",$Q256="LINEAR"),$M256*2,IF(AND($N256="VCA",$Q256="PREDIAL"),0,0)))</f>
        <v>65.02</v>
      </c>
      <c r="AP256" s="153" t="n">
        <f aca="false">IFERROR($M256*$AF256*$AG256,0)</f>
        <v>28.8022345</v>
      </c>
      <c r="AQ256" s="153" t="n">
        <f aca="false">IFERROR(IF(AND($N256="VCA",$AH256&gt;0),$M256*$AG256*$AH256,0),0)</f>
        <v>2.11315</v>
      </c>
      <c r="AR256" s="153" t="n">
        <f aca="false">IFERROR(IF(AND($N256="VCA",$AJ256&gt;0),($M256*$AG256*$AJ256)-$AI256,0),0)</f>
        <v>7.56939285495485</v>
      </c>
      <c r="AS256" s="153" t="n">
        <f aca="false">IFERROR(IF(AND($N256="VCA",$AP256&gt;0),$AP256-$AI256-$AQ256-$AR256,0),0)</f>
        <v>19.01835</v>
      </c>
      <c r="AT256" s="153" t="n">
        <f aca="false">IFERROR(IF($N256="VCA",INDEX(APOIO_REDES!$A:$W,MATCH($C256&amp;$I256&amp;$H256&amp;$N256&amp;$O256,APOIO_REDES!$W:$W,0),MATCH(AT$5,APOIO_REDES!$5:$5,0)),0)*$AP256,0)</f>
        <v>0.313376836386253</v>
      </c>
      <c r="AU256" s="153" t="n">
        <f aca="false">IFERROR(IF($N256="VCA",INDEX(APOIO_REDES!$A:$W,MATCH($C256&amp;$I256&amp;$H256&amp;$N256&amp;$O256,APOIO_REDES!$W:$W,0),MATCH(AU$5,APOIO_REDES!$5:$5,0)),0)*$AP256,0)</f>
        <v>0.250254254216966</v>
      </c>
      <c r="AV256" s="153" t="n">
        <f aca="false">IFERROR(IF($N256="VCA",INDEX(APOIO_REDES!$A:$W,MATCH($C256&amp;$I256&amp;$H256&amp;$N256&amp;$O256,APOIO_REDES!$W:$W,0),MATCH(AV$5,APOIO_REDES!$5:$5,0)),0)*$AP256,0)</f>
        <v>0.0346332242107054</v>
      </c>
      <c r="AW256" s="153" t="n">
        <f aca="false">IFERROR(IF($N256="VCA",INDEX(APOIO_REDES!$A:$W,MATCH($C256&amp;$I256&amp;$H256&amp;$N256&amp;$O256,APOIO_REDES!$W:$W,0),MATCH(AW$5,APOIO_REDES!$5:$5,0)),0)*$AP256,0)</f>
        <v>19.7700769314031</v>
      </c>
      <c r="AX256" s="153" t="n">
        <f aca="false">IFERROR(IF($N256="VCA",INDEX(APOIO_REDES!$A:$W,MATCH($C256&amp;$I256&amp;$H256&amp;$N256&amp;$O256,APOIO_REDES!$W:$W,0),MATCH(AX$5,APOIO_REDES!$5:$5,0)),0)*$AP256,0)</f>
        <v>2.73612233117605</v>
      </c>
      <c r="AY256" s="153" t="n">
        <f aca="false">IFERROR(IF($N256="VCA",INDEX(APOIO_REDES!$A:$W,MATCH($C256&amp;$I256&amp;$H256&amp;$N256&amp;$O256,APOIO_REDES!$W:$W,0),MATCH(AY$5,APOIO_REDES!$5:$5,0)),0)*$AP256,0)</f>
        <v>5.00508203376025</v>
      </c>
      <c r="AZ256" s="153" t="n">
        <f aca="false">IFERROR(IF($N256="VCA",INDEX(APOIO_REDES!$A:$W,MATCH($C256&amp;$I256&amp;$H256&amp;$N256&amp;$O256,APOIO_REDES!$W:$W,0),MATCH(AZ$5,APOIO_REDES!$5:$5,0)),0)*$AP256,0)</f>
        <v>0.692688888846688</v>
      </c>
      <c r="BA256" s="153" t="n">
        <f aca="false">IFERROR(IF(AND($N256="VCA",$Q256="LINEAR"),INDEX(APOIO_REDES!$A:$W,MATCH($C256&amp;$I256&amp;$H256&amp;$N256&amp;$O256,APOIO_REDES!$W:$W,0),MATCH(BA$5,APOIO_REDES!$5:$5,0)),IF(AND($N256="MND",$Q256="EMBOQUE"),INDEX(APOIO_REDES!$A:$W,MATCH($C256&amp;$I256&amp;$H256&amp;$N256&amp;$O256,APOIO_REDES!$W:$W,0),MATCH(BA$5,APOIO_REDES!$5:$5,0)),0))*$M256/10,0)</f>
        <v>2.62022399611866</v>
      </c>
      <c r="BB256" s="153" t="n">
        <f aca="false">IFERROR(IF($N256="VCA",INDEX(APOIO_REDES!$A:$W,MATCH($C256&amp;$I256&amp;$H256&amp;$N256&amp;$O256,APOIO_REDES!$W:$W,0),MATCH(BB$5,APOIO_REDES!$5:$5,0)),0)*($AI256+$AQ256+$AR256),0)</f>
        <v>9.67743294075801</v>
      </c>
      <c r="BC256" s="153" t="n">
        <f aca="false">IFERROR(IF($N256="VCA",INDEX(APOIO_REDES!$A:$W,MATCH($C256&amp;$I256&amp;$H256&amp;$N256&amp;$O256,APOIO_REDES!$W:$W,0),MATCH(BC$5,APOIO_REDES!$5:$5,0)),0)*($AI256+$AQ256+$AR256),0)</f>
        <v>0.106451559241992</v>
      </c>
      <c r="BD256" s="153" t="n">
        <f aca="false">IF(AND($N256="VCA",$AF256&gt;=1.25,$AF256&lt;1.5),$M256*$AF256*2,0)</f>
        <v>88.62226</v>
      </c>
      <c r="BE256" s="153" t="n">
        <f aca="false">IF(AND($N256="VCA",$AF256&gt;=1.5,$AF256&lt;3),$M256*$AF256*2,0)</f>
        <v>0</v>
      </c>
      <c r="BF256" s="153" t="n">
        <f aca="false">IF(AND($N256="VCA",$AF256&gt;=3),$M256*$AF256*2,0)</f>
        <v>0</v>
      </c>
      <c r="BG256" s="153" t="n">
        <f aca="false">($BB256+$BC256)*$AK256</f>
        <v>40.11392645</v>
      </c>
      <c r="BH256" s="153" t="n">
        <f aca="false">IF(AND($M256&lt;&gt;"",$N256="VCA",$Q256="LINEAR"),($M256*2)/100,IF(AND($M256&lt;&gt;"",$N256="MND",$Q256="EMBOQUE"),($AN256*2)/100,0))</f>
        <v>0.6502</v>
      </c>
      <c r="BI256" s="153" t="n">
        <f aca="false">IF(AND($M256&lt;&gt;"",$N256="VCA",$Q256="LINEAR"),$M256,IF(AND($M256&lt;&gt;"",$N256="MND",$Q256="EMBOQUE"),$AN256*2,0))</f>
        <v>32.51</v>
      </c>
      <c r="BJ256" s="153" t="n">
        <f aca="false">IF(AND($M256&lt;&gt;"",$N256="VCA",$Q256="LINEAR"),($M256*6.8)/100,IF(AND($M256&lt;&gt;"",$N256="MND",$Q256="EMBOQUE"),($AN256*2*6.8)/100,0))</f>
        <v>2.21068</v>
      </c>
      <c r="BK256" s="153" t="n">
        <f aca="false">IF(AND($M256&lt;&gt;"",$N256="VCA",$Q256="LINEAR"),($M256*2.5)/50,IF(AND($M256&lt;&gt;"",$N256="MND",$Q256="EMBOQUE"),($AN256*2*2.5)/50,0))</f>
        <v>1.6255</v>
      </c>
      <c r="BL256" s="157" t="str">
        <f aca="false">K256&amp;J256</f>
        <v>Zona02REDES</v>
      </c>
      <c r="BM256" s="152" t="s">
        <v>2037</v>
      </c>
      <c r="BN256" s="152" t="s">
        <v>1560</v>
      </c>
      <c r="BO256" s="152" t="s">
        <v>2489</v>
      </c>
      <c r="BP256" s="152" t="s">
        <v>2484</v>
      </c>
      <c r="BQ256" s="152" t="s">
        <v>2475</v>
      </c>
      <c r="BR256" s="152" t="s">
        <v>2500</v>
      </c>
      <c r="BS256" s="152" t="n">
        <v>202647.23</v>
      </c>
      <c r="BT256" s="152" t="n">
        <v>8237448.702</v>
      </c>
      <c r="BU256" s="152" t="n">
        <v>202639.11</v>
      </c>
      <c r="BV256" s="152" t="n">
        <v>8237479.782</v>
      </c>
      <c r="BW256" s="152" t="n">
        <v>-15.9242606</v>
      </c>
      <c r="BX256" s="152" t="n">
        <v>-47.7772932</v>
      </c>
      <c r="BY256" s="152" t="s">
        <v>2484</v>
      </c>
    </row>
    <row r="257" customFormat="false" ht="13.8" hidden="false" customHeight="false" outlineLevel="0" collapsed="false">
      <c r="A257" s="149" t="n">
        <f aca="false">IF(C257&lt;&gt;"",ROW(A252),"")</f>
        <v>252</v>
      </c>
      <c r="B257" s="150" t="str">
        <f aca="false">HYPERLINK("https://www.google.com/maps/dir/-15.917302,-47.760003/-15.9244564,-47.7758880/data=!4m3!4m2!3e0!5i2")</f>
        <v>https://www.google.com/maps/dir/-15.917302,-47.760003/-15.9244564,-47.7758880/data=!4m3!4m2!3e0!5i2</v>
      </c>
      <c r="C257" s="151" t="s">
        <v>117</v>
      </c>
      <c r="D257" s="152" t="s">
        <v>112</v>
      </c>
      <c r="E257" s="152" t="s">
        <v>113</v>
      </c>
      <c r="F257" s="152" t="s">
        <v>117</v>
      </c>
      <c r="G257" s="152" t="s">
        <v>114</v>
      </c>
      <c r="H257" s="152" t="n">
        <v>160</v>
      </c>
      <c r="I257" s="152" t="s">
        <v>115</v>
      </c>
      <c r="J257" s="152" t="s">
        <v>6</v>
      </c>
      <c r="K257" s="152" t="s">
        <v>2033</v>
      </c>
      <c r="L257" s="152" t="s">
        <v>120</v>
      </c>
      <c r="M257" s="153" t="n">
        <f aca="false">14.46</f>
        <v>14.46</v>
      </c>
      <c r="N257" s="152" t="s">
        <v>1548</v>
      </c>
      <c r="O257" s="152" t="s">
        <v>1549</v>
      </c>
      <c r="P257" s="152" t="s">
        <v>1550</v>
      </c>
      <c r="Q257" s="152" t="s">
        <v>1551</v>
      </c>
      <c r="R257" s="154" t="s">
        <v>2501</v>
      </c>
      <c r="S257" s="154" t="s">
        <v>1593</v>
      </c>
      <c r="T257" s="155" t="s">
        <v>2487</v>
      </c>
      <c r="U257" s="152" t="str">
        <f aca="false">RIGHT(T257,7)</f>
        <v>011/037</v>
      </c>
      <c r="V257" s="152" t="s">
        <v>1555</v>
      </c>
      <c r="W257" s="156" t="n">
        <v>45882</v>
      </c>
      <c r="X257" s="152" t="s">
        <v>1594</v>
      </c>
      <c r="Y257" s="152"/>
      <c r="Z257" s="152" t="s">
        <v>1557</v>
      </c>
      <c r="AA257" s="153" t="n">
        <v>3.9</v>
      </c>
      <c r="AB257" s="151" t="s">
        <v>2502</v>
      </c>
      <c r="AC257" s="151" t="s">
        <v>505</v>
      </c>
      <c r="AD257" s="151" t="str">
        <f aca="false">CONCATENATE($C257,$I257,$H257,$N257,$J257,$K257)</f>
        <v>TUBO PEADPEAD160VCAREDESZona02</v>
      </c>
      <c r="AE257" s="153" t="n">
        <f aca="false">IFERROR(INDEX(APOIO_REDES!$A:$W,MATCH($C257&amp;$I257&amp;$H257&amp;$N257&amp;$O257,APOIO_REDES!$W:$W,0),MATCH(AE$5,APOIO_REDES!$5:$5,0)),0)</f>
        <v>1.2</v>
      </c>
      <c r="AF257" s="153" t="n">
        <f aca="false">IFERROR(INDEX(APOIO_REDES!$A:$W,MATCH($C257&amp;$I257&amp;$H257&amp;$N257&amp;$O257,APOIO_REDES!$W:$W,0),MATCH(AF$5,APOIO_REDES!$5:$5,0)),0)</f>
        <v>1.46</v>
      </c>
      <c r="AG257" s="153" t="n">
        <f aca="false">IFERROR(INDEX(APOIO_REDES!$A:$W,MATCH($C257&amp;$I257&amp;$H257&amp;$N257&amp;$O257,APOIO_REDES!$W:$W,0),MATCH(AG$5,APOIO_REDES!$5:$5,0)),0)</f>
        <v>0.75</v>
      </c>
      <c r="AH257" s="153" t="n">
        <f aca="false">IFERROR(INDEX(APOIO_REDES!$A:$W,MATCH($C257&amp;$I257&amp;$H257&amp;$N257&amp;$O257,APOIO_REDES!$W:$W,0),MATCH(AH$5,APOIO_REDES!$5:$5,0)),0)</f>
        <v>0.1</v>
      </c>
      <c r="AI257" s="153" t="n">
        <f aca="false">IFERROR(IF($H257&lt;&gt;"",(((($H257/1000)/2)^2)*PI()*$M257),0),0)</f>
        <v>0.290735550533814</v>
      </c>
      <c r="AJ257" s="153" t="n">
        <f aca="false">IFERROR(IF(AND($H257&lt;&gt;"",$I257="FoFo",OR($N257="MND",$N257="VCA"),$Q257="LINEAR"),0,IF(AND($H257&lt;&gt;"",$I257="PEAD",$N257="VCA",$Q257="LINEAR"),($H257/1000)+0.3,IF(AND($H257&lt;&gt;"",$I257="PEAD",$N257="MND",$Q257="EMBOQUE"),0,IF(AND($H257&lt;&gt;"",$I257="PVC",$N257="VCA",$Q257="LINEAR"),($H257/1000)+0.2,IF(AND($H257&lt;&gt;"",$I257="PVC",$N257="MND",$Q257="EMBOQUE"),0,IF(AND($H257&lt;&gt;"",$I257="PEAD",$N257="VCA",$Q257="PREDIAL"),0,0)))))),0)</f>
        <v>0.46</v>
      </c>
      <c r="AK257" s="153" t="n">
        <f aca="false">IF(AA257&lt;&gt;"",AA257,0)</f>
        <v>3.9</v>
      </c>
      <c r="AL257" s="153" t="n">
        <f aca="false">IF(AND($N257="MND",$Q257="EMBOQUE"),$M257,IF(AND($N257="VCA",$Q257="LINEAR"),$M257,IF(AND($N257="VCA",$Q257="PREDIAL"),0,0)))</f>
        <v>14.46</v>
      </c>
      <c r="AM257" s="153" t="n">
        <f aca="false">IF(AND($N257="MND",$Q257="EMBOQUE"),$M257,IF(AND($N257="VCA",$Q257="LINEAR"),$M257,IF(AND($N257="VCA",$Q257="PREDIAL"),0,0)))</f>
        <v>14.46</v>
      </c>
      <c r="AN257" s="153" t="n">
        <f aca="false">ROUND(IF(AND($N257="VCA",$M257&lt;&gt;"",$Q257="LINEAR"),$M257/100,IF(AND($N257="MND",$M257&gt;100,$Q257="EMBOQUE"),$M257/100,0)),0)</f>
        <v>0</v>
      </c>
      <c r="AO257" s="153" t="n">
        <f aca="false">IF(AND($N257="MND",$Q257="EMBOQUE"),$AN257*2*2,IF(AND($N257="VCA",$Q257="LINEAR"),$M257*2,IF(AND($N257="VCA",$Q257="PREDIAL"),0,0)))</f>
        <v>28.92</v>
      </c>
      <c r="AP257" s="153" t="n">
        <f aca="false">IFERROR($M257*$AF257*$AG257,0)</f>
        <v>15.8337</v>
      </c>
      <c r="AQ257" s="153" t="n">
        <f aca="false">IFERROR(IF(AND($N257="VCA",$AH257&gt;0),$M257*$AG257*$AH257,0),0)</f>
        <v>1.0845</v>
      </c>
      <c r="AR257" s="153" t="n">
        <f aca="false">IFERROR(IF(AND($N257="VCA",$AJ257&gt;0),($M257*$AG257*$AJ257)-$AI257,0),0)</f>
        <v>4.69796444946619</v>
      </c>
      <c r="AS257" s="153" t="n">
        <f aca="false">IFERROR(IF(AND($N257="VCA",$AP257&gt;0),$AP257-$AI257-$AQ257-$AR257,0),0)</f>
        <v>9.7605</v>
      </c>
      <c r="AT257" s="153" t="n">
        <f aca="false">IFERROR(IF($N257="VCA",INDEX(APOIO_REDES!$A:$W,MATCH($C257&amp;$I257&amp;$H257&amp;$N257&amp;$O257,APOIO_REDES!$W:$W,0),MATCH(AT$5,APOIO_REDES!$5:$5,0)),0)*$AP257,0)</f>
        <v>0.172275342535976</v>
      </c>
      <c r="AU257" s="153" t="n">
        <f aca="false">IFERROR(IF($N257="VCA",INDEX(APOIO_REDES!$A:$W,MATCH($C257&amp;$I257&amp;$H257&amp;$N257&amp;$O257,APOIO_REDES!$W:$W,0),MATCH(AU$5,APOIO_REDES!$5:$5,0)),0)*$AP257,0)</f>
        <v>0.137574422741235</v>
      </c>
      <c r="AV257" s="153" t="n">
        <f aca="false">IFERROR(IF($N257="VCA",INDEX(APOIO_REDES!$A:$W,MATCH($C257&amp;$I257&amp;$H257&amp;$N257&amp;$O257,APOIO_REDES!$W:$W,0),MATCH(AV$5,APOIO_REDES!$5:$5,0)),0)*$AP257,0)</f>
        <v>0.0190392201058236</v>
      </c>
      <c r="AW257" s="153" t="n">
        <f aca="false">IFERROR(IF($N257="VCA",INDEX(APOIO_REDES!$A:$W,MATCH($C257&amp;$I257&amp;$H257&amp;$N257&amp;$O257,APOIO_REDES!$W:$W,0),MATCH(AW$5,APOIO_REDES!$5:$5,0)),0)*$AP257,0)</f>
        <v>10.8683743654944</v>
      </c>
      <c r="AX257" s="153" t="n">
        <f aca="false">IFERROR(IF($N257="VCA",INDEX(APOIO_REDES!$A:$W,MATCH($C257&amp;$I257&amp;$H257&amp;$N257&amp;$O257,APOIO_REDES!$W:$W,0),MATCH(AX$5,APOIO_REDES!$5:$5,0)),0)*$AP257,0)</f>
        <v>1.50415205303402</v>
      </c>
      <c r="AY257" s="153" t="n">
        <f aca="false">IFERROR(IF($N257="VCA",INDEX(APOIO_REDES!$A:$W,MATCH($C257&amp;$I257&amp;$H257&amp;$N257&amp;$O257,APOIO_REDES!$W:$W,0),MATCH(AY$5,APOIO_REDES!$5:$5,0)),0)*$AP257,0)</f>
        <v>2.75148677780363</v>
      </c>
      <c r="AZ257" s="153" t="n">
        <f aca="false">IFERROR(IF($N257="VCA",INDEX(APOIO_REDES!$A:$W,MATCH($C257&amp;$I257&amp;$H257&amp;$N257&amp;$O257,APOIO_REDES!$W:$W,0),MATCH(AZ$5,APOIO_REDES!$5:$5,0)),0)*$AP257,0)</f>
        <v>0.38079781828496</v>
      </c>
      <c r="BA257" s="153" t="n">
        <f aca="false">IFERROR(IF(AND($N257="VCA",$Q257="LINEAR"),INDEX(APOIO_REDES!$A:$W,MATCH($C257&amp;$I257&amp;$H257&amp;$N257&amp;$O257,APOIO_REDES!$W:$W,0),MATCH(BA$5,APOIO_REDES!$5:$5,0)),IF(AND($N257="MND",$Q257="EMBOQUE"),INDEX(APOIO_REDES!$A:$W,MATCH($C257&amp;$I257&amp;$H257&amp;$N257&amp;$O257,APOIO_REDES!$W:$W,0),MATCH(BA$5,APOIO_REDES!$5:$5,0)),0))*$M257/10,0)</f>
        <v>1.16543952580362</v>
      </c>
      <c r="BB257" s="153" t="n">
        <f aca="false">IFERROR(IF($N257="VCA",INDEX(APOIO_REDES!$A:$W,MATCH($C257&amp;$I257&amp;$H257&amp;$N257&amp;$O257,APOIO_REDES!$W:$W,0),MATCH(BB$5,APOIO_REDES!$5:$5,0)),0)*($AI257+$AQ257+$AR257),0)</f>
        <v>6.00712178642456</v>
      </c>
      <c r="BC257" s="153" t="n">
        <f aca="false">IFERROR(IF($N257="VCA",INDEX(APOIO_REDES!$A:$W,MATCH($C257&amp;$I257&amp;$H257&amp;$N257&amp;$O257,APOIO_REDES!$W:$W,0),MATCH(BC$5,APOIO_REDES!$5:$5,0)),0)*($AI257+$AQ257+$AR257),0)</f>
        <v>0.066078213575443</v>
      </c>
      <c r="BD257" s="153" t="n">
        <f aca="false">IF(AND($N257="VCA",$AF257&gt;=1.25,$AF257&lt;1.5),$M257*$AF257*2,0)</f>
        <v>42.2232</v>
      </c>
      <c r="BE257" s="153" t="n">
        <f aca="false">IF(AND($N257="VCA",$AF257&gt;=1.5,$AF257&lt;3),$M257*$AF257*2,0)</f>
        <v>0</v>
      </c>
      <c r="BF257" s="153" t="n">
        <f aca="false">IF(AND($N257="VCA",$AF257&gt;=3),$M257*$AF257*2,0)</f>
        <v>0</v>
      </c>
      <c r="BG257" s="153" t="n">
        <f aca="false">($BB257+$BC257)*$AK257</f>
        <v>23.68548</v>
      </c>
      <c r="BH257" s="153" t="n">
        <f aca="false">IF(AND($M257&lt;&gt;"",$N257="VCA",$Q257="LINEAR"),($M257*2)/100,IF(AND($M257&lt;&gt;"",$N257="MND",$Q257="EMBOQUE"),($AN257*2)/100,0))</f>
        <v>0.2892</v>
      </c>
      <c r="BI257" s="153" t="n">
        <f aca="false">IF(AND($M257&lt;&gt;"",$N257="VCA",$Q257="LINEAR"),$M257,IF(AND($M257&lt;&gt;"",$N257="MND",$Q257="EMBOQUE"),$AN257*2,0))</f>
        <v>14.46</v>
      </c>
      <c r="BJ257" s="153" t="n">
        <f aca="false">IF(AND($M257&lt;&gt;"",$N257="VCA",$Q257="LINEAR"),($M257*6.8)/100,IF(AND($M257&lt;&gt;"",$N257="MND",$Q257="EMBOQUE"),($AN257*2*6.8)/100,0))</f>
        <v>0.98328</v>
      </c>
      <c r="BK257" s="153" t="n">
        <f aca="false">IF(AND($M257&lt;&gt;"",$N257="VCA",$Q257="LINEAR"),($M257*2.5)/50,IF(AND($M257&lt;&gt;"",$N257="MND",$Q257="EMBOQUE"),($AN257*2*2.5)/50,0))</f>
        <v>0.723</v>
      </c>
      <c r="BL257" s="157" t="str">
        <f aca="false">K257&amp;J257</f>
        <v>Zona02REDES</v>
      </c>
      <c r="BM257" s="152" t="s">
        <v>2037</v>
      </c>
      <c r="BN257" s="152" t="s">
        <v>1560</v>
      </c>
      <c r="BO257" s="152" t="s">
        <v>2489</v>
      </c>
      <c r="BP257" s="152" t="s">
        <v>2481</v>
      </c>
      <c r="BQ257" s="152" t="s">
        <v>2247</v>
      </c>
      <c r="BR257" s="152" t="s">
        <v>2461</v>
      </c>
      <c r="BS257" s="152" t="n">
        <v>202792.636</v>
      </c>
      <c r="BT257" s="152" t="n">
        <v>8237444.363</v>
      </c>
      <c r="BU257" s="152" t="n">
        <v>202800.595</v>
      </c>
      <c r="BV257" s="152" t="n">
        <v>8237432.535</v>
      </c>
      <c r="BW257" s="152" t="n">
        <v>-15.9245138</v>
      </c>
      <c r="BX257" s="152" t="n">
        <v>-47.7758582</v>
      </c>
      <c r="BY257" s="152" t="s">
        <v>2481</v>
      </c>
    </row>
    <row r="258" customFormat="false" ht="13.8" hidden="false" customHeight="false" outlineLevel="0" collapsed="false">
      <c r="A258" s="149" t="n">
        <f aca="false">IF(C258&lt;&gt;"",ROW(A253),"")</f>
        <v>253</v>
      </c>
      <c r="B258" s="150" t="str">
        <f aca="false">HYPERLINK("https://www.google.com/maps/dir/-15.917302,-47.760003/-15.9246805,-47.7780607/data=!4m3!4m2!3e0!5i1")</f>
        <v>https://www.google.com/maps/dir/-15.917302,-47.760003/-15.9246805,-47.7780607/data=!4m3!4m2!3e0!5i1</v>
      </c>
      <c r="C258" s="151" t="s">
        <v>117</v>
      </c>
      <c r="D258" s="152" t="s">
        <v>112</v>
      </c>
      <c r="E258" s="152" t="s">
        <v>113</v>
      </c>
      <c r="F258" s="152" t="s">
        <v>117</v>
      </c>
      <c r="G258" s="152" t="s">
        <v>782</v>
      </c>
      <c r="H258" s="152" t="n">
        <v>63</v>
      </c>
      <c r="I258" s="152" t="s">
        <v>115</v>
      </c>
      <c r="J258" s="152" t="s">
        <v>6</v>
      </c>
      <c r="K258" s="152" t="s">
        <v>2033</v>
      </c>
      <c r="L258" s="152" t="s">
        <v>120</v>
      </c>
      <c r="M258" s="153" t="n">
        <f aca="false">37.92</f>
        <v>37.92</v>
      </c>
      <c r="N258" s="152" t="s">
        <v>1548</v>
      </c>
      <c r="O258" s="152" t="s">
        <v>1549</v>
      </c>
      <c r="P258" s="152" t="s">
        <v>1550</v>
      </c>
      <c r="Q258" s="152" t="s">
        <v>1551</v>
      </c>
      <c r="R258" s="154" t="s">
        <v>2503</v>
      </c>
      <c r="S258" s="154" t="s">
        <v>1553</v>
      </c>
      <c r="T258" s="155" t="s">
        <v>2487</v>
      </c>
      <c r="U258" s="152" t="str">
        <f aca="false">RIGHT(T258,7)</f>
        <v>011/037</v>
      </c>
      <c r="V258" s="152" t="s">
        <v>1555</v>
      </c>
      <c r="W258" s="156" t="n">
        <v>45882</v>
      </c>
      <c r="X258" s="152" t="s">
        <v>1594</v>
      </c>
      <c r="Y258" s="152" t="s">
        <v>2498</v>
      </c>
      <c r="Z258" s="152" t="s">
        <v>1557</v>
      </c>
      <c r="AA258" s="153" t="n">
        <v>3.8</v>
      </c>
      <c r="AB258" s="151" t="s">
        <v>2504</v>
      </c>
      <c r="AC258" s="151" t="s">
        <v>186</v>
      </c>
      <c r="AD258" s="151" t="str">
        <f aca="false">CONCATENATE($C258,$I258,$H258,$N258,$J258,$K258)</f>
        <v>TUBO PEADPEAD63VCAREDESZona02</v>
      </c>
      <c r="AE258" s="153" t="n">
        <f aca="false">IFERROR(INDEX(APOIO_REDES!$A:$W,MATCH($C258&amp;$I258&amp;$H258&amp;$N258&amp;$O258,APOIO_REDES!$W:$W,0),MATCH(AE$5,APOIO_REDES!$5:$5,0)),0)</f>
        <v>1.2</v>
      </c>
      <c r="AF258" s="153" t="n">
        <f aca="false">IFERROR(INDEX(APOIO_REDES!$A:$W,MATCH($C258&amp;$I258&amp;$H258&amp;$N258&amp;$O258,APOIO_REDES!$W:$W,0),MATCH(AF$5,APOIO_REDES!$5:$5,0)),0)</f>
        <v>1.363</v>
      </c>
      <c r="AG258" s="153" t="n">
        <f aca="false">IFERROR(INDEX(APOIO_REDES!$A:$W,MATCH($C258&amp;$I258&amp;$H258&amp;$N258&amp;$O258,APOIO_REDES!$W:$W,0),MATCH(AG$5,APOIO_REDES!$5:$5,0)),0)</f>
        <v>0.65</v>
      </c>
      <c r="AH258" s="153" t="n">
        <f aca="false">IFERROR(INDEX(APOIO_REDES!$A:$W,MATCH($C258&amp;$I258&amp;$H258&amp;$N258&amp;$O258,APOIO_REDES!$W:$W,0),MATCH(AH$5,APOIO_REDES!$5:$5,0)),0)</f>
        <v>0.1</v>
      </c>
      <c r="AI258" s="153" t="n">
        <f aca="false">IFERROR(IF($H258&lt;&gt;"",(((($H258/1000)/2)^2)*PI()*$M258),0),0)</f>
        <v>0.118205942175088</v>
      </c>
      <c r="AJ258" s="153" t="n">
        <f aca="false">IFERROR(IF(AND($H258&lt;&gt;"",$I258="FoFo",OR($N258="MND",$N258="VCA"),$Q258="LINEAR"),0,IF(AND($H258&lt;&gt;"",$I258="PEAD",$N258="VCA",$Q258="LINEAR"),($H258/1000)+0.3,IF(AND($H258&lt;&gt;"",$I258="PEAD",$N258="MND",$Q258="EMBOQUE"),0,IF(AND($H258&lt;&gt;"",$I258="PVC",$N258="VCA",$Q258="LINEAR"),($H258/1000)+0.2,IF(AND($H258&lt;&gt;"",$I258="PVC",$N258="MND",$Q258="EMBOQUE"),0,IF(AND($H258&lt;&gt;"",$I258="PEAD",$N258="VCA",$Q258="PREDIAL"),0,0)))))),0)</f>
        <v>0.363</v>
      </c>
      <c r="AK258" s="153" t="n">
        <f aca="false">IF(AA258&lt;&gt;"",AA258,0)</f>
        <v>3.8</v>
      </c>
      <c r="AL258" s="153" t="n">
        <f aca="false">IF(AND($N258="MND",$Q258="EMBOQUE"),$M258,IF(AND($N258="VCA",$Q258="LINEAR"),$M258,IF(AND($N258="VCA",$Q258="PREDIAL"),0,0)))</f>
        <v>37.92</v>
      </c>
      <c r="AM258" s="153" t="n">
        <f aca="false">IF(AND($N258="MND",$Q258="EMBOQUE"),$M258,IF(AND($N258="VCA",$Q258="LINEAR"),$M258,IF(AND($N258="VCA",$Q258="PREDIAL"),0,0)))</f>
        <v>37.92</v>
      </c>
      <c r="AN258" s="153" t="n">
        <f aca="false">ROUND(IF(AND($N258="VCA",$M258&lt;&gt;"",$Q258="LINEAR"),$M258/100,IF(AND($N258="MND",$M258&gt;100,$Q258="EMBOQUE"),$M258/100,0)),0)</f>
        <v>0</v>
      </c>
      <c r="AO258" s="153" t="n">
        <f aca="false">IF(AND($N258="MND",$Q258="EMBOQUE"),$AN258*2*2,IF(AND($N258="VCA",$Q258="LINEAR"),$M258*2,IF(AND($N258="VCA",$Q258="PREDIAL"),0,0)))</f>
        <v>75.84</v>
      </c>
      <c r="AP258" s="153" t="n">
        <f aca="false">IFERROR($M258*$AF258*$AG258,0)</f>
        <v>33.595224</v>
      </c>
      <c r="AQ258" s="153" t="n">
        <f aca="false">IFERROR(IF(AND($N258="VCA",$AH258&gt;0),$M258*$AG258*$AH258,0),0)</f>
        <v>2.4648</v>
      </c>
      <c r="AR258" s="153" t="n">
        <f aca="false">IFERROR(IF(AND($N258="VCA",$AJ258&gt;0),($M258*$AG258*$AJ258)-$AI258,0),0)</f>
        <v>8.82901805782491</v>
      </c>
      <c r="AS258" s="153" t="n">
        <f aca="false">IFERROR(IF(AND($N258="VCA",$AP258&gt;0),$AP258-$AI258-$AQ258-$AR258,0),0)</f>
        <v>22.1832</v>
      </c>
      <c r="AT258" s="153" t="n">
        <f aca="false">IFERROR(IF($N258="VCA",INDEX(APOIO_REDES!$A:$W,MATCH($C258&amp;$I258&amp;$H258&amp;$N258&amp;$O258,APOIO_REDES!$W:$W,0),MATCH(AT$5,APOIO_REDES!$5:$5,0)),0)*$AP258,0)</f>
        <v>0.36552598079873</v>
      </c>
      <c r="AU258" s="153" t="n">
        <f aca="false">IFERROR(IF($N258="VCA",INDEX(APOIO_REDES!$A:$W,MATCH($C258&amp;$I258&amp;$H258&amp;$N258&amp;$O258,APOIO_REDES!$W:$W,0),MATCH(AU$5,APOIO_REDES!$5:$5,0)),0)*$AP258,0)</f>
        <v>0.291899148566821</v>
      </c>
      <c r="AV258" s="153" t="n">
        <f aca="false">IFERROR(IF($N258="VCA",INDEX(APOIO_REDES!$A:$W,MATCH($C258&amp;$I258&amp;$H258&amp;$N258&amp;$O258,APOIO_REDES!$W:$W,0),MATCH(AV$5,APOIO_REDES!$5:$5,0)),0)*$AP258,0)</f>
        <v>0.0403965506634866</v>
      </c>
      <c r="AW258" s="153" t="n">
        <f aca="false">IFERROR(IF($N258="VCA",INDEX(APOIO_REDES!$A:$W,MATCH($C258&amp;$I258&amp;$H258&amp;$N258&amp;$O258,APOIO_REDES!$W:$W,0),MATCH(AW$5,APOIO_REDES!$5:$5,0)),0)*$AP258,0)</f>
        <v>23.060022062098</v>
      </c>
      <c r="AX258" s="153" t="n">
        <f aca="false">IFERROR(IF($N258="VCA",INDEX(APOIO_REDES!$A:$W,MATCH($C258&amp;$I258&amp;$H258&amp;$N258&amp;$O258,APOIO_REDES!$W:$W,0),MATCH(AX$5,APOIO_REDES!$5:$5,0)),0)*$AP258,0)</f>
        <v>3.19144136567812</v>
      </c>
      <c r="AY258" s="153" t="n">
        <f aca="false">IFERROR(IF($N258="VCA",INDEX(APOIO_REDES!$A:$W,MATCH($C258&amp;$I258&amp;$H258&amp;$N258&amp;$O258,APOIO_REDES!$W:$W,0),MATCH(AY$5,APOIO_REDES!$5:$5,0)),0)*$AP258,0)</f>
        <v>5.83797941310946</v>
      </c>
      <c r="AZ258" s="153" t="n">
        <f aca="false">IFERROR(IF($N258="VCA",INDEX(APOIO_REDES!$A:$W,MATCH($C258&amp;$I258&amp;$H258&amp;$N258&amp;$O258,APOIO_REDES!$W:$W,0),MATCH(AZ$5,APOIO_REDES!$5:$5,0)),0)*$AP258,0)</f>
        <v>0.807959479085401</v>
      </c>
      <c r="BA258" s="153" t="n">
        <f aca="false">IFERROR(IF(AND($N258="VCA",$Q258="LINEAR"),INDEX(APOIO_REDES!$A:$W,MATCH($C258&amp;$I258&amp;$H258&amp;$N258&amp;$O258,APOIO_REDES!$W:$W,0),MATCH(BA$5,APOIO_REDES!$5:$5,0)),IF(AND($N258="MND",$Q258="EMBOQUE"),INDEX(APOIO_REDES!$A:$W,MATCH($C258&amp;$I258&amp;$H258&amp;$N258&amp;$O258,APOIO_REDES!$W:$W,0),MATCH(BA$5,APOIO_REDES!$5:$5,0)),0))*$M258/10,0)</f>
        <v>3.05625634982527</v>
      </c>
      <c r="BB258" s="153" t="n">
        <f aca="false">IFERROR(IF($N258="VCA",INDEX(APOIO_REDES!$A:$W,MATCH($C258&amp;$I258&amp;$H258&amp;$N258&amp;$O258,APOIO_REDES!$W:$W,0),MATCH(BB$5,APOIO_REDES!$5:$5,0)),0)*($AI258+$AQ258+$AR258),0)</f>
        <v>11.2878578010933</v>
      </c>
      <c r="BC258" s="153" t="n">
        <f aca="false">IFERROR(IF($N258="VCA",INDEX(APOIO_REDES!$A:$W,MATCH($C258&amp;$I258&amp;$H258&amp;$N258&amp;$O258,APOIO_REDES!$W:$W,0),MATCH(BC$5,APOIO_REDES!$5:$5,0)),0)*($AI258+$AQ258+$AR258),0)</f>
        <v>0.124166198906685</v>
      </c>
      <c r="BD258" s="153" t="n">
        <f aca="false">IF(AND($N258="VCA",$AF258&gt;=1.25,$AF258&lt;1.5),$M258*$AF258*2,0)</f>
        <v>103.36992</v>
      </c>
      <c r="BE258" s="153" t="n">
        <f aca="false">IF(AND($N258="VCA",$AF258&gt;=1.5,$AF258&lt;3),$M258*$AF258*2,0)</f>
        <v>0</v>
      </c>
      <c r="BF258" s="153" t="n">
        <f aca="false">IF(AND($N258="VCA",$AF258&gt;=3),$M258*$AF258*2,0)</f>
        <v>0</v>
      </c>
      <c r="BG258" s="153" t="n">
        <f aca="false">($BB258+$BC258)*$AK258</f>
        <v>43.3656912</v>
      </c>
      <c r="BH258" s="153" t="n">
        <f aca="false">IF(AND($M258&lt;&gt;"",$N258="VCA",$Q258="LINEAR"),($M258*2)/100,IF(AND($M258&lt;&gt;"",$N258="MND",$Q258="EMBOQUE"),($AN258*2)/100,0))</f>
        <v>0.7584</v>
      </c>
      <c r="BI258" s="153" t="n">
        <f aca="false">IF(AND($M258&lt;&gt;"",$N258="VCA",$Q258="LINEAR"),$M258,IF(AND($M258&lt;&gt;"",$N258="MND",$Q258="EMBOQUE"),$AN258*2,0))</f>
        <v>37.92</v>
      </c>
      <c r="BJ258" s="153" t="n">
        <f aca="false">IF(AND($M258&lt;&gt;"",$N258="VCA",$Q258="LINEAR"),($M258*6.8)/100,IF(AND($M258&lt;&gt;"",$N258="MND",$Q258="EMBOQUE"),($AN258*2*6.8)/100,0))</f>
        <v>2.57856</v>
      </c>
      <c r="BK258" s="153" t="n">
        <f aca="false">IF(AND($M258&lt;&gt;"",$N258="VCA",$Q258="LINEAR"),($M258*2.5)/50,IF(AND($M258&lt;&gt;"",$N258="MND",$Q258="EMBOQUE"),($AN258*2*2.5)/50,0))</f>
        <v>1.896</v>
      </c>
      <c r="BL258" s="157" t="str">
        <f aca="false">K258&amp;J258</f>
        <v>Zona02REDES</v>
      </c>
      <c r="BM258" s="152" t="s">
        <v>2037</v>
      </c>
      <c r="BN258" s="152" t="s">
        <v>1560</v>
      </c>
      <c r="BO258" s="152" t="s">
        <v>2489</v>
      </c>
      <c r="BP258" s="152" t="s">
        <v>2505</v>
      </c>
      <c r="BQ258" s="152" t="s">
        <v>2492</v>
      </c>
      <c r="BR258" s="152" t="s">
        <v>2493</v>
      </c>
      <c r="BS258" s="152" t="n">
        <v>202560.153</v>
      </c>
      <c r="BT258" s="152" t="n">
        <v>8237416.421</v>
      </c>
      <c r="BU258" s="152" t="n">
        <v>202550.146</v>
      </c>
      <c r="BV258" s="152" t="n">
        <v>8237452.996</v>
      </c>
      <c r="BW258" s="152" t="n">
        <v>-15.9245148</v>
      </c>
      <c r="BX258" s="152" t="n">
        <v>-47.7781051</v>
      </c>
      <c r="BY258" s="152" t="s">
        <v>2505</v>
      </c>
    </row>
    <row r="259" customFormat="false" ht="13.8" hidden="false" customHeight="false" outlineLevel="0" collapsed="false">
      <c r="A259" s="149" t="n">
        <f aca="false">IF(C259&lt;&gt;"",ROW(A254),"")</f>
        <v>254</v>
      </c>
      <c r="B259" s="150" t="str">
        <f aca="false">HYPERLINK("https://www.google.com/maps/dir/-15.917302,-47.760003/-15.9246805,-47.7780607/data=!4m3!4m2!3e0!5i1")</f>
        <v>https://www.google.com/maps/dir/-15.917302,-47.760003/-15.9246805,-47.7780607/data=!4m3!4m2!3e0!5i1</v>
      </c>
      <c r="C259" s="151" t="s">
        <v>117</v>
      </c>
      <c r="D259" s="152" t="s">
        <v>112</v>
      </c>
      <c r="E259" s="152" t="s">
        <v>113</v>
      </c>
      <c r="F259" s="152" t="s">
        <v>117</v>
      </c>
      <c r="G259" s="152" t="s">
        <v>782</v>
      </c>
      <c r="H259" s="152" t="n">
        <v>63</v>
      </c>
      <c r="I259" s="152" t="s">
        <v>115</v>
      </c>
      <c r="J259" s="152" t="s">
        <v>6</v>
      </c>
      <c r="K259" s="152" t="s">
        <v>2033</v>
      </c>
      <c r="L259" s="152" t="s">
        <v>120</v>
      </c>
      <c r="M259" s="153" t="n">
        <f aca="false">92.87+0.76</f>
        <v>93.63</v>
      </c>
      <c r="N259" s="152" t="s">
        <v>1548</v>
      </c>
      <c r="O259" s="152" t="s">
        <v>1549</v>
      </c>
      <c r="P259" s="152" t="s">
        <v>1550</v>
      </c>
      <c r="Q259" s="152" t="s">
        <v>1551</v>
      </c>
      <c r="R259" s="154" t="s">
        <v>2506</v>
      </c>
      <c r="S259" s="154" t="s">
        <v>1553</v>
      </c>
      <c r="T259" s="155" t="s">
        <v>2487</v>
      </c>
      <c r="U259" s="152" t="str">
        <f aca="false">RIGHT(T259,7)</f>
        <v>011/037</v>
      </c>
      <c r="V259" s="152" t="s">
        <v>1555</v>
      </c>
      <c r="W259" s="156" t="n">
        <v>45882</v>
      </c>
      <c r="X259" s="152" t="s">
        <v>1594</v>
      </c>
      <c r="Y259" s="152" t="s">
        <v>2498</v>
      </c>
      <c r="Z259" s="152" t="s">
        <v>1557</v>
      </c>
      <c r="AA259" s="153" t="n">
        <v>3.8</v>
      </c>
      <c r="AB259" s="151" t="s">
        <v>2507</v>
      </c>
      <c r="AC259" s="151" t="s">
        <v>186</v>
      </c>
      <c r="AD259" s="151" t="str">
        <f aca="false">CONCATENATE($C259,$I259,$H259,$N259,$J259,$K259)</f>
        <v>TUBO PEADPEAD63VCAREDESZona02</v>
      </c>
      <c r="AE259" s="153" t="n">
        <f aca="false">IFERROR(INDEX(APOIO_REDES!$A:$W,MATCH($C259&amp;$I259&amp;$H259&amp;$N259&amp;$O259,APOIO_REDES!$W:$W,0),MATCH(AE$5,APOIO_REDES!$5:$5,0)),0)</f>
        <v>1.2</v>
      </c>
      <c r="AF259" s="153" t="n">
        <f aca="false">IFERROR(INDEX(APOIO_REDES!$A:$W,MATCH($C259&amp;$I259&amp;$H259&amp;$N259&amp;$O259,APOIO_REDES!$W:$W,0),MATCH(AF$5,APOIO_REDES!$5:$5,0)),0)</f>
        <v>1.363</v>
      </c>
      <c r="AG259" s="153" t="n">
        <f aca="false">IFERROR(INDEX(APOIO_REDES!$A:$W,MATCH($C259&amp;$I259&amp;$H259&amp;$N259&amp;$O259,APOIO_REDES!$W:$W,0),MATCH(AG$5,APOIO_REDES!$5:$5,0)),0)</f>
        <v>0.65</v>
      </c>
      <c r="AH259" s="153" t="n">
        <f aca="false">IFERROR(INDEX(APOIO_REDES!$A:$W,MATCH($C259&amp;$I259&amp;$H259&amp;$N259&amp;$O259,APOIO_REDES!$W:$W,0),MATCH(AH$5,APOIO_REDES!$5:$5,0)),0)</f>
        <v>0.1</v>
      </c>
      <c r="AI259" s="153" t="n">
        <f aca="false">IFERROR(IF($H259&lt;&gt;"",(((($H259/1000)/2)^2)*PI()*$M259),0),0)</f>
        <v>0.291867678424406</v>
      </c>
      <c r="AJ259" s="153" t="n">
        <f aca="false">IFERROR(IF(AND($H259&lt;&gt;"",$I259="FoFo",OR($N259="MND",$N259="VCA"),$Q259="LINEAR"),0,IF(AND($H259&lt;&gt;"",$I259="PEAD",$N259="VCA",$Q259="LINEAR"),($H259/1000)+0.3,IF(AND($H259&lt;&gt;"",$I259="PEAD",$N259="MND",$Q259="EMBOQUE"),0,IF(AND($H259&lt;&gt;"",$I259="PVC",$N259="VCA",$Q259="LINEAR"),($H259/1000)+0.2,IF(AND($H259&lt;&gt;"",$I259="PVC",$N259="MND",$Q259="EMBOQUE"),0,IF(AND($H259&lt;&gt;"",$I259="PEAD",$N259="VCA",$Q259="PREDIAL"),0,0)))))),0)</f>
        <v>0.363</v>
      </c>
      <c r="AK259" s="153" t="n">
        <f aca="false">IF(AA259&lt;&gt;"",AA259,0)</f>
        <v>3.8</v>
      </c>
      <c r="AL259" s="153" t="n">
        <f aca="false">IF(AND($N259="MND",$Q259="EMBOQUE"),$M259,IF(AND($N259="VCA",$Q259="LINEAR"),$M259,IF(AND($N259="VCA",$Q259="PREDIAL"),0,0)))</f>
        <v>93.63</v>
      </c>
      <c r="AM259" s="153" t="n">
        <f aca="false">IF(AND($N259="MND",$Q259="EMBOQUE"),$M259,IF(AND($N259="VCA",$Q259="LINEAR"),$M259,IF(AND($N259="VCA",$Q259="PREDIAL"),0,0)))</f>
        <v>93.63</v>
      </c>
      <c r="AN259" s="153" t="n">
        <f aca="false">ROUND(IF(AND($N259="VCA",$M259&lt;&gt;"",$Q259="LINEAR"),$M259/100,IF(AND($N259="MND",$M259&gt;100,$Q259="EMBOQUE"),$M259/100,0)),0)</f>
        <v>1</v>
      </c>
      <c r="AO259" s="153" t="n">
        <f aca="false">IF(AND($N259="MND",$Q259="EMBOQUE"),$AN259*2*2,IF(AND($N259="VCA",$Q259="LINEAR"),$M259*2,IF(AND($N259="VCA",$Q259="PREDIAL"),0,0)))</f>
        <v>187.26</v>
      </c>
      <c r="AP259" s="153" t="n">
        <f aca="false">IFERROR($M259*$AF259*$AG259,0)</f>
        <v>82.9514985</v>
      </c>
      <c r="AQ259" s="153" t="n">
        <f aca="false">IFERROR(IF(AND($N259="VCA",$AH259&gt;0),$M259*$AG259*$AH259,0),0)</f>
        <v>6.08595</v>
      </c>
      <c r="AR259" s="153" t="n">
        <f aca="false">IFERROR(IF(AND($N259="VCA",$AJ259&gt;0),($M259*$AG259*$AJ259)-$AI259,0),0)</f>
        <v>21.8001308215756</v>
      </c>
      <c r="AS259" s="153" t="n">
        <f aca="false">IFERROR(IF(AND($N259="VCA",$AP259&gt;0),$AP259-$AI259-$AQ259-$AR259,0),0)</f>
        <v>54.77355</v>
      </c>
      <c r="AT259" s="153" t="n">
        <f aca="false">IFERROR(IF($N259="VCA",INDEX(APOIO_REDES!$A:$W,MATCH($C259&amp;$I259&amp;$H259&amp;$N259&amp;$O259,APOIO_REDES!$W:$W,0),MATCH(AT$5,APOIO_REDES!$5:$5,0)),0)*$AP259,0)</f>
        <v>0.902536856070282</v>
      </c>
      <c r="AU259" s="153" t="n">
        <f aca="false">IFERROR(IF($N259="VCA",INDEX(APOIO_REDES!$A:$W,MATCH($C259&amp;$I259&amp;$H259&amp;$N259&amp;$O259,APOIO_REDES!$W:$W,0),MATCH(AU$5,APOIO_REDES!$5:$5,0)),0)*$AP259,0)</f>
        <v>0.72074148945969</v>
      </c>
      <c r="AV259" s="153" t="n">
        <f aca="false">IFERROR(IF($N259="VCA",INDEX(APOIO_REDES!$A:$W,MATCH($C259&amp;$I259&amp;$H259&amp;$N259&amp;$O259,APOIO_REDES!$W:$W,0),MATCH(AV$5,APOIO_REDES!$5:$5,0)),0)*$AP259,0)</f>
        <v>0.0997449640986879</v>
      </c>
      <c r="AW259" s="153" t="n">
        <f aca="false">IFERROR(IF($N259="VCA",INDEX(APOIO_REDES!$A:$W,MATCH($C259&amp;$I259&amp;$H259&amp;$N259&amp;$O259,APOIO_REDES!$W:$W,0),MATCH(AW$5,APOIO_REDES!$5:$5,0)),0)*$AP259,0)</f>
        <v>56.9385513099745</v>
      </c>
      <c r="AX259" s="153" t="n">
        <f aca="false">IFERROR(IF($N259="VCA",INDEX(APOIO_REDES!$A:$W,MATCH($C259&amp;$I259&amp;$H259&amp;$N259&amp;$O259,APOIO_REDES!$W:$W,0),MATCH(AX$5,APOIO_REDES!$5:$5,0)),0)*$AP259,0)</f>
        <v>7.88013330876694</v>
      </c>
      <c r="AY259" s="153" t="n">
        <f aca="false">IFERROR(IF($N259="VCA",INDEX(APOIO_REDES!$A:$W,MATCH($C259&amp;$I259&amp;$H259&amp;$N259&amp;$O259,APOIO_REDES!$W:$W,0),MATCH(AY$5,APOIO_REDES!$5:$5,0)),0)*$AP259,0)</f>
        <v>14.4148210034135</v>
      </c>
      <c r="AZ259" s="153" t="n">
        <f aca="false">IFERROR(IF($N259="VCA",INDEX(APOIO_REDES!$A:$W,MATCH($C259&amp;$I259&amp;$H259&amp;$N259&amp;$O259,APOIO_REDES!$W:$W,0),MATCH(AZ$5,APOIO_REDES!$5:$5,0)),0)*$AP259,0)</f>
        <v>1.99496956821641</v>
      </c>
      <c r="BA259" s="153" t="n">
        <f aca="false">IFERROR(IF(AND($N259="VCA",$Q259="LINEAR"),INDEX(APOIO_REDES!$A:$W,MATCH($C259&amp;$I259&amp;$H259&amp;$N259&amp;$O259,APOIO_REDES!$W:$W,0),MATCH(BA$5,APOIO_REDES!$5:$5,0)),IF(AND($N259="MND",$Q259="EMBOQUE"),INDEX(APOIO_REDES!$A:$W,MATCH($C259&amp;$I259&amp;$H259&amp;$N259&amp;$O259,APOIO_REDES!$W:$W,0),MATCH(BA$5,APOIO_REDES!$5:$5,0)),0))*$M259/10,0)</f>
        <v>7.54634182579483</v>
      </c>
      <c r="BB259" s="153" t="n">
        <f aca="false">IFERROR(IF($N259="VCA",INDEX(APOIO_REDES!$A:$W,MATCH($C259&amp;$I259&amp;$H259&amp;$N259&amp;$O259,APOIO_REDES!$W:$W,0),MATCH(BB$5,APOIO_REDES!$5:$5,0)),0)*($AI259+$AQ259+$AR259),0)</f>
        <v>27.871364080073</v>
      </c>
      <c r="BC259" s="153" t="n">
        <f aca="false">IFERROR(IF($N259="VCA",INDEX(APOIO_REDES!$A:$W,MATCH($C259&amp;$I259&amp;$H259&amp;$N259&amp;$O259,APOIO_REDES!$W:$W,0),MATCH(BC$5,APOIO_REDES!$5:$5,0)),0)*($AI259+$AQ259+$AR259),0)</f>
        <v>0.306584419927029</v>
      </c>
      <c r="BD259" s="153" t="n">
        <f aca="false">IF(AND($N259="VCA",$AF259&gt;=1.25,$AF259&lt;1.5),$M259*$AF259*2,0)</f>
        <v>255.23538</v>
      </c>
      <c r="BE259" s="153" t="n">
        <f aca="false">IF(AND($N259="VCA",$AF259&gt;=1.5,$AF259&lt;3),$M259*$AF259*2,0)</f>
        <v>0</v>
      </c>
      <c r="BF259" s="153" t="n">
        <f aca="false">IF(AND($N259="VCA",$AF259&gt;=3),$M259*$AF259*2,0)</f>
        <v>0</v>
      </c>
      <c r="BG259" s="153" t="n">
        <f aca="false">($BB259+$BC259)*$AK259</f>
        <v>107.0762043</v>
      </c>
      <c r="BH259" s="153" t="n">
        <f aca="false">IF(AND($M259&lt;&gt;"",$N259="VCA",$Q259="LINEAR"),($M259*2)/100,IF(AND($M259&lt;&gt;"",$N259="MND",$Q259="EMBOQUE"),($AN259*2)/100,0))</f>
        <v>1.8726</v>
      </c>
      <c r="BI259" s="153" t="n">
        <f aca="false">IF(AND($M259&lt;&gt;"",$N259="VCA",$Q259="LINEAR"),$M259,IF(AND($M259&lt;&gt;"",$N259="MND",$Q259="EMBOQUE"),$AN259*2,0))</f>
        <v>93.63</v>
      </c>
      <c r="BJ259" s="153" t="n">
        <f aca="false">IF(AND($M259&lt;&gt;"",$N259="VCA",$Q259="LINEAR"),($M259*6.8)/100,IF(AND($M259&lt;&gt;"",$N259="MND",$Q259="EMBOQUE"),($AN259*2*6.8)/100,0))</f>
        <v>6.36684</v>
      </c>
      <c r="BK259" s="153" t="n">
        <f aca="false">IF(AND($M259&lt;&gt;"",$N259="VCA",$Q259="LINEAR"),($M259*2.5)/50,IF(AND($M259&lt;&gt;"",$N259="MND",$Q259="EMBOQUE"),($AN259*2*2.5)/50,0))</f>
        <v>4.6815</v>
      </c>
      <c r="BL259" s="157" t="str">
        <f aca="false">K259&amp;J259</f>
        <v>Zona02REDES</v>
      </c>
      <c r="BM259" s="152" t="s">
        <v>2037</v>
      </c>
      <c r="BN259" s="152" t="s">
        <v>1560</v>
      </c>
      <c r="BO259" s="152" t="s">
        <v>2489</v>
      </c>
      <c r="BP259" s="152" t="s">
        <v>2505</v>
      </c>
      <c r="BQ259" s="152" t="s">
        <v>2484</v>
      </c>
      <c r="BR259" s="152" t="s">
        <v>2508</v>
      </c>
      <c r="BS259" s="152" t="n">
        <v>202560.153</v>
      </c>
      <c r="BT259" s="152" t="n">
        <v>8237416.421</v>
      </c>
      <c r="BU259" s="152" t="n">
        <v>202647.23</v>
      </c>
      <c r="BV259" s="152" t="n">
        <v>8237448.702</v>
      </c>
      <c r="BW259" s="152" t="n">
        <v>-15.9245422</v>
      </c>
      <c r="BX259" s="152" t="n">
        <v>-47.7776516</v>
      </c>
      <c r="BY259" s="152" t="s">
        <v>2505</v>
      </c>
    </row>
    <row r="260" customFormat="false" ht="13.8" hidden="false" customHeight="false" outlineLevel="0" collapsed="false">
      <c r="A260" s="149" t="n">
        <f aca="false">IF(C260&lt;&gt;"",ROW(A255),"")</f>
        <v>255</v>
      </c>
      <c r="B260" s="150" t="str">
        <f aca="false">HYPERLINK("https://www.google.com/maps/dir/-15.917302,-47.760003/-15.9245601,-47.7758102/data=!4m3!4m2!3e0!5i2")</f>
        <v>https://www.google.com/maps/dir/-15.917302,-47.760003/-15.9245601,-47.7758102/data=!4m3!4m2!3e0!5i2</v>
      </c>
      <c r="C260" s="151" t="s">
        <v>117</v>
      </c>
      <c r="D260" s="152" t="s">
        <v>112</v>
      </c>
      <c r="E260" s="152" t="s">
        <v>113</v>
      </c>
      <c r="F260" s="152" t="s">
        <v>117</v>
      </c>
      <c r="G260" s="152" t="s">
        <v>114</v>
      </c>
      <c r="H260" s="152" t="n">
        <v>160</v>
      </c>
      <c r="I260" s="152" t="s">
        <v>115</v>
      </c>
      <c r="J260" s="152" t="s">
        <v>6</v>
      </c>
      <c r="K260" s="152" t="s">
        <v>2033</v>
      </c>
      <c r="L260" s="152" t="s">
        <v>120</v>
      </c>
      <c r="M260" s="153" t="n">
        <f aca="false">12.86</f>
        <v>12.86</v>
      </c>
      <c r="N260" s="152" t="s">
        <v>1548</v>
      </c>
      <c r="O260" s="152" t="s">
        <v>1549</v>
      </c>
      <c r="P260" s="152" t="s">
        <v>1550</v>
      </c>
      <c r="Q260" s="152" t="s">
        <v>1551</v>
      </c>
      <c r="R260" s="154" t="s">
        <v>2509</v>
      </c>
      <c r="S260" s="154" t="s">
        <v>1593</v>
      </c>
      <c r="T260" s="155" t="s">
        <v>2487</v>
      </c>
      <c r="U260" s="152" t="str">
        <f aca="false">RIGHT(T260,7)</f>
        <v>011/037</v>
      </c>
      <c r="V260" s="152" t="s">
        <v>1555</v>
      </c>
      <c r="W260" s="156" t="n">
        <v>45882</v>
      </c>
      <c r="X260" s="152" t="s">
        <v>1594</v>
      </c>
      <c r="Y260" s="152"/>
      <c r="Z260" s="152" t="s">
        <v>1557</v>
      </c>
      <c r="AA260" s="153" t="n">
        <v>3.9</v>
      </c>
      <c r="AB260" s="151" t="s">
        <v>2510</v>
      </c>
      <c r="AC260" s="151" t="s">
        <v>505</v>
      </c>
      <c r="AD260" s="151" t="str">
        <f aca="false">CONCATENATE($C260,$I260,$H260,$N260,$J260,$K260)</f>
        <v>TUBO PEADPEAD160VCAREDESZona02</v>
      </c>
      <c r="AE260" s="153" t="n">
        <f aca="false">IFERROR(INDEX(APOIO_REDES!$A:$W,MATCH($C260&amp;$I260&amp;$H260&amp;$N260&amp;$O260,APOIO_REDES!$W:$W,0),MATCH(AE$5,APOIO_REDES!$5:$5,0)),0)</f>
        <v>1.2</v>
      </c>
      <c r="AF260" s="153" t="n">
        <f aca="false">IFERROR(INDEX(APOIO_REDES!$A:$W,MATCH($C260&amp;$I260&amp;$H260&amp;$N260&amp;$O260,APOIO_REDES!$W:$W,0),MATCH(AF$5,APOIO_REDES!$5:$5,0)),0)</f>
        <v>1.46</v>
      </c>
      <c r="AG260" s="153" t="n">
        <f aca="false">IFERROR(INDEX(APOIO_REDES!$A:$W,MATCH($C260&amp;$I260&amp;$H260&amp;$N260&amp;$O260,APOIO_REDES!$W:$W,0),MATCH(AG$5,APOIO_REDES!$5:$5,0)),0)</f>
        <v>0.75</v>
      </c>
      <c r="AH260" s="153" t="n">
        <f aca="false">IFERROR(INDEX(APOIO_REDES!$A:$W,MATCH($C260&amp;$I260&amp;$H260&amp;$N260&amp;$O260,APOIO_REDES!$W:$W,0),MATCH(AH$5,APOIO_REDES!$5:$5,0)),0)</f>
        <v>0.1</v>
      </c>
      <c r="AI260" s="153" t="n">
        <f aca="false">IFERROR(IF($H260&lt;&gt;"",(((($H260/1000)/2)^2)*PI()*$M260),0),0)</f>
        <v>0.258565641761054</v>
      </c>
      <c r="AJ260" s="153" t="n">
        <f aca="false">IFERROR(IF(AND($H260&lt;&gt;"",$I260="FoFo",OR($N260="MND",$N260="VCA"),$Q260="LINEAR"),0,IF(AND($H260&lt;&gt;"",$I260="PEAD",$N260="VCA",$Q260="LINEAR"),($H260/1000)+0.3,IF(AND($H260&lt;&gt;"",$I260="PEAD",$N260="MND",$Q260="EMBOQUE"),0,IF(AND($H260&lt;&gt;"",$I260="PVC",$N260="VCA",$Q260="LINEAR"),($H260/1000)+0.2,IF(AND($H260&lt;&gt;"",$I260="PVC",$N260="MND",$Q260="EMBOQUE"),0,IF(AND($H260&lt;&gt;"",$I260="PEAD",$N260="VCA",$Q260="PREDIAL"),0,0)))))),0)</f>
        <v>0.46</v>
      </c>
      <c r="AK260" s="153" t="n">
        <f aca="false">IF(AA260&lt;&gt;"",AA260,0)</f>
        <v>3.9</v>
      </c>
      <c r="AL260" s="153" t="n">
        <f aca="false">IF(AND($N260="MND",$Q260="EMBOQUE"),$M260,IF(AND($N260="VCA",$Q260="LINEAR"),$M260,IF(AND($N260="VCA",$Q260="PREDIAL"),0,0)))</f>
        <v>12.86</v>
      </c>
      <c r="AM260" s="153" t="n">
        <f aca="false">IF(AND($N260="MND",$Q260="EMBOQUE"),$M260,IF(AND($N260="VCA",$Q260="LINEAR"),$M260,IF(AND($N260="VCA",$Q260="PREDIAL"),0,0)))</f>
        <v>12.86</v>
      </c>
      <c r="AN260" s="153" t="n">
        <f aca="false">ROUND(IF(AND($N260="VCA",$M260&lt;&gt;"",$Q260="LINEAR"),$M260/100,IF(AND($N260="MND",$M260&gt;100,$Q260="EMBOQUE"),$M260/100,0)),0)</f>
        <v>0</v>
      </c>
      <c r="AO260" s="153" t="n">
        <f aca="false">IF(AND($N260="MND",$Q260="EMBOQUE"),$AN260*2*2,IF(AND($N260="VCA",$Q260="LINEAR"),$M260*2,IF(AND($N260="VCA",$Q260="PREDIAL"),0,0)))</f>
        <v>25.72</v>
      </c>
      <c r="AP260" s="153" t="n">
        <f aca="false">IFERROR($M260*$AF260*$AG260,0)</f>
        <v>14.0817</v>
      </c>
      <c r="AQ260" s="153" t="n">
        <f aca="false">IFERROR(IF(AND($N260="VCA",$AH260&gt;0),$M260*$AG260*$AH260,0),0)</f>
        <v>0.9645</v>
      </c>
      <c r="AR260" s="153" t="n">
        <f aca="false">IFERROR(IF(AND($N260="VCA",$AJ260&gt;0),($M260*$AG260*$AJ260)-$AI260,0),0)</f>
        <v>4.17813435823895</v>
      </c>
      <c r="AS260" s="153" t="n">
        <f aca="false">IFERROR(IF(AND($N260="VCA",$AP260&gt;0),$AP260-$AI260-$AQ260-$AR260,0),0)</f>
        <v>8.6805</v>
      </c>
      <c r="AT260" s="153" t="n">
        <f aca="false">IFERROR(IF($N260="VCA",INDEX(APOIO_REDES!$A:$W,MATCH($C260&amp;$I260&amp;$H260&amp;$N260&amp;$O260,APOIO_REDES!$W:$W,0),MATCH(AT$5,APOIO_REDES!$5:$5,0)),0)*$AP260,0)</f>
        <v>0.153213063970446</v>
      </c>
      <c r="AU260" s="153" t="n">
        <f aca="false">IFERROR(IF($N260="VCA",INDEX(APOIO_REDES!$A:$W,MATCH($C260&amp;$I260&amp;$H260&amp;$N260&amp;$O260,APOIO_REDES!$W:$W,0),MATCH(AU$5,APOIO_REDES!$5:$5,0)),0)*$AP260,0)</f>
        <v>0.12235180335078</v>
      </c>
      <c r="AV260" s="153" t="n">
        <f aca="false">IFERROR(IF($N260="VCA",INDEX(APOIO_REDES!$A:$W,MATCH($C260&amp;$I260&amp;$H260&amp;$N260&amp;$O260,APOIO_REDES!$W:$W,0),MATCH(AV$5,APOIO_REDES!$5:$5,0)),0)*$AP260,0)</f>
        <v>0.0169325290844323</v>
      </c>
      <c r="AW260" s="153" t="n">
        <f aca="false">IFERROR(IF($N260="VCA",INDEX(APOIO_REDES!$A:$W,MATCH($C260&amp;$I260&amp;$H260&amp;$N260&amp;$O260,APOIO_REDES!$W:$W,0),MATCH(AW$5,APOIO_REDES!$5:$5,0)),0)*$AP260,0)</f>
        <v>9.66578799033592</v>
      </c>
      <c r="AX260" s="153" t="n">
        <f aca="false">IFERROR(IF($N260="VCA",INDEX(APOIO_REDES!$A:$W,MATCH($C260&amp;$I260&amp;$H260&amp;$N260&amp;$O260,APOIO_REDES!$W:$W,0),MATCH(AX$5,APOIO_REDES!$5:$5,0)),0)*$AP260,0)</f>
        <v>1.33771752434422</v>
      </c>
      <c r="AY260" s="153" t="n">
        <f aca="false">IFERROR(IF($N260="VCA",INDEX(APOIO_REDES!$A:$W,MATCH($C260&amp;$I260&amp;$H260&amp;$N260&amp;$O260,APOIO_REDES!$W:$W,0),MATCH(AY$5,APOIO_REDES!$5:$5,0)),0)*$AP260,0)</f>
        <v>2.44703457555703</v>
      </c>
      <c r="AZ260" s="153" t="n">
        <f aca="false">IFERROR(IF($N260="VCA",INDEX(APOIO_REDES!$A:$W,MATCH($C260&amp;$I260&amp;$H260&amp;$N260&amp;$O260,APOIO_REDES!$W:$W,0),MATCH(AZ$5,APOIO_REDES!$5:$5,0)),0)*$AP260,0)</f>
        <v>0.338662513357163</v>
      </c>
      <c r="BA260" s="153" t="n">
        <f aca="false">IFERROR(IF(AND($N260="VCA",$Q260="LINEAR"),INDEX(APOIO_REDES!$A:$W,MATCH($C260&amp;$I260&amp;$H260&amp;$N260&amp;$O260,APOIO_REDES!$W:$W,0),MATCH(BA$5,APOIO_REDES!$5:$5,0)),IF(AND($N260="MND",$Q260="EMBOQUE"),INDEX(APOIO_REDES!$A:$W,MATCH($C260&amp;$I260&amp;$H260&amp;$N260&amp;$O260,APOIO_REDES!$W:$W,0),MATCH(BA$5,APOIO_REDES!$5:$5,0)),0))*$M260/10,0)</f>
        <v>1.03648356167597</v>
      </c>
      <c r="BB260" s="153" t="n">
        <f aca="false">IFERROR(IF($N260="VCA",INDEX(APOIO_REDES!$A:$W,MATCH($C260&amp;$I260&amp;$H260&amp;$N260&amp;$O260,APOIO_REDES!$W:$W,0),MATCH(BB$5,APOIO_REDES!$5:$5,0)),0)*($AI260+$AQ260+$AR260),0)</f>
        <v>5.3424333453264</v>
      </c>
      <c r="BC260" s="153" t="n">
        <f aca="false">IFERROR(IF($N260="VCA",INDEX(APOIO_REDES!$A:$W,MATCH($C260&amp;$I260&amp;$H260&amp;$N260&amp;$O260,APOIO_REDES!$W:$W,0),MATCH(BC$5,APOIO_REDES!$5:$5,0)),0)*($AI260+$AQ260+$AR260),0)</f>
        <v>0.0587666546735959</v>
      </c>
      <c r="BD260" s="153" t="n">
        <f aca="false">IF(AND($N260="VCA",$AF260&gt;=1.25,$AF260&lt;1.5),$M260*$AF260*2,0)</f>
        <v>37.5512</v>
      </c>
      <c r="BE260" s="153" t="n">
        <f aca="false">IF(AND($N260="VCA",$AF260&gt;=1.5,$AF260&lt;3),$M260*$AF260*2,0)</f>
        <v>0</v>
      </c>
      <c r="BF260" s="153" t="n">
        <f aca="false">IF(AND($N260="VCA",$AF260&gt;=3),$M260*$AF260*2,0)</f>
        <v>0</v>
      </c>
      <c r="BG260" s="153" t="n">
        <f aca="false">($BB260+$BC260)*$AK260</f>
        <v>21.06468</v>
      </c>
      <c r="BH260" s="153" t="n">
        <f aca="false">IF(AND($M260&lt;&gt;"",$N260="VCA",$Q260="LINEAR"),($M260*2)/100,IF(AND($M260&lt;&gt;"",$N260="MND",$Q260="EMBOQUE"),($AN260*2)/100,0))</f>
        <v>0.2572</v>
      </c>
      <c r="BI260" s="153" t="n">
        <f aca="false">IF(AND($M260&lt;&gt;"",$N260="VCA",$Q260="LINEAR"),$M260,IF(AND($M260&lt;&gt;"",$N260="MND",$Q260="EMBOQUE"),$AN260*2,0))</f>
        <v>12.86</v>
      </c>
      <c r="BJ260" s="153" t="n">
        <f aca="false">IF(AND($M260&lt;&gt;"",$N260="VCA",$Q260="LINEAR"),($M260*6.8)/100,IF(AND($M260&lt;&gt;"",$N260="MND",$Q260="EMBOQUE"),($AN260*2*6.8)/100,0))</f>
        <v>0.87448</v>
      </c>
      <c r="BK260" s="153" t="n">
        <f aca="false">IF(AND($M260&lt;&gt;"",$N260="VCA",$Q260="LINEAR"),($M260*2.5)/50,IF(AND($M260&lt;&gt;"",$N260="MND",$Q260="EMBOQUE"),($AN260*2*2.5)/50,0))</f>
        <v>0.643</v>
      </c>
      <c r="BL260" s="157" t="str">
        <f aca="false">K260&amp;J260</f>
        <v>Zona02REDES</v>
      </c>
      <c r="BM260" s="152" t="s">
        <v>2037</v>
      </c>
      <c r="BN260" s="152" t="s">
        <v>1560</v>
      </c>
      <c r="BO260" s="152" t="s">
        <v>2489</v>
      </c>
      <c r="BP260" s="152" t="s">
        <v>2247</v>
      </c>
      <c r="BQ260" s="152" t="s">
        <v>2511</v>
      </c>
      <c r="BR260" s="152" t="s">
        <v>2461</v>
      </c>
      <c r="BS260" s="152" t="n">
        <v>202800.595</v>
      </c>
      <c r="BT260" s="152" t="n">
        <v>8237432.535</v>
      </c>
      <c r="BU260" s="152" t="n">
        <v>202808.975</v>
      </c>
      <c r="BV260" s="152" t="n">
        <v>8237422.779</v>
      </c>
      <c r="BW260" s="152" t="n">
        <v>-15.9246085</v>
      </c>
      <c r="BX260" s="152" t="n">
        <v>-47.7757764</v>
      </c>
      <c r="BY260" s="152" t="s">
        <v>2247</v>
      </c>
    </row>
    <row r="261" customFormat="false" ht="13.8" hidden="false" customHeight="false" outlineLevel="0" collapsed="false">
      <c r="A261" s="149" t="n">
        <f aca="false">IF(C261&lt;&gt;"",ROW(A256),"")</f>
        <v>256</v>
      </c>
      <c r="B261" s="150" t="str">
        <f aca="false">HYPERLINK("https://www.google.com/maps/dir/-15.917302,-47.760003/-15.9247461,-47.7782442/data=!4m3!4m2!3e0!5i1")</f>
        <v>https://www.google.com/maps/dir/-15.917302,-47.760003/-15.9247461,-47.7782442/data=!4m3!4m2!3e0!5i1</v>
      </c>
      <c r="C261" s="151" t="s">
        <v>117</v>
      </c>
      <c r="D261" s="152" t="s">
        <v>112</v>
      </c>
      <c r="E261" s="152" t="s">
        <v>113</v>
      </c>
      <c r="F261" s="152" t="s">
        <v>117</v>
      </c>
      <c r="G261" s="152" t="s">
        <v>782</v>
      </c>
      <c r="H261" s="152" t="n">
        <v>63</v>
      </c>
      <c r="I261" s="152" t="s">
        <v>115</v>
      </c>
      <c r="J261" s="152" t="s">
        <v>6</v>
      </c>
      <c r="K261" s="152" t="s">
        <v>2033</v>
      </c>
      <c r="L261" s="152" t="s">
        <v>120</v>
      </c>
      <c r="M261" s="153" t="n">
        <f aca="false">20.15</f>
        <v>20.15</v>
      </c>
      <c r="N261" s="152" t="s">
        <v>1548</v>
      </c>
      <c r="O261" s="152" t="s">
        <v>1549</v>
      </c>
      <c r="P261" s="152" t="s">
        <v>1550</v>
      </c>
      <c r="Q261" s="152" t="s">
        <v>1551</v>
      </c>
      <c r="R261" s="154" t="s">
        <v>2512</v>
      </c>
      <c r="S261" s="154" t="s">
        <v>1553</v>
      </c>
      <c r="T261" s="155" t="s">
        <v>2487</v>
      </c>
      <c r="U261" s="152" t="str">
        <f aca="false">RIGHT(T261,7)</f>
        <v>011/037</v>
      </c>
      <c r="V261" s="152" t="s">
        <v>1555</v>
      </c>
      <c r="W261" s="156" t="n">
        <v>45882</v>
      </c>
      <c r="X261" s="152" t="s">
        <v>1594</v>
      </c>
      <c r="Y261" s="152" t="s">
        <v>2400</v>
      </c>
      <c r="Z261" s="152" t="s">
        <v>1557</v>
      </c>
      <c r="AA261" s="153" t="n">
        <v>3.8</v>
      </c>
      <c r="AB261" s="151" t="s">
        <v>2513</v>
      </c>
      <c r="AC261" s="151" t="s">
        <v>186</v>
      </c>
      <c r="AD261" s="151" t="str">
        <f aca="false">CONCATENATE($C261,$I261,$H261,$N261,$J261,$K261)</f>
        <v>TUBO PEADPEAD63VCAREDESZona02</v>
      </c>
      <c r="AE261" s="153" t="n">
        <f aca="false">IFERROR(INDEX(APOIO_REDES!$A:$W,MATCH($C261&amp;$I261&amp;$H261&amp;$N261&amp;$O261,APOIO_REDES!$W:$W,0),MATCH(AE$5,APOIO_REDES!$5:$5,0)),0)</f>
        <v>1.2</v>
      </c>
      <c r="AF261" s="153" t="n">
        <f aca="false">IFERROR(INDEX(APOIO_REDES!$A:$W,MATCH($C261&amp;$I261&amp;$H261&amp;$N261&amp;$O261,APOIO_REDES!$W:$W,0),MATCH(AF$5,APOIO_REDES!$5:$5,0)),0)</f>
        <v>1.363</v>
      </c>
      <c r="AG261" s="153" t="n">
        <f aca="false">IFERROR(INDEX(APOIO_REDES!$A:$W,MATCH($C261&amp;$I261&amp;$H261&amp;$N261&amp;$O261,APOIO_REDES!$W:$W,0),MATCH(AG$5,APOIO_REDES!$5:$5,0)),0)</f>
        <v>0.65</v>
      </c>
      <c r="AH261" s="153" t="n">
        <f aca="false">IFERROR(INDEX(APOIO_REDES!$A:$W,MATCH($C261&amp;$I261&amp;$H261&amp;$N261&amp;$O261,APOIO_REDES!$W:$W,0),MATCH(AH$5,APOIO_REDES!$5:$5,0)),0)</f>
        <v>0.1</v>
      </c>
      <c r="AI261" s="153" t="n">
        <f aca="false">IFERROR(IF($H261&lt;&gt;"",(((($H261/1000)/2)^2)*PI()*$M261),0),0)</f>
        <v>0.0628124930070681</v>
      </c>
      <c r="AJ261" s="153" t="n">
        <f aca="false">IFERROR(IF(AND($H261&lt;&gt;"",$I261="FoFo",OR($N261="MND",$N261="VCA"),$Q261="LINEAR"),0,IF(AND($H261&lt;&gt;"",$I261="PEAD",$N261="VCA",$Q261="LINEAR"),($H261/1000)+0.3,IF(AND($H261&lt;&gt;"",$I261="PEAD",$N261="MND",$Q261="EMBOQUE"),0,IF(AND($H261&lt;&gt;"",$I261="PVC",$N261="VCA",$Q261="LINEAR"),($H261/1000)+0.2,IF(AND($H261&lt;&gt;"",$I261="PVC",$N261="MND",$Q261="EMBOQUE"),0,IF(AND($H261&lt;&gt;"",$I261="PEAD",$N261="VCA",$Q261="PREDIAL"),0,0)))))),0)</f>
        <v>0.363</v>
      </c>
      <c r="AK261" s="153" t="n">
        <f aca="false">IF(AA261&lt;&gt;"",AA261,0)</f>
        <v>3.8</v>
      </c>
      <c r="AL261" s="153" t="n">
        <f aca="false">IF(AND($N261="MND",$Q261="EMBOQUE"),$M261,IF(AND($N261="VCA",$Q261="LINEAR"),$M261,IF(AND($N261="VCA",$Q261="PREDIAL"),0,0)))</f>
        <v>20.15</v>
      </c>
      <c r="AM261" s="153" t="n">
        <f aca="false">IF(AND($N261="MND",$Q261="EMBOQUE"),$M261,IF(AND($N261="VCA",$Q261="LINEAR"),$M261,IF(AND($N261="VCA",$Q261="PREDIAL"),0,0)))</f>
        <v>20.15</v>
      </c>
      <c r="AN261" s="153" t="n">
        <f aca="false">ROUND(IF(AND($N261="VCA",$M261&lt;&gt;"",$Q261="LINEAR"),$M261/100,IF(AND($N261="MND",$M261&gt;100,$Q261="EMBOQUE"),$M261/100,0)),0)</f>
        <v>0</v>
      </c>
      <c r="AO261" s="153" t="n">
        <f aca="false">IF(AND($N261="MND",$Q261="EMBOQUE"),$AN261*2*2,IF(AND($N261="VCA",$Q261="LINEAR"),$M261*2,IF(AND($N261="VCA",$Q261="PREDIAL"),0,0)))</f>
        <v>40.3</v>
      </c>
      <c r="AP261" s="153" t="n">
        <f aca="false">IFERROR($M261*$AF261*$AG261,0)</f>
        <v>17.8518925</v>
      </c>
      <c r="AQ261" s="153" t="n">
        <f aca="false">IFERROR(IF(AND($N261="VCA",$AH261&gt;0),$M261*$AG261*$AH261,0),0)</f>
        <v>1.30975</v>
      </c>
      <c r="AR261" s="153" t="n">
        <f aca="false">IFERROR(IF(AND($N261="VCA",$AJ261&gt;0),($M261*$AG261*$AJ261)-$AI261,0),0)</f>
        <v>4.69158000699293</v>
      </c>
      <c r="AS261" s="153" t="n">
        <f aca="false">IFERROR(IF(AND($N261="VCA",$AP261&gt;0),$AP261-$AI261-$AQ261-$AR261,0),0)</f>
        <v>11.78775</v>
      </c>
      <c r="AT261" s="153" t="n">
        <f aca="false">IFERROR(IF($N261="VCA",INDEX(APOIO_REDES!$A:$W,MATCH($C261&amp;$I261&amp;$H261&amp;$N261&amp;$O261,APOIO_REDES!$W:$W,0),MATCH(AT$5,APOIO_REDES!$5:$5,0)),0)*$AP261,0)</f>
        <v>0.194233874290464</v>
      </c>
      <c r="AU261" s="153" t="n">
        <f aca="false">IFERROR(IF($N261="VCA",INDEX(APOIO_REDES!$A:$W,MATCH($C261&amp;$I261&amp;$H261&amp;$N261&amp;$O261,APOIO_REDES!$W:$W,0),MATCH(AU$5,APOIO_REDES!$5:$5,0)),0)*$AP261,0)</f>
        <v>0.155109911487907</v>
      </c>
      <c r="AV261" s="153" t="n">
        <f aca="false">IFERROR(IF($N261="VCA",INDEX(APOIO_REDES!$A:$W,MATCH($C261&amp;$I261&amp;$H261&amp;$N261&amp;$O261,APOIO_REDES!$W:$W,0),MATCH(AV$5,APOIO_REDES!$5:$5,0)),0)*$AP261,0)</f>
        <v>0.0214659940893791</v>
      </c>
      <c r="AW261" s="153" t="n">
        <f aca="false">IFERROR(IF($N261="VCA",INDEX(APOIO_REDES!$A:$W,MATCH($C261&amp;$I261&amp;$H261&amp;$N261&amp;$O261,APOIO_REDES!$W:$W,0),MATCH(AW$5,APOIO_REDES!$5:$5,0)),0)*$AP261,0)</f>
        <v>12.2536773352129</v>
      </c>
      <c r="AX261" s="153" t="n">
        <f aca="false">IFERROR(IF($N261="VCA",INDEX(APOIO_REDES!$A:$W,MATCH($C261&amp;$I261&amp;$H261&amp;$N261&amp;$O261,APOIO_REDES!$W:$W,0),MATCH(AX$5,APOIO_REDES!$5:$5,0)),0)*$AP261,0)</f>
        <v>1.69587403793286</v>
      </c>
      <c r="AY261" s="153" t="n">
        <f aca="false">IFERROR(IF($N261="VCA",INDEX(APOIO_REDES!$A:$W,MATCH($C261&amp;$I261&amp;$H261&amp;$N261&amp;$O261,APOIO_REDES!$W:$W,0),MATCH(AY$5,APOIO_REDES!$5:$5,0)),0)*$AP261,0)</f>
        <v>3.1021963389809</v>
      </c>
      <c r="AZ261" s="153" t="n">
        <f aca="false">IFERROR(IF($N261="VCA",INDEX(APOIO_REDES!$A:$W,MATCH($C261&amp;$I261&amp;$H261&amp;$N261&amp;$O261,APOIO_REDES!$W:$W,0),MATCH(AZ$5,APOIO_REDES!$5:$5,0)),0)*$AP261,0)</f>
        <v>0.42933500800556</v>
      </c>
      <c r="BA261" s="153" t="n">
        <f aca="false">IFERROR(IF(AND($N261="VCA",$Q261="LINEAR"),INDEX(APOIO_REDES!$A:$W,MATCH($C261&amp;$I261&amp;$H261&amp;$N261&amp;$O261,APOIO_REDES!$W:$W,0),MATCH(BA$5,APOIO_REDES!$5:$5,0)),IF(AND($N261="MND",$Q261="EMBOQUE"),INDEX(APOIO_REDES!$A:$W,MATCH($C261&amp;$I261&amp;$H261&amp;$N261&amp;$O261,APOIO_REDES!$W:$W,0),MATCH(BA$5,APOIO_REDES!$5:$5,0)),0))*$M261/10,0)</f>
        <v>1.62403917323257</v>
      </c>
      <c r="BB261" s="153" t="n">
        <f aca="false">IFERROR(IF($N261="VCA",INDEX(APOIO_REDES!$A:$W,MATCH($C261&amp;$I261&amp;$H261&amp;$N261&amp;$O261,APOIO_REDES!$W:$W,0),MATCH(BB$5,APOIO_REDES!$5:$5,0)),0)*($AI261+$AQ261+$AR261),0)</f>
        <v>5.99816283470544</v>
      </c>
      <c r="BC261" s="153" t="n">
        <f aca="false">IFERROR(IF($N261="VCA",INDEX(APOIO_REDES!$A:$W,MATCH($C261&amp;$I261&amp;$H261&amp;$N261&amp;$O261,APOIO_REDES!$W:$W,0),MATCH(BC$5,APOIO_REDES!$5:$5,0)),0)*($AI261+$AQ261+$AR261),0)</f>
        <v>0.0659796652945598</v>
      </c>
      <c r="BD261" s="153" t="n">
        <f aca="false">IF(AND($N261="VCA",$AF261&gt;=1.25,$AF261&lt;1.5),$M261*$AF261*2,0)</f>
        <v>54.9289</v>
      </c>
      <c r="BE261" s="153" t="n">
        <f aca="false">IF(AND($N261="VCA",$AF261&gt;=1.5,$AF261&lt;3),$M261*$AF261*2,0)</f>
        <v>0</v>
      </c>
      <c r="BF261" s="153" t="n">
        <f aca="false">IF(AND($N261="VCA",$AF261&gt;=3),$M261*$AF261*2,0)</f>
        <v>0</v>
      </c>
      <c r="BG261" s="153" t="n">
        <f aca="false">($BB261+$BC261)*$AK261</f>
        <v>23.0437415</v>
      </c>
      <c r="BH261" s="153" t="n">
        <f aca="false">IF(AND($M261&lt;&gt;"",$N261="VCA",$Q261="LINEAR"),($M261*2)/100,IF(AND($M261&lt;&gt;"",$N261="MND",$Q261="EMBOQUE"),($AN261*2)/100,0))</f>
        <v>0.403</v>
      </c>
      <c r="BI261" s="153" t="n">
        <f aca="false">IF(AND($M261&lt;&gt;"",$N261="VCA",$Q261="LINEAR"),$M261,IF(AND($M261&lt;&gt;"",$N261="MND",$Q261="EMBOQUE"),$AN261*2,0))</f>
        <v>20.15</v>
      </c>
      <c r="BJ261" s="153" t="n">
        <f aca="false">IF(AND($M261&lt;&gt;"",$N261="VCA",$Q261="LINEAR"),($M261*6.8)/100,IF(AND($M261&lt;&gt;"",$N261="MND",$Q261="EMBOQUE"),($AN261*2*6.8)/100,0))</f>
        <v>1.3702</v>
      </c>
      <c r="BK261" s="153" t="n">
        <f aca="false">IF(AND($M261&lt;&gt;"",$N261="VCA",$Q261="LINEAR"),($M261*2.5)/50,IF(AND($M261&lt;&gt;"",$N261="MND",$Q261="EMBOQUE"),($AN261*2*2.5)/50,0))</f>
        <v>1.0075</v>
      </c>
      <c r="BL261" s="157" t="str">
        <f aca="false">K261&amp;J261</f>
        <v>Zona02REDES</v>
      </c>
      <c r="BM261" s="152" t="s">
        <v>2037</v>
      </c>
      <c r="BN261" s="152" t="s">
        <v>1560</v>
      </c>
      <c r="BO261" s="152" t="s">
        <v>2489</v>
      </c>
      <c r="BP261" s="152" t="s">
        <v>2514</v>
      </c>
      <c r="BQ261" s="152" t="s">
        <v>2505</v>
      </c>
      <c r="BR261" s="152" t="s">
        <v>2515</v>
      </c>
      <c r="BS261" s="152" t="n">
        <v>202540.705</v>
      </c>
      <c r="BT261" s="152" t="n">
        <v>8237408.943</v>
      </c>
      <c r="BU261" s="152" t="n">
        <v>202559.436</v>
      </c>
      <c r="BV261" s="152" t="n">
        <v>8237416.17</v>
      </c>
      <c r="BW261" s="152" t="n">
        <v>-15.924714</v>
      </c>
      <c r="BX261" s="152" t="n">
        <v>-47.7781557</v>
      </c>
      <c r="BY261" s="152" t="s">
        <v>2514</v>
      </c>
    </row>
    <row r="262" customFormat="false" ht="13.8" hidden="false" customHeight="false" outlineLevel="0" collapsed="false">
      <c r="A262" s="149" t="n">
        <f aca="false">IF(C262&lt;&gt;"",ROW(A257),"")</f>
        <v>257</v>
      </c>
      <c r="B262" s="150" t="str">
        <f aca="false">HYPERLINK("https://www.google.com/maps/dir/-15.917302,-47.760003/-15.9253972,-47.7779868/data=!4m3!4m2!3e0!5i2")</f>
        <v>https://www.google.com/maps/dir/-15.917302,-47.760003/-15.9253972,-47.7779868/data=!4m3!4m2!3e0!5i2</v>
      </c>
      <c r="C262" s="151" t="s">
        <v>117</v>
      </c>
      <c r="D262" s="152" t="s">
        <v>112</v>
      </c>
      <c r="E262" s="152" t="s">
        <v>113</v>
      </c>
      <c r="F262" s="152" t="s">
        <v>117</v>
      </c>
      <c r="G262" s="152" t="s">
        <v>782</v>
      </c>
      <c r="H262" s="152" t="n">
        <v>63</v>
      </c>
      <c r="I262" s="152" t="s">
        <v>115</v>
      </c>
      <c r="J262" s="152" t="s">
        <v>6</v>
      </c>
      <c r="K262" s="152" t="s">
        <v>2033</v>
      </c>
      <c r="L262" s="152" t="s">
        <v>120</v>
      </c>
      <c r="M262" s="153" t="n">
        <f aca="false">247.56+1.06</f>
        <v>248.62</v>
      </c>
      <c r="N262" s="152" t="s">
        <v>1548</v>
      </c>
      <c r="O262" s="152" t="s">
        <v>1549</v>
      </c>
      <c r="P262" s="152" t="s">
        <v>1550</v>
      </c>
      <c r="Q262" s="152" t="s">
        <v>1551</v>
      </c>
      <c r="R262" s="154" t="s">
        <v>2516</v>
      </c>
      <c r="S262" s="154" t="s">
        <v>1553</v>
      </c>
      <c r="T262" s="155" t="s">
        <v>2487</v>
      </c>
      <c r="U262" s="152" t="str">
        <f aca="false">RIGHT(T262,7)</f>
        <v>011/037</v>
      </c>
      <c r="V262" s="152" t="s">
        <v>1555</v>
      </c>
      <c r="W262" s="156" t="n">
        <v>45882</v>
      </c>
      <c r="X262" s="152"/>
      <c r="Y262" s="152"/>
      <c r="Z262" s="152" t="s">
        <v>1557</v>
      </c>
      <c r="AA262" s="153" t="n">
        <v>4.2</v>
      </c>
      <c r="AB262" s="151" t="s">
        <v>2517</v>
      </c>
      <c r="AC262" s="151" t="s">
        <v>186</v>
      </c>
      <c r="AD262" s="151" t="str">
        <f aca="false">CONCATENATE($C262,$I262,$H262,$N262,$J262,$K262)</f>
        <v>TUBO PEADPEAD63VCAREDESZona02</v>
      </c>
      <c r="AE262" s="153" t="n">
        <f aca="false">IFERROR(INDEX(APOIO_REDES!$A:$W,MATCH($C262&amp;$I262&amp;$H262&amp;$N262&amp;$O262,APOIO_REDES!$W:$W,0),MATCH(AE$5,APOIO_REDES!$5:$5,0)),0)</f>
        <v>1.2</v>
      </c>
      <c r="AF262" s="153" t="n">
        <f aca="false">IFERROR(INDEX(APOIO_REDES!$A:$W,MATCH($C262&amp;$I262&amp;$H262&amp;$N262&amp;$O262,APOIO_REDES!$W:$W,0),MATCH(AF$5,APOIO_REDES!$5:$5,0)),0)</f>
        <v>1.363</v>
      </c>
      <c r="AG262" s="153" t="n">
        <f aca="false">IFERROR(INDEX(APOIO_REDES!$A:$W,MATCH($C262&amp;$I262&amp;$H262&amp;$N262&amp;$O262,APOIO_REDES!$W:$W,0),MATCH(AG$5,APOIO_REDES!$5:$5,0)),0)</f>
        <v>0.65</v>
      </c>
      <c r="AH262" s="153" t="n">
        <f aca="false">IFERROR(INDEX(APOIO_REDES!$A:$W,MATCH($C262&amp;$I262&amp;$H262&amp;$N262&amp;$O262,APOIO_REDES!$W:$W,0),MATCH(AH$5,APOIO_REDES!$5:$5,0)),0)</f>
        <v>0.1</v>
      </c>
      <c r="AI262" s="153" t="n">
        <f aca="false">IFERROR(IF($H262&lt;&gt;"",(((($H262/1000)/2)^2)*PI()*$M262),0),0)</f>
        <v>0.775009529102594</v>
      </c>
      <c r="AJ262" s="153" t="n">
        <f aca="false">IFERROR(IF(AND($H262&lt;&gt;"",$I262="FoFo",OR($N262="MND",$N262="VCA"),$Q262="LINEAR"),0,IF(AND($H262&lt;&gt;"",$I262="PEAD",$N262="VCA",$Q262="LINEAR"),($H262/1000)+0.3,IF(AND($H262&lt;&gt;"",$I262="PEAD",$N262="MND",$Q262="EMBOQUE"),0,IF(AND($H262&lt;&gt;"",$I262="PVC",$N262="VCA",$Q262="LINEAR"),($H262/1000)+0.2,IF(AND($H262&lt;&gt;"",$I262="PVC",$N262="MND",$Q262="EMBOQUE"),0,IF(AND($H262&lt;&gt;"",$I262="PEAD",$N262="VCA",$Q262="PREDIAL"),0,0)))))),0)</f>
        <v>0.363</v>
      </c>
      <c r="AK262" s="153" t="n">
        <f aca="false">IF(AA262&lt;&gt;"",AA262,0)</f>
        <v>4.2</v>
      </c>
      <c r="AL262" s="153" t="n">
        <f aca="false">IF(AND($N262="MND",$Q262="EMBOQUE"),$M262,IF(AND($N262="VCA",$Q262="LINEAR"),$M262,IF(AND($N262="VCA",$Q262="PREDIAL"),0,0)))</f>
        <v>248.62</v>
      </c>
      <c r="AM262" s="153" t="n">
        <f aca="false">IF(AND($N262="MND",$Q262="EMBOQUE"),$M262,IF(AND($N262="VCA",$Q262="LINEAR"),$M262,IF(AND($N262="VCA",$Q262="PREDIAL"),0,0)))</f>
        <v>248.62</v>
      </c>
      <c r="AN262" s="153" t="n">
        <f aca="false">ROUND(IF(AND($N262="VCA",$M262&lt;&gt;"",$Q262="LINEAR"),$M262/100,IF(AND($N262="MND",$M262&gt;100,$Q262="EMBOQUE"),$M262/100,0)),0)</f>
        <v>2</v>
      </c>
      <c r="AO262" s="153" t="n">
        <f aca="false">IF(AND($N262="MND",$Q262="EMBOQUE"),$AN262*2*2,IF(AND($N262="VCA",$Q262="LINEAR"),$M262*2,IF(AND($N262="VCA",$Q262="PREDIAL"),0,0)))</f>
        <v>497.24</v>
      </c>
      <c r="AP262" s="153" t="n">
        <f aca="false">IFERROR($M262*$AF262*$AG262,0)</f>
        <v>220.264889</v>
      </c>
      <c r="AQ262" s="153" t="n">
        <f aca="false">IFERROR(IF(AND($N262="VCA",$AH262&gt;0),$M262*$AG262*$AH262,0),0)</f>
        <v>16.1603</v>
      </c>
      <c r="AR262" s="153" t="n">
        <f aca="false">IFERROR(IF(AND($N262="VCA",$AJ262&gt;0),($M262*$AG262*$AJ262)-$AI262,0),0)</f>
        <v>57.8868794708974</v>
      </c>
      <c r="AS262" s="153" t="n">
        <f aca="false">IFERROR(IF(AND($N262="VCA",$AP262&gt;0),$AP262-$AI262-$AQ262-$AR262,0),0)</f>
        <v>145.4427</v>
      </c>
      <c r="AT262" s="153" t="n">
        <f aca="false">IFERROR(IF($N262="VCA",INDEX(APOIO_REDES!$A:$W,MATCH($C262&amp;$I262&amp;$H262&amp;$N262&amp;$O262,APOIO_REDES!$W:$W,0),MATCH(AT$5,APOIO_REDES!$5:$5,0)),0)*$AP262,0)</f>
        <v>2.39654718739927</v>
      </c>
      <c r="AU262" s="153" t="n">
        <f aca="false">IFERROR(IF($N262="VCA",INDEX(APOIO_REDES!$A:$W,MATCH($C262&amp;$I262&amp;$H262&amp;$N262&amp;$O262,APOIO_REDES!$W:$W,0),MATCH(AU$5,APOIO_REDES!$5:$5,0)),0)*$AP262,0)</f>
        <v>1.91381767712772</v>
      </c>
      <c r="AV262" s="153" t="n">
        <f aca="false">IFERROR(IF($N262="VCA",INDEX(APOIO_REDES!$A:$W,MATCH($C262&amp;$I262&amp;$H262&amp;$N262&amp;$O262,APOIO_REDES!$W:$W,0),MATCH(AV$5,APOIO_REDES!$5:$5,0)),0)*$AP262,0)</f>
        <v>0.264857342456646</v>
      </c>
      <c r="AW262" s="153" t="n">
        <f aca="false">IFERROR(IF($N262="VCA",INDEX(APOIO_REDES!$A:$W,MATCH($C262&amp;$I262&amp;$H262&amp;$N262&amp;$O262,APOIO_REDES!$W:$W,0),MATCH(AW$5,APOIO_REDES!$5:$5,0)),0)*$AP262,0)</f>
        <v>151.191526505243</v>
      </c>
      <c r="AX262" s="153" t="n">
        <f aca="false">IFERROR(IF($N262="VCA",INDEX(APOIO_REDES!$A:$W,MATCH($C262&amp;$I262&amp;$H262&amp;$N262&amp;$O262,APOIO_REDES!$W:$W,0),MATCH(AX$5,APOIO_REDES!$5:$5,0)),0)*$AP262,0)</f>
        <v>20.9244765911101</v>
      </c>
      <c r="AY262" s="153" t="n">
        <f aca="false">IFERROR(IF($N262="VCA",INDEX(APOIO_REDES!$A:$W,MATCH($C262&amp;$I262&amp;$H262&amp;$N262&amp;$O262,APOIO_REDES!$W:$W,0),MATCH(AY$5,APOIO_REDES!$5:$5,0)),0)*$AP262,0)</f>
        <v>38.276330213272</v>
      </c>
      <c r="AZ262" s="153" t="n">
        <f aca="false">IFERROR(IF($N262="VCA",INDEX(APOIO_REDES!$A:$W,MATCH($C262&amp;$I262&amp;$H262&amp;$N262&amp;$O262,APOIO_REDES!$W:$W,0),MATCH(AZ$5,APOIO_REDES!$5:$5,0)),0)*$AP262,0)</f>
        <v>5.29733348339168</v>
      </c>
      <c r="BA262" s="153" t="n">
        <f aca="false">IFERROR(IF(AND($N262="VCA",$Q262="LINEAR"),INDEX(APOIO_REDES!$A:$W,MATCH($C262&amp;$I262&amp;$H262&amp;$N262&amp;$O262,APOIO_REDES!$W:$W,0),MATCH(BA$5,APOIO_REDES!$5:$5,0)),IF(AND($N262="MND",$Q262="EMBOQUE"),INDEX(APOIO_REDES!$A:$W,MATCH($C262&amp;$I262&amp;$H262&amp;$N262&amp;$O262,APOIO_REDES!$W:$W,0),MATCH(BA$5,APOIO_REDES!$5:$5,0)),0))*$M262/10,0)</f>
        <v>20.038144875885</v>
      </c>
      <c r="BB262" s="153" t="n">
        <f aca="false">IFERROR(IF($N262="VCA",INDEX(APOIO_REDES!$A:$W,MATCH($C262&amp;$I262&amp;$H262&amp;$N262&amp;$O262,APOIO_REDES!$W:$W,0),MATCH(BB$5,APOIO_REDES!$5:$5,0)),0)*($AI262+$AQ262+$AR262),0)</f>
        <v>74.0081014374425</v>
      </c>
      <c r="BC262" s="153" t="n">
        <f aca="false">IFERROR(IF($N262="VCA",INDEX(APOIO_REDES!$A:$W,MATCH($C262&amp;$I262&amp;$H262&amp;$N262&amp;$O262,APOIO_REDES!$W:$W,0),MATCH(BC$5,APOIO_REDES!$5:$5,0)),0)*($AI262+$AQ262+$AR262),0)</f>
        <v>0.814087562557492</v>
      </c>
      <c r="BD262" s="153" t="n">
        <f aca="false">IF(AND($N262="VCA",$AF262&gt;=1.25,$AF262&lt;1.5),$M262*$AF262*2,0)</f>
        <v>677.73812</v>
      </c>
      <c r="BE262" s="153" t="n">
        <f aca="false">IF(AND($N262="VCA",$AF262&gt;=1.5,$AF262&lt;3),$M262*$AF262*2,0)</f>
        <v>0</v>
      </c>
      <c r="BF262" s="153" t="n">
        <f aca="false">IF(AND($N262="VCA",$AF262&gt;=3),$M262*$AF262*2,0)</f>
        <v>0</v>
      </c>
      <c r="BG262" s="153" t="n">
        <f aca="false">($BB262+$BC262)*$AK262</f>
        <v>314.2531938</v>
      </c>
      <c r="BH262" s="153" t="n">
        <f aca="false">IF(AND($M262&lt;&gt;"",$N262="VCA",$Q262="LINEAR"),($M262*2)/100,IF(AND($M262&lt;&gt;"",$N262="MND",$Q262="EMBOQUE"),($AN262*2)/100,0))</f>
        <v>4.9724</v>
      </c>
      <c r="BI262" s="153" t="n">
        <f aca="false">IF(AND($M262&lt;&gt;"",$N262="VCA",$Q262="LINEAR"),$M262,IF(AND($M262&lt;&gt;"",$N262="MND",$Q262="EMBOQUE"),$AN262*2,0))</f>
        <v>248.62</v>
      </c>
      <c r="BJ262" s="153" t="n">
        <f aca="false">IF(AND($M262&lt;&gt;"",$N262="VCA",$Q262="LINEAR"),($M262*6.8)/100,IF(AND($M262&lt;&gt;"",$N262="MND",$Q262="EMBOQUE"),($AN262*2*6.8)/100,0))</f>
        <v>16.90616</v>
      </c>
      <c r="BK262" s="153" t="n">
        <f aca="false">IF(AND($M262&lt;&gt;"",$N262="VCA",$Q262="LINEAR"),($M262*2.5)/50,IF(AND($M262&lt;&gt;"",$N262="MND",$Q262="EMBOQUE"),($AN262*2*2.5)/50,0))</f>
        <v>12.431</v>
      </c>
      <c r="BL262" s="157" t="str">
        <f aca="false">K262&amp;J262</f>
        <v>Zona02REDES</v>
      </c>
      <c r="BM262" s="152" t="s">
        <v>2037</v>
      </c>
      <c r="BN262" s="152" t="s">
        <v>1560</v>
      </c>
      <c r="BO262" s="152" t="s">
        <v>2489</v>
      </c>
      <c r="BP262" s="152" t="s">
        <v>2518</v>
      </c>
      <c r="BQ262" s="152" t="s">
        <v>2481</v>
      </c>
      <c r="BR262" s="152" t="s">
        <v>2519</v>
      </c>
      <c r="BS262" s="152" t="n">
        <v>202570.05</v>
      </c>
      <c r="BT262" s="152" t="n">
        <v>8237337.56</v>
      </c>
      <c r="BU262" s="152" t="n">
        <v>202792.605</v>
      </c>
      <c r="BV262" s="152" t="n">
        <v>8237444.331</v>
      </c>
      <c r="BW262" s="152" t="n">
        <v>-15.9249435</v>
      </c>
      <c r="BX262" s="152" t="n">
        <v>-47.7769208</v>
      </c>
      <c r="BY262" s="152" t="s">
        <v>2518</v>
      </c>
    </row>
    <row r="263" customFormat="false" ht="13.8" hidden="false" customHeight="false" outlineLevel="0" collapsed="false">
      <c r="A263" s="149" t="n">
        <f aca="false">IF(C263&lt;&gt;"",ROW(A258),"")</f>
        <v>258</v>
      </c>
      <c r="B263" s="150" t="str">
        <f aca="false">HYPERLINK("https://www.google.com/maps/dir/-15.917302,-47.760003/-15.9253972,-47.7779868/data=!4m3!4m2!3e0!5i2")</f>
        <v>https://www.google.com/maps/dir/-15.917302,-47.760003/-15.9253972,-47.7779868/data=!4m3!4m2!3e0!5i2</v>
      </c>
      <c r="C263" s="151" t="s">
        <v>117</v>
      </c>
      <c r="D263" s="152" t="s">
        <v>112</v>
      </c>
      <c r="E263" s="152" t="s">
        <v>113</v>
      </c>
      <c r="F263" s="152" t="s">
        <v>117</v>
      </c>
      <c r="G263" s="152" t="s">
        <v>782</v>
      </c>
      <c r="H263" s="152" t="n">
        <v>63</v>
      </c>
      <c r="I263" s="152" t="s">
        <v>115</v>
      </c>
      <c r="J263" s="152" t="s">
        <v>6</v>
      </c>
      <c r="K263" s="152" t="s">
        <v>2033</v>
      </c>
      <c r="L263" s="152" t="s">
        <v>120</v>
      </c>
      <c r="M263" s="153" t="n">
        <f aca="false">77.19</f>
        <v>77.19</v>
      </c>
      <c r="N263" s="152" t="s">
        <v>1548</v>
      </c>
      <c r="O263" s="152" t="s">
        <v>1549</v>
      </c>
      <c r="P263" s="152" t="s">
        <v>1550</v>
      </c>
      <c r="Q263" s="152" t="s">
        <v>1551</v>
      </c>
      <c r="R263" s="154" t="s">
        <v>2520</v>
      </c>
      <c r="S263" s="154" t="s">
        <v>1553</v>
      </c>
      <c r="T263" s="155" t="s">
        <v>2487</v>
      </c>
      <c r="U263" s="152" t="str">
        <f aca="false">RIGHT(T263,7)</f>
        <v>011/037</v>
      </c>
      <c r="V263" s="152" t="s">
        <v>1555</v>
      </c>
      <c r="W263" s="156" t="n">
        <v>45882</v>
      </c>
      <c r="X263" s="152"/>
      <c r="Y263" s="152"/>
      <c r="Z263" s="152" t="s">
        <v>1557</v>
      </c>
      <c r="AA263" s="153" t="n">
        <v>4.2</v>
      </c>
      <c r="AB263" s="151" t="s">
        <v>2521</v>
      </c>
      <c r="AC263" s="151" t="s">
        <v>186</v>
      </c>
      <c r="AD263" s="151" t="str">
        <f aca="false">CONCATENATE($C263,$I263,$H263,$N263,$J263,$K263)</f>
        <v>TUBO PEADPEAD63VCAREDESZona02</v>
      </c>
      <c r="AE263" s="153" t="n">
        <f aca="false">IFERROR(INDEX(APOIO_REDES!$A:$W,MATCH($C263&amp;$I263&amp;$H263&amp;$N263&amp;$O263,APOIO_REDES!$W:$W,0),MATCH(AE$5,APOIO_REDES!$5:$5,0)),0)</f>
        <v>1.2</v>
      </c>
      <c r="AF263" s="153" t="n">
        <f aca="false">IFERROR(INDEX(APOIO_REDES!$A:$W,MATCH($C263&amp;$I263&amp;$H263&amp;$N263&amp;$O263,APOIO_REDES!$W:$W,0),MATCH(AF$5,APOIO_REDES!$5:$5,0)),0)</f>
        <v>1.363</v>
      </c>
      <c r="AG263" s="153" t="n">
        <f aca="false">IFERROR(INDEX(APOIO_REDES!$A:$W,MATCH($C263&amp;$I263&amp;$H263&amp;$N263&amp;$O263,APOIO_REDES!$W:$W,0),MATCH(AG$5,APOIO_REDES!$5:$5,0)),0)</f>
        <v>0.65</v>
      </c>
      <c r="AH263" s="153" t="n">
        <f aca="false">IFERROR(INDEX(APOIO_REDES!$A:$W,MATCH($C263&amp;$I263&amp;$H263&amp;$N263&amp;$O263,APOIO_REDES!$W:$W,0),MATCH(AH$5,APOIO_REDES!$5:$5,0)),0)</f>
        <v>0.1</v>
      </c>
      <c r="AI263" s="153" t="n">
        <f aca="false">IFERROR(IF($H263&lt;&gt;"",(((($H263/1000)/2)^2)*PI()*$M263),0),0)</f>
        <v>0.240620165519384</v>
      </c>
      <c r="AJ263" s="153" t="n">
        <f aca="false">IFERROR(IF(AND($H263&lt;&gt;"",$I263="FoFo",OR($N263="MND",$N263="VCA"),$Q263="LINEAR"),0,IF(AND($H263&lt;&gt;"",$I263="PEAD",$N263="VCA",$Q263="LINEAR"),($H263/1000)+0.3,IF(AND($H263&lt;&gt;"",$I263="PEAD",$N263="MND",$Q263="EMBOQUE"),0,IF(AND($H263&lt;&gt;"",$I263="PVC",$N263="VCA",$Q263="LINEAR"),($H263/1000)+0.2,IF(AND($H263&lt;&gt;"",$I263="PVC",$N263="MND",$Q263="EMBOQUE"),0,IF(AND($H263&lt;&gt;"",$I263="PEAD",$N263="VCA",$Q263="PREDIAL"),0,0)))))),0)</f>
        <v>0.363</v>
      </c>
      <c r="AK263" s="153" t="n">
        <f aca="false">IF(AA263&lt;&gt;"",AA263,0)</f>
        <v>4.2</v>
      </c>
      <c r="AL263" s="153" t="n">
        <f aca="false">IF(AND($N263="MND",$Q263="EMBOQUE"),$M263,IF(AND($N263="VCA",$Q263="LINEAR"),$M263,IF(AND($N263="VCA",$Q263="PREDIAL"),0,0)))</f>
        <v>77.19</v>
      </c>
      <c r="AM263" s="153" t="n">
        <f aca="false">IF(AND($N263="MND",$Q263="EMBOQUE"),$M263,IF(AND($N263="VCA",$Q263="LINEAR"),$M263,IF(AND($N263="VCA",$Q263="PREDIAL"),0,0)))</f>
        <v>77.19</v>
      </c>
      <c r="AN263" s="153" t="n">
        <f aca="false">ROUND(IF(AND($N263="VCA",$M263&lt;&gt;"",$Q263="LINEAR"),$M263/100,IF(AND($N263="MND",$M263&gt;100,$Q263="EMBOQUE"),$M263/100,0)),0)</f>
        <v>1</v>
      </c>
      <c r="AO263" s="153" t="n">
        <f aca="false">IF(AND($N263="MND",$Q263="EMBOQUE"),$AN263*2*2,IF(AND($N263="VCA",$Q263="LINEAR"),$M263*2,IF(AND($N263="VCA",$Q263="PREDIAL"),0,0)))</f>
        <v>154.38</v>
      </c>
      <c r="AP263" s="153" t="n">
        <f aca="false">IFERROR($M263*$AF263*$AG263,0)</f>
        <v>68.3864805</v>
      </c>
      <c r="AQ263" s="153" t="n">
        <f aca="false">IFERROR(IF(AND($N263="VCA",$AH263&gt;0),$M263*$AG263*$AH263,0),0)</f>
        <v>5.01735</v>
      </c>
      <c r="AR263" s="153" t="n">
        <f aca="false">IFERROR(IF(AND($N263="VCA",$AJ263&gt;0),($M263*$AG263*$AJ263)-$AI263,0),0)</f>
        <v>17.9723603344806</v>
      </c>
      <c r="AS263" s="153" t="n">
        <f aca="false">IFERROR(IF(AND($N263="VCA",$AP263&gt;0),$AP263-$AI263-$AQ263-$AR263,0),0)</f>
        <v>45.15615</v>
      </c>
      <c r="AT263" s="153" t="n">
        <f aca="false">IFERROR(IF($N263="VCA",INDEX(APOIO_REDES!$A:$W,MATCH($C263&amp;$I263&amp;$H263&amp;$N263&amp;$O263,APOIO_REDES!$W:$W,0),MATCH(AT$5,APOIO_REDES!$5:$5,0)),0)*$AP263,0)</f>
        <v>0.74406514920501</v>
      </c>
      <c r="AU263" s="153" t="n">
        <f aca="false">IFERROR(IF($N263="VCA",INDEX(APOIO_REDES!$A:$W,MATCH($C263&amp;$I263&amp;$H263&amp;$N263&amp;$O263,APOIO_REDES!$W:$W,0),MATCH(AU$5,APOIO_REDES!$5:$5,0)),0)*$AP263,0)</f>
        <v>0.594190276315214</v>
      </c>
      <c r="AV263" s="153" t="n">
        <f aca="false">IFERROR(IF($N263="VCA",INDEX(APOIO_REDES!$A:$W,MATCH($C263&amp;$I263&amp;$H263&amp;$N263&amp;$O263,APOIO_REDES!$W:$W,0),MATCH(AV$5,APOIO_REDES!$5:$5,0)),0)*$AP263,0)</f>
        <v>0.0822312696654675</v>
      </c>
      <c r="AW263" s="153" t="n">
        <f aca="false">IFERROR(IF($N263="VCA",INDEX(APOIO_REDES!$A:$W,MATCH($C263&amp;$I263&amp;$H263&amp;$N263&amp;$O263,APOIO_REDES!$W:$W,0),MATCH(AW$5,APOIO_REDES!$5:$5,0)),0)*$AP263,0)</f>
        <v>46.941010099508</v>
      </c>
      <c r="AX263" s="153" t="n">
        <f aca="false">IFERROR(IF($N263="VCA",INDEX(APOIO_REDES!$A:$W,MATCH($C263&amp;$I263&amp;$H263&amp;$N263&amp;$O263,APOIO_REDES!$W:$W,0),MATCH(AX$5,APOIO_REDES!$5:$5,0)),0)*$AP263,0)</f>
        <v>6.49650208377358</v>
      </c>
      <c r="AY263" s="153" t="n">
        <f aca="false">IFERROR(IF($N263="VCA",INDEX(APOIO_REDES!$A:$W,MATCH($C263&amp;$I263&amp;$H263&amp;$N263&amp;$O263,APOIO_REDES!$W:$W,0),MATCH(AY$5,APOIO_REDES!$5:$5,0)),0)*$AP263,0)</f>
        <v>11.883798283173</v>
      </c>
      <c r="AZ263" s="153" t="n">
        <f aca="false">IFERROR(IF($N263="VCA",INDEX(APOIO_REDES!$A:$W,MATCH($C263&amp;$I263&amp;$H263&amp;$N263&amp;$O263,APOIO_REDES!$W:$W,0),MATCH(AZ$5,APOIO_REDES!$5:$5,0)),0)*$AP263,0)</f>
        <v>1.64468333835976</v>
      </c>
      <c r="BA263" s="153" t="n">
        <f aca="false">IFERROR(IF(AND($N263="VCA",$Q263="LINEAR"),INDEX(APOIO_REDES!$A:$W,MATCH($C263&amp;$I263&amp;$H263&amp;$N263&amp;$O263,APOIO_REDES!$W:$W,0),MATCH(BA$5,APOIO_REDES!$5:$5,0)),IF(AND($N263="MND",$Q263="EMBOQUE"),INDEX(APOIO_REDES!$A:$W,MATCH($C263&amp;$I263&amp;$H263&amp;$N263&amp;$O263,APOIO_REDES!$W:$W,0),MATCH(BA$5,APOIO_REDES!$5:$5,0)),0))*$M263/10,0)</f>
        <v>6.22131929438324</v>
      </c>
      <c r="BB263" s="153" t="n">
        <f aca="false">IFERROR(IF($N263="VCA",INDEX(APOIO_REDES!$A:$W,MATCH($C263&amp;$I263&amp;$H263&amp;$N263&amp;$O263,APOIO_REDES!$W:$W,0),MATCH(BB$5,APOIO_REDES!$5:$5,0)),0)*($AI263+$AQ263+$AR263),0)</f>
        <v>22.9775776283331</v>
      </c>
      <c r="BC263" s="153" t="n">
        <f aca="false">IFERROR(IF($N263="VCA",INDEX(APOIO_REDES!$A:$W,MATCH($C263&amp;$I263&amp;$H263&amp;$N263&amp;$O263,APOIO_REDES!$W:$W,0),MATCH(BC$5,APOIO_REDES!$5:$5,0)),0)*($AI263+$AQ263+$AR263),0)</f>
        <v>0.252752871666852</v>
      </c>
      <c r="BD263" s="153" t="n">
        <f aca="false">IF(AND($N263="VCA",$AF263&gt;=1.25,$AF263&lt;1.5),$M263*$AF263*2,0)</f>
        <v>210.41994</v>
      </c>
      <c r="BE263" s="153" t="n">
        <f aca="false">IF(AND($N263="VCA",$AF263&gt;=1.5,$AF263&lt;3),$M263*$AF263*2,0)</f>
        <v>0</v>
      </c>
      <c r="BF263" s="153" t="n">
        <f aca="false">IF(AND($N263="VCA",$AF263&gt;=3),$M263*$AF263*2,0)</f>
        <v>0</v>
      </c>
      <c r="BG263" s="153" t="n">
        <f aca="false">($BB263+$BC263)*$AK263</f>
        <v>97.5673881</v>
      </c>
      <c r="BH263" s="153" t="n">
        <f aca="false">IF(AND($M263&lt;&gt;"",$N263="VCA",$Q263="LINEAR"),($M263*2)/100,IF(AND($M263&lt;&gt;"",$N263="MND",$Q263="EMBOQUE"),($AN263*2)/100,0))</f>
        <v>1.5438</v>
      </c>
      <c r="BI263" s="153" t="n">
        <f aca="false">IF(AND($M263&lt;&gt;"",$N263="VCA",$Q263="LINEAR"),$M263,IF(AND($M263&lt;&gt;"",$N263="MND",$Q263="EMBOQUE"),$AN263*2,0))</f>
        <v>77.19</v>
      </c>
      <c r="BJ263" s="153" t="n">
        <f aca="false">IF(AND($M263&lt;&gt;"",$N263="VCA",$Q263="LINEAR"),($M263*6.8)/100,IF(AND($M263&lt;&gt;"",$N263="MND",$Q263="EMBOQUE"),($AN263*2*6.8)/100,0))</f>
        <v>5.24892</v>
      </c>
      <c r="BK263" s="153" t="n">
        <f aca="false">IF(AND($M263&lt;&gt;"",$N263="VCA",$Q263="LINEAR"),($M263*2.5)/50,IF(AND($M263&lt;&gt;"",$N263="MND",$Q263="EMBOQUE"),($AN263*2*2.5)/50,0))</f>
        <v>3.8595</v>
      </c>
      <c r="BL263" s="157" t="str">
        <f aca="false">K263&amp;J263</f>
        <v>Zona02REDES</v>
      </c>
      <c r="BM263" s="152" t="s">
        <v>2037</v>
      </c>
      <c r="BN263" s="152" t="s">
        <v>1560</v>
      </c>
      <c r="BO263" s="152" t="s">
        <v>2489</v>
      </c>
      <c r="BP263" s="152" t="s">
        <v>2518</v>
      </c>
      <c r="BQ263" s="152" t="s">
        <v>2514</v>
      </c>
      <c r="BR263" s="152" t="s">
        <v>2515</v>
      </c>
      <c r="BS263" s="152" t="n">
        <v>202569.125</v>
      </c>
      <c r="BT263" s="152" t="n">
        <v>8237337.173</v>
      </c>
      <c r="BU263" s="152" t="n">
        <v>202540.705</v>
      </c>
      <c r="BV263" s="152" t="n">
        <v>8237408.943</v>
      </c>
      <c r="BW263" s="152" t="n">
        <v>-15.9250714</v>
      </c>
      <c r="BX263" s="152" t="n">
        <v>-47.778115</v>
      </c>
      <c r="BY263" s="152" t="s">
        <v>2518</v>
      </c>
    </row>
    <row r="264" customFormat="false" ht="13.8" hidden="false" customHeight="false" outlineLevel="0" collapsed="false">
      <c r="A264" s="149" t="n">
        <f aca="false">IF(C264&lt;&gt;"",ROW(A259),"")</f>
        <v>259</v>
      </c>
      <c r="B264" s="150" t="str">
        <f aca="false">HYPERLINK("https://www.google.com/maps/dir/-15.917302,-47.760003/-15.9189367,-47.7676282/data=!4m3!4m2!3e0!5i0")</f>
        <v>https://www.google.com/maps/dir/-15.917302,-47.760003/-15.9189367,-47.7676282/data=!4m3!4m2!3e0!5i0</v>
      </c>
      <c r="C264" s="151" t="s">
        <v>117</v>
      </c>
      <c r="D264" s="152" t="s">
        <v>112</v>
      </c>
      <c r="E264" s="152" t="s">
        <v>113</v>
      </c>
      <c r="F264" s="152" t="s">
        <v>117</v>
      </c>
      <c r="G264" s="152" t="s">
        <v>782</v>
      </c>
      <c r="H264" s="152" t="n">
        <v>110</v>
      </c>
      <c r="I264" s="152" t="s">
        <v>115</v>
      </c>
      <c r="J264" s="152" t="s">
        <v>6</v>
      </c>
      <c r="K264" s="152" t="s">
        <v>2522</v>
      </c>
      <c r="L264" s="152" t="s">
        <v>120</v>
      </c>
      <c r="M264" s="153" t="n">
        <f aca="false">89.99</f>
        <v>89.99</v>
      </c>
      <c r="N264" s="152" t="s">
        <v>1548</v>
      </c>
      <c r="O264" s="152" t="s">
        <v>1549</v>
      </c>
      <c r="P264" s="152" t="s">
        <v>1550</v>
      </c>
      <c r="Q264" s="152" t="s">
        <v>1551</v>
      </c>
      <c r="R264" s="154" t="s">
        <v>2523</v>
      </c>
      <c r="S264" s="154" t="s">
        <v>1593</v>
      </c>
      <c r="T264" s="155" t="s">
        <v>1979</v>
      </c>
      <c r="U264" s="152" t="str">
        <f aca="false">RIGHT(T264,7)</f>
        <v>006/037</v>
      </c>
      <c r="V264" s="152" t="s">
        <v>1555</v>
      </c>
      <c r="W264" s="156" t="n">
        <v>45882</v>
      </c>
      <c r="X264" s="152" t="s">
        <v>1594</v>
      </c>
      <c r="Y264" s="152" t="s">
        <v>2524</v>
      </c>
      <c r="Z264" s="152" t="s">
        <v>1557</v>
      </c>
      <c r="AA264" s="153" t="n">
        <v>2.6</v>
      </c>
      <c r="AB264" s="151" t="s">
        <v>2525</v>
      </c>
      <c r="AC264" s="151" t="s">
        <v>502</v>
      </c>
      <c r="AD264" s="151" t="str">
        <f aca="false">CONCATENATE($C264,$I264,$H264,$N264,$J264,$K264)</f>
        <v>TUBO PEADPEAD110VCAREDESZona03</v>
      </c>
      <c r="AE264" s="153" t="n">
        <f aca="false">IFERROR(INDEX(APOIO_REDES!$A:$W,MATCH($C264&amp;$I264&amp;$H264&amp;$N264&amp;$O264,APOIO_REDES!$W:$W,0),MATCH(AE$5,APOIO_REDES!$5:$5,0)),0)</f>
        <v>1.2</v>
      </c>
      <c r="AF264" s="153" t="n">
        <f aca="false">IFERROR(INDEX(APOIO_REDES!$A:$W,MATCH($C264&amp;$I264&amp;$H264&amp;$N264&amp;$O264,APOIO_REDES!$W:$W,0),MATCH(AF$5,APOIO_REDES!$5:$5,0)),0)</f>
        <v>1.41</v>
      </c>
      <c r="AG264" s="153" t="n">
        <f aca="false">IFERROR(INDEX(APOIO_REDES!$A:$W,MATCH($C264&amp;$I264&amp;$H264&amp;$N264&amp;$O264,APOIO_REDES!$W:$W,0),MATCH(AG$5,APOIO_REDES!$5:$5,0)),0)</f>
        <v>0.75</v>
      </c>
      <c r="AH264" s="153" t="n">
        <f aca="false">IFERROR(INDEX(APOIO_REDES!$A:$W,MATCH($C264&amp;$I264&amp;$H264&amp;$N264&amp;$O264,APOIO_REDES!$W:$W,0),MATCH(AH$5,APOIO_REDES!$5:$5,0)),0)</f>
        <v>0.1</v>
      </c>
      <c r="AI264" s="153" t="n">
        <f aca="false">IFERROR(IF($H264&lt;&gt;"",(((($H264/1000)/2)^2)*PI()*$M264),0),0)</f>
        <v>0.85520356676205</v>
      </c>
      <c r="AJ264" s="153" t="n">
        <f aca="false">IFERROR(IF(AND($H264&lt;&gt;"",$I264="FoFo",OR($N264="MND",$N264="VCA"),$Q264="LINEAR"),0,IF(AND($H264&lt;&gt;"",$I264="PEAD",$N264="VCA",$Q264="LINEAR"),($H264/1000)+0.3,IF(AND($H264&lt;&gt;"",$I264="PEAD",$N264="MND",$Q264="EMBOQUE"),0,IF(AND($H264&lt;&gt;"",$I264="PVC",$N264="VCA",$Q264="LINEAR"),($H264/1000)+0.2,IF(AND($H264&lt;&gt;"",$I264="PVC",$N264="MND",$Q264="EMBOQUE"),0,IF(AND($H264&lt;&gt;"",$I264="PEAD",$N264="VCA",$Q264="PREDIAL"),0,0)))))),0)</f>
        <v>0.41</v>
      </c>
      <c r="AK264" s="153" t="n">
        <f aca="false">IF(AA264&lt;&gt;"",AA264,0)</f>
        <v>2.6</v>
      </c>
      <c r="AL264" s="153" t="n">
        <f aca="false">IF(AND($N264="MND",$Q264="EMBOQUE"),$M264,IF(AND($N264="VCA",$Q264="LINEAR"),$M264,IF(AND($N264="VCA",$Q264="PREDIAL"),0,0)))</f>
        <v>89.99</v>
      </c>
      <c r="AM264" s="153" t="n">
        <f aca="false">IF(AND($N264="MND",$Q264="EMBOQUE"),$M264,IF(AND($N264="VCA",$Q264="LINEAR"),$M264,IF(AND($N264="VCA",$Q264="PREDIAL"),0,0)))</f>
        <v>89.99</v>
      </c>
      <c r="AN264" s="153" t="n">
        <f aca="false">ROUND(IF(AND($N264="VCA",$M264&lt;&gt;"",$Q264="LINEAR"),$M264/100,IF(AND($N264="MND",$M264&gt;100,$Q264="EMBOQUE"),$M264/100,0)),0)</f>
        <v>1</v>
      </c>
      <c r="AO264" s="153" t="n">
        <f aca="false">IF(AND($N264="MND",$Q264="EMBOQUE"),$AN264*2*2,IF(AND($N264="VCA",$Q264="LINEAR"),$M264*2,IF(AND($N264="VCA",$Q264="PREDIAL"),0,0)))</f>
        <v>179.98</v>
      </c>
      <c r="AP264" s="153" t="n">
        <f aca="false">IFERROR($M264*$AF264*$AG264,0)</f>
        <v>95.164425</v>
      </c>
      <c r="AQ264" s="153" t="n">
        <f aca="false">IFERROR(IF(AND($N264="VCA",$AH264&gt;0),$M264*$AG264*$AH264,0),0)</f>
        <v>6.74925</v>
      </c>
      <c r="AR264" s="153" t="n">
        <f aca="false">IFERROR(IF(AND($N264="VCA",$AJ264&gt;0),($M264*$AG264*$AJ264)-$AI264,0),0)</f>
        <v>26.8167214332379</v>
      </c>
      <c r="AS264" s="153" t="n">
        <f aca="false">IFERROR(IF(AND($N264="VCA",$AP264&gt;0),$AP264-$AI264-$AQ264-$AR264,0),0)</f>
        <v>60.74325</v>
      </c>
      <c r="AT264" s="153" t="n">
        <f aca="false">IFERROR(IF($N264="VCA",INDEX(APOIO_REDES!$A:$W,MATCH($C264&amp;$I264&amp;$H264&amp;$N264&amp;$O264,APOIO_REDES!$W:$W,0),MATCH(AT$5,APOIO_REDES!$5:$5,0)),0)*$AP264,0)</f>
        <v>1.03541711123201</v>
      </c>
      <c r="AU264" s="153" t="n">
        <f aca="false">IFERROR(IF($N264="VCA",INDEX(APOIO_REDES!$A:$W,MATCH($C264&amp;$I264&amp;$H264&amp;$N264&amp;$O264,APOIO_REDES!$W:$W,0),MATCH(AU$5,APOIO_REDES!$5:$5,0)),0)*$AP264,0)</f>
        <v>0.826856062378126</v>
      </c>
      <c r="AV264" s="153" t="n">
        <f aca="false">IFERROR(IF($N264="VCA",INDEX(APOIO_REDES!$A:$W,MATCH($C264&amp;$I264&amp;$H264&amp;$N264&amp;$O264,APOIO_REDES!$W:$W,0),MATCH(AV$5,APOIO_REDES!$5:$5,0)),0)*$AP264,0)</f>
        <v>0.11443038795854</v>
      </c>
      <c r="AW264" s="153" t="n">
        <f aca="false">IFERROR(IF($N264="VCA",INDEX(APOIO_REDES!$A:$W,MATCH($C264&amp;$I264&amp;$H264&amp;$N264&amp;$O264,APOIO_REDES!$W:$W,0),MATCH(AW$5,APOIO_REDES!$5:$5,0)),0)*$AP264,0)</f>
        <v>65.3215986899468</v>
      </c>
      <c r="AX264" s="153" t="n">
        <f aca="false">IFERROR(IF($N264="VCA",INDEX(APOIO_REDES!$A:$W,MATCH($C264&amp;$I264&amp;$H264&amp;$N264&amp;$O264,APOIO_REDES!$W:$W,0),MATCH(AX$5,APOIO_REDES!$5:$5,0)),0)*$AP264,0)</f>
        <v>9.04032318659262</v>
      </c>
      <c r="AY264" s="153" t="n">
        <f aca="false">IFERROR(IF($N264="VCA",INDEX(APOIO_REDES!$A:$W,MATCH($C264&amp;$I264&amp;$H264&amp;$N264&amp;$O264,APOIO_REDES!$W:$W,0),MATCH(AY$5,APOIO_REDES!$5:$5,0)),0)*$AP264,0)</f>
        <v>16.5371111682541</v>
      </c>
      <c r="AZ264" s="153" t="n">
        <f aca="false">IFERROR(IF($N264="VCA",INDEX(APOIO_REDES!$A:$W,MATCH($C264&amp;$I264&amp;$H264&amp;$N264&amp;$O264,APOIO_REDES!$W:$W,0),MATCH(AZ$5,APOIO_REDES!$5:$5,0)),0)*$AP264,0)</f>
        <v>2.28868839363779</v>
      </c>
      <c r="BA264" s="153" t="n">
        <f aca="false">IFERROR(IF(AND($N264="VCA",$Q264="LINEAR"),INDEX(APOIO_REDES!$A:$W,MATCH($C264&amp;$I264&amp;$H264&amp;$N264&amp;$O264,APOIO_REDES!$W:$W,0),MATCH(BA$5,APOIO_REDES!$5:$5,0)),IF(AND($N264="MND",$Q264="EMBOQUE"),INDEX(APOIO_REDES!$A:$W,MATCH($C264&amp;$I264&amp;$H264&amp;$N264&amp;$O264,APOIO_REDES!$W:$W,0),MATCH(BA$5,APOIO_REDES!$5:$5,0)),0))*$M264/10,0)</f>
        <v>7.25296700740443</v>
      </c>
      <c r="BB264" s="153" t="n">
        <f aca="false">IFERROR(IF($N264="VCA",INDEX(APOIO_REDES!$A:$W,MATCH($C264&amp;$I264&amp;$H264&amp;$N264&amp;$O264,APOIO_REDES!$W:$W,0),MATCH(BB$5,APOIO_REDES!$5:$5,0)),0)*($AI264+$AQ264+$AR264),0)</f>
        <v>34.0466624278523</v>
      </c>
      <c r="BC264" s="153" t="n">
        <f aca="false">IFERROR(IF($N264="VCA",INDEX(APOIO_REDES!$A:$W,MATCH($C264&amp;$I264&amp;$H264&amp;$N264&amp;$O264,APOIO_REDES!$W:$W,0),MATCH(BC$5,APOIO_REDES!$5:$5,0)),0)*($AI264+$AQ264+$AR264),0)</f>
        <v>0.374512572147747</v>
      </c>
      <c r="BD264" s="153" t="n">
        <f aca="false">IF(AND($N264="VCA",$AF264&gt;=1.25,$AF264&lt;1.5),$M264*$AF264*2,0)</f>
        <v>253.7718</v>
      </c>
      <c r="BE264" s="153" t="n">
        <f aca="false">IF(AND($N264="VCA",$AF264&gt;=1.5,$AF264&lt;3),$M264*$AF264*2,0)</f>
        <v>0</v>
      </c>
      <c r="BF264" s="153" t="n">
        <f aca="false">IF(AND($N264="VCA",$AF264&gt;=3),$M264*$AF264*2,0)</f>
        <v>0</v>
      </c>
      <c r="BG264" s="153" t="n">
        <f aca="false">($BB264+$BC264)*$AK264</f>
        <v>89.495055</v>
      </c>
      <c r="BH264" s="153" t="n">
        <f aca="false">IF(AND($M264&lt;&gt;"",$N264="VCA",$Q264="LINEAR"),($M264*2)/100,IF(AND($M264&lt;&gt;"",$N264="MND",$Q264="EMBOQUE"),($AN264*2)/100,0))</f>
        <v>1.7998</v>
      </c>
      <c r="BI264" s="153" t="n">
        <f aca="false">IF(AND($M264&lt;&gt;"",$N264="VCA",$Q264="LINEAR"),$M264,IF(AND($M264&lt;&gt;"",$N264="MND",$Q264="EMBOQUE"),$AN264*2,0))</f>
        <v>89.99</v>
      </c>
      <c r="BJ264" s="153" t="n">
        <f aca="false">IF(AND($M264&lt;&gt;"",$N264="VCA",$Q264="LINEAR"),($M264*6.8)/100,IF(AND($M264&lt;&gt;"",$N264="MND",$Q264="EMBOQUE"),($AN264*2*6.8)/100,0))</f>
        <v>6.11932</v>
      </c>
      <c r="BK264" s="153" t="n">
        <f aca="false">IF(AND($M264&lt;&gt;"",$N264="VCA",$Q264="LINEAR"),($M264*2.5)/50,IF(AND($M264&lt;&gt;"",$N264="MND",$Q264="EMBOQUE"),($AN264*2*2.5)/50,0))</f>
        <v>4.4995</v>
      </c>
      <c r="BL264" s="157" t="str">
        <f aca="false">K264&amp;J264</f>
        <v>Zona03REDES</v>
      </c>
      <c r="BM264" s="152" t="s">
        <v>2526</v>
      </c>
      <c r="BN264" s="152" t="s">
        <v>1560</v>
      </c>
      <c r="BO264" s="152" t="s">
        <v>1982</v>
      </c>
      <c r="BP264" s="152" t="s">
        <v>2527</v>
      </c>
      <c r="BQ264" s="152" t="s">
        <v>2528</v>
      </c>
      <c r="BR264" s="152" t="s">
        <v>2529</v>
      </c>
      <c r="BS264" s="152" t="n">
        <v>203669.44</v>
      </c>
      <c r="BT264" s="152" t="n">
        <v>8238067.257</v>
      </c>
      <c r="BU264" s="152" t="n">
        <v>203734.108</v>
      </c>
      <c r="BV264" s="152" t="n">
        <v>8238129.755</v>
      </c>
      <c r="BW264" s="152" t="n">
        <v>-15.9186589</v>
      </c>
      <c r="BX264" s="152" t="n">
        <v>-47.7673218</v>
      </c>
      <c r="BY264" s="152" t="s">
        <v>2527</v>
      </c>
    </row>
    <row r="265" customFormat="false" ht="13.8" hidden="false" customHeight="false" outlineLevel="0" collapsed="false">
      <c r="A265" s="149" t="n">
        <f aca="false">IF(C265&lt;&gt;"",ROW(A260),"")</f>
        <v>260</v>
      </c>
      <c r="B265" s="150" t="str">
        <f aca="false">HYPERLINK("https://www.google.com/maps/dir/-15.917302,-47.760003/-15.9187338,-47.7681647/data=!4m3!4m2!3e0!5i0")</f>
        <v>https://www.google.com/maps/dir/-15.917302,-47.760003/-15.9187338,-47.7681647/data=!4m3!4m2!3e0!5i0</v>
      </c>
      <c r="C265" s="151" t="s">
        <v>117</v>
      </c>
      <c r="D265" s="152" t="s">
        <v>112</v>
      </c>
      <c r="E265" s="152" t="s">
        <v>113</v>
      </c>
      <c r="F265" s="152" t="s">
        <v>117</v>
      </c>
      <c r="G265" s="152" t="s">
        <v>782</v>
      </c>
      <c r="H265" s="152" t="n">
        <v>63</v>
      </c>
      <c r="I265" s="152" t="s">
        <v>115</v>
      </c>
      <c r="J265" s="152" t="s">
        <v>6</v>
      </c>
      <c r="K265" s="152" t="s">
        <v>2522</v>
      </c>
      <c r="L265" s="152" t="s">
        <v>120</v>
      </c>
      <c r="M265" s="153" t="n">
        <f aca="false">6.81</f>
        <v>6.81</v>
      </c>
      <c r="N265" s="152" t="s">
        <v>1548</v>
      </c>
      <c r="O265" s="152" t="s">
        <v>1549</v>
      </c>
      <c r="P265" s="152" t="s">
        <v>1550</v>
      </c>
      <c r="Q265" s="152" t="s">
        <v>1551</v>
      </c>
      <c r="R265" s="154" t="s">
        <v>2530</v>
      </c>
      <c r="S265" s="154" t="s">
        <v>1553</v>
      </c>
      <c r="T265" s="155" t="s">
        <v>1979</v>
      </c>
      <c r="U265" s="152" t="str">
        <f aca="false">RIGHT(T265,7)</f>
        <v>006/037</v>
      </c>
      <c r="V265" s="152" t="s">
        <v>1555</v>
      </c>
      <c r="W265" s="156" t="n">
        <v>45882</v>
      </c>
      <c r="X265" s="152" t="s">
        <v>1594</v>
      </c>
      <c r="Y265" s="152" t="s">
        <v>2531</v>
      </c>
      <c r="Z265" s="152" t="s">
        <v>1557</v>
      </c>
      <c r="AA265" s="153" t="n">
        <v>2.5</v>
      </c>
      <c r="AB265" s="151" t="s">
        <v>2532</v>
      </c>
      <c r="AC265" s="151" t="s">
        <v>186</v>
      </c>
      <c r="AD265" s="151" t="str">
        <f aca="false">CONCATENATE($C265,$I265,$H265,$N265,$J265,$K265)</f>
        <v>TUBO PEADPEAD63VCAREDESZona03</v>
      </c>
      <c r="AE265" s="153" t="n">
        <f aca="false">IFERROR(INDEX(APOIO_REDES!$A:$W,MATCH($C265&amp;$I265&amp;$H265&amp;$N265&amp;$O265,APOIO_REDES!$W:$W,0),MATCH(AE$5,APOIO_REDES!$5:$5,0)),0)</f>
        <v>1.2</v>
      </c>
      <c r="AF265" s="153" t="n">
        <f aca="false">IFERROR(INDEX(APOIO_REDES!$A:$W,MATCH($C265&amp;$I265&amp;$H265&amp;$N265&amp;$O265,APOIO_REDES!$W:$W,0),MATCH(AF$5,APOIO_REDES!$5:$5,0)),0)</f>
        <v>1.363</v>
      </c>
      <c r="AG265" s="153" t="n">
        <f aca="false">IFERROR(INDEX(APOIO_REDES!$A:$W,MATCH($C265&amp;$I265&amp;$H265&amp;$N265&amp;$O265,APOIO_REDES!$W:$W,0),MATCH(AG$5,APOIO_REDES!$5:$5,0)),0)</f>
        <v>0.65</v>
      </c>
      <c r="AH265" s="153" t="n">
        <f aca="false">IFERROR(INDEX(APOIO_REDES!$A:$W,MATCH($C265&amp;$I265&amp;$H265&amp;$N265&amp;$O265,APOIO_REDES!$W:$W,0),MATCH(AH$5,APOIO_REDES!$5:$5,0)),0)</f>
        <v>0.1</v>
      </c>
      <c r="AI265" s="153" t="n">
        <f aca="false">IFERROR(IF($H265&lt;&gt;"",(((($H265/1000)/2)^2)*PI()*$M265),0),0)</f>
        <v>0.0212284405646717</v>
      </c>
      <c r="AJ265" s="153" t="n">
        <f aca="false">IFERROR(IF(AND($H265&lt;&gt;"",$I265="FoFo",OR($N265="MND",$N265="VCA"),$Q265="LINEAR"),0,IF(AND($H265&lt;&gt;"",$I265="PEAD",$N265="VCA",$Q265="LINEAR"),($H265/1000)+0.3,IF(AND($H265&lt;&gt;"",$I265="PEAD",$N265="MND",$Q265="EMBOQUE"),0,IF(AND($H265&lt;&gt;"",$I265="PVC",$N265="VCA",$Q265="LINEAR"),($H265/1000)+0.2,IF(AND($H265&lt;&gt;"",$I265="PVC",$N265="MND",$Q265="EMBOQUE"),0,IF(AND($H265&lt;&gt;"",$I265="PEAD",$N265="VCA",$Q265="PREDIAL"),0,0)))))),0)</f>
        <v>0.363</v>
      </c>
      <c r="AK265" s="153" t="n">
        <f aca="false">IF(AA265&lt;&gt;"",AA265,0)</f>
        <v>2.5</v>
      </c>
      <c r="AL265" s="153" t="n">
        <f aca="false">IF(AND($N265="MND",$Q265="EMBOQUE"),$M265,IF(AND($N265="VCA",$Q265="LINEAR"),$M265,IF(AND($N265="VCA",$Q265="PREDIAL"),0,0)))</f>
        <v>6.81</v>
      </c>
      <c r="AM265" s="153" t="n">
        <f aca="false">IF(AND($N265="MND",$Q265="EMBOQUE"),$M265,IF(AND($N265="VCA",$Q265="LINEAR"),$M265,IF(AND($N265="VCA",$Q265="PREDIAL"),0,0)))</f>
        <v>6.81</v>
      </c>
      <c r="AN265" s="153" t="n">
        <f aca="false">ROUND(IF(AND($N265="VCA",$M265&lt;&gt;"",$Q265="LINEAR"),$M265/100,IF(AND($N265="MND",$M265&gt;100,$Q265="EMBOQUE"),$M265/100,0)),0)</f>
        <v>0</v>
      </c>
      <c r="AO265" s="153" t="n">
        <f aca="false">IF(AND($N265="MND",$Q265="EMBOQUE"),$AN265*2*2,IF(AND($N265="VCA",$Q265="LINEAR"),$M265*2,IF(AND($N265="VCA",$Q265="PREDIAL"),0,0)))</f>
        <v>13.62</v>
      </c>
      <c r="AP265" s="153" t="n">
        <f aca="false">IFERROR($M265*$AF265*$AG265,0)</f>
        <v>6.0333195</v>
      </c>
      <c r="AQ265" s="153" t="n">
        <f aca="false">IFERROR(IF(AND($N265="VCA",$AH265&gt;0),$M265*$AG265*$AH265,0),0)</f>
        <v>0.44265</v>
      </c>
      <c r="AR265" s="153" t="n">
        <f aca="false">IFERROR(IF(AND($N265="VCA",$AJ265&gt;0),($M265*$AG265*$AJ265)-$AI265,0),0)</f>
        <v>1.58559105943533</v>
      </c>
      <c r="AS265" s="153" t="n">
        <f aca="false">IFERROR(IF(AND($N265="VCA",$AP265&gt;0),$AP265-$AI265-$AQ265-$AR265,0),0)</f>
        <v>3.98385</v>
      </c>
      <c r="AT265" s="153" t="n">
        <f aca="false">IFERROR(IF($N265="VCA",INDEX(APOIO_REDES!$A:$W,MATCH($C265&amp;$I265&amp;$H265&amp;$N265&amp;$O265,APOIO_REDES!$W:$W,0),MATCH(AT$5,APOIO_REDES!$5:$5,0)),0)*$AP265,0)</f>
        <v>0.0656443019314175</v>
      </c>
      <c r="AU265" s="153" t="n">
        <f aca="false">IFERROR(IF($N265="VCA",INDEX(APOIO_REDES!$A:$W,MATCH($C265&amp;$I265&amp;$H265&amp;$N265&amp;$O265,APOIO_REDES!$W:$W,0),MATCH(AU$5,APOIO_REDES!$5:$5,0)),0)*$AP265,0)</f>
        <v>0.0524217616492629</v>
      </c>
      <c r="AV265" s="153" t="n">
        <f aca="false">IFERROR(IF($N265="VCA",INDEX(APOIO_REDES!$A:$W,MATCH($C265&amp;$I265&amp;$H265&amp;$N265&amp;$O265,APOIO_REDES!$W:$W,0),MATCH(AV$5,APOIO_REDES!$5:$5,0)),0)*$AP265,0)</f>
        <v>0.00725476028529386</v>
      </c>
      <c r="AW265" s="153" t="n">
        <f aca="false">IFERROR(IF($N265="VCA",INDEX(APOIO_REDES!$A:$W,MATCH($C265&amp;$I265&amp;$H265&amp;$N265&amp;$O265,APOIO_REDES!$W:$W,0),MATCH(AW$5,APOIO_REDES!$5:$5,0)),0)*$AP265,0)</f>
        <v>4.1413172532407</v>
      </c>
      <c r="AX265" s="153" t="n">
        <f aca="false">IFERROR(IF($N265="VCA",INDEX(APOIO_REDES!$A:$W,MATCH($C265&amp;$I265&amp;$H265&amp;$N265&amp;$O265,APOIO_REDES!$W:$W,0),MATCH(AX$5,APOIO_REDES!$5:$5,0)),0)*$AP265,0)</f>
        <v>0.573146511083017</v>
      </c>
      <c r="AY265" s="153" t="n">
        <f aca="false">IFERROR(IF($N265="VCA",INDEX(APOIO_REDES!$A:$W,MATCH($C265&amp;$I265&amp;$H265&amp;$N265&amp;$O265,APOIO_REDES!$W:$W,0),MATCH(AY$5,APOIO_REDES!$5:$5,0)),0)*$AP265,0)</f>
        <v>1.04843459396823</v>
      </c>
      <c r="AZ265" s="153" t="n">
        <f aca="false">IFERROR(IF($N265="VCA",INDEX(APOIO_REDES!$A:$W,MATCH($C265&amp;$I265&amp;$H265&amp;$N265&amp;$O265,APOIO_REDES!$W:$W,0),MATCH(AZ$5,APOIO_REDES!$5:$5,0)),0)*$AP265,0)</f>
        <v>0.145100317842078</v>
      </c>
      <c r="BA265" s="153" t="n">
        <f aca="false">IFERROR(IF(AND($N265="VCA",$Q265="LINEAR"),INDEX(APOIO_REDES!$A:$W,MATCH($C265&amp;$I265&amp;$H265&amp;$N265&amp;$O265,APOIO_REDES!$W:$W,0),MATCH(BA$5,APOIO_REDES!$5:$5,0)),IF(AND($N265="MND",$Q265="EMBOQUE"),INDEX(APOIO_REDES!$A:$W,MATCH($C265&amp;$I265&amp;$H265&amp;$N265&amp;$O265,APOIO_REDES!$W:$W,0),MATCH(BA$5,APOIO_REDES!$5:$5,0)),0))*$M265/10,0)</f>
        <v>0.548868822318304</v>
      </c>
      <c r="BB265" s="153" t="n">
        <f aca="false">IFERROR(IF($N265="VCA",INDEX(APOIO_REDES!$A:$W,MATCH($C265&amp;$I265&amp;$H265&amp;$N265&amp;$O265,APOIO_REDES!$W:$W,0),MATCH(BB$5,APOIO_REDES!$5:$5,0)),0)*($AI265+$AQ265+$AR265),0)</f>
        <v>2.02717066522799</v>
      </c>
      <c r="BC265" s="153" t="n">
        <f aca="false">IFERROR(IF($N265="VCA",INDEX(APOIO_REDES!$A:$W,MATCH($C265&amp;$I265&amp;$H265&amp;$N265&amp;$O265,APOIO_REDES!$W:$W,0),MATCH(BC$5,APOIO_REDES!$5:$5,0)),0)*($AI265+$AQ265+$AR265),0)</f>
        <v>0.0222988347720076</v>
      </c>
      <c r="BD265" s="153" t="n">
        <f aca="false">IF(AND($N265="VCA",$AF265&gt;=1.25,$AF265&lt;1.5),$M265*$AF265*2,0)</f>
        <v>18.56406</v>
      </c>
      <c r="BE265" s="153" t="n">
        <f aca="false">IF(AND($N265="VCA",$AF265&gt;=1.5,$AF265&lt;3),$M265*$AF265*2,0)</f>
        <v>0</v>
      </c>
      <c r="BF265" s="153" t="n">
        <f aca="false">IF(AND($N265="VCA",$AF265&gt;=3),$M265*$AF265*2,0)</f>
        <v>0</v>
      </c>
      <c r="BG265" s="153" t="n">
        <f aca="false">($BB265+$BC265)*$AK265</f>
        <v>5.12367375</v>
      </c>
      <c r="BH265" s="153" t="n">
        <f aca="false">IF(AND($M265&lt;&gt;"",$N265="VCA",$Q265="LINEAR"),($M265*2)/100,IF(AND($M265&lt;&gt;"",$N265="MND",$Q265="EMBOQUE"),($AN265*2)/100,0))</f>
        <v>0.1362</v>
      </c>
      <c r="BI265" s="153" t="n">
        <f aca="false">IF(AND($M265&lt;&gt;"",$N265="VCA",$Q265="LINEAR"),$M265,IF(AND($M265&lt;&gt;"",$N265="MND",$Q265="EMBOQUE"),$AN265*2,0))</f>
        <v>6.81</v>
      </c>
      <c r="BJ265" s="153" t="n">
        <f aca="false">IF(AND($M265&lt;&gt;"",$N265="VCA",$Q265="LINEAR"),($M265*6.8)/100,IF(AND($M265&lt;&gt;"",$N265="MND",$Q265="EMBOQUE"),($AN265*2*6.8)/100,0))</f>
        <v>0.46308</v>
      </c>
      <c r="BK265" s="153" t="n">
        <f aca="false">IF(AND($M265&lt;&gt;"",$N265="VCA",$Q265="LINEAR"),($M265*2.5)/50,IF(AND($M265&lt;&gt;"",$N265="MND",$Q265="EMBOQUE"),($AN265*2*2.5)/50,0))</f>
        <v>0.3405</v>
      </c>
      <c r="BL265" s="157" t="str">
        <f aca="false">K265&amp;J265</f>
        <v>Zona03REDES</v>
      </c>
      <c r="BM265" s="152" t="s">
        <v>2526</v>
      </c>
      <c r="BN265" s="152" t="s">
        <v>1560</v>
      </c>
      <c r="BO265" s="152" t="s">
        <v>1982</v>
      </c>
      <c r="BP265" s="152" t="s">
        <v>2533</v>
      </c>
      <c r="BQ265" s="152" t="s">
        <v>2534</v>
      </c>
      <c r="BR265" s="152" t="s">
        <v>2535</v>
      </c>
      <c r="BS265" s="152" t="n">
        <v>203611.668</v>
      </c>
      <c r="BT265" s="152" t="n">
        <v>8238088.953</v>
      </c>
      <c r="BU265" s="152" t="n">
        <v>203604.902</v>
      </c>
      <c r="BV265" s="152" t="n">
        <v>8238088.212</v>
      </c>
      <c r="BW265" s="152" t="n">
        <v>-15.9187368</v>
      </c>
      <c r="BX265" s="152" t="n">
        <v>-47.7681963</v>
      </c>
      <c r="BY265" s="152" t="s">
        <v>2533</v>
      </c>
    </row>
    <row r="266" customFormat="false" ht="13.8" hidden="false" customHeight="false" outlineLevel="0" collapsed="false">
      <c r="A266" s="149" t="n">
        <f aca="false">IF(C266&lt;&gt;"",ROW(A261),"")</f>
        <v>261</v>
      </c>
      <c r="B266" s="150" t="str">
        <f aca="false">HYPERLINK("https://www.google.com/maps/dir/-15.917302,-47.760003/-15.9187977,-47.7708829/data=!4m3!4m2!3e0!5i2")</f>
        <v>https://www.google.com/maps/dir/-15.917302,-47.760003/-15.9187977,-47.7708829/data=!4m3!4m2!3e0!5i2</v>
      </c>
      <c r="C266" s="151" t="s">
        <v>117</v>
      </c>
      <c r="D266" s="152" t="s">
        <v>112</v>
      </c>
      <c r="E266" s="152" t="s">
        <v>113</v>
      </c>
      <c r="F266" s="152" t="s">
        <v>117</v>
      </c>
      <c r="G266" s="152" t="s">
        <v>782</v>
      </c>
      <c r="H266" s="152" t="n">
        <v>63</v>
      </c>
      <c r="I266" s="152" t="s">
        <v>115</v>
      </c>
      <c r="J266" s="152" t="s">
        <v>6</v>
      </c>
      <c r="K266" s="152" t="s">
        <v>2522</v>
      </c>
      <c r="L266" s="152" t="s">
        <v>120</v>
      </c>
      <c r="M266" s="153" t="n">
        <f aca="false">160.37+4</f>
        <v>164.37</v>
      </c>
      <c r="N266" s="152" t="s">
        <v>1548</v>
      </c>
      <c r="O266" s="152" t="s">
        <v>1549</v>
      </c>
      <c r="P266" s="152" t="s">
        <v>1550</v>
      </c>
      <c r="Q266" s="152" t="s">
        <v>1551</v>
      </c>
      <c r="R266" s="154" t="s">
        <v>2536</v>
      </c>
      <c r="S266" s="154" t="s">
        <v>1553</v>
      </c>
      <c r="T266" s="155" t="s">
        <v>1979</v>
      </c>
      <c r="U266" s="152" t="str">
        <f aca="false">RIGHT(T266,7)</f>
        <v>006/037</v>
      </c>
      <c r="V266" s="152" t="s">
        <v>1555</v>
      </c>
      <c r="W266" s="156" t="n">
        <v>45882</v>
      </c>
      <c r="X266" s="152" t="s">
        <v>1594</v>
      </c>
      <c r="Y266" s="152" t="s">
        <v>2531</v>
      </c>
      <c r="Z266" s="152" t="s">
        <v>1557</v>
      </c>
      <c r="AA266" s="153" t="n">
        <v>3.7</v>
      </c>
      <c r="AB266" s="151" t="s">
        <v>2537</v>
      </c>
      <c r="AC266" s="151" t="s">
        <v>186</v>
      </c>
      <c r="AD266" s="151" t="str">
        <f aca="false">CONCATENATE($C266,$I266,$H266,$N266,$J266,$K266)</f>
        <v>TUBO PEADPEAD63VCAREDESZona03</v>
      </c>
      <c r="AE266" s="153" t="n">
        <f aca="false">IFERROR(INDEX(APOIO_REDES!$A:$W,MATCH($C266&amp;$I266&amp;$H266&amp;$N266&amp;$O266,APOIO_REDES!$W:$W,0),MATCH(AE$5,APOIO_REDES!$5:$5,0)),0)</f>
        <v>1.2</v>
      </c>
      <c r="AF266" s="153" t="n">
        <f aca="false">IFERROR(INDEX(APOIO_REDES!$A:$W,MATCH($C266&amp;$I266&amp;$H266&amp;$N266&amp;$O266,APOIO_REDES!$W:$W,0),MATCH(AF$5,APOIO_REDES!$5:$5,0)),0)</f>
        <v>1.363</v>
      </c>
      <c r="AG266" s="153" t="n">
        <f aca="false">IFERROR(INDEX(APOIO_REDES!$A:$W,MATCH($C266&amp;$I266&amp;$H266&amp;$N266&amp;$O266,APOIO_REDES!$W:$W,0),MATCH(AG$5,APOIO_REDES!$5:$5,0)),0)</f>
        <v>0.65</v>
      </c>
      <c r="AH266" s="153" t="n">
        <f aca="false">IFERROR(INDEX(APOIO_REDES!$A:$W,MATCH($C266&amp;$I266&amp;$H266&amp;$N266&amp;$O266,APOIO_REDES!$W:$W,0),MATCH(AH$5,APOIO_REDES!$5:$5,0)),0)</f>
        <v>0.1</v>
      </c>
      <c r="AI266" s="153" t="n">
        <f aca="false">IFERROR(IF($H266&lt;&gt;"",(((($H266/1000)/2)^2)*PI()*$M266),0),0)</f>
        <v>0.512381611690908</v>
      </c>
      <c r="AJ266" s="153" t="n">
        <f aca="false">IFERROR(IF(AND($H266&lt;&gt;"",$I266="FoFo",OR($N266="MND",$N266="VCA"),$Q266="LINEAR"),0,IF(AND($H266&lt;&gt;"",$I266="PEAD",$N266="VCA",$Q266="LINEAR"),($H266/1000)+0.3,IF(AND($H266&lt;&gt;"",$I266="PEAD",$N266="MND",$Q266="EMBOQUE"),0,IF(AND($H266&lt;&gt;"",$I266="PVC",$N266="VCA",$Q266="LINEAR"),($H266/1000)+0.2,IF(AND($H266&lt;&gt;"",$I266="PVC",$N266="MND",$Q266="EMBOQUE"),0,IF(AND($H266&lt;&gt;"",$I266="PEAD",$N266="VCA",$Q266="PREDIAL"),0,0)))))),0)</f>
        <v>0.363</v>
      </c>
      <c r="AK266" s="153" t="n">
        <f aca="false">IF(AA266&lt;&gt;"",AA266,0)</f>
        <v>3.7</v>
      </c>
      <c r="AL266" s="153" t="n">
        <f aca="false">IF(AND($N266="MND",$Q266="EMBOQUE"),$M266,IF(AND($N266="VCA",$Q266="LINEAR"),$M266,IF(AND($N266="VCA",$Q266="PREDIAL"),0,0)))</f>
        <v>164.37</v>
      </c>
      <c r="AM266" s="153" t="n">
        <f aca="false">IF(AND($N266="MND",$Q266="EMBOQUE"),$M266,IF(AND($N266="VCA",$Q266="LINEAR"),$M266,IF(AND($N266="VCA",$Q266="PREDIAL"),0,0)))</f>
        <v>164.37</v>
      </c>
      <c r="AN266" s="153" t="n">
        <f aca="false">ROUND(IF(AND($N266="VCA",$M266&lt;&gt;"",$Q266="LINEAR"),$M266/100,IF(AND($N266="MND",$M266&gt;100,$Q266="EMBOQUE"),$M266/100,0)),0)</f>
        <v>2</v>
      </c>
      <c r="AO266" s="153" t="n">
        <f aca="false">IF(AND($N266="MND",$Q266="EMBOQUE"),$AN266*2*2,IF(AND($N266="VCA",$Q266="LINEAR"),$M266*2,IF(AND($N266="VCA",$Q266="PREDIAL"),0,0)))</f>
        <v>328.74</v>
      </c>
      <c r="AP266" s="153" t="n">
        <f aca="false">IFERROR($M266*$AF266*$AG266,0)</f>
        <v>145.6236015</v>
      </c>
      <c r="AQ266" s="153" t="n">
        <f aca="false">IFERROR(IF(AND($N266="VCA",$AH266&gt;0),$M266*$AG266*$AH266,0),0)</f>
        <v>10.68405</v>
      </c>
      <c r="AR266" s="153" t="n">
        <f aca="false">IFERROR(IF(AND($N266="VCA",$AJ266&gt;0),($M266*$AG266*$AJ266)-$AI266,0),0)</f>
        <v>38.2707198883091</v>
      </c>
      <c r="AS266" s="153" t="n">
        <f aca="false">IFERROR(IF(AND($N266="VCA",$AP266&gt;0),$AP266-$AI266-$AQ266-$AR266,0),0)</f>
        <v>96.15645</v>
      </c>
      <c r="AT266" s="153" t="n">
        <f aca="false">IFERROR(IF($N266="VCA",INDEX(APOIO_REDES!$A:$W,MATCH($C266&amp;$I266&amp;$H266&amp;$N266&amp;$O266,APOIO_REDES!$W:$W,0),MATCH(AT$5,APOIO_REDES!$5:$5,0)),0)*$AP266,0)</f>
        <v>1.58442788670589</v>
      </c>
      <c r="AU266" s="153" t="n">
        <f aca="false">IFERROR(IF($N266="VCA",INDEX(APOIO_REDES!$A:$W,MATCH($C266&amp;$I266&amp;$H266&amp;$N266&amp;$O266,APOIO_REDES!$W:$W,0),MATCH(AU$5,APOIO_REDES!$5:$5,0)),0)*$AP266,0)</f>
        <v>1.26528119857406</v>
      </c>
      <c r="AV266" s="153" t="n">
        <f aca="false">IFERROR(IF($N266="VCA",INDEX(APOIO_REDES!$A:$W,MATCH($C266&amp;$I266&amp;$H266&amp;$N266&amp;$O266,APOIO_REDES!$W:$W,0),MATCH(AV$5,APOIO_REDES!$5:$5,0)),0)*$AP266,0)</f>
        <v>0.175104985035793</v>
      </c>
      <c r="AW266" s="153" t="n">
        <f aca="false">IFERROR(IF($N266="VCA",INDEX(APOIO_REDES!$A:$W,MATCH($C266&amp;$I266&amp;$H266&amp;$N266&amp;$O266,APOIO_REDES!$W:$W,0),MATCH(AW$5,APOIO_REDES!$5:$5,0)),0)*$AP266,0)</f>
        <v>99.957168416325</v>
      </c>
      <c r="AX266" s="153" t="n">
        <f aca="false">IFERROR(IF($N266="VCA",INDEX(APOIO_REDES!$A:$W,MATCH($C266&amp;$I266&amp;$H266&amp;$N266&amp;$O266,APOIO_REDES!$W:$W,0),MATCH(AX$5,APOIO_REDES!$5:$5,0)),0)*$AP266,0)</f>
        <v>13.8337873754355</v>
      </c>
      <c r="AY266" s="153" t="n">
        <f aca="false">IFERROR(IF($N266="VCA",INDEX(APOIO_REDES!$A:$W,MATCH($C266&amp;$I266&amp;$H266&amp;$N266&amp;$O266,APOIO_REDES!$W:$W,0),MATCH(AY$5,APOIO_REDES!$5:$5,0)),0)*$AP266,0)</f>
        <v>25.305608547806</v>
      </c>
      <c r="AZ266" s="153" t="n">
        <f aca="false">IFERROR(IF($N266="VCA",INDEX(APOIO_REDES!$A:$W,MATCH($C266&amp;$I266&amp;$H266&amp;$N266&amp;$O266,APOIO_REDES!$W:$W,0),MATCH(AZ$5,APOIO_REDES!$5:$5,0)),0)*$AP266,0)</f>
        <v>3.50222309011781</v>
      </c>
      <c r="BA266" s="153" t="n">
        <f aca="false">IFERROR(IF(AND($N266="VCA",$Q266="LINEAR"),INDEX(APOIO_REDES!$A:$W,MATCH($C266&amp;$I266&amp;$H266&amp;$N266&amp;$O266,APOIO_REDES!$W:$W,0),MATCH(BA$5,APOIO_REDES!$5:$5,0)),IF(AND($N266="MND",$Q266="EMBOQUE"),INDEX(APOIO_REDES!$A:$W,MATCH($C266&amp;$I266&amp;$H266&amp;$N266&amp;$O266,APOIO_REDES!$W:$W,0),MATCH(BA$5,APOIO_REDES!$5:$5,0)),0))*$M266/10,0)</f>
        <v>13.2478073897885</v>
      </c>
      <c r="BB266" s="153" t="n">
        <f aca="false">IFERROR(IF($N266="VCA",INDEX(APOIO_REDES!$A:$W,MATCH($C266&amp;$I266&amp;$H266&amp;$N266&amp;$O266,APOIO_REDES!$W:$W,0),MATCH(BB$5,APOIO_REDES!$5:$5,0)),0)*($AI266+$AQ266+$AR266),0)</f>
        <v>48.9289342501505</v>
      </c>
      <c r="BC266" s="153" t="n">
        <f aca="false">IFERROR(IF($N266="VCA",INDEX(APOIO_REDES!$A:$W,MATCH($C266&amp;$I266&amp;$H266&amp;$N266&amp;$O266,APOIO_REDES!$W:$W,0),MATCH(BC$5,APOIO_REDES!$5:$5,0)),0)*($AI266+$AQ266+$AR266),0)</f>
        <v>0.538217249849469</v>
      </c>
      <c r="BD266" s="153" t="n">
        <f aca="false">IF(AND($N266="VCA",$AF266&gt;=1.25,$AF266&lt;1.5),$M266*$AF266*2,0)</f>
        <v>448.07262</v>
      </c>
      <c r="BE266" s="153" t="n">
        <f aca="false">IF(AND($N266="VCA",$AF266&gt;=1.5,$AF266&lt;3),$M266*$AF266*2,0)</f>
        <v>0</v>
      </c>
      <c r="BF266" s="153" t="n">
        <f aca="false">IF(AND($N266="VCA",$AF266&gt;=3),$M266*$AF266*2,0)</f>
        <v>0</v>
      </c>
      <c r="BG266" s="153" t="n">
        <f aca="false">($BB266+$BC266)*$AK266</f>
        <v>183.02846055</v>
      </c>
      <c r="BH266" s="153" t="n">
        <f aca="false">IF(AND($M266&lt;&gt;"",$N266="VCA",$Q266="LINEAR"),($M266*2)/100,IF(AND($M266&lt;&gt;"",$N266="MND",$Q266="EMBOQUE"),($AN266*2)/100,0))</f>
        <v>3.2874</v>
      </c>
      <c r="BI266" s="153" t="n">
        <f aca="false">IF(AND($M266&lt;&gt;"",$N266="VCA",$Q266="LINEAR"),$M266,IF(AND($M266&lt;&gt;"",$N266="MND",$Q266="EMBOQUE"),$AN266*2,0))</f>
        <v>164.37</v>
      </c>
      <c r="BJ266" s="153" t="n">
        <f aca="false">IF(AND($M266&lt;&gt;"",$N266="VCA",$Q266="LINEAR"),($M266*6.8)/100,IF(AND($M266&lt;&gt;"",$N266="MND",$Q266="EMBOQUE"),($AN266*2*6.8)/100,0))</f>
        <v>11.17716</v>
      </c>
      <c r="BK266" s="153" t="n">
        <f aca="false">IF(AND($M266&lt;&gt;"",$N266="VCA",$Q266="LINEAR"),($M266*2.5)/50,IF(AND($M266&lt;&gt;"",$N266="MND",$Q266="EMBOQUE"),($AN266*2*2.5)/50,0))</f>
        <v>8.2185</v>
      </c>
      <c r="BL266" s="157" t="str">
        <f aca="false">K266&amp;J266</f>
        <v>Zona03REDES</v>
      </c>
      <c r="BM266" s="152" t="s">
        <v>2526</v>
      </c>
      <c r="BN266" s="152" t="s">
        <v>1560</v>
      </c>
      <c r="BO266" s="152" t="s">
        <v>1982</v>
      </c>
      <c r="BP266" s="152" t="s">
        <v>2538</v>
      </c>
      <c r="BQ266" s="152" t="s">
        <v>2539</v>
      </c>
      <c r="BR266" s="152" t="s">
        <v>2540</v>
      </c>
      <c r="BS266" s="152" t="n">
        <v>203320.524</v>
      </c>
      <c r="BT266" s="152" t="n">
        <v>8238078.02</v>
      </c>
      <c r="BU266" s="152" t="n">
        <v>203479.995</v>
      </c>
      <c r="BV266" s="152" t="n">
        <v>8238094.476</v>
      </c>
      <c r="BW266" s="152" t="n">
        <v>-15.9187315</v>
      </c>
      <c r="BX266" s="152" t="n">
        <v>-47.7701377</v>
      </c>
      <c r="BY266" s="152" t="s">
        <v>2538</v>
      </c>
    </row>
    <row r="267" customFormat="false" ht="13.8" hidden="false" customHeight="false" outlineLevel="0" collapsed="false">
      <c r="A267" s="149" t="n">
        <f aca="false">IF(C267&lt;&gt;"",ROW(A262),"")</f>
        <v>262</v>
      </c>
      <c r="B267" s="150" t="str">
        <f aca="false">HYPERLINK("https://www.google.com/maps/dir/-15.917302,-47.760003/-15.9187330,-47.7682286/data=!4m3!4m2!3e0!5i0")</f>
        <v>https://www.google.com/maps/dir/-15.917302,-47.760003/-15.9187330,-47.7682286/data=!4m3!4m2!3e0!5i0</v>
      </c>
      <c r="C267" s="151" t="s">
        <v>117</v>
      </c>
      <c r="D267" s="152" t="s">
        <v>112</v>
      </c>
      <c r="E267" s="152" t="s">
        <v>113</v>
      </c>
      <c r="F267" s="152" t="s">
        <v>117</v>
      </c>
      <c r="G267" s="152" t="s">
        <v>782</v>
      </c>
      <c r="H267" s="152" t="n">
        <v>63</v>
      </c>
      <c r="I267" s="152" t="s">
        <v>115</v>
      </c>
      <c r="J267" s="152" t="s">
        <v>6</v>
      </c>
      <c r="K267" s="152" t="s">
        <v>2522</v>
      </c>
      <c r="L267" s="152" t="s">
        <v>120</v>
      </c>
      <c r="M267" s="153" t="n">
        <f aca="false">101.47+4.06</f>
        <v>105.53</v>
      </c>
      <c r="N267" s="152" t="s">
        <v>1548</v>
      </c>
      <c r="O267" s="152" t="s">
        <v>1549</v>
      </c>
      <c r="P267" s="152" t="s">
        <v>1550</v>
      </c>
      <c r="Q267" s="152" t="s">
        <v>1551</v>
      </c>
      <c r="R267" s="154" t="s">
        <v>2541</v>
      </c>
      <c r="S267" s="154" t="s">
        <v>1553</v>
      </c>
      <c r="T267" s="155" t="s">
        <v>1979</v>
      </c>
      <c r="U267" s="152" t="str">
        <f aca="false">RIGHT(T267,7)</f>
        <v>006/037</v>
      </c>
      <c r="V267" s="152" t="s">
        <v>1555</v>
      </c>
      <c r="W267" s="156" t="n">
        <v>45882</v>
      </c>
      <c r="X267" s="152" t="s">
        <v>1594</v>
      </c>
      <c r="Y267" s="152" t="s">
        <v>2531</v>
      </c>
      <c r="Z267" s="152" t="s">
        <v>1557</v>
      </c>
      <c r="AA267" s="153" t="n">
        <v>2.5</v>
      </c>
      <c r="AB267" s="151" t="s">
        <v>2542</v>
      </c>
      <c r="AC267" s="151" t="s">
        <v>186</v>
      </c>
      <c r="AD267" s="151" t="str">
        <f aca="false">CONCATENATE($C267,$I267,$H267,$N267,$J267,$K267)</f>
        <v>TUBO PEADPEAD63VCAREDESZona03</v>
      </c>
      <c r="AE267" s="153" t="n">
        <f aca="false">IFERROR(INDEX(APOIO_REDES!$A:$W,MATCH($C267&amp;$I267&amp;$H267&amp;$N267&amp;$O267,APOIO_REDES!$W:$W,0),MATCH(AE$5,APOIO_REDES!$5:$5,0)),0)</f>
        <v>1.2</v>
      </c>
      <c r="AF267" s="153" t="n">
        <f aca="false">IFERROR(INDEX(APOIO_REDES!$A:$W,MATCH($C267&amp;$I267&amp;$H267&amp;$N267&amp;$O267,APOIO_REDES!$W:$W,0),MATCH(AF$5,APOIO_REDES!$5:$5,0)),0)</f>
        <v>1.363</v>
      </c>
      <c r="AG267" s="153" t="n">
        <f aca="false">IFERROR(INDEX(APOIO_REDES!$A:$W,MATCH($C267&amp;$I267&amp;$H267&amp;$N267&amp;$O267,APOIO_REDES!$W:$W,0),MATCH(AG$5,APOIO_REDES!$5:$5,0)),0)</f>
        <v>0.65</v>
      </c>
      <c r="AH267" s="153" t="n">
        <f aca="false">IFERROR(INDEX(APOIO_REDES!$A:$W,MATCH($C267&amp;$I267&amp;$H267&amp;$N267&amp;$O267,APOIO_REDES!$W:$W,0),MATCH(AH$5,APOIO_REDES!$5:$5,0)),0)</f>
        <v>0.1</v>
      </c>
      <c r="AI267" s="153" t="n">
        <f aca="false">IFERROR(IF($H267&lt;&gt;"",(((($H267/1000)/2)^2)*PI()*$M267),0),0)</f>
        <v>0.328962897619648</v>
      </c>
      <c r="AJ267" s="153" t="n">
        <f aca="false">IFERROR(IF(AND($H267&lt;&gt;"",$I267="FoFo",OR($N267="MND",$N267="VCA"),$Q267="LINEAR"),0,IF(AND($H267&lt;&gt;"",$I267="PEAD",$N267="VCA",$Q267="LINEAR"),($H267/1000)+0.3,IF(AND($H267&lt;&gt;"",$I267="PEAD",$N267="MND",$Q267="EMBOQUE"),0,IF(AND($H267&lt;&gt;"",$I267="PVC",$N267="VCA",$Q267="LINEAR"),($H267/1000)+0.2,IF(AND($H267&lt;&gt;"",$I267="PVC",$N267="MND",$Q267="EMBOQUE"),0,IF(AND($H267&lt;&gt;"",$I267="PEAD",$N267="VCA",$Q267="PREDIAL"),0,0)))))),0)</f>
        <v>0.363</v>
      </c>
      <c r="AK267" s="153" t="n">
        <f aca="false">IF(AA267&lt;&gt;"",AA267,0)</f>
        <v>2.5</v>
      </c>
      <c r="AL267" s="153" t="n">
        <f aca="false">IF(AND($N267="MND",$Q267="EMBOQUE"),$M267,IF(AND($N267="VCA",$Q267="LINEAR"),$M267,IF(AND($N267="VCA",$Q267="PREDIAL"),0,0)))</f>
        <v>105.53</v>
      </c>
      <c r="AM267" s="153" t="n">
        <f aca="false">IF(AND($N267="MND",$Q267="EMBOQUE"),$M267,IF(AND($N267="VCA",$Q267="LINEAR"),$M267,IF(AND($N267="VCA",$Q267="PREDIAL"),0,0)))</f>
        <v>105.53</v>
      </c>
      <c r="AN267" s="153" t="n">
        <f aca="false">ROUND(IF(AND($N267="VCA",$M267&lt;&gt;"",$Q267="LINEAR"),$M267/100,IF(AND($N267="MND",$M267&gt;100,$Q267="EMBOQUE"),$M267/100,0)),0)</f>
        <v>1</v>
      </c>
      <c r="AO267" s="153" t="n">
        <f aca="false">IF(AND($N267="MND",$Q267="EMBOQUE"),$AN267*2*2,IF(AND($N267="VCA",$Q267="LINEAR"),$M267*2,IF(AND($N267="VCA",$Q267="PREDIAL"),0,0)))</f>
        <v>211.06</v>
      </c>
      <c r="AP267" s="153" t="n">
        <f aca="false">IFERROR($M267*$AF267*$AG267,0)</f>
        <v>93.4943035</v>
      </c>
      <c r="AQ267" s="153" t="n">
        <f aca="false">IFERROR(IF(AND($N267="VCA",$AH267&gt;0),$M267*$AG267*$AH267,0),0)</f>
        <v>6.85945</v>
      </c>
      <c r="AR267" s="153" t="n">
        <f aca="false">IFERROR(IF(AND($N267="VCA",$AJ267&gt;0),($M267*$AG267*$AJ267)-$AI267,0),0)</f>
        <v>24.5708406023804</v>
      </c>
      <c r="AS267" s="153" t="n">
        <f aca="false">IFERROR(IF(AND($N267="VCA",$AP267&gt;0),$AP267-$AI267-$AQ267-$AR267,0),0)</f>
        <v>61.73505</v>
      </c>
      <c r="AT267" s="153" t="n">
        <f aca="false">IFERROR(IF($N267="VCA",INDEX(APOIO_REDES!$A:$W,MATCH($C267&amp;$I267&amp;$H267&amp;$N267&amp;$O267,APOIO_REDES!$W:$W,0),MATCH(AT$5,APOIO_REDES!$5:$5,0)),0)*$AP267,0)</f>
        <v>1.01724569498128</v>
      </c>
      <c r="AU267" s="153" t="n">
        <f aca="false">IFERROR(IF($N267="VCA",INDEX(APOIO_REDES!$A:$W,MATCH($C267&amp;$I267&amp;$H267&amp;$N267&amp;$O267,APOIO_REDES!$W:$W,0),MATCH(AU$5,APOIO_REDES!$5:$5,0)),0)*$AP267,0)</f>
        <v>0.812344861504658</v>
      </c>
      <c r="AV267" s="153" t="n">
        <f aca="false">IFERROR(IF($N267="VCA",INDEX(APOIO_REDES!$A:$W,MATCH($C267&amp;$I267&amp;$H267&amp;$N267&amp;$O267,APOIO_REDES!$W:$W,0),MATCH(AV$5,APOIO_REDES!$5:$5,0)),0)*$AP267,0)</f>
        <v>0.112422151675046</v>
      </c>
      <c r="AW267" s="153" t="n">
        <f aca="false">IFERROR(IF($N267="VCA",INDEX(APOIO_REDES!$A:$W,MATCH($C267&amp;$I267&amp;$H267&amp;$N267&amp;$O267,APOIO_REDES!$W:$W,0),MATCH(AW$5,APOIO_REDES!$5:$5,0)),0)*$AP267,0)</f>
        <v>64.1752143516139</v>
      </c>
      <c r="AX267" s="153" t="n">
        <f aca="false">IFERROR(IF($N267="VCA",INDEX(APOIO_REDES!$A:$W,MATCH($C267&amp;$I267&amp;$H267&amp;$N267&amp;$O267,APOIO_REDES!$W:$W,0),MATCH(AX$5,APOIO_REDES!$5:$5,0)),0)*$AP267,0)</f>
        <v>8.88166685970496</v>
      </c>
      <c r="AY267" s="153" t="n">
        <f aca="false">IFERROR(IF($N267="VCA",INDEX(APOIO_REDES!$A:$W,MATCH($C267&amp;$I267&amp;$H267&amp;$N267&amp;$O267,APOIO_REDES!$W:$W,0),MATCH(AY$5,APOIO_REDES!$5:$5,0)),0)*$AP267,0)</f>
        <v>16.2468873276751</v>
      </c>
      <c r="AZ267" s="153" t="n">
        <f aca="false">IFERROR(IF($N267="VCA",INDEX(APOIO_REDES!$A:$W,MATCH($C267&amp;$I267&amp;$H267&amp;$N267&amp;$O267,APOIO_REDES!$W:$W,0),MATCH(AZ$5,APOIO_REDES!$5:$5,0)),0)*$AP267,0)</f>
        <v>2.248522252845</v>
      </c>
      <c r="BA267" s="153" t="n">
        <f aca="false">IFERROR(IF(AND($N267="VCA",$Q267="LINEAR"),INDEX(APOIO_REDES!$A:$W,MATCH($C267&amp;$I267&amp;$H267&amp;$N267&amp;$O267,APOIO_REDES!$W:$W,0),MATCH(BA$5,APOIO_REDES!$5:$5,0)),IF(AND($N267="MND",$Q267="EMBOQUE"),INDEX(APOIO_REDES!$A:$W,MATCH($C267&amp;$I267&amp;$H267&amp;$N267&amp;$O267,APOIO_REDES!$W:$W,0),MATCH(BA$5,APOIO_REDES!$5:$5,0)),0))*$M267/10,0)</f>
        <v>8.50545180899421</v>
      </c>
      <c r="BB267" s="153" t="n">
        <f aca="false">IFERROR(IF($N267="VCA",INDEX(APOIO_REDES!$A:$W,MATCH($C267&amp;$I267&amp;$H267&amp;$N267&amp;$O267,APOIO_REDES!$W:$W,0),MATCH(BB$5,APOIO_REDES!$5:$5,0)),0)*($AI267+$AQ267+$AR267),0)</f>
        <v>31.4137034216608</v>
      </c>
      <c r="BC267" s="153" t="n">
        <f aca="false">IFERROR(IF($N267="VCA",INDEX(APOIO_REDES!$A:$W,MATCH($C267&amp;$I267&amp;$H267&amp;$N267&amp;$O267,APOIO_REDES!$W:$W,0),MATCH(BC$5,APOIO_REDES!$5:$5,0)),0)*($AI267+$AQ267+$AR267),0)</f>
        <v>0.345550078339201</v>
      </c>
      <c r="BD267" s="153" t="n">
        <f aca="false">IF(AND($N267="VCA",$AF267&gt;=1.25,$AF267&lt;1.5),$M267*$AF267*2,0)</f>
        <v>287.67478</v>
      </c>
      <c r="BE267" s="153" t="n">
        <f aca="false">IF(AND($N267="VCA",$AF267&gt;=1.5,$AF267&lt;3),$M267*$AF267*2,0)</f>
        <v>0</v>
      </c>
      <c r="BF267" s="153" t="n">
        <f aca="false">IF(AND($N267="VCA",$AF267&gt;=3),$M267*$AF267*2,0)</f>
        <v>0</v>
      </c>
      <c r="BG267" s="153" t="n">
        <f aca="false">($BB267+$BC267)*$AK267</f>
        <v>79.39813375</v>
      </c>
      <c r="BH267" s="153" t="n">
        <f aca="false">IF(AND($M267&lt;&gt;"",$N267="VCA",$Q267="LINEAR"),($M267*2)/100,IF(AND($M267&lt;&gt;"",$N267="MND",$Q267="EMBOQUE"),($AN267*2)/100,0))</f>
        <v>2.1106</v>
      </c>
      <c r="BI267" s="153" t="n">
        <f aca="false">IF(AND($M267&lt;&gt;"",$N267="VCA",$Q267="LINEAR"),$M267,IF(AND($M267&lt;&gt;"",$N267="MND",$Q267="EMBOQUE"),$AN267*2,0))</f>
        <v>105.53</v>
      </c>
      <c r="BJ267" s="153" t="n">
        <f aca="false">IF(AND($M267&lt;&gt;"",$N267="VCA",$Q267="LINEAR"),($M267*6.8)/100,IF(AND($M267&lt;&gt;"",$N267="MND",$Q267="EMBOQUE"),($AN267*2*6.8)/100,0))</f>
        <v>7.17604</v>
      </c>
      <c r="BK267" s="153" t="n">
        <f aca="false">IF(AND($M267&lt;&gt;"",$N267="VCA",$Q267="LINEAR"),($M267*2.5)/50,IF(AND($M267&lt;&gt;"",$N267="MND",$Q267="EMBOQUE"),($AN267*2*2.5)/50,0))</f>
        <v>5.2765</v>
      </c>
      <c r="BL267" s="157" t="str">
        <f aca="false">K267&amp;J267</f>
        <v>Zona03REDES</v>
      </c>
      <c r="BM267" s="152" t="s">
        <v>2526</v>
      </c>
      <c r="BN267" s="152" t="s">
        <v>1560</v>
      </c>
      <c r="BO267" s="152" t="s">
        <v>1982</v>
      </c>
      <c r="BP267" s="152" t="s">
        <v>2534</v>
      </c>
      <c r="BQ267" s="152" t="s">
        <v>2543</v>
      </c>
      <c r="BR267" s="152" t="s">
        <v>2535</v>
      </c>
      <c r="BS267" s="152" t="n">
        <v>203604.902</v>
      </c>
      <c r="BT267" s="152" t="n">
        <v>8238088.212</v>
      </c>
      <c r="BU267" s="152" t="n">
        <v>203504.034</v>
      </c>
      <c r="BV267" s="152" t="n">
        <v>8238077.16</v>
      </c>
      <c r="BW267" s="152" t="n">
        <v>-15.9187836</v>
      </c>
      <c r="BX267" s="152" t="n">
        <v>-47.7686992</v>
      </c>
      <c r="BY267" s="152" t="s">
        <v>2534</v>
      </c>
    </row>
    <row r="268" customFormat="false" ht="13.8" hidden="false" customHeight="false" outlineLevel="0" collapsed="false">
      <c r="A268" s="149" t="n">
        <f aca="false">IF(C268&lt;&gt;"",ROW(A263),"")</f>
        <v>263</v>
      </c>
      <c r="B268" s="150" t="str">
        <f aca="false">HYPERLINK("https://www.google.com/maps/dir/-15.917302,-47.760003/-15.9189784,-47.7681429/data=!4m3!4m2!3e0!5i0")</f>
        <v>https://www.google.com/maps/dir/-15.917302,-47.760003/-15.9189784,-47.7681429/data=!4m3!4m2!3e0!5i0</v>
      </c>
      <c r="C268" s="151" t="s">
        <v>117</v>
      </c>
      <c r="D268" s="152" t="s">
        <v>112</v>
      </c>
      <c r="E268" s="152" t="s">
        <v>113</v>
      </c>
      <c r="F268" s="152" t="s">
        <v>117</v>
      </c>
      <c r="G268" s="152" t="s">
        <v>782</v>
      </c>
      <c r="H268" s="152" t="n">
        <v>63</v>
      </c>
      <c r="I268" s="152" t="s">
        <v>115</v>
      </c>
      <c r="J268" s="152" t="s">
        <v>6</v>
      </c>
      <c r="K268" s="152" t="s">
        <v>2522</v>
      </c>
      <c r="L268" s="152" t="s">
        <v>120</v>
      </c>
      <c r="M268" s="153" t="n">
        <f aca="false">27.19</f>
        <v>27.19</v>
      </c>
      <c r="N268" s="152" t="s">
        <v>1548</v>
      </c>
      <c r="O268" s="152" t="s">
        <v>1549</v>
      </c>
      <c r="P268" s="152" t="s">
        <v>1550</v>
      </c>
      <c r="Q268" s="152" t="s">
        <v>1551</v>
      </c>
      <c r="R268" s="154" t="s">
        <v>2544</v>
      </c>
      <c r="S268" s="154" t="s">
        <v>1553</v>
      </c>
      <c r="T268" s="155" t="s">
        <v>1979</v>
      </c>
      <c r="U268" s="152" t="str">
        <f aca="false">RIGHT(T268,7)</f>
        <v>006/037</v>
      </c>
      <c r="V268" s="152" t="s">
        <v>1555</v>
      </c>
      <c r="W268" s="156" t="n">
        <v>45882</v>
      </c>
      <c r="X268" s="152" t="s">
        <v>1594</v>
      </c>
      <c r="Y268" s="152" t="s">
        <v>2531</v>
      </c>
      <c r="Z268" s="152" t="s">
        <v>1557</v>
      </c>
      <c r="AA268" s="153" t="n">
        <v>2.5</v>
      </c>
      <c r="AB268" s="151" t="s">
        <v>2545</v>
      </c>
      <c r="AC268" s="151" t="s">
        <v>186</v>
      </c>
      <c r="AD268" s="151" t="str">
        <f aca="false">CONCATENATE($C268,$I268,$H268,$N268,$J268,$K268)</f>
        <v>TUBO PEADPEAD63VCAREDESZona03</v>
      </c>
      <c r="AE268" s="153" t="n">
        <f aca="false">IFERROR(INDEX(APOIO_REDES!$A:$W,MATCH($C268&amp;$I268&amp;$H268&amp;$N268&amp;$O268,APOIO_REDES!$W:$W,0),MATCH(AE$5,APOIO_REDES!$5:$5,0)),0)</f>
        <v>1.2</v>
      </c>
      <c r="AF268" s="153" t="n">
        <f aca="false">IFERROR(INDEX(APOIO_REDES!$A:$W,MATCH($C268&amp;$I268&amp;$H268&amp;$N268&amp;$O268,APOIO_REDES!$W:$W,0),MATCH(AF$5,APOIO_REDES!$5:$5,0)),0)</f>
        <v>1.363</v>
      </c>
      <c r="AG268" s="153" t="n">
        <f aca="false">IFERROR(INDEX(APOIO_REDES!$A:$W,MATCH($C268&amp;$I268&amp;$H268&amp;$N268&amp;$O268,APOIO_REDES!$W:$W,0),MATCH(AG$5,APOIO_REDES!$5:$5,0)),0)</f>
        <v>0.65</v>
      </c>
      <c r="AH268" s="153" t="n">
        <f aca="false">IFERROR(INDEX(APOIO_REDES!$A:$W,MATCH($C268&amp;$I268&amp;$H268&amp;$N268&amp;$O268,APOIO_REDES!$W:$W,0),MATCH(AH$5,APOIO_REDES!$5:$5,0)),0)</f>
        <v>0.1</v>
      </c>
      <c r="AI268" s="153" t="n">
        <f aca="false">IFERROR(IF($H268&lt;&gt;"",(((($H268/1000)/2)^2)*PI()*$M268),0),0)</f>
        <v>0.0847578999931604</v>
      </c>
      <c r="AJ268" s="153" t="n">
        <f aca="false">IFERROR(IF(AND($H268&lt;&gt;"",$I268="FoFo",OR($N268="MND",$N268="VCA"),$Q268="LINEAR"),0,IF(AND($H268&lt;&gt;"",$I268="PEAD",$N268="VCA",$Q268="LINEAR"),($H268/1000)+0.3,IF(AND($H268&lt;&gt;"",$I268="PEAD",$N268="MND",$Q268="EMBOQUE"),0,IF(AND($H268&lt;&gt;"",$I268="PVC",$N268="VCA",$Q268="LINEAR"),($H268/1000)+0.2,IF(AND($H268&lt;&gt;"",$I268="PVC",$N268="MND",$Q268="EMBOQUE"),0,IF(AND($H268&lt;&gt;"",$I268="PEAD",$N268="VCA",$Q268="PREDIAL"),0,0)))))),0)</f>
        <v>0.363</v>
      </c>
      <c r="AK268" s="153" t="n">
        <f aca="false">IF(AA268&lt;&gt;"",AA268,0)</f>
        <v>2.5</v>
      </c>
      <c r="AL268" s="153" t="n">
        <f aca="false">IF(AND($N268="MND",$Q268="EMBOQUE"),$M268,IF(AND($N268="VCA",$Q268="LINEAR"),$M268,IF(AND($N268="VCA",$Q268="PREDIAL"),0,0)))</f>
        <v>27.19</v>
      </c>
      <c r="AM268" s="153" t="n">
        <f aca="false">IF(AND($N268="MND",$Q268="EMBOQUE"),$M268,IF(AND($N268="VCA",$Q268="LINEAR"),$M268,IF(AND($N268="VCA",$Q268="PREDIAL"),0,0)))</f>
        <v>27.19</v>
      </c>
      <c r="AN268" s="153" t="n">
        <f aca="false">ROUND(IF(AND($N268="VCA",$M268&lt;&gt;"",$Q268="LINEAR"),$M268/100,IF(AND($N268="MND",$M268&gt;100,$Q268="EMBOQUE"),$M268/100,0)),0)</f>
        <v>0</v>
      </c>
      <c r="AO268" s="153" t="n">
        <f aca="false">IF(AND($N268="MND",$Q268="EMBOQUE"),$AN268*2*2,IF(AND($N268="VCA",$Q268="LINEAR"),$M268*2,IF(AND($N268="VCA",$Q268="PREDIAL"),0,0)))</f>
        <v>54.38</v>
      </c>
      <c r="AP268" s="153" t="n">
        <f aca="false">IFERROR($M268*$AF268*$AG268,0)</f>
        <v>24.0889805</v>
      </c>
      <c r="AQ268" s="153" t="n">
        <f aca="false">IFERROR(IF(AND($N268="VCA",$AH268&gt;0),$M268*$AG268*$AH268,0),0)</f>
        <v>1.76735</v>
      </c>
      <c r="AR268" s="153" t="n">
        <f aca="false">IFERROR(IF(AND($N268="VCA",$AJ268&gt;0),($M268*$AG268*$AJ268)-$AI268,0),0)</f>
        <v>6.33072260000684</v>
      </c>
      <c r="AS268" s="153" t="n">
        <f aca="false">IFERROR(IF(AND($N268="VCA",$AP268&gt;0),$AP268-$AI268-$AQ268-$AR268,0),0)</f>
        <v>15.90615</v>
      </c>
      <c r="AT268" s="153" t="n">
        <f aca="false">IFERROR(IF($N268="VCA",INDEX(APOIO_REDES!$A:$W,MATCH($C268&amp;$I268&amp;$H268&amp;$N268&amp;$O268,APOIO_REDES!$W:$W,0),MATCH(AT$5,APOIO_REDES!$5:$5,0)),0)*$AP268,0)</f>
        <v>0.262095237814279</v>
      </c>
      <c r="AU268" s="153" t="n">
        <f aca="false">IFERROR(IF($N268="VCA",INDEX(APOIO_REDES!$A:$W,MATCH($C268&amp;$I268&amp;$H268&amp;$N268&amp;$O268,APOIO_REDES!$W:$W,0),MATCH(AU$5,APOIO_REDES!$5:$5,0)),0)*$AP268,0)</f>
        <v>0.209302158479216</v>
      </c>
      <c r="AV268" s="153" t="n">
        <f aca="false">IFERROR(IF($N268="VCA",INDEX(APOIO_REDES!$A:$W,MATCH($C268&amp;$I268&amp;$H268&amp;$N268&amp;$O268,APOIO_REDES!$W:$W,0),MATCH(AV$5,APOIO_REDES!$5:$5,0)),0)*$AP268,0)</f>
        <v>0.0289657756471572</v>
      </c>
      <c r="AW268" s="153" t="n">
        <f aca="false">IFERROR(IF($N268="VCA",INDEX(APOIO_REDES!$A:$W,MATCH($C268&amp;$I268&amp;$H268&amp;$N268&amp;$O268,APOIO_REDES!$W:$W,0),MATCH(AW$5,APOIO_REDES!$5:$5,0)),0)*$AP268,0)</f>
        <v>16.534862865729</v>
      </c>
      <c r="AX268" s="153" t="n">
        <f aca="false">IFERROR(IF($N268="VCA",INDEX(APOIO_REDES!$A:$W,MATCH($C268&amp;$I268&amp;$H268&amp;$N268&amp;$O268,APOIO_REDES!$W:$W,0),MATCH(AX$5,APOIO_REDES!$5:$5,0)),0)*$AP268,0)</f>
        <v>2.28837792016846</v>
      </c>
      <c r="AY268" s="153" t="n">
        <f aca="false">IFERROR(IF($N268="VCA",INDEX(APOIO_REDES!$A:$W,MATCH($C268&amp;$I268&amp;$H268&amp;$N268&amp;$O268,APOIO_REDES!$W:$W,0),MATCH(AY$5,APOIO_REDES!$5:$5,0)),0)*$AP268,0)</f>
        <v>4.18604061820797</v>
      </c>
      <c r="AZ268" s="153" t="n">
        <f aca="false">IFERROR(IF($N268="VCA",INDEX(APOIO_REDES!$A:$W,MATCH($C268&amp;$I268&amp;$H268&amp;$N268&amp;$O268,APOIO_REDES!$W:$W,0),MATCH(AZ$5,APOIO_REDES!$5:$5,0)),0)*$AP268,0)</f>
        <v>0.579335923953905</v>
      </c>
      <c r="BA268" s="153" t="n">
        <f aca="false">IFERROR(IF(AND($N268="VCA",$Q268="LINEAR"),INDEX(APOIO_REDES!$A:$W,MATCH($C268&amp;$I268&amp;$H268&amp;$N268&amp;$O268,APOIO_REDES!$W:$W,0),MATCH(BA$5,APOIO_REDES!$5:$5,0)),IF(AND($N268="MND",$Q268="EMBOQUE"),INDEX(APOIO_REDES!$A:$W,MATCH($C268&amp;$I268&amp;$H268&amp;$N268&amp;$O268,APOIO_REDES!$W:$W,0),MATCH(BA$5,APOIO_REDES!$5:$5,0)),0))*$M268/10,0)</f>
        <v>2.19144541539423</v>
      </c>
      <c r="BB268" s="153" t="n">
        <f aca="false">IFERROR(IF($N268="VCA",INDEX(APOIO_REDES!$A:$W,MATCH($C268&amp;$I268&amp;$H268&amp;$N268&amp;$O268,APOIO_REDES!$W:$W,0),MATCH(BB$5,APOIO_REDES!$5:$5,0)),0)*($AI268+$AQ268+$AR268),0)</f>
        <v>8.0937988821658</v>
      </c>
      <c r="BC268" s="153" t="n">
        <f aca="false">IFERROR(IF($N268="VCA",INDEX(APOIO_REDES!$A:$W,MATCH($C268&amp;$I268&amp;$H268&amp;$N268&amp;$O268,APOIO_REDES!$W:$W,0),MATCH(BC$5,APOIO_REDES!$5:$5,0)),0)*($AI268+$AQ268+$AR268),0)</f>
        <v>0.0890316178341976</v>
      </c>
      <c r="BD268" s="153" t="n">
        <f aca="false">IF(AND($N268="VCA",$AF268&gt;=1.25,$AF268&lt;1.5),$M268*$AF268*2,0)</f>
        <v>74.11994</v>
      </c>
      <c r="BE268" s="153" t="n">
        <f aca="false">IF(AND($N268="VCA",$AF268&gt;=1.5,$AF268&lt;3),$M268*$AF268*2,0)</f>
        <v>0</v>
      </c>
      <c r="BF268" s="153" t="n">
        <f aca="false">IF(AND($N268="VCA",$AF268&gt;=3),$M268*$AF268*2,0)</f>
        <v>0</v>
      </c>
      <c r="BG268" s="153" t="n">
        <f aca="false">($BB268+$BC268)*$AK268</f>
        <v>20.45707625</v>
      </c>
      <c r="BH268" s="153" t="n">
        <f aca="false">IF(AND($M268&lt;&gt;"",$N268="VCA",$Q268="LINEAR"),($M268*2)/100,IF(AND($M268&lt;&gt;"",$N268="MND",$Q268="EMBOQUE"),($AN268*2)/100,0))</f>
        <v>0.5438</v>
      </c>
      <c r="BI268" s="153" t="n">
        <f aca="false">IF(AND($M268&lt;&gt;"",$N268="VCA",$Q268="LINEAR"),$M268,IF(AND($M268&lt;&gt;"",$N268="MND",$Q268="EMBOQUE"),$AN268*2,0))</f>
        <v>27.19</v>
      </c>
      <c r="BJ268" s="153" t="n">
        <f aca="false">IF(AND($M268&lt;&gt;"",$N268="VCA",$Q268="LINEAR"),($M268*6.8)/100,IF(AND($M268&lt;&gt;"",$N268="MND",$Q268="EMBOQUE"),($AN268*2*6.8)/100,0))</f>
        <v>1.84892</v>
      </c>
      <c r="BK268" s="153" t="n">
        <f aca="false">IF(AND($M268&lt;&gt;"",$N268="VCA",$Q268="LINEAR"),($M268*2.5)/50,IF(AND($M268&lt;&gt;"",$N268="MND",$Q268="EMBOQUE"),($AN268*2*2.5)/50,0))</f>
        <v>1.3595</v>
      </c>
      <c r="BL268" s="157" t="str">
        <f aca="false">K268&amp;J268</f>
        <v>Zona03REDES</v>
      </c>
      <c r="BM268" s="152" t="s">
        <v>2526</v>
      </c>
      <c r="BN268" s="152" t="s">
        <v>1560</v>
      </c>
      <c r="BO268" s="152" t="s">
        <v>1982</v>
      </c>
      <c r="BP268" s="152" t="s">
        <v>2546</v>
      </c>
      <c r="BQ268" s="152" t="s">
        <v>2533</v>
      </c>
      <c r="BR268" s="152" t="s">
        <v>2547</v>
      </c>
      <c r="BS268" s="152" t="n">
        <v>203614.629</v>
      </c>
      <c r="BT268" s="152" t="n">
        <v>8238061.929</v>
      </c>
      <c r="BU268" s="152" t="n">
        <v>203611.668</v>
      </c>
      <c r="BV268" s="152" t="n">
        <v>8238088.953</v>
      </c>
      <c r="BW268" s="152" t="n">
        <v>-15.918856</v>
      </c>
      <c r="BX268" s="152" t="n">
        <v>-47.7681525</v>
      </c>
      <c r="BY268" s="152" t="s">
        <v>2546</v>
      </c>
    </row>
    <row r="269" customFormat="false" ht="13.8" hidden="false" customHeight="false" outlineLevel="0" collapsed="false">
      <c r="A269" s="149" t="n">
        <f aca="false">IF(C269&lt;&gt;"",ROW(A264),"")</f>
        <v>264</v>
      </c>
      <c r="B269" s="150" t="str">
        <f aca="false">HYPERLINK("https://www.google.com/maps/dir/-15.917302,-47.760003/-15.9187977,-47.7708829/data=!4m3!4m2!3e0!5i2")</f>
        <v>https://www.google.com/maps/dir/-15.917302,-47.760003/-15.9187977,-47.7708829/data=!4m3!4m2!3e0!5i2</v>
      </c>
      <c r="C269" s="151" t="s">
        <v>117</v>
      </c>
      <c r="D269" s="152" t="s">
        <v>112</v>
      </c>
      <c r="E269" s="152" t="s">
        <v>113</v>
      </c>
      <c r="F269" s="152" t="s">
        <v>117</v>
      </c>
      <c r="G269" s="152" t="s">
        <v>114</v>
      </c>
      <c r="H269" s="152" t="n">
        <v>125</v>
      </c>
      <c r="I269" s="152" t="s">
        <v>115</v>
      </c>
      <c r="J269" s="152" t="s">
        <v>6</v>
      </c>
      <c r="K269" s="152" t="s">
        <v>2522</v>
      </c>
      <c r="L269" s="152" t="s">
        <v>120</v>
      </c>
      <c r="M269" s="153" t="n">
        <f aca="false">124.11</f>
        <v>124.11</v>
      </c>
      <c r="N269" s="152" t="s">
        <v>1548</v>
      </c>
      <c r="O269" s="152" t="s">
        <v>1549</v>
      </c>
      <c r="P269" s="152" t="s">
        <v>1550</v>
      </c>
      <c r="Q269" s="152" t="s">
        <v>1551</v>
      </c>
      <c r="R269" s="154" t="s">
        <v>2548</v>
      </c>
      <c r="S269" s="154" t="s">
        <v>1593</v>
      </c>
      <c r="T269" s="155" t="s">
        <v>1979</v>
      </c>
      <c r="U269" s="152" t="str">
        <f aca="false">RIGHT(T269,7)</f>
        <v>006/037</v>
      </c>
      <c r="V269" s="152" t="s">
        <v>1555</v>
      </c>
      <c r="W269" s="156" t="n">
        <v>45882</v>
      </c>
      <c r="X269" s="152" t="s">
        <v>1594</v>
      </c>
      <c r="Y269" s="152" t="s">
        <v>2531</v>
      </c>
      <c r="Z269" s="152" t="s">
        <v>1557</v>
      </c>
      <c r="AA269" s="153" t="n">
        <v>3.7</v>
      </c>
      <c r="AB269" s="151" t="s">
        <v>2549</v>
      </c>
      <c r="AC269" s="151" t="s">
        <v>505</v>
      </c>
      <c r="AD269" s="151" t="str">
        <f aca="false">CONCATENATE($C269,$I269,$H269,$N269,$J269,$K269)</f>
        <v>TUBO PEADPEAD125VCAREDESZona03</v>
      </c>
      <c r="AE269" s="153" t="n">
        <f aca="false">IFERROR(INDEX(APOIO_REDES!$A:$W,MATCH($C269&amp;$I269&amp;$H269&amp;$N269&amp;$O269,APOIO_REDES!$W:$W,0),MATCH(AE$5,APOIO_REDES!$5:$5,0)),0)</f>
        <v>1.2</v>
      </c>
      <c r="AF269" s="153" t="n">
        <f aca="false">IFERROR(INDEX(APOIO_REDES!$A:$W,MATCH($C269&amp;$I269&amp;$H269&amp;$N269&amp;$O269,APOIO_REDES!$W:$W,0),MATCH(AF$5,APOIO_REDES!$5:$5,0)),0)</f>
        <v>1.425</v>
      </c>
      <c r="AG269" s="153" t="n">
        <f aca="false">IFERROR(INDEX(APOIO_REDES!$A:$W,MATCH($C269&amp;$I269&amp;$H269&amp;$N269&amp;$O269,APOIO_REDES!$W:$W,0),MATCH(AG$5,APOIO_REDES!$5:$5,0)),0)</f>
        <v>0.75</v>
      </c>
      <c r="AH269" s="153" t="n">
        <f aca="false">IFERROR(INDEX(APOIO_REDES!$A:$W,MATCH($C269&amp;$I269&amp;$H269&amp;$N269&amp;$O269,APOIO_REDES!$W:$W,0),MATCH(AH$5,APOIO_REDES!$5:$5,0)),0)</f>
        <v>0.1</v>
      </c>
      <c r="AI269" s="153" t="n">
        <f aca="false">IFERROR(IF($H269&lt;&gt;"",(((($H269/1000)/2)^2)*PI()*$M269),0),0)</f>
        <v>1.5230588446759</v>
      </c>
      <c r="AJ269" s="153" t="n">
        <f aca="false">IFERROR(IF(AND($H269&lt;&gt;"",$I269="FoFo",OR($N269="MND",$N269="VCA"),$Q269="LINEAR"),0,IF(AND($H269&lt;&gt;"",$I269="PEAD",$N269="VCA",$Q269="LINEAR"),($H269/1000)+0.3,IF(AND($H269&lt;&gt;"",$I269="PEAD",$N269="MND",$Q269="EMBOQUE"),0,IF(AND($H269&lt;&gt;"",$I269="PVC",$N269="VCA",$Q269="LINEAR"),($H269/1000)+0.2,IF(AND($H269&lt;&gt;"",$I269="PVC",$N269="MND",$Q269="EMBOQUE"),0,IF(AND($H269&lt;&gt;"",$I269="PEAD",$N269="VCA",$Q269="PREDIAL"),0,0)))))),0)</f>
        <v>0.425</v>
      </c>
      <c r="AK269" s="153" t="n">
        <f aca="false">IF(AA269&lt;&gt;"",AA269,0)</f>
        <v>3.7</v>
      </c>
      <c r="AL269" s="153" t="n">
        <f aca="false">IF(AND($N269="MND",$Q269="EMBOQUE"),$M269,IF(AND($N269="VCA",$Q269="LINEAR"),$M269,IF(AND($N269="VCA",$Q269="PREDIAL"),0,0)))</f>
        <v>124.11</v>
      </c>
      <c r="AM269" s="153" t="n">
        <f aca="false">IF(AND($N269="MND",$Q269="EMBOQUE"),$M269,IF(AND($N269="VCA",$Q269="LINEAR"),$M269,IF(AND($N269="VCA",$Q269="PREDIAL"),0,0)))</f>
        <v>124.11</v>
      </c>
      <c r="AN269" s="153" t="n">
        <f aca="false">ROUND(IF(AND($N269="VCA",$M269&lt;&gt;"",$Q269="LINEAR"),$M269/100,IF(AND($N269="MND",$M269&gt;100,$Q269="EMBOQUE"),$M269/100,0)),0)</f>
        <v>1</v>
      </c>
      <c r="AO269" s="153" t="n">
        <f aca="false">IF(AND($N269="MND",$Q269="EMBOQUE"),$AN269*2*2,IF(AND($N269="VCA",$Q269="LINEAR"),$M269*2,IF(AND($N269="VCA",$Q269="PREDIAL"),0,0)))</f>
        <v>248.22</v>
      </c>
      <c r="AP269" s="153" t="n">
        <f aca="false">IFERROR($M269*$AF269*$AG269,0)</f>
        <v>132.6425625</v>
      </c>
      <c r="AQ269" s="153" t="n">
        <f aca="false">IFERROR(IF(AND($N269="VCA",$AH269&gt;0),$M269*$AG269*$AH269,0),0)</f>
        <v>9.30825</v>
      </c>
      <c r="AR269" s="153" t="n">
        <f aca="false">IFERROR(IF(AND($N269="VCA",$AJ269&gt;0),($M269*$AG269*$AJ269)-$AI269,0),0)</f>
        <v>38.0370036553241</v>
      </c>
      <c r="AS269" s="153" t="n">
        <f aca="false">IFERROR(IF(AND($N269="VCA",$AP269&gt;0),$AP269-$AI269-$AQ269-$AR269,0),0)</f>
        <v>83.77425</v>
      </c>
      <c r="AT269" s="153" t="n">
        <f aca="false">IFERROR(IF($N269="VCA",INDEX(APOIO_REDES!$A:$W,MATCH($C269&amp;$I269&amp;$H269&amp;$N269&amp;$O269,APOIO_REDES!$W:$W,0),MATCH(AT$5,APOIO_REDES!$5:$5,0)),0)*$AP269,0)</f>
        <v>1.44319034019447</v>
      </c>
      <c r="AU269" s="153" t="n">
        <f aca="false">IFERROR(IF($N269="VCA",INDEX(APOIO_REDES!$A:$W,MATCH($C269&amp;$I269&amp;$H269&amp;$N269&amp;$O269,APOIO_REDES!$W:$W,0),MATCH(AU$5,APOIO_REDES!$5:$5,0)),0)*$AP269,0)</f>
        <v>1.15249271912791</v>
      </c>
      <c r="AV269" s="153" t="n">
        <f aca="false">IFERROR(IF($N269="VCA",INDEX(APOIO_REDES!$A:$W,MATCH($C269&amp;$I269&amp;$H269&amp;$N269&amp;$O269,APOIO_REDES!$W:$W,0),MATCH(AV$5,APOIO_REDES!$5:$5,0)),0)*$AP269,0)</f>
        <v>0.159495944904726</v>
      </c>
      <c r="AW269" s="153" t="n">
        <f aca="false">IFERROR(IF($N269="VCA",INDEX(APOIO_REDES!$A:$W,MATCH($C269&amp;$I269&amp;$H269&amp;$N269&amp;$O269,APOIO_REDES!$W:$W,0),MATCH(AW$5,APOIO_REDES!$5:$5,0)),0)*$AP269,0)</f>
        <v>91.0468826647267</v>
      </c>
      <c r="AX269" s="153" t="n">
        <f aca="false">IFERROR(IF($N269="VCA",INDEX(APOIO_REDES!$A:$W,MATCH($C269&amp;$I269&amp;$H269&amp;$N269&amp;$O269,APOIO_REDES!$W:$W,0),MATCH(AX$5,APOIO_REDES!$5:$5,0)),0)*$AP269,0)</f>
        <v>12.6006292088437</v>
      </c>
      <c r="AY269" s="153" t="n">
        <f aca="false">IFERROR(IF($N269="VCA",INDEX(APOIO_REDES!$A:$W,MATCH($C269&amp;$I269&amp;$H269&amp;$N269&amp;$O269,APOIO_REDES!$W:$W,0),MATCH(AY$5,APOIO_REDES!$5:$5,0)),0)*$AP269,0)</f>
        <v>23.0498403337655</v>
      </c>
      <c r="AZ269" s="153" t="n">
        <f aca="false">IFERROR(IF($N269="VCA",INDEX(APOIO_REDES!$A:$W,MATCH($C269&amp;$I269&amp;$H269&amp;$N269&amp;$O269,APOIO_REDES!$W:$W,0),MATCH(AZ$5,APOIO_REDES!$5:$5,0)),0)*$AP269,0)</f>
        <v>3.19003128843709</v>
      </c>
      <c r="BA269" s="153" t="n">
        <f aca="false">IFERROR(IF(AND($N269="VCA",$Q269="LINEAR"),INDEX(APOIO_REDES!$A:$W,MATCH($C269&amp;$I269&amp;$H269&amp;$N269&amp;$O269,APOIO_REDES!$W:$W,0),MATCH(BA$5,APOIO_REDES!$5:$5,0)),IF(AND($N269="MND",$Q269="EMBOQUE"),INDEX(APOIO_REDES!$A:$W,MATCH($C269&amp;$I269&amp;$H269&amp;$N269&amp;$O269,APOIO_REDES!$W:$W,0),MATCH(BA$5,APOIO_REDES!$5:$5,0)),0))*$M269/10,0)</f>
        <v>10.0029529424265</v>
      </c>
      <c r="BB269" s="153" t="n">
        <f aca="false">IFERROR(IF($N269="VCA",INDEX(APOIO_REDES!$A:$W,MATCH($C269&amp;$I269&amp;$H269&amp;$N269&amp;$O269,APOIO_REDES!$W:$W,0),MATCH(BB$5,APOIO_REDES!$5:$5,0)),0)*($AI269+$AQ269+$AR269),0)</f>
        <v>48.3366107957178</v>
      </c>
      <c r="BC269" s="153" t="n">
        <f aca="false">IFERROR(IF($N269="VCA",INDEX(APOIO_REDES!$A:$W,MATCH($C269&amp;$I269&amp;$H269&amp;$N269&amp;$O269,APOIO_REDES!$W:$W,0),MATCH(BC$5,APOIO_REDES!$5:$5,0)),0)*($AI269+$AQ269+$AR269),0)</f>
        <v>0.531701704282172</v>
      </c>
      <c r="BD269" s="153" t="n">
        <f aca="false">IF(AND($N269="VCA",$AF269&gt;=1.25,$AF269&lt;1.5),$M269*$AF269*2,0)</f>
        <v>353.7135</v>
      </c>
      <c r="BE269" s="153" t="n">
        <f aca="false">IF(AND($N269="VCA",$AF269&gt;=1.5,$AF269&lt;3),$M269*$AF269*2,0)</f>
        <v>0</v>
      </c>
      <c r="BF269" s="153" t="n">
        <f aca="false">IF(AND($N269="VCA",$AF269&gt;=3),$M269*$AF269*2,0)</f>
        <v>0</v>
      </c>
      <c r="BG269" s="153" t="n">
        <f aca="false">($BB269+$BC269)*$AK269</f>
        <v>180.81275625</v>
      </c>
      <c r="BH269" s="153" t="n">
        <f aca="false">IF(AND($M269&lt;&gt;"",$N269="VCA",$Q269="LINEAR"),($M269*2)/100,IF(AND($M269&lt;&gt;"",$N269="MND",$Q269="EMBOQUE"),($AN269*2)/100,0))</f>
        <v>2.4822</v>
      </c>
      <c r="BI269" s="153" t="n">
        <f aca="false">IF(AND($M269&lt;&gt;"",$N269="VCA",$Q269="LINEAR"),$M269,IF(AND($M269&lt;&gt;"",$N269="MND",$Q269="EMBOQUE"),$AN269*2,0))</f>
        <v>124.11</v>
      </c>
      <c r="BJ269" s="153" t="n">
        <f aca="false">IF(AND($M269&lt;&gt;"",$N269="VCA",$Q269="LINEAR"),($M269*6.8)/100,IF(AND($M269&lt;&gt;"",$N269="MND",$Q269="EMBOQUE"),($AN269*2*6.8)/100,0))</f>
        <v>8.43948</v>
      </c>
      <c r="BK269" s="153" t="n">
        <f aca="false">IF(AND($M269&lt;&gt;"",$N269="VCA",$Q269="LINEAR"),($M269*2.5)/50,IF(AND($M269&lt;&gt;"",$N269="MND",$Q269="EMBOQUE"),($AN269*2*2.5)/50,0))</f>
        <v>6.2055</v>
      </c>
      <c r="BL269" s="157" t="str">
        <f aca="false">K269&amp;J269</f>
        <v>Zona03REDES</v>
      </c>
      <c r="BM269" s="152" t="s">
        <v>2526</v>
      </c>
      <c r="BN269" s="152" t="s">
        <v>1560</v>
      </c>
      <c r="BO269" s="152" t="s">
        <v>1982</v>
      </c>
      <c r="BP269" s="152" t="s">
        <v>2538</v>
      </c>
      <c r="BQ269" s="152" t="s">
        <v>2550</v>
      </c>
      <c r="BR269" s="152" t="s">
        <v>2551</v>
      </c>
      <c r="BS269" s="152" t="n">
        <v>203320.524</v>
      </c>
      <c r="BT269" s="152" t="n">
        <v>8238078.02</v>
      </c>
      <c r="BU269" s="152" t="n">
        <v>203199.297</v>
      </c>
      <c r="BV269" s="152" t="n">
        <v>8238072.869</v>
      </c>
      <c r="BW269" s="152" t="n">
        <v>-15.9188358</v>
      </c>
      <c r="BX269" s="152" t="n">
        <v>-47.7714549</v>
      </c>
      <c r="BY269" s="152" t="s">
        <v>2538</v>
      </c>
    </row>
    <row r="270" customFormat="false" ht="13.8" hidden="false" customHeight="false" outlineLevel="0" collapsed="false">
      <c r="A270" s="149" t="n">
        <f aca="false">IF(C270&lt;&gt;"",ROW(A265),"")</f>
        <v>265</v>
      </c>
      <c r="B270" s="150" t="str">
        <f aca="false">HYPERLINK("https://www.google.com/maps/dir/-15.917302,-47.760003/-15.9192257,-47.7708478/data=!4m3!4m2!3e0!5i2")</f>
        <v>https://www.google.com/maps/dir/-15.917302,-47.760003/-15.9192257,-47.7708478/data=!4m3!4m2!3e0!5i2</v>
      </c>
      <c r="C270" s="151" t="s">
        <v>117</v>
      </c>
      <c r="D270" s="152" t="s">
        <v>112</v>
      </c>
      <c r="E270" s="152" t="s">
        <v>113</v>
      </c>
      <c r="F270" s="152" t="s">
        <v>117</v>
      </c>
      <c r="G270" s="152" t="s">
        <v>782</v>
      </c>
      <c r="H270" s="152" t="n">
        <v>110</v>
      </c>
      <c r="I270" s="152" t="s">
        <v>115</v>
      </c>
      <c r="J270" s="152" t="s">
        <v>6</v>
      </c>
      <c r="K270" s="152" t="s">
        <v>2522</v>
      </c>
      <c r="L270" s="152" t="s">
        <v>120</v>
      </c>
      <c r="M270" s="153" t="n">
        <f aca="false">47.55</f>
        <v>47.55</v>
      </c>
      <c r="N270" s="152" t="s">
        <v>1548</v>
      </c>
      <c r="O270" s="152" t="s">
        <v>1549</v>
      </c>
      <c r="P270" s="152" t="s">
        <v>1550</v>
      </c>
      <c r="Q270" s="152" t="s">
        <v>1551</v>
      </c>
      <c r="R270" s="154" t="s">
        <v>2552</v>
      </c>
      <c r="S270" s="154" t="s">
        <v>1593</v>
      </c>
      <c r="T270" s="155" t="s">
        <v>1979</v>
      </c>
      <c r="U270" s="152" t="str">
        <f aca="false">RIGHT(T270,7)</f>
        <v>006/037</v>
      </c>
      <c r="V270" s="152" t="s">
        <v>1555</v>
      </c>
      <c r="W270" s="156" t="n">
        <v>45882</v>
      </c>
      <c r="X270" s="152" t="s">
        <v>1594</v>
      </c>
      <c r="Y270" s="152" t="s">
        <v>2553</v>
      </c>
      <c r="Z270" s="152" t="s">
        <v>1557</v>
      </c>
      <c r="AA270" s="153" t="n">
        <v>3.6</v>
      </c>
      <c r="AB270" s="151" t="s">
        <v>2554</v>
      </c>
      <c r="AC270" s="151" t="s">
        <v>502</v>
      </c>
      <c r="AD270" s="151" t="str">
        <f aca="false">CONCATENATE($C270,$I270,$H270,$N270,$J270,$K270)</f>
        <v>TUBO PEADPEAD110VCAREDESZona03</v>
      </c>
      <c r="AE270" s="153" t="n">
        <f aca="false">IFERROR(INDEX(APOIO_REDES!$A:$W,MATCH($C270&amp;$I270&amp;$H270&amp;$N270&amp;$O270,APOIO_REDES!$W:$W,0),MATCH(AE$5,APOIO_REDES!$5:$5,0)),0)</f>
        <v>1.2</v>
      </c>
      <c r="AF270" s="153" t="n">
        <f aca="false">IFERROR(INDEX(APOIO_REDES!$A:$W,MATCH($C270&amp;$I270&amp;$H270&amp;$N270&amp;$O270,APOIO_REDES!$W:$W,0),MATCH(AF$5,APOIO_REDES!$5:$5,0)),0)</f>
        <v>1.41</v>
      </c>
      <c r="AG270" s="153" t="n">
        <f aca="false">IFERROR(INDEX(APOIO_REDES!$A:$W,MATCH($C270&amp;$I270&amp;$H270&amp;$N270&amp;$O270,APOIO_REDES!$W:$W,0),MATCH(AG$5,APOIO_REDES!$5:$5,0)),0)</f>
        <v>0.75</v>
      </c>
      <c r="AH270" s="153" t="n">
        <f aca="false">IFERROR(INDEX(APOIO_REDES!$A:$W,MATCH($C270&amp;$I270&amp;$H270&amp;$N270&amp;$O270,APOIO_REDES!$W:$W,0),MATCH(AH$5,APOIO_REDES!$5:$5,0)),0)</f>
        <v>0.1</v>
      </c>
      <c r="AI270" s="153" t="n">
        <f aca="false">IFERROR(IF($H270&lt;&gt;"",(((($H270/1000)/2)^2)*PI()*$M270),0),0)</f>
        <v>0.451882760301539</v>
      </c>
      <c r="AJ270" s="153" t="n">
        <f aca="false">IFERROR(IF(AND($H270&lt;&gt;"",$I270="FoFo",OR($N270="MND",$N270="VCA"),$Q270="LINEAR"),0,IF(AND($H270&lt;&gt;"",$I270="PEAD",$N270="VCA",$Q270="LINEAR"),($H270/1000)+0.3,IF(AND($H270&lt;&gt;"",$I270="PEAD",$N270="MND",$Q270="EMBOQUE"),0,IF(AND($H270&lt;&gt;"",$I270="PVC",$N270="VCA",$Q270="LINEAR"),($H270/1000)+0.2,IF(AND($H270&lt;&gt;"",$I270="PVC",$N270="MND",$Q270="EMBOQUE"),0,IF(AND($H270&lt;&gt;"",$I270="PEAD",$N270="VCA",$Q270="PREDIAL"),0,0)))))),0)</f>
        <v>0.41</v>
      </c>
      <c r="AK270" s="153" t="n">
        <f aca="false">IF(AA270&lt;&gt;"",AA270,0)</f>
        <v>3.6</v>
      </c>
      <c r="AL270" s="153" t="n">
        <f aca="false">IF(AND($N270="MND",$Q270="EMBOQUE"),$M270,IF(AND($N270="VCA",$Q270="LINEAR"),$M270,IF(AND($N270="VCA",$Q270="PREDIAL"),0,0)))</f>
        <v>47.55</v>
      </c>
      <c r="AM270" s="153" t="n">
        <f aca="false">IF(AND($N270="MND",$Q270="EMBOQUE"),$M270,IF(AND($N270="VCA",$Q270="LINEAR"),$M270,IF(AND($N270="VCA",$Q270="PREDIAL"),0,0)))</f>
        <v>47.55</v>
      </c>
      <c r="AN270" s="153" t="n">
        <f aca="false">ROUND(IF(AND($N270="VCA",$M270&lt;&gt;"",$Q270="LINEAR"),$M270/100,IF(AND($N270="MND",$M270&gt;100,$Q270="EMBOQUE"),$M270/100,0)),0)</f>
        <v>0</v>
      </c>
      <c r="AO270" s="153" t="n">
        <f aca="false">IF(AND($N270="MND",$Q270="EMBOQUE"),$AN270*2*2,IF(AND($N270="VCA",$Q270="LINEAR"),$M270*2,IF(AND($N270="VCA",$Q270="PREDIAL"),0,0)))</f>
        <v>95.1</v>
      </c>
      <c r="AP270" s="153" t="n">
        <f aca="false">IFERROR($M270*$AF270*$AG270,0)</f>
        <v>50.284125</v>
      </c>
      <c r="AQ270" s="153" t="n">
        <f aca="false">IFERROR(IF(AND($N270="VCA",$AH270&gt;0),$M270*$AG270*$AH270,0),0)</f>
        <v>3.56625</v>
      </c>
      <c r="AR270" s="153" t="n">
        <f aca="false">IFERROR(IF(AND($N270="VCA",$AJ270&gt;0),($M270*$AG270*$AJ270)-$AI270,0),0)</f>
        <v>14.1697422396985</v>
      </c>
      <c r="AS270" s="153" t="n">
        <f aca="false">IFERROR(IF(AND($N270="VCA",$AP270&gt;0),$AP270-$AI270-$AQ270-$AR270,0),0)</f>
        <v>32.09625</v>
      </c>
      <c r="AT270" s="153" t="n">
        <f aca="false">IFERROR(IF($N270="VCA",INDEX(APOIO_REDES!$A:$W,MATCH($C270&amp;$I270&amp;$H270&amp;$N270&amp;$O270,APOIO_REDES!$W:$W,0),MATCH(AT$5,APOIO_REDES!$5:$5,0)),0)*$AP270,0)</f>
        <v>0.547106163341282</v>
      </c>
      <c r="AU270" s="153" t="n">
        <f aca="false">IFERROR(IF($N270="VCA",INDEX(APOIO_REDES!$A:$W,MATCH($C270&amp;$I270&amp;$H270&amp;$N270&amp;$O270,APOIO_REDES!$W:$W,0),MATCH(AU$5,APOIO_REDES!$5:$5,0)),0)*$AP270,0)</f>
        <v>0.43690416453028</v>
      </c>
      <c r="AV270" s="153" t="n">
        <f aca="false">IFERROR(IF($N270="VCA",INDEX(APOIO_REDES!$A:$W,MATCH($C270&amp;$I270&amp;$H270&amp;$N270&amp;$O270,APOIO_REDES!$W:$W,0),MATCH(AV$5,APOIO_REDES!$5:$5,0)),0)*$AP270,0)</f>
        <v>0.060464106538822</v>
      </c>
      <c r="AW270" s="153" t="n">
        <f aca="false">IFERROR(IF($N270="VCA",INDEX(APOIO_REDES!$A:$W,MATCH($C270&amp;$I270&amp;$H270&amp;$N270&amp;$O270,APOIO_REDES!$W:$W,0),MATCH(AW$5,APOIO_REDES!$5:$5,0)),0)*$AP270,0)</f>
        <v>34.515413020413</v>
      </c>
      <c r="AX270" s="153" t="n">
        <f aca="false">IFERROR(IF($N270="VCA",INDEX(APOIO_REDES!$A:$W,MATCH($C270&amp;$I270&amp;$H270&amp;$N270&amp;$O270,APOIO_REDES!$W:$W,0),MATCH(AX$5,APOIO_REDES!$5:$5,0)),0)*$AP270,0)</f>
        <v>4.7768348430101</v>
      </c>
      <c r="AY270" s="153" t="n">
        <f aca="false">IFERROR(IF($N270="VCA",INDEX(APOIO_REDES!$A:$W,MATCH($C270&amp;$I270&amp;$H270&amp;$N270&amp;$O270,APOIO_REDES!$W:$W,0),MATCH(AY$5,APOIO_REDES!$5:$5,0)),0)*$AP270,0)</f>
        <v>8.73807796477924</v>
      </c>
      <c r="AZ270" s="153" t="n">
        <f aca="false">IFERROR(IF($N270="VCA",INDEX(APOIO_REDES!$A:$W,MATCH($C270&amp;$I270&amp;$H270&amp;$N270&amp;$O270,APOIO_REDES!$W:$W,0),MATCH(AZ$5,APOIO_REDES!$5:$5,0)),0)*$AP270,0)</f>
        <v>1.20932473738723</v>
      </c>
      <c r="BA270" s="153" t="n">
        <f aca="false">IFERROR(IF(AND($N270="VCA",$Q270="LINEAR"),INDEX(APOIO_REDES!$A:$W,MATCH($C270&amp;$I270&amp;$H270&amp;$N270&amp;$O270,APOIO_REDES!$W:$W,0),MATCH(BA$5,APOIO_REDES!$5:$5,0)),IF(AND($N270="MND",$Q270="EMBOQUE"),INDEX(APOIO_REDES!$A:$W,MATCH($C270&amp;$I270&amp;$H270&amp;$N270&amp;$O270,APOIO_REDES!$W:$W,0),MATCH(BA$5,APOIO_REDES!$5:$5,0)),0))*$M270/10,0)</f>
        <v>3.83241005891855</v>
      </c>
      <c r="BB270" s="153" t="n">
        <f aca="false">IFERROR(IF($N270="VCA",INDEX(APOIO_REDES!$A:$W,MATCH($C270&amp;$I270&amp;$H270&amp;$N270&amp;$O270,APOIO_REDES!$W:$W,0),MATCH(BB$5,APOIO_REDES!$5:$5,0)),0)*($AI270+$AQ270+$AR270),0)</f>
        <v>17.9899855366638</v>
      </c>
      <c r="BC270" s="153" t="n">
        <f aca="false">IFERROR(IF($N270="VCA",INDEX(APOIO_REDES!$A:$W,MATCH($C270&amp;$I270&amp;$H270&amp;$N270&amp;$O270,APOIO_REDES!$W:$W,0),MATCH(BC$5,APOIO_REDES!$5:$5,0)),0)*($AI270+$AQ270+$AR270),0)</f>
        <v>0.197889463336208</v>
      </c>
      <c r="BD270" s="153" t="n">
        <f aca="false">IF(AND($N270="VCA",$AF270&gt;=1.25,$AF270&lt;1.5),$M270*$AF270*2,0)</f>
        <v>134.091</v>
      </c>
      <c r="BE270" s="153" t="n">
        <f aca="false">IF(AND($N270="VCA",$AF270&gt;=1.5,$AF270&lt;3),$M270*$AF270*2,0)</f>
        <v>0</v>
      </c>
      <c r="BF270" s="153" t="n">
        <f aca="false">IF(AND($N270="VCA",$AF270&gt;=3),$M270*$AF270*2,0)</f>
        <v>0</v>
      </c>
      <c r="BG270" s="153" t="n">
        <f aca="false">($BB270+$BC270)*$AK270</f>
        <v>65.47635</v>
      </c>
      <c r="BH270" s="153" t="n">
        <f aca="false">IF(AND($M270&lt;&gt;"",$N270="VCA",$Q270="LINEAR"),($M270*2)/100,IF(AND($M270&lt;&gt;"",$N270="MND",$Q270="EMBOQUE"),($AN270*2)/100,0))</f>
        <v>0.951</v>
      </c>
      <c r="BI270" s="153" t="n">
        <f aca="false">IF(AND($M270&lt;&gt;"",$N270="VCA",$Q270="LINEAR"),$M270,IF(AND($M270&lt;&gt;"",$N270="MND",$Q270="EMBOQUE"),$AN270*2,0))</f>
        <v>47.55</v>
      </c>
      <c r="BJ270" s="153" t="n">
        <f aca="false">IF(AND($M270&lt;&gt;"",$N270="VCA",$Q270="LINEAR"),($M270*6.8)/100,IF(AND($M270&lt;&gt;"",$N270="MND",$Q270="EMBOQUE"),($AN270*2*6.8)/100,0))</f>
        <v>3.2334</v>
      </c>
      <c r="BK270" s="153" t="n">
        <f aca="false">IF(AND($M270&lt;&gt;"",$N270="VCA",$Q270="LINEAR"),($M270*2.5)/50,IF(AND($M270&lt;&gt;"",$N270="MND",$Q270="EMBOQUE"),($AN270*2*2.5)/50,0))</f>
        <v>2.3775</v>
      </c>
      <c r="BL270" s="157" t="str">
        <f aca="false">K270&amp;J270</f>
        <v>Zona03REDES</v>
      </c>
      <c r="BM270" s="152" t="s">
        <v>2526</v>
      </c>
      <c r="BN270" s="152" t="s">
        <v>1560</v>
      </c>
      <c r="BO270" s="152" t="s">
        <v>1982</v>
      </c>
      <c r="BP270" s="152" t="s">
        <v>2555</v>
      </c>
      <c r="BQ270" s="152" t="s">
        <v>2538</v>
      </c>
      <c r="BR270" s="152" t="s">
        <v>2556</v>
      </c>
      <c r="BS270" s="152" t="n">
        <v>203324.919</v>
      </c>
      <c r="BT270" s="152" t="n">
        <v>8238030.675</v>
      </c>
      <c r="BU270" s="152" t="n">
        <v>203320.524</v>
      </c>
      <c r="BV270" s="152" t="n">
        <v>8238078.02</v>
      </c>
      <c r="BW270" s="152" t="n">
        <v>-15.9190117</v>
      </c>
      <c r="BX270" s="152" t="n">
        <v>-47.7708653</v>
      </c>
      <c r="BY270" s="152" t="s">
        <v>2555</v>
      </c>
    </row>
    <row r="271" customFormat="false" ht="13.8" hidden="false" customHeight="false" outlineLevel="0" collapsed="false">
      <c r="A271" s="149" t="n">
        <f aca="false">IF(C271&lt;&gt;"",ROW(A266),"")</f>
        <v>266</v>
      </c>
      <c r="B271" s="150" t="str">
        <f aca="false">HYPERLINK("https://www.google.com/maps/dir/-15.917302,-47.760003/-15.9189784,-47.7681429/data=!4m3!4m2!3e0!5i0")</f>
        <v>https://www.google.com/maps/dir/-15.917302,-47.760003/-15.9189784,-47.7681429/data=!4m3!4m2!3e0!5i0</v>
      </c>
      <c r="C271" s="151" t="s">
        <v>117</v>
      </c>
      <c r="D271" s="152" t="s">
        <v>112</v>
      </c>
      <c r="E271" s="152" t="s">
        <v>113</v>
      </c>
      <c r="F271" s="152" t="s">
        <v>117</v>
      </c>
      <c r="G271" s="152" t="s">
        <v>782</v>
      </c>
      <c r="H271" s="152" t="n">
        <v>110</v>
      </c>
      <c r="I271" s="152" t="s">
        <v>115</v>
      </c>
      <c r="J271" s="152" t="s">
        <v>6</v>
      </c>
      <c r="K271" s="152" t="s">
        <v>2522</v>
      </c>
      <c r="L271" s="152" t="s">
        <v>120</v>
      </c>
      <c r="M271" s="153" t="n">
        <f aca="false">291.16+0.27</f>
        <v>291.43</v>
      </c>
      <c r="N271" s="152" t="s">
        <v>1548</v>
      </c>
      <c r="O271" s="152" t="s">
        <v>1549</v>
      </c>
      <c r="P271" s="152" t="s">
        <v>1550</v>
      </c>
      <c r="Q271" s="152" t="s">
        <v>1551</v>
      </c>
      <c r="R271" s="154" t="s">
        <v>2557</v>
      </c>
      <c r="S271" s="154" t="s">
        <v>1593</v>
      </c>
      <c r="T271" s="155" t="s">
        <v>1979</v>
      </c>
      <c r="U271" s="152" t="str">
        <f aca="false">RIGHT(T271,7)</f>
        <v>006/037</v>
      </c>
      <c r="V271" s="152" t="s">
        <v>1555</v>
      </c>
      <c r="W271" s="156" t="n">
        <v>45882</v>
      </c>
      <c r="X271" s="152" t="s">
        <v>1594</v>
      </c>
      <c r="Y271" s="152" t="s">
        <v>2531</v>
      </c>
      <c r="Z271" s="152" t="s">
        <v>1557</v>
      </c>
      <c r="AA271" s="153" t="n">
        <v>2.5</v>
      </c>
      <c r="AB271" s="151" t="s">
        <v>2558</v>
      </c>
      <c r="AC271" s="151" t="s">
        <v>502</v>
      </c>
      <c r="AD271" s="151" t="str">
        <f aca="false">CONCATENATE($C271,$I271,$H271,$N271,$J271,$K271)</f>
        <v>TUBO PEADPEAD110VCAREDESZona03</v>
      </c>
      <c r="AE271" s="153" t="n">
        <f aca="false">IFERROR(INDEX(APOIO_REDES!$A:$W,MATCH($C271&amp;$I271&amp;$H271&amp;$N271&amp;$O271,APOIO_REDES!$W:$W,0),MATCH(AE$5,APOIO_REDES!$5:$5,0)),0)</f>
        <v>1.2</v>
      </c>
      <c r="AF271" s="153" t="n">
        <f aca="false">IFERROR(INDEX(APOIO_REDES!$A:$W,MATCH($C271&amp;$I271&amp;$H271&amp;$N271&amp;$O271,APOIO_REDES!$W:$W,0),MATCH(AF$5,APOIO_REDES!$5:$5,0)),0)</f>
        <v>1.41</v>
      </c>
      <c r="AG271" s="153" t="n">
        <f aca="false">IFERROR(INDEX(APOIO_REDES!$A:$W,MATCH($C271&amp;$I271&amp;$H271&amp;$N271&amp;$O271,APOIO_REDES!$W:$W,0),MATCH(AG$5,APOIO_REDES!$5:$5,0)),0)</f>
        <v>0.75</v>
      </c>
      <c r="AH271" s="153" t="n">
        <f aca="false">IFERROR(INDEX(APOIO_REDES!$A:$W,MATCH($C271&amp;$I271&amp;$H271&amp;$N271&amp;$O271,APOIO_REDES!$W:$W,0),MATCH(AH$5,APOIO_REDES!$5:$5,0)),0)</f>
        <v>0.1</v>
      </c>
      <c r="AI271" s="153" t="n">
        <f aca="false">IFERROR(IF($H271&lt;&gt;"",(((($H271/1000)/2)^2)*PI()*$M271),0),0)</f>
        <v>2.76955189978291</v>
      </c>
      <c r="AJ271" s="153" t="n">
        <f aca="false">IFERROR(IF(AND($H271&lt;&gt;"",$I271="FoFo",OR($N271="MND",$N271="VCA"),$Q271="LINEAR"),0,IF(AND($H271&lt;&gt;"",$I271="PEAD",$N271="VCA",$Q271="LINEAR"),($H271/1000)+0.3,IF(AND($H271&lt;&gt;"",$I271="PEAD",$N271="MND",$Q271="EMBOQUE"),0,IF(AND($H271&lt;&gt;"",$I271="PVC",$N271="VCA",$Q271="LINEAR"),($H271/1000)+0.2,IF(AND($H271&lt;&gt;"",$I271="PVC",$N271="MND",$Q271="EMBOQUE"),0,IF(AND($H271&lt;&gt;"",$I271="PEAD",$N271="VCA",$Q271="PREDIAL"),0,0)))))),0)</f>
        <v>0.41</v>
      </c>
      <c r="AK271" s="153" t="n">
        <f aca="false">IF(AA271&lt;&gt;"",AA271,0)</f>
        <v>2.5</v>
      </c>
      <c r="AL271" s="153" t="n">
        <f aca="false">IF(AND($N271="MND",$Q271="EMBOQUE"),$M271,IF(AND($N271="VCA",$Q271="LINEAR"),$M271,IF(AND($N271="VCA",$Q271="PREDIAL"),0,0)))</f>
        <v>291.43</v>
      </c>
      <c r="AM271" s="153" t="n">
        <f aca="false">IF(AND($N271="MND",$Q271="EMBOQUE"),$M271,IF(AND($N271="VCA",$Q271="LINEAR"),$M271,IF(AND($N271="VCA",$Q271="PREDIAL"),0,0)))</f>
        <v>291.43</v>
      </c>
      <c r="AN271" s="153" t="n">
        <f aca="false">ROUND(IF(AND($N271="VCA",$M271&lt;&gt;"",$Q271="LINEAR"),$M271/100,IF(AND($N271="MND",$M271&gt;100,$Q271="EMBOQUE"),$M271/100,0)),0)</f>
        <v>3</v>
      </c>
      <c r="AO271" s="153" t="n">
        <f aca="false">IF(AND($N271="MND",$Q271="EMBOQUE"),$AN271*2*2,IF(AND($N271="VCA",$Q271="LINEAR"),$M271*2,IF(AND($N271="VCA",$Q271="PREDIAL"),0,0)))</f>
        <v>582.86</v>
      </c>
      <c r="AP271" s="153" t="n">
        <f aca="false">IFERROR($M271*$AF271*$AG271,0)</f>
        <v>308.187225</v>
      </c>
      <c r="AQ271" s="153" t="n">
        <f aca="false">IFERROR(IF(AND($N271="VCA",$AH271&gt;0),$M271*$AG271*$AH271,0),0)</f>
        <v>21.85725</v>
      </c>
      <c r="AR271" s="153" t="n">
        <f aca="false">IFERROR(IF(AND($N271="VCA",$AJ271&gt;0),($M271*$AG271*$AJ271)-$AI271,0),0)</f>
        <v>86.8451731002171</v>
      </c>
      <c r="AS271" s="153" t="n">
        <f aca="false">IFERROR(IF(AND($N271="VCA",$AP271&gt;0),$AP271-$AI271-$AQ271-$AR271,0),0)</f>
        <v>196.71525</v>
      </c>
      <c r="AT271" s="153" t="n">
        <f aca="false">IFERROR(IF($N271="VCA",INDEX(APOIO_REDES!$A:$W,MATCH($C271&amp;$I271&amp;$H271&amp;$N271&amp;$O271,APOIO_REDES!$W:$W,0),MATCH(AT$5,APOIO_REDES!$5:$5,0)),0)*$AP271,0)</f>
        <v>3.35316822676235</v>
      </c>
      <c r="AU271" s="153" t="n">
        <f aca="false">IFERROR(IF($N271="VCA",INDEX(APOIO_REDES!$A:$W,MATCH($C271&amp;$I271&amp;$H271&amp;$N271&amp;$O271,APOIO_REDES!$W:$W,0),MATCH(AU$5,APOIO_REDES!$5:$5,0)),0)*$AP271,0)</f>
        <v>2.67774933057959</v>
      </c>
      <c r="AV271" s="153" t="n">
        <f aca="false">IFERROR(IF($N271="VCA",INDEX(APOIO_REDES!$A:$W,MATCH($C271&amp;$I271&amp;$H271&amp;$N271&amp;$O271,APOIO_REDES!$W:$W,0),MATCH(AV$5,APOIO_REDES!$5:$5,0)),0)*$AP271,0)</f>
        <v>0.370579486195771</v>
      </c>
      <c r="AW271" s="153" t="n">
        <f aca="false">IFERROR(IF($N271="VCA",INDEX(APOIO_REDES!$A:$W,MATCH($C271&amp;$I271&amp;$H271&amp;$N271&amp;$O271,APOIO_REDES!$W:$W,0),MATCH(AW$5,APOIO_REDES!$5:$5,0)),0)*$AP271,0)</f>
        <v>211.542099191146</v>
      </c>
      <c r="AX271" s="153" t="n">
        <f aca="false">IFERROR(IF($N271="VCA",INDEX(APOIO_REDES!$A:$W,MATCH($C271&amp;$I271&amp;$H271&amp;$N271&amp;$O271,APOIO_REDES!$W:$W,0),MATCH(AX$5,APOIO_REDES!$5:$5,0)),0)*$AP271,0)</f>
        <v>29.2768239389786</v>
      </c>
      <c r="AY271" s="153" t="n">
        <f aca="false">IFERROR(IF($N271="VCA",INDEX(APOIO_REDES!$A:$W,MATCH($C271&amp;$I271&amp;$H271&amp;$N271&amp;$O271,APOIO_REDES!$W:$W,0),MATCH(AY$5,APOIO_REDES!$5:$5,0)),0)*$AP271,0)</f>
        <v>53.5549539700445</v>
      </c>
      <c r="AZ271" s="153" t="n">
        <f aca="false">IFERROR(IF($N271="VCA",INDEX(APOIO_REDES!$A:$W,MATCH($C271&amp;$I271&amp;$H271&amp;$N271&amp;$O271,APOIO_REDES!$W:$W,0),MATCH(AZ$5,APOIO_REDES!$5:$5,0)),0)*$AP271,0)</f>
        <v>7.4118508562936</v>
      </c>
      <c r="BA271" s="153" t="n">
        <f aca="false">IFERROR(IF(AND($N271="VCA",$Q271="LINEAR"),INDEX(APOIO_REDES!$A:$W,MATCH($C271&amp;$I271&amp;$H271&amp;$N271&amp;$O271,APOIO_REDES!$W:$W,0),MATCH(BA$5,APOIO_REDES!$5:$5,0)),IF(AND($N271="MND",$Q271="EMBOQUE"),INDEX(APOIO_REDES!$A:$W,MATCH($C271&amp;$I271&amp;$H271&amp;$N271&amp;$O271,APOIO_REDES!$W:$W,0),MATCH(BA$5,APOIO_REDES!$5:$5,0)),0))*$M271/10,0)</f>
        <v>23.4885228910754</v>
      </c>
      <c r="BB271" s="153" t="n">
        <f aca="false">IFERROR(IF($N271="VCA",INDEX(APOIO_REDES!$A:$W,MATCH($C271&amp;$I271&amp;$H271&amp;$N271&amp;$O271,APOIO_REDES!$W:$W,0),MATCH(BB$5,APOIO_REDES!$5:$5,0)),0)*($AI271+$AQ271+$AR271),0)</f>
        <v>110.25912691798</v>
      </c>
      <c r="BC271" s="153" t="n">
        <f aca="false">IFERROR(IF($N271="VCA",INDEX(APOIO_REDES!$A:$W,MATCH($C271&amp;$I271&amp;$H271&amp;$N271&amp;$O271,APOIO_REDES!$W:$W,0),MATCH(BC$5,APOIO_REDES!$5:$5,0)),0)*($AI271+$AQ271+$AR271),0)</f>
        <v>1.21284808202042</v>
      </c>
      <c r="BD271" s="153" t="n">
        <f aca="false">IF(AND($N271="VCA",$AF271&gt;=1.25,$AF271&lt;1.5),$M271*$AF271*2,0)</f>
        <v>821.8326</v>
      </c>
      <c r="BE271" s="153" t="n">
        <f aca="false">IF(AND($N271="VCA",$AF271&gt;=1.5,$AF271&lt;3),$M271*$AF271*2,0)</f>
        <v>0</v>
      </c>
      <c r="BF271" s="153" t="n">
        <f aca="false">IF(AND($N271="VCA",$AF271&gt;=3),$M271*$AF271*2,0)</f>
        <v>0</v>
      </c>
      <c r="BG271" s="153" t="n">
        <f aca="false">($BB271+$BC271)*$AK271</f>
        <v>278.6799375</v>
      </c>
      <c r="BH271" s="153" t="n">
        <f aca="false">IF(AND($M271&lt;&gt;"",$N271="VCA",$Q271="LINEAR"),($M271*2)/100,IF(AND($M271&lt;&gt;"",$N271="MND",$Q271="EMBOQUE"),($AN271*2)/100,0))</f>
        <v>5.8286</v>
      </c>
      <c r="BI271" s="153" t="n">
        <f aca="false">IF(AND($M271&lt;&gt;"",$N271="VCA",$Q271="LINEAR"),$M271,IF(AND($M271&lt;&gt;"",$N271="MND",$Q271="EMBOQUE"),$AN271*2,0))</f>
        <v>291.43</v>
      </c>
      <c r="BJ271" s="153" t="n">
        <f aca="false">IF(AND($M271&lt;&gt;"",$N271="VCA",$Q271="LINEAR"),($M271*6.8)/100,IF(AND($M271&lt;&gt;"",$N271="MND",$Q271="EMBOQUE"),($AN271*2*6.8)/100,0))</f>
        <v>19.81724</v>
      </c>
      <c r="BK271" s="153" t="n">
        <f aca="false">IF(AND($M271&lt;&gt;"",$N271="VCA",$Q271="LINEAR"),($M271*2.5)/50,IF(AND($M271&lt;&gt;"",$N271="MND",$Q271="EMBOQUE"),($AN271*2*2.5)/50,0))</f>
        <v>14.5715</v>
      </c>
      <c r="BL271" s="157" t="str">
        <f aca="false">K271&amp;J271</f>
        <v>Zona03REDES</v>
      </c>
      <c r="BM271" s="152" t="s">
        <v>2526</v>
      </c>
      <c r="BN271" s="152" t="s">
        <v>1560</v>
      </c>
      <c r="BO271" s="152" t="s">
        <v>1982</v>
      </c>
      <c r="BP271" s="152" t="s">
        <v>2546</v>
      </c>
      <c r="BQ271" s="152" t="s">
        <v>2555</v>
      </c>
      <c r="BR271" s="152" t="s">
        <v>2559</v>
      </c>
      <c r="BS271" s="152" t="n">
        <v>203614.357</v>
      </c>
      <c r="BT271" s="152" t="n">
        <v>8238061.903</v>
      </c>
      <c r="BU271" s="152" t="n">
        <v>203324.919</v>
      </c>
      <c r="BV271" s="152" t="n">
        <v>8238030.675</v>
      </c>
      <c r="BW271" s="152" t="n">
        <v>-15.9191071</v>
      </c>
      <c r="BX271" s="152" t="n">
        <v>-47.769495</v>
      </c>
      <c r="BY271" s="152" t="s">
        <v>2546</v>
      </c>
    </row>
    <row r="272" customFormat="false" ht="13.8" hidden="false" customHeight="false" outlineLevel="0" collapsed="false">
      <c r="A272" s="149" t="n">
        <f aca="false">IF(C272&lt;&gt;"",ROW(A267),"")</f>
        <v>267</v>
      </c>
      <c r="B272" s="150" t="str">
        <f aca="false">HYPERLINK("https://www.google.com/maps/dir/-15.917302,-47.760003/-15.9193038,-47.7680527/data=!4m3!4m2!3e0!5i0")</f>
        <v>https://www.google.com/maps/dir/-15.917302,-47.760003/-15.9193038,-47.7680527/data=!4m3!4m2!3e0!5i0</v>
      </c>
      <c r="C272" s="151" t="s">
        <v>117</v>
      </c>
      <c r="D272" s="152" t="s">
        <v>112</v>
      </c>
      <c r="E272" s="152" t="s">
        <v>113</v>
      </c>
      <c r="F272" s="152" t="s">
        <v>117</v>
      </c>
      <c r="G272" s="152" t="s">
        <v>782</v>
      </c>
      <c r="H272" s="152" t="n">
        <v>110</v>
      </c>
      <c r="I272" s="152" t="s">
        <v>115</v>
      </c>
      <c r="J272" s="152" t="s">
        <v>6</v>
      </c>
      <c r="K272" s="152" t="s">
        <v>2522</v>
      </c>
      <c r="L272" s="152" t="s">
        <v>120</v>
      </c>
      <c r="M272" s="153" t="n">
        <f aca="false">61.15</f>
        <v>61.15</v>
      </c>
      <c r="N272" s="152" t="s">
        <v>1548</v>
      </c>
      <c r="O272" s="152" t="s">
        <v>1549</v>
      </c>
      <c r="P272" s="152" t="s">
        <v>1550</v>
      </c>
      <c r="Q272" s="152" t="s">
        <v>1551</v>
      </c>
      <c r="R272" s="154" t="s">
        <v>2560</v>
      </c>
      <c r="S272" s="154" t="s">
        <v>1593</v>
      </c>
      <c r="T272" s="155" t="s">
        <v>1979</v>
      </c>
      <c r="U272" s="152" t="str">
        <f aca="false">RIGHT(T272,7)</f>
        <v>006/037</v>
      </c>
      <c r="V272" s="152" t="s">
        <v>1555</v>
      </c>
      <c r="W272" s="156" t="n">
        <v>45882</v>
      </c>
      <c r="X272" s="152" t="s">
        <v>1594</v>
      </c>
      <c r="Y272" s="152" t="s">
        <v>2524</v>
      </c>
      <c r="Z272" s="152" t="s">
        <v>1557</v>
      </c>
      <c r="AA272" s="153" t="n">
        <v>2.6</v>
      </c>
      <c r="AB272" s="151" t="s">
        <v>2561</v>
      </c>
      <c r="AC272" s="151" t="s">
        <v>502</v>
      </c>
      <c r="AD272" s="151" t="str">
        <f aca="false">CONCATENATE($C272,$I272,$H272,$N272,$J272,$K272)</f>
        <v>TUBO PEADPEAD110VCAREDESZona03</v>
      </c>
      <c r="AE272" s="153" t="n">
        <f aca="false">IFERROR(INDEX(APOIO_REDES!$A:$W,MATCH($C272&amp;$I272&amp;$H272&amp;$N272&amp;$O272,APOIO_REDES!$W:$W,0),MATCH(AE$5,APOIO_REDES!$5:$5,0)),0)</f>
        <v>1.2</v>
      </c>
      <c r="AF272" s="153" t="n">
        <f aca="false">IFERROR(INDEX(APOIO_REDES!$A:$W,MATCH($C272&amp;$I272&amp;$H272&amp;$N272&amp;$O272,APOIO_REDES!$W:$W,0),MATCH(AF$5,APOIO_REDES!$5:$5,0)),0)</f>
        <v>1.41</v>
      </c>
      <c r="AG272" s="153" t="n">
        <f aca="false">IFERROR(INDEX(APOIO_REDES!$A:$W,MATCH($C272&amp;$I272&amp;$H272&amp;$N272&amp;$O272,APOIO_REDES!$W:$W,0),MATCH(AG$5,APOIO_REDES!$5:$5,0)),0)</f>
        <v>0.75</v>
      </c>
      <c r="AH272" s="153" t="n">
        <f aca="false">IFERROR(INDEX(APOIO_REDES!$A:$W,MATCH($C272&amp;$I272&amp;$H272&amp;$N272&amp;$O272,APOIO_REDES!$W:$W,0),MATCH(AH$5,APOIO_REDES!$5:$5,0)),0)</f>
        <v>0.1</v>
      </c>
      <c r="AI272" s="153" t="n">
        <f aca="false">IFERROR(IF($H272&lt;&gt;"",(((($H272/1000)/2)^2)*PI()*$M272),0),0)</f>
        <v>0.581127882070223</v>
      </c>
      <c r="AJ272" s="153" t="n">
        <f aca="false">IFERROR(IF(AND($H272&lt;&gt;"",$I272="FoFo",OR($N272="MND",$N272="VCA"),$Q272="LINEAR"),0,IF(AND($H272&lt;&gt;"",$I272="PEAD",$N272="VCA",$Q272="LINEAR"),($H272/1000)+0.3,IF(AND($H272&lt;&gt;"",$I272="PEAD",$N272="MND",$Q272="EMBOQUE"),0,IF(AND($H272&lt;&gt;"",$I272="PVC",$N272="VCA",$Q272="LINEAR"),($H272/1000)+0.2,IF(AND($H272&lt;&gt;"",$I272="PVC",$N272="MND",$Q272="EMBOQUE"),0,IF(AND($H272&lt;&gt;"",$I272="PEAD",$N272="VCA",$Q272="PREDIAL"),0,0)))))),0)</f>
        <v>0.41</v>
      </c>
      <c r="AK272" s="153" t="n">
        <f aca="false">IF(AA272&lt;&gt;"",AA272,0)</f>
        <v>2.6</v>
      </c>
      <c r="AL272" s="153" t="n">
        <f aca="false">IF(AND($N272="MND",$Q272="EMBOQUE"),$M272,IF(AND($N272="VCA",$Q272="LINEAR"),$M272,IF(AND($N272="VCA",$Q272="PREDIAL"),0,0)))</f>
        <v>61.15</v>
      </c>
      <c r="AM272" s="153" t="n">
        <f aca="false">IF(AND($N272="MND",$Q272="EMBOQUE"),$M272,IF(AND($N272="VCA",$Q272="LINEAR"),$M272,IF(AND($N272="VCA",$Q272="PREDIAL"),0,0)))</f>
        <v>61.15</v>
      </c>
      <c r="AN272" s="153" t="n">
        <f aca="false">ROUND(IF(AND($N272="VCA",$M272&lt;&gt;"",$Q272="LINEAR"),$M272/100,IF(AND($N272="MND",$M272&gt;100,$Q272="EMBOQUE"),$M272/100,0)),0)</f>
        <v>1</v>
      </c>
      <c r="AO272" s="153" t="n">
        <f aca="false">IF(AND($N272="MND",$Q272="EMBOQUE"),$AN272*2*2,IF(AND($N272="VCA",$Q272="LINEAR"),$M272*2,IF(AND($N272="VCA",$Q272="PREDIAL"),0,0)))</f>
        <v>122.3</v>
      </c>
      <c r="AP272" s="153" t="n">
        <f aca="false">IFERROR($M272*$AF272*$AG272,0)</f>
        <v>64.666125</v>
      </c>
      <c r="AQ272" s="153" t="n">
        <f aca="false">IFERROR(IF(AND($N272="VCA",$AH272&gt;0),$M272*$AG272*$AH272,0),0)</f>
        <v>4.58625</v>
      </c>
      <c r="AR272" s="153" t="n">
        <f aca="false">IFERROR(IF(AND($N272="VCA",$AJ272&gt;0),($M272*$AG272*$AJ272)-$AI272,0),0)</f>
        <v>18.2224971179298</v>
      </c>
      <c r="AS272" s="153" t="n">
        <f aca="false">IFERROR(IF(AND($N272="VCA",$AP272&gt;0),$AP272-$AI272-$AQ272-$AR272,0),0)</f>
        <v>41.27625</v>
      </c>
      <c r="AT272" s="153" t="n">
        <f aca="false">IFERROR(IF($N272="VCA",INDEX(APOIO_REDES!$A:$W,MATCH($C272&amp;$I272&amp;$H272&amp;$N272&amp;$O272,APOIO_REDES!$W:$W,0),MATCH(AT$5,APOIO_REDES!$5:$5,0)),0)*$AP272,0)</f>
        <v>0.703586580195991</v>
      </c>
      <c r="AU272" s="153" t="n">
        <f aca="false">IFERROR(IF($N272="VCA",INDEX(APOIO_REDES!$A:$W,MATCH($C272&amp;$I272&amp;$H272&amp;$N272&amp;$O272,APOIO_REDES!$W:$W,0),MATCH(AU$5,APOIO_REDES!$5:$5,0)),0)*$AP272,0)</f>
        <v>0.561865187403293</v>
      </c>
      <c r="AV272" s="153" t="n">
        <f aca="false">IFERROR(IF($N272="VCA",INDEX(APOIO_REDES!$A:$W,MATCH($C272&amp;$I272&amp;$H272&amp;$N272&amp;$O272,APOIO_REDES!$W:$W,0),MATCH(AV$5,APOIO_REDES!$5:$5,0)),0)*$AP272,0)</f>
        <v>0.0777577311219551</v>
      </c>
      <c r="AW272" s="153" t="n">
        <f aca="false">IFERROR(IF($N272="VCA",INDEX(APOIO_REDES!$A:$W,MATCH($C272&amp;$I272&amp;$H272&amp;$N272&amp;$O272,APOIO_REDES!$W:$W,0),MATCH(AW$5,APOIO_REDES!$5:$5,0)),0)*$AP272,0)</f>
        <v>44.3873292575869</v>
      </c>
      <c r="AX272" s="153" t="n">
        <f aca="false">IFERROR(IF($N272="VCA",INDEX(APOIO_REDES!$A:$W,MATCH($C272&amp;$I272&amp;$H272&amp;$N272&amp;$O272,APOIO_REDES!$W:$W,0),MATCH(AX$5,APOIO_REDES!$5:$5,0)),0)*$AP272,0)</f>
        <v>6.14307992954927</v>
      </c>
      <c r="AY272" s="153" t="n">
        <f aca="false">IFERROR(IF($N272="VCA",INDEX(APOIO_REDES!$A:$W,MATCH($C272&amp;$I272&amp;$H272&amp;$N272&amp;$O272,APOIO_REDES!$W:$W,0),MATCH(AY$5,APOIO_REDES!$5:$5,0)),0)*$AP272,0)</f>
        <v>11.2372968989748</v>
      </c>
      <c r="AZ272" s="153" t="n">
        <f aca="false">IFERROR(IF($N272="VCA",INDEX(APOIO_REDES!$A:$W,MATCH($C272&amp;$I272&amp;$H272&amp;$N272&amp;$O272,APOIO_REDES!$W:$W,0),MATCH(AZ$5,APOIO_REDES!$5:$5,0)),0)*$AP272,0)</f>
        <v>1.55520941516781</v>
      </c>
      <c r="BA272" s="153" t="n">
        <f aca="false">IFERROR(IF(AND($N272="VCA",$Q272="LINEAR"),INDEX(APOIO_REDES!$A:$W,MATCH($C272&amp;$I272&amp;$H272&amp;$N272&amp;$O272,APOIO_REDES!$W:$W,0),MATCH(BA$5,APOIO_REDES!$5:$5,0)),IF(AND($N272="MND",$Q272="EMBOQUE"),INDEX(APOIO_REDES!$A:$W,MATCH($C272&amp;$I272&amp;$H272&amp;$N272&amp;$O272,APOIO_REDES!$W:$W,0),MATCH(BA$5,APOIO_REDES!$5:$5,0)),0))*$M272/10,0)</f>
        <v>4.92853575400356</v>
      </c>
      <c r="BB272" s="153" t="n">
        <f aca="false">IFERROR(IF($N272="VCA",INDEX(APOIO_REDES!$A:$W,MATCH($C272&amp;$I272&amp;$H272&amp;$N272&amp;$O272,APOIO_REDES!$W:$W,0),MATCH(BB$5,APOIO_REDES!$5:$5,0)),0)*($AI272+$AQ272+$AR272),0)</f>
        <v>23.1353862369504</v>
      </c>
      <c r="BC272" s="153" t="n">
        <f aca="false">IFERROR(IF($N272="VCA",INDEX(APOIO_REDES!$A:$W,MATCH($C272&amp;$I272&amp;$H272&amp;$N272&amp;$O272,APOIO_REDES!$W:$W,0),MATCH(BC$5,APOIO_REDES!$5:$5,0)),0)*($AI272+$AQ272+$AR272),0)</f>
        <v>0.254488763049614</v>
      </c>
      <c r="BD272" s="153" t="n">
        <f aca="false">IF(AND($N272="VCA",$AF272&gt;=1.25,$AF272&lt;1.5),$M272*$AF272*2,0)</f>
        <v>172.443</v>
      </c>
      <c r="BE272" s="153" t="n">
        <f aca="false">IF(AND($N272="VCA",$AF272&gt;=1.5,$AF272&lt;3),$M272*$AF272*2,0)</f>
        <v>0</v>
      </c>
      <c r="BF272" s="153" t="n">
        <f aca="false">IF(AND($N272="VCA",$AF272&gt;=3),$M272*$AF272*2,0)</f>
        <v>0</v>
      </c>
      <c r="BG272" s="153" t="n">
        <f aca="false">($BB272+$BC272)*$AK272</f>
        <v>60.813675</v>
      </c>
      <c r="BH272" s="153" t="n">
        <f aca="false">IF(AND($M272&lt;&gt;"",$N272="VCA",$Q272="LINEAR"),($M272*2)/100,IF(AND($M272&lt;&gt;"",$N272="MND",$Q272="EMBOQUE"),($AN272*2)/100,0))</f>
        <v>1.223</v>
      </c>
      <c r="BI272" s="153" t="n">
        <f aca="false">IF(AND($M272&lt;&gt;"",$N272="VCA",$Q272="LINEAR"),$M272,IF(AND($M272&lt;&gt;"",$N272="MND",$Q272="EMBOQUE"),$AN272*2,0))</f>
        <v>61.15</v>
      </c>
      <c r="BJ272" s="153" t="n">
        <f aca="false">IF(AND($M272&lt;&gt;"",$N272="VCA",$Q272="LINEAR"),($M272*6.8)/100,IF(AND($M272&lt;&gt;"",$N272="MND",$Q272="EMBOQUE"),($AN272*2*6.8)/100,0))</f>
        <v>4.1582</v>
      </c>
      <c r="BK272" s="153" t="n">
        <f aca="false">IF(AND($M272&lt;&gt;"",$N272="VCA",$Q272="LINEAR"),($M272*2.5)/50,IF(AND($M272&lt;&gt;"",$N272="MND",$Q272="EMBOQUE"),($AN272*2*2.5)/50,0))</f>
        <v>3.0575</v>
      </c>
      <c r="BL272" s="157" t="str">
        <f aca="false">K272&amp;J272</f>
        <v>Zona03REDES</v>
      </c>
      <c r="BM272" s="152" t="s">
        <v>2526</v>
      </c>
      <c r="BN272" s="152" t="s">
        <v>1560</v>
      </c>
      <c r="BO272" s="152" t="s">
        <v>1982</v>
      </c>
      <c r="BP272" s="152" t="s">
        <v>2562</v>
      </c>
      <c r="BQ272" s="152" t="s">
        <v>2527</v>
      </c>
      <c r="BR272" s="152" t="s">
        <v>2563</v>
      </c>
      <c r="BS272" s="152" t="n">
        <v>203624.505</v>
      </c>
      <c r="BT272" s="152" t="n">
        <v>8238026.007</v>
      </c>
      <c r="BU272" s="152" t="n">
        <v>203669.44</v>
      </c>
      <c r="BV272" s="152" t="n">
        <v>8238067.257</v>
      </c>
      <c r="BW272" s="152" t="n">
        <v>-15.9191308</v>
      </c>
      <c r="BX272" s="152" t="n">
        <v>-47.7678311</v>
      </c>
      <c r="BY272" s="152" t="s">
        <v>2562</v>
      </c>
    </row>
    <row r="273" customFormat="false" ht="13.8" hidden="false" customHeight="false" outlineLevel="0" collapsed="false">
      <c r="A273" s="149" t="n">
        <f aca="false">IF(C273&lt;&gt;"",ROW(A268),"")</f>
        <v>268</v>
      </c>
      <c r="B273" s="150" t="str">
        <f aca="false">HYPERLINK("https://www.google.com/maps/dir/-15.917302,-47.760003/-15.9190707,-47.7672314/data=!4m3!4m2!3e0!5i0")</f>
        <v>https://www.google.com/maps/dir/-15.917302,-47.760003/-15.9190707,-47.7672314/data=!4m3!4m2!3e0!5i0</v>
      </c>
      <c r="C273" s="151" t="s">
        <v>117</v>
      </c>
      <c r="D273" s="152" t="s">
        <v>112</v>
      </c>
      <c r="E273" s="152" t="s">
        <v>113</v>
      </c>
      <c r="F273" s="152" t="s">
        <v>117</v>
      </c>
      <c r="G273" s="152" t="s">
        <v>782</v>
      </c>
      <c r="H273" s="152" t="n">
        <v>110</v>
      </c>
      <c r="I273" s="152" t="s">
        <v>115</v>
      </c>
      <c r="J273" s="152" t="s">
        <v>6</v>
      </c>
      <c r="K273" s="152" t="s">
        <v>2522</v>
      </c>
      <c r="L273" s="152" t="s">
        <v>120</v>
      </c>
      <c r="M273" s="153" t="n">
        <f aca="false">58.81</f>
        <v>58.81</v>
      </c>
      <c r="N273" s="152" t="s">
        <v>1548</v>
      </c>
      <c r="O273" s="152" t="s">
        <v>1549</v>
      </c>
      <c r="P273" s="152" t="s">
        <v>1550</v>
      </c>
      <c r="Q273" s="152" t="s">
        <v>1551</v>
      </c>
      <c r="R273" s="154" t="s">
        <v>2564</v>
      </c>
      <c r="S273" s="154" t="s">
        <v>1593</v>
      </c>
      <c r="T273" s="155" t="s">
        <v>1979</v>
      </c>
      <c r="U273" s="152" t="str">
        <f aca="false">RIGHT(T273,7)</f>
        <v>006/037</v>
      </c>
      <c r="V273" s="152" t="s">
        <v>1555</v>
      </c>
      <c r="W273" s="156" t="n">
        <v>45882</v>
      </c>
      <c r="X273" s="152" t="s">
        <v>1594</v>
      </c>
      <c r="Y273" s="152" t="s">
        <v>2524</v>
      </c>
      <c r="Z273" s="152" t="s">
        <v>1557</v>
      </c>
      <c r="AA273" s="153" t="n">
        <v>2.7</v>
      </c>
      <c r="AB273" s="151" t="s">
        <v>2565</v>
      </c>
      <c r="AC273" s="151" t="s">
        <v>502</v>
      </c>
      <c r="AD273" s="151" t="str">
        <f aca="false">CONCATENATE($C273,$I273,$H273,$N273,$J273,$K273)</f>
        <v>TUBO PEADPEAD110VCAREDESZona03</v>
      </c>
      <c r="AE273" s="153" t="n">
        <f aca="false">IFERROR(INDEX(APOIO_REDES!$A:$W,MATCH($C273&amp;$I273&amp;$H273&amp;$N273&amp;$O273,APOIO_REDES!$W:$W,0),MATCH(AE$5,APOIO_REDES!$5:$5,0)),0)</f>
        <v>1.2</v>
      </c>
      <c r="AF273" s="153" t="n">
        <f aca="false">IFERROR(INDEX(APOIO_REDES!$A:$W,MATCH($C273&amp;$I273&amp;$H273&amp;$N273&amp;$O273,APOIO_REDES!$W:$W,0),MATCH(AF$5,APOIO_REDES!$5:$5,0)),0)</f>
        <v>1.41</v>
      </c>
      <c r="AG273" s="153" t="n">
        <f aca="false">IFERROR(INDEX(APOIO_REDES!$A:$W,MATCH($C273&amp;$I273&amp;$H273&amp;$N273&amp;$O273,APOIO_REDES!$W:$W,0),MATCH(AG$5,APOIO_REDES!$5:$5,0)),0)</f>
        <v>0.75</v>
      </c>
      <c r="AH273" s="153" t="n">
        <f aca="false">IFERROR(INDEX(APOIO_REDES!$A:$W,MATCH($C273&amp;$I273&amp;$H273&amp;$N273&amp;$O273,APOIO_REDES!$W:$W,0),MATCH(AH$5,APOIO_REDES!$5:$5,0)),0)</f>
        <v>0.1</v>
      </c>
      <c r="AI273" s="153" t="n">
        <f aca="false">IFERROR(IF($H273&lt;&gt;"",(((($H273/1000)/2)^2)*PI()*$M273),0),0)</f>
        <v>0.558890118471788</v>
      </c>
      <c r="AJ273" s="153" t="n">
        <f aca="false">IFERROR(IF(AND($H273&lt;&gt;"",$I273="FoFo",OR($N273="MND",$N273="VCA"),$Q273="LINEAR"),0,IF(AND($H273&lt;&gt;"",$I273="PEAD",$N273="VCA",$Q273="LINEAR"),($H273/1000)+0.3,IF(AND($H273&lt;&gt;"",$I273="PEAD",$N273="MND",$Q273="EMBOQUE"),0,IF(AND($H273&lt;&gt;"",$I273="PVC",$N273="VCA",$Q273="LINEAR"),($H273/1000)+0.2,IF(AND($H273&lt;&gt;"",$I273="PVC",$N273="MND",$Q273="EMBOQUE"),0,IF(AND($H273&lt;&gt;"",$I273="PEAD",$N273="VCA",$Q273="PREDIAL"),0,0)))))),0)</f>
        <v>0.41</v>
      </c>
      <c r="AK273" s="153" t="n">
        <f aca="false">IF(AA273&lt;&gt;"",AA273,0)</f>
        <v>2.7</v>
      </c>
      <c r="AL273" s="153" t="n">
        <f aca="false">IF(AND($N273="MND",$Q273="EMBOQUE"),$M273,IF(AND($N273="VCA",$Q273="LINEAR"),$M273,IF(AND($N273="VCA",$Q273="PREDIAL"),0,0)))</f>
        <v>58.81</v>
      </c>
      <c r="AM273" s="153" t="n">
        <f aca="false">IF(AND($N273="MND",$Q273="EMBOQUE"),$M273,IF(AND($N273="VCA",$Q273="LINEAR"),$M273,IF(AND($N273="VCA",$Q273="PREDIAL"),0,0)))</f>
        <v>58.81</v>
      </c>
      <c r="AN273" s="153" t="n">
        <f aca="false">ROUND(IF(AND($N273="VCA",$M273&lt;&gt;"",$Q273="LINEAR"),$M273/100,IF(AND($N273="MND",$M273&gt;100,$Q273="EMBOQUE"),$M273/100,0)),0)</f>
        <v>1</v>
      </c>
      <c r="AO273" s="153" t="n">
        <f aca="false">IF(AND($N273="MND",$Q273="EMBOQUE"),$AN273*2*2,IF(AND($N273="VCA",$Q273="LINEAR"),$M273*2,IF(AND($N273="VCA",$Q273="PREDIAL"),0,0)))</f>
        <v>117.62</v>
      </c>
      <c r="AP273" s="153" t="n">
        <f aca="false">IFERROR($M273*$AF273*$AG273,0)</f>
        <v>62.191575</v>
      </c>
      <c r="AQ273" s="153" t="n">
        <f aca="false">IFERROR(IF(AND($N273="VCA",$AH273&gt;0),$M273*$AG273*$AH273,0),0)</f>
        <v>4.41075</v>
      </c>
      <c r="AR273" s="153" t="n">
        <f aca="false">IFERROR(IF(AND($N273="VCA",$AJ273&gt;0),($M273*$AG273*$AJ273)-$AI273,0),0)</f>
        <v>17.5251848815282</v>
      </c>
      <c r="AS273" s="153" t="n">
        <f aca="false">IFERROR(IF(AND($N273="VCA",$AP273&gt;0),$AP273-$AI273-$AQ273-$AR273,0),0)</f>
        <v>39.69675</v>
      </c>
      <c r="AT273" s="153" t="n">
        <f aca="false">IFERROR(IF($N273="VCA",INDEX(APOIO_REDES!$A:$W,MATCH($C273&amp;$I273&amp;$H273&amp;$N273&amp;$O273,APOIO_REDES!$W:$W,0),MATCH(AT$5,APOIO_REDES!$5:$5,0)),0)*$AP273,0)</f>
        <v>0.676662743766578</v>
      </c>
      <c r="AU273" s="153" t="n">
        <f aca="false">IFERROR(IF($N273="VCA",INDEX(APOIO_REDES!$A:$W,MATCH($C273&amp;$I273&amp;$H273&amp;$N273&amp;$O273,APOIO_REDES!$W:$W,0),MATCH(AU$5,APOIO_REDES!$5:$5,0)),0)*$AP273,0)</f>
        <v>0.540364540820731</v>
      </c>
      <c r="AV273" s="153" t="n">
        <f aca="false">IFERROR(IF($N273="VCA",INDEX(APOIO_REDES!$A:$W,MATCH($C273&amp;$I273&amp;$H273&amp;$N273&amp;$O273,APOIO_REDES!$W:$W,0),MATCH(AV$5,APOIO_REDES!$5:$5,0)),0)*$AP273,0)</f>
        <v>0.074782210421622</v>
      </c>
      <c r="AW273" s="153" t="n">
        <f aca="false">IFERROR(IF($N273="VCA",INDEX(APOIO_REDES!$A:$W,MATCH($C273&amp;$I273&amp;$H273&amp;$N273&amp;$O273,APOIO_REDES!$W:$W,0),MATCH(AW$5,APOIO_REDES!$5:$5,0)),0)*$AP273,0)</f>
        <v>42.6887789638379</v>
      </c>
      <c r="AX273" s="153" t="n">
        <f aca="false">IFERROR(IF($N273="VCA",INDEX(APOIO_REDES!$A:$W,MATCH($C273&amp;$I273&amp;$H273&amp;$N273&amp;$O273,APOIO_REDES!$W:$W,0),MATCH(AX$5,APOIO_REDES!$5:$5,0)),0)*$AP273,0)</f>
        <v>5.9080054073065</v>
      </c>
      <c r="AY273" s="153" t="n">
        <f aca="false">IFERROR(IF($N273="VCA",INDEX(APOIO_REDES!$A:$W,MATCH($C273&amp;$I273&amp;$H273&amp;$N273&amp;$O273,APOIO_REDES!$W:$W,0),MATCH(AY$5,APOIO_REDES!$5:$5,0)),0)*$AP273,0)</f>
        <v>10.8072842294147</v>
      </c>
      <c r="AZ273" s="153" t="n">
        <f aca="false">IFERROR(IF($N273="VCA",INDEX(APOIO_REDES!$A:$W,MATCH($C273&amp;$I273&amp;$H273&amp;$N273&amp;$O273,APOIO_REDES!$W:$W,0),MATCH(AZ$5,APOIO_REDES!$5:$5,0)),0)*$AP273,0)</f>
        <v>1.49569690443203</v>
      </c>
      <c r="BA273" s="153" t="n">
        <f aca="false">IFERROR(IF(AND($N273="VCA",$Q273="LINEAR"),INDEX(APOIO_REDES!$A:$W,MATCH($C273&amp;$I273&amp;$H273&amp;$N273&amp;$O273,APOIO_REDES!$W:$W,0),MATCH(BA$5,APOIO_REDES!$5:$5,0)),IF(AND($N273="MND",$Q273="EMBOQUE"),INDEX(APOIO_REDES!$A:$W,MATCH($C273&amp;$I273&amp;$H273&amp;$N273&amp;$O273,APOIO_REDES!$W:$W,0),MATCH(BA$5,APOIO_REDES!$5:$5,0)),0))*$M273/10,0)</f>
        <v>4.73993765646688</v>
      </c>
      <c r="BB273" s="153" t="n">
        <f aca="false">IFERROR(IF($N273="VCA",INDEX(APOIO_REDES!$A:$W,MATCH($C273&amp;$I273&amp;$H273&amp;$N273&amp;$O273,APOIO_REDES!$W:$W,0),MATCH(BB$5,APOIO_REDES!$5:$5,0)),0)*($AI273+$AQ273+$AR273),0)</f>
        <v>22.2500746458717</v>
      </c>
      <c r="BC273" s="153" t="n">
        <f aca="false">IFERROR(IF($N273="VCA",INDEX(APOIO_REDES!$A:$W,MATCH($C273&amp;$I273&amp;$H273&amp;$N273&amp;$O273,APOIO_REDES!$W:$W,0),MATCH(BC$5,APOIO_REDES!$5:$5,0)),0)*($AI273+$AQ273+$AR273),0)</f>
        <v>0.244750354128337</v>
      </c>
      <c r="BD273" s="153" t="n">
        <f aca="false">IF(AND($N273="VCA",$AF273&gt;=1.25,$AF273&lt;1.5),$M273*$AF273*2,0)</f>
        <v>165.8442</v>
      </c>
      <c r="BE273" s="153" t="n">
        <f aca="false">IF(AND($N273="VCA",$AF273&gt;=1.5,$AF273&lt;3),$M273*$AF273*2,0)</f>
        <v>0</v>
      </c>
      <c r="BF273" s="153" t="n">
        <f aca="false">IF(AND($N273="VCA",$AF273&gt;=3),$M273*$AF273*2,0)</f>
        <v>0</v>
      </c>
      <c r="BG273" s="153" t="n">
        <f aca="false">($BB273+$BC273)*$AK273</f>
        <v>60.7360275</v>
      </c>
      <c r="BH273" s="153" t="n">
        <f aca="false">IF(AND($M273&lt;&gt;"",$N273="VCA",$Q273="LINEAR"),($M273*2)/100,IF(AND($M273&lt;&gt;"",$N273="MND",$Q273="EMBOQUE"),($AN273*2)/100,0))</f>
        <v>1.1762</v>
      </c>
      <c r="BI273" s="153" t="n">
        <f aca="false">IF(AND($M273&lt;&gt;"",$N273="VCA",$Q273="LINEAR"),$M273,IF(AND($M273&lt;&gt;"",$N273="MND",$Q273="EMBOQUE"),$AN273*2,0))</f>
        <v>58.81</v>
      </c>
      <c r="BJ273" s="153" t="n">
        <f aca="false">IF(AND($M273&lt;&gt;"",$N273="VCA",$Q273="LINEAR"),($M273*6.8)/100,IF(AND($M273&lt;&gt;"",$N273="MND",$Q273="EMBOQUE"),($AN273*2*6.8)/100,0))</f>
        <v>3.99908</v>
      </c>
      <c r="BK273" s="153" t="n">
        <f aca="false">IF(AND($M273&lt;&gt;"",$N273="VCA",$Q273="LINEAR"),($M273*2.5)/50,IF(AND($M273&lt;&gt;"",$N273="MND",$Q273="EMBOQUE"),($AN273*2*2.5)/50,0))</f>
        <v>2.9405</v>
      </c>
      <c r="BL273" s="157" t="str">
        <f aca="false">K273&amp;J273</f>
        <v>Zona03REDES</v>
      </c>
      <c r="BM273" s="152" t="s">
        <v>2526</v>
      </c>
      <c r="BN273" s="152" t="s">
        <v>1560</v>
      </c>
      <c r="BO273" s="152" t="s">
        <v>1982</v>
      </c>
      <c r="BP273" s="152" t="s">
        <v>2566</v>
      </c>
      <c r="BQ273" s="152" t="s">
        <v>2527</v>
      </c>
      <c r="BR273" s="152" t="s">
        <v>2567</v>
      </c>
      <c r="BS273" s="152" t="n">
        <v>203712.156</v>
      </c>
      <c r="BT273" s="152" t="n">
        <v>8238052.985</v>
      </c>
      <c r="BU273" s="152" t="n">
        <v>203669.44</v>
      </c>
      <c r="BV273" s="152" t="n">
        <v>8238067.257</v>
      </c>
      <c r="BW273" s="152" t="n">
        <v>-15.9191406</v>
      </c>
      <c r="BX273" s="152" t="n">
        <v>-47.7674525</v>
      </c>
      <c r="BY273" s="152" t="s">
        <v>2566</v>
      </c>
    </row>
    <row r="274" customFormat="false" ht="13.8" hidden="false" customHeight="false" outlineLevel="0" collapsed="false">
      <c r="A274" s="149" t="n">
        <f aca="false">IF(C274&lt;&gt;"",ROW(A269),"")</f>
        <v>269</v>
      </c>
      <c r="B274" s="150" t="str">
        <f aca="false">HYPERLINK("https://www.google.com/maps/dir/-15.917302,-47.760003/-15.9188297,-47.7720148/data=!4m3!4m2!3e0!5i0")</f>
        <v>https://www.google.com/maps/dir/-15.917302,-47.760003/-15.9188297,-47.7720148/data=!4m3!4m2!3e0!5i0</v>
      </c>
      <c r="C274" s="151" t="s">
        <v>117</v>
      </c>
      <c r="D274" s="152" t="s">
        <v>112</v>
      </c>
      <c r="E274" s="152" t="s">
        <v>113</v>
      </c>
      <c r="F274" s="152" t="s">
        <v>117</v>
      </c>
      <c r="G274" s="152" t="s">
        <v>114</v>
      </c>
      <c r="H274" s="152" t="n">
        <v>160</v>
      </c>
      <c r="I274" s="152" t="s">
        <v>115</v>
      </c>
      <c r="J274" s="152" t="s">
        <v>6</v>
      </c>
      <c r="K274" s="152" t="s">
        <v>2522</v>
      </c>
      <c r="L274" s="152" t="s">
        <v>120</v>
      </c>
      <c r="M274" s="153" t="n">
        <f aca="false">78.86</f>
        <v>78.86</v>
      </c>
      <c r="N274" s="152" t="s">
        <v>1548</v>
      </c>
      <c r="O274" s="152" t="s">
        <v>1549</v>
      </c>
      <c r="P274" s="152" t="s">
        <v>1550</v>
      </c>
      <c r="Q274" s="152" t="s">
        <v>1551</v>
      </c>
      <c r="R274" s="154" t="s">
        <v>2568</v>
      </c>
      <c r="S274" s="154" t="s">
        <v>1593</v>
      </c>
      <c r="T274" s="155" t="s">
        <v>1979</v>
      </c>
      <c r="U274" s="152" t="str">
        <f aca="false">RIGHT(T274,7)</f>
        <v>006/037</v>
      </c>
      <c r="V274" s="152" t="s">
        <v>1555</v>
      </c>
      <c r="W274" s="156" t="n">
        <v>45882</v>
      </c>
      <c r="X274" s="152" t="s">
        <v>1594</v>
      </c>
      <c r="Y274" s="152" t="s">
        <v>2553</v>
      </c>
      <c r="Z274" s="152" t="s">
        <v>1557</v>
      </c>
      <c r="AA274" s="153" t="n">
        <v>2.6</v>
      </c>
      <c r="AB274" s="151" t="s">
        <v>2569</v>
      </c>
      <c r="AC274" s="151" t="s">
        <v>505</v>
      </c>
      <c r="AD274" s="151" t="str">
        <f aca="false">CONCATENATE($C274,$I274,$H274,$N274,$J274,$K274)</f>
        <v>TUBO PEADPEAD160VCAREDESZona03</v>
      </c>
      <c r="AE274" s="153" t="n">
        <f aca="false">IFERROR(INDEX(APOIO_REDES!$A:$W,MATCH($C274&amp;$I274&amp;$H274&amp;$N274&amp;$O274,APOIO_REDES!$W:$W,0),MATCH(AE$5,APOIO_REDES!$5:$5,0)),0)</f>
        <v>1.2</v>
      </c>
      <c r="AF274" s="153" t="n">
        <f aca="false">IFERROR(INDEX(APOIO_REDES!$A:$W,MATCH($C274&amp;$I274&amp;$H274&amp;$N274&amp;$O274,APOIO_REDES!$W:$W,0),MATCH(AF$5,APOIO_REDES!$5:$5,0)),0)</f>
        <v>1.46</v>
      </c>
      <c r="AG274" s="153" t="n">
        <f aca="false">IFERROR(INDEX(APOIO_REDES!$A:$W,MATCH($C274&amp;$I274&amp;$H274&amp;$N274&amp;$O274,APOIO_REDES!$W:$W,0),MATCH(AG$5,APOIO_REDES!$5:$5,0)),0)</f>
        <v>0.75</v>
      </c>
      <c r="AH274" s="153" t="n">
        <f aca="false">IFERROR(INDEX(APOIO_REDES!$A:$W,MATCH($C274&amp;$I274&amp;$H274&amp;$N274&amp;$O274,APOIO_REDES!$W:$W,0),MATCH(AH$5,APOIO_REDES!$5:$5,0)),0)</f>
        <v>0.1</v>
      </c>
      <c r="AI274" s="153" t="n">
        <f aca="false">IFERROR(IF($H274&lt;&gt;"",(((($H274/1000)/2)^2)*PI()*$M274),0),0)</f>
        <v>1.58557437863738</v>
      </c>
      <c r="AJ274" s="153" t="n">
        <f aca="false">IFERROR(IF(AND($H274&lt;&gt;"",$I274="FoFo",OR($N274="MND",$N274="VCA"),$Q274="LINEAR"),0,IF(AND($H274&lt;&gt;"",$I274="PEAD",$N274="VCA",$Q274="LINEAR"),($H274/1000)+0.3,IF(AND($H274&lt;&gt;"",$I274="PEAD",$N274="MND",$Q274="EMBOQUE"),0,IF(AND($H274&lt;&gt;"",$I274="PVC",$N274="VCA",$Q274="LINEAR"),($H274/1000)+0.2,IF(AND($H274&lt;&gt;"",$I274="PVC",$N274="MND",$Q274="EMBOQUE"),0,IF(AND($H274&lt;&gt;"",$I274="PEAD",$N274="VCA",$Q274="PREDIAL"),0,0)))))),0)</f>
        <v>0.46</v>
      </c>
      <c r="AK274" s="153" t="n">
        <f aca="false">IF(AA274&lt;&gt;"",AA274,0)</f>
        <v>2.6</v>
      </c>
      <c r="AL274" s="153" t="n">
        <f aca="false">IF(AND($N274="MND",$Q274="EMBOQUE"),$M274,IF(AND($N274="VCA",$Q274="LINEAR"),$M274,IF(AND($N274="VCA",$Q274="PREDIAL"),0,0)))</f>
        <v>78.86</v>
      </c>
      <c r="AM274" s="153" t="n">
        <f aca="false">IF(AND($N274="MND",$Q274="EMBOQUE"),$M274,IF(AND($N274="VCA",$Q274="LINEAR"),$M274,IF(AND($N274="VCA",$Q274="PREDIAL"),0,0)))</f>
        <v>78.86</v>
      </c>
      <c r="AN274" s="153" t="n">
        <f aca="false">ROUND(IF(AND($N274="VCA",$M274&lt;&gt;"",$Q274="LINEAR"),$M274/100,IF(AND($N274="MND",$M274&gt;100,$Q274="EMBOQUE"),$M274/100,0)),0)</f>
        <v>1</v>
      </c>
      <c r="AO274" s="153" t="n">
        <f aca="false">IF(AND($N274="MND",$Q274="EMBOQUE"),$AN274*2*2,IF(AND($N274="VCA",$Q274="LINEAR"),$M274*2,IF(AND($N274="VCA",$Q274="PREDIAL"),0,0)))</f>
        <v>157.72</v>
      </c>
      <c r="AP274" s="153" t="n">
        <f aca="false">IFERROR($M274*$AF274*$AG274,0)</f>
        <v>86.3517</v>
      </c>
      <c r="AQ274" s="153" t="n">
        <f aca="false">IFERROR(IF(AND($N274="VCA",$AH274&gt;0),$M274*$AG274*$AH274,0),0)</f>
        <v>5.9145</v>
      </c>
      <c r="AR274" s="153" t="n">
        <f aca="false">IFERROR(IF(AND($N274="VCA",$AJ274&gt;0),($M274*$AG274*$AJ274)-$AI274,0),0)</f>
        <v>25.6211256213626</v>
      </c>
      <c r="AS274" s="153" t="n">
        <f aca="false">IFERROR(IF(AND($N274="VCA",$AP274&gt;0),$AP274-$AI274-$AQ274-$AR274,0),0)</f>
        <v>53.2305</v>
      </c>
      <c r="AT274" s="153" t="n">
        <f aca="false">IFERROR(IF($N274="VCA",INDEX(APOIO_REDES!$A:$W,MATCH($C274&amp;$I274&amp;$H274&amp;$N274&amp;$O274,APOIO_REDES!$W:$W,0),MATCH(AT$5,APOIO_REDES!$5:$5,0)),0)*$AP274,0)</f>
        <v>0.939532054798554</v>
      </c>
      <c r="AU274" s="153" t="n">
        <f aca="false">IFERROR(IF($N274="VCA",INDEX(APOIO_REDES!$A:$W,MATCH($C274&amp;$I274&amp;$H274&amp;$N274&amp;$O274,APOIO_REDES!$W:$W,0),MATCH(AU$5,APOIO_REDES!$5:$5,0)),0)*$AP274,0)</f>
        <v>0.750284853207038</v>
      </c>
      <c r="AV274" s="153" t="n">
        <f aca="false">IFERROR(IF($N274="VCA",INDEX(APOIO_REDES!$A:$W,MATCH($C274&amp;$I274&amp;$H274&amp;$N274&amp;$O274,APOIO_REDES!$W:$W,0),MATCH(AV$5,APOIO_REDES!$5:$5,0)),0)*$AP274,0)</f>
        <v>0.103833533716822</v>
      </c>
      <c r="AW274" s="153" t="n">
        <f aca="false">IFERROR(IF($N274="VCA",INDEX(APOIO_REDES!$A:$W,MATCH($C274&amp;$I274&amp;$H274&amp;$N274&amp;$O274,APOIO_REDES!$W:$W,0),MATCH(AW$5,APOIO_REDES!$5:$5,0)),0)*$AP274,0)</f>
        <v>59.2724759656214</v>
      </c>
      <c r="AX274" s="153" t="n">
        <f aca="false">IFERROR(IF($N274="VCA",INDEX(APOIO_REDES!$A:$W,MATCH($C274&amp;$I274&amp;$H274&amp;$N274&amp;$O274,APOIO_REDES!$W:$W,0),MATCH(AX$5,APOIO_REDES!$5:$5,0)),0)*$AP274,0)</f>
        <v>8.20314183279823</v>
      </c>
      <c r="AY274" s="153" t="n">
        <f aca="false">IFERROR(IF($N274="VCA",INDEX(APOIO_REDES!$A:$W,MATCH($C274&amp;$I274&amp;$H274&amp;$N274&amp;$O274,APOIO_REDES!$W:$W,0),MATCH(AY$5,APOIO_REDES!$5:$5,0)),0)*$AP274,0)</f>
        <v>15.0056879182292</v>
      </c>
      <c r="AZ274" s="153" t="n">
        <f aca="false">IFERROR(IF($N274="VCA",INDEX(APOIO_REDES!$A:$W,MATCH($C274&amp;$I274&amp;$H274&amp;$N274&amp;$O274,APOIO_REDES!$W:$W,0),MATCH(AZ$5,APOIO_REDES!$5:$5,0)),0)*$AP274,0)</f>
        <v>2.07674384162876</v>
      </c>
      <c r="BA274" s="153" t="n">
        <f aca="false">IFERROR(IF(AND($N274="VCA",$Q274="LINEAR"),INDEX(APOIO_REDES!$A:$W,MATCH($C274&amp;$I274&amp;$H274&amp;$N274&amp;$O274,APOIO_REDES!$W:$W,0),MATCH(BA$5,APOIO_REDES!$5:$5,0)),IF(AND($N274="MND",$Q274="EMBOQUE"),INDEX(APOIO_REDES!$A:$W,MATCH($C274&amp;$I274&amp;$H274&amp;$N274&amp;$O274,APOIO_REDES!$W:$W,0),MATCH(BA$5,APOIO_REDES!$5:$5,0)),0))*$M274/10,0)</f>
        <v>6.35591708194147</v>
      </c>
      <c r="BB274" s="153" t="n">
        <f aca="false">IFERROR(IF($N274="VCA",INDEX(APOIO_REDES!$A:$W,MATCH($C274&amp;$I274&amp;$H274&amp;$N274&amp;$O274,APOIO_REDES!$W:$W,0),MATCH(BB$5,APOIO_REDES!$5:$5,0)),0)*($AI274+$AQ274+$AR274),0)</f>
        <v>32.7608315406252</v>
      </c>
      <c r="BC274" s="153" t="n">
        <f aca="false">IFERROR(IF($N274="VCA",INDEX(APOIO_REDES!$A:$W,MATCH($C274&amp;$I274&amp;$H274&amp;$N274&amp;$O274,APOIO_REDES!$W:$W,0),MATCH(BC$5,APOIO_REDES!$5:$5,0)),0)*($AI274+$AQ274+$AR274),0)</f>
        <v>0.360368459374788</v>
      </c>
      <c r="BD274" s="153" t="n">
        <f aca="false">IF(AND($N274="VCA",$AF274&gt;=1.25,$AF274&lt;1.5),$M274*$AF274*2,0)</f>
        <v>230.2712</v>
      </c>
      <c r="BE274" s="153" t="n">
        <f aca="false">IF(AND($N274="VCA",$AF274&gt;=1.5,$AF274&lt;3),$M274*$AF274*2,0)</f>
        <v>0</v>
      </c>
      <c r="BF274" s="153" t="n">
        <f aca="false">IF(AND($N274="VCA",$AF274&gt;=3),$M274*$AF274*2,0)</f>
        <v>0</v>
      </c>
      <c r="BG274" s="153" t="n">
        <f aca="false">($BB274+$BC274)*$AK274</f>
        <v>86.11512</v>
      </c>
      <c r="BH274" s="153" t="n">
        <f aca="false">IF(AND($M274&lt;&gt;"",$N274="VCA",$Q274="LINEAR"),($M274*2)/100,IF(AND($M274&lt;&gt;"",$N274="MND",$Q274="EMBOQUE"),($AN274*2)/100,0))</f>
        <v>1.5772</v>
      </c>
      <c r="BI274" s="153" t="n">
        <f aca="false">IF(AND($M274&lt;&gt;"",$N274="VCA",$Q274="LINEAR"),$M274,IF(AND($M274&lt;&gt;"",$N274="MND",$Q274="EMBOQUE"),$AN274*2,0))</f>
        <v>78.86</v>
      </c>
      <c r="BJ274" s="153" t="n">
        <f aca="false">IF(AND($M274&lt;&gt;"",$N274="VCA",$Q274="LINEAR"),($M274*6.8)/100,IF(AND($M274&lt;&gt;"",$N274="MND",$Q274="EMBOQUE"),($AN274*2*6.8)/100,0))</f>
        <v>5.36248</v>
      </c>
      <c r="BK274" s="153" t="n">
        <f aca="false">IF(AND($M274&lt;&gt;"",$N274="VCA",$Q274="LINEAR"),($M274*2.5)/50,IF(AND($M274&lt;&gt;"",$N274="MND",$Q274="EMBOQUE"),($AN274*2*2.5)/50,0))</f>
        <v>3.943</v>
      </c>
      <c r="BL274" s="157" t="str">
        <f aca="false">K274&amp;J274</f>
        <v>Zona03REDES</v>
      </c>
      <c r="BM274" s="152" t="s">
        <v>2526</v>
      </c>
      <c r="BN274" s="152" t="s">
        <v>1560</v>
      </c>
      <c r="BO274" s="152" t="s">
        <v>1982</v>
      </c>
      <c r="BP274" s="152" t="s">
        <v>2550</v>
      </c>
      <c r="BQ274" s="152" t="s">
        <v>2570</v>
      </c>
      <c r="BR274" s="152" t="s">
        <v>2571</v>
      </c>
      <c r="BS274" s="152" t="n">
        <v>203199.297</v>
      </c>
      <c r="BT274" s="152" t="n">
        <v>8238072.869</v>
      </c>
      <c r="BU274" s="152" t="n">
        <v>203152.791</v>
      </c>
      <c r="BV274" s="152" t="n">
        <v>8238009.184</v>
      </c>
      <c r="BW274" s="152" t="n">
        <v>-15.9191137</v>
      </c>
      <c r="BX274" s="152" t="n">
        <v>-47.7722367</v>
      </c>
      <c r="BY274" s="152" t="s">
        <v>2550</v>
      </c>
    </row>
    <row r="275" customFormat="false" ht="13.8" hidden="false" customHeight="false" outlineLevel="0" collapsed="false">
      <c r="A275" s="149" t="n">
        <f aca="false">IF(C275&lt;&gt;"",ROW(A270),"")</f>
        <v>270</v>
      </c>
      <c r="B275" s="150" t="str">
        <f aca="false">HYPERLINK("https://www.google.com/maps/dir/-15.917302,-47.760003/-15.9189784,-47.7681429/data=!4m3!4m2!3e0!5i0")</f>
        <v>https://www.google.com/maps/dir/-15.917302,-47.760003/-15.9189784,-47.7681429/data=!4m3!4m2!3e0!5i0</v>
      </c>
      <c r="C275" s="151" t="s">
        <v>117</v>
      </c>
      <c r="D275" s="152" t="s">
        <v>112</v>
      </c>
      <c r="E275" s="152" t="s">
        <v>113</v>
      </c>
      <c r="F275" s="152" t="s">
        <v>117</v>
      </c>
      <c r="G275" s="152" t="s">
        <v>782</v>
      </c>
      <c r="H275" s="152" t="n">
        <v>110</v>
      </c>
      <c r="I275" s="152" t="s">
        <v>115</v>
      </c>
      <c r="J275" s="152" t="s">
        <v>6</v>
      </c>
      <c r="K275" s="152" t="s">
        <v>2522</v>
      </c>
      <c r="L275" s="152" t="s">
        <v>120</v>
      </c>
      <c r="M275" s="153" t="n">
        <f aca="false">44.1</f>
        <v>44.1</v>
      </c>
      <c r="N275" s="152" t="s">
        <v>1548</v>
      </c>
      <c r="O275" s="152" t="s">
        <v>1549</v>
      </c>
      <c r="P275" s="152" t="s">
        <v>1550</v>
      </c>
      <c r="Q275" s="152" t="s">
        <v>1551</v>
      </c>
      <c r="R275" s="154" t="s">
        <v>2572</v>
      </c>
      <c r="S275" s="154" t="s">
        <v>1593</v>
      </c>
      <c r="T275" s="155" t="s">
        <v>1979</v>
      </c>
      <c r="U275" s="152" t="str">
        <f aca="false">RIGHT(T275,7)</f>
        <v>006/037</v>
      </c>
      <c r="V275" s="152" t="s">
        <v>1555</v>
      </c>
      <c r="W275" s="156" t="n">
        <v>45882</v>
      </c>
      <c r="X275" s="152" t="s">
        <v>1594</v>
      </c>
      <c r="Y275" s="152" t="s">
        <v>2531</v>
      </c>
      <c r="Z275" s="152" t="s">
        <v>1557</v>
      </c>
      <c r="AA275" s="153" t="n">
        <v>2.5</v>
      </c>
      <c r="AB275" s="151" t="s">
        <v>2573</v>
      </c>
      <c r="AC275" s="151" t="s">
        <v>502</v>
      </c>
      <c r="AD275" s="151" t="str">
        <f aca="false">CONCATENATE($C275,$I275,$H275,$N275,$J275,$K275)</f>
        <v>TUBO PEADPEAD110VCAREDESZona03</v>
      </c>
      <c r="AE275" s="153" t="n">
        <f aca="false">IFERROR(INDEX(APOIO_REDES!$A:$W,MATCH($C275&amp;$I275&amp;$H275&amp;$N275&amp;$O275,APOIO_REDES!$W:$W,0),MATCH(AE$5,APOIO_REDES!$5:$5,0)),0)</f>
        <v>1.2</v>
      </c>
      <c r="AF275" s="153" t="n">
        <f aca="false">IFERROR(INDEX(APOIO_REDES!$A:$W,MATCH($C275&amp;$I275&amp;$H275&amp;$N275&amp;$O275,APOIO_REDES!$W:$W,0),MATCH(AF$5,APOIO_REDES!$5:$5,0)),0)</f>
        <v>1.41</v>
      </c>
      <c r="AG275" s="153" t="n">
        <f aca="false">IFERROR(INDEX(APOIO_REDES!$A:$W,MATCH($C275&amp;$I275&amp;$H275&amp;$N275&amp;$O275,APOIO_REDES!$W:$W,0),MATCH(AG$5,APOIO_REDES!$5:$5,0)),0)</f>
        <v>0.75</v>
      </c>
      <c r="AH275" s="153" t="n">
        <f aca="false">IFERROR(INDEX(APOIO_REDES!$A:$W,MATCH($C275&amp;$I275&amp;$H275&amp;$N275&amp;$O275,APOIO_REDES!$W:$W,0),MATCH(AH$5,APOIO_REDES!$5:$5,0)),0)</f>
        <v>0.1</v>
      </c>
      <c r="AI275" s="153" t="n">
        <f aca="false">IFERROR(IF($H275&lt;&gt;"",(((($H275/1000)/2)^2)*PI()*$M275),0),0)</f>
        <v>0.419096313970512</v>
      </c>
      <c r="AJ275" s="153" t="n">
        <f aca="false">IFERROR(IF(AND($H275&lt;&gt;"",$I275="FoFo",OR($N275="MND",$N275="VCA"),$Q275="LINEAR"),0,IF(AND($H275&lt;&gt;"",$I275="PEAD",$N275="VCA",$Q275="LINEAR"),($H275/1000)+0.3,IF(AND($H275&lt;&gt;"",$I275="PEAD",$N275="MND",$Q275="EMBOQUE"),0,IF(AND($H275&lt;&gt;"",$I275="PVC",$N275="VCA",$Q275="LINEAR"),($H275/1000)+0.2,IF(AND($H275&lt;&gt;"",$I275="PVC",$N275="MND",$Q275="EMBOQUE"),0,IF(AND($H275&lt;&gt;"",$I275="PEAD",$N275="VCA",$Q275="PREDIAL"),0,0)))))),0)</f>
        <v>0.41</v>
      </c>
      <c r="AK275" s="153" t="n">
        <f aca="false">IF(AA275&lt;&gt;"",AA275,0)</f>
        <v>2.5</v>
      </c>
      <c r="AL275" s="153" t="n">
        <f aca="false">IF(AND($N275="MND",$Q275="EMBOQUE"),$M275,IF(AND($N275="VCA",$Q275="LINEAR"),$M275,IF(AND($N275="VCA",$Q275="PREDIAL"),0,0)))</f>
        <v>44.1</v>
      </c>
      <c r="AM275" s="153" t="n">
        <f aca="false">IF(AND($N275="MND",$Q275="EMBOQUE"),$M275,IF(AND($N275="VCA",$Q275="LINEAR"),$M275,IF(AND($N275="VCA",$Q275="PREDIAL"),0,0)))</f>
        <v>44.1</v>
      </c>
      <c r="AN275" s="153" t="n">
        <f aca="false">ROUND(IF(AND($N275="VCA",$M275&lt;&gt;"",$Q275="LINEAR"),$M275/100,IF(AND($N275="MND",$M275&gt;100,$Q275="EMBOQUE"),$M275/100,0)),0)</f>
        <v>0</v>
      </c>
      <c r="AO275" s="153" t="n">
        <f aca="false">IF(AND($N275="MND",$Q275="EMBOQUE"),$AN275*2*2,IF(AND($N275="VCA",$Q275="LINEAR"),$M275*2,IF(AND($N275="VCA",$Q275="PREDIAL"),0,0)))</f>
        <v>88.2</v>
      </c>
      <c r="AP275" s="153" t="n">
        <f aca="false">IFERROR($M275*$AF275*$AG275,0)</f>
        <v>46.63575</v>
      </c>
      <c r="AQ275" s="153" t="n">
        <f aca="false">IFERROR(IF(AND($N275="VCA",$AH275&gt;0),$M275*$AG275*$AH275,0),0)</f>
        <v>3.3075</v>
      </c>
      <c r="AR275" s="153" t="n">
        <f aca="false">IFERROR(IF(AND($N275="VCA",$AJ275&gt;0),($M275*$AG275*$AJ275)-$AI275,0),0)</f>
        <v>13.1416536860295</v>
      </c>
      <c r="AS275" s="153" t="n">
        <f aca="false">IFERROR(IF(AND($N275="VCA",$AP275&gt;0),$AP275-$AI275-$AQ275-$AR275,0),0)</f>
        <v>29.7675</v>
      </c>
      <c r="AT275" s="153" t="n">
        <f aca="false">IFERROR(IF($N275="VCA",INDEX(APOIO_REDES!$A:$W,MATCH($C275&amp;$I275&amp;$H275&amp;$N275&amp;$O275,APOIO_REDES!$W:$W,0),MATCH(AT$5,APOIO_REDES!$5:$5,0)),0)*$AP275,0)</f>
        <v>0.507410763477403</v>
      </c>
      <c r="AU275" s="153" t="n">
        <f aca="false">IFERROR(IF($N275="VCA",INDEX(APOIO_REDES!$A:$W,MATCH($C275&amp;$I275&amp;$H275&amp;$N275&amp;$O275,APOIO_REDES!$W:$W,0),MATCH(AU$5,APOIO_REDES!$5:$5,0)),0)*$AP275,0)</f>
        <v>0.405204493286758</v>
      </c>
      <c r="AV275" s="153" t="n">
        <f aca="false">IFERROR(IF($N275="VCA",INDEX(APOIO_REDES!$A:$W,MATCH($C275&amp;$I275&amp;$H275&amp;$N275&amp;$O275,APOIO_REDES!$W:$W,0),MATCH(AV$5,APOIO_REDES!$5:$5,0)),0)*$AP275,0)</f>
        <v>0.0560771208908949</v>
      </c>
      <c r="AW275" s="153" t="n">
        <f aca="false">IFERROR(IF($N275="VCA",INDEX(APOIO_REDES!$A:$W,MATCH($C275&amp;$I275&amp;$H275&amp;$N275&amp;$O275,APOIO_REDES!$W:$W,0),MATCH(AW$5,APOIO_REDES!$5:$5,0)),0)*$AP275,0)</f>
        <v>32.0111401514241</v>
      </c>
      <c r="AX275" s="153" t="n">
        <f aca="false">IFERROR(IF($N275="VCA",INDEX(APOIO_REDES!$A:$W,MATCH($C275&amp;$I275&amp;$H275&amp;$N275&amp;$O275,APOIO_REDES!$W:$W,0),MATCH(AX$5,APOIO_REDES!$5:$5,0)),0)*$AP275,0)</f>
        <v>4.43025061149833</v>
      </c>
      <c r="AY275" s="153" t="n">
        <f aca="false">IFERROR(IF($N275="VCA",INDEX(APOIO_REDES!$A:$W,MATCH($C275&amp;$I275&amp;$H275&amp;$N275&amp;$O275,APOIO_REDES!$W:$W,0),MATCH(AY$5,APOIO_REDES!$5:$5,0)),0)*$AP275,0)</f>
        <v>8.10408492632523</v>
      </c>
      <c r="AZ275" s="153" t="n">
        <f aca="false">IFERROR(IF($N275="VCA",INDEX(APOIO_REDES!$A:$W,MATCH($C275&amp;$I275&amp;$H275&amp;$N275&amp;$O275,APOIO_REDES!$W:$W,0),MATCH(AZ$5,APOIO_REDES!$5:$5,0)),0)*$AP275,0)</f>
        <v>1.12158193309731</v>
      </c>
      <c r="BA275" s="153" t="n">
        <f aca="false">IFERROR(IF(AND($N275="VCA",$Q275="LINEAR"),INDEX(APOIO_REDES!$A:$W,MATCH($C275&amp;$I275&amp;$H275&amp;$N275&amp;$O275,APOIO_REDES!$W:$W,0),MATCH(BA$5,APOIO_REDES!$5:$5,0)),IF(AND($N275="MND",$Q275="EMBOQUE"),INDEX(APOIO_REDES!$A:$W,MATCH($C275&amp;$I275&amp;$H275&amp;$N275&amp;$O275,APOIO_REDES!$W:$W,0),MATCH(BA$5,APOIO_REDES!$5:$5,0)),0))*$M275/10,0)</f>
        <v>3.55434876126831</v>
      </c>
      <c r="BB275" s="153" t="n">
        <f aca="false">IFERROR(IF($N275="VCA",INDEX(APOIO_REDES!$A:$W,MATCH($C275&amp;$I275&amp;$H275&amp;$N275&amp;$O275,APOIO_REDES!$W:$W,0),MATCH(BB$5,APOIO_REDES!$5:$5,0)),0)*($AI275+$AQ275+$AR275),0)</f>
        <v>16.6847184472529</v>
      </c>
      <c r="BC275" s="153" t="n">
        <f aca="false">IFERROR(IF($N275="VCA",INDEX(APOIO_REDES!$A:$W,MATCH($C275&amp;$I275&amp;$H275&amp;$N275&amp;$O275,APOIO_REDES!$W:$W,0),MATCH(BC$5,APOIO_REDES!$5:$5,0)),0)*($AI275+$AQ275+$AR275),0)</f>
        <v>0.183531552747146</v>
      </c>
      <c r="BD275" s="153" t="n">
        <f aca="false">IF(AND($N275="VCA",$AF275&gt;=1.25,$AF275&lt;1.5),$M275*$AF275*2,0)</f>
        <v>124.362</v>
      </c>
      <c r="BE275" s="153" t="n">
        <f aca="false">IF(AND($N275="VCA",$AF275&gt;=1.5,$AF275&lt;3),$M275*$AF275*2,0)</f>
        <v>0</v>
      </c>
      <c r="BF275" s="153" t="n">
        <f aca="false">IF(AND($N275="VCA",$AF275&gt;=3),$M275*$AF275*2,0)</f>
        <v>0</v>
      </c>
      <c r="BG275" s="153" t="n">
        <f aca="false">($BB275+$BC275)*$AK275</f>
        <v>42.170625</v>
      </c>
      <c r="BH275" s="153" t="n">
        <f aca="false">IF(AND($M275&lt;&gt;"",$N275="VCA",$Q275="LINEAR"),($M275*2)/100,IF(AND($M275&lt;&gt;"",$N275="MND",$Q275="EMBOQUE"),($AN275*2)/100,0))</f>
        <v>0.882</v>
      </c>
      <c r="BI275" s="153" t="n">
        <f aca="false">IF(AND($M275&lt;&gt;"",$N275="VCA",$Q275="LINEAR"),$M275,IF(AND($M275&lt;&gt;"",$N275="MND",$Q275="EMBOQUE"),$AN275*2,0))</f>
        <v>44.1</v>
      </c>
      <c r="BJ275" s="153" t="n">
        <f aca="false">IF(AND($M275&lt;&gt;"",$N275="VCA",$Q275="LINEAR"),($M275*6.8)/100,IF(AND($M275&lt;&gt;"",$N275="MND",$Q275="EMBOQUE"),($AN275*2*6.8)/100,0))</f>
        <v>2.9988</v>
      </c>
      <c r="BK275" s="153" t="n">
        <f aca="false">IF(AND($M275&lt;&gt;"",$N275="VCA",$Q275="LINEAR"),($M275*2.5)/50,IF(AND($M275&lt;&gt;"",$N275="MND",$Q275="EMBOQUE"),($AN275*2*2.5)/50,0))</f>
        <v>2.205</v>
      </c>
      <c r="BL275" s="157" t="str">
        <f aca="false">K275&amp;J275</f>
        <v>Zona03REDES</v>
      </c>
      <c r="BM275" s="152" t="s">
        <v>2526</v>
      </c>
      <c r="BN275" s="152" t="s">
        <v>1560</v>
      </c>
      <c r="BO275" s="152" t="s">
        <v>1982</v>
      </c>
      <c r="BP275" s="152" t="s">
        <v>2546</v>
      </c>
      <c r="BQ275" s="152" t="s">
        <v>2574</v>
      </c>
      <c r="BR275" s="152" t="s">
        <v>2575</v>
      </c>
      <c r="BS275" s="152" t="n">
        <v>203614.628</v>
      </c>
      <c r="BT275" s="152" t="n">
        <v>8238061.929</v>
      </c>
      <c r="BU275" s="152" t="n">
        <v>203620.088</v>
      </c>
      <c r="BV275" s="152" t="n">
        <v>8238018.171</v>
      </c>
      <c r="BW275" s="152" t="n">
        <v>-15.9191761</v>
      </c>
      <c r="BX275" s="152" t="n">
        <v>-47.7681176</v>
      </c>
      <c r="BY275" s="152" t="s">
        <v>2546</v>
      </c>
    </row>
    <row r="276" customFormat="false" ht="13.8" hidden="false" customHeight="false" outlineLevel="0" collapsed="false">
      <c r="A276" s="149" t="n">
        <f aca="false">IF(C276&lt;&gt;"",ROW(A271),"")</f>
        <v>271</v>
      </c>
      <c r="B276" s="150" t="str">
        <f aca="false">HYPERLINK("https://www.google.com/maps/dir/-15.917302,-47.760003/-15.9196830,-47.7708005/data=!4m3!4m2!3e0!5i2")</f>
        <v>https://www.google.com/maps/dir/-15.917302,-47.760003/-15.9196830,-47.7708005/data=!4m3!4m2!3e0!5i2</v>
      </c>
      <c r="C276" s="151" t="s">
        <v>117</v>
      </c>
      <c r="D276" s="152" t="s">
        <v>112</v>
      </c>
      <c r="E276" s="152" t="s">
        <v>113</v>
      </c>
      <c r="F276" s="152" t="s">
        <v>117</v>
      </c>
      <c r="G276" s="152" t="s">
        <v>782</v>
      </c>
      <c r="H276" s="152" t="n">
        <v>110</v>
      </c>
      <c r="I276" s="152" t="s">
        <v>115</v>
      </c>
      <c r="J276" s="152" t="s">
        <v>6</v>
      </c>
      <c r="K276" s="152" t="s">
        <v>2522</v>
      </c>
      <c r="L276" s="152" t="s">
        <v>120</v>
      </c>
      <c r="M276" s="153" t="n">
        <f aca="false">50.91</f>
        <v>50.91</v>
      </c>
      <c r="N276" s="152" t="s">
        <v>1548</v>
      </c>
      <c r="O276" s="152" t="s">
        <v>1549</v>
      </c>
      <c r="P276" s="152" t="s">
        <v>1550</v>
      </c>
      <c r="Q276" s="152" t="s">
        <v>1551</v>
      </c>
      <c r="R276" s="154" t="s">
        <v>2576</v>
      </c>
      <c r="S276" s="154" t="s">
        <v>1593</v>
      </c>
      <c r="T276" s="155" t="s">
        <v>1979</v>
      </c>
      <c r="U276" s="152" t="str">
        <f aca="false">RIGHT(T276,7)</f>
        <v>006/037</v>
      </c>
      <c r="V276" s="152" t="s">
        <v>1555</v>
      </c>
      <c r="W276" s="156" t="n">
        <v>45882</v>
      </c>
      <c r="X276" s="152" t="s">
        <v>1594</v>
      </c>
      <c r="Y276" s="152" t="s">
        <v>2553</v>
      </c>
      <c r="Z276" s="152" t="s">
        <v>1557</v>
      </c>
      <c r="AA276" s="153" t="n">
        <v>3.6</v>
      </c>
      <c r="AB276" s="151" t="s">
        <v>2577</v>
      </c>
      <c r="AC276" s="151" t="s">
        <v>502</v>
      </c>
      <c r="AD276" s="151" t="str">
        <f aca="false">CONCATENATE($C276,$I276,$H276,$N276,$J276,$K276)</f>
        <v>TUBO PEADPEAD110VCAREDESZona03</v>
      </c>
      <c r="AE276" s="153" t="n">
        <f aca="false">IFERROR(INDEX(APOIO_REDES!$A:$W,MATCH($C276&amp;$I276&amp;$H276&amp;$N276&amp;$O276,APOIO_REDES!$W:$W,0),MATCH(AE$5,APOIO_REDES!$5:$5,0)),0)</f>
        <v>1.2</v>
      </c>
      <c r="AF276" s="153" t="n">
        <f aca="false">IFERROR(INDEX(APOIO_REDES!$A:$W,MATCH($C276&amp;$I276&amp;$H276&amp;$N276&amp;$O276,APOIO_REDES!$W:$W,0),MATCH(AF$5,APOIO_REDES!$5:$5,0)),0)</f>
        <v>1.41</v>
      </c>
      <c r="AG276" s="153" t="n">
        <f aca="false">IFERROR(INDEX(APOIO_REDES!$A:$W,MATCH($C276&amp;$I276&amp;$H276&amp;$N276&amp;$O276,APOIO_REDES!$W:$W,0),MATCH(AG$5,APOIO_REDES!$5:$5,0)),0)</f>
        <v>0.75</v>
      </c>
      <c r="AH276" s="153" t="n">
        <f aca="false">IFERROR(INDEX(APOIO_REDES!$A:$W,MATCH($C276&amp;$I276&amp;$H276&amp;$N276&amp;$O276,APOIO_REDES!$W:$W,0),MATCH(AH$5,APOIO_REDES!$5:$5,0)),0)</f>
        <v>0.1</v>
      </c>
      <c r="AI276" s="153" t="n">
        <f aca="false">IFERROR(IF($H276&lt;&gt;"",(((($H276/1000)/2)^2)*PI()*$M276),0),0)</f>
        <v>0.483813908032626</v>
      </c>
      <c r="AJ276" s="153" t="n">
        <f aca="false">IFERROR(IF(AND($H276&lt;&gt;"",$I276="FoFo",OR($N276="MND",$N276="VCA"),$Q276="LINEAR"),0,IF(AND($H276&lt;&gt;"",$I276="PEAD",$N276="VCA",$Q276="LINEAR"),($H276/1000)+0.3,IF(AND($H276&lt;&gt;"",$I276="PEAD",$N276="MND",$Q276="EMBOQUE"),0,IF(AND($H276&lt;&gt;"",$I276="PVC",$N276="VCA",$Q276="LINEAR"),($H276/1000)+0.2,IF(AND($H276&lt;&gt;"",$I276="PVC",$N276="MND",$Q276="EMBOQUE"),0,IF(AND($H276&lt;&gt;"",$I276="PEAD",$N276="VCA",$Q276="PREDIAL"),0,0)))))),0)</f>
        <v>0.41</v>
      </c>
      <c r="AK276" s="153" t="n">
        <f aca="false">IF(AA276&lt;&gt;"",AA276,0)</f>
        <v>3.6</v>
      </c>
      <c r="AL276" s="153" t="n">
        <f aca="false">IF(AND($N276="MND",$Q276="EMBOQUE"),$M276,IF(AND($N276="VCA",$Q276="LINEAR"),$M276,IF(AND($N276="VCA",$Q276="PREDIAL"),0,0)))</f>
        <v>50.91</v>
      </c>
      <c r="AM276" s="153" t="n">
        <f aca="false">IF(AND($N276="MND",$Q276="EMBOQUE"),$M276,IF(AND($N276="VCA",$Q276="LINEAR"),$M276,IF(AND($N276="VCA",$Q276="PREDIAL"),0,0)))</f>
        <v>50.91</v>
      </c>
      <c r="AN276" s="153" t="n">
        <f aca="false">ROUND(IF(AND($N276="VCA",$M276&lt;&gt;"",$Q276="LINEAR"),$M276/100,IF(AND($N276="MND",$M276&gt;100,$Q276="EMBOQUE"),$M276/100,0)),0)</f>
        <v>1</v>
      </c>
      <c r="AO276" s="153" t="n">
        <f aca="false">IF(AND($N276="MND",$Q276="EMBOQUE"),$AN276*2*2,IF(AND($N276="VCA",$Q276="LINEAR"),$M276*2,IF(AND($N276="VCA",$Q276="PREDIAL"),0,0)))</f>
        <v>101.82</v>
      </c>
      <c r="AP276" s="153" t="n">
        <f aca="false">IFERROR($M276*$AF276*$AG276,0)</f>
        <v>53.837325</v>
      </c>
      <c r="AQ276" s="153" t="n">
        <f aca="false">IFERROR(IF(AND($N276="VCA",$AH276&gt;0),$M276*$AG276*$AH276,0),0)</f>
        <v>3.81825</v>
      </c>
      <c r="AR276" s="153" t="n">
        <f aca="false">IFERROR(IF(AND($N276="VCA",$AJ276&gt;0),($M276*$AG276*$AJ276)-$AI276,0),0)</f>
        <v>15.1710110919674</v>
      </c>
      <c r="AS276" s="153" t="n">
        <f aca="false">IFERROR(IF(AND($N276="VCA",$AP276&gt;0),$AP276-$AI276-$AQ276-$AR276,0),0)</f>
        <v>34.36425</v>
      </c>
      <c r="AT276" s="153" t="n">
        <f aca="false">IFERROR(IF($N276="VCA",INDEX(APOIO_REDES!$A:$W,MATCH($C276&amp;$I276&amp;$H276&amp;$N276&amp;$O276,APOIO_REDES!$W:$W,0),MATCH(AT$5,APOIO_REDES!$5:$5,0)),0)*$AP276,0)</f>
        <v>0.585766031034798</v>
      </c>
      <c r="AU276" s="153" t="n">
        <f aca="false">IFERROR(IF($N276="VCA",INDEX(APOIO_REDES!$A:$W,MATCH($C276&amp;$I276&amp;$H276&amp;$N276&amp;$O276,APOIO_REDES!$W:$W,0),MATCH(AU$5,APOIO_REDES!$5:$5,0)),0)*$AP276,0)</f>
        <v>0.467776887828318</v>
      </c>
      <c r="AV276" s="153" t="n">
        <f aca="false">IFERROR(IF($N276="VCA",INDEX(APOIO_REDES!$A:$W,MATCH($C276&amp;$I276&amp;$H276&amp;$N276&amp;$O276,APOIO_REDES!$W:$W,0),MATCH(AV$5,APOIO_REDES!$5:$5,0)),0)*$AP276,0)</f>
        <v>0.0647366490828902</v>
      </c>
      <c r="AW276" s="153" t="n">
        <f aca="false">IFERROR(IF($N276="VCA",INDEX(APOIO_REDES!$A:$W,MATCH($C276&amp;$I276&amp;$H276&amp;$N276&amp;$O276,APOIO_REDES!$W:$W,0),MATCH(AW$5,APOIO_REDES!$5:$5,0)),0)*$AP276,0)</f>
        <v>36.9543570319501</v>
      </c>
      <c r="AX276" s="153" t="n">
        <f aca="false">IFERROR(IF($N276="VCA",INDEX(APOIO_REDES!$A:$W,MATCH($C276&amp;$I276&amp;$H276&amp;$N276&amp;$O276,APOIO_REDES!$W:$W,0),MATCH(AX$5,APOIO_REDES!$5:$5,0)),0)*$AP276,0)</f>
        <v>5.11437774674331</v>
      </c>
      <c r="AY276" s="153" t="n">
        <f aca="false">IFERROR(IF($N276="VCA",INDEX(APOIO_REDES!$A:$W,MATCH($C276&amp;$I276&amp;$H276&amp;$N276&amp;$O276,APOIO_REDES!$W:$W,0),MATCH(AY$5,APOIO_REDES!$5:$5,0)),0)*$AP276,0)</f>
        <v>9.35553205440402</v>
      </c>
      <c r="AZ276" s="153" t="n">
        <f aca="false">IFERROR(IF($N276="VCA",INDEX(APOIO_REDES!$A:$W,MATCH($C276&amp;$I276&amp;$H276&amp;$N276&amp;$O276,APOIO_REDES!$W:$W,0),MATCH(AZ$5,APOIO_REDES!$5:$5,0)),0)*$AP276,0)</f>
        <v>1.29477859895655</v>
      </c>
      <c r="BA276" s="153" t="n">
        <f aca="false">IFERROR(IF(AND($N276="VCA",$Q276="LINEAR"),INDEX(APOIO_REDES!$A:$W,MATCH($C276&amp;$I276&amp;$H276&amp;$N276&amp;$O276,APOIO_REDES!$W:$W,0),MATCH(BA$5,APOIO_REDES!$5:$5,0)),IF(AND($N276="MND",$Q276="EMBOQUE"),INDEX(APOIO_REDES!$A:$W,MATCH($C276&amp;$I276&amp;$H276&amp;$N276&amp;$O276,APOIO_REDES!$W:$W,0),MATCH(BA$5,APOIO_REDES!$5:$5,0)),0))*$M276/10,0)</f>
        <v>4.10321758358661</v>
      </c>
      <c r="BB276" s="153" t="n">
        <f aca="false">IFERROR(IF($N276="VCA",INDEX(APOIO_REDES!$A:$W,MATCH($C276&amp;$I276&amp;$H276&amp;$N276&amp;$O276,APOIO_REDES!$W:$W,0),MATCH(BB$5,APOIO_REDES!$5:$5,0)),0)*($AI276+$AQ276+$AR276),0)</f>
        <v>19.261202180264</v>
      </c>
      <c r="BC276" s="153" t="n">
        <f aca="false">IFERROR(IF($N276="VCA",INDEX(APOIO_REDES!$A:$W,MATCH($C276&amp;$I276&amp;$H276&amp;$N276&amp;$O276,APOIO_REDES!$W:$W,0),MATCH(BC$5,APOIO_REDES!$5:$5,0)),0)*($AI276+$AQ276+$AR276),0)</f>
        <v>0.211872819735991</v>
      </c>
      <c r="BD276" s="153" t="n">
        <f aca="false">IF(AND($N276="VCA",$AF276&gt;=1.25,$AF276&lt;1.5),$M276*$AF276*2,0)</f>
        <v>143.5662</v>
      </c>
      <c r="BE276" s="153" t="n">
        <f aca="false">IF(AND($N276="VCA",$AF276&gt;=1.5,$AF276&lt;3),$M276*$AF276*2,0)</f>
        <v>0</v>
      </c>
      <c r="BF276" s="153" t="n">
        <f aca="false">IF(AND($N276="VCA",$AF276&gt;=3),$M276*$AF276*2,0)</f>
        <v>0</v>
      </c>
      <c r="BG276" s="153" t="n">
        <f aca="false">($BB276+$BC276)*$AK276</f>
        <v>70.10307</v>
      </c>
      <c r="BH276" s="153" t="n">
        <f aca="false">IF(AND($M276&lt;&gt;"",$N276="VCA",$Q276="LINEAR"),($M276*2)/100,IF(AND($M276&lt;&gt;"",$N276="MND",$Q276="EMBOQUE"),($AN276*2)/100,0))</f>
        <v>1.0182</v>
      </c>
      <c r="BI276" s="153" t="n">
        <f aca="false">IF(AND($M276&lt;&gt;"",$N276="VCA",$Q276="LINEAR"),$M276,IF(AND($M276&lt;&gt;"",$N276="MND",$Q276="EMBOQUE"),$AN276*2,0))</f>
        <v>50.91</v>
      </c>
      <c r="BJ276" s="153" t="n">
        <f aca="false">IF(AND($M276&lt;&gt;"",$N276="VCA",$Q276="LINEAR"),($M276*6.8)/100,IF(AND($M276&lt;&gt;"",$N276="MND",$Q276="EMBOQUE"),($AN276*2*6.8)/100,0))</f>
        <v>3.46188</v>
      </c>
      <c r="BK276" s="153" t="n">
        <f aca="false">IF(AND($M276&lt;&gt;"",$N276="VCA",$Q276="LINEAR"),($M276*2.5)/50,IF(AND($M276&lt;&gt;"",$N276="MND",$Q276="EMBOQUE"),($AN276*2*2.5)/50,0))</f>
        <v>2.5455</v>
      </c>
      <c r="BL276" s="157" t="str">
        <f aca="false">K276&amp;J276</f>
        <v>Zona03REDES</v>
      </c>
      <c r="BM276" s="152" t="s">
        <v>2526</v>
      </c>
      <c r="BN276" s="152" t="s">
        <v>1560</v>
      </c>
      <c r="BO276" s="152" t="s">
        <v>1982</v>
      </c>
      <c r="BP276" s="152" t="s">
        <v>2578</v>
      </c>
      <c r="BQ276" s="152" t="s">
        <v>2555</v>
      </c>
      <c r="BR276" s="152" t="s">
        <v>2579</v>
      </c>
      <c r="BS276" s="152" t="n">
        <v>203330.652</v>
      </c>
      <c r="BT276" s="152" t="n">
        <v>8237980.113</v>
      </c>
      <c r="BU276" s="152" t="n">
        <v>203324.919</v>
      </c>
      <c r="BV276" s="152" t="n">
        <v>8238030.675</v>
      </c>
      <c r="BW276" s="152" t="n">
        <v>-15.9194543</v>
      </c>
      <c r="BX276" s="152" t="n">
        <v>-47.7708229</v>
      </c>
      <c r="BY276" s="152" t="s">
        <v>2578</v>
      </c>
    </row>
    <row r="277" customFormat="false" ht="13.8" hidden="false" customHeight="false" outlineLevel="0" collapsed="false">
      <c r="A277" s="149" t="n">
        <f aca="false">IF(C277&lt;&gt;"",ROW(A272),"")</f>
        <v>272</v>
      </c>
      <c r="B277" s="150" t="str">
        <f aca="false">HYPERLINK("https://www.google.com/maps/dir/-15.917302,-47.760003/-15.9196318,-47.7700913/data=!4m3!4m2!3e0!5i1")</f>
        <v>https://www.google.com/maps/dir/-15.917302,-47.760003/-15.9196318,-47.7700913/data=!4m3!4m2!3e0!5i1</v>
      </c>
      <c r="C277" s="151" t="s">
        <v>117</v>
      </c>
      <c r="D277" s="152" t="s">
        <v>112</v>
      </c>
      <c r="E277" s="152" t="s">
        <v>113</v>
      </c>
      <c r="F277" s="152" t="s">
        <v>117</v>
      </c>
      <c r="G277" s="152" t="s">
        <v>782</v>
      </c>
      <c r="H277" s="152" t="n">
        <v>63</v>
      </c>
      <c r="I277" s="152" t="s">
        <v>115</v>
      </c>
      <c r="J277" s="152" t="s">
        <v>6</v>
      </c>
      <c r="K277" s="152" t="s">
        <v>2522</v>
      </c>
      <c r="L277" s="152" t="s">
        <v>120</v>
      </c>
      <c r="M277" s="153" t="n">
        <f aca="false">216.34</f>
        <v>216.34</v>
      </c>
      <c r="N277" s="152" t="s">
        <v>1548</v>
      </c>
      <c r="O277" s="152" t="s">
        <v>1549</v>
      </c>
      <c r="P277" s="152" t="s">
        <v>1550</v>
      </c>
      <c r="Q277" s="152" t="s">
        <v>1551</v>
      </c>
      <c r="R277" s="154" t="s">
        <v>2580</v>
      </c>
      <c r="S277" s="154" t="s">
        <v>1553</v>
      </c>
      <c r="T277" s="155" t="s">
        <v>1979</v>
      </c>
      <c r="U277" s="152" t="str">
        <f aca="false">RIGHT(T277,7)</f>
        <v>006/037</v>
      </c>
      <c r="V277" s="152" t="s">
        <v>1555</v>
      </c>
      <c r="W277" s="156" t="n">
        <v>45882</v>
      </c>
      <c r="X277" s="152" t="s">
        <v>1594</v>
      </c>
      <c r="Y277" s="152" t="s">
        <v>2531</v>
      </c>
      <c r="Z277" s="152" t="s">
        <v>1557</v>
      </c>
      <c r="AA277" s="153" t="n">
        <v>2.9</v>
      </c>
      <c r="AB277" s="151" t="s">
        <v>2581</v>
      </c>
      <c r="AC277" s="151" t="s">
        <v>186</v>
      </c>
      <c r="AD277" s="151" t="str">
        <f aca="false">CONCATENATE($C277,$I277,$H277,$N277,$J277,$K277)</f>
        <v>TUBO PEADPEAD63VCAREDESZona03</v>
      </c>
      <c r="AE277" s="153" t="n">
        <f aca="false">IFERROR(INDEX(APOIO_REDES!$A:$W,MATCH($C277&amp;$I277&amp;$H277&amp;$N277&amp;$O277,APOIO_REDES!$W:$W,0),MATCH(AE$5,APOIO_REDES!$5:$5,0)),0)</f>
        <v>1.2</v>
      </c>
      <c r="AF277" s="153" t="n">
        <f aca="false">IFERROR(INDEX(APOIO_REDES!$A:$W,MATCH($C277&amp;$I277&amp;$H277&amp;$N277&amp;$O277,APOIO_REDES!$W:$W,0),MATCH(AF$5,APOIO_REDES!$5:$5,0)),0)</f>
        <v>1.363</v>
      </c>
      <c r="AG277" s="153" t="n">
        <f aca="false">IFERROR(INDEX(APOIO_REDES!$A:$W,MATCH($C277&amp;$I277&amp;$H277&amp;$N277&amp;$O277,APOIO_REDES!$W:$W,0),MATCH(AG$5,APOIO_REDES!$5:$5,0)),0)</f>
        <v>0.65</v>
      </c>
      <c r="AH277" s="153" t="n">
        <f aca="false">IFERROR(INDEX(APOIO_REDES!$A:$W,MATCH($C277&amp;$I277&amp;$H277&amp;$N277&amp;$O277,APOIO_REDES!$W:$W,0),MATCH(AH$5,APOIO_REDES!$5:$5,0)),0)</f>
        <v>0.1</v>
      </c>
      <c r="AI277" s="153" t="n">
        <f aca="false">IFERROR(IF($H277&lt;&gt;"",(((($H277/1000)/2)^2)*PI()*$M277),0),0)</f>
        <v>0.674384850478864</v>
      </c>
      <c r="AJ277" s="153" t="n">
        <f aca="false">IFERROR(IF(AND($H277&lt;&gt;"",$I277="FoFo",OR($N277="MND",$N277="VCA"),$Q277="LINEAR"),0,IF(AND($H277&lt;&gt;"",$I277="PEAD",$N277="VCA",$Q277="LINEAR"),($H277/1000)+0.3,IF(AND($H277&lt;&gt;"",$I277="PEAD",$N277="MND",$Q277="EMBOQUE"),0,IF(AND($H277&lt;&gt;"",$I277="PVC",$N277="VCA",$Q277="LINEAR"),($H277/1000)+0.2,IF(AND($H277&lt;&gt;"",$I277="PVC",$N277="MND",$Q277="EMBOQUE"),0,IF(AND($H277&lt;&gt;"",$I277="PEAD",$N277="VCA",$Q277="PREDIAL"),0,0)))))),0)</f>
        <v>0.363</v>
      </c>
      <c r="AK277" s="153" t="n">
        <f aca="false">IF(AA277&lt;&gt;"",AA277,0)</f>
        <v>2.9</v>
      </c>
      <c r="AL277" s="153" t="n">
        <f aca="false">IF(AND($N277="MND",$Q277="EMBOQUE"),$M277,IF(AND($N277="VCA",$Q277="LINEAR"),$M277,IF(AND($N277="VCA",$Q277="PREDIAL"),0,0)))</f>
        <v>216.34</v>
      </c>
      <c r="AM277" s="153" t="n">
        <f aca="false">IF(AND($N277="MND",$Q277="EMBOQUE"),$M277,IF(AND($N277="VCA",$Q277="LINEAR"),$M277,IF(AND($N277="VCA",$Q277="PREDIAL"),0,0)))</f>
        <v>216.34</v>
      </c>
      <c r="AN277" s="153" t="n">
        <f aca="false">ROUND(IF(AND($N277="VCA",$M277&lt;&gt;"",$Q277="LINEAR"),$M277/100,IF(AND($N277="MND",$M277&gt;100,$Q277="EMBOQUE"),$M277/100,0)),0)</f>
        <v>2</v>
      </c>
      <c r="AO277" s="153" t="n">
        <f aca="false">IF(AND($N277="MND",$Q277="EMBOQUE"),$AN277*2*2,IF(AND($N277="VCA",$Q277="LINEAR"),$M277*2,IF(AND($N277="VCA",$Q277="PREDIAL"),0,0)))</f>
        <v>432.68</v>
      </c>
      <c r="AP277" s="153" t="n">
        <f aca="false">IFERROR($M277*$AF277*$AG277,0)</f>
        <v>191.666423</v>
      </c>
      <c r="AQ277" s="153" t="n">
        <f aca="false">IFERROR(IF(AND($N277="VCA",$AH277&gt;0),$M277*$AG277*$AH277,0),0)</f>
        <v>14.0621</v>
      </c>
      <c r="AR277" s="153" t="n">
        <f aca="false">IFERROR(IF(AND($N277="VCA",$AJ277&gt;0),($M277*$AG277*$AJ277)-$AI277,0),0)</f>
        <v>50.3710381495211</v>
      </c>
      <c r="AS277" s="153" t="n">
        <f aca="false">IFERROR(IF(AND($N277="VCA",$AP277&gt;0),$AP277-$AI277-$AQ277-$AR277,0),0)</f>
        <v>126.5589</v>
      </c>
      <c r="AT277" s="153" t="n">
        <f aca="false">IFERROR(IF($N277="VCA",INDEX(APOIO_REDES!$A:$W,MATCH($C277&amp;$I277&amp;$H277&amp;$N277&amp;$O277,APOIO_REDES!$W:$W,0),MATCH(AT$5,APOIO_REDES!$5:$5,0)),0)*$AP277,0)</f>
        <v>2.08538741260541</v>
      </c>
      <c r="AU277" s="153" t="n">
        <f aca="false">IFERROR(IF($N277="VCA",INDEX(APOIO_REDES!$A:$W,MATCH($C277&amp;$I277&amp;$H277&amp;$N277&amp;$O277,APOIO_REDES!$W:$W,0),MATCH(AU$5,APOIO_REDES!$5:$5,0)),0)*$AP277,0)</f>
        <v>1.6653339082528</v>
      </c>
      <c r="AV277" s="153" t="n">
        <f aca="false">IFERROR(IF($N277="VCA",INDEX(APOIO_REDES!$A:$W,MATCH($C277&amp;$I277&amp;$H277&amp;$N277&amp;$O277,APOIO_REDES!$W:$W,0),MATCH(AV$5,APOIO_REDES!$5:$5,0)),0)*$AP277,0)</f>
        <v>0.230469139518425</v>
      </c>
      <c r="AW277" s="153" t="n">
        <f aca="false">IFERROR(IF($N277="VCA",INDEX(APOIO_REDES!$A:$W,MATCH($C277&amp;$I277&amp;$H277&amp;$N277&amp;$O277,APOIO_REDES!$W:$W,0),MATCH(AW$5,APOIO_REDES!$5:$5,0)),0)*$AP277,0)</f>
        <v>131.561317851115</v>
      </c>
      <c r="AX277" s="153" t="n">
        <f aca="false">IFERROR(IF($N277="VCA",INDEX(APOIO_REDES!$A:$W,MATCH($C277&amp;$I277&amp;$H277&amp;$N277&amp;$O277,APOIO_REDES!$W:$W,0),MATCH(AX$5,APOIO_REDES!$5:$5,0)),0)*$AP277,0)</f>
        <v>18.2077116310866</v>
      </c>
      <c r="AY277" s="153" t="n">
        <f aca="false">IFERROR(IF($N277="VCA",INDEX(APOIO_REDES!$A:$W,MATCH($C277&amp;$I277&amp;$H277&amp;$N277&amp;$O277,APOIO_REDES!$W:$W,0),MATCH(AY$5,APOIO_REDES!$5:$5,0)),0)*$AP277,0)</f>
        <v>33.3066578647706</v>
      </c>
      <c r="AZ277" s="153" t="n">
        <f aca="false">IFERROR(IF($N277="VCA",INDEX(APOIO_REDES!$A:$W,MATCH($C277&amp;$I277&amp;$H277&amp;$N277&amp;$O277,APOIO_REDES!$W:$W,0),MATCH(AZ$5,APOIO_REDES!$5:$5,0)),0)*$AP277,0)</f>
        <v>4.60954519265126</v>
      </c>
      <c r="BA277" s="153" t="n">
        <f aca="false">IFERROR(IF(AND($N277="VCA",$Q277="LINEAR"),INDEX(APOIO_REDES!$A:$W,MATCH($C277&amp;$I277&amp;$H277&amp;$N277&amp;$O277,APOIO_REDES!$W:$W,0),MATCH(BA$5,APOIO_REDES!$5:$5,0)),IF(AND($N277="MND",$Q277="EMBOQUE"),INDEX(APOIO_REDES!$A:$W,MATCH($C277&amp;$I277&amp;$H277&amp;$N277&amp;$O277,APOIO_REDES!$W:$W,0),MATCH(BA$5,APOIO_REDES!$5:$5,0)),0))*$M277/10,0)</f>
        <v>17.4364582996097</v>
      </c>
      <c r="BB277" s="153" t="n">
        <f aca="false">IFERROR(IF($N277="VCA",INDEX(APOIO_REDES!$A:$W,MATCH($C277&amp;$I277&amp;$H277&amp;$N277&amp;$O277,APOIO_REDES!$W:$W,0),MATCH(BB$5,APOIO_REDES!$5:$5,0)),0)*($AI277+$AQ277+$AR277),0)</f>
        <v>64.3991338789169</v>
      </c>
      <c r="BC277" s="153" t="n">
        <f aca="false">IFERROR(IF($N277="VCA",INDEX(APOIO_REDES!$A:$W,MATCH($C277&amp;$I277&amp;$H277&amp;$N277&amp;$O277,APOIO_REDES!$W:$W,0),MATCH(BC$5,APOIO_REDES!$5:$5,0)),0)*($AI277+$AQ277+$AR277),0)</f>
        <v>0.70838912108313</v>
      </c>
      <c r="BD277" s="153" t="n">
        <f aca="false">IF(AND($N277="VCA",$AF277&gt;=1.25,$AF277&lt;1.5),$M277*$AF277*2,0)</f>
        <v>589.74284</v>
      </c>
      <c r="BE277" s="153" t="n">
        <f aca="false">IF(AND($N277="VCA",$AF277&gt;=1.5,$AF277&lt;3),$M277*$AF277*2,0)</f>
        <v>0</v>
      </c>
      <c r="BF277" s="153" t="n">
        <f aca="false">IF(AND($N277="VCA",$AF277&gt;=3),$M277*$AF277*2,0)</f>
        <v>0</v>
      </c>
      <c r="BG277" s="153" t="n">
        <f aca="false">($BB277+$BC277)*$AK277</f>
        <v>188.8118167</v>
      </c>
      <c r="BH277" s="153" t="n">
        <f aca="false">IF(AND($M277&lt;&gt;"",$N277="VCA",$Q277="LINEAR"),($M277*2)/100,IF(AND($M277&lt;&gt;"",$N277="MND",$Q277="EMBOQUE"),($AN277*2)/100,0))</f>
        <v>4.3268</v>
      </c>
      <c r="BI277" s="153" t="n">
        <f aca="false">IF(AND($M277&lt;&gt;"",$N277="VCA",$Q277="LINEAR"),$M277,IF(AND($M277&lt;&gt;"",$N277="MND",$Q277="EMBOQUE"),$AN277*2,0))</f>
        <v>216.34</v>
      </c>
      <c r="BJ277" s="153" t="n">
        <f aca="false">IF(AND($M277&lt;&gt;"",$N277="VCA",$Q277="LINEAR"),($M277*6.8)/100,IF(AND($M277&lt;&gt;"",$N277="MND",$Q277="EMBOQUE"),($AN277*2*6.8)/100,0))</f>
        <v>14.71112</v>
      </c>
      <c r="BK277" s="153" t="n">
        <f aca="false">IF(AND($M277&lt;&gt;"",$N277="VCA",$Q277="LINEAR"),($M277*2.5)/50,IF(AND($M277&lt;&gt;"",$N277="MND",$Q277="EMBOQUE"),($AN277*2*2.5)/50,0))</f>
        <v>10.817</v>
      </c>
      <c r="BL277" s="157" t="str">
        <f aca="false">K277&amp;J277</f>
        <v>Zona03REDES</v>
      </c>
      <c r="BM277" s="152" t="s">
        <v>2526</v>
      </c>
      <c r="BN277" s="152" t="s">
        <v>1560</v>
      </c>
      <c r="BO277" s="152" t="s">
        <v>1982</v>
      </c>
      <c r="BP277" s="152" t="s">
        <v>2582</v>
      </c>
      <c r="BQ277" s="152" t="s">
        <v>2574</v>
      </c>
      <c r="BR277" s="152" t="s">
        <v>2583</v>
      </c>
      <c r="BS277" s="152" t="n">
        <v>203406.561</v>
      </c>
      <c r="BT277" s="152" t="n">
        <v>8237986.791</v>
      </c>
      <c r="BU277" s="152" t="n">
        <v>203620.087</v>
      </c>
      <c r="BV277" s="152" t="n">
        <v>8238018.171</v>
      </c>
      <c r="BW277" s="152" t="n">
        <v>-15.9195346</v>
      </c>
      <c r="BX277" s="152" t="n">
        <v>-47.7690868</v>
      </c>
      <c r="BY277" s="152" t="s">
        <v>2582</v>
      </c>
    </row>
    <row r="278" customFormat="false" ht="13.8" hidden="false" customHeight="false" outlineLevel="0" collapsed="false">
      <c r="A278" s="149" t="n">
        <f aca="false">IF(C278&lt;&gt;"",ROW(A273),"")</f>
        <v>273</v>
      </c>
      <c r="B278" s="150" t="str">
        <f aca="false">HYPERLINK("https://www.google.com/maps/dir/-15.917302,-47.760003/-15.9194020,-47.7724521/data=!4m3!4m2!3e0!5i0")</f>
        <v>https://www.google.com/maps/dir/-15.917302,-47.760003/-15.9194020,-47.7724521/data=!4m3!4m2!3e0!5i0</v>
      </c>
      <c r="C278" s="151" t="s">
        <v>117</v>
      </c>
      <c r="D278" s="152" t="s">
        <v>112</v>
      </c>
      <c r="E278" s="152" t="s">
        <v>113</v>
      </c>
      <c r="F278" s="152" t="s">
        <v>117</v>
      </c>
      <c r="G278" s="152" t="s">
        <v>782</v>
      </c>
      <c r="H278" s="152" t="n">
        <v>63</v>
      </c>
      <c r="I278" s="152" t="s">
        <v>115</v>
      </c>
      <c r="J278" s="152" t="s">
        <v>6</v>
      </c>
      <c r="K278" s="152" t="s">
        <v>2522</v>
      </c>
      <c r="L278" s="152" t="s">
        <v>120</v>
      </c>
      <c r="M278" s="153" t="n">
        <f aca="false">118.08+4.59</f>
        <v>122.67</v>
      </c>
      <c r="N278" s="152" t="s">
        <v>1548</v>
      </c>
      <c r="O278" s="152" t="s">
        <v>1549</v>
      </c>
      <c r="P278" s="152" t="s">
        <v>1550</v>
      </c>
      <c r="Q278" s="152" t="s">
        <v>1551</v>
      </c>
      <c r="R278" s="154" t="s">
        <v>2584</v>
      </c>
      <c r="S278" s="154" t="s">
        <v>1553</v>
      </c>
      <c r="T278" s="155" t="s">
        <v>1979</v>
      </c>
      <c r="U278" s="152" t="str">
        <f aca="false">RIGHT(T278,7)</f>
        <v>006/037</v>
      </c>
      <c r="V278" s="152" t="s">
        <v>1555</v>
      </c>
      <c r="W278" s="156" t="n">
        <v>45882</v>
      </c>
      <c r="X278" s="152" t="s">
        <v>1594</v>
      </c>
      <c r="Y278" s="152" t="s">
        <v>2553</v>
      </c>
      <c r="Z278" s="152" t="s">
        <v>1557</v>
      </c>
      <c r="AA278" s="153" t="n">
        <v>2.7</v>
      </c>
      <c r="AB278" s="151" t="s">
        <v>2585</v>
      </c>
      <c r="AC278" s="151" t="s">
        <v>186</v>
      </c>
      <c r="AD278" s="151" t="str">
        <f aca="false">CONCATENATE($C278,$I278,$H278,$N278,$J278,$K278)</f>
        <v>TUBO PEADPEAD63VCAREDESZona03</v>
      </c>
      <c r="AE278" s="153" t="n">
        <f aca="false">IFERROR(INDEX(APOIO_REDES!$A:$W,MATCH($C278&amp;$I278&amp;$H278&amp;$N278&amp;$O278,APOIO_REDES!$W:$W,0),MATCH(AE$5,APOIO_REDES!$5:$5,0)),0)</f>
        <v>1.2</v>
      </c>
      <c r="AF278" s="153" t="n">
        <f aca="false">IFERROR(INDEX(APOIO_REDES!$A:$W,MATCH($C278&amp;$I278&amp;$H278&amp;$N278&amp;$O278,APOIO_REDES!$W:$W,0),MATCH(AF$5,APOIO_REDES!$5:$5,0)),0)</f>
        <v>1.363</v>
      </c>
      <c r="AG278" s="153" t="n">
        <f aca="false">IFERROR(INDEX(APOIO_REDES!$A:$W,MATCH($C278&amp;$I278&amp;$H278&amp;$N278&amp;$O278,APOIO_REDES!$W:$W,0),MATCH(AG$5,APOIO_REDES!$5:$5,0)),0)</f>
        <v>0.65</v>
      </c>
      <c r="AH278" s="153" t="n">
        <f aca="false">IFERROR(INDEX(APOIO_REDES!$A:$W,MATCH($C278&amp;$I278&amp;$H278&amp;$N278&amp;$O278,APOIO_REDES!$W:$W,0),MATCH(AH$5,APOIO_REDES!$5:$5,0)),0)</f>
        <v>0.1</v>
      </c>
      <c r="AI278" s="153" t="n">
        <f aca="false">IFERROR(IF($H278&lt;&gt;"",(((($H278/1000)/2)^2)*PI()*$M278),0),0)</f>
        <v>0.382392482242037</v>
      </c>
      <c r="AJ278" s="153" t="n">
        <f aca="false">IFERROR(IF(AND($H278&lt;&gt;"",$I278="FoFo",OR($N278="MND",$N278="VCA"),$Q278="LINEAR"),0,IF(AND($H278&lt;&gt;"",$I278="PEAD",$N278="VCA",$Q278="LINEAR"),($H278/1000)+0.3,IF(AND($H278&lt;&gt;"",$I278="PEAD",$N278="MND",$Q278="EMBOQUE"),0,IF(AND($H278&lt;&gt;"",$I278="PVC",$N278="VCA",$Q278="LINEAR"),($H278/1000)+0.2,IF(AND($H278&lt;&gt;"",$I278="PVC",$N278="MND",$Q278="EMBOQUE"),0,IF(AND($H278&lt;&gt;"",$I278="PEAD",$N278="VCA",$Q278="PREDIAL"),0,0)))))),0)</f>
        <v>0.363</v>
      </c>
      <c r="AK278" s="153" t="n">
        <f aca="false">IF(AA278&lt;&gt;"",AA278,0)</f>
        <v>2.7</v>
      </c>
      <c r="AL278" s="153" t="n">
        <f aca="false">IF(AND($N278="MND",$Q278="EMBOQUE"),$M278,IF(AND($N278="VCA",$Q278="LINEAR"),$M278,IF(AND($N278="VCA",$Q278="PREDIAL"),0,0)))</f>
        <v>122.67</v>
      </c>
      <c r="AM278" s="153" t="n">
        <f aca="false">IF(AND($N278="MND",$Q278="EMBOQUE"),$M278,IF(AND($N278="VCA",$Q278="LINEAR"),$M278,IF(AND($N278="VCA",$Q278="PREDIAL"),0,0)))</f>
        <v>122.67</v>
      </c>
      <c r="AN278" s="153" t="n">
        <f aca="false">ROUND(IF(AND($N278="VCA",$M278&lt;&gt;"",$Q278="LINEAR"),$M278/100,IF(AND($N278="MND",$M278&gt;100,$Q278="EMBOQUE"),$M278/100,0)),0)</f>
        <v>1</v>
      </c>
      <c r="AO278" s="153" t="n">
        <f aca="false">IF(AND($N278="MND",$Q278="EMBOQUE"),$AN278*2*2,IF(AND($N278="VCA",$Q278="LINEAR"),$M278*2,IF(AND($N278="VCA",$Q278="PREDIAL"),0,0)))</f>
        <v>245.34</v>
      </c>
      <c r="AP278" s="153" t="n">
        <f aca="false">IFERROR($M278*$AF278*$AG278,0)</f>
        <v>108.6794865</v>
      </c>
      <c r="AQ278" s="153" t="n">
        <f aca="false">IFERROR(IF(AND($N278="VCA",$AH278&gt;0),$M278*$AG278*$AH278,0),0)</f>
        <v>7.97355</v>
      </c>
      <c r="AR278" s="153" t="n">
        <f aca="false">IFERROR(IF(AND($N278="VCA",$AJ278&gt;0),($M278*$AG278*$AJ278)-$AI278,0),0)</f>
        <v>28.561594017758</v>
      </c>
      <c r="AS278" s="153" t="n">
        <f aca="false">IFERROR(IF(AND($N278="VCA",$AP278&gt;0),$AP278-$AI278-$AQ278-$AR278,0),0)</f>
        <v>71.76195</v>
      </c>
      <c r="AT278" s="153" t="n">
        <f aca="false">IFERROR(IF($N278="VCA",INDEX(APOIO_REDES!$A:$W,MATCH($C278&amp;$I278&amp;$H278&amp;$N278&amp;$O278,APOIO_REDES!$W:$W,0),MATCH(AT$5,APOIO_REDES!$5:$5,0)),0)*$AP278,0)</f>
        <v>1.18246498060602</v>
      </c>
      <c r="AU278" s="153" t="n">
        <f aca="false">IFERROR(IF($N278="VCA",INDEX(APOIO_REDES!$A:$W,MATCH($C278&amp;$I278&amp;$H278&amp;$N278&amp;$O278,APOIO_REDES!$W:$W,0),MATCH(AU$5,APOIO_REDES!$5:$5,0)),0)*$AP278,0)</f>
        <v>0.944284508298838</v>
      </c>
      <c r="AV278" s="153" t="n">
        <f aca="false">IFERROR(IF($N278="VCA",INDEX(APOIO_REDES!$A:$W,MATCH($C278&amp;$I278&amp;$H278&amp;$N278&amp;$O278,APOIO_REDES!$W:$W,0),MATCH(AV$5,APOIO_REDES!$5:$5,0)),0)*$AP278,0)</f>
        <v>0.130681563024523</v>
      </c>
      <c r="AW278" s="153" t="n">
        <f aca="false">IFERROR(IF($N278="VCA",INDEX(APOIO_REDES!$A:$W,MATCH($C278&amp;$I278&amp;$H278&amp;$N278&amp;$O278,APOIO_REDES!$W:$W,0),MATCH(AW$5,APOIO_REDES!$5:$5,0)),0)*$AP278,0)</f>
        <v>74.5984416233534</v>
      </c>
      <c r="AX278" s="153" t="n">
        <f aca="false">IFERROR(IF($N278="VCA",INDEX(APOIO_REDES!$A:$W,MATCH($C278&amp;$I278&amp;$H278&amp;$N278&amp;$O278,APOIO_REDES!$W:$W,0),MATCH(AX$5,APOIO_REDES!$5:$5,0)),0)*$AP278,0)</f>
        <v>10.3242118229888</v>
      </c>
      <c r="AY278" s="153" t="n">
        <f aca="false">IFERROR(IF($N278="VCA",INDEX(APOIO_REDES!$A:$W,MATCH($C278&amp;$I278&amp;$H278&amp;$N278&amp;$O278,APOIO_REDES!$W:$W,0),MATCH(AY$5,APOIO_REDES!$5:$5,0)),0)*$AP278,0)</f>
        <v>18.8856786552251</v>
      </c>
      <c r="AZ278" s="153" t="n">
        <f aca="false">IFERROR(IF($N278="VCA",INDEX(APOIO_REDES!$A:$W,MATCH($C278&amp;$I278&amp;$H278&amp;$N278&amp;$O278,APOIO_REDES!$W:$W,0),MATCH(AZ$5,APOIO_REDES!$5:$5,0)),0)*$AP278,0)</f>
        <v>2.61372334650333</v>
      </c>
      <c r="BA278" s="153" t="n">
        <f aca="false">IFERROR(IF(AND($N278="VCA",$Q278="LINEAR"),INDEX(APOIO_REDES!$A:$W,MATCH($C278&amp;$I278&amp;$H278&amp;$N278&amp;$O278,APOIO_REDES!$W:$W,0),MATCH(BA$5,APOIO_REDES!$5:$5,0)),IF(AND($N278="MND",$Q278="EMBOQUE"),INDEX(APOIO_REDES!$A:$W,MATCH($C278&amp;$I278&amp;$H278&amp;$N278&amp;$O278,APOIO_REDES!$W:$W,0),MATCH(BA$5,APOIO_REDES!$5:$5,0)),0))*$M278/10,0)</f>
        <v>9.88689257471165</v>
      </c>
      <c r="BB278" s="153" t="n">
        <f aca="false">IFERROR(IF($N278="VCA",INDEX(APOIO_REDES!$A:$W,MATCH($C278&amp;$I278&amp;$H278&amp;$N278&amp;$O278,APOIO_REDES!$W:$W,0),MATCH(BB$5,APOIO_REDES!$5:$5,0)),0)*($AI278+$AQ278+$AR278),0)</f>
        <v>36.515862775847</v>
      </c>
      <c r="BC278" s="153" t="n">
        <f aca="false">IFERROR(IF($N278="VCA",INDEX(APOIO_REDES!$A:$W,MATCH($C278&amp;$I278&amp;$H278&amp;$N278&amp;$O278,APOIO_REDES!$W:$W,0),MATCH(BC$5,APOIO_REDES!$5:$5,0)),0)*($AI278+$AQ278+$AR278),0)</f>
        <v>0.401673724153035</v>
      </c>
      <c r="BD278" s="153" t="n">
        <f aca="false">IF(AND($N278="VCA",$AF278&gt;=1.25,$AF278&lt;1.5),$M278*$AF278*2,0)</f>
        <v>334.39842</v>
      </c>
      <c r="BE278" s="153" t="n">
        <f aca="false">IF(AND($N278="VCA",$AF278&gt;=1.5,$AF278&lt;3),$M278*$AF278*2,0)</f>
        <v>0</v>
      </c>
      <c r="BF278" s="153" t="n">
        <f aca="false">IF(AND($N278="VCA",$AF278&gt;=3),$M278*$AF278*2,0)</f>
        <v>0</v>
      </c>
      <c r="BG278" s="153" t="n">
        <f aca="false">($BB278+$BC278)*$AK278</f>
        <v>99.67734855</v>
      </c>
      <c r="BH278" s="153" t="n">
        <f aca="false">IF(AND($M278&lt;&gt;"",$N278="VCA",$Q278="LINEAR"),($M278*2)/100,IF(AND($M278&lt;&gt;"",$N278="MND",$Q278="EMBOQUE"),($AN278*2)/100,0))</f>
        <v>2.4534</v>
      </c>
      <c r="BI278" s="153" t="n">
        <f aca="false">IF(AND($M278&lt;&gt;"",$N278="VCA",$Q278="LINEAR"),$M278,IF(AND($M278&lt;&gt;"",$N278="MND",$Q278="EMBOQUE"),$AN278*2,0))</f>
        <v>122.67</v>
      </c>
      <c r="BJ278" s="153" t="n">
        <f aca="false">IF(AND($M278&lt;&gt;"",$N278="VCA",$Q278="LINEAR"),($M278*6.8)/100,IF(AND($M278&lt;&gt;"",$N278="MND",$Q278="EMBOQUE"),($AN278*2*6.8)/100,0))</f>
        <v>8.34156</v>
      </c>
      <c r="BK278" s="153" t="n">
        <f aca="false">IF(AND($M278&lt;&gt;"",$N278="VCA",$Q278="LINEAR"),($M278*2.5)/50,IF(AND($M278&lt;&gt;"",$N278="MND",$Q278="EMBOQUE"),($AN278*2*2.5)/50,0))</f>
        <v>6.1335</v>
      </c>
      <c r="BL278" s="157" t="str">
        <f aca="false">K278&amp;J278</f>
        <v>Zona03REDES</v>
      </c>
      <c r="BM278" s="152" t="s">
        <v>2526</v>
      </c>
      <c r="BN278" s="152" t="s">
        <v>1560</v>
      </c>
      <c r="BO278" s="152" t="s">
        <v>1982</v>
      </c>
      <c r="BP278" s="152" t="s">
        <v>2570</v>
      </c>
      <c r="BQ278" s="152" t="s">
        <v>2586</v>
      </c>
      <c r="BR278" s="152" t="s">
        <v>2587</v>
      </c>
      <c r="BS278" s="152" t="n">
        <v>203153.269</v>
      </c>
      <c r="BT278" s="152" t="n">
        <v>8238008.84</v>
      </c>
      <c r="BU278" s="152" t="n">
        <v>203266.817</v>
      </c>
      <c r="BV278" s="152" t="n">
        <v>8237995.692</v>
      </c>
      <c r="BW278" s="152" t="n">
        <v>-15.9195821</v>
      </c>
      <c r="BX278" s="152" t="n">
        <v>-47.7719429</v>
      </c>
      <c r="BY278" s="152" t="s">
        <v>2570</v>
      </c>
    </row>
    <row r="279" customFormat="false" ht="13.8" hidden="false" customHeight="false" outlineLevel="0" collapsed="false">
      <c r="A279" s="149" t="n">
        <f aca="false">IF(C279&lt;&gt;"",ROW(A274),"")</f>
        <v>274</v>
      </c>
      <c r="B279" s="150" t="str">
        <f aca="false">HYPERLINK("https://www.google.com/maps/dir/-15.917302,-47.760003/-15.9193740,-47.7680949/data=!4m3!4m2!3e0!5i0")</f>
        <v>https://www.google.com/maps/dir/-15.917302,-47.760003/-15.9193740,-47.7680949/data=!4m3!4m2!3e0!5i0</v>
      </c>
      <c r="C279" s="151" t="s">
        <v>117</v>
      </c>
      <c r="D279" s="152" t="s">
        <v>112</v>
      </c>
      <c r="E279" s="152" t="s">
        <v>113</v>
      </c>
      <c r="F279" s="152" t="s">
        <v>117</v>
      </c>
      <c r="G279" s="152" t="s">
        <v>782</v>
      </c>
      <c r="H279" s="152" t="n">
        <v>110</v>
      </c>
      <c r="I279" s="152" t="s">
        <v>115</v>
      </c>
      <c r="J279" s="152" t="s">
        <v>6</v>
      </c>
      <c r="K279" s="152" t="s">
        <v>2522</v>
      </c>
      <c r="L279" s="152" t="s">
        <v>120</v>
      </c>
      <c r="M279" s="153" t="n">
        <f aca="false">58.76</f>
        <v>58.76</v>
      </c>
      <c r="N279" s="152" t="s">
        <v>1548</v>
      </c>
      <c r="O279" s="152" t="s">
        <v>1549</v>
      </c>
      <c r="P279" s="152" t="s">
        <v>1550</v>
      </c>
      <c r="Q279" s="152" t="s">
        <v>1551</v>
      </c>
      <c r="R279" s="154" t="s">
        <v>2588</v>
      </c>
      <c r="S279" s="154" t="s">
        <v>1593</v>
      </c>
      <c r="T279" s="155" t="s">
        <v>1979</v>
      </c>
      <c r="U279" s="152" t="str">
        <f aca="false">RIGHT(T279,7)</f>
        <v>006/037</v>
      </c>
      <c r="V279" s="152" t="s">
        <v>1555</v>
      </c>
      <c r="W279" s="156" t="n">
        <v>45882</v>
      </c>
      <c r="X279" s="152" t="s">
        <v>1594</v>
      </c>
      <c r="Y279" s="152" t="s">
        <v>2531</v>
      </c>
      <c r="Z279" s="152" t="s">
        <v>1557</v>
      </c>
      <c r="AA279" s="153" t="n">
        <v>2.6</v>
      </c>
      <c r="AB279" s="151" t="s">
        <v>2589</v>
      </c>
      <c r="AC279" s="151" t="s">
        <v>502</v>
      </c>
      <c r="AD279" s="151" t="str">
        <f aca="false">CONCATENATE($C279,$I279,$H279,$N279,$J279,$K279)</f>
        <v>TUBO PEADPEAD110VCAREDESZona03</v>
      </c>
      <c r="AE279" s="153" t="n">
        <f aca="false">IFERROR(INDEX(APOIO_REDES!$A:$W,MATCH($C279&amp;$I279&amp;$H279&amp;$N279&amp;$O279,APOIO_REDES!$W:$W,0),MATCH(AE$5,APOIO_REDES!$5:$5,0)),0)</f>
        <v>1.2</v>
      </c>
      <c r="AF279" s="153" t="n">
        <f aca="false">IFERROR(INDEX(APOIO_REDES!$A:$W,MATCH($C279&amp;$I279&amp;$H279&amp;$N279&amp;$O279,APOIO_REDES!$W:$W,0),MATCH(AF$5,APOIO_REDES!$5:$5,0)),0)</f>
        <v>1.41</v>
      </c>
      <c r="AG279" s="153" t="n">
        <f aca="false">IFERROR(INDEX(APOIO_REDES!$A:$W,MATCH($C279&amp;$I279&amp;$H279&amp;$N279&amp;$O279,APOIO_REDES!$W:$W,0),MATCH(AG$5,APOIO_REDES!$5:$5,0)),0)</f>
        <v>0.75</v>
      </c>
      <c r="AH279" s="153" t="n">
        <f aca="false">IFERROR(INDEX(APOIO_REDES!$A:$W,MATCH($C279&amp;$I279&amp;$H279&amp;$N279&amp;$O279,APOIO_REDES!$W:$W,0),MATCH(AH$5,APOIO_REDES!$5:$5,0)),0)</f>
        <v>0.1</v>
      </c>
      <c r="AI279" s="153" t="n">
        <f aca="false">IFERROR(IF($H279&lt;&gt;"",(((($H279/1000)/2)^2)*PI()*$M279),0),0)</f>
        <v>0.558414952582932</v>
      </c>
      <c r="AJ279" s="153" t="n">
        <f aca="false">IFERROR(IF(AND($H279&lt;&gt;"",$I279="FoFo",OR($N279="MND",$N279="VCA"),$Q279="LINEAR"),0,IF(AND($H279&lt;&gt;"",$I279="PEAD",$N279="VCA",$Q279="LINEAR"),($H279/1000)+0.3,IF(AND($H279&lt;&gt;"",$I279="PEAD",$N279="MND",$Q279="EMBOQUE"),0,IF(AND($H279&lt;&gt;"",$I279="PVC",$N279="VCA",$Q279="LINEAR"),($H279/1000)+0.2,IF(AND($H279&lt;&gt;"",$I279="PVC",$N279="MND",$Q279="EMBOQUE"),0,IF(AND($H279&lt;&gt;"",$I279="PEAD",$N279="VCA",$Q279="PREDIAL"),0,0)))))),0)</f>
        <v>0.41</v>
      </c>
      <c r="AK279" s="153" t="n">
        <f aca="false">IF(AA279&lt;&gt;"",AA279,0)</f>
        <v>2.6</v>
      </c>
      <c r="AL279" s="153" t="n">
        <f aca="false">IF(AND($N279="MND",$Q279="EMBOQUE"),$M279,IF(AND($N279="VCA",$Q279="LINEAR"),$M279,IF(AND($N279="VCA",$Q279="PREDIAL"),0,0)))</f>
        <v>58.76</v>
      </c>
      <c r="AM279" s="153" t="n">
        <f aca="false">IF(AND($N279="MND",$Q279="EMBOQUE"),$M279,IF(AND($N279="VCA",$Q279="LINEAR"),$M279,IF(AND($N279="VCA",$Q279="PREDIAL"),0,0)))</f>
        <v>58.76</v>
      </c>
      <c r="AN279" s="153" t="n">
        <f aca="false">ROUND(IF(AND($N279="VCA",$M279&lt;&gt;"",$Q279="LINEAR"),$M279/100,IF(AND($N279="MND",$M279&gt;100,$Q279="EMBOQUE"),$M279/100,0)),0)</f>
        <v>1</v>
      </c>
      <c r="AO279" s="153" t="n">
        <f aca="false">IF(AND($N279="MND",$Q279="EMBOQUE"),$AN279*2*2,IF(AND($N279="VCA",$Q279="LINEAR"),$M279*2,IF(AND($N279="VCA",$Q279="PREDIAL"),0,0)))</f>
        <v>117.52</v>
      </c>
      <c r="AP279" s="153" t="n">
        <f aca="false">IFERROR($M279*$AF279*$AG279,0)</f>
        <v>62.1387</v>
      </c>
      <c r="AQ279" s="153" t="n">
        <f aca="false">IFERROR(IF(AND($N279="VCA",$AH279&gt;0),$M279*$AG279*$AH279,0),0)</f>
        <v>4.407</v>
      </c>
      <c r="AR279" s="153" t="n">
        <f aca="false">IFERROR(IF(AND($N279="VCA",$AJ279&gt;0),($M279*$AG279*$AJ279)-$AI279,0),0)</f>
        <v>17.5102850474171</v>
      </c>
      <c r="AS279" s="153" t="n">
        <f aca="false">IFERROR(IF(AND($N279="VCA",$AP279&gt;0),$AP279-$AI279-$AQ279-$AR279,0),0)</f>
        <v>39.663</v>
      </c>
      <c r="AT279" s="153" t="n">
        <f aca="false">IFERROR(IF($N279="VCA",INDEX(APOIO_REDES!$A:$W,MATCH($C279&amp;$I279&amp;$H279&amp;$N279&amp;$O279,APOIO_REDES!$W:$W,0),MATCH(AT$5,APOIO_REDES!$5:$5,0)),0)*$AP279,0)</f>
        <v>0.676087448116376</v>
      </c>
      <c r="AU279" s="153" t="n">
        <f aca="false">IFERROR(IF($N279="VCA",INDEX(APOIO_REDES!$A:$W,MATCH($C279&amp;$I279&amp;$H279&amp;$N279&amp;$O279,APOIO_REDES!$W:$W,0),MATCH(AU$5,APOIO_REDES!$5:$5,0)),0)*$AP279,0)</f>
        <v>0.539905125295462</v>
      </c>
      <c r="AV279" s="153" t="n">
        <f aca="false">IFERROR(IF($N279="VCA",INDEX(APOIO_REDES!$A:$W,MATCH($C279&amp;$I279&amp;$H279&amp;$N279&amp;$O279,APOIO_REDES!$W:$W,0),MATCH(AV$5,APOIO_REDES!$5:$5,0)),0)*$AP279,0)</f>
        <v>0.0747186309194781</v>
      </c>
      <c r="AW279" s="153" t="n">
        <f aca="false">IFERROR(IF($N279="VCA",INDEX(APOIO_REDES!$A:$W,MATCH($C279&amp;$I279&amp;$H279&amp;$N279&amp;$O279,APOIO_REDES!$W:$W,0),MATCH(AW$5,APOIO_REDES!$5:$5,0)),0)*$AP279,0)</f>
        <v>42.6524851541424</v>
      </c>
      <c r="AX279" s="153" t="n">
        <f aca="false">IFERROR(IF($N279="VCA",INDEX(APOIO_REDES!$A:$W,MATCH($C279&amp;$I279&amp;$H279&amp;$N279&amp;$O279,APOIO_REDES!$W:$W,0),MATCH(AX$5,APOIO_REDES!$5:$5,0)),0)*$AP279,0)</f>
        <v>5.90298244742952</v>
      </c>
      <c r="AY279" s="153" t="n">
        <f aca="false">IFERROR(IF($N279="VCA",INDEX(APOIO_REDES!$A:$W,MATCH($C279&amp;$I279&amp;$H279&amp;$N279&amp;$O279,APOIO_REDES!$W:$W,0),MATCH(AY$5,APOIO_REDES!$5:$5,0)),0)*$AP279,0)</f>
        <v>10.7980959245095</v>
      </c>
      <c r="AZ279" s="153" t="n">
        <f aca="false">IFERROR(IF($N279="VCA",INDEX(APOIO_REDES!$A:$W,MATCH($C279&amp;$I279&amp;$H279&amp;$N279&amp;$O279,APOIO_REDES!$W:$W,0),MATCH(AZ$5,APOIO_REDES!$5:$5,0)),0)*$AP279,0)</f>
        <v>1.49442526958725</v>
      </c>
      <c r="BA279" s="153" t="n">
        <f aca="false">IFERROR(IF(AND($N279="VCA",$Q279="LINEAR"),INDEX(APOIO_REDES!$A:$W,MATCH($C279&amp;$I279&amp;$H279&amp;$N279&amp;$O279,APOIO_REDES!$W:$W,0),MATCH(BA$5,APOIO_REDES!$5:$5,0)),IF(AND($N279="MND",$Q279="EMBOQUE"),INDEX(APOIO_REDES!$A:$W,MATCH($C279&amp;$I279&amp;$H279&amp;$N279&amp;$O279,APOIO_REDES!$W:$W,0),MATCH(BA$5,APOIO_REDES!$5:$5,0)),0))*$M279/10,0)</f>
        <v>4.73590778258789</v>
      </c>
      <c r="BB279" s="153" t="n">
        <f aca="false">IFERROR(IF($N279="VCA",INDEX(APOIO_REDES!$A:$W,MATCH($C279&amp;$I279&amp;$H279&amp;$N279&amp;$O279,APOIO_REDES!$W:$W,0),MATCH(BB$5,APOIO_REDES!$5:$5,0)),0)*($AI279+$AQ279+$AR279),0)</f>
        <v>22.2311577315324</v>
      </c>
      <c r="BC279" s="153" t="n">
        <f aca="false">IFERROR(IF($N279="VCA",INDEX(APOIO_REDES!$A:$W,MATCH($C279&amp;$I279&amp;$H279&amp;$N279&amp;$O279,APOIO_REDES!$W:$W,0),MATCH(BC$5,APOIO_REDES!$5:$5,0)),0)*($AI279+$AQ279+$AR279),0)</f>
        <v>0.244542268467626</v>
      </c>
      <c r="BD279" s="153" t="n">
        <f aca="false">IF(AND($N279="VCA",$AF279&gt;=1.25,$AF279&lt;1.5),$M279*$AF279*2,0)</f>
        <v>165.7032</v>
      </c>
      <c r="BE279" s="153" t="n">
        <f aca="false">IF(AND($N279="VCA",$AF279&gt;=1.5,$AF279&lt;3),$M279*$AF279*2,0)</f>
        <v>0</v>
      </c>
      <c r="BF279" s="153" t="n">
        <f aca="false">IF(AND($N279="VCA",$AF279&gt;=3),$M279*$AF279*2,0)</f>
        <v>0</v>
      </c>
      <c r="BG279" s="153" t="n">
        <f aca="false">($BB279+$BC279)*$AK279</f>
        <v>58.43682</v>
      </c>
      <c r="BH279" s="153" t="n">
        <f aca="false">IF(AND($M279&lt;&gt;"",$N279="VCA",$Q279="LINEAR"),($M279*2)/100,IF(AND($M279&lt;&gt;"",$N279="MND",$Q279="EMBOQUE"),($AN279*2)/100,0))</f>
        <v>1.1752</v>
      </c>
      <c r="BI279" s="153" t="n">
        <f aca="false">IF(AND($M279&lt;&gt;"",$N279="VCA",$Q279="LINEAR"),$M279,IF(AND($M279&lt;&gt;"",$N279="MND",$Q279="EMBOQUE"),$AN279*2,0))</f>
        <v>58.76</v>
      </c>
      <c r="BJ279" s="153" t="n">
        <f aca="false">IF(AND($M279&lt;&gt;"",$N279="VCA",$Q279="LINEAR"),($M279*6.8)/100,IF(AND($M279&lt;&gt;"",$N279="MND",$Q279="EMBOQUE"),($AN279*2*6.8)/100,0))</f>
        <v>3.99568</v>
      </c>
      <c r="BK279" s="153" t="n">
        <f aca="false">IF(AND($M279&lt;&gt;"",$N279="VCA",$Q279="LINEAR"),($M279*2.5)/50,IF(AND($M279&lt;&gt;"",$N279="MND",$Q279="EMBOQUE"),($AN279*2*2.5)/50,0))</f>
        <v>2.938</v>
      </c>
      <c r="BL279" s="157" t="str">
        <f aca="false">K279&amp;J279</f>
        <v>Zona03REDES</v>
      </c>
      <c r="BM279" s="152" t="s">
        <v>2526</v>
      </c>
      <c r="BN279" s="152" t="s">
        <v>1560</v>
      </c>
      <c r="BO279" s="152" t="s">
        <v>1982</v>
      </c>
      <c r="BP279" s="152" t="s">
        <v>2574</v>
      </c>
      <c r="BQ279" s="152" t="s">
        <v>2590</v>
      </c>
      <c r="BR279" s="152" t="s">
        <v>2575</v>
      </c>
      <c r="BS279" s="152" t="n">
        <v>203620.088</v>
      </c>
      <c r="BT279" s="152" t="n">
        <v>8238018.171</v>
      </c>
      <c r="BU279" s="152" t="n">
        <v>203627.362</v>
      </c>
      <c r="BV279" s="152" t="n">
        <v>8237959.864</v>
      </c>
      <c r="BW279" s="152" t="n">
        <v>-15.9196377</v>
      </c>
      <c r="BX279" s="152" t="n">
        <v>-47.7680645</v>
      </c>
      <c r="BY279" s="152" t="s">
        <v>2574</v>
      </c>
    </row>
    <row r="280" customFormat="false" ht="13.8" hidden="false" customHeight="false" outlineLevel="0" collapsed="false">
      <c r="A280" s="149" t="n">
        <f aca="false">IF(C280&lt;&gt;"",ROW(A275),"")</f>
        <v>275</v>
      </c>
      <c r="B280" s="150" t="str">
        <f aca="false">HYPERLINK("https://www.google.com/maps/dir/-15.917302,-47.760003/-15.9194020,-47.7724521/data=!4m3!4m2!3e0!5i0")</f>
        <v>https://www.google.com/maps/dir/-15.917302,-47.760003/-15.9194020,-47.7724521/data=!4m3!4m2!3e0!5i0</v>
      </c>
      <c r="C280" s="151" t="s">
        <v>117</v>
      </c>
      <c r="D280" s="152" t="s">
        <v>112</v>
      </c>
      <c r="E280" s="152" t="s">
        <v>113</v>
      </c>
      <c r="F280" s="152" t="s">
        <v>117</v>
      </c>
      <c r="G280" s="152" t="s">
        <v>114</v>
      </c>
      <c r="H280" s="152" t="n">
        <v>160</v>
      </c>
      <c r="I280" s="152" t="s">
        <v>115</v>
      </c>
      <c r="J280" s="152" t="s">
        <v>6</v>
      </c>
      <c r="K280" s="152" t="s">
        <v>2522</v>
      </c>
      <c r="L280" s="152" t="s">
        <v>120</v>
      </c>
      <c r="M280" s="153" t="n">
        <f aca="false">54.6</f>
        <v>54.6</v>
      </c>
      <c r="N280" s="152" t="s">
        <v>1548</v>
      </c>
      <c r="O280" s="152" t="s">
        <v>1549</v>
      </c>
      <c r="P280" s="152" t="s">
        <v>1550</v>
      </c>
      <c r="Q280" s="152" t="s">
        <v>1551</v>
      </c>
      <c r="R280" s="154" t="s">
        <v>2591</v>
      </c>
      <c r="S280" s="154" t="s">
        <v>1593</v>
      </c>
      <c r="T280" s="155" t="s">
        <v>1979</v>
      </c>
      <c r="U280" s="152" t="str">
        <f aca="false">RIGHT(T280,7)</f>
        <v>006/037</v>
      </c>
      <c r="V280" s="152" t="s">
        <v>1555</v>
      </c>
      <c r="W280" s="156" t="n">
        <v>45882</v>
      </c>
      <c r="X280" s="152" t="s">
        <v>1594</v>
      </c>
      <c r="Y280" s="152" t="s">
        <v>2553</v>
      </c>
      <c r="Z280" s="152" t="s">
        <v>1557</v>
      </c>
      <c r="AA280" s="153" t="n">
        <v>2.7</v>
      </c>
      <c r="AB280" s="151" t="s">
        <v>2592</v>
      </c>
      <c r="AC280" s="151" t="s">
        <v>505</v>
      </c>
      <c r="AD280" s="151" t="str">
        <f aca="false">CONCATENATE($C280,$I280,$H280,$N280,$J280,$K280)</f>
        <v>TUBO PEADPEAD160VCAREDESZona03</v>
      </c>
      <c r="AE280" s="153" t="n">
        <f aca="false">IFERROR(INDEX(APOIO_REDES!$A:$W,MATCH($C280&amp;$I280&amp;$H280&amp;$N280&amp;$O280,APOIO_REDES!$W:$W,0),MATCH(AE$5,APOIO_REDES!$5:$5,0)),0)</f>
        <v>1.2</v>
      </c>
      <c r="AF280" s="153" t="n">
        <f aca="false">IFERROR(INDEX(APOIO_REDES!$A:$W,MATCH($C280&amp;$I280&amp;$H280&amp;$N280&amp;$O280,APOIO_REDES!$W:$W,0),MATCH(AF$5,APOIO_REDES!$5:$5,0)),0)</f>
        <v>1.46</v>
      </c>
      <c r="AG280" s="153" t="n">
        <f aca="false">IFERROR(INDEX(APOIO_REDES!$A:$W,MATCH($C280&amp;$I280&amp;$H280&amp;$N280&amp;$O280,APOIO_REDES!$W:$W,0),MATCH(AG$5,APOIO_REDES!$5:$5,0)),0)</f>
        <v>0.75</v>
      </c>
      <c r="AH280" s="153" t="n">
        <f aca="false">IFERROR(INDEX(APOIO_REDES!$A:$W,MATCH($C280&amp;$I280&amp;$H280&amp;$N280&amp;$O280,APOIO_REDES!$W:$W,0),MATCH(AH$5,APOIO_REDES!$5:$5,0)),0)</f>
        <v>0.1</v>
      </c>
      <c r="AI280" s="153" t="n">
        <f aca="false">IFERROR(IF($H280&lt;&gt;"",(((($H280/1000)/2)^2)*PI()*$M280),0),0)</f>
        <v>1.09779813687042</v>
      </c>
      <c r="AJ280" s="153" t="n">
        <f aca="false">IFERROR(IF(AND($H280&lt;&gt;"",$I280="FoFo",OR($N280="MND",$N280="VCA"),$Q280="LINEAR"),0,IF(AND($H280&lt;&gt;"",$I280="PEAD",$N280="VCA",$Q280="LINEAR"),($H280/1000)+0.3,IF(AND($H280&lt;&gt;"",$I280="PEAD",$N280="MND",$Q280="EMBOQUE"),0,IF(AND($H280&lt;&gt;"",$I280="PVC",$N280="VCA",$Q280="LINEAR"),($H280/1000)+0.2,IF(AND($H280&lt;&gt;"",$I280="PVC",$N280="MND",$Q280="EMBOQUE"),0,IF(AND($H280&lt;&gt;"",$I280="PEAD",$N280="VCA",$Q280="PREDIAL"),0,0)))))),0)</f>
        <v>0.46</v>
      </c>
      <c r="AK280" s="153" t="n">
        <f aca="false">IF(AA280&lt;&gt;"",AA280,0)</f>
        <v>2.7</v>
      </c>
      <c r="AL280" s="153" t="n">
        <f aca="false">IF(AND($N280="MND",$Q280="EMBOQUE"),$M280,IF(AND($N280="VCA",$Q280="LINEAR"),$M280,IF(AND($N280="VCA",$Q280="PREDIAL"),0,0)))</f>
        <v>54.6</v>
      </c>
      <c r="AM280" s="153" t="n">
        <f aca="false">IF(AND($N280="MND",$Q280="EMBOQUE"),$M280,IF(AND($N280="VCA",$Q280="LINEAR"),$M280,IF(AND($N280="VCA",$Q280="PREDIAL"),0,0)))</f>
        <v>54.6</v>
      </c>
      <c r="AN280" s="153" t="n">
        <f aca="false">ROUND(IF(AND($N280="VCA",$M280&lt;&gt;"",$Q280="LINEAR"),$M280/100,IF(AND($N280="MND",$M280&gt;100,$Q280="EMBOQUE"),$M280/100,0)),0)</f>
        <v>1</v>
      </c>
      <c r="AO280" s="153" t="n">
        <f aca="false">IF(AND($N280="MND",$Q280="EMBOQUE"),$AN280*2*2,IF(AND($N280="VCA",$Q280="LINEAR"),$M280*2,IF(AND($N280="VCA",$Q280="PREDIAL"),0,0)))</f>
        <v>109.2</v>
      </c>
      <c r="AP280" s="153" t="n">
        <f aca="false">IFERROR($M280*$AF280*$AG280,0)</f>
        <v>59.787</v>
      </c>
      <c r="AQ280" s="153" t="n">
        <f aca="false">IFERROR(IF(AND($N280="VCA",$AH280&gt;0),$M280*$AG280*$AH280,0),0)</f>
        <v>4.095</v>
      </c>
      <c r="AR280" s="153" t="n">
        <f aca="false">IFERROR(IF(AND($N280="VCA",$AJ280&gt;0),($M280*$AG280*$AJ280)-$AI280,0),0)</f>
        <v>17.7392018631296</v>
      </c>
      <c r="AS280" s="153" t="n">
        <f aca="false">IFERROR(IF(AND($N280="VCA",$AP280&gt;0),$AP280-$AI280-$AQ280-$AR280,0),0)</f>
        <v>36.855</v>
      </c>
      <c r="AT280" s="153" t="n">
        <f aca="false">IFERROR(IF($N280="VCA",INDEX(APOIO_REDES!$A:$W,MATCH($C280&amp;$I280&amp;$H280&amp;$N280&amp;$O280,APOIO_REDES!$W:$W,0),MATCH(AT$5,APOIO_REDES!$5:$5,0)),0)*$AP280,0)</f>
        <v>0.650500256048707</v>
      </c>
      <c r="AU280" s="153" t="n">
        <f aca="false">IFERROR(IF($N280="VCA",INDEX(APOIO_REDES!$A:$W,MATCH($C280&amp;$I280&amp;$H280&amp;$N280&amp;$O280,APOIO_REDES!$W:$W,0),MATCH(AU$5,APOIO_REDES!$5:$5,0)),0)*$AP280,0)</f>
        <v>0.519471886699268</v>
      </c>
      <c r="AV280" s="153" t="n">
        <f aca="false">IFERROR(IF($N280="VCA",INDEX(APOIO_REDES!$A:$W,MATCH($C280&amp;$I280&amp;$H280&amp;$N280&amp;$O280,APOIO_REDES!$W:$W,0),MATCH(AV$5,APOIO_REDES!$5:$5,0)),0)*$AP280,0)</f>
        <v>0.071890831104977</v>
      </c>
      <c r="AW280" s="153" t="n">
        <f aca="false">IFERROR(IF($N280="VCA",INDEX(APOIO_REDES!$A:$W,MATCH($C280&amp;$I280&amp;$H280&amp;$N280&amp;$O280,APOIO_REDES!$W:$W,0),MATCH(AW$5,APOIO_REDES!$5:$5,0)),0)*$AP280,0)</f>
        <v>41.0382600522816</v>
      </c>
      <c r="AX280" s="153" t="n">
        <f aca="false">IFERROR(IF($N280="VCA",INDEX(APOIO_REDES!$A:$W,MATCH($C280&amp;$I280&amp;$H280&amp;$N280&amp;$O280,APOIO_REDES!$W:$W,0),MATCH(AX$5,APOIO_REDES!$5:$5,0)),0)*$AP280,0)</f>
        <v>5.67957829153923</v>
      </c>
      <c r="AY280" s="153" t="n">
        <f aca="false">IFERROR(IF($N280="VCA",INDEX(APOIO_REDES!$A:$W,MATCH($C280&amp;$I280&amp;$H280&amp;$N280&amp;$O280,APOIO_REDES!$W:$W,0),MATCH(AY$5,APOIO_REDES!$5:$5,0)),0)*$AP280,0)</f>
        <v>10.3894314016652</v>
      </c>
      <c r="AZ280" s="153" t="n">
        <f aca="false">IFERROR(IF($N280="VCA",INDEX(APOIO_REDES!$A:$W,MATCH($C280&amp;$I280&amp;$H280&amp;$N280&amp;$O280,APOIO_REDES!$W:$W,0),MATCH(AZ$5,APOIO_REDES!$5:$5,0)),0)*$AP280,0)</f>
        <v>1.43786728066105</v>
      </c>
      <c r="BA280" s="153" t="n">
        <f aca="false">IFERROR(IF(AND($N280="VCA",$Q280="LINEAR"),INDEX(APOIO_REDES!$A:$W,MATCH($C280&amp;$I280&amp;$H280&amp;$N280&amp;$O280,APOIO_REDES!$W:$W,0),MATCH(BA$5,APOIO_REDES!$5:$5,0)),IF(AND($N280="MND",$Q280="EMBOQUE"),INDEX(APOIO_REDES!$A:$W,MATCH($C280&amp;$I280&amp;$H280&amp;$N280&amp;$O280,APOIO_REDES!$W:$W,0),MATCH(BA$5,APOIO_REDES!$5:$5,0)),0))*$M280/10,0)</f>
        <v>4.400622275856</v>
      </c>
      <c r="BB280" s="153" t="n">
        <f aca="false">IFERROR(IF($N280="VCA",INDEX(APOIO_REDES!$A:$W,MATCH($C280&amp;$I280&amp;$H280&amp;$N280&amp;$O280,APOIO_REDES!$W:$W,0),MATCH(BB$5,APOIO_REDES!$5:$5,0)),0)*($AI280+$AQ280+$AR280),0)</f>
        <v>22.6824930524745</v>
      </c>
      <c r="BC280" s="153" t="n">
        <f aca="false">IFERROR(IF($N280="VCA",INDEX(APOIO_REDES!$A:$W,MATCH($C280&amp;$I280&amp;$H280&amp;$N280&amp;$O280,APOIO_REDES!$W:$W,0),MATCH(BC$5,APOIO_REDES!$5:$5,0)),0)*($AI280+$AQ280+$AR280),0)</f>
        <v>0.249506947525532</v>
      </c>
      <c r="BD280" s="153" t="n">
        <f aca="false">IF(AND($N280="VCA",$AF280&gt;=1.25,$AF280&lt;1.5),$M280*$AF280*2,0)</f>
        <v>159.432</v>
      </c>
      <c r="BE280" s="153" t="n">
        <f aca="false">IF(AND($N280="VCA",$AF280&gt;=1.5,$AF280&lt;3),$M280*$AF280*2,0)</f>
        <v>0</v>
      </c>
      <c r="BF280" s="153" t="n">
        <f aca="false">IF(AND($N280="VCA",$AF280&gt;=3),$M280*$AF280*2,0)</f>
        <v>0</v>
      </c>
      <c r="BG280" s="153" t="n">
        <f aca="false">($BB280+$BC280)*$AK280</f>
        <v>61.9164</v>
      </c>
      <c r="BH280" s="153" t="n">
        <f aca="false">IF(AND($M280&lt;&gt;"",$N280="VCA",$Q280="LINEAR"),($M280*2)/100,IF(AND($M280&lt;&gt;"",$N280="MND",$Q280="EMBOQUE"),($AN280*2)/100,0))</f>
        <v>1.092</v>
      </c>
      <c r="BI280" s="153" t="n">
        <f aca="false">IF(AND($M280&lt;&gt;"",$N280="VCA",$Q280="LINEAR"),$M280,IF(AND($M280&lt;&gt;"",$N280="MND",$Q280="EMBOQUE"),$AN280*2,0))</f>
        <v>54.6</v>
      </c>
      <c r="BJ280" s="153" t="n">
        <f aca="false">IF(AND($M280&lt;&gt;"",$N280="VCA",$Q280="LINEAR"),($M280*6.8)/100,IF(AND($M280&lt;&gt;"",$N280="MND",$Q280="EMBOQUE"),($AN280*2*6.8)/100,0))</f>
        <v>3.7128</v>
      </c>
      <c r="BK280" s="153" t="n">
        <f aca="false">IF(AND($M280&lt;&gt;"",$N280="VCA",$Q280="LINEAR"),($M280*2.5)/50,IF(AND($M280&lt;&gt;"",$N280="MND",$Q280="EMBOQUE"),($AN280*2*2.5)/50,0))</f>
        <v>2.73</v>
      </c>
      <c r="BL280" s="157" t="str">
        <f aca="false">K280&amp;J280</f>
        <v>Zona03REDES</v>
      </c>
      <c r="BM280" s="152" t="s">
        <v>2526</v>
      </c>
      <c r="BN280" s="152" t="s">
        <v>1560</v>
      </c>
      <c r="BO280" s="152" t="s">
        <v>1982</v>
      </c>
      <c r="BP280" s="152" t="s">
        <v>2570</v>
      </c>
      <c r="BQ280" s="152" t="s">
        <v>2593</v>
      </c>
      <c r="BR280" s="152" t="s">
        <v>2594</v>
      </c>
      <c r="BS280" s="152" t="n">
        <v>203152.791</v>
      </c>
      <c r="BT280" s="152" t="n">
        <v>8238009.184</v>
      </c>
      <c r="BU280" s="152" t="n">
        <v>203120.579</v>
      </c>
      <c r="BV280" s="152" t="n">
        <v>8237965.103</v>
      </c>
      <c r="BW280" s="152" t="n">
        <v>-15.9195954</v>
      </c>
      <c r="BX280" s="152" t="n">
        <v>-47.7726109</v>
      </c>
      <c r="BY280" s="152" t="s">
        <v>2570</v>
      </c>
    </row>
    <row r="281" customFormat="false" ht="13.8" hidden="false" customHeight="false" outlineLevel="0" collapsed="false">
      <c r="A281" s="149" t="n">
        <f aca="false">IF(C281&lt;&gt;"",ROW(A276),"")</f>
        <v>276</v>
      </c>
      <c r="B281" s="150" t="str">
        <f aca="false">HYPERLINK("https://www.google.com/maps/dir/-15.917302,-47.760003/-15.9193038,-47.7680527/data=!4m3!4m2!3e0!5i0")</f>
        <v>https://www.google.com/maps/dir/-15.917302,-47.760003/-15.9193038,-47.7680527/data=!4m3!4m2!3e0!5i0</v>
      </c>
      <c r="C281" s="151" t="s">
        <v>117</v>
      </c>
      <c r="D281" s="152" t="s">
        <v>112</v>
      </c>
      <c r="E281" s="152" t="s">
        <v>113</v>
      </c>
      <c r="F281" s="152" t="s">
        <v>117</v>
      </c>
      <c r="G281" s="152" t="s">
        <v>782</v>
      </c>
      <c r="H281" s="152" t="n">
        <v>110</v>
      </c>
      <c r="I281" s="152" t="s">
        <v>115</v>
      </c>
      <c r="J281" s="152" t="s">
        <v>6</v>
      </c>
      <c r="K281" s="152" t="s">
        <v>2522</v>
      </c>
      <c r="L281" s="152" t="s">
        <v>120</v>
      </c>
      <c r="M281" s="153" t="n">
        <f aca="false">82.54</f>
        <v>82.54</v>
      </c>
      <c r="N281" s="152" t="s">
        <v>1548</v>
      </c>
      <c r="O281" s="152" t="s">
        <v>1549</v>
      </c>
      <c r="P281" s="152" t="s">
        <v>1550</v>
      </c>
      <c r="Q281" s="152" t="s">
        <v>1551</v>
      </c>
      <c r="R281" s="154" t="s">
        <v>2595</v>
      </c>
      <c r="S281" s="154" t="s">
        <v>1593</v>
      </c>
      <c r="T281" s="155" t="s">
        <v>1979</v>
      </c>
      <c r="U281" s="152" t="str">
        <f aca="false">RIGHT(T281,7)</f>
        <v>006/037</v>
      </c>
      <c r="V281" s="152" t="s">
        <v>1555</v>
      </c>
      <c r="W281" s="156" t="n">
        <v>45882</v>
      </c>
      <c r="X281" s="152" t="s">
        <v>1594</v>
      </c>
      <c r="Y281" s="152" t="s">
        <v>2524</v>
      </c>
      <c r="Z281" s="152" t="s">
        <v>1557</v>
      </c>
      <c r="AA281" s="153" t="n">
        <v>2.6</v>
      </c>
      <c r="AB281" s="151" t="s">
        <v>2596</v>
      </c>
      <c r="AC281" s="151" t="s">
        <v>502</v>
      </c>
      <c r="AD281" s="151" t="str">
        <f aca="false">CONCATENATE($C281,$I281,$H281,$N281,$J281,$K281)</f>
        <v>TUBO PEADPEAD110VCAREDESZona03</v>
      </c>
      <c r="AE281" s="153" t="n">
        <f aca="false">IFERROR(INDEX(APOIO_REDES!$A:$W,MATCH($C281&amp;$I281&amp;$H281&amp;$N281&amp;$O281,APOIO_REDES!$W:$W,0),MATCH(AE$5,APOIO_REDES!$5:$5,0)),0)</f>
        <v>1.2</v>
      </c>
      <c r="AF281" s="153" t="n">
        <f aca="false">IFERROR(INDEX(APOIO_REDES!$A:$W,MATCH($C281&amp;$I281&amp;$H281&amp;$N281&amp;$O281,APOIO_REDES!$W:$W,0),MATCH(AF$5,APOIO_REDES!$5:$5,0)),0)</f>
        <v>1.41</v>
      </c>
      <c r="AG281" s="153" t="n">
        <f aca="false">IFERROR(INDEX(APOIO_REDES!$A:$W,MATCH($C281&amp;$I281&amp;$H281&amp;$N281&amp;$O281,APOIO_REDES!$W:$W,0),MATCH(AG$5,APOIO_REDES!$5:$5,0)),0)</f>
        <v>0.75</v>
      </c>
      <c r="AH281" s="153" t="n">
        <f aca="false">IFERROR(INDEX(APOIO_REDES!$A:$W,MATCH($C281&amp;$I281&amp;$H281&amp;$N281&amp;$O281,APOIO_REDES!$W:$W,0),MATCH(AH$5,APOIO_REDES!$5:$5,0)),0)</f>
        <v>0.1</v>
      </c>
      <c r="AI281" s="153" t="n">
        <f aca="false">IFERROR(IF($H281&lt;&gt;"",(((($H281/1000)/2)^2)*PI()*$M281),0),0)</f>
        <v>0.784403849322587</v>
      </c>
      <c r="AJ281" s="153" t="n">
        <f aca="false">IFERROR(IF(AND($H281&lt;&gt;"",$I281="FoFo",OR($N281="MND",$N281="VCA"),$Q281="LINEAR"),0,IF(AND($H281&lt;&gt;"",$I281="PEAD",$N281="VCA",$Q281="LINEAR"),($H281/1000)+0.3,IF(AND($H281&lt;&gt;"",$I281="PEAD",$N281="MND",$Q281="EMBOQUE"),0,IF(AND($H281&lt;&gt;"",$I281="PVC",$N281="VCA",$Q281="LINEAR"),($H281/1000)+0.2,IF(AND($H281&lt;&gt;"",$I281="PVC",$N281="MND",$Q281="EMBOQUE"),0,IF(AND($H281&lt;&gt;"",$I281="PEAD",$N281="VCA",$Q281="PREDIAL"),0,0)))))),0)</f>
        <v>0.41</v>
      </c>
      <c r="AK281" s="153" t="n">
        <f aca="false">IF(AA281&lt;&gt;"",AA281,0)</f>
        <v>2.6</v>
      </c>
      <c r="AL281" s="153" t="n">
        <f aca="false">IF(AND($N281="MND",$Q281="EMBOQUE"),$M281,IF(AND($N281="VCA",$Q281="LINEAR"),$M281,IF(AND($N281="VCA",$Q281="PREDIAL"),0,0)))</f>
        <v>82.54</v>
      </c>
      <c r="AM281" s="153" t="n">
        <f aca="false">IF(AND($N281="MND",$Q281="EMBOQUE"),$M281,IF(AND($N281="VCA",$Q281="LINEAR"),$M281,IF(AND($N281="VCA",$Q281="PREDIAL"),0,0)))</f>
        <v>82.54</v>
      </c>
      <c r="AN281" s="153" t="n">
        <f aca="false">ROUND(IF(AND($N281="VCA",$M281&lt;&gt;"",$Q281="LINEAR"),$M281/100,IF(AND($N281="MND",$M281&gt;100,$Q281="EMBOQUE"),$M281/100,0)),0)</f>
        <v>1</v>
      </c>
      <c r="AO281" s="153" t="n">
        <f aca="false">IF(AND($N281="MND",$Q281="EMBOQUE"),$AN281*2*2,IF(AND($N281="VCA",$Q281="LINEAR"),$M281*2,IF(AND($N281="VCA",$Q281="PREDIAL"),0,0)))</f>
        <v>165.08</v>
      </c>
      <c r="AP281" s="153" t="n">
        <f aca="false">IFERROR($M281*$AF281*$AG281,0)</f>
        <v>87.28605</v>
      </c>
      <c r="AQ281" s="153" t="n">
        <f aca="false">IFERROR(IF(AND($N281="VCA",$AH281&gt;0),$M281*$AG281*$AH281,0),0)</f>
        <v>6.1905</v>
      </c>
      <c r="AR281" s="153" t="n">
        <f aca="false">IFERROR(IF(AND($N281="VCA",$AJ281&gt;0),($M281*$AG281*$AJ281)-$AI281,0),0)</f>
        <v>24.5966461506774</v>
      </c>
      <c r="AS281" s="153" t="n">
        <f aca="false">IFERROR(IF(AND($N281="VCA",$AP281&gt;0),$AP281-$AI281-$AQ281-$AR281,0),0)</f>
        <v>55.7145</v>
      </c>
      <c r="AT281" s="153" t="n">
        <f aca="false">IFERROR(IF($N281="VCA",INDEX(APOIO_REDES!$A:$W,MATCH($C281&amp;$I281&amp;$H281&amp;$N281&amp;$O281,APOIO_REDES!$W:$W,0),MATCH(AT$5,APOIO_REDES!$5:$5,0)),0)*$AP281,0)</f>
        <v>0.949698059352038</v>
      </c>
      <c r="AU281" s="153" t="n">
        <f aca="false">IFERROR(IF($N281="VCA",INDEX(APOIO_REDES!$A:$W,MATCH($C281&amp;$I281&amp;$H281&amp;$N281&amp;$O281,APOIO_REDES!$W:$W,0),MATCH(AU$5,APOIO_REDES!$5:$5,0)),0)*$AP281,0)</f>
        <v>0.758403149113129</v>
      </c>
      <c r="AV281" s="153" t="n">
        <f aca="false">IFERROR(IF($N281="VCA",INDEX(APOIO_REDES!$A:$W,MATCH($C281&amp;$I281&amp;$H281&amp;$N281&amp;$O281,APOIO_REDES!$W:$W,0),MATCH(AV$5,APOIO_REDES!$5:$5,0)),0)*$AP281,0)</f>
        <v>0.104957042139103</v>
      </c>
      <c r="AW281" s="153" t="n">
        <f aca="false">IFERROR(IF($N281="VCA",INDEX(APOIO_REDES!$A:$W,MATCH($C281&amp;$I281&amp;$H281&amp;$N281&amp;$O281,APOIO_REDES!$W:$W,0),MATCH(AW$5,APOIO_REDES!$5:$5,0)),0)*$AP281,0)</f>
        <v>59.9138210453185</v>
      </c>
      <c r="AX281" s="153" t="n">
        <f aca="false">IFERROR(IF($N281="VCA",INDEX(APOIO_REDES!$A:$W,MATCH($C281&amp;$I281&amp;$H281&amp;$N281&amp;$O281,APOIO_REDES!$W:$W,0),MATCH(AX$5,APOIO_REDES!$5:$5,0)),0)*$AP281,0)</f>
        <v>8.29190216492227</v>
      </c>
      <c r="AY281" s="153" t="n">
        <f aca="false">IFERROR(IF($N281="VCA",INDEX(APOIO_REDES!$A:$W,MATCH($C281&amp;$I281&amp;$H281&amp;$N281&amp;$O281,APOIO_REDES!$W:$W,0),MATCH(AY$5,APOIO_REDES!$5:$5,0)),0)*$AP281,0)</f>
        <v>15.1680537373897</v>
      </c>
      <c r="AZ281" s="153" t="n">
        <f aca="false">IFERROR(IF($N281="VCA",INDEX(APOIO_REDES!$A:$W,MATCH($C281&amp;$I281&amp;$H281&amp;$N281&amp;$O281,APOIO_REDES!$W:$W,0),MATCH(AZ$5,APOIO_REDES!$5:$5,0)),0)*$AP281,0)</f>
        <v>2.09921480176534</v>
      </c>
      <c r="BA281" s="153" t="n">
        <f aca="false">IFERROR(IF(AND($N281="VCA",$Q281="LINEAR"),INDEX(APOIO_REDES!$A:$W,MATCH($C281&amp;$I281&amp;$H281&amp;$N281&amp;$O281,APOIO_REDES!$W:$W,0),MATCH(BA$5,APOIO_REDES!$5:$5,0)),IF(AND($N281="MND",$Q281="EMBOQUE"),INDEX(APOIO_REDES!$A:$W,MATCH($C281&amp;$I281&amp;$H281&amp;$N281&amp;$O281,APOIO_REDES!$W:$W,0),MATCH(BA$5,APOIO_REDES!$5:$5,0)),0))*$M281/10,0)</f>
        <v>6.65251579943507</v>
      </c>
      <c r="BB281" s="153" t="n">
        <f aca="false">IFERROR(IF($N281="VCA",INDEX(APOIO_REDES!$A:$W,MATCH($C281&amp;$I281&amp;$H281&amp;$N281&amp;$O281,APOIO_REDES!$W:$W,0),MATCH(BB$5,APOIO_REDES!$5:$5,0)),0)*($AI281+$AQ281+$AR281),0)</f>
        <v>31.2280421912982</v>
      </c>
      <c r="BC281" s="153" t="n">
        <f aca="false">IFERROR(IF($N281="VCA",INDEX(APOIO_REDES!$A:$W,MATCH($C281&amp;$I281&amp;$H281&amp;$N281&amp;$O281,APOIO_REDES!$W:$W,0),MATCH(BC$5,APOIO_REDES!$5:$5,0)),0)*($AI281+$AQ281+$AR281),0)</f>
        <v>0.343507808701801</v>
      </c>
      <c r="BD281" s="153" t="n">
        <f aca="false">IF(AND($N281="VCA",$AF281&gt;=1.25,$AF281&lt;1.5),$M281*$AF281*2,0)</f>
        <v>232.7628</v>
      </c>
      <c r="BE281" s="153" t="n">
        <f aca="false">IF(AND($N281="VCA",$AF281&gt;=1.5,$AF281&lt;3),$M281*$AF281*2,0)</f>
        <v>0</v>
      </c>
      <c r="BF281" s="153" t="n">
        <f aca="false">IF(AND($N281="VCA",$AF281&gt;=3),$M281*$AF281*2,0)</f>
        <v>0</v>
      </c>
      <c r="BG281" s="153" t="n">
        <f aca="false">($BB281+$BC281)*$AK281</f>
        <v>82.08603</v>
      </c>
      <c r="BH281" s="153" t="n">
        <f aca="false">IF(AND($M281&lt;&gt;"",$N281="VCA",$Q281="LINEAR"),($M281*2)/100,IF(AND($M281&lt;&gt;"",$N281="MND",$Q281="EMBOQUE"),($AN281*2)/100,0))</f>
        <v>1.6508</v>
      </c>
      <c r="BI281" s="153" t="n">
        <f aca="false">IF(AND($M281&lt;&gt;"",$N281="VCA",$Q281="LINEAR"),$M281,IF(AND($M281&lt;&gt;"",$N281="MND",$Q281="EMBOQUE"),$AN281*2,0))</f>
        <v>82.54</v>
      </c>
      <c r="BJ281" s="153" t="n">
        <f aca="false">IF(AND($M281&lt;&gt;"",$N281="VCA",$Q281="LINEAR"),($M281*6.8)/100,IF(AND($M281&lt;&gt;"",$N281="MND",$Q281="EMBOQUE"),($AN281*2*6.8)/100,0))</f>
        <v>5.61272</v>
      </c>
      <c r="BK281" s="153" t="n">
        <f aca="false">IF(AND($M281&lt;&gt;"",$N281="VCA",$Q281="LINEAR"),($M281*2.5)/50,IF(AND($M281&lt;&gt;"",$N281="MND",$Q281="EMBOQUE"),($AN281*2*2.5)/50,0))</f>
        <v>4.127</v>
      </c>
      <c r="BL281" s="157" t="str">
        <f aca="false">K281&amp;J281</f>
        <v>Zona03REDES</v>
      </c>
      <c r="BM281" s="152" t="s">
        <v>2526</v>
      </c>
      <c r="BN281" s="152" t="s">
        <v>1560</v>
      </c>
      <c r="BO281" s="152" t="s">
        <v>1982</v>
      </c>
      <c r="BP281" s="152" t="s">
        <v>2562</v>
      </c>
      <c r="BQ281" s="152" t="s">
        <v>2597</v>
      </c>
      <c r="BR281" s="152" t="s">
        <v>2598</v>
      </c>
      <c r="BS281" s="152" t="n">
        <v>203624.505</v>
      </c>
      <c r="BT281" s="152" t="n">
        <v>8238026.007</v>
      </c>
      <c r="BU281" s="152" t="n">
        <v>203634.066</v>
      </c>
      <c r="BV281" s="152" t="n">
        <v>8237944.027</v>
      </c>
      <c r="BW281" s="152" t="n">
        <v>-15.9196745</v>
      </c>
      <c r="BX281" s="152" t="n">
        <v>-47.7680131</v>
      </c>
      <c r="BY281" s="152" t="s">
        <v>2562</v>
      </c>
    </row>
    <row r="282" customFormat="false" ht="13.8" hidden="false" customHeight="false" outlineLevel="0" collapsed="false">
      <c r="A282" s="149" t="n">
        <f aca="false">IF(C282&lt;&gt;"",ROW(A277),"")</f>
        <v>277</v>
      </c>
      <c r="B282" s="150" t="str">
        <f aca="false">HYPERLINK("https://www.google.com/maps/dir/-15.917302,-47.760003/-15.9193237,-47.7670598/data=!4m3!4m2!3e0!5i0")</f>
        <v>https://www.google.com/maps/dir/-15.917302,-47.760003/-15.9193237,-47.7670598/data=!4m3!4m2!3e0!5i0</v>
      </c>
      <c r="C282" s="151" t="s">
        <v>117</v>
      </c>
      <c r="D282" s="152" t="s">
        <v>112</v>
      </c>
      <c r="E282" s="152" t="s">
        <v>113</v>
      </c>
      <c r="F282" s="152" t="s">
        <v>117</v>
      </c>
      <c r="G282" s="152" t="s">
        <v>782</v>
      </c>
      <c r="H282" s="152" t="n">
        <v>110</v>
      </c>
      <c r="I282" s="152" t="s">
        <v>115</v>
      </c>
      <c r="J282" s="152" t="s">
        <v>6</v>
      </c>
      <c r="K282" s="152" t="s">
        <v>2522</v>
      </c>
      <c r="L282" s="152" t="s">
        <v>120</v>
      </c>
      <c r="M282" s="153" t="n">
        <f aca="false">125.97</f>
        <v>125.97</v>
      </c>
      <c r="N282" s="152" t="s">
        <v>1548</v>
      </c>
      <c r="O282" s="152" t="s">
        <v>1549</v>
      </c>
      <c r="P282" s="152" t="s">
        <v>1550</v>
      </c>
      <c r="Q282" s="152" t="s">
        <v>1551</v>
      </c>
      <c r="R282" s="154" t="s">
        <v>2599</v>
      </c>
      <c r="S282" s="154" t="s">
        <v>1593</v>
      </c>
      <c r="T282" s="155" t="s">
        <v>1979</v>
      </c>
      <c r="U282" s="152" t="str">
        <f aca="false">RIGHT(T282,7)</f>
        <v>006/037</v>
      </c>
      <c r="V282" s="152" t="s">
        <v>1555</v>
      </c>
      <c r="W282" s="156" t="n">
        <v>45882</v>
      </c>
      <c r="X282" s="152" t="s">
        <v>1594</v>
      </c>
      <c r="Y282" s="152" t="s">
        <v>2524</v>
      </c>
      <c r="Z282" s="152" t="s">
        <v>1557</v>
      </c>
      <c r="AA282" s="153" t="n">
        <v>2.8</v>
      </c>
      <c r="AB282" s="151" t="s">
        <v>2600</v>
      </c>
      <c r="AC282" s="151" t="s">
        <v>502</v>
      </c>
      <c r="AD282" s="151" t="str">
        <f aca="false">CONCATENATE($C282,$I282,$H282,$N282,$J282,$K282)</f>
        <v>TUBO PEADPEAD110VCAREDESZona03</v>
      </c>
      <c r="AE282" s="153" t="n">
        <f aca="false">IFERROR(INDEX(APOIO_REDES!$A:$W,MATCH($C282&amp;$I282&amp;$H282&amp;$N282&amp;$O282,APOIO_REDES!$W:$W,0),MATCH(AE$5,APOIO_REDES!$5:$5,0)),0)</f>
        <v>1.2</v>
      </c>
      <c r="AF282" s="153" t="n">
        <f aca="false">IFERROR(INDEX(APOIO_REDES!$A:$W,MATCH($C282&amp;$I282&amp;$H282&amp;$N282&amp;$O282,APOIO_REDES!$W:$W,0),MATCH(AF$5,APOIO_REDES!$5:$5,0)),0)</f>
        <v>1.41</v>
      </c>
      <c r="AG282" s="153" t="n">
        <f aca="false">IFERROR(INDEX(APOIO_REDES!$A:$W,MATCH($C282&amp;$I282&amp;$H282&amp;$N282&amp;$O282,APOIO_REDES!$W:$W,0),MATCH(AG$5,APOIO_REDES!$5:$5,0)),0)</f>
        <v>0.75</v>
      </c>
      <c r="AH282" s="153" t="n">
        <f aca="false">IFERROR(INDEX(APOIO_REDES!$A:$W,MATCH($C282&amp;$I282&amp;$H282&amp;$N282&amp;$O282,APOIO_REDES!$W:$W,0),MATCH(AH$5,APOIO_REDES!$5:$5,0)),0)</f>
        <v>0.1</v>
      </c>
      <c r="AI282" s="153" t="n">
        <f aca="false">IFERROR(IF($H282&lt;&gt;"",(((($H282/1000)/2)^2)*PI()*$M282),0),0)</f>
        <v>1.19713294038244</v>
      </c>
      <c r="AJ282" s="153" t="n">
        <f aca="false">IFERROR(IF(AND($H282&lt;&gt;"",$I282="FoFo",OR($N282="MND",$N282="VCA"),$Q282="LINEAR"),0,IF(AND($H282&lt;&gt;"",$I282="PEAD",$N282="VCA",$Q282="LINEAR"),($H282/1000)+0.3,IF(AND($H282&lt;&gt;"",$I282="PEAD",$N282="MND",$Q282="EMBOQUE"),0,IF(AND($H282&lt;&gt;"",$I282="PVC",$N282="VCA",$Q282="LINEAR"),($H282/1000)+0.2,IF(AND($H282&lt;&gt;"",$I282="PVC",$N282="MND",$Q282="EMBOQUE"),0,IF(AND($H282&lt;&gt;"",$I282="PEAD",$N282="VCA",$Q282="PREDIAL"),0,0)))))),0)</f>
        <v>0.41</v>
      </c>
      <c r="AK282" s="153" t="n">
        <f aca="false">IF(AA282&lt;&gt;"",AA282,0)</f>
        <v>2.8</v>
      </c>
      <c r="AL282" s="153" t="n">
        <f aca="false">IF(AND($N282="MND",$Q282="EMBOQUE"),$M282,IF(AND($N282="VCA",$Q282="LINEAR"),$M282,IF(AND($N282="VCA",$Q282="PREDIAL"),0,0)))</f>
        <v>125.97</v>
      </c>
      <c r="AM282" s="153" t="n">
        <f aca="false">IF(AND($N282="MND",$Q282="EMBOQUE"),$M282,IF(AND($N282="VCA",$Q282="LINEAR"),$M282,IF(AND($N282="VCA",$Q282="PREDIAL"),0,0)))</f>
        <v>125.97</v>
      </c>
      <c r="AN282" s="153" t="n">
        <f aca="false">ROUND(IF(AND($N282="VCA",$M282&lt;&gt;"",$Q282="LINEAR"),$M282/100,IF(AND($N282="MND",$M282&gt;100,$Q282="EMBOQUE"),$M282/100,0)),0)</f>
        <v>1</v>
      </c>
      <c r="AO282" s="153" t="n">
        <f aca="false">IF(AND($N282="MND",$Q282="EMBOQUE"),$AN282*2*2,IF(AND($N282="VCA",$Q282="LINEAR"),$M282*2,IF(AND($N282="VCA",$Q282="PREDIAL"),0,0)))</f>
        <v>251.94</v>
      </c>
      <c r="AP282" s="153" t="n">
        <f aca="false">IFERROR($M282*$AF282*$AG282,0)</f>
        <v>133.213275</v>
      </c>
      <c r="AQ282" s="153" t="n">
        <f aca="false">IFERROR(IF(AND($N282="VCA",$AH282&gt;0),$M282*$AG282*$AH282,0),0)</f>
        <v>9.44775</v>
      </c>
      <c r="AR282" s="153" t="n">
        <f aca="false">IFERROR(IF(AND($N282="VCA",$AJ282&gt;0),($M282*$AG282*$AJ282)-$AI282,0),0)</f>
        <v>37.5386420596176</v>
      </c>
      <c r="AS282" s="153" t="n">
        <f aca="false">IFERROR(IF(AND($N282="VCA",$AP282&gt;0),$AP282-$AI282-$AQ282-$AR282,0),0)</f>
        <v>85.02975</v>
      </c>
      <c r="AT282" s="153" t="n">
        <f aca="false">IFERROR(IF($N282="VCA",INDEX(APOIO_REDES!$A:$W,MATCH($C282&amp;$I282&amp;$H282&amp;$N282&amp;$O282,APOIO_REDES!$W:$W,0),MATCH(AT$5,APOIO_REDES!$5:$5,0)),0)*$AP282,0)</f>
        <v>1.44939986111675</v>
      </c>
      <c r="AU282" s="153" t="n">
        <f aca="false">IFERROR(IF($N282="VCA",INDEX(APOIO_REDES!$A:$W,MATCH($C282&amp;$I282&amp;$H282&amp;$N282&amp;$O282,APOIO_REDES!$W:$W,0),MATCH(AU$5,APOIO_REDES!$5:$5,0)),0)*$AP282,0)</f>
        <v>1.15745147436129</v>
      </c>
      <c r="AV282" s="153" t="n">
        <f aca="false">IFERROR(IF($N282="VCA",INDEX(APOIO_REDES!$A:$W,MATCH($C282&amp;$I282&amp;$H282&amp;$N282&amp;$O282,APOIO_REDES!$W:$W,0),MATCH(AV$5,APOIO_REDES!$5:$5,0)),0)*$AP282,0)</f>
        <v>0.16018219770127</v>
      </c>
      <c r="AW282" s="153" t="n">
        <f aca="false">IFERROR(IF($N282="VCA",INDEX(APOIO_REDES!$A:$W,MATCH($C282&amp;$I282&amp;$H282&amp;$N282&amp;$O282,APOIO_REDES!$W:$W,0),MATCH(AW$5,APOIO_REDES!$5:$5,0)),0)*$AP282,0)</f>
        <v>91.438624146823</v>
      </c>
      <c r="AX282" s="153" t="n">
        <f aca="false">IFERROR(IF($N282="VCA",INDEX(APOIO_REDES!$A:$W,MATCH($C282&amp;$I282&amp;$H282&amp;$N282&amp;$O282,APOIO_REDES!$W:$W,0),MATCH(AX$5,APOIO_REDES!$5:$5,0)),0)*$AP282,0)</f>
        <v>12.654845114069</v>
      </c>
      <c r="AY282" s="153" t="n">
        <f aca="false">IFERROR(IF($N282="VCA",INDEX(APOIO_REDES!$A:$W,MATCH($C282&amp;$I282&amp;$H282&amp;$N282&amp;$O282,APOIO_REDES!$W:$W,0),MATCH(AY$5,APOIO_REDES!$5:$5,0)),0)*$AP282,0)</f>
        <v>23.1490153779861</v>
      </c>
      <c r="AZ282" s="153" t="n">
        <f aca="false">IFERROR(IF($N282="VCA",INDEX(APOIO_REDES!$A:$W,MATCH($C282&amp;$I282&amp;$H282&amp;$N282&amp;$O282,APOIO_REDES!$W:$W,0),MATCH(AZ$5,APOIO_REDES!$5:$5,0)),0)*$AP282,0)</f>
        <v>3.20375682794258</v>
      </c>
      <c r="BA282" s="153" t="n">
        <f aca="false">IFERROR(IF(AND($N282="VCA",$Q282="LINEAR"),INDEX(APOIO_REDES!$A:$W,MATCH($C282&amp;$I282&amp;$H282&amp;$N282&amp;$O282,APOIO_REDES!$W:$W,0),MATCH(BA$5,APOIO_REDES!$5:$5,0)),IF(AND($N282="MND",$Q282="EMBOQUE"),INDEX(APOIO_REDES!$A:$W,MATCH($C282&amp;$I282&amp;$H282&amp;$N282&amp;$O282,APOIO_REDES!$W:$W,0),MATCH(BA$5,APOIO_REDES!$5:$5,0)),0))*$M282/10,0)</f>
        <v>10.1528642507249</v>
      </c>
      <c r="BB282" s="153" t="n">
        <f aca="false">IFERROR(IF($N282="VCA",INDEX(APOIO_REDES!$A:$W,MATCH($C282&amp;$I282&amp;$H282&amp;$N282&amp;$O282,APOIO_REDES!$W:$W,0),MATCH(BB$5,APOIO_REDES!$5:$5,0)),0)*($AI282+$AQ282+$AR282),0)</f>
        <v>47.6592739864046</v>
      </c>
      <c r="BC282" s="153" t="n">
        <f aca="false">IFERROR(IF($N282="VCA",INDEX(APOIO_REDES!$A:$W,MATCH($C282&amp;$I282&amp;$H282&amp;$N282&amp;$O282,APOIO_REDES!$W:$W,0),MATCH(BC$5,APOIO_REDES!$5:$5,0)),0)*($AI282+$AQ282+$AR282),0)</f>
        <v>0.524251013595418</v>
      </c>
      <c r="BD282" s="153" t="n">
        <f aca="false">IF(AND($N282="VCA",$AF282&gt;=1.25,$AF282&lt;1.5),$M282*$AF282*2,0)</f>
        <v>355.2354</v>
      </c>
      <c r="BE282" s="153" t="n">
        <f aca="false">IF(AND($N282="VCA",$AF282&gt;=1.5,$AF282&lt;3),$M282*$AF282*2,0)</f>
        <v>0</v>
      </c>
      <c r="BF282" s="153" t="n">
        <f aca="false">IF(AND($N282="VCA",$AF282&gt;=3),$M282*$AF282*2,0)</f>
        <v>0</v>
      </c>
      <c r="BG282" s="153" t="n">
        <f aca="false">($BB282+$BC282)*$AK282</f>
        <v>134.91387</v>
      </c>
      <c r="BH282" s="153" t="n">
        <f aca="false">IF(AND($M282&lt;&gt;"",$N282="VCA",$Q282="LINEAR"),($M282*2)/100,IF(AND($M282&lt;&gt;"",$N282="MND",$Q282="EMBOQUE"),($AN282*2)/100,0))</f>
        <v>2.5194</v>
      </c>
      <c r="BI282" s="153" t="n">
        <f aca="false">IF(AND($M282&lt;&gt;"",$N282="VCA",$Q282="LINEAR"),$M282,IF(AND($M282&lt;&gt;"",$N282="MND",$Q282="EMBOQUE"),$AN282*2,0))</f>
        <v>125.97</v>
      </c>
      <c r="BJ282" s="153" t="n">
        <f aca="false">IF(AND($M282&lt;&gt;"",$N282="VCA",$Q282="LINEAR"),($M282*6.8)/100,IF(AND($M282&lt;&gt;"",$N282="MND",$Q282="EMBOQUE"),($AN282*2*6.8)/100,0))</f>
        <v>8.56596</v>
      </c>
      <c r="BK282" s="153" t="n">
        <f aca="false">IF(AND($M282&lt;&gt;"",$N282="VCA",$Q282="LINEAR"),($M282*2.5)/50,IF(AND($M282&lt;&gt;"",$N282="MND",$Q282="EMBOQUE"),($AN282*2*2.5)/50,0))</f>
        <v>6.2985</v>
      </c>
      <c r="BL282" s="157" t="str">
        <f aca="false">K282&amp;J282</f>
        <v>Zona03REDES</v>
      </c>
      <c r="BM282" s="152" t="s">
        <v>2526</v>
      </c>
      <c r="BN282" s="152" t="s">
        <v>1560</v>
      </c>
      <c r="BO282" s="152" t="s">
        <v>1982</v>
      </c>
      <c r="BP282" s="152" t="s">
        <v>2601</v>
      </c>
      <c r="BQ282" s="152" t="s">
        <v>2597</v>
      </c>
      <c r="BR282" s="152" t="s">
        <v>2602</v>
      </c>
      <c r="BS282" s="152" t="n">
        <v>203730.593</v>
      </c>
      <c r="BT282" s="152" t="n">
        <v>8238024.938</v>
      </c>
      <c r="BU282" s="152" t="n">
        <v>203634.066</v>
      </c>
      <c r="BV282" s="152" t="n">
        <v>8237944.027</v>
      </c>
      <c r="BW282" s="152" t="n">
        <v>-15.9196849</v>
      </c>
      <c r="BX282" s="152" t="n">
        <v>-47.7675189</v>
      </c>
      <c r="BY282" s="152" t="s">
        <v>2601</v>
      </c>
    </row>
    <row r="283" customFormat="false" ht="13.8" hidden="false" customHeight="false" outlineLevel="0" collapsed="false">
      <c r="A283" s="149" t="n">
        <f aca="false">IF(C283&lt;&gt;"",ROW(A278),"")</f>
        <v>278</v>
      </c>
      <c r="B283" s="150" t="str">
        <f aca="false">HYPERLINK("https://www.google.com/maps/dir/-15.917302,-47.760003/-15.9196318,-47.7700913/data=!4m3!4m2!3e0!5i1")</f>
        <v>https://www.google.com/maps/dir/-15.917302,-47.760003/-15.9196318,-47.7700913/data=!4m3!4m2!3e0!5i1</v>
      </c>
      <c r="C283" s="151" t="s">
        <v>117</v>
      </c>
      <c r="D283" s="152" t="s">
        <v>112</v>
      </c>
      <c r="E283" s="152" t="s">
        <v>113</v>
      </c>
      <c r="F283" s="152" t="s">
        <v>117</v>
      </c>
      <c r="G283" s="152" t="s">
        <v>782</v>
      </c>
      <c r="H283" s="152" t="n">
        <v>110</v>
      </c>
      <c r="I283" s="152" t="s">
        <v>115</v>
      </c>
      <c r="J283" s="152" t="s">
        <v>6</v>
      </c>
      <c r="K283" s="152" t="s">
        <v>2522</v>
      </c>
      <c r="L283" s="152" t="s">
        <v>120</v>
      </c>
      <c r="M283" s="153" t="n">
        <f aca="false">76.2</f>
        <v>76.2</v>
      </c>
      <c r="N283" s="152" t="s">
        <v>1548</v>
      </c>
      <c r="O283" s="152" t="s">
        <v>1549</v>
      </c>
      <c r="P283" s="152" t="s">
        <v>1550</v>
      </c>
      <c r="Q283" s="152" t="s">
        <v>1551</v>
      </c>
      <c r="R283" s="154" t="s">
        <v>2603</v>
      </c>
      <c r="S283" s="154" t="s">
        <v>1593</v>
      </c>
      <c r="T283" s="155" t="s">
        <v>1979</v>
      </c>
      <c r="U283" s="152" t="str">
        <f aca="false">RIGHT(T283,7)</f>
        <v>006/037</v>
      </c>
      <c r="V283" s="152" t="s">
        <v>1555</v>
      </c>
      <c r="W283" s="156" t="n">
        <v>45882</v>
      </c>
      <c r="X283" s="152" t="s">
        <v>1594</v>
      </c>
      <c r="Y283" s="152" t="s">
        <v>2531</v>
      </c>
      <c r="Z283" s="152" t="s">
        <v>1557</v>
      </c>
      <c r="AA283" s="153" t="n">
        <v>2.9</v>
      </c>
      <c r="AB283" s="151" t="s">
        <v>2604</v>
      </c>
      <c r="AC283" s="151" t="s">
        <v>502</v>
      </c>
      <c r="AD283" s="151" t="str">
        <f aca="false">CONCATENATE($C283,$I283,$H283,$N283,$J283,$K283)</f>
        <v>TUBO PEADPEAD110VCAREDESZona03</v>
      </c>
      <c r="AE283" s="153" t="n">
        <f aca="false">IFERROR(INDEX(APOIO_REDES!$A:$W,MATCH($C283&amp;$I283&amp;$H283&amp;$N283&amp;$O283,APOIO_REDES!$W:$W,0),MATCH(AE$5,APOIO_REDES!$5:$5,0)),0)</f>
        <v>1.2</v>
      </c>
      <c r="AF283" s="153" t="n">
        <f aca="false">IFERROR(INDEX(APOIO_REDES!$A:$W,MATCH($C283&amp;$I283&amp;$H283&amp;$N283&amp;$O283,APOIO_REDES!$W:$W,0),MATCH(AF$5,APOIO_REDES!$5:$5,0)),0)</f>
        <v>1.41</v>
      </c>
      <c r="AG283" s="153" t="n">
        <f aca="false">IFERROR(INDEX(APOIO_REDES!$A:$W,MATCH($C283&amp;$I283&amp;$H283&amp;$N283&amp;$O283,APOIO_REDES!$W:$W,0),MATCH(AG$5,APOIO_REDES!$5:$5,0)),0)</f>
        <v>0.75</v>
      </c>
      <c r="AH283" s="153" t="n">
        <f aca="false">IFERROR(INDEX(APOIO_REDES!$A:$W,MATCH($C283&amp;$I283&amp;$H283&amp;$N283&amp;$O283,APOIO_REDES!$W:$W,0),MATCH(AH$5,APOIO_REDES!$5:$5,0)),0)</f>
        <v>0.1</v>
      </c>
      <c r="AI283" s="153" t="n">
        <f aca="false">IFERROR(IF($H283&lt;&gt;"",(((($H283/1000)/2)^2)*PI()*$M283),0),0)</f>
        <v>0.724152814615715</v>
      </c>
      <c r="AJ283" s="153" t="n">
        <f aca="false">IFERROR(IF(AND($H283&lt;&gt;"",$I283="FoFo",OR($N283="MND",$N283="VCA"),$Q283="LINEAR"),0,IF(AND($H283&lt;&gt;"",$I283="PEAD",$N283="VCA",$Q283="LINEAR"),($H283/1000)+0.3,IF(AND($H283&lt;&gt;"",$I283="PEAD",$N283="MND",$Q283="EMBOQUE"),0,IF(AND($H283&lt;&gt;"",$I283="PVC",$N283="VCA",$Q283="LINEAR"),($H283/1000)+0.2,IF(AND($H283&lt;&gt;"",$I283="PVC",$N283="MND",$Q283="EMBOQUE"),0,IF(AND($H283&lt;&gt;"",$I283="PEAD",$N283="VCA",$Q283="PREDIAL"),0,0)))))),0)</f>
        <v>0.41</v>
      </c>
      <c r="AK283" s="153" t="n">
        <f aca="false">IF(AA283&lt;&gt;"",AA283,0)</f>
        <v>2.9</v>
      </c>
      <c r="AL283" s="153" t="n">
        <f aca="false">IF(AND($N283="MND",$Q283="EMBOQUE"),$M283,IF(AND($N283="VCA",$Q283="LINEAR"),$M283,IF(AND($N283="VCA",$Q283="PREDIAL"),0,0)))</f>
        <v>76.2</v>
      </c>
      <c r="AM283" s="153" t="n">
        <f aca="false">IF(AND($N283="MND",$Q283="EMBOQUE"),$M283,IF(AND($N283="VCA",$Q283="LINEAR"),$M283,IF(AND($N283="VCA",$Q283="PREDIAL"),0,0)))</f>
        <v>76.2</v>
      </c>
      <c r="AN283" s="153" t="n">
        <f aca="false">ROUND(IF(AND($N283="VCA",$M283&lt;&gt;"",$Q283="LINEAR"),$M283/100,IF(AND($N283="MND",$M283&gt;100,$Q283="EMBOQUE"),$M283/100,0)),0)</f>
        <v>1</v>
      </c>
      <c r="AO283" s="153" t="n">
        <f aca="false">IF(AND($N283="MND",$Q283="EMBOQUE"),$AN283*2*2,IF(AND($N283="VCA",$Q283="LINEAR"),$M283*2,IF(AND($N283="VCA",$Q283="PREDIAL"),0,0)))</f>
        <v>152.4</v>
      </c>
      <c r="AP283" s="153" t="n">
        <f aca="false">IFERROR($M283*$AF283*$AG283,0)</f>
        <v>80.5815</v>
      </c>
      <c r="AQ283" s="153" t="n">
        <f aca="false">IFERROR(IF(AND($N283="VCA",$AH283&gt;0),$M283*$AG283*$AH283,0),0)</f>
        <v>5.715</v>
      </c>
      <c r="AR283" s="153" t="n">
        <f aca="false">IFERROR(IF(AND($N283="VCA",$AJ283&gt;0),($M283*$AG283*$AJ283)-$AI283,0),0)</f>
        <v>22.7073471853843</v>
      </c>
      <c r="AS283" s="153" t="n">
        <f aca="false">IFERROR(IF(AND($N283="VCA",$AP283&gt;0),$AP283-$AI283-$AQ283-$AR283,0),0)</f>
        <v>51.435</v>
      </c>
      <c r="AT283" s="153" t="n">
        <f aca="false">IFERROR(IF($N283="VCA",INDEX(APOIO_REDES!$A:$W,MATCH($C283&amp;$I283&amp;$H283&amp;$N283&amp;$O283,APOIO_REDES!$W:$W,0),MATCH(AT$5,APOIO_REDES!$5:$5,0)),0)*$AP283,0)</f>
        <v>0.876750570906533</v>
      </c>
      <c r="AU283" s="153" t="n">
        <f aca="false">IFERROR(IF($N283="VCA",INDEX(APOIO_REDES!$A:$W,MATCH($C283&amp;$I283&amp;$H283&amp;$N283&amp;$O283,APOIO_REDES!$W:$W,0),MATCH(AU$5,APOIO_REDES!$5:$5,0)),0)*$AP283,0)</f>
        <v>0.700149260509092</v>
      </c>
      <c r="AV283" s="153" t="n">
        <f aca="false">IFERROR(IF($N283="VCA",INDEX(APOIO_REDES!$A:$W,MATCH($C283&amp;$I283&amp;$H283&amp;$N283&amp;$O283,APOIO_REDES!$W:$W,0),MATCH(AV$5,APOIO_REDES!$5:$5,0)),0)*$AP283,0)</f>
        <v>0.0968951612672605</v>
      </c>
      <c r="AW283" s="153" t="n">
        <f aca="false">IFERROR(IF($N283="VCA",INDEX(APOIO_REDES!$A:$W,MATCH($C283&amp;$I283&amp;$H283&amp;$N283&amp;$O283,APOIO_REDES!$W:$W,0),MATCH(AW$5,APOIO_REDES!$5:$5,0)),0)*$AP283,0)</f>
        <v>55.3117659759301</v>
      </c>
      <c r="AX283" s="153" t="n">
        <f aca="false">IFERROR(IF($N283="VCA",INDEX(APOIO_REDES!$A:$W,MATCH($C283&amp;$I283&amp;$H283&amp;$N283&amp;$O283,APOIO_REDES!$W:$W,0),MATCH(AX$5,APOIO_REDES!$5:$5,0)),0)*$AP283,0)</f>
        <v>7.65499085252093</v>
      </c>
      <c r="AY283" s="153" t="n">
        <f aca="false">IFERROR(IF($N283="VCA",INDEX(APOIO_REDES!$A:$W,MATCH($C283&amp;$I283&amp;$H283&amp;$N283&amp;$O283,APOIO_REDES!$W:$W,0),MATCH(AY$5,APOIO_REDES!$5:$5,0)),0)*$AP283,0)</f>
        <v>14.0029766754191</v>
      </c>
      <c r="AZ283" s="153" t="n">
        <f aca="false">IFERROR(IF($N283="VCA",INDEX(APOIO_REDES!$A:$W,MATCH($C283&amp;$I283&amp;$H283&amp;$N283&amp;$O283,APOIO_REDES!$W:$W,0),MATCH(AZ$5,APOIO_REDES!$5:$5,0)),0)*$AP283,0)</f>
        <v>1.93797150344705</v>
      </c>
      <c r="BA283" s="153" t="n">
        <f aca="false">IFERROR(IF(AND($N283="VCA",$Q283="LINEAR"),INDEX(APOIO_REDES!$A:$W,MATCH($C283&amp;$I283&amp;$H283&amp;$N283&amp;$O283,APOIO_REDES!$W:$W,0),MATCH(BA$5,APOIO_REDES!$5:$5,0)),IF(AND($N283="MND",$Q283="EMBOQUE"),INDEX(APOIO_REDES!$A:$W,MATCH($C283&amp;$I283&amp;$H283&amp;$N283&amp;$O283,APOIO_REDES!$W:$W,0),MATCH(BA$5,APOIO_REDES!$5:$5,0)),0))*$M283/10,0)</f>
        <v>6.14152779157926</v>
      </c>
      <c r="BB283" s="153" t="n">
        <f aca="false">IFERROR(IF($N283="VCA",INDEX(APOIO_REDES!$A:$W,MATCH($C283&amp;$I283&amp;$H283&amp;$N283&amp;$O283,APOIO_REDES!$W:$W,0),MATCH(BB$5,APOIO_REDES!$5:$5,0)),0)*($AI283+$AQ283+$AR283),0)</f>
        <v>28.8293774530764</v>
      </c>
      <c r="BC283" s="153" t="n">
        <f aca="false">IFERROR(IF($N283="VCA",INDEX(APOIO_REDES!$A:$W,MATCH($C283&amp;$I283&amp;$H283&amp;$N283&amp;$O283,APOIO_REDES!$W:$W,0),MATCH(BC$5,APOIO_REDES!$5:$5,0)),0)*($AI283+$AQ283+$AR283),0)</f>
        <v>0.31712254692364</v>
      </c>
      <c r="BD283" s="153" t="n">
        <f aca="false">IF(AND($N283="VCA",$AF283&gt;=1.25,$AF283&lt;1.5),$M283*$AF283*2,0)</f>
        <v>214.884</v>
      </c>
      <c r="BE283" s="153" t="n">
        <f aca="false">IF(AND($N283="VCA",$AF283&gt;=1.5,$AF283&lt;3),$M283*$AF283*2,0)</f>
        <v>0</v>
      </c>
      <c r="BF283" s="153" t="n">
        <f aca="false">IF(AND($N283="VCA",$AF283&gt;=3),$M283*$AF283*2,0)</f>
        <v>0</v>
      </c>
      <c r="BG283" s="153" t="n">
        <f aca="false">($BB283+$BC283)*$AK283</f>
        <v>84.52485</v>
      </c>
      <c r="BH283" s="153" t="n">
        <f aca="false">IF(AND($M283&lt;&gt;"",$N283="VCA",$Q283="LINEAR"),($M283*2)/100,IF(AND($M283&lt;&gt;"",$N283="MND",$Q283="EMBOQUE"),($AN283*2)/100,0))</f>
        <v>1.524</v>
      </c>
      <c r="BI283" s="153" t="n">
        <f aca="false">IF(AND($M283&lt;&gt;"",$N283="VCA",$Q283="LINEAR"),$M283,IF(AND($M283&lt;&gt;"",$N283="MND",$Q283="EMBOQUE"),$AN283*2,0))</f>
        <v>76.2</v>
      </c>
      <c r="BJ283" s="153" t="n">
        <f aca="false">IF(AND($M283&lt;&gt;"",$N283="VCA",$Q283="LINEAR"),($M283*6.8)/100,IF(AND($M283&lt;&gt;"",$N283="MND",$Q283="EMBOQUE"),($AN283*2*6.8)/100,0))</f>
        <v>5.1816</v>
      </c>
      <c r="BK283" s="153" t="n">
        <f aca="false">IF(AND($M283&lt;&gt;"",$N283="VCA",$Q283="LINEAR"),($M283*2.5)/50,IF(AND($M283&lt;&gt;"",$N283="MND",$Q283="EMBOQUE"),($AN283*2*2.5)/50,0))</f>
        <v>3.81</v>
      </c>
      <c r="BL283" s="157" t="str">
        <f aca="false">K283&amp;J283</f>
        <v>Zona03REDES</v>
      </c>
      <c r="BM283" s="152" t="s">
        <v>2526</v>
      </c>
      <c r="BN283" s="152" t="s">
        <v>1560</v>
      </c>
      <c r="BO283" s="152" t="s">
        <v>1982</v>
      </c>
      <c r="BP283" s="152" t="s">
        <v>2582</v>
      </c>
      <c r="BQ283" s="152" t="s">
        <v>2578</v>
      </c>
      <c r="BR283" s="152" t="s">
        <v>2605</v>
      </c>
      <c r="BS283" s="152" t="n">
        <v>203406.561</v>
      </c>
      <c r="BT283" s="152" t="n">
        <v>8237986.791</v>
      </c>
      <c r="BU283" s="152" t="n">
        <v>203330.653</v>
      </c>
      <c r="BV283" s="152" t="n">
        <v>8237980.113</v>
      </c>
      <c r="BW283" s="152" t="n">
        <v>-15.9196574</v>
      </c>
      <c r="BX283" s="152" t="n">
        <v>-47.7704459</v>
      </c>
      <c r="BY283" s="152" t="s">
        <v>2582</v>
      </c>
    </row>
    <row r="284" customFormat="false" ht="13.8" hidden="false" customHeight="false" outlineLevel="0" collapsed="false">
      <c r="A284" s="149" t="n">
        <f aca="false">IF(C284&lt;&gt;"",ROW(A279),"")</f>
        <v>279</v>
      </c>
      <c r="B284" s="150" t="str">
        <f aca="false">HYPERLINK("https://www.google.com/maps/dir/-15.917302,-47.760003/-15.9199091,-47.7707799/data=!4m3!4m2!3e0!5i2")</f>
        <v>https://www.google.com/maps/dir/-15.917302,-47.760003/-15.9199091,-47.7707799/data=!4m3!4m2!3e0!5i2</v>
      </c>
      <c r="C284" s="151" t="s">
        <v>117</v>
      </c>
      <c r="D284" s="152" t="s">
        <v>112</v>
      </c>
      <c r="E284" s="152" t="s">
        <v>113</v>
      </c>
      <c r="F284" s="152" t="s">
        <v>117</v>
      </c>
      <c r="G284" s="152" t="s">
        <v>782</v>
      </c>
      <c r="H284" s="152" t="n">
        <v>110</v>
      </c>
      <c r="I284" s="152" t="s">
        <v>115</v>
      </c>
      <c r="J284" s="152" t="s">
        <v>6</v>
      </c>
      <c r="K284" s="152" t="s">
        <v>2522</v>
      </c>
      <c r="L284" s="152" t="s">
        <v>120</v>
      </c>
      <c r="M284" s="153" t="n">
        <f aca="false">25.15</f>
        <v>25.15</v>
      </c>
      <c r="N284" s="152" t="s">
        <v>1548</v>
      </c>
      <c r="O284" s="152" t="s">
        <v>1549</v>
      </c>
      <c r="P284" s="152" t="s">
        <v>1550</v>
      </c>
      <c r="Q284" s="152" t="s">
        <v>1551</v>
      </c>
      <c r="R284" s="154" t="s">
        <v>2606</v>
      </c>
      <c r="S284" s="154" t="s">
        <v>1593</v>
      </c>
      <c r="T284" s="155" t="s">
        <v>1979</v>
      </c>
      <c r="U284" s="152" t="str">
        <f aca="false">RIGHT(T284,7)</f>
        <v>006/037</v>
      </c>
      <c r="V284" s="152" t="s">
        <v>1555</v>
      </c>
      <c r="W284" s="156" t="n">
        <v>45882</v>
      </c>
      <c r="X284" s="152" t="s">
        <v>1594</v>
      </c>
      <c r="Y284" s="152" t="s">
        <v>2553</v>
      </c>
      <c r="Z284" s="152" t="s">
        <v>1557</v>
      </c>
      <c r="AA284" s="153" t="n">
        <v>3.5</v>
      </c>
      <c r="AB284" s="151" t="s">
        <v>2607</v>
      </c>
      <c r="AC284" s="151" t="s">
        <v>502</v>
      </c>
      <c r="AD284" s="151" t="str">
        <f aca="false">CONCATENATE($C284,$I284,$H284,$N284,$J284,$K284)</f>
        <v>TUBO PEADPEAD110VCAREDESZona03</v>
      </c>
      <c r="AE284" s="153" t="n">
        <f aca="false">IFERROR(INDEX(APOIO_REDES!$A:$W,MATCH($C284&amp;$I284&amp;$H284&amp;$N284&amp;$O284,APOIO_REDES!$W:$W,0),MATCH(AE$5,APOIO_REDES!$5:$5,0)),0)</f>
        <v>1.2</v>
      </c>
      <c r="AF284" s="153" t="n">
        <f aca="false">IFERROR(INDEX(APOIO_REDES!$A:$W,MATCH($C284&amp;$I284&amp;$H284&amp;$N284&amp;$O284,APOIO_REDES!$W:$W,0),MATCH(AF$5,APOIO_REDES!$5:$5,0)),0)</f>
        <v>1.41</v>
      </c>
      <c r="AG284" s="153" t="n">
        <f aca="false">IFERROR(INDEX(APOIO_REDES!$A:$W,MATCH($C284&amp;$I284&amp;$H284&amp;$N284&amp;$O284,APOIO_REDES!$W:$W,0),MATCH(AG$5,APOIO_REDES!$5:$5,0)),0)</f>
        <v>0.75</v>
      </c>
      <c r="AH284" s="153" t="n">
        <f aca="false">IFERROR(INDEX(APOIO_REDES!$A:$W,MATCH($C284&amp;$I284&amp;$H284&amp;$N284&amp;$O284,APOIO_REDES!$W:$W,0),MATCH(AH$5,APOIO_REDES!$5:$5,0)),0)</f>
        <v>0.1</v>
      </c>
      <c r="AI284" s="153" t="n">
        <f aca="false">IFERROR(IF($H284&lt;&gt;"",(((($H284/1000)/2)^2)*PI()*$M284),0),0)</f>
        <v>0.239008442094294</v>
      </c>
      <c r="AJ284" s="153" t="n">
        <f aca="false">IFERROR(IF(AND($H284&lt;&gt;"",$I284="FoFo",OR($N284="MND",$N284="VCA"),$Q284="LINEAR"),0,IF(AND($H284&lt;&gt;"",$I284="PEAD",$N284="VCA",$Q284="LINEAR"),($H284/1000)+0.3,IF(AND($H284&lt;&gt;"",$I284="PEAD",$N284="MND",$Q284="EMBOQUE"),0,IF(AND($H284&lt;&gt;"",$I284="PVC",$N284="VCA",$Q284="LINEAR"),($H284/1000)+0.2,IF(AND($H284&lt;&gt;"",$I284="PVC",$N284="MND",$Q284="EMBOQUE"),0,IF(AND($H284&lt;&gt;"",$I284="PEAD",$N284="VCA",$Q284="PREDIAL"),0,0)))))),0)</f>
        <v>0.41</v>
      </c>
      <c r="AK284" s="153" t="n">
        <f aca="false">IF(AA284&lt;&gt;"",AA284,0)</f>
        <v>3.5</v>
      </c>
      <c r="AL284" s="153" t="n">
        <f aca="false">IF(AND($N284="MND",$Q284="EMBOQUE"),$M284,IF(AND($N284="VCA",$Q284="LINEAR"),$M284,IF(AND($N284="VCA",$Q284="PREDIAL"),0,0)))</f>
        <v>25.15</v>
      </c>
      <c r="AM284" s="153" t="n">
        <f aca="false">IF(AND($N284="MND",$Q284="EMBOQUE"),$M284,IF(AND($N284="VCA",$Q284="LINEAR"),$M284,IF(AND($N284="VCA",$Q284="PREDIAL"),0,0)))</f>
        <v>25.15</v>
      </c>
      <c r="AN284" s="153" t="n">
        <f aca="false">ROUND(IF(AND($N284="VCA",$M284&lt;&gt;"",$Q284="LINEAR"),$M284/100,IF(AND($N284="MND",$M284&gt;100,$Q284="EMBOQUE"),$M284/100,0)),0)</f>
        <v>0</v>
      </c>
      <c r="AO284" s="153" t="n">
        <f aca="false">IF(AND($N284="MND",$Q284="EMBOQUE"),$AN284*2*2,IF(AND($N284="VCA",$Q284="LINEAR"),$M284*2,IF(AND($N284="VCA",$Q284="PREDIAL"),0,0)))</f>
        <v>50.3</v>
      </c>
      <c r="AP284" s="153" t="n">
        <f aca="false">IFERROR($M284*$AF284*$AG284,0)</f>
        <v>26.596125</v>
      </c>
      <c r="AQ284" s="153" t="n">
        <f aca="false">IFERROR(IF(AND($N284="VCA",$AH284&gt;0),$M284*$AG284*$AH284,0),0)</f>
        <v>1.88625</v>
      </c>
      <c r="AR284" s="153" t="n">
        <f aca="false">IFERROR(IF(AND($N284="VCA",$AJ284&gt;0),($M284*$AG284*$AJ284)-$AI284,0),0)</f>
        <v>7.4946165579057</v>
      </c>
      <c r="AS284" s="153" t="n">
        <f aca="false">IFERROR(IF(AND($N284="VCA",$AP284&gt;0),$AP284-$AI284-$AQ284-$AR284,0),0)</f>
        <v>16.97625</v>
      </c>
      <c r="AT284" s="153" t="n">
        <f aca="false">IFERROR(IF($N284="VCA",INDEX(APOIO_REDES!$A:$W,MATCH($C284&amp;$I284&amp;$H284&amp;$N284&amp;$O284,APOIO_REDES!$W:$W,0),MATCH(AT$5,APOIO_REDES!$5:$5,0)),0)*$AP284,0)</f>
        <v>0.289373712051172</v>
      </c>
      <c r="AU284" s="153" t="n">
        <f aca="false">IFERROR(IF($N284="VCA",INDEX(APOIO_REDES!$A:$W,MATCH($C284&amp;$I284&amp;$H284&amp;$N284&amp;$O284,APOIO_REDES!$W:$W,0),MATCH(AU$5,APOIO_REDES!$5:$5,0)),0)*$AP284,0)</f>
        <v>0.231086009210022</v>
      </c>
      <c r="AV284" s="153" t="n">
        <f aca="false">IFERROR(IF($N284="VCA",INDEX(APOIO_REDES!$A:$W,MATCH($C284&amp;$I284&amp;$H284&amp;$N284&amp;$O284,APOIO_REDES!$W:$W,0),MATCH(AV$5,APOIO_REDES!$5:$5,0)),0)*$AP284,0)</f>
        <v>0.0319804895783675</v>
      </c>
      <c r="AW284" s="153" t="n">
        <f aca="false">IFERROR(IF($N284="VCA",INDEX(APOIO_REDES!$A:$W,MATCH($C284&amp;$I284&amp;$H284&amp;$N284&amp;$O284,APOIO_REDES!$W:$W,0),MATCH(AW$5,APOIO_REDES!$5:$5,0)),0)*$AP284,0)</f>
        <v>18.2557862768326</v>
      </c>
      <c r="AX284" s="153" t="n">
        <f aca="false">IFERROR(IF($N284="VCA",INDEX(APOIO_REDES!$A:$W,MATCH($C284&amp;$I284&amp;$H284&amp;$N284&amp;$O284,APOIO_REDES!$W:$W,0),MATCH(AX$5,APOIO_REDES!$5:$5,0)),0)*$AP284,0)</f>
        <v>2.52654881812206</v>
      </c>
      <c r="AY284" s="153" t="n">
        <f aca="false">IFERROR(IF($N284="VCA",INDEX(APOIO_REDES!$A:$W,MATCH($C284&amp;$I284&amp;$H284&amp;$N284&amp;$O284,APOIO_REDES!$W:$W,0),MATCH(AY$5,APOIO_REDES!$5:$5,0)),0)*$AP284,0)</f>
        <v>4.62171736728072</v>
      </c>
      <c r="AZ284" s="153" t="n">
        <f aca="false">IFERROR(IF($N284="VCA",INDEX(APOIO_REDES!$A:$W,MATCH($C284&amp;$I284&amp;$H284&amp;$N284&amp;$O284,APOIO_REDES!$W:$W,0),MATCH(AZ$5,APOIO_REDES!$5:$5,0)),0)*$AP284,0)</f>
        <v>0.639632326925108</v>
      </c>
      <c r="BA284" s="153" t="n">
        <f aca="false">IFERROR(IF(AND($N284="VCA",$Q284="LINEAR"),INDEX(APOIO_REDES!$A:$W,MATCH($C284&amp;$I284&amp;$H284&amp;$N284&amp;$O284,APOIO_REDES!$W:$W,0),MATCH(BA$5,APOIO_REDES!$5:$5,0)),IF(AND($N284="MND",$Q284="EMBOQUE"),INDEX(APOIO_REDES!$A:$W,MATCH($C284&amp;$I284&amp;$H284&amp;$N284&amp;$O284,APOIO_REDES!$W:$W,0),MATCH(BA$5,APOIO_REDES!$5:$5,0)),0))*$M284/10,0)</f>
        <v>2.02702656113147</v>
      </c>
      <c r="BB284" s="153" t="n">
        <f aca="false">IFERROR(IF($N284="VCA",INDEX(APOIO_REDES!$A:$W,MATCH($C284&amp;$I284&amp;$H284&amp;$N284&amp;$O284,APOIO_REDES!$W:$W,0),MATCH(BB$5,APOIO_REDES!$5:$5,0)),0)*($AI284+$AQ284+$AR284),0)</f>
        <v>9.51520791266234</v>
      </c>
      <c r="BC284" s="153" t="n">
        <f aca="false">IFERROR(IF($N284="VCA",INDEX(APOIO_REDES!$A:$W,MATCH($C284&amp;$I284&amp;$H284&amp;$N284&amp;$O284,APOIO_REDES!$W:$W,0),MATCH(BC$5,APOIO_REDES!$5:$5,0)),0)*($AI284+$AQ284+$AR284),0)</f>
        <v>0.104667087337658</v>
      </c>
      <c r="BD284" s="153" t="n">
        <f aca="false">IF(AND($N284="VCA",$AF284&gt;=1.25,$AF284&lt;1.5),$M284*$AF284*2,0)</f>
        <v>70.923</v>
      </c>
      <c r="BE284" s="153" t="n">
        <f aca="false">IF(AND($N284="VCA",$AF284&gt;=1.5,$AF284&lt;3),$M284*$AF284*2,0)</f>
        <v>0</v>
      </c>
      <c r="BF284" s="153" t="n">
        <f aca="false">IF(AND($N284="VCA",$AF284&gt;=3),$M284*$AF284*2,0)</f>
        <v>0</v>
      </c>
      <c r="BG284" s="153" t="n">
        <f aca="false">($BB284+$BC284)*$AK284</f>
        <v>33.6695625</v>
      </c>
      <c r="BH284" s="153" t="n">
        <f aca="false">IF(AND($M284&lt;&gt;"",$N284="VCA",$Q284="LINEAR"),($M284*2)/100,IF(AND($M284&lt;&gt;"",$N284="MND",$Q284="EMBOQUE"),($AN284*2)/100,0))</f>
        <v>0.503</v>
      </c>
      <c r="BI284" s="153" t="n">
        <f aca="false">IF(AND($M284&lt;&gt;"",$N284="VCA",$Q284="LINEAR"),$M284,IF(AND($M284&lt;&gt;"",$N284="MND",$Q284="EMBOQUE"),$AN284*2,0))</f>
        <v>25.15</v>
      </c>
      <c r="BJ284" s="153" t="n">
        <f aca="false">IF(AND($M284&lt;&gt;"",$N284="VCA",$Q284="LINEAR"),($M284*6.8)/100,IF(AND($M284&lt;&gt;"",$N284="MND",$Q284="EMBOQUE"),($AN284*2*6.8)/100,0))</f>
        <v>1.7102</v>
      </c>
      <c r="BK284" s="153" t="n">
        <f aca="false">IF(AND($M284&lt;&gt;"",$N284="VCA",$Q284="LINEAR"),($M284*2.5)/50,IF(AND($M284&lt;&gt;"",$N284="MND",$Q284="EMBOQUE"),($AN284*2*2.5)/50,0))</f>
        <v>1.2575</v>
      </c>
      <c r="BL284" s="157" t="str">
        <f aca="false">K284&amp;J284</f>
        <v>Zona03REDES</v>
      </c>
      <c r="BM284" s="152" t="s">
        <v>2526</v>
      </c>
      <c r="BN284" s="152" t="s">
        <v>1560</v>
      </c>
      <c r="BO284" s="152" t="s">
        <v>1982</v>
      </c>
      <c r="BP284" s="152" t="s">
        <v>2608</v>
      </c>
      <c r="BQ284" s="152" t="s">
        <v>2578</v>
      </c>
      <c r="BR284" s="152" t="s">
        <v>2609</v>
      </c>
      <c r="BS284" s="152" t="n">
        <v>203333.2</v>
      </c>
      <c r="BT284" s="152" t="n">
        <v>8237955.106</v>
      </c>
      <c r="BU284" s="152" t="n">
        <v>203330.652</v>
      </c>
      <c r="BV284" s="152" t="n">
        <v>8237980.113</v>
      </c>
      <c r="BW284" s="152" t="n">
        <v>-15.9197961</v>
      </c>
      <c r="BX284" s="152" t="n">
        <v>-47.7707918</v>
      </c>
      <c r="BY284" s="152" t="s">
        <v>2608</v>
      </c>
    </row>
    <row r="285" customFormat="false" ht="13.8" hidden="false" customHeight="false" outlineLevel="0" collapsed="false">
      <c r="A285" s="149" t="n">
        <f aca="false">IF(C285&lt;&gt;"",ROW(A280),"")</f>
        <v>280</v>
      </c>
      <c r="B285" s="150" t="str">
        <f aca="false">HYPERLINK("https://www.google.com/maps/dir/-15.917302,-47.760003/-15.9197933,-47.7727628/data=!4m3!4m2!3e0!5i0")</f>
        <v>https://www.google.com/maps/dir/-15.917302,-47.760003/-15.9197933,-47.7727628/data=!4m3!4m2!3e0!5i0</v>
      </c>
      <c r="C285" s="151" t="s">
        <v>117</v>
      </c>
      <c r="D285" s="152" t="s">
        <v>112</v>
      </c>
      <c r="E285" s="152" t="s">
        <v>113</v>
      </c>
      <c r="F285" s="152" t="s">
        <v>117</v>
      </c>
      <c r="G285" s="152" t="s">
        <v>114</v>
      </c>
      <c r="H285" s="152" t="n">
        <v>160</v>
      </c>
      <c r="I285" s="152" t="s">
        <v>115</v>
      </c>
      <c r="J285" s="152" t="s">
        <v>6</v>
      </c>
      <c r="K285" s="152" t="s">
        <v>2522</v>
      </c>
      <c r="L285" s="152" t="s">
        <v>120</v>
      </c>
      <c r="M285" s="153" t="n">
        <f aca="false">6.83</f>
        <v>6.83</v>
      </c>
      <c r="N285" s="152" t="s">
        <v>1548</v>
      </c>
      <c r="O285" s="152" t="s">
        <v>1549</v>
      </c>
      <c r="P285" s="152" t="s">
        <v>1550</v>
      </c>
      <c r="Q285" s="152" t="s">
        <v>1551</v>
      </c>
      <c r="R285" s="154" t="s">
        <v>2610</v>
      </c>
      <c r="S285" s="154" t="s">
        <v>1593</v>
      </c>
      <c r="T285" s="155" t="s">
        <v>1979</v>
      </c>
      <c r="U285" s="152" t="str">
        <f aca="false">RIGHT(T285,7)</f>
        <v>006/037</v>
      </c>
      <c r="V285" s="152" t="s">
        <v>1555</v>
      </c>
      <c r="W285" s="156" t="n">
        <v>45882</v>
      </c>
      <c r="X285" s="152" t="s">
        <v>1594</v>
      </c>
      <c r="Y285" s="152" t="s">
        <v>2553</v>
      </c>
      <c r="Z285" s="152" t="s">
        <v>1557</v>
      </c>
      <c r="AA285" s="153" t="n">
        <v>2.7</v>
      </c>
      <c r="AB285" s="151" t="s">
        <v>2611</v>
      </c>
      <c r="AC285" s="151" t="s">
        <v>505</v>
      </c>
      <c r="AD285" s="151" t="str">
        <f aca="false">CONCATENATE($C285,$I285,$H285,$N285,$J285,$K285)</f>
        <v>TUBO PEADPEAD160VCAREDESZona03</v>
      </c>
      <c r="AE285" s="153" t="n">
        <f aca="false">IFERROR(INDEX(APOIO_REDES!$A:$W,MATCH($C285&amp;$I285&amp;$H285&amp;$N285&amp;$O285,APOIO_REDES!$W:$W,0),MATCH(AE$5,APOIO_REDES!$5:$5,0)),0)</f>
        <v>1.2</v>
      </c>
      <c r="AF285" s="153" t="n">
        <f aca="false">IFERROR(INDEX(APOIO_REDES!$A:$W,MATCH($C285&amp;$I285&amp;$H285&amp;$N285&amp;$O285,APOIO_REDES!$W:$W,0),MATCH(AF$5,APOIO_REDES!$5:$5,0)),0)</f>
        <v>1.46</v>
      </c>
      <c r="AG285" s="153" t="n">
        <f aca="false">IFERROR(INDEX(APOIO_REDES!$A:$W,MATCH($C285&amp;$I285&amp;$H285&amp;$N285&amp;$O285,APOIO_REDES!$W:$W,0),MATCH(AG$5,APOIO_REDES!$5:$5,0)),0)</f>
        <v>0.75</v>
      </c>
      <c r="AH285" s="153" t="n">
        <f aca="false">IFERROR(INDEX(APOIO_REDES!$A:$W,MATCH($C285&amp;$I285&amp;$H285&amp;$N285&amp;$O285,APOIO_REDES!$W:$W,0),MATCH(AH$5,APOIO_REDES!$5:$5,0)),0)</f>
        <v>0.1</v>
      </c>
      <c r="AI285" s="153" t="n">
        <f aca="false">IFERROR(IF($H285&lt;&gt;"",(((($H285/1000)/2)^2)*PI()*$M285),0),0)</f>
        <v>0.137325298073717</v>
      </c>
      <c r="AJ285" s="153" t="n">
        <f aca="false">IFERROR(IF(AND($H285&lt;&gt;"",$I285="FoFo",OR($N285="MND",$N285="VCA"),$Q285="LINEAR"),0,IF(AND($H285&lt;&gt;"",$I285="PEAD",$N285="VCA",$Q285="LINEAR"),($H285/1000)+0.3,IF(AND($H285&lt;&gt;"",$I285="PEAD",$N285="MND",$Q285="EMBOQUE"),0,IF(AND($H285&lt;&gt;"",$I285="PVC",$N285="VCA",$Q285="LINEAR"),($H285/1000)+0.2,IF(AND($H285&lt;&gt;"",$I285="PVC",$N285="MND",$Q285="EMBOQUE"),0,IF(AND($H285&lt;&gt;"",$I285="PEAD",$N285="VCA",$Q285="PREDIAL"),0,0)))))),0)</f>
        <v>0.46</v>
      </c>
      <c r="AK285" s="153" t="n">
        <f aca="false">IF(AA285&lt;&gt;"",AA285,0)</f>
        <v>2.7</v>
      </c>
      <c r="AL285" s="153" t="n">
        <f aca="false">IF(AND($N285="MND",$Q285="EMBOQUE"),$M285,IF(AND($N285="VCA",$Q285="LINEAR"),$M285,IF(AND($N285="VCA",$Q285="PREDIAL"),0,0)))</f>
        <v>6.83</v>
      </c>
      <c r="AM285" s="153" t="n">
        <f aca="false">IF(AND($N285="MND",$Q285="EMBOQUE"),$M285,IF(AND($N285="VCA",$Q285="LINEAR"),$M285,IF(AND($N285="VCA",$Q285="PREDIAL"),0,0)))</f>
        <v>6.83</v>
      </c>
      <c r="AN285" s="153" t="n">
        <f aca="false">ROUND(IF(AND($N285="VCA",$M285&lt;&gt;"",$Q285="LINEAR"),$M285/100,IF(AND($N285="MND",$M285&gt;100,$Q285="EMBOQUE"),$M285/100,0)),0)</f>
        <v>0</v>
      </c>
      <c r="AO285" s="153" t="n">
        <f aca="false">IF(AND($N285="MND",$Q285="EMBOQUE"),$AN285*2*2,IF(AND($N285="VCA",$Q285="LINEAR"),$M285*2,IF(AND($N285="VCA",$Q285="PREDIAL"),0,0)))</f>
        <v>13.66</v>
      </c>
      <c r="AP285" s="153" t="n">
        <f aca="false">IFERROR($M285*$AF285*$AG285,0)</f>
        <v>7.47885</v>
      </c>
      <c r="AQ285" s="153" t="n">
        <f aca="false">IFERROR(IF(AND($N285="VCA",$AH285&gt;0),$M285*$AG285*$AH285,0),0)</f>
        <v>0.51225</v>
      </c>
      <c r="AR285" s="153" t="n">
        <f aca="false">IFERROR(IF(AND($N285="VCA",$AJ285&gt;0),($M285*$AG285*$AJ285)-$AI285,0),0)</f>
        <v>2.21902470192628</v>
      </c>
      <c r="AS285" s="153" t="n">
        <f aca="false">IFERROR(IF(AND($N285="VCA",$AP285&gt;0),$AP285-$AI285-$AQ285-$AR285,0),0)</f>
        <v>4.61025</v>
      </c>
      <c r="AT285" s="153" t="n">
        <f aca="false">IFERROR(IF($N285="VCA",INDEX(APOIO_REDES!$A:$W,MATCH($C285&amp;$I285&amp;$H285&amp;$N285&amp;$O285,APOIO_REDES!$W:$W,0),MATCH(AT$5,APOIO_REDES!$5:$5,0)),0)*$AP285,0)</f>
        <v>0.0813721016266057</v>
      </c>
      <c r="AU285" s="153" t="n">
        <f aca="false">IFERROR(IF($N285="VCA",INDEX(APOIO_REDES!$A:$W,MATCH($C285&amp;$I285&amp;$H285&amp;$N285&amp;$O285,APOIO_REDES!$W:$W,0),MATCH(AU$5,APOIO_REDES!$5:$5,0)),0)*$AP285,0)</f>
        <v>0.0649815565230037</v>
      </c>
      <c r="AV285" s="153" t="n">
        <f aca="false">IFERROR(IF($N285="VCA",INDEX(APOIO_REDES!$A:$W,MATCH($C285&amp;$I285&amp;$H285&amp;$N285&amp;$O285,APOIO_REDES!$W:$W,0),MATCH(AV$5,APOIO_REDES!$5:$5,0)),0)*$AP285,0)</f>
        <v>0.00899293729756397</v>
      </c>
      <c r="AW285" s="153" t="n">
        <f aca="false">IFERROR(IF($N285="VCA",INDEX(APOIO_REDES!$A:$W,MATCH($C285&amp;$I285&amp;$H285&amp;$N285&amp;$O285,APOIO_REDES!$W:$W,0),MATCH(AW$5,APOIO_REDES!$5:$5,0)),0)*$AP285,0)</f>
        <v>5.13354058895757</v>
      </c>
      <c r="AX285" s="153" t="n">
        <f aca="false">IFERROR(IF($N285="VCA",INDEX(APOIO_REDES!$A:$W,MATCH($C285&amp;$I285&amp;$H285&amp;$N285&amp;$O285,APOIO_REDES!$W:$W,0),MATCH(AX$5,APOIO_REDES!$5:$5,0)),0)*$AP285,0)</f>
        <v>0.710467394344559</v>
      </c>
      <c r="AY285" s="153" t="n">
        <f aca="false">IFERROR(IF($N285="VCA",INDEX(APOIO_REDES!$A:$W,MATCH($C285&amp;$I285&amp;$H285&amp;$N285&amp;$O285,APOIO_REDES!$W:$W,0),MATCH(AY$5,APOIO_REDES!$5:$5,0)),0)*$AP285,0)</f>
        <v>1.29963033834017</v>
      </c>
      <c r="AZ285" s="153" t="n">
        <f aca="false">IFERROR(IF($N285="VCA",INDEX(APOIO_REDES!$A:$W,MATCH($C285&amp;$I285&amp;$H285&amp;$N285&amp;$O285,APOIO_REDES!$W:$W,0),MATCH(AZ$5,APOIO_REDES!$5:$5,0)),0)*$AP285,0)</f>
        <v>0.179865082910531</v>
      </c>
      <c r="BA285" s="153" t="n">
        <f aca="false">IFERROR(IF(AND($N285="VCA",$Q285="LINEAR"),INDEX(APOIO_REDES!$A:$W,MATCH($C285&amp;$I285&amp;$H285&amp;$N285&amp;$O285,APOIO_REDES!$W:$W,0),MATCH(BA$5,APOIO_REDES!$5:$5,0)),IF(AND($N285="MND",$Q285="EMBOQUE"),INDEX(APOIO_REDES!$A:$W,MATCH($C285&amp;$I285&amp;$H285&amp;$N285&amp;$O285,APOIO_REDES!$W:$W,0),MATCH(BA$5,APOIO_REDES!$5:$5,0)),0))*$M285/10,0)</f>
        <v>0.550480771869899</v>
      </c>
      <c r="BB285" s="153" t="n">
        <f aca="false">IFERROR(IF($N285="VCA",INDEX(APOIO_REDES!$A:$W,MATCH($C285&amp;$I285&amp;$H285&amp;$N285&amp;$O285,APOIO_REDES!$W:$W,0),MATCH(BB$5,APOIO_REDES!$5:$5,0)),0)*($AI285+$AQ285+$AR285),0)</f>
        <v>2.83738878293774</v>
      </c>
      <c r="BC285" s="153" t="n">
        <f aca="false">IFERROR(IF($N285="VCA",INDEX(APOIO_REDES!$A:$W,MATCH($C285&amp;$I285&amp;$H285&amp;$N285&amp;$O285,APOIO_REDES!$W:$W,0),MATCH(BC$5,APOIO_REDES!$5:$5,0)),0)*($AI285+$AQ285+$AR285),0)</f>
        <v>0.0312112170622597</v>
      </c>
      <c r="BD285" s="153" t="n">
        <f aca="false">IF(AND($N285="VCA",$AF285&gt;=1.25,$AF285&lt;1.5),$M285*$AF285*2,0)</f>
        <v>19.9436</v>
      </c>
      <c r="BE285" s="153" t="n">
        <f aca="false">IF(AND($N285="VCA",$AF285&gt;=1.5,$AF285&lt;3),$M285*$AF285*2,0)</f>
        <v>0</v>
      </c>
      <c r="BF285" s="153" t="n">
        <f aca="false">IF(AND($N285="VCA",$AF285&gt;=3),$M285*$AF285*2,0)</f>
        <v>0</v>
      </c>
      <c r="BG285" s="153" t="n">
        <f aca="false">($BB285+$BC285)*$AK285</f>
        <v>7.74522</v>
      </c>
      <c r="BH285" s="153" t="n">
        <f aca="false">IF(AND($M285&lt;&gt;"",$N285="VCA",$Q285="LINEAR"),($M285*2)/100,IF(AND($M285&lt;&gt;"",$N285="MND",$Q285="EMBOQUE"),($AN285*2)/100,0))</f>
        <v>0.1366</v>
      </c>
      <c r="BI285" s="153" t="n">
        <f aca="false">IF(AND($M285&lt;&gt;"",$N285="VCA",$Q285="LINEAR"),$M285,IF(AND($M285&lt;&gt;"",$N285="MND",$Q285="EMBOQUE"),$AN285*2,0))</f>
        <v>6.83</v>
      </c>
      <c r="BJ285" s="153" t="n">
        <f aca="false">IF(AND($M285&lt;&gt;"",$N285="VCA",$Q285="LINEAR"),($M285*6.8)/100,IF(AND($M285&lt;&gt;"",$N285="MND",$Q285="EMBOQUE"),($AN285*2*6.8)/100,0))</f>
        <v>0.46444</v>
      </c>
      <c r="BK285" s="153" t="n">
        <f aca="false">IF(AND($M285&lt;&gt;"",$N285="VCA",$Q285="LINEAR"),($M285*2.5)/50,IF(AND($M285&lt;&gt;"",$N285="MND",$Q285="EMBOQUE"),($AN285*2*2.5)/50,0))</f>
        <v>0.3415</v>
      </c>
      <c r="BL285" s="157" t="str">
        <f aca="false">K285&amp;J285</f>
        <v>Zona03REDES</v>
      </c>
      <c r="BM285" s="152" t="s">
        <v>2526</v>
      </c>
      <c r="BN285" s="152" t="s">
        <v>1560</v>
      </c>
      <c r="BO285" s="152" t="s">
        <v>1982</v>
      </c>
      <c r="BP285" s="152" t="s">
        <v>2593</v>
      </c>
      <c r="BQ285" s="152" t="s">
        <v>2612</v>
      </c>
      <c r="BR285" s="152" t="s">
        <v>2613</v>
      </c>
      <c r="BS285" s="152" t="n">
        <v>203120.579</v>
      </c>
      <c r="BT285" s="152" t="n">
        <v>8237965.103</v>
      </c>
      <c r="BU285" s="152" t="n">
        <v>203116.605</v>
      </c>
      <c r="BV285" s="152" t="n">
        <v>8237959.544</v>
      </c>
      <c r="BW285" s="152" t="n">
        <v>-15.9198182</v>
      </c>
      <c r="BX285" s="152" t="n">
        <v>-47.7727816</v>
      </c>
      <c r="BY285" s="152" t="s">
        <v>2593</v>
      </c>
    </row>
    <row r="286" customFormat="false" ht="13.8" hidden="false" customHeight="false" outlineLevel="0" collapsed="false">
      <c r="A286" s="149" t="n">
        <f aca="false">IF(C286&lt;&gt;"",ROW(A281),"")</f>
        <v>281</v>
      </c>
      <c r="B286" s="150" t="str">
        <f aca="false">HYPERLINK("https://www.google.com/maps/dir/-15.917302,-47.760003/-15.9203744,-47.7679445/data=!4m3!4m2!3e0!5i0")</f>
        <v>https://www.google.com/maps/dir/-15.917302,-47.760003/-15.9203744,-47.7679445/data=!4m3!4m2!3e0!5i0</v>
      </c>
      <c r="C286" s="151" t="s">
        <v>117</v>
      </c>
      <c r="D286" s="152" t="s">
        <v>112</v>
      </c>
      <c r="E286" s="152" t="s">
        <v>113</v>
      </c>
      <c r="F286" s="152" t="s">
        <v>117</v>
      </c>
      <c r="G286" s="152" t="s">
        <v>782</v>
      </c>
      <c r="H286" s="152" t="n">
        <v>110</v>
      </c>
      <c r="I286" s="152" t="s">
        <v>115</v>
      </c>
      <c r="J286" s="152" t="s">
        <v>6</v>
      </c>
      <c r="K286" s="152" t="s">
        <v>2522</v>
      </c>
      <c r="L286" s="152" t="s">
        <v>120</v>
      </c>
      <c r="M286" s="153" t="n">
        <f aca="false">144.14</f>
        <v>144.14</v>
      </c>
      <c r="N286" s="152" t="s">
        <v>1548</v>
      </c>
      <c r="O286" s="152" t="s">
        <v>1549</v>
      </c>
      <c r="P286" s="152" t="s">
        <v>1550</v>
      </c>
      <c r="Q286" s="152" t="s">
        <v>1551</v>
      </c>
      <c r="R286" s="154" t="s">
        <v>2614</v>
      </c>
      <c r="S286" s="154" t="s">
        <v>1593</v>
      </c>
      <c r="T286" s="155" t="s">
        <v>1979</v>
      </c>
      <c r="U286" s="152" t="str">
        <f aca="false">RIGHT(T286,7)</f>
        <v>006/037</v>
      </c>
      <c r="V286" s="152" t="s">
        <v>1555</v>
      </c>
      <c r="W286" s="156" t="n">
        <v>45882</v>
      </c>
      <c r="X286" s="152" t="s">
        <v>1594</v>
      </c>
      <c r="Y286" s="152" t="s">
        <v>2524</v>
      </c>
      <c r="Z286" s="152" t="s">
        <v>1557</v>
      </c>
      <c r="AA286" s="153" t="n">
        <v>2.7</v>
      </c>
      <c r="AB286" s="151" t="s">
        <v>2615</v>
      </c>
      <c r="AC286" s="151" t="s">
        <v>502</v>
      </c>
      <c r="AD286" s="151" t="str">
        <f aca="false">CONCATENATE($C286,$I286,$H286,$N286,$J286,$K286)</f>
        <v>TUBO PEADPEAD110VCAREDESZona03</v>
      </c>
      <c r="AE286" s="153" t="n">
        <f aca="false">IFERROR(INDEX(APOIO_REDES!$A:$W,MATCH($C286&amp;$I286&amp;$H286&amp;$N286&amp;$O286,APOIO_REDES!$W:$W,0),MATCH(AE$5,APOIO_REDES!$5:$5,0)),0)</f>
        <v>1.2</v>
      </c>
      <c r="AF286" s="153" t="n">
        <f aca="false">IFERROR(INDEX(APOIO_REDES!$A:$W,MATCH($C286&amp;$I286&amp;$H286&amp;$N286&amp;$O286,APOIO_REDES!$W:$W,0),MATCH(AF$5,APOIO_REDES!$5:$5,0)),0)</f>
        <v>1.41</v>
      </c>
      <c r="AG286" s="153" t="n">
        <f aca="false">IFERROR(INDEX(APOIO_REDES!$A:$W,MATCH($C286&amp;$I286&amp;$H286&amp;$N286&amp;$O286,APOIO_REDES!$W:$W,0),MATCH(AG$5,APOIO_REDES!$5:$5,0)),0)</f>
        <v>0.75</v>
      </c>
      <c r="AH286" s="153" t="n">
        <f aca="false">IFERROR(INDEX(APOIO_REDES!$A:$W,MATCH($C286&amp;$I286&amp;$H286&amp;$N286&amp;$O286,APOIO_REDES!$W:$W,0),MATCH(AH$5,APOIO_REDES!$5:$5,0)),0)</f>
        <v>0.1</v>
      </c>
      <c r="AI286" s="153" t="n">
        <f aca="false">IFERROR(IF($H286&lt;&gt;"",(((($H286/1000)/2)^2)*PI()*$M286),0),0)</f>
        <v>1.36980822439251</v>
      </c>
      <c r="AJ286" s="153" t="n">
        <f aca="false">IFERROR(IF(AND($H286&lt;&gt;"",$I286="FoFo",OR($N286="MND",$N286="VCA"),$Q286="LINEAR"),0,IF(AND($H286&lt;&gt;"",$I286="PEAD",$N286="VCA",$Q286="LINEAR"),($H286/1000)+0.3,IF(AND($H286&lt;&gt;"",$I286="PEAD",$N286="MND",$Q286="EMBOQUE"),0,IF(AND($H286&lt;&gt;"",$I286="PVC",$N286="VCA",$Q286="LINEAR"),($H286/1000)+0.2,IF(AND($H286&lt;&gt;"",$I286="PVC",$N286="MND",$Q286="EMBOQUE"),0,IF(AND($H286&lt;&gt;"",$I286="PEAD",$N286="VCA",$Q286="PREDIAL"),0,0)))))),0)</f>
        <v>0.41</v>
      </c>
      <c r="AK286" s="153" t="n">
        <f aca="false">IF(AA286&lt;&gt;"",AA286,0)</f>
        <v>2.7</v>
      </c>
      <c r="AL286" s="153" t="n">
        <f aca="false">IF(AND($N286="MND",$Q286="EMBOQUE"),$M286,IF(AND($N286="VCA",$Q286="LINEAR"),$M286,IF(AND($N286="VCA",$Q286="PREDIAL"),0,0)))</f>
        <v>144.14</v>
      </c>
      <c r="AM286" s="153" t="n">
        <f aca="false">IF(AND($N286="MND",$Q286="EMBOQUE"),$M286,IF(AND($N286="VCA",$Q286="LINEAR"),$M286,IF(AND($N286="VCA",$Q286="PREDIAL"),0,0)))</f>
        <v>144.14</v>
      </c>
      <c r="AN286" s="153" t="n">
        <f aca="false">ROUND(IF(AND($N286="VCA",$M286&lt;&gt;"",$Q286="LINEAR"),$M286/100,IF(AND($N286="MND",$M286&gt;100,$Q286="EMBOQUE"),$M286/100,0)),0)</f>
        <v>1</v>
      </c>
      <c r="AO286" s="153" t="n">
        <f aca="false">IF(AND($N286="MND",$Q286="EMBOQUE"),$AN286*2*2,IF(AND($N286="VCA",$Q286="LINEAR"),$M286*2,IF(AND($N286="VCA",$Q286="PREDIAL"),0,0)))</f>
        <v>288.28</v>
      </c>
      <c r="AP286" s="153" t="n">
        <f aca="false">IFERROR($M286*$AF286*$AG286,0)</f>
        <v>152.42805</v>
      </c>
      <c r="AQ286" s="153" t="n">
        <f aca="false">IFERROR(IF(AND($N286="VCA",$AH286&gt;0),$M286*$AG286*$AH286,0),0)</f>
        <v>10.8105</v>
      </c>
      <c r="AR286" s="153" t="n">
        <f aca="false">IFERROR(IF(AND($N286="VCA",$AJ286&gt;0),($M286*$AG286*$AJ286)-$AI286,0),0)</f>
        <v>42.9532417756075</v>
      </c>
      <c r="AS286" s="153" t="n">
        <f aca="false">IFERROR(IF(AND($N286="VCA",$AP286&gt;0),$AP286-$AI286-$AQ286-$AR286,0),0)</f>
        <v>97.2945</v>
      </c>
      <c r="AT286" s="153" t="n">
        <f aca="false">IFERROR(IF($N286="VCA",INDEX(APOIO_REDES!$A:$W,MATCH($C286&amp;$I286&amp;$H286&amp;$N286&amp;$O286,APOIO_REDES!$W:$W,0),MATCH(AT$5,APOIO_REDES!$5:$5,0)),0)*$AP286,0)</f>
        <v>1.65846230039984</v>
      </c>
      <c r="AU286" s="153" t="n">
        <f aca="false">IFERROR(IF($N286="VCA",INDEX(APOIO_REDES!$A:$W,MATCH($C286&amp;$I286&amp;$H286&amp;$N286&amp;$O286,APOIO_REDES!$W:$W,0),MATCH(AU$5,APOIO_REDES!$5:$5,0)),0)*$AP286,0)</f>
        <v>1.32440307624384</v>
      </c>
      <c r="AV286" s="153" t="n">
        <f aca="false">IFERROR(IF($N286="VCA",INDEX(APOIO_REDES!$A:$W,MATCH($C286&amp;$I286&amp;$H286&amp;$N286&amp;$O286,APOIO_REDES!$W:$W,0),MATCH(AV$5,APOIO_REDES!$5:$5,0)),0)*$AP286,0)</f>
        <v>0.183286988780353</v>
      </c>
      <c r="AW286" s="153" t="n">
        <f aca="false">IFERROR(IF($N286="VCA",INDEX(APOIO_REDES!$A:$W,MATCH($C286&amp;$I286&amp;$H286&amp;$N286&amp;$O286,APOIO_REDES!$W:$W,0),MATCH(AW$5,APOIO_REDES!$5:$5,0)),0)*$AP286,0)</f>
        <v>104.627794590165</v>
      </c>
      <c r="AX286" s="153" t="n">
        <f aca="false">IFERROR(IF($N286="VCA",INDEX(APOIO_REDES!$A:$W,MATCH($C286&amp;$I286&amp;$H286&amp;$N286&amp;$O286,APOIO_REDES!$W:$W,0),MATCH(AX$5,APOIO_REDES!$5:$5,0)),0)*$AP286,0)</f>
        <v>14.4801887333644</v>
      </c>
      <c r="AY286" s="153" t="n">
        <f aca="false">IFERROR(IF($N286="VCA",INDEX(APOIO_REDES!$A:$W,MATCH($C286&amp;$I286&amp;$H286&amp;$N286&amp;$O286,APOIO_REDES!$W:$W,0),MATCH(AY$5,APOIO_REDES!$5:$5,0)),0)*$AP286,0)</f>
        <v>26.4880453805106</v>
      </c>
      <c r="AZ286" s="153" t="n">
        <f aca="false">IFERROR(IF($N286="VCA",INDEX(APOIO_REDES!$A:$W,MATCH($C286&amp;$I286&amp;$H286&amp;$N286&amp;$O286,APOIO_REDES!$W:$W,0),MATCH(AZ$5,APOIO_REDES!$5:$5,0)),0)*$AP286,0)</f>
        <v>3.66586893053618</v>
      </c>
      <c r="BA286" s="153" t="n">
        <f aca="false">IFERROR(IF(AND($N286="VCA",$Q286="LINEAR"),INDEX(APOIO_REDES!$A:$W,MATCH($C286&amp;$I286&amp;$H286&amp;$N286&amp;$O286,APOIO_REDES!$W:$W,0),MATCH(BA$5,APOIO_REDES!$5:$5,0)),IF(AND($N286="MND",$Q286="EMBOQUE"),INDEX(APOIO_REDES!$A:$W,MATCH($C286&amp;$I286&amp;$H286&amp;$N286&amp;$O286,APOIO_REDES!$W:$W,0),MATCH(BA$5,APOIO_REDES!$5:$5,0)),0))*$M286/10,0)</f>
        <v>11.6173204183495</v>
      </c>
      <c r="BB286" s="153" t="n">
        <f aca="false">IFERROR(IF($N286="VCA",INDEX(APOIO_REDES!$A:$W,MATCH($C286&amp;$I286&amp;$H286&amp;$N286&amp;$O286,APOIO_REDES!$W:$W,0),MATCH(BB$5,APOIO_REDES!$5:$5,0)),0)*($AI286+$AQ286+$AR286),0)</f>
        <v>54.5336806573022</v>
      </c>
      <c r="BC286" s="153" t="n">
        <f aca="false">IFERROR(IF($N286="VCA",INDEX(APOIO_REDES!$A:$W,MATCH($C286&amp;$I286&amp;$H286&amp;$N286&amp;$O286,APOIO_REDES!$W:$W,0),MATCH(BC$5,APOIO_REDES!$5:$5,0)),0)*($AI286+$AQ286+$AR286),0)</f>
        <v>0.599869342697814</v>
      </c>
      <c r="BD286" s="153" t="n">
        <f aca="false">IF(AND($N286="VCA",$AF286&gt;=1.25,$AF286&lt;1.5),$M286*$AF286*2,0)</f>
        <v>406.4748</v>
      </c>
      <c r="BE286" s="153" t="n">
        <f aca="false">IF(AND($N286="VCA",$AF286&gt;=1.5,$AF286&lt;3),$M286*$AF286*2,0)</f>
        <v>0</v>
      </c>
      <c r="BF286" s="153" t="n">
        <f aca="false">IF(AND($N286="VCA",$AF286&gt;=3),$M286*$AF286*2,0)</f>
        <v>0</v>
      </c>
      <c r="BG286" s="153" t="n">
        <f aca="false">($BB286+$BC286)*$AK286</f>
        <v>148.860585</v>
      </c>
      <c r="BH286" s="153" t="n">
        <f aca="false">IF(AND($M286&lt;&gt;"",$N286="VCA",$Q286="LINEAR"),($M286*2)/100,IF(AND($M286&lt;&gt;"",$N286="MND",$Q286="EMBOQUE"),($AN286*2)/100,0))</f>
        <v>2.8828</v>
      </c>
      <c r="BI286" s="153" t="n">
        <f aca="false">IF(AND($M286&lt;&gt;"",$N286="VCA",$Q286="LINEAR"),$M286,IF(AND($M286&lt;&gt;"",$N286="MND",$Q286="EMBOQUE"),$AN286*2,0))</f>
        <v>144.14</v>
      </c>
      <c r="BJ286" s="153" t="n">
        <f aca="false">IF(AND($M286&lt;&gt;"",$N286="VCA",$Q286="LINEAR"),($M286*6.8)/100,IF(AND($M286&lt;&gt;"",$N286="MND",$Q286="EMBOQUE"),($AN286*2*6.8)/100,0))</f>
        <v>9.80152</v>
      </c>
      <c r="BK286" s="153" t="n">
        <f aca="false">IF(AND($M286&lt;&gt;"",$N286="VCA",$Q286="LINEAR"),($M286*2.5)/50,IF(AND($M286&lt;&gt;"",$N286="MND",$Q286="EMBOQUE"),($AN286*2*2.5)/50,0))</f>
        <v>7.207</v>
      </c>
      <c r="BL286" s="157" t="str">
        <f aca="false">K286&amp;J286</f>
        <v>Zona03REDES</v>
      </c>
      <c r="BM286" s="152" t="s">
        <v>2526</v>
      </c>
      <c r="BN286" s="152" t="s">
        <v>1560</v>
      </c>
      <c r="BO286" s="152" t="s">
        <v>1982</v>
      </c>
      <c r="BP286" s="152" t="s">
        <v>2616</v>
      </c>
      <c r="BQ286" s="152" t="s">
        <v>2617</v>
      </c>
      <c r="BR286" s="152" t="s">
        <v>2618</v>
      </c>
      <c r="BS286" s="152" t="n">
        <v>203637.661</v>
      </c>
      <c r="BT286" s="152" t="n">
        <v>8237907.618</v>
      </c>
      <c r="BU286" s="152" t="n">
        <v>203750.442</v>
      </c>
      <c r="BV286" s="152" t="n">
        <v>8237997.082</v>
      </c>
      <c r="BW286" s="152" t="n">
        <v>-15.9199891</v>
      </c>
      <c r="BX286" s="152" t="n">
        <v>-47.7674036</v>
      </c>
      <c r="BY286" s="152" t="s">
        <v>2616</v>
      </c>
    </row>
    <row r="287" customFormat="false" ht="13.8" hidden="false" customHeight="false" outlineLevel="0" collapsed="false">
      <c r="A287" s="149" t="n">
        <f aca="false">IF(C287&lt;&gt;"",ROW(A282),"")</f>
        <v>282</v>
      </c>
      <c r="B287" s="150" t="str">
        <f aca="false">HYPERLINK("https://www.google.com/maps/dir/-15.917302,-47.760003/-15.9201285,-47.7707566/data=!4m3!4m2!3e0!5i2")</f>
        <v>https://www.google.com/maps/dir/-15.917302,-47.760003/-15.9201285,-47.7707566/data=!4m3!4m2!3e0!5i2</v>
      </c>
      <c r="C287" s="151" t="s">
        <v>117</v>
      </c>
      <c r="D287" s="152" t="s">
        <v>112</v>
      </c>
      <c r="E287" s="152" t="s">
        <v>113</v>
      </c>
      <c r="F287" s="152" t="s">
        <v>117</v>
      </c>
      <c r="G287" s="152" t="s">
        <v>782</v>
      </c>
      <c r="H287" s="152" t="n">
        <v>110</v>
      </c>
      <c r="I287" s="152" t="s">
        <v>115</v>
      </c>
      <c r="J287" s="152" t="s">
        <v>6</v>
      </c>
      <c r="K287" s="152" t="s">
        <v>2522</v>
      </c>
      <c r="L287" s="152" t="s">
        <v>120</v>
      </c>
      <c r="M287" s="153" t="n">
        <f aca="false">292.79</f>
        <v>292.79</v>
      </c>
      <c r="N287" s="152" t="s">
        <v>1548</v>
      </c>
      <c r="O287" s="152" t="s">
        <v>1549</v>
      </c>
      <c r="P287" s="152" t="s">
        <v>1550</v>
      </c>
      <c r="Q287" s="152" t="s">
        <v>1551</v>
      </c>
      <c r="R287" s="154" t="s">
        <v>2619</v>
      </c>
      <c r="S287" s="154" t="s">
        <v>1593</v>
      </c>
      <c r="T287" s="155" t="s">
        <v>1979</v>
      </c>
      <c r="U287" s="152" t="str">
        <f aca="false">RIGHT(T287,7)</f>
        <v>006/037</v>
      </c>
      <c r="V287" s="152" t="s">
        <v>1555</v>
      </c>
      <c r="W287" s="156" t="n">
        <v>45882</v>
      </c>
      <c r="X287" s="152" t="s">
        <v>1594</v>
      </c>
      <c r="Y287" s="152" t="s">
        <v>2553</v>
      </c>
      <c r="Z287" s="152" t="s">
        <v>1557</v>
      </c>
      <c r="AA287" s="153" t="n">
        <v>3.5</v>
      </c>
      <c r="AB287" s="151" t="s">
        <v>2620</v>
      </c>
      <c r="AC287" s="151" t="s">
        <v>502</v>
      </c>
      <c r="AD287" s="151" t="str">
        <f aca="false">CONCATENATE($C287,$I287,$H287,$N287,$J287,$K287)</f>
        <v>TUBO PEADPEAD110VCAREDESZona03</v>
      </c>
      <c r="AE287" s="153" t="n">
        <f aca="false">IFERROR(INDEX(APOIO_REDES!$A:$W,MATCH($C287&amp;$I287&amp;$H287&amp;$N287&amp;$O287,APOIO_REDES!$W:$W,0),MATCH(AE$5,APOIO_REDES!$5:$5,0)),0)</f>
        <v>1.2</v>
      </c>
      <c r="AF287" s="153" t="n">
        <f aca="false">IFERROR(INDEX(APOIO_REDES!$A:$W,MATCH($C287&amp;$I287&amp;$H287&amp;$N287&amp;$O287,APOIO_REDES!$W:$W,0),MATCH(AF$5,APOIO_REDES!$5:$5,0)),0)</f>
        <v>1.41</v>
      </c>
      <c r="AG287" s="153" t="n">
        <f aca="false">IFERROR(INDEX(APOIO_REDES!$A:$W,MATCH($C287&amp;$I287&amp;$H287&amp;$N287&amp;$O287,APOIO_REDES!$W:$W,0),MATCH(AG$5,APOIO_REDES!$5:$5,0)),0)</f>
        <v>0.75</v>
      </c>
      <c r="AH287" s="153" t="n">
        <f aca="false">IFERROR(INDEX(APOIO_REDES!$A:$W,MATCH($C287&amp;$I287&amp;$H287&amp;$N287&amp;$O287,APOIO_REDES!$W:$W,0),MATCH(AH$5,APOIO_REDES!$5:$5,0)),0)</f>
        <v>0.1</v>
      </c>
      <c r="AI287" s="153" t="n">
        <f aca="false">IFERROR(IF($H287&lt;&gt;"",(((($H287/1000)/2)^2)*PI()*$M287),0),0)</f>
        <v>2.78247641195978</v>
      </c>
      <c r="AJ287" s="153" t="n">
        <f aca="false">IFERROR(IF(AND($H287&lt;&gt;"",$I287="FoFo",OR($N287="MND",$N287="VCA"),$Q287="LINEAR"),0,IF(AND($H287&lt;&gt;"",$I287="PEAD",$N287="VCA",$Q287="LINEAR"),($H287/1000)+0.3,IF(AND($H287&lt;&gt;"",$I287="PEAD",$N287="MND",$Q287="EMBOQUE"),0,IF(AND($H287&lt;&gt;"",$I287="PVC",$N287="VCA",$Q287="LINEAR"),($H287/1000)+0.2,IF(AND($H287&lt;&gt;"",$I287="PVC",$N287="MND",$Q287="EMBOQUE"),0,IF(AND($H287&lt;&gt;"",$I287="PEAD",$N287="VCA",$Q287="PREDIAL"),0,0)))))),0)</f>
        <v>0.41</v>
      </c>
      <c r="AK287" s="153" t="n">
        <f aca="false">IF(AA287&lt;&gt;"",AA287,0)</f>
        <v>3.5</v>
      </c>
      <c r="AL287" s="153" t="n">
        <f aca="false">IF(AND($N287="MND",$Q287="EMBOQUE"),$M287,IF(AND($N287="VCA",$Q287="LINEAR"),$M287,IF(AND($N287="VCA",$Q287="PREDIAL"),0,0)))</f>
        <v>292.79</v>
      </c>
      <c r="AM287" s="153" t="n">
        <f aca="false">IF(AND($N287="MND",$Q287="EMBOQUE"),$M287,IF(AND($N287="VCA",$Q287="LINEAR"),$M287,IF(AND($N287="VCA",$Q287="PREDIAL"),0,0)))</f>
        <v>292.79</v>
      </c>
      <c r="AN287" s="153" t="n">
        <f aca="false">ROUND(IF(AND($N287="VCA",$M287&lt;&gt;"",$Q287="LINEAR"),$M287/100,IF(AND($N287="MND",$M287&gt;100,$Q287="EMBOQUE"),$M287/100,0)),0)</f>
        <v>3</v>
      </c>
      <c r="AO287" s="153" t="n">
        <f aca="false">IF(AND($N287="MND",$Q287="EMBOQUE"),$AN287*2*2,IF(AND($N287="VCA",$Q287="LINEAR"),$M287*2,IF(AND($N287="VCA",$Q287="PREDIAL"),0,0)))</f>
        <v>585.58</v>
      </c>
      <c r="AP287" s="153" t="n">
        <f aca="false">IFERROR($M287*$AF287*$AG287,0)</f>
        <v>309.625425</v>
      </c>
      <c r="AQ287" s="153" t="n">
        <f aca="false">IFERROR(IF(AND($N287="VCA",$AH287&gt;0),$M287*$AG287*$AH287,0),0)</f>
        <v>21.95925</v>
      </c>
      <c r="AR287" s="153" t="n">
        <f aca="false">IFERROR(IF(AND($N287="VCA",$AJ287&gt;0),($M287*$AG287*$AJ287)-$AI287,0),0)</f>
        <v>87.2504485880402</v>
      </c>
      <c r="AS287" s="153" t="n">
        <f aca="false">IFERROR(IF(AND($N287="VCA",$AP287&gt;0),$AP287-$AI287-$AQ287-$AR287,0),0)</f>
        <v>197.63325</v>
      </c>
      <c r="AT287" s="153" t="n">
        <f aca="false">IFERROR(IF($N287="VCA",INDEX(APOIO_REDES!$A:$W,MATCH($C287&amp;$I287&amp;$H287&amp;$N287&amp;$O287,APOIO_REDES!$W:$W,0),MATCH(AT$5,APOIO_REDES!$5:$5,0)),0)*$AP287,0)</f>
        <v>3.36881626844782</v>
      </c>
      <c r="AU287" s="153" t="n">
        <f aca="false">IFERROR(IF($N287="VCA",INDEX(APOIO_REDES!$A:$W,MATCH($C287&amp;$I287&amp;$H287&amp;$N287&amp;$O287,APOIO_REDES!$W:$W,0),MATCH(AU$5,APOIO_REDES!$5:$5,0)),0)*$AP287,0)</f>
        <v>2.69024543286689</v>
      </c>
      <c r="AV287" s="153" t="n">
        <f aca="false">IFERROR(IF($N287="VCA",INDEX(APOIO_REDES!$A:$W,MATCH($C287&amp;$I287&amp;$H287&amp;$N287&amp;$O287,APOIO_REDES!$W:$W,0),MATCH(AV$5,APOIO_REDES!$5:$5,0)),0)*$AP287,0)</f>
        <v>0.372308848654084</v>
      </c>
      <c r="AW287" s="153" t="n">
        <f aca="false">IFERROR(IF($N287="VCA",INDEX(APOIO_REDES!$A:$W,MATCH($C287&amp;$I287&amp;$H287&amp;$N287&amp;$O287,APOIO_REDES!$W:$W,0),MATCH(AW$5,APOIO_REDES!$5:$5,0)),0)*$AP287,0)</f>
        <v>212.529290814863</v>
      </c>
      <c r="AX287" s="153" t="n">
        <f aca="false">IFERROR(IF($N287="VCA",INDEX(APOIO_REDES!$A:$W,MATCH($C287&amp;$I287&amp;$H287&amp;$N287&amp;$O287,APOIO_REDES!$W:$W,0),MATCH(AX$5,APOIO_REDES!$5:$5,0)),0)*$AP287,0)</f>
        <v>29.4134484476326</v>
      </c>
      <c r="AY287" s="153" t="n">
        <f aca="false">IFERROR(IF($N287="VCA",INDEX(APOIO_REDES!$A:$W,MATCH($C287&amp;$I287&amp;$H287&amp;$N287&amp;$O287,APOIO_REDES!$W:$W,0),MATCH(AY$5,APOIO_REDES!$5:$5,0)),0)*$AP287,0)</f>
        <v>53.804875863464</v>
      </c>
      <c r="AZ287" s="153" t="n">
        <f aca="false">IFERROR(IF($N287="VCA",INDEX(APOIO_REDES!$A:$W,MATCH($C287&amp;$I287&amp;$H287&amp;$N287&amp;$O287,APOIO_REDES!$W:$W,0),MATCH(AZ$5,APOIO_REDES!$5:$5,0)),0)*$AP287,0)</f>
        <v>7.44643932407166</v>
      </c>
      <c r="BA287" s="153" t="n">
        <f aca="false">IFERROR(IF(AND($N287="VCA",$Q287="LINEAR"),INDEX(APOIO_REDES!$A:$W,MATCH($C287&amp;$I287&amp;$H287&amp;$N287&amp;$O287,APOIO_REDES!$W:$W,0),MATCH(BA$5,APOIO_REDES!$5:$5,0)),IF(AND($N287="MND",$Q287="EMBOQUE"),INDEX(APOIO_REDES!$A:$W,MATCH($C287&amp;$I287&amp;$H287&amp;$N287&amp;$O287,APOIO_REDES!$W:$W,0),MATCH(BA$5,APOIO_REDES!$5:$5,0)),0))*$M287/10,0)</f>
        <v>23.5981354605839</v>
      </c>
      <c r="BB287" s="153" t="n">
        <f aca="false">IFERROR(IF($N287="VCA",INDEX(APOIO_REDES!$A:$W,MATCH($C287&amp;$I287&amp;$H287&amp;$N287&amp;$O287,APOIO_REDES!$W:$W,0),MATCH(BB$5,APOIO_REDES!$5:$5,0)),0)*($AI287+$AQ287+$AR287),0)</f>
        <v>110.773666988008</v>
      </c>
      <c r="BC287" s="153" t="n">
        <f aca="false">IFERROR(IF($N287="VCA",INDEX(APOIO_REDES!$A:$W,MATCH($C287&amp;$I287&amp;$H287&amp;$N287&amp;$O287,APOIO_REDES!$W:$W,0),MATCH(BC$5,APOIO_REDES!$5:$5,0)),0)*($AI287+$AQ287+$AR287),0)</f>
        <v>1.21850801199176</v>
      </c>
      <c r="BD287" s="153" t="n">
        <f aca="false">IF(AND($N287="VCA",$AF287&gt;=1.25,$AF287&lt;1.5),$M287*$AF287*2,0)</f>
        <v>825.6678</v>
      </c>
      <c r="BE287" s="153" t="n">
        <f aca="false">IF(AND($N287="VCA",$AF287&gt;=1.5,$AF287&lt;3),$M287*$AF287*2,0)</f>
        <v>0</v>
      </c>
      <c r="BF287" s="153" t="n">
        <f aca="false">IF(AND($N287="VCA",$AF287&gt;=3),$M287*$AF287*2,0)</f>
        <v>0</v>
      </c>
      <c r="BG287" s="153" t="n">
        <f aca="false">($BB287+$BC287)*$AK287</f>
        <v>391.9726125</v>
      </c>
      <c r="BH287" s="153" t="n">
        <f aca="false">IF(AND($M287&lt;&gt;"",$N287="VCA",$Q287="LINEAR"),($M287*2)/100,IF(AND($M287&lt;&gt;"",$N287="MND",$Q287="EMBOQUE"),($AN287*2)/100,0))</f>
        <v>5.8558</v>
      </c>
      <c r="BI287" s="153" t="n">
        <f aca="false">IF(AND($M287&lt;&gt;"",$N287="VCA",$Q287="LINEAR"),$M287,IF(AND($M287&lt;&gt;"",$N287="MND",$Q287="EMBOQUE"),$AN287*2,0))</f>
        <v>292.79</v>
      </c>
      <c r="BJ287" s="153" t="n">
        <f aca="false">IF(AND($M287&lt;&gt;"",$N287="VCA",$Q287="LINEAR"),($M287*6.8)/100,IF(AND($M287&lt;&gt;"",$N287="MND",$Q287="EMBOQUE"),($AN287*2*6.8)/100,0))</f>
        <v>19.90972</v>
      </c>
      <c r="BK287" s="153" t="n">
        <f aca="false">IF(AND($M287&lt;&gt;"",$N287="VCA",$Q287="LINEAR"),($M287*2.5)/50,IF(AND($M287&lt;&gt;"",$N287="MND",$Q287="EMBOQUE"),($AN287*2*2.5)/50,0))</f>
        <v>14.6395</v>
      </c>
      <c r="BL287" s="157" t="str">
        <f aca="false">K287&amp;J287</f>
        <v>Zona03REDES</v>
      </c>
      <c r="BM287" s="152" t="s">
        <v>2526</v>
      </c>
      <c r="BN287" s="152" t="s">
        <v>1560</v>
      </c>
      <c r="BO287" s="152" t="s">
        <v>1982</v>
      </c>
      <c r="BP287" s="152" t="s">
        <v>2621</v>
      </c>
      <c r="BQ287" s="152" t="s">
        <v>2590</v>
      </c>
      <c r="BR287" s="152" t="s">
        <v>2622</v>
      </c>
      <c r="BS287" s="152" t="n">
        <v>203336.061</v>
      </c>
      <c r="BT287" s="152" t="n">
        <v>8237930.436</v>
      </c>
      <c r="BU287" s="152" t="n">
        <v>203627.362</v>
      </c>
      <c r="BV287" s="152" t="n">
        <v>8237959.864</v>
      </c>
      <c r="BW287" s="152" t="n">
        <v>-15.920012</v>
      </c>
      <c r="BX287" s="152" t="n">
        <v>-47.7693956</v>
      </c>
      <c r="BY287" s="152" t="s">
        <v>2621</v>
      </c>
    </row>
    <row r="288" customFormat="false" ht="13.8" hidden="false" customHeight="false" outlineLevel="0" collapsed="false">
      <c r="A288" s="149" t="n">
        <f aca="false">IF(C288&lt;&gt;"",ROW(A283),"")</f>
        <v>283</v>
      </c>
      <c r="B288" s="150" t="str">
        <f aca="false">HYPERLINK("https://www.google.com/maps/dir/-15.917302,-47.760003/-15.9199091,-47.7707799/data=!4m3!4m2!3e0!5i2")</f>
        <v>https://www.google.com/maps/dir/-15.917302,-47.760003/-15.9199091,-47.7707799/data=!4m3!4m2!3e0!5i2</v>
      </c>
      <c r="C288" s="151" t="s">
        <v>117</v>
      </c>
      <c r="D288" s="152" t="s">
        <v>112</v>
      </c>
      <c r="E288" s="152" t="s">
        <v>113</v>
      </c>
      <c r="F288" s="152" t="s">
        <v>117</v>
      </c>
      <c r="G288" s="152" t="s">
        <v>114</v>
      </c>
      <c r="H288" s="152" t="n">
        <v>160</v>
      </c>
      <c r="I288" s="152" t="s">
        <v>115</v>
      </c>
      <c r="J288" s="152" t="s">
        <v>6</v>
      </c>
      <c r="K288" s="152" t="s">
        <v>2522</v>
      </c>
      <c r="L288" s="152" t="s">
        <v>120</v>
      </c>
      <c r="M288" s="153" t="n">
        <f aca="false">24.42+0.42</f>
        <v>24.84</v>
      </c>
      <c r="N288" s="152" t="s">
        <v>1548</v>
      </c>
      <c r="O288" s="152" t="s">
        <v>1549</v>
      </c>
      <c r="P288" s="152" t="s">
        <v>1550</v>
      </c>
      <c r="Q288" s="152" t="s">
        <v>1551</v>
      </c>
      <c r="R288" s="154" t="s">
        <v>2623</v>
      </c>
      <c r="S288" s="154" t="s">
        <v>1593</v>
      </c>
      <c r="T288" s="155" t="s">
        <v>1979</v>
      </c>
      <c r="U288" s="152" t="str">
        <f aca="false">RIGHT(T288,7)</f>
        <v>006/037</v>
      </c>
      <c r="V288" s="152" t="s">
        <v>1555</v>
      </c>
      <c r="W288" s="156" t="n">
        <v>45882</v>
      </c>
      <c r="X288" s="152" t="s">
        <v>1594</v>
      </c>
      <c r="Y288" s="152" t="s">
        <v>2553</v>
      </c>
      <c r="Z288" s="152" t="s">
        <v>1557</v>
      </c>
      <c r="AA288" s="153" t="n">
        <v>3.5</v>
      </c>
      <c r="AB288" s="151" t="s">
        <v>2624</v>
      </c>
      <c r="AC288" s="151" t="s">
        <v>505</v>
      </c>
      <c r="AD288" s="151" t="str">
        <f aca="false">CONCATENATE($C288,$I288,$H288,$N288,$J288,$K288)</f>
        <v>TUBO PEADPEAD160VCAREDESZona03</v>
      </c>
      <c r="AE288" s="153" t="n">
        <f aca="false">IFERROR(INDEX(APOIO_REDES!$A:$W,MATCH($C288&amp;$I288&amp;$H288&amp;$N288&amp;$O288,APOIO_REDES!$W:$W,0),MATCH(AE$5,APOIO_REDES!$5:$5,0)),0)</f>
        <v>1.2</v>
      </c>
      <c r="AF288" s="153" t="n">
        <f aca="false">IFERROR(INDEX(APOIO_REDES!$A:$W,MATCH($C288&amp;$I288&amp;$H288&amp;$N288&amp;$O288,APOIO_REDES!$W:$W,0),MATCH(AF$5,APOIO_REDES!$5:$5,0)),0)</f>
        <v>1.46</v>
      </c>
      <c r="AG288" s="153" t="n">
        <f aca="false">IFERROR(INDEX(APOIO_REDES!$A:$W,MATCH($C288&amp;$I288&amp;$H288&amp;$N288&amp;$O288,APOIO_REDES!$W:$W,0),MATCH(AG$5,APOIO_REDES!$5:$5,0)),0)</f>
        <v>0.75</v>
      </c>
      <c r="AH288" s="153" t="n">
        <f aca="false">IFERROR(INDEX(APOIO_REDES!$A:$W,MATCH($C288&amp;$I288&amp;$H288&amp;$N288&amp;$O288,APOIO_REDES!$W:$W,0),MATCH(AH$5,APOIO_REDES!$5:$5,0)),0)</f>
        <v>0.1</v>
      </c>
      <c r="AI288" s="153" t="n">
        <f aca="false">IFERROR(IF($H288&lt;&gt;"",(((($H288/1000)/2)^2)*PI()*$M288),0),0)</f>
        <v>0.499437833697091</v>
      </c>
      <c r="AJ288" s="153" t="n">
        <f aca="false">IFERROR(IF(AND($H288&lt;&gt;"",$I288="FoFo",OR($N288="MND",$N288="VCA"),$Q288="LINEAR"),0,IF(AND($H288&lt;&gt;"",$I288="PEAD",$N288="VCA",$Q288="LINEAR"),($H288/1000)+0.3,IF(AND($H288&lt;&gt;"",$I288="PEAD",$N288="MND",$Q288="EMBOQUE"),0,IF(AND($H288&lt;&gt;"",$I288="PVC",$N288="VCA",$Q288="LINEAR"),($H288/1000)+0.2,IF(AND($H288&lt;&gt;"",$I288="PVC",$N288="MND",$Q288="EMBOQUE"),0,IF(AND($H288&lt;&gt;"",$I288="PEAD",$N288="VCA",$Q288="PREDIAL"),0,0)))))),0)</f>
        <v>0.46</v>
      </c>
      <c r="AK288" s="153" t="n">
        <f aca="false">IF(AA288&lt;&gt;"",AA288,0)</f>
        <v>3.5</v>
      </c>
      <c r="AL288" s="153" t="n">
        <f aca="false">IF(AND($N288="MND",$Q288="EMBOQUE"),$M288,IF(AND($N288="VCA",$Q288="LINEAR"),$M288,IF(AND($N288="VCA",$Q288="PREDIAL"),0,0)))</f>
        <v>24.84</v>
      </c>
      <c r="AM288" s="153" t="n">
        <f aca="false">IF(AND($N288="MND",$Q288="EMBOQUE"),$M288,IF(AND($N288="VCA",$Q288="LINEAR"),$M288,IF(AND($N288="VCA",$Q288="PREDIAL"),0,0)))</f>
        <v>24.84</v>
      </c>
      <c r="AN288" s="153" t="n">
        <f aca="false">ROUND(IF(AND($N288="VCA",$M288&lt;&gt;"",$Q288="LINEAR"),$M288/100,IF(AND($N288="MND",$M288&gt;100,$Q288="EMBOQUE"),$M288/100,0)),0)</f>
        <v>0</v>
      </c>
      <c r="AO288" s="153" t="n">
        <f aca="false">IF(AND($N288="MND",$Q288="EMBOQUE"),$AN288*2*2,IF(AND($N288="VCA",$Q288="LINEAR"),$M288*2,IF(AND($N288="VCA",$Q288="PREDIAL"),0,0)))</f>
        <v>49.68</v>
      </c>
      <c r="AP288" s="153" t="n">
        <f aca="false">IFERROR($M288*$AF288*$AG288,0)</f>
        <v>27.1998</v>
      </c>
      <c r="AQ288" s="153" t="n">
        <f aca="false">IFERROR(IF(AND($N288="VCA",$AH288&gt;0),$M288*$AG288*$AH288,0),0)</f>
        <v>1.863</v>
      </c>
      <c r="AR288" s="153" t="n">
        <f aca="false">IFERROR(IF(AND($N288="VCA",$AJ288&gt;0),($M288*$AG288*$AJ288)-$AI288,0),0)</f>
        <v>8.07036216630291</v>
      </c>
      <c r="AS288" s="153" t="n">
        <f aca="false">IFERROR(IF(AND($N288="VCA",$AP288&gt;0),$AP288-$AI288-$AQ288-$AR288,0),0)</f>
        <v>16.767</v>
      </c>
      <c r="AT288" s="153" t="n">
        <f aca="false">IFERROR(IF($N288="VCA",INDEX(APOIO_REDES!$A:$W,MATCH($C288&amp;$I288&amp;$H288&amp;$N288&amp;$O288,APOIO_REDES!$W:$W,0),MATCH(AT$5,APOIO_REDES!$5:$5,0)),0)*$AP288,0)</f>
        <v>0.295941874729851</v>
      </c>
      <c r="AU288" s="153" t="n">
        <f aca="false">IFERROR(IF($N288="VCA",INDEX(APOIO_REDES!$A:$W,MATCH($C288&amp;$I288&amp;$H288&amp;$N288&amp;$O288,APOIO_REDES!$W:$W,0),MATCH(AU$5,APOIO_REDES!$5:$5,0)),0)*$AP288,0)</f>
        <v>0.23633116603681</v>
      </c>
      <c r="AV288" s="153" t="n">
        <f aca="false">IFERROR(IF($N288="VCA",INDEX(APOIO_REDES!$A:$W,MATCH($C288&amp;$I288&amp;$H288&amp;$N288&amp;$O288,APOIO_REDES!$W:$W,0),MATCH(AV$5,APOIO_REDES!$5:$5,0)),0)*$AP288,0)</f>
        <v>0.0327063781070994</v>
      </c>
      <c r="AW288" s="153" t="n">
        <f aca="false">IFERROR(IF($N288="VCA",INDEX(APOIO_REDES!$A:$W,MATCH($C288&amp;$I288&amp;$H288&amp;$N288&amp;$O288,APOIO_REDES!$W:$W,0),MATCH(AW$5,APOIO_REDES!$5:$5,0)),0)*$AP288,0)</f>
        <v>18.6701534743347</v>
      </c>
      <c r="AX288" s="153" t="n">
        <f aca="false">IFERROR(IF($N288="VCA",INDEX(APOIO_REDES!$A:$W,MATCH($C288&amp;$I288&amp;$H288&amp;$N288&amp;$O288,APOIO_REDES!$W:$W,0),MATCH(AX$5,APOIO_REDES!$5:$5,0)),0)*$AP288,0)</f>
        <v>2.58389605790906</v>
      </c>
      <c r="AY288" s="153" t="n">
        <f aca="false">IFERROR(IF($N288="VCA",INDEX(APOIO_REDES!$A:$W,MATCH($C288&amp;$I288&amp;$H288&amp;$N288&amp;$O288,APOIO_REDES!$W:$W,0),MATCH(AY$5,APOIO_REDES!$5:$5,0)),0)*$AP288,0)</f>
        <v>4.72662043987844</v>
      </c>
      <c r="AZ288" s="153" t="n">
        <f aca="false">IFERROR(IF($N288="VCA",INDEX(APOIO_REDES!$A:$W,MATCH($C288&amp;$I288&amp;$H288&amp;$N288&amp;$O288,APOIO_REDES!$W:$W,0),MATCH(AZ$5,APOIO_REDES!$5:$5,0)),0)*$AP288,0)</f>
        <v>0.654150609004039</v>
      </c>
      <c r="BA288" s="153" t="n">
        <f aca="false">IFERROR(IF(AND($N288="VCA",$Q288="LINEAR"),INDEX(APOIO_REDES!$A:$W,MATCH($C288&amp;$I288&amp;$H288&amp;$N288&amp;$O288,APOIO_REDES!$W:$W,0),MATCH(BA$5,APOIO_REDES!$5:$5,0)),IF(AND($N288="MND",$Q288="EMBOQUE"),INDEX(APOIO_REDES!$A:$W,MATCH($C288&amp;$I288&amp;$H288&amp;$N288&amp;$O288,APOIO_REDES!$W:$W,0),MATCH(BA$5,APOIO_REDES!$5:$5,0)),0))*$M288/10,0)</f>
        <v>2.00204134308174</v>
      </c>
      <c r="BB288" s="153" t="n">
        <f aca="false">IFERROR(IF($N288="VCA",INDEX(APOIO_REDES!$A:$W,MATCH($C288&amp;$I288&amp;$H288&amp;$N288&amp;$O288,APOIO_REDES!$W:$W,0),MATCH(BB$5,APOIO_REDES!$5:$5,0)),0)*($AI288+$AQ288+$AR288),0)</f>
        <v>10.3192880480488</v>
      </c>
      <c r="BC288" s="153" t="n">
        <f aca="false">IFERROR(IF($N288="VCA",INDEX(APOIO_REDES!$A:$W,MATCH($C288&amp;$I288&amp;$H288&amp;$N288&amp;$O288,APOIO_REDES!$W:$W,0),MATCH(BC$5,APOIO_REDES!$5:$5,0)),0)*($AI288+$AQ288+$AR288),0)</f>
        <v>0.113511951951176</v>
      </c>
      <c r="BD288" s="153" t="n">
        <f aca="false">IF(AND($N288="VCA",$AF288&gt;=1.25,$AF288&lt;1.5),$M288*$AF288*2,0)</f>
        <v>72.5328</v>
      </c>
      <c r="BE288" s="153" t="n">
        <f aca="false">IF(AND($N288="VCA",$AF288&gt;=1.5,$AF288&lt;3),$M288*$AF288*2,0)</f>
        <v>0</v>
      </c>
      <c r="BF288" s="153" t="n">
        <f aca="false">IF(AND($N288="VCA",$AF288&gt;=3),$M288*$AF288*2,0)</f>
        <v>0</v>
      </c>
      <c r="BG288" s="153" t="n">
        <f aca="false">($BB288+$BC288)*$AK288</f>
        <v>36.5148</v>
      </c>
      <c r="BH288" s="153" t="n">
        <f aca="false">IF(AND($M288&lt;&gt;"",$N288="VCA",$Q288="LINEAR"),($M288*2)/100,IF(AND($M288&lt;&gt;"",$N288="MND",$Q288="EMBOQUE"),($AN288*2)/100,0))</f>
        <v>0.4968</v>
      </c>
      <c r="BI288" s="153" t="n">
        <f aca="false">IF(AND($M288&lt;&gt;"",$N288="VCA",$Q288="LINEAR"),$M288,IF(AND($M288&lt;&gt;"",$N288="MND",$Q288="EMBOQUE"),$AN288*2,0))</f>
        <v>24.84</v>
      </c>
      <c r="BJ288" s="153" t="n">
        <f aca="false">IF(AND($M288&lt;&gt;"",$N288="VCA",$Q288="LINEAR"),($M288*6.8)/100,IF(AND($M288&lt;&gt;"",$N288="MND",$Q288="EMBOQUE"),($AN288*2*6.8)/100,0))</f>
        <v>1.68912</v>
      </c>
      <c r="BK288" s="153" t="n">
        <f aca="false">IF(AND($M288&lt;&gt;"",$N288="VCA",$Q288="LINEAR"),($M288*2.5)/50,IF(AND($M288&lt;&gt;"",$N288="MND",$Q288="EMBOQUE"),($AN288*2*2.5)/50,0))</f>
        <v>1.242</v>
      </c>
      <c r="BL288" s="157" t="str">
        <f aca="false">K288&amp;J288</f>
        <v>Zona03REDES</v>
      </c>
      <c r="BM288" s="152" t="s">
        <v>2526</v>
      </c>
      <c r="BN288" s="152" t="s">
        <v>1560</v>
      </c>
      <c r="BO288" s="152" t="s">
        <v>1982</v>
      </c>
      <c r="BP288" s="152" t="s">
        <v>2608</v>
      </c>
      <c r="BQ288" s="152" t="s">
        <v>2621</v>
      </c>
      <c r="BR288" s="152" t="s">
        <v>2625</v>
      </c>
      <c r="BS288" s="152" t="n">
        <v>203333.2</v>
      </c>
      <c r="BT288" s="152" t="n">
        <v>8237955.106</v>
      </c>
      <c r="BU288" s="152" t="n">
        <v>203336.013</v>
      </c>
      <c r="BV288" s="152" t="n">
        <v>8237930.85</v>
      </c>
      <c r="BW288" s="152" t="n">
        <v>-15.9200188</v>
      </c>
      <c r="BX288" s="152" t="n">
        <v>-47.7707682</v>
      </c>
      <c r="BY288" s="152" t="s">
        <v>2608</v>
      </c>
    </row>
    <row r="289" customFormat="false" ht="13.8" hidden="false" customHeight="false" outlineLevel="0" collapsed="false">
      <c r="A289" s="149" t="n">
        <f aca="false">IF(C289&lt;&gt;"",ROW(A284),"")</f>
        <v>284</v>
      </c>
      <c r="B289" s="150" t="str">
        <f aca="false">HYPERLINK("https://www.google.com/maps/dir/-15.917302,-47.760003/-15.9199091,-47.7707799/data=!4m3!4m2!3e0!5i2")</f>
        <v>https://www.google.com/maps/dir/-15.917302,-47.760003/-15.9199091,-47.7707799/data=!4m3!4m2!3e0!5i2</v>
      </c>
      <c r="C289" s="151" t="s">
        <v>117</v>
      </c>
      <c r="D289" s="152" t="s">
        <v>112</v>
      </c>
      <c r="E289" s="152" t="s">
        <v>113</v>
      </c>
      <c r="F289" s="152" t="s">
        <v>117</v>
      </c>
      <c r="G289" s="152" t="s">
        <v>114</v>
      </c>
      <c r="H289" s="152" t="n">
        <v>160</v>
      </c>
      <c r="I289" s="152" t="s">
        <v>115</v>
      </c>
      <c r="J289" s="152" t="s">
        <v>6</v>
      </c>
      <c r="K289" s="152" t="s">
        <v>2522</v>
      </c>
      <c r="L289" s="152" t="s">
        <v>120</v>
      </c>
      <c r="M289" s="153" t="n">
        <f aca="false">217.2</f>
        <v>217.2</v>
      </c>
      <c r="N289" s="152" t="s">
        <v>1548</v>
      </c>
      <c r="O289" s="152" t="s">
        <v>1549</v>
      </c>
      <c r="P289" s="152" t="s">
        <v>1550</v>
      </c>
      <c r="Q289" s="152" t="s">
        <v>1551</v>
      </c>
      <c r="R289" s="154" t="s">
        <v>2626</v>
      </c>
      <c r="S289" s="154" t="s">
        <v>1593</v>
      </c>
      <c r="T289" s="155" t="s">
        <v>1979</v>
      </c>
      <c r="U289" s="152" t="str">
        <f aca="false">RIGHT(T289,7)</f>
        <v>006/037</v>
      </c>
      <c r="V289" s="152" t="s">
        <v>1555</v>
      </c>
      <c r="W289" s="156" t="n">
        <v>45882</v>
      </c>
      <c r="X289" s="152" t="s">
        <v>1594</v>
      </c>
      <c r="Y289" s="152" t="s">
        <v>2553</v>
      </c>
      <c r="Z289" s="152" t="s">
        <v>1557</v>
      </c>
      <c r="AA289" s="153" t="n">
        <v>3.5</v>
      </c>
      <c r="AB289" s="151" t="s">
        <v>2627</v>
      </c>
      <c r="AC289" s="151" t="s">
        <v>505</v>
      </c>
      <c r="AD289" s="151" t="str">
        <f aca="false">CONCATENATE($C289,$I289,$H289,$N289,$J289,$K289)</f>
        <v>TUBO PEADPEAD160VCAREDESZona03</v>
      </c>
      <c r="AE289" s="153" t="n">
        <f aca="false">IFERROR(INDEX(APOIO_REDES!$A:$W,MATCH($C289&amp;$I289&amp;$H289&amp;$N289&amp;$O289,APOIO_REDES!$W:$W,0),MATCH(AE$5,APOIO_REDES!$5:$5,0)),0)</f>
        <v>1.2</v>
      </c>
      <c r="AF289" s="153" t="n">
        <f aca="false">IFERROR(INDEX(APOIO_REDES!$A:$W,MATCH($C289&amp;$I289&amp;$H289&amp;$N289&amp;$O289,APOIO_REDES!$W:$W,0),MATCH(AF$5,APOIO_REDES!$5:$5,0)),0)</f>
        <v>1.46</v>
      </c>
      <c r="AG289" s="153" t="n">
        <f aca="false">IFERROR(INDEX(APOIO_REDES!$A:$W,MATCH($C289&amp;$I289&amp;$H289&amp;$N289&amp;$O289,APOIO_REDES!$W:$W,0),MATCH(AG$5,APOIO_REDES!$5:$5,0)),0)</f>
        <v>0.75</v>
      </c>
      <c r="AH289" s="153" t="n">
        <f aca="false">IFERROR(INDEX(APOIO_REDES!$A:$W,MATCH($C289&amp;$I289&amp;$H289&amp;$N289&amp;$O289,APOIO_REDES!$W:$W,0),MATCH(AH$5,APOIO_REDES!$5:$5,0)),0)</f>
        <v>0.1</v>
      </c>
      <c r="AI289" s="153" t="n">
        <f aca="false">IFERROR(IF($H289&lt;&gt;"",(((($H289/1000)/2)^2)*PI()*$M289),0),0)</f>
        <v>4.3670651159021</v>
      </c>
      <c r="AJ289" s="153" t="n">
        <f aca="false">IFERROR(IF(AND($H289&lt;&gt;"",$I289="FoFo",OR($N289="MND",$N289="VCA"),$Q289="LINEAR"),0,IF(AND($H289&lt;&gt;"",$I289="PEAD",$N289="VCA",$Q289="LINEAR"),($H289/1000)+0.3,IF(AND($H289&lt;&gt;"",$I289="PEAD",$N289="MND",$Q289="EMBOQUE"),0,IF(AND($H289&lt;&gt;"",$I289="PVC",$N289="VCA",$Q289="LINEAR"),($H289/1000)+0.2,IF(AND($H289&lt;&gt;"",$I289="PVC",$N289="MND",$Q289="EMBOQUE"),0,IF(AND($H289&lt;&gt;"",$I289="PEAD",$N289="VCA",$Q289="PREDIAL"),0,0)))))),0)</f>
        <v>0.46</v>
      </c>
      <c r="AK289" s="153" t="n">
        <f aca="false">IF(AA289&lt;&gt;"",AA289,0)</f>
        <v>3.5</v>
      </c>
      <c r="AL289" s="153" t="n">
        <f aca="false">IF(AND($N289="MND",$Q289="EMBOQUE"),$M289,IF(AND($N289="VCA",$Q289="LINEAR"),$M289,IF(AND($N289="VCA",$Q289="PREDIAL"),0,0)))</f>
        <v>217.2</v>
      </c>
      <c r="AM289" s="153" t="n">
        <f aca="false">IF(AND($N289="MND",$Q289="EMBOQUE"),$M289,IF(AND($N289="VCA",$Q289="LINEAR"),$M289,IF(AND($N289="VCA",$Q289="PREDIAL"),0,0)))</f>
        <v>217.2</v>
      </c>
      <c r="AN289" s="153" t="n">
        <f aca="false">ROUND(IF(AND($N289="VCA",$M289&lt;&gt;"",$Q289="LINEAR"),$M289/100,IF(AND($N289="MND",$M289&gt;100,$Q289="EMBOQUE"),$M289/100,0)),0)</f>
        <v>2</v>
      </c>
      <c r="AO289" s="153" t="n">
        <f aca="false">IF(AND($N289="MND",$Q289="EMBOQUE"),$AN289*2*2,IF(AND($N289="VCA",$Q289="LINEAR"),$M289*2,IF(AND($N289="VCA",$Q289="PREDIAL"),0,0)))</f>
        <v>434.4</v>
      </c>
      <c r="AP289" s="153" t="n">
        <f aca="false">IFERROR($M289*$AF289*$AG289,0)</f>
        <v>237.834</v>
      </c>
      <c r="AQ289" s="153" t="n">
        <f aca="false">IFERROR(IF(AND($N289="VCA",$AH289&gt;0),$M289*$AG289*$AH289,0),0)</f>
        <v>16.29</v>
      </c>
      <c r="AR289" s="153" t="n">
        <f aca="false">IFERROR(IF(AND($N289="VCA",$AJ289&gt;0),($M289*$AG289*$AJ289)-$AI289,0),0)</f>
        <v>70.5669348840979</v>
      </c>
      <c r="AS289" s="153" t="n">
        <f aca="false">IFERROR(IF(AND($N289="VCA",$AP289&gt;0),$AP289-$AI289-$AQ289-$AR289,0),0)</f>
        <v>146.61</v>
      </c>
      <c r="AT289" s="153" t="n">
        <f aca="false">IFERROR(IF($N289="VCA",INDEX(APOIO_REDES!$A:$W,MATCH($C289&amp;$I289&amp;$H289&amp;$N289&amp;$O289,APOIO_REDES!$W:$W,0),MATCH(AT$5,APOIO_REDES!$5:$5,0)),0)*$AP289,0)</f>
        <v>2.58770431527068</v>
      </c>
      <c r="AU289" s="153" t="n">
        <f aca="false">IFERROR(IF($N289="VCA",INDEX(APOIO_REDES!$A:$W,MATCH($C289&amp;$I289&amp;$H289&amp;$N289&amp;$O289,APOIO_REDES!$W:$W,0),MATCH(AU$5,APOIO_REDES!$5:$5,0)),0)*$AP289,0)</f>
        <v>2.06647058225423</v>
      </c>
      <c r="AV289" s="153" t="n">
        <f aca="false">IFERROR(IF($N289="VCA",INDEX(APOIO_REDES!$A:$W,MATCH($C289&amp;$I289&amp;$H289&amp;$N289&amp;$O289,APOIO_REDES!$W:$W,0),MATCH(AV$5,APOIO_REDES!$5:$5,0)),0)*$AP289,0)</f>
        <v>0.285983306153865</v>
      </c>
      <c r="AW289" s="153" t="n">
        <f aca="false">IFERROR(IF($N289="VCA",INDEX(APOIO_REDES!$A:$W,MATCH($C289&amp;$I289&amp;$H289&amp;$N289&amp;$O289,APOIO_REDES!$W:$W,0),MATCH(AW$5,APOIO_REDES!$5:$5,0)),0)*$AP289,0)</f>
        <v>163.251100427758</v>
      </c>
      <c r="AX289" s="153" t="n">
        <f aca="false">IFERROR(IF($N289="VCA",INDEX(APOIO_REDES!$A:$W,MATCH($C289&amp;$I289&amp;$H289&amp;$N289&amp;$O289,APOIO_REDES!$W:$W,0),MATCH(AX$5,APOIO_REDES!$5:$5,0)),0)*$AP289,0)</f>
        <v>22.5934872696396</v>
      </c>
      <c r="AY289" s="153" t="n">
        <f aca="false">IFERROR(IF($N289="VCA",INDEX(APOIO_REDES!$A:$W,MATCH($C289&amp;$I289&amp;$H289&amp;$N289&amp;$O289,APOIO_REDES!$W:$W,0),MATCH(AY$5,APOIO_REDES!$5:$5,0)),0)*$AP289,0)</f>
        <v>41.3293864549757</v>
      </c>
      <c r="AZ289" s="153" t="n">
        <f aca="false">IFERROR(IF($N289="VCA",INDEX(APOIO_REDES!$A:$W,MATCH($C289&amp;$I289&amp;$H289&amp;$N289&amp;$O289,APOIO_REDES!$W:$W,0),MATCH(AZ$5,APOIO_REDES!$5:$5,0)),0)*$AP289,0)</f>
        <v>5.71986764394836</v>
      </c>
      <c r="BA289" s="153" t="n">
        <f aca="false">IFERROR(IF(AND($N289="VCA",$Q289="LINEAR"),INDEX(APOIO_REDES!$A:$W,MATCH($C289&amp;$I289&amp;$H289&amp;$N289&amp;$O289,APOIO_REDES!$W:$W,0),MATCH(BA$5,APOIO_REDES!$5:$5,0)),IF(AND($N289="MND",$Q289="EMBOQUE"),INDEX(APOIO_REDES!$A:$W,MATCH($C289&amp;$I289&amp;$H289&amp;$N289&amp;$O289,APOIO_REDES!$W:$W,0),MATCH(BA$5,APOIO_REDES!$5:$5,0)),0))*$M289/10,0)</f>
        <v>17.5057721303283</v>
      </c>
      <c r="BB289" s="153" t="n">
        <f aca="false">IFERROR(IF($N289="VCA",INDEX(APOIO_REDES!$A:$W,MATCH($C289&amp;$I289&amp;$H289&amp;$N289&amp;$O289,APOIO_REDES!$W:$W,0),MATCH(BB$5,APOIO_REDES!$5:$5,0)),0)*($AI289+$AQ289+$AR289),0)</f>
        <v>90.2314558790743</v>
      </c>
      <c r="BC289" s="153" t="n">
        <f aca="false">IFERROR(IF($N289="VCA",INDEX(APOIO_REDES!$A:$W,MATCH($C289&amp;$I289&amp;$H289&amp;$N289&amp;$O289,APOIO_REDES!$W:$W,0),MATCH(BC$5,APOIO_REDES!$5:$5,0)),0)*($AI289+$AQ289+$AR289),0)</f>
        <v>0.992544120925741</v>
      </c>
      <c r="BD289" s="153" t="n">
        <f aca="false">IF(AND($N289="VCA",$AF289&gt;=1.25,$AF289&lt;1.5),$M289*$AF289*2,0)</f>
        <v>634.224</v>
      </c>
      <c r="BE289" s="153" t="n">
        <f aca="false">IF(AND($N289="VCA",$AF289&gt;=1.5,$AF289&lt;3),$M289*$AF289*2,0)</f>
        <v>0</v>
      </c>
      <c r="BF289" s="153" t="n">
        <f aca="false">IF(AND($N289="VCA",$AF289&gt;=3),$M289*$AF289*2,0)</f>
        <v>0</v>
      </c>
      <c r="BG289" s="153" t="n">
        <f aca="false">($BB289+$BC289)*$AK289</f>
        <v>319.284</v>
      </c>
      <c r="BH289" s="153" t="n">
        <f aca="false">IF(AND($M289&lt;&gt;"",$N289="VCA",$Q289="LINEAR"),($M289*2)/100,IF(AND($M289&lt;&gt;"",$N289="MND",$Q289="EMBOQUE"),($AN289*2)/100,0))</f>
        <v>4.344</v>
      </c>
      <c r="BI289" s="153" t="n">
        <f aca="false">IF(AND($M289&lt;&gt;"",$N289="VCA",$Q289="LINEAR"),$M289,IF(AND($M289&lt;&gt;"",$N289="MND",$Q289="EMBOQUE"),$AN289*2,0))</f>
        <v>217.2</v>
      </c>
      <c r="BJ289" s="153" t="n">
        <f aca="false">IF(AND($M289&lt;&gt;"",$N289="VCA",$Q289="LINEAR"),($M289*6.8)/100,IF(AND($M289&lt;&gt;"",$N289="MND",$Q289="EMBOQUE"),($AN289*2*6.8)/100,0))</f>
        <v>14.7696</v>
      </c>
      <c r="BK289" s="153" t="n">
        <f aca="false">IF(AND($M289&lt;&gt;"",$N289="VCA",$Q289="LINEAR"),($M289*2.5)/50,IF(AND($M289&lt;&gt;"",$N289="MND",$Q289="EMBOQUE"),($AN289*2*2.5)/50,0))</f>
        <v>10.86</v>
      </c>
      <c r="BL289" s="157" t="str">
        <f aca="false">K289&amp;J289</f>
        <v>Zona03REDES</v>
      </c>
      <c r="BM289" s="152" t="s">
        <v>2526</v>
      </c>
      <c r="BN289" s="152" t="s">
        <v>1560</v>
      </c>
      <c r="BO289" s="152" t="s">
        <v>1982</v>
      </c>
      <c r="BP289" s="152" t="s">
        <v>2608</v>
      </c>
      <c r="BQ289" s="152" t="s">
        <v>2593</v>
      </c>
      <c r="BR289" s="152" t="s">
        <v>2628</v>
      </c>
      <c r="BS289" s="152" t="n">
        <v>203333.2</v>
      </c>
      <c r="BT289" s="152" t="n">
        <v>8237955.106</v>
      </c>
      <c r="BU289" s="152" t="n">
        <v>203120.579</v>
      </c>
      <c r="BV289" s="152" t="n">
        <v>8237965.103</v>
      </c>
      <c r="BW289" s="152" t="n">
        <v>-15.9200131</v>
      </c>
      <c r="BX289" s="152" t="n">
        <v>-47.7717873</v>
      </c>
      <c r="BY289" s="152" t="s">
        <v>2608</v>
      </c>
    </row>
    <row r="290" customFormat="false" ht="13.8" hidden="false" customHeight="false" outlineLevel="0" collapsed="false">
      <c r="A290" s="149" t="n">
        <f aca="false">IF(C290&lt;&gt;"",ROW(A285),"")</f>
        <v>285</v>
      </c>
      <c r="B290" s="150" t="str">
        <f aca="false">HYPERLINK("https://www.google.com/maps/dir/-15.917302,-47.760003/-15.9198430,-47.7728005/data=!4m3!4m2!3e0!5i0")</f>
        <v>https://www.google.com/maps/dir/-15.917302,-47.760003/-15.9198430,-47.7728005/data=!4m3!4m2!3e0!5i0</v>
      </c>
      <c r="C290" s="151" t="s">
        <v>117</v>
      </c>
      <c r="D290" s="152" t="s">
        <v>112</v>
      </c>
      <c r="E290" s="152" t="s">
        <v>113</v>
      </c>
      <c r="F290" s="152" t="s">
        <v>117</v>
      </c>
      <c r="G290" s="152" t="s">
        <v>782</v>
      </c>
      <c r="H290" s="152" t="n">
        <v>63</v>
      </c>
      <c r="I290" s="152" t="s">
        <v>115</v>
      </c>
      <c r="J290" s="152" t="s">
        <v>6</v>
      </c>
      <c r="K290" s="152" t="s">
        <v>2522</v>
      </c>
      <c r="L290" s="152" t="s">
        <v>120</v>
      </c>
      <c r="M290" s="153" t="n">
        <f aca="false">46.87</f>
        <v>46.87</v>
      </c>
      <c r="N290" s="152" t="s">
        <v>1548</v>
      </c>
      <c r="O290" s="152" t="s">
        <v>1549</v>
      </c>
      <c r="P290" s="152" t="s">
        <v>1550</v>
      </c>
      <c r="Q290" s="152" t="s">
        <v>1551</v>
      </c>
      <c r="R290" s="154" t="s">
        <v>2629</v>
      </c>
      <c r="S290" s="154" t="s">
        <v>1553</v>
      </c>
      <c r="T290" s="155" t="s">
        <v>1979</v>
      </c>
      <c r="U290" s="152" t="str">
        <f aca="false">RIGHT(T290,7)</f>
        <v>006/037</v>
      </c>
      <c r="V290" s="152" t="s">
        <v>1555</v>
      </c>
      <c r="W290" s="156" t="n">
        <v>45882</v>
      </c>
      <c r="X290" s="152" t="s">
        <v>1594</v>
      </c>
      <c r="Y290" s="152" t="s">
        <v>2630</v>
      </c>
      <c r="Z290" s="152" t="s">
        <v>1557</v>
      </c>
      <c r="AA290" s="153" t="n">
        <v>2.7</v>
      </c>
      <c r="AB290" s="151" t="s">
        <v>2631</v>
      </c>
      <c r="AC290" s="151" t="s">
        <v>186</v>
      </c>
      <c r="AD290" s="151" t="str">
        <f aca="false">CONCATENATE($C290,$I290,$H290,$N290,$J290,$K290)</f>
        <v>TUBO PEADPEAD63VCAREDESZona03</v>
      </c>
      <c r="AE290" s="153" t="n">
        <f aca="false">IFERROR(INDEX(APOIO_REDES!$A:$W,MATCH($C290&amp;$I290&amp;$H290&amp;$N290&amp;$O290,APOIO_REDES!$W:$W,0),MATCH(AE$5,APOIO_REDES!$5:$5,0)),0)</f>
        <v>1.2</v>
      </c>
      <c r="AF290" s="153" t="n">
        <f aca="false">IFERROR(INDEX(APOIO_REDES!$A:$W,MATCH($C290&amp;$I290&amp;$H290&amp;$N290&amp;$O290,APOIO_REDES!$W:$W,0),MATCH(AF$5,APOIO_REDES!$5:$5,0)),0)</f>
        <v>1.363</v>
      </c>
      <c r="AG290" s="153" t="n">
        <f aca="false">IFERROR(INDEX(APOIO_REDES!$A:$W,MATCH($C290&amp;$I290&amp;$H290&amp;$N290&amp;$O290,APOIO_REDES!$W:$W,0),MATCH(AG$5,APOIO_REDES!$5:$5,0)),0)</f>
        <v>0.65</v>
      </c>
      <c r="AH290" s="153" t="n">
        <f aca="false">IFERROR(INDEX(APOIO_REDES!$A:$W,MATCH($C290&amp;$I290&amp;$H290&amp;$N290&amp;$O290,APOIO_REDES!$W:$W,0),MATCH(AH$5,APOIO_REDES!$5:$5,0)),0)</f>
        <v>0.1</v>
      </c>
      <c r="AI290" s="153" t="n">
        <f aca="false">IFERROR(IF($H290&lt;&gt;"",(((($H290/1000)/2)^2)*PI()*$M290),0),0)</f>
        <v>0.146105287704282</v>
      </c>
      <c r="AJ290" s="153" t="n">
        <f aca="false">IFERROR(IF(AND($H290&lt;&gt;"",$I290="FoFo",OR($N290="MND",$N290="VCA"),$Q290="LINEAR"),0,IF(AND($H290&lt;&gt;"",$I290="PEAD",$N290="VCA",$Q290="LINEAR"),($H290/1000)+0.3,IF(AND($H290&lt;&gt;"",$I290="PEAD",$N290="MND",$Q290="EMBOQUE"),0,IF(AND($H290&lt;&gt;"",$I290="PVC",$N290="VCA",$Q290="LINEAR"),($H290/1000)+0.2,IF(AND($H290&lt;&gt;"",$I290="PVC",$N290="MND",$Q290="EMBOQUE"),0,IF(AND($H290&lt;&gt;"",$I290="PEAD",$N290="VCA",$Q290="PREDIAL"),0,0)))))),0)</f>
        <v>0.363</v>
      </c>
      <c r="AK290" s="153" t="n">
        <f aca="false">IF(AA290&lt;&gt;"",AA290,0)</f>
        <v>2.7</v>
      </c>
      <c r="AL290" s="153" t="n">
        <f aca="false">IF(AND($N290="MND",$Q290="EMBOQUE"),$M290,IF(AND($N290="VCA",$Q290="LINEAR"),$M290,IF(AND($N290="VCA",$Q290="PREDIAL"),0,0)))</f>
        <v>46.87</v>
      </c>
      <c r="AM290" s="153" t="n">
        <f aca="false">IF(AND($N290="MND",$Q290="EMBOQUE"),$M290,IF(AND($N290="VCA",$Q290="LINEAR"),$M290,IF(AND($N290="VCA",$Q290="PREDIAL"),0,0)))</f>
        <v>46.87</v>
      </c>
      <c r="AN290" s="153" t="n">
        <f aca="false">ROUND(IF(AND($N290="VCA",$M290&lt;&gt;"",$Q290="LINEAR"),$M290/100,IF(AND($N290="MND",$M290&gt;100,$Q290="EMBOQUE"),$M290/100,0)),0)</f>
        <v>0</v>
      </c>
      <c r="AO290" s="153" t="n">
        <f aca="false">IF(AND($N290="MND",$Q290="EMBOQUE"),$AN290*2*2,IF(AND($N290="VCA",$Q290="LINEAR"),$M290*2,IF(AND($N290="VCA",$Q290="PREDIAL"),0,0)))</f>
        <v>93.74</v>
      </c>
      <c r="AP290" s="153" t="n">
        <f aca="false">IFERROR($M290*$AF290*$AG290,0)</f>
        <v>41.5244765</v>
      </c>
      <c r="AQ290" s="153" t="n">
        <f aca="false">IFERROR(IF(AND($N290="VCA",$AH290&gt;0),$M290*$AG290*$AH290,0),0)</f>
        <v>3.04655</v>
      </c>
      <c r="AR290" s="153" t="n">
        <f aca="false">IFERROR(IF(AND($N290="VCA",$AJ290&gt;0),($M290*$AG290*$AJ290)-$AI290,0),0)</f>
        <v>10.9128712122957</v>
      </c>
      <c r="AS290" s="153" t="n">
        <f aca="false">IFERROR(IF(AND($N290="VCA",$AP290&gt;0),$AP290-$AI290-$AQ290-$AR290,0),0)</f>
        <v>27.41895</v>
      </c>
      <c r="AT290" s="153" t="n">
        <f aca="false">IFERROR(IF($N290="VCA",INDEX(APOIO_REDES!$A:$W,MATCH($C290&amp;$I290&amp;$H290&amp;$N290&amp;$O290,APOIO_REDES!$W:$W,0),MATCH(AT$5,APOIO_REDES!$5:$5,0)),0)*$AP290,0)</f>
        <v>0.451798594937671</v>
      </c>
      <c r="AU290" s="153" t="n">
        <f aca="false">IFERROR(IF($N290="VCA",INDEX(APOIO_REDES!$A:$W,MATCH($C290&amp;$I290&amp;$H290&amp;$N290&amp;$O290,APOIO_REDES!$W:$W,0),MATCH(AU$5,APOIO_REDES!$5:$5,0)),0)*$AP290,0)</f>
        <v>0.360794121659465</v>
      </c>
      <c r="AV290" s="153" t="n">
        <f aca="false">IFERROR(IF($N290="VCA",INDEX(APOIO_REDES!$A:$W,MATCH($C290&amp;$I290&amp;$H290&amp;$N290&amp;$O290,APOIO_REDES!$W:$W,0),MATCH(AV$5,APOIO_REDES!$5:$5,0)),0)*$AP290,0)</f>
        <v>0.0499310740927641</v>
      </c>
      <c r="AW290" s="153" t="n">
        <f aca="false">IFERROR(IF($N290="VCA",INDEX(APOIO_REDES!$A:$W,MATCH($C290&amp;$I290&amp;$H290&amp;$N290&amp;$O290,APOIO_REDES!$W:$W,0),MATCH(AW$5,APOIO_REDES!$5:$5,0)),0)*$AP290,0)</f>
        <v>28.5027224169444</v>
      </c>
      <c r="AX290" s="153" t="n">
        <f aca="false">IFERROR(IF($N290="VCA",INDEX(APOIO_REDES!$A:$W,MATCH($C290&amp;$I290&amp;$H290&amp;$N290&amp;$O290,APOIO_REDES!$W:$W,0),MATCH(AX$5,APOIO_REDES!$5:$5,0)),0)*$AP290,0)</f>
        <v>3.94469559096344</v>
      </c>
      <c r="AY290" s="153" t="n">
        <f aca="false">IFERROR(IF($N290="VCA",INDEX(APOIO_REDES!$A:$W,MATCH($C290&amp;$I290&amp;$H290&amp;$N290&amp;$O290,APOIO_REDES!$W:$W,0),MATCH(AY$5,APOIO_REDES!$5:$5,0)),0)*$AP290,0)</f>
        <v>7.2158780351382</v>
      </c>
      <c r="AZ290" s="153" t="n">
        <f aca="false">IFERROR(IF($N290="VCA",INDEX(APOIO_REDES!$A:$W,MATCH($C290&amp;$I290&amp;$H290&amp;$N290&amp;$O290,APOIO_REDES!$W:$W,0),MATCH(AZ$5,APOIO_REDES!$5:$5,0)),0)*$AP290,0)</f>
        <v>0.99865666626405</v>
      </c>
      <c r="BA290" s="153" t="n">
        <f aca="false">IFERROR(IF(AND($N290="VCA",$Q290="LINEAR"),INDEX(APOIO_REDES!$A:$W,MATCH($C290&amp;$I290&amp;$H290&amp;$N290&amp;$O290,APOIO_REDES!$W:$W,0),MATCH(BA$5,APOIO_REDES!$5:$5,0)),IF(AND($N290="MND",$Q290="EMBOQUE"),INDEX(APOIO_REDES!$A:$W,MATCH($C290&amp;$I290&amp;$H290&amp;$N290&amp;$O290,APOIO_REDES!$W:$W,0),MATCH(BA$5,APOIO_REDES!$5:$5,0)),0))*$M290/10,0)</f>
        <v>3.7776037741643</v>
      </c>
      <c r="BB290" s="153" t="n">
        <f aca="false">IFERROR(IF($N290="VCA",INDEX(APOIO_REDES!$A:$W,MATCH($C290&amp;$I290&amp;$H290&amp;$N290&amp;$O290,APOIO_REDES!$W:$W,0),MATCH(BB$5,APOIO_REDES!$5:$5,0)),0)*($AI290+$AQ290+$AR290),0)</f>
        <v>13.9520541966573</v>
      </c>
      <c r="BC290" s="153" t="n">
        <f aca="false">IFERROR(IF($N290="VCA",INDEX(APOIO_REDES!$A:$W,MATCH($C290&amp;$I290&amp;$H290&amp;$N290&amp;$O290,APOIO_REDES!$W:$W,0),MATCH(BC$5,APOIO_REDES!$5:$5,0)),0)*($AI290+$AQ290+$AR290),0)</f>
        <v>0.15347230334273</v>
      </c>
      <c r="BD290" s="153" t="n">
        <f aca="false">IF(AND($N290="VCA",$AF290&gt;=1.25,$AF290&lt;1.5),$M290*$AF290*2,0)</f>
        <v>127.76762</v>
      </c>
      <c r="BE290" s="153" t="n">
        <f aca="false">IF(AND($N290="VCA",$AF290&gt;=1.5,$AF290&lt;3),$M290*$AF290*2,0)</f>
        <v>0</v>
      </c>
      <c r="BF290" s="153" t="n">
        <f aca="false">IF(AND($N290="VCA",$AF290&gt;=3),$M290*$AF290*2,0)</f>
        <v>0</v>
      </c>
      <c r="BG290" s="153" t="n">
        <f aca="false">($BB290+$BC290)*$AK290</f>
        <v>38.08492155</v>
      </c>
      <c r="BH290" s="153" t="n">
        <f aca="false">IF(AND($M290&lt;&gt;"",$N290="VCA",$Q290="LINEAR"),($M290*2)/100,IF(AND($M290&lt;&gt;"",$N290="MND",$Q290="EMBOQUE"),($AN290*2)/100,0))</f>
        <v>0.9374</v>
      </c>
      <c r="BI290" s="153" t="n">
        <f aca="false">IF(AND($M290&lt;&gt;"",$N290="VCA",$Q290="LINEAR"),$M290,IF(AND($M290&lt;&gt;"",$N290="MND",$Q290="EMBOQUE"),$AN290*2,0))</f>
        <v>46.87</v>
      </c>
      <c r="BJ290" s="153" t="n">
        <f aca="false">IF(AND($M290&lt;&gt;"",$N290="VCA",$Q290="LINEAR"),($M290*6.8)/100,IF(AND($M290&lt;&gt;"",$N290="MND",$Q290="EMBOQUE"),($AN290*2*6.8)/100,0))</f>
        <v>3.18716</v>
      </c>
      <c r="BK290" s="153" t="n">
        <f aca="false">IF(AND($M290&lt;&gt;"",$N290="VCA",$Q290="LINEAR"),($M290*2.5)/50,IF(AND($M290&lt;&gt;"",$N290="MND",$Q290="EMBOQUE"),($AN290*2*2.5)/50,0))</f>
        <v>2.3435</v>
      </c>
      <c r="BL290" s="157" t="str">
        <f aca="false">K290&amp;J290</f>
        <v>Zona03REDES</v>
      </c>
      <c r="BM290" s="152" t="s">
        <v>2526</v>
      </c>
      <c r="BN290" s="152" t="s">
        <v>1560</v>
      </c>
      <c r="BO290" s="152" t="s">
        <v>1982</v>
      </c>
      <c r="BP290" s="152" t="s">
        <v>2612</v>
      </c>
      <c r="BQ290" s="152" t="s">
        <v>2632</v>
      </c>
      <c r="BR290" s="152" t="s">
        <v>2633</v>
      </c>
      <c r="BS290" s="152" t="n">
        <v>203116.605</v>
      </c>
      <c r="BT290" s="152" t="n">
        <v>8237959.544</v>
      </c>
      <c r="BU290" s="152" t="n">
        <v>203124.359</v>
      </c>
      <c r="BV290" s="152" t="n">
        <v>8237915.503</v>
      </c>
      <c r="BW290" s="152" t="n">
        <v>-15.9200306</v>
      </c>
      <c r="BX290" s="152" t="n">
        <v>-47.7727488</v>
      </c>
      <c r="BY290" s="152" t="s">
        <v>2612</v>
      </c>
    </row>
    <row r="291" customFormat="false" ht="13.8" hidden="false" customHeight="false" outlineLevel="0" collapsed="false">
      <c r="A291" s="149" t="n">
        <f aca="false">IF(C291&lt;&gt;"",ROW(A286),"")</f>
        <v>286</v>
      </c>
      <c r="B291" s="150" t="str">
        <f aca="false">HYPERLINK("https://www.google.com/maps/dir/-15.917302,-47.760003/-15.9199014,-47.7680342/data=!4m3!4m2!3e0!5i1")</f>
        <v>https://www.google.com/maps/dir/-15.917302,-47.760003/-15.9199014,-47.7680342/data=!4m3!4m2!3e0!5i1</v>
      </c>
      <c r="C291" s="151" t="s">
        <v>117</v>
      </c>
      <c r="D291" s="152" t="s">
        <v>112</v>
      </c>
      <c r="E291" s="152" t="s">
        <v>113</v>
      </c>
      <c r="F291" s="152" t="s">
        <v>117</v>
      </c>
      <c r="G291" s="152" t="s">
        <v>782</v>
      </c>
      <c r="H291" s="152" t="n">
        <v>110</v>
      </c>
      <c r="I291" s="152" t="s">
        <v>115</v>
      </c>
      <c r="J291" s="152" t="s">
        <v>6</v>
      </c>
      <c r="K291" s="152" t="s">
        <v>2522</v>
      </c>
      <c r="L291" s="152" t="s">
        <v>120</v>
      </c>
      <c r="M291" s="153" t="n">
        <f aca="false">46.38</f>
        <v>46.38</v>
      </c>
      <c r="N291" s="152" t="s">
        <v>1548</v>
      </c>
      <c r="O291" s="152" t="s">
        <v>1549</v>
      </c>
      <c r="P291" s="152" t="s">
        <v>1550</v>
      </c>
      <c r="Q291" s="152" t="s">
        <v>1551</v>
      </c>
      <c r="R291" s="154" t="s">
        <v>2634</v>
      </c>
      <c r="S291" s="154" t="s">
        <v>1593</v>
      </c>
      <c r="T291" s="155" t="s">
        <v>1979</v>
      </c>
      <c r="U291" s="152" t="str">
        <f aca="false">RIGHT(T291,7)</f>
        <v>006/037</v>
      </c>
      <c r="V291" s="152" t="s">
        <v>1555</v>
      </c>
      <c r="W291" s="156" t="n">
        <v>45882</v>
      </c>
      <c r="X291" s="152" t="s">
        <v>1594</v>
      </c>
      <c r="Y291" s="152" t="s">
        <v>2531</v>
      </c>
      <c r="Z291" s="152" t="s">
        <v>1557</v>
      </c>
      <c r="AA291" s="153" t="n">
        <v>3.2</v>
      </c>
      <c r="AB291" s="151" t="s">
        <v>2635</v>
      </c>
      <c r="AC291" s="151" t="s">
        <v>502</v>
      </c>
      <c r="AD291" s="151" t="str">
        <f aca="false">CONCATENATE($C291,$I291,$H291,$N291,$J291,$K291)</f>
        <v>TUBO PEADPEAD110VCAREDESZona03</v>
      </c>
      <c r="AE291" s="153" t="n">
        <f aca="false">IFERROR(INDEX(APOIO_REDES!$A:$W,MATCH($C291&amp;$I291&amp;$H291&amp;$N291&amp;$O291,APOIO_REDES!$W:$W,0),MATCH(AE$5,APOIO_REDES!$5:$5,0)),0)</f>
        <v>1.2</v>
      </c>
      <c r="AF291" s="153" t="n">
        <f aca="false">IFERROR(INDEX(APOIO_REDES!$A:$W,MATCH($C291&amp;$I291&amp;$H291&amp;$N291&amp;$O291,APOIO_REDES!$W:$W,0),MATCH(AF$5,APOIO_REDES!$5:$5,0)),0)</f>
        <v>1.41</v>
      </c>
      <c r="AG291" s="153" t="n">
        <f aca="false">IFERROR(INDEX(APOIO_REDES!$A:$W,MATCH($C291&amp;$I291&amp;$H291&amp;$N291&amp;$O291,APOIO_REDES!$W:$W,0),MATCH(AG$5,APOIO_REDES!$5:$5,0)),0)</f>
        <v>0.75</v>
      </c>
      <c r="AH291" s="153" t="n">
        <f aca="false">IFERROR(INDEX(APOIO_REDES!$A:$W,MATCH($C291&amp;$I291&amp;$H291&amp;$N291&amp;$O291,APOIO_REDES!$W:$W,0),MATCH(AH$5,APOIO_REDES!$5:$5,0)),0)</f>
        <v>0.1</v>
      </c>
      <c r="AI291" s="153" t="n">
        <f aca="false">IFERROR(IF($H291&lt;&gt;"",(((($H291/1000)/2)^2)*PI()*$M291),0),0)</f>
        <v>0.440763878502321</v>
      </c>
      <c r="AJ291" s="153" t="n">
        <f aca="false">IFERROR(IF(AND($H291&lt;&gt;"",$I291="FoFo",OR($N291="MND",$N291="VCA"),$Q291="LINEAR"),0,IF(AND($H291&lt;&gt;"",$I291="PEAD",$N291="VCA",$Q291="LINEAR"),($H291/1000)+0.3,IF(AND($H291&lt;&gt;"",$I291="PEAD",$N291="MND",$Q291="EMBOQUE"),0,IF(AND($H291&lt;&gt;"",$I291="PVC",$N291="VCA",$Q291="LINEAR"),($H291/1000)+0.2,IF(AND($H291&lt;&gt;"",$I291="PVC",$N291="MND",$Q291="EMBOQUE"),0,IF(AND($H291&lt;&gt;"",$I291="PEAD",$N291="VCA",$Q291="PREDIAL"),0,0)))))),0)</f>
        <v>0.41</v>
      </c>
      <c r="AK291" s="153" t="n">
        <f aca="false">IF(AA291&lt;&gt;"",AA291,0)</f>
        <v>3.2</v>
      </c>
      <c r="AL291" s="153" t="n">
        <f aca="false">IF(AND($N291="MND",$Q291="EMBOQUE"),$M291,IF(AND($N291="VCA",$Q291="LINEAR"),$M291,IF(AND($N291="VCA",$Q291="PREDIAL"),0,0)))</f>
        <v>46.38</v>
      </c>
      <c r="AM291" s="153" t="n">
        <f aca="false">IF(AND($N291="MND",$Q291="EMBOQUE"),$M291,IF(AND($N291="VCA",$Q291="LINEAR"),$M291,IF(AND($N291="VCA",$Q291="PREDIAL"),0,0)))</f>
        <v>46.38</v>
      </c>
      <c r="AN291" s="153" t="n">
        <f aca="false">ROUND(IF(AND($N291="VCA",$M291&lt;&gt;"",$Q291="LINEAR"),$M291/100,IF(AND($N291="MND",$M291&gt;100,$Q291="EMBOQUE"),$M291/100,0)),0)</f>
        <v>0</v>
      </c>
      <c r="AO291" s="153" t="n">
        <f aca="false">IF(AND($N291="MND",$Q291="EMBOQUE"),$AN291*2*2,IF(AND($N291="VCA",$Q291="LINEAR"),$M291*2,IF(AND($N291="VCA",$Q291="PREDIAL"),0,0)))</f>
        <v>92.76</v>
      </c>
      <c r="AP291" s="153" t="n">
        <f aca="false">IFERROR($M291*$AF291*$AG291,0)</f>
        <v>49.04685</v>
      </c>
      <c r="AQ291" s="153" t="n">
        <f aca="false">IFERROR(IF(AND($N291="VCA",$AH291&gt;0),$M291*$AG291*$AH291,0),0)</f>
        <v>3.4785</v>
      </c>
      <c r="AR291" s="153" t="n">
        <f aca="false">IFERROR(IF(AND($N291="VCA",$AJ291&gt;0),($M291*$AG291*$AJ291)-$AI291,0),0)</f>
        <v>13.8210861214977</v>
      </c>
      <c r="AS291" s="153" t="n">
        <f aca="false">IFERROR(IF(AND($N291="VCA",$AP291&gt;0),$AP291-$AI291-$AQ291-$AR291,0),0)</f>
        <v>31.3065</v>
      </c>
      <c r="AT291" s="153" t="n">
        <f aca="false">IFERROR(IF($N291="VCA",INDEX(APOIO_REDES!$A:$W,MATCH($C291&amp;$I291&amp;$H291&amp;$N291&amp;$O291,APOIO_REDES!$W:$W,0),MATCH(AT$5,APOIO_REDES!$5:$5,0)),0)*$AP291,0)</f>
        <v>0.533644245126575</v>
      </c>
      <c r="AU291" s="153" t="n">
        <f aca="false">IFERROR(IF($N291="VCA",INDEX(APOIO_REDES!$A:$W,MATCH($C291&amp;$I291&amp;$H291&amp;$N291&amp;$O291,APOIO_REDES!$W:$W,0),MATCH(AU$5,APOIO_REDES!$5:$5,0)),0)*$AP291,0)</f>
        <v>0.426153841238998</v>
      </c>
      <c r="AV291" s="153" t="n">
        <f aca="false">IFERROR(IF($N291="VCA",INDEX(APOIO_REDES!$A:$W,MATCH($C291&amp;$I291&amp;$H291&amp;$N291&amp;$O291,APOIO_REDES!$W:$W,0),MATCH(AV$5,APOIO_REDES!$5:$5,0)),0)*$AP291,0)</f>
        <v>0.0589763461886554</v>
      </c>
      <c r="AW291" s="153" t="n">
        <f aca="false">IFERROR(IF($N291="VCA",INDEX(APOIO_REDES!$A:$W,MATCH($C291&amp;$I291&amp;$H291&amp;$N291&amp;$O291,APOIO_REDES!$W:$W,0),MATCH(AW$5,APOIO_REDES!$5:$5,0)),0)*$AP291,0)</f>
        <v>33.6661378735385</v>
      </c>
      <c r="AX291" s="153" t="n">
        <f aca="false">IFERROR(IF($N291="VCA",INDEX(APOIO_REDES!$A:$W,MATCH($C291&amp;$I291&amp;$H291&amp;$N291&amp;$O291,APOIO_REDES!$W:$W,0),MATCH(AX$5,APOIO_REDES!$5:$5,0)),0)*$AP291,0)</f>
        <v>4.65929758188872</v>
      </c>
      <c r="AY291" s="153" t="n">
        <f aca="false">IFERROR(IF($N291="VCA",INDEX(APOIO_REDES!$A:$W,MATCH($C291&amp;$I291&amp;$H291&amp;$N291&amp;$O291,APOIO_REDES!$W:$W,0),MATCH(AY$5,APOIO_REDES!$5:$5,0)),0)*$AP291,0)</f>
        <v>8.52307162999919</v>
      </c>
      <c r="AZ291" s="153" t="n">
        <f aca="false">IFERROR(IF($N291="VCA",INDEX(APOIO_REDES!$A:$W,MATCH($C291&amp;$I291&amp;$H291&amp;$N291&amp;$O291,APOIO_REDES!$W:$W,0),MATCH(AZ$5,APOIO_REDES!$5:$5,0)),0)*$AP291,0)</f>
        <v>1.17956848201934</v>
      </c>
      <c r="BA291" s="153" t="n">
        <f aca="false">IFERROR(IF(AND($N291="VCA",$Q291="LINEAR"),INDEX(APOIO_REDES!$A:$W,MATCH($C291&amp;$I291&amp;$H291&amp;$N291&amp;$O291,APOIO_REDES!$W:$W,0),MATCH(BA$5,APOIO_REDES!$5:$5,0)),IF(AND($N291="MND",$Q291="EMBOQUE"),INDEX(APOIO_REDES!$A:$W,MATCH($C291&amp;$I291&amp;$H291&amp;$N291&amp;$O291,APOIO_REDES!$W:$W,0),MATCH(BA$5,APOIO_REDES!$5:$5,0)),0))*$M291/10,0)</f>
        <v>3.73811101015021</v>
      </c>
      <c r="BB291" s="153" t="n">
        <f aca="false">IFERROR(IF($N291="VCA",INDEX(APOIO_REDES!$A:$W,MATCH($C291&amp;$I291&amp;$H291&amp;$N291&amp;$O291,APOIO_REDES!$W:$W,0),MATCH(BB$5,APOIO_REDES!$5:$5,0)),0)*($AI291+$AQ291+$AR291),0)</f>
        <v>17.5473297411244</v>
      </c>
      <c r="BC291" s="153" t="n">
        <f aca="false">IFERROR(IF($N291="VCA",INDEX(APOIO_REDES!$A:$W,MATCH($C291&amp;$I291&amp;$H291&amp;$N291&amp;$O291,APOIO_REDES!$W:$W,0),MATCH(BC$5,APOIO_REDES!$5:$5,0)),0)*($AI291+$AQ291+$AR291),0)</f>
        <v>0.19302025887557</v>
      </c>
      <c r="BD291" s="153" t="n">
        <f aca="false">IF(AND($N291="VCA",$AF291&gt;=1.25,$AF291&lt;1.5),$M291*$AF291*2,0)</f>
        <v>130.7916</v>
      </c>
      <c r="BE291" s="153" t="n">
        <f aca="false">IF(AND($N291="VCA",$AF291&gt;=1.5,$AF291&lt;3),$M291*$AF291*2,0)</f>
        <v>0</v>
      </c>
      <c r="BF291" s="153" t="n">
        <f aca="false">IF(AND($N291="VCA",$AF291&gt;=3),$M291*$AF291*2,0)</f>
        <v>0</v>
      </c>
      <c r="BG291" s="153" t="n">
        <f aca="false">($BB291+$BC291)*$AK291</f>
        <v>56.76912</v>
      </c>
      <c r="BH291" s="153" t="n">
        <f aca="false">IF(AND($M291&lt;&gt;"",$N291="VCA",$Q291="LINEAR"),($M291*2)/100,IF(AND($M291&lt;&gt;"",$N291="MND",$Q291="EMBOQUE"),($AN291*2)/100,0))</f>
        <v>0.9276</v>
      </c>
      <c r="BI291" s="153" t="n">
        <f aca="false">IF(AND($M291&lt;&gt;"",$N291="VCA",$Q291="LINEAR"),$M291,IF(AND($M291&lt;&gt;"",$N291="MND",$Q291="EMBOQUE"),$AN291*2,0))</f>
        <v>46.38</v>
      </c>
      <c r="BJ291" s="153" t="n">
        <f aca="false">IF(AND($M291&lt;&gt;"",$N291="VCA",$Q291="LINEAR"),($M291*6.8)/100,IF(AND($M291&lt;&gt;"",$N291="MND",$Q291="EMBOQUE"),($AN291*2*6.8)/100,0))</f>
        <v>3.15384</v>
      </c>
      <c r="BK291" s="153" t="n">
        <f aca="false">IF(AND($M291&lt;&gt;"",$N291="VCA",$Q291="LINEAR"),($M291*2.5)/50,IF(AND($M291&lt;&gt;"",$N291="MND",$Q291="EMBOQUE"),($AN291*2*2.5)/50,0))</f>
        <v>2.319</v>
      </c>
      <c r="BL291" s="157" t="str">
        <f aca="false">K291&amp;J291</f>
        <v>Zona03REDES</v>
      </c>
      <c r="BM291" s="152" t="s">
        <v>2526</v>
      </c>
      <c r="BN291" s="152" t="s">
        <v>1560</v>
      </c>
      <c r="BO291" s="152" t="s">
        <v>1982</v>
      </c>
      <c r="BP291" s="152" t="s">
        <v>2590</v>
      </c>
      <c r="BQ291" s="152" t="s">
        <v>2636</v>
      </c>
      <c r="BR291" s="152" t="s">
        <v>2575</v>
      </c>
      <c r="BS291" s="152" t="n">
        <v>203627.362</v>
      </c>
      <c r="BT291" s="152" t="n">
        <v>8237959.864</v>
      </c>
      <c r="BU291" s="152" t="n">
        <v>203633.105</v>
      </c>
      <c r="BV291" s="152" t="n">
        <v>8237913.836</v>
      </c>
      <c r="BW291" s="152" t="n">
        <v>-15.9201095</v>
      </c>
      <c r="BX291" s="152" t="n">
        <v>-47.7680102</v>
      </c>
      <c r="BY291" s="152" t="s">
        <v>2590</v>
      </c>
    </row>
    <row r="292" customFormat="false" ht="13.8" hidden="false" customHeight="false" outlineLevel="0" collapsed="false">
      <c r="A292" s="149" t="n">
        <f aca="false">IF(C292&lt;&gt;"",ROW(A287),"")</f>
        <v>287</v>
      </c>
      <c r="B292" s="150" t="str">
        <f aca="false">HYPERLINK("https://www.google.com/maps/dir/-15.917302,-47.760003/-15.9200452,-47.7679736/data=!4m3!4m2!3e0!5i0")</f>
        <v>https://www.google.com/maps/dir/-15.917302,-47.760003/-15.9200452,-47.7679736/data=!4m3!4m2!3e0!5i0</v>
      </c>
      <c r="C292" s="151" t="s">
        <v>117</v>
      </c>
      <c r="D292" s="152" t="s">
        <v>112</v>
      </c>
      <c r="E292" s="152" t="s">
        <v>113</v>
      </c>
      <c r="F292" s="152" t="s">
        <v>117</v>
      </c>
      <c r="G292" s="152" t="s">
        <v>782</v>
      </c>
      <c r="H292" s="152" t="n">
        <v>110</v>
      </c>
      <c r="I292" s="152" t="s">
        <v>115</v>
      </c>
      <c r="J292" s="152" t="s">
        <v>6</v>
      </c>
      <c r="K292" s="152" t="s">
        <v>2522</v>
      </c>
      <c r="L292" s="152" t="s">
        <v>120</v>
      </c>
      <c r="M292" s="153" t="n">
        <f aca="false">32.7</f>
        <v>32.7</v>
      </c>
      <c r="N292" s="152" t="s">
        <v>1548</v>
      </c>
      <c r="O292" s="152" t="s">
        <v>1549</v>
      </c>
      <c r="P292" s="152" t="s">
        <v>1550</v>
      </c>
      <c r="Q292" s="152" t="s">
        <v>1551</v>
      </c>
      <c r="R292" s="154" t="s">
        <v>2637</v>
      </c>
      <c r="S292" s="154" t="s">
        <v>1593</v>
      </c>
      <c r="T292" s="155" t="s">
        <v>1979</v>
      </c>
      <c r="U292" s="152" t="str">
        <f aca="false">RIGHT(T292,7)</f>
        <v>006/037</v>
      </c>
      <c r="V292" s="152" t="s">
        <v>1555</v>
      </c>
      <c r="W292" s="156" t="n">
        <v>45882</v>
      </c>
      <c r="X292" s="152" t="s">
        <v>1594</v>
      </c>
      <c r="Y292" s="152" t="s">
        <v>2638</v>
      </c>
      <c r="Z292" s="152" t="s">
        <v>1557</v>
      </c>
      <c r="AA292" s="153" t="n">
        <v>2.7</v>
      </c>
      <c r="AB292" s="151" t="s">
        <v>2639</v>
      </c>
      <c r="AC292" s="151" t="s">
        <v>502</v>
      </c>
      <c r="AD292" s="151" t="str">
        <f aca="false">CONCATENATE($C292,$I292,$H292,$N292,$J292,$K292)</f>
        <v>TUBO PEADPEAD110VCAREDESZona03</v>
      </c>
      <c r="AE292" s="153" t="n">
        <f aca="false">IFERROR(INDEX(APOIO_REDES!$A:$W,MATCH($C292&amp;$I292&amp;$H292&amp;$N292&amp;$O292,APOIO_REDES!$W:$W,0),MATCH(AE$5,APOIO_REDES!$5:$5,0)),0)</f>
        <v>1.2</v>
      </c>
      <c r="AF292" s="153" t="n">
        <f aca="false">IFERROR(INDEX(APOIO_REDES!$A:$W,MATCH($C292&amp;$I292&amp;$H292&amp;$N292&amp;$O292,APOIO_REDES!$W:$W,0),MATCH(AF$5,APOIO_REDES!$5:$5,0)),0)</f>
        <v>1.41</v>
      </c>
      <c r="AG292" s="153" t="n">
        <f aca="false">IFERROR(INDEX(APOIO_REDES!$A:$W,MATCH($C292&amp;$I292&amp;$H292&amp;$N292&amp;$O292,APOIO_REDES!$W:$W,0),MATCH(AG$5,APOIO_REDES!$5:$5,0)),0)</f>
        <v>0.75</v>
      </c>
      <c r="AH292" s="153" t="n">
        <f aca="false">IFERROR(INDEX(APOIO_REDES!$A:$W,MATCH($C292&amp;$I292&amp;$H292&amp;$N292&amp;$O292,APOIO_REDES!$W:$W,0),MATCH(AH$5,APOIO_REDES!$5:$5,0)),0)</f>
        <v>0.1</v>
      </c>
      <c r="AI292" s="153" t="n">
        <f aca="false">IFERROR(IF($H292&lt;&gt;"",(((($H292/1000)/2)^2)*PI()*$M292),0),0)</f>
        <v>0.310758491311468</v>
      </c>
      <c r="AJ292" s="153" t="n">
        <f aca="false">IFERROR(IF(AND($H292&lt;&gt;"",$I292="FoFo",OR($N292="MND",$N292="VCA"),$Q292="LINEAR"),0,IF(AND($H292&lt;&gt;"",$I292="PEAD",$N292="VCA",$Q292="LINEAR"),($H292/1000)+0.3,IF(AND($H292&lt;&gt;"",$I292="PEAD",$N292="MND",$Q292="EMBOQUE"),0,IF(AND($H292&lt;&gt;"",$I292="PVC",$N292="VCA",$Q292="LINEAR"),($H292/1000)+0.2,IF(AND($H292&lt;&gt;"",$I292="PVC",$N292="MND",$Q292="EMBOQUE"),0,IF(AND($H292&lt;&gt;"",$I292="PEAD",$N292="VCA",$Q292="PREDIAL"),0,0)))))),0)</f>
        <v>0.41</v>
      </c>
      <c r="AK292" s="153" t="n">
        <f aca="false">IF(AA292&lt;&gt;"",AA292,0)</f>
        <v>2.7</v>
      </c>
      <c r="AL292" s="153" t="n">
        <f aca="false">IF(AND($N292="MND",$Q292="EMBOQUE"),$M292,IF(AND($N292="VCA",$Q292="LINEAR"),$M292,IF(AND($N292="VCA",$Q292="PREDIAL"),0,0)))</f>
        <v>32.7</v>
      </c>
      <c r="AM292" s="153" t="n">
        <f aca="false">IF(AND($N292="MND",$Q292="EMBOQUE"),$M292,IF(AND($N292="VCA",$Q292="LINEAR"),$M292,IF(AND($N292="VCA",$Q292="PREDIAL"),0,0)))</f>
        <v>32.7</v>
      </c>
      <c r="AN292" s="153" t="n">
        <f aca="false">ROUND(IF(AND($N292="VCA",$M292&lt;&gt;"",$Q292="LINEAR"),$M292/100,IF(AND($N292="MND",$M292&gt;100,$Q292="EMBOQUE"),$M292/100,0)),0)</f>
        <v>0</v>
      </c>
      <c r="AO292" s="153" t="n">
        <f aca="false">IF(AND($N292="MND",$Q292="EMBOQUE"),$AN292*2*2,IF(AND($N292="VCA",$Q292="LINEAR"),$M292*2,IF(AND($N292="VCA",$Q292="PREDIAL"),0,0)))</f>
        <v>65.4</v>
      </c>
      <c r="AP292" s="153" t="n">
        <f aca="false">IFERROR($M292*$AF292*$AG292,0)</f>
        <v>34.58025</v>
      </c>
      <c r="AQ292" s="153" t="n">
        <f aca="false">IFERROR(IF(AND($N292="VCA",$AH292&gt;0),$M292*$AG292*$AH292,0),0)</f>
        <v>2.4525</v>
      </c>
      <c r="AR292" s="153" t="n">
        <f aca="false">IFERROR(IF(AND($N292="VCA",$AJ292&gt;0),($M292*$AG292*$AJ292)-$AI292,0),0)</f>
        <v>9.74449150868853</v>
      </c>
      <c r="AS292" s="153" t="n">
        <f aca="false">IFERROR(IF(AND($N292="VCA",$AP292&gt;0),$AP292-$AI292-$AQ292-$AR292,0),0)</f>
        <v>22.0725</v>
      </c>
      <c r="AT292" s="153" t="n">
        <f aca="false">IFERROR(IF($N292="VCA",INDEX(APOIO_REDES!$A:$W,MATCH($C292&amp;$I292&amp;$H292&amp;$N292&amp;$O292,APOIO_REDES!$W:$W,0),MATCH(AT$5,APOIO_REDES!$5:$5,0)),0)*$AP292,0)</f>
        <v>0.376243355231544</v>
      </c>
      <c r="AU292" s="153" t="n">
        <f aca="false">IFERROR(IF($N292="VCA",INDEX(APOIO_REDES!$A:$W,MATCH($C292&amp;$I292&amp;$H292&amp;$N292&amp;$O292,APOIO_REDES!$W:$W,0),MATCH(AU$5,APOIO_REDES!$5:$5,0)),0)*$AP292,0)</f>
        <v>0.300457753525555</v>
      </c>
      <c r="AV292" s="153" t="n">
        <f aca="false">IFERROR(IF($N292="VCA",INDEX(APOIO_REDES!$A:$W,MATCH($C292&amp;$I292&amp;$H292&amp;$N292&amp;$O292,APOIO_REDES!$W:$W,0),MATCH(AV$5,APOIO_REDES!$5:$5,0)),0)*$AP292,0)</f>
        <v>0.0415809944020921</v>
      </c>
      <c r="AW292" s="153" t="n">
        <f aca="false">IFERROR(IF($N292="VCA",INDEX(APOIO_REDES!$A:$W,MATCH($C292&amp;$I292&amp;$H292&amp;$N292&amp;$O292,APOIO_REDES!$W:$W,0),MATCH(AW$5,APOIO_REDES!$5:$5,0)),0)*$AP292,0)</f>
        <v>23.7361515408519</v>
      </c>
      <c r="AX292" s="153" t="n">
        <f aca="false">IFERROR(IF($N292="VCA",INDEX(APOIO_REDES!$A:$W,MATCH($C292&amp;$I292&amp;$H292&amp;$N292&amp;$O292,APOIO_REDES!$W:$W,0),MATCH(AX$5,APOIO_REDES!$5:$5,0)),0)*$AP292,0)</f>
        <v>3.28501575954638</v>
      </c>
      <c r="AY292" s="153" t="n">
        <f aca="false">IFERROR(IF($N292="VCA",INDEX(APOIO_REDES!$A:$W,MATCH($C292&amp;$I292&amp;$H292&amp;$N292&amp;$O292,APOIO_REDES!$W:$W,0),MATCH(AY$5,APOIO_REDES!$5:$5,0)),0)*$AP292,0)</f>
        <v>6.00915140795544</v>
      </c>
      <c r="AZ292" s="153" t="n">
        <f aca="false">IFERROR(IF($N292="VCA",INDEX(APOIO_REDES!$A:$W,MATCH($C292&amp;$I292&amp;$H292&amp;$N292&amp;$O292,APOIO_REDES!$W:$W,0),MATCH(AZ$5,APOIO_REDES!$5:$5,0)),0)*$AP292,0)</f>
        <v>0.831649188487118</v>
      </c>
      <c r="BA292" s="153" t="n">
        <f aca="false">IFERROR(IF(AND($N292="VCA",$Q292="LINEAR"),INDEX(APOIO_REDES!$A:$W,MATCH($C292&amp;$I292&amp;$H292&amp;$N292&amp;$O292,APOIO_REDES!$W:$W,0),MATCH(BA$5,APOIO_REDES!$5:$5,0)),IF(AND($N292="MND",$Q292="EMBOQUE"),INDEX(APOIO_REDES!$A:$W,MATCH($C292&amp;$I292&amp;$H292&amp;$N292&amp;$O292,APOIO_REDES!$W:$W,0),MATCH(BA$5,APOIO_REDES!$5:$5,0)),0))*$M292/10,0)</f>
        <v>2.63553751685882</v>
      </c>
      <c r="BB292" s="153" t="n">
        <f aca="false">IFERROR(IF($N292="VCA",INDEX(APOIO_REDES!$A:$W,MATCH($C292&amp;$I292&amp;$H292&amp;$N292&amp;$O292,APOIO_REDES!$W:$W,0),MATCH(BB$5,APOIO_REDES!$5:$5,0)),0)*($AI292+$AQ292+$AR292),0)</f>
        <v>12.371661977895</v>
      </c>
      <c r="BC292" s="153" t="n">
        <f aca="false">IFERROR(IF($N292="VCA",INDEX(APOIO_REDES!$A:$W,MATCH($C292&amp;$I292&amp;$H292&amp;$N292&amp;$O292,APOIO_REDES!$W:$W,0),MATCH(BC$5,APOIO_REDES!$5:$5,0)),0)*($AI292+$AQ292+$AR292),0)</f>
        <v>0.136088022105027</v>
      </c>
      <c r="BD292" s="153" t="n">
        <f aca="false">IF(AND($N292="VCA",$AF292&gt;=1.25,$AF292&lt;1.5),$M292*$AF292*2,0)</f>
        <v>92.214</v>
      </c>
      <c r="BE292" s="153" t="n">
        <f aca="false">IF(AND($N292="VCA",$AF292&gt;=1.5,$AF292&lt;3),$M292*$AF292*2,0)</f>
        <v>0</v>
      </c>
      <c r="BF292" s="153" t="n">
        <f aca="false">IF(AND($N292="VCA",$AF292&gt;=3),$M292*$AF292*2,0)</f>
        <v>0</v>
      </c>
      <c r="BG292" s="153" t="n">
        <f aca="false">($BB292+$BC292)*$AK292</f>
        <v>33.770925</v>
      </c>
      <c r="BH292" s="153" t="n">
        <f aca="false">IF(AND($M292&lt;&gt;"",$N292="VCA",$Q292="LINEAR"),($M292*2)/100,IF(AND($M292&lt;&gt;"",$N292="MND",$Q292="EMBOQUE"),($AN292*2)/100,0))</f>
        <v>0.654</v>
      </c>
      <c r="BI292" s="153" t="n">
        <f aca="false">IF(AND($M292&lt;&gt;"",$N292="VCA",$Q292="LINEAR"),$M292,IF(AND($M292&lt;&gt;"",$N292="MND",$Q292="EMBOQUE"),$AN292*2,0))</f>
        <v>32.7</v>
      </c>
      <c r="BJ292" s="153" t="n">
        <f aca="false">IF(AND($M292&lt;&gt;"",$N292="VCA",$Q292="LINEAR"),($M292*6.8)/100,IF(AND($M292&lt;&gt;"",$N292="MND",$Q292="EMBOQUE"),($AN292*2*6.8)/100,0))</f>
        <v>2.2236</v>
      </c>
      <c r="BK292" s="153" t="n">
        <f aca="false">IF(AND($M292&lt;&gt;"",$N292="VCA",$Q292="LINEAR"),($M292*2.5)/50,IF(AND($M292&lt;&gt;"",$N292="MND",$Q292="EMBOQUE"),($AN292*2*2.5)/50,0))</f>
        <v>1.635</v>
      </c>
      <c r="BL292" s="157" t="str">
        <f aca="false">K292&amp;J292</f>
        <v>Zona03REDES</v>
      </c>
      <c r="BM292" s="152" t="s">
        <v>2526</v>
      </c>
      <c r="BN292" s="152" t="s">
        <v>1560</v>
      </c>
      <c r="BO292" s="152" t="s">
        <v>1982</v>
      </c>
      <c r="BP292" s="152" t="s">
        <v>2597</v>
      </c>
      <c r="BQ292" s="152" t="s">
        <v>2640</v>
      </c>
      <c r="BR292" s="152" t="s">
        <v>2641</v>
      </c>
      <c r="BS292" s="152" t="n">
        <v>203634.066</v>
      </c>
      <c r="BT292" s="152" t="n">
        <v>8237944.027</v>
      </c>
      <c r="BU292" s="152" t="n">
        <v>203637.484</v>
      </c>
      <c r="BV292" s="152" t="n">
        <v>8237911.535</v>
      </c>
      <c r="BW292" s="152" t="n">
        <v>-15.9201919</v>
      </c>
      <c r="BX292" s="152" t="n">
        <v>-47.767958</v>
      </c>
      <c r="BY292" s="152" t="s">
        <v>2597</v>
      </c>
    </row>
    <row r="293" customFormat="false" ht="13.8" hidden="false" customHeight="false" outlineLevel="0" collapsed="false">
      <c r="A293" s="149" t="n">
        <f aca="false">IF(C293&lt;&gt;"",ROW(A288),"")</f>
        <v>288</v>
      </c>
      <c r="B293" s="150" t="str">
        <f aca="false">HYPERLINK("https://www.google.com/maps/dir/-15.917302,-47.760003/-15.9167948,-47.7653900/data=!4m3!4m2!3e0!5i0")</f>
        <v>https://www.google.com/maps/dir/-15.917302,-47.760003/-15.9167948,-47.7653900/data=!4m3!4m2!3e0!5i0</v>
      </c>
      <c r="C293" s="151" t="s">
        <v>117</v>
      </c>
      <c r="D293" s="152" t="s">
        <v>112</v>
      </c>
      <c r="E293" s="152" t="s">
        <v>113</v>
      </c>
      <c r="F293" s="152" t="s">
        <v>117</v>
      </c>
      <c r="G293" s="152" t="s">
        <v>782</v>
      </c>
      <c r="H293" s="152" t="n">
        <v>63</v>
      </c>
      <c r="I293" s="152" t="s">
        <v>115</v>
      </c>
      <c r="J293" s="152" t="s">
        <v>6</v>
      </c>
      <c r="K293" s="152" t="s">
        <v>2522</v>
      </c>
      <c r="L293" s="152" t="s">
        <v>120</v>
      </c>
      <c r="M293" s="153" t="n">
        <f aca="false">1.31</f>
        <v>1.31</v>
      </c>
      <c r="N293" s="152" t="s">
        <v>1548</v>
      </c>
      <c r="O293" s="152" t="s">
        <v>1549</v>
      </c>
      <c r="P293" s="152" t="s">
        <v>1550</v>
      </c>
      <c r="Q293" s="152" t="s">
        <v>1551</v>
      </c>
      <c r="R293" s="154" t="s">
        <v>2642</v>
      </c>
      <c r="S293" s="154" t="s">
        <v>1553</v>
      </c>
      <c r="T293" s="155" t="s">
        <v>2643</v>
      </c>
      <c r="U293" s="152" t="str">
        <f aca="false">RIGHT(T293,7)</f>
        <v>007/037</v>
      </c>
      <c r="V293" s="152" t="s">
        <v>1555</v>
      </c>
      <c r="W293" s="156" t="n">
        <v>45882</v>
      </c>
      <c r="X293" s="152" t="s">
        <v>1594</v>
      </c>
      <c r="Y293" s="152" t="s">
        <v>2524</v>
      </c>
      <c r="Z293" s="152" t="s">
        <v>1557</v>
      </c>
      <c r="AA293" s="153" t="n">
        <v>2.8</v>
      </c>
      <c r="AB293" s="151" t="s">
        <v>2644</v>
      </c>
      <c r="AC293" s="151" t="s">
        <v>186</v>
      </c>
      <c r="AD293" s="151" t="str">
        <f aca="false">CONCATENATE($C293,$I293,$H293,$N293,$J293,$K293)</f>
        <v>TUBO PEADPEAD63VCAREDESZona03</v>
      </c>
      <c r="AE293" s="153" t="n">
        <f aca="false">IFERROR(INDEX(APOIO_REDES!$A:$W,MATCH($C293&amp;$I293&amp;$H293&amp;$N293&amp;$O293,APOIO_REDES!$W:$W,0),MATCH(AE$5,APOIO_REDES!$5:$5,0)),0)</f>
        <v>1.2</v>
      </c>
      <c r="AF293" s="153" t="n">
        <f aca="false">IFERROR(INDEX(APOIO_REDES!$A:$W,MATCH($C293&amp;$I293&amp;$H293&amp;$N293&amp;$O293,APOIO_REDES!$W:$W,0),MATCH(AF$5,APOIO_REDES!$5:$5,0)),0)</f>
        <v>1.363</v>
      </c>
      <c r="AG293" s="153" t="n">
        <f aca="false">IFERROR(INDEX(APOIO_REDES!$A:$W,MATCH($C293&amp;$I293&amp;$H293&amp;$N293&amp;$O293,APOIO_REDES!$W:$W,0),MATCH(AG$5,APOIO_REDES!$5:$5,0)),0)</f>
        <v>0.65</v>
      </c>
      <c r="AH293" s="153" t="n">
        <f aca="false">IFERROR(INDEX(APOIO_REDES!$A:$W,MATCH($C293&amp;$I293&amp;$H293&amp;$N293&amp;$O293,APOIO_REDES!$W:$W,0),MATCH(AH$5,APOIO_REDES!$5:$5,0)),0)</f>
        <v>0.1</v>
      </c>
      <c r="AI293" s="153" t="n">
        <f aca="false">IFERROR(IF($H293&lt;&gt;"",(((($H293/1000)/2)^2)*PI()*$M293),0),0)</f>
        <v>0.00408359135678706</v>
      </c>
      <c r="AJ293" s="153" t="n">
        <f aca="false">IFERROR(IF(AND($H293&lt;&gt;"",$I293="FoFo",OR($N293="MND",$N293="VCA"),$Q293="LINEAR"),0,IF(AND($H293&lt;&gt;"",$I293="PEAD",$N293="VCA",$Q293="LINEAR"),($H293/1000)+0.3,IF(AND($H293&lt;&gt;"",$I293="PEAD",$N293="MND",$Q293="EMBOQUE"),0,IF(AND($H293&lt;&gt;"",$I293="PVC",$N293="VCA",$Q293="LINEAR"),($H293/1000)+0.2,IF(AND($H293&lt;&gt;"",$I293="PVC",$N293="MND",$Q293="EMBOQUE"),0,IF(AND($H293&lt;&gt;"",$I293="PEAD",$N293="VCA",$Q293="PREDIAL"),0,0)))))),0)</f>
        <v>0.363</v>
      </c>
      <c r="AK293" s="153" t="n">
        <f aca="false">IF(AA293&lt;&gt;"",AA293,0)</f>
        <v>2.8</v>
      </c>
      <c r="AL293" s="153" t="n">
        <f aca="false">IF(AND($N293="MND",$Q293="EMBOQUE"),$M293,IF(AND($N293="VCA",$Q293="LINEAR"),$M293,IF(AND($N293="VCA",$Q293="PREDIAL"),0,0)))</f>
        <v>1.31</v>
      </c>
      <c r="AM293" s="153" t="n">
        <f aca="false">IF(AND($N293="MND",$Q293="EMBOQUE"),$M293,IF(AND($N293="VCA",$Q293="LINEAR"),$M293,IF(AND($N293="VCA",$Q293="PREDIAL"),0,0)))</f>
        <v>1.31</v>
      </c>
      <c r="AN293" s="153" t="n">
        <f aca="false">ROUND(IF(AND($N293="VCA",$M293&lt;&gt;"",$Q293="LINEAR"),$M293/100,IF(AND($N293="MND",$M293&gt;100,$Q293="EMBOQUE"),$M293/100,0)),0)</f>
        <v>0</v>
      </c>
      <c r="AO293" s="153" t="n">
        <f aca="false">IF(AND($N293="MND",$Q293="EMBOQUE"),$AN293*2*2,IF(AND($N293="VCA",$Q293="LINEAR"),$M293*2,IF(AND($N293="VCA",$Q293="PREDIAL"),0,0)))</f>
        <v>2.62</v>
      </c>
      <c r="AP293" s="153" t="n">
        <f aca="false">IFERROR($M293*$AF293*$AG293,0)</f>
        <v>1.1605945</v>
      </c>
      <c r="AQ293" s="153" t="n">
        <f aca="false">IFERROR(IF(AND($N293="VCA",$AH293&gt;0),$M293*$AG293*$AH293,0),0)</f>
        <v>0.08515</v>
      </c>
      <c r="AR293" s="153" t="n">
        <f aca="false">IFERROR(IF(AND($N293="VCA",$AJ293&gt;0),($M293*$AG293*$AJ293)-$AI293,0),0)</f>
        <v>0.305010908643213</v>
      </c>
      <c r="AS293" s="153" t="n">
        <f aca="false">IFERROR(IF(AND($N293="VCA",$AP293&gt;0),$AP293-$AI293-$AQ293-$AR293,0),0)</f>
        <v>0.76635</v>
      </c>
      <c r="AT293" s="153" t="n">
        <f aca="false">IFERROR(IF($N293="VCA",INDEX(APOIO_REDES!$A:$W,MATCH($C293&amp;$I293&amp;$H293&amp;$N293&amp;$O293,APOIO_REDES!$W:$W,0),MATCH(AT$5,APOIO_REDES!$5:$5,0)),0)*$AP293,0)</f>
        <v>0.0126276116784371</v>
      </c>
      <c r="AU293" s="153" t="n">
        <f aca="false">IFERROR(IF($N293="VCA",INDEX(APOIO_REDES!$A:$W,MATCH($C293&amp;$I293&amp;$H293&amp;$N293&amp;$O293,APOIO_REDES!$W:$W,0),MATCH(AU$5,APOIO_REDES!$5:$5,0)),0)*$AP293,0)</f>
        <v>0.0100840686873032</v>
      </c>
      <c r="AV293" s="153" t="n">
        <f aca="false">IFERROR(IF($N293="VCA",INDEX(APOIO_REDES!$A:$W,MATCH($C293&amp;$I293&amp;$H293&amp;$N293&amp;$O293,APOIO_REDES!$W:$W,0),MATCH(AV$5,APOIO_REDES!$5:$5,0)),0)*$AP293,0)</f>
        <v>0.00139555594327973</v>
      </c>
      <c r="AW293" s="153" t="n">
        <f aca="false">IFERROR(IF($N293="VCA",INDEX(APOIO_REDES!$A:$W,MATCH($C293&amp;$I293&amp;$H293&amp;$N293&amp;$O293,APOIO_REDES!$W:$W,0),MATCH(AW$5,APOIO_REDES!$5:$5,0)),0)*$AP293,0)</f>
        <v>0.796641057525009</v>
      </c>
      <c r="AX293" s="153" t="n">
        <f aca="false">IFERROR(IF($N293="VCA",INDEX(APOIO_REDES!$A:$W,MATCH($C293&amp;$I293&amp;$H293&amp;$N293&amp;$O293,APOIO_REDES!$W:$W,0),MATCH(AX$5,APOIO_REDES!$5:$5,0)),0)*$AP293,0)</f>
        <v>0.110252853086454</v>
      </c>
      <c r="AY293" s="153" t="n">
        <f aca="false">IFERROR(IF($N293="VCA",INDEX(APOIO_REDES!$A:$W,MATCH($C293&amp;$I293&amp;$H293&amp;$N293&amp;$O293,APOIO_REDES!$W:$W,0),MATCH(AY$5,APOIO_REDES!$5:$5,0)),0)*$AP293,0)</f>
        <v>0.201681250822083</v>
      </c>
      <c r="AZ293" s="153" t="n">
        <f aca="false">IFERROR(IF($N293="VCA",INDEX(APOIO_REDES!$A:$W,MATCH($C293&amp;$I293&amp;$H293&amp;$N293&amp;$O293,APOIO_REDES!$W:$W,0),MATCH(AZ$5,APOIO_REDES!$5:$5,0)),0)*$AP293,0)</f>
        <v>0.0279121022574334</v>
      </c>
      <c r="BA293" s="153" t="n">
        <f aca="false">IFERROR(IF(AND($N293="VCA",$Q293="LINEAR"),INDEX(APOIO_REDES!$A:$W,MATCH($C293&amp;$I293&amp;$H293&amp;$N293&amp;$O293,APOIO_REDES!$W:$W,0),MATCH(BA$5,APOIO_REDES!$5:$5,0)),IF(AND($N293="MND",$Q293="EMBOQUE"),INDEX(APOIO_REDES!$A:$W,MATCH($C293&amp;$I293&amp;$H293&amp;$N293&amp;$O293,APOIO_REDES!$W:$W,0),MATCH(BA$5,APOIO_REDES!$5:$5,0)),0))*$M293/10,0)</f>
        <v>0.105582695629512</v>
      </c>
      <c r="BB293" s="153" t="n">
        <f aca="false">IFERROR(IF($N293="VCA",INDEX(APOIO_REDES!$A:$W,MATCH($C293&amp;$I293&amp;$H293&amp;$N293&amp;$O293,APOIO_REDES!$W:$W,0),MATCH(BB$5,APOIO_REDES!$5:$5,0)),0)*($AI293+$AQ293+$AR293),0)</f>
        <v>0.389955003149584</v>
      </c>
      <c r="BC293" s="153" t="n">
        <f aca="false">IFERROR(IF($N293="VCA",INDEX(APOIO_REDES!$A:$W,MATCH($C293&amp;$I293&amp;$H293&amp;$N293&amp;$O293,APOIO_REDES!$W:$W,0),MATCH(BC$5,APOIO_REDES!$5:$5,0)),0)*($AI293+$AQ293+$AR293),0)</f>
        <v>0.00428949685041555</v>
      </c>
      <c r="BD293" s="153" t="n">
        <f aca="false">IF(AND($N293="VCA",$AF293&gt;=1.25,$AF293&lt;1.5),$M293*$AF293*2,0)</f>
        <v>3.57106</v>
      </c>
      <c r="BE293" s="153" t="n">
        <f aca="false">IF(AND($N293="VCA",$AF293&gt;=1.5,$AF293&lt;3),$M293*$AF293*2,0)</f>
        <v>0</v>
      </c>
      <c r="BF293" s="153" t="n">
        <f aca="false">IF(AND($N293="VCA",$AF293&gt;=3),$M293*$AF293*2,0)</f>
        <v>0</v>
      </c>
      <c r="BG293" s="153" t="n">
        <f aca="false">($BB293+$BC293)*$AK293</f>
        <v>1.1038846</v>
      </c>
      <c r="BH293" s="153" t="n">
        <f aca="false">IF(AND($M293&lt;&gt;"",$N293="VCA",$Q293="LINEAR"),($M293*2)/100,IF(AND($M293&lt;&gt;"",$N293="MND",$Q293="EMBOQUE"),($AN293*2)/100,0))</f>
        <v>0.0262</v>
      </c>
      <c r="BI293" s="153" t="n">
        <f aca="false">IF(AND($M293&lt;&gt;"",$N293="VCA",$Q293="LINEAR"),$M293,IF(AND($M293&lt;&gt;"",$N293="MND",$Q293="EMBOQUE"),$AN293*2,0))</f>
        <v>1.31</v>
      </c>
      <c r="BJ293" s="153" t="n">
        <f aca="false">IF(AND($M293&lt;&gt;"",$N293="VCA",$Q293="LINEAR"),($M293*6.8)/100,IF(AND($M293&lt;&gt;"",$N293="MND",$Q293="EMBOQUE"),($AN293*2*6.8)/100,0))</f>
        <v>0.08908</v>
      </c>
      <c r="BK293" s="153" t="n">
        <f aca="false">IF(AND($M293&lt;&gt;"",$N293="VCA",$Q293="LINEAR"),($M293*2.5)/50,IF(AND($M293&lt;&gt;"",$N293="MND",$Q293="EMBOQUE"),($AN293*2*2.5)/50,0))</f>
        <v>0.0655</v>
      </c>
      <c r="BL293" s="157" t="str">
        <f aca="false">K293&amp;J293</f>
        <v>Zona03REDES</v>
      </c>
      <c r="BM293" s="152" t="s">
        <v>2526</v>
      </c>
      <c r="BN293" s="152" t="s">
        <v>1560</v>
      </c>
      <c r="BO293" s="152" t="s">
        <v>2645</v>
      </c>
      <c r="BP293" s="152" t="s">
        <v>2646</v>
      </c>
      <c r="BQ293" s="152" t="s">
        <v>2647</v>
      </c>
      <c r="BR293" s="152" t="s">
        <v>2648</v>
      </c>
      <c r="BS293" s="152" t="n">
        <v>203905.733</v>
      </c>
      <c r="BT293" s="152" t="n">
        <v>8238307.233</v>
      </c>
      <c r="BU293" s="152" t="n">
        <v>203904.831</v>
      </c>
      <c r="BV293" s="152" t="n">
        <v>8238308.187</v>
      </c>
      <c r="BW293" s="152" t="n">
        <v>-15.9167936</v>
      </c>
      <c r="BX293" s="152" t="n">
        <v>-47.7653977</v>
      </c>
      <c r="BY293" s="152" t="s">
        <v>2646</v>
      </c>
    </row>
    <row r="294" customFormat="false" ht="13.8" hidden="false" customHeight="false" outlineLevel="0" collapsed="false">
      <c r="A294" s="149" t="n">
        <f aca="false">IF(C294&lt;&gt;"",ROW(A289),"")</f>
        <v>289</v>
      </c>
      <c r="B294" s="150" t="str">
        <f aca="false">HYPERLINK("https://www.google.com/maps/dir/-15.917302,-47.760003/-15.9167893,-47.7654018/data=!4m3!4m2!3e0!5i0")</f>
        <v>https://www.google.com/maps/dir/-15.917302,-47.760003/-15.9167893,-47.7654018/data=!4m3!4m2!3e0!5i0</v>
      </c>
      <c r="C294" s="151" t="s">
        <v>117</v>
      </c>
      <c r="D294" s="152" t="s">
        <v>112</v>
      </c>
      <c r="E294" s="152" t="s">
        <v>113</v>
      </c>
      <c r="F294" s="152" t="s">
        <v>117</v>
      </c>
      <c r="G294" s="152" t="s">
        <v>782</v>
      </c>
      <c r="H294" s="152" t="n">
        <v>63</v>
      </c>
      <c r="I294" s="152" t="s">
        <v>115</v>
      </c>
      <c r="J294" s="152" t="s">
        <v>6</v>
      </c>
      <c r="K294" s="152" t="s">
        <v>2522</v>
      </c>
      <c r="L294" s="152" t="s">
        <v>120</v>
      </c>
      <c r="M294" s="153" t="n">
        <f aca="false">161.66</f>
        <v>161.66</v>
      </c>
      <c r="N294" s="152" t="s">
        <v>1548</v>
      </c>
      <c r="O294" s="152" t="s">
        <v>1549</v>
      </c>
      <c r="P294" s="152" t="s">
        <v>1550</v>
      </c>
      <c r="Q294" s="152" t="s">
        <v>1551</v>
      </c>
      <c r="R294" s="154" t="s">
        <v>2649</v>
      </c>
      <c r="S294" s="154" t="s">
        <v>1553</v>
      </c>
      <c r="T294" s="155" t="s">
        <v>2643</v>
      </c>
      <c r="U294" s="152" t="str">
        <f aca="false">RIGHT(T294,7)</f>
        <v>007/037</v>
      </c>
      <c r="V294" s="152" t="s">
        <v>1555</v>
      </c>
      <c r="W294" s="156" t="n">
        <v>45882</v>
      </c>
      <c r="X294" s="152" t="s">
        <v>1594</v>
      </c>
      <c r="Y294" s="152" t="s">
        <v>2524</v>
      </c>
      <c r="Z294" s="152" t="s">
        <v>1557</v>
      </c>
      <c r="AA294" s="153" t="n">
        <v>2.8</v>
      </c>
      <c r="AB294" s="151" t="s">
        <v>2650</v>
      </c>
      <c r="AC294" s="151" t="s">
        <v>186</v>
      </c>
      <c r="AD294" s="151" t="str">
        <f aca="false">CONCATENATE($C294,$I294,$H294,$N294,$J294,$K294)</f>
        <v>TUBO PEADPEAD63VCAREDESZona03</v>
      </c>
      <c r="AE294" s="153" t="n">
        <f aca="false">IFERROR(INDEX(APOIO_REDES!$A:$W,MATCH($C294&amp;$I294&amp;$H294&amp;$N294&amp;$O294,APOIO_REDES!$W:$W,0),MATCH(AE$5,APOIO_REDES!$5:$5,0)),0)</f>
        <v>1.2</v>
      </c>
      <c r="AF294" s="153" t="n">
        <f aca="false">IFERROR(INDEX(APOIO_REDES!$A:$W,MATCH($C294&amp;$I294&amp;$H294&amp;$N294&amp;$O294,APOIO_REDES!$W:$W,0),MATCH(AF$5,APOIO_REDES!$5:$5,0)),0)</f>
        <v>1.363</v>
      </c>
      <c r="AG294" s="153" t="n">
        <f aca="false">IFERROR(INDEX(APOIO_REDES!$A:$W,MATCH($C294&amp;$I294&amp;$H294&amp;$N294&amp;$O294,APOIO_REDES!$W:$W,0),MATCH(AG$5,APOIO_REDES!$5:$5,0)),0)</f>
        <v>0.65</v>
      </c>
      <c r="AH294" s="153" t="n">
        <f aca="false">IFERROR(INDEX(APOIO_REDES!$A:$W,MATCH($C294&amp;$I294&amp;$H294&amp;$N294&amp;$O294,APOIO_REDES!$W:$W,0),MATCH(AH$5,APOIO_REDES!$5:$5,0)),0)</f>
        <v>0.1</v>
      </c>
      <c r="AI294" s="153" t="n">
        <f aca="false">IFERROR(IF($H294&lt;&gt;"",(((($H294/1000)/2)^2)*PI()*$M294),0),0)</f>
        <v>0.503933876899386</v>
      </c>
      <c r="AJ294" s="153" t="n">
        <f aca="false">IFERROR(IF(AND($H294&lt;&gt;"",$I294="FoFo",OR($N294="MND",$N294="VCA"),$Q294="LINEAR"),0,IF(AND($H294&lt;&gt;"",$I294="PEAD",$N294="VCA",$Q294="LINEAR"),($H294/1000)+0.3,IF(AND($H294&lt;&gt;"",$I294="PEAD",$N294="MND",$Q294="EMBOQUE"),0,IF(AND($H294&lt;&gt;"",$I294="PVC",$N294="VCA",$Q294="LINEAR"),($H294/1000)+0.2,IF(AND($H294&lt;&gt;"",$I294="PVC",$N294="MND",$Q294="EMBOQUE"),0,IF(AND($H294&lt;&gt;"",$I294="PEAD",$N294="VCA",$Q294="PREDIAL"),0,0)))))),0)</f>
        <v>0.363</v>
      </c>
      <c r="AK294" s="153" t="n">
        <f aca="false">IF(AA294&lt;&gt;"",AA294,0)</f>
        <v>2.8</v>
      </c>
      <c r="AL294" s="153" t="n">
        <f aca="false">IF(AND($N294="MND",$Q294="EMBOQUE"),$M294,IF(AND($N294="VCA",$Q294="LINEAR"),$M294,IF(AND($N294="VCA",$Q294="PREDIAL"),0,0)))</f>
        <v>161.66</v>
      </c>
      <c r="AM294" s="153" t="n">
        <f aca="false">IF(AND($N294="MND",$Q294="EMBOQUE"),$M294,IF(AND($N294="VCA",$Q294="LINEAR"),$M294,IF(AND($N294="VCA",$Q294="PREDIAL"),0,0)))</f>
        <v>161.66</v>
      </c>
      <c r="AN294" s="153" t="n">
        <f aca="false">ROUND(IF(AND($N294="VCA",$M294&lt;&gt;"",$Q294="LINEAR"),$M294/100,IF(AND($N294="MND",$M294&gt;100,$Q294="EMBOQUE"),$M294/100,0)),0)</f>
        <v>2</v>
      </c>
      <c r="AO294" s="153" t="n">
        <f aca="false">IF(AND($N294="MND",$Q294="EMBOQUE"),$AN294*2*2,IF(AND($N294="VCA",$Q294="LINEAR"),$M294*2,IF(AND($N294="VCA",$Q294="PREDIAL"),0,0)))</f>
        <v>323.32</v>
      </c>
      <c r="AP294" s="153" t="n">
        <f aca="false">IFERROR($M294*$AF294*$AG294,0)</f>
        <v>143.222677</v>
      </c>
      <c r="AQ294" s="153" t="n">
        <f aca="false">IFERROR(IF(AND($N294="VCA",$AH294&gt;0),$M294*$AG294*$AH294,0),0)</f>
        <v>10.5079</v>
      </c>
      <c r="AR294" s="153" t="n">
        <f aca="false">IFERROR(IF(AND($N294="VCA",$AJ294&gt;0),($M294*$AG294*$AJ294)-$AI294,0),0)</f>
        <v>37.6397431231006</v>
      </c>
      <c r="AS294" s="153" t="n">
        <f aca="false">IFERROR(IF(AND($N294="VCA",$AP294&gt;0),$AP294-$AI294-$AQ294-$AR294,0),0)</f>
        <v>94.5711</v>
      </c>
      <c r="AT294" s="153" t="n">
        <f aca="false">IFERROR(IF($N294="VCA",INDEX(APOIO_REDES!$A:$W,MATCH($C294&amp;$I294&amp;$H294&amp;$N294&amp;$O294,APOIO_REDES!$W:$W,0),MATCH(AT$5,APOIO_REDES!$5:$5,0)),0)*$AP294,0)</f>
        <v>1.55830511750851</v>
      </c>
      <c r="AU294" s="153" t="n">
        <f aca="false">IFERROR(IF($N294="VCA",INDEX(APOIO_REDES!$A:$W,MATCH($C294&amp;$I294&amp;$H294&amp;$N294&amp;$O294,APOIO_REDES!$W:$W,0),MATCH(AU$5,APOIO_REDES!$5:$5,0)),0)*$AP294,0)</f>
        <v>1.24442026258735</v>
      </c>
      <c r="AV294" s="153" t="n">
        <f aca="false">IFERROR(IF($N294="VCA",INDEX(APOIO_REDES!$A:$W,MATCH($C294&amp;$I294&amp;$H294&amp;$N294&amp;$O294,APOIO_REDES!$W:$W,0),MATCH(AV$5,APOIO_REDES!$5:$5,0)),0)*$AP294,0)</f>
        <v>0.172217995260001</v>
      </c>
      <c r="AW294" s="153" t="n">
        <f aca="false">IFERROR(IF($N294="VCA",INDEX(APOIO_REDES!$A:$W,MATCH($C294&amp;$I294&amp;$H294&amp;$N294&amp;$O294,APOIO_REDES!$W:$W,0),MATCH(AW$5,APOIO_REDES!$5:$5,0)),0)*$AP294,0)</f>
        <v>98.3091552362542</v>
      </c>
      <c r="AX294" s="153" t="n">
        <f aca="false">IFERROR(IF($N294="VCA",INDEX(APOIO_REDES!$A:$W,MATCH($C294&amp;$I294&amp;$H294&amp;$N294&amp;$O294,APOIO_REDES!$W:$W,0),MATCH(AX$5,APOIO_REDES!$5:$5,0)),0)*$AP294,0)</f>
        <v>13.6057070457681</v>
      </c>
      <c r="AY294" s="153" t="n">
        <f aca="false">IFERROR(IF($N294="VCA",INDEX(APOIO_REDES!$A:$W,MATCH($C294&amp;$I294&amp;$H294&amp;$N294&amp;$O294,APOIO_REDES!$W:$W,0),MATCH(AY$5,APOIO_REDES!$5:$5,0)),0)*$AP294,0)</f>
        <v>24.8883900823649</v>
      </c>
      <c r="AZ294" s="153" t="n">
        <f aca="false">IFERROR(IF($N294="VCA",INDEX(APOIO_REDES!$A:$W,MATCH($C294&amp;$I294&amp;$H294&amp;$N294&amp;$O294,APOIO_REDES!$W:$W,0),MATCH(AZ$5,APOIO_REDES!$5:$5,0)),0)*$AP294,0)</f>
        <v>3.44448126025701</v>
      </c>
      <c r="BA294" s="153" t="n">
        <f aca="false">IFERROR(IF(AND($N294="VCA",$Q294="LINEAR"),INDEX(APOIO_REDES!$A:$W,MATCH($C294&amp;$I294&amp;$H294&amp;$N294&amp;$O294,APOIO_REDES!$W:$W,0),MATCH(BA$5,APOIO_REDES!$5:$5,0)),IF(AND($N294="MND",$Q294="EMBOQUE"),INDEX(APOIO_REDES!$A:$W,MATCH($C294&amp;$I294&amp;$H294&amp;$N294&amp;$O294,APOIO_REDES!$W:$W,0),MATCH(BA$5,APOIO_REDES!$5:$5,0)),0))*$M294/10,0)</f>
        <v>13.0293882255473</v>
      </c>
      <c r="BB294" s="153" t="n">
        <f aca="false">IFERROR(IF($N294="VCA",INDEX(APOIO_REDES!$A:$W,MATCH($C294&amp;$I294&amp;$H294&amp;$N294&amp;$O294,APOIO_REDES!$W:$W,0),MATCH(BB$5,APOIO_REDES!$5:$5,0)),0)*($AI294+$AQ294+$AR294),0)</f>
        <v>48.1222334421083</v>
      </c>
      <c r="BC294" s="153" t="n">
        <f aca="false">IFERROR(IF($N294="VCA",INDEX(APOIO_REDES!$A:$W,MATCH($C294&amp;$I294&amp;$H294&amp;$N294&amp;$O294,APOIO_REDES!$W:$W,0),MATCH(BC$5,APOIO_REDES!$5:$5,0)),0)*($AI294+$AQ294+$AR294),0)</f>
        <v>0.529343557891739</v>
      </c>
      <c r="BD294" s="153" t="n">
        <f aca="false">IF(AND($N294="VCA",$AF294&gt;=1.25,$AF294&lt;1.5),$M294*$AF294*2,0)</f>
        <v>440.68516</v>
      </c>
      <c r="BE294" s="153" t="n">
        <f aca="false">IF(AND($N294="VCA",$AF294&gt;=1.5,$AF294&lt;3),$M294*$AF294*2,0)</f>
        <v>0</v>
      </c>
      <c r="BF294" s="153" t="n">
        <f aca="false">IF(AND($N294="VCA",$AF294&gt;=3),$M294*$AF294*2,0)</f>
        <v>0</v>
      </c>
      <c r="BG294" s="153" t="n">
        <f aca="false">($BB294+$BC294)*$AK294</f>
        <v>136.2244156</v>
      </c>
      <c r="BH294" s="153" t="n">
        <f aca="false">IF(AND($M294&lt;&gt;"",$N294="VCA",$Q294="LINEAR"),($M294*2)/100,IF(AND($M294&lt;&gt;"",$N294="MND",$Q294="EMBOQUE"),($AN294*2)/100,0))</f>
        <v>3.2332</v>
      </c>
      <c r="BI294" s="153" t="n">
        <f aca="false">IF(AND($M294&lt;&gt;"",$N294="VCA",$Q294="LINEAR"),$M294,IF(AND($M294&lt;&gt;"",$N294="MND",$Q294="EMBOQUE"),$AN294*2,0))</f>
        <v>161.66</v>
      </c>
      <c r="BJ294" s="153" t="n">
        <f aca="false">IF(AND($M294&lt;&gt;"",$N294="VCA",$Q294="LINEAR"),($M294*6.8)/100,IF(AND($M294&lt;&gt;"",$N294="MND",$Q294="EMBOQUE"),($AN294*2*6.8)/100,0))</f>
        <v>10.99288</v>
      </c>
      <c r="BK294" s="153" t="n">
        <f aca="false">IF(AND($M294&lt;&gt;"",$N294="VCA",$Q294="LINEAR"),($M294*2.5)/50,IF(AND($M294&lt;&gt;"",$N294="MND",$Q294="EMBOQUE"),($AN294*2*2.5)/50,0))</f>
        <v>8.083</v>
      </c>
      <c r="BL294" s="157" t="str">
        <f aca="false">K294&amp;J294</f>
        <v>Zona03REDES</v>
      </c>
      <c r="BM294" s="152" t="s">
        <v>2526</v>
      </c>
      <c r="BN294" s="152" t="s">
        <v>1560</v>
      </c>
      <c r="BO294" s="152" t="s">
        <v>2645</v>
      </c>
      <c r="BP294" s="152" t="s">
        <v>2232</v>
      </c>
      <c r="BQ294" s="152" t="s">
        <v>2647</v>
      </c>
      <c r="BR294" s="152" t="s">
        <v>2651</v>
      </c>
      <c r="BS294" s="152" t="n">
        <v>203793.599</v>
      </c>
      <c r="BT294" s="152" t="n">
        <v>8238191.105</v>
      </c>
      <c r="BU294" s="152" t="n">
        <v>203904.831</v>
      </c>
      <c r="BV294" s="152" t="n">
        <v>8238308.187</v>
      </c>
      <c r="BW294" s="152" t="n">
        <v>-15.9173184</v>
      </c>
      <c r="BX294" s="152" t="n">
        <v>-47.7659214</v>
      </c>
      <c r="BY294" s="152" t="s">
        <v>2647</v>
      </c>
    </row>
    <row r="295" customFormat="false" ht="13.8" hidden="false" customHeight="false" outlineLevel="0" collapsed="false">
      <c r="A295" s="149" t="n">
        <f aca="false">IF(C295&lt;&gt;"",ROW(A290),"")</f>
        <v>290</v>
      </c>
      <c r="B295" s="150" t="str">
        <f aca="false">HYPERLINK("https://www.google.com/maps/dir/-15.917302,-47.760003/-15.9178023,-47.7654280/data=!4m3!4m2!3e0!5i1")</f>
        <v>https://www.google.com/maps/dir/-15.917302,-47.760003/-15.9178023,-47.7654280/data=!4m3!4m2!3e0!5i1</v>
      </c>
      <c r="C295" s="151" t="s">
        <v>117</v>
      </c>
      <c r="D295" s="152" t="s">
        <v>112</v>
      </c>
      <c r="E295" s="152" t="s">
        <v>113</v>
      </c>
      <c r="F295" s="152" t="s">
        <v>117</v>
      </c>
      <c r="G295" s="152" t="s">
        <v>782</v>
      </c>
      <c r="H295" s="152" t="n">
        <v>63</v>
      </c>
      <c r="I295" s="152" t="s">
        <v>115</v>
      </c>
      <c r="J295" s="152" t="s">
        <v>6</v>
      </c>
      <c r="K295" s="152" t="s">
        <v>2522</v>
      </c>
      <c r="L295" s="152" t="s">
        <v>120</v>
      </c>
      <c r="M295" s="153" t="n">
        <f aca="false">125.95</f>
        <v>125.95</v>
      </c>
      <c r="N295" s="152" t="s">
        <v>1548</v>
      </c>
      <c r="O295" s="152" t="s">
        <v>1549</v>
      </c>
      <c r="P295" s="152" t="s">
        <v>1550</v>
      </c>
      <c r="Q295" s="152" t="s">
        <v>1551</v>
      </c>
      <c r="R295" s="154" t="s">
        <v>2652</v>
      </c>
      <c r="S295" s="154" t="s">
        <v>1553</v>
      </c>
      <c r="T295" s="155" t="s">
        <v>2643</v>
      </c>
      <c r="U295" s="152" t="str">
        <f aca="false">RIGHT(T295,7)</f>
        <v>007/037</v>
      </c>
      <c r="V295" s="152" t="s">
        <v>1555</v>
      </c>
      <c r="W295" s="156" t="n">
        <v>45882</v>
      </c>
      <c r="X295" s="152" t="s">
        <v>1594</v>
      </c>
      <c r="Y295" s="152" t="s">
        <v>2524</v>
      </c>
      <c r="Z295" s="152" t="s">
        <v>1557</v>
      </c>
      <c r="AA295" s="153" t="n">
        <v>3.1</v>
      </c>
      <c r="AB295" s="151" t="s">
        <v>2653</v>
      </c>
      <c r="AC295" s="151" t="s">
        <v>186</v>
      </c>
      <c r="AD295" s="151" t="str">
        <f aca="false">CONCATENATE($C295,$I295,$H295,$N295,$J295,$K295)</f>
        <v>TUBO PEADPEAD63VCAREDESZona03</v>
      </c>
      <c r="AE295" s="153" t="n">
        <f aca="false">IFERROR(INDEX(APOIO_REDES!$A:$W,MATCH($C295&amp;$I295&amp;$H295&amp;$N295&amp;$O295,APOIO_REDES!$W:$W,0),MATCH(AE$5,APOIO_REDES!$5:$5,0)),0)</f>
        <v>1.2</v>
      </c>
      <c r="AF295" s="153" t="n">
        <f aca="false">IFERROR(INDEX(APOIO_REDES!$A:$W,MATCH($C295&amp;$I295&amp;$H295&amp;$N295&amp;$O295,APOIO_REDES!$W:$W,0),MATCH(AF$5,APOIO_REDES!$5:$5,0)),0)</f>
        <v>1.363</v>
      </c>
      <c r="AG295" s="153" t="n">
        <f aca="false">IFERROR(INDEX(APOIO_REDES!$A:$W,MATCH($C295&amp;$I295&amp;$H295&amp;$N295&amp;$O295,APOIO_REDES!$W:$W,0),MATCH(AG$5,APOIO_REDES!$5:$5,0)),0)</f>
        <v>0.65</v>
      </c>
      <c r="AH295" s="153" t="n">
        <f aca="false">IFERROR(INDEX(APOIO_REDES!$A:$W,MATCH($C295&amp;$I295&amp;$H295&amp;$N295&amp;$O295,APOIO_REDES!$W:$W,0),MATCH(AH$5,APOIO_REDES!$5:$5,0)),0)</f>
        <v>0.1</v>
      </c>
      <c r="AI295" s="153" t="n">
        <f aca="false">IFERROR(IF($H295&lt;&gt;"",(((($H295/1000)/2)^2)*PI()*$M295),0),0)</f>
        <v>0.392617046860557</v>
      </c>
      <c r="AJ295" s="153" t="n">
        <f aca="false">IFERROR(IF(AND($H295&lt;&gt;"",$I295="FoFo",OR($N295="MND",$N295="VCA"),$Q295="LINEAR"),0,IF(AND($H295&lt;&gt;"",$I295="PEAD",$N295="VCA",$Q295="LINEAR"),($H295/1000)+0.3,IF(AND($H295&lt;&gt;"",$I295="PEAD",$N295="MND",$Q295="EMBOQUE"),0,IF(AND($H295&lt;&gt;"",$I295="PVC",$N295="VCA",$Q295="LINEAR"),($H295/1000)+0.2,IF(AND($H295&lt;&gt;"",$I295="PVC",$N295="MND",$Q295="EMBOQUE"),0,IF(AND($H295&lt;&gt;"",$I295="PEAD",$N295="VCA",$Q295="PREDIAL"),0,0)))))),0)</f>
        <v>0.363</v>
      </c>
      <c r="AK295" s="153" t="n">
        <f aca="false">IF(AA295&lt;&gt;"",AA295,0)</f>
        <v>3.1</v>
      </c>
      <c r="AL295" s="153" t="n">
        <f aca="false">IF(AND($N295="MND",$Q295="EMBOQUE"),$M295,IF(AND($N295="VCA",$Q295="LINEAR"),$M295,IF(AND($N295="VCA",$Q295="PREDIAL"),0,0)))</f>
        <v>125.95</v>
      </c>
      <c r="AM295" s="153" t="n">
        <f aca="false">IF(AND($N295="MND",$Q295="EMBOQUE"),$M295,IF(AND($N295="VCA",$Q295="LINEAR"),$M295,IF(AND($N295="VCA",$Q295="PREDIAL"),0,0)))</f>
        <v>125.95</v>
      </c>
      <c r="AN295" s="153" t="n">
        <f aca="false">ROUND(IF(AND($N295="VCA",$M295&lt;&gt;"",$Q295="LINEAR"),$M295/100,IF(AND($N295="MND",$M295&gt;100,$Q295="EMBOQUE"),$M295/100,0)),0)</f>
        <v>1</v>
      </c>
      <c r="AO295" s="153" t="n">
        <f aca="false">IF(AND($N295="MND",$Q295="EMBOQUE"),$AN295*2*2,IF(AND($N295="VCA",$Q295="LINEAR"),$M295*2,IF(AND($N295="VCA",$Q295="PREDIAL"),0,0)))</f>
        <v>251.9</v>
      </c>
      <c r="AP295" s="153" t="n">
        <f aca="false">IFERROR($M295*$AF295*$AG295,0)</f>
        <v>111.5854025</v>
      </c>
      <c r="AQ295" s="153" t="n">
        <f aca="false">IFERROR(IF(AND($N295="VCA",$AH295&gt;0),$M295*$AG295*$AH295,0),0)</f>
        <v>8.18675</v>
      </c>
      <c r="AR295" s="153" t="n">
        <f aca="false">IFERROR(IF(AND($N295="VCA",$AJ295&gt;0),($M295*$AG295*$AJ295)-$AI295,0),0)</f>
        <v>29.3252854531394</v>
      </c>
      <c r="AS295" s="153" t="n">
        <f aca="false">IFERROR(IF(AND($N295="VCA",$AP295&gt;0),$AP295-$AI295-$AQ295-$AR295,0),0)</f>
        <v>73.68075</v>
      </c>
      <c r="AT295" s="153" t="n">
        <f aca="false">IFERROR(IF($N295="VCA",INDEX(APOIO_REDES!$A:$W,MATCH($C295&amp;$I295&amp;$H295&amp;$N295&amp;$O295,APOIO_REDES!$W:$W,0),MATCH(AT$5,APOIO_REDES!$5:$5,0)),0)*$AP295,0)</f>
        <v>1.21408220679325</v>
      </c>
      <c r="AU295" s="153" t="n">
        <f aca="false">IFERROR(IF($N295="VCA",INDEX(APOIO_REDES!$A:$W,MATCH($C295&amp;$I295&amp;$H295&amp;$N295&amp;$O295,APOIO_REDES!$W:$W,0),MATCH(AU$5,APOIO_REDES!$5:$5,0)),0)*$AP295,0)</f>
        <v>0.969533168828879</v>
      </c>
      <c r="AV295" s="153" t="n">
        <f aca="false">IFERROR(IF($N295="VCA",INDEX(APOIO_REDES!$A:$W,MATCH($C295&amp;$I295&amp;$H295&amp;$N295&amp;$O295,APOIO_REDES!$W:$W,0),MATCH(AV$5,APOIO_REDES!$5:$5,0)),0)*$AP295,0)</f>
        <v>0.134175779432124</v>
      </c>
      <c r="AW295" s="153" t="n">
        <f aca="false">IFERROR(IF($N295="VCA",INDEX(APOIO_REDES!$A:$W,MATCH($C295&amp;$I295&amp;$H295&amp;$N295&amp;$O295,APOIO_REDES!$W:$W,0),MATCH(AW$5,APOIO_REDES!$5:$5,0)),0)*$AP295,0)</f>
        <v>76.5930848818893</v>
      </c>
      <c r="AX295" s="153" t="n">
        <f aca="false">IFERROR(IF($N295="VCA",INDEX(APOIO_REDES!$A:$W,MATCH($C295&amp;$I295&amp;$H295&amp;$N295&amp;$O295,APOIO_REDES!$W:$W,0),MATCH(AX$5,APOIO_REDES!$5:$5,0)),0)*$AP295,0)</f>
        <v>10.6002647681213</v>
      </c>
      <c r="AY295" s="153" t="n">
        <f aca="false">IFERROR(IF($N295="VCA",INDEX(APOIO_REDES!$A:$W,MATCH($C295&amp;$I295&amp;$H295&amp;$N295&amp;$O295,APOIO_REDES!$W:$W,0),MATCH(AY$5,APOIO_REDES!$5:$5,0)),0)*$AP295,0)</f>
        <v>19.3906515580469</v>
      </c>
      <c r="AZ295" s="153" t="n">
        <f aca="false">IFERROR(IF($N295="VCA",INDEX(APOIO_REDES!$A:$W,MATCH($C295&amp;$I295&amp;$H295&amp;$N295&amp;$O295,APOIO_REDES!$W:$W,0),MATCH(AZ$5,APOIO_REDES!$5:$5,0)),0)*$AP295,0)</f>
        <v>2.68361013688835</v>
      </c>
      <c r="BA295" s="153" t="n">
        <f aca="false">IFERROR(IF(AND($N295="VCA",$Q295="LINEAR"),INDEX(APOIO_REDES!$A:$W,MATCH($C295&amp;$I295&amp;$H295&amp;$N295&amp;$O295,APOIO_REDES!$W:$W,0),MATCH(BA$5,APOIO_REDES!$5:$5,0)),IF(AND($N295="MND",$Q295="EMBOQUE"),INDEX(APOIO_REDES!$A:$W,MATCH($C295&amp;$I295&amp;$H295&amp;$N295&amp;$O295,APOIO_REDES!$W:$W,0),MATCH(BA$5,APOIO_REDES!$5:$5,0)),0))*$M295/10,0)</f>
        <v>10.1512523011733</v>
      </c>
      <c r="BB295" s="153" t="n">
        <f aca="false">IFERROR(IF($N295="VCA",INDEX(APOIO_REDES!$A:$W,MATCH($C295&amp;$I295&amp;$H295&amp;$N295&amp;$O295,APOIO_REDES!$W:$W,0),MATCH(BB$5,APOIO_REDES!$5:$5,0)),0)*($AI295+$AQ295+$AR295),0)</f>
        <v>37.4922386615956</v>
      </c>
      <c r="BC295" s="153" t="n">
        <f aca="false">IFERROR(IF($N295="VCA",INDEX(APOIO_REDES!$A:$W,MATCH($C295&amp;$I295&amp;$H295&amp;$N295&amp;$O295,APOIO_REDES!$W:$W,0),MATCH(BC$5,APOIO_REDES!$5:$5,0)),0)*($AI295+$AQ295+$AR295),0)</f>
        <v>0.412413838404457</v>
      </c>
      <c r="BD295" s="153" t="n">
        <f aca="false">IF(AND($N295="VCA",$AF295&gt;=1.25,$AF295&lt;1.5),$M295*$AF295*2,0)</f>
        <v>343.3397</v>
      </c>
      <c r="BE295" s="153" t="n">
        <f aca="false">IF(AND($N295="VCA",$AF295&gt;=1.5,$AF295&lt;3),$M295*$AF295*2,0)</f>
        <v>0</v>
      </c>
      <c r="BF295" s="153" t="n">
        <f aca="false">IF(AND($N295="VCA",$AF295&gt;=3),$M295*$AF295*2,0)</f>
        <v>0</v>
      </c>
      <c r="BG295" s="153" t="n">
        <f aca="false">($BB295+$BC295)*$AK295</f>
        <v>117.50442275</v>
      </c>
      <c r="BH295" s="153" t="n">
        <f aca="false">IF(AND($M295&lt;&gt;"",$N295="VCA",$Q295="LINEAR"),($M295*2)/100,IF(AND($M295&lt;&gt;"",$N295="MND",$Q295="EMBOQUE"),($AN295*2)/100,0))</f>
        <v>2.519</v>
      </c>
      <c r="BI295" s="153" t="n">
        <f aca="false">IF(AND($M295&lt;&gt;"",$N295="VCA",$Q295="LINEAR"),$M295,IF(AND($M295&lt;&gt;"",$N295="MND",$Q295="EMBOQUE"),$AN295*2,0))</f>
        <v>125.95</v>
      </c>
      <c r="BJ295" s="153" t="n">
        <f aca="false">IF(AND($M295&lt;&gt;"",$N295="VCA",$Q295="LINEAR"),($M295*6.8)/100,IF(AND($M295&lt;&gt;"",$N295="MND",$Q295="EMBOQUE"),($AN295*2*6.8)/100,0))</f>
        <v>8.5646</v>
      </c>
      <c r="BK295" s="153" t="n">
        <f aca="false">IF(AND($M295&lt;&gt;"",$N295="VCA",$Q295="LINEAR"),($M295*2.5)/50,IF(AND($M295&lt;&gt;"",$N295="MND",$Q295="EMBOQUE"),($AN295*2*2.5)/50,0))</f>
        <v>6.2975</v>
      </c>
      <c r="BL295" s="157" t="str">
        <f aca="false">K295&amp;J295</f>
        <v>Zona03REDES</v>
      </c>
      <c r="BM295" s="152" t="s">
        <v>2526</v>
      </c>
      <c r="BN295" s="152" t="s">
        <v>1560</v>
      </c>
      <c r="BO295" s="152" t="s">
        <v>2645</v>
      </c>
      <c r="BP295" s="152" t="s">
        <v>2654</v>
      </c>
      <c r="BQ295" s="152" t="s">
        <v>2646</v>
      </c>
      <c r="BR295" s="152" t="s">
        <v>2648</v>
      </c>
      <c r="BS295" s="152" t="n">
        <v>203903.511</v>
      </c>
      <c r="BT295" s="152" t="n">
        <v>8238195.98</v>
      </c>
      <c r="BU295" s="152" t="n">
        <v>203905.733</v>
      </c>
      <c r="BV295" s="152" t="n">
        <v>8238307.233</v>
      </c>
      <c r="BW295" s="152" t="n">
        <v>-15.9173305</v>
      </c>
      <c r="BX295" s="152" t="n">
        <v>-47.7652446</v>
      </c>
      <c r="BY295" s="152" t="s">
        <v>2654</v>
      </c>
    </row>
    <row r="296" customFormat="false" ht="13.8" hidden="false" customHeight="false" outlineLevel="0" collapsed="false">
      <c r="A296" s="149" t="n">
        <f aca="false">IF(C296&lt;&gt;"",ROW(A291),"")</f>
        <v>291</v>
      </c>
      <c r="B296" s="150" t="str">
        <f aca="false">HYPERLINK("https://www.google.com/maps/dir/-15.917302,-47.760003/-15.9178023,-47.7654280/data=!4m3!4m2!3e0!5i1")</f>
        <v>https://www.google.com/maps/dir/-15.917302,-47.760003/-15.9178023,-47.7654280/data=!4m3!4m2!3e0!5i1</v>
      </c>
      <c r="C296" s="151" t="s">
        <v>117</v>
      </c>
      <c r="D296" s="152" t="s">
        <v>112</v>
      </c>
      <c r="E296" s="152" t="s">
        <v>113</v>
      </c>
      <c r="F296" s="152" t="s">
        <v>117</v>
      </c>
      <c r="G296" s="152" t="s">
        <v>782</v>
      </c>
      <c r="H296" s="152" t="n">
        <v>63</v>
      </c>
      <c r="I296" s="152" t="s">
        <v>115</v>
      </c>
      <c r="J296" s="152" t="s">
        <v>6</v>
      </c>
      <c r="K296" s="152" t="s">
        <v>2522</v>
      </c>
      <c r="L296" s="152" t="s">
        <v>120</v>
      </c>
      <c r="M296" s="153" t="n">
        <f aca="false">38.49</f>
        <v>38.49</v>
      </c>
      <c r="N296" s="152" t="s">
        <v>1548</v>
      </c>
      <c r="O296" s="152" t="s">
        <v>1549</v>
      </c>
      <c r="P296" s="152" t="s">
        <v>1550</v>
      </c>
      <c r="Q296" s="152" t="s">
        <v>1551</v>
      </c>
      <c r="R296" s="154" t="s">
        <v>2655</v>
      </c>
      <c r="S296" s="154" t="s">
        <v>1553</v>
      </c>
      <c r="T296" s="155" t="s">
        <v>2643</v>
      </c>
      <c r="U296" s="152" t="str">
        <f aca="false">RIGHT(T296,7)</f>
        <v>007/037</v>
      </c>
      <c r="V296" s="152" t="s">
        <v>1555</v>
      </c>
      <c r="W296" s="156" t="n">
        <v>45882</v>
      </c>
      <c r="X296" s="152" t="s">
        <v>1594</v>
      </c>
      <c r="Y296" s="152" t="s">
        <v>2524</v>
      </c>
      <c r="Z296" s="152" t="s">
        <v>1557</v>
      </c>
      <c r="AA296" s="153" t="n">
        <v>3.1</v>
      </c>
      <c r="AB296" s="151" t="s">
        <v>2656</v>
      </c>
      <c r="AC296" s="151" t="s">
        <v>186</v>
      </c>
      <c r="AD296" s="151" t="str">
        <f aca="false">CONCATENATE($C296,$I296,$H296,$N296,$J296,$K296)</f>
        <v>TUBO PEADPEAD63VCAREDESZona03</v>
      </c>
      <c r="AE296" s="153" t="n">
        <f aca="false">IFERROR(INDEX(APOIO_REDES!$A:$W,MATCH($C296&amp;$I296&amp;$H296&amp;$N296&amp;$O296,APOIO_REDES!$W:$W,0),MATCH(AE$5,APOIO_REDES!$5:$5,0)),0)</f>
        <v>1.2</v>
      </c>
      <c r="AF296" s="153" t="n">
        <f aca="false">IFERROR(INDEX(APOIO_REDES!$A:$W,MATCH($C296&amp;$I296&amp;$H296&amp;$N296&amp;$O296,APOIO_REDES!$W:$W,0),MATCH(AF$5,APOIO_REDES!$5:$5,0)),0)</f>
        <v>1.363</v>
      </c>
      <c r="AG296" s="153" t="n">
        <f aca="false">IFERROR(INDEX(APOIO_REDES!$A:$W,MATCH($C296&amp;$I296&amp;$H296&amp;$N296&amp;$O296,APOIO_REDES!$W:$W,0),MATCH(AG$5,APOIO_REDES!$5:$5,0)),0)</f>
        <v>0.65</v>
      </c>
      <c r="AH296" s="153" t="n">
        <f aca="false">IFERROR(INDEX(APOIO_REDES!$A:$W,MATCH($C296&amp;$I296&amp;$H296&amp;$N296&amp;$O296,APOIO_REDES!$W:$W,0),MATCH(AH$5,APOIO_REDES!$5:$5,0)),0)</f>
        <v>0.1</v>
      </c>
      <c r="AI296" s="153" t="n">
        <f aca="false">IFERROR(IF($H296&lt;&gt;"",(((($H296/1000)/2)^2)*PI()*$M296),0),0)</f>
        <v>0.119982772002087</v>
      </c>
      <c r="AJ296" s="153" t="n">
        <f aca="false">IFERROR(IF(AND($H296&lt;&gt;"",$I296="FoFo",OR($N296="MND",$N296="VCA"),$Q296="LINEAR"),0,IF(AND($H296&lt;&gt;"",$I296="PEAD",$N296="VCA",$Q296="LINEAR"),($H296/1000)+0.3,IF(AND($H296&lt;&gt;"",$I296="PEAD",$N296="MND",$Q296="EMBOQUE"),0,IF(AND($H296&lt;&gt;"",$I296="PVC",$N296="VCA",$Q296="LINEAR"),($H296/1000)+0.2,IF(AND($H296&lt;&gt;"",$I296="PVC",$N296="MND",$Q296="EMBOQUE"),0,IF(AND($H296&lt;&gt;"",$I296="PEAD",$N296="VCA",$Q296="PREDIAL"),0,0)))))),0)</f>
        <v>0.363</v>
      </c>
      <c r="AK296" s="153" t="n">
        <f aca="false">IF(AA296&lt;&gt;"",AA296,0)</f>
        <v>3.1</v>
      </c>
      <c r="AL296" s="153" t="n">
        <f aca="false">IF(AND($N296="MND",$Q296="EMBOQUE"),$M296,IF(AND($N296="VCA",$Q296="LINEAR"),$M296,IF(AND($N296="VCA",$Q296="PREDIAL"),0,0)))</f>
        <v>38.49</v>
      </c>
      <c r="AM296" s="153" t="n">
        <f aca="false">IF(AND($N296="MND",$Q296="EMBOQUE"),$M296,IF(AND($N296="VCA",$Q296="LINEAR"),$M296,IF(AND($N296="VCA",$Q296="PREDIAL"),0,0)))</f>
        <v>38.49</v>
      </c>
      <c r="AN296" s="153" t="n">
        <f aca="false">ROUND(IF(AND($N296="VCA",$M296&lt;&gt;"",$Q296="LINEAR"),$M296/100,IF(AND($N296="MND",$M296&gt;100,$Q296="EMBOQUE"),$M296/100,0)),0)</f>
        <v>0</v>
      </c>
      <c r="AO296" s="153" t="n">
        <f aca="false">IF(AND($N296="MND",$Q296="EMBOQUE"),$AN296*2*2,IF(AND($N296="VCA",$Q296="LINEAR"),$M296*2,IF(AND($N296="VCA",$Q296="PREDIAL"),0,0)))</f>
        <v>76.98</v>
      </c>
      <c r="AP296" s="153" t="n">
        <f aca="false">IFERROR($M296*$AF296*$AG296,0)</f>
        <v>34.1002155</v>
      </c>
      <c r="AQ296" s="153" t="n">
        <f aca="false">IFERROR(IF(AND($N296="VCA",$AH296&gt;0),$M296*$AG296*$AH296,0),0)</f>
        <v>2.50185</v>
      </c>
      <c r="AR296" s="153" t="n">
        <f aca="false">IFERROR(IF(AND($N296="VCA",$AJ296&gt;0),($M296*$AG296*$AJ296)-$AI296,0),0)</f>
        <v>8.96173272799791</v>
      </c>
      <c r="AS296" s="153" t="n">
        <f aca="false">IFERROR(IF(AND($N296="VCA",$AP296&gt;0),$AP296-$AI296-$AQ296-$AR296,0),0)</f>
        <v>22.51665</v>
      </c>
      <c r="AT296" s="153" t="n">
        <f aca="false">IFERROR(IF($N296="VCA",INDEX(APOIO_REDES!$A:$W,MATCH($C296&amp;$I296&amp;$H296&amp;$N296&amp;$O296,APOIO_REDES!$W:$W,0),MATCH(AT$5,APOIO_REDES!$5:$5,0)),0)*$AP296,0)</f>
        <v>0.371020437788584</v>
      </c>
      <c r="AU296" s="153" t="n">
        <f aca="false">IFERROR(IF($N296="VCA",INDEX(APOIO_REDES!$A:$W,MATCH($C296&amp;$I296&amp;$H296&amp;$N296&amp;$O296,APOIO_REDES!$W:$W,0),MATCH(AU$5,APOIO_REDES!$5:$5,0)),0)*$AP296,0)</f>
        <v>0.296286873110151</v>
      </c>
      <c r="AV296" s="153" t="n">
        <f aca="false">IFERROR(IF($N296="VCA",INDEX(APOIO_REDES!$A:$W,MATCH($C296&amp;$I296&amp;$H296&amp;$N296&amp;$O296,APOIO_REDES!$W:$W,0),MATCH(AV$5,APOIO_REDES!$5:$5,0)),0)*$AP296,0)</f>
        <v>0.0410037772952953</v>
      </c>
      <c r="AW296" s="153" t="n">
        <f aca="false">IFERROR(IF($N296="VCA",INDEX(APOIO_REDES!$A:$W,MATCH($C296&amp;$I296&amp;$H296&amp;$N296&amp;$O296,APOIO_REDES!$W:$W,0),MATCH(AW$5,APOIO_REDES!$5:$5,0)),0)*$AP296,0)</f>
        <v>23.4066521405631</v>
      </c>
      <c r="AX296" s="153" t="n">
        <f aca="false">IFERROR(IF($N296="VCA",INDEX(APOIO_REDES!$A:$W,MATCH($C296&amp;$I296&amp;$H296&amp;$N296&amp;$O296,APOIO_REDES!$W:$W,0),MATCH(AX$5,APOIO_REDES!$5:$5,0)),0)*$AP296,0)</f>
        <v>3.23941398114322</v>
      </c>
      <c r="AY296" s="153" t="n">
        <f aca="false">IFERROR(IF($N296="VCA",INDEX(APOIO_REDES!$A:$W,MATCH($C296&amp;$I296&amp;$H296&amp;$N296&amp;$O296,APOIO_REDES!$W:$W,0),MATCH(AY$5,APOIO_REDES!$5:$5,0)),0)*$AP296,0)</f>
        <v>5.92573385049006</v>
      </c>
      <c r="AZ296" s="153" t="n">
        <f aca="false">IFERROR(IF($N296="VCA",INDEX(APOIO_REDES!$A:$W,MATCH($C296&amp;$I296&amp;$H296&amp;$N296&amp;$O296,APOIO_REDES!$W:$W,0),MATCH(AZ$5,APOIO_REDES!$5:$5,0)),0)*$AP296,0)</f>
        <v>0.820104439609628</v>
      </c>
      <c r="BA296" s="153" t="n">
        <f aca="false">IFERROR(IF(AND($N296="VCA",$Q296="LINEAR"),INDEX(APOIO_REDES!$A:$W,MATCH($C296&amp;$I296&amp;$H296&amp;$N296&amp;$O296,APOIO_REDES!$W:$W,0),MATCH(BA$5,APOIO_REDES!$5:$5,0)),IF(AND($N296="MND",$Q296="EMBOQUE"),INDEX(APOIO_REDES!$A:$W,MATCH($C296&amp;$I296&amp;$H296&amp;$N296&amp;$O296,APOIO_REDES!$W:$W,0),MATCH(BA$5,APOIO_REDES!$5:$5,0)),0))*$M296/10,0)</f>
        <v>3.10219691204574</v>
      </c>
      <c r="BB296" s="153" t="n">
        <f aca="false">IFERROR(IF($N296="VCA",INDEX(APOIO_REDES!$A:$W,MATCH($C296&amp;$I296&amp;$H296&amp;$N296&amp;$O296,APOIO_REDES!$W:$W,0),MATCH(BB$5,APOIO_REDES!$5:$5,0)),0)*($AI296+$AQ296+$AR296),0)</f>
        <v>11.4575328787996</v>
      </c>
      <c r="BC296" s="153" t="n">
        <f aca="false">IFERROR(IF($N296="VCA",INDEX(APOIO_REDES!$A:$W,MATCH($C296&amp;$I296&amp;$H296&amp;$N296&amp;$O296,APOIO_REDES!$W:$W,0),MATCH(BC$5,APOIO_REDES!$5:$5,0)),0)*($AI296+$AQ296+$AR296),0)</f>
        <v>0.126032621200378</v>
      </c>
      <c r="BD296" s="153" t="n">
        <f aca="false">IF(AND($N296="VCA",$AF296&gt;=1.25,$AF296&lt;1.5),$M296*$AF296*2,0)</f>
        <v>104.92374</v>
      </c>
      <c r="BE296" s="153" t="n">
        <f aca="false">IF(AND($N296="VCA",$AF296&gt;=1.5,$AF296&lt;3),$M296*$AF296*2,0)</f>
        <v>0</v>
      </c>
      <c r="BF296" s="153" t="n">
        <f aca="false">IF(AND($N296="VCA",$AF296&gt;=3),$M296*$AF296*2,0)</f>
        <v>0</v>
      </c>
      <c r="BG296" s="153" t="n">
        <f aca="false">($BB296+$BC296)*$AK296</f>
        <v>35.90905305</v>
      </c>
      <c r="BH296" s="153" t="n">
        <f aca="false">IF(AND($M296&lt;&gt;"",$N296="VCA",$Q296="LINEAR"),($M296*2)/100,IF(AND($M296&lt;&gt;"",$N296="MND",$Q296="EMBOQUE"),($AN296*2)/100,0))</f>
        <v>0.7698</v>
      </c>
      <c r="BI296" s="153" t="n">
        <f aca="false">IF(AND($M296&lt;&gt;"",$N296="VCA",$Q296="LINEAR"),$M296,IF(AND($M296&lt;&gt;"",$N296="MND",$Q296="EMBOQUE"),$AN296*2,0))</f>
        <v>38.49</v>
      </c>
      <c r="BJ296" s="153" t="n">
        <f aca="false">IF(AND($M296&lt;&gt;"",$N296="VCA",$Q296="LINEAR"),($M296*6.8)/100,IF(AND($M296&lt;&gt;"",$N296="MND",$Q296="EMBOQUE"),($AN296*2*6.8)/100,0))</f>
        <v>2.61732</v>
      </c>
      <c r="BK296" s="153" t="n">
        <f aca="false">IF(AND($M296&lt;&gt;"",$N296="VCA",$Q296="LINEAR"),($M296*2.5)/50,IF(AND($M296&lt;&gt;"",$N296="MND",$Q296="EMBOQUE"),($AN296*2*2.5)/50,0))</f>
        <v>1.9245</v>
      </c>
      <c r="BL296" s="157" t="str">
        <f aca="false">K296&amp;J296</f>
        <v>Zona03REDES</v>
      </c>
      <c r="BM296" s="152" t="s">
        <v>2526</v>
      </c>
      <c r="BN296" s="152" t="s">
        <v>1560</v>
      </c>
      <c r="BO296" s="152" t="s">
        <v>2645</v>
      </c>
      <c r="BP296" s="152" t="s">
        <v>2654</v>
      </c>
      <c r="BQ296" s="152" t="s">
        <v>2657</v>
      </c>
      <c r="BR296" s="152" t="s">
        <v>2658</v>
      </c>
      <c r="BS296" s="152" t="n">
        <v>203903.511</v>
      </c>
      <c r="BT296" s="152" t="n">
        <v>8238195.98</v>
      </c>
      <c r="BU296" s="152" t="n">
        <v>203924.687</v>
      </c>
      <c r="BV296" s="152" t="n">
        <v>8238163.837</v>
      </c>
      <c r="BW296" s="152" t="n">
        <v>-15.9179487</v>
      </c>
      <c r="BX296" s="152" t="n">
        <v>-47.7653312</v>
      </c>
      <c r="BY296" s="152" t="s">
        <v>2654</v>
      </c>
    </row>
    <row r="297" customFormat="false" ht="13.8" hidden="false" customHeight="false" outlineLevel="0" collapsed="false">
      <c r="A297" s="149" t="n">
        <f aca="false">IF(C297&lt;&gt;"",ROW(A292),"")</f>
        <v>292</v>
      </c>
      <c r="B297" s="150" t="str">
        <f aca="false">HYPERLINK("https://www.google.com/maps/dir/-15.917302,-47.760003/-15.9182959,-47.7660311/data=!4m3!4m2!3e0!5i1")</f>
        <v>https://www.google.com/maps/dir/-15.917302,-47.760003/-15.9182959,-47.7660311/data=!4m3!4m2!3e0!5i1</v>
      </c>
      <c r="C297" s="151" t="s">
        <v>117</v>
      </c>
      <c r="D297" s="152" t="s">
        <v>112</v>
      </c>
      <c r="E297" s="152" t="s">
        <v>113</v>
      </c>
      <c r="F297" s="152" t="s">
        <v>117</v>
      </c>
      <c r="G297" s="152" t="s">
        <v>782</v>
      </c>
      <c r="H297" s="152" t="n">
        <v>63</v>
      </c>
      <c r="I297" s="152" t="s">
        <v>115</v>
      </c>
      <c r="J297" s="152" t="s">
        <v>6</v>
      </c>
      <c r="K297" s="152" t="s">
        <v>2522</v>
      </c>
      <c r="L297" s="152" t="s">
        <v>120</v>
      </c>
      <c r="M297" s="153" t="n">
        <f aca="false">84.64</f>
        <v>84.64</v>
      </c>
      <c r="N297" s="152" t="s">
        <v>1548</v>
      </c>
      <c r="O297" s="152" t="s">
        <v>1549</v>
      </c>
      <c r="P297" s="152" t="s">
        <v>1550</v>
      </c>
      <c r="Q297" s="152" t="s">
        <v>1551</v>
      </c>
      <c r="R297" s="154" t="s">
        <v>2659</v>
      </c>
      <c r="S297" s="154" t="s">
        <v>1553</v>
      </c>
      <c r="T297" s="155" t="s">
        <v>2643</v>
      </c>
      <c r="U297" s="152" t="str">
        <f aca="false">RIGHT(T297,7)</f>
        <v>007/037</v>
      </c>
      <c r="V297" s="152" t="s">
        <v>1555</v>
      </c>
      <c r="W297" s="156" t="n">
        <v>45882</v>
      </c>
      <c r="X297" s="152" t="s">
        <v>1594</v>
      </c>
      <c r="Y297" s="152" t="s">
        <v>2638</v>
      </c>
      <c r="Z297" s="152" t="s">
        <v>1557</v>
      </c>
      <c r="AA297" s="153" t="n">
        <v>3.1</v>
      </c>
      <c r="AB297" s="151" t="s">
        <v>2660</v>
      </c>
      <c r="AC297" s="151" t="s">
        <v>186</v>
      </c>
      <c r="AD297" s="151" t="str">
        <f aca="false">CONCATENATE($C297,$I297,$H297,$N297,$J297,$K297)</f>
        <v>TUBO PEADPEAD63VCAREDESZona03</v>
      </c>
      <c r="AE297" s="153" t="n">
        <f aca="false">IFERROR(INDEX(APOIO_REDES!$A:$W,MATCH($C297&amp;$I297&amp;$H297&amp;$N297&amp;$O297,APOIO_REDES!$W:$W,0),MATCH(AE$5,APOIO_REDES!$5:$5,0)),0)</f>
        <v>1.2</v>
      </c>
      <c r="AF297" s="153" t="n">
        <f aca="false">IFERROR(INDEX(APOIO_REDES!$A:$W,MATCH($C297&amp;$I297&amp;$H297&amp;$N297&amp;$O297,APOIO_REDES!$W:$W,0),MATCH(AF$5,APOIO_REDES!$5:$5,0)),0)</f>
        <v>1.363</v>
      </c>
      <c r="AG297" s="153" t="n">
        <f aca="false">IFERROR(INDEX(APOIO_REDES!$A:$W,MATCH($C297&amp;$I297&amp;$H297&amp;$N297&amp;$O297,APOIO_REDES!$W:$W,0),MATCH(AG$5,APOIO_REDES!$5:$5,0)),0)</f>
        <v>0.65</v>
      </c>
      <c r="AH297" s="153" t="n">
        <f aca="false">IFERROR(INDEX(APOIO_REDES!$A:$W,MATCH($C297&amp;$I297&amp;$H297&amp;$N297&amp;$O297,APOIO_REDES!$W:$W,0),MATCH(AH$5,APOIO_REDES!$5:$5,0)),0)</f>
        <v>0.1</v>
      </c>
      <c r="AI297" s="153" t="n">
        <f aca="false">IFERROR(IF($H297&lt;&gt;"",(((($H297/1000)/2)^2)*PI()*$M297),0),0)</f>
        <v>0.263843643082791</v>
      </c>
      <c r="AJ297" s="153" t="n">
        <f aca="false">IFERROR(IF(AND($H297&lt;&gt;"",$I297="FoFo",OR($N297="MND",$N297="VCA"),$Q297="LINEAR"),0,IF(AND($H297&lt;&gt;"",$I297="PEAD",$N297="VCA",$Q297="LINEAR"),($H297/1000)+0.3,IF(AND($H297&lt;&gt;"",$I297="PEAD",$N297="MND",$Q297="EMBOQUE"),0,IF(AND($H297&lt;&gt;"",$I297="PVC",$N297="VCA",$Q297="LINEAR"),($H297/1000)+0.2,IF(AND($H297&lt;&gt;"",$I297="PVC",$N297="MND",$Q297="EMBOQUE"),0,IF(AND($H297&lt;&gt;"",$I297="PEAD",$N297="VCA",$Q297="PREDIAL"),0,0)))))),0)</f>
        <v>0.363</v>
      </c>
      <c r="AK297" s="153" t="n">
        <f aca="false">IF(AA297&lt;&gt;"",AA297,0)</f>
        <v>3.1</v>
      </c>
      <c r="AL297" s="153" t="n">
        <f aca="false">IF(AND($N297="MND",$Q297="EMBOQUE"),$M297,IF(AND($N297="VCA",$Q297="LINEAR"),$M297,IF(AND($N297="VCA",$Q297="PREDIAL"),0,0)))</f>
        <v>84.64</v>
      </c>
      <c r="AM297" s="153" t="n">
        <f aca="false">IF(AND($N297="MND",$Q297="EMBOQUE"),$M297,IF(AND($N297="VCA",$Q297="LINEAR"),$M297,IF(AND($N297="VCA",$Q297="PREDIAL"),0,0)))</f>
        <v>84.64</v>
      </c>
      <c r="AN297" s="153" t="n">
        <f aca="false">ROUND(IF(AND($N297="VCA",$M297&lt;&gt;"",$Q297="LINEAR"),$M297/100,IF(AND($N297="MND",$M297&gt;100,$Q297="EMBOQUE"),$M297/100,0)),0)</f>
        <v>1</v>
      </c>
      <c r="AO297" s="153" t="n">
        <f aca="false">IF(AND($N297="MND",$Q297="EMBOQUE"),$AN297*2*2,IF(AND($N297="VCA",$Q297="LINEAR"),$M297*2,IF(AND($N297="VCA",$Q297="PREDIAL"),0,0)))</f>
        <v>169.28</v>
      </c>
      <c r="AP297" s="153" t="n">
        <f aca="false">IFERROR($M297*$AF297*$AG297,0)</f>
        <v>74.986808</v>
      </c>
      <c r="AQ297" s="153" t="n">
        <f aca="false">IFERROR(IF(AND($N297="VCA",$AH297&gt;0),$M297*$AG297*$AH297,0),0)</f>
        <v>5.5016</v>
      </c>
      <c r="AR297" s="153" t="n">
        <f aca="false">IFERROR(IF(AND($N297="VCA",$AJ297&gt;0),($M297*$AG297*$AJ297)-$AI297,0),0)</f>
        <v>19.7069643569172</v>
      </c>
      <c r="AS297" s="153" t="n">
        <f aca="false">IFERROR(IF(AND($N297="VCA",$AP297&gt;0),$AP297-$AI297-$AQ297-$AR297,0),0)</f>
        <v>49.5144</v>
      </c>
      <c r="AT297" s="153" t="n">
        <f aca="false">IFERROR(IF($N297="VCA",INDEX(APOIO_REDES!$A:$W,MATCH($C297&amp;$I297&amp;$H297&amp;$N297&amp;$O297,APOIO_REDES!$W:$W,0),MATCH(AT$5,APOIO_REDES!$5:$5,0)),0)*$AP297,0)</f>
        <v>0.815878666002229</v>
      </c>
      <c r="AU297" s="153" t="n">
        <f aca="false">IFERROR(IF($N297="VCA",INDEX(APOIO_REDES!$A:$W,MATCH($C297&amp;$I297&amp;$H297&amp;$N297&amp;$O297,APOIO_REDES!$W:$W,0),MATCH(AU$5,APOIO_REDES!$5:$5,0)),0)*$AP297,0)</f>
        <v>0.651538605872778</v>
      </c>
      <c r="AV297" s="153" t="n">
        <f aca="false">IFERROR(IF($N297="VCA",INDEX(APOIO_REDES!$A:$W,MATCH($C297&amp;$I297&amp;$H297&amp;$N297&amp;$O297,APOIO_REDES!$W:$W,0),MATCH(AV$5,APOIO_REDES!$5:$5,0)),0)*$AP297,0)</f>
        <v>0.0901678282741957</v>
      </c>
      <c r="AW297" s="153" t="n">
        <f aca="false">IFERROR(IF($N297="VCA",INDEX(APOIO_REDES!$A:$W,MATCH($C297&amp;$I297&amp;$H297&amp;$N297&amp;$O297,APOIO_REDES!$W:$W,0),MATCH(AW$5,APOIO_REDES!$5:$5,0)),0)*$AP297,0)</f>
        <v>51.4715260373411</v>
      </c>
      <c r="AX297" s="153" t="n">
        <f aca="false">IFERROR(IF($N297="VCA",INDEX(APOIO_REDES!$A:$W,MATCH($C297&amp;$I297&amp;$H297&amp;$N297&amp;$O297,APOIO_REDES!$W:$W,0),MATCH(AX$5,APOIO_REDES!$5:$5,0)),0)*$AP297,0)</f>
        <v>7.12351258415074</v>
      </c>
      <c r="AY297" s="153" t="n">
        <f aca="false">IFERROR(IF($N297="VCA",INDEX(APOIO_REDES!$A:$W,MATCH($C297&amp;$I297&amp;$H297&amp;$N297&amp;$O297,APOIO_REDES!$W:$W,0),MATCH(AY$5,APOIO_REDES!$5:$5,0)),0)*$AP297,0)</f>
        <v>13.0307641752528</v>
      </c>
      <c r="AZ297" s="153" t="n">
        <f aca="false">IFERROR(IF($N297="VCA",INDEX(APOIO_REDES!$A:$W,MATCH($C297&amp;$I297&amp;$H297&amp;$N297&amp;$O297,APOIO_REDES!$W:$W,0),MATCH(AZ$5,APOIO_REDES!$5:$5,0)),0)*$AP297,0)</f>
        <v>1.80342010310623</v>
      </c>
      <c r="BA297" s="153" t="n">
        <f aca="false">IFERROR(IF(AND($N297="VCA",$Q297="LINEAR"),INDEX(APOIO_REDES!$A:$W,MATCH($C297&amp;$I297&amp;$H297&amp;$N297&amp;$O297,APOIO_REDES!$W:$W,0),MATCH(BA$5,APOIO_REDES!$5:$5,0)),IF(AND($N297="MND",$Q297="EMBOQUE"),INDEX(APOIO_REDES!$A:$W,MATCH($C297&amp;$I297&amp;$H297&amp;$N297&amp;$O297,APOIO_REDES!$W:$W,0),MATCH(BA$5,APOIO_REDES!$5:$5,0)),0))*$M297/10,0)</f>
        <v>6.8217705023526</v>
      </c>
      <c r="BB297" s="153" t="n">
        <f aca="false">IFERROR(IF($N297="VCA",INDEX(APOIO_REDES!$A:$W,MATCH($C297&amp;$I297&amp;$H297&amp;$N297&amp;$O297,APOIO_REDES!$W:$W,0),MATCH(BB$5,APOIO_REDES!$5:$5,0)),0)*($AI297+$AQ297+$AR297),0)</f>
        <v>25.1952606615121</v>
      </c>
      <c r="BC297" s="153" t="n">
        <f aca="false">IFERROR(IF($N297="VCA",INDEX(APOIO_REDES!$A:$W,MATCH($C297&amp;$I297&amp;$H297&amp;$N297&amp;$O297,APOIO_REDES!$W:$W,0),MATCH(BC$5,APOIO_REDES!$5:$5,0)),0)*($AI297+$AQ297+$AR297),0)</f>
        <v>0.277147338487918</v>
      </c>
      <c r="BD297" s="153" t="n">
        <f aca="false">IF(AND($N297="VCA",$AF297&gt;=1.25,$AF297&lt;1.5),$M297*$AF297*2,0)</f>
        <v>230.72864</v>
      </c>
      <c r="BE297" s="153" t="n">
        <f aca="false">IF(AND($N297="VCA",$AF297&gt;=1.5,$AF297&lt;3),$M297*$AF297*2,0)</f>
        <v>0</v>
      </c>
      <c r="BF297" s="153" t="n">
        <f aca="false">IF(AND($N297="VCA",$AF297&gt;=3),$M297*$AF297*2,0)</f>
        <v>0</v>
      </c>
      <c r="BG297" s="153" t="n">
        <f aca="false">($BB297+$BC297)*$AK297</f>
        <v>78.9644648</v>
      </c>
      <c r="BH297" s="153" t="n">
        <f aca="false">IF(AND($M297&lt;&gt;"",$N297="VCA",$Q297="LINEAR"),($M297*2)/100,IF(AND($M297&lt;&gt;"",$N297="MND",$Q297="EMBOQUE"),($AN297*2)/100,0))</f>
        <v>1.6928</v>
      </c>
      <c r="BI297" s="153" t="n">
        <f aca="false">IF(AND($M297&lt;&gt;"",$N297="VCA",$Q297="LINEAR"),$M297,IF(AND($M297&lt;&gt;"",$N297="MND",$Q297="EMBOQUE"),$AN297*2,0))</f>
        <v>84.64</v>
      </c>
      <c r="BJ297" s="153" t="n">
        <f aca="false">IF(AND($M297&lt;&gt;"",$N297="VCA",$Q297="LINEAR"),($M297*6.8)/100,IF(AND($M297&lt;&gt;"",$N297="MND",$Q297="EMBOQUE"),($AN297*2*6.8)/100,0))</f>
        <v>5.75552</v>
      </c>
      <c r="BK297" s="153" t="n">
        <f aca="false">IF(AND($M297&lt;&gt;"",$N297="VCA",$Q297="LINEAR"),($M297*2.5)/50,IF(AND($M297&lt;&gt;"",$N297="MND",$Q297="EMBOQUE"),($AN297*2*2.5)/50,0))</f>
        <v>4.232</v>
      </c>
      <c r="BL297" s="157" t="str">
        <f aca="false">K297&amp;J297</f>
        <v>Zona03REDES</v>
      </c>
      <c r="BM297" s="152" t="s">
        <v>2526</v>
      </c>
      <c r="BN297" s="152" t="s">
        <v>1560</v>
      </c>
      <c r="BO297" s="152" t="s">
        <v>2645</v>
      </c>
      <c r="BP297" s="152" t="s">
        <v>2661</v>
      </c>
      <c r="BQ297" s="152" t="s">
        <v>2654</v>
      </c>
      <c r="BR297" s="152" t="s">
        <v>2662</v>
      </c>
      <c r="BS297" s="152" t="n">
        <v>203839.622</v>
      </c>
      <c r="BT297" s="152" t="n">
        <v>8238140.477</v>
      </c>
      <c r="BU297" s="152" t="n">
        <v>203903.511</v>
      </c>
      <c r="BV297" s="152" t="n">
        <v>8238195.98</v>
      </c>
      <c r="BW297" s="152" t="n">
        <v>-15.9180488</v>
      </c>
      <c r="BX297" s="152" t="n">
        <v>-47.7657298</v>
      </c>
      <c r="BY297" s="152" t="s">
        <v>2661</v>
      </c>
    </row>
    <row r="298" customFormat="false" ht="13.8" hidden="false" customHeight="false" outlineLevel="0" collapsed="false">
      <c r="A298" s="149" t="n">
        <f aca="false">IF(C298&lt;&gt;"",ROW(A293),"")</f>
        <v>293</v>
      </c>
      <c r="B298" s="150" t="str">
        <f aca="false">HYPERLINK("https://www.google.com/maps/dir/-15.917302,-47.760003/-15.9183801,-47.7670170/data=!4m3!4m2!3e0!5i0")</f>
        <v>https://www.google.com/maps/dir/-15.917302,-47.760003/-15.9183801,-47.7670170/data=!4m3!4m2!3e0!5i0</v>
      </c>
      <c r="C298" s="151" t="s">
        <v>117</v>
      </c>
      <c r="D298" s="152" t="s">
        <v>112</v>
      </c>
      <c r="E298" s="152" t="s">
        <v>113</v>
      </c>
      <c r="F298" s="152" t="s">
        <v>117</v>
      </c>
      <c r="G298" s="152" t="s">
        <v>782</v>
      </c>
      <c r="H298" s="152" t="n">
        <v>63</v>
      </c>
      <c r="I298" s="152" t="s">
        <v>115</v>
      </c>
      <c r="J298" s="152" t="s">
        <v>6</v>
      </c>
      <c r="K298" s="152" t="s">
        <v>2522</v>
      </c>
      <c r="L298" s="152" t="s">
        <v>120</v>
      </c>
      <c r="M298" s="153" t="n">
        <f aca="false">86.24</f>
        <v>86.24</v>
      </c>
      <c r="N298" s="152" t="s">
        <v>1548</v>
      </c>
      <c r="O298" s="152" t="s">
        <v>1549</v>
      </c>
      <c r="P298" s="152" t="s">
        <v>1550</v>
      </c>
      <c r="Q298" s="152" t="s">
        <v>1551</v>
      </c>
      <c r="R298" s="154" t="s">
        <v>2663</v>
      </c>
      <c r="S298" s="154" t="s">
        <v>1553</v>
      </c>
      <c r="T298" s="155" t="s">
        <v>2643</v>
      </c>
      <c r="U298" s="152" t="str">
        <f aca="false">RIGHT(T298,7)</f>
        <v>007/037</v>
      </c>
      <c r="V298" s="152" t="s">
        <v>1555</v>
      </c>
      <c r="W298" s="156" t="n">
        <v>45882</v>
      </c>
      <c r="X298" s="152" t="s">
        <v>1594</v>
      </c>
      <c r="Y298" s="152" t="s">
        <v>2524</v>
      </c>
      <c r="Z298" s="152" t="s">
        <v>1557</v>
      </c>
      <c r="AA298" s="153" t="n">
        <v>2.7</v>
      </c>
      <c r="AB298" s="151" t="s">
        <v>2664</v>
      </c>
      <c r="AC298" s="151" t="s">
        <v>186</v>
      </c>
      <c r="AD298" s="151" t="str">
        <f aca="false">CONCATENATE($C298,$I298,$H298,$N298,$J298,$K298)</f>
        <v>TUBO PEADPEAD63VCAREDESZona03</v>
      </c>
      <c r="AE298" s="153" t="n">
        <f aca="false">IFERROR(INDEX(APOIO_REDES!$A:$W,MATCH($C298&amp;$I298&amp;$H298&amp;$N298&amp;$O298,APOIO_REDES!$W:$W,0),MATCH(AE$5,APOIO_REDES!$5:$5,0)),0)</f>
        <v>1.2</v>
      </c>
      <c r="AF298" s="153" t="n">
        <f aca="false">IFERROR(INDEX(APOIO_REDES!$A:$W,MATCH($C298&amp;$I298&amp;$H298&amp;$N298&amp;$O298,APOIO_REDES!$W:$W,0),MATCH(AF$5,APOIO_REDES!$5:$5,0)),0)</f>
        <v>1.363</v>
      </c>
      <c r="AG298" s="153" t="n">
        <f aca="false">IFERROR(INDEX(APOIO_REDES!$A:$W,MATCH($C298&amp;$I298&amp;$H298&amp;$N298&amp;$O298,APOIO_REDES!$W:$W,0),MATCH(AG$5,APOIO_REDES!$5:$5,0)),0)</f>
        <v>0.65</v>
      </c>
      <c r="AH298" s="153" t="n">
        <f aca="false">IFERROR(INDEX(APOIO_REDES!$A:$W,MATCH($C298&amp;$I298&amp;$H298&amp;$N298&amp;$O298,APOIO_REDES!$W:$W,0),MATCH(AH$5,APOIO_REDES!$5:$5,0)),0)</f>
        <v>0.1</v>
      </c>
      <c r="AI298" s="153" t="n">
        <f aca="false">IFERROR(IF($H298&lt;&gt;"",(((($H298/1000)/2)^2)*PI()*$M298),0),0)</f>
        <v>0.26883123557963</v>
      </c>
      <c r="AJ298" s="153" t="n">
        <f aca="false">IFERROR(IF(AND($H298&lt;&gt;"",$I298="FoFo",OR($N298="MND",$N298="VCA"),$Q298="LINEAR"),0,IF(AND($H298&lt;&gt;"",$I298="PEAD",$N298="VCA",$Q298="LINEAR"),($H298/1000)+0.3,IF(AND($H298&lt;&gt;"",$I298="PEAD",$N298="MND",$Q298="EMBOQUE"),0,IF(AND($H298&lt;&gt;"",$I298="PVC",$N298="VCA",$Q298="LINEAR"),($H298/1000)+0.2,IF(AND($H298&lt;&gt;"",$I298="PVC",$N298="MND",$Q298="EMBOQUE"),0,IF(AND($H298&lt;&gt;"",$I298="PEAD",$N298="VCA",$Q298="PREDIAL"),0,0)))))),0)</f>
        <v>0.363</v>
      </c>
      <c r="AK298" s="153" t="n">
        <f aca="false">IF(AA298&lt;&gt;"",AA298,0)</f>
        <v>2.7</v>
      </c>
      <c r="AL298" s="153" t="n">
        <f aca="false">IF(AND($N298="MND",$Q298="EMBOQUE"),$M298,IF(AND($N298="VCA",$Q298="LINEAR"),$M298,IF(AND($N298="VCA",$Q298="PREDIAL"),0,0)))</f>
        <v>86.24</v>
      </c>
      <c r="AM298" s="153" t="n">
        <f aca="false">IF(AND($N298="MND",$Q298="EMBOQUE"),$M298,IF(AND($N298="VCA",$Q298="LINEAR"),$M298,IF(AND($N298="VCA",$Q298="PREDIAL"),0,0)))</f>
        <v>86.24</v>
      </c>
      <c r="AN298" s="153" t="n">
        <f aca="false">ROUND(IF(AND($N298="VCA",$M298&lt;&gt;"",$Q298="LINEAR"),$M298/100,IF(AND($N298="MND",$M298&gt;100,$Q298="EMBOQUE"),$M298/100,0)),0)</f>
        <v>1</v>
      </c>
      <c r="AO298" s="153" t="n">
        <f aca="false">IF(AND($N298="MND",$Q298="EMBOQUE"),$AN298*2*2,IF(AND($N298="VCA",$Q298="LINEAR"),$M298*2,IF(AND($N298="VCA",$Q298="PREDIAL"),0,0)))</f>
        <v>172.48</v>
      </c>
      <c r="AP298" s="153" t="n">
        <f aca="false">IFERROR($M298*$AF298*$AG298,0)</f>
        <v>76.404328</v>
      </c>
      <c r="AQ298" s="153" t="n">
        <f aca="false">IFERROR(IF(AND($N298="VCA",$AH298&gt;0),$M298*$AG298*$AH298,0),0)</f>
        <v>5.6056</v>
      </c>
      <c r="AR298" s="153" t="n">
        <f aca="false">IFERROR(IF(AND($N298="VCA",$AJ298&gt;0),($M298*$AG298*$AJ298)-$AI298,0),0)</f>
        <v>20.0794967644204</v>
      </c>
      <c r="AS298" s="153" t="n">
        <f aca="false">IFERROR(IF(AND($N298="VCA",$AP298&gt;0),$AP298-$AI298-$AQ298-$AR298,0),0)</f>
        <v>50.4504</v>
      </c>
      <c r="AT298" s="153" t="n">
        <f aca="false">IFERROR(IF($N298="VCA",INDEX(APOIO_REDES!$A:$W,MATCH($C298&amp;$I298&amp;$H298&amp;$N298&amp;$O298,APOIO_REDES!$W:$W,0),MATCH(AT$5,APOIO_REDES!$5:$5,0)),0)*$AP298,0)</f>
        <v>0.831301703166732</v>
      </c>
      <c r="AU298" s="153" t="n">
        <f aca="false">IFERROR(IF($N298="VCA",INDEX(APOIO_REDES!$A:$W,MATCH($C298&amp;$I298&amp;$H298&amp;$N298&amp;$O298,APOIO_REDES!$W:$W,0),MATCH(AU$5,APOIO_REDES!$5:$5,0)),0)*$AP298,0)</f>
        <v>0.66385502564353</v>
      </c>
      <c r="AV298" s="153" t="n">
        <f aca="false">IFERROR(IF($N298="VCA",INDEX(APOIO_REDES!$A:$W,MATCH($C298&amp;$I298&amp;$H298&amp;$N298&amp;$O298,APOIO_REDES!$W:$W,0),MATCH(AV$5,APOIO_REDES!$5:$5,0)),0)*$AP298,0)</f>
        <v>0.0918723240827816</v>
      </c>
      <c r="AW298" s="153" t="n">
        <f aca="false">IFERROR(IF($N298="VCA",INDEX(APOIO_REDES!$A:$W,MATCH($C298&amp;$I298&amp;$H298&amp;$N298&amp;$O298,APOIO_REDES!$W:$W,0),MATCH(AW$5,APOIO_REDES!$5:$5,0)),0)*$AP298,0)</f>
        <v>52.444522748822</v>
      </c>
      <c r="AX298" s="153" t="n">
        <f aca="false">IFERROR(IF($N298="VCA",INDEX(APOIO_REDES!$A:$W,MATCH($C298&amp;$I298&amp;$H298&amp;$N298&amp;$O298,APOIO_REDES!$W:$W,0),MATCH(AX$5,APOIO_REDES!$5:$5,0)),0)*$AP298,0)</f>
        <v>7.2581725573861</v>
      </c>
      <c r="AY298" s="153" t="n">
        <f aca="false">IFERROR(IF($N298="VCA",INDEX(APOIO_REDES!$A:$W,MATCH($C298&amp;$I298&amp;$H298&amp;$N298&amp;$O298,APOIO_REDES!$W:$W,0),MATCH(AY$5,APOIO_REDES!$5:$5,0)),0)*$AP298,0)</f>
        <v>13.2770924205316</v>
      </c>
      <c r="AZ298" s="153" t="n">
        <f aca="false">IFERROR(IF($N298="VCA",INDEX(APOIO_REDES!$A:$W,MATCH($C298&amp;$I298&amp;$H298&amp;$N298&amp;$O298,APOIO_REDES!$W:$W,0),MATCH(AZ$5,APOIO_REDES!$5:$5,0)),0)*$AP298,0)</f>
        <v>1.83751122036722</v>
      </c>
      <c r="BA298" s="153" t="n">
        <f aca="false">IFERROR(IF(AND($N298="VCA",$Q298="LINEAR"),INDEX(APOIO_REDES!$A:$W,MATCH($C298&amp;$I298&amp;$H298&amp;$N298&amp;$O298,APOIO_REDES!$W:$W,0),MATCH(BA$5,APOIO_REDES!$5:$5,0)),IF(AND($N298="MND",$Q298="EMBOQUE"),INDEX(APOIO_REDES!$A:$W,MATCH($C298&amp;$I298&amp;$H298&amp;$N298&amp;$O298,APOIO_REDES!$W:$W,0),MATCH(BA$5,APOIO_REDES!$5:$5,0)),0))*$M298/10,0)</f>
        <v>6.95072646648025</v>
      </c>
      <c r="BB298" s="153" t="n">
        <f aca="false">IFERROR(IF($N298="VCA",INDEX(APOIO_REDES!$A:$W,MATCH($C298&amp;$I298&amp;$H298&amp;$N298&amp;$O298,APOIO_REDES!$W:$W,0),MATCH(BB$5,APOIO_REDES!$5:$5,0)),0)*($AI298+$AQ298+$AR298),0)</f>
        <v>25.6715415813894</v>
      </c>
      <c r="BC298" s="153" t="n">
        <f aca="false">IFERROR(IF($N298="VCA",INDEX(APOIO_REDES!$A:$W,MATCH($C298&amp;$I298&amp;$H298&amp;$N298&amp;$O298,APOIO_REDES!$W:$W,0),MATCH(BC$5,APOIO_REDES!$5:$5,0)),0)*($AI298+$AQ298+$AR298),0)</f>
        <v>0.282386418610563</v>
      </c>
      <c r="BD298" s="153" t="n">
        <f aca="false">IF(AND($N298="VCA",$AF298&gt;=1.25,$AF298&lt;1.5),$M298*$AF298*2,0)</f>
        <v>235.09024</v>
      </c>
      <c r="BE298" s="153" t="n">
        <f aca="false">IF(AND($N298="VCA",$AF298&gt;=1.5,$AF298&lt;3),$M298*$AF298*2,0)</f>
        <v>0</v>
      </c>
      <c r="BF298" s="153" t="n">
        <f aca="false">IF(AND($N298="VCA",$AF298&gt;=3),$M298*$AF298*2,0)</f>
        <v>0</v>
      </c>
      <c r="BG298" s="153" t="n">
        <f aca="false">($BB298+$BC298)*$AK298</f>
        <v>70.0756056</v>
      </c>
      <c r="BH298" s="153" t="n">
        <f aca="false">IF(AND($M298&lt;&gt;"",$N298="VCA",$Q298="LINEAR"),($M298*2)/100,IF(AND($M298&lt;&gt;"",$N298="MND",$Q298="EMBOQUE"),($AN298*2)/100,0))</f>
        <v>1.7248</v>
      </c>
      <c r="BI298" s="153" t="n">
        <f aca="false">IF(AND($M298&lt;&gt;"",$N298="VCA",$Q298="LINEAR"),$M298,IF(AND($M298&lt;&gt;"",$N298="MND",$Q298="EMBOQUE"),$AN298*2,0))</f>
        <v>86.24</v>
      </c>
      <c r="BJ298" s="153" t="n">
        <f aca="false">IF(AND($M298&lt;&gt;"",$N298="VCA",$Q298="LINEAR"),($M298*6.8)/100,IF(AND($M298&lt;&gt;"",$N298="MND",$Q298="EMBOQUE"),($AN298*2*6.8)/100,0))</f>
        <v>5.86432</v>
      </c>
      <c r="BK298" s="153" t="n">
        <f aca="false">IF(AND($M298&lt;&gt;"",$N298="VCA",$Q298="LINEAR"),($M298*2.5)/50,IF(AND($M298&lt;&gt;"",$N298="MND",$Q298="EMBOQUE"),($AN298*2*2.5)/50,0))</f>
        <v>4.312</v>
      </c>
      <c r="BL298" s="157" t="str">
        <f aca="false">K298&amp;J298</f>
        <v>Zona03REDES</v>
      </c>
      <c r="BM298" s="152" t="s">
        <v>2526</v>
      </c>
      <c r="BN298" s="152" t="s">
        <v>1560</v>
      </c>
      <c r="BO298" s="152" t="s">
        <v>2645</v>
      </c>
      <c r="BP298" s="152" t="s">
        <v>2528</v>
      </c>
      <c r="BQ298" s="152" t="s">
        <v>2232</v>
      </c>
      <c r="BR298" s="152" t="s">
        <v>2665</v>
      </c>
      <c r="BS298" s="152" t="n">
        <v>203734.108</v>
      </c>
      <c r="BT298" s="152" t="n">
        <v>8238129.755</v>
      </c>
      <c r="BU298" s="152" t="n">
        <v>203794.074</v>
      </c>
      <c r="BV298" s="152" t="n">
        <v>8238191.635</v>
      </c>
      <c r="BW298" s="152" t="n">
        <v>-15.9181143</v>
      </c>
      <c r="BX298" s="152" t="n">
        <v>-47.7667231</v>
      </c>
      <c r="BY298" s="152" t="s">
        <v>2528</v>
      </c>
    </row>
    <row r="299" customFormat="false" ht="13.8" hidden="false" customHeight="false" outlineLevel="0" collapsed="false">
      <c r="A299" s="149" t="n">
        <f aca="false">IF(C299&lt;&gt;"",ROW(A294),"")</f>
        <v>294</v>
      </c>
      <c r="B299" s="150" t="str">
        <f aca="false">HYPERLINK("https://www.google.com/maps/dir/-15.917302,-47.760003/-15.9180951,-47.7652344/data=!4m3!4m2!3e0!5i1")</f>
        <v>https://www.google.com/maps/dir/-15.917302,-47.760003/-15.9180951,-47.7652344/data=!4m3!4m2!3e0!5i1</v>
      </c>
      <c r="C299" s="151" t="s">
        <v>117</v>
      </c>
      <c r="D299" s="152" t="s">
        <v>112</v>
      </c>
      <c r="E299" s="152" t="s">
        <v>113</v>
      </c>
      <c r="F299" s="152" t="s">
        <v>117</v>
      </c>
      <c r="G299" s="152" t="s">
        <v>782</v>
      </c>
      <c r="H299" s="152" t="n">
        <v>63</v>
      </c>
      <c r="I299" s="152" t="s">
        <v>115</v>
      </c>
      <c r="J299" s="152" t="s">
        <v>6</v>
      </c>
      <c r="K299" s="152" t="s">
        <v>2522</v>
      </c>
      <c r="L299" s="152" t="s">
        <v>120</v>
      </c>
      <c r="M299" s="153" t="n">
        <f aca="false">44.65</f>
        <v>44.65</v>
      </c>
      <c r="N299" s="152" t="s">
        <v>1548</v>
      </c>
      <c r="O299" s="152" t="s">
        <v>1549</v>
      </c>
      <c r="P299" s="152" t="s">
        <v>1550</v>
      </c>
      <c r="Q299" s="152" t="s">
        <v>1551</v>
      </c>
      <c r="R299" s="154" t="s">
        <v>2666</v>
      </c>
      <c r="S299" s="154" t="s">
        <v>1553</v>
      </c>
      <c r="T299" s="155" t="s">
        <v>2643</v>
      </c>
      <c r="U299" s="152" t="str">
        <f aca="false">RIGHT(T299,7)</f>
        <v>007/037</v>
      </c>
      <c r="V299" s="152" t="s">
        <v>1555</v>
      </c>
      <c r="W299" s="156" t="n">
        <v>45882</v>
      </c>
      <c r="X299" s="152" t="s">
        <v>1594</v>
      </c>
      <c r="Y299" s="152" t="s">
        <v>2524</v>
      </c>
      <c r="Z299" s="152" t="s">
        <v>1557</v>
      </c>
      <c r="AA299" s="153" t="n">
        <v>3.1</v>
      </c>
      <c r="AB299" s="151" t="s">
        <v>2667</v>
      </c>
      <c r="AC299" s="151" t="s">
        <v>186</v>
      </c>
      <c r="AD299" s="151" t="str">
        <f aca="false">CONCATENATE($C299,$I299,$H299,$N299,$J299,$K299)</f>
        <v>TUBO PEADPEAD63VCAREDESZona03</v>
      </c>
      <c r="AE299" s="153" t="n">
        <f aca="false">IFERROR(INDEX(APOIO_REDES!$A:$W,MATCH($C299&amp;$I299&amp;$H299&amp;$N299&amp;$O299,APOIO_REDES!$W:$W,0),MATCH(AE$5,APOIO_REDES!$5:$5,0)),0)</f>
        <v>1.2</v>
      </c>
      <c r="AF299" s="153" t="n">
        <f aca="false">IFERROR(INDEX(APOIO_REDES!$A:$W,MATCH($C299&amp;$I299&amp;$H299&amp;$N299&amp;$O299,APOIO_REDES!$W:$W,0),MATCH(AF$5,APOIO_REDES!$5:$5,0)),0)</f>
        <v>1.363</v>
      </c>
      <c r="AG299" s="153" t="n">
        <f aca="false">IFERROR(INDEX(APOIO_REDES!$A:$W,MATCH($C299&amp;$I299&amp;$H299&amp;$N299&amp;$O299,APOIO_REDES!$W:$W,0),MATCH(AG$5,APOIO_REDES!$5:$5,0)),0)</f>
        <v>0.65</v>
      </c>
      <c r="AH299" s="153" t="n">
        <f aca="false">IFERROR(INDEX(APOIO_REDES!$A:$W,MATCH($C299&amp;$I299&amp;$H299&amp;$N299&amp;$O299,APOIO_REDES!$W:$W,0),MATCH(AH$5,APOIO_REDES!$5:$5,0)),0)</f>
        <v>0.1</v>
      </c>
      <c r="AI299" s="153" t="n">
        <f aca="false">IFERROR(IF($H299&lt;&gt;"",(((($H299/1000)/2)^2)*PI()*$M299),0),0)</f>
        <v>0.139185003114918</v>
      </c>
      <c r="AJ299" s="153" t="n">
        <f aca="false">IFERROR(IF(AND($H299&lt;&gt;"",$I299="FoFo",OR($N299="MND",$N299="VCA"),$Q299="LINEAR"),0,IF(AND($H299&lt;&gt;"",$I299="PEAD",$N299="VCA",$Q299="LINEAR"),($H299/1000)+0.3,IF(AND($H299&lt;&gt;"",$I299="PEAD",$N299="MND",$Q299="EMBOQUE"),0,IF(AND($H299&lt;&gt;"",$I299="PVC",$N299="VCA",$Q299="LINEAR"),($H299/1000)+0.2,IF(AND($H299&lt;&gt;"",$I299="PVC",$N299="MND",$Q299="EMBOQUE"),0,IF(AND($H299&lt;&gt;"",$I299="PEAD",$N299="VCA",$Q299="PREDIAL"),0,0)))))),0)</f>
        <v>0.363</v>
      </c>
      <c r="AK299" s="153" t="n">
        <f aca="false">IF(AA299&lt;&gt;"",AA299,0)</f>
        <v>3.1</v>
      </c>
      <c r="AL299" s="153" t="n">
        <f aca="false">IF(AND($N299="MND",$Q299="EMBOQUE"),$M299,IF(AND($N299="VCA",$Q299="LINEAR"),$M299,IF(AND($N299="VCA",$Q299="PREDIAL"),0,0)))</f>
        <v>44.65</v>
      </c>
      <c r="AM299" s="153" t="n">
        <f aca="false">IF(AND($N299="MND",$Q299="EMBOQUE"),$M299,IF(AND($N299="VCA",$Q299="LINEAR"),$M299,IF(AND($N299="VCA",$Q299="PREDIAL"),0,0)))</f>
        <v>44.65</v>
      </c>
      <c r="AN299" s="153" t="n">
        <f aca="false">ROUND(IF(AND($N299="VCA",$M299&lt;&gt;"",$Q299="LINEAR"),$M299/100,IF(AND($N299="MND",$M299&gt;100,$Q299="EMBOQUE"),$M299/100,0)),0)</f>
        <v>0</v>
      </c>
      <c r="AO299" s="153" t="n">
        <f aca="false">IF(AND($N299="MND",$Q299="EMBOQUE"),$AN299*2*2,IF(AND($N299="VCA",$Q299="LINEAR"),$M299*2,IF(AND($N299="VCA",$Q299="PREDIAL"),0,0)))</f>
        <v>89.3</v>
      </c>
      <c r="AP299" s="153" t="n">
        <f aca="false">IFERROR($M299*$AF299*$AG299,0)</f>
        <v>39.5576675</v>
      </c>
      <c r="AQ299" s="153" t="n">
        <f aca="false">IFERROR(IF(AND($N299="VCA",$AH299&gt;0),$M299*$AG299*$AH299,0),0)</f>
        <v>2.90225</v>
      </c>
      <c r="AR299" s="153" t="n">
        <f aca="false">IFERROR(IF(AND($N299="VCA",$AJ299&gt;0),($M299*$AG299*$AJ299)-$AI299,0),0)</f>
        <v>10.3959824968851</v>
      </c>
      <c r="AS299" s="153" t="n">
        <f aca="false">IFERROR(IF(AND($N299="VCA",$AP299&gt;0),$AP299-$AI299-$AQ299-$AR299,0),0)</f>
        <v>26.12025</v>
      </c>
      <c r="AT299" s="153" t="n">
        <f aca="false">IFERROR(IF($N299="VCA",INDEX(APOIO_REDES!$A:$W,MATCH($C299&amp;$I299&amp;$H299&amp;$N299&amp;$O299,APOIO_REDES!$W:$W,0),MATCH(AT$5,APOIO_REDES!$5:$5,0)),0)*$AP299,0)</f>
        <v>0.430399130871922</v>
      </c>
      <c r="AU299" s="153" t="n">
        <f aca="false">IFERROR(IF($N299="VCA",INDEX(APOIO_REDES!$A:$W,MATCH($C299&amp;$I299&amp;$H299&amp;$N299&amp;$O299,APOIO_REDES!$W:$W,0),MATCH(AU$5,APOIO_REDES!$5:$5,0)),0)*$AP299,0)</f>
        <v>0.343705089227546</v>
      </c>
      <c r="AV299" s="153" t="n">
        <f aca="false">IFERROR(IF($N299="VCA",INDEX(APOIO_REDES!$A:$W,MATCH($C299&amp;$I299&amp;$H299&amp;$N299&amp;$O299,APOIO_REDES!$W:$W,0),MATCH(AV$5,APOIO_REDES!$5:$5,0)),0)*$AP299,0)</f>
        <v>0.0475660861583511</v>
      </c>
      <c r="AW299" s="153" t="n">
        <f aca="false">IFERROR(IF($N299="VCA",INDEX(APOIO_REDES!$A:$W,MATCH($C299&amp;$I299&amp;$H299&amp;$N299&amp;$O299,APOIO_REDES!$W:$W,0),MATCH(AW$5,APOIO_REDES!$5:$5,0)),0)*$AP299,0)</f>
        <v>27.1526894797646</v>
      </c>
      <c r="AX299" s="153" t="n">
        <f aca="false">IFERROR(IF($N299="VCA",INDEX(APOIO_REDES!$A:$W,MATCH($C299&amp;$I299&amp;$H299&amp;$N299&amp;$O299,APOIO_REDES!$W:$W,0),MATCH(AX$5,APOIO_REDES!$5:$5,0)),0)*$AP299,0)</f>
        <v>3.75785487809937</v>
      </c>
      <c r="AY299" s="153" t="n">
        <f aca="false">IFERROR(IF($N299="VCA",INDEX(APOIO_REDES!$A:$W,MATCH($C299&amp;$I299&amp;$H299&amp;$N299&amp;$O299,APOIO_REDES!$W:$W,0),MATCH(AY$5,APOIO_REDES!$5:$5,0)),0)*$AP299,0)</f>
        <v>6.87409759481375</v>
      </c>
      <c r="AZ299" s="153" t="n">
        <f aca="false">IFERROR(IF($N299="VCA",INDEX(APOIO_REDES!$A:$W,MATCH($C299&amp;$I299&amp;$H299&amp;$N299&amp;$O299,APOIO_REDES!$W:$W,0),MATCH(AZ$5,APOIO_REDES!$5:$5,0)),0)*$AP299,0)</f>
        <v>0.95135524106443</v>
      </c>
      <c r="BA299" s="153" t="n">
        <f aca="false">IFERROR(IF(AND($N299="VCA",$Q299="LINEAR"),INDEX(APOIO_REDES!$A:$W,MATCH($C299&amp;$I299&amp;$H299&amp;$N299&amp;$O299,APOIO_REDES!$W:$W,0),MATCH(BA$5,APOIO_REDES!$5:$5,0)),IF(AND($N299="MND",$Q299="EMBOQUE"),INDEX(APOIO_REDES!$A:$W,MATCH($C299&amp;$I299&amp;$H299&amp;$N299&amp;$O299,APOIO_REDES!$W:$W,0),MATCH(BA$5,APOIO_REDES!$5:$5,0)),0))*$M299/10,0)</f>
        <v>3.59867737393719</v>
      </c>
      <c r="BB299" s="153" t="n">
        <f aca="false">IFERROR(IF($N299="VCA",INDEX(APOIO_REDES!$A:$W,MATCH($C299&amp;$I299&amp;$H299&amp;$N299&amp;$O299,APOIO_REDES!$W:$W,0),MATCH(BB$5,APOIO_REDES!$5:$5,0)),0)*($AI299+$AQ299+$AR299),0)</f>
        <v>13.2912144203274</v>
      </c>
      <c r="BC299" s="153" t="n">
        <f aca="false">IFERROR(IF($N299="VCA",INDEX(APOIO_REDES!$A:$W,MATCH($C299&amp;$I299&amp;$H299&amp;$N299&amp;$O299,APOIO_REDES!$W:$W,0),MATCH(BC$5,APOIO_REDES!$5:$5,0)),0)*($AI299+$AQ299+$AR299),0)</f>
        <v>0.146203079672561</v>
      </c>
      <c r="BD299" s="153" t="n">
        <f aca="false">IF(AND($N299="VCA",$AF299&gt;=1.25,$AF299&lt;1.5),$M299*$AF299*2,0)</f>
        <v>121.7159</v>
      </c>
      <c r="BE299" s="153" t="n">
        <f aca="false">IF(AND($N299="VCA",$AF299&gt;=1.5,$AF299&lt;3),$M299*$AF299*2,0)</f>
        <v>0</v>
      </c>
      <c r="BF299" s="153" t="n">
        <f aca="false">IF(AND($N299="VCA",$AF299&gt;=3),$M299*$AF299*2,0)</f>
        <v>0</v>
      </c>
      <c r="BG299" s="153" t="n">
        <f aca="false">($BB299+$BC299)*$AK299</f>
        <v>41.65599425</v>
      </c>
      <c r="BH299" s="153" t="n">
        <f aca="false">IF(AND($M299&lt;&gt;"",$N299="VCA",$Q299="LINEAR"),($M299*2)/100,IF(AND($M299&lt;&gt;"",$N299="MND",$Q299="EMBOQUE"),($AN299*2)/100,0))</f>
        <v>0.893</v>
      </c>
      <c r="BI299" s="153" t="n">
        <f aca="false">IF(AND($M299&lt;&gt;"",$N299="VCA",$Q299="LINEAR"),$M299,IF(AND($M299&lt;&gt;"",$N299="MND",$Q299="EMBOQUE"),$AN299*2,0))</f>
        <v>44.65</v>
      </c>
      <c r="BJ299" s="153" t="n">
        <f aca="false">IF(AND($M299&lt;&gt;"",$N299="VCA",$Q299="LINEAR"),($M299*6.8)/100,IF(AND($M299&lt;&gt;"",$N299="MND",$Q299="EMBOQUE"),($AN299*2*6.8)/100,0))</f>
        <v>3.0362</v>
      </c>
      <c r="BK299" s="153" t="n">
        <f aca="false">IF(AND($M299&lt;&gt;"",$N299="VCA",$Q299="LINEAR"),($M299*2.5)/50,IF(AND($M299&lt;&gt;"",$N299="MND",$Q299="EMBOQUE"),($AN299*2*2.5)/50,0))</f>
        <v>2.2325</v>
      </c>
      <c r="BL299" s="157" t="str">
        <f aca="false">K299&amp;J299</f>
        <v>Zona03REDES</v>
      </c>
      <c r="BM299" s="152" t="s">
        <v>2526</v>
      </c>
      <c r="BN299" s="152" t="s">
        <v>1560</v>
      </c>
      <c r="BO299" s="152" t="s">
        <v>2645</v>
      </c>
      <c r="BP299" s="152" t="s">
        <v>2657</v>
      </c>
      <c r="BQ299" s="152" t="s">
        <v>2668</v>
      </c>
      <c r="BR299" s="152" t="s">
        <v>2669</v>
      </c>
      <c r="BS299" s="152" t="n">
        <v>203924.687</v>
      </c>
      <c r="BT299" s="152" t="n">
        <v>8238163.837</v>
      </c>
      <c r="BU299" s="152" t="n">
        <v>203891.308</v>
      </c>
      <c r="BV299" s="152" t="n">
        <v>8238134.183</v>
      </c>
      <c r="BW299" s="152" t="n">
        <v>-15.9182272</v>
      </c>
      <c r="BX299" s="152" t="n">
        <v>-47.7653918</v>
      </c>
      <c r="BY299" s="152" t="s">
        <v>2657</v>
      </c>
    </row>
    <row r="300" customFormat="false" ht="13.8" hidden="false" customHeight="false" outlineLevel="0" collapsed="false">
      <c r="A300" s="149" t="n">
        <f aca="false">IF(C300&lt;&gt;"",ROW(A295),"")</f>
        <v>295</v>
      </c>
      <c r="B300" s="150" t="str">
        <f aca="false">HYPERLINK("https://www.google.com/maps/dir/-15.917302,-47.760003/-15.9180951,-47.7652344/data=!4m3!4m2!3e0!5i1")</f>
        <v>https://www.google.com/maps/dir/-15.917302,-47.760003/-15.9180951,-47.7652344/data=!4m3!4m2!3e0!5i1</v>
      </c>
      <c r="C300" s="151" t="s">
        <v>117</v>
      </c>
      <c r="D300" s="152" t="s">
        <v>112</v>
      </c>
      <c r="E300" s="152" t="s">
        <v>113</v>
      </c>
      <c r="F300" s="152" t="s">
        <v>117</v>
      </c>
      <c r="G300" s="152" t="s">
        <v>782</v>
      </c>
      <c r="H300" s="152" t="n">
        <v>63</v>
      </c>
      <c r="I300" s="152" t="s">
        <v>115</v>
      </c>
      <c r="J300" s="152" t="s">
        <v>6</v>
      </c>
      <c r="K300" s="152" t="s">
        <v>2522</v>
      </c>
      <c r="L300" s="152" t="s">
        <v>120</v>
      </c>
      <c r="M300" s="153" t="n">
        <f aca="false">37.69</f>
        <v>37.69</v>
      </c>
      <c r="N300" s="152" t="s">
        <v>1548</v>
      </c>
      <c r="O300" s="152" t="s">
        <v>1549</v>
      </c>
      <c r="P300" s="152" t="s">
        <v>1550</v>
      </c>
      <c r="Q300" s="152" t="s">
        <v>1551</v>
      </c>
      <c r="R300" s="154" t="s">
        <v>2670</v>
      </c>
      <c r="S300" s="154" t="s">
        <v>1553</v>
      </c>
      <c r="T300" s="155" t="s">
        <v>2643</v>
      </c>
      <c r="U300" s="152" t="str">
        <f aca="false">RIGHT(T300,7)</f>
        <v>007/037</v>
      </c>
      <c r="V300" s="152" t="s">
        <v>1555</v>
      </c>
      <c r="W300" s="156" t="n">
        <v>45882</v>
      </c>
      <c r="X300" s="152" t="s">
        <v>1594</v>
      </c>
      <c r="Y300" s="152" t="s">
        <v>2524</v>
      </c>
      <c r="Z300" s="152" t="s">
        <v>1557</v>
      </c>
      <c r="AA300" s="153" t="n">
        <v>3.1</v>
      </c>
      <c r="AB300" s="151" t="s">
        <v>2671</v>
      </c>
      <c r="AC300" s="151" t="s">
        <v>186</v>
      </c>
      <c r="AD300" s="151" t="str">
        <f aca="false">CONCATENATE($C300,$I300,$H300,$N300,$J300,$K300)</f>
        <v>TUBO PEADPEAD63VCAREDESZona03</v>
      </c>
      <c r="AE300" s="153" t="n">
        <f aca="false">IFERROR(INDEX(APOIO_REDES!$A:$W,MATCH($C300&amp;$I300&amp;$H300&amp;$N300&amp;$O300,APOIO_REDES!$W:$W,0),MATCH(AE$5,APOIO_REDES!$5:$5,0)),0)</f>
        <v>1.2</v>
      </c>
      <c r="AF300" s="153" t="n">
        <f aca="false">IFERROR(INDEX(APOIO_REDES!$A:$W,MATCH($C300&amp;$I300&amp;$H300&amp;$N300&amp;$O300,APOIO_REDES!$W:$W,0),MATCH(AF$5,APOIO_REDES!$5:$5,0)),0)</f>
        <v>1.363</v>
      </c>
      <c r="AG300" s="153" t="n">
        <f aca="false">IFERROR(INDEX(APOIO_REDES!$A:$W,MATCH($C300&amp;$I300&amp;$H300&amp;$N300&amp;$O300,APOIO_REDES!$W:$W,0),MATCH(AG$5,APOIO_REDES!$5:$5,0)),0)</f>
        <v>0.65</v>
      </c>
      <c r="AH300" s="153" t="n">
        <f aca="false">IFERROR(INDEX(APOIO_REDES!$A:$W,MATCH($C300&amp;$I300&amp;$H300&amp;$N300&amp;$O300,APOIO_REDES!$W:$W,0),MATCH(AH$5,APOIO_REDES!$5:$5,0)),0)</f>
        <v>0.1</v>
      </c>
      <c r="AI300" s="153" t="n">
        <f aca="false">IFERROR(IF($H300&lt;&gt;"",(((($H300/1000)/2)^2)*PI()*$M300),0),0)</f>
        <v>0.117488975753667</v>
      </c>
      <c r="AJ300" s="153" t="n">
        <f aca="false">IFERROR(IF(AND($H300&lt;&gt;"",$I300="FoFo",OR($N300="MND",$N300="VCA"),$Q300="LINEAR"),0,IF(AND($H300&lt;&gt;"",$I300="PEAD",$N300="VCA",$Q300="LINEAR"),($H300/1000)+0.3,IF(AND($H300&lt;&gt;"",$I300="PEAD",$N300="MND",$Q300="EMBOQUE"),0,IF(AND($H300&lt;&gt;"",$I300="PVC",$N300="VCA",$Q300="LINEAR"),($H300/1000)+0.2,IF(AND($H300&lt;&gt;"",$I300="PVC",$N300="MND",$Q300="EMBOQUE"),0,IF(AND($H300&lt;&gt;"",$I300="PEAD",$N300="VCA",$Q300="PREDIAL"),0,0)))))),0)</f>
        <v>0.363</v>
      </c>
      <c r="AK300" s="153" t="n">
        <f aca="false">IF(AA300&lt;&gt;"",AA300,0)</f>
        <v>3.1</v>
      </c>
      <c r="AL300" s="153" t="n">
        <f aca="false">IF(AND($N300="MND",$Q300="EMBOQUE"),$M300,IF(AND($N300="VCA",$Q300="LINEAR"),$M300,IF(AND($N300="VCA",$Q300="PREDIAL"),0,0)))</f>
        <v>37.69</v>
      </c>
      <c r="AM300" s="153" t="n">
        <f aca="false">IF(AND($N300="MND",$Q300="EMBOQUE"),$M300,IF(AND($N300="VCA",$Q300="LINEAR"),$M300,IF(AND($N300="VCA",$Q300="PREDIAL"),0,0)))</f>
        <v>37.69</v>
      </c>
      <c r="AN300" s="153" t="n">
        <f aca="false">ROUND(IF(AND($N300="VCA",$M300&lt;&gt;"",$Q300="LINEAR"),$M300/100,IF(AND($N300="MND",$M300&gt;100,$Q300="EMBOQUE"),$M300/100,0)),0)</f>
        <v>0</v>
      </c>
      <c r="AO300" s="153" t="n">
        <f aca="false">IF(AND($N300="MND",$Q300="EMBOQUE"),$AN300*2*2,IF(AND($N300="VCA",$Q300="LINEAR"),$M300*2,IF(AND($N300="VCA",$Q300="PREDIAL"),0,0)))</f>
        <v>75.38</v>
      </c>
      <c r="AP300" s="153" t="n">
        <f aca="false">IFERROR($M300*$AF300*$AG300,0)</f>
        <v>33.3914555</v>
      </c>
      <c r="AQ300" s="153" t="n">
        <f aca="false">IFERROR(IF(AND($N300="VCA",$AH300&gt;0),$M300*$AG300*$AH300,0),0)</f>
        <v>2.44985</v>
      </c>
      <c r="AR300" s="153" t="n">
        <f aca="false">IFERROR(IF(AND($N300="VCA",$AJ300&gt;0),($M300*$AG300*$AJ300)-$AI300,0),0)</f>
        <v>8.77546652424633</v>
      </c>
      <c r="AS300" s="153" t="n">
        <f aca="false">IFERROR(IF(AND($N300="VCA",$AP300&gt;0),$AP300-$AI300-$AQ300-$AR300,0),0)</f>
        <v>22.04865</v>
      </c>
      <c r="AT300" s="153" t="n">
        <f aca="false">IFERROR(IF($N300="VCA",INDEX(APOIO_REDES!$A:$W,MATCH($C300&amp;$I300&amp;$H300&amp;$N300&amp;$O300,APOIO_REDES!$W:$W,0),MATCH(AT$5,APOIO_REDES!$5:$5,0)),0)*$AP300,0)</f>
        <v>0.363308919206333</v>
      </c>
      <c r="AU300" s="153" t="n">
        <f aca="false">IFERROR(IF($N300="VCA",INDEX(APOIO_REDES!$A:$W,MATCH($C300&amp;$I300&amp;$H300&amp;$N300&amp;$O300,APOIO_REDES!$W:$W,0),MATCH(AU$5,APOIO_REDES!$5:$5,0)),0)*$AP300,0)</f>
        <v>0.290128663224775</v>
      </c>
      <c r="AV300" s="153" t="n">
        <f aca="false">IFERROR(IF($N300="VCA",INDEX(APOIO_REDES!$A:$W,MATCH($C300&amp;$I300&amp;$H300&amp;$N300&amp;$O300,APOIO_REDES!$W:$W,0),MATCH(AV$5,APOIO_REDES!$5:$5,0)),0)*$AP300,0)</f>
        <v>0.0401515293910023</v>
      </c>
      <c r="AW300" s="153" t="n">
        <f aca="false">IFERROR(IF($N300="VCA",INDEX(APOIO_REDES!$A:$W,MATCH($C300&amp;$I300&amp;$H300&amp;$N300&amp;$O300,APOIO_REDES!$W:$W,0),MATCH(AW$5,APOIO_REDES!$5:$5,0)),0)*$AP300,0)</f>
        <v>22.9201537848226</v>
      </c>
      <c r="AX300" s="153" t="n">
        <f aca="false">IFERROR(IF($N300="VCA",INDEX(APOIO_REDES!$A:$W,MATCH($C300&amp;$I300&amp;$H300&amp;$N300&amp;$O300,APOIO_REDES!$W:$W,0),MATCH(AX$5,APOIO_REDES!$5:$5,0)),0)*$AP300,0)</f>
        <v>3.17208399452554</v>
      </c>
      <c r="AY300" s="153" t="n">
        <f aca="false">IFERROR(IF($N300="VCA",INDEX(APOIO_REDES!$A:$W,MATCH($C300&amp;$I300&amp;$H300&amp;$N300&amp;$O300,APOIO_REDES!$W:$W,0),MATCH(AY$5,APOIO_REDES!$5:$5,0)),0)*$AP300,0)</f>
        <v>5.80256972785062</v>
      </c>
      <c r="AZ300" s="153" t="n">
        <f aca="false">IFERROR(IF($N300="VCA",INDEX(APOIO_REDES!$A:$W,MATCH($C300&amp;$I300&amp;$H300&amp;$N300&amp;$O300,APOIO_REDES!$W:$W,0),MATCH(AZ$5,APOIO_REDES!$5:$5,0)),0)*$AP300,0)</f>
        <v>0.803058880979135</v>
      </c>
      <c r="BA300" s="153" t="n">
        <f aca="false">IFERROR(IF(AND($N300="VCA",$Q300="LINEAR"),INDEX(APOIO_REDES!$A:$W,MATCH($C300&amp;$I300&amp;$H300&amp;$N300&amp;$O300,APOIO_REDES!$W:$W,0),MATCH(BA$5,APOIO_REDES!$5:$5,0)),IF(AND($N300="MND",$Q300="EMBOQUE"),INDEX(APOIO_REDES!$A:$W,MATCH($C300&amp;$I300&amp;$H300&amp;$N300&amp;$O300,APOIO_REDES!$W:$W,0),MATCH(BA$5,APOIO_REDES!$5:$5,0)),0))*$M300/10,0)</f>
        <v>3.03771892998192</v>
      </c>
      <c r="BB300" s="153" t="n">
        <f aca="false">IFERROR(IF($N300="VCA",INDEX(APOIO_REDES!$A:$W,MATCH($C300&amp;$I300&amp;$H300&amp;$N300&amp;$O300,APOIO_REDES!$W:$W,0),MATCH(BB$5,APOIO_REDES!$5:$5,0)),0)*($AI300+$AQ300+$AR300),0)</f>
        <v>11.2193924188609</v>
      </c>
      <c r="BC300" s="153" t="n">
        <f aca="false">IFERROR(IF($N300="VCA",INDEX(APOIO_REDES!$A:$W,MATCH($C300&amp;$I300&amp;$H300&amp;$N300&amp;$O300,APOIO_REDES!$W:$W,0),MATCH(BC$5,APOIO_REDES!$5:$5,0)),0)*($AI300+$AQ300+$AR300),0)</f>
        <v>0.123413081139055</v>
      </c>
      <c r="BD300" s="153" t="n">
        <f aca="false">IF(AND($N300="VCA",$AF300&gt;=1.25,$AF300&lt;1.5),$M300*$AF300*2,0)</f>
        <v>102.74294</v>
      </c>
      <c r="BE300" s="153" t="n">
        <f aca="false">IF(AND($N300="VCA",$AF300&gt;=1.5,$AF300&lt;3),$M300*$AF300*2,0)</f>
        <v>0</v>
      </c>
      <c r="BF300" s="153" t="n">
        <f aca="false">IF(AND($N300="VCA",$AF300&gt;=3),$M300*$AF300*2,0)</f>
        <v>0</v>
      </c>
      <c r="BG300" s="153" t="n">
        <f aca="false">($BB300+$BC300)*$AK300</f>
        <v>35.16269705</v>
      </c>
      <c r="BH300" s="153" t="n">
        <f aca="false">IF(AND($M300&lt;&gt;"",$N300="VCA",$Q300="LINEAR"),($M300*2)/100,IF(AND($M300&lt;&gt;"",$N300="MND",$Q300="EMBOQUE"),($AN300*2)/100,0))</f>
        <v>0.7538</v>
      </c>
      <c r="BI300" s="153" t="n">
        <f aca="false">IF(AND($M300&lt;&gt;"",$N300="VCA",$Q300="LINEAR"),$M300,IF(AND($M300&lt;&gt;"",$N300="MND",$Q300="EMBOQUE"),$AN300*2,0))</f>
        <v>37.69</v>
      </c>
      <c r="BJ300" s="153" t="n">
        <f aca="false">IF(AND($M300&lt;&gt;"",$N300="VCA",$Q300="LINEAR"),($M300*6.8)/100,IF(AND($M300&lt;&gt;"",$N300="MND",$Q300="EMBOQUE"),($AN300*2*6.8)/100,0))</f>
        <v>2.56292</v>
      </c>
      <c r="BK300" s="153" t="n">
        <f aca="false">IF(AND($M300&lt;&gt;"",$N300="VCA",$Q300="LINEAR"),($M300*2.5)/50,IF(AND($M300&lt;&gt;"",$N300="MND",$Q300="EMBOQUE"),($AN300*2*2.5)/50,0))</f>
        <v>1.8845</v>
      </c>
      <c r="BL300" s="157" t="str">
        <f aca="false">K300&amp;J300</f>
        <v>Zona03REDES</v>
      </c>
      <c r="BM300" s="152" t="s">
        <v>2526</v>
      </c>
      <c r="BN300" s="152" t="s">
        <v>1560</v>
      </c>
      <c r="BO300" s="152" t="s">
        <v>2645</v>
      </c>
      <c r="BP300" s="152" t="s">
        <v>2657</v>
      </c>
      <c r="BQ300" s="152" t="s">
        <v>2672</v>
      </c>
      <c r="BR300" s="152" t="s">
        <v>2673</v>
      </c>
      <c r="BS300" s="152" t="n">
        <v>203924.687</v>
      </c>
      <c r="BT300" s="152" t="n">
        <v>8238163.837</v>
      </c>
      <c r="BU300" s="152" t="n">
        <v>203944.769</v>
      </c>
      <c r="BV300" s="152" t="n">
        <v>8238131.941</v>
      </c>
      <c r="BW300" s="152" t="n">
        <v>-15.9182403</v>
      </c>
      <c r="BX300" s="152" t="n">
        <v>-47.7651426</v>
      </c>
      <c r="BY300" s="152" t="s">
        <v>2657</v>
      </c>
    </row>
    <row r="301" customFormat="false" ht="13.8" hidden="false" customHeight="false" outlineLevel="0" collapsed="false">
      <c r="A301" s="149" t="n">
        <f aca="false">IF(C301&lt;&gt;"",ROW(A296),"")</f>
        <v>296</v>
      </c>
      <c r="B301" s="150" t="str">
        <f aca="false">HYPERLINK("https://www.google.com/maps/dir/-15.917302,-47.760003/-15.9182959,-47.7660311/data=!4m3!4m2!3e0!5i1")</f>
        <v>https://www.google.com/maps/dir/-15.917302,-47.760003/-15.9182959,-47.7660311/data=!4m3!4m2!3e0!5i1</v>
      </c>
      <c r="C301" s="151" t="s">
        <v>117</v>
      </c>
      <c r="D301" s="152" t="s">
        <v>112</v>
      </c>
      <c r="E301" s="152" t="s">
        <v>113</v>
      </c>
      <c r="F301" s="152" t="s">
        <v>117</v>
      </c>
      <c r="G301" s="152" t="s">
        <v>782</v>
      </c>
      <c r="H301" s="152" t="n">
        <v>63</v>
      </c>
      <c r="I301" s="152" t="s">
        <v>115</v>
      </c>
      <c r="J301" s="152" t="s">
        <v>6</v>
      </c>
      <c r="K301" s="152" t="s">
        <v>2522</v>
      </c>
      <c r="L301" s="152" t="s">
        <v>120</v>
      </c>
      <c r="M301" s="153" t="n">
        <f aca="false">15.75</f>
        <v>15.75</v>
      </c>
      <c r="N301" s="152" t="s">
        <v>1548</v>
      </c>
      <c r="O301" s="152" t="s">
        <v>1549</v>
      </c>
      <c r="P301" s="152" t="s">
        <v>1550</v>
      </c>
      <c r="Q301" s="152" t="s">
        <v>1551</v>
      </c>
      <c r="R301" s="154" t="s">
        <v>2674</v>
      </c>
      <c r="S301" s="154" t="s">
        <v>1553</v>
      </c>
      <c r="T301" s="155" t="s">
        <v>2643</v>
      </c>
      <c r="U301" s="152" t="str">
        <f aca="false">RIGHT(T301,7)</f>
        <v>007/037</v>
      </c>
      <c r="V301" s="152" t="s">
        <v>1555</v>
      </c>
      <c r="W301" s="156" t="n">
        <v>45882</v>
      </c>
      <c r="X301" s="152" t="s">
        <v>1594</v>
      </c>
      <c r="Y301" s="152" t="s">
        <v>2638</v>
      </c>
      <c r="Z301" s="152" t="s">
        <v>1557</v>
      </c>
      <c r="AA301" s="153" t="n">
        <v>3.1</v>
      </c>
      <c r="AB301" s="151" t="s">
        <v>2675</v>
      </c>
      <c r="AC301" s="151" t="s">
        <v>186</v>
      </c>
      <c r="AD301" s="151" t="str">
        <f aca="false">CONCATENATE($C301,$I301,$H301,$N301,$J301,$K301)</f>
        <v>TUBO PEADPEAD63VCAREDESZona03</v>
      </c>
      <c r="AE301" s="153" t="n">
        <f aca="false">IFERROR(INDEX(APOIO_REDES!$A:$W,MATCH($C301&amp;$I301&amp;$H301&amp;$N301&amp;$O301,APOIO_REDES!$W:$W,0),MATCH(AE$5,APOIO_REDES!$5:$5,0)),0)</f>
        <v>1.2</v>
      </c>
      <c r="AF301" s="153" t="n">
        <f aca="false">IFERROR(INDEX(APOIO_REDES!$A:$W,MATCH($C301&amp;$I301&amp;$H301&amp;$N301&amp;$O301,APOIO_REDES!$W:$W,0),MATCH(AF$5,APOIO_REDES!$5:$5,0)),0)</f>
        <v>1.363</v>
      </c>
      <c r="AG301" s="153" t="n">
        <f aca="false">IFERROR(INDEX(APOIO_REDES!$A:$W,MATCH($C301&amp;$I301&amp;$H301&amp;$N301&amp;$O301,APOIO_REDES!$W:$W,0),MATCH(AG$5,APOIO_REDES!$5:$5,0)),0)</f>
        <v>0.65</v>
      </c>
      <c r="AH301" s="153" t="n">
        <f aca="false">IFERROR(INDEX(APOIO_REDES!$A:$W,MATCH($C301&amp;$I301&amp;$H301&amp;$N301&amp;$O301,APOIO_REDES!$W:$W,0),MATCH(AH$5,APOIO_REDES!$5:$5,0)),0)</f>
        <v>0.1</v>
      </c>
      <c r="AI301" s="153" t="n">
        <f aca="false">IFERROR(IF($H301&lt;&gt;"",(((($H301/1000)/2)^2)*PI()*$M301),0),0)</f>
        <v>0.0490966136407604</v>
      </c>
      <c r="AJ301" s="153" t="n">
        <f aca="false">IFERROR(IF(AND($H301&lt;&gt;"",$I301="FoFo",OR($N301="MND",$N301="VCA"),$Q301="LINEAR"),0,IF(AND($H301&lt;&gt;"",$I301="PEAD",$N301="VCA",$Q301="LINEAR"),($H301/1000)+0.3,IF(AND($H301&lt;&gt;"",$I301="PEAD",$N301="MND",$Q301="EMBOQUE"),0,IF(AND($H301&lt;&gt;"",$I301="PVC",$N301="VCA",$Q301="LINEAR"),($H301/1000)+0.2,IF(AND($H301&lt;&gt;"",$I301="PVC",$N301="MND",$Q301="EMBOQUE"),0,IF(AND($H301&lt;&gt;"",$I301="PEAD",$N301="VCA",$Q301="PREDIAL"),0,0)))))),0)</f>
        <v>0.363</v>
      </c>
      <c r="AK301" s="153" t="n">
        <f aca="false">IF(AA301&lt;&gt;"",AA301,0)</f>
        <v>3.1</v>
      </c>
      <c r="AL301" s="153" t="n">
        <f aca="false">IF(AND($N301="MND",$Q301="EMBOQUE"),$M301,IF(AND($N301="VCA",$Q301="LINEAR"),$M301,IF(AND($N301="VCA",$Q301="PREDIAL"),0,0)))</f>
        <v>15.75</v>
      </c>
      <c r="AM301" s="153" t="n">
        <f aca="false">IF(AND($N301="MND",$Q301="EMBOQUE"),$M301,IF(AND($N301="VCA",$Q301="LINEAR"),$M301,IF(AND($N301="VCA",$Q301="PREDIAL"),0,0)))</f>
        <v>15.75</v>
      </c>
      <c r="AN301" s="153" t="n">
        <f aca="false">ROUND(IF(AND($N301="VCA",$M301&lt;&gt;"",$Q301="LINEAR"),$M301/100,IF(AND($N301="MND",$M301&gt;100,$Q301="EMBOQUE"),$M301/100,0)),0)</f>
        <v>0</v>
      </c>
      <c r="AO301" s="153" t="n">
        <f aca="false">IF(AND($N301="MND",$Q301="EMBOQUE"),$AN301*2*2,IF(AND($N301="VCA",$Q301="LINEAR"),$M301*2,IF(AND($N301="VCA",$Q301="PREDIAL"),0,0)))</f>
        <v>31.5</v>
      </c>
      <c r="AP301" s="153" t="n">
        <f aca="false">IFERROR($M301*$AF301*$AG301,0)</f>
        <v>13.9537125</v>
      </c>
      <c r="AQ301" s="153" t="n">
        <f aca="false">IFERROR(IF(AND($N301="VCA",$AH301&gt;0),$M301*$AG301*$AH301,0),0)</f>
        <v>1.02375</v>
      </c>
      <c r="AR301" s="153" t="n">
        <f aca="false">IFERROR(IF(AND($N301="VCA",$AJ301&gt;0),($M301*$AG301*$AJ301)-$AI301,0),0)</f>
        <v>3.66711588635924</v>
      </c>
      <c r="AS301" s="153" t="n">
        <f aca="false">IFERROR(IF(AND($N301="VCA",$AP301&gt;0),$AP301-$AI301-$AQ301-$AR301,0),0)</f>
        <v>9.21375</v>
      </c>
      <c r="AT301" s="153" t="n">
        <f aca="false">IFERROR(IF($N301="VCA",INDEX(APOIO_REDES!$A:$W,MATCH($C301&amp;$I301&amp;$H301&amp;$N301&amp;$O301,APOIO_REDES!$W:$W,0),MATCH(AT$5,APOIO_REDES!$5:$5,0)),0)*$AP301,0)</f>
        <v>0.15182052208808</v>
      </c>
      <c r="AU301" s="153" t="n">
        <f aca="false">IFERROR(IF($N301="VCA",INDEX(APOIO_REDES!$A:$W,MATCH($C301&amp;$I301&amp;$H301&amp;$N301&amp;$O301,APOIO_REDES!$W:$W,0),MATCH(AU$5,APOIO_REDES!$5:$5,0)),0)*$AP301,0)</f>
        <v>0.121239757118339</v>
      </c>
      <c r="AV301" s="153" t="n">
        <f aca="false">IFERROR(IF($N301="VCA",INDEX(APOIO_REDES!$A:$W,MATCH($C301&amp;$I301&amp;$H301&amp;$N301&amp;$O301,APOIO_REDES!$W:$W,0),MATCH(AV$5,APOIO_REDES!$5:$5,0)),0)*$AP301,0)</f>
        <v>0.0167786306157678</v>
      </c>
      <c r="AW301" s="153" t="n">
        <f aca="false">IFERROR(IF($N301="VCA",INDEX(APOIO_REDES!$A:$W,MATCH($C301&amp;$I301&amp;$H301&amp;$N301&amp;$O301,APOIO_REDES!$W:$W,0),MATCH(AW$5,APOIO_REDES!$5:$5,0)),0)*$AP301,0)</f>
        <v>9.57793637864038</v>
      </c>
      <c r="AX301" s="153" t="n">
        <f aca="false">IFERROR(IF($N301="VCA",INDEX(APOIO_REDES!$A:$W,MATCH($C301&amp;$I301&amp;$H301&amp;$N301&amp;$O301,APOIO_REDES!$W:$W,0),MATCH(AX$5,APOIO_REDES!$5:$5,0)),0)*$AP301,0)</f>
        <v>1.32555911153561</v>
      </c>
      <c r="AY301" s="153" t="n">
        <f aca="false">IFERROR(IF($N301="VCA",INDEX(APOIO_REDES!$A:$W,MATCH($C301&amp;$I301&amp;$H301&amp;$N301&amp;$O301,APOIO_REDES!$W:$W,0),MATCH(AY$5,APOIO_REDES!$5:$5,0)),0)*$AP301,0)</f>
        <v>2.42479366446398</v>
      </c>
      <c r="AZ301" s="153" t="n">
        <f aca="false">IFERROR(IF($N301="VCA",INDEX(APOIO_REDES!$A:$W,MATCH($C301&amp;$I301&amp;$H301&amp;$N301&amp;$O301,APOIO_REDES!$W:$W,0),MATCH(AZ$5,APOIO_REDES!$5:$5,0)),0)*$AP301,0)</f>
        <v>0.335584435537845</v>
      </c>
      <c r="BA301" s="153" t="n">
        <f aca="false">IFERROR(IF(AND($N301="VCA",$Q301="LINEAR"),INDEX(APOIO_REDES!$A:$W,MATCH($C301&amp;$I301&amp;$H301&amp;$N301&amp;$O301,APOIO_REDES!$W:$W,0),MATCH(BA$5,APOIO_REDES!$5:$5,0)),IF(AND($N301="MND",$Q301="EMBOQUE"),INDEX(APOIO_REDES!$A:$W,MATCH($C301&amp;$I301&amp;$H301&amp;$N301&amp;$O301,APOIO_REDES!$W:$W,0),MATCH(BA$5,APOIO_REDES!$5:$5,0)),0))*$M301/10,0)</f>
        <v>1.26941027188154</v>
      </c>
      <c r="BB301" s="153" t="n">
        <f aca="false">IFERROR(IF($N301="VCA",INDEX(APOIO_REDES!$A:$W,MATCH($C301&amp;$I301&amp;$H301&amp;$N301&amp;$O301,APOIO_REDES!$W:$W,0),MATCH(BB$5,APOIO_REDES!$5:$5,0)),0)*($AI301+$AQ301+$AR301),0)</f>
        <v>4.68839030504272</v>
      </c>
      <c r="BC301" s="153" t="n">
        <f aca="false">IFERROR(IF($N301="VCA",INDEX(APOIO_REDES!$A:$W,MATCH($C301&amp;$I301&amp;$H301&amp;$N301&amp;$O301,APOIO_REDES!$W:$W,0),MATCH(BC$5,APOIO_REDES!$5:$5,0)),0)*($AI301+$AQ301+$AR301),0)</f>
        <v>0.0515721949572862</v>
      </c>
      <c r="BD301" s="153" t="n">
        <f aca="false">IF(AND($N301="VCA",$AF301&gt;=1.25,$AF301&lt;1.5),$M301*$AF301*2,0)</f>
        <v>42.9345</v>
      </c>
      <c r="BE301" s="153" t="n">
        <f aca="false">IF(AND($N301="VCA",$AF301&gt;=1.5,$AF301&lt;3),$M301*$AF301*2,0)</f>
        <v>0</v>
      </c>
      <c r="BF301" s="153" t="n">
        <f aca="false">IF(AND($N301="VCA",$AF301&gt;=3),$M301*$AF301*2,0)</f>
        <v>0</v>
      </c>
      <c r="BG301" s="153" t="n">
        <f aca="false">($BB301+$BC301)*$AK301</f>
        <v>14.69388375</v>
      </c>
      <c r="BH301" s="153" t="n">
        <f aca="false">IF(AND($M301&lt;&gt;"",$N301="VCA",$Q301="LINEAR"),($M301*2)/100,IF(AND($M301&lt;&gt;"",$N301="MND",$Q301="EMBOQUE"),($AN301*2)/100,0))</f>
        <v>0.315</v>
      </c>
      <c r="BI301" s="153" t="n">
        <f aca="false">IF(AND($M301&lt;&gt;"",$N301="VCA",$Q301="LINEAR"),$M301,IF(AND($M301&lt;&gt;"",$N301="MND",$Q301="EMBOQUE"),$AN301*2,0))</f>
        <v>15.75</v>
      </c>
      <c r="BJ301" s="153" t="n">
        <f aca="false">IF(AND($M301&lt;&gt;"",$N301="VCA",$Q301="LINEAR"),($M301*6.8)/100,IF(AND($M301&lt;&gt;"",$N301="MND",$Q301="EMBOQUE"),($AN301*2*6.8)/100,0))</f>
        <v>1.071</v>
      </c>
      <c r="BK301" s="153" t="n">
        <f aca="false">IF(AND($M301&lt;&gt;"",$N301="VCA",$Q301="LINEAR"),($M301*2.5)/50,IF(AND($M301&lt;&gt;"",$N301="MND",$Q301="EMBOQUE"),($AN301*2*2.5)/50,0))</f>
        <v>0.7875</v>
      </c>
      <c r="BL301" s="157" t="str">
        <f aca="false">K301&amp;J301</f>
        <v>Zona03REDES</v>
      </c>
      <c r="BM301" s="152" t="s">
        <v>2526</v>
      </c>
      <c r="BN301" s="152" t="s">
        <v>1560</v>
      </c>
      <c r="BO301" s="152" t="s">
        <v>2645</v>
      </c>
      <c r="BP301" s="152" t="s">
        <v>2661</v>
      </c>
      <c r="BQ301" s="152" t="s">
        <v>2676</v>
      </c>
      <c r="BR301" s="152" t="s">
        <v>2677</v>
      </c>
      <c r="BS301" s="152" t="n">
        <v>203839.622</v>
      </c>
      <c r="BT301" s="152" t="n">
        <v>8238140.477</v>
      </c>
      <c r="BU301" s="152" t="n">
        <v>203848.688</v>
      </c>
      <c r="BV301" s="152" t="n">
        <v>8238127.594</v>
      </c>
      <c r="BW301" s="152" t="n">
        <v>-15.9183548</v>
      </c>
      <c r="BX301" s="152" t="n">
        <v>-47.7659899</v>
      </c>
      <c r="BY301" s="152" t="s">
        <v>2661</v>
      </c>
    </row>
    <row r="302" customFormat="false" ht="13.8" hidden="false" customHeight="false" outlineLevel="0" collapsed="false">
      <c r="A302" s="149" t="n">
        <f aca="false">IF(C302&lt;&gt;"",ROW(A297),"")</f>
        <v>297</v>
      </c>
      <c r="B302" s="150" t="str">
        <f aca="false">HYPERLINK("https://www.google.com/maps/dir/-15.917302,-47.760003/-15.9183589,-47.7655495/data=!4m3!4m2!3e0!5i1")</f>
        <v>https://www.google.com/maps/dir/-15.917302,-47.760003/-15.9183589,-47.7655495/data=!4m3!4m2!3e0!5i1</v>
      </c>
      <c r="C302" s="151" t="s">
        <v>117</v>
      </c>
      <c r="D302" s="152" t="s">
        <v>112</v>
      </c>
      <c r="E302" s="152" t="s">
        <v>113</v>
      </c>
      <c r="F302" s="152" t="s">
        <v>117</v>
      </c>
      <c r="G302" s="152" t="s">
        <v>782</v>
      </c>
      <c r="H302" s="152" t="n">
        <v>63</v>
      </c>
      <c r="I302" s="152" t="s">
        <v>115</v>
      </c>
      <c r="J302" s="152" t="s">
        <v>6</v>
      </c>
      <c r="K302" s="152" t="s">
        <v>2522</v>
      </c>
      <c r="L302" s="152" t="s">
        <v>120</v>
      </c>
      <c r="M302" s="153" t="n">
        <f aca="false">11.74</f>
        <v>11.74</v>
      </c>
      <c r="N302" s="152" t="s">
        <v>1548</v>
      </c>
      <c r="O302" s="152" t="s">
        <v>1549</v>
      </c>
      <c r="P302" s="152" t="s">
        <v>1550</v>
      </c>
      <c r="Q302" s="152" t="s">
        <v>1551</v>
      </c>
      <c r="R302" s="154" t="s">
        <v>2678</v>
      </c>
      <c r="S302" s="154" t="s">
        <v>1553</v>
      </c>
      <c r="T302" s="155" t="s">
        <v>2643</v>
      </c>
      <c r="U302" s="152" t="str">
        <f aca="false">RIGHT(T302,7)</f>
        <v>007/037</v>
      </c>
      <c r="V302" s="152" t="s">
        <v>1555</v>
      </c>
      <c r="W302" s="156" t="n">
        <v>45882</v>
      </c>
      <c r="X302" s="152" t="s">
        <v>1594</v>
      </c>
      <c r="Y302" s="152" t="s">
        <v>2524</v>
      </c>
      <c r="Z302" s="152" t="s">
        <v>1557</v>
      </c>
      <c r="AA302" s="153" t="n">
        <v>3.1</v>
      </c>
      <c r="AB302" s="151" t="s">
        <v>2679</v>
      </c>
      <c r="AC302" s="151" t="s">
        <v>186</v>
      </c>
      <c r="AD302" s="151" t="str">
        <f aca="false">CONCATENATE($C302,$I302,$H302,$N302,$J302,$K302)</f>
        <v>TUBO PEADPEAD63VCAREDESZona03</v>
      </c>
      <c r="AE302" s="153" t="n">
        <f aca="false">IFERROR(INDEX(APOIO_REDES!$A:$W,MATCH($C302&amp;$I302&amp;$H302&amp;$N302&amp;$O302,APOIO_REDES!$W:$W,0),MATCH(AE$5,APOIO_REDES!$5:$5,0)),0)</f>
        <v>1.2</v>
      </c>
      <c r="AF302" s="153" t="n">
        <f aca="false">IFERROR(INDEX(APOIO_REDES!$A:$W,MATCH($C302&amp;$I302&amp;$H302&amp;$N302&amp;$O302,APOIO_REDES!$W:$W,0),MATCH(AF$5,APOIO_REDES!$5:$5,0)),0)</f>
        <v>1.363</v>
      </c>
      <c r="AG302" s="153" t="n">
        <f aca="false">IFERROR(INDEX(APOIO_REDES!$A:$W,MATCH($C302&amp;$I302&amp;$H302&amp;$N302&amp;$O302,APOIO_REDES!$W:$W,0),MATCH(AG$5,APOIO_REDES!$5:$5,0)),0)</f>
        <v>0.65</v>
      </c>
      <c r="AH302" s="153" t="n">
        <f aca="false">IFERROR(INDEX(APOIO_REDES!$A:$W,MATCH($C302&amp;$I302&amp;$H302&amp;$N302&amp;$O302,APOIO_REDES!$W:$W,0),MATCH(AH$5,APOIO_REDES!$5:$5,0)),0)</f>
        <v>0.1</v>
      </c>
      <c r="AI302" s="153" t="n">
        <f aca="false">IFERROR(IF($H302&lt;&gt;"",(((($H302/1000)/2)^2)*PI()*$M302),0),0)</f>
        <v>0.0365964599455573</v>
      </c>
      <c r="AJ302" s="153" t="n">
        <f aca="false">IFERROR(IF(AND($H302&lt;&gt;"",$I302="FoFo",OR($N302="MND",$N302="VCA"),$Q302="LINEAR"),0,IF(AND($H302&lt;&gt;"",$I302="PEAD",$N302="VCA",$Q302="LINEAR"),($H302/1000)+0.3,IF(AND($H302&lt;&gt;"",$I302="PEAD",$N302="MND",$Q302="EMBOQUE"),0,IF(AND($H302&lt;&gt;"",$I302="PVC",$N302="VCA",$Q302="LINEAR"),($H302/1000)+0.2,IF(AND($H302&lt;&gt;"",$I302="PVC",$N302="MND",$Q302="EMBOQUE"),0,IF(AND($H302&lt;&gt;"",$I302="PEAD",$N302="VCA",$Q302="PREDIAL"),0,0)))))),0)</f>
        <v>0.363</v>
      </c>
      <c r="AK302" s="153" t="n">
        <f aca="false">IF(AA302&lt;&gt;"",AA302,0)</f>
        <v>3.1</v>
      </c>
      <c r="AL302" s="153" t="n">
        <f aca="false">IF(AND($N302="MND",$Q302="EMBOQUE"),$M302,IF(AND($N302="VCA",$Q302="LINEAR"),$M302,IF(AND($N302="VCA",$Q302="PREDIAL"),0,0)))</f>
        <v>11.74</v>
      </c>
      <c r="AM302" s="153" t="n">
        <f aca="false">IF(AND($N302="MND",$Q302="EMBOQUE"),$M302,IF(AND($N302="VCA",$Q302="LINEAR"),$M302,IF(AND($N302="VCA",$Q302="PREDIAL"),0,0)))</f>
        <v>11.74</v>
      </c>
      <c r="AN302" s="153" t="n">
        <f aca="false">ROUND(IF(AND($N302="VCA",$M302&lt;&gt;"",$Q302="LINEAR"),$M302/100,IF(AND($N302="MND",$M302&gt;100,$Q302="EMBOQUE"),$M302/100,0)),0)</f>
        <v>0</v>
      </c>
      <c r="AO302" s="153" t="n">
        <f aca="false">IF(AND($N302="MND",$Q302="EMBOQUE"),$AN302*2*2,IF(AND($N302="VCA",$Q302="LINEAR"),$M302*2,IF(AND($N302="VCA",$Q302="PREDIAL"),0,0)))</f>
        <v>23.48</v>
      </c>
      <c r="AP302" s="153" t="n">
        <f aca="false">IFERROR($M302*$AF302*$AG302,0)</f>
        <v>10.401053</v>
      </c>
      <c r="AQ302" s="153" t="n">
        <f aca="false">IFERROR(IF(AND($N302="VCA",$AH302&gt;0),$M302*$AG302*$AH302,0),0)</f>
        <v>0.7631</v>
      </c>
      <c r="AR302" s="153" t="n">
        <f aca="false">IFERROR(IF(AND($N302="VCA",$AJ302&gt;0),($M302*$AG302*$AJ302)-$AI302,0),0)</f>
        <v>2.73345654005444</v>
      </c>
      <c r="AS302" s="153" t="n">
        <f aca="false">IFERROR(IF(AND($N302="VCA",$AP302&gt;0),$AP302-$AI302-$AQ302-$AR302,0),0)</f>
        <v>6.8679</v>
      </c>
      <c r="AT302" s="153" t="n">
        <f aca="false">IFERROR(IF($N302="VCA",INDEX(APOIO_REDES!$A:$W,MATCH($C302&amp;$I302&amp;$H302&amp;$N302&amp;$O302,APOIO_REDES!$W:$W,0),MATCH(AT$5,APOIO_REDES!$5:$5,0)),0)*$AP302,0)</f>
        <v>0.113166535194544</v>
      </c>
      <c r="AU302" s="153" t="n">
        <f aca="false">IFERROR(IF($N302="VCA",INDEX(APOIO_REDES!$A:$W,MATCH($C302&amp;$I302&amp;$H302&amp;$N302&amp;$O302,APOIO_REDES!$W:$W,0),MATCH(AU$5,APOIO_REDES!$5:$5,0)),0)*$AP302,0)</f>
        <v>0.0903717300678924</v>
      </c>
      <c r="AV302" s="153" t="n">
        <f aca="false">IFERROR(IF($N302="VCA",INDEX(APOIO_REDES!$A:$W,MATCH($C302&amp;$I302&amp;$H302&amp;$N302&amp;$O302,APOIO_REDES!$W:$W,0),MATCH(AV$5,APOIO_REDES!$5:$5,0)),0)*$AP302,0)</f>
        <v>0.0125067379954993</v>
      </c>
      <c r="AW302" s="153" t="n">
        <f aca="false">IFERROR(IF($N302="VCA",INDEX(APOIO_REDES!$A:$W,MATCH($C302&amp;$I302&amp;$H302&amp;$N302&amp;$O302,APOIO_REDES!$W:$W,0),MATCH(AW$5,APOIO_REDES!$5:$5,0)),0)*$AP302,0)</f>
        <v>7.13936337049131</v>
      </c>
      <c r="AX302" s="153" t="n">
        <f aca="false">IFERROR(IF($N302="VCA",INDEX(APOIO_REDES!$A:$W,MATCH($C302&amp;$I302&amp;$H302&amp;$N302&amp;$O302,APOIO_REDES!$W:$W,0),MATCH(AX$5,APOIO_REDES!$5:$5,0)),0)*$AP302,0)</f>
        <v>0.988067553614481</v>
      </c>
      <c r="AY302" s="153" t="n">
        <f aca="false">IFERROR(IF($N302="VCA",INDEX(APOIO_REDES!$A:$W,MATCH($C302&amp;$I302&amp;$H302&amp;$N302&amp;$O302,APOIO_REDES!$W:$W,0),MATCH(AY$5,APOIO_REDES!$5:$5,0)),0)*$AP302,0)</f>
        <v>1.80743349973378</v>
      </c>
      <c r="AZ302" s="153" t="n">
        <f aca="false">IFERROR(IF($N302="VCA",INDEX(APOIO_REDES!$A:$W,MATCH($C302&amp;$I302&amp;$H302&amp;$N302&amp;$O302,APOIO_REDES!$W:$W,0),MATCH(AZ$5,APOIO_REDES!$5:$5,0)),0)*$AP302,0)</f>
        <v>0.250143572902495</v>
      </c>
      <c r="BA302" s="153" t="n">
        <f aca="false">IFERROR(IF(AND($N302="VCA",$Q302="LINEAR"),INDEX(APOIO_REDES!$A:$W,MATCH($C302&amp;$I302&amp;$H302&amp;$N302&amp;$O302,APOIO_REDES!$W:$W,0),MATCH(BA$5,APOIO_REDES!$5:$5,0)),IF(AND($N302="MND",$Q302="EMBOQUE"),INDEX(APOIO_REDES!$A:$W,MATCH($C302&amp;$I302&amp;$H302&amp;$N302&amp;$O302,APOIO_REDES!$W:$W,0),MATCH(BA$5,APOIO_REDES!$5:$5,0)),0))*$M302/10,0)</f>
        <v>0.946214386786621</v>
      </c>
      <c r="BB302" s="153" t="n">
        <f aca="false">IFERROR(IF($N302="VCA",INDEX(APOIO_REDES!$A:$W,MATCH($C302&amp;$I302&amp;$H302&amp;$N302&amp;$O302,APOIO_REDES!$W:$W,0),MATCH(BB$5,APOIO_REDES!$5:$5,0)),0)*($AI302+$AQ302+$AR302),0)</f>
        <v>3.49471124960009</v>
      </c>
      <c r="BC302" s="153" t="n">
        <f aca="false">IFERROR(IF($N302="VCA",INDEX(APOIO_REDES!$A:$W,MATCH($C302&amp;$I302&amp;$H302&amp;$N302&amp;$O302,APOIO_REDES!$W:$W,0),MATCH(BC$5,APOIO_REDES!$5:$5,0)),0)*($AI302+$AQ302+$AR302),0)</f>
        <v>0.0384417503999073</v>
      </c>
      <c r="BD302" s="153" t="n">
        <f aca="false">IF(AND($N302="VCA",$AF302&gt;=1.25,$AF302&lt;1.5),$M302*$AF302*2,0)</f>
        <v>32.00324</v>
      </c>
      <c r="BE302" s="153" t="n">
        <f aca="false">IF(AND($N302="VCA",$AF302&gt;=1.5,$AF302&lt;3),$M302*$AF302*2,0)</f>
        <v>0</v>
      </c>
      <c r="BF302" s="153" t="n">
        <f aca="false">IF(AND($N302="VCA",$AF302&gt;=3),$M302*$AF302*2,0)</f>
        <v>0</v>
      </c>
      <c r="BG302" s="153" t="n">
        <f aca="false">($BB302+$BC302)*$AK302</f>
        <v>10.9527743</v>
      </c>
      <c r="BH302" s="153" t="n">
        <f aca="false">IF(AND($M302&lt;&gt;"",$N302="VCA",$Q302="LINEAR"),($M302*2)/100,IF(AND($M302&lt;&gt;"",$N302="MND",$Q302="EMBOQUE"),($AN302*2)/100,0))</f>
        <v>0.2348</v>
      </c>
      <c r="BI302" s="153" t="n">
        <f aca="false">IF(AND($M302&lt;&gt;"",$N302="VCA",$Q302="LINEAR"),$M302,IF(AND($M302&lt;&gt;"",$N302="MND",$Q302="EMBOQUE"),$AN302*2,0))</f>
        <v>11.74</v>
      </c>
      <c r="BJ302" s="153" t="n">
        <f aca="false">IF(AND($M302&lt;&gt;"",$N302="VCA",$Q302="LINEAR"),($M302*6.8)/100,IF(AND($M302&lt;&gt;"",$N302="MND",$Q302="EMBOQUE"),($AN302*2*6.8)/100,0))</f>
        <v>0.79832</v>
      </c>
      <c r="BK302" s="153" t="n">
        <f aca="false">IF(AND($M302&lt;&gt;"",$N302="VCA",$Q302="LINEAR"),($M302*2.5)/50,IF(AND($M302&lt;&gt;"",$N302="MND",$Q302="EMBOQUE"),($AN302*2*2.5)/50,0))</f>
        <v>0.587</v>
      </c>
      <c r="BL302" s="157" t="str">
        <f aca="false">K302&amp;J302</f>
        <v>Zona03REDES</v>
      </c>
      <c r="BM302" s="152" t="s">
        <v>2526</v>
      </c>
      <c r="BN302" s="152" t="s">
        <v>1560</v>
      </c>
      <c r="BO302" s="152" t="s">
        <v>2645</v>
      </c>
      <c r="BP302" s="152" t="s">
        <v>2668</v>
      </c>
      <c r="BQ302" s="152" t="s">
        <v>2680</v>
      </c>
      <c r="BR302" s="152" t="s">
        <v>2681</v>
      </c>
      <c r="BS302" s="152" t="n">
        <v>203891.308</v>
      </c>
      <c r="BT302" s="152" t="n">
        <v>8238134.183</v>
      </c>
      <c r="BU302" s="152" t="n">
        <v>203898.374</v>
      </c>
      <c r="BV302" s="152" t="n">
        <v>8238124.805</v>
      </c>
      <c r="BW302" s="152" t="n">
        <v>-15.9184017</v>
      </c>
      <c r="BX302" s="152" t="n">
        <v>-47.7655171</v>
      </c>
      <c r="BY302" s="152" t="s">
        <v>2668</v>
      </c>
    </row>
    <row r="303" customFormat="false" ht="13.8" hidden="false" customHeight="false" outlineLevel="0" collapsed="false">
      <c r="A303" s="149" t="n">
        <f aca="false">IF(C303&lt;&gt;"",ROW(A298),"")</f>
        <v>298</v>
      </c>
      <c r="B303" s="150" t="str">
        <f aca="false">HYPERLINK("https://www.google.com/maps/dir/-15.917302,-47.760003/-15.9186633,-47.7657762/data=!4m3!4m2!3e0!5i1")</f>
        <v>https://www.google.com/maps/dir/-15.917302,-47.760003/-15.9186633,-47.7657762/data=!4m3!4m2!3e0!5i1</v>
      </c>
      <c r="C303" s="151" t="s">
        <v>117</v>
      </c>
      <c r="D303" s="152" t="s">
        <v>112</v>
      </c>
      <c r="E303" s="152" t="s">
        <v>113</v>
      </c>
      <c r="F303" s="152" t="s">
        <v>117</v>
      </c>
      <c r="G303" s="152" t="s">
        <v>782</v>
      </c>
      <c r="H303" s="152" t="n">
        <v>63</v>
      </c>
      <c r="I303" s="152" t="s">
        <v>115</v>
      </c>
      <c r="J303" s="152" t="s">
        <v>6</v>
      </c>
      <c r="K303" s="152" t="s">
        <v>2522</v>
      </c>
      <c r="L303" s="152" t="s">
        <v>120</v>
      </c>
      <c r="M303" s="153" t="n">
        <f aca="false">33.25</f>
        <v>33.25</v>
      </c>
      <c r="N303" s="152" t="s">
        <v>1548</v>
      </c>
      <c r="O303" s="152" t="s">
        <v>1549</v>
      </c>
      <c r="P303" s="152" t="s">
        <v>1550</v>
      </c>
      <c r="Q303" s="152" t="s">
        <v>1551</v>
      </c>
      <c r="R303" s="154" t="s">
        <v>2682</v>
      </c>
      <c r="S303" s="154" t="s">
        <v>1553</v>
      </c>
      <c r="T303" s="155" t="s">
        <v>2643</v>
      </c>
      <c r="U303" s="152" t="str">
        <f aca="false">RIGHT(T303,7)</f>
        <v>007/037</v>
      </c>
      <c r="V303" s="152" t="s">
        <v>1555</v>
      </c>
      <c r="W303" s="156" t="n">
        <v>45882</v>
      </c>
      <c r="X303" s="152" t="s">
        <v>1594</v>
      </c>
      <c r="Y303" s="152" t="s">
        <v>2524</v>
      </c>
      <c r="Z303" s="152" t="s">
        <v>1557</v>
      </c>
      <c r="AA303" s="153" t="n">
        <v>3</v>
      </c>
      <c r="AB303" s="151" t="s">
        <v>2683</v>
      </c>
      <c r="AC303" s="151" t="s">
        <v>186</v>
      </c>
      <c r="AD303" s="151" t="str">
        <f aca="false">CONCATENATE($C303,$I303,$H303,$N303,$J303,$K303)</f>
        <v>TUBO PEADPEAD63VCAREDESZona03</v>
      </c>
      <c r="AE303" s="153" t="n">
        <f aca="false">IFERROR(INDEX(APOIO_REDES!$A:$W,MATCH($C303&amp;$I303&amp;$H303&amp;$N303&amp;$O303,APOIO_REDES!$W:$W,0),MATCH(AE$5,APOIO_REDES!$5:$5,0)),0)</f>
        <v>1.2</v>
      </c>
      <c r="AF303" s="153" t="n">
        <f aca="false">IFERROR(INDEX(APOIO_REDES!$A:$W,MATCH($C303&amp;$I303&amp;$H303&amp;$N303&amp;$O303,APOIO_REDES!$W:$W,0),MATCH(AF$5,APOIO_REDES!$5:$5,0)),0)</f>
        <v>1.363</v>
      </c>
      <c r="AG303" s="153" t="n">
        <f aca="false">IFERROR(INDEX(APOIO_REDES!$A:$W,MATCH($C303&amp;$I303&amp;$H303&amp;$N303&amp;$O303,APOIO_REDES!$W:$W,0),MATCH(AG$5,APOIO_REDES!$5:$5,0)),0)</f>
        <v>0.65</v>
      </c>
      <c r="AH303" s="153" t="n">
        <f aca="false">IFERROR(INDEX(APOIO_REDES!$A:$W,MATCH($C303&amp;$I303&amp;$H303&amp;$N303&amp;$O303,APOIO_REDES!$W:$W,0),MATCH(AH$5,APOIO_REDES!$5:$5,0)),0)</f>
        <v>0.1</v>
      </c>
      <c r="AI303" s="153" t="n">
        <f aca="false">IFERROR(IF($H303&lt;&gt;"",(((($H303/1000)/2)^2)*PI()*$M303),0),0)</f>
        <v>0.103648406574939</v>
      </c>
      <c r="AJ303" s="153" t="n">
        <f aca="false">IFERROR(IF(AND($H303&lt;&gt;"",$I303="FoFo",OR($N303="MND",$N303="VCA"),$Q303="LINEAR"),0,IF(AND($H303&lt;&gt;"",$I303="PEAD",$N303="VCA",$Q303="LINEAR"),($H303/1000)+0.3,IF(AND($H303&lt;&gt;"",$I303="PEAD",$N303="MND",$Q303="EMBOQUE"),0,IF(AND($H303&lt;&gt;"",$I303="PVC",$N303="VCA",$Q303="LINEAR"),($H303/1000)+0.2,IF(AND($H303&lt;&gt;"",$I303="PVC",$N303="MND",$Q303="EMBOQUE"),0,IF(AND($H303&lt;&gt;"",$I303="PEAD",$N303="VCA",$Q303="PREDIAL"),0,0)))))),0)</f>
        <v>0.363</v>
      </c>
      <c r="AK303" s="153" t="n">
        <f aca="false">IF(AA303&lt;&gt;"",AA303,0)</f>
        <v>3</v>
      </c>
      <c r="AL303" s="153" t="n">
        <f aca="false">IF(AND($N303="MND",$Q303="EMBOQUE"),$M303,IF(AND($N303="VCA",$Q303="LINEAR"),$M303,IF(AND($N303="VCA",$Q303="PREDIAL"),0,0)))</f>
        <v>33.25</v>
      </c>
      <c r="AM303" s="153" t="n">
        <f aca="false">IF(AND($N303="MND",$Q303="EMBOQUE"),$M303,IF(AND($N303="VCA",$Q303="LINEAR"),$M303,IF(AND($N303="VCA",$Q303="PREDIAL"),0,0)))</f>
        <v>33.25</v>
      </c>
      <c r="AN303" s="153" t="n">
        <f aca="false">ROUND(IF(AND($N303="VCA",$M303&lt;&gt;"",$Q303="LINEAR"),$M303/100,IF(AND($N303="MND",$M303&gt;100,$Q303="EMBOQUE"),$M303/100,0)),0)</f>
        <v>0</v>
      </c>
      <c r="AO303" s="153" t="n">
        <f aca="false">IF(AND($N303="MND",$Q303="EMBOQUE"),$AN303*2*2,IF(AND($N303="VCA",$Q303="LINEAR"),$M303*2,IF(AND($N303="VCA",$Q303="PREDIAL"),0,0)))</f>
        <v>66.5</v>
      </c>
      <c r="AP303" s="153" t="n">
        <f aca="false">IFERROR($M303*$AF303*$AG303,0)</f>
        <v>29.4578375</v>
      </c>
      <c r="AQ303" s="153" t="n">
        <f aca="false">IFERROR(IF(AND($N303="VCA",$AH303&gt;0),$M303*$AG303*$AH303,0),0)</f>
        <v>2.16125</v>
      </c>
      <c r="AR303" s="153" t="n">
        <f aca="false">IFERROR(IF(AND($N303="VCA",$AJ303&gt;0),($M303*$AG303*$AJ303)-$AI303,0),0)</f>
        <v>7.74168909342506</v>
      </c>
      <c r="AS303" s="153" t="n">
        <f aca="false">IFERROR(IF(AND($N303="VCA",$AP303&gt;0),$AP303-$AI303-$AQ303-$AR303,0),0)</f>
        <v>19.45125</v>
      </c>
      <c r="AT303" s="153" t="n">
        <f aca="false">IFERROR(IF($N303="VCA",INDEX(APOIO_REDES!$A:$W,MATCH($C303&amp;$I303&amp;$H303&amp;$N303&amp;$O303,APOIO_REDES!$W:$W,0),MATCH(AT$5,APOIO_REDES!$5:$5,0)),0)*$AP303,0)</f>
        <v>0.320509991074836</v>
      </c>
      <c r="AU303" s="153" t="n">
        <f aca="false">IFERROR(IF($N303="VCA",INDEX(APOIO_REDES!$A:$W,MATCH($C303&amp;$I303&amp;$H303&amp;$N303&amp;$O303,APOIO_REDES!$W:$W,0),MATCH(AU$5,APOIO_REDES!$5:$5,0)),0)*$AP303,0)</f>
        <v>0.255950598360939</v>
      </c>
      <c r="AV303" s="153" t="n">
        <f aca="false">IFERROR(IF($N303="VCA",INDEX(APOIO_REDES!$A:$W,MATCH($C303&amp;$I303&amp;$H303&amp;$N303&amp;$O303,APOIO_REDES!$W:$W,0),MATCH(AV$5,APOIO_REDES!$5:$5,0)),0)*$AP303,0)</f>
        <v>0.0354215535221764</v>
      </c>
      <c r="AW303" s="153" t="n">
        <f aca="false">IFERROR(IF($N303="VCA",INDEX(APOIO_REDES!$A:$W,MATCH($C303&amp;$I303&amp;$H303&amp;$N303&amp;$O303,APOIO_REDES!$W:$W,0),MATCH(AW$5,APOIO_REDES!$5:$5,0)),0)*$AP303,0)</f>
        <v>20.220087910463</v>
      </c>
      <c r="AX303" s="153" t="n">
        <f aca="false">IFERROR(IF($N303="VCA",INDEX(APOIO_REDES!$A:$W,MATCH($C303&amp;$I303&amp;$H303&amp;$N303&amp;$O303,APOIO_REDES!$W:$W,0),MATCH(AX$5,APOIO_REDES!$5:$5,0)),0)*$AP303,0)</f>
        <v>2.7984025687974</v>
      </c>
      <c r="AY303" s="153" t="n">
        <f aca="false">IFERROR(IF($N303="VCA",INDEX(APOIO_REDES!$A:$W,MATCH($C303&amp;$I303&amp;$H303&amp;$N303&amp;$O303,APOIO_REDES!$W:$W,0),MATCH(AY$5,APOIO_REDES!$5:$5,0)),0)*$AP303,0)</f>
        <v>5.11900884720173</v>
      </c>
      <c r="AZ303" s="153" t="n">
        <f aca="false">IFERROR(IF($N303="VCA",INDEX(APOIO_REDES!$A:$W,MATCH($C303&amp;$I303&amp;$H303&amp;$N303&amp;$O303,APOIO_REDES!$W:$W,0),MATCH(AZ$5,APOIO_REDES!$5:$5,0)),0)*$AP303,0)</f>
        <v>0.708456030579894</v>
      </c>
      <c r="BA303" s="153" t="n">
        <f aca="false">IFERROR(IF(AND($N303="VCA",$Q303="LINEAR"),INDEX(APOIO_REDES!$A:$W,MATCH($C303&amp;$I303&amp;$H303&amp;$N303&amp;$O303,APOIO_REDES!$W:$W,0),MATCH(BA$5,APOIO_REDES!$5:$5,0)),IF(AND($N303="MND",$Q303="EMBOQUE"),INDEX(APOIO_REDES!$A:$W,MATCH($C303&amp;$I303&amp;$H303&amp;$N303&amp;$O303,APOIO_REDES!$W:$W,0),MATCH(BA$5,APOIO_REDES!$5:$5,0)),0))*$M303/10,0)</f>
        <v>2.67986612952769</v>
      </c>
      <c r="BB303" s="153" t="n">
        <f aca="false">IFERROR(IF($N303="VCA",INDEX(APOIO_REDES!$A:$W,MATCH($C303&amp;$I303&amp;$H303&amp;$N303&amp;$O303,APOIO_REDES!$W:$W,0),MATCH(BB$5,APOIO_REDES!$5:$5,0)),0)*($AI303+$AQ303+$AR303),0)</f>
        <v>9.89771286620129</v>
      </c>
      <c r="BC303" s="153" t="n">
        <f aca="false">IFERROR(IF($N303="VCA",INDEX(APOIO_REDES!$A:$W,MATCH($C303&amp;$I303&amp;$H303&amp;$N303&amp;$O303,APOIO_REDES!$W:$W,0),MATCH(BC$5,APOIO_REDES!$5:$5,0)),0)*($AI303+$AQ303+$AR303),0)</f>
        <v>0.108874633798715</v>
      </c>
      <c r="BD303" s="153" t="n">
        <f aca="false">IF(AND($N303="VCA",$AF303&gt;=1.25,$AF303&lt;1.5),$M303*$AF303*2,0)</f>
        <v>90.6395</v>
      </c>
      <c r="BE303" s="153" t="n">
        <f aca="false">IF(AND($N303="VCA",$AF303&gt;=1.5,$AF303&lt;3),$M303*$AF303*2,0)</f>
        <v>0</v>
      </c>
      <c r="BF303" s="153" t="n">
        <f aca="false">IF(AND($N303="VCA",$AF303&gt;=3),$M303*$AF303*2,0)</f>
        <v>0</v>
      </c>
      <c r="BG303" s="153" t="n">
        <f aca="false">($BB303+$BC303)*$AK303</f>
        <v>30.0197625</v>
      </c>
      <c r="BH303" s="153" t="n">
        <f aca="false">IF(AND($M303&lt;&gt;"",$N303="VCA",$Q303="LINEAR"),($M303*2)/100,IF(AND($M303&lt;&gt;"",$N303="MND",$Q303="EMBOQUE"),($AN303*2)/100,0))</f>
        <v>0.665</v>
      </c>
      <c r="BI303" s="153" t="n">
        <f aca="false">IF(AND($M303&lt;&gt;"",$N303="VCA",$Q303="LINEAR"),$M303,IF(AND($M303&lt;&gt;"",$N303="MND",$Q303="EMBOQUE"),$AN303*2,0))</f>
        <v>33.25</v>
      </c>
      <c r="BJ303" s="153" t="n">
        <f aca="false">IF(AND($M303&lt;&gt;"",$N303="VCA",$Q303="LINEAR"),($M303*6.8)/100,IF(AND($M303&lt;&gt;"",$N303="MND",$Q303="EMBOQUE"),($AN303*2*6.8)/100,0))</f>
        <v>2.261</v>
      </c>
      <c r="BK303" s="153" t="n">
        <f aca="false">IF(AND($M303&lt;&gt;"",$N303="VCA",$Q303="LINEAR"),($M303*2.5)/50,IF(AND($M303&lt;&gt;"",$N303="MND",$Q303="EMBOQUE"),($AN303*2*2.5)/50,0))</f>
        <v>1.6625</v>
      </c>
      <c r="BL303" s="157" t="str">
        <f aca="false">K303&amp;J303</f>
        <v>Zona03REDES</v>
      </c>
      <c r="BM303" s="152" t="s">
        <v>2526</v>
      </c>
      <c r="BN303" s="152" t="s">
        <v>1560</v>
      </c>
      <c r="BO303" s="152" t="s">
        <v>2645</v>
      </c>
      <c r="BP303" s="152" t="s">
        <v>2684</v>
      </c>
      <c r="BQ303" s="152" t="s">
        <v>2676</v>
      </c>
      <c r="BR303" s="152" t="s">
        <v>2685</v>
      </c>
      <c r="BS303" s="152" t="n">
        <v>203867.466</v>
      </c>
      <c r="BT303" s="152" t="n">
        <v>8238100.151</v>
      </c>
      <c r="BU303" s="152" t="n">
        <v>203848.688</v>
      </c>
      <c r="BV303" s="152" t="n">
        <v>8238127.594</v>
      </c>
      <c r="BW303" s="152" t="n">
        <v>-15.9185375</v>
      </c>
      <c r="BX303" s="152" t="n">
        <v>-47.765861</v>
      </c>
      <c r="BY303" s="152" t="s">
        <v>2684</v>
      </c>
    </row>
    <row r="304" customFormat="false" ht="13.8" hidden="false" customHeight="false" outlineLevel="0" collapsed="false">
      <c r="A304" s="149" t="n">
        <f aca="false">IF(C304&lt;&gt;"",ROW(A299),"")</f>
        <v>299</v>
      </c>
      <c r="B304" s="150" t="str">
        <f aca="false">HYPERLINK("https://www.google.com/maps/dir/-15.917302,-47.760003/-15.9184444,-47.7654847/data=!4m3!4m2!3e0!5i0")</f>
        <v>https://www.google.com/maps/dir/-15.917302,-47.760003/-15.9184444,-47.7654847/data=!4m3!4m2!3e0!5i0</v>
      </c>
      <c r="C304" s="151" t="s">
        <v>117</v>
      </c>
      <c r="D304" s="152" t="s">
        <v>112</v>
      </c>
      <c r="E304" s="152" t="s">
        <v>113</v>
      </c>
      <c r="F304" s="152" t="s">
        <v>117</v>
      </c>
      <c r="G304" s="152" t="s">
        <v>782</v>
      </c>
      <c r="H304" s="152" t="n">
        <v>63</v>
      </c>
      <c r="I304" s="152" t="s">
        <v>115</v>
      </c>
      <c r="J304" s="152" t="s">
        <v>6</v>
      </c>
      <c r="K304" s="152" t="s">
        <v>2522</v>
      </c>
      <c r="L304" s="152" t="s">
        <v>120</v>
      </c>
      <c r="M304" s="153" t="n">
        <f aca="false">39.54</f>
        <v>39.54</v>
      </c>
      <c r="N304" s="152" t="s">
        <v>1548</v>
      </c>
      <c r="O304" s="152" t="s">
        <v>1549</v>
      </c>
      <c r="P304" s="152" t="s">
        <v>1550</v>
      </c>
      <c r="Q304" s="152" t="s">
        <v>1551</v>
      </c>
      <c r="R304" s="154" t="s">
        <v>2686</v>
      </c>
      <c r="S304" s="154" t="s">
        <v>1553</v>
      </c>
      <c r="T304" s="155" t="s">
        <v>2643</v>
      </c>
      <c r="U304" s="152" t="str">
        <f aca="false">RIGHT(T304,7)</f>
        <v>007/037</v>
      </c>
      <c r="V304" s="152" t="s">
        <v>1555</v>
      </c>
      <c r="W304" s="156" t="n">
        <v>45882</v>
      </c>
      <c r="X304" s="152" t="s">
        <v>1594</v>
      </c>
      <c r="Y304" s="152" t="s">
        <v>2524</v>
      </c>
      <c r="Z304" s="152" t="s">
        <v>1557</v>
      </c>
      <c r="AA304" s="153" t="n">
        <v>3</v>
      </c>
      <c r="AB304" s="151" t="s">
        <v>2687</v>
      </c>
      <c r="AC304" s="151" t="s">
        <v>186</v>
      </c>
      <c r="AD304" s="151" t="str">
        <f aca="false">CONCATENATE($C304,$I304,$H304,$N304,$J304,$K304)</f>
        <v>TUBO PEADPEAD63VCAREDESZona03</v>
      </c>
      <c r="AE304" s="153" t="n">
        <f aca="false">IFERROR(INDEX(APOIO_REDES!$A:$W,MATCH($C304&amp;$I304&amp;$H304&amp;$N304&amp;$O304,APOIO_REDES!$W:$W,0),MATCH(AE$5,APOIO_REDES!$5:$5,0)),0)</f>
        <v>1.2</v>
      </c>
      <c r="AF304" s="153" t="n">
        <f aca="false">IFERROR(INDEX(APOIO_REDES!$A:$W,MATCH($C304&amp;$I304&amp;$H304&amp;$N304&amp;$O304,APOIO_REDES!$W:$W,0),MATCH(AF$5,APOIO_REDES!$5:$5,0)),0)</f>
        <v>1.363</v>
      </c>
      <c r="AG304" s="153" t="n">
        <f aca="false">IFERROR(INDEX(APOIO_REDES!$A:$W,MATCH($C304&amp;$I304&amp;$H304&amp;$N304&amp;$O304,APOIO_REDES!$W:$W,0),MATCH(AG$5,APOIO_REDES!$5:$5,0)),0)</f>
        <v>0.65</v>
      </c>
      <c r="AH304" s="153" t="n">
        <f aca="false">IFERROR(INDEX(APOIO_REDES!$A:$W,MATCH($C304&amp;$I304&amp;$H304&amp;$N304&amp;$O304,APOIO_REDES!$W:$W,0),MATCH(AH$5,APOIO_REDES!$5:$5,0)),0)</f>
        <v>0.1</v>
      </c>
      <c r="AI304" s="153" t="n">
        <f aca="false">IFERROR(IF($H304&lt;&gt;"",(((($H304/1000)/2)^2)*PI()*$M304),0),0)</f>
        <v>0.123255879578138</v>
      </c>
      <c r="AJ304" s="153" t="n">
        <f aca="false">IFERROR(IF(AND($H304&lt;&gt;"",$I304="FoFo",OR($N304="MND",$N304="VCA"),$Q304="LINEAR"),0,IF(AND($H304&lt;&gt;"",$I304="PEAD",$N304="VCA",$Q304="LINEAR"),($H304/1000)+0.3,IF(AND($H304&lt;&gt;"",$I304="PEAD",$N304="MND",$Q304="EMBOQUE"),0,IF(AND($H304&lt;&gt;"",$I304="PVC",$N304="VCA",$Q304="LINEAR"),($H304/1000)+0.2,IF(AND($H304&lt;&gt;"",$I304="PVC",$N304="MND",$Q304="EMBOQUE"),0,IF(AND($H304&lt;&gt;"",$I304="PEAD",$N304="VCA",$Q304="PREDIAL"),0,0)))))),0)</f>
        <v>0.363</v>
      </c>
      <c r="AK304" s="153" t="n">
        <f aca="false">IF(AA304&lt;&gt;"",AA304,0)</f>
        <v>3</v>
      </c>
      <c r="AL304" s="153" t="n">
        <f aca="false">IF(AND($N304="MND",$Q304="EMBOQUE"),$M304,IF(AND($N304="VCA",$Q304="LINEAR"),$M304,IF(AND($N304="VCA",$Q304="PREDIAL"),0,0)))</f>
        <v>39.54</v>
      </c>
      <c r="AM304" s="153" t="n">
        <f aca="false">IF(AND($N304="MND",$Q304="EMBOQUE"),$M304,IF(AND($N304="VCA",$Q304="LINEAR"),$M304,IF(AND($N304="VCA",$Q304="PREDIAL"),0,0)))</f>
        <v>39.54</v>
      </c>
      <c r="AN304" s="153" t="n">
        <f aca="false">ROUND(IF(AND($N304="VCA",$M304&lt;&gt;"",$Q304="LINEAR"),$M304/100,IF(AND($N304="MND",$M304&gt;100,$Q304="EMBOQUE"),$M304/100,0)),0)</f>
        <v>0</v>
      </c>
      <c r="AO304" s="153" t="n">
        <f aca="false">IF(AND($N304="MND",$Q304="EMBOQUE"),$AN304*2*2,IF(AND($N304="VCA",$Q304="LINEAR"),$M304*2,IF(AND($N304="VCA",$Q304="PREDIAL"),0,0)))</f>
        <v>79.08</v>
      </c>
      <c r="AP304" s="153" t="n">
        <f aca="false">IFERROR($M304*$AF304*$AG304,0)</f>
        <v>35.030463</v>
      </c>
      <c r="AQ304" s="153" t="n">
        <f aca="false">IFERROR(IF(AND($N304="VCA",$AH304&gt;0),$M304*$AG304*$AH304,0),0)</f>
        <v>2.5701</v>
      </c>
      <c r="AR304" s="153" t="n">
        <f aca="false">IFERROR(IF(AND($N304="VCA",$AJ304&gt;0),($M304*$AG304*$AJ304)-$AI304,0),0)</f>
        <v>9.20620712042186</v>
      </c>
      <c r="AS304" s="153" t="n">
        <f aca="false">IFERROR(IF(AND($N304="VCA",$AP304&gt;0),$AP304-$AI304-$AQ304-$AR304,0),0)</f>
        <v>23.1309</v>
      </c>
      <c r="AT304" s="153" t="n">
        <f aca="false">IFERROR(IF($N304="VCA",INDEX(APOIO_REDES!$A:$W,MATCH($C304&amp;$I304&amp;$H304&amp;$N304&amp;$O304,APOIO_REDES!$W:$W,0),MATCH(AT$5,APOIO_REDES!$5:$5,0)),0)*$AP304,0)</f>
        <v>0.38114180592779</v>
      </c>
      <c r="AU304" s="153" t="n">
        <f aca="false">IFERROR(IF($N304="VCA",INDEX(APOIO_REDES!$A:$W,MATCH($C304&amp;$I304&amp;$H304&amp;$N304&amp;$O304,APOIO_REDES!$W:$W,0),MATCH(AU$5,APOIO_REDES!$5:$5,0)),0)*$AP304,0)</f>
        <v>0.304369523584707</v>
      </c>
      <c r="AV304" s="153" t="n">
        <f aca="false">IFERROR(IF($N304="VCA",INDEX(APOIO_REDES!$A:$W,MATCH($C304&amp;$I304&amp;$H304&amp;$N304&amp;$O304,APOIO_REDES!$W:$W,0),MATCH(AV$5,APOIO_REDES!$5:$5,0)),0)*$AP304,0)</f>
        <v>0.0421223526696798</v>
      </c>
      <c r="AW304" s="153" t="n">
        <f aca="false">IFERROR(IF($N304="VCA",INDEX(APOIO_REDES!$A:$W,MATCH($C304&amp;$I304&amp;$H304&amp;$N304&amp;$O304,APOIO_REDES!$W:$W,0),MATCH(AW$5,APOIO_REDES!$5:$5,0)),0)*$AP304,0)</f>
        <v>24.0451812324724</v>
      </c>
      <c r="AX304" s="153" t="n">
        <f aca="false">IFERROR(IF($N304="VCA",INDEX(APOIO_REDES!$A:$W,MATCH($C304&amp;$I304&amp;$H304&amp;$N304&amp;$O304,APOIO_REDES!$W:$W,0),MATCH(AX$5,APOIO_REDES!$5:$5,0)),0)*$AP304,0)</f>
        <v>3.32778458857893</v>
      </c>
      <c r="AY304" s="153" t="n">
        <f aca="false">IFERROR(IF($N304="VCA",INDEX(APOIO_REDES!$A:$W,MATCH($C304&amp;$I304&amp;$H304&amp;$N304&amp;$O304,APOIO_REDES!$W:$W,0),MATCH(AY$5,APOIO_REDES!$5:$5,0)),0)*$AP304,0)</f>
        <v>6.08738676145433</v>
      </c>
      <c r="AZ304" s="153" t="n">
        <f aca="false">IFERROR(IF($N304="VCA",INDEX(APOIO_REDES!$A:$W,MATCH($C304&amp;$I304&amp;$H304&amp;$N304&amp;$O304,APOIO_REDES!$W:$W,0),MATCH(AZ$5,APOIO_REDES!$5:$5,0)),0)*$AP304,0)</f>
        <v>0.842476735312151</v>
      </c>
      <c r="BA304" s="153" t="n">
        <f aca="false">IFERROR(IF(AND($N304="VCA",$Q304="LINEAR"),INDEX(APOIO_REDES!$A:$W,MATCH($C304&amp;$I304&amp;$H304&amp;$N304&amp;$O304,APOIO_REDES!$W:$W,0),MATCH(BA$5,APOIO_REDES!$5:$5,0)),IF(AND($N304="MND",$Q304="EMBOQUE"),INDEX(APOIO_REDES!$A:$W,MATCH($C304&amp;$I304&amp;$H304&amp;$N304&amp;$O304,APOIO_REDES!$W:$W,0),MATCH(BA$5,APOIO_REDES!$5:$5,0)),0))*$M304/10,0)</f>
        <v>3.18682426350451</v>
      </c>
      <c r="BB304" s="153" t="n">
        <f aca="false">IFERROR(IF($N304="VCA",INDEX(APOIO_REDES!$A:$W,MATCH($C304&amp;$I304&amp;$H304&amp;$N304&amp;$O304,APOIO_REDES!$W:$W,0),MATCH(BB$5,APOIO_REDES!$5:$5,0)),0)*($AI304+$AQ304+$AR304),0)</f>
        <v>11.7700922324691</v>
      </c>
      <c r="BC304" s="153" t="n">
        <f aca="false">IFERROR(IF($N304="VCA",INDEX(APOIO_REDES!$A:$W,MATCH($C304&amp;$I304&amp;$H304&amp;$N304&amp;$O304,APOIO_REDES!$W:$W,0),MATCH(BC$5,APOIO_REDES!$5:$5,0)),0)*($AI304+$AQ304+$AR304),0)</f>
        <v>0.129470767530863</v>
      </c>
      <c r="BD304" s="153" t="n">
        <f aca="false">IF(AND($N304="VCA",$AF304&gt;=1.25,$AF304&lt;1.5),$M304*$AF304*2,0)</f>
        <v>107.78604</v>
      </c>
      <c r="BE304" s="153" t="n">
        <f aca="false">IF(AND($N304="VCA",$AF304&gt;=1.5,$AF304&lt;3),$M304*$AF304*2,0)</f>
        <v>0</v>
      </c>
      <c r="BF304" s="153" t="n">
        <f aca="false">IF(AND($N304="VCA",$AF304&gt;=3),$M304*$AF304*2,0)</f>
        <v>0</v>
      </c>
      <c r="BG304" s="153" t="n">
        <f aca="false">($BB304+$BC304)*$AK304</f>
        <v>35.698689</v>
      </c>
      <c r="BH304" s="153" t="n">
        <f aca="false">IF(AND($M304&lt;&gt;"",$N304="VCA",$Q304="LINEAR"),($M304*2)/100,IF(AND($M304&lt;&gt;"",$N304="MND",$Q304="EMBOQUE"),($AN304*2)/100,0))</f>
        <v>0.7908</v>
      </c>
      <c r="BI304" s="153" t="n">
        <f aca="false">IF(AND($M304&lt;&gt;"",$N304="VCA",$Q304="LINEAR"),$M304,IF(AND($M304&lt;&gt;"",$N304="MND",$Q304="EMBOQUE"),$AN304*2,0))</f>
        <v>39.54</v>
      </c>
      <c r="BJ304" s="153" t="n">
        <f aca="false">IF(AND($M304&lt;&gt;"",$N304="VCA",$Q304="LINEAR"),($M304*6.8)/100,IF(AND($M304&lt;&gt;"",$N304="MND",$Q304="EMBOQUE"),($AN304*2*6.8)/100,0))</f>
        <v>2.68872</v>
      </c>
      <c r="BK304" s="153" t="n">
        <f aca="false">IF(AND($M304&lt;&gt;"",$N304="VCA",$Q304="LINEAR"),($M304*2.5)/50,IF(AND($M304&lt;&gt;"",$N304="MND",$Q304="EMBOQUE"),($AN304*2*2.5)/50,0))</f>
        <v>1.977</v>
      </c>
      <c r="BL304" s="157" t="str">
        <f aca="false">K304&amp;J304</f>
        <v>Zona03REDES</v>
      </c>
      <c r="BM304" s="152" t="s">
        <v>2526</v>
      </c>
      <c r="BN304" s="152" t="s">
        <v>1560</v>
      </c>
      <c r="BO304" s="152" t="s">
        <v>2645</v>
      </c>
      <c r="BP304" s="152" t="s">
        <v>2680</v>
      </c>
      <c r="BQ304" s="152" t="s">
        <v>2684</v>
      </c>
      <c r="BR304" s="152" t="s">
        <v>2681</v>
      </c>
      <c r="BS304" s="152" t="n">
        <v>203898.374</v>
      </c>
      <c r="BT304" s="152" t="n">
        <v>8238124.805</v>
      </c>
      <c r="BU304" s="152" t="n">
        <v>203867.466</v>
      </c>
      <c r="BV304" s="152" t="n">
        <v>8238100.151</v>
      </c>
      <c r="BW304" s="152" t="n">
        <v>-15.9185544</v>
      </c>
      <c r="BX304" s="152" t="n">
        <v>-47.7656301</v>
      </c>
      <c r="BY304" s="152" t="s">
        <v>2680</v>
      </c>
    </row>
    <row r="305" customFormat="false" ht="13.8" hidden="false" customHeight="false" outlineLevel="0" collapsed="false">
      <c r="A305" s="149" t="n">
        <f aca="false">IF(C305&lt;&gt;"",ROW(A300),"")</f>
        <v>300</v>
      </c>
      <c r="B305" s="150" t="str">
        <f aca="false">HYPERLINK("https://www.google.com/maps/dir/-15.917302,-47.760003/-15.9182959,-47.7660311/data=!4m3!4m2!3e0!5i1")</f>
        <v>https://www.google.com/maps/dir/-15.917302,-47.760003/-15.9182959,-47.7660311/data=!4m3!4m2!3e0!5i1</v>
      </c>
      <c r="C305" s="151" t="s">
        <v>117</v>
      </c>
      <c r="D305" s="152" t="s">
        <v>112</v>
      </c>
      <c r="E305" s="152" t="s">
        <v>113</v>
      </c>
      <c r="F305" s="152" t="s">
        <v>117</v>
      </c>
      <c r="G305" s="152" t="s">
        <v>782</v>
      </c>
      <c r="H305" s="152" t="n">
        <v>63</v>
      </c>
      <c r="I305" s="152" t="s">
        <v>115</v>
      </c>
      <c r="J305" s="152" t="s">
        <v>6</v>
      </c>
      <c r="K305" s="152" t="s">
        <v>2522</v>
      </c>
      <c r="L305" s="152" t="s">
        <v>120</v>
      </c>
      <c r="M305" s="153" t="n">
        <f aca="false">171.8+0.93</f>
        <v>172.73</v>
      </c>
      <c r="N305" s="152" t="s">
        <v>1548</v>
      </c>
      <c r="O305" s="152" t="s">
        <v>1549</v>
      </c>
      <c r="P305" s="152" t="s">
        <v>1550</v>
      </c>
      <c r="Q305" s="152" t="s">
        <v>1551</v>
      </c>
      <c r="R305" s="154" t="s">
        <v>2688</v>
      </c>
      <c r="S305" s="154" t="s">
        <v>1553</v>
      </c>
      <c r="T305" s="155" t="s">
        <v>2643</v>
      </c>
      <c r="U305" s="152" t="str">
        <f aca="false">RIGHT(T305,7)</f>
        <v>007/037</v>
      </c>
      <c r="V305" s="152" t="s">
        <v>1555</v>
      </c>
      <c r="W305" s="156" t="n">
        <v>45882</v>
      </c>
      <c r="X305" s="152" t="s">
        <v>1594</v>
      </c>
      <c r="Y305" s="152" t="s">
        <v>2638</v>
      </c>
      <c r="Z305" s="152" t="s">
        <v>1557</v>
      </c>
      <c r="AA305" s="153" t="n">
        <v>3.1</v>
      </c>
      <c r="AB305" s="151" t="s">
        <v>2689</v>
      </c>
      <c r="AC305" s="151" t="s">
        <v>186</v>
      </c>
      <c r="AD305" s="151" t="str">
        <f aca="false">CONCATENATE($C305,$I305,$H305,$N305,$J305,$K305)</f>
        <v>TUBO PEADPEAD63VCAREDESZona03</v>
      </c>
      <c r="AE305" s="153" t="n">
        <f aca="false">IFERROR(INDEX(APOIO_REDES!$A:$W,MATCH($C305&amp;$I305&amp;$H305&amp;$N305&amp;$O305,APOIO_REDES!$W:$W,0),MATCH(AE$5,APOIO_REDES!$5:$5,0)),0)</f>
        <v>1.2</v>
      </c>
      <c r="AF305" s="153" t="n">
        <f aca="false">IFERROR(INDEX(APOIO_REDES!$A:$W,MATCH($C305&amp;$I305&amp;$H305&amp;$N305&amp;$O305,APOIO_REDES!$W:$W,0),MATCH(AF$5,APOIO_REDES!$5:$5,0)),0)</f>
        <v>1.363</v>
      </c>
      <c r="AG305" s="153" t="n">
        <f aca="false">IFERROR(INDEX(APOIO_REDES!$A:$W,MATCH($C305&amp;$I305&amp;$H305&amp;$N305&amp;$O305,APOIO_REDES!$W:$W,0),MATCH(AG$5,APOIO_REDES!$5:$5,0)),0)</f>
        <v>0.65</v>
      </c>
      <c r="AH305" s="153" t="n">
        <f aca="false">IFERROR(INDEX(APOIO_REDES!$A:$W,MATCH($C305&amp;$I305&amp;$H305&amp;$N305&amp;$O305,APOIO_REDES!$W:$W,0),MATCH(AH$5,APOIO_REDES!$5:$5,0)),0)</f>
        <v>0.1</v>
      </c>
      <c r="AI305" s="153" t="n">
        <f aca="false">IFERROR(IF($H305&lt;&gt;"",(((($H305/1000)/2)^2)*PI()*$M305),0),0)</f>
        <v>0.538441782486892</v>
      </c>
      <c r="AJ305" s="153" t="n">
        <f aca="false">IFERROR(IF(AND($H305&lt;&gt;"",$I305="FoFo",OR($N305="MND",$N305="VCA"),$Q305="LINEAR"),0,IF(AND($H305&lt;&gt;"",$I305="PEAD",$N305="VCA",$Q305="LINEAR"),($H305/1000)+0.3,IF(AND($H305&lt;&gt;"",$I305="PEAD",$N305="MND",$Q305="EMBOQUE"),0,IF(AND($H305&lt;&gt;"",$I305="PVC",$N305="VCA",$Q305="LINEAR"),($H305/1000)+0.2,IF(AND($H305&lt;&gt;"",$I305="PVC",$N305="MND",$Q305="EMBOQUE"),0,IF(AND($H305&lt;&gt;"",$I305="PEAD",$N305="VCA",$Q305="PREDIAL"),0,0)))))),0)</f>
        <v>0.363</v>
      </c>
      <c r="AK305" s="153" t="n">
        <f aca="false">IF(AA305&lt;&gt;"",AA305,0)</f>
        <v>3.1</v>
      </c>
      <c r="AL305" s="153" t="n">
        <f aca="false">IF(AND($N305="MND",$Q305="EMBOQUE"),$M305,IF(AND($N305="VCA",$Q305="LINEAR"),$M305,IF(AND($N305="VCA",$Q305="PREDIAL"),0,0)))</f>
        <v>172.73</v>
      </c>
      <c r="AM305" s="153" t="n">
        <f aca="false">IF(AND($N305="MND",$Q305="EMBOQUE"),$M305,IF(AND($N305="VCA",$Q305="LINEAR"),$M305,IF(AND($N305="VCA",$Q305="PREDIAL"),0,0)))</f>
        <v>172.73</v>
      </c>
      <c r="AN305" s="153" t="n">
        <f aca="false">ROUND(IF(AND($N305="VCA",$M305&lt;&gt;"",$Q305="LINEAR"),$M305/100,IF(AND($N305="MND",$M305&gt;100,$Q305="EMBOQUE"),$M305/100,0)),0)</f>
        <v>2</v>
      </c>
      <c r="AO305" s="153" t="n">
        <f aca="false">IF(AND($N305="MND",$Q305="EMBOQUE"),$AN305*2*2,IF(AND($N305="VCA",$Q305="LINEAR"),$M305*2,IF(AND($N305="VCA",$Q305="PREDIAL"),0,0)))</f>
        <v>345.46</v>
      </c>
      <c r="AP305" s="153" t="n">
        <f aca="false">IFERROR($M305*$AF305*$AG305,0)</f>
        <v>153.0301435</v>
      </c>
      <c r="AQ305" s="153" t="n">
        <f aca="false">IFERROR(IF(AND($N305="VCA",$AH305&gt;0),$M305*$AG305*$AH305,0),0)</f>
        <v>11.22745</v>
      </c>
      <c r="AR305" s="153" t="n">
        <f aca="false">IFERROR(IF(AND($N305="VCA",$AJ305&gt;0),($M305*$AG305*$AJ305)-$AI305,0),0)</f>
        <v>40.2172017175131</v>
      </c>
      <c r="AS305" s="153" t="n">
        <f aca="false">IFERROR(IF(AND($N305="VCA",$AP305&gt;0),$AP305-$AI305-$AQ305-$AR305,0),0)</f>
        <v>101.04705</v>
      </c>
      <c r="AT305" s="153" t="n">
        <f aca="false">IFERROR(IF($N305="VCA",INDEX(APOIO_REDES!$A:$W,MATCH($C305&amp;$I305&amp;$H305&amp;$N305&amp;$O305,APOIO_REDES!$W:$W,0),MATCH(AT$5,APOIO_REDES!$5:$5,0)),0)*$AP305,0)</f>
        <v>1.66501325589042</v>
      </c>
      <c r="AU305" s="153" t="n">
        <f aca="false">IFERROR(IF($N305="VCA",INDEX(APOIO_REDES!$A:$W,MATCH($C305&amp;$I305&amp;$H305&amp;$N305&amp;$O305,APOIO_REDES!$W:$W,0),MATCH(AU$5,APOIO_REDES!$5:$5,0)),0)*$AP305,0)</f>
        <v>1.32963449187624</v>
      </c>
      <c r="AV305" s="153" t="n">
        <f aca="false">IFERROR(IF($N305="VCA",INDEX(APOIO_REDES!$A:$W,MATCH($C305&amp;$I305&amp;$H305&amp;$N305&amp;$O305,APOIO_REDES!$W:$W,0),MATCH(AV$5,APOIO_REDES!$5:$5,0)),0)*$AP305,0)</f>
        <v>0.184010975635655</v>
      </c>
      <c r="AW305" s="153" t="n">
        <f aca="false">IFERROR(IF($N305="VCA",INDEX(APOIO_REDES!$A:$W,MATCH($C305&amp;$I305&amp;$H305&amp;$N305&amp;$O305,APOIO_REDES!$W:$W,0),MATCH(AW$5,APOIO_REDES!$5:$5,0)),0)*$AP305,0)</f>
        <v>105.041076233813</v>
      </c>
      <c r="AX305" s="153" t="n">
        <f aca="false">IFERROR(IF($N305="VCA",INDEX(APOIO_REDES!$A:$W,MATCH($C305&amp;$I305&amp;$H305&amp;$N305&amp;$O305,APOIO_REDES!$W:$W,0),MATCH(AX$5,APOIO_REDES!$5:$5,0)),0)*$AP305,0)</f>
        <v>14.5373857355902</v>
      </c>
      <c r="AY305" s="153" t="n">
        <f aca="false">IFERROR(IF($N305="VCA",INDEX(APOIO_REDES!$A:$W,MATCH($C305&amp;$I305&amp;$H305&amp;$N305&amp;$O305,APOIO_REDES!$W:$W,0),MATCH(AY$5,APOIO_REDES!$5:$5,0)),0)*$AP305,0)</f>
        <v>26.5926736293881</v>
      </c>
      <c r="AZ305" s="153" t="n">
        <f aca="false">IFERROR(IF($N305="VCA",INDEX(APOIO_REDES!$A:$W,MATCH($C305&amp;$I305&amp;$H305&amp;$N305&amp;$O305,APOIO_REDES!$W:$W,0),MATCH(AZ$5,APOIO_REDES!$5:$5,0)),0)*$AP305,0)</f>
        <v>3.68034917780647</v>
      </c>
      <c r="BA305" s="153" t="n">
        <f aca="false">IFERROR(IF(AND($N305="VCA",$Q305="LINEAR"),INDEX(APOIO_REDES!$A:$W,MATCH($C305&amp;$I305&amp;$H305&amp;$N305&amp;$O305,APOIO_REDES!$W:$W,0),MATCH(BA$5,APOIO_REDES!$5:$5,0)),IF(AND($N305="MND",$Q305="EMBOQUE"),INDEX(APOIO_REDES!$A:$W,MATCH($C305&amp;$I305&amp;$H305&amp;$N305&amp;$O305,APOIO_REDES!$W:$W,0),MATCH(BA$5,APOIO_REDES!$5:$5,0)),0))*$M305/10,0)</f>
        <v>13.9216023023555</v>
      </c>
      <c r="BB305" s="153" t="n">
        <f aca="false">IFERROR(IF($N305="VCA",INDEX(APOIO_REDES!$A:$W,MATCH($C305&amp;$I305&amp;$H305&amp;$N305&amp;$O305,APOIO_REDES!$W:$W,0),MATCH(BB$5,APOIO_REDES!$5:$5,0)),0)*($AI305+$AQ305+$AR305),0)</f>
        <v>51.4175020565097</v>
      </c>
      <c r="BC305" s="153" t="n">
        <f aca="false">IFERROR(IF($N305="VCA",INDEX(APOIO_REDES!$A:$W,MATCH($C305&amp;$I305&amp;$H305&amp;$N305&amp;$O305,APOIO_REDES!$W:$W,0),MATCH(BC$5,APOIO_REDES!$5:$5,0)),0)*($AI305+$AQ305+$AR305),0)</f>
        <v>0.565591443490289</v>
      </c>
      <c r="BD305" s="153" t="n">
        <f aca="false">IF(AND($N305="VCA",$AF305&gt;=1.25,$AF305&lt;1.5),$M305*$AF305*2,0)</f>
        <v>470.86198</v>
      </c>
      <c r="BE305" s="153" t="n">
        <f aca="false">IF(AND($N305="VCA",$AF305&gt;=1.5,$AF305&lt;3),$M305*$AF305*2,0)</f>
        <v>0</v>
      </c>
      <c r="BF305" s="153" t="n">
        <f aca="false">IF(AND($N305="VCA",$AF305&gt;=3),$M305*$AF305*2,0)</f>
        <v>0</v>
      </c>
      <c r="BG305" s="153" t="n">
        <f aca="false">($BB305+$BC305)*$AK305</f>
        <v>161.14758985</v>
      </c>
      <c r="BH305" s="153" t="n">
        <f aca="false">IF(AND($M305&lt;&gt;"",$N305="VCA",$Q305="LINEAR"),($M305*2)/100,IF(AND($M305&lt;&gt;"",$N305="MND",$Q305="EMBOQUE"),($AN305*2)/100,0))</f>
        <v>3.4546</v>
      </c>
      <c r="BI305" s="153" t="n">
        <f aca="false">IF(AND($M305&lt;&gt;"",$N305="VCA",$Q305="LINEAR"),$M305,IF(AND($M305&lt;&gt;"",$N305="MND",$Q305="EMBOQUE"),$AN305*2,0))</f>
        <v>172.73</v>
      </c>
      <c r="BJ305" s="153" t="n">
        <f aca="false">IF(AND($M305&lt;&gt;"",$N305="VCA",$Q305="LINEAR"),($M305*6.8)/100,IF(AND($M305&lt;&gt;"",$N305="MND",$Q305="EMBOQUE"),($AN305*2*6.8)/100,0))</f>
        <v>11.74564</v>
      </c>
      <c r="BK305" s="153" t="n">
        <f aca="false">IF(AND($M305&lt;&gt;"",$N305="VCA",$Q305="LINEAR"),($M305*2.5)/50,IF(AND($M305&lt;&gt;"",$N305="MND",$Q305="EMBOQUE"),($AN305*2*2.5)/50,0))</f>
        <v>8.6365</v>
      </c>
      <c r="BL305" s="157" t="str">
        <f aca="false">K305&amp;J305</f>
        <v>Zona03REDES</v>
      </c>
      <c r="BM305" s="152" t="s">
        <v>2526</v>
      </c>
      <c r="BN305" s="152" t="s">
        <v>1560</v>
      </c>
      <c r="BO305" s="152" t="s">
        <v>2645</v>
      </c>
      <c r="BP305" s="152" t="s">
        <v>2661</v>
      </c>
      <c r="BQ305" s="152" t="s">
        <v>2566</v>
      </c>
      <c r="BR305" s="152" t="s">
        <v>2690</v>
      </c>
      <c r="BS305" s="152" t="n">
        <v>203839.093</v>
      </c>
      <c r="BT305" s="152" t="n">
        <v>8238141.239</v>
      </c>
      <c r="BU305" s="152" t="n">
        <v>203712.156</v>
      </c>
      <c r="BV305" s="152" t="n">
        <v>8238052.985</v>
      </c>
      <c r="BW305" s="152" t="n">
        <v>-15.9185498</v>
      </c>
      <c r="BX305" s="152" t="n">
        <v>-47.7666375</v>
      </c>
      <c r="BY305" s="152" t="s">
        <v>2661</v>
      </c>
    </row>
    <row r="306" customFormat="false" ht="13.8" hidden="false" customHeight="false" outlineLevel="0" collapsed="false">
      <c r="A306" s="149" t="n">
        <f aca="false">IF(C306&lt;&gt;"",ROW(A301),"")</f>
        <v>301</v>
      </c>
      <c r="B306" s="150" t="str">
        <f aca="false">HYPERLINK("https://www.google.com/maps/dir/-15.917302,-47.760003/-15.9184133,-47.7659481/data=!4m3!4m2!3e0!5i1")</f>
        <v>https://www.google.com/maps/dir/-15.917302,-47.760003/-15.9184133,-47.7659481/data=!4m3!4m2!3e0!5i1</v>
      </c>
      <c r="C306" s="151" t="s">
        <v>117</v>
      </c>
      <c r="D306" s="152" t="s">
        <v>112</v>
      </c>
      <c r="E306" s="152" t="s">
        <v>113</v>
      </c>
      <c r="F306" s="152" t="s">
        <v>117</v>
      </c>
      <c r="G306" s="152" t="s">
        <v>782</v>
      </c>
      <c r="H306" s="152" t="n">
        <v>63</v>
      </c>
      <c r="I306" s="152" t="s">
        <v>115</v>
      </c>
      <c r="J306" s="152" t="s">
        <v>6</v>
      </c>
      <c r="K306" s="152" t="s">
        <v>2522</v>
      </c>
      <c r="L306" s="152" t="s">
        <v>120</v>
      </c>
      <c r="M306" s="153" t="n">
        <f aca="false">156.11+0.42</f>
        <v>156.53</v>
      </c>
      <c r="N306" s="152" t="s">
        <v>1548</v>
      </c>
      <c r="O306" s="152" t="s">
        <v>1549</v>
      </c>
      <c r="P306" s="152" t="s">
        <v>1550</v>
      </c>
      <c r="Q306" s="152" t="s">
        <v>1551</v>
      </c>
      <c r="R306" s="154" t="s">
        <v>2691</v>
      </c>
      <c r="S306" s="154" t="s">
        <v>1553</v>
      </c>
      <c r="T306" s="155" t="s">
        <v>2643</v>
      </c>
      <c r="U306" s="152" t="str">
        <f aca="false">RIGHT(T306,7)</f>
        <v>007/037</v>
      </c>
      <c r="V306" s="152" t="s">
        <v>1555</v>
      </c>
      <c r="W306" s="156" t="n">
        <v>45882</v>
      </c>
      <c r="X306" s="152" t="s">
        <v>1594</v>
      </c>
      <c r="Y306" s="152" t="s">
        <v>2524</v>
      </c>
      <c r="Z306" s="152" t="s">
        <v>1557</v>
      </c>
      <c r="AA306" s="153" t="n">
        <v>3</v>
      </c>
      <c r="AB306" s="151" t="s">
        <v>2692</v>
      </c>
      <c r="AC306" s="151" t="s">
        <v>186</v>
      </c>
      <c r="AD306" s="151" t="str">
        <f aca="false">CONCATENATE($C306,$I306,$H306,$N306,$J306,$K306)</f>
        <v>TUBO PEADPEAD63VCAREDESZona03</v>
      </c>
      <c r="AE306" s="153" t="n">
        <f aca="false">IFERROR(INDEX(APOIO_REDES!$A:$W,MATCH($C306&amp;$I306&amp;$H306&amp;$N306&amp;$O306,APOIO_REDES!$W:$W,0),MATCH(AE$5,APOIO_REDES!$5:$5,0)),0)</f>
        <v>1.2</v>
      </c>
      <c r="AF306" s="153" t="n">
        <f aca="false">IFERROR(INDEX(APOIO_REDES!$A:$W,MATCH($C306&amp;$I306&amp;$H306&amp;$N306&amp;$O306,APOIO_REDES!$W:$W,0),MATCH(AF$5,APOIO_REDES!$5:$5,0)),0)</f>
        <v>1.363</v>
      </c>
      <c r="AG306" s="153" t="n">
        <f aca="false">IFERROR(INDEX(APOIO_REDES!$A:$W,MATCH($C306&amp;$I306&amp;$H306&amp;$N306&amp;$O306,APOIO_REDES!$W:$W,0),MATCH(AG$5,APOIO_REDES!$5:$5,0)),0)</f>
        <v>0.65</v>
      </c>
      <c r="AH306" s="153" t="n">
        <f aca="false">IFERROR(INDEX(APOIO_REDES!$A:$W,MATCH($C306&amp;$I306&amp;$H306&amp;$N306&amp;$O306,APOIO_REDES!$W:$W,0),MATCH(AH$5,APOIO_REDES!$5:$5,0)),0)</f>
        <v>0.1</v>
      </c>
      <c r="AI306" s="153" t="n">
        <f aca="false">IFERROR(IF($H306&lt;&gt;"",(((($H306/1000)/2)^2)*PI()*$M306),0),0)</f>
        <v>0.487942408456396</v>
      </c>
      <c r="AJ306" s="153" t="n">
        <f aca="false">IFERROR(IF(AND($H306&lt;&gt;"",$I306="FoFo",OR($N306="MND",$N306="VCA"),$Q306="LINEAR"),0,IF(AND($H306&lt;&gt;"",$I306="PEAD",$N306="VCA",$Q306="LINEAR"),($H306/1000)+0.3,IF(AND($H306&lt;&gt;"",$I306="PEAD",$N306="MND",$Q306="EMBOQUE"),0,IF(AND($H306&lt;&gt;"",$I306="PVC",$N306="VCA",$Q306="LINEAR"),($H306/1000)+0.2,IF(AND($H306&lt;&gt;"",$I306="PVC",$N306="MND",$Q306="EMBOQUE"),0,IF(AND($H306&lt;&gt;"",$I306="PEAD",$N306="VCA",$Q306="PREDIAL"),0,0)))))),0)</f>
        <v>0.363</v>
      </c>
      <c r="AK306" s="153" t="n">
        <f aca="false">IF(AA306&lt;&gt;"",AA306,0)</f>
        <v>3</v>
      </c>
      <c r="AL306" s="153" t="n">
        <f aca="false">IF(AND($N306="MND",$Q306="EMBOQUE"),$M306,IF(AND($N306="VCA",$Q306="LINEAR"),$M306,IF(AND($N306="VCA",$Q306="PREDIAL"),0,0)))</f>
        <v>156.53</v>
      </c>
      <c r="AM306" s="153" t="n">
        <f aca="false">IF(AND($N306="MND",$Q306="EMBOQUE"),$M306,IF(AND($N306="VCA",$Q306="LINEAR"),$M306,IF(AND($N306="VCA",$Q306="PREDIAL"),0,0)))</f>
        <v>156.53</v>
      </c>
      <c r="AN306" s="153" t="n">
        <f aca="false">ROUND(IF(AND($N306="VCA",$M306&lt;&gt;"",$Q306="LINEAR"),$M306/100,IF(AND($N306="MND",$M306&gt;100,$Q306="EMBOQUE"),$M306/100,0)),0)</f>
        <v>2</v>
      </c>
      <c r="AO306" s="153" t="n">
        <f aca="false">IF(AND($N306="MND",$Q306="EMBOQUE"),$AN306*2*2,IF(AND($N306="VCA",$Q306="LINEAR"),$M306*2,IF(AND($N306="VCA",$Q306="PREDIAL"),0,0)))</f>
        <v>313.06</v>
      </c>
      <c r="AP306" s="153" t="n">
        <f aca="false">IFERROR($M306*$AF306*$AG306,0)</f>
        <v>138.6777535</v>
      </c>
      <c r="AQ306" s="153" t="n">
        <f aca="false">IFERROR(IF(AND($N306="VCA",$AH306&gt;0),$M306*$AG306*$AH306,0),0)</f>
        <v>10.17445</v>
      </c>
      <c r="AR306" s="153" t="n">
        <f aca="false">IFERROR(IF(AND($N306="VCA",$AJ306&gt;0),($M306*$AG306*$AJ306)-$AI306,0),0)</f>
        <v>36.4453110915436</v>
      </c>
      <c r="AS306" s="153" t="n">
        <f aca="false">IFERROR(IF(AND($N306="VCA",$AP306&gt;0),$AP306-$AI306-$AQ306-$AR306,0),0)</f>
        <v>91.57005</v>
      </c>
      <c r="AT306" s="153" t="n">
        <f aca="false">IFERROR(IF($N306="VCA",INDEX(APOIO_REDES!$A:$W,MATCH($C306&amp;$I306&amp;$H306&amp;$N306&amp;$O306,APOIO_REDES!$W:$W,0),MATCH(AT$5,APOIO_REDES!$5:$5,0)),0)*$AP306,0)</f>
        <v>1.50885500459982</v>
      </c>
      <c r="AU306" s="153" t="n">
        <f aca="false">IFERROR(IF($N306="VCA",INDEX(APOIO_REDES!$A:$W,MATCH($C306&amp;$I306&amp;$H306&amp;$N306&amp;$O306,APOIO_REDES!$W:$W,0),MATCH(AU$5,APOIO_REDES!$5:$5,0)),0)*$AP306,0)</f>
        <v>1.20493074169738</v>
      </c>
      <c r="AV306" s="153" t="n">
        <f aca="false">IFERROR(IF($N306="VCA",INDEX(APOIO_REDES!$A:$W,MATCH($C306&amp;$I306&amp;$H306&amp;$N306&amp;$O306,APOIO_REDES!$W:$W,0),MATCH(AV$5,APOIO_REDES!$5:$5,0)),0)*$AP306,0)</f>
        <v>0.166752955573722</v>
      </c>
      <c r="AW306" s="153" t="n">
        <f aca="false">IFERROR(IF($N306="VCA",INDEX(APOIO_REDES!$A:$W,MATCH($C306&amp;$I306&amp;$H306&amp;$N306&amp;$O306,APOIO_REDES!$W:$W,0),MATCH(AW$5,APOIO_REDES!$5:$5,0)),0)*$AP306,0)</f>
        <v>95.1894845300685</v>
      </c>
      <c r="AX306" s="153" t="n">
        <f aca="false">IFERROR(IF($N306="VCA",INDEX(APOIO_REDES!$A:$W,MATCH($C306&amp;$I306&amp;$H306&amp;$N306&amp;$O306,APOIO_REDES!$W:$W,0),MATCH(AX$5,APOIO_REDES!$5:$5,0)),0)*$AP306,0)</f>
        <v>13.1739535065822</v>
      </c>
      <c r="AY306" s="153" t="n">
        <f aca="false">IFERROR(IF($N306="VCA",INDEX(APOIO_REDES!$A:$W,MATCH($C306&amp;$I306&amp;$H306&amp;$N306&amp;$O306,APOIO_REDES!$W:$W,0),MATCH(AY$5,APOIO_REDES!$5:$5,0)),0)*$AP306,0)</f>
        <v>24.0986001459394</v>
      </c>
      <c r="AZ306" s="153" t="n">
        <f aca="false">IFERROR(IF($N306="VCA",INDEX(APOIO_REDES!$A:$W,MATCH($C306&amp;$I306&amp;$H306&amp;$N306&amp;$O306,APOIO_REDES!$W:$W,0),MATCH(AZ$5,APOIO_REDES!$5:$5,0)),0)*$AP306,0)</f>
        <v>3.33517661553897</v>
      </c>
      <c r="BA306" s="153" t="n">
        <f aca="false">IFERROR(IF(AND($N306="VCA",$Q306="LINEAR"),INDEX(APOIO_REDES!$A:$W,MATCH($C306&amp;$I306&amp;$H306&amp;$N306&amp;$O306,APOIO_REDES!$W:$W,0),MATCH(BA$5,APOIO_REDES!$5:$5,0)),IF(AND($N306="MND",$Q306="EMBOQUE"),INDEX(APOIO_REDES!$A:$W,MATCH($C306&amp;$I306&amp;$H306&amp;$N306&amp;$O306,APOIO_REDES!$W:$W,0),MATCH(BA$5,APOIO_REDES!$5:$5,0)),0))*$M306/10,0)</f>
        <v>12.615923165563</v>
      </c>
      <c r="BB306" s="153" t="n">
        <f aca="false">IFERROR(IF($N306="VCA",INDEX(APOIO_REDES!$A:$W,MATCH($C306&amp;$I306&amp;$H306&amp;$N306&amp;$O306,APOIO_REDES!$W:$W,0),MATCH(BB$5,APOIO_REDES!$5:$5,0)),0)*($AI306+$AQ306+$AR306),0)</f>
        <v>46.5951577427515</v>
      </c>
      <c r="BC306" s="153" t="n">
        <f aca="false">IFERROR(IF($N306="VCA",INDEX(APOIO_REDES!$A:$W,MATCH($C306&amp;$I306&amp;$H306&amp;$N306&amp;$O306,APOIO_REDES!$W:$W,0),MATCH(BC$5,APOIO_REDES!$5:$5,0)),0)*($AI306+$AQ306+$AR306),0)</f>
        <v>0.512545757248509</v>
      </c>
      <c r="BD306" s="153" t="n">
        <f aca="false">IF(AND($N306="VCA",$AF306&gt;=1.25,$AF306&lt;1.5),$M306*$AF306*2,0)</f>
        <v>426.70078</v>
      </c>
      <c r="BE306" s="153" t="n">
        <f aca="false">IF(AND($N306="VCA",$AF306&gt;=1.5,$AF306&lt;3),$M306*$AF306*2,0)</f>
        <v>0</v>
      </c>
      <c r="BF306" s="153" t="n">
        <f aca="false">IF(AND($N306="VCA",$AF306&gt;=3),$M306*$AF306*2,0)</f>
        <v>0</v>
      </c>
      <c r="BG306" s="153" t="n">
        <f aca="false">($BB306+$BC306)*$AK306</f>
        <v>141.3231105</v>
      </c>
      <c r="BH306" s="153" t="n">
        <f aca="false">IF(AND($M306&lt;&gt;"",$N306="VCA",$Q306="LINEAR"),($M306*2)/100,IF(AND($M306&lt;&gt;"",$N306="MND",$Q306="EMBOQUE"),($AN306*2)/100,0))</f>
        <v>3.1306</v>
      </c>
      <c r="BI306" s="153" t="n">
        <f aca="false">IF(AND($M306&lt;&gt;"",$N306="VCA",$Q306="LINEAR"),$M306,IF(AND($M306&lt;&gt;"",$N306="MND",$Q306="EMBOQUE"),$AN306*2,0))</f>
        <v>156.53</v>
      </c>
      <c r="BJ306" s="153" t="n">
        <f aca="false">IF(AND($M306&lt;&gt;"",$N306="VCA",$Q306="LINEAR"),($M306*6.8)/100,IF(AND($M306&lt;&gt;"",$N306="MND",$Q306="EMBOQUE"),($AN306*2*6.8)/100,0))</f>
        <v>10.64404</v>
      </c>
      <c r="BK306" s="153" t="n">
        <f aca="false">IF(AND($M306&lt;&gt;"",$N306="VCA",$Q306="LINEAR"),($M306*2.5)/50,IF(AND($M306&lt;&gt;"",$N306="MND",$Q306="EMBOQUE"),($AN306*2*2.5)/50,0))</f>
        <v>7.8265</v>
      </c>
      <c r="BL306" s="157" t="str">
        <f aca="false">K306&amp;J306</f>
        <v>Zona03REDES</v>
      </c>
      <c r="BM306" s="152" t="s">
        <v>2526</v>
      </c>
      <c r="BN306" s="152" t="s">
        <v>1560</v>
      </c>
      <c r="BO306" s="152" t="s">
        <v>2645</v>
      </c>
      <c r="BP306" s="152" t="s">
        <v>2676</v>
      </c>
      <c r="BQ306" s="152" t="s">
        <v>2601</v>
      </c>
      <c r="BR306" s="152" t="s">
        <v>2693</v>
      </c>
      <c r="BS306" s="152" t="n">
        <v>203848.688</v>
      </c>
      <c r="BT306" s="152" t="n">
        <v>8238127.594</v>
      </c>
      <c r="BU306" s="152" t="n">
        <v>203730.913</v>
      </c>
      <c r="BV306" s="152" t="n">
        <v>8238025.206</v>
      </c>
      <c r="BW306" s="152" t="n">
        <v>-15.9188647</v>
      </c>
      <c r="BX306" s="152" t="n">
        <v>-47.7665073</v>
      </c>
      <c r="BY306" s="152" t="s">
        <v>2676</v>
      </c>
    </row>
    <row r="307" customFormat="false" ht="13.8" hidden="false" customHeight="false" outlineLevel="0" collapsed="false">
      <c r="A307" s="149" t="n">
        <f aca="false">IF(C307&lt;&gt;"",ROW(A302),"")</f>
        <v>302</v>
      </c>
      <c r="B307" s="150" t="str">
        <f aca="false">HYPERLINK("https://www.google.com/maps/dir/-15.917302,-47.760003/-15.9183855,-47.7650509/data=!4m3!4m2!3e0!5i1")</f>
        <v>https://www.google.com/maps/dir/-15.917302,-47.760003/-15.9183855,-47.7650509/data=!4m3!4m2!3e0!5i1</v>
      </c>
      <c r="C307" s="151" t="s">
        <v>117</v>
      </c>
      <c r="D307" s="152" t="s">
        <v>112</v>
      </c>
      <c r="E307" s="152" t="s">
        <v>113</v>
      </c>
      <c r="F307" s="152" t="s">
        <v>117</v>
      </c>
      <c r="G307" s="152" t="s">
        <v>782</v>
      </c>
      <c r="H307" s="152" t="n">
        <v>63</v>
      </c>
      <c r="I307" s="152" t="s">
        <v>115</v>
      </c>
      <c r="J307" s="152" t="s">
        <v>6</v>
      </c>
      <c r="K307" s="152" t="s">
        <v>2522</v>
      </c>
      <c r="L307" s="152" t="s">
        <v>120</v>
      </c>
      <c r="M307" s="153" t="n">
        <f aca="false">186.41</f>
        <v>186.41</v>
      </c>
      <c r="N307" s="152" t="s">
        <v>1548</v>
      </c>
      <c r="O307" s="152" t="s">
        <v>1549</v>
      </c>
      <c r="P307" s="152" t="s">
        <v>1550</v>
      </c>
      <c r="Q307" s="152" t="s">
        <v>1551</v>
      </c>
      <c r="R307" s="154" t="s">
        <v>2694</v>
      </c>
      <c r="S307" s="154" t="s">
        <v>1553</v>
      </c>
      <c r="T307" s="155" t="s">
        <v>2643</v>
      </c>
      <c r="U307" s="152" t="str">
        <f aca="false">RIGHT(T307,7)</f>
        <v>007/037</v>
      </c>
      <c r="V307" s="152" t="s">
        <v>1555</v>
      </c>
      <c r="W307" s="156" t="n">
        <v>45882</v>
      </c>
      <c r="X307" s="152" t="s">
        <v>1594</v>
      </c>
      <c r="Y307" s="152" t="s">
        <v>2524</v>
      </c>
      <c r="Z307" s="152" t="s">
        <v>1557</v>
      </c>
      <c r="AA307" s="153" t="n">
        <v>3.1</v>
      </c>
      <c r="AB307" s="151" t="s">
        <v>2695</v>
      </c>
      <c r="AC307" s="151" t="s">
        <v>186</v>
      </c>
      <c r="AD307" s="151" t="str">
        <f aca="false">CONCATENATE($C307,$I307,$H307,$N307,$J307,$K307)</f>
        <v>TUBO PEADPEAD63VCAREDESZona03</v>
      </c>
      <c r="AE307" s="153" t="n">
        <f aca="false">IFERROR(INDEX(APOIO_REDES!$A:$W,MATCH($C307&amp;$I307&amp;$H307&amp;$N307&amp;$O307,APOIO_REDES!$W:$W,0),MATCH(AE$5,APOIO_REDES!$5:$5,0)),0)</f>
        <v>1.2</v>
      </c>
      <c r="AF307" s="153" t="n">
        <f aca="false">IFERROR(INDEX(APOIO_REDES!$A:$W,MATCH($C307&amp;$I307&amp;$H307&amp;$N307&amp;$O307,APOIO_REDES!$W:$W,0),MATCH(AF$5,APOIO_REDES!$5:$5,0)),0)</f>
        <v>1.363</v>
      </c>
      <c r="AG307" s="153" t="n">
        <f aca="false">IFERROR(INDEX(APOIO_REDES!$A:$W,MATCH($C307&amp;$I307&amp;$H307&amp;$N307&amp;$O307,APOIO_REDES!$W:$W,0),MATCH(AG$5,APOIO_REDES!$5:$5,0)),0)</f>
        <v>0.65</v>
      </c>
      <c r="AH307" s="153" t="n">
        <f aca="false">IFERROR(INDEX(APOIO_REDES!$A:$W,MATCH($C307&amp;$I307&amp;$H307&amp;$N307&amp;$O307,APOIO_REDES!$W:$W,0),MATCH(AH$5,APOIO_REDES!$5:$5,0)),0)</f>
        <v>0.1</v>
      </c>
      <c r="AI307" s="153" t="n">
        <f aca="false">IFERROR(IF($H307&lt;&gt;"",(((($H307/1000)/2)^2)*PI()*$M307),0),0)</f>
        <v>0.581085698334867</v>
      </c>
      <c r="AJ307" s="153" t="n">
        <f aca="false">IFERROR(IF(AND($H307&lt;&gt;"",$I307="FoFo",OR($N307="MND",$N307="VCA"),$Q307="LINEAR"),0,IF(AND($H307&lt;&gt;"",$I307="PEAD",$N307="VCA",$Q307="LINEAR"),($H307/1000)+0.3,IF(AND($H307&lt;&gt;"",$I307="PEAD",$N307="MND",$Q307="EMBOQUE"),0,IF(AND($H307&lt;&gt;"",$I307="PVC",$N307="VCA",$Q307="LINEAR"),($H307/1000)+0.2,IF(AND($H307&lt;&gt;"",$I307="PVC",$N307="MND",$Q307="EMBOQUE"),0,IF(AND($H307&lt;&gt;"",$I307="PEAD",$N307="VCA",$Q307="PREDIAL"),0,0)))))),0)</f>
        <v>0.363</v>
      </c>
      <c r="AK307" s="153" t="n">
        <f aca="false">IF(AA307&lt;&gt;"",AA307,0)</f>
        <v>3.1</v>
      </c>
      <c r="AL307" s="153" t="n">
        <f aca="false">IF(AND($N307="MND",$Q307="EMBOQUE"),$M307,IF(AND($N307="VCA",$Q307="LINEAR"),$M307,IF(AND($N307="VCA",$Q307="PREDIAL"),0,0)))</f>
        <v>186.41</v>
      </c>
      <c r="AM307" s="153" t="n">
        <f aca="false">IF(AND($N307="MND",$Q307="EMBOQUE"),$M307,IF(AND($N307="VCA",$Q307="LINEAR"),$M307,IF(AND($N307="VCA",$Q307="PREDIAL"),0,0)))</f>
        <v>186.41</v>
      </c>
      <c r="AN307" s="153" t="n">
        <f aca="false">ROUND(IF(AND($N307="VCA",$M307&lt;&gt;"",$Q307="LINEAR"),$M307/100,IF(AND($N307="MND",$M307&gt;100,$Q307="EMBOQUE"),$M307/100,0)),0)</f>
        <v>2</v>
      </c>
      <c r="AO307" s="153" t="n">
        <f aca="false">IF(AND($N307="MND",$Q307="EMBOQUE"),$AN307*2*2,IF(AND($N307="VCA",$Q307="LINEAR"),$M307*2,IF(AND($N307="VCA",$Q307="PREDIAL"),0,0)))</f>
        <v>372.82</v>
      </c>
      <c r="AP307" s="153" t="n">
        <f aca="false">IFERROR($M307*$AF307*$AG307,0)</f>
        <v>165.1499395</v>
      </c>
      <c r="AQ307" s="153" t="n">
        <f aca="false">IFERROR(IF(AND($N307="VCA",$AH307&gt;0),$M307*$AG307*$AH307,0),0)</f>
        <v>12.11665</v>
      </c>
      <c r="AR307" s="153" t="n">
        <f aca="false">IFERROR(IF(AND($N307="VCA",$AJ307&gt;0),($M307*$AG307*$AJ307)-$AI307,0),0)</f>
        <v>43.4023538016651</v>
      </c>
      <c r="AS307" s="153" t="n">
        <f aca="false">IFERROR(IF(AND($N307="VCA",$AP307&gt;0),$AP307-$AI307-$AQ307-$AR307,0),0)</f>
        <v>109.04985</v>
      </c>
      <c r="AT307" s="153" t="n">
        <f aca="false">IFERROR(IF($N307="VCA",INDEX(APOIO_REDES!$A:$W,MATCH($C307&amp;$I307&amp;$H307&amp;$N307&amp;$O307,APOIO_REDES!$W:$W,0),MATCH(AT$5,APOIO_REDES!$5:$5,0)),0)*$AP307,0)</f>
        <v>1.79688022364692</v>
      </c>
      <c r="AU307" s="153" t="n">
        <f aca="false">IFERROR(IF($N307="VCA",INDEX(APOIO_REDES!$A:$W,MATCH($C307&amp;$I307&amp;$H307&amp;$N307&amp;$O307,APOIO_REDES!$W:$W,0),MATCH(AU$5,APOIO_REDES!$5:$5,0)),0)*$AP307,0)</f>
        <v>1.43493988091617</v>
      </c>
      <c r="AV307" s="153" t="n">
        <f aca="false">IFERROR(IF($N307="VCA",INDEX(APOIO_REDES!$A:$W,MATCH($C307&amp;$I307&amp;$H307&amp;$N307&amp;$O307,APOIO_REDES!$W:$W,0),MATCH(AV$5,APOIO_REDES!$5:$5,0)),0)*$AP307,0)</f>
        <v>0.198584414799065</v>
      </c>
      <c r="AW307" s="153" t="n">
        <f aca="false">IFERROR(IF($N307="VCA",INDEX(APOIO_REDES!$A:$W,MATCH($C307&amp;$I307&amp;$H307&amp;$N307&amp;$O307,APOIO_REDES!$W:$W,0),MATCH(AW$5,APOIO_REDES!$5:$5,0)),0)*$AP307,0)</f>
        <v>113.360198116975</v>
      </c>
      <c r="AX307" s="153" t="n">
        <f aca="false">IFERROR(IF($N307="VCA",INDEX(APOIO_REDES!$A:$W,MATCH($C307&amp;$I307&amp;$H307&amp;$N307&amp;$O307,APOIO_REDES!$W:$W,0),MATCH(AX$5,APOIO_REDES!$5:$5,0)),0)*$AP307,0)</f>
        <v>15.6887285067526</v>
      </c>
      <c r="AY307" s="153" t="n">
        <f aca="false">IFERROR(IF($N307="VCA",INDEX(APOIO_REDES!$A:$W,MATCH($C307&amp;$I307&amp;$H307&amp;$N307&amp;$O307,APOIO_REDES!$W:$W,0),MATCH(AY$5,APOIO_REDES!$5:$5,0)),0)*$AP307,0)</f>
        <v>28.6987801265225</v>
      </c>
      <c r="AZ307" s="153" t="n">
        <f aca="false">IFERROR(IF($N307="VCA",INDEX(APOIO_REDES!$A:$W,MATCH($C307&amp;$I307&amp;$H307&amp;$N307&amp;$O307,APOIO_REDES!$W:$W,0),MATCH(AZ$5,APOIO_REDES!$5:$5,0)),0)*$AP307,0)</f>
        <v>3.97182823038791</v>
      </c>
      <c r="BA307" s="153" t="n">
        <f aca="false">IFERROR(IF(AND($N307="VCA",$Q307="LINEAR"),INDEX(APOIO_REDES!$A:$W,MATCH($C307&amp;$I307&amp;$H307&amp;$N307&amp;$O307,APOIO_REDES!$W:$W,0),MATCH(BA$5,APOIO_REDES!$5:$5,0)),IF(AND($N307="MND",$Q307="EMBOQUE"),INDEX(APOIO_REDES!$A:$W,MATCH($C307&amp;$I307&amp;$H307&amp;$N307&amp;$O307,APOIO_REDES!$W:$W,0),MATCH(BA$5,APOIO_REDES!$5:$5,0)),0))*$M307/10,0)</f>
        <v>15.0241757956468</v>
      </c>
      <c r="BB307" s="153" t="n">
        <f aca="false">IFERROR(IF($N307="VCA",INDEX(APOIO_REDES!$A:$W,MATCH($C307&amp;$I307&amp;$H307&amp;$N307&amp;$O307,APOIO_REDES!$W:$W,0),MATCH(BB$5,APOIO_REDES!$5:$5,0)),0)*($AI307+$AQ307+$AR307),0)</f>
        <v>55.4897039214611</v>
      </c>
      <c r="BC307" s="153" t="n">
        <f aca="false">IFERROR(IF($N307="VCA",INDEX(APOIO_REDES!$A:$W,MATCH($C307&amp;$I307&amp;$H307&amp;$N307&amp;$O307,APOIO_REDES!$W:$W,0),MATCH(BC$5,APOIO_REDES!$5:$5,0)),0)*($AI307+$AQ307+$AR307),0)</f>
        <v>0.610385578538903</v>
      </c>
      <c r="BD307" s="153" t="n">
        <f aca="false">IF(AND($N307="VCA",$AF307&gt;=1.25,$AF307&lt;1.5),$M307*$AF307*2,0)</f>
        <v>508.15366</v>
      </c>
      <c r="BE307" s="153" t="n">
        <f aca="false">IF(AND($N307="VCA",$AF307&gt;=1.5,$AF307&lt;3),$M307*$AF307*2,0)</f>
        <v>0</v>
      </c>
      <c r="BF307" s="153" t="n">
        <f aca="false">IF(AND($N307="VCA",$AF307&gt;=3),$M307*$AF307*2,0)</f>
        <v>0</v>
      </c>
      <c r="BG307" s="153" t="n">
        <f aca="false">($BB307+$BC307)*$AK307</f>
        <v>173.91027745</v>
      </c>
      <c r="BH307" s="153" t="n">
        <f aca="false">IF(AND($M307&lt;&gt;"",$N307="VCA",$Q307="LINEAR"),($M307*2)/100,IF(AND($M307&lt;&gt;"",$N307="MND",$Q307="EMBOQUE"),($AN307*2)/100,0))</f>
        <v>3.7282</v>
      </c>
      <c r="BI307" s="153" t="n">
        <f aca="false">IF(AND($M307&lt;&gt;"",$N307="VCA",$Q307="LINEAR"),$M307,IF(AND($M307&lt;&gt;"",$N307="MND",$Q307="EMBOQUE"),$AN307*2,0))</f>
        <v>186.41</v>
      </c>
      <c r="BJ307" s="153" t="n">
        <f aca="false">IF(AND($M307&lt;&gt;"",$N307="VCA",$Q307="LINEAR"),($M307*6.8)/100,IF(AND($M307&lt;&gt;"",$N307="MND",$Q307="EMBOQUE"),($AN307*2*6.8)/100,0))</f>
        <v>12.67588</v>
      </c>
      <c r="BK307" s="153" t="n">
        <f aca="false">IF(AND($M307&lt;&gt;"",$N307="VCA",$Q307="LINEAR"),($M307*2.5)/50,IF(AND($M307&lt;&gt;"",$N307="MND",$Q307="EMBOQUE"),($AN307*2*2.5)/50,0))</f>
        <v>9.3205</v>
      </c>
      <c r="BL307" s="157" t="str">
        <f aca="false">K307&amp;J307</f>
        <v>Zona03REDES</v>
      </c>
      <c r="BM307" s="152" t="s">
        <v>2526</v>
      </c>
      <c r="BN307" s="152" t="s">
        <v>1560</v>
      </c>
      <c r="BO307" s="152" t="s">
        <v>2645</v>
      </c>
      <c r="BP307" s="152" t="s">
        <v>2672</v>
      </c>
      <c r="BQ307" s="152" t="s">
        <v>2696</v>
      </c>
      <c r="BR307" s="152" t="s">
        <v>2697</v>
      </c>
      <c r="BS307" s="152" t="n">
        <v>203944.769</v>
      </c>
      <c r="BT307" s="152" t="n">
        <v>8238131.941</v>
      </c>
      <c r="BU307" s="152" t="n">
        <v>203826.699</v>
      </c>
      <c r="BV307" s="152" t="n">
        <v>8237999.36</v>
      </c>
      <c r="BW307" s="152" t="n">
        <v>-15.9190084</v>
      </c>
      <c r="BX307" s="152" t="n">
        <v>-47.7655941</v>
      </c>
      <c r="BY307" s="152" t="s">
        <v>2672</v>
      </c>
    </row>
    <row r="308" customFormat="false" ht="13.8" hidden="false" customHeight="false" outlineLevel="0" collapsed="false">
      <c r="A308" s="149" t="n">
        <f aca="false">IF(C308&lt;&gt;"",ROW(A303),"")</f>
        <v>303</v>
      </c>
      <c r="B308" s="150" t="str">
        <f aca="false">HYPERLINK("https://www.google.com/maps/dir/-15.917302,-47.760003/-15.9195800,-47.7668810/data=!4m3!4m2!3e0!5i0")</f>
        <v>https://www.google.com/maps/dir/-15.917302,-47.760003/-15.9195800,-47.7668810/data=!4m3!4m2!3e0!5i0</v>
      </c>
      <c r="C308" s="151" t="s">
        <v>117</v>
      </c>
      <c r="D308" s="152" t="s">
        <v>112</v>
      </c>
      <c r="E308" s="152" t="s">
        <v>113</v>
      </c>
      <c r="F308" s="152" t="s">
        <v>117</v>
      </c>
      <c r="G308" s="152" t="s">
        <v>782</v>
      </c>
      <c r="H308" s="152" t="n">
        <v>63</v>
      </c>
      <c r="I308" s="152" t="s">
        <v>115</v>
      </c>
      <c r="J308" s="152" t="s">
        <v>6</v>
      </c>
      <c r="K308" s="152" t="s">
        <v>2522</v>
      </c>
      <c r="L308" s="152" t="s">
        <v>120</v>
      </c>
      <c r="M308" s="153" t="n">
        <f aca="false">158.75</f>
        <v>158.75</v>
      </c>
      <c r="N308" s="152" t="s">
        <v>1548</v>
      </c>
      <c r="O308" s="152" t="s">
        <v>1549</v>
      </c>
      <c r="P308" s="152" t="s">
        <v>1550</v>
      </c>
      <c r="Q308" s="152" t="s">
        <v>1551</v>
      </c>
      <c r="R308" s="154" t="s">
        <v>2698</v>
      </c>
      <c r="S308" s="154" t="s">
        <v>1553</v>
      </c>
      <c r="T308" s="155" t="s">
        <v>2643</v>
      </c>
      <c r="U308" s="152" t="str">
        <f aca="false">RIGHT(T308,7)</f>
        <v>007/037</v>
      </c>
      <c r="V308" s="152" t="s">
        <v>1555</v>
      </c>
      <c r="W308" s="156" t="n">
        <v>45882</v>
      </c>
      <c r="X308" s="152" t="s">
        <v>1594</v>
      </c>
      <c r="Y308" s="152" t="s">
        <v>2524</v>
      </c>
      <c r="Z308" s="152" t="s">
        <v>1557</v>
      </c>
      <c r="AA308" s="153" t="n">
        <v>2.8</v>
      </c>
      <c r="AB308" s="151" t="s">
        <v>2699</v>
      </c>
      <c r="AC308" s="151" t="s">
        <v>186</v>
      </c>
      <c r="AD308" s="151" t="str">
        <f aca="false">CONCATENATE($C308,$I308,$H308,$N308,$J308,$K308)</f>
        <v>TUBO PEADPEAD63VCAREDESZona03</v>
      </c>
      <c r="AE308" s="153" t="n">
        <f aca="false">IFERROR(INDEX(APOIO_REDES!$A:$W,MATCH($C308&amp;$I308&amp;$H308&amp;$N308&amp;$O308,APOIO_REDES!$W:$W,0),MATCH(AE$5,APOIO_REDES!$5:$5,0)),0)</f>
        <v>1.2</v>
      </c>
      <c r="AF308" s="153" t="n">
        <f aca="false">IFERROR(INDEX(APOIO_REDES!$A:$W,MATCH($C308&amp;$I308&amp;$H308&amp;$N308&amp;$O308,APOIO_REDES!$W:$W,0),MATCH(AF$5,APOIO_REDES!$5:$5,0)),0)</f>
        <v>1.363</v>
      </c>
      <c r="AG308" s="153" t="n">
        <f aca="false">IFERROR(INDEX(APOIO_REDES!$A:$W,MATCH($C308&amp;$I308&amp;$H308&amp;$N308&amp;$O308,APOIO_REDES!$W:$W,0),MATCH(AG$5,APOIO_REDES!$5:$5,0)),0)</f>
        <v>0.65</v>
      </c>
      <c r="AH308" s="153" t="n">
        <f aca="false">IFERROR(INDEX(APOIO_REDES!$A:$W,MATCH($C308&amp;$I308&amp;$H308&amp;$N308&amp;$O308,APOIO_REDES!$W:$W,0),MATCH(AH$5,APOIO_REDES!$5:$5,0)),0)</f>
        <v>0.1</v>
      </c>
      <c r="AI308" s="153" t="n">
        <f aca="false">IFERROR(IF($H308&lt;&gt;"",(((($H308/1000)/2)^2)*PI()*$M308),0),0)</f>
        <v>0.49486269304576</v>
      </c>
      <c r="AJ308" s="153" t="n">
        <f aca="false">IFERROR(IF(AND($H308&lt;&gt;"",$I308="FoFo",OR($N308="MND",$N308="VCA"),$Q308="LINEAR"),0,IF(AND($H308&lt;&gt;"",$I308="PEAD",$N308="VCA",$Q308="LINEAR"),($H308/1000)+0.3,IF(AND($H308&lt;&gt;"",$I308="PEAD",$N308="MND",$Q308="EMBOQUE"),0,IF(AND($H308&lt;&gt;"",$I308="PVC",$N308="VCA",$Q308="LINEAR"),($H308/1000)+0.2,IF(AND($H308&lt;&gt;"",$I308="PVC",$N308="MND",$Q308="EMBOQUE"),0,IF(AND($H308&lt;&gt;"",$I308="PEAD",$N308="VCA",$Q308="PREDIAL"),0,0)))))),0)</f>
        <v>0.363</v>
      </c>
      <c r="AK308" s="153" t="n">
        <f aca="false">IF(AA308&lt;&gt;"",AA308,0)</f>
        <v>2.8</v>
      </c>
      <c r="AL308" s="153" t="n">
        <f aca="false">IF(AND($N308="MND",$Q308="EMBOQUE"),$M308,IF(AND($N308="VCA",$Q308="LINEAR"),$M308,IF(AND($N308="VCA",$Q308="PREDIAL"),0,0)))</f>
        <v>158.75</v>
      </c>
      <c r="AM308" s="153" t="n">
        <f aca="false">IF(AND($N308="MND",$Q308="EMBOQUE"),$M308,IF(AND($N308="VCA",$Q308="LINEAR"),$M308,IF(AND($N308="VCA",$Q308="PREDIAL"),0,0)))</f>
        <v>158.75</v>
      </c>
      <c r="AN308" s="153" t="n">
        <f aca="false">ROUND(IF(AND($N308="VCA",$M308&lt;&gt;"",$Q308="LINEAR"),$M308/100,IF(AND($N308="MND",$M308&gt;100,$Q308="EMBOQUE"),$M308/100,0)),0)</f>
        <v>2</v>
      </c>
      <c r="AO308" s="153" t="n">
        <f aca="false">IF(AND($N308="MND",$Q308="EMBOQUE"),$AN308*2*2,IF(AND($N308="VCA",$Q308="LINEAR"),$M308*2,IF(AND($N308="VCA",$Q308="PREDIAL"),0,0)))</f>
        <v>317.5</v>
      </c>
      <c r="AP308" s="153" t="n">
        <f aca="false">IFERROR($M308*$AF308*$AG308,0)</f>
        <v>140.6445625</v>
      </c>
      <c r="AQ308" s="153" t="n">
        <f aca="false">IFERROR(IF(AND($N308="VCA",$AH308&gt;0),$M308*$AG308*$AH308,0),0)</f>
        <v>10.31875</v>
      </c>
      <c r="AR308" s="153" t="n">
        <f aca="false">IFERROR(IF(AND($N308="VCA",$AJ308&gt;0),($M308*$AG308*$AJ308)-$AI308,0),0)</f>
        <v>36.9621998069542</v>
      </c>
      <c r="AS308" s="153" t="n">
        <f aca="false">IFERROR(IF(AND($N308="VCA",$AP308&gt;0),$AP308-$AI308-$AQ308-$AR308,0),0)</f>
        <v>92.86875</v>
      </c>
      <c r="AT308" s="153" t="n">
        <f aca="false">IFERROR(IF($N308="VCA",INDEX(APOIO_REDES!$A:$W,MATCH($C308&amp;$I308&amp;$H308&amp;$N308&amp;$O308,APOIO_REDES!$W:$W,0),MATCH(AT$5,APOIO_REDES!$5:$5,0)),0)*$AP308,0)</f>
        <v>1.53025446866557</v>
      </c>
      <c r="AU308" s="153" t="n">
        <f aca="false">IFERROR(IF($N308="VCA",INDEX(APOIO_REDES!$A:$W,MATCH($C308&amp;$I308&amp;$H308&amp;$N308&amp;$O308,APOIO_REDES!$W:$W,0),MATCH(AU$5,APOIO_REDES!$5:$5,0)),0)*$AP308,0)</f>
        <v>1.22201977412929</v>
      </c>
      <c r="AV308" s="153" t="n">
        <f aca="false">IFERROR(IF($N308="VCA",INDEX(APOIO_REDES!$A:$W,MATCH($C308&amp;$I308&amp;$H308&amp;$N308&amp;$O308,APOIO_REDES!$W:$W,0),MATCH(AV$5,APOIO_REDES!$5:$5,0)),0)*$AP308,0)</f>
        <v>0.169117943508135</v>
      </c>
      <c r="AW308" s="153" t="n">
        <f aca="false">IFERROR(IF($N308="VCA",INDEX(APOIO_REDES!$A:$W,MATCH($C308&amp;$I308&amp;$H308&amp;$N308&amp;$O308,APOIO_REDES!$W:$W,0),MATCH(AW$5,APOIO_REDES!$5:$5,0)),0)*$AP308,0)</f>
        <v>96.5395174672483</v>
      </c>
      <c r="AX308" s="153" t="n">
        <f aca="false">IFERROR(IF($N308="VCA",INDEX(APOIO_REDES!$A:$W,MATCH($C308&amp;$I308&amp;$H308&amp;$N308&amp;$O308,APOIO_REDES!$W:$W,0),MATCH(AX$5,APOIO_REDES!$5:$5,0)),0)*$AP308,0)</f>
        <v>13.3607942194462</v>
      </c>
      <c r="AY308" s="153" t="n">
        <f aca="false">IFERROR(IF($N308="VCA",INDEX(APOIO_REDES!$A:$W,MATCH($C308&amp;$I308&amp;$H308&amp;$N308&amp;$O308,APOIO_REDES!$W:$W,0),MATCH(AY$5,APOIO_REDES!$5:$5,0)),0)*$AP308,0)</f>
        <v>24.4403805862639</v>
      </c>
      <c r="AZ308" s="153" t="n">
        <f aca="false">IFERROR(IF($N308="VCA",INDEX(APOIO_REDES!$A:$W,MATCH($C308&amp;$I308&amp;$H308&amp;$N308&amp;$O308,APOIO_REDES!$W:$W,0),MATCH(AZ$5,APOIO_REDES!$5:$5,0)),0)*$AP308,0)</f>
        <v>3.38247804073859</v>
      </c>
      <c r="BA308" s="153" t="n">
        <f aca="false">IFERROR(IF(AND($N308="VCA",$Q308="LINEAR"),INDEX(APOIO_REDES!$A:$W,MATCH($C308&amp;$I308&amp;$H308&amp;$N308&amp;$O308,APOIO_REDES!$W:$W,0),MATCH(BA$5,APOIO_REDES!$5:$5,0)),IF(AND($N308="MND",$Q308="EMBOQUE"),INDEX(APOIO_REDES!$A:$W,MATCH($C308&amp;$I308&amp;$H308&amp;$N308&amp;$O308,APOIO_REDES!$W:$W,0),MATCH(BA$5,APOIO_REDES!$5:$5,0)),0))*$M308/10,0)</f>
        <v>12.7948495657901</v>
      </c>
      <c r="BB308" s="153" t="n">
        <f aca="false">IFERROR(IF($N308="VCA",INDEX(APOIO_REDES!$A:$W,MATCH($C308&amp;$I308&amp;$H308&amp;$N308&amp;$O308,APOIO_REDES!$W:$W,0),MATCH(BB$5,APOIO_REDES!$5:$5,0)),0)*($AI308+$AQ308+$AR308),0)</f>
        <v>47.2559975190813</v>
      </c>
      <c r="BC308" s="153" t="n">
        <f aca="false">IFERROR(IF($N308="VCA",INDEX(APOIO_REDES!$A:$W,MATCH($C308&amp;$I308&amp;$H308&amp;$N308&amp;$O308,APOIO_REDES!$W:$W,0),MATCH(BC$5,APOIO_REDES!$5:$5,0)),0)*($AI308+$AQ308+$AR308),0)</f>
        <v>0.519814980918678</v>
      </c>
      <c r="BD308" s="153" t="n">
        <f aca="false">IF(AND($N308="VCA",$AF308&gt;=1.25,$AF308&lt;1.5),$M308*$AF308*2,0)</f>
        <v>432.7525</v>
      </c>
      <c r="BE308" s="153" t="n">
        <f aca="false">IF(AND($N308="VCA",$AF308&gt;=1.5,$AF308&lt;3),$M308*$AF308*2,0)</f>
        <v>0</v>
      </c>
      <c r="BF308" s="153" t="n">
        <f aca="false">IF(AND($N308="VCA",$AF308&gt;=3),$M308*$AF308*2,0)</f>
        <v>0</v>
      </c>
      <c r="BG308" s="153" t="n">
        <f aca="false">($BB308+$BC308)*$AK308</f>
        <v>133.772275</v>
      </c>
      <c r="BH308" s="153" t="n">
        <f aca="false">IF(AND($M308&lt;&gt;"",$N308="VCA",$Q308="LINEAR"),($M308*2)/100,IF(AND($M308&lt;&gt;"",$N308="MND",$Q308="EMBOQUE"),($AN308*2)/100,0))</f>
        <v>3.175</v>
      </c>
      <c r="BI308" s="153" t="n">
        <f aca="false">IF(AND($M308&lt;&gt;"",$N308="VCA",$Q308="LINEAR"),$M308,IF(AND($M308&lt;&gt;"",$N308="MND",$Q308="EMBOQUE"),$AN308*2,0))</f>
        <v>158.75</v>
      </c>
      <c r="BJ308" s="153" t="n">
        <f aca="false">IF(AND($M308&lt;&gt;"",$N308="VCA",$Q308="LINEAR"),($M308*6.8)/100,IF(AND($M308&lt;&gt;"",$N308="MND",$Q308="EMBOQUE"),($AN308*2*6.8)/100,0))</f>
        <v>10.795</v>
      </c>
      <c r="BK308" s="153" t="n">
        <f aca="false">IF(AND($M308&lt;&gt;"",$N308="VCA",$Q308="LINEAR"),($M308*2.5)/50,IF(AND($M308&lt;&gt;"",$N308="MND",$Q308="EMBOQUE"),($AN308*2*2.5)/50,0))</f>
        <v>7.9375</v>
      </c>
      <c r="BL308" s="157" t="str">
        <f aca="false">K308&amp;J308</f>
        <v>Zona03REDES</v>
      </c>
      <c r="BM308" s="152" t="s">
        <v>2526</v>
      </c>
      <c r="BN308" s="152" t="s">
        <v>1560</v>
      </c>
      <c r="BO308" s="152" t="s">
        <v>2645</v>
      </c>
      <c r="BP308" s="152" t="s">
        <v>2617</v>
      </c>
      <c r="BQ308" s="152" t="s">
        <v>2684</v>
      </c>
      <c r="BR308" s="152" t="s">
        <v>2700</v>
      </c>
      <c r="BS308" s="152" t="n">
        <v>203750.442</v>
      </c>
      <c r="BT308" s="152" t="n">
        <v>8237997.082</v>
      </c>
      <c r="BU308" s="152" t="n">
        <v>203867.466</v>
      </c>
      <c r="BV308" s="152" t="n">
        <v>8238100.151</v>
      </c>
      <c r="BW308" s="152" t="n">
        <v>-15.9191289</v>
      </c>
      <c r="BX308" s="152" t="n">
        <v>-47.7663065</v>
      </c>
      <c r="BY308" s="152" t="s">
        <v>2617</v>
      </c>
    </row>
    <row r="309" customFormat="false" ht="13.8" hidden="false" customHeight="false" outlineLevel="0" collapsed="false">
      <c r="A309" s="149" t="n">
        <f aca="false">IF(C309&lt;&gt;"",ROW(A304),"")</f>
        <v>304</v>
      </c>
      <c r="B309" s="150" t="str">
        <f aca="false">HYPERLINK("https://www.google.com/maps/dir/-15.917302,-47.760003/-15.9193237,-47.7670598/data=!4m3!4m2!3e0!5i0")</f>
        <v>https://www.google.com/maps/dir/-15.917302,-47.760003/-15.9193237,-47.7670598/data=!4m3!4m2!3e0!5i0</v>
      </c>
      <c r="C309" s="151" t="s">
        <v>117</v>
      </c>
      <c r="D309" s="152" t="s">
        <v>112</v>
      </c>
      <c r="E309" s="152" t="s">
        <v>113</v>
      </c>
      <c r="F309" s="152" t="s">
        <v>117</v>
      </c>
      <c r="G309" s="152" t="s">
        <v>782</v>
      </c>
      <c r="H309" s="152" t="n">
        <v>110</v>
      </c>
      <c r="I309" s="152" t="s">
        <v>115</v>
      </c>
      <c r="J309" s="152" t="s">
        <v>6</v>
      </c>
      <c r="K309" s="152" t="s">
        <v>2522</v>
      </c>
      <c r="L309" s="152" t="s">
        <v>120</v>
      </c>
      <c r="M309" s="153" t="n">
        <f aca="false">34.2</f>
        <v>34.2</v>
      </c>
      <c r="N309" s="152" t="s">
        <v>1548</v>
      </c>
      <c r="O309" s="152" t="s">
        <v>1549</v>
      </c>
      <c r="P309" s="152" t="s">
        <v>1550</v>
      </c>
      <c r="Q309" s="152" t="s">
        <v>1551</v>
      </c>
      <c r="R309" s="154" t="s">
        <v>2701</v>
      </c>
      <c r="S309" s="154" t="s">
        <v>1593</v>
      </c>
      <c r="T309" s="155" t="s">
        <v>2643</v>
      </c>
      <c r="U309" s="152" t="str">
        <f aca="false">RIGHT(T309,7)</f>
        <v>007/037</v>
      </c>
      <c r="V309" s="152" t="s">
        <v>1555</v>
      </c>
      <c r="W309" s="156" t="n">
        <v>45882</v>
      </c>
      <c r="X309" s="152" t="s">
        <v>1594</v>
      </c>
      <c r="Y309" s="152" t="s">
        <v>2524</v>
      </c>
      <c r="Z309" s="152" t="s">
        <v>1557</v>
      </c>
      <c r="AA309" s="153" t="n">
        <v>2.8</v>
      </c>
      <c r="AB309" s="151" t="s">
        <v>2702</v>
      </c>
      <c r="AC309" s="151" t="s">
        <v>502</v>
      </c>
      <c r="AD309" s="151" t="str">
        <f aca="false">CONCATENATE($C309,$I309,$H309,$N309,$J309,$K309)</f>
        <v>TUBO PEADPEAD110VCAREDESZona03</v>
      </c>
      <c r="AE309" s="153" t="n">
        <f aca="false">IFERROR(INDEX(APOIO_REDES!$A:$W,MATCH($C309&amp;$I309&amp;$H309&amp;$N309&amp;$O309,APOIO_REDES!$W:$W,0),MATCH(AE$5,APOIO_REDES!$5:$5,0)),0)</f>
        <v>1.2</v>
      </c>
      <c r="AF309" s="153" t="n">
        <f aca="false">IFERROR(INDEX(APOIO_REDES!$A:$W,MATCH($C309&amp;$I309&amp;$H309&amp;$N309&amp;$O309,APOIO_REDES!$W:$W,0),MATCH(AF$5,APOIO_REDES!$5:$5,0)),0)</f>
        <v>1.41</v>
      </c>
      <c r="AG309" s="153" t="n">
        <f aca="false">IFERROR(INDEX(APOIO_REDES!$A:$W,MATCH($C309&amp;$I309&amp;$H309&amp;$N309&amp;$O309,APOIO_REDES!$W:$W,0),MATCH(AG$5,APOIO_REDES!$5:$5,0)),0)</f>
        <v>0.75</v>
      </c>
      <c r="AH309" s="153" t="n">
        <f aca="false">IFERROR(INDEX(APOIO_REDES!$A:$W,MATCH($C309&amp;$I309&amp;$H309&amp;$N309&amp;$O309,APOIO_REDES!$W:$W,0),MATCH(AH$5,APOIO_REDES!$5:$5,0)),0)</f>
        <v>0.1</v>
      </c>
      <c r="AI309" s="153" t="n">
        <f aca="false">IFERROR(IF($H309&lt;&gt;"",(((($H309/1000)/2)^2)*PI()*$M309),0),0)</f>
        <v>0.325013467977132</v>
      </c>
      <c r="AJ309" s="153" t="n">
        <f aca="false">IFERROR(IF(AND($H309&lt;&gt;"",$I309="FoFo",OR($N309="MND",$N309="VCA"),$Q309="LINEAR"),0,IF(AND($H309&lt;&gt;"",$I309="PEAD",$N309="VCA",$Q309="LINEAR"),($H309/1000)+0.3,IF(AND($H309&lt;&gt;"",$I309="PEAD",$N309="MND",$Q309="EMBOQUE"),0,IF(AND($H309&lt;&gt;"",$I309="PVC",$N309="VCA",$Q309="LINEAR"),($H309/1000)+0.2,IF(AND($H309&lt;&gt;"",$I309="PVC",$N309="MND",$Q309="EMBOQUE"),0,IF(AND($H309&lt;&gt;"",$I309="PEAD",$N309="VCA",$Q309="PREDIAL"),0,0)))))),0)</f>
        <v>0.41</v>
      </c>
      <c r="AK309" s="153" t="n">
        <f aca="false">IF(AA309&lt;&gt;"",AA309,0)</f>
        <v>2.8</v>
      </c>
      <c r="AL309" s="153" t="n">
        <f aca="false">IF(AND($N309="MND",$Q309="EMBOQUE"),$M309,IF(AND($N309="VCA",$Q309="LINEAR"),$M309,IF(AND($N309="VCA",$Q309="PREDIAL"),0,0)))</f>
        <v>34.2</v>
      </c>
      <c r="AM309" s="153" t="n">
        <f aca="false">IF(AND($N309="MND",$Q309="EMBOQUE"),$M309,IF(AND($N309="VCA",$Q309="LINEAR"),$M309,IF(AND($N309="VCA",$Q309="PREDIAL"),0,0)))</f>
        <v>34.2</v>
      </c>
      <c r="AN309" s="153" t="n">
        <f aca="false">ROUND(IF(AND($N309="VCA",$M309&lt;&gt;"",$Q309="LINEAR"),$M309/100,IF(AND($N309="MND",$M309&gt;100,$Q309="EMBOQUE"),$M309/100,0)),0)</f>
        <v>0</v>
      </c>
      <c r="AO309" s="153" t="n">
        <f aca="false">IF(AND($N309="MND",$Q309="EMBOQUE"),$AN309*2*2,IF(AND($N309="VCA",$Q309="LINEAR"),$M309*2,IF(AND($N309="VCA",$Q309="PREDIAL"),0,0)))</f>
        <v>68.4</v>
      </c>
      <c r="AP309" s="153" t="n">
        <f aca="false">IFERROR($M309*$AF309*$AG309,0)</f>
        <v>36.1665</v>
      </c>
      <c r="AQ309" s="153" t="n">
        <f aca="false">IFERROR(IF(AND($N309="VCA",$AH309&gt;0),$M309*$AG309*$AH309,0),0)</f>
        <v>2.565</v>
      </c>
      <c r="AR309" s="153" t="n">
        <f aca="false">IFERROR(IF(AND($N309="VCA",$AJ309&gt;0),($M309*$AG309*$AJ309)-$AI309,0),0)</f>
        <v>10.1914865320229</v>
      </c>
      <c r="AS309" s="153" t="n">
        <f aca="false">IFERROR(IF(AND($N309="VCA",$AP309&gt;0),$AP309-$AI309-$AQ309-$AR309,0),0)</f>
        <v>23.085</v>
      </c>
      <c r="AT309" s="153" t="n">
        <f aca="false">IFERROR(IF($N309="VCA",INDEX(APOIO_REDES!$A:$W,MATCH($C309&amp;$I309&amp;$H309&amp;$N309&amp;$O309,APOIO_REDES!$W:$W,0),MATCH(AT$5,APOIO_REDES!$5:$5,0)),0)*$AP309,0)</f>
        <v>0.393502224737578</v>
      </c>
      <c r="AU309" s="153" t="n">
        <f aca="false">IFERROR(IF($N309="VCA",INDEX(APOIO_REDES!$A:$W,MATCH($C309&amp;$I309&amp;$H309&amp;$N309&amp;$O309,APOIO_REDES!$W:$W,0),MATCH(AU$5,APOIO_REDES!$5:$5,0)),0)*$AP309,0)</f>
        <v>0.314240219283608</v>
      </c>
      <c r="AV309" s="153" t="n">
        <f aca="false">IFERROR(IF($N309="VCA",INDEX(APOIO_REDES!$A:$W,MATCH($C309&amp;$I309&amp;$H309&amp;$N309&amp;$O309,APOIO_REDES!$W:$W,0),MATCH(AV$5,APOIO_REDES!$5:$5,0)),0)*$AP309,0)</f>
        <v>0.0434883794664083</v>
      </c>
      <c r="AW309" s="153" t="n">
        <f aca="false">IFERROR(IF($N309="VCA",INDEX(APOIO_REDES!$A:$W,MATCH($C309&amp;$I309&amp;$H309&amp;$N309&amp;$O309,APOIO_REDES!$W:$W,0),MATCH(AW$5,APOIO_REDES!$5:$5,0)),0)*$AP309,0)</f>
        <v>24.8249658317166</v>
      </c>
      <c r="AX309" s="153" t="n">
        <f aca="false">IFERROR(IF($N309="VCA",INDEX(APOIO_REDES!$A:$W,MATCH($C309&amp;$I309&amp;$H309&amp;$N309&amp;$O309,APOIO_REDES!$W:$W,0),MATCH(AX$5,APOIO_REDES!$5:$5,0)),0)*$AP309,0)</f>
        <v>3.43570455585585</v>
      </c>
      <c r="AY309" s="153" t="n">
        <f aca="false">IFERROR(IF($N309="VCA",INDEX(APOIO_REDES!$A:$W,MATCH($C309&amp;$I309&amp;$H309&amp;$N309&amp;$O309,APOIO_REDES!$W:$W,0),MATCH(AY$5,APOIO_REDES!$5:$5,0)),0)*$AP309,0)</f>
        <v>6.28480055510936</v>
      </c>
      <c r="AZ309" s="153" t="n">
        <f aca="false">IFERROR(IF($N309="VCA",INDEX(APOIO_REDES!$A:$W,MATCH($C309&amp;$I309&amp;$H309&amp;$N309&amp;$O309,APOIO_REDES!$W:$W,0),MATCH(AZ$5,APOIO_REDES!$5:$5,0)),0)*$AP309,0)</f>
        <v>0.869798233830564</v>
      </c>
      <c r="BA309" s="153" t="n">
        <f aca="false">IFERROR(IF(AND($N309="VCA",$Q309="LINEAR"),INDEX(APOIO_REDES!$A:$W,MATCH($C309&amp;$I309&amp;$H309&amp;$N309&amp;$O309,APOIO_REDES!$W:$W,0),MATCH(BA$5,APOIO_REDES!$5:$5,0)),IF(AND($N309="MND",$Q309="EMBOQUE"),INDEX(APOIO_REDES!$A:$W,MATCH($C309&amp;$I309&amp;$H309&amp;$N309&amp;$O309,APOIO_REDES!$W:$W,0),MATCH(BA$5,APOIO_REDES!$5:$5,0)),0))*$M309/10,0)</f>
        <v>2.75643373322849</v>
      </c>
      <c r="BB309" s="153" t="n">
        <f aca="false">IFERROR(IF($N309="VCA",INDEX(APOIO_REDES!$A:$W,MATCH($C309&amp;$I309&amp;$H309&amp;$N309&amp;$O309,APOIO_REDES!$W:$W,0),MATCH(BB$5,APOIO_REDES!$5:$5,0)),0)*($AI309+$AQ309+$AR309),0)</f>
        <v>12.9391694080736</v>
      </c>
      <c r="BC309" s="153" t="n">
        <f aca="false">IFERROR(IF($N309="VCA",INDEX(APOIO_REDES!$A:$W,MATCH($C309&amp;$I309&amp;$H309&amp;$N309&amp;$O309,APOIO_REDES!$W:$W,0),MATCH(BC$5,APOIO_REDES!$5:$5,0)),0)*($AI309+$AQ309+$AR309),0)</f>
        <v>0.142330591926358</v>
      </c>
      <c r="BD309" s="153" t="n">
        <f aca="false">IF(AND($N309="VCA",$AF309&gt;=1.25,$AF309&lt;1.5),$M309*$AF309*2,0)</f>
        <v>96.444</v>
      </c>
      <c r="BE309" s="153" t="n">
        <f aca="false">IF(AND($N309="VCA",$AF309&gt;=1.5,$AF309&lt;3),$M309*$AF309*2,0)</f>
        <v>0</v>
      </c>
      <c r="BF309" s="153" t="n">
        <f aca="false">IF(AND($N309="VCA",$AF309&gt;=3),$M309*$AF309*2,0)</f>
        <v>0</v>
      </c>
      <c r="BG309" s="153" t="n">
        <f aca="false">($BB309+$BC309)*$AK309</f>
        <v>36.6282</v>
      </c>
      <c r="BH309" s="153" t="n">
        <f aca="false">IF(AND($M309&lt;&gt;"",$N309="VCA",$Q309="LINEAR"),($M309*2)/100,IF(AND($M309&lt;&gt;"",$N309="MND",$Q309="EMBOQUE"),($AN309*2)/100,0))</f>
        <v>0.684</v>
      </c>
      <c r="BI309" s="153" t="n">
        <f aca="false">IF(AND($M309&lt;&gt;"",$N309="VCA",$Q309="LINEAR"),$M309,IF(AND($M309&lt;&gt;"",$N309="MND",$Q309="EMBOQUE"),$AN309*2,0))</f>
        <v>34.2</v>
      </c>
      <c r="BJ309" s="153" t="n">
        <f aca="false">IF(AND($M309&lt;&gt;"",$N309="VCA",$Q309="LINEAR"),($M309*6.8)/100,IF(AND($M309&lt;&gt;"",$N309="MND",$Q309="EMBOQUE"),($AN309*2*6.8)/100,0))</f>
        <v>2.3256</v>
      </c>
      <c r="BK309" s="153" t="n">
        <f aca="false">IF(AND($M309&lt;&gt;"",$N309="VCA",$Q309="LINEAR"),($M309*2.5)/50,IF(AND($M309&lt;&gt;"",$N309="MND",$Q309="EMBOQUE"),($AN309*2*2.5)/50,0))</f>
        <v>1.71</v>
      </c>
      <c r="BL309" s="157" t="str">
        <f aca="false">K309&amp;J309</f>
        <v>Zona03REDES</v>
      </c>
      <c r="BM309" s="152" t="s">
        <v>2526</v>
      </c>
      <c r="BN309" s="152" t="s">
        <v>1560</v>
      </c>
      <c r="BO309" s="152" t="s">
        <v>2645</v>
      </c>
      <c r="BP309" s="152" t="s">
        <v>2601</v>
      </c>
      <c r="BQ309" s="152" t="s">
        <v>2617</v>
      </c>
      <c r="BR309" s="152" t="s">
        <v>2703</v>
      </c>
      <c r="BS309" s="152" t="n">
        <v>203730.593</v>
      </c>
      <c r="BT309" s="152" t="n">
        <v>8238024.938</v>
      </c>
      <c r="BU309" s="152" t="n">
        <v>203750.442</v>
      </c>
      <c r="BV309" s="152" t="n">
        <v>8237997.082</v>
      </c>
      <c r="BW309" s="152" t="n">
        <v>-15.9194531</v>
      </c>
      <c r="BX309" s="152" t="n">
        <v>-47.7669719</v>
      </c>
      <c r="BY309" s="152" t="s">
        <v>2601</v>
      </c>
    </row>
    <row r="310" customFormat="false" ht="13.8" hidden="false" customHeight="false" outlineLevel="0" collapsed="false">
      <c r="A310" s="149" t="n">
        <f aca="false">IF(C310&lt;&gt;"",ROW(A305),"")</f>
        <v>305</v>
      </c>
      <c r="B310" s="150" t="str">
        <f aca="false">HYPERLINK("https://www.google.com/maps/dir/-15.917302,-47.760003/-15.9195881,-47.7661944/data=!4m3!4m2!3e0!5i1")</f>
        <v>https://www.google.com/maps/dir/-15.917302,-47.760003/-15.9195881,-47.7661944/data=!4m3!4m2!3e0!5i1</v>
      </c>
      <c r="C310" s="151" t="s">
        <v>117</v>
      </c>
      <c r="D310" s="152" t="s">
        <v>112</v>
      </c>
      <c r="E310" s="152" t="s">
        <v>113</v>
      </c>
      <c r="F310" s="152" t="s">
        <v>117</v>
      </c>
      <c r="G310" s="152" t="s">
        <v>782</v>
      </c>
      <c r="H310" s="152" t="n">
        <v>110</v>
      </c>
      <c r="I310" s="152" t="s">
        <v>115</v>
      </c>
      <c r="J310" s="152" t="s">
        <v>6</v>
      </c>
      <c r="K310" s="152" t="s">
        <v>2522</v>
      </c>
      <c r="L310" s="152" t="s">
        <v>120</v>
      </c>
      <c r="M310" s="153" t="n">
        <f aca="false">3.46</f>
        <v>3.46</v>
      </c>
      <c r="N310" s="152" t="s">
        <v>1548</v>
      </c>
      <c r="O310" s="152" t="s">
        <v>1549</v>
      </c>
      <c r="P310" s="152" t="s">
        <v>1550</v>
      </c>
      <c r="Q310" s="152" t="s">
        <v>1551</v>
      </c>
      <c r="R310" s="154" t="s">
        <v>2704</v>
      </c>
      <c r="S310" s="154" t="s">
        <v>1593</v>
      </c>
      <c r="T310" s="155" t="s">
        <v>2643</v>
      </c>
      <c r="U310" s="152" t="str">
        <f aca="false">RIGHT(T310,7)</f>
        <v>007/037</v>
      </c>
      <c r="V310" s="152" t="s">
        <v>1555</v>
      </c>
      <c r="W310" s="156" t="n">
        <v>45882</v>
      </c>
      <c r="X310" s="152" t="s">
        <v>1594</v>
      </c>
      <c r="Y310" s="152" t="s">
        <v>2524</v>
      </c>
      <c r="Z310" s="152" t="s">
        <v>1557</v>
      </c>
      <c r="AA310" s="153" t="n">
        <v>3.5</v>
      </c>
      <c r="AB310" s="151" t="s">
        <v>2705</v>
      </c>
      <c r="AC310" s="151" t="s">
        <v>502</v>
      </c>
      <c r="AD310" s="151" t="str">
        <f aca="false">CONCATENATE($C310,$I310,$H310,$N310,$J310,$K310)</f>
        <v>TUBO PEADPEAD110VCAREDESZona03</v>
      </c>
      <c r="AE310" s="153" t="n">
        <f aca="false">IFERROR(INDEX(APOIO_REDES!$A:$W,MATCH($C310&amp;$I310&amp;$H310&amp;$N310&amp;$O310,APOIO_REDES!$W:$W,0),MATCH(AE$5,APOIO_REDES!$5:$5,0)),0)</f>
        <v>1.2</v>
      </c>
      <c r="AF310" s="153" t="n">
        <f aca="false">IFERROR(INDEX(APOIO_REDES!$A:$W,MATCH($C310&amp;$I310&amp;$H310&amp;$N310&amp;$O310,APOIO_REDES!$W:$W,0),MATCH(AF$5,APOIO_REDES!$5:$5,0)),0)</f>
        <v>1.41</v>
      </c>
      <c r="AG310" s="153" t="n">
        <f aca="false">IFERROR(INDEX(APOIO_REDES!$A:$W,MATCH($C310&amp;$I310&amp;$H310&amp;$N310&amp;$O310,APOIO_REDES!$W:$W,0),MATCH(AG$5,APOIO_REDES!$5:$5,0)),0)</f>
        <v>0.75</v>
      </c>
      <c r="AH310" s="153" t="n">
        <f aca="false">IFERROR(INDEX(APOIO_REDES!$A:$W,MATCH($C310&amp;$I310&amp;$H310&amp;$N310&amp;$O310,APOIO_REDES!$W:$W,0),MATCH(AH$5,APOIO_REDES!$5:$5,0)),0)</f>
        <v>0.1</v>
      </c>
      <c r="AI310" s="153" t="n">
        <f aca="false">IFERROR(IF($H310&lt;&gt;"",(((($H310/1000)/2)^2)*PI()*$M310),0),0)</f>
        <v>0.0328814795087976</v>
      </c>
      <c r="AJ310" s="153" t="n">
        <f aca="false">IFERROR(IF(AND($H310&lt;&gt;"",$I310="FoFo",OR($N310="MND",$N310="VCA"),$Q310="LINEAR"),0,IF(AND($H310&lt;&gt;"",$I310="PEAD",$N310="VCA",$Q310="LINEAR"),($H310/1000)+0.3,IF(AND($H310&lt;&gt;"",$I310="PEAD",$N310="MND",$Q310="EMBOQUE"),0,IF(AND($H310&lt;&gt;"",$I310="PVC",$N310="VCA",$Q310="LINEAR"),($H310/1000)+0.2,IF(AND($H310&lt;&gt;"",$I310="PVC",$N310="MND",$Q310="EMBOQUE"),0,IF(AND($H310&lt;&gt;"",$I310="PEAD",$N310="VCA",$Q310="PREDIAL"),0,0)))))),0)</f>
        <v>0.41</v>
      </c>
      <c r="AK310" s="153" t="n">
        <f aca="false">IF(AA310&lt;&gt;"",AA310,0)</f>
        <v>3.5</v>
      </c>
      <c r="AL310" s="153" t="n">
        <f aca="false">IF(AND($N310="MND",$Q310="EMBOQUE"),$M310,IF(AND($N310="VCA",$Q310="LINEAR"),$M310,IF(AND($N310="VCA",$Q310="PREDIAL"),0,0)))</f>
        <v>3.46</v>
      </c>
      <c r="AM310" s="153" t="n">
        <f aca="false">IF(AND($N310="MND",$Q310="EMBOQUE"),$M310,IF(AND($N310="VCA",$Q310="LINEAR"),$M310,IF(AND($N310="VCA",$Q310="PREDIAL"),0,0)))</f>
        <v>3.46</v>
      </c>
      <c r="AN310" s="153" t="n">
        <f aca="false">ROUND(IF(AND($N310="VCA",$M310&lt;&gt;"",$Q310="LINEAR"),$M310/100,IF(AND($N310="MND",$M310&gt;100,$Q310="EMBOQUE"),$M310/100,0)),0)</f>
        <v>0</v>
      </c>
      <c r="AO310" s="153" t="n">
        <f aca="false">IF(AND($N310="MND",$Q310="EMBOQUE"),$AN310*2*2,IF(AND($N310="VCA",$Q310="LINEAR"),$M310*2,IF(AND($N310="VCA",$Q310="PREDIAL"),0,0)))</f>
        <v>6.92</v>
      </c>
      <c r="AP310" s="153" t="n">
        <f aca="false">IFERROR($M310*$AF310*$AG310,0)</f>
        <v>3.65895</v>
      </c>
      <c r="AQ310" s="153" t="n">
        <f aca="false">IFERROR(IF(AND($N310="VCA",$AH310&gt;0),$M310*$AG310*$AH310,0),0)</f>
        <v>0.2595</v>
      </c>
      <c r="AR310" s="153" t="n">
        <f aca="false">IFERROR(IF(AND($N310="VCA",$AJ310&gt;0),($M310*$AG310*$AJ310)-$AI310,0),0)</f>
        <v>1.0310685204912</v>
      </c>
      <c r="AS310" s="153" t="n">
        <f aca="false">IFERROR(IF(AND($N310="VCA",$AP310&gt;0),$AP310-$AI310-$AQ310-$AR310,0),0)</f>
        <v>2.3355</v>
      </c>
      <c r="AT310" s="153" t="n">
        <f aca="false">IFERROR(IF($N310="VCA",INDEX(APOIO_REDES!$A:$W,MATCH($C310&amp;$I310&amp;$H310&amp;$N310&amp;$O310,APOIO_REDES!$W:$W,0),MATCH(AT$5,APOIO_REDES!$5:$5,0)),0)*$AP310,0)</f>
        <v>0.0398104589939187</v>
      </c>
      <c r="AU310" s="153" t="n">
        <f aca="false">IFERROR(IF($N310="VCA",INDEX(APOIO_REDES!$A:$W,MATCH($C310&amp;$I310&amp;$H310&amp;$N310&amp;$O310,APOIO_REDES!$W:$W,0),MATCH(AU$5,APOIO_REDES!$5:$5,0)),0)*$AP310,0)</f>
        <v>0.0317915543485756</v>
      </c>
      <c r="AV310" s="153" t="n">
        <f aca="false">IFERROR(IF($N310="VCA",INDEX(APOIO_REDES!$A:$W,MATCH($C310&amp;$I310&amp;$H310&amp;$N310&amp;$O310,APOIO_REDES!$W:$W,0),MATCH(AV$5,APOIO_REDES!$5:$5,0)),0)*$AP310,0)</f>
        <v>0.00439970154835592</v>
      </c>
      <c r="AW310" s="153" t="n">
        <f aca="false">IFERROR(IF($N310="VCA",INDEX(APOIO_REDES!$A:$W,MATCH($C310&amp;$I310&amp;$H310&amp;$N310&amp;$O310,APOIO_REDES!$W:$W,0),MATCH(AW$5,APOIO_REDES!$5:$5,0)),0)*$AP310,0)</f>
        <v>2.51153163092806</v>
      </c>
      <c r="AX310" s="153" t="n">
        <f aca="false">IFERROR(IF($N310="VCA",INDEX(APOIO_REDES!$A:$W,MATCH($C310&amp;$I310&amp;$H310&amp;$N310&amp;$O310,APOIO_REDES!$W:$W,0),MATCH(AX$5,APOIO_REDES!$5:$5,0)),0)*$AP310,0)</f>
        <v>0.347588823487171</v>
      </c>
      <c r="AY310" s="153" t="n">
        <f aca="false">IFERROR(IF($N310="VCA",INDEX(APOIO_REDES!$A:$W,MATCH($C310&amp;$I310&amp;$H310&amp;$N310&amp;$O310,APOIO_REDES!$W:$W,0),MATCH(AY$5,APOIO_REDES!$5:$5,0)),0)*$AP310,0)</f>
        <v>0.635830699435041</v>
      </c>
      <c r="AZ310" s="153" t="n">
        <f aca="false">IFERROR(IF($N310="VCA",INDEX(APOIO_REDES!$A:$W,MATCH($C310&amp;$I310&amp;$H310&amp;$N310&amp;$O310,APOIO_REDES!$W:$W,0),MATCH(AZ$5,APOIO_REDES!$5:$5,0)),0)*$AP310,0)</f>
        <v>0.0879971312588816</v>
      </c>
      <c r="BA310" s="153" t="n">
        <f aca="false">IFERROR(IF(AND($N310="VCA",$Q310="LINEAR"),INDEX(APOIO_REDES!$A:$W,MATCH($C310&amp;$I310&amp;$H310&amp;$N310&amp;$O310,APOIO_REDES!$W:$W,0),MATCH(BA$5,APOIO_REDES!$5:$5,0)),IF(AND($N310="MND",$Q310="EMBOQUE"),INDEX(APOIO_REDES!$A:$W,MATCH($C310&amp;$I310&amp;$H310&amp;$N310&amp;$O310,APOIO_REDES!$W:$W,0),MATCH(BA$5,APOIO_REDES!$5:$5,0)),0))*$M310/10,0)</f>
        <v>0.27886727242604</v>
      </c>
      <c r="BB310" s="153" t="n">
        <f aca="false">IFERROR(IF($N310="VCA",INDEX(APOIO_REDES!$A:$W,MATCH($C310&amp;$I310&amp;$H310&amp;$N310&amp;$O310,APOIO_REDES!$W:$W,0),MATCH(BB$5,APOIO_REDES!$5:$5,0)),0)*($AI310+$AQ310+$AR310),0)</f>
        <v>1.3090504722788</v>
      </c>
      <c r="BC310" s="153" t="n">
        <f aca="false">IFERROR(IF($N310="VCA",INDEX(APOIO_REDES!$A:$W,MATCH($C310&amp;$I310&amp;$H310&amp;$N310&amp;$O310,APOIO_REDES!$W:$W,0),MATCH(BC$5,APOIO_REDES!$5:$5,0)),0)*($AI310+$AQ310+$AR310),0)</f>
        <v>0.0143995277212046</v>
      </c>
      <c r="BD310" s="153" t="n">
        <f aca="false">IF(AND($N310="VCA",$AF310&gt;=1.25,$AF310&lt;1.5),$M310*$AF310*2,0)</f>
        <v>9.7572</v>
      </c>
      <c r="BE310" s="153" t="n">
        <f aca="false">IF(AND($N310="VCA",$AF310&gt;=1.5,$AF310&lt;3),$M310*$AF310*2,0)</f>
        <v>0</v>
      </c>
      <c r="BF310" s="153" t="n">
        <f aca="false">IF(AND($N310="VCA",$AF310&gt;=3),$M310*$AF310*2,0)</f>
        <v>0</v>
      </c>
      <c r="BG310" s="153" t="n">
        <f aca="false">($BB310+$BC310)*$AK310</f>
        <v>4.632075</v>
      </c>
      <c r="BH310" s="153" t="n">
        <f aca="false">IF(AND($M310&lt;&gt;"",$N310="VCA",$Q310="LINEAR"),($M310*2)/100,IF(AND($M310&lt;&gt;"",$N310="MND",$Q310="EMBOQUE"),($AN310*2)/100,0))</f>
        <v>0.0692</v>
      </c>
      <c r="BI310" s="153" t="n">
        <f aca="false">IF(AND($M310&lt;&gt;"",$N310="VCA",$Q310="LINEAR"),$M310,IF(AND($M310&lt;&gt;"",$N310="MND",$Q310="EMBOQUE"),$AN310*2,0))</f>
        <v>3.46</v>
      </c>
      <c r="BJ310" s="153" t="n">
        <f aca="false">IF(AND($M310&lt;&gt;"",$N310="VCA",$Q310="LINEAR"),($M310*6.8)/100,IF(AND($M310&lt;&gt;"",$N310="MND",$Q310="EMBOQUE"),($AN310*2*6.8)/100,0))</f>
        <v>0.23528</v>
      </c>
      <c r="BK310" s="153" t="n">
        <f aca="false">IF(AND($M310&lt;&gt;"",$N310="VCA",$Q310="LINEAR"),($M310*2.5)/50,IF(AND($M310&lt;&gt;"",$N310="MND",$Q310="EMBOQUE"),($AN310*2*2.5)/50,0))</f>
        <v>0.173</v>
      </c>
      <c r="BL310" s="157" t="str">
        <f aca="false">K310&amp;J310</f>
        <v>Zona03REDES</v>
      </c>
      <c r="BM310" s="152" t="s">
        <v>2526</v>
      </c>
      <c r="BN310" s="152" t="s">
        <v>1560</v>
      </c>
      <c r="BO310" s="152" t="s">
        <v>2645</v>
      </c>
      <c r="BP310" s="152" t="s">
        <v>2706</v>
      </c>
      <c r="BQ310" s="152" t="s">
        <v>2696</v>
      </c>
      <c r="BR310" s="152" t="s">
        <v>2707</v>
      </c>
      <c r="BS310" s="152" t="n">
        <v>203824.023</v>
      </c>
      <c r="BT310" s="152" t="n">
        <v>8237997.163</v>
      </c>
      <c r="BU310" s="152" t="n">
        <v>203826.699</v>
      </c>
      <c r="BV310" s="152" t="n">
        <v>8237999.36</v>
      </c>
      <c r="BW310" s="152" t="n">
        <v>-15.9195784</v>
      </c>
      <c r="BX310" s="152" t="n">
        <v>-47.7661817</v>
      </c>
      <c r="BY310" s="152" t="s">
        <v>2706</v>
      </c>
    </row>
    <row r="311" customFormat="false" ht="13.8" hidden="false" customHeight="false" outlineLevel="0" collapsed="false">
      <c r="A311" s="149" t="n">
        <f aca="false">IF(C311&lt;&gt;"",ROW(A306),"")</f>
        <v>306</v>
      </c>
      <c r="B311" s="150" t="str">
        <f aca="false">HYPERLINK("https://www.google.com/maps/dir/-15.917302,-47.760003/-15.9200487,-47.7660041/data=!4m3!4m2!3e0!5i1")</f>
        <v>https://www.google.com/maps/dir/-15.917302,-47.760003/-15.9200487,-47.7660041/data=!4m3!4m2!3e0!5i1</v>
      </c>
      <c r="C311" s="151" t="s">
        <v>117</v>
      </c>
      <c r="D311" s="152" t="s">
        <v>112</v>
      </c>
      <c r="E311" s="152" t="s">
        <v>113</v>
      </c>
      <c r="F311" s="152" t="s">
        <v>117</v>
      </c>
      <c r="G311" s="152" t="s">
        <v>782</v>
      </c>
      <c r="H311" s="152" t="n">
        <v>63</v>
      </c>
      <c r="I311" s="152" t="s">
        <v>115</v>
      </c>
      <c r="J311" s="152" t="s">
        <v>6</v>
      </c>
      <c r="K311" s="152" t="s">
        <v>2522</v>
      </c>
      <c r="L311" s="152" t="s">
        <v>120</v>
      </c>
      <c r="M311" s="153" t="n">
        <f aca="false">54.93</f>
        <v>54.93</v>
      </c>
      <c r="N311" s="152" t="s">
        <v>1548</v>
      </c>
      <c r="O311" s="152" t="s">
        <v>1549</v>
      </c>
      <c r="P311" s="152" t="s">
        <v>1550</v>
      </c>
      <c r="Q311" s="152" t="s">
        <v>1551</v>
      </c>
      <c r="R311" s="154" t="s">
        <v>2708</v>
      </c>
      <c r="S311" s="154" t="s">
        <v>1553</v>
      </c>
      <c r="T311" s="155" t="s">
        <v>2643</v>
      </c>
      <c r="U311" s="152" t="str">
        <f aca="false">RIGHT(T311,7)</f>
        <v>007/037</v>
      </c>
      <c r="V311" s="152" t="s">
        <v>1555</v>
      </c>
      <c r="W311" s="156" t="n">
        <v>45882</v>
      </c>
      <c r="X311" s="152" t="s">
        <v>1594</v>
      </c>
      <c r="Y311" s="152" t="s">
        <v>2524</v>
      </c>
      <c r="Z311" s="152" t="s">
        <v>1557</v>
      </c>
      <c r="AA311" s="153" t="n">
        <v>3.5</v>
      </c>
      <c r="AB311" s="151" t="s">
        <v>2709</v>
      </c>
      <c r="AC311" s="151" t="s">
        <v>186</v>
      </c>
      <c r="AD311" s="151" t="str">
        <f aca="false">CONCATENATE($C311,$I311,$H311,$N311,$J311,$K311)</f>
        <v>TUBO PEADPEAD63VCAREDESZona03</v>
      </c>
      <c r="AE311" s="153" t="n">
        <f aca="false">IFERROR(INDEX(APOIO_REDES!$A:$W,MATCH($C311&amp;$I311&amp;$H311&amp;$N311&amp;$O311,APOIO_REDES!$W:$W,0),MATCH(AE$5,APOIO_REDES!$5:$5,0)),0)</f>
        <v>1.2</v>
      </c>
      <c r="AF311" s="153" t="n">
        <f aca="false">IFERROR(INDEX(APOIO_REDES!$A:$W,MATCH($C311&amp;$I311&amp;$H311&amp;$N311&amp;$O311,APOIO_REDES!$W:$W,0),MATCH(AF$5,APOIO_REDES!$5:$5,0)),0)</f>
        <v>1.363</v>
      </c>
      <c r="AG311" s="153" t="n">
        <f aca="false">IFERROR(INDEX(APOIO_REDES!$A:$W,MATCH($C311&amp;$I311&amp;$H311&amp;$N311&amp;$O311,APOIO_REDES!$W:$W,0),MATCH(AG$5,APOIO_REDES!$5:$5,0)),0)</f>
        <v>0.65</v>
      </c>
      <c r="AH311" s="153" t="n">
        <f aca="false">IFERROR(INDEX(APOIO_REDES!$A:$W,MATCH($C311&amp;$I311&amp;$H311&amp;$N311&amp;$O311,APOIO_REDES!$W:$W,0),MATCH(AH$5,APOIO_REDES!$5:$5,0)),0)</f>
        <v>0.1</v>
      </c>
      <c r="AI311" s="153" t="n">
        <f aca="false">IFERROR(IF($H311&lt;&gt;"",(((($H311/1000)/2)^2)*PI()*$M311),0),0)</f>
        <v>0.171230284907109</v>
      </c>
      <c r="AJ311" s="153" t="n">
        <f aca="false">IFERROR(IF(AND($H311&lt;&gt;"",$I311="FoFo",OR($N311="MND",$N311="VCA"),$Q311="LINEAR"),0,IF(AND($H311&lt;&gt;"",$I311="PEAD",$N311="VCA",$Q311="LINEAR"),($H311/1000)+0.3,IF(AND($H311&lt;&gt;"",$I311="PEAD",$N311="MND",$Q311="EMBOQUE"),0,IF(AND($H311&lt;&gt;"",$I311="PVC",$N311="VCA",$Q311="LINEAR"),($H311/1000)+0.2,IF(AND($H311&lt;&gt;"",$I311="PVC",$N311="MND",$Q311="EMBOQUE"),0,IF(AND($H311&lt;&gt;"",$I311="PEAD",$N311="VCA",$Q311="PREDIAL"),0,0)))))),0)</f>
        <v>0.363</v>
      </c>
      <c r="AK311" s="153" t="n">
        <f aca="false">IF(AA311&lt;&gt;"",AA311,0)</f>
        <v>3.5</v>
      </c>
      <c r="AL311" s="153" t="n">
        <f aca="false">IF(AND($N311="MND",$Q311="EMBOQUE"),$M311,IF(AND($N311="VCA",$Q311="LINEAR"),$M311,IF(AND($N311="VCA",$Q311="PREDIAL"),0,0)))</f>
        <v>54.93</v>
      </c>
      <c r="AM311" s="153" t="n">
        <f aca="false">IF(AND($N311="MND",$Q311="EMBOQUE"),$M311,IF(AND($N311="VCA",$Q311="LINEAR"),$M311,IF(AND($N311="VCA",$Q311="PREDIAL"),0,0)))</f>
        <v>54.93</v>
      </c>
      <c r="AN311" s="153" t="n">
        <f aca="false">ROUND(IF(AND($N311="VCA",$M311&lt;&gt;"",$Q311="LINEAR"),$M311/100,IF(AND($N311="MND",$M311&gt;100,$Q311="EMBOQUE"),$M311/100,0)),0)</f>
        <v>1</v>
      </c>
      <c r="AO311" s="153" t="n">
        <f aca="false">IF(AND($N311="MND",$Q311="EMBOQUE"),$AN311*2*2,IF(AND($N311="VCA",$Q311="LINEAR"),$M311*2,IF(AND($N311="VCA",$Q311="PREDIAL"),0,0)))</f>
        <v>109.86</v>
      </c>
      <c r="AP311" s="153" t="n">
        <f aca="false">IFERROR($M311*$AF311*$AG311,0)</f>
        <v>48.6652335</v>
      </c>
      <c r="AQ311" s="153" t="n">
        <f aca="false">IFERROR(IF(AND($N311="VCA",$AH311&gt;0),$M311*$AG311*$AH311,0),0)</f>
        <v>3.57045</v>
      </c>
      <c r="AR311" s="153" t="n">
        <f aca="false">IFERROR(IF(AND($N311="VCA",$AJ311&gt;0),($M311*$AG311*$AJ311)-$AI311,0),0)</f>
        <v>12.7895032150929</v>
      </c>
      <c r="AS311" s="153" t="n">
        <f aca="false">IFERROR(IF(AND($N311="VCA",$AP311&gt;0),$AP311-$AI311-$AQ311-$AR311,0),0)</f>
        <v>32.13405</v>
      </c>
      <c r="AT311" s="153" t="n">
        <f aca="false">IFERROR(IF($N311="VCA",INDEX(APOIO_REDES!$A:$W,MATCH($C311&amp;$I311&amp;$H311&amp;$N311&amp;$O311,APOIO_REDES!$W:$W,0),MATCH(AT$5,APOIO_REDES!$5:$5,0)),0)*$AP311,0)</f>
        <v>0.529492144653857</v>
      </c>
      <c r="AU311" s="153" t="n">
        <f aca="false">IFERROR(IF($N311="VCA",INDEX(APOIO_REDES!$A:$W,MATCH($C311&amp;$I311&amp;$H311&amp;$N311&amp;$O311,APOIO_REDES!$W:$W,0),MATCH(AU$5,APOIO_REDES!$5:$5,0)),0)*$AP311,0)</f>
        <v>0.422838086254628</v>
      </c>
      <c r="AV311" s="153" t="n">
        <f aca="false">IFERROR(IF($N311="VCA",INDEX(APOIO_REDES!$A:$W,MATCH($C311&amp;$I311&amp;$H311&amp;$N311&amp;$O311,APOIO_REDES!$W:$W,0),MATCH(AV$5,APOIO_REDES!$5:$5,0)),0)*$AP311,0)</f>
        <v>0.0585174717285157</v>
      </c>
      <c r="AW311" s="153" t="n">
        <f aca="false">IFERROR(IF($N311="VCA",INDEX(APOIO_REDES!$A:$W,MATCH($C311&amp;$I311&amp;$H311&amp;$N311&amp;$O311,APOIO_REDES!$W:$W,0),MATCH(AW$5,APOIO_REDES!$5:$5,0)),0)*$AP311,0)</f>
        <v>33.4041933510296</v>
      </c>
      <c r="AX311" s="153" t="n">
        <f aca="false">IFERROR(IF($N311="VCA",INDEX(APOIO_REDES!$A:$W,MATCH($C311&amp;$I311&amp;$H311&amp;$N311&amp;$O311,APOIO_REDES!$W:$W,0),MATCH(AX$5,APOIO_REDES!$5:$5,0)),0)*$AP311,0)</f>
        <v>4.62304520613658</v>
      </c>
      <c r="AY311" s="153" t="n">
        <f aca="false">IFERROR(IF($N311="VCA",INDEX(APOIO_REDES!$A:$W,MATCH($C311&amp;$I311&amp;$H311&amp;$N311&amp;$O311,APOIO_REDES!$W:$W,0),MATCH(AY$5,APOIO_REDES!$5:$5,0)),0)*$AP311,0)</f>
        <v>8.45675657073056</v>
      </c>
      <c r="AZ311" s="153" t="n">
        <f aca="false">IFERROR(IF($N311="VCA",INDEX(APOIO_REDES!$A:$W,MATCH($C311&amp;$I311&amp;$H311&amp;$N311&amp;$O311,APOIO_REDES!$W:$W,0),MATCH(AZ$5,APOIO_REDES!$5:$5,0)),0)*$AP311,0)</f>
        <v>1.17039066946627</v>
      </c>
      <c r="BA311" s="153" t="n">
        <f aca="false">IFERROR(IF(AND($N311="VCA",$Q311="LINEAR"),INDEX(APOIO_REDES!$A:$W,MATCH($C311&amp;$I311&amp;$H311&amp;$N311&amp;$O311,APOIO_REDES!$W:$W,0),MATCH(BA$5,APOIO_REDES!$5:$5,0)),IF(AND($N311="MND",$Q311="EMBOQUE"),INDEX(APOIO_REDES!$A:$W,MATCH($C311&amp;$I311&amp;$H311&amp;$N311&amp;$O311,APOIO_REDES!$W:$W,0),MATCH(BA$5,APOIO_REDES!$5:$5,0)),0))*$M311/10,0)</f>
        <v>4.42721944345733</v>
      </c>
      <c r="BB311" s="153" t="n">
        <f aca="false">IFERROR(IF($N311="VCA",INDEX(APOIO_REDES!$A:$W,MATCH($C311&amp;$I311&amp;$H311&amp;$N311&amp;$O311,APOIO_REDES!$W:$W,0),MATCH(BB$5,APOIO_REDES!$5:$5,0)),0)*($AI311+$AQ311+$AR311),0)</f>
        <v>16.3513193305394</v>
      </c>
      <c r="BC311" s="153" t="n">
        <f aca="false">IFERROR(IF($N311="VCA",INDEX(APOIO_REDES!$A:$W,MATCH($C311&amp;$I311&amp;$H311&amp;$N311&amp;$O311,APOIO_REDES!$W:$W,0),MATCH(BC$5,APOIO_REDES!$5:$5,0)),0)*($AI311+$AQ311+$AR311),0)</f>
        <v>0.179864169460554</v>
      </c>
      <c r="BD311" s="153" t="n">
        <f aca="false">IF(AND($N311="VCA",$AF311&gt;=1.25,$AF311&lt;1.5),$M311*$AF311*2,0)</f>
        <v>149.73918</v>
      </c>
      <c r="BE311" s="153" t="n">
        <f aca="false">IF(AND($N311="VCA",$AF311&gt;=1.5,$AF311&lt;3),$M311*$AF311*2,0)</f>
        <v>0</v>
      </c>
      <c r="BF311" s="153" t="n">
        <f aca="false">IF(AND($N311="VCA",$AF311&gt;=3),$M311*$AF311*2,0)</f>
        <v>0</v>
      </c>
      <c r="BG311" s="153" t="n">
        <f aca="false">($BB311+$BC311)*$AK311</f>
        <v>57.85914225</v>
      </c>
      <c r="BH311" s="153" t="n">
        <f aca="false">IF(AND($M311&lt;&gt;"",$N311="VCA",$Q311="LINEAR"),($M311*2)/100,IF(AND($M311&lt;&gt;"",$N311="MND",$Q311="EMBOQUE"),($AN311*2)/100,0))</f>
        <v>1.0986</v>
      </c>
      <c r="BI311" s="153" t="n">
        <f aca="false">IF(AND($M311&lt;&gt;"",$N311="VCA",$Q311="LINEAR"),$M311,IF(AND($M311&lt;&gt;"",$N311="MND",$Q311="EMBOQUE"),$AN311*2,0))</f>
        <v>54.93</v>
      </c>
      <c r="BJ311" s="153" t="n">
        <f aca="false">IF(AND($M311&lt;&gt;"",$N311="VCA",$Q311="LINEAR"),($M311*6.8)/100,IF(AND($M311&lt;&gt;"",$N311="MND",$Q311="EMBOQUE"),($AN311*2*6.8)/100,0))</f>
        <v>3.73524</v>
      </c>
      <c r="BK311" s="153" t="n">
        <f aca="false">IF(AND($M311&lt;&gt;"",$N311="VCA",$Q311="LINEAR"),($M311*2.5)/50,IF(AND($M311&lt;&gt;"",$N311="MND",$Q311="EMBOQUE"),($AN311*2*2.5)/50,0))</f>
        <v>2.7465</v>
      </c>
      <c r="BL311" s="157" t="str">
        <f aca="false">K311&amp;J311</f>
        <v>Zona03REDES</v>
      </c>
      <c r="BM311" s="152" t="s">
        <v>2526</v>
      </c>
      <c r="BN311" s="152" t="s">
        <v>1560</v>
      </c>
      <c r="BO311" s="152" t="s">
        <v>2645</v>
      </c>
      <c r="BP311" s="152" t="s">
        <v>2710</v>
      </c>
      <c r="BQ311" s="152" t="s">
        <v>2706</v>
      </c>
      <c r="BR311" s="152" t="s">
        <v>2711</v>
      </c>
      <c r="BS311" s="152" t="n">
        <v>203845.085</v>
      </c>
      <c r="BT311" s="152" t="n">
        <v>8237946.432</v>
      </c>
      <c r="BU311" s="152" t="n">
        <v>203824.023</v>
      </c>
      <c r="BV311" s="152" t="n">
        <v>8237997.163</v>
      </c>
      <c r="BW311" s="152" t="n">
        <v>-15.9198184</v>
      </c>
      <c r="BX311" s="152" t="n">
        <v>-47.7660992</v>
      </c>
      <c r="BY311" s="152" t="s">
        <v>2710</v>
      </c>
    </row>
    <row r="312" customFormat="false" ht="13.8" hidden="false" customHeight="false" outlineLevel="0" collapsed="false">
      <c r="A312" s="149" t="n">
        <f aca="false">IF(C312&lt;&gt;"",ROW(A307),"")</f>
        <v>307</v>
      </c>
      <c r="B312" s="150" t="str">
        <f aca="false">HYPERLINK("https://www.google.com/maps/dir/-15.917302,-47.760003/-15.9200487,-47.7660041/data=!4m3!4m2!3e0!5i1")</f>
        <v>https://www.google.com/maps/dir/-15.917302,-47.760003/-15.9200487,-47.7660041/data=!4m3!4m2!3e0!5i1</v>
      </c>
      <c r="C312" s="151" t="s">
        <v>117</v>
      </c>
      <c r="D312" s="152" t="s">
        <v>112</v>
      </c>
      <c r="E312" s="152" t="s">
        <v>113</v>
      </c>
      <c r="F312" s="152" t="s">
        <v>117</v>
      </c>
      <c r="G312" s="152" t="s">
        <v>782</v>
      </c>
      <c r="H312" s="152" t="n">
        <v>63</v>
      </c>
      <c r="I312" s="152" t="s">
        <v>115</v>
      </c>
      <c r="J312" s="152" t="s">
        <v>6</v>
      </c>
      <c r="K312" s="152" t="s">
        <v>2522</v>
      </c>
      <c r="L312" s="152" t="s">
        <v>120</v>
      </c>
      <c r="M312" s="153" t="n">
        <f aca="false">74.73+0.5</f>
        <v>75.23</v>
      </c>
      <c r="N312" s="152" t="s">
        <v>1548</v>
      </c>
      <c r="O312" s="152" t="s">
        <v>1549</v>
      </c>
      <c r="P312" s="152" t="s">
        <v>1550</v>
      </c>
      <c r="Q312" s="152" t="s">
        <v>1551</v>
      </c>
      <c r="R312" s="154" t="s">
        <v>2712</v>
      </c>
      <c r="S312" s="154" t="s">
        <v>1553</v>
      </c>
      <c r="T312" s="155" t="s">
        <v>2643</v>
      </c>
      <c r="U312" s="152" t="str">
        <f aca="false">RIGHT(T312,7)</f>
        <v>007/037</v>
      </c>
      <c r="V312" s="152" t="s">
        <v>1555</v>
      </c>
      <c r="W312" s="156" t="n">
        <v>45882</v>
      </c>
      <c r="X312" s="152" t="s">
        <v>1594</v>
      </c>
      <c r="Y312" s="152" t="s">
        <v>2524</v>
      </c>
      <c r="Z312" s="152" t="s">
        <v>1557</v>
      </c>
      <c r="AA312" s="153" t="n">
        <v>3.5</v>
      </c>
      <c r="AB312" s="151" t="s">
        <v>2713</v>
      </c>
      <c r="AC312" s="151" t="s">
        <v>186</v>
      </c>
      <c r="AD312" s="151" t="str">
        <f aca="false">CONCATENATE($C312,$I312,$H312,$N312,$J312,$K312)</f>
        <v>TUBO PEADPEAD63VCAREDESZona03</v>
      </c>
      <c r="AE312" s="153" t="n">
        <f aca="false">IFERROR(INDEX(APOIO_REDES!$A:$W,MATCH($C312&amp;$I312&amp;$H312&amp;$N312&amp;$O312,APOIO_REDES!$W:$W,0),MATCH(AE$5,APOIO_REDES!$5:$5,0)),0)</f>
        <v>1.2</v>
      </c>
      <c r="AF312" s="153" t="n">
        <f aca="false">IFERROR(INDEX(APOIO_REDES!$A:$W,MATCH($C312&amp;$I312&amp;$H312&amp;$N312&amp;$O312,APOIO_REDES!$W:$W,0),MATCH(AF$5,APOIO_REDES!$5:$5,0)),0)</f>
        <v>1.363</v>
      </c>
      <c r="AG312" s="153" t="n">
        <f aca="false">IFERROR(INDEX(APOIO_REDES!$A:$W,MATCH($C312&amp;$I312&amp;$H312&amp;$N312&amp;$O312,APOIO_REDES!$W:$W,0),MATCH(AG$5,APOIO_REDES!$5:$5,0)),0)</f>
        <v>0.65</v>
      </c>
      <c r="AH312" s="153" t="n">
        <f aca="false">IFERROR(INDEX(APOIO_REDES!$A:$W,MATCH($C312&amp;$I312&amp;$H312&amp;$N312&amp;$O312,APOIO_REDES!$W:$W,0),MATCH(AH$5,APOIO_REDES!$5:$5,0)),0)</f>
        <v>0.1</v>
      </c>
      <c r="AI312" s="153" t="n">
        <f aca="false">IFERROR(IF($H312&lt;&gt;"",(((($H312/1000)/2)^2)*PI()*$M312),0),0)</f>
        <v>0.234510364710756</v>
      </c>
      <c r="AJ312" s="153" t="n">
        <f aca="false">IFERROR(IF(AND($H312&lt;&gt;"",$I312="FoFo",OR($N312="MND",$N312="VCA"),$Q312="LINEAR"),0,IF(AND($H312&lt;&gt;"",$I312="PEAD",$N312="VCA",$Q312="LINEAR"),($H312/1000)+0.3,IF(AND($H312&lt;&gt;"",$I312="PEAD",$N312="MND",$Q312="EMBOQUE"),0,IF(AND($H312&lt;&gt;"",$I312="PVC",$N312="VCA",$Q312="LINEAR"),($H312/1000)+0.2,IF(AND($H312&lt;&gt;"",$I312="PVC",$N312="MND",$Q312="EMBOQUE"),0,IF(AND($H312&lt;&gt;"",$I312="PEAD",$N312="VCA",$Q312="PREDIAL"),0,0)))))),0)</f>
        <v>0.363</v>
      </c>
      <c r="AK312" s="153" t="n">
        <f aca="false">IF(AA312&lt;&gt;"",AA312,0)</f>
        <v>3.5</v>
      </c>
      <c r="AL312" s="153" t="n">
        <f aca="false">IF(AND($N312="MND",$Q312="EMBOQUE"),$M312,IF(AND($N312="VCA",$Q312="LINEAR"),$M312,IF(AND($N312="VCA",$Q312="PREDIAL"),0,0)))</f>
        <v>75.23</v>
      </c>
      <c r="AM312" s="153" t="n">
        <f aca="false">IF(AND($N312="MND",$Q312="EMBOQUE"),$M312,IF(AND($N312="VCA",$Q312="LINEAR"),$M312,IF(AND($N312="VCA",$Q312="PREDIAL"),0,0)))</f>
        <v>75.23</v>
      </c>
      <c r="AN312" s="153" t="n">
        <f aca="false">ROUND(IF(AND($N312="VCA",$M312&lt;&gt;"",$Q312="LINEAR"),$M312/100,IF(AND($N312="MND",$M312&gt;100,$Q312="EMBOQUE"),$M312/100,0)),0)</f>
        <v>1</v>
      </c>
      <c r="AO312" s="153" t="n">
        <f aca="false">IF(AND($N312="MND",$Q312="EMBOQUE"),$AN312*2*2,IF(AND($N312="VCA",$Q312="LINEAR"),$M312*2,IF(AND($N312="VCA",$Q312="PREDIAL"),0,0)))</f>
        <v>150.46</v>
      </c>
      <c r="AP312" s="153" t="n">
        <f aca="false">IFERROR($M312*$AF312*$AG312,0)</f>
        <v>66.6500185</v>
      </c>
      <c r="AQ312" s="153" t="n">
        <f aca="false">IFERROR(IF(AND($N312="VCA",$AH312&gt;0),$M312*$AG312*$AH312,0),0)</f>
        <v>4.88995</v>
      </c>
      <c r="AR312" s="153" t="n">
        <f aca="false">IFERROR(IF(AND($N312="VCA",$AJ312&gt;0),($M312*$AG312*$AJ312)-$AI312,0),0)</f>
        <v>17.5160081352892</v>
      </c>
      <c r="AS312" s="153" t="n">
        <f aca="false">IFERROR(IF(AND($N312="VCA",$AP312&gt;0),$AP312-$AI312-$AQ312-$AR312,0),0)</f>
        <v>44.00955</v>
      </c>
      <c r="AT312" s="153" t="n">
        <f aca="false">IFERROR(IF($N312="VCA",INDEX(APOIO_REDES!$A:$W,MATCH($C312&amp;$I312&amp;$H312&amp;$N312&amp;$O312,APOIO_REDES!$W:$W,0),MATCH(AT$5,APOIO_REDES!$5:$5,0)),0)*$AP312,0)</f>
        <v>0.725171928678493</v>
      </c>
      <c r="AU312" s="153" t="n">
        <f aca="false">IFERROR(IF($N312="VCA",INDEX(APOIO_REDES!$A:$W,MATCH($C312&amp;$I312&amp;$H312&amp;$N312&amp;$O312,APOIO_REDES!$W:$W,0),MATCH(AU$5,APOIO_REDES!$5:$5,0)),0)*$AP312,0)</f>
        <v>0.579102662096043</v>
      </c>
      <c r="AV312" s="153" t="n">
        <f aca="false">IFERROR(IF($N312="VCA",INDEX(APOIO_REDES!$A:$W,MATCH($C312&amp;$I312&amp;$H312&amp;$N312&amp;$O312,APOIO_REDES!$W:$W,0),MATCH(AV$5,APOIO_REDES!$5:$5,0)),0)*$AP312,0)</f>
        <v>0.0801432622999497</v>
      </c>
      <c r="AW312" s="153" t="n">
        <f aca="false">IFERROR(IF($N312="VCA",INDEX(APOIO_REDES!$A:$W,MATCH($C312&amp;$I312&amp;$H312&amp;$N312&amp;$O312,APOIO_REDES!$W:$W,0),MATCH(AW$5,APOIO_REDES!$5:$5,0)),0)*$AP312,0)</f>
        <v>45.7490891279439</v>
      </c>
      <c r="AX312" s="153" t="n">
        <f aca="false">IFERROR(IF($N312="VCA",INDEX(APOIO_REDES!$A:$W,MATCH($C312&amp;$I312&amp;$H312&amp;$N312&amp;$O312,APOIO_REDES!$W:$W,0),MATCH(AX$5,APOIO_REDES!$5:$5,0)),0)*$AP312,0)</f>
        <v>6.33154361656026</v>
      </c>
      <c r="AY312" s="153" t="n">
        <f aca="false">IFERROR(IF($N312="VCA",INDEX(APOIO_REDES!$A:$W,MATCH($C312&amp;$I312&amp;$H312&amp;$N312&amp;$O312,APOIO_REDES!$W:$W,0),MATCH(AY$5,APOIO_REDES!$5:$5,0)),0)*$AP312,0)</f>
        <v>11.5820461827064</v>
      </c>
      <c r="AZ312" s="153" t="n">
        <f aca="false">IFERROR(IF($N312="VCA",INDEX(APOIO_REDES!$A:$W,MATCH($C312&amp;$I312&amp;$H312&amp;$N312&amp;$O312,APOIO_REDES!$W:$W,0),MATCH(AZ$5,APOIO_REDES!$5:$5,0)),0)*$AP312,0)</f>
        <v>1.60292171971505</v>
      </c>
      <c r="BA312" s="153" t="n">
        <f aca="false">IFERROR(IF(AND($N312="VCA",$Q312="LINEAR"),INDEX(APOIO_REDES!$A:$W,MATCH($C312&amp;$I312&amp;$H312&amp;$N312&amp;$O312,APOIO_REDES!$W:$W,0),MATCH(BA$5,APOIO_REDES!$5:$5,0)),IF(AND($N312="MND",$Q312="EMBOQUE"),INDEX(APOIO_REDES!$A:$W,MATCH($C312&amp;$I312&amp;$H312&amp;$N312&amp;$O312,APOIO_REDES!$W:$W,0),MATCH(BA$5,APOIO_REDES!$5:$5,0)),0))*$M312/10,0)</f>
        <v>6.06334823832687</v>
      </c>
      <c r="BB312" s="153" t="n">
        <f aca="false">IFERROR(IF($N312="VCA",INDEX(APOIO_REDES!$A:$W,MATCH($C312&amp;$I312&amp;$H312&amp;$N312&amp;$O312,APOIO_REDES!$W:$W,0),MATCH(BB$5,APOIO_REDES!$5:$5,0)),0)*($AI312+$AQ312+$AR312),0)</f>
        <v>22.3941335014834</v>
      </c>
      <c r="BC312" s="153" t="n">
        <f aca="false">IFERROR(IF($N312="VCA",INDEX(APOIO_REDES!$A:$W,MATCH($C312&amp;$I312&amp;$H312&amp;$N312&amp;$O312,APOIO_REDES!$W:$W,0),MATCH(BC$5,APOIO_REDES!$5:$5,0)),0)*($AI312+$AQ312+$AR312),0)</f>
        <v>0.246334998516612</v>
      </c>
      <c r="BD312" s="153" t="n">
        <f aca="false">IF(AND($N312="VCA",$AF312&gt;=1.25,$AF312&lt;1.5),$M312*$AF312*2,0)</f>
        <v>205.07698</v>
      </c>
      <c r="BE312" s="153" t="n">
        <f aca="false">IF(AND($N312="VCA",$AF312&gt;=1.5,$AF312&lt;3),$M312*$AF312*2,0)</f>
        <v>0</v>
      </c>
      <c r="BF312" s="153" t="n">
        <f aca="false">IF(AND($N312="VCA",$AF312&gt;=3),$M312*$AF312*2,0)</f>
        <v>0</v>
      </c>
      <c r="BG312" s="153" t="n">
        <f aca="false">($BB312+$BC312)*$AK312</f>
        <v>79.24163975</v>
      </c>
      <c r="BH312" s="153" t="n">
        <f aca="false">IF(AND($M312&lt;&gt;"",$N312="VCA",$Q312="LINEAR"),($M312*2)/100,IF(AND($M312&lt;&gt;"",$N312="MND",$Q312="EMBOQUE"),($AN312*2)/100,0))</f>
        <v>1.5046</v>
      </c>
      <c r="BI312" s="153" t="n">
        <f aca="false">IF(AND($M312&lt;&gt;"",$N312="VCA",$Q312="LINEAR"),$M312,IF(AND($M312&lt;&gt;"",$N312="MND",$Q312="EMBOQUE"),$AN312*2,0))</f>
        <v>75.23</v>
      </c>
      <c r="BJ312" s="153" t="n">
        <f aca="false">IF(AND($M312&lt;&gt;"",$N312="VCA",$Q312="LINEAR"),($M312*6.8)/100,IF(AND($M312&lt;&gt;"",$N312="MND",$Q312="EMBOQUE"),($AN312*2*6.8)/100,0))</f>
        <v>5.11564</v>
      </c>
      <c r="BK312" s="153" t="n">
        <f aca="false">IF(AND($M312&lt;&gt;"",$N312="VCA",$Q312="LINEAR"),($M312*2.5)/50,IF(AND($M312&lt;&gt;"",$N312="MND",$Q312="EMBOQUE"),($AN312*2*2.5)/50,0))</f>
        <v>3.7615</v>
      </c>
      <c r="BL312" s="157" t="str">
        <f aca="false">K312&amp;J312</f>
        <v>Zona03REDES</v>
      </c>
      <c r="BM312" s="152" t="s">
        <v>2526</v>
      </c>
      <c r="BN312" s="152" t="s">
        <v>1560</v>
      </c>
      <c r="BO312" s="152" t="s">
        <v>2645</v>
      </c>
      <c r="BP312" s="152" t="s">
        <v>2710</v>
      </c>
      <c r="BQ312" s="152" t="s">
        <v>2714</v>
      </c>
      <c r="BR312" s="152" t="s">
        <v>2715</v>
      </c>
      <c r="BS312" s="152" t="n">
        <v>203844.621</v>
      </c>
      <c r="BT312" s="152" t="n">
        <v>8237946.252</v>
      </c>
      <c r="BU312" s="152" t="n">
        <v>203794.544</v>
      </c>
      <c r="BV312" s="152" t="n">
        <v>8237897.02</v>
      </c>
      <c r="BW312" s="152" t="n">
        <v>-15.9202019</v>
      </c>
      <c r="BX312" s="152" t="n">
        <v>-47.766314</v>
      </c>
      <c r="BY312" s="152" t="s">
        <v>2710</v>
      </c>
    </row>
    <row r="313" customFormat="false" ht="13.8" hidden="false" customHeight="false" outlineLevel="0" collapsed="false">
      <c r="A313" s="149" t="n">
        <f aca="false">IF(C313&lt;&gt;"",ROW(A308),"")</f>
        <v>308</v>
      </c>
      <c r="B313" s="150" t="str">
        <f aca="false">HYPERLINK("https://www.google.com/maps/dir/-15.917302,-47.760003/-15.9208230,-47.7677516/data=!4m3!4m2!3e0!5i1")</f>
        <v>https://www.google.com/maps/dir/-15.917302,-47.760003/-15.9208230,-47.7677516/data=!4m3!4m2!3e0!5i1</v>
      </c>
      <c r="C313" s="151" t="s">
        <v>117</v>
      </c>
      <c r="D313" s="152" t="s">
        <v>112</v>
      </c>
      <c r="E313" s="152" t="s">
        <v>113</v>
      </c>
      <c r="F313" s="152" t="s">
        <v>117</v>
      </c>
      <c r="G313" s="152" t="s">
        <v>782</v>
      </c>
      <c r="H313" s="152" t="n">
        <v>110</v>
      </c>
      <c r="I313" s="152" t="s">
        <v>115</v>
      </c>
      <c r="J313" s="152" t="s">
        <v>6</v>
      </c>
      <c r="K313" s="152" t="s">
        <v>2522</v>
      </c>
      <c r="L313" s="152" t="s">
        <v>120</v>
      </c>
      <c r="M313" s="153" t="n">
        <f aca="false">215.8+0.32</f>
        <v>216.12</v>
      </c>
      <c r="N313" s="152" t="s">
        <v>1548</v>
      </c>
      <c r="O313" s="152" t="s">
        <v>1549</v>
      </c>
      <c r="P313" s="152" t="s">
        <v>1550</v>
      </c>
      <c r="Q313" s="152" t="s">
        <v>1551</v>
      </c>
      <c r="R313" s="154" t="s">
        <v>2716</v>
      </c>
      <c r="S313" s="154" t="s">
        <v>1593</v>
      </c>
      <c r="T313" s="155" t="s">
        <v>2643</v>
      </c>
      <c r="U313" s="152" t="str">
        <f aca="false">RIGHT(T313,7)</f>
        <v>007/037</v>
      </c>
      <c r="V313" s="152" t="s">
        <v>1555</v>
      </c>
      <c r="W313" s="156" t="n">
        <v>45882</v>
      </c>
      <c r="X313" s="152" t="s">
        <v>1594</v>
      </c>
      <c r="Y313" s="152" t="s">
        <v>2524</v>
      </c>
      <c r="Z313" s="152" t="s">
        <v>1557</v>
      </c>
      <c r="AA313" s="153" t="n">
        <v>3.3</v>
      </c>
      <c r="AB313" s="151" t="s">
        <v>2717</v>
      </c>
      <c r="AC313" s="151" t="s">
        <v>502</v>
      </c>
      <c r="AD313" s="151" t="str">
        <f aca="false">CONCATENATE($C313,$I313,$H313,$N313,$J313,$K313)</f>
        <v>TUBO PEADPEAD110VCAREDESZona03</v>
      </c>
      <c r="AE313" s="153" t="n">
        <f aca="false">IFERROR(INDEX(APOIO_REDES!$A:$W,MATCH($C313&amp;$I313&amp;$H313&amp;$N313&amp;$O313,APOIO_REDES!$W:$W,0),MATCH(AE$5,APOIO_REDES!$5:$5,0)),0)</f>
        <v>1.2</v>
      </c>
      <c r="AF313" s="153" t="n">
        <f aca="false">IFERROR(INDEX(APOIO_REDES!$A:$W,MATCH($C313&amp;$I313&amp;$H313&amp;$N313&amp;$O313,APOIO_REDES!$W:$W,0),MATCH(AF$5,APOIO_REDES!$5:$5,0)),0)</f>
        <v>1.41</v>
      </c>
      <c r="AG313" s="153" t="n">
        <f aca="false">IFERROR(INDEX(APOIO_REDES!$A:$W,MATCH($C313&amp;$I313&amp;$H313&amp;$N313&amp;$O313,APOIO_REDES!$W:$W,0),MATCH(AG$5,APOIO_REDES!$5:$5,0)),0)</f>
        <v>0.75</v>
      </c>
      <c r="AH313" s="153" t="n">
        <f aca="false">IFERROR(INDEX(APOIO_REDES!$A:$W,MATCH($C313&amp;$I313&amp;$H313&amp;$N313&amp;$O313,APOIO_REDES!$W:$W,0),MATCH(AH$5,APOIO_REDES!$5:$5,0)),0)</f>
        <v>0.1</v>
      </c>
      <c r="AI313" s="153" t="n">
        <f aca="false">IFERROR(IF($H313&lt;&gt;"",(((($H313/1000)/2)^2)*PI()*$M313),0),0)</f>
        <v>2.05385703798882</v>
      </c>
      <c r="AJ313" s="153" t="n">
        <f aca="false">IFERROR(IF(AND($H313&lt;&gt;"",$I313="FoFo",OR($N313="MND",$N313="VCA"),$Q313="LINEAR"),0,IF(AND($H313&lt;&gt;"",$I313="PEAD",$N313="VCA",$Q313="LINEAR"),($H313/1000)+0.3,IF(AND($H313&lt;&gt;"",$I313="PEAD",$N313="MND",$Q313="EMBOQUE"),0,IF(AND($H313&lt;&gt;"",$I313="PVC",$N313="VCA",$Q313="LINEAR"),($H313/1000)+0.2,IF(AND($H313&lt;&gt;"",$I313="PVC",$N313="MND",$Q313="EMBOQUE"),0,IF(AND($H313&lt;&gt;"",$I313="PEAD",$N313="VCA",$Q313="PREDIAL"),0,0)))))),0)</f>
        <v>0.41</v>
      </c>
      <c r="AK313" s="153" t="n">
        <f aca="false">IF(AA313&lt;&gt;"",AA313,0)</f>
        <v>3.3</v>
      </c>
      <c r="AL313" s="153" t="n">
        <f aca="false">IF(AND($N313="MND",$Q313="EMBOQUE"),$M313,IF(AND($N313="VCA",$Q313="LINEAR"),$M313,IF(AND($N313="VCA",$Q313="PREDIAL"),0,0)))</f>
        <v>216.12</v>
      </c>
      <c r="AM313" s="153" t="n">
        <f aca="false">IF(AND($N313="MND",$Q313="EMBOQUE"),$M313,IF(AND($N313="VCA",$Q313="LINEAR"),$M313,IF(AND($N313="VCA",$Q313="PREDIAL"),0,0)))</f>
        <v>216.12</v>
      </c>
      <c r="AN313" s="153" t="n">
        <f aca="false">ROUND(IF(AND($N313="VCA",$M313&lt;&gt;"",$Q313="LINEAR"),$M313/100,IF(AND($N313="MND",$M313&gt;100,$Q313="EMBOQUE"),$M313/100,0)),0)</f>
        <v>2</v>
      </c>
      <c r="AO313" s="153" t="n">
        <f aca="false">IF(AND($N313="MND",$Q313="EMBOQUE"),$AN313*2*2,IF(AND($N313="VCA",$Q313="LINEAR"),$M313*2,IF(AND($N313="VCA",$Q313="PREDIAL"),0,0)))</f>
        <v>432.24</v>
      </c>
      <c r="AP313" s="153" t="n">
        <f aca="false">IFERROR($M313*$AF313*$AG313,0)</f>
        <v>228.5469</v>
      </c>
      <c r="AQ313" s="153" t="n">
        <f aca="false">IFERROR(IF(AND($N313="VCA",$AH313&gt;0),$M313*$AG313*$AH313,0),0)</f>
        <v>16.209</v>
      </c>
      <c r="AR313" s="153" t="n">
        <f aca="false">IFERROR(IF(AND($N313="VCA",$AJ313&gt;0),($M313*$AG313*$AJ313)-$AI313,0),0)</f>
        <v>64.4030429620112</v>
      </c>
      <c r="AS313" s="153" t="n">
        <f aca="false">IFERROR(IF(AND($N313="VCA",$AP313&gt;0),$AP313-$AI313-$AQ313-$AR313,0),0)</f>
        <v>145.881</v>
      </c>
      <c r="AT313" s="153" t="n">
        <f aca="false">IFERROR(IF($N313="VCA",INDEX(APOIO_REDES!$A:$W,MATCH($C313&amp;$I313&amp;$H313&amp;$N313&amp;$O313,APOIO_REDES!$W:$W,0),MATCH(AT$5,APOIO_REDES!$5:$5,0)),0)*$AP313,0)</f>
        <v>2.4866579184294</v>
      </c>
      <c r="AU313" s="153" t="n">
        <f aca="false">IFERROR(IF($N313="VCA",INDEX(APOIO_REDES!$A:$W,MATCH($C313&amp;$I313&amp;$H313&amp;$N313&amp;$O313,APOIO_REDES!$W:$W,0),MATCH(AU$5,APOIO_REDES!$5:$5,0)),0)*$AP313,0)</f>
        <v>1.98577766642027</v>
      </c>
      <c r="AV313" s="153" t="n">
        <f aca="false">IFERROR(IF($N313="VCA",INDEX(APOIO_REDES!$A:$W,MATCH($C313&amp;$I313&amp;$H313&amp;$N313&amp;$O313,APOIO_REDES!$W:$W,0),MATCH(AV$5,APOIO_REDES!$5:$5,0)),0)*$AP313,0)</f>
        <v>0.274816040066671</v>
      </c>
      <c r="AW313" s="153" t="n">
        <f aca="false">IFERROR(IF($N313="VCA",INDEX(APOIO_REDES!$A:$W,MATCH($C313&amp;$I313&amp;$H313&amp;$N313&amp;$O313,APOIO_REDES!$W:$W,0),MATCH(AW$5,APOIO_REDES!$5:$5,0)),0)*$AP313,0)</f>
        <v>156.876363027795</v>
      </c>
      <c r="AX313" s="153" t="n">
        <f aca="false">IFERROR(IF($N313="VCA",INDEX(APOIO_REDES!$A:$W,MATCH($C313&amp;$I313&amp;$H313&amp;$N313&amp;$O313,APOIO_REDES!$W:$W,0),MATCH(AX$5,APOIO_REDES!$5:$5,0)),0)*$AP313,0)</f>
        <v>21.711241772268</v>
      </c>
      <c r="AY313" s="153" t="n">
        <f aca="false">IFERROR(IF($N313="VCA",INDEX(APOIO_REDES!$A:$W,MATCH($C313&amp;$I313&amp;$H313&amp;$N313&amp;$O313,APOIO_REDES!$W:$W,0),MATCH(AY$5,APOIO_REDES!$5:$5,0)),0)*$AP313,0)</f>
        <v>39.7155291219367</v>
      </c>
      <c r="AZ313" s="153" t="n">
        <f aca="false">IFERROR(IF($N313="VCA",INDEX(APOIO_REDES!$A:$W,MATCH($C313&amp;$I313&amp;$H313&amp;$N313&amp;$O313,APOIO_REDES!$W:$W,0),MATCH(AZ$5,APOIO_REDES!$5:$5,0)),0)*$AP313,0)</f>
        <v>5.49651445308367</v>
      </c>
      <c r="BA313" s="153" t="n">
        <f aca="false">IFERROR(IF(AND($N313="VCA",$Q313="LINEAR"),INDEX(APOIO_REDES!$A:$W,MATCH($C313&amp;$I313&amp;$H313&amp;$N313&amp;$O313,APOIO_REDES!$W:$W,0),MATCH(BA$5,APOIO_REDES!$5:$5,0)),IF(AND($N313="MND",$Q313="EMBOQUE"),INDEX(APOIO_REDES!$A:$W,MATCH($C313&amp;$I313&amp;$H313&amp;$N313&amp;$O313,APOIO_REDES!$W:$W,0),MATCH(BA$5,APOIO_REDES!$5:$5,0)),0))*$M313/10,0)</f>
        <v>17.4187268545421</v>
      </c>
      <c r="BB313" s="153" t="n">
        <f aca="false">IFERROR(IF($N313="VCA",INDEX(APOIO_REDES!$A:$W,MATCH($C313&amp;$I313&amp;$H313&amp;$N313&amp;$O313,APOIO_REDES!$W:$W,0),MATCH(BB$5,APOIO_REDES!$5:$5,0)),0)*($AI313+$AQ313+$AR313),0)</f>
        <v>81.7664705401426</v>
      </c>
      <c r="BC313" s="153" t="n">
        <f aca="false">IFERROR(IF($N313="VCA",INDEX(APOIO_REDES!$A:$W,MATCH($C313&amp;$I313&amp;$H313&amp;$N313&amp;$O313,APOIO_REDES!$W:$W,0),MATCH(BC$5,APOIO_REDES!$5:$5,0)),0)*($AI313+$AQ313+$AR313),0)</f>
        <v>0.899429459857441</v>
      </c>
      <c r="BD313" s="153" t="n">
        <f aca="false">IF(AND($N313="VCA",$AF313&gt;=1.25,$AF313&lt;1.5),$M313*$AF313*2,0)</f>
        <v>609.4584</v>
      </c>
      <c r="BE313" s="153" t="n">
        <f aca="false">IF(AND($N313="VCA",$AF313&gt;=1.5,$AF313&lt;3),$M313*$AF313*2,0)</f>
        <v>0</v>
      </c>
      <c r="BF313" s="153" t="n">
        <f aca="false">IF(AND($N313="VCA",$AF313&gt;=3),$M313*$AF313*2,0)</f>
        <v>0</v>
      </c>
      <c r="BG313" s="153" t="n">
        <f aca="false">($BB313+$BC313)*$AK313</f>
        <v>272.79747</v>
      </c>
      <c r="BH313" s="153" t="n">
        <f aca="false">IF(AND($M313&lt;&gt;"",$N313="VCA",$Q313="LINEAR"),($M313*2)/100,IF(AND($M313&lt;&gt;"",$N313="MND",$Q313="EMBOQUE"),($AN313*2)/100,0))</f>
        <v>4.3224</v>
      </c>
      <c r="BI313" s="153" t="n">
        <f aca="false">IF(AND($M313&lt;&gt;"",$N313="VCA",$Q313="LINEAR"),$M313,IF(AND($M313&lt;&gt;"",$N313="MND",$Q313="EMBOQUE"),$AN313*2,0))</f>
        <v>216.12</v>
      </c>
      <c r="BJ313" s="153" t="n">
        <f aca="false">IF(AND($M313&lt;&gt;"",$N313="VCA",$Q313="LINEAR"),($M313*6.8)/100,IF(AND($M313&lt;&gt;"",$N313="MND",$Q313="EMBOQUE"),($AN313*2*6.8)/100,0))</f>
        <v>14.69616</v>
      </c>
      <c r="BK313" s="153" t="n">
        <f aca="false">IF(AND($M313&lt;&gt;"",$N313="VCA",$Q313="LINEAR"),($M313*2.5)/50,IF(AND($M313&lt;&gt;"",$N313="MND",$Q313="EMBOQUE"),($AN313*2*2.5)/50,0))</f>
        <v>10.806</v>
      </c>
      <c r="BL313" s="157" t="str">
        <f aca="false">K313&amp;J313</f>
        <v>Zona03REDES</v>
      </c>
      <c r="BM313" s="152" t="s">
        <v>2526</v>
      </c>
      <c r="BN313" s="152" t="s">
        <v>1560</v>
      </c>
      <c r="BO313" s="152" t="s">
        <v>2645</v>
      </c>
      <c r="BP313" s="152" t="s">
        <v>2718</v>
      </c>
      <c r="BQ313" s="152" t="s">
        <v>2706</v>
      </c>
      <c r="BR313" s="152" t="s">
        <v>2719</v>
      </c>
      <c r="BS313" s="152" t="n">
        <v>203658.992</v>
      </c>
      <c r="BT313" s="152" t="n">
        <v>8237858.22</v>
      </c>
      <c r="BU313" s="152" t="n">
        <v>203824.023</v>
      </c>
      <c r="BV313" s="152" t="n">
        <v>8237997.163</v>
      </c>
      <c r="BW313" s="152" t="n">
        <v>-15.9201975</v>
      </c>
      <c r="BX313" s="152" t="n">
        <v>-47.7669796</v>
      </c>
      <c r="BY313" s="152" t="s">
        <v>2718</v>
      </c>
    </row>
    <row r="314" customFormat="false" ht="13.8" hidden="false" customHeight="false" outlineLevel="0" collapsed="false">
      <c r="A314" s="149" t="n">
        <f aca="false">IF(C314&lt;&gt;"",ROW(A309),"")</f>
        <v>309</v>
      </c>
      <c r="B314" s="150" t="str">
        <f aca="false">HYPERLINK("https://www.google.com/maps/dir/-15.917302,-47.760003/-15.9187976,-47.7720136/data=!4m3!4m2!3e0!5i0")</f>
        <v>https://www.google.com/maps/dir/-15.917302,-47.760003/-15.9187976,-47.7720136/data=!4m3!4m2!3e0!5i0</v>
      </c>
      <c r="C314" s="151" t="s">
        <v>117</v>
      </c>
      <c r="D314" s="152" t="s">
        <v>112</v>
      </c>
      <c r="E314" s="152" t="s">
        <v>113</v>
      </c>
      <c r="F314" s="152" t="s">
        <v>117</v>
      </c>
      <c r="G314" s="152" t="s">
        <v>114</v>
      </c>
      <c r="H314" s="152" t="n">
        <v>250</v>
      </c>
      <c r="I314" s="152" t="s">
        <v>115</v>
      </c>
      <c r="J314" s="152" t="s">
        <v>6</v>
      </c>
      <c r="K314" s="152" t="s">
        <v>2522</v>
      </c>
      <c r="L314" s="152" t="s">
        <v>120</v>
      </c>
      <c r="M314" s="153" t="n">
        <f aca="false">366.89</f>
        <v>366.89</v>
      </c>
      <c r="N314" s="152" t="s">
        <v>1548</v>
      </c>
      <c r="O314" s="152" t="s">
        <v>1549</v>
      </c>
      <c r="P314" s="152" t="s">
        <v>1550</v>
      </c>
      <c r="Q314" s="152" t="s">
        <v>1551</v>
      </c>
      <c r="R314" s="154" t="s">
        <v>2720</v>
      </c>
      <c r="S314" s="154" t="s">
        <v>1593</v>
      </c>
      <c r="T314" s="155" t="s">
        <v>2227</v>
      </c>
      <c r="U314" s="152" t="str">
        <f aca="false">RIGHT(T314,7)</f>
        <v>008/037</v>
      </c>
      <c r="V314" s="152" t="s">
        <v>1555</v>
      </c>
      <c r="W314" s="156" t="n">
        <v>45882</v>
      </c>
      <c r="X314" s="152" t="s">
        <v>1594</v>
      </c>
      <c r="Y314" s="152" t="s">
        <v>2209</v>
      </c>
      <c r="Z314" s="152" t="s">
        <v>1557</v>
      </c>
      <c r="AA314" s="153" t="n">
        <v>2.6</v>
      </c>
      <c r="AB314" s="151" t="s">
        <v>2721</v>
      </c>
      <c r="AC314" s="151" t="s">
        <v>511</v>
      </c>
      <c r="AD314" s="151" t="str">
        <f aca="false">CONCATENATE($C314,$I314,$H314,$N314,$J314,$K314)</f>
        <v>TUBO PEADPEAD250VCAREDESZona03</v>
      </c>
      <c r="AE314" s="153" t="n">
        <f aca="false">IFERROR(INDEX(APOIO_REDES!$A:$W,MATCH($C314&amp;$I314&amp;$H314&amp;$N314&amp;$O314,APOIO_REDES!$W:$W,0),MATCH(AE$5,APOIO_REDES!$5:$5,0)),0)</f>
        <v>1.2</v>
      </c>
      <c r="AF314" s="153" t="n">
        <f aca="false">IFERROR(INDEX(APOIO_REDES!$A:$W,MATCH($C314&amp;$I314&amp;$H314&amp;$N314&amp;$O314,APOIO_REDES!$W:$W,0),MATCH(AF$5,APOIO_REDES!$5:$5,0)),0)</f>
        <v>1.55</v>
      </c>
      <c r="AG314" s="153" t="n">
        <f aca="false">IFERROR(INDEX(APOIO_REDES!$A:$W,MATCH($C314&amp;$I314&amp;$H314&amp;$N314&amp;$O314,APOIO_REDES!$W:$W,0),MATCH(AG$5,APOIO_REDES!$5:$5,0)),0)</f>
        <v>0.85</v>
      </c>
      <c r="AH314" s="153" t="n">
        <f aca="false">IFERROR(INDEX(APOIO_REDES!$A:$W,MATCH($C314&amp;$I314&amp;$H314&amp;$N314&amp;$O314,APOIO_REDES!$W:$W,0),MATCH(AH$5,APOIO_REDES!$5:$5,0)),0)</f>
        <v>0.1</v>
      </c>
      <c r="AI314" s="153" t="n">
        <f aca="false">IFERROR(IF($H314&lt;&gt;"",(((($H314/1000)/2)^2)*PI()*$M314),0),0)</f>
        <v>18.0096707605556</v>
      </c>
      <c r="AJ314" s="153" t="n">
        <f aca="false">IFERROR(IF(AND($H314&lt;&gt;"",$I314="FoFo",OR($N314="MND",$N314="VCA"),$Q314="LINEAR"),0,IF(AND($H314&lt;&gt;"",$I314="PEAD",$N314="VCA",$Q314="LINEAR"),($H314/1000)+0.3,IF(AND($H314&lt;&gt;"",$I314="PEAD",$N314="MND",$Q314="EMBOQUE"),0,IF(AND($H314&lt;&gt;"",$I314="PVC",$N314="VCA",$Q314="LINEAR"),($H314/1000)+0.2,IF(AND($H314&lt;&gt;"",$I314="PVC",$N314="MND",$Q314="EMBOQUE"),0,IF(AND($H314&lt;&gt;"",$I314="PEAD",$N314="VCA",$Q314="PREDIAL"),0,0)))))),0)</f>
        <v>0.55</v>
      </c>
      <c r="AK314" s="153" t="n">
        <f aca="false">IF(AA314&lt;&gt;"",AA314,0)</f>
        <v>2.6</v>
      </c>
      <c r="AL314" s="153" t="n">
        <f aca="false">IF(AND($N314="MND",$Q314="EMBOQUE"),$M314,IF(AND($N314="VCA",$Q314="LINEAR"),$M314,IF(AND($N314="VCA",$Q314="PREDIAL"),0,0)))</f>
        <v>366.89</v>
      </c>
      <c r="AM314" s="153" t="n">
        <f aca="false">IF(AND($N314="MND",$Q314="EMBOQUE"),$M314,IF(AND($N314="VCA",$Q314="LINEAR"),$M314,IF(AND($N314="VCA",$Q314="PREDIAL"),0,0)))</f>
        <v>366.89</v>
      </c>
      <c r="AN314" s="153" t="n">
        <f aca="false">ROUND(IF(AND($N314="VCA",$M314&lt;&gt;"",$Q314="LINEAR"),$M314/100,IF(AND($N314="MND",$M314&gt;100,$Q314="EMBOQUE"),$M314/100,0)),0)</f>
        <v>4</v>
      </c>
      <c r="AO314" s="153" t="n">
        <f aca="false">IF(AND($N314="MND",$Q314="EMBOQUE"),$AN314*2*2,IF(AND($N314="VCA",$Q314="LINEAR"),$M314*2,IF(AND($N314="VCA",$Q314="PREDIAL"),0,0)))</f>
        <v>733.78</v>
      </c>
      <c r="AP314" s="153" t="n">
        <f aca="false">IFERROR($M314*$AF314*$AG314,0)</f>
        <v>483.377575</v>
      </c>
      <c r="AQ314" s="153" t="n">
        <f aca="false">IFERROR(IF(AND($N314="VCA",$AH314&gt;0),$M314*$AG314*$AH314,0),0)</f>
        <v>31.18565</v>
      </c>
      <c r="AR314" s="153" t="n">
        <f aca="false">IFERROR(IF(AND($N314="VCA",$AJ314&gt;0),($M314*$AG314*$AJ314)-$AI314,0),0)</f>
        <v>153.511404239444</v>
      </c>
      <c r="AS314" s="153" t="n">
        <f aca="false">IFERROR(IF(AND($N314="VCA",$AP314&gt;0),$AP314-$AI314-$AQ314-$AR314,0),0)</f>
        <v>280.67085</v>
      </c>
      <c r="AT314" s="153" t="n">
        <f aca="false">IFERROR(IF($N314="VCA",INDEX(APOIO_REDES!$A:$W,MATCH($C314&amp;$I314&amp;$H314&amp;$N314&amp;$O314,APOIO_REDES!$W:$W,0),MATCH(AT$5,APOIO_REDES!$5:$5,0)),0)*$AP314,0)</f>
        <v>5.25929108845908</v>
      </c>
      <c r="AU314" s="153" t="n">
        <f aca="false">IFERROR(IF($N314="VCA",INDEX(APOIO_REDES!$A:$W,MATCH($C314&amp;$I314&amp;$H314&amp;$N314&amp;$O314,APOIO_REDES!$W:$W,0),MATCH(AU$5,APOIO_REDES!$5:$5,0)),0)*$AP314,0)</f>
        <v>4.19992742357648</v>
      </c>
      <c r="AV314" s="153" t="n">
        <f aca="false">IFERROR(IF($N314="VCA",INDEX(APOIO_REDES!$A:$W,MATCH($C314&amp;$I314&amp;$H314&amp;$N314&amp;$O314,APOIO_REDES!$W:$W,0),MATCH(AV$5,APOIO_REDES!$5:$5,0)),0)*$AP314,0)</f>
        <v>0.581236984699991</v>
      </c>
      <c r="AW314" s="153" t="n">
        <f aca="false">IFERROR(IF($N314="VCA",INDEX(APOIO_REDES!$A:$W,MATCH($C314&amp;$I314&amp;$H314&amp;$N314&amp;$O314,APOIO_REDES!$W:$W,0),MATCH(AW$5,APOIO_REDES!$5:$5,0)),0)*$AP314,0)</f>
        <v>331.794112872217</v>
      </c>
      <c r="AX314" s="153" t="n">
        <f aca="false">IFERROR(IF($N314="VCA",INDEX(APOIO_REDES!$A:$W,MATCH($C314&amp;$I314&amp;$H314&amp;$N314&amp;$O314,APOIO_REDES!$W:$W,0),MATCH(AX$5,APOIO_REDES!$5:$5,0)),0)*$AP314,0)</f>
        <v>45.919360088094</v>
      </c>
      <c r="AY314" s="153" t="n">
        <f aca="false">IFERROR(IF($N314="VCA",INDEX(APOIO_REDES!$A:$W,MATCH($C314&amp;$I314&amp;$H314&amp;$N314&amp;$O314,APOIO_REDES!$W:$W,0),MATCH(AY$5,APOIO_REDES!$5:$5,0)),0)*$AP314,0)</f>
        <v>83.9984972747547</v>
      </c>
      <c r="AZ314" s="153" t="n">
        <f aca="false">IFERROR(IF($N314="VCA",INDEX(APOIO_REDES!$A:$W,MATCH($C314&amp;$I314&amp;$H314&amp;$N314&amp;$O314,APOIO_REDES!$W:$W,0),MATCH(AZ$5,APOIO_REDES!$5:$5,0)),0)*$AP314,0)</f>
        <v>11.6251492681985</v>
      </c>
      <c r="BA314" s="153" t="n">
        <f aca="false">IFERROR(IF(AND($N314="VCA",$Q314="LINEAR"),INDEX(APOIO_REDES!$A:$W,MATCH($C314&amp;$I314&amp;$H314&amp;$N314&amp;$O314,APOIO_REDES!$W:$W,0),MATCH(BA$5,APOIO_REDES!$5:$5,0)),IF(AND($N314="MND",$Q314="EMBOQUE"),INDEX(APOIO_REDES!$A:$W,MATCH($C314&amp;$I314&amp;$H314&amp;$N314&amp;$O314,APOIO_REDES!$W:$W,0),MATCH(BA$5,APOIO_REDES!$5:$5,0)),0))*$M314/10,0)</f>
        <v>29.5704085492456</v>
      </c>
      <c r="BB314" s="153" t="n">
        <f aca="false">IFERROR(IF($N314="VCA",INDEX(APOIO_REDES!$A:$W,MATCH($C314&amp;$I314&amp;$H314&amp;$N314&amp;$O314,APOIO_REDES!$W:$W,0),MATCH(BB$5,APOIO_REDES!$5:$5,0)),0)*($AI314+$AQ314+$AR314),0)</f>
        <v>200.501215833872</v>
      </c>
      <c r="BC314" s="153" t="n">
        <f aca="false">IFERROR(IF($N314="VCA",INDEX(APOIO_REDES!$A:$W,MATCH($C314&amp;$I314&amp;$H314&amp;$N314&amp;$O314,APOIO_REDES!$W:$W,0),MATCH(BC$5,APOIO_REDES!$5:$5,0)),0)*($AI314+$AQ314+$AR314),0)</f>
        <v>2.205509166128</v>
      </c>
      <c r="BD314" s="153" t="n">
        <f aca="false">IF(AND($N314="VCA",$AF314&gt;=1.25,$AF314&lt;1.5),$M314*$AF314*2,0)</f>
        <v>0</v>
      </c>
      <c r="BE314" s="153" t="n">
        <f aca="false">IF(AND($N314="VCA",$AF314&gt;=1.5,$AF314&lt;3),$M314*$AF314*2,0)</f>
        <v>1137.359</v>
      </c>
      <c r="BF314" s="153" t="n">
        <f aca="false">IF(AND($N314="VCA",$AF314&gt;=3),$M314*$AF314*2,0)</f>
        <v>0</v>
      </c>
      <c r="BG314" s="153" t="n">
        <f aca="false">($BB314+$BC314)*$AK314</f>
        <v>527.037485</v>
      </c>
      <c r="BH314" s="153" t="n">
        <f aca="false">IF(AND($M314&lt;&gt;"",$N314="VCA",$Q314="LINEAR"),($M314*2)/100,IF(AND($M314&lt;&gt;"",$N314="MND",$Q314="EMBOQUE"),($AN314*2)/100,0))</f>
        <v>7.3378</v>
      </c>
      <c r="BI314" s="153" t="n">
        <f aca="false">IF(AND($M314&lt;&gt;"",$N314="VCA",$Q314="LINEAR"),$M314,IF(AND($M314&lt;&gt;"",$N314="MND",$Q314="EMBOQUE"),$AN314*2,0))</f>
        <v>366.89</v>
      </c>
      <c r="BJ314" s="153" t="n">
        <f aca="false">IF(AND($M314&lt;&gt;"",$N314="VCA",$Q314="LINEAR"),($M314*6.8)/100,IF(AND($M314&lt;&gt;"",$N314="MND",$Q314="EMBOQUE"),($AN314*2*6.8)/100,0))</f>
        <v>24.94852</v>
      </c>
      <c r="BK314" s="153" t="n">
        <f aca="false">IF(AND($M314&lt;&gt;"",$N314="VCA",$Q314="LINEAR"),($M314*2.5)/50,IF(AND($M314&lt;&gt;"",$N314="MND",$Q314="EMBOQUE"),($AN314*2*2.5)/50,0))</f>
        <v>18.3445</v>
      </c>
      <c r="BL314" s="157" t="str">
        <f aca="false">K314&amp;J314</f>
        <v>Zona03REDES</v>
      </c>
      <c r="BM314" s="152" t="s">
        <v>2526</v>
      </c>
      <c r="BN314" s="152" t="s">
        <v>1560</v>
      </c>
      <c r="BO314" s="152" t="s">
        <v>2231</v>
      </c>
      <c r="BP314" s="152" t="s">
        <v>2032</v>
      </c>
      <c r="BQ314" s="152" t="s">
        <v>2722</v>
      </c>
      <c r="BR314" s="152" t="s">
        <v>2337</v>
      </c>
      <c r="BS314" s="152" t="n">
        <v>202981.781</v>
      </c>
      <c r="BT314" s="152" t="n">
        <v>8237783.63</v>
      </c>
      <c r="BU314" s="152" t="n">
        <v>203199.383</v>
      </c>
      <c r="BV314" s="152" t="n">
        <v>8238076.421</v>
      </c>
      <c r="BW314" s="152" t="n">
        <v>-15.9201168</v>
      </c>
      <c r="BX314" s="152" t="n">
        <v>-47.7730488</v>
      </c>
      <c r="BY314" s="152" t="s">
        <v>2722</v>
      </c>
    </row>
    <row r="315" customFormat="false" ht="13.8" hidden="false" customHeight="false" outlineLevel="0" collapsed="false">
      <c r="A315" s="149" t="n">
        <f aca="false">IF(C315&lt;&gt;"",ROW(A310),"")</f>
        <v>310</v>
      </c>
      <c r="B315" s="150" t="str">
        <f aca="false">HYPERLINK("https://www.google.com/maps/dir/-15.917302,-47.760003/-15.9198430,-47.7728005/data=!4m3!4m2!3e0!5i0")</f>
        <v>https://www.google.com/maps/dir/-15.917302,-47.760003/-15.9198430,-47.7728005/data=!4m3!4m2!3e0!5i0</v>
      </c>
      <c r="C315" s="151" t="s">
        <v>117</v>
      </c>
      <c r="D315" s="152" t="s">
        <v>112</v>
      </c>
      <c r="E315" s="152" t="s">
        <v>113</v>
      </c>
      <c r="F315" s="152" t="s">
        <v>117</v>
      </c>
      <c r="G315" s="152" t="s">
        <v>114</v>
      </c>
      <c r="H315" s="152" t="n">
        <v>160</v>
      </c>
      <c r="I315" s="152" t="s">
        <v>115</v>
      </c>
      <c r="J315" s="152" t="s">
        <v>6</v>
      </c>
      <c r="K315" s="152" t="s">
        <v>2522</v>
      </c>
      <c r="L315" s="152" t="s">
        <v>120</v>
      </c>
      <c r="M315" s="153" t="n">
        <f aca="false">124.26</f>
        <v>124.26</v>
      </c>
      <c r="N315" s="152" t="s">
        <v>1548</v>
      </c>
      <c r="O315" s="152" t="s">
        <v>1549</v>
      </c>
      <c r="P315" s="152" t="s">
        <v>1550</v>
      </c>
      <c r="Q315" s="152" t="s">
        <v>1551</v>
      </c>
      <c r="R315" s="154" t="s">
        <v>2723</v>
      </c>
      <c r="S315" s="154" t="s">
        <v>1593</v>
      </c>
      <c r="T315" s="155" t="s">
        <v>2227</v>
      </c>
      <c r="U315" s="152" t="str">
        <f aca="false">RIGHT(T315,7)</f>
        <v>008/037</v>
      </c>
      <c r="V315" s="152" t="s">
        <v>1555</v>
      </c>
      <c r="W315" s="156" t="n">
        <v>45882</v>
      </c>
      <c r="X315" s="152" t="s">
        <v>1594</v>
      </c>
      <c r="Y315" s="152" t="s">
        <v>2630</v>
      </c>
      <c r="Z315" s="152" t="s">
        <v>1557</v>
      </c>
      <c r="AA315" s="153" t="n">
        <v>2.7</v>
      </c>
      <c r="AB315" s="151" t="s">
        <v>2724</v>
      </c>
      <c r="AC315" s="151" t="s">
        <v>505</v>
      </c>
      <c r="AD315" s="151" t="str">
        <f aca="false">CONCATENATE($C315,$I315,$H315,$N315,$J315,$K315)</f>
        <v>TUBO PEADPEAD160VCAREDESZona03</v>
      </c>
      <c r="AE315" s="153" t="n">
        <f aca="false">IFERROR(INDEX(APOIO_REDES!$A:$W,MATCH($C315&amp;$I315&amp;$H315&amp;$N315&amp;$O315,APOIO_REDES!$W:$W,0),MATCH(AE$5,APOIO_REDES!$5:$5,0)),0)</f>
        <v>1.2</v>
      </c>
      <c r="AF315" s="153" t="n">
        <f aca="false">IFERROR(INDEX(APOIO_REDES!$A:$W,MATCH($C315&amp;$I315&amp;$H315&amp;$N315&amp;$O315,APOIO_REDES!$W:$W,0),MATCH(AF$5,APOIO_REDES!$5:$5,0)),0)</f>
        <v>1.46</v>
      </c>
      <c r="AG315" s="153" t="n">
        <f aca="false">IFERROR(INDEX(APOIO_REDES!$A:$W,MATCH($C315&amp;$I315&amp;$H315&amp;$N315&amp;$O315,APOIO_REDES!$W:$W,0),MATCH(AG$5,APOIO_REDES!$5:$5,0)),0)</f>
        <v>0.75</v>
      </c>
      <c r="AH315" s="153" t="n">
        <f aca="false">IFERROR(INDEX(APOIO_REDES!$A:$W,MATCH($C315&amp;$I315&amp;$H315&amp;$N315&amp;$O315,APOIO_REDES!$W:$W,0),MATCH(AH$5,APOIO_REDES!$5:$5,0)),0)</f>
        <v>0.1</v>
      </c>
      <c r="AI315" s="153" t="n">
        <f aca="false">IFERROR(IF($H315&lt;&gt;"",(((($H315/1000)/2)^2)*PI()*$M315),0),0)</f>
        <v>2.49839554006443</v>
      </c>
      <c r="AJ315" s="153" t="n">
        <f aca="false">IFERROR(IF(AND($H315&lt;&gt;"",$I315="FoFo",OR($N315="MND",$N315="VCA"),$Q315="LINEAR"),0,IF(AND($H315&lt;&gt;"",$I315="PEAD",$N315="VCA",$Q315="LINEAR"),($H315/1000)+0.3,IF(AND($H315&lt;&gt;"",$I315="PEAD",$N315="MND",$Q315="EMBOQUE"),0,IF(AND($H315&lt;&gt;"",$I315="PVC",$N315="VCA",$Q315="LINEAR"),($H315/1000)+0.2,IF(AND($H315&lt;&gt;"",$I315="PVC",$N315="MND",$Q315="EMBOQUE"),0,IF(AND($H315&lt;&gt;"",$I315="PEAD",$N315="VCA",$Q315="PREDIAL"),0,0)))))),0)</f>
        <v>0.46</v>
      </c>
      <c r="AK315" s="153" t="n">
        <f aca="false">IF(AA315&lt;&gt;"",AA315,0)</f>
        <v>2.7</v>
      </c>
      <c r="AL315" s="153" t="n">
        <f aca="false">IF(AND($N315="MND",$Q315="EMBOQUE"),$M315,IF(AND($N315="VCA",$Q315="LINEAR"),$M315,IF(AND($N315="VCA",$Q315="PREDIAL"),0,0)))</f>
        <v>124.26</v>
      </c>
      <c r="AM315" s="153" t="n">
        <f aca="false">IF(AND($N315="MND",$Q315="EMBOQUE"),$M315,IF(AND($N315="VCA",$Q315="LINEAR"),$M315,IF(AND($N315="VCA",$Q315="PREDIAL"),0,0)))</f>
        <v>124.26</v>
      </c>
      <c r="AN315" s="153" t="n">
        <f aca="false">ROUND(IF(AND($N315="VCA",$M315&lt;&gt;"",$Q315="LINEAR"),$M315/100,IF(AND($N315="MND",$M315&gt;100,$Q315="EMBOQUE"),$M315/100,0)),0)</f>
        <v>1</v>
      </c>
      <c r="AO315" s="153" t="n">
        <f aca="false">IF(AND($N315="MND",$Q315="EMBOQUE"),$AN315*2*2,IF(AND($N315="VCA",$Q315="LINEAR"),$M315*2,IF(AND($N315="VCA",$Q315="PREDIAL"),0,0)))</f>
        <v>248.52</v>
      </c>
      <c r="AP315" s="153" t="n">
        <f aca="false">IFERROR($M315*$AF315*$AG315,0)</f>
        <v>136.0647</v>
      </c>
      <c r="AQ315" s="153" t="n">
        <f aca="false">IFERROR(IF(AND($N315="VCA",$AH315&gt;0),$M315*$AG315*$AH315,0),0)</f>
        <v>9.3195</v>
      </c>
      <c r="AR315" s="153" t="n">
        <f aca="false">IFERROR(IF(AND($N315="VCA",$AJ315&gt;0),($M315*$AG315*$AJ315)-$AI315,0),0)</f>
        <v>40.3713044599356</v>
      </c>
      <c r="AS315" s="153" t="n">
        <f aca="false">IFERROR(IF(AND($N315="VCA",$AP315&gt;0),$AP315-$AI315-$AQ315-$AR315,0),0)</f>
        <v>83.8755</v>
      </c>
      <c r="AT315" s="153" t="n">
        <f aca="false">IFERROR(IF($N315="VCA",INDEX(APOIO_REDES!$A:$W,MATCH($C315&amp;$I315&amp;$H315&amp;$N315&amp;$O315,APOIO_REDES!$W:$W,0),MATCH(AT$5,APOIO_REDES!$5:$5,0)),0)*$AP315,0)</f>
        <v>1.48042420909546</v>
      </c>
      <c r="AU315" s="153" t="n">
        <f aca="false">IFERROR(IF($N315="VCA",INDEX(APOIO_REDES!$A:$W,MATCH($C315&amp;$I315&amp;$H315&amp;$N315&amp;$O315,APOIO_REDES!$W:$W,0),MATCH(AU$5,APOIO_REDES!$5:$5,0)),0)*$AP315,0)</f>
        <v>1.18222667841119</v>
      </c>
      <c r="AV315" s="153" t="n">
        <f aca="false">IFERROR(IF($N315="VCA",INDEX(APOIO_REDES!$A:$W,MATCH($C315&amp;$I315&amp;$H315&amp;$N315&amp;$O315,APOIO_REDES!$W:$W,0),MATCH(AV$5,APOIO_REDES!$5:$5,0)),0)*$AP315,0)</f>
        <v>0.163610891448799</v>
      </c>
      <c r="AW315" s="153" t="n">
        <f aca="false">IFERROR(IF($N315="VCA",INDEX(APOIO_REDES!$A:$W,MATCH($C315&amp;$I315&amp;$H315&amp;$N315&amp;$O315,APOIO_REDES!$W:$W,0),MATCH(AW$5,APOIO_REDES!$5:$5,0)),0)*$AP315,0)</f>
        <v>93.395864360742</v>
      </c>
      <c r="AX315" s="153" t="n">
        <f aca="false">IFERROR(IF($N315="VCA",INDEX(APOIO_REDES!$A:$W,MATCH($C315&amp;$I315&amp;$H315&amp;$N315&amp;$O315,APOIO_REDES!$W:$W,0),MATCH(AX$5,APOIO_REDES!$5:$5,0)),0)*$AP315,0)</f>
        <v>12.9257215843711</v>
      </c>
      <c r="AY315" s="153" t="n">
        <f aca="false">IFERROR(IF($N315="VCA",INDEX(APOIO_REDES!$A:$W,MATCH($C315&amp;$I315&amp;$H315&amp;$N315&amp;$O315,APOIO_REDES!$W:$W,0),MATCH(AY$5,APOIO_REDES!$5:$5,0)),0)*$AP315,0)</f>
        <v>23.6445191569764</v>
      </c>
      <c r="AZ315" s="153" t="n">
        <f aca="false">IFERROR(IF($N315="VCA",INDEX(APOIO_REDES!$A:$W,MATCH($C315&amp;$I315&amp;$H315&amp;$N315&amp;$O315,APOIO_REDES!$W:$W,0),MATCH(AZ$5,APOIO_REDES!$5:$5,0)),0)*$AP315,0)</f>
        <v>3.27233311895499</v>
      </c>
      <c r="BA315" s="153" t="n">
        <f aca="false">IFERROR(IF(AND($N315="VCA",$Q315="LINEAR"),INDEX(APOIO_REDES!$A:$W,MATCH($C315&amp;$I315&amp;$H315&amp;$N315&amp;$O315,APOIO_REDES!$W:$W,0),MATCH(BA$5,APOIO_REDES!$5:$5,0)),IF(AND($N315="MND",$Q315="EMBOQUE"),INDEX(APOIO_REDES!$A:$W,MATCH($C315&amp;$I315&amp;$H315&amp;$N315&amp;$O315,APOIO_REDES!$W:$W,0),MATCH(BA$5,APOIO_REDES!$5:$5,0)),0))*$M315/10,0)</f>
        <v>10.0150425640635</v>
      </c>
      <c r="BB315" s="153" t="n">
        <f aca="false">IFERROR(IF($N315="VCA",INDEX(APOIO_REDES!$A:$W,MATCH($C315&amp;$I315&amp;$H315&amp;$N315&amp;$O315,APOIO_REDES!$W:$W,0),MATCH(BB$5,APOIO_REDES!$5:$5,0)),0)*($AI315+$AQ315+$AR315),0)</f>
        <v>51.6213660567853</v>
      </c>
      <c r="BC315" s="153" t="n">
        <f aca="false">IFERROR(IF($N315="VCA",INDEX(APOIO_REDES!$A:$W,MATCH($C315&amp;$I315&amp;$H315&amp;$N315&amp;$O315,APOIO_REDES!$W:$W,0),MATCH(BC$5,APOIO_REDES!$5:$5,0)),0)*($AI315+$AQ315+$AR315),0)</f>
        <v>0.567833943214699</v>
      </c>
      <c r="BD315" s="153" t="n">
        <f aca="false">IF(AND($N315="VCA",$AF315&gt;=1.25,$AF315&lt;1.5),$M315*$AF315*2,0)</f>
        <v>362.8392</v>
      </c>
      <c r="BE315" s="153" t="n">
        <f aca="false">IF(AND($N315="VCA",$AF315&gt;=1.5,$AF315&lt;3),$M315*$AF315*2,0)</f>
        <v>0</v>
      </c>
      <c r="BF315" s="153" t="n">
        <f aca="false">IF(AND($N315="VCA",$AF315&gt;=3),$M315*$AF315*2,0)</f>
        <v>0</v>
      </c>
      <c r="BG315" s="153" t="n">
        <f aca="false">($BB315+$BC315)*$AK315</f>
        <v>140.91084</v>
      </c>
      <c r="BH315" s="153" t="n">
        <f aca="false">IF(AND($M315&lt;&gt;"",$N315="VCA",$Q315="LINEAR"),($M315*2)/100,IF(AND($M315&lt;&gt;"",$N315="MND",$Q315="EMBOQUE"),($AN315*2)/100,0))</f>
        <v>2.4852</v>
      </c>
      <c r="BI315" s="153" t="n">
        <f aca="false">IF(AND($M315&lt;&gt;"",$N315="VCA",$Q315="LINEAR"),$M315,IF(AND($M315&lt;&gt;"",$N315="MND",$Q315="EMBOQUE"),$AN315*2,0))</f>
        <v>124.26</v>
      </c>
      <c r="BJ315" s="153" t="n">
        <f aca="false">IF(AND($M315&lt;&gt;"",$N315="VCA",$Q315="LINEAR"),($M315*6.8)/100,IF(AND($M315&lt;&gt;"",$N315="MND",$Q315="EMBOQUE"),($AN315*2*6.8)/100,0))</f>
        <v>8.44968</v>
      </c>
      <c r="BK315" s="153" t="n">
        <f aca="false">IF(AND($M315&lt;&gt;"",$N315="VCA",$Q315="LINEAR"),($M315*2.5)/50,IF(AND($M315&lt;&gt;"",$N315="MND",$Q315="EMBOQUE"),($AN315*2*2.5)/50,0))</f>
        <v>6.213</v>
      </c>
      <c r="BL315" s="157" t="str">
        <f aca="false">K315&amp;J315</f>
        <v>Zona03REDES</v>
      </c>
      <c r="BM315" s="152" t="s">
        <v>2526</v>
      </c>
      <c r="BN315" s="152" t="s">
        <v>1560</v>
      </c>
      <c r="BO315" s="152" t="s">
        <v>2231</v>
      </c>
      <c r="BP315" s="152" t="s">
        <v>2612</v>
      </c>
      <c r="BQ315" s="152" t="s">
        <v>2725</v>
      </c>
      <c r="BR315" s="152" t="s">
        <v>2726</v>
      </c>
      <c r="BS315" s="152" t="n">
        <v>203116.605</v>
      </c>
      <c r="BT315" s="152" t="n">
        <v>8237959.544</v>
      </c>
      <c r="BU315" s="152" t="n">
        <v>203033.585</v>
      </c>
      <c r="BV315" s="152" t="n">
        <v>8237867.578</v>
      </c>
      <c r="BW315" s="152" t="n">
        <v>-15.9202792</v>
      </c>
      <c r="BX315" s="152" t="n">
        <v>-47.7731645</v>
      </c>
      <c r="BY315" s="152" t="s">
        <v>2612</v>
      </c>
    </row>
    <row r="316" customFormat="false" ht="13.8" hidden="false" customHeight="false" outlineLevel="0" collapsed="false">
      <c r="A316" s="149" t="n">
        <f aca="false">IF(C316&lt;&gt;"",ROW(A311),"")</f>
        <v>311</v>
      </c>
      <c r="B316" s="150" t="str">
        <f aca="false">HYPERLINK("https://www.google.com/maps/dir/-15.917302,-47.760003/-15.9206635,-47.7735867/data=!4m3!4m2!3e0!5i0")</f>
        <v>https://www.google.com/maps/dir/-15.917302,-47.760003/-15.9206635,-47.7735867/data=!4m3!4m2!3e0!5i0</v>
      </c>
      <c r="C316" s="151" t="s">
        <v>117</v>
      </c>
      <c r="D316" s="152" t="s">
        <v>112</v>
      </c>
      <c r="E316" s="152" t="s">
        <v>113</v>
      </c>
      <c r="F316" s="152" t="s">
        <v>117</v>
      </c>
      <c r="G316" s="152" t="s">
        <v>114</v>
      </c>
      <c r="H316" s="152" t="n">
        <v>225</v>
      </c>
      <c r="I316" s="152" t="s">
        <v>115</v>
      </c>
      <c r="J316" s="152" t="s">
        <v>6</v>
      </c>
      <c r="K316" s="152" t="s">
        <v>2522</v>
      </c>
      <c r="L316" s="152" t="s">
        <v>120</v>
      </c>
      <c r="M316" s="153" t="n">
        <f aca="false">14.98</f>
        <v>14.98</v>
      </c>
      <c r="N316" s="152" t="s">
        <v>1548</v>
      </c>
      <c r="O316" s="152" t="s">
        <v>1549</v>
      </c>
      <c r="P316" s="152" t="s">
        <v>1550</v>
      </c>
      <c r="Q316" s="152" t="s">
        <v>1551</v>
      </c>
      <c r="R316" s="154" t="s">
        <v>2727</v>
      </c>
      <c r="S316" s="154" t="s">
        <v>1593</v>
      </c>
      <c r="T316" s="155" t="s">
        <v>2227</v>
      </c>
      <c r="U316" s="152" t="str">
        <f aca="false">RIGHT(T316,7)</f>
        <v>008/037</v>
      </c>
      <c r="V316" s="152" t="s">
        <v>1555</v>
      </c>
      <c r="W316" s="156" t="n">
        <v>45882</v>
      </c>
      <c r="X316" s="152" t="s">
        <v>1594</v>
      </c>
      <c r="Y316" s="152" t="s">
        <v>2630</v>
      </c>
      <c r="Z316" s="152" t="s">
        <v>1557</v>
      </c>
      <c r="AA316" s="153" t="n">
        <v>2.9</v>
      </c>
      <c r="AB316" s="151" t="s">
        <v>2264</v>
      </c>
      <c r="AC316" s="151" t="s">
        <v>508</v>
      </c>
      <c r="AD316" s="151" t="str">
        <f aca="false">CONCATENATE($C316,$I316,$H316,$N316,$J316,$K316)</f>
        <v>TUBO PEADPEAD225VCAREDESZona03</v>
      </c>
      <c r="AE316" s="153" t="n">
        <f aca="false">IFERROR(INDEX(APOIO_REDES!$A:$W,MATCH($C316&amp;$I316&amp;$H316&amp;$N316&amp;$O316,APOIO_REDES!$W:$W,0),MATCH(AE$5,APOIO_REDES!$5:$5,0)),0)</f>
        <v>1.2</v>
      </c>
      <c r="AF316" s="153" t="n">
        <f aca="false">IFERROR(INDEX(APOIO_REDES!$A:$W,MATCH($C316&amp;$I316&amp;$H316&amp;$N316&amp;$O316,APOIO_REDES!$W:$W,0),MATCH(AF$5,APOIO_REDES!$5:$5,0)),0)</f>
        <v>1.525</v>
      </c>
      <c r="AG316" s="153" t="n">
        <f aca="false">IFERROR(INDEX(APOIO_REDES!$A:$W,MATCH($C316&amp;$I316&amp;$H316&amp;$N316&amp;$O316,APOIO_REDES!$W:$W,0),MATCH(AG$5,APOIO_REDES!$5:$5,0)),0)</f>
        <v>0.8</v>
      </c>
      <c r="AH316" s="153" t="n">
        <f aca="false">IFERROR(INDEX(APOIO_REDES!$A:$W,MATCH($C316&amp;$I316&amp;$H316&amp;$N316&amp;$O316,APOIO_REDES!$W:$W,0),MATCH(AH$5,APOIO_REDES!$5:$5,0)),0)</f>
        <v>0.1</v>
      </c>
      <c r="AI316" s="153" t="n">
        <f aca="false">IFERROR(IF($H316&lt;&gt;"",(((($H316/1000)/2)^2)*PI()*$M316),0),0)</f>
        <v>0.595616514689498</v>
      </c>
      <c r="AJ316" s="153" t="n">
        <f aca="false">IFERROR(IF(AND($H316&lt;&gt;"",$I316="FoFo",OR($N316="MND",$N316="VCA"),$Q316="LINEAR"),0,IF(AND($H316&lt;&gt;"",$I316="PEAD",$N316="VCA",$Q316="LINEAR"),($H316/1000)+0.3,IF(AND($H316&lt;&gt;"",$I316="PEAD",$N316="MND",$Q316="EMBOQUE"),0,IF(AND($H316&lt;&gt;"",$I316="PVC",$N316="VCA",$Q316="LINEAR"),($H316/1000)+0.2,IF(AND($H316&lt;&gt;"",$I316="PVC",$N316="MND",$Q316="EMBOQUE"),0,IF(AND($H316&lt;&gt;"",$I316="PEAD",$N316="VCA",$Q316="PREDIAL"),0,0)))))),0)</f>
        <v>0.525</v>
      </c>
      <c r="AK316" s="153" t="n">
        <f aca="false">IF(AA316&lt;&gt;"",AA316,0)</f>
        <v>2.9</v>
      </c>
      <c r="AL316" s="153" t="n">
        <f aca="false">IF(AND($N316="MND",$Q316="EMBOQUE"),$M316,IF(AND($N316="VCA",$Q316="LINEAR"),$M316,IF(AND($N316="VCA",$Q316="PREDIAL"),0,0)))</f>
        <v>14.98</v>
      </c>
      <c r="AM316" s="153" t="n">
        <f aca="false">IF(AND($N316="MND",$Q316="EMBOQUE"),$M316,IF(AND($N316="VCA",$Q316="LINEAR"),$M316,IF(AND($N316="VCA",$Q316="PREDIAL"),0,0)))</f>
        <v>14.98</v>
      </c>
      <c r="AN316" s="153" t="n">
        <f aca="false">ROUND(IF(AND($N316="VCA",$M316&lt;&gt;"",$Q316="LINEAR"),$M316/100,IF(AND($N316="MND",$M316&gt;100,$Q316="EMBOQUE"),$M316/100,0)),0)</f>
        <v>0</v>
      </c>
      <c r="AO316" s="153" t="n">
        <f aca="false">IF(AND($N316="MND",$Q316="EMBOQUE"),$AN316*2*2,IF(AND($N316="VCA",$Q316="LINEAR"),$M316*2,IF(AND($N316="VCA",$Q316="PREDIAL"),0,0)))</f>
        <v>29.96</v>
      </c>
      <c r="AP316" s="153" t="n">
        <f aca="false">IFERROR($M316*$AF316*$AG316,0)</f>
        <v>18.2756</v>
      </c>
      <c r="AQ316" s="153" t="n">
        <f aca="false">IFERROR(IF(AND($N316="VCA",$AH316&gt;0),$M316*$AG316*$AH316,0),0)</f>
        <v>1.1984</v>
      </c>
      <c r="AR316" s="153" t="n">
        <f aca="false">IFERROR(IF(AND($N316="VCA",$AJ316&gt;0),($M316*$AG316*$AJ316)-$AI316,0),0)</f>
        <v>5.6959834853105</v>
      </c>
      <c r="AS316" s="153" t="n">
        <f aca="false">IFERROR(IF(AND($N316="VCA",$AP316&gt;0),$AP316-$AI316-$AQ316-$AR316,0),0)</f>
        <v>10.7856</v>
      </c>
      <c r="AT316" s="153" t="n">
        <f aca="false">IFERROR(IF($N316="VCA",INDEX(APOIO_REDES!$A:$W,MATCH($C316&amp;$I316&amp;$H316&amp;$N316&amp;$O316,APOIO_REDES!$W:$W,0),MATCH(AT$5,APOIO_REDES!$5:$5,0)),0)*$AP316,0)</f>
        <v>0.198843937301483</v>
      </c>
      <c r="AU316" s="153" t="n">
        <f aca="false">IFERROR(IF($N316="VCA",INDEX(APOIO_REDES!$A:$W,MATCH($C316&amp;$I316&amp;$H316&amp;$N316&amp;$O316,APOIO_REDES!$W:$W,0),MATCH(AU$5,APOIO_REDES!$5:$5,0)),0)*$AP316,0)</f>
        <v>0.158791382952166</v>
      </c>
      <c r="AV316" s="153" t="n">
        <f aca="false">IFERROR(IF($N316="VCA",INDEX(APOIO_REDES!$A:$W,MATCH($C316&amp;$I316&amp;$H316&amp;$N316&amp;$O316,APOIO_REDES!$W:$W,0),MATCH(AV$5,APOIO_REDES!$5:$5,0)),0)*$AP316,0)</f>
        <v>0.0219754808393483</v>
      </c>
      <c r="AW316" s="153" t="n">
        <f aca="false">IFERROR(IF($N316="VCA",INDEX(APOIO_REDES!$A:$W,MATCH($C316&amp;$I316&amp;$H316&amp;$N316&amp;$O316,APOIO_REDES!$W:$W,0),MATCH(AW$5,APOIO_REDES!$5:$5,0)),0)*$AP316,0)</f>
        <v>12.5445134462588</v>
      </c>
      <c r="AX316" s="153" t="n">
        <f aca="false">IFERROR(IF($N316="VCA",INDEX(APOIO_REDES!$A:$W,MATCH($C316&amp;$I316&amp;$H316&amp;$N316&amp;$O316,APOIO_REDES!$W:$W,0),MATCH(AX$5,APOIO_REDES!$5:$5,0)),0)*$AP316,0)</f>
        <v>1.73612492723927</v>
      </c>
      <c r="AY316" s="153" t="n">
        <f aca="false">IFERROR(IF($N316="VCA",INDEX(APOIO_REDES!$A:$W,MATCH($C316&amp;$I316&amp;$H316&amp;$N316&amp;$O316,APOIO_REDES!$W:$W,0),MATCH(AY$5,APOIO_REDES!$5:$5,0)),0)*$AP316,0)</f>
        <v>3.17582572338923</v>
      </c>
      <c r="AZ316" s="153" t="n">
        <f aca="false">IFERROR(IF($N316="VCA",INDEX(APOIO_REDES!$A:$W,MATCH($C316&amp;$I316&amp;$H316&amp;$N316&amp;$O316,APOIO_REDES!$W:$W,0),MATCH(AZ$5,APOIO_REDES!$5:$5,0)),0)*$AP316,0)</f>
        <v>0.439525102019655</v>
      </c>
      <c r="BA316" s="153" t="n">
        <f aca="false">IFERROR(IF(AND($N316="VCA",$Q316="LINEAR"),INDEX(APOIO_REDES!$A:$W,MATCH($C316&amp;$I316&amp;$H316&amp;$N316&amp;$O316,APOIO_REDES!$W:$W,0),MATCH(BA$5,APOIO_REDES!$5:$5,0)),IF(AND($N316="MND",$Q316="EMBOQUE"),INDEX(APOIO_REDES!$A:$W,MATCH($C316&amp;$I316&amp;$H316&amp;$N316&amp;$O316,APOIO_REDES!$W:$W,0),MATCH(BA$5,APOIO_REDES!$5:$5,0)),0))*$M316/10,0)</f>
        <v>1.20735021414511</v>
      </c>
      <c r="BB316" s="153" t="n">
        <f aca="false">IFERROR(IF($N316="VCA",INDEX(APOIO_REDES!$A:$W,MATCH($C316&amp;$I316&amp;$H316&amp;$N316&amp;$O316,APOIO_REDES!$W:$W,0),MATCH(BB$5,APOIO_REDES!$5:$5,0)),0)*($AI316+$AQ316+$AR316),0)</f>
        <v>7.40850658307316</v>
      </c>
      <c r="BC316" s="153" t="n">
        <f aca="false">IFERROR(IF($N316="VCA",INDEX(APOIO_REDES!$A:$W,MATCH($C316&amp;$I316&amp;$H316&amp;$N316&amp;$O316,APOIO_REDES!$W:$W,0),MATCH(BC$5,APOIO_REDES!$5:$5,0)),0)*($AI316+$AQ316+$AR316),0)</f>
        <v>0.0814934169268372</v>
      </c>
      <c r="BD316" s="153" t="n">
        <f aca="false">IF(AND($N316="VCA",$AF316&gt;=1.25,$AF316&lt;1.5),$M316*$AF316*2,0)</f>
        <v>0</v>
      </c>
      <c r="BE316" s="153" t="n">
        <f aca="false">IF(AND($N316="VCA",$AF316&gt;=1.5,$AF316&lt;3),$M316*$AF316*2,0)</f>
        <v>45.689</v>
      </c>
      <c r="BF316" s="153" t="n">
        <f aca="false">IF(AND($N316="VCA",$AF316&gt;=3),$M316*$AF316*2,0)</f>
        <v>0</v>
      </c>
      <c r="BG316" s="153" t="n">
        <f aca="false">($BB316+$BC316)*$AK316</f>
        <v>21.721</v>
      </c>
      <c r="BH316" s="153" t="n">
        <f aca="false">IF(AND($M316&lt;&gt;"",$N316="VCA",$Q316="LINEAR"),($M316*2)/100,IF(AND($M316&lt;&gt;"",$N316="MND",$Q316="EMBOQUE"),($AN316*2)/100,0))</f>
        <v>0.2996</v>
      </c>
      <c r="BI316" s="153" t="n">
        <f aca="false">IF(AND($M316&lt;&gt;"",$N316="VCA",$Q316="LINEAR"),$M316,IF(AND($M316&lt;&gt;"",$N316="MND",$Q316="EMBOQUE"),$AN316*2,0))</f>
        <v>14.98</v>
      </c>
      <c r="BJ316" s="153" t="n">
        <f aca="false">IF(AND($M316&lt;&gt;"",$N316="VCA",$Q316="LINEAR"),($M316*6.8)/100,IF(AND($M316&lt;&gt;"",$N316="MND",$Q316="EMBOQUE"),($AN316*2*6.8)/100,0))</f>
        <v>1.01864</v>
      </c>
      <c r="BK316" s="153" t="n">
        <f aca="false">IF(AND($M316&lt;&gt;"",$N316="VCA",$Q316="LINEAR"),($M316*2.5)/50,IF(AND($M316&lt;&gt;"",$N316="MND",$Q316="EMBOQUE"),($AN316*2*2.5)/50,0))</f>
        <v>0.749</v>
      </c>
      <c r="BL316" s="157" t="str">
        <f aca="false">K316&amp;J316</f>
        <v>Zona03REDES</v>
      </c>
      <c r="BM316" s="152" t="s">
        <v>2526</v>
      </c>
      <c r="BN316" s="152" t="s">
        <v>1560</v>
      </c>
      <c r="BO316" s="152" t="s">
        <v>2231</v>
      </c>
      <c r="BP316" s="152" t="s">
        <v>2032</v>
      </c>
      <c r="BQ316" s="152" t="s">
        <v>2032</v>
      </c>
      <c r="BR316" s="152" t="s">
        <v>2218</v>
      </c>
      <c r="BS316" s="152" t="n">
        <v>203033.978</v>
      </c>
      <c r="BT316" s="152" t="n">
        <v>8237873.778</v>
      </c>
      <c r="BU316" s="152" t="n">
        <v>203023.661</v>
      </c>
      <c r="BV316" s="152" t="n">
        <v>8237862.936</v>
      </c>
      <c r="BW316" s="152" t="n">
        <v>-15.9206542</v>
      </c>
      <c r="BX316" s="152" t="n">
        <v>-47.7736328</v>
      </c>
      <c r="BY316" s="152" t="s">
        <v>2725</v>
      </c>
    </row>
    <row r="317" customFormat="false" ht="13.8" hidden="false" customHeight="false" outlineLevel="0" collapsed="false">
      <c r="A317" s="149" t="n">
        <f aca="false">IF(C317&lt;&gt;"",ROW(A312),"")</f>
        <v>312</v>
      </c>
      <c r="B317" s="150" t="str">
        <f aca="false">HYPERLINK("https://www.google.com/maps/dir/-15.917302,-47.760003/-15.9206635,-47.7735867/data=!4m3!4m2!3e0!5i0")</f>
        <v>https://www.google.com/maps/dir/-15.917302,-47.760003/-15.9206635,-47.7735867/data=!4m3!4m2!3e0!5i0</v>
      </c>
      <c r="C317" s="151" t="s">
        <v>117</v>
      </c>
      <c r="D317" s="152" t="s">
        <v>112</v>
      </c>
      <c r="E317" s="152" t="s">
        <v>113</v>
      </c>
      <c r="F317" s="152" t="s">
        <v>117</v>
      </c>
      <c r="G317" s="152" t="s">
        <v>114</v>
      </c>
      <c r="H317" s="152" t="n">
        <v>160</v>
      </c>
      <c r="I317" s="152" t="s">
        <v>115</v>
      </c>
      <c r="J317" s="152" t="s">
        <v>6</v>
      </c>
      <c r="K317" s="152" t="s">
        <v>2522</v>
      </c>
      <c r="L317" s="152" t="s">
        <v>120</v>
      </c>
      <c r="M317" s="153" t="n">
        <f aca="false">56.94</f>
        <v>56.94</v>
      </c>
      <c r="N317" s="152" t="s">
        <v>1548</v>
      </c>
      <c r="O317" s="152" t="s">
        <v>1549</v>
      </c>
      <c r="P317" s="152" t="s">
        <v>1550</v>
      </c>
      <c r="Q317" s="152" t="s">
        <v>1551</v>
      </c>
      <c r="R317" s="154" t="s">
        <v>2728</v>
      </c>
      <c r="S317" s="154" t="s">
        <v>1593</v>
      </c>
      <c r="T317" s="155" t="s">
        <v>2227</v>
      </c>
      <c r="U317" s="152" t="str">
        <f aca="false">RIGHT(T317,7)</f>
        <v>008/037</v>
      </c>
      <c r="V317" s="152" t="s">
        <v>1555</v>
      </c>
      <c r="W317" s="156" t="n">
        <v>45882</v>
      </c>
      <c r="X317" s="152" t="s">
        <v>1594</v>
      </c>
      <c r="Y317" s="152" t="s">
        <v>2630</v>
      </c>
      <c r="Z317" s="152" t="s">
        <v>1557</v>
      </c>
      <c r="AA317" s="153" t="n">
        <v>2.9</v>
      </c>
      <c r="AB317" s="151" t="s">
        <v>2729</v>
      </c>
      <c r="AC317" s="151" t="s">
        <v>505</v>
      </c>
      <c r="AD317" s="151" t="str">
        <f aca="false">CONCATENATE($C317,$I317,$H317,$N317,$J317,$K317)</f>
        <v>TUBO PEADPEAD160VCAREDESZona03</v>
      </c>
      <c r="AE317" s="153" t="n">
        <f aca="false">IFERROR(INDEX(APOIO_REDES!$A:$W,MATCH($C317&amp;$I317&amp;$H317&amp;$N317&amp;$O317,APOIO_REDES!$W:$W,0),MATCH(AE$5,APOIO_REDES!$5:$5,0)),0)</f>
        <v>1.2</v>
      </c>
      <c r="AF317" s="153" t="n">
        <f aca="false">IFERROR(INDEX(APOIO_REDES!$A:$W,MATCH($C317&amp;$I317&amp;$H317&amp;$N317&amp;$O317,APOIO_REDES!$W:$W,0),MATCH(AF$5,APOIO_REDES!$5:$5,0)),0)</f>
        <v>1.46</v>
      </c>
      <c r="AG317" s="153" t="n">
        <f aca="false">IFERROR(INDEX(APOIO_REDES!$A:$W,MATCH($C317&amp;$I317&amp;$H317&amp;$N317&amp;$O317,APOIO_REDES!$W:$W,0),MATCH(AG$5,APOIO_REDES!$5:$5,0)),0)</f>
        <v>0.75</v>
      </c>
      <c r="AH317" s="153" t="n">
        <f aca="false">IFERROR(INDEX(APOIO_REDES!$A:$W,MATCH($C317&amp;$I317&amp;$H317&amp;$N317&amp;$O317,APOIO_REDES!$W:$W,0),MATCH(AH$5,APOIO_REDES!$5:$5,0)),0)</f>
        <v>0.1</v>
      </c>
      <c r="AI317" s="153" t="n">
        <f aca="false">IFERROR(IF($H317&lt;&gt;"",(((($H317/1000)/2)^2)*PI()*$M317),0),0)</f>
        <v>1.14484662845058</v>
      </c>
      <c r="AJ317" s="153" t="n">
        <f aca="false">IFERROR(IF(AND($H317&lt;&gt;"",$I317="FoFo",OR($N317="MND",$N317="VCA"),$Q317="LINEAR"),0,IF(AND($H317&lt;&gt;"",$I317="PEAD",$N317="VCA",$Q317="LINEAR"),($H317/1000)+0.3,IF(AND($H317&lt;&gt;"",$I317="PEAD",$N317="MND",$Q317="EMBOQUE"),0,IF(AND($H317&lt;&gt;"",$I317="PVC",$N317="VCA",$Q317="LINEAR"),($H317/1000)+0.2,IF(AND($H317&lt;&gt;"",$I317="PVC",$N317="MND",$Q317="EMBOQUE"),0,IF(AND($H317&lt;&gt;"",$I317="PEAD",$N317="VCA",$Q317="PREDIAL"),0,0)))))),0)</f>
        <v>0.46</v>
      </c>
      <c r="AK317" s="153" t="n">
        <f aca="false">IF(AA317&lt;&gt;"",AA317,0)</f>
        <v>2.9</v>
      </c>
      <c r="AL317" s="153" t="n">
        <f aca="false">IF(AND($N317="MND",$Q317="EMBOQUE"),$M317,IF(AND($N317="VCA",$Q317="LINEAR"),$M317,IF(AND($N317="VCA",$Q317="PREDIAL"),0,0)))</f>
        <v>56.94</v>
      </c>
      <c r="AM317" s="153" t="n">
        <f aca="false">IF(AND($N317="MND",$Q317="EMBOQUE"),$M317,IF(AND($N317="VCA",$Q317="LINEAR"),$M317,IF(AND($N317="VCA",$Q317="PREDIAL"),0,0)))</f>
        <v>56.94</v>
      </c>
      <c r="AN317" s="153" t="n">
        <f aca="false">ROUND(IF(AND($N317="VCA",$M317&lt;&gt;"",$Q317="LINEAR"),$M317/100,IF(AND($N317="MND",$M317&gt;100,$Q317="EMBOQUE"),$M317/100,0)),0)</f>
        <v>1</v>
      </c>
      <c r="AO317" s="153" t="n">
        <f aca="false">IF(AND($N317="MND",$Q317="EMBOQUE"),$AN317*2*2,IF(AND($N317="VCA",$Q317="LINEAR"),$M317*2,IF(AND($N317="VCA",$Q317="PREDIAL"),0,0)))</f>
        <v>113.88</v>
      </c>
      <c r="AP317" s="153" t="n">
        <f aca="false">IFERROR($M317*$AF317*$AG317,0)</f>
        <v>62.3493</v>
      </c>
      <c r="AQ317" s="153" t="n">
        <f aca="false">IFERROR(IF(AND($N317="VCA",$AH317&gt;0),$M317*$AG317*$AH317,0),0)</f>
        <v>4.2705</v>
      </c>
      <c r="AR317" s="153" t="n">
        <f aca="false">IFERROR(IF(AND($N317="VCA",$AJ317&gt;0),($M317*$AG317*$AJ317)-$AI317,0),0)</f>
        <v>18.4994533715494</v>
      </c>
      <c r="AS317" s="153" t="n">
        <f aca="false">IFERROR(IF(AND($N317="VCA",$AP317&gt;0),$AP317-$AI317-$AQ317-$AR317,0),0)</f>
        <v>38.4345</v>
      </c>
      <c r="AT317" s="153" t="n">
        <f aca="false">IFERROR(IF($N317="VCA",INDEX(APOIO_REDES!$A:$W,MATCH($C317&amp;$I317&amp;$H317&amp;$N317&amp;$O317,APOIO_REDES!$W:$W,0),MATCH(AT$5,APOIO_REDES!$5:$5,0)),0)*$AP317,0)</f>
        <v>0.678378838450795</v>
      </c>
      <c r="AU317" s="153" t="n">
        <f aca="false">IFERROR(IF($N317="VCA",INDEX(APOIO_REDES!$A:$W,MATCH($C317&amp;$I317&amp;$H317&amp;$N317&amp;$O317,APOIO_REDES!$W:$W,0),MATCH(AU$5,APOIO_REDES!$5:$5,0)),0)*$AP317,0)</f>
        <v>0.541734967557808</v>
      </c>
      <c r="AV317" s="153" t="n">
        <f aca="false">IFERROR(IF($N317="VCA",INDEX(APOIO_REDES!$A:$W,MATCH($C317&amp;$I317&amp;$H317&amp;$N317&amp;$O317,APOIO_REDES!$W:$W,0),MATCH(AV$5,APOIO_REDES!$5:$5,0)),0)*$AP317,0)</f>
        <v>0.0749718667237617</v>
      </c>
      <c r="AW317" s="153" t="n">
        <f aca="false">IFERROR(IF($N317="VCA",INDEX(APOIO_REDES!$A:$W,MATCH($C317&amp;$I317&amp;$H317&amp;$N317&amp;$O317,APOIO_REDES!$W:$W,0),MATCH(AW$5,APOIO_REDES!$5:$5,0)),0)*$AP317,0)</f>
        <v>42.7970426259508</v>
      </c>
      <c r="AX317" s="153" t="n">
        <f aca="false">IFERROR(IF($N317="VCA",INDEX(APOIO_REDES!$A:$W,MATCH($C317&amp;$I317&amp;$H317&amp;$N317&amp;$O317,APOIO_REDES!$W:$W,0),MATCH(AX$5,APOIO_REDES!$5:$5,0)),0)*$AP317,0)</f>
        <v>5.92298878974805</v>
      </c>
      <c r="AY317" s="153" t="n">
        <f aca="false">IFERROR(IF($N317="VCA",INDEX(APOIO_REDES!$A:$W,MATCH($C317&amp;$I317&amp;$H317&amp;$N317&amp;$O317,APOIO_REDES!$W:$W,0),MATCH(AY$5,APOIO_REDES!$5:$5,0)),0)*$AP317,0)</f>
        <v>10.8346927474508</v>
      </c>
      <c r="AZ317" s="153" t="n">
        <f aca="false">IFERROR(IF($N317="VCA",INDEX(APOIO_REDES!$A:$W,MATCH($C317&amp;$I317&amp;$H317&amp;$N317&amp;$O317,APOIO_REDES!$W:$W,0),MATCH(AZ$5,APOIO_REDES!$5:$5,0)),0)*$AP317,0)</f>
        <v>1.49949016411795</v>
      </c>
      <c r="BA317" s="153" t="n">
        <f aca="false">IFERROR(IF(AND($N317="VCA",$Q317="LINEAR"),INDEX(APOIO_REDES!$A:$W,MATCH($C317&amp;$I317&amp;$H317&amp;$N317&amp;$O317,APOIO_REDES!$W:$W,0),MATCH(BA$5,APOIO_REDES!$5:$5,0)),IF(AND($N317="MND",$Q317="EMBOQUE"),INDEX(APOIO_REDES!$A:$W,MATCH($C317&amp;$I317&amp;$H317&amp;$N317&amp;$O317,APOIO_REDES!$W:$W,0),MATCH(BA$5,APOIO_REDES!$5:$5,0)),0))*$M317/10,0)</f>
        <v>4.58922037339269</v>
      </c>
      <c r="BB317" s="153" t="n">
        <f aca="false">IFERROR(IF($N317="VCA",INDEX(APOIO_REDES!$A:$W,MATCH($C317&amp;$I317&amp;$H317&amp;$N317&amp;$O317,APOIO_REDES!$W:$W,0),MATCH(BB$5,APOIO_REDES!$5:$5,0)),0)*($AI317+$AQ317+$AR317),0)</f>
        <v>23.6545998975805</v>
      </c>
      <c r="BC317" s="153" t="n">
        <f aca="false">IFERROR(IF($N317="VCA",INDEX(APOIO_REDES!$A:$W,MATCH($C317&amp;$I317&amp;$H317&amp;$N317&amp;$O317,APOIO_REDES!$W:$W,0),MATCH(BC$5,APOIO_REDES!$5:$5,0)),0)*($AI317+$AQ317+$AR317),0)</f>
        <v>0.260200102419483</v>
      </c>
      <c r="BD317" s="153" t="n">
        <f aca="false">IF(AND($N317="VCA",$AF317&gt;=1.25,$AF317&lt;1.5),$M317*$AF317*2,0)</f>
        <v>166.2648</v>
      </c>
      <c r="BE317" s="153" t="n">
        <f aca="false">IF(AND($N317="VCA",$AF317&gt;=1.5,$AF317&lt;3),$M317*$AF317*2,0)</f>
        <v>0</v>
      </c>
      <c r="BF317" s="153" t="n">
        <f aca="false">IF(AND($N317="VCA",$AF317&gt;=3),$M317*$AF317*2,0)</f>
        <v>0</v>
      </c>
      <c r="BG317" s="153" t="n">
        <f aca="false">($BB317+$BC317)*$AK317</f>
        <v>69.35292</v>
      </c>
      <c r="BH317" s="153" t="n">
        <f aca="false">IF(AND($M317&lt;&gt;"",$N317="VCA",$Q317="LINEAR"),($M317*2)/100,IF(AND($M317&lt;&gt;"",$N317="MND",$Q317="EMBOQUE"),($AN317*2)/100,0))</f>
        <v>1.1388</v>
      </c>
      <c r="BI317" s="153" t="n">
        <f aca="false">IF(AND($M317&lt;&gt;"",$N317="VCA",$Q317="LINEAR"),$M317,IF(AND($M317&lt;&gt;"",$N317="MND",$Q317="EMBOQUE"),$AN317*2,0))</f>
        <v>56.94</v>
      </c>
      <c r="BJ317" s="153" t="n">
        <f aca="false">IF(AND($M317&lt;&gt;"",$N317="VCA",$Q317="LINEAR"),($M317*6.8)/100,IF(AND($M317&lt;&gt;"",$N317="MND",$Q317="EMBOQUE"),($AN317*2*6.8)/100,0))</f>
        <v>3.87192</v>
      </c>
      <c r="BK317" s="153" t="n">
        <f aca="false">IF(AND($M317&lt;&gt;"",$N317="VCA",$Q317="LINEAR"),($M317*2.5)/50,IF(AND($M317&lt;&gt;"",$N317="MND",$Q317="EMBOQUE"),($AN317*2*2.5)/50,0))</f>
        <v>2.847</v>
      </c>
      <c r="BL317" s="157" t="str">
        <f aca="false">K317&amp;J317</f>
        <v>Zona03REDES</v>
      </c>
      <c r="BM317" s="152" t="s">
        <v>2526</v>
      </c>
      <c r="BN317" s="152" t="s">
        <v>1560</v>
      </c>
      <c r="BO317" s="152" t="s">
        <v>2231</v>
      </c>
      <c r="BP317" s="152" t="s">
        <v>2725</v>
      </c>
      <c r="BQ317" s="152" t="s">
        <v>2730</v>
      </c>
      <c r="BR317" s="152" t="s">
        <v>2731</v>
      </c>
      <c r="BS317" s="152" t="n">
        <v>203033.585</v>
      </c>
      <c r="BT317" s="152" t="n">
        <v>8237867.578</v>
      </c>
      <c r="BU317" s="152" t="n">
        <v>203001.332</v>
      </c>
      <c r="BV317" s="152" t="n">
        <v>8237820.998</v>
      </c>
      <c r="BW317" s="152" t="n">
        <v>-15.9208596</v>
      </c>
      <c r="BX317" s="152" t="n">
        <v>-47.7737574</v>
      </c>
      <c r="BY317" s="152" t="s">
        <v>2725</v>
      </c>
    </row>
    <row r="318" customFormat="false" ht="13.8" hidden="false" customHeight="false" outlineLevel="0" collapsed="false">
      <c r="A318" s="149" t="n">
        <f aca="false">IF(C318&lt;&gt;"",ROW(A313),"")</f>
        <v>313</v>
      </c>
      <c r="B318" s="150" t="str">
        <f aca="false">HYPERLINK("https://www.google.com/maps/dir/-15.917302,-47.760003/-15.9211304,-47.7726539/data=!4m3!4m2!3e0!5i2")</f>
        <v>https://www.google.com/maps/dir/-15.917302,-47.760003/-15.9211304,-47.7726539/data=!4m3!4m2!3e0!5i2</v>
      </c>
      <c r="C318" s="151" t="s">
        <v>117</v>
      </c>
      <c r="D318" s="152" t="s">
        <v>112</v>
      </c>
      <c r="E318" s="152" t="s">
        <v>113</v>
      </c>
      <c r="F318" s="152" t="s">
        <v>117</v>
      </c>
      <c r="G318" s="152" t="s">
        <v>782</v>
      </c>
      <c r="H318" s="152" t="n">
        <v>110</v>
      </c>
      <c r="I318" s="152" t="s">
        <v>115</v>
      </c>
      <c r="J318" s="152" t="s">
        <v>6</v>
      </c>
      <c r="K318" s="152" t="s">
        <v>2522</v>
      </c>
      <c r="L318" s="152" t="s">
        <v>120</v>
      </c>
      <c r="M318" s="153" t="n">
        <f aca="false">113.57</f>
        <v>113.57</v>
      </c>
      <c r="N318" s="152" t="s">
        <v>1548</v>
      </c>
      <c r="O318" s="152" t="s">
        <v>1549</v>
      </c>
      <c r="P318" s="152" t="s">
        <v>1550</v>
      </c>
      <c r="Q318" s="152" t="s">
        <v>1551</v>
      </c>
      <c r="R318" s="154" t="s">
        <v>2732</v>
      </c>
      <c r="S318" s="154" t="s">
        <v>1593</v>
      </c>
      <c r="T318" s="155" t="s">
        <v>2227</v>
      </c>
      <c r="U318" s="152" t="str">
        <f aca="false">RIGHT(T318,7)</f>
        <v>008/037</v>
      </c>
      <c r="V318" s="152" t="s">
        <v>1555</v>
      </c>
      <c r="W318" s="156" t="n">
        <v>45882</v>
      </c>
      <c r="X318" s="152" t="s">
        <v>1594</v>
      </c>
      <c r="Y318" s="152" t="s">
        <v>2630</v>
      </c>
      <c r="Z318" s="152" t="s">
        <v>1557</v>
      </c>
      <c r="AA318" s="153" t="n">
        <v>4.1</v>
      </c>
      <c r="AB318" s="151" t="s">
        <v>2733</v>
      </c>
      <c r="AC318" s="151" t="s">
        <v>502</v>
      </c>
      <c r="AD318" s="151" t="str">
        <f aca="false">CONCATENATE($C318,$I318,$H318,$N318,$J318,$K318)</f>
        <v>TUBO PEADPEAD110VCAREDESZona03</v>
      </c>
      <c r="AE318" s="153" t="n">
        <f aca="false">IFERROR(INDEX(APOIO_REDES!$A:$W,MATCH($C318&amp;$I318&amp;$H318&amp;$N318&amp;$O318,APOIO_REDES!$W:$W,0),MATCH(AE$5,APOIO_REDES!$5:$5,0)),0)</f>
        <v>1.2</v>
      </c>
      <c r="AF318" s="153" t="n">
        <f aca="false">IFERROR(INDEX(APOIO_REDES!$A:$W,MATCH($C318&amp;$I318&amp;$H318&amp;$N318&amp;$O318,APOIO_REDES!$W:$W,0),MATCH(AF$5,APOIO_REDES!$5:$5,0)),0)</f>
        <v>1.41</v>
      </c>
      <c r="AG318" s="153" t="n">
        <f aca="false">IFERROR(INDEX(APOIO_REDES!$A:$W,MATCH($C318&amp;$I318&amp;$H318&amp;$N318&amp;$O318,APOIO_REDES!$W:$W,0),MATCH(AG$5,APOIO_REDES!$5:$5,0)),0)</f>
        <v>0.75</v>
      </c>
      <c r="AH318" s="153" t="n">
        <f aca="false">IFERROR(INDEX(APOIO_REDES!$A:$W,MATCH($C318&amp;$I318&amp;$H318&amp;$N318&amp;$O318,APOIO_REDES!$W:$W,0),MATCH(AH$5,APOIO_REDES!$5:$5,0)),0)</f>
        <v>0.1</v>
      </c>
      <c r="AI318" s="153" t="n">
        <f aca="false">IFERROR(IF($H318&lt;&gt;"",(((($H318/1000)/2)^2)*PI()*$M318),0),0)</f>
        <v>1.07929179994628</v>
      </c>
      <c r="AJ318" s="153" t="n">
        <f aca="false">IFERROR(IF(AND($H318&lt;&gt;"",$I318="FoFo",OR($N318="MND",$N318="VCA"),$Q318="LINEAR"),0,IF(AND($H318&lt;&gt;"",$I318="PEAD",$N318="VCA",$Q318="LINEAR"),($H318/1000)+0.3,IF(AND($H318&lt;&gt;"",$I318="PEAD",$N318="MND",$Q318="EMBOQUE"),0,IF(AND($H318&lt;&gt;"",$I318="PVC",$N318="VCA",$Q318="LINEAR"),($H318/1000)+0.2,IF(AND($H318&lt;&gt;"",$I318="PVC",$N318="MND",$Q318="EMBOQUE"),0,IF(AND($H318&lt;&gt;"",$I318="PEAD",$N318="VCA",$Q318="PREDIAL"),0,0)))))),0)</f>
        <v>0.41</v>
      </c>
      <c r="AK318" s="153" t="n">
        <f aca="false">IF(AA318&lt;&gt;"",AA318,0)</f>
        <v>4.1</v>
      </c>
      <c r="AL318" s="153" t="n">
        <f aca="false">IF(AND($N318="MND",$Q318="EMBOQUE"),$M318,IF(AND($N318="VCA",$Q318="LINEAR"),$M318,IF(AND($N318="VCA",$Q318="PREDIAL"),0,0)))</f>
        <v>113.57</v>
      </c>
      <c r="AM318" s="153" t="n">
        <f aca="false">IF(AND($N318="MND",$Q318="EMBOQUE"),$M318,IF(AND($N318="VCA",$Q318="LINEAR"),$M318,IF(AND($N318="VCA",$Q318="PREDIAL"),0,0)))</f>
        <v>113.57</v>
      </c>
      <c r="AN318" s="153" t="n">
        <f aca="false">ROUND(IF(AND($N318="VCA",$M318&lt;&gt;"",$Q318="LINEAR"),$M318/100,IF(AND($N318="MND",$M318&gt;100,$Q318="EMBOQUE"),$M318/100,0)),0)</f>
        <v>1</v>
      </c>
      <c r="AO318" s="153" t="n">
        <f aca="false">IF(AND($N318="MND",$Q318="EMBOQUE"),$AN318*2*2,IF(AND($N318="VCA",$Q318="LINEAR"),$M318*2,IF(AND($N318="VCA",$Q318="PREDIAL"),0,0)))</f>
        <v>227.14</v>
      </c>
      <c r="AP318" s="153" t="n">
        <f aca="false">IFERROR($M318*$AF318*$AG318,0)</f>
        <v>120.100275</v>
      </c>
      <c r="AQ318" s="153" t="n">
        <f aca="false">IFERROR(IF(AND($N318="VCA",$AH318&gt;0),$M318*$AG318*$AH318,0),0)</f>
        <v>8.51775</v>
      </c>
      <c r="AR318" s="153" t="n">
        <f aca="false">IFERROR(IF(AND($N318="VCA",$AJ318&gt;0),($M318*$AG318*$AJ318)-$AI318,0),0)</f>
        <v>33.8434832000537</v>
      </c>
      <c r="AS318" s="153" t="n">
        <f aca="false">IFERROR(IF(AND($N318="VCA",$AP318&gt;0),$AP318-$AI318-$AQ318-$AR318,0),0)</f>
        <v>76.65975</v>
      </c>
      <c r="AT318" s="153" t="n">
        <f aca="false">IFERROR(IF($N318="VCA",INDEX(APOIO_REDES!$A:$W,MATCH($C318&amp;$I318&amp;$H318&amp;$N318&amp;$O318,APOIO_REDES!$W:$W,0),MATCH(AT$5,APOIO_REDES!$5:$5,0)),0)*$AP318,0)</f>
        <v>1.30672653986686</v>
      </c>
      <c r="AU318" s="153" t="n">
        <f aca="false">IFERROR(IF($N318="VCA",INDEX(APOIO_REDES!$A:$W,MATCH($C318&amp;$I318&amp;$H318&amp;$N318&amp;$O318,APOIO_REDES!$W:$W,0),MATCH(AU$5,APOIO_REDES!$5:$5,0)),0)*$AP318,0)</f>
        <v>1.04351642409472</v>
      </c>
      <c r="AV318" s="153" t="n">
        <f aca="false">IFERROR(IF($N318="VCA",INDEX(APOIO_REDES!$A:$W,MATCH($C318&amp;$I318&amp;$H318&amp;$N318&amp;$O318,APOIO_REDES!$W:$W,0),MATCH(AV$5,APOIO_REDES!$5:$5,0)),0)*$AP318,0)</f>
        <v>0.14441448116959</v>
      </c>
      <c r="AW318" s="153" t="n">
        <f aca="false">IFERROR(IF($N318="VCA",INDEX(APOIO_REDES!$A:$W,MATCH($C318&amp;$I318&amp;$H318&amp;$N318&amp;$O318,APOIO_REDES!$W:$W,0),MATCH(AW$5,APOIO_REDES!$5:$5,0)),0)*$AP318,0)</f>
        <v>82.4377593423409</v>
      </c>
      <c r="AX318" s="153" t="n">
        <f aca="false">IFERROR(IF($N318="VCA",INDEX(APOIO_REDES!$A:$W,MATCH($C318&amp;$I318&amp;$H318&amp;$N318&amp;$O318,APOIO_REDES!$W:$W,0),MATCH(AX$5,APOIO_REDES!$5:$5,0)),0)*$AP318,0)</f>
        <v>11.4091510645774</v>
      </c>
      <c r="AY318" s="153" t="n">
        <f aca="false">IFERROR(IF($N318="VCA",INDEX(APOIO_REDES!$A:$W,MATCH($C318&amp;$I318&amp;$H318&amp;$N318&amp;$O318,APOIO_REDES!$W:$W,0),MATCH(AY$5,APOIO_REDES!$5:$5,0)),0)*$AP318,0)</f>
        <v>20.8703157615137</v>
      </c>
      <c r="AZ318" s="153" t="n">
        <f aca="false">IFERROR(IF($N318="VCA",INDEX(APOIO_REDES!$A:$W,MATCH($C318&amp;$I318&amp;$H318&amp;$N318&amp;$O318,APOIO_REDES!$W:$W,0),MATCH(AZ$5,APOIO_REDES!$5:$5,0)),0)*$AP318,0)</f>
        <v>2.88839138643676</v>
      </c>
      <c r="BA318" s="153" t="n">
        <f aca="false">IFERROR(IF(AND($N318="VCA",$Q318="LINEAR"),INDEX(APOIO_REDES!$A:$W,MATCH($C318&amp;$I318&amp;$H318&amp;$N318&amp;$O318,APOIO_REDES!$W:$W,0),MATCH(BA$5,APOIO_REDES!$5:$5,0)),IF(AND($N318="MND",$Q318="EMBOQUE"),INDEX(APOIO_REDES!$A:$W,MATCH($C318&amp;$I318&amp;$H318&amp;$N318&amp;$O318,APOIO_REDES!$W:$W,0),MATCH(BA$5,APOIO_REDES!$5:$5,0)),0))*$M318/10,0)</f>
        <v>9.15345552873565</v>
      </c>
      <c r="BB318" s="153" t="n">
        <f aca="false">IFERROR(IF($N318="VCA",INDEX(APOIO_REDES!$A:$W,MATCH($C318&amp;$I318&amp;$H318&amp;$N318&amp;$O318,APOIO_REDES!$W:$W,0),MATCH(BB$5,APOIO_REDES!$5:$5,0)),0)*($AI318+$AQ318+$AR318),0)</f>
        <v>42.9678792302609</v>
      </c>
      <c r="BC318" s="153" t="n">
        <f aca="false">IFERROR(IF($N318="VCA",INDEX(APOIO_REDES!$A:$W,MATCH($C318&amp;$I318&amp;$H318&amp;$N318&amp;$O318,APOIO_REDES!$W:$W,0),MATCH(BC$5,APOIO_REDES!$5:$5,0)),0)*($AI318+$AQ318+$AR318),0)</f>
        <v>0.472645769739078</v>
      </c>
      <c r="BD318" s="153" t="n">
        <f aca="false">IF(AND($N318="VCA",$AF318&gt;=1.25,$AF318&lt;1.5),$M318*$AF318*2,0)</f>
        <v>320.2674</v>
      </c>
      <c r="BE318" s="153" t="n">
        <f aca="false">IF(AND($N318="VCA",$AF318&gt;=1.5,$AF318&lt;3),$M318*$AF318*2,0)</f>
        <v>0</v>
      </c>
      <c r="BF318" s="153" t="n">
        <f aca="false">IF(AND($N318="VCA",$AF318&gt;=3),$M318*$AF318*2,0)</f>
        <v>0</v>
      </c>
      <c r="BG318" s="153" t="n">
        <f aca="false">($BB318+$BC318)*$AK318</f>
        <v>178.1061525</v>
      </c>
      <c r="BH318" s="153" t="n">
        <f aca="false">IF(AND($M318&lt;&gt;"",$N318="VCA",$Q318="LINEAR"),($M318*2)/100,IF(AND($M318&lt;&gt;"",$N318="MND",$Q318="EMBOQUE"),($AN318*2)/100,0))</f>
        <v>2.2714</v>
      </c>
      <c r="BI318" s="153" t="n">
        <f aca="false">IF(AND($M318&lt;&gt;"",$N318="VCA",$Q318="LINEAR"),$M318,IF(AND($M318&lt;&gt;"",$N318="MND",$Q318="EMBOQUE"),$AN318*2,0))</f>
        <v>113.57</v>
      </c>
      <c r="BJ318" s="153" t="n">
        <f aca="false">IF(AND($M318&lt;&gt;"",$N318="VCA",$Q318="LINEAR"),($M318*6.8)/100,IF(AND($M318&lt;&gt;"",$N318="MND",$Q318="EMBOQUE"),($AN318*2*6.8)/100,0))</f>
        <v>7.72276</v>
      </c>
      <c r="BK318" s="153" t="n">
        <f aca="false">IF(AND($M318&lt;&gt;"",$N318="VCA",$Q318="LINEAR"),($M318*2.5)/50,IF(AND($M318&lt;&gt;"",$N318="MND",$Q318="EMBOQUE"),($AN318*2*2.5)/50,0))</f>
        <v>5.6785</v>
      </c>
      <c r="BL318" s="157" t="str">
        <f aca="false">K318&amp;J318</f>
        <v>Zona03REDES</v>
      </c>
      <c r="BM318" s="152" t="s">
        <v>2526</v>
      </c>
      <c r="BN318" s="152" t="s">
        <v>1560</v>
      </c>
      <c r="BO318" s="152" t="s">
        <v>2231</v>
      </c>
      <c r="BP318" s="152" t="s">
        <v>2734</v>
      </c>
      <c r="BQ318" s="152" t="s">
        <v>2725</v>
      </c>
      <c r="BR318" s="152" t="s">
        <v>2735</v>
      </c>
      <c r="BS318" s="152" t="n">
        <v>203134.206</v>
      </c>
      <c r="BT318" s="152" t="n">
        <v>8237817.216</v>
      </c>
      <c r="BU318" s="152" t="n">
        <v>203033.585</v>
      </c>
      <c r="BV318" s="152" t="n">
        <v>8237867.578</v>
      </c>
      <c r="BW318" s="152" t="n">
        <v>-15.9209115</v>
      </c>
      <c r="BX318" s="152" t="n">
        <v>-47.7731228</v>
      </c>
      <c r="BY318" s="152" t="s">
        <v>2734</v>
      </c>
    </row>
    <row r="319" customFormat="false" ht="13.8" hidden="false" customHeight="false" outlineLevel="0" collapsed="false">
      <c r="A319" s="149" t="n">
        <f aca="false">IF(C319&lt;&gt;"",ROW(A314),"")</f>
        <v>314</v>
      </c>
      <c r="B319" s="150" t="str">
        <f aca="false">HYPERLINK("https://www.google.com/maps/dir/-15.917302,-47.760003/-15.9210544,-47.7739465/data=!4m3!4m2!3e0!5i2")</f>
        <v>https://www.google.com/maps/dir/-15.917302,-47.760003/-15.9210544,-47.7739465/data=!4m3!4m2!3e0!5i2</v>
      </c>
      <c r="C319" s="151" t="s">
        <v>117</v>
      </c>
      <c r="D319" s="152" t="s">
        <v>112</v>
      </c>
      <c r="E319" s="152" t="s">
        <v>113</v>
      </c>
      <c r="F319" s="152" t="s">
        <v>117</v>
      </c>
      <c r="G319" s="152" t="s">
        <v>114</v>
      </c>
      <c r="H319" s="152" t="n">
        <v>225</v>
      </c>
      <c r="I319" s="152" t="s">
        <v>115</v>
      </c>
      <c r="J319" s="152" t="s">
        <v>6</v>
      </c>
      <c r="K319" s="152" t="s">
        <v>2522</v>
      </c>
      <c r="L319" s="152" t="s">
        <v>120</v>
      </c>
      <c r="M319" s="153" t="n">
        <f aca="false">11.41</f>
        <v>11.41</v>
      </c>
      <c r="N319" s="152" t="s">
        <v>1548</v>
      </c>
      <c r="O319" s="152" t="s">
        <v>1549</v>
      </c>
      <c r="P319" s="152" t="s">
        <v>1550</v>
      </c>
      <c r="Q319" s="152" t="s">
        <v>1551</v>
      </c>
      <c r="R319" s="154" t="s">
        <v>2736</v>
      </c>
      <c r="S319" s="154" t="s">
        <v>1593</v>
      </c>
      <c r="T319" s="155" t="s">
        <v>2227</v>
      </c>
      <c r="U319" s="152" t="str">
        <f aca="false">RIGHT(T319,7)</f>
        <v>008/037</v>
      </c>
      <c r="V319" s="152" t="s">
        <v>1555</v>
      </c>
      <c r="W319" s="156" t="n">
        <v>45882</v>
      </c>
      <c r="X319" s="152" t="s">
        <v>1594</v>
      </c>
      <c r="Y319" s="152" t="s">
        <v>2186</v>
      </c>
      <c r="Z319" s="152" t="s">
        <v>1557</v>
      </c>
      <c r="AA319" s="153" t="n">
        <v>4.1</v>
      </c>
      <c r="AB319" s="151" t="s">
        <v>2264</v>
      </c>
      <c r="AC319" s="151" t="s">
        <v>508</v>
      </c>
      <c r="AD319" s="151" t="str">
        <f aca="false">CONCATENATE($C319,$I319,$H319,$N319,$J319,$K319)</f>
        <v>TUBO PEADPEAD225VCAREDESZona03</v>
      </c>
      <c r="AE319" s="153" t="n">
        <f aca="false">IFERROR(INDEX(APOIO_REDES!$A:$W,MATCH($C319&amp;$I319&amp;$H319&amp;$N319&amp;$O319,APOIO_REDES!$W:$W,0),MATCH(AE$5,APOIO_REDES!$5:$5,0)),0)</f>
        <v>1.2</v>
      </c>
      <c r="AF319" s="153" t="n">
        <f aca="false">IFERROR(INDEX(APOIO_REDES!$A:$W,MATCH($C319&amp;$I319&amp;$H319&amp;$N319&amp;$O319,APOIO_REDES!$W:$W,0),MATCH(AF$5,APOIO_REDES!$5:$5,0)),0)</f>
        <v>1.525</v>
      </c>
      <c r="AG319" s="153" t="n">
        <f aca="false">IFERROR(INDEX(APOIO_REDES!$A:$W,MATCH($C319&amp;$I319&amp;$H319&amp;$N319&amp;$O319,APOIO_REDES!$W:$W,0),MATCH(AG$5,APOIO_REDES!$5:$5,0)),0)</f>
        <v>0.8</v>
      </c>
      <c r="AH319" s="153" t="n">
        <f aca="false">IFERROR(INDEX(APOIO_REDES!$A:$W,MATCH($C319&amp;$I319&amp;$H319&amp;$N319&amp;$O319,APOIO_REDES!$W:$W,0),MATCH(AH$5,APOIO_REDES!$5:$5,0)),0)</f>
        <v>0.1</v>
      </c>
      <c r="AI319" s="153" t="n">
        <f aca="false">IFERROR(IF($H319&lt;&gt;"",(((($H319/1000)/2)^2)*PI()*$M319),0),0)</f>
        <v>0.453670522870972</v>
      </c>
      <c r="AJ319" s="153" t="n">
        <f aca="false">IFERROR(IF(AND($H319&lt;&gt;"",$I319="FoFo",OR($N319="MND",$N319="VCA"),$Q319="LINEAR"),0,IF(AND($H319&lt;&gt;"",$I319="PEAD",$N319="VCA",$Q319="LINEAR"),($H319/1000)+0.3,IF(AND($H319&lt;&gt;"",$I319="PEAD",$N319="MND",$Q319="EMBOQUE"),0,IF(AND($H319&lt;&gt;"",$I319="PVC",$N319="VCA",$Q319="LINEAR"),($H319/1000)+0.2,IF(AND($H319&lt;&gt;"",$I319="PVC",$N319="MND",$Q319="EMBOQUE"),0,IF(AND($H319&lt;&gt;"",$I319="PEAD",$N319="VCA",$Q319="PREDIAL"),0,0)))))),0)</f>
        <v>0.525</v>
      </c>
      <c r="AK319" s="153" t="n">
        <f aca="false">IF(AA319&lt;&gt;"",AA319,0)</f>
        <v>4.1</v>
      </c>
      <c r="AL319" s="153" t="n">
        <f aca="false">IF(AND($N319="MND",$Q319="EMBOQUE"),$M319,IF(AND($N319="VCA",$Q319="LINEAR"),$M319,IF(AND($N319="VCA",$Q319="PREDIAL"),0,0)))</f>
        <v>11.41</v>
      </c>
      <c r="AM319" s="153" t="n">
        <f aca="false">IF(AND($N319="MND",$Q319="EMBOQUE"),$M319,IF(AND($N319="VCA",$Q319="LINEAR"),$M319,IF(AND($N319="VCA",$Q319="PREDIAL"),0,0)))</f>
        <v>11.41</v>
      </c>
      <c r="AN319" s="153" t="n">
        <f aca="false">ROUND(IF(AND($N319="VCA",$M319&lt;&gt;"",$Q319="LINEAR"),$M319/100,IF(AND($N319="MND",$M319&gt;100,$Q319="EMBOQUE"),$M319/100,0)),0)</f>
        <v>0</v>
      </c>
      <c r="AO319" s="153" t="n">
        <f aca="false">IF(AND($N319="MND",$Q319="EMBOQUE"),$AN319*2*2,IF(AND($N319="VCA",$Q319="LINEAR"),$M319*2,IF(AND($N319="VCA",$Q319="PREDIAL"),0,0)))</f>
        <v>22.82</v>
      </c>
      <c r="AP319" s="153" t="n">
        <f aca="false">IFERROR($M319*$AF319*$AG319,0)</f>
        <v>13.9202</v>
      </c>
      <c r="AQ319" s="153" t="n">
        <f aca="false">IFERROR(IF(AND($N319="VCA",$AH319&gt;0),$M319*$AG319*$AH319,0),0)</f>
        <v>0.9128</v>
      </c>
      <c r="AR319" s="153" t="n">
        <f aca="false">IFERROR(IF(AND($N319="VCA",$AJ319&gt;0),($M319*$AG319*$AJ319)-$AI319,0),0)</f>
        <v>4.33852947712903</v>
      </c>
      <c r="AS319" s="153" t="n">
        <f aca="false">IFERROR(IF(AND($N319="VCA",$AP319&gt;0),$AP319-$AI319-$AQ319-$AR319,0),0)</f>
        <v>8.2152</v>
      </c>
      <c r="AT319" s="153" t="n">
        <f aca="false">IFERROR(IF($N319="VCA",INDEX(APOIO_REDES!$A:$W,MATCH($C319&amp;$I319&amp;$H319&amp;$N319&amp;$O319,APOIO_REDES!$W:$W,0),MATCH(AT$5,APOIO_REDES!$5:$5,0)),0)*$AP319,0)</f>
        <v>0.151455896168886</v>
      </c>
      <c r="AU319" s="153" t="n">
        <f aca="false">IFERROR(IF($N319="VCA",INDEX(APOIO_REDES!$A:$W,MATCH($C319&amp;$I319&amp;$H319&amp;$N319&amp;$O319,APOIO_REDES!$W:$W,0),MATCH(AU$5,APOIO_REDES!$5:$5,0)),0)*$AP319,0)</f>
        <v>0.120948576734594</v>
      </c>
      <c r="AV319" s="153" t="n">
        <f aca="false">IFERROR(IF($N319="VCA",INDEX(APOIO_REDES!$A:$W,MATCH($C319&amp;$I319&amp;$H319&amp;$N319&amp;$O319,APOIO_REDES!$W:$W,0),MATCH(AV$5,APOIO_REDES!$5:$5,0)),0)*$AP319,0)</f>
        <v>0.016738333536513</v>
      </c>
      <c r="AW319" s="153" t="n">
        <f aca="false">IFERROR(IF($N319="VCA",INDEX(APOIO_REDES!$A:$W,MATCH($C319&amp;$I319&amp;$H319&amp;$N319&amp;$O319,APOIO_REDES!$W:$W,0),MATCH(AW$5,APOIO_REDES!$5:$5,0)),0)*$AP319,0)</f>
        <v>9.55493313897286</v>
      </c>
      <c r="AX319" s="153" t="n">
        <f aca="false">IFERROR(IF($N319="VCA",INDEX(APOIO_REDES!$A:$W,MATCH($C319&amp;$I319&amp;$H319&amp;$N319&amp;$O319,APOIO_REDES!$W:$W,0),MATCH(AX$5,APOIO_REDES!$5:$5,0)),0)*$AP319,0)</f>
        <v>1.3223755286916</v>
      </c>
      <c r="AY319" s="153" t="n">
        <f aca="false">IFERROR(IF($N319="VCA",INDEX(APOIO_REDES!$A:$W,MATCH($C319&amp;$I319&amp;$H319&amp;$N319&amp;$O319,APOIO_REDES!$W:$W,0),MATCH(AY$5,APOIO_REDES!$5:$5,0)),0)*$AP319,0)</f>
        <v>2.41897006033853</v>
      </c>
      <c r="AZ319" s="153" t="n">
        <f aca="false">IFERROR(IF($N319="VCA",INDEX(APOIO_REDES!$A:$W,MATCH($C319&amp;$I319&amp;$H319&amp;$N319&amp;$O319,APOIO_REDES!$W:$W,0),MATCH(AZ$5,APOIO_REDES!$5:$5,0)),0)*$AP319,0)</f>
        <v>0.334778465557027</v>
      </c>
      <c r="BA319" s="153" t="n">
        <f aca="false">IFERROR(IF(AND($N319="VCA",$Q319="LINEAR"),INDEX(APOIO_REDES!$A:$W,MATCH($C319&amp;$I319&amp;$H319&amp;$N319&amp;$O319,APOIO_REDES!$W:$W,0),MATCH(BA$5,APOIO_REDES!$5:$5,0)),IF(AND($N319="MND",$Q319="EMBOQUE"),INDEX(APOIO_REDES!$A:$W,MATCH($C319&amp;$I319&amp;$H319&amp;$N319&amp;$O319,APOIO_REDES!$W:$W,0),MATCH(BA$5,APOIO_REDES!$5:$5,0)),0))*$M319/10,0)</f>
        <v>0.919617219185293</v>
      </c>
      <c r="BB319" s="153" t="n">
        <f aca="false">IFERROR(IF($N319="VCA",INDEX(APOIO_REDES!$A:$W,MATCH($C319&amp;$I319&amp;$H319&amp;$N319&amp;$O319,APOIO_REDES!$W:$W,0),MATCH(BB$5,APOIO_REDES!$5:$5,0)),0)*($AI319+$AQ319+$AR319),0)</f>
        <v>5.64292791140619</v>
      </c>
      <c r="BC319" s="153" t="n">
        <f aca="false">IFERROR(IF($N319="VCA",INDEX(APOIO_REDES!$A:$W,MATCH($C319&amp;$I319&amp;$H319&amp;$N319&amp;$O319,APOIO_REDES!$W:$W,0),MATCH(BC$5,APOIO_REDES!$5:$5,0)),0)*($AI319+$AQ319+$AR319),0)</f>
        <v>0.0620720885938059</v>
      </c>
      <c r="BD319" s="153" t="n">
        <f aca="false">IF(AND($N319="VCA",$AF319&gt;=1.25,$AF319&lt;1.5),$M319*$AF319*2,0)</f>
        <v>0</v>
      </c>
      <c r="BE319" s="153" t="n">
        <f aca="false">IF(AND($N319="VCA",$AF319&gt;=1.5,$AF319&lt;3),$M319*$AF319*2,0)</f>
        <v>34.8005</v>
      </c>
      <c r="BF319" s="153" t="n">
        <f aca="false">IF(AND($N319="VCA",$AF319&gt;=3),$M319*$AF319*2,0)</f>
        <v>0</v>
      </c>
      <c r="BG319" s="153" t="n">
        <f aca="false">($BB319+$BC319)*$AK319</f>
        <v>23.3905</v>
      </c>
      <c r="BH319" s="153" t="n">
        <f aca="false">IF(AND($M319&lt;&gt;"",$N319="VCA",$Q319="LINEAR"),($M319*2)/100,IF(AND($M319&lt;&gt;"",$N319="MND",$Q319="EMBOQUE"),($AN319*2)/100,0))</f>
        <v>0.2282</v>
      </c>
      <c r="BI319" s="153" t="n">
        <f aca="false">IF(AND($M319&lt;&gt;"",$N319="VCA",$Q319="LINEAR"),$M319,IF(AND($M319&lt;&gt;"",$N319="MND",$Q319="EMBOQUE"),$AN319*2,0))</f>
        <v>11.41</v>
      </c>
      <c r="BJ319" s="153" t="n">
        <f aca="false">IF(AND($M319&lt;&gt;"",$N319="VCA",$Q319="LINEAR"),($M319*6.8)/100,IF(AND($M319&lt;&gt;"",$N319="MND",$Q319="EMBOQUE"),($AN319*2*6.8)/100,0))</f>
        <v>0.77588</v>
      </c>
      <c r="BK319" s="153" t="n">
        <f aca="false">IF(AND($M319&lt;&gt;"",$N319="VCA",$Q319="LINEAR"),($M319*2.5)/50,IF(AND($M319&lt;&gt;"",$N319="MND",$Q319="EMBOQUE"),($AN319*2*2.5)/50,0))</f>
        <v>0.5705</v>
      </c>
      <c r="BL319" s="157" t="str">
        <f aca="false">K319&amp;J319</f>
        <v>Zona03REDES</v>
      </c>
      <c r="BM319" s="152" t="s">
        <v>2526</v>
      </c>
      <c r="BN319" s="152" t="s">
        <v>1560</v>
      </c>
      <c r="BO319" s="152" t="s">
        <v>2231</v>
      </c>
      <c r="BP319" s="152" t="s">
        <v>2032</v>
      </c>
      <c r="BQ319" s="152" t="s">
        <v>2032</v>
      </c>
      <c r="BR319" s="152" t="s">
        <v>2218</v>
      </c>
      <c r="BS319" s="152" t="n">
        <v>203003.526</v>
      </c>
      <c r="BT319" s="152" t="n">
        <v>8237833.61</v>
      </c>
      <c r="BU319" s="152" t="n">
        <v>202997.869</v>
      </c>
      <c r="BV319" s="152" t="n">
        <v>8237823.706</v>
      </c>
      <c r="BW319" s="152" t="n">
        <v>-15.921011</v>
      </c>
      <c r="BX319" s="152" t="n">
        <v>-47.7738984</v>
      </c>
      <c r="BY319" s="152" t="s">
        <v>2199</v>
      </c>
    </row>
    <row r="320" customFormat="false" ht="13.8" hidden="false" customHeight="false" outlineLevel="0" collapsed="false">
      <c r="A320" s="149" t="n">
        <f aca="false">IF(C320&lt;&gt;"",ROW(A315),"")</f>
        <v>315</v>
      </c>
      <c r="B320" s="150" t="str">
        <f aca="false">HYPERLINK("https://www.google.com/maps/dir/-15.917302,-47.760003/-15.9210803,-47.7738934/data=!4m3!4m2!3e0!5i1")</f>
        <v>https://www.google.com/maps/dir/-15.917302,-47.760003/-15.9210803,-47.7738934/data=!4m3!4m2!3e0!5i1</v>
      </c>
      <c r="C320" s="151" t="s">
        <v>117</v>
      </c>
      <c r="D320" s="152" t="s">
        <v>112</v>
      </c>
      <c r="E320" s="152" t="s">
        <v>113</v>
      </c>
      <c r="F320" s="152" t="s">
        <v>117</v>
      </c>
      <c r="G320" s="152" t="s">
        <v>782</v>
      </c>
      <c r="H320" s="152" t="n">
        <v>63</v>
      </c>
      <c r="I320" s="152" t="s">
        <v>115</v>
      </c>
      <c r="J320" s="152" t="s">
        <v>6</v>
      </c>
      <c r="K320" s="152" t="s">
        <v>2522</v>
      </c>
      <c r="L320" s="152" t="s">
        <v>120</v>
      </c>
      <c r="M320" s="153" t="n">
        <f aca="false">62.13</f>
        <v>62.13</v>
      </c>
      <c r="N320" s="152" t="s">
        <v>1548</v>
      </c>
      <c r="O320" s="152" t="s">
        <v>1549</v>
      </c>
      <c r="P320" s="152" t="s">
        <v>1550</v>
      </c>
      <c r="Q320" s="152" t="s">
        <v>1551</v>
      </c>
      <c r="R320" s="154" t="s">
        <v>2737</v>
      </c>
      <c r="S320" s="154" t="s">
        <v>1553</v>
      </c>
      <c r="T320" s="155" t="s">
        <v>2227</v>
      </c>
      <c r="U320" s="152" t="str">
        <f aca="false">RIGHT(T320,7)</f>
        <v>008/037</v>
      </c>
      <c r="V320" s="152" t="s">
        <v>1555</v>
      </c>
      <c r="W320" s="156" t="n">
        <v>45882</v>
      </c>
      <c r="X320" s="152" t="s">
        <v>1594</v>
      </c>
      <c r="Y320" s="152" t="s">
        <v>2630</v>
      </c>
      <c r="Z320" s="152" t="s">
        <v>1557</v>
      </c>
      <c r="AA320" s="153" t="n">
        <v>3.7</v>
      </c>
      <c r="AB320" s="151" t="s">
        <v>2738</v>
      </c>
      <c r="AC320" s="151" t="s">
        <v>186</v>
      </c>
      <c r="AD320" s="151" t="str">
        <f aca="false">CONCATENATE($C320,$I320,$H320,$N320,$J320,$K320)</f>
        <v>TUBO PEADPEAD63VCAREDESZona03</v>
      </c>
      <c r="AE320" s="153" t="n">
        <f aca="false">IFERROR(INDEX(APOIO_REDES!$A:$W,MATCH($C320&amp;$I320&amp;$H320&amp;$N320&amp;$O320,APOIO_REDES!$W:$W,0),MATCH(AE$5,APOIO_REDES!$5:$5,0)),0)</f>
        <v>1.2</v>
      </c>
      <c r="AF320" s="153" t="n">
        <f aca="false">IFERROR(INDEX(APOIO_REDES!$A:$W,MATCH($C320&amp;$I320&amp;$H320&amp;$N320&amp;$O320,APOIO_REDES!$W:$W,0),MATCH(AF$5,APOIO_REDES!$5:$5,0)),0)</f>
        <v>1.363</v>
      </c>
      <c r="AG320" s="153" t="n">
        <f aca="false">IFERROR(INDEX(APOIO_REDES!$A:$W,MATCH($C320&amp;$I320&amp;$H320&amp;$N320&amp;$O320,APOIO_REDES!$W:$W,0),MATCH(AG$5,APOIO_REDES!$5:$5,0)),0)</f>
        <v>0.65</v>
      </c>
      <c r="AH320" s="153" t="n">
        <f aca="false">IFERROR(INDEX(APOIO_REDES!$A:$W,MATCH($C320&amp;$I320&amp;$H320&amp;$N320&amp;$O320,APOIO_REDES!$W:$W,0),MATCH(AH$5,APOIO_REDES!$5:$5,0)),0)</f>
        <v>0.1</v>
      </c>
      <c r="AI320" s="153" t="n">
        <f aca="false">IFERROR(IF($H320&lt;&gt;"",(((($H320/1000)/2)^2)*PI()*$M320),0),0)</f>
        <v>0.193674451142885</v>
      </c>
      <c r="AJ320" s="153" t="n">
        <f aca="false">IFERROR(IF(AND($H320&lt;&gt;"",$I320="FoFo",OR($N320="MND",$N320="VCA"),$Q320="LINEAR"),0,IF(AND($H320&lt;&gt;"",$I320="PEAD",$N320="VCA",$Q320="LINEAR"),($H320/1000)+0.3,IF(AND($H320&lt;&gt;"",$I320="PEAD",$N320="MND",$Q320="EMBOQUE"),0,IF(AND($H320&lt;&gt;"",$I320="PVC",$N320="VCA",$Q320="LINEAR"),($H320/1000)+0.2,IF(AND($H320&lt;&gt;"",$I320="PVC",$N320="MND",$Q320="EMBOQUE"),0,IF(AND($H320&lt;&gt;"",$I320="PEAD",$N320="VCA",$Q320="PREDIAL"),0,0)))))),0)</f>
        <v>0.363</v>
      </c>
      <c r="AK320" s="153" t="n">
        <f aca="false">IF(AA320&lt;&gt;"",AA320,0)</f>
        <v>3.7</v>
      </c>
      <c r="AL320" s="153" t="n">
        <f aca="false">IF(AND($N320="MND",$Q320="EMBOQUE"),$M320,IF(AND($N320="VCA",$Q320="LINEAR"),$M320,IF(AND($N320="VCA",$Q320="PREDIAL"),0,0)))</f>
        <v>62.13</v>
      </c>
      <c r="AM320" s="153" t="n">
        <f aca="false">IF(AND($N320="MND",$Q320="EMBOQUE"),$M320,IF(AND($N320="VCA",$Q320="LINEAR"),$M320,IF(AND($N320="VCA",$Q320="PREDIAL"),0,0)))</f>
        <v>62.13</v>
      </c>
      <c r="AN320" s="153" t="n">
        <f aca="false">ROUND(IF(AND($N320="VCA",$M320&lt;&gt;"",$Q320="LINEAR"),$M320/100,IF(AND($N320="MND",$M320&gt;100,$Q320="EMBOQUE"),$M320/100,0)),0)</f>
        <v>1</v>
      </c>
      <c r="AO320" s="153" t="n">
        <f aca="false">IF(AND($N320="MND",$Q320="EMBOQUE"),$AN320*2*2,IF(AND($N320="VCA",$Q320="LINEAR"),$M320*2,IF(AND($N320="VCA",$Q320="PREDIAL"),0,0)))</f>
        <v>124.26</v>
      </c>
      <c r="AP320" s="153" t="n">
        <f aca="false">IFERROR($M320*$AF320*$AG320,0)</f>
        <v>55.0440735</v>
      </c>
      <c r="AQ320" s="153" t="n">
        <f aca="false">IFERROR(IF(AND($N320="VCA",$AH320&gt;0),$M320*$AG320*$AH320,0),0)</f>
        <v>4.03845</v>
      </c>
      <c r="AR320" s="153" t="n">
        <f aca="false">IFERROR(IF(AND($N320="VCA",$AJ320&gt;0),($M320*$AG320*$AJ320)-$AI320,0),0)</f>
        <v>14.4658990488571</v>
      </c>
      <c r="AS320" s="153" t="n">
        <f aca="false">IFERROR(IF(AND($N320="VCA",$AP320&gt;0),$AP320-$AI320-$AQ320-$AR320,0),0)</f>
        <v>36.34605</v>
      </c>
      <c r="AT320" s="153" t="n">
        <f aca="false">IFERROR(IF($N320="VCA",INDEX(APOIO_REDES!$A:$W,MATCH($C320&amp;$I320&amp;$H320&amp;$N320&amp;$O320,APOIO_REDES!$W:$W,0),MATCH(AT$5,APOIO_REDES!$5:$5,0)),0)*$AP320,0)</f>
        <v>0.598895811894122</v>
      </c>
      <c r="AU320" s="153" t="n">
        <f aca="false">IFERROR(IF($N320="VCA",INDEX(APOIO_REDES!$A:$W,MATCH($C320&amp;$I320&amp;$H320&amp;$N320&amp;$O320,APOIO_REDES!$W:$W,0),MATCH(AU$5,APOIO_REDES!$5:$5,0)),0)*$AP320,0)</f>
        <v>0.478261975223011</v>
      </c>
      <c r="AV320" s="153" t="n">
        <f aca="false">IFERROR(IF($N320="VCA",INDEX(APOIO_REDES!$A:$W,MATCH($C320&amp;$I320&amp;$H320&amp;$N320&amp;$O320,APOIO_REDES!$W:$W,0),MATCH(AV$5,APOIO_REDES!$5:$5,0)),0)*$AP320,0)</f>
        <v>0.0661877028671524</v>
      </c>
      <c r="AW320" s="153" t="n">
        <f aca="false">IFERROR(IF($N320="VCA",INDEX(APOIO_REDES!$A:$W,MATCH($C320&amp;$I320&amp;$H320&amp;$N320&amp;$O320,APOIO_REDES!$W:$W,0),MATCH(AW$5,APOIO_REDES!$5:$5,0)),0)*$AP320,0)</f>
        <v>37.7826785526938</v>
      </c>
      <c r="AX320" s="153" t="n">
        <f aca="false">IFERROR(IF($N320="VCA",INDEX(APOIO_REDES!$A:$W,MATCH($C320&amp;$I320&amp;$H320&amp;$N320&amp;$O320,APOIO_REDES!$W:$W,0),MATCH(AX$5,APOIO_REDES!$5:$5,0)),0)*$AP320,0)</f>
        <v>5.22901508569572</v>
      </c>
      <c r="AY320" s="153" t="n">
        <f aca="false">IFERROR(IF($N320="VCA",INDEX(APOIO_REDES!$A:$W,MATCH($C320&amp;$I320&amp;$H320&amp;$N320&amp;$O320,APOIO_REDES!$W:$W,0),MATCH(AY$5,APOIO_REDES!$5:$5,0)),0)*$AP320,0)</f>
        <v>9.56523367448552</v>
      </c>
      <c r="AZ320" s="153" t="n">
        <f aca="false">IFERROR(IF($N320="VCA",INDEX(APOIO_REDES!$A:$W,MATCH($C320&amp;$I320&amp;$H320&amp;$N320&amp;$O320,APOIO_REDES!$W:$W,0),MATCH(AZ$5,APOIO_REDES!$5:$5,0)),0)*$AP320,0)</f>
        <v>1.32380069714072</v>
      </c>
      <c r="BA320" s="153" t="n">
        <f aca="false">IFERROR(IF(AND($N320="VCA",$Q320="LINEAR"),INDEX(APOIO_REDES!$A:$W,MATCH($C320&amp;$I320&amp;$H320&amp;$N320&amp;$O320,APOIO_REDES!$W:$W,0),MATCH(BA$5,APOIO_REDES!$5:$5,0)),IF(AND($N320="MND",$Q320="EMBOQUE"),INDEX(APOIO_REDES!$A:$W,MATCH($C320&amp;$I320&amp;$H320&amp;$N320&amp;$O320,APOIO_REDES!$W:$W,0),MATCH(BA$5,APOIO_REDES!$5:$5,0)),0))*$M320/10,0)</f>
        <v>5.00752128203175</v>
      </c>
      <c r="BB320" s="153" t="n">
        <f aca="false">IFERROR(IF($N320="VCA",INDEX(APOIO_REDES!$A:$W,MATCH($C320&amp;$I320&amp;$H320&amp;$N320&amp;$O320,APOIO_REDES!$W:$W,0),MATCH(BB$5,APOIO_REDES!$5:$5,0)),0)*($AI320+$AQ320+$AR320),0)</f>
        <v>18.4945834699875</v>
      </c>
      <c r="BC320" s="153" t="n">
        <f aca="false">IFERROR(IF($N320="VCA",INDEX(APOIO_REDES!$A:$W,MATCH($C320&amp;$I320&amp;$H320&amp;$N320&amp;$O320,APOIO_REDES!$W:$W,0),MATCH(BC$5,APOIO_REDES!$5:$5,0)),0)*($AI320+$AQ320+$AR320),0)</f>
        <v>0.203440030012457</v>
      </c>
      <c r="BD320" s="153" t="n">
        <f aca="false">IF(AND($N320="VCA",$AF320&gt;=1.25,$AF320&lt;1.5),$M320*$AF320*2,0)</f>
        <v>169.36638</v>
      </c>
      <c r="BE320" s="153" t="n">
        <f aca="false">IF(AND($N320="VCA",$AF320&gt;=1.5,$AF320&lt;3),$M320*$AF320*2,0)</f>
        <v>0</v>
      </c>
      <c r="BF320" s="153" t="n">
        <f aca="false">IF(AND($N320="VCA",$AF320&gt;=3),$M320*$AF320*2,0)</f>
        <v>0</v>
      </c>
      <c r="BG320" s="153" t="n">
        <f aca="false">($BB320+$BC320)*$AK320</f>
        <v>69.18268695</v>
      </c>
      <c r="BH320" s="153" t="n">
        <f aca="false">IF(AND($M320&lt;&gt;"",$N320="VCA",$Q320="LINEAR"),($M320*2)/100,IF(AND($M320&lt;&gt;"",$N320="MND",$Q320="EMBOQUE"),($AN320*2)/100,0))</f>
        <v>1.2426</v>
      </c>
      <c r="BI320" s="153" t="n">
        <f aca="false">IF(AND($M320&lt;&gt;"",$N320="VCA",$Q320="LINEAR"),$M320,IF(AND($M320&lt;&gt;"",$N320="MND",$Q320="EMBOQUE"),$AN320*2,0))</f>
        <v>62.13</v>
      </c>
      <c r="BJ320" s="153" t="n">
        <f aca="false">IF(AND($M320&lt;&gt;"",$N320="VCA",$Q320="LINEAR"),($M320*6.8)/100,IF(AND($M320&lt;&gt;"",$N320="MND",$Q320="EMBOQUE"),($AN320*2*6.8)/100,0))</f>
        <v>4.22484</v>
      </c>
      <c r="BK320" s="153" t="n">
        <f aca="false">IF(AND($M320&lt;&gt;"",$N320="VCA",$Q320="LINEAR"),($M320*2.5)/50,IF(AND($M320&lt;&gt;"",$N320="MND",$Q320="EMBOQUE"),($AN320*2*2.5)/50,0))</f>
        <v>3.1065</v>
      </c>
      <c r="BL320" s="157" t="str">
        <f aca="false">K320&amp;J320</f>
        <v>Zona03REDES</v>
      </c>
      <c r="BM320" s="152" t="s">
        <v>2526</v>
      </c>
      <c r="BN320" s="152" t="s">
        <v>1560</v>
      </c>
      <c r="BO320" s="152" t="s">
        <v>2231</v>
      </c>
      <c r="BP320" s="152" t="s">
        <v>2730</v>
      </c>
      <c r="BQ320" s="152" t="s">
        <v>2739</v>
      </c>
      <c r="BR320" s="152" t="s">
        <v>2740</v>
      </c>
      <c r="BS320" s="152" t="n">
        <v>203001.332</v>
      </c>
      <c r="BT320" s="152" t="n">
        <v>8237820.998</v>
      </c>
      <c r="BU320" s="152" t="n">
        <v>203057.119</v>
      </c>
      <c r="BV320" s="152" t="n">
        <v>8237793.67</v>
      </c>
      <c r="BW320" s="152" t="n">
        <v>-15.9212104</v>
      </c>
      <c r="BX320" s="152" t="n">
        <v>-47.7736366</v>
      </c>
      <c r="BY320" s="152" t="s">
        <v>2730</v>
      </c>
    </row>
    <row r="321" customFormat="false" ht="13.8" hidden="false" customHeight="false" outlineLevel="0" collapsed="false">
      <c r="A321" s="149" t="n">
        <f aca="false">IF(C321&lt;&gt;"",ROW(A316),"")</f>
        <v>316</v>
      </c>
      <c r="B321" s="150" t="str">
        <f aca="false">HYPERLINK("https://www.google.com/maps/dir/-15.917302,-47.760003/-15.9210803,-47.7738934/data=!4m3!4m2!3e0!5i1")</f>
        <v>https://www.google.com/maps/dir/-15.917302,-47.760003/-15.9210803,-47.7738934/data=!4m3!4m2!3e0!5i1</v>
      </c>
      <c r="C321" s="151" t="s">
        <v>117</v>
      </c>
      <c r="D321" s="152" t="s">
        <v>112</v>
      </c>
      <c r="E321" s="152" t="s">
        <v>113</v>
      </c>
      <c r="F321" s="152" t="s">
        <v>117</v>
      </c>
      <c r="G321" s="152" t="s">
        <v>114</v>
      </c>
      <c r="H321" s="152" t="n">
        <v>160</v>
      </c>
      <c r="I321" s="152" t="s">
        <v>115</v>
      </c>
      <c r="J321" s="152" t="s">
        <v>6</v>
      </c>
      <c r="K321" s="152" t="s">
        <v>2522</v>
      </c>
      <c r="L321" s="152" t="s">
        <v>120</v>
      </c>
      <c r="M321" s="153" t="n">
        <f aca="false">68.9</f>
        <v>68.9</v>
      </c>
      <c r="N321" s="152" t="s">
        <v>1548</v>
      </c>
      <c r="O321" s="152" t="s">
        <v>1549</v>
      </c>
      <c r="P321" s="152" t="s">
        <v>1550</v>
      </c>
      <c r="Q321" s="152" t="s">
        <v>1551</v>
      </c>
      <c r="R321" s="154" t="s">
        <v>2741</v>
      </c>
      <c r="S321" s="154" t="s">
        <v>1593</v>
      </c>
      <c r="T321" s="155" t="s">
        <v>2227</v>
      </c>
      <c r="U321" s="152" t="str">
        <f aca="false">RIGHT(T321,7)</f>
        <v>008/037</v>
      </c>
      <c r="V321" s="152" t="s">
        <v>1555</v>
      </c>
      <c r="W321" s="156" t="n">
        <v>45882</v>
      </c>
      <c r="X321" s="152" t="s">
        <v>1594</v>
      </c>
      <c r="Y321" s="152" t="s">
        <v>2630</v>
      </c>
      <c r="Z321" s="152" t="s">
        <v>1557</v>
      </c>
      <c r="AA321" s="153" t="n">
        <v>3.7</v>
      </c>
      <c r="AB321" s="151" t="s">
        <v>2742</v>
      </c>
      <c r="AC321" s="151" t="s">
        <v>505</v>
      </c>
      <c r="AD321" s="151" t="str">
        <f aca="false">CONCATENATE($C321,$I321,$H321,$N321,$J321,$K321)</f>
        <v>TUBO PEADPEAD160VCAREDESZona03</v>
      </c>
      <c r="AE321" s="153" t="n">
        <f aca="false">IFERROR(INDEX(APOIO_REDES!$A:$W,MATCH($C321&amp;$I321&amp;$H321&amp;$N321&amp;$O321,APOIO_REDES!$W:$W,0),MATCH(AE$5,APOIO_REDES!$5:$5,0)),0)</f>
        <v>1.2</v>
      </c>
      <c r="AF321" s="153" t="n">
        <f aca="false">IFERROR(INDEX(APOIO_REDES!$A:$W,MATCH($C321&amp;$I321&amp;$H321&amp;$N321&amp;$O321,APOIO_REDES!$W:$W,0),MATCH(AF$5,APOIO_REDES!$5:$5,0)),0)</f>
        <v>1.46</v>
      </c>
      <c r="AG321" s="153" t="n">
        <f aca="false">IFERROR(INDEX(APOIO_REDES!$A:$W,MATCH($C321&amp;$I321&amp;$H321&amp;$N321&amp;$O321,APOIO_REDES!$W:$W,0),MATCH(AG$5,APOIO_REDES!$5:$5,0)),0)</f>
        <v>0.75</v>
      </c>
      <c r="AH321" s="153" t="n">
        <f aca="false">IFERROR(INDEX(APOIO_REDES!$A:$W,MATCH($C321&amp;$I321&amp;$H321&amp;$N321&amp;$O321,APOIO_REDES!$W:$W,0),MATCH(AH$5,APOIO_REDES!$5:$5,0)),0)</f>
        <v>0.1</v>
      </c>
      <c r="AI321" s="153" t="n">
        <f aca="false">IFERROR(IF($H321&lt;&gt;"",(((($H321/1000)/2)^2)*PI()*$M321),0),0)</f>
        <v>1.38531669652696</v>
      </c>
      <c r="AJ321" s="153" t="n">
        <f aca="false">IFERROR(IF(AND($H321&lt;&gt;"",$I321="FoFo",OR($N321="MND",$N321="VCA"),$Q321="LINEAR"),0,IF(AND($H321&lt;&gt;"",$I321="PEAD",$N321="VCA",$Q321="LINEAR"),($H321/1000)+0.3,IF(AND($H321&lt;&gt;"",$I321="PEAD",$N321="MND",$Q321="EMBOQUE"),0,IF(AND($H321&lt;&gt;"",$I321="PVC",$N321="VCA",$Q321="LINEAR"),($H321/1000)+0.2,IF(AND($H321&lt;&gt;"",$I321="PVC",$N321="MND",$Q321="EMBOQUE"),0,IF(AND($H321&lt;&gt;"",$I321="PEAD",$N321="VCA",$Q321="PREDIAL"),0,0)))))),0)</f>
        <v>0.46</v>
      </c>
      <c r="AK321" s="153" t="n">
        <f aca="false">IF(AA321&lt;&gt;"",AA321,0)</f>
        <v>3.7</v>
      </c>
      <c r="AL321" s="153" t="n">
        <f aca="false">IF(AND($N321="MND",$Q321="EMBOQUE"),$M321,IF(AND($N321="VCA",$Q321="LINEAR"),$M321,IF(AND($N321="VCA",$Q321="PREDIAL"),0,0)))</f>
        <v>68.9</v>
      </c>
      <c r="AM321" s="153" t="n">
        <f aca="false">IF(AND($N321="MND",$Q321="EMBOQUE"),$M321,IF(AND($N321="VCA",$Q321="LINEAR"),$M321,IF(AND($N321="VCA",$Q321="PREDIAL"),0,0)))</f>
        <v>68.9</v>
      </c>
      <c r="AN321" s="153" t="n">
        <f aca="false">ROUND(IF(AND($N321="VCA",$M321&lt;&gt;"",$Q321="LINEAR"),$M321/100,IF(AND($N321="MND",$M321&gt;100,$Q321="EMBOQUE"),$M321/100,0)),0)</f>
        <v>1</v>
      </c>
      <c r="AO321" s="153" t="n">
        <f aca="false">IF(AND($N321="MND",$Q321="EMBOQUE"),$AN321*2*2,IF(AND($N321="VCA",$Q321="LINEAR"),$M321*2,IF(AND($N321="VCA",$Q321="PREDIAL"),0,0)))</f>
        <v>137.8</v>
      </c>
      <c r="AP321" s="153" t="n">
        <f aca="false">IFERROR($M321*$AF321*$AG321,0)</f>
        <v>75.4455</v>
      </c>
      <c r="AQ321" s="153" t="n">
        <f aca="false">IFERROR(IF(AND($N321="VCA",$AH321&gt;0),$M321*$AG321*$AH321,0),0)</f>
        <v>5.1675</v>
      </c>
      <c r="AR321" s="153" t="n">
        <f aca="false">IFERROR(IF(AND($N321="VCA",$AJ321&gt;0),($M321*$AG321*$AJ321)-$AI321,0),0)</f>
        <v>22.385183303473</v>
      </c>
      <c r="AS321" s="153" t="n">
        <f aca="false">IFERROR(IF(AND($N321="VCA",$AP321&gt;0),$AP321-$AI321-$AQ321-$AR321,0),0)</f>
        <v>46.5075</v>
      </c>
      <c r="AT321" s="153" t="n">
        <f aca="false">IFERROR(IF($N321="VCA",INDEX(APOIO_REDES!$A:$W,MATCH($C321&amp;$I321&amp;$H321&amp;$N321&amp;$O321,APOIO_REDES!$W:$W,0),MATCH(AT$5,APOIO_REDES!$5:$5,0)),0)*$AP321,0)</f>
        <v>0.820869370728131</v>
      </c>
      <c r="AU321" s="153" t="n">
        <f aca="false">IFERROR(IF($N321="VCA",INDEX(APOIO_REDES!$A:$W,MATCH($C321&amp;$I321&amp;$H321&amp;$N321&amp;$O321,APOIO_REDES!$W:$W,0),MATCH(AU$5,APOIO_REDES!$5:$5,0)),0)*$AP321,0)</f>
        <v>0.655524047501457</v>
      </c>
      <c r="AV321" s="153" t="n">
        <f aca="false">IFERROR(IF($N321="VCA",INDEX(APOIO_REDES!$A:$W,MATCH($C321&amp;$I321&amp;$H321&amp;$N321&amp;$O321,APOIO_REDES!$W:$W,0),MATCH(AV$5,APOIO_REDES!$5:$5,0)),0)*$AP321,0)</f>
        <v>0.0907193821086615</v>
      </c>
      <c r="AW321" s="153" t="n">
        <f aca="false">IFERROR(IF($N321="VCA",INDEX(APOIO_REDES!$A:$W,MATCH($C321&amp;$I321&amp;$H321&amp;$N321&amp;$O321,APOIO_REDES!$W:$W,0),MATCH(AW$5,APOIO_REDES!$5:$5,0)),0)*$AP321,0)</f>
        <v>51.7863757802601</v>
      </c>
      <c r="AX321" s="153" t="n">
        <f aca="false">IFERROR(IF($N321="VCA",INDEX(APOIO_REDES!$A:$W,MATCH($C321&amp;$I321&amp;$H321&amp;$N321&amp;$O321,APOIO_REDES!$W:$W,0),MATCH(AX$5,APOIO_REDES!$5:$5,0)),0)*$AP321,0)</f>
        <v>7.16708689170427</v>
      </c>
      <c r="AY321" s="153" t="n">
        <f aca="false">IFERROR(IF($N321="VCA",INDEX(APOIO_REDES!$A:$W,MATCH($C321&amp;$I321&amp;$H321&amp;$N321&amp;$O321,APOIO_REDES!$W:$W,0),MATCH(AY$5,APOIO_REDES!$5:$5,0)),0)*$AP321,0)</f>
        <v>13.1104729592441</v>
      </c>
      <c r="AZ321" s="153" t="n">
        <f aca="false">IFERROR(IF($N321="VCA",INDEX(APOIO_REDES!$A:$W,MATCH($C321&amp;$I321&amp;$H321&amp;$N321&amp;$O321,APOIO_REDES!$W:$W,0),MATCH(AZ$5,APOIO_REDES!$5:$5,0)),0)*$AP321,0)</f>
        <v>1.81445156845323</v>
      </c>
      <c r="BA321" s="153" t="n">
        <f aca="false">IFERROR(IF(AND($N321="VCA",$Q321="LINEAR"),INDEX(APOIO_REDES!$A:$W,MATCH($C321&amp;$I321&amp;$H321&amp;$N321&amp;$O321,APOIO_REDES!$W:$W,0),MATCH(BA$5,APOIO_REDES!$5:$5,0)),IF(AND($N321="MND",$Q321="EMBOQUE"),INDEX(APOIO_REDES!$A:$W,MATCH($C321&amp;$I321&amp;$H321&amp;$N321&amp;$O321,APOIO_REDES!$W:$W,0),MATCH(BA$5,APOIO_REDES!$5:$5,0)),0))*$M321/10,0)</f>
        <v>5.55316620524686</v>
      </c>
      <c r="BB321" s="153" t="n">
        <f aca="false">IFERROR(IF($N321="VCA",INDEX(APOIO_REDES!$A:$W,MATCH($C321&amp;$I321&amp;$H321&amp;$N321&amp;$O321,APOIO_REDES!$W:$W,0),MATCH(BB$5,APOIO_REDES!$5:$5,0)),0)*($AI321+$AQ321+$AR321),0)</f>
        <v>28.6231459947892</v>
      </c>
      <c r="BC321" s="153" t="n">
        <f aca="false">IFERROR(IF($N321="VCA",INDEX(APOIO_REDES!$A:$W,MATCH($C321&amp;$I321&amp;$H321&amp;$N321&amp;$O321,APOIO_REDES!$W:$W,0),MATCH(BC$5,APOIO_REDES!$5:$5,0)),0)*($AI321+$AQ321+$AR321),0)</f>
        <v>0.31485400521079</v>
      </c>
      <c r="BD321" s="153" t="n">
        <f aca="false">IF(AND($N321="VCA",$AF321&gt;=1.25,$AF321&lt;1.5),$M321*$AF321*2,0)</f>
        <v>201.188</v>
      </c>
      <c r="BE321" s="153" t="n">
        <f aca="false">IF(AND($N321="VCA",$AF321&gt;=1.5,$AF321&lt;3),$M321*$AF321*2,0)</f>
        <v>0</v>
      </c>
      <c r="BF321" s="153" t="n">
        <f aca="false">IF(AND($N321="VCA",$AF321&gt;=3),$M321*$AF321*2,0)</f>
        <v>0</v>
      </c>
      <c r="BG321" s="153" t="n">
        <f aca="false">($BB321+$BC321)*$AK321</f>
        <v>107.0706</v>
      </c>
      <c r="BH321" s="153" t="n">
        <f aca="false">IF(AND($M321&lt;&gt;"",$N321="VCA",$Q321="LINEAR"),($M321*2)/100,IF(AND($M321&lt;&gt;"",$N321="MND",$Q321="EMBOQUE"),($AN321*2)/100,0))</f>
        <v>1.378</v>
      </c>
      <c r="BI321" s="153" t="n">
        <f aca="false">IF(AND($M321&lt;&gt;"",$N321="VCA",$Q321="LINEAR"),$M321,IF(AND($M321&lt;&gt;"",$N321="MND",$Q321="EMBOQUE"),$AN321*2,0))</f>
        <v>68.9</v>
      </c>
      <c r="BJ321" s="153" t="n">
        <f aca="false">IF(AND($M321&lt;&gt;"",$N321="VCA",$Q321="LINEAR"),($M321*6.8)/100,IF(AND($M321&lt;&gt;"",$N321="MND",$Q321="EMBOQUE"),($AN321*2*6.8)/100,0))</f>
        <v>4.6852</v>
      </c>
      <c r="BK321" s="153" t="n">
        <f aca="false">IF(AND($M321&lt;&gt;"",$N321="VCA",$Q321="LINEAR"),($M321*2.5)/50,IF(AND($M321&lt;&gt;"",$N321="MND",$Q321="EMBOQUE"),($AN321*2*2.5)/50,0))</f>
        <v>3.445</v>
      </c>
      <c r="BL321" s="157" t="str">
        <f aca="false">K321&amp;J321</f>
        <v>Zona03REDES</v>
      </c>
      <c r="BM321" s="152" t="s">
        <v>2526</v>
      </c>
      <c r="BN321" s="152" t="s">
        <v>1560</v>
      </c>
      <c r="BO321" s="152" t="s">
        <v>2231</v>
      </c>
      <c r="BP321" s="152" t="s">
        <v>2730</v>
      </c>
      <c r="BQ321" s="152" t="s">
        <v>2743</v>
      </c>
      <c r="BR321" s="152" t="s">
        <v>2744</v>
      </c>
      <c r="BS321" s="152" t="n">
        <v>203001.332</v>
      </c>
      <c r="BT321" s="152" t="n">
        <v>8237820.998</v>
      </c>
      <c r="BU321" s="152" t="n">
        <v>202972.103</v>
      </c>
      <c r="BV321" s="152" t="n">
        <v>8237758.652</v>
      </c>
      <c r="BW321" s="152" t="n">
        <v>-15.9213605</v>
      </c>
      <c r="BX321" s="152" t="n">
        <v>-47.774033</v>
      </c>
      <c r="BY321" s="152" t="s">
        <v>2730</v>
      </c>
    </row>
    <row r="322" customFormat="false" ht="13.8" hidden="false" customHeight="false" outlineLevel="0" collapsed="false">
      <c r="A322" s="149" t="n">
        <f aca="false">IF(C322&lt;&gt;"",ROW(A317),"")</f>
        <v>317</v>
      </c>
      <c r="B322" s="150" t="str">
        <f aca="false">HYPERLINK("https://www.google.com/maps/dir/-15.917302,-47.760003/-15.9213337,-47.7733762/data=!4m3!4m2!3e0!5i2")</f>
        <v>https://www.google.com/maps/dir/-15.917302,-47.760003/-15.9213337,-47.7733762/data=!4m3!4m2!3e0!5i2</v>
      </c>
      <c r="C322" s="151" t="s">
        <v>117</v>
      </c>
      <c r="D322" s="152" t="s">
        <v>112</v>
      </c>
      <c r="E322" s="152" t="s">
        <v>113</v>
      </c>
      <c r="F322" s="152" t="s">
        <v>117</v>
      </c>
      <c r="G322" s="152" t="s">
        <v>782</v>
      </c>
      <c r="H322" s="152" t="n">
        <v>63</v>
      </c>
      <c r="I322" s="152" t="s">
        <v>115</v>
      </c>
      <c r="J322" s="152" t="s">
        <v>6</v>
      </c>
      <c r="K322" s="152" t="s">
        <v>2522</v>
      </c>
      <c r="L322" s="152" t="s">
        <v>120</v>
      </c>
      <c r="M322" s="153" t="n">
        <f aca="false">81.53+3.84</f>
        <v>85.37</v>
      </c>
      <c r="N322" s="152" t="s">
        <v>1548</v>
      </c>
      <c r="O322" s="152" t="s">
        <v>1549</v>
      </c>
      <c r="P322" s="152" t="s">
        <v>1550</v>
      </c>
      <c r="Q322" s="152" t="s">
        <v>1551</v>
      </c>
      <c r="R322" s="154" t="s">
        <v>2745</v>
      </c>
      <c r="S322" s="154" t="s">
        <v>1553</v>
      </c>
      <c r="T322" s="155" t="s">
        <v>2227</v>
      </c>
      <c r="U322" s="152" t="str">
        <f aca="false">RIGHT(T322,7)</f>
        <v>008/037</v>
      </c>
      <c r="V322" s="152" t="s">
        <v>1555</v>
      </c>
      <c r="W322" s="156" t="n">
        <v>45882</v>
      </c>
      <c r="X322" s="152" t="s">
        <v>1594</v>
      </c>
      <c r="Y322" s="152" t="s">
        <v>2630</v>
      </c>
      <c r="Z322" s="152" t="s">
        <v>1557</v>
      </c>
      <c r="AA322" s="153" t="n">
        <v>4.1</v>
      </c>
      <c r="AB322" s="151" t="s">
        <v>2746</v>
      </c>
      <c r="AC322" s="151" t="s">
        <v>186</v>
      </c>
      <c r="AD322" s="151" t="str">
        <f aca="false">CONCATENATE($C322,$I322,$H322,$N322,$J322,$K322)</f>
        <v>TUBO PEADPEAD63VCAREDESZona03</v>
      </c>
      <c r="AE322" s="153" t="n">
        <f aca="false">IFERROR(INDEX(APOIO_REDES!$A:$W,MATCH($C322&amp;$I322&amp;$H322&amp;$N322&amp;$O322,APOIO_REDES!$W:$W,0),MATCH(AE$5,APOIO_REDES!$5:$5,0)),0)</f>
        <v>1.2</v>
      </c>
      <c r="AF322" s="153" t="n">
        <f aca="false">IFERROR(INDEX(APOIO_REDES!$A:$W,MATCH($C322&amp;$I322&amp;$H322&amp;$N322&amp;$O322,APOIO_REDES!$W:$W,0),MATCH(AF$5,APOIO_REDES!$5:$5,0)),0)</f>
        <v>1.363</v>
      </c>
      <c r="AG322" s="153" t="n">
        <f aca="false">IFERROR(INDEX(APOIO_REDES!$A:$W,MATCH($C322&amp;$I322&amp;$H322&amp;$N322&amp;$O322,APOIO_REDES!$W:$W,0),MATCH(AG$5,APOIO_REDES!$5:$5,0)),0)</f>
        <v>0.65</v>
      </c>
      <c r="AH322" s="153" t="n">
        <f aca="false">IFERROR(INDEX(APOIO_REDES!$A:$W,MATCH($C322&amp;$I322&amp;$H322&amp;$N322&amp;$O322,APOIO_REDES!$W:$W,0),MATCH(AH$5,APOIO_REDES!$5:$5,0)),0)</f>
        <v>0.1</v>
      </c>
      <c r="AI322" s="153" t="n">
        <f aca="false">IFERROR(IF($H322&lt;&gt;"",(((($H322/1000)/2)^2)*PI()*$M322),0),0)</f>
        <v>0.266119232159474</v>
      </c>
      <c r="AJ322" s="153" t="n">
        <f aca="false">IFERROR(IF(AND($H322&lt;&gt;"",$I322="FoFo",OR($N322="MND",$N322="VCA"),$Q322="LINEAR"),0,IF(AND($H322&lt;&gt;"",$I322="PEAD",$N322="VCA",$Q322="LINEAR"),($H322/1000)+0.3,IF(AND($H322&lt;&gt;"",$I322="PEAD",$N322="MND",$Q322="EMBOQUE"),0,IF(AND($H322&lt;&gt;"",$I322="PVC",$N322="VCA",$Q322="LINEAR"),($H322/1000)+0.2,IF(AND($H322&lt;&gt;"",$I322="PVC",$N322="MND",$Q322="EMBOQUE"),0,IF(AND($H322&lt;&gt;"",$I322="PEAD",$N322="VCA",$Q322="PREDIAL"),0,0)))))),0)</f>
        <v>0.363</v>
      </c>
      <c r="AK322" s="153" t="n">
        <f aca="false">IF(AA322&lt;&gt;"",AA322,0)</f>
        <v>4.1</v>
      </c>
      <c r="AL322" s="153" t="n">
        <f aca="false">IF(AND($N322="MND",$Q322="EMBOQUE"),$M322,IF(AND($N322="VCA",$Q322="LINEAR"),$M322,IF(AND($N322="VCA",$Q322="PREDIAL"),0,0)))</f>
        <v>85.37</v>
      </c>
      <c r="AM322" s="153" t="n">
        <f aca="false">IF(AND($N322="MND",$Q322="EMBOQUE"),$M322,IF(AND($N322="VCA",$Q322="LINEAR"),$M322,IF(AND($N322="VCA",$Q322="PREDIAL"),0,0)))</f>
        <v>85.37</v>
      </c>
      <c r="AN322" s="153" t="n">
        <f aca="false">ROUND(IF(AND($N322="VCA",$M322&lt;&gt;"",$Q322="LINEAR"),$M322/100,IF(AND($N322="MND",$M322&gt;100,$Q322="EMBOQUE"),$M322/100,0)),0)</f>
        <v>1</v>
      </c>
      <c r="AO322" s="153" t="n">
        <f aca="false">IF(AND($N322="MND",$Q322="EMBOQUE"),$AN322*2*2,IF(AND($N322="VCA",$Q322="LINEAR"),$M322*2,IF(AND($N322="VCA",$Q322="PREDIAL"),0,0)))</f>
        <v>170.74</v>
      </c>
      <c r="AP322" s="153" t="n">
        <f aca="false">IFERROR($M322*$AF322*$AG322,0)</f>
        <v>75.6335515</v>
      </c>
      <c r="AQ322" s="153" t="n">
        <f aca="false">IFERROR(IF(AND($N322="VCA",$AH322&gt;0),$M322*$AG322*$AH322,0),0)</f>
        <v>5.54905</v>
      </c>
      <c r="AR322" s="153" t="n">
        <f aca="false">IFERROR(IF(AND($N322="VCA",$AJ322&gt;0),($M322*$AG322*$AJ322)-$AI322,0),0)</f>
        <v>19.8769322678405</v>
      </c>
      <c r="AS322" s="153" t="n">
        <f aca="false">IFERROR(IF(AND($N322="VCA",$AP322&gt;0),$AP322-$AI322-$AQ322-$AR322,0),0)</f>
        <v>49.94145</v>
      </c>
      <c r="AT322" s="153" t="n">
        <f aca="false">IFERROR(IF($N322="VCA",INDEX(APOIO_REDES!$A:$W,MATCH($C322&amp;$I322&amp;$H322&amp;$N322&amp;$O322,APOIO_REDES!$W:$W,0),MATCH(AT$5,APOIO_REDES!$5:$5,0)),0)*$AP322,0)</f>
        <v>0.822915426708534</v>
      </c>
      <c r="AU322" s="153" t="n">
        <f aca="false">IFERROR(IF($N322="VCA",INDEX(APOIO_REDES!$A:$W,MATCH($C322&amp;$I322&amp;$H322&amp;$N322&amp;$O322,APOIO_REDES!$W:$W,0),MATCH(AU$5,APOIO_REDES!$5:$5,0)),0)*$AP322,0)</f>
        <v>0.657157972393183</v>
      </c>
      <c r="AV322" s="153" t="n">
        <f aca="false">IFERROR(IF($N322="VCA",INDEX(APOIO_REDES!$A:$W,MATCH($C322&amp;$I322&amp;$H322&amp;$N322&amp;$O322,APOIO_REDES!$W:$W,0),MATCH(AV$5,APOIO_REDES!$5:$5,0)),0)*$AP322,0)</f>
        <v>0.0909455044868631</v>
      </c>
      <c r="AW322" s="153" t="n">
        <f aca="false">IFERROR(IF($N322="VCA",INDEX(APOIO_REDES!$A:$W,MATCH($C322&amp;$I322&amp;$H322&amp;$N322&amp;$O322,APOIO_REDES!$W:$W,0),MATCH(AW$5,APOIO_REDES!$5:$5,0)),0)*$AP322,0)</f>
        <v>51.9154557869543</v>
      </c>
      <c r="AX322" s="153" t="n">
        <f aca="false">IFERROR(IF($N322="VCA",INDEX(APOIO_REDES!$A:$W,MATCH($C322&amp;$I322&amp;$H322&amp;$N322&amp;$O322,APOIO_REDES!$W:$W,0),MATCH(AX$5,APOIO_REDES!$5:$5,0)),0)*$AP322,0)</f>
        <v>7.18495119693937</v>
      </c>
      <c r="AY322" s="153" t="n">
        <f aca="false">IFERROR(IF($N322="VCA",INDEX(APOIO_REDES!$A:$W,MATCH($C322&amp;$I322&amp;$H322&amp;$N322&amp;$O322,APOIO_REDES!$W:$W,0),MATCH(AY$5,APOIO_REDES!$5:$5,0)),0)*$AP322,0)</f>
        <v>13.1431514371613</v>
      </c>
      <c r="AZ322" s="153" t="n">
        <f aca="false">IFERROR(IF($N322="VCA",INDEX(APOIO_REDES!$A:$W,MATCH($C322&amp;$I322&amp;$H322&amp;$N322&amp;$O322,APOIO_REDES!$W:$W,0),MATCH(AZ$5,APOIO_REDES!$5:$5,0)),0)*$AP322,0)</f>
        <v>1.81897417535656</v>
      </c>
      <c r="BA322" s="153" t="n">
        <f aca="false">IFERROR(IF(AND($N322="VCA",$Q322="LINEAR"),INDEX(APOIO_REDES!$A:$W,MATCH($C322&amp;$I322&amp;$H322&amp;$N322&amp;$O322,APOIO_REDES!$W:$W,0),MATCH(BA$5,APOIO_REDES!$5:$5,0)),IF(AND($N322="MND",$Q322="EMBOQUE"),INDEX(APOIO_REDES!$A:$W,MATCH($C322&amp;$I322&amp;$H322&amp;$N322&amp;$O322,APOIO_REDES!$W:$W,0),MATCH(BA$5,APOIO_REDES!$5:$5,0)),0))*$M322/10,0)</f>
        <v>6.88060666098584</v>
      </c>
      <c r="BB322" s="153" t="n">
        <f aca="false">IFERROR(IF($N322="VCA",INDEX(APOIO_REDES!$A:$W,MATCH($C322&amp;$I322&amp;$H322&amp;$N322&amp;$O322,APOIO_REDES!$W:$W,0),MATCH(BB$5,APOIO_REDES!$5:$5,0)),0)*($AI322+$AQ322+$AR322),0)</f>
        <v>25.4125638312061</v>
      </c>
      <c r="BC322" s="153" t="n">
        <f aca="false">IFERROR(IF($N322="VCA",INDEX(APOIO_REDES!$A:$W,MATCH($C322&amp;$I322&amp;$H322&amp;$N322&amp;$O322,APOIO_REDES!$W:$W,0),MATCH(BC$5,APOIO_REDES!$5:$5,0)),0)*($AI322+$AQ322+$AR322),0)</f>
        <v>0.279537668793875</v>
      </c>
      <c r="BD322" s="153" t="n">
        <f aca="false">IF(AND($N322="VCA",$AF322&gt;=1.25,$AF322&lt;1.5),$M322*$AF322*2,0)</f>
        <v>232.71862</v>
      </c>
      <c r="BE322" s="153" t="n">
        <f aca="false">IF(AND($N322="VCA",$AF322&gt;=1.5,$AF322&lt;3),$M322*$AF322*2,0)</f>
        <v>0</v>
      </c>
      <c r="BF322" s="153" t="n">
        <f aca="false">IF(AND($N322="VCA",$AF322&gt;=3),$M322*$AF322*2,0)</f>
        <v>0</v>
      </c>
      <c r="BG322" s="153" t="n">
        <f aca="false">($BB322+$BC322)*$AK322</f>
        <v>105.33761615</v>
      </c>
      <c r="BH322" s="153" t="n">
        <f aca="false">IF(AND($M322&lt;&gt;"",$N322="VCA",$Q322="LINEAR"),($M322*2)/100,IF(AND($M322&lt;&gt;"",$N322="MND",$Q322="EMBOQUE"),($AN322*2)/100,0))</f>
        <v>1.7074</v>
      </c>
      <c r="BI322" s="153" t="n">
        <f aca="false">IF(AND($M322&lt;&gt;"",$N322="VCA",$Q322="LINEAR"),$M322,IF(AND($M322&lt;&gt;"",$N322="MND",$Q322="EMBOQUE"),$AN322*2,0))</f>
        <v>85.37</v>
      </c>
      <c r="BJ322" s="153" t="n">
        <f aca="false">IF(AND($M322&lt;&gt;"",$N322="VCA",$Q322="LINEAR"),($M322*6.8)/100,IF(AND($M322&lt;&gt;"",$N322="MND",$Q322="EMBOQUE"),($AN322*2*6.8)/100,0))</f>
        <v>5.80516</v>
      </c>
      <c r="BK322" s="153" t="n">
        <f aca="false">IF(AND($M322&lt;&gt;"",$N322="VCA",$Q322="LINEAR"),($M322*2.5)/50,IF(AND($M322&lt;&gt;"",$N322="MND",$Q322="EMBOQUE"),($AN322*2*2.5)/50,0))</f>
        <v>4.2685</v>
      </c>
      <c r="BL322" s="157" t="str">
        <f aca="false">K322&amp;J322</f>
        <v>Zona03REDES</v>
      </c>
      <c r="BM322" s="152" t="s">
        <v>2526</v>
      </c>
      <c r="BN322" s="152" t="s">
        <v>1560</v>
      </c>
      <c r="BO322" s="152" t="s">
        <v>2231</v>
      </c>
      <c r="BP322" s="152" t="s">
        <v>2739</v>
      </c>
      <c r="BQ322" s="152" t="s">
        <v>2747</v>
      </c>
      <c r="BR322" s="152" t="s">
        <v>2748</v>
      </c>
      <c r="BS322" s="152" t="n">
        <v>203057.119</v>
      </c>
      <c r="BT322" s="152" t="n">
        <v>8237793.67</v>
      </c>
      <c r="BU322" s="152" t="n">
        <v>203131.236</v>
      </c>
      <c r="BV322" s="152" t="n">
        <v>8237759.767</v>
      </c>
      <c r="BW322" s="152" t="n">
        <v>-15.9214972</v>
      </c>
      <c r="BX322" s="152" t="n">
        <v>-47.7730354</v>
      </c>
      <c r="BY322" s="152" t="s">
        <v>2739</v>
      </c>
    </row>
    <row r="323" customFormat="false" ht="13.8" hidden="false" customHeight="false" outlineLevel="0" collapsed="false">
      <c r="A323" s="149" t="n">
        <f aca="false">IF(C323&lt;&gt;"",ROW(A318),"")</f>
        <v>318</v>
      </c>
      <c r="B323" s="150" t="str">
        <f aca="false">HYPERLINK("https://www.google.com/maps/dir/-15.917302,-47.760003/-15.9213337,-47.7733762/data=!4m3!4m2!3e0!5i2")</f>
        <v>https://www.google.com/maps/dir/-15.917302,-47.760003/-15.9213337,-47.7733762/data=!4m3!4m2!3e0!5i2</v>
      </c>
      <c r="C323" s="151" t="s">
        <v>117</v>
      </c>
      <c r="D323" s="152" t="s">
        <v>112</v>
      </c>
      <c r="E323" s="152" t="s">
        <v>113</v>
      </c>
      <c r="F323" s="152" t="s">
        <v>117</v>
      </c>
      <c r="G323" s="152" t="s">
        <v>782</v>
      </c>
      <c r="H323" s="152" t="n">
        <v>63</v>
      </c>
      <c r="I323" s="152" t="s">
        <v>115</v>
      </c>
      <c r="J323" s="152" t="s">
        <v>6</v>
      </c>
      <c r="K323" s="152" t="s">
        <v>2522</v>
      </c>
      <c r="L323" s="152" t="s">
        <v>120</v>
      </c>
      <c r="M323" s="153" t="n">
        <f aca="false">78.41</f>
        <v>78.41</v>
      </c>
      <c r="N323" s="152" t="s">
        <v>1548</v>
      </c>
      <c r="O323" s="152" t="s">
        <v>1549</v>
      </c>
      <c r="P323" s="152" t="s">
        <v>1550</v>
      </c>
      <c r="Q323" s="152" t="s">
        <v>1551</v>
      </c>
      <c r="R323" s="154" t="s">
        <v>2749</v>
      </c>
      <c r="S323" s="154" t="s">
        <v>1553</v>
      </c>
      <c r="T323" s="155" t="s">
        <v>2227</v>
      </c>
      <c r="U323" s="152" t="str">
        <f aca="false">RIGHT(T323,7)</f>
        <v>008/037</v>
      </c>
      <c r="V323" s="152" t="s">
        <v>1555</v>
      </c>
      <c r="W323" s="156" t="n">
        <v>45882</v>
      </c>
      <c r="X323" s="152" t="s">
        <v>1594</v>
      </c>
      <c r="Y323" s="152" t="s">
        <v>2630</v>
      </c>
      <c r="Z323" s="152" t="s">
        <v>1557</v>
      </c>
      <c r="AA323" s="153" t="n">
        <v>4.1</v>
      </c>
      <c r="AB323" s="151" t="s">
        <v>2750</v>
      </c>
      <c r="AC323" s="151" t="s">
        <v>186</v>
      </c>
      <c r="AD323" s="151" t="str">
        <f aca="false">CONCATENATE($C323,$I323,$H323,$N323,$J323,$K323)</f>
        <v>TUBO PEADPEAD63VCAREDESZona03</v>
      </c>
      <c r="AE323" s="153" t="n">
        <f aca="false">IFERROR(INDEX(APOIO_REDES!$A:$W,MATCH($C323&amp;$I323&amp;$H323&amp;$N323&amp;$O323,APOIO_REDES!$W:$W,0),MATCH(AE$5,APOIO_REDES!$5:$5,0)),0)</f>
        <v>1.2</v>
      </c>
      <c r="AF323" s="153" t="n">
        <f aca="false">IFERROR(INDEX(APOIO_REDES!$A:$W,MATCH($C323&amp;$I323&amp;$H323&amp;$N323&amp;$O323,APOIO_REDES!$W:$W,0),MATCH(AF$5,APOIO_REDES!$5:$5,0)),0)</f>
        <v>1.363</v>
      </c>
      <c r="AG323" s="153" t="n">
        <f aca="false">IFERROR(INDEX(APOIO_REDES!$A:$W,MATCH($C323&amp;$I323&amp;$H323&amp;$N323&amp;$O323,APOIO_REDES!$W:$W,0),MATCH(AG$5,APOIO_REDES!$5:$5,0)),0)</f>
        <v>0.65</v>
      </c>
      <c r="AH323" s="153" t="n">
        <f aca="false">IFERROR(INDEX(APOIO_REDES!$A:$W,MATCH($C323&amp;$I323&amp;$H323&amp;$N323&amp;$O323,APOIO_REDES!$W:$W,0),MATCH(AH$5,APOIO_REDES!$5:$5,0)),0)</f>
        <v>0.1</v>
      </c>
      <c r="AI323" s="153" t="n">
        <f aca="false">IFERROR(IF($H323&lt;&gt;"",(((($H323/1000)/2)^2)*PI()*$M323),0),0)</f>
        <v>0.244423204798224</v>
      </c>
      <c r="AJ323" s="153" t="n">
        <f aca="false">IFERROR(IF(AND($H323&lt;&gt;"",$I323="FoFo",OR($N323="MND",$N323="VCA"),$Q323="LINEAR"),0,IF(AND($H323&lt;&gt;"",$I323="PEAD",$N323="VCA",$Q323="LINEAR"),($H323/1000)+0.3,IF(AND($H323&lt;&gt;"",$I323="PEAD",$N323="MND",$Q323="EMBOQUE"),0,IF(AND($H323&lt;&gt;"",$I323="PVC",$N323="VCA",$Q323="LINEAR"),($H323/1000)+0.2,IF(AND($H323&lt;&gt;"",$I323="PVC",$N323="MND",$Q323="EMBOQUE"),0,IF(AND($H323&lt;&gt;"",$I323="PEAD",$N323="VCA",$Q323="PREDIAL"),0,0)))))),0)</f>
        <v>0.363</v>
      </c>
      <c r="AK323" s="153" t="n">
        <f aca="false">IF(AA323&lt;&gt;"",AA323,0)</f>
        <v>4.1</v>
      </c>
      <c r="AL323" s="153" t="n">
        <f aca="false">IF(AND($N323="MND",$Q323="EMBOQUE"),$M323,IF(AND($N323="VCA",$Q323="LINEAR"),$M323,IF(AND($N323="VCA",$Q323="PREDIAL"),0,0)))</f>
        <v>78.41</v>
      </c>
      <c r="AM323" s="153" t="n">
        <f aca="false">IF(AND($N323="MND",$Q323="EMBOQUE"),$M323,IF(AND($N323="VCA",$Q323="LINEAR"),$M323,IF(AND($N323="VCA",$Q323="PREDIAL"),0,0)))</f>
        <v>78.41</v>
      </c>
      <c r="AN323" s="153" t="n">
        <f aca="false">ROUND(IF(AND($N323="VCA",$M323&lt;&gt;"",$Q323="LINEAR"),$M323/100,IF(AND($N323="MND",$M323&gt;100,$Q323="EMBOQUE"),$M323/100,0)),0)</f>
        <v>1</v>
      </c>
      <c r="AO323" s="153" t="n">
        <f aca="false">IF(AND($N323="MND",$Q323="EMBOQUE"),$AN323*2*2,IF(AND($N323="VCA",$Q323="LINEAR"),$M323*2,IF(AND($N323="VCA",$Q323="PREDIAL"),0,0)))</f>
        <v>156.82</v>
      </c>
      <c r="AP323" s="153" t="n">
        <f aca="false">IFERROR($M323*$AF323*$AG323,0)</f>
        <v>69.4673395</v>
      </c>
      <c r="AQ323" s="153" t="n">
        <f aca="false">IFERROR(IF(AND($N323="VCA",$AH323&gt;0),$M323*$AG323*$AH323,0),0)</f>
        <v>5.09665</v>
      </c>
      <c r="AR323" s="153" t="n">
        <f aca="false">IFERROR(IF(AND($N323="VCA",$AJ323&gt;0),($M323*$AG323*$AJ323)-$AI323,0),0)</f>
        <v>18.2564162952018</v>
      </c>
      <c r="AS323" s="153" t="n">
        <f aca="false">IFERROR(IF(AND($N323="VCA",$AP323&gt;0),$AP323-$AI323-$AQ323-$AR323,0),0)</f>
        <v>45.86985</v>
      </c>
      <c r="AT323" s="153" t="n">
        <f aca="false">IFERROR(IF($N323="VCA",INDEX(APOIO_REDES!$A:$W,MATCH($C323&amp;$I323&amp;$H323&amp;$N323&amp;$O323,APOIO_REDES!$W:$W,0),MATCH(AT$5,APOIO_REDES!$5:$5,0)),0)*$AP323,0)</f>
        <v>0.755825215042944</v>
      </c>
      <c r="AU323" s="153" t="n">
        <f aca="false">IFERROR(IF($N323="VCA",INDEX(APOIO_REDES!$A:$W,MATCH($C323&amp;$I323&amp;$H323&amp;$N323&amp;$O323,APOIO_REDES!$W:$W,0),MATCH(AU$5,APOIO_REDES!$5:$5,0)),0)*$AP323,0)</f>
        <v>0.603581546390412</v>
      </c>
      <c r="AV323" s="153" t="n">
        <f aca="false">IFERROR(IF($N323="VCA",INDEX(APOIO_REDES!$A:$W,MATCH($C323&amp;$I323&amp;$H323&amp;$N323&amp;$O323,APOIO_REDES!$W:$W,0),MATCH(AV$5,APOIO_REDES!$5:$5,0)),0)*$AP323,0)</f>
        <v>0.0835309477195142</v>
      </c>
      <c r="AW323" s="153" t="n">
        <f aca="false">IFERROR(IF($N323="VCA",INDEX(APOIO_REDES!$A:$W,MATCH($C323&amp;$I323&amp;$H323&amp;$N323&amp;$O323,APOIO_REDES!$W:$W,0),MATCH(AW$5,APOIO_REDES!$5:$5,0)),0)*$AP323,0)</f>
        <v>47.6829200920122</v>
      </c>
      <c r="AX323" s="153" t="n">
        <f aca="false">IFERROR(IF($N323="VCA",INDEX(APOIO_REDES!$A:$W,MATCH($C323&amp;$I323&amp;$H323&amp;$N323&amp;$O323,APOIO_REDES!$W:$W,0),MATCH(AX$5,APOIO_REDES!$5:$5,0)),0)*$AP323,0)</f>
        <v>6.59918031336554</v>
      </c>
      <c r="AY323" s="153" t="n">
        <f aca="false">IFERROR(IF($N323="VCA",INDEX(APOIO_REDES!$A:$W,MATCH($C323&amp;$I323&amp;$H323&amp;$N323&amp;$O323,APOIO_REDES!$W:$W,0),MATCH(AY$5,APOIO_REDES!$5:$5,0)),0)*$AP323,0)</f>
        <v>12.0716235701981</v>
      </c>
      <c r="AZ323" s="153" t="n">
        <f aca="false">IFERROR(IF($N323="VCA",INDEX(APOIO_REDES!$A:$W,MATCH($C323&amp;$I323&amp;$H323&amp;$N323&amp;$O323,APOIO_REDES!$W:$W,0),MATCH(AZ$5,APOIO_REDES!$5:$5,0)),0)*$AP323,0)</f>
        <v>1.67067781527126</v>
      </c>
      <c r="BA323" s="153" t="n">
        <f aca="false">IFERROR(IF(AND($N323="VCA",$Q323="LINEAR"),INDEX(APOIO_REDES!$A:$W,MATCH($C323&amp;$I323&amp;$H323&amp;$N323&amp;$O323,APOIO_REDES!$W:$W,0),MATCH(BA$5,APOIO_REDES!$5:$5,0)),IF(AND($N323="MND",$Q323="EMBOQUE"),INDEX(APOIO_REDES!$A:$W,MATCH($C323&amp;$I323&amp;$H323&amp;$N323&amp;$O323,APOIO_REDES!$W:$W,0),MATCH(BA$5,APOIO_REDES!$5:$5,0)),0))*$M323/10,0)</f>
        <v>6.31964821703057</v>
      </c>
      <c r="BB323" s="153" t="n">
        <f aca="false">IFERROR(IF($N323="VCA",INDEX(APOIO_REDES!$A:$W,MATCH($C323&amp;$I323&amp;$H323&amp;$N323&amp;$O323,APOIO_REDES!$W:$W,0),MATCH(BB$5,APOIO_REDES!$5:$5,0)),0)*($AI323+$AQ323+$AR323),0)</f>
        <v>23.3407418297396</v>
      </c>
      <c r="BC323" s="153" t="n">
        <f aca="false">IFERROR(IF($N323="VCA",INDEX(APOIO_REDES!$A:$W,MATCH($C323&amp;$I323&amp;$H323&amp;$N323&amp;$O323,APOIO_REDES!$W:$W,0),MATCH(BC$5,APOIO_REDES!$5:$5,0)),0)*($AI323+$AQ323+$AR323),0)</f>
        <v>0.256747670260369</v>
      </c>
      <c r="BD323" s="153" t="n">
        <f aca="false">IF(AND($N323="VCA",$AF323&gt;=1.25,$AF323&lt;1.5),$M323*$AF323*2,0)</f>
        <v>213.74566</v>
      </c>
      <c r="BE323" s="153" t="n">
        <f aca="false">IF(AND($N323="VCA",$AF323&gt;=1.5,$AF323&lt;3),$M323*$AF323*2,0)</f>
        <v>0</v>
      </c>
      <c r="BF323" s="153" t="n">
        <f aca="false">IF(AND($N323="VCA",$AF323&gt;=3),$M323*$AF323*2,0)</f>
        <v>0</v>
      </c>
      <c r="BG323" s="153" t="n">
        <f aca="false">($BB323+$BC323)*$AK323</f>
        <v>96.74970695</v>
      </c>
      <c r="BH323" s="153" t="n">
        <f aca="false">IF(AND($M323&lt;&gt;"",$N323="VCA",$Q323="LINEAR"),($M323*2)/100,IF(AND($M323&lt;&gt;"",$N323="MND",$Q323="EMBOQUE"),($AN323*2)/100,0))</f>
        <v>1.5682</v>
      </c>
      <c r="BI323" s="153" t="n">
        <f aca="false">IF(AND($M323&lt;&gt;"",$N323="VCA",$Q323="LINEAR"),$M323,IF(AND($M323&lt;&gt;"",$N323="MND",$Q323="EMBOQUE"),$AN323*2,0))</f>
        <v>78.41</v>
      </c>
      <c r="BJ323" s="153" t="n">
        <f aca="false">IF(AND($M323&lt;&gt;"",$N323="VCA",$Q323="LINEAR"),($M323*6.8)/100,IF(AND($M323&lt;&gt;"",$N323="MND",$Q323="EMBOQUE"),($AN323*2*6.8)/100,0))</f>
        <v>5.33188</v>
      </c>
      <c r="BK323" s="153" t="n">
        <f aca="false">IF(AND($M323&lt;&gt;"",$N323="VCA",$Q323="LINEAR"),($M323*2.5)/50,IF(AND($M323&lt;&gt;"",$N323="MND",$Q323="EMBOQUE"),($AN323*2*2.5)/50,0))</f>
        <v>3.9205</v>
      </c>
      <c r="BL323" s="157" t="str">
        <f aca="false">K323&amp;J323</f>
        <v>Zona03REDES</v>
      </c>
      <c r="BM323" s="152" t="s">
        <v>2526</v>
      </c>
      <c r="BN323" s="152" t="s">
        <v>1560</v>
      </c>
      <c r="BO323" s="152" t="s">
        <v>2231</v>
      </c>
      <c r="BP323" s="152" t="s">
        <v>2739</v>
      </c>
      <c r="BQ323" s="152" t="s">
        <v>2751</v>
      </c>
      <c r="BR323" s="152" t="s">
        <v>2752</v>
      </c>
      <c r="BS323" s="152" t="n">
        <v>203057.119</v>
      </c>
      <c r="BT323" s="152" t="n">
        <v>8237793.67</v>
      </c>
      <c r="BU323" s="152" t="n">
        <v>203039.422</v>
      </c>
      <c r="BV323" s="152" t="n">
        <v>8237717.384</v>
      </c>
      <c r="BW323" s="152" t="n">
        <v>-15.9216758</v>
      </c>
      <c r="BX323" s="152" t="n">
        <v>-47.7734701</v>
      </c>
      <c r="BY323" s="152" t="s">
        <v>2739</v>
      </c>
    </row>
    <row r="324" customFormat="false" ht="13.8" hidden="false" customHeight="false" outlineLevel="0" collapsed="false">
      <c r="A324" s="149" t="n">
        <f aca="false">IF(C324&lt;&gt;"",ROW(A319),"")</f>
        <v>319</v>
      </c>
      <c r="B324" s="150" t="str">
        <f aca="false">HYPERLINK("https://www.google.com/maps/dir/-15.917302,-47.760003/-15.9220204,-47.7735508/data=!4m3!4m2!3e0!5i2")</f>
        <v>https://www.google.com/maps/dir/-15.917302,-47.760003/-15.9220204,-47.7735508/data=!4m3!4m2!3e0!5i2</v>
      </c>
      <c r="C324" s="151" t="s">
        <v>117</v>
      </c>
      <c r="D324" s="152" t="s">
        <v>112</v>
      </c>
      <c r="E324" s="152" t="s">
        <v>113</v>
      </c>
      <c r="F324" s="152" t="s">
        <v>117</v>
      </c>
      <c r="G324" s="152" t="s">
        <v>114</v>
      </c>
      <c r="H324" s="152" t="n">
        <v>160</v>
      </c>
      <c r="I324" s="152" t="s">
        <v>115</v>
      </c>
      <c r="J324" s="152" t="s">
        <v>6</v>
      </c>
      <c r="K324" s="152" t="s">
        <v>2522</v>
      </c>
      <c r="L324" s="152" t="s">
        <v>120</v>
      </c>
      <c r="M324" s="153" t="n">
        <f aca="false">79.02</f>
        <v>79.02</v>
      </c>
      <c r="N324" s="152" t="s">
        <v>1548</v>
      </c>
      <c r="O324" s="152" t="s">
        <v>1549</v>
      </c>
      <c r="P324" s="152" t="s">
        <v>1550</v>
      </c>
      <c r="Q324" s="152" t="s">
        <v>1551</v>
      </c>
      <c r="R324" s="154" t="s">
        <v>2753</v>
      </c>
      <c r="S324" s="154" t="s">
        <v>1593</v>
      </c>
      <c r="T324" s="155" t="s">
        <v>2227</v>
      </c>
      <c r="U324" s="152" t="str">
        <f aca="false">RIGHT(T324,7)</f>
        <v>008/037</v>
      </c>
      <c r="V324" s="152" t="s">
        <v>1555</v>
      </c>
      <c r="W324" s="156" t="n">
        <v>45882</v>
      </c>
      <c r="X324" s="152" t="s">
        <v>1594</v>
      </c>
      <c r="Y324" s="152" t="s">
        <v>2754</v>
      </c>
      <c r="Z324" s="152" t="s">
        <v>1557</v>
      </c>
      <c r="AA324" s="153" t="n">
        <v>4.1</v>
      </c>
      <c r="AB324" s="151" t="s">
        <v>2755</v>
      </c>
      <c r="AC324" s="151" t="s">
        <v>505</v>
      </c>
      <c r="AD324" s="151" t="str">
        <f aca="false">CONCATENATE($C324,$I324,$H324,$N324,$J324,$K324)</f>
        <v>TUBO PEADPEAD160VCAREDESZona03</v>
      </c>
      <c r="AE324" s="153" t="n">
        <f aca="false">IFERROR(INDEX(APOIO_REDES!$A:$W,MATCH($C324&amp;$I324&amp;$H324&amp;$N324&amp;$O324,APOIO_REDES!$W:$W,0),MATCH(AE$5,APOIO_REDES!$5:$5,0)),0)</f>
        <v>1.2</v>
      </c>
      <c r="AF324" s="153" t="n">
        <f aca="false">IFERROR(INDEX(APOIO_REDES!$A:$W,MATCH($C324&amp;$I324&amp;$H324&amp;$N324&amp;$O324,APOIO_REDES!$W:$W,0),MATCH(AF$5,APOIO_REDES!$5:$5,0)),0)</f>
        <v>1.46</v>
      </c>
      <c r="AG324" s="153" t="n">
        <f aca="false">IFERROR(INDEX(APOIO_REDES!$A:$W,MATCH($C324&amp;$I324&amp;$H324&amp;$N324&amp;$O324,APOIO_REDES!$W:$W,0),MATCH(AG$5,APOIO_REDES!$5:$5,0)),0)</f>
        <v>0.75</v>
      </c>
      <c r="AH324" s="153" t="n">
        <f aca="false">IFERROR(INDEX(APOIO_REDES!$A:$W,MATCH($C324&amp;$I324&amp;$H324&amp;$N324&amp;$O324,APOIO_REDES!$W:$W,0),MATCH(AH$5,APOIO_REDES!$5:$5,0)),0)</f>
        <v>0.1</v>
      </c>
      <c r="AI324" s="153" t="n">
        <f aca="false">IFERROR(IF($H324&lt;&gt;"",(((($H324/1000)/2)^2)*PI()*$M324),0),0)</f>
        <v>1.58879136951466</v>
      </c>
      <c r="AJ324" s="153" t="n">
        <f aca="false">IFERROR(IF(AND($H324&lt;&gt;"",$I324="FoFo",OR($N324="MND",$N324="VCA"),$Q324="LINEAR"),0,IF(AND($H324&lt;&gt;"",$I324="PEAD",$N324="VCA",$Q324="LINEAR"),($H324/1000)+0.3,IF(AND($H324&lt;&gt;"",$I324="PEAD",$N324="MND",$Q324="EMBOQUE"),0,IF(AND($H324&lt;&gt;"",$I324="PVC",$N324="VCA",$Q324="LINEAR"),($H324/1000)+0.2,IF(AND($H324&lt;&gt;"",$I324="PVC",$N324="MND",$Q324="EMBOQUE"),0,IF(AND($H324&lt;&gt;"",$I324="PEAD",$N324="VCA",$Q324="PREDIAL"),0,0)))))),0)</f>
        <v>0.46</v>
      </c>
      <c r="AK324" s="153" t="n">
        <f aca="false">IF(AA324&lt;&gt;"",AA324,0)</f>
        <v>4.1</v>
      </c>
      <c r="AL324" s="153" t="n">
        <f aca="false">IF(AND($N324="MND",$Q324="EMBOQUE"),$M324,IF(AND($N324="VCA",$Q324="LINEAR"),$M324,IF(AND($N324="VCA",$Q324="PREDIAL"),0,0)))</f>
        <v>79.02</v>
      </c>
      <c r="AM324" s="153" t="n">
        <f aca="false">IF(AND($N324="MND",$Q324="EMBOQUE"),$M324,IF(AND($N324="VCA",$Q324="LINEAR"),$M324,IF(AND($N324="VCA",$Q324="PREDIAL"),0,0)))</f>
        <v>79.02</v>
      </c>
      <c r="AN324" s="153" t="n">
        <f aca="false">ROUND(IF(AND($N324="VCA",$M324&lt;&gt;"",$Q324="LINEAR"),$M324/100,IF(AND($N324="MND",$M324&gt;100,$Q324="EMBOQUE"),$M324/100,0)),0)</f>
        <v>1</v>
      </c>
      <c r="AO324" s="153" t="n">
        <f aca="false">IF(AND($N324="MND",$Q324="EMBOQUE"),$AN324*2*2,IF(AND($N324="VCA",$Q324="LINEAR"),$M324*2,IF(AND($N324="VCA",$Q324="PREDIAL"),0,0)))</f>
        <v>158.04</v>
      </c>
      <c r="AP324" s="153" t="n">
        <f aca="false">IFERROR($M324*$AF324*$AG324,0)</f>
        <v>86.5269</v>
      </c>
      <c r="AQ324" s="153" t="n">
        <f aca="false">IFERROR(IF(AND($N324="VCA",$AH324&gt;0),$M324*$AG324*$AH324,0),0)</f>
        <v>5.9265</v>
      </c>
      <c r="AR324" s="153" t="n">
        <f aca="false">IFERROR(IF(AND($N324="VCA",$AJ324&gt;0),($M324*$AG324*$AJ324)-$AI324,0),0)</f>
        <v>25.6731086304853</v>
      </c>
      <c r="AS324" s="153" t="n">
        <f aca="false">IFERROR(IF(AND($N324="VCA",$AP324&gt;0),$AP324-$AI324-$AQ324-$AR324,0),0)</f>
        <v>53.3385</v>
      </c>
      <c r="AT324" s="153" t="n">
        <f aca="false">IFERROR(IF($N324="VCA",INDEX(APOIO_REDES!$A:$W,MATCH($C324&amp;$I324&amp;$H324&amp;$N324&amp;$O324,APOIO_REDES!$W:$W,0),MATCH(AT$5,APOIO_REDES!$5:$5,0)),0)*$AP324,0)</f>
        <v>0.941438282655107</v>
      </c>
      <c r="AU324" s="153" t="n">
        <f aca="false">IFERROR(IF($N324="VCA",INDEX(APOIO_REDES!$A:$W,MATCH($C324&amp;$I324&amp;$H324&amp;$N324&amp;$O324,APOIO_REDES!$W:$W,0),MATCH(AU$5,APOIO_REDES!$5:$5,0)),0)*$AP324,0)</f>
        <v>0.751807115146083</v>
      </c>
      <c r="AV324" s="153" t="n">
        <f aca="false">IFERROR(IF($N324="VCA",INDEX(APOIO_REDES!$A:$W,MATCH($C324&amp;$I324&amp;$H324&amp;$N324&amp;$O324,APOIO_REDES!$W:$W,0),MATCH(AV$5,APOIO_REDES!$5:$5,0)),0)*$AP324,0)</f>
        <v>0.104044202818961</v>
      </c>
      <c r="AW324" s="153" t="n">
        <f aca="false">IFERROR(IF($N324="VCA",INDEX(APOIO_REDES!$A:$W,MATCH($C324&amp;$I324&amp;$H324&amp;$N324&amp;$O324,APOIO_REDES!$W:$W,0),MATCH(AW$5,APOIO_REDES!$5:$5,0)),0)*$AP324,0)</f>
        <v>59.3927346031372</v>
      </c>
      <c r="AX324" s="153" t="n">
        <f aca="false">IFERROR(IF($N324="VCA",INDEX(APOIO_REDES!$A:$W,MATCH($C324&amp;$I324&amp;$H324&amp;$N324&amp;$O324,APOIO_REDES!$W:$W,0),MATCH(AX$5,APOIO_REDES!$5:$5,0)),0)*$AP324,0)</f>
        <v>8.21978528566721</v>
      </c>
      <c r="AY324" s="153" t="n">
        <f aca="false">IFERROR(IF($N324="VCA",INDEX(APOIO_REDES!$A:$W,MATCH($C324&amp;$I324&amp;$H324&amp;$N324&amp;$O324,APOIO_REDES!$W:$W,0),MATCH(AY$5,APOIO_REDES!$5:$5,0)),0)*$AP324,0)</f>
        <v>15.0361331384539</v>
      </c>
      <c r="AZ324" s="153" t="n">
        <f aca="false">IFERROR(IF($N324="VCA",INDEX(APOIO_REDES!$A:$W,MATCH($C324&amp;$I324&amp;$H324&amp;$N324&amp;$O324,APOIO_REDES!$W:$W,0),MATCH(AZ$5,APOIO_REDES!$5:$5,0)),0)*$AP324,0)</f>
        <v>2.08095737212154</v>
      </c>
      <c r="BA324" s="153" t="n">
        <f aca="false">IFERROR(IF(AND($N324="VCA",$Q324="LINEAR"),INDEX(APOIO_REDES!$A:$W,MATCH($C324&amp;$I324&amp;$H324&amp;$N324&amp;$O324,APOIO_REDES!$W:$W,0),MATCH(BA$5,APOIO_REDES!$5:$5,0)),IF(AND($N324="MND",$Q324="EMBOQUE"),INDEX(APOIO_REDES!$A:$W,MATCH($C324&amp;$I324&amp;$H324&amp;$N324&amp;$O324,APOIO_REDES!$W:$W,0),MATCH(BA$5,APOIO_REDES!$5:$5,0)),0))*$M324/10,0)</f>
        <v>6.36881267835424</v>
      </c>
      <c r="BB324" s="153" t="n">
        <f aca="false">IFERROR(IF($N324="VCA",INDEX(APOIO_REDES!$A:$W,MATCH($C324&amp;$I324&amp;$H324&amp;$N324&amp;$O324,APOIO_REDES!$W:$W,0),MATCH(BB$5,APOIO_REDES!$5:$5,0)),0)*($AI324+$AQ324+$AR324),0)</f>
        <v>32.827300384735</v>
      </c>
      <c r="BC324" s="153" t="n">
        <f aca="false">IFERROR(IF($N324="VCA",INDEX(APOIO_REDES!$A:$W,MATCH($C324&amp;$I324&amp;$H324&amp;$N324&amp;$O324,APOIO_REDES!$W:$W,0),MATCH(BC$5,APOIO_REDES!$5:$5,0)),0)*($AI324+$AQ324+$AR324),0)</f>
        <v>0.361099615264973</v>
      </c>
      <c r="BD324" s="153" t="n">
        <f aca="false">IF(AND($N324="VCA",$AF324&gt;=1.25,$AF324&lt;1.5),$M324*$AF324*2,0)</f>
        <v>230.7384</v>
      </c>
      <c r="BE324" s="153" t="n">
        <f aca="false">IF(AND($N324="VCA",$AF324&gt;=1.5,$AF324&lt;3),$M324*$AF324*2,0)</f>
        <v>0</v>
      </c>
      <c r="BF324" s="153" t="n">
        <f aca="false">IF(AND($N324="VCA",$AF324&gt;=3),$M324*$AF324*2,0)</f>
        <v>0</v>
      </c>
      <c r="BG324" s="153" t="n">
        <f aca="false">($BB324+$BC324)*$AK324</f>
        <v>136.07244</v>
      </c>
      <c r="BH324" s="153" t="n">
        <f aca="false">IF(AND($M324&lt;&gt;"",$N324="VCA",$Q324="LINEAR"),($M324*2)/100,IF(AND($M324&lt;&gt;"",$N324="MND",$Q324="EMBOQUE"),($AN324*2)/100,0))</f>
        <v>1.5804</v>
      </c>
      <c r="BI324" s="153" t="n">
        <f aca="false">IF(AND($M324&lt;&gt;"",$N324="VCA",$Q324="LINEAR"),$M324,IF(AND($M324&lt;&gt;"",$N324="MND",$Q324="EMBOQUE"),$AN324*2,0))</f>
        <v>79.02</v>
      </c>
      <c r="BJ324" s="153" t="n">
        <f aca="false">IF(AND($M324&lt;&gt;"",$N324="VCA",$Q324="LINEAR"),($M324*6.8)/100,IF(AND($M324&lt;&gt;"",$N324="MND",$Q324="EMBOQUE"),($AN324*2*6.8)/100,0))</f>
        <v>5.37336</v>
      </c>
      <c r="BK324" s="153" t="n">
        <f aca="false">IF(AND($M324&lt;&gt;"",$N324="VCA",$Q324="LINEAR"),($M324*2.5)/50,IF(AND($M324&lt;&gt;"",$N324="MND",$Q324="EMBOQUE"),($AN324*2*2.5)/50,0))</f>
        <v>3.951</v>
      </c>
      <c r="BL324" s="157" t="str">
        <f aca="false">K324&amp;J324</f>
        <v>Zona03REDES</v>
      </c>
      <c r="BM324" s="152" t="s">
        <v>2526</v>
      </c>
      <c r="BN324" s="152" t="s">
        <v>1560</v>
      </c>
      <c r="BO324" s="152" t="s">
        <v>2231</v>
      </c>
      <c r="BP324" s="152" t="s">
        <v>2751</v>
      </c>
      <c r="BQ324" s="152" t="s">
        <v>2743</v>
      </c>
      <c r="BR324" s="152" t="s">
        <v>2756</v>
      </c>
      <c r="BS324" s="152" t="n">
        <v>203039.422</v>
      </c>
      <c r="BT324" s="152" t="n">
        <v>8237717.384</v>
      </c>
      <c r="BU324" s="152" t="n">
        <v>202972.103</v>
      </c>
      <c r="BV324" s="152" t="n">
        <v>8237758.652</v>
      </c>
      <c r="BW324" s="152" t="n">
        <v>-15.9218345</v>
      </c>
      <c r="BX324" s="152" t="n">
        <v>-47.7738654</v>
      </c>
      <c r="BY324" s="152" t="s">
        <v>2751</v>
      </c>
    </row>
    <row r="325" customFormat="false" ht="13.8" hidden="false" customHeight="false" outlineLevel="0" collapsed="false">
      <c r="A325" s="149" t="n">
        <f aca="false">IF(C325&lt;&gt;"",ROW(A320),"")</f>
        <v>320</v>
      </c>
      <c r="B325" s="150" t="str">
        <f aca="false">HYPERLINK("https://www.google.com/maps/dir/-15.917302,-47.760003/-15.9216397,-47.7741739/data=!4m3!4m2!3e0!5i2")</f>
        <v>https://www.google.com/maps/dir/-15.917302,-47.760003/-15.9216397,-47.7741739/data=!4m3!4m2!3e0!5i2</v>
      </c>
      <c r="C325" s="151" t="s">
        <v>117</v>
      </c>
      <c r="D325" s="152" t="s">
        <v>112</v>
      </c>
      <c r="E325" s="152" t="s">
        <v>113</v>
      </c>
      <c r="F325" s="152" t="s">
        <v>117</v>
      </c>
      <c r="G325" s="152" t="s">
        <v>114</v>
      </c>
      <c r="H325" s="152" t="n">
        <v>250</v>
      </c>
      <c r="I325" s="152" t="s">
        <v>115</v>
      </c>
      <c r="J325" s="152" t="s">
        <v>6</v>
      </c>
      <c r="K325" s="152" t="s">
        <v>2522</v>
      </c>
      <c r="L325" s="152" t="s">
        <v>120</v>
      </c>
      <c r="M325" s="153" t="n">
        <f aca="false">61.68</f>
        <v>61.68</v>
      </c>
      <c r="N325" s="152" t="s">
        <v>1548</v>
      </c>
      <c r="O325" s="152" t="s">
        <v>1549</v>
      </c>
      <c r="P325" s="152" t="s">
        <v>1550</v>
      </c>
      <c r="Q325" s="152" t="s">
        <v>1551</v>
      </c>
      <c r="R325" s="154" t="s">
        <v>2757</v>
      </c>
      <c r="S325" s="154" t="s">
        <v>1593</v>
      </c>
      <c r="T325" s="155" t="s">
        <v>2227</v>
      </c>
      <c r="U325" s="152" t="str">
        <f aca="false">RIGHT(T325,7)</f>
        <v>008/037</v>
      </c>
      <c r="V325" s="152" t="s">
        <v>1555</v>
      </c>
      <c r="W325" s="156" t="n">
        <v>45882</v>
      </c>
      <c r="X325" s="152" t="s">
        <v>1594</v>
      </c>
      <c r="Y325" s="152" t="s">
        <v>2754</v>
      </c>
      <c r="Z325" s="152" t="s">
        <v>1557</v>
      </c>
      <c r="AA325" s="153" t="n">
        <v>4</v>
      </c>
      <c r="AB325" s="151" t="s">
        <v>2758</v>
      </c>
      <c r="AC325" s="151" t="s">
        <v>511</v>
      </c>
      <c r="AD325" s="151" t="str">
        <f aca="false">CONCATENATE($C325,$I325,$H325,$N325,$J325,$K325)</f>
        <v>TUBO PEADPEAD250VCAREDESZona03</v>
      </c>
      <c r="AE325" s="153" t="n">
        <f aca="false">IFERROR(INDEX(APOIO_REDES!$A:$W,MATCH($C325&amp;$I325&amp;$H325&amp;$N325&amp;$O325,APOIO_REDES!$W:$W,0),MATCH(AE$5,APOIO_REDES!$5:$5,0)),0)</f>
        <v>1.2</v>
      </c>
      <c r="AF325" s="153" t="n">
        <f aca="false">IFERROR(INDEX(APOIO_REDES!$A:$W,MATCH($C325&amp;$I325&amp;$H325&amp;$N325&amp;$O325,APOIO_REDES!$W:$W,0),MATCH(AF$5,APOIO_REDES!$5:$5,0)),0)</f>
        <v>1.55</v>
      </c>
      <c r="AG325" s="153" t="n">
        <f aca="false">IFERROR(INDEX(APOIO_REDES!$A:$W,MATCH($C325&amp;$I325&amp;$H325&amp;$N325&amp;$O325,APOIO_REDES!$W:$W,0),MATCH(AG$5,APOIO_REDES!$5:$5,0)),0)</f>
        <v>0.85</v>
      </c>
      <c r="AH325" s="153" t="n">
        <f aca="false">IFERROR(INDEX(APOIO_REDES!$A:$W,MATCH($C325&amp;$I325&amp;$H325&amp;$N325&amp;$O325,APOIO_REDES!$W:$W,0),MATCH(AH$5,APOIO_REDES!$5:$5,0)),0)</f>
        <v>0.1</v>
      </c>
      <c r="AI325" s="153" t="n">
        <f aca="false">IFERROR(IF($H325&lt;&gt;"",(((($H325/1000)/2)^2)*PI()*$M325),0),0)</f>
        <v>3.02770991989716</v>
      </c>
      <c r="AJ325" s="153" t="n">
        <f aca="false">IFERROR(IF(AND($H325&lt;&gt;"",$I325="FoFo",OR($N325="MND",$N325="VCA"),$Q325="LINEAR"),0,IF(AND($H325&lt;&gt;"",$I325="PEAD",$N325="VCA",$Q325="LINEAR"),($H325/1000)+0.3,IF(AND($H325&lt;&gt;"",$I325="PEAD",$N325="MND",$Q325="EMBOQUE"),0,IF(AND($H325&lt;&gt;"",$I325="PVC",$N325="VCA",$Q325="LINEAR"),($H325/1000)+0.2,IF(AND($H325&lt;&gt;"",$I325="PVC",$N325="MND",$Q325="EMBOQUE"),0,IF(AND($H325&lt;&gt;"",$I325="PEAD",$N325="VCA",$Q325="PREDIAL"),0,0)))))),0)</f>
        <v>0.55</v>
      </c>
      <c r="AK325" s="153" t="n">
        <f aca="false">IF(AA325&lt;&gt;"",AA325,0)</f>
        <v>4</v>
      </c>
      <c r="AL325" s="153" t="n">
        <f aca="false">IF(AND($N325="MND",$Q325="EMBOQUE"),$M325,IF(AND($N325="VCA",$Q325="LINEAR"),$M325,IF(AND($N325="VCA",$Q325="PREDIAL"),0,0)))</f>
        <v>61.68</v>
      </c>
      <c r="AM325" s="153" t="n">
        <f aca="false">IF(AND($N325="MND",$Q325="EMBOQUE"),$M325,IF(AND($N325="VCA",$Q325="LINEAR"),$M325,IF(AND($N325="VCA",$Q325="PREDIAL"),0,0)))</f>
        <v>61.68</v>
      </c>
      <c r="AN325" s="153" t="n">
        <f aca="false">ROUND(IF(AND($N325="VCA",$M325&lt;&gt;"",$Q325="LINEAR"),$M325/100,IF(AND($N325="MND",$M325&gt;100,$Q325="EMBOQUE"),$M325/100,0)),0)</f>
        <v>1</v>
      </c>
      <c r="AO325" s="153" t="n">
        <f aca="false">IF(AND($N325="MND",$Q325="EMBOQUE"),$AN325*2*2,IF(AND($N325="VCA",$Q325="LINEAR"),$M325*2,IF(AND($N325="VCA",$Q325="PREDIAL"),0,0)))</f>
        <v>123.36</v>
      </c>
      <c r="AP325" s="153" t="n">
        <f aca="false">IFERROR($M325*$AF325*$AG325,0)</f>
        <v>81.2634</v>
      </c>
      <c r="AQ325" s="153" t="n">
        <f aca="false">IFERROR(IF(AND($N325="VCA",$AH325&gt;0),$M325*$AG325*$AH325,0),0)</f>
        <v>5.2428</v>
      </c>
      <c r="AR325" s="153" t="n">
        <f aca="false">IFERROR(IF(AND($N325="VCA",$AJ325&gt;0),($M325*$AG325*$AJ325)-$AI325,0),0)</f>
        <v>25.8076900801028</v>
      </c>
      <c r="AS325" s="153" t="n">
        <f aca="false">IFERROR(IF(AND($N325="VCA",$AP325&gt;0),$AP325-$AI325-$AQ325-$AR325,0),0)</f>
        <v>47.1852</v>
      </c>
      <c r="AT325" s="153" t="n">
        <f aca="false">IFERROR(IF($N325="VCA",INDEX(APOIO_REDES!$A:$W,MATCH($C325&amp;$I325&amp;$H325&amp;$N325&amp;$O325,APOIO_REDES!$W:$W,0),MATCH(AT$5,APOIO_REDES!$5:$5,0)),0)*$AP325,0)</f>
        <v>0.884169844738631</v>
      </c>
      <c r="AU325" s="153" t="n">
        <f aca="false">IFERROR(IF($N325="VCA",INDEX(APOIO_REDES!$A:$W,MATCH($C325&amp;$I325&amp;$H325&amp;$N325&amp;$O325,APOIO_REDES!$W:$W,0),MATCH(AU$5,APOIO_REDES!$5:$5,0)),0)*$AP325,0)</f>
        <v>0.706074091651986</v>
      </c>
      <c r="AV325" s="153" t="n">
        <f aca="false">IFERROR(IF($N325="VCA",INDEX(APOIO_REDES!$A:$W,MATCH($C325&amp;$I325&amp;$H325&amp;$N325&amp;$O325,APOIO_REDES!$W:$W,0),MATCH(AV$5,APOIO_REDES!$5:$5,0)),0)*$AP325,0)</f>
        <v>0.097715111385689</v>
      </c>
      <c r="AW325" s="153" t="n">
        <f aca="false">IFERROR(IF($N325="VCA",INDEX(APOIO_REDES!$A:$W,MATCH($C325&amp;$I325&amp;$H325&amp;$N325&amp;$O325,APOIO_REDES!$W:$W,0),MATCH(AW$5,APOIO_REDES!$5:$5,0)),0)*$AP325,0)</f>
        <v>55.7798274195491</v>
      </c>
      <c r="AX325" s="153" t="n">
        <f aca="false">IFERROR(IF($N325="VCA",INDEX(APOIO_REDES!$A:$W,MATCH($C325&amp;$I325&amp;$H325&amp;$N325&amp;$O325,APOIO_REDES!$W:$W,0),MATCH(AX$5,APOIO_REDES!$5:$5,0)),0)*$AP325,0)</f>
        <v>7.71976922301954</v>
      </c>
      <c r="AY325" s="153" t="n">
        <f aca="false">IFERROR(IF($N325="VCA",INDEX(APOIO_REDES!$A:$W,MATCH($C325&amp;$I325&amp;$H325&amp;$N325&amp;$O325,APOIO_REDES!$W:$W,0),MATCH(AY$5,APOIO_REDES!$5:$5,0)),0)*$AP325,0)</f>
        <v>14.1214732260538</v>
      </c>
      <c r="AZ325" s="153" t="n">
        <f aca="false">IFERROR(IF($N325="VCA",INDEX(APOIO_REDES!$A:$W,MATCH($C325&amp;$I325&amp;$H325&amp;$N325&amp;$O325,APOIO_REDES!$W:$W,0),MATCH(AZ$5,APOIO_REDES!$5:$5,0)),0)*$AP325,0)</f>
        <v>1.95437108360131</v>
      </c>
      <c r="BA325" s="153" t="n">
        <f aca="false">IFERROR(IF(AND($N325="VCA",$Q325="LINEAR"),INDEX(APOIO_REDES!$A:$W,MATCH($C325&amp;$I325&amp;$H325&amp;$N325&amp;$O325,APOIO_REDES!$W:$W,0),MATCH(BA$5,APOIO_REDES!$5:$5,0)),IF(AND($N325="MND",$Q325="EMBOQUE"),INDEX(APOIO_REDES!$A:$W,MATCH($C325&amp;$I325&amp;$H325&amp;$N325&amp;$O325,APOIO_REDES!$W:$W,0),MATCH(BA$5,APOIO_REDES!$5:$5,0)),0))*$M325/10,0)</f>
        <v>4.97125241712085</v>
      </c>
      <c r="BB325" s="153" t="n">
        <f aca="false">IFERROR(IF($N325="VCA",INDEX(APOIO_REDES!$A:$W,MATCH($C325&amp;$I325&amp;$H325&amp;$N325&amp;$O325,APOIO_REDES!$W:$W,0),MATCH(BB$5,APOIO_REDES!$5:$5,0)),0)*($AI325+$AQ325+$AR325),0)</f>
        <v>33.7074190973677</v>
      </c>
      <c r="BC325" s="153" t="n">
        <f aca="false">IFERROR(IF($N325="VCA",INDEX(APOIO_REDES!$A:$W,MATCH($C325&amp;$I325&amp;$H325&amp;$N325&amp;$O325,APOIO_REDES!$W:$W,0),MATCH(BC$5,APOIO_REDES!$5:$5,0)),0)*($AI325+$AQ325+$AR325),0)</f>
        <v>0.370780902632329</v>
      </c>
      <c r="BD325" s="153" t="n">
        <f aca="false">IF(AND($N325="VCA",$AF325&gt;=1.25,$AF325&lt;1.5),$M325*$AF325*2,0)</f>
        <v>0</v>
      </c>
      <c r="BE325" s="153" t="n">
        <f aca="false">IF(AND($N325="VCA",$AF325&gt;=1.5,$AF325&lt;3),$M325*$AF325*2,0)</f>
        <v>191.208</v>
      </c>
      <c r="BF325" s="153" t="n">
        <f aca="false">IF(AND($N325="VCA",$AF325&gt;=3),$M325*$AF325*2,0)</f>
        <v>0</v>
      </c>
      <c r="BG325" s="153" t="n">
        <f aca="false">($BB325+$BC325)*$AK325</f>
        <v>136.3128</v>
      </c>
      <c r="BH325" s="153" t="n">
        <f aca="false">IF(AND($M325&lt;&gt;"",$N325="VCA",$Q325="LINEAR"),($M325*2)/100,IF(AND($M325&lt;&gt;"",$N325="MND",$Q325="EMBOQUE"),($AN325*2)/100,0))</f>
        <v>1.2336</v>
      </c>
      <c r="BI325" s="153" t="n">
        <f aca="false">IF(AND($M325&lt;&gt;"",$N325="VCA",$Q325="LINEAR"),$M325,IF(AND($M325&lt;&gt;"",$N325="MND",$Q325="EMBOQUE"),$AN325*2,0))</f>
        <v>61.68</v>
      </c>
      <c r="BJ325" s="153" t="n">
        <f aca="false">IF(AND($M325&lt;&gt;"",$N325="VCA",$Q325="LINEAR"),($M325*6.8)/100,IF(AND($M325&lt;&gt;"",$N325="MND",$Q325="EMBOQUE"),($AN325*2*6.8)/100,0))</f>
        <v>4.19424</v>
      </c>
      <c r="BK325" s="153" t="n">
        <f aca="false">IF(AND($M325&lt;&gt;"",$N325="VCA",$Q325="LINEAR"),($M325*2.5)/50,IF(AND($M325&lt;&gt;"",$N325="MND",$Q325="EMBOQUE"),($AN325*2*2.5)/50,0))</f>
        <v>3.084</v>
      </c>
      <c r="BL325" s="157" t="str">
        <f aca="false">K325&amp;J325</f>
        <v>Zona03REDES</v>
      </c>
      <c r="BM325" s="152" t="s">
        <v>2526</v>
      </c>
      <c r="BN325" s="152" t="s">
        <v>1560</v>
      </c>
      <c r="BO325" s="152" t="s">
        <v>2231</v>
      </c>
      <c r="BP325" s="152" t="s">
        <v>2743</v>
      </c>
      <c r="BQ325" s="152" t="s">
        <v>2759</v>
      </c>
      <c r="BR325" s="152" t="s">
        <v>2760</v>
      </c>
      <c r="BS325" s="152" t="n">
        <v>202972.103</v>
      </c>
      <c r="BT325" s="152" t="n">
        <v>8237758.652</v>
      </c>
      <c r="BU325" s="152" t="n">
        <v>202937.676</v>
      </c>
      <c r="BV325" s="152" t="n">
        <v>8237707.503</v>
      </c>
      <c r="BW325" s="152" t="n">
        <v>-15.9218718</v>
      </c>
      <c r="BX325" s="152" t="n">
        <v>-47.7743329</v>
      </c>
      <c r="BY325" s="152" t="s">
        <v>2743</v>
      </c>
    </row>
    <row r="326" customFormat="false" ht="13.8" hidden="false" customHeight="false" outlineLevel="0" collapsed="false">
      <c r="A326" s="149" t="n">
        <f aca="false">IF(C326&lt;&gt;"",ROW(A321),"")</f>
        <v>321</v>
      </c>
      <c r="B326" s="150" t="str">
        <f aca="false">HYPERLINK("https://www.google.com/maps/dir/-15.917302,-47.760003/-15.9220975,-47.7745015/data=!4m3!4m2!3e0!5i1")</f>
        <v>https://www.google.com/maps/dir/-15.917302,-47.760003/-15.9220975,-47.7745015/data=!4m3!4m2!3e0!5i1</v>
      </c>
      <c r="C326" s="151" t="s">
        <v>117</v>
      </c>
      <c r="D326" s="152" t="s">
        <v>112</v>
      </c>
      <c r="E326" s="152" t="s">
        <v>113</v>
      </c>
      <c r="F326" s="152" t="s">
        <v>117</v>
      </c>
      <c r="G326" s="152" t="s">
        <v>114</v>
      </c>
      <c r="H326" s="152" t="n">
        <v>250</v>
      </c>
      <c r="I326" s="152" t="s">
        <v>115</v>
      </c>
      <c r="J326" s="152" t="s">
        <v>6</v>
      </c>
      <c r="K326" s="152" t="s">
        <v>2522</v>
      </c>
      <c r="L326" s="152" t="s">
        <v>120</v>
      </c>
      <c r="M326" s="153" t="n">
        <f aca="false">6.72</f>
        <v>6.72</v>
      </c>
      <c r="N326" s="152" t="s">
        <v>1548</v>
      </c>
      <c r="O326" s="152" t="s">
        <v>1549</v>
      </c>
      <c r="P326" s="152" t="s">
        <v>1550</v>
      </c>
      <c r="Q326" s="152" t="s">
        <v>1551</v>
      </c>
      <c r="R326" s="154" t="s">
        <v>2761</v>
      </c>
      <c r="S326" s="154" t="s">
        <v>1593</v>
      </c>
      <c r="T326" s="155" t="s">
        <v>2227</v>
      </c>
      <c r="U326" s="152" t="str">
        <f aca="false">RIGHT(T326,7)</f>
        <v>008/037</v>
      </c>
      <c r="V326" s="152" t="s">
        <v>1555</v>
      </c>
      <c r="W326" s="156" t="n">
        <v>45882</v>
      </c>
      <c r="X326" s="152" t="s">
        <v>1594</v>
      </c>
      <c r="Y326" s="152" t="s">
        <v>2754</v>
      </c>
      <c r="Z326" s="152" t="s">
        <v>1557</v>
      </c>
      <c r="AA326" s="153" t="n">
        <v>3.9</v>
      </c>
      <c r="AB326" s="151" t="s">
        <v>2762</v>
      </c>
      <c r="AC326" s="151" t="s">
        <v>511</v>
      </c>
      <c r="AD326" s="151" t="str">
        <f aca="false">CONCATENATE($C326,$I326,$H326,$N326,$J326,$K326)</f>
        <v>TUBO PEADPEAD250VCAREDESZona03</v>
      </c>
      <c r="AE326" s="153" t="n">
        <f aca="false">IFERROR(INDEX(APOIO_REDES!$A:$W,MATCH($C326&amp;$I326&amp;$H326&amp;$N326&amp;$O326,APOIO_REDES!$W:$W,0),MATCH(AE$5,APOIO_REDES!$5:$5,0)),0)</f>
        <v>1.2</v>
      </c>
      <c r="AF326" s="153" t="n">
        <f aca="false">IFERROR(INDEX(APOIO_REDES!$A:$W,MATCH($C326&amp;$I326&amp;$H326&amp;$N326&amp;$O326,APOIO_REDES!$W:$W,0),MATCH(AF$5,APOIO_REDES!$5:$5,0)),0)</f>
        <v>1.55</v>
      </c>
      <c r="AG326" s="153" t="n">
        <f aca="false">IFERROR(INDEX(APOIO_REDES!$A:$W,MATCH($C326&amp;$I326&amp;$H326&amp;$N326&amp;$O326,APOIO_REDES!$W:$W,0),MATCH(AG$5,APOIO_REDES!$5:$5,0)),0)</f>
        <v>0.85</v>
      </c>
      <c r="AH326" s="153" t="n">
        <f aca="false">IFERROR(INDEX(APOIO_REDES!$A:$W,MATCH($C326&amp;$I326&amp;$H326&amp;$N326&amp;$O326,APOIO_REDES!$W:$W,0),MATCH(AH$5,APOIO_REDES!$5:$5,0)),0)</f>
        <v>0.1</v>
      </c>
      <c r="AI326" s="153" t="n">
        <f aca="false">IFERROR(IF($H326&lt;&gt;"",(((($H326/1000)/2)^2)*PI()*$M326),0),0)</f>
        <v>0.329867228626928</v>
      </c>
      <c r="AJ326" s="153" t="n">
        <f aca="false">IFERROR(IF(AND($H326&lt;&gt;"",$I326="FoFo",OR($N326="MND",$N326="VCA"),$Q326="LINEAR"),0,IF(AND($H326&lt;&gt;"",$I326="PEAD",$N326="VCA",$Q326="LINEAR"),($H326/1000)+0.3,IF(AND($H326&lt;&gt;"",$I326="PEAD",$N326="MND",$Q326="EMBOQUE"),0,IF(AND($H326&lt;&gt;"",$I326="PVC",$N326="VCA",$Q326="LINEAR"),($H326/1000)+0.2,IF(AND($H326&lt;&gt;"",$I326="PVC",$N326="MND",$Q326="EMBOQUE"),0,IF(AND($H326&lt;&gt;"",$I326="PEAD",$N326="VCA",$Q326="PREDIAL"),0,0)))))),0)</f>
        <v>0.55</v>
      </c>
      <c r="AK326" s="153" t="n">
        <f aca="false">IF(AA326&lt;&gt;"",AA326,0)</f>
        <v>3.9</v>
      </c>
      <c r="AL326" s="153" t="n">
        <f aca="false">IF(AND($N326="MND",$Q326="EMBOQUE"),$M326,IF(AND($N326="VCA",$Q326="LINEAR"),$M326,IF(AND($N326="VCA",$Q326="PREDIAL"),0,0)))</f>
        <v>6.72</v>
      </c>
      <c r="AM326" s="153" t="n">
        <f aca="false">IF(AND($N326="MND",$Q326="EMBOQUE"),$M326,IF(AND($N326="VCA",$Q326="LINEAR"),$M326,IF(AND($N326="VCA",$Q326="PREDIAL"),0,0)))</f>
        <v>6.72</v>
      </c>
      <c r="AN326" s="153" t="n">
        <f aca="false">ROUND(IF(AND($N326="VCA",$M326&lt;&gt;"",$Q326="LINEAR"),$M326/100,IF(AND($N326="MND",$M326&gt;100,$Q326="EMBOQUE"),$M326/100,0)),0)</f>
        <v>0</v>
      </c>
      <c r="AO326" s="153" t="n">
        <f aca="false">IF(AND($N326="MND",$Q326="EMBOQUE"),$AN326*2*2,IF(AND($N326="VCA",$Q326="LINEAR"),$M326*2,IF(AND($N326="VCA",$Q326="PREDIAL"),0,0)))</f>
        <v>13.44</v>
      </c>
      <c r="AP326" s="153" t="n">
        <f aca="false">IFERROR($M326*$AF326*$AG326,0)</f>
        <v>8.8536</v>
      </c>
      <c r="AQ326" s="153" t="n">
        <f aca="false">IFERROR(IF(AND($N326="VCA",$AH326&gt;0),$M326*$AG326*$AH326,0),0)</f>
        <v>0.5712</v>
      </c>
      <c r="AR326" s="153" t="n">
        <f aca="false">IFERROR(IF(AND($N326="VCA",$AJ326&gt;0),($M326*$AG326*$AJ326)-$AI326,0),0)</f>
        <v>2.81173277137307</v>
      </c>
      <c r="AS326" s="153" t="n">
        <f aca="false">IFERROR(IF(AND($N326="VCA",$AP326&gt;0),$AP326-$AI326-$AQ326-$AR326,0),0)</f>
        <v>5.1408</v>
      </c>
      <c r="AT326" s="153" t="n">
        <f aca="false">IFERROR(IF($N326="VCA",INDEX(APOIO_REDES!$A:$W,MATCH($C326&amp;$I326&amp;$H326&amp;$N326&amp;$O326,APOIO_REDES!$W:$W,0),MATCH(AT$5,APOIO_REDES!$5:$5,0)),0)*$AP326,0)</f>
        <v>0.0963297885318352</v>
      </c>
      <c r="AU326" s="153" t="n">
        <f aca="false">IFERROR(IF($N326="VCA",INDEX(APOIO_REDES!$A:$W,MATCH($C326&amp;$I326&amp;$H326&amp;$N326&amp;$O326,APOIO_REDES!$W:$W,0),MATCH(AU$5,APOIO_REDES!$5:$5,0)),0)*$AP326,0)</f>
        <v>0.0769263601799829</v>
      </c>
      <c r="AV326" s="153" t="n">
        <f aca="false">IFERROR(IF($N326="VCA",INDEX(APOIO_REDES!$A:$W,MATCH($C326&amp;$I326&amp;$H326&amp;$N326&amp;$O326,APOIO_REDES!$W:$W,0),MATCH(AV$5,APOIO_REDES!$5:$5,0)),0)*$AP326,0)</f>
        <v>0.0106460043533046</v>
      </c>
      <c r="AW326" s="153" t="n">
        <f aca="false">IFERROR(IF($N326="VCA",INDEX(APOIO_REDES!$A:$W,MATCH($C326&amp;$I326&amp;$H326&amp;$N326&amp;$O326,APOIO_REDES!$W:$W,0),MATCH(AW$5,APOIO_REDES!$5:$5,0)),0)*$AP326,0)</f>
        <v>6.07717964104037</v>
      </c>
      <c r="AX326" s="153" t="n">
        <f aca="false">IFERROR(IF($N326="VCA",INDEX(APOIO_REDES!$A:$W,MATCH($C326&amp;$I326&amp;$H326&amp;$N326&amp;$O326,APOIO_REDES!$W:$W,0),MATCH(AX$5,APOIO_REDES!$5:$5,0)),0)*$AP326,0)</f>
        <v>0.841064351146097</v>
      </c>
      <c r="AY326" s="153" t="n">
        <f aca="false">IFERROR(IF($N326="VCA",INDEX(APOIO_REDES!$A:$W,MATCH($C326&amp;$I326&amp;$H326&amp;$N326&amp;$O326,APOIO_REDES!$W:$W,0),MATCH(AY$5,APOIO_REDES!$5:$5,0)),0)*$AP326,0)</f>
        <v>1.53852626587356</v>
      </c>
      <c r="AZ326" s="153" t="n">
        <f aca="false">IFERROR(IF($N326="VCA",INDEX(APOIO_REDES!$A:$W,MATCH($C326&amp;$I326&amp;$H326&amp;$N326&amp;$O326,APOIO_REDES!$W:$W,0),MATCH(AZ$5,APOIO_REDES!$5:$5,0)),0)*$AP326,0)</f>
        <v>0.21292758887485</v>
      </c>
      <c r="BA326" s="153" t="n">
        <f aca="false">IFERROR(IF(AND($N326="VCA",$Q326="LINEAR"),INDEX(APOIO_REDES!$A:$W,MATCH($C326&amp;$I326&amp;$H326&amp;$N326&amp;$O326,APOIO_REDES!$W:$W,0),MATCH(BA$5,APOIO_REDES!$5:$5,0)),IF(AND($N326="MND",$Q326="EMBOQUE"),INDEX(APOIO_REDES!$A:$W,MATCH($C326&amp;$I326&amp;$H326&amp;$N326&amp;$O326,APOIO_REDES!$W:$W,0),MATCH(BA$5,APOIO_REDES!$5:$5,0)),0))*$M326/10,0)</f>
        <v>0.541615049336124</v>
      </c>
      <c r="BB326" s="153" t="n">
        <f aca="false">IFERROR(IF($N326="VCA",INDEX(APOIO_REDES!$A:$W,MATCH($C326&amp;$I326&amp;$H326&amp;$N326&amp;$O326,APOIO_REDES!$W:$W,0),MATCH(BB$5,APOIO_REDES!$5:$5,0)),0)*($AI326+$AQ326+$AR326),0)</f>
        <v>3.6724036370673</v>
      </c>
      <c r="BC326" s="153" t="n">
        <f aca="false">IFERROR(IF($N326="VCA",INDEX(APOIO_REDES!$A:$W,MATCH($C326&amp;$I326&amp;$H326&amp;$N326&amp;$O326,APOIO_REDES!$W:$W,0),MATCH(BC$5,APOIO_REDES!$5:$5,0)),0)*($AI326+$AQ326+$AR326),0)</f>
        <v>0.0403963629327051</v>
      </c>
      <c r="BD326" s="153" t="n">
        <f aca="false">IF(AND($N326="VCA",$AF326&gt;=1.25,$AF326&lt;1.5),$M326*$AF326*2,0)</f>
        <v>0</v>
      </c>
      <c r="BE326" s="153" t="n">
        <f aca="false">IF(AND($N326="VCA",$AF326&gt;=1.5,$AF326&lt;3),$M326*$AF326*2,0)</f>
        <v>20.832</v>
      </c>
      <c r="BF326" s="153" t="n">
        <f aca="false">IF(AND($N326="VCA",$AF326&gt;=3),$M326*$AF326*2,0)</f>
        <v>0</v>
      </c>
      <c r="BG326" s="153" t="n">
        <f aca="false">($BB326+$BC326)*$AK326</f>
        <v>14.47992</v>
      </c>
      <c r="BH326" s="153" t="n">
        <f aca="false">IF(AND($M326&lt;&gt;"",$N326="VCA",$Q326="LINEAR"),($M326*2)/100,IF(AND($M326&lt;&gt;"",$N326="MND",$Q326="EMBOQUE"),($AN326*2)/100,0))</f>
        <v>0.1344</v>
      </c>
      <c r="BI326" s="153" t="n">
        <f aca="false">IF(AND($M326&lt;&gt;"",$N326="VCA",$Q326="LINEAR"),$M326,IF(AND($M326&lt;&gt;"",$N326="MND",$Q326="EMBOQUE"),$AN326*2,0))</f>
        <v>6.72</v>
      </c>
      <c r="BJ326" s="153" t="n">
        <f aca="false">IF(AND($M326&lt;&gt;"",$N326="VCA",$Q326="LINEAR"),($M326*6.8)/100,IF(AND($M326&lt;&gt;"",$N326="MND",$Q326="EMBOQUE"),($AN326*2*6.8)/100,0))</f>
        <v>0.45696</v>
      </c>
      <c r="BK326" s="153" t="n">
        <f aca="false">IF(AND($M326&lt;&gt;"",$N326="VCA",$Q326="LINEAR"),($M326*2.5)/50,IF(AND($M326&lt;&gt;"",$N326="MND",$Q326="EMBOQUE"),($AN326*2*2.5)/50,0))</f>
        <v>0.336</v>
      </c>
      <c r="BL326" s="157" t="str">
        <f aca="false">K326&amp;J326</f>
        <v>Zona03REDES</v>
      </c>
      <c r="BM326" s="152" t="s">
        <v>2526</v>
      </c>
      <c r="BN326" s="152" t="s">
        <v>1560</v>
      </c>
      <c r="BO326" s="152" t="s">
        <v>2231</v>
      </c>
      <c r="BP326" s="152" t="s">
        <v>2759</v>
      </c>
      <c r="BQ326" s="152" t="s">
        <v>2763</v>
      </c>
      <c r="BR326" s="152" t="s">
        <v>2760</v>
      </c>
      <c r="BS326" s="152" t="n">
        <v>202937.676</v>
      </c>
      <c r="BT326" s="152" t="n">
        <v>8237707.503</v>
      </c>
      <c r="BU326" s="152" t="n">
        <v>202933.992</v>
      </c>
      <c r="BV326" s="152" t="n">
        <v>8237701.88</v>
      </c>
      <c r="BW326" s="152" t="n">
        <v>-15.9221224</v>
      </c>
      <c r="BX326" s="152" t="n">
        <v>-47.7745195</v>
      </c>
      <c r="BY326" s="152" t="s">
        <v>2759</v>
      </c>
    </row>
    <row r="327" customFormat="false" ht="13.8" hidden="false" customHeight="false" outlineLevel="0" collapsed="false">
      <c r="A327" s="149" t="n">
        <f aca="false">IF(C327&lt;&gt;"",ROW(A322),"")</f>
        <v>322</v>
      </c>
      <c r="B327" s="150" t="str">
        <f aca="false">HYPERLINK("https://www.google.com/maps/dir/-15.917302,-47.760003/-15.9221478,-47.7745366/data=!4m3!4m2!3e0!5i1")</f>
        <v>https://www.google.com/maps/dir/-15.917302,-47.760003/-15.9221478,-47.7745366/data=!4m3!4m2!3e0!5i1</v>
      </c>
      <c r="C327" s="151" t="s">
        <v>117</v>
      </c>
      <c r="D327" s="152" t="s">
        <v>112</v>
      </c>
      <c r="E327" s="152" t="s">
        <v>113</v>
      </c>
      <c r="F327" s="152" t="s">
        <v>117</v>
      </c>
      <c r="G327" s="152" t="s">
        <v>114</v>
      </c>
      <c r="H327" s="152" t="n">
        <v>250</v>
      </c>
      <c r="I327" s="152" t="s">
        <v>115</v>
      </c>
      <c r="J327" s="152" t="s">
        <v>6</v>
      </c>
      <c r="K327" s="152" t="s">
        <v>2522</v>
      </c>
      <c r="L327" s="152" t="s">
        <v>120</v>
      </c>
      <c r="M327" s="153" t="n">
        <f aca="false">2.07</f>
        <v>2.07</v>
      </c>
      <c r="N327" s="152" t="s">
        <v>1548</v>
      </c>
      <c r="O327" s="152" t="s">
        <v>1549</v>
      </c>
      <c r="P327" s="152" t="s">
        <v>1550</v>
      </c>
      <c r="Q327" s="152" t="s">
        <v>1551</v>
      </c>
      <c r="R327" s="154" t="s">
        <v>2764</v>
      </c>
      <c r="S327" s="154" t="s">
        <v>1593</v>
      </c>
      <c r="T327" s="155" t="s">
        <v>2227</v>
      </c>
      <c r="U327" s="152" t="str">
        <f aca="false">RIGHT(T327,7)</f>
        <v>008/037</v>
      </c>
      <c r="V327" s="152" t="s">
        <v>1555</v>
      </c>
      <c r="W327" s="156" t="n">
        <v>45882</v>
      </c>
      <c r="X327" s="152" t="s">
        <v>1594</v>
      </c>
      <c r="Y327" s="152" t="s">
        <v>2754</v>
      </c>
      <c r="Z327" s="152" t="s">
        <v>1557</v>
      </c>
      <c r="AA327" s="153" t="n">
        <v>3.9</v>
      </c>
      <c r="AB327" s="151" t="s">
        <v>2765</v>
      </c>
      <c r="AC327" s="151" t="s">
        <v>511</v>
      </c>
      <c r="AD327" s="151" t="str">
        <f aca="false">CONCATENATE($C327,$I327,$H327,$N327,$J327,$K327)</f>
        <v>TUBO PEADPEAD250VCAREDESZona03</v>
      </c>
      <c r="AE327" s="153" t="n">
        <f aca="false">IFERROR(INDEX(APOIO_REDES!$A:$W,MATCH($C327&amp;$I327&amp;$H327&amp;$N327&amp;$O327,APOIO_REDES!$W:$W,0),MATCH(AE$5,APOIO_REDES!$5:$5,0)),0)</f>
        <v>1.2</v>
      </c>
      <c r="AF327" s="153" t="n">
        <f aca="false">IFERROR(INDEX(APOIO_REDES!$A:$W,MATCH($C327&amp;$I327&amp;$H327&amp;$N327&amp;$O327,APOIO_REDES!$W:$W,0),MATCH(AF$5,APOIO_REDES!$5:$5,0)),0)</f>
        <v>1.55</v>
      </c>
      <c r="AG327" s="153" t="n">
        <f aca="false">IFERROR(INDEX(APOIO_REDES!$A:$W,MATCH($C327&amp;$I327&amp;$H327&amp;$N327&amp;$O327,APOIO_REDES!$W:$W,0),MATCH(AG$5,APOIO_REDES!$5:$5,0)),0)</f>
        <v>0.85</v>
      </c>
      <c r="AH327" s="153" t="n">
        <f aca="false">IFERROR(INDEX(APOIO_REDES!$A:$W,MATCH($C327&amp;$I327&amp;$H327&amp;$N327&amp;$O327,APOIO_REDES!$W:$W,0),MATCH(AH$5,APOIO_REDES!$5:$5,0)),0)</f>
        <v>0.1</v>
      </c>
      <c r="AI327" s="153" t="n">
        <f aca="false">IFERROR(IF($H327&lt;&gt;"",(((($H327/1000)/2)^2)*PI()*$M327),0),0)</f>
        <v>0.101610887389545</v>
      </c>
      <c r="AJ327" s="153" t="n">
        <f aca="false">IFERROR(IF(AND($H327&lt;&gt;"",$I327="FoFo",OR($N327="MND",$N327="VCA"),$Q327="LINEAR"),0,IF(AND($H327&lt;&gt;"",$I327="PEAD",$N327="VCA",$Q327="LINEAR"),($H327/1000)+0.3,IF(AND($H327&lt;&gt;"",$I327="PEAD",$N327="MND",$Q327="EMBOQUE"),0,IF(AND($H327&lt;&gt;"",$I327="PVC",$N327="VCA",$Q327="LINEAR"),($H327/1000)+0.2,IF(AND($H327&lt;&gt;"",$I327="PVC",$N327="MND",$Q327="EMBOQUE"),0,IF(AND($H327&lt;&gt;"",$I327="PEAD",$N327="VCA",$Q327="PREDIAL"),0,0)))))),0)</f>
        <v>0.55</v>
      </c>
      <c r="AK327" s="153" t="n">
        <f aca="false">IF(AA327&lt;&gt;"",AA327,0)</f>
        <v>3.9</v>
      </c>
      <c r="AL327" s="153" t="n">
        <f aca="false">IF(AND($N327="MND",$Q327="EMBOQUE"),$M327,IF(AND($N327="VCA",$Q327="LINEAR"),$M327,IF(AND($N327="VCA",$Q327="PREDIAL"),0,0)))</f>
        <v>2.07</v>
      </c>
      <c r="AM327" s="153" t="n">
        <f aca="false">IF(AND($N327="MND",$Q327="EMBOQUE"),$M327,IF(AND($N327="VCA",$Q327="LINEAR"),$M327,IF(AND($N327="VCA",$Q327="PREDIAL"),0,0)))</f>
        <v>2.07</v>
      </c>
      <c r="AN327" s="153" t="n">
        <f aca="false">ROUND(IF(AND($N327="VCA",$M327&lt;&gt;"",$Q327="LINEAR"),$M327/100,IF(AND($N327="MND",$M327&gt;100,$Q327="EMBOQUE"),$M327/100,0)),0)</f>
        <v>0</v>
      </c>
      <c r="AO327" s="153" t="n">
        <f aca="false">IF(AND($N327="MND",$Q327="EMBOQUE"),$AN327*2*2,IF(AND($N327="VCA",$Q327="LINEAR"),$M327*2,IF(AND($N327="VCA",$Q327="PREDIAL"),0,0)))</f>
        <v>4.14</v>
      </c>
      <c r="AP327" s="153" t="n">
        <f aca="false">IFERROR($M327*$AF327*$AG327,0)</f>
        <v>2.727225</v>
      </c>
      <c r="AQ327" s="153" t="n">
        <f aca="false">IFERROR(IF(AND($N327="VCA",$AH327&gt;0),$M327*$AG327*$AH327,0),0)</f>
        <v>0.17595</v>
      </c>
      <c r="AR327" s="153" t="n">
        <f aca="false">IFERROR(IF(AND($N327="VCA",$AJ327&gt;0),($M327*$AG327*$AJ327)-$AI327,0),0)</f>
        <v>0.866114112610455</v>
      </c>
      <c r="AS327" s="153" t="n">
        <f aca="false">IFERROR(IF(AND($N327="VCA",$AP327&gt;0),$AP327-$AI327-$AQ327-$AR327,0),0)</f>
        <v>1.58355</v>
      </c>
      <c r="AT327" s="153" t="n">
        <f aca="false">IFERROR(IF($N327="VCA",INDEX(APOIO_REDES!$A:$W,MATCH($C327&amp;$I327&amp;$H327&amp;$N327&amp;$O327,APOIO_REDES!$W:$W,0),MATCH(AT$5,APOIO_REDES!$5:$5,0)),0)*$AP327,0)</f>
        <v>0.0296730152173957</v>
      </c>
      <c r="AU327" s="153" t="n">
        <f aca="false">IFERROR(IF($N327="VCA",INDEX(APOIO_REDES!$A:$W,MATCH($C327&amp;$I327&amp;$H327&amp;$N327&amp;$O327,APOIO_REDES!$W:$W,0),MATCH(AU$5,APOIO_REDES!$5:$5,0)),0)*$AP327,0)</f>
        <v>0.0236960663054412</v>
      </c>
      <c r="AV327" s="153" t="n">
        <f aca="false">IFERROR(IF($N327="VCA",INDEX(APOIO_REDES!$A:$W,MATCH($C327&amp;$I327&amp;$H327&amp;$N327&amp;$O327,APOIO_REDES!$W:$W,0),MATCH(AV$5,APOIO_REDES!$5:$5,0)),0)*$AP327,0)</f>
        <v>0.00327934955525902</v>
      </c>
      <c r="AW327" s="153" t="n">
        <f aca="false">IFERROR(IF($N327="VCA",INDEX(APOIO_REDES!$A:$W,MATCH($C327&amp;$I327&amp;$H327&amp;$N327&amp;$O327,APOIO_REDES!$W:$W,0),MATCH(AW$5,APOIO_REDES!$5:$5,0)),0)*$AP327,0)</f>
        <v>1.87198837157047</v>
      </c>
      <c r="AX327" s="153" t="n">
        <f aca="false">IFERROR(IF($N327="VCA",INDEX(APOIO_REDES!$A:$W,MATCH($C327&amp;$I327&amp;$H327&amp;$N327&amp;$O327,APOIO_REDES!$W:$W,0),MATCH(AX$5,APOIO_REDES!$5:$5,0)),0)*$AP327,0)</f>
        <v>0.259077858165539</v>
      </c>
      <c r="AY327" s="153" t="n">
        <f aca="false">IFERROR(IF($N327="VCA",INDEX(APOIO_REDES!$A:$W,MATCH($C327&amp;$I327&amp;$H327&amp;$N327&amp;$O327,APOIO_REDES!$W:$W,0),MATCH(AY$5,APOIO_REDES!$5:$5,0)),0)*$AP327,0)</f>
        <v>0.473921037255696</v>
      </c>
      <c r="AZ327" s="153" t="n">
        <f aca="false">IFERROR(IF($N327="VCA",INDEX(APOIO_REDES!$A:$W,MATCH($C327&amp;$I327&amp;$H327&amp;$N327&amp;$O327,APOIO_REDES!$W:$W,0),MATCH(AZ$5,APOIO_REDES!$5:$5,0)),0)*$AP327,0)</f>
        <v>0.0655893019301995</v>
      </c>
      <c r="BA327" s="153" t="n">
        <f aca="false">IFERROR(IF(AND($N327="VCA",$Q327="LINEAR"),INDEX(APOIO_REDES!$A:$W,MATCH($C327&amp;$I327&amp;$H327&amp;$N327&amp;$O327,APOIO_REDES!$W:$W,0),MATCH(BA$5,APOIO_REDES!$5:$5,0)),IF(AND($N327="MND",$Q327="EMBOQUE"),INDEX(APOIO_REDES!$A:$W,MATCH($C327&amp;$I327&amp;$H327&amp;$N327&amp;$O327,APOIO_REDES!$W:$W,0),MATCH(BA$5,APOIO_REDES!$5:$5,0)),0))*$M327/10,0)</f>
        <v>0.166836778590145</v>
      </c>
      <c r="BB327" s="153" t="n">
        <f aca="false">IFERROR(IF($N327="VCA",INDEX(APOIO_REDES!$A:$W,MATCH($C327&amp;$I327&amp;$H327&amp;$N327&amp;$O327,APOIO_REDES!$W:$W,0),MATCH(BB$5,APOIO_REDES!$5:$5,0)),0)*($AI327+$AQ327+$AR327),0)</f>
        <v>1.13123147748948</v>
      </c>
      <c r="BC327" s="153" t="n">
        <f aca="false">IFERROR(IF($N327="VCA",INDEX(APOIO_REDES!$A:$W,MATCH($C327&amp;$I327&amp;$H327&amp;$N327&amp;$O327,APOIO_REDES!$W:$W,0),MATCH(BC$5,APOIO_REDES!$5:$5,0)),0)*($AI327+$AQ327+$AR327),0)</f>
        <v>0.0124435225105208</v>
      </c>
      <c r="BD327" s="153" t="n">
        <f aca="false">IF(AND($N327="VCA",$AF327&gt;=1.25,$AF327&lt;1.5),$M327*$AF327*2,0)</f>
        <v>0</v>
      </c>
      <c r="BE327" s="153" t="n">
        <f aca="false">IF(AND($N327="VCA",$AF327&gt;=1.5,$AF327&lt;3),$M327*$AF327*2,0)</f>
        <v>6.417</v>
      </c>
      <c r="BF327" s="153" t="n">
        <f aca="false">IF(AND($N327="VCA",$AF327&gt;=3),$M327*$AF327*2,0)</f>
        <v>0</v>
      </c>
      <c r="BG327" s="153" t="n">
        <f aca="false">($BB327+$BC327)*$AK327</f>
        <v>4.4603325</v>
      </c>
      <c r="BH327" s="153" t="n">
        <f aca="false">IF(AND($M327&lt;&gt;"",$N327="VCA",$Q327="LINEAR"),($M327*2)/100,IF(AND($M327&lt;&gt;"",$N327="MND",$Q327="EMBOQUE"),($AN327*2)/100,0))</f>
        <v>0.0414</v>
      </c>
      <c r="BI327" s="153" t="n">
        <f aca="false">IF(AND($M327&lt;&gt;"",$N327="VCA",$Q327="LINEAR"),$M327,IF(AND($M327&lt;&gt;"",$N327="MND",$Q327="EMBOQUE"),$AN327*2,0))</f>
        <v>2.07</v>
      </c>
      <c r="BJ327" s="153" t="n">
        <f aca="false">IF(AND($M327&lt;&gt;"",$N327="VCA",$Q327="LINEAR"),($M327*6.8)/100,IF(AND($M327&lt;&gt;"",$N327="MND",$Q327="EMBOQUE"),($AN327*2*6.8)/100,0))</f>
        <v>0.14076</v>
      </c>
      <c r="BK327" s="153" t="n">
        <f aca="false">IF(AND($M327&lt;&gt;"",$N327="VCA",$Q327="LINEAR"),($M327*2.5)/50,IF(AND($M327&lt;&gt;"",$N327="MND",$Q327="EMBOQUE"),($AN327*2*2.5)/50,0))</f>
        <v>0.1035</v>
      </c>
      <c r="BL327" s="157" t="str">
        <f aca="false">K327&amp;J327</f>
        <v>Zona03REDES</v>
      </c>
      <c r="BM327" s="152" t="s">
        <v>2526</v>
      </c>
      <c r="BN327" s="152" t="s">
        <v>1560</v>
      </c>
      <c r="BO327" s="152" t="s">
        <v>2231</v>
      </c>
      <c r="BP327" s="152" t="s">
        <v>2763</v>
      </c>
      <c r="BQ327" s="152" t="s">
        <v>2336</v>
      </c>
      <c r="BR327" s="152" t="s">
        <v>2337</v>
      </c>
      <c r="BS327" s="152" t="n">
        <v>202933.992</v>
      </c>
      <c r="BT327" s="152" t="n">
        <v>8237701.88</v>
      </c>
      <c r="BU327" s="152" t="n">
        <v>202932.251</v>
      </c>
      <c r="BV327" s="152" t="n">
        <v>8237702.999</v>
      </c>
      <c r="BW327" s="152" t="n">
        <v>-15.9221426</v>
      </c>
      <c r="BX327" s="152" t="n">
        <v>-47.7745447</v>
      </c>
      <c r="BY327" s="152" t="s">
        <v>2763</v>
      </c>
    </row>
    <row r="328" customFormat="false" ht="13.8" hidden="false" customHeight="false" outlineLevel="0" collapsed="false">
      <c r="A328" s="149" t="n">
        <f aca="false">IF(C328&lt;&gt;"",ROW(A323),"")</f>
        <v>323</v>
      </c>
      <c r="B328" s="150" t="str">
        <f aca="false">HYPERLINK("https://www.google.com/maps/dir/-15.917302,-47.760003/-15.9221478,-47.7745366/data=!4m3!4m2!3e0!5i1")</f>
        <v>https://www.google.com/maps/dir/-15.917302,-47.760003/-15.9221478,-47.7745366/data=!4m3!4m2!3e0!5i1</v>
      </c>
      <c r="C328" s="151" t="s">
        <v>117</v>
      </c>
      <c r="D328" s="152" t="s">
        <v>112</v>
      </c>
      <c r="E328" s="152" t="s">
        <v>113</v>
      </c>
      <c r="F328" s="152" t="s">
        <v>117</v>
      </c>
      <c r="G328" s="152" t="s">
        <v>114</v>
      </c>
      <c r="H328" s="152" t="n">
        <v>250</v>
      </c>
      <c r="I328" s="152" t="s">
        <v>115</v>
      </c>
      <c r="J328" s="152" t="s">
        <v>6</v>
      </c>
      <c r="K328" s="152" t="s">
        <v>2522</v>
      </c>
      <c r="L328" s="152" t="s">
        <v>120</v>
      </c>
      <c r="M328" s="153" t="n">
        <f aca="false">2.88</f>
        <v>2.88</v>
      </c>
      <c r="N328" s="152" t="s">
        <v>1548</v>
      </c>
      <c r="O328" s="152" t="s">
        <v>1549</v>
      </c>
      <c r="P328" s="152" t="s">
        <v>1550</v>
      </c>
      <c r="Q328" s="152" t="s">
        <v>1551</v>
      </c>
      <c r="R328" s="154" t="s">
        <v>2766</v>
      </c>
      <c r="S328" s="154" t="s">
        <v>1593</v>
      </c>
      <c r="T328" s="155" t="s">
        <v>2227</v>
      </c>
      <c r="U328" s="152" t="str">
        <f aca="false">RIGHT(T328,7)</f>
        <v>008/037</v>
      </c>
      <c r="V328" s="152" t="s">
        <v>1555</v>
      </c>
      <c r="W328" s="156" t="n">
        <v>45882</v>
      </c>
      <c r="X328" s="152" t="s">
        <v>1594</v>
      </c>
      <c r="Y328" s="152" t="s">
        <v>2754</v>
      </c>
      <c r="Z328" s="152" t="s">
        <v>1557</v>
      </c>
      <c r="AA328" s="153" t="n">
        <v>3.9</v>
      </c>
      <c r="AB328" s="151" t="s">
        <v>2767</v>
      </c>
      <c r="AC328" s="151" t="s">
        <v>511</v>
      </c>
      <c r="AD328" s="151" t="str">
        <f aca="false">CONCATENATE($C328,$I328,$H328,$N328,$J328,$K328)</f>
        <v>TUBO PEADPEAD250VCAREDESZona03</v>
      </c>
      <c r="AE328" s="153" t="n">
        <f aca="false">IFERROR(INDEX(APOIO_REDES!$A:$W,MATCH($C328&amp;$I328&amp;$H328&amp;$N328&amp;$O328,APOIO_REDES!$W:$W,0),MATCH(AE$5,APOIO_REDES!$5:$5,0)),0)</f>
        <v>1.2</v>
      </c>
      <c r="AF328" s="153" t="n">
        <f aca="false">IFERROR(INDEX(APOIO_REDES!$A:$W,MATCH($C328&amp;$I328&amp;$H328&amp;$N328&amp;$O328,APOIO_REDES!$W:$W,0),MATCH(AF$5,APOIO_REDES!$5:$5,0)),0)</f>
        <v>1.55</v>
      </c>
      <c r="AG328" s="153" t="n">
        <f aca="false">IFERROR(INDEX(APOIO_REDES!$A:$W,MATCH($C328&amp;$I328&amp;$H328&amp;$N328&amp;$O328,APOIO_REDES!$W:$W,0),MATCH(AG$5,APOIO_REDES!$5:$5,0)),0)</f>
        <v>0.85</v>
      </c>
      <c r="AH328" s="153" t="n">
        <f aca="false">IFERROR(INDEX(APOIO_REDES!$A:$W,MATCH($C328&amp;$I328&amp;$H328&amp;$N328&amp;$O328,APOIO_REDES!$W:$W,0),MATCH(AH$5,APOIO_REDES!$5:$5,0)),0)</f>
        <v>0.1</v>
      </c>
      <c r="AI328" s="153" t="n">
        <f aca="false">IFERROR(IF($H328&lt;&gt;"",(((($H328/1000)/2)^2)*PI()*$M328),0),0)</f>
        <v>0.141371669411541</v>
      </c>
      <c r="AJ328" s="153" t="n">
        <f aca="false">IFERROR(IF(AND($H328&lt;&gt;"",$I328="FoFo",OR($N328="MND",$N328="VCA"),$Q328="LINEAR"),0,IF(AND($H328&lt;&gt;"",$I328="PEAD",$N328="VCA",$Q328="LINEAR"),($H328/1000)+0.3,IF(AND($H328&lt;&gt;"",$I328="PEAD",$N328="MND",$Q328="EMBOQUE"),0,IF(AND($H328&lt;&gt;"",$I328="PVC",$N328="VCA",$Q328="LINEAR"),($H328/1000)+0.2,IF(AND($H328&lt;&gt;"",$I328="PVC",$N328="MND",$Q328="EMBOQUE"),0,IF(AND($H328&lt;&gt;"",$I328="PEAD",$N328="VCA",$Q328="PREDIAL"),0,0)))))),0)</f>
        <v>0.55</v>
      </c>
      <c r="AK328" s="153" t="n">
        <f aca="false">IF(AA328&lt;&gt;"",AA328,0)</f>
        <v>3.9</v>
      </c>
      <c r="AL328" s="153" t="n">
        <f aca="false">IF(AND($N328="MND",$Q328="EMBOQUE"),$M328,IF(AND($N328="VCA",$Q328="LINEAR"),$M328,IF(AND($N328="VCA",$Q328="PREDIAL"),0,0)))</f>
        <v>2.88</v>
      </c>
      <c r="AM328" s="153" t="n">
        <f aca="false">IF(AND($N328="MND",$Q328="EMBOQUE"),$M328,IF(AND($N328="VCA",$Q328="LINEAR"),$M328,IF(AND($N328="VCA",$Q328="PREDIAL"),0,0)))</f>
        <v>2.88</v>
      </c>
      <c r="AN328" s="153" t="n">
        <f aca="false">ROUND(IF(AND($N328="VCA",$M328&lt;&gt;"",$Q328="LINEAR"),$M328/100,IF(AND($N328="MND",$M328&gt;100,$Q328="EMBOQUE"),$M328/100,0)),0)</f>
        <v>0</v>
      </c>
      <c r="AO328" s="153" t="n">
        <f aca="false">IF(AND($N328="MND",$Q328="EMBOQUE"),$AN328*2*2,IF(AND($N328="VCA",$Q328="LINEAR"),$M328*2,IF(AND($N328="VCA",$Q328="PREDIAL"),0,0)))</f>
        <v>5.76</v>
      </c>
      <c r="AP328" s="153" t="n">
        <f aca="false">IFERROR($M328*$AF328*$AG328,0)</f>
        <v>3.7944</v>
      </c>
      <c r="AQ328" s="153" t="n">
        <f aca="false">IFERROR(IF(AND($N328="VCA",$AH328&gt;0),$M328*$AG328*$AH328,0),0)</f>
        <v>0.2448</v>
      </c>
      <c r="AR328" s="153" t="n">
        <f aca="false">IFERROR(IF(AND($N328="VCA",$AJ328&gt;0),($M328*$AG328*$AJ328)-$AI328,0),0)</f>
        <v>1.20502833058846</v>
      </c>
      <c r="AS328" s="153" t="n">
        <f aca="false">IFERROR(IF(AND($N328="VCA",$AP328&gt;0),$AP328-$AI328-$AQ328-$AR328,0),0)</f>
        <v>2.2032</v>
      </c>
      <c r="AT328" s="153" t="n">
        <f aca="false">IFERROR(IF($N328="VCA",INDEX(APOIO_REDES!$A:$W,MATCH($C328&amp;$I328&amp;$H328&amp;$N328&amp;$O328,APOIO_REDES!$W:$W,0),MATCH(AT$5,APOIO_REDES!$5:$5,0)),0)*$AP328,0)</f>
        <v>0.0412841950850722</v>
      </c>
      <c r="AU328" s="153" t="n">
        <f aca="false">IFERROR(IF($N328="VCA",INDEX(APOIO_REDES!$A:$W,MATCH($C328&amp;$I328&amp;$H328&amp;$N328&amp;$O328,APOIO_REDES!$W:$W,0),MATCH(AU$5,APOIO_REDES!$5:$5,0)),0)*$AP328,0)</f>
        <v>0.0329684400771355</v>
      </c>
      <c r="AV328" s="153" t="n">
        <f aca="false">IFERROR(IF($N328="VCA",INDEX(APOIO_REDES!$A:$W,MATCH($C328&amp;$I328&amp;$H328&amp;$N328&amp;$O328,APOIO_REDES!$W:$W,0),MATCH(AV$5,APOIO_REDES!$5:$5,0)),0)*$AP328,0)</f>
        <v>0.00456257329427342</v>
      </c>
      <c r="AW328" s="153" t="n">
        <f aca="false">IFERROR(IF($N328="VCA",INDEX(APOIO_REDES!$A:$W,MATCH($C328&amp;$I328&amp;$H328&amp;$N328&amp;$O328,APOIO_REDES!$W:$W,0),MATCH(AW$5,APOIO_REDES!$5:$5,0)),0)*$AP328,0)</f>
        <v>2.60450556044587</v>
      </c>
      <c r="AX328" s="153" t="n">
        <f aca="false">IFERROR(IF($N328="VCA",INDEX(APOIO_REDES!$A:$W,MATCH($C328&amp;$I328&amp;$H328&amp;$N328&amp;$O328,APOIO_REDES!$W:$W,0),MATCH(AX$5,APOIO_REDES!$5:$5,0)),0)*$AP328,0)</f>
        <v>0.360456150491185</v>
      </c>
      <c r="AY328" s="153" t="n">
        <f aca="false">IFERROR(IF($N328="VCA",INDEX(APOIO_REDES!$A:$W,MATCH($C328&amp;$I328&amp;$H328&amp;$N328&amp;$O328,APOIO_REDES!$W:$W,0),MATCH(AY$5,APOIO_REDES!$5:$5,0)),0)*$AP328,0)</f>
        <v>0.659368399660099</v>
      </c>
      <c r="AZ328" s="153" t="n">
        <f aca="false">IFERROR(IF($N328="VCA",INDEX(APOIO_REDES!$A:$W,MATCH($C328&amp;$I328&amp;$H328&amp;$N328&amp;$O328,APOIO_REDES!$W:$W,0),MATCH(AZ$5,APOIO_REDES!$5:$5,0)),0)*$AP328,0)</f>
        <v>0.0912546809463645</v>
      </c>
      <c r="BA328" s="153" t="n">
        <f aca="false">IFERROR(IF(AND($N328="VCA",$Q328="LINEAR"),INDEX(APOIO_REDES!$A:$W,MATCH($C328&amp;$I328&amp;$H328&amp;$N328&amp;$O328,APOIO_REDES!$W:$W,0),MATCH(BA$5,APOIO_REDES!$5:$5,0)),IF(AND($N328="MND",$Q328="EMBOQUE"),INDEX(APOIO_REDES!$A:$W,MATCH($C328&amp;$I328&amp;$H328&amp;$N328&amp;$O328,APOIO_REDES!$W:$W,0),MATCH(BA$5,APOIO_REDES!$5:$5,0)),0))*$M328/10,0)</f>
        <v>0.232120735429767</v>
      </c>
      <c r="BB328" s="153" t="n">
        <f aca="false">IFERROR(IF($N328="VCA",INDEX(APOIO_REDES!$A:$W,MATCH($C328&amp;$I328&amp;$H328&amp;$N328&amp;$O328,APOIO_REDES!$W:$W,0),MATCH(BB$5,APOIO_REDES!$5:$5,0)),0)*($AI328+$AQ328+$AR328),0)</f>
        <v>1.57388727302884</v>
      </c>
      <c r="BC328" s="153" t="n">
        <f aca="false">IFERROR(IF($N328="VCA",INDEX(APOIO_REDES!$A:$W,MATCH($C328&amp;$I328&amp;$H328&amp;$N328&amp;$O328,APOIO_REDES!$W:$W,0),MATCH(BC$5,APOIO_REDES!$5:$5,0)),0)*($AI328+$AQ328+$AR328),0)</f>
        <v>0.0173127269711593</v>
      </c>
      <c r="BD328" s="153" t="n">
        <f aca="false">IF(AND($N328="VCA",$AF328&gt;=1.25,$AF328&lt;1.5),$M328*$AF328*2,0)</f>
        <v>0</v>
      </c>
      <c r="BE328" s="153" t="n">
        <f aca="false">IF(AND($N328="VCA",$AF328&gt;=1.5,$AF328&lt;3),$M328*$AF328*2,0)</f>
        <v>8.928</v>
      </c>
      <c r="BF328" s="153" t="n">
        <f aca="false">IF(AND($N328="VCA",$AF328&gt;=3),$M328*$AF328*2,0)</f>
        <v>0</v>
      </c>
      <c r="BG328" s="153" t="n">
        <f aca="false">($BB328+$BC328)*$AK328</f>
        <v>6.20568</v>
      </c>
      <c r="BH328" s="153" t="n">
        <f aca="false">IF(AND($M328&lt;&gt;"",$N328="VCA",$Q328="LINEAR"),($M328*2)/100,IF(AND($M328&lt;&gt;"",$N328="MND",$Q328="EMBOQUE"),($AN328*2)/100,0))</f>
        <v>0.0576</v>
      </c>
      <c r="BI328" s="153" t="n">
        <f aca="false">IF(AND($M328&lt;&gt;"",$N328="VCA",$Q328="LINEAR"),$M328,IF(AND($M328&lt;&gt;"",$N328="MND",$Q328="EMBOQUE"),$AN328*2,0))</f>
        <v>2.88</v>
      </c>
      <c r="BJ328" s="153" t="n">
        <f aca="false">IF(AND($M328&lt;&gt;"",$N328="VCA",$Q328="LINEAR"),($M328*6.8)/100,IF(AND($M328&lt;&gt;"",$N328="MND",$Q328="EMBOQUE"),($AN328*2*6.8)/100,0))</f>
        <v>0.19584</v>
      </c>
      <c r="BK328" s="153" t="n">
        <f aca="false">IF(AND($M328&lt;&gt;"",$N328="VCA",$Q328="LINEAR"),($M328*2.5)/50,IF(AND($M328&lt;&gt;"",$N328="MND",$Q328="EMBOQUE"),($AN328*2*2.5)/50,0))</f>
        <v>0.144</v>
      </c>
      <c r="BL328" s="157" t="str">
        <f aca="false">K328&amp;J328</f>
        <v>Zona03REDES</v>
      </c>
      <c r="BM328" s="152" t="s">
        <v>2526</v>
      </c>
      <c r="BN328" s="152" t="s">
        <v>1560</v>
      </c>
      <c r="BO328" s="152" t="s">
        <v>2231</v>
      </c>
      <c r="BP328" s="152" t="s">
        <v>2763</v>
      </c>
      <c r="BQ328" s="152" t="s">
        <v>2768</v>
      </c>
      <c r="BR328" s="152" t="s">
        <v>2769</v>
      </c>
      <c r="BS328" s="152" t="n">
        <v>202933.992</v>
      </c>
      <c r="BT328" s="152" t="n">
        <v>8237701.88</v>
      </c>
      <c r="BU328" s="152" t="n">
        <v>202932.504</v>
      </c>
      <c r="BV328" s="152" t="n">
        <v>8237699.415</v>
      </c>
      <c r="BW328" s="152" t="n">
        <v>-15.9221588</v>
      </c>
      <c r="BX328" s="152" t="n">
        <v>-47.7745437</v>
      </c>
      <c r="BY328" s="152" t="s">
        <v>2763</v>
      </c>
    </row>
    <row r="329" customFormat="false" ht="13.8" hidden="false" customHeight="false" outlineLevel="0" collapsed="false">
      <c r="A329" s="149" t="n">
        <f aca="false">IF(C329&lt;&gt;"",ROW(A324),"")</f>
        <v>324</v>
      </c>
      <c r="B329" s="150" t="str">
        <f aca="false">HYPERLINK("https://www.google.com/maps/dir/-15.917302,-47.760003/-15.9223500,-47.7729436/data=!4m3!4m2!3e0!5i2")</f>
        <v>https://www.google.com/maps/dir/-15.917302,-47.760003/-15.9223500,-47.7729436/data=!4m3!4m2!3e0!5i2</v>
      </c>
      <c r="C329" s="151" t="s">
        <v>117</v>
      </c>
      <c r="D329" s="152" t="s">
        <v>112</v>
      </c>
      <c r="E329" s="152" t="s">
        <v>113</v>
      </c>
      <c r="F329" s="152" t="s">
        <v>117</v>
      </c>
      <c r="G329" s="152" t="s">
        <v>782</v>
      </c>
      <c r="H329" s="152" t="n">
        <v>63</v>
      </c>
      <c r="I329" s="152" t="s">
        <v>115</v>
      </c>
      <c r="J329" s="152" t="s">
        <v>6</v>
      </c>
      <c r="K329" s="152" t="s">
        <v>2522</v>
      </c>
      <c r="L329" s="152" t="s">
        <v>120</v>
      </c>
      <c r="M329" s="153" t="n">
        <f aca="false">37.2+2.44</f>
        <v>39.64</v>
      </c>
      <c r="N329" s="152" t="s">
        <v>1548</v>
      </c>
      <c r="O329" s="152" t="s">
        <v>1549</v>
      </c>
      <c r="P329" s="152" t="s">
        <v>1550</v>
      </c>
      <c r="Q329" s="152" t="s">
        <v>1551</v>
      </c>
      <c r="R329" s="154" t="s">
        <v>2770</v>
      </c>
      <c r="S329" s="154" t="s">
        <v>1553</v>
      </c>
      <c r="T329" s="155" t="s">
        <v>2227</v>
      </c>
      <c r="U329" s="152" t="str">
        <f aca="false">RIGHT(T329,7)</f>
        <v>008/037</v>
      </c>
      <c r="V329" s="152" t="s">
        <v>1555</v>
      </c>
      <c r="W329" s="156" t="n">
        <v>45882</v>
      </c>
      <c r="X329" s="152" t="s">
        <v>1594</v>
      </c>
      <c r="Y329" s="152" t="s">
        <v>2630</v>
      </c>
      <c r="Z329" s="152" t="s">
        <v>1557</v>
      </c>
      <c r="AA329" s="153" t="n">
        <v>4.1</v>
      </c>
      <c r="AB329" s="151" t="s">
        <v>2771</v>
      </c>
      <c r="AC329" s="151" t="s">
        <v>186</v>
      </c>
      <c r="AD329" s="151" t="str">
        <f aca="false">CONCATENATE($C329,$I329,$H329,$N329,$J329,$K329)</f>
        <v>TUBO PEADPEAD63VCAREDESZona03</v>
      </c>
      <c r="AE329" s="153" t="n">
        <f aca="false">IFERROR(INDEX(APOIO_REDES!$A:$W,MATCH($C329&amp;$I329&amp;$H329&amp;$N329&amp;$O329,APOIO_REDES!$W:$W,0),MATCH(AE$5,APOIO_REDES!$5:$5,0)),0)</f>
        <v>1.2</v>
      </c>
      <c r="AF329" s="153" t="n">
        <f aca="false">IFERROR(INDEX(APOIO_REDES!$A:$W,MATCH($C329&amp;$I329&amp;$H329&amp;$N329&amp;$O329,APOIO_REDES!$W:$W,0),MATCH(AF$5,APOIO_REDES!$5:$5,0)),0)</f>
        <v>1.363</v>
      </c>
      <c r="AG329" s="153" t="n">
        <f aca="false">IFERROR(INDEX(APOIO_REDES!$A:$W,MATCH($C329&amp;$I329&amp;$H329&amp;$N329&amp;$O329,APOIO_REDES!$W:$W,0),MATCH(AG$5,APOIO_REDES!$5:$5,0)),0)</f>
        <v>0.65</v>
      </c>
      <c r="AH329" s="153" t="n">
        <f aca="false">IFERROR(INDEX(APOIO_REDES!$A:$W,MATCH($C329&amp;$I329&amp;$H329&amp;$N329&amp;$O329,APOIO_REDES!$W:$W,0),MATCH(AH$5,APOIO_REDES!$5:$5,0)),0)</f>
        <v>0.1</v>
      </c>
      <c r="AI329" s="153" t="n">
        <f aca="false">IFERROR(IF($H329&lt;&gt;"",(((($H329/1000)/2)^2)*PI()*$M329),0),0)</f>
        <v>0.12356760410919</v>
      </c>
      <c r="AJ329" s="153" t="n">
        <f aca="false">IFERROR(IF(AND($H329&lt;&gt;"",$I329="FoFo",OR($N329="MND",$N329="VCA"),$Q329="LINEAR"),0,IF(AND($H329&lt;&gt;"",$I329="PEAD",$N329="VCA",$Q329="LINEAR"),($H329/1000)+0.3,IF(AND($H329&lt;&gt;"",$I329="PEAD",$N329="MND",$Q329="EMBOQUE"),0,IF(AND($H329&lt;&gt;"",$I329="PVC",$N329="VCA",$Q329="LINEAR"),($H329/1000)+0.2,IF(AND($H329&lt;&gt;"",$I329="PVC",$N329="MND",$Q329="EMBOQUE"),0,IF(AND($H329&lt;&gt;"",$I329="PEAD",$N329="VCA",$Q329="PREDIAL"),0,0)))))),0)</f>
        <v>0.363</v>
      </c>
      <c r="AK329" s="153" t="n">
        <f aca="false">IF(AA329&lt;&gt;"",AA329,0)</f>
        <v>4.1</v>
      </c>
      <c r="AL329" s="153" t="n">
        <f aca="false">IF(AND($N329="MND",$Q329="EMBOQUE"),$M329,IF(AND($N329="VCA",$Q329="LINEAR"),$M329,IF(AND($N329="VCA",$Q329="PREDIAL"),0,0)))</f>
        <v>39.64</v>
      </c>
      <c r="AM329" s="153" t="n">
        <f aca="false">IF(AND($N329="MND",$Q329="EMBOQUE"),$M329,IF(AND($N329="VCA",$Q329="LINEAR"),$M329,IF(AND($N329="VCA",$Q329="PREDIAL"),0,0)))</f>
        <v>39.64</v>
      </c>
      <c r="AN329" s="153" t="n">
        <f aca="false">ROUND(IF(AND($N329="VCA",$M329&lt;&gt;"",$Q329="LINEAR"),$M329/100,IF(AND($N329="MND",$M329&gt;100,$Q329="EMBOQUE"),$M329/100,0)),0)</f>
        <v>0</v>
      </c>
      <c r="AO329" s="153" t="n">
        <f aca="false">IF(AND($N329="MND",$Q329="EMBOQUE"),$AN329*2*2,IF(AND($N329="VCA",$Q329="LINEAR"),$M329*2,IF(AND($N329="VCA",$Q329="PREDIAL"),0,0)))</f>
        <v>79.28</v>
      </c>
      <c r="AP329" s="153" t="n">
        <f aca="false">IFERROR($M329*$AF329*$AG329,0)</f>
        <v>35.119058</v>
      </c>
      <c r="AQ329" s="153" t="n">
        <f aca="false">IFERROR(IF(AND($N329="VCA",$AH329&gt;0),$M329*$AG329*$AH329,0),0)</f>
        <v>2.5766</v>
      </c>
      <c r="AR329" s="153" t="n">
        <f aca="false">IFERROR(IF(AND($N329="VCA",$AJ329&gt;0),($M329*$AG329*$AJ329)-$AI329,0),0)</f>
        <v>9.22949039589081</v>
      </c>
      <c r="AS329" s="153" t="n">
        <f aca="false">IFERROR(IF(AND($N329="VCA",$AP329&gt;0),$AP329-$AI329-$AQ329-$AR329,0),0)</f>
        <v>23.1894</v>
      </c>
      <c r="AT329" s="153" t="n">
        <f aca="false">IFERROR(IF($N329="VCA",INDEX(APOIO_REDES!$A:$W,MATCH($C329&amp;$I329&amp;$H329&amp;$N329&amp;$O329,APOIO_REDES!$W:$W,0),MATCH(AT$5,APOIO_REDES!$5:$5,0)),0)*$AP329,0)</f>
        <v>0.382105745750571</v>
      </c>
      <c r="AU329" s="153" t="n">
        <f aca="false">IFERROR(IF($N329="VCA",INDEX(APOIO_REDES!$A:$W,MATCH($C329&amp;$I329&amp;$H329&amp;$N329&amp;$O329,APOIO_REDES!$W:$W,0),MATCH(AU$5,APOIO_REDES!$5:$5,0)),0)*$AP329,0)</f>
        <v>0.305139299820379</v>
      </c>
      <c r="AV329" s="153" t="n">
        <f aca="false">IFERROR(IF($N329="VCA",INDEX(APOIO_REDES!$A:$W,MATCH($C329&amp;$I329&amp;$H329&amp;$N329&amp;$O329,APOIO_REDES!$W:$W,0),MATCH(AV$5,APOIO_REDES!$5:$5,0)),0)*$AP329,0)</f>
        <v>0.0422288836577164</v>
      </c>
      <c r="AW329" s="153" t="n">
        <f aca="false">IFERROR(IF($N329="VCA",INDEX(APOIO_REDES!$A:$W,MATCH($C329&amp;$I329&amp;$H329&amp;$N329&amp;$O329,APOIO_REDES!$W:$W,0),MATCH(AW$5,APOIO_REDES!$5:$5,0)),0)*$AP329,0)</f>
        <v>24.10599352694</v>
      </c>
      <c r="AX329" s="153" t="n">
        <f aca="false">IFERROR(IF($N329="VCA",INDEX(APOIO_REDES!$A:$W,MATCH($C329&amp;$I329&amp;$H329&amp;$N329&amp;$O329,APOIO_REDES!$W:$W,0),MATCH(AX$5,APOIO_REDES!$5:$5,0)),0)*$AP329,0)</f>
        <v>3.33620083690614</v>
      </c>
      <c r="AY329" s="153" t="n">
        <f aca="false">IFERROR(IF($N329="VCA",INDEX(APOIO_REDES!$A:$W,MATCH($C329&amp;$I329&amp;$H329&amp;$N329&amp;$O329,APOIO_REDES!$W:$W,0),MATCH(AY$5,APOIO_REDES!$5:$5,0)),0)*$AP329,0)</f>
        <v>6.10278227678426</v>
      </c>
      <c r="AZ329" s="153" t="n">
        <f aca="false">IFERROR(IF($N329="VCA",INDEX(APOIO_REDES!$A:$W,MATCH($C329&amp;$I329&amp;$H329&amp;$N329&amp;$O329,APOIO_REDES!$W:$W,0),MATCH(AZ$5,APOIO_REDES!$5:$5,0)),0)*$AP329,0)</f>
        <v>0.844607430140963</v>
      </c>
      <c r="BA329" s="153" t="n">
        <f aca="false">IFERROR(IF(AND($N329="VCA",$Q329="LINEAR"),INDEX(APOIO_REDES!$A:$W,MATCH($C329&amp;$I329&amp;$H329&amp;$N329&amp;$O329,APOIO_REDES!$W:$W,0),MATCH(BA$5,APOIO_REDES!$5:$5,0)),IF(AND($N329="MND",$Q329="EMBOQUE"),INDEX(APOIO_REDES!$A:$W,MATCH($C329&amp;$I329&amp;$H329&amp;$N329&amp;$O329,APOIO_REDES!$W:$W,0),MATCH(BA$5,APOIO_REDES!$5:$5,0)),0))*$M329/10,0)</f>
        <v>3.19488401126249</v>
      </c>
      <c r="BB329" s="153" t="n">
        <f aca="false">IFERROR(IF($N329="VCA",INDEX(APOIO_REDES!$A:$W,MATCH($C329&amp;$I329&amp;$H329&amp;$N329&amp;$O329,APOIO_REDES!$W:$W,0),MATCH(BB$5,APOIO_REDES!$5:$5,0)),0)*($AI329+$AQ329+$AR329),0)</f>
        <v>11.7998597899615</v>
      </c>
      <c r="BC329" s="153" t="n">
        <f aca="false">IFERROR(IF($N329="VCA",INDEX(APOIO_REDES!$A:$W,MATCH($C329&amp;$I329&amp;$H329&amp;$N329&amp;$O329,APOIO_REDES!$W:$W,0),MATCH(BC$5,APOIO_REDES!$5:$5,0)),0)*($AI329+$AQ329+$AR329),0)</f>
        <v>0.129798210038529</v>
      </c>
      <c r="BD329" s="153" t="n">
        <f aca="false">IF(AND($N329="VCA",$AF329&gt;=1.25,$AF329&lt;1.5),$M329*$AF329*2,0)</f>
        <v>108.05864</v>
      </c>
      <c r="BE329" s="153" t="n">
        <f aca="false">IF(AND($N329="VCA",$AF329&gt;=1.5,$AF329&lt;3),$M329*$AF329*2,0)</f>
        <v>0</v>
      </c>
      <c r="BF329" s="153" t="n">
        <f aca="false">IF(AND($N329="VCA",$AF329&gt;=3),$M329*$AF329*2,0)</f>
        <v>0</v>
      </c>
      <c r="BG329" s="153" t="n">
        <f aca="false">($BB329+$BC329)*$AK329</f>
        <v>48.9115978</v>
      </c>
      <c r="BH329" s="153" t="n">
        <f aca="false">IF(AND($M329&lt;&gt;"",$N329="VCA",$Q329="LINEAR"),($M329*2)/100,IF(AND($M329&lt;&gt;"",$N329="MND",$Q329="EMBOQUE"),($AN329*2)/100,0))</f>
        <v>0.7928</v>
      </c>
      <c r="BI329" s="153" t="n">
        <f aca="false">IF(AND($M329&lt;&gt;"",$N329="VCA",$Q329="LINEAR"),$M329,IF(AND($M329&lt;&gt;"",$N329="MND",$Q329="EMBOQUE"),$AN329*2,0))</f>
        <v>39.64</v>
      </c>
      <c r="BJ329" s="153" t="n">
        <f aca="false">IF(AND($M329&lt;&gt;"",$N329="VCA",$Q329="LINEAR"),($M329*6.8)/100,IF(AND($M329&lt;&gt;"",$N329="MND",$Q329="EMBOQUE"),($AN329*2*6.8)/100,0))</f>
        <v>2.69552</v>
      </c>
      <c r="BK329" s="153" t="n">
        <f aca="false">IF(AND($M329&lt;&gt;"",$N329="VCA",$Q329="LINEAR"),($M329*2.5)/50,IF(AND($M329&lt;&gt;"",$N329="MND",$Q329="EMBOQUE"),($AN329*2*2.5)/50,0))</f>
        <v>1.982</v>
      </c>
      <c r="BL329" s="157" t="str">
        <f aca="false">K329&amp;J329</f>
        <v>Zona03REDES</v>
      </c>
      <c r="BM329" s="152" t="s">
        <v>2526</v>
      </c>
      <c r="BN329" s="152" t="s">
        <v>1560</v>
      </c>
      <c r="BO329" s="152" t="s">
        <v>2231</v>
      </c>
      <c r="BP329" s="152" t="s">
        <v>2772</v>
      </c>
      <c r="BQ329" s="152" t="s">
        <v>2773</v>
      </c>
      <c r="BR329" s="152" t="s">
        <v>2774</v>
      </c>
      <c r="BS329" s="152" t="n">
        <v>203104.967</v>
      </c>
      <c r="BT329" s="152" t="n">
        <v>8237681.76</v>
      </c>
      <c r="BU329" s="152" t="n">
        <v>203110.135</v>
      </c>
      <c r="BV329" s="152" t="n">
        <v>8237718.596</v>
      </c>
      <c r="BW329" s="152" t="n">
        <v>-15.9221837</v>
      </c>
      <c r="BX329" s="152" t="n">
        <v>-47.7729195</v>
      </c>
      <c r="BY329" s="152" t="s">
        <v>2772</v>
      </c>
    </row>
    <row r="330" customFormat="false" ht="13.8" hidden="false" customHeight="false" outlineLevel="0" collapsed="false">
      <c r="A330" s="149" t="n">
        <f aca="false">IF(C330&lt;&gt;"",ROW(A325),"")</f>
        <v>325</v>
      </c>
      <c r="B330" s="150" t="str">
        <f aca="false">HYPERLINK("https://www.google.com/maps/dir/-15.917302,-47.760003/-15.9221698,-47.7745510/data=!4m3!4m2!3e0!5i1")</f>
        <v>https://www.google.com/maps/dir/-15.917302,-47.760003/-15.9221698,-47.7745510/data=!4m3!4m2!3e0!5i1</v>
      </c>
      <c r="C330" s="151" t="s">
        <v>117</v>
      </c>
      <c r="D330" s="152" t="s">
        <v>112</v>
      </c>
      <c r="E330" s="152" t="s">
        <v>113</v>
      </c>
      <c r="F330" s="152" t="s">
        <v>117</v>
      </c>
      <c r="G330" s="152" t="s">
        <v>114</v>
      </c>
      <c r="H330" s="152" t="n">
        <v>250</v>
      </c>
      <c r="I330" s="152" t="s">
        <v>115</v>
      </c>
      <c r="J330" s="152" t="s">
        <v>6</v>
      </c>
      <c r="K330" s="152" t="s">
        <v>2522</v>
      </c>
      <c r="L330" s="152" t="s">
        <v>120</v>
      </c>
      <c r="M330" s="153" t="n">
        <f aca="false">1.02</f>
        <v>1.02</v>
      </c>
      <c r="N330" s="152" t="s">
        <v>1548</v>
      </c>
      <c r="O330" s="152" t="s">
        <v>1549</v>
      </c>
      <c r="P330" s="152" t="s">
        <v>1550</v>
      </c>
      <c r="Q330" s="152" t="s">
        <v>1551</v>
      </c>
      <c r="R330" s="154" t="s">
        <v>2775</v>
      </c>
      <c r="S330" s="154" t="s">
        <v>1593</v>
      </c>
      <c r="T330" s="155" t="s">
        <v>2227</v>
      </c>
      <c r="U330" s="152" t="str">
        <f aca="false">RIGHT(T330,7)</f>
        <v>008/037</v>
      </c>
      <c r="V330" s="152" t="s">
        <v>1555</v>
      </c>
      <c r="W330" s="156" t="n">
        <v>45882</v>
      </c>
      <c r="X330" s="152" t="s">
        <v>1594</v>
      </c>
      <c r="Y330" s="152"/>
      <c r="Z330" s="152" t="s">
        <v>1557</v>
      </c>
      <c r="AA330" s="153" t="n">
        <v>3.9</v>
      </c>
      <c r="AB330" s="151" t="s">
        <v>2776</v>
      </c>
      <c r="AC330" s="151" t="s">
        <v>511</v>
      </c>
      <c r="AD330" s="151" t="str">
        <f aca="false">CONCATENATE($C330,$I330,$H330,$N330,$J330,$K330)</f>
        <v>TUBO PEADPEAD250VCAREDESZona03</v>
      </c>
      <c r="AE330" s="153" t="n">
        <f aca="false">IFERROR(INDEX(APOIO_REDES!$A:$W,MATCH($C330&amp;$I330&amp;$H330&amp;$N330&amp;$O330,APOIO_REDES!$W:$W,0),MATCH(AE$5,APOIO_REDES!$5:$5,0)),0)</f>
        <v>1.2</v>
      </c>
      <c r="AF330" s="153" t="n">
        <f aca="false">IFERROR(INDEX(APOIO_REDES!$A:$W,MATCH($C330&amp;$I330&amp;$H330&amp;$N330&amp;$O330,APOIO_REDES!$W:$W,0),MATCH(AF$5,APOIO_REDES!$5:$5,0)),0)</f>
        <v>1.55</v>
      </c>
      <c r="AG330" s="153" t="n">
        <f aca="false">IFERROR(INDEX(APOIO_REDES!$A:$W,MATCH($C330&amp;$I330&amp;$H330&amp;$N330&amp;$O330,APOIO_REDES!$W:$W,0),MATCH(AG$5,APOIO_REDES!$5:$5,0)),0)</f>
        <v>0.85</v>
      </c>
      <c r="AH330" s="153" t="n">
        <f aca="false">IFERROR(INDEX(APOIO_REDES!$A:$W,MATCH($C330&amp;$I330&amp;$H330&amp;$N330&amp;$O330,APOIO_REDES!$W:$W,0),MATCH(AH$5,APOIO_REDES!$5:$5,0)),0)</f>
        <v>0.1</v>
      </c>
      <c r="AI330" s="153" t="n">
        <f aca="false">IFERROR(IF($H330&lt;&gt;"",(((($H330/1000)/2)^2)*PI()*$M330),0),0)</f>
        <v>0.0500691329165873</v>
      </c>
      <c r="AJ330" s="153" t="n">
        <f aca="false">IFERROR(IF(AND($H330&lt;&gt;"",$I330="FoFo",OR($N330="MND",$N330="VCA"),$Q330="LINEAR"),0,IF(AND($H330&lt;&gt;"",$I330="PEAD",$N330="VCA",$Q330="LINEAR"),($H330/1000)+0.3,IF(AND($H330&lt;&gt;"",$I330="PEAD",$N330="MND",$Q330="EMBOQUE"),0,IF(AND($H330&lt;&gt;"",$I330="PVC",$N330="VCA",$Q330="LINEAR"),($H330/1000)+0.2,IF(AND($H330&lt;&gt;"",$I330="PVC",$N330="MND",$Q330="EMBOQUE"),0,IF(AND($H330&lt;&gt;"",$I330="PEAD",$N330="VCA",$Q330="PREDIAL"),0,0)))))),0)</f>
        <v>0.55</v>
      </c>
      <c r="AK330" s="153" t="n">
        <f aca="false">IF(AA330&lt;&gt;"",AA330,0)</f>
        <v>3.9</v>
      </c>
      <c r="AL330" s="153" t="n">
        <f aca="false">IF(AND($N330="MND",$Q330="EMBOQUE"),$M330,IF(AND($N330="VCA",$Q330="LINEAR"),$M330,IF(AND($N330="VCA",$Q330="PREDIAL"),0,0)))</f>
        <v>1.02</v>
      </c>
      <c r="AM330" s="153" t="n">
        <f aca="false">IF(AND($N330="MND",$Q330="EMBOQUE"),$M330,IF(AND($N330="VCA",$Q330="LINEAR"),$M330,IF(AND($N330="VCA",$Q330="PREDIAL"),0,0)))</f>
        <v>1.02</v>
      </c>
      <c r="AN330" s="153" t="n">
        <f aca="false">ROUND(IF(AND($N330="VCA",$M330&lt;&gt;"",$Q330="LINEAR"),$M330/100,IF(AND($N330="MND",$M330&gt;100,$Q330="EMBOQUE"),$M330/100,0)),0)</f>
        <v>0</v>
      </c>
      <c r="AO330" s="153" t="n">
        <f aca="false">IF(AND($N330="MND",$Q330="EMBOQUE"),$AN330*2*2,IF(AND($N330="VCA",$Q330="LINEAR"),$M330*2,IF(AND($N330="VCA",$Q330="PREDIAL"),0,0)))</f>
        <v>2.04</v>
      </c>
      <c r="AP330" s="153" t="n">
        <f aca="false">IFERROR($M330*$AF330*$AG330,0)</f>
        <v>1.34385</v>
      </c>
      <c r="AQ330" s="153" t="n">
        <f aca="false">IFERROR(IF(AND($N330="VCA",$AH330&gt;0),$M330*$AG330*$AH330,0),0)</f>
        <v>0.0867</v>
      </c>
      <c r="AR330" s="153" t="n">
        <f aca="false">IFERROR(IF(AND($N330="VCA",$AJ330&gt;0),($M330*$AG330*$AJ330)-$AI330,0),0)</f>
        <v>0.426780867083413</v>
      </c>
      <c r="AS330" s="153" t="n">
        <f aca="false">IFERROR(IF(AND($N330="VCA",$AP330&gt;0),$AP330-$AI330-$AQ330-$AR330,0),0)</f>
        <v>0.7803</v>
      </c>
      <c r="AT330" s="153" t="n">
        <f aca="false">IFERROR(IF($N330="VCA",INDEX(APOIO_REDES!$A:$W,MATCH($C330&amp;$I330&amp;$H330&amp;$N330&amp;$O330,APOIO_REDES!$W:$W,0),MATCH(AT$5,APOIO_REDES!$5:$5,0)),0)*$AP330,0)</f>
        <v>0.0146214857592964</v>
      </c>
      <c r="AU330" s="153" t="n">
        <f aca="false">IFERROR(IF($N330="VCA",INDEX(APOIO_REDES!$A:$W,MATCH($C330&amp;$I330&amp;$H330&amp;$N330&amp;$O330,APOIO_REDES!$W:$W,0),MATCH(AU$5,APOIO_REDES!$5:$5,0)),0)*$AP330,0)</f>
        <v>0.0116763225273188</v>
      </c>
      <c r="AV330" s="153" t="n">
        <f aca="false">IFERROR(IF($N330="VCA",INDEX(APOIO_REDES!$A:$W,MATCH($C330&amp;$I330&amp;$H330&amp;$N330&amp;$O330,APOIO_REDES!$W:$W,0),MATCH(AV$5,APOIO_REDES!$5:$5,0)),0)*$AP330,0)</f>
        <v>0.00161591137505517</v>
      </c>
      <c r="AW330" s="153" t="n">
        <f aca="false">IFERROR(IF($N330="VCA",INDEX(APOIO_REDES!$A:$W,MATCH($C330&amp;$I330&amp;$H330&amp;$N330&amp;$O330,APOIO_REDES!$W:$W,0),MATCH(AW$5,APOIO_REDES!$5:$5,0)),0)*$AP330,0)</f>
        <v>0.922429052657913</v>
      </c>
      <c r="AX330" s="153" t="n">
        <f aca="false">IFERROR(IF($N330="VCA",INDEX(APOIO_REDES!$A:$W,MATCH($C330&amp;$I330&amp;$H330&amp;$N330&amp;$O330,APOIO_REDES!$W:$W,0),MATCH(AX$5,APOIO_REDES!$5:$5,0)),0)*$AP330,0)</f>
        <v>0.127661553298961</v>
      </c>
      <c r="AY330" s="153" t="n">
        <f aca="false">IFERROR(IF($N330="VCA",INDEX(APOIO_REDES!$A:$W,MATCH($C330&amp;$I330&amp;$H330&amp;$N330&amp;$O330,APOIO_REDES!$W:$W,0),MATCH(AY$5,APOIO_REDES!$5:$5,0)),0)*$AP330,0)</f>
        <v>0.233526308212952</v>
      </c>
      <c r="AZ330" s="153" t="n">
        <f aca="false">IFERROR(IF($N330="VCA",INDEX(APOIO_REDES!$A:$W,MATCH($C330&amp;$I330&amp;$H330&amp;$N330&amp;$O330,APOIO_REDES!$W:$W,0),MATCH(AZ$5,APOIO_REDES!$5:$5,0)),0)*$AP330,0)</f>
        <v>0.0323193661685041</v>
      </c>
      <c r="BA330" s="153" t="n">
        <f aca="false">IFERROR(IF(AND($N330="VCA",$Q330="LINEAR"),INDEX(APOIO_REDES!$A:$W,MATCH($C330&amp;$I330&amp;$H330&amp;$N330&amp;$O330,APOIO_REDES!$W:$W,0),MATCH(BA$5,APOIO_REDES!$5:$5,0)),IF(AND($N330="MND",$Q330="EMBOQUE"),INDEX(APOIO_REDES!$A:$W,MATCH($C330&amp;$I330&amp;$H330&amp;$N330&amp;$O330,APOIO_REDES!$W:$W,0),MATCH(BA$5,APOIO_REDES!$5:$5,0)),0))*$M330/10,0)</f>
        <v>0.0822094271313759</v>
      </c>
      <c r="BB330" s="153" t="n">
        <f aca="false">IFERROR(IF($N330="VCA",INDEX(APOIO_REDES!$A:$W,MATCH($C330&amp;$I330&amp;$H330&amp;$N330&amp;$O330,APOIO_REDES!$W:$W,0),MATCH(BB$5,APOIO_REDES!$5:$5,0)),0)*($AI330+$AQ330+$AR330),0)</f>
        <v>0.557418409197714</v>
      </c>
      <c r="BC330" s="153" t="n">
        <f aca="false">IFERROR(IF($N330="VCA",INDEX(APOIO_REDES!$A:$W,MATCH($C330&amp;$I330&amp;$H330&amp;$N330&amp;$O330,APOIO_REDES!$W:$W,0),MATCH(BC$5,APOIO_REDES!$5:$5,0)),0)*($AI330+$AQ330+$AR330),0)</f>
        <v>0.0061315908022856</v>
      </c>
      <c r="BD330" s="153" t="n">
        <f aca="false">IF(AND($N330="VCA",$AF330&gt;=1.25,$AF330&lt;1.5),$M330*$AF330*2,0)</f>
        <v>0</v>
      </c>
      <c r="BE330" s="153" t="n">
        <f aca="false">IF(AND($N330="VCA",$AF330&gt;=1.5,$AF330&lt;3),$M330*$AF330*2,0)</f>
        <v>3.162</v>
      </c>
      <c r="BF330" s="153" t="n">
        <f aca="false">IF(AND($N330="VCA",$AF330&gt;=3),$M330*$AF330*2,0)</f>
        <v>0</v>
      </c>
      <c r="BG330" s="153" t="n">
        <f aca="false">($BB330+$BC330)*$AK330</f>
        <v>2.197845</v>
      </c>
      <c r="BH330" s="153" t="n">
        <f aca="false">IF(AND($M330&lt;&gt;"",$N330="VCA",$Q330="LINEAR"),($M330*2)/100,IF(AND($M330&lt;&gt;"",$N330="MND",$Q330="EMBOQUE"),($AN330*2)/100,0))</f>
        <v>0.0204</v>
      </c>
      <c r="BI330" s="153" t="n">
        <f aca="false">IF(AND($M330&lt;&gt;"",$N330="VCA",$Q330="LINEAR"),$M330,IF(AND($M330&lt;&gt;"",$N330="MND",$Q330="EMBOQUE"),$AN330*2,0))</f>
        <v>1.02</v>
      </c>
      <c r="BJ330" s="153" t="n">
        <f aca="false">IF(AND($M330&lt;&gt;"",$N330="VCA",$Q330="LINEAR"),($M330*6.8)/100,IF(AND($M330&lt;&gt;"",$N330="MND",$Q330="EMBOQUE"),($AN330*2*6.8)/100,0))</f>
        <v>0.06936</v>
      </c>
      <c r="BK330" s="153" t="n">
        <f aca="false">IF(AND($M330&lt;&gt;"",$N330="VCA",$Q330="LINEAR"),($M330*2.5)/50,IF(AND($M330&lt;&gt;"",$N330="MND",$Q330="EMBOQUE"),($AN330*2*2.5)/50,0))</f>
        <v>0.051</v>
      </c>
      <c r="BL330" s="157" t="str">
        <f aca="false">K330&amp;J330</f>
        <v>Zona03REDES</v>
      </c>
      <c r="BM330" s="152" t="s">
        <v>2526</v>
      </c>
      <c r="BN330" s="152" t="s">
        <v>1560</v>
      </c>
      <c r="BO330" s="152" t="s">
        <v>2231</v>
      </c>
      <c r="BP330" s="152" t="s">
        <v>2768</v>
      </c>
      <c r="BQ330" s="152" t="s">
        <v>2777</v>
      </c>
      <c r="BR330" s="152" t="s">
        <v>2769</v>
      </c>
      <c r="BS330" s="152" t="n">
        <v>202932.504</v>
      </c>
      <c r="BT330" s="152" t="n">
        <v>8237699.415</v>
      </c>
      <c r="BU330" s="152" t="n">
        <v>202931.975</v>
      </c>
      <c r="BV330" s="152" t="n">
        <v>8237698.539</v>
      </c>
      <c r="BW330" s="152" t="n">
        <v>-15.9221738</v>
      </c>
      <c r="BX330" s="152" t="n">
        <v>-47.7745533</v>
      </c>
      <c r="BY330" s="152" t="s">
        <v>2768</v>
      </c>
    </row>
    <row r="331" customFormat="false" ht="13.8" hidden="false" customHeight="false" outlineLevel="0" collapsed="false">
      <c r="A331" s="149" t="n">
        <f aca="false">IF(C331&lt;&gt;"",ROW(A326),"")</f>
        <v>326</v>
      </c>
      <c r="B331" s="150" t="str">
        <f aca="false">HYPERLINK("https://www.google.com/maps/dir/-15.917302,-47.760003/-15.9223595,-47.7729474/data=!4m3!4m2!3e0!5i2")</f>
        <v>https://www.google.com/maps/dir/-15.917302,-47.760003/-15.9223595,-47.7729474/data=!4m3!4m2!3e0!5i2</v>
      </c>
      <c r="C331" s="151" t="s">
        <v>117</v>
      </c>
      <c r="D331" s="152" t="s">
        <v>112</v>
      </c>
      <c r="E331" s="152" t="s">
        <v>113</v>
      </c>
      <c r="F331" s="152" t="s">
        <v>117</v>
      </c>
      <c r="G331" s="152" t="s">
        <v>114</v>
      </c>
      <c r="H331" s="152" t="n">
        <v>160</v>
      </c>
      <c r="I331" s="152" t="s">
        <v>115</v>
      </c>
      <c r="J331" s="152" t="s">
        <v>6</v>
      </c>
      <c r="K331" s="152" t="s">
        <v>2522</v>
      </c>
      <c r="L331" s="152" t="s">
        <v>120</v>
      </c>
      <c r="M331" s="153" t="n">
        <f aca="false">75.24+0.27</f>
        <v>75.51</v>
      </c>
      <c r="N331" s="152" t="s">
        <v>1548</v>
      </c>
      <c r="O331" s="152" t="s">
        <v>1549</v>
      </c>
      <c r="P331" s="152" t="s">
        <v>1550</v>
      </c>
      <c r="Q331" s="152" t="s">
        <v>1551</v>
      </c>
      <c r="R331" s="154" t="s">
        <v>2778</v>
      </c>
      <c r="S331" s="154" t="s">
        <v>1593</v>
      </c>
      <c r="T331" s="155" t="s">
        <v>2227</v>
      </c>
      <c r="U331" s="152" t="str">
        <f aca="false">RIGHT(T331,7)</f>
        <v>008/037</v>
      </c>
      <c r="V331" s="152" t="s">
        <v>1555</v>
      </c>
      <c r="W331" s="156" t="n">
        <v>45882</v>
      </c>
      <c r="X331" s="152" t="s">
        <v>1594</v>
      </c>
      <c r="Y331" s="152" t="s">
        <v>2630</v>
      </c>
      <c r="Z331" s="152" t="s">
        <v>1557</v>
      </c>
      <c r="AA331" s="153" t="n">
        <v>4.1</v>
      </c>
      <c r="AB331" s="151" t="s">
        <v>2779</v>
      </c>
      <c r="AC331" s="151" t="s">
        <v>505</v>
      </c>
      <c r="AD331" s="151" t="str">
        <f aca="false">CONCATENATE($C331,$I331,$H331,$N331,$J331,$K331)</f>
        <v>TUBO PEADPEAD160VCAREDESZona03</v>
      </c>
      <c r="AE331" s="153" t="n">
        <f aca="false">IFERROR(INDEX(APOIO_REDES!$A:$W,MATCH($C331&amp;$I331&amp;$H331&amp;$N331&amp;$O331,APOIO_REDES!$W:$W,0),MATCH(AE$5,APOIO_REDES!$5:$5,0)),0)</f>
        <v>1.2</v>
      </c>
      <c r="AF331" s="153" t="n">
        <f aca="false">IFERROR(INDEX(APOIO_REDES!$A:$W,MATCH($C331&amp;$I331&amp;$H331&amp;$N331&amp;$O331,APOIO_REDES!$W:$W,0),MATCH(AF$5,APOIO_REDES!$5:$5,0)),0)</f>
        <v>1.46</v>
      </c>
      <c r="AG331" s="153" t="n">
        <f aca="false">IFERROR(INDEX(APOIO_REDES!$A:$W,MATCH($C331&amp;$I331&amp;$H331&amp;$N331&amp;$O331,APOIO_REDES!$W:$W,0),MATCH(AG$5,APOIO_REDES!$5:$5,0)),0)</f>
        <v>0.75</v>
      </c>
      <c r="AH331" s="153" t="n">
        <f aca="false">IFERROR(INDEX(APOIO_REDES!$A:$W,MATCH($C331&amp;$I331&amp;$H331&amp;$N331&amp;$O331,APOIO_REDES!$W:$W,0),MATCH(AH$5,APOIO_REDES!$5:$5,0)),0)</f>
        <v>0.1</v>
      </c>
      <c r="AI331" s="153" t="n">
        <f aca="false">IFERROR(IF($H331&lt;&gt;"",(((($H331/1000)/2)^2)*PI()*$M331),0),0)</f>
        <v>1.51821863214442</v>
      </c>
      <c r="AJ331" s="153" t="n">
        <f aca="false">IFERROR(IF(AND($H331&lt;&gt;"",$I331="FoFo",OR($N331="MND",$N331="VCA"),$Q331="LINEAR"),0,IF(AND($H331&lt;&gt;"",$I331="PEAD",$N331="VCA",$Q331="LINEAR"),($H331/1000)+0.3,IF(AND($H331&lt;&gt;"",$I331="PEAD",$N331="MND",$Q331="EMBOQUE"),0,IF(AND($H331&lt;&gt;"",$I331="PVC",$N331="VCA",$Q331="LINEAR"),($H331/1000)+0.2,IF(AND($H331&lt;&gt;"",$I331="PVC",$N331="MND",$Q331="EMBOQUE"),0,IF(AND($H331&lt;&gt;"",$I331="PEAD",$N331="VCA",$Q331="PREDIAL"),0,0)))))),0)</f>
        <v>0.46</v>
      </c>
      <c r="AK331" s="153" t="n">
        <f aca="false">IF(AA331&lt;&gt;"",AA331,0)</f>
        <v>4.1</v>
      </c>
      <c r="AL331" s="153" t="n">
        <f aca="false">IF(AND($N331="MND",$Q331="EMBOQUE"),$M331,IF(AND($N331="VCA",$Q331="LINEAR"),$M331,IF(AND($N331="VCA",$Q331="PREDIAL"),0,0)))</f>
        <v>75.51</v>
      </c>
      <c r="AM331" s="153" t="n">
        <f aca="false">IF(AND($N331="MND",$Q331="EMBOQUE"),$M331,IF(AND($N331="VCA",$Q331="LINEAR"),$M331,IF(AND($N331="VCA",$Q331="PREDIAL"),0,0)))</f>
        <v>75.51</v>
      </c>
      <c r="AN331" s="153" t="n">
        <f aca="false">ROUND(IF(AND($N331="VCA",$M331&lt;&gt;"",$Q331="LINEAR"),$M331/100,IF(AND($N331="MND",$M331&gt;100,$Q331="EMBOQUE"),$M331/100,0)),0)</f>
        <v>1</v>
      </c>
      <c r="AO331" s="153" t="n">
        <f aca="false">IF(AND($N331="MND",$Q331="EMBOQUE"),$AN331*2*2,IF(AND($N331="VCA",$Q331="LINEAR"),$M331*2,IF(AND($N331="VCA",$Q331="PREDIAL"),0,0)))</f>
        <v>151.02</v>
      </c>
      <c r="AP331" s="153" t="n">
        <f aca="false">IFERROR($M331*$AF331*$AG331,0)</f>
        <v>82.68345</v>
      </c>
      <c r="AQ331" s="153" t="n">
        <f aca="false">IFERROR(IF(AND($N331="VCA",$AH331&gt;0),$M331*$AG331*$AH331,0),0)</f>
        <v>5.66325</v>
      </c>
      <c r="AR331" s="153" t="n">
        <f aca="false">IFERROR(IF(AND($N331="VCA",$AJ331&gt;0),($M331*$AG331*$AJ331)-$AI331,0),0)</f>
        <v>24.5327313678556</v>
      </c>
      <c r="AS331" s="153" t="n">
        <f aca="false">IFERROR(IF(AND($N331="VCA",$AP331&gt;0),$AP331-$AI331-$AQ331-$AR331,0),0)</f>
        <v>50.96925</v>
      </c>
      <c r="AT331" s="153" t="n">
        <f aca="false">IFERROR(IF($N331="VCA",INDEX(APOIO_REDES!$A:$W,MATCH($C331&amp;$I331&amp;$H331&amp;$N331&amp;$O331,APOIO_REDES!$W:$W,0),MATCH(AT$5,APOIO_REDES!$5:$5,0)),0)*$AP331,0)</f>
        <v>0.899620409051976</v>
      </c>
      <c r="AU331" s="153" t="n">
        <f aca="false">IFERROR(IF($N331="VCA",INDEX(APOIO_REDES!$A:$W,MATCH($C331&amp;$I331&amp;$H331&amp;$N331&amp;$O331,APOIO_REDES!$W:$W,0),MATCH(AU$5,APOIO_REDES!$5:$5,0)),0)*$AP331,0)</f>
        <v>0.718412493858273</v>
      </c>
      <c r="AV331" s="153" t="n">
        <f aca="false">IFERROR(IF($N331="VCA",INDEX(APOIO_REDES!$A:$W,MATCH($C331&amp;$I331&amp;$H331&amp;$N331&amp;$O331,APOIO_REDES!$W:$W,0),MATCH(AV$5,APOIO_REDES!$5:$5,0)),0)*$AP331,0)</f>
        <v>0.0994226493907841</v>
      </c>
      <c r="AW331" s="153" t="n">
        <f aca="false">IFERROR(IF($N331="VCA",INDEX(APOIO_REDES!$A:$W,MATCH($C331&amp;$I331&amp;$H331&amp;$N331&amp;$O331,APOIO_REDES!$W:$W,0),MATCH(AW$5,APOIO_REDES!$5:$5,0)),0)*$AP331,0)</f>
        <v>56.7545607426334</v>
      </c>
      <c r="AX331" s="153" t="n">
        <f aca="false">IFERROR(IF($N331="VCA",INDEX(APOIO_REDES!$A:$W,MATCH($C331&amp;$I331&amp;$H331&amp;$N331&amp;$O331,APOIO_REDES!$W:$W,0),MATCH(AX$5,APOIO_REDES!$5:$5,0)),0)*$AP331,0)</f>
        <v>7.85466953835398</v>
      </c>
      <c r="AY331" s="153" t="n">
        <f aca="false">IFERROR(IF($N331="VCA",INDEX(APOIO_REDES!$A:$W,MATCH($C331&amp;$I331&amp;$H331&amp;$N331&amp;$O331,APOIO_REDES!$W:$W,0),MATCH(AY$5,APOIO_REDES!$5:$5,0)),0)*$AP331,0)</f>
        <v>14.3682411197754</v>
      </c>
      <c r="AZ331" s="153" t="n">
        <f aca="false">IFERROR(IF($N331="VCA",INDEX(APOIO_REDES!$A:$W,MATCH($C331&amp;$I331&amp;$H331&amp;$N331&amp;$O331,APOIO_REDES!$W:$W,0),MATCH(AZ$5,APOIO_REDES!$5:$5,0)),0)*$AP331,0)</f>
        <v>1.98852304693619</v>
      </c>
      <c r="BA331" s="153" t="n">
        <f aca="false">IFERROR(IF(AND($N331="VCA",$Q331="LINEAR"),INDEX(APOIO_REDES!$A:$W,MATCH($C331&amp;$I331&amp;$H331&amp;$N331&amp;$O331,APOIO_REDES!$W:$W,0),MATCH(BA$5,APOIO_REDES!$5:$5,0)),IF(AND($N331="MND",$Q331="EMBOQUE"),INDEX(APOIO_REDES!$A:$W,MATCH($C331&amp;$I331&amp;$H331&amp;$N331&amp;$O331,APOIO_REDES!$W:$W,0),MATCH(BA$5,APOIO_REDES!$5:$5,0)),0))*$M331/10,0)</f>
        <v>6.08591553204921</v>
      </c>
      <c r="BB331" s="153" t="n">
        <f aca="false">IFERROR(IF($N331="VCA",INDEX(APOIO_REDES!$A:$W,MATCH($C331&amp;$I331&amp;$H331&amp;$N331&amp;$O331,APOIO_REDES!$W:$W,0),MATCH(BB$5,APOIO_REDES!$5:$5,0)),0)*($AI331+$AQ331+$AR331),0)</f>
        <v>31.3691401170759</v>
      </c>
      <c r="BC331" s="153" t="n">
        <f aca="false">IFERROR(IF($N331="VCA",INDEX(APOIO_REDES!$A:$W,MATCH($C331&amp;$I331&amp;$H331&amp;$N331&amp;$O331,APOIO_REDES!$W:$W,0),MATCH(BC$5,APOIO_REDES!$5:$5,0)),0)*($AI331+$AQ331+$AR331),0)</f>
        <v>0.345059882924045</v>
      </c>
      <c r="BD331" s="153" t="n">
        <f aca="false">IF(AND($N331="VCA",$AF331&gt;=1.25,$AF331&lt;1.5),$M331*$AF331*2,0)</f>
        <v>220.4892</v>
      </c>
      <c r="BE331" s="153" t="n">
        <f aca="false">IF(AND($N331="VCA",$AF331&gt;=1.5,$AF331&lt;3),$M331*$AF331*2,0)</f>
        <v>0</v>
      </c>
      <c r="BF331" s="153" t="n">
        <f aca="false">IF(AND($N331="VCA",$AF331&gt;=3),$M331*$AF331*2,0)</f>
        <v>0</v>
      </c>
      <c r="BG331" s="153" t="n">
        <f aca="false">($BB331+$BC331)*$AK331</f>
        <v>130.02822</v>
      </c>
      <c r="BH331" s="153" t="n">
        <f aca="false">IF(AND($M331&lt;&gt;"",$N331="VCA",$Q331="LINEAR"),($M331*2)/100,IF(AND($M331&lt;&gt;"",$N331="MND",$Q331="EMBOQUE"),($AN331*2)/100,0))</f>
        <v>1.5102</v>
      </c>
      <c r="BI331" s="153" t="n">
        <f aca="false">IF(AND($M331&lt;&gt;"",$N331="VCA",$Q331="LINEAR"),$M331,IF(AND($M331&lt;&gt;"",$N331="MND",$Q331="EMBOQUE"),$AN331*2,0))</f>
        <v>75.51</v>
      </c>
      <c r="BJ331" s="153" t="n">
        <f aca="false">IF(AND($M331&lt;&gt;"",$N331="VCA",$Q331="LINEAR"),($M331*6.8)/100,IF(AND($M331&lt;&gt;"",$N331="MND",$Q331="EMBOQUE"),($AN331*2*6.8)/100,0))</f>
        <v>5.13468</v>
      </c>
      <c r="BK331" s="153" t="n">
        <f aca="false">IF(AND($M331&lt;&gt;"",$N331="VCA",$Q331="LINEAR"),($M331*2.5)/50,IF(AND($M331&lt;&gt;"",$N331="MND",$Q331="EMBOQUE"),($AN331*2*2.5)/50,0))</f>
        <v>3.7755</v>
      </c>
      <c r="BL331" s="157" t="str">
        <f aca="false">K331&amp;J331</f>
        <v>Zona03REDES</v>
      </c>
      <c r="BM331" s="152" t="s">
        <v>2526</v>
      </c>
      <c r="BN331" s="152" t="s">
        <v>1560</v>
      </c>
      <c r="BO331" s="152" t="s">
        <v>2231</v>
      </c>
      <c r="BP331" s="152" t="s">
        <v>2780</v>
      </c>
      <c r="BQ331" s="152" t="s">
        <v>2751</v>
      </c>
      <c r="BR331" s="152" t="s">
        <v>2781</v>
      </c>
      <c r="BS331" s="152" t="n">
        <v>203104.575</v>
      </c>
      <c r="BT331" s="152" t="n">
        <v>8237680.696</v>
      </c>
      <c r="BU331" s="152" t="n">
        <v>203039.422</v>
      </c>
      <c r="BV331" s="152" t="n">
        <v>8237717.384</v>
      </c>
      <c r="BW331" s="152" t="n">
        <v>-15.9221945</v>
      </c>
      <c r="BX331" s="152" t="n">
        <v>-47.7732494</v>
      </c>
      <c r="BY331" s="152" t="s">
        <v>2780</v>
      </c>
    </row>
    <row r="332" customFormat="false" ht="13.8" hidden="false" customHeight="false" outlineLevel="0" collapsed="false">
      <c r="A332" s="149" t="n">
        <f aca="false">IF(C332&lt;&gt;"",ROW(A327),"")</f>
        <v>327</v>
      </c>
      <c r="B332" s="150" t="str">
        <f aca="false">HYPERLINK("https://www.google.com/maps/dir/-15.917302,-47.760003/-15.9221784,-47.7745548/data=!4m3!4m2!3e0!5i1")</f>
        <v>https://www.google.com/maps/dir/-15.917302,-47.760003/-15.9221784,-47.7745548/data=!4m3!4m2!3e0!5i1</v>
      </c>
      <c r="C332" s="151" t="s">
        <v>117</v>
      </c>
      <c r="D332" s="152" t="s">
        <v>112</v>
      </c>
      <c r="E332" s="152" t="s">
        <v>113</v>
      </c>
      <c r="F332" s="152" t="s">
        <v>117</v>
      </c>
      <c r="G332" s="152" t="s">
        <v>114</v>
      </c>
      <c r="H332" s="152" t="n">
        <v>250</v>
      </c>
      <c r="I332" s="152" t="s">
        <v>115</v>
      </c>
      <c r="J332" s="152" t="s">
        <v>6</v>
      </c>
      <c r="K332" s="152" t="s">
        <v>2522</v>
      </c>
      <c r="L332" s="152" t="s">
        <v>120</v>
      </c>
      <c r="M332" s="153" t="n">
        <f aca="false">4.45</f>
        <v>4.45</v>
      </c>
      <c r="N332" s="152" t="s">
        <v>1548</v>
      </c>
      <c r="O332" s="152" t="s">
        <v>1549</v>
      </c>
      <c r="P332" s="152" t="s">
        <v>1550</v>
      </c>
      <c r="Q332" s="152" t="s">
        <v>1551</v>
      </c>
      <c r="R332" s="154" t="s">
        <v>2782</v>
      </c>
      <c r="S332" s="154" t="s">
        <v>1593</v>
      </c>
      <c r="T332" s="155" t="s">
        <v>2227</v>
      </c>
      <c r="U332" s="152" t="str">
        <f aca="false">RIGHT(T332,7)</f>
        <v>008/037</v>
      </c>
      <c r="V332" s="152" t="s">
        <v>1555</v>
      </c>
      <c r="W332" s="156" t="n">
        <v>45882</v>
      </c>
      <c r="X332" s="152" t="s">
        <v>1594</v>
      </c>
      <c r="Y332" s="152"/>
      <c r="Z332" s="152" t="s">
        <v>1557</v>
      </c>
      <c r="AA332" s="153" t="n">
        <v>3.9</v>
      </c>
      <c r="AB332" s="151" t="s">
        <v>2783</v>
      </c>
      <c r="AC332" s="151" t="s">
        <v>511</v>
      </c>
      <c r="AD332" s="151" t="str">
        <f aca="false">CONCATENATE($C332,$I332,$H332,$N332,$J332,$K332)</f>
        <v>TUBO PEADPEAD250VCAREDESZona03</v>
      </c>
      <c r="AE332" s="153" t="n">
        <f aca="false">IFERROR(INDEX(APOIO_REDES!$A:$W,MATCH($C332&amp;$I332&amp;$H332&amp;$N332&amp;$O332,APOIO_REDES!$W:$W,0),MATCH(AE$5,APOIO_REDES!$5:$5,0)),0)</f>
        <v>1.2</v>
      </c>
      <c r="AF332" s="153" t="n">
        <f aca="false">IFERROR(INDEX(APOIO_REDES!$A:$W,MATCH($C332&amp;$I332&amp;$H332&amp;$N332&amp;$O332,APOIO_REDES!$W:$W,0),MATCH(AF$5,APOIO_REDES!$5:$5,0)),0)</f>
        <v>1.55</v>
      </c>
      <c r="AG332" s="153" t="n">
        <f aca="false">IFERROR(INDEX(APOIO_REDES!$A:$W,MATCH($C332&amp;$I332&amp;$H332&amp;$N332&amp;$O332,APOIO_REDES!$W:$W,0),MATCH(AG$5,APOIO_REDES!$5:$5,0)),0)</f>
        <v>0.85</v>
      </c>
      <c r="AH332" s="153" t="n">
        <f aca="false">IFERROR(INDEX(APOIO_REDES!$A:$W,MATCH($C332&amp;$I332&amp;$H332&amp;$N332&amp;$O332,APOIO_REDES!$W:$W,0),MATCH(AH$5,APOIO_REDES!$5:$5,0)),0)</f>
        <v>0.1</v>
      </c>
      <c r="AI332" s="153" t="n">
        <f aca="false">IFERROR(IF($H332&lt;&gt;"",(((($H332/1000)/2)^2)*PI()*$M332),0),0)</f>
        <v>0.218438864194915</v>
      </c>
      <c r="AJ332" s="153" t="n">
        <f aca="false">IFERROR(IF(AND($H332&lt;&gt;"",$I332="FoFo",OR($N332="MND",$N332="VCA"),$Q332="LINEAR"),0,IF(AND($H332&lt;&gt;"",$I332="PEAD",$N332="VCA",$Q332="LINEAR"),($H332/1000)+0.3,IF(AND($H332&lt;&gt;"",$I332="PEAD",$N332="MND",$Q332="EMBOQUE"),0,IF(AND($H332&lt;&gt;"",$I332="PVC",$N332="VCA",$Q332="LINEAR"),($H332/1000)+0.2,IF(AND($H332&lt;&gt;"",$I332="PVC",$N332="MND",$Q332="EMBOQUE"),0,IF(AND($H332&lt;&gt;"",$I332="PEAD",$N332="VCA",$Q332="PREDIAL"),0,0)))))),0)</f>
        <v>0.55</v>
      </c>
      <c r="AK332" s="153" t="n">
        <f aca="false">IF(AA332&lt;&gt;"",AA332,0)</f>
        <v>3.9</v>
      </c>
      <c r="AL332" s="153" t="n">
        <f aca="false">IF(AND($N332="MND",$Q332="EMBOQUE"),$M332,IF(AND($N332="VCA",$Q332="LINEAR"),$M332,IF(AND($N332="VCA",$Q332="PREDIAL"),0,0)))</f>
        <v>4.45</v>
      </c>
      <c r="AM332" s="153" t="n">
        <f aca="false">IF(AND($N332="MND",$Q332="EMBOQUE"),$M332,IF(AND($N332="VCA",$Q332="LINEAR"),$M332,IF(AND($N332="VCA",$Q332="PREDIAL"),0,0)))</f>
        <v>4.45</v>
      </c>
      <c r="AN332" s="153" t="n">
        <f aca="false">ROUND(IF(AND($N332="VCA",$M332&lt;&gt;"",$Q332="LINEAR"),$M332/100,IF(AND($N332="MND",$M332&gt;100,$Q332="EMBOQUE"),$M332/100,0)),0)</f>
        <v>0</v>
      </c>
      <c r="AO332" s="153" t="n">
        <f aca="false">IF(AND($N332="MND",$Q332="EMBOQUE"),$AN332*2*2,IF(AND($N332="VCA",$Q332="LINEAR"),$M332*2,IF(AND($N332="VCA",$Q332="PREDIAL"),0,0)))</f>
        <v>8.9</v>
      </c>
      <c r="AP332" s="153" t="n">
        <f aca="false">IFERROR($M332*$AF332*$AG332,0)</f>
        <v>5.862875</v>
      </c>
      <c r="AQ332" s="153" t="n">
        <f aca="false">IFERROR(IF(AND($N332="VCA",$AH332&gt;0),$M332*$AG332*$AH332,0),0)</f>
        <v>0.37825</v>
      </c>
      <c r="AR332" s="153" t="n">
        <f aca="false">IFERROR(IF(AND($N332="VCA",$AJ332&gt;0),($M332*$AG332*$AJ332)-$AI332,0),0)</f>
        <v>1.86193613580508</v>
      </c>
      <c r="AS332" s="153" t="n">
        <f aca="false">IFERROR(IF(AND($N332="VCA",$AP332&gt;0),$AP332-$AI332-$AQ332-$AR332,0),0)</f>
        <v>3.40425</v>
      </c>
      <c r="AT332" s="153" t="n">
        <f aca="false">IFERROR(IF($N332="VCA",INDEX(APOIO_REDES!$A:$W,MATCH($C332&amp;$I332&amp;$H332&amp;$N332&amp;$O332,APOIO_REDES!$W:$W,0),MATCH(AT$5,APOIO_REDES!$5:$5,0)),0)*$AP332,0)</f>
        <v>0.0637898153224207</v>
      </c>
      <c r="AU332" s="153" t="n">
        <f aca="false">IFERROR(IF($N332="VCA",INDEX(APOIO_REDES!$A:$W,MATCH($C332&amp;$I332&amp;$H332&amp;$N332&amp;$O332,APOIO_REDES!$W:$W,0),MATCH(AU$5,APOIO_REDES!$5:$5,0)),0)*$AP332,0)</f>
        <v>0.0509408188691851</v>
      </c>
      <c r="AV332" s="153" t="n">
        <f aca="false">IFERROR(IF($N332="VCA",INDEX(APOIO_REDES!$A:$W,MATCH($C332&amp;$I332&amp;$H332&amp;$N332&amp;$O332,APOIO_REDES!$W:$W,0),MATCH(AV$5,APOIO_REDES!$5:$5,0)),0)*$AP332,0)</f>
        <v>0.00704980943038775</v>
      </c>
      <c r="AW332" s="153" t="n">
        <f aca="false">IFERROR(IF($N332="VCA",INDEX(APOIO_REDES!$A:$W,MATCH($C332&amp;$I332&amp;$H332&amp;$N332&amp;$O332,APOIO_REDES!$W:$W,0),MATCH(AW$5,APOIO_REDES!$5:$5,0)),0)*$AP332,0)</f>
        <v>4.02432282777227</v>
      </c>
      <c r="AX332" s="153" t="n">
        <f aca="false">IFERROR(IF($N332="VCA",INDEX(APOIO_REDES!$A:$W,MATCH($C332&amp;$I332&amp;$H332&amp;$N332&amp;$O332,APOIO_REDES!$W:$W,0),MATCH(AX$5,APOIO_REDES!$5:$5,0)),0)*$AP332,0)</f>
        <v>0.556954815863115</v>
      </c>
      <c r="AY332" s="153" t="n">
        <f aca="false">IFERROR(IF($N332="VCA",INDEX(APOIO_REDES!$A:$W,MATCH($C332&amp;$I332&amp;$H332&amp;$N332&amp;$O332,APOIO_REDES!$W:$W,0),MATCH(AY$5,APOIO_REDES!$5:$5,0)),0)*$AP332,0)</f>
        <v>1.01881575641925</v>
      </c>
      <c r="AZ332" s="153" t="n">
        <f aca="false">IFERROR(IF($N332="VCA",INDEX(APOIO_REDES!$A:$W,MATCH($C332&amp;$I332&amp;$H332&amp;$N332&amp;$O332,APOIO_REDES!$W:$W,0),MATCH(AZ$5,APOIO_REDES!$5:$5,0)),0)*$AP332,0)</f>
        <v>0.141001156323376</v>
      </c>
      <c r="BA332" s="153" t="n">
        <f aca="false">IFERROR(IF(AND($N332="VCA",$Q332="LINEAR"),INDEX(APOIO_REDES!$A:$W,MATCH($C332&amp;$I332&amp;$H332&amp;$N332&amp;$O332,APOIO_REDES!$W:$W,0),MATCH(BA$5,APOIO_REDES!$5:$5,0)),IF(AND($N332="MND",$Q332="EMBOQUE"),INDEX(APOIO_REDES!$A:$W,MATCH($C332&amp;$I332&amp;$H332&amp;$N332&amp;$O332,APOIO_REDES!$W:$W,0),MATCH(BA$5,APOIO_REDES!$5:$5,0)),0))*$M332/10,0)</f>
        <v>0.358658775230022</v>
      </c>
      <c r="BB332" s="153" t="n">
        <f aca="false">IFERROR(IF($N332="VCA",INDEX(APOIO_REDES!$A:$W,MATCH($C332&amp;$I332&amp;$H332&amp;$N332&amp;$O332,APOIO_REDES!$W:$W,0),MATCH(BB$5,APOIO_REDES!$5:$5,0)),0)*($AI332+$AQ332+$AR332),0)</f>
        <v>2.43187443228415</v>
      </c>
      <c r="BC332" s="153" t="n">
        <f aca="false">IFERROR(IF($N332="VCA",INDEX(APOIO_REDES!$A:$W,MATCH($C332&amp;$I332&amp;$H332&amp;$N332&amp;$O332,APOIO_REDES!$W:$W,0),MATCH(BC$5,APOIO_REDES!$5:$5,0)),0)*($AI332+$AQ332+$AR332),0)</f>
        <v>0.0267505677158538</v>
      </c>
      <c r="BD332" s="153" t="n">
        <f aca="false">IF(AND($N332="VCA",$AF332&gt;=1.25,$AF332&lt;1.5),$M332*$AF332*2,0)</f>
        <v>0</v>
      </c>
      <c r="BE332" s="153" t="n">
        <f aca="false">IF(AND($N332="VCA",$AF332&gt;=1.5,$AF332&lt;3),$M332*$AF332*2,0)</f>
        <v>13.795</v>
      </c>
      <c r="BF332" s="153" t="n">
        <f aca="false">IF(AND($N332="VCA",$AF332&gt;=3),$M332*$AF332*2,0)</f>
        <v>0</v>
      </c>
      <c r="BG332" s="153" t="n">
        <f aca="false">($BB332+$BC332)*$AK332</f>
        <v>9.5886375</v>
      </c>
      <c r="BH332" s="153" t="n">
        <f aca="false">IF(AND($M332&lt;&gt;"",$N332="VCA",$Q332="LINEAR"),($M332*2)/100,IF(AND($M332&lt;&gt;"",$N332="MND",$Q332="EMBOQUE"),($AN332*2)/100,0))</f>
        <v>0.089</v>
      </c>
      <c r="BI332" s="153" t="n">
        <f aca="false">IF(AND($M332&lt;&gt;"",$N332="VCA",$Q332="LINEAR"),$M332,IF(AND($M332&lt;&gt;"",$N332="MND",$Q332="EMBOQUE"),$AN332*2,0))</f>
        <v>4.45</v>
      </c>
      <c r="BJ332" s="153" t="n">
        <f aca="false">IF(AND($M332&lt;&gt;"",$N332="VCA",$Q332="LINEAR"),($M332*6.8)/100,IF(AND($M332&lt;&gt;"",$N332="MND",$Q332="EMBOQUE"),($AN332*2*6.8)/100,0))</f>
        <v>0.3026</v>
      </c>
      <c r="BK332" s="153" t="n">
        <f aca="false">IF(AND($M332&lt;&gt;"",$N332="VCA",$Q332="LINEAR"),($M332*2.5)/50,IF(AND($M332&lt;&gt;"",$N332="MND",$Q332="EMBOQUE"),($AN332*2*2.5)/50,0))</f>
        <v>0.2225</v>
      </c>
      <c r="BL332" s="157" t="str">
        <f aca="false">K332&amp;J332</f>
        <v>Zona03REDES</v>
      </c>
      <c r="BM332" s="152" t="s">
        <v>2526</v>
      </c>
      <c r="BN332" s="152" t="s">
        <v>1560</v>
      </c>
      <c r="BO332" s="152" t="s">
        <v>2231</v>
      </c>
      <c r="BP332" s="152" t="s">
        <v>2777</v>
      </c>
      <c r="BQ332" s="152" t="s">
        <v>2784</v>
      </c>
      <c r="BR332" s="152" t="s">
        <v>2769</v>
      </c>
      <c r="BS332" s="152" t="n">
        <v>202931.975</v>
      </c>
      <c r="BT332" s="152" t="n">
        <v>8237698.539</v>
      </c>
      <c r="BU332" s="152" t="n">
        <v>202929.827</v>
      </c>
      <c r="BV332" s="152" t="n">
        <v>8237694.647</v>
      </c>
      <c r="BW332" s="152" t="n">
        <v>-15.9221948</v>
      </c>
      <c r="BX332" s="152" t="n">
        <v>-47.7745667</v>
      </c>
      <c r="BY332" s="152" t="s">
        <v>2777</v>
      </c>
    </row>
    <row r="333" customFormat="false" ht="13.8" hidden="false" customHeight="false" outlineLevel="0" collapsed="false">
      <c r="A333" s="149" t="n">
        <f aca="false">IF(C333&lt;&gt;"",ROW(A328),"")</f>
        <v>328</v>
      </c>
      <c r="B333" s="150" t="str">
        <f aca="false">HYPERLINK("https://www.google.com/maps/dir/-15.917302,-47.760003/-15.9222126,-47.7745764/data=!4m3!4m2!3e0!5i1")</f>
        <v>https://www.google.com/maps/dir/-15.917302,-47.760003/-15.9222126,-47.7745764/data=!4m3!4m2!3e0!5i1</v>
      </c>
      <c r="C333" s="151" t="s">
        <v>117</v>
      </c>
      <c r="D333" s="152" t="s">
        <v>112</v>
      </c>
      <c r="E333" s="152" t="s">
        <v>113</v>
      </c>
      <c r="F333" s="152" t="s">
        <v>117</v>
      </c>
      <c r="G333" s="152" t="s">
        <v>114</v>
      </c>
      <c r="H333" s="152" t="n">
        <v>250</v>
      </c>
      <c r="I333" s="152" t="s">
        <v>115</v>
      </c>
      <c r="J333" s="152" t="s">
        <v>6</v>
      </c>
      <c r="K333" s="152" t="s">
        <v>2522</v>
      </c>
      <c r="L333" s="152" t="s">
        <v>120</v>
      </c>
      <c r="M333" s="153" t="n">
        <f aca="false">2.46</f>
        <v>2.46</v>
      </c>
      <c r="N333" s="152" t="s">
        <v>1548</v>
      </c>
      <c r="O333" s="152" t="s">
        <v>1549</v>
      </c>
      <c r="P333" s="152" t="s">
        <v>1550</v>
      </c>
      <c r="Q333" s="152" t="s">
        <v>1551</v>
      </c>
      <c r="R333" s="154" t="s">
        <v>2785</v>
      </c>
      <c r="S333" s="154" t="s">
        <v>1593</v>
      </c>
      <c r="T333" s="155" t="s">
        <v>2227</v>
      </c>
      <c r="U333" s="152" t="str">
        <f aca="false">RIGHT(T333,7)</f>
        <v>008/037</v>
      </c>
      <c r="V333" s="152" t="s">
        <v>1555</v>
      </c>
      <c r="W333" s="156" t="n">
        <v>45882</v>
      </c>
      <c r="X333" s="152" t="s">
        <v>1594</v>
      </c>
      <c r="Y333" s="152"/>
      <c r="Z333" s="152" t="s">
        <v>1557</v>
      </c>
      <c r="AA333" s="153" t="n">
        <v>3.9</v>
      </c>
      <c r="AB333" s="151" t="s">
        <v>2786</v>
      </c>
      <c r="AC333" s="151" t="s">
        <v>511</v>
      </c>
      <c r="AD333" s="151" t="str">
        <f aca="false">CONCATENATE($C333,$I333,$H333,$N333,$J333,$K333)</f>
        <v>TUBO PEADPEAD250VCAREDESZona03</v>
      </c>
      <c r="AE333" s="153" t="n">
        <f aca="false">IFERROR(INDEX(APOIO_REDES!$A:$W,MATCH($C333&amp;$I333&amp;$H333&amp;$N333&amp;$O333,APOIO_REDES!$W:$W,0),MATCH(AE$5,APOIO_REDES!$5:$5,0)),0)</f>
        <v>1.2</v>
      </c>
      <c r="AF333" s="153" t="n">
        <f aca="false">IFERROR(INDEX(APOIO_REDES!$A:$W,MATCH($C333&amp;$I333&amp;$H333&amp;$N333&amp;$O333,APOIO_REDES!$W:$W,0),MATCH(AF$5,APOIO_REDES!$5:$5,0)),0)</f>
        <v>1.55</v>
      </c>
      <c r="AG333" s="153" t="n">
        <f aca="false">IFERROR(INDEX(APOIO_REDES!$A:$W,MATCH($C333&amp;$I333&amp;$H333&amp;$N333&amp;$O333,APOIO_REDES!$W:$W,0),MATCH(AG$5,APOIO_REDES!$5:$5,0)),0)</f>
        <v>0.85</v>
      </c>
      <c r="AH333" s="153" t="n">
        <f aca="false">IFERROR(INDEX(APOIO_REDES!$A:$W,MATCH($C333&amp;$I333&amp;$H333&amp;$N333&amp;$O333,APOIO_REDES!$W:$W,0),MATCH(AH$5,APOIO_REDES!$5:$5,0)),0)</f>
        <v>0.1</v>
      </c>
      <c r="AI333" s="153" t="n">
        <f aca="false">IFERROR(IF($H333&lt;&gt;"",(((($H333/1000)/2)^2)*PI()*$M333),0),0)</f>
        <v>0.120754967622358</v>
      </c>
      <c r="AJ333" s="153" t="n">
        <f aca="false">IFERROR(IF(AND($H333&lt;&gt;"",$I333="FoFo",OR($N333="MND",$N333="VCA"),$Q333="LINEAR"),0,IF(AND($H333&lt;&gt;"",$I333="PEAD",$N333="VCA",$Q333="LINEAR"),($H333/1000)+0.3,IF(AND($H333&lt;&gt;"",$I333="PEAD",$N333="MND",$Q333="EMBOQUE"),0,IF(AND($H333&lt;&gt;"",$I333="PVC",$N333="VCA",$Q333="LINEAR"),($H333/1000)+0.2,IF(AND($H333&lt;&gt;"",$I333="PVC",$N333="MND",$Q333="EMBOQUE"),0,IF(AND($H333&lt;&gt;"",$I333="PEAD",$N333="VCA",$Q333="PREDIAL"),0,0)))))),0)</f>
        <v>0.55</v>
      </c>
      <c r="AK333" s="153" t="n">
        <f aca="false">IF(AA333&lt;&gt;"",AA333,0)</f>
        <v>3.9</v>
      </c>
      <c r="AL333" s="153" t="n">
        <f aca="false">IF(AND($N333="MND",$Q333="EMBOQUE"),$M333,IF(AND($N333="VCA",$Q333="LINEAR"),$M333,IF(AND($N333="VCA",$Q333="PREDIAL"),0,0)))</f>
        <v>2.46</v>
      </c>
      <c r="AM333" s="153" t="n">
        <f aca="false">IF(AND($N333="MND",$Q333="EMBOQUE"),$M333,IF(AND($N333="VCA",$Q333="LINEAR"),$M333,IF(AND($N333="VCA",$Q333="PREDIAL"),0,0)))</f>
        <v>2.46</v>
      </c>
      <c r="AN333" s="153" t="n">
        <f aca="false">ROUND(IF(AND($N333="VCA",$M333&lt;&gt;"",$Q333="LINEAR"),$M333/100,IF(AND($N333="MND",$M333&gt;100,$Q333="EMBOQUE"),$M333/100,0)),0)</f>
        <v>0</v>
      </c>
      <c r="AO333" s="153" t="n">
        <f aca="false">IF(AND($N333="MND",$Q333="EMBOQUE"),$AN333*2*2,IF(AND($N333="VCA",$Q333="LINEAR"),$M333*2,IF(AND($N333="VCA",$Q333="PREDIAL"),0,0)))</f>
        <v>4.92</v>
      </c>
      <c r="AP333" s="153" t="n">
        <f aca="false">IFERROR($M333*$AF333*$AG333,0)</f>
        <v>3.24105</v>
      </c>
      <c r="AQ333" s="153" t="n">
        <f aca="false">IFERROR(IF(AND($N333="VCA",$AH333&gt;0),$M333*$AG333*$AH333,0),0)</f>
        <v>0.2091</v>
      </c>
      <c r="AR333" s="153" t="n">
        <f aca="false">IFERROR(IF(AND($N333="VCA",$AJ333&gt;0),($M333*$AG333*$AJ333)-$AI333,0),0)</f>
        <v>1.02929503237764</v>
      </c>
      <c r="AS333" s="153" t="n">
        <f aca="false">IFERROR(IF(AND($N333="VCA",$AP333&gt;0),$AP333-$AI333-$AQ333-$AR333,0),0)</f>
        <v>1.8819</v>
      </c>
      <c r="AT333" s="153" t="n">
        <f aca="false">IFERROR(IF($N333="VCA",INDEX(APOIO_REDES!$A:$W,MATCH($C333&amp;$I333&amp;$H333&amp;$N333&amp;$O333,APOIO_REDES!$W:$W,0),MATCH(AT$5,APOIO_REDES!$5:$5,0)),0)*$AP333,0)</f>
        <v>0.0352635833018325</v>
      </c>
      <c r="AU333" s="153" t="n">
        <f aca="false">IFERROR(IF($N333="VCA",INDEX(APOIO_REDES!$A:$W,MATCH($C333&amp;$I333&amp;$H333&amp;$N333&amp;$O333,APOIO_REDES!$W:$W,0),MATCH(AU$5,APOIO_REDES!$5:$5,0)),0)*$AP333,0)</f>
        <v>0.0281605425658866</v>
      </c>
      <c r="AV333" s="153" t="n">
        <f aca="false">IFERROR(IF($N333="VCA",INDEX(APOIO_REDES!$A:$W,MATCH($C333&amp;$I333&amp;$H333&amp;$N333&amp;$O333,APOIO_REDES!$W:$W,0),MATCH(AV$5,APOIO_REDES!$5:$5,0)),0)*$AP333,0)</f>
        <v>0.00389719802219188</v>
      </c>
      <c r="AW333" s="153" t="n">
        <f aca="false">IFERROR(IF($N333="VCA",INDEX(APOIO_REDES!$A:$W,MATCH($C333&amp;$I333&amp;$H333&amp;$N333&amp;$O333,APOIO_REDES!$W:$W,0),MATCH(AW$5,APOIO_REDES!$5:$5,0)),0)*$AP333,0)</f>
        <v>2.22468183288085</v>
      </c>
      <c r="AX333" s="153" t="n">
        <f aca="false">IFERROR(IF($N333="VCA",INDEX(APOIO_REDES!$A:$W,MATCH($C333&amp;$I333&amp;$H333&amp;$N333&amp;$O333,APOIO_REDES!$W:$W,0),MATCH(AX$5,APOIO_REDES!$5:$5,0)),0)*$AP333,0)</f>
        <v>0.307889628544554</v>
      </c>
      <c r="AY333" s="153" t="n">
        <f aca="false">IFERROR(IF($N333="VCA",INDEX(APOIO_REDES!$A:$W,MATCH($C333&amp;$I333&amp;$H333&amp;$N333&amp;$O333,APOIO_REDES!$W:$W,0),MATCH(AY$5,APOIO_REDES!$5:$5,0)),0)*$AP333,0)</f>
        <v>0.563210508043001</v>
      </c>
      <c r="AZ333" s="153" t="n">
        <f aca="false">IFERROR(IF($N333="VCA",INDEX(APOIO_REDES!$A:$W,MATCH($C333&amp;$I333&amp;$H333&amp;$N333&amp;$O333,APOIO_REDES!$W:$W,0),MATCH(AZ$5,APOIO_REDES!$5:$5,0)),0)*$AP333,0)</f>
        <v>0.0779467066416863</v>
      </c>
      <c r="BA333" s="153" t="n">
        <f aca="false">IFERROR(IF(AND($N333="VCA",$Q333="LINEAR"),INDEX(APOIO_REDES!$A:$W,MATCH($C333&amp;$I333&amp;$H333&amp;$N333&amp;$O333,APOIO_REDES!$W:$W,0),MATCH(BA$5,APOIO_REDES!$5:$5,0)),IF(AND($N333="MND",$Q333="EMBOQUE"),INDEX(APOIO_REDES!$A:$W,MATCH($C333&amp;$I333&amp;$H333&amp;$N333&amp;$O333,APOIO_REDES!$W:$W,0),MATCH(BA$5,APOIO_REDES!$5:$5,0)),0))*$M333/10,0)</f>
        <v>0.19826979484626</v>
      </c>
      <c r="BB333" s="153" t="n">
        <f aca="false">IFERROR(IF($N333="VCA",INDEX(APOIO_REDES!$A:$W,MATCH($C333&amp;$I333&amp;$H333&amp;$N333&amp;$O333,APOIO_REDES!$W:$W,0),MATCH(BB$5,APOIO_REDES!$5:$5,0)),0)*($AI333+$AQ333+$AR333),0)</f>
        <v>1.34436204571213</v>
      </c>
      <c r="BC333" s="153" t="n">
        <f aca="false">IFERROR(IF($N333="VCA",INDEX(APOIO_REDES!$A:$W,MATCH($C333&amp;$I333&amp;$H333&amp;$N333&amp;$O333,APOIO_REDES!$W:$W,0),MATCH(BC$5,APOIO_REDES!$5:$5,0)),0)*($AI333+$AQ333+$AR333),0)</f>
        <v>0.0147879542878653</v>
      </c>
      <c r="BD333" s="153" t="n">
        <f aca="false">IF(AND($N333="VCA",$AF333&gt;=1.25,$AF333&lt;1.5),$M333*$AF333*2,0)</f>
        <v>0</v>
      </c>
      <c r="BE333" s="153" t="n">
        <f aca="false">IF(AND($N333="VCA",$AF333&gt;=1.5,$AF333&lt;3),$M333*$AF333*2,0)</f>
        <v>7.626</v>
      </c>
      <c r="BF333" s="153" t="n">
        <f aca="false">IF(AND($N333="VCA",$AF333&gt;=3),$M333*$AF333*2,0)</f>
        <v>0</v>
      </c>
      <c r="BG333" s="153" t="n">
        <f aca="false">($BB333+$BC333)*$AK333</f>
        <v>5.300685</v>
      </c>
      <c r="BH333" s="153" t="n">
        <f aca="false">IF(AND($M333&lt;&gt;"",$N333="VCA",$Q333="LINEAR"),($M333*2)/100,IF(AND($M333&lt;&gt;"",$N333="MND",$Q333="EMBOQUE"),($AN333*2)/100,0))</f>
        <v>0.0492</v>
      </c>
      <c r="BI333" s="153" t="n">
        <f aca="false">IF(AND($M333&lt;&gt;"",$N333="VCA",$Q333="LINEAR"),$M333,IF(AND($M333&lt;&gt;"",$N333="MND",$Q333="EMBOQUE"),$AN333*2,0))</f>
        <v>2.46</v>
      </c>
      <c r="BJ333" s="153" t="n">
        <f aca="false">IF(AND($M333&lt;&gt;"",$N333="VCA",$Q333="LINEAR"),($M333*6.8)/100,IF(AND($M333&lt;&gt;"",$N333="MND",$Q333="EMBOQUE"),($AN333*2*6.8)/100,0))</f>
        <v>0.16728</v>
      </c>
      <c r="BK333" s="153" t="n">
        <f aca="false">IF(AND($M333&lt;&gt;"",$N333="VCA",$Q333="LINEAR"),($M333*2.5)/50,IF(AND($M333&lt;&gt;"",$N333="MND",$Q333="EMBOQUE"),($AN333*2*2.5)/50,0))</f>
        <v>0.123</v>
      </c>
      <c r="BL333" s="157" t="str">
        <f aca="false">K333&amp;J333</f>
        <v>Zona03REDES</v>
      </c>
      <c r="BM333" s="152" t="s">
        <v>2526</v>
      </c>
      <c r="BN333" s="152" t="s">
        <v>1560</v>
      </c>
      <c r="BO333" s="152" t="s">
        <v>2231</v>
      </c>
      <c r="BP333" s="152" t="s">
        <v>2784</v>
      </c>
      <c r="BQ333" s="152" t="s">
        <v>2364</v>
      </c>
      <c r="BR333" s="152" t="s">
        <v>2365</v>
      </c>
      <c r="BS333" s="152" t="n">
        <v>202929.827</v>
      </c>
      <c r="BT333" s="152" t="n">
        <v>8237694.647</v>
      </c>
      <c r="BU333" s="152" t="n">
        <v>202927.548</v>
      </c>
      <c r="BV333" s="152" t="n">
        <v>8237695.571</v>
      </c>
      <c r="BW333" s="152" t="n">
        <v>-15.9222083</v>
      </c>
      <c r="BX333" s="152" t="n">
        <v>-47.7745869</v>
      </c>
      <c r="BY333" s="152" t="s">
        <v>2784</v>
      </c>
    </row>
    <row r="334" customFormat="false" ht="13.8" hidden="false" customHeight="false" outlineLevel="0" collapsed="false">
      <c r="A334" s="149" t="n">
        <f aca="false">IF(C334&lt;&gt;"",ROW(A329),"")</f>
        <v>329</v>
      </c>
      <c r="B334" s="150" t="str">
        <f aca="false">HYPERLINK("https://www.google.com/maps/dir/-15.917302,-47.760003/-15.9221698,-47.7745510/data=!4m3!4m2!3e0!5i1")</f>
        <v>https://www.google.com/maps/dir/-15.917302,-47.760003/-15.9221698,-47.7745510/data=!4m3!4m2!3e0!5i1</v>
      </c>
      <c r="C334" s="151" t="s">
        <v>117</v>
      </c>
      <c r="D334" s="152" t="s">
        <v>112</v>
      </c>
      <c r="E334" s="152" t="s">
        <v>113</v>
      </c>
      <c r="F334" s="152" t="s">
        <v>117</v>
      </c>
      <c r="G334" s="152" t="s">
        <v>114</v>
      </c>
      <c r="H334" s="152" t="n">
        <v>160</v>
      </c>
      <c r="I334" s="152" t="s">
        <v>115</v>
      </c>
      <c r="J334" s="152" t="s">
        <v>6</v>
      </c>
      <c r="K334" s="152" t="s">
        <v>2522</v>
      </c>
      <c r="L334" s="152" t="s">
        <v>120</v>
      </c>
      <c r="M334" s="153" t="n">
        <f aca="false">25.47+0.12</f>
        <v>25.59</v>
      </c>
      <c r="N334" s="152" t="s">
        <v>1548</v>
      </c>
      <c r="O334" s="152" t="s">
        <v>1549</v>
      </c>
      <c r="P334" s="152" t="s">
        <v>1550</v>
      </c>
      <c r="Q334" s="152" t="s">
        <v>1551</v>
      </c>
      <c r="R334" s="154" t="s">
        <v>2787</v>
      </c>
      <c r="S334" s="154" t="s">
        <v>1593</v>
      </c>
      <c r="T334" s="155" t="s">
        <v>2227</v>
      </c>
      <c r="U334" s="152" t="str">
        <f aca="false">RIGHT(T334,7)</f>
        <v>008/037</v>
      </c>
      <c r="V334" s="152" t="s">
        <v>1555</v>
      </c>
      <c r="W334" s="156" t="n">
        <v>45882</v>
      </c>
      <c r="X334" s="152" t="s">
        <v>1594</v>
      </c>
      <c r="Y334" s="152"/>
      <c r="Z334" s="152" t="s">
        <v>1557</v>
      </c>
      <c r="AA334" s="153" t="n">
        <v>3.9</v>
      </c>
      <c r="AB334" s="151" t="s">
        <v>2788</v>
      </c>
      <c r="AC334" s="151" t="s">
        <v>505</v>
      </c>
      <c r="AD334" s="151" t="str">
        <f aca="false">CONCATENATE($C334,$I334,$H334,$N334,$J334,$K334)</f>
        <v>TUBO PEADPEAD160VCAREDESZona03</v>
      </c>
      <c r="AE334" s="153" t="n">
        <f aca="false">IFERROR(INDEX(APOIO_REDES!$A:$W,MATCH($C334&amp;$I334&amp;$H334&amp;$N334&amp;$O334,APOIO_REDES!$W:$W,0),MATCH(AE$5,APOIO_REDES!$5:$5,0)),0)</f>
        <v>1.2</v>
      </c>
      <c r="AF334" s="153" t="n">
        <f aca="false">IFERROR(INDEX(APOIO_REDES!$A:$W,MATCH($C334&amp;$I334&amp;$H334&amp;$N334&amp;$O334,APOIO_REDES!$W:$W,0),MATCH(AF$5,APOIO_REDES!$5:$5,0)),0)</f>
        <v>1.46</v>
      </c>
      <c r="AG334" s="153" t="n">
        <f aca="false">IFERROR(INDEX(APOIO_REDES!$A:$W,MATCH($C334&amp;$I334&amp;$H334&amp;$N334&amp;$O334,APOIO_REDES!$W:$W,0),MATCH(AG$5,APOIO_REDES!$5:$5,0)),0)</f>
        <v>0.75</v>
      </c>
      <c r="AH334" s="153" t="n">
        <f aca="false">IFERROR(INDEX(APOIO_REDES!$A:$W,MATCH($C334&amp;$I334&amp;$H334&amp;$N334&amp;$O334,APOIO_REDES!$W:$W,0),MATCH(AH$5,APOIO_REDES!$5:$5,0)),0)</f>
        <v>0.1</v>
      </c>
      <c r="AI334" s="153" t="n">
        <f aca="false">IFERROR(IF($H334&lt;&gt;"",(((($H334/1000)/2)^2)*PI()*$M334),0),0)</f>
        <v>0.514517478434322</v>
      </c>
      <c r="AJ334" s="153" t="n">
        <f aca="false">IFERROR(IF(AND($H334&lt;&gt;"",$I334="FoFo",OR($N334="MND",$N334="VCA"),$Q334="LINEAR"),0,IF(AND($H334&lt;&gt;"",$I334="PEAD",$N334="VCA",$Q334="LINEAR"),($H334/1000)+0.3,IF(AND($H334&lt;&gt;"",$I334="PEAD",$N334="MND",$Q334="EMBOQUE"),0,IF(AND($H334&lt;&gt;"",$I334="PVC",$N334="VCA",$Q334="LINEAR"),($H334/1000)+0.2,IF(AND($H334&lt;&gt;"",$I334="PVC",$N334="MND",$Q334="EMBOQUE"),0,IF(AND($H334&lt;&gt;"",$I334="PEAD",$N334="VCA",$Q334="PREDIAL"),0,0)))))),0)</f>
        <v>0.46</v>
      </c>
      <c r="AK334" s="153" t="n">
        <f aca="false">IF(AA334&lt;&gt;"",AA334,0)</f>
        <v>3.9</v>
      </c>
      <c r="AL334" s="153" t="n">
        <f aca="false">IF(AND($N334="MND",$Q334="EMBOQUE"),$M334,IF(AND($N334="VCA",$Q334="LINEAR"),$M334,IF(AND($N334="VCA",$Q334="PREDIAL"),0,0)))</f>
        <v>25.59</v>
      </c>
      <c r="AM334" s="153" t="n">
        <f aca="false">IF(AND($N334="MND",$Q334="EMBOQUE"),$M334,IF(AND($N334="VCA",$Q334="LINEAR"),$M334,IF(AND($N334="VCA",$Q334="PREDIAL"),0,0)))</f>
        <v>25.59</v>
      </c>
      <c r="AN334" s="153" t="n">
        <f aca="false">ROUND(IF(AND($N334="VCA",$M334&lt;&gt;"",$Q334="LINEAR"),$M334/100,IF(AND($N334="MND",$M334&gt;100,$Q334="EMBOQUE"),$M334/100,0)),0)</f>
        <v>0</v>
      </c>
      <c r="AO334" s="153" t="n">
        <f aca="false">IF(AND($N334="MND",$Q334="EMBOQUE"),$AN334*2*2,IF(AND($N334="VCA",$Q334="LINEAR"),$M334*2,IF(AND($N334="VCA",$Q334="PREDIAL"),0,0)))</f>
        <v>51.18</v>
      </c>
      <c r="AP334" s="153" t="n">
        <f aca="false">IFERROR($M334*$AF334*$AG334,0)</f>
        <v>28.02105</v>
      </c>
      <c r="AQ334" s="153" t="n">
        <f aca="false">IFERROR(IF(AND($N334="VCA",$AH334&gt;0),$M334*$AG334*$AH334,0),0)</f>
        <v>1.91925</v>
      </c>
      <c r="AR334" s="153" t="n">
        <f aca="false">IFERROR(IF(AND($N334="VCA",$AJ334&gt;0),($M334*$AG334*$AJ334)-$AI334,0),0)</f>
        <v>8.31403252156568</v>
      </c>
      <c r="AS334" s="153" t="n">
        <f aca="false">IFERROR(IF(AND($N334="VCA",$AP334&gt;0),$AP334-$AI334-$AQ334-$AR334,0),0)</f>
        <v>17.27325</v>
      </c>
      <c r="AT334" s="153" t="n">
        <f aca="false">IFERROR(IF($N334="VCA",INDEX(APOIO_REDES!$A:$W,MATCH($C334&amp;$I334&amp;$H334&amp;$N334&amp;$O334,APOIO_REDES!$W:$W,0),MATCH(AT$5,APOIO_REDES!$5:$5,0)),0)*$AP334,0)</f>
        <v>0.304877317807444</v>
      </c>
      <c r="AU334" s="153" t="n">
        <f aca="false">IFERROR(IF($N334="VCA",INDEX(APOIO_REDES!$A:$W,MATCH($C334&amp;$I334&amp;$H334&amp;$N334&amp;$O334,APOIO_REDES!$W:$W,0),MATCH(AU$5,APOIO_REDES!$5:$5,0)),0)*$AP334,0)</f>
        <v>0.243466768876085</v>
      </c>
      <c r="AV334" s="153" t="n">
        <f aca="false">IFERROR(IF($N334="VCA",INDEX(APOIO_REDES!$A:$W,MATCH($C334&amp;$I334&amp;$H334&amp;$N334&amp;$O334,APOIO_REDES!$W:$W,0),MATCH(AV$5,APOIO_REDES!$5:$5,0)),0)*$AP334,0)</f>
        <v>0.0336938895233766</v>
      </c>
      <c r="AW334" s="153" t="n">
        <f aca="false">IFERROR(IF($N334="VCA",INDEX(APOIO_REDES!$A:$W,MATCH($C334&amp;$I334&amp;$H334&amp;$N334&amp;$O334,APOIO_REDES!$W:$W,0),MATCH(AW$5,APOIO_REDES!$5:$5,0)),0)*$AP334,0)</f>
        <v>19.2338658376902</v>
      </c>
      <c r="AX334" s="153" t="n">
        <f aca="false">IFERROR(IF($N334="VCA",INDEX(APOIO_REDES!$A:$W,MATCH($C334&amp;$I334&amp;$H334&amp;$N334&amp;$O334,APOIO_REDES!$W:$W,0),MATCH(AX$5,APOIO_REDES!$5:$5,0)),0)*$AP334,0)</f>
        <v>2.6619122432324</v>
      </c>
      <c r="AY334" s="153" t="n">
        <f aca="false">IFERROR(IF($N334="VCA",INDEX(APOIO_REDES!$A:$W,MATCH($C334&amp;$I334&amp;$H334&amp;$N334&amp;$O334,APOIO_REDES!$W:$W,0),MATCH(AY$5,APOIO_REDES!$5:$5,0)),0)*$AP334,0)</f>
        <v>4.86933240968153</v>
      </c>
      <c r="AZ334" s="153" t="n">
        <f aca="false">IFERROR(IF($N334="VCA",INDEX(APOIO_REDES!$A:$W,MATCH($C334&amp;$I334&amp;$H334&amp;$N334&amp;$O334,APOIO_REDES!$W:$W,0),MATCH(AZ$5,APOIO_REDES!$5:$5,0)),0)*$AP334,0)</f>
        <v>0.673901533188943</v>
      </c>
      <c r="BA334" s="153" t="n">
        <f aca="false">IFERROR(IF(AND($N334="VCA",$Q334="LINEAR"),INDEX(APOIO_REDES!$A:$W,MATCH($C334&amp;$I334&amp;$H334&amp;$N334&amp;$O334,APOIO_REDES!$W:$W,0),MATCH(BA$5,APOIO_REDES!$5:$5,0)),IF(AND($N334="MND",$Q334="EMBOQUE"),INDEX(APOIO_REDES!$A:$W,MATCH($C334&amp;$I334&amp;$H334&amp;$N334&amp;$O334,APOIO_REDES!$W:$W,0),MATCH(BA$5,APOIO_REDES!$5:$5,0)),0))*$M334/10,0)</f>
        <v>2.06248945126658</v>
      </c>
      <c r="BB334" s="153" t="n">
        <f aca="false">IFERROR(IF($N334="VCA",INDEX(APOIO_REDES!$A:$W,MATCH($C334&amp;$I334&amp;$H334&amp;$N334&amp;$O334,APOIO_REDES!$W:$W,0),MATCH(BB$5,APOIO_REDES!$5:$5,0)),0)*($AI334+$AQ334+$AR334),0)</f>
        <v>10.6308607548136</v>
      </c>
      <c r="BC334" s="153" t="n">
        <f aca="false">IFERROR(IF($N334="VCA",INDEX(APOIO_REDES!$A:$W,MATCH($C334&amp;$I334&amp;$H334&amp;$N334&amp;$O334,APOIO_REDES!$W:$W,0),MATCH(BC$5,APOIO_REDES!$5:$5,0)),0)*($AI334+$AQ334+$AR334),0)</f>
        <v>0.116939245186417</v>
      </c>
      <c r="BD334" s="153" t="n">
        <f aca="false">IF(AND($N334="VCA",$AF334&gt;=1.25,$AF334&lt;1.5),$M334*$AF334*2,0)</f>
        <v>74.7228</v>
      </c>
      <c r="BE334" s="153" t="n">
        <f aca="false">IF(AND($N334="VCA",$AF334&gt;=1.5,$AF334&lt;3),$M334*$AF334*2,0)</f>
        <v>0</v>
      </c>
      <c r="BF334" s="153" t="n">
        <f aca="false">IF(AND($N334="VCA",$AF334&gt;=3),$M334*$AF334*2,0)</f>
        <v>0</v>
      </c>
      <c r="BG334" s="153" t="n">
        <f aca="false">($BB334+$BC334)*$AK334</f>
        <v>41.91642</v>
      </c>
      <c r="BH334" s="153" t="n">
        <f aca="false">IF(AND($M334&lt;&gt;"",$N334="VCA",$Q334="LINEAR"),($M334*2)/100,IF(AND($M334&lt;&gt;"",$N334="MND",$Q334="EMBOQUE"),($AN334*2)/100,0))</f>
        <v>0.5118</v>
      </c>
      <c r="BI334" s="153" t="n">
        <f aca="false">IF(AND($M334&lt;&gt;"",$N334="VCA",$Q334="LINEAR"),$M334,IF(AND($M334&lt;&gt;"",$N334="MND",$Q334="EMBOQUE"),$AN334*2,0))</f>
        <v>25.59</v>
      </c>
      <c r="BJ334" s="153" t="n">
        <f aca="false">IF(AND($M334&lt;&gt;"",$N334="VCA",$Q334="LINEAR"),($M334*6.8)/100,IF(AND($M334&lt;&gt;"",$N334="MND",$Q334="EMBOQUE"),($AN334*2*6.8)/100,0))</f>
        <v>1.74012</v>
      </c>
      <c r="BK334" s="153" t="n">
        <f aca="false">IF(AND($M334&lt;&gt;"",$N334="VCA",$Q334="LINEAR"),($M334*2.5)/50,IF(AND($M334&lt;&gt;"",$N334="MND",$Q334="EMBOQUE"),($AN334*2*2.5)/50,0))</f>
        <v>1.2795</v>
      </c>
      <c r="BL334" s="157" t="str">
        <f aca="false">K334&amp;J334</f>
        <v>Zona03REDES</v>
      </c>
      <c r="BM334" s="152" t="s">
        <v>2526</v>
      </c>
      <c r="BN334" s="152" t="s">
        <v>1560</v>
      </c>
      <c r="BO334" s="152" t="s">
        <v>2231</v>
      </c>
      <c r="BP334" s="152" t="s">
        <v>2768</v>
      </c>
      <c r="BQ334" s="152" t="s">
        <v>2789</v>
      </c>
      <c r="BR334" s="152" t="s">
        <v>2790</v>
      </c>
      <c r="BS334" s="152" t="n">
        <v>202932.587</v>
      </c>
      <c r="BT334" s="152" t="n">
        <v>8237699.37</v>
      </c>
      <c r="BU334" s="152" t="n">
        <v>202956.73</v>
      </c>
      <c r="BV334" s="152" t="n">
        <v>8237691.663</v>
      </c>
      <c r="BW334" s="152" t="n">
        <v>-15.9222118</v>
      </c>
      <c r="BX334" s="152" t="n">
        <v>-47.7744401</v>
      </c>
      <c r="BY334" s="152" t="s">
        <v>2768</v>
      </c>
    </row>
    <row r="335" customFormat="false" ht="13.8" hidden="false" customHeight="false" outlineLevel="0" collapsed="false">
      <c r="A335" s="149" t="n">
        <f aca="false">IF(C335&lt;&gt;"",ROW(A330),"")</f>
        <v>330</v>
      </c>
      <c r="B335" s="150" t="str">
        <f aca="false">HYPERLINK("https://www.google.com/maps/dir/-15.917302,-47.760003/-15.9222428,-47.7743257/data=!4m3!4m2!3e0!5i1")</f>
        <v>https://www.google.com/maps/dir/-15.917302,-47.760003/-15.9222428,-47.7743257/data=!4m3!4m2!3e0!5i1</v>
      </c>
      <c r="C335" s="151" t="s">
        <v>117</v>
      </c>
      <c r="D335" s="152" t="s">
        <v>112</v>
      </c>
      <c r="E335" s="152" t="s">
        <v>113</v>
      </c>
      <c r="F335" s="152" t="s">
        <v>117</v>
      </c>
      <c r="G335" s="152" t="s">
        <v>114</v>
      </c>
      <c r="H335" s="152" t="n">
        <v>160</v>
      </c>
      <c r="I335" s="152" t="s">
        <v>115</v>
      </c>
      <c r="J335" s="152" t="s">
        <v>6</v>
      </c>
      <c r="K335" s="152" t="s">
        <v>2522</v>
      </c>
      <c r="L335" s="152" t="s">
        <v>120</v>
      </c>
      <c r="M335" s="153" t="n">
        <f aca="false">122.85</f>
        <v>122.85</v>
      </c>
      <c r="N335" s="152" t="s">
        <v>1548</v>
      </c>
      <c r="O335" s="152" t="s">
        <v>1549</v>
      </c>
      <c r="P335" s="152" t="s">
        <v>1550</v>
      </c>
      <c r="Q335" s="152" t="s">
        <v>1551</v>
      </c>
      <c r="R335" s="154" t="s">
        <v>2791</v>
      </c>
      <c r="S335" s="154" t="s">
        <v>1593</v>
      </c>
      <c r="T335" s="155" t="s">
        <v>2227</v>
      </c>
      <c r="U335" s="152" t="str">
        <f aca="false">RIGHT(T335,7)</f>
        <v>008/037</v>
      </c>
      <c r="V335" s="152" t="s">
        <v>1555</v>
      </c>
      <c r="W335" s="156" t="n">
        <v>45882</v>
      </c>
      <c r="X335" s="152" t="s">
        <v>1594</v>
      </c>
      <c r="Y335" s="152" t="s">
        <v>2754</v>
      </c>
      <c r="Z335" s="152" t="s">
        <v>1557</v>
      </c>
      <c r="AA335" s="153" t="n">
        <v>3.9</v>
      </c>
      <c r="AB335" s="151" t="s">
        <v>2792</v>
      </c>
      <c r="AC335" s="151" t="s">
        <v>505</v>
      </c>
      <c r="AD335" s="151" t="str">
        <f aca="false">CONCATENATE($C335,$I335,$H335,$N335,$J335,$K335)</f>
        <v>TUBO PEADPEAD160VCAREDESZona03</v>
      </c>
      <c r="AE335" s="153" t="n">
        <f aca="false">IFERROR(INDEX(APOIO_REDES!$A:$W,MATCH($C335&amp;$I335&amp;$H335&amp;$N335&amp;$O335,APOIO_REDES!$W:$W,0),MATCH(AE$5,APOIO_REDES!$5:$5,0)),0)</f>
        <v>1.2</v>
      </c>
      <c r="AF335" s="153" t="n">
        <f aca="false">IFERROR(INDEX(APOIO_REDES!$A:$W,MATCH($C335&amp;$I335&amp;$H335&amp;$N335&amp;$O335,APOIO_REDES!$W:$W,0),MATCH(AF$5,APOIO_REDES!$5:$5,0)),0)</f>
        <v>1.46</v>
      </c>
      <c r="AG335" s="153" t="n">
        <f aca="false">IFERROR(INDEX(APOIO_REDES!$A:$W,MATCH($C335&amp;$I335&amp;$H335&amp;$N335&amp;$O335,APOIO_REDES!$W:$W,0),MATCH(AG$5,APOIO_REDES!$5:$5,0)),0)</f>
        <v>0.75</v>
      </c>
      <c r="AH335" s="153" t="n">
        <f aca="false">IFERROR(INDEX(APOIO_REDES!$A:$W,MATCH($C335&amp;$I335&amp;$H335&amp;$N335&amp;$O335,APOIO_REDES!$W:$W,0),MATCH(AH$5,APOIO_REDES!$5:$5,0)),0)</f>
        <v>0.1</v>
      </c>
      <c r="AI335" s="153" t="n">
        <f aca="false">IFERROR(IF($H335&lt;&gt;"",(((($H335/1000)/2)^2)*PI()*$M335),0),0)</f>
        <v>2.47004580795844</v>
      </c>
      <c r="AJ335" s="153" t="n">
        <f aca="false">IFERROR(IF(AND($H335&lt;&gt;"",$I335="FoFo",OR($N335="MND",$N335="VCA"),$Q335="LINEAR"),0,IF(AND($H335&lt;&gt;"",$I335="PEAD",$N335="VCA",$Q335="LINEAR"),($H335/1000)+0.3,IF(AND($H335&lt;&gt;"",$I335="PEAD",$N335="MND",$Q335="EMBOQUE"),0,IF(AND($H335&lt;&gt;"",$I335="PVC",$N335="VCA",$Q335="LINEAR"),($H335/1000)+0.2,IF(AND($H335&lt;&gt;"",$I335="PVC",$N335="MND",$Q335="EMBOQUE"),0,IF(AND($H335&lt;&gt;"",$I335="PEAD",$N335="VCA",$Q335="PREDIAL"),0,0)))))),0)</f>
        <v>0.46</v>
      </c>
      <c r="AK335" s="153" t="n">
        <f aca="false">IF(AA335&lt;&gt;"",AA335,0)</f>
        <v>3.9</v>
      </c>
      <c r="AL335" s="153" t="n">
        <f aca="false">IF(AND($N335="MND",$Q335="EMBOQUE"),$M335,IF(AND($N335="VCA",$Q335="LINEAR"),$M335,IF(AND($N335="VCA",$Q335="PREDIAL"),0,0)))</f>
        <v>122.85</v>
      </c>
      <c r="AM335" s="153" t="n">
        <f aca="false">IF(AND($N335="MND",$Q335="EMBOQUE"),$M335,IF(AND($N335="VCA",$Q335="LINEAR"),$M335,IF(AND($N335="VCA",$Q335="PREDIAL"),0,0)))</f>
        <v>122.85</v>
      </c>
      <c r="AN335" s="153" t="n">
        <f aca="false">ROUND(IF(AND($N335="VCA",$M335&lt;&gt;"",$Q335="LINEAR"),$M335/100,IF(AND($N335="MND",$M335&gt;100,$Q335="EMBOQUE"),$M335/100,0)),0)</f>
        <v>1</v>
      </c>
      <c r="AO335" s="153" t="n">
        <f aca="false">IF(AND($N335="MND",$Q335="EMBOQUE"),$AN335*2*2,IF(AND($N335="VCA",$Q335="LINEAR"),$M335*2,IF(AND($N335="VCA",$Q335="PREDIAL"),0,0)))</f>
        <v>245.7</v>
      </c>
      <c r="AP335" s="153" t="n">
        <f aca="false">IFERROR($M335*$AF335*$AG335,0)</f>
        <v>134.52075</v>
      </c>
      <c r="AQ335" s="153" t="n">
        <f aca="false">IFERROR(IF(AND($N335="VCA",$AH335&gt;0),$M335*$AG335*$AH335,0),0)</f>
        <v>9.21375</v>
      </c>
      <c r="AR335" s="153" t="n">
        <f aca="false">IFERROR(IF(AND($N335="VCA",$AJ335&gt;0),($M335*$AG335*$AJ335)-$AI335,0),0)</f>
        <v>39.9132041920416</v>
      </c>
      <c r="AS335" s="153" t="n">
        <f aca="false">IFERROR(IF(AND($N335="VCA",$AP335&gt;0),$AP335-$AI335-$AQ335-$AR335,0),0)</f>
        <v>82.92375</v>
      </c>
      <c r="AT335" s="153" t="n">
        <f aca="false">IFERROR(IF($N335="VCA",INDEX(APOIO_REDES!$A:$W,MATCH($C335&amp;$I335&amp;$H335&amp;$N335&amp;$O335,APOIO_REDES!$W:$W,0),MATCH(AT$5,APOIO_REDES!$5:$5,0)),0)*$AP335,0)</f>
        <v>1.46362557610959</v>
      </c>
      <c r="AU335" s="153" t="n">
        <f aca="false">IFERROR(IF($N335="VCA",INDEX(APOIO_REDES!$A:$W,MATCH($C335&amp;$I335&amp;$H335&amp;$N335&amp;$O335,APOIO_REDES!$W:$W,0),MATCH(AU$5,APOIO_REDES!$5:$5,0)),0)*$AP335,0)</f>
        <v>1.16881174507335</v>
      </c>
      <c r="AV335" s="153" t="n">
        <f aca="false">IFERROR(IF($N335="VCA",INDEX(APOIO_REDES!$A:$W,MATCH($C335&amp;$I335&amp;$H335&amp;$N335&amp;$O335,APOIO_REDES!$W:$W,0),MATCH(AV$5,APOIO_REDES!$5:$5,0)),0)*$AP335,0)</f>
        <v>0.161754369986198</v>
      </c>
      <c r="AW335" s="153" t="n">
        <f aca="false">IFERROR(IF($N335="VCA",INDEX(APOIO_REDES!$A:$W,MATCH($C335&amp;$I335&amp;$H335&amp;$N335&amp;$O335,APOIO_REDES!$W:$W,0),MATCH(AW$5,APOIO_REDES!$5:$5,0)),0)*$AP335,0)</f>
        <v>92.3360851176336</v>
      </c>
      <c r="AX335" s="153" t="n">
        <f aca="false">IFERROR(IF($N335="VCA",INDEX(APOIO_REDES!$A:$W,MATCH($C335&amp;$I335&amp;$H335&amp;$N335&amp;$O335,APOIO_REDES!$W:$W,0),MATCH(AX$5,APOIO_REDES!$5:$5,0)),0)*$AP335,0)</f>
        <v>12.7790511559633</v>
      </c>
      <c r="AY335" s="153" t="n">
        <f aca="false">IFERROR(IF($N335="VCA",INDEX(APOIO_REDES!$A:$W,MATCH($C335&amp;$I335&amp;$H335&amp;$N335&amp;$O335,APOIO_REDES!$W:$W,0),MATCH(AY$5,APOIO_REDES!$5:$5,0)),0)*$AP335,0)</f>
        <v>23.3762206537466</v>
      </c>
      <c r="AZ335" s="153" t="n">
        <f aca="false">IFERROR(IF($N335="VCA",INDEX(APOIO_REDES!$A:$W,MATCH($C335&amp;$I335&amp;$H335&amp;$N335&amp;$O335,APOIO_REDES!$W:$W,0),MATCH(AZ$5,APOIO_REDES!$5:$5,0)),0)*$AP335,0)</f>
        <v>3.23520138148737</v>
      </c>
      <c r="BA335" s="153" t="n">
        <f aca="false">IFERROR(IF(AND($N335="VCA",$Q335="LINEAR"),INDEX(APOIO_REDES!$A:$W,MATCH($C335&amp;$I335&amp;$H335&amp;$N335&amp;$O335,APOIO_REDES!$W:$W,0),MATCH(BA$5,APOIO_REDES!$5:$5,0)),IF(AND($N335="MND",$Q335="EMBOQUE"),INDEX(APOIO_REDES!$A:$W,MATCH($C335&amp;$I335&amp;$H335&amp;$N335&amp;$O335,APOIO_REDES!$W:$W,0),MATCH(BA$5,APOIO_REDES!$5:$5,0)),0))*$M335/10,0)</f>
        <v>9.90140012067601</v>
      </c>
      <c r="BB335" s="153" t="n">
        <f aca="false">IFERROR(IF($N335="VCA",INDEX(APOIO_REDES!$A:$W,MATCH($C335&amp;$I335&amp;$H335&amp;$N335&amp;$O335,APOIO_REDES!$W:$W,0),MATCH(BB$5,APOIO_REDES!$5:$5,0)),0)*($AI335+$AQ335+$AR335),0)</f>
        <v>51.0356093680675</v>
      </c>
      <c r="BC335" s="153" t="n">
        <f aca="false">IFERROR(IF($N335="VCA",INDEX(APOIO_REDES!$A:$W,MATCH($C335&amp;$I335&amp;$H335&amp;$N335&amp;$O335,APOIO_REDES!$W:$W,0),MATCH(BC$5,APOIO_REDES!$5:$5,0)),0)*($AI335+$AQ335+$AR335),0)</f>
        <v>0.561390631932446</v>
      </c>
      <c r="BD335" s="153" t="n">
        <f aca="false">IF(AND($N335="VCA",$AF335&gt;=1.25,$AF335&lt;1.5),$M335*$AF335*2,0)</f>
        <v>358.722</v>
      </c>
      <c r="BE335" s="153" t="n">
        <f aca="false">IF(AND($N335="VCA",$AF335&gt;=1.5,$AF335&lt;3),$M335*$AF335*2,0)</f>
        <v>0</v>
      </c>
      <c r="BF335" s="153" t="n">
        <f aca="false">IF(AND($N335="VCA",$AF335&gt;=3),$M335*$AF335*2,0)</f>
        <v>0</v>
      </c>
      <c r="BG335" s="153" t="n">
        <f aca="false">($BB335+$BC335)*$AK335</f>
        <v>201.2283</v>
      </c>
      <c r="BH335" s="153" t="n">
        <f aca="false">IF(AND($M335&lt;&gt;"",$N335="VCA",$Q335="LINEAR"),($M335*2)/100,IF(AND($M335&lt;&gt;"",$N335="MND",$Q335="EMBOQUE"),($AN335*2)/100,0))</f>
        <v>2.457</v>
      </c>
      <c r="BI335" s="153" t="n">
        <f aca="false">IF(AND($M335&lt;&gt;"",$N335="VCA",$Q335="LINEAR"),$M335,IF(AND($M335&lt;&gt;"",$N335="MND",$Q335="EMBOQUE"),$AN335*2,0))</f>
        <v>122.85</v>
      </c>
      <c r="BJ335" s="153" t="n">
        <f aca="false">IF(AND($M335&lt;&gt;"",$N335="VCA",$Q335="LINEAR"),($M335*6.8)/100,IF(AND($M335&lt;&gt;"",$N335="MND",$Q335="EMBOQUE"),($AN335*2*6.8)/100,0))</f>
        <v>8.3538</v>
      </c>
      <c r="BK335" s="153" t="n">
        <f aca="false">IF(AND($M335&lt;&gt;"",$N335="VCA",$Q335="LINEAR"),($M335*2.5)/50,IF(AND($M335&lt;&gt;"",$N335="MND",$Q335="EMBOQUE"),($AN335*2*2.5)/50,0))</f>
        <v>6.1425</v>
      </c>
      <c r="BL335" s="157" t="str">
        <f aca="false">K335&amp;J335</f>
        <v>Zona03REDES</v>
      </c>
      <c r="BM335" s="152" t="s">
        <v>2526</v>
      </c>
      <c r="BN335" s="152" t="s">
        <v>1560</v>
      </c>
      <c r="BO335" s="152" t="s">
        <v>2231</v>
      </c>
      <c r="BP335" s="152" t="s">
        <v>2789</v>
      </c>
      <c r="BQ335" s="152" t="s">
        <v>2032</v>
      </c>
      <c r="BR335" s="152" t="s">
        <v>2790</v>
      </c>
      <c r="BS335" s="152" t="n">
        <v>202956.73</v>
      </c>
      <c r="BT335" s="152" t="n">
        <v>8237691.663</v>
      </c>
      <c r="BU335" s="152" t="n">
        <v>203079.037</v>
      </c>
      <c r="BV335" s="152" t="n">
        <v>8237681.381</v>
      </c>
      <c r="BW335" s="152" t="n">
        <v>-15.9222809</v>
      </c>
      <c r="BX335" s="152" t="n">
        <v>-47.7737544</v>
      </c>
      <c r="BY335" s="152" t="s">
        <v>2789</v>
      </c>
    </row>
    <row r="336" customFormat="false" ht="13.8" hidden="false" customHeight="false" outlineLevel="0" collapsed="false">
      <c r="A336" s="149" t="n">
        <f aca="false">IF(C336&lt;&gt;"",ROW(A331),"")</f>
        <v>331</v>
      </c>
      <c r="B336" s="150" t="str">
        <f aca="false">HYPERLINK("https://www.google.com/maps/dir/-15.917302,-47.760003/-15.9223595,-47.7729474/data=!4m3!4m2!3e0!5i2")</f>
        <v>https://www.google.com/maps/dir/-15.917302,-47.760003/-15.9223595,-47.7729474/data=!4m3!4m2!3e0!5i2</v>
      </c>
      <c r="C336" s="151" t="s">
        <v>117</v>
      </c>
      <c r="D336" s="152" t="s">
        <v>112</v>
      </c>
      <c r="E336" s="152" t="s">
        <v>113</v>
      </c>
      <c r="F336" s="152" t="s">
        <v>117</v>
      </c>
      <c r="G336" s="152" t="s">
        <v>114</v>
      </c>
      <c r="H336" s="152" t="n">
        <v>160</v>
      </c>
      <c r="I336" s="152" t="s">
        <v>115</v>
      </c>
      <c r="J336" s="152" t="s">
        <v>6</v>
      </c>
      <c r="K336" s="152" t="s">
        <v>2522</v>
      </c>
      <c r="L336" s="152" t="s">
        <v>120</v>
      </c>
      <c r="M336" s="153" t="n">
        <f aca="false">0.9</f>
        <v>0.9</v>
      </c>
      <c r="N336" s="152" t="s">
        <v>1548</v>
      </c>
      <c r="O336" s="152" t="s">
        <v>1549</v>
      </c>
      <c r="P336" s="152" t="s">
        <v>1550</v>
      </c>
      <c r="Q336" s="152" t="s">
        <v>1551</v>
      </c>
      <c r="R336" s="154" t="s">
        <v>2793</v>
      </c>
      <c r="S336" s="154" t="s">
        <v>1593</v>
      </c>
      <c r="T336" s="155" t="s">
        <v>2227</v>
      </c>
      <c r="U336" s="152" t="str">
        <f aca="false">RIGHT(T336,7)</f>
        <v>008/037</v>
      </c>
      <c r="V336" s="152" t="s">
        <v>1555</v>
      </c>
      <c r="W336" s="156" t="n">
        <v>45882</v>
      </c>
      <c r="X336" s="152" t="s">
        <v>1594</v>
      </c>
      <c r="Y336" s="152" t="s">
        <v>2630</v>
      </c>
      <c r="Z336" s="152" t="s">
        <v>1557</v>
      </c>
      <c r="AA336" s="153" t="n">
        <v>4.1</v>
      </c>
      <c r="AB336" s="151" t="s">
        <v>2794</v>
      </c>
      <c r="AC336" s="151" t="s">
        <v>505</v>
      </c>
      <c r="AD336" s="151" t="str">
        <f aca="false">CONCATENATE($C336,$I336,$H336,$N336,$J336,$K336)</f>
        <v>TUBO PEADPEAD160VCAREDESZona03</v>
      </c>
      <c r="AE336" s="153" t="n">
        <f aca="false">IFERROR(INDEX(APOIO_REDES!$A:$W,MATCH($C336&amp;$I336&amp;$H336&amp;$N336&amp;$O336,APOIO_REDES!$W:$W,0),MATCH(AE$5,APOIO_REDES!$5:$5,0)),0)</f>
        <v>1.2</v>
      </c>
      <c r="AF336" s="153" t="n">
        <f aca="false">IFERROR(INDEX(APOIO_REDES!$A:$W,MATCH($C336&amp;$I336&amp;$H336&amp;$N336&amp;$O336,APOIO_REDES!$W:$W,0),MATCH(AF$5,APOIO_REDES!$5:$5,0)),0)</f>
        <v>1.46</v>
      </c>
      <c r="AG336" s="153" t="n">
        <f aca="false">IFERROR(INDEX(APOIO_REDES!$A:$W,MATCH($C336&amp;$I336&amp;$H336&amp;$N336&amp;$O336,APOIO_REDES!$W:$W,0),MATCH(AG$5,APOIO_REDES!$5:$5,0)),0)</f>
        <v>0.75</v>
      </c>
      <c r="AH336" s="153" t="n">
        <f aca="false">IFERROR(INDEX(APOIO_REDES!$A:$W,MATCH($C336&amp;$I336&amp;$H336&amp;$N336&amp;$O336,APOIO_REDES!$W:$W,0),MATCH(AH$5,APOIO_REDES!$5:$5,0)),0)</f>
        <v>0.1</v>
      </c>
      <c r="AI336" s="153" t="n">
        <f aca="false">IFERROR(IF($H336&lt;&gt;"",(((($H336/1000)/2)^2)*PI()*$M336),0),0)</f>
        <v>0.0180955736846772</v>
      </c>
      <c r="AJ336" s="153" t="n">
        <f aca="false">IFERROR(IF(AND($H336&lt;&gt;"",$I336="FoFo",OR($N336="MND",$N336="VCA"),$Q336="LINEAR"),0,IF(AND($H336&lt;&gt;"",$I336="PEAD",$N336="VCA",$Q336="LINEAR"),($H336/1000)+0.3,IF(AND($H336&lt;&gt;"",$I336="PEAD",$N336="MND",$Q336="EMBOQUE"),0,IF(AND($H336&lt;&gt;"",$I336="PVC",$N336="VCA",$Q336="LINEAR"),($H336/1000)+0.2,IF(AND($H336&lt;&gt;"",$I336="PVC",$N336="MND",$Q336="EMBOQUE"),0,IF(AND($H336&lt;&gt;"",$I336="PEAD",$N336="VCA",$Q336="PREDIAL"),0,0)))))),0)</f>
        <v>0.46</v>
      </c>
      <c r="AK336" s="153" t="n">
        <f aca="false">IF(AA336&lt;&gt;"",AA336,0)</f>
        <v>4.1</v>
      </c>
      <c r="AL336" s="153" t="n">
        <f aca="false">IF(AND($N336="MND",$Q336="EMBOQUE"),$M336,IF(AND($N336="VCA",$Q336="LINEAR"),$M336,IF(AND($N336="VCA",$Q336="PREDIAL"),0,0)))</f>
        <v>0.9</v>
      </c>
      <c r="AM336" s="153" t="n">
        <f aca="false">IF(AND($N336="MND",$Q336="EMBOQUE"),$M336,IF(AND($N336="VCA",$Q336="LINEAR"),$M336,IF(AND($N336="VCA",$Q336="PREDIAL"),0,0)))</f>
        <v>0.9</v>
      </c>
      <c r="AN336" s="153" t="n">
        <f aca="false">ROUND(IF(AND($N336="VCA",$M336&lt;&gt;"",$Q336="LINEAR"),$M336/100,IF(AND($N336="MND",$M336&gt;100,$Q336="EMBOQUE"),$M336/100,0)),0)</f>
        <v>0</v>
      </c>
      <c r="AO336" s="153" t="n">
        <f aca="false">IF(AND($N336="MND",$Q336="EMBOQUE"),$AN336*2*2,IF(AND($N336="VCA",$Q336="LINEAR"),$M336*2,IF(AND($N336="VCA",$Q336="PREDIAL"),0,0)))</f>
        <v>1.8</v>
      </c>
      <c r="AP336" s="153" t="n">
        <f aca="false">IFERROR($M336*$AF336*$AG336,0)</f>
        <v>0.9855</v>
      </c>
      <c r="AQ336" s="153" t="n">
        <f aca="false">IFERROR(IF(AND($N336="VCA",$AH336&gt;0),$M336*$AG336*$AH336,0),0)</f>
        <v>0.0675</v>
      </c>
      <c r="AR336" s="153" t="n">
        <f aca="false">IFERROR(IF(AND($N336="VCA",$AJ336&gt;0),($M336*$AG336*$AJ336)-$AI336,0),0)</f>
        <v>0.292404426315323</v>
      </c>
      <c r="AS336" s="153" t="n">
        <f aca="false">IFERROR(IF(AND($N336="VCA",$AP336&gt;0),$AP336-$AI336-$AQ336-$AR336,0),0)</f>
        <v>0.6075</v>
      </c>
      <c r="AT336" s="153" t="n">
        <f aca="false">IFERROR(IF($N336="VCA",INDEX(APOIO_REDES!$A:$W,MATCH($C336&amp;$I336&amp;$H336&amp;$N336&amp;$O336,APOIO_REDES!$W:$W,0),MATCH(AT$5,APOIO_REDES!$5:$5,0)),0)*$AP336,0)</f>
        <v>0.0107225316931106</v>
      </c>
      <c r="AU336" s="153" t="n">
        <f aca="false">IFERROR(IF($N336="VCA",INDEX(APOIO_REDES!$A:$W,MATCH($C336&amp;$I336&amp;$H336&amp;$N336&amp;$O336,APOIO_REDES!$W:$W,0),MATCH(AU$5,APOIO_REDES!$5:$5,0)),0)*$AP336,0)</f>
        <v>0.00856272340713079</v>
      </c>
      <c r="AV336" s="153" t="n">
        <f aca="false">IFERROR(IF($N336="VCA",INDEX(APOIO_REDES!$A:$W,MATCH($C336&amp;$I336&amp;$H336&amp;$N336&amp;$O336,APOIO_REDES!$W:$W,0),MATCH(AV$5,APOIO_REDES!$5:$5,0)),0)*$AP336,0)</f>
        <v>0.00118501369953259</v>
      </c>
      <c r="AW336" s="153" t="n">
        <f aca="false">IFERROR(IF($N336="VCA",INDEX(APOIO_REDES!$A:$W,MATCH($C336&amp;$I336&amp;$H336&amp;$N336&amp;$O336,APOIO_REDES!$W:$W,0),MATCH(AW$5,APOIO_REDES!$5:$5,0)),0)*$AP336,0)</f>
        <v>0.67645483602662</v>
      </c>
      <c r="AX336" s="153" t="n">
        <f aca="false">IFERROR(IF($N336="VCA",INDEX(APOIO_REDES!$A:$W,MATCH($C336&amp;$I336&amp;$H336&amp;$N336&amp;$O336,APOIO_REDES!$W:$W,0),MATCH(AX$5,APOIO_REDES!$5:$5,0)),0)*$AP336,0)</f>
        <v>0.0936194223880093</v>
      </c>
      <c r="AY336" s="153" t="n">
        <f aca="false">IFERROR(IF($N336="VCA",INDEX(APOIO_REDES!$A:$W,MATCH($C336&amp;$I336&amp;$H336&amp;$N336&amp;$O336,APOIO_REDES!$W:$W,0),MATCH(AY$5,APOIO_REDES!$5:$5,0)),0)*$AP336,0)</f>
        <v>0.171254363763712</v>
      </c>
      <c r="AZ336" s="153" t="n">
        <f aca="false">IFERROR(IF($N336="VCA",INDEX(APOIO_REDES!$A:$W,MATCH($C336&amp;$I336&amp;$H336&amp;$N336&amp;$O336,APOIO_REDES!$W:$W,0),MATCH(AZ$5,APOIO_REDES!$5:$5,0)),0)*$AP336,0)</f>
        <v>0.0237011090218855</v>
      </c>
      <c r="BA336" s="153" t="n">
        <f aca="false">IFERROR(IF(AND($N336="VCA",$Q336="LINEAR"),INDEX(APOIO_REDES!$A:$W,MATCH($C336&amp;$I336&amp;$H336&amp;$N336&amp;$O336,APOIO_REDES!$W:$W,0),MATCH(BA$5,APOIO_REDES!$5:$5,0)),IF(AND($N336="MND",$Q336="EMBOQUE"),INDEX(APOIO_REDES!$A:$W,MATCH($C336&amp;$I336&amp;$H336&amp;$N336&amp;$O336,APOIO_REDES!$W:$W,0),MATCH(BA$5,APOIO_REDES!$5:$5,0)),0))*$M336/10,0)</f>
        <v>0.0725377298218023</v>
      </c>
      <c r="BB336" s="153" t="n">
        <f aca="false">IFERROR(IF($N336="VCA",INDEX(APOIO_REDES!$A:$W,MATCH($C336&amp;$I336&amp;$H336&amp;$N336&amp;$O336,APOIO_REDES!$W:$W,0),MATCH(BB$5,APOIO_REDES!$5:$5,0)),0)*($AI336+$AQ336+$AR336),0)</f>
        <v>0.373887248117711</v>
      </c>
      <c r="BC336" s="153" t="n">
        <f aca="false">IFERROR(IF($N336="VCA",INDEX(APOIO_REDES!$A:$W,MATCH($C336&amp;$I336&amp;$H336&amp;$N336&amp;$O336,APOIO_REDES!$W:$W,0),MATCH(BC$5,APOIO_REDES!$5:$5,0)),0)*($AI336+$AQ336+$AR336),0)</f>
        <v>0.00411275188228898</v>
      </c>
      <c r="BD336" s="153" t="n">
        <f aca="false">IF(AND($N336="VCA",$AF336&gt;=1.25,$AF336&lt;1.5),$M336*$AF336*2,0)</f>
        <v>2.628</v>
      </c>
      <c r="BE336" s="153" t="n">
        <f aca="false">IF(AND($N336="VCA",$AF336&gt;=1.5,$AF336&lt;3),$M336*$AF336*2,0)</f>
        <v>0</v>
      </c>
      <c r="BF336" s="153" t="n">
        <f aca="false">IF(AND($N336="VCA",$AF336&gt;=3),$M336*$AF336*2,0)</f>
        <v>0</v>
      </c>
      <c r="BG336" s="153" t="n">
        <f aca="false">($BB336+$BC336)*$AK336</f>
        <v>1.5498</v>
      </c>
      <c r="BH336" s="153" t="n">
        <f aca="false">IF(AND($M336&lt;&gt;"",$N336="VCA",$Q336="LINEAR"),($M336*2)/100,IF(AND($M336&lt;&gt;"",$N336="MND",$Q336="EMBOQUE"),($AN336*2)/100,0))</f>
        <v>0.018</v>
      </c>
      <c r="BI336" s="153" t="n">
        <f aca="false">IF(AND($M336&lt;&gt;"",$N336="VCA",$Q336="LINEAR"),$M336,IF(AND($M336&lt;&gt;"",$N336="MND",$Q336="EMBOQUE"),$AN336*2,0))</f>
        <v>0.9</v>
      </c>
      <c r="BJ336" s="153" t="n">
        <f aca="false">IF(AND($M336&lt;&gt;"",$N336="VCA",$Q336="LINEAR"),($M336*6.8)/100,IF(AND($M336&lt;&gt;"",$N336="MND",$Q336="EMBOQUE"),($AN336*2*6.8)/100,0))</f>
        <v>0.0612</v>
      </c>
      <c r="BK336" s="153" t="n">
        <f aca="false">IF(AND($M336&lt;&gt;"",$N336="VCA",$Q336="LINEAR"),($M336*2.5)/50,IF(AND($M336&lt;&gt;"",$N336="MND",$Q336="EMBOQUE"),($AN336*2*2.5)/50,0))</f>
        <v>0.045</v>
      </c>
      <c r="BL336" s="157" t="str">
        <f aca="false">K336&amp;J336</f>
        <v>Zona03REDES</v>
      </c>
      <c r="BM336" s="152" t="s">
        <v>2526</v>
      </c>
      <c r="BN336" s="152" t="s">
        <v>1560</v>
      </c>
      <c r="BO336" s="152" t="s">
        <v>2231</v>
      </c>
      <c r="BP336" s="152" t="s">
        <v>2780</v>
      </c>
      <c r="BQ336" s="152" t="s">
        <v>2772</v>
      </c>
      <c r="BR336" s="152" t="s">
        <v>2795</v>
      </c>
      <c r="BS336" s="152" t="n">
        <v>203104.84</v>
      </c>
      <c r="BT336" s="152" t="n">
        <v>8237680.634</v>
      </c>
      <c r="BU336" s="152" t="n">
        <v>203104.941</v>
      </c>
      <c r="BV336" s="152" t="n">
        <v>8237681.527</v>
      </c>
      <c r="BW336" s="152" t="n">
        <v>-15.9223561</v>
      </c>
      <c r="BX336" s="152" t="n">
        <v>-47.7729444</v>
      </c>
      <c r="BY336" s="152" t="s">
        <v>2780</v>
      </c>
    </row>
    <row r="337" customFormat="false" ht="13.8" hidden="false" customHeight="false" outlineLevel="0" collapsed="false">
      <c r="A337" s="149" t="n">
        <f aca="false">IF(C337&lt;&gt;"",ROW(A332),"")</f>
        <v>332</v>
      </c>
      <c r="B337" s="150" t="str">
        <f aca="false">HYPERLINK("https://www.google.com/maps/dir/-15.917302,-47.760003/-15.9203438,-47.7679936/data=!4m3!4m2!3e0!5i1")</f>
        <v>https://www.google.com/maps/dir/-15.917302,-47.760003/-15.9203438,-47.7679936/data=!4m3!4m2!3e0!5i1</v>
      </c>
      <c r="C337" s="151" t="s">
        <v>117</v>
      </c>
      <c r="D337" s="152" t="s">
        <v>112</v>
      </c>
      <c r="E337" s="152" t="s">
        <v>113</v>
      </c>
      <c r="F337" s="152" t="s">
        <v>117</v>
      </c>
      <c r="G337" s="152" t="s">
        <v>114</v>
      </c>
      <c r="H337" s="152" t="n">
        <v>160</v>
      </c>
      <c r="I337" s="152" t="s">
        <v>115</v>
      </c>
      <c r="J337" s="152" t="s">
        <v>6</v>
      </c>
      <c r="K337" s="152" t="s">
        <v>2522</v>
      </c>
      <c r="L337" s="152" t="s">
        <v>120</v>
      </c>
      <c r="M337" s="153" t="n">
        <f aca="false">5.08+0.08</f>
        <v>5.16</v>
      </c>
      <c r="N337" s="152" t="s">
        <v>1548</v>
      </c>
      <c r="O337" s="152" t="s">
        <v>1549</v>
      </c>
      <c r="P337" s="152" t="s">
        <v>1550</v>
      </c>
      <c r="Q337" s="152" t="s">
        <v>1551</v>
      </c>
      <c r="R337" s="154" t="s">
        <v>2796</v>
      </c>
      <c r="S337" s="154" t="s">
        <v>1593</v>
      </c>
      <c r="T337" s="155" t="s">
        <v>2797</v>
      </c>
      <c r="U337" s="152" t="str">
        <f aca="false">RIGHT(T337,7)</f>
        <v>009/037</v>
      </c>
      <c r="V337" s="152" t="s">
        <v>1555</v>
      </c>
      <c r="W337" s="156" t="n">
        <v>45882</v>
      </c>
      <c r="X337" s="152" t="s">
        <v>1594</v>
      </c>
      <c r="Y337" s="152" t="s">
        <v>2798</v>
      </c>
      <c r="Z337" s="152" t="s">
        <v>1557</v>
      </c>
      <c r="AA337" s="153" t="n">
        <v>3.2</v>
      </c>
      <c r="AB337" s="151" t="s">
        <v>2799</v>
      </c>
      <c r="AC337" s="151" t="s">
        <v>505</v>
      </c>
      <c r="AD337" s="151" t="str">
        <f aca="false">CONCATENATE($C337,$I337,$H337,$N337,$J337,$K337)</f>
        <v>TUBO PEADPEAD160VCAREDESZona03</v>
      </c>
      <c r="AE337" s="153" t="n">
        <f aca="false">IFERROR(INDEX(APOIO_REDES!$A:$W,MATCH($C337&amp;$I337&amp;$H337&amp;$N337&amp;$O337,APOIO_REDES!$W:$W,0),MATCH(AE$5,APOIO_REDES!$5:$5,0)),0)</f>
        <v>1.2</v>
      </c>
      <c r="AF337" s="153" t="n">
        <f aca="false">IFERROR(INDEX(APOIO_REDES!$A:$W,MATCH($C337&amp;$I337&amp;$H337&amp;$N337&amp;$O337,APOIO_REDES!$W:$W,0),MATCH(AF$5,APOIO_REDES!$5:$5,0)),0)</f>
        <v>1.46</v>
      </c>
      <c r="AG337" s="153" t="n">
        <f aca="false">IFERROR(INDEX(APOIO_REDES!$A:$W,MATCH($C337&amp;$I337&amp;$H337&amp;$N337&amp;$O337,APOIO_REDES!$W:$W,0),MATCH(AG$5,APOIO_REDES!$5:$5,0)),0)</f>
        <v>0.75</v>
      </c>
      <c r="AH337" s="153" t="n">
        <f aca="false">IFERROR(INDEX(APOIO_REDES!$A:$W,MATCH($C337&amp;$I337&amp;$H337&amp;$N337&amp;$O337,APOIO_REDES!$W:$W,0),MATCH(AH$5,APOIO_REDES!$5:$5,0)),0)</f>
        <v>0.1</v>
      </c>
      <c r="AI337" s="153" t="n">
        <f aca="false">IFERROR(IF($H337&lt;&gt;"",(((($H337/1000)/2)^2)*PI()*$M337),0),0)</f>
        <v>0.103747955792149</v>
      </c>
      <c r="AJ337" s="153" t="n">
        <f aca="false">IFERROR(IF(AND($H337&lt;&gt;"",$I337="FoFo",OR($N337="MND",$N337="VCA"),$Q337="LINEAR"),0,IF(AND($H337&lt;&gt;"",$I337="PEAD",$N337="VCA",$Q337="LINEAR"),($H337/1000)+0.3,IF(AND($H337&lt;&gt;"",$I337="PEAD",$N337="MND",$Q337="EMBOQUE"),0,IF(AND($H337&lt;&gt;"",$I337="PVC",$N337="VCA",$Q337="LINEAR"),($H337/1000)+0.2,IF(AND($H337&lt;&gt;"",$I337="PVC",$N337="MND",$Q337="EMBOQUE"),0,IF(AND($H337&lt;&gt;"",$I337="PEAD",$N337="VCA",$Q337="PREDIAL"),0,0)))))),0)</f>
        <v>0.46</v>
      </c>
      <c r="AK337" s="153" t="n">
        <f aca="false">IF(AA337&lt;&gt;"",AA337,0)</f>
        <v>3.2</v>
      </c>
      <c r="AL337" s="153" t="n">
        <f aca="false">IF(AND($N337="MND",$Q337="EMBOQUE"),$M337,IF(AND($N337="VCA",$Q337="LINEAR"),$M337,IF(AND($N337="VCA",$Q337="PREDIAL"),0,0)))</f>
        <v>5.16</v>
      </c>
      <c r="AM337" s="153" t="n">
        <f aca="false">IF(AND($N337="MND",$Q337="EMBOQUE"),$M337,IF(AND($N337="VCA",$Q337="LINEAR"),$M337,IF(AND($N337="VCA",$Q337="PREDIAL"),0,0)))</f>
        <v>5.16</v>
      </c>
      <c r="AN337" s="153" t="n">
        <f aca="false">ROUND(IF(AND($N337="VCA",$M337&lt;&gt;"",$Q337="LINEAR"),$M337/100,IF(AND($N337="MND",$M337&gt;100,$Q337="EMBOQUE"),$M337/100,0)),0)</f>
        <v>0</v>
      </c>
      <c r="AO337" s="153" t="n">
        <f aca="false">IF(AND($N337="MND",$Q337="EMBOQUE"),$AN337*2*2,IF(AND($N337="VCA",$Q337="LINEAR"),$M337*2,IF(AND($N337="VCA",$Q337="PREDIAL"),0,0)))</f>
        <v>10.32</v>
      </c>
      <c r="AP337" s="153" t="n">
        <f aca="false">IFERROR($M337*$AF337*$AG337,0)</f>
        <v>5.6502</v>
      </c>
      <c r="AQ337" s="153" t="n">
        <f aca="false">IFERROR(IF(AND($N337="VCA",$AH337&gt;0),$M337*$AG337*$AH337,0),0)</f>
        <v>0.387</v>
      </c>
      <c r="AR337" s="153" t="n">
        <f aca="false">IFERROR(IF(AND($N337="VCA",$AJ337&gt;0),($M337*$AG337*$AJ337)-$AI337,0),0)</f>
        <v>1.67645204420785</v>
      </c>
      <c r="AS337" s="153" t="n">
        <f aca="false">IFERROR(IF(AND($N337="VCA",$AP337&gt;0),$AP337-$AI337-$AQ337-$AR337,0),0)</f>
        <v>3.483</v>
      </c>
      <c r="AT337" s="153" t="n">
        <f aca="false">IFERROR(IF($N337="VCA",INDEX(APOIO_REDES!$A:$W,MATCH($C337&amp;$I337&amp;$H337&amp;$N337&amp;$O337,APOIO_REDES!$W:$W,0),MATCH(AT$5,APOIO_REDES!$5:$5,0)),0)*$AP337,0)</f>
        <v>0.0614758483738339</v>
      </c>
      <c r="AU337" s="153" t="n">
        <f aca="false">IFERROR(IF($N337="VCA",INDEX(APOIO_REDES!$A:$W,MATCH($C337&amp;$I337&amp;$H337&amp;$N337&amp;$O337,APOIO_REDES!$W:$W,0),MATCH(AU$5,APOIO_REDES!$5:$5,0)),0)*$AP337,0)</f>
        <v>0.0490929475342165</v>
      </c>
      <c r="AV337" s="153" t="n">
        <f aca="false">IFERROR(IF($N337="VCA",INDEX(APOIO_REDES!$A:$W,MATCH($C337&amp;$I337&amp;$H337&amp;$N337&amp;$O337,APOIO_REDES!$W:$W,0),MATCH(AV$5,APOIO_REDES!$5:$5,0)),0)*$AP337,0)</f>
        <v>0.00679407854398684</v>
      </c>
      <c r="AW337" s="153" t="n">
        <f aca="false">IFERROR(IF($N337="VCA",INDEX(APOIO_REDES!$A:$W,MATCH($C337&amp;$I337&amp;$H337&amp;$N337&amp;$O337,APOIO_REDES!$W:$W,0),MATCH(AW$5,APOIO_REDES!$5:$5,0)),0)*$AP337,0)</f>
        <v>3.87834105988595</v>
      </c>
      <c r="AX337" s="153" t="n">
        <f aca="false">IFERROR(IF($N337="VCA",INDEX(APOIO_REDES!$A:$W,MATCH($C337&amp;$I337&amp;$H337&amp;$N337&amp;$O337,APOIO_REDES!$W:$W,0),MATCH(AX$5,APOIO_REDES!$5:$5,0)),0)*$AP337,0)</f>
        <v>0.536751355024587</v>
      </c>
      <c r="AY337" s="153" t="n">
        <f aca="false">IFERROR(IF($N337="VCA",INDEX(APOIO_REDES!$A:$W,MATCH($C337&amp;$I337&amp;$H337&amp;$N337&amp;$O337,APOIO_REDES!$W:$W,0),MATCH(AY$5,APOIO_REDES!$5:$5,0)),0)*$AP337,0)</f>
        <v>0.98185835224528</v>
      </c>
      <c r="AZ337" s="153" t="n">
        <f aca="false">IFERROR(IF($N337="VCA",INDEX(APOIO_REDES!$A:$W,MATCH($C337&amp;$I337&amp;$H337&amp;$N337&amp;$O337,APOIO_REDES!$W:$W,0),MATCH(AZ$5,APOIO_REDES!$5:$5,0)),0)*$AP337,0)</f>
        <v>0.135886358392143</v>
      </c>
      <c r="BA337" s="153" t="n">
        <f aca="false">IFERROR(IF(AND($N337="VCA",$Q337="LINEAR"),INDEX(APOIO_REDES!$A:$W,MATCH($C337&amp;$I337&amp;$H337&amp;$N337&amp;$O337,APOIO_REDES!$W:$W,0),MATCH(BA$5,APOIO_REDES!$5:$5,0)),IF(AND($N337="MND",$Q337="EMBOQUE"),INDEX(APOIO_REDES!$A:$W,MATCH($C337&amp;$I337&amp;$H337&amp;$N337&amp;$O337,APOIO_REDES!$W:$W,0),MATCH(BA$5,APOIO_REDES!$5:$5,0)),0))*$M337/10,0)</f>
        <v>0.415882984311666</v>
      </c>
      <c r="BB337" s="153" t="n">
        <f aca="false">IFERROR(IF($N337="VCA",INDEX(APOIO_REDES!$A:$W,MATCH($C337&amp;$I337&amp;$H337&amp;$N337&amp;$O337,APOIO_REDES!$W:$W,0),MATCH(BB$5,APOIO_REDES!$5:$5,0)),0)*($AI337+$AQ337+$AR337),0)</f>
        <v>2.14362022254154</v>
      </c>
      <c r="BC337" s="153" t="n">
        <f aca="false">IFERROR(IF($N337="VCA",INDEX(APOIO_REDES!$A:$W,MATCH($C337&amp;$I337&amp;$H337&amp;$N337&amp;$O337,APOIO_REDES!$W:$W,0),MATCH(BC$5,APOIO_REDES!$5:$5,0)),0)*($AI337+$AQ337+$AR337),0)</f>
        <v>0.0235797774584568</v>
      </c>
      <c r="BD337" s="153" t="n">
        <f aca="false">IF(AND($N337="VCA",$AF337&gt;=1.25,$AF337&lt;1.5),$M337*$AF337*2,0)</f>
        <v>15.0672</v>
      </c>
      <c r="BE337" s="153" t="n">
        <f aca="false">IF(AND($N337="VCA",$AF337&gt;=1.5,$AF337&lt;3),$M337*$AF337*2,0)</f>
        <v>0</v>
      </c>
      <c r="BF337" s="153" t="n">
        <f aca="false">IF(AND($N337="VCA",$AF337&gt;=3),$M337*$AF337*2,0)</f>
        <v>0</v>
      </c>
      <c r="BG337" s="153" t="n">
        <f aca="false">($BB337+$BC337)*$AK337</f>
        <v>6.93504</v>
      </c>
      <c r="BH337" s="153" t="n">
        <f aca="false">IF(AND($M337&lt;&gt;"",$N337="VCA",$Q337="LINEAR"),($M337*2)/100,IF(AND($M337&lt;&gt;"",$N337="MND",$Q337="EMBOQUE"),($AN337*2)/100,0))</f>
        <v>0.1032</v>
      </c>
      <c r="BI337" s="153" t="n">
        <f aca="false">IF(AND($M337&lt;&gt;"",$N337="VCA",$Q337="LINEAR"),$M337,IF(AND($M337&lt;&gt;"",$N337="MND",$Q337="EMBOQUE"),$AN337*2,0))</f>
        <v>5.16</v>
      </c>
      <c r="BJ337" s="153" t="n">
        <f aca="false">IF(AND($M337&lt;&gt;"",$N337="VCA",$Q337="LINEAR"),($M337*6.8)/100,IF(AND($M337&lt;&gt;"",$N337="MND",$Q337="EMBOQUE"),($AN337*2*6.8)/100,0))</f>
        <v>0.35088</v>
      </c>
      <c r="BK337" s="153" t="n">
        <f aca="false">IF(AND($M337&lt;&gt;"",$N337="VCA",$Q337="LINEAR"),($M337*2.5)/50,IF(AND($M337&lt;&gt;"",$N337="MND",$Q337="EMBOQUE"),($AN337*2*2.5)/50,0))</f>
        <v>0.258</v>
      </c>
      <c r="BL337" s="157" t="str">
        <f aca="false">K337&amp;J337</f>
        <v>Zona03REDES</v>
      </c>
      <c r="BM337" s="152" t="s">
        <v>2526</v>
      </c>
      <c r="BN337" s="152" t="s">
        <v>1560</v>
      </c>
      <c r="BO337" s="152" t="s">
        <v>2800</v>
      </c>
      <c r="BP337" s="152" t="s">
        <v>2801</v>
      </c>
      <c r="BQ337" s="152" t="s">
        <v>2640</v>
      </c>
      <c r="BR337" s="152" t="s">
        <v>2790</v>
      </c>
      <c r="BS337" s="152" t="n">
        <v>203632.364</v>
      </c>
      <c r="BT337" s="152" t="n">
        <v>8237910.889</v>
      </c>
      <c r="BU337" s="152" t="n">
        <v>203637.407</v>
      </c>
      <c r="BV337" s="152" t="n">
        <v>8237911.525</v>
      </c>
      <c r="BW337" s="152" t="n">
        <v>-15.9203417</v>
      </c>
      <c r="BX337" s="152" t="n">
        <v>-47.76797</v>
      </c>
      <c r="BY337" s="152" t="s">
        <v>2801</v>
      </c>
    </row>
    <row r="338" customFormat="false" ht="13.8" hidden="false" customHeight="false" outlineLevel="0" collapsed="false">
      <c r="A338" s="149" t="n">
        <f aca="false">IF(C338&lt;&gt;"",ROW(A333),"")</f>
        <v>333</v>
      </c>
      <c r="B338" s="150" t="str">
        <f aca="false">HYPERLINK("https://www.google.com/maps/dir/-15.917302,-47.760003/-15.9203391,-47.7679464/data=!4m3!4m2!3e0!5i0")</f>
        <v>https://www.google.com/maps/dir/-15.917302,-47.760003/-15.9203391,-47.7679464/data=!4m3!4m2!3e0!5i0</v>
      </c>
      <c r="C338" s="151" t="s">
        <v>117</v>
      </c>
      <c r="D338" s="152" t="s">
        <v>112</v>
      </c>
      <c r="E338" s="152" t="s">
        <v>113</v>
      </c>
      <c r="F338" s="152" t="s">
        <v>117</v>
      </c>
      <c r="G338" s="152" t="s">
        <v>114</v>
      </c>
      <c r="H338" s="152" t="n">
        <v>160</v>
      </c>
      <c r="I338" s="152" t="s">
        <v>115</v>
      </c>
      <c r="J338" s="152" t="s">
        <v>6</v>
      </c>
      <c r="K338" s="152" t="s">
        <v>2522</v>
      </c>
      <c r="L338" s="152" t="s">
        <v>120</v>
      </c>
      <c r="M338" s="153" t="n">
        <f aca="false">3.92</f>
        <v>3.92</v>
      </c>
      <c r="N338" s="152" t="s">
        <v>1548</v>
      </c>
      <c r="O338" s="152" t="s">
        <v>1549</v>
      </c>
      <c r="P338" s="152" t="s">
        <v>1550</v>
      </c>
      <c r="Q338" s="152" t="s">
        <v>1551</v>
      </c>
      <c r="R338" s="154" t="s">
        <v>2802</v>
      </c>
      <c r="S338" s="154" t="s">
        <v>1593</v>
      </c>
      <c r="T338" s="155" t="s">
        <v>2797</v>
      </c>
      <c r="U338" s="152" t="str">
        <f aca="false">RIGHT(T338,7)</f>
        <v>009/037</v>
      </c>
      <c r="V338" s="152" t="s">
        <v>1555</v>
      </c>
      <c r="W338" s="156" t="n">
        <v>45882</v>
      </c>
      <c r="X338" s="152" t="s">
        <v>1594</v>
      </c>
      <c r="Y338" s="152" t="s">
        <v>2524</v>
      </c>
      <c r="Z338" s="152" t="s">
        <v>1557</v>
      </c>
      <c r="AA338" s="153" t="n">
        <v>2.7</v>
      </c>
      <c r="AB338" s="151" t="s">
        <v>2803</v>
      </c>
      <c r="AC338" s="151" t="s">
        <v>505</v>
      </c>
      <c r="AD338" s="151" t="str">
        <f aca="false">CONCATENATE($C338,$I338,$H338,$N338,$J338,$K338)</f>
        <v>TUBO PEADPEAD160VCAREDESZona03</v>
      </c>
      <c r="AE338" s="153" t="n">
        <f aca="false">IFERROR(INDEX(APOIO_REDES!$A:$W,MATCH($C338&amp;$I338&amp;$H338&amp;$N338&amp;$O338,APOIO_REDES!$W:$W,0),MATCH(AE$5,APOIO_REDES!$5:$5,0)),0)</f>
        <v>1.2</v>
      </c>
      <c r="AF338" s="153" t="n">
        <f aca="false">IFERROR(INDEX(APOIO_REDES!$A:$W,MATCH($C338&amp;$I338&amp;$H338&amp;$N338&amp;$O338,APOIO_REDES!$W:$W,0),MATCH(AF$5,APOIO_REDES!$5:$5,0)),0)</f>
        <v>1.46</v>
      </c>
      <c r="AG338" s="153" t="n">
        <f aca="false">IFERROR(INDEX(APOIO_REDES!$A:$W,MATCH($C338&amp;$I338&amp;$H338&amp;$N338&amp;$O338,APOIO_REDES!$W:$W,0),MATCH(AG$5,APOIO_REDES!$5:$5,0)),0)</f>
        <v>0.75</v>
      </c>
      <c r="AH338" s="153" t="n">
        <f aca="false">IFERROR(INDEX(APOIO_REDES!$A:$W,MATCH($C338&amp;$I338&amp;$H338&amp;$N338&amp;$O338,APOIO_REDES!$W:$W,0),MATCH(AH$5,APOIO_REDES!$5:$5,0)),0)</f>
        <v>0.1</v>
      </c>
      <c r="AI338" s="153" t="n">
        <f aca="false">IFERROR(IF($H338&lt;&gt;"",(((($H338/1000)/2)^2)*PI()*$M338),0),0)</f>
        <v>0.0788162764932607</v>
      </c>
      <c r="AJ338" s="153" t="n">
        <f aca="false">IFERROR(IF(AND($H338&lt;&gt;"",$I338="FoFo",OR($N338="MND",$N338="VCA"),$Q338="LINEAR"),0,IF(AND($H338&lt;&gt;"",$I338="PEAD",$N338="VCA",$Q338="LINEAR"),($H338/1000)+0.3,IF(AND($H338&lt;&gt;"",$I338="PEAD",$N338="MND",$Q338="EMBOQUE"),0,IF(AND($H338&lt;&gt;"",$I338="PVC",$N338="VCA",$Q338="LINEAR"),($H338/1000)+0.2,IF(AND($H338&lt;&gt;"",$I338="PVC",$N338="MND",$Q338="EMBOQUE"),0,IF(AND($H338&lt;&gt;"",$I338="PEAD",$N338="VCA",$Q338="PREDIAL"),0,0)))))),0)</f>
        <v>0.46</v>
      </c>
      <c r="AK338" s="153" t="n">
        <f aca="false">IF(AA338&lt;&gt;"",AA338,0)</f>
        <v>2.7</v>
      </c>
      <c r="AL338" s="153" t="n">
        <f aca="false">IF(AND($N338="MND",$Q338="EMBOQUE"),$M338,IF(AND($N338="VCA",$Q338="LINEAR"),$M338,IF(AND($N338="VCA",$Q338="PREDIAL"),0,0)))</f>
        <v>3.92</v>
      </c>
      <c r="AM338" s="153" t="n">
        <f aca="false">IF(AND($N338="MND",$Q338="EMBOQUE"),$M338,IF(AND($N338="VCA",$Q338="LINEAR"),$M338,IF(AND($N338="VCA",$Q338="PREDIAL"),0,0)))</f>
        <v>3.92</v>
      </c>
      <c r="AN338" s="153" t="n">
        <f aca="false">ROUND(IF(AND($N338="VCA",$M338&lt;&gt;"",$Q338="LINEAR"),$M338/100,IF(AND($N338="MND",$M338&gt;100,$Q338="EMBOQUE"),$M338/100,0)),0)</f>
        <v>0</v>
      </c>
      <c r="AO338" s="153" t="n">
        <f aca="false">IF(AND($N338="MND",$Q338="EMBOQUE"),$AN338*2*2,IF(AND($N338="VCA",$Q338="LINEAR"),$M338*2,IF(AND($N338="VCA",$Q338="PREDIAL"),0,0)))</f>
        <v>7.84</v>
      </c>
      <c r="AP338" s="153" t="n">
        <f aca="false">IFERROR($M338*$AF338*$AG338,0)</f>
        <v>4.2924</v>
      </c>
      <c r="AQ338" s="153" t="n">
        <f aca="false">IFERROR(IF(AND($N338="VCA",$AH338&gt;0),$M338*$AG338*$AH338,0),0)</f>
        <v>0.294</v>
      </c>
      <c r="AR338" s="153" t="n">
        <f aca="false">IFERROR(IF(AND($N338="VCA",$AJ338&gt;0),($M338*$AG338*$AJ338)-$AI338,0),0)</f>
        <v>1.27358372350674</v>
      </c>
      <c r="AS338" s="153" t="n">
        <f aca="false">IFERROR(IF(AND($N338="VCA",$AP338&gt;0),$AP338-$AI338-$AQ338-$AR338,0),0)</f>
        <v>2.646</v>
      </c>
      <c r="AT338" s="153" t="n">
        <f aca="false">IFERROR(IF($N338="VCA",INDEX(APOIO_REDES!$A:$W,MATCH($C338&amp;$I338&amp;$H338&amp;$N338&amp;$O338,APOIO_REDES!$W:$W,0),MATCH(AT$5,APOIO_REDES!$5:$5,0)),0)*$AP338,0)</f>
        <v>0.0467025824855482</v>
      </c>
      <c r="AU338" s="153" t="n">
        <f aca="false">IFERROR(IF($N338="VCA",INDEX(APOIO_REDES!$A:$W,MATCH($C338&amp;$I338&amp;$H338&amp;$N338&amp;$O338,APOIO_REDES!$W:$W,0),MATCH(AU$5,APOIO_REDES!$5:$5,0)),0)*$AP338,0)</f>
        <v>0.0372954175066141</v>
      </c>
      <c r="AV338" s="153" t="n">
        <f aca="false">IFERROR(IF($N338="VCA",INDEX(APOIO_REDES!$A:$W,MATCH($C338&amp;$I338&amp;$H338&amp;$N338&amp;$O338,APOIO_REDES!$W:$W,0),MATCH(AV$5,APOIO_REDES!$5:$5,0)),0)*$AP338,0)</f>
        <v>0.00516139300240861</v>
      </c>
      <c r="AW338" s="153" t="n">
        <f aca="false">IFERROR(IF($N338="VCA",INDEX(APOIO_REDES!$A:$W,MATCH($C338&amp;$I338&amp;$H338&amp;$N338&amp;$O338,APOIO_REDES!$W:$W,0),MATCH(AW$5,APOIO_REDES!$5:$5,0)),0)*$AP338,0)</f>
        <v>2.94633661913817</v>
      </c>
      <c r="AX338" s="153" t="n">
        <f aca="false">IFERROR(IF($N338="VCA",INDEX(APOIO_REDES!$A:$W,MATCH($C338&amp;$I338&amp;$H338&amp;$N338&amp;$O338,APOIO_REDES!$W:$W,0),MATCH(AX$5,APOIO_REDES!$5:$5,0)),0)*$AP338,0)</f>
        <v>0.407764595289996</v>
      </c>
      <c r="AY338" s="153" t="n">
        <f aca="false">IFERROR(IF($N338="VCA",INDEX(APOIO_REDES!$A:$W,MATCH($C338&amp;$I338&amp;$H338&amp;$N338&amp;$O338,APOIO_REDES!$W:$W,0),MATCH(AY$5,APOIO_REDES!$5:$5,0)),0)*$AP338,0)</f>
        <v>0.745907895504166</v>
      </c>
      <c r="AZ338" s="153" t="n">
        <f aca="false">IFERROR(IF($N338="VCA",INDEX(APOIO_REDES!$A:$W,MATCH($C338&amp;$I338&amp;$H338&amp;$N338&amp;$O338,APOIO_REDES!$W:$W,0),MATCH(AZ$5,APOIO_REDES!$5:$5,0)),0)*$AP338,0)</f>
        <v>0.103231497073101</v>
      </c>
      <c r="BA338" s="153" t="n">
        <f aca="false">IFERROR(IF(AND($N338="VCA",$Q338="LINEAR"),INDEX(APOIO_REDES!$A:$W,MATCH($C338&amp;$I338&amp;$H338&amp;$N338&amp;$O338,APOIO_REDES!$W:$W,0),MATCH(BA$5,APOIO_REDES!$5:$5,0)),IF(AND($N338="MND",$Q338="EMBOQUE"),INDEX(APOIO_REDES!$A:$W,MATCH($C338&amp;$I338&amp;$H338&amp;$N338&amp;$O338,APOIO_REDES!$W:$W,0),MATCH(BA$5,APOIO_REDES!$5:$5,0)),0))*$M338/10,0)</f>
        <v>0.315942112112739</v>
      </c>
      <c r="BB338" s="153" t="n">
        <f aca="false">IFERROR(IF($N338="VCA",INDEX(APOIO_REDES!$A:$W,MATCH($C338&amp;$I338&amp;$H338&amp;$N338&amp;$O338,APOIO_REDES!$W:$W,0),MATCH(BB$5,APOIO_REDES!$5:$5,0)),0)*($AI338+$AQ338+$AR338),0)</f>
        <v>1.62848668069047</v>
      </c>
      <c r="BC338" s="153" t="n">
        <f aca="false">IFERROR(IF($N338="VCA",INDEX(APOIO_REDES!$A:$W,MATCH($C338&amp;$I338&amp;$H338&amp;$N338&amp;$O338,APOIO_REDES!$W:$W,0),MATCH(BC$5,APOIO_REDES!$5:$5,0)),0)*($AI338+$AQ338+$AR338),0)</f>
        <v>0.0179133193095253</v>
      </c>
      <c r="BD338" s="153" t="n">
        <f aca="false">IF(AND($N338="VCA",$AF338&gt;=1.25,$AF338&lt;1.5),$M338*$AF338*2,0)</f>
        <v>11.4464</v>
      </c>
      <c r="BE338" s="153" t="n">
        <f aca="false">IF(AND($N338="VCA",$AF338&gt;=1.5,$AF338&lt;3),$M338*$AF338*2,0)</f>
        <v>0</v>
      </c>
      <c r="BF338" s="153" t="n">
        <f aca="false">IF(AND($N338="VCA",$AF338&gt;=3),$M338*$AF338*2,0)</f>
        <v>0</v>
      </c>
      <c r="BG338" s="153" t="n">
        <f aca="false">($BB338+$BC338)*$AK338</f>
        <v>4.44528</v>
      </c>
      <c r="BH338" s="153" t="n">
        <f aca="false">IF(AND($M338&lt;&gt;"",$N338="VCA",$Q338="LINEAR"),($M338*2)/100,IF(AND($M338&lt;&gt;"",$N338="MND",$Q338="EMBOQUE"),($AN338*2)/100,0))</f>
        <v>0.0784</v>
      </c>
      <c r="BI338" s="153" t="n">
        <f aca="false">IF(AND($M338&lt;&gt;"",$N338="VCA",$Q338="LINEAR"),$M338,IF(AND($M338&lt;&gt;"",$N338="MND",$Q338="EMBOQUE"),$AN338*2,0))</f>
        <v>3.92</v>
      </c>
      <c r="BJ338" s="153" t="n">
        <f aca="false">IF(AND($M338&lt;&gt;"",$N338="VCA",$Q338="LINEAR"),($M338*6.8)/100,IF(AND($M338&lt;&gt;"",$N338="MND",$Q338="EMBOQUE"),($AN338*2*6.8)/100,0))</f>
        <v>0.26656</v>
      </c>
      <c r="BK338" s="153" t="n">
        <f aca="false">IF(AND($M338&lt;&gt;"",$N338="VCA",$Q338="LINEAR"),($M338*2.5)/50,IF(AND($M338&lt;&gt;"",$N338="MND",$Q338="EMBOQUE"),($AN338*2*2.5)/50,0))</f>
        <v>0.196</v>
      </c>
      <c r="BL338" s="157" t="str">
        <f aca="false">K338&amp;J338</f>
        <v>Zona03REDES</v>
      </c>
      <c r="BM338" s="152" t="s">
        <v>2526</v>
      </c>
      <c r="BN338" s="152" t="s">
        <v>1560</v>
      </c>
      <c r="BO338" s="152" t="s">
        <v>2800</v>
      </c>
      <c r="BP338" s="152" t="s">
        <v>2640</v>
      </c>
      <c r="BQ338" s="152" t="s">
        <v>2616</v>
      </c>
      <c r="BR338" s="152" t="s">
        <v>2804</v>
      </c>
      <c r="BS338" s="152" t="n">
        <v>203637.484</v>
      </c>
      <c r="BT338" s="152" t="n">
        <v>8237911.535</v>
      </c>
      <c r="BU338" s="152" t="n">
        <v>203637.661</v>
      </c>
      <c r="BV338" s="152" t="n">
        <v>8237907.618</v>
      </c>
      <c r="BW338" s="152" t="n">
        <v>-15.9203567</v>
      </c>
      <c r="BX338" s="152" t="n">
        <v>-47.7679451</v>
      </c>
      <c r="BY338" s="152" t="s">
        <v>2640</v>
      </c>
    </row>
    <row r="339" customFormat="false" ht="13.8" hidden="false" customHeight="false" outlineLevel="0" collapsed="false">
      <c r="A339" s="149" t="n">
        <f aca="false">IF(C339&lt;&gt;"",ROW(A334),"")</f>
        <v>334</v>
      </c>
      <c r="B339" s="150" t="str">
        <f aca="false">HYPERLINK("https://www.google.com/maps/dir/-15.917302,-47.760003/-15.9201285,-47.7707566/data=!4m3!4m2!3e0!5i2")</f>
        <v>https://www.google.com/maps/dir/-15.917302,-47.760003/-15.9201285,-47.7707566/data=!4m3!4m2!3e0!5i2</v>
      </c>
      <c r="C339" s="151" t="s">
        <v>117</v>
      </c>
      <c r="D339" s="152" t="s">
        <v>112</v>
      </c>
      <c r="E339" s="152" t="s">
        <v>113</v>
      </c>
      <c r="F339" s="152" t="s">
        <v>117</v>
      </c>
      <c r="G339" s="152" t="s">
        <v>782</v>
      </c>
      <c r="H339" s="152" t="n">
        <v>110</v>
      </c>
      <c r="I339" s="152" t="s">
        <v>115</v>
      </c>
      <c r="J339" s="152" t="s">
        <v>6</v>
      </c>
      <c r="K339" s="152" t="s">
        <v>2522</v>
      </c>
      <c r="L339" s="152" t="s">
        <v>120</v>
      </c>
      <c r="M339" s="153" t="n">
        <f aca="false">47.52</f>
        <v>47.52</v>
      </c>
      <c r="N339" s="152" t="s">
        <v>1548</v>
      </c>
      <c r="O339" s="152" t="s">
        <v>1549</v>
      </c>
      <c r="P339" s="152" t="s">
        <v>1550</v>
      </c>
      <c r="Q339" s="152" t="s">
        <v>1551</v>
      </c>
      <c r="R339" s="154" t="s">
        <v>2805</v>
      </c>
      <c r="S339" s="154" t="s">
        <v>1593</v>
      </c>
      <c r="T339" s="155" t="s">
        <v>2797</v>
      </c>
      <c r="U339" s="152" t="str">
        <f aca="false">RIGHT(T339,7)</f>
        <v>009/037</v>
      </c>
      <c r="V339" s="152" t="s">
        <v>1555</v>
      </c>
      <c r="W339" s="156" t="n">
        <v>45882</v>
      </c>
      <c r="X339" s="152" t="s">
        <v>1594</v>
      </c>
      <c r="Y339" s="152" t="s">
        <v>2553</v>
      </c>
      <c r="Z339" s="152" t="s">
        <v>1557</v>
      </c>
      <c r="AA339" s="153" t="n">
        <v>3.5</v>
      </c>
      <c r="AB339" s="151" t="s">
        <v>2806</v>
      </c>
      <c r="AC339" s="151" t="s">
        <v>502</v>
      </c>
      <c r="AD339" s="151" t="str">
        <f aca="false">CONCATENATE($C339,$I339,$H339,$N339,$J339,$K339)</f>
        <v>TUBO PEADPEAD110VCAREDESZona03</v>
      </c>
      <c r="AE339" s="153" t="n">
        <f aca="false">IFERROR(INDEX(APOIO_REDES!$A:$W,MATCH($C339&amp;$I339&amp;$H339&amp;$N339&amp;$O339,APOIO_REDES!$W:$W,0),MATCH(AE$5,APOIO_REDES!$5:$5,0)),0)</f>
        <v>1.2</v>
      </c>
      <c r="AF339" s="153" t="n">
        <f aca="false">IFERROR(INDEX(APOIO_REDES!$A:$W,MATCH($C339&amp;$I339&amp;$H339&amp;$N339&amp;$O339,APOIO_REDES!$W:$W,0),MATCH(AF$5,APOIO_REDES!$5:$5,0)),0)</f>
        <v>1.41</v>
      </c>
      <c r="AG339" s="153" t="n">
        <f aca="false">IFERROR(INDEX(APOIO_REDES!$A:$W,MATCH($C339&amp;$I339&amp;$H339&amp;$N339&amp;$O339,APOIO_REDES!$W:$W,0),MATCH(AG$5,APOIO_REDES!$5:$5,0)),0)</f>
        <v>0.75</v>
      </c>
      <c r="AH339" s="153" t="n">
        <f aca="false">IFERROR(INDEX(APOIO_REDES!$A:$W,MATCH($C339&amp;$I339&amp;$H339&amp;$N339&amp;$O339,APOIO_REDES!$W:$W,0),MATCH(AH$5,APOIO_REDES!$5:$5,0)),0)</f>
        <v>0.1</v>
      </c>
      <c r="AI339" s="153" t="n">
        <f aca="false">IFERROR(IF($H339&lt;&gt;"",(((($H339/1000)/2)^2)*PI()*$M339),0),0)</f>
        <v>0.451597660768226</v>
      </c>
      <c r="AJ339" s="153" t="n">
        <f aca="false">IFERROR(IF(AND($H339&lt;&gt;"",$I339="FoFo",OR($N339="MND",$N339="VCA"),$Q339="LINEAR"),0,IF(AND($H339&lt;&gt;"",$I339="PEAD",$N339="VCA",$Q339="LINEAR"),($H339/1000)+0.3,IF(AND($H339&lt;&gt;"",$I339="PEAD",$N339="MND",$Q339="EMBOQUE"),0,IF(AND($H339&lt;&gt;"",$I339="PVC",$N339="VCA",$Q339="LINEAR"),($H339/1000)+0.2,IF(AND($H339&lt;&gt;"",$I339="PVC",$N339="MND",$Q339="EMBOQUE"),0,IF(AND($H339&lt;&gt;"",$I339="PEAD",$N339="VCA",$Q339="PREDIAL"),0,0)))))),0)</f>
        <v>0.41</v>
      </c>
      <c r="AK339" s="153" t="n">
        <f aca="false">IF(AA339&lt;&gt;"",AA339,0)</f>
        <v>3.5</v>
      </c>
      <c r="AL339" s="153" t="n">
        <f aca="false">IF(AND($N339="MND",$Q339="EMBOQUE"),$M339,IF(AND($N339="VCA",$Q339="LINEAR"),$M339,IF(AND($N339="VCA",$Q339="PREDIAL"),0,0)))</f>
        <v>47.52</v>
      </c>
      <c r="AM339" s="153" t="n">
        <f aca="false">IF(AND($N339="MND",$Q339="EMBOQUE"),$M339,IF(AND($N339="VCA",$Q339="LINEAR"),$M339,IF(AND($N339="VCA",$Q339="PREDIAL"),0,0)))</f>
        <v>47.52</v>
      </c>
      <c r="AN339" s="153" t="n">
        <f aca="false">ROUND(IF(AND($N339="VCA",$M339&lt;&gt;"",$Q339="LINEAR"),$M339/100,IF(AND($N339="MND",$M339&gt;100,$Q339="EMBOQUE"),$M339/100,0)),0)</f>
        <v>0</v>
      </c>
      <c r="AO339" s="153" t="n">
        <f aca="false">IF(AND($N339="MND",$Q339="EMBOQUE"),$AN339*2*2,IF(AND($N339="VCA",$Q339="LINEAR"),$M339*2,IF(AND($N339="VCA",$Q339="PREDIAL"),0,0)))</f>
        <v>95.04</v>
      </c>
      <c r="AP339" s="153" t="n">
        <f aca="false">IFERROR($M339*$AF339*$AG339,0)</f>
        <v>50.2524</v>
      </c>
      <c r="AQ339" s="153" t="n">
        <f aca="false">IFERROR(IF(AND($N339="VCA",$AH339&gt;0),$M339*$AG339*$AH339,0),0)</f>
        <v>3.564</v>
      </c>
      <c r="AR339" s="153" t="n">
        <f aca="false">IFERROR(IF(AND($N339="VCA",$AJ339&gt;0),($M339*$AG339*$AJ339)-$AI339,0),0)</f>
        <v>14.1608023392318</v>
      </c>
      <c r="AS339" s="153" t="n">
        <f aca="false">IFERROR(IF(AND($N339="VCA",$AP339&gt;0),$AP339-$AI339-$AQ339-$AR339,0),0)</f>
        <v>32.076</v>
      </c>
      <c r="AT339" s="153" t="n">
        <f aca="false">IFERROR(IF($N339="VCA",INDEX(APOIO_REDES!$A:$W,MATCH($C339&amp;$I339&amp;$H339&amp;$N339&amp;$O339,APOIO_REDES!$W:$W,0),MATCH(AT$5,APOIO_REDES!$5:$5,0)),0)*$AP339,0)</f>
        <v>0.546760985951161</v>
      </c>
      <c r="AU339" s="153" t="n">
        <f aca="false">IFERROR(IF($N339="VCA",INDEX(APOIO_REDES!$A:$W,MATCH($C339&amp;$I339&amp;$H339&amp;$N339&amp;$O339,APOIO_REDES!$W:$W,0),MATCH(AU$5,APOIO_REDES!$5:$5,0)),0)*$AP339,0)</f>
        <v>0.436628515215119</v>
      </c>
      <c r="AV339" s="153" t="n">
        <f aca="false">IFERROR(IF($N339="VCA",INDEX(APOIO_REDES!$A:$W,MATCH($C339&amp;$I339&amp;$H339&amp;$N339&amp;$O339,APOIO_REDES!$W:$W,0),MATCH(AV$5,APOIO_REDES!$5:$5,0)),0)*$AP339,0)</f>
        <v>0.0604259588375357</v>
      </c>
      <c r="AW339" s="153" t="n">
        <f aca="false">IFERROR(IF($N339="VCA",INDEX(APOIO_REDES!$A:$W,MATCH($C339&amp;$I339&amp;$H339&amp;$N339&amp;$O339,APOIO_REDES!$W:$W,0),MATCH(AW$5,APOIO_REDES!$5:$5,0)),0)*$AP339,0)</f>
        <v>34.4936367345958</v>
      </c>
      <c r="AX339" s="153" t="n">
        <f aca="false">IFERROR(IF($N339="VCA",INDEX(APOIO_REDES!$A:$W,MATCH($C339&amp;$I339&amp;$H339&amp;$N339&amp;$O339,APOIO_REDES!$W:$W,0),MATCH(AX$5,APOIO_REDES!$5:$5,0)),0)*$AP339,0)</f>
        <v>4.77382106708392</v>
      </c>
      <c r="AY339" s="153" t="n">
        <f aca="false">IFERROR(IF($N339="VCA",INDEX(APOIO_REDES!$A:$W,MATCH($C339&amp;$I339&amp;$H339&amp;$N339&amp;$O339,APOIO_REDES!$W:$W,0),MATCH(AY$5,APOIO_REDES!$5:$5,0)),0)*$AP339,0)</f>
        <v>8.73256498183617</v>
      </c>
      <c r="AZ339" s="153" t="n">
        <f aca="false">IFERROR(IF($N339="VCA",INDEX(APOIO_REDES!$A:$W,MATCH($C339&amp;$I339&amp;$H339&amp;$N339&amp;$O339,APOIO_REDES!$W:$W,0),MATCH(AZ$5,APOIO_REDES!$5:$5,0)),0)*$AP339,0)</f>
        <v>1.20856175648036</v>
      </c>
      <c r="BA339" s="153" t="n">
        <f aca="false">IFERROR(IF(AND($N339="VCA",$Q339="LINEAR"),INDEX(APOIO_REDES!$A:$W,MATCH($C339&amp;$I339&amp;$H339&amp;$N339&amp;$O339,APOIO_REDES!$W:$W,0),MATCH(BA$5,APOIO_REDES!$5:$5,0)),IF(AND($N339="MND",$Q339="EMBOQUE"),INDEX(APOIO_REDES!$A:$W,MATCH($C339&amp;$I339&amp;$H339&amp;$N339&amp;$O339,APOIO_REDES!$W:$W,0),MATCH(BA$5,APOIO_REDES!$5:$5,0)),0))*$M339/10,0)</f>
        <v>3.82999213459116</v>
      </c>
      <c r="BB339" s="153" t="n">
        <f aca="false">IFERROR(IF($N339="VCA",INDEX(APOIO_REDES!$A:$W,MATCH($C339&amp;$I339&amp;$H339&amp;$N339&amp;$O339,APOIO_REDES!$W:$W,0),MATCH(BB$5,APOIO_REDES!$5:$5,0)),0)*($AI339+$AQ339+$AR339),0)</f>
        <v>17.9786353880602</v>
      </c>
      <c r="BC339" s="153" t="n">
        <f aca="false">IFERROR(IF($N339="VCA",INDEX(APOIO_REDES!$A:$W,MATCH($C339&amp;$I339&amp;$H339&amp;$N339&amp;$O339,APOIO_REDES!$W:$W,0),MATCH(BC$5,APOIO_REDES!$5:$5,0)),0)*($AI339+$AQ339+$AR339),0)</f>
        <v>0.197764611939782</v>
      </c>
      <c r="BD339" s="153" t="n">
        <f aca="false">IF(AND($N339="VCA",$AF339&gt;=1.25,$AF339&lt;1.5),$M339*$AF339*2,0)</f>
        <v>134.0064</v>
      </c>
      <c r="BE339" s="153" t="n">
        <f aca="false">IF(AND($N339="VCA",$AF339&gt;=1.5,$AF339&lt;3),$M339*$AF339*2,0)</f>
        <v>0</v>
      </c>
      <c r="BF339" s="153" t="n">
        <f aca="false">IF(AND($N339="VCA",$AF339&gt;=3),$M339*$AF339*2,0)</f>
        <v>0</v>
      </c>
      <c r="BG339" s="153" t="n">
        <f aca="false">($BB339+$BC339)*$AK339</f>
        <v>63.6174</v>
      </c>
      <c r="BH339" s="153" t="n">
        <f aca="false">IF(AND($M339&lt;&gt;"",$N339="VCA",$Q339="LINEAR"),($M339*2)/100,IF(AND($M339&lt;&gt;"",$N339="MND",$Q339="EMBOQUE"),($AN339*2)/100,0))</f>
        <v>0.9504</v>
      </c>
      <c r="BI339" s="153" t="n">
        <f aca="false">IF(AND($M339&lt;&gt;"",$N339="VCA",$Q339="LINEAR"),$M339,IF(AND($M339&lt;&gt;"",$N339="MND",$Q339="EMBOQUE"),$AN339*2,0))</f>
        <v>47.52</v>
      </c>
      <c r="BJ339" s="153" t="n">
        <f aca="false">IF(AND($M339&lt;&gt;"",$N339="VCA",$Q339="LINEAR"),($M339*6.8)/100,IF(AND($M339&lt;&gt;"",$N339="MND",$Q339="EMBOQUE"),($AN339*2*6.8)/100,0))</f>
        <v>3.23136</v>
      </c>
      <c r="BK339" s="153" t="n">
        <f aca="false">IF(AND($M339&lt;&gt;"",$N339="VCA",$Q339="LINEAR"),($M339*2.5)/50,IF(AND($M339&lt;&gt;"",$N339="MND",$Q339="EMBOQUE"),($AN339*2*2.5)/50,0))</f>
        <v>2.376</v>
      </c>
      <c r="BL339" s="157" t="str">
        <f aca="false">K339&amp;J339</f>
        <v>Zona03REDES</v>
      </c>
      <c r="BM339" s="152" t="s">
        <v>2526</v>
      </c>
      <c r="BN339" s="152" t="s">
        <v>1560</v>
      </c>
      <c r="BO339" s="152" t="s">
        <v>2800</v>
      </c>
      <c r="BP339" s="152" t="s">
        <v>2621</v>
      </c>
      <c r="BQ339" s="152" t="s">
        <v>2807</v>
      </c>
      <c r="BR339" s="152" t="s">
        <v>2808</v>
      </c>
      <c r="BS339" s="152" t="n">
        <v>203336.061</v>
      </c>
      <c r="BT339" s="152" t="n">
        <v>8237930.436</v>
      </c>
      <c r="BU339" s="152" t="n">
        <v>203342.146</v>
      </c>
      <c r="BV339" s="152" t="n">
        <v>8237883.31</v>
      </c>
      <c r="BW339" s="152" t="n">
        <v>-15.9203454</v>
      </c>
      <c r="BX339" s="152" t="n">
        <v>-47.770731</v>
      </c>
      <c r="BY339" s="152" t="s">
        <v>2621</v>
      </c>
    </row>
    <row r="340" customFormat="false" ht="13.8" hidden="false" customHeight="false" outlineLevel="0" collapsed="false">
      <c r="A340" s="149" t="n">
        <f aca="false">IF(C340&lt;&gt;"",ROW(A335),"")</f>
        <v>335</v>
      </c>
      <c r="B340" s="150" t="str">
        <f aca="false">HYPERLINK("https://www.google.com/maps/dir/-15.917302,-47.760003/-15.9205585,-47.7707053/data=!4m3!4m2!3e0!5i2")</f>
        <v>https://www.google.com/maps/dir/-15.917302,-47.760003/-15.9205585,-47.7707053/data=!4m3!4m2!3e0!5i2</v>
      </c>
      <c r="C340" s="151" t="s">
        <v>117</v>
      </c>
      <c r="D340" s="152" t="s">
        <v>112</v>
      </c>
      <c r="E340" s="152" t="s">
        <v>113</v>
      </c>
      <c r="F340" s="152" t="s">
        <v>117</v>
      </c>
      <c r="G340" s="152" t="s">
        <v>782</v>
      </c>
      <c r="H340" s="152" t="n">
        <v>110</v>
      </c>
      <c r="I340" s="152" t="s">
        <v>115</v>
      </c>
      <c r="J340" s="152" t="s">
        <v>6</v>
      </c>
      <c r="K340" s="152" t="s">
        <v>2522</v>
      </c>
      <c r="L340" s="152" t="s">
        <v>120</v>
      </c>
      <c r="M340" s="153" t="n">
        <f aca="false">292.57</f>
        <v>292.57</v>
      </c>
      <c r="N340" s="152" t="s">
        <v>1548</v>
      </c>
      <c r="O340" s="152" t="s">
        <v>1549</v>
      </c>
      <c r="P340" s="152" t="s">
        <v>1550</v>
      </c>
      <c r="Q340" s="152" t="s">
        <v>1551</v>
      </c>
      <c r="R340" s="154" t="s">
        <v>2809</v>
      </c>
      <c r="S340" s="154" t="s">
        <v>1593</v>
      </c>
      <c r="T340" s="155" t="s">
        <v>2797</v>
      </c>
      <c r="U340" s="152" t="str">
        <f aca="false">RIGHT(T340,7)</f>
        <v>009/037</v>
      </c>
      <c r="V340" s="152" t="s">
        <v>1555</v>
      </c>
      <c r="W340" s="156" t="n">
        <v>45882</v>
      </c>
      <c r="X340" s="152" t="s">
        <v>1594</v>
      </c>
      <c r="Y340" s="152" t="s">
        <v>2553</v>
      </c>
      <c r="Z340" s="152" t="s">
        <v>1557</v>
      </c>
      <c r="AA340" s="153" t="n">
        <v>3.5</v>
      </c>
      <c r="AB340" s="151" t="s">
        <v>2810</v>
      </c>
      <c r="AC340" s="151" t="s">
        <v>502</v>
      </c>
      <c r="AD340" s="151" t="str">
        <f aca="false">CONCATENATE($C340,$I340,$H340,$N340,$J340,$K340)</f>
        <v>TUBO PEADPEAD110VCAREDESZona03</v>
      </c>
      <c r="AE340" s="153" t="n">
        <f aca="false">IFERROR(INDEX(APOIO_REDES!$A:$W,MATCH($C340&amp;$I340&amp;$H340&amp;$N340&amp;$O340,APOIO_REDES!$W:$W,0),MATCH(AE$5,APOIO_REDES!$5:$5,0)),0)</f>
        <v>1.2</v>
      </c>
      <c r="AF340" s="153" t="n">
        <f aca="false">IFERROR(INDEX(APOIO_REDES!$A:$W,MATCH($C340&amp;$I340&amp;$H340&amp;$N340&amp;$O340,APOIO_REDES!$W:$W,0),MATCH(AF$5,APOIO_REDES!$5:$5,0)),0)</f>
        <v>1.41</v>
      </c>
      <c r="AG340" s="153" t="n">
        <f aca="false">IFERROR(INDEX(APOIO_REDES!$A:$W,MATCH($C340&amp;$I340&amp;$H340&amp;$N340&amp;$O340,APOIO_REDES!$W:$W,0),MATCH(AG$5,APOIO_REDES!$5:$5,0)),0)</f>
        <v>0.75</v>
      </c>
      <c r="AH340" s="153" t="n">
        <f aca="false">IFERROR(INDEX(APOIO_REDES!$A:$W,MATCH($C340&amp;$I340&amp;$H340&amp;$N340&amp;$O340,APOIO_REDES!$W:$W,0),MATCH(AH$5,APOIO_REDES!$5:$5,0)),0)</f>
        <v>0.1</v>
      </c>
      <c r="AI340" s="153" t="n">
        <f aca="false">IFERROR(IF($H340&lt;&gt;"",(((($H340/1000)/2)^2)*PI()*$M340),0),0)</f>
        <v>2.78038568204882</v>
      </c>
      <c r="AJ340" s="153" t="n">
        <f aca="false">IFERROR(IF(AND($H340&lt;&gt;"",$I340="FoFo",OR($N340="MND",$N340="VCA"),$Q340="LINEAR"),0,IF(AND($H340&lt;&gt;"",$I340="PEAD",$N340="VCA",$Q340="LINEAR"),($H340/1000)+0.3,IF(AND($H340&lt;&gt;"",$I340="PEAD",$N340="MND",$Q340="EMBOQUE"),0,IF(AND($H340&lt;&gt;"",$I340="PVC",$N340="VCA",$Q340="LINEAR"),($H340/1000)+0.2,IF(AND($H340&lt;&gt;"",$I340="PVC",$N340="MND",$Q340="EMBOQUE"),0,IF(AND($H340&lt;&gt;"",$I340="PEAD",$N340="VCA",$Q340="PREDIAL"),0,0)))))),0)</f>
        <v>0.41</v>
      </c>
      <c r="AK340" s="153" t="n">
        <f aca="false">IF(AA340&lt;&gt;"",AA340,0)</f>
        <v>3.5</v>
      </c>
      <c r="AL340" s="153" t="n">
        <f aca="false">IF(AND($N340="MND",$Q340="EMBOQUE"),$M340,IF(AND($N340="VCA",$Q340="LINEAR"),$M340,IF(AND($N340="VCA",$Q340="PREDIAL"),0,0)))</f>
        <v>292.57</v>
      </c>
      <c r="AM340" s="153" t="n">
        <f aca="false">IF(AND($N340="MND",$Q340="EMBOQUE"),$M340,IF(AND($N340="VCA",$Q340="LINEAR"),$M340,IF(AND($N340="VCA",$Q340="PREDIAL"),0,0)))</f>
        <v>292.57</v>
      </c>
      <c r="AN340" s="153" t="n">
        <f aca="false">ROUND(IF(AND($N340="VCA",$M340&lt;&gt;"",$Q340="LINEAR"),$M340/100,IF(AND($N340="MND",$M340&gt;100,$Q340="EMBOQUE"),$M340/100,0)),0)</f>
        <v>3</v>
      </c>
      <c r="AO340" s="153" t="n">
        <f aca="false">IF(AND($N340="MND",$Q340="EMBOQUE"),$AN340*2*2,IF(AND($N340="VCA",$Q340="LINEAR"),$M340*2,IF(AND($N340="VCA",$Q340="PREDIAL"),0,0)))</f>
        <v>585.14</v>
      </c>
      <c r="AP340" s="153" t="n">
        <f aca="false">IFERROR($M340*$AF340*$AG340,0)</f>
        <v>309.392775</v>
      </c>
      <c r="AQ340" s="153" t="n">
        <f aca="false">IFERROR(IF(AND($N340="VCA",$AH340&gt;0),$M340*$AG340*$AH340,0),0)</f>
        <v>21.94275</v>
      </c>
      <c r="AR340" s="153" t="n">
        <f aca="false">IFERROR(IF(AND($N340="VCA",$AJ340&gt;0),($M340*$AG340*$AJ340)-$AI340,0),0)</f>
        <v>87.1848893179512</v>
      </c>
      <c r="AS340" s="153" t="n">
        <f aca="false">IFERROR(IF(AND($N340="VCA",$AP340&gt;0),$AP340-$AI340-$AQ340-$AR340,0),0)</f>
        <v>197.48475</v>
      </c>
      <c r="AT340" s="153" t="n">
        <f aca="false">IFERROR(IF($N340="VCA",INDEX(APOIO_REDES!$A:$W,MATCH($C340&amp;$I340&amp;$H340&amp;$N340&amp;$O340,APOIO_REDES!$W:$W,0),MATCH(AT$5,APOIO_REDES!$5:$5,0)),0)*$AP340,0)</f>
        <v>3.36628496758694</v>
      </c>
      <c r="AU340" s="153" t="n">
        <f aca="false">IFERROR(IF($N340="VCA",INDEX(APOIO_REDES!$A:$W,MATCH($C340&amp;$I340&amp;$H340&amp;$N340&amp;$O340,APOIO_REDES!$W:$W,0),MATCH(AU$5,APOIO_REDES!$5:$5,0)),0)*$AP340,0)</f>
        <v>2.68822400455571</v>
      </c>
      <c r="AV340" s="153" t="n">
        <f aca="false">IFERROR(IF($N340="VCA",INDEX(APOIO_REDES!$A:$W,MATCH($C340&amp;$I340&amp;$H340&amp;$N340&amp;$O340,APOIO_REDES!$W:$W,0),MATCH(AV$5,APOIO_REDES!$5:$5,0)),0)*$AP340,0)</f>
        <v>0.372029098844651</v>
      </c>
      <c r="AW340" s="153" t="n">
        <f aca="false">IFERROR(IF($N340="VCA",INDEX(APOIO_REDES!$A:$W,MATCH($C340&amp;$I340&amp;$H340&amp;$N340&amp;$O340,APOIO_REDES!$W:$W,0),MATCH(AW$5,APOIO_REDES!$5:$5,0)),0)*$AP340,0)</f>
        <v>212.369598052203</v>
      </c>
      <c r="AX340" s="153" t="n">
        <f aca="false">IFERROR(IF($N340="VCA",INDEX(APOIO_REDES!$A:$W,MATCH($C340&amp;$I340&amp;$H340&amp;$N340&amp;$O340,APOIO_REDES!$W:$W,0),MATCH(AX$5,APOIO_REDES!$5:$5,0)),0)*$AP340,0)</f>
        <v>29.3913474241738</v>
      </c>
      <c r="AY340" s="153" t="n">
        <f aca="false">IFERROR(IF($N340="VCA",INDEX(APOIO_REDES!$A:$W,MATCH($C340&amp;$I340&amp;$H340&amp;$N340&amp;$O340,APOIO_REDES!$W:$W,0),MATCH(AY$5,APOIO_REDES!$5:$5,0)),0)*$AP340,0)</f>
        <v>53.7644473218815</v>
      </c>
      <c r="AZ340" s="153" t="n">
        <f aca="false">IFERROR(IF($N340="VCA",INDEX(APOIO_REDES!$A:$W,MATCH($C340&amp;$I340&amp;$H340&amp;$N340&amp;$O340,APOIO_REDES!$W:$W,0),MATCH(AZ$5,APOIO_REDES!$5:$5,0)),0)*$AP340,0)</f>
        <v>7.44084413075462</v>
      </c>
      <c r="BA340" s="153" t="n">
        <f aca="false">IFERROR(IF(AND($N340="VCA",$Q340="LINEAR"),INDEX(APOIO_REDES!$A:$W,MATCH($C340&amp;$I340&amp;$H340&amp;$N340&amp;$O340,APOIO_REDES!$W:$W,0),MATCH(BA$5,APOIO_REDES!$5:$5,0)),IF(AND($N340="MND",$Q340="EMBOQUE"),INDEX(APOIO_REDES!$A:$W,MATCH($C340&amp;$I340&amp;$H340&amp;$N340&amp;$O340,APOIO_REDES!$W:$W,0),MATCH(BA$5,APOIO_REDES!$5:$5,0)),0))*$M340/10,0)</f>
        <v>23.5804040155163</v>
      </c>
      <c r="BB340" s="153" t="n">
        <f aca="false">IFERROR(IF($N340="VCA",INDEX(APOIO_REDES!$A:$W,MATCH($C340&amp;$I340&amp;$H340&amp;$N340&amp;$O340,APOIO_REDES!$W:$W,0),MATCH(BB$5,APOIO_REDES!$5:$5,0)),0)*($AI340+$AQ340+$AR340),0)</f>
        <v>110.690432564915</v>
      </c>
      <c r="BC340" s="153" t="n">
        <f aca="false">IFERROR(IF($N340="VCA",INDEX(APOIO_REDES!$A:$W,MATCH($C340&amp;$I340&amp;$H340&amp;$N340&amp;$O340,APOIO_REDES!$W:$W,0),MATCH(BC$5,APOIO_REDES!$5:$5,0)),0)*($AI340+$AQ340+$AR340),0)</f>
        <v>1.21759243508464</v>
      </c>
      <c r="BD340" s="153" t="n">
        <f aca="false">IF(AND($N340="VCA",$AF340&gt;=1.25,$AF340&lt;1.5),$M340*$AF340*2,0)</f>
        <v>825.0474</v>
      </c>
      <c r="BE340" s="153" t="n">
        <f aca="false">IF(AND($N340="VCA",$AF340&gt;=1.5,$AF340&lt;3),$M340*$AF340*2,0)</f>
        <v>0</v>
      </c>
      <c r="BF340" s="153" t="n">
        <f aca="false">IF(AND($N340="VCA",$AF340&gt;=3),$M340*$AF340*2,0)</f>
        <v>0</v>
      </c>
      <c r="BG340" s="153" t="n">
        <f aca="false">($BB340+$BC340)*$AK340</f>
        <v>391.6780875</v>
      </c>
      <c r="BH340" s="153" t="n">
        <f aca="false">IF(AND($M340&lt;&gt;"",$N340="VCA",$Q340="LINEAR"),($M340*2)/100,IF(AND($M340&lt;&gt;"",$N340="MND",$Q340="EMBOQUE"),($AN340*2)/100,0))</f>
        <v>5.8514</v>
      </c>
      <c r="BI340" s="153" t="n">
        <f aca="false">IF(AND($M340&lt;&gt;"",$N340="VCA",$Q340="LINEAR"),$M340,IF(AND($M340&lt;&gt;"",$N340="MND",$Q340="EMBOQUE"),$AN340*2,0))</f>
        <v>292.57</v>
      </c>
      <c r="BJ340" s="153" t="n">
        <f aca="false">IF(AND($M340&lt;&gt;"",$N340="VCA",$Q340="LINEAR"),($M340*6.8)/100,IF(AND($M340&lt;&gt;"",$N340="MND",$Q340="EMBOQUE"),($AN340*2*6.8)/100,0))</f>
        <v>19.89476</v>
      </c>
      <c r="BK340" s="153" t="n">
        <f aca="false">IF(AND($M340&lt;&gt;"",$N340="VCA",$Q340="LINEAR"),($M340*2.5)/50,IF(AND($M340&lt;&gt;"",$N340="MND",$Q340="EMBOQUE"),($AN340*2*2.5)/50,0))</f>
        <v>14.6285</v>
      </c>
      <c r="BL340" s="157" t="str">
        <f aca="false">K340&amp;J340</f>
        <v>Zona03REDES</v>
      </c>
      <c r="BM340" s="152" t="s">
        <v>2526</v>
      </c>
      <c r="BN340" s="152" t="s">
        <v>1560</v>
      </c>
      <c r="BO340" s="152" t="s">
        <v>2800</v>
      </c>
      <c r="BP340" s="152" t="s">
        <v>2807</v>
      </c>
      <c r="BQ340" s="152" t="s">
        <v>2636</v>
      </c>
      <c r="BR340" s="152" t="s">
        <v>2811</v>
      </c>
      <c r="BS340" s="152" t="n">
        <v>203342.147</v>
      </c>
      <c r="BT340" s="152" t="n">
        <v>8237883.308</v>
      </c>
      <c r="BU340" s="152" t="n">
        <v>203633.105</v>
      </c>
      <c r="BV340" s="152" t="n">
        <v>8237913.836</v>
      </c>
      <c r="BW340" s="152" t="n">
        <v>-15.9204463</v>
      </c>
      <c r="BX340" s="152" t="n">
        <v>-47.769345</v>
      </c>
      <c r="BY340" s="152" t="s">
        <v>2807</v>
      </c>
    </row>
    <row r="341" customFormat="false" ht="13.8" hidden="false" customHeight="false" outlineLevel="0" collapsed="false">
      <c r="A341" s="149" t="n">
        <f aca="false">IF(C341&lt;&gt;"",ROW(A336),"")</f>
        <v>336</v>
      </c>
      <c r="B341" s="150" t="str">
        <f aca="false">HYPERLINK("https://www.google.com/maps/dir/-15.917302,-47.760003/-15.9203482,-47.7708392/data=!4m3!4m2!3e0!5i0")</f>
        <v>https://www.google.com/maps/dir/-15.917302,-47.760003/-15.9203482,-47.7708392/data=!4m3!4m2!3e0!5i0</v>
      </c>
      <c r="C341" s="151" t="s">
        <v>117</v>
      </c>
      <c r="D341" s="152" t="s">
        <v>112</v>
      </c>
      <c r="E341" s="152" t="s">
        <v>113</v>
      </c>
      <c r="F341" s="152" t="s">
        <v>117</v>
      </c>
      <c r="G341" s="152" t="s">
        <v>782</v>
      </c>
      <c r="H341" s="152" t="n">
        <v>63</v>
      </c>
      <c r="I341" s="152" t="s">
        <v>115</v>
      </c>
      <c r="J341" s="152" t="s">
        <v>6</v>
      </c>
      <c r="K341" s="152" t="s">
        <v>2522</v>
      </c>
      <c r="L341" s="152" t="s">
        <v>120</v>
      </c>
      <c r="M341" s="153" t="n">
        <f aca="false">207.37+3.97</f>
        <v>211.34</v>
      </c>
      <c r="N341" s="152" t="s">
        <v>1548</v>
      </c>
      <c r="O341" s="152" t="s">
        <v>1549</v>
      </c>
      <c r="P341" s="152" t="s">
        <v>1550</v>
      </c>
      <c r="Q341" s="152" t="s">
        <v>1551</v>
      </c>
      <c r="R341" s="154" t="s">
        <v>2812</v>
      </c>
      <c r="S341" s="154" t="s">
        <v>1553</v>
      </c>
      <c r="T341" s="155" t="s">
        <v>2797</v>
      </c>
      <c r="U341" s="152" t="str">
        <f aca="false">RIGHT(T341,7)</f>
        <v>009/037</v>
      </c>
      <c r="V341" s="152" t="s">
        <v>1555</v>
      </c>
      <c r="W341" s="156" t="n">
        <v>45882</v>
      </c>
      <c r="X341" s="152" t="s">
        <v>1594</v>
      </c>
      <c r="Y341" s="152" t="s">
        <v>2553</v>
      </c>
      <c r="Z341" s="152" t="s">
        <v>1557</v>
      </c>
      <c r="AA341" s="153" t="n">
        <v>3</v>
      </c>
      <c r="AB341" s="151" t="s">
        <v>2813</v>
      </c>
      <c r="AC341" s="151" t="s">
        <v>186</v>
      </c>
      <c r="AD341" s="151" t="str">
        <f aca="false">CONCATENATE($C341,$I341,$H341,$N341,$J341,$K341)</f>
        <v>TUBO PEADPEAD63VCAREDESZona03</v>
      </c>
      <c r="AE341" s="153" t="n">
        <f aca="false">IFERROR(INDEX(APOIO_REDES!$A:$W,MATCH($C341&amp;$I341&amp;$H341&amp;$N341&amp;$O341,APOIO_REDES!$W:$W,0),MATCH(AE$5,APOIO_REDES!$5:$5,0)),0)</f>
        <v>1.2</v>
      </c>
      <c r="AF341" s="153" t="n">
        <f aca="false">IFERROR(INDEX(APOIO_REDES!$A:$W,MATCH($C341&amp;$I341&amp;$H341&amp;$N341&amp;$O341,APOIO_REDES!$W:$W,0),MATCH(AF$5,APOIO_REDES!$5:$5,0)),0)</f>
        <v>1.363</v>
      </c>
      <c r="AG341" s="153" t="n">
        <f aca="false">IFERROR(INDEX(APOIO_REDES!$A:$W,MATCH($C341&amp;$I341&amp;$H341&amp;$N341&amp;$O341,APOIO_REDES!$W:$W,0),MATCH(AG$5,APOIO_REDES!$5:$5,0)),0)</f>
        <v>0.65</v>
      </c>
      <c r="AH341" s="153" t="n">
        <f aca="false">IFERROR(INDEX(APOIO_REDES!$A:$W,MATCH($C341&amp;$I341&amp;$H341&amp;$N341&amp;$O341,APOIO_REDES!$W:$W,0),MATCH(AH$5,APOIO_REDES!$5:$5,0)),0)</f>
        <v>0.1</v>
      </c>
      <c r="AI341" s="153" t="n">
        <f aca="false">IFERROR(IF($H341&lt;&gt;"",(((($H341/1000)/2)^2)*PI()*$M341),0),0)</f>
        <v>0.658798623926242</v>
      </c>
      <c r="AJ341" s="153" t="n">
        <f aca="false">IFERROR(IF(AND($H341&lt;&gt;"",$I341="FoFo",OR($N341="MND",$N341="VCA"),$Q341="LINEAR"),0,IF(AND($H341&lt;&gt;"",$I341="PEAD",$N341="VCA",$Q341="LINEAR"),($H341/1000)+0.3,IF(AND($H341&lt;&gt;"",$I341="PEAD",$N341="MND",$Q341="EMBOQUE"),0,IF(AND($H341&lt;&gt;"",$I341="PVC",$N341="VCA",$Q341="LINEAR"),($H341/1000)+0.2,IF(AND($H341&lt;&gt;"",$I341="PVC",$N341="MND",$Q341="EMBOQUE"),0,IF(AND($H341&lt;&gt;"",$I341="PEAD",$N341="VCA",$Q341="PREDIAL"),0,0)))))),0)</f>
        <v>0.363</v>
      </c>
      <c r="AK341" s="153" t="n">
        <f aca="false">IF(AA341&lt;&gt;"",AA341,0)</f>
        <v>3</v>
      </c>
      <c r="AL341" s="153" t="n">
        <f aca="false">IF(AND($N341="MND",$Q341="EMBOQUE"),$M341,IF(AND($N341="VCA",$Q341="LINEAR"),$M341,IF(AND($N341="VCA",$Q341="PREDIAL"),0,0)))</f>
        <v>211.34</v>
      </c>
      <c r="AM341" s="153" t="n">
        <f aca="false">IF(AND($N341="MND",$Q341="EMBOQUE"),$M341,IF(AND($N341="VCA",$Q341="LINEAR"),$M341,IF(AND($N341="VCA",$Q341="PREDIAL"),0,0)))</f>
        <v>211.34</v>
      </c>
      <c r="AN341" s="153" t="n">
        <f aca="false">ROUND(IF(AND($N341="VCA",$M341&lt;&gt;"",$Q341="LINEAR"),$M341/100,IF(AND($N341="MND",$M341&gt;100,$Q341="EMBOQUE"),$M341/100,0)),0)</f>
        <v>2</v>
      </c>
      <c r="AO341" s="153" t="n">
        <f aca="false">IF(AND($N341="MND",$Q341="EMBOQUE"),$AN341*2*2,IF(AND($N341="VCA",$Q341="LINEAR"),$M341*2,IF(AND($N341="VCA",$Q341="PREDIAL"),0,0)))</f>
        <v>422.68</v>
      </c>
      <c r="AP341" s="153" t="n">
        <f aca="false">IFERROR($M341*$AF341*$AG341,0)</f>
        <v>187.236673</v>
      </c>
      <c r="AQ341" s="153" t="n">
        <f aca="false">IFERROR(IF(AND($N341="VCA",$AH341&gt;0),$M341*$AG341*$AH341,0),0)</f>
        <v>13.7371</v>
      </c>
      <c r="AR341" s="153" t="n">
        <f aca="false">IFERROR(IF(AND($N341="VCA",$AJ341&gt;0),($M341*$AG341*$AJ341)-$AI341,0),0)</f>
        <v>49.2068743760738</v>
      </c>
      <c r="AS341" s="153" t="n">
        <f aca="false">IFERROR(IF(AND($N341="VCA",$AP341&gt;0),$AP341-$AI341-$AQ341-$AR341,0),0)</f>
        <v>123.6339</v>
      </c>
      <c r="AT341" s="153" t="n">
        <f aca="false">IFERROR(IF($N341="VCA",INDEX(APOIO_REDES!$A:$W,MATCH($C341&amp;$I341&amp;$H341&amp;$N341&amp;$O341,APOIO_REDES!$W:$W,0),MATCH(AT$5,APOIO_REDES!$5:$5,0)),0)*$AP341,0)</f>
        <v>2.03719042146634</v>
      </c>
      <c r="AU341" s="153" t="n">
        <f aca="false">IFERROR(IF($N341="VCA",INDEX(APOIO_REDES!$A:$W,MATCH($C341&amp;$I341&amp;$H341&amp;$N341&amp;$O341,APOIO_REDES!$W:$W,0),MATCH(AU$5,APOIO_REDES!$5:$5,0)),0)*$AP341,0)</f>
        <v>1.6268450964692</v>
      </c>
      <c r="AV341" s="153" t="n">
        <f aca="false">IFERROR(IF($N341="VCA",INDEX(APOIO_REDES!$A:$W,MATCH($C341&amp;$I341&amp;$H341&amp;$N341&amp;$O341,APOIO_REDES!$W:$W,0),MATCH(AV$5,APOIO_REDES!$5:$5,0)),0)*$AP341,0)</f>
        <v>0.225142590116594</v>
      </c>
      <c r="AW341" s="153" t="n">
        <f aca="false">IFERROR(IF($N341="VCA",INDEX(APOIO_REDES!$A:$W,MATCH($C341&amp;$I341&amp;$H341&amp;$N341&amp;$O341,APOIO_REDES!$W:$W,0),MATCH(AW$5,APOIO_REDES!$5:$5,0)),0)*$AP341,0)</f>
        <v>128.520703127737</v>
      </c>
      <c r="AX341" s="153" t="n">
        <f aca="false">IFERROR(IF($N341="VCA",INDEX(APOIO_REDES!$A:$W,MATCH($C341&amp;$I341&amp;$H341&amp;$N341&amp;$O341,APOIO_REDES!$W:$W,0),MATCH(AX$5,APOIO_REDES!$5:$5,0)),0)*$AP341,0)</f>
        <v>17.7868992147261</v>
      </c>
      <c r="AY341" s="153" t="n">
        <f aca="false">IFERROR(IF($N341="VCA",INDEX(APOIO_REDES!$A:$W,MATCH($C341&amp;$I341&amp;$H341&amp;$N341&amp;$O341,APOIO_REDES!$W:$W,0),MATCH(AY$5,APOIO_REDES!$5:$5,0)),0)*$AP341,0)</f>
        <v>32.5368820982741</v>
      </c>
      <c r="AZ341" s="153" t="n">
        <f aca="false">IFERROR(IF($N341="VCA",INDEX(APOIO_REDES!$A:$W,MATCH($C341&amp;$I341&amp;$H341&amp;$N341&amp;$O341,APOIO_REDES!$W:$W,0),MATCH(AZ$5,APOIO_REDES!$5:$5,0)),0)*$AP341,0)</f>
        <v>4.50301045121067</v>
      </c>
      <c r="BA341" s="153" t="n">
        <f aca="false">IFERROR(IF(AND($N341="VCA",$Q341="LINEAR"),INDEX(APOIO_REDES!$A:$W,MATCH($C341&amp;$I341&amp;$H341&amp;$N341&amp;$O341,APOIO_REDES!$W:$W,0),MATCH(BA$5,APOIO_REDES!$5:$5,0)),IF(AND($N341="MND",$Q341="EMBOQUE"),INDEX(APOIO_REDES!$A:$W,MATCH($C341&amp;$I341&amp;$H341&amp;$N341&amp;$O341,APOIO_REDES!$W:$W,0),MATCH(BA$5,APOIO_REDES!$5:$5,0)),0))*$M341/10,0)</f>
        <v>17.0334709117108</v>
      </c>
      <c r="BB341" s="153" t="n">
        <f aca="false">IFERROR(IF($N341="VCA",INDEX(APOIO_REDES!$A:$W,MATCH($C341&amp;$I341&amp;$H341&amp;$N341&amp;$O341,APOIO_REDES!$W:$W,0),MATCH(BB$5,APOIO_REDES!$5:$5,0)),0)*($AI341+$AQ341+$AR341),0)</f>
        <v>62.9107560043001</v>
      </c>
      <c r="BC341" s="153" t="n">
        <f aca="false">IFERROR(IF($N341="VCA",INDEX(APOIO_REDES!$A:$W,MATCH($C341&amp;$I341&amp;$H341&amp;$N341&amp;$O341,APOIO_REDES!$W:$W,0),MATCH(BC$5,APOIO_REDES!$5:$5,0)),0)*($AI341+$AQ341+$AR341),0)</f>
        <v>0.692016995699865</v>
      </c>
      <c r="BD341" s="153" t="n">
        <f aca="false">IF(AND($N341="VCA",$AF341&gt;=1.25,$AF341&lt;1.5),$M341*$AF341*2,0)</f>
        <v>576.11284</v>
      </c>
      <c r="BE341" s="153" t="n">
        <f aca="false">IF(AND($N341="VCA",$AF341&gt;=1.5,$AF341&lt;3),$M341*$AF341*2,0)</f>
        <v>0</v>
      </c>
      <c r="BF341" s="153" t="n">
        <f aca="false">IF(AND($N341="VCA",$AF341&gt;=3),$M341*$AF341*2,0)</f>
        <v>0</v>
      </c>
      <c r="BG341" s="153" t="n">
        <f aca="false">($BB341+$BC341)*$AK341</f>
        <v>190.808319</v>
      </c>
      <c r="BH341" s="153" t="n">
        <f aca="false">IF(AND($M341&lt;&gt;"",$N341="VCA",$Q341="LINEAR"),($M341*2)/100,IF(AND($M341&lt;&gt;"",$N341="MND",$Q341="EMBOQUE"),($AN341*2)/100,0))</f>
        <v>4.2268</v>
      </c>
      <c r="BI341" s="153" t="n">
        <f aca="false">IF(AND($M341&lt;&gt;"",$N341="VCA",$Q341="LINEAR"),$M341,IF(AND($M341&lt;&gt;"",$N341="MND",$Q341="EMBOQUE"),$AN341*2,0))</f>
        <v>211.34</v>
      </c>
      <c r="BJ341" s="153" t="n">
        <f aca="false">IF(AND($M341&lt;&gt;"",$N341="VCA",$Q341="LINEAR"),($M341*6.8)/100,IF(AND($M341&lt;&gt;"",$N341="MND",$Q341="EMBOQUE"),($AN341*2*6.8)/100,0))</f>
        <v>14.37112</v>
      </c>
      <c r="BK341" s="153" t="n">
        <f aca="false">IF(AND($M341&lt;&gt;"",$N341="VCA",$Q341="LINEAR"),($M341*2.5)/50,IF(AND($M341&lt;&gt;"",$N341="MND",$Q341="EMBOQUE"),($AN341*2*2.5)/50,0))</f>
        <v>10.567</v>
      </c>
      <c r="BL341" s="157" t="str">
        <f aca="false">K341&amp;J341</f>
        <v>Zona03REDES</v>
      </c>
      <c r="BM341" s="152" t="s">
        <v>2526</v>
      </c>
      <c r="BN341" s="152" t="s">
        <v>1560</v>
      </c>
      <c r="BO341" s="152" t="s">
        <v>2800</v>
      </c>
      <c r="BP341" s="152" t="s">
        <v>2814</v>
      </c>
      <c r="BQ341" s="152" t="s">
        <v>2632</v>
      </c>
      <c r="BR341" s="152" t="s">
        <v>2815</v>
      </c>
      <c r="BS341" s="152" t="n">
        <v>203327.486</v>
      </c>
      <c r="BT341" s="152" t="n">
        <v>8237906.406</v>
      </c>
      <c r="BU341" s="152" t="n">
        <v>203124.359</v>
      </c>
      <c r="BV341" s="152" t="n">
        <v>8237915.503</v>
      </c>
      <c r="BW341" s="152" t="n">
        <v>-15.9204315</v>
      </c>
      <c r="BX341" s="152" t="n">
        <v>-47.7718029</v>
      </c>
      <c r="BY341" s="152" t="s">
        <v>2814</v>
      </c>
    </row>
    <row r="342" customFormat="false" ht="13.8" hidden="false" customHeight="false" outlineLevel="0" collapsed="false">
      <c r="A342" s="149" t="n">
        <f aca="false">IF(C342&lt;&gt;"",ROW(A337),"")</f>
        <v>337</v>
      </c>
      <c r="B342" s="150" t="str">
        <f aca="false">HYPERLINK("https://www.google.com/maps/dir/-15.917302,-47.760003/-15.9205585,-47.7707053/data=!4m3!4m2!3e0!5i2")</f>
        <v>https://www.google.com/maps/dir/-15.917302,-47.760003/-15.9205585,-47.7707053/data=!4m3!4m2!3e0!5i2</v>
      </c>
      <c r="C342" s="151" t="s">
        <v>117</v>
      </c>
      <c r="D342" s="152" t="s">
        <v>112</v>
      </c>
      <c r="E342" s="152" t="s">
        <v>113</v>
      </c>
      <c r="F342" s="152" t="s">
        <v>117</v>
      </c>
      <c r="G342" s="152" t="s">
        <v>114</v>
      </c>
      <c r="H342" s="152" t="n">
        <v>160</v>
      </c>
      <c r="I342" s="152" t="s">
        <v>115</v>
      </c>
      <c r="J342" s="152" t="s">
        <v>6</v>
      </c>
      <c r="K342" s="152" t="s">
        <v>2522</v>
      </c>
      <c r="L342" s="152" t="s">
        <v>120</v>
      </c>
      <c r="M342" s="153" t="n">
        <f aca="false">291.85+1.62</f>
        <v>293.47</v>
      </c>
      <c r="N342" s="152" t="s">
        <v>1548</v>
      </c>
      <c r="O342" s="152" t="s">
        <v>1549</v>
      </c>
      <c r="P342" s="152" t="s">
        <v>1550</v>
      </c>
      <c r="Q342" s="152" t="s">
        <v>1551</v>
      </c>
      <c r="R342" s="154" t="s">
        <v>2816</v>
      </c>
      <c r="S342" s="154" t="s">
        <v>1593</v>
      </c>
      <c r="T342" s="155" t="s">
        <v>2797</v>
      </c>
      <c r="U342" s="152" t="str">
        <f aca="false">RIGHT(T342,7)</f>
        <v>009/037</v>
      </c>
      <c r="V342" s="152" t="s">
        <v>1555</v>
      </c>
      <c r="W342" s="156" t="n">
        <v>45882</v>
      </c>
      <c r="X342" s="152" t="s">
        <v>1594</v>
      </c>
      <c r="Y342" s="152" t="s">
        <v>2553</v>
      </c>
      <c r="Z342" s="152" t="s">
        <v>1557</v>
      </c>
      <c r="AA342" s="153" t="n">
        <v>3.5</v>
      </c>
      <c r="AB342" s="151" t="s">
        <v>2817</v>
      </c>
      <c r="AC342" s="151" t="s">
        <v>505</v>
      </c>
      <c r="AD342" s="151" t="str">
        <f aca="false">CONCATENATE($C342,$I342,$H342,$N342,$J342,$K342)</f>
        <v>TUBO PEADPEAD160VCAREDESZona03</v>
      </c>
      <c r="AE342" s="153" t="n">
        <f aca="false">IFERROR(INDEX(APOIO_REDES!$A:$W,MATCH($C342&amp;$I342&amp;$H342&amp;$N342&amp;$O342,APOIO_REDES!$W:$W,0),MATCH(AE$5,APOIO_REDES!$5:$5,0)),0)</f>
        <v>1.2</v>
      </c>
      <c r="AF342" s="153" t="n">
        <f aca="false">IFERROR(INDEX(APOIO_REDES!$A:$W,MATCH($C342&amp;$I342&amp;$H342&amp;$N342&amp;$O342,APOIO_REDES!$W:$W,0),MATCH(AF$5,APOIO_REDES!$5:$5,0)),0)</f>
        <v>1.46</v>
      </c>
      <c r="AG342" s="153" t="n">
        <f aca="false">IFERROR(INDEX(APOIO_REDES!$A:$W,MATCH($C342&amp;$I342&amp;$H342&amp;$N342&amp;$O342,APOIO_REDES!$W:$W,0),MATCH(AG$5,APOIO_REDES!$5:$5,0)),0)</f>
        <v>0.75</v>
      </c>
      <c r="AH342" s="153" t="n">
        <f aca="false">IFERROR(INDEX(APOIO_REDES!$A:$W,MATCH($C342&amp;$I342&amp;$H342&amp;$N342&amp;$O342,APOIO_REDES!$W:$W,0),MATCH(AH$5,APOIO_REDES!$5:$5,0)),0)</f>
        <v>0.1</v>
      </c>
      <c r="AI342" s="153" t="n">
        <f aca="false">IFERROR(IF($H342&lt;&gt;"",(((($H342/1000)/2)^2)*PI()*$M342),0),0)</f>
        <v>5.90056445471358</v>
      </c>
      <c r="AJ342" s="153" t="n">
        <f aca="false">IFERROR(IF(AND($H342&lt;&gt;"",$I342="FoFo",OR($N342="MND",$N342="VCA"),$Q342="LINEAR"),0,IF(AND($H342&lt;&gt;"",$I342="PEAD",$N342="VCA",$Q342="LINEAR"),($H342/1000)+0.3,IF(AND($H342&lt;&gt;"",$I342="PEAD",$N342="MND",$Q342="EMBOQUE"),0,IF(AND($H342&lt;&gt;"",$I342="PVC",$N342="VCA",$Q342="LINEAR"),($H342/1000)+0.2,IF(AND($H342&lt;&gt;"",$I342="PVC",$N342="MND",$Q342="EMBOQUE"),0,IF(AND($H342&lt;&gt;"",$I342="PEAD",$N342="VCA",$Q342="PREDIAL"),0,0)))))),0)</f>
        <v>0.46</v>
      </c>
      <c r="AK342" s="153" t="n">
        <f aca="false">IF(AA342&lt;&gt;"",AA342,0)</f>
        <v>3.5</v>
      </c>
      <c r="AL342" s="153" t="n">
        <f aca="false">IF(AND($N342="MND",$Q342="EMBOQUE"),$M342,IF(AND($N342="VCA",$Q342="LINEAR"),$M342,IF(AND($N342="VCA",$Q342="PREDIAL"),0,0)))</f>
        <v>293.47</v>
      </c>
      <c r="AM342" s="153" t="n">
        <f aca="false">IF(AND($N342="MND",$Q342="EMBOQUE"),$M342,IF(AND($N342="VCA",$Q342="LINEAR"),$M342,IF(AND($N342="VCA",$Q342="PREDIAL"),0,0)))</f>
        <v>293.47</v>
      </c>
      <c r="AN342" s="153" t="n">
        <f aca="false">ROUND(IF(AND($N342="VCA",$M342&lt;&gt;"",$Q342="LINEAR"),$M342/100,IF(AND($N342="MND",$M342&gt;100,$Q342="EMBOQUE"),$M342/100,0)),0)</f>
        <v>3</v>
      </c>
      <c r="AO342" s="153" t="n">
        <f aca="false">IF(AND($N342="MND",$Q342="EMBOQUE"),$AN342*2*2,IF(AND($N342="VCA",$Q342="LINEAR"),$M342*2,IF(AND($N342="VCA",$Q342="PREDIAL"),0,0)))</f>
        <v>586.94</v>
      </c>
      <c r="AP342" s="153" t="n">
        <f aca="false">IFERROR($M342*$AF342*$AG342,0)</f>
        <v>321.34965</v>
      </c>
      <c r="AQ342" s="153" t="n">
        <f aca="false">IFERROR(IF(AND($N342="VCA",$AH342&gt;0),$M342*$AG342*$AH342,0),0)</f>
        <v>22.01025</v>
      </c>
      <c r="AR342" s="153" t="n">
        <f aca="false">IFERROR(IF(AND($N342="VCA",$AJ342&gt;0),($M342*$AG342*$AJ342)-$AI342,0),0)</f>
        <v>95.3465855452864</v>
      </c>
      <c r="AS342" s="153" t="n">
        <f aca="false">IFERROR(IF(AND($N342="VCA",$AP342&gt;0),$AP342-$AI342-$AQ342-$AR342,0),0)</f>
        <v>198.09225</v>
      </c>
      <c r="AT342" s="153" t="n">
        <f aca="false">IFERROR(IF($N342="VCA",INDEX(APOIO_REDES!$A:$W,MATCH($C342&amp;$I342&amp;$H342&amp;$N342&amp;$O342,APOIO_REDES!$W:$W,0),MATCH(AT$5,APOIO_REDES!$5:$5,0)),0)*$AP342,0)</f>
        <v>3.49637930664128</v>
      </c>
      <c r="AU342" s="153" t="n">
        <f aca="false">IFERROR(IF($N342="VCA",INDEX(APOIO_REDES!$A:$W,MATCH($C342&amp;$I342&amp;$H342&amp;$N342&amp;$O342,APOIO_REDES!$W:$W,0),MATCH(AU$5,APOIO_REDES!$5:$5,0)),0)*$AP342,0)</f>
        <v>2.79211382032297</v>
      </c>
      <c r="AV342" s="153" t="n">
        <f aca="false">IFERROR(IF($N342="VCA",INDEX(APOIO_REDES!$A:$W,MATCH($C342&amp;$I342&amp;$H342&amp;$N342&amp;$O342,APOIO_REDES!$W:$W,0),MATCH(AV$5,APOIO_REDES!$5:$5,0)),0)*$AP342,0)</f>
        <v>0.38640663377981</v>
      </c>
      <c r="AW342" s="153" t="n">
        <f aca="false">IFERROR(IF($N342="VCA",INDEX(APOIO_REDES!$A:$W,MATCH($C342&amp;$I342&amp;$H342&amp;$N342&amp;$O342,APOIO_REDES!$W:$W,0),MATCH(AW$5,APOIO_REDES!$5:$5,0)),0)*$AP342,0)</f>
        <v>220.576889698591</v>
      </c>
      <c r="AX342" s="153" t="n">
        <f aca="false">IFERROR(IF($N342="VCA",INDEX(APOIO_REDES!$A:$W,MATCH($C342&amp;$I342&amp;$H342&amp;$N342&amp;$O342,APOIO_REDES!$W:$W,0),MATCH(AX$5,APOIO_REDES!$5:$5,0)),0)*$AP342,0)</f>
        <v>30.5272132091212</v>
      </c>
      <c r="AY342" s="153" t="n">
        <f aca="false">IFERROR(IF($N342="VCA",INDEX(APOIO_REDES!$A:$W,MATCH($C342&amp;$I342&amp;$H342&amp;$N342&amp;$O342,APOIO_REDES!$W:$W,0),MATCH(AY$5,APOIO_REDES!$5:$5,0)),0)*$AP342,0)</f>
        <v>55.8422423708183</v>
      </c>
      <c r="AZ342" s="153" t="n">
        <f aca="false">IFERROR(IF($N342="VCA",INDEX(APOIO_REDES!$A:$W,MATCH($C342&amp;$I342&amp;$H342&amp;$N342&amp;$O342,APOIO_REDES!$W:$W,0),MATCH(AZ$5,APOIO_REDES!$5:$5,0)),0)*$AP342,0)</f>
        <v>7.72840496072525</v>
      </c>
      <c r="BA342" s="153" t="n">
        <f aca="false">IFERROR(IF(AND($N342="VCA",$Q342="LINEAR"),INDEX(APOIO_REDES!$A:$W,MATCH($C342&amp;$I342&amp;$H342&amp;$N342&amp;$O342,APOIO_REDES!$W:$W,0),MATCH(BA$5,APOIO_REDES!$5:$5,0)),IF(AND($N342="MND",$Q342="EMBOQUE"),INDEX(APOIO_REDES!$A:$W,MATCH($C342&amp;$I342&amp;$H342&amp;$N342&amp;$O342,APOIO_REDES!$W:$W,0),MATCH(BA$5,APOIO_REDES!$5:$5,0)),0))*$M342/10,0)</f>
        <v>23.6529417453381</v>
      </c>
      <c r="BB342" s="153" t="n">
        <f aca="false">IFERROR(IF($N342="VCA",INDEX(APOIO_REDES!$A:$W,MATCH($C342&amp;$I342&amp;$H342&amp;$N342&amp;$O342,APOIO_REDES!$W:$W,0),MATCH(BB$5,APOIO_REDES!$5:$5,0)),0)*($AI342+$AQ342+$AR342),0)</f>
        <v>121.916323005672</v>
      </c>
      <c r="BC342" s="153" t="n">
        <f aca="false">IFERROR(IF($N342="VCA",INDEX(APOIO_REDES!$A:$W,MATCH($C342&amp;$I342&amp;$H342&amp;$N342&amp;$O342,APOIO_REDES!$W:$W,0),MATCH(BC$5,APOIO_REDES!$5:$5,0)),0)*($AI342+$AQ342+$AR342),0)</f>
        <v>1.34107699432816</v>
      </c>
      <c r="BD342" s="153" t="n">
        <f aca="false">IF(AND($N342="VCA",$AF342&gt;=1.25,$AF342&lt;1.5),$M342*$AF342*2,0)</f>
        <v>856.9324</v>
      </c>
      <c r="BE342" s="153" t="n">
        <f aca="false">IF(AND($N342="VCA",$AF342&gt;=1.5,$AF342&lt;3),$M342*$AF342*2,0)</f>
        <v>0</v>
      </c>
      <c r="BF342" s="153" t="n">
        <f aca="false">IF(AND($N342="VCA",$AF342&gt;=3),$M342*$AF342*2,0)</f>
        <v>0</v>
      </c>
      <c r="BG342" s="153" t="n">
        <f aca="false">($BB342+$BC342)*$AK342</f>
        <v>431.4009</v>
      </c>
      <c r="BH342" s="153" t="n">
        <f aca="false">IF(AND($M342&lt;&gt;"",$N342="VCA",$Q342="LINEAR"),($M342*2)/100,IF(AND($M342&lt;&gt;"",$N342="MND",$Q342="EMBOQUE"),($AN342*2)/100,0))</f>
        <v>5.8694</v>
      </c>
      <c r="BI342" s="153" t="n">
        <f aca="false">IF(AND($M342&lt;&gt;"",$N342="VCA",$Q342="LINEAR"),$M342,IF(AND($M342&lt;&gt;"",$N342="MND",$Q342="EMBOQUE"),$AN342*2,0))</f>
        <v>293.47</v>
      </c>
      <c r="BJ342" s="153" t="n">
        <f aca="false">IF(AND($M342&lt;&gt;"",$N342="VCA",$Q342="LINEAR"),($M342*6.8)/100,IF(AND($M342&lt;&gt;"",$N342="MND",$Q342="EMBOQUE"),($AN342*2*6.8)/100,0))</f>
        <v>19.95596</v>
      </c>
      <c r="BK342" s="153" t="n">
        <f aca="false">IF(AND($M342&lt;&gt;"",$N342="VCA",$Q342="LINEAR"),($M342*2.5)/50,IF(AND($M342&lt;&gt;"",$N342="MND",$Q342="EMBOQUE"),($AN342*2*2.5)/50,0))</f>
        <v>14.6735</v>
      </c>
      <c r="BL342" s="157" t="str">
        <f aca="false">K342&amp;J342</f>
        <v>Zona03REDES</v>
      </c>
      <c r="BM342" s="152" t="s">
        <v>2526</v>
      </c>
      <c r="BN342" s="152" t="s">
        <v>1560</v>
      </c>
      <c r="BO342" s="152" t="s">
        <v>2800</v>
      </c>
      <c r="BP342" s="152" t="s">
        <v>2807</v>
      </c>
      <c r="BQ342" s="152" t="s">
        <v>2801</v>
      </c>
      <c r="BR342" s="152" t="s">
        <v>2790</v>
      </c>
      <c r="BS342" s="152" t="n">
        <v>203342.592</v>
      </c>
      <c r="BT342" s="152" t="n">
        <v>8237881.818</v>
      </c>
      <c r="BU342" s="152" t="n">
        <v>203632.364</v>
      </c>
      <c r="BV342" s="152" t="n">
        <v>8237910.889</v>
      </c>
      <c r="BW342" s="152" t="n">
        <v>-15.9204714</v>
      </c>
      <c r="BX342" s="152" t="n">
        <v>-47.769349</v>
      </c>
      <c r="BY342" s="152" t="s">
        <v>2807</v>
      </c>
    </row>
    <row r="343" customFormat="false" ht="13.8" hidden="false" customHeight="false" outlineLevel="0" collapsed="false">
      <c r="A343" s="149" t="n">
        <f aca="false">IF(C343&lt;&gt;"",ROW(A338),"")</f>
        <v>338</v>
      </c>
      <c r="B343" s="150" t="str">
        <f aca="false">HYPERLINK("https://www.google.com/maps/dir/-15.917302,-47.760003/-15.9205828,-47.7707191/data=!4m3!4m2!3e0!5i2")</f>
        <v>https://www.google.com/maps/dir/-15.917302,-47.760003/-15.9205828,-47.7707191/data=!4m3!4m2!3e0!5i2</v>
      </c>
      <c r="C343" s="151" t="s">
        <v>117</v>
      </c>
      <c r="D343" s="152" t="s">
        <v>112</v>
      </c>
      <c r="E343" s="152" t="s">
        <v>113</v>
      </c>
      <c r="F343" s="152" t="s">
        <v>117</v>
      </c>
      <c r="G343" s="152" t="s">
        <v>114</v>
      </c>
      <c r="H343" s="152" t="n">
        <v>160</v>
      </c>
      <c r="I343" s="152" t="s">
        <v>115</v>
      </c>
      <c r="J343" s="152" t="s">
        <v>6</v>
      </c>
      <c r="K343" s="152" t="s">
        <v>2522</v>
      </c>
      <c r="L343" s="152" t="s">
        <v>120</v>
      </c>
      <c r="M343" s="153" t="n">
        <f aca="false">2.51</f>
        <v>2.51</v>
      </c>
      <c r="N343" s="152" t="s">
        <v>1548</v>
      </c>
      <c r="O343" s="152" t="s">
        <v>1549</v>
      </c>
      <c r="P343" s="152" t="s">
        <v>1550</v>
      </c>
      <c r="Q343" s="152" t="s">
        <v>1551</v>
      </c>
      <c r="R343" s="154" t="s">
        <v>2818</v>
      </c>
      <c r="S343" s="154" t="s">
        <v>1593</v>
      </c>
      <c r="T343" s="155" t="s">
        <v>2797</v>
      </c>
      <c r="U343" s="152" t="str">
        <f aca="false">RIGHT(T343,7)</f>
        <v>009/037</v>
      </c>
      <c r="V343" s="152" t="s">
        <v>1555</v>
      </c>
      <c r="W343" s="156" t="n">
        <v>45882</v>
      </c>
      <c r="X343" s="152" t="s">
        <v>1594</v>
      </c>
      <c r="Y343" s="152" t="s">
        <v>2553</v>
      </c>
      <c r="Z343" s="152" t="s">
        <v>1557</v>
      </c>
      <c r="AA343" s="153" t="n">
        <v>3.5</v>
      </c>
      <c r="AB343" s="151" t="s">
        <v>2819</v>
      </c>
      <c r="AC343" s="151" t="s">
        <v>505</v>
      </c>
      <c r="AD343" s="151" t="str">
        <f aca="false">CONCATENATE($C343,$I343,$H343,$N343,$J343,$K343)</f>
        <v>TUBO PEADPEAD160VCAREDESZona03</v>
      </c>
      <c r="AE343" s="153" t="n">
        <f aca="false">IFERROR(INDEX(APOIO_REDES!$A:$W,MATCH($C343&amp;$I343&amp;$H343&amp;$N343&amp;$O343,APOIO_REDES!$W:$W,0),MATCH(AE$5,APOIO_REDES!$5:$5,0)),0)</f>
        <v>1.2</v>
      </c>
      <c r="AF343" s="153" t="n">
        <f aca="false">IFERROR(INDEX(APOIO_REDES!$A:$W,MATCH($C343&amp;$I343&amp;$H343&amp;$N343&amp;$O343,APOIO_REDES!$W:$W,0),MATCH(AF$5,APOIO_REDES!$5:$5,0)),0)</f>
        <v>1.46</v>
      </c>
      <c r="AG343" s="153" t="n">
        <f aca="false">IFERROR(INDEX(APOIO_REDES!$A:$W,MATCH($C343&amp;$I343&amp;$H343&amp;$N343&amp;$O343,APOIO_REDES!$W:$W,0),MATCH(AG$5,APOIO_REDES!$5:$5,0)),0)</f>
        <v>0.75</v>
      </c>
      <c r="AH343" s="153" t="n">
        <f aca="false">IFERROR(INDEX(APOIO_REDES!$A:$W,MATCH($C343&amp;$I343&amp;$H343&amp;$N343&amp;$O343,APOIO_REDES!$W:$W,0),MATCH(AH$5,APOIO_REDES!$5:$5,0)),0)</f>
        <v>0.1</v>
      </c>
      <c r="AI343" s="153" t="n">
        <f aca="false">IFERROR(IF($H343&lt;&gt;"",(((($H343/1000)/2)^2)*PI()*$M343),0),0)</f>
        <v>0.0504665443872664</v>
      </c>
      <c r="AJ343" s="153" t="n">
        <f aca="false">IFERROR(IF(AND($H343&lt;&gt;"",$I343="FoFo",OR($N343="MND",$N343="VCA"),$Q343="LINEAR"),0,IF(AND($H343&lt;&gt;"",$I343="PEAD",$N343="VCA",$Q343="LINEAR"),($H343/1000)+0.3,IF(AND($H343&lt;&gt;"",$I343="PEAD",$N343="MND",$Q343="EMBOQUE"),0,IF(AND($H343&lt;&gt;"",$I343="PVC",$N343="VCA",$Q343="LINEAR"),($H343/1000)+0.2,IF(AND($H343&lt;&gt;"",$I343="PVC",$N343="MND",$Q343="EMBOQUE"),0,IF(AND($H343&lt;&gt;"",$I343="PEAD",$N343="VCA",$Q343="PREDIAL"),0,0)))))),0)</f>
        <v>0.46</v>
      </c>
      <c r="AK343" s="153" t="n">
        <f aca="false">IF(AA343&lt;&gt;"",AA343,0)</f>
        <v>3.5</v>
      </c>
      <c r="AL343" s="153" t="n">
        <f aca="false">IF(AND($N343="MND",$Q343="EMBOQUE"),$M343,IF(AND($N343="VCA",$Q343="LINEAR"),$M343,IF(AND($N343="VCA",$Q343="PREDIAL"),0,0)))</f>
        <v>2.51</v>
      </c>
      <c r="AM343" s="153" t="n">
        <f aca="false">IF(AND($N343="MND",$Q343="EMBOQUE"),$M343,IF(AND($N343="VCA",$Q343="LINEAR"),$M343,IF(AND($N343="VCA",$Q343="PREDIAL"),0,0)))</f>
        <v>2.51</v>
      </c>
      <c r="AN343" s="153" t="n">
        <f aca="false">ROUND(IF(AND($N343="VCA",$M343&lt;&gt;"",$Q343="LINEAR"),$M343/100,IF(AND($N343="MND",$M343&gt;100,$Q343="EMBOQUE"),$M343/100,0)),0)</f>
        <v>0</v>
      </c>
      <c r="AO343" s="153" t="n">
        <f aca="false">IF(AND($N343="MND",$Q343="EMBOQUE"),$AN343*2*2,IF(AND($N343="VCA",$Q343="LINEAR"),$M343*2,IF(AND($N343="VCA",$Q343="PREDIAL"),0,0)))</f>
        <v>5.02</v>
      </c>
      <c r="AP343" s="153" t="n">
        <f aca="false">IFERROR($M343*$AF343*$AG343,0)</f>
        <v>2.74845</v>
      </c>
      <c r="AQ343" s="153" t="n">
        <f aca="false">IFERROR(IF(AND($N343="VCA",$AH343&gt;0),$M343*$AG343*$AH343,0),0)</f>
        <v>0.18825</v>
      </c>
      <c r="AR343" s="153" t="n">
        <f aca="false">IFERROR(IF(AND($N343="VCA",$AJ343&gt;0),($M343*$AG343*$AJ343)-$AI343,0),0)</f>
        <v>0.815483455612734</v>
      </c>
      <c r="AS343" s="153" t="n">
        <f aca="false">IFERROR(IF(AND($N343="VCA",$AP343&gt;0),$AP343-$AI343-$AQ343-$AR343,0),0)</f>
        <v>1.69425</v>
      </c>
      <c r="AT343" s="153" t="n">
        <f aca="false">IFERROR(IF($N343="VCA",INDEX(APOIO_REDES!$A:$W,MATCH($C343&amp;$I343&amp;$H343&amp;$N343&amp;$O343,APOIO_REDES!$W:$W,0),MATCH(AT$5,APOIO_REDES!$5:$5,0)),0)*$AP343,0)</f>
        <v>0.029903949499675</v>
      </c>
      <c r="AU343" s="153" t="n">
        <f aca="false">IFERROR(IF($N343="VCA",INDEX(APOIO_REDES!$A:$W,MATCH($C343&amp;$I343&amp;$H343&amp;$N343&amp;$O343,APOIO_REDES!$W:$W,0),MATCH(AU$5,APOIO_REDES!$5:$5,0)),0)*$AP343,0)</f>
        <v>0.0238804841687759</v>
      </c>
      <c r="AV343" s="153" t="n">
        <f aca="false">IFERROR(IF($N343="VCA",INDEX(APOIO_REDES!$A:$W,MATCH($C343&amp;$I343&amp;$H343&amp;$N343&amp;$O343,APOIO_REDES!$W:$W,0),MATCH(AV$5,APOIO_REDES!$5:$5,0)),0)*$AP343,0)</f>
        <v>0.00330487153980755</v>
      </c>
      <c r="AW343" s="153" t="n">
        <f aca="false">IFERROR(IF($N343="VCA",INDEX(APOIO_REDES!$A:$W,MATCH($C343&amp;$I343&amp;$H343&amp;$N343&amp;$O343,APOIO_REDES!$W:$W,0),MATCH(AW$5,APOIO_REDES!$5:$5,0)),0)*$AP343,0)</f>
        <v>1.8865573760298</v>
      </c>
      <c r="AX343" s="153" t="n">
        <f aca="false">IFERROR(IF($N343="VCA",INDEX(APOIO_REDES!$A:$W,MATCH($C343&amp;$I343&amp;$H343&amp;$N343&amp;$O343,APOIO_REDES!$W:$W,0),MATCH(AX$5,APOIO_REDES!$5:$5,0)),0)*$AP343,0)</f>
        <v>0.261094166882115</v>
      </c>
      <c r="AY343" s="153" t="n">
        <f aca="false">IFERROR(IF($N343="VCA",INDEX(APOIO_REDES!$A:$W,MATCH($C343&amp;$I343&amp;$H343&amp;$N343&amp;$O343,APOIO_REDES!$W:$W,0),MATCH(AY$5,APOIO_REDES!$5:$5,0)),0)*$AP343,0)</f>
        <v>0.477609392274351</v>
      </c>
      <c r="AZ343" s="153" t="n">
        <f aca="false">IFERROR(IF($N343="VCA",INDEX(APOIO_REDES!$A:$W,MATCH($C343&amp;$I343&amp;$H343&amp;$N343&amp;$O343,APOIO_REDES!$W:$W,0),MATCH(AZ$5,APOIO_REDES!$5:$5,0)),0)*$AP343,0)</f>
        <v>0.0660997596054806</v>
      </c>
      <c r="BA343" s="153" t="n">
        <f aca="false">IFERROR(IF(AND($N343="VCA",$Q343="LINEAR"),INDEX(APOIO_REDES!$A:$W,MATCH($C343&amp;$I343&amp;$H343&amp;$N343&amp;$O343,APOIO_REDES!$W:$W,0),MATCH(BA$5,APOIO_REDES!$5:$5,0)),IF(AND($N343="MND",$Q343="EMBOQUE"),INDEX(APOIO_REDES!$A:$W,MATCH($C343&amp;$I343&amp;$H343&amp;$N343&amp;$O343,APOIO_REDES!$W:$W,0),MATCH(BA$5,APOIO_REDES!$5:$5,0)),0))*$M343/10,0)</f>
        <v>0.202299668725249</v>
      </c>
      <c r="BB343" s="153" t="n">
        <f aca="false">IFERROR(IF($N343="VCA",INDEX(APOIO_REDES!$A:$W,MATCH($C343&amp;$I343&amp;$H343&amp;$N343&amp;$O343,APOIO_REDES!$W:$W,0),MATCH(BB$5,APOIO_REDES!$5:$5,0)),0)*($AI343+$AQ343+$AR343),0)</f>
        <v>1.04272999197273</v>
      </c>
      <c r="BC343" s="153" t="n">
        <f aca="false">IFERROR(IF($N343="VCA",INDEX(APOIO_REDES!$A:$W,MATCH($C343&amp;$I343&amp;$H343&amp;$N343&amp;$O343,APOIO_REDES!$W:$W,0),MATCH(BC$5,APOIO_REDES!$5:$5,0)),0)*($AI343+$AQ343+$AR343),0)</f>
        <v>0.0114700080272726</v>
      </c>
      <c r="BD343" s="153" t="n">
        <f aca="false">IF(AND($N343="VCA",$AF343&gt;=1.25,$AF343&lt;1.5),$M343*$AF343*2,0)</f>
        <v>7.3292</v>
      </c>
      <c r="BE343" s="153" t="n">
        <f aca="false">IF(AND($N343="VCA",$AF343&gt;=1.5,$AF343&lt;3),$M343*$AF343*2,0)</f>
        <v>0</v>
      </c>
      <c r="BF343" s="153" t="n">
        <f aca="false">IF(AND($N343="VCA",$AF343&gt;=3),$M343*$AF343*2,0)</f>
        <v>0</v>
      </c>
      <c r="BG343" s="153" t="n">
        <f aca="false">($BB343+$BC343)*$AK343</f>
        <v>3.6897</v>
      </c>
      <c r="BH343" s="153" t="n">
        <f aca="false">IF(AND($M343&lt;&gt;"",$N343="VCA",$Q343="LINEAR"),($M343*2)/100,IF(AND($M343&lt;&gt;"",$N343="MND",$Q343="EMBOQUE"),($AN343*2)/100,0))</f>
        <v>0.0502</v>
      </c>
      <c r="BI343" s="153" t="n">
        <f aca="false">IF(AND($M343&lt;&gt;"",$N343="VCA",$Q343="LINEAR"),$M343,IF(AND($M343&lt;&gt;"",$N343="MND",$Q343="EMBOQUE"),$AN343*2,0))</f>
        <v>2.51</v>
      </c>
      <c r="BJ343" s="153" t="n">
        <f aca="false">IF(AND($M343&lt;&gt;"",$N343="VCA",$Q343="LINEAR"),($M343*6.8)/100,IF(AND($M343&lt;&gt;"",$N343="MND",$Q343="EMBOQUE"),($AN343*2*6.8)/100,0))</f>
        <v>0.17068</v>
      </c>
      <c r="BK343" s="153" t="n">
        <f aca="false">IF(AND($M343&lt;&gt;"",$N343="VCA",$Q343="LINEAR"),($M343*2.5)/50,IF(AND($M343&lt;&gt;"",$N343="MND",$Q343="EMBOQUE"),($AN343*2*2.5)/50,0))</f>
        <v>0.1255</v>
      </c>
      <c r="BL343" s="157" t="str">
        <f aca="false">K343&amp;J343</f>
        <v>Zona03REDES</v>
      </c>
      <c r="BM343" s="152" t="s">
        <v>2526</v>
      </c>
      <c r="BN343" s="152" t="s">
        <v>1560</v>
      </c>
      <c r="BO343" s="152" t="s">
        <v>2800</v>
      </c>
      <c r="BP343" s="152" t="s">
        <v>2820</v>
      </c>
      <c r="BQ343" s="152" t="s">
        <v>2807</v>
      </c>
      <c r="BR343" s="152" t="s">
        <v>2790</v>
      </c>
      <c r="BS343" s="152" t="n">
        <v>203340.697</v>
      </c>
      <c r="BT343" s="152" t="n">
        <v>8237880.594</v>
      </c>
      <c r="BU343" s="152" t="n">
        <v>203342.534</v>
      </c>
      <c r="BV343" s="152" t="n">
        <v>8237881.798</v>
      </c>
      <c r="BW343" s="152" t="n">
        <v>-15.9205806</v>
      </c>
      <c r="BX343" s="152" t="n">
        <v>-47.7707088</v>
      </c>
      <c r="BY343" s="152" t="s">
        <v>2820</v>
      </c>
    </row>
    <row r="344" customFormat="false" ht="13.8" hidden="false" customHeight="false" outlineLevel="0" collapsed="false">
      <c r="A344" s="149" t="n">
        <f aca="false">IF(C344&lt;&gt;"",ROW(A339),"")</f>
        <v>339</v>
      </c>
      <c r="B344" s="150" t="str">
        <f aca="false">HYPERLINK("https://www.google.com/maps/dir/-15.917302,-47.760003/-15.9208756,-47.7726715/data=!4m3!4m2!3e0!5i0")</f>
        <v>https://www.google.com/maps/dir/-15.917302,-47.760003/-15.9208756,-47.7726715/data=!4m3!4m2!3e0!5i0</v>
      </c>
      <c r="C344" s="151" t="s">
        <v>117</v>
      </c>
      <c r="D344" s="152" t="s">
        <v>112</v>
      </c>
      <c r="E344" s="152" t="s">
        <v>113</v>
      </c>
      <c r="F344" s="152" t="s">
        <v>117</v>
      </c>
      <c r="G344" s="152" t="s">
        <v>782</v>
      </c>
      <c r="H344" s="152" t="n">
        <v>63</v>
      </c>
      <c r="I344" s="152" t="s">
        <v>115</v>
      </c>
      <c r="J344" s="152" t="s">
        <v>6</v>
      </c>
      <c r="K344" s="152" t="s">
        <v>2522</v>
      </c>
      <c r="L344" s="152" t="s">
        <v>120</v>
      </c>
      <c r="M344" s="153" t="n">
        <f aca="false">70.52</f>
        <v>70.52</v>
      </c>
      <c r="N344" s="152" t="s">
        <v>1548</v>
      </c>
      <c r="O344" s="152" t="s">
        <v>1549</v>
      </c>
      <c r="P344" s="152" t="s">
        <v>1550</v>
      </c>
      <c r="Q344" s="152" t="s">
        <v>1551</v>
      </c>
      <c r="R344" s="154" t="s">
        <v>2821</v>
      </c>
      <c r="S344" s="154" t="s">
        <v>1553</v>
      </c>
      <c r="T344" s="155" t="s">
        <v>2797</v>
      </c>
      <c r="U344" s="152" t="str">
        <f aca="false">RIGHT(T344,7)</f>
        <v>009/037</v>
      </c>
      <c r="V344" s="152" t="s">
        <v>1555</v>
      </c>
      <c r="W344" s="156" t="n">
        <v>45882</v>
      </c>
      <c r="X344" s="152" t="s">
        <v>1594</v>
      </c>
      <c r="Y344" s="152" t="s">
        <v>2630</v>
      </c>
      <c r="Z344" s="152" t="s">
        <v>1557</v>
      </c>
      <c r="AA344" s="153" t="n">
        <v>2.9</v>
      </c>
      <c r="AB344" s="151" t="s">
        <v>2822</v>
      </c>
      <c r="AC344" s="151" t="s">
        <v>186</v>
      </c>
      <c r="AD344" s="151" t="str">
        <f aca="false">CONCATENATE($C344,$I344,$H344,$N344,$J344,$K344)</f>
        <v>TUBO PEADPEAD63VCAREDESZona03</v>
      </c>
      <c r="AE344" s="153" t="n">
        <f aca="false">IFERROR(INDEX(APOIO_REDES!$A:$W,MATCH($C344&amp;$I344&amp;$H344&amp;$N344&amp;$O344,APOIO_REDES!$W:$W,0),MATCH(AE$5,APOIO_REDES!$5:$5,0)),0)</f>
        <v>1.2</v>
      </c>
      <c r="AF344" s="153" t="n">
        <f aca="false">IFERROR(INDEX(APOIO_REDES!$A:$W,MATCH($C344&amp;$I344&amp;$H344&amp;$N344&amp;$O344,APOIO_REDES!$W:$W,0),MATCH(AF$5,APOIO_REDES!$5:$5,0)),0)</f>
        <v>1.363</v>
      </c>
      <c r="AG344" s="153" t="n">
        <f aca="false">IFERROR(INDEX(APOIO_REDES!$A:$W,MATCH($C344&amp;$I344&amp;$H344&amp;$N344&amp;$O344,APOIO_REDES!$W:$W,0),MATCH(AG$5,APOIO_REDES!$5:$5,0)),0)</f>
        <v>0.65</v>
      </c>
      <c r="AH344" s="153" t="n">
        <f aca="false">IFERROR(INDEX(APOIO_REDES!$A:$W,MATCH($C344&amp;$I344&amp;$H344&amp;$N344&amp;$O344,APOIO_REDES!$W:$W,0),MATCH(AH$5,APOIO_REDES!$5:$5,0)),0)</f>
        <v>0.1</v>
      </c>
      <c r="AI344" s="153" t="n">
        <f aca="false">IFERROR(IF($H344&lt;&gt;"",(((($H344/1000)/2)^2)*PI()*$M344),0),0)</f>
        <v>0.219828139298186</v>
      </c>
      <c r="AJ344" s="153" t="n">
        <f aca="false">IFERROR(IF(AND($H344&lt;&gt;"",$I344="FoFo",OR($N344="MND",$N344="VCA"),$Q344="LINEAR"),0,IF(AND($H344&lt;&gt;"",$I344="PEAD",$N344="VCA",$Q344="LINEAR"),($H344/1000)+0.3,IF(AND($H344&lt;&gt;"",$I344="PEAD",$N344="MND",$Q344="EMBOQUE"),0,IF(AND($H344&lt;&gt;"",$I344="PVC",$N344="VCA",$Q344="LINEAR"),($H344/1000)+0.2,IF(AND($H344&lt;&gt;"",$I344="PVC",$N344="MND",$Q344="EMBOQUE"),0,IF(AND($H344&lt;&gt;"",$I344="PEAD",$N344="VCA",$Q344="PREDIAL"),0,0)))))),0)</f>
        <v>0.363</v>
      </c>
      <c r="AK344" s="153" t="n">
        <f aca="false">IF(AA344&lt;&gt;"",AA344,0)</f>
        <v>2.9</v>
      </c>
      <c r="AL344" s="153" t="n">
        <f aca="false">IF(AND($N344="MND",$Q344="EMBOQUE"),$M344,IF(AND($N344="VCA",$Q344="LINEAR"),$M344,IF(AND($N344="VCA",$Q344="PREDIAL"),0,0)))</f>
        <v>70.52</v>
      </c>
      <c r="AM344" s="153" t="n">
        <f aca="false">IF(AND($N344="MND",$Q344="EMBOQUE"),$M344,IF(AND($N344="VCA",$Q344="LINEAR"),$M344,IF(AND($N344="VCA",$Q344="PREDIAL"),0,0)))</f>
        <v>70.52</v>
      </c>
      <c r="AN344" s="153" t="n">
        <f aca="false">ROUND(IF(AND($N344="VCA",$M344&lt;&gt;"",$Q344="LINEAR"),$M344/100,IF(AND($N344="MND",$M344&gt;100,$Q344="EMBOQUE"),$M344/100,0)),0)</f>
        <v>1</v>
      </c>
      <c r="AO344" s="153" t="n">
        <f aca="false">IF(AND($N344="MND",$Q344="EMBOQUE"),$AN344*2*2,IF(AND($N344="VCA",$Q344="LINEAR"),$M344*2,IF(AND($N344="VCA",$Q344="PREDIAL"),0,0)))</f>
        <v>141.04</v>
      </c>
      <c r="AP344" s="153" t="n">
        <f aca="false">IFERROR($M344*$AF344*$AG344,0)</f>
        <v>62.477194</v>
      </c>
      <c r="AQ344" s="153" t="n">
        <f aca="false">IFERROR(IF(AND($N344="VCA",$AH344&gt;0),$M344*$AG344*$AH344,0),0)</f>
        <v>4.5838</v>
      </c>
      <c r="AR344" s="153" t="n">
        <f aca="false">IFERROR(IF(AND($N344="VCA",$AJ344&gt;0),($M344*$AG344*$AJ344)-$AI344,0),0)</f>
        <v>16.4193658607018</v>
      </c>
      <c r="AS344" s="153" t="n">
        <f aca="false">IFERROR(IF(AND($N344="VCA",$AP344&gt;0),$AP344-$AI344-$AQ344-$AR344,0),0)</f>
        <v>41.2542</v>
      </c>
      <c r="AT344" s="153" t="n">
        <f aca="false">IFERROR(IF($N344="VCA",INDEX(APOIO_REDES!$A:$W,MATCH($C344&amp;$I344&amp;$H344&amp;$N344&amp;$O344,APOIO_REDES!$W:$W,0),MATCH(AT$5,APOIO_REDES!$5:$5,0)),0)*$AP344,0)</f>
        <v>0.679770363025486</v>
      </c>
      <c r="AU344" s="153" t="n">
        <f aca="false">IFERROR(IF($N344="VCA",INDEX(APOIO_REDES!$A:$W,MATCH($C344&amp;$I344&amp;$H344&amp;$N344&amp;$O344,APOIO_REDES!$W:$W,0),MATCH(AU$5,APOIO_REDES!$5:$5,0)),0)*$AP344,0)</f>
        <v>0.542846201395892</v>
      </c>
      <c r="AV344" s="153" t="n">
        <f aca="false">IFERROR(IF($N344="VCA",INDEX(APOIO_REDES!$A:$W,MATCH($C344&amp;$I344&amp;$H344&amp;$N344&amp;$O344,APOIO_REDES!$W:$W,0),MATCH(AV$5,APOIO_REDES!$5:$5,0)),0)*$AP344,0)</f>
        <v>0.0751256527634249</v>
      </c>
      <c r="AW344" s="153" t="n">
        <f aca="false">IFERROR(IF($N344="VCA",INDEX(APOIO_REDES!$A:$W,MATCH($C344&amp;$I344&amp;$H344&amp;$N344&amp;$O344,APOIO_REDES!$W:$W,0),MATCH(AW$5,APOIO_REDES!$5:$5,0)),0)*$AP344,0)</f>
        <v>42.8848300585219</v>
      </c>
      <c r="AX344" s="153" t="n">
        <f aca="false">IFERROR(IF($N344="VCA",INDEX(APOIO_REDES!$A:$W,MATCH($C344&amp;$I344&amp;$H344&amp;$N344&amp;$O344,APOIO_REDES!$W:$W,0),MATCH(AX$5,APOIO_REDES!$5:$5,0)),0)*$AP344,0)</f>
        <v>5.93513832034865</v>
      </c>
      <c r="AY344" s="153" t="n">
        <f aca="false">IFERROR(IF($N344="VCA",INDEX(APOIO_REDES!$A:$W,MATCH($C344&amp;$I344&amp;$H344&amp;$N344&amp;$O344,APOIO_REDES!$W:$W,0),MATCH(AY$5,APOIO_REDES!$5:$5,0)),0)*$AP344,0)</f>
        <v>10.8569174106666</v>
      </c>
      <c r="AZ344" s="153" t="n">
        <f aca="false">IFERROR(IF($N344="VCA",INDEX(APOIO_REDES!$A:$W,MATCH($C344&amp;$I344&amp;$H344&amp;$N344&amp;$O344,APOIO_REDES!$W:$W,0),MATCH(AZ$5,APOIO_REDES!$5:$5,0)),0)*$AP344,0)</f>
        <v>1.50256599327802</v>
      </c>
      <c r="BA344" s="153" t="n">
        <f aca="false">IFERROR(IF(AND($N344="VCA",$Q344="LINEAR"),INDEX(APOIO_REDES!$A:$W,MATCH($C344&amp;$I344&amp;$H344&amp;$N344&amp;$O344,APOIO_REDES!$W:$W,0),MATCH(BA$5,APOIO_REDES!$5:$5,0)),IF(AND($N344="MND",$Q344="EMBOQUE"),INDEX(APOIO_REDES!$A:$W,MATCH($C344&amp;$I344&amp;$H344&amp;$N344&amp;$O344,APOIO_REDES!$W:$W,0),MATCH(BA$5,APOIO_REDES!$5:$5,0)),0))*$M344/10,0)</f>
        <v>5.68373411892611</v>
      </c>
      <c r="BB344" s="153" t="n">
        <f aca="false">IFERROR(IF($N344="VCA",INDEX(APOIO_REDES!$A:$W,MATCH($C344&amp;$I344&amp;$H344&amp;$N344&amp;$O344,APOIO_REDES!$W:$W,0),MATCH(BB$5,APOIO_REDES!$5:$5,0)),0)*($AI344+$AQ344+$AR344),0)</f>
        <v>20.9920815435944</v>
      </c>
      <c r="BC344" s="153" t="n">
        <f aca="false">IFERROR(IF($N344="VCA",INDEX(APOIO_REDES!$A:$W,MATCH($C344&amp;$I344&amp;$H344&amp;$N344&amp;$O344,APOIO_REDES!$W:$W,0),MATCH(BC$5,APOIO_REDES!$5:$5,0)),0)*($AI344+$AQ344+$AR344),0)</f>
        <v>0.230912456405576</v>
      </c>
      <c r="BD344" s="153" t="n">
        <f aca="false">IF(AND($N344="VCA",$AF344&gt;=1.25,$AF344&lt;1.5),$M344*$AF344*2,0)</f>
        <v>192.23752</v>
      </c>
      <c r="BE344" s="153" t="n">
        <f aca="false">IF(AND($N344="VCA",$AF344&gt;=1.5,$AF344&lt;3),$M344*$AF344*2,0)</f>
        <v>0</v>
      </c>
      <c r="BF344" s="153" t="n">
        <f aca="false">IF(AND($N344="VCA",$AF344&gt;=3),$M344*$AF344*2,0)</f>
        <v>0</v>
      </c>
      <c r="BG344" s="153" t="n">
        <f aca="false">($BB344+$BC344)*$AK344</f>
        <v>61.5466826</v>
      </c>
      <c r="BH344" s="153" t="n">
        <f aca="false">IF(AND($M344&lt;&gt;"",$N344="VCA",$Q344="LINEAR"),($M344*2)/100,IF(AND($M344&lt;&gt;"",$N344="MND",$Q344="EMBOQUE"),($AN344*2)/100,0))</f>
        <v>1.4104</v>
      </c>
      <c r="BI344" s="153" t="n">
        <f aca="false">IF(AND($M344&lt;&gt;"",$N344="VCA",$Q344="LINEAR"),$M344,IF(AND($M344&lt;&gt;"",$N344="MND",$Q344="EMBOQUE"),$AN344*2,0))</f>
        <v>70.52</v>
      </c>
      <c r="BJ344" s="153" t="n">
        <f aca="false">IF(AND($M344&lt;&gt;"",$N344="VCA",$Q344="LINEAR"),($M344*6.8)/100,IF(AND($M344&lt;&gt;"",$N344="MND",$Q344="EMBOQUE"),($AN344*2*6.8)/100,0))</f>
        <v>4.79536</v>
      </c>
      <c r="BK344" s="153" t="n">
        <f aca="false">IF(AND($M344&lt;&gt;"",$N344="VCA",$Q344="LINEAR"),($M344*2.5)/50,IF(AND($M344&lt;&gt;"",$N344="MND",$Q344="EMBOQUE"),($AN344*2*2.5)/50,0))</f>
        <v>3.526</v>
      </c>
      <c r="BL344" s="157" t="str">
        <f aca="false">K344&amp;J344</f>
        <v>Zona03REDES</v>
      </c>
      <c r="BM344" s="152" t="s">
        <v>2526</v>
      </c>
      <c r="BN344" s="152" t="s">
        <v>1560</v>
      </c>
      <c r="BO344" s="152" t="s">
        <v>2800</v>
      </c>
      <c r="BP344" s="152" t="s">
        <v>2823</v>
      </c>
      <c r="BQ344" s="152" t="s">
        <v>2632</v>
      </c>
      <c r="BR344" s="152" t="s">
        <v>2824</v>
      </c>
      <c r="BS344" s="152" t="n">
        <v>203131.95</v>
      </c>
      <c r="BT344" s="152" t="n">
        <v>8237845.401</v>
      </c>
      <c r="BU344" s="152" t="n">
        <v>203124.359</v>
      </c>
      <c r="BV344" s="152" t="n">
        <v>8237915.503</v>
      </c>
      <c r="BW344" s="152" t="n">
        <v>-15.9205585</v>
      </c>
      <c r="BX344" s="152" t="n">
        <v>-47.7727015</v>
      </c>
      <c r="BY344" s="152" t="s">
        <v>2823</v>
      </c>
    </row>
    <row r="345" customFormat="false" ht="13.8" hidden="false" customHeight="false" outlineLevel="0" collapsed="false">
      <c r="A345" s="149" t="n">
        <f aca="false">IF(C345&lt;&gt;"",ROW(A340),"")</f>
        <v>340</v>
      </c>
      <c r="B345" s="150" t="str">
        <f aca="false">HYPERLINK("https://www.google.com/maps/dir/-15.917302,-47.760003/-15.9203744,-47.7679445/data=!4m3!4m2!3e0!5i0")</f>
        <v>https://www.google.com/maps/dir/-15.917302,-47.760003/-15.9203744,-47.7679445/data=!4m3!4m2!3e0!5i0</v>
      </c>
      <c r="C345" s="151" t="s">
        <v>117</v>
      </c>
      <c r="D345" s="152" t="s">
        <v>112</v>
      </c>
      <c r="E345" s="152" t="s">
        <v>113</v>
      </c>
      <c r="F345" s="152" t="s">
        <v>117</v>
      </c>
      <c r="G345" s="152" t="s">
        <v>114</v>
      </c>
      <c r="H345" s="152" t="n">
        <v>160</v>
      </c>
      <c r="I345" s="152" t="s">
        <v>115</v>
      </c>
      <c r="J345" s="152" t="s">
        <v>6</v>
      </c>
      <c r="K345" s="152" t="s">
        <v>2522</v>
      </c>
      <c r="L345" s="152" t="s">
        <v>120</v>
      </c>
      <c r="M345" s="153" t="n">
        <f aca="false">60.09</f>
        <v>60.09</v>
      </c>
      <c r="N345" s="152" t="s">
        <v>1548</v>
      </c>
      <c r="O345" s="152" t="s">
        <v>1549</v>
      </c>
      <c r="P345" s="152" t="s">
        <v>1550</v>
      </c>
      <c r="Q345" s="152" t="s">
        <v>1551</v>
      </c>
      <c r="R345" s="154" t="s">
        <v>2825</v>
      </c>
      <c r="S345" s="154" t="s">
        <v>1593</v>
      </c>
      <c r="T345" s="155" t="s">
        <v>2797</v>
      </c>
      <c r="U345" s="152" t="str">
        <f aca="false">RIGHT(T345,7)</f>
        <v>009/037</v>
      </c>
      <c r="V345" s="152" t="s">
        <v>1555</v>
      </c>
      <c r="W345" s="156" t="n">
        <v>45882</v>
      </c>
      <c r="X345" s="152" t="s">
        <v>1594</v>
      </c>
      <c r="Y345" s="152" t="s">
        <v>2524</v>
      </c>
      <c r="Z345" s="152" t="s">
        <v>1557</v>
      </c>
      <c r="AA345" s="153" t="n">
        <v>2.7</v>
      </c>
      <c r="AB345" s="151" t="s">
        <v>2826</v>
      </c>
      <c r="AC345" s="151" t="s">
        <v>505</v>
      </c>
      <c r="AD345" s="151" t="str">
        <f aca="false">CONCATENATE($C345,$I345,$H345,$N345,$J345,$K345)</f>
        <v>TUBO PEADPEAD160VCAREDESZona03</v>
      </c>
      <c r="AE345" s="153" t="n">
        <f aca="false">IFERROR(INDEX(APOIO_REDES!$A:$W,MATCH($C345&amp;$I345&amp;$H345&amp;$N345&amp;$O345,APOIO_REDES!$W:$W,0),MATCH(AE$5,APOIO_REDES!$5:$5,0)),0)</f>
        <v>1.2</v>
      </c>
      <c r="AF345" s="153" t="n">
        <f aca="false">IFERROR(INDEX(APOIO_REDES!$A:$W,MATCH($C345&amp;$I345&amp;$H345&amp;$N345&amp;$O345,APOIO_REDES!$W:$W,0),MATCH(AF$5,APOIO_REDES!$5:$5,0)),0)</f>
        <v>1.46</v>
      </c>
      <c r="AG345" s="153" t="n">
        <f aca="false">IFERROR(INDEX(APOIO_REDES!$A:$W,MATCH($C345&amp;$I345&amp;$H345&amp;$N345&amp;$O345,APOIO_REDES!$W:$W,0),MATCH(AG$5,APOIO_REDES!$5:$5,0)),0)</f>
        <v>0.75</v>
      </c>
      <c r="AH345" s="153" t="n">
        <f aca="false">IFERROR(INDEX(APOIO_REDES!$A:$W,MATCH($C345&amp;$I345&amp;$H345&amp;$N345&amp;$O345,APOIO_REDES!$W:$W,0),MATCH(AH$5,APOIO_REDES!$5:$5,0)),0)</f>
        <v>0.1</v>
      </c>
      <c r="AI345" s="153" t="n">
        <f aca="false">IFERROR(IF($H345&lt;&gt;"",(((($H345/1000)/2)^2)*PI()*$M345),0),0)</f>
        <v>1.20818113634695</v>
      </c>
      <c r="AJ345" s="153" t="n">
        <f aca="false">IFERROR(IF(AND($H345&lt;&gt;"",$I345="FoFo",OR($N345="MND",$N345="VCA"),$Q345="LINEAR"),0,IF(AND($H345&lt;&gt;"",$I345="PEAD",$N345="VCA",$Q345="LINEAR"),($H345/1000)+0.3,IF(AND($H345&lt;&gt;"",$I345="PEAD",$N345="MND",$Q345="EMBOQUE"),0,IF(AND($H345&lt;&gt;"",$I345="PVC",$N345="VCA",$Q345="LINEAR"),($H345/1000)+0.2,IF(AND($H345&lt;&gt;"",$I345="PVC",$N345="MND",$Q345="EMBOQUE"),0,IF(AND($H345&lt;&gt;"",$I345="PEAD",$N345="VCA",$Q345="PREDIAL"),0,0)))))),0)</f>
        <v>0.46</v>
      </c>
      <c r="AK345" s="153" t="n">
        <f aca="false">IF(AA345&lt;&gt;"",AA345,0)</f>
        <v>2.7</v>
      </c>
      <c r="AL345" s="153" t="n">
        <f aca="false">IF(AND($N345="MND",$Q345="EMBOQUE"),$M345,IF(AND($N345="VCA",$Q345="LINEAR"),$M345,IF(AND($N345="VCA",$Q345="PREDIAL"),0,0)))</f>
        <v>60.09</v>
      </c>
      <c r="AM345" s="153" t="n">
        <f aca="false">IF(AND($N345="MND",$Q345="EMBOQUE"),$M345,IF(AND($N345="VCA",$Q345="LINEAR"),$M345,IF(AND($N345="VCA",$Q345="PREDIAL"),0,0)))</f>
        <v>60.09</v>
      </c>
      <c r="AN345" s="153" t="n">
        <f aca="false">ROUND(IF(AND($N345="VCA",$M345&lt;&gt;"",$Q345="LINEAR"),$M345/100,IF(AND($N345="MND",$M345&gt;100,$Q345="EMBOQUE"),$M345/100,0)),0)</f>
        <v>1</v>
      </c>
      <c r="AO345" s="153" t="n">
        <f aca="false">IF(AND($N345="MND",$Q345="EMBOQUE"),$AN345*2*2,IF(AND($N345="VCA",$Q345="LINEAR"),$M345*2,IF(AND($N345="VCA",$Q345="PREDIAL"),0,0)))</f>
        <v>120.18</v>
      </c>
      <c r="AP345" s="153" t="n">
        <f aca="false">IFERROR($M345*$AF345*$AG345,0)</f>
        <v>65.79855</v>
      </c>
      <c r="AQ345" s="153" t="n">
        <f aca="false">IFERROR(IF(AND($N345="VCA",$AH345&gt;0),$M345*$AG345*$AH345,0),0)</f>
        <v>4.50675</v>
      </c>
      <c r="AR345" s="153" t="n">
        <f aca="false">IFERROR(IF(AND($N345="VCA",$AJ345&gt;0),($M345*$AG345*$AJ345)-$AI345,0),0)</f>
        <v>19.5228688636531</v>
      </c>
      <c r="AS345" s="153" t="n">
        <f aca="false">IFERROR(IF(AND($N345="VCA",$AP345&gt;0),$AP345-$AI345-$AQ345-$AR345,0),0)</f>
        <v>40.56075</v>
      </c>
      <c r="AT345" s="153" t="n">
        <f aca="false">IFERROR(IF($N345="VCA",INDEX(APOIO_REDES!$A:$W,MATCH($C345&amp;$I345&amp;$H345&amp;$N345&amp;$O345,APOIO_REDES!$W:$W,0),MATCH(AT$5,APOIO_REDES!$5:$5,0)),0)*$AP345,0)</f>
        <v>0.715907699376682</v>
      </c>
      <c r="AU345" s="153" t="n">
        <f aca="false">IFERROR(IF($N345="VCA",INDEX(APOIO_REDES!$A:$W,MATCH($C345&amp;$I345&amp;$H345&amp;$N345&amp;$O345,APOIO_REDES!$W:$W,0),MATCH(AU$5,APOIO_REDES!$5:$5,0)),0)*$AP345,0)</f>
        <v>0.571704499482766</v>
      </c>
      <c r="AV345" s="153" t="n">
        <f aca="false">IFERROR(IF($N345="VCA",INDEX(APOIO_REDES!$A:$W,MATCH($C345&amp;$I345&amp;$H345&amp;$N345&amp;$O345,APOIO_REDES!$W:$W,0),MATCH(AV$5,APOIO_REDES!$5:$5,0)),0)*$AP345,0)</f>
        <v>0.0791194146721258</v>
      </c>
      <c r="AW345" s="153" t="n">
        <f aca="false">IFERROR(IF($N345="VCA",INDEX(APOIO_REDES!$A:$W,MATCH($C345&amp;$I345&amp;$H345&amp;$N345&amp;$O345,APOIO_REDES!$W:$W,0),MATCH(AW$5,APOIO_REDES!$5:$5,0)),0)*$AP345,0)</f>
        <v>45.164634552044</v>
      </c>
      <c r="AX345" s="153" t="n">
        <f aca="false">IFERROR(IF($N345="VCA",INDEX(APOIO_REDES!$A:$W,MATCH($C345&amp;$I345&amp;$H345&amp;$N345&amp;$O345,APOIO_REDES!$W:$W,0),MATCH(AX$5,APOIO_REDES!$5:$5,0)),0)*$AP345,0)</f>
        <v>6.25065676810609</v>
      </c>
      <c r="AY345" s="153" t="n">
        <f aca="false">IFERROR(IF($N345="VCA",INDEX(APOIO_REDES!$A:$W,MATCH($C345&amp;$I345&amp;$H345&amp;$N345&amp;$O345,APOIO_REDES!$W:$W,0),MATCH(AY$5,APOIO_REDES!$5:$5,0)),0)*$AP345,0)</f>
        <v>11.4340830206238</v>
      </c>
      <c r="AZ345" s="153" t="n">
        <f aca="false">IFERROR(IF($N345="VCA",INDEX(APOIO_REDES!$A:$W,MATCH($C345&amp;$I345&amp;$H345&amp;$N345&amp;$O345,APOIO_REDES!$W:$W,0),MATCH(AZ$5,APOIO_REDES!$5:$5,0)),0)*$AP345,0)</f>
        <v>1.58244404569455</v>
      </c>
      <c r="BA345" s="153" t="n">
        <f aca="false">IFERROR(IF(AND($N345="VCA",$Q345="LINEAR"),INDEX(APOIO_REDES!$A:$W,MATCH($C345&amp;$I345&amp;$H345&amp;$N345&amp;$O345,APOIO_REDES!$W:$W,0),MATCH(BA$5,APOIO_REDES!$5:$5,0)),IF(AND($N345="MND",$Q345="EMBOQUE"),INDEX(APOIO_REDES!$A:$W,MATCH($C345&amp;$I345&amp;$H345&amp;$N345&amp;$O345,APOIO_REDES!$W:$W,0),MATCH(BA$5,APOIO_REDES!$5:$5,0)),0))*$M345/10,0)</f>
        <v>4.843102427769</v>
      </c>
      <c r="BB345" s="153" t="n">
        <f aca="false">IFERROR(IF($N345="VCA",INDEX(APOIO_REDES!$A:$W,MATCH($C345&amp;$I345&amp;$H345&amp;$N345&amp;$O345,APOIO_REDES!$W:$W,0),MATCH(BB$5,APOIO_REDES!$5:$5,0)),0)*($AI345+$AQ345+$AR345),0)</f>
        <v>24.9632052659925</v>
      </c>
      <c r="BC345" s="153" t="n">
        <f aca="false">IFERROR(IF($N345="VCA",INDEX(APOIO_REDES!$A:$W,MATCH($C345&amp;$I345&amp;$H345&amp;$N345&amp;$O345,APOIO_REDES!$W:$W,0),MATCH(BC$5,APOIO_REDES!$5:$5,0)),0)*($AI345+$AQ345+$AR345),0)</f>
        <v>0.274594734007494</v>
      </c>
      <c r="BD345" s="153" t="n">
        <f aca="false">IF(AND($N345="VCA",$AF345&gt;=1.25,$AF345&lt;1.5),$M345*$AF345*2,0)</f>
        <v>175.4628</v>
      </c>
      <c r="BE345" s="153" t="n">
        <f aca="false">IF(AND($N345="VCA",$AF345&gt;=1.5,$AF345&lt;3),$M345*$AF345*2,0)</f>
        <v>0</v>
      </c>
      <c r="BF345" s="153" t="n">
        <f aca="false">IF(AND($N345="VCA",$AF345&gt;=3),$M345*$AF345*2,0)</f>
        <v>0</v>
      </c>
      <c r="BG345" s="153" t="n">
        <f aca="false">($BB345+$BC345)*$AK345</f>
        <v>68.14206</v>
      </c>
      <c r="BH345" s="153" t="n">
        <f aca="false">IF(AND($M345&lt;&gt;"",$N345="VCA",$Q345="LINEAR"),($M345*2)/100,IF(AND($M345&lt;&gt;"",$N345="MND",$Q345="EMBOQUE"),($AN345*2)/100,0))</f>
        <v>1.2018</v>
      </c>
      <c r="BI345" s="153" t="n">
        <f aca="false">IF(AND($M345&lt;&gt;"",$N345="VCA",$Q345="LINEAR"),$M345,IF(AND($M345&lt;&gt;"",$N345="MND",$Q345="EMBOQUE"),$AN345*2,0))</f>
        <v>60.09</v>
      </c>
      <c r="BJ345" s="153" t="n">
        <f aca="false">IF(AND($M345&lt;&gt;"",$N345="VCA",$Q345="LINEAR"),($M345*6.8)/100,IF(AND($M345&lt;&gt;"",$N345="MND",$Q345="EMBOQUE"),($AN345*2*6.8)/100,0))</f>
        <v>4.08612</v>
      </c>
      <c r="BK345" s="153" t="n">
        <f aca="false">IF(AND($M345&lt;&gt;"",$N345="VCA",$Q345="LINEAR"),($M345*2.5)/50,IF(AND($M345&lt;&gt;"",$N345="MND",$Q345="EMBOQUE"),($AN345*2*2.5)/50,0))</f>
        <v>3.0045</v>
      </c>
      <c r="BL345" s="157" t="str">
        <f aca="false">K345&amp;J345</f>
        <v>Zona03REDES</v>
      </c>
      <c r="BM345" s="152" t="s">
        <v>2526</v>
      </c>
      <c r="BN345" s="152" t="s">
        <v>1560</v>
      </c>
      <c r="BO345" s="152" t="s">
        <v>2800</v>
      </c>
      <c r="BP345" s="152" t="s">
        <v>2616</v>
      </c>
      <c r="BQ345" s="152" t="s">
        <v>2718</v>
      </c>
      <c r="BR345" s="152" t="s">
        <v>2827</v>
      </c>
      <c r="BS345" s="152" t="n">
        <v>203637.661</v>
      </c>
      <c r="BT345" s="152" t="n">
        <v>8237907.618</v>
      </c>
      <c r="BU345" s="152" t="n">
        <v>203658.992</v>
      </c>
      <c r="BV345" s="152" t="n">
        <v>8237858.22</v>
      </c>
      <c r="BW345" s="152" t="n">
        <v>-15.920643</v>
      </c>
      <c r="BX345" s="152" t="n">
        <v>-47.7679081</v>
      </c>
      <c r="BY345" s="152" t="s">
        <v>2616</v>
      </c>
    </row>
    <row r="346" customFormat="false" ht="13.8" hidden="false" customHeight="false" outlineLevel="0" collapsed="false">
      <c r="A346" s="149" t="n">
        <f aca="false">IF(C346&lt;&gt;"",ROW(A341),"")</f>
        <v>341</v>
      </c>
      <c r="B346" s="150" t="str">
        <f aca="false">HYPERLINK("https://www.google.com/maps/dir/-15.917302,-47.760003/-15.9208272,-47.7676840/data=!4m3!4m2!3e0!5i1")</f>
        <v>https://www.google.com/maps/dir/-15.917302,-47.760003/-15.9208272,-47.7676840/data=!4m3!4m2!3e0!5i1</v>
      </c>
      <c r="C346" s="151" t="s">
        <v>117</v>
      </c>
      <c r="D346" s="152" t="s">
        <v>112</v>
      </c>
      <c r="E346" s="152" t="s">
        <v>113</v>
      </c>
      <c r="F346" s="152" t="s">
        <v>117</v>
      </c>
      <c r="G346" s="152" t="s">
        <v>782</v>
      </c>
      <c r="H346" s="152" t="n">
        <v>110</v>
      </c>
      <c r="I346" s="152" t="s">
        <v>115</v>
      </c>
      <c r="J346" s="152" t="s">
        <v>6</v>
      </c>
      <c r="K346" s="152" t="s">
        <v>2522</v>
      </c>
      <c r="L346" s="152" t="s">
        <v>120</v>
      </c>
      <c r="M346" s="153" t="n">
        <f aca="false">96.97+2.05</f>
        <v>99.02</v>
      </c>
      <c r="N346" s="152" t="s">
        <v>1548</v>
      </c>
      <c r="O346" s="152" t="s">
        <v>1549</v>
      </c>
      <c r="P346" s="152" t="s">
        <v>1550</v>
      </c>
      <c r="Q346" s="152" t="s">
        <v>1551</v>
      </c>
      <c r="R346" s="154" t="s">
        <v>2828</v>
      </c>
      <c r="S346" s="154" t="s">
        <v>1593</v>
      </c>
      <c r="T346" s="155" t="s">
        <v>2797</v>
      </c>
      <c r="U346" s="152" t="str">
        <f aca="false">RIGHT(T346,7)</f>
        <v>009/037</v>
      </c>
      <c r="V346" s="152" t="s">
        <v>1555</v>
      </c>
      <c r="W346" s="156" t="n">
        <v>45882</v>
      </c>
      <c r="X346" s="152" t="s">
        <v>1594</v>
      </c>
      <c r="Y346" s="152" t="s">
        <v>2638</v>
      </c>
      <c r="Z346" s="152" t="s">
        <v>1557</v>
      </c>
      <c r="AA346" s="153" t="n">
        <v>3.3</v>
      </c>
      <c r="AB346" s="151" t="s">
        <v>2829</v>
      </c>
      <c r="AC346" s="151" t="s">
        <v>502</v>
      </c>
      <c r="AD346" s="151" t="str">
        <f aca="false">CONCATENATE($C346,$I346,$H346,$N346,$J346,$K346)</f>
        <v>TUBO PEADPEAD110VCAREDESZona03</v>
      </c>
      <c r="AE346" s="153" t="n">
        <f aca="false">IFERROR(INDEX(APOIO_REDES!$A:$W,MATCH($C346&amp;$I346&amp;$H346&amp;$N346&amp;$O346,APOIO_REDES!$W:$W,0),MATCH(AE$5,APOIO_REDES!$5:$5,0)),0)</f>
        <v>1.2</v>
      </c>
      <c r="AF346" s="153" t="n">
        <f aca="false">IFERROR(INDEX(APOIO_REDES!$A:$W,MATCH($C346&amp;$I346&amp;$H346&amp;$N346&amp;$O346,APOIO_REDES!$W:$W,0),MATCH(AF$5,APOIO_REDES!$5:$5,0)),0)</f>
        <v>1.41</v>
      </c>
      <c r="AG346" s="153" t="n">
        <f aca="false">IFERROR(INDEX(APOIO_REDES!$A:$W,MATCH($C346&amp;$I346&amp;$H346&amp;$N346&amp;$O346,APOIO_REDES!$W:$W,0),MATCH(AG$5,APOIO_REDES!$5:$5,0)),0)</f>
        <v>0.75</v>
      </c>
      <c r="AH346" s="153" t="n">
        <f aca="false">IFERROR(INDEX(APOIO_REDES!$A:$W,MATCH($C346&amp;$I346&amp;$H346&amp;$N346&amp;$O346,APOIO_REDES!$W:$W,0),MATCH(AH$5,APOIO_REDES!$5:$5,0)),0)</f>
        <v>0.1</v>
      </c>
      <c r="AI346" s="153" t="n">
        <f aca="false">IFERROR(IF($H346&lt;&gt;"",(((($H346/1000)/2)^2)*PI()*$M346),0),0)</f>
        <v>0.941018526289346</v>
      </c>
      <c r="AJ346" s="153" t="n">
        <f aca="false">IFERROR(IF(AND($H346&lt;&gt;"",$I346="FoFo",OR($N346="MND",$N346="VCA"),$Q346="LINEAR"),0,IF(AND($H346&lt;&gt;"",$I346="PEAD",$N346="VCA",$Q346="LINEAR"),($H346/1000)+0.3,IF(AND($H346&lt;&gt;"",$I346="PEAD",$N346="MND",$Q346="EMBOQUE"),0,IF(AND($H346&lt;&gt;"",$I346="PVC",$N346="VCA",$Q346="LINEAR"),($H346/1000)+0.2,IF(AND($H346&lt;&gt;"",$I346="PVC",$N346="MND",$Q346="EMBOQUE"),0,IF(AND($H346&lt;&gt;"",$I346="PEAD",$N346="VCA",$Q346="PREDIAL"),0,0)))))),0)</f>
        <v>0.41</v>
      </c>
      <c r="AK346" s="153" t="n">
        <f aca="false">IF(AA346&lt;&gt;"",AA346,0)</f>
        <v>3.3</v>
      </c>
      <c r="AL346" s="153" t="n">
        <f aca="false">IF(AND($N346="MND",$Q346="EMBOQUE"),$M346,IF(AND($N346="VCA",$Q346="LINEAR"),$M346,IF(AND($N346="VCA",$Q346="PREDIAL"),0,0)))</f>
        <v>99.02</v>
      </c>
      <c r="AM346" s="153" t="n">
        <f aca="false">IF(AND($N346="MND",$Q346="EMBOQUE"),$M346,IF(AND($N346="VCA",$Q346="LINEAR"),$M346,IF(AND($N346="VCA",$Q346="PREDIAL"),0,0)))</f>
        <v>99.02</v>
      </c>
      <c r="AN346" s="153" t="n">
        <f aca="false">ROUND(IF(AND($N346="VCA",$M346&lt;&gt;"",$Q346="LINEAR"),$M346/100,IF(AND($N346="MND",$M346&gt;100,$Q346="EMBOQUE"),$M346/100,0)),0)</f>
        <v>1</v>
      </c>
      <c r="AO346" s="153" t="n">
        <f aca="false">IF(AND($N346="MND",$Q346="EMBOQUE"),$AN346*2*2,IF(AND($N346="VCA",$Q346="LINEAR"),$M346*2,IF(AND($N346="VCA",$Q346="PREDIAL"),0,0)))</f>
        <v>198.04</v>
      </c>
      <c r="AP346" s="153" t="n">
        <f aca="false">IFERROR($M346*$AF346*$AG346,0)</f>
        <v>104.71365</v>
      </c>
      <c r="AQ346" s="153" t="n">
        <f aca="false">IFERROR(IF(AND($N346="VCA",$AH346&gt;0),$M346*$AG346*$AH346,0),0)</f>
        <v>7.4265</v>
      </c>
      <c r="AR346" s="153" t="n">
        <f aca="false">IFERROR(IF(AND($N346="VCA",$AJ346&gt;0),($M346*$AG346*$AJ346)-$AI346,0),0)</f>
        <v>29.5076314737107</v>
      </c>
      <c r="AS346" s="153" t="n">
        <f aca="false">IFERROR(IF(AND($N346="VCA",$AP346&gt;0),$AP346-$AI346-$AQ346-$AR346,0),0)</f>
        <v>66.8385</v>
      </c>
      <c r="AT346" s="153" t="n">
        <f aca="false">IFERROR(IF($N346="VCA",INDEX(APOIO_REDES!$A:$W,MATCH($C346&amp;$I346&amp;$H346&amp;$N346&amp;$O346,APOIO_REDES!$W:$W,0),MATCH(AT$5,APOIO_REDES!$5:$5,0)),0)*$AP346,0)</f>
        <v>1.13931550565833</v>
      </c>
      <c r="AU346" s="153" t="n">
        <f aca="false">IFERROR(IF($N346="VCA",INDEX(APOIO_REDES!$A:$W,MATCH($C346&amp;$I346&amp;$H346&amp;$N346&amp;$O346,APOIO_REDES!$W:$W,0),MATCH(AU$5,APOIO_REDES!$5:$5,0)),0)*$AP346,0)</f>
        <v>0.909826506241604</v>
      </c>
      <c r="AV346" s="153" t="n">
        <f aca="false">IFERROR(IF($N346="VCA",INDEX(APOIO_REDES!$A:$W,MATCH($C346&amp;$I346&amp;$H346&amp;$N346&amp;$O346,APOIO_REDES!$W:$W,0),MATCH(AV$5,APOIO_REDES!$5:$5,0)),0)*$AP346,0)</f>
        <v>0.125912846045724</v>
      </c>
      <c r="AW346" s="153" t="n">
        <f aca="false">IFERROR(IF($N346="VCA",INDEX(APOIO_REDES!$A:$W,MATCH($C346&amp;$I346&amp;$H346&amp;$N346&amp;$O346,APOIO_REDES!$W:$W,0),MATCH(AW$5,APOIO_REDES!$5:$5,0)),0)*$AP346,0)</f>
        <v>71.8762607209527</v>
      </c>
      <c r="AX346" s="153" t="n">
        <f aca="false">IFERROR(IF($N346="VCA",INDEX(APOIO_REDES!$A:$W,MATCH($C346&amp;$I346&amp;$H346&amp;$N346&amp;$O346,APOIO_REDES!$W:$W,0),MATCH(AX$5,APOIO_REDES!$5:$5,0)),0)*$AP346,0)</f>
        <v>9.94746974037561</v>
      </c>
      <c r="AY346" s="153" t="n">
        <f aca="false">IFERROR(IF($N346="VCA",INDEX(APOIO_REDES!$A:$W,MATCH($C346&amp;$I346&amp;$H346&amp;$N346&amp;$O346,APOIO_REDES!$W:$W,0),MATCH(AY$5,APOIO_REDES!$5:$5,0)),0)*$AP346,0)</f>
        <v>18.1965190341207</v>
      </c>
      <c r="AZ346" s="153" t="n">
        <f aca="false">IFERROR(IF($N346="VCA",INDEX(APOIO_REDES!$A:$W,MATCH($C346&amp;$I346&amp;$H346&amp;$N346&amp;$O346,APOIO_REDES!$W:$W,0),MATCH(AZ$5,APOIO_REDES!$5:$5,0)),0)*$AP346,0)</f>
        <v>2.51834564660533</v>
      </c>
      <c r="BA346" s="153" t="n">
        <f aca="false">IFERROR(IF(AND($N346="VCA",$Q346="LINEAR"),INDEX(APOIO_REDES!$A:$W,MATCH($C346&amp;$I346&amp;$H346&amp;$N346&amp;$O346,APOIO_REDES!$W:$W,0),MATCH(BA$5,APOIO_REDES!$5:$5,0)),IF(AND($N346="MND",$Q346="EMBOQUE"),INDEX(APOIO_REDES!$A:$W,MATCH($C346&amp;$I346&amp;$H346&amp;$N346&amp;$O346,APOIO_REDES!$W:$W,0),MATCH(BA$5,APOIO_REDES!$5:$5,0)),0))*$M346/10,0)</f>
        <v>7.98076222994984</v>
      </c>
      <c r="BB346" s="153" t="n">
        <f aca="false">IFERROR(IF($N346="VCA",INDEX(APOIO_REDES!$A:$W,MATCH($C346&amp;$I346&amp;$H346&amp;$N346&amp;$O346,APOIO_REDES!$W:$W,0),MATCH(BB$5,APOIO_REDES!$5:$5,0)),0)*($AI346+$AQ346+$AR346),0)</f>
        <v>37.4630571575278</v>
      </c>
      <c r="BC346" s="153" t="n">
        <f aca="false">IFERROR(IF($N346="VCA",INDEX(APOIO_REDES!$A:$W,MATCH($C346&amp;$I346&amp;$H346&amp;$N346&amp;$O346,APOIO_REDES!$W:$W,0),MATCH(BC$5,APOIO_REDES!$5:$5,0)),0)*($AI346+$AQ346+$AR346),0)</f>
        <v>0.412092842472163</v>
      </c>
      <c r="BD346" s="153" t="n">
        <f aca="false">IF(AND($N346="VCA",$AF346&gt;=1.25,$AF346&lt;1.5),$M346*$AF346*2,0)</f>
        <v>279.2364</v>
      </c>
      <c r="BE346" s="153" t="n">
        <f aca="false">IF(AND($N346="VCA",$AF346&gt;=1.5,$AF346&lt;3),$M346*$AF346*2,0)</f>
        <v>0</v>
      </c>
      <c r="BF346" s="153" t="n">
        <f aca="false">IF(AND($N346="VCA",$AF346&gt;=3),$M346*$AF346*2,0)</f>
        <v>0</v>
      </c>
      <c r="BG346" s="153" t="n">
        <f aca="false">($BB346+$BC346)*$AK346</f>
        <v>124.987995</v>
      </c>
      <c r="BH346" s="153" t="n">
        <f aca="false">IF(AND($M346&lt;&gt;"",$N346="VCA",$Q346="LINEAR"),($M346*2)/100,IF(AND($M346&lt;&gt;"",$N346="MND",$Q346="EMBOQUE"),($AN346*2)/100,0))</f>
        <v>1.9804</v>
      </c>
      <c r="BI346" s="153" t="n">
        <f aca="false">IF(AND($M346&lt;&gt;"",$N346="VCA",$Q346="LINEAR"),$M346,IF(AND($M346&lt;&gt;"",$N346="MND",$Q346="EMBOQUE"),$AN346*2,0))</f>
        <v>99.02</v>
      </c>
      <c r="BJ346" s="153" t="n">
        <f aca="false">IF(AND($M346&lt;&gt;"",$N346="VCA",$Q346="LINEAR"),($M346*6.8)/100,IF(AND($M346&lt;&gt;"",$N346="MND",$Q346="EMBOQUE"),($AN346*2*6.8)/100,0))</f>
        <v>6.73336</v>
      </c>
      <c r="BK346" s="153" t="n">
        <f aca="false">IF(AND($M346&lt;&gt;"",$N346="VCA",$Q346="LINEAR"),($M346*2.5)/50,IF(AND($M346&lt;&gt;"",$N346="MND",$Q346="EMBOQUE"),($AN346*2*2.5)/50,0))</f>
        <v>4.951</v>
      </c>
      <c r="BL346" s="157" t="str">
        <f aca="false">K346&amp;J346</f>
        <v>Zona03REDES</v>
      </c>
      <c r="BM346" s="152" t="s">
        <v>2526</v>
      </c>
      <c r="BN346" s="152" t="s">
        <v>1560</v>
      </c>
      <c r="BO346" s="152" t="s">
        <v>2800</v>
      </c>
      <c r="BP346" s="152" t="s">
        <v>2830</v>
      </c>
      <c r="BQ346" s="152" t="s">
        <v>2831</v>
      </c>
      <c r="BR346" s="152" t="s">
        <v>2832</v>
      </c>
      <c r="BS346" s="152" t="n">
        <v>203667.398</v>
      </c>
      <c r="BT346" s="152" t="n">
        <v>8237857.963</v>
      </c>
      <c r="BU346" s="152" t="n">
        <v>203760.485</v>
      </c>
      <c r="BV346" s="152" t="n">
        <v>8237885.082</v>
      </c>
      <c r="BW346" s="152" t="n">
        <v>-15.9207109</v>
      </c>
      <c r="BX346" s="152" t="n">
        <v>-47.7672367</v>
      </c>
      <c r="BY346" s="152" t="s">
        <v>2830</v>
      </c>
    </row>
    <row r="347" customFormat="false" ht="13.8" hidden="false" customHeight="false" outlineLevel="0" collapsed="false">
      <c r="A347" s="149" t="n">
        <f aca="false">IF(C347&lt;&gt;"",ROW(A342),"")</f>
        <v>342</v>
      </c>
      <c r="B347" s="150" t="str">
        <f aca="false">HYPERLINK("https://www.google.com/maps/dir/-15.917302,-47.760003/-15.9209208,-47.7706611/data=!4m3!4m2!3e0!5i1")</f>
        <v>https://www.google.com/maps/dir/-15.917302,-47.760003/-15.9209208,-47.7706611/data=!4m3!4m2!3e0!5i1</v>
      </c>
      <c r="C347" s="151" t="s">
        <v>117</v>
      </c>
      <c r="D347" s="152" t="s">
        <v>112</v>
      </c>
      <c r="E347" s="152" t="s">
        <v>113</v>
      </c>
      <c r="F347" s="152" t="s">
        <v>117</v>
      </c>
      <c r="G347" s="152" t="s">
        <v>114</v>
      </c>
      <c r="H347" s="152" t="n">
        <v>160</v>
      </c>
      <c r="I347" s="152" t="s">
        <v>115</v>
      </c>
      <c r="J347" s="152" t="s">
        <v>6</v>
      </c>
      <c r="K347" s="152" t="s">
        <v>2522</v>
      </c>
      <c r="L347" s="152" t="s">
        <v>120</v>
      </c>
      <c r="M347" s="153" t="n">
        <f aca="false">38.87</f>
        <v>38.87</v>
      </c>
      <c r="N347" s="152" t="s">
        <v>1548</v>
      </c>
      <c r="O347" s="152" t="s">
        <v>1549</v>
      </c>
      <c r="P347" s="152" t="s">
        <v>1550</v>
      </c>
      <c r="Q347" s="152" t="s">
        <v>1551</v>
      </c>
      <c r="R347" s="154" t="s">
        <v>2833</v>
      </c>
      <c r="S347" s="154" t="s">
        <v>1593</v>
      </c>
      <c r="T347" s="155" t="s">
        <v>2797</v>
      </c>
      <c r="U347" s="152" t="str">
        <f aca="false">RIGHT(T347,7)</f>
        <v>009/037</v>
      </c>
      <c r="V347" s="152" t="s">
        <v>1555</v>
      </c>
      <c r="W347" s="156" t="n">
        <v>45882</v>
      </c>
      <c r="X347" s="152" t="s">
        <v>1594</v>
      </c>
      <c r="Y347" s="152" t="s">
        <v>2834</v>
      </c>
      <c r="Z347" s="152" t="s">
        <v>1557</v>
      </c>
      <c r="AA347" s="153" t="n">
        <v>3.4</v>
      </c>
      <c r="AB347" s="151" t="s">
        <v>2835</v>
      </c>
      <c r="AC347" s="151" t="s">
        <v>505</v>
      </c>
      <c r="AD347" s="151" t="str">
        <f aca="false">CONCATENATE($C347,$I347,$H347,$N347,$J347,$K347)</f>
        <v>TUBO PEADPEAD160VCAREDESZona03</v>
      </c>
      <c r="AE347" s="153" t="n">
        <f aca="false">IFERROR(INDEX(APOIO_REDES!$A:$W,MATCH($C347&amp;$I347&amp;$H347&amp;$N347&amp;$O347,APOIO_REDES!$W:$W,0),MATCH(AE$5,APOIO_REDES!$5:$5,0)),0)</f>
        <v>1.2</v>
      </c>
      <c r="AF347" s="153" t="n">
        <f aca="false">IFERROR(INDEX(APOIO_REDES!$A:$W,MATCH($C347&amp;$I347&amp;$H347&amp;$N347&amp;$O347,APOIO_REDES!$W:$W,0),MATCH(AF$5,APOIO_REDES!$5:$5,0)),0)</f>
        <v>1.46</v>
      </c>
      <c r="AG347" s="153" t="n">
        <f aca="false">IFERROR(INDEX(APOIO_REDES!$A:$W,MATCH($C347&amp;$I347&amp;$H347&amp;$N347&amp;$O347,APOIO_REDES!$W:$W,0),MATCH(AG$5,APOIO_REDES!$5:$5,0)),0)</f>
        <v>0.75</v>
      </c>
      <c r="AH347" s="153" t="n">
        <f aca="false">IFERROR(INDEX(APOIO_REDES!$A:$W,MATCH($C347&amp;$I347&amp;$H347&amp;$N347&amp;$O347,APOIO_REDES!$W:$W,0),MATCH(AH$5,APOIO_REDES!$5:$5,0)),0)</f>
        <v>0.1</v>
      </c>
      <c r="AI347" s="153" t="n">
        <f aca="false">IFERROR(IF($H347&lt;&gt;"",(((($H347/1000)/2)^2)*PI()*$M347),0),0)</f>
        <v>0.781527721248226</v>
      </c>
      <c r="AJ347" s="153" t="n">
        <f aca="false">IFERROR(IF(AND($H347&lt;&gt;"",$I347="FoFo",OR($N347="MND",$N347="VCA"),$Q347="LINEAR"),0,IF(AND($H347&lt;&gt;"",$I347="PEAD",$N347="VCA",$Q347="LINEAR"),($H347/1000)+0.3,IF(AND($H347&lt;&gt;"",$I347="PEAD",$N347="MND",$Q347="EMBOQUE"),0,IF(AND($H347&lt;&gt;"",$I347="PVC",$N347="VCA",$Q347="LINEAR"),($H347/1000)+0.2,IF(AND($H347&lt;&gt;"",$I347="PVC",$N347="MND",$Q347="EMBOQUE"),0,IF(AND($H347&lt;&gt;"",$I347="PEAD",$N347="VCA",$Q347="PREDIAL"),0,0)))))),0)</f>
        <v>0.46</v>
      </c>
      <c r="AK347" s="153" t="n">
        <f aca="false">IF(AA347&lt;&gt;"",AA347,0)</f>
        <v>3.4</v>
      </c>
      <c r="AL347" s="153" t="n">
        <f aca="false">IF(AND($N347="MND",$Q347="EMBOQUE"),$M347,IF(AND($N347="VCA",$Q347="LINEAR"),$M347,IF(AND($N347="VCA",$Q347="PREDIAL"),0,0)))</f>
        <v>38.87</v>
      </c>
      <c r="AM347" s="153" t="n">
        <f aca="false">IF(AND($N347="MND",$Q347="EMBOQUE"),$M347,IF(AND($N347="VCA",$Q347="LINEAR"),$M347,IF(AND($N347="VCA",$Q347="PREDIAL"),0,0)))</f>
        <v>38.87</v>
      </c>
      <c r="AN347" s="153" t="n">
        <f aca="false">ROUND(IF(AND($N347="VCA",$M347&lt;&gt;"",$Q347="LINEAR"),$M347/100,IF(AND($N347="MND",$M347&gt;100,$Q347="EMBOQUE"),$M347/100,0)),0)</f>
        <v>0</v>
      </c>
      <c r="AO347" s="153" t="n">
        <f aca="false">IF(AND($N347="MND",$Q347="EMBOQUE"),$AN347*2*2,IF(AND($N347="VCA",$Q347="LINEAR"),$M347*2,IF(AND($N347="VCA",$Q347="PREDIAL"),0,0)))</f>
        <v>77.74</v>
      </c>
      <c r="AP347" s="153" t="n">
        <f aca="false">IFERROR($M347*$AF347*$AG347,0)</f>
        <v>42.56265</v>
      </c>
      <c r="AQ347" s="153" t="n">
        <f aca="false">IFERROR(IF(AND($N347="VCA",$AH347&gt;0),$M347*$AG347*$AH347,0),0)</f>
        <v>2.91525</v>
      </c>
      <c r="AR347" s="153" t="n">
        <f aca="false">IFERROR(IF(AND($N347="VCA",$AJ347&gt;0),($M347*$AG347*$AJ347)-$AI347,0),0)</f>
        <v>12.6286222787518</v>
      </c>
      <c r="AS347" s="153" t="n">
        <f aca="false">IFERROR(IF(AND($N347="VCA",$AP347&gt;0),$AP347-$AI347-$AQ347-$AR347,0),0)</f>
        <v>26.23725</v>
      </c>
      <c r="AT347" s="153" t="n">
        <f aca="false">IFERROR(IF($N347="VCA",INDEX(APOIO_REDES!$A:$W,MATCH($C347&amp;$I347&amp;$H347&amp;$N347&amp;$O347,APOIO_REDES!$W:$W,0),MATCH(AT$5,APOIO_REDES!$5:$5,0)),0)*$AP347,0)</f>
        <v>0.463094229901341</v>
      </c>
      <c r="AU347" s="153" t="n">
        <f aca="false">IFERROR(IF($N347="VCA",INDEX(APOIO_REDES!$A:$W,MATCH($C347&amp;$I347&amp;$H347&amp;$N347&amp;$O347,APOIO_REDES!$W:$W,0),MATCH(AU$5,APOIO_REDES!$5:$5,0)),0)*$AP347,0)</f>
        <v>0.36981450981686</v>
      </c>
      <c r="AV347" s="153" t="n">
        <f aca="false">IFERROR(IF($N347="VCA",INDEX(APOIO_REDES!$A:$W,MATCH($C347&amp;$I347&amp;$H347&amp;$N347&amp;$O347,APOIO_REDES!$W:$W,0),MATCH(AV$5,APOIO_REDES!$5:$5,0)),0)*$AP347,0)</f>
        <v>0.0511794250009241</v>
      </c>
      <c r="AW347" s="153" t="n">
        <f aca="false">IFERROR(IF($N347="VCA",INDEX(APOIO_REDES!$A:$W,MATCH($C347&amp;$I347&amp;$H347&amp;$N347&amp;$O347,APOIO_REDES!$W:$W,0),MATCH(AW$5,APOIO_REDES!$5:$5,0)),0)*$AP347,0)</f>
        <v>29.2153327515052</v>
      </c>
      <c r="AX347" s="153" t="n">
        <f aca="false">IFERROR(IF($N347="VCA",INDEX(APOIO_REDES!$A:$W,MATCH($C347&amp;$I347&amp;$H347&amp;$N347&amp;$O347,APOIO_REDES!$W:$W,0),MATCH(AX$5,APOIO_REDES!$5:$5,0)),0)*$AP347,0)</f>
        <v>4.04331883135769</v>
      </c>
      <c r="AY347" s="153" t="n">
        <f aca="false">IFERROR(IF($N347="VCA",INDEX(APOIO_REDES!$A:$W,MATCH($C347&amp;$I347&amp;$H347&amp;$N347&amp;$O347,APOIO_REDES!$W:$W,0),MATCH(AY$5,APOIO_REDES!$5:$5,0)),0)*$AP347,0)</f>
        <v>7.3962856883283</v>
      </c>
      <c r="AZ347" s="153" t="n">
        <f aca="false">IFERROR(IF($N347="VCA",INDEX(APOIO_REDES!$A:$W,MATCH($C347&amp;$I347&amp;$H347&amp;$N347&amp;$O347,APOIO_REDES!$W:$W,0),MATCH(AZ$5,APOIO_REDES!$5:$5,0)),0)*$AP347,0)</f>
        <v>1.02362456408965</v>
      </c>
      <c r="BA347" s="153" t="n">
        <f aca="false">IFERROR(IF(AND($N347="VCA",$Q347="LINEAR"),INDEX(APOIO_REDES!$A:$W,MATCH($C347&amp;$I347&amp;$H347&amp;$N347&amp;$O347,APOIO_REDES!$W:$W,0),MATCH(BA$5,APOIO_REDES!$5:$5,0)),IF(AND($N347="MND",$Q347="EMBOQUE"),INDEX(APOIO_REDES!$A:$W,MATCH($C347&amp;$I347&amp;$H347&amp;$N347&amp;$O347,APOIO_REDES!$W:$W,0),MATCH(BA$5,APOIO_REDES!$5:$5,0)),0))*$M347/10,0)</f>
        <v>3.13282395352606</v>
      </c>
      <c r="BB347" s="153" t="n">
        <f aca="false">IFERROR(IF($N347="VCA",INDEX(APOIO_REDES!$A:$W,MATCH($C347&amp;$I347&amp;$H347&amp;$N347&amp;$O347,APOIO_REDES!$W:$W,0),MATCH(BB$5,APOIO_REDES!$5:$5,0)),0)*($AI347+$AQ347+$AR347),0)</f>
        <v>16.1477748159283</v>
      </c>
      <c r="BC347" s="153" t="n">
        <f aca="false">IFERROR(IF($N347="VCA",INDEX(APOIO_REDES!$A:$W,MATCH($C347&amp;$I347&amp;$H347&amp;$N347&amp;$O347,APOIO_REDES!$W:$W,0),MATCH(BC$5,APOIO_REDES!$5:$5,0)),0)*($AI347+$AQ347+$AR347),0)</f>
        <v>0.177625184071747</v>
      </c>
      <c r="BD347" s="153" t="n">
        <f aca="false">IF(AND($N347="VCA",$AF347&gt;=1.25,$AF347&lt;1.5),$M347*$AF347*2,0)</f>
        <v>113.5004</v>
      </c>
      <c r="BE347" s="153" t="n">
        <f aca="false">IF(AND($N347="VCA",$AF347&gt;=1.5,$AF347&lt;3),$M347*$AF347*2,0)</f>
        <v>0</v>
      </c>
      <c r="BF347" s="153" t="n">
        <f aca="false">IF(AND($N347="VCA",$AF347&gt;=3),$M347*$AF347*2,0)</f>
        <v>0</v>
      </c>
      <c r="BG347" s="153" t="n">
        <f aca="false">($BB347+$BC347)*$AK347</f>
        <v>55.50636</v>
      </c>
      <c r="BH347" s="153" t="n">
        <f aca="false">IF(AND($M347&lt;&gt;"",$N347="VCA",$Q347="LINEAR"),($M347*2)/100,IF(AND($M347&lt;&gt;"",$N347="MND",$Q347="EMBOQUE"),($AN347*2)/100,0))</f>
        <v>0.7774</v>
      </c>
      <c r="BI347" s="153" t="n">
        <f aca="false">IF(AND($M347&lt;&gt;"",$N347="VCA",$Q347="LINEAR"),$M347,IF(AND($M347&lt;&gt;"",$N347="MND",$Q347="EMBOQUE"),$AN347*2,0))</f>
        <v>38.87</v>
      </c>
      <c r="BJ347" s="153" t="n">
        <f aca="false">IF(AND($M347&lt;&gt;"",$N347="VCA",$Q347="LINEAR"),($M347*6.8)/100,IF(AND($M347&lt;&gt;"",$N347="MND",$Q347="EMBOQUE"),($AN347*2*6.8)/100,0))</f>
        <v>2.64316</v>
      </c>
      <c r="BK347" s="153" t="n">
        <f aca="false">IF(AND($M347&lt;&gt;"",$N347="VCA",$Q347="LINEAR"),($M347*2.5)/50,IF(AND($M347&lt;&gt;"",$N347="MND",$Q347="EMBOQUE"),($AN347*2*2.5)/50,0))</f>
        <v>1.9435</v>
      </c>
      <c r="BL347" s="157" t="str">
        <f aca="false">K347&amp;J347</f>
        <v>Zona03REDES</v>
      </c>
      <c r="BM347" s="152" t="s">
        <v>2526</v>
      </c>
      <c r="BN347" s="152" t="s">
        <v>1560</v>
      </c>
      <c r="BO347" s="152" t="s">
        <v>2800</v>
      </c>
      <c r="BP347" s="152" t="s">
        <v>2836</v>
      </c>
      <c r="BQ347" s="152" t="s">
        <v>2807</v>
      </c>
      <c r="BR347" s="152" t="s">
        <v>2837</v>
      </c>
      <c r="BS347" s="152" t="n">
        <v>203347.406</v>
      </c>
      <c r="BT347" s="152" t="n">
        <v>8237843.25</v>
      </c>
      <c r="BU347" s="152" t="n">
        <v>203342.534</v>
      </c>
      <c r="BV347" s="152" t="n">
        <v>8237881.798</v>
      </c>
      <c r="BW347" s="152" t="n">
        <v>-15.9207463</v>
      </c>
      <c r="BX347" s="152" t="n">
        <v>-47.7706801</v>
      </c>
      <c r="BY347" s="152" t="s">
        <v>2836</v>
      </c>
    </row>
    <row r="348" customFormat="false" ht="13.8" hidden="false" customHeight="false" outlineLevel="0" collapsed="false">
      <c r="A348" s="149" t="n">
        <f aca="false">IF(C348&lt;&gt;"",ROW(A343),"")</f>
        <v>343</v>
      </c>
      <c r="B348" s="150" t="str">
        <f aca="false">HYPERLINK("https://www.google.com/maps/dir/-15.917302,-47.760003/-15.9208717,-47.7703422/data=!4m3!4m2!3e0!5i1")</f>
        <v>https://www.google.com/maps/dir/-15.917302,-47.760003/-15.9208717,-47.7703422/data=!4m3!4m2!3e0!5i1</v>
      </c>
      <c r="C348" s="151" t="s">
        <v>117</v>
      </c>
      <c r="D348" s="152" t="s">
        <v>112</v>
      </c>
      <c r="E348" s="152" t="s">
        <v>113</v>
      </c>
      <c r="F348" s="152" t="s">
        <v>117</v>
      </c>
      <c r="G348" s="152" t="s">
        <v>782</v>
      </c>
      <c r="H348" s="152" t="n">
        <v>63</v>
      </c>
      <c r="I348" s="152" t="s">
        <v>115</v>
      </c>
      <c r="J348" s="152" t="s">
        <v>6</v>
      </c>
      <c r="K348" s="152" t="s">
        <v>2522</v>
      </c>
      <c r="L348" s="152" t="s">
        <v>120</v>
      </c>
      <c r="M348" s="153" t="n">
        <f aca="false">105.89+4</f>
        <v>109.89</v>
      </c>
      <c r="N348" s="152" t="s">
        <v>1548</v>
      </c>
      <c r="O348" s="152" t="s">
        <v>1549</v>
      </c>
      <c r="P348" s="152" t="s">
        <v>1550</v>
      </c>
      <c r="Q348" s="152" t="s">
        <v>1551</v>
      </c>
      <c r="R348" s="154" t="s">
        <v>2838</v>
      </c>
      <c r="S348" s="154" t="s">
        <v>1553</v>
      </c>
      <c r="T348" s="155" t="s">
        <v>2797</v>
      </c>
      <c r="U348" s="152" t="str">
        <f aca="false">RIGHT(T348,7)</f>
        <v>009/037</v>
      </c>
      <c r="V348" s="152" t="s">
        <v>1555</v>
      </c>
      <c r="W348" s="156" t="n">
        <v>45882</v>
      </c>
      <c r="X348" s="152" t="s">
        <v>1594</v>
      </c>
      <c r="Y348" s="152" t="s">
        <v>2798</v>
      </c>
      <c r="Z348" s="152" t="s">
        <v>1557</v>
      </c>
      <c r="AA348" s="153" t="n">
        <v>3.4</v>
      </c>
      <c r="AB348" s="151" t="s">
        <v>2839</v>
      </c>
      <c r="AC348" s="151" t="s">
        <v>186</v>
      </c>
      <c r="AD348" s="151" t="str">
        <f aca="false">CONCATENATE($C348,$I348,$H348,$N348,$J348,$K348)</f>
        <v>TUBO PEADPEAD63VCAREDESZona03</v>
      </c>
      <c r="AE348" s="153" t="n">
        <f aca="false">IFERROR(INDEX(APOIO_REDES!$A:$W,MATCH($C348&amp;$I348&amp;$H348&amp;$N348&amp;$O348,APOIO_REDES!$W:$W,0),MATCH(AE$5,APOIO_REDES!$5:$5,0)),0)</f>
        <v>1.2</v>
      </c>
      <c r="AF348" s="153" t="n">
        <f aca="false">IFERROR(INDEX(APOIO_REDES!$A:$W,MATCH($C348&amp;$I348&amp;$H348&amp;$N348&amp;$O348,APOIO_REDES!$W:$W,0),MATCH(AF$5,APOIO_REDES!$5:$5,0)),0)</f>
        <v>1.363</v>
      </c>
      <c r="AG348" s="153" t="n">
        <f aca="false">IFERROR(INDEX(APOIO_REDES!$A:$W,MATCH($C348&amp;$I348&amp;$H348&amp;$N348&amp;$O348,APOIO_REDES!$W:$W,0),MATCH(AG$5,APOIO_REDES!$5:$5,0)),0)</f>
        <v>0.65</v>
      </c>
      <c r="AH348" s="153" t="n">
        <f aca="false">IFERROR(INDEX(APOIO_REDES!$A:$W,MATCH($C348&amp;$I348&amp;$H348&amp;$N348&amp;$O348,APOIO_REDES!$W:$W,0),MATCH(AH$5,APOIO_REDES!$5:$5,0)),0)</f>
        <v>0.1</v>
      </c>
      <c r="AI348" s="153" t="n">
        <f aca="false">IFERROR(IF($H348&lt;&gt;"",(((($H348/1000)/2)^2)*PI()*$M348),0),0)</f>
        <v>0.342554087173534</v>
      </c>
      <c r="AJ348" s="153" t="n">
        <f aca="false">IFERROR(IF(AND($H348&lt;&gt;"",$I348="FoFo",OR($N348="MND",$N348="VCA"),$Q348="LINEAR"),0,IF(AND($H348&lt;&gt;"",$I348="PEAD",$N348="VCA",$Q348="LINEAR"),($H348/1000)+0.3,IF(AND($H348&lt;&gt;"",$I348="PEAD",$N348="MND",$Q348="EMBOQUE"),0,IF(AND($H348&lt;&gt;"",$I348="PVC",$N348="VCA",$Q348="LINEAR"),($H348/1000)+0.2,IF(AND($H348&lt;&gt;"",$I348="PVC",$N348="MND",$Q348="EMBOQUE"),0,IF(AND($H348&lt;&gt;"",$I348="PEAD",$N348="VCA",$Q348="PREDIAL"),0,0)))))),0)</f>
        <v>0.363</v>
      </c>
      <c r="AK348" s="153" t="n">
        <f aca="false">IF(AA348&lt;&gt;"",AA348,0)</f>
        <v>3.4</v>
      </c>
      <c r="AL348" s="153" t="n">
        <f aca="false">IF(AND($N348="MND",$Q348="EMBOQUE"),$M348,IF(AND($N348="VCA",$Q348="LINEAR"),$M348,IF(AND($N348="VCA",$Q348="PREDIAL"),0,0)))</f>
        <v>109.89</v>
      </c>
      <c r="AM348" s="153" t="n">
        <f aca="false">IF(AND($N348="MND",$Q348="EMBOQUE"),$M348,IF(AND($N348="VCA",$Q348="LINEAR"),$M348,IF(AND($N348="VCA",$Q348="PREDIAL"),0,0)))</f>
        <v>109.89</v>
      </c>
      <c r="AN348" s="153" t="n">
        <f aca="false">ROUND(IF(AND($N348="VCA",$M348&lt;&gt;"",$Q348="LINEAR"),$M348/100,IF(AND($N348="MND",$M348&gt;100,$Q348="EMBOQUE"),$M348/100,0)),0)</f>
        <v>1</v>
      </c>
      <c r="AO348" s="153" t="n">
        <f aca="false">IF(AND($N348="MND",$Q348="EMBOQUE"),$AN348*2*2,IF(AND($N348="VCA",$Q348="LINEAR"),$M348*2,IF(AND($N348="VCA",$Q348="PREDIAL"),0,0)))</f>
        <v>219.78</v>
      </c>
      <c r="AP348" s="153" t="n">
        <f aca="false">IFERROR($M348*$AF348*$AG348,0)</f>
        <v>97.3570455</v>
      </c>
      <c r="AQ348" s="153" t="n">
        <f aca="false">IFERROR(IF(AND($N348="VCA",$AH348&gt;0),$M348*$AG348*$AH348,0),0)</f>
        <v>7.14285</v>
      </c>
      <c r="AR348" s="153" t="n">
        <f aca="false">IFERROR(IF(AND($N348="VCA",$AJ348&gt;0),($M348*$AG348*$AJ348)-$AI348,0),0)</f>
        <v>25.5859914128265</v>
      </c>
      <c r="AS348" s="153" t="n">
        <f aca="false">IFERROR(IF(AND($N348="VCA",$AP348&gt;0),$AP348-$AI348-$AQ348-$AR348,0),0)</f>
        <v>64.28565</v>
      </c>
      <c r="AT348" s="153" t="n">
        <f aca="false">IFERROR(IF($N348="VCA",INDEX(APOIO_REDES!$A:$W,MATCH($C348&amp;$I348&amp;$H348&amp;$N348&amp;$O348,APOIO_REDES!$W:$W,0),MATCH(AT$5,APOIO_REDES!$5:$5,0)),0)*$AP348,0)</f>
        <v>1.05927347125455</v>
      </c>
      <c r="AU348" s="153" t="n">
        <f aca="false">IFERROR(IF($N348="VCA",INDEX(APOIO_REDES!$A:$W,MATCH($C348&amp;$I348&amp;$H348&amp;$N348&amp;$O348,APOIO_REDES!$W:$W,0),MATCH(AU$5,APOIO_REDES!$5:$5,0)),0)*$AP348,0)</f>
        <v>0.845907105379957</v>
      </c>
      <c r="AV348" s="153" t="n">
        <f aca="false">IFERROR(IF($N348="VCA",INDEX(APOIO_REDES!$A:$W,MATCH($C348&amp;$I348&amp;$H348&amp;$N348&amp;$O348,APOIO_REDES!$W:$W,0),MATCH(AV$5,APOIO_REDES!$5:$5,0)),0)*$AP348,0)</f>
        <v>0.117066902753442</v>
      </c>
      <c r="AW348" s="153" t="n">
        <f aca="false">IFERROR(IF($N348="VCA",INDEX(APOIO_REDES!$A:$W,MATCH($C348&amp;$I348&amp;$H348&amp;$N348&amp;$O348,APOIO_REDES!$W:$W,0),MATCH(AW$5,APOIO_REDES!$5:$5,0)),0)*$AP348,0)</f>
        <v>66.8266303903995</v>
      </c>
      <c r="AX348" s="153" t="n">
        <f aca="false">IFERROR(IF($N348="VCA",INDEX(APOIO_REDES!$A:$W,MATCH($C348&amp;$I348&amp;$H348&amp;$N348&amp;$O348,APOIO_REDES!$W:$W,0),MATCH(AX$5,APOIO_REDES!$5:$5,0)),0)*$AP348,0)</f>
        <v>9.24861528677132</v>
      </c>
      <c r="AY348" s="153" t="n">
        <f aca="false">IFERROR(IF($N348="VCA",INDEX(APOIO_REDES!$A:$W,MATCH($C348&amp;$I348&amp;$H348&amp;$N348&amp;$O348,APOIO_REDES!$W:$W,0),MATCH(AY$5,APOIO_REDES!$5:$5,0)),0)*$AP348,0)</f>
        <v>16.9181317960601</v>
      </c>
      <c r="AZ348" s="153" t="n">
        <f aca="false">IFERROR(IF($N348="VCA",INDEX(APOIO_REDES!$A:$W,MATCH($C348&amp;$I348&amp;$H348&amp;$N348&amp;$O348,APOIO_REDES!$W:$W,0),MATCH(AZ$5,APOIO_REDES!$5:$5,0)),0)*$AP348,0)</f>
        <v>2.34142054738119</v>
      </c>
      <c r="BA348" s="153" t="n">
        <f aca="false">IFERROR(IF(AND($N348="VCA",$Q348="LINEAR"),INDEX(APOIO_REDES!$A:$W,MATCH($C348&amp;$I348&amp;$H348&amp;$N348&amp;$O348,APOIO_REDES!$W:$W,0),MATCH(BA$5,APOIO_REDES!$5:$5,0)),IF(AND($N348="MND",$Q348="EMBOQUE"),INDEX(APOIO_REDES!$A:$W,MATCH($C348&amp;$I348&amp;$H348&amp;$N348&amp;$O348,APOIO_REDES!$W:$W,0),MATCH(BA$5,APOIO_REDES!$5:$5,0)),0))*$M348/10,0)</f>
        <v>8.85685681124206</v>
      </c>
      <c r="BB348" s="153" t="n">
        <f aca="false">IFERROR(IF($N348="VCA",INDEX(APOIO_REDES!$A:$W,MATCH($C348&amp;$I348&amp;$H348&amp;$N348&amp;$O348,APOIO_REDES!$W:$W,0),MATCH(BB$5,APOIO_REDES!$5:$5,0)),0)*($AI348+$AQ348+$AR348),0)</f>
        <v>32.7115689283266</v>
      </c>
      <c r="BC348" s="153" t="n">
        <f aca="false">IFERROR(IF($N348="VCA",INDEX(APOIO_REDES!$A:$W,MATCH($C348&amp;$I348&amp;$H348&amp;$N348&amp;$O348,APOIO_REDES!$W:$W,0),MATCH(BC$5,APOIO_REDES!$5:$5,0)),0)*($AI348+$AQ348+$AR348),0)</f>
        <v>0.359826571673408</v>
      </c>
      <c r="BD348" s="153" t="n">
        <f aca="false">IF(AND($N348="VCA",$AF348&gt;=1.25,$AF348&lt;1.5),$M348*$AF348*2,0)</f>
        <v>299.56014</v>
      </c>
      <c r="BE348" s="153" t="n">
        <f aca="false">IF(AND($N348="VCA",$AF348&gt;=1.5,$AF348&lt;3),$M348*$AF348*2,0)</f>
        <v>0</v>
      </c>
      <c r="BF348" s="153" t="n">
        <f aca="false">IF(AND($N348="VCA",$AF348&gt;=3),$M348*$AF348*2,0)</f>
        <v>0</v>
      </c>
      <c r="BG348" s="153" t="n">
        <f aca="false">($BB348+$BC348)*$AK348</f>
        <v>112.4427447</v>
      </c>
      <c r="BH348" s="153" t="n">
        <f aca="false">IF(AND($M348&lt;&gt;"",$N348="VCA",$Q348="LINEAR"),($M348*2)/100,IF(AND($M348&lt;&gt;"",$N348="MND",$Q348="EMBOQUE"),($AN348*2)/100,0))</f>
        <v>2.1978</v>
      </c>
      <c r="BI348" s="153" t="n">
        <f aca="false">IF(AND($M348&lt;&gt;"",$N348="VCA",$Q348="LINEAR"),$M348,IF(AND($M348&lt;&gt;"",$N348="MND",$Q348="EMBOQUE"),$AN348*2,0))</f>
        <v>109.89</v>
      </c>
      <c r="BJ348" s="153" t="n">
        <f aca="false">IF(AND($M348&lt;&gt;"",$N348="VCA",$Q348="LINEAR"),($M348*6.8)/100,IF(AND($M348&lt;&gt;"",$N348="MND",$Q348="EMBOQUE"),($AN348*2*6.8)/100,0))</f>
        <v>7.47252</v>
      </c>
      <c r="BK348" s="153" t="n">
        <f aca="false">IF(AND($M348&lt;&gt;"",$N348="VCA",$Q348="LINEAR"),($M348*2.5)/50,IF(AND($M348&lt;&gt;"",$N348="MND",$Q348="EMBOQUE"),($AN348*2*2.5)/50,0))</f>
        <v>5.4945</v>
      </c>
      <c r="BL348" s="157" t="str">
        <f aca="false">K348&amp;J348</f>
        <v>Zona03REDES</v>
      </c>
      <c r="BM348" s="152" t="s">
        <v>2526</v>
      </c>
      <c r="BN348" s="152" t="s">
        <v>1560</v>
      </c>
      <c r="BO348" s="152" t="s">
        <v>2800</v>
      </c>
      <c r="BP348" s="152" t="s">
        <v>2840</v>
      </c>
      <c r="BQ348" s="152" t="s">
        <v>2841</v>
      </c>
      <c r="BR348" s="152" t="s">
        <v>2842</v>
      </c>
      <c r="BS348" s="152" t="n">
        <v>203381.47</v>
      </c>
      <c r="BT348" s="152" t="n">
        <v>8237849.139</v>
      </c>
      <c r="BU348" s="152" t="n">
        <v>203483.922</v>
      </c>
      <c r="BV348" s="152" t="n">
        <v>8237849.241</v>
      </c>
      <c r="BW348" s="152" t="n">
        <v>-15.9207795</v>
      </c>
      <c r="BX348" s="152" t="n">
        <v>-47.7698585</v>
      </c>
      <c r="BY348" s="152" t="s">
        <v>2840</v>
      </c>
    </row>
    <row r="349" customFormat="false" ht="13.8" hidden="false" customHeight="false" outlineLevel="0" collapsed="false">
      <c r="A349" s="149" t="n">
        <f aca="false">IF(C349&lt;&gt;"",ROW(A344),"")</f>
        <v>344</v>
      </c>
      <c r="B349" s="150" t="str">
        <f aca="false">HYPERLINK("https://www.google.com/maps/dir/-15.917302,-47.760003/-15.9208230,-47.7677516/data=!4m3!4m2!3e0!5i1")</f>
        <v>https://www.google.com/maps/dir/-15.917302,-47.760003/-15.9208230,-47.7677516/data=!4m3!4m2!3e0!5i1</v>
      </c>
      <c r="C349" s="151" t="s">
        <v>117</v>
      </c>
      <c r="D349" s="152" t="s">
        <v>112</v>
      </c>
      <c r="E349" s="152" t="s">
        <v>113</v>
      </c>
      <c r="F349" s="152" t="s">
        <v>117</v>
      </c>
      <c r="G349" s="152" t="s">
        <v>114</v>
      </c>
      <c r="H349" s="152" t="n">
        <v>160</v>
      </c>
      <c r="I349" s="152" t="s">
        <v>115</v>
      </c>
      <c r="J349" s="152" t="s">
        <v>6</v>
      </c>
      <c r="K349" s="152" t="s">
        <v>2522</v>
      </c>
      <c r="L349" s="152" t="s">
        <v>120</v>
      </c>
      <c r="M349" s="153" t="n">
        <f aca="false">7.26</f>
        <v>7.26</v>
      </c>
      <c r="N349" s="152" t="s">
        <v>1548</v>
      </c>
      <c r="O349" s="152" t="s">
        <v>1549</v>
      </c>
      <c r="P349" s="152" t="s">
        <v>1550</v>
      </c>
      <c r="Q349" s="152" t="s">
        <v>1551</v>
      </c>
      <c r="R349" s="154" t="s">
        <v>2843</v>
      </c>
      <c r="S349" s="154" t="s">
        <v>1593</v>
      </c>
      <c r="T349" s="155" t="s">
        <v>2797</v>
      </c>
      <c r="U349" s="152" t="str">
        <f aca="false">RIGHT(T349,7)</f>
        <v>009/037</v>
      </c>
      <c r="V349" s="152" t="s">
        <v>1555</v>
      </c>
      <c r="W349" s="156" t="n">
        <v>45882</v>
      </c>
      <c r="X349" s="152" t="s">
        <v>1594</v>
      </c>
      <c r="Y349" s="152" t="s">
        <v>2524</v>
      </c>
      <c r="Z349" s="152" t="s">
        <v>1557</v>
      </c>
      <c r="AA349" s="153" t="n">
        <v>3.3</v>
      </c>
      <c r="AB349" s="151" t="s">
        <v>2844</v>
      </c>
      <c r="AC349" s="151" t="s">
        <v>505</v>
      </c>
      <c r="AD349" s="151" t="str">
        <f aca="false">CONCATENATE($C349,$I349,$H349,$N349,$J349,$K349)</f>
        <v>TUBO PEADPEAD160VCAREDESZona03</v>
      </c>
      <c r="AE349" s="153" t="n">
        <f aca="false">IFERROR(INDEX(APOIO_REDES!$A:$W,MATCH($C349&amp;$I349&amp;$H349&amp;$N349&amp;$O349,APOIO_REDES!$W:$W,0),MATCH(AE$5,APOIO_REDES!$5:$5,0)),0)</f>
        <v>1.2</v>
      </c>
      <c r="AF349" s="153" t="n">
        <f aca="false">IFERROR(INDEX(APOIO_REDES!$A:$W,MATCH($C349&amp;$I349&amp;$H349&amp;$N349&amp;$O349,APOIO_REDES!$W:$W,0),MATCH(AF$5,APOIO_REDES!$5:$5,0)),0)</f>
        <v>1.46</v>
      </c>
      <c r="AG349" s="153" t="n">
        <f aca="false">IFERROR(INDEX(APOIO_REDES!$A:$W,MATCH($C349&amp;$I349&amp;$H349&amp;$N349&amp;$O349,APOIO_REDES!$W:$W,0),MATCH(AG$5,APOIO_REDES!$5:$5,0)),0)</f>
        <v>0.75</v>
      </c>
      <c r="AH349" s="153" t="n">
        <f aca="false">IFERROR(INDEX(APOIO_REDES!$A:$W,MATCH($C349&amp;$I349&amp;$H349&amp;$N349&amp;$O349,APOIO_REDES!$W:$W,0),MATCH(AH$5,APOIO_REDES!$5:$5,0)),0)</f>
        <v>0.1</v>
      </c>
      <c r="AI349" s="153" t="n">
        <f aca="false">IFERROR(IF($H349&lt;&gt;"",(((($H349/1000)/2)^2)*PI()*$M349),0),0)</f>
        <v>0.145970961056396</v>
      </c>
      <c r="AJ349" s="153" t="n">
        <f aca="false">IFERROR(IF(AND($H349&lt;&gt;"",$I349="FoFo",OR($N349="MND",$N349="VCA"),$Q349="LINEAR"),0,IF(AND($H349&lt;&gt;"",$I349="PEAD",$N349="VCA",$Q349="LINEAR"),($H349/1000)+0.3,IF(AND($H349&lt;&gt;"",$I349="PEAD",$N349="MND",$Q349="EMBOQUE"),0,IF(AND($H349&lt;&gt;"",$I349="PVC",$N349="VCA",$Q349="LINEAR"),($H349/1000)+0.2,IF(AND($H349&lt;&gt;"",$I349="PVC",$N349="MND",$Q349="EMBOQUE"),0,IF(AND($H349&lt;&gt;"",$I349="PEAD",$N349="VCA",$Q349="PREDIAL"),0,0)))))),0)</f>
        <v>0.46</v>
      </c>
      <c r="AK349" s="153" t="n">
        <f aca="false">IF(AA349&lt;&gt;"",AA349,0)</f>
        <v>3.3</v>
      </c>
      <c r="AL349" s="153" t="n">
        <f aca="false">IF(AND($N349="MND",$Q349="EMBOQUE"),$M349,IF(AND($N349="VCA",$Q349="LINEAR"),$M349,IF(AND($N349="VCA",$Q349="PREDIAL"),0,0)))</f>
        <v>7.26</v>
      </c>
      <c r="AM349" s="153" t="n">
        <f aca="false">IF(AND($N349="MND",$Q349="EMBOQUE"),$M349,IF(AND($N349="VCA",$Q349="LINEAR"),$M349,IF(AND($N349="VCA",$Q349="PREDIAL"),0,0)))</f>
        <v>7.26</v>
      </c>
      <c r="AN349" s="153" t="n">
        <f aca="false">ROUND(IF(AND($N349="VCA",$M349&lt;&gt;"",$Q349="LINEAR"),$M349/100,IF(AND($N349="MND",$M349&gt;100,$Q349="EMBOQUE"),$M349/100,0)),0)</f>
        <v>0</v>
      </c>
      <c r="AO349" s="153" t="n">
        <f aca="false">IF(AND($N349="MND",$Q349="EMBOQUE"),$AN349*2*2,IF(AND($N349="VCA",$Q349="LINEAR"),$M349*2,IF(AND($N349="VCA",$Q349="PREDIAL"),0,0)))</f>
        <v>14.52</v>
      </c>
      <c r="AP349" s="153" t="n">
        <f aca="false">IFERROR($M349*$AF349*$AG349,0)</f>
        <v>7.9497</v>
      </c>
      <c r="AQ349" s="153" t="n">
        <f aca="false">IFERROR(IF(AND($N349="VCA",$AH349&gt;0),$M349*$AG349*$AH349,0),0)</f>
        <v>0.5445</v>
      </c>
      <c r="AR349" s="153" t="n">
        <f aca="false">IFERROR(IF(AND($N349="VCA",$AJ349&gt;0),($M349*$AG349*$AJ349)-$AI349,0),0)</f>
        <v>2.3587290389436</v>
      </c>
      <c r="AS349" s="153" t="n">
        <f aca="false">IFERROR(IF(AND($N349="VCA",$AP349&gt;0),$AP349-$AI349-$AQ349-$AR349,0),0)</f>
        <v>4.9005</v>
      </c>
      <c r="AT349" s="153" t="n">
        <f aca="false">IFERROR(IF($N349="VCA",INDEX(APOIO_REDES!$A:$W,MATCH($C349&amp;$I349&amp;$H349&amp;$N349&amp;$O349,APOIO_REDES!$W:$W,0),MATCH(AT$5,APOIO_REDES!$5:$5,0)),0)*$AP349,0)</f>
        <v>0.0864950889910918</v>
      </c>
      <c r="AU349" s="153" t="n">
        <f aca="false">IFERROR(IF($N349="VCA",INDEX(APOIO_REDES!$A:$W,MATCH($C349&amp;$I349&amp;$H349&amp;$N349&amp;$O349,APOIO_REDES!$W:$W,0),MATCH(AU$5,APOIO_REDES!$5:$5,0)),0)*$AP349,0)</f>
        <v>0.0690726354841884</v>
      </c>
      <c r="AV349" s="153" t="n">
        <f aca="false">IFERROR(IF($N349="VCA",INDEX(APOIO_REDES!$A:$W,MATCH($C349&amp;$I349&amp;$H349&amp;$N349&amp;$O349,APOIO_REDES!$W:$W,0),MATCH(AV$5,APOIO_REDES!$5:$5,0)),0)*$AP349,0)</f>
        <v>0.00955911050956288</v>
      </c>
      <c r="AW349" s="153" t="n">
        <f aca="false">IFERROR(IF($N349="VCA",INDEX(APOIO_REDES!$A:$W,MATCH($C349&amp;$I349&amp;$H349&amp;$N349&amp;$O349,APOIO_REDES!$W:$W,0),MATCH(AW$5,APOIO_REDES!$5:$5,0)),0)*$AP349,0)</f>
        <v>5.4567356772814</v>
      </c>
      <c r="AX349" s="153" t="n">
        <f aca="false">IFERROR(IF($N349="VCA",INDEX(APOIO_REDES!$A:$W,MATCH($C349&amp;$I349&amp;$H349&amp;$N349&amp;$O349,APOIO_REDES!$W:$W,0),MATCH(AX$5,APOIO_REDES!$5:$5,0)),0)*$AP349,0)</f>
        <v>0.755196673929941</v>
      </c>
      <c r="AY349" s="153" t="n">
        <f aca="false">IFERROR(IF($N349="VCA",INDEX(APOIO_REDES!$A:$W,MATCH($C349&amp;$I349&amp;$H349&amp;$N349&amp;$O349,APOIO_REDES!$W:$W,0),MATCH(AY$5,APOIO_REDES!$5:$5,0)),0)*$AP349,0)</f>
        <v>1.38145186769394</v>
      </c>
      <c r="AZ349" s="153" t="n">
        <f aca="false">IFERROR(IF($N349="VCA",INDEX(APOIO_REDES!$A:$W,MATCH($C349&amp;$I349&amp;$H349&amp;$N349&amp;$O349,APOIO_REDES!$W:$W,0),MATCH(AZ$5,APOIO_REDES!$5:$5,0)),0)*$AP349,0)</f>
        <v>0.191188946109876</v>
      </c>
      <c r="BA349" s="153" t="n">
        <f aca="false">IFERROR(IF(AND($N349="VCA",$Q349="LINEAR"),INDEX(APOIO_REDES!$A:$W,MATCH($C349&amp;$I349&amp;$H349&amp;$N349&amp;$O349,APOIO_REDES!$W:$W,0),MATCH(BA$5,APOIO_REDES!$5:$5,0)),IF(AND($N349="MND",$Q349="EMBOQUE"),INDEX(APOIO_REDES!$A:$W,MATCH($C349&amp;$I349&amp;$H349&amp;$N349&amp;$O349,APOIO_REDES!$W:$W,0),MATCH(BA$5,APOIO_REDES!$5:$5,0)),0))*$M349/10,0)</f>
        <v>0.585137687229205</v>
      </c>
      <c r="BB349" s="153" t="n">
        <f aca="false">IFERROR(IF($N349="VCA",INDEX(APOIO_REDES!$A:$W,MATCH($C349&amp;$I349&amp;$H349&amp;$N349&amp;$O349,APOIO_REDES!$W:$W,0),MATCH(BB$5,APOIO_REDES!$5:$5,0)),0)*($AI349+$AQ349+$AR349),0)</f>
        <v>3.01602380148287</v>
      </c>
      <c r="BC349" s="153" t="n">
        <f aca="false">IFERROR(IF($N349="VCA",INDEX(APOIO_REDES!$A:$W,MATCH($C349&amp;$I349&amp;$H349&amp;$N349&amp;$O349,APOIO_REDES!$W:$W,0),MATCH(BC$5,APOIO_REDES!$5:$5,0)),0)*($AI349+$AQ349+$AR349),0)</f>
        <v>0.0331761985171311</v>
      </c>
      <c r="BD349" s="153" t="n">
        <f aca="false">IF(AND($N349="VCA",$AF349&gt;=1.25,$AF349&lt;1.5),$M349*$AF349*2,0)</f>
        <v>21.1992</v>
      </c>
      <c r="BE349" s="153" t="n">
        <f aca="false">IF(AND($N349="VCA",$AF349&gt;=1.5,$AF349&lt;3),$M349*$AF349*2,0)</f>
        <v>0</v>
      </c>
      <c r="BF349" s="153" t="n">
        <f aca="false">IF(AND($N349="VCA",$AF349&gt;=3),$M349*$AF349*2,0)</f>
        <v>0</v>
      </c>
      <c r="BG349" s="153" t="n">
        <f aca="false">($BB349+$BC349)*$AK349</f>
        <v>10.06236</v>
      </c>
      <c r="BH349" s="153" t="n">
        <f aca="false">IF(AND($M349&lt;&gt;"",$N349="VCA",$Q349="LINEAR"),($M349*2)/100,IF(AND($M349&lt;&gt;"",$N349="MND",$Q349="EMBOQUE"),($AN349*2)/100,0))</f>
        <v>0.1452</v>
      </c>
      <c r="BI349" s="153" t="n">
        <f aca="false">IF(AND($M349&lt;&gt;"",$N349="VCA",$Q349="LINEAR"),$M349,IF(AND($M349&lt;&gt;"",$N349="MND",$Q349="EMBOQUE"),$AN349*2,0))</f>
        <v>7.26</v>
      </c>
      <c r="BJ349" s="153" t="n">
        <f aca="false">IF(AND($M349&lt;&gt;"",$N349="VCA",$Q349="LINEAR"),($M349*6.8)/100,IF(AND($M349&lt;&gt;"",$N349="MND",$Q349="EMBOQUE"),($AN349*2*6.8)/100,0))</f>
        <v>0.49368</v>
      </c>
      <c r="BK349" s="153" t="n">
        <f aca="false">IF(AND($M349&lt;&gt;"",$N349="VCA",$Q349="LINEAR"),($M349*2.5)/50,IF(AND($M349&lt;&gt;"",$N349="MND",$Q349="EMBOQUE"),($AN349*2*2.5)/50,0))</f>
        <v>0.363</v>
      </c>
      <c r="BL349" s="157" t="str">
        <f aca="false">K349&amp;J349</f>
        <v>Zona03REDES</v>
      </c>
      <c r="BM349" s="152" t="s">
        <v>2526</v>
      </c>
      <c r="BN349" s="152" t="s">
        <v>1560</v>
      </c>
      <c r="BO349" s="152" t="s">
        <v>2800</v>
      </c>
      <c r="BP349" s="152" t="s">
        <v>2718</v>
      </c>
      <c r="BQ349" s="152" t="s">
        <v>2830</v>
      </c>
      <c r="BR349" s="152" t="s">
        <v>2827</v>
      </c>
      <c r="BS349" s="152" t="n">
        <v>203658.992</v>
      </c>
      <c r="BT349" s="152" t="n">
        <v>8237858.22</v>
      </c>
      <c r="BU349" s="152" t="n">
        <v>203666.24</v>
      </c>
      <c r="BV349" s="152" t="n">
        <v>8237857.851</v>
      </c>
      <c r="BW349" s="152" t="n">
        <v>-15.9208251</v>
      </c>
      <c r="BX349" s="152" t="n">
        <v>-47.7677178</v>
      </c>
      <c r="BY349" s="152" t="s">
        <v>2718</v>
      </c>
    </row>
    <row r="350" customFormat="false" ht="13.8" hidden="false" customHeight="false" outlineLevel="0" collapsed="false">
      <c r="A350" s="149" t="n">
        <f aca="false">IF(C350&lt;&gt;"",ROW(A345),"")</f>
        <v>345</v>
      </c>
      <c r="B350" s="150" t="str">
        <f aca="false">HYPERLINK("https://www.google.com/maps/dir/-15.917302,-47.760003/-15.9209208,-47.7706611/data=!4m3!4m2!3e0!5i1")</f>
        <v>https://www.google.com/maps/dir/-15.917302,-47.760003/-15.9209208,-47.7706611/data=!4m3!4m2!3e0!5i1</v>
      </c>
      <c r="C350" s="151" t="s">
        <v>117</v>
      </c>
      <c r="D350" s="152" t="s">
        <v>112</v>
      </c>
      <c r="E350" s="152" t="s">
        <v>113</v>
      </c>
      <c r="F350" s="152" t="s">
        <v>117</v>
      </c>
      <c r="G350" s="152" t="s">
        <v>782</v>
      </c>
      <c r="H350" s="152" t="n">
        <v>63</v>
      </c>
      <c r="I350" s="152" t="s">
        <v>115</v>
      </c>
      <c r="J350" s="152" t="s">
        <v>6</v>
      </c>
      <c r="K350" s="152" t="s">
        <v>2522</v>
      </c>
      <c r="L350" s="152" t="s">
        <v>120</v>
      </c>
      <c r="M350" s="153" t="n">
        <f aca="false">33.67+0.95</f>
        <v>34.62</v>
      </c>
      <c r="N350" s="152" t="s">
        <v>1548</v>
      </c>
      <c r="O350" s="152" t="s">
        <v>1549</v>
      </c>
      <c r="P350" s="152" t="s">
        <v>1550</v>
      </c>
      <c r="Q350" s="152" t="s">
        <v>1551</v>
      </c>
      <c r="R350" s="154" t="s">
        <v>2845</v>
      </c>
      <c r="S350" s="154" t="s">
        <v>1553</v>
      </c>
      <c r="T350" s="155" t="s">
        <v>2797</v>
      </c>
      <c r="U350" s="152" t="str">
        <f aca="false">RIGHT(T350,7)</f>
        <v>009/037</v>
      </c>
      <c r="V350" s="152" t="s">
        <v>1555</v>
      </c>
      <c r="W350" s="156" t="n">
        <v>45882</v>
      </c>
      <c r="X350" s="152" t="s">
        <v>1594</v>
      </c>
      <c r="Y350" s="152" t="s">
        <v>2834</v>
      </c>
      <c r="Z350" s="152" t="s">
        <v>1557</v>
      </c>
      <c r="AA350" s="153" t="n">
        <v>3.4</v>
      </c>
      <c r="AB350" s="151" t="s">
        <v>2846</v>
      </c>
      <c r="AC350" s="151" t="s">
        <v>186</v>
      </c>
      <c r="AD350" s="151" t="str">
        <f aca="false">CONCATENATE($C350,$I350,$H350,$N350,$J350,$K350)</f>
        <v>TUBO PEADPEAD63VCAREDESZona03</v>
      </c>
      <c r="AE350" s="153" t="n">
        <f aca="false">IFERROR(INDEX(APOIO_REDES!$A:$W,MATCH($C350&amp;$I350&amp;$H350&amp;$N350&amp;$O350,APOIO_REDES!$W:$W,0),MATCH(AE$5,APOIO_REDES!$5:$5,0)),0)</f>
        <v>1.2</v>
      </c>
      <c r="AF350" s="153" t="n">
        <f aca="false">IFERROR(INDEX(APOIO_REDES!$A:$W,MATCH($C350&amp;$I350&amp;$H350&amp;$N350&amp;$O350,APOIO_REDES!$W:$W,0),MATCH(AF$5,APOIO_REDES!$5:$5,0)),0)</f>
        <v>1.363</v>
      </c>
      <c r="AG350" s="153" t="n">
        <f aca="false">IFERROR(INDEX(APOIO_REDES!$A:$W,MATCH($C350&amp;$I350&amp;$H350&amp;$N350&amp;$O350,APOIO_REDES!$W:$W,0),MATCH(AG$5,APOIO_REDES!$5:$5,0)),0)</f>
        <v>0.65</v>
      </c>
      <c r="AH350" s="153" t="n">
        <f aca="false">IFERROR(INDEX(APOIO_REDES!$A:$W,MATCH($C350&amp;$I350&amp;$H350&amp;$N350&amp;$O350,APOIO_REDES!$W:$W,0),MATCH(AH$5,APOIO_REDES!$5:$5,0)),0)</f>
        <v>0.1</v>
      </c>
      <c r="AI350" s="153" t="n">
        <f aca="false">IFERROR(IF($H350&lt;&gt;"",(((($H350/1000)/2)^2)*PI()*$M350),0),0)</f>
        <v>0.107919032650357</v>
      </c>
      <c r="AJ350" s="153" t="n">
        <f aca="false">IFERROR(IF(AND($H350&lt;&gt;"",$I350="FoFo",OR($N350="MND",$N350="VCA"),$Q350="LINEAR"),0,IF(AND($H350&lt;&gt;"",$I350="PEAD",$N350="VCA",$Q350="LINEAR"),($H350/1000)+0.3,IF(AND($H350&lt;&gt;"",$I350="PEAD",$N350="MND",$Q350="EMBOQUE"),0,IF(AND($H350&lt;&gt;"",$I350="PVC",$N350="VCA",$Q350="LINEAR"),($H350/1000)+0.2,IF(AND($H350&lt;&gt;"",$I350="PVC",$N350="MND",$Q350="EMBOQUE"),0,IF(AND($H350&lt;&gt;"",$I350="PEAD",$N350="VCA",$Q350="PREDIAL"),0,0)))))),0)</f>
        <v>0.363</v>
      </c>
      <c r="AK350" s="153" t="n">
        <f aca="false">IF(AA350&lt;&gt;"",AA350,0)</f>
        <v>3.4</v>
      </c>
      <c r="AL350" s="153" t="n">
        <f aca="false">IF(AND($N350="MND",$Q350="EMBOQUE"),$M350,IF(AND($N350="VCA",$Q350="LINEAR"),$M350,IF(AND($N350="VCA",$Q350="PREDIAL"),0,0)))</f>
        <v>34.62</v>
      </c>
      <c r="AM350" s="153" t="n">
        <f aca="false">IF(AND($N350="MND",$Q350="EMBOQUE"),$M350,IF(AND($N350="VCA",$Q350="LINEAR"),$M350,IF(AND($N350="VCA",$Q350="PREDIAL"),0,0)))</f>
        <v>34.62</v>
      </c>
      <c r="AN350" s="153" t="n">
        <f aca="false">ROUND(IF(AND($N350="VCA",$M350&lt;&gt;"",$Q350="LINEAR"),$M350/100,IF(AND($N350="MND",$M350&gt;100,$Q350="EMBOQUE"),$M350/100,0)),0)</f>
        <v>0</v>
      </c>
      <c r="AO350" s="153" t="n">
        <f aca="false">IF(AND($N350="MND",$Q350="EMBOQUE"),$AN350*2*2,IF(AND($N350="VCA",$Q350="LINEAR"),$M350*2,IF(AND($N350="VCA",$Q350="PREDIAL"),0,0)))</f>
        <v>69.24</v>
      </c>
      <c r="AP350" s="153" t="n">
        <f aca="false">IFERROR($M350*$AF350*$AG350,0)</f>
        <v>30.671589</v>
      </c>
      <c r="AQ350" s="153" t="n">
        <f aca="false">IFERROR(IF(AND($N350="VCA",$AH350&gt;0),$M350*$AG350*$AH350,0),0)</f>
        <v>2.2503</v>
      </c>
      <c r="AR350" s="153" t="n">
        <f aca="false">IFERROR(IF(AND($N350="VCA",$AJ350&gt;0),($M350*$AG350*$AJ350)-$AI350,0),0)</f>
        <v>8.06066996734964</v>
      </c>
      <c r="AS350" s="153" t="n">
        <f aca="false">IFERROR(IF(AND($N350="VCA",$AP350&gt;0),$AP350-$AI350-$AQ350-$AR350,0),0)</f>
        <v>20.2527</v>
      </c>
      <c r="AT350" s="153" t="n">
        <f aca="false">IFERROR(IF($N350="VCA",INDEX(APOIO_REDES!$A:$W,MATCH($C350&amp;$I350&amp;$H350&amp;$N350&amp;$O350,APOIO_REDES!$W:$W,0),MATCH(AT$5,APOIO_REDES!$5:$5,0)),0)*$AP350,0)</f>
        <v>0.333715966646942</v>
      </c>
      <c r="AU350" s="153" t="n">
        <f aca="false">IFERROR(IF($N350="VCA",INDEX(APOIO_REDES!$A:$W,MATCH($C350&amp;$I350&amp;$H350&amp;$N350&amp;$O350,APOIO_REDES!$W:$W,0),MATCH(AU$5,APOIO_REDES!$5:$5,0)),0)*$AP350,0)</f>
        <v>0.266496532789645</v>
      </c>
      <c r="AV350" s="153" t="n">
        <f aca="false">IFERROR(IF($N350="VCA",INDEX(APOIO_REDES!$A:$W,MATCH($C350&amp;$I350&amp;$H350&amp;$N350&amp;$O350,APOIO_REDES!$W:$W,0),MATCH(AV$5,APOIO_REDES!$5:$5,0)),0)*$AP350,0)</f>
        <v>0.0368810280582781</v>
      </c>
      <c r="AW350" s="153" t="n">
        <f aca="false">IFERROR(IF($N350="VCA",INDEX(APOIO_REDES!$A:$W,MATCH($C350&amp;$I350&amp;$H350&amp;$N350&amp;$O350,APOIO_REDES!$W:$W,0),MATCH(AW$5,APOIO_REDES!$5:$5,0)),0)*$AP350,0)</f>
        <v>21.0532163446686</v>
      </c>
      <c r="AX350" s="153" t="n">
        <f aca="false">IFERROR(IF($N350="VCA",INDEX(APOIO_REDES!$A:$W,MATCH($C350&amp;$I350&amp;$H350&amp;$N350&amp;$O350,APOIO_REDES!$W:$W,0),MATCH(AX$5,APOIO_REDES!$5:$5,0)),0)*$AP350,0)</f>
        <v>2.91370517088018</v>
      </c>
      <c r="AY350" s="153" t="n">
        <f aca="false">IFERROR(IF($N350="VCA",INDEX(APOIO_REDES!$A:$W,MATCH($C350&amp;$I350&amp;$H350&amp;$N350&amp;$O350,APOIO_REDES!$W:$W,0),MATCH(AY$5,APOIO_REDES!$5:$5,0)),0)*$AP350,0)</f>
        <v>5.32992740722177</v>
      </c>
      <c r="AZ350" s="153" t="n">
        <f aca="false">IFERROR(IF($N350="VCA",INDEX(APOIO_REDES!$A:$W,MATCH($C350&amp;$I350&amp;$H350&amp;$N350&amp;$O350,APOIO_REDES!$W:$W,0),MATCH(AZ$5,APOIO_REDES!$5:$5,0)),0)*$AP350,0)</f>
        <v>0.737646549734615</v>
      </c>
      <c r="BA350" s="153" t="n">
        <f aca="false">IFERROR(IF(AND($N350="VCA",$Q350="LINEAR"),INDEX(APOIO_REDES!$A:$W,MATCH($C350&amp;$I350&amp;$H350&amp;$N350&amp;$O350,APOIO_REDES!$W:$W,0),MATCH(BA$5,APOIO_REDES!$5:$5,0)),IF(AND($N350="MND",$Q350="EMBOQUE"),INDEX(APOIO_REDES!$A:$W,MATCH($C350&amp;$I350&amp;$H350&amp;$N350&amp;$O350,APOIO_REDES!$W:$W,0),MATCH(BA$5,APOIO_REDES!$5:$5,0)),0))*$M350/10,0)</f>
        <v>2.79028467381199</v>
      </c>
      <c r="BB350" s="153" t="n">
        <f aca="false">IFERROR(IF($N350="VCA",INDEX(APOIO_REDES!$A:$W,MATCH($C350&amp;$I350&amp;$H350&amp;$N350&amp;$O350,APOIO_REDES!$W:$W,0),MATCH(BB$5,APOIO_REDES!$5:$5,0)),0)*($AI350+$AQ350+$AR350),0)</f>
        <v>10.3055284038463</v>
      </c>
      <c r="BC350" s="153" t="n">
        <f aca="false">IFERROR(IF($N350="VCA",INDEX(APOIO_REDES!$A:$W,MATCH($C350&amp;$I350&amp;$H350&amp;$N350&amp;$O350,APOIO_REDES!$W:$W,0),MATCH(BC$5,APOIO_REDES!$5:$5,0)),0)*($AI350+$AQ350+$AR350),0)</f>
        <v>0.11336059615373</v>
      </c>
      <c r="BD350" s="153" t="n">
        <f aca="false">IF(AND($N350="VCA",$AF350&gt;=1.25,$AF350&lt;1.5),$M350*$AF350*2,0)</f>
        <v>94.37412</v>
      </c>
      <c r="BE350" s="153" t="n">
        <f aca="false">IF(AND($N350="VCA",$AF350&gt;=1.5,$AF350&lt;3),$M350*$AF350*2,0)</f>
        <v>0</v>
      </c>
      <c r="BF350" s="153" t="n">
        <f aca="false">IF(AND($N350="VCA",$AF350&gt;=3),$M350*$AF350*2,0)</f>
        <v>0</v>
      </c>
      <c r="BG350" s="153" t="n">
        <f aca="false">($BB350+$BC350)*$AK350</f>
        <v>35.4242226</v>
      </c>
      <c r="BH350" s="153" t="n">
        <f aca="false">IF(AND($M350&lt;&gt;"",$N350="VCA",$Q350="LINEAR"),($M350*2)/100,IF(AND($M350&lt;&gt;"",$N350="MND",$Q350="EMBOQUE"),($AN350*2)/100,0))</f>
        <v>0.6924</v>
      </c>
      <c r="BI350" s="153" t="n">
        <f aca="false">IF(AND($M350&lt;&gt;"",$N350="VCA",$Q350="LINEAR"),$M350,IF(AND($M350&lt;&gt;"",$N350="MND",$Q350="EMBOQUE"),$AN350*2,0))</f>
        <v>34.62</v>
      </c>
      <c r="BJ350" s="153" t="n">
        <f aca="false">IF(AND($M350&lt;&gt;"",$N350="VCA",$Q350="LINEAR"),($M350*6.8)/100,IF(AND($M350&lt;&gt;"",$N350="MND",$Q350="EMBOQUE"),($AN350*2*6.8)/100,0))</f>
        <v>2.35416</v>
      </c>
      <c r="BK350" s="153" t="n">
        <f aca="false">IF(AND($M350&lt;&gt;"",$N350="VCA",$Q350="LINEAR"),($M350*2.5)/50,IF(AND($M350&lt;&gt;"",$N350="MND",$Q350="EMBOQUE"),($AN350*2*2.5)/50,0))</f>
        <v>1.731</v>
      </c>
      <c r="BL350" s="157" t="str">
        <f aca="false">K350&amp;J350</f>
        <v>Zona03REDES</v>
      </c>
      <c r="BM350" s="152" t="s">
        <v>2526</v>
      </c>
      <c r="BN350" s="152" t="s">
        <v>1560</v>
      </c>
      <c r="BO350" s="152" t="s">
        <v>2800</v>
      </c>
      <c r="BP350" s="152" t="s">
        <v>2836</v>
      </c>
      <c r="BQ350" s="152" t="s">
        <v>2840</v>
      </c>
      <c r="BR350" s="152" t="s">
        <v>2847</v>
      </c>
      <c r="BS350" s="152" t="n">
        <v>203348.245</v>
      </c>
      <c r="BT350" s="152" t="n">
        <v>8237843.696</v>
      </c>
      <c r="BU350" s="152" t="n">
        <v>203381.47</v>
      </c>
      <c r="BV350" s="152" t="n">
        <v>8237849.139</v>
      </c>
      <c r="BW350" s="152" t="n">
        <v>-15.920895</v>
      </c>
      <c r="BX350" s="152" t="n">
        <v>-47.7704978</v>
      </c>
      <c r="BY350" s="152" t="s">
        <v>2836</v>
      </c>
    </row>
    <row r="351" customFormat="false" ht="13.8" hidden="false" customHeight="false" outlineLevel="0" collapsed="false">
      <c r="A351" s="149" t="n">
        <f aca="false">IF(C351&lt;&gt;"",ROW(A346),"")</f>
        <v>346</v>
      </c>
      <c r="B351" s="150" t="str">
        <f aca="false">HYPERLINK("https://www.google.com/maps/dir/-15.917302,-47.760003/-15.9208756,-47.7726715/data=!4m3!4m2!3e0!5i0")</f>
        <v>https://www.google.com/maps/dir/-15.917302,-47.760003/-15.9208756,-47.7726715/data=!4m3!4m2!3e0!5i0</v>
      </c>
      <c r="C351" s="151" t="s">
        <v>117</v>
      </c>
      <c r="D351" s="152" t="s">
        <v>112</v>
      </c>
      <c r="E351" s="152" t="s">
        <v>113</v>
      </c>
      <c r="F351" s="152" t="s">
        <v>117</v>
      </c>
      <c r="G351" s="152" t="s">
        <v>782</v>
      </c>
      <c r="H351" s="152" t="n">
        <v>63</v>
      </c>
      <c r="I351" s="152" t="s">
        <v>115</v>
      </c>
      <c r="J351" s="152" t="s">
        <v>6</v>
      </c>
      <c r="K351" s="152" t="s">
        <v>2522</v>
      </c>
      <c r="L351" s="152" t="s">
        <v>120</v>
      </c>
      <c r="M351" s="153" t="n">
        <f aca="false">68.18+3.99</f>
        <v>72.17</v>
      </c>
      <c r="N351" s="152" t="s">
        <v>1548</v>
      </c>
      <c r="O351" s="152" t="s">
        <v>1549</v>
      </c>
      <c r="P351" s="152" t="s">
        <v>1550</v>
      </c>
      <c r="Q351" s="152" t="s">
        <v>1551</v>
      </c>
      <c r="R351" s="154" t="s">
        <v>2848</v>
      </c>
      <c r="S351" s="154" t="s">
        <v>1553</v>
      </c>
      <c r="T351" s="155" t="s">
        <v>2797</v>
      </c>
      <c r="U351" s="152" t="str">
        <f aca="false">RIGHT(T351,7)</f>
        <v>009/037</v>
      </c>
      <c r="V351" s="152" t="s">
        <v>1555</v>
      </c>
      <c r="W351" s="156" t="n">
        <v>45882</v>
      </c>
      <c r="X351" s="152" t="s">
        <v>1594</v>
      </c>
      <c r="Y351" s="152" t="s">
        <v>2630</v>
      </c>
      <c r="Z351" s="152" t="s">
        <v>1557</v>
      </c>
      <c r="AA351" s="153" t="n">
        <v>2.9</v>
      </c>
      <c r="AB351" s="151" t="s">
        <v>2849</v>
      </c>
      <c r="AC351" s="151" t="s">
        <v>186</v>
      </c>
      <c r="AD351" s="151" t="str">
        <f aca="false">CONCATENATE($C351,$I351,$H351,$N351,$J351,$K351)</f>
        <v>TUBO PEADPEAD63VCAREDESZona03</v>
      </c>
      <c r="AE351" s="153" t="n">
        <f aca="false">IFERROR(INDEX(APOIO_REDES!$A:$W,MATCH($C351&amp;$I351&amp;$H351&amp;$N351&amp;$O351,APOIO_REDES!$W:$W,0),MATCH(AE$5,APOIO_REDES!$5:$5,0)),0)</f>
        <v>1.2</v>
      </c>
      <c r="AF351" s="153" t="n">
        <f aca="false">IFERROR(INDEX(APOIO_REDES!$A:$W,MATCH($C351&amp;$I351&amp;$H351&amp;$N351&amp;$O351,APOIO_REDES!$W:$W,0),MATCH(AF$5,APOIO_REDES!$5:$5,0)),0)</f>
        <v>1.363</v>
      </c>
      <c r="AG351" s="153" t="n">
        <f aca="false">IFERROR(INDEX(APOIO_REDES!$A:$W,MATCH($C351&amp;$I351&amp;$H351&amp;$N351&amp;$O351,APOIO_REDES!$W:$W,0),MATCH(AG$5,APOIO_REDES!$5:$5,0)),0)</f>
        <v>0.65</v>
      </c>
      <c r="AH351" s="153" t="n">
        <f aca="false">IFERROR(INDEX(APOIO_REDES!$A:$W,MATCH($C351&amp;$I351&amp;$H351&amp;$N351&amp;$O351,APOIO_REDES!$W:$W,0),MATCH(AH$5,APOIO_REDES!$5:$5,0)),0)</f>
        <v>0.1</v>
      </c>
      <c r="AI351" s="153" t="n">
        <f aca="false">IFERROR(IF($H351&lt;&gt;"",(((($H351/1000)/2)^2)*PI()*$M351),0),0)</f>
        <v>0.224971594060551</v>
      </c>
      <c r="AJ351" s="153" t="n">
        <f aca="false">IFERROR(IF(AND($H351&lt;&gt;"",$I351="FoFo",OR($N351="MND",$N351="VCA"),$Q351="LINEAR"),0,IF(AND($H351&lt;&gt;"",$I351="PEAD",$N351="VCA",$Q351="LINEAR"),($H351/1000)+0.3,IF(AND($H351&lt;&gt;"",$I351="PEAD",$N351="MND",$Q351="EMBOQUE"),0,IF(AND($H351&lt;&gt;"",$I351="PVC",$N351="VCA",$Q351="LINEAR"),($H351/1000)+0.2,IF(AND($H351&lt;&gt;"",$I351="PVC",$N351="MND",$Q351="EMBOQUE"),0,IF(AND($H351&lt;&gt;"",$I351="PEAD",$N351="VCA",$Q351="PREDIAL"),0,0)))))),0)</f>
        <v>0.363</v>
      </c>
      <c r="AK351" s="153" t="n">
        <f aca="false">IF(AA351&lt;&gt;"",AA351,0)</f>
        <v>2.9</v>
      </c>
      <c r="AL351" s="153" t="n">
        <f aca="false">IF(AND($N351="MND",$Q351="EMBOQUE"),$M351,IF(AND($N351="VCA",$Q351="LINEAR"),$M351,IF(AND($N351="VCA",$Q351="PREDIAL"),0,0)))</f>
        <v>72.17</v>
      </c>
      <c r="AM351" s="153" t="n">
        <f aca="false">IF(AND($N351="MND",$Q351="EMBOQUE"),$M351,IF(AND($N351="VCA",$Q351="LINEAR"),$M351,IF(AND($N351="VCA",$Q351="PREDIAL"),0,0)))</f>
        <v>72.17</v>
      </c>
      <c r="AN351" s="153" t="n">
        <f aca="false">ROUND(IF(AND($N351="VCA",$M351&lt;&gt;"",$Q351="LINEAR"),$M351/100,IF(AND($N351="MND",$M351&gt;100,$Q351="EMBOQUE"),$M351/100,0)),0)</f>
        <v>1</v>
      </c>
      <c r="AO351" s="153" t="n">
        <f aca="false">IF(AND($N351="MND",$Q351="EMBOQUE"),$AN351*2*2,IF(AND($N351="VCA",$Q351="LINEAR"),$M351*2,IF(AND($N351="VCA",$Q351="PREDIAL"),0,0)))</f>
        <v>144.34</v>
      </c>
      <c r="AP351" s="153" t="n">
        <f aca="false">IFERROR($M351*$AF351*$AG351,0)</f>
        <v>63.9390115</v>
      </c>
      <c r="AQ351" s="153" t="n">
        <f aca="false">IFERROR(IF(AND($N351="VCA",$AH351&gt;0),$M351*$AG351*$AH351,0),0)</f>
        <v>4.69105</v>
      </c>
      <c r="AR351" s="153" t="n">
        <f aca="false">IFERROR(IF(AND($N351="VCA",$AJ351&gt;0),($M351*$AG351*$AJ351)-$AI351,0),0)</f>
        <v>16.8035399059395</v>
      </c>
      <c r="AS351" s="153" t="n">
        <f aca="false">IFERROR(IF(AND($N351="VCA",$AP351&gt;0),$AP351-$AI351-$AQ351-$AR351,0),0)</f>
        <v>42.21945</v>
      </c>
      <c r="AT351" s="153" t="n">
        <f aca="false">IFERROR(IF($N351="VCA",INDEX(APOIO_REDES!$A:$W,MATCH($C351&amp;$I351&amp;$H351&amp;$N351&amp;$O351,APOIO_REDES!$W:$W,0),MATCH(AT$5,APOIO_REDES!$5:$5,0)),0)*$AP351,0)</f>
        <v>0.695675370101381</v>
      </c>
      <c r="AU351" s="153" t="n">
        <f aca="false">IFERROR(IF($N351="VCA",INDEX(APOIO_REDES!$A:$W,MATCH($C351&amp;$I351&amp;$H351&amp;$N351&amp;$O351,APOIO_REDES!$W:$W,0),MATCH(AU$5,APOIO_REDES!$5:$5,0)),0)*$AP351,0)</f>
        <v>0.55554750928448</v>
      </c>
      <c r="AV351" s="153" t="n">
        <f aca="false">IFERROR(IF($N351="VCA",INDEX(APOIO_REDES!$A:$W,MATCH($C351&amp;$I351&amp;$H351&amp;$N351&amp;$O351,APOIO_REDES!$W:$W,0),MATCH(AV$5,APOIO_REDES!$5:$5,0)),0)*$AP351,0)</f>
        <v>0.0768834140660291</v>
      </c>
      <c r="AW351" s="153" t="n">
        <f aca="false">IFERROR(IF($N351="VCA",INDEX(APOIO_REDES!$A:$W,MATCH($C351&amp;$I351&amp;$H351&amp;$N351&amp;$O351,APOIO_REDES!$W:$W,0),MATCH(AW$5,APOIO_REDES!$5:$5,0)),0)*$AP351,0)</f>
        <v>43.8882329172366</v>
      </c>
      <c r="AX351" s="153" t="n">
        <f aca="false">IFERROR(IF($N351="VCA",INDEX(APOIO_REDES!$A:$W,MATCH($C351&amp;$I351&amp;$H351&amp;$N351&amp;$O351,APOIO_REDES!$W:$W,0),MATCH(AX$5,APOIO_REDES!$5:$5,0)),0)*$AP351,0)</f>
        <v>6.07400641774762</v>
      </c>
      <c r="AY351" s="153" t="n">
        <f aca="false">IFERROR(IF($N351="VCA",INDEX(APOIO_REDES!$A:$W,MATCH($C351&amp;$I351&amp;$H351&amp;$N351&amp;$O351,APOIO_REDES!$W:$W,0),MATCH(AY$5,APOIO_REDES!$5:$5,0)),0)*$AP351,0)</f>
        <v>11.1109434136105</v>
      </c>
      <c r="AZ351" s="153" t="n">
        <f aca="false">IFERROR(IF($N351="VCA",INDEX(APOIO_REDES!$A:$W,MATCH($C351&amp;$I351&amp;$H351&amp;$N351&amp;$O351,APOIO_REDES!$W:$W,0),MATCH(AZ$5,APOIO_REDES!$5:$5,0)),0)*$AP351,0)</f>
        <v>1.53772245795341</v>
      </c>
      <c r="BA351" s="153" t="n">
        <f aca="false">IFERROR(IF(AND($N351="VCA",$Q351="LINEAR"),INDEX(APOIO_REDES!$A:$W,MATCH($C351&amp;$I351&amp;$H351&amp;$N351&amp;$O351,APOIO_REDES!$W:$W,0),MATCH(BA$5,APOIO_REDES!$5:$5,0)),IF(AND($N351="MND",$Q351="EMBOQUE"),INDEX(APOIO_REDES!$A:$W,MATCH($C351&amp;$I351&amp;$H351&amp;$N351&amp;$O351,APOIO_REDES!$W:$W,0),MATCH(BA$5,APOIO_REDES!$5:$5,0)),0))*$M351/10,0)</f>
        <v>5.81671995693274</v>
      </c>
      <c r="BB351" s="153" t="n">
        <f aca="false">IFERROR(IF($N351="VCA",INDEX(APOIO_REDES!$A:$W,MATCH($C351&amp;$I351&amp;$H351&amp;$N351&amp;$O351,APOIO_REDES!$W:$W,0),MATCH(BB$5,APOIO_REDES!$5:$5,0)),0)*($AI351+$AQ351+$AR351),0)</f>
        <v>21.4832462422179</v>
      </c>
      <c r="BC351" s="153" t="n">
        <f aca="false">IFERROR(IF($N351="VCA",INDEX(APOIO_REDES!$A:$W,MATCH($C351&amp;$I351&amp;$H351&amp;$N351&amp;$O351,APOIO_REDES!$W:$W,0),MATCH(BC$5,APOIO_REDES!$5:$5,0)),0)*($AI351+$AQ351+$AR351),0)</f>
        <v>0.236315257782054</v>
      </c>
      <c r="BD351" s="153" t="n">
        <f aca="false">IF(AND($N351="VCA",$AF351&gt;=1.25,$AF351&lt;1.5),$M351*$AF351*2,0)</f>
        <v>196.73542</v>
      </c>
      <c r="BE351" s="153" t="n">
        <f aca="false">IF(AND($N351="VCA",$AF351&gt;=1.5,$AF351&lt;3),$M351*$AF351*2,0)</f>
        <v>0</v>
      </c>
      <c r="BF351" s="153" t="n">
        <f aca="false">IF(AND($N351="VCA",$AF351&gt;=3),$M351*$AF351*2,0)</f>
        <v>0</v>
      </c>
      <c r="BG351" s="153" t="n">
        <f aca="false">($BB351+$BC351)*$AK351</f>
        <v>62.98672835</v>
      </c>
      <c r="BH351" s="153" t="n">
        <f aca="false">IF(AND($M351&lt;&gt;"",$N351="VCA",$Q351="LINEAR"),($M351*2)/100,IF(AND($M351&lt;&gt;"",$N351="MND",$Q351="EMBOQUE"),($AN351*2)/100,0))</f>
        <v>1.4434</v>
      </c>
      <c r="BI351" s="153" t="n">
        <f aca="false">IF(AND($M351&lt;&gt;"",$N351="VCA",$Q351="LINEAR"),$M351,IF(AND($M351&lt;&gt;"",$N351="MND",$Q351="EMBOQUE"),$AN351*2,0))</f>
        <v>72.17</v>
      </c>
      <c r="BJ351" s="153" t="n">
        <f aca="false">IF(AND($M351&lt;&gt;"",$N351="VCA",$Q351="LINEAR"),($M351*6.8)/100,IF(AND($M351&lt;&gt;"",$N351="MND",$Q351="EMBOQUE"),($AN351*2*6.8)/100,0))</f>
        <v>4.90756</v>
      </c>
      <c r="BK351" s="153" t="n">
        <f aca="false">IF(AND($M351&lt;&gt;"",$N351="VCA",$Q351="LINEAR"),($M351*2.5)/50,IF(AND($M351&lt;&gt;"",$N351="MND",$Q351="EMBOQUE"),($AN351*2*2.5)/50,0))</f>
        <v>3.6085</v>
      </c>
      <c r="BL351" s="157" t="str">
        <f aca="false">K351&amp;J351</f>
        <v>Zona03REDES</v>
      </c>
      <c r="BM351" s="152" t="s">
        <v>2526</v>
      </c>
      <c r="BN351" s="152" t="s">
        <v>1560</v>
      </c>
      <c r="BO351" s="152" t="s">
        <v>2800</v>
      </c>
      <c r="BP351" s="152" t="s">
        <v>2823</v>
      </c>
      <c r="BQ351" s="152" t="s">
        <v>2850</v>
      </c>
      <c r="BR351" s="152" t="s">
        <v>2851</v>
      </c>
      <c r="BS351" s="152" t="n">
        <v>203131.95</v>
      </c>
      <c r="BT351" s="152" t="n">
        <v>8237845.401</v>
      </c>
      <c r="BU351" s="152" t="n">
        <v>203200.108</v>
      </c>
      <c r="BV351" s="152" t="n">
        <v>8237843.92</v>
      </c>
      <c r="BW351" s="152" t="n">
        <v>-15.9208869</v>
      </c>
      <c r="BX351" s="152" t="n">
        <v>-47.7723536</v>
      </c>
      <c r="BY351" s="152" t="s">
        <v>2823</v>
      </c>
    </row>
    <row r="352" customFormat="false" ht="13.8" hidden="false" customHeight="false" outlineLevel="0" collapsed="false">
      <c r="A352" s="149" t="n">
        <f aca="false">IF(C352&lt;&gt;"",ROW(A347),"")</f>
        <v>347</v>
      </c>
      <c r="B352" s="150" t="str">
        <f aca="false">HYPERLINK("https://www.google.com/maps/dir/-15.917302,-47.760003/-15.9209877,-47.7708879/data=!4m3!4m2!3e0!5i1")</f>
        <v>https://www.google.com/maps/dir/-15.917302,-47.760003/-15.9209877,-47.7708879/data=!4m3!4m2!3e0!5i1</v>
      </c>
      <c r="C352" s="151" t="s">
        <v>117</v>
      </c>
      <c r="D352" s="152" t="s">
        <v>112</v>
      </c>
      <c r="E352" s="152" t="s">
        <v>113</v>
      </c>
      <c r="F352" s="152" t="s">
        <v>117</v>
      </c>
      <c r="G352" s="152" t="s">
        <v>114</v>
      </c>
      <c r="H352" s="152" t="n">
        <v>160</v>
      </c>
      <c r="I352" s="152" t="s">
        <v>115</v>
      </c>
      <c r="J352" s="152" t="s">
        <v>6</v>
      </c>
      <c r="K352" s="152" t="s">
        <v>2522</v>
      </c>
      <c r="L352" s="152" t="s">
        <v>120</v>
      </c>
      <c r="M352" s="153" t="n">
        <f aca="false">25.89</f>
        <v>25.89</v>
      </c>
      <c r="N352" s="152" t="s">
        <v>1548</v>
      </c>
      <c r="O352" s="152" t="s">
        <v>1549</v>
      </c>
      <c r="P352" s="152" t="s">
        <v>1550</v>
      </c>
      <c r="Q352" s="152" t="s">
        <v>1551</v>
      </c>
      <c r="R352" s="154" t="s">
        <v>2852</v>
      </c>
      <c r="S352" s="154" t="s">
        <v>1593</v>
      </c>
      <c r="T352" s="155" t="s">
        <v>2797</v>
      </c>
      <c r="U352" s="152" t="str">
        <f aca="false">RIGHT(T352,7)</f>
        <v>009/037</v>
      </c>
      <c r="V352" s="152" t="s">
        <v>1555</v>
      </c>
      <c r="W352" s="156" t="n">
        <v>45882</v>
      </c>
      <c r="X352" s="152" t="s">
        <v>1594</v>
      </c>
      <c r="Y352" s="152" t="s">
        <v>2853</v>
      </c>
      <c r="Z352" s="152" t="s">
        <v>1557</v>
      </c>
      <c r="AA352" s="153" t="n">
        <v>3.5</v>
      </c>
      <c r="AB352" s="151" t="s">
        <v>2854</v>
      </c>
      <c r="AC352" s="151" t="s">
        <v>505</v>
      </c>
      <c r="AD352" s="151" t="str">
        <f aca="false">CONCATENATE($C352,$I352,$H352,$N352,$J352,$K352)</f>
        <v>TUBO PEADPEAD160VCAREDESZona03</v>
      </c>
      <c r="AE352" s="153" t="n">
        <f aca="false">IFERROR(INDEX(APOIO_REDES!$A:$W,MATCH($C352&amp;$I352&amp;$H352&amp;$N352&amp;$O352,APOIO_REDES!$W:$W,0),MATCH(AE$5,APOIO_REDES!$5:$5,0)),0)</f>
        <v>1.2</v>
      </c>
      <c r="AF352" s="153" t="n">
        <f aca="false">IFERROR(INDEX(APOIO_REDES!$A:$W,MATCH($C352&amp;$I352&amp;$H352&amp;$N352&amp;$O352,APOIO_REDES!$W:$W,0),MATCH(AF$5,APOIO_REDES!$5:$5,0)),0)</f>
        <v>1.46</v>
      </c>
      <c r="AG352" s="153" t="n">
        <f aca="false">IFERROR(INDEX(APOIO_REDES!$A:$W,MATCH($C352&amp;$I352&amp;$H352&amp;$N352&amp;$O352,APOIO_REDES!$W:$W,0),MATCH(AG$5,APOIO_REDES!$5:$5,0)),0)</f>
        <v>0.75</v>
      </c>
      <c r="AH352" s="153" t="n">
        <f aca="false">IFERROR(INDEX(APOIO_REDES!$A:$W,MATCH($C352&amp;$I352&amp;$H352&amp;$N352&amp;$O352,APOIO_REDES!$W:$W,0),MATCH(AH$5,APOIO_REDES!$5:$5,0)),0)</f>
        <v>0.1</v>
      </c>
      <c r="AI352" s="153" t="n">
        <f aca="false">IFERROR(IF($H352&lt;&gt;"",(((($H352/1000)/2)^2)*PI()*$M352),0),0)</f>
        <v>0.520549336329214</v>
      </c>
      <c r="AJ352" s="153" t="n">
        <f aca="false">IFERROR(IF(AND($H352&lt;&gt;"",$I352="FoFo",OR($N352="MND",$N352="VCA"),$Q352="LINEAR"),0,IF(AND($H352&lt;&gt;"",$I352="PEAD",$N352="VCA",$Q352="LINEAR"),($H352/1000)+0.3,IF(AND($H352&lt;&gt;"",$I352="PEAD",$N352="MND",$Q352="EMBOQUE"),0,IF(AND($H352&lt;&gt;"",$I352="PVC",$N352="VCA",$Q352="LINEAR"),($H352/1000)+0.2,IF(AND($H352&lt;&gt;"",$I352="PVC",$N352="MND",$Q352="EMBOQUE"),0,IF(AND($H352&lt;&gt;"",$I352="PEAD",$N352="VCA",$Q352="PREDIAL"),0,0)))))),0)</f>
        <v>0.46</v>
      </c>
      <c r="AK352" s="153" t="n">
        <f aca="false">IF(AA352&lt;&gt;"",AA352,0)</f>
        <v>3.5</v>
      </c>
      <c r="AL352" s="153" t="n">
        <f aca="false">IF(AND($N352="MND",$Q352="EMBOQUE"),$M352,IF(AND($N352="VCA",$Q352="LINEAR"),$M352,IF(AND($N352="VCA",$Q352="PREDIAL"),0,0)))</f>
        <v>25.89</v>
      </c>
      <c r="AM352" s="153" t="n">
        <f aca="false">IF(AND($N352="MND",$Q352="EMBOQUE"),$M352,IF(AND($N352="VCA",$Q352="LINEAR"),$M352,IF(AND($N352="VCA",$Q352="PREDIAL"),0,0)))</f>
        <v>25.89</v>
      </c>
      <c r="AN352" s="153" t="n">
        <f aca="false">ROUND(IF(AND($N352="VCA",$M352&lt;&gt;"",$Q352="LINEAR"),$M352/100,IF(AND($N352="MND",$M352&gt;100,$Q352="EMBOQUE"),$M352/100,0)),0)</f>
        <v>0</v>
      </c>
      <c r="AO352" s="153" t="n">
        <f aca="false">IF(AND($N352="MND",$Q352="EMBOQUE"),$AN352*2*2,IF(AND($N352="VCA",$Q352="LINEAR"),$M352*2,IF(AND($N352="VCA",$Q352="PREDIAL"),0,0)))</f>
        <v>51.78</v>
      </c>
      <c r="AP352" s="153" t="n">
        <f aca="false">IFERROR($M352*$AF352*$AG352,0)</f>
        <v>28.34955</v>
      </c>
      <c r="AQ352" s="153" t="n">
        <f aca="false">IFERROR(IF(AND($N352="VCA",$AH352&gt;0),$M352*$AG352*$AH352,0),0)</f>
        <v>1.94175</v>
      </c>
      <c r="AR352" s="153" t="n">
        <f aca="false">IFERROR(IF(AND($N352="VCA",$AJ352&gt;0),($M352*$AG352*$AJ352)-$AI352,0),0)</f>
        <v>8.41150066367079</v>
      </c>
      <c r="AS352" s="153" t="n">
        <f aca="false">IFERROR(IF(AND($N352="VCA",$AP352&gt;0),$AP352-$AI352-$AQ352-$AR352,0),0)</f>
        <v>17.47575</v>
      </c>
      <c r="AT352" s="153" t="n">
        <f aca="false">IFERROR(IF($N352="VCA",INDEX(APOIO_REDES!$A:$W,MATCH($C352&amp;$I352&amp;$H352&amp;$N352&amp;$O352,APOIO_REDES!$W:$W,0),MATCH(AT$5,APOIO_REDES!$5:$5,0)),0)*$AP352,0)</f>
        <v>0.30845149503848</v>
      </c>
      <c r="AU352" s="153" t="n">
        <f aca="false">IFERROR(IF($N352="VCA",INDEX(APOIO_REDES!$A:$W,MATCH($C352&amp;$I352&amp;$H352&amp;$N352&amp;$O352,APOIO_REDES!$W:$W,0),MATCH(AU$5,APOIO_REDES!$5:$5,0)),0)*$AP352,0)</f>
        <v>0.246321010011796</v>
      </c>
      <c r="AV352" s="153" t="n">
        <f aca="false">IFERROR(IF($N352="VCA",INDEX(APOIO_REDES!$A:$W,MATCH($C352&amp;$I352&amp;$H352&amp;$N352&amp;$O352,APOIO_REDES!$W:$W,0),MATCH(AV$5,APOIO_REDES!$5:$5,0)),0)*$AP352,0)</f>
        <v>0.0340888940898874</v>
      </c>
      <c r="AW352" s="153" t="n">
        <f aca="false">IFERROR(IF($N352="VCA",INDEX(APOIO_REDES!$A:$W,MATCH($C352&amp;$I352&amp;$H352&amp;$N352&amp;$O352,APOIO_REDES!$W:$W,0),MATCH(AW$5,APOIO_REDES!$5:$5,0)),0)*$AP352,0)</f>
        <v>19.4593507830324</v>
      </c>
      <c r="AX352" s="153" t="n">
        <f aca="false">IFERROR(IF($N352="VCA",INDEX(APOIO_REDES!$A:$W,MATCH($C352&amp;$I352&amp;$H352&amp;$N352&amp;$O352,APOIO_REDES!$W:$W,0),MATCH(AX$5,APOIO_REDES!$5:$5,0)),0)*$AP352,0)</f>
        <v>2.69311871736173</v>
      </c>
      <c r="AY352" s="153" t="n">
        <f aca="false">IFERROR(IF($N352="VCA",INDEX(APOIO_REDES!$A:$W,MATCH($C352&amp;$I352&amp;$H352&amp;$N352&amp;$O352,APOIO_REDES!$W:$W,0),MATCH(AY$5,APOIO_REDES!$5:$5,0)),0)*$AP352,0)</f>
        <v>4.92641719760277</v>
      </c>
      <c r="AZ352" s="153" t="n">
        <f aca="false">IFERROR(IF($N352="VCA",INDEX(APOIO_REDES!$A:$W,MATCH($C352&amp;$I352&amp;$H352&amp;$N352&amp;$O352,APOIO_REDES!$W:$W,0),MATCH(AZ$5,APOIO_REDES!$5:$5,0)),0)*$AP352,0)</f>
        <v>0.681801902862905</v>
      </c>
      <c r="BA352" s="153" t="n">
        <f aca="false">IFERROR(IF(AND($N352="VCA",$Q352="LINEAR"),INDEX(APOIO_REDES!$A:$W,MATCH($C352&amp;$I352&amp;$H352&amp;$N352&amp;$O352,APOIO_REDES!$W:$W,0),MATCH(BA$5,APOIO_REDES!$5:$5,0)),IF(AND($N352="MND",$Q352="EMBOQUE"),INDEX(APOIO_REDES!$A:$W,MATCH($C352&amp;$I352&amp;$H352&amp;$N352&amp;$O352,APOIO_REDES!$W:$W,0),MATCH(BA$5,APOIO_REDES!$5:$5,0)),0))*$M352/10,0)</f>
        <v>2.08666869454051</v>
      </c>
      <c r="BB352" s="153" t="n">
        <f aca="false">IFERROR(IF($N352="VCA",INDEX(APOIO_REDES!$A:$W,MATCH($C352&amp;$I352&amp;$H352&amp;$N352&amp;$O352,APOIO_REDES!$W:$W,0),MATCH(BB$5,APOIO_REDES!$5:$5,0)),0)*($AI352+$AQ352+$AR352),0)</f>
        <v>10.7554898375195</v>
      </c>
      <c r="BC352" s="153" t="n">
        <f aca="false">IFERROR(IF($N352="VCA",INDEX(APOIO_REDES!$A:$W,MATCH($C352&amp;$I352&amp;$H352&amp;$N352&amp;$O352,APOIO_REDES!$W:$W,0),MATCH(BC$5,APOIO_REDES!$5:$5,0)),0)*($AI352+$AQ352+$AR352),0)</f>
        <v>0.118310162480513</v>
      </c>
      <c r="BD352" s="153" t="n">
        <f aca="false">IF(AND($N352="VCA",$AF352&gt;=1.25,$AF352&lt;1.5),$M352*$AF352*2,0)</f>
        <v>75.5988</v>
      </c>
      <c r="BE352" s="153" t="n">
        <f aca="false">IF(AND($N352="VCA",$AF352&gt;=1.5,$AF352&lt;3),$M352*$AF352*2,0)</f>
        <v>0</v>
      </c>
      <c r="BF352" s="153" t="n">
        <f aca="false">IF(AND($N352="VCA",$AF352&gt;=3),$M352*$AF352*2,0)</f>
        <v>0</v>
      </c>
      <c r="BG352" s="153" t="n">
        <f aca="false">($BB352+$BC352)*$AK352</f>
        <v>38.0583</v>
      </c>
      <c r="BH352" s="153" t="n">
        <f aca="false">IF(AND($M352&lt;&gt;"",$N352="VCA",$Q352="LINEAR"),($M352*2)/100,IF(AND($M352&lt;&gt;"",$N352="MND",$Q352="EMBOQUE"),($AN352*2)/100,0))</f>
        <v>0.5178</v>
      </c>
      <c r="BI352" s="153" t="n">
        <f aca="false">IF(AND($M352&lt;&gt;"",$N352="VCA",$Q352="LINEAR"),$M352,IF(AND($M352&lt;&gt;"",$N352="MND",$Q352="EMBOQUE"),$AN352*2,0))</f>
        <v>25.89</v>
      </c>
      <c r="BJ352" s="153" t="n">
        <f aca="false">IF(AND($M352&lt;&gt;"",$N352="VCA",$Q352="LINEAR"),($M352*6.8)/100,IF(AND($M352&lt;&gt;"",$N352="MND",$Q352="EMBOQUE"),($AN352*2*6.8)/100,0))</f>
        <v>1.76052</v>
      </c>
      <c r="BK352" s="153" t="n">
        <f aca="false">IF(AND($M352&lt;&gt;"",$N352="VCA",$Q352="LINEAR"),($M352*2.5)/50,IF(AND($M352&lt;&gt;"",$N352="MND",$Q352="EMBOQUE"),($AN352*2*2.5)/50,0))</f>
        <v>1.2945</v>
      </c>
      <c r="BL352" s="157" t="str">
        <f aca="false">K352&amp;J352</f>
        <v>Zona03REDES</v>
      </c>
      <c r="BM352" s="152" t="s">
        <v>2526</v>
      </c>
      <c r="BN352" s="152" t="s">
        <v>1560</v>
      </c>
      <c r="BO352" s="152" t="s">
        <v>2800</v>
      </c>
      <c r="BP352" s="152" t="s">
        <v>2855</v>
      </c>
      <c r="BQ352" s="152" t="s">
        <v>2836</v>
      </c>
      <c r="BR352" s="152" t="s">
        <v>2856</v>
      </c>
      <c r="BS352" s="152" t="n">
        <v>203323.288</v>
      </c>
      <c r="BT352" s="152" t="n">
        <v>8237835.985</v>
      </c>
      <c r="BU352" s="152" t="n">
        <v>203347.406</v>
      </c>
      <c r="BV352" s="152" t="n">
        <v>8237843.25</v>
      </c>
      <c r="BW352" s="152" t="n">
        <v>-15.9209685</v>
      </c>
      <c r="BX352" s="152" t="n">
        <v>-47.7707714</v>
      </c>
      <c r="BY352" s="152" t="s">
        <v>2855</v>
      </c>
    </row>
    <row r="353" customFormat="false" ht="13.8" hidden="false" customHeight="false" outlineLevel="0" collapsed="false">
      <c r="A353" s="149" t="n">
        <f aca="false">IF(C353&lt;&gt;"",ROW(A348),"")</f>
        <v>348</v>
      </c>
      <c r="B353" s="150" t="str">
        <f aca="false">HYPERLINK("https://www.google.com/maps/dir/-15.917302,-47.760003/-15.9208756,-47.7726715/data=!4m3!4m2!3e0!5i0")</f>
        <v>https://www.google.com/maps/dir/-15.917302,-47.760003/-15.9208756,-47.7726715/data=!4m3!4m2!3e0!5i0</v>
      </c>
      <c r="C353" s="151" t="s">
        <v>117</v>
      </c>
      <c r="D353" s="152" t="s">
        <v>112</v>
      </c>
      <c r="E353" s="152" t="s">
        <v>113</v>
      </c>
      <c r="F353" s="152" t="s">
        <v>117</v>
      </c>
      <c r="G353" s="152" t="s">
        <v>782</v>
      </c>
      <c r="H353" s="152" t="n">
        <v>110</v>
      </c>
      <c r="I353" s="152" t="s">
        <v>115</v>
      </c>
      <c r="J353" s="152" t="s">
        <v>6</v>
      </c>
      <c r="K353" s="152" t="s">
        <v>2522</v>
      </c>
      <c r="L353" s="152" t="s">
        <v>120</v>
      </c>
      <c r="M353" s="153" t="n">
        <f aca="false">28.28</f>
        <v>28.28</v>
      </c>
      <c r="N353" s="152" t="s">
        <v>1548</v>
      </c>
      <c r="O353" s="152" t="s">
        <v>1549</v>
      </c>
      <c r="P353" s="152" t="s">
        <v>1550</v>
      </c>
      <c r="Q353" s="152" t="s">
        <v>1551</v>
      </c>
      <c r="R353" s="154" t="s">
        <v>2857</v>
      </c>
      <c r="S353" s="154" t="s">
        <v>1593</v>
      </c>
      <c r="T353" s="155" t="s">
        <v>2797</v>
      </c>
      <c r="U353" s="152" t="str">
        <f aca="false">RIGHT(T353,7)</f>
        <v>009/037</v>
      </c>
      <c r="V353" s="152" t="s">
        <v>1555</v>
      </c>
      <c r="W353" s="156" t="n">
        <v>45882</v>
      </c>
      <c r="X353" s="152" t="s">
        <v>1594</v>
      </c>
      <c r="Y353" s="152" t="s">
        <v>2630</v>
      </c>
      <c r="Z353" s="152" t="s">
        <v>1557</v>
      </c>
      <c r="AA353" s="153" t="n">
        <v>2.9</v>
      </c>
      <c r="AB353" s="151" t="s">
        <v>2858</v>
      </c>
      <c r="AC353" s="151" t="s">
        <v>502</v>
      </c>
      <c r="AD353" s="151" t="str">
        <f aca="false">CONCATENATE($C353,$I353,$H353,$N353,$J353,$K353)</f>
        <v>TUBO PEADPEAD110VCAREDESZona03</v>
      </c>
      <c r="AE353" s="153" t="n">
        <f aca="false">IFERROR(INDEX(APOIO_REDES!$A:$W,MATCH($C353&amp;$I353&amp;$H353&amp;$N353&amp;$O353,APOIO_REDES!$W:$W,0),MATCH(AE$5,APOIO_REDES!$5:$5,0)),0)</f>
        <v>1.2</v>
      </c>
      <c r="AF353" s="153" t="n">
        <f aca="false">IFERROR(INDEX(APOIO_REDES!$A:$W,MATCH($C353&amp;$I353&amp;$H353&amp;$N353&amp;$O353,APOIO_REDES!$W:$W,0),MATCH(AF$5,APOIO_REDES!$5:$5,0)),0)</f>
        <v>1.41</v>
      </c>
      <c r="AG353" s="153" t="n">
        <f aca="false">IFERROR(INDEX(APOIO_REDES!$A:$W,MATCH($C353&amp;$I353&amp;$H353&amp;$N353&amp;$O353,APOIO_REDES!$W:$W,0),MATCH(AG$5,APOIO_REDES!$5:$5,0)),0)</f>
        <v>0.75</v>
      </c>
      <c r="AH353" s="153" t="n">
        <f aca="false">IFERROR(INDEX(APOIO_REDES!$A:$W,MATCH($C353&amp;$I353&amp;$H353&amp;$N353&amp;$O353,APOIO_REDES!$W:$W,0),MATCH(AH$5,APOIO_REDES!$5:$5,0)),0)</f>
        <v>0.1</v>
      </c>
      <c r="AI353" s="153" t="n">
        <f aca="false">IFERROR(IF($H353&lt;&gt;"",(((($H353/1000)/2)^2)*PI()*$M353),0),0)</f>
        <v>0.268753826736646</v>
      </c>
      <c r="AJ353" s="153" t="n">
        <f aca="false">IFERROR(IF(AND($H353&lt;&gt;"",$I353="FoFo",OR($N353="MND",$N353="VCA"),$Q353="LINEAR"),0,IF(AND($H353&lt;&gt;"",$I353="PEAD",$N353="VCA",$Q353="LINEAR"),($H353/1000)+0.3,IF(AND($H353&lt;&gt;"",$I353="PEAD",$N353="MND",$Q353="EMBOQUE"),0,IF(AND($H353&lt;&gt;"",$I353="PVC",$N353="VCA",$Q353="LINEAR"),($H353/1000)+0.2,IF(AND($H353&lt;&gt;"",$I353="PVC",$N353="MND",$Q353="EMBOQUE"),0,IF(AND($H353&lt;&gt;"",$I353="PEAD",$N353="VCA",$Q353="PREDIAL"),0,0)))))),0)</f>
        <v>0.41</v>
      </c>
      <c r="AK353" s="153" t="n">
        <f aca="false">IF(AA353&lt;&gt;"",AA353,0)</f>
        <v>2.9</v>
      </c>
      <c r="AL353" s="153" t="n">
        <f aca="false">IF(AND($N353="MND",$Q353="EMBOQUE"),$M353,IF(AND($N353="VCA",$Q353="LINEAR"),$M353,IF(AND($N353="VCA",$Q353="PREDIAL"),0,0)))</f>
        <v>28.28</v>
      </c>
      <c r="AM353" s="153" t="n">
        <f aca="false">IF(AND($N353="MND",$Q353="EMBOQUE"),$M353,IF(AND($N353="VCA",$Q353="LINEAR"),$M353,IF(AND($N353="VCA",$Q353="PREDIAL"),0,0)))</f>
        <v>28.28</v>
      </c>
      <c r="AN353" s="153" t="n">
        <f aca="false">ROUND(IF(AND($N353="VCA",$M353&lt;&gt;"",$Q353="LINEAR"),$M353/100,IF(AND($N353="MND",$M353&gt;100,$Q353="EMBOQUE"),$M353/100,0)),0)</f>
        <v>0</v>
      </c>
      <c r="AO353" s="153" t="n">
        <f aca="false">IF(AND($N353="MND",$Q353="EMBOQUE"),$AN353*2*2,IF(AND($N353="VCA",$Q353="LINEAR"),$M353*2,IF(AND($N353="VCA",$Q353="PREDIAL"),0,0)))</f>
        <v>56.56</v>
      </c>
      <c r="AP353" s="153" t="n">
        <f aca="false">IFERROR($M353*$AF353*$AG353,0)</f>
        <v>29.9061</v>
      </c>
      <c r="AQ353" s="153" t="n">
        <f aca="false">IFERROR(IF(AND($N353="VCA",$AH353&gt;0),$M353*$AG353*$AH353,0),0)</f>
        <v>2.121</v>
      </c>
      <c r="AR353" s="153" t="n">
        <f aca="false">IFERROR(IF(AND($N353="VCA",$AJ353&gt;0),($M353*$AG353*$AJ353)-$AI353,0),0)</f>
        <v>8.42734617326335</v>
      </c>
      <c r="AS353" s="153" t="n">
        <f aca="false">IFERROR(IF(AND($N353="VCA",$AP353&gt;0),$AP353-$AI353-$AQ353-$AR353,0),0)</f>
        <v>19.089</v>
      </c>
      <c r="AT353" s="153" t="n">
        <f aca="false">IFERROR(IF($N353="VCA",INDEX(APOIO_REDES!$A:$W,MATCH($C353&amp;$I353&amp;$H353&amp;$N353&amp;$O353,APOIO_REDES!$W:$W,0),MATCH(AT$5,APOIO_REDES!$5:$5,0)),0)*$AP353,0)</f>
        <v>0.325387219753763</v>
      </c>
      <c r="AU353" s="153" t="n">
        <f aca="false">IFERROR(IF($N353="VCA",INDEX(APOIO_REDES!$A:$W,MATCH($C353&amp;$I353&amp;$H353&amp;$N353&amp;$O353,APOIO_REDES!$W:$W,0),MATCH(AU$5,APOIO_REDES!$5:$5,0)),0)*$AP353,0)</f>
        <v>0.259845421091826</v>
      </c>
      <c r="AV353" s="153" t="n">
        <f aca="false">IFERROR(IF($N353="VCA",INDEX(APOIO_REDES!$A:$W,MATCH($C353&amp;$I353&amp;$H353&amp;$N353&amp;$O353,APOIO_REDES!$W:$W,0),MATCH(AV$5,APOIO_REDES!$5:$5,0)),0)*$AP353,0)</f>
        <v>0.0359605664125739</v>
      </c>
      <c r="AW353" s="153" t="n">
        <f aca="false">IFERROR(IF($N353="VCA",INDEX(APOIO_REDES!$A:$W,MATCH($C353&amp;$I353&amp;$H353&amp;$N353&amp;$O353,APOIO_REDES!$W:$W,0),MATCH(AW$5,APOIO_REDES!$5:$5,0)),0)*$AP353,0)</f>
        <v>20.5277787637704</v>
      </c>
      <c r="AX353" s="153" t="n">
        <f aca="false">IFERROR(IF($N353="VCA",INDEX(APOIO_REDES!$A:$W,MATCH($C353&amp;$I353&amp;$H353&amp;$N353&amp;$O353,APOIO_REDES!$W:$W,0),MATCH(AX$5,APOIO_REDES!$5:$5,0)),0)*$AP353,0)</f>
        <v>2.84098610642115</v>
      </c>
      <c r="AY353" s="153" t="n">
        <f aca="false">IFERROR(IF($N353="VCA",INDEX(APOIO_REDES!$A:$W,MATCH($C353&amp;$I353&amp;$H353&amp;$N353&amp;$O353,APOIO_REDES!$W:$W,0),MATCH(AY$5,APOIO_REDES!$5:$5,0)),0)*$AP353,0)</f>
        <v>5.19690525434189</v>
      </c>
      <c r="AZ353" s="153" t="n">
        <f aca="false">IFERROR(IF($N353="VCA",INDEX(APOIO_REDES!$A:$W,MATCH($C353&amp;$I353&amp;$H353&amp;$N353&amp;$O353,APOIO_REDES!$W:$W,0),MATCH(AZ$5,APOIO_REDES!$5:$5,0)),0)*$AP353,0)</f>
        <v>0.719236668208431</v>
      </c>
      <c r="BA353" s="153" t="n">
        <f aca="false">IFERROR(IF(AND($N353="VCA",$Q353="LINEAR"),INDEX(APOIO_REDES!$A:$W,MATCH($C353&amp;$I353&amp;$H353&amp;$N353&amp;$O353,APOIO_REDES!$W:$W,0),MATCH(BA$5,APOIO_REDES!$5:$5,0)),IF(AND($N353="MND",$Q353="EMBOQUE"),INDEX(APOIO_REDES!$A:$W,MATCH($C353&amp;$I353&amp;$H353&amp;$N353&amp;$O353,APOIO_REDES!$W:$W,0),MATCH(BA$5,APOIO_REDES!$5:$5,0)),0))*$M353/10,0)</f>
        <v>2.27929666595619</v>
      </c>
      <c r="BB353" s="153" t="n">
        <f aca="false">IFERROR(IF($N353="VCA",INDEX(APOIO_REDES!$A:$W,MATCH($C353&amp;$I353&amp;$H353&amp;$N353&amp;$O353,APOIO_REDES!$W:$W,0),MATCH(BB$5,APOIO_REDES!$5:$5,0)),0)*($AI353+$AQ353+$AR353),0)</f>
        <v>10.6994067503018</v>
      </c>
      <c r="BC353" s="153" t="n">
        <f aca="false">IFERROR(IF($N353="VCA",INDEX(APOIO_REDES!$A:$W,MATCH($C353&amp;$I353&amp;$H353&amp;$N353&amp;$O353,APOIO_REDES!$W:$W,0),MATCH(BC$5,APOIO_REDES!$5:$5,0)),0)*($AI353+$AQ353+$AR353),0)</f>
        <v>0.11769324969817</v>
      </c>
      <c r="BD353" s="153" t="n">
        <f aca="false">IF(AND($N353="VCA",$AF353&gt;=1.25,$AF353&lt;1.5),$M353*$AF353*2,0)</f>
        <v>79.7496</v>
      </c>
      <c r="BE353" s="153" t="n">
        <f aca="false">IF(AND($N353="VCA",$AF353&gt;=1.5,$AF353&lt;3),$M353*$AF353*2,0)</f>
        <v>0</v>
      </c>
      <c r="BF353" s="153" t="n">
        <f aca="false">IF(AND($N353="VCA",$AF353&gt;=3),$M353*$AF353*2,0)</f>
        <v>0</v>
      </c>
      <c r="BG353" s="153" t="n">
        <f aca="false">($BB353+$BC353)*$AK353</f>
        <v>31.36959</v>
      </c>
      <c r="BH353" s="153" t="n">
        <f aca="false">IF(AND($M353&lt;&gt;"",$N353="VCA",$Q353="LINEAR"),($M353*2)/100,IF(AND($M353&lt;&gt;"",$N353="MND",$Q353="EMBOQUE"),($AN353*2)/100,0))</f>
        <v>0.5656</v>
      </c>
      <c r="BI353" s="153" t="n">
        <f aca="false">IF(AND($M353&lt;&gt;"",$N353="VCA",$Q353="LINEAR"),$M353,IF(AND($M353&lt;&gt;"",$N353="MND",$Q353="EMBOQUE"),$AN353*2,0))</f>
        <v>28.28</v>
      </c>
      <c r="BJ353" s="153" t="n">
        <f aca="false">IF(AND($M353&lt;&gt;"",$N353="VCA",$Q353="LINEAR"),($M353*6.8)/100,IF(AND($M353&lt;&gt;"",$N353="MND",$Q353="EMBOQUE"),($AN353*2*6.8)/100,0))</f>
        <v>1.92304</v>
      </c>
      <c r="BK353" s="153" t="n">
        <f aca="false">IF(AND($M353&lt;&gt;"",$N353="VCA",$Q353="LINEAR"),($M353*2.5)/50,IF(AND($M353&lt;&gt;"",$N353="MND",$Q353="EMBOQUE"),($AN353*2*2.5)/50,0))</f>
        <v>1.414</v>
      </c>
      <c r="BL353" s="157" t="str">
        <f aca="false">K353&amp;J353</f>
        <v>Zona03REDES</v>
      </c>
      <c r="BM353" s="152" t="s">
        <v>2526</v>
      </c>
      <c r="BN353" s="152" t="s">
        <v>1560</v>
      </c>
      <c r="BO353" s="152" t="s">
        <v>2800</v>
      </c>
      <c r="BP353" s="152" t="s">
        <v>2823</v>
      </c>
      <c r="BQ353" s="152" t="s">
        <v>2734</v>
      </c>
      <c r="BR353" s="152" t="s">
        <v>2859</v>
      </c>
      <c r="BS353" s="152" t="n">
        <v>203131.95</v>
      </c>
      <c r="BT353" s="152" t="n">
        <v>8237845.401</v>
      </c>
      <c r="BU353" s="152" t="n">
        <v>203134.206</v>
      </c>
      <c r="BV353" s="152" t="n">
        <v>8237817.216</v>
      </c>
      <c r="BW353" s="152" t="n">
        <v>-15.9210028</v>
      </c>
      <c r="BX353" s="152" t="n">
        <v>-47.7726608</v>
      </c>
      <c r="BY353" s="152" t="s">
        <v>2823</v>
      </c>
    </row>
    <row r="354" customFormat="false" ht="13.8" hidden="false" customHeight="false" outlineLevel="0" collapsed="false">
      <c r="A354" s="149" t="n">
        <f aca="false">IF(C354&lt;&gt;"",ROW(A349),"")</f>
        <v>349</v>
      </c>
      <c r="B354" s="150" t="str">
        <f aca="false">HYPERLINK("https://www.google.com/maps/dir/-15.917302,-47.760003/-15.9211304,-47.7726539/data=!4m3!4m2!3e0!5i2")</f>
        <v>https://www.google.com/maps/dir/-15.917302,-47.760003/-15.9211304,-47.7726539/data=!4m3!4m2!3e0!5i2</v>
      </c>
      <c r="C354" s="151" t="s">
        <v>117</v>
      </c>
      <c r="D354" s="152" t="s">
        <v>112</v>
      </c>
      <c r="E354" s="152" t="s">
        <v>113</v>
      </c>
      <c r="F354" s="152" t="s">
        <v>117</v>
      </c>
      <c r="G354" s="152" t="s">
        <v>782</v>
      </c>
      <c r="H354" s="152" t="n">
        <v>63</v>
      </c>
      <c r="I354" s="152" t="s">
        <v>115</v>
      </c>
      <c r="J354" s="152" t="s">
        <v>6</v>
      </c>
      <c r="K354" s="152" t="s">
        <v>2522</v>
      </c>
      <c r="L354" s="152" t="s">
        <v>120</v>
      </c>
      <c r="M354" s="153" t="n">
        <f aca="false">19.93</f>
        <v>19.93</v>
      </c>
      <c r="N354" s="152" t="s">
        <v>1548</v>
      </c>
      <c r="O354" s="152" t="s">
        <v>1549</v>
      </c>
      <c r="P354" s="152" t="s">
        <v>1550</v>
      </c>
      <c r="Q354" s="152" t="s">
        <v>1551</v>
      </c>
      <c r="R354" s="154" t="s">
        <v>2860</v>
      </c>
      <c r="S354" s="154" t="s">
        <v>1553</v>
      </c>
      <c r="T354" s="155" t="s">
        <v>2797</v>
      </c>
      <c r="U354" s="152" t="str">
        <f aca="false">RIGHT(T354,7)</f>
        <v>009/037</v>
      </c>
      <c r="V354" s="152" t="s">
        <v>1555</v>
      </c>
      <c r="W354" s="156" t="n">
        <v>45882</v>
      </c>
      <c r="X354" s="152" t="s">
        <v>1594</v>
      </c>
      <c r="Y354" s="152" t="s">
        <v>2630</v>
      </c>
      <c r="Z354" s="152" t="s">
        <v>1557</v>
      </c>
      <c r="AA354" s="153" t="n">
        <v>4.1</v>
      </c>
      <c r="AB354" s="151" t="s">
        <v>2861</v>
      </c>
      <c r="AC354" s="151" t="s">
        <v>186</v>
      </c>
      <c r="AD354" s="151" t="str">
        <f aca="false">CONCATENATE($C354,$I354,$H354,$N354,$J354,$K354)</f>
        <v>TUBO PEADPEAD63VCAREDESZona03</v>
      </c>
      <c r="AE354" s="153" t="n">
        <f aca="false">IFERROR(INDEX(APOIO_REDES!$A:$W,MATCH($C354&amp;$I354&amp;$H354&amp;$N354&amp;$O354,APOIO_REDES!$W:$W,0),MATCH(AE$5,APOIO_REDES!$5:$5,0)),0)</f>
        <v>1.2</v>
      </c>
      <c r="AF354" s="153" t="n">
        <f aca="false">IFERROR(INDEX(APOIO_REDES!$A:$W,MATCH($C354&amp;$I354&amp;$H354&amp;$N354&amp;$O354,APOIO_REDES!$W:$W,0),MATCH(AF$5,APOIO_REDES!$5:$5,0)),0)</f>
        <v>1.363</v>
      </c>
      <c r="AG354" s="153" t="n">
        <f aca="false">IFERROR(INDEX(APOIO_REDES!$A:$W,MATCH($C354&amp;$I354&amp;$H354&amp;$N354&amp;$O354,APOIO_REDES!$W:$W,0),MATCH(AG$5,APOIO_REDES!$5:$5,0)),0)</f>
        <v>0.65</v>
      </c>
      <c r="AH354" s="153" t="n">
        <f aca="false">IFERROR(INDEX(APOIO_REDES!$A:$W,MATCH($C354&amp;$I354&amp;$H354&amp;$N354&amp;$O354,APOIO_REDES!$W:$W,0),MATCH(AH$5,APOIO_REDES!$5:$5,0)),0)</f>
        <v>0.1</v>
      </c>
      <c r="AI354" s="153" t="n">
        <f aca="false">IFERROR(IF($H354&lt;&gt;"",(((($H354/1000)/2)^2)*PI()*$M354),0),0)</f>
        <v>0.0621266990387527</v>
      </c>
      <c r="AJ354" s="153" t="n">
        <f aca="false">IFERROR(IF(AND($H354&lt;&gt;"",$I354="FoFo",OR($N354="MND",$N354="VCA"),$Q354="LINEAR"),0,IF(AND($H354&lt;&gt;"",$I354="PEAD",$N354="VCA",$Q354="LINEAR"),($H354/1000)+0.3,IF(AND($H354&lt;&gt;"",$I354="PEAD",$N354="MND",$Q354="EMBOQUE"),0,IF(AND($H354&lt;&gt;"",$I354="PVC",$N354="VCA",$Q354="LINEAR"),($H354/1000)+0.2,IF(AND($H354&lt;&gt;"",$I354="PVC",$N354="MND",$Q354="EMBOQUE"),0,IF(AND($H354&lt;&gt;"",$I354="PEAD",$N354="VCA",$Q354="PREDIAL"),0,0)))))),0)</f>
        <v>0.363</v>
      </c>
      <c r="AK354" s="153" t="n">
        <f aca="false">IF(AA354&lt;&gt;"",AA354,0)</f>
        <v>4.1</v>
      </c>
      <c r="AL354" s="153" t="n">
        <f aca="false">IF(AND($N354="MND",$Q354="EMBOQUE"),$M354,IF(AND($N354="VCA",$Q354="LINEAR"),$M354,IF(AND($N354="VCA",$Q354="PREDIAL"),0,0)))</f>
        <v>19.93</v>
      </c>
      <c r="AM354" s="153" t="n">
        <f aca="false">IF(AND($N354="MND",$Q354="EMBOQUE"),$M354,IF(AND($N354="VCA",$Q354="LINEAR"),$M354,IF(AND($N354="VCA",$Q354="PREDIAL"),0,0)))</f>
        <v>19.93</v>
      </c>
      <c r="AN354" s="153" t="n">
        <f aca="false">ROUND(IF(AND($N354="VCA",$M354&lt;&gt;"",$Q354="LINEAR"),$M354/100,IF(AND($N354="MND",$M354&gt;100,$Q354="EMBOQUE"),$M354/100,0)),0)</f>
        <v>0</v>
      </c>
      <c r="AO354" s="153" t="n">
        <f aca="false">IF(AND($N354="MND",$Q354="EMBOQUE"),$AN354*2*2,IF(AND($N354="VCA",$Q354="LINEAR"),$M354*2,IF(AND($N354="VCA",$Q354="PREDIAL"),0,0)))</f>
        <v>39.86</v>
      </c>
      <c r="AP354" s="153" t="n">
        <f aca="false">IFERROR($M354*$AF354*$AG354,0)</f>
        <v>17.6569835</v>
      </c>
      <c r="AQ354" s="153" t="n">
        <f aca="false">IFERROR(IF(AND($N354="VCA",$AH354&gt;0),$M354*$AG354*$AH354,0),0)</f>
        <v>1.29545</v>
      </c>
      <c r="AR354" s="153" t="n">
        <f aca="false">IFERROR(IF(AND($N354="VCA",$AJ354&gt;0),($M354*$AG354*$AJ354)-$AI354,0),0)</f>
        <v>4.64035680096125</v>
      </c>
      <c r="AS354" s="153" t="n">
        <f aca="false">IFERROR(IF(AND($N354="VCA",$AP354&gt;0),$AP354-$AI354-$AQ354-$AR354,0),0)</f>
        <v>11.65905</v>
      </c>
      <c r="AT354" s="153" t="n">
        <f aca="false">IFERROR(IF($N354="VCA",INDEX(APOIO_REDES!$A:$W,MATCH($C354&amp;$I354&amp;$H354&amp;$N354&amp;$O354,APOIO_REDES!$W:$W,0),MATCH(AT$5,APOIO_REDES!$5:$5,0)),0)*$AP354,0)</f>
        <v>0.192113206680345</v>
      </c>
      <c r="AU354" s="153" t="n">
        <f aca="false">IFERROR(IF($N354="VCA",INDEX(APOIO_REDES!$A:$W,MATCH($C354&amp;$I354&amp;$H354&amp;$N354&amp;$O354,APOIO_REDES!$W:$W,0),MATCH(AU$5,APOIO_REDES!$5:$5,0)),0)*$AP354,0)</f>
        <v>0.153416403769429</v>
      </c>
      <c r="AV354" s="153" t="n">
        <f aca="false">IFERROR(IF($N354="VCA",INDEX(APOIO_REDES!$A:$W,MATCH($C354&amp;$I354&amp;$H354&amp;$N354&amp;$O354,APOIO_REDES!$W:$W,0),MATCH(AV$5,APOIO_REDES!$5:$5,0)),0)*$AP354,0)</f>
        <v>0.0212316259156985</v>
      </c>
      <c r="AW354" s="153" t="n">
        <f aca="false">IFERROR(IF($N354="VCA",INDEX(APOIO_REDES!$A:$W,MATCH($C354&amp;$I354&amp;$H354&amp;$N354&amp;$O354,APOIO_REDES!$W:$W,0),MATCH(AW$5,APOIO_REDES!$5:$5,0)),0)*$AP354,0)</f>
        <v>12.1198902873843</v>
      </c>
      <c r="AX354" s="153" t="n">
        <f aca="false">IFERROR(IF($N354="VCA",INDEX(APOIO_REDES!$A:$W,MATCH($C354&amp;$I354&amp;$H354&amp;$N354&amp;$O354,APOIO_REDES!$W:$W,0),MATCH(AX$5,APOIO_REDES!$5:$5,0)),0)*$AP354,0)</f>
        <v>1.677358291613</v>
      </c>
      <c r="AY354" s="153" t="n">
        <f aca="false">IFERROR(IF($N354="VCA",INDEX(APOIO_REDES!$A:$W,MATCH($C354&amp;$I354&amp;$H354&amp;$N354&amp;$O354,APOIO_REDES!$W:$W,0),MATCH(AY$5,APOIO_REDES!$5:$5,0)),0)*$AP354,0)</f>
        <v>3.06832620525505</v>
      </c>
      <c r="AZ354" s="153" t="n">
        <f aca="false">IFERROR(IF($N354="VCA",INDEX(APOIO_REDES!$A:$W,MATCH($C354&amp;$I354&amp;$H354&amp;$N354&amp;$O354,APOIO_REDES!$W:$W,0),MATCH(AZ$5,APOIO_REDES!$5:$5,0)),0)*$AP354,0)</f>
        <v>0.424647479382174</v>
      </c>
      <c r="BA354" s="153" t="n">
        <f aca="false">IFERROR(IF(AND($N354="VCA",$Q354="LINEAR"),INDEX(APOIO_REDES!$A:$W,MATCH($C354&amp;$I354&amp;$H354&amp;$N354&amp;$O354,APOIO_REDES!$W:$W,0),MATCH(BA$5,APOIO_REDES!$5:$5,0)),IF(AND($N354="MND",$Q354="EMBOQUE"),INDEX(APOIO_REDES!$A:$W,MATCH($C354&amp;$I354&amp;$H354&amp;$N354&amp;$O354,APOIO_REDES!$W:$W,0),MATCH(BA$5,APOIO_REDES!$5:$5,0)),0))*$M354/10,0)</f>
        <v>1.60630772816502</v>
      </c>
      <c r="BB354" s="153" t="n">
        <f aca="false">IFERROR(IF($N354="VCA",INDEX(APOIO_REDES!$A:$W,MATCH($C354&amp;$I354&amp;$H354&amp;$N354&amp;$O354,APOIO_REDES!$W:$W,0),MATCH(BB$5,APOIO_REDES!$5:$5,0)),0)*($AI354+$AQ354+$AR354),0)</f>
        <v>5.9326742082223</v>
      </c>
      <c r="BC354" s="153" t="n">
        <f aca="false">IFERROR(IF($N354="VCA",INDEX(APOIO_REDES!$A:$W,MATCH($C354&amp;$I354&amp;$H354&amp;$N354&amp;$O354,APOIO_REDES!$W:$W,0),MATCH(BC$5,APOIO_REDES!$5:$5,0)),0)*($AI354+$AQ354+$AR354),0)</f>
        <v>0.0652592917776961</v>
      </c>
      <c r="BD354" s="153" t="n">
        <f aca="false">IF(AND($N354="VCA",$AF354&gt;=1.25,$AF354&lt;1.5),$M354*$AF354*2,0)</f>
        <v>54.32918</v>
      </c>
      <c r="BE354" s="153" t="n">
        <f aca="false">IF(AND($N354="VCA",$AF354&gt;=1.5,$AF354&lt;3),$M354*$AF354*2,0)</f>
        <v>0</v>
      </c>
      <c r="BF354" s="153" t="n">
        <f aca="false">IF(AND($N354="VCA",$AF354&gt;=3),$M354*$AF354*2,0)</f>
        <v>0</v>
      </c>
      <c r="BG354" s="153" t="n">
        <f aca="false">($BB354+$BC354)*$AK354</f>
        <v>24.59152735</v>
      </c>
      <c r="BH354" s="153" t="n">
        <f aca="false">IF(AND($M354&lt;&gt;"",$N354="VCA",$Q354="LINEAR"),($M354*2)/100,IF(AND($M354&lt;&gt;"",$N354="MND",$Q354="EMBOQUE"),($AN354*2)/100,0))</f>
        <v>0.3986</v>
      </c>
      <c r="BI354" s="153" t="n">
        <f aca="false">IF(AND($M354&lt;&gt;"",$N354="VCA",$Q354="LINEAR"),$M354,IF(AND($M354&lt;&gt;"",$N354="MND",$Q354="EMBOQUE"),$AN354*2,0))</f>
        <v>19.93</v>
      </c>
      <c r="BJ354" s="153" t="n">
        <f aca="false">IF(AND($M354&lt;&gt;"",$N354="VCA",$Q354="LINEAR"),($M354*6.8)/100,IF(AND($M354&lt;&gt;"",$N354="MND",$Q354="EMBOQUE"),($AN354*2*6.8)/100,0))</f>
        <v>1.35524</v>
      </c>
      <c r="BK354" s="153" t="n">
        <f aca="false">IF(AND($M354&lt;&gt;"",$N354="VCA",$Q354="LINEAR"),($M354*2.5)/50,IF(AND($M354&lt;&gt;"",$N354="MND",$Q354="EMBOQUE"),($AN354*2*2.5)/50,0))</f>
        <v>0.9965</v>
      </c>
      <c r="BL354" s="157" t="str">
        <f aca="false">K354&amp;J354</f>
        <v>Zona03REDES</v>
      </c>
      <c r="BM354" s="152" t="s">
        <v>2526</v>
      </c>
      <c r="BN354" s="152" t="s">
        <v>1560</v>
      </c>
      <c r="BO354" s="152" t="s">
        <v>2800</v>
      </c>
      <c r="BP354" s="152" t="s">
        <v>2734</v>
      </c>
      <c r="BQ354" s="152" t="s">
        <v>2862</v>
      </c>
      <c r="BR354" s="152" t="s">
        <v>2863</v>
      </c>
      <c r="BS354" s="152" t="n">
        <v>203134.206</v>
      </c>
      <c r="BT354" s="152" t="n">
        <v>8237817.216</v>
      </c>
      <c r="BU354" s="152" t="n">
        <v>203135.348</v>
      </c>
      <c r="BV354" s="152" t="n">
        <v>8237797.318</v>
      </c>
      <c r="BW354" s="152" t="n">
        <v>-15.9212202</v>
      </c>
      <c r="BX354" s="152" t="n">
        <v>-47.772649</v>
      </c>
      <c r="BY354" s="152" t="s">
        <v>2734</v>
      </c>
    </row>
    <row r="355" customFormat="false" ht="13.8" hidden="false" customHeight="false" outlineLevel="0" collapsed="false">
      <c r="A355" s="149" t="n">
        <f aca="false">IF(C355&lt;&gt;"",ROW(A350),"")</f>
        <v>350</v>
      </c>
      <c r="B355" s="150" t="str">
        <f aca="false">HYPERLINK("https://www.google.com/maps/dir/-15.917302,-47.760003/-15.9213586,-47.7693364/data=!4m3!4m2!3e0!5i2")</f>
        <v>https://www.google.com/maps/dir/-15.917302,-47.760003/-15.9213586,-47.7693364/data=!4m3!4m2!3e0!5i2</v>
      </c>
      <c r="C355" s="151" t="s">
        <v>117</v>
      </c>
      <c r="D355" s="152" t="s">
        <v>112</v>
      </c>
      <c r="E355" s="152" t="s">
        <v>113</v>
      </c>
      <c r="F355" s="152" t="s">
        <v>117</v>
      </c>
      <c r="G355" s="152" t="s">
        <v>782</v>
      </c>
      <c r="H355" s="152" t="n">
        <v>63</v>
      </c>
      <c r="I355" s="152" t="s">
        <v>115</v>
      </c>
      <c r="J355" s="152" t="s">
        <v>6</v>
      </c>
      <c r="K355" s="152" t="s">
        <v>2522</v>
      </c>
      <c r="L355" s="152" t="s">
        <v>120</v>
      </c>
      <c r="M355" s="153" t="n">
        <f aca="false">7.56+4.04</f>
        <v>11.6</v>
      </c>
      <c r="N355" s="152" t="s">
        <v>1548</v>
      </c>
      <c r="O355" s="152" t="s">
        <v>1549</v>
      </c>
      <c r="P355" s="152" t="s">
        <v>1550</v>
      </c>
      <c r="Q355" s="152" t="s">
        <v>1551</v>
      </c>
      <c r="R355" s="154" t="s">
        <v>2864</v>
      </c>
      <c r="S355" s="154" t="s">
        <v>1553</v>
      </c>
      <c r="T355" s="155" t="s">
        <v>2797</v>
      </c>
      <c r="U355" s="152" t="str">
        <f aca="false">RIGHT(T355,7)</f>
        <v>009/037</v>
      </c>
      <c r="V355" s="152" t="s">
        <v>1555</v>
      </c>
      <c r="W355" s="156" t="n">
        <v>45882</v>
      </c>
      <c r="X355" s="152" t="s">
        <v>1594</v>
      </c>
      <c r="Y355" s="152"/>
      <c r="Z355" s="152" t="s">
        <v>1557</v>
      </c>
      <c r="AA355" s="153" t="n">
        <v>3.7</v>
      </c>
      <c r="AB355" s="151" t="s">
        <v>2865</v>
      </c>
      <c r="AC355" s="151" t="s">
        <v>186</v>
      </c>
      <c r="AD355" s="151" t="str">
        <f aca="false">CONCATENATE($C355,$I355,$H355,$N355,$J355,$K355)</f>
        <v>TUBO PEADPEAD63VCAREDESZona03</v>
      </c>
      <c r="AE355" s="153" t="n">
        <f aca="false">IFERROR(INDEX(APOIO_REDES!$A:$W,MATCH($C355&amp;$I355&amp;$H355&amp;$N355&amp;$O355,APOIO_REDES!$W:$W,0),MATCH(AE$5,APOIO_REDES!$5:$5,0)),0)</f>
        <v>1.2</v>
      </c>
      <c r="AF355" s="153" t="n">
        <f aca="false">IFERROR(INDEX(APOIO_REDES!$A:$W,MATCH($C355&amp;$I355&amp;$H355&amp;$N355&amp;$O355,APOIO_REDES!$W:$W,0),MATCH(AF$5,APOIO_REDES!$5:$5,0)),0)</f>
        <v>1.363</v>
      </c>
      <c r="AG355" s="153" t="n">
        <f aca="false">IFERROR(INDEX(APOIO_REDES!$A:$W,MATCH($C355&amp;$I355&amp;$H355&amp;$N355&amp;$O355,APOIO_REDES!$W:$W,0),MATCH(AG$5,APOIO_REDES!$5:$5,0)),0)</f>
        <v>0.65</v>
      </c>
      <c r="AH355" s="153" t="n">
        <f aca="false">IFERROR(INDEX(APOIO_REDES!$A:$W,MATCH($C355&amp;$I355&amp;$H355&amp;$N355&amp;$O355,APOIO_REDES!$W:$W,0),MATCH(AH$5,APOIO_REDES!$5:$5,0)),0)</f>
        <v>0.1</v>
      </c>
      <c r="AI355" s="153" t="n">
        <f aca="false">IFERROR(IF($H355&lt;&gt;"",(((($H355/1000)/2)^2)*PI()*$M355),0),0)</f>
        <v>0.0361600456020839</v>
      </c>
      <c r="AJ355" s="153" t="n">
        <f aca="false">IFERROR(IF(AND($H355&lt;&gt;"",$I355="FoFo",OR($N355="MND",$N355="VCA"),$Q355="LINEAR"),0,IF(AND($H355&lt;&gt;"",$I355="PEAD",$N355="VCA",$Q355="LINEAR"),($H355/1000)+0.3,IF(AND($H355&lt;&gt;"",$I355="PEAD",$N355="MND",$Q355="EMBOQUE"),0,IF(AND($H355&lt;&gt;"",$I355="PVC",$N355="VCA",$Q355="LINEAR"),($H355/1000)+0.2,IF(AND($H355&lt;&gt;"",$I355="PVC",$N355="MND",$Q355="EMBOQUE"),0,IF(AND($H355&lt;&gt;"",$I355="PEAD",$N355="VCA",$Q355="PREDIAL"),0,0)))))),0)</f>
        <v>0.363</v>
      </c>
      <c r="AK355" s="153" t="n">
        <f aca="false">IF(AA355&lt;&gt;"",AA355,0)</f>
        <v>3.7</v>
      </c>
      <c r="AL355" s="153" t="n">
        <f aca="false">IF(AND($N355="MND",$Q355="EMBOQUE"),$M355,IF(AND($N355="VCA",$Q355="LINEAR"),$M355,IF(AND($N355="VCA",$Q355="PREDIAL"),0,0)))</f>
        <v>11.6</v>
      </c>
      <c r="AM355" s="153" t="n">
        <f aca="false">IF(AND($N355="MND",$Q355="EMBOQUE"),$M355,IF(AND($N355="VCA",$Q355="LINEAR"),$M355,IF(AND($N355="VCA",$Q355="PREDIAL"),0,0)))</f>
        <v>11.6</v>
      </c>
      <c r="AN355" s="153" t="n">
        <f aca="false">ROUND(IF(AND($N355="VCA",$M355&lt;&gt;"",$Q355="LINEAR"),$M355/100,IF(AND($N355="MND",$M355&gt;100,$Q355="EMBOQUE"),$M355/100,0)),0)</f>
        <v>0</v>
      </c>
      <c r="AO355" s="153" t="n">
        <f aca="false">IF(AND($N355="MND",$Q355="EMBOQUE"),$AN355*2*2,IF(AND($N355="VCA",$Q355="LINEAR"),$M355*2,IF(AND($N355="VCA",$Q355="PREDIAL"),0,0)))</f>
        <v>23.2</v>
      </c>
      <c r="AP355" s="153" t="n">
        <f aca="false">IFERROR($M355*$AF355*$AG355,0)</f>
        <v>10.27702</v>
      </c>
      <c r="AQ355" s="153" t="n">
        <f aca="false">IFERROR(IF(AND($N355="VCA",$AH355&gt;0),$M355*$AG355*$AH355,0),0)</f>
        <v>0.754</v>
      </c>
      <c r="AR355" s="153" t="n">
        <f aca="false">IFERROR(IF(AND($N355="VCA",$AJ355&gt;0),($M355*$AG355*$AJ355)-$AI355,0),0)</f>
        <v>2.70085995439792</v>
      </c>
      <c r="AS355" s="153" t="n">
        <f aca="false">IFERROR(IF(AND($N355="VCA",$AP355&gt;0),$AP355-$AI355-$AQ355-$AR355,0),0)</f>
        <v>6.786</v>
      </c>
      <c r="AT355" s="153" t="n">
        <f aca="false">IFERROR(IF($N355="VCA",INDEX(APOIO_REDES!$A:$W,MATCH($C355&amp;$I355&amp;$H355&amp;$N355&amp;$O355,APOIO_REDES!$W:$W,0),MATCH(AT$5,APOIO_REDES!$5:$5,0)),0)*$AP355,0)</f>
        <v>0.111817019442649</v>
      </c>
      <c r="AU355" s="153" t="n">
        <f aca="false">IFERROR(IF($N355="VCA",INDEX(APOIO_REDES!$A:$W,MATCH($C355&amp;$I355&amp;$H355&amp;$N355&amp;$O355,APOIO_REDES!$W:$W,0),MATCH(AU$5,APOIO_REDES!$5:$5,0)),0)*$AP355,0)</f>
        <v>0.0892940433379516</v>
      </c>
      <c r="AV355" s="153" t="n">
        <f aca="false">IFERROR(IF($N355="VCA",INDEX(APOIO_REDES!$A:$W,MATCH($C355&amp;$I355&amp;$H355&amp;$N355&amp;$O355,APOIO_REDES!$W:$W,0),MATCH(AV$5,APOIO_REDES!$5:$5,0)),0)*$AP355,0)</f>
        <v>0.012357594612248</v>
      </c>
      <c r="AW355" s="153" t="n">
        <f aca="false">IFERROR(IF($N355="VCA",INDEX(APOIO_REDES!$A:$W,MATCH($C355&amp;$I355&amp;$H355&amp;$N355&amp;$O355,APOIO_REDES!$W:$W,0),MATCH(AW$5,APOIO_REDES!$5:$5,0)),0)*$AP355,0)</f>
        <v>7.05422615823673</v>
      </c>
      <c r="AX355" s="153" t="n">
        <f aca="false">IFERROR(IF($N355="VCA",INDEX(APOIO_REDES!$A:$W,MATCH($C355&amp;$I355&amp;$H355&amp;$N355&amp;$O355,APOIO_REDES!$W:$W,0),MATCH(AX$5,APOIO_REDES!$5:$5,0)),0)*$AP355,0)</f>
        <v>0.976284805956387</v>
      </c>
      <c r="AY355" s="153" t="n">
        <f aca="false">IFERROR(IF($N355="VCA",INDEX(APOIO_REDES!$A:$W,MATCH($C355&amp;$I355&amp;$H355&amp;$N355&amp;$O355,APOIO_REDES!$W:$W,0),MATCH(AY$5,APOIO_REDES!$5:$5,0)),0)*$AP355,0)</f>
        <v>1.78587977827188</v>
      </c>
      <c r="AZ355" s="153" t="n">
        <f aca="false">IFERROR(IF($N355="VCA",INDEX(APOIO_REDES!$A:$W,MATCH($C355&amp;$I355&amp;$H355&amp;$N355&amp;$O355,APOIO_REDES!$W:$W,0),MATCH(AZ$5,APOIO_REDES!$5:$5,0)),0)*$AP355,0)</f>
        <v>0.247160600142159</v>
      </c>
      <c r="BA355" s="153" t="n">
        <f aca="false">IFERROR(IF(AND($N355="VCA",$Q355="LINEAR"),INDEX(APOIO_REDES!$A:$W,MATCH($C355&amp;$I355&amp;$H355&amp;$N355&amp;$O355,APOIO_REDES!$W:$W,0),MATCH(BA$5,APOIO_REDES!$5:$5,0)),IF(AND($N355="MND",$Q355="EMBOQUE"),INDEX(APOIO_REDES!$A:$W,MATCH($C355&amp;$I355&amp;$H355&amp;$N355&amp;$O355,APOIO_REDES!$W:$W,0),MATCH(BA$5,APOIO_REDES!$5:$5,0)),0))*$M355/10,0)</f>
        <v>0.934930739925451</v>
      </c>
      <c r="BB355" s="153" t="n">
        <f aca="false">IFERROR(IF($N355="VCA",INDEX(APOIO_REDES!$A:$W,MATCH($C355&amp;$I355&amp;$H355&amp;$N355&amp;$O355,APOIO_REDES!$W:$W,0),MATCH(BB$5,APOIO_REDES!$5:$5,0)),0)*($AI355+$AQ355+$AR355),0)</f>
        <v>3.45303666911082</v>
      </c>
      <c r="BC355" s="153" t="n">
        <f aca="false">IFERROR(IF($N355="VCA",INDEX(APOIO_REDES!$A:$W,MATCH($C355&amp;$I355&amp;$H355&amp;$N355&amp;$O355,APOIO_REDES!$W:$W,0),MATCH(BC$5,APOIO_REDES!$5:$5,0)),0)*($AI355+$AQ355+$AR355),0)</f>
        <v>0.0379833308891759</v>
      </c>
      <c r="BD355" s="153" t="n">
        <f aca="false">IF(AND($N355="VCA",$AF355&gt;=1.25,$AF355&lt;1.5),$M355*$AF355*2,0)</f>
        <v>31.6216</v>
      </c>
      <c r="BE355" s="153" t="n">
        <f aca="false">IF(AND($N355="VCA",$AF355&gt;=1.5,$AF355&lt;3),$M355*$AF355*2,0)</f>
        <v>0</v>
      </c>
      <c r="BF355" s="153" t="n">
        <f aca="false">IF(AND($N355="VCA",$AF355&gt;=3),$M355*$AF355*2,0)</f>
        <v>0</v>
      </c>
      <c r="BG355" s="153" t="n">
        <f aca="false">($BB355+$BC355)*$AK355</f>
        <v>12.916774</v>
      </c>
      <c r="BH355" s="153" t="n">
        <f aca="false">IF(AND($M355&lt;&gt;"",$N355="VCA",$Q355="LINEAR"),($M355*2)/100,IF(AND($M355&lt;&gt;"",$N355="MND",$Q355="EMBOQUE"),($AN355*2)/100,0))</f>
        <v>0.232</v>
      </c>
      <c r="BI355" s="153" t="n">
        <f aca="false">IF(AND($M355&lt;&gt;"",$N355="VCA",$Q355="LINEAR"),$M355,IF(AND($M355&lt;&gt;"",$N355="MND",$Q355="EMBOQUE"),$AN355*2,0))</f>
        <v>11.6</v>
      </c>
      <c r="BJ355" s="153" t="n">
        <f aca="false">IF(AND($M355&lt;&gt;"",$N355="VCA",$Q355="LINEAR"),($M355*6.8)/100,IF(AND($M355&lt;&gt;"",$N355="MND",$Q355="EMBOQUE"),($AN355*2*6.8)/100,0))</f>
        <v>0.7888</v>
      </c>
      <c r="BK355" s="153" t="n">
        <f aca="false">IF(AND($M355&lt;&gt;"",$N355="VCA",$Q355="LINEAR"),($M355*2.5)/50,IF(AND($M355&lt;&gt;"",$N355="MND",$Q355="EMBOQUE"),($AN355*2*2.5)/50,0))</f>
        <v>0.58</v>
      </c>
      <c r="BL355" s="157" t="str">
        <f aca="false">K355&amp;J355</f>
        <v>Zona03REDES</v>
      </c>
      <c r="BM355" s="152" t="s">
        <v>2526</v>
      </c>
      <c r="BN355" s="152" t="s">
        <v>1560</v>
      </c>
      <c r="BO355" s="152" t="s">
        <v>2800</v>
      </c>
      <c r="BP355" s="152" t="s">
        <v>2866</v>
      </c>
      <c r="BQ355" s="152" t="s">
        <v>2867</v>
      </c>
      <c r="BR355" s="152" t="s">
        <v>2868</v>
      </c>
      <c r="BS355" s="152" t="n">
        <v>203489.978</v>
      </c>
      <c r="BT355" s="152" t="n">
        <v>8237796.657</v>
      </c>
      <c r="BU355" s="152" t="n">
        <v>203489.642</v>
      </c>
      <c r="BV355" s="152" t="n">
        <v>8237804.208</v>
      </c>
      <c r="BW355" s="152" t="n">
        <v>-15.9213245</v>
      </c>
      <c r="BX355" s="152" t="n">
        <v>-47.7693375</v>
      </c>
      <c r="BY355" s="152" t="s">
        <v>2866</v>
      </c>
    </row>
    <row r="356" customFormat="false" ht="13.8" hidden="false" customHeight="false" outlineLevel="0" collapsed="false">
      <c r="A356" s="149" t="n">
        <f aca="false">IF(C356&lt;&gt;"",ROW(A351),"")</f>
        <v>351</v>
      </c>
      <c r="B356" s="150" t="str">
        <f aca="false">HYPERLINK("https://www.google.com/maps/dir/-15.917302,-47.760003/-15.9225684,-47.7712463/data=!4m3!4m2!3e0!5i0")</f>
        <v>https://www.google.com/maps/dir/-15.917302,-47.760003/-15.9225684,-47.7712463/data=!4m3!4m2!3e0!5i0</v>
      </c>
      <c r="C356" s="151" t="s">
        <v>117</v>
      </c>
      <c r="D356" s="152" t="s">
        <v>112</v>
      </c>
      <c r="E356" s="152" t="s">
        <v>113</v>
      </c>
      <c r="F356" s="152" t="s">
        <v>117</v>
      </c>
      <c r="G356" s="152" t="s">
        <v>114</v>
      </c>
      <c r="H356" s="152" t="n">
        <v>160</v>
      </c>
      <c r="I356" s="152" t="s">
        <v>115</v>
      </c>
      <c r="J356" s="152" t="s">
        <v>6</v>
      </c>
      <c r="K356" s="152" t="s">
        <v>2522</v>
      </c>
      <c r="L356" s="152" t="s">
        <v>120</v>
      </c>
      <c r="M356" s="153" t="n">
        <f aca="false">277.99</f>
        <v>277.99</v>
      </c>
      <c r="N356" s="152" t="s">
        <v>1548</v>
      </c>
      <c r="O356" s="152" t="s">
        <v>1549</v>
      </c>
      <c r="P356" s="152" t="s">
        <v>1550</v>
      </c>
      <c r="Q356" s="152" t="s">
        <v>1551</v>
      </c>
      <c r="R356" s="154" t="s">
        <v>2869</v>
      </c>
      <c r="S356" s="154" t="s">
        <v>1593</v>
      </c>
      <c r="T356" s="155" t="s">
        <v>2797</v>
      </c>
      <c r="U356" s="152" t="str">
        <f aca="false">RIGHT(T356,7)</f>
        <v>009/037</v>
      </c>
      <c r="V356" s="152" t="s">
        <v>1555</v>
      </c>
      <c r="W356" s="156" t="n">
        <v>45882</v>
      </c>
      <c r="X356" s="152" t="s">
        <v>1594</v>
      </c>
      <c r="Y356" s="152" t="s">
        <v>2853</v>
      </c>
      <c r="Z356" s="152" t="s">
        <v>1557</v>
      </c>
      <c r="AA356" s="153" t="n">
        <v>3.3</v>
      </c>
      <c r="AB356" s="151" t="s">
        <v>2870</v>
      </c>
      <c r="AC356" s="151" t="s">
        <v>505</v>
      </c>
      <c r="AD356" s="151" t="str">
        <f aca="false">CONCATENATE($C356,$I356,$H356,$N356,$J356,$K356)</f>
        <v>TUBO PEADPEAD160VCAREDESZona03</v>
      </c>
      <c r="AE356" s="153" t="n">
        <f aca="false">IFERROR(INDEX(APOIO_REDES!$A:$W,MATCH($C356&amp;$I356&amp;$H356&amp;$N356&amp;$O356,APOIO_REDES!$W:$W,0),MATCH(AE$5,APOIO_REDES!$5:$5,0)),0)</f>
        <v>1.2</v>
      </c>
      <c r="AF356" s="153" t="n">
        <f aca="false">IFERROR(INDEX(APOIO_REDES!$A:$W,MATCH($C356&amp;$I356&amp;$H356&amp;$N356&amp;$O356,APOIO_REDES!$W:$W,0),MATCH(AF$5,APOIO_REDES!$5:$5,0)),0)</f>
        <v>1.46</v>
      </c>
      <c r="AG356" s="153" t="n">
        <f aca="false">IFERROR(INDEX(APOIO_REDES!$A:$W,MATCH($C356&amp;$I356&amp;$H356&amp;$N356&amp;$O356,APOIO_REDES!$W:$W,0),MATCH(AG$5,APOIO_REDES!$5:$5,0)),0)</f>
        <v>0.75</v>
      </c>
      <c r="AH356" s="153" t="n">
        <f aca="false">IFERROR(INDEX(APOIO_REDES!$A:$W,MATCH($C356&amp;$I356&amp;$H356&amp;$N356&amp;$O356,APOIO_REDES!$W:$W,0),MATCH(AH$5,APOIO_REDES!$5:$5,0)),0)</f>
        <v>0.1</v>
      </c>
      <c r="AI356" s="153" t="n">
        <f aca="false">IFERROR(IF($H356&lt;&gt;"",(((($H356/1000)/2)^2)*PI()*$M356),0),0)</f>
        <v>5.58932058733713</v>
      </c>
      <c r="AJ356" s="153" t="n">
        <f aca="false">IFERROR(IF(AND($H356&lt;&gt;"",$I356="FoFo",OR($N356="MND",$N356="VCA"),$Q356="LINEAR"),0,IF(AND($H356&lt;&gt;"",$I356="PEAD",$N356="VCA",$Q356="LINEAR"),($H356/1000)+0.3,IF(AND($H356&lt;&gt;"",$I356="PEAD",$N356="MND",$Q356="EMBOQUE"),0,IF(AND($H356&lt;&gt;"",$I356="PVC",$N356="VCA",$Q356="LINEAR"),($H356/1000)+0.2,IF(AND($H356&lt;&gt;"",$I356="PVC",$N356="MND",$Q356="EMBOQUE"),0,IF(AND($H356&lt;&gt;"",$I356="PEAD",$N356="VCA",$Q356="PREDIAL"),0,0)))))),0)</f>
        <v>0.46</v>
      </c>
      <c r="AK356" s="153" t="n">
        <f aca="false">IF(AA356&lt;&gt;"",AA356,0)</f>
        <v>3.3</v>
      </c>
      <c r="AL356" s="153" t="n">
        <f aca="false">IF(AND($N356="MND",$Q356="EMBOQUE"),$M356,IF(AND($N356="VCA",$Q356="LINEAR"),$M356,IF(AND($N356="VCA",$Q356="PREDIAL"),0,0)))</f>
        <v>277.99</v>
      </c>
      <c r="AM356" s="153" t="n">
        <f aca="false">IF(AND($N356="MND",$Q356="EMBOQUE"),$M356,IF(AND($N356="VCA",$Q356="LINEAR"),$M356,IF(AND($N356="VCA",$Q356="PREDIAL"),0,0)))</f>
        <v>277.99</v>
      </c>
      <c r="AN356" s="153" t="n">
        <f aca="false">ROUND(IF(AND($N356="VCA",$M356&lt;&gt;"",$Q356="LINEAR"),$M356/100,IF(AND($N356="MND",$M356&gt;100,$Q356="EMBOQUE"),$M356/100,0)),0)</f>
        <v>3</v>
      </c>
      <c r="AO356" s="153" t="n">
        <f aca="false">IF(AND($N356="MND",$Q356="EMBOQUE"),$AN356*2*2,IF(AND($N356="VCA",$Q356="LINEAR"),$M356*2,IF(AND($N356="VCA",$Q356="PREDIAL"),0,0)))</f>
        <v>555.98</v>
      </c>
      <c r="AP356" s="153" t="n">
        <f aca="false">IFERROR($M356*$AF356*$AG356,0)</f>
        <v>304.39905</v>
      </c>
      <c r="AQ356" s="153" t="n">
        <f aca="false">IFERROR(IF(AND($N356="VCA",$AH356&gt;0),$M356*$AG356*$AH356,0),0)</f>
        <v>20.84925</v>
      </c>
      <c r="AR356" s="153" t="n">
        <f aca="false">IFERROR(IF(AND($N356="VCA",$AJ356&gt;0),($M356*$AG356*$AJ356)-$AI356,0),0)</f>
        <v>90.3172294126629</v>
      </c>
      <c r="AS356" s="153" t="n">
        <f aca="false">IFERROR(IF(AND($N356="VCA",$AP356&gt;0),$AP356-$AI356-$AQ356-$AR356,0),0)</f>
        <v>187.64325</v>
      </c>
      <c r="AT356" s="153" t="n">
        <f aca="false">IFERROR(IF($N356="VCA",INDEX(APOIO_REDES!$A:$W,MATCH($C356&amp;$I356&amp;$H356&amp;$N356&amp;$O356,APOIO_REDES!$W:$W,0),MATCH(AT$5,APOIO_REDES!$5:$5,0)),0)*$AP356,0)</f>
        <v>3.31195176151978</v>
      </c>
      <c r="AU356" s="153" t="n">
        <f aca="false">IFERROR(IF($N356="VCA",INDEX(APOIO_REDES!$A:$W,MATCH($C356&amp;$I356&amp;$H356&amp;$N356&amp;$O356,APOIO_REDES!$W:$W,0),MATCH(AU$5,APOIO_REDES!$5:$5,0)),0)*$AP356,0)</f>
        <v>2.64483497772032</v>
      </c>
      <c r="AV356" s="153" t="n">
        <f aca="false">IFERROR(IF($N356="VCA",INDEX(APOIO_REDES!$A:$W,MATCH($C356&amp;$I356&amp;$H356&amp;$N356&amp;$O356,APOIO_REDES!$W:$W,0),MATCH(AV$5,APOIO_REDES!$5:$5,0)),0)*$AP356,0)</f>
        <v>0.366024398147849</v>
      </c>
      <c r="AW356" s="153" t="n">
        <f aca="false">IFERROR(IF($N356="VCA",INDEX(APOIO_REDES!$A:$W,MATCH($C356&amp;$I356&amp;$H356&amp;$N356&amp;$O356,APOIO_REDES!$W:$W,0),MATCH(AW$5,APOIO_REDES!$5:$5,0)),0)*$AP356,0)</f>
        <v>208.941866518933</v>
      </c>
      <c r="AX356" s="153" t="n">
        <f aca="false">IFERROR(IF($N356="VCA",INDEX(APOIO_REDES!$A:$W,MATCH($C356&amp;$I356&amp;$H356&amp;$N356&amp;$O356,APOIO_REDES!$W:$W,0),MATCH(AX$5,APOIO_REDES!$5:$5,0)),0)*$AP356,0)</f>
        <v>28.9169591440474</v>
      </c>
      <c r="AY356" s="153" t="n">
        <f aca="false">IFERROR(IF($N356="VCA",INDEX(APOIO_REDES!$A:$W,MATCH($C356&amp;$I356&amp;$H356&amp;$N356&amp;$O356,APOIO_REDES!$W:$W,0),MATCH(AY$5,APOIO_REDES!$5:$5,0)),0)*$AP356,0)</f>
        <v>52.8966673140824</v>
      </c>
      <c r="AZ356" s="153" t="n">
        <f aca="false">IFERROR(IF($N356="VCA",INDEX(APOIO_REDES!$A:$W,MATCH($C356&amp;$I356&amp;$H356&amp;$N356&amp;$O356,APOIO_REDES!$W:$W,0),MATCH(AZ$5,APOIO_REDES!$5:$5,0)),0)*$AP356,0)</f>
        <v>7.32074588554882</v>
      </c>
      <c r="BA356" s="153" t="n">
        <f aca="false">IFERROR(IF(AND($N356="VCA",$Q356="LINEAR"),INDEX(APOIO_REDES!$A:$W,MATCH($C356&amp;$I356&amp;$H356&amp;$N356&amp;$O356,APOIO_REDES!$W:$W,0),MATCH(BA$5,APOIO_REDES!$5:$5,0)),IF(AND($N356="MND",$Q356="EMBOQUE"),INDEX(APOIO_REDES!$A:$W,MATCH($C356&amp;$I356&amp;$H356&amp;$N356&amp;$O356,APOIO_REDES!$W:$W,0),MATCH(BA$5,APOIO_REDES!$5:$5,0)),0))*$M356/10,0)</f>
        <v>22.4052927924031</v>
      </c>
      <c r="BB356" s="153" t="n">
        <f aca="false">IFERROR(IF($N356="VCA",INDEX(APOIO_REDES!$A:$W,MATCH($C356&amp;$I356&amp;$H356&amp;$N356&amp;$O356,APOIO_REDES!$W:$W,0),MATCH(BB$5,APOIO_REDES!$5:$5,0)),0)*($AI356+$AQ356+$AR356),0)</f>
        <v>115.485462338047</v>
      </c>
      <c r="BC356" s="153" t="n">
        <f aca="false">IFERROR(IF($N356="VCA",INDEX(APOIO_REDES!$A:$W,MATCH($C356&amp;$I356&amp;$H356&amp;$N356&amp;$O356,APOIO_REDES!$W:$W,0),MATCH(BC$5,APOIO_REDES!$5:$5,0)),0)*($AI356+$AQ356+$AR356),0)</f>
        <v>1.27033766195279</v>
      </c>
      <c r="BD356" s="153" t="n">
        <f aca="false">IF(AND($N356="VCA",$AF356&gt;=1.25,$AF356&lt;1.5),$M356*$AF356*2,0)</f>
        <v>811.7308</v>
      </c>
      <c r="BE356" s="153" t="n">
        <f aca="false">IF(AND($N356="VCA",$AF356&gt;=1.5,$AF356&lt;3),$M356*$AF356*2,0)</f>
        <v>0</v>
      </c>
      <c r="BF356" s="153" t="n">
        <f aca="false">IF(AND($N356="VCA",$AF356&gt;=3),$M356*$AF356*2,0)</f>
        <v>0</v>
      </c>
      <c r="BG356" s="153" t="n">
        <f aca="false">($BB356+$BC356)*$AK356</f>
        <v>385.29414</v>
      </c>
      <c r="BH356" s="153" t="n">
        <f aca="false">IF(AND($M356&lt;&gt;"",$N356="VCA",$Q356="LINEAR"),($M356*2)/100,IF(AND($M356&lt;&gt;"",$N356="MND",$Q356="EMBOQUE"),($AN356*2)/100,0))</f>
        <v>5.5598</v>
      </c>
      <c r="BI356" s="153" t="n">
        <f aca="false">IF(AND($M356&lt;&gt;"",$N356="VCA",$Q356="LINEAR"),$M356,IF(AND($M356&lt;&gt;"",$N356="MND",$Q356="EMBOQUE"),$AN356*2,0))</f>
        <v>277.99</v>
      </c>
      <c r="BJ356" s="153" t="n">
        <f aca="false">IF(AND($M356&lt;&gt;"",$N356="VCA",$Q356="LINEAR"),($M356*6.8)/100,IF(AND($M356&lt;&gt;"",$N356="MND",$Q356="EMBOQUE"),($AN356*2*6.8)/100,0))</f>
        <v>18.90332</v>
      </c>
      <c r="BK356" s="153" t="n">
        <f aca="false">IF(AND($M356&lt;&gt;"",$N356="VCA",$Q356="LINEAR"),($M356*2.5)/50,IF(AND($M356&lt;&gt;"",$N356="MND",$Q356="EMBOQUE"),($AN356*2*2.5)/50,0))</f>
        <v>13.8995</v>
      </c>
      <c r="BL356" s="157" t="str">
        <f aca="false">K356&amp;J356</f>
        <v>Zona03REDES</v>
      </c>
      <c r="BM356" s="152" t="s">
        <v>2526</v>
      </c>
      <c r="BN356" s="152" t="s">
        <v>1560</v>
      </c>
      <c r="BO356" s="152" t="s">
        <v>2800</v>
      </c>
      <c r="BP356" s="152" t="s">
        <v>2871</v>
      </c>
      <c r="BQ356" s="152" t="s">
        <v>2820</v>
      </c>
      <c r="BR356" s="152" t="s">
        <v>2790</v>
      </c>
      <c r="BS356" s="152" t="n">
        <v>203287.131</v>
      </c>
      <c r="BT356" s="152" t="n">
        <v>8237659.991</v>
      </c>
      <c r="BU356" s="152" t="n">
        <v>203340.697</v>
      </c>
      <c r="BV356" s="152" t="n">
        <v>8237880.594</v>
      </c>
      <c r="BW356" s="152" t="n">
        <v>-15.9213262</v>
      </c>
      <c r="BX356" s="152" t="n">
        <v>-47.7712357</v>
      </c>
      <c r="BY356" s="152" t="s">
        <v>2871</v>
      </c>
    </row>
    <row r="357" customFormat="false" ht="13.8" hidden="false" customHeight="false" outlineLevel="0" collapsed="false">
      <c r="A357" s="149" t="n">
        <f aca="false">IF(C357&lt;&gt;"",ROW(A352),"")</f>
        <v>352</v>
      </c>
      <c r="B357" s="150" t="str">
        <f aca="false">HYPERLINK("https://www.google.com/maps/dir/-15.917302,-47.760003/-15.9218078,-47.7703409/data=!4m3!4m2!3e0!5i2")</f>
        <v>https://www.google.com/maps/dir/-15.917302,-47.760003/-15.9218078,-47.7703409/data=!4m3!4m2!3e0!5i2</v>
      </c>
      <c r="C357" s="151" t="s">
        <v>117</v>
      </c>
      <c r="D357" s="152" t="s">
        <v>112</v>
      </c>
      <c r="E357" s="152" t="s">
        <v>113</v>
      </c>
      <c r="F357" s="152" t="s">
        <v>117</v>
      </c>
      <c r="G357" s="152" t="s">
        <v>782</v>
      </c>
      <c r="H357" s="152" t="n">
        <v>63</v>
      </c>
      <c r="I357" s="152" t="s">
        <v>115</v>
      </c>
      <c r="J357" s="152" t="s">
        <v>6</v>
      </c>
      <c r="K357" s="152" t="s">
        <v>2522</v>
      </c>
      <c r="L357" s="152" t="s">
        <v>120</v>
      </c>
      <c r="M357" s="153" t="n">
        <f aca="false">103.67</f>
        <v>103.67</v>
      </c>
      <c r="N357" s="152" t="s">
        <v>1548</v>
      </c>
      <c r="O357" s="152" t="s">
        <v>1549</v>
      </c>
      <c r="P357" s="152" t="s">
        <v>1550</v>
      </c>
      <c r="Q357" s="152" t="s">
        <v>1551</v>
      </c>
      <c r="R357" s="154" t="s">
        <v>2872</v>
      </c>
      <c r="S357" s="154" t="s">
        <v>1553</v>
      </c>
      <c r="T357" s="155" t="s">
        <v>2797</v>
      </c>
      <c r="U357" s="152" t="str">
        <f aca="false">RIGHT(T357,7)</f>
        <v>009/037</v>
      </c>
      <c r="V357" s="152" t="s">
        <v>1555</v>
      </c>
      <c r="W357" s="156" t="n">
        <v>45882</v>
      </c>
      <c r="X357" s="152" t="s">
        <v>1594</v>
      </c>
      <c r="Y357" s="152" t="s">
        <v>2834</v>
      </c>
      <c r="Z357" s="152" t="s">
        <v>1557</v>
      </c>
      <c r="AA357" s="153" t="n">
        <v>3.6</v>
      </c>
      <c r="AB357" s="151" t="s">
        <v>2873</v>
      </c>
      <c r="AC357" s="151" t="s">
        <v>186</v>
      </c>
      <c r="AD357" s="151" t="str">
        <f aca="false">CONCATENATE($C357,$I357,$H357,$N357,$J357,$K357)</f>
        <v>TUBO PEADPEAD63VCAREDESZona03</v>
      </c>
      <c r="AE357" s="153" t="n">
        <f aca="false">IFERROR(INDEX(APOIO_REDES!$A:$W,MATCH($C357&amp;$I357&amp;$H357&amp;$N357&amp;$O357,APOIO_REDES!$W:$W,0),MATCH(AE$5,APOIO_REDES!$5:$5,0)),0)</f>
        <v>1.2</v>
      </c>
      <c r="AF357" s="153" t="n">
        <f aca="false">IFERROR(INDEX(APOIO_REDES!$A:$W,MATCH($C357&amp;$I357&amp;$H357&amp;$N357&amp;$O357,APOIO_REDES!$W:$W,0),MATCH(AF$5,APOIO_REDES!$5:$5,0)),0)</f>
        <v>1.363</v>
      </c>
      <c r="AG357" s="153" t="n">
        <f aca="false">IFERROR(INDEX(APOIO_REDES!$A:$W,MATCH($C357&amp;$I357&amp;$H357&amp;$N357&amp;$O357,APOIO_REDES!$W:$W,0),MATCH(AG$5,APOIO_REDES!$5:$5,0)),0)</f>
        <v>0.65</v>
      </c>
      <c r="AH357" s="153" t="n">
        <f aca="false">IFERROR(INDEX(APOIO_REDES!$A:$W,MATCH($C357&amp;$I357&amp;$H357&amp;$N357&amp;$O357,APOIO_REDES!$W:$W,0),MATCH(AH$5,APOIO_REDES!$5:$5,0)),0)</f>
        <v>0.1</v>
      </c>
      <c r="AI357" s="153" t="n">
        <f aca="false">IFERROR(IF($H357&lt;&gt;"",(((($H357/1000)/2)^2)*PI()*$M357),0),0)</f>
        <v>0.323164821342072</v>
      </c>
      <c r="AJ357" s="153" t="n">
        <f aca="false">IFERROR(IF(AND($H357&lt;&gt;"",$I357="FoFo",OR($N357="MND",$N357="VCA"),$Q357="LINEAR"),0,IF(AND($H357&lt;&gt;"",$I357="PEAD",$N357="VCA",$Q357="LINEAR"),($H357/1000)+0.3,IF(AND($H357&lt;&gt;"",$I357="PEAD",$N357="MND",$Q357="EMBOQUE"),0,IF(AND($H357&lt;&gt;"",$I357="PVC",$N357="VCA",$Q357="LINEAR"),($H357/1000)+0.2,IF(AND($H357&lt;&gt;"",$I357="PVC",$N357="MND",$Q357="EMBOQUE"),0,IF(AND($H357&lt;&gt;"",$I357="PEAD",$N357="VCA",$Q357="PREDIAL"),0,0)))))),0)</f>
        <v>0.363</v>
      </c>
      <c r="AK357" s="153" t="n">
        <f aca="false">IF(AA357&lt;&gt;"",AA357,0)</f>
        <v>3.6</v>
      </c>
      <c r="AL357" s="153" t="n">
        <f aca="false">IF(AND($N357="MND",$Q357="EMBOQUE"),$M357,IF(AND($N357="VCA",$Q357="LINEAR"),$M357,IF(AND($N357="VCA",$Q357="PREDIAL"),0,0)))</f>
        <v>103.67</v>
      </c>
      <c r="AM357" s="153" t="n">
        <f aca="false">IF(AND($N357="MND",$Q357="EMBOQUE"),$M357,IF(AND($N357="VCA",$Q357="LINEAR"),$M357,IF(AND($N357="VCA",$Q357="PREDIAL"),0,0)))</f>
        <v>103.67</v>
      </c>
      <c r="AN357" s="153" t="n">
        <f aca="false">ROUND(IF(AND($N357="VCA",$M357&lt;&gt;"",$Q357="LINEAR"),$M357/100,IF(AND($N357="MND",$M357&gt;100,$Q357="EMBOQUE"),$M357/100,0)),0)</f>
        <v>1</v>
      </c>
      <c r="AO357" s="153" t="n">
        <f aca="false">IF(AND($N357="MND",$Q357="EMBOQUE"),$AN357*2*2,IF(AND($N357="VCA",$Q357="LINEAR"),$M357*2,IF(AND($N357="VCA",$Q357="PREDIAL"),0,0)))</f>
        <v>207.34</v>
      </c>
      <c r="AP357" s="153" t="n">
        <f aca="false">IFERROR($M357*$AF357*$AG357,0)</f>
        <v>91.8464365</v>
      </c>
      <c r="AQ357" s="153" t="n">
        <f aca="false">IFERROR(IF(AND($N357="VCA",$AH357&gt;0),$M357*$AG357*$AH357,0),0)</f>
        <v>6.73855</v>
      </c>
      <c r="AR357" s="153" t="n">
        <f aca="false">IFERROR(IF(AND($N357="VCA",$AJ357&gt;0),($M357*$AG357*$AJ357)-$AI357,0),0)</f>
        <v>24.1377716786579</v>
      </c>
      <c r="AS357" s="153" t="n">
        <f aca="false">IFERROR(IF(AND($N357="VCA",$AP357&gt;0),$AP357-$AI357-$AQ357-$AR357,0),0)</f>
        <v>60.64695</v>
      </c>
      <c r="AT357" s="153" t="n">
        <f aca="false">IFERROR(IF($N357="VCA",INDEX(APOIO_REDES!$A:$W,MATCH($C357&amp;$I357&amp;$H357&amp;$N357&amp;$O357,APOIO_REDES!$W:$W,0),MATCH(AT$5,APOIO_REDES!$5:$5,0)),0)*$AP357,0)</f>
        <v>0.999316414277541</v>
      </c>
      <c r="AU357" s="153" t="n">
        <f aca="false">IFERROR(IF($N357="VCA",INDEX(APOIO_REDES!$A:$W,MATCH($C357&amp;$I357&amp;$H357&amp;$N357&amp;$O357,APOIO_REDES!$W:$W,0),MATCH(AU$5,APOIO_REDES!$5:$5,0)),0)*$AP357,0)</f>
        <v>0.798027023521159</v>
      </c>
      <c r="AV357" s="153" t="n">
        <f aca="false">IFERROR(IF($N357="VCA",INDEX(APOIO_REDES!$A:$W,MATCH($C357&amp;$I357&amp;$H357&amp;$N357&amp;$O357,APOIO_REDES!$W:$W,0),MATCH(AV$5,APOIO_REDES!$5:$5,0)),0)*$AP357,0)</f>
        <v>0.110440675297565</v>
      </c>
      <c r="AW357" s="153" t="n">
        <f aca="false">IFERROR(IF($N357="VCA",INDEX(APOIO_REDES!$A:$W,MATCH($C357&amp;$I357&amp;$H357&amp;$N357&amp;$O357,APOIO_REDES!$W:$W,0),MATCH(AW$5,APOIO_REDES!$5:$5,0)),0)*$AP357,0)</f>
        <v>63.0441056745174</v>
      </c>
      <c r="AX357" s="153" t="n">
        <f aca="false">IFERROR(IF($N357="VCA",INDEX(APOIO_REDES!$A:$W,MATCH($C357&amp;$I357&amp;$H357&amp;$N357&amp;$O357,APOIO_REDES!$W:$W,0),MATCH(AX$5,APOIO_REDES!$5:$5,0)),0)*$AP357,0)</f>
        <v>8.72512464081885</v>
      </c>
      <c r="AY357" s="153" t="n">
        <f aca="false">IFERROR(IF($N357="VCA",INDEX(APOIO_REDES!$A:$W,MATCH($C357&amp;$I357&amp;$H357&amp;$N357&amp;$O357,APOIO_REDES!$W:$W,0),MATCH(AY$5,APOIO_REDES!$5:$5,0)),0)*$AP357,0)</f>
        <v>15.9605307425384</v>
      </c>
      <c r="AZ357" s="153" t="n">
        <f aca="false">IFERROR(IF($N357="VCA",INDEX(APOIO_REDES!$A:$W,MATCH($C357&amp;$I357&amp;$H357&amp;$N357&amp;$O357,APOIO_REDES!$W:$W,0),MATCH(AZ$5,APOIO_REDES!$5:$5,0)),0)*$AP357,0)</f>
        <v>2.2088913290291</v>
      </c>
      <c r="BA357" s="153" t="n">
        <f aca="false">IFERROR(IF(AND($N357="VCA",$Q357="LINEAR"),INDEX(APOIO_REDES!$A:$W,MATCH($C357&amp;$I357&amp;$H357&amp;$N357&amp;$O357,APOIO_REDES!$W:$W,0),MATCH(BA$5,APOIO_REDES!$5:$5,0)),IF(AND($N357="MND",$Q357="EMBOQUE"),INDEX(APOIO_REDES!$A:$W,MATCH($C357&amp;$I357&amp;$H357&amp;$N357&amp;$O357,APOIO_REDES!$W:$W,0),MATCH(BA$5,APOIO_REDES!$5:$5,0)),0))*$M357/10,0)</f>
        <v>8.35554050069582</v>
      </c>
      <c r="BB357" s="153" t="n">
        <f aca="false">IFERROR(IF($N357="VCA",INDEX(APOIO_REDES!$A:$W,MATCH($C357&amp;$I357&amp;$H357&amp;$N357&amp;$O357,APOIO_REDES!$W:$W,0),MATCH(BB$5,APOIO_REDES!$5:$5,0)),0)*($AI357+$AQ357+$AR357),0)</f>
        <v>30.8600268523034</v>
      </c>
      <c r="BC357" s="153" t="n">
        <f aca="false">IFERROR(IF($N357="VCA",INDEX(APOIO_REDES!$A:$W,MATCH($C357&amp;$I357&amp;$H357&amp;$N357&amp;$O357,APOIO_REDES!$W:$W,0),MATCH(BC$5,APOIO_REDES!$5:$5,0)),0)*($AI357+$AQ357+$AR357),0)</f>
        <v>0.339459647696626</v>
      </c>
      <c r="BD357" s="153" t="n">
        <f aca="false">IF(AND($N357="VCA",$AF357&gt;=1.25,$AF357&lt;1.5),$M357*$AF357*2,0)</f>
        <v>282.60442</v>
      </c>
      <c r="BE357" s="153" t="n">
        <f aca="false">IF(AND($N357="VCA",$AF357&gt;=1.5,$AF357&lt;3),$M357*$AF357*2,0)</f>
        <v>0</v>
      </c>
      <c r="BF357" s="153" t="n">
        <f aca="false">IF(AND($N357="VCA",$AF357&gt;=3),$M357*$AF357*2,0)</f>
        <v>0</v>
      </c>
      <c r="BG357" s="153" t="n">
        <f aca="false">($BB357+$BC357)*$AK357</f>
        <v>112.3181514</v>
      </c>
      <c r="BH357" s="153" t="n">
        <f aca="false">IF(AND($M357&lt;&gt;"",$N357="VCA",$Q357="LINEAR"),($M357*2)/100,IF(AND($M357&lt;&gt;"",$N357="MND",$Q357="EMBOQUE"),($AN357*2)/100,0))</f>
        <v>2.0734</v>
      </c>
      <c r="BI357" s="153" t="n">
        <f aca="false">IF(AND($M357&lt;&gt;"",$N357="VCA",$Q357="LINEAR"),$M357,IF(AND($M357&lt;&gt;"",$N357="MND",$Q357="EMBOQUE"),$AN357*2,0))</f>
        <v>103.67</v>
      </c>
      <c r="BJ357" s="153" t="n">
        <f aca="false">IF(AND($M357&lt;&gt;"",$N357="VCA",$Q357="LINEAR"),($M357*6.8)/100,IF(AND($M357&lt;&gt;"",$N357="MND",$Q357="EMBOQUE"),($AN357*2*6.8)/100,0))</f>
        <v>7.04956</v>
      </c>
      <c r="BK357" s="153" t="n">
        <f aca="false">IF(AND($M357&lt;&gt;"",$N357="VCA",$Q357="LINEAR"),($M357*2.5)/50,IF(AND($M357&lt;&gt;"",$N357="MND",$Q357="EMBOQUE"),($AN357*2*2.5)/50,0))</f>
        <v>5.1835</v>
      </c>
      <c r="BL357" s="157" t="str">
        <f aca="false">K357&amp;J357</f>
        <v>Zona03REDES</v>
      </c>
      <c r="BM357" s="152" t="s">
        <v>2526</v>
      </c>
      <c r="BN357" s="152" t="s">
        <v>1560</v>
      </c>
      <c r="BO357" s="152" t="s">
        <v>2800</v>
      </c>
      <c r="BP357" s="152" t="s">
        <v>2874</v>
      </c>
      <c r="BQ357" s="152" t="s">
        <v>2840</v>
      </c>
      <c r="BR357" s="152" t="s">
        <v>2875</v>
      </c>
      <c r="BS357" s="152" t="n">
        <v>203383.024</v>
      </c>
      <c r="BT357" s="152" t="n">
        <v>8237745.494</v>
      </c>
      <c r="BU357" s="152" t="n">
        <v>203381.47</v>
      </c>
      <c r="BV357" s="152" t="n">
        <v>8237849.139</v>
      </c>
      <c r="BW357" s="152" t="n">
        <v>-15.9213398</v>
      </c>
      <c r="BX357" s="152" t="n">
        <v>-47.7703416</v>
      </c>
      <c r="BY357" s="152" t="s">
        <v>2874</v>
      </c>
    </row>
    <row r="358" customFormat="false" ht="13.8" hidden="false" customHeight="false" outlineLevel="0" collapsed="false">
      <c r="A358" s="149" t="n">
        <f aca="false">IF(C358&lt;&gt;"",ROW(A353),"")</f>
        <v>353</v>
      </c>
      <c r="B358" s="150" t="str">
        <f aca="false">HYPERLINK("https://www.google.com/maps/dir/-15.917302,-47.760003/-15.9213102,-47.7726457/data=!4m3!4m2!3e0!5i1")</f>
        <v>https://www.google.com/maps/dir/-15.917302,-47.760003/-15.9213102,-47.7726457/data=!4m3!4m2!3e0!5i1</v>
      </c>
      <c r="C358" s="151" t="s">
        <v>117</v>
      </c>
      <c r="D358" s="152" t="s">
        <v>112</v>
      </c>
      <c r="E358" s="152" t="s">
        <v>113</v>
      </c>
      <c r="F358" s="152" t="s">
        <v>117</v>
      </c>
      <c r="G358" s="152" t="s">
        <v>782</v>
      </c>
      <c r="H358" s="152" t="n">
        <v>63</v>
      </c>
      <c r="I358" s="152" t="s">
        <v>115</v>
      </c>
      <c r="J358" s="152" t="s">
        <v>6</v>
      </c>
      <c r="K358" s="152" t="s">
        <v>2522</v>
      </c>
      <c r="L358" s="152" t="s">
        <v>120</v>
      </c>
      <c r="M358" s="153" t="n">
        <f aca="false">55.16+4.06</f>
        <v>59.22</v>
      </c>
      <c r="N358" s="152" t="s">
        <v>1548</v>
      </c>
      <c r="O358" s="152" t="s">
        <v>1549</v>
      </c>
      <c r="P358" s="152" t="s">
        <v>1550</v>
      </c>
      <c r="Q358" s="152" t="s">
        <v>1551</v>
      </c>
      <c r="R358" s="154" t="s">
        <v>2876</v>
      </c>
      <c r="S358" s="154" t="s">
        <v>1553</v>
      </c>
      <c r="T358" s="155" t="s">
        <v>2797</v>
      </c>
      <c r="U358" s="152" t="str">
        <f aca="false">RIGHT(T358,7)</f>
        <v>009/037</v>
      </c>
      <c r="V358" s="152" t="s">
        <v>1555</v>
      </c>
      <c r="W358" s="156" t="n">
        <v>45882</v>
      </c>
      <c r="X358" s="152" t="s">
        <v>1594</v>
      </c>
      <c r="Y358" s="152" t="s">
        <v>2630</v>
      </c>
      <c r="Z358" s="152" t="s">
        <v>1557</v>
      </c>
      <c r="AA358" s="153" t="n">
        <v>3.9</v>
      </c>
      <c r="AB358" s="151" t="s">
        <v>2877</v>
      </c>
      <c r="AC358" s="151" t="s">
        <v>186</v>
      </c>
      <c r="AD358" s="151" t="str">
        <f aca="false">CONCATENATE($C358,$I358,$H358,$N358,$J358,$K358)</f>
        <v>TUBO PEADPEAD63VCAREDESZona03</v>
      </c>
      <c r="AE358" s="153" t="n">
        <f aca="false">IFERROR(INDEX(APOIO_REDES!$A:$W,MATCH($C358&amp;$I358&amp;$H358&amp;$N358&amp;$O358,APOIO_REDES!$W:$W,0),MATCH(AE$5,APOIO_REDES!$5:$5,0)),0)</f>
        <v>1.2</v>
      </c>
      <c r="AF358" s="153" t="n">
        <f aca="false">IFERROR(INDEX(APOIO_REDES!$A:$W,MATCH($C358&amp;$I358&amp;$H358&amp;$N358&amp;$O358,APOIO_REDES!$W:$W,0),MATCH(AF$5,APOIO_REDES!$5:$5,0)),0)</f>
        <v>1.363</v>
      </c>
      <c r="AG358" s="153" t="n">
        <f aca="false">IFERROR(INDEX(APOIO_REDES!$A:$W,MATCH($C358&amp;$I358&amp;$H358&amp;$N358&amp;$O358,APOIO_REDES!$W:$W,0),MATCH(AG$5,APOIO_REDES!$5:$5,0)),0)</f>
        <v>0.65</v>
      </c>
      <c r="AH358" s="153" t="n">
        <f aca="false">IFERROR(INDEX(APOIO_REDES!$A:$W,MATCH($C358&amp;$I358&amp;$H358&amp;$N358&amp;$O358,APOIO_REDES!$W:$W,0),MATCH(AH$5,APOIO_REDES!$5:$5,0)),0)</f>
        <v>0.1</v>
      </c>
      <c r="AI358" s="153" t="n">
        <f aca="false">IFERROR(IF($H358&lt;&gt;"",(((($H358/1000)/2)^2)*PI()*$M358),0),0)</f>
        <v>0.184603267289259</v>
      </c>
      <c r="AJ358" s="153" t="n">
        <f aca="false">IFERROR(IF(AND($H358&lt;&gt;"",$I358="FoFo",OR($N358="MND",$N358="VCA"),$Q358="LINEAR"),0,IF(AND($H358&lt;&gt;"",$I358="PEAD",$N358="VCA",$Q358="LINEAR"),($H358/1000)+0.3,IF(AND($H358&lt;&gt;"",$I358="PEAD",$N358="MND",$Q358="EMBOQUE"),0,IF(AND($H358&lt;&gt;"",$I358="PVC",$N358="VCA",$Q358="LINEAR"),($H358/1000)+0.2,IF(AND($H358&lt;&gt;"",$I358="PVC",$N358="MND",$Q358="EMBOQUE"),0,IF(AND($H358&lt;&gt;"",$I358="PEAD",$N358="VCA",$Q358="PREDIAL"),0,0)))))),0)</f>
        <v>0.363</v>
      </c>
      <c r="AK358" s="153" t="n">
        <f aca="false">IF(AA358&lt;&gt;"",AA358,0)</f>
        <v>3.9</v>
      </c>
      <c r="AL358" s="153" t="n">
        <f aca="false">IF(AND($N358="MND",$Q358="EMBOQUE"),$M358,IF(AND($N358="VCA",$Q358="LINEAR"),$M358,IF(AND($N358="VCA",$Q358="PREDIAL"),0,0)))</f>
        <v>59.22</v>
      </c>
      <c r="AM358" s="153" t="n">
        <f aca="false">IF(AND($N358="MND",$Q358="EMBOQUE"),$M358,IF(AND($N358="VCA",$Q358="LINEAR"),$M358,IF(AND($N358="VCA",$Q358="PREDIAL"),0,0)))</f>
        <v>59.22</v>
      </c>
      <c r="AN358" s="153" t="n">
        <f aca="false">ROUND(IF(AND($N358="VCA",$M358&lt;&gt;"",$Q358="LINEAR"),$M358/100,IF(AND($N358="MND",$M358&gt;100,$Q358="EMBOQUE"),$M358/100,0)),0)</f>
        <v>1</v>
      </c>
      <c r="AO358" s="153" t="n">
        <f aca="false">IF(AND($N358="MND",$Q358="EMBOQUE"),$AN358*2*2,IF(AND($N358="VCA",$Q358="LINEAR"),$M358*2,IF(AND($N358="VCA",$Q358="PREDIAL"),0,0)))</f>
        <v>118.44</v>
      </c>
      <c r="AP358" s="153" t="n">
        <f aca="false">IFERROR($M358*$AF358*$AG358,0)</f>
        <v>52.465959</v>
      </c>
      <c r="AQ358" s="153" t="n">
        <f aca="false">IFERROR(IF(AND($N358="VCA",$AH358&gt;0),$M358*$AG358*$AH358,0),0)</f>
        <v>3.8493</v>
      </c>
      <c r="AR358" s="153" t="n">
        <f aca="false">IFERROR(IF(AND($N358="VCA",$AJ358&gt;0),($M358*$AG358*$AJ358)-$AI358,0),0)</f>
        <v>13.7883557327107</v>
      </c>
      <c r="AS358" s="153" t="n">
        <f aca="false">IFERROR(IF(AND($N358="VCA",$AP358&gt;0),$AP358-$AI358-$AQ358-$AR358,0),0)</f>
        <v>34.6437</v>
      </c>
      <c r="AT358" s="153" t="n">
        <f aca="false">IFERROR(IF($N358="VCA",INDEX(APOIO_REDES!$A:$W,MATCH($C358&amp;$I358&amp;$H358&amp;$N358&amp;$O358,APOIO_REDES!$W:$W,0),MATCH(AT$5,APOIO_REDES!$5:$5,0)),0)*$AP358,0)</f>
        <v>0.570845163051181</v>
      </c>
      <c r="AU358" s="153" t="n">
        <f aca="false">IFERROR(IF($N358="VCA",INDEX(APOIO_REDES!$A:$W,MATCH($C358&amp;$I358&amp;$H358&amp;$N358&amp;$O358,APOIO_REDES!$W:$W,0),MATCH(AU$5,APOIO_REDES!$5:$5,0)),0)*$AP358,0)</f>
        <v>0.455861486764956</v>
      </c>
      <c r="AV358" s="153" t="n">
        <f aca="false">IFERROR(IF($N358="VCA",INDEX(APOIO_REDES!$A:$W,MATCH($C358&amp;$I358&amp;$H358&amp;$N358&amp;$O358,APOIO_REDES!$W:$W,0),MATCH(AV$5,APOIO_REDES!$5:$5,0)),0)*$AP358,0)</f>
        <v>0.0630876511152867</v>
      </c>
      <c r="AW358" s="153" t="n">
        <f aca="false">IFERROR(IF($N358="VCA",INDEX(APOIO_REDES!$A:$W,MATCH($C358&amp;$I358&amp;$H358&amp;$N358&amp;$O358,APOIO_REDES!$W:$W,0),MATCH(AW$5,APOIO_REDES!$5:$5,0)),0)*$AP358,0)</f>
        <v>36.0130407836878</v>
      </c>
      <c r="AX358" s="153" t="n">
        <f aca="false">IFERROR(IF($N358="VCA",INDEX(APOIO_REDES!$A:$W,MATCH($C358&amp;$I358&amp;$H358&amp;$N358&amp;$O358,APOIO_REDES!$W:$W,0),MATCH(AX$5,APOIO_REDES!$5:$5,0)),0)*$AP358,0)</f>
        <v>4.9841022593739</v>
      </c>
      <c r="AY358" s="153" t="n">
        <f aca="false">IFERROR(IF($N358="VCA",INDEX(APOIO_REDES!$A:$W,MATCH($C358&amp;$I358&amp;$H358&amp;$N358&amp;$O358,APOIO_REDES!$W:$W,0),MATCH(AY$5,APOIO_REDES!$5:$5,0)),0)*$AP358,0)</f>
        <v>9.11722417838455</v>
      </c>
      <c r="AZ358" s="153" t="n">
        <f aca="false">IFERROR(IF($N358="VCA",INDEX(APOIO_REDES!$A:$W,MATCH($C358&amp;$I358&amp;$H358&amp;$N358&amp;$O358,APOIO_REDES!$W:$W,0),MATCH(AZ$5,APOIO_REDES!$5:$5,0)),0)*$AP358,0)</f>
        <v>1.2617974776223</v>
      </c>
      <c r="BA358" s="153" t="n">
        <f aca="false">IFERROR(IF(AND($N358="VCA",$Q358="LINEAR"),INDEX(APOIO_REDES!$A:$W,MATCH($C358&amp;$I358&amp;$H358&amp;$N358&amp;$O358,APOIO_REDES!$W:$W,0),MATCH(BA$5,APOIO_REDES!$5:$5,0)),IF(AND($N358="MND",$Q358="EMBOQUE"),INDEX(APOIO_REDES!$A:$W,MATCH($C358&amp;$I358&amp;$H358&amp;$N358&amp;$O358,APOIO_REDES!$W:$W,0),MATCH(BA$5,APOIO_REDES!$5:$5,0)),0))*$M358/10,0)</f>
        <v>4.77298262227459</v>
      </c>
      <c r="BB358" s="153" t="n">
        <f aca="false">IFERROR(IF($N358="VCA",INDEX(APOIO_REDES!$A:$W,MATCH($C358&amp;$I358&amp;$H358&amp;$N358&amp;$O358,APOIO_REDES!$W:$W,0),MATCH(BB$5,APOIO_REDES!$5:$5,0)),0)*($AI358+$AQ358+$AR358),0)</f>
        <v>17.6283475469606</v>
      </c>
      <c r="BC358" s="153" t="n">
        <f aca="false">IFERROR(IF($N358="VCA",INDEX(APOIO_REDES!$A:$W,MATCH($C358&amp;$I358&amp;$H358&amp;$N358&amp;$O358,APOIO_REDES!$W:$W,0),MATCH(BC$5,APOIO_REDES!$5:$5,0)),0)*($AI358+$AQ358+$AR358),0)</f>
        <v>0.193911453039396</v>
      </c>
      <c r="BD358" s="153" t="n">
        <f aca="false">IF(AND($N358="VCA",$AF358&gt;=1.25,$AF358&lt;1.5),$M358*$AF358*2,0)</f>
        <v>161.43372</v>
      </c>
      <c r="BE358" s="153" t="n">
        <f aca="false">IF(AND($N358="VCA",$AF358&gt;=1.5,$AF358&lt;3),$M358*$AF358*2,0)</f>
        <v>0</v>
      </c>
      <c r="BF358" s="153" t="n">
        <f aca="false">IF(AND($N358="VCA",$AF358&gt;=3),$M358*$AF358*2,0)</f>
        <v>0</v>
      </c>
      <c r="BG358" s="153" t="n">
        <f aca="false">($BB358+$BC358)*$AK358</f>
        <v>69.5068101</v>
      </c>
      <c r="BH358" s="153" t="n">
        <f aca="false">IF(AND($M358&lt;&gt;"",$N358="VCA",$Q358="LINEAR"),($M358*2)/100,IF(AND($M358&lt;&gt;"",$N358="MND",$Q358="EMBOQUE"),($AN358*2)/100,0))</f>
        <v>1.1844</v>
      </c>
      <c r="BI358" s="153" t="n">
        <f aca="false">IF(AND($M358&lt;&gt;"",$N358="VCA",$Q358="LINEAR"),$M358,IF(AND($M358&lt;&gt;"",$N358="MND",$Q358="EMBOQUE"),$AN358*2,0))</f>
        <v>59.22</v>
      </c>
      <c r="BJ358" s="153" t="n">
        <f aca="false">IF(AND($M358&lt;&gt;"",$N358="VCA",$Q358="LINEAR"),($M358*6.8)/100,IF(AND($M358&lt;&gt;"",$N358="MND",$Q358="EMBOQUE"),($AN358*2*6.8)/100,0))</f>
        <v>4.02696</v>
      </c>
      <c r="BK358" s="153" t="n">
        <f aca="false">IF(AND($M358&lt;&gt;"",$N358="VCA",$Q358="LINEAR"),($M358*2.5)/50,IF(AND($M358&lt;&gt;"",$N358="MND",$Q358="EMBOQUE"),($AN358*2*2.5)/50,0))</f>
        <v>2.961</v>
      </c>
      <c r="BL358" s="157" t="str">
        <f aca="false">K358&amp;J358</f>
        <v>Zona03REDES</v>
      </c>
      <c r="BM358" s="152" t="s">
        <v>2526</v>
      </c>
      <c r="BN358" s="152" t="s">
        <v>1560</v>
      </c>
      <c r="BO358" s="152" t="s">
        <v>2800</v>
      </c>
      <c r="BP358" s="152" t="s">
        <v>2862</v>
      </c>
      <c r="BQ358" s="152" t="s">
        <v>2878</v>
      </c>
      <c r="BR358" s="152" t="s">
        <v>2879</v>
      </c>
      <c r="BS358" s="152" t="n">
        <v>203135.348</v>
      </c>
      <c r="BT358" s="152" t="n">
        <v>8237797.318</v>
      </c>
      <c r="BU358" s="152" t="n">
        <v>203190.489</v>
      </c>
      <c r="BV358" s="152" t="n">
        <v>8237796.008</v>
      </c>
      <c r="BW358" s="152" t="n">
        <v>-15.9213202</v>
      </c>
      <c r="BX358" s="152" t="n">
        <v>-47.7723886</v>
      </c>
      <c r="BY358" s="152" t="s">
        <v>2862</v>
      </c>
    </row>
    <row r="359" customFormat="false" ht="13.8" hidden="false" customHeight="false" outlineLevel="0" collapsed="false">
      <c r="A359" s="149" t="n">
        <f aca="false">IF(C359&lt;&gt;"",ROW(A354),"")</f>
        <v>354</v>
      </c>
      <c r="B359" s="150" t="str">
        <f aca="false">HYPERLINK("https://www.google.com/maps/dir/-15.917302,-47.760003/-15.9213926,-47.7690620/data=!4m3!4m2!3e0!5i0")</f>
        <v>https://www.google.com/maps/dir/-15.917302,-47.760003/-15.9213926,-47.7690620/data=!4m3!4m2!3e0!5i0</v>
      </c>
      <c r="C359" s="151" t="s">
        <v>117</v>
      </c>
      <c r="D359" s="152" t="s">
        <v>112</v>
      </c>
      <c r="E359" s="152" t="s">
        <v>113</v>
      </c>
      <c r="F359" s="152" t="s">
        <v>117</v>
      </c>
      <c r="G359" s="152" t="s">
        <v>782</v>
      </c>
      <c r="H359" s="152" t="n">
        <v>63</v>
      </c>
      <c r="I359" s="152" t="s">
        <v>115</v>
      </c>
      <c r="J359" s="152" t="s">
        <v>6</v>
      </c>
      <c r="K359" s="152" t="s">
        <v>2522</v>
      </c>
      <c r="L359" s="152" t="s">
        <v>120</v>
      </c>
      <c r="M359" s="153" t="n">
        <f aca="false">29.65+3.87</f>
        <v>33.52</v>
      </c>
      <c r="N359" s="152" t="s">
        <v>1548</v>
      </c>
      <c r="O359" s="152" t="s">
        <v>1549</v>
      </c>
      <c r="P359" s="152" t="s">
        <v>1550</v>
      </c>
      <c r="Q359" s="152" t="s">
        <v>1551</v>
      </c>
      <c r="R359" s="154" t="s">
        <v>2880</v>
      </c>
      <c r="S359" s="154" t="s">
        <v>1553</v>
      </c>
      <c r="T359" s="155" t="s">
        <v>2797</v>
      </c>
      <c r="U359" s="152" t="str">
        <f aca="false">RIGHT(T359,7)</f>
        <v>009/037</v>
      </c>
      <c r="V359" s="152" t="s">
        <v>1555</v>
      </c>
      <c r="W359" s="156" t="n">
        <v>45882</v>
      </c>
      <c r="X359" s="152" t="s">
        <v>1594</v>
      </c>
      <c r="Y359" s="152"/>
      <c r="Z359" s="152" t="s">
        <v>1557</v>
      </c>
      <c r="AA359" s="153" t="n">
        <v>3.2</v>
      </c>
      <c r="AB359" s="151" t="s">
        <v>2881</v>
      </c>
      <c r="AC359" s="151" t="s">
        <v>186</v>
      </c>
      <c r="AD359" s="151" t="str">
        <f aca="false">CONCATENATE($C359,$I359,$H359,$N359,$J359,$K359)</f>
        <v>TUBO PEADPEAD63VCAREDESZona03</v>
      </c>
      <c r="AE359" s="153" t="n">
        <f aca="false">IFERROR(INDEX(APOIO_REDES!$A:$W,MATCH($C359&amp;$I359&amp;$H359&amp;$N359&amp;$O359,APOIO_REDES!$W:$W,0),MATCH(AE$5,APOIO_REDES!$5:$5,0)),0)</f>
        <v>1.2</v>
      </c>
      <c r="AF359" s="153" t="n">
        <f aca="false">IFERROR(INDEX(APOIO_REDES!$A:$W,MATCH($C359&amp;$I359&amp;$H359&amp;$N359&amp;$O359,APOIO_REDES!$W:$W,0),MATCH(AF$5,APOIO_REDES!$5:$5,0)),0)</f>
        <v>1.363</v>
      </c>
      <c r="AG359" s="153" t="n">
        <f aca="false">IFERROR(INDEX(APOIO_REDES!$A:$W,MATCH($C359&amp;$I359&amp;$H359&amp;$N359&amp;$O359,APOIO_REDES!$W:$W,0),MATCH(AG$5,APOIO_REDES!$5:$5,0)),0)</f>
        <v>0.65</v>
      </c>
      <c r="AH359" s="153" t="n">
        <f aca="false">IFERROR(INDEX(APOIO_REDES!$A:$W,MATCH($C359&amp;$I359&amp;$H359&amp;$N359&amp;$O359,APOIO_REDES!$W:$W,0),MATCH(AH$5,APOIO_REDES!$5:$5,0)),0)</f>
        <v>0.1</v>
      </c>
      <c r="AI359" s="153" t="n">
        <f aca="false">IFERROR(IF($H359&lt;&gt;"",(((($H359/1000)/2)^2)*PI()*$M359),0),0)</f>
        <v>0.10449006280878</v>
      </c>
      <c r="AJ359" s="153" t="n">
        <f aca="false">IFERROR(IF(AND($H359&lt;&gt;"",$I359="FoFo",OR($N359="MND",$N359="VCA"),$Q359="LINEAR"),0,IF(AND($H359&lt;&gt;"",$I359="PEAD",$N359="VCA",$Q359="LINEAR"),($H359/1000)+0.3,IF(AND($H359&lt;&gt;"",$I359="PEAD",$N359="MND",$Q359="EMBOQUE"),0,IF(AND($H359&lt;&gt;"",$I359="PVC",$N359="VCA",$Q359="LINEAR"),($H359/1000)+0.2,IF(AND($H359&lt;&gt;"",$I359="PVC",$N359="MND",$Q359="EMBOQUE"),0,IF(AND($H359&lt;&gt;"",$I359="PEAD",$N359="VCA",$Q359="PREDIAL"),0,0)))))),0)</f>
        <v>0.363</v>
      </c>
      <c r="AK359" s="153" t="n">
        <f aca="false">IF(AA359&lt;&gt;"",AA359,0)</f>
        <v>3.2</v>
      </c>
      <c r="AL359" s="153" t="n">
        <f aca="false">IF(AND($N359="MND",$Q359="EMBOQUE"),$M359,IF(AND($N359="VCA",$Q359="LINEAR"),$M359,IF(AND($N359="VCA",$Q359="PREDIAL"),0,0)))</f>
        <v>33.52</v>
      </c>
      <c r="AM359" s="153" t="n">
        <f aca="false">IF(AND($N359="MND",$Q359="EMBOQUE"),$M359,IF(AND($N359="VCA",$Q359="LINEAR"),$M359,IF(AND($N359="VCA",$Q359="PREDIAL"),0,0)))</f>
        <v>33.52</v>
      </c>
      <c r="AN359" s="153" t="n">
        <f aca="false">ROUND(IF(AND($N359="VCA",$M359&lt;&gt;"",$Q359="LINEAR"),$M359/100,IF(AND($N359="MND",$M359&gt;100,$Q359="EMBOQUE"),$M359/100,0)),0)</f>
        <v>0</v>
      </c>
      <c r="AO359" s="153" t="n">
        <f aca="false">IF(AND($N359="MND",$Q359="EMBOQUE"),$AN359*2*2,IF(AND($N359="VCA",$Q359="LINEAR"),$M359*2,IF(AND($N359="VCA",$Q359="PREDIAL"),0,0)))</f>
        <v>67.04</v>
      </c>
      <c r="AP359" s="153" t="n">
        <f aca="false">IFERROR($M359*$AF359*$AG359,0)</f>
        <v>29.697044</v>
      </c>
      <c r="AQ359" s="153" t="n">
        <f aca="false">IFERROR(IF(AND($N359="VCA",$AH359&gt;0),$M359*$AG359*$AH359,0),0)</f>
        <v>2.1788</v>
      </c>
      <c r="AR359" s="153" t="n">
        <f aca="false">IFERROR(IF(AND($N359="VCA",$AJ359&gt;0),($M359*$AG359*$AJ359)-$AI359,0),0)</f>
        <v>7.80455393719122</v>
      </c>
      <c r="AS359" s="153" t="n">
        <f aca="false">IFERROR(IF(AND($N359="VCA",$AP359&gt;0),$AP359-$AI359-$AQ359-$AR359,0),0)</f>
        <v>19.6092</v>
      </c>
      <c r="AT359" s="153" t="n">
        <f aca="false">IFERROR(IF($N359="VCA",INDEX(APOIO_REDES!$A:$W,MATCH($C359&amp;$I359&amp;$H359&amp;$N359&amp;$O359,APOIO_REDES!$W:$W,0),MATCH(AT$5,APOIO_REDES!$5:$5,0)),0)*$AP359,0)</f>
        <v>0.323112628596346</v>
      </c>
      <c r="AU359" s="153" t="n">
        <f aca="false">IFERROR(IF($N359="VCA",INDEX(APOIO_REDES!$A:$W,MATCH($C359&amp;$I359&amp;$H359&amp;$N359&amp;$O359,APOIO_REDES!$W:$W,0),MATCH(AU$5,APOIO_REDES!$5:$5,0)),0)*$AP359,0)</f>
        <v>0.258028994197253</v>
      </c>
      <c r="AV359" s="153" t="n">
        <f aca="false">IFERROR(IF($N359="VCA",INDEX(APOIO_REDES!$A:$W,MATCH($C359&amp;$I359&amp;$H359&amp;$N359&amp;$O359,APOIO_REDES!$W:$W,0),MATCH(AV$5,APOIO_REDES!$5:$5,0)),0)*$AP359,0)</f>
        <v>0.0357091871898752</v>
      </c>
      <c r="AW359" s="153" t="n">
        <f aca="false">IFERROR(IF($N359="VCA",INDEX(APOIO_REDES!$A:$W,MATCH($C359&amp;$I359&amp;$H359&amp;$N359&amp;$O359,APOIO_REDES!$W:$W,0),MATCH(AW$5,APOIO_REDES!$5:$5,0)),0)*$AP359,0)</f>
        <v>20.3842811055254</v>
      </c>
      <c r="AX359" s="153" t="n">
        <f aca="false">IFERROR(IF($N359="VCA",INDEX(APOIO_REDES!$A:$W,MATCH($C359&amp;$I359&amp;$H359&amp;$N359&amp;$O359,APOIO_REDES!$W:$W,0),MATCH(AX$5,APOIO_REDES!$5:$5,0)),0)*$AP359,0)</f>
        <v>2.82112643928087</v>
      </c>
      <c r="AY359" s="153" t="n">
        <f aca="false">IFERROR(IF($N359="VCA",INDEX(APOIO_REDES!$A:$W,MATCH($C359&amp;$I359&amp;$H359&amp;$N359&amp;$O359,APOIO_REDES!$W:$W,0),MATCH(AY$5,APOIO_REDES!$5:$5,0)),0)*$AP359,0)</f>
        <v>5.16057673859254</v>
      </c>
      <c r="AZ359" s="153" t="n">
        <f aca="false">IFERROR(IF($N359="VCA",INDEX(APOIO_REDES!$A:$W,MATCH($C359&amp;$I359&amp;$H359&amp;$N359&amp;$O359,APOIO_REDES!$W:$W,0),MATCH(AZ$5,APOIO_REDES!$5:$5,0)),0)*$AP359,0)</f>
        <v>0.714208906617686</v>
      </c>
      <c r="BA359" s="153" t="n">
        <f aca="false">IFERROR(IF(AND($N359="VCA",$Q359="LINEAR"),INDEX(APOIO_REDES!$A:$W,MATCH($C359&amp;$I359&amp;$H359&amp;$N359&amp;$O359,APOIO_REDES!$W:$W,0),MATCH(BA$5,APOIO_REDES!$5:$5,0)),IF(AND($N359="MND",$Q359="EMBOQUE"),INDEX(APOIO_REDES!$A:$W,MATCH($C359&amp;$I359&amp;$H359&amp;$N359&amp;$O359,APOIO_REDES!$W:$W,0),MATCH(BA$5,APOIO_REDES!$5:$5,0)),0))*$M359/10,0)</f>
        <v>2.70162744847424</v>
      </c>
      <c r="BB359" s="153" t="n">
        <f aca="false">IFERROR(IF($N359="VCA",INDEX(APOIO_REDES!$A:$W,MATCH($C359&amp;$I359&amp;$H359&amp;$N359&amp;$O359,APOIO_REDES!$W:$W,0),MATCH(BB$5,APOIO_REDES!$5:$5,0)),0)*($AI359+$AQ359+$AR359),0)</f>
        <v>9.97808527143059</v>
      </c>
      <c r="BC359" s="153" t="n">
        <f aca="false">IFERROR(IF($N359="VCA",INDEX(APOIO_REDES!$A:$W,MATCH($C359&amp;$I359&amp;$H359&amp;$N359&amp;$O359,APOIO_REDES!$W:$W,0),MATCH(BC$5,APOIO_REDES!$5:$5,0)),0)*($AI359+$AQ359+$AR359),0)</f>
        <v>0.109758728569412</v>
      </c>
      <c r="BD359" s="153" t="n">
        <f aca="false">IF(AND($N359="VCA",$AF359&gt;=1.25,$AF359&lt;1.5),$M359*$AF359*2,0)</f>
        <v>91.37552</v>
      </c>
      <c r="BE359" s="153" t="n">
        <f aca="false">IF(AND($N359="VCA",$AF359&gt;=1.5,$AF359&lt;3),$M359*$AF359*2,0)</f>
        <v>0</v>
      </c>
      <c r="BF359" s="153" t="n">
        <f aca="false">IF(AND($N359="VCA",$AF359&gt;=3),$M359*$AF359*2,0)</f>
        <v>0</v>
      </c>
      <c r="BG359" s="153" t="n">
        <f aca="false">($BB359+$BC359)*$AK359</f>
        <v>32.2811008</v>
      </c>
      <c r="BH359" s="153" t="n">
        <f aca="false">IF(AND($M359&lt;&gt;"",$N359="VCA",$Q359="LINEAR"),($M359*2)/100,IF(AND($M359&lt;&gt;"",$N359="MND",$Q359="EMBOQUE"),($AN359*2)/100,0))</f>
        <v>0.6704</v>
      </c>
      <c r="BI359" s="153" t="n">
        <f aca="false">IF(AND($M359&lt;&gt;"",$N359="VCA",$Q359="LINEAR"),$M359,IF(AND($M359&lt;&gt;"",$N359="MND",$Q359="EMBOQUE"),$AN359*2,0))</f>
        <v>33.52</v>
      </c>
      <c r="BJ359" s="153" t="n">
        <f aca="false">IF(AND($M359&lt;&gt;"",$N359="VCA",$Q359="LINEAR"),($M359*6.8)/100,IF(AND($M359&lt;&gt;"",$N359="MND",$Q359="EMBOQUE"),($AN359*2*6.8)/100,0))</f>
        <v>2.27936</v>
      </c>
      <c r="BK359" s="153" t="n">
        <f aca="false">IF(AND($M359&lt;&gt;"",$N359="VCA",$Q359="LINEAR"),($M359*2.5)/50,IF(AND($M359&lt;&gt;"",$N359="MND",$Q359="EMBOQUE"),($AN359*2*2.5)/50,0))</f>
        <v>1.676</v>
      </c>
      <c r="BL359" s="157" t="str">
        <f aca="false">K359&amp;J359</f>
        <v>Zona03REDES</v>
      </c>
      <c r="BM359" s="152" t="s">
        <v>2526</v>
      </c>
      <c r="BN359" s="152" t="s">
        <v>1560</v>
      </c>
      <c r="BO359" s="152" t="s">
        <v>2800</v>
      </c>
      <c r="BP359" s="152" t="s">
        <v>2882</v>
      </c>
      <c r="BQ359" s="152" t="s">
        <v>2866</v>
      </c>
      <c r="BR359" s="152" t="s">
        <v>2883</v>
      </c>
      <c r="BS359" s="152" t="n">
        <v>203519.432</v>
      </c>
      <c r="BT359" s="152" t="n">
        <v>8237793.286</v>
      </c>
      <c r="BU359" s="152" t="n">
        <v>203489.978</v>
      </c>
      <c r="BV359" s="152" t="n">
        <v>8237796.657</v>
      </c>
      <c r="BW359" s="152" t="n">
        <v>-15.9213764</v>
      </c>
      <c r="BX359" s="152" t="n">
        <v>-47.7691993</v>
      </c>
      <c r="BY359" s="152" t="s">
        <v>2882</v>
      </c>
    </row>
    <row r="360" customFormat="false" ht="13.8" hidden="false" customHeight="false" outlineLevel="0" collapsed="false">
      <c r="A360" s="149" t="n">
        <f aca="false">IF(C360&lt;&gt;"",ROW(A355),"")</f>
        <v>355</v>
      </c>
      <c r="B360" s="150" t="str">
        <f aca="false">HYPERLINK("https://www.google.com/maps/dir/-15.917302,-47.760003/-15.9222560,-47.7712231/data=!4m3!4m2!3e0!5i1")</f>
        <v>https://www.google.com/maps/dir/-15.917302,-47.760003/-15.9222560,-47.7712231/data=!4m3!4m2!3e0!5i1</v>
      </c>
      <c r="C360" s="151" t="s">
        <v>117</v>
      </c>
      <c r="D360" s="152" t="s">
        <v>112</v>
      </c>
      <c r="E360" s="152" t="s">
        <v>113</v>
      </c>
      <c r="F360" s="152" t="s">
        <v>117</v>
      </c>
      <c r="G360" s="152" t="s">
        <v>114</v>
      </c>
      <c r="H360" s="152" t="n">
        <v>160</v>
      </c>
      <c r="I360" s="152" t="s">
        <v>115</v>
      </c>
      <c r="J360" s="152" t="s">
        <v>6</v>
      </c>
      <c r="K360" s="152" t="s">
        <v>2522</v>
      </c>
      <c r="L360" s="152" t="s">
        <v>120</v>
      </c>
      <c r="M360" s="153" t="n">
        <f aca="false">178.1+0.1</f>
        <v>178.2</v>
      </c>
      <c r="N360" s="152" t="s">
        <v>1548</v>
      </c>
      <c r="O360" s="152" t="s">
        <v>1549</v>
      </c>
      <c r="P360" s="152" t="s">
        <v>1550</v>
      </c>
      <c r="Q360" s="152" t="s">
        <v>1551</v>
      </c>
      <c r="R360" s="154" t="s">
        <v>2884</v>
      </c>
      <c r="S360" s="154" t="s">
        <v>1593</v>
      </c>
      <c r="T360" s="155" t="s">
        <v>2797</v>
      </c>
      <c r="U360" s="152" t="str">
        <f aca="false">RIGHT(T360,7)</f>
        <v>009/037</v>
      </c>
      <c r="V360" s="152" t="s">
        <v>1555</v>
      </c>
      <c r="W360" s="156" t="n">
        <v>45882</v>
      </c>
      <c r="X360" s="152" t="s">
        <v>1594</v>
      </c>
      <c r="Y360" s="152" t="s">
        <v>2885</v>
      </c>
      <c r="Z360" s="152" t="s">
        <v>1557</v>
      </c>
      <c r="AA360" s="153" t="n">
        <v>3.6</v>
      </c>
      <c r="AB360" s="151" t="s">
        <v>2886</v>
      </c>
      <c r="AC360" s="151" t="s">
        <v>505</v>
      </c>
      <c r="AD360" s="151" t="str">
        <f aca="false">CONCATENATE($C360,$I360,$H360,$N360,$J360,$K360)</f>
        <v>TUBO PEADPEAD160VCAREDESZona03</v>
      </c>
      <c r="AE360" s="153" t="n">
        <f aca="false">IFERROR(INDEX(APOIO_REDES!$A:$W,MATCH($C360&amp;$I360&amp;$H360&amp;$N360&amp;$O360,APOIO_REDES!$W:$W,0),MATCH(AE$5,APOIO_REDES!$5:$5,0)),0)</f>
        <v>1.2</v>
      </c>
      <c r="AF360" s="153" t="n">
        <f aca="false">IFERROR(INDEX(APOIO_REDES!$A:$W,MATCH($C360&amp;$I360&amp;$H360&amp;$N360&amp;$O360,APOIO_REDES!$W:$W,0),MATCH(AF$5,APOIO_REDES!$5:$5,0)),0)</f>
        <v>1.46</v>
      </c>
      <c r="AG360" s="153" t="n">
        <f aca="false">IFERROR(INDEX(APOIO_REDES!$A:$W,MATCH($C360&amp;$I360&amp;$H360&amp;$N360&amp;$O360,APOIO_REDES!$W:$W,0),MATCH(AG$5,APOIO_REDES!$5:$5,0)),0)</f>
        <v>0.75</v>
      </c>
      <c r="AH360" s="153" t="n">
        <f aca="false">IFERROR(INDEX(APOIO_REDES!$A:$W,MATCH($C360&amp;$I360&amp;$H360&amp;$N360&amp;$O360,APOIO_REDES!$W:$W,0),MATCH(AH$5,APOIO_REDES!$5:$5,0)),0)</f>
        <v>0.1</v>
      </c>
      <c r="AI360" s="153" t="n">
        <f aca="false">IFERROR(IF($H360&lt;&gt;"",(((($H360/1000)/2)^2)*PI()*$M360),0),0)</f>
        <v>3.58292358956609</v>
      </c>
      <c r="AJ360" s="153" t="n">
        <f aca="false">IFERROR(IF(AND($H360&lt;&gt;"",$I360="FoFo",OR($N360="MND",$N360="VCA"),$Q360="LINEAR"),0,IF(AND($H360&lt;&gt;"",$I360="PEAD",$N360="VCA",$Q360="LINEAR"),($H360/1000)+0.3,IF(AND($H360&lt;&gt;"",$I360="PEAD",$N360="MND",$Q360="EMBOQUE"),0,IF(AND($H360&lt;&gt;"",$I360="PVC",$N360="VCA",$Q360="LINEAR"),($H360/1000)+0.2,IF(AND($H360&lt;&gt;"",$I360="PVC",$N360="MND",$Q360="EMBOQUE"),0,IF(AND($H360&lt;&gt;"",$I360="PEAD",$N360="VCA",$Q360="PREDIAL"),0,0)))))),0)</f>
        <v>0.46</v>
      </c>
      <c r="AK360" s="153" t="n">
        <f aca="false">IF(AA360&lt;&gt;"",AA360,0)</f>
        <v>3.6</v>
      </c>
      <c r="AL360" s="153" t="n">
        <f aca="false">IF(AND($N360="MND",$Q360="EMBOQUE"),$M360,IF(AND($N360="VCA",$Q360="LINEAR"),$M360,IF(AND($N360="VCA",$Q360="PREDIAL"),0,0)))</f>
        <v>178.2</v>
      </c>
      <c r="AM360" s="153" t="n">
        <f aca="false">IF(AND($N360="MND",$Q360="EMBOQUE"),$M360,IF(AND($N360="VCA",$Q360="LINEAR"),$M360,IF(AND($N360="VCA",$Q360="PREDIAL"),0,0)))</f>
        <v>178.2</v>
      </c>
      <c r="AN360" s="153" t="n">
        <f aca="false">ROUND(IF(AND($N360="VCA",$M360&lt;&gt;"",$Q360="LINEAR"),$M360/100,IF(AND($N360="MND",$M360&gt;100,$Q360="EMBOQUE"),$M360/100,0)),0)</f>
        <v>2</v>
      </c>
      <c r="AO360" s="153" t="n">
        <f aca="false">IF(AND($N360="MND",$Q360="EMBOQUE"),$AN360*2*2,IF(AND($N360="VCA",$Q360="LINEAR"),$M360*2,IF(AND($N360="VCA",$Q360="PREDIAL"),0,0)))</f>
        <v>356.4</v>
      </c>
      <c r="AP360" s="153" t="n">
        <f aca="false">IFERROR($M360*$AF360*$AG360,0)</f>
        <v>195.129</v>
      </c>
      <c r="AQ360" s="153" t="n">
        <f aca="false">IFERROR(IF(AND($N360="VCA",$AH360&gt;0),$M360*$AG360*$AH360,0),0)</f>
        <v>13.365</v>
      </c>
      <c r="AR360" s="153" t="n">
        <f aca="false">IFERROR(IF(AND($N360="VCA",$AJ360&gt;0),($M360*$AG360*$AJ360)-$AI360,0),0)</f>
        <v>57.8960764104339</v>
      </c>
      <c r="AS360" s="153" t="n">
        <f aca="false">IFERROR(IF(AND($N360="VCA",$AP360&gt;0),$AP360-$AI360-$AQ360-$AR360,0),0)</f>
        <v>120.285</v>
      </c>
      <c r="AT360" s="153" t="n">
        <f aca="false">IFERROR(IF($N360="VCA",INDEX(APOIO_REDES!$A:$W,MATCH($C360&amp;$I360&amp;$H360&amp;$N360&amp;$O360,APOIO_REDES!$W:$W,0),MATCH(AT$5,APOIO_REDES!$5:$5,0)),0)*$AP360,0)</f>
        <v>2.12306127523589</v>
      </c>
      <c r="AU360" s="153" t="n">
        <f aca="false">IFERROR(IF($N360="VCA",INDEX(APOIO_REDES!$A:$W,MATCH($C360&amp;$I360&amp;$H360&amp;$N360&amp;$O360,APOIO_REDES!$W:$W,0),MATCH(AU$5,APOIO_REDES!$5:$5,0)),0)*$AP360,0)</f>
        <v>1.6954192346119</v>
      </c>
      <c r="AV360" s="153" t="n">
        <f aca="false">IFERROR(IF($N360="VCA",INDEX(APOIO_REDES!$A:$W,MATCH($C360&amp;$I360&amp;$H360&amp;$N360&amp;$O360,APOIO_REDES!$W:$W,0),MATCH(AV$5,APOIO_REDES!$5:$5,0)),0)*$AP360,0)</f>
        <v>0.234632712507452</v>
      </c>
      <c r="AW360" s="153" t="n">
        <f aca="false">IFERROR(IF($N360="VCA",INDEX(APOIO_REDES!$A:$W,MATCH($C360&amp;$I360&amp;$H360&amp;$N360&amp;$O360,APOIO_REDES!$W:$W,0),MATCH(AW$5,APOIO_REDES!$5:$5,0)),0)*$AP360,0)</f>
        <v>133.938057533271</v>
      </c>
      <c r="AX360" s="153" t="n">
        <f aca="false">IFERROR(IF($N360="VCA",INDEX(APOIO_REDES!$A:$W,MATCH($C360&amp;$I360&amp;$H360&amp;$N360&amp;$O360,APOIO_REDES!$W:$W,0),MATCH(AX$5,APOIO_REDES!$5:$5,0)),0)*$AP360,0)</f>
        <v>18.5366456328258</v>
      </c>
      <c r="AY360" s="153" t="n">
        <f aca="false">IFERROR(IF($N360="VCA",INDEX(APOIO_REDES!$A:$W,MATCH($C360&amp;$I360&amp;$H360&amp;$N360&amp;$O360,APOIO_REDES!$W:$W,0),MATCH(AY$5,APOIO_REDES!$5:$5,0)),0)*$AP360,0)</f>
        <v>33.9083640252149</v>
      </c>
      <c r="AZ360" s="153" t="n">
        <f aca="false">IFERROR(IF($N360="VCA",INDEX(APOIO_REDES!$A:$W,MATCH($C360&amp;$I360&amp;$H360&amp;$N360&amp;$O360,APOIO_REDES!$W:$W,0),MATCH(AZ$5,APOIO_REDES!$5:$5,0)),0)*$AP360,0)</f>
        <v>4.69281958633332</v>
      </c>
      <c r="BA360" s="153" t="n">
        <f aca="false">IFERROR(IF(AND($N360="VCA",$Q360="LINEAR"),INDEX(APOIO_REDES!$A:$W,MATCH($C360&amp;$I360&amp;$H360&amp;$N360&amp;$O360,APOIO_REDES!$W:$W,0),MATCH(BA$5,APOIO_REDES!$5:$5,0)),IF(AND($N360="MND",$Q360="EMBOQUE"),INDEX(APOIO_REDES!$A:$W,MATCH($C360&amp;$I360&amp;$H360&amp;$N360&amp;$O360,APOIO_REDES!$W:$W,0),MATCH(BA$5,APOIO_REDES!$5:$5,0)),0))*$M360/10,0)</f>
        <v>14.3624705047168</v>
      </c>
      <c r="BB360" s="153" t="n">
        <f aca="false">IFERROR(IF($N360="VCA",INDEX(APOIO_REDES!$A:$W,MATCH($C360&amp;$I360&amp;$H360&amp;$N360&amp;$O360,APOIO_REDES!$W:$W,0),MATCH(BB$5,APOIO_REDES!$5:$5,0)),0)*($AI360+$AQ360+$AR360),0)</f>
        <v>74.0296751273068</v>
      </c>
      <c r="BC360" s="153" t="n">
        <f aca="false">IFERROR(IF($N360="VCA",INDEX(APOIO_REDES!$A:$W,MATCH($C360&amp;$I360&amp;$H360&amp;$N360&amp;$O360,APOIO_REDES!$W:$W,0),MATCH(BC$5,APOIO_REDES!$5:$5,0)),0)*($AI360+$AQ360+$AR360),0)</f>
        <v>0.814324872693218</v>
      </c>
      <c r="BD360" s="153" t="n">
        <f aca="false">IF(AND($N360="VCA",$AF360&gt;=1.25,$AF360&lt;1.5),$M360*$AF360*2,0)</f>
        <v>520.344</v>
      </c>
      <c r="BE360" s="153" t="n">
        <f aca="false">IF(AND($N360="VCA",$AF360&gt;=1.5,$AF360&lt;3),$M360*$AF360*2,0)</f>
        <v>0</v>
      </c>
      <c r="BF360" s="153" t="n">
        <f aca="false">IF(AND($N360="VCA",$AF360&gt;=3),$M360*$AF360*2,0)</f>
        <v>0</v>
      </c>
      <c r="BG360" s="153" t="n">
        <f aca="false">($BB360+$BC360)*$AK360</f>
        <v>269.4384</v>
      </c>
      <c r="BH360" s="153" t="n">
        <f aca="false">IF(AND($M360&lt;&gt;"",$N360="VCA",$Q360="LINEAR"),($M360*2)/100,IF(AND($M360&lt;&gt;"",$N360="MND",$Q360="EMBOQUE"),($AN360*2)/100,0))</f>
        <v>3.564</v>
      </c>
      <c r="BI360" s="153" t="n">
        <f aca="false">IF(AND($M360&lt;&gt;"",$N360="VCA",$Q360="LINEAR"),$M360,IF(AND($M360&lt;&gt;"",$N360="MND",$Q360="EMBOQUE"),$AN360*2,0))</f>
        <v>178.2</v>
      </c>
      <c r="BJ360" s="153" t="n">
        <f aca="false">IF(AND($M360&lt;&gt;"",$N360="VCA",$Q360="LINEAR"),($M360*6.8)/100,IF(AND($M360&lt;&gt;"",$N360="MND",$Q360="EMBOQUE"),($AN360*2*6.8)/100,0))</f>
        <v>12.1176</v>
      </c>
      <c r="BK360" s="153" t="n">
        <f aca="false">IF(AND($M360&lt;&gt;"",$N360="VCA",$Q360="LINEAR"),($M360*2.5)/50,IF(AND($M360&lt;&gt;"",$N360="MND",$Q360="EMBOQUE"),($AN360*2*2.5)/50,0))</f>
        <v>8.91</v>
      </c>
      <c r="BL360" s="157" t="str">
        <f aca="false">K360&amp;J360</f>
        <v>Zona03REDES</v>
      </c>
      <c r="BM360" s="152" t="s">
        <v>2526</v>
      </c>
      <c r="BN360" s="152" t="s">
        <v>1560</v>
      </c>
      <c r="BO360" s="152" t="s">
        <v>2800</v>
      </c>
      <c r="BP360" s="152" t="s">
        <v>2887</v>
      </c>
      <c r="BQ360" s="152" t="s">
        <v>2855</v>
      </c>
      <c r="BR360" s="152" t="s">
        <v>2856</v>
      </c>
      <c r="BS360" s="152" t="n">
        <v>203289.163</v>
      </c>
      <c r="BT360" s="152" t="n">
        <v>8237694.62</v>
      </c>
      <c r="BU360" s="152" t="n">
        <v>203323.194</v>
      </c>
      <c r="BV360" s="152" t="n">
        <v>8237836.001</v>
      </c>
      <c r="BW360" s="152" t="n">
        <v>-15.9214519</v>
      </c>
      <c r="BX360" s="152" t="n">
        <v>-47.7712099</v>
      </c>
      <c r="BY360" s="152" t="s">
        <v>2887</v>
      </c>
    </row>
    <row r="361" customFormat="false" ht="13.8" hidden="false" customHeight="false" outlineLevel="0" collapsed="false">
      <c r="A361" s="149" t="n">
        <f aca="false">IF(C361&lt;&gt;"",ROW(A356),"")</f>
        <v>356</v>
      </c>
      <c r="B361" s="150" t="str">
        <f aca="false">HYPERLINK("https://www.google.com/maps/dir/-15.917302,-47.760003/-15.9213102,-47.7726457/data=!4m3!4m2!3e0!5i1")</f>
        <v>https://www.google.com/maps/dir/-15.917302,-47.760003/-15.9213102,-47.7726457/data=!4m3!4m2!3e0!5i1</v>
      </c>
      <c r="C361" s="151" t="s">
        <v>117</v>
      </c>
      <c r="D361" s="152" t="s">
        <v>112</v>
      </c>
      <c r="E361" s="152" t="s">
        <v>113</v>
      </c>
      <c r="F361" s="152" t="s">
        <v>117</v>
      </c>
      <c r="G361" s="152" t="s">
        <v>782</v>
      </c>
      <c r="H361" s="152" t="n">
        <v>63</v>
      </c>
      <c r="I361" s="152" t="s">
        <v>115</v>
      </c>
      <c r="J361" s="152" t="s">
        <v>6</v>
      </c>
      <c r="K361" s="152" t="s">
        <v>2522</v>
      </c>
      <c r="L361" s="152" t="s">
        <v>120</v>
      </c>
      <c r="M361" s="153" t="n">
        <f aca="false">81.39+4</f>
        <v>85.39</v>
      </c>
      <c r="N361" s="152" t="s">
        <v>1548</v>
      </c>
      <c r="O361" s="152" t="s">
        <v>1549</v>
      </c>
      <c r="P361" s="152" t="s">
        <v>1550</v>
      </c>
      <c r="Q361" s="152" t="s">
        <v>1551</v>
      </c>
      <c r="R361" s="154" t="s">
        <v>2888</v>
      </c>
      <c r="S361" s="154" t="s">
        <v>1553</v>
      </c>
      <c r="T361" s="155" t="s">
        <v>2797</v>
      </c>
      <c r="U361" s="152" t="str">
        <f aca="false">RIGHT(T361,7)</f>
        <v>009/037</v>
      </c>
      <c r="V361" s="152" t="s">
        <v>1555</v>
      </c>
      <c r="W361" s="156" t="n">
        <v>45882</v>
      </c>
      <c r="X361" s="152" t="s">
        <v>1594</v>
      </c>
      <c r="Y361" s="152" t="s">
        <v>2630</v>
      </c>
      <c r="Z361" s="152" t="s">
        <v>1557</v>
      </c>
      <c r="AA361" s="153" t="n">
        <v>3.9</v>
      </c>
      <c r="AB361" s="151" t="s">
        <v>2889</v>
      </c>
      <c r="AC361" s="151" t="s">
        <v>186</v>
      </c>
      <c r="AD361" s="151" t="str">
        <f aca="false">CONCATENATE($C361,$I361,$H361,$N361,$J361,$K361)</f>
        <v>TUBO PEADPEAD63VCAREDESZona03</v>
      </c>
      <c r="AE361" s="153" t="n">
        <f aca="false">IFERROR(INDEX(APOIO_REDES!$A:$W,MATCH($C361&amp;$I361&amp;$H361&amp;$N361&amp;$O361,APOIO_REDES!$W:$W,0),MATCH(AE$5,APOIO_REDES!$5:$5,0)),0)</f>
        <v>1.2</v>
      </c>
      <c r="AF361" s="153" t="n">
        <f aca="false">IFERROR(INDEX(APOIO_REDES!$A:$W,MATCH($C361&amp;$I361&amp;$H361&amp;$N361&amp;$O361,APOIO_REDES!$W:$W,0),MATCH(AF$5,APOIO_REDES!$5:$5,0)),0)</f>
        <v>1.363</v>
      </c>
      <c r="AG361" s="153" t="n">
        <f aca="false">IFERROR(INDEX(APOIO_REDES!$A:$W,MATCH($C361&amp;$I361&amp;$H361&amp;$N361&amp;$O361,APOIO_REDES!$W:$W,0),MATCH(AG$5,APOIO_REDES!$5:$5,0)),0)</f>
        <v>0.65</v>
      </c>
      <c r="AH361" s="153" t="n">
        <f aca="false">IFERROR(INDEX(APOIO_REDES!$A:$W,MATCH($C361&amp;$I361&amp;$H361&amp;$N361&amp;$O361,APOIO_REDES!$W:$W,0),MATCH(AH$5,APOIO_REDES!$5:$5,0)),0)</f>
        <v>0.1</v>
      </c>
      <c r="AI361" s="153" t="n">
        <f aca="false">IFERROR(IF($H361&lt;&gt;"",(((($H361/1000)/2)^2)*PI()*$M361),0),0)</f>
        <v>0.266181577065685</v>
      </c>
      <c r="AJ361" s="153" t="n">
        <f aca="false">IFERROR(IF(AND($H361&lt;&gt;"",$I361="FoFo",OR($N361="MND",$N361="VCA"),$Q361="LINEAR"),0,IF(AND($H361&lt;&gt;"",$I361="PEAD",$N361="VCA",$Q361="LINEAR"),($H361/1000)+0.3,IF(AND($H361&lt;&gt;"",$I361="PEAD",$N361="MND",$Q361="EMBOQUE"),0,IF(AND($H361&lt;&gt;"",$I361="PVC",$N361="VCA",$Q361="LINEAR"),($H361/1000)+0.2,IF(AND($H361&lt;&gt;"",$I361="PVC",$N361="MND",$Q361="EMBOQUE"),0,IF(AND($H361&lt;&gt;"",$I361="PEAD",$N361="VCA",$Q361="PREDIAL"),0,0)))))),0)</f>
        <v>0.363</v>
      </c>
      <c r="AK361" s="153" t="n">
        <f aca="false">IF(AA361&lt;&gt;"",AA361,0)</f>
        <v>3.9</v>
      </c>
      <c r="AL361" s="153" t="n">
        <f aca="false">IF(AND($N361="MND",$Q361="EMBOQUE"),$M361,IF(AND($N361="VCA",$Q361="LINEAR"),$M361,IF(AND($N361="VCA",$Q361="PREDIAL"),0,0)))</f>
        <v>85.39</v>
      </c>
      <c r="AM361" s="153" t="n">
        <f aca="false">IF(AND($N361="MND",$Q361="EMBOQUE"),$M361,IF(AND($N361="VCA",$Q361="LINEAR"),$M361,IF(AND($N361="VCA",$Q361="PREDIAL"),0,0)))</f>
        <v>85.39</v>
      </c>
      <c r="AN361" s="153" t="n">
        <f aca="false">ROUND(IF(AND($N361="VCA",$M361&lt;&gt;"",$Q361="LINEAR"),$M361/100,IF(AND($N361="MND",$M361&gt;100,$Q361="EMBOQUE"),$M361/100,0)),0)</f>
        <v>1</v>
      </c>
      <c r="AO361" s="153" t="n">
        <f aca="false">IF(AND($N361="MND",$Q361="EMBOQUE"),$AN361*2*2,IF(AND($N361="VCA",$Q361="LINEAR"),$M361*2,IF(AND($N361="VCA",$Q361="PREDIAL"),0,0)))</f>
        <v>170.78</v>
      </c>
      <c r="AP361" s="153" t="n">
        <f aca="false">IFERROR($M361*$AF361*$AG361,0)</f>
        <v>75.6512705</v>
      </c>
      <c r="AQ361" s="153" t="n">
        <f aca="false">IFERROR(IF(AND($N361="VCA",$AH361&gt;0),$M361*$AG361*$AH361,0),0)</f>
        <v>5.55035</v>
      </c>
      <c r="AR361" s="153" t="n">
        <f aca="false">IFERROR(IF(AND($N361="VCA",$AJ361&gt;0),($M361*$AG361*$AJ361)-$AI361,0),0)</f>
        <v>19.8815889229343</v>
      </c>
      <c r="AS361" s="153" t="n">
        <f aca="false">IFERROR(IF(AND($N361="VCA",$AP361&gt;0),$AP361-$AI361-$AQ361-$AR361,0),0)</f>
        <v>49.95315</v>
      </c>
      <c r="AT361" s="153" t="n">
        <f aca="false">IFERROR(IF($N361="VCA",INDEX(APOIO_REDES!$A:$W,MATCH($C361&amp;$I361&amp;$H361&amp;$N361&amp;$O361,APOIO_REDES!$W:$W,0),MATCH(AT$5,APOIO_REDES!$5:$5,0)),0)*$AP361,0)</f>
        <v>0.82310821467309</v>
      </c>
      <c r="AU361" s="153" t="n">
        <f aca="false">IFERROR(IF($N361="VCA",INDEX(APOIO_REDES!$A:$W,MATCH($C361&amp;$I361&amp;$H361&amp;$N361&amp;$O361,APOIO_REDES!$W:$W,0),MATCH(AU$5,APOIO_REDES!$5:$5,0)),0)*$AP361,0)</f>
        <v>0.657311927640318</v>
      </c>
      <c r="AV361" s="153" t="n">
        <f aca="false">IFERROR(IF($N361="VCA",INDEX(APOIO_REDES!$A:$W,MATCH($C361&amp;$I361&amp;$H361&amp;$N361&amp;$O361,APOIO_REDES!$W:$W,0),MATCH(AV$5,APOIO_REDES!$5:$5,0)),0)*$AP361,0)</f>
        <v>0.0909668106844704</v>
      </c>
      <c r="AW361" s="153" t="n">
        <f aca="false">IFERROR(IF($N361="VCA",INDEX(APOIO_REDES!$A:$W,MATCH($C361&amp;$I361&amp;$H361&amp;$N361&amp;$O361,APOIO_REDES!$W:$W,0),MATCH(AW$5,APOIO_REDES!$5:$5,0)),0)*$AP361,0)</f>
        <v>51.9276182458478</v>
      </c>
      <c r="AX361" s="153" t="n">
        <f aca="false">IFERROR(IF($N361="VCA",INDEX(APOIO_REDES!$A:$W,MATCH($C361&amp;$I361&amp;$H361&amp;$N361&amp;$O361,APOIO_REDES!$W:$W,0),MATCH(AX$5,APOIO_REDES!$5:$5,0)),0)*$AP361,0)</f>
        <v>7.18663444660482</v>
      </c>
      <c r="AY361" s="153" t="n">
        <f aca="false">IFERROR(IF($N361="VCA",INDEX(APOIO_REDES!$A:$W,MATCH($C361&amp;$I361&amp;$H361&amp;$N361&amp;$O361,APOIO_REDES!$W:$W,0),MATCH(AY$5,APOIO_REDES!$5:$5,0)),0)*$AP361,0)</f>
        <v>13.1462305402272</v>
      </c>
      <c r="AZ361" s="153" t="n">
        <f aca="false">IFERROR(IF($N361="VCA",INDEX(APOIO_REDES!$A:$W,MATCH($C361&amp;$I361&amp;$H361&amp;$N361&amp;$O361,APOIO_REDES!$W:$W,0),MATCH(AZ$5,APOIO_REDES!$5:$5,0)),0)*$AP361,0)</f>
        <v>1.81940031432232</v>
      </c>
      <c r="BA361" s="153" t="n">
        <f aca="false">IFERROR(IF(AND($N361="VCA",$Q361="LINEAR"),INDEX(APOIO_REDES!$A:$W,MATCH($C361&amp;$I361&amp;$H361&amp;$N361&amp;$O361,APOIO_REDES!$W:$W,0),MATCH(BA$5,APOIO_REDES!$5:$5,0)),IF(AND($N361="MND",$Q361="EMBOQUE"),INDEX(APOIO_REDES!$A:$W,MATCH($C361&amp;$I361&amp;$H361&amp;$N361&amp;$O361,APOIO_REDES!$W:$W,0),MATCH(BA$5,APOIO_REDES!$5:$5,0)),0))*$M361/10,0)</f>
        <v>6.88221861053744</v>
      </c>
      <c r="BB361" s="153" t="n">
        <f aca="false">IFERROR(IF($N361="VCA",INDEX(APOIO_REDES!$A:$W,MATCH($C361&amp;$I361&amp;$H361&amp;$N361&amp;$O361,APOIO_REDES!$W:$W,0),MATCH(BB$5,APOIO_REDES!$5:$5,0)),0)*($AI361+$AQ361+$AR361),0)</f>
        <v>25.4185173427046</v>
      </c>
      <c r="BC361" s="153" t="n">
        <f aca="false">IFERROR(IF($N361="VCA",INDEX(APOIO_REDES!$A:$W,MATCH($C361&amp;$I361&amp;$H361&amp;$N361&amp;$O361,APOIO_REDES!$W:$W,0),MATCH(BC$5,APOIO_REDES!$5:$5,0)),0)*($AI361+$AQ361+$AR361),0)</f>
        <v>0.279603157295408</v>
      </c>
      <c r="BD361" s="153" t="n">
        <f aca="false">IF(AND($N361="VCA",$AF361&gt;=1.25,$AF361&lt;1.5),$M361*$AF361*2,0)</f>
        <v>232.77314</v>
      </c>
      <c r="BE361" s="153" t="n">
        <f aca="false">IF(AND($N361="VCA",$AF361&gt;=1.5,$AF361&lt;3),$M361*$AF361*2,0)</f>
        <v>0</v>
      </c>
      <c r="BF361" s="153" t="n">
        <f aca="false">IF(AND($N361="VCA",$AF361&gt;=3),$M361*$AF361*2,0)</f>
        <v>0</v>
      </c>
      <c r="BG361" s="153" t="n">
        <f aca="false">($BB361+$BC361)*$AK361</f>
        <v>100.22266995</v>
      </c>
      <c r="BH361" s="153" t="n">
        <f aca="false">IF(AND($M361&lt;&gt;"",$N361="VCA",$Q361="LINEAR"),($M361*2)/100,IF(AND($M361&lt;&gt;"",$N361="MND",$Q361="EMBOQUE"),($AN361*2)/100,0))</f>
        <v>1.7078</v>
      </c>
      <c r="BI361" s="153" t="n">
        <f aca="false">IF(AND($M361&lt;&gt;"",$N361="VCA",$Q361="LINEAR"),$M361,IF(AND($M361&lt;&gt;"",$N361="MND",$Q361="EMBOQUE"),$AN361*2,0))</f>
        <v>85.39</v>
      </c>
      <c r="BJ361" s="153" t="n">
        <f aca="false">IF(AND($M361&lt;&gt;"",$N361="VCA",$Q361="LINEAR"),($M361*6.8)/100,IF(AND($M361&lt;&gt;"",$N361="MND",$Q361="EMBOQUE"),($AN361*2*6.8)/100,0))</f>
        <v>5.80652</v>
      </c>
      <c r="BK361" s="153" t="n">
        <f aca="false">IF(AND($M361&lt;&gt;"",$N361="VCA",$Q361="LINEAR"),($M361*2.5)/50,IF(AND($M361&lt;&gt;"",$N361="MND",$Q361="EMBOQUE"),($AN361*2*2.5)/50,0))</f>
        <v>4.2695</v>
      </c>
      <c r="BL361" s="157" t="str">
        <f aca="false">K361&amp;J361</f>
        <v>Zona03REDES</v>
      </c>
      <c r="BM361" s="152" t="s">
        <v>2526</v>
      </c>
      <c r="BN361" s="152" t="s">
        <v>1560</v>
      </c>
      <c r="BO361" s="152" t="s">
        <v>2800</v>
      </c>
      <c r="BP361" s="152" t="s">
        <v>2862</v>
      </c>
      <c r="BQ361" s="152" t="s">
        <v>2890</v>
      </c>
      <c r="BR361" s="152" t="s">
        <v>2891</v>
      </c>
      <c r="BS361" s="152" t="n">
        <v>203135.348</v>
      </c>
      <c r="BT361" s="152" t="n">
        <v>8237797.318</v>
      </c>
      <c r="BU361" s="152" t="n">
        <v>203199.224</v>
      </c>
      <c r="BV361" s="152" t="n">
        <v>8237770.024</v>
      </c>
      <c r="BW361" s="152" t="n">
        <v>-15.9215436</v>
      </c>
      <c r="BX361" s="152" t="n">
        <v>-47.7724322</v>
      </c>
      <c r="BY361" s="152" t="s">
        <v>2862</v>
      </c>
    </row>
    <row r="362" customFormat="false" ht="13.8" hidden="false" customHeight="false" outlineLevel="0" collapsed="false">
      <c r="A362" s="149" t="n">
        <f aca="false">IF(C362&lt;&gt;"",ROW(A357),"")</f>
        <v>357</v>
      </c>
      <c r="B362" s="150" t="str">
        <f aca="false">HYPERLINK("https://www.google.com/maps/dir/-15.917302,-47.760003/-15.9222560,-47.7712231/data=!4m3!4m2!3e0!5i1")</f>
        <v>https://www.google.com/maps/dir/-15.917302,-47.760003/-15.9222560,-47.7712231/data=!4m3!4m2!3e0!5i1</v>
      </c>
      <c r="C362" s="151" t="s">
        <v>117</v>
      </c>
      <c r="D362" s="152" t="s">
        <v>112</v>
      </c>
      <c r="E362" s="152" t="s">
        <v>113</v>
      </c>
      <c r="F362" s="152" t="s">
        <v>117</v>
      </c>
      <c r="G362" s="152" t="s">
        <v>782</v>
      </c>
      <c r="H362" s="152" t="n">
        <v>63</v>
      </c>
      <c r="I362" s="152" t="s">
        <v>115</v>
      </c>
      <c r="J362" s="152" t="s">
        <v>6</v>
      </c>
      <c r="K362" s="152" t="s">
        <v>2522</v>
      </c>
      <c r="L362" s="152" t="s">
        <v>120</v>
      </c>
      <c r="M362" s="153" t="n">
        <f aca="false">178.14+0.47</f>
        <v>178.61</v>
      </c>
      <c r="N362" s="152" t="s">
        <v>1548</v>
      </c>
      <c r="O362" s="152" t="s">
        <v>1549</v>
      </c>
      <c r="P362" s="152" t="s">
        <v>1550</v>
      </c>
      <c r="Q362" s="152" t="s">
        <v>1551</v>
      </c>
      <c r="R362" s="154" t="s">
        <v>2892</v>
      </c>
      <c r="S362" s="154" t="s">
        <v>1553</v>
      </c>
      <c r="T362" s="155" t="s">
        <v>2797</v>
      </c>
      <c r="U362" s="152" t="str">
        <f aca="false">RIGHT(T362,7)</f>
        <v>009/037</v>
      </c>
      <c r="V362" s="152" t="s">
        <v>1555</v>
      </c>
      <c r="W362" s="156" t="n">
        <v>45882</v>
      </c>
      <c r="X362" s="152" t="s">
        <v>1594</v>
      </c>
      <c r="Y362" s="152" t="s">
        <v>2885</v>
      </c>
      <c r="Z362" s="152" t="s">
        <v>1557</v>
      </c>
      <c r="AA362" s="153" t="n">
        <v>3.6</v>
      </c>
      <c r="AB362" s="151" t="s">
        <v>2893</v>
      </c>
      <c r="AC362" s="151" t="s">
        <v>186</v>
      </c>
      <c r="AD362" s="151" t="str">
        <f aca="false">CONCATENATE($C362,$I362,$H362,$N362,$J362,$K362)</f>
        <v>TUBO PEADPEAD63VCAREDESZona03</v>
      </c>
      <c r="AE362" s="153" t="n">
        <f aca="false">IFERROR(INDEX(APOIO_REDES!$A:$W,MATCH($C362&amp;$I362&amp;$H362&amp;$N362&amp;$O362,APOIO_REDES!$W:$W,0),MATCH(AE$5,APOIO_REDES!$5:$5,0)),0)</f>
        <v>1.2</v>
      </c>
      <c r="AF362" s="153" t="n">
        <f aca="false">IFERROR(INDEX(APOIO_REDES!$A:$W,MATCH($C362&amp;$I362&amp;$H362&amp;$N362&amp;$O362,APOIO_REDES!$W:$W,0),MATCH(AF$5,APOIO_REDES!$5:$5,0)),0)</f>
        <v>1.363</v>
      </c>
      <c r="AG362" s="153" t="n">
        <f aca="false">IFERROR(INDEX(APOIO_REDES!$A:$W,MATCH($C362&amp;$I362&amp;$H362&amp;$N362&amp;$O362,APOIO_REDES!$W:$W,0),MATCH(AG$5,APOIO_REDES!$5:$5,0)),0)</f>
        <v>0.65</v>
      </c>
      <c r="AH362" s="153" t="n">
        <f aca="false">IFERROR(INDEX(APOIO_REDES!$A:$W,MATCH($C362&amp;$I362&amp;$H362&amp;$N362&amp;$O362,APOIO_REDES!$W:$W,0),MATCH(AH$5,APOIO_REDES!$5:$5,0)),0)</f>
        <v>0.1</v>
      </c>
      <c r="AI362" s="153" t="n">
        <f aca="false">IFERROR(IF($H362&lt;&gt;"",(((($H362/1000)/2)^2)*PI()*$M362),0),0)</f>
        <v>0.556771184912776</v>
      </c>
      <c r="AJ362" s="153" t="n">
        <f aca="false">IFERROR(IF(AND($H362&lt;&gt;"",$I362="FoFo",OR($N362="MND",$N362="VCA"),$Q362="LINEAR"),0,IF(AND($H362&lt;&gt;"",$I362="PEAD",$N362="VCA",$Q362="LINEAR"),($H362/1000)+0.3,IF(AND($H362&lt;&gt;"",$I362="PEAD",$N362="MND",$Q362="EMBOQUE"),0,IF(AND($H362&lt;&gt;"",$I362="PVC",$N362="VCA",$Q362="LINEAR"),($H362/1000)+0.2,IF(AND($H362&lt;&gt;"",$I362="PVC",$N362="MND",$Q362="EMBOQUE"),0,IF(AND($H362&lt;&gt;"",$I362="PEAD",$N362="VCA",$Q362="PREDIAL"),0,0)))))),0)</f>
        <v>0.363</v>
      </c>
      <c r="AK362" s="153" t="n">
        <f aca="false">IF(AA362&lt;&gt;"",AA362,0)</f>
        <v>3.6</v>
      </c>
      <c r="AL362" s="153" t="n">
        <f aca="false">IF(AND($N362="MND",$Q362="EMBOQUE"),$M362,IF(AND($N362="VCA",$Q362="LINEAR"),$M362,IF(AND($N362="VCA",$Q362="PREDIAL"),0,0)))</f>
        <v>178.61</v>
      </c>
      <c r="AM362" s="153" t="n">
        <f aca="false">IF(AND($N362="MND",$Q362="EMBOQUE"),$M362,IF(AND($N362="VCA",$Q362="LINEAR"),$M362,IF(AND($N362="VCA",$Q362="PREDIAL"),0,0)))</f>
        <v>178.61</v>
      </c>
      <c r="AN362" s="153" t="n">
        <f aca="false">ROUND(IF(AND($N362="VCA",$M362&lt;&gt;"",$Q362="LINEAR"),$M362/100,IF(AND($N362="MND",$M362&gt;100,$Q362="EMBOQUE"),$M362/100,0)),0)</f>
        <v>2</v>
      </c>
      <c r="AO362" s="153" t="n">
        <f aca="false">IF(AND($N362="MND",$Q362="EMBOQUE"),$AN362*2*2,IF(AND($N362="VCA",$Q362="LINEAR"),$M362*2,IF(AND($N362="VCA",$Q362="PREDIAL"),0,0)))</f>
        <v>357.22</v>
      </c>
      <c r="AP362" s="153" t="n">
        <f aca="false">IFERROR($M362*$AF362*$AG362,0)</f>
        <v>158.2395295</v>
      </c>
      <c r="AQ362" s="153" t="n">
        <f aca="false">IFERROR(IF(AND($N362="VCA",$AH362&gt;0),$M362*$AG362*$AH362,0),0)</f>
        <v>11.60965</v>
      </c>
      <c r="AR362" s="153" t="n">
        <f aca="false">IFERROR(IF(AND($N362="VCA",$AJ362&gt;0),($M362*$AG362*$AJ362)-$AI362,0),0)</f>
        <v>41.5862583150872</v>
      </c>
      <c r="AS362" s="153" t="n">
        <f aca="false">IFERROR(IF(AND($N362="VCA",$AP362&gt;0),$AP362-$AI362-$AQ362-$AR362,0),0)</f>
        <v>104.48685</v>
      </c>
      <c r="AT362" s="153" t="n">
        <f aca="false">IFERROR(IF($N362="VCA",INDEX(APOIO_REDES!$A:$W,MATCH($C362&amp;$I362&amp;$H362&amp;$N362&amp;$O362,APOIO_REDES!$W:$W,0),MATCH(AT$5,APOIO_REDES!$5:$5,0)),0)*$AP362,0)</f>
        <v>1.72169291746997</v>
      </c>
      <c r="AU362" s="153" t="n">
        <f aca="false">IFERROR(IF($N362="VCA",INDEX(APOIO_REDES!$A:$W,MATCH($C362&amp;$I362&amp;$H362&amp;$N362&amp;$O362,APOIO_REDES!$W:$W,0),MATCH(AU$5,APOIO_REDES!$5:$5,0)),0)*$AP362,0)</f>
        <v>1.37489733453375</v>
      </c>
      <c r="AV362" s="153" t="n">
        <f aca="false">IFERROR(IF($N362="VCA",INDEX(APOIO_REDES!$A:$W,MATCH($C362&amp;$I362&amp;$H362&amp;$N362&amp;$O362,APOIO_REDES!$W:$W,0),MATCH(AV$5,APOIO_REDES!$5:$5,0)),0)*$AP362,0)</f>
        <v>0.190274997732208</v>
      </c>
      <c r="AW362" s="153" t="n">
        <f aca="false">IFERROR(IF($N362="VCA",INDEX(APOIO_REDES!$A:$W,MATCH($C362&amp;$I362&amp;$H362&amp;$N362&amp;$O362,APOIO_REDES!$W:$W,0),MATCH(AW$5,APOIO_REDES!$5:$5,0)),0)*$AP362,0)</f>
        <v>108.616839148505</v>
      </c>
      <c r="AX362" s="153" t="n">
        <f aca="false">IFERROR(IF($N362="VCA",INDEX(APOIO_REDES!$A:$W,MATCH($C362&amp;$I362&amp;$H362&amp;$N362&amp;$O362,APOIO_REDES!$W:$W,0),MATCH(AX$5,APOIO_REDES!$5:$5,0)),0)*$AP362,0)</f>
        <v>15.0322611372302</v>
      </c>
      <c r="AY362" s="153" t="n">
        <f aca="false">IFERROR(IF($N362="VCA",INDEX(APOIO_REDES!$A:$W,MATCH($C362&amp;$I362&amp;$H362&amp;$N362&amp;$O362,APOIO_REDES!$W:$W,0),MATCH(AY$5,APOIO_REDES!$5:$5,0)),0)*$AP362,0)</f>
        <v>27.497929930788</v>
      </c>
      <c r="AZ362" s="153" t="n">
        <f aca="false">IFERROR(IF($N362="VCA",INDEX(APOIO_REDES!$A:$W,MATCH($C362&amp;$I362&amp;$H362&amp;$N362&amp;$O362,APOIO_REDES!$W:$W,0),MATCH(AZ$5,APOIO_REDES!$5:$5,0)),0)*$AP362,0)</f>
        <v>3.8056340337406</v>
      </c>
      <c r="BA362" s="153" t="n">
        <f aca="false">IFERROR(IF(AND($N362="VCA",$Q362="LINEAR"),INDEX(APOIO_REDES!$A:$W,MATCH($C362&amp;$I362&amp;$H362&amp;$N362&amp;$O362,APOIO_REDES!$W:$W,0),MATCH(BA$5,APOIO_REDES!$5:$5,0)),IF(AND($N362="MND",$Q362="EMBOQUE"),INDEX(APOIO_REDES!$A:$W,MATCH($C362&amp;$I362&amp;$H362&amp;$N362&amp;$O362,APOIO_REDES!$W:$W,0),MATCH(BA$5,APOIO_REDES!$5:$5,0)),0))*$M362/10,0)</f>
        <v>14.3955154705246</v>
      </c>
      <c r="BB362" s="153" t="n">
        <f aca="false">IFERROR(IF($N362="VCA",INDEX(APOIO_REDES!$A:$W,MATCH($C362&amp;$I362&amp;$H362&amp;$N362&amp;$O362,APOIO_REDES!$W:$W,0),MATCH(BB$5,APOIO_REDES!$5:$5,0)),0)*($AI362+$AQ362+$AR362),0)</f>
        <v>53.167834437059</v>
      </c>
      <c r="BC362" s="153" t="n">
        <f aca="false">IFERROR(IF($N362="VCA",INDEX(APOIO_REDES!$A:$W,MATCH($C362&amp;$I362&amp;$H362&amp;$N362&amp;$O362,APOIO_REDES!$W:$W,0),MATCH(BC$5,APOIO_REDES!$5:$5,0)),0)*($AI362+$AQ362+$AR362),0)</f>
        <v>0.584845062941009</v>
      </c>
      <c r="BD362" s="153" t="n">
        <f aca="false">IF(AND($N362="VCA",$AF362&gt;=1.25,$AF362&lt;1.5),$M362*$AF362*2,0)</f>
        <v>486.89086</v>
      </c>
      <c r="BE362" s="153" t="n">
        <f aca="false">IF(AND($N362="VCA",$AF362&gt;=1.5,$AF362&lt;3),$M362*$AF362*2,0)</f>
        <v>0</v>
      </c>
      <c r="BF362" s="153" t="n">
        <f aca="false">IF(AND($N362="VCA",$AF362&gt;=3),$M362*$AF362*2,0)</f>
        <v>0</v>
      </c>
      <c r="BG362" s="153" t="n">
        <f aca="false">($BB362+$BC362)*$AK362</f>
        <v>193.5096462</v>
      </c>
      <c r="BH362" s="153" t="n">
        <f aca="false">IF(AND($M362&lt;&gt;"",$N362="VCA",$Q362="LINEAR"),($M362*2)/100,IF(AND($M362&lt;&gt;"",$N362="MND",$Q362="EMBOQUE"),($AN362*2)/100,0))</f>
        <v>3.5722</v>
      </c>
      <c r="BI362" s="153" t="n">
        <f aca="false">IF(AND($M362&lt;&gt;"",$N362="VCA",$Q362="LINEAR"),$M362,IF(AND($M362&lt;&gt;"",$N362="MND",$Q362="EMBOQUE"),$AN362*2,0))</f>
        <v>178.61</v>
      </c>
      <c r="BJ362" s="153" t="n">
        <f aca="false">IF(AND($M362&lt;&gt;"",$N362="VCA",$Q362="LINEAR"),($M362*6.8)/100,IF(AND($M362&lt;&gt;"",$N362="MND",$Q362="EMBOQUE"),($AN362*2*6.8)/100,0))</f>
        <v>12.14548</v>
      </c>
      <c r="BK362" s="153" t="n">
        <f aca="false">IF(AND($M362&lt;&gt;"",$N362="VCA",$Q362="LINEAR"),($M362*2.5)/50,IF(AND($M362&lt;&gt;"",$N362="MND",$Q362="EMBOQUE"),($AN362*2*2.5)/50,0))</f>
        <v>8.9305</v>
      </c>
      <c r="BL362" s="157" t="str">
        <f aca="false">K362&amp;J362</f>
        <v>Zona03REDES</v>
      </c>
      <c r="BM362" s="152" t="s">
        <v>2526</v>
      </c>
      <c r="BN362" s="152" t="s">
        <v>1560</v>
      </c>
      <c r="BO362" s="152" t="s">
        <v>2800</v>
      </c>
      <c r="BP362" s="152" t="s">
        <v>2887</v>
      </c>
      <c r="BQ362" s="152" t="s">
        <v>2855</v>
      </c>
      <c r="BR362" s="152" t="s">
        <v>2894</v>
      </c>
      <c r="BS362" s="152" t="n">
        <v>203289.163</v>
      </c>
      <c r="BT362" s="152" t="n">
        <v>8237694.62</v>
      </c>
      <c r="BU362" s="152" t="n">
        <v>203323.209</v>
      </c>
      <c r="BV362" s="152" t="n">
        <v>8237835.525</v>
      </c>
      <c r="BW362" s="152" t="n">
        <v>-15.9217918</v>
      </c>
      <c r="BX362" s="152" t="n">
        <v>-47.7708766</v>
      </c>
      <c r="BY362" s="152" t="s">
        <v>2887</v>
      </c>
    </row>
    <row r="363" customFormat="false" ht="13.8" hidden="false" customHeight="false" outlineLevel="0" collapsed="false">
      <c r="A363" s="149" t="n">
        <f aca="false">IF(C363&lt;&gt;"",ROW(A358),"")</f>
        <v>358</v>
      </c>
      <c r="B363" s="150" t="str">
        <f aca="false">HYPERLINK("https://www.google.com/maps/dir/-15.917302,-47.760003/-15.9218017,-47.7704762/data=!4m3!4m2!3e0!5i2")</f>
        <v>https://www.google.com/maps/dir/-15.917302,-47.760003/-15.9218017,-47.7704762/data=!4m3!4m2!3e0!5i2</v>
      </c>
      <c r="C363" s="151" t="s">
        <v>117</v>
      </c>
      <c r="D363" s="152" t="s">
        <v>112</v>
      </c>
      <c r="E363" s="152" t="s">
        <v>113</v>
      </c>
      <c r="F363" s="152" t="s">
        <v>117</v>
      </c>
      <c r="G363" s="152" t="s">
        <v>782</v>
      </c>
      <c r="H363" s="152" t="n">
        <v>63</v>
      </c>
      <c r="I363" s="152" t="s">
        <v>115</v>
      </c>
      <c r="J363" s="152" t="s">
        <v>6</v>
      </c>
      <c r="K363" s="152" t="s">
        <v>2522</v>
      </c>
      <c r="L363" s="152" t="s">
        <v>120</v>
      </c>
      <c r="M363" s="153" t="n">
        <f aca="false">14.52</f>
        <v>14.52</v>
      </c>
      <c r="N363" s="152" t="s">
        <v>1548</v>
      </c>
      <c r="O363" s="152" t="s">
        <v>1549</v>
      </c>
      <c r="P363" s="152" t="s">
        <v>1550</v>
      </c>
      <c r="Q363" s="152" t="s">
        <v>1551</v>
      </c>
      <c r="R363" s="154" t="s">
        <v>2895</v>
      </c>
      <c r="S363" s="154" t="s">
        <v>1553</v>
      </c>
      <c r="T363" s="155" t="s">
        <v>2797</v>
      </c>
      <c r="U363" s="152" t="str">
        <f aca="false">RIGHT(T363,7)</f>
        <v>009/037</v>
      </c>
      <c r="V363" s="152" t="s">
        <v>1555</v>
      </c>
      <c r="W363" s="156" t="n">
        <v>45882</v>
      </c>
      <c r="X363" s="152" t="s">
        <v>1594</v>
      </c>
      <c r="Y363" s="152" t="s">
        <v>2834</v>
      </c>
      <c r="Z363" s="152" t="s">
        <v>1557</v>
      </c>
      <c r="AA363" s="153" t="n">
        <v>3.6</v>
      </c>
      <c r="AB363" s="151" t="s">
        <v>2896</v>
      </c>
      <c r="AC363" s="151" t="s">
        <v>186</v>
      </c>
      <c r="AD363" s="151" t="str">
        <f aca="false">CONCATENATE($C363,$I363,$H363,$N363,$J363,$K363)</f>
        <v>TUBO PEADPEAD63VCAREDESZona03</v>
      </c>
      <c r="AE363" s="153" t="n">
        <f aca="false">IFERROR(INDEX(APOIO_REDES!$A:$W,MATCH($C363&amp;$I363&amp;$H363&amp;$N363&amp;$O363,APOIO_REDES!$W:$W,0),MATCH(AE$5,APOIO_REDES!$5:$5,0)),0)</f>
        <v>1.2</v>
      </c>
      <c r="AF363" s="153" t="n">
        <f aca="false">IFERROR(INDEX(APOIO_REDES!$A:$W,MATCH($C363&amp;$I363&amp;$H363&amp;$N363&amp;$O363,APOIO_REDES!$W:$W,0),MATCH(AF$5,APOIO_REDES!$5:$5,0)),0)</f>
        <v>1.363</v>
      </c>
      <c r="AG363" s="153" t="n">
        <f aca="false">IFERROR(INDEX(APOIO_REDES!$A:$W,MATCH($C363&amp;$I363&amp;$H363&amp;$N363&amp;$O363,APOIO_REDES!$W:$W,0),MATCH(AG$5,APOIO_REDES!$5:$5,0)),0)</f>
        <v>0.65</v>
      </c>
      <c r="AH363" s="153" t="n">
        <f aca="false">IFERROR(INDEX(APOIO_REDES!$A:$W,MATCH($C363&amp;$I363&amp;$H363&amp;$N363&amp;$O363,APOIO_REDES!$W:$W,0),MATCH(AH$5,APOIO_REDES!$5:$5,0)),0)</f>
        <v>0.1</v>
      </c>
      <c r="AI363" s="153" t="n">
        <f aca="false">IFERROR(IF($H363&lt;&gt;"",(((($H363/1000)/2)^2)*PI()*$M363),0),0)</f>
        <v>0.0452624019088153</v>
      </c>
      <c r="AJ363" s="153" t="n">
        <f aca="false">IFERROR(IF(AND($H363&lt;&gt;"",$I363="FoFo",OR($N363="MND",$N363="VCA"),$Q363="LINEAR"),0,IF(AND($H363&lt;&gt;"",$I363="PEAD",$N363="VCA",$Q363="LINEAR"),($H363/1000)+0.3,IF(AND($H363&lt;&gt;"",$I363="PEAD",$N363="MND",$Q363="EMBOQUE"),0,IF(AND($H363&lt;&gt;"",$I363="PVC",$N363="VCA",$Q363="LINEAR"),($H363/1000)+0.2,IF(AND($H363&lt;&gt;"",$I363="PVC",$N363="MND",$Q363="EMBOQUE"),0,IF(AND($H363&lt;&gt;"",$I363="PEAD",$N363="VCA",$Q363="PREDIAL"),0,0)))))),0)</f>
        <v>0.363</v>
      </c>
      <c r="AK363" s="153" t="n">
        <f aca="false">IF(AA363&lt;&gt;"",AA363,0)</f>
        <v>3.6</v>
      </c>
      <c r="AL363" s="153" t="n">
        <f aca="false">IF(AND($N363="MND",$Q363="EMBOQUE"),$M363,IF(AND($N363="VCA",$Q363="LINEAR"),$M363,IF(AND($N363="VCA",$Q363="PREDIAL"),0,0)))</f>
        <v>14.52</v>
      </c>
      <c r="AM363" s="153" t="n">
        <f aca="false">IF(AND($N363="MND",$Q363="EMBOQUE"),$M363,IF(AND($N363="VCA",$Q363="LINEAR"),$M363,IF(AND($N363="VCA",$Q363="PREDIAL"),0,0)))</f>
        <v>14.52</v>
      </c>
      <c r="AN363" s="153" t="n">
        <f aca="false">ROUND(IF(AND($N363="VCA",$M363&lt;&gt;"",$Q363="LINEAR"),$M363/100,IF(AND($N363="MND",$M363&gt;100,$Q363="EMBOQUE"),$M363/100,0)),0)</f>
        <v>0</v>
      </c>
      <c r="AO363" s="153" t="n">
        <f aca="false">IF(AND($N363="MND",$Q363="EMBOQUE"),$AN363*2*2,IF(AND($N363="VCA",$Q363="LINEAR"),$M363*2,IF(AND($N363="VCA",$Q363="PREDIAL"),0,0)))</f>
        <v>29.04</v>
      </c>
      <c r="AP363" s="153" t="n">
        <f aca="false">IFERROR($M363*$AF363*$AG363,0)</f>
        <v>12.863994</v>
      </c>
      <c r="AQ363" s="153" t="n">
        <f aca="false">IFERROR(IF(AND($N363="VCA",$AH363&gt;0),$M363*$AG363*$AH363,0),0)</f>
        <v>0.9438</v>
      </c>
      <c r="AR363" s="153" t="n">
        <f aca="false">IFERROR(IF(AND($N363="VCA",$AJ363&gt;0),($M363*$AG363*$AJ363)-$AI363,0),0)</f>
        <v>3.38073159809119</v>
      </c>
      <c r="AS363" s="153" t="n">
        <f aca="false">IFERROR(IF(AND($N363="VCA",$AP363&gt;0),$AP363-$AI363-$AQ363-$AR363,0),0)</f>
        <v>8.4942</v>
      </c>
      <c r="AT363" s="153" t="n">
        <f aca="false">IFERROR(IF($N363="VCA",INDEX(APOIO_REDES!$A:$W,MATCH($C363&amp;$I363&amp;$H363&amp;$N363&amp;$O363,APOIO_REDES!$W:$W,0),MATCH(AT$5,APOIO_REDES!$5:$5,0)),0)*$AP363,0)</f>
        <v>0.139964062267868</v>
      </c>
      <c r="AU363" s="153" t="n">
        <f aca="false">IFERROR(IF($N363="VCA",INDEX(APOIO_REDES!$A:$W,MATCH($C363&amp;$I363&amp;$H363&amp;$N363&amp;$O363,APOIO_REDES!$W:$W,0),MATCH(AU$5,APOIO_REDES!$5:$5,0)),0)*$AP363,0)</f>
        <v>0.111771509419574</v>
      </c>
      <c r="AV363" s="153" t="n">
        <f aca="false">IFERROR(IF($N363="VCA",INDEX(APOIO_REDES!$A:$W,MATCH($C363&amp;$I363&amp;$H363&amp;$N363&amp;$O363,APOIO_REDES!$W:$W,0),MATCH(AV$5,APOIO_REDES!$5:$5,0)),0)*$AP363,0)</f>
        <v>0.0154682994629173</v>
      </c>
      <c r="AW363" s="153" t="n">
        <f aca="false">IFERROR(IF($N363="VCA",INDEX(APOIO_REDES!$A:$W,MATCH($C363&amp;$I363&amp;$H363&amp;$N363&amp;$O363,APOIO_REDES!$W:$W,0),MATCH(AW$5,APOIO_REDES!$5:$5,0)),0)*$AP363,0)</f>
        <v>8.82994515668942</v>
      </c>
      <c r="AX363" s="153" t="n">
        <f aca="false">IFERROR(IF($N363="VCA",INDEX(APOIO_REDES!$A:$W,MATCH($C363&amp;$I363&amp;$H363&amp;$N363&amp;$O363,APOIO_REDES!$W:$W,0),MATCH(AX$5,APOIO_REDES!$5:$5,0)),0)*$AP363,0)</f>
        <v>1.22203925711093</v>
      </c>
      <c r="AY363" s="153" t="n">
        <f aca="false">IFERROR(IF($N363="VCA",INDEX(APOIO_REDES!$A:$W,MATCH($C363&amp;$I363&amp;$H363&amp;$N363&amp;$O363,APOIO_REDES!$W:$W,0),MATCH(AY$5,APOIO_REDES!$5:$5,0)),0)*$AP363,0)</f>
        <v>2.23542882590584</v>
      </c>
      <c r="AZ363" s="153" t="n">
        <f aca="false">IFERROR(IF($N363="VCA",INDEX(APOIO_REDES!$A:$W,MATCH($C363&amp;$I363&amp;$H363&amp;$N363&amp;$O363,APOIO_REDES!$W:$W,0),MATCH(AZ$5,APOIO_REDES!$5:$5,0)),0)*$AP363,0)</f>
        <v>0.309376889143461</v>
      </c>
      <c r="BA363" s="153" t="n">
        <f aca="false">IFERROR(IF(AND($N363="VCA",$Q363="LINEAR"),INDEX(APOIO_REDES!$A:$W,MATCH($C363&amp;$I363&amp;$H363&amp;$N363&amp;$O363,APOIO_REDES!$W:$W,0),MATCH(BA$5,APOIO_REDES!$5:$5,0)),IF(AND($N363="MND",$Q363="EMBOQUE"),INDEX(APOIO_REDES!$A:$W,MATCH($C363&amp;$I363&amp;$H363&amp;$N363&amp;$O363,APOIO_REDES!$W:$W,0),MATCH(BA$5,APOIO_REDES!$5:$5,0)),0))*$M363/10,0)</f>
        <v>1.17027537445841</v>
      </c>
      <c r="BB363" s="153" t="n">
        <f aca="false">IFERROR(IF($N363="VCA",INDEX(APOIO_REDES!$A:$W,MATCH($C363&amp;$I363&amp;$H363&amp;$N363&amp;$O363,APOIO_REDES!$W:$W,0),MATCH(BB$5,APOIO_REDES!$5:$5,0)),0)*($AI363+$AQ363+$AR363),0)</f>
        <v>4.322249347887</v>
      </c>
      <c r="BC363" s="153" t="n">
        <f aca="false">IFERROR(IF($N363="VCA",INDEX(APOIO_REDES!$A:$W,MATCH($C363&amp;$I363&amp;$H363&amp;$N363&amp;$O363,APOIO_REDES!$W:$W,0),MATCH(BC$5,APOIO_REDES!$5:$5,0)),0)*($AI363+$AQ363+$AR363),0)</f>
        <v>0.0475446521130029</v>
      </c>
      <c r="BD363" s="153" t="n">
        <f aca="false">IF(AND($N363="VCA",$AF363&gt;=1.25,$AF363&lt;1.5),$M363*$AF363*2,0)</f>
        <v>39.58152</v>
      </c>
      <c r="BE363" s="153" t="n">
        <f aca="false">IF(AND($N363="VCA",$AF363&gt;=1.5,$AF363&lt;3),$M363*$AF363*2,0)</f>
        <v>0</v>
      </c>
      <c r="BF363" s="153" t="n">
        <f aca="false">IF(AND($N363="VCA",$AF363&gt;=3),$M363*$AF363*2,0)</f>
        <v>0</v>
      </c>
      <c r="BG363" s="153" t="n">
        <f aca="false">($BB363+$BC363)*$AK363</f>
        <v>15.7312584</v>
      </c>
      <c r="BH363" s="153" t="n">
        <f aca="false">IF(AND($M363&lt;&gt;"",$N363="VCA",$Q363="LINEAR"),($M363*2)/100,IF(AND($M363&lt;&gt;"",$N363="MND",$Q363="EMBOQUE"),($AN363*2)/100,0))</f>
        <v>0.2904</v>
      </c>
      <c r="BI363" s="153" t="n">
        <f aca="false">IF(AND($M363&lt;&gt;"",$N363="VCA",$Q363="LINEAR"),$M363,IF(AND($M363&lt;&gt;"",$N363="MND",$Q363="EMBOQUE"),$AN363*2,0))</f>
        <v>14.52</v>
      </c>
      <c r="BJ363" s="153" t="n">
        <f aca="false">IF(AND($M363&lt;&gt;"",$N363="VCA",$Q363="LINEAR"),($M363*6.8)/100,IF(AND($M363&lt;&gt;"",$N363="MND",$Q363="EMBOQUE"),($AN363*2*6.8)/100,0))</f>
        <v>0.98736</v>
      </c>
      <c r="BK363" s="153" t="n">
        <f aca="false">IF(AND($M363&lt;&gt;"",$N363="VCA",$Q363="LINEAR"),($M363*2.5)/50,IF(AND($M363&lt;&gt;"",$N363="MND",$Q363="EMBOQUE"),($AN363*2*2.5)/50,0))</f>
        <v>0.726</v>
      </c>
      <c r="BL363" s="157" t="str">
        <f aca="false">K363&amp;J363</f>
        <v>Zona03REDES</v>
      </c>
      <c r="BM363" s="152" t="s">
        <v>2526</v>
      </c>
      <c r="BN363" s="152" t="s">
        <v>1560</v>
      </c>
      <c r="BO363" s="152" t="s">
        <v>2800</v>
      </c>
      <c r="BP363" s="152" t="s">
        <v>2897</v>
      </c>
      <c r="BQ363" s="152" t="s">
        <v>2874</v>
      </c>
      <c r="BR363" s="152" t="s">
        <v>2898</v>
      </c>
      <c r="BS363" s="152" t="n">
        <v>203368.515</v>
      </c>
      <c r="BT363" s="152" t="n">
        <v>8237745.979</v>
      </c>
      <c r="BU363" s="152" t="n">
        <v>203383.024</v>
      </c>
      <c r="BV363" s="152" t="n">
        <v>8237745.494</v>
      </c>
      <c r="BW363" s="152" t="n">
        <v>-15.9218046</v>
      </c>
      <c r="BX363" s="152" t="n">
        <v>-47.7704085</v>
      </c>
      <c r="BY363" s="152" t="s">
        <v>2897</v>
      </c>
    </row>
    <row r="364" customFormat="false" ht="13.8" hidden="false" customHeight="false" outlineLevel="0" collapsed="false">
      <c r="A364" s="149" t="n">
        <f aca="false">IF(C364&lt;&gt;"",ROW(A359),"")</f>
        <v>359</v>
      </c>
      <c r="B364" s="150" t="str">
        <f aca="false">HYPERLINK("https://www.google.com/maps/dir/-15.917302,-47.760003/-15.9218078,-47.7703409/data=!4m3!4m2!3e0!5i2")</f>
        <v>https://www.google.com/maps/dir/-15.917302,-47.760003/-15.9218078,-47.7703409/data=!4m3!4m2!3e0!5i2</v>
      </c>
      <c r="C364" s="151" t="s">
        <v>117</v>
      </c>
      <c r="D364" s="152" t="s">
        <v>112</v>
      </c>
      <c r="E364" s="152" t="s">
        <v>113</v>
      </c>
      <c r="F364" s="152" t="s">
        <v>117</v>
      </c>
      <c r="G364" s="152" t="s">
        <v>782</v>
      </c>
      <c r="H364" s="152" t="n">
        <v>63</v>
      </c>
      <c r="I364" s="152" t="s">
        <v>115</v>
      </c>
      <c r="J364" s="152" t="s">
        <v>6</v>
      </c>
      <c r="K364" s="152" t="s">
        <v>2522</v>
      </c>
      <c r="L364" s="152" t="s">
        <v>120</v>
      </c>
      <c r="M364" s="153" t="n">
        <f aca="false">37.01</f>
        <v>37.01</v>
      </c>
      <c r="N364" s="152" t="s">
        <v>1548</v>
      </c>
      <c r="O364" s="152" t="s">
        <v>1549</v>
      </c>
      <c r="P364" s="152" t="s">
        <v>1550</v>
      </c>
      <c r="Q364" s="152" t="s">
        <v>1551</v>
      </c>
      <c r="R364" s="154" t="s">
        <v>2899</v>
      </c>
      <c r="S364" s="154" t="s">
        <v>1553</v>
      </c>
      <c r="T364" s="155" t="s">
        <v>2797</v>
      </c>
      <c r="U364" s="152" t="str">
        <f aca="false">RIGHT(T364,7)</f>
        <v>009/037</v>
      </c>
      <c r="V364" s="152" t="s">
        <v>1555</v>
      </c>
      <c r="W364" s="156" t="n">
        <v>45882</v>
      </c>
      <c r="X364" s="152" t="s">
        <v>1594</v>
      </c>
      <c r="Y364" s="152" t="s">
        <v>2834</v>
      </c>
      <c r="Z364" s="152" t="s">
        <v>1557</v>
      </c>
      <c r="AA364" s="153" t="n">
        <v>3.6</v>
      </c>
      <c r="AB364" s="151" t="s">
        <v>2900</v>
      </c>
      <c r="AC364" s="151" t="s">
        <v>186</v>
      </c>
      <c r="AD364" s="151" t="str">
        <f aca="false">CONCATENATE($C364,$I364,$H364,$N364,$J364,$K364)</f>
        <v>TUBO PEADPEAD63VCAREDESZona03</v>
      </c>
      <c r="AE364" s="153" t="n">
        <f aca="false">IFERROR(INDEX(APOIO_REDES!$A:$W,MATCH($C364&amp;$I364&amp;$H364&amp;$N364&amp;$O364,APOIO_REDES!$W:$W,0),MATCH(AE$5,APOIO_REDES!$5:$5,0)),0)</f>
        <v>1.2</v>
      </c>
      <c r="AF364" s="153" t="n">
        <f aca="false">IFERROR(INDEX(APOIO_REDES!$A:$W,MATCH($C364&amp;$I364&amp;$H364&amp;$N364&amp;$O364,APOIO_REDES!$W:$W,0),MATCH(AF$5,APOIO_REDES!$5:$5,0)),0)</f>
        <v>1.363</v>
      </c>
      <c r="AG364" s="153" t="n">
        <f aca="false">IFERROR(INDEX(APOIO_REDES!$A:$W,MATCH($C364&amp;$I364&amp;$H364&amp;$N364&amp;$O364,APOIO_REDES!$W:$W,0),MATCH(AG$5,APOIO_REDES!$5:$5,0)),0)</f>
        <v>0.65</v>
      </c>
      <c r="AH364" s="153" t="n">
        <f aca="false">IFERROR(INDEX(APOIO_REDES!$A:$W,MATCH($C364&amp;$I364&amp;$H364&amp;$N364&amp;$O364,APOIO_REDES!$W:$W,0),MATCH(AH$5,APOIO_REDES!$5:$5,0)),0)</f>
        <v>0.1</v>
      </c>
      <c r="AI364" s="153" t="n">
        <f aca="false">IFERROR(IF($H364&lt;&gt;"",(((($H364/1000)/2)^2)*PI()*$M364),0),0)</f>
        <v>0.115369248942511</v>
      </c>
      <c r="AJ364" s="153" t="n">
        <f aca="false">IFERROR(IF(AND($H364&lt;&gt;"",$I364="FoFo",OR($N364="MND",$N364="VCA"),$Q364="LINEAR"),0,IF(AND($H364&lt;&gt;"",$I364="PEAD",$N364="VCA",$Q364="LINEAR"),($H364/1000)+0.3,IF(AND($H364&lt;&gt;"",$I364="PEAD",$N364="MND",$Q364="EMBOQUE"),0,IF(AND($H364&lt;&gt;"",$I364="PVC",$N364="VCA",$Q364="LINEAR"),($H364/1000)+0.2,IF(AND($H364&lt;&gt;"",$I364="PVC",$N364="MND",$Q364="EMBOQUE"),0,IF(AND($H364&lt;&gt;"",$I364="PEAD",$N364="VCA",$Q364="PREDIAL"),0,0)))))),0)</f>
        <v>0.363</v>
      </c>
      <c r="AK364" s="153" t="n">
        <f aca="false">IF(AA364&lt;&gt;"",AA364,0)</f>
        <v>3.6</v>
      </c>
      <c r="AL364" s="153" t="n">
        <f aca="false">IF(AND($N364="MND",$Q364="EMBOQUE"),$M364,IF(AND($N364="VCA",$Q364="LINEAR"),$M364,IF(AND($N364="VCA",$Q364="PREDIAL"),0,0)))</f>
        <v>37.01</v>
      </c>
      <c r="AM364" s="153" t="n">
        <f aca="false">IF(AND($N364="MND",$Q364="EMBOQUE"),$M364,IF(AND($N364="VCA",$Q364="LINEAR"),$M364,IF(AND($N364="VCA",$Q364="PREDIAL"),0,0)))</f>
        <v>37.01</v>
      </c>
      <c r="AN364" s="153" t="n">
        <f aca="false">ROUND(IF(AND($N364="VCA",$M364&lt;&gt;"",$Q364="LINEAR"),$M364/100,IF(AND($N364="MND",$M364&gt;100,$Q364="EMBOQUE"),$M364/100,0)),0)</f>
        <v>0</v>
      </c>
      <c r="AO364" s="153" t="n">
        <f aca="false">IF(AND($N364="MND",$Q364="EMBOQUE"),$AN364*2*2,IF(AND($N364="VCA",$Q364="LINEAR"),$M364*2,IF(AND($N364="VCA",$Q364="PREDIAL"),0,0)))</f>
        <v>74.02</v>
      </c>
      <c r="AP364" s="153" t="n">
        <f aca="false">IFERROR($M364*$AF364*$AG364,0)</f>
        <v>32.7890095</v>
      </c>
      <c r="AQ364" s="153" t="n">
        <f aca="false">IFERROR(IF(AND($N364="VCA",$AH364&gt;0),$M364*$AG364*$AH364,0),0)</f>
        <v>2.40565</v>
      </c>
      <c r="AR364" s="153" t="n">
        <f aca="false">IFERROR(IF(AND($N364="VCA",$AJ364&gt;0),($M364*$AG364*$AJ364)-$AI364,0),0)</f>
        <v>8.61714025105749</v>
      </c>
      <c r="AS364" s="153" t="n">
        <f aca="false">IFERROR(IF(AND($N364="VCA",$AP364&gt;0),$AP364-$AI364-$AQ364-$AR364,0),0)</f>
        <v>21.65085</v>
      </c>
      <c r="AT364" s="153" t="n">
        <f aca="false">IFERROR(IF($N364="VCA",INDEX(APOIO_REDES!$A:$W,MATCH($C364&amp;$I364&amp;$H364&amp;$N364&amp;$O364,APOIO_REDES!$W:$W,0),MATCH(AT$5,APOIO_REDES!$5:$5,0)),0)*$AP364,0)</f>
        <v>0.356754128411419</v>
      </c>
      <c r="AU364" s="153" t="n">
        <f aca="false">IFERROR(IF($N364="VCA",INDEX(APOIO_REDES!$A:$W,MATCH($C364&amp;$I364&amp;$H364&amp;$N364&amp;$O364,APOIO_REDES!$W:$W,0),MATCH(AU$5,APOIO_REDES!$5:$5,0)),0)*$AP364,0)</f>
        <v>0.284894184822206</v>
      </c>
      <c r="AV364" s="153" t="n">
        <f aca="false">IFERROR(IF($N364="VCA",INDEX(APOIO_REDES!$A:$W,MATCH($C364&amp;$I364&amp;$H364&amp;$N364&amp;$O364,APOIO_REDES!$W:$W,0),MATCH(AV$5,APOIO_REDES!$5:$5,0)),0)*$AP364,0)</f>
        <v>0.0394271186723533</v>
      </c>
      <c r="AW364" s="153" t="n">
        <f aca="false">IFERROR(IF($N364="VCA",INDEX(APOIO_REDES!$A:$W,MATCH($C364&amp;$I364&amp;$H364&amp;$N364&amp;$O364,APOIO_REDES!$W:$W,0),MATCH(AW$5,APOIO_REDES!$5:$5,0)),0)*$AP364,0)</f>
        <v>22.5066301824432</v>
      </c>
      <c r="AX364" s="153" t="n">
        <f aca="false">IFERROR(IF($N364="VCA",INDEX(APOIO_REDES!$A:$W,MATCH($C364&amp;$I364&amp;$H364&amp;$N364&amp;$O364,APOIO_REDES!$W:$W,0),MATCH(AX$5,APOIO_REDES!$5:$5,0)),0)*$AP364,0)</f>
        <v>3.11485350590051</v>
      </c>
      <c r="AY364" s="153" t="n">
        <f aca="false">IFERROR(IF($N364="VCA",INDEX(APOIO_REDES!$A:$W,MATCH($C364&amp;$I364&amp;$H364&amp;$N364&amp;$O364,APOIO_REDES!$W:$W,0),MATCH(AY$5,APOIO_REDES!$5:$5,0)),0)*$AP364,0)</f>
        <v>5.6978802236071</v>
      </c>
      <c r="AZ364" s="153" t="n">
        <f aca="false">IFERROR(IF($N364="VCA",INDEX(APOIO_REDES!$A:$W,MATCH($C364&amp;$I364&amp;$H364&amp;$N364&amp;$O364,APOIO_REDES!$W:$W,0),MATCH(AZ$5,APOIO_REDES!$5:$5,0)),0)*$AP364,0)</f>
        <v>0.788570156143215</v>
      </c>
      <c r="BA364" s="153" t="n">
        <f aca="false">IFERROR(IF(AND($N364="VCA",$Q364="LINEAR"),INDEX(APOIO_REDES!$A:$W,MATCH($C364&amp;$I364&amp;$H364&amp;$N364&amp;$O364,APOIO_REDES!$W:$W,0),MATCH(BA$5,APOIO_REDES!$5:$5,0)),IF(AND($N364="MND",$Q364="EMBOQUE"),INDEX(APOIO_REDES!$A:$W,MATCH($C364&amp;$I364&amp;$H364&amp;$N364&amp;$O364,APOIO_REDES!$W:$W,0),MATCH(BA$5,APOIO_REDES!$5:$5,0)),0))*$M364/10,0)</f>
        <v>2.98291264522767</v>
      </c>
      <c r="BB364" s="153" t="n">
        <f aca="false">IFERROR(IF($N364="VCA",INDEX(APOIO_REDES!$A:$W,MATCH($C364&amp;$I364&amp;$H364&amp;$N364&amp;$O364,APOIO_REDES!$W:$W,0),MATCH(BB$5,APOIO_REDES!$5:$5,0)),0)*($AI364+$AQ364+$AR364),0)</f>
        <v>11.0169730279131</v>
      </c>
      <c r="BC364" s="153" t="n">
        <f aca="false">IFERROR(IF($N364="VCA",INDEX(APOIO_REDES!$A:$W,MATCH($C364&amp;$I364&amp;$H364&amp;$N364&amp;$O364,APOIO_REDES!$W:$W,0),MATCH(BC$5,APOIO_REDES!$5:$5,0)),0)*($AI364+$AQ364+$AR364),0)</f>
        <v>0.121186472086931</v>
      </c>
      <c r="BD364" s="153" t="n">
        <f aca="false">IF(AND($N364="VCA",$AF364&gt;=1.25,$AF364&lt;1.5),$M364*$AF364*2,0)</f>
        <v>100.88926</v>
      </c>
      <c r="BE364" s="153" t="n">
        <f aca="false">IF(AND($N364="VCA",$AF364&gt;=1.5,$AF364&lt;3),$M364*$AF364*2,0)</f>
        <v>0</v>
      </c>
      <c r="BF364" s="153" t="n">
        <f aca="false">IF(AND($N364="VCA",$AF364&gt;=3),$M364*$AF364*2,0)</f>
        <v>0</v>
      </c>
      <c r="BG364" s="153" t="n">
        <f aca="false">($BB364+$BC364)*$AK364</f>
        <v>40.0973742</v>
      </c>
      <c r="BH364" s="153" t="n">
        <f aca="false">IF(AND($M364&lt;&gt;"",$N364="VCA",$Q364="LINEAR"),($M364*2)/100,IF(AND($M364&lt;&gt;"",$N364="MND",$Q364="EMBOQUE"),($AN364*2)/100,0))</f>
        <v>0.7402</v>
      </c>
      <c r="BI364" s="153" t="n">
        <f aca="false">IF(AND($M364&lt;&gt;"",$N364="VCA",$Q364="LINEAR"),$M364,IF(AND($M364&lt;&gt;"",$N364="MND",$Q364="EMBOQUE"),$AN364*2,0))</f>
        <v>37.01</v>
      </c>
      <c r="BJ364" s="153" t="n">
        <f aca="false">IF(AND($M364&lt;&gt;"",$N364="VCA",$Q364="LINEAR"),($M364*6.8)/100,IF(AND($M364&lt;&gt;"",$N364="MND",$Q364="EMBOQUE"),($AN364*2*6.8)/100,0))</f>
        <v>2.51668</v>
      </c>
      <c r="BK364" s="153" t="n">
        <f aca="false">IF(AND($M364&lt;&gt;"",$N364="VCA",$Q364="LINEAR"),($M364*2.5)/50,IF(AND($M364&lt;&gt;"",$N364="MND",$Q364="EMBOQUE"),($AN364*2*2.5)/50,0))</f>
        <v>1.8505</v>
      </c>
      <c r="BL364" s="157" t="str">
        <f aca="false">K364&amp;J364</f>
        <v>Zona03REDES</v>
      </c>
      <c r="BM364" s="152" t="s">
        <v>2526</v>
      </c>
      <c r="BN364" s="152" t="s">
        <v>1560</v>
      </c>
      <c r="BO364" s="152" t="s">
        <v>2800</v>
      </c>
      <c r="BP364" s="152" t="s">
        <v>2874</v>
      </c>
      <c r="BQ364" s="152" t="s">
        <v>2901</v>
      </c>
      <c r="BR364" s="152" t="s">
        <v>2902</v>
      </c>
      <c r="BS364" s="152" t="n">
        <v>203383.024</v>
      </c>
      <c r="BT364" s="152" t="n">
        <v>8237745.494</v>
      </c>
      <c r="BU364" s="152" t="n">
        <v>203420.005</v>
      </c>
      <c r="BV364" s="152" t="n">
        <v>8237744.205</v>
      </c>
      <c r="BW364" s="152" t="n">
        <v>-15.9218167</v>
      </c>
      <c r="BX364" s="152" t="n">
        <v>-47.7701684</v>
      </c>
      <c r="BY364" s="152" t="s">
        <v>2874</v>
      </c>
    </row>
    <row r="365" customFormat="false" ht="13.8" hidden="false" customHeight="false" outlineLevel="0" collapsed="false">
      <c r="A365" s="149" t="n">
        <f aca="false">IF(C365&lt;&gt;"",ROW(A360),"")</f>
        <v>360</v>
      </c>
      <c r="B365" s="150" t="str">
        <f aca="false">HYPERLINK("https://www.google.com/maps/dir/-15.917302,-47.760003/-15.9228496,-47.7693188/data=!4m3!4m2!3e0!5i2")</f>
        <v>https://www.google.com/maps/dir/-15.917302,-47.760003/-15.9228496,-47.7693188/data=!4m3!4m2!3e0!5i2</v>
      </c>
      <c r="C365" s="151" t="s">
        <v>117</v>
      </c>
      <c r="D365" s="152" t="s">
        <v>112</v>
      </c>
      <c r="E365" s="152" t="s">
        <v>113</v>
      </c>
      <c r="F365" s="152" t="s">
        <v>117</v>
      </c>
      <c r="G365" s="152" t="s">
        <v>782</v>
      </c>
      <c r="H365" s="152" t="n">
        <v>63</v>
      </c>
      <c r="I365" s="152" t="s">
        <v>115</v>
      </c>
      <c r="J365" s="152" t="s">
        <v>6</v>
      </c>
      <c r="K365" s="152" t="s">
        <v>2522</v>
      </c>
      <c r="L365" s="152" t="s">
        <v>120</v>
      </c>
      <c r="M365" s="153" t="n">
        <f aca="false">169.23</f>
        <v>169.23</v>
      </c>
      <c r="N365" s="152" t="s">
        <v>1548</v>
      </c>
      <c r="O365" s="152" t="s">
        <v>1549</v>
      </c>
      <c r="P365" s="152" t="s">
        <v>1550</v>
      </c>
      <c r="Q365" s="152" t="s">
        <v>1551</v>
      </c>
      <c r="R365" s="154" t="s">
        <v>2903</v>
      </c>
      <c r="S365" s="154" t="s">
        <v>1553</v>
      </c>
      <c r="T365" s="155" t="s">
        <v>2797</v>
      </c>
      <c r="U365" s="152" t="str">
        <f aca="false">RIGHT(T365,7)</f>
        <v>009/037</v>
      </c>
      <c r="V365" s="152" t="s">
        <v>1555</v>
      </c>
      <c r="W365" s="156" t="n">
        <v>45882</v>
      </c>
      <c r="X365" s="152" t="s">
        <v>1594</v>
      </c>
      <c r="Y365" s="152"/>
      <c r="Z365" s="152" t="s">
        <v>1557</v>
      </c>
      <c r="AA365" s="153" t="n">
        <v>3.5</v>
      </c>
      <c r="AB365" s="151" t="s">
        <v>2904</v>
      </c>
      <c r="AC365" s="151" t="s">
        <v>186</v>
      </c>
      <c r="AD365" s="151" t="str">
        <f aca="false">CONCATENATE($C365,$I365,$H365,$N365,$J365,$K365)</f>
        <v>TUBO PEADPEAD63VCAREDESZona03</v>
      </c>
      <c r="AE365" s="153" t="n">
        <f aca="false">IFERROR(INDEX(APOIO_REDES!$A:$W,MATCH($C365&amp;$I365&amp;$H365&amp;$N365&amp;$O365,APOIO_REDES!$W:$W,0),MATCH(AE$5,APOIO_REDES!$5:$5,0)),0)</f>
        <v>1.2</v>
      </c>
      <c r="AF365" s="153" t="n">
        <f aca="false">IFERROR(INDEX(APOIO_REDES!$A:$W,MATCH($C365&amp;$I365&amp;$H365&amp;$N365&amp;$O365,APOIO_REDES!$W:$W,0),MATCH(AF$5,APOIO_REDES!$5:$5,0)),0)</f>
        <v>1.363</v>
      </c>
      <c r="AG365" s="153" t="n">
        <f aca="false">IFERROR(INDEX(APOIO_REDES!$A:$W,MATCH($C365&amp;$I365&amp;$H365&amp;$N365&amp;$O365,APOIO_REDES!$W:$W,0),MATCH(AG$5,APOIO_REDES!$5:$5,0)),0)</f>
        <v>0.65</v>
      </c>
      <c r="AH365" s="153" t="n">
        <f aca="false">IFERROR(INDEX(APOIO_REDES!$A:$W,MATCH($C365&amp;$I365&amp;$H365&amp;$N365&amp;$O365,APOIO_REDES!$W:$W,0),MATCH(AH$5,APOIO_REDES!$5:$5,0)),0)</f>
        <v>0.1</v>
      </c>
      <c r="AI365" s="153" t="n">
        <f aca="false">IFERROR(IF($H365&lt;&gt;"",(((($H365/1000)/2)^2)*PI()*$M365),0),0)</f>
        <v>0.527531423900056</v>
      </c>
      <c r="AJ365" s="153" t="n">
        <f aca="false">IFERROR(IF(AND($H365&lt;&gt;"",$I365="FoFo",OR($N365="MND",$N365="VCA"),$Q365="LINEAR"),0,IF(AND($H365&lt;&gt;"",$I365="PEAD",$N365="VCA",$Q365="LINEAR"),($H365/1000)+0.3,IF(AND($H365&lt;&gt;"",$I365="PEAD",$N365="MND",$Q365="EMBOQUE"),0,IF(AND($H365&lt;&gt;"",$I365="PVC",$N365="VCA",$Q365="LINEAR"),($H365/1000)+0.2,IF(AND($H365&lt;&gt;"",$I365="PVC",$N365="MND",$Q365="EMBOQUE"),0,IF(AND($H365&lt;&gt;"",$I365="PEAD",$N365="VCA",$Q365="PREDIAL"),0,0)))))),0)</f>
        <v>0.363</v>
      </c>
      <c r="AK365" s="153" t="n">
        <f aca="false">IF(AA365&lt;&gt;"",AA365,0)</f>
        <v>3.5</v>
      </c>
      <c r="AL365" s="153" t="n">
        <f aca="false">IF(AND($N365="MND",$Q365="EMBOQUE"),$M365,IF(AND($N365="VCA",$Q365="LINEAR"),$M365,IF(AND($N365="VCA",$Q365="PREDIAL"),0,0)))</f>
        <v>169.23</v>
      </c>
      <c r="AM365" s="153" t="n">
        <f aca="false">IF(AND($N365="MND",$Q365="EMBOQUE"),$M365,IF(AND($N365="VCA",$Q365="LINEAR"),$M365,IF(AND($N365="VCA",$Q365="PREDIAL"),0,0)))</f>
        <v>169.23</v>
      </c>
      <c r="AN365" s="153" t="n">
        <f aca="false">ROUND(IF(AND($N365="VCA",$M365&lt;&gt;"",$Q365="LINEAR"),$M365/100,IF(AND($N365="MND",$M365&gt;100,$Q365="EMBOQUE"),$M365/100,0)),0)</f>
        <v>2</v>
      </c>
      <c r="AO365" s="153" t="n">
        <f aca="false">IF(AND($N365="MND",$Q365="EMBOQUE"),$AN365*2*2,IF(AND($N365="VCA",$Q365="LINEAR"),$M365*2,IF(AND($N365="VCA",$Q365="PREDIAL"),0,0)))</f>
        <v>338.46</v>
      </c>
      <c r="AP365" s="153" t="n">
        <f aca="false">IFERROR($M365*$AF365*$AG365,0)</f>
        <v>149.9293185</v>
      </c>
      <c r="AQ365" s="153" t="n">
        <f aca="false">IFERROR(IF(AND($N365="VCA",$AH365&gt;0),$M365*$AG365*$AH365,0),0)</f>
        <v>10.99995</v>
      </c>
      <c r="AR365" s="153" t="n">
        <f aca="false">IFERROR(IF(AND($N365="VCA",$AJ365&gt;0),($M365*$AG365*$AJ365)-$AI365,0),0)</f>
        <v>39.4022870760999</v>
      </c>
      <c r="AS365" s="153" t="n">
        <f aca="false">IFERROR(IF(AND($N365="VCA",$AP365&gt;0),$AP365-$AI365-$AQ365-$AR365,0),0)</f>
        <v>98.99955</v>
      </c>
      <c r="AT365" s="153" t="n">
        <f aca="false">IFERROR(IF($N365="VCA",INDEX(APOIO_REDES!$A:$W,MATCH($C365&amp;$I365&amp;$H365&amp;$N365&amp;$O365,APOIO_REDES!$W:$W,0),MATCH(AT$5,APOIO_REDES!$5:$5,0)),0)*$AP365,0)</f>
        <v>1.63127536209307</v>
      </c>
      <c r="AU365" s="153" t="n">
        <f aca="false">IFERROR(IF($N365="VCA",INDEX(APOIO_REDES!$A:$W,MATCH($C365&amp;$I365&amp;$H365&amp;$N365&amp;$O365,APOIO_REDES!$W:$W,0),MATCH(AU$5,APOIO_REDES!$5:$5,0)),0)*$AP365,0)</f>
        <v>1.30269232362772</v>
      </c>
      <c r="AV365" s="153" t="n">
        <f aca="false">IFERROR(IF($N365="VCA",INDEX(APOIO_REDES!$A:$W,MATCH($C365&amp;$I365&amp;$H365&amp;$N365&amp;$O365,APOIO_REDES!$W:$W,0),MATCH(AV$5,APOIO_REDES!$5:$5,0)),0)*$AP365,0)</f>
        <v>0.180282391054373</v>
      </c>
      <c r="AW365" s="153" t="n">
        <f aca="false">IFERROR(IF($N365="VCA",INDEX(APOIO_REDES!$A:$W,MATCH($C365&amp;$I365&amp;$H365&amp;$N365&amp;$O365,APOIO_REDES!$W:$W,0),MATCH(AW$5,APOIO_REDES!$5:$5,0)),0)*$AP365,0)</f>
        <v>102.912645927448</v>
      </c>
      <c r="AX365" s="153" t="n">
        <f aca="false">IFERROR(IF($N365="VCA",INDEX(APOIO_REDES!$A:$W,MATCH($C365&amp;$I365&amp;$H365&amp;$N365&amp;$O365,APOIO_REDES!$W:$W,0),MATCH(AX$5,APOIO_REDES!$5:$5,0)),0)*$AP365,0)</f>
        <v>14.2428170441379</v>
      </c>
      <c r="AY365" s="153" t="n">
        <f aca="false">IFERROR(IF($N365="VCA",INDEX(APOIO_REDES!$A:$W,MATCH($C365&amp;$I365&amp;$H365&amp;$N365&amp;$O365,APOIO_REDES!$W:$W,0),MATCH(AY$5,APOIO_REDES!$5:$5,0)),0)*$AP365,0)</f>
        <v>26.0538305928406</v>
      </c>
      <c r="AZ365" s="153" t="n">
        <f aca="false">IFERROR(IF($N365="VCA",INDEX(APOIO_REDES!$A:$W,MATCH($C365&amp;$I365&amp;$H365&amp;$N365&amp;$O365,APOIO_REDES!$W:$W,0),MATCH(AZ$5,APOIO_REDES!$5:$5,0)),0)*$AP365,0)</f>
        <v>3.60577485879806</v>
      </c>
      <c r="BA365" s="153" t="n">
        <f aca="false">IFERROR(IF(AND($N365="VCA",$Q365="LINEAR"),INDEX(APOIO_REDES!$A:$W,MATCH($C365&amp;$I365&amp;$H365&amp;$N365&amp;$O365,APOIO_REDES!$W:$W,0),MATCH(BA$5,APOIO_REDES!$5:$5,0)),IF(AND($N365="MND",$Q365="EMBOQUE"),INDEX(APOIO_REDES!$A:$W,MATCH($C365&amp;$I365&amp;$H365&amp;$N365&amp;$O365,APOIO_REDES!$W:$W,0),MATCH(BA$5,APOIO_REDES!$5:$5,0)),0))*$M365/10,0)</f>
        <v>13.6395111308262</v>
      </c>
      <c r="BB365" s="153" t="n">
        <f aca="false">IFERROR(IF($N365="VCA",INDEX(APOIO_REDES!$A:$W,MATCH($C365&amp;$I365&amp;$H365&amp;$N365&amp;$O365,APOIO_REDES!$W:$W,0),MATCH(BB$5,APOIO_REDES!$5:$5,0)),0)*($AI365+$AQ365+$AR365),0)</f>
        <v>50.375637544278</v>
      </c>
      <c r="BC365" s="153" t="n">
        <f aca="false">IFERROR(IF($N365="VCA",INDEX(APOIO_REDES!$A:$W,MATCH($C365&amp;$I365&amp;$H365&amp;$N365&amp;$O365,APOIO_REDES!$W:$W,0),MATCH(BC$5,APOIO_REDES!$5:$5,0)),0)*($AI365+$AQ365+$AR365),0)</f>
        <v>0.554130955722003</v>
      </c>
      <c r="BD365" s="153" t="n">
        <f aca="false">IF(AND($N365="VCA",$AF365&gt;=1.25,$AF365&lt;1.5),$M365*$AF365*2,0)</f>
        <v>461.32098</v>
      </c>
      <c r="BE365" s="153" t="n">
        <f aca="false">IF(AND($N365="VCA",$AF365&gt;=1.5,$AF365&lt;3),$M365*$AF365*2,0)</f>
        <v>0</v>
      </c>
      <c r="BF365" s="153" t="n">
        <f aca="false">IF(AND($N365="VCA",$AF365&gt;=3),$M365*$AF365*2,0)</f>
        <v>0</v>
      </c>
      <c r="BG365" s="153" t="n">
        <f aca="false">($BB365+$BC365)*$AK365</f>
        <v>178.25418975</v>
      </c>
      <c r="BH365" s="153" t="n">
        <f aca="false">IF(AND($M365&lt;&gt;"",$N365="VCA",$Q365="LINEAR"),($M365*2)/100,IF(AND($M365&lt;&gt;"",$N365="MND",$Q365="EMBOQUE"),($AN365*2)/100,0))</f>
        <v>3.3846</v>
      </c>
      <c r="BI365" s="153" t="n">
        <f aca="false">IF(AND($M365&lt;&gt;"",$N365="VCA",$Q365="LINEAR"),$M365,IF(AND($M365&lt;&gt;"",$N365="MND",$Q365="EMBOQUE"),$AN365*2,0))</f>
        <v>169.23</v>
      </c>
      <c r="BJ365" s="153" t="n">
        <f aca="false">IF(AND($M365&lt;&gt;"",$N365="VCA",$Q365="LINEAR"),($M365*6.8)/100,IF(AND($M365&lt;&gt;"",$N365="MND",$Q365="EMBOQUE"),($AN365*2*6.8)/100,0))</f>
        <v>11.50764</v>
      </c>
      <c r="BK365" s="153" t="n">
        <f aca="false">IF(AND($M365&lt;&gt;"",$N365="VCA",$Q365="LINEAR"),($M365*2.5)/50,IF(AND($M365&lt;&gt;"",$N365="MND",$Q365="EMBOQUE"),($AN365*2*2.5)/50,0))</f>
        <v>8.4615</v>
      </c>
      <c r="BL365" s="157" t="str">
        <f aca="false">K365&amp;J365</f>
        <v>Zona03REDES</v>
      </c>
      <c r="BM365" s="152" t="s">
        <v>2526</v>
      </c>
      <c r="BN365" s="152" t="s">
        <v>1560</v>
      </c>
      <c r="BO365" s="152" t="s">
        <v>2800</v>
      </c>
      <c r="BP365" s="152" t="s">
        <v>2905</v>
      </c>
      <c r="BQ365" s="152" t="s">
        <v>2866</v>
      </c>
      <c r="BR365" s="152" t="s">
        <v>2906</v>
      </c>
      <c r="BS365" s="152" t="n">
        <v>203494.055</v>
      </c>
      <c r="BT365" s="152" t="n">
        <v>8237631.599</v>
      </c>
      <c r="BU365" s="152" t="n">
        <v>203489.978</v>
      </c>
      <c r="BV365" s="152" t="n">
        <v>8237796.657</v>
      </c>
      <c r="BW365" s="152" t="n">
        <v>-15.9220956</v>
      </c>
      <c r="BX365" s="152" t="n">
        <v>-47.7694453</v>
      </c>
      <c r="BY365" s="152" t="s">
        <v>2905</v>
      </c>
    </row>
    <row r="366" customFormat="false" ht="13.8" hidden="false" customHeight="false" outlineLevel="0" collapsed="false">
      <c r="A366" s="149" t="n">
        <f aca="false">IF(C366&lt;&gt;"",ROW(A361),"")</f>
        <v>361</v>
      </c>
      <c r="B366" s="150" t="str">
        <f aca="false">HYPERLINK("https://www.google.com/maps/dir/-15.917302,-47.760003/-15.9223975,-47.7704684/data=!4m3!4m2!3e0!5i2")</f>
        <v>https://www.google.com/maps/dir/-15.917302,-47.760003/-15.9223975,-47.7704684/data=!4m3!4m2!3e0!5i2</v>
      </c>
      <c r="C366" s="151" t="s">
        <v>117</v>
      </c>
      <c r="D366" s="152" t="s">
        <v>112</v>
      </c>
      <c r="E366" s="152" t="s">
        <v>113</v>
      </c>
      <c r="F366" s="152" t="s">
        <v>117</v>
      </c>
      <c r="G366" s="152" t="s">
        <v>782</v>
      </c>
      <c r="H366" s="152" t="n">
        <v>63</v>
      </c>
      <c r="I366" s="152" t="s">
        <v>115</v>
      </c>
      <c r="J366" s="152" t="s">
        <v>6</v>
      </c>
      <c r="K366" s="152" t="s">
        <v>2522</v>
      </c>
      <c r="L366" s="152" t="s">
        <v>120</v>
      </c>
      <c r="M366" s="153" t="n">
        <f aca="false">65.99</f>
        <v>65.99</v>
      </c>
      <c r="N366" s="152" t="s">
        <v>1548</v>
      </c>
      <c r="O366" s="152" t="s">
        <v>1549</v>
      </c>
      <c r="P366" s="152" t="s">
        <v>1550</v>
      </c>
      <c r="Q366" s="152" t="s">
        <v>1551</v>
      </c>
      <c r="R366" s="154" t="s">
        <v>2907</v>
      </c>
      <c r="S366" s="154" t="s">
        <v>1553</v>
      </c>
      <c r="T366" s="155" t="s">
        <v>2797</v>
      </c>
      <c r="U366" s="152" t="str">
        <f aca="false">RIGHT(T366,7)</f>
        <v>009/037</v>
      </c>
      <c r="V366" s="152" t="s">
        <v>1555</v>
      </c>
      <c r="W366" s="156" t="n">
        <v>45882</v>
      </c>
      <c r="X366" s="152" t="s">
        <v>1594</v>
      </c>
      <c r="Y366" s="152" t="s">
        <v>2834</v>
      </c>
      <c r="Z366" s="152" t="s">
        <v>1557</v>
      </c>
      <c r="AA366" s="153" t="n">
        <v>3.5</v>
      </c>
      <c r="AB366" s="151" t="s">
        <v>2908</v>
      </c>
      <c r="AC366" s="151" t="s">
        <v>186</v>
      </c>
      <c r="AD366" s="151" t="str">
        <f aca="false">CONCATENATE($C366,$I366,$H366,$N366,$J366,$K366)</f>
        <v>TUBO PEADPEAD63VCAREDESZona03</v>
      </c>
      <c r="AE366" s="153" t="n">
        <f aca="false">IFERROR(INDEX(APOIO_REDES!$A:$W,MATCH($C366&amp;$I366&amp;$H366&amp;$N366&amp;$O366,APOIO_REDES!$W:$W,0),MATCH(AE$5,APOIO_REDES!$5:$5,0)),0)</f>
        <v>1.2</v>
      </c>
      <c r="AF366" s="153" t="n">
        <f aca="false">IFERROR(INDEX(APOIO_REDES!$A:$W,MATCH($C366&amp;$I366&amp;$H366&amp;$N366&amp;$O366,APOIO_REDES!$W:$W,0),MATCH(AF$5,APOIO_REDES!$5:$5,0)),0)</f>
        <v>1.363</v>
      </c>
      <c r="AG366" s="153" t="n">
        <f aca="false">IFERROR(INDEX(APOIO_REDES!$A:$W,MATCH($C366&amp;$I366&amp;$H366&amp;$N366&amp;$O366,APOIO_REDES!$W:$W,0),MATCH(AG$5,APOIO_REDES!$5:$5,0)),0)</f>
        <v>0.65</v>
      </c>
      <c r="AH366" s="153" t="n">
        <f aca="false">IFERROR(INDEX(APOIO_REDES!$A:$W,MATCH($C366&amp;$I366&amp;$H366&amp;$N366&amp;$O366,APOIO_REDES!$W:$W,0),MATCH(AH$5,APOIO_REDES!$5:$5,0)),0)</f>
        <v>0.1</v>
      </c>
      <c r="AI366" s="153" t="n">
        <f aca="false">IFERROR(IF($H366&lt;&gt;"",(((($H366/1000)/2)^2)*PI()*$M366),0),0)</f>
        <v>0.20570701804151</v>
      </c>
      <c r="AJ366" s="153" t="n">
        <f aca="false">IFERROR(IF(AND($H366&lt;&gt;"",$I366="FoFo",OR($N366="MND",$N366="VCA"),$Q366="LINEAR"),0,IF(AND($H366&lt;&gt;"",$I366="PEAD",$N366="VCA",$Q366="LINEAR"),($H366/1000)+0.3,IF(AND($H366&lt;&gt;"",$I366="PEAD",$N366="MND",$Q366="EMBOQUE"),0,IF(AND($H366&lt;&gt;"",$I366="PVC",$N366="VCA",$Q366="LINEAR"),($H366/1000)+0.2,IF(AND($H366&lt;&gt;"",$I366="PVC",$N366="MND",$Q366="EMBOQUE"),0,IF(AND($H366&lt;&gt;"",$I366="PEAD",$N366="VCA",$Q366="PREDIAL"),0,0)))))),0)</f>
        <v>0.363</v>
      </c>
      <c r="AK366" s="153" t="n">
        <f aca="false">IF(AA366&lt;&gt;"",AA366,0)</f>
        <v>3.5</v>
      </c>
      <c r="AL366" s="153" t="n">
        <f aca="false">IF(AND($N366="MND",$Q366="EMBOQUE"),$M366,IF(AND($N366="VCA",$Q366="LINEAR"),$M366,IF(AND($N366="VCA",$Q366="PREDIAL"),0,0)))</f>
        <v>65.99</v>
      </c>
      <c r="AM366" s="153" t="n">
        <f aca="false">IF(AND($N366="MND",$Q366="EMBOQUE"),$M366,IF(AND($N366="VCA",$Q366="LINEAR"),$M366,IF(AND($N366="VCA",$Q366="PREDIAL"),0,0)))</f>
        <v>65.99</v>
      </c>
      <c r="AN366" s="153" t="n">
        <f aca="false">ROUND(IF(AND($N366="VCA",$M366&lt;&gt;"",$Q366="LINEAR"),$M366/100,IF(AND($N366="MND",$M366&gt;100,$Q366="EMBOQUE"),$M366/100,0)),0)</f>
        <v>1</v>
      </c>
      <c r="AO366" s="153" t="n">
        <f aca="false">IF(AND($N366="MND",$Q366="EMBOQUE"),$AN366*2*2,IF(AND($N366="VCA",$Q366="LINEAR"),$M366*2,IF(AND($N366="VCA",$Q366="PREDIAL"),0,0)))</f>
        <v>131.98</v>
      </c>
      <c r="AP366" s="153" t="n">
        <f aca="false">IFERROR($M366*$AF366*$AG366,0)</f>
        <v>58.4638405</v>
      </c>
      <c r="AQ366" s="153" t="n">
        <f aca="false">IFERROR(IF(AND($N366="VCA",$AH366&gt;0),$M366*$AG366*$AH366,0),0)</f>
        <v>4.28935</v>
      </c>
      <c r="AR366" s="153" t="n">
        <f aca="false">IFERROR(IF(AND($N366="VCA",$AJ366&gt;0),($M366*$AG366*$AJ366)-$AI366,0),0)</f>
        <v>15.3646334819585</v>
      </c>
      <c r="AS366" s="153" t="n">
        <f aca="false">IFERROR(IF(AND($N366="VCA",$AP366&gt;0),$AP366-$AI366-$AQ366-$AR366,0),0)</f>
        <v>38.60415</v>
      </c>
      <c r="AT366" s="153" t="n">
        <f aca="false">IFERROR(IF($N366="VCA",INDEX(APOIO_REDES!$A:$W,MATCH($C366&amp;$I366&amp;$H366&amp;$N366&amp;$O366,APOIO_REDES!$W:$W,0),MATCH(AT$5,APOIO_REDES!$5:$5,0)),0)*$AP366,0)</f>
        <v>0.636103889053486</v>
      </c>
      <c r="AU366" s="153" t="n">
        <f aca="false">IFERROR(IF($N366="VCA",INDEX(APOIO_REDES!$A:$W,MATCH($C366&amp;$I366&amp;$H366&amp;$N366&amp;$O366,APOIO_REDES!$W:$W,0),MATCH(AU$5,APOIO_REDES!$5:$5,0)),0)*$AP366,0)</f>
        <v>0.50797533791995</v>
      </c>
      <c r="AV366" s="153" t="n">
        <f aca="false">IFERROR(IF($N366="VCA",INDEX(APOIO_REDES!$A:$W,MATCH($C366&amp;$I366&amp;$H366&amp;$N366&amp;$O366,APOIO_REDES!$W:$W,0),MATCH(AV$5,APOIO_REDES!$5:$5,0)),0)*$AP366,0)</f>
        <v>0.070299799005366</v>
      </c>
      <c r="AW366" s="153" t="n">
        <f aca="false">IFERROR(IF($N366="VCA",INDEX(APOIO_REDES!$A:$W,MATCH($C366&amp;$I366&amp;$H366&amp;$N366&amp;$O366,APOIO_REDES!$W:$W,0),MATCH(AW$5,APOIO_REDES!$5:$5,0)),0)*$AP366,0)</f>
        <v>40.1300331191415</v>
      </c>
      <c r="AX366" s="153" t="n">
        <f aca="false">IFERROR(IF($N366="VCA",INDEX(APOIO_REDES!$A:$W,MATCH($C366&amp;$I366&amp;$H366&amp;$N366&amp;$O366,APOIO_REDES!$W:$W,0),MATCH(AX$5,APOIO_REDES!$5:$5,0)),0)*$AP366,0)</f>
        <v>5.55388227112603</v>
      </c>
      <c r="AY366" s="153" t="n">
        <f aca="false">IFERROR(IF($N366="VCA",INDEX(APOIO_REDES!$A:$W,MATCH($C366&amp;$I366&amp;$H366&amp;$N366&amp;$O366,APOIO_REDES!$W:$W,0),MATCH(AY$5,APOIO_REDES!$5:$5,0)),0)*$AP366,0)</f>
        <v>10.1595005662208</v>
      </c>
      <c r="AZ366" s="153" t="n">
        <f aca="false">IFERROR(IF($N366="VCA",INDEX(APOIO_REDES!$A:$W,MATCH($C366&amp;$I366&amp;$H366&amp;$N366&amp;$O366,APOIO_REDES!$W:$W,0),MATCH(AZ$5,APOIO_REDES!$5:$5,0)),0)*$AP366,0)</f>
        <v>1.40604551753285</v>
      </c>
      <c r="BA366" s="153" t="n">
        <f aca="false">IFERROR(IF(AND($N366="VCA",$Q366="LINEAR"),INDEX(APOIO_REDES!$A:$W,MATCH($C366&amp;$I366&amp;$H366&amp;$N366&amp;$O366,APOIO_REDES!$W:$W,0),MATCH(BA$5,APOIO_REDES!$5:$5,0)),IF(AND($N366="MND",$Q366="EMBOQUE"),INDEX(APOIO_REDES!$A:$W,MATCH($C366&amp;$I366&amp;$H366&amp;$N366&amp;$O366,APOIO_REDES!$W:$W,0),MATCH(BA$5,APOIO_REDES!$5:$5,0)),0))*$M366/10,0)</f>
        <v>5.3186275454897</v>
      </c>
      <c r="BB366" s="153" t="n">
        <f aca="false">IFERROR(IF($N366="VCA",INDEX(APOIO_REDES!$A:$W,MATCH($C366&amp;$I366&amp;$H366&amp;$N366&amp;$O366,APOIO_REDES!$W:$W,0),MATCH(BB$5,APOIO_REDES!$5:$5,0)),0)*($AI366+$AQ366+$AR366),0)</f>
        <v>19.6436111891917</v>
      </c>
      <c r="BC366" s="153" t="n">
        <f aca="false">IFERROR(IF($N366="VCA",INDEX(APOIO_REDES!$A:$W,MATCH($C366&amp;$I366&amp;$H366&amp;$N366&amp;$O366,APOIO_REDES!$W:$W,0),MATCH(BC$5,APOIO_REDES!$5:$5,0)),0)*($AI366+$AQ366+$AR366),0)</f>
        <v>0.216079310808338</v>
      </c>
      <c r="BD366" s="153" t="n">
        <f aca="false">IF(AND($N366="VCA",$AF366&gt;=1.25,$AF366&lt;1.5),$M366*$AF366*2,0)</f>
        <v>179.88874</v>
      </c>
      <c r="BE366" s="153" t="n">
        <f aca="false">IF(AND($N366="VCA",$AF366&gt;=1.5,$AF366&lt;3),$M366*$AF366*2,0)</f>
        <v>0</v>
      </c>
      <c r="BF366" s="153" t="n">
        <f aca="false">IF(AND($N366="VCA",$AF366&gt;=3),$M366*$AF366*2,0)</f>
        <v>0</v>
      </c>
      <c r="BG366" s="153" t="n">
        <f aca="false">($BB366+$BC366)*$AK366</f>
        <v>69.50891675</v>
      </c>
      <c r="BH366" s="153" t="n">
        <f aca="false">IF(AND($M366&lt;&gt;"",$N366="VCA",$Q366="LINEAR"),($M366*2)/100,IF(AND($M366&lt;&gt;"",$N366="MND",$Q366="EMBOQUE"),($AN366*2)/100,0))</f>
        <v>1.3198</v>
      </c>
      <c r="BI366" s="153" t="n">
        <f aca="false">IF(AND($M366&lt;&gt;"",$N366="VCA",$Q366="LINEAR"),$M366,IF(AND($M366&lt;&gt;"",$N366="MND",$Q366="EMBOQUE"),$AN366*2,0))</f>
        <v>65.99</v>
      </c>
      <c r="BJ366" s="153" t="n">
        <f aca="false">IF(AND($M366&lt;&gt;"",$N366="VCA",$Q366="LINEAR"),($M366*6.8)/100,IF(AND($M366&lt;&gt;"",$N366="MND",$Q366="EMBOQUE"),($AN366*2*6.8)/100,0))</f>
        <v>4.48732</v>
      </c>
      <c r="BK366" s="153" t="n">
        <f aca="false">IF(AND($M366&lt;&gt;"",$N366="VCA",$Q366="LINEAR"),($M366*2.5)/50,IF(AND($M366&lt;&gt;"",$N366="MND",$Q366="EMBOQUE"),($AN366*2*2.5)/50,0))</f>
        <v>3.2995</v>
      </c>
      <c r="BL366" s="157" t="str">
        <f aca="false">K366&amp;J366</f>
        <v>Zona03REDES</v>
      </c>
      <c r="BM366" s="152" t="s">
        <v>2526</v>
      </c>
      <c r="BN366" s="152" t="s">
        <v>1560</v>
      </c>
      <c r="BO366" s="152" t="s">
        <v>2800</v>
      </c>
      <c r="BP366" s="152" t="s">
        <v>2909</v>
      </c>
      <c r="BQ366" s="152" t="s">
        <v>2897</v>
      </c>
      <c r="BR366" s="152" t="s">
        <v>2910</v>
      </c>
      <c r="BS366" s="152" t="n">
        <v>203370.222</v>
      </c>
      <c r="BT366" s="152" t="n">
        <v>8237680.019</v>
      </c>
      <c r="BU366" s="152" t="n">
        <v>203368.515</v>
      </c>
      <c r="BV366" s="152" t="n">
        <v>8237745.979</v>
      </c>
      <c r="BW366" s="152" t="n">
        <v>-15.9220996</v>
      </c>
      <c r="BX366" s="152" t="n">
        <v>-47.770469</v>
      </c>
      <c r="BY366" s="152" t="s">
        <v>2909</v>
      </c>
    </row>
    <row r="367" customFormat="false" ht="13.8" hidden="false" customHeight="false" outlineLevel="0" collapsed="false">
      <c r="A367" s="149" t="n">
        <f aca="false">IF(C367&lt;&gt;"",ROW(A362),"")</f>
        <v>362</v>
      </c>
      <c r="B367" s="150" t="str">
        <f aca="false">HYPERLINK("https://www.google.com/maps/dir/-15.917302,-47.760003/-15.9218239,-47.7699959/data=!4m3!4m2!3e0!5i2")</f>
        <v>https://www.google.com/maps/dir/-15.917302,-47.760003/-15.9218239,-47.7699959/data=!4m3!4m2!3e0!5i2</v>
      </c>
      <c r="C367" s="151" t="s">
        <v>117</v>
      </c>
      <c r="D367" s="152" t="s">
        <v>112</v>
      </c>
      <c r="E367" s="152" t="s">
        <v>113</v>
      </c>
      <c r="F367" s="152" t="s">
        <v>117</v>
      </c>
      <c r="G367" s="152" t="s">
        <v>782</v>
      </c>
      <c r="H367" s="152" t="n">
        <v>63</v>
      </c>
      <c r="I367" s="152" t="s">
        <v>115</v>
      </c>
      <c r="J367" s="152" t="s">
        <v>6</v>
      </c>
      <c r="K367" s="152" t="s">
        <v>2522</v>
      </c>
      <c r="L367" s="152" t="s">
        <v>120</v>
      </c>
      <c r="M367" s="153" t="n">
        <f aca="false">76.3</f>
        <v>76.3</v>
      </c>
      <c r="N367" s="152" t="s">
        <v>1548</v>
      </c>
      <c r="O367" s="152" t="s">
        <v>1549</v>
      </c>
      <c r="P367" s="152" t="s">
        <v>1550</v>
      </c>
      <c r="Q367" s="152" t="s">
        <v>1551</v>
      </c>
      <c r="R367" s="154" t="s">
        <v>2911</v>
      </c>
      <c r="S367" s="154" t="s">
        <v>1553</v>
      </c>
      <c r="T367" s="155" t="s">
        <v>2797</v>
      </c>
      <c r="U367" s="152" t="str">
        <f aca="false">RIGHT(T367,7)</f>
        <v>009/037</v>
      </c>
      <c r="V367" s="152" t="s">
        <v>1555</v>
      </c>
      <c r="W367" s="156" t="n">
        <v>45882</v>
      </c>
      <c r="X367" s="152" t="s">
        <v>1594</v>
      </c>
      <c r="Y367" s="152" t="s">
        <v>2834</v>
      </c>
      <c r="Z367" s="152" t="s">
        <v>1557</v>
      </c>
      <c r="AA367" s="153" t="n">
        <v>3.5</v>
      </c>
      <c r="AB367" s="151" t="s">
        <v>2912</v>
      </c>
      <c r="AC367" s="151" t="s">
        <v>186</v>
      </c>
      <c r="AD367" s="151" t="str">
        <f aca="false">CONCATENATE($C367,$I367,$H367,$N367,$J367,$K367)</f>
        <v>TUBO PEADPEAD63VCAREDESZona03</v>
      </c>
      <c r="AE367" s="153" t="n">
        <f aca="false">IFERROR(INDEX(APOIO_REDES!$A:$W,MATCH($C367&amp;$I367&amp;$H367&amp;$N367&amp;$O367,APOIO_REDES!$W:$W,0),MATCH(AE$5,APOIO_REDES!$5:$5,0)),0)</f>
        <v>1.2</v>
      </c>
      <c r="AF367" s="153" t="n">
        <f aca="false">IFERROR(INDEX(APOIO_REDES!$A:$W,MATCH($C367&amp;$I367&amp;$H367&amp;$N367&amp;$O367,APOIO_REDES!$W:$W,0),MATCH(AF$5,APOIO_REDES!$5:$5,0)),0)</f>
        <v>1.363</v>
      </c>
      <c r="AG367" s="153" t="n">
        <f aca="false">IFERROR(INDEX(APOIO_REDES!$A:$W,MATCH($C367&amp;$I367&amp;$H367&amp;$N367&amp;$O367,APOIO_REDES!$W:$W,0),MATCH(AG$5,APOIO_REDES!$5:$5,0)),0)</f>
        <v>0.65</v>
      </c>
      <c r="AH367" s="153" t="n">
        <f aca="false">IFERROR(INDEX(APOIO_REDES!$A:$W,MATCH($C367&amp;$I367&amp;$H367&amp;$N367&amp;$O367,APOIO_REDES!$W:$W,0),MATCH(AH$5,APOIO_REDES!$5:$5,0)),0)</f>
        <v>0.1</v>
      </c>
      <c r="AI367" s="153" t="n">
        <f aca="false">IFERROR(IF($H367&lt;&gt;"",(((($H367/1000)/2)^2)*PI()*$M367),0),0)</f>
        <v>0.237845817193017</v>
      </c>
      <c r="AJ367" s="153" t="n">
        <f aca="false">IFERROR(IF(AND($H367&lt;&gt;"",$I367="FoFo",OR($N367="MND",$N367="VCA"),$Q367="LINEAR"),0,IF(AND($H367&lt;&gt;"",$I367="PEAD",$N367="VCA",$Q367="LINEAR"),($H367/1000)+0.3,IF(AND($H367&lt;&gt;"",$I367="PEAD",$N367="MND",$Q367="EMBOQUE"),0,IF(AND($H367&lt;&gt;"",$I367="PVC",$N367="VCA",$Q367="LINEAR"),($H367/1000)+0.2,IF(AND($H367&lt;&gt;"",$I367="PVC",$N367="MND",$Q367="EMBOQUE"),0,IF(AND($H367&lt;&gt;"",$I367="PEAD",$N367="VCA",$Q367="PREDIAL"),0,0)))))),0)</f>
        <v>0.363</v>
      </c>
      <c r="AK367" s="153" t="n">
        <f aca="false">IF(AA367&lt;&gt;"",AA367,0)</f>
        <v>3.5</v>
      </c>
      <c r="AL367" s="153" t="n">
        <f aca="false">IF(AND($N367="MND",$Q367="EMBOQUE"),$M367,IF(AND($N367="VCA",$Q367="LINEAR"),$M367,IF(AND($N367="VCA",$Q367="PREDIAL"),0,0)))</f>
        <v>76.3</v>
      </c>
      <c r="AM367" s="153" t="n">
        <f aca="false">IF(AND($N367="MND",$Q367="EMBOQUE"),$M367,IF(AND($N367="VCA",$Q367="LINEAR"),$M367,IF(AND($N367="VCA",$Q367="PREDIAL"),0,0)))</f>
        <v>76.3</v>
      </c>
      <c r="AN367" s="153" t="n">
        <f aca="false">ROUND(IF(AND($N367="VCA",$M367&lt;&gt;"",$Q367="LINEAR"),$M367/100,IF(AND($N367="MND",$M367&gt;100,$Q367="EMBOQUE"),$M367/100,0)),0)</f>
        <v>1</v>
      </c>
      <c r="AO367" s="153" t="n">
        <f aca="false">IF(AND($N367="MND",$Q367="EMBOQUE"),$AN367*2*2,IF(AND($N367="VCA",$Q367="LINEAR"),$M367*2,IF(AND($N367="VCA",$Q367="PREDIAL"),0,0)))</f>
        <v>152.6</v>
      </c>
      <c r="AP367" s="153" t="n">
        <f aca="false">IFERROR($M367*$AF367*$AG367,0)</f>
        <v>67.597985</v>
      </c>
      <c r="AQ367" s="153" t="n">
        <f aca="false">IFERROR(IF(AND($N367="VCA",$AH367&gt;0),$M367*$AG367*$AH367,0),0)</f>
        <v>4.9595</v>
      </c>
      <c r="AR367" s="153" t="n">
        <f aca="false">IFERROR(IF(AND($N367="VCA",$AJ367&gt;0),($M367*$AG367*$AJ367)-$AI367,0),0)</f>
        <v>17.765139182807</v>
      </c>
      <c r="AS367" s="153" t="n">
        <f aca="false">IFERROR(IF(AND($N367="VCA",$AP367&gt;0),$AP367-$AI367-$AQ367-$AR367,0),0)</f>
        <v>44.6355</v>
      </c>
      <c r="AT367" s="153" t="n">
        <f aca="false">IFERROR(IF($N367="VCA",INDEX(APOIO_REDES!$A:$W,MATCH($C367&amp;$I367&amp;$H367&amp;$N367&amp;$O367,APOIO_REDES!$W:$W,0),MATCH(AT$5,APOIO_REDES!$5:$5,0)),0)*$AP367,0)</f>
        <v>0.735486084782255</v>
      </c>
      <c r="AU367" s="153" t="n">
        <f aca="false">IFERROR(IF($N367="VCA",INDEX(APOIO_REDES!$A:$W,MATCH($C367&amp;$I367&amp;$H367&amp;$N367&amp;$O367,APOIO_REDES!$W:$W,0),MATCH(AU$5,APOIO_REDES!$5:$5,0)),0)*$AP367,0)</f>
        <v>0.587339267817733</v>
      </c>
      <c r="AV367" s="153" t="n">
        <f aca="false">IFERROR(IF($N367="VCA",INDEX(APOIO_REDES!$A:$W,MATCH($C367&amp;$I367&amp;$H367&amp;$N367&amp;$O367,APOIO_REDES!$W:$W,0),MATCH(AV$5,APOIO_REDES!$5:$5,0)),0)*$AP367,0)</f>
        <v>0.0812831438719415</v>
      </c>
      <c r="AW367" s="153" t="n">
        <f aca="false">IFERROR(IF($N367="VCA",INDEX(APOIO_REDES!$A:$W,MATCH($C367&amp;$I367&amp;$H367&amp;$N367&amp;$O367,APOIO_REDES!$W:$W,0),MATCH(AW$5,APOIO_REDES!$5:$5,0)),0)*$AP367,0)</f>
        <v>46.3997806787467</v>
      </c>
      <c r="AX367" s="153" t="n">
        <f aca="false">IFERROR(IF($N367="VCA",INDEX(APOIO_REDES!$A:$W,MATCH($C367&amp;$I367&amp;$H367&amp;$N367&amp;$O367,APOIO_REDES!$W:$W,0),MATCH(AX$5,APOIO_REDES!$5:$5,0)),0)*$AP367,0)</f>
        <v>6.42159747366141</v>
      </c>
      <c r="AY367" s="153" t="n">
        <f aca="false">IFERROR(IF($N367="VCA",INDEX(APOIO_REDES!$A:$W,MATCH($C367&amp;$I367&amp;$H367&amp;$N367&amp;$O367,APOIO_REDES!$W:$W,0),MATCH(AY$5,APOIO_REDES!$5:$5,0)),0)*$AP367,0)</f>
        <v>11.7467781967366</v>
      </c>
      <c r="AZ367" s="153" t="n">
        <f aca="false">IFERROR(IF($N367="VCA",INDEX(APOIO_REDES!$A:$W,MATCH($C367&amp;$I367&amp;$H367&amp;$N367&amp;$O367,APOIO_REDES!$W:$W,0),MATCH(AZ$5,APOIO_REDES!$5:$5,0)),0)*$AP367,0)</f>
        <v>1.62572015438334</v>
      </c>
      <c r="BA367" s="153" t="n">
        <f aca="false">IFERROR(IF(AND($N367="VCA",$Q367="LINEAR"),INDEX(APOIO_REDES!$A:$W,MATCH($C367&amp;$I367&amp;$H367&amp;$N367&amp;$O367,APOIO_REDES!$W:$W,0),MATCH(BA$5,APOIO_REDES!$5:$5,0)),IF(AND($N367="MND",$Q367="EMBOQUE"),INDEX(APOIO_REDES!$A:$W,MATCH($C367&amp;$I367&amp;$H367&amp;$N367&amp;$O367,APOIO_REDES!$W:$W,0),MATCH(BA$5,APOIO_REDES!$5:$5,0)),0))*$M367/10,0)</f>
        <v>6.14958753933724</v>
      </c>
      <c r="BB367" s="153" t="n">
        <f aca="false">IFERROR(IF($N367="VCA",INDEX(APOIO_REDES!$A:$W,MATCH($C367&amp;$I367&amp;$H367&amp;$N367&amp;$O367,APOIO_REDES!$W:$W,0),MATCH(BB$5,APOIO_REDES!$5:$5,0)),0)*($AI367+$AQ367+$AR367),0)</f>
        <v>22.7126463666514</v>
      </c>
      <c r="BC367" s="153" t="n">
        <f aca="false">IFERROR(IF($N367="VCA",INDEX(APOIO_REDES!$A:$W,MATCH($C367&amp;$I367&amp;$H367&amp;$N367&amp;$O367,APOIO_REDES!$W:$W,0),MATCH(BC$5,APOIO_REDES!$5:$5,0)),0)*($AI367+$AQ367+$AR367),0)</f>
        <v>0.249838633348631</v>
      </c>
      <c r="BD367" s="153" t="n">
        <f aca="false">IF(AND($N367="VCA",$AF367&gt;=1.25,$AF367&lt;1.5),$M367*$AF367*2,0)</f>
        <v>207.9938</v>
      </c>
      <c r="BE367" s="153" t="n">
        <f aca="false">IF(AND($N367="VCA",$AF367&gt;=1.5,$AF367&lt;3),$M367*$AF367*2,0)</f>
        <v>0</v>
      </c>
      <c r="BF367" s="153" t="n">
        <f aca="false">IF(AND($N367="VCA",$AF367&gt;=3),$M367*$AF367*2,0)</f>
        <v>0</v>
      </c>
      <c r="BG367" s="153" t="n">
        <f aca="false">($BB367+$BC367)*$AK367</f>
        <v>80.3686975</v>
      </c>
      <c r="BH367" s="153" t="n">
        <f aca="false">IF(AND($M367&lt;&gt;"",$N367="VCA",$Q367="LINEAR"),($M367*2)/100,IF(AND($M367&lt;&gt;"",$N367="MND",$Q367="EMBOQUE"),($AN367*2)/100,0))</f>
        <v>1.526</v>
      </c>
      <c r="BI367" s="153" t="n">
        <f aca="false">IF(AND($M367&lt;&gt;"",$N367="VCA",$Q367="LINEAR"),$M367,IF(AND($M367&lt;&gt;"",$N367="MND",$Q367="EMBOQUE"),$AN367*2,0))</f>
        <v>76.3</v>
      </c>
      <c r="BJ367" s="153" t="n">
        <f aca="false">IF(AND($M367&lt;&gt;"",$N367="VCA",$Q367="LINEAR"),($M367*6.8)/100,IF(AND($M367&lt;&gt;"",$N367="MND",$Q367="EMBOQUE"),($AN367*2*6.8)/100,0))</f>
        <v>5.1884</v>
      </c>
      <c r="BK367" s="153" t="n">
        <f aca="false">IF(AND($M367&lt;&gt;"",$N367="VCA",$Q367="LINEAR"),($M367*2.5)/50,IF(AND($M367&lt;&gt;"",$N367="MND",$Q367="EMBOQUE"),($AN367*2*2.5)/50,0))</f>
        <v>3.815</v>
      </c>
      <c r="BL367" s="157" t="str">
        <f aca="false">K367&amp;J367</f>
        <v>Zona03REDES</v>
      </c>
      <c r="BM367" s="152" t="s">
        <v>2526</v>
      </c>
      <c r="BN367" s="152" t="s">
        <v>1560</v>
      </c>
      <c r="BO367" s="152" t="s">
        <v>2800</v>
      </c>
      <c r="BP367" s="152" t="s">
        <v>2901</v>
      </c>
      <c r="BQ367" s="152" t="s">
        <v>2913</v>
      </c>
      <c r="BR367" s="152" t="s">
        <v>2914</v>
      </c>
      <c r="BS367" s="152" t="n">
        <v>203420.005</v>
      </c>
      <c r="BT367" s="152" t="n">
        <v>8237744.205</v>
      </c>
      <c r="BU367" s="152" t="n">
        <v>203402.959</v>
      </c>
      <c r="BV367" s="152" t="n">
        <v>8237678.505</v>
      </c>
      <c r="BW367" s="152" t="n">
        <v>-15.9221683</v>
      </c>
      <c r="BX367" s="152" t="n">
        <v>-47.7699872</v>
      </c>
      <c r="BY367" s="152" t="s">
        <v>2901</v>
      </c>
    </row>
    <row r="368" customFormat="false" ht="13.8" hidden="false" customHeight="false" outlineLevel="0" collapsed="false">
      <c r="A368" s="149" t="n">
        <f aca="false">IF(C368&lt;&gt;"",ROW(A363),"")</f>
        <v>363</v>
      </c>
      <c r="B368" s="150" t="str">
        <f aca="false">HYPERLINK("https://www.google.com/maps/dir/-15.917302,-47.760003/-15.9229356,-47.7688766/data=!4m3!4m2!3e0!5i2")</f>
        <v>https://www.google.com/maps/dir/-15.917302,-47.760003/-15.9229356,-47.7688766/data=!4m3!4m2!3e0!5i2</v>
      </c>
      <c r="C368" s="151" t="s">
        <v>117</v>
      </c>
      <c r="D368" s="152" t="s">
        <v>112</v>
      </c>
      <c r="E368" s="152" t="s">
        <v>113</v>
      </c>
      <c r="F368" s="152" t="s">
        <v>117</v>
      </c>
      <c r="G368" s="152" t="s">
        <v>782</v>
      </c>
      <c r="H368" s="152" t="n">
        <v>63</v>
      </c>
      <c r="I368" s="152" t="s">
        <v>115</v>
      </c>
      <c r="J368" s="152" t="s">
        <v>6</v>
      </c>
      <c r="K368" s="152" t="s">
        <v>2522</v>
      </c>
      <c r="L368" s="152" t="s">
        <v>120</v>
      </c>
      <c r="M368" s="153" t="n">
        <f aca="false">129.14+4.05</f>
        <v>133.19</v>
      </c>
      <c r="N368" s="152" t="s">
        <v>1548</v>
      </c>
      <c r="O368" s="152" t="s">
        <v>1549</v>
      </c>
      <c r="P368" s="152" t="s">
        <v>1550</v>
      </c>
      <c r="Q368" s="152" t="s">
        <v>1551</v>
      </c>
      <c r="R368" s="154" t="s">
        <v>2915</v>
      </c>
      <c r="S368" s="154" t="s">
        <v>1553</v>
      </c>
      <c r="T368" s="155" t="s">
        <v>2797</v>
      </c>
      <c r="U368" s="152" t="str">
        <f aca="false">RIGHT(T368,7)</f>
        <v>009/037</v>
      </c>
      <c r="V368" s="152" t="s">
        <v>1555</v>
      </c>
      <c r="W368" s="156" t="n">
        <v>45882</v>
      </c>
      <c r="X368" s="152" t="s">
        <v>1594</v>
      </c>
      <c r="Y368" s="152" t="s">
        <v>2916</v>
      </c>
      <c r="Z368" s="152" t="s">
        <v>1557</v>
      </c>
      <c r="AA368" s="153" t="n">
        <v>3.6</v>
      </c>
      <c r="AB368" s="151" t="s">
        <v>2917</v>
      </c>
      <c r="AC368" s="151" t="s">
        <v>186</v>
      </c>
      <c r="AD368" s="151" t="str">
        <f aca="false">CONCATENATE($C368,$I368,$H368,$N368,$J368,$K368)</f>
        <v>TUBO PEADPEAD63VCAREDESZona03</v>
      </c>
      <c r="AE368" s="153" t="n">
        <f aca="false">IFERROR(INDEX(APOIO_REDES!$A:$W,MATCH($C368&amp;$I368&amp;$H368&amp;$N368&amp;$O368,APOIO_REDES!$W:$W,0),MATCH(AE$5,APOIO_REDES!$5:$5,0)),0)</f>
        <v>1.2</v>
      </c>
      <c r="AF368" s="153" t="n">
        <f aca="false">IFERROR(INDEX(APOIO_REDES!$A:$W,MATCH($C368&amp;$I368&amp;$H368&amp;$N368&amp;$O368,APOIO_REDES!$W:$W,0),MATCH(AF$5,APOIO_REDES!$5:$5,0)),0)</f>
        <v>1.363</v>
      </c>
      <c r="AG368" s="153" t="n">
        <f aca="false">IFERROR(INDEX(APOIO_REDES!$A:$W,MATCH($C368&amp;$I368&amp;$H368&amp;$N368&amp;$O368,APOIO_REDES!$W:$W,0),MATCH(AG$5,APOIO_REDES!$5:$5,0)),0)</f>
        <v>0.65</v>
      </c>
      <c r="AH368" s="153" t="n">
        <f aca="false">IFERROR(INDEX(APOIO_REDES!$A:$W,MATCH($C368&amp;$I368&amp;$H368&amp;$N368&amp;$O368,APOIO_REDES!$W:$W,0),MATCH(AH$5,APOIO_REDES!$5:$5,0)),0)</f>
        <v>0.1</v>
      </c>
      <c r="AI368" s="153" t="n">
        <f aca="false">IFERROR(IF($H368&lt;&gt;"",(((($H368/1000)/2)^2)*PI()*$M368),0),0)</f>
        <v>0.415185902908754</v>
      </c>
      <c r="AJ368" s="153" t="n">
        <f aca="false">IFERROR(IF(AND($H368&lt;&gt;"",$I368="FoFo",OR($N368="MND",$N368="VCA"),$Q368="LINEAR"),0,IF(AND($H368&lt;&gt;"",$I368="PEAD",$N368="VCA",$Q368="LINEAR"),($H368/1000)+0.3,IF(AND($H368&lt;&gt;"",$I368="PEAD",$N368="MND",$Q368="EMBOQUE"),0,IF(AND($H368&lt;&gt;"",$I368="PVC",$N368="VCA",$Q368="LINEAR"),($H368/1000)+0.2,IF(AND($H368&lt;&gt;"",$I368="PVC",$N368="MND",$Q368="EMBOQUE"),0,IF(AND($H368&lt;&gt;"",$I368="PEAD",$N368="VCA",$Q368="PREDIAL"),0,0)))))),0)</f>
        <v>0.363</v>
      </c>
      <c r="AK368" s="153" t="n">
        <f aca="false">IF(AA368&lt;&gt;"",AA368,0)</f>
        <v>3.6</v>
      </c>
      <c r="AL368" s="153" t="n">
        <f aca="false">IF(AND($N368="MND",$Q368="EMBOQUE"),$M368,IF(AND($N368="VCA",$Q368="LINEAR"),$M368,IF(AND($N368="VCA",$Q368="PREDIAL"),0,0)))</f>
        <v>133.19</v>
      </c>
      <c r="AM368" s="153" t="n">
        <f aca="false">IF(AND($N368="MND",$Q368="EMBOQUE"),$M368,IF(AND($N368="VCA",$Q368="LINEAR"),$M368,IF(AND($N368="VCA",$Q368="PREDIAL"),0,0)))</f>
        <v>133.19</v>
      </c>
      <c r="AN368" s="153" t="n">
        <f aca="false">ROUND(IF(AND($N368="VCA",$M368&lt;&gt;"",$Q368="LINEAR"),$M368/100,IF(AND($N368="MND",$M368&gt;100,$Q368="EMBOQUE"),$M368/100,0)),0)</f>
        <v>1</v>
      </c>
      <c r="AO368" s="153" t="n">
        <f aca="false">IF(AND($N368="MND",$Q368="EMBOQUE"),$AN368*2*2,IF(AND($N368="VCA",$Q368="LINEAR"),$M368*2,IF(AND($N368="VCA",$Q368="PREDIAL"),0,0)))</f>
        <v>266.38</v>
      </c>
      <c r="AP368" s="153" t="n">
        <f aca="false">IFERROR($M368*$AF368*$AG368,0)</f>
        <v>117.9996805</v>
      </c>
      <c r="AQ368" s="153" t="n">
        <f aca="false">IFERROR(IF(AND($N368="VCA",$AH368&gt;0),$M368*$AG368*$AH368,0),0)</f>
        <v>8.65735</v>
      </c>
      <c r="AR368" s="153" t="n">
        <f aca="false">IFERROR(IF(AND($N368="VCA",$AJ368&gt;0),($M368*$AG368*$AJ368)-$AI368,0),0)</f>
        <v>31.0109945970912</v>
      </c>
      <c r="AS368" s="153" t="n">
        <f aca="false">IFERROR(IF(AND($N368="VCA",$AP368&gt;0),$AP368-$AI368-$AQ368-$AR368,0),0)</f>
        <v>77.91615</v>
      </c>
      <c r="AT368" s="153" t="n">
        <f aca="false">IFERROR(IF($N368="VCA",INDEX(APOIO_REDES!$A:$W,MATCH($C368&amp;$I368&amp;$H368&amp;$N368&amp;$O368,APOIO_REDES!$W:$W,0),MATCH(AT$5,APOIO_REDES!$5:$5,0)),0)*$AP368,0)</f>
        <v>1.28387144996263</v>
      </c>
      <c r="AU368" s="153" t="n">
        <f aca="false">IFERROR(IF($N368="VCA",INDEX(APOIO_REDES!$A:$W,MATCH($C368&amp;$I368&amp;$H368&amp;$N368&amp;$O368,APOIO_REDES!$W:$W,0),MATCH(AU$5,APOIO_REDES!$5:$5,0)),0)*$AP368,0)</f>
        <v>1.02526496829153</v>
      </c>
      <c r="AV368" s="153" t="n">
        <f aca="false">IFERROR(IF($N368="VCA",INDEX(APOIO_REDES!$A:$W,MATCH($C368&amp;$I368&amp;$H368&amp;$N368&amp;$O368,APOIO_REDES!$W:$W,0),MATCH(AV$5,APOIO_REDES!$5:$5,0)),0)*$AP368,0)</f>
        <v>0.141888622965975</v>
      </c>
      <c r="AW368" s="153" t="n">
        <f aca="false">IFERROR(IF($N368="VCA",INDEX(APOIO_REDES!$A:$W,MATCH($C368&amp;$I368&amp;$H368&amp;$N368&amp;$O368,APOIO_REDES!$W:$W,0),MATCH(AW$5,APOIO_REDES!$5:$5,0)),0)*$AP368,0)</f>
        <v>80.9958950013405</v>
      </c>
      <c r="AX368" s="153" t="n">
        <f aca="false">IFERROR(IF($N368="VCA",INDEX(APOIO_REDES!$A:$W,MATCH($C368&amp;$I368&amp;$H368&amp;$N368&amp;$O368,APOIO_REDES!$W:$W,0),MATCH(AX$5,APOIO_REDES!$5:$5,0)),0)*$AP368,0)</f>
        <v>11.2096011470113</v>
      </c>
      <c r="AY368" s="153" t="n">
        <f aca="false">IFERROR(IF($N368="VCA",INDEX(APOIO_REDES!$A:$W,MATCH($C368&amp;$I368&amp;$H368&amp;$N368&amp;$O368,APOIO_REDES!$W:$W,0),MATCH(AY$5,APOIO_REDES!$5:$5,0)),0)*$AP368,0)</f>
        <v>20.5052868679338</v>
      </c>
      <c r="AZ368" s="153" t="n">
        <f aca="false">IFERROR(IF($N368="VCA",INDEX(APOIO_REDES!$A:$W,MATCH($C368&amp;$I368&amp;$H368&amp;$N368&amp;$O368,APOIO_REDES!$W:$W,0),MATCH(AZ$5,APOIO_REDES!$5:$5,0)),0)*$AP368,0)</f>
        <v>2.83787244249432</v>
      </c>
      <c r="BA368" s="153" t="n">
        <f aca="false">IFERROR(IF(AND($N368="VCA",$Q368="LINEAR"),INDEX(APOIO_REDES!$A:$W,MATCH($C368&amp;$I368&amp;$H368&amp;$N368&amp;$O368,APOIO_REDES!$W:$W,0),MATCH(BA$5,APOIO_REDES!$5:$5,0)),IF(AND($N368="MND",$Q368="EMBOQUE"),INDEX(APOIO_REDES!$A:$W,MATCH($C368&amp;$I368&amp;$H368&amp;$N368&amp;$O368,APOIO_REDES!$W:$W,0),MATCH(BA$5,APOIO_REDES!$5:$5,0)),0))*$M368/10,0)</f>
        <v>10.7347780388509</v>
      </c>
      <c r="BB368" s="153" t="n">
        <f aca="false">IFERROR(IF($N368="VCA",INDEX(APOIO_REDES!$A:$W,MATCH($C368&amp;$I368&amp;$H368&amp;$N368&amp;$O368,APOIO_REDES!$W:$W,0),MATCH(BB$5,APOIO_REDES!$5:$5,0)),0)*($AI368+$AQ368+$AR368),0)</f>
        <v>39.6474098240406</v>
      </c>
      <c r="BC368" s="153" t="n">
        <f aca="false">IFERROR(IF($N368="VCA",INDEX(APOIO_REDES!$A:$W,MATCH($C368&amp;$I368&amp;$H368&amp;$N368&amp;$O368,APOIO_REDES!$W:$W,0),MATCH(BC$5,APOIO_REDES!$5:$5,0)),0)*($AI368+$AQ368+$AR368),0)</f>
        <v>0.436120675959425</v>
      </c>
      <c r="BD368" s="153" t="n">
        <f aca="false">IF(AND($N368="VCA",$AF368&gt;=1.25,$AF368&lt;1.5),$M368*$AF368*2,0)</f>
        <v>363.07594</v>
      </c>
      <c r="BE368" s="153" t="n">
        <f aca="false">IF(AND($N368="VCA",$AF368&gt;=1.5,$AF368&lt;3),$M368*$AF368*2,0)</f>
        <v>0</v>
      </c>
      <c r="BF368" s="153" t="n">
        <f aca="false">IF(AND($N368="VCA",$AF368&gt;=3),$M368*$AF368*2,0)</f>
        <v>0</v>
      </c>
      <c r="BG368" s="153" t="n">
        <f aca="false">($BB368+$BC368)*$AK368</f>
        <v>144.3007098</v>
      </c>
      <c r="BH368" s="153" t="n">
        <f aca="false">IF(AND($M368&lt;&gt;"",$N368="VCA",$Q368="LINEAR"),($M368*2)/100,IF(AND($M368&lt;&gt;"",$N368="MND",$Q368="EMBOQUE"),($AN368*2)/100,0))</f>
        <v>2.6638</v>
      </c>
      <c r="BI368" s="153" t="n">
        <f aca="false">IF(AND($M368&lt;&gt;"",$N368="VCA",$Q368="LINEAR"),$M368,IF(AND($M368&lt;&gt;"",$N368="MND",$Q368="EMBOQUE"),$AN368*2,0))</f>
        <v>133.19</v>
      </c>
      <c r="BJ368" s="153" t="n">
        <f aca="false">IF(AND($M368&lt;&gt;"",$N368="VCA",$Q368="LINEAR"),($M368*6.8)/100,IF(AND($M368&lt;&gt;"",$N368="MND",$Q368="EMBOQUE"),($AN368*2*6.8)/100,0))</f>
        <v>9.05692</v>
      </c>
      <c r="BK368" s="153" t="n">
        <f aca="false">IF(AND($M368&lt;&gt;"",$N368="VCA",$Q368="LINEAR"),($M368*2.5)/50,IF(AND($M368&lt;&gt;"",$N368="MND",$Q368="EMBOQUE"),($AN368*2*2.5)/50,0))</f>
        <v>6.6595</v>
      </c>
      <c r="BL368" s="157" t="str">
        <f aca="false">K368&amp;J368</f>
        <v>Zona03REDES</v>
      </c>
      <c r="BM368" s="152" t="s">
        <v>2526</v>
      </c>
      <c r="BN368" s="152" t="s">
        <v>1560</v>
      </c>
      <c r="BO368" s="152" t="s">
        <v>2800</v>
      </c>
      <c r="BP368" s="152" t="s">
        <v>2918</v>
      </c>
      <c r="BQ368" s="152" t="s">
        <v>2919</v>
      </c>
      <c r="BR368" s="152" t="s">
        <v>2920</v>
      </c>
      <c r="BS368" s="152" t="n">
        <v>203541.702</v>
      </c>
      <c r="BT368" s="152" t="n">
        <v>8237622.722</v>
      </c>
      <c r="BU368" s="152" t="n">
        <v>203526.76</v>
      </c>
      <c r="BV368" s="152" t="n">
        <v>8237750.959</v>
      </c>
      <c r="BW368" s="152" t="n">
        <v>-15.9223557</v>
      </c>
      <c r="BX368" s="152" t="n">
        <v>-47.7689367</v>
      </c>
      <c r="BY368" s="152" t="s">
        <v>2918</v>
      </c>
    </row>
    <row r="369" customFormat="false" ht="13.8" hidden="false" customHeight="false" outlineLevel="0" collapsed="false">
      <c r="A369" s="149" t="n">
        <f aca="false">IF(C369&lt;&gt;"",ROW(A364),"")</f>
        <v>364</v>
      </c>
      <c r="B369" s="150" t="str">
        <f aca="false">HYPERLINK("https://www.google.com/maps/dir/-15.917302,-47.760003/-15.9224151,-47.7701631/data=!4m3!4m2!3e0!5i2")</f>
        <v>https://www.google.com/maps/dir/-15.917302,-47.760003/-15.9224151,-47.7701631/data=!4m3!4m2!3e0!5i2</v>
      </c>
      <c r="C369" s="151" t="s">
        <v>117</v>
      </c>
      <c r="D369" s="152" t="s">
        <v>112</v>
      </c>
      <c r="E369" s="152" t="s">
        <v>113</v>
      </c>
      <c r="F369" s="152" t="s">
        <v>117</v>
      </c>
      <c r="G369" s="152" t="s">
        <v>782</v>
      </c>
      <c r="H369" s="152" t="n">
        <v>63</v>
      </c>
      <c r="I369" s="152" t="s">
        <v>115</v>
      </c>
      <c r="J369" s="152" t="s">
        <v>6</v>
      </c>
      <c r="K369" s="152" t="s">
        <v>2522</v>
      </c>
      <c r="L369" s="152" t="s">
        <v>120</v>
      </c>
      <c r="M369" s="153" t="n">
        <f aca="false">32.77</f>
        <v>32.77</v>
      </c>
      <c r="N369" s="152" t="s">
        <v>1548</v>
      </c>
      <c r="O369" s="152" t="s">
        <v>1549</v>
      </c>
      <c r="P369" s="152" t="s">
        <v>1550</v>
      </c>
      <c r="Q369" s="152" t="s">
        <v>1551</v>
      </c>
      <c r="R369" s="154" t="s">
        <v>2921</v>
      </c>
      <c r="S369" s="154" t="s">
        <v>1553</v>
      </c>
      <c r="T369" s="155" t="s">
        <v>2797</v>
      </c>
      <c r="U369" s="152" t="str">
        <f aca="false">RIGHT(T369,7)</f>
        <v>009/037</v>
      </c>
      <c r="V369" s="152" t="s">
        <v>1555</v>
      </c>
      <c r="W369" s="156" t="n">
        <v>45882</v>
      </c>
      <c r="X369" s="152" t="s">
        <v>1594</v>
      </c>
      <c r="Y369" s="152" t="s">
        <v>2834</v>
      </c>
      <c r="Z369" s="152" t="s">
        <v>1557</v>
      </c>
      <c r="AA369" s="153" t="n">
        <v>3.5</v>
      </c>
      <c r="AB369" s="151" t="s">
        <v>2922</v>
      </c>
      <c r="AC369" s="151" t="s">
        <v>186</v>
      </c>
      <c r="AD369" s="151" t="str">
        <f aca="false">CONCATENATE($C369,$I369,$H369,$N369,$J369,$K369)</f>
        <v>TUBO PEADPEAD63VCAREDESZona03</v>
      </c>
      <c r="AE369" s="153" t="n">
        <f aca="false">IFERROR(INDEX(APOIO_REDES!$A:$W,MATCH($C369&amp;$I369&amp;$H369&amp;$N369&amp;$O369,APOIO_REDES!$W:$W,0),MATCH(AE$5,APOIO_REDES!$5:$5,0)),0)</f>
        <v>1.2</v>
      </c>
      <c r="AF369" s="153" t="n">
        <f aca="false">IFERROR(INDEX(APOIO_REDES!$A:$W,MATCH($C369&amp;$I369&amp;$H369&amp;$N369&amp;$O369,APOIO_REDES!$W:$W,0),MATCH(AF$5,APOIO_REDES!$5:$5,0)),0)</f>
        <v>1.363</v>
      </c>
      <c r="AG369" s="153" t="n">
        <f aca="false">IFERROR(INDEX(APOIO_REDES!$A:$W,MATCH($C369&amp;$I369&amp;$H369&amp;$N369&amp;$O369,APOIO_REDES!$W:$W,0),MATCH(AG$5,APOIO_REDES!$5:$5,0)),0)</f>
        <v>0.65</v>
      </c>
      <c r="AH369" s="153" t="n">
        <f aca="false">IFERROR(INDEX(APOIO_REDES!$A:$W,MATCH($C369&amp;$I369&amp;$H369&amp;$N369&amp;$O369,APOIO_REDES!$W:$W,0),MATCH(AH$5,APOIO_REDES!$5:$5,0)),0)</f>
        <v>0.1</v>
      </c>
      <c r="AI369" s="153" t="n">
        <f aca="false">IFERROR(IF($H369&lt;&gt;"",(((($H369/1000)/2)^2)*PI()*$M369),0),0)</f>
        <v>0.102152128825887</v>
      </c>
      <c r="AJ369" s="153" t="n">
        <f aca="false">IFERROR(IF(AND($H369&lt;&gt;"",$I369="FoFo",OR($N369="MND",$N369="VCA"),$Q369="LINEAR"),0,IF(AND($H369&lt;&gt;"",$I369="PEAD",$N369="VCA",$Q369="LINEAR"),($H369/1000)+0.3,IF(AND($H369&lt;&gt;"",$I369="PEAD",$N369="MND",$Q369="EMBOQUE"),0,IF(AND($H369&lt;&gt;"",$I369="PVC",$N369="VCA",$Q369="LINEAR"),($H369/1000)+0.2,IF(AND($H369&lt;&gt;"",$I369="PVC",$N369="MND",$Q369="EMBOQUE"),0,IF(AND($H369&lt;&gt;"",$I369="PEAD",$N369="VCA",$Q369="PREDIAL"),0,0)))))),0)</f>
        <v>0.363</v>
      </c>
      <c r="AK369" s="153" t="n">
        <f aca="false">IF(AA369&lt;&gt;"",AA369,0)</f>
        <v>3.5</v>
      </c>
      <c r="AL369" s="153" t="n">
        <f aca="false">IF(AND($N369="MND",$Q369="EMBOQUE"),$M369,IF(AND($N369="VCA",$Q369="LINEAR"),$M369,IF(AND($N369="VCA",$Q369="PREDIAL"),0,0)))</f>
        <v>32.77</v>
      </c>
      <c r="AM369" s="153" t="n">
        <f aca="false">IF(AND($N369="MND",$Q369="EMBOQUE"),$M369,IF(AND($N369="VCA",$Q369="LINEAR"),$M369,IF(AND($N369="VCA",$Q369="PREDIAL"),0,0)))</f>
        <v>32.77</v>
      </c>
      <c r="AN369" s="153" t="n">
        <f aca="false">ROUND(IF(AND($N369="VCA",$M369&lt;&gt;"",$Q369="LINEAR"),$M369/100,IF(AND($N369="MND",$M369&gt;100,$Q369="EMBOQUE"),$M369/100,0)),0)</f>
        <v>0</v>
      </c>
      <c r="AO369" s="153" t="n">
        <f aca="false">IF(AND($N369="MND",$Q369="EMBOQUE"),$AN369*2*2,IF(AND($N369="VCA",$Q369="LINEAR"),$M369*2,IF(AND($N369="VCA",$Q369="PREDIAL"),0,0)))</f>
        <v>65.54</v>
      </c>
      <c r="AP369" s="153" t="n">
        <f aca="false">IFERROR($M369*$AF369*$AG369,0)</f>
        <v>29.0325815</v>
      </c>
      <c r="AQ369" s="153" t="n">
        <f aca="false">IFERROR(IF(AND($N369="VCA",$AH369&gt;0),$M369*$AG369*$AH369,0),0)</f>
        <v>2.13005</v>
      </c>
      <c r="AR369" s="153" t="n">
        <f aca="false">IFERROR(IF(AND($N369="VCA",$AJ369&gt;0),($M369*$AG369*$AJ369)-$AI369,0),0)</f>
        <v>7.62992937117411</v>
      </c>
      <c r="AS369" s="153" t="n">
        <f aca="false">IFERROR(IF(AND($N369="VCA",$AP369&gt;0),$AP369-$AI369-$AQ369-$AR369,0),0)</f>
        <v>19.17045</v>
      </c>
      <c r="AT369" s="153" t="n">
        <f aca="false">IFERROR(IF($N369="VCA",INDEX(APOIO_REDES!$A:$W,MATCH($C369&amp;$I369&amp;$H369&amp;$N369&amp;$O369,APOIO_REDES!$W:$W,0),MATCH(AT$5,APOIO_REDES!$5:$5,0)),0)*$AP369,0)</f>
        <v>0.315883079925485</v>
      </c>
      <c r="AU369" s="153" t="n">
        <f aca="false">IFERROR(IF($N369="VCA",INDEX(APOIO_REDES!$A:$W,MATCH($C369&amp;$I369&amp;$H369&amp;$N369&amp;$O369,APOIO_REDES!$W:$W,0),MATCH(AU$5,APOIO_REDES!$5:$5,0)),0)*$AP369,0)</f>
        <v>0.252255672429713</v>
      </c>
      <c r="AV369" s="153" t="n">
        <f aca="false">IFERROR(IF($N369="VCA",INDEX(APOIO_REDES!$A:$W,MATCH($C369&amp;$I369&amp;$H369&amp;$N369&amp;$O369,APOIO_REDES!$W:$W,0),MATCH(AV$5,APOIO_REDES!$5:$5,0)),0)*$AP369,0)</f>
        <v>0.0349102047796006</v>
      </c>
      <c r="AW369" s="153" t="n">
        <f aca="false">IFERROR(IF($N369="VCA",INDEX(APOIO_REDES!$A:$W,MATCH($C369&amp;$I369&amp;$H369&amp;$N369&amp;$O369,APOIO_REDES!$W:$W,0),MATCH(AW$5,APOIO_REDES!$5:$5,0)),0)*$AP369,0)</f>
        <v>19.9281888970188</v>
      </c>
      <c r="AX369" s="153" t="n">
        <f aca="false">IFERROR(IF($N369="VCA",INDEX(APOIO_REDES!$A:$W,MATCH($C369&amp;$I369&amp;$H369&amp;$N369&amp;$O369,APOIO_REDES!$W:$W,0),MATCH(AX$5,APOIO_REDES!$5:$5,0)),0)*$AP369,0)</f>
        <v>2.75800457682679</v>
      </c>
      <c r="AY369" s="153" t="n">
        <f aca="false">IFERROR(IF($N369="VCA",INDEX(APOIO_REDES!$A:$W,MATCH($C369&amp;$I369&amp;$H369&amp;$N369&amp;$O369,APOIO_REDES!$W:$W,0),MATCH(AY$5,APOIO_REDES!$5:$5,0)),0)*$AP369,0)</f>
        <v>5.04511037361807</v>
      </c>
      <c r="AZ369" s="153" t="n">
        <f aca="false">IFERROR(IF($N369="VCA",INDEX(APOIO_REDES!$A:$W,MATCH($C369&amp;$I369&amp;$H369&amp;$N369&amp;$O369,APOIO_REDES!$W:$W,0),MATCH(AZ$5,APOIO_REDES!$5:$5,0)),0)*$AP369,0)</f>
        <v>0.698228695401598</v>
      </c>
      <c r="BA369" s="153" t="n">
        <f aca="false">IFERROR(IF(AND($N369="VCA",$Q369="LINEAR"),INDEX(APOIO_REDES!$A:$W,MATCH($C369&amp;$I369&amp;$H369&amp;$N369&amp;$O369,APOIO_REDES!$W:$W,0),MATCH(BA$5,APOIO_REDES!$5:$5,0)),IF(AND($N369="MND",$Q369="EMBOQUE"),INDEX(APOIO_REDES!$A:$W,MATCH($C369&amp;$I369&amp;$H369&amp;$N369&amp;$O369,APOIO_REDES!$W:$W,0),MATCH(BA$5,APOIO_REDES!$5:$5,0)),0))*$M369/10,0)</f>
        <v>2.6411793402894</v>
      </c>
      <c r="BB369" s="153" t="n">
        <f aca="false">IFERROR(IF($N369="VCA",INDEX(APOIO_REDES!$A:$W,MATCH($C369&amp;$I369&amp;$H369&amp;$N369&amp;$O369,APOIO_REDES!$W:$W,0),MATCH(BB$5,APOIO_REDES!$5:$5,0)),0)*($AI369+$AQ369+$AR369),0)</f>
        <v>9.75482859023808</v>
      </c>
      <c r="BC369" s="153" t="n">
        <f aca="false">IFERROR(IF($N369="VCA",INDEX(APOIO_REDES!$A:$W,MATCH($C369&amp;$I369&amp;$H369&amp;$N369&amp;$O369,APOIO_REDES!$W:$W,0),MATCH(BC$5,APOIO_REDES!$5:$5,0)),0)*($AI369+$AQ369+$AR369),0)</f>
        <v>0.107302909761922</v>
      </c>
      <c r="BD369" s="153" t="n">
        <f aca="false">IF(AND($N369="VCA",$AF369&gt;=1.25,$AF369&lt;1.5),$M369*$AF369*2,0)</f>
        <v>89.33102</v>
      </c>
      <c r="BE369" s="153" t="n">
        <f aca="false">IF(AND($N369="VCA",$AF369&gt;=1.5,$AF369&lt;3),$M369*$AF369*2,0)</f>
        <v>0</v>
      </c>
      <c r="BF369" s="153" t="n">
        <f aca="false">IF(AND($N369="VCA",$AF369&gt;=3),$M369*$AF369*2,0)</f>
        <v>0</v>
      </c>
      <c r="BG369" s="153" t="n">
        <f aca="false">($BB369+$BC369)*$AK369</f>
        <v>34.51746025</v>
      </c>
      <c r="BH369" s="153" t="n">
        <f aca="false">IF(AND($M369&lt;&gt;"",$N369="VCA",$Q369="LINEAR"),($M369*2)/100,IF(AND($M369&lt;&gt;"",$N369="MND",$Q369="EMBOQUE"),($AN369*2)/100,0))</f>
        <v>0.6554</v>
      </c>
      <c r="BI369" s="153" t="n">
        <f aca="false">IF(AND($M369&lt;&gt;"",$N369="VCA",$Q369="LINEAR"),$M369,IF(AND($M369&lt;&gt;"",$N369="MND",$Q369="EMBOQUE"),$AN369*2,0))</f>
        <v>32.77</v>
      </c>
      <c r="BJ369" s="153" t="n">
        <f aca="false">IF(AND($M369&lt;&gt;"",$N369="VCA",$Q369="LINEAR"),($M369*6.8)/100,IF(AND($M369&lt;&gt;"",$N369="MND",$Q369="EMBOQUE"),($AN369*2*6.8)/100,0))</f>
        <v>2.22836</v>
      </c>
      <c r="BK369" s="153" t="n">
        <f aca="false">IF(AND($M369&lt;&gt;"",$N369="VCA",$Q369="LINEAR"),($M369*2.5)/50,IF(AND($M369&lt;&gt;"",$N369="MND",$Q369="EMBOQUE"),($AN369*2*2.5)/50,0))</f>
        <v>1.6385</v>
      </c>
      <c r="BL369" s="157" t="str">
        <f aca="false">K369&amp;J369</f>
        <v>Zona03REDES</v>
      </c>
      <c r="BM369" s="152" t="s">
        <v>2526</v>
      </c>
      <c r="BN369" s="152" t="s">
        <v>1560</v>
      </c>
      <c r="BO369" s="152" t="s">
        <v>2800</v>
      </c>
      <c r="BP369" s="152" t="s">
        <v>2913</v>
      </c>
      <c r="BQ369" s="152" t="s">
        <v>2909</v>
      </c>
      <c r="BR369" s="152" t="s">
        <v>2923</v>
      </c>
      <c r="BS369" s="152" t="n">
        <v>203402.959</v>
      </c>
      <c r="BT369" s="152" t="n">
        <v>8237678.505</v>
      </c>
      <c r="BU369" s="152" t="n">
        <v>203370.222</v>
      </c>
      <c r="BV369" s="152" t="n">
        <v>8237680.019</v>
      </c>
      <c r="BW369" s="152" t="n">
        <v>-15.9224063</v>
      </c>
      <c r="BX369" s="152" t="n">
        <v>-47.7703158</v>
      </c>
      <c r="BY369" s="152" t="s">
        <v>2913</v>
      </c>
    </row>
    <row r="370" customFormat="false" ht="13.8" hidden="false" customHeight="false" outlineLevel="0" collapsed="false">
      <c r="A370" s="149" t="n">
        <f aca="false">IF(C370&lt;&gt;"",ROW(A365),"")</f>
        <v>365</v>
      </c>
      <c r="B370" s="150" t="str">
        <f aca="false">HYPERLINK("https://www.google.com/maps/dir/-15.917302,-47.760003/-15.9222560,-47.7712231/data=!4m3!4m2!3e0!5i1")</f>
        <v>https://www.google.com/maps/dir/-15.917302,-47.760003/-15.9222560,-47.7712231/data=!4m3!4m2!3e0!5i1</v>
      </c>
      <c r="C370" s="151" t="s">
        <v>117</v>
      </c>
      <c r="D370" s="152" t="s">
        <v>112</v>
      </c>
      <c r="E370" s="152" t="s">
        <v>113</v>
      </c>
      <c r="F370" s="152" t="s">
        <v>117</v>
      </c>
      <c r="G370" s="152" t="s">
        <v>114</v>
      </c>
      <c r="H370" s="152" t="n">
        <v>160</v>
      </c>
      <c r="I370" s="152" t="s">
        <v>115</v>
      </c>
      <c r="J370" s="152" t="s">
        <v>6</v>
      </c>
      <c r="K370" s="152" t="s">
        <v>2522</v>
      </c>
      <c r="L370" s="152" t="s">
        <v>120</v>
      </c>
      <c r="M370" s="153" t="n">
        <f aca="false">32.4</f>
        <v>32.4</v>
      </c>
      <c r="N370" s="152" t="s">
        <v>1548</v>
      </c>
      <c r="O370" s="152" t="s">
        <v>1549</v>
      </c>
      <c r="P370" s="152" t="s">
        <v>1550</v>
      </c>
      <c r="Q370" s="152" t="s">
        <v>1551</v>
      </c>
      <c r="R370" s="154" t="s">
        <v>2924</v>
      </c>
      <c r="S370" s="154" t="s">
        <v>1593</v>
      </c>
      <c r="T370" s="155" t="s">
        <v>2797</v>
      </c>
      <c r="U370" s="152" t="str">
        <f aca="false">RIGHT(T370,7)</f>
        <v>009/037</v>
      </c>
      <c r="V370" s="152" t="s">
        <v>1555</v>
      </c>
      <c r="W370" s="156" t="n">
        <v>45882</v>
      </c>
      <c r="X370" s="152" t="s">
        <v>1594</v>
      </c>
      <c r="Y370" s="152" t="s">
        <v>2885</v>
      </c>
      <c r="Z370" s="152" t="s">
        <v>1557</v>
      </c>
      <c r="AA370" s="153" t="n">
        <v>3.6</v>
      </c>
      <c r="AB370" s="151" t="s">
        <v>2925</v>
      </c>
      <c r="AC370" s="151" t="s">
        <v>505</v>
      </c>
      <c r="AD370" s="151" t="str">
        <f aca="false">CONCATENATE($C370,$I370,$H370,$N370,$J370,$K370)</f>
        <v>TUBO PEADPEAD160VCAREDESZona03</v>
      </c>
      <c r="AE370" s="153" t="n">
        <f aca="false">IFERROR(INDEX(APOIO_REDES!$A:$W,MATCH($C370&amp;$I370&amp;$H370&amp;$N370&amp;$O370,APOIO_REDES!$W:$W,0),MATCH(AE$5,APOIO_REDES!$5:$5,0)),0)</f>
        <v>1.2</v>
      </c>
      <c r="AF370" s="153" t="n">
        <f aca="false">IFERROR(INDEX(APOIO_REDES!$A:$W,MATCH($C370&amp;$I370&amp;$H370&amp;$N370&amp;$O370,APOIO_REDES!$W:$W,0),MATCH(AF$5,APOIO_REDES!$5:$5,0)),0)</f>
        <v>1.46</v>
      </c>
      <c r="AG370" s="153" t="n">
        <f aca="false">IFERROR(INDEX(APOIO_REDES!$A:$W,MATCH($C370&amp;$I370&amp;$H370&amp;$N370&amp;$O370,APOIO_REDES!$W:$W,0),MATCH(AG$5,APOIO_REDES!$5:$5,0)),0)</f>
        <v>0.75</v>
      </c>
      <c r="AH370" s="153" t="n">
        <f aca="false">IFERROR(INDEX(APOIO_REDES!$A:$W,MATCH($C370&amp;$I370&amp;$H370&amp;$N370&amp;$O370,APOIO_REDES!$W:$W,0),MATCH(AH$5,APOIO_REDES!$5:$5,0)),0)</f>
        <v>0.1</v>
      </c>
      <c r="AI370" s="153" t="n">
        <f aca="false">IFERROR(IF($H370&lt;&gt;"",(((($H370/1000)/2)^2)*PI()*$M370),0),0)</f>
        <v>0.65144065264838</v>
      </c>
      <c r="AJ370" s="153" t="n">
        <f aca="false">IFERROR(IF(AND($H370&lt;&gt;"",$I370="FoFo",OR($N370="MND",$N370="VCA"),$Q370="LINEAR"),0,IF(AND($H370&lt;&gt;"",$I370="PEAD",$N370="VCA",$Q370="LINEAR"),($H370/1000)+0.3,IF(AND($H370&lt;&gt;"",$I370="PEAD",$N370="MND",$Q370="EMBOQUE"),0,IF(AND($H370&lt;&gt;"",$I370="PVC",$N370="VCA",$Q370="LINEAR"),($H370/1000)+0.2,IF(AND($H370&lt;&gt;"",$I370="PVC",$N370="MND",$Q370="EMBOQUE"),0,IF(AND($H370&lt;&gt;"",$I370="PEAD",$N370="VCA",$Q370="PREDIAL"),0,0)))))),0)</f>
        <v>0.46</v>
      </c>
      <c r="AK370" s="153" t="n">
        <f aca="false">IF(AA370&lt;&gt;"",AA370,0)</f>
        <v>3.6</v>
      </c>
      <c r="AL370" s="153" t="n">
        <f aca="false">IF(AND($N370="MND",$Q370="EMBOQUE"),$M370,IF(AND($N370="VCA",$Q370="LINEAR"),$M370,IF(AND($N370="VCA",$Q370="PREDIAL"),0,0)))</f>
        <v>32.4</v>
      </c>
      <c r="AM370" s="153" t="n">
        <f aca="false">IF(AND($N370="MND",$Q370="EMBOQUE"),$M370,IF(AND($N370="VCA",$Q370="LINEAR"),$M370,IF(AND($N370="VCA",$Q370="PREDIAL"),0,0)))</f>
        <v>32.4</v>
      </c>
      <c r="AN370" s="153" t="n">
        <f aca="false">ROUND(IF(AND($N370="VCA",$M370&lt;&gt;"",$Q370="LINEAR"),$M370/100,IF(AND($N370="MND",$M370&gt;100,$Q370="EMBOQUE"),$M370/100,0)),0)</f>
        <v>0</v>
      </c>
      <c r="AO370" s="153" t="n">
        <f aca="false">IF(AND($N370="MND",$Q370="EMBOQUE"),$AN370*2*2,IF(AND($N370="VCA",$Q370="LINEAR"),$M370*2,IF(AND($N370="VCA",$Q370="PREDIAL"),0,0)))</f>
        <v>64.8</v>
      </c>
      <c r="AP370" s="153" t="n">
        <f aca="false">IFERROR($M370*$AF370*$AG370,0)</f>
        <v>35.478</v>
      </c>
      <c r="AQ370" s="153" t="n">
        <f aca="false">IFERROR(IF(AND($N370="VCA",$AH370&gt;0),$M370*$AG370*$AH370,0),0)</f>
        <v>2.43</v>
      </c>
      <c r="AR370" s="153" t="n">
        <f aca="false">IFERROR(IF(AND($N370="VCA",$AJ370&gt;0),($M370*$AG370*$AJ370)-$AI370,0),0)</f>
        <v>10.5265593473516</v>
      </c>
      <c r="AS370" s="153" t="n">
        <f aca="false">IFERROR(IF(AND($N370="VCA",$AP370&gt;0),$AP370-$AI370-$AQ370-$AR370,0),0)</f>
        <v>21.87</v>
      </c>
      <c r="AT370" s="153" t="n">
        <f aca="false">IFERROR(IF($N370="VCA",INDEX(APOIO_REDES!$A:$W,MATCH($C370&amp;$I370&amp;$H370&amp;$N370&amp;$O370,APOIO_REDES!$W:$W,0),MATCH(AT$5,APOIO_REDES!$5:$5,0)),0)*$AP370,0)</f>
        <v>0.38601114095198</v>
      </c>
      <c r="AU370" s="153" t="n">
        <f aca="false">IFERROR(IF($N370="VCA",INDEX(APOIO_REDES!$A:$W,MATCH($C370&amp;$I370&amp;$H370&amp;$N370&amp;$O370,APOIO_REDES!$W:$W,0),MATCH(AU$5,APOIO_REDES!$5:$5,0)),0)*$AP370,0)</f>
        <v>0.308258042656708</v>
      </c>
      <c r="AV370" s="153" t="n">
        <f aca="false">IFERROR(IF($N370="VCA",INDEX(APOIO_REDES!$A:$W,MATCH($C370&amp;$I370&amp;$H370&amp;$N370&amp;$O370,APOIO_REDES!$W:$W,0),MATCH(AV$5,APOIO_REDES!$5:$5,0)),0)*$AP370,0)</f>
        <v>0.0426604931831732</v>
      </c>
      <c r="AW370" s="153" t="n">
        <f aca="false">IFERROR(IF($N370="VCA",INDEX(APOIO_REDES!$A:$W,MATCH($C370&amp;$I370&amp;$H370&amp;$N370&amp;$O370,APOIO_REDES!$W:$W,0),MATCH(AW$5,APOIO_REDES!$5:$5,0)),0)*$AP370,0)</f>
        <v>24.3523740969583</v>
      </c>
      <c r="AX370" s="153" t="n">
        <f aca="false">IFERROR(IF($N370="VCA",INDEX(APOIO_REDES!$A:$W,MATCH($C370&amp;$I370&amp;$H370&amp;$N370&amp;$O370,APOIO_REDES!$W:$W,0),MATCH(AX$5,APOIO_REDES!$5:$5,0)),0)*$AP370,0)</f>
        <v>3.37029920596833</v>
      </c>
      <c r="AY370" s="153" t="n">
        <f aca="false">IFERROR(IF($N370="VCA",INDEX(APOIO_REDES!$A:$W,MATCH($C370&amp;$I370&amp;$H370&amp;$N370&amp;$O370,APOIO_REDES!$W:$W,0),MATCH(AY$5,APOIO_REDES!$5:$5,0)),0)*$AP370,0)</f>
        <v>6.16515709549362</v>
      </c>
      <c r="AZ370" s="153" t="n">
        <f aca="false">IFERROR(IF($N370="VCA",INDEX(APOIO_REDES!$A:$W,MATCH($C370&amp;$I370&amp;$H370&amp;$N370&amp;$O370,APOIO_REDES!$W:$W,0),MATCH(AZ$5,APOIO_REDES!$5:$5,0)),0)*$AP370,0)</f>
        <v>0.853239924787877</v>
      </c>
      <c r="BA370" s="153" t="n">
        <f aca="false">IFERROR(IF(AND($N370="VCA",$Q370="LINEAR"),INDEX(APOIO_REDES!$A:$W,MATCH($C370&amp;$I370&amp;$H370&amp;$N370&amp;$O370,APOIO_REDES!$W:$W,0),MATCH(BA$5,APOIO_REDES!$5:$5,0)),IF(AND($N370="MND",$Q370="EMBOQUE"),INDEX(APOIO_REDES!$A:$W,MATCH($C370&amp;$I370&amp;$H370&amp;$N370&amp;$O370,APOIO_REDES!$W:$W,0),MATCH(BA$5,APOIO_REDES!$5:$5,0)),0))*$M370/10,0)</f>
        <v>2.61135827358488</v>
      </c>
      <c r="BB370" s="153" t="n">
        <f aca="false">IFERROR(IF($N370="VCA",INDEX(APOIO_REDES!$A:$W,MATCH($C370&amp;$I370&amp;$H370&amp;$N370&amp;$O370,APOIO_REDES!$W:$W,0),MATCH(BB$5,APOIO_REDES!$5:$5,0)),0)*($AI370+$AQ370+$AR370),0)</f>
        <v>13.4599409322376</v>
      </c>
      <c r="BC370" s="153" t="n">
        <f aca="false">IFERROR(IF($N370="VCA",INDEX(APOIO_REDES!$A:$W,MATCH($C370&amp;$I370&amp;$H370&amp;$N370&amp;$O370,APOIO_REDES!$W:$W,0),MATCH(BC$5,APOIO_REDES!$5:$5,0)),0)*($AI370+$AQ370+$AR370),0)</f>
        <v>0.148059067762403</v>
      </c>
      <c r="BD370" s="153" t="n">
        <f aca="false">IF(AND($N370="VCA",$AF370&gt;=1.25,$AF370&lt;1.5),$M370*$AF370*2,0)</f>
        <v>94.608</v>
      </c>
      <c r="BE370" s="153" t="n">
        <f aca="false">IF(AND($N370="VCA",$AF370&gt;=1.5,$AF370&lt;3),$M370*$AF370*2,0)</f>
        <v>0</v>
      </c>
      <c r="BF370" s="153" t="n">
        <f aca="false">IF(AND($N370="VCA",$AF370&gt;=3),$M370*$AF370*2,0)</f>
        <v>0</v>
      </c>
      <c r="BG370" s="153" t="n">
        <f aca="false">($BB370+$BC370)*$AK370</f>
        <v>48.9888</v>
      </c>
      <c r="BH370" s="153" t="n">
        <f aca="false">IF(AND($M370&lt;&gt;"",$N370="VCA",$Q370="LINEAR"),($M370*2)/100,IF(AND($M370&lt;&gt;"",$N370="MND",$Q370="EMBOQUE"),($AN370*2)/100,0))</f>
        <v>0.648</v>
      </c>
      <c r="BI370" s="153" t="n">
        <f aca="false">IF(AND($M370&lt;&gt;"",$N370="VCA",$Q370="LINEAR"),$M370,IF(AND($M370&lt;&gt;"",$N370="MND",$Q370="EMBOQUE"),$AN370*2,0))</f>
        <v>32.4</v>
      </c>
      <c r="BJ370" s="153" t="n">
        <f aca="false">IF(AND($M370&lt;&gt;"",$N370="VCA",$Q370="LINEAR"),($M370*6.8)/100,IF(AND($M370&lt;&gt;"",$N370="MND",$Q370="EMBOQUE"),($AN370*2*6.8)/100,0))</f>
        <v>2.2032</v>
      </c>
      <c r="BK370" s="153" t="n">
        <f aca="false">IF(AND($M370&lt;&gt;"",$N370="VCA",$Q370="LINEAR"),($M370*2.5)/50,IF(AND($M370&lt;&gt;"",$N370="MND",$Q370="EMBOQUE"),($AN370*2*2.5)/50,0))</f>
        <v>1.62</v>
      </c>
      <c r="BL370" s="157" t="str">
        <f aca="false">K370&amp;J370</f>
        <v>Zona03REDES</v>
      </c>
      <c r="BM370" s="152" t="s">
        <v>2526</v>
      </c>
      <c r="BN370" s="152" t="s">
        <v>1560</v>
      </c>
      <c r="BO370" s="152" t="s">
        <v>2800</v>
      </c>
      <c r="BP370" s="152" t="s">
        <v>2887</v>
      </c>
      <c r="BQ370" s="152" t="s">
        <v>2926</v>
      </c>
      <c r="BR370" s="152" t="s">
        <v>2927</v>
      </c>
      <c r="BS370" s="152" t="n">
        <v>203289.163</v>
      </c>
      <c r="BT370" s="152" t="n">
        <v>8237694.62</v>
      </c>
      <c r="BU370" s="152" t="n">
        <v>203290.274</v>
      </c>
      <c r="BV370" s="152" t="n">
        <v>8237662.254</v>
      </c>
      <c r="BW370" s="152" t="n">
        <v>-15.9224023</v>
      </c>
      <c r="BX370" s="152" t="n">
        <v>-47.7712237</v>
      </c>
      <c r="BY370" s="152" t="s">
        <v>2887</v>
      </c>
    </row>
    <row r="371" customFormat="false" ht="13.8" hidden="false" customHeight="false" outlineLevel="0" collapsed="false">
      <c r="A371" s="149" t="n">
        <f aca="false">IF(C371&lt;&gt;"",ROW(A366),"")</f>
        <v>366</v>
      </c>
      <c r="B371" s="150" t="str">
        <f aca="false">HYPERLINK("https://www.google.com/maps/dir/-15.917302,-47.760003/-15.9225484,-47.7712167/data=!4m3!4m2!3e0!5i0")</f>
        <v>https://www.google.com/maps/dir/-15.917302,-47.760003/-15.9225484,-47.7712167/data=!4m3!4m2!3e0!5i0</v>
      </c>
      <c r="C371" s="151" t="s">
        <v>117</v>
      </c>
      <c r="D371" s="152" t="s">
        <v>112</v>
      </c>
      <c r="E371" s="152" t="s">
        <v>113</v>
      </c>
      <c r="F371" s="152" t="s">
        <v>117</v>
      </c>
      <c r="G371" s="152" t="s">
        <v>114</v>
      </c>
      <c r="H371" s="152" t="n">
        <v>160</v>
      </c>
      <c r="I371" s="152" t="s">
        <v>115</v>
      </c>
      <c r="J371" s="152" t="s">
        <v>6</v>
      </c>
      <c r="K371" s="152" t="s">
        <v>2522</v>
      </c>
      <c r="L371" s="152" t="s">
        <v>120</v>
      </c>
      <c r="M371" s="153" t="n">
        <f aca="false">186.75</f>
        <v>186.75</v>
      </c>
      <c r="N371" s="152" t="s">
        <v>1548</v>
      </c>
      <c r="O371" s="152" t="s">
        <v>1549</v>
      </c>
      <c r="P371" s="152" t="s">
        <v>1550</v>
      </c>
      <c r="Q371" s="152" t="s">
        <v>1551</v>
      </c>
      <c r="R371" s="154" t="s">
        <v>2928</v>
      </c>
      <c r="S371" s="154" t="s">
        <v>1593</v>
      </c>
      <c r="T371" s="155" t="s">
        <v>2797</v>
      </c>
      <c r="U371" s="152" t="str">
        <f aca="false">RIGHT(T371,7)</f>
        <v>009/037</v>
      </c>
      <c r="V371" s="152" t="s">
        <v>1555</v>
      </c>
      <c r="W371" s="156" t="n">
        <v>45882</v>
      </c>
      <c r="X371" s="152" t="s">
        <v>1594</v>
      </c>
      <c r="Y371" s="152" t="s">
        <v>2853</v>
      </c>
      <c r="Z371" s="152" t="s">
        <v>1557</v>
      </c>
      <c r="AA371" s="153" t="n">
        <v>3.3</v>
      </c>
      <c r="AB371" s="151" t="s">
        <v>2929</v>
      </c>
      <c r="AC371" s="151" t="s">
        <v>505</v>
      </c>
      <c r="AD371" s="151" t="str">
        <f aca="false">CONCATENATE($C371,$I371,$H371,$N371,$J371,$K371)</f>
        <v>TUBO PEADPEAD160VCAREDESZona03</v>
      </c>
      <c r="AE371" s="153" t="n">
        <f aca="false">IFERROR(INDEX(APOIO_REDES!$A:$W,MATCH($C371&amp;$I371&amp;$H371&amp;$N371&amp;$O371,APOIO_REDES!$W:$W,0),MATCH(AE$5,APOIO_REDES!$5:$5,0)),0)</f>
        <v>1.2</v>
      </c>
      <c r="AF371" s="153" t="n">
        <f aca="false">IFERROR(INDEX(APOIO_REDES!$A:$W,MATCH($C371&amp;$I371&amp;$H371&amp;$N371&amp;$O371,APOIO_REDES!$W:$W,0),MATCH(AF$5,APOIO_REDES!$5:$5,0)),0)</f>
        <v>1.46</v>
      </c>
      <c r="AG371" s="153" t="n">
        <f aca="false">IFERROR(INDEX(APOIO_REDES!$A:$W,MATCH($C371&amp;$I371&amp;$H371&amp;$N371&amp;$O371,APOIO_REDES!$W:$W,0),MATCH(AG$5,APOIO_REDES!$5:$5,0)),0)</f>
        <v>0.75</v>
      </c>
      <c r="AH371" s="153" t="n">
        <f aca="false">IFERROR(INDEX(APOIO_REDES!$A:$W,MATCH($C371&amp;$I371&amp;$H371&amp;$N371&amp;$O371,APOIO_REDES!$W:$W,0),MATCH(AH$5,APOIO_REDES!$5:$5,0)),0)</f>
        <v>0.1</v>
      </c>
      <c r="AI371" s="153" t="n">
        <f aca="false">IFERROR(IF($H371&lt;&gt;"",(((($H371/1000)/2)^2)*PI()*$M371),0),0)</f>
        <v>3.75483153957052</v>
      </c>
      <c r="AJ371" s="153" t="n">
        <f aca="false">IFERROR(IF(AND($H371&lt;&gt;"",$I371="FoFo",OR($N371="MND",$N371="VCA"),$Q371="LINEAR"),0,IF(AND($H371&lt;&gt;"",$I371="PEAD",$N371="VCA",$Q371="LINEAR"),($H371/1000)+0.3,IF(AND($H371&lt;&gt;"",$I371="PEAD",$N371="MND",$Q371="EMBOQUE"),0,IF(AND($H371&lt;&gt;"",$I371="PVC",$N371="VCA",$Q371="LINEAR"),($H371/1000)+0.2,IF(AND($H371&lt;&gt;"",$I371="PVC",$N371="MND",$Q371="EMBOQUE"),0,IF(AND($H371&lt;&gt;"",$I371="PEAD",$N371="VCA",$Q371="PREDIAL"),0,0)))))),0)</f>
        <v>0.46</v>
      </c>
      <c r="AK371" s="153" t="n">
        <f aca="false">IF(AA371&lt;&gt;"",AA371,0)</f>
        <v>3.3</v>
      </c>
      <c r="AL371" s="153" t="n">
        <f aca="false">IF(AND($N371="MND",$Q371="EMBOQUE"),$M371,IF(AND($N371="VCA",$Q371="LINEAR"),$M371,IF(AND($N371="VCA",$Q371="PREDIAL"),0,0)))</f>
        <v>186.75</v>
      </c>
      <c r="AM371" s="153" t="n">
        <f aca="false">IF(AND($N371="MND",$Q371="EMBOQUE"),$M371,IF(AND($N371="VCA",$Q371="LINEAR"),$M371,IF(AND($N371="VCA",$Q371="PREDIAL"),0,0)))</f>
        <v>186.75</v>
      </c>
      <c r="AN371" s="153" t="n">
        <f aca="false">ROUND(IF(AND($N371="VCA",$M371&lt;&gt;"",$Q371="LINEAR"),$M371/100,IF(AND($N371="MND",$M371&gt;100,$Q371="EMBOQUE"),$M371/100,0)),0)</f>
        <v>2</v>
      </c>
      <c r="AO371" s="153" t="n">
        <f aca="false">IF(AND($N371="MND",$Q371="EMBOQUE"),$AN371*2*2,IF(AND($N371="VCA",$Q371="LINEAR"),$M371*2,IF(AND($N371="VCA",$Q371="PREDIAL"),0,0)))</f>
        <v>373.5</v>
      </c>
      <c r="AP371" s="153" t="n">
        <f aca="false">IFERROR($M371*$AF371*$AG371,0)</f>
        <v>204.49125</v>
      </c>
      <c r="AQ371" s="153" t="n">
        <f aca="false">IFERROR(IF(AND($N371="VCA",$AH371&gt;0),$M371*$AG371*$AH371,0),0)</f>
        <v>14.00625</v>
      </c>
      <c r="AR371" s="153" t="n">
        <f aca="false">IFERROR(IF(AND($N371="VCA",$AJ371&gt;0),($M371*$AG371*$AJ371)-$AI371,0),0)</f>
        <v>60.6739184604295</v>
      </c>
      <c r="AS371" s="153" t="n">
        <f aca="false">IFERROR(IF(AND($N371="VCA",$AP371&gt;0),$AP371-$AI371-$AQ371-$AR371,0),0)</f>
        <v>126.05625</v>
      </c>
      <c r="AT371" s="153" t="n">
        <f aca="false">IFERROR(IF($N371="VCA",INDEX(APOIO_REDES!$A:$W,MATCH($C371&amp;$I371&amp;$H371&amp;$N371&amp;$O371,APOIO_REDES!$W:$W,0),MATCH(AT$5,APOIO_REDES!$5:$5,0)),0)*$AP371,0)</f>
        <v>2.22492532632044</v>
      </c>
      <c r="AU371" s="153" t="n">
        <f aca="false">IFERROR(IF($N371="VCA",INDEX(APOIO_REDES!$A:$W,MATCH($C371&amp;$I371&amp;$H371&amp;$N371&amp;$O371,APOIO_REDES!$W:$W,0),MATCH(AU$5,APOIO_REDES!$5:$5,0)),0)*$AP371,0)</f>
        <v>1.77676510697964</v>
      </c>
      <c r="AV371" s="153" t="n">
        <f aca="false">IFERROR(IF($N371="VCA",INDEX(APOIO_REDES!$A:$W,MATCH($C371&amp;$I371&amp;$H371&amp;$N371&amp;$O371,APOIO_REDES!$W:$W,0),MATCH(AV$5,APOIO_REDES!$5:$5,0)),0)*$AP371,0)</f>
        <v>0.245890342653012</v>
      </c>
      <c r="AW371" s="153" t="n">
        <f aca="false">IFERROR(IF($N371="VCA",INDEX(APOIO_REDES!$A:$W,MATCH($C371&amp;$I371&amp;$H371&amp;$N371&amp;$O371,APOIO_REDES!$W:$W,0),MATCH(AW$5,APOIO_REDES!$5:$5,0)),0)*$AP371,0)</f>
        <v>140.364378475524</v>
      </c>
      <c r="AX371" s="153" t="n">
        <f aca="false">IFERROR(IF($N371="VCA",INDEX(APOIO_REDES!$A:$W,MATCH($C371&amp;$I371&amp;$H371&amp;$N371&amp;$O371,APOIO_REDES!$W:$W,0),MATCH(AX$5,APOIO_REDES!$5:$5,0)),0)*$AP371,0)</f>
        <v>19.4260301455119</v>
      </c>
      <c r="AY371" s="153" t="n">
        <f aca="false">IFERROR(IF($N371="VCA",INDEX(APOIO_REDES!$A:$W,MATCH($C371&amp;$I371&amp;$H371&amp;$N371&amp;$O371,APOIO_REDES!$W:$W,0),MATCH(AY$5,APOIO_REDES!$5:$5,0)),0)*$AP371,0)</f>
        <v>35.5352804809702</v>
      </c>
      <c r="AZ371" s="153" t="n">
        <f aca="false">IFERROR(IF($N371="VCA",INDEX(APOIO_REDES!$A:$W,MATCH($C371&amp;$I371&amp;$H371&amp;$N371&amp;$O371,APOIO_REDES!$W:$W,0),MATCH(AZ$5,APOIO_REDES!$5:$5,0)),0)*$AP371,0)</f>
        <v>4.91798012204123</v>
      </c>
      <c r="BA371" s="153" t="n">
        <f aca="false">IFERROR(IF(AND($N371="VCA",$Q371="LINEAR"),INDEX(APOIO_REDES!$A:$W,MATCH($C371&amp;$I371&amp;$H371&amp;$N371&amp;$O371,APOIO_REDES!$W:$W,0),MATCH(BA$5,APOIO_REDES!$5:$5,0)),IF(AND($N371="MND",$Q371="EMBOQUE"),INDEX(APOIO_REDES!$A:$W,MATCH($C371&amp;$I371&amp;$H371&amp;$N371&amp;$O371,APOIO_REDES!$W:$W,0),MATCH(BA$5,APOIO_REDES!$5:$5,0)),0))*$M371/10,0)</f>
        <v>15.051578938024</v>
      </c>
      <c r="BB371" s="153" t="n">
        <f aca="false">IFERROR(IF($N371="VCA",INDEX(APOIO_REDES!$A:$W,MATCH($C371&amp;$I371&amp;$H371&amp;$N371&amp;$O371,APOIO_REDES!$W:$W,0),MATCH(BB$5,APOIO_REDES!$5:$5,0)),0)*($AI371+$AQ371+$AR371),0)</f>
        <v>77.581603984425</v>
      </c>
      <c r="BC371" s="153" t="n">
        <f aca="false">IFERROR(IF($N371="VCA",INDEX(APOIO_REDES!$A:$W,MATCH($C371&amp;$I371&amp;$H371&amp;$N371&amp;$O371,APOIO_REDES!$W:$W,0),MATCH(BC$5,APOIO_REDES!$5:$5,0)),0)*($AI371+$AQ371+$AR371),0)</f>
        <v>0.853396015574964</v>
      </c>
      <c r="BD371" s="153" t="n">
        <f aca="false">IF(AND($N371="VCA",$AF371&gt;=1.25,$AF371&lt;1.5),$M371*$AF371*2,0)</f>
        <v>545.31</v>
      </c>
      <c r="BE371" s="153" t="n">
        <f aca="false">IF(AND($N371="VCA",$AF371&gt;=1.5,$AF371&lt;3),$M371*$AF371*2,0)</f>
        <v>0</v>
      </c>
      <c r="BF371" s="153" t="n">
        <f aca="false">IF(AND($N371="VCA",$AF371&gt;=3),$M371*$AF371*2,0)</f>
        <v>0</v>
      </c>
      <c r="BG371" s="153" t="n">
        <f aca="false">($BB371+$BC371)*$AK371</f>
        <v>258.8355</v>
      </c>
      <c r="BH371" s="153" t="n">
        <f aca="false">IF(AND($M371&lt;&gt;"",$N371="VCA",$Q371="LINEAR"),($M371*2)/100,IF(AND($M371&lt;&gt;"",$N371="MND",$Q371="EMBOQUE"),($AN371*2)/100,0))</f>
        <v>3.735</v>
      </c>
      <c r="BI371" s="153" t="n">
        <f aca="false">IF(AND($M371&lt;&gt;"",$N371="VCA",$Q371="LINEAR"),$M371,IF(AND($M371&lt;&gt;"",$N371="MND",$Q371="EMBOQUE"),$AN371*2,0))</f>
        <v>186.75</v>
      </c>
      <c r="BJ371" s="153" t="n">
        <f aca="false">IF(AND($M371&lt;&gt;"",$N371="VCA",$Q371="LINEAR"),($M371*6.8)/100,IF(AND($M371&lt;&gt;"",$N371="MND",$Q371="EMBOQUE"),($AN371*2*6.8)/100,0))</f>
        <v>12.699</v>
      </c>
      <c r="BK371" s="153" t="n">
        <f aca="false">IF(AND($M371&lt;&gt;"",$N371="VCA",$Q371="LINEAR"),($M371*2.5)/50,IF(AND($M371&lt;&gt;"",$N371="MND",$Q371="EMBOQUE"),($AN371*2*2.5)/50,0))</f>
        <v>9.3375</v>
      </c>
      <c r="BL371" s="157" t="str">
        <f aca="false">K371&amp;J371</f>
        <v>Zona03REDES</v>
      </c>
      <c r="BM371" s="152" t="s">
        <v>2526</v>
      </c>
      <c r="BN371" s="152" t="s">
        <v>1560</v>
      </c>
      <c r="BO371" s="152" t="s">
        <v>2800</v>
      </c>
      <c r="BP371" s="152" t="s">
        <v>2926</v>
      </c>
      <c r="BQ371" s="152" t="s">
        <v>2772</v>
      </c>
      <c r="BR371" s="152" t="s">
        <v>2930</v>
      </c>
      <c r="BS371" s="152" t="n">
        <v>203290.274</v>
      </c>
      <c r="BT371" s="152" t="n">
        <v>8237662.254</v>
      </c>
      <c r="BU371" s="152" t="n">
        <v>203104.941</v>
      </c>
      <c r="BV371" s="152" t="n">
        <v>8237681.527</v>
      </c>
      <c r="BW371" s="152" t="n">
        <v>-15.9224675</v>
      </c>
      <c r="BX371" s="152" t="n">
        <v>-47.7720837</v>
      </c>
      <c r="BY371" s="152" t="s">
        <v>2926</v>
      </c>
    </row>
    <row r="372" customFormat="false" ht="13.8" hidden="false" customHeight="false" outlineLevel="0" collapsed="false">
      <c r="A372" s="149" t="n">
        <f aca="false">IF(C372&lt;&gt;"",ROW(A367),"")</f>
        <v>367</v>
      </c>
      <c r="B372" s="150" t="str">
        <f aca="false">HYPERLINK("https://www.google.com/maps/dir/-15.917302,-47.760003/-15.9225684,-47.7712463/data=!4m3!4m2!3e0!5i0")</f>
        <v>https://www.google.com/maps/dir/-15.917302,-47.760003/-15.9225684,-47.7712463/data=!4m3!4m2!3e0!5i0</v>
      </c>
      <c r="C372" s="151" t="s">
        <v>117</v>
      </c>
      <c r="D372" s="152" t="s">
        <v>112</v>
      </c>
      <c r="E372" s="152" t="s">
        <v>113</v>
      </c>
      <c r="F372" s="152" t="s">
        <v>117</v>
      </c>
      <c r="G372" s="152" t="s">
        <v>114</v>
      </c>
      <c r="H372" s="152" t="n">
        <v>160</v>
      </c>
      <c r="I372" s="152" t="s">
        <v>115</v>
      </c>
      <c r="J372" s="152" t="s">
        <v>6</v>
      </c>
      <c r="K372" s="152" t="s">
        <v>2522</v>
      </c>
      <c r="L372" s="152" t="s">
        <v>120</v>
      </c>
      <c r="M372" s="153" t="n">
        <f aca="false">168.66</f>
        <v>168.66</v>
      </c>
      <c r="N372" s="152" t="s">
        <v>1548</v>
      </c>
      <c r="O372" s="152" t="s">
        <v>1549</v>
      </c>
      <c r="P372" s="152" t="s">
        <v>1550</v>
      </c>
      <c r="Q372" s="152" t="s">
        <v>1551</v>
      </c>
      <c r="R372" s="154" t="s">
        <v>2931</v>
      </c>
      <c r="S372" s="154" t="s">
        <v>1593</v>
      </c>
      <c r="T372" s="155" t="s">
        <v>2797</v>
      </c>
      <c r="U372" s="152" t="str">
        <f aca="false">RIGHT(T372,7)</f>
        <v>009/037</v>
      </c>
      <c r="V372" s="152" t="s">
        <v>1555</v>
      </c>
      <c r="W372" s="156" t="n">
        <v>45882</v>
      </c>
      <c r="X372" s="152" t="s">
        <v>1594</v>
      </c>
      <c r="Y372" s="152" t="s">
        <v>2853</v>
      </c>
      <c r="Z372" s="152" t="s">
        <v>1557</v>
      </c>
      <c r="AA372" s="153" t="n">
        <v>3.3</v>
      </c>
      <c r="AB372" s="151" t="s">
        <v>2932</v>
      </c>
      <c r="AC372" s="151" t="s">
        <v>505</v>
      </c>
      <c r="AD372" s="151" t="str">
        <f aca="false">CONCATENATE($C372,$I372,$H372,$N372,$J372,$K372)</f>
        <v>TUBO PEADPEAD160VCAREDESZona03</v>
      </c>
      <c r="AE372" s="153" t="n">
        <f aca="false">IFERROR(INDEX(APOIO_REDES!$A:$W,MATCH($C372&amp;$I372&amp;$H372&amp;$N372&amp;$O372,APOIO_REDES!$W:$W,0),MATCH(AE$5,APOIO_REDES!$5:$5,0)),0)</f>
        <v>1.2</v>
      </c>
      <c r="AF372" s="153" t="n">
        <f aca="false">IFERROR(INDEX(APOIO_REDES!$A:$W,MATCH($C372&amp;$I372&amp;$H372&amp;$N372&amp;$O372,APOIO_REDES!$W:$W,0),MATCH(AF$5,APOIO_REDES!$5:$5,0)),0)</f>
        <v>1.46</v>
      </c>
      <c r="AG372" s="153" t="n">
        <f aca="false">IFERROR(INDEX(APOIO_REDES!$A:$W,MATCH($C372&amp;$I372&amp;$H372&amp;$N372&amp;$O372,APOIO_REDES!$W:$W,0),MATCH(AG$5,APOIO_REDES!$5:$5,0)),0)</f>
        <v>0.75</v>
      </c>
      <c r="AH372" s="153" t="n">
        <f aca="false">IFERROR(INDEX(APOIO_REDES!$A:$W,MATCH($C372&amp;$I372&amp;$H372&amp;$N372&amp;$O372,APOIO_REDES!$W:$W,0),MATCH(AH$5,APOIO_REDES!$5:$5,0)),0)</f>
        <v>0.1</v>
      </c>
      <c r="AI372" s="153" t="n">
        <f aca="false">IFERROR(IF($H372&lt;&gt;"",(((($H372/1000)/2)^2)*PI()*$M372),0),0)</f>
        <v>3.39111050850851</v>
      </c>
      <c r="AJ372" s="153" t="n">
        <f aca="false">IFERROR(IF(AND($H372&lt;&gt;"",$I372="FoFo",OR($N372="MND",$N372="VCA"),$Q372="LINEAR"),0,IF(AND($H372&lt;&gt;"",$I372="PEAD",$N372="VCA",$Q372="LINEAR"),($H372/1000)+0.3,IF(AND($H372&lt;&gt;"",$I372="PEAD",$N372="MND",$Q372="EMBOQUE"),0,IF(AND($H372&lt;&gt;"",$I372="PVC",$N372="VCA",$Q372="LINEAR"),($H372/1000)+0.2,IF(AND($H372&lt;&gt;"",$I372="PVC",$N372="MND",$Q372="EMBOQUE"),0,IF(AND($H372&lt;&gt;"",$I372="PEAD",$N372="VCA",$Q372="PREDIAL"),0,0)))))),0)</f>
        <v>0.46</v>
      </c>
      <c r="AK372" s="153" t="n">
        <f aca="false">IF(AA372&lt;&gt;"",AA372,0)</f>
        <v>3.3</v>
      </c>
      <c r="AL372" s="153" t="n">
        <f aca="false">IF(AND($N372="MND",$Q372="EMBOQUE"),$M372,IF(AND($N372="VCA",$Q372="LINEAR"),$M372,IF(AND($N372="VCA",$Q372="PREDIAL"),0,0)))</f>
        <v>168.66</v>
      </c>
      <c r="AM372" s="153" t="n">
        <f aca="false">IF(AND($N372="MND",$Q372="EMBOQUE"),$M372,IF(AND($N372="VCA",$Q372="LINEAR"),$M372,IF(AND($N372="VCA",$Q372="PREDIAL"),0,0)))</f>
        <v>168.66</v>
      </c>
      <c r="AN372" s="153" t="n">
        <f aca="false">ROUND(IF(AND($N372="VCA",$M372&lt;&gt;"",$Q372="LINEAR"),$M372/100,IF(AND($N372="MND",$M372&gt;100,$Q372="EMBOQUE"),$M372/100,0)),0)</f>
        <v>2</v>
      </c>
      <c r="AO372" s="153" t="n">
        <f aca="false">IF(AND($N372="MND",$Q372="EMBOQUE"),$AN372*2*2,IF(AND($N372="VCA",$Q372="LINEAR"),$M372*2,IF(AND($N372="VCA",$Q372="PREDIAL"),0,0)))</f>
        <v>337.32</v>
      </c>
      <c r="AP372" s="153" t="n">
        <f aca="false">IFERROR($M372*$AF372*$AG372,0)</f>
        <v>184.6827</v>
      </c>
      <c r="AQ372" s="153" t="n">
        <f aca="false">IFERROR(IF(AND($N372="VCA",$AH372&gt;0),$M372*$AG372*$AH372,0),0)</f>
        <v>12.6495</v>
      </c>
      <c r="AR372" s="153" t="n">
        <f aca="false">IFERROR(IF(AND($N372="VCA",$AJ372&gt;0),($M372*$AG372*$AJ372)-$AI372,0),0)</f>
        <v>54.7965894914915</v>
      </c>
      <c r="AS372" s="153" t="n">
        <f aca="false">IFERROR(IF(AND($N372="VCA",$AP372&gt;0),$AP372-$AI372-$AQ372-$AR372,0),0)</f>
        <v>113.8455</v>
      </c>
      <c r="AT372" s="153" t="n">
        <f aca="false">IFERROR(IF($N372="VCA",INDEX(APOIO_REDES!$A:$W,MATCH($C372&amp;$I372&amp;$H372&amp;$N372&amp;$O372,APOIO_REDES!$W:$W,0),MATCH(AT$5,APOIO_REDES!$5:$5,0)),0)*$AP372,0)</f>
        <v>2.00940243928892</v>
      </c>
      <c r="AU372" s="153" t="n">
        <f aca="false">IFERROR(IF($N372="VCA",INDEX(APOIO_REDES!$A:$W,MATCH($C372&amp;$I372&amp;$H372&amp;$N372&amp;$O372,APOIO_REDES!$W:$W,0),MATCH(AU$5,APOIO_REDES!$5:$5,0)),0)*$AP372,0)</f>
        <v>1.60465436649631</v>
      </c>
      <c r="AV372" s="153" t="n">
        <f aca="false">IFERROR(IF($N372="VCA",INDEX(APOIO_REDES!$A:$W,MATCH($C372&amp;$I372&amp;$H372&amp;$N372&amp;$O372,APOIO_REDES!$W:$W,0),MATCH(AV$5,APOIO_REDES!$5:$5,0)),0)*$AP372,0)</f>
        <v>0.222071567292407</v>
      </c>
      <c r="AW372" s="153" t="n">
        <f aca="false">IFERROR(IF($N372="VCA",INDEX(APOIO_REDES!$A:$W,MATCH($C372&amp;$I372&amp;$H372&amp;$N372&amp;$O372,APOIO_REDES!$W:$W,0),MATCH(AW$5,APOIO_REDES!$5:$5,0)),0)*$AP372,0)</f>
        <v>126.767636271389</v>
      </c>
      <c r="AX372" s="153" t="n">
        <f aca="false">IFERROR(IF($N372="VCA",INDEX(APOIO_REDES!$A:$W,MATCH($C372&amp;$I372&amp;$H372&amp;$N372&amp;$O372,APOIO_REDES!$W:$W,0),MATCH(AX$5,APOIO_REDES!$5:$5,0)),0)*$AP372,0)</f>
        <v>17.5442797555129</v>
      </c>
      <c r="AY372" s="153" t="n">
        <f aca="false">IFERROR(IF($N372="VCA",INDEX(APOIO_REDES!$A:$W,MATCH($C372&amp;$I372&amp;$H372&amp;$N372&amp;$O372,APOIO_REDES!$W:$W,0),MATCH(AY$5,APOIO_REDES!$5:$5,0)),0)*$AP372,0)</f>
        <v>32.0930677693195</v>
      </c>
      <c r="AZ372" s="153" t="n">
        <f aca="false">IFERROR(IF($N372="VCA",INDEX(APOIO_REDES!$A:$W,MATCH($C372&amp;$I372&amp;$H372&amp;$N372&amp;$O372,APOIO_REDES!$W:$W,0),MATCH(AZ$5,APOIO_REDES!$5:$5,0)),0)*$AP372,0)</f>
        <v>4.44158783070134</v>
      </c>
      <c r="BA372" s="153" t="n">
        <f aca="false">IFERROR(IF(AND($N372="VCA",$Q372="LINEAR"),INDEX(APOIO_REDES!$A:$W,MATCH($C372&amp;$I372&amp;$H372&amp;$N372&amp;$O372,APOIO_REDES!$W:$W,0),MATCH(BA$5,APOIO_REDES!$5:$5,0)),IF(AND($N372="MND",$Q372="EMBOQUE"),INDEX(APOIO_REDES!$A:$W,MATCH($C372&amp;$I372&amp;$H372&amp;$N372&amp;$O372,APOIO_REDES!$W:$W,0),MATCH(BA$5,APOIO_REDES!$5:$5,0)),0))*$M372/10,0)</f>
        <v>13.5935705686057</v>
      </c>
      <c r="BB372" s="153" t="n">
        <f aca="false">IFERROR(IF($N372="VCA",INDEX(APOIO_REDES!$A:$W,MATCH($C372&amp;$I372&amp;$H372&amp;$N372&amp;$O372,APOIO_REDES!$W:$W,0),MATCH(BB$5,APOIO_REDES!$5:$5,0)),0)*($AI372+$AQ372+$AR372),0)</f>
        <v>70.066470297259</v>
      </c>
      <c r="BC372" s="153" t="n">
        <f aca="false">IFERROR(IF($N372="VCA",INDEX(APOIO_REDES!$A:$W,MATCH($C372&amp;$I372&amp;$H372&amp;$N372&amp;$O372,APOIO_REDES!$W:$W,0),MATCH(BC$5,APOIO_REDES!$5:$5,0)),0)*($AI372+$AQ372+$AR372),0)</f>
        <v>0.770729702740955</v>
      </c>
      <c r="BD372" s="153" t="n">
        <f aca="false">IF(AND($N372="VCA",$AF372&gt;=1.25,$AF372&lt;1.5),$M372*$AF372*2,0)</f>
        <v>492.4872</v>
      </c>
      <c r="BE372" s="153" t="n">
        <f aca="false">IF(AND($N372="VCA",$AF372&gt;=1.5,$AF372&lt;3),$M372*$AF372*2,0)</f>
        <v>0</v>
      </c>
      <c r="BF372" s="153" t="n">
        <f aca="false">IF(AND($N372="VCA",$AF372&gt;=3),$M372*$AF372*2,0)</f>
        <v>0</v>
      </c>
      <c r="BG372" s="153" t="n">
        <f aca="false">($BB372+$BC372)*$AK372</f>
        <v>233.76276</v>
      </c>
      <c r="BH372" s="153" t="n">
        <f aca="false">IF(AND($M372&lt;&gt;"",$N372="VCA",$Q372="LINEAR"),($M372*2)/100,IF(AND($M372&lt;&gt;"",$N372="MND",$Q372="EMBOQUE"),($AN372*2)/100,0))</f>
        <v>3.3732</v>
      </c>
      <c r="BI372" s="153" t="n">
        <f aca="false">IF(AND($M372&lt;&gt;"",$N372="VCA",$Q372="LINEAR"),$M372,IF(AND($M372&lt;&gt;"",$N372="MND",$Q372="EMBOQUE"),$AN372*2,0))</f>
        <v>168.66</v>
      </c>
      <c r="BJ372" s="153" t="n">
        <f aca="false">IF(AND($M372&lt;&gt;"",$N372="VCA",$Q372="LINEAR"),($M372*6.8)/100,IF(AND($M372&lt;&gt;"",$N372="MND",$Q372="EMBOQUE"),($AN372*2*6.8)/100,0))</f>
        <v>11.46888</v>
      </c>
      <c r="BK372" s="153" t="n">
        <f aca="false">IF(AND($M372&lt;&gt;"",$N372="VCA",$Q372="LINEAR"),($M372*2.5)/50,IF(AND($M372&lt;&gt;"",$N372="MND",$Q372="EMBOQUE"),($AN372*2*2.5)/50,0))</f>
        <v>8.433</v>
      </c>
      <c r="BL372" s="157" t="str">
        <f aca="false">K372&amp;J372</f>
        <v>Zona03REDES</v>
      </c>
      <c r="BM372" s="152" t="s">
        <v>2526</v>
      </c>
      <c r="BN372" s="152" t="s">
        <v>1560</v>
      </c>
      <c r="BO372" s="152" t="s">
        <v>2800</v>
      </c>
      <c r="BP372" s="152" t="s">
        <v>2032</v>
      </c>
      <c r="BQ372" s="152" t="s">
        <v>2871</v>
      </c>
      <c r="BR372" s="152" t="s">
        <v>2790</v>
      </c>
      <c r="BS372" s="152" t="n">
        <v>203119.169</v>
      </c>
      <c r="BT372" s="152" t="n">
        <v>8237675.312</v>
      </c>
      <c r="BU372" s="152" t="n">
        <v>203287.131</v>
      </c>
      <c r="BV372" s="152" t="n">
        <v>8237659.991</v>
      </c>
      <c r="BW372" s="152" t="n">
        <v>-15.9224904</v>
      </c>
      <c r="BX372" s="152" t="n">
        <v>-47.7720292</v>
      </c>
      <c r="BY372" s="152" t="s">
        <v>2871</v>
      </c>
    </row>
    <row r="373" customFormat="false" ht="13.8" hidden="false" customHeight="false" outlineLevel="0" collapsed="false">
      <c r="A373" s="149" t="n">
        <f aca="false">IF(C373&lt;&gt;"",ROW(A368),"")</f>
        <v>368</v>
      </c>
      <c r="B373" s="150" t="str">
        <f aca="false">HYPERLINK("https://www.google.com/maps/dir/-15.917302,-47.760003/-15.9226902,-47.7701811/data=!4m3!4m2!3e0!5i1")</f>
        <v>https://www.google.com/maps/dir/-15.917302,-47.760003/-15.9226902,-47.7701811/data=!4m3!4m2!3e0!5i1</v>
      </c>
      <c r="C373" s="151" t="s">
        <v>117</v>
      </c>
      <c r="D373" s="152" t="s">
        <v>112</v>
      </c>
      <c r="E373" s="152" t="s">
        <v>113</v>
      </c>
      <c r="F373" s="152" t="s">
        <v>117</v>
      </c>
      <c r="G373" s="152" t="s">
        <v>782</v>
      </c>
      <c r="H373" s="152" t="n">
        <v>90</v>
      </c>
      <c r="I373" s="152" t="s">
        <v>115</v>
      </c>
      <c r="J373" s="152" t="s">
        <v>6</v>
      </c>
      <c r="K373" s="152" t="s">
        <v>2522</v>
      </c>
      <c r="L373" s="152" t="s">
        <v>120</v>
      </c>
      <c r="M373" s="153" t="n">
        <f aca="false">30.55</f>
        <v>30.55</v>
      </c>
      <c r="N373" s="152" t="s">
        <v>1548</v>
      </c>
      <c r="O373" s="152" t="s">
        <v>1549</v>
      </c>
      <c r="P373" s="152" t="s">
        <v>1550</v>
      </c>
      <c r="Q373" s="152" t="s">
        <v>1551</v>
      </c>
      <c r="R373" s="154" t="s">
        <v>2933</v>
      </c>
      <c r="S373" s="154" t="s">
        <v>1593</v>
      </c>
      <c r="T373" s="155" t="s">
        <v>2797</v>
      </c>
      <c r="U373" s="152" t="str">
        <f aca="false">RIGHT(T373,7)</f>
        <v>009/037</v>
      </c>
      <c r="V373" s="152" t="s">
        <v>1555</v>
      </c>
      <c r="W373" s="156" t="n">
        <v>45882</v>
      </c>
      <c r="X373" s="152" t="s">
        <v>1594</v>
      </c>
      <c r="Y373" s="152" t="s">
        <v>2834</v>
      </c>
      <c r="Z373" s="152" t="s">
        <v>1557</v>
      </c>
      <c r="AA373" s="153" t="n">
        <v>3.4</v>
      </c>
      <c r="AB373" s="151" t="s">
        <v>2934</v>
      </c>
      <c r="AC373" s="151" t="s">
        <v>526</v>
      </c>
      <c r="AD373" s="151" t="str">
        <f aca="false">CONCATENATE($C373,$I373,$H373,$N373,$J373,$K373)</f>
        <v>TUBO PEADPEAD90VCAREDESZona03</v>
      </c>
      <c r="AE373" s="153" t="n">
        <f aca="false">IFERROR(INDEX(APOIO_REDES!$A:$W,MATCH($C373&amp;$I373&amp;$H373&amp;$N373&amp;$O373,APOIO_REDES!$W:$W,0),MATCH(AE$5,APOIO_REDES!$5:$5,0)),0)</f>
        <v>1.2</v>
      </c>
      <c r="AF373" s="153" t="n">
        <f aca="false">IFERROR(INDEX(APOIO_REDES!$A:$W,MATCH($C373&amp;$I373&amp;$H373&amp;$N373&amp;$O373,APOIO_REDES!$W:$W,0),MATCH(AF$5,APOIO_REDES!$5:$5,0)),0)</f>
        <v>1.39</v>
      </c>
      <c r="AG373" s="153" t="n">
        <f aca="false">IFERROR(INDEX(APOIO_REDES!$A:$W,MATCH($C373&amp;$I373&amp;$H373&amp;$N373&amp;$O373,APOIO_REDES!$W:$W,0),MATCH(AG$5,APOIO_REDES!$5:$5,0)),0)</f>
        <v>0.75</v>
      </c>
      <c r="AH373" s="153" t="n">
        <f aca="false">IFERROR(INDEX(APOIO_REDES!$A:$W,MATCH($C373&amp;$I373&amp;$H373&amp;$N373&amp;$O373,APOIO_REDES!$W:$W,0),MATCH(AH$5,APOIO_REDES!$5:$5,0)),0)</f>
        <v>0.1</v>
      </c>
      <c r="AI373" s="153" t="n">
        <f aca="false">IFERROR(IF($H373&lt;&gt;"",(((($H373/1000)/2)^2)*PI()*$M373),0),0)</f>
        <v>0.194350702523516</v>
      </c>
      <c r="AJ373" s="153" t="n">
        <f aca="false">IFERROR(IF(AND($H373&lt;&gt;"",$I373="FoFo",OR($N373="MND",$N373="VCA"),$Q373="LINEAR"),0,IF(AND($H373&lt;&gt;"",$I373="PEAD",$N373="VCA",$Q373="LINEAR"),($H373/1000)+0.3,IF(AND($H373&lt;&gt;"",$I373="PEAD",$N373="MND",$Q373="EMBOQUE"),0,IF(AND($H373&lt;&gt;"",$I373="PVC",$N373="VCA",$Q373="LINEAR"),($H373/1000)+0.2,IF(AND($H373&lt;&gt;"",$I373="PVC",$N373="MND",$Q373="EMBOQUE"),0,IF(AND($H373&lt;&gt;"",$I373="PEAD",$N373="VCA",$Q373="PREDIAL"),0,0)))))),0)</f>
        <v>0.39</v>
      </c>
      <c r="AK373" s="153" t="n">
        <f aca="false">IF(AA373&lt;&gt;"",AA373,0)</f>
        <v>3.4</v>
      </c>
      <c r="AL373" s="153" t="n">
        <f aca="false">IF(AND($N373="MND",$Q373="EMBOQUE"),$M373,IF(AND($N373="VCA",$Q373="LINEAR"),$M373,IF(AND($N373="VCA",$Q373="PREDIAL"),0,0)))</f>
        <v>30.55</v>
      </c>
      <c r="AM373" s="153" t="n">
        <f aca="false">IF(AND($N373="MND",$Q373="EMBOQUE"),$M373,IF(AND($N373="VCA",$Q373="LINEAR"),$M373,IF(AND($N373="VCA",$Q373="PREDIAL"),0,0)))</f>
        <v>30.55</v>
      </c>
      <c r="AN373" s="153" t="n">
        <f aca="false">ROUND(IF(AND($N373="VCA",$M373&lt;&gt;"",$Q373="LINEAR"),$M373/100,IF(AND($N373="MND",$M373&gt;100,$Q373="EMBOQUE"),$M373/100,0)),0)</f>
        <v>0</v>
      </c>
      <c r="AO373" s="153" t="n">
        <f aca="false">IF(AND($N373="MND",$Q373="EMBOQUE"),$AN373*2*2,IF(AND($N373="VCA",$Q373="LINEAR"),$M373*2,IF(AND($N373="VCA",$Q373="PREDIAL"),0,0)))</f>
        <v>61.1</v>
      </c>
      <c r="AP373" s="153" t="n">
        <f aca="false">IFERROR($M373*$AF373*$AG373,0)</f>
        <v>31.848375</v>
      </c>
      <c r="AQ373" s="153" t="n">
        <f aca="false">IFERROR(IF(AND($N373="VCA",$AH373&gt;0),$M373*$AG373*$AH373,0),0)</f>
        <v>2.29125</v>
      </c>
      <c r="AR373" s="153" t="n">
        <f aca="false">IFERROR(IF(AND($N373="VCA",$AJ373&gt;0),($M373*$AG373*$AJ373)-$AI373,0),0)</f>
        <v>8.74152429747649</v>
      </c>
      <c r="AS373" s="153" t="n">
        <f aca="false">IFERROR(IF(AND($N373="VCA",$AP373&gt;0),$AP373-$AI373-$AQ373-$AR373,0),0)</f>
        <v>20.62125</v>
      </c>
      <c r="AT373" s="153" t="n">
        <f aca="false">IFERROR(IF($N373="VCA",INDEX(APOIO_REDES!$A:$W,MATCH($C373&amp;$I373&amp;$H373&amp;$N373&amp;$O373,APOIO_REDES!$W:$W,0),MATCH(AT$5,APOIO_REDES!$5:$5,0)),0)*$AP373,0)</f>
        <v>0.346519746637818</v>
      </c>
      <c r="AU373" s="153" t="n">
        <f aca="false">IFERROR(IF($N373="VCA",INDEX(APOIO_REDES!$A:$W,MATCH($C373&amp;$I373&amp;$H373&amp;$N373&amp;$O373,APOIO_REDES!$W:$W,0),MATCH(AU$5,APOIO_REDES!$5:$5,0)),0)*$AP373,0)</f>
        <v>0.276721284720019</v>
      </c>
      <c r="AV373" s="153" t="n">
        <f aca="false">IFERROR(IF($N373="VCA",INDEX(APOIO_REDES!$A:$W,MATCH($C373&amp;$I373&amp;$H373&amp;$N373&amp;$O373,APOIO_REDES!$W:$W,0),MATCH(AV$5,APOIO_REDES!$5:$5,0)),0)*$AP373,0)</f>
        <v>0.0382960534579921</v>
      </c>
      <c r="AW373" s="153" t="n">
        <f aca="false">IFERROR(IF($N373="VCA",INDEX(APOIO_REDES!$A:$W,MATCH($C373&amp;$I373&amp;$H373&amp;$N373&amp;$O373,APOIO_REDES!$W:$W,0),MATCH(AW$5,APOIO_REDES!$5:$5,0)),0)*$AP373,0)</f>
        <v>21.8609713732514</v>
      </c>
      <c r="AX373" s="153" t="n">
        <f aca="false">IFERROR(IF($N373="VCA",INDEX(APOIO_REDES!$A:$W,MATCH($C373&amp;$I373&amp;$H373&amp;$N373&amp;$O373,APOIO_REDES!$W:$W,0),MATCH(AX$5,APOIO_REDES!$5:$5,0)),0)*$AP373,0)</f>
        <v>3.0254961659023</v>
      </c>
      <c r="AY373" s="153" t="n">
        <f aca="false">IFERROR(IF($N373="VCA",INDEX(APOIO_REDES!$A:$W,MATCH($C373&amp;$I373&amp;$H373&amp;$N373&amp;$O373,APOIO_REDES!$W:$W,0),MATCH(AY$5,APOIO_REDES!$5:$5,0)),0)*$AP373,0)</f>
        <v>5.53442232119036</v>
      </c>
      <c r="AZ373" s="153" t="n">
        <f aca="false">IFERROR(IF($N373="VCA",INDEX(APOIO_REDES!$A:$W,MATCH($C373&amp;$I373&amp;$H373&amp;$N373&amp;$O373,APOIO_REDES!$W:$W,0),MATCH(AZ$5,APOIO_REDES!$5:$5,0)),0)*$AP373,0)</f>
        <v>0.765948054840073</v>
      </c>
      <c r="BA373" s="153" t="n">
        <f aca="false">IFERROR(IF(AND($N373="VCA",$Q373="LINEAR"),INDEX(APOIO_REDES!$A:$W,MATCH($C373&amp;$I373&amp;$H373&amp;$N373&amp;$O373,APOIO_REDES!$W:$W,0),MATCH(BA$5,APOIO_REDES!$5:$5,0)),IF(AND($N373="MND",$Q373="EMBOQUE"),INDEX(APOIO_REDES!$A:$W,MATCH($C373&amp;$I373&amp;$H373&amp;$N373&amp;$O373,APOIO_REDES!$W:$W,0),MATCH(BA$5,APOIO_REDES!$5:$5,0)),0))*$M373/10,0)</f>
        <v>2.46225294006229</v>
      </c>
      <c r="BB373" s="153" t="n">
        <f aca="false">IFERROR(IF($N373="VCA",INDEX(APOIO_REDES!$A:$W,MATCH($C373&amp;$I373&amp;$H373&amp;$N373&amp;$O373,APOIO_REDES!$W:$W,0),MATCH(BB$5,APOIO_REDES!$5:$5,0)),0)*($AI373+$AQ373+$AR373),0)</f>
        <v>11.1049705569406</v>
      </c>
      <c r="BC373" s="153" t="n">
        <f aca="false">IFERROR(IF($N373="VCA",INDEX(APOIO_REDES!$A:$W,MATCH($C373&amp;$I373&amp;$H373&amp;$N373&amp;$O373,APOIO_REDES!$W:$W,0),MATCH(BC$5,APOIO_REDES!$5:$5,0)),0)*($AI373+$AQ373+$AR373),0)</f>
        <v>0.122154443059375</v>
      </c>
      <c r="BD373" s="153" t="n">
        <f aca="false">IF(AND($N373="VCA",$AF373&gt;=1.25,$AF373&lt;1.5),$M373*$AF373*2,0)</f>
        <v>84.929</v>
      </c>
      <c r="BE373" s="153" t="n">
        <f aca="false">IF(AND($N373="VCA",$AF373&gt;=1.5,$AF373&lt;3),$M373*$AF373*2,0)</f>
        <v>0</v>
      </c>
      <c r="BF373" s="153" t="n">
        <f aca="false">IF(AND($N373="VCA",$AF373&gt;=3),$M373*$AF373*2,0)</f>
        <v>0</v>
      </c>
      <c r="BG373" s="153" t="n">
        <f aca="false">($BB373+$BC373)*$AK373</f>
        <v>38.172225</v>
      </c>
      <c r="BH373" s="153" t="n">
        <f aca="false">IF(AND($M373&lt;&gt;"",$N373="VCA",$Q373="LINEAR"),($M373*2)/100,IF(AND($M373&lt;&gt;"",$N373="MND",$Q373="EMBOQUE"),($AN373*2)/100,0))</f>
        <v>0.611</v>
      </c>
      <c r="BI373" s="153" t="n">
        <f aca="false">IF(AND($M373&lt;&gt;"",$N373="VCA",$Q373="LINEAR"),$M373,IF(AND($M373&lt;&gt;"",$N373="MND",$Q373="EMBOQUE"),$AN373*2,0))</f>
        <v>30.55</v>
      </c>
      <c r="BJ373" s="153" t="n">
        <f aca="false">IF(AND($M373&lt;&gt;"",$N373="VCA",$Q373="LINEAR"),($M373*6.8)/100,IF(AND($M373&lt;&gt;"",$N373="MND",$Q373="EMBOQUE"),($AN373*2*6.8)/100,0))</f>
        <v>2.0774</v>
      </c>
      <c r="BK373" s="153" t="n">
        <f aca="false">IF(AND($M373&lt;&gt;"",$N373="VCA",$Q373="LINEAR"),($M373*2.5)/50,IF(AND($M373&lt;&gt;"",$N373="MND",$Q373="EMBOQUE"),($AN373*2*2.5)/50,0))</f>
        <v>1.5275</v>
      </c>
      <c r="BL373" s="157" t="str">
        <f aca="false">K373&amp;J373</f>
        <v>Zona03REDES</v>
      </c>
      <c r="BM373" s="152" t="s">
        <v>2526</v>
      </c>
      <c r="BN373" s="152" t="s">
        <v>1560</v>
      </c>
      <c r="BO373" s="152" t="s">
        <v>2800</v>
      </c>
      <c r="BP373" s="152" t="s">
        <v>2935</v>
      </c>
      <c r="BQ373" s="152" t="s">
        <v>2913</v>
      </c>
      <c r="BR373" s="152" t="s">
        <v>2936</v>
      </c>
      <c r="BS373" s="152" t="n">
        <v>203401.434</v>
      </c>
      <c r="BT373" s="152" t="n">
        <v>8237648.017</v>
      </c>
      <c r="BU373" s="152" t="n">
        <v>203402.959</v>
      </c>
      <c r="BV373" s="152" t="n">
        <v>8237678.505</v>
      </c>
      <c r="BW373" s="152" t="n">
        <v>-15.922553</v>
      </c>
      <c r="BX373" s="152" t="n">
        <v>-47.7701669</v>
      </c>
      <c r="BY373" s="152" t="s">
        <v>2935</v>
      </c>
    </row>
    <row r="374" customFormat="false" ht="13.8" hidden="false" customHeight="false" outlineLevel="0" collapsed="false">
      <c r="A374" s="149" t="n">
        <f aca="false">IF(C374&lt;&gt;"",ROW(A369),"")</f>
        <v>369</v>
      </c>
      <c r="B374" s="150" t="str">
        <f aca="false">HYPERLINK("https://www.google.com/maps/dir/-15.917302,-47.760003/-15.9226902,-47.7701811/data=!4m3!4m2!3e0!5i1")</f>
        <v>https://www.google.com/maps/dir/-15.917302,-47.760003/-15.9226902,-47.7701811/data=!4m3!4m2!3e0!5i1</v>
      </c>
      <c r="C374" s="151" t="s">
        <v>117</v>
      </c>
      <c r="D374" s="152" t="s">
        <v>112</v>
      </c>
      <c r="E374" s="152" t="s">
        <v>113</v>
      </c>
      <c r="F374" s="152" t="s">
        <v>117</v>
      </c>
      <c r="G374" s="152" t="s">
        <v>114</v>
      </c>
      <c r="H374" s="152" t="n">
        <v>160</v>
      </c>
      <c r="I374" s="152" t="s">
        <v>115</v>
      </c>
      <c r="J374" s="152" t="s">
        <v>6</v>
      </c>
      <c r="K374" s="152" t="s">
        <v>2522</v>
      </c>
      <c r="L374" s="152" t="s">
        <v>120</v>
      </c>
      <c r="M374" s="153" t="n">
        <f aca="false">112.12</f>
        <v>112.12</v>
      </c>
      <c r="N374" s="152" t="s">
        <v>1548</v>
      </c>
      <c r="O374" s="152" t="s">
        <v>1549</v>
      </c>
      <c r="P374" s="152" t="s">
        <v>1550</v>
      </c>
      <c r="Q374" s="152" t="s">
        <v>1551</v>
      </c>
      <c r="R374" s="154" t="s">
        <v>2937</v>
      </c>
      <c r="S374" s="154" t="s">
        <v>1593</v>
      </c>
      <c r="T374" s="155" t="s">
        <v>2797</v>
      </c>
      <c r="U374" s="152" t="str">
        <f aca="false">RIGHT(T374,7)</f>
        <v>009/037</v>
      </c>
      <c r="V374" s="152" t="s">
        <v>1555</v>
      </c>
      <c r="W374" s="156" t="n">
        <v>45882</v>
      </c>
      <c r="X374" s="152" t="s">
        <v>1594</v>
      </c>
      <c r="Y374" s="152" t="s">
        <v>2834</v>
      </c>
      <c r="Z374" s="152" t="s">
        <v>1557</v>
      </c>
      <c r="AA374" s="153" t="n">
        <v>3.4</v>
      </c>
      <c r="AB374" s="151" t="s">
        <v>2938</v>
      </c>
      <c r="AC374" s="151" t="s">
        <v>505</v>
      </c>
      <c r="AD374" s="151" t="str">
        <f aca="false">CONCATENATE($C374,$I374,$H374,$N374,$J374,$K374)</f>
        <v>TUBO PEADPEAD160VCAREDESZona03</v>
      </c>
      <c r="AE374" s="153" t="n">
        <f aca="false">IFERROR(INDEX(APOIO_REDES!$A:$W,MATCH($C374&amp;$I374&amp;$H374&amp;$N374&amp;$O374,APOIO_REDES!$W:$W,0),MATCH(AE$5,APOIO_REDES!$5:$5,0)),0)</f>
        <v>1.2</v>
      </c>
      <c r="AF374" s="153" t="n">
        <f aca="false">IFERROR(INDEX(APOIO_REDES!$A:$W,MATCH($C374&amp;$I374&amp;$H374&amp;$N374&amp;$O374,APOIO_REDES!$W:$W,0),MATCH(AF$5,APOIO_REDES!$5:$5,0)),0)</f>
        <v>1.46</v>
      </c>
      <c r="AG374" s="153" t="n">
        <f aca="false">IFERROR(INDEX(APOIO_REDES!$A:$W,MATCH($C374&amp;$I374&amp;$H374&amp;$N374&amp;$O374,APOIO_REDES!$W:$W,0),MATCH(AG$5,APOIO_REDES!$5:$5,0)),0)</f>
        <v>0.75</v>
      </c>
      <c r="AH374" s="153" t="n">
        <f aca="false">IFERROR(INDEX(APOIO_REDES!$A:$W,MATCH($C374&amp;$I374&amp;$H374&amp;$N374&amp;$O374,APOIO_REDES!$W:$W,0),MATCH(AH$5,APOIO_REDES!$5:$5,0)),0)</f>
        <v>0.1</v>
      </c>
      <c r="AI374" s="153" t="n">
        <f aca="false">IFERROR(IF($H374&lt;&gt;"",(((($H374/1000)/2)^2)*PI()*$M374),0),0)</f>
        <v>2.25430635725112</v>
      </c>
      <c r="AJ374" s="153" t="n">
        <f aca="false">IFERROR(IF(AND($H374&lt;&gt;"",$I374="FoFo",OR($N374="MND",$N374="VCA"),$Q374="LINEAR"),0,IF(AND($H374&lt;&gt;"",$I374="PEAD",$N374="VCA",$Q374="LINEAR"),($H374/1000)+0.3,IF(AND($H374&lt;&gt;"",$I374="PEAD",$N374="MND",$Q374="EMBOQUE"),0,IF(AND($H374&lt;&gt;"",$I374="PVC",$N374="VCA",$Q374="LINEAR"),($H374/1000)+0.2,IF(AND($H374&lt;&gt;"",$I374="PVC",$N374="MND",$Q374="EMBOQUE"),0,IF(AND($H374&lt;&gt;"",$I374="PEAD",$N374="VCA",$Q374="PREDIAL"),0,0)))))),0)</f>
        <v>0.46</v>
      </c>
      <c r="AK374" s="153" t="n">
        <f aca="false">IF(AA374&lt;&gt;"",AA374,0)</f>
        <v>3.4</v>
      </c>
      <c r="AL374" s="153" t="n">
        <f aca="false">IF(AND($N374="MND",$Q374="EMBOQUE"),$M374,IF(AND($N374="VCA",$Q374="LINEAR"),$M374,IF(AND($N374="VCA",$Q374="PREDIAL"),0,0)))</f>
        <v>112.12</v>
      </c>
      <c r="AM374" s="153" t="n">
        <f aca="false">IF(AND($N374="MND",$Q374="EMBOQUE"),$M374,IF(AND($N374="VCA",$Q374="LINEAR"),$M374,IF(AND($N374="VCA",$Q374="PREDIAL"),0,0)))</f>
        <v>112.12</v>
      </c>
      <c r="AN374" s="153" t="n">
        <f aca="false">ROUND(IF(AND($N374="VCA",$M374&lt;&gt;"",$Q374="LINEAR"),$M374/100,IF(AND($N374="MND",$M374&gt;100,$Q374="EMBOQUE"),$M374/100,0)),0)</f>
        <v>1</v>
      </c>
      <c r="AO374" s="153" t="n">
        <f aca="false">IF(AND($N374="MND",$Q374="EMBOQUE"),$AN374*2*2,IF(AND($N374="VCA",$Q374="LINEAR"),$M374*2,IF(AND($N374="VCA",$Q374="PREDIAL"),0,0)))</f>
        <v>224.24</v>
      </c>
      <c r="AP374" s="153" t="n">
        <f aca="false">IFERROR($M374*$AF374*$AG374,0)</f>
        <v>122.7714</v>
      </c>
      <c r="AQ374" s="153" t="n">
        <f aca="false">IFERROR(IF(AND($N374="VCA",$AH374&gt;0),$M374*$AG374*$AH374,0),0)</f>
        <v>8.409</v>
      </c>
      <c r="AR374" s="153" t="n">
        <f aca="false">IFERROR(IF(AND($N374="VCA",$AJ374&gt;0),($M374*$AG374*$AJ374)-$AI374,0),0)</f>
        <v>36.4270936427489</v>
      </c>
      <c r="AS374" s="153" t="n">
        <f aca="false">IFERROR(IF(AND($N374="VCA",$AP374&gt;0),$AP374-$AI374-$AQ374-$AR374,0),0)</f>
        <v>75.681</v>
      </c>
      <c r="AT374" s="153" t="n">
        <f aca="false">IFERROR(IF($N374="VCA",INDEX(APOIO_REDES!$A:$W,MATCH($C374&amp;$I374&amp;$H374&amp;$N374&amp;$O374,APOIO_REDES!$W:$W,0),MATCH(AT$5,APOIO_REDES!$5:$5,0)),0)*$AP374,0)</f>
        <v>1.33578917047951</v>
      </c>
      <c r="AU374" s="153" t="n">
        <f aca="false">IFERROR(IF($N374="VCA",INDEX(APOIO_REDES!$A:$W,MATCH($C374&amp;$I374&amp;$H374&amp;$N374&amp;$O374,APOIO_REDES!$W:$W,0),MATCH(AU$5,APOIO_REDES!$5:$5,0)),0)*$AP374,0)</f>
        <v>1.06672505378612</v>
      </c>
      <c r="AV374" s="153" t="n">
        <f aca="false">IFERROR(IF($N374="VCA",INDEX(APOIO_REDES!$A:$W,MATCH($C374&amp;$I374&amp;$H374&amp;$N374&amp;$O374,APOIO_REDES!$W:$W,0),MATCH(AV$5,APOIO_REDES!$5:$5,0)),0)*$AP374,0)</f>
        <v>0.147626373323993</v>
      </c>
      <c r="AW374" s="153" t="n">
        <f aca="false">IFERROR(IF($N374="VCA",INDEX(APOIO_REDES!$A:$W,MATCH($C374&amp;$I374&amp;$H374&amp;$N374&amp;$O374,APOIO_REDES!$W:$W,0),MATCH(AW$5,APOIO_REDES!$5:$5,0)),0)*$AP374,0)</f>
        <v>84.2712402392273</v>
      </c>
      <c r="AX374" s="153" t="n">
        <f aca="false">IFERROR(IF($N374="VCA",INDEX(APOIO_REDES!$A:$W,MATCH($C374&amp;$I374&amp;$H374&amp;$N374&amp;$O374,APOIO_REDES!$W:$W,0),MATCH(AX$5,APOIO_REDES!$5:$5,0)),0)*$AP374,0)</f>
        <v>11.6628995979373</v>
      </c>
      <c r="AY374" s="153" t="n">
        <f aca="false">IFERROR(IF($N374="VCA",INDEX(APOIO_REDES!$A:$W,MATCH($C374&amp;$I374&amp;$H374&amp;$N374&amp;$O374,APOIO_REDES!$W:$W,0),MATCH(AY$5,APOIO_REDES!$5:$5,0)),0)*$AP374,0)</f>
        <v>21.3344880724304</v>
      </c>
      <c r="AZ374" s="153" t="n">
        <f aca="false">IFERROR(IF($N374="VCA",INDEX(APOIO_REDES!$A:$W,MATCH($C374&amp;$I374&amp;$H374&amp;$N374&amp;$O374,APOIO_REDES!$W:$W,0),MATCH(AZ$5,APOIO_REDES!$5:$5,0)),0)*$AP374,0)</f>
        <v>2.95263149281533</v>
      </c>
      <c r="BA374" s="153" t="n">
        <f aca="false">IFERROR(IF(AND($N374="VCA",$Q374="LINEAR"),INDEX(APOIO_REDES!$A:$W,MATCH($C374&amp;$I374&amp;$H374&amp;$N374&amp;$O374,APOIO_REDES!$W:$W,0),MATCH(BA$5,APOIO_REDES!$5:$5,0)),IF(AND($N374="MND",$Q374="EMBOQUE"),INDEX(APOIO_REDES!$A:$W,MATCH($C374&amp;$I374&amp;$H374&amp;$N374&amp;$O374,APOIO_REDES!$W:$W,0),MATCH(BA$5,APOIO_REDES!$5:$5,0)),0))*$M374/10,0)</f>
        <v>9.03658918624497</v>
      </c>
      <c r="BB374" s="153" t="n">
        <f aca="false">IFERROR(IF($N374="VCA",INDEX(APOIO_REDES!$A:$W,MATCH($C374&amp;$I374&amp;$H374&amp;$N374&amp;$O374,APOIO_REDES!$W:$W,0),MATCH(BB$5,APOIO_REDES!$5:$5,0)),0)*($AI374+$AQ374+$AR374),0)</f>
        <v>46.5780425099531</v>
      </c>
      <c r="BC374" s="153" t="n">
        <f aca="false">IFERROR(IF($N374="VCA",INDEX(APOIO_REDES!$A:$W,MATCH($C374&amp;$I374&amp;$H374&amp;$N374&amp;$O374,APOIO_REDES!$W:$W,0),MATCH(BC$5,APOIO_REDES!$5:$5,0)),0)*($AI374+$AQ374+$AR374),0)</f>
        <v>0.512357490046934</v>
      </c>
      <c r="BD374" s="153" t="n">
        <f aca="false">IF(AND($N374="VCA",$AF374&gt;=1.25,$AF374&lt;1.5),$M374*$AF374*2,0)</f>
        <v>327.3904</v>
      </c>
      <c r="BE374" s="153" t="n">
        <f aca="false">IF(AND($N374="VCA",$AF374&gt;=1.5,$AF374&lt;3),$M374*$AF374*2,0)</f>
        <v>0</v>
      </c>
      <c r="BF374" s="153" t="n">
        <f aca="false">IF(AND($N374="VCA",$AF374&gt;=3),$M374*$AF374*2,0)</f>
        <v>0</v>
      </c>
      <c r="BG374" s="153" t="n">
        <f aca="false">($BB374+$BC374)*$AK374</f>
        <v>160.10736</v>
      </c>
      <c r="BH374" s="153" t="n">
        <f aca="false">IF(AND($M374&lt;&gt;"",$N374="VCA",$Q374="LINEAR"),($M374*2)/100,IF(AND($M374&lt;&gt;"",$N374="MND",$Q374="EMBOQUE"),($AN374*2)/100,0))</f>
        <v>2.2424</v>
      </c>
      <c r="BI374" s="153" t="n">
        <f aca="false">IF(AND($M374&lt;&gt;"",$N374="VCA",$Q374="LINEAR"),$M374,IF(AND($M374&lt;&gt;"",$N374="MND",$Q374="EMBOQUE"),$AN374*2,0))</f>
        <v>112.12</v>
      </c>
      <c r="BJ374" s="153" t="n">
        <f aca="false">IF(AND($M374&lt;&gt;"",$N374="VCA",$Q374="LINEAR"),($M374*6.8)/100,IF(AND($M374&lt;&gt;"",$N374="MND",$Q374="EMBOQUE"),($AN374*2*6.8)/100,0))</f>
        <v>7.62416</v>
      </c>
      <c r="BK374" s="153" t="n">
        <f aca="false">IF(AND($M374&lt;&gt;"",$N374="VCA",$Q374="LINEAR"),($M374*2.5)/50,IF(AND($M374&lt;&gt;"",$N374="MND",$Q374="EMBOQUE"),($AN374*2*2.5)/50,0))</f>
        <v>5.606</v>
      </c>
      <c r="BL374" s="157" t="str">
        <f aca="false">K374&amp;J374</f>
        <v>Zona03REDES</v>
      </c>
      <c r="BM374" s="152" t="s">
        <v>2526</v>
      </c>
      <c r="BN374" s="152" t="s">
        <v>1560</v>
      </c>
      <c r="BO374" s="152" t="s">
        <v>2800</v>
      </c>
      <c r="BP374" s="152" t="s">
        <v>2935</v>
      </c>
      <c r="BQ374" s="152" t="s">
        <v>2926</v>
      </c>
      <c r="BR374" s="152" t="s">
        <v>2939</v>
      </c>
      <c r="BS374" s="152" t="n">
        <v>203401.434</v>
      </c>
      <c r="BT374" s="152" t="n">
        <v>8237648.017</v>
      </c>
      <c r="BU374" s="152" t="n">
        <v>203290.274</v>
      </c>
      <c r="BV374" s="152" t="n">
        <v>8237662.254</v>
      </c>
      <c r="BW374" s="152" t="n">
        <v>-15.9226126</v>
      </c>
      <c r="BX374" s="152" t="n">
        <v>-47.770698</v>
      </c>
      <c r="BY374" s="152" t="s">
        <v>2935</v>
      </c>
    </row>
    <row r="375" customFormat="false" ht="13.8" hidden="false" customHeight="false" outlineLevel="0" collapsed="false">
      <c r="A375" s="149" t="n">
        <f aca="false">IF(C375&lt;&gt;"",ROW(A370),"")</f>
        <v>370</v>
      </c>
      <c r="B375" s="150" t="str">
        <f aca="false">HYPERLINK("https://www.google.com/maps/dir/-15.917302,-47.760003/-15.9228496,-47.7693188/data=!4m3!4m2!3e0!5i2")</f>
        <v>https://www.google.com/maps/dir/-15.917302,-47.760003/-15.9228496,-47.7693188/data=!4m3!4m2!3e0!5i2</v>
      </c>
      <c r="C375" s="151" t="s">
        <v>117</v>
      </c>
      <c r="D375" s="152" t="s">
        <v>112</v>
      </c>
      <c r="E375" s="152" t="s">
        <v>113</v>
      </c>
      <c r="F375" s="152" t="s">
        <v>117</v>
      </c>
      <c r="G375" s="152" t="s">
        <v>114</v>
      </c>
      <c r="H375" s="152" t="n">
        <v>160</v>
      </c>
      <c r="I375" s="152" t="s">
        <v>115</v>
      </c>
      <c r="J375" s="152" t="s">
        <v>6</v>
      </c>
      <c r="K375" s="152" t="s">
        <v>2522</v>
      </c>
      <c r="L375" s="152" t="s">
        <v>120</v>
      </c>
      <c r="M375" s="153" t="n">
        <f aca="false">94.08</f>
        <v>94.08</v>
      </c>
      <c r="N375" s="152" t="s">
        <v>1548</v>
      </c>
      <c r="O375" s="152" t="s">
        <v>1549</v>
      </c>
      <c r="P375" s="152" t="s">
        <v>1550</v>
      </c>
      <c r="Q375" s="152" t="s">
        <v>1551</v>
      </c>
      <c r="R375" s="154" t="s">
        <v>2940</v>
      </c>
      <c r="S375" s="154" t="s">
        <v>1593</v>
      </c>
      <c r="T375" s="155" t="s">
        <v>2797</v>
      </c>
      <c r="U375" s="152" t="str">
        <f aca="false">RIGHT(T375,7)</f>
        <v>009/037</v>
      </c>
      <c r="V375" s="152" t="s">
        <v>1555</v>
      </c>
      <c r="W375" s="156" t="n">
        <v>45882</v>
      </c>
      <c r="X375" s="152" t="s">
        <v>1594</v>
      </c>
      <c r="Y375" s="152"/>
      <c r="Z375" s="152" t="s">
        <v>1557</v>
      </c>
      <c r="AA375" s="153" t="n">
        <v>3.5</v>
      </c>
      <c r="AB375" s="151" t="s">
        <v>2941</v>
      </c>
      <c r="AC375" s="151" t="s">
        <v>505</v>
      </c>
      <c r="AD375" s="151" t="str">
        <f aca="false">CONCATENATE($C375,$I375,$H375,$N375,$J375,$K375)</f>
        <v>TUBO PEADPEAD160VCAREDESZona03</v>
      </c>
      <c r="AE375" s="153" t="n">
        <f aca="false">IFERROR(INDEX(APOIO_REDES!$A:$W,MATCH($C375&amp;$I375&amp;$H375&amp;$N375&amp;$O375,APOIO_REDES!$W:$W,0),MATCH(AE$5,APOIO_REDES!$5:$5,0)),0)</f>
        <v>1.2</v>
      </c>
      <c r="AF375" s="153" t="n">
        <f aca="false">IFERROR(INDEX(APOIO_REDES!$A:$W,MATCH($C375&amp;$I375&amp;$H375&amp;$N375&amp;$O375,APOIO_REDES!$W:$W,0),MATCH(AF$5,APOIO_REDES!$5:$5,0)),0)</f>
        <v>1.46</v>
      </c>
      <c r="AG375" s="153" t="n">
        <f aca="false">IFERROR(INDEX(APOIO_REDES!$A:$W,MATCH($C375&amp;$I375&amp;$H375&amp;$N375&amp;$O375,APOIO_REDES!$W:$W,0),MATCH(AG$5,APOIO_REDES!$5:$5,0)),0)</f>
        <v>0.75</v>
      </c>
      <c r="AH375" s="153" t="n">
        <f aca="false">IFERROR(INDEX(APOIO_REDES!$A:$W,MATCH($C375&amp;$I375&amp;$H375&amp;$N375&amp;$O375,APOIO_REDES!$W:$W,0),MATCH(AH$5,APOIO_REDES!$5:$5,0)),0)</f>
        <v>0.1</v>
      </c>
      <c r="AI375" s="153" t="n">
        <f aca="false">IFERROR(IF($H375&lt;&gt;"",(((($H375/1000)/2)^2)*PI()*$M375),0),0)</f>
        <v>1.89159063583826</v>
      </c>
      <c r="AJ375" s="153" t="n">
        <f aca="false">IFERROR(IF(AND($H375&lt;&gt;"",$I375="FoFo",OR($N375="MND",$N375="VCA"),$Q375="LINEAR"),0,IF(AND($H375&lt;&gt;"",$I375="PEAD",$N375="VCA",$Q375="LINEAR"),($H375/1000)+0.3,IF(AND($H375&lt;&gt;"",$I375="PEAD",$N375="MND",$Q375="EMBOQUE"),0,IF(AND($H375&lt;&gt;"",$I375="PVC",$N375="VCA",$Q375="LINEAR"),($H375/1000)+0.2,IF(AND($H375&lt;&gt;"",$I375="PVC",$N375="MND",$Q375="EMBOQUE"),0,IF(AND($H375&lt;&gt;"",$I375="PEAD",$N375="VCA",$Q375="PREDIAL"),0,0)))))),0)</f>
        <v>0.46</v>
      </c>
      <c r="AK375" s="153" t="n">
        <f aca="false">IF(AA375&lt;&gt;"",AA375,0)</f>
        <v>3.5</v>
      </c>
      <c r="AL375" s="153" t="n">
        <f aca="false">IF(AND($N375="MND",$Q375="EMBOQUE"),$M375,IF(AND($N375="VCA",$Q375="LINEAR"),$M375,IF(AND($N375="VCA",$Q375="PREDIAL"),0,0)))</f>
        <v>94.08</v>
      </c>
      <c r="AM375" s="153" t="n">
        <f aca="false">IF(AND($N375="MND",$Q375="EMBOQUE"),$M375,IF(AND($N375="VCA",$Q375="LINEAR"),$M375,IF(AND($N375="VCA",$Q375="PREDIAL"),0,0)))</f>
        <v>94.08</v>
      </c>
      <c r="AN375" s="153" t="n">
        <f aca="false">ROUND(IF(AND($N375="VCA",$M375&lt;&gt;"",$Q375="LINEAR"),$M375/100,IF(AND($N375="MND",$M375&gt;100,$Q375="EMBOQUE"),$M375/100,0)),0)</f>
        <v>1</v>
      </c>
      <c r="AO375" s="153" t="n">
        <f aca="false">IF(AND($N375="MND",$Q375="EMBOQUE"),$AN375*2*2,IF(AND($N375="VCA",$Q375="LINEAR"),$M375*2,IF(AND($N375="VCA",$Q375="PREDIAL"),0,0)))</f>
        <v>188.16</v>
      </c>
      <c r="AP375" s="153" t="n">
        <f aca="false">IFERROR($M375*$AF375*$AG375,0)</f>
        <v>103.0176</v>
      </c>
      <c r="AQ375" s="153" t="n">
        <f aca="false">IFERROR(IF(AND($N375="VCA",$AH375&gt;0),$M375*$AG375*$AH375,0),0)</f>
        <v>7.056</v>
      </c>
      <c r="AR375" s="153" t="n">
        <f aca="false">IFERROR(IF(AND($N375="VCA",$AJ375&gt;0),($M375*$AG375*$AJ375)-$AI375,0),0)</f>
        <v>30.5660093641617</v>
      </c>
      <c r="AS375" s="153" t="n">
        <f aca="false">IFERROR(IF(AND($N375="VCA",$AP375&gt;0),$AP375-$AI375-$AQ375-$AR375,0),0)</f>
        <v>63.504</v>
      </c>
      <c r="AT375" s="153" t="n">
        <f aca="false">IFERROR(IF($N375="VCA",INDEX(APOIO_REDES!$A:$W,MATCH($C375&amp;$I375&amp;$H375&amp;$N375&amp;$O375,APOIO_REDES!$W:$W,0),MATCH(AT$5,APOIO_REDES!$5:$5,0)),0)*$AP375,0)</f>
        <v>1.12086197965316</v>
      </c>
      <c r="AU375" s="153" t="n">
        <f aca="false">IFERROR(IF($N375="VCA",INDEX(APOIO_REDES!$A:$W,MATCH($C375&amp;$I375&amp;$H375&amp;$N375&amp;$O375,APOIO_REDES!$W:$W,0),MATCH(AU$5,APOIO_REDES!$5:$5,0)),0)*$AP375,0)</f>
        <v>0.895090020158739</v>
      </c>
      <c r="AV375" s="153" t="n">
        <f aca="false">IFERROR(IF($N375="VCA",INDEX(APOIO_REDES!$A:$W,MATCH($C375&amp;$I375&amp;$H375&amp;$N375&amp;$O375,APOIO_REDES!$W:$W,0),MATCH(AV$5,APOIO_REDES!$5:$5,0)),0)*$AP375,0)</f>
        <v>0.123873432057807</v>
      </c>
      <c r="AW375" s="153" t="n">
        <f aca="false">IFERROR(IF($N375="VCA",INDEX(APOIO_REDES!$A:$W,MATCH($C375&amp;$I375&amp;$H375&amp;$N375&amp;$O375,APOIO_REDES!$W:$W,0),MATCH(AW$5,APOIO_REDES!$5:$5,0)),0)*$AP375,0)</f>
        <v>70.712078859316</v>
      </c>
      <c r="AX375" s="153" t="n">
        <f aca="false">IFERROR(IF($N375="VCA",INDEX(APOIO_REDES!$A:$W,MATCH($C375&amp;$I375&amp;$H375&amp;$N375&amp;$O375,APOIO_REDES!$W:$W,0),MATCH(AX$5,APOIO_REDES!$5:$5,0)),0)*$AP375,0)</f>
        <v>9.7863502869599</v>
      </c>
      <c r="AY375" s="153" t="n">
        <f aca="false">IFERROR(IF($N375="VCA",INDEX(APOIO_REDES!$A:$W,MATCH($C375&amp;$I375&amp;$H375&amp;$N375&amp;$O375,APOIO_REDES!$W:$W,0),MATCH(AY$5,APOIO_REDES!$5:$5,0)),0)*$AP375,0)</f>
        <v>17.9017894921</v>
      </c>
      <c r="AZ375" s="153" t="n">
        <f aca="false">IFERROR(IF($N375="VCA",INDEX(APOIO_REDES!$A:$W,MATCH($C375&amp;$I375&amp;$H375&amp;$N375&amp;$O375,APOIO_REDES!$W:$W,0),MATCH(AZ$5,APOIO_REDES!$5:$5,0)),0)*$AP375,0)</f>
        <v>2.47755592975443</v>
      </c>
      <c r="BA375" s="153" t="n">
        <f aca="false">IFERROR(IF(AND($N375="VCA",$Q375="LINEAR"),INDEX(APOIO_REDES!$A:$W,MATCH($C375&amp;$I375&amp;$H375&amp;$N375&amp;$O375,APOIO_REDES!$W:$W,0),MATCH(BA$5,APOIO_REDES!$5:$5,0)),IF(AND($N375="MND",$Q375="EMBOQUE"),INDEX(APOIO_REDES!$A:$W,MATCH($C375&amp;$I375&amp;$H375&amp;$N375&amp;$O375,APOIO_REDES!$W:$W,0),MATCH(BA$5,APOIO_REDES!$5:$5,0)),0))*$M375/10,0)</f>
        <v>7.58261069070573</v>
      </c>
      <c r="BB375" s="153" t="n">
        <f aca="false">IFERROR(IF($N375="VCA",INDEX(APOIO_REDES!$A:$W,MATCH($C375&amp;$I375&amp;$H375&amp;$N375&amp;$O375,APOIO_REDES!$W:$W,0),MATCH(BB$5,APOIO_REDES!$5:$5,0)),0)*($AI375+$AQ375+$AR375),0)</f>
        <v>39.0836803365714</v>
      </c>
      <c r="BC375" s="153" t="n">
        <f aca="false">IFERROR(IF($N375="VCA",INDEX(APOIO_REDES!$A:$W,MATCH($C375&amp;$I375&amp;$H375&amp;$N375&amp;$O375,APOIO_REDES!$W:$W,0),MATCH(BC$5,APOIO_REDES!$5:$5,0)),0)*($AI375+$AQ375+$AR375),0)</f>
        <v>0.429919663428608</v>
      </c>
      <c r="BD375" s="153" t="n">
        <f aca="false">IF(AND($N375="VCA",$AF375&gt;=1.25,$AF375&lt;1.5),$M375*$AF375*2,0)</f>
        <v>274.7136</v>
      </c>
      <c r="BE375" s="153" t="n">
        <f aca="false">IF(AND($N375="VCA",$AF375&gt;=1.5,$AF375&lt;3),$M375*$AF375*2,0)</f>
        <v>0</v>
      </c>
      <c r="BF375" s="153" t="n">
        <f aca="false">IF(AND($N375="VCA",$AF375&gt;=3),$M375*$AF375*2,0)</f>
        <v>0</v>
      </c>
      <c r="BG375" s="153" t="n">
        <f aca="false">($BB375+$BC375)*$AK375</f>
        <v>138.2976</v>
      </c>
      <c r="BH375" s="153" t="n">
        <f aca="false">IF(AND($M375&lt;&gt;"",$N375="VCA",$Q375="LINEAR"),($M375*2)/100,IF(AND($M375&lt;&gt;"",$N375="MND",$Q375="EMBOQUE"),($AN375*2)/100,0))</f>
        <v>1.8816</v>
      </c>
      <c r="BI375" s="153" t="n">
        <f aca="false">IF(AND($M375&lt;&gt;"",$N375="VCA",$Q375="LINEAR"),$M375,IF(AND($M375&lt;&gt;"",$N375="MND",$Q375="EMBOQUE"),$AN375*2,0))</f>
        <v>94.08</v>
      </c>
      <c r="BJ375" s="153" t="n">
        <f aca="false">IF(AND($M375&lt;&gt;"",$N375="VCA",$Q375="LINEAR"),($M375*6.8)/100,IF(AND($M375&lt;&gt;"",$N375="MND",$Q375="EMBOQUE"),($AN375*2*6.8)/100,0))</f>
        <v>6.39744</v>
      </c>
      <c r="BK375" s="153" t="n">
        <f aca="false">IF(AND($M375&lt;&gt;"",$N375="VCA",$Q375="LINEAR"),($M375*2.5)/50,IF(AND($M375&lt;&gt;"",$N375="MND",$Q375="EMBOQUE"),($AN375*2*2.5)/50,0))</f>
        <v>4.704</v>
      </c>
      <c r="BL375" s="157" t="str">
        <f aca="false">K375&amp;J375</f>
        <v>Zona03REDES</v>
      </c>
      <c r="BM375" s="152" t="s">
        <v>2526</v>
      </c>
      <c r="BN375" s="152" t="s">
        <v>1560</v>
      </c>
      <c r="BO375" s="152" t="s">
        <v>2800</v>
      </c>
      <c r="BP375" s="152" t="s">
        <v>2905</v>
      </c>
      <c r="BQ375" s="152" t="s">
        <v>2935</v>
      </c>
      <c r="BR375" s="152" t="s">
        <v>2942</v>
      </c>
      <c r="BS375" s="152" t="n">
        <v>203494.055</v>
      </c>
      <c r="BT375" s="152" t="n">
        <v>8237631.599</v>
      </c>
      <c r="BU375" s="152" t="n">
        <v>203401.434</v>
      </c>
      <c r="BV375" s="152" t="n">
        <v>8237648.017</v>
      </c>
      <c r="BW375" s="152" t="n">
        <v>-15.9227644</v>
      </c>
      <c r="BX375" s="152" t="n">
        <v>-47.7697489</v>
      </c>
      <c r="BY375" s="152" t="s">
        <v>2905</v>
      </c>
    </row>
    <row r="376" customFormat="false" ht="13.8" hidden="false" customHeight="false" outlineLevel="0" collapsed="false">
      <c r="A376" s="149" t="n">
        <f aca="false">IF(C376&lt;&gt;"",ROW(A371),"")</f>
        <v>371</v>
      </c>
      <c r="B376" s="150" t="str">
        <f aca="false">HYPERLINK("https://www.google.com/maps/dir/-15.917302,-47.760003/-15.9229356,-47.7688766/data=!4m3!4m2!3e0!5i2")</f>
        <v>https://www.google.com/maps/dir/-15.917302,-47.760003/-15.9229356,-47.7688766/data=!4m3!4m2!3e0!5i2</v>
      </c>
      <c r="C376" s="151" t="s">
        <v>117</v>
      </c>
      <c r="D376" s="152" t="s">
        <v>112</v>
      </c>
      <c r="E376" s="152" t="s">
        <v>113</v>
      </c>
      <c r="F376" s="152" t="s">
        <v>117</v>
      </c>
      <c r="G376" s="152" t="s">
        <v>114</v>
      </c>
      <c r="H376" s="152" t="n">
        <v>160</v>
      </c>
      <c r="I376" s="152" t="s">
        <v>115</v>
      </c>
      <c r="J376" s="152" t="s">
        <v>6</v>
      </c>
      <c r="K376" s="152" t="s">
        <v>2522</v>
      </c>
      <c r="L376" s="152" t="s">
        <v>120</v>
      </c>
      <c r="M376" s="153" t="n">
        <f aca="false">48.49+0.03</f>
        <v>48.52</v>
      </c>
      <c r="N376" s="152" t="s">
        <v>1548</v>
      </c>
      <c r="O376" s="152" t="s">
        <v>1549</v>
      </c>
      <c r="P376" s="152" t="s">
        <v>1550</v>
      </c>
      <c r="Q376" s="152" t="s">
        <v>1551</v>
      </c>
      <c r="R376" s="154" t="s">
        <v>2943</v>
      </c>
      <c r="S376" s="154" t="s">
        <v>1593</v>
      </c>
      <c r="T376" s="155" t="s">
        <v>2797</v>
      </c>
      <c r="U376" s="152" t="str">
        <f aca="false">RIGHT(T376,7)</f>
        <v>009/037</v>
      </c>
      <c r="V376" s="152" t="s">
        <v>1555</v>
      </c>
      <c r="W376" s="156" t="n">
        <v>45882</v>
      </c>
      <c r="X376" s="152" t="s">
        <v>1594</v>
      </c>
      <c r="Y376" s="152" t="s">
        <v>2916</v>
      </c>
      <c r="Z376" s="152" t="s">
        <v>1557</v>
      </c>
      <c r="AA376" s="153" t="n">
        <v>3.6</v>
      </c>
      <c r="AB376" s="151" t="s">
        <v>2944</v>
      </c>
      <c r="AC376" s="151" t="s">
        <v>505</v>
      </c>
      <c r="AD376" s="151" t="str">
        <f aca="false">CONCATENATE($C376,$I376,$H376,$N376,$J376,$K376)</f>
        <v>TUBO PEADPEAD160VCAREDESZona03</v>
      </c>
      <c r="AE376" s="153" t="n">
        <f aca="false">IFERROR(INDEX(APOIO_REDES!$A:$W,MATCH($C376&amp;$I376&amp;$H376&amp;$N376&amp;$O376,APOIO_REDES!$W:$W,0),MATCH(AE$5,APOIO_REDES!$5:$5,0)),0)</f>
        <v>1.2</v>
      </c>
      <c r="AF376" s="153" t="n">
        <f aca="false">IFERROR(INDEX(APOIO_REDES!$A:$W,MATCH($C376&amp;$I376&amp;$H376&amp;$N376&amp;$O376,APOIO_REDES!$W:$W,0),MATCH(AF$5,APOIO_REDES!$5:$5,0)),0)</f>
        <v>1.46</v>
      </c>
      <c r="AG376" s="153" t="n">
        <f aca="false">IFERROR(INDEX(APOIO_REDES!$A:$W,MATCH($C376&amp;$I376&amp;$H376&amp;$N376&amp;$O376,APOIO_REDES!$W:$W,0),MATCH(AG$5,APOIO_REDES!$5:$5,0)),0)</f>
        <v>0.75</v>
      </c>
      <c r="AH376" s="153" t="n">
        <f aca="false">IFERROR(INDEX(APOIO_REDES!$A:$W,MATCH($C376&amp;$I376&amp;$H376&amp;$N376&amp;$O376,APOIO_REDES!$W:$W,0),MATCH(AH$5,APOIO_REDES!$5:$5,0)),0)</f>
        <v>0.1</v>
      </c>
      <c r="AI376" s="153" t="n">
        <f aca="false">IFERROR(IF($H376&lt;&gt;"",(((($H376/1000)/2)^2)*PI()*$M376),0),0)</f>
        <v>0.975552483533931</v>
      </c>
      <c r="AJ376" s="153" t="n">
        <f aca="false">IFERROR(IF(AND($H376&lt;&gt;"",$I376="FoFo",OR($N376="MND",$N376="VCA"),$Q376="LINEAR"),0,IF(AND($H376&lt;&gt;"",$I376="PEAD",$N376="VCA",$Q376="LINEAR"),($H376/1000)+0.3,IF(AND($H376&lt;&gt;"",$I376="PEAD",$N376="MND",$Q376="EMBOQUE"),0,IF(AND($H376&lt;&gt;"",$I376="PVC",$N376="VCA",$Q376="LINEAR"),($H376/1000)+0.2,IF(AND($H376&lt;&gt;"",$I376="PVC",$N376="MND",$Q376="EMBOQUE"),0,IF(AND($H376&lt;&gt;"",$I376="PEAD",$N376="VCA",$Q376="PREDIAL"),0,0)))))),0)</f>
        <v>0.46</v>
      </c>
      <c r="AK376" s="153" t="n">
        <f aca="false">IF(AA376&lt;&gt;"",AA376,0)</f>
        <v>3.6</v>
      </c>
      <c r="AL376" s="153" t="n">
        <f aca="false">IF(AND($N376="MND",$Q376="EMBOQUE"),$M376,IF(AND($N376="VCA",$Q376="LINEAR"),$M376,IF(AND($N376="VCA",$Q376="PREDIAL"),0,0)))</f>
        <v>48.52</v>
      </c>
      <c r="AM376" s="153" t="n">
        <f aca="false">IF(AND($N376="MND",$Q376="EMBOQUE"),$M376,IF(AND($N376="VCA",$Q376="LINEAR"),$M376,IF(AND($N376="VCA",$Q376="PREDIAL"),0,0)))</f>
        <v>48.52</v>
      </c>
      <c r="AN376" s="153" t="n">
        <f aca="false">ROUND(IF(AND($N376="VCA",$M376&lt;&gt;"",$Q376="LINEAR"),$M376/100,IF(AND($N376="MND",$M376&gt;100,$Q376="EMBOQUE"),$M376/100,0)),0)</f>
        <v>0</v>
      </c>
      <c r="AO376" s="153" t="n">
        <f aca="false">IF(AND($N376="MND",$Q376="EMBOQUE"),$AN376*2*2,IF(AND($N376="VCA",$Q376="LINEAR"),$M376*2,IF(AND($N376="VCA",$Q376="PREDIAL"),0,0)))</f>
        <v>97.04</v>
      </c>
      <c r="AP376" s="153" t="n">
        <f aca="false">IFERROR($M376*$AF376*$AG376,0)</f>
        <v>53.1294</v>
      </c>
      <c r="AQ376" s="153" t="n">
        <f aca="false">IFERROR(IF(AND($N376="VCA",$AH376&gt;0),$M376*$AG376*$AH376,0),0)</f>
        <v>3.639</v>
      </c>
      <c r="AR376" s="153" t="n">
        <f aca="false">IFERROR(IF(AND($N376="VCA",$AJ376&gt;0),($M376*$AG376*$AJ376)-$AI376,0),0)</f>
        <v>15.7638475164661</v>
      </c>
      <c r="AS376" s="153" t="n">
        <f aca="false">IFERROR(IF(AND($N376="VCA",$AP376&gt;0),$AP376-$AI376-$AQ376-$AR376,0),0)</f>
        <v>32.751</v>
      </c>
      <c r="AT376" s="153" t="n">
        <f aca="false">IFERROR(IF($N376="VCA",INDEX(APOIO_REDES!$A:$W,MATCH($C376&amp;$I376&amp;$H376&amp;$N376&amp;$O376,APOIO_REDES!$W:$W,0),MATCH(AT$5,APOIO_REDES!$5:$5,0)),0)*$AP376,0)</f>
        <v>0.578063597499694</v>
      </c>
      <c r="AU376" s="153" t="n">
        <f aca="false">IFERROR(IF($N376="VCA",INDEX(APOIO_REDES!$A:$W,MATCH($C376&amp;$I376&amp;$H376&amp;$N376&amp;$O376,APOIO_REDES!$W:$W,0),MATCH(AU$5,APOIO_REDES!$5:$5,0)),0)*$AP376,0)</f>
        <v>0.46162593301554</v>
      </c>
      <c r="AV376" s="153" t="n">
        <f aca="false">IFERROR(IF($N376="VCA",INDEX(APOIO_REDES!$A:$W,MATCH($C376&amp;$I376&amp;$H376&amp;$N376&amp;$O376,APOIO_REDES!$W:$W,0),MATCH(AV$5,APOIO_REDES!$5:$5,0)),0)*$AP376,0)</f>
        <v>0.0638854052236902</v>
      </c>
      <c r="AW376" s="153" t="n">
        <f aca="false">IFERROR(IF($N376="VCA",INDEX(APOIO_REDES!$A:$W,MATCH($C376&amp;$I376&amp;$H376&amp;$N376&amp;$O376,APOIO_REDES!$W:$W,0),MATCH(AW$5,APOIO_REDES!$5:$5,0)),0)*$AP376,0)</f>
        <v>36.4684318266796</v>
      </c>
      <c r="AX376" s="153" t="n">
        <f aca="false">IFERROR(IF($N376="VCA",INDEX(APOIO_REDES!$A:$W,MATCH($C376&amp;$I376&amp;$H376&amp;$N376&amp;$O376,APOIO_REDES!$W:$W,0),MATCH(AX$5,APOIO_REDES!$5:$5,0)),0)*$AP376,0)</f>
        <v>5.04712708251801</v>
      </c>
      <c r="AY376" s="153" t="n">
        <f aca="false">IFERROR(IF($N376="VCA",INDEX(APOIO_REDES!$A:$W,MATCH($C376&amp;$I376&amp;$H376&amp;$N376&amp;$O376,APOIO_REDES!$W:$W,0),MATCH(AY$5,APOIO_REDES!$5:$5,0)),0)*$AP376,0)</f>
        <v>9.2325130331281</v>
      </c>
      <c r="AZ376" s="153" t="n">
        <f aca="false">IFERROR(IF($N376="VCA",INDEX(APOIO_REDES!$A:$W,MATCH($C376&amp;$I376&amp;$H376&amp;$N376&amp;$O376,APOIO_REDES!$W:$W,0),MATCH(AZ$5,APOIO_REDES!$5:$5,0)),0)*$AP376,0)</f>
        <v>1.27775312193543</v>
      </c>
      <c r="BA376" s="153" t="n">
        <f aca="false">IFERROR(IF(AND($N376="VCA",$Q376="LINEAR"),INDEX(APOIO_REDES!$A:$W,MATCH($C376&amp;$I376&amp;$H376&amp;$N376&amp;$O376,APOIO_REDES!$W:$W,0),MATCH(BA$5,APOIO_REDES!$5:$5,0)),IF(AND($N376="MND",$Q376="EMBOQUE"),INDEX(APOIO_REDES!$A:$W,MATCH($C376&amp;$I376&amp;$H376&amp;$N376&amp;$O376,APOIO_REDES!$W:$W,0),MATCH(BA$5,APOIO_REDES!$5:$5,0)),0))*$M376/10,0)</f>
        <v>3.91058961217094</v>
      </c>
      <c r="BB376" s="153" t="n">
        <f aca="false">IFERROR(IF($N376="VCA",INDEX(APOIO_REDES!$A:$W,MATCH($C376&amp;$I376&amp;$H376&amp;$N376&amp;$O376,APOIO_REDES!$W:$W,0),MATCH(BB$5,APOIO_REDES!$5:$5,0)),0)*($AI376+$AQ376+$AR376),0)</f>
        <v>20.1566769763015</v>
      </c>
      <c r="BC376" s="153" t="n">
        <f aca="false">IFERROR(IF($N376="VCA",INDEX(APOIO_REDES!$A:$W,MATCH($C376&amp;$I376&amp;$H376&amp;$N376&amp;$O376,APOIO_REDES!$W:$W,0),MATCH(BC$5,APOIO_REDES!$5:$5,0)),0)*($AI376+$AQ376+$AR376),0)</f>
        <v>0.221723023698513</v>
      </c>
      <c r="BD376" s="153" t="n">
        <f aca="false">IF(AND($N376="VCA",$AF376&gt;=1.25,$AF376&lt;1.5),$M376*$AF376*2,0)</f>
        <v>141.6784</v>
      </c>
      <c r="BE376" s="153" t="n">
        <f aca="false">IF(AND($N376="VCA",$AF376&gt;=1.5,$AF376&lt;3),$M376*$AF376*2,0)</f>
        <v>0</v>
      </c>
      <c r="BF376" s="153" t="n">
        <f aca="false">IF(AND($N376="VCA",$AF376&gt;=3),$M376*$AF376*2,0)</f>
        <v>0</v>
      </c>
      <c r="BG376" s="153" t="n">
        <f aca="false">($BB376+$BC376)*$AK376</f>
        <v>73.36224</v>
      </c>
      <c r="BH376" s="153" t="n">
        <f aca="false">IF(AND($M376&lt;&gt;"",$N376="VCA",$Q376="LINEAR"),($M376*2)/100,IF(AND($M376&lt;&gt;"",$N376="MND",$Q376="EMBOQUE"),($AN376*2)/100,0))</f>
        <v>0.9704</v>
      </c>
      <c r="BI376" s="153" t="n">
        <f aca="false">IF(AND($M376&lt;&gt;"",$N376="VCA",$Q376="LINEAR"),$M376,IF(AND($M376&lt;&gt;"",$N376="MND",$Q376="EMBOQUE"),$AN376*2,0))</f>
        <v>48.52</v>
      </c>
      <c r="BJ376" s="153" t="n">
        <f aca="false">IF(AND($M376&lt;&gt;"",$N376="VCA",$Q376="LINEAR"),($M376*6.8)/100,IF(AND($M376&lt;&gt;"",$N376="MND",$Q376="EMBOQUE"),($AN376*2*6.8)/100,0))</f>
        <v>3.29936</v>
      </c>
      <c r="BK376" s="153" t="n">
        <f aca="false">IF(AND($M376&lt;&gt;"",$N376="VCA",$Q376="LINEAR"),($M376*2.5)/50,IF(AND($M376&lt;&gt;"",$N376="MND",$Q376="EMBOQUE"),($AN376*2*2.5)/50,0))</f>
        <v>2.426</v>
      </c>
      <c r="BL376" s="157" t="str">
        <f aca="false">K376&amp;J376</f>
        <v>Zona03REDES</v>
      </c>
      <c r="BM376" s="152" t="s">
        <v>2526</v>
      </c>
      <c r="BN376" s="152" t="s">
        <v>1560</v>
      </c>
      <c r="BO376" s="152" t="s">
        <v>2800</v>
      </c>
      <c r="BP376" s="152" t="s">
        <v>2918</v>
      </c>
      <c r="BQ376" s="152" t="s">
        <v>2905</v>
      </c>
      <c r="BR376" s="152" t="s">
        <v>2945</v>
      </c>
      <c r="BS376" s="152" t="n">
        <v>203541.71</v>
      </c>
      <c r="BT376" s="152" t="n">
        <v>8237622.672</v>
      </c>
      <c r="BU376" s="152" t="n">
        <v>203494.055</v>
      </c>
      <c r="BV376" s="152" t="n">
        <v>8237631.599</v>
      </c>
      <c r="BW376" s="152" t="n">
        <v>-15.9228952</v>
      </c>
      <c r="BX376" s="152" t="n">
        <v>-47.7690975</v>
      </c>
      <c r="BY376" s="152" t="s">
        <v>2918</v>
      </c>
    </row>
    <row r="377" customFormat="false" ht="13.8" hidden="false" customHeight="false" outlineLevel="0" collapsed="false">
      <c r="A377" s="149" t="n">
        <f aca="false">IF(C377&lt;&gt;"",ROW(A372),"")</f>
        <v>372</v>
      </c>
      <c r="B377" s="150" t="str">
        <f aca="false">HYPERLINK("https://www.google.com/maps/dir/-15.917302,-47.760003/-15.9229356,-47.7688766/data=!4m3!4m2!3e0!5i2")</f>
        <v>https://www.google.com/maps/dir/-15.917302,-47.760003/-15.9229356,-47.7688766/data=!4m3!4m2!3e0!5i2</v>
      </c>
      <c r="C377" s="151" t="s">
        <v>117</v>
      </c>
      <c r="D377" s="152" t="s">
        <v>112</v>
      </c>
      <c r="E377" s="152" t="s">
        <v>113</v>
      </c>
      <c r="F377" s="152" t="s">
        <v>117</v>
      </c>
      <c r="G377" s="152" t="s">
        <v>782</v>
      </c>
      <c r="H377" s="152" t="n">
        <v>63</v>
      </c>
      <c r="I377" s="152" t="s">
        <v>115</v>
      </c>
      <c r="J377" s="152" t="s">
        <v>6</v>
      </c>
      <c r="K377" s="152" t="s">
        <v>2522</v>
      </c>
      <c r="L377" s="152" t="s">
        <v>120</v>
      </c>
      <c r="M377" s="153" t="n">
        <f aca="false">3.59</f>
        <v>3.59</v>
      </c>
      <c r="N377" s="152" t="s">
        <v>1548</v>
      </c>
      <c r="O377" s="152" t="s">
        <v>1549</v>
      </c>
      <c r="P377" s="152" t="s">
        <v>1550</v>
      </c>
      <c r="Q377" s="152" t="s">
        <v>1551</v>
      </c>
      <c r="R377" s="154" t="s">
        <v>2946</v>
      </c>
      <c r="S377" s="154" t="s">
        <v>1553</v>
      </c>
      <c r="T377" s="155" t="s">
        <v>2797</v>
      </c>
      <c r="U377" s="152" t="str">
        <f aca="false">RIGHT(T377,7)</f>
        <v>009/037</v>
      </c>
      <c r="V377" s="152" t="s">
        <v>1555</v>
      </c>
      <c r="W377" s="156" t="n">
        <v>45882</v>
      </c>
      <c r="X377" s="152" t="s">
        <v>1594</v>
      </c>
      <c r="Y377" s="152" t="s">
        <v>2916</v>
      </c>
      <c r="Z377" s="152" t="s">
        <v>1557</v>
      </c>
      <c r="AA377" s="153" t="n">
        <v>3.6</v>
      </c>
      <c r="AB377" s="151" t="s">
        <v>2947</v>
      </c>
      <c r="AC377" s="151" t="s">
        <v>186</v>
      </c>
      <c r="AD377" s="151" t="str">
        <f aca="false">CONCATENATE($C377,$I377,$H377,$N377,$J377,$K377)</f>
        <v>TUBO PEADPEAD63VCAREDESZona03</v>
      </c>
      <c r="AE377" s="153" t="n">
        <f aca="false">IFERROR(INDEX(APOIO_REDES!$A:$W,MATCH($C377&amp;$I377&amp;$H377&amp;$N377&amp;$O377,APOIO_REDES!$W:$W,0),MATCH(AE$5,APOIO_REDES!$5:$5,0)),0)</f>
        <v>1.2</v>
      </c>
      <c r="AF377" s="153" t="n">
        <f aca="false">IFERROR(INDEX(APOIO_REDES!$A:$W,MATCH($C377&amp;$I377&amp;$H377&amp;$N377&amp;$O377,APOIO_REDES!$W:$W,0),MATCH(AF$5,APOIO_REDES!$5:$5,0)),0)</f>
        <v>1.363</v>
      </c>
      <c r="AG377" s="153" t="n">
        <f aca="false">IFERROR(INDEX(APOIO_REDES!$A:$W,MATCH($C377&amp;$I377&amp;$H377&amp;$N377&amp;$O377,APOIO_REDES!$W:$W,0),MATCH(AG$5,APOIO_REDES!$5:$5,0)),0)</f>
        <v>0.65</v>
      </c>
      <c r="AH377" s="153" t="n">
        <f aca="false">IFERROR(INDEX(APOIO_REDES!$A:$W,MATCH($C377&amp;$I377&amp;$H377&amp;$N377&amp;$O377,APOIO_REDES!$W:$W,0),MATCH(AH$5,APOIO_REDES!$5:$5,0)),0)</f>
        <v>0.1</v>
      </c>
      <c r="AI377" s="153" t="n">
        <f aca="false">IFERROR(IF($H377&lt;&gt;"",(((($H377/1000)/2)^2)*PI()*$M377),0),0)</f>
        <v>0.0111909106647829</v>
      </c>
      <c r="AJ377" s="153" t="n">
        <f aca="false">IFERROR(IF(AND($H377&lt;&gt;"",$I377="FoFo",OR($N377="MND",$N377="VCA"),$Q377="LINEAR"),0,IF(AND($H377&lt;&gt;"",$I377="PEAD",$N377="VCA",$Q377="LINEAR"),($H377/1000)+0.3,IF(AND($H377&lt;&gt;"",$I377="PEAD",$N377="MND",$Q377="EMBOQUE"),0,IF(AND($H377&lt;&gt;"",$I377="PVC",$N377="VCA",$Q377="LINEAR"),($H377/1000)+0.2,IF(AND($H377&lt;&gt;"",$I377="PVC",$N377="MND",$Q377="EMBOQUE"),0,IF(AND($H377&lt;&gt;"",$I377="PEAD",$N377="VCA",$Q377="PREDIAL"),0,0)))))),0)</f>
        <v>0.363</v>
      </c>
      <c r="AK377" s="153" t="n">
        <f aca="false">IF(AA377&lt;&gt;"",AA377,0)</f>
        <v>3.6</v>
      </c>
      <c r="AL377" s="153" t="n">
        <f aca="false">IF(AND($N377="MND",$Q377="EMBOQUE"),$M377,IF(AND($N377="VCA",$Q377="LINEAR"),$M377,IF(AND($N377="VCA",$Q377="PREDIAL"),0,0)))</f>
        <v>3.59</v>
      </c>
      <c r="AM377" s="153" t="n">
        <f aca="false">IF(AND($N377="MND",$Q377="EMBOQUE"),$M377,IF(AND($N377="VCA",$Q377="LINEAR"),$M377,IF(AND($N377="VCA",$Q377="PREDIAL"),0,0)))</f>
        <v>3.59</v>
      </c>
      <c r="AN377" s="153" t="n">
        <f aca="false">ROUND(IF(AND($N377="VCA",$M377&lt;&gt;"",$Q377="LINEAR"),$M377/100,IF(AND($N377="MND",$M377&gt;100,$Q377="EMBOQUE"),$M377/100,0)),0)</f>
        <v>0</v>
      </c>
      <c r="AO377" s="153" t="n">
        <f aca="false">IF(AND($N377="MND",$Q377="EMBOQUE"),$AN377*2*2,IF(AND($N377="VCA",$Q377="LINEAR"),$M377*2,IF(AND($N377="VCA",$Q377="PREDIAL"),0,0)))</f>
        <v>7.18</v>
      </c>
      <c r="AP377" s="153" t="n">
        <f aca="false">IFERROR($M377*$AF377*$AG377,0)</f>
        <v>3.1805605</v>
      </c>
      <c r="AQ377" s="153" t="n">
        <f aca="false">IFERROR(IF(AND($N377="VCA",$AH377&gt;0),$M377*$AG377*$AH377,0),0)</f>
        <v>0.23335</v>
      </c>
      <c r="AR377" s="153" t="n">
        <f aca="false">IFERROR(IF(AND($N377="VCA",$AJ377&gt;0),($M377*$AG377*$AJ377)-$AI377,0),0)</f>
        <v>0.835869589335217</v>
      </c>
      <c r="AS377" s="153" t="n">
        <f aca="false">IFERROR(IF(AND($N377="VCA",$AP377&gt;0),$AP377-$AI377-$AQ377-$AR377,0),0)</f>
        <v>2.10015</v>
      </c>
      <c r="AT377" s="153" t="n">
        <f aca="false">IFERROR(IF($N377="VCA",INDEX(APOIO_REDES!$A:$W,MATCH($C377&amp;$I377&amp;$H377&amp;$N377&amp;$O377,APOIO_REDES!$W:$W,0),MATCH(AT$5,APOIO_REDES!$5:$5,0)),0)*$AP377,0)</f>
        <v>0.0346054396378545</v>
      </c>
      <c r="AU377" s="153" t="n">
        <f aca="false">IFERROR(IF($N377="VCA",INDEX(APOIO_REDES!$A:$W,MATCH($C377&amp;$I377&amp;$H377&amp;$N377&amp;$O377,APOIO_REDES!$W:$W,0),MATCH(AU$5,APOIO_REDES!$5:$5,0)),0)*$AP377,0)</f>
        <v>0.0276349668606247</v>
      </c>
      <c r="AV377" s="153" t="n">
        <f aca="false">IFERROR(IF($N377="VCA",INDEX(APOIO_REDES!$A:$W,MATCH($C377&amp;$I377&amp;$H377&amp;$N377&amp;$O377,APOIO_REDES!$W:$W,0),MATCH(AV$5,APOIO_REDES!$5:$5,0)),0)*$AP377,0)</f>
        <v>0.00382446247051468</v>
      </c>
      <c r="AW377" s="153" t="n">
        <f aca="false">IFERROR(IF($N377="VCA",INDEX(APOIO_REDES!$A:$W,MATCH($C377&amp;$I377&amp;$H377&amp;$N377&amp;$O377,APOIO_REDES!$W:$W,0),MATCH(AW$5,APOIO_REDES!$5:$5,0)),0)*$AP377,0)</f>
        <v>2.18316137138533</v>
      </c>
      <c r="AX377" s="153" t="n">
        <f aca="false">IFERROR(IF($N377="VCA",INDEX(APOIO_REDES!$A:$W,MATCH($C377&amp;$I377&amp;$H377&amp;$N377&amp;$O377,APOIO_REDES!$W:$W,0),MATCH(AX$5,APOIO_REDES!$5:$5,0)),0)*$AP377,0)</f>
        <v>0.302143314946847</v>
      </c>
      <c r="AY377" s="153" t="n">
        <f aca="false">IFERROR(IF($N377="VCA",INDEX(APOIO_REDES!$A:$W,MATCH($C377&amp;$I377&amp;$H377&amp;$N377&amp;$O377,APOIO_REDES!$W:$W,0),MATCH(AY$5,APOIO_REDES!$5:$5,0)),0)*$AP377,0)</f>
        <v>0.552699000344488</v>
      </c>
      <c r="AZ377" s="153" t="n">
        <f aca="false">IFERROR(IF($N377="VCA",INDEX(APOIO_REDES!$A:$W,MATCH($C377&amp;$I377&amp;$H377&amp;$N377&amp;$O377,APOIO_REDES!$W:$W,0),MATCH(AZ$5,APOIO_REDES!$5:$5,0)),0)*$AP377,0)</f>
        <v>0.0764919443543405</v>
      </c>
      <c r="BA377" s="153" t="n">
        <f aca="false">IFERROR(IF(AND($N377="VCA",$Q377="LINEAR"),INDEX(APOIO_REDES!$A:$W,MATCH($C377&amp;$I377&amp;$H377&amp;$N377&amp;$O377,APOIO_REDES!$W:$W,0),MATCH(BA$5,APOIO_REDES!$5:$5,0)),IF(AND($N377="MND",$Q377="EMBOQUE"),INDEX(APOIO_REDES!$A:$W,MATCH($C377&amp;$I377&amp;$H377&amp;$N377&amp;$O377,APOIO_REDES!$W:$W,0),MATCH(BA$5,APOIO_REDES!$5:$5,0)),0))*$M377/10,0)</f>
        <v>0.289344944511411</v>
      </c>
      <c r="BB377" s="153" t="n">
        <f aca="false">IFERROR(IF($N377="VCA",INDEX(APOIO_REDES!$A:$W,MATCH($C377&amp;$I377&amp;$H377&amp;$N377&amp;$O377,APOIO_REDES!$W:$W,0),MATCH(BB$5,APOIO_REDES!$5:$5,0)),0)*($AI377+$AQ377+$AR377),0)</f>
        <v>1.06865531397482</v>
      </c>
      <c r="BC377" s="153" t="n">
        <f aca="false">IFERROR(IF($N377="VCA",INDEX(APOIO_REDES!$A:$W,MATCH($C377&amp;$I377&amp;$H377&amp;$N377&amp;$O377,APOIO_REDES!$W:$W,0),MATCH(BC$5,APOIO_REDES!$5:$5,0)),0)*($AI377+$AQ377+$AR377),0)</f>
        <v>0.0117551860251846</v>
      </c>
      <c r="BD377" s="153" t="n">
        <f aca="false">IF(AND($N377="VCA",$AF377&gt;=1.25,$AF377&lt;1.5),$M377*$AF377*2,0)</f>
        <v>9.78634</v>
      </c>
      <c r="BE377" s="153" t="n">
        <f aca="false">IF(AND($N377="VCA",$AF377&gt;=1.5,$AF377&lt;3),$M377*$AF377*2,0)</f>
        <v>0</v>
      </c>
      <c r="BF377" s="153" t="n">
        <f aca="false">IF(AND($N377="VCA",$AF377&gt;=3),$M377*$AF377*2,0)</f>
        <v>0</v>
      </c>
      <c r="BG377" s="153" t="n">
        <f aca="false">($BB377+$BC377)*$AK377</f>
        <v>3.8894778</v>
      </c>
      <c r="BH377" s="153" t="n">
        <f aca="false">IF(AND($M377&lt;&gt;"",$N377="VCA",$Q377="LINEAR"),($M377*2)/100,IF(AND($M377&lt;&gt;"",$N377="MND",$Q377="EMBOQUE"),($AN377*2)/100,0))</f>
        <v>0.0718</v>
      </c>
      <c r="BI377" s="153" t="n">
        <f aca="false">IF(AND($M377&lt;&gt;"",$N377="VCA",$Q377="LINEAR"),$M377,IF(AND($M377&lt;&gt;"",$N377="MND",$Q377="EMBOQUE"),$AN377*2,0))</f>
        <v>3.59</v>
      </c>
      <c r="BJ377" s="153" t="n">
        <f aca="false">IF(AND($M377&lt;&gt;"",$N377="VCA",$Q377="LINEAR"),($M377*6.8)/100,IF(AND($M377&lt;&gt;"",$N377="MND",$Q377="EMBOQUE"),($AN377*2*6.8)/100,0))</f>
        <v>0.24412</v>
      </c>
      <c r="BK377" s="153" t="n">
        <f aca="false">IF(AND($M377&lt;&gt;"",$N377="VCA",$Q377="LINEAR"),($M377*2.5)/50,IF(AND($M377&lt;&gt;"",$N377="MND",$Q377="EMBOQUE"),($AN377*2*2.5)/50,0))</f>
        <v>0.1795</v>
      </c>
      <c r="BL377" s="157" t="str">
        <f aca="false">K377&amp;J377</f>
        <v>Zona03REDES</v>
      </c>
      <c r="BM377" s="152" t="s">
        <v>2526</v>
      </c>
      <c r="BN377" s="152" t="s">
        <v>1560</v>
      </c>
      <c r="BO377" s="152" t="s">
        <v>2800</v>
      </c>
      <c r="BP377" s="152" t="s">
        <v>2032</v>
      </c>
      <c r="BQ377" s="152" t="s">
        <v>2918</v>
      </c>
      <c r="BR377" s="152" t="s">
        <v>2948</v>
      </c>
      <c r="BS377" s="152" t="n">
        <v>203545.244</v>
      </c>
      <c r="BT377" s="152" t="n">
        <v>8237622.061</v>
      </c>
      <c r="BU377" s="152" t="n">
        <v>203541.71</v>
      </c>
      <c r="BV377" s="152" t="n">
        <v>8237622.672</v>
      </c>
      <c r="BW377" s="152" t="n">
        <v>-15.9229389</v>
      </c>
      <c r="BX377" s="152" t="n">
        <v>-47.7688588</v>
      </c>
      <c r="BY377" s="152" t="s">
        <v>2918</v>
      </c>
    </row>
    <row r="378" customFormat="false" ht="13.8" hidden="false" customHeight="false" outlineLevel="0" collapsed="false">
      <c r="A378" s="149" t="n">
        <f aca="false">IF(C378&lt;&gt;"",ROW(A373),"")</f>
        <v>373</v>
      </c>
      <c r="B378" s="150" t="str">
        <f aca="false">HYPERLINK("https://www.google.com/maps/dir/-15.917302,-47.760003/-15.9204889,-47.7664818/data=!4m3!4m2!3e0!5i1")</f>
        <v>https://www.google.com/maps/dir/-15.917302,-47.760003/-15.9204889,-47.7664818/data=!4m3!4m2!3e0!5i1</v>
      </c>
      <c r="C378" s="151" t="s">
        <v>117</v>
      </c>
      <c r="D378" s="152" t="s">
        <v>112</v>
      </c>
      <c r="E378" s="152" t="s">
        <v>113</v>
      </c>
      <c r="F378" s="152" t="s">
        <v>117</v>
      </c>
      <c r="G378" s="152" t="s">
        <v>782</v>
      </c>
      <c r="H378" s="152" t="n">
        <v>110</v>
      </c>
      <c r="I378" s="152" t="s">
        <v>115</v>
      </c>
      <c r="J378" s="152" t="s">
        <v>6</v>
      </c>
      <c r="K378" s="152" t="s">
        <v>2522</v>
      </c>
      <c r="L378" s="152" t="s">
        <v>120</v>
      </c>
      <c r="M378" s="153" t="n">
        <f aca="false">35.57</f>
        <v>35.57</v>
      </c>
      <c r="N378" s="152" t="s">
        <v>1548</v>
      </c>
      <c r="O378" s="152" t="s">
        <v>1549</v>
      </c>
      <c r="P378" s="152" t="s">
        <v>1550</v>
      </c>
      <c r="Q378" s="152" t="s">
        <v>1551</v>
      </c>
      <c r="R378" s="154" t="s">
        <v>2949</v>
      </c>
      <c r="S378" s="154" t="s">
        <v>1593</v>
      </c>
      <c r="T378" s="155" t="s">
        <v>2950</v>
      </c>
      <c r="U378" s="152" t="str">
        <f aca="false">RIGHT(T378,7)</f>
        <v>010/037</v>
      </c>
      <c r="V378" s="152" t="s">
        <v>1555</v>
      </c>
      <c r="W378" s="156" t="n">
        <v>45882</v>
      </c>
      <c r="X378" s="152" t="s">
        <v>1594</v>
      </c>
      <c r="Y378" s="152" t="s">
        <v>2638</v>
      </c>
      <c r="Z378" s="152" t="s">
        <v>1557</v>
      </c>
      <c r="AA378" s="153" t="n">
        <v>3.5</v>
      </c>
      <c r="AB378" s="151" t="s">
        <v>2951</v>
      </c>
      <c r="AC378" s="151" t="s">
        <v>502</v>
      </c>
      <c r="AD378" s="151" t="str">
        <f aca="false">CONCATENATE($C378,$I378,$H378,$N378,$J378,$K378)</f>
        <v>TUBO PEADPEAD110VCAREDESZona03</v>
      </c>
      <c r="AE378" s="153" t="n">
        <f aca="false">IFERROR(INDEX(APOIO_REDES!$A:$W,MATCH($C378&amp;$I378&amp;$H378&amp;$N378&amp;$O378,APOIO_REDES!$W:$W,0),MATCH(AE$5,APOIO_REDES!$5:$5,0)),0)</f>
        <v>1.2</v>
      </c>
      <c r="AF378" s="153" t="n">
        <f aca="false">IFERROR(INDEX(APOIO_REDES!$A:$W,MATCH($C378&amp;$I378&amp;$H378&amp;$N378&amp;$O378,APOIO_REDES!$W:$W,0),MATCH(AF$5,APOIO_REDES!$5:$5,0)),0)</f>
        <v>1.41</v>
      </c>
      <c r="AG378" s="153" t="n">
        <f aca="false">IFERROR(INDEX(APOIO_REDES!$A:$W,MATCH($C378&amp;$I378&amp;$H378&amp;$N378&amp;$O378,APOIO_REDES!$W:$W,0),MATCH(AG$5,APOIO_REDES!$5:$5,0)),0)</f>
        <v>0.75</v>
      </c>
      <c r="AH378" s="153" t="n">
        <f aca="false">IFERROR(INDEX(APOIO_REDES!$A:$W,MATCH($C378&amp;$I378&amp;$H378&amp;$N378&amp;$O378,APOIO_REDES!$W:$W,0),MATCH(AH$5,APOIO_REDES!$5:$5,0)),0)</f>
        <v>0.1</v>
      </c>
      <c r="AI378" s="153" t="n">
        <f aca="false">IFERROR(IF($H378&lt;&gt;"",(((($H378/1000)/2)^2)*PI()*$M378),0),0)</f>
        <v>0.338033013331772</v>
      </c>
      <c r="AJ378" s="153" t="n">
        <f aca="false">IFERROR(IF(AND($H378&lt;&gt;"",$I378="FoFo",OR($N378="MND",$N378="VCA"),$Q378="LINEAR"),0,IF(AND($H378&lt;&gt;"",$I378="PEAD",$N378="VCA",$Q378="LINEAR"),($H378/1000)+0.3,IF(AND($H378&lt;&gt;"",$I378="PEAD",$N378="MND",$Q378="EMBOQUE"),0,IF(AND($H378&lt;&gt;"",$I378="PVC",$N378="VCA",$Q378="LINEAR"),($H378/1000)+0.2,IF(AND($H378&lt;&gt;"",$I378="PVC",$N378="MND",$Q378="EMBOQUE"),0,IF(AND($H378&lt;&gt;"",$I378="PEAD",$N378="VCA",$Q378="PREDIAL"),0,0)))))),0)</f>
        <v>0.41</v>
      </c>
      <c r="AK378" s="153" t="n">
        <f aca="false">IF(AA378&lt;&gt;"",AA378,0)</f>
        <v>3.5</v>
      </c>
      <c r="AL378" s="153" t="n">
        <f aca="false">IF(AND($N378="MND",$Q378="EMBOQUE"),$M378,IF(AND($N378="VCA",$Q378="LINEAR"),$M378,IF(AND($N378="VCA",$Q378="PREDIAL"),0,0)))</f>
        <v>35.57</v>
      </c>
      <c r="AM378" s="153" t="n">
        <f aca="false">IF(AND($N378="MND",$Q378="EMBOQUE"),$M378,IF(AND($N378="VCA",$Q378="LINEAR"),$M378,IF(AND($N378="VCA",$Q378="PREDIAL"),0,0)))</f>
        <v>35.57</v>
      </c>
      <c r="AN378" s="153" t="n">
        <f aca="false">ROUND(IF(AND($N378="VCA",$M378&lt;&gt;"",$Q378="LINEAR"),$M378/100,IF(AND($N378="MND",$M378&gt;100,$Q378="EMBOQUE"),$M378/100,0)),0)</f>
        <v>0</v>
      </c>
      <c r="AO378" s="153" t="n">
        <f aca="false">IF(AND($N378="MND",$Q378="EMBOQUE"),$AN378*2*2,IF(AND($N378="VCA",$Q378="LINEAR"),$M378*2,IF(AND($N378="VCA",$Q378="PREDIAL"),0,0)))</f>
        <v>71.14</v>
      </c>
      <c r="AP378" s="153" t="n">
        <f aca="false">IFERROR($M378*$AF378*$AG378,0)</f>
        <v>37.615275</v>
      </c>
      <c r="AQ378" s="153" t="n">
        <f aca="false">IFERROR(IF(AND($N378="VCA",$AH378&gt;0),$M378*$AG378*$AH378,0),0)</f>
        <v>2.66775</v>
      </c>
      <c r="AR378" s="153" t="n">
        <f aca="false">IFERROR(IF(AND($N378="VCA",$AJ378&gt;0),($M378*$AG378*$AJ378)-$AI378,0),0)</f>
        <v>10.5997419866682</v>
      </c>
      <c r="AS378" s="153" t="n">
        <f aca="false">IFERROR(IF(AND($N378="VCA",$AP378&gt;0),$AP378-$AI378-$AQ378-$AR378,0),0)</f>
        <v>24.00975</v>
      </c>
      <c r="AT378" s="153" t="n">
        <f aca="false">IFERROR(IF($N378="VCA",INDEX(APOIO_REDES!$A:$W,MATCH($C378&amp;$I378&amp;$H378&amp;$N378&amp;$O378,APOIO_REDES!$W:$W,0),MATCH(AT$5,APOIO_REDES!$5:$5,0)),0)*$AP378,0)</f>
        <v>0.409265325553089</v>
      </c>
      <c r="AU378" s="153" t="n">
        <f aca="false">IFERROR(IF($N378="VCA",INDEX(APOIO_REDES!$A:$W,MATCH($C378&amp;$I378&amp;$H378&amp;$N378&amp;$O378,APOIO_REDES!$W:$W,0),MATCH(AU$5,APOIO_REDES!$5:$5,0)),0)*$AP378,0)</f>
        <v>0.326828204675963</v>
      </c>
      <c r="AV378" s="153" t="n">
        <f aca="false">IFERROR(IF($N378="VCA",INDEX(APOIO_REDES!$A:$W,MATCH($C378&amp;$I378&amp;$H378&amp;$N378&amp;$O378,APOIO_REDES!$W:$W,0),MATCH(AV$5,APOIO_REDES!$5:$5,0)),0)*$AP378,0)</f>
        <v>0.0452304578251504</v>
      </c>
      <c r="AW378" s="153" t="n">
        <f aca="false">IFERROR(IF($N378="VCA",INDEX(APOIO_REDES!$A:$W,MATCH($C378&amp;$I378&amp;$H378&amp;$N378&amp;$O378,APOIO_REDES!$W:$W,0),MATCH(AW$5,APOIO_REDES!$5:$5,0)),0)*$AP378,0)</f>
        <v>25.8194162173731</v>
      </c>
      <c r="AX378" s="153" t="n">
        <f aca="false">IFERROR(IF($N378="VCA",INDEX(APOIO_REDES!$A:$W,MATCH($C378&amp;$I378&amp;$H378&amp;$N378&amp;$O378,APOIO_REDES!$W:$W,0),MATCH(AX$5,APOIO_REDES!$5:$5,0)),0)*$AP378,0)</f>
        <v>3.57333365648516</v>
      </c>
      <c r="AY378" s="153" t="n">
        <f aca="false">IFERROR(IF($N378="VCA",INDEX(APOIO_REDES!$A:$W,MATCH($C378&amp;$I378&amp;$H378&amp;$N378&amp;$O378,APOIO_REDES!$W:$W,0),MATCH(AY$5,APOIO_REDES!$5:$5,0)),0)*$AP378,0)</f>
        <v>6.53656010950994</v>
      </c>
      <c r="AZ378" s="153" t="n">
        <f aca="false">IFERROR(IF($N378="VCA",INDEX(APOIO_REDES!$A:$W,MATCH($C378&amp;$I378&amp;$H378&amp;$N378&amp;$O378,APOIO_REDES!$W:$W,0),MATCH(AZ$5,APOIO_REDES!$5:$5,0)),0)*$AP378,0)</f>
        <v>0.904641028577578</v>
      </c>
      <c r="BA378" s="153" t="n">
        <f aca="false">IFERROR(IF(AND($N378="VCA",$Q378="LINEAR"),INDEX(APOIO_REDES!$A:$W,MATCH($C378&amp;$I378&amp;$H378&amp;$N378&amp;$O378,APOIO_REDES!$W:$W,0),MATCH(BA$5,APOIO_REDES!$5:$5,0)),IF(AND($N378="MND",$Q378="EMBOQUE"),INDEX(APOIO_REDES!$A:$W,MATCH($C378&amp;$I378&amp;$H378&amp;$N378&amp;$O378,APOIO_REDES!$W:$W,0),MATCH(BA$5,APOIO_REDES!$5:$5,0)),0))*$M378/10,0)</f>
        <v>2.86685227751279</v>
      </c>
      <c r="BB378" s="153" t="n">
        <f aca="false">IFERROR(IF($N378="VCA",INDEX(APOIO_REDES!$A:$W,MATCH($C378&amp;$I378&amp;$H378&amp;$N378&amp;$O378,APOIO_REDES!$W:$W,0),MATCH(BB$5,APOIO_REDES!$5:$5,0)),0)*($AI378+$AQ378+$AR378),0)</f>
        <v>13.4574928609702</v>
      </c>
      <c r="BC378" s="153" t="n">
        <f aca="false">IFERROR(IF($N378="VCA",INDEX(APOIO_REDES!$A:$W,MATCH($C378&amp;$I378&amp;$H378&amp;$N378&amp;$O378,APOIO_REDES!$W:$W,0),MATCH(BC$5,APOIO_REDES!$5:$5,0)),0)*($AI378+$AQ378+$AR378),0)</f>
        <v>0.148032139029841</v>
      </c>
      <c r="BD378" s="153" t="n">
        <f aca="false">IF(AND($N378="VCA",$AF378&gt;=1.25,$AF378&lt;1.5),$M378*$AF378*2,0)</f>
        <v>100.3074</v>
      </c>
      <c r="BE378" s="153" t="n">
        <f aca="false">IF(AND($N378="VCA",$AF378&gt;=1.5,$AF378&lt;3),$M378*$AF378*2,0)</f>
        <v>0</v>
      </c>
      <c r="BF378" s="153" t="n">
        <f aca="false">IF(AND($N378="VCA",$AF378&gt;=3),$M378*$AF378*2,0)</f>
        <v>0</v>
      </c>
      <c r="BG378" s="153" t="n">
        <f aca="false">($BB378+$BC378)*$AK378</f>
        <v>47.6193375</v>
      </c>
      <c r="BH378" s="153" t="n">
        <f aca="false">IF(AND($M378&lt;&gt;"",$N378="VCA",$Q378="LINEAR"),($M378*2)/100,IF(AND($M378&lt;&gt;"",$N378="MND",$Q378="EMBOQUE"),($AN378*2)/100,0))</f>
        <v>0.7114</v>
      </c>
      <c r="BI378" s="153" t="n">
        <f aca="false">IF(AND($M378&lt;&gt;"",$N378="VCA",$Q378="LINEAR"),$M378,IF(AND($M378&lt;&gt;"",$N378="MND",$Q378="EMBOQUE"),$AN378*2,0))</f>
        <v>35.57</v>
      </c>
      <c r="BJ378" s="153" t="n">
        <f aca="false">IF(AND($M378&lt;&gt;"",$N378="VCA",$Q378="LINEAR"),($M378*6.8)/100,IF(AND($M378&lt;&gt;"",$N378="MND",$Q378="EMBOQUE"),($AN378*2*6.8)/100,0))</f>
        <v>2.41876</v>
      </c>
      <c r="BK378" s="153" t="n">
        <f aca="false">IF(AND($M378&lt;&gt;"",$N378="VCA",$Q378="LINEAR"),($M378*2.5)/50,IF(AND($M378&lt;&gt;"",$N378="MND",$Q378="EMBOQUE"),($AN378*2*2.5)/50,0))</f>
        <v>1.7785</v>
      </c>
      <c r="BL378" s="157" t="str">
        <f aca="false">K378&amp;J378</f>
        <v>Zona03REDES</v>
      </c>
      <c r="BM378" s="152" t="s">
        <v>2526</v>
      </c>
      <c r="BN378" s="152" t="s">
        <v>1560</v>
      </c>
      <c r="BO378" s="152" t="s">
        <v>2952</v>
      </c>
      <c r="BP378" s="152" t="s">
        <v>2714</v>
      </c>
      <c r="BQ378" s="152" t="s">
        <v>2831</v>
      </c>
      <c r="BR378" s="152" t="s">
        <v>2953</v>
      </c>
      <c r="BS378" s="152" t="n">
        <v>203794.544</v>
      </c>
      <c r="BT378" s="152" t="n">
        <v>8237897.02</v>
      </c>
      <c r="BU378" s="152" t="n">
        <v>203761.152</v>
      </c>
      <c r="BV378" s="152" t="n">
        <v>8237885.32</v>
      </c>
      <c r="BW378" s="152" t="n">
        <v>-15.9205344</v>
      </c>
      <c r="BX378" s="152" t="n">
        <v>-47.766641</v>
      </c>
      <c r="BY378" s="152" t="s">
        <v>2714</v>
      </c>
    </row>
    <row r="379" customFormat="false" ht="13.8" hidden="false" customHeight="false" outlineLevel="0" collapsed="false">
      <c r="A379" s="149" t="n">
        <f aca="false">IF(C379&lt;&gt;"",ROW(A374),"")</f>
        <v>374</v>
      </c>
      <c r="B379" s="150" t="str">
        <f aca="false">HYPERLINK("https://www.google.com/maps/dir/-15.917302,-47.760003/-15.9215893,-47.7661711/data=!4m3!4m2!3e0!5i1")</f>
        <v>https://www.google.com/maps/dir/-15.917302,-47.760003/-15.9215893,-47.7661711/data=!4m3!4m2!3e0!5i1</v>
      </c>
      <c r="C379" s="151" t="s">
        <v>117</v>
      </c>
      <c r="D379" s="152" t="s">
        <v>112</v>
      </c>
      <c r="E379" s="152" t="s">
        <v>113</v>
      </c>
      <c r="F379" s="152" t="s">
        <v>117</v>
      </c>
      <c r="G379" s="152" t="s">
        <v>782</v>
      </c>
      <c r="H379" s="152" t="n">
        <v>110</v>
      </c>
      <c r="I379" s="152" t="s">
        <v>115</v>
      </c>
      <c r="J379" s="152" t="s">
        <v>6</v>
      </c>
      <c r="K379" s="152" t="s">
        <v>2522</v>
      </c>
      <c r="L379" s="152" t="s">
        <v>120</v>
      </c>
      <c r="M379" s="153" t="n">
        <f aca="false">126.45</f>
        <v>126.45</v>
      </c>
      <c r="N379" s="152" t="s">
        <v>1548</v>
      </c>
      <c r="O379" s="152" t="s">
        <v>1549</v>
      </c>
      <c r="P379" s="152" t="s">
        <v>1550</v>
      </c>
      <c r="Q379" s="152" t="s">
        <v>1551</v>
      </c>
      <c r="R379" s="154" t="s">
        <v>2954</v>
      </c>
      <c r="S379" s="154" t="s">
        <v>1593</v>
      </c>
      <c r="T379" s="155" t="s">
        <v>2950</v>
      </c>
      <c r="U379" s="152" t="str">
        <f aca="false">RIGHT(T379,7)</f>
        <v>010/037</v>
      </c>
      <c r="V379" s="152" t="s">
        <v>1555</v>
      </c>
      <c r="W379" s="156" t="n">
        <v>45882</v>
      </c>
      <c r="X379" s="152" t="s">
        <v>1594</v>
      </c>
      <c r="Y379" s="152" t="s">
        <v>2638</v>
      </c>
      <c r="Z379" s="152" t="s">
        <v>1557</v>
      </c>
      <c r="AA379" s="153" t="n">
        <v>3.6</v>
      </c>
      <c r="AB379" s="151" t="s">
        <v>2955</v>
      </c>
      <c r="AC379" s="151" t="s">
        <v>502</v>
      </c>
      <c r="AD379" s="151" t="str">
        <f aca="false">CONCATENATE($C379,$I379,$H379,$N379,$J379,$K379)</f>
        <v>TUBO PEADPEAD110VCAREDESZona03</v>
      </c>
      <c r="AE379" s="153" t="n">
        <f aca="false">IFERROR(INDEX(APOIO_REDES!$A:$W,MATCH($C379&amp;$I379&amp;$H379&amp;$N379&amp;$O379,APOIO_REDES!$W:$W,0),MATCH(AE$5,APOIO_REDES!$5:$5,0)),0)</f>
        <v>1.2</v>
      </c>
      <c r="AF379" s="153" t="n">
        <f aca="false">IFERROR(INDEX(APOIO_REDES!$A:$W,MATCH($C379&amp;$I379&amp;$H379&amp;$N379&amp;$O379,APOIO_REDES!$W:$W,0),MATCH(AF$5,APOIO_REDES!$5:$5,0)),0)</f>
        <v>1.41</v>
      </c>
      <c r="AG379" s="153" t="n">
        <f aca="false">IFERROR(INDEX(APOIO_REDES!$A:$W,MATCH($C379&amp;$I379&amp;$H379&amp;$N379&amp;$O379,APOIO_REDES!$W:$W,0),MATCH(AG$5,APOIO_REDES!$5:$5,0)),0)</f>
        <v>0.75</v>
      </c>
      <c r="AH379" s="153" t="n">
        <f aca="false">IFERROR(INDEX(APOIO_REDES!$A:$W,MATCH($C379&amp;$I379&amp;$H379&amp;$N379&amp;$O379,APOIO_REDES!$W:$W,0),MATCH(AH$5,APOIO_REDES!$5:$5,0)),0)</f>
        <v>0.1</v>
      </c>
      <c r="AI379" s="153" t="n">
        <f aca="false">IFERROR(IF($H379&lt;&gt;"",(((($H379/1000)/2)^2)*PI()*$M379),0),0)</f>
        <v>1.20169453291545</v>
      </c>
      <c r="AJ379" s="153" t="n">
        <f aca="false">IFERROR(IF(AND($H379&lt;&gt;"",$I379="FoFo",OR($N379="MND",$N379="VCA"),$Q379="LINEAR"),0,IF(AND($H379&lt;&gt;"",$I379="PEAD",$N379="VCA",$Q379="LINEAR"),($H379/1000)+0.3,IF(AND($H379&lt;&gt;"",$I379="PEAD",$N379="MND",$Q379="EMBOQUE"),0,IF(AND($H379&lt;&gt;"",$I379="PVC",$N379="VCA",$Q379="LINEAR"),($H379/1000)+0.2,IF(AND($H379&lt;&gt;"",$I379="PVC",$N379="MND",$Q379="EMBOQUE"),0,IF(AND($H379&lt;&gt;"",$I379="PEAD",$N379="VCA",$Q379="PREDIAL"),0,0)))))),0)</f>
        <v>0.41</v>
      </c>
      <c r="AK379" s="153" t="n">
        <f aca="false">IF(AA379&lt;&gt;"",AA379,0)</f>
        <v>3.6</v>
      </c>
      <c r="AL379" s="153" t="n">
        <f aca="false">IF(AND($N379="MND",$Q379="EMBOQUE"),$M379,IF(AND($N379="VCA",$Q379="LINEAR"),$M379,IF(AND($N379="VCA",$Q379="PREDIAL"),0,0)))</f>
        <v>126.45</v>
      </c>
      <c r="AM379" s="153" t="n">
        <f aca="false">IF(AND($N379="MND",$Q379="EMBOQUE"),$M379,IF(AND($N379="VCA",$Q379="LINEAR"),$M379,IF(AND($N379="VCA",$Q379="PREDIAL"),0,0)))</f>
        <v>126.45</v>
      </c>
      <c r="AN379" s="153" t="n">
        <f aca="false">ROUND(IF(AND($N379="VCA",$M379&lt;&gt;"",$Q379="LINEAR"),$M379/100,IF(AND($N379="MND",$M379&gt;100,$Q379="EMBOQUE"),$M379/100,0)),0)</f>
        <v>1</v>
      </c>
      <c r="AO379" s="153" t="n">
        <f aca="false">IF(AND($N379="MND",$Q379="EMBOQUE"),$AN379*2*2,IF(AND($N379="VCA",$Q379="LINEAR"),$M379*2,IF(AND($N379="VCA",$Q379="PREDIAL"),0,0)))</f>
        <v>252.9</v>
      </c>
      <c r="AP379" s="153" t="n">
        <f aca="false">IFERROR($M379*$AF379*$AG379,0)</f>
        <v>133.720875</v>
      </c>
      <c r="AQ379" s="153" t="n">
        <f aca="false">IFERROR(IF(AND($N379="VCA",$AH379&gt;0),$M379*$AG379*$AH379,0),0)</f>
        <v>9.48375</v>
      </c>
      <c r="AR379" s="153" t="n">
        <f aca="false">IFERROR(IF(AND($N379="VCA",$AJ379&gt;0),($M379*$AG379*$AJ379)-$AI379,0),0)</f>
        <v>37.6816804670846</v>
      </c>
      <c r="AS379" s="153" t="n">
        <f aca="false">IFERROR(IF(AND($N379="VCA",$AP379&gt;0),$AP379-$AI379-$AQ379-$AR379,0),0)</f>
        <v>85.3537500000001</v>
      </c>
      <c r="AT379" s="153" t="n">
        <f aca="false">IFERROR(IF($N379="VCA",INDEX(APOIO_REDES!$A:$W,MATCH($C379&amp;$I379&amp;$H379&amp;$N379&amp;$O379,APOIO_REDES!$W:$W,0),MATCH(AT$5,APOIO_REDES!$5:$5,0)),0)*$AP379,0)</f>
        <v>1.45492269935868</v>
      </c>
      <c r="AU379" s="153" t="n">
        <f aca="false">IFERROR(IF($N379="VCA",INDEX(APOIO_REDES!$A:$W,MATCH($C379&amp;$I379&amp;$H379&amp;$N379&amp;$O379,APOIO_REDES!$W:$W,0),MATCH(AU$5,APOIO_REDES!$5:$5,0)),0)*$AP379,0)</f>
        <v>1.16186186340387</v>
      </c>
      <c r="AV379" s="153" t="n">
        <f aca="false">IFERROR(IF($N379="VCA",INDEX(APOIO_REDES!$A:$W,MATCH($C379&amp;$I379&amp;$H379&amp;$N379&amp;$O379,APOIO_REDES!$W:$W,0),MATCH(AV$5,APOIO_REDES!$5:$5,0)),0)*$AP379,0)</f>
        <v>0.160792560921852</v>
      </c>
      <c r="AW379" s="153" t="n">
        <f aca="false">IFERROR(IF($N379="VCA",INDEX(APOIO_REDES!$A:$W,MATCH($C379&amp;$I379&amp;$H379&amp;$N379&amp;$O379,APOIO_REDES!$W:$W,0),MATCH(AW$5,APOIO_REDES!$5:$5,0)),0)*$AP379,0)</f>
        <v>91.7870447198997</v>
      </c>
      <c r="AX379" s="153" t="n">
        <f aca="false">IFERROR(IF($N379="VCA",INDEX(APOIO_REDES!$A:$W,MATCH($C379&amp;$I379&amp;$H379&amp;$N379&amp;$O379,APOIO_REDES!$W:$W,0),MATCH(AX$5,APOIO_REDES!$5:$5,0)),0)*$AP379,0)</f>
        <v>12.7030655288881</v>
      </c>
      <c r="AY379" s="153" t="n">
        <f aca="false">IFERROR(IF($N379="VCA",INDEX(APOIO_REDES!$A:$W,MATCH($C379&amp;$I379&amp;$H379&amp;$N379&amp;$O379,APOIO_REDES!$W:$W,0),MATCH(AY$5,APOIO_REDES!$5:$5,0)),0)*$AP379,0)</f>
        <v>23.2372231050754</v>
      </c>
      <c r="AZ379" s="153" t="n">
        <f aca="false">IFERROR(IF($N379="VCA",INDEX(APOIO_REDES!$A:$W,MATCH($C379&amp;$I379&amp;$H379&amp;$N379&amp;$O379,APOIO_REDES!$W:$W,0),MATCH(AZ$5,APOIO_REDES!$5:$5,0)),0)*$AP379,0)</f>
        <v>3.21596452245248</v>
      </c>
      <c r="BA379" s="153" t="n">
        <f aca="false">IFERROR(IF(AND($N379="VCA",$Q379="LINEAR"),INDEX(APOIO_REDES!$A:$W,MATCH($C379&amp;$I379&amp;$H379&amp;$N379&amp;$O379,APOIO_REDES!$W:$W,0),MATCH(BA$5,APOIO_REDES!$5:$5,0)),IF(AND($N379="MND",$Q379="EMBOQUE"),INDEX(APOIO_REDES!$A:$W,MATCH($C379&amp;$I379&amp;$H379&amp;$N379&amp;$O379,APOIO_REDES!$W:$W,0),MATCH(BA$5,APOIO_REDES!$5:$5,0)),0))*$M379/10,0)</f>
        <v>10.1915510399632</v>
      </c>
      <c r="BB379" s="153" t="n">
        <f aca="false">IFERROR(IF($N379="VCA",INDEX(APOIO_REDES!$A:$W,MATCH($C379&amp;$I379&amp;$H379&amp;$N379&amp;$O379,APOIO_REDES!$W:$W,0),MATCH(BB$5,APOIO_REDES!$5:$5,0)),0)*($AI379+$AQ379+$AR379),0)</f>
        <v>47.8408763640618</v>
      </c>
      <c r="BC379" s="153" t="n">
        <f aca="false">IFERROR(IF($N379="VCA",INDEX(APOIO_REDES!$A:$W,MATCH($C379&amp;$I379&amp;$H379&amp;$N379&amp;$O379,APOIO_REDES!$W:$W,0),MATCH(BC$5,APOIO_REDES!$5:$5,0)),0)*($AI379+$AQ379+$AR379),0)</f>
        <v>0.526248635938245</v>
      </c>
      <c r="BD379" s="153" t="n">
        <f aca="false">IF(AND($N379="VCA",$AF379&gt;=1.25,$AF379&lt;1.5),$M379*$AF379*2,0)</f>
        <v>356.589</v>
      </c>
      <c r="BE379" s="153" t="n">
        <f aca="false">IF(AND($N379="VCA",$AF379&gt;=1.5,$AF379&lt;3),$M379*$AF379*2,0)</f>
        <v>0</v>
      </c>
      <c r="BF379" s="153" t="n">
        <f aca="false">IF(AND($N379="VCA",$AF379&gt;=3),$M379*$AF379*2,0)</f>
        <v>0</v>
      </c>
      <c r="BG379" s="153" t="n">
        <f aca="false">($BB379+$BC379)*$AK379</f>
        <v>174.12165</v>
      </c>
      <c r="BH379" s="153" t="n">
        <f aca="false">IF(AND($M379&lt;&gt;"",$N379="VCA",$Q379="LINEAR"),($M379*2)/100,IF(AND($M379&lt;&gt;"",$N379="MND",$Q379="EMBOQUE"),($AN379*2)/100,0))</f>
        <v>2.529</v>
      </c>
      <c r="BI379" s="153" t="n">
        <f aca="false">IF(AND($M379&lt;&gt;"",$N379="VCA",$Q379="LINEAR"),$M379,IF(AND($M379&lt;&gt;"",$N379="MND",$Q379="EMBOQUE"),$AN379*2,0))</f>
        <v>126.45</v>
      </c>
      <c r="BJ379" s="153" t="n">
        <f aca="false">IF(AND($M379&lt;&gt;"",$N379="VCA",$Q379="LINEAR"),($M379*6.8)/100,IF(AND($M379&lt;&gt;"",$N379="MND",$Q379="EMBOQUE"),($AN379*2*6.8)/100,0))</f>
        <v>8.5986</v>
      </c>
      <c r="BK379" s="153" t="n">
        <f aca="false">IF(AND($M379&lt;&gt;"",$N379="VCA",$Q379="LINEAR"),($M379*2.5)/50,IF(AND($M379&lt;&gt;"",$N379="MND",$Q379="EMBOQUE"),($AN379*2*2.5)/50,0))</f>
        <v>6.3225</v>
      </c>
      <c r="BL379" s="157" t="str">
        <f aca="false">K379&amp;J379</f>
        <v>Zona03REDES</v>
      </c>
      <c r="BM379" s="152" t="s">
        <v>2526</v>
      </c>
      <c r="BN379" s="152" t="s">
        <v>1560</v>
      </c>
      <c r="BO379" s="152" t="s">
        <v>2952</v>
      </c>
      <c r="BP379" s="152" t="s">
        <v>2956</v>
      </c>
      <c r="BQ379" s="152" t="s">
        <v>2714</v>
      </c>
      <c r="BR379" s="152" t="s">
        <v>2957</v>
      </c>
      <c r="BS379" s="152" t="n">
        <v>203829.452</v>
      </c>
      <c r="BT379" s="152" t="n">
        <v>8237775.618</v>
      </c>
      <c r="BU379" s="152" t="n">
        <v>203794.544</v>
      </c>
      <c r="BV379" s="152" t="n">
        <v>8237897.02</v>
      </c>
      <c r="BW379" s="152" t="n">
        <v>-15.9210388</v>
      </c>
      <c r="BX379" s="152" t="n">
        <v>-47.7663262</v>
      </c>
      <c r="BY379" s="152" t="s">
        <v>2956</v>
      </c>
    </row>
    <row r="380" customFormat="false" ht="13.8" hidden="false" customHeight="false" outlineLevel="0" collapsed="false">
      <c r="A380" s="149" t="n">
        <f aca="false">IF(C380&lt;&gt;"",ROW(A375),"")</f>
        <v>375</v>
      </c>
      <c r="B380" s="150" t="str">
        <f aca="false">HYPERLINK("https://www.google.com/maps/dir/-15.917302,-47.760003/-15.9224645,-47.7665561/data=!4m3!4m2!3e0!5i1")</f>
        <v>https://www.google.com/maps/dir/-15.917302,-47.760003/-15.9224645,-47.7665561/data=!4m3!4m2!3e0!5i1</v>
      </c>
      <c r="C380" s="151" t="s">
        <v>117</v>
      </c>
      <c r="D380" s="152" t="s">
        <v>112</v>
      </c>
      <c r="E380" s="152" t="s">
        <v>113</v>
      </c>
      <c r="F380" s="152" t="s">
        <v>117</v>
      </c>
      <c r="G380" s="152" t="s">
        <v>782</v>
      </c>
      <c r="H380" s="152" t="n">
        <v>63</v>
      </c>
      <c r="I380" s="152" t="s">
        <v>115</v>
      </c>
      <c r="J380" s="152" t="s">
        <v>6</v>
      </c>
      <c r="K380" s="152" t="s">
        <v>2522</v>
      </c>
      <c r="L380" s="152" t="s">
        <v>120</v>
      </c>
      <c r="M380" s="153" t="n">
        <f aca="false">209.43+4</f>
        <v>213.43</v>
      </c>
      <c r="N380" s="152" t="s">
        <v>1548</v>
      </c>
      <c r="O380" s="152" t="s">
        <v>1549</v>
      </c>
      <c r="P380" s="152" t="s">
        <v>1550</v>
      </c>
      <c r="Q380" s="152" t="s">
        <v>1551</v>
      </c>
      <c r="R380" s="154" t="s">
        <v>2958</v>
      </c>
      <c r="S380" s="154" t="s">
        <v>1553</v>
      </c>
      <c r="T380" s="155" t="s">
        <v>2950</v>
      </c>
      <c r="U380" s="152" t="str">
        <f aca="false">RIGHT(T380,7)</f>
        <v>010/037</v>
      </c>
      <c r="V380" s="152" t="s">
        <v>1555</v>
      </c>
      <c r="W380" s="156" t="n">
        <v>45882</v>
      </c>
      <c r="X380" s="152" t="s">
        <v>1594</v>
      </c>
      <c r="Y380" s="152" t="s">
        <v>2638</v>
      </c>
      <c r="Z380" s="152" t="s">
        <v>1557</v>
      </c>
      <c r="AA380" s="153" t="n">
        <v>3.6</v>
      </c>
      <c r="AB380" s="151" t="s">
        <v>2959</v>
      </c>
      <c r="AC380" s="151" t="s">
        <v>186</v>
      </c>
      <c r="AD380" s="151" t="str">
        <f aca="false">CONCATENATE($C380,$I380,$H380,$N380,$J380,$K380)</f>
        <v>TUBO PEADPEAD63VCAREDESZona03</v>
      </c>
      <c r="AE380" s="153" t="n">
        <f aca="false">IFERROR(INDEX(APOIO_REDES!$A:$W,MATCH($C380&amp;$I380&amp;$H380&amp;$N380&amp;$O380,APOIO_REDES!$W:$W,0),MATCH(AE$5,APOIO_REDES!$5:$5,0)),0)</f>
        <v>1.2</v>
      </c>
      <c r="AF380" s="153" t="n">
        <f aca="false">IFERROR(INDEX(APOIO_REDES!$A:$W,MATCH($C380&amp;$I380&amp;$H380&amp;$N380&amp;$O380,APOIO_REDES!$W:$W,0),MATCH(AF$5,APOIO_REDES!$5:$5,0)),0)</f>
        <v>1.363</v>
      </c>
      <c r="AG380" s="153" t="n">
        <f aca="false">IFERROR(INDEX(APOIO_REDES!$A:$W,MATCH($C380&amp;$I380&amp;$H380&amp;$N380&amp;$O380,APOIO_REDES!$W:$W,0),MATCH(AG$5,APOIO_REDES!$5:$5,0)),0)</f>
        <v>0.65</v>
      </c>
      <c r="AH380" s="153" t="n">
        <f aca="false">IFERROR(INDEX(APOIO_REDES!$A:$W,MATCH($C380&amp;$I380&amp;$H380&amp;$N380&amp;$O380,APOIO_REDES!$W:$W,0),MATCH(AH$5,APOIO_REDES!$5:$5,0)),0)</f>
        <v>0.1</v>
      </c>
      <c r="AI380" s="153" t="n">
        <f aca="false">IFERROR(IF($H380&lt;&gt;"",(((($H380/1000)/2)^2)*PI()*$M380),0),0)</f>
        <v>0.665313666625238</v>
      </c>
      <c r="AJ380" s="153" t="n">
        <f aca="false">IFERROR(IF(AND($H380&lt;&gt;"",$I380="FoFo",OR($N380="MND",$N380="VCA"),$Q380="LINEAR"),0,IF(AND($H380&lt;&gt;"",$I380="PEAD",$N380="VCA",$Q380="LINEAR"),($H380/1000)+0.3,IF(AND($H380&lt;&gt;"",$I380="PEAD",$N380="MND",$Q380="EMBOQUE"),0,IF(AND($H380&lt;&gt;"",$I380="PVC",$N380="VCA",$Q380="LINEAR"),($H380/1000)+0.2,IF(AND($H380&lt;&gt;"",$I380="PVC",$N380="MND",$Q380="EMBOQUE"),0,IF(AND($H380&lt;&gt;"",$I380="PEAD",$N380="VCA",$Q380="PREDIAL"),0,0)))))),0)</f>
        <v>0.363</v>
      </c>
      <c r="AK380" s="153" t="n">
        <f aca="false">IF(AA380&lt;&gt;"",AA380,0)</f>
        <v>3.6</v>
      </c>
      <c r="AL380" s="153" t="n">
        <f aca="false">IF(AND($N380="MND",$Q380="EMBOQUE"),$M380,IF(AND($N380="VCA",$Q380="LINEAR"),$M380,IF(AND($N380="VCA",$Q380="PREDIAL"),0,0)))</f>
        <v>213.43</v>
      </c>
      <c r="AM380" s="153" t="n">
        <f aca="false">IF(AND($N380="MND",$Q380="EMBOQUE"),$M380,IF(AND($N380="VCA",$Q380="LINEAR"),$M380,IF(AND($N380="VCA",$Q380="PREDIAL"),0,0)))</f>
        <v>213.43</v>
      </c>
      <c r="AN380" s="153" t="n">
        <f aca="false">ROUND(IF(AND($N380="VCA",$M380&lt;&gt;"",$Q380="LINEAR"),$M380/100,IF(AND($N380="MND",$M380&gt;100,$Q380="EMBOQUE"),$M380/100,0)),0)</f>
        <v>2</v>
      </c>
      <c r="AO380" s="153" t="n">
        <f aca="false">IF(AND($N380="MND",$Q380="EMBOQUE"),$AN380*2*2,IF(AND($N380="VCA",$Q380="LINEAR"),$M380*2,IF(AND($N380="VCA",$Q380="PREDIAL"),0,0)))</f>
        <v>426.86</v>
      </c>
      <c r="AP380" s="153" t="n">
        <f aca="false">IFERROR($M380*$AF380*$AG380,0)</f>
        <v>189.0883085</v>
      </c>
      <c r="AQ380" s="153" t="n">
        <f aca="false">IFERROR(IF(AND($N380="VCA",$AH380&gt;0),$M380*$AG380*$AH380,0),0)</f>
        <v>13.87295</v>
      </c>
      <c r="AR380" s="153" t="n">
        <f aca="false">IFERROR(IF(AND($N380="VCA",$AJ380&gt;0),($M380*$AG380*$AJ380)-$AI380,0),0)</f>
        <v>49.6934948333748</v>
      </c>
      <c r="AS380" s="153" t="n">
        <f aca="false">IFERROR(IF(AND($N380="VCA",$AP380&gt;0),$AP380-$AI380-$AQ380-$AR380,0),0)</f>
        <v>124.85655</v>
      </c>
      <c r="AT380" s="153" t="n">
        <f aca="false">IFERROR(IF($N380="VCA",INDEX(APOIO_REDES!$A:$W,MATCH($C380&amp;$I380&amp;$H380&amp;$N380&amp;$O380,APOIO_REDES!$W:$W,0),MATCH(AT$5,APOIO_REDES!$5:$5,0)),0)*$AP380,0)</f>
        <v>2.05733676376247</v>
      </c>
      <c r="AU380" s="153" t="n">
        <f aca="false">IFERROR(IF($N380="VCA",INDEX(APOIO_REDES!$A:$W,MATCH($C380&amp;$I380&amp;$H380&amp;$N380&amp;$O380,APOIO_REDES!$W:$W,0),MATCH(AU$5,APOIO_REDES!$5:$5,0)),0)*$AP380,0)</f>
        <v>1.64293341979474</v>
      </c>
      <c r="AV380" s="153" t="n">
        <f aca="false">IFERROR(IF($N380="VCA",INDEX(APOIO_REDES!$A:$W,MATCH($C380&amp;$I380&amp;$H380&amp;$N380&amp;$O380,APOIO_REDES!$W:$W,0),MATCH(AV$5,APOIO_REDES!$5:$5,0)),0)*$AP380,0)</f>
        <v>0.227369087766559</v>
      </c>
      <c r="AW380" s="153" t="n">
        <f aca="false">IFERROR(IF($N380="VCA",INDEX(APOIO_REDES!$A:$W,MATCH($C380&amp;$I380&amp;$H380&amp;$N380&amp;$O380,APOIO_REDES!$W:$W,0),MATCH(AW$5,APOIO_REDES!$5:$5,0)),0)*$AP380,0)</f>
        <v>129.791680082109</v>
      </c>
      <c r="AX380" s="153" t="n">
        <f aca="false">IFERROR(IF($N380="VCA",INDEX(APOIO_REDES!$A:$W,MATCH($C380&amp;$I380&amp;$H380&amp;$N380&amp;$O380,APOIO_REDES!$W:$W,0),MATCH(AX$5,APOIO_REDES!$5:$5,0)),0)*$AP380,0)</f>
        <v>17.9627988047648</v>
      </c>
      <c r="AY380" s="153" t="n">
        <f aca="false">IFERROR(IF($N380="VCA",INDEX(APOIO_REDES!$A:$W,MATCH($C380&amp;$I380&amp;$H380&amp;$N380&amp;$O380,APOIO_REDES!$W:$W,0),MATCH(AY$5,APOIO_REDES!$5:$5,0)),0)*$AP380,0)</f>
        <v>32.8586483686696</v>
      </c>
      <c r="AZ380" s="153" t="n">
        <f aca="false">IFERROR(IF($N380="VCA",INDEX(APOIO_REDES!$A:$W,MATCH($C380&amp;$I380&amp;$H380&amp;$N380&amp;$O380,APOIO_REDES!$W:$W,0),MATCH(AZ$5,APOIO_REDES!$5:$5,0)),0)*$AP380,0)</f>
        <v>4.54754197313284</v>
      </c>
      <c r="BA380" s="153" t="n">
        <f aca="false">IFERROR(IF(AND($N380="VCA",$Q380="LINEAR"),INDEX(APOIO_REDES!$A:$W,MATCH($C380&amp;$I380&amp;$H380&amp;$N380&amp;$O380,APOIO_REDES!$W:$W,0),MATCH(BA$5,APOIO_REDES!$5:$5,0)),IF(AND($N380="MND",$Q380="EMBOQUE"),INDEX(APOIO_REDES!$A:$W,MATCH($C380&amp;$I380&amp;$H380&amp;$N380&amp;$O380,APOIO_REDES!$W:$W,0),MATCH(BA$5,APOIO_REDES!$5:$5,0)),0))*$M380/10,0)</f>
        <v>17.2019196398525</v>
      </c>
      <c r="BB380" s="153" t="n">
        <f aca="false">IFERROR(IF($N380="VCA",INDEX(APOIO_REDES!$A:$W,MATCH($C380&amp;$I380&amp;$H380&amp;$N380&amp;$O380,APOIO_REDES!$W:$W,0),MATCH(BB$5,APOIO_REDES!$5:$5,0)),0)*($AI380+$AQ380+$AR380),0)</f>
        <v>63.5328979558899</v>
      </c>
      <c r="BC380" s="153" t="n">
        <f aca="false">IFERROR(IF($N380="VCA",INDEX(APOIO_REDES!$A:$W,MATCH($C380&amp;$I380&amp;$H380&amp;$N380&amp;$O380,APOIO_REDES!$W:$W,0),MATCH(BC$5,APOIO_REDES!$5:$5,0)),0)*($AI380+$AQ380+$AR380),0)</f>
        <v>0.69886054411007</v>
      </c>
      <c r="BD380" s="153" t="n">
        <f aca="false">IF(AND($N380="VCA",$AF380&gt;=1.25,$AF380&lt;1.5),$M380*$AF380*2,0)</f>
        <v>581.81018</v>
      </c>
      <c r="BE380" s="153" t="n">
        <f aca="false">IF(AND($N380="VCA",$AF380&gt;=1.5,$AF380&lt;3),$M380*$AF380*2,0)</f>
        <v>0</v>
      </c>
      <c r="BF380" s="153" t="n">
        <f aca="false">IF(AND($N380="VCA",$AF380&gt;=3),$M380*$AF380*2,0)</f>
        <v>0</v>
      </c>
      <c r="BG380" s="153" t="n">
        <f aca="false">($BB380+$BC380)*$AK380</f>
        <v>231.2343306</v>
      </c>
      <c r="BH380" s="153" t="n">
        <f aca="false">IF(AND($M380&lt;&gt;"",$N380="VCA",$Q380="LINEAR"),($M380*2)/100,IF(AND($M380&lt;&gt;"",$N380="MND",$Q380="EMBOQUE"),($AN380*2)/100,0))</f>
        <v>4.2686</v>
      </c>
      <c r="BI380" s="153" t="n">
        <f aca="false">IF(AND($M380&lt;&gt;"",$N380="VCA",$Q380="LINEAR"),$M380,IF(AND($M380&lt;&gt;"",$N380="MND",$Q380="EMBOQUE"),$AN380*2,0))</f>
        <v>213.43</v>
      </c>
      <c r="BJ380" s="153" t="n">
        <f aca="false">IF(AND($M380&lt;&gt;"",$N380="VCA",$Q380="LINEAR"),($M380*6.8)/100,IF(AND($M380&lt;&gt;"",$N380="MND",$Q380="EMBOQUE"),($AN380*2*6.8)/100,0))</f>
        <v>14.51324</v>
      </c>
      <c r="BK380" s="153" t="n">
        <f aca="false">IF(AND($M380&lt;&gt;"",$N380="VCA",$Q380="LINEAR"),($M380*2.5)/50,IF(AND($M380&lt;&gt;"",$N380="MND",$Q380="EMBOQUE"),($AN380*2*2.5)/50,0))</f>
        <v>10.6715</v>
      </c>
      <c r="BL380" s="157" t="str">
        <f aca="false">K380&amp;J380</f>
        <v>Zona03REDES</v>
      </c>
      <c r="BM380" s="152" t="s">
        <v>2526</v>
      </c>
      <c r="BN380" s="152" t="s">
        <v>1560</v>
      </c>
      <c r="BO380" s="152" t="s">
        <v>2952</v>
      </c>
      <c r="BP380" s="152" t="s">
        <v>2960</v>
      </c>
      <c r="BQ380" s="152" t="s">
        <v>2831</v>
      </c>
      <c r="BR380" s="152" t="s">
        <v>2961</v>
      </c>
      <c r="BS380" s="152" t="n">
        <v>203789.491</v>
      </c>
      <c r="BT380" s="152" t="n">
        <v>8237678.165</v>
      </c>
      <c r="BU380" s="152" t="n">
        <v>203760.485</v>
      </c>
      <c r="BV380" s="152" t="n">
        <v>8237885.082</v>
      </c>
      <c r="BW380" s="152" t="n">
        <v>-15.9215273</v>
      </c>
      <c r="BX380" s="152" t="n">
        <v>-47.7666545</v>
      </c>
      <c r="BY380" s="152" t="s">
        <v>2960</v>
      </c>
    </row>
    <row r="381" customFormat="false" ht="13.8" hidden="false" customHeight="false" outlineLevel="0" collapsed="false">
      <c r="A381" s="149" t="n">
        <f aca="false">IF(C381&lt;&gt;"",ROW(A376),"")</f>
        <v>376</v>
      </c>
      <c r="B381" s="150" t="str">
        <f aca="false">HYPERLINK("https://www.google.com/maps/dir/-15.917302,-47.760003/-15.9221346,-47.7660354/data=!4m3!4m2!3e0!5i1")</f>
        <v>https://www.google.com/maps/dir/-15.917302,-47.760003/-15.9221346,-47.7660354/data=!4m3!4m2!3e0!5i1</v>
      </c>
      <c r="C381" s="151" t="s">
        <v>117</v>
      </c>
      <c r="D381" s="152" t="s">
        <v>112</v>
      </c>
      <c r="E381" s="152" t="s">
        <v>113</v>
      </c>
      <c r="F381" s="152" t="s">
        <v>117</v>
      </c>
      <c r="G381" s="152" t="s">
        <v>782</v>
      </c>
      <c r="H381" s="152" t="n">
        <v>63</v>
      </c>
      <c r="I381" s="152" t="s">
        <v>115</v>
      </c>
      <c r="J381" s="152" t="s">
        <v>6</v>
      </c>
      <c r="K381" s="152" t="s">
        <v>2522</v>
      </c>
      <c r="L381" s="152" t="s">
        <v>120</v>
      </c>
      <c r="M381" s="153" t="n">
        <f aca="false">62.13+4.02</f>
        <v>66.15</v>
      </c>
      <c r="N381" s="152" t="s">
        <v>1548</v>
      </c>
      <c r="O381" s="152" t="s">
        <v>1549</v>
      </c>
      <c r="P381" s="152" t="s">
        <v>1550</v>
      </c>
      <c r="Q381" s="152" t="s">
        <v>1551</v>
      </c>
      <c r="R381" s="154" t="s">
        <v>2962</v>
      </c>
      <c r="S381" s="154" t="s">
        <v>1553</v>
      </c>
      <c r="T381" s="155" t="s">
        <v>2950</v>
      </c>
      <c r="U381" s="152" t="str">
        <f aca="false">RIGHT(T381,7)</f>
        <v>010/037</v>
      </c>
      <c r="V381" s="152" t="s">
        <v>1555</v>
      </c>
      <c r="W381" s="156" t="n">
        <v>45882</v>
      </c>
      <c r="X381" s="152" t="s">
        <v>1594</v>
      </c>
      <c r="Y381" s="152" t="s">
        <v>2638</v>
      </c>
      <c r="Z381" s="152" t="s">
        <v>1557</v>
      </c>
      <c r="AA381" s="153" t="n">
        <v>3.6</v>
      </c>
      <c r="AB381" s="151" t="s">
        <v>2963</v>
      </c>
      <c r="AC381" s="151" t="s">
        <v>186</v>
      </c>
      <c r="AD381" s="151" t="str">
        <f aca="false">CONCATENATE($C381,$I381,$H381,$N381,$J381,$K381)</f>
        <v>TUBO PEADPEAD63VCAREDESZona03</v>
      </c>
      <c r="AE381" s="153" t="n">
        <f aca="false">IFERROR(INDEX(APOIO_REDES!$A:$W,MATCH($C381&amp;$I381&amp;$H381&amp;$N381&amp;$O381,APOIO_REDES!$W:$W,0),MATCH(AE$5,APOIO_REDES!$5:$5,0)),0)</f>
        <v>1.2</v>
      </c>
      <c r="AF381" s="153" t="n">
        <f aca="false">IFERROR(INDEX(APOIO_REDES!$A:$W,MATCH($C381&amp;$I381&amp;$H381&amp;$N381&amp;$O381,APOIO_REDES!$W:$W,0),MATCH(AF$5,APOIO_REDES!$5:$5,0)),0)</f>
        <v>1.363</v>
      </c>
      <c r="AG381" s="153" t="n">
        <f aca="false">IFERROR(INDEX(APOIO_REDES!$A:$W,MATCH($C381&amp;$I381&amp;$H381&amp;$N381&amp;$O381,APOIO_REDES!$W:$W,0),MATCH(AG$5,APOIO_REDES!$5:$5,0)),0)</f>
        <v>0.65</v>
      </c>
      <c r="AH381" s="153" t="n">
        <f aca="false">IFERROR(INDEX(APOIO_REDES!$A:$W,MATCH($C381&amp;$I381&amp;$H381&amp;$N381&amp;$O381,APOIO_REDES!$W:$W,0),MATCH(AH$5,APOIO_REDES!$5:$5,0)),0)</f>
        <v>0.1</v>
      </c>
      <c r="AI381" s="153" t="n">
        <f aca="false">IFERROR(IF($H381&lt;&gt;"",(((($H381/1000)/2)^2)*PI()*$M381),0),0)</f>
        <v>0.206205777291194</v>
      </c>
      <c r="AJ381" s="153" t="n">
        <f aca="false">IFERROR(IF(AND($H381&lt;&gt;"",$I381="FoFo",OR($N381="MND",$N381="VCA"),$Q381="LINEAR"),0,IF(AND($H381&lt;&gt;"",$I381="PEAD",$N381="VCA",$Q381="LINEAR"),($H381/1000)+0.3,IF(AND($H381&lt;&gt;"",$I381="PEAD",$N381="MND",$Q381="EMBOQUE"),0,IF(AND($H381&lt;&gt;"",$I381="PVC",$N381="VCA",$Q381="LINEAR"),($H381/1000)+0.2,IF(AND($H381&lt;&gt;"",$I381="PVC",$N381="MND",$Q381="EMBOQUE"),0,IF(AND($H381&lt;&gt;"",$I381="PEAD",$N381="VCA",$Q381="PREDIAL"),0,0)))))),0)</f>
        <v>0.363</v>
      </c>
      <c r="AK381" s="153" t="n">
        <f aca="false">IF(AA381&lt;&gt;"",AA381,0)</f>
        <v>3.6</v>
      </c>
      <c r="AL381" s="153" t="n">
        <f aca="false">IF(AND($N381="MND",$Q381="EMBOQUE"),$M381,IF(AND($N381="VCA",$Q381="LINEAR"),$M381,IF(AND($N381="VCA",$Q381="PREDIAL"),0,0)))</f>
        <v>66.15</v>
      </c>
      <c r="AM381" s="153" t="n">
        <f aca="false">IF(AND($N381="MND",$Q381="EMBOQUE"),$M381,IF(AND($N381="VCA",$Q381="LINEAR"),$M381,IF(AND($N381="VCA",$Q381="PREDIAL"),0,0)))</f>
        <v>66.15</v>
      </c>
      <c r="AN381" s="153" t="n">
        <f aca="false">ROUND(IF(AND($N381="VCA",$M381&lt;&gt;"",$Q381="LINEAR"),$M381/100,IF(AND($N381="MND",$M381&gt;100,$Q381="EMBOQUE"),$M381/100,0)),0)</f>
        <v>1</v>
      </c>
      <c r="AO381" s="153" t="n">
        <f aca="false">IF(AND($N381="MND",$Q381="EMBOQUE"),$AN381*2*2,IF(AND($N381="VCA",$Q381="LINEAR"),$M381*2,IF(AND($N381="VCA",$Q381="PREDIAL"),0,0)))</f>
        <v>132.3</v>
      </c>
      <c r="AP381" s="153" t="n">
        <f aca="false">IFERROR($M381*$AF381*$AG381,0)</f>
        <v>58.6055925</v>
      </c>
      <c r="AQ381" s="153" t="n">
        <f aca="false">IFERROR(IF(AND($N381="VCA",$AH381&gt;0),$M381*$AG381*$AH381,0),0)</f>
        <v>4.29975</v>
      </c>
      <c r="AR381" s="153" t="n">
        <f aca="false">IFERROR(IF(AND($N381="VCA",$AJ381&gt;0),($M381*$AG381*$AJ381)-$AI381,0),0)</f>
        <v>15.4018867227088</v>
      </c>
      <c r="AS381" s="153" t="n">
        <f aca="false">IFERROR(IF(AND($N381="VCA",$AP381&gt;0),$AP381-$AI381-$AQ381-$AR381,0),0)</f>
        <v>38.69775</v>
      </c>
      <c r="AT381" s="153" t="n">
        <f aca="false">IFERROR(IF($N381="VCA",INDEX(APOIO_REDES!$A:$W,MATCH($C381&amp;$I381&amp;$H381&amp;$N381&amp;$O381,APOIO_REDES!$W:$W,0),MATCH(AT$5,APOIO_REDES!$5:$5,0)),0)*$AP381,0)</f>
        <v>0.637646192769937</v>
      </c>
      <c r="AU381" s="153" t="n">
        <f aca="false">IFERROR(IF($N381="VCA",INDEX(APOIO_REDES!$A:$W,MATCH($C381&amp;$I381&amp;$H381&amp;$N381&amp;$O381,APOIO_REDES!$W:$W,0),MATCH(AU$5,APOIO_REDES!$5:$5,0)),0)*$AP381,0)</f>
        <v>0.509206979897026</v>
      </c>
      <c r="AV381" s="153" t="n">
        <f aca="false">IFERROR(IF($N381="VCA",INDEX(APOIO_REDES!$A:$W,MATCH($C381&amp;$I381&amp;$H381&amp;$N381&amp;$O381,APOIO_REDES!$W:$W,0),MATCH(AV$5,APOIO_REDES!$5:$5,0)),0)*$AP381,0)</f>
        <v>0.0704702485862246</v>
      </c>
      <c r="AW381" s="153" t="n">
        <f aca="false">IFERROR(IF($N381="VCA",INDEX(APOIO_REDES!$A:$W,MATCH($C381&amp;$I381&amp;$H381&amp;$N381&amp;$O381,APOIO_REDES!$W:$W,0),MATCH(AW$5,APOIO_REDES!$5:$5,0)),0)*$AP381,0)</f>
        <v>40.2273327902896</v>
      </c>
      <c r="AX381" s="153" t="n">
        <f aca="false">IFERROR(IF($N381="VCA",INDEX(APOIO_REDES!$A:$W,MATCH($C381&amp;$I381&amp;$H381&amp;$N381&amp;$O381,APOIO_REDES!$W:$W,0),MATCH(AX$5,APOIO_REDES!$5:$5,0)),0)*$AP381,0)</f>
        <v>5.56734826844957</v>
      </c>
      <c r="AY381" s="153" t="n">
        <f aca="false">IFERROR(IF($N381="VCA",INDEX(APOIO_REDES!$A:$W,MATCH($C381&amp;$I381&amp;$H381&amp;$N381&amp;$O381,APOIO_REDES!$W:$W,0),MATCH(AY$5,APOIO_REDES!$5:$5,0)),0)*$AP381,0)</f>
        <v>10.1841333907487</v>
      </c>
      <c r="AZ381" s="153" t="n">
        <f aca="false">IFERROR(IF($N381="VCA",INDEX(APOIO_REDES!$A:$W,MATCH($C381&amp;$I381&amp;$H381&amp;$N381&amp;$O381,APOIO_REDES!$W:$W,0),MATCH(AZ$5,APOIO_REDES!$5:$5,0)),0)*$AP381,0)</f>
        <v>1.40945462925895</v>
      </c>
      <c r="BA381" s="153" t="n">
        <f aca="false">IFERROR(IF(AND($N381="VCA",$Q381="LINEAR"),INDEX(APOIO_REDES!$A:$W,MATCH($C381&amp;$I381&amp;$H381&amp;$N381&amp;$O381,APOIO_REDES!$W:$W,0),MATCH(BA$5,APOIO_REDES!$5:$5,0)),IF(AND($N381="MND",$Q381="EMBOQUE"),INDEX(APOIO_REDES!$A:$W,MATCH($C381&amp;$I381&amp;$H381&amp;$N381&amp;$O381,APOIO_REDES!$W:$W,0),MATCH(BA$5,APOIO_REDES!$5:$5,0)),0))*$M381/10,0)</f>
        <v>5.33152314190247</v>
      </c>
      <c r="BB381" s="153" t="n">
        <f aca="false">IFERROR(IF($N381="VCA",INDEX(APOIO_REDES!$A:$W,MATCH($C381&amp;$I381&amp;$H381&amp;$N381&amp;$O381,APOIO_REDES!$W:$W,0),MATCH(BB$5,APOIO_REDES!$5:$5,0)),0)*($AI381+$AQ381+$AR381),0)</f>
        <v>19.6912392811794</v>
      </c>
      <c r="BC381" s="153" t="n">
        <f aca="false">IFERROR(IF($N381="VCA",INDEX(APOIO_REDES!$A:$W,MATCH($C381&amp;$I381&amp;$H381&amp;$N381&amp;$O381,APOIO_REDES!$W:$W,0),MATCH(BC$5,APOIO_REDES!$5:$5,0)),0)*($AI381+$AQ381+$AR381),0)</f>
        <v>0.216603218820602</v>
      </c>
      <c r="BD381" s="153" t="n">
        <f aca="false">IF(AND($N381="VCA",$AF381&gt;=1.25,$AF381&lt;1.5),$M381*$AF381*2,0)</f>
        <v>180.3249</v>
      </c>
      <c r="BE381" s="153" t="n">
        <f aca="false">IF(AND($N381="VCA",$AF381&gt;=1.5,$AF381&lt;3),$M381*$AF381*2,0)</f>
        <v>0</v>
      </c>
      <c r="BF381" s="153" t="n">
        <f aca="false">IF(AND($N381="VCA",$AF381&gt;=3),$M381*$AF381*2,0)</f>
        <v>0</v>
      </c>
      <c r="BG381" s="153" t="n">
        <f aca="false">($BB381+$BC381)*$AK381</f>
        <v>71.668233</v>
      </c>
      <c r="BH381" s="153" t="n">
        <f aca="false">IF(AND($M381&lt;&gt;"",$N381="VCA",$Q381="LINEAR"),($M381*2)/100,IF(AND($M381&lt;&gt;"",$N381="MND",$Q381="EMBOQUE"),($AN381*2)/100,0))</f>
        <v>1.323</v>
      </c>
      <c r="BI381" s="153" t="n">
        <f aca="false">IF(AND($M381&lt;&gt;"",$N381="VCA",$Q381="LINEAR"),$M381,IF(AND($M381&lt;&gt;"",$N381="MND",$Q381="EMBOQUE"),$AN381*2,0))</f>
        <v>66.15</v>
      </c>
      <c r="BJ381" s="153" t="n">
        <f aca="false">IF(AND($M381&lt;&gt;"",$N381="VCA",$Q381="LINEAR"),($M381*6.8)/100,IF(AND($M381&lt;&gt;"",$N381="MND",$Q381="EMBOQUE"),($AN381*2*6.8)/100,0))</f>
        <v>4.4982</v>
      </c>
      <c r="BK381" s="153" t="n">
        <f aca="false">IF(AND($M381&lt;&gt;"",$N381="VCA",$Q381="LINEAR"),($M381*2.5)/50,IF(AND($M381&lt;&gt;"",$N381="MND",$Q381="EMBOQUE"),($AN381*2*2.5)/50,0))</f>
        <v>3.3075</v>
      </c>
      <c r="BL381" s="157" t="str">
        <f aca="false">K381&amp;J381</f>
        <v>Zona03REDES</v>
      </c>
      <c r="BM381" s="152" t="s">
        <v>2526</v>
      </c>
      <c r="BN381" s="152" t="s">
        <v>1560</v>
      </c>
      <c r="BO381" s="152" t="s">
        <v>2952</v>
      </c>
      <c r="BP381" s="152" t="s">
        <v>2964</v>
      </c>
      <c r="BQ381" s="152" t="s">
        <v>2956</v>
      </c>
      <c r="BR381" s="152" t="s">
        <v>2965</v>
      </c>
      <c r="BS381" s="152" t="n">
        <v>203844.794</v>
      </c>
      <c r="BT381" s="152" t="n">
        <v>8237715.427</v>
      </c>
      <c r="BU381" s="152" t="n">
        <v>203829.452</v>
      </c>
      <c r="BV381" s="152" t="n">
        <v>8237775.618</v>
      </c>
      <c r="BW381" s="152" t="n">
        <v>-15.921861</v>
      </c>
      <c r="BX381" s="152" t="n">
        <v>-47.766099</v>
      </c>
      <c r="BY381" s="152" t="s">
        <v>2964</v>
      </c>
    </row>
    <row r="382" customFormat="false" ht="13.8" hidden="false" customHeight="false" outlineLevel="0" collapsed="false">
      <c r="A382" s="149" t="n">
        <f aca="false">IF(C382&lt;&gt;"",ROW(A377),"")</f>
        <v>377</v>
      </c>
      <c r="B382" s="150" t="str">
        <f aca="false">HYPERLINK("https://www.google.com/maps/dir/-15.917302,-47.760003/-15.9098537,-47.7672185/data=!4m3!4m2!3e0!5i2")</f>
        <v>https://www.google.com/maps/dir/-15.917302,-47.760003/-15.9098537,-47.7672185/data=!4m3!4m2!3e0!5i2</v>
      </c>
      <c r="C382" s="151" t="s">
        <v>117</v>
      </c>
      <c r="D382" s="152" t="s">
        <v>112</v>
      </c>
      <c r="E382" s="152" t="s">
        <v>113</v>
      </c>
      <c r="F382" s="152" t="s">
        <v>117</v>
      </c>
      <c r="G382" s="152" t="s">
        <v>782</v>
      </c>
      <c r="H382" s="152" t="n">
        <v>63</v>
      </c>
      <c r="I382" s="152" t="s">
        <v>115</v>
      </c>
      <c r="J382" s="152" t="s">
        <v>6</v>
      </c>
      <c r="K382" s="152" t="s">
        <v>2966</v>
      </c>
      <c r="L382" s="152" t="s">
        <v>120</v>
      </c>
      <c r="M382" s="153" t="n">
        <f aca="false">174.16</f>
        <v>174.16</v>
      </c>
      <c r="N382" s="152" t="s">
        <v>1548</v>
      </c>
      <c r="O382" s="152" t="s">
        <v>1549</v>
      </c>
      <c r="P382" s="152" t="s">
        <v>1550</v>
      </c>
      <c r="Q382" s="152" t="s">
        <v>1551</v>
      </c>
      <c r="R382" s="154" t="s">
        <v>2967</v>
      </c>
      <c r="S382" s="154" t="s">
        <v>1553</v>
      </c>
      <c r="T382" s="155" t="s">
        <v>1554</v>
      </c>
      <c r="U382" s="152" t="str">
        <f aca="false">RIGHT(T382,7)</f>
        <v>002/037</v>
      </c>
      <c r="V382" s="152" t="s">
        <v>1555</v>
      </c>
      <c r="W382" s="156" t="n">
        <v>45882</v>
      </c>
      <c r="X382" s="152" t="s">
        <v>1594</v>
      </c>
      <c r="Y382" s="152"/>
      <c r="Z382" s="152" t="s">
        <v>1557</v>
      </c>
      <c r="AA382" s="153" t="n">
        <v>5.1</v>
      </c>
      <c r="AB382" s="151" t="s">
        <v>2968</v>
      </c>
      <c r="AC382" s="151" t="s">
        <v>186</v>
      </c>
      <c r="AD382" s="151" t="str">
        <f aca="false">CONCATENATE($C382,$I382,$H382,$N382,$J382,$K382)</f>
        <v>TUBO PEADPEAD63VCAREDESZona04</v>
      </c>
      <c r="AE382" s="153" t="n">
        <f aca="false">IFERROR(INDEX(APOIO_REDES!$A:$W,MATCH($C382&amp;$I382&amp;$H382&amp;$N382&amp;$O382,APOIO_REDES!$W:$W,0),MATCH(AE$5,APOIO_REDES!$5:$5,0)),0)</f>
        <v>1.2</v>
      </c>
      <c r="AF382" s="153" t="n">
        <f aca="false">IFERROR(INDEX(APOIO_REDES!$A:$W,MATCH($C382&amp;$I382&amp;$H382&amp;$N382&amp;$O382,APOIO_REDES!$W:$W,0),MATCH(AF$5,APOIO_REDES!$5:$5,0)),0)</f>
        <v>1.363</v>
      </c>
      <c r="AG382" s="153" t="n">
        <f aca="false">IFERROR(INDEX(APOIO_REDES!$A:$W,MATCH($C382&amp;$I382&amp;$H382&amp;$N382&amp;$O382,APOIO_REDES!$W:$W,0),MATCH(AG$5,APOIO_REDES!$5:$5,0)),0)</f>
        <v>0.65</v>
      </c>
      <c r="AH382" s="153" t="n">
        <f aca="false">IFERROR(INDEX(APOIO_REDES!$A:$W,MATCH($C382&amp;$I382&amp;$H382&amp;$N382&amp;$O382,APOIO_REDES!$W:$W,0),MATCH(AH$5,APOIO_REDES!$5:$5,0)),0)</f>
        <v>0.1</v>
      </c>
      <c r="AI382" s="153" t="n">
        <f aca="false">IFERROR(IF($H382&lt;&gt;"",(((($H382/1000)/2)^2)*PI()*$M382),0),0)</f>
        <v>0.542899443280942</v>
      </c>
      <c r="AJ382" s="153" t="n">
        <f aca="false">IFERROR(IF(AND($H382&lt;&gt;"",$I382="FoFo",OR($N382="MND",$N382="VCA"),$Q382="LINEAR"),0,IF(AND($H382&lt;&gt;"",$I382="PEAD",$N382="VCA",$Q382="LINEAR"),($H382/1000)+0.3,IF(AND($H382&lt;&gt;"",$I382="PEAD",$N382="MND",$Q382="EMBOQUE"),0,IF(AND($H382&lt;&gt;"",$I382="PVC",$N382="VCA",$Q382="LINEAR"),($H382/1000)+0.2,IF(AND($H382&lt;&gt;"",$I382="PVC",$N382="MND",$Q382="EMBOQUE"),0,IF(AND($H382&lt;&gt;"",$I382="PEAD",$N382="VCA",$Q382="PREDIAL"),0,0)))))),0)</f>
        <v>0.363</v>
      </c>
      <c r="AK382" s="153" t="n">
        <f aca="false">IF(AA382&lt;&gt;"",AA382,0)</f>
        <v>5.1</v>
      </c>
      <c r="AL382" s="153" t="n">
        <f aca="false">IF(AND($N382="MND",$Q382="EMBOQUE"),$M382,IF(AND($N382="VCA",$Q382="LINEAR"),$M382,IF(AND($N382="VCA",$Q382="PREDIAL"),0,0)))</f>
        <v>174.16</v>
      </c>
      <c r="AM382" s="153" t="n">
        <f aca="false">IF(AND($N382="MND",$Q382="EMBOQUE"),$M382,IF(AND($N382="VCA",$Q382="LINEAR"),$M382,IF(AND($N382="VCA",$Q382="PREDIAL"),0,0)))</f>
        <v>174.16</v>
      </c>
      <c r="AN382" s="153" t="n">
        <f aca="false">ROUND(IF(AND($N382="VCA",$M382&lt;&gt;"",$Q382="LINEAR"),$M382/100,IF(AND($N382="MND",$M382&gt;100,$Q382="EMBOQUE"),$M382/100,0)),0)</f>
        <v>2</v>
      </c>
      <c r="AO382" s="153" t="n">
        <f aca="false">IF(AND($N382="MND",$Q382="EMBOQUE"),$AN382*2*2,IF(AND($N382="VCA",$Q382="LINEAR"),$M382*2,IF(AND($N382="VCA",$Q382="PREDIAL"),0,0)))</f>
        <v>348.32</v>
      </c>
      <c r="AP382" s="153" t="n">
        <f aca="false">IFERROR($M382*$AF382*$AG382,0)</f>
        <v>154.297052</v>
      </c>
      <c r="AQ382" s="153" t="n">
        <f aca="false">IFERROR(IF(AND($N382="VCA",$AH382&gt;0),$M382*$AG382*$AH382,0),0)</f>
        <v>11.3204</v>
      </c>
      <c r="AR382" s="153" t="n">
        <f aca="false">IFERROR(IF(AND($N382="VCA",$AJ382&gt;0),($M382*$AG382*$AJ382)-$AI382,0),0)</f>
        <v>40.5501525567191</v>
      </c>
      <c r="AS382" s="153" t="n">
        <f aca="false">IFERROR(IF(AND($N382="VCA",$AP382&gt;0),$AP382-$AI382-$AQ382-$AR382,0),0)</f>
        <v>101.8836</v>
      </c>
      <c r="AT382" s="153" t="n">
        <f aca="false">IFERROR(IF($N382="VCA",INDEX(APOIO_REDES!$A:$W,MATCH($C382&amp;$I382&amp;$H382&amp;$N382&amp;$O382,APOIO_REDES!$W:$W,0),MATCH(AT$5,APOIO_REDES!$5:$5,0)),0)*$AP382,0)</f>
        <v>1.67879759535619</v>
      </c>
      <c r="AU382" s="153" t="n">
        <f aca="false">IFERROR(IF($N382="VCA",INDEX(APOIO_REDES!$A:$W,MATCH($C382&amp;$I382&amp;$H382&amp;$N382&amp;$O382,APOIO_REDES!$W:$W,0),MATCH(AU$5,APOIO_REDES!$5:$5,0)),0)*$AP382,0)</f>
        <v>1.34064229204635</v>
      </c>
      <c r="AV382" s="153" t="n">
        <f aca="false">IFERROR(IF($N382="VCA",INDEX(APOIO_REDES!$A:$W,MATCH($C382&amp;$I382&amp;$H382&amp;$N382&amp;$O382,APOIO_REDES!$W:$W,0),MATCH(AV$5,APOIO_REDES!$5:$5,0)),0)*$AP382,0)</f>
        <v>0.185534368764579</v>
      </c>
      <c r="AW382" s="153" t="n">
        <f aca="false">IFERROR(IF($N382="VCA",INDEX(APOIO_REDES!$A:$W,MATCH($C382&amp;$I382&amp;$H382&amp;$N382&amp;$O382,APOIO_REDES!$W:$W,0),MATCH(AW$5,APOIO_REDES!$5:$5,0)),0)*$AP382,0)</f>
        <v>105.910692044699</v>
      </c>
      <c r="AX382" s="153" t="n">
        <f aca="false">IFERROR(IF($N382="VCA",INDEX(APOIO_REDES!$A:$W,MATCH($C382&amp;$I382&amp;$H382&amp;$N382&amp;$O382,APOIO_REDES!$W:$W,0),MATCH(AX$5,APOIO_REDES!$5:$5,0)),0)*$AP382,0)</f>
        <v>14.6577380866693</v>
      </c>
      <c r="AY382" s="153" t="n">
        <f aca="false">IFERROR(IF($N382="VCA",INDEX(APOIO_REDES!$A:$W,MATCH($C382&amp;$I382&amp;$H382&amp;$N382&amp;$O382,APOIO_REDES!$W:$W,0),MATCH(AY$5,APOIO_REDES!$5:$5,0)),0)*$AP382,0)</f>
        <v>26.8128294986061</v>
      </c>
      <c r="AZ382" s="153" t="n">
        <f aca="false">IFERROR(IF($N382="VCA",INDEX(APOIO_REDES!$A:$W,MATCH($C382&amp;$I382&amp;$H382&amp;$N382&amp;$O382,APOIO_REDES!$W:$W,0),MATCH(AZ$5,APOIO_REDES!$5:$5,0)),0)*$AP382,0)</f>
        <v>3.71081811385848</v>
      </c>
      <c r="BA382" s="153" t="n">
        <f aca="false">IFERROR(IF(AND($N382="VCA",$Q382="LINEAR"),INDEX(APOIO_REDES!$A:$W,MATCH($C382&amp;$I382&amp;$H382&amp;$N382&amp;$O382,APOIO_REDES!$W:$W,0),MATCH(BA$5,APOIO_REDES!$5:$5,0)),IF(AND($N382="MND",$Q382="EMBOQUE"),INDEX(APOIO_REDES!$A:$W,MATCH($C382&amp;$I382&amp;$H382&amp;$N382&amp;$O382,APOIO_REDES!$W:$W,0),MATCH(BA$5,APOIO_REDES!$5:$5,0)),0))*$M382/10,0)</f>
        <v>14.0368566952945</v>
      </c>
      <c r="BB382" s="153" t="n">
        <f aca="false">IFERROR(IF($N382="VCA",INDEX(APOIO_REDES!$A:$W,MATCH($C382&amp;$I382&amp;$H382&amp;$N382&amp;$O382,APOIO_REDES!$W:$W,0),MATCH(BB$5,APOIO_REDES!$5:$5,0)),0)*($AI382+$AQ382+$AR382),0)</f>
        <v>51.8431781286501</v>
      </c>
      <c r="BC382" s="153" t="n">
        <f aca="false">IFERROR(IF($N382="VCA",INDEX(APOIO_REDES!$A:$W,MATCH($C382&amp;$I382&amp;$H382&amp;$N382&amp;$O382,APOIO_REDES!$W:$W,0),MATCH(BC$5,APOIO_REDES!$5:$5,0)),0)*($AI382+$AQ382+$AR382),0)</f>
        <v>0.570273871349903</v>
      </c>
      <c r="BD382" s="153" t="n">
        <f aca="false">IF(AND($N382="VCA",$AF382&gt;=1.25,$AF382&lt;1.5),$M382*$AF382*2,0)</f>
        <v>474.76016</v>
      </c>
      <c r="BE382" s="153" t="n">
        <f aca="false">IF(AND($N382="VCA",$AF382&gt;=1.5,$AF382&lt;3),$M382*$AF382*2,0)</f>
        <v>0</v>
      </c>
      <c r="BF382" s="153" t="n">
        <f aca="false">IF(AND($N382="VCA",$AF382&gt;=3),$M382*$AF382*2,0)</f>
        <v>0</v>
      </c>
      <c r="BG382" s="153" t="n">
        <f aca="false">($BB382+$BC382)*$AK382</f>
        <v>267.3086052</v>
      </c>
      <c r="BH382" s="153" t="n">
        <f aca="false">IF(AND($M382&lt;&gt;"",$N382="VCA",$Q382="LINEAR"),($M382*2)/100,IF(AND($M382&lt;&gt;"",$N382="MND",$Q382="EMBOQUE"),($AN382*2)/100,0))</f>
        <v>3.4832</v>
      </c>
      <c r="BI382" s="153" t="n">
        <f aca="false">IF(AND($M382&lt;&gt;"",$N382="VCA",$Q382="LINEAR"),$M382,IF(AND($M382&lt;&gt;"",$N382="MND",$Q382="EMBOQUE"),$AN382*2,0))</f>
        <v>174.16</v>
      </c>
      <c r="BJ382" s="153" t="n">
        <f aca="false">IF(AND($M382&lt;&gt;"",$N382="VCA",$Q382="LINEAR"),($M382*6.8)/100,IF(AND($M382&lt;&gt;"",$N382="MND",$Q382="EMBOQUE"),($AN382*2*6.8)/100,0))</f>
        <v>11.84288</v>
      </c>
      <c r="BK382" s="153" t="n">
        <f aca="false">IF(AND($M382&lt;&gt;"",$N382="VCA",$Q382="LINEAR"),($M382*2.5)/50,IF(AND($M382&lt;&gt;"",$N382="MND",$Q382="EMBOQUE"),($AN382*2*2.5)/50,0))</f>
        <v>8.708</v>
      </c>
      <c r="BL382" s="157" t="str">
        <f aca="false">K382&amp;J382</f>
        <v>Zona04REDES</v>
      </c>
      <c r="BM382" s="152" t="s">
        <v>2969</v>
      </c>
      <c r="BN382" s="152" t="s">
        <v>1560</v>
      </c>
      <c r="BO382" s="152" t="s">
        <v>1561</v>
      </c>
      <c r="BP382" s="152" t="s">
        <v>1644</v>
      </c>
      <c r="BQ382" s="152" t="s">
        <v>2970</v>
      </c>
      <c r="BR382" s="152" t="s">
        <v>2971</v>
      </c>
      <c r="BS382" s="152" t="n">
        <v>203700.012</v>
      </c>
      <c r="BT382" s="152" t="n">
        <v>8239073.546</v>
      </c>
      <c r="BU382" s="152" t="n">
        <v>203635.578</v>
      </c>
      <c r="BV382" s="152" t="n">
        <v>8238911.744</v>
      </c>
      <c r="BW382" s="152" t="n">
        <v>-15.9105802</v>
      </c>
      <c r="BX382" s="152" t="n">
        <v>-47.7675294</v>
      </c>
      <c r="BY382" s="152" t="s">
        <v>1644</v>
      </c>
    </row>
    <row r="383" customFormat="false" ht="13.8" hidden="false" customHeight="false" outlineLevel="0" collapsed="false">
      <c r="A383" s="149" t="n">
        <f aca="false">IF(C383&lt;&gt;"",ROW(A378),"")</f>
        <v>378</v>
      </c>
      <c r="B383" s="150" t="str">
        <f aca="false">HYPERLINK("https://www.google.com/maps/dir/-15.917302,-47.760003/-15.9113070,-47.7678398/data=!4m3!4m2!3e0!5i0")</f>
        <v>https://www.google.com/maps/dir/-15.917302,-47.760003/-15.9113070,-47.7678398/data=!4m3!4m2!3e0!5i0</v>
      </c>
      <c r="C383" s="151" t="s">
        <v>117</v>
      </c>
      <c r="D383" s="152" t="s">
        <v>112</v>
      </c>
      <c r="E383" s="152" t="s">
        <v>113</v>
      </c>
      <c r="F383" s="152" t="s">
        <v>117</v>
      </c>
      <c r="G383" s="152" t="s">
        <v>114</v>
      </c>
      <c r="H383" s="152" t="n">
        <v>160</v>
      </c>
      <c r="I383" s="152" t="s">
        <v>115</v>
      </c>
      <c r="J383" s="152" t="s">
        <v>6</v>
      </c>
      <c r="K383" s="152" t="s">
        <v>2966</v>
      </c>
      <c r="L383" s="152" t="s">
        <v>120</v>
      </c>
      <c r="M383" s="153" t="n">
        <f aca="false">53.76</f>
        <v>53.76</v>
      </c>
      <c r="N383" s="152" t="s">
        <v>1548</v>
      </c>
      <c r="O383" s="152" t="s">
        <v>1549</v>
      </c>
      <c r="P383" s="152" t="s">
        <v>1550</v>
      </c>
      <c r="Q383" s="152" t="s">
        <v>1551</v>
      </c>
      <c r="R383" s="154" t="s">
        <v>2972</v>
      </c>
      <c r="S383" s="154" t="s">
        <v>1593</v>
      </c>
      <c r="T383" s="155" t="s">
        <v>1554</v>
      </c>
      <c r="U383" s="152" t="str">
        <f aca="false">RIGHT(T383,7)</f>
        <v>002/037</v>
      </c>
      <c r="V383" s="152" t="s">
        <v>1555</v>
      </c>
      <c r="W383" s="156" t="n">
        <v>45882</v>
      </c>
      <c r="X383" s="152" t="s">
        <v>1594</v>
      </c>
      <c r="Y383" s="152" t="s">
        <v>2973</v>
      </c>
      <c r="Z383" s="152" t="s">
        <v>1557</v>
      </c>
      <c r="AA383" s="153" t="n">
        <v>1.6</v>
      </c>
      <c r="AB383" s="151" t="s">
        <v>2974</v>
      </c>
      <c r="AC383" s="151" t="s">
        <v>505</v>
      </c>
      <c r="AD383" s="151" t="str">
        <f aca="false">CONCATENATE($C383,$I383,$H383,$N383,$J383,$K383)</f>
        <v>TUBO PEADPEAD160VCAREDESZona04</v>
      </c>
      <c r="AE383" s="153" t="n">
        <f aca="false">IFERROR(INDEX(APOIO_REDES!$A:$W,MATCH($C383&amp;$I383&amp;$H383&amp;$N383&amp;$O383,APOIO_REDES!$W:$W,0),MATCH(AE$5,APOIO_REDES!$5:$5,0)),0)</f>
        <v>1.2</v>
      </c>
      <c r="AF383" s="153" t="n">
        <f aca="false">IFERROR(INDEX(APOIO_REDES!$A:$W,MATCH($C383&amp;$I383&amp;$H383&amp;$N383&amp;$O383,APOIO_REDES!$W:$W,0),MATCH(AF$5,APOIO_REDES!$5:$5,0)),0)</f>
        <v>1.46</v>
      </c>
      <c r="AG383" s="153" t="n">
        <f aca="false">IFERROR(INDEX(APOIO_REDES!$A:$W,MATCH($C383&amp;$I383&amp;$H383&amp;$N383&amp;$O383,APOIO_REDES!$W:$W,0),MATCH(AG$5,APOIO_REDES!$5:$5,0)),0)</f>
        <v>0.75</v>
      </c>
      <c r="AH383" s="153" t="n">
        <f aca="false">IFERROR(INDEX(APOIO_REDES!$A:$W,MATCH($C383&amp;$I383&amp;$H383&amp;$N383&amp;$O383,APOIO_REDES!$W:$W,0),MATCH(AH$5,APOIO_REDES!$5:$5,0)),0)</f>
        <v>0.1</v>
      </c>
      <c r="AI383" s="153" t="n">
        <f aca="false">IFERROR(IF($H383&lt;&gt;"",(((($H383/1000)/2)^2)*PI()*$M383),0),0)</f>
        <v>1.08090893476472</v>
      </c>
      <c r="AJ383" s="153" t="n">
        <f aca="false">IFERROR(IF(AND($H383&lt;&gt;"",$I383="FoFo",OR($N383="MND",$N383="VCA"),$Q383="LINEAR"),0,IF(AND($H383&lt;&gt;"",$I383="PEAD",$N383="VCA",$Q383="LINEAR"),($H383/1000)+0.3,IF(AND($H383&lt;&gt;"",$I383="PEAD",$N383="MND",$Q383="EMBOQUE"),0,IF(AND($H383&lt;&gt;"",$I383="PVC",$N383="VCA",$Q383="LINEAR"),($H383/1000)+0.2,IF(AND($H383&lt;&gt;"",$I383="PVC",$N383="MND",$Q383="EMBOQUE"),0,IF(AND($H383&lt;&gt;"",$I383="PEAD",$N383="VCA",$Q383="PREDIAL"),0,0)))))),0)</f>
        <v>0.46</v>
      </c>
      <c r="AK383" s="153" t="n">
        <f aca="false">IF(AA383&lt;&gt;"",AA383,0)</f>
        <v>1.6</v>
      </c>
      <c r="AL383" s="153" t="n">
        <f aca="false">IF(AND($N383="MND",$Q383="EMBOQUE"),$M383,IF(AND($N383="VCA",$Q383="LINEAR"),$M383,IF(AND($N383="VCA",$Q383="PREDIAL"),0,0)))</f>
        <v>53.76</v>
      </c>
      <c r="AM383" s="153" t="n">
        <f aca="false">IF(AND($N383="MND",$Q383="EMBOQUE"),$M383,IF(AND($N383="VCA",$Q383="LINEAR"),$M383,IF(AND($N383="VCA",$Q383="PREDIAL"),0,0)))</f>
        <v>53.76</v>
      </c>
      <c r="AN383" s="153" t="n">
        <f aca="false">ROUND(IF(AND($N383="VCA",$M383&lt;&gt;"",$Q383="LINEAR"),$M383/100,IF(AND($N383="MND",$M383&gt;100,$Q383="EMBOQUE"),$M383/100,0)),0)</f>
        <v>1</v>
      </c>
      <c r="AO383" s="153" t="n">
        <f aca="false">IF(AND($N383="MND",$Q383="EMBOQUE"),$AN383*2*2,IF(AND($N383="VCA",$Q383="LINEAR"),$M383*2,IF(AND($N383="VCA",$Q383="PREDIAL"),0,0)))</f>
        <v>107.52</v>
      </c>
      <c r="AP383" s="153" t="n">
        <f aca="false">IFERROR($M383*$AF383*$AG383,0)</f>
        <v>58.8672</v>
      </c>
      <c r="AQ383" s="153" t="n">
        <f aca="false">IFERROR(IF(AND($N383="VCA",$AH383&gt;0),$M383*$AG383*$AH383,0),0)</f>
        <v>4.032</v>
      </c>
      <c r="AR383" s="153" t="n">
        <f aca="false">IFERROR(IF(AND($N383="VCA",$AJ383&gt;0),($M383*$AG383*$AJ383)-$AI383,0),0)</f>
        <v>17.4662910652353</v>
      </c>
      <c r="AS383" s="153" t="n">
        <f aca="false">IFERROR(IF(AND($N383="VCA",$AP383&gt;0),$AP383-$AI383-$AQ383-$AR383,0),0)</f>
        <v>36.288</v>
      </c>
      <c r="AT383" s="153" t="n">
        <f aca="false">IFERROR(IF($N383="VCA",INDEX(APOIO_REDES!$A:$W,MATCH($C383&amp;$I383&amp;$H383&amp;$N383&amp;$O383,APOIO_REDES!$W:$W,0),MATCH(AT$5,APOIO_REDES!$5:$5,0)),0)*$AP383,0)</f>
        <v>0.640492559801804</v>
      </c>
      <c r="AU383" s="153" t="n">
        <f aca="false">IFERROR(IF($N383="VCA",INDEX(APOIO_REDES!$A:$W,MATCH($C383&amp;$I383&amp;$H383&amp;$N383&amp;$O383,APOIO_REDES!$W:$W,0),MATCH(AU$5,APOIO_REDES!$5:$5,0)),0)*$AP383,0)</f>
        <v>0.511480011519279</v>
      </c>
      <c r="AV383" s="153" t="n">
        <f aca="false">IFERROR(IF($N383="VCA",INDEX(APOIO_REDES!$A:$W,MATCH($C383&amp;$I383&amp;$H383&amp;$N383&amp;$O383,APOIO_REDES!$W:$W,0),MATCH(AV$5,APOIO_REDES!$5:$5,0)),0)*$AP383,0)</f>
        <v>0.0707848183187466</v>
      </c>
      <c r="AW383" s="153" t="n">
        <f aca="false">IFERROR(IF($N383="VCA",INDEX(APOIO_REDES!$A:$W,MATCH($C383&amp;$I383&amp;$H383&amp;$N383&amp;$O383,APOIO_REDES!$W:$W,0),MATCH(AW$5,APOIO_REDES!$5:$5,0)),0)*$AP383,0)</f>
        <v>40.4069022053234</v>
      </c>
      <c r="AX383" s="153" t="n">
        <f aca="false">IFERROR(IF($N383="VCA",INDEX(APOIO_REDES!$A:$W,MATCH($C383&amp;$I383&amp;$H383&amp;$N383&amp;$O383,APOIO_REDES!$W:$W,0),MATCH(AX$5,APOIO_REDES!$5:$5,0)),0)*$AP383,0)</f>
        <v>5.59220016397709</v>
      </c>
      <c r="AY383" s="153" t="n">
        <f aca="false">IFERROR(IF($N383="VCA",INDEX(APOIO_REDES!$A:$W,MATCH($C383&amp;$I383&amp;$H383&amp;$N383&amp;$O383,APOIO_REDES!$W:$W,0),MATCH(AY$5,APOIO_REDES!$5:$5,0)),0)*$AP383,0)</f>
        <v>10.2295939954857</v>
      </c>
      <c r="AZ383" s="153" t="n">
        <f aca="false">IFERROR(IF($N383="VCA",INDEX(APOIO_REDES!$A:$W,MATCH($C383&amp;$I383&amp;$H383&amp;$N383&amp;$O383,APOIO_REDES!$W:$W,0),MATCH(AZ$5,APOIO_REDES!$5:$5,0)),0)*$AP383,0)</f>
        <v>1.41574624557396</v>
      </c>
      <c r="BA383" s="153" t="n">
        <f aca="false">IFERROR(IF(AND($N383="VCA",$Q383="LINEAR"),INDEX(APOIO_REDES!$A:$W,MATCH($C383&amp;$I383&amp;$H383&amp;$N383&amp;$O383,APOIO_REDES!$W:$W,0),MATCH(BA$5,APOIO_REDES!$5:$5,0)),IF(AND($N383="MND",$Q383="EMBOQUE"),INDEX(APOIO_REDES!$A:$W,MATCH($C383&amp;$I383&amp;$H383&amp;$N383&amp;$O383,APOIO_REDES!$W:$W,0),MATCH(BA$5,APOIO_REDES!$5:$5,0)),0))*$M383/10,0)</f>
        <v>4.33292039468899</v>
      </c>
      <c r="BB383" s="153" t="n">
        <f aca="false">IFERROR(IF($N383="VCA",INDEX(APOIO_REDES!$A:$W,MATCH($C383&amp;$I383&amp;$H383&amp;$N383&amp;$O383,APOIO_REDES!$W:$W,0),MATCH(BB$5,APOIO_REDES!$5:$5,0)),0)*($AI383+$AQ383+$AR383),0)</f>
        <v>22.3335316208979</v>
      </c>
      <c r="BC383" s="153" t="n">
        <f aca="false">IFERROR(IF($N383="VCA",INDEX(APOIO_REDES!$A:$W,MATCH($C383&amp;$I383&amp;$H383&amp;$N383&amp;$O383,APOIO_REDES!$W:$W,0),MATCH(BC$5,APOIO_REDES!$5:$5,0)),0)*($AI383+$AQ383+$AR383),0)</f>
        <v>0.245668379102062</v>
      </c>
      <c r="BD383" s="153" t="n">
        <f aca="false">IF(AND($N383="VCA",$AF383&gt;=1.25,$AF383&lt;1.5),$M383*$AF383*2,0)</f>
        <v>156.9792</v>
      </c>
      <c r="BE383" s="153" t="n">
        <f aca="false">IF(AND($N383="VCA",$AF383&gt;=1.5,$AF383&lt;3),$M383*$AF383*2,0)</f>
        <v>0</v>
      </c>
      <c r="BF383" s="153" t="n">
        <f aca="false">IF(AND($N383="VCA",$AF383&gt;=3),$M383*$AF383*2,0)</f>
        <v>0</v>
      </c>
      <c r="BG383" s="153" t="n">
        <f aca="false">($BB383+$BC383)*$AK383</f>
        <v>36.12672</v>
      </c>
      <c r="BH383" s="153" t="n">
        <f aca="false">IF(AND($M383&lt;&gt;"",$N383="VCA",$Q383="LINEAR"),($M383*2)/100,IF(AND($M383&lt;&gt;"",$N383="MND",$Q383="EMBOQUE"),($AN383*2)/100,0))</f>
        <v>1.0752</v>
      </c>
      <c r="BI383" s="153" t="n">
        <f aca="false">IF(AND($M383&lt;&gt;"",$N383="VCA",$Q383="LINEAR"),$M383,IF(AND($M383&lt;&gt;"",$N383="MND",$Q383="EMBOQUE"),$AN383*2,0))</f>
        <v>53.76</v>
      </c>
      <c r="BJ383" s="153" t="n">
        <f aca="false">IF(AND($M383&lt;&gt;"",$N383="VCA",$Q383="LINEAR"),($M383*6.8)/100,IF(AND($M383&lt;&gt;"",$N383="MND",$Q383="EMBOQUE"),($AN383*2*6.8)/100,0))</f>
        <v>3.65568</v>
      </c>
      <c r="BK383" s="153" t="n">
        <f aca="false">IF(AND($M383&lt;&gt;"",$N383="VCA",$Q383="LINEAR"),($M383*2.5)/50,IF(AND($M383&lt;&gt;"",$N383="MND",$Q383="EMBOQUE"),($AN383*2*2.5)/50,0))</f>
        <v>2.688</v>
      </c>
      <c r="BL383" s="157" t="str">
        <f aca="false">K383&amp;J383</f>
        <v>Zona04REDES</v>
      </c>
      <c r="BM383" s="152" t="s">
        <v>2969</v>
      </c>
      <c r="BN383" s="152" t="s">
        <v>1560</v>
      </c>
      <c r="BO383" s="152" t="s">
        <v>1561</v>
      </c>
      <c r="BP383" s="152" t="s">
        <v>2970</v>
      </c>
      <c r="BQ383" s="152" t="s">
        <v>2975</v>
      </c>
      <c r="BR383" s="152" t="s">
        <v>2976</v>
      </c>
      <c r="BS383" s="152" t="n">
        <v>203635.578</v>
      </c>
      <c r="BT383" s="152" t="n">
        <v>8238911.744</v>
      </c>
      <c r="BU383" s="152" t="n">
        <v>203614.87</v>
      </c>
      <c r="BV383" s="152" t="n">
        <v>8238862.304</v>
      </c>
      <c r="BW383" s="152" t="n">
        <v>-15.9115315</v>
      </c>
      <c r="BX383" s="152" t="n">
        <v>-47.7679351</v>
      </c>
      <c r="BY383" s="152" t="s">
        <v>2970</v>
      </c>
    </row>
    <row r="384" customFormat="false" ht="13.8" hidden="false" customHeight="false" outlineLevel="0" collapsed="false">
      <c r="A384" s="149" t="n">
        <f aca="false">IF(C384&lt;&gt;"",ROW(A379),"")</f>
        <v>379</v>
      </c>
      <c r="B384" s="150" t="str">
        <f aca="false">HYPERLINK("https://www.google.com/maps/dir/-15.917302,-47.760003/-15.9113070,-47.7678398/data=!4m3!4m2!3e0!5i0")</f>
        <v>https://www.google.com/maps/dir/-15.917302,-47.760003/-15.9113070,-47.7678398/data=!4m3!4m2!3e0!5i0</v>
      </c>
      <c r="C384" s="151" t="s">
        <v>117</v>
      </c>
      <c r="D384" s="152" t="s">
        <v>112</v>
      </c>
      <c r="E384" s="152" t="s">
        <v>113</v>
      </c>
      <c r="F384" s="152" t="s">
        <v>117</v>
      </c>
      <c r="G384" s="152" t="s">
        <v>782</v>
      </c>
      <c r="H384" s="152" t="n">
        <v>63</v>
      </c>
      <c r="I384" s="152" t="s">
        <v>115</v>
      </c>
      <c r="J384" s="152" t="s">
        <v>6</v>
      </c>
      <c r="K384" s="152" t="s">
        <v>2966</v>
      </c>
      <c r="L384" s="152" t="s">
        <v>120</v>
      </c>
      <c r="M384" s="153" t="n">
        <f aca="false">173.61+0.28</f>
        <v>173.89</v>
      </c>
      <c r="N384" s="152" t="s">
        <v>1548</v>
      </c>
      <c r="O384" s="152" t="s">
        <v>1549</v>
      </c>
      <c r="P384" s="152" t="s">
        <v>1550</v>
      </c>
      <c r="Q384" s="152" t="s">
        <v>1551</v>
      </c>
      <c r="R384" s="154" t="s">
        <v>2977</v>
      </c>
      <c r="S384" s="154" t="s">
        <v>1553</v>
      </c>
      <c r="T384" s="155" t="s">
        <v>1554</v>
      </c>
      <c r="U384" s="152" t="str">
        <f aca="false">RIGHT(T384,7)</f>
        <v>002/037</v>
      </c>
      <c r="V384" s="152" t="s">
        <v>1555</v>
      </c>
      <c r="W384" s="156" t="n">
        <v>45882</v>
      </c>
      <c r="X384" s="152" t="s">
        <v>1594</v>
      </c>
      <c r="Y384" s="152" t="s">
        <v>2973</v>
      </c>
      <c r="Z384" s="152" t="s">
        <v>1557</v>
      </c>
      <c r="AA384" s="153" t="n">
        <v>1.6</v>
      </c>
      <c r="AB384" s="151" t="s">
        <v>2978</v>
      </c>
      <c r="AC384" s="151" t="s">
        <v>186</v>
      </c>
      <c r="AD384" s="151" t="str">
        <f aca="false">CONCATENATE($C384,$I384,$H384,$N384,$J384,$K384)</f>
        <v>TUBO PEADPEAD63VCAREDESZona04</v>
      </c>
      <c r="AE384" s="153" t="n">
        <f aca="false">IFERROR(INDEX(APOIO_REDES!$A:$W,MATCH($C384&amp;$I384&amp;$H384&amp;$N384&amp;$O384,APOIO_REDES!$W:$W,0),MATCH(AE$5,APOIO_REDES!$5:$5,0)),0)</f>
        <v>1.2</v>
      </c>
      <c r="AF384" s="153" t="n">
        <f aca="false">IFERROR(INDEX(APOIO_REDES!$A:$W,MATCH($C384&amp;$I384&amp;$H384&amp;$N384&amp;$O384,APOIO_REDES!$W:$W,0),MATCH(AF$5,APOIO_REDES!$5:$5,0)),0)</f>
        <v>1.363</v>
      </c>
      <c r="AG384" s="153" t="n">
        <f aca="false">IFERROR(INDEX(APOIO_REDES!$A:$W,MATCH($C384&amp;$I384&amp;$H384&amp;$N384&amp;$O384,APOIO_REDES!$W:$W,0),MATCH(AG$5,APOIO_REDES!$5:$5,0)),0)</f>
        <v>0.65</v>
      </c>
      <c r="AH384" s="153" t="n">
        <f aca="false">IFERROR(INDEX(APOIO_REDES!$A:$W,MATCH($C384&amp;$I384&amp;$H384&amp;$N384&amp;$O384,APOIO_REDES!$W:$W,0),MATCH(AH$5,APOIO_REDES!$5:$5,0)),0)</f>
        <v>0.1</v>
      </c>
      <c r="AI384" s="153" t="n">
        <f aca="false">IFERROR(IF($H384&lt;&gt;"",(((($H384/1000)/2)^2)*PI()*$M384),0),0)</f>
        <v>0.542057787047101</v>
      </c>
      <c r="AJ384" s="153" t="n">
        <f aca="false">IFERROR(IF(AND($H384&lt;&gt;"",$I384="FoFo",OR($N384="MND",$N384="VCA"),$Q384="LINEAR"),0,IF(AND($H384&lt;&gt;"",$I384="PEAD",$N384="VCA",$Q384="LINEAR"),($H384/1000)+0.3,IF(AND($H384&lt;&gt;"",$I384="PEAD",$N384="MND",$Q384="EMBOQUE"),0,IF(AND($H384&lt;&gt;"",$I384="PVC",$N384="VCA",$Q384="LINEAR"),($H384/1000)+0.2,IF(AND($H384&lt;&gt;"",$I384="PVC",$N384="MND",$Q384="EMBOQUE"),0,IF(AND($H384&lt;&gt;"",$I384="PEAD",$N384="VCA",$Q384="PREDIAL"),0,0)))))),0)</f>
        <v>0.363</v>
      </c>
      <c r="AK384" s="153" t="n">
        <f aca="false">IF(AA384&lt;&gt;"",AA384,0)</f>
        <v>1.6</v>
      </c>
      <c r="AL384" s="153" t="n">
        <f aca="false">IF(AND($N384="MND",$Q384="EMBOQUE"),$M384,IF(AND($N384="VCA",$Q384="LINEAR"),$M384,IF(AND($N384="VCA",$Q384="PREDIAL"),0,0)))</f>
        <v>173.89</v>
      </c>
      <c r="AM384" s="153" t="n">
        <f aca="false">IF(AND($N384="MND",$Q384="EMBOQUE"),$M384,IF(AND($N384="VCA",$Q384="LINEAR"),$M384,IF(AND($N384="VCA",$Q384="PREDIAL"),0,0)))</f>
        <v>173.89</v>
      </c>
      <c r="AN384" s="153" t="n">
        <f aca="false">ROUND(IF(AND($N384="VCA",$M384&lt;&gt;"",$Q384="LINEAR"),$M384/100,IF(AND($N384="MND",$M384&gt;100,$Q384="EMBOQUE"),$M384/100,0)),0)</f>
        <v>2</v>
      </c>
      <c r="AO384" s="153" t="n">
        <f aca="false">IF(AND($N384="MND",$Q384="EMBOQUE"),$AN384*2*2,IF(AND($N384="VCA",$Q384="LINEAR"),$M384*2,IF(AND($N384="VCA",$Q384="PREDIAL"),0,0)))</f>
        <v>347.78</v>
      </c>
      <c r="AP384" s="153" t="n">
        <f aca="false">IFERROR($M384*$AF384*$AG384,0)</f>
        <v>154.0578455</v>
      </c>
      <c r="AQ384" s="153" t="n">
        <f aca="false">IFERROR(IF(AND($N384="VCA",$AH384&gt;0),$M384*$AG384*$AH384,0),0)</f>
        <v>11.30285</v>
      </c>
      <c r="AR384" s="153" t="n">
        <f aca="false">IFERROR(IF(AND($N384="VCA",$AJ384&gt;0),($M384*$AG384*$AJ384)-$AI384,0),0)</f>
        <v>40.4872877129529</v>
      </c>
      <c r="AS384" s="153" t="n">
        <f aca="false">IFERROR(IF(AND($N384="VCA",$AP384&gt;0),$AP384-$AI384-$AQ384-$AR384,0),0)</f>
        <v>101.72565</v>
      </c>
      <c r="AT384" s="153" t="n">
        <f aca="false">IFERROR(IF($N384="VCA",INDEX(APOIO_REDES!$A:$W,MATCH($C384&amp;$I384&amp;$H384&amp;$N384&amp;$O384,APOIO_REDES!$W:$W,0),MATCH(AT$5,APOIO_REDES!$5:$5,0)),0)*$AP384,0)</f>
        <v>1.67619495783468</v>
      </c>
      <c r="AU384" s="153" t="n">
        <f aca="false">IFERROR(IF($N384="VCA",INDEX(APOIO_REDES!$A:$W,MATCH($C384&amp;$I384&amp;$H384&amp;$N384&amp;$O384,APOIO_REDES!$W:$W,0),MATCH(AU$5,APOIO_REDES!$5:$5,0)),0)*$AP384,0)</f>
        <v>1.33856389621003</v>
      </c>
      <c r="AV384" s="153" t="n">
        <f aca="false">IFERROR(IF($N384="VCA",INDEX(APOIO_REDES!$A:$W,MATCH($C384&amp;$I384&amp;$H384&amp;$N384&amp;$O384,APOIO_REDES!$W:$W,0),MATCH(AV$5,APOIO_REDES!$5:$5,0)),0)*$AP384,0)</f>
        <v>0.18524673509688</v>
      </c>
      <c r="AW384" s="153" t="n">
        <f aca="false">IFERROR(IF($N384="VCA",INDEX(APOIO_REDES!$A:$W,MATCH($C384&amp;$I384&amp;$H384&amp;$N384&amp;$O384,APOIO_REDES!$W:$W,0),MATCH(AW$5,APOIO_REDES!$5:$5,0)),0)*$AP384,0)</f>
        <v>105.746498849637</v>
      </c>
      <c r="AX384" s="153" t="n">
        <f aca="false">IFERROR(IF($N384="VCA",INDEX(APOIO_REDES!$A:$W,MATCH($C384&amp;$I384&amp;$H384&amp;$N384&amp;$O384,APOIO_REDES!$W:$W,0),MATCH(AX$5,APOIO_REDES!$5:$5,0)),0)*$AP384,0)</f>
        <v>14.6350142161859</v>
      </c>
      <c r="AY384" s="153" t="n">
        <f aca="false">IFERROR(IF($N384="VCA",INDEX(APOIO_REDES!$A:$W,MATCH($C384&amp;$I384&amp;$H384&amp;$N384&amp;$O384,APOIO_REDES!$W:$W,0),MATCH(AY$5,APOIO_REDES!$5:$5,0)),0)*$AP384,0)</f>
        <v>26.7712616072153</v>
      </c>
      <c r="AZ384" s="153" t="n">
        <f aca="false">IFERROR(IF($N384="VCA",INDEX(APOIO_REDES!$A:$W,MATCH($C384&amp;$I384&amp;$H384&amp;$N384&amp;$O384,APOIO_REDES!$W:$W,0),MATCH(AZ$5,APOIO_REDES!$5:$5,0)),0)*$AP384,0)</f>
        <v>3.70506523782069</v>
      </c>
      <c r="BA384" s="153" t="n">
        <f aca="false">IFERROR(IF(AND($N384="VCA",$Q384="LINEAR"),INDEX(APOIO_REDES!$A:$W,MATCH($C384&amp;$I384&amp;$H384&amp;$N384&amp;$O384,APOIO_REDES!$W:$W,0),MATCH(BA$5,APOIO_REDES!$5:$5,0)),IF(AND($N384="MND",$Q384="EMBOQUE"),INDEX(APOIO_REDES!$A:$W,MATCH($C384&amp;$I384&amp;$H384&amp;$N384&amp;$O384,APOIO_REDES!$W:$W,0),MATCH(BA$5,APOIO_REDES!$5:$5,0)),0))*$M384/10,0)</f>
        <v>14.015095376348</v>
      </c>
      <c r="BB384" s="153" t="n">
        <f aca="false">IFERROR(IF($N384="VCA",INDEX(APOIO_REDES!$A:$W,MATCH($C384&amp;$I384&amp;$H384&amp;$N384&amp;$O384,APOIO_REDES!$W:$W,0),MATCH(BB$5,APOIO_REDES!$5:$5,0)),0)*($AI384+$AQ384+$AR384),0)</f>
        <v>51.7628057234208</v>
      </c>
      <c r="BC384" s="153" t="n">
        <f aca="false">IFERROR(IF($N384="VCA",INDEX(APOIO_REDES!$A:$W,MATCH($C384&amp;$I384&amp;$H384&amp;$N384&amp;$O384,APOIO_REDES!$W:$W,0),MATCH(BC$5,APOIO_REDES!$5:$5,0)),0)*($AI384+$AQ384+$AR384),0)</f>
        <v>0.569389776579206</v>
      </c>
      <c r="BD384" s="153" t="n">
        <f aca="false">IF(AND($N384="VCA",$AF384&gt;=1.25,$AF384&lt;1.5),$M384*$AF384*2,0)</f>
        <v>474.02414</v>
      </c>
      <c r="BE384" s="153" t="n">
        <f aca="false">IF(AND($N384="VCA",$AF384&gt;=1.5,$AF384&lt;3),$M384*$AF384*2,0)</f>
        <v>0</v>
      </c>
      <c r="BF384" s="153" t="n">
        <f aca="false">IF(AND($N384="VCA",$AF384&gt;=3),$M384*$AF384*2,0)</f>
        <v>0</v>
      </c>
      <c r="BG384" s="153" t="n">
        <f aca="false">($BB384+$BC384)*$AK384</f>
        <v>83.7315128</v>
      </c>
      <c r="BH384" s="153" t="n">
        <f aca="false">IF(AND($M384&lt;&gt;"",$N384="VCA",$Q384="LINEAR"),($M384*2)/100,IF(AND($M384&lt;&gt;"",$N384="MND",$Q384="EMBOQUE"),($AN384*2)/100,0))</f>
        <v>3.4778</v>
      </c>
      <c r="BI384" s="153" t="n">
        <f aca="false">IF(AND($M384&lt;&gt;"",$N384="VCA",$Q384="LINEAR"),$M384,IF(AND($M384&lt;&gt;"",$N384="MND",$Q384="EMBOQUE"),$AN384*2,0))</f>
        <v>173.89</v>
      </c>
      <c r="BJ384" s="153" t="n">
        <f aca="false">IF(AND($M384&lt;&gt;"",$N384="VCA",$Q384="LINEAR"),($M384*6.8)/100,IF(AND($M384&lt;&gt;"",$N384="MND",$Q384="EMBOQUE"),($AN384*2*6.8)/100,0))</f>
        <v>11.82452</v>
      </c>
      <c r="BK384" s="153" t="n">
        <f aca="false">IF(AND($M384&lt;&gt;"",$N384="VCA",$Q384="LINEAR"),($M384*2.5)/50,IF(AND($M384&lt;&gt;"",$N384="MND",$Q384="EMBOQUE"),($AN384*2*2.5)/50,0))</f>
        <v>8.6945</v>
      </c>
      <c r="BL384" s="157" t="str">
        <f aca="false">K384&amp;J384</f>
        <v>Zona04REDES</v>
      </c>
      <c r="BM384" s="152" t="s">
        <v>2969</v>
      </c>
      <c r="BN384" s="152" t="s">
        <v>1560</v>
      </c>
      <c r="BO384" s="152" t="s">
        <v>1561</v>
      </c>
      <c r="BP384" s="152" t="s">
        <v>2970</v>
      </c>
      <c r="BQ384" s="152" t="s">
        <v>2979</v>
      </c>
      <c r="BR384" s="152" t="s">
        <v>2980</v>
      </c>
      <c r="BS384" s="152" t="n">
        <v>203635.578</v>
      </c>
      <c r="BT384" s="152" t="n">
        <v>8238911.744</v>
      </c>
      <c r="BU384" s="152" t="n">
        <v>203796.9</v>
      </c>
      <c r="BV384" s="152" t="n">
        <v>8238847.598</v>
      </c>
      <c r="BW384" s="152" t="n">
        <v>-15.9116053</v>
      </c>
      <c r="BX384" s="152" t="n">
        <v>-47.7670906</v>
      </c>
      <c r="BY384" s="152" t="s">
        <v>2970</v>
      </c>
    </row>
    <row r="385" customFormat="false" ht="13.8" hidden="false" customHeight="false" outlineLevel="0" collapsed="false">
      <c r="A385" s="149" t="n">
        <f aca="false">IF(C385&lt;&gt;"",ROW(A380),"")</f>
        <v>380</v>
      </c>
      <c r="B385" s="150" t="str">
        <f aca="false">HYPERLINK("https://www.google.com/maps/dir/-15.917302,-47.760003/-15.9119343,-47.7675738/data=!4m3!4m2!3e0!5i0")</f>
        <v>https://www.google.com/maps/dir/-15.917302,-47.760003/-15.9119343,-47.7675738/data=!4m3!4m2!3e0!5i0</v>
      </c>
      <c r="C385" s="151" t="s">
        <v>117</v>
      </c>
      <c r="D385" s="152" t="s">
        <v>112</v>
      </c>
      <c r="E385" s="152" t="s">
        <v>113</v>
      </c>
      <c r="F385" s="152" t="s">
        <v>117</v>
      </c>
      <c r="G385" s="152" t="s">
        <v>782</v>
      </c>
      <c r="H385" s="152" t="n">
        <v>63</v>
      </c>
      <c r="I385" s="152" t="s">
        <v>115</v>
      </c>
      <c r="J385" s="152" t="s">
        <v>6</v>
      </c>
      <c r="K385" s="152" t="s">
        <v>2966</v>
      </c>
      <c r="L385" s="152" t="s">
        <v>120</v>
      </c>
      <c r="M385" s="153" t="n">
        <f aca="false">53.32+0.51</f>
        <v>53.83</v>
      </c>
      <c r="N385" s="152" t="s">
        <v>1548</v>
      </c>
      <c r="O385" s="152" t="s">
        <v>1549</v>
      </c>
      <c r="P385" s="152" t="s">
        <v>1550</v>
      </c>
      <c r="Q385" s="152" t="s">
        <v>1551</v>
      </c>
      <c r="R385" s="154" t="s">
        <v>2981</v>
      </c>
      <c r="S385" s="154" t="s">
        <v>1553</v>
      </c>
      <c r="T385" s="155" t="s">
        <v>1554</v>
      </c>
      <c r="U385" s="152" t="str">
        <f aca="false">RIGHT(T385,7)</f>
        <v>002/037</v>
      </c>
      <c r="V385" s="152" t="s">
        <v>1555</v>
      </c>
      <c r="W385" s="156" t="n">
        <v>45882</v>
      </c>
      <c r="X385" s="152" t="s">
        <v>1594</v>
      </c>
      <c r="Y385" s="152"/>
      <c r="Z385" s="152" t="s">
        <v>1557</v>
      </c>
      <c r="AA385" s="153" t="n">
        <v>1.8</v>
      </c>
      <c r="AB385" s="151" t="s">
        <v>2982</v>
      </c>
      <c r="AC385" s="151" t="s">
        <v>186</v>
      </c>
      <c r="AD385" s="151" t="str">
        <f aca="false">CONCATENATE($C385,$I385,$H385,$N385,$J385,$K385)</f>
        <v>TUBO PEADPEAD63VCAREDESZona04</v>
      </c>
      <c r="AE385" s="153" t="n">
        <f aca="false">IFERROR(INDEX(APOIO_REDES!$A:$W,MATCH($C385&amp;$I385&amp;$H385&amp;$N385&amp;$O385,APOIO_REDES!$W:$W,0),MATCH(AE$5,APOIO_REDES!$5:$5,0)),0)</f>
        <v>1.2</v>
      </c>
      <c r="AF385" s="153" t="n">
        <f aca="false">IFERROR(INDEX(APOIO_REDES!$A:$W,MATCH($C385&amp;$I385&amp;$H385&amp;$N385&amp;$O385,APOIO_REDES!$W:$W,0),MATCH(AF$5,APOIO_REDES!$5:$5,0)),0)</f>
        <v>1.363</v>
      </c>
      <c r="AG385" s="153" t="n">
        <f aca="false">IFERROR(INDEX(APOIO_REDES!$A:$W,MATCH($C385&amp;$I385&amp;$H385&amp;$N385&amp;$O385,APOIO_REDES!$W:$W,0),MATCH(AG$5,APOIO_REDES!$5:$5,0)),0)</f>
        <v>0.65</v>
      </c>
      <c r="AH385" s="153" t="n">
        <f aca="false">IFERROR(INDEX(APOIO_REDES!$A:$W,MATCH($C385&amp;$I385&amp;$H385&amp;$N385&amp;$O385,APOIO_REDES!$W:$W,0),MATCH(AH$5,APOIO_REDES!$5:$5,0)),0)</f>
        <v>0.1</v>
      </c>
      <c r="AI385" s="153" t="n">
        <f aca="false">IFERROR(IF($H385&lt;&gt;"",(((($H385/1000)/2)^2)*PI()*$M385),0),0)</f>
        <v>0.167801315065532</v>
      </c>
      <c r="AJ385" s="153" t="n">
        <f aca="false">IFERROR(IF(AND($H385&lt;&gt;"",$I385="FoFo",OR($N385="MND",$N385="VCA"),$Q385="LINEAR"),0,IF(AND($H385&lt;&gt;"",$I385="PEAD",$N385="VCA",$Q385="LINEAR"),($H385/1000)+0.3,IF(AND($H385&lt;&gt;"",$I385="PEAD",$N385="MND",$Q385="EMBOQUE"),0,IF(AND($H385&lt;&gt;"",$I385="PVC",$N385="VCA",$Q385="LINEAR"),($H385/1000)+0.2,IF(AND($H385&lt;&gt;"",$I385="PVC",$N385="MND",$Q385="EMBOQUE"),0,IF(AND($H385&lt;&gt;"",$I385="PEAD",$N385="VCA",$Q385="PREDIAL"),0,0)))))),0)</f>
        <v>0.363</v>
      </c>
      <c r="AK385" s="153" t="n">
        <f aca="false">IF(AA385&lt;&gt;"",AA385,0)</f>
        <v>1.8</v>
      </c>
      <c r="AL385" s="153" t="n">
        <f aca="false">IF(AND($N385="MND",$Q385="EMBOQUE"),$M385,IF(AND($N385="VCA",$Q385="LINEAR"),$M385,IF(AND($N385="VCA",$Q385="PREDIAL"),0,0)))</f>
        <v>53.83</v>
      </c>
      <c r="AM385" s="153" t="n">
        <f aca="false">IF(AND($N385="MND",$Q385="EMBOQUE"),$M385,IF(AND($N385="VCA",$Q385="LINEAR"),$M385,IF(AND($N385="VCA",$Q385="PREDIAL"),0,0)))</f>
        <v>53.83</v>
      </c>
      <c r="AN385" s="153" t="n">
        <f aca="false">ROUND(IF(AND($N385="VCA",$M385&lt;&gt;"",$Q385="LINEAR"),$M385/100,IF(AND($N385="MND",$M385&gt;100,$Q385="EMBOQUE"),$M385/100,0)),0)</f>
        <v>1</v>
      </c>
      <c r="AO385" s="153" t="n">
        <f aca="false">IF(AND($N385="MND",$Q385="EMBOQUE"),$AN385*2*2,IF(AND($N385="VCA",$Q385="LINEAR"),$M385*2,IF(AND($N385="VCA",$Q385="PREDIAL"),0,0)))</f>
        <v>107.66</v>
      </c>
      <c r="AP385" s="153" t="n">
        <f aca="false">IFERROR($M385*$AF385*$AG385,0)</f>
        <v>47.6906885</v>
      </c>
      <c r="AQ385" s="153" t="n">
        <f aca="false">IFERROR(IF(AND($N385="VCA",$AH385&gt;0),$M385*$AG385*$AH385,0),0)</f>
        <v>3.49895</v>
      </c>
      <c r="AR385" s="153" t="n">
        <f aca="false">IFERROR(IF(AND($N385="VCA",$AJ385&gt;0),($M385*$AG385*$AJ385)-$AI385,0),0)</f>
        <v>12.5333871849345</v>
      </c>
      <c r="AS385" s="153" t="n">
        <f aca="false">IFERROR(IF(AND($N385="VCA",$AP385&gt;0),$AP385-$AI385-$AQ385-$AR385,0),0)</f>
        <v>31.49055</v>
      </c>
      <c r="AT385" s="153" t="n">
        <f aca="false">IFERROR(IF($N385="VCA",INDEX(APOIO_REDES!$A:$W,MATCH($C385&amp;$I385&amp;$H385&amp;$N385&amp;$O385,APOIO_REDES!$W:$W,0),MATCH(AT$5,APOIO_REDES!$5:$5,0)),0)*$AP385,0)</f>
        <v>0.518888806603261</v>
      </c>
      <c r="AU385" s="153" t="n">
        <f aca="false">IFERROR(IF($N385="VCA",INDEX(APOIO_REDES!$A:$W,MATCH($C385&amp;$I385&amp;$H385&amp;$N385&amp;$O385,APOIO_REDES!$W:$W,0),MATCH(AU$5,APOIO_REDES!$5:$5,0)),0)*$AP385,0)</f>
        <v>0.414370547662236</v>
      </c>
      <c r="AV385" s="153" t="n">
        <f aca="false">IFERROR(IF($N385="VCA",INDEX(APOIO_REDES!$A:$W,MATCH($C385&amp;$I385&amp;$H385&amp;$N385&amp;$O385,APOIO_REDES!$W:$W,0),MATCH(AV$5,APOIO_REDES!$5:$5,0)),0)*$AP385,0)</f>
        <v>0.0573456308601129</v>
      </c>
      <c r="AW385" s="153" t="n">
        <f aca="false">IFERROR(IF($N385="VCA",INDEX(APOIO_REDES!$A:$W,MATCH($C385&amp;$I385&amp;$H385&amp;$N385&amp;$O385,APOIO_REDES!$W:$W,0),MATCH(AW$5,APOIO_REDES!$5:$5,0)),0)*$AP385,0)</f>
        <v>32.7352581118865</v>
      </c>
      <c r="AX385" s="153" t="n">
        <f aca="false">IFERROR(IF($N385="VCA",INDEX(APOIO_REDES!$A:$W,MATCH($C385&amp;$I385&amp;$H385&amp;$N385&amp;$O385,APOIO_REDES!$W:$W,0),MATCH(AX$5,APOIO_REDES!$5:$5,0)),0)*$AP385,0)</f>
        <v>4.53046647453727</v>
      </c>
      <c r="AY385" s="153" t="n">
        <f aca="false">IFERROR(IF($N385="VCA",INDEX(APOIO_REDES!$A:$W,MATCH($C385&amp;$I385&amp;$H385&amp;$N385&amp;$O385,APOIO_REDES!$W:$W,0),MATCH(AY$5,APOIO_REDES!$5:$5,0)),0)*$AP385,0)</f>
        <v>8.28740590210133</v>
      </c>
      <c r="AZ385" s="153" t="n">
        <f aca="false">IFERROR(IF($N385="VCA",INDEX(APOIO_REDES!$A:$W,MATCH($C385&amp;$I385&amp;$H385&amp;$N385&amp;$O385,APOIO_REDES!$W:$W,0),MATCH(AZ$5,APOIO_REDES!$5:$5,0)),0)*$AP385,0)</f>
        <v>1.14695302634934</v>
      </c>
      <c r="BA385" s="153" t="n">
        <f aca="false">IFERROR(IF(AND($N385="VCA",$Q385="LINEAR"),INDEX(APOIO_REDES!$A:$W,MATCH($C385&amp;$I385&amp;$H385&amp;$N385&amp;$O385,APOIO_REDES!$W:$W,0),MATCH(BA$5,APOIO_REDES!$5:$5,0)),IF(AND($N385="MND",$Q385="EMBOQUE"),INDEX(APOIO_REDES!$A:$W,MATCH($C385&amp;$I385&amp;$H385&amp;$N385&amp;$O385,APOIO_REDES!$W:$W,0),MATCH(BA$5,APOIO_REDES!$5:$5,0)),0))*$M385/10,0)</f>
        <v>4.33856221811957</v>
      </c>
      <c r="BB385" s="153" t="n">
        <f aca="false">IFERROR(IF($N385="VCA",INDEX(APOIO_REDES!$A:$W,MATCH($C385&amp;$I385&amp;$H385&amp;$N385&amp;$O385,APOIO_REDES!$W:$W,0),MATCH(BB$5,APOIO_REDES!$5:$5,0)),0)*($AI385+$AQ385+$AR385),0)</f>
        <v>16.0238761981238</v>
      </c>
      <c r="BC385" s="153" t="n">
        <f aca="false">IFERROR(IF($N385="VCA",INDEX(APOIO_REDES!$A:$W,MATCH($C385&amp;$I385&amp;$H385&amp;$N385&amp;$O385,APOIO_REDES!$W:$W,0),MATCH(BC$5,APOIO_REDES!$5:$5,0)),0)*($AI385+$AQ385+$AR385),0)</f>
        <v>0.176262301876236</v>
      </c>
      <c r="BD385" s="153" t="n">
        <f aca="false">IF(AND($N385="VCA",$AF385&gt;=1.25,$AF385&lt;1.5),$M385*$AF385*2,0)</f>
        <v>146.74058</v>
      </c>
      <c r="BE385" s="153" t="n">
        <f aca="false">IF(AND($N385="VCA",$AF385&gt;=1.5,$AF385&lt;3),$M385*$AF385*2,0)</f>
        <v>0</v>
      </c>
      <c r="BF385" s="153" t="n">
        <f aca="false">IF(AND($N385="VCA",$AF385&gt;=3),$M385*$AF385*2,0)</f>
        <v>0</v>
      </c>
      <c r="BG385" s="153" t="n">
        <f aca="false">($BB385+$BC385)*$AK385</f>
        <v>29.1602493</v>
      </c>
      <c r="BH385" s="153" t="n">
        <f aca="false">IF(AND($M385&lt;&gt;"",$N385="VCA",$Q385="LINEAR"),($M385*2)/100,IF(AND($M385&lt;&gt;"",$N385="MND",$Q385="EMBOQUE"),($AN385*2)/100,0))</f>
        <v>1.0766</v>
      </c>
      <c r="BI385" s="153" t="n">
        <f aca="false">IF(AND($M385&lt;&gt;"",$N385="VCA",$Q385="LINEAR"),$M385,IF(AND($M385&lt;&gt;"",$N385="MND",$Q385="EMBOQUE"),$AN385*2,0))</f>
        <v>53.83</v>
      </c>
      <c r="BJ385" s="153" t="n">
        <f aca="false">IF(AND($M385&lt;&gt;"",$N385="VCA",$Q385="LINEAR"),($M385*6.8)/100,IF(AND($M385&lt;&gt;"",$N385="MND",$Q385="EMBOQUE"),($AN385*2*6.8)/100,0))</f>
        <v>3.66044</v>
      </c>
      <c r="BK385" s="153" t="n">
        <f aca="false">IF(AND($M385&lt;&gt;"",$N385="VCA",$Q385="LINEAR"),($M385*2.5)/50,IF(AND($M385&lt;&gt;"",$N385="MND",$Q385="EMBOQUE"),($AN385*2*2.5)/50,0))</f>
        <v>2.6915</v>
      </c>
      <c r="BL385" s="157" t="str">
        <f aca="false">K385&amp;J385</f>
        <v>Zona04REDES</v>
      </c>
      <c r="BM385" s="152" t="s">
        <v>2969</v>
      </c>
      <c r="BN385" s="152" t="s">
        <v>1560</v>
      </c>
      <c r="BO385" s="152" t="s">
        <v>1561</v>
      </c>
      <c r="BP385" s="152" t="s">
        <v>2983</v>
      </c>
      <c r="BQ385" s="152" t="s">
        <v>2975</v>
      </c>
      <c r="BR385" s="152" t="s">
        <v>2984</v>
      </c>
      <c r="BS385" s="152" t="n">
        <v>203664.992</v>
      </c>
      <c r="BT385" s="152" t="n">
        <v>8238842.662</v>
      </c>
      <c r="BU385" s="152" t="n">
        <v>203615.345</v>
      </c>
      <c r="BV385" s="152" t="n">
        <v>8238862.118</v>
      </c>
      <c r="BW385" s="152" t="n">
        <v>-15.9118435</v>
      </c>
      <c r="BX385" s="152" t="n">
        <v>-47.7678043</v>
      </c>
      <c r="BY385" s="152" t="s">
        <v>2983</v>
      </c>
    </row>
    <row r="386" customFormat="false" ht="13.8" hidden="false" customHeight="false" outlineLevel="0" collapsed="false">
      <c r="A386" s="149" t="n">
        <f aca="false">IF(C386&lt;&gt;"",ROW(A381),"")</f>
        <v>381</v>
      </c>
      <c r="B386" s="150" t="str">
        <f aca="false">HYPERLINK("https://www.google.com/maps/dir/-15.917302,-47.760003/-15.9121459,-47.7670256/data=!4m3!4m2!3e0!5i0")</f>
        <v>https://www.google.com/maps/dir/-15.917302,-47.760003/-15.9121459,-47.7670256/data=!4m3!4m2!3e0!5i0</v>
      </c>
      <c r="C386" s="151" t="s">
        <v>117</v>
      </c>
      <c r="D386" s="152" t="s">
        <v>112</v>
      </c>
      <c r="E386" s="152" t="s">
        <v>113</v>
      </c>
      <c r="F386" s="152" t="s">
        <v>117</v>
      </c>
      <c r="G386" s="152" t="s">
        <v>782</v>
      </c>
      <c r="H386" s="152" t="n">
        <v>63</v>
      </c>
      <c r="I386" s="152" t="s">
        <v>115</v>
      </c>
      <c r="J386" s="152" t="s">
        <v>6</v>
      </c>
      <c r="K386" s="152" t="s">
        <v>2966</v>
      </c>
      <c r="L386" s="152" t="s">
        <v>120</v>
      </c>
      <c r="M386" s="153" t="n">
        <f aca="false">63.25</f>
        <v>63.25</v>
      </c>
      <c r="N386" s="152" t="s">
        <v>1548</v>
      </c>
      <c r="O386" s="152" t="s">
        <v>1549</v>
      </c>
      <c r="P386" s="152" t="s">
        <v>1550</v>
      </c>
      <c r="Q386" s="152" t="s">
        <v>1551</v>
      </c>
      <c r="R386" s="154" t="s">
        <v>2985</v>
      </c>
      <c r="S386" s="154" t="s">
        <v>1553</v>
      </c>
      <c r="T386" s="155" t="s">
        <v>1554</v>
      </c>
      <c r="U386" s="152" t="str">
        <f aca="false">RIGHT(T386,7)</f>
        <v>002/037</v>
      </c>
      <c r="V386" s="152" t="s">
        <v>1555</v>
      </c>
      <c r="W386" s="156" t="n">
        <v>45882</v>
      </c>
      <c r="X386" s="152" t="s">
        <v>1594</v>
      </c>
      <c r="Y386" s="152"/>
      <c r="Z386" s="152" t="s">
        <v>1557</v>
      </c>
      <c r="AA386" s="153" t="n">
        <v>1.8</v>
      </c>
      <c r="AB386" s="151" t="s">
        <v>2986</v>
      </c>
      <c r="AC386" s="151" t="s">
        <v>186</v>
      </c>
      <c r="AD386" s="151" t="str">
        <f aca="false">CONCATENATE($C386,$I386,$H386,$N386,$J386,$K386)</f>
        <v>TUBO PEADPEAD63VCAREDESZona04</v>
      </c>
      <c r="AE386" s="153" t="n">
        <f aca="false">IFERROR(INDEX(APOIO_REDES!$A:$W,MATCH($C386&amp;$I386&amp;$H386&amp;$N386&amp;$O386,APOIO_REDES!$W:$W,0),MATCH(AE$5,APOIO_REDES!$5:$5,0)),0)</f>
        <v>1.2</v>
      </c>
      <c r="AF386" s="153" t="n">
        <f aca="false">IFERROR(INDEX(APOIO_REDES!$A:$W,MATCH($C386&amp;$I386&amp;$H386&amp;$N386&amp;$O386,APOIO_REDES!$W:$W,0),MATCH(AF$5,APOIO_REDES!$5:$5,0)),0)</f>
        <v>1.363</v>
      </c>
      <c r="AG386" s="153" t="n">
        <f aca="false">IFERROR(INDEX(APOIO_REDES!$A:$W,MATCH($C386&amp;$I386&amp;$H386&amp;$N386&amp;$O386,APOIO_REDES!$W:$W,0),MATCH(AG$5,APOIO_REDES!$5:$5,0)),0)</f>
        <v>0.65</v>
      </c>
      <c r="AH386" s="153" t="n">
        <f aca="false">IFERROR(INDEX(APOIO_REDES!$A:$W,MATCH($C386&amp;$I386&amp;$H386&amp;$N386&amp;$O386,APOIO_REDES!$W:$W,0),MATCH(AH$5,APOIO_REDES!$5:$5,0)),0)</f>
        <v>0.1</v>
      </c>
      <c r="AI386" s="153" t="n">
        <f aca="false">IFERROR(IF($H386&lt;&gt;"",(((($H386/1000)/2)^2)*PI()*$M386),0),0)</f>
        <v>0.197165765890673</v>
      </c>
      <c r="AJ386" s="153" t="n">
        <f aca="false">IFERROR(IF(AND($H386&lt;&gt;"",$I386="FoFo",OR($N386="MND",$N386="VCA"),$Q386="LINEAR"),0,IF(AND($H386&lt;&gt;"",$I386="PEAD",$N386="VCA",$Q386="LINEAR"),($H386/1000)+0.3,IF(AND($H386&lt;&gt;"",$I386="PEAD",$N386="MND",$Q386="EMBOQUE"),0,IF(AND($H386&lt;&gt;"",$I386="PVC",$N386="VCA",$Q386="LINEAR"),($H386/1000)+0.2,IF(AND($H386&lt;&gt;"",$I386="PVC",$N386="MND",$Q386="EMBOQUE"),0,IF(AND($H386&lt;&gt;"",$I386="PEAD",$N386="VCA",$Q386="PREDIAL"),0,0)))))),0)</f>
        <v>0.363</v>
      </c>
      <c r="AK386" s="153" t="n">
        <f aca="false">IF(AA386&lt;&gt;"",AA386,0)</f>
        <v>1.8</v>
      </c>
      <c r="AL386" s="153" t="n">
        <f aca="false">IF(AND($N386="MND",$Q386="EMBOQUE"),$M386,IF(AND($N386="VCA",$Q386="LINEAR"),$M386,IF(AND($N386="VCA",$Q386="PREDIAL"),0,0)))</f>
        <v>63.25</v>
      </c>
      <c r="AM386" s="153" t="n">
        <f aca="false">IF(AND($N386="MND",$Q386="EMBOQUE"),$M386,IF(AND($N386="VCA",$Q386="LINEAR"),$M386,IF(AND($N386="VCA",$Q386="PREDIAL"),0,0)))</f>
        <v>63.25</v>
      </c>
      <c r="AN386" s="153" t="n">
        <f aca="false">ROUND(IF(AND($N386="VCA",$M386&lt;&gt;"",$Q386="LINEAR"),$M386/100,IF(AND($N386="MND",$M386&gt;100,$Q386="EMBOQUE"),$M386/100,0)),0)</f>
        <v>1</v>
      </c>
      <c r="AO386" s="153" t="n">
        <f aca="false">IF(AND($N386="MND",$Q386="EMBOQUE"),$AN386*2*2,IF(AND($N386="VCA",$Q386="LINEAR"),$M386*2,IF(AND($N386="VCA",$Q386="PREDIAL"),0,0)))</f>
        <v>126.5</v>
      </c>
      <c r="AP386" s="153" t="n">
        <f aca="false">IFERROR($M386*$AF386*$AG386,0)</f>
        <v>56.0363375</v>
      </c>
      <c r="AQ386" s="153" t="n">
        <f aca="false">IFERROR(IF(AND($N386="VCA",$AH386&gt;0),$M386*$AG386*$AH386,0),0)</f>
        <v>4.11125</v>
      </c>
      <c r="AR386" s="153" t="n">
        <f aca="false">IFERROR(IF(AND($N386="VCA",$AJ386&gt;0),($M386*$AG386*$AJ386)-$AI386,0),0)</f>
        <v>14.7266717341093</v>
      </c>
      <c r="AS386" s="153" t="n">
        <f aca="false">IFERROR(IF(AND($N386="VCA",$AP386&gt;0),$AP386-$AI386-$AQ386-$AR386,0),0)</f>
        <v>37.00125</v>
      </c>
      <c r="AT386" s="153" t="n">
        <f aca="false">IFERROR(IF($N386="VCA",INDEX(APOIO_REDES!$A:$W,MATCH($C386&amp;$I386&amp;$H386&amp;$N386&amp;$O386,APOIO_REDES!$W:$W,0),MATCH(AT$5,APOIO_REDES!$5:$5,0)),0)*$AP386,0)</f>
        <v>0.609691937909274</v>
      </c>
      <c r="AU386" s="153" t="n">
        <f aca="false">IFERROR(IF($N386="VCA",INDEX(APOIO_REDES!$A:$W,MATCH($C386&amp;$I386&amp;$H386&amp;$N386&amp;$O386,APOIO_REDES!$W:$W,0),MATCH(AU$5,APOIO_REDES!$5:$5,0)),0)*$AP386,0)</f>
        <v>0.486883469062538</v>
      </c>
      <c r="AV386" s="153" t="n">
        <f aca="false">IFERROR(IF($N386="VCA",INDEX(APOIO_REDES!$A:$W,MATCH($C386&amp;$I386&amp;$H386&amp;$N386&amp;$O386,APOIO_REDES!$W:$W,0),MATCH(AV$5,APOIO_REDES!$5:$5,0)),0)*$AP386,0)</f>
        <v>0.0673808499331626</v>
      </c>
      <c r="AW386" s="153" t="n">
        <f aca="false">IFERROR(IF($N386="VCA",INDEX(APOIO_REDES!$A:$W,MATCH($C386&amp;$I386&amp;$H386&amp;$N386&amp;$O386,APOIO_REDES!$W:$W,0),MATCH(AW$5,APOIO_REDES!$5:$5,0)),0)*$AP386,0)</f>
        <v>38.4637762507304</v>
      </c>
      <c r="AX386" s="153" t="n">
        <f aca="false">IFERROR(IF($N386="VCA",INDEX(APOIO_REDES!$A:$W,MATCH($C386&amp;$I386&amp;$H386&amp;$N386&amp;$O386,APOIO_REDES!$W:$W,0),MATCH(AX$5,APOIO_REDES!$5:$5,0)),0)*$AP386,0)</f>
        <v>5.32327706696047</v>
      </c>
      <c r="AY386" s="153" t="n">
        <f aca="false">IFERROR(IF($N386="VCA",INDEX(APOIO_REDES!$A:$W,MATCH($C386&amp;$I386&amp;$H386&amp;$N386&amp;$O386,APOIO_REDES!$W:$W,0),MATCH(AY$5,APOIO_REDES!$5:$5,0)),0)*$AP386,0)</f>
        <v>9.73766344618073</v>
      </c>
      <c r="AZ386" s="153" t="n">
        <f aca="false">IFERROR(IF($N386="VCA",INDEX(APOIO_REDES!$A:$W,MATCH($C386&amp;$I386&amp;$H386&amp;$N386&amp;$O386,APOIO_REDES!$W:$W,0),MATCH(AZ$5,APOIO_REDES!$5:$5,0)),0)*$AP386,0)</f>
        <v>1.34766447922341</v>
      </c>
      <c r="BA386" s="153" t="n">
        <f aca="false">IFERROR(IF(AND($N386="VCA",$Q386="LINEAR"),INDEX(APOIO_REDES!$A:$W,MATCH($C386&amp;$I386&amp;$H386&amp;$N386&amp;$O386,APOIO_REDES!$W:$W,0),MATCH(BA$5,APOIO_REDES!$5:$5,0)),IF(AND($N386="MND",$Q386="EMBOQUE"),INDEX(APOIO_REDES!$A:$W,MATCH($C386&amp;$I386&amp;$H386&amp;$N386&amp;$O386,APOIO_REDES!$W:$W,0),MATCH(BA$5,APOIO_REDES!$5:$5,0)),0))*$M386/10,0)</f>
        <v>5.0977904569211</v>
      </c>
      <c r="BB386" s="153" t="n">
        <f aca="false">IFERROR(IF($N386="VCA",INDEX(APOIO_REDES!$A:$W,MATCH($C386&amp;$I386&amp;$H386&amp;$N386&amp;$O386,APOIO_REDES!$W:$W,0),MATCH(BB$5,APOIO_REDES!$5:$5,0)),0)*($AI386+$AQ386+$AR386),0)</f>
        <v>18.8279801139017</v>
      </c>
      <c r="BC386" s="153" t="n">
        <f aca="false">IFERROR(IF($N386="VCA",INDEX(APOIO_REDES!$A:$W,MATCH($C386&amp;$I386&amp;$H386&amp;$N386&amp;$O386,APOIO_REDES!$W:$W,0),MATCH(BC$5,APOIO_REDES!$5:$5,0)),0)*($AI386+$AQ386+$AR386),0)</f>
        <v>0.207107386098308</v>
      </c>
      <c r="BD386" s="153" t="n">
        <f aca="false">IF(AND($N386="VCA",$AF386&gt;=1.25,$AF386&lt;1.5),$M386*$AF386*2,0)</f>
        <v>172.4195</v>
      </c>
      <c r="BE386" s="153" t="n">
        <f aca="false">IF(AND($N386="VCA",$AF386&gt;=1.5,$AF386&lt;3),$M386*$AF386*2,0)</f>
        <v>0</v>
      </c>
      <c r="BF386" s="153" t="n">
        <f aca="false">IF(AND($N386="VCA",$AF386&gt;=3),$M386*$AF386*2,0)</f>
        <v>0</v>
      </c>
      <c r="BG386" s="153" t="n">
        <f aca="false">($BB386+$BC386)*$AK386</f>
        <v>34.2631575</v>
      </c>
      <c r="BH386" s="153" t="n">
        <f aca="false">IF(AND($M386&lt;&gt;"",$N386="VCA",$Q386="LINEAR"),($M386*2)/100,IF(AND($M386&lt;&gt;"",$N386="MND",$Q386="EMBOQUE"),($AN386*2)/100,0))</f>
        <v>1.265</v>
      </c>
      <c r="BI386" s="153" t="n">
        <f aca="false">IF(AND($M386&lt;&gt;"",$N386="VCA",$Q386="LINEAR"),$M386,IF(AND($M386&lt;&gt;"",$N386="MND",$Q386="EMBOQUE"),$AN386*2,0))</f>
        <v>63.25</v>
      </c>
      <c r="BJ386" s="153" t="n">
        <f aca="false">IF(AND($M386&lt;&gt;"",$N386="VCA",$Q386="LINEAR"),($M386*6.8)/100,IF(AND($M386&lt;&gt;"",$N386="MND",$Q386="EMBOQUE"),($AN386*2*6.8)/100,0))</f>
        <v>4.301</v>
      </c>
      <c r="BK386" s="153" t="n">
        <f aca="false">IF(AND($M386&lt;&gt;"",$N386="VCA",$Q386="LINEAR"),($M386*2.5)/50,IF(AND($M386&lt;&gt;"",$N386="MND",$Q386="EMBOQUE"),($AN386*2*2.5)/50,0))</f>
        <v>3.1625</v>
      </c>
      <c r="BL386" s="157" t="str">
        <f aca="false">K386&amp;J386</f>
        <v>Zona04REDES</v>
      </c>
      <c r="BM386" s="152" t="s">
        <v>2969</v>
      </c>
      <c r="BN386" s="152" t="s">
        <v>1560</v>
      </c>
      <c r="BO386" s="152" t="s">
        <v>1561</v>
      </c>
      <c r="BP386" s="152" t="s">
        <v>2987</v>
      </c>
      <c r="BQ386" s="152" t="s">
        <v>2983</v>
      </c>
      <c r="BR386" s="152" t="s">
        <v>2988</v>
      </c>
      <c r="BS386" s="152" t="n">
        <v>203724.043</v>
      </c>
      <c r="BT386" s="152" t="n">
        <v>8238820.018</v>
      </c>
      <c r="BU386" s="152" t="n">
        <v>203664.992</v>
      </c>
      <c r="BV386" s="152" t="n">
        <v>8238842.662</v>
      </c>
      <c r="BW386" s="152" t="n">
        <v>-15.9120396</v>
      </c>
      <c r="BX386" s="152" t="n">
        <v>-47.7672995</v>
      </c>
      <c r="BY386" s="152" t="s">
        <v>2987</v>
      </c>
    </row>
    <row r="387" customFormat="false" ht="13.8" hidden="false" customHeight="false" outlineLevel="0" collapsed="false">
      <c r="A387" s="149" t="n">
        <f aca="false">IF(C387&lt;&gt;"",ROW(A382),"")</f>
        <v>382</v>
      </c>
      <c r="B387" s="150" t="str">
        <f aca="false">HYPERLINK("https://www.google.com/maps/dir/-15.917302,-47.760003/-15.9122124,-47.7676848/data=!4m3!4m2!3e0!5i0")</f>
        <v>https://www.google.com/maps/dir/-15.917302,-47.760003/-15.9122124,-47.7676848/data=!4m3!4m2!3e0!5i0</v>
      </c>
      <c r="C387" s="151" t="s">
        <v>117</v>
      </c>
      <c r="D387" s="152" t="s">
        <v>112</v>
      </c>
      <c r="E387" s="152" t="s">
        <v>113</v>
      </c>
      <c r="F387" s="152" t="s">
        <v>117</v>
      </c>
      <c r="G387" s="152" t="s">
        <v>782</v>
      </c>
      <c r="H387" s="152" t="n">
        <v>63</v>
      </c>
      <c r="I387" s="152" t="s">
        <v>115</v>
      </c>
      <c r="J387" s="152" t="s">
        <v>6</v>
      </c>
      <c r="K387" s="152" t="s">
        <v>2966</v>
      </c>
      <c r="L387" s="152" t="s">
        <v>120</v>
      </c>
      <c r="M387" s="153" t="n">
        <f aca="false">33.01+4</f>
        <v>37.01</v>
      </c>
      <c r="N387" s="152" t="s">
        <v>1548</v>
      </c>
      <c r="O387" s="152" t="s">
        <v>1549</v>
      </c>
      <c r="P387" s="152" t="s">
        <v>1550</v>
      </c>
      <c r="Q387" s="152" t="s">
        <v>1551</v>
      </c>
      <c r="R387" s="154" t="s">
        <v>2989</v>
      </c>
      <c r="S387" s="154" t="s">
        <v>1553</v>
      </c>
      <c r="T387" s="155" t="s">
        <v>1554</v>
      </c>
      <c r="U387" s="152" t="str">
        <f aca="false">RIGHT(T387,7)</f>
        <v>002/037</v>
      </c>
      <c r="V387" s="152" t="s">
        <v>1555</v>
      </c>
      <c r="W387" s="156" t="n">
        <v>45882</v>
      </c>
      <c r="X387" s="152" t="s">
        <v>1594</v>
      </c>
      <c r="Y387" s="152" t="s">
        <v>2990</v>
      </c>
      <c r="Z387" s="152" t="s">
        <v>1557</v>
      </c>
      <c r="AA387" s="153" t="n">
        <v>1.8</v>
      </c>
      <c r="AB387" s="151" t="s">
        <v>2991</v>
      </c>
      <c r="AC387" s="151" t="s">
        <v>186</v>
      </c>
      <c r="AD387" s="151" t="str">
        <f aca="false">CONCATENATE($C387,$I387,$H387,$N387,$J387,$K387)</f>
        <v>TUBO PEADPEAD63VCAREDESZona04</v>
      </c>
      <c r="AE387" s="153" t="n">
        <f aca="false">IFERROR(INDEX(APOIO_REDES!$A:$W,MATCH($C387&amp;$I387&amp;$H387&amp;$N387&amp;$O387,APOIO_REDES!$W:$W,0),MATCH(AE$5,APOIO_REDES!$5:$5,0)),0)</f>
        <v>1.2</v>
      </c>
      <c r="AF387" s="153" t="n">
        <f aca="false">IFERROR(INDEX(APOIO_REDES!$A:$W,MATCH($C387&amp;$I387&amp;$H387&amp;$N387&amp;$O387,APOIO_REDES!$W:$W,0),MATCH(AF$5,APOIO_REDES!$5:$5,0)),0)</f>
        <v>1.363</v>
      </c>
      <c r="AG387" s="153" t="n">
        <f aca="false">IFERROR(INDEX(APOIO_REDES!$A:$W,MATCH($C387&amp;$I387&amp;$H387&amp;$N387&amp;$O387,APOIO_REDES!$W:$W,0),MATCH(AG$5,APOIO_REDES!$5:$5,0)),0)</f>
        <v>0.65</v>
      </c>
      <c r="AH387" s="153" t="n">
        <f aca="false">IFERROR(INDEX(APOIO_REDES!$A:$W,MATCH($C387&amp;$I387&amp;$H387&amp;$N387&amp;$O387,APOIO_REDES!$W:$W,0),MATCH(AH$5,APOIO_REDES!$5:$5,0)),0)</f>
        <v>0.1</v>
      </c>
      <c r="AI387" s="153" t="n">
        <f aca="false">IFERROR(IF($H387&lt;&gt;"",(((($H387/1000)/2)^2)*PI()*$M387),0),0)</f>
        <v>0.115369248942511</v>
      </c>
      <c r="AJ387" s="153" t="n">
        <f aca="false">IFERROR(IF(AND($H387&lt;&gt;"",$I387="FoFo",OR($N387="MND",$N387="VCA"),$Q387="LINEAR"),0,IF(AND($H387&lt;&gt;"",$I387="PEAD",$N387="VCA",$Q387="LINEAR"),($H387/1000)+0.3,IF(AND($H387&lt;&gt;"",$I387="PEAD",$N387="MND",$Q387="EMBOQUE"),0,IF(AND($H387&lt;&gt;"",$I387="PVC",$N387="VCA",$Q387="LINEAR"),($H387/1000)+0.2,IF(AND($H387&lt;&gt;"",$I387="PVC",$N387="MND",$Q387="EMBOQUE"),0,IF(AND($H387&lt;&gt;"",$I387="PEAD",$N387="VCA",$Q387="PREDIAL"),0,0)))))),0)</f>
        <v>0.363</v>
      </c>
      <c r="AK387" s="153" t="n">
        <f aca="false">IF(AA387&lt;&gt;"",AA387,0)</f>
        <v>1.8</v>
      </c>
      <c r="AL387" s="153" t="n">
        <f aca="false">IF(AND($N387="MND",$Q387="EMBOQUE"),$M387,IF(AND($N387="VCA",$Q387="LINEAR"),$M387,IF(AND($N387="VCA",$Q387="PREDIAL"),0,0)))</f>
        <v>37.01</v>
      </c>
      <c r="AM387" s="153" t="n">
        <f aca="false">IF(AND($N387="MND",$Q387="EMBOQUE"),$M387,IF(AND($N387="VCA",$Q387="LINEAR"),$M387,IF(AND($N387="VCA",$Q387="PREDIAL"),0,0)))</f>
        <v>37.01</v>
      </c>
      <c r="AN387" s="153" t="n">
        <f aca="false">ROUND(IF(AND($N387="VCA",$M387&lt;&gt;"",$Q387="LINEAR"),$M387/100,IF(AND($N387="MND",$M387&gt;100,$Q387="EMBOQUE"),$M387/100,0)),0)</f>
        <v>0</v>
      </c>
      <c r="AO387" s="153" t="n">
        <f aca="false">IF(AND($N387="MND",$Q387="EMBOQUE"),$AN387*2*2,IF(AND($N387="VCA",$Q387="LINEAR"),$M387*2,IF(AND($N387="VCA",$Q387="PREDIAL"),0,0)))</f>
        <v>74.02</v>
      </c>
      <c r="AP387" s="153" t="n">
        <f aca="false">IFERROR($M387*$AF387*$AG387,0)</f>
        <v>32.7890095</v>
      </c>
      <c r="AQ387" s="153" t="n">
        <f aca="false">IFERROR(IF(AND($N387="VCA",$AH387&gt;0),$M387*$AG387*$AH387,0),0)</f>
        <v>2.40565</v>
      </c>
      <c r="AR387" s="153" t="n">
        <f aca="false">IFERROR(IF(AND($N387="VCA",$AJ387&gt;0),($M387*$AG387*$AJ387)-$AI387,0),0)</f>
        <v>8.61714025105749</v>
      </c>
      <c r="AS387" s="153" t="n">
        <f aca="false">IFERROR(IF(AND($N387="VCA",$AP387&gt;0),$AP387-$AI387-$AQ387-$AR387,0),0)</f>
        <v>21.65085</v>
      </c>
      <c r="AT387" s="153" t="n">
        <f aca="false">IFERROR(IF($N387="VCA",INDEX(APOIO_REDES!$A:$W,MATCH($C387&amp;$I387&amp;$H387&amp;$N387&amp;$O387,APOIO_REDES!$W:$W,0),MATCH(AT$5,APOIO_REDES!$5:$5,0)),0)*$AP387,0)</f>
        <v>0.356754128411419</v>
      </c>
      <c r="AU387" s="153" t="n">
        <f aca="false">IFERROR(IF($N387="VCA",INDEX(APOIO_REDES!$A:$W,MATCH($C387&amp;$I387&amp;$H387&amp;$N387&amp;$O387,APOIO_REDES!$W:$W,0),MATCH(AU$5,APOIO_REDES!$5:$5,0)),0)*$AP387,0)</f>
        <v>0.284894184822206</v>
      </c>
      <c r="AV387" s="153" t="n">
        <f aca="false">IFERROR(IF($N387="VCA",INDEX(APOIO_REDES!$A:$W,MATCH($C387&amp;$I387&amp;$H387&amp;$N387&amp;$O387,APOIO_REDES!$W:$W,0),MATCH(AV$5,APOIO_REDES!$5:$5,0)),0)*$AP387,0)</f>
        <v>0.0394271186723533</v>
      </c>
      <c r="AW387" s="153" t="n">
        <f aca="false">IFERROR(IF($N387="VCA",INDEX(APOIO_REDES!$A:$W,MATCH($C387&amp;$I387&amp;$H387&amp;$N387&amp;$O387,APOIO_REDES!$W:$W,0),MATCH(AW$5,APOIO_REDES!$5:$5,0)),0)*$AP387,0)</f>
        <v>22.5066301824432</v>
      </c>
      <c r="AX387" s="153" t="n">
        <f aca="false">IFERROR(IF($N387="VCA",INDEX(APOIO_REDES!$A:$W,MATCH($C387&amp;$I387&amp;$H387&amp;$N387&amp;$O387,APOIO_REDES!$W:$W,0),MATCH(AX$5,APOIO_REDES!$5:$5,0)),0)*$AP387,0)</f>
        <v>3.11485350590051</v>
      </c>
      <c r="AY387" s="153" t="n">
        <f aca="false">IFERROR(IF($N387="VCA",INDEX(APOIO_REDES!$A:$W,MATCH($C387&amp;$I387&amp;$H387&amp;$N387&amp;$O387,APOIO_REDES!$W:$W,0),MATCH(AY$5,APOIO_REDES!$5:$5,0)),0)*$AP387,0)</f>
        <v>5.6978802236071</v>
      </c>
      <c r="AZ387" s="153" t="n">
        <f aca="false">IFERROR(IF($N387="VCA",INDEX(APOIO_REDES!$A:$W,MATCH($C387&amp;$I387&amp;$H387&amp;$N387&amp;$O387,APOIO_REDES!$W:$W,0),MATCH(AZ$5,APOIO_REDES!$5:$5,0)),0)*$AP387,0)</f>
        <v>0.788570156143215</v>
      </c>
      <c r="BA387" s="153" t="n">
        <f aca="false">IFERROR(IF(AND($N387="VCA",$Q387="LINEAR"),INDEX(APOIO_REDES!$A:$W,MATCH($C387&amp;$I387&amp;$H387&amp;$N387&amp;$O387,APOIO_REDES!$W:$W,0),MATCH(BA$5,APOIO_REDES!$5:$5,0)),IF(AND($N387="MND",$Q387="EMBOQUE"),INDEX(APOIO_REDES!$A:$W,MATCH($C387&amp;$I387&amp;$H387&amp;$N387&amp;$O387,APOIO_REDES!$W:$W,0),MATCH(BA$5,APOIO_REDES!$5:$5,0)),0))*$M387/10,0)</f>
        <v>2.98291264522767</v>
      </c>
      <c r="BB387" s="153" t="n">
        <f aca="false">IFERROR(IF($N387="VCA",INDEX(APOIO_REDES!$A:$W,MATCH($C387&amp;$I387&amp;$H387&amp;$N387&amp;$O387,APOIO_REDES!$W:$W,0),MATCH(BB$5,APOIO_REDES!$5:$5,0)),0)*($AI387+$AQ387+$AR387),0)</f>
        <v>11.0169730279131</v>
      </c>
      <c r="BC387" s="153" t="n">
        <f aca="false">IFERROR(IF($N387="VCA",INDEX(APOIO_REDES!$A:$W,MATCH($C387&amp;$I387&amp;$H387&amp;$N387&amp;$O387,APOIO_REDES!$W:$W,0),MATCH(BC$5,APOIO_REDES!$5:$5,0)),0)*($AI387+$AQ387+$AR387),0)</f>
        <v>0.121186472086931</v>
      </c>
      <c r="BD387" s="153" t="n">
        <f aca="false">IF(AND($N387="VCA",$AF387&gt;=1.25,$AF387&lt;1.5),$M387*$AF387*2,0)</f>
        <v>100.88926</v>
      </c>
      <c r="BE387" s="153" t="n">
        <f aca="false">IF(AND($N387="VCA",$AF387&gt;=1.5,$AF387&lt;3),$M387*$AF387*2,0)</f>
        <v>0</v>
      </c>
      <c r="BF387" s="153" t="n">
        <f aca="false">IF(AND($N387="VCA",$AF387&gt;=3),$M387*$AF387*2,0)</f>
        <v>0</v>
      </c>
      <c r="BG387" s="153" t="n">
        <f aca="false">($BB387+$BC387)*$AK387</f>
        <v>20.0486871</v>
      </c>
      <c r="BH387" s="153" t="n">
        <f aca="false">IF(AND($M387&lt;&gt;"",$N387="VCA",$Q387="LINEAR"),($M387*2)/100,IF(AND($M387&lt;&gt;"",$N387="MND",$Q387="EMBOQUE"),($AN387*2)/100,0))</f>
        <v>0.7402</v>
      </c>
      <c r="BI387" s="153" t="n">
        <f aca="false">IF(AND($M387&lt;&gt;"",$N387="VCA",$Q387="LINEAR"),$M387,IF(AND($M387&lt;&gt;"",$N387="MND",$Q387="EMBOQUE"),$AN387*2,0))</f>
        <v>37.01</v>
      </c>
      <c r="BJ387" s="153" t="n">
        <f aca="false">IF(AND($M387&lt;&gt;"",$N387="VCA",$Q387="LINEAR"),($M387*6.8)/100,IF(AND($M387&lt;&gt;"",$N387="MND",$Q387="EMBOQUE"),($AN387*2*6.8)/100,0))</f>
        <v>2.51668</v>
      </c>
      <c r="BK387" s="153" t="n">
        <f aca="false">IF(AND($M387&lt;&gt;"",$N387="VCA",$Q387="LINEAR"),($M387*2.5)/50,IF(AND($M387&lt;&gt;"",$N387="MND",$Q387="EMBOQUE"),($AN387*2*2.5)/50,0))</f>
        <v>1.8505</v>
      </c>
      <c r="BL387" s="157" t="str">
        <f aca="false">K387&amp;J387</f>
        <v>Zona04REDES</v>
      </c>
      <c r="BM387" s="152" t="s">
        <v>2969</v>
      </c>
      <c r="BN387" s="152" t="s">
        <v>1560</v>
      </c>
      <c r="BO387" s="152" t="s">
        <v>1561</v>
      </c>
      <c r="BP387" s="152" t="s">
        <v>2992</v>
      </c>
      <c r="BQ387" s="152" t="s">
        <v>2983</v>
      </c>
      <c r="BR387" s="152" t="s">
        <v>2993</v>
      </c>
      <c r="BS387" s="152" t="n">
        <v>203653.507</v>
      </c>
      <c r="BT387" s="152" t="n">
        <v>8238811.713</v>
      </c>
      <c r="BU387" s="152" t="n">
        <v>203664.992</v>
      </c>
      <c r="BV387" s="152" t="n">
        <v>8238842.662</v>
      </c>
      <c r="BW387" s="152" t="n">
        <v>-15.9120734</v>
      </c>
      <c r="BX387" s="152" t="n">
        <v>-47.7676293</v>
      </c>
      <c r="BY387" s="152" t="s">
        <v>2992</v>
      </c>
    </row>
    <row r="388" customFormat="false" ht="13.8" hidden="false" customHeight="false" outlineLevel="0" collapsed="false">
      <c r="A388" s="149" t="n">
        <f aca="false">IF(C388&lt;&gt;"",ROW(A383),"")</f>
        <v>383</v>
      </c>
      <c r="B388" s="150" t="str">
        <f aca="false">HYPERLINK("https://www.google.com/maps/dir/-15.917302,-47.760003/-15.9121459,-47.7670256/data=!4m3!4m2!3e0!5i0")</f>
        <v>https://www.google.com/maps/dir/-15.917302,-47.760003/-15.9121459,-47.7670256/data=!4m3!4m2!3e0!5i0</v>
      </c>
      <c r="C388" s="151" t="s">
        <v>117</v>
      </c>
      <c r="D388" s="152" t="s">
        <v>112</v>
      </c>
      <c r="E388" s="152" t="s">
        <v>113</v>
      </c>
      <c r="F388" s="152" t="s">
        <v>117</v>
      </c>
      <c r="G388" s="152" t="s">
        <v>782</v>
      </c>
      <c r="H388" s="152" t="n">
        <v>63</v>
      </c>
      <c r="I388" s="152" t="s">
        <v>115</v>
      </c>
      <c r="J388" s="152" t="s">
        <v>6</v>
      </c>
      <c r="K388" s="152" t="s">
        <v>2966</v>
      </c>
      <c r="L388" s="152" t="s">
        <v>120</v>
      </c>
      <c r="M388" s="153" t="n">
        <f aca="false">7.65</f>
        <v>7.65</v>
      </c>
      <c r="N388" s="152" t="s">
        <v>1548</v>
      </c>
      <c r="O388" s="152" t="s">
        <v>1549</v>
      </c>
      <c r="P388" s="152" t="s">
        <v>1550</v>
      </c>
      <c r="Q388" s="152" t="s">
        <v>1551</v>
      </c>
      <c r="R388" s="154" t="s">
        <v>2994</v>
      </c>
      <c r="S388" s="154" t="s">
        <v>1553</v>
      </c>
      <c r="T388" s="155" t="s">
        <v>1554</v>
      </c>
      <c r="U388" s="152" t="str">
        <f aca="false">RIGHT(T388,7)</f>
        <v>002/037</v>
      </c>
      <c r="V388" s="152" t="s">
        <v>1555</v>
      </c>
      <c r="W388" s="156" t="n">
        <v>45882</v>
      </c>
      <c r="X388" s="152" t="s">
        <v>1594</v>
      </c>
      <c r="Y388" s="152"/>
      <c r="Z388" s="152" t="s">
        <v>1557</v>
      </c>
      <c r="AA388" s="153" t="n">
        <v>1.8</v>
      </c>
      <c r="AB388" s="151" t="s">
        <v>2995</v>
      </c>
      <c r="AC388" s="151" t="s">
        <v>186</v>
      </c>
      <c r="AD388" s="151" t="str">
        <f aca="false">CONCATENATE($C388,$I388,$H388,$N388,$J388,$K388)</f>
        <v>TUBO PEADPEAD63VCAREDESZona04</v>
      </c>
      <c r="AE388" s="153" t="n">
        <f aca="false">IFERROR(INDEX(APOIO_REDES!$A:$W,MATCH($C388&amp;$I388&amp;$H388&amp;$N388&amp;$O388,APOIO_REDES!$W:$W,0),MATCH(AE$5,APOIO_REDES!$5:$5,0)),0)</f>
        <v>1.2</v>
      </c>
      <c r="AF388" s="153" t="n">
        <f aca="false">IFERROR(INDEX(APOIO_REDES!$A:$W,MATCH($C388&amp;$I388&amp;$H388&amp;$N388&amp;$O388,APOIO_REDES!$W:$W,0),MATCH(AF$5,APOIO_REDES!$5:$5,0)),0)</f>
        <v>1.363</v>
      </c>
      <c r="AG388" s="153" t="n">
        <f aca="false">IFERROR(INDEX(APOIO_REDES!$A:$W,MATCH($C388&amp;$I388&amp;$H388&amp;$N388&amp;$O388,APOIO_REDES!$W:$W,0),MATCH(AG$5,APOIO_REDES!$5:$5,0)),0)</f>
        <v>0.65</v>
      </c>
      <c r="AH388" s="153" t="n">
        <f aca="false">IFERROR(INDEX(APOIO_REDES!$A:$W,MATCH($C388&amp;$I388&amp;$H388&amp;$N388&amp;$O388,APOIO_REDES!$W:$W,0),MATCH(AH$5,APOIO_REDES!$5:$5,0)),0)</f>
        <v>0.1</v>
      </c>
      <c r="AI388" s="153" t="n">
        <f aca="false">IFERROR(IF($H388&lt;&gt;"",(((($H388/1000)/2)^2)*PI()*$M388),0),0)</f>
        <v>0.0238469266255122</v>
      </c>
      <c r="AJ388" s="153" t="n">
        <f aca="false">IFERROR(IF(AND($H388&lt;&gt;"",$I388="FoFo",OR($N388="MND",$N388="VCA"),$Q388="LINEAR"),0,IF(AND($H388&lt;&gt;"",$I388="PEAD",$N388="VCA",$Q388="LINEAR"),($H388/1000)+0.3,IF(AND($H388&lt;&gt;"",$I388="PEAD",$N388="MND",$Q388="EMBOQUE"),0,IF(AND($H388&lt;&gt;"",$I388="PVC",$N388="VCA",$Q388="LINEAR"),($H388/1000)+0.2,IF(AND($H388&lt;&gt;"",$I388="PVC",$N388="MND",$Q388="EMBOQUE"),0,IF(AND($H388&lt;&gt;"",$I388="PEAD",$N388="VCA",$Q388="PREDIAL"),0,0)))))),0)</f>
        <v>0.363</v>
      </c>
      <c r="AK388" s="153" t="n">
        <f aca="false">IF(AA388&lt;&gt;"",AA388,0)</f>
        <v>1.8</v>
      </c>
      <c r="AL388" s="153" t="n">
        <f aca="false">IF(AND($N388="MND",$Q388="EMBOQUE"),$M388,IF(AND($N388="VCA",$Q388="LINEAR"),$M388,IF(AND($N388="VCA",$Q388="PREDIAL"),0,0)))</f>
        <v>7.65</v>
      </c>
      <c r="AM388" s="153" t="n">
        <f aca="false">IF(AND($N388="MND",$Q388="EMBOQUE"),$M388,IF(AND($N388="VCA",$Q388="LINEAR"),$M388,IF(AND($N388="VCA",$Q388="PREDIAL"),0,0)))</f>
        <v>7.65</v>
      </c>
      <c r="AN388" s="153" t="n">
        <f aca="false">ROUND(IF(AND($N388="VCA",$M388&lt;&gt;"",$Q388="LINEAR"),$M388/100,IF(AND($N388="MND",$M388&gt;100,$Q388="EMBOQUE"),$M388/100,0)),0)</f>
        <v>0</v>
      </c>
      <c r="AO388" s="153" t="n">
        <f aca="false">IF(AND($N388="MND",$Q388="EMBOQUE"),$AN388*2*2,IF(AND($N388="VCA",$Q388="LINEAR"),$M388*2,IF(AND($N388="VCA",$Q388="PREDIAL"),0,0)))</f>
        <v>15.3</v>
      </c>
      <c r="AP388" s="153" t="n">
        <f aca="false">IFERROR($M388*$AF388*$AG388,0)</f>
        <v>6.7775175</v>
      </c>
      <c r="AQ388" s="153" t="n">
        <f aca="false">IFERROR(IF(AND($N388="VCA",$AH388&gt;0),$M388*$AG388*$AH388,0),0)</f>
        <v>0.49725</v>
      </c>
      <c r="AR388" s="153" t="n">
        <f aca="false">IFERROR(IF(AND($N388="VCA",$AJ388&gt;0),($M388*$AG388*$AJ388)-$AI388,0),0)</f>
        <v>1.78117057337449</v>
      </c>
      <c r="AS388" s="153" t="n">
        <f aca="false">IFERROR(IF(AND($N388="VCA",$AP388&gt;0),$AP388-$AI388-$AQ388-$AR388,0),0)</f>
        <v>4.47525</v>
      </c>
      <c r="AT388" s="153" t="n">
        <f aca="false">IFERROR(IF($N388="VCA",INDEX(APOIO_REDES!$A:$W,MATCH($C388&amp;$I388&amp;$H388&amp;$N388&amp;$O388,APOIO_REDES!$W:$W,0),MATCH(AT$5,APOIO_REDES!$5:$5,0)),0)*$AP388,0)</f>
        <v>0.0737413964427818</v>
      </c>
      <c r="AU388" s="153" t="n">
        <f aca="false">IFERROR(IF($N388="VCA",INDEX(APOIO_REDES!$A:$W,MATCH($C388&amp;$I388&amp;$H388&amp;$N388&amp;$O388,APOIO_REDES!$W:$W,0),MATCH(AU$5,APOIO_REDES!$5:$5,0)),0)*$AP388,0)</f>
        <v>0.0588878820289077</v>
      </c>
      <c r="AV388" s="153" t="n">
        <f aca="false">IFERROR(IF($N388="VCA",INDEX(APOIO_REDES!$A:$W,MATCH($C388&amp;$I388&amp;$H388&amp;$N388&amp;$O388,APOIO_REDES!$W:$W,0),MATCH(AV$5,APOIO_REDES!$5:$5,0)),0)*$AP388,0)</f>
        <v>0.00814962058480148</v>
      </c>
      <c r="AW388" s="153" t="n">
        <f aca="false">IFERROR(IF($N388="VCA",INDEX(APOIO_REDES!$A:$W,MATCH($C388&amp;$I388&amp;$H388&amp;$N388&amp;$O388,APOIO_REDES!$W:$W,0),MATCH(AW$5,APOIO_REDES!$5:$5,0)),0)*$AP388,0)</f>
        <v>4.65214052676819</v>
      </c>
      <c r="AX388" s="153" t="n">
        <f aca="false">IFERROR(IF($N388="VCA",INDEX(APOIO_REDES!$A:$W,MATCH($C388&amp;$I388&amp;$H388&amp;$N388&amp;$O388,APOIO_REDES!$W:$W,0),MATCH(AX$5,APOIO_REDES!$5:$5,0)),0)*$AP388,0)</f>
        <v>0.643842997031583</v>
      </c>
      <c r="AY388" s="153" t="n">
        <f aca="false">IFERROR(IF($N388="VCA",INDEX(APOIO_REDES!$A:$W,MATCH($C388&amp;$I388&amp;$H388&amp;$N388&amp;$O388,APOIO_REDES!$W:$W,0),MATCH(AY$5,APOIO_REDES!$5:$5,0)),0)*$AP388,0)</f>
        <v>1.17775692273965</v>
      </c>
      <c r="AZ388" s="153" t="n">
        <f aca="false">IFERROR(IF($N388="VCA",INDEX(APOIO_REDES!$A:$W,MATCH($C388&amp;$I388&amp;$H388&amp;$N388&amp;$O388,APOIO_REDES!$W:$W,0),MATCH(AZ$5,APOIO_REDES!$5:$5,0)),0)*$AP388,0)</f>
        <v>0.162998154404096</v>
      </c>
      <c r="BA388" s="153" t="n">
        <f aca="false">IFERROR(IF(AND($N388="VCA",$Q388="LINEAR"),INDEX(APOIO_REDES!$A:$W,MATCH($C388&amp;$I388&amp;$H388&amp;$N388&amp;$O388,APOIO_REDES!$W:$W,0),MATCH(BA$5,APOIO_REDES!$5:$5,0)),IF(AND($N388="MND",$Q388="EMBOQUE"),INDEX(APOIO_REDES!$A:$W,MATCH($C388&amp;$I388&amp;$H388&amp;$N388&amp;$O388,APOIO_REDES!$W:$W,0),MATCH(BA$5,APOIO_REDES!$5:$5,0)),0))*$M388/10,0)</f>
        <v>0.616570703485319</v>
      </c>
      <c r="BB388" s="153" t="n">
        <f aca="false">IFERROR(IF($N388="VCA",INDEX(APOIO_REDES!$A:$W,MATCH($C388&amp;$I388&amp;$H388&amp;$N388&amp;$O388,APOIO_REDES!$W:$W,0),MATCH(BB$5,APOIO_REDES!$5:$5,0)),0)*($AI388+$AQ388+$AR388),0)</f>
        <v>2.2772181481636</v>
      </c>
      <c r="BC388" s="153" t="n">
        <f aca="false">IFERROR(IF($N388="VCA",INDEX(APOIO_REDES!$A:$W,MATCH($C388&amp;$I388&amp;$H388&amp;$N388&amp;$O388,APOIO_REDES!$W:$W,0),MATCH(BC$5,APOIO_REDES!$5:$5,0)),0)*($AI388+$AQ388+$AR388),0)</f>
        <v>0.0250493518363962</v>
      </c>
      <c r="BD388" s="153" t="n">
        <f aca="false">IF(AND($N388="VCA",$AF388&gt;=1.25,$AF388&lt;1.5),$M388*$AF388*2,0)</f>
        <v>20.8539</v>
      </c>
      <c r="BE388" s="153" t="n">
        <f aca="false">IF(AND($N388="VCA",$AF388&gt;=1.5,$AF388&lt;3),$M388*$AF388*2,0)</f>
        <v>0</v>
      </c>
      <c r="BF388" s="153" t="n">
        <f aca="false">IF(AND($N388="VCA",$AF388&gt;=3),$M388*$AF388*2,0)</f>
        <v>0</v>
      </c>
      <c r="BG388" s="153" t="n">
        <f aca="false">($BB388+$BC388)*$AK388</f>
        <v>4.1440815</v>
      </c>
      <c r="BH388" s="153" t="n">
        <f aca="false">IF(AND($M388&lt;&gt;"",$N388="VCA",$Q388="LINEAR"),($M388*2)/100,IF(AND($M388&lt;&gt;"",$N388="MND",$Q388="EMBOQUE"),($AN388*2)/100,0))</f>
        <v>0.153</v>
      </c>
      <c r="BI388" s="153" t="n">
        <f aca="false">IF(AND($M388&lt;&gt;"",$N388="VCA",$Q388="LINEAR"),$M388,IF(AND($M388&lt;&gt;"",$N388="MND",$Q388="EMBOQUE"),$AN388*2,0))</f>
        <v>7.65</v>
      </c>
      <c r="BJ388" s="153" t="n">
        <f aca="false">IF(AND($M388&lt;&gt;"",$N388="VCA",$Q388="LINEAR"),($M388*6.8)/100,IF(AND($M388&lt;&gt;"",$N388="MND",$Q388="EMBOQUE"),($AN388*2*6.8)/100,0))</f>
        <v>0.5202</v>
      </c>
      <c r="BK388" s="153" t="n">
        <f aca="false">IF(AND($M388&lt;&gt;"",$N388="VCA",$Q388="LINEAR"),($M388*2.5)/50,IF(AND($M388&lt;&gt;"",$N388="MND",$Q388="EMBOQUE"),($AN388*2*2.5)/50,0))</f>
        <v>0.3825</v>
      </c>
      <c r="BL388" s="157" t="str">
        <f aca="false">K388&amp;J388</f>
        <v>Zona04REDES</v>
      </c>
      <c r="BM388" s="152" t="s">
        <v>2969</v>
      </c>
      <c r="BN388" s="152" t="s">
        <v>1560</v>
      </c>
      <c r="BO388" s="152" t="s">
        <v>1561</v>
      </c>
      <c r="BP388" s="152" t="s">
        <v>2987</v>
      </c>
      <c r="BQ388" s="152" t="s">
        <v>2996</v>
      </c>
      <c r="BR388" s="152" t="s">
        <v>2997</v>
      </c>
      <c r="BS388" s="152" t="n">
        <v>203724.033</v>
      </c>
      <c r="BT388" s="152" t="n">
        <v>8238820.022</v>
      </c>
      <c r="BU388" s="152" t="n">
        <v>203721.184</v>
      </c>
      <c r="BV388" s="152" t="n">
        <v>8238812.926</v>
      </c>
      <c r="BW388" s="152" t="n">
        <v>-15.9121777</v>
      </c>
      <c r="BX388" s="152" t="n">
        <v>-47.7670394</v>
      </c>
      <c r="BY388" s="152" t="s">
        <v>2987</v>
      </c>
    </row>
    <row r="389" customFormat="false" ht="13.8" hidden="false" customHeight="false" outlineLevel="0" collapsed="false">
      <c r="A389" s="149" t="n">
        <f aca="false">IF(C389&lt;&gt;"",ROW(A384),"")</f>
        <v>384</v>
      </c>
      <c r="B389" s="150" t="str">
        <f aca="false">HYPERLINK("https://www.google.com/maps/dir/-15.917302,-47.760003/-15.9122096,-47.7670531/data=!4m3!4m2!3e0!5i0")</f>
        <v>https://www.google.com/maps/dir/-15.917302,-47.760003/-15.9122096,-47.7670531/data=!4m3!4m2!3e0!5i0</v>
      </c>
      <c r="C389" s="151" t="s">
        <v>117</v>
      </c>
      <c r="D389" s="152" t="s">
        <v>112</v>
      </c>
      <c r="E389" s="152" t="s">
        <v>113</v>
      </c>
      <c r="F389" s="152" t="s">
        <v>117</v>
      </c>
      <c r="G389" s="152" t="s">
        <v>782</v>
      </c>
      <c r="H389" s="152" t="n">
        <v>63</v>
      </c>
      <c r="I389" s="152" t="s">
        <v>115</v>
      </c>
      <c r="J389" s="152" t="s">
        <v>6</v>
      </c>
      <c r="K389" s="152" t="s">
        <v>2966</v>
      </c>
      <c r="L389" s="152" t="s">
        <v>120</v>
      </c>
      <c r="M389" s="153" t="n">
        <f aca="false">56.52+0.22</f>
        <v>56.74</v>
      </c>
      <c r="N389" s="152" t="s">
        <v>1548</v>
      </c>
      <c r="O389" s="152" t="s">
        <v>1549</v>
      </c>
      <c r="P389" s="152" t="s">
        <v>1550</v>
      </c>
      <c r="Q389" s="152" t="s">
        <v>1551</v>
      </c>
      <c r="R389" s="154" t="s">
        <v>2998</v>
      </c>
      <c r="S389" s="154" t="s">
        <v>1553</v>
      </c>
      <c r="T389" s="155" t="s">
        <v>1554</v>
      </c>
      <c r="U389" s="152" t="str">
        <f aca="false">RIGHT(T389,7)</f>
        <v>002/037</v>
      </c>
      <c r="V389" s="152" t="s">
        <v>1555</v>
      </c>
      <c r="W389" s="156" t="n">
        <v>45882</v>
      </c>
      <c r="X389" s="152" t="s">
        <v>1594</v>
      </c>
      <c r="Y389" s="152" t="s">
        <v>2990</v>
      </c>
      <c r="Z389" s="152" t="s">
        <v>1557</v>
      </c>
      <c r="AA389" s="153" t="n">
        <v>1.8</v>
      </c>
      <c r="AB389" s="151" t="s">
        <v>2999</v>
      </c>
      <c r="AC389" s="151" t="s">
        <v>186</v>
      </c>
      <c r="AD389" s="151" t="str">
        <f aca="false">CONCATENATE($C389,$I389,$H389,$N389,$J389,$K389)</f>
        <v>TUBO PEADPEAD63VCAREDESZona04</v>
      </c>
      <c r="AE389" s="153" t="n">
        <f aca="false">IFERROR(INDEX(APOIO_REDES!$A:$W,MATCH($C389&amp;$I389&amp;$H389&amp;$N389&amp;$O389,APOIO_REDES!$W:$W,0),MATCH(AE$5,APOIO_REDES!$5:$5,0)),0)</f>
        <v>1.2</v>
      </c>
      <c r="AF389" s="153" t="n">
        <f aca="false">IFERROR(INDEX(APOIO_REDES!$A:$W,MATCH($C389&amp;$I389&amp;$H389&amp;$N389&amp;$O389,APOIO_REDES!$W:$W,0),MATCH(AF$5,APOIO_REDES!$5:$5,0)),0)</f>
        <v>1.363</v>
      </c>
      <c r="AG389" s="153" t="n">
        <f aca="false">IFERROR(INDEX(APOIO_REDES!$A:$W,MATCH($C389&amp;$I389&amp;$H389&amp;$N389&amp;$O389,APOIO_REDES!$W:$W,0),MATCH(AG$5,APOIO_REDES!$5:$5,0)),0)</f>
        <v>0.65</v>
      </c>
      <c r="AH389" s="153" t="n">
        <f aca="false">IFERROR(INDEX(APOIO_REDES!$A:$W,MATCH($C389&amp;$I389&amp;$H389&amp;$N389&amp;$O389,APOIO_REDES!$W:$W,0),MATCH(AH$5,APOIO_REDES!$5:$5,0)),0)</f>
        <v>0.1</v>
      </c>
      <c r="AI389" s="153" t="n">
        <f aca="false">IFERROR(IF($H389&lt;&gt;"",(((($H389/1000)/2)^2)*PI()*$M389),0),0)</f>
        <v>0.176872498919159</v>
      </c>
      <c r="AJ389" s="153" t="n">
        <f aca="false">IFERROR(IF(AND($H389&lt;&gt;"",$I389="FoFo",OR($N389="MND",$N389="VCA"),$Q389="LINEAR"),0,IF(AND($H389&lt;&gt;"",$I389="PEAD",$N389="VCA",$Q389="LINEAR"),($H389/1000)+0.3,IF(AND($H389&lt;&gt;"",$I389="PEAD",$N389="MND",$Q389="EMBOQUE"),0,IF(AND($H389&lt;&gt;"",$I389="PVC",$N389="VCA",$Q389="LINEAR"),($H389/1000)+0.2,IF(AND($H389&lt;&gt;"",$I389="PVC",$N389="MND",$Q389="EMBOQUE"),0,IF(AND($H389&lt;&gt;"",$I389="PEAD",$N389="VCA",$Q389="PREDIAL"),0,0)))))),0)</f>
        <v>0.363</v>
      </c>
      <c r="AK389" s="153" t="n">
        <f aca="false">IF(AA389&lt;&gt;"",AA389,0)</f>
        <v>1.8</v>
      </c>
      <c r="AL389" s="153" t="n">
        <f aca="false">IF(AND($N389="MND",$Q389="EMBOQUE"),$M389,IF(AND($N389="VCA",$Q389="LINEAR"),$M389,IF(AND($N389="VCA",$Q389="PREDIAL"),0,0)))</f>
        <v>56.74</v>
      </c>
      <c r="AM389" s="153" t="n">
        <f aca="false">IF(AND($N389="MND",$Q389="EMBOQUE"),$M389,IF(AND($N389="VCA",$Q389="LINEAR"),$M389,IF(AND($N389="VCA",$Q389="PREDIAL"),0,0)))</f>
        <v>56.74</v>
      </c>
      <c r="AN389" s="153" t="n">
        <f aca="false">ROUND(IF(AND($N389="VCA",$M389&lt;&gt;"",$Q389="LINEAR"),$M389/100,IF(AND($N389="MND",$M389&gt;100,$Q389="EMBOQUE"),$M389/100,0)),0)</f>
        <v>1</v>
      </c>
      <c r="AO389" s="153" t="n">
        <f aca="false">IF(AND($N389="MND",$Q389="EMBOQUE"),$AN389*2*2,IF(AND($N389="VCA",$Q389="LINEAR"),$M389*2,IF(AND($N389="VCA",$Q389="PREDIAL"),0,0)))</f>
        <v>113.48</v>
      </c>
      <c r="AP389" s="153" t="n">
        <f aca="false">IFERROR($M389*$AF389*$AG389,0)</f>
        <v>50.268803</v>
      </c>
      <c r="AQ389" s="153" t="n">
        <f aca="false">IFERROR(IF(AND($N389="VCA",$AH389&gt;0),$M389*$AG389*$AH389,0),0)</f>
        <v>3.6881</v>
      </c>
      <c r="AR389" s="153" t="n">
        <f aca="false">IFERROR(IF(AND($N389="VCA",$AJ389&gt;0),($M389*$AG389*$AJ389)-$AI389,0),0)</f>
        <v>13.2109305010808</v>
      </c>
      <c r="AS389" s="153" t="n">
        <f aca="false">IFERROR(IF(AND($N389="VCA",$AP389&gt;0),$AP389-$AI389-$AQ389-$AR389,0),0)</f>
        <v>33.1929</v>
      </c>
      <c r="AT389" s="153" t="n">
        <f aca="false">IFERROR(IF($N389="VCA",INDEX(APOIO_REDES!$A:$W,MATCH($C389&amp;$I389&amp;$H389&amp;$N389&amp;$O389,APOIO_REDES!$W:$W,0),MATCH(AT$5,APOIO_REDES!$5:$5,0)),0)*$AP389,0)</f>
        <v>0.546939455446201</v>
      </c>
      <c r="AU389" s="153" t="n">
        <f aca="false">IFERROR(IF($N389="VCA",INDEX(APOIO_REDES!$A:$W,MATCH($C389&amp;$I389&amp;$H389&amp;$N389&amp;$O389,APOIO_REDES!$W:$W,0),MATCH(AU$5,APOIO_REDES!$5:$5,0)),0)*$AP389,0)</f>
        <v>0.436771036120291</v>
      </c>
      <c r="AV389" s="153" t="n">
        <f aca="false">IFERROR(IF($N389="VCA",INDEX(APOIO_REDES!$A:$W,MATCH($C389&amp;$I389&amp;$H389&amp;$N389&amp;$O389,APOIO_REDES!$W:$W,0),MATCH(AV$5,APOIO_REDES!$5:$5,0)),0)*$AP389,0)</f>
        <v>0.0604456826119785</v>
      </c>
      <c r="AW389" s="153" t="n">
        <f aca="false">IFERROR(IF($N389="VCA",INDEX(APOIO_REDES!$A:$W,MATCH($C389&amp;$I389&amp;$H389&amp;$N389&amp;$O389,APOIO_REDES!$W:$W,0),MATCH(AW$5,APOIO_REDES!$5:$5,0)),0)*$AP389,0)</f>
        <v>34.5048958808924</v>
      </c>
      <c r="AX389" s="153" t="n">
        <f aca="false">IFERROR(IF($N389="VCA",INDEX(APOIO_REDES!$A:$W,MATCH($C389&amp;$I389&amp;$H389&amp;$N389&amp;$O389,APOIO_REDES!$W:$W,0),MATCH(AX$5,APOIO_REDES!$5:$5,0)),0)*$AP389,0)</f>
        <v>4.77537930085908</v>
      </c>
      <c r="AY389" s="153" t="n">
        <f aca="false">IFERROR(IF($N389="VCA",INDEX(APOIO_REDES!$A:$W,MATCH($C389&amp;$I389&amp;$H389&amp;$N389&amp;$O389,APOIO_REDES!$W:$W,0),MATCH(AY$5,APOIO_REDES!$5:$5,0)),0)*$AP389,0)</f>
        <v>8.73541539820229</v>
      </c>
      <c r="AZ389" s="153" t="n">
        <f aca="false">IFERROR(IF($N389="VCA",INDEX(APOIO_REDES!$A:$W,MATCH($C389&amp;$I389&amp;$H389&amp;$N389&amp;$O389,APOIO_REDES!$W:$W,0),MATCH(AZ$5,APOIO_REDES!$5:$5,0)),0)*$AP389,0)</f>
        <v>1.20895624586777</v>
      </c>
      <c r="BA389" s="153" t="n">
        <f aca="false">IFERROR(IF(AND($N389="VCA",$Q389="LINEAR"),INDEX(APOIO_REDES!$A:$W,MATCH($C389&amp;$I389&amp;$H389&amp;$N389&amp;$O389,APOIO_REDES!$W:$W,0),MATCH(BA$5,APOIO_REDES!$5:$5,0)),IF(AND($N389="MND",$Q389="EMBOQUE"),INDEX(APOIO_REDES!$A:$W,MATCH($C389&amp;$I389&amp;$H389&amp;$N389&amp;$O389,APOIO_REDES!$W:$W,0),MATCH(BA$5,APOIO_REDES!$5:$5,0)),0))*$M389/10,0)</f>
        <v>4.57310087787673</v>
      </c>
      <c r="BB389" s="153" t="n">
        <f aca="false">IFERROR(IF($N389="VCA",INDEX(APOIO_REDES!$A:$W,MATCH($C389&amp;$I389&amp;$H389&amp;$N389&amp;$O389,APOIO_REDES!$W:$W,0),MATCH(BB$5,APOIO_REDES!$5:$5,0)),0)*($AI389+$AQ389+$AR389),0)</f>
        <v>16.8901121211507</v>
      </c>
      <c r="BC389" s="153" t="n">
        <f aca="false">IFERROR(IF($N389="VCA",INDEX(APOIO_REDES!$A:$W,MATCH($C389&amp;$I389&amp;$H389&amp;$N389&amp;$O389,APOIO_REDES!$W:$W,0),MATCH(BC$5,APOIO_REDES!$5:$5,0)),0)*($AI389+$AQ389+$AR389),0)</f>
        <v>0.185790878849296</v>
      </c>
      <c r="BD389" s="153" t="n">
        <f aca="false">IF(AND($N389="VCA",$AF389&gt;=1.25,$AF389&lt;1.5),$M389*$AF389*2,0)</f>
        <v>154.67324</v>
      </c>
      <c r="BE389" s="153" t="n">
        <f aca="false">IF(AND($N389="VCA",$AF389&gt;=1.5,$AF389&lt;3),$M389*$AF389*2,0)</f>
        <v>0</v>
      </c>
      <c r="BF389" s="153" t="n">
        <f aca="false">IF(AND($N389="VCA",$AF389&gt;=3),$M389*$AF389*2,0)</f>
        <v>0</v>
      </c>
      <c r="BG389" s="153" t="n">
        <f aca="false">($BB389+$BC389)*$AK389</f>
        <v>30.7366254</v>
      </c>
      <c r="BH389" s="153" t="n">
        <f aca="false">IF(AND($M389&lt;&gt;"",$N389="VCA",$Q389="LINEAR"),($M389*2)/100,IF(AND($M389&lt;&gt;"",$N389="MND",$Q389="EMBOQUE"),($AN389*2)/100,0))</f>
        <v>1.1348</v>
      </c>
      <c r="BI389" s="153" t="n">
        <f aca="false">IF(AND($M389&lt;&gt;"",$N389="VCA",$Q389="LINEAR"),$M389,IF(AND($M389&lt;&gt;"",$N389="MND",$Q389="EMBOQUE"),$AN389*2,0))</f>
        <v>56.74</v>
      </c>
      <c r="BJ389" s="153" t="n">
        <f aca="false">IF(AND($M389&lt;&gt;"",$N389="VCA",$Q389="LINEAR"),($M389*6.8)/100,IF(AND($M389&lt;&gt;"",$N389="MND",$Q389="EMBOQUE"),($AN389*2*6.8)/100,0))</f>
        <v>3.85832</v>
      </c>
      <c r="BK389" s="153" t="n">
        <f aca="false">IF(AND($M389&lt;&gt;"",$N389="VCA",$Q389="LINEAR"),($M389*2.5)/50,IF(AND($M389&lt;&gt;"",$N389="MND",$Q389="EMBOQUE"),($AN389*2*2.5)/50,0))</f>
        <v>2.837</v>
      </c>
      <c r="BL389" s="157" t="str">
        <f aca="false">K389&amp;J389</f>
        <v>Zona04REDES</v>
      </c>
      <c r="BM389" s="152" t="s">
        <v>2969</v>
      </c>
      <c r="BN389" s="152" t="s">
        <v>1560</v>
      </c>
      <c r="BO389" s="152" t="s">
        <v>1561</v>
      </c>
      <c r="BP389" s="152" t="s">
        <v>2996</v>
      </c>
      <c r="BQ389" s="152" t="s">
        <v>3000</v>
      </c>
      <c r="BR389" s="152" t="s">
        <v>2997</v>
      </c>
      <c r="BS389" s="152" t="n">
        <v>203721.184</v>
      </c>
      <c r="BT389" s="152" t="n">
        <v>8238812.926</v>
      </c>
      <c r="BU389" s="152" t="n">
        <v>203775.872</v>
      </c>
      <c r="BV389" s="152" t="n">
        <v>8238798.713</v>
      </c>
      <c r="BW389" s="152" t="n">
        <v>-15.9122774</v>
      </c>
      <c r="BX389" s="152" t="n">
        <v>-47.766799</v>
      </c>
      <c r="BY389" s="152" t="s">
        <v>2996</v>
      </c>
    </row>
    <row r="390" customFormat="false" ht="13.8" hidden="false" customHeight="false" outlineLevel="0" collapsed="false">
      <c r="A390" s="149" t="n">
        <f aca="false">IF(C390&lt;&gt;"",ROW(A385),"")</f>
        <v>385</v>
      </c>
      <c r="B390" s="150" t="str">
        <f aca="false">HYPERLINK("https://www.google.com/maps/dir/-15.917302,-47.760003/-15.9117527,-47.7680347/data=!4m3!4m2!3e0!5i0")</f>
        <v>https://www.google.com/maps/dir/-15.917302,-47.760003/-15.9117527,-47.7680347/data=!4m3!4m2!3e0!5i0</v>
      </c>
      <c r="C390" s="151" t="s">
        <v>117</v>
      </c>
      <c r="D390" s="152" t="s">
        <v>112</v>
      </c>
      <c r="E390" s="152" t="s">
        <v>113</v>
      </c>
      <c r="F390" s="152" t="s">
        <v>117</v>
      </c>
      <c r="G390" s="152" t="s">
        <v>114</v>
      </c>
      <c r="H390" s="152" t="n">
        <v>160</v>
      </c>
      <c r="I390" s="152" t="s">
        <v>115</v>
      </c>
      <c r="J390" s="152" t="s">
        <v>6</v>
      </c>
      <c r="K390" s="152" t="s">
        <v>2966</v>
      </c>
      <c r="L390" s="152" t="s">
        <v>120</v>
      </c>
      <c r="M390" s="153" t="n">
        <f aca="false">200.08</f>
        <v>200.08</v>
      </c>
      <c r="N390" s="152" t="s">
        <v>1548</v>
      </c>
      <c r="O390" s="152" t="s">
        <v>1549</v>
      </c>
      <c r="P390" s="152" t="s">
        <v>1550</v>
      </c>
      <c r="Q390" s="152" t="s">
        <v>1551</v>
      </c>
      <c r="R390" s="154" t="s">
        <v>3001</v>
      </c>
      <c r="S390" s="154" t="s">
        <v>1593</v>
      </c>
      <c r="T390" s="155" t="s">
        <v>1746</v>
      </c>
      <c r="U390" s="152" t="str">
        <f aca="false">RIGHT(T390,7)</f>
        <v>003/037</v>
      </c>
      <c r="V390" s="152" t="s">
        <v>1555</v>
      </c>
      <c r="W390" s="156" t="n">
        <v>45882</v>
      </c>
      <c r="X390" s="152" t="s">
        <v>1594</v>
      </c>
      <c r="Y390" s="152"/>
      <c r="Z390" s="152" t="s">
        <v>1557</v>
      </c>
      <c r="AA390" s="153" t="n">
        <v>1.7</v>
      </c>
      <c r="AB390" s="151" t="s">
        <v>3002</v>
      </c>
      <c r="AC390" s="151" t="s">
        <v>505</v>
      </c>
      <c r="AD390" s="151" t="str">
        <f aca="false">CONCATENATE($C390,$I390,$H390,$N390,$J390,$K390)</f>
        <v>TUBO PEADPEAD160VCAREDESZona04</v>
      </c>
      <c r="AE390" s="153" t="n">
        <f aca="false">IFERROR(INDEX(APOIO_REDES!$A:$W,MATCH($C390&amp;$I390&amp;$H390&amp;$N390&amp;$O390,APOIO_REDES!$W:$W,0),MATCH(AE$5,APOIO_REDES!$5:$5,0)),0)</f>
        <v>1.2</v>
      </c>
      <c r="AF390" s="153" t="n">
        <f aca="false">IFERROR(INDEX(APOIO_REDES!$A:$W,MATCH($C390&amp;$I390&amp;$H390&amp;$N390&amp;$O390,APOIO_REDES!$W:$W,0),MATCH(AF$5,APOIO_REDES!$5:$5,0)),0)</f>
        <v>1.46</v>
      </c>
      <c r="AG390" s="153" t="n">
        <f aca="false">IFERROR(INDEX(APOIO_REDES!$A:$W,MATCH($C390&amp;$I390&amp;$H390&amp;$N390&amp;$O390,APOIO_REDES!$W:$W,0),MATCH(AG$5,APOIO_REDES!$5:$5,0)),0)</f>
        <v>0.75</v>
      </c>
      <c r="AH390" s="153" t="n">
        <f aca="false">IFERROR(INDEX(APOIO_REDES!$A:$W,MATCH($C390&amp;$I390&amp;$H390&amp;$N390&amp;$O390,APOIO_REDES!$W:$W,0),MATCH(AH$5,APOIO_REDES!$5:$5,0)),0)</f>
        <v>0.1</v>
      </c>
      <c r="AI390" s="153" t="n">
        <f aca="false">IFERROR(IF($H390&lt;&gt;"",(((($H390/1000)/2)^2)*PI()*$M390),0),0)</f>
        <v>4.02284709203357</v>
      </c>
      <c r="AJ390" s="153" t="n">
        <f aca="false">IFERROR(IF(AND($H390&lt;&gt;"",$I390="FoFo",OR($N390="MND",$N390="VCA"),$Q390="LINEAR"),0,IF(AND($H390&lt;&gt;"",$I390="PEAD",$N390="VCA",$Q390="LINEAR"),($H390/1000)+0.3,IF(AND($H390&lt;&gt;"",$I390="PEAD",$N390="MND",$Q390="EMBOQUE"),0,IF(AND($H390&lt;&gt;"",$I390="PVC",$N390="VCA",$Q390="LINEAR"),($H390/1000)+0.2,IF(AND($H390&lt;&gt;"",$I390="PVC",$N390="MND",$Q390="EMBOQUE"),0,IF(AND($H390&lt;&gt;"",$I390="PEAD",$N390="VCA",$Q390="PREDIAL"),0,0)))))),0)</f>
        <v>0.46</v>
      </c>
      <c r="AK390" s="153" t="n">
        <f aca="false">IF(AA390&lt;&gt;"",AA390,0)</f>
        <v>1.7</v>
      </c>
      <c r="AL390" s="153" t="n">
        <f aca="false">IF(AND($N390="MND",$Q390="EMBOQUE"),$M390,IF(AND($N390="VCA",$Q390="LINEAR"),$M390,IF(AND($N390="VCA",$Q390="PREDIAL"),0,0)))</f>
        <v>200.08</v>
      </c>
      <c r="AM390" s="153" t="n">
        <f aca="false">IF(AND($N390="MND",$Q390="EMBOQUE"),$M390,IF(AND($N390="VCA",$Q390="LINEAR"),$M390,IF(AND($N390="VCA",$Q390="PREDIAL"),0,0)))</f>
        <v>200.08</v>
      </c>
      <c r="AN390" s="153" t="n">
        <f aca="false">ROUND(IF(AND($N390="VCA",$M390&lt;&gt;"",$Q390="LINEAR"),$M390/100,IF(AND($N390="MND",$M390&gt;100,$Q390="EMBOQUE"),$M390/100,0)),0)</f>
        <v>2</v>
      </c>
      <c r="AO390" s="153" t="n">
        <f aca="false">IF(AND($N390="MND",$Q390="EMBOQUE"),$AN390*2*2,IF(AND($N390="VCA",$Q390="LINEAR"),$M390*2,IF(AND($N390="VCA",$Q390="PREDIAL"),0,0)))</f>
        <v>400.16</v>
      </c>
      <c r="AP390" s="153" t="n">
        <f aca="false">IFERROR($M390*$AF390*$AG390,0)</f>
        <v>219.0876</v>
      </c>
      <c r="AQ390" s="153" t="n">
        <f aca="false">IFERROR(IF(AND($N390="VCA",$AH390&gt;0),$M390*$AG390*$AH390,0),0)</f>
        <v>15.006</v>
      </c>
      <c r="AR390" s="153" t="n">
        <f aca="false">IFERROR(IF(AND($N390="VCA",$AJ390&gt;0),($M390*$AG390*$AJ390)-$AI390,0),0)</f>
        <v>65.0047529079664</v>
      </c>
      <c r="AS390" s="153" t="n">
        <f aca="false">IFERROR(IF(AND($N390="VCA",$AP390&gt;0),$AP390-$AI390-$AQ390-$AR390,0),0)</f>
        <v>135.054</v>
      </c>
      <c r="AT390" s="153" t="n">
        <f aca="false">IFERROR(IF($N390="VCA",INDEX(APOIO_REDES!$A:$W,MATCH($C390&amp;$I390&amp;$H390&amp;$N390&amp;$O390,APOIO_REDES!$W:$W,0),MATCH(AT$5,APOIO_REDES!$5:$5,0)),0)*$AP390,0)</f>
        <v>2.38373793461951</v>
      </c>
      <c r="AU390" s="153" t="n">
        <f aca="false">IFERROR(IF($N390="VCA",INDEX(APOIO_REDES!$A:$W,MATCH($C390&amp;$I390&amp;$H390&amp;$N390&amp;$O390,APOIO_REDES!$W:$W,0),MATCH(AU$5,APOIO_REDES!$5:$5,0)),0)*$AP390,0)</f>
        <v>1.90358855477637</v>
      </c>
      <c r="AV390" s="153" t="n">
        <f aca="false">IFERROR(IF($N390="VCA",INDEX(APOIO_REDES!$A:$W,MATCH($C390&amp;$I390&amp;$H390&amp;$N390&amp;$O390,APOIO_REDES!$W:$W,0),MATCH(AV$5,APOIO_REDES!$5:$5,0)),0)*$AP390,0)</f>
        <v>0.263441712224978</v>
      </c>
      <c r="AW390" s="153" t="n">
        <f aca="false">IFERROR(IF($N390="VCA",INDEX(APOIO_REDES!$A:$W,MATCH($C390&amp;$I390&amp;$H390&amp;$N390&amp;$O390,APOIO_REDES!$W:$W,0),MATCH(AW$5,APOIO_REDES!$5:$5,0)),0)*$AP390,0)</f>
        <v>150.383426213562</v>
      </c>
      <c r="AX390" s="153" t="n">
        <f aca="false">IFERROR(IF($N390="VCA",INDEX(APOIO_REDES!$A:$W,MATCH($C390&amp;$I390&amp;$H390&amp;$N390&amp;$O390,APOIO_REDES!$W:$W,0),MATCH(AX$5,APOIO_REDES!$5:$5,0)),0)*$AP390,0)</f>
        <v>20.8126378126588</v>
      </c>
      <c r="AY390" s="153" t="n">
        <f aca="false">IFERROR(IF($N390="VCA",INDEX(APOIO_REDES!$A:$W,MATCH($C390&amp;$I390&amp;$H390&amp;$N390&amp;$O390,APOIO_REDES!$W:$W,0),MATCH(AY$5,APOIO_REDES!$5:$5,0)),0)*$AP390,0)</f>
        <v>38.0717478909371</v>
      </c>
      <c r="AZ390" s="153" t="n">
        <f aca="false">IFERROR(IF($N390="VCA",INDEX(APOIO_REDES!$A:$W,MATCH($C390&amp;$I390&amp;$H390&amp;$N390&amp;$O390,APOIO_REDES!$W:$W,0),MATCH(AZ$5,APOIO_REDES!$5:$5,0)),0)*$AP390,0)</f>
        <v>5.26901988122094</v>
      </c>
      <c r="BA390" s="153" t="n">
        <f aca="false">IFERROR(IF(AND($N390="VCA",$Q390="LINEAR"),INDEX(APOIO_REDES!$A:$W,MATCH($C390&amp;$I390&amp;$H390&amp;$N390&amp;$O390,APOIO_REDES!$W:$W,0),MATCH(BA$5,APOIO_REDES!$5:$5,0)),IF(AND($N390="MND",$Q390="EMBOQUE"),INDEX(APOIO_REDES!$A:$W,MATCH($C390&amp;$I390&amp;$H390&amp;$N390&amp;$O390,APOIO_REDES!$W:$W,0),MATCH(BA$5,APOIO_REDES!$5:$5,0)),0))*$M390/10,0)</f>
        <v>16.1259433141624</v>
      </c>
      <c r="BB390" s="153" t="n">
        <f aca="false">IFERROR(IF($N390="VCA",INDEX(APOIO_REDES!$A:$W,MATCH($C390&amp;$I390&amp;$H390&amp;$N390&amp;$O390,APOIO_REDES!$W:$W,0),MATCH(BB$5,APOIO_REDES!$5:$5,0)),0)*($AI390+$AQ390+$AR390),0)</f>
        <v>83.119289559324</v>
      </c>
      <c r="BC390" s="153" t="n">
        <f aca="false">IFERROR(IF($N390="VCA",INDEX(APOIO_REDES!$A:$W,MATCH($C390&amp;$I390&amp;$H390&amp;$N390&amp;$O390,APOIO_REDES!$W:$W,0),MATCH(BC$5,APOIO_REDES!$5:$5,0)),0)*($AI390+$AQ390+$AR390),0)</f>
        <v>0.914310440675977</v>
      </c>
      <c r="BD390" s="153" t="n">
        <f aca="false">IF(AND($N390="VCA",$AF390&gt;=1.25,$AF390&lt;1.5),$M390*$AF390*2,0)</f>
        <v>584.2336</v>
      </c>
      <c r="BE390" s="153" t="n">
        <f aca="false">IF(AND($N390="VCA",$AF390&gt;=1.5,$AF390&lt;3),$M390*$AF390*2,0)</f>
        <v>0</v>
      </c>
      <c r="BF390" s="153" t="n">
        <f aca="false">IF(AND($N390="VCA",$AF390&gt;=3),$M390*$AF390*2,0)</f>
        <v>0</v>
      </c>
      <c r="BG390" s="153" t="n">
        <f aca="false">($BB390+$BC390)*$AK390</f>
        <v>142.85712</v>
      </c>
      <c r="BH390" s="153" t="n">
        <f aca="false">IF(AND($M390&lt;&gt;"",$N390="VCA",$Q390="LINEAR"),($M390*2)/100,IF(AND($M390&lt;&gt;"",$N390="MND",$Q390="EMBOQUE"),($AN390*2)/100,0))</f>
        <v>4.0016</v>
      </c>
      <c r="BI390" s="153" t="n">
        <f aca="false">IF(AND($M390&lt;&gt;"",$N390="VCA",$Q390="LINEAR"),$M390,IF(AND($M390&lt;&gt;"",$N390="MND",$Q390="EMBOQUE"),$AN390*2,0))</f>
        <v>200.08</v>
      </c>
      <c r="BJ390" s="153" t="n">
        <f aca="false">IF(AND($M390&lt;&gt;"",$N390="VCA",$Q390="LINEAR"),($M390*6.8)/100,IF(AND($M390&lt;&gt;"",$N390="MND",$Q390="EMBOQUE"),($AN390*2*6.8)/100,0))</f>
        <v>13.60544</v>
      </c>
      <c r="BK390" s="153" t="n">
        <f aca="false">IF(AND($M390&lt;&gt;"",$N390="VCA",$Q390="LINEAR"),($M390*2.5)/50,IF(AND($M390&lt;&gt;"",$N390="MND",$Q390="EMBOQUE"),($AN390*2*2.5)/50,0))</f>
        <v>10.004</v>
      </c>
      <c r="BL390" s="157" t="str">
        <f aca="false">K390&amp;J390</f>
        <v>Zona04REDES</v>
      </c>
      <c r="BM390" s="152" t="s">
        <v>2969</v>
      </c>
      <c r="BN390" s="152" t="s">
        <v>1560</v>
      </c>
      <c r="BO390" s="152" t="s">
        <v>1748</v>
      </c>
      <c r="BP390" s="152" t="s">
        <v>2975</v>
      </c>
      <c r="BQ390" s="152" t="s">
        <v>3003</v>
      </c>
      <c r="BR390" s="152" t="s">
        <v>3004</v>
      </c>
      <c r="BS390" s="152" t="n">
        <v>203614.87</v>
      </c>
      <c r="BT390" s="152" t="n">
        <v>8238862.304</v>
      </c>
      <c r="BU390" s="152" t="n">
        <v>203540.253</v>
      </c>
      <c r="BV390" s="152" t="n">
        <v>8238676.669</v>
      </c>
      <c r="BW390" s="152" t="n">
        <v>-15.9125874</v>
      </c>
      <c r="BX390" s="152" t="n">
        <v>-47.7683919</v>
      </c>
      <c r="BY390" s="152" t="s">
        <v>2975</v>
      </c>
    </row>
    <row r="391" customFormat="false" ht="13.8" hidden="false" customHeight="false" outlineLevel="0" collapsed="false">
      <c r="A391" s="149" t="n">
        <f aca="false">IF(C391&lt;&gt;"",ROW(A386),"")</f>
        <v>386</v>
      </c>
      <c r="B391" s="150" t="str">
        <f aca="false">HYPERLINK("https://www.google.com/maps/dir/-15.917302,-47.760003/-15.9134183,-47.7687584/data=!4m3!4m2!3e0!5i0")</f>
        <v>https://www.google.com/maps/dir/-15.917302,-47.760003/-15.9134183,-47.7687584/data=!4m3!4m2!3e0!5i0</v>
      </c>
      <c r="C391" s="151" t="s">
        <v>117</v>
      </c>
      <c r="D391" s="152" t="s">
        <v>112</v>
      </c>
      <c r="E391" s="152" t="s">
        <v>113</v>
      </c>
      <c r="F391" s="152" t="s">
        <v>117</v>
      </c>
      <c r="G391" s="152" t="s">
        <v>782</v>
      </c>
      <c r="H391" s="152" t="n">
        <v>90</v>
      </c>
      <c r="I391" s="152" t="s">
        <v>115</v>
      </c>
      <c r="J391" s="152" t="s">
        <v>6</v>
      </c>
      <c r="K391" s="152" t="s">
        <v>2966</v>
      </c>
      <c r="L391" s="152" t="s">
        <v>120</v>
      </c>
      <c r="M391" s="153" t="n">
        <f aca="false">33.29+0.38</f>
        <v>33.67</v>
      </c>
      <c r="N391" s="152" t="s">
        <v>1548</v>
      </c>
      <c r="O391" s="152" t="s">
        <v>1549</v>
      </c>
      <c r="P391" s="152" t="s">
        <v>1550</v>
      </c>
      <c r="Q391" s="152" t="s">
        <v>1551</v>
      </c>
      <c r="R391" s="154" t="s">
        <v>3005</v>
      </c>
      <c r="S391" s="154" t="s">
        <v>1593</v>
      </c>
      <c r="T391" s="155" t="s">
        <v>1746</v>
      </c>
      <c r="U391" s="152" t="str">
        <f aca="false">RIGHT(T391,7)</f>
        <v>003/037</v>
      </c>
      <c r="V391" s="152" t="s">
        <v>1555</v>
      </c>
      <c r="W391" s="156" t="n">
        <v>45882</v>
      </c>
      <c r="X391" s="152" t="s">
        <v>1556</v>
      </c>
      <c r="Y391" s="152"/>
      <c r="Z391" s="152" t="s">
        <v>1557</v>
      </c>
      <c r="AA391" s="153" t="n">
        <v>1.9</v>
      </c>
      <c r="AB391" s="151" t="s">
        <v>3006</v>
      </c>
      <c r="AC391" s="151" t="s">
        <v>526</v>
      </c>
      <c r="AD391" s="151" t="str">
        <f aca="false">CONCATENATE($C391,$I391,$H391,$N391,$J391,$K391)</f>
        <v>TUBO PEADPEAD90VCAREDESZona04</v>
      </c>
      <c r="AE391" s="153" t="n">
        <f aca="false">IFERROR(INDEX(APOIO_REDES!$A:$W,MATCH($C391&amp;$I391&amp;$H391&amp;$N391&amp;$O391,APOIO_REDES!$W:$W,0),MATCH(AE$5,APOIO_REDES!$5:$5,0)),0)</f>
        <v>1.2</v>
      </c>
      <c r="AF391" s="153" t="n">
        <f aca="false">IFERROR(INDEX(APOIO_REDES!$A:$W,MATCH($C391&amp;$I391&amp;$H391&amp;$N391&amp;$O391,APOIO_REDES!$W:$W,0),MATCH(AF$5,APOIO_REDES!$5:$5,0)),0)</f>
        <v>1.39</v>
      </c>
      <c r="AG391" s="153" t="n">
        <f aca="false">IFERROR(INDEX(APOIO_REDES!$A:$W,MATCH($C391&amp;$I391&amp;$H391&amp;$N391&amp;$O391,APOIO_REDES!$W:$W,0),MATCH(AG$5,APOIO_REDES!$5:$5,0)),0)</f>
        <v>0.75</v>
      </c>
      <c r="AH391" s="153" t="n">
        <f aca="false">IFERROR(INDEX(APOIO_REDES!$A:$W,MATCH($C391&amp;$I391&amp;$H391&amp;$N391&amp;$O391,APOIO_REDES!$W:$W,0),MATCH(AH$5,APOIO_REDES!$5:$5,0)),0)</f>
        <v>0.1</v>
      </c>
      <c r="AI391" s="153" t="n">
        <f aca="false">IFERROR(IF($H391&lt;&gt;"",(((($H391/1000)/2)^2)*PI()*$M391),0),0)</f>
        <v>0.214199284908896</v>
      </c>
      <c r="AJ391" s="153" t="n">
        <f aca="false">IFERROR(IF(AND($H391&lt;&gt;"",$I391="FoFo",OR($N391="MND",$N391="VCA"),$Q391="LINEAR"),0,IF(AND($H391&lt;&gt;"",$I391="PEAD",$N391="VCA",$Q391="LINEAR"),($H391/1000)+0.3,IF(AND($H391&lt;&gt;"",$I391="PEAD",$N391="MND",$Q391="EMBOQUE"),0,IF(AND($H391&lt;&gt;"",$I391="PVC",$N391="VCA",$Q391="LINEAR"),($H391/1000)+0.2,IF(AND($H391&lt;&gt;"",$I391="PVC",$N391="MND",$Q391="EMBOQUE"),0,IF(AND($H391&lt;&gt;"",$I391="PEAD",$N391="VCA",$Q391="PREDIAL"),0,0)))))),0)</f>
        <v>0.39</v>
      </c>
      <c r="AK391" s="153" t="n">
        <f aca="false">IF(AA391&lt;&gt;"",AA391,0)</f>
        <v>1.9</v>
      </c>
      <c r="AL391" s="153" t="n">
        <f aca="false">IF(AND($N391="MND",$Q391="EMBOQUE"),$M391,IF(AND($N391="VCA",$Q391="LINEAR"),$M391,IF(AND($N391="VCA",$Q391="PREDIAL"),0,0)))</f>
        <v>33.67</v>
      </c>
      <c r="AM391" s="153" t="n">
        <f aca="false">IF(AND($N391="MND",$Q391="EMBOQUE"),$M391,IF(AND($N391="VCA",$Q391="LINEAR"),$M391,IF(AND($N391="VCA",$Q391="PREDIAL"),0,0)))</f>
        <v>33.67</v>
      </c>
      <c r="AN391" s="153" t="n">
        <f aca="false">ROUND(IF(AND($N391="VCA",$M391&lt;&gt;"",$Q391="LINEAR"),$M391/100,IF(AND($N391="MND",$M391&gt;100,$Q391="EMBOQUE"),$M391/100,0)),0)</f>
        <v>0</v>
      </c>
      <c r="AO391" s="153" t="n">
        <f aca="false">IF(AND($N391="MND",$Q391="EMBOQUE"),$AN391*2*2,IF(AND($N391="VCA",$Q391="LINEAR"),$M391*2,IF(AND($N391="VCA",$Q391="PREDIAL"),0,0)))</f>
        <v>67.34</v>
      </c>
      <c r="AP391" s="153" t="n">
        <f aca="false">IFERROR($M391*$AF391*$AG391,0)</f>
        <v>35.100975</v>
      </c>
      <c r="AQ391" s="153" t="n">
        <f aca="false">IFERROR(IF(AND($N391="VCA",$AH391&gt;0),$M391*$AG391*$AH391,0),0)</f>
        <v>2.52525</v>
      </c>
      <c r="AR391" s="153" t="n">
        <f aca="false">IFERROR(IF(AND($N391="VCA",$AJ391&gt;0),($M391*$AG391*$AJ391)-$AI391,0),0)</f>
        <v>9.63427571509111</v>
      </c>
      <c r="AS391" s="153" t="n">
        <f aca="false">IFERROR(IF(AND($N391="VCA",$AP391&gt;0),$AP391-$AI391-$AQ391-$AR391,0),0)</f>
        <v>22.72725</v>
      </c>
      <c r="AT391" s="153" t="n">
        <f aca="false">IFERROR(IF($N391="VCA",INDEX(APOIO_REDES!$A:$W,MATCH($C391&amp;$I391&amp;$H391&amp;$N391&amp;$O391,APOIO_REDES!$W:$W,0),MATCH(AT$5,APOIO_REDES!$5:$5,0)),0)*$AP391,0)</f>
        <v>0.381908997358276</v>
      </c>
      <c r="AU391" s="153" t="n">
        <f aca="false">IFERROR(IF($N391="VCA",INDEX(APOIO_REDES!$A:$W,MATCH($C391&amp;$I391&amp;$H391&amp;$N391&amp;$O391,APOIO_REDES!$W:$W,0),MATCH(AU$5,APOIO_REDES!$5:$5,0)),0)*$AP391,0)</f>
        <v>0.304982181882915</v>
      </c>
      <c r="AV391" s="153" t="n">
        <f aca="false">IFERROR(IF($N391="VCA",INDEX(APOIO_REDES!$A:$W,MATCH($C391&amp;$I391&amp;$H391&amp;$N391&amp;$O391,APOIO_REDES!$W:$W,0),MATCH(AV$5,APOIO_REDES!$5:$5,0)),0)*$AP391,0)</f>
        <v>0.0422071397685955</v>
      </c>
      <c r="AW391" s="153" t="n">
        <f aca="false">IFERROR(IF($N391="VCA",INDEX(APOIO_REDES!$A:$W,MATCH($C391&amp;$I391&amp;$H391&amp;$N391&amp;$O391,APOIO_REDES!$W:$W,0),MATCH(AW$5,APOIO_REDES!$5:$5,0)),0)*$AP391,0)</f>
        <v>24.0935812156261</v>
      </c>
      <c r="AX391" s="153" t="n">
        <f aca="false">IFERROR(IF($N391="VCA",INDEX(APOIO_REDES!$A:$W,MATCH($C391&amp;$I391&amp;$H391&amp;$N391&amp;$O391,APOIO_REDES!$W:$W,0),MATCH(AX$5,APOIO_REDES!$5:$5,0)),0)*$AP391,0)</f>
        <v>3.33448300837743</v>
      </c>
      <c r="AY391" s="153" t="n">
        <f aca="false">IFERROR(IF($N391="VCA",INDEX(APOIO_REDES!$A:$W,MATCH($C391&amp;$I391&amp;$H391&amp;$N391&amp;$O391,APOIO_REDES!$W:$W,0),MATCH(AY$5,APOIO_REDES!$5:$5,0)),0)*$AP391,0)</f>
        <v>6.09963991995023</v>
      </c>
      <c r="AZ391" s="153" t="n">
        <f aca="false">IFERROR(IF($N391="VCA",INDEX(APOIO_REDES!$A:$W,MATCH($C391&amp;$I391&amp;$H391&amp;$N391&amp;$O391,APOIO_REDES!$W:$W,0),MATCH(AZ$5,APOIO_REDES!$5:$5,0)),0)*$AP391,0)</f>
        <v>0.844172537036506</v>
      </c>
      <c r="BA391" s="153" t="n">
        <f aca="false">IFERROR(IF(AND($N391="VCA",$Q391="LINEAR"),INDEX(APOIO_REDES!$A:$W,MATCH($C391&amp;$I391&amp;$H391&amp;$N391&amp;$O391,APOIO_REDES!$W:$W,0),MATCH(BA$5,APOIO_REDES!$5:$5,0)),IF(AND($N391="MND",$Q391="EMBOQUE"),INDEX(APOIO_REDES!$A:$W,MATCH($C391&amp;$I391&amp;$H391&amp;$N391&amp;$O391,APOIO_REDES!$W:$W,0),MATCH(BA$5,APOIO_REDES!$5:$5,0)),0))*$M391/10,0)</f>
        <v>2.7137170701112</v>
      </c>
      <c r="BB391" s="153" t="n">
        <f aca="false">IFERROR(IF($N391="VCA",INDEX(APOIO_REDES!$A:$W,MATCH($C391&amp;$I391&amp;$H391&amp;$N391&amp;$O391,APOIO_REDES!$W:$W,0),MATCH(BB$5,APOIO_REDES!$5:$5,0)),0)*($AI391+$AQ391+$AR391),0)</f>
        <v>12.2390952095643</v>
      </c>
      <c r="BC391" s="153" t="n">
        <f aca="false">IFERROR(IF($N391="VCA",INDEX(APOIO_REDES!$A:$W,MATCH($C391&amp;$I391&amp;$H391&amp;$N391&amp;$O391,APOIO_REDES!$W:$W,0),MATCH(BC$5,APOIO_REDES!$5:$5,0)),0)*($AI391+$AQ391+$AR391),0)</f>
        <v>0.134629790435651</v>
      </c>
      <c r="BD391" s="153" t="n">
        <f aca="false">IF(AND($N391="VCA",$AF391&gt;=1.25,$AF391&lt;1.5),$M391*$AF391*2,0)</f>
        <v>93.6026</v>
      </c>
      <c r="BE391" s="153" t="n">
        <f aca="false">IF(AND($N391="VCA",$AF391&gt;=1.5,$AF391&lt;3),$M391*$AF391*2,0)</f>
        <v>0</v>
      </c>
      <c r="BF391" s="153" t="n">
        <f aca="false">IF(AND($N391="VCA",$AF391&gt;=3),$M391*$AF391*2,0)</f>
        <v>0</v>
      </c>
      <c r="BG391" s="153" t="n">
        <f aca="false">($BB391+$BC391)*$AK391</f>
        <v>23.5100775</v>
      </c>
      <c r="BH391" s="153" t="n">
        <f aca="false">IF(AND($M391&lt;&gt;"",$N391="VCA",$Q391="LINEAR"),($M391*2)/100,IF(AND($M391&lt;&gt;"",$N391="MND",$Q391="EMBOQUE"),($AN391*2)/100,0))</f>
        <v>0.6734</v>
      </c>
      <c r="BI391" s="153" t="n">
        <f aca="false">IF(AND($M391&lt;&gt;"",$N391="VCA",$Q391="LINEAR"),$M391,IF(AND($M391&lt;&gt;"",$N391="MND",$Q391="EMBOQUE"),$AN391*2,0))</f>
        <v>33.67</v>
      </c>
      <c r="BJ391" s="153" t="n">
        <f aca="false">IF(AND($M391&lt;&gt;"",$N391="VCA",$Q391="LINEAR"),($M391*6.8)/100,IF(AND($M391&lt;&gt;"",$N391="MND",$Q391="EMBOQUE"),($AN391*2*6.8)/100,0))</f>
        <v>2.28956</v>
      </c>
      <c r="BK391" s="153" t="n">
        <f aca="false">IF(AND($M391&lt;&gt;"",$N391="VCA",$Q391="LINEAR"),($M391*2.5)/50,IF(AND($M391&lt;&gt;"",$N391="MND",$Q391="EMBOQUE"),($AN391*2*2.5)/50,0))</f>
        <v>1.6835</v>
      </c>
      <c r="BL391" s="157" t="str">
        <f aca="false">K391&amp;J391</f>
        <v>Zona04REDES</v>
      </c>
      <c r="BM391" s="152" t="s">
        <v>2969</v>
      </c>
      <c r="BN391" s="152" t="s">
        <v>1560</v>
      </c>
      <c r="BO391" s="152" t="s">
        <v>1748</v>
      </c>
      <c r="BP391" s="152" t="s">
        <v>3003</v>
      </c>
      <c r="BQ391" s="152" t="s">
        <v>3007</v>
      </c>
      <c r="BR391" s="152" t="s">
        <v>3008</v>
      </c>
      <c r="BS391" s="152" t="n">
        <v>203540.253</v>
      </c>
      <c r="BT391" s="152" t="n">
        <v>8238676.669</v>
      </c>
      <c r="BU391" s="152" t="n">
        <v>203569.966</v>
      </c>
      <c r="BV391" s="152" t="n">
        <v>8238661.669</v>
      </c>
      <c r="BW391" s="152" t="n">
        <v>-15.9134879</v>
      </c>
      <c r="BX391" s="152" t="n">
        <v>-47.7686207</v>
      </c>
      <c r="BY391" s="152" t="s">
        <v>3003</v>
      </c>
    </row>
    <row r="392" customFormat="false" ht="13.8" hidden="false" customHeight="false" outlineLevel="0" collapsed="false">
      <c r="A392" s="149" t="n">
        <f aca="false">IF(C392&lt;&gt;"",ROW(A387),"")</f>
        <v>387</v>
      </c>
      <c r="B392" s="150" t="str">
        <f aca="false">HYPERLINK("https://www.google.com/maps/dir/-15.917302,-47.760003/-15.9135573,-47.7684830/data=!4m3!4m2!3e0!5i0")</f>
        <v>https://www.google.com/maps/dir/-15.917302,-47.760003/-15.9135573,-47.7684830/data=!4m3!4m2!3e0!5i0</v>
      </c>
      <c r="C392" s="151" t="s">
        <v>117</v>
      </c>
      <c r="D392" s="152" t="s">
        <v>112</v>
      </c>
      <c r="E392" s="152" t="s">
        <v>113</v>
      </c>
      <c r="F392" s="152" t="s">
        <v>117</v>
      </c>
      <c r="G392" s="152" t="s">
        <v>782</v>
      </c>
      <c r="H392" s="152" t="n">
        <v>63</v>
      </c>
      <c r="I392" s="152" t="s">
        <v>115</v>
      </c>
      <c r="J392" s="152" t="s">
        <v>6</v>
      </c>
      <c r="K392" s="152" t="s">
        <v>2966</v>
      </c>
      <c r="L392" s="152" t="s">
        <v>120</v>
      </c>
      <c r="M392" s="153" t="n">
        <f aca="false">0.77</f>
        <v>0.77</v>
      </c>
      <c r="N392" s="152" t="s">
        <v>1548</v>
      </c>
      <c r="O392" s="152" t="s">
        <v>1549</v>
      </c>
      <c r="P392" s="152" t="s">
        <v>1550</v>
      </c>
      <c r="Q392" s="152" t="s">
        <v>1551</v>
      </c>
      <c r="R392" s="154" t="s">
        <v>3009</v>
      </c>
      <c r="S392" s="154" t="s">
        <v>1553</v>
      </c>
      <c r="T392" s="155" t="s">
        <v>1746</v>
      </c>
      <c r="U392" s="152" t="str">
        <f aca="false">RIGHT(T392,7)</f>
        <v>003/037</v>
      </c>
      <c r="V392" s="152" t="s">
        <v>1555</v>
      </c>
      <c r="W392" s="156" t="n">
        <v>45882</v>
      </c>
      <c r="X392" s="152" t="s">
        <v>1594</v>
      </c>
      <c r="Y392" s="152" t="s">
        <v>3010</v>
      </c>
      <c r="Z392" s="152" t="s">
        <v>1557</v>
      </c>
      <c r="AA392" s="153" t="n">
        <v>1.9</v>
      </c>
      <c r="AB392" s="151" t="s">
        <v>3011</v>
      </c>
      <c r="AC392" s="151" t="s">
        <v>186</v>
      </c>
      <c r="AD392" s="151" t="str">
        <f aca="false">CONCATENATE($C392,$I392,$H392,$N392,$J392,$K392)</f>
        <v>TUBO PEADPEAD63VCAREDESZona04</v>
      </c>
      <c r="AE392" s="153" t="n">
        <f aca="false">IFERROR(INDEX(APOIO_REDES!$A:$W,MATCH($C392&amp;$I392&amp;$H392&amp;$N392&amp;$O392,APOIO_REDES!$W:$W,0),MATCH(AE$5,APOIO_REDES!$5:$5,0)),0)</f>
        <v>1.2</v>
      </c>
      <c r="AF392" s="153" t="n">
        <f aca="false">IFERROR(INDEX(APOIO_REDES!$A:$W,MATCH($C392&amp;$I392&amp;$H392&amp;$N392&amp;$O392,APOIO_REDES!$W:$W,0),MATCH(AF$5,APOIO_REDES!$5:$5,0)),0)</f>
        <v>1.363</v>
      </c>
      <c r="AG392" s="153" t="n">
        <f aca="false">IFERROR(INDEX(APOIO_REDES!$A:$W,MATCH($C392&amp;$I392&amp;$H392&amp;$N392&amp;$O392,APOIO_REDES!$W:$W,0),MATCH(AG$5,APOIO_REDES!$5:$5,0)),0)</f>
        <v>0.65</v>
      </c>
      <c r="AH392" s="153" t="n">
        <f aca="false">IFERROR(INDEX(APOIO_REDES!$A:$W,MATCH($C392&amp;$I392&amp;$H392&amp;$N392&amp;$O392,APOIO_REDES!$W:$W,0),MATCH(AH$5,APOIO_REDES!$5:$5,0)),0)</f>
        <v>0.1</v>
      </c>
      <c r="AI392" s="153" t="n">
        <f aca="false">IFERROR(IF($H392&lt;&gt;"",(((($H392/1000)/2)^2)*PI()*$M392),0),0)</f>
        <v>0.00240027888910384</v>
      </c>
      <c r="AJ392" s="153" t="n">
        <f aca="false">IFERROR(IF(AND($H392&lt;&gt;"",$I392="FoFo",OR($N392="MND",$N392="VCA"),$Q392="LINEAR"),0,IF(AND($H392&lt;&gt;"",$I392="PEAD",$N392="VCA",$Q392="LINEAR"),($H392/1000)+0.3,IF(AND($H392&lt;&gt;"",$I392="PEAD",$N392="MND",$Q392="EMBOQUE"),0,IF(AND($H392&lt;&gt;"",$I392="PVC",$N392="VCA",$Q392="LINEAR"),($H392/1000)+0.2,IF(AND($H392&lt;&gt;"",$I392="PVC",$N392="MND",$Q392="EMBOQUE"),0,IF(AND($H392&lt;&gt;"",$I392="PEAD",$N392="VCA",$Q392="PREDIAL"),0,0)))))),0)</f>
        <v>0.363</v>
      </c>
      <c r="AK392" s="153" t="n">
        <f aca="false">IF(AA392&lt;&gt;"",AA392,0)</f>
        <v>1.9</v>
      </c>
      <c r="AL392" s="153" t="n">
        <f aca="false">IF(AND($N392="MND",$Q392="EMBOQUE"),$M392,IF(AND($N392="VCA",$Q392="LINEAR"),$M392,IF(AND($N392="VCA",$Q392="PREDIAL"),0,0)))</f>
        <v>0.77</v>
      </c>
      <c r="AM392" s="153" t="n">
        <f aca="false">IF(AND($N392="MND",$Q392="EMBOQUE"),$M392,IF(AND($N392="VCA",$Q392="LINEAR"),$M392,IF(AND($N392="VCA",$Q392="PREDIAL"),0,0)))</f>
        <v>0.77</v>
      </c>
      <c r="AN392" s="153" t="n">
        <f aca="false">ROUND(IF(AND($N392="VCA",$M392&lt;&gt;"",$Q392="LINEAR"),$M392/100,IF(AND($N392="MND",$M392&gt;100,$Q392="EMBOQUE"),$M392/100,0)),0)</f>
        <v>0</v>
      </c>
      <c r="AO392" s="153" t="n">
        <f aca="false">IF(AND($N392="MND",$Q392="EMBOQUE"),$AN392*2*2,IF(AND($N392="VCA",$Q392="LINEAR"),$M392*2,IF(AND($N392="VCA",$Q392="PREDIAL"),0,0)))</f>
        <v>1.54</v>
      </c>
      <c r="AP392" s="153" t="n">
        <f aca="false">IFERROR($M392*$AF392*$AG392,0)</f>
        <v>0.6821815</v>
      </c>
      <c r="AQ392" s="153" t="n">
        <f aca="false">IFERROR(IF(AND($N392="VCA",$AH392&gt;0),$M392*$AG392*$AH392,0),0)</f>
        <v>0.05005</v>
      </c>
      <c r="AR392" s="153" t="n">
        <f aca="false">IFERROR(IF(AND($N392="VCA",$AJ392&gt;0),($M392*$AG392*$AJ392)-$AI392,0),0)</f>
        <v>0.179281221110896</v>
      </c>
      <c r="AS392" s="153" t="n">
        <f aca="false">IFERROR(IF(AND($N392="VCA",$AP392&gt;0),$AP392-$AI392-$AQ392-$AR392,0),0)</f>
        <v>0.45045</v>
      </c>
      <c r="AT392" s="153" t="n">
        <f aca="false">IFERROR(IF($N392="VCA",INDEX(APOIO_REDES!$A:$W,MATCH($C392&amp;$I392&amp;$H392&amp;$N392&amp;$O392,APOIO_REDES!$W:$W,0),MATCH(AT$5,APOIO_REDES!$5:$5,0)),0)*$AP392,0)</f>
        <v>0.00742233663541725</v>
      </c>
      <c r="AU392" s="153" t="n">
        <f aca="false">IFERROR(IF($N392="VCA",INDEX(APOIO_REDES!$A:$W,MATCH($C392&amp;$I392&amp;$H392&amp;$N392&amp;$O392,APOIO_REDES!$W:$W,0),MATCH(AU$5,APOIO_REDES!$5:$5,0)),0)*$AP392,0)</f>
        <v>0.00592727701467437</v>
      </c>
      <c r="AV392" s="153" t="n">
        <f aca="false">IFERROR(IF($N392="VCA",INDEX(APOIO_REDES!$A:$W,MATCH($C392&amp;$I392&amp;$H392&amp;$N392&amp;$O392,APOIO_REDES!$W:$W,0),MATCH(AV$5,APOIO_REDES!$5:$5,0)),0)*$AP392,0)</f>
        <v>0.000820288607881979</v>
      </c>
      <c r="AW392" s="153" t="n">
        <f aca="false">IFERROR(IF($N392="VCA",INDEX(APOIO_REDES!$A:$W,MATCH($C392&amp;$I392&amp;$H392&amp;$N392&amp;$O392,APOIO_REDES!$W:$W,0),MATCH(AW$5,APOIO_REDES!$5:$5,0)),0)*$AP392,0)</f>
        <v>0.468254667400196</v>
      </c>
      <c r="AX392" s="153" t="n">
        <f aca="false">IFERROR(IF($N392="VCA",INDEX(APOIO_REDES!$A:$W,MATCH($C392&amp;$I392&amp;$H392&amp;$N392&amp;$O392,APOIO_REDES!$W:$W,0),MATCH(AX$5,APOIO_REDES!$5:$5,0)),0)*$AP392,0)</f>
        <v>0.0648051121195188</v>
      </c>
      <c r="AY392" s="153" t="n">
        <f aca="false">IFERROR(IF($N392="VCA",INDEX(APOIO_REDES!$A:$W,MATCH($C392&amp;$I392&amp;$H392&amp;$N392&amp;$O392,APOIO_REDES!$W:$W,0),MATCH(AY$5,APOIO_REDES!$5:$5,0)),0)*$AP392,0)</f>
        <v>0.118545468040461</v>
      </c>
      <c r="AZ392" s="153" t="n">
        <f aca="false">IFERROR(IF($N392="VCA",INDEX(APOIO_REDES!$A:$W,MATCH($C392&amp;$I392&amp;$H392&amp;$N392&amp;$O392,APOIO_REDES!$W:$W,0),MATCH(AZ$5,APOIO_REDES!$5:$5,0)),0)*$AP392,0)</f>
        <v>0.0164063501818502</v>
      </c>
      <c r="BA392" s="153" t="n">
        <f aca="false">IFERROR(IF(AND($N392="VCA",$Q392="LINEAR"),INDEX(APOIO_REDES!$A:$W,MATCH($C392&amp;$I392&amp;$H392&amp;$N392&amp;$O392,APOIO_REDES!$W:$W,0),MATCH(BA$5,APOIO_REDES!$5:$5,0)),IF(AND($N392="MND",$Q392="EMBOQUE"),INDEX(APOIO_REDES!$A:$W,MATCH($C392&amp;$I392&amp;$H392&amp;$N392&amp;$O392,APOIO_REDES!$W:$W,0),MATCH(BA$5,APOIO_REDES!$5:$5,0)),0))*$M392/10,0)</f>
        <v>0.0620600577364308</v>
      </c>
      <c r="BB392" s="153" t="n">
        <f aca="false">IFERROR(IF($N392="VCA",INDEX(APOIO_REDES!$A:$W,MATCH($C392&amp;$I392&amp;$H392&amp;$N392&amp;$O392,APOIO_REDES!$W:$W,0),MATCH(BB$5,APOIO_REDES!$5:$5,0)),0)*($AI392+$AQ392+$AR392),0)</f>
        <v>0.229210192690977</v>
      </c>
      <c r="BC392" s="153" t="n">
        <f aca="false">IFERROR(IF($N392="VCA",INDEX(APOIO_REDES!$A:$W,MATCH($C392&amp;$I392&amp;$H392&amp;$N392&amp;$O392,APOIO_REDES!$W:$W,0),MATCH(BC$5,APOIO_REDES!$5:$5,0)),0)*($AI392+$AQ392+$AR392),0)</f>
        <v>0.00252130730902288</v>
      </c>
      <c r="BD392" s="153" t="n">
        <f aca="false">IF(AND($N392="VCA",$AF392&gt;=1.25,$AF392&lt;1.5),$M392*$AF392*2,0)</f>
        <v>2.09902</v>
      </c>
      <c r="BE392" s="153" t="n">
        <f aca="false">IF(AND($N392="VCA",$AF392&gt;=1.5,$AF392&lt;3),$M392*$AF392*2,0)</f>
        <v>0</v>
      </c>
      <c r="BF392" s="153" t="n">
        <f aca="false">IF(AND($N392="VCA",$AF392&gt;=3),$M392*$AF392*2,0)</f>
        <v>0</v>
      </c>
      <c r="BG392" s="153" t="n">
        <f aca="false">($BB392+$BC392)*$AK392</f>
        <v>0.44028985</v>
      </c>
      <c r="BH392" s="153" t="n">
        <f aca="false">IF(AND($M392&lt;&gt;"",$N392="VCA",$Q392="LINEAR"),($M392*2)/100,IF(AND($M392&lt;&gt;"",$N392="MND",$Q392="EMBOQUE"),($AN392*2)/100,0))</f>
        <v>0.0154</v>
      </c>
      <c r="BI392" s="153" t="n">
        <f aca="false">IF(AND($M392&lt;&gt;"",$N392="VCA",$Q392="LINEAR"),$M392,IF(AND($M392&lt;&gt;"",$N392="MND",$Q392="EMBOQUE"),$AN392*2,0))</f>
        <v>0.77</v>
      </c>
      <c r="BJ392" s="153" t="n">
        <f aca="false">IF(AND($M392&lt;&gt;"",$N392="VCA",$Q392="LINEAR"),($M392*6.8)/100,IF(AND($M392&lt;&gt;"",$N392="MND",$Q392="EMBOQUE"),($AN392*2*6.8)/100,0))</f>
        <v>0.05236</v>
      </c>
      <c r="BK392" s="153" t="n">
        <f aca="false">IF(AND($M392&lt;&gt;"",$N392="VCA",$Q392="LINEAR"),($M392*2.5)/50,IF(AND($M392&lt;&gt;"",$N392="MND",$Q392="EMBOQUE"),($AN392*2*2.5)/50,0))</f>
        <v>0.0385</v>
      </c>
      <c r="BL392" s="157" t="str">
        <f aca="false">K392&amp;J392</f>
        <v>Zona04REDES</v>
      </c>
      <c r="BM392" s="152" t="s">
        <v>2969</v>
      </c>
      <c r="BN392" s="152" t="s">
        <v>1560</v>
      </c>
      <c r="BO392" s="152" t="s">
        <v>1748</v>
      </c>
      <c r="BP392" s="152" t="s">
        <v>3007</v>
      </c>
      <c r="BQ392" s="152" t="s">
        <v>3012</v>
      </c>
      <c r="BR392" s="152" t="s">
        <v>3013</v>
      </c>
      <c r="BS392" s="152" t="n">
        <v>203570.304</v>
      </c>
      <c r="BT392" s="152" t="n">
        <v>8238661.49</v>
      </c>
      <c r="BU392" s="152" t="n">
        <v>203570.637</v>
      </c>
      <c r="BV392" s="152" t="n">
        <v>8238662.188</v>
      </c>
      <c r="BW392" s="152" t="n">
        <v>-15.9135558</v>
      </c>
      <c r="BX392" s="152" t="n">
        <v>-47.7684782</v>
      </c>
      <c r="BY392" s="152" t="s">
        <v>3007</v>
      </c>
    </row>
    <row r="393" customFormat="false" ht="13.8" hidden="false" customHeight="false" outlineLevel="0" collapsed="false">
      <c r="A393" s="149" t="n">
        <f aca="false">IF(C393&lt;&gt;"",ROW(A388),"")</f>
        <v>388</v>
      </c>
      <c r="B393" s="150" t="str">
        <f aca="false">HYPERLINK("https://www.google.com/maps/dir/-15.917302,-47.760003/-15.9139039,-47.7686253/data=!4m3!4m2!3e0!5i0")</f>
        <v>https://www.google.com/maps/dir/-15.917302,-47.760003/-15.9139039,-47.7686253/data=!4m3!4m2!3e0!5i0</v>
      </c>
      <c r="C393" s="151" t="s">
        <v>117</v>
      </c>
      <c r="D393" s="152" t="s">
        <v>112</v>
      </c>
      <c r="E393" s="152" t="s">
        <v>113</v>
      </c>
      <c r="F393" s="152" t="s">
        <v>117</v>
      </c>
      <c r="G393" s="152" t="s">
        <v>782</v>
      </c>
      <c r="H393" s="152" t="n">
        <v>63</v>
      </c>
      <c r="I393" s="152" t="s">
        <v>115</v>
      </c>
      <c r="J393" s="152" t="s">
        <v>6</v>
      </c>
      <c r="K393" s="152" t="s">
        <v>2966</v>
      </c>
      <c r="L393" s="152" t="s">
        <v>120</v>
      </c>
      <c r="M393" s="153" t="n">
        <f aca="false">41.26+4</f>
        <v>45.26</v>
      </c>
      <c r="N393" s="152" t="s">
        <v>1548</v>
      </c>
      <c r="O393" s="152" t="s">
        <v>1549</v>
      </c>
      <c r="P393" s="152" t="s">
        <v>1550</v>
      </c>
      <c r="Q393" s="152" t="s">
        <v>1551</v>
      </c>
      <c r="R393" s="154" t="s">
        <v>3014</v>
      </c>
      <c r="S393" s="154" t="s">
        <v>1553</v>
      </c>
      <c r="T393" s="155" t="s">
        <v>1746</v>
      </c>
      <c r="U393" s="152" t="str">
        <f aca="false">RIGHT(T393,7)</f>
        <v>003/037</v>
      </c>
      <c r="V393" s="152" t="s">
        <v>1555</v>
      </c>
      <c r="W393" s="156" t="n">
        <v>45882</v>
      </c>
      <c r="X393" s="152" t="s">
        <v>1594</v>
      </c>
      <c r="Y393" s="152" t="s">
        <v>3015</v>
      </c>
      <c r="Z393" s="152" t="s">
        <v>1557</v>
      </c>
      <c r="AA393" s="153" t="n">
        <v>2</v>
      </c>
      <c r="AB393" s="151" t="s">
        <v>3016</v>
      </c>
      <c r="AC393" s="151" t="s">
        <v>186</v>
      </c>
      <c r="AD393" s="151" t="str">
        <f aca="false">CONCATENATE($C393,$I393,$H393,$N393,$J393,$K393)</f>
        <v>TUBO PEADPEAD63VCAREDESZona04</v>
      </c>
      <c r="AE393" s="153" t="n">
        <f aca="false">IFERROR(INDEX(APOIO_REDES!$A:$W,MATCH($C393&amp;$I393&amp;$H393&amp;$N393&amp;$O393,APOIO_REDES!$W:$W,0),MATCH(AE$5,APOIO_REDES!$5:$5,0)),0)</f>
        <v>1.2</v>
      </c>
      <c r="AF393" s="153" t="n">
        <f aca="false">IFERROR(INDEX(APOIO_REDES!$A:$W,MATCH($C393&amp;$I393&amp;$H393&amp;$N393&amp;$O393,APOIO_REDES!$W:$W,0),MATCH(AF$5,APOIO_REDES!$5:$5,0)),0)</f>
        <v>1.363</v>
      </c>
      <c r="AG393" s="153" t="n">
        <f aca="false">IFERROR(INDEX(APOIO_REDES!$A:$W,MATCH($C393&amp;$I393&amp;$H393&amp;$N393&amp;$O393,APOIO_REDES!$W:$W,0),MATCH(AG$5,APOIO_REDES!$5:$5,0)),0)</f>
        <v>0.65</v>
      </c>
      <c r="AH393" s="153" t="n">
        <f aca="false">IFERROR(INDEX(APOIO_REDES!$A:$W,MATCH($C393&amp;$I393&amp;$H393&amp;$N393&amp;$O393,APOIO_REDES!$W:$W,0),MATCH(AH$5,APOIO_REDES!$5:$5,0)),0)</f>
        <v>0.1</v>
      </c>
      <c r="AI393" s="153" t="n">
        <f aca="false">IFERROR(IF($H393&lt;&gt;"",(((($H393/1000)/2)^2)*PI()*$M393),0),0)</f>
        <v>0.141086522754338</v>
      </c>
      <c r="AJ393" s="153" t="n">
        <f aca="false">IFERROR(IF(AND($H393&lt;&gt;"",$I393="FoFo",OR($N393="MND",$N393="VCA"),$Q393="LINEAR"),0,IF(AND($H393&lt;&gt;"",$I393="PEAD",$N393="VCA",$Q393="LINEAR"),($H393/1000)+0.3,IF(AND($H393&lt;&gt;"",$I393="PEAD",$N393="MND",$Q393="EMBOQUE"),0,IF(AND($H393&lt;&gt;"",$I393="PVC",$N393="VCA",$Q393="LINEAR"),($H393/1000)+0.2,IF(AND($H393&lt;&gt;"",$I393="PVC",$N393="MND",$Q393="EMBOQUE"),0,IF(AND($H393&lt;&gt;"",$I393="PEAD",$N393="VCA",$Q393="PREDIAL"),0,0)))))),0)</f>
        <v>0.363</v>
      </c>
      <c r="AK393" s="153" t="n">
        <f aca="false">IF(AA393&lt;&gt;"",AA393,0)</f>
        <v>2</v>
      </c>
      <c r="AL393" s="153" t="n">
        <f aca="false">IF(AND($N393="MND",$Q393="EMBOQUE"),$M393,IF(AND($N393="VCA",$Q393="LINEAR"),$M393,IF(AND($N393="VCA",$Q393="PREDIAL"),0,0)))</f>
        <v>45.26</v>
      </c>
      <c r="AM393" s="153" t="n">
        <f aca="false">IF(AND($N393="MND",$Q393="EMBOQUE"),$M393,IF(AND($N393="VCA",$Q393="LINEAR"),$M393,IF(AND($N393="VCA",$Q393="PREDIAL"),0,0)))</f>
        <v>45.26</v>
      </c>
      <c r="AN393" s="153" t="n">
        <f aca="false">ROUND(IF(AND($N393="VCA",$M393&lt;&gt;"",$Q393="LINEAR"),$M393/100,IF(AND($N393="MND",$M393&gt;100,$Q393="EMBOQUE"),$M393/100,0)),0)</f>
        <v>0</v>
      </c>
      <c r="AO393" s="153" t="n">
        <f aca="false">IF(AND($N393="MND",$Q393="EMBOQUE"),$AN393*2*2,IF(AND($N393="VCA",$Q393="LINEAR"),$M393*2,IF(AND($N393="VCA",$Q393="PREDIAL"),0,0)))</f>
        <v>90.52</v>
      </c>
      <c r="AP393" s="153" t="n">
        <f aca="false">IFERROR($M393*$AF393*$AG393,0)</f>
        <v>40.098097</v>
      </c>
      <c r="AQ393" s="153" t="n">
        <f aca="false">IFERROR(IF(AND($N393="VCA",$AH393&gt;0),$M393*$AG393*$AH393,0),0)</f>
        <v>2.9419</v>
      </c>
      <c r="AR393" s="153" t="n">
        <f aca="false">IFERROR(IF(AND($N393="VCA",$AJ393&gt;0),($M393*$AG393*$AJ393)-$AI393,0),0)</f>
        <v>10.5380104772457</v>
      </c>
      <c r="AS393" s="153" t="n">
        <f aca="false">IFERROR(IF(AND($N393="VCA",$AP393&gt;0),$AP393-$AI393-$AQ393-$AR393,0),0)</f>
        <v>26.4771</v>
      </c>
      <c r="AT393" s="153" t="n">
        <f aca="false">IFERROR(IF($N393="VCA",INDEX(APOIO_REDES!$A:$W,MATCH($C393&amp;$I393&amp;$H393&amp;$N393&amp;$O393,APOIO_REDES!$W:$W,0),MATCH(AT$5,APOIO_REDES!$5:$5,0)),0)*$AP393,0)</f>
        <v>0.436279163790889</v>
      </c>
      <c r="AU393" s="153" t="n">
        <f aca="false">IFERROR(IF($N393="VCA",INDEX(APOIO_REDES!$A:$W,MATCH($C393&amp;$I393&amp;$H393&amp;$N393&amp;$O393,APOIO_REDES!$W:$W,0),MATCH(AU$5,APOIO_REDES!$5:$5,0)),0)*$AP393,0)</f>
        <v>0.348400724265146</v>
      </c>
      <c r="AV393" s="153" t="n">
        <f aca="false">IFERROR(IF($N393="VCA",INDEX(APOIO_REDES!$A:$W,MATCH($C393&amp;$I393&amp;$H393&amp;$N393&amp;$O393,APOIO_REDES!$W:$W,0),MATCH(AV$5,APOIO_REDES!$5:$5,0)),0)*$AP393,0)</f>
        <v>0.0482159251853745</v>
      </c>
      <c r="AW393" s="153" t="n">
        <f aca="false">IFERROR(IF($N393="VCA",INDEX(APOIO_REDES!$A:$W,MATCH($C393&amp;$I393&amp;$H393&amp;$N393&amp;$O393,APOIO_REDES!$W:$W,0),MATCH(AW$5,APOIO_REDES!$5:$5,0)),0)*$AP393,0)</f>
        <v>27.5236444760167</v>
      </c>
      <c r="AX393" s="153" t="n">
        <f aca="false">IFERROR(IF($N393="VCA",INDEX(APOIO_REDES!$A:$W,MATCH($C393&amp;$I393&amp;$H393&amp;$N393&amp;$O393,APOIO_REDES!$W:$W,0),MATCH(AX$5,APOIO_REDES!$5:$5,0)),0)*$AP393,0)</f>
        <v>3.80919399289535</v>
      </c>
      <c r="AY393" s="153" t="n">
        <f aca="false">IFERROR(IF($N393="VCA",INDEX(APOIO_REDES!$A:$W,MATCH($C393&amp;$I393&amp;$H393&amp;$N393&amp;$O393,APOIO_REDES!$W:$W,0),MATCH(AY$5,APOIO_REDES!$5:$5,0)),0)*$AP393,0)</f>
        <v>6.96801023832632</v>
      </c>
      <c r="AZ393" s="153" t="n">
        <f aca="false">IFERROR(IF($N393="VCA",INDEX(APOIO_REDES!$A:$W,MATCH($C393&amp;$I393&amp;$H393&amp;$N393&amp;$O393,APOIO_REDES!$W:$W,0),MATCH(AZ$5,APOIO_REDES!$5:$5,0)),0)*$AP393,0)</f>
        <v>0.964352479520181</v>
      </c>
      <c r="BA393" s="153" t="n">
        <f aca="false">IFERROR(IF(AND($N393="VCA",$Q393="LINEAR"),INDEX(APOIO_REDES!$A:$W,MATCH($C393&amp;$I393&amp;$H393&amp;$N393&amp;$O393,APOIO_REDES!$W:$W,0),MATCH(BA$5,APOIO_REDES!$5:$5,0)),IF(AND($N393="MND",$Q393="EMBOQUE"),INDEX(APOIO_REDES!$A:$W,MATCH($C393&amp;$I393&amp;$H393&amp;$N393&amp;$O393,APOIO_REDES!$W:$W,0),MATCH(BA$5,APOIO_REDES!$5:$5,0)),0))*$M393/10,0)</f>
        <v>3.64784183526086</v>
      </c>
      <c r="BB393" s="153" t="n">
        <f aca="false">IFERROR(IF($N393="VCA",INDEX(APOIO_REDES!$A:$W,MATCH($C393&amp;$I393&amp;$H393&amp;$N393&amp;$O393,APOIO_REDES!$W:$W,0),MATCH(BB$5,APOIO_REDES!$5:$5,0)),0)*($AI393+$AQ393+$AR393),0)</f>
        <v>13.4727965210307</v>
      </c>
      <c r="BC393" s="153" t="n">
        <f aca="false">IFERROR(IF($N393="VCA",INDEX(APOIO_REDES!$A:$W,MATCH($C393&amp;$I393&amp;$H393&amp;$N393&amp;$O393,APOIO_REDES!$W:$W,0),MATCH(BC$5,APOIO_REDES!$5:$5,0)),0)*($AI393+$AQ393+$AR393),0)</f>
        <v>0.148200478969319</v>
      </c>
      <c r="BD393" s="153" t="n">
        <f aca="false">IF(AND($N393="VCA",$AF393&gt;=1.25,$AF393&lt;1.5),$M393*$AF393*2,0)</f>
        <v>123.37876</v>
      </c>
      <c r="BE393" s="153" t="n">
        <f aca="false">IF(AND($N393="VCA",$AF393&gt;=1.5,$AF393&lt;3),$M393*$AF393*2,0)</f>
        <v>0</v>
      </c>
      <c r="BF393" s="153" t="n">
        <f aca="false">IF(AND($N393="VCA",$AF393&gt;=3),$M393*$AF393*2,0)</f>
        <v>0</v>
      </c>
      <c r="BG393" s="153" t="n">
        <f aca="false">($BB393+$BC393)*$AK393</f>
        <v>27.241994</v>
      </c>
      <c r="BH393" s="153" t="n">
        <f aca="false">IF(AND($M393&lt;&gt;"",$N393="VCA",$Q393="LINEAR"),($M393*2)/100,IF(AND($M393&lt;&gt;"",$N393="MND",$Q393="EMBOQUE"),($AN393*2)/100,0))</f>
        <v>0.9052</v>
      </c>
      <c r="BI393" s="153" t="n">
        <f aca="false">IF(AND($M393&lt;&gt;"",$N393="VCA",$Q393="LINEAR"),$M393,IF(AND($M393&lt;&gt;"",$N393="MND",$Q393="EMBOQUE"),$AN393*2,0))</f>
        <v>45.26</v>
      </c>
      <c r="BJ393" s="153" t="n">
        <f aca="false">IF(AND($M393&lt;&gt;"",$N393="VCA",$Q393="LINEAR"),($M393*6.8)/100,IF(AND($M393&lt;&gt;"",$N393="MND",$Q393="EMBOQUE"),($AN393*2*6.8)/100,0))</f>
        <v>3.07768</v>
      </c>
      <c r="BK393" s="153" t="n">
        <f aca="false">IF(AND($M393&lt;&gt;"",$N393="VCA",$Q393="LINEAR"),($M393*2.5)/50,IF(AND($M393&lt;&gt;"",$N393="MND",$Q393="EMBOQUE"),($AN393*2*2.5)/50,0))</f>
        <v>2.263</v>
      </c>
      <c r="BL393" s="157" t="str">
        <f aca="false">K393&amp;J393</f>
        <v>Zona04REDES</v>
      </c>
      <c r="BM393" s="152" t="s">
        <v>2969</v>
      </c>
      <c r="BN393" s="152" t="s">
        <v>1560</v>
      </c>
      <c r="BO393" s="152" t="s">
        <v>1748</v>
      </c>
      <c r="BP393" s="152" t="s">
        <v>3017</v>
      </c>
      <c r="BQ393" s="152" t="s">
        <v>3007</v>
      </c>
      <c r="BR393" s="152" t="s">
        <v>3018</v>
      </c>
      <c r="BS393" s="152" t="n">
        <v>203555.22</v>
      </c>
      <c r="BT393" s="152" t="n">
        <v>8238623.09</v>
      </c>
      <c r="BU393" s="152" t="n">
        <v>203570.304</v>
      </c>
      <c r="BV393" s="152" t="n">
        <v>8238661.49</v>
      </c>
      <c r="BW393" s="152" t="n">
        <v>-15.9137316</v>
      </c>
      <c r="BX393" s="152" t="n">
        <v>-47.768552</v>
      </c>
      <c r="BY393" s="152" t="s">
        <v>3017</v>
      </c>
    </row>
    <row r="394" customFormat="false" ht="13.8" hidden="false" customHeight="false" outlineLevel="0" collapsed="false">
      <c r="A394" s="149" t="n">
        <f aca="false">IF(C394&lt;&gt;"",ROW(A389),"")</f>
        <v>389</v>
      </c>
      <c r="B394" s="150" t="str">
        <f aca="false">HYPERLINK("https://www.google.com/maps/dir/-15.917302,-47.760003/-15.9134183,-47.7687584/data=!4m3!4m2!3e0!5i0")</f>
        <v>https://www.google.com/maps/dir/-15.917302,-47.760003/-15.9134183,-47.7687584/data=!4m3!4m2!3e0!5i0</v>
      </c>
      <c r="C394" s="151" t="s">
        <v>117</v>
      </c>
      <c r="D394" s="152" t="s">
        <v>112</v>
      </c>
      <c r="E394" s="152" t="s">
        <v>113</v>
      </c>
      <c r="F394" s="152" t="s">
        <v>117</v>
      </c>
      <c r="G394" s="152" t="s">
        <v>114</v>
      </c>
      <c r="H394" s="152" t="n">
        <v>160</v>
      </c>
      <c r="I394" s="152" t="s">
        <v>115</v>
      </c>
      <c r="J394" s="152" t="s">
        <v>6</v>
      </c>
      <c r="K394" s="152" t="s">
        <v>2966</v>
      </c>
      <c r="L394" s="152" t="s">
        <v>120</v>
      </c>
      <c r="M394" s="153" t="n">
        <f aca="false">97.34</f>
        <v>97.34</v>
      </c>
      <c r="N394" s="152" t="s">
        <v>1548</v>
      </c>
      <c r="O394" s="152" t="s">
        <v>1549</v>
      </c>
      <c r="P394" s="152" t="s">
        <v>1550</v>
      </c>
      <c r="Q394" s="152" t="s">
        <v>1551</v>
      </c>
      <c r="R394" s="154" t="s">
        <v>3019</v>
      </c>
      <c r="S394" s="154" t="s">
        <v>1593</v>
      </c>
      <c r="T394" s="155" t="s">
        <v>1746</v>
      </c>
      <c r="U394" s="152" t="str">
        <f aca="false">RIGHT(T394,7)</f>
        <v>003/037</v>
      </c>
      <c r="V394" s="152" t="s">
        <v>1555</v>
      </c>
      <c r="W394" s="156" t="n">
        <v>45882</v>
      </c>
      <c r="X394" s="152" t="s">
        <v>1556</v>
      </c>
      <c r="Y394" s="152"/>
      <c r="Z394" s="152" t="s">
        <v>1557</v>
      </c>
      <c r="AA394" s="153" t="n">
        <v>1.9</v>
      </c>
      <c r="AB394" s="151" t="s">
        <v>3020</v>
      </c>
      <c r="AC394" s="151" t="s">
        <v>505</v>
      </c>
      <c r="AD394" s="151" t="str">
        <f aca="false">CONCATENATE($C394,$I394,$H394,$N394,$J394,$K394)</f>
        <v>TUBO PEADPEAD160VCAREDESZona04</v>
      </c>
      <c r="AE394" s="153" t="n">
        <f aca="false">IFERROR(INDEX(APOIO_REDES!$A:$W,MATCH($C394&amp;$I394&amp;$H394&amp;$N394&amp;$O394,APOIO_REDES!$W:$W,0),MATCH(AE$5,APOIO_REDES!$5:$5,0)),0)</f>
        <v>1.2</v>
      </c>
      <c r="AF394" s="153" t="n">
        <f aca="false">IFERROR(INDEX(APOIO_REDES!$A:$W,MATCH($C394&amp;$I394&amp;$H394&amp;$N394&amp;$O394,APOIO_REDES!$W:$W,0),MATCH(AF$5,APOIO_REDES!$5:$5,0)),0)</f>
        <v>1.46</v>
      </c>
      <c r="AG394" s="153" t="n">
        <f aca="false">IFERROR(INDEX(APOIO_REDES!$A:$W,MATCH($C394&amp;$I394&amp;$H394&amp;$N394&amp;$O394,APOIO_REDES!$W:$W,0),MATCH(AG$5,APOIO_REDES!$5:$5,0)),0)</f>
        <v>0.75</v>
      </c>
      <c r="AH394" s="153" t="n">
        <f aca="false">IFERROR(INDEX(APOIO_REDES!$A:$W,MATCH($C394&amp;$I394&amp;$H394&amp;$N394&amp;$O394,APOIO_REDES!$W:$W,0),MATCH(AH$5,APOIO_REDES!$5:$5,0)),0)</f>
        <v>0.1</v>
      </c>
      <c r="AI394" s="153" t="n">
        <f aca="false">IFERROR(IF($H394&lt;&gt;"",(((($H394/1000)/2)^2)*PI()*$M394),0),0)</f>
        <v>1.95713682496276</v>
      </c>
      <c r="AJ394" s="153" t="n">
        <f aca="false">IFERROR(IF(AND($H394&lt;&gt;"",$I394="FoFo",OR($N394="MND",$N394="VCA"),$Q394="LINEAR"),0,IF(AND($H394&lt;&gt;"",$I394="PEAD",$N394="VCA",$Q394="LINEAR"),($H394/1000)+0.3,IF(AND($H394&lt;&gt;"",$I394="PEAD",$N394="MND",$Q394="EMBOQUE"),0,IF(AND($H394&lt;&gt;"",$I394="PVC",$N394="VCA",$Q394="LINEAR"),($H394/1000)+0.2,IF(AND($H394&lt;&gt;"",$I394="PVC",$N394="MND",$Q394="EMBOQUE"),0,IF(AND($H394&lt;&gt;"",$I394="PEAD",$N394="VCA",$Q394="PREDIAL"),0,0)))))),0)</f>
        <v>0.46</v>
      </c>
      <c r="AK394" s="153" t="n">
        <f aca="false">IF(AA394&lt;&gt;"",AA394,0)</f>
        <v>1.9</v>
      </c>
      <c r="AL394" s="153" t="n">
        <f aca="false">IF(AND($N394="MND",$Q394="EMBOQUE"),$M394,IF(AND($N394="VCA",$Q394="LINEAR"),$M394,IF(AND($N394="VCA",$Q394="PREDIAL"),0,0)))</f>
        <v>97.34</v>
      </c>
      <c r="AM394" s="153" t="n">
        <f aca="false">IF(AND($N394="MND",$Q394="EMBOQUE"),$M394,IF(AND($N394="VCA",$Q394="LINEAR"),$M394,IF(AND($N394="VCA",$Q394="PREDIAL"),0,0)))</f>
        <v>97.34</v>
      </c>
      <c r="AN394" s="153" t="n">
        <f aca="false">ROUND(IF(AND($N394="VCA",$M394&lt;&gt;"",$Q394="LINEAR"),$M394/100,IF(AND($N394="MND",$M394&gt;100,$Q394="EMBOQUE"),$M394/100,0)),0)</f>
        <v>1</v>
      </c>
      <c r="AO394" s="153" t="n">
        <f aca="false">IF(AND($N394="MND",$Q394="EMBOQUE"),$AN394*2*2,IF(AND($N394="VCA",$Q394="LINEAR"),$M394*2,IF(AND($N394="VCA",$Q394="PREDIAL"),0,0)))</f>
        <v>194.68</v>
      </c>
      <c r="AP394" s="153" t="n">
        <f aca="false">IFERROR($M394*$AF394*$AG394,0)</f>
        <v>106.5873</v>
      </c>
      <c r="AQ394" s="153" t="n">
        <f aca="false">IFERROR(IF(AND($N394="VCA",$AH394&gt;0),$M394*$AG394*$AH394,0),0)</f>
        <v>7.3005</v>
      </c>
      <c r="AR394" s="153" t="n">
        <f aca="false">IFERROR(IF(AND($N394="VCA",$AJ394&gt;0),($M394*$AG394*$AJ394)-$AI394,0),0)</f>
        <v>31.6251631750372</v>
      </c>
      <c r="AS394" s="153" t="n">
        <f aca="false">IFERROR(IF(AND($N394="VCA",$AP394&gt;0),$AP394-$AI394-$AQ394-$AR394,0),0)</f>
        <v>65.7045</v>
      </c>
      <c r="AT394" s="153" t="n">
        <f aca="false">IFERROR(IF($N394="VCA",INDEX(APOIO_REDES!$A:$W,MATCH($C394&amp;$I394&amp;$H394&amp;$N394&amp;$O394,APOIO_REDES!$W:$W,0),MATCH(AT$5,APOIO_REDES!$5:$5,0)),0)*$AP394,0)</f>
        <v>1.15970137223042</v>
      </c>
      <c r="AU394" s="153" t="n">
        <f aca="false">IFERROR(IF($N394="VCA",INDEX(APOIO_REDES!$A:$W,MATCH($C394&amp;$I394&amp;$H394&amp;$N394&amp;$O394,APOIO_REDES!$W:$W,0),MATCH(AU$5,APOIO_REDES!$5:$5,0)),0)*$AP394,0)</f>
        <v>0.92610610716679</v>
      </c>
      <c r="AV394" s="153" t="n">
        <f aca="false">IFERROR(IF($N394="VCA",INDEX(APOIO_REDES!$A:$W,MATCH($C394&amp;$I394&amp;$H394&amp;$N394&amp;$O394,APOIO_REDES!$W:$W,0),MATCH(AV$5,APOIO_REDES!$5:$5,0)),0)*$AP394,0)</f>
        <v>0.128165815013891</v>
      </c>
      <c r="AW394" s="153" t="n">
        <f aca="false">IFERROR(IF($N394="VCA",INDEX(APOIO_REDES!$A:$W,MATCH($C394&amp;$I394&amp;$H394&amp;$N394&amp;$O394,APOIO_REDES!$W:$W,0),MATCH(AW$5,APOIO_REDES!$5:$5,0)),0)*$AP394,0)</f>
        <v>73.1623485987013</v>
      </c>
      <c r="AX394" s="153" t="n">
        <f aca="false">IFERROR(IF($N394="VCA",INDEX(APOIO_REDES!$A:$W,MATCH($C394&amp;$I394&amp;$H394&amp;$N394&amp;$O394,APOIO_REDES!$W:$W,0),MATCH(AX$5,APOIO_REDES!$5:$5,0)),0)*$AP394,0)</f>
        <v>10.1254606391654</v>
      </c>
      <c r="AY394" s="153" t="n">
        <f aca="false">IFERROR(IF($N394="VCA",INDEX(APOIO_REDES!$A:$W,MATCH($C394&amp;$I394&amp;$H394&amp;$N394&amp;$O394,APOIO_REDES!$W:$W,0),MATCH(AY$5,APOIO_REDES!$5:$5,0)),0)*$AP394,0)</f>
        <v>18.5221108541774</v>
      </c>
      <c r="AZ394" s="153" t="n">
        <f aca="false">IFERROR(IF($N394="VCA",INDEX(APOIO_REDES!$A:$W,MATCH($C394&amp;$I394&amp;$H394&amp;$N394&amp;$O394,APOIO_REDES!$W:$W,0),MATCH(AZ$5,APOIO_REDES!$5:$5,0)),0)*$AP394,0)</f>
        <v>2.56340661354481</v>
      </c>
      <c r="BA394" s="153" t="n">
        <f aca="false">IFERROR(IF(AND($N394="VCA",$Q394="LINEAR"),INDEX(APOIO_REDES!$A:$W,MATCH($C394&amp;$I394&amp;$H394&amp;$N394&amp;$O394,APOIO_REDES!$W:$W,0),MATCH(BA$5,APOIO_REDES!$5:$5,0)),IF(AND($N394="MND",$Q394="EMBOQUE"),INDEX(APOIO_REDES!$A:$W,MATCH($C394&amp;$I394&amp;$H394&amp;$N394&amp;$O394,APOIO_REDES!$W:$W,0),MATCH(BA$5,APOIO_REDES!$5:$5,0)),0))*$M394/10,0)</f>
        <v>7.84535846761581</v>
      </c>
      <c r="BB394" s="153" t="n">
        <f aca="false">IFERROR(IF($N394="VCA",INDEX(APOIO_REDES!$A:$W,MATCH($C394&amp;$I394&amp;$H394&amp;$N394&amp;$O394,APOIO_REDES!$W:$W,0),MATCH(BB$5,APOIO_REDES!$5:$5,0)),0)*($AI394+$AQ394+$AR394),0)</f>
        <v>40.4379830353089</v>
      </c>
      <c r="BC394" s="153" t="n">
        <f aca="false">IFERROR(IF($N394="VCA",INDEX(APOIO_REDES!$A:$W,MATCH($C394&amp;$I394&amp;$H394&amp;$N394&amp;$O394,APOIO_REDES!$W:$W,0),MATCH(BC$5,APOIO_REDES!$5:$5,0)),0)*($AI394+$AQ394+$AR394),0)</f>
        <v>0.444816964691122</v>
      </c>
      <c r="BD394" s="153" t="n">
        <f aca="false">IF(AND($N394="VCA",$AF394&gt;=1.25,$AF394&lt;1.5),$M394*$AF394*2,0)</f>
        <v>284.2328</v>
      </c>
      <c r="BE394" s="153" t="n">
        <f aca="false">IF(AND($N394="VCA",$AF394&gt;=1.5,$AF394&lt;3),$M394*$AF394*2,0)</f>
        <v>0</v>
      </c>
      <c r="BF394" s="153" t="n">
        <f aca="false">IF(AND($N394="VCA",$AF394&gt;=3),$M394*$AF394*2,0)</f>
        <v>0</v>
      </c>
      <c r="BG394" s="153" t="n">
        <f aca="false">($BB394+$BC394)*$AK394</f>
        <v>77.67732</v>
      </c>
      <c r="BH394" s="153" t="n">
        <f aca="false">IF(AND($M394&lt;&gt;"",$N394="VCA",$Q394="LINEAR"),($M394*2)/100,IF(AND($M394&lt;&gt;"",$N394="MND",$Q394="EMBOQUE"),($AN394*2)/100,0))</f>
        <v>1.9468</v>
      </c>
      <c r="BI394" s="153" t="n">
        <f aca="false">IF(AND($M394&lt;&gt;"",$N394="VCA",$Q394="LINEAR"),$M394,IF(AND($M394&lt;&gt;"",$N394="MND",$Q394="EMBOQUE"),$AN394*2,0))</f>
        <v>97.34</v>
      </c>
      <c r="BJ394" s="153" t="n">
        <f aca="false">IF(AND($M394&lt;&gt;"",$N394="VCA",$Q394="LINEAR"),($M394*6.8)/100,IF(AND($M394&lt;&gt;"",$N394="MND",$Q394="EMBOQUE"),($AN394*2*6.8)/100,0))</f>
        <v>6.61912</v>
      </c>
      <c r="BK394" s="153" t="n">
        <f aca="false">IF(AND($M394&lt;&gt;"",$N394="VCA",$Q394="LINEAR"),($M394*2.5)/50,IF(AND($M394&lt;&gt;"",$N394="MND",$Q394="EMBOQUE"),($AN394*2*2.5)/50,0))</f>
        <v>4.867</v>
      </c>
      <c r="BL394" s="157" t="str">
        <f aca="false">K394&amp;J394</f>
        <v>Zona04REDES</v>
      </c>
      <c r="BM394" s="152" t="s">
        <v>2969</v>
      </c>
      <c r="BN394" s="152" t="s">
        <v>1560</v>
      </c>
      <c r="BO394" s="152" t="s">
        <v>1748</v>
      </c>
      <c r="BP394" s="152" t="s">
        <v>3003</v>
      </c>
      <c r="BQ394" s="152" t="s">
        <v>3021</v>
      </c>
      <c r="BR394" s="152" t="s">
        <v>3022</v>
      </c>
      <c r="BS394" s="152" t="n">
        <v>203540.253</v>
      </c>
      <c r="BT394" s="152" t="n">
        <v>8238676.669</v>
      </c>
      <c r="BU394" s="152" t="n">
        <v>203502.408</v>
      </c>
      <c r="BV394" s="152" t="n">
        <v>8238586.982</v>
      </c>
      <c r="BW394" s="152" t="n">
        <v>-15.9138211</v>
      </c>
      <c r="BX394" s="152" t="n">
        <v>-47.7689402</v>
      </c>
      <c r="BY394" s="152" t="s">
        <v>3003</v>
      </c>
    </row>
    <row r="395" customFormat="false" ht="13.8" hidden="false" customHeight="false" outlineLevel="0" collapsed="false">
      <c r="A395" s="149" t="n">
        <f aca="false">IF(C395&lt;&gt;"",ROW(A390),"")</f>
        <v>390</v>
      </c>
      <c r="B395" s="150" t="str">
        <f aca="false">HYPERLINK("https://www.google.com/maps/dir/-15.917302,-47.760003/-15.9147565,-47.7689129/data=!4m3!4m2!3e0!5i0")</f>
        <v>https://www.google.com/maps/dir/-15.917302,-47.760003/-15.9147565,-47.7689129/data=!4m3!4m2!3e0!5i0</v>
      </c>
      <c r="C395" s="151" t="s">
        <v>117</v>
      </c>
      <c r="D395" s="152" t="s">
        <v>112</v>
      </c>
      <c r="E395" s="152" t="s">
        <v>113</v>
      </c>
      <c r="F395" s="152" t="s">
        <v>117</v>
      </c>
      <c r="G395" s="152" t="s">
        <v>782</v>
      </c>
      <c r="H395" s="152" t="n">
        <v>90</v>
      </c>
      <c r="I395" s="152" t="s">
        <v>115</v>
      </c>
      <c r="J395" s="152" t="s">
        <v>6</v>
      </c>
      <c r="K395" s="152" t="s">
        <v>2966</v>
      </c>
      <c r="L395" s="152" t="s">
        <v>120</v>
      </c>
      <c r="M395" s="153" t="n">
        <f aca="false">63.07+0.45</f>
        <v>63.52</v>
      </c>
      <c r="N395" s="152" t="s">
        <v>1548</v>
      </c>
      <c r="O395" s="152" t="s">
        <v>1549</v>
      </c>
      <c r="P395" s="152" t="s">
        <v>1550</v>
      </c>
      <c r="Q395" s="152" t="s">
        <v>1551</v>
      </c>
      <c r="R395" s="154" t="s">
        <v>3023</v>
      </c>
      <c r="S395" s="154" t="s">
        <v>1593</v>
      </c>
      <c r="T395" s="155" t="s">
        <v>1746</v>
      </c>
      <c r="U395" s="152" t="str">
        <f aca="false">RIGHT(T395,7)</f>
        <v>003/037</v>
      </c>
      <c r="V395" s="152" t="s">
        <v>1555</v>
      </c>
      <c r="W395" s="156" t="n">
        <v>45882</v>
      </c>
      <c r="X395" s="152" t="s">
        <v>1594</v>
      </c>
      <c r="Y395" s="152" t="s">
        <v>3015</v>
      </c>
      <c r="Z395" s="152" t="s">
        <v>1557</v>
      </c>
      <c r="AA395" s="153" t="n">
        <v>2.1</v>
      </c>
      <c r="AB395" s="151" t="s">
        <v>3024</v>
      </c>
      <c r="AC395" s="151" t="s">
        <v>526</v>
      </c>
      <c r="AD395" s="151" t="str">
        <f aca="false">CONCATENATE($C395,$I395,$H395,$N395,$J395,$K395)</f>
        <v>TUBO PEADPEAD90VCAREDESZona04</v>
      </c>
      <c r="AE395" s="153" t="n">
        <f aca="false">IFERROR(INDEX(APOIO_REDES!$A:$W,MATCH($C395&amp;$I395&amp;$H395&amp;$N395&amp;$O395,APOIO_REDES!$W:$W,0),MATCH(AE$5,APOIO_REDES!$5:$5,0)),0)</f>
        <v>1.2</v>
      </c>
      <c r="AF395" s="153" t="n">
        <f aca="false">IFERROR(INDEX(APOIO_REDES!$A:$W,MATCH($C395&amp;$I395&amp;$H395&amp;$N395&amp;$O395,APOIO_REDES!$W:$W,0),MATCH(AF$5,APOIO_REDES!$5:$5,0)),0)</f>
        <v>1.39</v>
      </c>
      <c r="AG395" s="153" t="n">
        <f aca="false">IFERROR(INDEX(APOIO_REDES!$A:$W,MATCH($C395&amp;$I395&amp;$H395&amp;$N395&amp;$O395,APOIO_REDES!$W:$W,0),MATCH(AG$5,APOIO_REDES!$5:$5,0)),0)</f>
        <v>0.75</v>
      </c>
      <c r="AH395" s="153" t="n">
        <f aca="false">IFERROR(INDEX(APOIO_REDES!$A:$W,MATCH($C395&amp;$I395&amp;$H395&amp;$N395&amp;$O395,APOIO_REDES!$W:$W,0),MATCH(AH$5,APOIO_REDES!$5:$5,0)),0)</f>
        <v>0.1</v>
      </c>
      <c r="AI395" s="153" t="n">
        <f aca="false">IFERROR(IF($H395&lt;&gt;"",(((($H395/1000)/2)^2)*PI()*$M395),0),0)</f>
        <v>0.404096779845948</v>
      </c>
      <c r="AJ395" s="153" t="n">
        <f aca="false">IFERROR(IF(AND($H395&lt;&gt;"",$I395="FoFo",OR($N395="MND",$N395="VCA"),$Q395="LINEAR"),0,IF(AND($H395&lt;&gt;"",$I395="PEAD",$N395="VCA",$Q395="LINEAR"),($H395/1000)+0.3,IF(AND($H395&lt;&gt;"",$I395="PEAD",$N395="MND",$Q395="EMBOQUE"),0,IF(AND($H395&lt;&gt;"",$I395="PVC",$N395="VCA",$Q395="LINEAR"),($H395/1000)+0.2,IF(AND($H395&lt;&gt;"",$I395="PVC",$N395="MND",$Q395="EMBOQUE"),0,IF(AND($H395&lt;&gt;"",$I395="PEAD",$N395="VCA",$Q395="PREDIAL"),0,0)))))),0)</f>
        <v>0.39</v>
      </c>
      <c r="AK395" s="153" t="n">
        <f aca="false">IF(AA395&lt;&gt;"",AA395,0)</f>
        <v>2.1</v>
      </c>
      <c r="AL395" s="153" t="n">
        <f aca="false">IF(AND($N395="MND",$Q395="EMBOQUE"),$M395,IF(AND($N395="VCA",$Q395="LINEAR"),$M395,IF(AND($N395="VCA",$Q395="PREDIAL"),0,0)))</f>
        <v>63.52</v>
      </c>
      <c r="AM395" s="153" t="n">
        <f aca="false">IF(AND($N395="MND",$Q395="EMBOQUE"),$M395,IF(AND($N395="VCA",$Q395="LINEAR"),$M395,IF(AND($N395="VCA",$Q395="PREDIAL"),0,0)))</f>
        <v>63.52</v>
      </c>
      <c r="AN395" s="153" t="n">
        <f aca="false">ROUND(IF(AND($N395="VCA",$M395&lt;&gt;"",$Q395="LINEAR"),$M395/100,IF(AND($N395="MND",$M395&gt;100,$Q395="EMBOQUE"),$M395/100,0)),0)</f>
        <v>1</v>
      </c>
      <c r="AO395" s="153" t="n">
        <f aca="false">IF(AND($N395="MND",$Q395="EMBOQUE"),$AN395*2*2,IF(AND($N395="VCA",$Q395="LINEAR"),$M395*2,IF(AND($N395="VCA",$Q395="PREDIAL"),0,0)))</f>
        <v>127.04</v>
      </c>
      <c r="AP395" s="153" t="n">
        <f aca="false">IFERROR($M395*$AF395*$AG395,0)</f>
        <v>66.2196</v>
      </c>
      <c r="AQ395" s="153" t="n">
        <f aca="false">IFERROR(IF(AND($N395="VCA",$AH395&gt;0),$M395*$AG395*$AH395,0),0)</f>
        <v>4.764</v>
      </c>
      <c r="AR395" s="153" t="n">
        <f aca="false">IFERROR(IF(AND($N395="VCA",$AJ395&gt;0),($M395*$AG395*$AJ395)-$AI395,0),0)</f>
        <v>18.1755032201541</v>
      </c>
      <c r="AS395" s="153" t="n">
        <f aca="false">IFERROR(IF(AND($N395="VCA",$AP395&gt;0),$AP395-$AI395-$AQ395-$AR395,0),0)</f>
        <v>42.876</v>
      </c>
      <c r="AT395" s="153" t="n">
        <f aca="false">IFERROR(IF($N395="VCA",INDEX(APOIO_REDES!$A:$W,MATCH($C395&amp;$I395&amp;$H395&amp;$N395&amp;$O395,APOIO_REDES!$W:$W,0),MATCH(AT$5,APOIO_REDES!$5:$5,0)),0)*$AP395,0)</f>
        <v>0.72048884800112</v>
      </c>
      <c r="AU395" s="153" t="n">
        <f aca="false">IFERROR(IF($N395="VCA",INDEX(APOIO_REDES!$A:$W,MATCH($C395&amp;$I395&amp;$H395&amp;$N395&amp;$O395,APOIO_REDES!$W:$W,0),MATCH(AU$5,APOIO_REDES!$5:$5,0)),0)*$AP395,0)</f>
        <v>0.575362880701003</v>
      </c>
      <c r="AV395" s="153" t="n">
        <f aca="false">IFERROR(IF($N395="VCA",INDEX(APOIO_REDES!$A:$W,MATCH($C395&amp;$I395&amp;$H395&amp;$N395&amp;$O395,APOIO_REDES!$W:$W,0),MATCH(AV$5,APOIO_REDES!$5:$5,0)),0)*$AP395,0)</f>
        <v>0.0796257059133112</v>
      </c>
      <c r="AW395" s="153" t="n">
        <f aca="false">IFERROR(IF($N395="VCA",INDEX(APOIO_REDES!$A:$W,MATCH($C395&amp;$I395&amp;$H395&amp;$N395&amp;$O395,APOIO_REDES!$W:$W,0),MATCH(AW$5,APOIO_REDES!$5:$5,0)),0)*$AP395,0)</f>
        <v>45.4536465344986</v>
      </c>
      <c r="AX395" s="153" t="n">
        <f aca="false">IFERROR(IF($N395="VCA",INDEX(APOIO_REDES!$A:$W,MATCH($C395&amp;$I395&amp;$H395&amp;$N395&amp;$O395,APOIO_REDES!$W:$W,0),MATCH(AX$5,APOIO_REDES!$5:$5,0)),0)*$AP395,0)</f>
        <v>6.29065520321159</v>
      </c>
      <c r="AY395" s="153" t="n">
        <f aca="false">IFERROR(IF($N395="VCA",INDEX(APOIO_REDES!$A:$W,MATCH($C395&amp;$I395&amp;$H395&amp;$N395&amp;$O395,APOIO_REDES!$W:$W,0),MATCH(AY$5,APOIO_REDES!$5:$5,0)),0)*$AP395,0)</f>
        <v>11.5072506003932</v>
      </c>
      <c r="AZ395" s="153" t="n">
        <f aca="false">IFERROR(IF($N395="VCA",INDEX(APOIO_REDES!$A:$W,MATCH($C395&amp;$I395&amp;$H395&amp;$N395&amp;$O395,APOIO_REDES!$W:$W,0),MATCH(AZ$5,APOIO_REDES!$5:$5,0)),0)*$AP395,0)</f>
        <v>1.59257022728122</v>
      </c>
      <c r="BA395" s="153" t="n">
        <f aca="false">IFERROR(IF(AND($N395="VCA",$Q395="LINEAR"),INDEX(APOIO_REDES!$A:$W,MATCH($C395&amp;$I395&amp;$H395&amp;$N395&amp;$O395,APOIO_REDES!$W:$W,0),MATCH(BA$5,APOIO_REDES!$5:$5,0)),IF(AND($N395="MND",$Q395="EMBOQUE"),INDEX(APOIO_REDES!$A:$W,MATCH($C395&amp;$I395&amp;$H395&amp;$N395&amp;$O395,APOIO_REDES!$W:$W,0),MATCH(BA$5,APOIO_REDES!$5:$5,0)),0))*$M395/10,0)</f>
        <v>5.11955177586764</v>
      </c>
      <c r="BB395" s="153" t="n">
        <f aca="false">IFERROR(IF($N395="VCA",INDEX(APOIO_REDES!$A:$W,MATCH($C395&amp;$I395&amp;$H395&amp;$N395&amp;$O395,APOIO_REDES!$W:$W,0),MATCH(BB$5,APOIO_REDES!$5:$5,0)),0)*($AI395+$AQ395+$AR395),0)</f>
        <v>23.0896147226471</v>
      </c>
      <c r="BC395" s="153" t="n">
        <f aca="false">IFERROR(IF($N395="VCA",INDEX(APOIO_REDES!$A:$W,MATCH($C395&amp;$I395&amp;$H395&amp;$N395&amp;$O395,APOIO_REDES!$W:$W,0),MATCH(BC$5,APOIO_REDES!$5:$5,0)),0)*($AI395+$AQ395+$AR395),0)</f>
        <v>0.253985277352913</v>
      </c>
      <c r="BD395" s="153" t="n">
        <f aca="false">IF(AND($N395="VCA",$AF395&gt;=1.25,$AF395&lt;1.5),$M395*$AF395*2,0)</f>
        <v>176.5856</v>
      </c>
      <c r="BE395" s="153" t="n">
        <f aca="false">IF(AND($N395="VCA",$AF395&gt;=1.5,$AF395&lt;3),$M395*$AF395*2,0)</f>
        <v>0</v>
      </c>
      <c r="BF395" s="153" t="n">
        <f aca="false">IF(AND($N395="VCA",$AF395&gt;=3),$M395*$AF395*2,0)</f>
        <v>0</v>
      </c>
      <c r="BG395" s="153" t="n">
        <f aca="false">($BB395+$BC395)*$AK395</f>
        <v>49.02156</v>
      </c>
      <c r="BH395" s="153" t="n">
        <f aca="false">IF(AND($M395&lt;&gt;"",$N395="VCA",$Q395="LINEAR"),($M395*2)/100,IF(AND($M395&lt;&gt;"",$N395="MND",$Q395="EMBOQUE"),($AN395*2)/100,0))</f>
        <v>1.2704</v>
      </c>
      <c r="BI395" s="153" t="n">
        <f aca="false">IF(AND($M395&lt;&gt;"",$N395="VCA",$Q395="LINEAR"),$M395,IF(AND($M395&lt;&gt;"",$N395="MND",$Q395="EMBOQUE"),$AN395*2,0))</f>
        <v>63.52</v>
      </c>
      <c r="BJ395" s="153" t="n">
        <f aca="false">IF(AND($M395&lt;&gt;"",$N395="VCA",$Q395="LINEAR"),($M395*6.8)/100,IF(AND($M395&lt;&gt;"",$N395="MND",$Q395="EMBOQUE"),($AN395*2*6.8)/100,0))</f>
        <v>4.31936</v>
      </c>
      <c r="BK395" s="153" t="n">
        <f aca="false">IF(AND($M395&lt;&gt;"",$N395="VCA",$Q395="LINEAR"),($M395*2.5)/50,IF(AND($M395&lt;&gt;"",$N395="MND",$Q395="EMBOQUE"),($AN395*2*2.5)/50,0))</f>
        <v>3.176</v>
      </c>
      <c r="BL395" s="157" t="str">
        <f aca="false">K395&amp;J395</f>
        <v>Zona04REDES</v>
      </c>
      <c r="BM395" s="152" t="s">
        <v>2969</v>
      </c>
      <c r="BN395" s="152" t="s">
        <v>1560</v>
      </c>
      <c r="BO395" s="152" t="s">
        <v>1748</v>
      </c>
      <c r="BP395" s="152" t="s">
        <v>3025</v>
      </c>
      <c r="BQ395" s="152" t="s">
        <v>3021</v>
      </c>
      <c r="BR395" s="152" t="s">
        <v>3026</v>
      </c>
      <c r="BS395" s="152" t="n">
        <v>203525.656</v>
      </c>
      <c r="BT395" s="152" t="n">
        <v>8238528.279</v>
      </c>
      <c r="BU395" s="152" t="n">
        <v>203502.405</v>
      </c>
      <c r="BV395" s="152" t="n">
        <v>8238586.404</v>
      </c>
      <c r="BW395" s="152" t="n">
        <v>-15.9144886</v>
      </c>
      <c r="BX395" s="152" t="n">
        <v>-47.7690108</v>
      </c>
      <c r="BY395" s="152" t="s">
        <v>3025</v>
      </c>
    </row>
    <row r="396" customFormat="false" ht="13.8" hidden="false" customHeight="false" outlineLevel="0" collapsed="false">
      <c r="A396" s="149" t="n">
        <f aca="false">IF(C396&lt;&gt;"",ROW(A391),"")</f>
        <v>391</v>
      </c>
      <c r="B396" s="150" t="str">
        <f aca="false">HYPERLINK("https://www.google.com/maps/dir/-15.917302,-47.760003/-15.9142288,-47.7691227/data=!4m3!4m2!3e0!5i0")</f>
        <v>https://www.google.com/maps/dir/-15.917302,-47.760003/-15.9142288,-47.7691227/data=!4m3!4m2!3e0!5i0</v>
      </c>
      <c r="C396" s="151" t="s">
        <v>117</v>
      </c>
      <c r="D396" s="152" t="s">
        <v>112</v>
      </c>
      <c r="E396" s="152" t="s">
        <v>113</v>
      </c>
      <c r="F396" s="152" t="s">
        <v>117</v>
      </c>
      <c r="G396" s="152" t="s">
        <v>114</v>
      </c>
      <c r="H396" s="152" t="n">
        <v>160</v>
      </c>
      <c r="I396" s="152" t="s">
        <v>115</v>
      </c>
      <c r="J396" s="152" t="s">
        <v>6</v>
      </c>
      <c r="K396" s="152" t="s">
        <v>2966</v>
      </c>
      <c r="L396" s="152" t="s">
        <v>120</v>
      </c>
      <c r="M396" s="153" t="n">
        <f aca="false">133.61+0.53</f>
        <v>134.14</v>
      </c>
      <c r="N396" s="152" t="s">
        <v>1548</v>
      </c>
      <c r="O396" s="152" t="s">
        <v>1549</v>
      </c>
      <c r="P396" s="152" t="s">
        <v>1550</v>
      </c>
      <c r="Q396" s="152" t="s">
        <v>1551</v>
      </c>
      <c r="R396" s="154" t="s">
        <v>3027</v>
      </c>
      <c r="S396" s="154" t="s">
        <v>1593</v>
      </c>
      <c r="T396" s="155" t="s">
        <v>1746</v>
      </c>
      <c r="U396" s="152" t="str">
        <f aca="false">RIGHT(T396,7)</f>
        <v>003/037</v>
      </c>
      <c r="V396" s="152" t="s">
        <v>1555</v>
      </c>
      <c r="W396" s="156" t="n">
        <v>45882</v>
      </c>
      <c r="X396" s="152" t="s">
        <v>1556</v>
      </c>
      <c r="Y396" s="152"/>
      <c r="Z396" s="152" t="s">
        <v>1557</v>
      </c>
      <c r="AA396" s="153" t="n">
        <v>2</v>
      </c>
      <c r="AB396" s="151" t="s">
        <v>3028</v>
      </c>
      <c r="AC396" s="151" t="s">
        <v>505</v>
      </c>
      <c r="AD396" s="151" t="str">
        <f aca="false">CONCATENATE($C396,$I396,$H396,$N396,$J396,$K396)</f>
        <v>TUBO PEADPEAD160VCAREDESZona04</v>
      </c>
      <c r="AE396" s="153" t="n">
        <f aca="false">IFERROR(INDEX(APOIO_REDES!$A:$W,MATCH($C396&amp;$I396&amp;$H396&amp;$N396&amp;$O396,APOIO_REDES!$W:$W,0),MATCH(AE$5,APOIO_REDES!$5:$5,0)),0)</f>
        <v>1.2</v>
      </c>
      <c r="AF396" s="153" t="n">
        <f aca="false">IFERROR(INDEX(APOIO_REDES!$A:$W,MATCH($C396&amp;$I396&amp;$H396&amp;$N396&amp;$O396,APOIO_REDES!$W:$W,0),MATCH(AF$5,APOIO_REDES!$5:$5,0)),0)</f>
        <v>1.46</v>
      </c>
      <c r="AG396" s="153" t="n">
        <f aca="false">IFERROR(INDEX(APOIO_REDES!$A:$W,MATCH($C396&amp;$I396&amp;$H396&amp;$N396&amp;$O396,APOIO_REDES!$W:$W,0),MATCH(AG$5,APOIO_REDES!$5:$5,0)),0)</f>
        <v>0.75</v>
      </c>
      <c r="AH396" s="153" t="n">
        <f aca="false">IFERROR(INDEX(APOIO_REDES!$A:$W,MATCH($C396&amp;$I396&amp;$H396&amp;$N396&amp;$O396,APOIO_REDES!$W:$W,0),MATCH(AH$5,APOIO_REDES!$5:$5,0)),0)</f>
        <v>0.1</v>
      </c>
      <c r="AI396" s="153" t="n">
        <f aca="false">IFERROR(IF($H396&lt;&gt;"",(((($H396/1000)/2)^2)*PI()*$M396),0),0)</f>
        <v>2.69704472673622</v>
      </c>
      <c r="AJ396" s="153" t="n">
        <f aca="false">IFERROR(IF(AND($H396&lt;&gt;"",$I396="FoFo",OR($N396="MND",$N396="VCA"),$Q396="LINEAR"),0,IF(AND($H396&lt;&gt;"",$I396="PEAD",$N396="VCA",$Q396="LINEAR"),($H396/1000)+0.3,IF(AND($H396&lt;&gt;"",$I396="PEAD",$N396="MND",$Q396="EMBOQUE"),0,IF(AND($H396&lt;&gt;"",$I396="PVC",$N396="VCA",$Q396="LINEAR"),($H396/1000)+0.2,IF(AND($H396&lt;&gt;"",$I396="PVC",$N396="MND",$Q396="EMBOQUE"),0,IF(AND($H396&lt;&gt;"",$I396="PEAD",$N396="VCA",$Q396="PREDIAL"),0,0)))))),0)</f>
        <v>0.46</v>
      </c>
      <c r="AK396" s="153" t="n">
        <f aca="false">IF(AA396&lt;&gt;"",AA396,0)</f>
        <v>2</v>
      </c>
      <c r="AL396" s="153" t="n">
        <f aca="false">IF(AND($N396="MND",$Q396="EMBOQUE"),$M396,IF(AND($N396="VCA",$Q396="LINEAR"),$M396,IF(AND($N396="VCA",$Q396="PREDIAL"),0,0)))</f>
        <v>134.14</v>
      </c>
      <c r="AM396" s="153" t="n">
        <f aca="false">IF(AND($N396="MND",$Q396="EMBOQUE"),$M396,IF(AND($N396="VCA",$Q396="LINEAR"),$M396,IF(AND($N396="VCA",$Q396="PREDIAL"),0,0)))</f>
        <v>134.14</v>
      </c>
      <c r="AN396" s="153" t="n">
        <f aca="false">ROUND(IF(AND($N396="VCA",$M396&lt;&gt;"",$Q396="LINEAR"),$M396/100,IF(AND($N396="MND",$M396&gt;100,$Q396="EMBOQUE"),$M396/100,0)),0)</f>
        <v>1</v>
      </c>
      <c r="AO396" s="153" t="n">
        <f aca="false">IF(AND($N396="MND",$Q396="EMBOQUE"),$AN396*2*2,IF(AND($N396="VCA",$Q396="LINEAR"),$M396*2,IF(AND($N396="VCA",$Q396="PREDIAL"),0,0)))</f>
        <v>268.28</v>
      </c>
      <c r="AP396" s="153" t="n">
        <f aca="false">IFERROR($M396*$AF396*$AG396,0)</f>
        <v>146.8833</v>
      </c>
      <c r="AQ396" s="153" t="n">
        <f aca="false">IFERROR(IF(AND($N396="VCA",$AH396&gt;0),$M396*$AG396*$AH396,0),0)</f>
        <v>10.0605</v>
      </c>
      <c r="AR396" s="153" t="n">
        <f aca="false">IFERROR(IF(AND($N396="VCA",$AJ396&gt;0),($M396*$AG396*$AJ396)-$AI396,0),0)</f>
        <v>43.5812552732638</v>
      </c>
      <c r="AS396" s="153" t="n">
        <f aca="false">IFERROR(IF(AND($N396="VCA",$AP396&gt;0),$AP396-$AI396-$AQ396-$AR396,0),0)</f>
        <v>90.5445</v>
      </c>
      <c r="AT396" s="153" t="n">
        <f aca="false">IFERROR(IF($N396="VCA",INDEX(APOIO_REDES!$A:$W,MATCH($C396&amp;$I396&amp;$H396&amp;$N396&amp;$O396,APOIO_REDES!$W:$W,0),MATCH(AT$5,APOIO_REDES!$5:$5,0)),0)*$AP396,0)</f>
        <v>1.59813377923761</v>
      </c>
      <c r="AU396" s="153" t="n">
        <f aca="false">IFERROR(IF($N396="VCA",INDEX(APOIO_REDES!$A:$W,MATCH($C396&amp;$I396&amp;$H396&amp;$N396&amp;$O396,APOIO_REDES!$W:$W,0),MATCH(AU$5,APOIO_REDES!$5:$5,0)),0)*$AP396,0)</f>
        <v>1.27622635314725</v>
      </c>
      <c r="AV396" s="153" t="n">
        <f aca="false">IFERROR(IF($N396="VCA",INDEX(APOIO_REDES!$A:$W,MATCH($C396&amp;$I396&amp;$H396&amp;$N396&amp;$O396,APOIO_REDES!$W:$W,0),MATCH(AV$5,APOIO_REDES!$5:$5,0)),0)*$AP396,0)</f>
        <v>0.17661970850589</v>
      </c>
      <c r="AW396" s="153" t="n">
        <f aca="false">IFERROR(IF($N396="VCA",INDEX(APOIO_REDES!$A:$W,MATCH($C396&amp;$I396&amp;$H396&amp;$N396&amp;$O396,APOIO_REDES!$W:$W,0),MATCH(AW$5,APOIO_REDES!$5:$5,0)),0)*$AP396,0)</f>
        <v>100.821835227345</v>
      </c>
      <c r="AX396" s="153" t="n">
        <f aca="false">IFERROR(IF($N396="VCA",INDEX(APOIO_REDES!$A:$W,MATCH($C396&amp;$I396&amp;$H396&amp;$N396&amp;$O396,APOIO_REDES!$W:$W,0),MATCH(AX$5,APOIO_REDES!$5:$5,0)),0)*$AP396,0)</f>
        <v>13.9534547990306</v>
      </c>
      <c r="AY396" s="153" t="n">
        <f aca="false">IFERROR(IF($N396="VCA",INDEX(APOIO_REDES!$A:$W,MATCH($C396&amp;$I396&amp;$H396&amp;$N396&amp;$O396,APOIO_REDES!$W:$W,0),MATCH(AY$5,APOIO_REDES!$5:$5,0)),0)*$AP396,0)</f>
        <v>25.5245115058492</v>
      </c>
      <c r="AZ396" s="153" t="n">
        <f aca="false">IFERROR(IF($N396="VCA",INDEX(APOIO_REDES!$A:$W,MATCH($C396&amp;$I396&amp;$H396&amp;$N396&amp;$O396,APOIO_REDES!$W:$W,0),MATCH(AZ$5,APOIO_REDES!$5:$5,0)),0)*$AP396,0)</f>
        <v>3.53251862688413</v>
      </c>
      <c r="BA396" s="153" t="n">
        <f aca="false">IFERROR(IF(AND($N396="VCA",$Q396="LINEAR"),INDEX(APOIO_REDES!$A:$W,MATCH($C396&amp;$I396&amp;$H396&amp;$N396&amp;$O396,APOIO_REDES!$W:$W,0),MATCH(BA$5,APOIO_REDES!$5:$5,0)),IF(AND($N396="MND",$Q396="EMBOQUE"),INDEX(APOIO_REDES!$A:$W,MATCH($C396&amp;$I396&amp;$H396&amp;$N396&amp;$O396,APOIO_REDES!$W:$W,0),MATCH(BA$5,APOIO_REDES!$5:$5,0)),0))*$M396/10,0)</f>
        <v>10.8113456425517</v>
      </c>
      <c r="BB396" s="153" t="n">
        <f aca="false">IFERROR(IF($N396="VCA",INDEX(APOIO_REDES!$A:$W,MATCH($C396&amp;$I396&amp;$H396&amp;$N396&amp;$O396,APOIO_REDES!$W:$W,0),MATCH(BB$5,APOIO_REDES!$5:$5,0)),0)*($AI396+$AQ396+$AR396),0)</f>
        <v>55.7258171805664</v>
      </c>
      <c r="BC396" s="153" t="n">
        <f aca="false">IFERROR(IF($N396="VCA",INDEX(APOIO_REDES!$A:$W,MATCH($C396&amp;$I396&amp;$H396&amp;$N396&amp;$O396,APOIO_REDES!$W:$W,0),MATCH(BC$5,APOIO_REDES!$5:$5,0)),0)*($AI396+$AQ396+$AR396),0)</f>
        <v>0.612982819433604</v>
      </c>
      <c r="BD396" s="153" t="n">
        <f aca="false">IF(AND($N396="VCA",$AF396&gt;=1.25,$AF396&lt;1.5),$M396*$AF396*2,0)</f>
        <v>391.6888</v>
      </c>
      <c r="BE396" s="153" t="n">
        <f aca="false">IF(AND($N396="VCA",$AF396&gt;=1.5,$AF396&lt;3),$M396*$AF396*2,0)</f>
        <v>0</v>
      </c>
      <c r="BF396" s="153" t="n">
        <f aca="false">IF(AND($N396="VCA",$AF396&gt;=3),$M396*$AF396*2,0)</f>
        <v>0</v>
      </c>
      <c r="BG396" s="153" t="n">
        <f aca="false">($BB396+$BC396)*$AK396</f>
        <v>112.6776</v>
      </c>
      <c r="BH396" s="153" t="n">
        <f aca="false">IF(AND($M396&lt;&gt;"",$N396="VCA",$Q396="LINEAR"),($M396*2)/100,IF(AND($M396&lt;&gt;"",$N396="MND",$Q396="EMBOQUE"),($AN396*2)/100,0))</f>
        <v>2.6828</v>
      </c>
      <c r="BI396" s="153" t="n">
        <f aca="false">IF(AND($M396&lt;&gt;"",$N396="VCA",$Q396="LINEAR"),$M396,IF(AND($M396&lt;&gt;"",$N396="MND",$Q396="EMBOQUE"),$AN396*2,0))</f>
        <v>134.14</v>
      </c>
      <c r="BJ396" s="153" t="n">
        <f aca="false">IF(AND($M396&lt;&gt;"",$N396="VCA",$Q396="LINEAR"),($M396*6.8)/100,IF(AND($M396&lt;&gt;"",$N396="MND",$Q396="EMBOQUE"),($AN396*2*6.8)/100,0))</f>
        <v>9.12152</v>
      </c>
      <c r="BK396" s="153" t="n">
        <f aca="false">IF(AND($M396&lt;&gt;"",$N396="VCA",$Q396="LINEAR"),($M396*2.5)/50,IF(AND($M396&lt;&gt;"",$N396="MND",$Q396="EMBOQUE"),($AN396*2*2.5)/50,0))</f>
        <v>6.707</v>
      </c>
      <c r="BL396" s="157" t="str">
        <f aca="false">K396&amp;J396</f>
        <v>Zona04REDES</v>
      </c>
      <c r="BM396" s="152" t="s">
        <v>2969</v>
      </c>
      <c r="BN396" s="152" t="s">
        <v>1560</v>
      </c>
      <c r="BO396" s="152" t="s">
        <v>1748</v>
      </c>
      <c r="BP396" s="152" t="s">
        <v>3021</v>
      </c>
      <c r="BQ396" s="152" t="s">
        <v>3029</v>
      </c>
      <c r="BR396" s="152" t="s">
        <v>3030</v>
      </c>
      <c r="BS396" s="152" t="n">
        <v>203502.203</v>
      </c>
      <c r="BT396" s="152" t="n">
        <v>8238586.488</v>
      </c>
      <c r="BU396" s="152" t="n">
        <v>203451.41</v>
      </c>
      <c r="BV396" s="152" t="n">
        <v>8238462.915</v>
      </c>
      <c r="BW396" s="152" t="n">
        <v>-15.9147822</v>
      </c>
      <c r="BX396" s="152" t="n">
        <v>-47.7693709</v>
      </c>
      <c r="BY396" s="152" t="s">
        <v>3021</v>
      </c>
    </row>
    <row r="397" customFormat="false" ht="13.8" hidden="false" customHeight="false" outlineLevel="0" collapsed="false">
      <c r="A397" s="149" t="n">
        <f aca="false">IF(C397&lt;&gt;"",ROW(A392),"")</f>
        <v>392</v>
      </c>
      <c r="B397" s="150" t="str">
        <f aca="false">HYPERLINK("https://www.google.com/maps/dir/-15.917302,-47.760003/-15.9151224,-47.7687937/data=!4m3!4m2!3e0!5i0")</f>
        <v>https://www.google.com/maps/dir/-15.917302,-47.760003/-15.9151224,-47.7687937/data=!4m3!4m2!3e0!5i0</v>
      </c>
      <c r="C397" s="151" t="s">
        <v>117</v>
      </c>
      <c r="D397" s="152" t="s">
        <v>112</v>
      </c>
      <c r="E397" s="152" t="s">
        <v>113</v>
      </c>
      <c r="F397" s="152" t="s">
        <v>117</v>
      </c>
      <c r="G397" s="152" t="s">
        <v>114</v>
      </c>
      <c r="H397" s="152" t="n">
        <v>125</v>
      </c>
      <c r="I397" s="152" t="s">
        <v>115</v>
      </c>
      <c r="J397" s="152" t="s">
        <v>6</v>
      </c>
      <c r="K397" s="152" t="s">
        <v>2966</v>
      </c>
      <c r="L397" s="152" t="s">
        <v>120</v>
      </c>
      <c r="M397" s="153" t="n">
        <f aca="false">42.53</f>
        <v>42.53</v>
      </c>
      <c r="N397" s="152" t="s">
        <v>1548</v>
      </c>
      <c r="O397" s="152" t="s">
        <v>1549</v>
      </c>
      <c r="P397" s="152" t="s">
        <v>1550</v>
      </c>
      <c r="Q397" s="152" t="s">
        <v>1551</v>
      </c>
      <c r="R397" s="154" t="s">
        <v>3031</v>
      </c>
      <c r="S397" s="154" t="s">
        <v>1593</v>
      </c>
      <c r="T397" s="155" t="s">
        <v>1746</v>
      </c>
      <c r="U397" s="152" t="str">
        <f aca="false">RIGHT(T397,7)</f>
        <v>003/037</v>
      </c>
      <c r="V397" s="152" t="s">
        <v>1555</v>
      </c>
      <c r="W397" s="156" t="n">
        <v>45882</v>
      </c>
      <c r="X397" s="152" t="s">
        <v>1594</v>
      </c>
      <c r="Y397" s="152" t="s">
        <v>3032</v>
      </c>
      <c r="Z397" s="152" t="s">
        <v>1557</v>
      </c>
      <c r="AA397" s="153" t="n">
        <v>2.1</v>
      </c>
      <c r="AB397" s="151" t="s">
        <v>3033</v>
      </c>
      <c r="AC397" s="151" t="s">
        <v>505</v>
      </c>
      <c r="AD397" s="151" t="str">
        <f aca="false">CONCATENATE($C397,$I397,$H397,$N397,$J397,$K397)</f>
        <v>TUBO PEADPEAD125VCAREDESZona04</v>
      </c>
      <c r="AE397" s="153" t="n">
        <f aca="false">IFERROR(INDEX(APOIO_REDES!$A:$W,MATCH($C397&amp;$I397&amp;$H397&amp;$N397&amp;$O397,APOIO_REDES!$W:$W,0),MATCH(AE$5,APOIO_REDES!$5:$5,0)),0)</f>
        <v>1.2</v>
      </c>
      <c r="AF397" s="153" t="n">
        <f aca="false">IFERROR(INDEX(APOIO_REDES!$A:$W,MATCH($C397&amp;$I397&amp;$H397&amp;$N397&amp;$O397,APOIO_REDES!$W:$W,0),MATCH(AF$5,APOIO_REDES!$5:$5,0)),0)</f>
        <v>1.425</v>
      </c>
      <c r="AG397" s="153" t="n">
        <f aca="false">IFERROR(INDEX(APOIO_REDES!$A:$W,MATCH($C397&amp;$I397&amp;$H397&amp;$N397&amp;$O397,APOIO_REDES!$W:$W,0),MATCH(AG$5,APOIO_REDES!$5:$5,0)),0)</f>
        <v>0.75</v>
      </c>
      <c r="AH397" s="153" t="n">
        <f aca="false">IFERROR(INDEX(APOIO_REDES!$A:$W,MATCH($C397&amp;$I397&amp;$H397&amp;$N397&amp;$O397,APOIO_REDES!$W:$W,0),MATCH(AH$5,APOIO_REDES!$5:$5,0)),0)</f>
        <v>0.1</v>
      </c>
      <c r="AI397" s="153" t="n">
        <f aca="false">IFERROR(IF($H397&lt;&gt;"",(((($H397/1000)/2)^2)*PI()*$M397),0),0)</f>
        <v>0.521921623270211</v>
      </c>
      <c r="AJ397" s="153" t="n">
        <f aca="false">IFERROR(IF(AND($H397&lt;&gt;"",$I397="FoFo",OR($N397="MND",$N397="VCA"),$Q397="LINEAR"),0,IF(AND($H397&lt;&gt;"",$I397="PEAD",$N397="VCA",$Q397="LINEAR"),($H397/1000)+0.3,IF(AND($H397&lt;&gt;"",$I397="PEAD",$N397="MND",$Q397="EMBOQUE"),0,IF(AND($H397&lt;&gt;"",$I397="PVC",$N397="VCA",$Q397="LINEAR"),($H397/1000)+0.2,IF(AND($H397&lt;&gt;"",$I397="PVC",$N397="MND",$Q397="EMBOQUE"),0,IF(AND($H397&lt;&gt;"",$I397="PEAD",$N397="VCA",$Q397="PREDIAL"),0,0)))))),0)</f>
        <v>0.425</v>
      </c>
      <c r="AK397" s="153" t="n">
        <f aca="false">IF(AA397&lt;&gt;"",AA397,0)</f>
        <v>2.1</v>
      </c>
      <c r="AL397" s="153" t="n">
        <f aca="false">IF(AND($N397="MND",$Q397="EMBOQUE"),$M397,IF(AND($N397="VCA",$Q397="LINEAR"),$M397,IF(AND($N397="VCA",$Q397="PREDIAL"),0,0)))</f>
        <v>42.53</v>
      </c>
      <c r="AM397" s="153" t="n">
        <f aca="false">IF(AND($N397="MND",$Q397="EMBOQUE"),$M397,IF(AND($N397="VCA",$Q397="LINEAR"),$M397,IF(AND($N397="VCA",$Q397="PREDIAL"),0,0)))</f>
        <v>42.53</v>
      </c>
      <c r="AN397" s="153" t="n">
        <f aca="false">ROUND(IF(AND($N397="VCA",$M397&lt;&gt;"",$Q397="LINEAR"),$M397/100,IF(AND($N397="MND",$M397&gt;100,$Q397="EMBOQUE"),$M397/100,0)),0)</f>
        <v>0</v>
      </c>
      <c r="AO397" s="153" t="n">
        <f aca="false">IF(AND($N397="MND",$Q397="EMBOQUE"),$AN397*2*2,IF(AND($N397="VCA",$Q397="LINEAR"),$M397*2,IF(AND($N397="VCA",$Q397="PREDIAL"),0,0)))</f>
        <v>85.06</v>
      </c>
      <c r="AP397" s="153" t="n">
        <f aca="false">IFERROR($M397*$AF397*$AG397,0)</f>
        <v>45.4539375</v>
      </c>
      <c r="AQ397" s="153" t="n">
        <f aca="false">IFERROR(IF(AND($N397="VCA",$AH397&gt;0),$M397*$AG397*$AH397,0),0)</f>
        <v>3.18975</v>
      </c>
      <c r="AR397" s="153" t="n">
        <f aca="false">IFERROR(IF(AND($N397="VCA",$AJ397&gt;0),($M397*$AG397*$AJ397)-$AI397,0),0)</f>
        <v>13.0345158767298</v>
      </c>
      <c r="AS397" s="153" t="n">
        <f aca="false">IFERROR(IF(AND($N397="VCA",$AP397&gt;0),$AP397-$AI397-$AQ397-$AR397,0),0)</f>
        <v>28.70775</v>
      </c>
      <c r="AT397" s="153" t="n">
        <f aca="false">IFERROR(IF($N397="VCA",INDEX(APOIO_REDES!$A:$W,MATCH($C397&amp;$I397&amp;$H397&amp;$N397&amp;$O397,APOIO_REDES!$W:$W,0),MATCH(AT$5,APOIO_REDES!$5:$5,0)),0)*$AP397,0)</f>
        <v>0.494552293678758</v>
      </c>
      <c r="AU397" s="153" t="n">
        <f aca="false">IFERROR(IF($N397="VCA",INDEX(APOIO_REDES!$A:$W,MATCH($C397&amp;$I397&amp;$H397&amp;$N397&amp;$O397,APOIO_REDES!$W:$W,0),MATCH(AU$5,APOIO_REDES!$5:$5,0)),0)*$AP397,0)</f>
        <v>0.394936067557088</v>
      </c>
      <c r="AV397" s="153" t="n">
        <f aca="false">IFERROR(IF($N397="VCA",INDEX(APOIO_REDES!$A:$W,MATCH($C397&amp;$I397&amp;$H397&amp;$N397&amp;$O397,APOIO_REDES!$W:$W,0),MATCH(AV$5,APOIO_REDES!$5:$5,0)),0)*$AP397,0)</f>
        <v>0.0546560513802111</v>
      </c>
      <c r="AW397" s="153" t="n">
        <f aca="false">IFERROR(IF($N397="VCA",INDEX(APOIO_REDES!$A:$W,MATCH($C397&amp;$I397&amp;$H397&amp;$N397&amp;$O397,APOIO_REDES!$W:$W,0),MATCH(AW$5,APOIO_REDES!$5:$5,0)),0)*$AP397,0)</f>
        <v>31.199934894294</v>
      </c>
      <c r="AX397" s="153" t="n">
        <f aca="false">IFERROR(IF($N397="VCA",INDEX(APOIO_REDES!$A:$W,MATCH($C397&amp;$I397&amp;$H397&amp;$N397&amp;$O397,APOIO_REDES!$W:$W,0),MATCH(AX$5,APOIO_REDES!$5:$5,0)),0)*$AP397,0)</f>
        <v>4.31798211467344</v>
      </c>
      <c r="AY397" s="153" t="n">
        <f aca="false">IFERROR(IF($N397="VCA",INDEX(APOIO_REDES!$A:$W,MATCH($C397&amp;$I397&amp;$H397&amp;$N397&amp;$O397,APOIO_REDES!$W:$W,0),MATCH(AY$5,APOIO_REDES!$5:$5,0)),0)*$AP397,0)</f>
        <v>7.89871653690311</v>
      </c>
      <c r="AZ397" s="153" t="n">
        <f aca="false">IFERROR(IF($N397="VCA",INDEX(APOIO_REDES!$A:$W,MATCH($C397&amp;$I397&amp;$H397&amp;$N397&amp;$O397,APOIO_REDES!$W:$W,0),MATCH(AZ$5,APOIO_REDES!$5:$5,0)),0)*$AP397,0)</f>
        <v>1.09315954151341</v>
      </c>
      <c r="BA397" s="153" t="n">
        <f aca="false">IFERROR(IF(AND($N397="VCA",$Q397="LINEAR"),INDEX(APOIO_REDES!$A:$W,MATCH($C397&amp;$I397&amp;$H397&amp;$N397&amp;$O397,APOIO_REDES!$W:$W,0),MATCH(BA$5,APOIO_REDES!$5:$5,0)),IF(AND($N397="MND",$Q397="EMBOQUE"),INDEX(APOIO_REDES!$A:$W,MATCH($C397&amp;$I397&amp;$H397&amp;$N397&amp;$O397,APOIO_REDES!$W:$W,0),MATCH(BA$5,APOIO_REDES!$5:$5,0)),0))*$M397/10,0)</f>
        <v>3.42781072146806</v>
      </c>
      <c r="BB397" s="153" t="n">
        <f aca="false">IFERROR(IF($N397="VCA",INDEX(APOIO_REDES!$A:$W,MATCH($C397&amp;$I397&amp;$H397&amp;$N397&amp;$O397,APOIO_REDES!$W:$W,0),MATCH(BB$5,APOIO_REDES!$5:$5,0)),0)*($AI397+$AQ397+$AR397),0)</f>
        <v>16.5639840233815</v>
      </c>
      <c r="BC397" s="153" t="n">
        <f aca="false">IFERROR(IF($N397="VCA",INDEX(APOIO_REDES!$A:$W,MATCH($C397&amp;$I397&amp;$H397&amp;$N397&amp;$O397,APOIO_REDES!$W:$W,0),MATCH(BC$5,APOIO_REDES!$5:$5,0)),0)*($AI397+$AQ397+$AR397),0)</f>
        <v>0.18220347661849</v>
      </c>
      <c r="BD397" s="153" t="n">
        <f aca="false">IF(AND($N397="VCA",$AF397&gt;=1.25,$AF397&lt;1.5),$M397*$AF397*2,0)</f>
        <v>121.2105</v>
      </c>
      <c r="BE397" s="153" t="n">
        <f aca="false">IF(AND($N397="VCA",$AF397&gt;=1.5,$AF397&lt;3),$M397*$AF397*2,0)</f>
        <v>0</v>
      </c>
      <c r="BF397" s="153" t="n">
        <f aca="false">IF(AND($N397="VCA",$AF397&gt;=3),$M397*$AF397*2,0)</f>
        <v>0</v>
      </c>
      <c r="BG397" s="153" t="n">
        <f aca="false">($BB397+$BC397)*$AK397</f>
        <v>35.16699375</v>
      </c>
      <c r="BH397" s="153" t="n">
        <f aca="false">IF(AND($M397&lt;&gt;"",$N397="VCA",$Q397="LINEAR"),($M397*2)/100,IF(AND($M397&lt;&gt;"",$N397="MND",$Q397="EMBOQUE"),($AN397*2)/100,0))</f>
        <v>0.8506</v>
      </c>
      <c r="BI397" s="153" t="n">
        <f aca="false">IF(AND($M397&lt;&gt;"",$N397="VCA",$Q397="LINEAR"),$M397,IF(AND($M397&lt;&gt;"",$N397="MND",$Q397="EMBOQUE"),$AN397*2,0))</f>
        <v>42.53</v>
      </c>
      <c r="BJ397" s="153" t="n">
        <f aca="false">IF(AND($M397&lt;&gt;"",$N397="VCA",$Q397="LINEAR"),($M397*6.8)/100,IF(AND($M397&lt;&gt;"",$N397="MND",$Q397="EMBOQUE"),($AN397*2*6.8)/100,0))</f>
        <v>2.89204</v>
      </c>
      <c r="BK397" s="153" t="n">
        <f aca="false">IF(AND($M397&lt;&gt;"",$N397="VCA",$Q397="LINEAR"),($M397*2.5)/50,IF(AND($M397&lt;&gt;"",$N397="MND",$Q397="EMBOQUE"),($AN397*2*2.5)/50,0))</f>
        <v>2.1265</v>
      </c>
      <c r="BL397" s="157" t="str">
        <f aca="false">K397&amp;J397</f>
        <v>Zona04REDES</v>
      </c>
      <c r="BM397" s="152" t="s">
        <v>2969</v>
      </c>
      <c r="BN397" s="152" t="s">
        <v>1560</v>
      </c>
      <c r="BO397" s="152" t="s">
        <v>1748</v>
      </c>
      <c r="BP397" s="152" t="s">
        <v>3034</v>
      </c>
      <c r="BQ397" s="152" t="s">
        <v>3025</v>
      </c>
      <c r="BR397" s="152" t="s">
        <v>3035</v>
      </c>
      <c r="BS397" s="152" t="n">
        <v>203538.964</v>
      </c>
      <c r="BT397" s="152" t="n">
        <v>8238487.928</v>
      </c>
      <c r="BU397" s="152" t="n">
        <v>203525.656</v>
      </c>
      <c r="BV397" s="152" t="n">
        <v>8238528.279</v>
      </c>
      <c r="BW397" s="152" t="n">
        <v>-15.914941</v>
      </c>
      <c r="BX397" s="152" t="n">
        <v>-47.7688582</v>
      </c>
      <c r="BY397" s="152" t="s">
        <v>3034</v>
      </c>
    </row>
    <row r="398" customFormat="false" ht="13.8" hidden="false" customHeight="false" outlineLevel="0" collapsed="false">
      <c r="A398" s="149" t="n">
        <f aca="false">IF(C398&lt;&gt;"",ROW(A393),"")</f>
        <v>393</v>
      </c>
      <c r="B398" s="150" t="str">
        <f aca="false">HYPERLINK("https://www.google.com/maps/dir/-15.917302,-47.760003/-15.9154181,-47.7686818/data=!4m3!4m2!3e0!5i0")</f>
        <v>https://www.google.com/maps/dir/-15.917302,-47.760003/-15.9154181,-47.7686818/data=!4m3!4m2!3e0!5i0</v>
      </c>
      <c r="C398" s="151" t="s">
        <v>117</v>
      </c>
      <c r="D398" s="152" t="s">
        <v>112</v>
      </c>
      <c r="E398" s="152" t="s">
        <v>113</v>
      </c>
      <c r="F398" s="152" t="s">
        <v>117</v>
      </c>
      <c r="G398" s="152" t="s">
        <v>114</v>
      </c>
      <c r="H398" s="152" t="n">
        <v>125</v>
      </c>
      <c r="I398" s="152" t="s">
        <v>115</v>
      </c>
      <c r="J398" s="152" t="s">
        <v>6</v>
      </c>
      <c r="K398" s="152" t="s">
        <v>2966</v>
      </c>
      <c r="L398" s="152" t="s">
        <v>120</v>
      </c>
      <c r="M398" s="153" t="n">
        <f aca="false">34.89</f>
        <v>34.89</v>
      </c>
      <c r="N398" s="152" t="s">
        <v>1548</v>
      </c>
      <c r="O398" s="152" t="s">
        <v>1549</v>
      </c>
      <c r="P398" s="152" t="s">
        <v>1550</v>
      </c>
      <c r="Q398" s="152" t="s">
        <v>1551</v>
      </c>
      <c r="R398" s="154" t="s">
        <v>3036</v>
      </c>
      <c r="S398" s="154" t="s">
        <v>1593</v>
      </c>
      <c r="T398" s="155" t="s">
        <v>1746</v>
      </c>
      <c r="U398" s="152" t="str">
        <f aca="false">RIGHT(T398,7)</f>
        <v>003/037</v>
      </c>
      <c r="V398" s="152" t="s">
        <v>1555</v>
      </c>
      <c r="W398" s="156" t="n">
        <v>45882</v>
      </c>
      <c r="X398" s="152" t="s">
        <v>1594</v>
      </c>
      <c r="Y398" s="152" t="s">
        <v>3032</v>
      </c>
      <c r="Z398" s="152" t="s">
        <v>1557</v>
      </c>
      <c r="AA398" s="153" t="n">
        <v>2.1</v>
      </c>
      <c r="AB398" s="151" t="s">
        <v>3037</v>
      </c>
      <c r="AC398" s="151" t="s">
        <v>505</v>
      </c>
      <c r="AD398" s="151" t="str">
        <f aca="false">CONCATENATE($C398,$I398,$H398,$N398,$J398,$K398)</f>
        <v>TUBO PEADPEAD125VCAREDESZona04</v>
      </c>
      <c r="AE398" s="153" t="n">
        <f aca="false">IFERROR(INDEX(APOIO_REDES!$A:$W,MATCH($C398&amp;$I398&amp;$H398&amp;$N398&amp;$O398,APOIO_REDES!$W:$W,0),MATCH(AE$5,APOIO_REDES!$5:$5,0)),0)</f>
        <v>1.2</v>
      </c>
      <c r="AF398" s="153" t="n">
        <f aca="false">IFERROR(INDEX(APOIO_REDES!$A:$W,MATCH($C398&amp;$I398&amp;$H398&amp;$N398&amp;$O398,APOIO_REDES!$W:$W,0),MATCH(AF$5,APOIO_REDES!$5:$5,0)),0)</f>
        <v>1.425</v>
      </c>
      <c r="AG398" s="153" t="n">
        <f aca="false">IFERROR(INDEX(APOIO_REDES!$A:$W,MATCH($C398&amp;$I398&amp;$H398&amp;$N398&amp;$O398,APOIO_REDES!$W:$W,0),MATCH(AG$5,APOIO_REDES!$5:$5,0)),0)</f>
        <v>0.75</v>
      </c>
      <c r="AH398" s="153" t="n">
        <f aca="false">IFERROR(INDEX(APOIO_REDES!$A:$W,MATCH($C398&amp;$I398&amp;$H398&amp;$N398&amp;$O398,APOIO_REDES!$W:$W,0),MATCH(AH$5,APOIO_REDES!$5:$5,0)),0)</f>
        <v>0.1</v>
      </c>
      <c r="AI398" s="153" t="n">
        <f aca="false">IFERROR(IF($H398&lt;&gt;"",(((($H398/1000)/2)^2)*PI()*$M398),0),0)</f>
        <v>0.42816471751464</v>
      </c>
      <c r="AJ398" s="153" t="n">
        <f aca="false">IFERROR(IF(AND($H398&lt;&gt;"",$I398="FoFo",OR($N398="MND",$N398="VCA"),$Q398="LINEAR"),0,IF(AND($H398&lt;&gt;"",$I398="PEAD",$N398="VCA",$Q398="LINEAR"),($H398/1000)+0.3,IF(AND($H398&lt;&gt;"",$I398="PEAD",$N398="MND",$Q398="EMBOQUE"),0,IF(AND($H398&lt;&gt;"",$I398="PVC",$N398="VCA",$Q398="LINEAR"),($H398/1000)+0.2,IF(AND($H398&lt;&gt;"",$I398="PVC",$N398="MND",$Q398="EMBOQUE"),0,IF(AND($H398&lt;&gt;"",$I398="PEAD",$N398="VCA",$Q398="PREDIAL"),0,0)))))),0)</f>
        <v>0.425</v>
      </c>
      <c r="AK398" s="153" t="n">
        <f aca="false">IF(AA398&lt;&gt;"",AA398,0)</f>
        <v>2.1</v>
      </c>
      <c r="AL398" s="153" t="n">
        <f aca="false">IF(AND($N398="MND",$Q398="EMBOQUE"),$M398,IF(AND($N398="VCA",$Q398="LINEAR"),$M398,IF(AND($N398="VCA",$Q398="PREDIAL"),0,0)))</f>
        <v>34.89</v>
      </c>
      <c r="AM398" s="153" t="n">
        <f aca="false">IF(AND($N398="MND",$Q398="EMBOQUE"),$M398,IF(AND($N398="VCA",$Q398="LINEAR"),$M398,IF(AND($N398="VCA",$Q398="PREDIAL"),0,0)))</f>
        <v>34.89</v>
      </c>
      <c r="AN398" s="153" t="n">
        <f aca="false">ROUND(IF(AND($N398="VCA",$M398&lt;&gt;"",$Q398="LINEAR"),$M398/100,IF(AND($N398="MND",$M398&gt;100,$Q398="EMBOQUE"),$M398/100,0)),0)</f>
        <v>0</v>
      </c>
      <c r="AO398" s="153" t="n">
        <f aca="false">IF(AND($N398="MND",$Q398="EMBOQUE"),$AN398*2*2,IF(AND($N398="VCA",$Q398="LINEAR"),$M398*2,IF(AND($N398="VCA",$Q398="PREDIAL"),0,0)))</f>
        <v>69.78</v>
      </c>
      <c r="AP398" s="153" t="n">
        <f aca="false">IFERROR($M398*$AF398*$AG398,0)</f>
        <v>37.2886875</v>
      </c>
      <c r="AQ398" s="153" t="n">
        <f aca="false">IFERROR(IF(AND($N398="VCA",$AH398&gt;0),$M398*$AG398*$AH398,0),0)</f>
        <v>2.61675</v>
      </c>
      <c r="AR398" s="153" t="n">
        <f aca="false">IFERROR(IF(AND($N398="VCA",$AJ398&gt;0),($M398*$AG398*$AJ398)-$AI398,0),0)</f>
        <v>10.6930227824854</v>
      </c>
      <c r="AS398" s="153" t="n">
        <f aca="false">IFERROR(IF(AND($N398="VCA",$AP398&gt;0),$AP398-$AI398-$AQ398-$AR398,0),0)</f>
        <v>23.55075</v>
      </c>
      <c r="AT398" s="153" t="n">
        <f aca="false">IFERROR(IF($N398="VCA",INDEX(APOIO_REDES!$A:$W,MATCH($C398&amp;$I398&amp;$H398&amp;$N398&amp;$O398,APOIO_REDES!$W:$W,0),MATCH(AT$5,APOIO_REDES!$5:$5,0)),0)*$AP398,0)</f>
        <v>0.405711956888123</v>
      </c>
      <c r="AU398" s="153" t="n">
        <f aca="false">IFERROR(IF($N398="VCA",INDEX(APOIO_REDES!$A:$W,MATCH($C398&amp;$I398&amp;$H398&amp;$N398&amp;$O398,APOIO_REDES!$W:$W,0),MATCH(AU$5,APOIO_REDES!$5:$5,0)),0)*$AP398,0)</f>
        <v>0.32399058069755</v>
      </c>
      <c r="AV398" s="153" t="n">
        <f aca="false">IFERROR(IF($N398="VCA",INDEX(APOIO_REDES!$A:$W,MATCH($C398&amp;$I398&amp;$H398&amp;$N398&amp;$O398,APOIO_REDES!$W:$W,0),MATCH(AV$5,APOIO_REDES!$5:$5,0)),0)*$AP398,0)</f>
        <v>0.0448377529427596</v>
      </c>
      <c r="AW398" s="153" t="n">
        <f aca="false">IFERROR(IF($N398="VCA",INDEX(APOIO_REDES!$A:$W,MATCH($C398&amp;$I398&amp;$H398&amp;$N398&amp;$O398,APOIO_REDES!$W:$W,0),MATCH(AW$5,APOIO_REDES!$5:$5,0)),0)*$AP398,0)</f>
        <v>25.5952440268497</v>
      </c>
      <c r="AX398" s="153" t="n">
        <f aca="false">IFERROR(IF($N398="VCA",INDEX(APOIO_REDES!$A:$W,MATCH($C398&amp;$I398&amp;$H398&amp;$N398&amp;$O398,APOIO_REDES!$W:$W,0),MATCH(AX$5,APOIO_REDES!$5:$5,0)),0)*$AP398,0)</f>
        <v>3.54230886388329</v>
      </c>
      <c r="AY398" s="153" t="n">
        <f aca="false">IFERROR(IF($N398="VCA",INDEX(APOIO_REDES!$A:$W,MATCH($C398&amp;$I398&amp;$H398&amp;$N398&amp;$O398,APOIO_REDES!$W:$W,0),MATCH(AY$5,APOIO_REDES!$5:$5,0)),0)*$AP398,0)</f>
        <v>6.47980766453208</v>
      </c>
      <c r="AZ398" s="153" t="n">
        <f aca="false">IFERROR(IF($N398="VCA",INDEX(APOIO_REDES!$A:$W,MATCH($C398&amp;$I398&amp;$H398&amp;$N398&amp;$O398,APOIO_REDES!$W:$W,0),MATCH(AZ$5,APOIO_REDES!$5:$5,0)),0)*$AP398,0)</f>
        <v>0.896786654206512</v>
      </c>
      <c r="BA398" s="153" t="n">
        <f aca="false">IFERROR(IF(AND($N398="VCA",$Q398="LINEAR"),INDEX(APOIO_REDES!$A:$W,MATCH($C398&amp;$I398&amp;$H398&amp;$N398&amp;$O398,APOIO_REDES!$W:$W,0),MATCH(BA$5,APOIO_REDES!$5:$5,0)),IF(AND($N398="MND",$Q398="EMBOQUE"),INDEX(APOIO_REDES!$A:$W,MATCH($C398&amp;$I398&amp;$H398&amp;$N398&amp;$O398,APOIO_REDES!$W:$W,0),MATCH(BA$5,APOIO_REDES!$5:$5,0)),0))*$M398/10,0)</f>
        <v>2.81204599275853</v>
      </c>
      <c r="BB398" s="153" t="n">
        <f aca="false">IFERROR(IF($N398="VCA",INDEX(APOIO_REDES!$A:$W,MATCH($C398&amp;$I398&amp;$H398&amp;$N398&amp;$O398,APOIO_REDES!$W:$W,0),MATCH(BB$5,APOIO_REDES!$5:$5,0)),0)*($AI398+$AQ398+$AR398),0)</f>
        <v>13.5884646737781</v>
      </c>
      <c r="BC398" s="153" t="n">
        <f aca="false">IFERROR(IF($N398="VCA",INDEX(APOIO_REDES!$A:$W,MATCH($C398&amp;$I398&amp;$H398&amp;$N398&amp;$O398,APOIO_REDES!$W:$W,0),MATCH(BC$5,APOIO_REDES!$5:$5,0)),0)*($AI398+$AQ398+$AR398),0)</f>
        <v>0.14947282622194</v>
      </c>
      <c r="BD398" s="153" t="n">
        <f aca="false">IF(AND($N398="VCA",$AF398&gt;=1.25,$AF398&lt;1.5),$M398*$AF398*2,0)</f>
        <v>99.4365</v>
      </c>
      <c r="BE398" s="153" t="n">
        <f aca="false">IF(AND($N398="VCA",$AF398&gt;=1.5,$AF398&lt;3),$M398*$AF398*2,0)</f>
        <v>0</v>
      </c>
      <c r="BF398" s="153" t="n">
        <f aca="false">IF(AND($N398="VCA",$AF398&gt;=3),$M398*$AF398*2,0)</f>
        <v>0</v>
      </c>
      <c r="BG398" s="153" t="n">
        <f aca="false">($BB398+$BC398)*$AK398</f>
        <v>28.84966875</v>
      </c>
      <c r="BH398" s="153" t="n">
        <f aca="false">IF(AND($M398&lt;&gt;"",$N398="VCA",$Q398="LINEAR"),($M398*2)/100,IF(AND($M398&lt;&gt;"",$N398="MND",$Q398="EMBOQUE"),($AN398*2)/100,0))</f>
        <v>0.6978</v>
      </c>
      <c r="BI398" s="153" t="n">
        <f aca="false">IF(AND($M398&lt;&gt;"",$N398="VCA",$Q398="LINEAR"),$M398,IF(AND($M398&lt;&gt;"",$N398="MND",$Q398="EMBOQUE"),$AN398*2,0))</f>
        <v>34.89</v>
      </c>
      <c r="BJ398" s="153" t="n">
        <f aca="false">IF(AND($M398&lt;&gt;"",$N398="VCA",$Q398="LINEAR"),($M398*6.8)/100,IF(AND($M398&lt;&gt;"",$N398="MND",$Q398="EMBOQUE"),($AN398*2*6.8)/100,0))</f>
        <v>2.37252</v>
      </c>
      <c r="BK398" s="153" t="n">
        <f aca="false">IF(AND($M398&lt;&gt;"",$N398="VCA",$Q398="LINEAR"),($M398*2.5)/50,IF(AND($M398&lt;&gt;"",$N398="MND",$Q398="EMBOQUE"),($AN398*2*2.5)/50,0))</f>
        <v>1.7445</v>
      </c>
      <c r="BL398" s="157" t="str">
        <f aca="false">K398&amp;J398</f>
        <v>Zona04REDES</v>
      </c>
      <c r="BM398" s="152" t="s">
        <v>2969</v>
      </c>
      <c r="BN398" s="152" t="s">
        <v>1560</v>
      </c>
      <c r="BO398" s="152" t="s">
        <v>1748</v>
      </c>
      <c r="BP398" s="152" t="s">
        <v>3038</v>
      </c>
      <c r="BQ398" s="152" t="s">
        <v>3034</v>
      </c>
      <c r="BR398" s="152" t="s">
        <v>3039</v>
      </c>
      <c r="BS398" s="152" t="n">
        <v>203551.389</v>
      </c>
      <c r="BT398" s="152" t="n">
        <v>8238455.351</v>
      </c>
      <c r="BU398" s="152" t="n">
        <v>203538.964</v>
      </c>
      <c r="BV398" s="152" t="n">
        <v>8238487.928</v>
      </c>
      <c r="BW398" s="152" t="n">
        <v>-15.9152701</v>
      </c>
      <c r="BX398" s="152" t="n">
        <v>-47.7687371</v>
      </c>
      <c r="BY398" s="152" t="s">
        <v>3038</v>
      </c>
    </row>
    <row r="399" customFormat="false" ht="13.8" hidden="false" customHeight="false" outlineLevel="0" collapsed="false">
      <c r="A399" s="149" t="n">
        <f aca="false">IF(C399&lt;&gt;"",ROW(A394),"")</f>
        <v>394</v>
      </c>
      <c r="B399" s="150" t="str">
        <f aca="false">HYPERLINK("https://www.google.com/maps/dir/-15.917302,-47.760003/-15.9153377,-47.7696141/data=!4m3!4m2!3e0!5i0")</f>
        <v>https://www.google.com/maps/dir/-15.917302,-47.760003/-15.9153377,-47.7696141/data=!4m3!4m2!3e0!5i0</v>
      </c>
      <c r="C399" s="151" t="s">
        <v>117</v>
      </c>
      <c r="D399" s="152" t="s">
        <v>112</v>
      </c>
      <c r="E399" s="152" t="s">
        <v>113</v>
      </c>
      <c r="F399" s="152" t="s">
        <v>117</v>
      </c>
      <c r="G399" s="152" t="s">
        <v>114</v>
      </c>
      <c r="H399" s="152" t="n">
        <v>160</v>
      </c>
      <c r="I399" s="152" t="s">
        <v>115</v>
      </c>
      <c r="J399" s="152" t="s">
        <v>6</v>
      </c>
      <c r="K399" s="152" t="s">
        <v>2966</v>
      </c>
      <c r="L399" s="152" t="s">
        <v>120</v>
      </c>
      <c r="M399" s="153" t="n">
        <f aca="false">20.5</f>
        <v>20.5</v>
      </c>
      <c r="N399" s="152" t="s">
        <v>1548</v>
      </c>
      <c r="O399" s="152" t="s">
        <v>1549</v>
      </c>
      <c r="P399" s="152" t="s">
        <v>1550</v>
      </c>
      <c r="Q399" s="152" t="s">
        <v>1551</v>
      </c>
      <c r="R399" s="154" t="s">
        <v>3040</v>
      </c>
      <c r="S399" s="154" t="s">
        <v>1593</v>
      </c>
      <c r="T399" s="155" t="s">
        <v>1746</v>
      </c>
      <c r="U399" s="152" t="str">
        <f aca="false">RIGHT(T399,7)</f>
        <v>003/037</v>
      </c>
      <c r="V399" s="152" t="s">
        <v>1555</v>
      </c>
      <c r="W399" s="156" t="n">
        <v>45882</v>
      </c>
      <c r="X399" s="152" t="s">
        <v>1594</v>
      </c>
      <c r="Y399" s="152" t="s">
        <v>3032</v>
      </c>
      <c r="Z399" s="152" t="s">
        <v>1557</v>
      </c>
      <c r="AA399" s="153" t="n">
        <v>2.1</v>
      </c>
      <c r="AB399" s="151" t="s">
        <v>3041</v>
      </c>
      <c r="AC399" s="151" t="s">
        <v>505</v>
      </c>
      <c r="AD399" s="151" t="str">
        <f aca="false">CONCATENATE($C399,$I399,$H399,$N399,$J399,$K399)</f>
        <v>TUBO PEADPEAD160VCAREDESZona04</v>
      </c>
      <c r="AE399" s="153" t="n">
        <f aca="false">IFERROR(INDEX(APOIO_REDES!$A:$W,MATCH($C399&amp;$I399&amp;$H399&amp;$N399&amp;$O399,APOIO_REDES!$W:$W,0),MATCH(AE$5,APOIO_REDES!$5:$5,0)),0)</f>
        <v>1.2</v>
      </c>
      <c r="AF399" s="153" t="n">
        <f aca="false">IFERROR(INDEX(APOIO_REDES!$A:$W,MATCH($C399&amp;$I399&amp;$H399&amp;$N399&amp;$O399,APOIO_REDES!$W:$W,0),MATCH(AF$5,APOIO_REDES!$5:$5,0)),0)</f>
        <v>1.46</v>
      </c>
      <c r="AG399" s="153" t="n">
        <f aca="false">IFERROR(INDEX(APOIO_REDES!$A:$W,MATCH($C399&amp;$I399&amp;$H399&amp;$N399&amp;$O399,APOIO_REDES!$W:$W,0),MATCH(AG$5,APOIO_REDES!$5:$5,0)),0)</f>
        <v>0.75</v>
      </c>
      <c r="AH399" s="153" t="n">
        <f aca="false">IFERROR(INDEX(APOIO_REDES!$A:$W,MATCH($C399&amp;$I399&amp;$H399&amp;$N399&amp;$O399,APOIO_REDES!$W:$W,0),MATCH(AH$5,APOIO_REDES!$5:$5,0)),0)</f>
        <v>0.1</v>
      </c>
      <c r="AI399" s="153" t="n">
        <f aca="false">IFERROR(IF($H399&lt;&gt;"",(((($H399/1000)/2)^2)*PI()*$M399),0),0)</f>
        <v>0.412176956150981</v>
      </c>
      <c r="AJ399" s="153" t="n">
        <f aca="false">IFERROR(IF(AND($H399&lt;&gt;"",$I399="FoFo",OR($N399="MND",$N399="VCA"),$Q399="LINEAR"),0,IF(AND($H399&lt;&gt;"",$I399="PEAD",$N399="VCA",$Q399="LINEAR"),($H399/1000)+0.3,IF(AND($H399&lt;&gt;"",$I399="PEAD",$N399="MND",$Q399="EMBOQUE"),0,IF(AND($H399&lt;&gt;"",$I399="PVC",$N399="VCA",$Q399="LINEAR"),($H399/1000)+0.2,IF(AND($H399&lt;&gt;"",$I399="PVC",$N399="MND",$Q399="EMBOQUE"),0,IF(AND($H399&lt;&gt;"",$I399="PEAD",$N399="VCA",$Q399="PREDIAL"),0,0)))))),0)</f>
        <v>0.46</v>
      </c>
      <c r="AK399" s="153" t="n">
        <f aca="false">IF(AA399&lt;&gt;"",AA399,0)</f>
        <v>2.1</v>
      </c>
      <c r="AL399" s="153" t="n">
        <f aca="false">IF(AND($N399="MND",$Q399="EMBOQUE"),$M399,IF(AND($N399="VCA",$Q399="LINEAR"),$M399,IF(AND($N399="VCA",$Q399="PREDIAL"),0,0)))</f>
        <v>20.5</v>
      </c>
      <c r="AM399" s="153" t="n">
        <f aca="false">IF(AND($N399="MND",$Q399="EMBOQUE"),$M399,IF(AND($N399="VCA",$Q399="LINEAR"),$M399,IF(AND($N399="VCA",$Q399="PREDIAL"),0,0)))</f>
        <v>20.5</v>
      </c>
      <c r="AN399" s="153" t="n">
        <f aca="false">ROUND(IF(AND($N399="VCA",$M399&lt;&gt;"",$Q399="LINEAR"),$M399/100,IF(AND($N399="MND",$M399&gt;100,$Q399="EMBOQUE"),$M399/100,0)),0)</f>
        <v>0</v>
      </c>
      <c r="AO399" s="153" t="n">
        <f aca="false">IF(AND($N399="MND",$Q399="EMBOQUE"),$AN399*2*2,IF(AND($N399="VCA",$Q399="LINEAR"),$M399*2,IF(AND($N399="VCA",$Q399="PREDIAL"),0,0)))</f>
        <v>41</v>
      </c>
      <c r="AP399" s="153" t="n">
        <f aca="false">IFERROR($M399*$AF399*$AG399,0)</f>
        <v>22.4475</v>
      </c>
      <c r="AQ399" s="153" t="n">
        <f aca="false">IFERROR(IF(AND($N399="VCA",$AH399&gt;0),$M399*$AG399*$AH399,0),0)</f>
        <v>1.5375</v>
      </c>
      <c r="AR399" s="153" t="n">
        <f aca="false">IFERROR(IF(AND($N399="VCA",$AJ399&gt;0),($M399*$AG399*$AJ399)-$AI399,0),0)</f>
        <v>6.66032304384902</v>
      </c>
      <c r="AS399" s="153" t="n">
        <f aca="false">IFERROR(IF(AND($N399="VCA",$AP399&gt;0),$AP399-$AI399-$AQ399-$AR399,0),0)</f>
        <v>13.8375</v>
      </c>
      <c r="AT399" s="153" t="n">
        <f aca="false">IFERROR(IF($N399="VCA",INDEX(APOIO_REDES!$A:$W,MATCH($C399&amp;$I399&amp;$H399&amp;$N399&amp;$O399,APOIO_REDES!$W:$W,0),MATCH(AT$5,APOIO_REDES!$5:$5,0)),0)*$AP399,0)</f>
        <v>0.244235444120852</v>
      </c>
      <c r="AU399" s="153" t="n">
        <f aca="false">IFERROR(IF($N399="VCA",INDEX(APOIO_REDES!$A:$W,MATCH($C399&amp;$I399&amp;$H399&amp;$N399&amp;$O399,APOIO_REDES!$W:$W,0),MATCH(AU$5,APOIO_REDES!$5:$5,0)),0)*$AP399,0)</f>
        <v>0.195039810940201</v>
      </c>
      <c r="AV399" s="153" t="n">
        <f aca="false">IFERROR(IF($N399="VCA",INDEX(APOIO_REDES!$A:$W,MATCH($C399&amp;$I399&amp;$H399&amp;$N399&amp;$O399,APOIO_REDES!$W:$W,0),MATCH(AV$5,APOIO_REDES!$5:$5,0)),0)*$AP399,0)</f>
        <v>0.0269919787115756</v>
      </c>
      <c r="AW399" s="153" t="n">
        <f aca="false">IFERROR(IF($N399="VCA",INDEX(APOIO_REDES!$A:$W,MATCH($C399&amp;$I399&amp;$H399&amp;$N399&amp;$O399,APOIO_REDES!$W:$W,0),MATCH(AW$5,APOIO_REDES!$5:$5,0)),0)*$AP399,0)</f>
        <v>15.4081379317175</v>
      </c>
      <c r="AX399" s="153" t="n">
        <f aca="false">IFERROR(IF($N399="VCA",INDEX(APOIO_REDES!$A:$W,MATCH($C399&amp;$I399&amp;$H399&amp;$N399&amp;$O399,APOIO_REDES!$W:$W,0),MATCH(AX$5,APOIO_REDES!$5:$5,0)),0)*$AP399,0)</f>
        <v>2.13244239883799</v>
      </c>
      <c r="AY399" s="153" t="n">
        <f aca="false">IFERROR(IF($N399="VCA",INDEX(APOIO_REDES!$A:$W,MATCH($C399&amp;$I399&amp;$H399&amp;$N399&amp;$O399,APOIO_REDES!$W:$W,0),MATCH(AY$5,APOIO_REDES!$5:$5,0)),0)*$AP399,0)</f>
        <v>3.90079384128454</v>
      </c>
      <c r="AZ399" s="153" t="n">
        <f aca="false">IFERROR(IF($N399="VCA",INDEX(APOIO_REDES!$A:$W,MATCH($C399&amp;$I399&amp;$H399&amp;$N399&amp;$O399,APOIO_REDES!$W:$W,0),MATCH(AZ$5,APOIO_REDES!$5:$5,0)),0)*$AP399,0)</f>
        <v>0.539858594387391</v>
      </c>
      <c r="BA399" s="153" t="n">
        <f aca="false">IFERROR(IF(AND($N399="VCA",$Q399="LINEAR"),INDEX(APOIO_REDES!$A:$W,MATCH($C399&amp;$I399&amp;$H399&amp;$N399&amp;$O399,APOIO_REDES!$W:$W,0),MATCH(BA$5,APOIO_REDES!$5:$5,0)),IF(AND($N399="MND",$Q399="EMBOQUE"),INDEX(APOIO_REDES!$A:$W,MATCH($C399&amp;$I399&amp;$H399&amp;$N399&amp;$O399,APOIO_REDES!$W:$W,0),MATCH(BA$5,APOIO_REDES!$5:$5,0)),0))*$M399/10,0)</f>
        <v>1.6522482903855</v>
      </c>
      <c r="BB399" s="153" t="n">
        <f aca="false">IFERROR(IF($N399="VCA",INDEX(APOIO_REDES!$A:$W,MATCH($C399&amp;$I399&amp;$H399&amp;$N399&amp;$O399,APOIO_REDES!$W:$W,0),MATCH(BB$5,APOIO_REDES!$5:$5,0)),0)*($AI399+$AQ399+$AR399),0)</f>
        <v>8.51632065157008</v>
      </c>
      <c r="BC399" s="153" t="n">
        <f aca="false">IFERROR(IF($N399="VCA",INDEX(APOIO_REDES!$A:$W,MATCH($C399&amp;$I399&amp;$H399&amp;$N399&amp;$O399,APOIO_REDES!$W:$W,0),MATCH(BC$5,APOIO_REDES!$5:$5,0)),0)*($AI399+$AQ399+$AR399),0)</f>
        <v>0.0936793484299157</v>
      </c>
      <c r="BD399" s="153" t="n">
        <f aca="false">IF(AND($N399="VCA",$AF399&gt;=1.25,$AF399&lt;1.5),$M399*$AF399*2,0)</f>
        <v>59.86</v>
      </c>
      <c r="BE399" s="153" t="n">
        <f aca="false">IF(AND($N399="VCA",$AF399&gt;=1.5,$AF399&lt;3),$M399*$AF399*2,0)</f>
        <v>0</v>
      </c>
      <c r="BF399" s="153" t="n">
        <f aca="false">IF(AND($N399="VCA",$AF399&gt;=3),$M399*$AF399*2,0)</f>
        <v>0</v>
      </c>
      <c r="BG399" s="153" t="n">
        <f aca="false">($BB399+$BC399)*$AK399</f>
        <v>18.081</v>
      </c>
      <c r="BH399" s="153" t="n">
        <f aca="false">IF(AND($M399&lt;&gt;"",$N399="VCA",$Q399="LINEAR"),($M399*2)/100,IF(AND($M399&lt;&gt;"",$N399="MND",$Q399="EMBOQUE"),($AN399*2)/100,0))</f>
        <v>0.41</v>
      </c>
      <c r="BI399" s="153" t="n">
        <f aca="false">IF(AND($M399&lt;&gt;"",$N399="VCA",$Q399="LINEAR"),$M399,IF(AND($M399&lt;&gt;"",$N399="MND",$Q399="EMBOQUE"),$AN399*2,0))</f>
        <v>20.5</v>
      </c>
      <c r="BJ399" s="153" t="n">
        <f aca="false">IF(AND($M399&lt;&gt;"",$N399="VCA",$Q399="LINEAR"),($M399*6.8)/100,IF(AND($M399&lt;&gt;"",$N399="MND",$Q399="EMBOQUE"),($AN399*2*6.8)/100,0))</f>
        <v>1.394</v>
      </c>
      <c r="BK399" s="153" t="n">
        <f aca="false">IF(AND($M399&lt;&gt;"",$N399="VCA",$Q399="LINEAR"),($M399*2.5)/50,IF(AND($M399&lt;&gt;"",$N399="MND",$Q399="EMBOQUE"),($AN399*2*2.5)/50,0))</f>
        <v>1.025</v>
      </c>
      <c r="BL399" s="157" t="str">
        <f aca="false">K399&amp;J399</f>
        <v>Zona04REDES</v>
      </c>
      <c r="BM399" s="152" t="s">
        <v>2969</v>
      </c>
      <c r="BN399" s="152" t="s">
        <v>1560</v>
      </c>
      <c r="BO399" s="152" t="s">
        <v>1748</v>
      </c>
      <c r="BP399" s="152" t="s">
        <v>3029</v>
      </c>
      <c r="BQ399" s="152" t="s">
        <v>3042</v>
      </c>
      <c r="BR399" s="152" t="s">
        <v>3030</v>
      </c>
      <c r="BS399" s="152" t="n">
        <v>203451.41</v>
      </c>
      <c r="BT399" s="152" t="n">
        <v>8238462.915</v>
      </c>
      <c r="BU399" s="152" t="n">
        <v>203443.644</v>
      </c>
      <c r="BV399" s="152" t="n">
        <v>8238443.948</v>
      </c>
      <c r="BW399" s="152" t="n">
        <v>-15.915423</v>
      </c>
      <c r="BX399" s="152" t="n">
        <v>-47.7696511</v>
      </c>
      <c r="BY399" s="152" t="s">
        <v>3029</v>
      </c>
    </row>
    <row r="400" customFormat="false" ht="13.8" hidden="false" customHeight="false" outlineLevel="0" collapsed="false">
      <c r="A400" s="149" t="n">
        <f aca="false">IF(C400&lt;&gt;"",ROW(A395),"")</f>
        <v>395</v>
      </c>
      <c r="B400" s="150" t="str">
        <f aca="false">HYPERLINK("https://www.google.com/maps/dir/-15.917302,-47.760003/-15.9154694,-47.7686635/data=!4m3!4m2!3e0!5i0")</f>
        <v>https://www.google.com/maps/dir/-15.917302,-47.760003/-15.9154694,-47.7686635/data=!4m3!4m2!3e0!5i0</v>
      </c>
      <c r="C400" s="151" t="s">
        <v>117</v>
      </c>
      <c r="D400" s="152" t="s">
        <v>112</v>
      </c>
      <c r="E400" s="152" t="s">
        <v>113</v>
      </c>
      <c r="F400" s="152" t="s">
        <v>117</v>
      </c>
      <c r="G400" s="152" t="s">
        <v>114</v>
      </c>
      <c r="H400" s="152" t="n">
        <v>125</v>
      </c>
      <c r="I400" s="152" t="s">
        <v>115</v>
      </c>
      <c r="J400" s="152" t="s">
        <v>6</v>
      </c>
      <c r="K400" s="152" t="s">
        <v>2966</v>
      </c>
      <c r="L400" s="152" t="s">
        <v>120</v>
      </c>
      <c r="M400" s="153" t="n">
        <f aca="false">5.99</f>
        <v>5.99</v>
      </c>
      <c r="N400" s="152" t="s">
        <v>1548</v>
      </c>
      <c r="O400" s="152" t="s">
        <v>1549</v>
      </c>
      <c r="P400" s="152" t="s">
        <v>1550</v>
      </c>
      <c r="Q400" s="152" t="s">
        <v>1551</v>
      </c>
      <c r="R400" s="154" t="s">
        <v>3043</v>
      </c>
      <c r="S400" s="154" t="s">
        <v>1593</v>
      </c>
      <c r="T400" s="155" t="s">
        <v>1746</v>
      </c>
      <c r="U400" s="152" t="str">
        <f aca="false">RIGHT(T400,7)</f>
        <v>003/037</v>
      </c>
      <c r="V400" s="152" t="s">
        <v>1555</v>
      </c>
      <c r="W400" s="156" t="n">
        <v>45882</v>
      </c>
      <c r="X400" s="152" t="s">
        <v>1594</v>
      </c>
      <c r="Y400" s="152" t="s">
        <v>3015</v>
      </c>
      <c r="Z400" s="152" t="s">
        <v>1557</v>
      </c>
      <c r="AA400" s="153" t="n">
        <v>2.1</v>
      </c>
      <c r="AB400" s="151" t="s">
        <v>3044</v>
      </c>
      <c r="AC400" s="151" t="s">
        <v>505</v>
      </c>
      <c r="AD400" s="151" t="str">
        <f aca="false">CONCATENATE($C400,$I400,$H400,$N400,$J400,$K400)</f>
        <v>TUBO PEADPEAD125VCAREDESZona04</v>
      </c>
      <c r="AE400" s="153" t="n">
        <f aca="false">IFERROR(INDEX(APOIO_REDES!$A:$W,MATCH($C400&amp;$I400&amp;$H400&amp;$N400&amp;$O400,APOIO_REDES!$W:$W,0),MATCH(AE$5,APOIO_REDES!$5:$5,0)),0)</f>
        <v>1.2</v>
      </c>
      <c r="AF400" s="153" t="n">
        <f aca="false">IFERROR(INDEX(APOIO_REDES!$A:$W,MATCH($C400&amp;$I400&amp;$H400&amp;$N400&amp;$O400,APOIO_REDES!$W:$W,0),MATCH(AF$5,APOIO_REDES!$5:$5,0)),0)</f>
        <v>1.425</v>
      </c>
      <c r="AG400" s="153" t="n">
        <f aca="false">IFERROR(INDEX(APOIO_REDES!$A:$W,MATCH($C400&amp;$I400&amp;$H400&amp;$N400&amp;$O400,APOIO_REDES!$W:$W,0),MATCH(AG$5,APOIO_REDES!$5:$5,0)),0)</f>
        <v>0.75</v>
      </c>
      <c r="AH400" s="153" t="n">
        <f aca="false">IFERROR(INDEX(APOIO_REDES!$A:$W,MATCH($C400&amp;$I400&amp;$H400&amp;$N400&amp;$O400,APOIO_REDES!$W:$W,0),MATCH(AH$5,APOIO_REDES!$5:$5,0)),0)</f>
        <v>0.1</v>
      </c>
      <c r="AI400" s="153" t="n">
        <f aca="false">IFERROR(IF($H400&lt;&gt;"",(((($H400/1000)/2)^2)*PI()*$M400),0),0)</f>
        <v>0.0735083593554799</v>
      </c>
      <c r="AJ400" s="153" t="n">
        <f aca="false">IFERROR(IF(AND($H400&lt;&gt;"",$I400="FoFo",OR($N400="MND",$N400="VCA"),$Q400="LINEAR"),0,IF(AND($H400&lt;&gt;"",$I400="PEAD",$N400="VCA",$Q400="LINEAR"),($H400/1000)+0.3,IF(AND($H400&lt;&gt;"",$I400="PEAD",$N400="MND",$Q400="EMBOQUE"),0,IF(AND($H400&lt;&gt;"",$I400="PVC",$N400="VCA",$Q400="LINEAR"),($H400/1000)+0.2,IF(AND($H400&lt;&gt;"",$I400="PVC",$N400="MND",$Q400="EMBOQUE"),0,IF(AND($H400&lt;&gt;"",$I400="PEAD",$N400="VCA",$Q400="PREDIAL"),0,0)))))),0)</f>
        <v>0.425</v>
      </c>
      <c r="AK400" s="153" t="n">
        <f aca="false">IF(AA400&lt;&gt;"",AA400,0)</f>
        <v>2.1</v>
      </c>
      <c r="AL400" s="153" t="n">
        <f aca="false">IF(AND($N400="MND",$Q400="EMBOQUE"),$M400,IF(AND($N400="VCA",$Q400="LINEAR"),$M400,IF(AND($N400="VCA",$Q400="PREDIAL"),0,0)))</f>
        <v>5.99</v>
      </c>
      <c r="AM400" s="153" t="n">
        <f aca="false">IF(AND($N400="MND",$Q400="EMBOQUE"),$M400,IF(AND($N400="VCA",$Q400="LINEAR"),$M400,IF(AND($N400="VCA",$Q400="PREDIAL"),0,0)))</f>
        <v>5.99</v>
      </c>
      <c r="AN400" s="153" t="n">
        <f aca="false">ROUND(IF(AND($N400="VCA",$M400&lt;&gt;"",$Q400="LINEAR"),$M400/100,IF(AND($N400="MND",$M400&gt;100,$Q400="EMBOQUE"),$M400/100,0)),0)</f>
        <v>0</v>
      </c>
      <c r="AO400" s="153" t="n">
        <f aca="false">IF(AND($N400="MND",$Q400="EMBOQUE"),$AN400*2*2,IF(AND($N400="VCA",$Q400="LINEAR"),$M400*2,IF(AND($N400="VCA",$Q400="PREDIAL"),0,0)))</f>
        <v>11.98</v>
      </c>
      <c r="AP400" s="153" t="n">
        <f aca="false">IFERROR($M400*$AF400*$AG400,0)</f>
        <v>6.4018125</v>
      </c>
      <c r="AQ400" s="153" t="n">
        <f aca="false">IFERROR(IF(AND($N400="VCA",$AH400&gt;0),$M400*$AG400*$AH400,0),0)</f>
        <v>0.44925</v>
      </c>
      <c r="AR400" s="153" t="n">
        <f aca="false">IFERROR(IF(AND($N400="VCA",$AJ400&gt;0),($M400*$AG400*$AJ400)-$AI400,0),0)</f>
        <v>1.83580414064452</v>
      </c>
      <c r="AS400" s="153" t="n">
        <f aca="false">IFERROR(IF(AND($N400="VCA",$AP400&gt;0),$AP400-$AI400-$AQ400-$AR400,0),0)</f>
        <v>4.04325</v>
      </c>
      <c r="AT400" s="153" t="n">
        <f aca="false">IFERROR(IF($N400="VCA",INDEX(APOIO_REDES!$A:$W,MATCH($C400&amp;$I400&amp;$H400&amp;$N400&amp;$O400,APOIO_REDES!$W:$W,0),MATCH(AT$5,APOIO_REDES!$5:$5,0)),0)*$AP400,0)</f>
        <v>0.0696536148397781</v>
      </c>
      <c r="AU400" s="153" t="n">
        <f aca="false">IFERROR(IF($N400="VCA",INDEX(APOIO_REDES!$A:$W,MATCH($C400&amp;$I400&amp;$H400&amp;$N400&amp;$O400,APOIO_REDES!$W:$W,0),MATCH(AU$5,APOIO_REDES!$5:$5,0)),0)*$AP400,0)</f>
        <v>0.0556234903519153</v>
      </c>
      <c r="AV400" s="153" t="n">
        <f aca="false">IFERROR(IF($N400="VCA",INDEX(APOIO_REDES!$A:$W,MATCH($C400&amp;$I400&amp;$H400&amp;$N400&amp;$O400,APOIO_REDES!$W:$W,0),MATCH(AV$5,APOIO_REDES!$5:$5,0)),0)*$AP400,0)</f>
        <v>0.00769785440318515</v>
      </c>
      <c r="AW400" s="153" t="n">
        <f aca="false">IFERROR(IF($N400="VCA",INDEX(APOIO_REDES!$A:$W,MATCH($C400&amp;$I400&amp;$H400&amp;$N400&amp;$O400,APOIO_REDES!$W:$W,0),MATCH(AW$5,APOIO_REDES!$5:$5,0)),0)*$AP400,0)</f>
        <v>4.39425370366379</v>
      </c>
      <c r="AX400" s="153" t="n">
        <f aca="false">IFERROR(IF($N400="VCA",INDEX(APOIO_REDES!$A:$W,MATCH($C400&amp;$I400&amp;$H400&amp;$N400&amp;$O400,APOIO_REDES!$W:$W,0),MATCH(AX$5,APOIO_REDES!$5:$5,0)),0)*$AP400,0)</f>
        <v>0.608152195318455</v>
      </c>
      <c r="AY400" s="153" t="n">
        <f aca="false">IFERROR(IF($N400="VCA",INDEX(APOIO_REDES!$A:$W,MATCH($C400&amp;$I400&amp;$H400&amp;$N400&amp;$O400,APOIO_REDES!$W:$W,0),MATCH(AY$5,APOIO_REDES!$5:$5,0)),0)*$AP400,0)</f>
        <v>1.11246912899247</v>
      </c>
      <c r="AZ400" s="153" t="n">
        <f aca="false">IFERROR(IF($N400="VCA",INDEX(APOIO_REDES!$A:$W,MATCH($C400&amp;$I400&amp;$H400&amp;$N400&amp;$O400,APOIO_REDES!$W:$W,0),MATCH(AZ$5,APOIO_REDES!$5:$5,0)),0)*$AP400,0)</f>
        <v>0.15396251243041</v>
      </c>
      <c r="BA400" s="153" t="n">
        <f aca="false">IFERROR(IF(AND($N400="VCA",$Q400="LINEAR"),INDEX(APOIO_REDES!$A:$W,MATCH($C400&amp;$I400&amp;$H400&amp;$N400&amp;$O400,APOIO_REDES!$W:$W,0),MATCH(BA$5,APOIO_REDES!$5:$5,0)),IF(AND($N400="MND",$Q400="EMBOQUE"),INDEX(APOIO_REDES!$A:$W,MATCH($C400&amp;$I400&amp;$H400&amp;$N400&amp;$O400,APOIO_REDES!$W:$W,0),MATCH(BA$5,APOIO_REDES!$5:$5,0)),0))*$M400/10,0)</f>
        <v>0.482778890702884</v>
      </c>
      <c r="BB400" s="153" t="n">
        <f aca="false">IFERROR(IF($N400="VCA",INDEX(APOIO_REDES!$A:$W,MATCH($C400&amp;$I400&amp;$H400&amp;$N400&amp;$O400,APOIO_REDES!$W:$W,0),MATCH(BB$5,APOIO_REDES!$5:$5,0)),0)*($AI400+$AQ400+$AR400),0)</f>
        <v>2.33290064190113</v>
      </c>
      <c r="BC400" s="153" t="n">
        <f aca="false">IFERROR(IF($N400="VCA",INDEX(APOIO_REDES!$A:$W,MATCH($C400&amp;$I400&amp;$H400&amp;$N400&amp;$O400,APOIO_REDES!$W:$W,0),MATCH(BC$5,APOIO_REDES!$5:$5,0)),0)*($AI400+$AQ400+$AR400),0)</f>
        <v>0.0256618580988656</v>
      </c>
      <c r="BD400" s="153" t="n">
        <f aca="false">IF(AND($N400="VCA",$AF400&gt;=1.25,$AF400&lt;1.5),$M400*$AF400*2,0)</f>
        <v>17.0715</v>
      </c>
      <c r="BE400" s="153" t="n">
        <f aca="false">IF(AND($N400="VCA",$AF400&gt;=1.5,$AF400&lt;3),$M400*$AF400*2,0)</f>
        <v>0</v>
      </c>
      <c r="BF400" s="153" t="n">
        <f aca="false">IF(AND($N400="VCA",$AF400&gt;=3),$M400*$AF400*2,0)</f>
        <v>0</v>
      </c>
      <c r="BG400" s="153" t="n">
        <f aca="false">($BB400+$BC400)*$AK400</f>
        <v>4.95298125</v>
      </c>
      <c r="BH400" s="153" t="n">
        <f aca="false">IF(AND($M400&lt;&gt;"",$N400="VCA",$Q400="LINEAR"),($M400*2)/100,IF(AND($M400&lt;&gt;"",$N400="MND",$Q400="EMBOQUE"),($AN400*2)/100,0))</f>
        <v>0.1198</v>
      </c>
      <c r="BI400" s="153" t="n">
        <f aca="false">IF(AND($M400&lt;&gt;"",$N400="VCA",$Q400="LINEAR"),$M400,IF(AND($M400&lt;&gt;"",$N400="MND",$Q400="EMBOQUE"),$AN400*2,0))</f>
        <v>5.99</v>
      </c>
      <c r="BJ400" s="153" t="n">
        <f aca="false">IF(AND($M400&lt;&gt;"",$N400="VCA",$Q400="LINEAR"),($M400*6.8)/100,IF(AND($M400&lt;&gt;"",$N400="MND",$Q400="EMBOQUE"),($AN400*2*6.8)/100,0))</f>
        <v>0.40732</v>
      </c>
      <c r="BK400" s="153" t="n">
        <f aca="false">IF(AND($M400&lt;&gt;"",$N400="VCA",$Q400="LINEAR"),($M400*2.5)/50,IF(AND($M400&lt;&gt;"",$N400="MND",$Q400="EMBOQUE"),($AN400*2*2.5)/50,0))</f>
        <v>0.2995</v>
      </c>
      <c r="BL400" s="157" t="str">
        <f aca="false">K400&amp;J400</f>
        <v>Zona04REDES</v>
      </c>
      <c r="BM400" s="152" t="s">
        <v>2969</v>
      </c>
      <c r="BN400" s="152" t="s">
        <v>1560</v>
      </c>
      <c r="BO400" s="152" t="s">
        <v>1748</v>
      </c>
      <c r="BP400" s="152" t="s">
        <v>3045</v>
      </c>
      <c r="BQ400" s="152" t="s">
        <v>3038</v>
      </c>
      <c r="BR400" s="152" t="s">
        <v>3046</v>
      </c>
      <c r="BS400" s="152" t="n">
        <v>203553.05</v>
      </c>
      <c r="BT400" s="152" t="n">
        <v>8238449.592</v>
      </c>
      <c r="BU400" s="152" t="n">
        <v>203551.389</v>
      </c>
      <c r="BV400" s="152" t="n">
        <v>8238455.351</v>
      </c>
      <c r="BW400" s="152" t="n">
        <v>-15.9154442</v>
      </c>
      <c r="BX400" s="152" t="n">
        <v>-47.7686744</v>
      </c>
      <c r="BY400" s="152" t="s">
        <v>3045</v>
      </c>
    </row>
    <row r="401" customFormat="false" ht="13.8" hidden="false" customHeight="false" outlineLevel="0" collapsed="false">
      <c r="A401" s="149" t="n">
        <f aca="false">IF(C401&lt;&gt;"",ROW(A396),"")</f>
        <v>396</v>
      </c>
      <c r="B401" s="150" t="str">
        <f aca="false">HYPERLINK("https://www.google.com/maps/dir/-15.917302,-47.760003/-15.9154181,-47.7686818/data=!4m3!4m2!3e0!5i0")</f>
        <v>https://www.google.com/maps/dir/-15.917302,-47.760003/-15.9154181,-47.7686818/data=!4m3!4m2!3e0!5i0</v>
      </c>
      <c r="C401" s="151" t="s">
        <v>117</v>
      </c>
      <c r="D401" s="152" t="s">
        <v>112</v>
      </c>
      <c r="E401" s="152" t="s">
        <v>113</v>
      </c>
      <c r="F401" s="152" t="s">
        <v>117</v>
      </c>
      <c r="G401" s="152" t="s">
        <v>782</v>
      </c>
      <c r="H401" s="152" t="n">
        <v>63</v>
      </c>
      <c r="I401" s="152" t="s">
        <v>115</v>
      </c>
      <c r="J401" s="152" t="s">
        <v>6</v>
      </c>
      <c r="K401" s="152" t="s">
        <v>2966</v>
      </c>
      <c r="L401" s="152" t="s">
        <v>120</v>
      </c>
      <c r="M401" s="153" t="n">
        <f aca="false">33.03+4</f>
        <v>37.03</v>
      </c>
      <c r="N401" s="152" t="s">
        <v>1548</v>
      </c>
      <c r="O401" s="152" t="s">
        <v>1549</v>
      </c>
      <c r="P401" s="152" t="s">
        <v>1550</v>
      </c>
      <c r="Q401" s="152" t="s">
        <v>1551</v>
      </c>
      <c r="R401" s="154" t="s">
        <v>3047</v>
      </c>
      <c r="S401" s="154" t="s">
        <v>1553</v>
      </c>
      <c r="T401" s="155" t="s">
        <v>1746</v>
      </c>
      <c r="U401" s="152" t="str">
        <f aca="false">RIGHT(T401,7)</f>
        <v>003/037</v>
      </c>
      <c r="V401" s="152" t="s">
        <v>1555</v>
      </c>
      <c r="W401" s="156" t="n">
        <v>45882</v>
      </c>
      <c r="X401" s="152" t="s">
        <v>1594</v>
      </c>
      <c r="Y401" s="152" t="s">
        <v>3032</v>
      </c>
      <c r="Z401" s="152" t="s">
        <v>1557</v>
      </c>
      <c r="AA401" s="153" t="n">
        <v>2.1</v>
      </c>
      <c r="AB401" s="151" t="s">
        <v>3048</v>
      </c>
      <c r="AC401" s="151" t="s">
        <v>186</v>
      </c>
      <c r="AD401" s="151" t="str">
        <f aca="false">CONCATENATE($C401,$I401,$H401,$N401,$J401,$K401)</f>
        <v>TUBO PEADPEAD63VCAREDESZona04</v>
      </c>
      <c r="AE401" s="153" t="n">
        <f aca="false">IFERROR(INDEX(APOIO_REDES!$A:$W,MATCH($C401&amp;$I401&amp;$H401&amp;$N401&amp;$O401,APOIO_REDES!$W:$W,0),MATCH(AE$5,APOIO_REDES!$5:$5,0)),0)</f>
        <v>1.2</v>
      </c>
      <c r="AF401" s="153" t="n">
        <f aca="false">IFERROR(INDEX(APOIO_REDES!$A:$W,MATCH($C401&amp;$I401&amp;$H401&amp;$N401&amp;$O401,APOIO_REDES!$W:$W,0),MATCH(AF$5,APOIO_REDES!$5:$5,0)),0)</f>
        <v>1.363</v>
      </c>
      <c r="AG401" s="153" t="n">
        <f aca="false">IFERROR(INDEX(APOIO_REDES!$A:$W,MATCH($C401&amp;$I401&amp;$H401&amp;$N401&amp;$O401,APOIO_REDES!$W:$W,0),MATCH(AG$5,APOIO_REDES!$5:$5,0)),0)</f>
        <v>0.65</v>
      </c>
      <c r="AH401" s="153" t="n">
        <f aca="false">IFERROR(INDEX(APOIO_REDES!$A:$W,MATCH($C401&amp;$I401&amp;$H401&amp;$N401&amp;$O401,APOIO_REDES!$W:$W,0),MATCH(AH$5,APOIO_REDES!$5:$5,0)),0)</f>
        <v>0.1</v>
      </c>
      <c r="AI401" s="153" t="n">
        <f aca="false">IFERROR(IF($H401&lt;&gt;"",(((($H401/1000)/2)^2)*PI()*$M401),0),0)</f>
        <v>0.115431593848721</v>
      </c>
      <c r="AJ401" s="153" t="n">
        <f aca="false">IFERROR(IF(AND($H401&lt;&gt;"",$I401="FoFo",OR($N401="MND",$N401="VCA"),$Q401="LINEAR"),0,IF(AND($H401&lt;&gt;"",$I401="PEAD",$N401="VCA",$Q401="LINEAR"),($H401/1000)+0.3,IF(AND($H401&lt;&gt;"",$I401="PEAD",$N401="MND",$Q401="EMBOQUE"),0,IF(AND($H401&lt;&gt;"",$I401="PVC",$N401="VCA",$Q401="LINEAR"),($H401/1000)+0.2,IF(AND($H401&lt;&gt;"",$I401="PVC",$N401="MND",$Q401="EMBOQUE"),0,IF(AND($H401&lt;&gt;"",$I401="PEAD",$N401="VCA",$Q401="PREDIAL"),0,0)))))),0)</f>
        <v>0.363</v>
      </c>
      <c r="AK401" s="153" t="n">
        <f aca="false">IF(AA401&lt;&gt;"",AA401,0)</f>
        <v>2.1</v>
      </c>
      <c r="AL401" s="153" t="n">
        <f aca="false">IF(AND($N401="MND",$Q401="EMBOQUE"),$M401,IF(AND($N401="VCA",$Q401="LINEAR"),$M401,IF(AND($N401="VCA",$Q401="PREDIAL"),0,0)))</f>
        <v>37.03</v>
      </c>
      <c r="AM401" s="153" t="n">
        <f aca="false">IF(AND($N401="MND",$Q401="EMBOQUE"),$M401,IF(AND($N401="VCA",$Q401="LINEAR"),$M401,IF(AND($N401="VCA",$Q401="PREDIAL"),0,0)))</f>
        <v>37.03</v>
      </c>
      <c r="AN401" s="153" t="n">
        <f aca="false">ROUND(IF(AND($N401="VCA",$M401&lt;&gt;"",$Q401="LINEAR"),$M401/100,IF(AND($N401="MND",$M401&gt;100,$Q401="EMBOQUE"),$M401/100,0)),0)</f>
        <v>0</v>
      </c>
      <c r="AO401" s="153" t="n">
        <f aca="false">IF(AND($N401="MND",$Q401="EMBOQUE"),$AN401*2*2,IF(AND($N401="VCA",$Q401="LINEAR"),$M401*2,IF(AND($N401="VCA",$Q401="PREDIAL"),0,0)))</f>
        <v>74.06</v>
      </c>
      <c r="AP401" s="153" t="n">
        <f aca="false">IFERROR($M401*$AF401*$AG401,0)</f>
        <v>32.8067285</v>
      </c>
      <c r="AQ401" s="153" t="n">
        <f aca="false">IFERROR(IF(AND($N401="VCA",$AH401&gt;0),$M401*$AG401*$AH401,0),0)</f>
        <v>2.40695</v>
      </c>
      <c r="AR401" s="153" t="n">
        <f aca="false">IFERROR(IF(AND($N401="VCA",$AJ401&gt;0),($M401*$AG401*$AJ401)-$AI401,0),0)</f>
        <v>8.62179690615128</v>
      </c>
      <c r="AS401" s="153" t="n">
        <f aca="false">IFERROR(IF(AND($N401="VCA",$AP401&gt;0),$AP401-$AI401-$AQ401-$AR401,0),0)</f>
        <v>21.66255</v>
      </c>
      <c r="AT401" s="153" t="n">
        <f aca="false">IFERROR(IF($N401="VCA",INDEX(APOIO_REDES!$A:$W,MATCH($C401&amp;$I401&amp;$H401&amp;$N401&amp;$O401,APOIO_REDES!$W:$W,0),MATCH(AT$5,APOIO_REDES!$5:$5,0)),0)*$AP401,0)</f>
        <v>0.356946916375975</v>
      </c>
      <c r="AU401" s="153" t="n">
        <f aca="false">IFERROR(IF($N401="VCA",INDEX(APOIO_REDES!$A:$W,MATCH($C401&amp;$I401&amp;$H401&amp;$N401&amp;$O401,APOIO_REDES!$W:$W,0),MATCH(AU$5,APOIO_REDES!$5:$5,0)),0)*$AP401,0)</f>
        <v>0.28504814006934</v>
      </c>
      <c r="AV401" s="153" t="n">
        <f aca="false">IFERROR(IF($N401="VCA",INDEX(APOIO_REDES!$A:$W,MATCH($C401&amp;$I401&amp;$H401&amp;$N401&amp;$O401,APOIO_REDES!$W:$W,0),MATCH(AV$5,APOIO_REDES!$5:$5,0)),0)*$AP401,0)</f>
        <v>0.0394484248699606</v>
      </c>
      <c r="AW401" s="153" t="n">
        <f aca="false">IFERROR(IF($N401="VCA",INDEX(APOIO_REDES!$A:$W,MATCH($C401&amp;$I401&amp;$H401&amp;$N401&amp;$O401,APOIO_REDES!$W:$W,0),MATCH(AW$5,APOIO_REDES!$5:$5,0)),0)*$AP401,0)</f>
        <v>22.5187926413367</v>
      </c>
      <c r="AX401" s="153" t="n">
        <f aca="false">IFERROR(IF($N401="VCA",INDEX(APOIO_REDES!$A:$W,MATCH($C401&amp;$I401&amp;$H401&amp;$N401&amp;$O401,APOIO_REDES!$W:$W,0),MATCH(AX$5,APOIO_REDES!$5:$5,0)),0)*$AP401,0)</f>
        <v>3.11653675556595</v>
      </c>
      <c r="AY401" s="153" t="n">
        <f aca="false">IFERROR(IF($N401="VCA",INDEX(APOIO_REDES!$A:$W,MATCH($C401&amp;$I401&amp;$H401&amp;$N401&amp;$O401,APOIO_REDES!$W:$W,0),MATCH(AY$5,APOIO_REDES!$5:$5,0)),0)*$AP401,0)</f>
        <v>5.70095932667308</v>
      </c>
      <c r="AZ401" s="153" t="n">
        <f aca="false">IFERROR(IF($N401="VCA",INDEX(APOIO_REDES!$A:$W,MATCH($C401&amp;$I401&amp;$H401&amp;$N401&amp;$O401,APOIO_REDES!$W:$W,0),MATCH(AZ$5,APOIO_REDES!$5:$5,0)),0)*$AP401,0)</f>
        <v>0.788996295108977</v>
      </c>
      <c r="BA401" s="153" t="n">
        <f aca="false">IFERROR(IF(AND($N401="VCA",$Q401="LINEAR"),INDEX(APOIO_REDES!$A:$W,MATCH($C401&amp;$I401&amp;$H401&amp;$N401&amp;$O401,APOIO_REDES!$W:$W,0),MATCH(BA$5,APOIO_REDES!$5:$5,0)),IF(AND($N401="MND",$Q401="EMBOQUE"),INDEX(APOIO_REDES!$A:$W,MATCH($C401&amp;$I401&amp;$H401&amp;$N401&amp;$O401,APOIO_REDES!$W:$W,0),MATCH(BA$5,APOIO_REDES!$5:$5,0)),0))*$M401/10,0)</f>
        <v>2.98452459477926</v>
      </c>
      <c r="BB401" s="153" t="n">
        <f aca="false">IFERROR(IF($N401="VCA",INDEX(APOIO_REDES!$A:$W,MATCH($C401&amp;$I401&amp;$H401&amp;$N401&amp;$O401,APOIO_REDES!$W:$W,0),MATCH(BB$5,APOIO_REDES!$5:$5,0)),0)*($AI401+$AQ401+$AR401),0)</f>
        <v>11.0229265394115</v>
      </c>
      <c r="BC401" s="153" t="n">
        <f aca="false">IFERROR(IF($N401="VCA",INDEX(APOIO_REDES!$A:$W,MATCH($C401&amp;$I401&amp;$H401&amp;$N401&amp;$O401,APOIO_REDES!$W:$W,0),MATCH(BC$5,APOIO_REDES!$5:$5,0)),0)*($AI401+$AQ401+$AR401),0)</f>
        <v>0.121251960588464</v>
      </c>
      <c r="BD401" s="153" t="n">
        <f aca="false">IF(AND($N401="VCA",$AF401&gt;=1.25,$AF401&lt;1.5),$M401*$AF401*2,0)</f>
        <v>100.94378</v>
      </c>
      <c r="BE401" s="153" t="n">
        <f aca="false">IF(AND($N401="VCA",$AF401&gt;=1.5,$AF401&lt;3),$M401*$AF401*2,0)</f>
        <v>0</v>
      </c>
      <c r="BF401" s="153" t="n">
        <f aca="false">IF(AND($N401="VCA",$AF401&gt;=3),$M401*$AF401*2,0)</f>
        <v>0</v>
      </c>
      <c r="BG401" s="153" t="n">
        <f aca="false">($BB401+$BC401)*$AK401</f>
        <v>23.40277485</v>
      </c>
      <c r="BH401" s="153" t="n">
        <f aca="false">IF(AND($M401&lt;&gt;"",$N401="VCA",$Q401="LINEAR"),($M401*2)/100,IF(AND($M401&lt;&gt;"",$N401="MND",$Q401="EMBOQUE"),($AN401*2)/100,0))</f>
        <v>0.7406</v>
      </c>
      <c r="BI401" s="153" t="n">
        <f aca="false">IF(AND($M401&lt;&gt;"",$N401="VCA",$Q401="LINEAR"),$M401,IF(AND($M401&lt;&gt;"",$N401="MND",$Q401="EMBOQUE"),$AN401*2,0))</f>
        <v>37.03</v>
      </c>
      <c r="BJ401" s="153" t="n">
        <f aca="false">IF(AND($M401&lt;&gt;"",$N401="VCA",$Q401="LINEAR"),($M401*6.8)/100,IF(AND($M401&lt;&gt;"",$N401="MND",$Q401="EMBOQUE"),($AN401*2*6.8)/100,0))</f>
        <v>2.51804</v>
      </c>
      <c r="BK401" s="153" t="n">
        <f aca="false">IF(AND($M401&lt;&gt;"",$N401="VCA",$Q401="LINEAR"),($M401*2.5)/50,IF(AND($M401&lt;&gt;"",$N401="MND",$Q401="EMBOQUE"),($AN401*2*2.5)/50,0))</f>
        <v>1.8515</v>
      </c>
      <c r="BL401" s="157" t="str">
        <f aca="false">K401&amp;J401</f>
        <v>Zona04REDES</v>
      </c>
      <c r="BM401" s="152" t="s">
        <v>2969</v>
      </c>
      <c r="BN401" s="152" t="s">
        <v>1560</v>
      </c>
      <c r="BO401" s="152" t="s">
        <v>1748</v>
      </c>
      <c r="BP401" s="152" t="s">
        <v>3038</v>
      </c>
      <c r="BQ401" s="152" t="s">
        <v>3049</v>
      </c>
      <c r="BR401" s="152" t="s">
        <v>3050</v>
      </c>
      <c r="BS401" s="152" t="n">
        <v>203551.389</v>
      </c>
      <c r="BT401" s="152" t="n">
        <v>8238455.351</v>
      </c>
      <c r="BU401" s="152" t="n">
        <v>203522.475</v>
      </c>
      <c r="BV401" s="152" t="n">
        <v>8238439.384</v>
      </c>
      <c r="BW401" s="152" t="n">
        <v>-15.9154889</v>
      </c>
      <c r="BX401" s="152" t="n">
        <v>-47.7688175</v>
      </c>
      <c r="BY401" s="152" t="s">
        <v>3038</v>
      </c>
    </row>
    <row r="402" customFormat="false" ht="13.8" hidden="false" customHeight="false" outlineLevel="0" collapsed="false">
      <c r="A402" s="149" t="n">
        <f aca="false">IF(C402&lt;&gt;"",ROW(A397),"")</f>
        <v>397</v>
      </c>
      <c r="B402" s="150" t="str">
        <f aca="false">HYPERLINK("https://www.google.com/maps/dir/-15.917302,-47.760003/-15.9157875,-47.7685513/data=!4m3!4m2!3e0!5i0")</f>
        <v>https://www.google.com/maps/dir/-15.917302,-47.760003/-15.9157875,-47.7685513/data=!4m3!4m2!3e0!5i0</v>
      </c>
      <c r="C402" s="151" t="s">
        <v>117</v>
      </c>
      <c r="D402" s="152" t="s">
        <v>112</v>
      </c>
      <c r="E402" s="152" t="s">
        <v>113</v>
      </c>
      <c r="F402" s="152" t="s">
        <v>117</v>
      </c>
      <c r="G402" s="152" t="s">
        <v>114</v>
      </c>
      <c r="H402" s="152" t="n">
        <v>125</v>
      </c>
      <c r="I402" s="152" t="s">
        <v>115</v>
      </c>
      <c r="J402" s="152" t="s">
        <v>6</v>
      </c>
      <c r="K402" s="152" t="s">
        <v>2966</v>
      </c>
      <c r="L402" s="152" t="s">
        <v>120</v>
      </c>
      <c r="M402" s="153" t="n">
        <f aca="false">37.13+0.13</f>
        <v>37.26</v>
      </c>
      <c r="N402" s="152" t="s">
        <v>1548</v>
      </c>
      <c r="O402" s="152" t="s">
        <v>1549</v>
      </c>
      <c r="P402" s="152" t="s">
        <v>1550</v>
      </c>
      <c r="Q402" s="152" t="s">
        <v>1551</v>
      </c>
      <c r="R402" s="154" t="s">
        <v>3051</v>
      </c>
      <c r="S402" s="154" t="s">
        <v>1593</v>
      </c>
      <c r="T402" s="155" t="s">
        <v>1746</v>
      </c>
      <c r="U402" s="152" t="str">
        <f aca="false">RIGHT(T402,7)</f>
        <v>003/037</v>
      </c>
      <c r="V402" s="152" t="s">
        <v>1555</v>
      </c>
      <c r="W402" s="156" t="n">
        <v>45882</v>
      </c>
      <c r="X402" s="152" t="s">
        <v>1594</v>
      </c>
      <c r="Y402" s="152" t="s">
        <v>3015</v>
      </c>
      <c r="Z402" s="152" t="s">
        <v>1557</v>
      </c>
      <c r="AA402" s="153" t="n">
        <v>2.2</v>
      </c>
      <c r="AB402" s="151" t="s">
        <v>3052</v>
      </c>
      <c r="AC402" s="151" t="s">
        <v>505</v>
      </c>
      <c r="AD402" s="151" t="str">
        <f aca="false">CONCATENATE($C402,$I402,$H402,$N402,$J402,$K402)</f>
        <v>TUBO PEADPEAD125VCAREDESZona04</v>
      </c>
      <c r="AE402" s="153" t="n">
        <f aca="false">IFERROR(INDEX(APOIO_REDES!$A:$W,MATCH($C402&amp;$I402&amp;$H402&amp;$N402&amp;$O402,APOIO_REDES!$W:$W,0),MATCH(AE$5,APOIO_REDES!$5:$5,0)),0)</f>
        <v>1.2</v>
      </c>
      <c r="AF402" s="153" t="n">
        <f aca="false">IFERROR(INDEX(APOIO_REDES!$A:$W,MATCH($C402&amp;$I402&amp;$H402&amp;$N402&amp;$O402,APOIO_REDES!$W:$W,0),MATCH(AF$5,APOIO_REDES!$5:$5,0)),0)</f>
        <v>1.425</v>
      </c>
      <c r="AG402" s="153" t="n">
        <f aca="false">IFERROR(INDEX(APOIO_REDES!$A:$W,MATCH($C402&amp;$I402&amp;$H402&amp;$N402&amp;$O402,APOIO_REDES!$W:$W,0),MATCH(AG$5,APOIO_REDES!$5:$5,0)),0)</f>
        <v>0.75</v>
      </c>
      <c r="AH402" s="153" t="n">
        <f aca="false">IFERROR(INDEX(APOIO_REDES!$A:$W,MATCH($C402&amp;$I402&amp;$H402&amp;$N402&amp;$O402,APOIO_REDES!$W:$W,0),MATCH(AH$5,APOIO_REDES!$5:$5,0)),0)</f>
        <v>0.1</v>
      </c>
      <c r="AI402" s="153" t="n">
        <f aca="false">IFERROR(IF($H402&lt;&gt;"",(((($H402/1000)/2)^2)*PI()*$M402),0),0)</f>
        <v>0.457248993252952</v>
      </c>
      <c r="AJ402" s="153" t="n">
        <f aca="false">IFERROR(IF(AND($H402&lt;&gt;"",$I402="FoFo",OR($N402="MND",$N402="VCA"),$Q402="LINEAR"),0,IF(AND($H402&lt;&gt;"",$I402="PEAD",$N402="VCA",$Q402="LINEAR"),($H402/1000)+0.3,IF(AND($H402&lt;&gt;"",$I402="PEAD",$N402="MND",$Q402="EMBOQUE"),0,IF(AND($H402&lt;&gt;"",$I402="PVC",$N402="VCA",$Q402="LINEAR"),($H402/1000)+0.2,IF(AND($H402&lt;&gt;"",$I402="PVC",$N402="MND",$Q402="EMBOQUE"),0,IF(AND($H402&lt;&gt;"",$I402="PEAD",$N402="VCA",$Q402="PREDIAL"),0,0)))))),0)</f>
        <v>0.425</v>
      </c>
      <c r="AK402" s="153" t="n">
        <f aca="false">IF(AA402&lt;&gt;"",AA402,0)</f>
        <v>2.2</v>
      </c>
      <c r="AL402" s="153" t="n">
        <f aca="false">IF(AND($N402="MND",$Q402="EMBOQUE"),$M402,IF(AND($N402="VCA",$Q402="LINEAR"),$M402,IF(AND($N402="VCA",$Q402="PREDIAL"),0,0)))</f>
        <v>37.26</v>
      </c>
      <c r="AM402" s="153" t="n">
        <f aca="false">IF(AND($N402="MND",$Q402="EMBOQUE"),$M402,IF(AND($N402="VCA",$Q402="LINEAR"),$M402,IF(AND($N402="VCA",$Q402="PREDIAL"),0,0)))</f>
        <v>37.26</v>
      </c>
      <c r="AN402" s="153" t="n">
        <f aca="false">ROUND(IF(AND($N402="VCA",$M402&lt;&gt;"",$Q402="LINEAR"),$M402/100,IF(AND($N402="MND",$M402&gt;100,$Q402="EMBOQUE"),$M402/100,0)),0)</f>
        <v>0</v>
      </c>
      <c r="AO402" s="153" t="n">
        <f aca="false">IF(AND($N402="MND",$Q402="EMBOQUE"),$AN402*2*2,IF(AND($N402="VCA",$Q402="LINEAR"),$M402*2,IF(AND($N402="VCA",$Q402="PREDIAL"),0,0)))</f>
        <v>74.52</v>
      </c>
      <c r="AP402" s="153" t="n">
        <f aca="false">IFERROR($M402*$AF402*$AG402,0)</f>
        <v>39.821625</v>
      </c>
      <c r="AQ402" s="153" t="n">
        <f aca="false">IFERROR(IF(AND($N402="VCA",$AH402&gt;0),$M402*$AG402*$AH402,0),0)</f>
        <v>2.7945</v>
      </c>
      <c r="AR402" s="153" t="n">
        <f aca="false">IFERROR(IF(AND($N402="VCA",$AJ402&gt;0),($M402*$AG402*$AJ402)-$AI402,0),0)</f>
        <v>11.419376006747</v>
      </c>
      <c r="AS402" s="153" t="n">
        <f aca="false">IFERROR(IF(AND($N402="VCA",$AP402&gt;0),$AP402-$AI402-$AQ402-$AR402,0),0)</f>
        <v>25.1505</v>
      </c>
      <c r="AT402" s="153" t="n">
        <f aca="false">IFERROR(IF($N402="VCA",INDEX(APOIO_REDES!$A:$W,MATCH($C402&amp;$I402&amp;$H402&amp;$N402&amp;$O402,APOIO_REDES!$W:$W,0),MATCH(AT$5,APOIO_REDES!$5:$5,0)),0)*$AP402,0)</f>
        <v>0.433271066599354</v>
      </c>
      <c r="AU402" s="153" t="n">
        <f aca="false">IFERROR(IF($N402="VCA",INDEX(APOIO_REDES!$A:$W,MATCH($C402&amp;$I402&amp;$H402&amp;$N402&amp;$O402,APOIO_REDES!$W:$W,0),MATCH(AU$5,APOIO_REDES!$5:$5,0)),0)*$AP402,0)</f>
        <v>0.34599853931759</v>
      </c>
      <c r="AV402" s="153" t="n">
        <f aca="false">IFERROR(IF($N402="VCA",INDEX(APOIO_REDES!$A:$W,MATCH($C402&amp;$I402&amp;$H402&amp;$N402&amp;$O402,APOIO_REDES!$W:$W,0),MATCH(AV$5,APOIO_REDES!$5:$5,0)),0)*$AP402,0)</f>
        <v>0.047883481646524</v>
      </c>
      <c r="AW402" s="153" t="n">
        <f aca="false">IFERROR(IF($N402="VCA",INDEX(APOIO_REDES!$A:$W,MATCH($C402&amp;$I402&amp;$H402&amp;$N402&amp;$O402,APOIO_REDES!$W:$W,0),MATCH(AW$5,APOIO_REDES!$5:$5,0)),0)*$AP402,0)</f>
        <v>27.3338719530072</v>
      </c>
      <c r="AX402" s="153" t="n">
        <f aca="false">IFERROR(IF($N402="VCA",INDEX(APOIO_REDES!$A:$W,MATCH($C402&amp;$I402&amp;$H402&amp;$N402&amp;$O402,APOIO_REDES!$W:$W,0),MATCH(AX$5,APOIO_REDES!$5:$5,0)),0)*$AP402,0)</f>
        <v>3.78293001628809</v>
      </c>
      <c r="AY402" s="153" t="n">
        <f aca="false">IFERROR(IF($N402="VCA",INDEX(APOIO_REDES!$A:$W,MATCH($C402&amp;$I402&amp;$H402&amp;$N402&amp;$O402,APOIO_REDES!$W:$W,0),MATCH(AY$5,APOIO_REDES!$5:$5,0)),0)*$AP402,0)</f>
        <v>6.91996656865765</v>
      </c>
      <c r="AZ402" s="153" t="n">
        <f aca="false">IFERROR(IF($N402="VCA",INDEX(APOIO_REDES!$A:$W,MATCH($C402&amp;$I402&amp;$H402&amp;$N402&amp;$O402,APOIO_REDES!$W:$W,0),MATCH(AZ$5,APOIO_REDES!$5:$5,0)),0)*$AP402,0)</f>
        <v>0.957703374483653</v>
      </c>
      <c r="BA402" s="153" t="n">
        <f aca="false">IFERROR(IF(AND($N402="VCA",$Q402="LINEAR"),INDEX(APOIO_REDES!$A:$W,MATCH($C402&amp;$I402&amp;$H402&amp;$N402&amp;$O402,APOIO_REDES!$W:$W,0),MATCH(BA$5,APOIO_REDES!$5:$5,0)),IF(AND($N402="MND",$Q402="EMBOQUE"),INDEX(APOIO_REDES!$A:$W,MATCH($C402&amp;$I402&amp;$H402&amp;$N402&amp;$O402,APOIO_REDES!$W:$W,0),MATCH(BA$5,APOIO_REDES!$5:$5,0)),0))*$M402/10,0)</f>
        <v>3.00306201462261</v>
      </c>
      <c r="BB402" s="153" t="n">
        <f aca="false">IFERROR(IF($N402="VCA",INDEX(APOIO_REDES!$A:$W,MATCH($C402&amp;$I402&amp;$H402&amp;$N402&amp;$O402,APOIO_REDES!$W:$W,0),MATCH(BB$5,APOIO_REDES!$5:$5,0)),0)*($AI402+$AQ402+$AR402),0)</f>
        <v>14.5114988175687</v>
      </c>
      <c r="BC402" s="153" t="n">
        <f aca="false">IFERROR(IF($N402="VCA",INDEX(APOIO_REDES!$A:$W,MATCH($C402&amp;$I402&amp;$H402&amp;$N402&amp;$O402,APOIO_REDES!$W:$W,0),MATCH(BC$5,APOIO_REDES!$5:$5,0)),0)*($AI402+$AQ402+$AR402),0)</f>
        <v>0.159626182431341</v>
      </c>
      <c r="BD402" s="153" t="n">
        <f aca="false">IF(AND($N402="VCA",$AF402&gt;=1.25,$AF402&lt;1.5),$M402*$AF402*2,0)</f>
        <v>106.191</v>
      </c>
      <c r="BE402" s="153" t="n">
        <f aca="false">IF(AND($N402="VCA",$AF402&gt;=1.5,$AF402&lt;3),$M402*$AF402*2,0)</f>
        <v>0</v>
      </c>
      <c r="BF402" s="153" t="n">
        <f aca="false">IF(AND($N402="VCA",$AF402&gt;=3),$M402*$AF402*2,0)</f>
        <v>0</v>
      </c>
      <c r="BG402" s="153" t="n">
        <f aca="false">($BB402+$BC402)*$AK402</f>
        <v>32.276475</v>
      </c>
      <c r="BH402" s="153" t="n">
        <f aca="false">IF(AND($M402&lt;&gt;"",$N402="VCA",$Q402="LINEAR"),($M402*2)/100,IF(AND($M402&lt;&gt;"",$N402="MND",$Q402="EMBOQUE"),($AN402*2)/100,0))</f>
        <v>0.7452</v>
      </c>
      <c r="BI402" s="153" t="n">
        <f aca="false">IF(AND($M402&lt;&gt;"",$N402="VCA",$Q402="LINEAR"),$M402,IF(AND($M402&lt;&gt;"",$N402="MND",$Q402="EMBOQUE"),$AN402*2,0))</f>
        <v>37.26</v>
      </c>
      <c r="BJ402" s="153" t="n">
        <f aca="false">IF(AND($M402&lt;&gt;"",$N402="VCA",$Q402="LINEAR"),($M402*6.8)/100,IF(AND($M402&lt;&gt;"",$N402="MND",$Q402="EMBOQUE"),($AN402*2*6.8)/100,0))</f>
        <v>2.53368</v>
      </c>
      <c r="BK402" s="153" t="n">
        <f aca="false">IF(AND($M402&lt;&gt;"",$N402="VCA",$Q402="LINEAR"),($M402*2.5)/50,IF(AND($M402&lt;&gt;"",$N402="MND",$Q402="EMBOQUE"),($AN402*2*2.5)/50,0))</f>
        <v>1.863</v>
      </c>
      <c r="BL402" s="157" t="str">
        <f aca="false">K402&amp;J402</f>
        <v>Zona04REDES</v>
      </c>
      <c r="BM402" s="152" t="s">
        <v>2969</v>
      </c>
      <c r="BN402" s="152" t="s">
        <v>1560</v>
      </c>
      <c r="BO402" s="152" t="s">
        <v>1748</v>
      </c>
      <c r="BP402" s="152" t="s">
        <v>3053</v>
      </c>
      <c r="BQ402" s="152" t="s">
        <v>3045</v>
      </c>
      <c r="BR402" s="152" t="s">
        <v>3054</v>
      </c>
      <c r="BS402" s="152" t="n">
        <v>203565.917</v>
      </c>
      <c r="BT402" s="152" t="n">
        <v>8238414.639</v>
      </c>
      <c r="BU402" s="152" t="n">
        <v>203553.086</v>
      </c>
      <c r="BV402" s="152" t="n">
        <v>8238449.468</v>
      </c>
      <c r="BW402" s="152" t="n">
        <v>-15.91563</v>
      </c>
      <c r="BX402" s="152" t="n">
        <v>-47.7686107</v>
      </c>
      <c r="BY402" s="152" t="s">
        <v>3053</v>
      </c>
    </row>
    <row r="403" customFormat="false" ht="13.8" hidden="false" customHeight="false" outlineLevel="0" collapsed="false">
      <c r="A403" s="149" t="n">
        <f aca="false">IF(C403&lt;&gt;"",ROW(A398),"")</f>
        <v>398</v>
      </c>
      <c r="B403" s="150" t="str">
        <f aca="false">HYPERLINK("https://www.google.com/maps/dir/-15.917302,-47.760003/-15.9155082,-47.7696887/data=!4m3!4m2!3e0!5i0")</f>
        <v>https://www.google.com/maps/dir/-15.917302,-47.760003/-15.9155082,-47.7696887/data=!4m3!4m2!3e0!5i0</v>
      </c>
      <c r="C403" s="151" t="s">
        <v>117</v>
      </c>
      <c r="D403" s="152" t="s">
        <v>112</v>
      </c>
      <c r="E403" s="152" t="s">
        <v>113</v>
      </c>
      <c r="F403" s="152" t="s">
        <v>117</v>
      </c>
      <c r="G403" s="152" t="s">
        <v>114</v>
      </c>
      <c r="H403" s="152" t="n">
        <v>160</v>
      </c>
      <c r="I403" s="152" t="s">
        <v>115</v>
      </c>
      <c r="J403" s="152" t="s">
        <v>6</v>
      </c>
      <c r="K403" s="152" t="s">
        <v>2966</v>
      </c>
      <c r="L403" s="152" t="s">
        <v>120</v>
      </c>
      <c r="M403" s="153" t="n">
        <f aca="false">46.78</f>
        <v>46.78</v>
      </c>
      <c r="N403" s="152" t="s">
        <v>1548</v>
      </c>
      <c r="O403" s="152" t="s">
        <v>1549</v>
      </c>
      <c r="P403" s="152" t="s">
        <v>1550</v>
      </c>
      <c r="Q403" s="152" t="s">
        <v>1551</v>
      </c>
      <c r="R403" s="154" t="s">
        <v>3055</v>
      </c>
      <c r="S403" s="154" t="s">
        <v>1593</v>
      </c>
      <c r="T403" s="155" t="s">
        <v>1746</v>
      </c>
      <c r="U403" s="152" t="str">
        <f aca="false">RIGHT(T403,7)</f>
        <v>003/037</v>
      </c>
      <c r="V403" s="152" t="s">
        <v>1555</v>
      </c>
      <c r="W403" s="156" t="n">
        <v>45882</v>
      </c>
      <c r="X403" s="152" t="s">
        <v>1594</v>
      </c>
      <c r="Y403" s="152" t="s">
        <v>3032</v>
      </c>
      <c r="Z403" s="152" t="s">
        <v>1557</v>
      </c>
      <c r="AA403" s="153" t="n">
        <v>2.2</v>
      </c>
      <c r="AB403" s="151" t="s">
        <v>3056</v>
      </c>
      <c r="AC403" s="151" t="s">
        <v>505</v>
      </c>
      <c r="AD403" s="151" t="str">
        <f aca="false">CONCATENATE($C403,$I403,$H403,$N403,$J403,$K403)</f>
        <v>TUBO PEADPEAD160VCAREDESZona04</v>
      </c>
      <c r="AE403" s="153" t="n">
        <f aca="false">IFERROR(INDEX(APOIO_REDES!$A:$W,MATCH($C403&amp;$I403&amp;$H403&amp;$N403&amp;$O403,APOIO_REDES!$W:$W,0),MATCH(AE$5,APOIO_REDES!$5:$5,0)),0)</f>
        <v>1.2</v>
      </c>
      <c r="AF403" s="153" t="n">
        <f aca="false">IFERROR(INDEX(APOIO_REDES!$A:$W,MATCH($C403&amp;$I403&amp;$H403&amp;$N403&amp;$O403,APOIO_REDES!$W:$W,0),MATCH(AF$5,APOIO_REDES!$5:$5,0)),0)</f>
        <v>1.46</v>
      </c>
      <c r="AG403" s="153" t="n">
        <f aca="false">IFERROR(INDEX(APOIO_REDES!$A:$W,MATCH($C403&amp;$I403&amp;$H403&amp;$N403&amp;$O403,APOIO_REDES!$W:$W,0),MATCH(AG$5,APOIO_REDES!$5:$5,0)),0)</f>
        <v>0.75</v>
      </c>
      <c r="AH403" s="153" t="n">
        <f aca="false">IFERROR(INDEX(APOIO_REDES!$A:$W,MATCH($C403&amp;$I403&amp;$H403&amp;$N403&amp;$O403,APOIO_REDES!$W:$W,0),MATCH(AH$5,APOIO_REDES!$5:$5,0)),0)</f>
        <v>0.1</v>
      </c>
      <c r="AI403" s="153" t="n">
        <f aca="false">IFERROR(IF($H403&lt;&gt;"",(((($H403/1000)/2)^2)*PI()*$M403),0),0)</f>
        <v>0.940567707743555</v>
      </c>
      <c r="AJ403" s="153" t="n">
        <f aca="false">IFERROR(IF(AND($H403&lt;&gt;"",$I403="FoFo",OR($N403="MND",$N403="VCA"),$Q403="LINEAR"),0,IF(AND($H403&lt;&gt;"",$I403="PEAD",$N403="VCA",$Q403="LINEAR"),($H403/1000)+0.3,IF(AND($H403&lt;&gt;"",$I403="PEAD",$N403="MND",$Q403="EMBOQUE"),0,IF(AND($H403&lt;&gt;"",$I403="PVC",$N403="VCA",$Q403="LINEAR"),($H403/1000)+0.2,IF(AND($H403&lt;&gt;"",$I403="PVC",$N403="MND",$Q403="EMBOQUE"),0,IF(AND($H403&lt;&gt;"",$I403="PEAD",$N403="VCA",$Q403="PREDIAL"),0,0)))))),0)</f>
        <v>0.46</v>
      </c>
      <c r="AK403" s="153" t="n">
        <f aca="false">IF(AA403&lt;&gt;"",AA403,0)</f>
        <v>2.2</v>
      </c>
      <c r="AL403" s="153" t="n">
        <f aca="false">IF(AND($N403="MND",$Q403="EMBOQUE"),$M403,IF(AND($N403="VCA",$Q403="LINEAR"),$M403,IF(AND($N403="VCA",$Q403="PREDIAL"),0,0)))</f>
        <v>46.78</v>
      </c>
      <c r="AM403" s="153" t="n">
        <f aca="false">IF(AND($N403="MND",$Q403="EMBOQUE"),$M403,IF(AND($N403="VCA",$Q403="LINEAR"),$M403,IF(AND($N403="VCA",$Q403="PREDIAL"),0,0)))</f>
        <v>46.78</v>
      </c>
      <c r="AN403" s="153" t="n">
        <f aca="false">ROUND(IF(AND($N403="VCA",$M403&lt;&gt;"",$Q403="LINEAR"),$M403/100,IF(AND($N403="MND",$M403&gt;100,$Q403="EMBOQUE"),$M403/100,0)),0)</f>
        <v>0</v>
      </c>
      <c r="AO403" s="153" t="n">
        <f aca="false">IF(AND($N403="MND",$Q403="EMBOQUE"),$AN403*2*2,IF(AND($N403="VCA",$Q403="LINEAR"),$M403*2,IF(AND($N403="VCA",$Q403="PREDIAL"),0,0)))</f>
        <v>93.56</v>
      </c>
      <c r="AP403" s="153" t="n">
        <f aca="false">IFERROR($M403*$AF403*$AG403,0)</f>
        <v>51.2241</v>
      </c>
      <c r="AQ403" s="153" t="n">
        <f aca="false">IFERROR(IF(AND($N403="VCA",$AH403&gt;0),$M403*$AG403*$AH403,0),0)</f>
        <v>3.5085</v>
      </c>
      <c r="AR403" s="153" t="n">
        <f aca="false">IFERROR(IF(AND($N403="VCA",$AJ403&gt;0),($M403*$AG403*$AJ403)-$AI403,0),0)</f>
        <v>15.1985322922564</v>
      </c>
      <c r="AS403" s="153" t="n">
        <f aca="false">IFERROR(IF(AND($N403="VCA",$AP403&gt;0),$AP403-$AI403-$AQ403-$AR403,0),0)</f>
        <v>31.5765</v>
      </c>
      <c r="AT403" s="153" t="n">
        <f aca="false">IFERROR(IF($N403="VCA",INDEX(APOIO_REDES!$A:$W,MATCH($C403&amp;$I403&amp;$H403&amp;$N403&amp;$O403,APOIO_REDES!$W:$W,0),MATCH(AT$5,APOIO_REDES!$5:$5,0)),0)*$AP403,0)</f>
        <v>0.55733336955968</v>
      </c>
      <c r="AU403" s="153" t="n">
        <f aca="false">IFERROR(IF($N403="VCA",INDEX(APOIO_REDES!$A:$W,MATCH($C403&amp;$I403&amp;$H403&amp;$N403&amp;$O403,APOIO_REDES!$W:$W,0),MATCH(AU$5,APOIO_REDES!$5:$5,0)),0)*$AP403,0)</f>
        <v>0.44507133442842</v>
      </c>
      <c r="AV403" s="153" t="n">
        <f aca="false">IFERROR(IF($N403="VCA",INDEX(APOIO_REDES!$A:$W,MATCH($C403&amp;$I403&amp;$H403&amp;$N403&amp;$O403,APOIO_REDES!$W:$W,0),MATCH(AV$5,APOIO_REDES!$5:$5,0)),0)*$AP403,0)</f>
        <v>0.0615943787379272</v>
      </c>
      <c r="AW403" s="153" t="n">
        <f aca="false">IFERROR(IF($N403="VCA",INDEX(APOIO_REDES!$A:$W,MATCH($C403&amp;$I403&amp;$H403&amp;$N403&amp;$O403,APOIO_REDES!$W:$W,0),MATCH(AW$5,APOIO_REDES!$5:$5,0)),0)*$AP403,0)</f>
        <v>35.1606191436947</v>
      </c>
      <c r="AX403" s="153" t="n">
        <f aca="false">IFERROR(IF($N403="VCA",INDEX(APOIO_REDES!$A:$W,MATCH($C403&amp;$I403&amp;$H403&amp;$N403&amp;$O403,APOIO_REDES!$W:$W,0),MATCH(AX$5,APOIO_REDES!$5:$5,0)),0)*$AP403,0)</f>
        <v>4.86612953256786</v>
      </c>
      <c r="AY403" s="153" t="n">
        <f aca="false">IFERROR(IF($N403="VCA",INDEX(APOIO_REDES!$A:$W,MATCH($C403&amp;$I403&amp;$H403&amp;$N403&amp;$O403,APOIO_REDES!$W:$W,0),MATCH(AY$5,APOIO_REDES!$5:$5,0)),0)*$AP403,0)</f>
        <v>8.90142126318492</v>
      </c>
      <c r="AZ403" s="153" t="n">
        <f aca="false">IFERROR(IF($N403="VCA",INDEX(APOIO_REDES!$A:$W,MATCH($C403&amp;$I403&amp;$H403&amp;$N403&amp;$O403,APOIO_REDES!$W:$W,0),MATCH(AZ$5,APOIO_REDES!$5:$5,0)),0)*$AP403,0)</f>
        <v>1.23193097782645</v>
      </c>
      <c r="BA403" s="153" t="n">
        <f aca="false">IFERROR(IF(AND($N403="VCA",$Q403="LINEAR"),INDEX(APOIO_REDES!$A:$W,MATCH($C403&amp;$I403&amp;$H403&amp;$N403&amp;$O403,APOIO_REDES!$W:$W,0),MATCH(BA$5,APOIO_REDES!$5:$5,0)),IF(AND($N403="MND",$Q403="EMBOQUE"),INDEX(APOIO_REDES!$A:$W,MATCH($C403&amp;$I403&amp;$H403&amp;$N403&amp;$O403,APOIO_REDES!$W:$W,0),MATCH(BA$5,APOIO_REDES!$5:$5,0)),0))*$M403/10,0)</f>
        <v>3.77035000118212</v>
      </c>
      <c r="BB403" s="153" t="n">
        <f aca="false">IFERROR(IF($N403="VCA",INDEX(APOIO_REDES!$A:$W,MATCH($C403&amp;$I403&amp;$H403&amp;$N403&amp;$O403,APOIO_REDES!$W:$W,0),MATCH(BB$5,APOIO_REDES!$5:$5,0)),0)*($AI403+$AQ403+$AR403),0)</f>
        <v>19.4338282966072</v>
      </c>
      <c r="BC403" s="153" t="n">
        <f aca="false">IFERROR(IF($N403="VCA",INDEX(APOIO_REDES!$A:$W,MATCH($C403&amp;$I403&amp;$H403&amp;$N403&amp;$O403,APOIO_REDES!$W:$W,0),MATCH(BC$5,APOIO_REDES!$5:$5,0)),0)*($AI403+$AQ403+$AR403),0)</f>
        <v>0.213771703392754</v>
      </c>
      <c r="BD403" s="153" t="n">
        <f aca="false">IF(AND($N403="VCA",$AF403&gt;=1.25,$AF403&lt;1.5),$M403*$AF403*2,0)</f>
        <v>136.5976</v>
      </c>
      <c r="BE403" s="153" t="n">
        <f aca="false">IF(AND($N403="VCA",$AF403&gt;=1.5,$AF403&lt;3),$M403*$AF403*2,0)</f>
        <v>0</v>
      </c>
      <c r="BF403" s="153" t="n">
        <f aca="false">IF(AND($N403="VCA",$AF403&gt;=3),$M403*$AF403*2,0)</f>
        <v>0</v>
      </c>
      <c r="BG403" s="153" t="n">
        <f aca="false">($BB403+$BC403)*$AK403</f>
        <v>43.22472</v>
      </c>
      <c r="BH403" s="153" t="n">
        <f aca="false">IF(AND($M403&lt;&gt;"",$N403="VCA",$Q403="LINEAR"),($M403*2)/100,IF(AND($M403&lt;&gt;"",$N403="MND",$Q403="EMBOQUE"),($AN403*2)/100,0))</f>
        <v>0.9356</v>
      </c>
      <c r="BI403" s="153" t="n">
        <f aca="false">IF(AND($M403&lt;&gt;"",$N403="VCA",$Q403="LINEAR"),$M403,IF(AND($M403&lt;&gt;"",$N403="MND",$Q403="EMBOQUE"),$AN403*2,0))</f>
        <v>46.78</v>
      </c>
      <c r="BJ403" s="153" t="n">
        <f aca="false">IF(AND($M403&lt;&gt;"",$N403="VCA",$Q403="LINEAR"),($M403*6.8)/100,IF(AND($M403&lt;&gt;"",$N403="MND",$Q403="EMBOQUE"),($AN403*2*6.8)/100,0))</f>
        <v>3.18104</v>
      </c>
      <c r="BK403" s="153" t="n">
        <f aca="false">IF(AND($M403&lt;&gt;"",$N403="VCA",$Q403="LINEAR"),($M403*2.5)/50,IF(AND($M403&lt;&gt;"",$N403="MND",$Q403="EMBOQUE"),($AN403*2*2.5)/50,0))</f>
        <v>2.339</v>
      </c>
      <c r="BL403" s="157" t="str">
        <f aca="false">K403&amp;J403</f>
        <v>Zona04REDES</v>
      </c>
      <c r="BM403" s="152" t="s">
        <v>2969</v>
      </c>
      <c r="BN403" s="152" t="s">
        <v>1560</v>
      </c>
      <c r="BO403" s="152" t="s">
        <v>1748</v>
      </c>
      <c r="BP403" s="152" t="s">
        <v>3042</v>
      </c>
      <c r="BQ403" s="152" t="s">
        <v>3057</v>
      </c>
      <c r="BR403" s="152" t="s">
        <v>3058</v>
      </c>
      <c r="BS403" s="152" t="n">
        <v>203443.644</v>
      </c>
      <c r="BT403" s="152" t="n">
        <v>8238443.948</v>
      </c>
      <c r="BU403" s="152" t="n">
        <v>203425.825</v>
      </c>
      <c r="BV403" s="152" t="n">
        <v>8238400.697</v>
      </c>
      <c r="BW403" s="152" t="n">
        <v>-15.9157023</v>
      </c>
      <c r="BX403" s="152" t="n">
        <v>-47.7697746</v>
      </c>
      <c r="BY403" s="152" t="s">
        <v>3042</v>
      </c>
    </row>
    <row r="404" customFormat="false" ht="13.8" hidden="false" customHeight="false" outlineLevel="0" collapsed="false">
      <c r="A404" s="149" t="n">
        <f aca="false">IF(C404&lt;&gt;"",ROW(A399),"")</f>
        <v>399</v>
      </c>
      <c r="B404" s="150" t="str">
        <f aca="false">HYPERLINK("https://www.google.com/maps/dir/-15.917302,-47.760003/-15.9155082,-47.7696887/data=!4m3!4m2!3e0!5i0")</f>
        <v>https://www.google.com/maps/dir/-15.917302,-47.760003/-15.9155082,-47.7696887/data=!4m3!4m2!3e0!5i0</v>
      </c>
      <c r="C404" s="151" t="s">
        <v>117</v>
      </c>
      <c r="D404" s="152" t="s">
        <v>112</v>
      </c>
      <c r="E404" s="152" t="s">
        <v>113</v>
      </c>
      <c r="F404" s="152" t="s">
        <v>117</v>
      </c>
      <c r="G404" s="152" t="s">
        <v>782</v>
      </c>
      <c r="H404" s="152" t="n">
        <v>63</v>
      </c>
      <c r="I404" s="152" t="s">
        <v>115</v>
      </c>
      <c r="J404" s="152" t="s">
        <v>6</v>
      </c>
      <c r="K404" s="152" t="s">
        <v>2966</v>
      </c>
      <c r="L404" s="152" t="s">
        <v>120</v>
      </c>
      <c r="M404" s="153" t="n">
        <f aca="false">59.83+3.96</f>
        <v>63.79</v>
      </c>
      <c r="N404" s="152" t="s">
        <v>1548</v>
      </c>
      <c r="O404" s="152" t="s">
        <v>1549</v>
      </c>
      <c r="P404" s="152" t="s">
        <v>1550</v>
      </c>
      <c r="Q404" s="152" t="s">
        <v>1551</v>
      </c>
      <c r="R404" s="154" t="s">
        <v>3059</v>
      </c>
      <c r="S404" s="154" t="s">
        <v>1553</v>
      </c>
      <c r="T404" s="155" t="s">
        <v>1746</v>
      </c>
      <c r="U404" s="152" t="str">
        <f aca="false">RIGHT(T404,7)</f>
        <v>003/037</v>
      </c>
      <c r="V404" s="152" t="s">
        <v>1555</v>
      </c>
      <c r="W404" s="156" t="n">
        <v>45882</v>
      </c>
      <c r="X404" s="152" t="s">
        <v>1594</v>
      </c>
      <c r="Y404" s="152" t="s">
        <v>3032</v>
      </c>
      <c r="Z404" s="152" t="s">
        <v>1557</v>
      </c>
      <c r="AA404" s="153" t="n">
        <v>2.2</v>
      </c>
      <c r="AB404" s="151" t="s">
        <v>3060</v>
      </c>
      <c r="AC404" s="151" t="s">
        <v>186</v>
      </c>
      <c r="AD404" s="151" t="str">
        <f aca="false">CONCATENATE($C404,$I404,$H404,$N404,$J404,$K404)</f>
        <v>TUBO PEADPEAD63VCAREDESZona04</v>
      </c>
      <c r="AE404" s="153" t="n">
        <f aca="false">IFERROR(INDEX(APOIO_REDES!$A:$W,MATCH($C404&amp;$I404&amp;$H404&amp;$N404&amp;$O404,APOIO_REDES!$W:$W,0),MATCH(AE$5,APOIO_REDES!$5:$5,0)),0)</f>
        <v>1.2</v>
      </c>
      <c r="AF404" s="153" t="n">
        <f aca="false">IFERROR(INDEX(APOIO_REDES!$A:$W,MATCH($C404&amp;$I404&amp;$H404&amp;$N404&amp;$O404,APOIO_REDES!$W:$W,0),MATCH(AF$5,APOIO_REDES!$5:$5,0)),0)</f>
        <v>1.363</v>
      </c>
      <c r="AG404" s="153" t="n">
        <f aca="false">IFERROR(INDEX(APOIO_REDES!$A:$W,MATCH($C404&amp;$I404&amp;$H404&amp;$N404&amp;$O404,APOIO_REDES!$W:$W,0),MATCH(AG$5,APOIO_REDES!$5:$5,0)),0)</f>
        <v>0.65</v>
      </c>
      <c r="AH404" s="153" t="n">
        <f aca="false">IFERROR(INDEX(APOIO_REDES!$A:$W,MATCH($C404&amp;$I404&amp;$H404&amp;$N404&amp;$O404,APOIO_REDES!$W:$W,0),MATCH(AH$5,APOIO_REDES!$5:$5,0)),0)</f>
        <v>0.1</v>
      </c>
      <c r="AI404" s="153" t="n">
        <f aca="false">IFERROR(IF($H404&lt;&gt;"",(((($H404/1000)/2)^2)*PI()*$M404),0),0)</f>
        <v>0.198849078358356</v>
      </c>
      <c r="AJ404" s="153" t="n">
        <f aca="false">IFERROR(IF(AND($H404&lt;&gt;"",$I404="FoFo",OR($N404="MND",$N404="VCA"),$Q404="LINEAR"),0,IF(AND($H404&lt;&gt;"",$I404="PEAD",$N404="VCA",$Q404="LINEAR"),($H404/1000)+0.3,IF(AND($H404&lt;&gt;"",$I404="PEAD",$N404="MND",$Q404="EMBOQUE"),0,IF(AND($H404&lt;&gt;"",$I404="PVC",$N404="VCA",$Q404="LINEAR"),($H404/1000)+0.2,IF(AND($H404&lt;&gt;"",$I404="PVC",$N404="MND",$Q404="EMBOQUE"),0,IF(AND($H404&lt;&gt;"",$I404="PEAD",$N404="VCA",$Q404="PREDIAL"),0,0)))))),0)</f>
        <v>0.363</v>
      </c>
      <c r="AK404" s="153" t="n">
        <f aca="false">IF(AA404&lt;&gt;"",AA404,0)</f>
        <v>2.2</v>
      </c>
      <c r="AL404" s="153" t="n">
        <f aca="false">IF(AND($N404="MND",$Q404="EMBOQUE"),$M404,IF(AND($N404="VCA",$Q404="LINEAR"),$M404,IF(AND($N404="VCA",$Q404="PREDIAL"),0,0)))</f>
        <v>63.79</v>
      </c>
      <c r="AM404" s="153" t="n">
        <f aca="false">IF(AND($N404="MND",$Q404="EMBOQUE"),$M404,IF(AND($N404="VCA",$Q404="LINEAR"),$M404,IF(AND($N404="VCA",$Q404="PREDIAL"),0,0)))</f>
        <v>63.79</v>
      </c>
      <c r="AN404" s="153" t="n">
        <f aca="false">ROUND(IF(AND($N404="VCA",$M404&lt;&gt;"",$Q404="LINEAR"),$M404/100,IF(AND($N404="MND",$M404&gt;100,$Q404="EMBOQUE"),$M404/100,0)),0)</f>
        <v>1</v>
      </c>
      <c r="AO404" s="153" t="n">
        <f aca="false">IF(AND($N404="MND",$Q404="EMBOQUE"),$AN404*2*2,IF(AND($N404="VCA",$Q404="LINEAR"),$M404*2,IF(AND($N404="VCA",$Q404="PREDIAL"),0,0)))</f>
        <v>127.58</v>
      </c>
      <c r="AP404" s="153" t="n">
        <f aca="false">IFERROR($M404*$AF404*$AG404,0)</f>
        <v>56.5147505</v>
      </c>
      <c r="AQ404" s="153" t="n">
        <f aca="false">IFERROR(IF(AND($N404="VCA",$AH404&gt;0),$M404*$AG404*$AH404,0),0)</f>
        <v>4.14635</v>
      </c>
      <c r="AR404" s="153" t="n">
        <f aca="false">IFERROR(IF(AND($N404="VCA",$AJ404&gt;0),($M404*$AG404*$AJ404)-$AI404,0),0)</f>
        <v>14.8524014216416</v>
      </c>
      <c r="AS404" s="153" t="n">
        <f aca="false">IFERROR(IF(AND($N404="VCA",$AP404&gt;0),$AP404-$AI404-$AQ404-$AR404,0),0)</f>
        <v>37.31715</v>
      </c>
      <c r="AT404" s="153" t="n">
        <f aca="false">IFERROR(IF($N404="VCA",INDEX(APOIO_REDES!$A:$W,MATCH($C404&amp;$I404&amp;$H404&amp;$N404&amp;$O404,APOIO_REDES!$W:$W,0),MATCH(AT$5,APOIO_REDES!$5:$5,0)),0)*$AP404,0)</f>
        <v>0.614897212952294</v>
      </c>
      <c r="AU404" s="153" t="n">
        <f aca="false">IFERROR(IF($N404="VCA",INDEX(APOIO_REDES!$A:$W,MATCH($C404&amp;$I404&amp;$H404&amp;$N404&amp;$O404,APOIO_REDES!$W:$W,0),MATCH(AU$5,APOIO_REDES!$5:$5,0)),0)*$AP404,0)</f>
        <v>0.491040260735166</v>
      </c>
      <c r="AV404" s="153" t="n">
        <f aca="false">IFERROR(IF($N404="VCA",INDEX(APOIO_REDES!$A:$W,MATCH($C404&amp;$I404&amp;$H404&amp;$N404&amp;$O404,APOIO_REDES!$W:$W,0),MATCH(AV$5,APOIO_REDES!$5:$5,0)),0)*$AP404,0)</f>
        <v>0.0679561172685603</v>
      </c>
      <c r="AW404" s="153" t="n">
        <f aca="false">IFERROR(IF($N404="VCA",INDEX(APOIO_REDES!$A:$W,MATCH($C404&amp;$I404&amp;$H404&amp;$N404&amp;$O404,APOIO_REDES!$W:$W,0),MATCH(AW$5,APOIO_REDES!$5:$5,0)),0)*$AP404,0)</f>
        <v>38.7921626408552</v>
      </c>
      <c r="AX404" s="153" t="n">
        <f aca="false">IFERROR(IF($N404="VCA",INDEX(APOIO_REDES!$A:$W,MATCH($C404&amp;$I404&amp;$H404&amp;$N404&amp;$O404,APOIO_REDES!$W:$W,0),MATCH(AX$5,APOIO_REDES!$5:$5,0)),0)*$AP404,0)</f>
        <v>5.36872480792741</v>
      </c>
      <c r="AY404" s="153" t="n">
        <f aca="false">IFERROR(IF($N404="VCA",INDEX(APOIO_REDES!$A:$W,MATCH($C404&amp;$I404&amp;$H404&amp;$N404&amp;$O404,APOIO_REDES!$W:$W,0),MATCH(AY$5,APOIO_REDES!$5:$5,0)),0)*$AP404,0)</f>
        <v>9.82079922896235</v>
      </c>
      <c r="AZ404" s="153" t="n">
        <f aca="false">IFERROR(IF($N404="VCA",INDEX(APOIO_REDES!$A:$W,MATCH($C404&amp;$I404&amp;$H404&amp;$N404&amp;$O404,APOIO_REDES!$W:$W,0),MATCH(AZ$5,APOIO_REDES!$5:$5,0)),0)*$AP404,0)</f>
        <v>1.35917023129899</v>
      </c>
      <c r="BA404" s="153" t="n">
        <f aca="false">IFERROR(IF(AND($N404="VCA",$Q404="LINEAR"),INDEX(APOIO_REDES!$A:$W,MATCH($C404&amp;$I404&amp;$H404&amp;$N404&amp;$O404,APOIO_REDES!$W:$W,0),MATCH(BA$5,APOIO_REDES!$5:$5,0)),IF(AND($N404="MND",$Q404="EMBOQUE"),INDEX(APOIO_REDES!$A:$W,MATCH($C404&amp;$I404&amp;$H404&amp;$N404&amp;$O404,APOIO_REDES!$W:$W,0),MATCH(BA$5,APOIO_REDES!$5:$5,0)),0))*$M404/10,0)</f>
        <v>5.14131309481418</v>
      </c>
      <c r="BB404" s="153" t="n">
        <f aca="false">IFERROR(IF($N404="VCA",INDEX(APOIO_REDES!$A:$W,MATCH($C404&amp;$I404&amp;$H404&amp;$N404&amp;$O404,APOIO_REDES!$W:$W,0),MATCH(BB$5,APOIO_REDES!$5:$5,0)),0)*($AI404+$AQ404+$AR404),0)</f>
        <v>18.9887249243603</v>
      </c>
      <c r="BC404" s="153" t="n">
        <f aca="false">IFERROR(IF($N404="VCA",INDEX(APOIO_REDES!$A:$W,MATCH($C404&amp;$I404&amp;$H404&amp;$N404&amp;$O404,APOIO_REDES!$W:$W,0),MATCH(BC$5,APOIO_REDES!$5:$5,0)),0)*($AI404+$AQ404+$AR404),0)</f>
        <v>0.208875575639701</v>
      </c>
      <c r="BD404" s="153" t="n">
        <f aca="false">IF(AND($N404="VCA",$AF404&gt;=1.25,$AF404&lt;1.5),$M404*$AF404*2,0)</f>
        <v>173.89154</v>
      </c>
      <c r="BE404" s="153" t="n">
        <f aca="false">IF(AND($N404="VCA",$AF404&gt;=1.5,$AF404&lt;3),$M404*$AF404*2,0)</f>
        <v>0</v>
      </c>
      <c r="BF404" s="153" t="n">
        <f aca="false">IF(AND($N404="VCA",$AF404&gt;=3),$M404*$AF404*2,0)</f>
        <v>0</v>
      </c>
      <c r="BG404" s="153" t="n">
        <f aca="false">($BB404+$BC404)*$AK404</f>
        <v>42.2347211</v>
      </c>
      <c r="BH404" s="153" t="n">
        <f aca="false">IF(AND($M404&lt;&gt;"",$N404="VCA",$Q404="LINEAR"),($M404*2)/100,IF(AND($M404&lt;&gt;"",$N404="MND",$Q404="EMBOQUE"),($AN404*2)/100,0))</f>
        <v>1.2758</v>
      </c>
      <c r="BI404" s="153" t="n">
        <f aca="false">IF(AND($M404&lt;&gt;"",$N404="VCA",$Q404="LINEAR"),$M404,IF(AND($M404&lt;&gt;"",$N404="MND",$Q404="EMBOQUE"),$AN404*2,0))</f>
        <v>63.79</v>
      </c>
      <c r="BJ404" s="153" t="n">
        <f aca="false">IF(AND($M404&lt;&gt;"",$N404="VCA",$Q404="LINEAR"),($M404*6.8)/100,IF(AND($M404&lt;&gt;"",$N404="MND",$Q404="EMBOQUE"),($AN404*2*6.8)/100,0))</f>
        <v>4.33772</v>
      </c>
      <c r="BK404" s="153" t="n">
        <f aca="false">IF(AND($M404&lt;&gt;"",$N404="VCA",$Q404="LINEAR"),($M404*2.5)/50,IF(AND($M404&lt;&gt;"",$N404="MND",$Q404="EMBOQUE"),($AN404*2*2.5)/50,0))</f>
        <v>3.1895</v>
      </c>
      <c r="BL404" s="157" t="str">
        <f aca="false">K404&amp;J404</f>
        <v>Zona04REDES</v>
      </c>
      <c r="BM404" s="152" t="s">
        <v>2969</v>
      </c>
      <c r="BN404" s="152" t="s">
        <v>1560</v>
      </c>
      <c r="BO404" s="152" t="s">
        <v>1748</v>
      </c>
      <c r="BP404" s="152" t="s">
        <v>3042</v>
      </c>
      <c r="BQ404" s="152" t="s">
        <v>3061</v>
      </c>
      <c r="BR404" s="152" t="s">
        <v>3062</v>
      </c>
      <c r="BS404" s="152" t="n">
        <v>203443.644</v>
      </c>
      <c r="BT404" s="152" t="n">
        <v>8238443.948</v>
      </c>
      <c r="BU404" s="152" t="n">
        <v>203479.974</v>
      </c>
      <c r="BV404" s="152" t="n">
        <v>8238396.453</v>
      </c>
      <c r="BW404" s="152" t="n">
        <v>-15.9157268</v>
      </c>
      <c r="BX404" s="152" t="n">
        <v>-47.7695251</v>
      </c>
      <c r="BY404" s="152" t="s">
        <v>3042</v>
      </c>
    </row>
    <row r="405" customFormat="false" ht="13.8" hidden="false" customHeight="false" outlineLevel="0" collapsed="false">
      <c r="A405" s="149" t="n">
        <f aca="false">IF(C405&lt;&gt;"",ROW(A400),"")</f>
        <v>400</v>
      </c>
      <c r="B405" s="150" t="str">
        <f aca="false">HYPERLINK("https://www.google.com/maps/dir/-15.917302,-47.760003/-15.9158206,-47.7685388/data=!4m3!4m2!3e0!5i0")</f>
        <v>https://www.google.com/maps/dir/-15.917302,-47.760003/-15.9158206,-47.7685388/data=!4m3!4m2!3e0!5i0</v>
      </c>
      <c r="C405" s="151" t="s">
        <v>117</v>
      </c>
      <c r="D405" s="152" t="s">
        <v>112</v>
      </c>
      <c r="E405" s="152" t="s">
        <v>113</v>
      </c>
      <c r="F405" s="152" t="s">
        <v>117</v>
      </c>
      <c r="G405" s="152" t="s">
        <v>114</v>
      </c>
      <c r="H405" s="152" t="n">
        <v>125</v>
      </c>
      <c r="I405" s="152" t="s">
        <v>115</v>
      </c>
      <c r="J405" s="152" t="s">
        <v>6</v>
      </c>
      <c r="K405" s="152" t="s">
        <v>2966</v>
      </c>
      <c r="L405" s="152" t="s">
        <v>120</v>
      </c>
      <c r="M405" s="153" t="n">
        <f aca="false">3.9</f>
        <v>3.9</v>
      </c>
      <c r="N405" s="152" t="s">
        <v>1548</v>
      </c>
      <c r="O405" s="152" t="s">
        <v>1549</v>
      </c>
      <c r="P405" s="152" t="s">
        <v>1550</v>
      </c>
      <c r="Q405" s="152" t="s">
        <v>1551</v>
      </c>
      <c r="R405" s="154" t="s">
        <v>3063</v>
      </c>
      <c r="S405" s="154" t="s">
        <v>1593</v>
      </c>
      <c r="T405" s="155" t="s">
        <v>1746</v>
      </c>
      <c r="U405" s="152" t="str">
        <f aca="false">RIGHT(T405,7)</f>
        <v>003/037</v>
      </c>
      <c r="V405" s="152" t="s">
        <v>1555</v>
      </c>
      <c r="W405" s="156" t="n">
        <v>45882</v>
      </c>
      <c r="X405" s="152" t="s">
        <v>1594</v>
      </c>
      <c r="Y405" s="152" t="s">
        <v>3015</v>
      </c>
      <c r="Z405" s="152" t="s">
        <v>1557</v>
      </c>
      <c r="AA405" s="153" t="n">
        <v>2.2</v>
      </c>
      <c r="AB405" s="151" t="s">
        <v>3064</v>
      </c>
      <c r="AC405" s="151" t="s">
        <v>505</v>
      </c>
      <c r="AD405" s="151" t="str">
        <f aca="false">CONCATENATE($C405,$I405,$H405,$N405,$J405,$K405)</f>
        <v>TUBO PEADPEAD125VCAREDESZona04</v>
      </c>
      <c r="AE405" s="153" t="n">
        <f aca="false">IFERROR(INDEX(APOIO_REDES!$A:$W,MATCH($C405&amp;$I405&amp;$H405&amp;$N405&amp;$O405,APOIO_REDES!$W:$W,0),MATCH(AE$5,APOIO_REDES!$5:$5,0)),0)</f>
        <v>1.2</v>
      </c>
      <c r="AF405" s="153" t="n">
        <f aca="false">IFERROR(INDEX(APOIO_REDES!$A:$W,MATCH($C405&amp;$I405&amp;$H405&amp;$N405&amp;$O405,APOIO_REDES!$W:$W,0),MATCH(AF$5,APOIO_REDES!$5:$5,0)),0)</f>
        <v>1.425</v>
      </c>
      <c r="AG405" s="153" t="n">
        <f aca="false">IFERROR(INDEX(APOIO_REDES!$A:$W,MATCH($C405&amp;$I405&amp;$H405&amp;$N405&amp;$O405,APOIO_REDES!$W:$W,0),MATCH(AG$5,APOIO_REDES!$5:$5,0)),0)</f>
        <v>0.75</v>
      </c>
      <c r="AH405" s="153" t="n">
        <f aca="false">IFERROR(INDEX(APOIO_REDES!$A:$W,MATCH($C405&amp;$I405&amp;$H405&amp;$N405&amp;$O405,APOIO_REDES!$W:$W,0),MATCH(AH$5,APOIO_REDES!$5:$5,0)),0)</f>
        <v>0.1</v>
      </c>
      <c r="AI405" s="153" t="n">
        <f aca="false">IFERROR(IF($H405&lt;&gt;"",(((($H405/1000)/2)^2)*PI()*$M405),0),0)</f>
        <v>0.047860200582032</v>
      </c>
      <c r="AJ405" s="153" t="n">
        <f aca="false">IFERROR(IF(AND($H405&lt;&gt;"",$I405="FoFo",OR($N405="MND",$N405="VCA"),$Q405="LINEAR"),0,IF(AND($H405&lt;&gt;"",$I405="PEAD",$N405="VCA",$Q405="LINEAR"),($H405/1000)+0.3,IF(AND($H405&lt;&gt;"",$I405="PEAD",$N405="MND",$Q405="EMBOQUE"),0,IF(AND($H405&lt;&gt;"",$I405="PVC",$N405="VCA",$Q405="LINEAR"),($H405/1000)+0.2,IF(AND($H405&lt;&gt;"",$I405="PVC",$N405="MND",$Q405="EMBOQUE"),0,IF(AND($H405&lt;&gt;"",$I405="PEAD",$N405="VCA",$Q405="PREDIAL"),0,0)))))),0)</f>
        <v>0.425</v>
      </c>
      <c r="AK405" s="153" t="n">
        <f aca="false">IF(AA405&lt;&gt;"",AA405,0)</f>
        <v>2.2</v>
      </c>
      <c r="AL405" s="153" t="n">
        <f aca="false">IF(AND($N405="MND",$Q405="EMBOQUE"),$M405,IF(AND($N405="VCA",$Q405="LINEAR"),$M405,IF(AND($N405="VCA",$Q405="PREDIAL"),0,0)))</f>
        <v>3.9</v>
      </c>
      <c r="AM405" s="153" t="n">
        <f aca="false">IF(AND($N405="MND",$Q405="EMBOQUE"),$M405,IF(AND($N405="VCA",$Q405="LINEAR"),$M405,IF(AND($N405="VCA",$Q405="PREDIAL"),0,0)))</f>
        <v>3.9</v>
      </c>
      <c r="AN405" s="153" t="n">
        <f aca="false">ROUND(IF(AND($N405="VCA",$M405&lt;&gt;"",$Q405="LINEAR"),$M405/100,IF(AND($N405="MND",$M405&gt;100,$Q405="EMBOQUE"),$M405/100,0)),0)</f>
        <v>0</v>
      </c>
      <c r="AO405" s="153" t="n">
        <f aca="false">IF(AND($N405="MND",$Q405="EMBOQUE"),$AN405*2*2,IF(AND($N405="VCA",$Q405="LINEAR"),$M405*2,IF(AND($N405="VCA",$Q405="PREDIAL"),0,0)))</f>
        <v>7.8</v>
      </c>
      <c r="AP405" s="153" t="n">
        <f aca="false">IFERROR($M405*$AF405*$AG405,0)</f>
        <v>4.168125</v>
      </c>
      <c r="AQ405" s="153" t="n">
        <f aca="false">IFERROR(IF(AND($N405="VCA",$AH405&gt;0),$M405*$AG405*$AH405,0),0)</f>
        <v>0.2925</v>
      </c>
      <c r="AR405" s="153" t="n">
        <f aca="false">IFERROR(IF(AND($N405="VCA",$AJ405&gt;0),($M405*$AG405*$AJ405)-$AI405,0),0)</f>
        <v>1.19526479941797</v>
      </c>
      <c r="AS405" s="153" t="n">
        <f aca="false">IFERROR(IF(AND($N405="VCA",$AP405&gt;0),$AP405-$AI405-$AQ405-$AR405,0),0)</f>
        <v>2.6325</v>
      </c>
      <c r="AT405" s="153" t="n">
        <f aca="false">IFERROR(IF($N405="VCA",INDEX(APOIO_REDES!$A:$W,MATCH($C405&amp;$I405&amp;$H405&amp;$N405&amp;$O405,APOIO_REDES!$W:$W,0),MATCH(AT$5,APOIO_REDES!$5:$5,0)),0)*$AP405,0)</f>
        <v>0.0453504337020258</v>
      </c>
      <c r="AU405" s="153" t="n">
        <f aca="false">IFERROR(IF($N405="VCA",INDEX(APOIO_REDES!$A:$W,MATCH($C405&amp;$I405&amp;$H405&amp;$N405&amp;$O405,APOIO_REDES!$W:$W,0),MATCH(AU$5,APOIO_REDES!$5:$5,0)),0)*$AP405,0)</f>
        <v>0.0362156281089265</v>
      </c>
      <c r="AV405" s="153" t="n">
        <f aca="false">IFERROR(IF($N405="VCA",INDEX(APOIO_REDES!$A:$W,MATCH($C405&amp;$I405&amp;$H405&amp;$N405&amp;$O405,APOIO_REDES!$W:$W,0),MATCH(AV$5,APOIO_REDES!$5:$5,0)),0)*$AP405,0)</f>
        <v>0.00501195862644776</v>
      </c>
      <c r="AW405" s="153" t="n">
        <f aca="false">IFERROR(IF($N405="VCA",INDEX(APOIO_REDES!$A:$W,MATCH($C405&amp;$I405&amp;$H405&amp;$N405&amp;$O405,APOIO_REDES!$W:$W,0),MATCH(AW$5,APOIO_REDES!$5:$5,0)),0)*$AP405,0)</f>
        <v>2.86103329620848</v>
      </c>
      <c r="AX405" s="153" t="n">
        <f aca="false">IFERROR(IF($N405="VCA",INDEX(APOIO_REDES!$A:$W,MATCH($C405&amp;$I405&amp;$H405&amp;$N405&amp;$O405,APOIO_REDES!$W:$W,0),MATCH(AX$5,APOIO_REDES!$5:$5,0)),0)*$AP405,0)</f>
        <v>0.395958858387642</v>
      </c>
      <c r="AY405" s="153" t="n">
        <f aca="false">IFERROR(IF($N405="VCA",INDEX(APOIO_REDES!$A:$W,MATCH($C405&amp;$I405&amp;$H405&amp;$N405&amp;$O405,APOIO_REDES!$W:$W,0),MATCH(AY$5,APOIO_REDES!$5:$5,0)),0)*$AP405,0)</f>
        <v>0.724312120712958</v>
      </c>
      <c r="AZ405" s="153" t="n">
        <f aca="false">IFERROR(IF($N405="VCA",INDEX(APOIO_REDES!$A:$W,MATCH($C405&amp;$I405&amp;$H405&amp;$N405&amp;$O405,APOIO_REDES!$W:$W,0),MATCH(AZ$5,APOIO_REDES!$5:$5,0)),0)*$AP405,0)</f>
        <v>0.100242704253522</v>
      </c>
      <c r="BA405" s="153" t="n">
        <f aca="false">IFERROR(IF(AND($N405="VCA",$Q405="LINEAR"),INDEX(APOIO_REDES!$A:$W,MATCH($C405&amp;$I405&amp;$H405&amp;$N405&amp;$O405,APOIO_REDES!$W:$W,0),MATCH(BA$5,APOIO_REDES!$5:$5,0)),IF(AND($N405="MND",$Q405="EMBOQUE"),INDEX(APOIO_REDES!$A:$W,MATCH($C405&amp;$I405&amp;$H405&amp;$N405&amp;$O405,APOIO_REDES!$W:$W,0),MATCH(BA$5,APOIO_REDES!$5:$5,0)),0))*$M405/10,0)</f>
        <v>0.314330162561143</v>
      </c>
      <c r="BB405" s="153" t="n">
        <f aca="false">IFERROR(IF($N405="VCA",INDEX(APOIO_REDES!$A:$W,MATCH($C405&amp;$I405&amp;$H405&amp;$N405&amp;$O405,APOIO_REDES!$W:$W,0),MATCH(BB$5,APOIO_REDES!$5:$5,0)),0)*($AI405+$AQ405+$AR405),0)</f>
        <v>1.5189169454782</v>
      </c>
      <c r="BC405" s="153" t="n">
        <f aca="false">IFERROR(IF($N405="VCA",INDEX(APOIO_REDES!$A:$W,MATCH($C405&amp;$I405&amp;$H405&amp;$N405&amp;$O405,APOIO_REDES!$W:$W,0),MATCH(BC$5,APOIO_REDES!$5:$5,0)),0)*($AI405+$AQ405+$AR405),0)</f>
        <v>0.016708054521799</v>
      </c>
      <c r="BD405" s="153" t="n">
        <f aca="false">IF(AND($N405="VCA",$AF405&gt;=1.25,$AF405&lt;1.5),$M405*$AF405*2,0)</f>
        <v>11.115</v>
      </c>
      <c r="BE405" s="153" t="n">
        <f aca="false">IF(AND($N405="VCA",$AF405&gt;=1.5,$AF405&lt;3),$M405*$AF405*2,0)</f>
        <v>0</v>
      </c>
      <c r="BF405" s="153" t="n">
        <f aca="false">IF(AND($N405="VCA",$AF405&gt;=3),$M405*$AF405*2,0)</f>
        <v>0</v>
      </c>
      <c r="BG405" s="153" t="n">
        <f aca="false">($BB405+$BC405)*$AK405</f>
        <v>3.378375</v>
      </c>
      <c r="BH405" s="153" t="n">
        <f aca="false">IF(AND($M405&lt;&gt;"",$N405="VCA",$Q405="LINEAR"),($M405*2)/100,IF(AND($M405&lt;&gt;"",$N405="MND",$Q405="EMBOQUE"),($AN405*2)/100,0))</f>
        <v>0.078</v>
      </c>
      <c r="BI405" s="153" t="n">
        <f aca="false">IF(AND($M405&lt;&gt;"",$N405="VCA",$Q405="LINEAR"),$M405,IF(AND($M405&lt;&gt;"",$N405="MND",$Q405="EMBOQUE"),$AN405*2,0))</f>
        <v>3.9</v>
      </c>
      <c r="BJ405" s="153" t="n">
        <f aca="false">IF(AND($M405&lt;&gt;"",$N405="VCA",$Q405="LINEAR"),($M405*6.8)/100,IF(AND($M405&lt;&gt;"",$N405="MND",$Q405="EMBOQUE"),($AN405*2*6.8)/100,0))</f>
        <v>0.2652</v>
      </c>
      <c r="BK405" s="153" t="n">
        <f aca="false">IF(AND($M405&lt;&gt;"",$N405="VCA",$Q405="LINEAR"),($M405*2.5)/50,IF(AND($M405&lt;&gt;"",$N405="MND",$Q405="EMBOQUE"),($AN405*2*2.5)/50,0))</f>
        <v>0.195</v>
      </c>
      <c r="BL405" s="157" t="str">
        <f aca="false">K405&amp;J405</f>
        <v>Zona04REDES</v>
      </c>
      <c r="BM405" s="152" t="s">
        <v>2969</v>
      </c>
      <c r="BN405" s="152" t="s">
        <v>1560</v>
      </c>
      <c r="BO405" s="152" t="s">
        <v>1748</v>
      </c>
      <c r="BP405" s="152" t="s">
        <v>3065</v>
      </c>
      <c r="BQ405" s="152" t="s">
        <v>3053</v>
      </c>
      <c r="BR405" s="152" t="s">
        <v>3066</v>
      </c>
      <c r="BS405" s="152" t="n">
        <v>203567.303</v>
      </c>
      <c r="BT405" s="152" t="n">
        <v>8238410.992</v>
      </c>
      <c r="BU405" s="152" t="n">
        <v>203565.917</v>
      </c>
      <c r="BV405" s="152" t="n">
        <v>8238414.639</v>
      </c>
      <c r="BW405" s="152" t="n">
        <v>-15.915804</v>
      </c>
      <c r="BX405" s="152" t="n">
        <v>-47.7685451</v>
      </c>
      <c r="BY405" s="152" t="s">
        <v>3065</v>
      </c>
    </row>
    <row r="406" customFormat="false" ht="13.8" hidden="false" customHeight="false" outlineLevel="0" collapsed="false">
      <c r="A406" s="149" t="n">
        <f aca="false">IF(C406&lt;&gt;"",ROW(A401),"")</f>
        <v>401</v>
      </c>
      <c r="B406" s="150" t="str">
        <f aca="false">HYPERLINK("https://www.google.com/maps/dir/-15.917302,-47.760003/-15.9157875,-47.7685513/data=!4m3!4m2!3e0!5i0")</f>
        <v>https://www.google.com/maps/dir/-15.917302,-47.760003/-15.9157875,-47.7685513/data=!4m3!4m2!3e0!5i0</v>
      </c>
      <c r="C406" s="151" t="s">
        <v>117</v>
      </c>
      <c r="D406" s="152" t="s">
        <v>112</v>
      </c>
      <c r="E406" s="152" t="s">
        <v>113</v>
      </c>
      <c r="F406" s="152" t="s">
        <v>117</v>
      </c>
      <c r="G406" s="152" t="s">
        <v>782</v>
      </c>
      <c r="H406" s="152" t="n">
        <v>63</v>
      </c>
      <c r="I406" s="152" t="s">
        <v>115</v>
      </c>
      <c r="J406" s="152" t="s">
        <v>6</v>
      </c>
      <c r="K406" s="152" t="s">
        <v>2966</v>
      </c>
      <c r="L406" s="152" t="s">
        <v>120</v>
      </c>
      <c r="M406" s="153" t="n">
        <f aca="false">86.21</f>
        <v>86.21</v>
      </c>
      <c r="N406" s="152" t="s">
        <v>1548</v>
      </c>
      <c r="O406" s="152" t="s">
        <v>1549</v>
      </c>
      <c r="P406" s="152" t="s">
        <v>1550</v>
      </c>
      <c r="Q406" s="152" t="s">
        <v>1551</v>
      </c>
      <c r="R406" s="154" t="s">
        <v>3067</v>
      </c>
      <c r="S406" s="154" t="s">
        <v>1553</v>
      </c>
      <c r="T406" s="155" t="s">
        <v>1746</v>
      </c>
      <c r="U406" s="152" t="str">
        <f aca="false">RIGHT(T406,7)</f>
        <v>003/037</v>
      </c>
      <c r="V406" s="152" t="s">
        <v>1555</v>
      </c>
      <c r="W406" s="156" t="n">
        <v>45882</v>
      </c>
      <c r="X406" s="152" t="s">
        <v>1594</v>
      </c>
      <c r="Y406" s="152" t="s">
        <v>3015</v>
      </c>
      <c r="Z406" s="152" t="s">
        <v>1557</v>
      </c>
      <c r="AA406" s="153" t="n">
        <v>2.2</v>
      </c>
      <c r="AB406" s="151" t="s">
        <v>3068</v>
      </c>
      <c r="AC406" s="151" t="s">
        <v>186</v>
      </c>
      <c r="AD406" s="151" t="str">
        <f aca="false">CONCATENATE($C406,$I406,$H406,$N406,$J406,$K406)</f>
        <v>TUBO PEADPEAD63VCAREDESZona04</v>
      </c>
      <c r="AE406" s="153" t="n">
        <f aca="false">IFERROR(INDEX(APOIO_REDES!$A:$W,MATCH($C406&amp;$I406&amp;$H406&amp;$N406&amp;$O406,APOIO_REDES!$W:$W,0),MATCH(AE$5,APOIO_REDES!$5:$5,0)),0)</f>
        <v>1.2</v>
      </c>
      <c r="AF406" s="153" t="n">
        <f aca="false">IFERROR(INDEX(APOIO_REDES!$A:$W,MATCH($C406&amp;$I406&amp;$H406&amp;$N406&amp;$O406,APOIO_REDES!$W:$W,0),MATCH(AF$5,APOIO_REDES!$5:$5,0)),0)</f>
        <v>1.363</v>
      </c>
      <c r="AG406" s="153" t="n">
        <f aca="false">IFERROR(INDEX(APOIO_REDES!$A:$W,MATCH($C406&amp;$I406&amp;$H406&amp;$N406&amp;$O406,APOIO_REDES!$W:$W,0),MATCH(AG$5,APOIO_REDES!$5:$5,0)),0)</f>
        <v>0.65</v>
      </c>
      <c r="AH406" s="153" t="n">
        <f aca="false">IFERROR(INDEX(APOIO_REDES!$A:$W,MATCH($C406&amp;$I406&amp;$H406&amp;$N406&amp;$O406,APOIO_REDES!$W:$W,0),MATCH(AH$5,APOIO_REDES!$5:$5,0)),0)</f>
        <v>0.1</v>
      </c>
      <c r="AI406" s="153" t="n">
        <f aca="false">IFERROR(IF($H406&lt;&gt;"",(((($H406/1000)/2)^2)*PI()*$M406),0),0)</f>
        <v>0.268737718220315</v>
      </c>
      <c r="AJ406" s="153" t="n">
        <f aca="false">IFERROR(IF(AND($H406&lt;&gt;"",$I406="FoFo",OR($N406="MND",$N406="VCA"),$Q406="LINEAR"),0,IF(AND($H406&lt;&gt;"",$I406="PEAD",$N406="VCA",$Q406="LINEAR"),($H406/1000)+0.3,IF(AND($H406&lt;&gt;"",$I406="PEAD",$N406="MND",$Q406="EMBOQUE"),0,IF(AND($H406&lt;&gt;"",$I406="PVC",$N406="VCA",$Q406="LINEAR"),($H406/1000)+0.2,IF(AND($H406&lt;&gt;"",$I406="PVC",$N406="MND",$Q406="EMBOQUE"),0,IF(AND($H406&lt;&gt;"",$I406="PEAD",$N406="VCA",$Q406="PREDIAL"),0,0)))))),0)</f>
        <v>0.363</v>
      </c>
      <c r="AK406" s="153" t="n">
        <f aca="false">IF(AA406&lt;&gt;"",AA406,0)</f>
        <v>2.2</v>
      </c>
      <c r="AL406" s="153" t="n">
        <f aca="false">IF(AND($N406="MND",$Q406="EMBOQUE"),$M406,IF(AND($N406="VCA",$Q406="LINEAR"),$M406,IF(AND($N406="VCA",$Q406="PREDIAL"),0,0)))</f>
        <v>86.21</v>
      </c>
      <c r="AM406" s="153" t="n">
        <f aca="false">IF(AND($N406="MND",$Q406="EMBOQUE"),$M406,IF(AND($N406="VCA",$Q406="LINEAR"),$M406,IF(AND($N406="VCA",$Q406="PREDIAL"),0,0)))</f>
        <v>86.21</v>
      </c>
      <c r="AN406" s="153" t="n">
        <f aca="false">ROUND(IF(AND($N406="VCA",$M406&lt;&gt;"",$Q406="LINEAR"),$M406/100,IF(AND($N406="MND",$M406&gt;100,$Q406="EMBOQUE"),$M406/100,0)),0)</f>
        <v>1</v>
      </c>
      <c r="AO406" s="153" t="n">
        <f aca="false">IF(AND($N406="MND",$Q406="EMBOQUE"),$AN406*2*2,IF(AND($N406="VCA",$Q406="LINEAR"),$M406*2,IF(AND($N406="VCA",$Q406="PREDIAL"),0,0)))</f>
        <v>172.42</v>
      </c>
      <c r="AP406" s="153" t="n">
        <f aca="false">IFERROR($M406*$AF406*$AG406,0)</f>
        <v>76.3777495</v>
      </c>
      <c r="AQ406" s="153" t="n">
        <f aca="false">IFERROR(IF(AND($N406="VCA",$AH406&gt;0),$M406*$AG406*$AH406,0),0)</f>
        <v>5.60365</v>
      </c>
      <c r="AR406" s="153" t="n">
        <f aca="false">IFERROR(IF(AND($N406="VCA",$AJ406&gt;0),($M406*$AG406*$AJ406)-$AI406,0),0)</f>
        <v>20.0725117817797</v>
      </c>
      <c r="AS406" s="153" t="n">
        <f aca="false">IFERROR(IF(AND($N406="VCA",$AP406&gt;0),$AP406-$AI406-$AQ406-$AR406,0),0)</f>
        <v>50.43285</v>
      </c>
      <c r="AT406" s="153" t="n">
        <f aca="false">IFERROR(IF($N406="VCA",INDEX(APOIO_REDES!$A:$W,MATCH($C406&amp;$I406&amp;$H406&amp;$N406&amp;$O406,APOIO_REDES!$W:$W,0),MATCH(AT$5,APOIO_REDES!$5:$5,0)),0)*$AP406,0)</f>
        <v>0.831012521219897</v>
      </c>
      <c r="AU406" s="153" t="n">
        <f aca="false">IFERROR(IF($N406="VCA",INDEX(APOIO_REDES!$A:$W,MATCH($C406&amp;$I406&amp;$H406&amp;$N406&amp;$O406,APOIO_REDES!$W:$W,0),MATCH(AU$5,APOIO_REDES!$5:$5,0)),0)*$AP406,0)</f>
        <v>0.663624092772828</v>
      </c>
      <c r="AV406" s="153" t="n">
        <f aca="false">IFERROR(IF($N406="VCA",INDEX(APOIO_REDES!$A:$W,MATCH($C406&amp;$I406&amp;$H406&amp;$N406&amp;$O406,APOIO_REDES!$W:$W,0),MATCH(AV$5,APOIO_REDES!$5:$5,0)),0)*$AP406,0)</f>
        <v>0.0918403647863706</v>
      </c>
      <c r="AW406" s="153" t="n">
        <f aca="false">IFERROR(IF($N406="VCA",INDEX(APOIO_REDES!$A:$W,MATCH($C406&amp;$I406&amp;$H406&amp;$N406&amp;$O406,APOIO_REDES!$W:$W,0),MATCH(AW$5,APOIO_REDES!$5:$5,0)),0)*$AP406,0)</f>
        <v>52.4262790604817</v>
      </c>
      <c r="AX406" s="153" t="n">
        <f aca="false">IFERROR(IF($N406="VCA",INDEX(APOIO_REDES!$A:$W,MATCH($C406&amp;$I406&amp;$H406&amp;$N406&amp;$O406,APOIO_REDES!$W:$W,0),MATCH(AX$5,APOIO_REDES!$5:$5,0)),0)*$AP406,0)</f>
        <v>7.25564768288794</v>
      </c>
      <c r="AY406" s="153" t="n">
        <f aca="false">IFERROR(IF($N406="VCA",INDEX(APOIO_REDES!$A:$W,MATCH($C406&amp;$I406&amp;$H406&amp;$N406&amp;$O406,APOIO_REDES!$W:$W,0),MATCH(AY$5,APOIO_REDES!$5:$5,0)),0)*$AP406,0)</f>
        <v>13.2724737659327</v>
      </c>
      <c r="AZ406" s="153" t="n">
        <f aca="false">IFERROR(IF($N406="VCA",INDEX(APOIO_REDES!$A:$W,MATCH($C406&amp;$I406&amp;$H406&amp;$N406&amp;$O406,APOIO_REDES!$W:$W,0),MATCH(AZ$5,APOIO_REDES!$5:$5,0)),0)*$AP406,0)</f>
        <v>1.83687201191858</v>
      </c>
      <c r="BA406" s="153" t="n">
        <f aca="false">IFERROR(IF(AND($N406="VCA",$Q406="LINEAR"),INDEX(APOIO_REDES!$A:$W,MATCH($C406&amp;$I406&amp;$H406&amp;$N406&amp;$O406,APOIO_REDES!$W:$W,0),MATCH(BA$5,APOIO_REDES!$5:$5,0)),IF(AND($N406="MND",$Q406="EMBOQUE"),INDEX(APOIO_REDES!$A:$W,MATCH($C406&amp;$I406&amp;$H406&amp;$N406&amp;$O406,APOIO_REDES!$W:$W,0),MATCH(BA$5,APOIO_REDES!$5:$5,0)),0))*$M406/10,0)</f>
        <v>6.94830854215286</v>
      </c>
      <c r="BB406" s="153" t="n">
        <f aca="false">IFERROR(IF($N406="VCA",INDEX(APOIO_REDES!$A:$W,MATCH($C406&amp;$I406&amp;$H406&amp;$N406&amp;$O406,APOIO_REDES!$W:$W,0),MATCH(BB$5,APOIO_REDES!$5:$5,0)),0)*($AI406+$AQ406+$AR406),0)</f>
        <v>25.6626113141417</v>
      </c>
      <c r="BC406" s="153" t="n">
        <f aca="false">IFERROR(IF($N406="VCA",INDEX(APOIO_REDES!$A:$W,MATCH($C406&amp;$I406&amp;$H406&amp;$N406&amp;$O406,APOIO_REDES!$W:$W,0),MATCH(BC$5,APOIO_REDES!$5:$5,0)),0)*($AI406+$AQ406+$AR406),0)</f>
        <v>0.282288185858263</v>
      </c>
      <c r="BD406" s="153" t="n">
        <f aca="false">IF(AND($N406="VCA",$AF406&gt;=1.25,$AF406&lt;1.5),$M406*$AF406*2,0)</f>
        <v>235.00846</v>
      </c>
      <c r="BE406" s="153" t="n">
        <f aca="false">IF(AND($N406="VCA",$AF406&gt;=1.5,$AF406&lt;3),$M406*$AF406*2,0)</f>
        <v>0</v>
      </c>
      <c r="BF406" s="153" t="n">
        <f aca="false">IF(AND($N406="VCA",$AF406&gt;=3),$M406*$AF406*2,0)</f>
        <v>0</v>
      </c>
      <c r="BG406" s="153" t="n">
        <f aca="false">($BB406+$BC406)*$AK406</f>
        <v>57.0787789</v>
      </c>
      <c r="BH406" s="153" t="n">
        <f aca="false">IF(AND($M406&lt;&gt;"",$N406="VCA",$Q406="LINEAR"),($M406*2)/100,IF(AND($M406&lt;&gt;"",$N406="MND",$Q406="EMBOQUE"),($AN406*2)/100,0))</f>
        <v>1.7242</v>
      </c>
      <c r="BI406" s="153" t="n">
        <f aca="false">IF(AND($M406&lt;&gt;"",$N406="VCA",$Q406="LINEAR"),$M406,IF(AND($M406&lt;&gt;"",$N406="MND",$Q406="EMBOQUE"),$AN406*2,0))</f>
        <v>86.21</v>
      </c>
      <c r="BJ406" s="153" t="n">
        <f aca="false">IF(AND($M406&lt;&gt;"",$N406="VCA",$Q406="LINEAR"),($M406*6.8)/100,IF(AND($M406&lt;&gt;"",$N406="MND",$Q406="EMBOQUE"),($AN406*2*6.8)/100,0))</f>
        <v>5.86228</v>
      </c>
      <c r="BK406" s="153" t="n">
        <f aca="false">IF(AND($M406&lt;&gt;"",$N406="VCA",$Q406="LINEAR"),($M406*2.5)/50,IF(AND($M406&lt;&gt;"",$N406="MND",$Q406="EMBOQUE"),($AN406*2*2.5)/50,0))</f>
        <v>4.3105</v>
      </c>
      <c r="BL406" s="157" t="str">
        <f aca="false">K406&amp;J406</f>
        <v>Zona04REDES</v>
      </c>
      <c r="BM406" s="152" t="s">
        <v>2969</v>
      </c>
      <c r="BN406" s="152" t="s">
        <v>1560</v>
      </c>
      <c r="BO406" s="152" t="s">
        <v>1748</v>
      </c>
      <c r="BP406" s="152" t="s">
        <v>3053</v>
      </c>
      <c r="BQ406" s="152" t="s">
        <v>3069</v>
      </c>
      <c r="BR406" s="152" t="s">
        <v>3070</v>
      </c>
      <c r="BS406" s="152" t="n">
        <v>203565.917</v>
      </c>
      <c r="BT406" s="152" t="n">
        <v>8238414.639</v>
      </c>
      <c r="BU406" s="152" t="n">
        <v>203494.388</v>
      </c>
      <c r="BV406" s="152" t="n">
        <v>8238366.541</v>
      </c>
      <c r="BW406" s="152" t="n">
        <v>-15.916</v>
      </c>
      <c r="BX406" s="152" t="n">
        <v>-47.7688882</v>
      </c>
      <c r="BY406" s="152" t="s">
        <v>3053</v>
      </c>
    </row>
    <row r="407" customFormat="false" ht="13.8" hidden="false" customHeight="false" outlineLevel="0" collapsed="false">
      <c r="A407" s="149" t="n">
        <f aca="false">IF(C407&lt;&gt;"",ROW(A402),"")</f>
        <v>402</v>
      </c>
      <c r="B407" s="150" t="str">
        <f aca="false">HYPERLINK("https://www.google.com/maps/dir/-15.917302,-47.760003/-15.9162912,-47.7684186/data=!4m3!4m2!3e0!5i0")</f>
        <v>https://www.google.com/maps/dir/-15.917302,-47.760003/-15.9162912,-47.7684186/data=!4m3!4m2!3e0!5i0</v>
      </c>
      <c r="C407" s="151" t="s">
        <v>117</v>
      </c>
      <c r="D407" s="152" t="s">
        <v>112</v>
      </c>
      <c r="E407" s="152" t="s">
        <v>113</v>
      </c>
      <c r="F407" s="152" t="s">
        <v>117</v>
      </c>
      <c r="G407" s="152" t="s">
        <v>114</v>
      </c>
      <c r="H407" s="152" t="n">
        <v>125</v>
      </c>
      <c r="I407" s="152" t="s">
        <v>115</v>
      </c>
      <c r="J407" s="152" t="s">
        <v>6</v>
      </c>
      <c r="K407" s="152" t="s">
        <v>2966</v>
      </c>
      <c r="L407" s="152" t="s">
        <v>120</v>
      </c>
      <c r="M407" s="153" t="n">
        <f aca="false">53.77+0.22</f>
        <v>53.99</v>
      </c>
      <c r="N407" s="152" t="s">
        <v>1548</v>
      </c>
      <c r="O407" s="152" t="s">
        <v>1549</v>
      </c>
      <c r="P407" s="152" t="s">
        <v>1550</v>
      </c>
      <c r="Q407" s="152" t="s">
        <v>1551</v>
      </c>
      <c r="R407" s="154" t="s">
        <v>3071</v>
      </c>
      <c r="S407" s="154" t="s">
        <v>1593</v>
      </c>
      <c r="T407" s="155" t="s">
        <v>1746</v>
      </c>
      <c r="U407" s="152" t="str">
        <f aca="false">RIGHT(T407,7)</f>
        <v>003/037</v>
      </c>
      <c r="V407" s="152" t="s">
        <v>1555</v>
      </c>
      <c r="W407" s="156" t="n">
        <v>45882</v>
      </c>
      <c r="X407" s="152" t="s">
        <v>1594</v>
      </c>
      <c r="Y407" s="152" t="s">
        <v>3015</v>
      </c>
      <c r="Z407" s="152" t="s">
        <v>1557</v>
      </c>
      <c r="AA407" s="153" t="n">
        <v>2.2</v>
      </c>
      <c r="AB407" s="151" t="s">
        <v>3072</v>
      </c>
      <c r="AC407" s="151" t="s">
        <v>505</v>
      </c>
      <c r="AD407" s="151" t="str">
        <f aca="false">CONCATENATE($C407,$I407,$H407,$N407,$J407,$K407)</f>
        <v>TUBO PEADPEAD125VCAREDESZona04</v>
      </c>
      <c r="AE407" s="153" t="n">
        <f aca="false">IFERROR(INDEX(APOIO_REDES!$A:$W,MATCH($C407&amp;$I407&amp;$H407&amp;$N407&amp;$O407,APOIO_REDES!$W:$W,0),MATCH(AE$5,APOIO_REDES!$5:$5,0)),0)</f>
        <v>1.2</v>
      </c>
      <c r="AF407" s="153" t="n">
        <f aca="false">IFERROR(INDEX(APOIO_REDES!$A:$W,MATCH($C407&amp;$I407&amp;$H407&amp;$N407&amp;$O407,APOIO_REDES!$W:$W,0),MATCH(AF$5,APOIO_REDES!$5:$5,0)),0)</f>
        <v>1.425</v>
      </c>
      <c r="AG407" s="153" t="n">
        <f aca="false">IFERROR(INDEX(APOIO_REDES!$A:$W,MATCH($C407&amp;$I407&amp;$H407&amp;$N407&amp;$O407,APOIO_REDES!$W:$W,0),MATCH(AG$5,APOIO_REDES!$5:$5,0)),0)</f>
        <v>0.75</v>
      </c>
      <c r="AH407" s="153" t="n">
        <f aca="false">IFERROR(INDEX(APOIO_REDES!$A:$W,MATCH($C407&amp;$I407&amp;$H407&amp;$N407&amp;$O407,APOIO_REDES!$W:$W,0),MATCH(AH$5,APOIO_REDES!$5:$5,0)),0)</f>
        <v>0.1</v>
      </c>
      <c r="AI407" s="153" t="n">
        <f aca="false">IFERROR(IF($H407&lt;&gt;"",(((($H407/1000)/2)^2)*PI()*$M407),0),0)</f>
        <v>0.662556981903566</v>
      </c>
      <c r="AJ407" s="153" t="n">
        <f aca="false">IFERROR(IF(AND($H407&lt;&gt;"",$I407="FoFo",OR($N407="MND",$N407="VCA"),$Q407="LINEAR"),0,IF(AND($H407&lt;&gt;"",$I407="PEAD",$N407="VCA",$Q407="LINEAR"),($H407/1000)+0.3,IF(AND($H407&lt;&gt;"",$I407="PEAD",$N407="MND",$Q407="EMBOQUE"),0,IF(AND($H407&lt;&gt;"",$I407="PVC",$N407="VCA",$Q407="LINEAR"),($H407/1000)+0.2,IF(AND($H407&lt;&gt;"",$I407="PVC",$N407="MND",$Q407="EMBOQUE"),0,IF(AND($H407&lt;&gt;"",$I407="PEAD",$N407="VCA",$Q407="PREDIAL"),0,0)))))),0)</f>
        <v>0.425</v>
      </c>
      <c r="AK407" s="153" t="n">
        <f aca="false">IF(AA407&lt;&gt;"",AA407,0)</f>
        <v>2.2</v>
      </c>
      <c r="AL407" s="153" t="n">
        <f aca="false">IF(AND($N407="MND",$Q407="EMBOQUE"),$M407,IF(AND($N407="VCA",$Q407="LINEAR"),$M407,IF(AND($N407="VCA",$Q407="PREDIAL"),0,0)))</f>
        <v>53.99</v>
      </c>
      <c r="AM407" s="153" t="n">
        <f aca="false">IF(AND($N407="MND",$Q407="EMBOQUE"),$M407,IF(AND($N407="VCA",$Q407="LINEAR"),$M407,IF(AND($N407="VCA",$Q407="PREDIAL"),0,0)))</f>
        <v>53.99</v>
      </c>
      <c r="AN407" s="153" t="n">
        <f aca="false">ROUND(IF(AND($N407="VCA",$M407&lt;&gt;"",$Q407="LINEAR"),$M407/100,IF(AND($N407="MND",$M407&gt;100,$Q407="EMBOQUE"),$M407/100,0)),0)</f>
        <v>1</v>
      </c>
      <c r="AO407" s="153" t="n">
        <f aca="false">IF(AND($N407="MND",$Q407="EMBOQUE"),$AN407*2*2,IF(AND($N407="VCA",$Q407="LINEAR"),$M407*2,IF(AND($N407="VCA",$Q407="PREDIAL"),0,0)))</f>
        <v>107.98</v>
      </c>
      <c r="AP407" s="153" t="n">
        <f aca="false">IFERROR($M407*$AF407*$AG407,0)</f>
        <v>57.7018125</v>
      </c>
      <c r="AQ407" s="153" t="n">
        <f aca="false">IFERROR(IF(AND($N407="VCA",$AH407&gt;0),$M407*$AG407*$AH407,0),0)</f>
        <v>4.04925</v>
      </c>
      <c r="AR407" s="153" t="n">
        <f aca="false">IFERROR(IF(AND($N407="VCA",$AJ407&gt;0),($M407*$AG407*$AJ407)-$AI407,0),0)</f>
        <v>16.5467555180964</v>
      </c>
      <c r="AS407" s="153" t="n">
        <f aca="false">IFERROR(IF(AND($N407="VCA",$AP407&gt;0),$AP407-$AI407-$AQ407-$AR407,0),0)</f>
        <v>36.44325</v>
      </c>
      <c r="AT407" s="153" t="n">
        <f aca="false">IFERROR(IF($N407="VCA",INDEX(APOIO_REDES!$A:$W,MATCH($C407&amp;$I407&amp;$H407&amp;$N407&amp;$O407,APOIO_REDES!$W:$W,0),MATCH(AT$5,APOIO_REDES!$5:$5,0)),0)*$AP407,0)</f>
        <v>0.627812798864711</v>
      </c>
      <c r="AU407" s="153" t="n">
        <f aca="false">IFERROR(IF($N407="VCA",INDEX(APOIO_REDES!$A:$W,MATCH($C407&amp;$I407&amp;$H407&amp;$N407&amp;$O407,APOIO_REDES!$W:$W,0),MATCH(AU$5,APOIO_REDES!$5:$5,0)),0)*$AP407,0)</f>
        <v>0.501354297846395</v>
      </c>
      <c r="AV407" s="153" t="n">
        <f aca="false">IFERROR(IF($N407="VCA",INDEX(APOIO_REDES!$A:$W,MATCH($C407&amp;$I407&amp;$H407&amp;$N407&amp;$O407,APOIO_REDES!$W:$W,0),MATCH(AV$5,APOIO_REDES!$5:$5,0)),0)*$AP407,0)</f>
        <v>0.0693834990363884</v>
      </c>
      <c r="AW407" s="153" t="n">
        <f aca="false">IFERROR(IF($N407="VCA",INDEX(APOIO_REDES!$A:$W,MATCH($C407&amp;$I407&amp;$H407&amp;$N407&amp;$O407,APOIO_REDES!$W:$W,0),MATCH(AW$5,APOIO_REDES!$5:$5,0)),0)*$AP407,0)</f>
        <v>39.6069711954604</v>
      </c>
      <c r="AX407" s="153" t="n">
        <f aca="false">IFERROR(IF($N407="VCA",INDEX(APOIO_REDES!$A:$W,MATCH($C407&amp;$I407&amp;$H407&amp;$N407&amp;$O407,APOIO_REDES!$W:$W,0),MATCH(AX$5,APOIO_REDES!$5:$5,0)),0)*$AP407,0)</f>
        <v>5.48149199085867</v>
      </c>
      <c r="AY407" s="153" t="n">
        <f aca="false">IFERROR(IF($N407="VCA",INDEX(APOIO_REDES!$A:$W,MATCH($C407&amp;$I407&amp;$H407&amp;$N407&amp;$O407,APOIO_REDES!$W:$W,0),MATCH(AY$5,APOIO_REDES!$5:$5,0)),0)*$AP407,0)</f>
        <v>10.0270798454596</v>
      </c>
      <c r="AZ407" s="153" t="n">
        <f aca="false">IFERROR(IF($N407="VCA",INDEX(APOIO_REDES!$A:$W,MATCH($C407&amp;$I407&amp;$H407&amp;$N407&amp;$O407,APOIO_REDES!$W:$W,0),MATCH(AZ$5,APOIO_REDES!$5:$5,0)),0)*$AP407,0)</f>
        <v>1.38771887247376</v>
      </c>
      <c r="BA407" s="153" t="n">
        <f aca="false">IFERROR(IF(AND($N407="VCA",$Q407="LINEAR"),INDEX(APOIO_REDES!$A:$W,MATCH($C407&amp;$I407&amp;$H407&amp;$N407&amp;$O407,APOIO_REDES!$W:$W,0),MATCH(BA$5,APOIO_REDES!$5:$5,0)),IF(AND($N407="MND",$Q407="EMBOQUE"),INDEX(APOIO_REDES!$A:$W,MATCH($C407&amp;$I407&amp;$H407&amp;$N407&amp;$O407,APOIO_REDES!$W:$W,0),MATCH(BA$5,APOIO_REDES!$5:$5,0)),0))*$M407/10,0)</f>
        <v>4.35145781453234</v>
      </c>
      <c r="BB407" s="153" t="n">
        <f aca="false">IFERROR(IF($N407="VCA",INDEX(APOIO_REDES!$A:$W,MATCH($C407&amp;$I407&amp;$H407&amp;$N407&amp;$O407,APOIO_REDES!$W:$W,0),MATCH(BB$5,APOIO_REDES!$5:$5,0)),0)*($AI407+$AQ407+$AR407),0)</f>
        <v>21.0272630477867</v>
      </c>
      <c r="BC407" s="153" t="n">
        <f aca="false">IFERROR(IF($N407="VCA",INDEX(APOIO_REDES!$A:$W,MATCH($C407&amp;$I407&amp;$H407&amp;$N407&amp;$O407,APOIO_REDES!$W:$W,0),MATCH(BC$5,APOIO_REDES!$5:$5,0)),0)*($AI407+$AQ407+$AR407),0)</f>
        <v>0.231299452213315</v>
      </c>
      <c r="BD407" s="153" t="n">
        <f aca="false">IF(AND($N407="VCA",$AF407&gt;=1.25,$AF407&lt;1.5),$M407*$AF407*2,0)</f>
        <v>153.8715</v>
      </c>
      <c r="BE407" s="153" t="n">
        <f aca="false">IF(AND($N407="VCA",$AF407&gt;=1.5,$AF407&lt;3),$M407*$AF407*2,0)</f>
        <v>0</v>
      </c>
      <c r="BF407" s="153" t="n">
        <f aca="false">IF(AND($N407="VCA",$AF407&gt;=3),$M407*$AF407*2,0)</f>
        <v>0</v>
      </c>
      <c r="BG407" s="153" t="n">
        <f aca="false">($BB407+$BC407)*$AK407</f>
        <v>46.7688375</v>
      </c>
      <c r="BH407" s="153" t="n">
        <f aca="false">IF(AND($M407&lt;&gt;"",$N407="VCA",$Q407="LINEAR"),($M407*2)/100,IF(AND($M407&lt;&gt;"",$N407="MND",$Q407="EMBOQUE"),($AN407*2)/100,0))</f>
        <v>1.0798</v>
      </c>
      <c r="BI407" s="153" t="n">
        <f aca="false">IF(AND($M407&lt;&gt;"",$N407="VCA",$Q407="LINEAR"),$M407,IF(AND($M407&lt;&gt;"",$N407="MND",$Q407="EMBOQUE"),$AN407*2,0))</f>
        <v>53.99</v>
      </c>
      <c r="BJ407" s="153" t="n">
        <f aca="false">IF(AND($M407&lt;&gt;"",$N407="VCA",$Q407="LINEAR"),($M407*6.8)/100,IF(AND($M407&lt;&gt;"",$N407="MND",$Q407="EMBOQUE"),($AN407*2*6.8)/100,0))</f>
        <v>3.67132</v>
      </c>
      <c r="BK407" s="153" t="n">
        <f aca="false">IF(AND($M407&lt;&gt;"",$N407="VCA",$Q407="LINEAR"),($M407*2.5)/50,IF(AND($M407&lt;&gt;"",$N407="MND",$Q407="EMBOQUE"),($AN407*2*2.5)/50,0))</f>
        <v>2.6995</v>
      </c>
      <c r="BL407" s="157" t="str">
        <f aca="false">K407&amp;J407</f>
        <v>Zona04REDES</v>
      </c>
      <c r="BM407" s="152" t="s">
        <v>2969</v>
      </c>
      <c r="BN407" s="152" t="s">
        <v>1560</v>
      </c>
      <c r="BO407" s="152" t="s">
        <v>1748</v>
      </c>
      <c r="BP407" s="152" t="s">
        <v>3073</v>
      </c>
      <c r="BQ407" s="152" t="s">
        <v>3065</v>
      </c>
      <c r="BR407" s="152" t="s">
        <v>3074</v>
      </c>
      <c r="BS407" s="152" t="n">
        <v>203580.394</v>
      </c>
      <c r="BT407" s="152" t="n">
        <v>8238358.966</v>
      </c>
      <c r="BU407" s="152" t="n">
        <v>203567.303</v>
      </c>
      <c r="BV407" s="152" t="n">
        <v>8238410.992</v>
      </c>
      <c r="BW407" s="152" t="n">
        <v>-15.9160528</v>
      </c>
      <c r="BX407" s="152" t="n">
        <v>-47.7684658</v>
      </c>
      <c r="BY407" s="152" t="s">
        <v>3073</v>
      </c>
    </row>
    <row r="408" customFormat="false" ht="13.8" hidden="false" customHeight="false" outlineLevel="0" collapsed="false">
      <c r="A408" s="149" t="n">
        <f aca="false">IF(C408&lt;&gt;"",ROW(A403),"")</f>
        <v>403</v>
      </c>
      <c r="B408" s="150" t="str">
        <f aca="false">HYPERLINK("https://www.google.com/maps/dir/-15.917302,-47.760003/-15.9158966,-47.7698603/data=!4m3!4m2!3e0!5i0")</f>
        <v>https://www.google.com/maps/dir/-15.917302,-47.760003/-15.9158966,-47.7698603/data=!4m3!4m2!3e0!5i0</v>
      </c>
      <c r="C408" s="151" t="s">
        <v>117</v>
      </c>
      <c r="D408" s="152" t="s">
        <v>112</v>
      </c>
      <c r="E408" s="152" t="s">
        <v>113</v>
      </c>
      <c r="F408" s="152" t="s">
        <v>117</v>
      </c>
      <c r="G408" s="152" t="s">
        <v>114</v>
      </c>
      <c r="H408" s="152" t="n">
        <v>160</v>
      </c>
      <c r="I408" s="152" t="s">
        <v>115</v>
      </c>
      <c r="J408" s="152" t="s">
        <v>6</v>
      </c>
      <c r="K408" s="152" t="s">
        <v>2966</v>
      </c>
      <c r="L408" s="152" t="s">
        <v>120</v>
      </c>
      <c r="M408" s="153" t="n">
        <f aca="false">39.5</f>
        <v>39.5</v>
      </c>
      <c r="N408" s="152" t="s">
        <v>1548</v>
      </c>
      <c r="O408" s="152" t="s">
        <v>1549</v>
      </c>
      <c r="P408" s="152" t="s">
        <v>1550</v>
      </c>
      <c r="Q408" s="152" t="s">
        <v>1551</v>
      </c>
      <c r="R408" s="154" t="s">
        <v>3075</v>
      </c>
      <c r="S408" s="154" t="s">
        <v>1593</v>
      </c>
      <c r="T408" s="155" t="s">
        <v>1746</v>
      </c>
      <c r="U408" s="152" t="str">
        <f aca="false">RIGHT(T408,7)</f>
        <v>003/037</v>
      </c>
      <c r="V408" s="152" t="s">
        <v>1555</v>
      </c>
      <c r="W408" s="156" t="n">
        <v>45882</v>
      </c>
      <c r="X408" s="152" t="s">
        <v>1594</v>
      </c>
      <c r="Y408" s="152" t="s">
        <v>3076</v>
      </c>
      <c r="Z408" s="152" t="s">
        <v>1557</v>
      </c>
      <c r="AA408" s="153" t="n">
        <v>2.2</v>
      </c>
      <c r="AB408" s="151" t="s">
        <v>3077</v>
      </c>
      <c r="AC408" s="151" t="s">
        <v>505</v>
      </c>
      <c r="AD408" s="151" t="str">
        <f aca="false">CONCATENATE($C408,$I408,$H408,$N408,$J408,$K408)</f>
        <v>TUBO PEADPEAD160VCAREDESZona04</v>
      </c>
      <c r="AE408" s="153" t="n">
        <f aca="false">IFERROR(INDEX(APOIO_REDES!$A:$W,MATCH($C408&amp;$I408&amp;$H408&amp;$N408&amp;$O408,APOIO_REDES!$W:$W,0),MATCH(AE$5,APOIO_REDES!$5:$5,0)),0)</f>
        <v>1.2</v>
      </c>
      <c r="AF408" s="153" t="n">
        <f aca="false">IFERROR(INDEX(APOIO_REDES!$A:$W,MATCH($C408&amp;$I408&amp;$H408&amp;$N408&amp;$O408,APOIO_REDES!$W:$W,0),MATCH(AF$5,APOIO_REDES!$5:$5,0)),0)</f>
        <v>1.46</v>
      </c>
      <c r="AG408" s="153" t="n">
        <f aca="false">IFERROR(INDEX(APOIO_REDES!$A:$W,MATCH($C408&amp;$I408&amp;$H408&amp;$N408&amp;$O408,APOIO_REDES!$W:$W,0),MATCH(AG$5,APOIO_REDES!$5:$5,0)),0)</f>
        <v>0.75</v>
      </c>
      <c r="AH408" s="153" t="n">
        <f aca="false">IFERROR(INDEX(APOIO_REDES!$A:$W,MATCH($C408&amp;$I408&amp;$H408&amp;$N408&amp;$O408,APOIO_REDES!$W:$W,0),MATCH(AH$5,APOIO_REDES!$5:$5,0)),0)</f>
        <v>0.1</v>
      </c>
      <c r="AI408" s="153" t="n">
        <f aca="false">IFERROR(IF($H408&lt;&gt;"",(((($H408/1000)/2)^2)*PI()*$M408),0),0)</f>
        <v>0.7941946228275</v>
      </c>
      <c r="AJ408" s="153" t="n">
        <f aca="false">IFERROR(IF(AND($H408&lt;&gt;"",$I408="FoFo",OR($N408="MND",$N408="VCA"),$Q408="LINEAR"),0,IF(AND($H408&lt;&gt;"",$I408="PEAD",$N408="VCA",$Q408="LINEAR"),($H408/1000)+0.3,IF(AND($H408&lt;&gt;"",$I408="PEAD",$N408="MND",$Q408="EMBOQUE"),0,IF(AND($H408&lt;&gt;"",$I408="PVC",$N408="VCA",$Q408="LINEAR"),($H408/1000)+0.2,IF(AND($H408&lt;&gt;"",$I408="PVC",$N408="MND",$Q408="EMBOQUE"),0,IF(AND($H408&lt;&gt;"",$I408="PEAD",$N408="VCA",$Q408="PREDIAL"),0,0)))))),0)</f>
        <v>0.46</v>
      </c>
      <c r="AK408" s="153" t="n">
        <f aca="false">IF(AA408&lt;&gt;"",AA408,0)</f>
        <v>2.2</v>
      </c>
      <c r="AL408" s="153" t="n">
        <f aca="false">IF(AND($N408="MND",$Q408="EMBOQUE"),$M408,IF(AND($N408="VCA",$Q408="LINEAR"),$M408,IF(AND($N408="VCA",$Q408="PREDIAL"),0,0)))</f>
        <v>39.5</v>
      </c>
      <c r="AM408" s="153" t="n">
        <f aca="false">IF(AND($N408="MND",$Q408="EMBOQUE"),$M408,IF(AND($N408="VCA",$Q408="LINEAR"),$M408,IF(AND($N408="VCA",$Q408="PREDIAL"),0,0)))</f>
        <v>39.5</v>
      </c>
      <c r="AN408" s="153" t="n">
        <f aca="false">ROUND(IF(AND($N408="VCA",$M408&lt;&gt;"",$Q408="LINEAR"),$M408/100,IF(AND($N408="MND",$M408&gt;100,$Q408="EMBOQUE"),$M408/100,0)),0)</f>
        <v>0</v>
      </c>
      <c r="AO408" s="153" t="n">
        <f aca="false">IF(AND($N408="MND",$Q408="EMBOQUE"),$AN408*2*2,IF(AND($N408="VCA",$Q408="LINEAR"),$M408*2,IF(AND($N408="VCA",$Q408="PREDIAL"),0,0)))</f>
        <v>79</v>
      </c>
      <c r="AP408" s="153" t="n">
        <f aca="false">IFERROR($M408*$AF408*$AG408,0)</f>
        <v>43.2525</v>
      </c>
      <c r="AQ408" s="153" t="n">
        <f aca="false">IFERROR(IF(AND($N408="VCA",$AH408&gt;0),$M408*$AG408*$AH408,0),0)</f>
        <v>2.9625</v>
      </c>
      <c r="AR408" s="153" t="n">
        <f aca="false">IFERROR(IF(AND($N408="VCA",$AJ408&gt;0),($M408*$AG408*$AJ408)-$AI408,0),0)</f>
        <v>12.8333053771725</v>
      </c>
      <c r="AS408" s="153" t="n">
        <f aca="false">IFERROR(IF(AND($N408="VCA",$AP408&gt;0),$AP408-$AI408-$AQ408-$AR408,0),0)</f>
        <v>26.6625</v>
      </c>
      <c r="AT408" s="153" t="n">
        <f aca="false">IFERROR(IF($N408="VCA",INDEX(APOIO_REDES!$A:$W,MATCH($C408&amp;$I408&amp;$H408&amp;$N408&amp;$O408,APOIO_REDES!$W:$W,0),MATCH(AT$5,APOIO_REDES!$5:$5,0)),0)*$AP408,0)</f>
        <v>0.470600002086519</v>
      </c>
      <c r="AU408" s="153" t="n">
        <f aca="false">IFERROR(IF($N408="VCA",INDEX(APOIO_REDES!$A:$W,MATCH($C408&amp;$I408&amp;$H408&amp;$N408&amp;$O408,APOIO_REDES!$W:$W,0),MATCH(AU$5,APOIO_REDES!$5:$5,0)),0)*$AP408,0)</f>
        <v>0.375808416201851</v>
      </c>
      <c r="AV408" s="153" t="n">
        <f aca="false">IFERROR(IF($N408="VCA",INDEX(APOIO_REDES!$A:$W,MATCH($C408&amp;$I408&amp;$H408&amp;$N408&amp;$O408,APOIO_REDES!$W:$W,0),MATCH(AV$5,APOIO_REDES!$5:$5,0)),0)*$AP408,0)</f>
        <v>0.0520089345905969</v>
      </c>
      <c r="AW408" s="153" t="n">
        <f aca="false">IFERROR(IF($N408="VCA",INDEX(APOIO_REDES!$A:$W,MATCH($C408&amp;$I408&amp;$H408&amp;$N408&amp;$O408,APOIO_REDES!$W:$W,0),MATCH(AW$5,APOIO_REDES!$5:$5,0)),0)*$AP408,0)</f>
        <v>29.6888511367239</v>
      </c>
      <c r="AX408" s="153" t="n">
        <f aca="false">IFERROR(IF($N408="VCA",INDEX(APOIO_REDES!$A:$W,MATCH($C408&amp;$I408&amp;$H408&amp;$N408&amp;$O408,APOIO_REDES!$W:$W,0),MATCH(AX$5,APOIO_REDES!$5:$5,0)),0)*$AP408,0)</f>
        <v>4.1088524270293</v>
      </c>
      <c r="AY408" s="153" t="n">
        <f aca="false">IFERROR(IF($N408="VCA",INDEX(APOIO_REDES!$A:$W,MATCH($C408&amp;$I408&amp;$H408&amp;$N408&amp;$O408,APOIO_REDES!$W:$W,0),MATCH(AY$5,APOIO_REDES!$5:$5,0)),0)*$AP408,0)</f>
        <v>7.5161637429629</v>
      </c>
      <c r="AZ408" s="153" t="n">
        <f aca="false">IFERROR(IF($N408="VCA",INDEX(APOIO_REDES!$A:$W,MATCH($C408&amp;$I408&amp;$H408&amp;$N408&amp;$O408,APOIO_REDES!$W:$W,0),MATCH(AZ$5,APOIO_REDES!$5:$5,0)),0)*$AP408,0)</f>
        <v>1.04021534040497</v>
      </c>
      <c r="BA408" s="153" t="n">
        <f aca="false">IFERROR(IF(AND($N408="VCA",$Q408="LINEAR"),INDEX(APOIO_REDES!$A:$W,MATCH($C408&amp;$I408&amp;$H408&amp;$N408&amp;$O408,APOIO_REDES!$W:$W,0),MATCH(BA$5,APOIO_REDES!$5:$5,0)),IF(AND($N408="MND",$Q408="EMBOQUE"),INDEX(APOIO_REDES!$A:$W,MATCH($C408&amp;$I408&amp;$H408&amp;$N408&amp;$O408,APOIO_REDES!$W:$W,0),MATCH(BA$5,APOIO_REDES!$5:$5,0)),0))*$M408/10,0)</f>
        <v>3.18360036440132</v>
      </c>
      <c r="BB408" s="153" t="n">
        <f aca="false">IFERROR(IF($N408="VCA",INDEX(APOIO_REDES!$A:$W,MATCH($C408&amp;$I408&amp;$H408&amp;$N408&amp;$O408,APOIO_REDES!$W:$W,0),MATCH(BB$5,APOIO_REDES!$5:$5,0)),0)*($AI408+$AQ408+$AR408),0)</f>
        <v>16.4094958896107</v>
      </c>
      <c r="BC408" s="153" t="n">
        <f aca="false">IFERROR(IF($N408="VCA",INDEX(APOIO_REDES!$A:$W,MATCH($C408&amp;$I408&amp;$H408&amp;$N408&amp;$O408,APOIO_REDES!$W:$W,0),MATCH(BC$5,APOIO_REDES!$5:$5,0)),0)*($AI408+$AQ408+$AR408),0)</f>
        <v>0.18050411038935</v>
      </c>
      <c r="BD408" s="153" t="n">
        <f aca="false">IF(AND($N408="VCA",$AF408&gt;=1.25,$AF408&lt;1.5),$M408*$AF408*2,0)</f>
        <v>115.34</v>
      </c>
      <c r="BE408" s="153" t="n">
        <f aca="false">IF(AND($N408="VCA",$AF408&gt;=1.5,$AF408&lt;3),$M408*$AF408*2,0)</f>
        <v>0</v>
      </c>
      <c r="BF408" s="153" t="n">
        <f aca="false">IF(AND($N408="VCA",$AF408&gt;=3),$M408*$AF408*2,0)</f>
        <v>0</v>
      </c>
      <c r="BG408" s="153" t="n">
        <f aca="false">($BB408+$BC408)*$AK408</f>
        <v>36.498</v>
      </c>
      <c r="BH408" s="153" t="n">
        <f aca="false">IF(AND($M408&lt;&gt;"",$N408="VCA",$Q408="LINEAR"),($M408*2)/100,IF(AND($M408&lt;&gt;"",$N408="MND",$Q408="EMBOQUE"),($AN408*2)/100,0))</f>
        <v>0.79</v>
      </c>
      <c r="BI408" s="153" t="n">
        <f aca="false">IF(AND($M408&lt;&gt;"",$N408="VCA",$Q408="LINEAR"),$M408,IF(AND($M408&lt;&gt;"",$N408="MND",$Q408="EMBOQUE"),$AN408*2,0))</f>
        <v>39.5</v>
      </c>
      <c r="BJ408" s="153" t="n">
        <f aca="false">IF(AND($M408&lt;&gt;"",$N408="VCA",$Q408="LINEAR"),($M408*6.8)/100,IF(AND($M408&lt;&gt;"",$N408="MND",$Q408="EMBOQUE"),($AN408*2*6.8)/100,0))</f>
        <v>2.686</v>
      </c>
      <c r="BK408" s="153" t="n">
        <f aca="false">IF(AND($M408&lt;&gt;"",$N408="VCA",$Q408="LINEAR"),($M408*2.5)/50,IF(AND($M408&lt;&gt;"",$N408="MND",$Q408="EMBOQUE"),($AN408*2*2.5)/50,0))</f>
        <v>1.975</v>
      </c>
      <c r="BL408" s="157" t="str">
        <f aca="false">K408&amp;J408</f>
        <v>Zona04REDES</v>
      </c>
      <c r="BM408" s="152" t="s">
        <v>2969</v>
      </c>
      <c r="BN408" s="152" t="s">
        <v>1560</v>
      </c>
      <c r="BO408" s="152" t="s">
        <v>1748</v>
      </c>
      <c r="BP408" s="152" t="s">
        <v>3057</v>
      </c>
      <c r="BQ408" s="152" t="s">
        <v>3078</v>
      </c>
      <c r="BR408" s="152" t="s">
        <v>3079</v>
      </c>
      <c r="BS408" s="152" t="n">
        <v>203425.825</v>
      </c>
      <c r="BT408" s="152" t="n">
        <v>8238400.697</v>
      </c>
      <c r="BU408" s="152" t="n">
        <v>203409.401</v>
      </c>
      <c r="BV408" s="152" t="n">
        <v>8238364.799</v>
      </c>
      <c r="BW408" s="152" t="n">
        <v>-15.9160596</v>
      </c>
      <c r="BX408" s="152" t="n">
        <v>-47.7699349</v>
      </c>
      <c r="BY408" s="152" t="s">
        <v>3057</v>
      </c>
    </row>
    <row r="409" customFormat="false" ht="13.8" hidden="false" customHeight="false" outlineLevel="0" collapsed="false">
      <c r="A409" s="149" t="n">
        <f aca="false">IF(C409&lt;&gt;"",ROW(A404),"")</f>
        <v>404</v>
      </c>
      <c r="B409" s="150" t="str">
        <f aca="false">HYPERLINK("https://www.google.com/maps/dir/-15.917302,-47.760003/-15.9162132,-47.7692247/data=!4m3!4m2!3e0!5i0")</f>
        <v>https://www.google.com/maps/dir/-15.917302,-47.760003/-15.9162132,-47.7692247/data=!4m3!4m2!3e0!5i0</v>
      </c>
      <c r="C409" s="151" t="s">
        <v>117</v>
      </c>
      <c r="D409" s="152" t="s">
        <v>112</v>
      </c>
      <c r="E409" s="152" t="s">
        <v>113</v>
      </c>
      <c r="F409" s="152" t="s">
        <v>117</v>
      </c>
      <c r="G409" s="152" t="s">
        <v>782</v>
      </c>
      <c r="H409" s="152" t="n">
        <v>63</v>
      </c>
      <c r="I409" s="152" t="s">
        <v>115</v>
      </c>
      <c r="J409" s="152" t="s">
        <v>6</v>
      </c>
      <c r="K409" s="152" t="s">
        <v>2966</v>
      </c>
      <c r="L409" s="152" t="s">
        <v>120</v>
      </c>
      <c r="M409" s="153" t="n">
        <f aca="false">23.82+3.96</f>
        <v>27.78</v>
      </c>
      <c r="N409" s="152" t="s">
        <v>1548</v>
      </c>
      <c r="O409" s="152" t="s">
        <v>1549</v>
      </c>
      <c r="P409" s="152" t="s">
        <v>1550</v>
      </c>
      <c r="Q409" s="152" t="s">
        <v>1551</v>
      </c>
      <c r="R409" s="154" t="s">
        <v>3080</v>
      </c>
      <c r="S409" s="154" t="s">
        <v>1553</v>
      </c>
      <c r="T409" s="155" t="s">
        <v>1746</v>
      </c>
      <c r="U409" s="152" t="str">
        <f aca="false">RIGHT(T409,7)</f>
        <v>003/037</v>
      </c>
      <c r="V409" s="152" t="s">
        <v>1555</v>
      </c>
      <c r="W409" s="156" t="n">
        <v>45882</v>
      </c>
      <c r="X409" s="152" t="s">
        <v>1594</v>
      </c>
      <c r="Y409" s="152" t="s">
        <v>3081</v>
      </c>
      <c r="Z409" s="152" t="s">
        <v>1557</v>
      </c>
      <c r="AA409" s="153" t="n">
        <v>2.3</v>
      </c>
      <c r="AB409" s="151" t="s">
        <v>3082</v>
      </c>
      <c r="AC409" s="151" t="s">
        <v>186</v>
      </c>
      <c r="AD409" s="151" t="str">
        <f aca="false">CONCATENATE($C409,$I409,$H409,$N409,$J409,$K409)</f>
        <v>TUBO PEADPEAD63VCAREDESZona04</v>
      </c>
      <c r="AE409" s="153" t="n">
        <f aca="false">IFERROR(INDEX(APOIO_REDES!$A:$W,MATCH($C409&amp;$I409&amp;$H409&amp;$N409&amp;$O409,APOIO_REDES!$W:$W,0),MATCH(AE$5,APOIO_REDES!$5:$5,0)),0)</f>
        <v>1.2</v>
      </c>
      <c r="AF409" s="153" t="n">
        <f aca="false">IFERROR(INDEX(APOIO_REDES!$A:$W,MATCH($C409&amp;$I409&amp;$H409&amp;$N409&amp;$O409,APOIO_REDES!$W:$W,0),MATCH(AF$5,APOIO_REDES!$5:$5,0)),0)</f>
        <v>1.363</v>
      </c>
      <c r="AG409" s="153" t="n">
        <f aca="false">IFERROR(INDEX(APOIO_REDES!$A:$W,MATCH($C409&amp;$I409&amp;$H409&amp;$N409&amp;$O409,APOIO_REDES!$W:$W,0),MATCH(AG$5,APOIO_REDES!$5:$5,0)),0)</f>
        <v>0.65</v>
      </c>
      <c r="AH409" s="153" t="n">
        <f aca="false">IFERROR(INDEX(APOIO_REDES!$A:$W,MATCH($C409&amp;$I409&amp;$H409&amp;$N409&amp;$O409,APOIO_REDES!$W:$W,0),MATCH(AH$5,APOIO_REDES!$5:$5,0)),0)</f>
        <v>0.1</v>
      </c>
      <c r="AI409" s="153" t="n">
        <f aca="false">IFERROR(IF($H409&lt;&gt;"",(((($H409/1000)/2)^2)*PI()*$M409),0),0)</f>
        <v>0.0865970747263699</v>
      </c>
      <c r="AJ409" s="153" t="n">
        <f aca="false">IFERROR(IF(AND($H409&lt;&gt;"",$I409="FoFo",OR($N409="MND",$N409="VCA"),$Q409="LINEAR"),0,IF(AND($H409&lt;&gt;"",$I409="PEAD",$N409="VCA",$Q409="LINEAR"),($H409/1000)+0.3,IF(AND($H409&lt;&gt;"",$I409="PEAD",$N409="MND",$Q409="EMBOQUE"),0,IF(AND($H409&lt;&gt;"",$I409="PVC",$N409="VCA",$Q409="LINEAR"),($H409/1000)+0.2,IF(AND($H409&lt;&gt;"",$I409="PVC",$N409="MND",$Q409="EMBOQUE"),0,IF(AND($H409&lt;&gt;"",$I409="PEAD",$N409="VCA",$Q409="PREDIAL"),0,0)))))),0)</f>
        <v>0.363</v>
      </c>
      <c r="AK409" s="153" t="n">
        <f aca="false">IF(AA409&lt;&gt;"",AA409,0)</f>
        <v>2.3</v>
      </c>
      <c r="AL409" s="153" t="n">
        <f aca="false">IF(AND($N409="MND",$Q409="EMBOQUE"),$M409,IF(AND($N409="VCA",$Q409="LINEAR"),$M409,IF(AND($N409="VCA",$Q409="PREDIAL"),0,0)))</f>
        <v>27.78</v>
      </c>
      <c r="AM409" s="153" t="n">
        <f aca="false">IF(AND($N409="MND",$Q409="EMBOQUE"),$M409,IF(AND($N409="VCA",$Q409="LINEAR"),$M409,IF(AND($N409="VCA",$Q409="PREDIAL"),0,0)))</f>
        <v>27.78</v>
      </c>
      <c r="AN409" s="153" t="n">
        <f aca="false">ROUND(IF(AND($N409="VCA",$M409&lt;&gt;"",$Q409="LINEAR"),$M409/100,IF(AND($N409="MND",$M409&gt;100,$Q409="EMBOQUE"),$M409/100,0)),0)</f>
        <v>0</v>
      </c>
      <c r="AO409" s="153" t="n">
        <f aca="false">IF(AND($N409="MND",$Q409="EMBOQUE"),$AN409*2*2,IF(AND($N409="VCA",$Q409="LINEAR"),$M409*2,IF(AND($N409="VCA",$Q409="PREDIAL"),0,0)))</f>
        <v>55.56</v>
      </c>
      <c r="AP409" s="153" t="n">
        <f aca="false">IFERROR($M409*$AF409*$AG409,0)</f>
        <v>24.611691</v>
      </c>
      <c r="AQ409" s="153" t="n">
        <f aca="false">IFERROR(IF(AND($N409="VCA",$AH409&gt;0),$M409*$AG409*$AH409,0),0)</f>
        <v>1.8057</v>
      </c>
      <c r="AR409" s="153" t="n">
        <f aca="false">IFERROR(IF(AND($N409="VCA",$AJ409&gt;0),($M409*$AG409*$AJ409)-$AI409,0),0)</f>
        <v>6.46809392527363</v>
      </c>
      <c r="AS409" s="153" t="n">
        <f aca="false">IFERROR(IF(AND($N409="VCA",$AP409&gt;0),$AP409-$AI409-$AQ409-$AR409,0),0)</f>
        <v>16.2513</v>
      </c>
      <c r="AT409" s="153" t="n">
        <f aca="false">IFERROR(IF($N409="VCA",INDEX(APOIO_REDES!$A:$W,MATCH($C409&amp;$I409&amp;$H409&amp;$N409&amp;$O409,APOIO_REDES!$W:$W,0),MATCH(AT$5,APOIO_REDES!$5:$5,0)),0)*$AP409,0)</f>
        <v>0.26778248276869</v>
      </c>
      <c r="AU409" s="153" t="n">
        <f aca="false">IFERROR(IF($N409="VCA",INDEX(APOIO_REDES!$A:$W,MATCH($C409&amp;$I409&amp;$H409&amp;$N409&amp;$O409,APOIO_REDES!$W:$W,0),MATCH(AU$5,APOIO_REDES!$5:$5,0)),0)*$AP409,0)</f>
        <v>0.213843838269681</v>
      </c>
      <c r="AV409" s="153" t="n">
        <f aca="false">IFERROR(IF($N409="VCA",INDEX(APOIO_REDES!$A:$W,MATCH($C409&amp;$I409&amp;$H409&amp;$N409&amp;$O409,APOIO_REDES!$W:$W,0),MATCH(AV$5,APOIO_REDES!$5:$5,0)),0)*$AP409,0)</f>
        <v>0.0295943084765732</v>
      </c>
      <c r="AW409" s="153" t="n">
        <f aca="false">IFERROR(IF($N409="VCA",INDEX(APOIO_REDES!$A:$W,MATCH($C409&amp;$I409&amp;$H409&amp;$N409&amp;$O409,APOIO_REDES!$W:$W,0),MATCH(AW$5,APOIO_REDES!$5:$5,0)),0)*$AP409,0)</f>
        <v>16.8936554030876</v>
      </c>
      <c r="AX409" s="153" t="n">
        <f aca="false">IFERROR(IF($N409="VCA",INDEX(APOIO_REDES!$A:$W,MATCH($C409&amp;$I409&amp;$H409&amp;$N409&amp;$O409,APOIO_REDES!$W:$W,0),MATCH(AX$5,APOIO_REDES!$5:$5,0)),0)*$AP409,0)</f>
        <v>2.338033785299</v>
      </c>
      <c r="AY409" s="153" t="n">
        <f aca="false">IFERROR(IF($N409="VCA",INDEX(APOIO_REDES!$A:$W,MATCH($C409&amp;$I409&amp;$H409&amp;$N409&amp;$O409,APOIO_REDES!$W:$W,0),MATCH(AY$5,APOIO_REDES!$5:$5,0)),0)*$AP409,0)</f>
        <v>4.27687415865456</v>
      </c>
      <c r="AZ409" s="153" t="n">
        <f aca="false">IFERROR(IF($N409="VCA",INDEX(APOIO_REDES!$A:$W,MATCH($C409&amp;$I409&amp;$H409&amp;$N409&amp;$O409,APOIO_REDES!$W:$W,0),MATCH(AZ$5,APOIO_REDES!$5:$5,0)),0)*$AP409,0)</f>
        <v>0.591907023443894</v>
      </c>
      <c r="BA409" s="153" t="n">
        <f aca="false">IFERROR(IF(AND($N409="VCA",$Q409="LINEAR"),INDEX(APOIO_REDES!$A:$W,MATCH($C409&amp;$I409&amp;$H409&amp;$N409&amp;$O409,APOIO_REDES!$W:$W,0),MATCH(BA$5,APOIO_REDES!$5:$5,0)),IF(AND($N409="MND",$Q409="EMBOQUE"),INDEX(APOIO_REDES!$A:$W,MATCH($C409&amp;$I409&amp;$H409&amp;$N409&amp;$O409,APOIO_REDES!$W:$W,0),MATCH(BA$5,APOIO_REDES!$5:$5,0)),0))*$M409/10,0)</f>
        <v>2.2389979271663</v>
      </c>
      <c r="BB409" s="153" t="n">
        <f aca="false">IFERROR(IF($N409="VCA",INDEX(APOIO_REDES!$A:$W,MATCH($C409&amp;$I409&amp;$H409&amp;$N409&amp;$O409,APOIO_REDES!$W:$W,0),MATCH(BB$5,APOIO_REDES!$5:$5,0)),0)*($AI409+$AQ409+$AR409),0)</f>
        <v>8.26942747137058</v>
      </c>
      <c r="BC409" s="153" t="n">
        <f aca="false">IFERROR(IF($N409="VCA",INDEX(APOIO_REDES!$A:$W,MATCH($C409&amp;$I409&amp;$H409&amp;$N409&amp;$O409,APOIO_REDES!$W:$W,0),MATCH(BC$5,APOIO_REDES!$5:$5,0)),0)*($AI409+$AQ409+$AR409),0)</f>
        <v>0.0909635286294229</v>
      </c>
      <c r="BD409" s="153" t="n">
        <f aca="false">IF(AND($N409="VCA",$AF409&gt;=1.25,$AF409&lt;1.5),$M409*$AF409*2,0)</f>
        <v>75.72828</v>
      </c>
      <c r="BE409" s="153" t="n">
        <f aca="false">IF(AND($N409="VCA",$AF409&gt;=1.5,$AF409&lt;3),$M409*$AF409*2,0)</f>
        <v>0</v>
      </c>
      <c r="BF409" s="153" t="n">
        <f aca="false">IF(AND($N409="VCA",$AF409&gt;=3),$M409*$AF409*2,0)</f>
        <v>0</v>
      </c>
      <c r="BG409" s="153" t="n">
        <f aca="false">($BB409+$BC409)*$AK409</f>
        <v>19.2288993</v>
      </c>
      <c r="BH409" s="153" t="n">
        <f aca="false">IF(AND($M409&lt;&gt;"",$N409="VCA",$Q409="LINEAR"),($M409*2)/100,IF(AND($M409&lt;&gt;"",$N409="MND",$Q409="EMBOQUE"),($AN409*2)/100,0))</f>
        <v>0.5556</v>
      </c>
      <c r="BI409" s="153" t="n">
        <f aca="false">IF(AND($M409&lt;&gt;"",$N409="VCA",$Q409="LINEAR"),$M409,IF(AND($M409&lt;&gt;"",$N409="MND",$Q409="EMBOQUE"),$AN409*2,0))</f>
        <v>27.78</v>
      </c>
      <c r="BJ409" s="153" t="n">
        <f aca="false">IF(AND($M409&lt;&gt;"",$N409="VCA",$Q409="LINEAR"),($M409*6.8)/100,IF(AND($M409&lt;&gt;"",$N409="MND",$Q409="EMBOQUE"),($AN409*2*6.8)/100,0))</f>
        <v>1.88904</v>
      </c>
      <c r="BK409" s="153" t="n">
        <f aca="false">IF(AND($M409&lt;&gt;"",$N409="VCA",$Q409="LINEAR"),($M409*2.5)/50,IF(AND($M409&lt;&gt;"",$N409="MND",$Q409="EMBOQUE"),($AN409*2*2.5)/50,0))</f>
        <v>1.389</v>
      </c>
      <c r="BL409" s="157" t="str">
        <f aca="false">K409&amp;J409</f>
        <v>Zona04REDES</v>
      </c>
      <c r="BM409" s="152" t="s">
        <v>2969</v>
      </c>
      <c r="BN409" s="152" t="s">
        <v>1560</v>
      </c>
      <c r="BO409" s="152" t="s">
        <v>1748</v>
      </c>
      <c r="BP409" s="152" t="s">
        <v>3069</v>
      </c>
      <c r="BQ409" s="152" t="s">
        <v>3083</v>
      </c>
      <c r="BR409" s="152" t="s">
        <v>3084</v>
      </c>
      <c r="BS409" s="152" t="n">
        <v>203494.388</v>
      </c>
      <c r="BT409" s="152" t="n">
        <v>8238366.541</v>
      </c>
      <c r="BU409" s="152" t="n">
        <v>203482.404</v>
      </c>
      <c r="BV409" s="152" t="n">
        <v>8238387.127</v>
      </c>
      <c r="BW409" s="152" t="n">
        <v>-15.9161196</v>
      </c>
      <c r="BX409" s="152" t="n">
        <v>-47.7692794</v>
      </c>
      <c r="BY409" s="152" t="s">
        <v>3069</v>
      </c>
    </row>
    <row r="410" customFormat="false" ht="13.8" hidden="false" customHeight="false" outlineLevel="0" collapsed="false">
      <c r="A410" s="149" t="n">
        <f aca="false">IF(C410&lt;&gt;"",ROW(A405),"")</f>
        <v>405</v>
      </c>
      <c r="B410" s="150" t="str">
        <f aca="false">HYPERLINK("https://www.google.com/maps/dir/-15.917302,-47.760003/-15.9162187,-47.7700180/data=!4m3!4m2!3e0!5i1")</f>
        <v>https://www.google.com/maps/dir/-15.917302,-47.760003/-15.9162187,-47.7700180/data=!4m3!4m2!3e0!5i1</v>
      </c>
      <c r="C410" s="151" t="s">
        <v>117</v>
      </c>
      <c r="D410" s="152" t="s">
        <v>112</v>
      </c>
      <c r="E410" s="152" t="s">
        <v>113</v>
      </c>
      <c r="F410" s="152" t="s">
        <v>117</v>
      </c>
      <c r="G410" s="152" t="s">
        <v>114</v>
      </c>
      <c r="H410" s="152" t="n">
        <v>160</v>
      </c>
      <c r="I410" s="152" t="s">
        <v>115</v>
      </c>
      <c r="J410" s="152" t="s">
        <v>6</v>
      </c>
      <c r="K410" s="152" t="s">
        <v>2966</v>
      </c>
      <c r="L410" s="152" t="s">
        <v>120</v>
      </c>
      <c r="M410" s="153" t="n">
        <f aca="false">3.47</f>
        <v>3.47</v>
      </c>
      <c r="N410" s="152" t="s">
        <v>1548</v>
      </c>
      <c r="O410" s="152" t="s">
        <v>1549</v>
      </c>
      <c r="P410" s="152" t="s">
        <v>1550</v>
      </c>
      <c r="Q410" s="152" t="s">
        <v>1551</v>
      </c>
      <c r="R410" s="154" t="s">
        <v>3085</v>
      </c>
      <c r="S410" s="154" t="s">
        <v>1593</v>
      </c>
      <c r="T410" s="155" t="s">
        <v>1746</v>
      </c>
      <c r="U410" s="152" t="str">
        <f aca="false">RIGHT(T410,7)</f>
        <v>003/037</v>
      </c>
      <c r="V410" s="152" t="s">
        <v>1555</v>
      </c>
      <c r="W410" s="156" t="n">
        <v>45882</v>
      </c>
      <c r="X410" s="152" t="s">
        <v>1594</v>
      </c>
      <c r="Y410" s="152" t="s">
        <v>3076</v>
      </c>
      <c r="Z410" s="152" t="s">
        <v>1557</v>
      </c>
      <c r="AA410" s="153" t="n">
        <v>2.8</v>
      </c>
      <c r="AB410" s="151" t="s">
        <v>3086</v>
      </c>
      <c r="AC410" s="151" t="s">
        <v>505</v>
      </c>
      <c r="AD410" s="151" t="str">
        <f aca="false">CONCATENATE($C410,$I410,$H410,$N410,$J410,$K410)</f>
        <v>TUBO PEADPEAD160VCAREDESZona04</v>
      </c>
      <c r="AE410" s="153" t="n">
        <f aca="false">IFERROR(INDEX(APOIO_REDES!$A:$W,MATCH($C410&amp;$I410&amp;$H410&amp;$N410&amp;$O410,APOIO_REDES!$W:$W,0),MATCH(AE$5,APOIO_REDES!$5:$5,0)),0)</f>
        <v>1.2</v>
      </c>
      <c r="AF410" s="153" t="n">
        <f aca="false">IFERROR(INDEX(APOIO_REDES!$A:$W,MATCH($C410&amp;$I410&amp;$H410&amp;$N410&amp;$O410,APOIO_REDES!$W:$W,0),MATCH(AF$5,APOIO_REDES!$5:$5,0)),0)</f>
        <v>1.46</v>
      </c>
      <c r="AG410" s="153" t="n">
        <f aca="false">IFERROR(INDEX(APOIO_REDES!$A:$W,MATCH($C410&amp;$I410&amp;$H410&amp;$N410&amp;$O410,APOIO_REDES!$W:$W,0),MATCH(AG$5,APOIO_REDES!$5:$5,0)),0)</f>
        <v>0.75</v>
      </c>
      <c r="AH410" s="153" t="n">
        <f aca="false">IFERROR(INDEX(APOIO_REDES!$A:$W,MATCH($C410&amp;$I410&amp;$H410&amp;$N410&amp;$O410,APOIO_REDES!$W:$W,0),MATCH(AH$5,APOIO_REDES!$5:$5,0)),0)</f>
        <v>0.1</v>
      </c>
      <c r="AI410" s="153" t="n">
        <f aca="false">IFERROR(IF($H410&lt;&gt;"",(((($H410/1000)/2)^2)*PI()*$M410),0),0)</f>
        <v>0.0697684896509221</v>
      </c>
      <c r="AJ410" s="153" t="n">
        <f aca="false">IFERROR(IF(AND($H410&lt;&gt;"",$I410="FoFo",OR($N410="MND",$N410="VCA"),$Q410="LINEAR"),0,IF(AND($H410&lt;&gt;"",$I410="PEAD",$N410="VCA",$Q410="LINEAR"),($H410/1000)+0.3,IF(AND($H410&lt;&gt;"",$I410="PEAD",$N410="MND",$Q410="EMBOQUE"),0,IF(AND($H410&lt;&gt;"",$I410="PVC",$N410="VCA",$Q410="LINEAR"),($H410/1000)+0.2,IF(AND($H410&lt;&gt;"",$I410="PVC",$N410="MND",$Q410="EMBOQUE"),0,IF(AND($H410&lt;&gt;"",$I410="PEAD",$N410="VCA",$Q410="PREDIAL"),0,0)))))),0)</f>
        <v>0.46</v>
      </c>
      <c r="AK410" s="153" t="n">
        <f aca="false">IF(AA410&lt;&gt;"",AA410,0)</f>
        <v>2.8</v>
      </c>
      <c r="AL410" s="153" t="n">
        <f aca="false">IF(AND($N410="MND",$Q410="EMBOQUE"),$M410,IF(AND($N410="VCA",$Q410="LINEAR"),$M410,IF(AND($N410="VCA",$Q410="PREDIAL"),0,0)))</f>
        <v>3.47</v>
      </c>
      <c r="AM410" s="153" t="n">
        <f aca="false">IF(AND($N410="MND",$Q410="EMBOQUE"),$M410,IF(AND($N410="VCA",$Q410="LINEAR"),$M410,IF(AND($N410="VCA",$Q410="PREDIAL"),0,0)))</f>
        <v>3.47</v>
      </c>
      <c r="AN410" s="153" t="n">
        <f aca="false">ROUND(IF(AND($N410="VCA",$M410&lt;&gt;"",$Q410="LINEAR"),$M410/100,IF(AND($N410="MND",$M410&gt;100,$Q410="EMBOQUE"),$M410/100,0)),0)</f>
        <v>0</v>
      </c>
      <c r="AO410" s="153" t="n">
        <f aca="false">IF(AND($N410="MND",$Q410="EMBOQUE"),$AN410*2*2,IF(AND($N410="VCA",$Q410="LINEAR"),$M410*2,IF(AND($N410="VCA",$Q410="PREDIAL"),0,0)))</f>
        <v>6.94</v>
      </c>
      <c r="AP410" s="153" t="n">
        <f aca="false">IFERROR($M410*$AF410*$AG410,0)</f>
        <v>3.79965</v>
      </c>
      <c r="AQ410" s="153" t="n">
        <f aca="false">IFERROR(IF(AND($N410="VCA",$AH410&gt;0),$M410*$AG410*$AH410,0),0)</f>
        <v>0.26025</v>
      </c>
      <c r="AR410" s="153" t="n">
        <f aca="false">IFERROR(IF(AND($N410="VCA",$AJ410&gt;0),($M410*$AG410*$AJ410)-$AI410,0),0)</f>
        <v>1.12738151034908</v>
      </c>
      <c r="AS410" s="153" t="n">
        <f aca="false">IFERROR(IF(AND($N410="VCA",$AP410&gt;0),$AP410-$AI410-$AQ410-$AR410,0),0)</f>
        <v>2.34225</v>
      </c>
      <c r="AT410" s="153" t="n">
        <f aca="false">IFERROR(IF($N410="VCA",INDEX(APOIO_REDES!$A:$W,MATCH($C410&amp;$I410&amp;$H410&amp;$N410&amp;$O410,APOIO_REDES!$W:$W,0),MATCH(AT$5,APOIO_REDES!$5:$5,0)),0)*$AP410,0)</f>
        <v>0.0413413166389929</v>
      </c>
      <c r="AU410" s="153" t="n">
        <f aca="false">IFERROR(IF($N410="VCA",INDEX(APOIO_REDES!$A:$W,MATCH($C410&amp;$I410&amp;$H410&amp;$N410&amp;$O410,APOIO_REDES!$W:$W,0),MATCH(AU$5,APOIO_REDES!$5:$5,0)),0)*$AP410,0)</f>
        <v>0.0330140558030487</v>
      </c>
      <c r="AV410" s="153" t="n">
        <f aca="false">IFERROR(IF($N410="VCA",INDEX(APOIO_REDES!$A:$W,MATCH($C410&amp;$I410&amp;$H410&amp;$N410&amp;$O410,APOIO_REDES!$W:$W,0),MATCH(AV$5,APOIO_REDES!$5:$5,0)),0)*$AP410,0)</f>
        <v>0.00456888615264231</v>
      </c>
      <c r="AW410" s="153" t="n">
        <f aca="false">IFERROR(IF($N410="VCA",INDEX(APOIO_REDES!$A:$W,MATCH($C410&amp;$I410&amp;$H410&amp;$N410&amp;$O410,APOIO_REDES!$W:$W,0),MATCH(AW$5,APOIO_REDES!$5:$5,0)),0)*$AP410,0)</f>
        <v>2.60810920112486</v>
      </c>
      <c r="AX410" s="153" t="n">
        <f aca="false">IFERROR(IF($N410="VCA",INDEX(APOIO_REDES!$A:$W,MATCH($C410&amp;$I410&amp;$H410&amp;$N410&amp;$O410,APOIO_REDES!$W:$W,0),MATCH(AX$5,APOIO_REDES!$5:$5,0)),0)*$AP410,0)</f>
        <v>0.360954884095991</v>
      </c>
      <c r="AY410" s="153" t="n">
        <f aca="false">IFERROR(IF($N410="VCA",INDEX(APOIO_REDES!$A:$W,MATCH($C410&amp;$I410&amp;$H410&amp;$N410&amp;$O410,APOIO_REDES!$W:$W,0),MATCH(AY$5,APOIO_REDES!$5:$5,0)),0)*$AP410,0)</f>
        <v>0.66028071362231</v>
      </c>
      <c r="AZ410" s="153" t="n">
        <f aca="false">IFERROR(IF($N410="VCA",INDEX(APOIO_REDES!$A:$W,MATCH($C410&amp;$I410&amp;$H410&amp;$N410&amp;$O410,APOIO_REDES!$W:$W,0),MATCH(AZ$5,APOIO_REDES!$5:$5,0)),0)*$AP410,0)</f>
        <v>0.0913809425621584</v>
      </c>
      <c r="BA410" s="153" t="n">
        <f aca="false">IFERROR(IF(AND($N410="VCA",$Q410="LINEAR"),INDEX(APOIO_REDES!$A:$W,MATCH($C410&amp;$I410&amp;$H410&amp;$N410&amp;$O410,APOIO_REDES!$W:$W,0),MATCH(BA$5,APOIO_REDES!$5:$5,0)),IF(AND($N410="MND",$Q410="EMBOQUE"),INDEX(APOIO_REDES!$A:$W,MATCH($C410&amp;$I410&amp;$H410&amp;$N410&amp;$O410,APOIO_REDES!$W:$W,0),MATCH(BA$5,APOIO_REDES!$5:$5,0)),0))*$M410/10,0)</f>
        <v>0.279673247201838</v>
      </c>
      <c r="BB410" s="153" t="n">
        <f aca="false">IFERROR(IF($N410="VCA",INDEX(APOIO_REDES!$A:$W,MATCH($C410&amp;$I410&amp;$H410&amp;$N410&amp;$O410,APOIO_REDES!$W:$W,0),MATCH(BB$5,APOIO_REDES!$5:$5,0)),0)*($AI410+$AQ410+$AR410),0)</f>
        <v>1.44154305663162</v>
      </c>
      <c r="BC410" s="153" t="n">
        <f aca="false">IFERROR(IF($N410="VCA",INDEX(APOIO_REDES!$A:$W,MATCH($C410&amp;$I410&amp;$H410&amp;$N410&amp;$O410,APOIO_REDES!$W:$W,0),MATCH(BC$5,APOIO_REDES!$5:$5,0)),0)*($AI410+$AQ410+$AR410),0)</f>
        <v>0.0158569433683809</v>
      </c>
      <c r="BD410" s="153" t="n">
        <f aca="false">IF(AND($N410="VCA",$AF410&gt;=1.25,$AF410&lt;1.5),$M410*$AF410*2,0)</f>
        <v>10.1324</v>
      </c>
      <c r="BE410" s="153" t="n">
        <f aca="false">IF(AND($N410="VCA",$AF410&gt;=1.5,$AF410&lt;3),$M410*$AF410*2,0)</f>
        <v>0</v>
      </c>
      <c r="BF410" s="153" t="n">
        <f aca="false">IF(AND($N410="VCA",$AF410&gt;=3),$M410*$AF410*2,0)</f>
        <v>0</v>
      </c>
      <c r="BG410" s="153" t="n">
        <f aca="false">($BB410+$BC410)*$AK410</f>
        <v>4.08072</v>
      </c>
      <c r="BH410" s="153" t="n">
        <f aca="false">IF(AND($M410&lt;&gt;"",$N410="VCA",$Q410="LINEAR"),($M410*2)/100,IF(AND($M410&lt;&gt;"",$N410="MND",$Q410="EMBOQUE"),($AN410*2)/100,0))</f>
        <v>0.0694</v>
      </c>
      <c r="BI410" s="153" t="n">
        <f aca="false">IF(AND($M410&lt;&gt;"",$N410="VCA",$Q410="LINEAR"),$M410,IF(AND($M410&lt;&gt;"",$N410="MND",$Q410="EMBOQUE"),$AN410*2,0))</f>
        <v>3.47</v>
      </c>
      <c r="BJ410" s="153" t="n">
        <f aca="false">IF(AND($M410&lt;&gt;"",$N410="VCA",$Q410="LINEAR"),($M410*6.8)/100,IF(AND($M410&lt;&gt;"",$N410="MND",$Q410="EMBOQUE"),($AN410*2*6.8)/100,0))</f>
        <v>0.23596</v>
      </c>
      <c r="BK410" s="153" t="n">
        <f aca="false">IF(AND($M410&lt;&gt;"",$N410="VCA",$Q410="LINEAR"),($M410*2.5)/50,IF(AND($M410&lt;&gt;"",$N410="MND",$Q410="EMBOQUE"),($AN410*2*2.5)/50,0))</f>
        <v>0.1735</v>
      </c>
      <c r="BL410" s="157" t="str">
        <f aca="false">K410&amp;J410</f>
        <v>Zona04REDES</v>
      </c>
      <c r="BM410" s="152" t="s">
        <v>2969</v>
      </c>
      <c r="BN410" s="152" t="s">
        <v>1560</v>
      </c>
      <c r="BO410" s="152" t="s">
        <v>1748</v>
      </c>
      <c r="BP410" s="152" t="s">
        <v>3078</v>
      </c>
      <c r="BQ410" s="152" t="s">
        <v>3087</v>
      </c>
      <c r="BR410" s="152" t="s">
        <v>3079</v>
      </c>
      <c r="BS410" s="152" t="n">
        <v>203409.401</v>
      </c>
      <c r="BT410" s="152" t="n">
        <v>8238364.799</v>
      </c>
      <c r="BU410" s="152" t="n">
        <v>203407.757</v>
      </c>
      <c r="BV410" s="152" t="n">
        <v>8238361.744</v>
      </c>
      <c r="BW410" s="152" t="n">
        <v>-15.9162325</v>
      </c>
      <c r="BX410" s="152" t="n">
        <v>-47.7700259</v>
      </c>
      <c r="BY410" s="152" t="s">
        <v>3078</v>
      </c>
    </row>
    <row r="411" customFormat="false" ht="13.8" hidden="false" customHeight="false" outlineLevel="0" collapsed="false">
      <c r="A411" s="149" t="n">
        <f aca="false">IF(C411&lt;&gt;"",ROW(A406),"")</f>
        <v>406</v>
      </c>
      <c r="B411" s="150" t="str">
        <f aca="false">HYPERLINK("https://www.google.com/maps/dir/-15.917302,-47.760003/-15.9162366,-47.7700540/data=!4m3!4m2!3e0!5i0")</f>
        <v>https://www.google.com/maps/dir/-15.917302,-47.760003/-15.9162366,-47.7700540/data=!4m3!4m2!3e0!5i0</v>
      </c>
      <c r="C411" s="151" t="s">
        <v>117</v>
      </c>
      <c r="D411" s="152" t="s">
        <v>112</v>
      </c>
      <c r="E411" s="152" t="s">
        <v>113</v>
      </c>
      <c r="F411" s="152" t="s">
        <v>117</v>
      </c>
      <c r="G411" s="152" t="s">
        <v>114</v>
      </c>
      <c r="H411" s="152" t="n">
        <v>160</v>
      </c>
      <c r="I411" s="152" t="s">
        <v>115</v>
      </c>
      <c r="J411" s="152" t="s">
        <v>6</v>
      </c>
      <c r="K411" s="152" t="s">
        <v>2966</v>
      </c>
      <c r="L411" s="152" t="s">
        <v>120</v>
      </c>
      <c r="M411" s="153" t="n">
        <f aca="false">2.42</f>
        <v>2.42</v>
      </c>
      <c r="N411" s="152" t="s">
        <v>1548</v>
      </c>
      <c r="O411" s="152" t="s">
        <v>1549</v>
      </c>
      <c r="P411" s="152" t="s">
        <v>1550</v>
      </c>
      <c r="Q411" s="152" t="s">
        <v>1551</v>
      </c>
      <c r="R411" s="154" t="s">
        <v>3088</v>
      </c>
      <c r="S411" s="154" t="s">
        <v>1593</v>
      </c>
      <c r="T411" s="155" t="s">
        <v>1746</v>
      </c>
      <c r="U411" s="152" t="str">
        <f aca="false">RIGHT(T411,7)</f>
        <v>003/037</v>
      </c>
      <c r="V411" s="152" t="s">
        <v>1555</v>
      </c>
      <c r="W411" s="156" t="n">
        <v>45882</v>
      </c>
      <c r="X411" s="152" t="s">
        <v>1594</v>
      </c>
      <c r="Y411" s="152" t="s">
        <v>3076</v>
      </c>
      <c r="Z411" s="152" t="s">
        <v>1557</v>
      </c>
      <c r="AA411" s="153" t="n">
        <v>2.2</v>
      </c>
      <c r="AB411" s="151" t="s">
        <v>3089</v>
      </c>
      <c r="AC411" s="151" t="s">
        <v>505</v>
      </c>
      <c r="AD411" s="151" t="str">
        <f aca="false">CONCATENATE($C411,$I411,$H411,$N411,$J411,$K411)</f>
        <v>TUBO PEADPEAD160VCAREDESZona04</v>
      </c>
      <c r="AE411" s="153" t="n">
        <f aca="false">IFERROR(INDEX(APOIO_REDES!$A:$W,MATCH($C411&amp;$I411&amp;$H411&amp;$N411&amp;$O411,APOIO_REDES!$W:$W,0),MATCH(AE$5,APOIO_REDES!$5:$5,0)),0)</f>
        <v>1.2</v>
      </c>
      <c r="AF411" s="153" t="n">
        <f aca="false">IFERROR(INDEX(APOIO_REDES!$A:$W,MATCH($C411&amp;$I411&amp;$H411&amp;$N411&amp;$O411,APOIO_REDES!$W:$W,0),MATCH(AF$5,APOIO_REDES!$5:$5,0)),0)</f>
        <v>1.46</v>
      </c>
      <c r="AG411" s="153" t="n">
        <f aca="false">IFERROR(INDEX(APOIO_REDES!$A:$W,MATCH($C411&amp;$I411&amp;$H411&amp;$N411&amp;$O411,APOIO_REDES!$W:$W,0),MATCH(AG$5,APOIO_REDES!$5:$5,0)),0)</f>
        <v>0.75</v>
      </c>
      <c r="AH411" s="153" t="n">
        <f aca="false">IFERROR(INDEX(APOIO_REDES!$A:$W,MATCH($C411&amp;$I411&amp;$H411&amp;$N411&amp;$O411,APOIO_REDES!$W:$W,0),MATCH(AH$5,APOIO_REDES!$5:$5,0)),0)</f>
        <v>0.1</v>
      </c>
      <c r="AI411" s="153" t="n">
        <f aca="false">IFERROR(IF($H411&lt;&gt;"",(((($H411/1000)/2)^2)*PI()*$M411),0),0)</f>
        <v>0.0486569870187987</v>
      </c>
      <c r="AJ411" s="153" t="n">
        <f aca="false">IFERROR(IF(AND($H411&lt;&gt;"",$I411="FoFo",OR($N411="MND",$N411="VCA"),$Q411="LINEAR"),0,IF(AND($H411&lt;&gt;"",$I411="PEAD",$N411="VCA",$Q411="LINEAR"),($H411/1000)+0.3,IF(AND($H411&lt;&gt;"",$I411="PEAD",$N411="MND",$Q411="EMBOQUE"),0,IF(AND($H411&lt;&gt;"",$I411="PVC",$N411="VCA",$Q411="LINEAR"),($H411/1000)+0.2,IF(AND($H411&lt;&gt;"",$I411="PVC",$N411="MND",$Q411="EMBOQUE"),0,IF(AND($H411&lt;&gt;"",$I411="PEAD",$N411="VCA",$Q411="PREDIAL"),0,0)))))),0)</f>
        <v>0.46</v>
      </c>
      <c r="AK411" s="153" t="n">
        <f aca="false">IF(AA411&lt;&gt;"",AA411,0)</f>
        <v>2.2</v>
      </c>
      <c r="AL411" s="153" t="n">
        <f aca="false">IF(AND($N411="MND",$Q411="EMBOQUE"),$M411,IF(AND($N411="VCA",$Q411="LINEAR"),$M411,IF(AND($N411="VCA",$Q411="PREDIAL"),0,0)))</f>
        <v>2.42</v>
      </c>
      <c r="AM411" s="153" t="n">
        <f aca="false">IF(AND($N411="MND",$Q411="EMBOQUE"),$M411,IF(AND($N411="VCA",$Q411="LINEAR"),$M411,IF(AND($N411="VCA",$Q411="PREDIAL"),0,0)))</f>
        <v>2.42</v>
      </c>
      <c r="AN411" s="153" t="n">
        <f aca="false">ROUND(IF(AND($N411="VCA",$M411&lt;&gt;"",$Q411="LINEAR"),$M411/100,IF(AND($N411="MND",$M411&gt;100,$Q411="EMBOQUE"),$M411/100,0)),0)</f>
        <v>0</v>
      </c>
      <c r="AO411" s="153" t="n">
        <f aca="false">IF(AND($N411="MND",$Q411="EMBOQUE"),$AN411*2*2,IF(AND($N411="VCA",$Q411="LINEAR"),$M411*2,IF(AND($N411="VCA",$Q411="PREDIAL"),0,0)))</f>
        <v>4.84</v>
      </c>
      <c r="AP411" s="153" t="n">
        <f aca="false">IFERROR($M411*$AF411*$AG411,0)</f>
        <v>2.6499</v>
      </c>
      <c r="AQ411" s="153" t="n">
        <f aca="false">IFERROR(IF(AND($N411="VCA",$AH411&gt;0),$M411*$AG411*$AH411,0),0)</f>
        <v>0.1815</v>
      </c>
      <c r="AR411" s="153" t="n">
        <f aca="false">IFERROR(IF(AND($N411="VCA",$AJ411&gt;0),($M411*$AG411*$AJ411)-$AI411,0),0)</f>
        <v>0.786243012981201</v>
      </c>
      <c r="AS411" s="153" t="n">
        <f aca="false">IFERROR(IF(AND($N411="VCA",$AP411&gt;0),$AP411-$AI411-$AQ411-$AR411,0),0)</f>
        <v>1.6335</v>
      </c>
      <c r="AT411" s="153" t="n">
        <f aca="false">IFERROR(IF($N411="VCA",INDEX(APOIO_REDES!$A:$W,MATCH($C411&amp;$I411&amp;$H411&amp;$N411&amp;$O411,APOIO_REDES!$W:$W,0),MATCH(AT$5,APOIO_REDES!$5:$5,0)),0)*$AP411,0)</f>
        <v>0.0288316963303639</v>
      </c>
      <c r="AU411" s="153" t="n">
        <f aca="false">IFERROR(IF($N411="VCA",INDEX(APOIO_REDES!$A:$W,MATCH($C411&amp;$I411&amp;$H411&amp;$N411&amp;$O411,APOIO_REDES!$W:$W,0),MATCH(AU$5,APOIO_REDES!$5:$5,0)),0)*$AP411,0)</f>
        <v>0.0230242118280628</v>
      </c>
      <c r="AV411" s="153" t="n">
        <f aca="false">IFERROR(IF($N411="VCA",INDEX(APOIO_REDES!$A:$W,MATCH($C411&amp;$I411&amp;$H411&amp;$N411&amp;$O411,APOIO_REDES!$W:$W,0),MATCH(AV$5,APOIO_REDES!$5:$5,0)),0)*$AP411,0)</f>
        <v>0.00318637016985429</v>
      </c>
      <c r="AW411" s="153" t="n">
        <f aca="false">IFERROR(IF($N411="VCA",INDEX(APOIO_REDES!$A:$W,MATCH($C411&amp;$I411&amp;$H411&amp;$N411&amp;$O411,APOIO_REDES!$W:$W,0),MATCH(AW$5,APOIO_REDES!$5:$5,0)),0)*$AP411,0)</f>
        <v>1.81891189242713</v>
      </c>
      <c r="AX411" s="153" t="n">
        <f aca="false">IFERROR(IF($N411="VCA",INDEX(APOIO_REDES!$A:$W,MATCH($C411&amp;$I411&amp;$H411&amp;$N411&amp;$O411,APOIO_REDES!$W:$W,0),MATCH(AX$5,APOIO_REDES!$5:$5,0)),0)*$AP411,0)</f>
        <v>0.251732224643314</v>
      </c>
      <c r="AY411" s="153" t="n">
        <f aca="false">IFERROR(IF($N411="VCA",INDEX(APOIO_REDES!$A:$W,MATCH($C411&amp;$I411&amp;$H411&amp;$N411&amp;$O411,APOIO_REDES!$W:$W,0),MATCH(AY$5,APOIO_REDES!$5:$5,0)),0)*$AP411,0)</f>
        <v>0.46048395589798</v>
      </c>
      <c r="AZ411" s="153" t="n">
        <f aca="false">IFERROR(IF($N411="VCA",INDEX(APOIO_REDES!$A:$W,MATCH($C411&amp;$I411&amp;$H411&amp;$N411&amp;$O411,APOIO_REDES!$W:$W,0),MATCH(AZ$5,APOIO_REDES!$5:$5,0)),0)*$AP411,0)</f>
        <v>0.063729648703292</v>
      </c>
      <c r="BA411" s="153" t="n">
        <f aca="false">IFERROR(IF(AND($N411="VCA",$Q411="LINEAR"),INDEX(APOIO_REDES!$A:$W,MATCH($C411&amp;$I411&amp;$H411&amp;$N411&amp;$O411,APOIO_REDES!$W:$W,0),MATCH(BA$5,APOIO_REDES!$5:$5,0)),IF(AND($N411="MND",$Q411="EMBOQUE"),INDEX(APOIO_REDES!$A:$W,MATCH($C411&amp;$I411&amp;$H411&amp;$N411&amp;$O411,APOIO_REDES!$W:$W,0),MATCH(BA$5,APOIO_REDES!$5:$5,0)),0))*$M411/10,0)</f>
        <v>0.195045895743068</v>
      </c>
      <c r="BB411" s="153" t="n">
        <f aca="false">IFERROR(IF($N411="VCA",INDEX(APOIO_REDES!$A:$W,MATCH($C411&amp;$I411&amp;$H411&amp;$N411&amp;$O411,APOIO_REDES!$W:$W,0),MATCH(BB$5,APOIO_REDES!$5:$5,0)),0)*($AI411+$AQ411+$AR411),0)</f>
        <v>1.00534126716096</v>
      </c>
      <c r="BC411" s="153" t="n">
        <f aca="false">IFERROR(IF($N411="VCA",INDEX(APOIO_REDES!$A:$W,MATCH($C411&amp;$I411&amp;$H411&amp;$N411&amp;$O411,APOIO_REDES!$W:$W,0),MATCH(BC$5,APOIO_REDES!$5:$5,0)),0)*($AI411+$AQ411+$AR411),0)</f>
        <v>0.0110587328390437</v>
      </c>
      <c r="BD411" s="153" t="n">
        <f aca="false">IF(AND($N411="VCA",$AF411&gt;=1.25,$AF411&lt;1.5),$M411*$AF411*2,0)</f>
        <v>7.0664</v>
      </c>
      <c r="BE411" s="153" t="n">
        <f aca="false">IF(AND($N411="VCA",$AF411&gt;=1.5,$AF411&lt;3),$M411*$AF411*2,0)</f>
        <v>0</v>
      </c>
      <c r="BF411" s="153" t="n">
        <f aca="false">IF(AND($N411="VCA",$AF411&gt;=3),$M411*$AF411*2,0)</f>
        <v>0</v>
      </c>
      <c r="BG411" s="153" t="n">
        <f aca="false">($BB411+$BC411)*$AK411</f>
        <v>2.23608</v>
      </c>
      <c r="BH411" s="153" t="n">
        <f aca="false">IF(AND($M411&lt;&gt;"",$N411="VCA",$Q411="LINEAR"),($M411*2)/100,IF(AND($M411&lt;&gt;"",$N411="MND",$Q411="EMBOQUE"),($AN411*2)/100,0))</f>
        <v>0.0484</v>
      </c>
      <c r="BI411" s="153" t="n">
        <f aca="false">IF(AND($M411&lt;&gt;"",$N411="VCA",$Q411="LINEAR"),$M411,IF(AND($M411&lt;&gt;"",$N411="MND",$Q411="EMBOQUE"),$AN411*2,0))</f>
        <v>2.42</v>
      </c>
      <c r="BJ411" s="153" t="n">
        <f aca="false">IF(AND($M411&lt;&gt;"",$N411="VCA",$Q411="LINEAR"),($M411*6.8)/100,IF(AND($M411&lt;&gt;"",$N411="MND",$Q411="EMBOQUE"),($AN411*2*6.8)/100,0))</f>
        <v>0.16456</v>
      </c>
      <c r="BK411" s="153" t="n">
        <f aca="false">IF(AND($M411&lt;&gt;"",$N411="VCA",$Q411="LINEAR"),($M411*2.5)/50,IF(AND($M411&lt;&gt;"",$N411="MND",$Q411="EMBOQUE"),($AN411*2*2.5)/50,0))</f>
        <v>0.121</v>
      </c>
      <c r="BL411" s="157" t="str">
        <f aca="false">K411&amp;J411</f>
        <v>Zona04REDES</v>
      </c>
      <c r="BM411" s="152" t="s">
        <v>2969</v>
      </c>
      <c r="BN411" s="152" t="s">
        <v>1560</v>
      </c>
      <c r="BO411" s="152" t="s">
        <v>1748</v>
      </c>
      <c r="BP411" s="152" t="s">
        <v>3090</v>
      </c>
      <c r="BQ411" s="152" t="s">
        <v>3087</v>
      </c>
      <c r="BR411" s="152" t="s">
        <v>3091</v>
      </c>
      <c r="BS411" s="152" t="n">
        <v>203405.57</v>
      </c>
      <c r="BT411" s="152" t="n">
        <v>8238362.769</v>
      </c>
      <c r="BU411" s="152" t="n">
        <v>203407.757</v>
      </c>
      <c r="BV411" s="152" t="n">
        <v>8238361.744</v>
      </c>
      <c r="BW411" s="152" t="n">
        <v>-15.9162414</v>
      </c>
      <c r="BX411" s="152" t="n">
        <v>-47.7700439</v>
      </c>
      <c r="BY411" s="152" t="s">
        <v>3090</v>
      </c>
    </row>
    <row r="412" customFormat="false" ht="13.8" hidden="false" customHeight="false" outlineLevel="0" collapsed="false">
      <c r="A412" s="149" t="n">
        <f aca="false">IF(C412&lt;&gt;"",ROW(A407),"")</f>
        <v>407</v>
      </c>
      <c r="B412" s="150" t="str">
        <f aca="false">HYPERLINK("https://www.google.com/maps/dir/-15.917302,-47.760003/-15.9163035,-47.7691748/data=!4m3!4m2!3e0!5i0")</f>
        <v>https://www.google.com/maps/dir/-15.917302,-47.760003/-15.9163035,-47.7691748/data=!4m3!4m2!3e0!5i0</v>
      </c>
      <c r="C412" s="151" t="s">
        <v>117</v>
      </c>
      <c r="D412" s="152" t="s">
        <v>112</v>
      </c>
      <c r="E412" s="152" t="s">
        <v>113</v>
      </c>
      <c r="F412" s="152" t="s">
        <v>117</v>
      </c>
      <c r="G412" s="152" t="s">
        <v>782</v>
      </c>
      <c r="H412" s="152" t="n">
        <v>63</v>
      </c>
      <c r="I412" s="152" t="s">
        <v>115</v>
      </c>
      <c r="J412" s="152" t="s">
        <v>6</v>
      </c>
      <c r="K412" s="152" t="s">
        <v>2966</v>
      </c>
      <c r="L412" s="152" t="s">
        <v>120</v>
      </c>
      <c r="M412" s="153" t="n">
        <f aca="false">11.34+4.04</f>
        <v>15.38</v>
      </c>
      <c r="N412" s="152" t="s">
        <v>1548</v>
      </c>
      <c r="O412" s="152" t="s">
        <v>1549</v>
      </c>
      <c r="P412" s="152" t="s">
        <v>1550</v>
      </c>
      <c r="Q412" s="152" t="s">
        <v>1551</v>
      </c>
      <c r="R412" s="154" t="s">
        <v>3092</v>
      </c>
      <c r="S412" s="154" t="s">
        <v>1553</v>
      </c>
      <c r="T412" s="155" t="s">
        <v>1746</v>
      </c>
      <c r="U412" s="152" t="str">
        <f aca="false">RIGHT(T412,7)</f>
        <v>003/037</v>
      </c>
      <c r="V412" s="152" t="s">
        <v>1555</v>
      </c>
      <c r="W412" s="156" t="n">
        <v>45882</v>
      </c>
      <c r="X412" s="152" t="s">
        <v>1594</v>
      </c>
      <c r="Y412" s="152" t="s">
        <v>3081</v>
      </c>
      <c r="Z412" s="152" t="s">
        <v>1557</v>
      </c>
      <c r="AA412" s="153" t="n">
        <v>2.3</v>
      </c>
      <c r="AB412" s="151" t="s">
        <v>3093</v>
      </c>
      <c r="AC412" s="151" t="s">
        <v>186</v>
      </c>
      <c r="AD412" s="151" t="str">
        <f aca="false">CONCATENATE($C412,$I412,$H412,$N412,$J412,$K412)</f>
        <v>TUBO PEADPEAD63VCAREDESZona04</v>
      </c>
      <c r="AE412" s="153" t="n">
        <f aca="false">IFERROR(INDEX(APOIO_REDES!$A:$W,MATCH($C412&amp;$I412&amp;$H412&amp;$N412&amp;$O412,APOIO_REDES!$W:$W,0),MATCH(AE$5,APOIO_REDES!$5:$5,0)),0)</f>
        <v>1.2</v>
      </c>
      <c r="AF412" s="153" t="n">
        <f aca="false">IFERROR(INDEX(APOIO_REDES!$A:$W,MATCH($C412&amp;$I412&amp;$H412&amp;$N412&amp;$O412,APOIO_REDES!$W:$W,0),MATCH(AF$5,APOIO_REDES!$5:$5,0)),0)</f>
        <v>1.363</v>
      </c>
      <c r="AG412" s="153" t="n">
        <f aca="false">IFERROR(INDEX(APOIO_REDES!$A:$W,MATCH($C412&amp;$I412&amp;$H412&amp;$N412&amp;$O412,APOIO_REDES!$W:$W,0),MATCH(AG$5,APOIO_REDES!$5:$5,0)),0)</f>
        <v>0.65</v>
      </c>
      <c r="AH412" s="153" t="n">
        <f aca="false">IFERROR(INDEX(APOIO_REDES!$A:$W,MATCH($C412&amp;$I412&amp;$H412&amp;$N412&amp;$O412,APOIO_REDES!$W:$W,0),MATCH(AH$5,APOIO_REDES!$5:$5,0)),0)</f>
        <v>0.1</v>
      </c>
      <c r="AI412" s="153" t="n">
        <f aca="false">IFERROR(IF($H412&lt;&gt;"",(((($H412/1000)/2)^2)*PI()*$M412),0),0)</f>
        <v>0.0479432328758664</v>
      </c>
      <c r="AJ412" s="153" t="n">
        <f aca="false">IFERROR(IF(AND($H412&lt;&gt;"",$I412="FoFo",OR($N412="MND",$N412="VCA"),$Q412="LINEAR"),0,IF(AND($H412&lt;&gt;"",$I412="PEAD",$N412="VCA",$Q412="LINEAR"),($H412/1000)+0.3,IF(AND($H412&lt;&gt;"",$I412="PEAD",$N412="MND",$Q412="EMBOQUE"),0,IF(AND($H412&lt;&gt;"",$I412="PVC",$N412="VCA",$Q412="LINEAR"),($H412/1000)+0.2,IF(AND($H412&lt;&gt;"",$I412="PVC",$N412="MND",$Q412="EMBOQUE"),0,IF(AND($H412&lt;&gt;"",$I412="PEAD",$N412="VCA",$Q412="PREDIAL"),0,0)))))),0)</f>
        <v>0.363</v>
      </c>
      <c r="AK412" s="153" t="n">
        <f aca="false">IF(AA412&lt;&gt;"",AA412,0)</f>
        <v>2.3</v>
      </c>
      <c r="AL412" s="153" t="n">
        <f aca="false">IF(AND($N412="MND",$Q412="EMBOQUE"),$M412,IF(AND($N412="VCA",$Q412="LINEAR"),$M412,IF(AND($N412="VCA",$Q412="PREDIAL"),0,0)))</f>
        <v>15.38</v>
      </c>
      <c r="AM412" s="153" t="n">
        <f aca="false">IF(AND($N412="MND",$Q412="EMBOQUE"),$M412,IF(AND($N412="VCA",$Q412="LINEAR"),$M412,IF(AND($N412="VCA",$Q412="PREDIAL"),0,0)))</f>
        <v>15.38</v>
      </c>
      <c r="AN412" s="153" t="n">
        <f aca="false">ROUND(IF(AND($N412="VCA",$M412&lt;&gt;"",$Q412="LINEAR"),$M412/100,IF(AND($N412="MND",$M412&gt;100,$Q412="EMBOQUE"),$M412/100,0)),0)</f>
        <v>0</v>
      </c>
      <c r="AO412" s="153" t="n">
        <f aca="false">IF(AND($N412="MND",$Q412="EMBOQUE"),$AN412*2*2,IF(AND($N412="VCA",$Q412="LINEAR"),$M412*2,IF(AND($N412="VCA",$Q412="PREDIAL"),0,0)))</f>
        <v>30.76</v>
      </c>
      <c r="AP412" s="153" t="n">
        <f aca="false">IFERROR($M412*$AF412*$AG412,0)</f>
        <v>13.625911</v>
      </c>
      <c r="AQ412" s="153" t="n">
        <f aca="false">IFERROR(IF(AND($N412="VCA",$AH412&gt;0),$M412*$AG412*$AH412,0),0)</f>
        <v>0.9997</v>
      </c>
      <c r="AR412" s="153" t="n">
        <f aca="false">IFERROR(IF(AND($N412="VCA",$AJ412&gt;0),($M412*$AG412*$AJ412)-$AI412,0),0)</f>
        <v>3.58096776712413</v>
      </c>
      <c r="AS412" s="153" t="n">
        <f aca="false">IFERROR(IF(AND($N412="VCA",$AP412&gt;0),$AP412-$AI412-$AQ412-$AR412,0),0)</f>
        <v>8.9973</v>
      </c>
      <c r="AT412" s="153" t="n">
        <f aca="false">IFERROR(IF($N412="VCA",INDEX(APOIO_REDES!$A:$W,MATCH($C412&amp;$I412&amp;$H412&amp;$N412&amp;$O412,APOIO_REDES!$W:$W,0),MATCH(AT$5,APOIO_REDES!$5:$5,0)),0)*$AP412,0)</f>
        <v>0.148253944743789</v>
      </c>
      <c r="AU412" s="153" t="n">
        <f aca="false">IFERROR(IF($N412="VCA",INDEX(APOIO_REDES!$A:$W,MATCH($C412&amp;$I412&amp;$H412&amp;$N412&amp;$O412,APOIO_REDES!$W:$W,0),MATCH(AU$5,APOIO_REDES!$5:$5,0)),0)*$AP412,0)</f>
        <v>0.118391585046353</v>
      </c>
      <c r="AV412" s="153" t="n">
        <f aca="false">IFERROR(IF($N412="VCA",INDEX(APOIO_REDES!$A:$W,MATCH($C412&amp;$I412&amp;$H412&amp;$N412&amp;$O412,APOIO_REDES!$W:$W,0),MATCH(AV$5,APOIO_REDES!$5:$5,0)),0)*$AP412,0)</f>
        <v>0.0163844659600323</v>
      </c>
      <c r="AW412" s="153" t="n">
        <f aca="false">IFERROR(IF($N412="VCA",INDEX(APOIO_REDES!$A:$W,MATCH($C412&amp;$I412&amp;$H412&amp;$N412&amp;$O412,APOIO_REDES!$W:$W,0),MATCH(AW$5,APOIO_REDES!$5:$5,0)),0)*$AP412,0)</f>
        <v>9.35293088911042</v>
      </c>
      <c r="AX412" s="153" t="n">
        <f aca="false">IFERROR(IF($N412="VCA",INDEX(APOIO_REDES!$A:$W,MATCH($C412&amp;$I412&amp;$H412&amp;$N412&amp;$O412,APOIO_REDES!$W:$W,0),MATCH(AX$5,APOIO_REDES!$5:$5,0)),0)*$AP412,0)</f>
        <v>1.29441899272493</v>
      </c>
      <c r="AY412" s="153" t="n">
        <f aca="false">IFERROR(IF($N412="VCA",INDEX(APOIO_REDES!$A:$W,MATCH($C412&amp;$I412&amp;$H412&amp;$N412&amp;$O412,APOIO_REDES!$W:$W,0),MATCH(AY$5,APOIO_REDES!$5:$5,0)),0)*$AP412,0)</f>
        <v>2.36783025774324</v>
      </c>
      <c r="AZ412" s="153" t="n">
        <f aca="false">IFERROR(IF($N412="VCA",INDEX(APOIO_REDES!$A:$W,MATCH($C412&amp;$I412&amp;$H412&amp;$N412&amp;$O412,APOIO_REDES!$W:$W,0),MATCH(AZ$5,APOIO_REDES!$5:$5,0)),0)*$AP412,0)</f>
        <v>0.327700864671241</v>
      </c>
      <c r="BA412" s="153" t="n">
        <f aca="false">IFERROR(IF(AND($N412="VCA",$Q412="LINEAR"),INDEX(APOIO_REDES!$A:$W,MATCH($C412&amp;$I412&amp;$H412&amp;$N412&amp;$O412,APOIO_REDES!$W:$W,0),MATCH(BA$5,APOIO_REDES!$5:$5,0)),IF(AND($N412="MND",$Q412="EMBOQUE"),INDEX(APOIO_REDES!$A:$W,MATCH($C412&amp;$I412&amp;$H412&amp;$N412&amp;$O412,APOIO_REDES!$W:$W,0),MATCH(BA$5,APOIO_REDES!$5:$5,0)),0))*$M412/10,0)</f>
        <v>1.23958920517702</v>
      </c>
      <c r="BB412" s="153" t="n">
        <f aca="false">IFERROR(IF($N412="VCA",INDEX(APOIO_REDES!$A:$W,MATCH($C412&amp;$I412&amp;$H412&amp;$N412&amp;$O412,APOIO_REDES!$W:$W,0),MATCH(BB$5,APOIO_REDES!$5:$5,0)),0)*($AI412+$AQ412+$AR412),0)</f>
        <v>4.57825034232108</v>
      </c>
      <c r="BC412" s="153" t="n">
        <f aca="false">IFERROR(IF($N412="VCA",INDEX(APOIO_REDES!$A:$W,MATCH($C412&amp;$I412&amp;$H412&amp;$N412&amp;$O412,APOIO_REDES!$W:$W,0),MATCH(BC$5,APOIO_REDES!$5:$5,0)),0)*($AI412+$AQ412+$AR412),0)</f>
        <v>0.0503606576789246</v>
      </c>
      <c r="BD412" s="153" t="n">
        <f aca="false">IF(AND($N412="VCA",$AF412&gt;=1.25,$AF412&lt;1.5),$M412*$AF412*2,0)</f>
        <v>41.92588</v>
      </c>
      <c r="BE412" s="153" t="n">
        <f aca="false">IF(AND($N412="VCA",$AF412&gt;=1.5,$AF412&lt;3),$M412*$AF412*2,0)</f>
        <v>0</v>
      </c>
      <c r="BF412" s="153" t="n">
        <f aca="false">IF(AND($N412="VCA",$AF412&gt;=3),$M412*$AF412*2,0)</f>
        <v>0</v>
      </c>
      <c r="BG412" s="153" t="n">
        <f aca="false">($BB412+$BC412)*$AK412</f>
        <v>10.6458053</v>
      </c>
      <c r="BH412" s="153" t="n">
        <f aca="false">IF(AND($M412&lt;&gt;"",$N412="VCA",$Q412="LINEAR"),($M412*2)/100,IF(AND($M412&lt;&gt;"",$N412="MND",$Q412="EMBOQUE"),($AN412*2)/100,0))</f>
        <v>0.3076</v>
      </c>
      <c r="BI412" s="153" t="n">
        <f aca="false">IF(AND($M412&lt;&gt;"",$N412="VCA",$Q412="LINEAR"),$M412,IF(AND($M412&lt;&gt;"",$N412="MND",$Q412="EMBOQUE"),$AN412*2,0))</f>
        <v>15.38</v>
      </c>
      <c r="BJ412" s="153" t="n">
        <f aca="false">IF(AND($M412&lt;&gt;"",$N412="VCA",$Q412="LINEAR"),($M412*6.8)/100,IF(AND($M412&lt;&gt;"",$N412="MND",$Q412="EMBOQUE"),($AN412*2*6.8)/100,0))</f>
        <v>1.04584</v>
      </c>
      <c r="BK412" s="153" t="n">
        <f aca="false">IF(AND($M412&lt;&gt;"",$N412="VCA",$Q412="LINEAR"),($M412*2.5)/50,IF(AND($M412&lt;&gt;"",$N412="MND",$Q412="EMBOQUE"),($AN412*2*2.5)/50,0))</f>
        <v>0.769</v>
      </c>
      <c r="BL412" s="157" t="str">
        <f aca="false">K412&amp;J412</f>
        <v>Zona04REDES</v>
      </c>
      <c r="BM412" s="152" t="s">
        <v>2969</v>
      </c>
      <c r="BN412" s="152" t="s">
        <v>1560</v>
      </c>
      <c r="BO412" s="152" t="s">
        <v>1748</v>
      </c>
      <c r="BP412" s="152" t="s">
        <v>3094</v>
      </c>
      <c r="BQ412" s="152" t="s">
        <v>3069</v>
      </c>
      <c r="BR412" s="152" t="s">
        <v>3095</v>
      </c>
      <c r="BS412" s="152" t="n">
        <v>203499.869</v>
      </c>
      <c r="BT412" s="152" t="n">
        <v>8238356.617</v>
      </c>
      <c r="BU412" s="152" t="n">
        <v>203494.388</v>
      </c>
      <c r="BV412" s="152" t="n">
        <v>8238366.541</v>
      </c>
      <c r="BW412" s="152" t="n">
        <v>-15.9162583</v>
      </c>
      <c r="BX412" s="152" t="n">
        <v>-47.7691998</v>
      </c>
      <c r="BY412" s="152" t="s">
        <v>3094</v>
      </c>
    </row>
    <row r="413" customFormat="false" ht="13.8" hidden="false" customHeight="false" outlineLevel="0" collapsed="false">
      <c r="A413" s="149" t="n">
        <f aca="false">IF(C413&lt;&gt;"",ROW(A408),"")</f>
        <v>408</v>
      </c>
      <c r="B413" s="150" t="str">
        <f aca="false">HYPERLINK("https://www.google.com/maps/dir/-15.917302,-47.760003/-15.9158966,-47.7698603/data=!4m3!4m2!3e0!5i0")</f>
        <v>https://www.google.com/maps/dir/-15.917302,-47.760003/-15.9158966,-47.7698603/data=!4m3!4m2!3e0!5i0</v>
      </c>
      <c r="C413" s="151" t="s">
        <v>117</v>
      </c>
      <c r="D413" s="152" t="s">
        <v>112</v>
      </c>
      <c r="E413" s="152" t="s">
        <v>113</v>
      </c>
      <c r="F413" s="152" t="s">
        <v>117</v>
      </c>
      <c r="G413" s="152" t="s">
        <v>782</v>
      </c>
      <c r="H413" s="152" t="n">
        <v>63</v>
      </c>
      <c r="I413" s="152" t="s">
        <v>115</v>
      </c>
      <c r="J413" s="152" t="s">
        <v>6</v>
      </c>
      <c r="K413" s="152" t="s">
        <v>2966</v>
      </c>
      <c r="L413" s="152" t="s">
        <v>120</v>
      </c>
      <c r="M413" s="153" t="n">
        <f aca="false">99.13+4.04</f>
        <v>103.17</v>
      </c>
      <c r="N413" s="152" t="s">
        <v>1548</v>
      </c>
      <c r="O413" s="152" t="s">
        <v>1549</v>
      </c>
      <c r="P413" s="152" t="s">
        <v>1550</v>
      </c>
      <c r="Q413" s="152" t="s">
        <v>1551</v>
      </c>
      <c r="R413" s="154" t="s">
        <v>3096</v>
      </c>
      <c r="S413" s="154" t="s">
        <v>1553</v>
      </c>
      <c r="T413" s="155" t="s">
        <v>1746</v>
      </c>
      <c r="U413" s="152" t="str">
        <f aca="false">RIGHT(T413,7)</f>
        <v>003/037</v>
      </c>
      <c r="V413" s="152" t="s">
        <v>1555</v>
      </c>
      <c r="W413" s="156" t="n">
        <v>45882</v>
      </c>
      <c r="X413" s="152" t="s">
        <v>1594</v>
      </c>
      <c r="Y413" s="152" t="s">
        <v>3076</v>
      </c>
      <c r="Z413" s="152" t="s">
        <v>1557</v>
      </c>
      <c r="AA413" s="153" t="n">
        <v>2.2</v>
      </c>
      <c r="AB413" s="151" t="s">
        <v>3097</v>
      </c>
      <c r="AC413" s="151" t="s">
        <v>186</v>
      </c>
      <c r="AD413" s="151" t="str">
        <f aca="false">CONCATENATE($C413,$I413,$H413,$N413,$J413,$K413)</f>
        <v>TUBO PEADPEAD63VCAREDESZona04</v>
      </c>
      <c r="AE413" s="153" t="n">
        <f aca="false">IFERROR(INDEX(APOIO_REDES!$A:$W,MATCH($C413&amp;$I413&amp;$H413&amp;$N413&amp;$O413,APOIO_REDES!$W:$W,0),MATCH(AE$5,APOIO_REDES!$5:$5,0)),0)</f>
        <v>1.2</v>
      </c>
      <c r="AF413" s="153" t="n">
        <f aca="false">IFERROR(INDEX(APOIO_REDES!$A:$W,MATCH($C413&amp;$I413&amp;$H413&amp;$N413&amp;$O413,APOIO_REDES!$W:$W,0),MATCH(AF$5,APOIO_REDES!$5:$5,0)),0)</f>
        <v>1.363</v>
      </c>
      <c r="AG413" s="153" t="n">
        <f aca="false">IFERROR(INDEX(APOIO_REDES!$A:$W,MATCH($C413&amp;$I413&amp;$H413&amp;$N413&amp;$O413,APOIO_REDES!$W:$W,0),MATCH(AG$5,APOIO_REDES!$5:$5,0)),0)</f>
        <v>0.65</v>
      </c>
      <c r="AH413" s="153" t="n">
        <f aca="false">IFERROR(INDEX(APOIO_REDES!$A:$W,MATCH($C413&amp;$I413&amp;$H413&amp;$N413&amp;$O413,APOIO_REDES!$W:$W,0),MATCH(AH$5,APOIO_REDES!$5:$5,0)),0)</f>
        <v>0.1</v>
      </c>
      <c r="AI413" s="153" t="n">
        <f aca="false">IFERROR(IF($H413&lt;&gt;"",(((($H413/1000)/2)^2)*PI()*$M413),0),0)</f>
        <v>0.32160619868681</v>
      </c>
      <c r="AJ413" s="153" t="n">
        <f aca="false">IFERROR(IF(AND($H413&lt;&gt;"",$I413="FoFo",OR($N413="MND",$N413="VCA"),$Q413="LINEAR"),0,IF(AND($H413&lt;&gt;"",$I413="PEAD",$N413="VCA",$Q413="LINEAR"),($H413/1000)+0.3,IF(AND($H413&lt;&gt;"",$I413="PEAD",$N413="MND",$Q413="EMBOQUE"),0,IF(AND($H413&lt;&gt;"",$I413="PVC",$N413="VCA",$Q413="LINEAR"),($H413/1000)+0.2,IF(AND($H413&lt;&gt;"",$I413="PVC",$N413="MND",$Q413="EMBOQUE"),0,IF(AND($H413&lt;&gt;"",$I413="PEAD",$N413="VCA",$Q413="PREDIAL"),0,0)))))),0)</f>
        <v>0.363</v>
      </c>
      <c r="AK413" s="153" t="n">
        <f aca="false">IF(AA413&lt;&gt;"",AA413,0)</f>
        <v>2.2</v>
      </c>
      <c r="AL413" s="153" t="n">
        <f aca="false">IF(AND($N413="MND",$Q413="EMBOQUE"),$M413,IF(AND($N413="VCA",$Q413="LINEAR"),$M413,IF(AND($N413="VCA",$Q413="PREDIAL"),0,0)))</f>
        <v>103.17</v>
      </c>
      <c r="AM413" s="153" t="n">
        <f aca="false">IF(AND($N413="MND",$Q413="EMBOQUE"),$M413,IF(AND($N413="VCA",$Q413="LINEAR"),$M413,IF(AND($N413="VCA",$Q413="PREDIAL"),0,0)))</f>
        <v>103.17</v>
      </c>
      <c r="AN413" s="153" t="n">
        <f aca="false">ROUND(IF(AND($N413="VCA",$M413&lt;&gt;"",$Q413="LINEAR"),$M413/100,IF(AND($N413="MND",$M413&gt;100,$Q413="EMBOQUE"),$M413/100,0)),0)</f>
        <v>1</v>
      </c>
      <c r="AO413" s="153" t="n">
        <f aca="false">IF(AND($N413="MND",$Q413="EMBOQUE"),$AN413*2*2,IF(AND($N413="VCA",$Q413="LINEAR"),$M413*2,IF(AND($N413="VCA",$Q413="PREDIAL"),0,0)))</f>
        <v>206.34</v>
      </c>
      <c r="AP413" s="153" t="n">
        <f aca="false">IFERROR($M413*$AF413*$AG413,0)</f>
        <v>91.4034615</v>
      </c>
      <c r="AQ413" s="153" t="n">
        <f aca="false">IFERROR(IF(AND($N413="VCA",$AH413&gt;0),$M413*$AG413*$AH413,0),0)</f>
        <v>6.70605</v>
      </c>
      <c r="AR413" s="153" t="n">
        <f aca="false">IFERROR(IF(AND($N413="VCA",$AJ413&gt;0),($M413*$AG413*$AJ413)-$AI413,0),0)</f>
        <v>24.0213553013132</v>
      </c>
      <c r="AS413" s="153" t="n">
        <f aca="false">IFERROR(IF(AND($N413="VCA",$AP413&gt;0),$AP413-$AI413-$AQ413-$AR413,0),0)</f>
        <v>60.35445</v>
      </c>
      <c r="AT413" s="153" t="n">
        <f aca="false">IFERROR(IF($N413="VCA",INDEX(APOIO_REDES!$A:$W,MATCH($C413&amp;$I413&amp;$H413&amp;$N413&amp;$O413,APOIO_REDES!$W:$W,0),MATCH(AT$5,APOIO_REDES!$5:$5,0)),0)*$AP413,0)</f>
        <v>0.994496715163634</v>
      </c>
      <c r="AU413" s="153" t="n">
        <f aca="false">IFERROR(IF($N413="VCA",INDEX(APOIO_REDES!$A:$W,MATCH($C413&amp;$I413&amp;$H413&amp;$N413&amp;$O413,APOIO_REDES!$W:$W,0),MATCH(AU$5,APOIO_REDES!$5:$5,0)),0)*$AP413,0)</f>
        <v>0.794178142342799</v>
      </c>
      <c r="AV413" s="153" t="n">
        <f aca="false">IFERROR(IF($N413="VCA",INDEX(APOIO_REDES!$A:$W,MATCH($C413&amp;$I413&amp;$H413&amp;$N413&amp;$O413,APOIO_REDES!$W:$W,0),MATCH(AV$5,APOIO_REDES!$5:$5,0)),0)*$AP413,0)</f>
        <v>0.109908020357382</v>
      </c>
      <c r="AW413" s="153" t="n">
        <f aca="false">IFERROR(IF($N413="VCA",INDEX(APOIO_REDES!$A:$W,MATCH($C413&amp;$I413&amp;$H413&amp;$N413&amp;$O413,APOIO_REDES!$W:$W,0),MATCH(AW$5,APOIO_REDES!$5:$5,0)),0)*$AP413,0)</f>
        <v>62.7400442021796</v>
      </c>
      <c r="AX413" s="153" t="n">
        <f aca="false">IFERROR(IF($N413="VCA",INDEX(APOIO_REDES!$A:$W,MATCH($C413&amp;$I413&amp;$H413&amp;$N413&amp;$O413,APOIO_REDES!$W:$W,0),MATCH(AX$5,APOIO_REDES!$5:$5,0)),0)*$AP413,0)</f>
        <v>8.6830433991828</v>
      </c>
      <c r="AY413" s="153" t="n">
        <f aca="false">IFERROR(IF($N413="VCA",INDEX(APOIO_REDES!$A:$W,MATCH($C413&amp;$I413&amp;$H413&amp;$N413&amp;$O413,APOIO_REDES!$W:$W,0),MATCH(AY$5,APOIO_REDES!$5:$5,0)),0)*$AP413,0)</f>
        <v>15.8835531658888</v>
      </c>
      <c r="AZ413" s="153" t="n">
        <f aca="false">IFERROR(IF($N413="VCA",INDEX(APOIO_REDES!$A:$W,MATCH($C413&amp;$I413&amp;$H413&amp;$N413&amp;$O413,APOIO_REDES!$W:$W,0),MATCH(AZ$5,APOIO_REDES!$5:$5,0)),0)*$AP413,0)</f>
        <v>2.19823785488504</v>
      </c>
      <c r="BA413" s="153" t="n">
        <f aca="false">IFERROR(IF(AND($N413="VCA",$Q413="LINEAR"),INDEX(APOIO_REDES!$A:$W,MATCH($C413&amp;$I413&amp;$H413&amp;$N413&amp;$O413,APOIO_REDES!$W:$W,0),MATCH(BA$5,APOIO_REDES!$5:$5,0)),IF(AND($N413="MND",$Q413="EMBOQUE"),INDEX(APOIO_REDES!$A:$W,MATCH($C413&amp;$I413&amp;$H413&amp;$N413&amp;$O413,APOIO_REDES!$W:$W,0),MATCH(BA$5,APOIO_REDES!$5:$5,0)),0))*$M413/10,0)</f>
        <v>8.31524176190593</v>
      </c>
      <c r="BB413" s="153" t="n">
        <f aca="false">IFERROR(IF($N413="VCA",INDEX(APOIO_REDES!$A:$W,MATCH($C413&amp;$I413&amp;$H413&amp;$N413&amp;$O413,APOIO_REDES!$W:$W,0),MATCH(BB$5,APOIO_REDES!$5:$5,0)),0)*($AI413+$AQ413+$AR413),0)</f>
        <v>30.7111890648417</v>
      </c>
      <c r="BC413" s="153" t="n">
        <f aca="false">IFERROR(IF($N413="VCA",INDEX(APOIO_REDES!$A:$W,MATCH($C413&amp;$I413&amp;$H413&amp;$N413&amp;$O413,APOIO_REDES!$W:$W,0),MATCH(BC$5,APOIO_REDES!$5:$5,0)),0)*($AI413+$AQ413+$AR413),0)</f>
        <v>0.3378224351583</v>
      </c>
      <c r="BD413" s="153" t="n">
        <f aca="false">IF(AND($N413="VCA",$AF413&gt;=1.25,$AF413&lt;1.5),$M413*$AF413*2,0)</f>
        <v>281.24142</v>
      </c>
      <c r="BE413" s="153" t="n">
        <f aca="false">IF(AND($N413="VCA",$AF413&gt;=1.5,$AF413&lt;3),$M413*$AF413*2,0)</f>
        <v>0</v>
      </c>
      <c r="BF413" s="153" t="n">
        <f aca="false">IF(AND($N413="VCA",$AF413&gt;=3),$M413*$AF413*2,0)</f>
        <v>0</v>
      </c>
      <c r="BG413" s="153" t="n">
        <f aca="false">($BB413+$BC413)*$AK413</f>
        <v>68.3078253</v>
      </c>
      <c r="BH413" s="153" t="n">
        <f aca="false">IF(AND($M413&lt;&gt;"",$N413="VCA",$Q413="LINEAR"),($M413*2)/100,IF(AND($M413&lt;&gt;"",$N413="MND",$Q413="EMBOQUE"),($AN413*2)/100,0))</f>
        <v>2.0634</v>
      </c>
      <c r="BI413" s="153" t="n">
        <f aca="false">IF(AND($M413&lt;&gt;"",$N413="VCA",$Q413="LINEAR"),$M413,IF(AND($M413&lt;&gt;"",$N413="MND",$Q413="EMBOQUE"),$AN413*2,0))</f>
        <v>103.17</v>
      </c>
      <c r="BJ413" s="153" t="n">
        <f aca="false">IF(AND($M413&lt;&gt;"",$N413="VCA",$Q413="LINEAR"),($M413*6.8)/100,IF(AND($M413&lt;&gt;"",$N413="MND",$Q413="EMBOQUE"),($AN413*2*6.8)/100,0))</f>
        <v>7.01556</v>
      </c>
      <c r="BK413" s="153" t="n">
        <f aca="false">IF(AND($M413&lt;&gt;"",$N413="VCA",$Q413="LINEAR"),($M413*2.5)/50,IF(AND($M413&lt;&gt;"",$N413="MND",$Q413="EMBOQUE"),($AN413*2*2.5)/50,0))</f>
        <v>5.1585</v>
      </c>
      <c r="BL413" s="157" t="str">
        <f aca="false">K413&amp;J413</f>
        <v>Zona04REDES</v>
      </c>
      <c r="BM413" s="152" t="s">
        <v>2969</v>
      </c>
      <c r="BN413" s="152" t="s">
        <v>1560</v>
      </c>
      <c r="BO413" s="152" t="s">
        <v>1748</v>
      </c>
      <c r="BP413" s="152" t="s">
        <v>3057</v>
      </c>
      <c r="BQ413" s="152" t="s">
        <v>3098</v>
      </c>
      <c r="BR413" s="152" t="s">
        <v>3099</v>
      </c>
      <c r="BS413" s="152" t="n">
        <v>203425.825</v>
      </c>
      <c r="BT413" s="152" t="n">
        <v>8238400.697</v>
      </c>
      <c r="BU413" s="152" t="n">
        <v>203480.589</v>
      </c>
      <c r="BV413" s="152" t="n">
        <v>8238318.511</v>
      </c>
      <c r="BW413" s="152" t="n">
        <v>-15.9162635</v>
      </c>
      <c r="BX413" s="152" t="n">
        <v>-47.7696004</v>
      </c>
      <c r="BY413" s="152" t="s">
        <v>3057</v>
      </c>
    </row>
    <row r="414" customFormat="false" ht="13.8" hidden="false" customHeight="false" outlineLevel="0" collapsed="false">
      <c r="A414" s="149" t="n">
        <f aca="false">IF(C414&lt;&gt;"",ROW(A409),"")</f>
        <v>409</v>
      </c>
      <c r="B414" s="150" t="str">
        <f aca="false">HYPERLINK("https://www.google.com/maps/dir/-15.917302,-47.760003/-15.9132341,-47.7673643/data=!4m3!4m2!3e0!5i0")</f>
        <v>https://www.google.com/maps/dir/-15.917302,-47.760003/-15.9132341,-47.7673643/data=!4m3!4m2!3e0!5i0</v>
      </c>
      <c r="C414" s="151" t="s">
        <v>117</v>
      </c>
      <c r="D414" s="152" t="s">
        <v>112</v>
      </c>
      <c r="E414" s="152" t="s">
        <v>113</v>
      </c>
      <c r="F414" s="152" t="s">
        <v>117</v>
      </c>
      <c r="G414" s="152" t="s">
        <v>782</v>
      </c>
      <c r="H414" s="152" t="n">
        <v>63</v>
      </c>
      <c r="I414" s="152" t="s">
        <v>115</v>
      </c>
      <c r="J414" s="152" t="s">
        <v>6</v>
      </c>
      <c r="K414" s="152" t="s">
        <v>2966</v>
      </c>
      <c r="L414" s="152" t="s">
        <v>120</v>
      </c>
      <c r="M414" s="153" t="n">
        <f aca="false">27.66+6.52</f>
        <v>34.18</v>
      </c>
      <c r="N414" s="152" t="s">
        <v>1548</v>
      </c>
      <c r="O414" s="152" t="s">
        <v>1549</v>
      </c>
      <c r="P414" s="152" t="s">
        <v>1550</v>
      </c>
      <c r="Q414" s="152" t="s">
        <v>1551</v>
      </c>
      <c r="R414" s="154" t="s">
        <v>3100</v>
      </c>
      <c r="S414" s="154" t="s">
        <v>1553</v>
      </c>
      <c r="T414" s="155" t="s">
        <v>3101</v>
      </c>
      <c r="U414" s="152" t="str">
        <f aca="false">RIGHT(T414,7)</f>
        <v>004/037</v>
      </c>
      <c r="V414" s="152" t="s">
        <v>1555</v>
      </c>
      <c r="W414" s="156" t="n">
        <v>45882</v>
      </c>
      <c r="X414" s="152" t="s">
        <v>1594</v>
      </c>
      <c r="Y414" s="152" t="s">
        <v>3102</v>
      </c>
      <c r="Z414" s="152" t="s">
        <v>1557</v>
      </c>
      <c r="AA414" s="153" t="n">
        <v>2.1</v>
      </c>
      <c r="AB414" s="151" t="s">
        <v>3103</v>
      </c>
      <c r="AC414" s="151" t="s">
        <v>186</v>
      </c>
      <c r="AD414" s="151" t="str">
        <f aca="false">CONCATENATE($C414,$I414,$H414,$N414,$J414,$K414)</f>
        <v>TUBO PEADPEAD63VCAREDESZona04</v>
      </c>
      <c r="AE414" s="153" t="n">
        <f aca="false">IFERROR(INDEX(APOIO_REDES!$A:$W,MATCH($C414&amp;$I414&amp;$H414&amp;$N414&amp;$O414,APOIO_REDES!$W:$W,0),MATCH(AE$5,APOIO_REDES!$5:$5,0)),0)</f>
        <v>1.2</v>
      </c>
      <c r="AF414" s="153" t="n">
        <f aca="false">IFERROR(INDEX(APOIO_REDES!$A:$W,MATCH($C414&amp;$I414&amp;$H414&amp;$N414&amp;$O414,APOIO_REDES!$W:$W,0),MATCH(AF$5,APOIO_REDES!$5:$5,0)),0)</f>
        <v>1.363</v>
      </c>
      <c r="AG414" s="153" t="n">
        <f aca="false">IFERROR(INDEX(APOIO_REDES!$A:$W,MATCH($C414&amp;$I414&amp;$H414&amp;$N414&amp;$O414,APOIO_REDES!$W:$W,0),MATCH(AG$5,APOIO_REDES!$5:$5,0)),0)</f>
        <v>0.65</v>
      </c>
      <c r="AH414" s="153" t="n">
        <f aca="false">IFERROR(INDEX(APOIO_REDES!$A:$W,MATCH($C414&amp;$I414&amp;$H414&amp;$N414&amp;$O414,APOIO_REDES!$W:$W,0),MATCH(AH$5,APOIO_REDES!$5:$5,0)),0)</f>
        <v>0.1</v>
      </c>
      <c r="AI414" s="153" t="n">
        <f aca="false">IFERROR(IF($H414&lt;&gt;"",(((($H414/1000)/2)^2)*PI()*$M414),0),0)</f>
        <v>0.106547444713726</v>
      </c>
      <c r="AJ414" s="153" t="n">
        <f aca="false">IFERROR(IF(AND($H414&lt;&gt;"",$I414="FoFo",OR($N414="MND",$N414="VCA"),$Q414="LINEAR"),0,IF(AND($H414&lt;&gt;"",$I414="PEAD",$N414="VCA",$Q414="LINEAR"),($H414/1000)+0.3,IF(AND($H414&lt;&gt;"",$I414="PEAD",$N414="MND",$Q414="EMBOQUE"),0,IF(AND($H414&lt;&gt;"",$I414="PVC",$N414="VCA",$Q414="LINEAR"),($H414/1000)+0.2,IF(AND($H414&lt;&gt;"",$I414="PVC",$N414="MND",$Q414="EMBOQUE"),0,IF(AND($H414&lt;&gt;"",$I414="PEAD",$N414="VCA",$Q414="PREDIAL"),0,0)))))),0)</f>
        <v>0.363</v>
      </c>
      <c r="AK414" s="153" t="n">
        <f aca="false">IF(AA414&lt;&gt;"",AA414,0)</f>
        <v>2.1</v>
      </c>
      <c r="AL414" s="153" t="n">
        <f aca="false">IF(AND($N414="MND",$Q414="EMBOQUE"),$M414,IF(AND($N414="VCA",$Q414="LINEAR"),$M414,IF(AND($N414="VCA",$Q414="PREDIAL"),0,0)))</f>
        <v>34.18</v>
      </c>
      <c r="AM414" s="153" t="n">
        <f aca="false">IF(AND($N414="MND",$Q414="EMBOQUE"),$M414,IF(AND($N414="VCA",$Q414="LINEAR"),$M414,IF(AND($N414="VCA",$Q414="PREDIAL"),0,0)))</f>
        <v>34.18</v>
      </c>
      <c r="AN414" s="153" t="n">
        <f aca="false">ROUND(IF(AND($N414="VCA",$M414&lt;&gt;"",$Q414="LINEAR"),$M414/100,IF(AND($N414="MND",$M414&gt;100,$Q414="EMBOQUE"),$M414/100,0)),0)</f>
        <v>0</v>
      </c>
      <c r="AO414" s="153" t="n">
        <f aca="false">IF(AND($N414="MND",$Q414="EMBOQUE"),$AN414*2*2,IF(AND($N414="VCA",$Q414="LINEAR"),$M414*2,IF(AND($N414="VCA",$Q414="PREDIAL"),0,0)))</f>
        <v>68.36</v>
      </c>
      <c r="AP414" s="153" t="n">
        <f aca="false">IFERROR($M414*$AF414*$AG414,0)</f>
        <v>30.281771</v>
      </c>
      <c r="AQ414" s="153" t="n">
        <f aca="false">IFERROR(IF(AND($N414="VCA",$AH414&gt;0),$M414*$AG414*$AH414,0),0)</f>
        <v>2.2217</v>
      </c>
      <c r="AR414" s="153" t="n">
        <f aca="false">IFERROR(IF(AND($N414="VCA",$AJ414&gt;0),($M414*$AG414*$AJ414)-$AI414,0),0)</f>
        <v>7.95822355528627</v>
      </c>
      <c r="AS414" s="153" t="n">
        <f aca="false">IFERROR(IF(AND($N414="VCA",$AP414&gt;0),$AP414-$AI414-$AQ414-$AR414,0),0)</f>
        <v>19.9953</v>
      </c>
      <c r="AT414" s="153" t="n">
        <f aca="false">IFERROR(IF($N414="VCA",INDEX(APOIO_REDES!$A:$W,MATCH($C414&amp;$I414&amp;$H414&amp;$N414&amp;$O414,APOIO_REDES!$W:$W,0),MATCH(AT$5,APOIO_REDES!$5:$5,0)),0)*$AP414,0)</f>
        <v>0.329474631426703</v>
      </c>
      <c r="AU414" s="153" t="n">
        <f aca="false">IFERROR(IF($N414="VCA",INDEX(APOIO_REDES!$A:$W,MATCH($C414&amp;$I414&amp;$H414&amp;$N414&amp;$O414,APOIO_REDES!$W:$W,0),MATCH(AU$5,APOIO_REDES!$5:$5,0)),0)*$AP414,0)</f>
        <v>0.263109517352688</v>
      </c>
      <c r="AV414" s="153" t="n">
        <f aca="false">IFERROR(IF($N414="VCA",INDEX(APOIO_REDES!$A:$W,MATCH($C414&amp;$I414&amp;$H414&amp;$N414&amp;$O414,APOIO_REDES!$W:$W,0),MATCH(AV$5,APOIO_REDES!$5:$5,0)),0)*$AP414,0)</f>
        <v>0.0364122917109169</v>
      </c>
      <c r="AW414" s="153" t="n">
        <f aca="false">IFERROR(IF($N414="VCA",INDEX(APOIO_REDES!$A:$W,MATCH($C414&amp;$I414&amp;$H414&amp;$N414&amp;$O414,APOIO_REDES!$W:$W,0),MATCH(AW$5,APOIO_REDES!$5:$5,0)),0)*$AP414,0)</f>
        <v>20.7856422490113</v>
      </c>
      <c r="AX414" s="153" t="n">
        <f aca="false">IFERROR(IF($N414="VCA",INDEX(APOIO_REDES!$A:$W,MATCH($C414&amp;$I414&amp;$H414&amp;$N414&amp;$O414,APOIO_REDES!$W:$W,0),MATCH(AX$5,APOIO_REDES!$5:$5,0)),0)*$AP414,0)</f>
        <v>2.87667367824046</v>
      </c>
      <c r="AY414" s="153" t="n">
        <f aca="false">IFERROR(IF($N414="VCA",INDEX(APOIO_REDES!$A:$W,MATCH($C414&amp;$I414&amp;$H414&amp;$N414&amp;$O414,APOIO_REDES!$W:$W,0),MATCH(AY$5,APOIO_REDES!$5:$5,0)),0)*$AP414,0)</f>
        <v>5.26218713977008</v>
      </c>
      <c r="AZ414" s="153" t="n">
        <f aca="false">IFERROR(IF($N414="VCA",INDEX(APOIO_REDES!$A:$W,MATCH($C414&amp;$I414&amp;$H414&amp;$N414&amp;$O414,APOIO_REDES!$W:$W,0),MATCH(AZ$5,APOIO_REDES!$5:$5,0)),0)*$AP414,0)</f>
        <v>0.728271492487843</v>
      </c>
      <c r="BA414" s="153" t="n">
        <f aca="false">IFERROR(IF(AND($N414="VCA",$Q414="LINEAR"),INDEX(APOIO_REDES!$A:$W,MATCH($C414&amp;$I414&amp;$H414&amp;$N414&amp;$O414,APOIO_REDES!$W:$W,0),MATCH(BA$5,APOIO_REDES!$5:$5,0)),IF(AND($N414="MND",$Q414="EMBOQUE"),INDEX(APOIO_REDES!$A:$W,MATCH($C414&amp;$I414&amp;$H414&amp;$N414&amp;$O414,APOIO_REDES!$W:$W,0),MATCH(BA$5,APOIO_REDES!$5:$5,0)),0))*$M414/10,0)</f>
        <v>2.75482178367689</v>
      </c>
      <c r="BB414" s="153" t="n">
        <f aca="false">IFERROR(IF($N414="VCA",INDEX(APOIO_REDES!$A:$W,MATCH($C414&amp;$I414&amp;$H414&amp;$N414&amp;$O414,APOIO_REDES!$W:$W,0),MATCH(BB$5,APOIO_REDES!$5:$5,0)),0)*($AI414+$AQ414+$AR414),0)</f>
        <v>10.17455115088</v>
      </c>
      <c r="BC414" s="153" t="n">
        <f aca="false">IFERROR(IF($N414="VCA",INDEX(APOIO_REDES!$A:$W,MATCH($C414&amp;$I414&amp;$H414&amp;$N414&amp;$O414,APOIO_REDES!$W:$W,0),MATCH(BC$5,APOIO_REDES!$5:$5,0)),0)*($AI414+$AQ414+$AR414),0)</f>
        <v>0.111919849120003</v>
      </c>
      <c r="BD414" s="153" t="n">
        <f aca="false">IF(AND($N414="VCA",$AF414&gt;=1.25,$AF414&lt;1.5),$M414*$AF414*2,0)</f>
        <v>93.17468</v>
      </c>
      <c r="BE414" s="153" t="n">
        <f aca="false">IF(AND($N414="VCA",$AF414&gt;=1.5,$AF414&lt;3),$M414*$AF414*2,0)</f>
        <v>0</v>
      </c>
      <c r="BF414" s="153" t="n">
        <f aca="false">IF(AND($N414="VCA",$AF414&gt;=3),$M414*$AF414*2,0)</f>
        <v>0</v>
      </c>
      <c r="BG414" s="153" t="n">
        <f aca="false">($BB414+$BC414)*$AK414</f>
        <v>21.6015891</v>
      </c>
      <c r="BH414" s="153" t="n">
        <f aca="false">IF(AND($M414&lt;&gt;"",$N414="VCA",$Q414="LINEAR"),($M414*2)/100,IF(AND($M414&lt;&gt;"",$N414="MND",$Q414="EMBOQUE"),($AN414*2)/100,0))</f>
        <v>0.6836</v>
      </c>
      <c r="BI414" s="153" t="n">
        <f aca="false">IF(AND($M414&lt;&gt;"",$N414="VCA",$Q414="LINEAR"),$M414,IF(AND($M414&lt;&gt;"",$N414="MND",$Q414="EMBOQUE"),$AN414*2,0))</f>
        <v>34.18</v>
      </c>
      <c r="BJ414" s="153" t="n">
        <f aca="false">IF(AND($M414&lt;&gt;"",$N414="VCA",$Q414="LINEAR"),($M414*6.8)/100,IF(AND($M414&lt;&gt;"",$N414="MND",$Q414="EMBOQUE"),($AN414*2*6.8)/100,0))</f>
        <v>2.32424</v>
      </c>
      <c r="BK414" s="153" t="n">
        <f aca="false">IF(AND($M414&lt;&gt;"",$N414="VCA",$Q414="LINEAR"),($M414*2.5)/50,IF(AND($M414&lt;&gt;"",$N414="MND",$Q414="EMBOQUE"),($AN414*2*2.5)/50,0))</f>
        <v>1.709</v>
      </c>
      <c r="BL414" s="157" t="str">
        <f aca="false">K414&amp;J414</f>
        <v>Zona04REDES</v>
      </c>
      <c r="BM414" s="152" t="s">
        <v>2969</v>
      </c>
      <c r="BN414" s="152" t="s">
        <v>1560</v>
      </c>
      <c r="BO414" s="152" t="s">
        <v>3104</v>
      </c>
      <c r="BP414" s="152" t="s">
        <v>3105</v>
      </c>
      <c r="BQ414" s="152" t="s">
        <v>3106</v>
      </c>
      <c r="BR414" s="152" t="s">
        <v>3107</v>
      </c>
      <c r="BS414" s="152" t="n">
        <v>203689.351</v>
      </c>
      <c r="BT414" s="152" t="n">
        <v>8238699.038</v>
      </c>
      <c r="BU414" s="152" t="n">
        <v>203699.617</v>
      </c>
      <c r="BV414" s="152" t="n">
        <v>8238724.718</v>
      </c>
      <c r="BW414" s="152" t="n">
        <v>-15.913119</v>
      </c>
      <c r="BX414" s="152" t="n">
        <v>-47.7673142</v>
      </c>
      <c r="BY414" s="152" t="s">
        <v>3105</v>
      </c>
    </row>
    <row r="415" customFormat="false" ht="13.8" hidden="false" customHeight="false" outlineLevel="0" collapsed="false">
      <c r="A415" s="149" t="n">
        <f aca="false">IF(C415&lt;&gt;"",ROW(A410),"")</f>
        <v>410</v>
      </c>
      <c r="B415" s="150" t="str">
        <f aca="false">HYPERLINK("https://www.google.com/maps/dir/-15.917302,-47.760003/-15.9133958,-47.7669409/data=!4m3!4m2!3e0!5i1")</f>
        <v>https://www.google.com/maps/dir/-15.917302,-47.760003/-15.9133958,-47.7669409/data=!4m3!4m2!3e0!5i1</v>
      </c>
      <c r="C415" s="151" t="s">
        <v>117</v>
      </c>
      <c r="D415" s="152" t="s">
        <v>112</v>
      </c>
      <c r="E415" s="152" t="s">
        <v>113</v>
      </c>
      <c r="F415" s="152" t="s">
        <v>117</v>
      </c>
      <c r="G415" s="152" t="s">
        <v>782</v>
      </c>
      <c r="H415" s="152" t="n">
        <v>63</v>
      </c>
      <c r="I415" s="152" t="s">
        <v>115</v>
      </c>
      <c r="J415" s="152" t="s">
        <v>6</v>
      </c>
      <c r="K415" s="152" t="s">
        <v>2966</v>
      </c>
      <c r="L415" s="152" t="s">
        <v>120</v>
      </c>
      <c r="M415" s="153" t="n">
        <f aca="false">63.21+4.31</f>
        <v>67.52</v>
      </c>
      <c r="N415" s="152" t="s">
        <v>1548</v>
      </c>
      <c r="O415" s="152" t="s">
        <v>1549</v>
      </c>
      <c r="P415" s="152" t="s">
        <v>1550</v>
      </c>
      <c r="Q415" s="152" t="s">
        <v>1551</v>
      </c>
      <c r="R415" s="154" t="s">
        <v>3108</v>
      </c>
      <c r="S415" s="154" t="s">
        <v>1553</v>
      </c>
      <c r="T415" s="155" t="s">
        <v>3101</v>
      </c>
      <c r="U415" s="152" t="str">
        <f aca="false">RIGHT(T415,7)</f>
        <v>004/037</v>
      </c>
      <c r="V415" s="152" t="s">
        <v>1555</v>
      </c>
      <c r="W415" s="156" t="n">
        <v>45882</v>
      </c>
      <c r="X415" s="152" t="s">
        <v>1594</v>
      </c>
      <c r="Y415" s="152"/>
      <c r="Z415" s="152" t="s">
        <v>1557</v>
      </c>
      <c r="AA415" s="153" t="n">
        <v>2.7</v>
      </c>
      <c r="AB415" s="151" t="s">
        <v>3109</v>
      </c>
      <c r="AC415" s="151" t="s">
        <v>186</v>
      </c>
      <c r="AD415" s="151" t="str">
        <f aca="false">CONCATENATE($C415,$I415,$H415,$N415,$J415,$K415)</f>
        <v>TUBO PEADPEAD63VCAREDESZona04</v>
      </c>
      <c r="AE415" s="153" t="n">
        <f aca="false">IFERROR(INDEX(APOIO_REDES!$A:$W,MATCH($C415&amp;$I415&amp;$H415&amp;$N415&amp;$O415,APOIO_REDES!$W:$W,0),MATCH(AE$5,APOIO_REDES!$5:$5,0)),0)</f>
        <v>1.2</v>
      </c>
      <c r="AF415" s="153" t="n">
        <f aca="false">IFERROR(INDEX(APOIO_REDES!$A:$W,MATCH($C415&amp;$I415&amp;$H415&amp;$N415&amp;$O415,APOIO_REDES!$W:$W,0),MATCH(AF$5,APOIO_REDES!$5:$5,0)),0)</f>
        <v>1.363</v>
      </c>
      <c r="AG415" s="153" t="n">
        <f aca="false">IFERROR(INDEX(APOIO_REDES!$A:$W,MATCH($C415&amp;$I415&amp;$H415&amp;$N415&amp;$O415,APOIO_REDES!$W:$W,0),MATCH(AG$5,APOIO_REDES!$5:$5,0)),0)</f>
        <v>0.65</v>
      </c>
      <c r="AH415" s="153" t="n">
        <f aca="false">IFERROR(INDEX(APOIO_REDES!$A:$W,MATCH($C415&amp;$I415&amp;$H415&amp;$N415&amp;$O415,APOIO_REDES!$W:$W,0),MATCH(AH$5,APOIO_REDES!$5:$5,0)),0)</f>
        <v>0.1</v>
      </c>
      <c r="AI415" s="153" t="n">
        <f aca="false">IFERROR(IF($H415&lt;&gt;"",(((($H415/1000)/2)^2)*PI()*$M415),0),0)</f>
        <v>0.210476403366612</v>
      </c>
      <c r="AJ415" s="153" t="n">
        <f aca="false">IFERROR(IF(AND($H415&lt;&gt;"",$I415="FoFo",OR($N415="MND",$N415="VCA"),$Q415="LINEAR"),0,IF(AND($H415&lt;&gt;"",$I415="PEAD",$N415="VCA",$Q415="LINEAR"),($H415/1000)+0.3,IF(AND($H415&lt;&gt;"",$I415="PEAD",$N415="MND",$Q415="EMBOQUE"),0,IF(AND($H415&lt;&gt;"",$I415="PVC",$N415="VCA",$Q415="LINEAR"),($H415/1000)+0.2,IF(AND($H415&lt;&gt;"",$I415="PVC",$N415="MND",$Q415="EMBOQUE"),0,IF(AND($H415&lt;&gt;"",$I415="PEAD",$N415="VCA",$Q415="PREDIAL"),0,0)))))),0)</f>
        <v>0.363</v>
      </c>
      <c r="AK415" s="153" t="n">
        <f aca="false">IF(AA415&lt;&gt;"",AA415,0)</f>
        <v>2.7</v>
      </c>
      <c r="AL415" s="153" t="n">
        <f aca="false">IF(AND($N415="MND",$Q415="EMBOQUE"),$M415,IF(AND($N415="VCA",$Q415="LINEAR"),$M415,IF(AND($N415="VCA",$Q415="PREDIAL"),0,0)))</f>
        <v>67.52</v>
      </c>
      <c r="AM415" s="153" t="n">
        <f aca="false">IF(AND($N415="MND",$Q415="EMBOQUE"),$M415,IF(AND($N415="VCA",$Q415="LINEAR"),$M415,IF(AND($N415="VCA",$Q415="PREDIAL"),0,0)))</f>
        <v>67.52</v>
      </c>
      <c r="AN415" s="153" t="n">
        <f aca="false">ROUND(IF(AND($N415="VCA",$M415&lt;&gt;"",$Q415="LINEAR"),$M415/100,IF(AND($N415="MND",$M415&gt;100,$Q415="EMBOQUE"),$M415/100,0)),0)</f>
        <v>1</v>
      </c>
      <c r="AO415" s="153" t="n">
        <f aca="false">IF(AND($N415="MND",$Q415="EMBOQUE"),$AN415*2*2,IF(AND($N415="VCA",$Q415="LINEAR"),$M415*2,IF(AND($N415="VCA",$Q415="PREDIAL"),0,0)))</f>
        <v>135.04</v>
      </c>
      <c r="AP415" s="153" t="n">
        <f aca="false">IFERROR($M415*$AF415*$AG415,0)</f>
        <v>59.819344</v>
      </c>
      <c r="AQ415" s="153" t="n">
        <f aca="false">IFERROR(IF(AND($N415="VCA",$AH415&gt;0),$M415*$AG415*$AH415,0),0)</f>
        <v>4.3888</v>
      </c>
      <c r="AR415" s="153" t="n">
        <f aca="false">IFERROR(IF(AND($N415="VCA",$AJ415&gt;0),($M415*$AG415*$AJ415)-$AI415,0),0)</f>
        <v>15.7208675966334</v>
      </c>
      <c r="AS415" s="153" t="n">
        <f aca="false">IFERROR(IF(AND($N415="VCA",$AP415&gt;0),$AP415-$AI415-$AQ415-$AR415,0),0)</f>
        <v>39.4992</v>
      </c>
      <c r="AT415" s="153" t="n">
        <f aca="false">IFERROR(IF($N415="VCA",INDEX(APOIO_REDES!$A:$W,MATCH($C415&amp;$I415&amp;$H415&amp;$N415&amp;$O415,APOIO_REDES!$W:$W,0),MATCH(AT$5,APOIO_REDES!$5:$5,0)),0)*$AP415,0)</f>
        <v>0.650852168342043</v>
      </c>
      <c r="AU415" s="153" t="n">
        <f aca="false">IFERROR(IF($N415="VCA",INDEX(APOIO_REDES!$A:$W,MATCH($C415&amp;$I415&amp;$H415&amp;$N415&amp;$O415,APOIO_REDES!$W:$W,0),MATCH(AU$5,APOIO_REDES!$5:$5,0)),0)*$AP415,0)</f>
        <v>0.519752914325732</v>
      </c>
      <c r="AV415" s="153" t="n">
        <f aca="false">IFERROR(IF($N415="VCA",INDEX(APOIO_REDES!$A:$W,MATCH($C415&amp;$I415&amp;$H415&amp;$N415&amp;$O415,APOIO_REDES!$W:$W,0),MATCH(AV$5,APOIO_REDES!$5:$5,0)),0)*$AP415,0)</f>
        <v>0.0719297231223263</v>
      </c>
      <c r="AW415" s="153" t="n">
        <f aca="false">IFERROR(IF($N415="VCA",INDEX(APOIO_REDES!$A:$W,MATCH($C415&amp;$I415&amp;$H415&amp;$N415&amp;$O415,APOIO_REDES!$W:$W,0),MATCH(AW$5,APOIO_REDES!$5:$5,0)),0)*$AP415,0)</f>
        <v>41.0604612244951</v>
      </c>
      <c r="AX415" s="153" t="n">
        <f aca="false">IFERROR(IF($N415="VCA",INDEX(APOIO_REDES!$A:$W,MATCH($C415&amp;$I415&amp;$H415&amp;$N415&amp;$O415,APOIO_REDES!$W:$W,0),MATCH(AX$5,APOIO_REDES!$5:$5,0)),0)*$AP415,0)</f>
        <v>5.68265087053235</v>
      </c>
      <c r="AY415" s="153" t="n">
        <f aca="false">IFERROR(IF($N415="VCA",INDEX(APOIO_REDES!$A:$W,MATCH($C415&amp;$I415&amp;$H415&amp;$N415&amp;$O415,APOIO_REDES!$W:$W,0),MATCH(AY$5,APOIO_REDES!$5:$5,0)),0)*$AP415,0)</f>
        <v>10.3950519507687</v>
      </c>
      <c r="AZ415" s="153" t="n">
        <f aca="false">IFERROR(IF($N415="VCA",INDEX(APOIO_REDES!$A:$W,MATCH($C415&amp;$I415&amp;$H415&amp;$N415&amp;$O415,APOIO_REDES!$W:$W,0),MATCH(AZ$5,APOIO_REDES!$5:$5,0)),0)*$AP415,0)</f>
        <v>1.43864514841367</v>
      </c>
      <c r="BA415" s="153" t="n">
        <f aca="false">IFERROR(IF(AND($N415="VCA",$Q415="LINEAR"),INDEX(APOIO_REDES!$A:$W,MATCH($C415&amp;$I415&amp;$H415&amp;$N415&amp;$O415,APOIO_REDES!$W:$W,0),MATCH(BA$5,APOIO_REDES!$5:$5,0)),IF(AND($N415="MND",$Q415="EMBOQUE"),INDEX(APOIO_REDES!$A:$W,MATCH($C415&amp;$I415&amp;$H415&amp;$N415&amp;$O415,APOIO_REDES!$W:$W,0),MATCH(BA$5,APOIO_REDES!$5:$5,0)),0))*$M415/10,0)</f>
        <v>5.44194168618676</v>
      </c>
      <c r="BB415" s="153" t="n">
        <f aca="false">IFERROR(IF($N415="VCA",INDEX(APOIO_REDES!$A:$W,MATCH($C415&amp;$I415&amp;$H415&amp;$N415&amp;$O415,APOIO_REDES!$W:$W,0),MATCH(BB$5,APOIO_REDES!$5:$5,0)),0)*($AI415+$AQ415+$AR415),0)</f>
        <v>20.0990548188244</v>
      </c>
      <c r="BC415" s="153" t="n">
        <f aca="false">IFERROR(IF($N415="VCA",INDEX(APOIO_REDES!$A:$W,MATCH($C415&amp;$I415&amp;$H415&amp;$N415&amp;$O415,APOIO_REDES!$W:$W,0),MATCH(BC$5,APOIO_REDES!$5:$5,0)),0)*($AI415+$AQ415+$AR415),0)</f>
        <v>0.221089181175617</v>
      </c>
      <c r="BD415" s="153" t="n">
        <f aca="false">IF(AND($N415="VCA",$AF415&gt;=1.25,$AF415&lt;1.5),$M415*$AF415*2,0)</f>
        <v>184.05952</v>
      </c>
      <c r="BE415" s="153" t="n">
        <f aca="false">IF(AND($N415="VCA",$AF415&gt;=1.5,$AF415&lt;3),$M415*$AF415*2,0)</f>
        <v>0</v>
      </c>
      <c r="BF415" s="153" t="n">
        <f aca="false">IF(AND($N415="VCA",$AF415&gt;=3),$M415*$AF415*2,0)</f>
        <v>0</v>
      </c>
      <c r="BG415" s="153" t="n">
        <f aca="false">($BB415+$BC415)*$AK415</f>
        <v>54.8643888</v>
      </c>
      <c r="BH415" s="153" t="n">
        <f aca="false">IF(AND($M415&lt;&gt;"",$N415="VCA",$Q415="LINEAR"),($M415*2)/100,IF(AND($M415&lt;&gt;"",$N415="MND",$Q415="EMBOQUE"),($AN415*2)/100,0))</f>
        <v>1.3504</v>
      </c>
      <c r="BI415" s="153" t="n">
        <f aca="false">IF(AND($M415&lt;&gt;"",$N415="VCA",$Q415="LINEAR"),$M415,IF(AND($M415&lt;&gt;"",$N415="MND",$Q415="EMBOQUE"),$AN415*2,0))</f>
        <v>67.52</v>
      </c>
      <c r="BJ415" s="153" t="n">
        <f aca="false">IF(AND($M415&lt;&gt;"",$N415="VCA",$Q415="LINEAR"),($M415*6.8)/100,IF(AND($M415&lt;&gt;"",$N415="MND",$Q415="EMBOQUE"),($AN415*2*6.8)/100,0))</f>
        <v>4.59136</v>
      </c>
      <c r="BK415" s="153" t="n">
        <f aca="false">IF(AND($M415&lt;&gt;"",$N415="VCA",$Q415="LINEAR"),($M415*2.5)/50,IF(AND($M415&lt;&gt;"",$N415="MND",$Q415="EMBOQUE"),($AN415*2*2.5)/50,0))</f>
        <v>3.376</v>
      </c>
      <c r="BL415" s="157" t="str">
        <f aca="false">K415&amp;J415</f>
        <v>Zona04REDES</v>
      </c>
      <c r="BM415" s="152" t="s">
        <v>2969</v>
      </c>
      <c r="BN415" s="152" t="s">
        <v>1560</v>
      </c>
      <c r="BO415" s="152" t="s">
        <v>3104</v>
      </c>
      <c r="BP415" s="152" t="s">
        <v>3110</v>
      </c>
      <c r="BQ415" s="152" t="s">
        <v>3111</v>
      </c>
      <c r="BR415" s="152" t="s">
        <v>3112</v>
      </c>
      <c r="BS415" s="152" t="n">
        <v>203734.949</v>
      </c>
      <c r="BT415" s="152" t="n">
        <v>8238681.743</v>
      </c>
      <c r="BU415" s="152" t="n">
        <v>203757.466</v>
      </c>
      <c r="BV415" s="152" t="n">
        <v>8238740.809</v>
      </c>
      <c r="BW415" s="152" t="n">
        <v>-15.9131304</v>
      </c>
      <c r="BX415" s="152" t="n">
        <v>-47.7668322</v>
      </c>
      <c r="BY415" s="152" t="s">
        <v>3110</v>
      </c>
    </row>
    <row r="416" customFormat="false" ht="13.8" hidden="false" customHeight="false" outlineLevel="0" collapsed="false">
      <c r="A416" s="149" t="n">
        <f aca="false">IF(C416&lt;&gt;"",ROW(A411),"")</f>
        <v>411</v>
      </c>
      <c r="B416" s="150" t="str">
        <f aca="false">HYPERLINK("https://www.google.com/maps/dir/-15.917302,-47.760003/-15.9132341,-47.7673643/data=!4m3!4m2!3e0!5i0")</f>
        <v>https://www.google.com/maps/dir/-15.917302,-47.760003/-15.9132341,-47.7673643/data=!4m3!4m2!3e0!5i0</v>
      </c>
      <c r="C416" s="151" t="s">
        <v>117</v>
      </c>
      <c r="D416" s="152" t="s">
        <v>112</v>
      </c>
      <c r="E416" s="152" t="s">
        <v>113</v>
      </c>
      <c r="F416" s="152" t="s">
        <v>117</v>
      </c>
      <c r="G416" s="152" t="s">
        <v>782</v>
      </c>
      <c r="H416" s="152" t="n">
        <v>63</v>
      </c>
      <c r="I416" s="152" t="s">
        <v>115</v>
      </c>
      <c r="J416" s="152" t="s">
        <v>6</v>
      </c>
      <c r="K416" s="152" t="s">
        <v>2966</v>
      </c>
      <c r="L416" s="152" t="s">
        <v>120</v>
      </c>
      <c r="M416" s="153" t="n">
        <f aca="false">47.94</f>
        <v>47.94</v>
      </c>
      <c r="N416" s="152" t="s">
        <v>1548</v>
      </c>
      <c r="O416" s="152" t="s">
        <v>1549</v>
      </c>
      <c r="P416" s="152" t="s">
        <v>1550</v>
      </c>
      <c r="Q416" s="152" t="s">
        <v>1551</v>
      </c>
      <c r="R416" s="154" t="s">
        <v>3113</v>
      </c>
      <c r="S416" s="154" t="s">
        <v>1553</v>
      </c>
      <c r="T416" s="155" t="s">
        <v>3101</v>
      </c>
      <c r="U416" s="152" t="str">
        <f aca="false">RIGHT(T416,7)</f>
        <v>004/037</v>
      </c>
      <c r="V416" s="152" t="s">
        <v>1555</v>
      </c>
      <c r="W416" s="156" t="n">
        <v>45882</v>
      </c>
      <c r="X416" s="152" t="s">
        <v>1594</v>
      </c>
      <c r="Y416" s="152" t="s">
        <v>3102</v>
      </c>
      <c r="Z416" s="152" t="s">
        <v>1557</v>
      </c>
      <c r="AA416" s="153" t="n">
        <v>2.1</v>
      </c>
      <c r="AB416" s="151" t="s">
        <v>3114</v>
      </c>
      <c r="AC416" s="151" t="s">
        <v>186</v>
      </c>
      <c r="AD416" s="151" t="str">
        <f aca="false">CONCATENATE($C416,$I416,$H416,$N416,$J416,$K416)</f>
        <v>TUBO PEADPEAD63VCAREDESZona04</v>
      </c>
      <c r="AE416" s="153" t="n">
        <f aca="false">IFERROR(INDEX(APOIO_REDES!$A:$W,MATCH($C416&amp;$I416&amp;$H416&amp;$N416&amp;$O416,APOIO_REDES!$W:$W,0),MATCH(AE$5,APOIO_REDES!$5:$5,0)),0)</f>
        <v>1.2</v>
      </c>
      <c r="AF416" s="153" t="n">
        <f aca="false">IFERROR(INDEX(APOIO_REDES!$A:$W,MATCH($C416&amp;$I416&amp;$H416&amp;$N416&amp;$O416,APOIO_REDES!$W:$W,0),MATCH(AF$5,APOIO_REDES!$5:$5,0)),0)</f>
        <v>1.363</v>
      </c>
      <c r="AG416" s="153" t="n">
        <f aca="false">IFERROR(INDEX(APOIO_REDES!$A:$W,MATCH($C416&amp;$I416&amp;$H416&amp;$N416&amp;$O416,APOIO_REDES!$W:$W,0),MATCH(AG$5,APOIO_REDES!$5:$5,0)),0)</f>
        <v>0.65</v>
      </c>
      <c r="AH416" s="153" t="n">
        <f aca="false">IFERROR(INDEX(APOIO_REDES!$A:$W,MATCH($C416&amp;$I416&amp;$H416&amp;$N416&amp;$O416,APOIO_REDES!$W:$W,0),MATCH(AH$5,APOIO_REDES!$5:$5,0)),0)</f>
        <v>0.1</v>
      </c>
      <c r="AI416" s="153" t="n">
        <f aca="false">IFERROR(IF($H416&lt;&gt;"",(((($H416/1000)/2)^2)*PI()*$M416),0),0)</f>
        <v>0.149440740186543</v>
      </c>
      <c r="AJ416" s="153" t="n">
        <f aca="false">IFERROR(IF(AND($H416&lt;&gt;"",$I416="FoFo",OR($N416="MND",$N416="VCA"),$Q416="LINEAR"),0,IF(AND($H416&lt;&gt;"",$I416="PEAD",$N416="VCA",$Q416="LINEAR"),($H416/1000)+0.3,IF(AND($H416&lt;&gt;"",$I416="PEAD",$N416="MND",$Q416="EMBOQUE"),0,IF(AND($H416&lt;&gt;"",$I416="PVC",$N416="VCA",$Q416="LINEAR"),($H416/1000)+0.2,IF(AND($H416&lt;&gt;"",$I416="PVC",$N416="MND",$Q416="EMBOQUE"),0,IF(AND($H416&lt;&gt;"",$I416="PEAD",$N416="VCA",$Q416="PREDIAL"),0,0)))))),0)</f>
        <v>0.363</v>
      </c>
      <c r="AK416" s="153" t="n">
        <f aca="false">IF(AA416&lt;&gt;"",AA416,0)</f>
        <v>2.1</v>
      </c>
      <c r="AL416" s="153" t="n">
        <f aca="false">IF(AND($N416="MND",$Q416="EMBOQUE"),$M416,IF(AND($N416="VCA",$Q416="LINEAR"),$M416,IF(AND($N416="VCA",$Q416="PREDIAL"),0,0)))</f>
        <v>47.94</v>
      </c>
      <c r="AM416" s="153" t="n">
        <f aca="false">IF(AND($N416="MND",$Q416="EMBOQUE"),$M416,IF(AND($N416="VCA",$Q416="LINEAR"),$M416,IF(AND($N416="VCA",$Q416="PREDIAL"),0,0)))</f>
        <v>47.94</v>
      </c>
      <c r="AN416" s="153" t="n">
        <f aca="false">ROUND(IF(AND($N416="VCA",$M416&lt;&gt;"",$Q416="LINEAR"),$M416/100,IF(AND($N416="MND",$M416&gt;100,$Q416="EMBOQUE"),$M416/100,0)),0)</f>
        <v>0</v>
      </c>
      <c r="AO416" s="153" t="n">
        <f aca="false">IF(AND($N416="MND",$Q416="EMBOQUE"),$AN416*2*2,IF(AND($N416="VCA",$Q416="LINEAR"),$M416*2,IF(AND($N416="VCA",$Q416="PREDIAL"),0,0)))</f>
        <v>95.88</v>
      </c>
      <c r="AP416" s="153" t="n">
        <f aca="false">IFERROR($M416*$AF416*$AG416,0)</f>
        <v>42.472443</v>
      </c>
      <c r="AQ416" s="153" t="n">
        <f aca="false">IFERROR(IF(AND($N416="VCA",$AH416&gt;0),$M416*$AG416*$AH416,0),0)</f>
        <v>3.1161</v>
      </c>
      <c r="AR416" s="153" t="n">
        <f aca="false">IFERROR(IF(AND($N416="VCA",$AJ416&gt;0),($M416*$AG416*$AJ416)-$AI416,0),0)</f>
        <v>11.1620022598135</v>
      </c>
      <c r="AS416" s="153" t="n">
        <f aca="false">IFERROR(IF(AND($N416="VCA",$AP416&gt;0),$AP416-$AI416-$AQ416-$AR416,0),0)</f>
        <v>28.0449</v>
      </c>
      <c r="AT416" s="153" t="n">
        <f aca="false">IFERROR(IF($N416="VCA",INDEX(APOIO_REDES!$A:$W,MATCH($C416&amp;$I416&amp;$H416&amp;$N416&amp;$O416,APOIO_REDES!$W:$W,0),MATCH(AT$5,APOIO_REDES!$5:$5,0)),0)*$AP416,0)</f>
        <v>0.462112751041432</v>
      </c>
      <c r="AU416" s="153" t="n">
        <f aca="false">IFERROR(IF($N416="VCA",INDEX(APOIO_REDES!$A:$W,MATCH($C416&amp;$I416&amp;$H416&amp;$N416&amp;$O416,APOIO_REDES!$W:$W,0),MATCH(AU$5,APOIO_REDES!$5:$5,0)),0)*$AP416,0)</f>
        <v>0.369030727381155</v>
      </c>
      <c r="AV416" s="153" t="n">
        <f aca="false">IFERROR(IF($N416="VCA",INDEX(APOIO_REDES!$A:$W,MATCH($C416&amp;$I416&amp;$H416&amp;$N416&amp;$O416,APOIO_REDES!$W:$W,0),MATCH(AV$5,APOIO_REDES!$5:$5,0)),0)*$AP416,0)</f>
        <v>0.0510709556647559</v>
      </c>
      <c r="AW416" s="153" t="n">
        <f aca="false">IFERROR(IF($N416="VCA",INDEX(APOIO_REDES!$A:$W,MATCH($C416&amp;$I416&amp;$H416&amp;$N416&amp;$O416,APOIO_REDES!$W:$W,0),MATCH(AW$5,APOIO_REDES!$5:$5,0)),0)*$AP416,0)</f>
        <v>29.1534139677473</v>
      </c>
      <c r="AX416" s="153" t="n">
        <f aca="false">IFERROR(IF($N416="VCA",INDEX(APOIO_REDES!$A:$W,MATCH($C416&amp;$I416&amp;$H416&amp;$N416&amp;$O416,APOIO_REDES!$W:$W,0),MATCH(AX$5,APOIO_REDES!$5:$5,0)),0)*$AP416,0)</f>
        <v>4.03474944806458</v>
      </c>
      <c r="AY416" s="153" t="n">
        <f aca="false">IFERROR(IF($N416="VCA",INDEX(APOIO_REDES!$A:$W,MATCH($C416&amp;$I416&amp;$H416&amp;$N416&amp;$O416,APOIO_REDES!$W:$W,0),MATCH(AY$5,APOIO_REDES!$5:$5,0)),0)*$AP416,0)</f>
        <v>7.38061004916845</v>
      </c>
      <c r="AZ416" s="153" t="n">
        <f aca="false">IFERROR(IF($N416="VCA",INDEX(APOIO_REDES!$A:$W,MATCH($C416&amp;$I416&amp;$H416&amp;$N416&amp;$O416,APOIO_REDES!$W:$W,0),MATCH(AZ$5,APOIO_REDES!$5:$5,0)),0)*$AP416,0)</f>
        <v>1.02145510093234</v>
      </c>
      <c r="BA416" s="153" t="n">
        <f aca="false">IFERROR(IF(AND($N416="VCA",$Q416="LINEAR"),INDEX(APOIO_REDES!$A:$W,MATCH($C416&amp;$I416&amp;$H416&amp;$N416&amp;$O416,APOIO_REDES!$W:$W,0),MATCH(BA$5,APOIO_REDES!$5:$5,0)),IF(AND($N416="MND",$Q416="EMBOQUE"),INDEX(APOIO_REDES!$A:$W,MATCH($C416&amp;$I416&amp;$H416&amp;$N416&amp;$O416,APOIO_REDES!$W:$W,0),MATCH(BA$5,APOIO_REDES!$5:$5,0)),0))*$M416/10,0)</f>
        <v>3.86384307517467</v>
      </c>
      <c r="BB416" s="153" t="n">
        <f aca="false">IFERROR(IF($N416="VCA",INDEX(APOIO_REDES!$A:$W,MATCH($C416&amp;$I416&amp;$H416&amp;$N416&amp;$O416,APOIO_REDES!$W:$W,0),MATCH(BB$5,APOIO_REDES!$5:$5,0)),0)*($AI416+$AQ416+$AR416),0)</f>
        <v>14.2705670618252</v>
      </c>
      <c r="BC416" s="153" t="n">
        <f aca="false">IFERROR(IF($N416="VCA",INDEX(APOIO_REDES!$A:$W,MATCH($C416&amp;$I416&amp;$H416&amp;$N416&amp;$O416,APOIO_REDES!$W:$W,0),MATCH(BC$5,APOIO_REDES!$5:$5,0)),0)*($AI416+$AQ416+$AR416),0)</f>
        <v>0.156975938174749</v>
      </c>
      <c r="BD416" s="153" t="n">
        <f aca="false">IF(AND($N416="VCA",$AF416&gt;=1.25,$AF416&lt;1.5),$M416*$AF416*2,0)</f>
        <v>130.68444</v>
      </c>
      <c r="BE416" s="153" t="n">
        <f aca="false">IF(AND($N416="VCA",$AF416&gt;=1.5,$AF416&lt;3),$M416*$AF416*2,0)</f>
        <v>0</v>
      </c>
      <c r="BF416" s="153" t="n">
        <f aca="false">IF(AND($N416="VCA",$AF416&gt;=3),$M416*$AF416*2,0)</f>
        <v>0</v>
      </c>
      <c r="BG416" s="153" t="n">
        <f aca="false">($BB416+$BC416)*$AK416</f>
        <v>30.2978403</v>
      </c>
      <c r="BH416" s="153" t="n">
        <f aca="false">IF(AND($M416&lt;&gt;"",$N416="VCA",$Q416="LINEAR"),($M416*2)/100,IF(AND($M416&lt;&gt;"",$N416="MND",$Q416="EMBOQUE"),($AN416*2)/100,0))</f>
        <v>0.9588</v>
      </c>
      <c r="BI416" s="153" t="n">
        <f aca="false">IF(AND($M416&lt;&gt;"",$N416="VCA",$Q416="LINEAR"),$M416,IF(AND($M416&lt;&gt;"",$N416="MND",$Q416="EMBOQUE"),$AN416*2,0))</f>
        <v>47.94</v>
      </c>
      <c r="BJ416" s="153" t="n">
        <f aca="false">IF(AND($M416&lt;&gt;"",$N416="VCA",$Q416="LINEAR"),($M416*6.8)/100,IF(AND($M416&lt;&gt;"",$N416="MND",$Q416="EMBOQUE"),($AN416*2*6.8)/100,0))</f>
        <v>3.25992</v>
      </c>
      <c r="BK416" s="153" t="n">
        <f aca="false">IF(AND($M416&lt;&gt;"",$N416="VCA",$Q416="LINEAR"),($M416*2.5)/50,IF(AND($M416&lt;&gt;"",$N416="MND",$Q416="EMBOQUE"),($AN416*2*2.5)/50,0))</f>
        <v>2.397</v>
      </c>
      <c r="BL416" s="157" t="str">
        <f aca="false">K416&amp;J416</f>
        <v>Zona04REDES</v>
      </c>
      <c r="BM416" s="152" t="s">
        <v>2969</v>
      </c>
      <c r="BN416" s="152" t="s">
        <v>1560</v>
      </c>
      <c r="BO416" s="152" t="s">
        <v>3104</v>
      </c>
      <c r="BP416" s="152" t="s">
        <v>3105</v>
      </c>
      <c r="BQ416" s="152" t="s">
        <v>3115</v>
      </c>
      <c r="BR416" s="152" t="s">
        <v>3116</v>
      </c>
      <c r="BS416" s="152" t="n">
        <v>203689.351</v>
      </c>
      <c r="BT416" s="152" t="n">
        <v>8238699.038</v>
      </c>
      <c r="BU416" s="152" t="n">
        <v>203734.165</v>
      </c>
      <c r="BV416" s="152" t="n">
        <v>8238682.037</v>
      </c>
      <c r="BW416" s="152" t="n">
        <v>-15.9133164</v>
      </c>
      <c r="BX416" s="152" t="n">
        <v>-47.7671574</v>
      </c>
      <c r="BY416" s="152" t="s">
        <v>3105</v>
      </c>
    </row>
    <row r="417" customFormat="false" ht="13.8" hidden="false" customHeight="false" outlineLevel="0" collapsed="false">
      <c r="A417" s="149" t="n">
        <f aca="false">IF(C417&lt;&gt;"",ROW(A412),"")</f>
        <v>412</v>
      </c>
      <c r="B417" s="150" t="str">
        <f aca="false">HYPERLINK("https://www.google.com/maps/dir/-15.917302,-47.760003/-15.9135542,-47.7684735/data=!4m3!4m2!3e0!5i0")</f>
        <v>https://www.google.com/maps/dir/-15.917302,-47.760003/-15.9135542,-47.7684735/data=!4m3!4m2!3e0!5i0</v>
      </c>
      <c r="C417" s="151" t="s">
        <v>117</v>
      </c>
      <c r="D417" s="152" t="s">
        <v>112</v>
      </c>
      <c r="E417" s="152" t="s">
        <v>113</v>
      </c>
      <c r="F417" s="152" t="s">
        <v>117</v>
      </c>
      <c r="G417" s="152" t="s">
        <v>782</v>
      </c>
      <c r="H417" s="152" t="n">
        <v>63</v>
      </c>
      <c r="I417" s="152" t="s">
        <v>115</v>
      </c>
      <c r="J417" s="152" t="s">
        <v>6</v>
      </c>
      <c r="K417" s="152" t="s">
        <v>2966</v>
      </c>
      <c r="L417" s="152" t="s">
        <v>120</v>
      </c>
      <c r="M417" s="153" t="n">
        <f aca="false">40.28+5.13</f>
        <v>45.41</v>
      </c>
      <c r="N417" s="152" t="s">
        <v>1548</v>
      </c>
      <c r="O417" s="152" t="s">
        <v>1549</v>
      </c>
      <c r="P417" s="152" t="s">
        <v>1550</v>
      </c>
      <c r="Q417" s="152" t="s">
        <v>1551</v>
      </c>
      <c r="R417" s="154" t="s">
        <v>3117</v>
      </c>
      <c r="S417" s="154" t="s">
        <v>1553</v>
      </c>
      <c r="T417" s="155" t="s">
        <v>3101</v>
      </c>
      <c r="U417" s="152" t="str">
        <f aca="false">RIGHT(T417,7)</f>
        <v>004/037</v>
      </c>
      <c r="V417" s="152" t="s">
        <v>1555</v>
      </c>
      <c r="W417" s="156" t="n">
        <v>45882</v>
      </c>
      <c r="X417" s="152" t="s">
        <v>1594</v>
      </c>
      <c r="Y417" s="152" t="s">
        <v>3010</v>
      </c>
      <c r="Z417" s="152" t="s">
        <v>1557</v>
      </c>
      <c r="AA417" s="153" t="n">
        <v>1.9</v>
      </c>
      <c r="AB417" s="151" t="s">
        <v>3118</v>
      </c>
      <c r="AC417" s="151" t="s">
        <v>186</v>
      </c>
      <c r="AD417" s="151" t="str">
        <f aca="false">CONCATENATE($C417,$I417,$H417,$N417,$J417,$K417)</f>
        <v>TUBO PEADPEAD63VCAREDESZona04</v>
      </c>
      <c r="AE417" s="153" t="n">
        <f aca="false">IFERROR(INDEX(APOIO_REDES!$A:$W,MATCH($C417&amp;$I417&amp;$H417&amp;$N417&amp;$O417,APOIO_REDES!$W:$W,0),MATCH(AE$5,APOIO_REDES!$5:$5,0)),0)</f>
        <v>1.2</v>
      </c>
      <c r="AF417" s="153" t="n">
        <f aca="false">IFERROR(INDEX(APOIO_REDES!$A:$W,MATCH($C417&amp;$I417&amp;$H417&amp;$N417&amp;$O417,APOIO_REDES!$W:$W,0),MATCH(AF$5,APOIO_REDES!$5:$5,0)),0)</f>
        <v>1.363</v>
      </c>
      <c r="AG417" s="153" t="n">
        <f aca="false">IFERROR(INDEX(APOIO_REDES!$A:$W,MATCH($C417&amp;$I417&amp;$H417&amp;$N417&amp;$O417,APOIO_REDES!$W:$W,0),MATCH(AG$5,APOIO_REDES!$5:$5,0)),0)</f>
        <v>0.65</v>
      </c>
      <c r="AH417" s="153" t="n">
        <f aca="false">IFERROR(INDEX(APOIO_REDES!$A:$W,MATCH($C417&amp;$I417&amp;$H417&amp;$N417&amp;$O417,APOIO_REDES!$W:$W,0),MATCH(AH$5,APOIO_REDES!$5:$5,0)),0)</f>
        <v>0.1</v>
      </c>
      <c r="AI417" s="153" t="n">
        <f aca="false">IFERROR(IF($H417&lt;&gt;"",(((($H417/1000)/2)^2)*PI()*$M417),0),0)</f>
        <v>0.141554109550916</v>
      </c>
      <c r="AJ417" s="153" t="n">
        <f aca="false">IFERROR(IF(AND($H417&lt;&gt;"",$I417="FoFo",OR($N417="MND",$N417="VCA"),$Q417="LINEAR"),0,IF(AND($H417&lt;&gt;"",$I417="PEAD",$N417="VCA",$Q417="LINEAR"),($H417/1000)+0.3,IF(AND($H417&lt;&gt;"",$I417="PEAD",$N417="MND",$Q417="EMBOQUE"),0,IF(AND($H417&lt;&gt;"",$I417="PVC",$N417="VCA",$Q417="LINEAR"),($H417/1000)+0.2,IF(AND($H417&lt;&gt;"",$I417="PVC",$N417="MND",$Q417="EMBOQUE"),0,IF(AND($H417&lt;&gt;"",$I417="PEAD",$N417="VCA",$Q417="PREDIAL"),0,0)))))),0)</f>
        <v>0.363</v>
      </c>
      <c r="AK417" s="153" t="n">
        <f aca="false">IF(AA417&lt;&gt;"",AA417,0)</f>
        <v>1.9</v>
      </c>
      <c r="AL417" s="153" t="n">
        <f aca="false">IF(AND($N417="MND",$Q417="EMBOQUE"),$M417,IF(AND($N417="VCA",$Q417="LINEAR"),$M417,IF(AND($N417="VCA",$Q417="PREDIAL"),0,0)))</f>
        <v>45.41</v>
      </c>
      <c r="AM417" s="153" t="n">
        <f aca="false">IF(AND($N417="MND",$Q417="EMBOQUE"),$M417,IF(AND($N417="VCA",$Q417="LINEAR"),$M417,IF(AND($N417="VCA",$Q417="PREDIAL"),0,0)))</f>
        <v>45.41</v>
      </c>
      <c r="AN417" s="153" t="n">
        <f aca="false">ROUND(IF(AND($N417="VCA",$M417&lt;&gt;"",$Q417="LINEAR"),$M417/100,IF(AND($N417="MND",$M417&gt;100,$Q417="EMBOQUE"),$M417/100,0)),0)</f>
        <v>0</v>
      </c>
      <c r="AO417" s="153" t="n">
        <f aca="false">IF(AND($N417="MND",$Q417="EMBOQUE"),$AN417*2*2,IF(AND($N417="VCA",$Q417="LINEAR"),$M417*2,IF(AND($N417="VCA",$Q417="PREDIAL"),0,0)))</f>
        <v>90.82</v>
      </c>
      <c r="AP417" s="153" t="n">
        <f aca="false">IFERROR($M417*$AF417*$AG417,0)</f>
        <v>40.2309895</v>
      </c>
      <c r="AQ417" s="153" t="n">
        <f aca="false">IFERROR(IF(AND($N417="VCA",$AH417&gt;0),$M417*$AG417*$AH417,0),0)</f>
        <v>2.95165</v>
      </c>
      <c r="AR417" s="153" t="n">
        <f aca="false">IFERROR(IF(AND($N417="VCA",$AJ417&gt;0),($M417*$AG417*$AJ417)-$AI417,0),0)</f>
        <v>10.5729353904491</v>
      </c>
      <c r="AS417" s="153" t="n">
        <f aca="false">IFERROR(IF(AND($N417="VCA",$AP417&gt;0),$AP417-$AI417-$AQ417-$AR417,0),0)</f>
        <v>26.56485</v>
      </c>
      <c r="AT417" s="153" t="n">
        <f aca="false">IFERROR(IF($N417="VCA",INDEX(APOIO_REDES!$A:$W,MATCH($C417&amp;$I417&amp;$H417&amp;$N417&amp;$O417,APOIO_REDES!$W:$W,0),MATCH(AT$5,APOIO_REDES!$5:$5,0)),0)*$AP417,0)</f>
        <v>0.437725073525061</v>
      </c>
      <c r="AU417" s="153" t="n">
        <f aca="false">IFERROR(IF($N417="VCA",INDEX(APOIO_REDES!$A:$W,MATCH($C417&amp;$I417&amp;$H417&amp;$N417&amp;$O417,APOIO_REDES!$W:$W,0),MATCH(AU$5,APOIO_REDES!$5:$5,0)),0)*$AP417,0)</f>
        <v>0.349555388618654</v>
      </c>
      <c r="AV417" s="153" t="n">
        <f aca="false">IFERROR(IF($N417="VCA",INDEX(APOIO_REDES!$A:$W,MATCH($C417&amp;$I417&amp;$H417&amp;$N417&amp;$O417,APOIO_REDES!$W:$W,0),MATCH(AV$5,APOIO_REDES!$5:$5,0)),0)*$AP417,0)</f>
        <v>0.0483757216674294</v>
      </c>
      <c r="AW417" s="153" t="n">
        <f aca="false">IFERROR(IF($N417="VCA",INDEX(APOIO_REDES!$A:$W,MATCH($C417&amp;$I417&amp;$H417&amp;$N417&amp;$O417,APOIO_REDES!$W:$W,0),MATCH(AW$5,APOIO_REDES!$5:$5,0)),0)*$AP417,0)</f>
        <v>27.6148629177181</v>
      </c>
      <c r="AX417" s="153" t="n">
        <f aca="false">IFERROR(IF($N417="VCA",INDEX(APOIO_REDES!$A:$W,MATCH($C417&amp;$I417&amp;$H417&amp;$N417&amp;$O417,APOIO_REDES!$W:$W,0),MATCH(AX$5,APOIO_REDES!$5:$5,0)),0)*$AP417,0)</f>
        <v>3.82181836538617</v>
      </c>
      <c r="AY417" s="153" t="n">
        <f aca="false">IFERROR(IF($N417="VCA",INDEX(APOIO_REDES!$A:$W,MATCH($C417&amp;$I417&amp;$H417&amp;$N417&amp;$O417,APOIO_REDES!$W:$W,0),MATCH(AY$5,APOIO_REDES!$5:$5,0)),0)*$AP417,0)</f>
        <v>6.99110351132122</v>
      </c>
      <c r="AZ417" s="153" t="n">
        <f aca="false">IFERROR(IF($N417="VCA",INDEX(APOIO_REDES!$A:$W,MATCH($C417&amp;$I417&amp;$H417&amp;$N417&amp;$O417,APOIO_REDES!$W:$W,0),MATCH(AZ$5,APOIO_REDES!$5:$5,0)),0)*$AP417,0)</f>
        <v>0.967548521763399</v>
      </c>
      <c r="BA417" s="153" t="n">
        <f aca="false">IFERROR(IF(AND($N417="VCA",$Q417="LINEAR"),INDEX(APOIO_REDES!$A:$W,MATCH($C417&amp;$I417&amp;$H417&amp;$N417&amp;$O417,APOIO_REDES!$W:$W,0),MATCH(BA$5,APOIO_REDES!$5:$5,0)),IF(AND($N417="MND",$Q417="EMBOQUE"),INDEX(APOIO_REDES!$A:$W,MATCH($C417&amp;$I417&amp;$H417&amp;$N417&amp;$O417,APOIO_REDES!$W:$W,0),MATCH(BA$5,APOIO_REDES!$5:$5,0)),0))*$M417/10,0)</f>
        <v>3.65993145689782</v>
      </c>
      <c r="BB417" s="153" t="n">
        <f aca="false">IFERROR(IF($N417="VCA",INDEX(APOIO_REDES!$A:$W,MATCH($C417&amp;$I417&amp;$H417&amp;$N417&amp;$O417,APOIO_REDES!$W:$W,0),MATCH(BB$5,APOIO_REDES!$5:$5,0)),0)*($AI417+$AQ417+$AR417),0)</f>
        <v>13.5174478572692</v>
      </c>
      <c r="BC417" s="153" t="n">
        <f aca="false">IFERROR(IF($N417="VCA",INDEX(APOIO_REDES!$A:$W,MATCH($C417&amp;$I417&amp;$H417&amp;$N417&amp;$O417,APOIO_REDES!$W:$W,0),MATCH(BC$5,APOIO_REDES!$5:$5,0)),0)*($AI417+$AQ417+$AR417),0)</f>
        <v>0.148691642730817</v>
      </c>
      <c r="BD417" s="153" t="n">
        <f aca="false">IF(AND($N417="VCA",$AF417&gt;=1.25,$AF417&lt;1.5),$M417*$AF417*2,0)</f>
        <v>123.78766</v>
      </c>
      <c r="BE417" s="153" t="n">
        <f aca="false">IF(AND($N417="VCA",$AF417&gt;=1.5,$AF417&lt;3),$M417*$AF417*2,0)</f>
        <v>0</v>
      </c>
      <c r="BF417" s="153" t="n">
        <f aca="false">IF(AND($N417="VCA",$AF417&gt;=3),$M417*$AF417*2,0)</f>
        <v>0</v>
      </c>
      <c r="BG417" s="153" t="n">
        <f aca="false">($BB417+$BC417)*$AK417</f>
        <v>25.96566505</v>
      </c>
      <c r="BH417" s="153" t="n">
        <f aca="false">IF(AND($M417&lt;&gt;"",$N417="VCA",$Q417="LINEAR"),($M417*2)/100,IF(AND($M417&lt;&gt;"",$N417="MND",$Q417="EMBOQUE"),($AN417*2)/100,0))</f>
        <v>0.9082</v>
      </c>
      <c r="BI417" s="153" t="n">
        <f aca="false">IF(AND($M417&lt;&gt;"",$N417="VCA",$Q417="LINEAR"),$M417,IF(AND($M417&lt;&gt;"",$N417="MND",$Q417="EMBOQUE"),$AN417*2,0))</f>
        <v>45.41</v>
      </c>
      <c r="BJ417" s="153" t="n">
        <f aca="false">IF(AND($M417&lt;&gt;"",$N417="VCA",$Q417="LINEAR"),($M417*6.8)/100,IF(AND($M417&lt;&gt;"",$N417="MND",$Q417="EMBOQUE"),($AN417*2*6.8)/100,0))</f>
        <v>3.08788</v>
      </c>
      <c r="BK417" s="153" t="n">
        <f aca="false">IF(AND($M417&lt;&gt;"",$N417="VCA",$Q417="LINEAR"),($M417*2.5)/50,IF(AND($M417&lt;&gt;"",$N417="MND",$Q417="EMBOQUE"),($AN417*2*2.5)/50,0))</f>
        <v>2.2705</v>
      </c>
      <c r="BL417" s="157" t="str">
        <f aca="false">K417&amp;J417</f>
        <v>Zona04REDES</v>
      </c>
      <c r="BM417" s="152" t="s">
        <v>2969</v>
      </c>
      <c r="BN417" s="152" t="s">
        <v>1560</v>
      </c>
      <c r="BO417" s="152" t="s">
        <v>3104</v>
      </c>
      <c r="BP417" s="152" t="s">
        <v>3012</v>
      </c>
      <c r="BQ417" s="152" t="s">
        <v>3119</v>
      </c>
      <c r="BR417" s="152" t="s">
        <v>3013</v>
      </c>
      <c r="BS417" s="152" t="n">
        <v>203570.637</v>
      </c>
      <c r="BT417" s="152" t="n">
        <v>8238662.188</v>
      </c>
      <c r="BU417" s="152" t="n">
        <v>203585.943</v>
      </c>
      <c r="BV417" s="152" t="n">
        <v>8238699.422</v>
      </c>
      <c r="BW417" s="152" t="n">
        <v>-15.9133869</v>
      </c>
      <c r="BX417" s="152" t="n">
        <v>-47.7683997</v>
      </c>
      <c r="BY417" s="152" t="s">
        <v>3012</v>
      </c>
    </row>
    <row r="418" customFormat="false" ht="13.8" hidden="false" customHeight="false" outlineLevel="0" collapsed="false">
      <c r="A418" s="149" t="n">
        <f aca="false">IF(C418&lt;&gt;"",ROW(A413),"")</f>
        <v>413</v>
      </c>
      <c r="B418" s="150" t="str">
        <f aca="false">HYPERLINK("https://www.google.com/maps/dir/-15.917302,-47.760003/-15.9133958,-47.7669409/data=!4m3!4m2!3e0!5i1")</f>
        <v>https://www.google.com/maps/dir/-15.917302,-47.760003/-15.9133958,-47.7669409/data=!4m3!4m2!3e0!5i1</v>
      </c>
      <c r="C418" s="151" t="s">
        <v>117</v>
      </c>
      <c r="D418" s="152" t="s">
        <v>112</v>
      </c>
      <c r="E418" s="152" t="s">
        <v>113</v>
      </c>
      <c r="F418" s="152" t="s">
        <v>117</v>
      </c>
      <c r="G418" s="152" t="s">
        <v>782</v>
      </c>
      <c r="H418" s="152" t="n">
        <v>63</v>
      </c>
      <c r="I418" s="152" t="s">
        <v>115</v>
      </c>
      <c r="J418" s="152" t="s">
        <v>6</v>
      </c>
      <c r="K418" s="152" t="s">
        <v>2966</v>
      </c>
      <c r="L418" s="152" t="s">
        <v>120</v>
      </c>
      <c r="M418" s="153" t="n">
        <f aca="false">42.43</f>
        <v>42.43</v>
      </c>
      <c r="N418" s="152" t="s">
        <v>1548</v>
      </c>
      <c r="O418" s="152" t="s">
        <v>1549</v>
      </c>
      <c r="P418" s="152" t="s">
        <v>1550</v>
      </c>
      <c r="Q418" s="152" t="s">
        <v>1551</v>
      </c>
      <c r="R418" s="154" t="s">
        <v>3120</v>
      </c>
      <c r="S418" s="154" t="s">
        <v>1553</v>
      </c>
      <c r="T418" s="155" t="s">
        <v>3101</v>
      </c>
      <c r="U418" s="152" t="str">
        <f aca="false">RIGHT(T418,7)</f>
        <v>004/037</v>
      </c>
      <c r="V418" s="152" t="s">
        <v>1555</v>
      </c>
      <c r="W418" s="156" t="n">
        <v>45882</v>
      </c>
      <c r="X418" s="152" t="s">
        <v>1594</v>
      </c>
      <c r="Y418" s="152"/>
      <c r="Z418" s="152" t="s">
        <v>1557</v>
      </c>
      <c r="AA418" s="153" t="n">
        <v>2.7</v>
      </c>
      <c r="AB418" s="151" t="s">
        <v>3121</v>
      </c>
      <c r="AC418" s="151" t="s">
        <v>186</v>
      </c>
      <c r="AD418" s="151" t="str">
        <f aca="false">CONCATENATE($C418,$I418,$H418,$N418,$J418,$K418)</f>
        <v>TUBO PEADPEAD63VCAREDESZona04</v>
      </c>
      <c r="AE418" s="153" t="n">
        <f aca="false">IFERROR(INDEX(APOIO_REDES!$A:$W,MATCH($C418&amp;$I418&amp;$H418&amp;$N418&amp;$O418,APOIO_REDES!$W:$W,0),MATCH(AE$5,APOIO_REDES!$5:$5,0)),0)</f>
        <v>1.2</v>
      </c>
      <c r="AF418" s="153" t="n">
        <f aca="false">IFERROR(INDEX(APOIO_REDES!$A:$W,MATCH($C418&amp;$I418&amp;$H418&amp;$N418&amp;$O418,APOIO_REDES!$W:$W,0),MATCH(AF$5,APOIO_REDES!$5:$5,0)),0)</f>
        <v>1.363</v>
      </c>
      <c r="AG418" s="153" t="n">
        <f aca="false">IFERROR(INDEX(APOIO_REDES!$A:$W,MATCH($C418&amp;$I418&amp;$H418&amp;$N418&amp;$O418,APOIO_REDES!$W:$W,0),MATCH(AG$5,APOIO_REDES!$5:$5,0)),0)</f>
        <v>0.65</v>
      </c>
      <c r="AH418" s="153" t="n">
        <f aca="false">IFERROR(INDEX(APOIO_REDES!$A:$W,MATCH($C418&amp;$I418&amp;$H418&amp;$N418&amp;$O418,APOIO_REDES!$W:$W,0),MATCH(AH$5,APOIO_REDES!$5:$5,0)),0)</f>
        <v>0.1</v>
      </c>
      <c r="AI418" s="153" t="n">
        <f aca="false">IFERROR(IF($H418&lt;&gt;"",(((($H418/1000)/2)^2)*PI()*$M418),0),0)</f>
        <v>0.132264718525553</v>
      </c>
      <c r="AJ418" s="153" t="n">
        <f aca="false">IFERROR(IF(AND($H418&lt;&gt;"",$I418="FoFo",OR($N418="MND",$N418="VCA"),$Q418="LINEAR"),0,IF(AND($H418&lt;&gt;"",$I418="PEAD",$N418="VCA",$Q418="LINEAR"),($H418/1000)+0.3,IF(AND($H418&lt;&gt;"",$I418="PEAD",$N418="MND",$Q418="EMBOQUE"),0,IF(AND($H418&lt;&gt;"",$I418="PVC",$N418="VCA",$Q418="LINEAR"),($H418/1000)+0.2,IF(AND($H418&lt;&gt;"",$I418="PVC",$N418="MND",$Q418="EMBOQUE"),0,IF(AND($H418&lt;&gt;"",$I418="PEAD",$N418="VCA",$Q418="PREDIAL"),0,0)))))),0)</f>
        <v>0.363</v>
      </c>
      <c r="AK418" s="153" t="n">
        <f aca="false">IF(AA418&lt;&gt;"",AA418,0)</f>
        <v>2.7</v>
      </c>
      <c r="AL418" s="153" t="n">
        <f aca="false">IF(AND($N418="MND",$Q418="EMBOQUE"),$M418,IF(AND($N418="VCA",$Q418="LINEAR"),$M418,IF(AND($N418="VCA",$Q418="PREDIAL"),0,0)))</f>
        <v>42.43</v>
      </c>
      <c r="AM418" s="153" t="n">
        <f aca="false">IF(AND($N418="MND",$Q418="EMBOQUE"),$M418,IF(AND($N418="VCA",$Q418="LINEAR"),$M418,IF(AND($N418="VCA",$Q418="PREDIAL"),0,0)))</f>
        <v>42.43</v>
      </c>
      <c r="AN418" s="153" t="n">
        <f aca="false">ROUND(IF(AND($N418="VCA",$M418&lt;&gt;"",$Q418="LINEAR"),$M418/100,IF(AND($N418="MND",$M418&gt;100,$Q418="EMBOQUE"),$M418/100,0)),0)</f>
        <v>0</v>
      </c>
      <c r="AO418" s="153" t="n">
        <f aca="false">IF(AND($N418="MND",$Q418="EMBOQUE"),$AN418*2*2,IF(AND($N418="VCA",$Q418="LINEAR"),$M418*2,IF(AND($N418="VCA",$Q418="PREDIAL"),0,0)))</f>
        <v>84.86</v>
      </c>
      <c r="AP418" s="153" t="n">
        <f aca="false">IFERROR($M418*$AF418*$AG418,0)</f>
        <v>37.5908585</v>
      </c>
      <c r="AQ418" s="153" t="n">
        <f aca="false">IFERROR(IF(AND($N418="VCA",$AH418&gt;0),$M418*$AG418*$AH418,0),0)</f>
        <v>2.75795</v>
      </c>
      <c r="AR418" s="153" t="n">
        <f aca="false">IFERROR(IF(AND($N418="VCA",$AJ418&gt;0),($M418*$AG418*$AJ418)-$AI418,0),0)</f>
        <v>9.87909378147445</v>
      </c>
      <c r="AS418" s="153" t="n">
        <f aca="false">IFERROR(IF(AND($N418="VCA",$AP418&gt;0),$AP418-$AI418-$AQ418-$AR418,0),0)</f>
        <v>24.82155</v>
      </c>
      <c r="AT418" s="153" t="n">
        <f aca="false">IFERROR(IF($N418="VCA",INDEX(APOIO_REDES!$A:$W,MATCH($C418&amp;$I418&amp;$H418&amp;$N418&amp;$O418,APOIO_REDES!$W:$W,0),MATCH(AT$5,APOIO_REDES!$5:$5,0)),0)*$AP418,0)</f>
        <v>0.408999666806174</v>
      </c>
      <c r="AU418" s="153" t="n">
        <f aca="false">IFERROR(IF($N418="VCA",INDEX(APOIO_REDES!$A:$W,MATCH($C418&amp;$I418&amp;$H418&amp;$N418&amp;$O418,APOIO_REDES!$W:$W,0),MATCH(AU$5,APOIO_REDES!$5:$5,0)),0)*$AP418,0)</f>
        <v>0.326616056795628</v>
      </c>
      <c r="AV418" s="153" t="n">
        <f aca="false">IFERROR(IF($N418="VCA",INDEX(APOIO_REDES!$A:$W,MATCH($C418&amp;$I418&amp;$H418&amp;$N418&amp;$O418,APOIO_REDES!$W:$W,0),MATCH(AV$5,APOIO_REDES!$5:$5,0)),0)*$AP418,0)</f>
        <v>0.0452010982239381</v>
      </c>
      <c r="AW418" s="153" t="n">
        <f aca="false">IFERROR(IF($N418="VCA",INDEX(APOIO_REDES!$A:$W,MATCH($C418&amp;$I418&amp;$H418&amp;$N418&amp;$O418,APOIO_REDES!$W:$W,0),MATCH(AW$5,APOIO_REDES!$5:$5,0)),0)*$AP418,0)</f>
        <v>25.8026565425849</v>
      </c>
      <c r="AX418" s="153" t="n">
        <f aca="false">IFERROR(IF($N418="VCA",INDEX(APOIO_REDES!$A:$W,MATCH($C418&amp;$I418&amp;$H418&amp;$N418&amp;$O418,APOIO_REDES!$W:$W,0),MATCH(AX$5,APOIO_REDES!$5:$5,0)),0)*$AP418,0)</f>
        <v>3.5710141652353</v>
      </c>
      <c r="AY418" s="153" t="n">
        <f aca="false">IFERROR(IF($N418="VCA",INDEX(APOIO_REDES!$A:$W,MATCH($C418&amp;$I418&amp;$H418&amp;$N418&amp;$O418,APOIO_REDES!$W:$W,0),MATCH(AY$5,APOIO_REDES!$5:$5,0)),0)*$AP418,0)</f>
        <v>6.53231715448931</v>
      </c>
      <c r="AZ418" s="153" t="n">
        <f aca="false">IFERROR(IF($N418="VCA",INDEX(APOIO_REDES!$A:$W,MATCH($C418&amp;$I418&amp;$H418&amp;$N418&amp;$O418,APOIO_REDES!$W:$W,0),MATCH(AZ$5,APOIO_REDES!$5:$5,0)),0)*$AP418,0)</f>
        <v>0.90405381586481</v>
      </c>
      <c r="BA418" s="153" t="n">
        <f aca="false">IFERROR(IF(AND($N418="VCA",$Q418="LINEAR"),INDEX(APOIO_REDES!$A:$W,MATCH($C418&amp;$I418&amp;$H418&amp;$N418&amp;$O418,APOIO_REDES!$W:$W,0),MATCH(BA$5,APOIO_REDES!$5:$5,0)),IF(AND($N418="MND",$Q418="EMBOQUE"),INDEX(APOIO_REDES!$A:$W,MATCH($C418&amp;$I418&amp;$H418&amp;$N418&amp;$O418,APOIO_REDES!$W:$W,0),MATCH(BA$5,APOIO_REDES!$5:$5,0)),0))*$M418/10,0)</f>
        <v>3.41975097371008</v>
      </c>
      <c r="BB418" s="153" t="n">
        <f aca="false">IFERROR(IF($N418="VCA",INDEX(APOIO_REDES!$A:$W,MATCH($C418&amp;$I418&amp;$H418&amp;$N418&amp;$O418,APOIO_REDES!$W:$W,0),MATCH(BB$5,APOIO_REDES!$5:$5,0)),0)*($AI418+$AQ418+$AR418),0)</f>
        <v>12.6303746439976</v>
      </c>
      <c r="BC418" s="153" t="n">
        <f aca="false">IFERROR(IF($N418="VCA",INDEX(APOIO_REDES!$A:$W,MATCH($C418&amp;$I418&amp;$H418&amp;$N418&amp;$O418,APOIO_REDES!$W:$W,0),MATCH(BC$5,APOIO_REDES!$5:$5,0)),0)*($AI418+$AQ418+$AR418),0)</f>
        <v>0.138933856002391</v>
      </c>
      <c r="BD418" s="153" t="n">
        <f aca="false">IF(AND($N418="VCA",$AF418&gt;=1.25,$AF418&lt;1.5),$M418*$AF418*2,0)</f>
        <v>115.66418</v>
      </c>
      <c r="BE418" s="153" t="n">
        <f aca="false">IF(AND($N418="VCA",$AF418&gt;=1.5,$AF418&lt;3),$M418*$AF418*2,0)</f>
        <v>0</v>
      </c>
      <c r="BF418" s="153" t="n">
        <f aca="false">IF(AND($N418="VCA",$AF418&gt;=3),$M418*$AF418*2,0)</f>
        <v>0</v>
      </c>
      <c r="BG418" s="153" t="n">
        <f aca="false">($BB418+$BC418)*$AK418</f>
        <v>34.47713295</v>
      </c>
      <c r="BH418" s="153" t="n">
        <f aca="false">IF(AND($M418&lt;&gt;"",$N418="VCA",$Q418="LINEAR"),($M418*2)/100,IF(AND($M418&lt;&gt;"",$N418="MND",$Q418="EMBOQUE"),($AN418*2)/100,0))</f>
        <v>0.8486</v>
      </c>
      <c r="BI418" s="153" t="n">
        <f aca="false">IF(AND($M418&lt;&gt;"",$N418="VCA",$Q418="LINEAR"),$M418,IF(AND($M418&lt;&gt;"",$N418="MND",$Q418="EMBOQUE"),$AN418*2,0))</f>
        <v>42.43</v>
      </c>
      <c r="BJ418" s="153" t="n">
        <f aca="false">IF(AND($M418&lt;&gt;"",$N418="VCA",$Q418="LINEAR"),($M418*6.8)/100,IF(AND($M418&lt;&gt;"",$N418="MND",$Q418="EMBOQUE"),($AN418*2*6.8)/100,0))</f>
        <v>2.88524</v>
      </c>
      <c r="BK418" s="153" t="n">
        <f aca="false">IF(AND($M418&lt;&gt;"",$N418="VCA",$Q418="LINEAR"),($M418*2.5)/50,IF(AND($M418&lt;&gt;"",$N418="MND",$Q418="EMBOQUE"),($AN418*2*2.5)/50,0))</f>
        <v>2.1215</v>
      </c>
      <c r="BL418" s="157" t="str">
        <f aca="false">K418&amp;J418</f>
        <v>Zona04REDES</v>
      </c>
      <c r="BM418" s="152" t="s">
        <v>2969</v>
      </c>
      <c r="BN418" s="152" t="s">
        <v>1560</v>
      </c>
      <c r="BO418" s="152" t="s">
        <v>3104</v>
      </c>
      <c r="BP418" s="152" t="s">
        <v>3110</v>
      </c>
      <c r="BQ418" s="152" t="s">
        <v>3122</v>
      </c>
      <c r="BR418" s="152" t="s">
        <v>3123</v>
      </c>
      <c r="BS418" s="152" t="n">
        <v>203734.949</v>
      </c>
      <c r="BT418" s="152" t="n">
        <v>8238681.743</v>
      </c>
      <c r="BU418" s="152" t="n">
        <v>203766.466</v>
      </c>
      <c r="BV418" s="152" t="n">
        <v>8238687.822</v>
      </c>
      <c r="BW418" s="152" t="n">
        <v>-15.9134633</v>
      </c>
      <c r="BX418" s="152" t="n">
        <v>-47.7667557</v>
      </c>
      <c r="BY418" s="152" t="s">
        <v>3110</v>
      </c>
    </row>
    <row r="419" customFormat="false" ht="13.8" hidden="false" customHeight="false" outlineLevel="0" collapsed="false">
      <c r="A419" s="149" t="n">
        <f aca="false">IF(C419&lt;&gt;"",ROW(A414),"")</f>
        <v>414</v>
      </c>
      <c r="B419" s="150" t="str">
        <f aca="false">HYPERLINK("https://www.google.com/maps/dir/-15.917302,-47.760003/-15.9139025,-47.7676649/data=!4m3!4m2!3e0!5i0")</f>
        <v>https://www.google.com/maps/dir/-15.917302,-47.760003/-15.9139025,-47.7676649/data=!4m3!4m2!3e0!5i0</v>
      </c>
      <c r="C419" s="151" t="s">
        <v>117</v>
      </c>
      <c r="D419" s="152" t="s">
        <v>112</v>
      </c>
      <c r="E419" s="152" t="s">
        <v>113</v>
      </c>
      <c r="F419" s="152" t="s">
        <v>117</v>
      </c>
      <c r="G419" s="152" t="s">
        <v>782</v>
      </c>
      <c r="H419" s="152" t="n">
        <v>90</v>
      </c>
      <c r="I419" s="152" t="s">
        <v>115</v>
      </c>
      <c r="J419" s="152" t="s">
        <v>6</v>
      </c>
      <c r="K419" s="152" t="s">
        <v>2966</v>
      </c>
      <c r="L419" s="152" t="s">
        <v>120</v>
      </c>
      <c r="M419" s="153" t="n">
        <f aca="false">80.3</f>
        <v>80.3</v>
      </c>
      <c r="N419" s="152" t="s">
        <v>1548</v>
      </c>
      <c r="O419" s="152" t="s">
        <v>1549</v>
      </c>
      <c r="P419" s="152" t="s">
        <v>1550</v>
      </c>
      <c r="Q419" s="152" t="s">
        <v>1551</v>
      </c>
      <c r="R419" s="154" t="s">
        <v>3124</v>
      </c>
      <c r="S419" s="154" t="s">
        <v>1593</v>
      </c>
      <c r="T419" s="155" t="s">
        <v>3101</v>
      </c>
      <c r="U419" s="152" t="str">
        <f aca="false">RIGHT(T419,7)</f>
        <v>004/037</v>
      </c>
      <c r="V419" s="152" t="s">
        <v>1555</v>
      </c>
      <c r="W419" s="156" t="n">
        <v>45882</v>
      </c>
      <c r="X419" s="152" t="s">
        <v>1594</v>
      </c>
      <c r="Y419" s="152" t="s">
        <v>3010</v>
      </c>
      <c r="Z419" s="152" t="s">
        <v>1557</v>
      </c>
      <c r="AA419" s="153" t="n">
        <v>2</v>
      </c>
      <c r="AB419" s="151" t="s">
        <v>3125</v>
      </c>
      <c r="AC419" s="151" t="s">
        <v>526</v>
      </c>
      <c r="AD419" s="151" t="str">
        <f aca="false">CONCATENATE($C419,$I419,$H419,$N419,$J419,$K419)</f>
        <v>TUBO PEADPEAD90VCAREDESZona04</v>
      </c>
      <c r="AE419" s="153" t="n">
        <f aca="false">IFERROR(INDEX(APOIO_REDES!$A:$W,MATCH($C419&amp;$I419&amp;$H419&amp;$N419&amp;$O419,APOIO_REDES!$W:$W,0),MATCH(AE$5,APOIO_REDES!$5:$5,0)),0)</f>
        <v>1.2</v>
      </c>
      <c r="AF419" s="153" t="n">
        <f aca="false">IFERROR(INDEX(APOIO_REDES!$A:$W,MATCH($C419&amp;$I419&amp;$H419&amp;$N419&amp;$O419,APOIO_REDES!$W:$W,0),MATCH(AF$5,APOIO_REDES!$5:$5,0)),0)</f>
        <v>1.39</v>
      </c>
      <c r="AG419" s="153" t="n">
        <f aca="false">IFERROR(INDEX(APOIO_REDES!$A:$W,MATCH($C419&amp;$I419&amp;$H419&amp;$N419&amp;$O419,APOIO_REDES!$W:$W,0),MATCH(AG$5,APOIO_REDES!$5:$5,0)),0)</f>
        <v>0.75</v>
      </c>
      <c r="AH419" s="153" t="n">
        <f aca="false">IFERROR(INDEX(APOIO_REDES!$A:$W,MATCH($C419&amp;$I419&amp;$H419&amp;$N419&amp;$O419,APOIO_REDES!$W:$W,0),MATCH(AH$5,APOIO_REDES!$5:$5,0)),0)</f>
        <v>0.1</v>
      </c>
      <c r="AI419" s="153" t="n">
        <f aca="false">IFERROR(IF($H419&lt;&gt;"",(((($H419/1000)/2)^2)*PI()*$M419),0),0)</f>
        <v>0.510846527418602</v>
      </c>
      <c r="AJ419" s="153" t="n">
        <f aca="false">IFERROR(IF(AND($H419&lt;&gt;"",$I419="FoFo",OR($N419="MND",$N419="VCA"),$Q419="LINEAR"),0,IF(AND($H419&lt;&gt;"",$I419="PEAD",$N419="VCA",$Q419="LINEAR"),($H419/1000)+0.3,IF(AND($H419&lt;&gt;"",$I419="PEAD",$N419="MND",$Q419="EMBOQUE"),0,IF(AND($H419&lt;&gt;"",$I419="PVC",$N419="VCA",$Q419="LINEAR"),($H419/1000)+0.2,IF(AND($H419&lt;&gt;"",$I419="PVC",$N419="MND",$Q419="EMBOQUE"),0,IF(AND($H419&lt;&gt;"",$I419="PEAD",$N419="VCA",$Q419="PREDIAL"),0,0)))))),0)</f>
        <v>0.39</v>
      </c>
      <c r="AK419" s="153" t="n">
        <f aca="false">IF(AA419&lt;&gt;"",AA419,0)</f>
        <v>2</v>
      </c>
      <c r="AL419" s="153" t="n">
        <f aca="false">IF(AND($N419="MND",$Q419="EMBOQUE"),$M419,IF(AND($N419="VCA",$Q419="LINEAR"),$M419,IF(AND($N419="VCA",$Q419="PREDIAL"),0,0)))</f>
        <v>80.3</v>
      </c>
      <c r="AM419" s="153" t="n">
        <f aca="false">IF(AND($N419="MND",$Q419="EMBOQUE"),$M419,IF(AND($N419="VCA",$Q419="LINEAR"),$M419,IF(AND($N419="VCA",$Q419="PREDIAL"),0,0)))</f>
        <v>80.3</v>
      </c>
      <c r="AN419" s="153" t="n">
        <f aca="false">ROUND(IF(AND($N419="VCA",$M419&lt;&gt;"",$Q419="LINEAR"),$M419/100,IF(AND($N419="MND",$M419&gt;100,$Q419="EMBOQUE"),$M419/100,0)),0)</f>
        <v>1</v>
      </c>
      <c r="AO419" s="153" t="n">
        <f aca="false">IF(AND($N419="MND",$Q419="EMBOQUE"),$AN419*2*2,IF(AND($N419="VCA",$Q419="LINEAR"),$M419*2,IF(AND($N419="VCA",$Q419="PREDIAL"),0,0)))</f>
        <v>160.6</v>
      </c>
      <c r="AP419" s="153" t="n">
        <f aca="false">IFERROR($M419*$AF419*$AG419,0)</f>
        <v>83.71275</v>
      </c>
      <c r="AQ419" s="153" t="n">
        <f aca="false">IFERROR(IF(AND($N419="VCA",$AH419&gt;0),$M419*$AG419*$AH419,0),0)</f>
        <v>6.0225</v>
      </c>
      <c r="AR419" s="153" t="n">
        <f aca="false">IFERROR(IF(AND($N419="VCA",$AJ419&gt;0),($M419*$AG419*$AJ419)-$AI419,0),0)</f>
        <v>22.9769034725814</v>
      </c>
      <c r="AS419" s="153" t="n">
        <f aca="false">IFERROR(IF(AND($N419="VCA",$AP419&gt;0),$AP419-$AI419-$AQ419-$AR419,0),0)</f>
        <v>54.2025</v>
      </c>
      <c r="AT419" s="153" t="n">
        <f aca="false">IFERROR(IF($N419="VCA",INDEX(APOIO_REDES!$A:$W,MATCH($C419&amp;$I419&amp;$H419&amp;$N419&amp;$O419,APOIO_REDES!$W:$W,0),MATCH(AT$5,APOIO_REDES!$5:$5,0)),0)*$AP419,0)</f>
        <v>0.910819497709225</v>
      </c>
      <c r="AU419" s="153" t="n">
        <f aca="false">IFERROR(IF($N419="VCA",INDEX(APOIO_REDES!$A:$W,MATCH($C419&amp;$I419&amp;$H419&amp;$N419&amp;$O419,APOIO_REDES!$W:$W,0),MATCH(AU$5,APOIO_REDES!$5:$5,0)),0)*$AP419,0)</f>
        <v>0.727355782750165</v>
      </c>
      <c r="AV419" s="153" t="n">
        <f aca="false">IFERROR(IF($N419="VCA",INDEX(APOIO_REDES!$A:$W,MATCH($C419&amp;$I419&amp;$H419&amp;$N419&amp;$O419,APOIO_REDES!$W:$W,0),MATCH(AV$5,APOIO_REDES!$5:$5,0)),0)*$AP419,0)</f>
        <v>0.100660330365852</v>
      </c>
      <c r="AW419" s="153" t="n">
        <f aca="false">IFERROR(IF($N419="VCA",INDEX(APOIO_REDES!$A:$W,MATCH($C419&amp;$I419&amp;$H419&amp;$N419&amp;$O419,APOIO_REDES!$W:$W,0),MATCH(AW$5,APOIO_REDES!$5:$5,0)),0)*$AP419,0)</f>
        <v>57.461080238039</v>
      </c>
      <c r="AX419" s="153" t="n">
        <f aca="false">IFERROR(IF($N419="VCA",INDEX(APOIO_REDES!$A:$W,MATCH($C419&amp;$I419&amp;$H419&amp;$N419&amp;$O419,APOIO_REDES!$W:$W,0),MATCH(AX$5,APOIO_REDES!$5:$5,0)),0)*$AP419,0)</f>
        <v>7.95244982395923</v>
      </c>
      <c r="AY419" s="153" t="n">
        <f aca="false">IFERROR(IF($N419="VCA",INDEX(APOIO_REDES!$A:$W,MATCH($C419&amp;$I419&amp;$H419&amp;$N419&amp;$O419,APOIO_REDES!$W:$W,0),MATCH(AY$5,APOIO_REDES!$5:$5,0)),0)*$AP419,0)</f>
        <v>14.5471067885953</v>
      </c>
      <c r="AZ419" s="153" t="n">
        <f aca="false">IFERROR(IF($N419="VCA",INDEX(APOIO_REDES!$A:$W,MATCH($C419&amp;$I419&amp;$H419&amp;$N419&amp;$O419,APOIO_REDES!$W:$W,0),MATCH(AZ$5,APOIO_REDES!$5:$5,0)),0)*$AP419,0)</f>
        <v>2.01327753858127</v>
      </c>
      <c r="BA419" s="153" t="n">
        <f aca="false">IFERROR(IF(AND($N419="VCA",$Q419="LINEAR"),INDEX(APOIO_REDES!$A:$W,MATCH($C419&amp;$I419&amp;$H419&amp;$N419&amp;$O419,APOIO_REDES!$W:$W,0),MATCH(BA$5,APOIO_REDES!$5:$5,0)),IF(AND($N419="MND",$Q419="EMBOQUE"),INDEX(APOIO_REDES!$A:$W,MATCH($C419&amp;$I419&amp;$H419&amp;$N419&amp;$O419,APOIO_REDES!$W:$W,0),MATCH(BA$5,APOIO_REDES!$5:$5,0)),0))*$M419/10,0)</f>
        <v>6.47197744965636</v>
      </c>
      <c r="BB419" s="153" t="n">
        <f aca="false">IFERROR(IF($N419="VCA",INDEX(APOIO_REDES!$A:$W,MATCH($C419&amp;$I419&amp;$H419&amp;$N419&amp;$O419,APOIO_REDES!$W:$W,0),MATCH(BB$5,APOIO_REDES!$5:$5,0)),0)*($AI419+$AQ419+$AR419),0)</f>
        <v>29.1891697454119</v>
      </c>
      <c r="BC419" s="153" t="n">
        <f aca="false">IFERROR(IF($N419="VCA",INDEX(APOIO_REDES!$A:$W,MATCH($C419&amp;$I419&amp;$H419&amp;$N419&amp;$O419,APOIO_REDES!$W:$W,0),MATCH(BC$5,APOIO_REDES!$5:$5,0)),0)*($AI419+$AQ419+$AR419),0)</f>
        <v>0.321080254588144</v>
      </c>
      <c r="BD419" s="153" t="n">
        <f aca="false">IF(AND($N419="VCA",$AF419&gt;=1.25,$AF419&lt;1.5),$M419*$AF419*2,0)</f>
        <v>223.234</v>
      </c>
      <c r="BE419" s="153" t="n">
        <f aca="false">IF(AND($N419="VCA",$AF419&gt;=1.5,$AF419&lt;3),$M419*$AF419*2,0)</f>
        <v>0</v>
      </c>
      <c r="BF419" s="153" t="n">
        <f aca="false">IF(AND($N419="VCA",$AF419&gt;=3),$M419*$AF419*2,0)</f>
        <v>0</v>
      </c>
      <c r="BG419" s="153" t="n">
        <f aca="false">($BB419+$BC419)*$AK419</f>
        <v>59.0205</v>
      </c>
      <c r="BH419" s="153" t="n">
        <f aca="false">IF(AND($M419&lt;&gt;"",$N419="VCA",$Q419="LINEAR"),($M419*2)/100,IF(AND($M419&lt;&gt;"",$N419="MND",$Q419="EMBOQUE"),($AN419*2)/100,0))</f>
        <v>1.606</v>
      </c>
      <c r="BI419" s="153" t="n">
        <f aca="false">IF(AND($M419&lt;&gt;"",$N419="VCA",$Q419="LINEAR"),$M419,IF(AND($M419&lt;&gt;"",$N419="MND",$Q419="EMBOQUE"),$AN419*2,0))</f>
        <v>80.3</v>
      </c>
      <c r="BJ419" s="153" t="n">
        <f aca="false">IF(AND($M419&lt;&gt;"",$N419="VCA",$Q419="LINEAR"),($M419*6.8)/100,IF(AND($M419&lt;&gt;"",$N419="MND",$Q419="EMBOQUE"),($AN419*2*6.8)/100,0))</f>
        <v>5.4604</v>
      </c>
      <c r="BK419" s="153" t="n">
        <f aca="false">IF(AND($M419&lt;&gt;"",$N419="VCA",$Q419="LINEAR"),($M419*2.5)/50,IF(AND($M419&lt;&gt;"",$N419="MND",$Q419="EMBOQUE"),($AN419*2*2.5)/50,0))</f>
        <v>4.015</v>
      </c>
      <c r="BL419" s="157" t="str">
        <f aca="false">K419&amp;J419</f>
        <v>Zona04REDES</v>
      </c>
      <c r="BM419" s="152" t="s">
        <v>2969</v>
      </c>
      <c r="BN419" s="152" t="s">
        <v>1560</v>
      </c>
      <c r="BO419" s="152" t="s">
        <v>3104</v>
      </c>
      <c r="BP419" s="152" t="s">
        <v>3126</v>
      </c>
      <c r="BQ419" s="152" t="s">
        <v>3105</v>
      </c>
      <c r="BR419" s="152" t="s">
        <v>3127</v>
      </c>
      <c r="BS419" s="152" t="n">
        <v>203658.304</v>
      </c>
      <c r="BT419" s="152" t="n">
        <v>8238624.997</v>
      </c>
      <c r="BU419" s="152" t="n">
        <v>203689.351</v>
      </c>
      <c r="BV419" s="152" t="n">
        <v>8238699.038</v>
      </c>
      <c r="BW419" s="152" t="n">
        <v>-15.9135688</v>
      </c>
      <c r="BX419" s="152" t="n">
        <v>-47.7675085</v>
      </c>
      <c r="BY419" s="152" t="s">
        <v>3126</v>
      </c>
    </row>
    <row r="420" customFormat="false" ht="13.8" hidden="false" customHeight="false" outlineLevel="0" collapsed="false">
      <c r="A420" s="149" t="n">
        <f aca="false">IF(C420&lt;&gt;"",ROW(A415),"")</f>
        <v>415</v>
      </c>
      <c r="B420" s="150" t="str">
        <f aca="false">HYPERLINK("https://www.google.com/maps/dir/-15.917302,-47.760003/-15.9137307,-47.7680790/data=!4m3!4m2!3e0!5i0")</f>
        <v>https://www.google.com/maps/dir/-15.917302,-47.760003/-15.9137307,-47.7680790/data=!4m3!4m2!3e0!5i0</v>
      </c>
      <c r="C420" s="151" t="s">
        <v>117</v>
      </c>
      <c r="D420" s="152" t="s">
        <v>112</v>
      </c>
      <c r="E420" s="152" t="s">
        <v>113</v>
      </c>
      <c r="F420" s="152" t="s">
        <v>117</v>
      </c>
      <c r="G420" s="152" t="s">
        <v>782</v>
      </c>
      <c r="H420" s="152" t="n">
        <v>63</v>
      </c>
      <c r="I420" s="152" t="s">
        <v>115</v>
      </c>
      <c r="J420" s="152" t="s">
        <v>6</v>
      </c>
      <c r="K420" s="152" t="s">
        <v>2966</v>
      </c>
      <c r="L420" s="152" t="s">
        <v>120</v>
      </c>
      <c r="M420" s="153" t="n">
        <f aca="false">40.62+4</f>
        <v>44.62</v>
      </c>
      <c r="N420" s="152" t="s">
        <v>1548</v>
      </c>
      <c r="O420" s="152" t="s">
        <v>1549</v>
      </c>
      <c r="P420" s="152" t="s">
        <v>1550</v>
      </c>
      <c r="Q420" s="152" t="s">
        <v>1551</v>
      </c>
      <c r="R420" s="154" t="s">
        <v>3128</v>
      </c>
      <c r="S420" s="154" t="s">
        <v>1553</v>
      </c>
      <c r="T420" s="155" t="s">
        <v>3101</v>
      </c>
      <c r="U420" s="152" t="str">
        <f aca="false">RIGHT(T420,7)</f>
        <v>004/037</v>
      </c>
      <c r="V420" s="152" t="s">
        <v>1555</v>
      </c>
      <c r="W420" s="156" t="n">
        <v>45882</v>
      </c>
      <c r="X420" s="152" t="s">
        <v>1594</v>
      </c>
      <c r="Y420" s="152" t="s">
        <v>3015</v>
      </c>
      <c r="Z420" s="152" t="s">
        <v>1557</v>
      </c>
      <c r="AA420" s="153" t="n">
        <v>2</v>
      </c>
      <c r="AB420" s="151" t="s">
        <v>3129</v>
      </c>
      <c r="AC420" s="151" t="s">
        <v>186</v>
      </c>
      <c r="AD420" s="151" t="str">
        <f aca="false">CONCATENATE($C420,$I420,$H420,$N420,$J420,$K420)</f>
        <v>TUBO PEADPEAD63VCAREDESZona04</v>
      </c>
      <c r="AE420" s="153" t="n">
        <f aca="false">IFERROR(INDEX(APOIO_REDES!$A:$W,MATCH($C420&amp;$I420&amp;$H420&amp;$N420&amp;$O420,APOIO_REDES!$W:$W,0),MATCH(AE$5,APOIO_REDES!$5:$5,0)),0)</f>
        <v>1.2</v>
      </c>
      <c r="AF420" s="153" t="n">
        <f aca="false">IFERROR(INDEX(APOIO_REDES!$A:$W,MATCH($C420&amp;$I420&amp;$H420&amp;$N420&amp;$O420,APOIO_REDES!$W:$W,0),MATCH(AF$5,APOIO_REDES!$5:$5,0)),0)</f>
        <v>1.363</v>
      </c>
      <c r="AG420" s="153" t="n">
        <f aca="false">IFERROR(INDEX(APOIO_REDES!$A:$W,MATCH($C420&amp;$I420&amp;$H420&amp;$N420&amp;$O420,APOIO_REDES!$W:$W,0),MATCH(AG$5,APOIO_REDES!$5:$5,0)),0)</f>
        <v>0.65</v>
      </c>
      <c r="AH420" s="153" t="n">
        <f aca="false">IFERROR(INDEX(APOIO_REDES!$A:$W,MATCH($C420&amp;$I420&amp;$H420&amp;$N420&amp;$O420,APOIO_REDES!$W:$W,0),MATCH(AH$5,APOIO_REDES!$5:$5,0)),0)</f>
        <v>0.1</v>
      </c>
      <c r="AI420" s="153" t="n">
        <f aca="false">IFERROR(IF($H420&lt;&gt;"",(((($H420/1000)/2)^2)*PI()*$M420),0),0)</f>
        <v>0.139091485755602</v>
      </c>
      <c r="AJ420" s="153" t="n">
        <f aca="false">IFERROR(IF(AND($H420&lt;&gt;"",$I420="FoFo",OR($N420="MND",$N420="VCA"),$Q420="LINEAR"),0,IF(AND($H420&lt;&gt;"",$I420="PEAD",$N420="VCA",$Q420="LINEAR"),($H420/1000)+0.3,IF(AND($H420&lt;&gt;"",$I420="PEAD",$N420="MND",$Q420="EMBOQUE"),0,IF(AND($H420&lt;&gt;"",$I420="PVC",$N420="VCA",$Q420="LINEAR"),($H420/1000)+0.2,IF(AND($H420&lt;&gt;"",$I420="PVC",$N420="MND",$Q420="EMBOQUE"),0,IF(AND($H420&lt;&gt;"",$I420="PEAD",$N420="VCA",$Q420="PREDIAL"),0,0)))))),0)</f>
        <v>0.363</v>
      </c>
      <c r="AK420" s="153" t="n">
        <f aca="false">IF(AA420&lt;&gt;"",AA420,0)</f>
        <v>2</v>
      </c>
      <c r="AL420" s="153" t="n">
        <f aca="false">IF(AND($N420="MND",$Q420="EMBOQUE"),$M420,IF(AND($N420="VCA",$Q420="LINEAR"),$M420,IF(AND($N420="VCA",$Q420="PREDIAL"),0,0)))</f>
        <v>44.62</v>
      </c>
      <c r="AM420" s="153" t="n">
        <f aca="false">IF(AND($N420="MND",$Q420="EMBOQUE"),$M420,IF(AND($N420="VCA",$Q420="LINEAR"),$M420,IF(AND($N420="VCA",$Q420="PREDIAL"),0,0)))</f>
        <v>44.62</v>
      </c>
      <c r="AN420" s="153" t="n">
        <f aca="false">ROUND(IF(AND($N420="VCA",$M420&lt;&gt;"",$Q420="LINEAR"),$M420/100,IF(AND($N420="MND",$M420&gt;100,$Q420="EMBOQUE"),$M420/100,0)),0)</f>
        <v>0</v>
      </c>
      <c r="AO420" s="153" t="n">
        <f aca="false">IF(AND($N420="MND",$Q420="EMBOQUE"),$AN420*2*2,IF(AND($N420="VCA",$Q420="LINEAR"),$M420*2,IF(AND($N420="VCA",$Q420="PREDIAL"),0,0)))</f>
        <v>89.24</v>
      </c>
      <c r="AP420" s="153" t="n">
        <f aca="false">IFERROR($M420*$AF420*$AG420,0)</f>
        <v>39.531089</v>
      </c>
      <c r="AQ420" s="153" t="n">
        <f aca="false">IFERROR(IF(AND($N420="VCA",$AH420&gt;0),$M420*$AG420*$AH420,0),0)</f>
        <v>2.9003</v>
      </c>
      <c r="AR420" s="153" t="n">
        <f aca="false">IFERROR(IF(AND($N420="VCA",$AJ420&gt;0),($M420*$AG420*$AJ420)-$AI420,0),0)</f>
        <v>10.3889975142444</v>
      </c>
      <c r="AS420" s="153" t="n">
        <f aca="false">IFERROR(IF(AND($N420="VCA",$AP420&gt;0),$AP420-$AI420-$AQ420-$AR420,0),0)</f>
        <v>26.1027</v>
      </c>
      <c r="AT420" s="153" t="n">
        <f aca="false">IFERROR(IF($N420="VCA",INDEX(APOIO_REDES!$A:$W,MATCH($C420&amp;$I420&amp;$H420&amp;$N420&amp;$O420,APOIO_REDES!$W:$W,0),MATCH(AT$5,APOIO_REDES!$5:$5,0)),0)*$AP420,0)</f>
        <v>0.430109948925088</v>
      </c>
      <c r="AU420" s="153" t="n">
        <f aca="false">IFERROR(IF($N420="VCA",INDEX(APOIO_REDES!$A:$W,MATCH($C420&amp;$I420&amp;$H420&amp;$N420&amp;$O420,APOIO_REDES!$W:$W,0),MATCH(AU$5,APOIO_REDES!$5:$5,0)),0)*$AP420,0)</f>
        <v>0.343474156356845</v>
      </c>
      <c r="AV420" s="153" t="n">
        <f aca="false">IFERROR(IF($N420="VCA",INDEX(APOIO_REDES!$A:$W,MATCH($C420&amp;$I420&amp;$H420&amp;$N420&amp;$O420,APOIO_REDES!$W:$W,0),MATCH(AV$5,APOIO_REDES!$5:$5,0)),0)*$AP420,0)</f>
        <v>0.0475341268619401</v>
      </c>
      <c r="AW420" s="153" t="n">
        <f aca="false">IFERROR(IF($N420="VCA",INDEX(APOIO_REDES!$A:$W,MATCH($C420&amp;$I420&amp;$H420&amp;$N420&amp;$O420,APOIO_REDES!$W:$W,0),MATCH(AW$5,APOIO_REDES!$5:$5,0)),0)*$AP420,0)</f>
        <v>27.1344457914244</v>
      </c>
      <c r="AX420" s="153" t="n">
        <f aca="false">IFERROR(IF($N420="VCA",INDEX(APOIO_REDES!$A:$W,MATCH($C420&amp;$I420&amp;$H420&amp;$N420&amp;$O420,APOIO_REDES!$W:$W,0),MATCH(AX$5,APOIO_REDES!$5:$5,0)),0)*$AP420,0)</f>
        <v>3.75533000360121</v>
      </c>
      <c r="AY420" s="153" t="n">
        <f aca="false">IFERROR(IF($N420="VCA",INDEX(APOIO_REDES!$A:$W,MATCH($C420&amp;$I420&amp;$H420&amp;$N420&amp;$O420,APOIO_REDES!$W:$W,0),MATCH(AY$5,APOIO_REDES!$5:$5,0)),0)*$AP420,0)</f>
        <v>6.86947894021477</v>
      </c>
      <c r="AZ420" s="153" t="n">
        <f aca="false">IFERROR(IF($N420="VCA",INDEX(APOIO_REDES!$A:$W,MATCH($C420&amp;$I420&amp;$H420&amp;$N420&amp;$O420,APOIO_REDES!$W:$W,0),MATCH(AZ$5,APOIO_REDES!$5:$5,0)),0)*$AP420,0)</f>
        <v>0.950716032615786</v>
      </c>
      <c r="BA420" s="153" t="n">
        <f aca="false">IFERROR(IF(AND($N420="VCA",$Q420="LINEAR"),INDEX(APOIO_REDES!$A:$W,MATCH($C420&amp;$I420&amp;$H420&amp;$N420&amp;$O420,APOIO_REDES!$W:$W,0),MATCH(BA$5,APOIO_REDES!$5:$5,0)),IF(AND($N420="MND",$Q420="EMBOQUE"),INDEX(APOIO_REDES!$A:$W,MATCH($C420&amp;$I420&amp;$H420&amp;$N420&amp;$O420,APOIO_REDES!$W:$W,0),MATCH(BA$5,APOIO_REDES!$5:$5,0)),0))*$M420/10,0)</f>
        <v>3.5962594496098</v>
      </c>
      <c r="BB420" s="153" t="n">
        <f aca="false">IFERROR(IF($N420="VCA",INDEX(APOIO_REDES!$A:$W,MATCH($C420&amp;$I420&amp;$H420&amp;$N420&amp;$O420,APOIO_REDES!$W:$W,0),MATCH(BB$5,APOIO_REDES!$5:$5,0)),0)*($AI420+$AQ420+$AR420),0)</f>
        <v>13.2822841530797</v>
      </c>
      <c r="BC420" s="153" t="n">
        <f aca="false">IFERROR(IF($N420="VCA",INDEX(APOIO_REDES!$A:$W,MATCH($C420&amp;$I420&amp;$H420&amp;$N420&amp;$O420,APOIO_REDES!$W:$W,0),MATCH(BC$5,APOIO_REDES!$5:$5,0)),0)*($AI420+$AQ420+$AR420),0)</f>
        <v>0.146104846920261</v>
      </c>
      <c r="BD420" s="153" t="n">
        <f aca="false">IF(AND($N420="VCA",$AF420&gt;=1.25,$AF420&lt;1.5),$M420*$AF420*2,0)</f>
        <v>121.63412</v>
      </c>
      <c r="BE420" s="153" t="n">
        <f aca="false">IF(AND($N420="VCA",$AF420&gt;=1.5,$AF420&lt;3),$M420*$AF420*2,0)</f>
        <v>0</v>
      </c>
      <c r="BF420" s="153" t="n">
        <f aca="false">IF(AND($N420="VCA",$AF420&gt;=3),$M420*$AF420*2,0)</f>
        <v>0</v>
      </c>
      <c r="BG420" s="153" t="n">
        <f aca="false">($BB420+$BC420)*$AK420</f>
        <v>26.856778</v>
      </c>
      <c r="BH420" s="153" t="n">
        <f aca="false">IF(AND($M420&lt;&gt;"",$N420="VCA",$Q420="LINEAR"),($M420*2)/100,IF(AND($M420&lt;&gt;"",$N420="MND",$Q420="EMBOQUE"),($AN420*2)/100,0))</f>
        <v>0.8924</v>
      </c>
      <c r="BI420" s="153" t="n">
        <f aca="false">IF(AND($M420&lt;&gt;"",$N420="VCA",$Q420="LINEAR"),$M420,IF(AND($M420&lt;&gt;"",$N420="MND",$Q420="EMBOQUE"),$AN420*2,0))</f>
        <v>44.62</v>
      </c>
      <c r="BJ420" s="153" t="n">
        <f aca="false">IF(AND($M420&lt;&gt;"",$N420="VCA",$Q420="LINEAR"),($M420*6.8)/100,IF(AND($M420&lt;&gt;"",$N420="MND",$Q420="EMBOQUE"),($AN420*2*6.8)/100,0))</f>
        <v>3.03416</v>
      </c>
      <c r="BK420" s="153" t="n">
        <f aca="false">IF(AND($M420&lt;&gt;"",$N420="VCA",$Q420="LINEAR"),($M420*2.5)/50,IF(AND($M420&lt;&gt;"",$N420="MND",$Q420="EMBOQUE"),($AN420*2*2.5)/50,0))</f>
        <v>2.231</v>
      </c>
      <c r="BL420" s="157" t="str">
        <f aca="false">K420&amp;J420</f>
        <v>Zona04REDES</v>
      </c>
      <c r="BM420" s="152" t="s">
        <v>2969</v>
      </c>
      <c r="BN420" s="152" t="s">
        <v>1560</v>
      </c>
      <c r="BO420" s="152" t="s">
        <v>3104</v>
      </c>
      <c r="BP420" s="152" t="s">
        <v>3130</v>
      </c>
      <c r="BQ420" s="152" t="s">
        <v>3131</v>
      </c>
      <c r="BR420" s="152" t="s">
        <v>3132</v>
      </c>
      <c r="BS420" s="152" t="n">
        <v>203613.499</v>
      </c>
      <c r="BT420" s="152" t="n">
        <v>8238643.038</v>
      </c>
      <c r="BU420" s="152" t="n">
        <v>203629.347</v>
      </c>
      <c r="BV420" s="152" t="n">
        <v>8238680.425</v>
      </c>
      <c r="BW420" s="152" t="n">
        <v>-15.913564</v>
      </c>
      <c r="BX420" s="152" t="n">
        <v>-47.7680002</v>
      </c>
      <c r="BY420" s="152" t="s">
        <v>3130</v>
      </c>
    </row>
    <row r="421" customFormat="false" ht="13.8" hidden="false" customHeight="false" outlineLevel="0" collapsed="false">
      <c r="A421" s="149" t="n">
        <f aca="false">IF(C421&lt;&gt;"",ROW(A416),"")</f>
        <v>416</v>
      </c>
      <c r="B421" s="150" t="str">
        <f aca="false">HYPERLINK("https://www.google.com/maps/dir/-15.917302,-47.760003/-15.9138102,-47.7671213/data=!4m3!4m2!3e0!5i0")</f>
        <v>https://www.google.com/maps/dir/-15.917302,-47.760003/-15.9138102,-47.7671213/data=!4m3!4m2!3e0!5i0</v>
      </c>
      <c r="C421" s="151" t="s">
        <v>117</v>
      </c>
      <c r="D421" s="152" t="s">
        <v>112</v>
      </c>
      <c r="E421" s="152" t="s">
        <v>113</v>
      </c>
      <c r="F421" s="152" t="s">
        <v>117</v>
      </c>
      <c r="G421" s="152" t="s">
        <v>782</v>
      </c>
      <c r="H421" s="152" t="n">
        <v>63</v>
      </c>
      <c r="I421" s="152" t="s">
        <v>115</v>
      </c>
      <c r="J421" s="152" t="s">
        <v>6</v>
      </c>
      <c r="K421" s="152" t="s">
        <v>2966</v>
      </c>
      <c r="L421" s="152" t="s">
        <v>120</v>
      </c>
      <c r="M421" s="153" t="n">
        <f aca="false">50.21+3.78</f>
        <v>53.99</v>
      </c>
      <c r="N421" s="152" t="s">
        <v>1548</v>
      </c>
      <c r="O421" s="152" t="s">
        <v>1549</v>
      </c>
      <c r="P421" s="152" t="s">
        <v>1550</v>
      </c>
      <c r="Q421" s="152" t="s">
        <v>1551</v>
      </c>
      <c r="R421" s="154" t="s">
        <v>3133</v>
      </c>
      <c r="S421" s="154" t="s">
        <v>1553</v>
      </c>
      <c r="T421" s="155" t="s">
        <v>3101</v>
      </c>
      <c r="U421" s="152" t="str">
        <f aca="false">RIGHT(T421,7)</f>
        <v>004/037</v>
      </c>
      <c r="V421" s="152" t="s">
        <v>1555</v>
      </c>
      <c r="W421" s="156" t="n">
        <v>45882</v>
      </c>
      <c r="X421" s="152" t="s">
        <v>1594</v>
      </c>
      <c r="Y421" s="152"/>
      <c r="Z421" s="152" t="s">
        <v>1557</v>
      </c>
      <c r="AA421" s="153" t="n">
        <v>2.2</v>
      </c>
      <c r="AB421" s="151" t="s">
        <v>3134</v>
      </c>
      <c r="AC421" s="151" t="s">
        <v>186</v>
      </c>
      <c r="AD421" s="151" t="str">
        <f aca="false">CONCATENATE($C421,$I421,$H421,$N421,$J421,$K421)</f>
        <v>TUBO PEADPEAD63VCAREDESZona04</v>
      </c>
      <c r="AE421" s="153" t="n">
        <f aca="false">IFERROR(INDEX(APOIO_REDES!$A:$W,MATCH($C421&amp;$I421&amp;$H421&amp;$N421&amp;$O421,APOIO_REDES!$W:$W,0),MATCH(AE$5,APOIO_REDES!$5:$5,0)),0)</f>
        <v>1.2</v>
      </c>
      <c r="AF421" s="153" t="n">
        <f aca="false">IFERROR(INDEX(APOIO_REDES!$A:$W,MATCH($C421&amp;$I421&amp;$H421&amp;$N421&amp;$O421,APOIO_REDES!$W:$W,0),MATCH(AF$5,APOIO_REDES!$5:$5,0)),0)</f>
        <v>1.363</v>
      </c>
      <c r="AG421" s="153" t="n">
        <f aca="false">IFERROR(INDEX(APOIO_REDES!$A:$W,MATCH($C421&amp;$I421&amp;$H421&amp;$N421&amp;$O421,APOIO_REDES!$W:$W,0),MATCH(AG$5,APOIO_REDES!$5:$5,0)),0)</f>
        <v>0.65</v>
      </c>
      <c r="AH421" s="153" t="n">
        <f aca="false">IFERROR(INDEX(APOIO_REDES!$A:$W,MATCH($C421&amp;$I421&amp;$H421&amp;$N421&amp;$O421,APOIO_REDES!$W:$W,0),MATCH(AH$5,APOIO_REDES!$5:$5,0)),0)</f>
        <v>0.1</v>
      </c>
      <c r="AI421" s="153" t="n">
        <f aca="false">IFERROR(IF($H421&lt;&gt;"",(((($H421/1000)/2)^2)*PI()*$M421),0),0)</f>
        <v>0.168300074315216</v>
      </c>
      <c r="AJ421" s="153" t="n">
        <f aca="false">IFERROR(IF(AND($H421&lt;&gt;"",$I421="FoFo",OR($N421="MND",$N421="VCA"),$Q421="LINEAR"),0,IF(AND($H421&lt;&gt;"",$I421="PEAD",$N421="VCA",$Q421="LINEAR"),($H421/1000)+0.3,IF(AND($H421&lt;&gt;"",$I421="PEAD",$N421="MND",$Q421="EMBOQUE"),0,IF(AND($H421&lt;&gt;"",$I421="PVC",$N421="VCA",$Q421="LINEAR"),($H421/1000)+0.2,IF(AND($H421&lt;&gt;"",$I421="PVC",$N421="MND",$Q421="EMBOQUE"),0,IF(AND($H421&lt;&gt;"",$I421="PEAD",$N421="VCA",$Q421="PREDIAL"),0,0)))))),0)</f>
        <v>0.363</v>
      </c>
      <c r="AK421" s="153" t="n">
        <f aca="false">IF(AA421&lt;&gt;"",AA421,0)</f>
        <v>2.2</v>
      </c>
      <c r="AL421" s="153" t="n">
        <f aca="false">IF(AND($N421="MND",$Q421="EMBOQUE"),$M421,IF(AND($N421="VCA",$Q421="LINEAR"),$M421,IF(AND($N421="VCA",$Q421="PREDIAL"),0,0)))</f>
        <v>53.99</v>
      </c>
      <c r="AM421" s="153" t="n">
        <f aca="false">IF(AND($N421="MND",$Q421="EMBOQUE"),$M421,IF(AND($N421="VCA",$Q421="LINEAR"),$M421,IF(AND($N421="VCA",$Q421="PREDIAL"),0,0)))</f>
        <v>53.99</v>
      </c>
      <c r="AN421" s="153" t="n">
        <f aca="false">ROUND(IF(AND($N421="VCA",$M421&lt;&gt;"",$Q421="LINEAR"),$M421/100,IF(AND($N421="MND",$M421&gt;100,$Q421="EMBOQUE"),$M421/100,0)),0)</f>
        <v>1</v>
      </c>
      <c r="AO421" s="153" t="n">
        <f aca="false">IF(AND($N421="MND",$Q421="EMBOQUE"),$AN421*2*2,IF(AND($N421="VCA",$Q421="LINEAR"),$M421*2,IF(AND($N421="VCA",$Q421="PREDIAL"),0,0)))</f>
        <v>107.98</v>
      </c>
      <c r="AP421" s="153" t="n">
        <f aca="false">IFERROR($M421*$AF421*$AG421,0)</f>
        <v>47.8324405</v>
      </c>
      <c r="AQ421" s="153" t="n">
        <f aca="false">IFERROR(IF(AND($N421="VCA",$AH421&gt;0),$M421*$AG421*$AH421,0),0)</f>
        <v>3.50935</v>
      </c>
      <c r="AR421" s="153" t="n">
        <f aca="false">IFERROR(IF(AND($N421="VCA",$AJ421&gt;0),($M421*$AG421*$AJ421)-$AI421,0),0)</f>
        <v>12.5706404256848</v>
      </c>
      <c r="AS421" s="153" t="n">
        <f aca="false">IFERROR(IF(AND($N421="VCA",$AP421&gt;0),$AP421-$AI421-$AQ421-$AR421,0),0)</f>
        <v>31.58415</v>
      </c>
      <c r="AT421" s="153" t="n">
        <f aca="false">IFERROR(IF($N421="VCA",INDEX(APOIO_REDES!$A:$W,MATCH($C421&amp;$I421&amp;$H421&amp;$N421&amp;$O421,APOIO_REDES!$W:$W,0),MATCH(AT$5,APOIO_REDES!$5:$5,0)),0)*$AP421,0)</f>
        <v>0.520431110319711</v>
      </c>
      <c r="AU421" s="153" t="n">
        <f aca="false">IFERROR(IF($N421="VCA",INDEX(APOIO_REDES!$A:$W,MATCH($C421&amp;$I421&amp;$H421&amp;$N421&amp;$O421,APOIO_REDES!$W:$W,0),MATCH(AU$5,APOIO_REDES!$5:$5,0)),0)*$AP421,0)</f>
        <v>0.415602189639311</v>
      </c>
      <c r="AV421" s="153" t="n">
        <f aca="false">IFERROR(IF($N421="VCA",INDEX(APOIO_REDES!$A:$W,MATCH($C421&amp;$I421&amp;$H421&amp;$N421&amp;$O421,APOIO_REDES!$W:$W,0),MATCH(AV$5,APOIO_REDES!$5:$5,0)),0)*$AP421,0)</f>
        <v>0.0575160804409715</v>
      </c>
      <c r="AW421" s="153" t="n">
        <f aca="false">IFERROR(IF($N421="VCA",INDEX(APOIO_REDES!$A:$W,MATCH($C421&amp;$I421&amp;$H421&amp;$N421&amp;$O421,APOIO_REDES!$W:$W,0),MATCH(AW$5,APOIO_REDES!$5:$5,0)),0)*$AP421,0)</f>
        <v>32.8325577830345</v>
      </c>
      <c r="AX421" s="153" t="n">
        <f aca="false">IFERROR(IF($N421="VCA",INDEX(APOIO_REDES!$A:$W,MATCH($C421&amp;$I421&amp;$H421&amp;$N421&amp;$O421,APOIO_REDES!$W:$W,0),MATCH(AX$5,APOIO_REDES!$5:$5,0)),0)*$AP421,0)</f>
        <v>4.5439324718608</v>
      </c>
      <c r="AY421" s="153" t="n">
        <f aca="false">IFERROR(IF($N421="VCA",INDEX(APOIO_REDES!$A:$W,MATCH($C421&amp;$I421&amp;$H421&amp;$N421&amp;$O421,APOIO_REDES!$W:$W,0),MATCH(AY$5,APOIO_REDES!$5:$5,0)),0)*$AP421,0)</f>
        <v>8.31203872662921</v>
      </c>
      <c r="AZ421" s="153" t="n">
        <f aca="false">IFERROR(IF($N421="VCA",INDEX(APOIO_REDES!$A:$W,MATCH($C421&amp;$I421&amp;$H421&amp;$N421&amp;$O421,APOIO_REDES!$W:$W,0),MATCH(AZ$5,APOIO_REDES!$5:$5,0)),0)*$AP421,0)</f>
        <v>1.15036213807544</v>
      </c>
      <c r="BA421" s="153" t="n">
        <f aca="false">IFERROR(IF(AND($N421="VCA",$Q421="LINEAR"),INDEX(APOIO_REDES!$A:$W,MATCH($C421&amp;$I421&amp;$H421&amp;$N421&amp;$O421,APOIO_REDES!$W:$W,0),MATCH(BA$5,APOIO_REDES!$5:$5,0)),IF(AND($N421="MND",$Q421="EMBOQUE"),INDEX(APOIO_REDES!$A:$W,MATCH($C421&amp;$I421&amp;$H421&amp;$N421&amp;$O421,APOIO_REDES!$W:$W,0),MATCH(BA$5,APOIO_REDES!$5:$5,0)),0))*$M421/10,0)</f>
        <v>4.35145781453234</v>
      </c>
      <c r="BB421" s="153" t="n">
        <f aca="false">IFERROR(IF($N421="VCA",INDEX(APOIO_REDES!$A:$W,MATCH($C421&amp;$I421&amp;$H421&amp;$N421&amp;$O421,APOIO_REDES!$W:$W,0),MATCH(BB$5,APOIO_REDES!$5:$5,0)),0)*($AI421+$AQ421+$AR421),0)</f>
        <v>16.0715042901115</v>
      </c>
      <c r="BC421" s="153" t="n">
        <f aca="false">IFERROR(IF($N421="VCA",INDEX(APOIO_REDES!$A:$W,MATCH($C421&amp;$I421&amp;$H421&amp;$N421&amp;$O421,APOIO_REDES!$W:$W,0),MATCH(BC$5,APOIO_REDES!$5:$5,0)),0)*($AI421+$AQ421+$AR421),0)</f>
        <v>0.1767862098885</v>
      </c>
      <c r="BD421" s="153" t="n">
        <f aca="false">IF(AND($N421="VCA",$AF421&gt;=1.25,$AF421&lt;1.5),$M421*$AF421*2,0)</f>
        <v>147.17674</v>
      </c>
      <c r="BE421" s="153" t="n">
        <f aca="false">IF(AND($N421="VCA",$AF421&gt;=1.5,$AF421&lt;3),$M421*$AF421*2,0)</f>
        <v>0</v>
      </c>
      <c r="BF421" s="153" t="n">
        <f aca="false">IF(AND($N421="VCA",$AF421&gt;=3),$M421*$AF421*2,0)</f>
        <v>0</v>
      </c>
      <c r="BG421" s="153" t="n">
        <f aca="false">($BB421+$BC421)*$AK421</f>
        <v>35.7462391</v>
      </c>
      <c r="BH421" s="153" t="n">
        <f aca="false">IF(AND($M421&lt;&gt;"",$N421="VCA",$Q421="LINEAR"),($M421*2)/100,IF(AND($M421&lt;&gt;"",$N421="MND",$Q421="EMBOQUE"),($AN421*2)/100,0))</f>
        <v>1.0798</v>
      </c>
      <c r="BI421" s="153" t="n">
        <f aca="false">IF(AND($M421&lt;&gt;"",$N421="VCA",$Q421="LINEAR"),$M421,IF(AND($M421&lt;&gt;"",$N421="MND",$Q421="EMBOQUE"),$AN421*2,0))</f>
        <v>53.99</v>
      </c>
      <c r="BJ421" s="153" t="n">
        <f aca="false">IF(AND($M421&lt;&gt;"",$N421="VCA",$Q421="LINEAR"),($M421*6.8)/100,IF(AND($M421&lt;&gt;"",$N421="MND",$Q421="EMBOQUE"),($AN421*2*6.8)/100,0))</f>
        <v>3.67132</v>
      </c>
      <c r="BK421" s="153" t="n">
        <f aca="false">IF(AND($M421&lt;&gt;"",$N421="VCA",$Q421="LINEAR"),($M421*2.5)/50,IF(AND($M421&lt;&gt;"",$N421="MND",$Q421="EMBOQUE"),($AN421*2*2.5)/50,0))</f>
        <v>2.6995</v>
      </c>
      <c r="BL421" s="157" t="str">
        <f aca="false">K421&amp;J421</f>
        <v>Zona04REDES</v>
      </c>
      <c r="BM421" s="152" t="s">
        <v>2969</v>
      </c>
      <c r="BN421" s="152" t="s">
        <v>1560</v>
      </c>
      <c r="BO421" s="152" t="s">
        <v>3104</v>
      </c>
      <c r="BP421" s="152" t="s">
        <v>3135</v>
      </c>
      <c r="BQ421" s="152" t="s">
        <v>3110</v>
      </c>
      <c r="BR421" s="152" t="s">
        <v>3136</v>
      </c>
      <c r="BS421" s="152" t="n">
        <v>203716.234</v>
      </c>
      <c r="BT421" s="152" t="n">
        <v>8238635.595</v>
      </c>
      <c r="BU421" s="152" t="n">
        <v>203734.568</v>
      </c>
      <c r="BV421" s="152" t="n">
        <v>8238681.886</v>
      </c>
      <c r="BW421" s="152" t="n">
        <v>-15.9135998</v>
      </c>
      <c r="BX421" s="152" t="n">
        <v>-47.767034</v>
      </c>
      <c r="BY421" s="152" t="s">
        <v>3135</v>
      </c>
    </row>
    <row r="422" customFormat="false" ht="13.8" hidden="false" customHeight="false" outlineLevel="0" collapsed="false">
      <c r="A422" s="149" t="n">
        <f aca="false">IF(C422&lt;&gt;"",ROW(A417),"")</f>
        <v>417</v>
      </c>
      <c r="B422" s="150" t="str">
        <f aca="false">HYPERLINK("https://www.google.com/maps/dir/-15.917302,-47.760003/-15.9135542,-47.7684735/data=!4m3!4m2!3e0!5i0")</f>
        <v>https://www.google.com/maps/dir/-15.917302,-47.760003/-15.9135542,-47.7684735/data=!4m3!4m2!3e0!5i0</v>
      </c>
      <c r="C422" s="151" t="s">
        <v>117</v>
      </c>
      <c r="D422" s="152" t="s">
        <v>112</v>
      </c>
      <c r="E422" s="152" t="s">
        <v>113</v>
      </c>
      <c r="F422" s="152" t="s">
        <v>117</v>
      </c>
      <c r="G422" s="152" t="s">
        <v>782</v>
      </c>
      <c r="H422" s="152" t="n">
        <v>90</v>
      </c>
      <c r="I422" s="152" t="s">
        <v>115</v>
      </c>
      <c r="J422" s="152" t="s">
        <v>6</v>
      </c>
      <c r="K422" s="152" t="s">
        <v>2966</v>
      </c>
      <c r="L422" s="152" t="s">
        <v>120</v>
      </c>
      <c r="M422" s="153" t="n">
        <f aca="false">46.61+0.37</f>
        <v>46.98</v>
      </c>
      <c r="N422" s="152" t="s">
        <v>1548</v>
      </c>
      <c r="O422" s="152" t="s">
        <v>1549</v>
      </c>
      <c r="P422" s="152" t="s">
        <v>1550</v>
      </c>
      <c r="Q422" s="152" t="s">
        <v>1551</v>
      </c>
      <c r="R422" s="154" t="s">
        <v>3137</v>
      </c>
      <c r="S422" s="154" t="s">
        <v>1593</v>
      </c>
      <c r="T422" s="155" t="s">
        <v>3101</v>
      </c>
      <c r="U422" s="152" t="str">
        <f aca="false">RIGHT(T422,7)</f>
        <v>004/037</v>
      </c>
      <c r="V422" s="152" t="s">
        <v>1555</v>
      </c>
      <c r="W422" s="156" t="n">
        <v>45882</v>
      </c>
      <c r="X422" s="152" t="s">
        <v>1594</v>
      </c>
      <c r="Y422" s="152" t="s">
        <v>3010</v>
      </c>
      <c r="Z422" s="152" t="s">
        <v>1557</v>
      </c>
      <c r="AA422" s="153" t="n">
        <v>1.9</v>
      </c>
      <c r="AB422" s="151" t="s">
        <v>3138</v>
      </c>
      <c r="AC422" s="151" t="s">
        <v>526</v>
      </c>
      <c r="AD422" s="151" t="str">
        <f aca="false">CONCATENATE($C422,$I422,$H422,$N422,$J422,$K422)</f>
        <v>TUBO PEADPEAD90VCAREDESZona04</v>
      </c>
      <c r="AE422" s="153" t="n">
        <f aca="false">IFERROR(INDEX(APOIO_REDES!$A:$W,MATCH($C422&amp;$I422&amp;$H422&amp;$N422&amp;$O422,APOIO_REDES!$W:$W,0),MATCH(AE$5,APOIO_REDES!$5:$5,0)),0)</f>
        <v>1.2</v>
      </c>
      <c r="AF422" s="153" t="n">
        <f aca="false">IFERROR(INDEX(APOIO_REDES!$A:$W,MATCH($C422&amp;$I422&amp;$H422&amp;$N422&amp;$O422,APOIO_REDES!$W:$W,0),MATCH(AF$5,APOIO_REDES!$5:$5,0)),0)</f>
        <v>1.39</v>
      </c>
      <c r="AG422" s="153" t="n">
        <f aca="false">IFERROR(INDEX(APOIO_REDES!$A:$W,MATCH($C422&amp;$I422&amp;$H422&amp;$N422&amp;$O422,APOIO_REDES!$W:$W,0),MATCH(AG$5,APOIO_REDES!$5:$5,0)),0)</f>
        <v>0.75</v>
      </c>
      <c r="AH422" s="153" t="n">
        <f aca="false">IFERROR(INDEX(APOIO_REDES!$A:$W,MATCH($C422&amp;$I422&amp;$H422&amp;$N422&amp;$O422,APOIO_REDES!$W:$W,0),MATCH(AH$5,APOIO_REDES!$5:$5,0)),0)</f>
        <v>0.1</v>
      </c>
      <c r="AI422" s="153" t="n">
        <f aca="false">IFERROR(IF($H422&lt;&gt;"",(((($H422/1000)/2)^2)*PI()*$M422),0),0)</f>
        <v>0.298873846302938</v>
      </c>
      <c r="AJ422" s="153" t="n">
        <f aca="false">IFERROR(IF(AND($H422&lt;&gt;"",$I422="FoFo",OR($N422="MND",$N422="VCA"),$Q422="LINEAR"),0,IF(AND($H422&lt;&gt;"",$I422="PEAD",$N422="VCA",$Q422="LINEAR"),($H422/1000)+0.3,IF(AND($H422&lt;&gt;"",$I422="PEAD",$N422="MND",$Q422="EMBOQUE"),0,IF(AND($H422&lt;&gt;"",$I422="PVC",$N422="VCA",$Q422="LINEAR"),($H422/1000)+0.2,IF(AND($H422&lt;&gt;"",$I422="PVC",$N422="MND",$Q422="EMBOQUE"),0,IF(AND($H422&lt;&gt;"",$I422="PEAD",$N422="VCA",$Q422="PREDIAL"),0,0)))))),0)</f>
        <v>0.39</v>
      </c>
      <c r="AK422" s="153" t="n">
        <f aca="false">IF(AA422&lt;&gt;"",AA422,0)</f>
        <v>1.9</v>
      </c>
      <c r="AL422" s="153" t="n">
        <f aca="false">IF(AND($N422="MND",$Q422="EMBOQUE"),$M422,IF(AND($N422="VCA",$Q422="LINEAR"),$M422,IF(AND($N422="VCA",$Q422="PREDIAL"),0,0)))</f>
        <v>46.98</v>
      </c>
      <c r="AM422" s="153" t="n">
        <f aca="false">IF(AND($N422="MND",$Q422="EMBOQUE"),$M422,IF(AND($N422="VCA",$Q422="LINEAR"),$M422,IF(AND($N422="VCA",$Q422="PREDIAL"),0,0)))</f>
        <v>46.98</v>
      </c>
      <c r="AN422" s="153" t="n">
        <f aca="false">ROUND(IF(AND($N422="VCA",$M422&lt;&gt;"",$Q422="LINEAR"),$M422/100,IF(AND($N422="MND",$M422&gt;100,$Q422="EMBOQUE"),$M422/100,0)),0)</f>
        <v>0</v>
      </c>
      <c r="AO422" s="153" t="n">
        <f aca="false">IF(AND($N422="MND",$Q422="EMBOQUE"),$AN422*2*2,IF(AND($N422="VCA",$Q422="LINEAR"),$M422*2,IF(AND($N422="VCA",$Q422="PREDIAL"),0,0)))</f>
        <v>93.96</v>
      </c>
      <c r="AP422" s="153" t="n">
        <f aca="false">IFERROR($M422*$AF422*$AG422,0)</f>
        <v>48.97665</v>
      </c>
      <c r="AQ422" s="153" t="n">
        <f aca="false">IFERROR(IF(AND($N422="VCA",$AH422&gt;0),$M422*$AG422*$AH422,0),0)</f>
        <v>3.5235</v>
      </c>
      <c r="AR422" s="153" t="n">
        <f aca="false">IFERROR(IF(AND($N422="VCA",$AJ422&gt;0),($M422*$AG422*$AJ422)-$AI422,0),0)</f>
        <v>13.4427761536971</v>
      </c>
      <c r="AS422" s="153" t="n">
        <f aca="false">IFERROR(IF(AND($N422="VCA",$AP422&gt;0),$AP422-$AI422-$AQ422-$AR422,0),0)</f>
        <v>31.7115</v>
      </c>
      <c r="AT422" s="153" t="n">
        <f aca="false">IFERROR(IF($N422="VCA",INDEX(APOIO_REDES!$A:$W,MATCH($C422&amp;$I422&amp;$H422&amp;$N422&amp;$O422,APOIO_REDES!$W:$W,0),MATCH(AT$5,APOIO_REDES!$5:$5,0)),0)*$AP422,0)</f>
        <v>0.532880448348436</v>
      </c>
      <c r="AU422" s="153" t="n">
        <f aca="false">IFERROR(IF($N422="VCA",INDEX(APOIO_REDES!$A:$W,MATCH($C422&amp;$I422&amp;$H422&amp;$N422&amp;$O422,APOIO_REDES!$W:$W,0),MATCH(AU$5,APOIO_REDES!$5:$5,0)),0)*$AP422,0)</f>
        <v>0.425543893818216</v>
      </c>
      <c r="AV422" s="153" t="n">
        <f aca="false">IFERROR(IF($N422="VCA",INDEX(APOIO_REDES!$A:$W,MATCH($C422&amp;$I422&amp;$H422&amp;$N422&amp;$O422,APOIO_REDES!$W:$W,0),MATCH(AV$5,APOIO_REDES!$5:$5,0)),0)*$AP422,0)</f>
        <v>0.0588919342538942</v>
      </c>
      <c r="AW422" s="153" t="n">
        <f aca="false">IFERROR(IF($N422="VCA",INDEX(APOIO_REDES!$A:$W,MATCH($C422&amp;$I422&amp;$H422&amp;$N422&amp;$O422,APOIO_REDES!$W:$W,0),MATCH(AW$5,APOIO_REDES!$5:$5,0)),0)*$AP422,0)</f>
        <v>33.6179520496024</v>
      </c>
      <c r="AX422" s="153" t="n">
        <f aca="false">IFERROR(IF($N422="VCA",INDEX(APOIO_REDES!$A:$W,MATCH($C422&amp;$I422&amp;$H422&amp;$N422&amp;$O422,APOIO_REDES!$W:$W,0),MATCH(AX$5,APOIO_REDES!$5:$5,0)),0)*$AP422,0)</f>
        <v>4.65262880111588</v>
      </c>
      <c r="AY422" s="153" t="n">
        <f aca="false">IFERROR(IF($N422="VCA",INDEX(APOIO_REDES!$A:$W,MATCH($C422&amp;$I422&amp;$H422&amp;$N422&amp;$O422,APOIO_REDES!$W:$W,0),MATCH(AY$5,APOIO_REDES!$5:$5,0)),0)*$AP422,0)</f>
        <v>8.51087268901876</v>
      </c>
      <c r="AZ422" s="153" t="n">
        <f aca="false">IFERROR(IF($N422="VCA",INDEX(APOIO_REDES!$A:$W,MATCH($C422&amp;$I422&amp;$H422&amp;$N422&amp;$O422,APOIO_REDES!$W:$W,0),MATCH(AZ$5,APOIO_REDES!$5:$5,0)),0)*$AP422,0)</f>
        <v>1.17788018384244</v>
      </c>
      <c r="BA422" s="153" t="n">
        <f aca="false">IFERROR(IF(AND($N422="VCA",$Q422="LINEAR"),INDEX(APOIO_REDES!$A:$W,MATCH($C422&amp;$I422&amp;$H422&amp;$N422&amp;$O422,APOIO_REDES!$W:$W,0),MATCH(BA$5,APOIO_REDES!$5:$5,0)),IF(AND($N422="MND",$Q422="EMBOQUE"),INDEX(APOIO_REDES!$A:$W,MATCH($C422&amp;$I422&amp;$H422&amp;$N422&amp;$O422,APOIO_REDES!$W:$W,0),MATCH(BA$5,APOIO_REDES!$5:$5,0)),0))*$M422/10,0)</f>
        <v>3.78646949669808</v>
      </c>
      <c r="BB422" s="153" t="n">
        <f aca="false">IFERROR(IF($N422="VCA",INDEX(APOIO_REDES!$A:$W,MATCH($C422&amp;$I422&amp;$H422&amp;$N422&amp;$O422,APOIO_REDES!$W:$W,0),MATCH(BB$5,APOIO_REDES!$5:$5,0)),0)*($AI422+$AQ422+$AR422),0)</f>
        <v>17.0773000577765</v>
      </c>
      <c r="BC422" s="153" t="n">
        <f aca="false">IFERROR(IF($N422="VCA",INDEX(APOIO_REDES!$A:$W,MATCH($C422&amp;$I422&amp;$H422&amp;$N422&amp;$O422,APOIO_REDES!$W:$W,0),MATCH(BC$5,APOIO_REDES!$5:$5,0)),0)*($AI422+$AQ422+$AR422),0)</f>
        <v>0.187849942223549</v>
      </c>
      <c r="BD422" s="153" t="n">
        <f aca="false">IF(AND($N422="VCA",$AF422&gt;=1.25,$AF422&lt;1.5),$M422*$AF422*2,0)</f>
        <v>130.6044</v>
      </c>
      <c r="BE422" s="153" t="n">
        <f aca="false">IF(AND($N422="VCA",$AF422&gt;=1.5,$AF422&lt;3),$M422*$AF422*2,0)</f>
        <v>0</v>
      </c>
      <c r="BF422" s="153" t="n">
        <f aca="false">IF(AND($N422="VCA",$AF422&gt;=3),$M422*$AF422*2,0)</f>
        <v>0</v>
      </c>
      <c r="BG422" s="153" t="n">
        <f aca="false">($BB422+$BC422)*$AK422</f>
        <v>32.803785</v>
      </c>
      <c r="BH422" s="153" t="n">
        <f aca="false">IF(AND($M422&lt;&gt;"",$N422="VCA",$Q422="LINEAR"),($M422*2)/100,IF(AND($M422&lt;&gt;"",$N422="MND",$Q422="EMBOQUE"),($AN422*2)/100,0))</f>
        <v>0.9396</v>
      </c>
      <c r="BI422" s="153" t="n">
        <f aca="false">IF(AND($M422&lt;&gt;"",$N422="VCA",$Q422="LINEAR"),$M422,IF(AND($M422&lt;&gt;"",$N422="MND",$Q422="EMBOQUE"),$AN422*2,0))</f>
        <v>46.98</v>
      </c>
      <c r="BJ422" s="153" t="n">
        <f aca="false">IF(AND($M422&lt;&gt;"",$N422="VCA",$Q422="LINEAR"),($M422*6.8)/100,IF(AND($M422&lt;&gt;"",$N422="MND",$Q422="EMBOQUE"),($AN422*2*6.8)/100,0))</f>
        <v>3.19464</v>
      </c>
      <c r="BK422" s="153" t="n">
        <f aca="false">IF(AND($M422&lt;&gt;"",$N422="VCA",$Q422="LINEAR"),($M422*2.5)/50,IF(AND($M422&lt;&gt;"",$N422="MND",$Q422="EMBOQUE"),($AN422*2*2.5)/50,0))</f>
        <v>2.349</v>
      </c>
      <c r="BL422" s="157" t="str">
        <f aca="false">K422&amp;J422</f>
        <v>Zona04REDES</v>
      </c>
      <c r="BM422" s="152" t="s">
        <v>2969</v>
      </c>
      <c r="BN422" s="152" t="s">
        <v>1560</v>
      </c>
      <c r="BO422" s="152" t="s">
        <v>3104</v>
      </c>
      <c r="BP422" s="152" t="s">
        <v>3012</v>
      </c>
      <c r="BQ422" s="152" t="s">
        <v>3130</v>
      </c>
      <c r="BR422" s="152" t="s">
        <v>3139</v>
      </c>
      <c r="BS422" s="152" t="n">
        <v>203570.969</v>
      </c>
      <c r="BT422" s="152" t="n">
        <v>8238662.029</v>
      </c>
      <c r="BU422" s="152" t="n">
        <v>203613.499</v>
      </c>
      <c r="BV422" s="152" t="n">
        <v>8238643.038</v>
      </c>
      <c r="BW422" s="152" t="n">
        <v>-15.9136452</v>
      </c>
      <c r="BX422" s="152" t="n">
        <v>-47.7682777</v>
      </c>
      <c r="BY422" s="152" t="s">
        <v>3012</v>
      </c>
    </row>
    <row r="423" customFormat="false" ht="13.8" hidden="false" customHeight="false" outlineLevel="0" collapsed="false">
      <c r="A423" s="149" t="n">
        <f aca="false">IF(C423&lt;&gt;"",ROW(A418),"")</f>
        <v>418</v>
      </c>
      <c r="B423" s="150" t="str">
        <f aca="false">HYPERLINK("https://www.google.com/maps/dir/-15.917302,-47.760003/-15.9137307,-47.7680790/data=!4m3!4m2!3e0!5i0")</f>
        <v>https://www.google.com/maps/dir/-15.917302,-47.760003/-15.9137307,-47.7680790/data=!4m3!4m2!3e0!5i0</v>
      </c>
      <c r="C423" s="151" t="s">
        <v>117</v>
      </c>
      <c r="D423" s="152" t="s">
        <v>112</v>
      </c>
      <c r="E423" s="152" t="s">
        <v>113</v>
      </c>
      <c r="F423" s="152" t="s">
        <v>117</v>
      </c>
      <c r="G423" s="152" t="s">
        <v>782</v>
      </c>
      <c r="H423" s="152" t="n">
        <v>90</v>
      </c>
      <c r="I423" s="152" t="s">
        <v>115</v>
      </c>
      <c r="J423" s="152" t="s">
        <v>6</v>
      </c>
      <c r="K423" s="152" t="s">
        <v>2966</v>
      </c>
      <c r="L423" s="152" t="s">
        <v>120</v>
      </c>
      <c r="M423" s="153" t="n">
        <f aca="false">1.84</f>
        <v>1.84</v>
      </c>
      <c r="N423" s="152" t="s">
        <v>1548</v>
      </c>
      <c r="O423" s="152" t="s">
        <v>1549</v>
      </c>
      <c r="P423" s="152" t="s">
        <v>1550</v>
      </c>
      <c r="Q423" s="152" t="s">
        <v>1551</v>
      </c>
      <c r="R423" s="154" t="s">
        <v>3140</v>
      </c>
      <c r="S423" s="154" t="s">
        <v>1593</v>
      </c>
      <c r="T423" s="155" t="s">
        <v>3101</v>
      </c>
      <c r="U423" s="152" t="str">
        <f aca="false">RIGHT(T423,7)</f>
        <v>004/037</v>
      </c>
      <c r="V423" s="152" t="s">
        <v>1555</v>
      </c>
      <c r="W423" s="156" t="n">
        <v>45882</v>
      </c>
      <c r="X423" s="152" t="s">
        <v>1594</v>
      </c>
      <c r="Y423" s="152" t="s">
        <v>3015</v>
      </c>
      <c r="Z423" s="152" t="s">
        <v>1557</v>
      </c>
      <c r="AA423" s="153" t="n">
        <v>2</v>
      </c>
      <c r="AB423" s="151" t="s">
        <v>3141</v>
      </c>
      <c r="AC423" s="151" t="s">
        <v>526</v>
      </c>
      <c r="AD423" s="151" t="str">
        <f aca="false">CONCATENATE($C423,$I423,$H423,$N423,$J423,$K423)</f>
        <v>TUBO PEADPEAD90VCAREDESZona04</v>
      </c>
      <c r="AE423" s="153" t="n">
        <f aca="false">IFERROR(INDEX(APOIO_REDES!$A:$W,MATCH($C423&amp;$I423&amp;$H423&amp;$N423&amp;$O423,APOIO_REDES!$W:$W,0),MATCH(AE$5,APOIO_REDES!$5:$5,0)),0)</f>
        <v>1.2</v>
      </c>
      <c r="AF423" s="153" t="n">
        <f aca="false">IFERROR(INDEX(APOIO_REDES!$A:$W,MATCH($C423&amp;$I423&amp;$H423&amp;$N423&amp;$O423,APOIO_REDES!$W:$W,0),MATCH(AF$5,APOIO_REDES!$5:$5,0)),0)</f>
        <v>1.39</v>
      </c>
      <c r="AG423" s="153" t="n">
        <f aca="false">IFERROR(INDEX(APOIO_REDES!$A:$W,MATCH($C423&amp;$I423&amp;$H423&amp;$N423&amp;$O423,APOIO_REDES!$W:$W,0),MATCH(AG$5,APOIO_REDES!$5:$5,0)),0)</f>
        <v>0.75</v>
      </c>
      <c r="AH423" s="153" t="n">
        <f aca="false">IFERROR(INDEX(APOIO_REDES!$A:$W,MATCH($C423&amp;$I423&amp;$H423&amp;$N423&amp;$O423,APOIO_REDES!$W:$W,0),MATCH(AH$5,APOIO_REDES!$5:$5,0)),0)</f>
        <v>0.1</v>
      </c>
      <c r="AI423" s="153" t="n">
        <f aca="false">IFERROR(IF($H423&lt;&gt;"",(((($H423/1000)/2)^2)*PI()*$M423),0),0)</f>
        <v>0.0117055742272756</v>
      </c>
      <c r="AJ423" s="153" t="n">
        <f aca="false">IFERROR(IF(AND($H423&lt;&gt;"",$I423="FoFo",OR($N423="MND",$N423="VCA"),$Q423="LINEAR"),0,IF(AND($H423&lt;&gt;"",$I423="PEAD",$N423="VCA",$Q423="LINEAR"),($H423/1000)+0.3,IF(AND($H423&lt;&gt;"",$I423="PEAD",$N423="MND",$Q423="EMBOQUE"),0,IF(AND($H423&lt;&gt;"",$I423="PVC",$N423="VCA",$Q423="LINEAR"),($H423/1000)+0.2,IF(AND($H423&lt;&gt;"",$I423="PVC",$N423="MND",$Q423="EMBOQUE"),0,IF(AND($H423&lt;&gt;"",$I423="PEAD",$N423="VCA",$Q423="PREDIAL"),0,0)))))),0)</f>
        <v>0.39</v>
      </c>
      <c r="AK423" s="153" t="n">
        <f aca="false">IF(AA423&lt;&gt;"",AA423,0)</f>
        <v>2</v>
      </c>
      <c r="AL423" s="153" t="n">
        <f aca="false">IF(AND($N423="MND",$Q423="EMBOQUE"),$M423,IF(AND($N423="VCA",$Q423="LINEAR"),$M423,IF(AND($N423="VCA",$Q423="PREDIAL"),0,0)))</f>
        <v>1.84</v>
      </c>
      <c r="AM423" s="153" t="n">
        <f aca="false">IF(AND($N423="MND",$Q423="EMBOQUE"),$M423,IF(AND($N423="VCA",$Q423="LINEAR"),$M423,IF(AND($N423="VCA",$Q423="PREDIAL"),0,0)))</f>
        <v>1.84</v>
      </c>
      <c r="AN423" s="153" t="n">
        <f aca="false">ROUND(IF(AND($N423="VCA",$M423&lt;&gt;"",$Q423="LINEAR"),$M423/100,IF(AND($N423="MND",$M423&gt;100,$Q423="EMBOQUE"),$M423/100,0)),0)</f>
        <v>0</v>
      </c>
      <c r="AO423" s="153" t="n">
        <f aca="false">IF(AND($N423="MND",$Q423="EMBOQUE"),$AN423*2*2,IF(AND($N423="VCA",$Q423="LINEAR"),$M423*2,IF(AND($N423="VCA",$Q423="PREDIAL"),0,0)))</f>
        <v>3.68</v>
      </c>
      <c r="AP423" s="153" t="n">
        <f aca="false">IFERROR($M423*$AF423*$AG423,0)</f>
        <v>1.9182</v>
      </c>
      <c r="AQ423" s="153" t="n">
        <f aca="false">IFERROR(IF(AND($N423="VCA",$AH423&gt;0),$M423*$AG423*$AH423,0),0)</f>
        <v>0.138</v>
      </c>
      <c r="AR423" s="153" t="n">
        <f aca="false">IFERROR(IF(AND($N423="VCA",$AJ423&gt;0),($M423*$AG423*$AJ423)-$AI423,0),0)</f>
        <v>0.526494425772724</v>
      </c>
      <c r="AS423" s="153" t="n">
        <f aca="false">IFERROR(IF(AND($N423="VCA",$AP423&gt;0),$AP423-$AI423-$AQ423-$AR423,0),0)</f>
        <v>1.242</v>
      </c>
      <c r="AT423" s="153" t="n">
        <f aca="false">IFERROR(IF($N423="VCA",INDEX(APOIO_REDES!$A:$W,MATCH($C423&amp;$I423&amp;$H423&amp;$N423&amp;$O423,APOIO_REDES!$W:$W,0),MATCH(AT$5,APOIO_REDES!$5:$5,0)),0)*$AP423,0)</f>
        <v>0.0208705837582188</v>
      </c>
      <c r="AU423" s="153" t="n">
        <f aca="false">IFERROR(IF($N423="VCA",INDEX(APOIO_REDES!$A:$W,MATCH($C423&amp;$I423&amp;$H423&amp;$N423&amp;$O423,APOIO_REDES!$W:$W,0),MATCH(AU$5,APOIO_REDES!$5:$5,0)),0)*$AP423,0)</f>
        <v>0.0166666829422205</v>
      </c>
      <c r="AV423" s="153" t="n">
        <f aca="false">IFERROR(IF($N423="VCA",INDEX(APOIO_REDES!$A:$W,MATCH($C423&amp;$I423&amp;$H423&amp;$N423&amp;$O423,APOIO_REDES!$W:$W,0),MATCH(AV$5,APOIO_REDES!$5:$5,0)),0)*$AP423,0)</f>
        <v>0.00230653808061229</v>
      </c>
      <c r="AW423" s="153" t="n">
        <f aca="false">IFERROR(IF($N423="VCA",INDEX(APOIO_REDES!$A:$W,MATCH($C423&amp;$I423&amp;$H423&amp;$N423&amp;$O423,APOIO_REDES!$W:$W,0),MATCH(AW$5,APOIO_REDES!$5:$5,0)),0)*$AP423,0)</f>
        <v>1.31666734293888</v>
      </c>
      <c r="AX423" s="153" t="n">
        <f aca="false">IFERROR(IF($N423="VCA",INDEX(APOIO_REDES!$A:$W,MATCH($C423&amp;$I423&amp;$H423&amp;$N423&amp;$O423,APOIO_REDES!$W:$W,0),MATCH(AX$5,APOIO_REDES!$5:$5,0)),0)*$AP423,0)</f>
        <v>0.182223009664819</v>
      </c>
      <c r="AY423" s="153" t="n">
        <f aca="false">IFERROR(IF($N423="VCA",INDEX(APOIO_REDES!$A:$W,MATCH($C423&amp;$I423&amp;$H423&amp;$N423&amp;$O423,APOIO_REDES!$W:$W,0),MATCH(AY$5,APOIO_REDES!$5:$5,0)),0)*$AP423,0)</f>
        <v>0.333333455678896</v>
      </c>
      <c r="AZ423" s="153" t="n">
        <f aca="false">IFERROR(IF($N423="VCA",INDEX(APOIO_REDES!$A:$W,MATCH($C423&amp;$I423&amp;$H423&amp;$N423&amp;$O423,APOIO_REDES!$W:$W,0),MATCH(AZ$5,APOIO_REDES!$5:$5,0)),0)*$AP423,0)</f>
        <v>0.0461323869363579</v>
      </c>
      <c r="BA423" s="153" t="n">
        <f aca="false">IFERROR(IF(AND($N423="VCA",$Q423="LINEAR"),INDEX(APOIO_REDES!$A:$W,MATCH($C423&amp;$I423&amp;$H423&amp;$N423&amp;$O423,APOIO_REDES!$W:$W,0),MATCH(BA$5,APOIO_REDES!$5:$5,0)),IF(AND($N423="MND",$Q423="EMBOQUE"),INDEX(APOIO_REDES!$A:$W,MATCH($C423&amp;$I423&amp;$H423&amp;$N423&amp;$O423,APOIO_REDES!$W:$W,0),MATCH(BA$5,APOIO_REDES!$5:$5,0)),0))*$M423/10,0)</f>
        <v>0.148299358746796</v>
      </c>
      <c r="BB423" s="153" t="n">
        <f aca="false">IFERROR(IF($N423="VCA",INDEX(APOIO_REDES!$A:$W,MATCH($C423&amp;$I423&amp;$H423&amp;$N423&amp;$O423,APOIO_REDES!$W:$W,0),MATCH(BB$5,APOIO_REDES!$5:$5,0)),0)*($AI423+$AQ423+$AR423),0)</f>
        <v>0.668842743855016</v>
      </c>
      <c r="BC423" s="153" t="n">
        <f aca="false">IFERROR(IF($N423="VCA",INDEX(APOIO_REDES!$A:$W,MATCH($C423&amp;$I423&amp;$H423&amp;$N423&amp;$O423,APOIO_REDES!$W:$W,0),MATCH(BC$5,APOIO_REDES!$5:$5,0)),0)*($AI423+$AQ423+$AR423),0)</f>
        <v>0.00735725614498362</v>
      </c>
      <c r="BD423" s="153" t="n">
        <f aca="false">IF(AND($N423="VCA",$AF423&gt;=1.25,$AF423&lt;1.5),$M423*$AF423*2,0)</f>
        <v>5.1152</v>
      </c>
      <c r="BE423" s="153" t="n">
        <f aca="false">IF(AND($N423="VCA",$AF423&gt;=1.5,$AF423&lt;3),$M423*$AF423*2,0)</f>
        <v>0</v>
      </c>
      <c r="BF423" s="153" t="n">
        <f aca="false">IF(AND($N423="VCA",$AF423&gt;=3),$M423*$AF423*2,0)</f>
        <v>0</v>
      </c>
      <c r="BG423" s="153" t="n">
        <f aca="false">($BB423+$BC423)*$AK423</f>
        <v>1.3524</v>
      </c>
      <c r="BH423" s="153" t="n">
        <f aca="false">IF(AND($M423&lt;&gt;"",$N423="VCA",$Q423="LINEAR"),($M423*2)/100,IF(AND($M423&lt;&gt;"",$N423="MND",$Q423="EMBOQUE"),($AN423*2)/100,0))</f>
        <v>0.0368</v>
      </c>
      <c r="BI423" s="153" t="n">
        <f aca="false">IF(AND($M423&lt;&gt;"",$N423="VCA",$Q423="LINEAR"),$M423,IF(AND($M423&lt;&gt;"",$N423="MND",$Q423="EMBOQUE"),$AN423*2,0))</f>
        <v>1.84</v>
      </c>
      <c r="BJ423" s="153" t="n">
        <f aca="false">IF(AND($M423&lt;&gt;"",$N423="VCA",$Q423="LINEAR"),($M423*6.8)/100,IF(AND($M423&lt;&gt;"",$N423="MND",$Q423="EMBOQUE"),($AN423*2*6.8)/100,0))</f>
        <v>0.12512</v>
      </c>
      <c r="BK423" s="153" t="n">
        <f aca="false">IF(AND($M423&lt;&gt;"",$N423="VCA",$Q423="LINEAR"),($M423*2.5)/50,IF(AND($M423&lt;&gt;"",$N423="MND",$Q423="EMBOQUE"),($AN423*2*2.5)/50,0))</f>
        <v>0.092</v>
      </c>
      <c r="BL423" s="157" t="str">
        <f aca="false">K423&amp;J423</f>
        <v>Zona04REDES</v>
      </c>
      <c r="BM423" s="152" t="s">
        <v>2969</v>
      </c>
      <c r="BN423" s="152" t="s">
        <v>1560</v>
      </c>
      <c r="BO423" s="152" t="s">
        <v>3104</v>
      </c>
      <c r="BP423" s="152" t="s">
        <v>3130</v>
      </c>
      <c r="BQ423" s="152" t="s">
        <v>3142</v>
      </c>
      <c r="BR423" s="152" t="s">
        <v>3139</v>
      </c>
      <c r="BS423" s="152" t="n">
        <v>203613.499</v>
      </c>
      <c r="BT423" s="152" t="n">
        <v>8238643.038</v>
      </c>
      <c r="BU423" s="152" t="n">
        <v>203615.187</v>
      </c>
      <c r="BV423" s="152" t="n">
        <v>8238642.305</v>
      </c>
      <c r="BW423" s="152" t="n">
        <v>-15.9137342</v>
      </c>
      <c r="BX423" s="152" t="n">
        <v>-47.7680712</v>
      </c>
      <c r="BY423" s="152" t="s">
        <v>3130</v>
      </c>
    </row>
    <row r="424" customFormat="false" ht="13.8" hidden="false" customHeight="false" outlineLevel="0" collapsed="false">
      <c r="A424" s="149" t="n">
        <f aca="false">IF(C424&lt;&gt;"",ROW(A419),"")</f>
        <v>419</v>
      </c>
      <c r="B424" s="150" t="str">
        <f aca="false">HYPERLINK("https://www.google.com/maps/dir/-15.917302,-47.760003/-15.9137376,-47.7680634/data=!4m3!4m2!3e0!5i1")</f>
        <v>https://www.google.com/maps/dir/-15.917302,-47.760003/-15.9137376,-47.7680634/data=!4m3!4m2!3e0!5i1</v>
      </c>
      <c r="C424" s="151" t="s">
        <v>117</v>
      </c>
      <c r="D424" s="152" t="s">
        <v>112</v>
      </c>
      <c r="E424" s="152" t="s">
        <v>113</v>
      </c>
      <c r="F424" s="152" t="s">
        <v>117</v>
      </c>
      <c r="G424" s="152" t="s">
        <v>782</v>
      </c>
      <c r="H424" s="152" t="n">
        <v>90</v>
      </c>
      <c r="I424" s="152" t="s">
        <v>115</v>
      </c>
      <c r="J424" s="152" t="s">
        <v>6</v>
      </c>
      <c r="K424" s="152" t="s">
        <v>2966</v>
      </c>
      <c r="L424" s="152" t="s">
        <v>120</v>
      </c>
      <c r="M424" s="153" t="n">
        <f aca="false">46.47</f>
        <v>46.47</v>
      </c>
      <c r="N424" s="152" t="s">
        <v>1548</v>
      </c>
      <c r="O424" s="152" t="s">
        <v>1549</v>
      </c>
      <c r="P424" s="152" t="s">
        <v>1550</v>
      </c>
      <c r="Q424" s="152" t="s">
        <v>1551</v>
      </c>
      <c r="R424" s="154" t="s">
        <v>3143</v>
      </c>
      <c r="S424" s="154" t="s">
        <v>1593</v>
      </c>
      <c r="T424" s="155" t="s">
        <v>3101</v>
      </c>
      <c r="U424" s="152" t="str">
        <f aca="false">RIGHT(T424,7)</f>
        <v>004/037</v>
      </c>
      <c r="V424" s="152" t="s">
        <v>1555</v>
      </c>
      <c r="W424" s="156" t="n">
        <v>45882</v>
      </c>
      <c r="X424" s="152" t="s">
        <v>1594</v>
      </c>
      <c r="Y424" s="152" t="s">
        <v>3015</v>
      </c>
      <c r="Z424" s="152" t="s">
        <v>1557</v>
      </c>
      <c r="AA424" s="153" t="n">
        <v>2.5</v>
      </c>
      <c r="AB424" s="151" t="s">
        <v>3144</v>
      </c>
      <c r="AC424" s="151" t="s">
        <v>526</v>
      </c>
      <c r="AD424" s="151" t="str">
        <f aca="false">CONCATENATE($C424,$I424,$H424,$N424,$J424,$K424)</f>
        <v>TUBO PEADPEAD90VCAREDESZona04</v>
      </c>
      <c r="AE424" s="153" t="n">
        <f aca="false">IFERROR(INDEX(APOIO_REDES!$A:$W,MATCH($C424&amp;$I424&amp;$H424&amp;$N424&amp;$O424,APOIO_REDES!$W:$W,0),MATCH(AE$5,APOIO_REDES!$5:$5,0)),0)</f>
        <v>1.2</v>
      </c>
      <c r="AF424" s="153" t="n">
        <f aca="false">IFERROR(INDEX(APOIO_REDES!$A:$W,MATCH($C424&amp;$I424&amp;$H424&amp;$N424&amp;$O424,APOIO_REDES!$W:$W,0),MATCH(AF$5,APOIO_REDES!$5:$5,0)),0)</f>
        <v>1.39</v>
      </c>
      <c r="AG424" s="153" t="n">
        <f aca="false">IFERROR(INDEX(APOIO_REDES!$A:$W,MATCH($C424&amp;$I424&amp;$H424&amp;$N424&amp;$O424,APOIO_REDES!$W:$W,0),MATCH(AG$5,APOIO_REDES!$5:$5,0)),0)</f>
        <v>0.75</v>
      </c>
      <c r="AH424" s="153" t="n">
        <f aca="false">IFERROR(INDEX(APOIO_REDES!$A:$W,MATCH($C424&amp;$I424&amp;$H424&amp;$N424&amp;$O424,APOIO_REDES!$W:$W,0),MATCH(AH$5,APOIO_REDES!$5:$5,0)),0)</f>
        <v>0.1</v>
      </c>
      <c r="AI424" s="153" t="n">
        <f aca="false">IFERROR(IF($H424&lt;&gt;"",(((($H424/1000)/2)^2)*PI()*$M424),0),0)</f>
        <v>0.295629366489943</v>
      </c>
      <c r="AJ424" s="153" t="n">
        <f aca="false">IFERROR(IF(AND($H424&lt;&gt;"",$I424="FoFo",OR($N424="MND",$N424="VCA"),$Q424="LINEAR"),0,IF(AND($H424&lt;&gt;"",$I424="PEAD",$N424="VCA",$Q424="LINEAR"),($H424/1000)+0.3,IF(AND($H424&lt;&gt;"",$I424="PEAD",$N424="MND",$Q424="EMBOQUE"),0,IF(AND($H424&lt;&gt;"",$I424="PVC",$N424="VCA",$Q424="LINEAR"),($H424/1000)+0.2,IF(AND($H424&lt;&gt;"",$I424="PVC",$N424="MND",$Q424="EMBOQUE"),0,IF(AND($H424&lt;&gt;"",$I424="PEAD",$N424="VCA",$Q424="PREDIAL"),0,0)))))),0)</f>
        <v>0.39</v>
      </c>
      <c r="AK424" s="153" t="n">
        <f aca="false">IF(AA424&lt;&gt;"",AA424,0)</f>
        <v>2.5</v>
      </c>
      <c r="AL424" s="153" t="n">
        <f aca="false">IF(AND($N424="MND",$Q424="EMBOQUE"),$M424,IF(AND($N424="VCA",$Q424="LINEAR"),$M424,IF(AND($N424="VCA",$Q424="PREDIAL"),0,0)))</f>
        <v>46.47</v>
      </c>
      <c r="AM424" s="153" t="n">
        <f aca="false">IF(AND($N424="MND",$Q424="EMBOQUE"),$M424,IF(AND($N424="VCA",$Q424="LINEAR"),$M424,IF(AND($N424="VCA",$Q424="PREDIAL"),0,0)))</f>
        <v>46.47</v>
      </c>
      <c r="AN424" s="153" t="n">
        <f aca="false">ROUND(IF(AND($N424="VCA",$M424&lt;&gt;"",$Q424="LINEAR"),$M424/100,IF(AND($N424="MND",$M424&gt;100,$Q424="EMBOQUE"),$M424/100,0)),0)</f>
        <v>0</v>
      </c>
      <c r="AO424" s="153" t="n">
        <f aca="false">IF(AND($N424="MND",$Q424="EMBOQUE"),$AN424*2*2,IF(AND($N424="VCA",$Q424="LINEAR"),$M424*2,IF(AND($N424="VCA",$Q424="PREDIAL"),0,0)))</f>
        <v>92.94</v>
      </c>
      <c r="AP424" s="153" t="n">
        <f aca="false">IFERROR($M424*$AF424*$AG424,0)</f>
        <v>48.444975</v>
      </c>
      <c r="AQ424" s="153" t="n">
        <f aca="false">IFERROR(IF(AND($N424="VCA",$AH424&gt;0),$M424*$AG424*$AH424,0),0)</f>
        <v>3.48525</v>
      </c>
      <c r="AR424" s="153" t="n">
        <f aca="false">IFERROR(IF(AND($N424="VCA",$AJ424&gt;0),($M424*$AG424*$AJ424)-$AI424,0),0)</f>
        <v>13.2968456335101</v>
      </c>
      <c r="AS424" s="153" t="n">
        <f aca="false">IFERROR(IF(AND($N424="VCA",$AP424&gt;0),$AP424-$AI424-$AQ424-$AR424,0),0)</f>
        <v>31.36725</v>
      </c>
      <c r="AT424" s="153" t="n">
        <f aca="false">IFERROR(IF($N424="VCA",INDEX(APOIO_REDES!$A:$W,MATCH($C424&amp;$I424&amp;$H424&amp;$N424&amp;$O424,APOIO_REDES!$W:$W,0),MATCH(AT$5,APOIO_REDES!$5:$5,0)),0)*$AP424,0)</f>
        <v>0.527095666980668</v>
      </c>
      <c r="AU424" s="153" t="n">
        <f aca="false">IFERROR(IF($N424="VCA",INDEX(APOIO_REDES!$A:$W,MATCH($C424&amp;$I424&amp;$H424&amp;$N424&amp;$O424,APOIO_REDES!$W:$W,0),MATCH(AU$5,APOIO_REDES!$5:$5,0)),0)*$AP424,0)</f>
        <v>0.420924324089666</v>
      </c>
      <c r="AV424" s="153" t="n">
        <f aca="false">IFERROR(IF($N424="VCA",INDEX(APOIO_REDES!$A:$W,MATCH($C424&amp;$I424&amp;$H424&amp;$N424&amp;$O424,APOIO_REDES!$W:$W,0),MATCH(AV$5,APOIO_REDES!$5:$5,0)),0)*$AP424,0)</f>
        <v>0.0582526220685071</v>
      </c>
      <c r="AW424" s="153" t="n">
        <f aca="false">IFERROR(IF($N424="VCA",INDEX(APOIO_REDES!$A:$W,MATCH($C424&amp;$I424&amp;$H424&amp;$N424&amp;$O424,APOIO_REDES!$W:$W,0),MATCH(AW$5,APOIO_REDES!$5:$5,0)),0)*$AP424,0)</f>
        <v>33.2530062099835</v>
      </c>
      <c r="AX424" s="153" t="n">
        <f aca="false">IFERROR(IF($N424="VCA",INDEX(APOIO_REDES!$A:$W,MATCH($C424&amp;$I424&amp;$H424&amp;$N424&amp;$O424,APOIO_REDES!$W:$W,0),MATCH(AX$5,APOIO_REDES!$5:$5,0)),0)*$AP424,0)</f>
        <v>4.60212133648052</v>
      </c>
      <c r="AY424" s="153" t="n">
        <f aca="false">IFERROR(IF($N424="VCA",INDEX(APOIO_REDES!$A:$W,MATCH($C424&amp;$I424&amp;$H424&amp;$N424&amp;$O424,APOIO_REDES!$W:$W,0),MATCH(AY$5,APOIO_REDES!$5:$5,0)),0)*$AP424,0)</f>
        <v>8.41848135075993</v>
      </c>
      <c r="AZ424" s="153" t="n">
        <f aca="false">IFERROR(IF($N424="VCA",INDEX(APOIO_REDES!$A:$W,MATCH($C424&amp;$I424&amp;$H424&amp;$N424&amp;$O424,APOIO_REDES!$W:$W,0),MATCH(AZ$5,APOIO_REDES!$5:$5,0)),0)*$AP424,0)</f>
        <v>1.16509348963726</v>
      </c>
      <c r="BA424" s="153" t="n">
        <f aca="false">IFERROR(IF(AND($N424="VCA",$Q424="LINEAR"),INDEX(APOIO_REDES!$A:$W,MATCH($C424&amp;$I424&amp;$H424&amp;$N424&amp;$O424,APOIO_REDES!$W:$W,0),MATCH(BA$5,APOIO_REDES!$5:$5,0)),IF(AND($N424="MND",$Q424="EMBOQUE"),INDEX(APOIO_REDES!$A:$W,MATCH($C424&amp;$I424&amp;$H424&amp;$N424&amp;$O424,APOIO_REDES!$W:$W,0),MATCH(BA$5,APOIO_REDES!$5:$5,0)),0))*$M424/10,0)</f>
        <v>3.74536478313239</v>
      </c>
      <c r="BB424" s="153" t="n">
        <f aca="false">IFERROR(IF($N424="VCA",INDEX(APOIO_REDES!$A:$W,MATCH($C424&amp;$I424&amp;$H424&amp;$N424&amp;$O424,APOIO_REDES!$W:$W,0),MATCH(BB$5,APOIO_REDES!$5:$5,0)),0)*($AI424+$AQ424+$AR424),0)</f>
        <v>16.8919142972514</v>
      </c>
      <c r="BC424" s="153" t="n">
        <f aca="false">IFERROR(IF($N424="VCA",INDEX(APOIO_REDES!$A:$W,MATCH($C424&amp;$I424&amp;$H424&amp;$N424&amp;$O424,APOIO_REDES!$W:$W,0),MATCH(BC$5,APOIO_REDES!$5:$5,0)),0)*($AI424+$AQ424+$AR424),0)</f>
        <v>0.185810702748581</v>
      </c>
      <c r="BD424" s="153" t="n">
        <f aca="false">IF(AND($N424="VCA",$AF424&gt;=1.25,$AF424&lt;1.5),$M424*$AF424*2,0)</f>
        <v>129.1866</v>
      </c>
      <c r="BE424" s="153" t="n">
        <f aca="false">IF(AND($N424="VCA",$AF424&gt;=1.5,$AF424&lt;3),$M424*$AF424*2,0)</f>
        <v>0</v>
      </c>
      <c r="BF424" s="153" t="n">
        <f aca="false">IF(AND($N424="VCA",$AF424&gt;=3),$M424*$AF424*2,0)</f>
        <v>0</v>
      </c>
      <c r="BG424" s="153" t="n">
        <f aca="false">($BB424+$BC424)*$AK424</f>
        <v>42.6943125</v>
      </c>
      <c r="BH424" s="153" t="n">
        <f aca="false">IF(AND($M424&lt;&gt;"",$N424="VCA",$Q424="LINEAR"),($M424*2)/100,IF(AND($M424&lt;&gt;"",$N424="MND",$Q424="EMBOQUE"),($AN424*2)/100,0))</f>
        <v>0.9294</v>
      </c>
      <c r="BI424" s="153" t="n">
        <f aca="false">IF(AND($M424&lt;&gt;"",$N424="VCA",$Q424="LINEAR"),$M424,IF(AND($M424&lt;&gt;"",$N424="MND",$Q424="EMBOQUE"),$AN424*2,0))</f>
        <v>46.47</v>
      </c>
      <c r="BJ424" s="153" t="n">
        <f aca="false">IF(AND($M424&lt;&gt;"",$N424="VCA",$Q424="LINEAR"),($M424*6.8)/100,IF(AND($M424&lt;&gt;"",$N424="MND",$Q424="EMBOQUE"),($AN424*2*6.8)/100,0))</f>
        <v>3.15996</v>
      </c>
      <c r="BK424" s="153" t="n">
        <f aca="false">IF(AND($M424&lt;&gt;"",$N424="VCA",$Q424="LINEAR"),($M424*2.5)/50,IF(AND($M424&lt;&gt;"",$N424="MND",$Q424="EMBOQUE"),($AN424*2*2.5)/50,0))</f>
        <v>2.3235</v>
      </c>
      <c r="BL424" s="157" t="str">
        <f aca="false">K424&amp;J424</f>
        <v>Zona04REDES</v>
      </c>
      <c r="BM424" s="152" t="s">
        <v>2969</v>
      </c>
      <c r="BN424" s="152" t="s">
        <v>1560</v>
      </c>
      <c r="BO424" s="152" t="s">
        <v>3104</v>
      </c>
      <c r="BP424" s="152" t="s">
        <v>3142</v>
      </c>
      <c r="BQ424" s="152" t="s">
        <v>3126</v>
      </c>
      <c r="BR424" s="152" t="s">
        <v>3145</v>
      </c>
      <c r="BS424" s="152" t="n">
        <v>203615.187</v>
      </c>
      <c r="BT424" s="152" t="n">
        <v>8238642.305</v>
      </c>
      <c r="BU424" s="152" t="n">
        <v>203658.304</v>
      </c>
      <c r="BV424" s="152" t="n">
        <v>8238624.997</v>
      </c>
      <c r="BW424" s="152" t="n">
        <v>-15.9138178</v>
      </c>
      <c r="BX424" s="152" t="n">
        <v>-47.7678631</v>
      </c>
      <c r="BY424" s="152" t="s">
        <v>3142</v>
      </c>
    </row>
    <row r="425" customFormat="false" ht="13.8" hidden="false" customHeight="false" outlineLevel="0" collapsed="false">
      <c r="A425" s="149" t="n">
        <f aca="false">IF(C425&lt;&gt;"",ROW(A420),"")</f>
        <v>420</v>
      </c>
      <c r="B425" s="150" t="str">
        <f aca="false">HYPERLINK("https://www.google.com/maps/dir/-15.917302,-47.760003/-15.9139831,-47.7663431/data=!4m3!4m2!3e0!5i1")</f>
        <v>https://www.google.com/maps/dir/-15.917302,-47.760003/-15.9139831,-47.7663431/data=!4m3!4m2!3e0!5i1</v>
      </c>
      <c r="C425" s="151" t="s">
        <v>117</v>
      </c>
      <c r="D425" s="152" t="s">
        <v>112</v>
      </c>
      <c r="E425" s="152" t="s">
        <v>113</v>
      </c>
      <c r="F425" s="152" t="s">
        <v>117</v>
      </c>
      <c r="G425" s="152" t="s">
        <v>782</v>
      </c>
      <c r="H425" s="152" t="n">
        <v>63</v>
      </c>
      <c r="I425" s="152" t="s">
        <v>115</v>
      </c>
      <c r="J425" s="152" t="s">
        <v>6</v>
      </c>
      <c r="K425" s="152" t="s">
        <v>2966</v>
      </c>
      <c r="L425" s="152" t="s">
        <v>120</v>
      </c>
      <c r="M425" s="153" t="n">
        <f aca="false">3.31</f>
        <v>3.31</v>
      </c>
      <c r="N425" s="152" t="s">
        <v>1548</v>
      </c>
      <c r="O425" s="152" t="s">
        <v>1549</v>
      </c>
      <c r="P425" s="152" t="s">
        <v>1550</v>
      </c>
      <c r="Q425" s="152" t="s">
        <v>1551</v>
      </c>
      <c r="R425" s="154" t="s">
        <v>3146</v>
      </c>
      <c r="S425" s="154" t="s">
        <v>1553</v>
      </c>
      <c r="T425" s="155" t="s">
        <v>3101</v>
      </c>
      <c r="U425" s="152" t="str">
        <f aca="false">RIGHT(T425,7)</f>
        <v>004/037</v>
      </c>
      <c r="V425" s="152" t="s">
        <v>1555</v>
      </c>
      <c r="W425" s="156" t="n">
        <v>45882</v>
      </c>
      <c r="X425" s="152" t="s">
        <v>1594</v>
      </c>
      <c r="Y425" s="152" t="s">
        <v>3015</v>
      </c>
      <c r="Z425" s="152" t="s">
        <v>1557</v>
      </c>
      <c r="AA425" s="153" t="n">
        <v>3</v>
      </c>
      <c r="AB425" s="151" t="s">
        <v>3147</v>
      </c>
      <c r="AC425" s="151" t="s">
        <v>186</v>
      </c>
      <c r="AD425" s="151" t="str">
        <f aca="false">CONCATENATE($C425,$I425,$H425,$N425,$J425,$K425)</f>
        <v>TUBO PEADPEAD63VCAREDESZona04</v>
      </c>
      <c r="AE425" s="153" t="n">
        <f aca="false">IFERROR(INDEX(APOIO_REDES!$A:$W,MATCH($C425&amp;$I425&amp;$H425&amp;$N425&amp;$O425,APOIO_REDES!$W:$W,0),MATCH(AE$5,APOIO_REDES!$5:$5,0)),0)</f>
        <v>1.2</v>
      </c>
      <c r="AF425" s="153" t="n">
        <f aca="false">IFERROR(INDEX(APOIO_REDES!$A:$W,MATCH($C425&amp;$I425&amp;$H425&amp;$N425&amp;$O425,APOIO_REDES!$W:$W,0),MATCH(AF$5,APOIO_REDES!$5:$5,0)),0)</f>
        <v>1.363</v>
      </c>
      <c r="AG425" s="153" t="n">
        <f aca="false">IFERROR(INDEX(APOIO_REDES!$A:$W,MATCH($C425&amp;$I425&amp;$H425&amp;$N425&amp;$O425,APOIO_REDES!$W:$W,0),MATCH(AG$5,APOIO_REDES!$5:$5,0)),0)</f>
        <v>0.65</v>
      </c>
      <c r="AH425" s="153" t="n">
        <f aca="false">IFERROR(INDEX(APOIO_REDES!$A:$W,MATCH($C425&amp;$I425&amp;$H425&amp;$N425&amp;$O425,APOIO_REDES!$W:$W,0),MATCH(AH$5,APOIO_REDES!$5:$5,0)),0)</f>
        <v>0.1</v>
      </c>
      <c r="AI425" s="153" t="n">
        <f aca="false">IFERROR(IF($H425&lt;&gt;"",(((($H425/1000)/2)^2)*PI()*$M425),0),0)</f>
        <v>0.010318081977836</v>
      </c>
      <c r="AJ425" s="153" t="n">
        <f aca="false">IFERROR(IF(AND($H425&lt;&gt;"",$I425="FoFo",OR($N425="MND",$N425="VCA"),$Q425="LINEAR"),0,IF(AND($H425&lt;&gt;"",$I425="PEAD",$N425="VCA",$Q425="LINEAR"),($H425/1000)+0.3,IF(AND($H425&lt;&gt;"",$I425="PEAD",$N425="MND",$Q425="EMBOQUE"),0,IF(AND($H425&lt;&gt;"",$I425="PVC",$N425="VCA",$Q425="LINEAR"),($H425/1000)+0.2,IF(AND($H425&lt;&gt;"",$I425="PVC",$N425="MND",$Q425="EMBOQUE"),0,IF(AND($H425&lt;&gt;"",$I425="PEAD",$N425="VCA",$Q425="PREDIAL"),0,0)))))),0)</f>
        <v>0.363</v>
      </c>
      <c r="AK425" s="153" t="n">
        <f aca="false">IF(AA425&lt;&gt;"",AA425,0)</f>
        <v>3</v>
      </c>
      <c r="AL425" s="153" t="n">
        <f aca="false">IF(AND($N425="MND",$Q425="EMBOQUE"),$M425,IF(AND($N425="VCA",$Q425="LINEAR"),$M425,IF(AND($N425="VCA",$Q425="PREDIAL"),0,0)))</f>
        <v>3.31</v>
      </c>
      <c r="AM425" s="153" t="n">
        <f aca="false">IF(AND($N425="MND",$Q425="EMBOQUE"),$M425,IF(AND($N425="VCA",$Q425="LINEAR"),$M425,IF(AND($N425="VCA",$Q425="PREDIAL"),0,0)))</f>
        <v>3.31</v>
      </c>
      <c r="AN425" s="153" t="n">
        <f aca="false">ROUND(IF(AND($N425="VCA",$M425&lt;&gt;"",$Q425="LINEAR"),$M425/100,IF(AND($N425="MND",$M425&gt;100,$Q425="EMBOQUE"),$M425/100,0)),0)</f>
        <v>0</v>
      </c>
      <c r="AO425" s="153" t="n">
        <f aca="false">IF(AND($N425="MND",$Q425="EMBOQUE"),$AN425*2*2,IF(AND($N425="VCA",$Q425="LINEAR"),$M425*2,IF(AND($N425="VCA",$Q425="PREDIAL"),0,0)))</f>
        <v>6.62</v>
      </c>
      <c r="AP425" s="153" t="n">
        <f aca="false">IFERROR($M425*$AF425*$AG425,0)</f>
        <v>2.9324945</v>
      </c>
      <c r="AQ425" s="153" t="n">
        <f aca="false">IFERROR(IF(AND($N425="VCA",$AH425&gt;0),$M425*$AG425*$AH425,0),0)</f>
        <v>0.21515</v>
      </c>
      <c r="AR425" s="153" t="n">
        <f aca="false">IFERROR(IF(AND($N425="VCA",$AJ425&gt;0),($M425*$AG425*$AJ425)-$AI425,0),0)</f>
        <v>0.770676418022164</v>
      </c>
      <c r="AS425" s="153" t="n">
        <f aca="false">IFERROR(IF(AND($N425="VCA",$AP425&gt;0),$AP425-$AI425-$AQ425-$AR425,0),0)</f>
        <v>1.93635</v>
      </c>
      <c r="AT425" s="153" t="n">
        <f aca="false">IFERROR(IF($N425="VCA",INDEX(APOIO_REDES!$A:$W,MATCH($C425&amp;$I425&amp;$H425&amp;$N425&amp;$O425,APOIO_REDES!$W:$W,0),MATCH(AT$5,APOIO_REDES!$5:$5,0)),0)*$AP425,0)</f>
        <v>0.0319064081340664</v>
      </c>
      <c r="AU425" s="153" t="n">
        <f aca="false">IFERROR(IF($N425="VCA",INDEX(APOIO_REDES!$A:$W,MATCH($C425&amp;$I425&amp;$H425&amp;$N425&amp;$O425,APOIO_REDES!$W:$W,0),MATCH(AU$5,APOIO_REDES!$5:$5,0)),0)*$AP425,0)</f>
        <v>0.0254795934007431</v>
      </c>
      <c r="AV425" s="153" t="n">
        <f aca="false">IFERROR(IF($N425="VCA",INDEX(APOIO_REDES!$A:$W,MATCH($C425&amp;$I425&amp;$H425&amp;$N425&amp;$O425,APOIO_REDES!$W:$W,0),MATCH(AV$5,APOIO_REDES!$5:$5,0)),0)*$AP425,0)</f>
        <v>0.00352617570401214</v>
      </c>
      <c r="AW425" s="153" t="n">
        <f aca="false">IFERROR(IF($N425="VCA",INDEX(APOIO_REDES!$A:$W,MATCH($C425&amp;$I425&amp;$H425&amp;$N425&amp;$O425,APOIO_REDES!$W:$W,0),MATCH(AW$5,APOIO_REDES!$5:$5,0)),0)*$AP425,0)</f>
        <v>2.01288694687617</v>
      </c>
      <c r="AX425" s="153" t="n">
        <f aca="false">IFERROR(IF($N425="VCA",INDEX(APOIO_REDES!$A:$W,MATCH($C425&amp;$I425&amp;$H425&amp;$N425&amp;$O425,APOIO_REDES!$W:$W,0),MATCH(AX$5,APOIO_REDES!$5:$5,0)),0)*$AP425,0)</f>
        <v>0.278577819630659</v>
      </c>
      <c r="AY425" s="153" t="n">
        <f aca="false">IFERROR(IF($N425="VCA",INDEX(APOIO_REDES!$A:$W,MATCH($C425&amp;$I425&amp;$H425&amp;$N425&amp;$O425,APOIO_REDES!$W:$W,0),MATCH(AY$5,APOIO_REDES!$5:$5,0)),0)*$AP425,0)</f>
        <v>0.509591557420683</v>
      </c>
      <c r="AZ425" s="153" t="n">
        <f aca="false">IFERROR(IF($N425="VCA",INDEX(APOIO_REDES!$A:$W,MATCH($C425&amp;$I425&amp;$H425&amp;$N425&amp;$O425,APOIO_REDES!$W:$W,0),MATCH(AZ$5,APOIO_REDES!$5:$5,0)),0)*$AP425,0)</f>
        <v>0.0705259988336677</v>
      </c>
      <c r="BA425" s="153" t="n">
        <f aca="false">IFERROR(IF(AND($N425="VCA",$Q425="LINEAR"),INDEX(APOIO_REDES!$A:$W,MATCH($C425&amp;$I425&amp;$H425&amp;$N425&amp;$O425,APOIO_REDES!$W:$W,0),MATCH(BA$5,APOIO_REDES!$5:$5,0)),IF(AND($N425="MND",$Q425="EMBOQUE"),INDEX(APOIO_REDES!$A:$W,MATCH($C425&amp;$I425&amp;$H425&amp;$N425&amp;$O425,APOIO_REDES!$W:$W,0),MATCH(BA$5,APOIO_REDES!$5:$5,0)),0))*$M425/10,0)</f>
        <v>0.266777650789073</v>
      </c>
      <c r="BB425" s="153" t="n">
        <f aca="false">IFERROR(IF($N425="VCA",INDEX(APOIO_REDES!$A:$W,MATCH($C425&amp;$I425&amp;$H425&amp;$N425&amp;$O425,APOIO_REDES!$W:$W,0),MATCH(BB$5,APOIO_REDES!$5:$5,0)),0)*($AI425+$AQ425+$AR425),0)</f>
        <v>0.985306152996278</v>
      </c>
      <c r="BC425" s="153" t="n">
        <f aca="false">IFERROR(IF($N425="VCA",INDEX(APOIO_REDES!$A:$W,MATCH($C425&amp;$I425&amp;$H425&amp;$N425&amp;$O425,APOIO_REDES!$W:$W,0),MATCH(BC$5,APOIO_REDES!$5:$5,0)),0)*($AI425+$AQ425+$AR425),0)</f>
        <v>0.0108383470037217</v>
      </c>
      <c r="BD425" s="153" t="n">
        <f aca="false">IF(AND($N425="VCA",$AF425&gt;=1.25,$AF425&lt;1.5),$M425*$AF425*2,0)</f>
        <v>9.02306</v>
      </c>
      <c r="BE425" s="153" t="n">
        <f aca="false">IF(AND($N425="VCA",$AF425&gt;=1.5,$AF425&lt;3),$M425*$AF425*2,0)</f>
        <v>0</v>
      </c>
      <c r="BF425" s="153" t="n">
        <f aca="false">IF(AND($N425="VCA",$AF425&gt;=3),$M425*$AF425*2,0)</f>
        <v>0</v>
      </c>
      <c r="BG425" s="153" t="n">
        <f aca="false">($BB425+$BC425)*$AK425</f>
        <v>2.9884335</v>
      </c>
      <c r="BH425" s="153" t="n">
        <f aca="false">IF(AND($M425&lt;&gt;"",$N425="VCA",$Q425="LINEAR"),($M425*2)/100,IF(AND($M425&lt;&gt;"",$N425="MND",$Q425="EMBOQUE"),($AN425*2)/100,0))</f>
        <v>0.0662</v>
      </c>
      <c r="BI425" s="153" t="n">
        <f aca="false">IF(AND($M425&lt;&gt;"",$N425="VCA",$Q425="LINEAR"),$M425,IF(AND($M425&lt;&gt;"",$N425="MND",$Q425="EMBOQUE"),$AN425*2,0))</f>
        <v>3.31</v>
      </c>
      <c r="BJ425" s="153" t="n">
        <f aca="false">IF(AND($M425&lt;&gt;"",$N425="VCA",$Q425="LINEAR"),($M425*6.8)/100,IF(AND($M425&lt;&gt;"",$N425="MND",$Q425="EMBOQUE"),($AN425*2*6.8)/100,0))</f>
        <v>0.22508</v>
      </c>
      <c r="BK425" s="153" t="n">
        <f aca="false">IF(AND($M425&lt;&gt;"",$N425="VCA",$Q425="LINEAR"),($M425*2.5)/50,IF(AND($M425&lt;&gt;"",$N425="MND",$Q425="EMBOQUE"),($AN425*2*2.5)/50,0))</f>
        <v>0.1655</v>
      </c>
      <c r="BL425" s="157" t="str">
        <f aca="false">K425&amp;J425</f>
        <v>Zona04REDES</v>
      </c>
      <c r="BM425" s="152" t="s">
        <v>2969</v>
      </c>
      <c r="BN425" s="152" t="s">
        <v>1560</v>
      </c>
      <c r="BO425" s="152" t="s">
        <v>3104</v>
      </c>
      <c r="BP425" s="152" t="s">
        <v>3148</v>
      </c>
      <c r="BQ425" s="152" t="s">
        <v>3149</v>
      </c>
      <c r="BR425" s="152" t="s">
        <v>3150</v>
      </c>
      <c r="BS425" s="152" t="n">
        <v>203799.864</v>
      </c>
      <c r="BT425" s="152" t="n">
        <v>8238617.561</v>
      </c>
      <c r="BU425" s="152" t="n">
        <v>203800.489</v>
      </c>
      <c r="BV425" s="152" t="n">
        <v>8238614.313</v>
      </c>
      <c r="BW425" s="152" t="n">
        <v>-15.9139978</v>
      </c>
      <c r="BX425" s="152" t="n">
        <v>-47.7663404</v>
      </c>
      <c r="BY425" s="152" t="s">
        <v>3148</v>
      </c>
    </row>
    <row r="426" customFormat="false" ht="13.8" hidden="false" customHeight="false" outlineLevel="0" collapsed="false">
      <c r="A426" s="149" t="n">
        <f aca="false">IF(C426&lt;&gt;"",ROW(A421),"")</f>
        <v>421</v>
      </c>
      <c r="B426" s="150" t="str">
        <f aca="false">HYPERLINK("https://www.google.com/maps/dir/-15.917302,-47.760003/-15.9139831,-47.7663431/data=!4m3!4m2!3e0!5i1")</f>
        <v>https://www.google.com/maps/dir/-15.917302,-47.760003/-15.9139831,-47.7663431/data=!4m3!4m2!3e0!5i1</v>
      </c>
      <c r="C426" s="151" t="s">
        <v>117</v>
      </c>
      <c r="D426" s="152" t="s">
        <v>112</v>
      </c>
      <c r="E426" s="152" t="s">
        <v>113</v>
      </c>
      <c r="F426" s="152" t="s">
        <v>117</v>
      </c>
      <c r="G426" s="152" t="s">
        <v>782</v>
      </c>
      <c r="H426" s="152" t="n">
        <v>63</v>
      </c>
      <c r="I426" s="152" t="s">
        <v>115</v>
      </c>
      <c r="J426" s="152" t="s">
        <v>6</v>
      </c>
      <c r="K426" s="152" t="s">
        <v>2966</v>
      </c>
      <c r="L426" s="152" t="s">
        <v>120</v>
      </c>
      <c r="M426" s="153" t="n">
        <f aca="false">48.17</f>
        <v>48.17</v>
      </c>
      <c r="N426" s="152" t="s">
        <v>1548</v>
      </c>
      <c r="O426" s="152" t="s">
        <v>1549</v>
      </c>
      <c r="P426" s="152" t="s">
        <v>1550</v>
      </c>
      <c r="Q426" s="152" t="s">
        <v>1551</v>
      </c>
      <c r="R426" s="154" t="s">
        <v>3151</v>
      </c>
      <c r="S426" s="154" t="s">
        <v>1553</v>
      </c>
      <c r="T426" s="155" t="s">
        <v>3101</v>
      </c>
      <c r="U426" s="152" t="str">
        <f aca="false">RIGHT(T426,7)</f>
        <v>004/037</v>
      </c>
      <c r="V426" s="152" t="s">
        <v>1555</v>
      </c>
      <c r="W426" s="156" t="n">
        <v>45882</v>
      </c>
      <c r="X426" s="152" t="s">
        <v>1594</v>
      </c>
      <c r="Y426" s="152" t="s">
        <v>3015</v>
      </c>
      <c r="Z426" s="152" t="s">
        <v>1557</v>
      </c>
      <c r="AA426" s="153" t="n">
        <v>3</v>
      </c>
      <c r="AB426" s="151" t="s">
        <v>3152</v>
      </c>
      <c r="AC426" s="151" t="s">
        <v>186</v>
      </c>
      <c r="AD426" s="151" t="str">
        <f aca="false">CONCATENATE($C426,$I426,$H426,$N426,$J426,$K426)</f>
        <v>TUBO PEADPEAD63VCAREDESZona04</v>
      </c>
      <c r="AE426" s="153" t="n">
        <f aca="false">IFERROR(INDEX(APOIO_REDES!$A:$W,MATCH($C426&amp;$I426&amp;$H426&amp;$N426&amp;$O426,APOIO_REDES!$W:$W,0),MATCH(AE$5,APOIO_REDES!$5:$5,0)),0)</f>
        <v>1.2</v>
      </c>
      <c r="AF426" s="153" t="n">
        <f aca="false">IFERROR(INDEX(APOIO_REDES!$A:$W,MATCH($C426&amp;$I426&amp;$H426&amp;$N426&amp;$O426,APOIO_REDES!$W:$W,0),MATCH(AF$5,APOIO_REDES!$5:$5,0)),0)</f>
        <v>1.363</v>
      </c>
      <c r="AG426" s="153" t="n">
        <f aca="false">IFERROR(INDEX(APOIO_REDES!$A:$W,MATCH($C426&amp;$I426&amp;$H426&amp;$N426&amp;$O426,APOIO_REDES!$W:$W,0),MATCH(AG$5,APOIO_REDES!$5:$5,0)),0)</f>
        <v>0.65</v>
      </c>
      <c r="AH426" s="153" t="n">
        <f aca="false">IFERROR(INDEX(APOIO_REDES!$A:$W,MATCH($C426&amp;$I426&amp;$H426&amp;$N426&amp;$O426,APOIO_REDES!$W:$W,0),MATCH(AH$5,APOIO_REDES!$5:$5,0)),0)</f>
        <v>0.1</v>
      </c>
      <c r="AI426" s="153" t="n">
        <f aca="false">IFERROR(IF($H426&lt;&gt;"",(((($H426/1000)/2)^2)*PI()*$M426),0),0)</f>
        <v>0.150157706607964</v>
      </c>
      <c r="AJ426" s="153" t="n">
        <f aca="false">IFERROR(IF(AND($H426&lt;&gt;"",$I426="FoFo",OR($N426="MND",$N426="VCA"),$Q426="LINEAR"),0,IF(AND($H426&lt;&gt;"",$I426="PEAD",$N426="VCA",$Q426="LINEAR"),($H426/1000)+0.3,IF(AND($H426&lt;&gt;"",$I426="PEAD",$N426="MND",$Q426="EMBOQUE"),0,IF(AND($H426&lt;&gt;"",$I426="PVC",$N426="VCA",$Q426="LINEAR"),($H426/1000)+0.2,IF(AND($H426&lt;&gt;"",$I426="PVC",$N426="MND",$Q426="EMBOQUE"),0,IF(AND($H426&lt;&gt;"",$I426="PEAD",$N426="VCA",$Q426="PREDIAL"),0,0)))))),0)</f>
        <v>0.363</v>
      </c>
      <c r="AK426" s="153" t="n">
        <f aca="false">IF(AA426&lt;&gt;"",AA426,0)</f>
        <v>3</v>
      </c>
      <c r="AL426" s="153" t="n">
        <f aca="false">IF(AND($N426="MND",$Q426="EMBOQUE"),$M426,IF(AND($N426="VCA",$Q426="LINEAR"),$M426,IF(AND($N426="VCA",$Q426="PREDIAL"),0,0)))</f>
        <v>48.17</v>
      </c>
      <c r="AM426" s="153" t="n">
        <f aca="false">IF(AND($N426="MND",$Q426="EMBOQUE"),$M426,IF(AND($N426="VCA",$Q426="LINEAR"),$M426,IF(AND($N426="VCA",$Q426="PREDIAL"),0,0)))</f>
        <v>48.17</v>
      </c>
      <c r="AN426" s="153" t="n">
        <f aca="false">ROUND(IF(AND($N426="VCA",$M426&lt;&gt;"",$Q426="LINEAR"),$M426/100,IF(AND($N426="MND",$M426&gt;100,$Q426="EMBOQUE"),$M426/100,0)),0)</f>
        <v>0</v>
      </c>
      <c r="AO426" s="153" t="n">
        <f aca="false">IF(AND($N426="MND",$Q426="EMBOQUE"),$AN426*2*2,IF(AND($N426="VCA",$Q426="LINEAR"),$M426*2,IF(AND($N426="VCA",$Q426="PREDIAL"),0,0)))</f>
        <v>96.34</v>
      </c>
      <c r="AP426" s="153" t="n">
        <f aca="false">IFERROR($M426*$AF426*$AG426,0)</f>
        <v>42.6762115</v>
      </c>
      <c r="AQ426" s="153" t="n">
        <f aca="false">IFERROR(IF(AND($N426="VCA",$AH426&gt;0),$M426*$AG426*$AH426,0),0)</f>
        <v>3.13105</v>
      </c>
      <c r="AR426" s="153" t="n">
        <f aca="false">IFERROR(IF(AND($N426="VCA",$AJ426&gt;0),($M426*$AG426*$AJ426)-$AI426,0),0)</f>
        <v>11.215553793392</v>
      </c>
      <c r="AS426" s="153" t="n">
        <f aca="false">IFERROR(IF(AND($N426="VCA",$AP426&gt;0),$AP426-$AI426-$AQ426-$AR426,0),0)</f>
        <v>28.17945</v>
      </c>
      <c r="AT426" s="153" t="n">
        <f aca="false">IFERROR(IF($N426="VCA",INDEX(APOIO_REDES!$A:$W,MATCH($C426&amp;$I426&amp;$H426&amp;$N426&amp;$O426,APOIO_REDES!$W:$W,0),MATCH(AT$5,APOIO_REDES!$5:$5,0)),0)*$AP426,0)</f>
        <v>0.46432981263383</v>
      </c>
      <c r="AU426" s="153" t="n">
        <f aca="false">IFERROR(IF($N426="VCA",INDEX(APOIO_REDES!$A:$W,MATCH($C426&amp;$I426&amp;$H426&amp;$N426&amp;$O426,APOIO_REDES!$W:$W,0),MATCH(AU$5,APOIO_REDES!$5:$5,0)),0)*$AP426,0)</f>
        <v>0.370801212723201</v>
      </c>
      <c r="AV426" s="153" t="n">
        <f aca="false">IFERROR(IF($N426="VCA",INDEX(APOIO_REDES!$A:$W,MATCH($C426&amp;$I426&amp;$H426&amp;$N426&amp;$O426,APOIO_REDES!$W:$W,0),MATCH(AV$5,APOIO_REDES!$5:$5,0)),0)*$AP426,0)</f>
        <v>0.0513159769372402</v>
      </c>
      <c r="AW426" s="153" t="n">
        <f aca="false">IFERROR(IF($N426="VCA",INDEX(APOIO_REDES!$A:$W,MATCH($C426&amp;$I426&amp;$H426&amp;$N426&amp;$O426,APOIO_REDES!$W:$W,0),MATCH(AW$5,APOIO_REDES!$5:$5,0)),0)*$AP426,0)</f>
        <v>29.2932822450227</v>
      </c>
      <c r="AX426" s="153" t="n">
        <f aca="false">IFERROR(IF($N426="VCA",INDEX(APOIO_REDES!$A:$W,MATCH($C426&amp;$I426&amp;$H426&amp;$N426&amp;$O426,APOIO_REDES!$W:$W,0),MATCH(AX$5,APOIO_REDES!$5:$5,0)),0)*$AP426,0)</f>
        <v>4.05410681921717</v>
      </c>
      <c r="AY426" s="153" t="n">
        <f aca="false">IFERROR(IF($N426="VCA",INDEX(APOIO_REDES!$A:$W,MATCH($C426&amp;$I426&amp;$H426&amp;$N426&amp;$O426,APOIO_REDES!$W:$W,0),MATCH(AY$5,APOIO_REDES!$5:$5,0)),0)*$AP426,0)</f>
        <v>7.41601973442729</v>
      </c>
      <c r="AZ426" s="153" t="n">
        <f aca="false">IFERROR(IF($N426="VCA",INDEX(APOIO_REDES!$A:$W,MATCH($C426&amp;$I426&amp;$H426&amp;$N426&amp;$O426,APOIO_REDES!$W:$W,0),MATCH(AZ$5,APOIO_REDES!$5:$5,0)),0)*$AP426,0)</f>
        <v>1.0263556990386</v>
      </c>
      <c r="BA426" s="153" t="n">
        <f aca="false">IFERROR(IF(AND($N426="VCA",$Q426="LINEAR"),INDEX(APOIO_REDES!$A:$W,MATCH($C426&amp;$I426&amp;$H426&amp;$N426&amp;$O426,APOIO_REDES!$W:$W,0),MATCH(BA$5,APOIO_REDES!$5:$5,0)),IF(AND($N426="MND",$Q426="EMBOQUE"),INDEX(APOIO_REDES!$A:$W,MATCH($C426&amp;$I426&amp;$H426&amp;$N426&amp;$O426,APOIO_REDES!$W:$W,0),MATCH(BA$5,APOIO_REDES!$5:$5,0)),0))*$M426/10,0)</f>
        <v>3.88238049501802</v>
      </c>
      <c r="BB426" s="153" t="n">
        <f aca="false">IFERROR(IF($N426="VCA",INDEX(APOIO_REDES!$A:$W,MATCH($C426&amp;$I426&amp;$H426&amp;$N426&amp;$O426,APOIO_REDES!$W:$W,0),MATCH(BB$5,APOIO_REDES!$5:$5,0)),0)*($AI426+$AQ426+$AR426),0)</f>
        <v>14.3390324440576</v>
      </c>
      <c r="BC426" s="153" t="n">
        <f aca="false">IFERROR(IF($N426="VCA",INDEX(APOIO_REDES!$A:$W,MATCH($C426&amp;$I426&amp;$H426&amp;$N426&amp;$O426,APOIO_REDES!$W:$W,0),MATCH(BC$5,APOIO_REDES!$5:$5,0)),0)*($AI426+$AQ426+$AR426),0)</f>
        <v>0.157729055942379</v>
      </c>
      <c r="BD426" s="153" t="n">
        <f aca="false">IF(AND($N426="VCA",$AF426&gt;=1.25,$AF426&lt;1.5),$M426*$AF426*2,0)</f>
        <v>131.31142</v>
      </c>
      <c r="BE426" s="153" t="n">
        <f aca="false">IF(AND($N426="VCA",$AF426&gt;=1.5,$AF426&lt;3),$M426*$AF426*2,0)</f>
        <v>0</v>
      </c>
      <c r="BF426" s="153" t="n">
        <f aca="false">IF(AND($N426="VCA",$AF426&gt;=3),$M426*$AF426*2,0)</f>
        <v>0</v>
      </c>
      <c r="BG426" s="153" t="n">
        <f aca="false">($BB426+$BC426)*$AK426</f>
        <v>43.4902845</v>
      </c>
      <c r="BH426" s="153" t="n">
        <f aca="false">IF(AND($M426&lt;&gt;"",$N426="VCA",$Q426="LINEAR"),($M426*2)/100,IF(AND($M426&lt;&gt;"",$N426="MND",$Q426="EMBOQUE"),($AN426*2)/100,0))</f>
        <v>0.9634</v>
      </c>
      <c r="BI426" s="153" t="n">
        <f aca="false">IF(AND($M426&lt;&gt;"",$N426="VCA",$Q426="LINEAR"),$M426,IF(AND($M426&lt;&gt;"",$N426="MND",$Q426="EMBOQUE"),$AN426*2,0))</f>
        <v>48.17</v>
      </c>
      <c r="BJ426" s="153" t="n">
        <f aca="false">IF(AND($M426&lt;&gt;"",$N426="VCA",$Q426="LINEAR"),($M426*6.8)/100,IF(AND($M426&lt;&gt;"",$N426="MND",$Q426="EMBOQUE"),($AN426*2*6.8)/100,0))</f>
        <v>3.27556</v>
      </c>
      <c r="BK426" s="153" t="n">
        <f aca="false">IF(AND($M426&lt;&gt;"",$N426="VCA",$Q426="LINEAR"),($M426*2.5)/50,IF(AND($M426&lt;&gt;"",$N426="MND",$Q426="EMBOQUE"),($AN426*2*2.5)/50,0))</f>
        <v>2.4085</v>
      </c>
      <c r="BL426" s="157" t="str">
        <f aca="false">K426&amp;J426</f>
        <v>Zona04REDES</v>
      </c>
      <c r="BM426" s="152" t="s">
        <v>2969</v>
      </c>
      <c r="BN426" s="152" t="s">
        <v>1560</v>
      </c>
      <c r="BO426" s="152" t="s">
        <v>3104</v>
      </c>
      <c r="BP426" s="152" t="s">
        <v>2232</v>
      </c>
      <c r="BQ426" s="152" t="s">
        <v>3148</v>
      </c>
      <c r="BR426" s="152" t="s">
        <v>3150</v>
      </c>
      <c r="BS426" s="152" t="n">
        <v>203759.308</v>
      </c>
      <c r="BT426" s="152" t="n">
        <v>8238591.577</v>
      </c>
      <c r="BU426" s="152" t="n">
        <v>203799.864</v>
      </c>
      <c r="BV426" s="152" t="n">
        <v>8238617.561</v>
      </c>
      <c r="BW426" s="152" t="n">
        <v>-15.914098</v>
      </c>
      <c r="BX426" s="152" t="n">
        <v>-47.7665339</v>
      </c>
      <c r="BY426" s="152" t="s">
        <v>3148</v>
      </c>
    </row>
    <row r="427" customFormat="false" ht="13.8" hidden="false" customHeight="false" outlineLevel="0" collapsed="false">
      <c r="A427" s="149" t="n">
        <f aca="false">IF(C427&lt;&gt;"",ROW(A422),"")</f>
        <v>422</v>
      </c>
      <c r="B427" s="150" t="str">
        <f aca="false">HYPERLINK("https://www.google.com/maps/dir/-15.917302,-47.760003/-15.9143891,-47.7679584/data=!4m3!4m2!3e0!5i1")</f>
        <v>https://www.google.com/maps/dir/-15.917302,-47.760003/-15.9143891,-47.7679584/data=!4m3!4m2!3e0!5i1</v>
      </c>
      <c r="C427" s="151" t="s">
        <v>117</v>
      </c>
      <c r="D427" s="152" t="s">
        <v>112</v>
      </c>
      <c r="E427" s="152" t="s">
        <v>113</v>
      </c>
      <c r="F427" s="152" t="s">
        <v>117</v>
      </c>
      <c r="G427" s="152" t="s">
        <v>782</v>
      </c>
      <c r="H427" s="152" t="n">
        <v>63</v>
      </c>
      <c r="I427" s="152" t="s">
        <v>115</v>
      </c>
      <c r="J427" s="152" t="s">
        <v>6</v>
      </c>
      <c r="K427" s="152" t="s">
        <v>2966</v>
      </c>
      <c r="L427" s="152" t="s">
        <v>120</v>
      </c>
      <c r="M427" s="153" t="n">
        <f aca="false">63.95+4.38</f>
        <v>68.33</v>
      </c>
      <c r="N427" s="152" t="s">
        <v>1548</v>
      </c>
      <c r="O427" s="152" t="s">
        <v>1549</v>
      </c>
      <c r="P427" s="152" t="s">
        <v>1550</v>
      </c>
      <c r="Q427" s="152" t="s">
        <v>1551</v>
      </c>
      <c r="R427" s="154" t="s">
        <v>3153</v>
      </c>
      <c r="S427" s="154" t="s">
        <v>1553</v>
      </c>
      <c r="T427" s="155" t="s">
        <v>3101</v>
      </c>
      <c r="U427" s="152" t="str">
        <f aca="false">RIGHT(T427,7)</f>
        <v>004/037</v>
      </c>
      <c r="V427" s="152" t="s">
        <v>1555</v>
      </c>
      <c r="W427" s="156" t="n">
        <v>45882</v>
      </c>
      <c r="X427" s="152" t="s">
        <v>1594</v>
      </c>
      <c r="Y427" s="152" t="s">
        <v>3015</v>
      </c>
      <c r="Z427" s="152" t="s">
        <v>1557</v>
      </c>
      <c r="AA427" s="153" t="n">
        <v>2.2</v>
      </c>
      <c r="AB427" s="151" t="s">
        <v>3154</v>
      </c>
      <c r="AC427" s="151" t="s">
        <v>186</v>
      </c>
      <c r="AD427" s="151" t="str">
        <f aca="false">CONCATENATE($C427,$I427,$H427,$N427,$J427,$K427)</f>
        <v>TUBO PEADPEAD63VCAREDESZona04</v>
      </c>
      <c r="AE427" s="153" t="n">
        <f aca="false">IFERROR(INDEX(APOIO_REDES!$A:$W,MATCH($C427&amp;$I427&amp;$H427&amp;$N427&amp;$O427,APOIO_REDES!$W:$W,0),MATCH(AE$5,APOIO_REDES!$5:$5,0)),0)</f>
        <v>1.2</v>
      </c>
      <c r="AF427" s="153" t="n">
        <f aca="false">IFERROR(INDEX(APOIO_REDES!$A:$W,MATCH($C427&amp;$I427&amp;$H427&amp;$N427&amp;$O427,APOIO_REDES!$W:$W,0),MATCH(AF$5,APOIO_REDES!$5:$5,0)),0)</f>
        <v>1.363</v>
      </c>
      <c r="AG427" s="153" t="n">
        <f aca="false">IFERROR(INDEX(APOIO_REDES!$A:$W,MATCH($C427&amp;$I427&amp;$H427&amp;$N427&amp;$O427,APOIO_REDES!$W:$W,0),MATCH(AG$5,APOIO_REDES!$5:$5,0)),0)</f>
        <v>0.65</v>
      </c>
      <c r="AH427" s="153" t="n">
        <f aca="false">IFERROR(INDEX(APOIO_REDES!$A:$W,MATCH($C427&amp;$I427&amp;$H427&amp;$N427&amp;$O427,APOIO_REDES!$W:$W,0),MATCH(AH$5,APOIO_REDES!$5:$5,0)),0)</f>
        <v>0.1</v>
      </c>
      <c r="AI427" s="153" t="n">
        <f aca="false">IFERROR(IF($H427&lt;&gt;"",(((($H427/1000)/2)^2)*PI()*$M427),0),0)</f>
        <v>0.213001372068137</v>
      </c>
      <c r="AJ427" s="153" t="n">
        <f aca="false">IFERROR(IF(AND($H427&lt;&gt;"",$I427="FoFo",OR($N427="MND",$N427="VCA"),$Q427="LINEAR"),0,IF(AND($H427&lt;&gt;"",$I427="PEAD",$N427="VCA",$Q427="LINEAR"),($H427/1000)+0.3,IF(AND($H427&lt;&gt;"",$I427="PEAD",$N427="MND",$Q427="EMBOQUE"),0,IF(AND($H427&lt;&gt;"",$I427="PVC",$N427="VCA",$Q427="LINEAR"),($H427/1000)+0.2,IF(AND($H427&lt;&gt;"",$I427="PVC",$N427="MND",$Q427="EMBOQUE"),0,IF(AND($H427&lt;&gt;"",$I427="PEAD",$N427="VCA",$Q427="PREDIAL"),0,0)))))),0)</f>
        <v>0.363</v>
      </c>
      <c r="AK427" s="153" t="n">
        <f aca="false">IF(AA427&lt;&gt;"",AA427,0)</f>
        <v>2.2</v>
      </c>
      <c r="AL427" s="153" t="n">
        <f aca="false">IF(AND($N427="MND",$Q427="EMBOQUE"),$M427,IF(AND($N427="VCA",$Q427="LINEAR"),$M427,IF(AND($N427="VCA",$Q427="PREDIAL"),0,0)))</f>
        <v>68.33</v>
      </c>
      <c r="AM427" s="153" t="n">
        <f aca="false">IF(AND($N427="MND",$Q427="EMBOQUE"),$M427,IF(AND($N427="VCA",$Q427="LINEAR"),$M427,IF(AND($N427="VCA",$Q427="PREDIAL"),0,0)))</f>
        <v>68.33</v>
      </c>
      <c r="AN427" s="153" t="n">
        <f aca="false">ROUND(IF(AND($N427="VCA",$M427&lt;&gt;"",$Q427="LINEAR"),$M427/100,IF(AND($N427="MND",$M427&gt;100,$Q427="EMBOQUE"),$M427/100,0)),0)</f>
        <v>1</v>
      </c>
      <c r="AO427" s="153" t="n">
        <f aca="false">IF(AND($N427="MND",$Q427="EMBOQUE"),$AN427*2*2,IF(AND($N427="VCA",$Q427="LINEAR"),$M427*2,IF(AND($N427="VCA",$Q427="PREDIAL"),0,0)))</f>
        <v>136.66</v>
      </c>
      <c r="AP427" s="153" t="n">
        <f aca="false">IFERROR($M427*$AF427*$AG427,0)</f>
        <v>60.5369635</v>
      </c>
      <c r="AQ427" s="153" t="n">
        <f aca="false">IFERROR(IF(AND($N427="VCA",$AH427&gt;0),$M427*$AG427*$AH427,0),0)</f>
        <v>4.44145</v>
      </c>
      <c r="AR427" s="153" t="n">
        <f aca="false">IFERROR(IF(AND($N427="VCA",$AJ427&gt;0),($M427*$AG427*$AJ427)-$AI427,0),0)</f>
        <v>15.9094621279319</v>
      </c>
      <c r="AS427" s="153" t="n">
        <f aca="false">IFERROR(IF(AND($N427="VCA",$AP427&gt;0),$AP427-$AI427-$AQ427-$AR427,0),0)</f>
        <v>39.97305</v>
      </c>
      <c r="AT427" s="153" t="n">
        <f aca="false">IFERROR(IF($N427="VCA",INDEX(APOIO_REDES!$A:$W,MATCH($C427&amp;$I427&amp;$H427&amp;$N427&amp;$O427,APOIO_REDES!$W:$W,0),MATCH(AT$5,APOIO_REDES!$5:$5,0)),0)*$AP427,0)</f>
        <v>0.658660080906572</v>
      </c>
      <c r="AU427" s="153" t="n">
        <f aca="false">IFERROR(IF($N427="VCA",INDEX(APOIO_REDES!$A:$W,MATCH($C427&amp;$I427&amp;$H427&amp;$N427&amp;$O427,APOIO_REDES!$W:$W,0),MATCH(AU$5,APOIO_REDES!$5:$5,0)),0)*$AP427,0)</f>
        <v>0.525988101834675</v>
      </c>
      <c r="AV427" s="153" t="n">
        <f aca="false">IFERROR(IF($N427="VCA",INDEX(APOIO_REDES!$A:$W,MATCH($C427&amp;$I427&amp;$H427&amp;$N427&amp;$O427,APOIO_REDES!$W:$W,0),MATCH(AV$5,APOIO_REDES!$5:$5,0)),0)*$AP427,0)</f>
        <v>0.0727926241254229</v>
      </c>
      <c r="AW427" s="153" t="n">
        <f aca="false">IFERROR(IF($N427="VCA",INDEX(APOIO_REDES!$A:$W,MATCH($C427&amp;$I427&amp;$H427&amp;$N427&amp;$O427,APOIO_REDES!$W:$W,0),MATCH(AW$5,APOIO_REDES!$5:$5,0)),0)*$AP427,0)</f>
        <v>41.5530408096824</v>
      </c>
      <c r="AX427" s="153" t="n">
        <f aca="false">IFERROR(IF($N427="VCA",INDEX(APOIO_REDES!$A:$W,MATCH($C427&amp;$I427&amp;$H427&amp;$N427&amp;$O427,APOIO_REDES!$W:$W,0),MATCH(AX$5,APOIO_REDES!$5:$5,0)),0)*$AP427,0)</f>
        <v>5.75082248198275</v>
      </c>
      <c r="AY427" s="153" t="n">
        <f aca="false">IFERROR(IF($N427="VCA",INDEX(APOIO_REDES!$A:$W,MATCH($C427&amp;$I427&amp;$H427&amp;$N427&amp;$O427,APOIO_REDES!$W:$W,0),MATCH(AY$5,APOIO_REDES!$5:$5,0)),0)*$AP427,0)</f>
        <v>10.5197556249412</v>
      </c>
      <c r="AZ427" s="153" t="n">
        <f aca="false">IFERROR(IF($N427="VCA",INDEX(APOIO_REDES!$A:$W,MATCH($C427&amp;$I427&amp;$H427&amp;$N427&amp;$O427,APOIO_REDES!$W:$W,0),MATCH(AZ$5,APOIO_REDES!$5:$5,0)),0)*$AP427,0)</f>
        <v>1.45590377652704</v>
      </c>
      <c r="BA427" s="153" t="n">
        <f aca="false">IFERROR(IF(AND($N427="VCA",$Q427="LINEAR"),INDEX(APOIO_REDES!$A:$W,MATCH($C427&amp;$I427&amp;$H427&amp;$N427&amp;$O427,APOIO_REDES!$W:$W,0),MATCH(BA$5,APOIO_REDES!$5:$5,0)),IF(AND($N427="MND",$Q427="EMBOQUE"),INDEX(APOIO_REDES!$A:$W,MATCH($C427&amp;$I427&amp;$H427&amp;$N427&amp;$O427,APOIO_REDES!$W:$W,0),MATCH(BA$5,APOIO_REDES!$5:$5,0)),0))*$M427/10,0)</f>
        <v>5.50722564302639</v>
      </c>
      <c r="BB427" s="153" t="n">
        <f aca="false">IFERROR(IF($N427="VCA",INDEX(APOIO_REDES!$A:$W,MATCH($C427&amp;$I427&amp;$H427&amp;$N427&amp;$O427,APOIO_REDES!$W:$W,0),MATCH(BB$5,APOIO_REDES!$5:$5,0)),0)*($AI427+$AQ427+$AR427),0)</f>
        <v>20.3401720345123</v>
      </c>
      <c r="BC427" s="153" t="n">
        <f aca="false">IFERROR(IF($N427="VCA",INDEX(APOIO_REDES!$A:$W,MATCH($C427&amp;$I427&amp;$H427&amp;$N427&amp;$O427,APOIO_REDES!$W:$W,0),MATCH(BC$5,APOIO_REDES!$5:$5,0)),0)*($AI427+$AQ427+$AR427),0)</f>
        <v>0.223741465487706</v>
      </c>
      <c r="BD427" s="153" t="n">
        <f aca="false">IF(AND($N427="VCA",$AF427&gt;=1.25,$AF427&lt;1.5),$M427*$AF427*2,0)</f>
        <v>186.26758</v>
      </c>
      <c r="BE427" s="153" t="n">
        <f aca="false">IF(AND($N427="VCA",$AF427&gt;=1.5,$AF427&lt;3),$M427*$AF427*2,0)</f>
        <v>0</v>
      </c>
      <c r="BF427" s="153" t="n">
        <f aca="false">IF(AND($N427="VCA",$AF427&gt;=3),$M427*$AF427*2,0)</f>
        <v>0</v>
      </c>
      <c r="BG427" s="153" t="n">
        <f aca="false">($BB427+$BC427)*$AK427</f>
        <v>45.2406097</v>
      </c>
      <c r="BH427" s="153" t="n">
        <f aca="false">IF(AND($M427&lt;&gt;"",$N427="VCA",$Q427="LINEAR"),($M427*2)/100,IF(AND($M427&lt;&gt;"",$N427="MND",$Q427="EMBOQUE"),($AN427*2)/100,0))</f>
        <v>1.3666</v>
      </c>
      <c r="BI427" s="153" t="n">
        <f aca="false">IF(AND($M427&lt;&gt;"",$N427="VCA",$Q427="LINEAR"),$M427,IF(AND($M427&lt;&gt;"",$N427="MND",$Q427="EMBOQUE"),$AN427*2,0))</f>
        <v>68.33</v>
      </c>
      <c r="BJ427" s="153" t="n">
        <f aca="false">IF(AND($M427&lt;&gt;"",$N427="VCA",$Q427="LINEAR"),($M427*6.8)/100,IF(AND($M427&lt;&gt;"",$N427="MND",$Q427="EMBOQUE"),($AN427*2*6.8)/100,0))</f>
        <v>4.64644</v>
      </c>
      <c r="BK427" s="153" t="n">
        <f aca="false">IF(AND($M427&lt;&gt;"",$N427="VCA",$Q427="LINEAR"),($M427*2.5)/50,IF(AND($M427&lt;&gt;"",$N427="MND",$Q427="EMBOQUE"),($AN427*2*2.5)/50,0))</f>
        <v>3.4165</v>
      </c>
      <c r="BL427" s="157" t="str">
        <f aca="false">K427&amp;J427</f>
        <v>Zona04REDES</v>
      </c>
      <c r="BM427" s="152" t="s">
        <v>2969</v>
      </c>
      <c r="BN427" s="152" t="s">
        <v>1560</v>
      </c>
      <c r="BO427" s="152" t="s">
        <v>3104</v>
      </c>
      <c r="BP427" s="152" t="s">
        <v>3155</v>
      </c>
      <c r="BQ427" s="152" t="s">
        <v>3126</v>
      </c>
      <c r="BR427" s="152" t="s">
        <v>3156</v>
      </c>
      <c r="BS427" s="152" t="n">
        <v>203627.388</v>
      </c>
      <c r="BT427" s="152" t="n">
        <v>8238570.313</v>
      </c>
      <c r="BU427" s="152" t="n">
        <v>203658.127</v>
      </c>
      <c r="BV427" s="152" t="n">
        <v>8238624.611</v>
      </c>
      <c r="BW427" s="152" t="n">
        <v>-15.9141703</v>
      </c>
      <c r="BX427" s="152" t="n">
        <v>-47.7677752</v>
      </c>
      <c r="BY427" s="152" t="s">
        <v>3155</v>
      </c>
    </row>
    <row r="428" customFormat="false" ht="13.8" hidden="false" customHeight="false" outlineLevel="0" collapsed="false">
      <c r="A428" s="149" t="n">
        <f aca="false">IF(C428&lt;&gt;"",ROW(A423),"")</f>
        <v>423</v>
      </c>
      <c r="B428" s="150" t="str">
        <f aca="false">HYPERLINK("https://www.google.com/maps/dir/-15.917302,-47.760003/-15.9139831,-47.7663431/data=!4m3!4m2!3e0!5i1")</f>
        <v>https://www.google.com/maps/dir/-15.917302,-47.760003/-15.9139831,-47.7663431/data=!4m3!4m2!3e0!5i1</v>
      </c>
      <c r="C428" s="151" t="s">
        <v>117</v>
      </c>
      <c r="D428" s="152" t="s">
        <v>112</v>
      </c>
      <c r="E428" s="152" t="s">
        <v>113</v>
      </c>
      <c r="F428" s="152" t="s">
        <v>117</v>
      </c>
      <c r="G428" s="152" t="s">
        <v>782</v>
      </c>
      <c r="H428" s="152" t="n">
        <v>63</v>
      </c>
      <c r="I428" s="152" t="s">
        <v>115</v>
      </c>
      <c r="J428" s="152" t="s">
        <v>6</v>
      </c>
      <c r="K428" s="152" t="s">
        <v>2966</v>
      </c>
      <c r="L428" s="152" t="s">
        <v>120</v>
      </c>
      <c r="M428" s="153" t="n">
        <f aca="false">338.7</f>
        <v>338.7</v>
      </c>
      <c r="N428" s="152" t="s">
        <v>1548</v>
      </c>
      <c r="O428" s="152" t="s">
        <v>1549</v>
      </c>
      <c r="P428" s="152" t="s">
        <v>1550</v>
      </c>
      <c r="Q428" s="152" t="s">
        <v>1551</v>
      </c>
      <c r="R428" s="154" t="s">
        <v>3157</v>
      </c>
      <c r="S428" s="154" t="s">
        <v>1553</v>
      </c>
      <c r="T428" s="155" t="s">
        <v>3101</v>
      </c>
      <c r="U428" s="152" t="str">
        <f aca="false">RIGHT(T428,7)</f>
        <v>004/037</v>
      </c>
      <c r="V428" s="152" t="s">
        <v>1555</v>
      </c>
      <c r="W428" s="156" t="n">
        <v>45882</v>
      </c>
      <c r="X428" s="152" t="s">
        <v>1594</v>
      </c>
      <c r="Y428" s="152" t="s">
        <v>3015</v>
      </c>
      <c r="Z428" s="152" t="s">
        <v>1557</v>
      </c>
      <c r="AA428" s="153" t="n">
        <v>3</v>
      </c>
      <c r="AB428" s="151" t="s">
        <v>3158</v>
      </c>
      <c r="AC428" s="151" t="s">
        <v>186</v>
      </c>
      <c r="AD428" s="151" t="str">
        <f aca="false">CONCATENATE($C428,$I428,$H428,$N428,$J428,$K428)</f>
        <v>TUBO PEADPEAD63VCAREDESZona04</v>
      </c>
      <c r="AE428" s="153" t="n">
        <f aca="false">IFERROR(INDEX(APOIO_REDES!$A:$W,MATCH($C428&amp;$I428&amp;$H428&amp;$N428&amp;$O428,APOIO_REDES!$W:$W,0),MATCH(AE$5,APOIO_REDES!$5:$5,0)),0)</f>
        <v>1.2</v>
      </c>
      <c r="AF428" s="153" t="n">
        <f aca="false">IFERROR(INDEX(APOIO_REDES!$A:$W,MATCH($C428&amp;$I428&amp;$H428&amp;$N428&amp;$O428,APOIO_REDES!$W:$W,0),MATCH(AF$5,APOIO_REDES!$5:$5,0)),0)</f>
        <v>1.363</v>
      </c>
      <c r="AG428" s="153" t="n">
        <f aca="false">IFERROR(INDEX(APOIO_REDES!$A:$W,MATCH($C428&amp;$I428&amp;$H428&amp;$N428&amp;$O428,APOIO_REDES!$W:$W,0),MATCH(AG$5,APOIO_REDES!$5:$5,0)),0)</f>
        <v>0.65</v>
      </c>
      <c r="AH428" s="153" t="n">
        <f aca="false">IFERROR(INDEX(APOIO_REDES!$A:$W,MATCH($C428&amp;$I428&amp;$H428&amp;$N428&amp;$O428,APOIO_REDES!$W:$W,0),MATCH(AH$5,APOIO_REDES!$5:$5,0)),0)</f>
        <v>0.1</v>
      </c>
      <c r="AI428" s="153" t="n">
        <f aca="false">IFERROR(IF($H428&lt;&gt;"",(((($H428/1000)/2)^2)*PI()*$M428),0),0)</f>
        <v>1.05581098667464</v>
      </c>
      <c r="AJ428" s="153" t="n">
        <f aca="false">IFERROR(IF(AND($H428&lt;&gt;"",$I428="FoFo",OR($N428="MND",$N428="VCA"),$Q428="LINEAR"),0,IF(AND($H428&lt;&gt;"",$I428="PEAD",$N428="VCA",$Q428="LINEAR"),($H428/1000)+0.3,IF(AND($H428&lt;&gt;"",$I428="PEAD",$N428="MND",$Q428="EMBOQUE"),0,IF(AND($H428&lt;&gt;"",$I428="PVC",$N428="VCA",$Q428="LINEAR"),($H428/1000)+0.2,IF(AND($H428&lt;&gt;"",$I428="PVC",$N428="MND",$Q428="EMBOQUE"),0,IF(AND($H428&lt;&gt;"",$I428="PEAD",$N428="VCA",$Q428="PREDIAL"),0,0)))))),0)</f>
        <v>0.363</v>
      </c>
      <c r="AK428" s="153" t="n">
        <f aca="false">IF(AA428&lt;&gt;"",AA428,0)</f>
        <v>3</v>
      </c>
      <c r="AL428" s="153" t="n">
        <f aca="false">IF(AND($N428="MND",$Q428="EMBOQUE"),$M428,IF(AND($N428="VCA",$Q428="LINEAR"),$M428,IF(AND($N428="VCA",$Q428="PREDIAL"),0,0)))</f>
        <v>338.7</v>
      </c>
      <c r="AM428" s="153" t="n">
        <f aca="false">IF(AND($N428="MND",$Q428="EMBOQUE"),$M428,IF(AND($N428="VCA",$Q428="LINEAR"),$M428,IF(AND($N428="VCA",$Q428="PREDIAL"),0,0)))</f>
        <v>338.7</v>
      </c>
      <c r="AN428" s="153" t="n">
        <f aca="false">ROUND(IF(AND($N428="VCA",$M428&lt;&gt;"",$Q428="LINEAR"),$M428/100,IF(AND($N428="MND",$M428&gt;100,$Q428="EMBOQUE"),$M428/100,0)),0)</f>
        <v>3</v>
      </c>
      <c r="AO428" s="153" t="n">
        <f aca="false">IF(AND($N428="MND",$Q428="EMBOQUE"),$AN428*2*2,IF(AND($N428="VCA",$Q428="LINEAR"),$M428*2,IF(AND($N428="VCA",$Q428="PREDIAL"),0,0)))</f>
        <v>677.4</v>
      </c>
      <c r="AP428" s="153" t="n">
        <f aca="false">IFERROR($M428*$AF428*$AG428,0)</f>
        <v>300.071265</v>
      </c>
      <c r="AQ428" s="153" t="n">
        <f aca="false">IFERROR(IF(AND($N428="VCA",$AH428&gt;0),$M428*$AG428*$AH428,0),0)</f>
        <v>22.0155</v>
      </c>
      <c r="AR428" s="153" t="n">
        <f aca="false">IFERROR(IF(AND($N428="VCA",$AJ428&gt;0),($M428*$AG428*$AJ428)-$AI428,0),0)</f>
        <v>78.8604540133254</v>
      </c>
      <c r="AS428" s="153" t="n">
        <f aca="false">IFERROR(IF(AND($N428="VCA",$AP428&gt;0),$AP428-$AI428-$AQ428-$AR428,0),0)</f>
        <v>198.1395</v>
      </c>
      <c r="AT428" s="153" t="n">
        <f aca="false">IFERROR(IF($N428="VCA",INDEX(APOIO_REDES!$A:$W,MATCH($C428&amp;$I428&amp;$H428&amp;$N428&amp;$O428,APOIO_REDES!$W:$W,0),MATCH(AT$5,APOIO_REDES!$5:$5,0)),0)*$AP428,0)</f>
        <v>3.26486417976081</v>
      </c>
      <c r="AU428" s="153" t="n">
        <f aca="false">IFERROR(IF($N428="VCA",INDEX(APOIO_REDES!$A:$W,MATCH($C428&amp;$I428&amp;$H428&amp;$N428&amp;$O428,APOIO_REDES!$W:$W,0),MATCH(AU$5,APOIO_REDES!$5:$5,0)),0)*$AP428,0)</f>
        <v>2.60723211022105</v>
      </c>
      <c r="AV428" s="153" t="n">
        <f aca="false">IFERROR(IF($N428="VCA",INDEX(APOIO_REDES!$A:$W,MATCH($C428&amp;$I428&amp;$H428&amp;$N428&amp;$O428,APOIO_REDES!$W:$W,0),MATCH(AV$5,APOIO_REDES!$5:$5,0)),0)*$AP428,0)</f>
        <v>0.360820456480034</v>
      </c>
      <c r="AW428" s="153" t="n">
        <f aca="false">IFERROR(IF($N428="VCA",INDEX(APOIO_REDES!$A:$W,MATCH($C428&amp;$I428&amp;$H428&amp;$N428&amp;$O428,APOIO_REDES!$W:$W,0),MATCH(AW$5,APOIO_REDES!$5:$5,0)),0)*$AP428,0)</f>
        <v>205.971241361619</v>
      </c>
      <c r="AX428" s="153" t="n">
        <f aca="false">IFERROR(IF($N428="VCA",INDEX(APOIO_REDES!$A:$W,MATCH($C428&amp;$I428&amp;$H428&amp;$N428&amp;$O428,APOIO_REDES!$W:$W,0),MATCH(AX$5,APOIO_REDES!$5:$5,0)),0)*$AP428,0)</f>
        <v>28.5058330842611</v>
      </c>
      <c r="AY428" s="153" t="n">
        <f aca="false">IFERROR(IF($N428="VCA",INDEX(APOIO_REDES!$A:$W,MATCH($C428&amp;$I428&amp;$H428&amp;$N428&amp;$O428,APOIO_REDES!$W:$W,0),MATCH(AY$5,APOIO_REDES!$5:$5,0)),0)*$AP428,0)</f>
        <v>52.144610422473</v>
      </c>
      <c r="AZ428" s="153" t="n">
        <f aca="false">IFERROR(IF($N428="VCA",INDEX(APOIO_REDES!$A:$W,MATCH($C428&amp;$I428&amp;$H428&amp;$N428&amp;$O428,APOIO_REDES!$W:$W,0),MATCH(AZ$5,APOIO_REDES!$5:$5,0)),0)*$AP428,0)</f>
        <v>7.21666338518527</v>
      </c>
      <c r="BA428" s="153" t="n">
        <f aca="false">IFERROR(IF(AND($N428="VCA",$Q428="LINEAR"),INDEX(APOIO_REDES!$A:$W,MATCH($C428&amp;$I428&amp;$H428&amp;$N428&amp;$O428,APOIO_REDES!$W:$W,0),MATCH(BA$5,APOIO_REDES!$5:$5,0)),IF(AND($N428="MND",$Q428="EMBOQUE"),INDEX(APOIO_REDES!$A:$W,MATCH($C428&amp;$I428&amp;$H428&amp;$N428&amp;$O428,APOIO_REDES!$W:$W,0),MATCH(BA$5,APOIO_REDES!$5:$5,0)),0))*$M428/10,0)</f>
        <v>27.2983656562716</v>
      </c>
      <c r="BB428" s="153" t="n">
        <f aca="false">IFERROR(IF($N428="VCA",INDEX(APOIO_REDES!$A:$W,MATCH($C428&amp;$I428&amp;$H428&amp;$N428&amp;$O428,APOIO_REDES!$W:$W,0),MATCH(BB$5,APOIO_REDES!$5:$5,0)),0)*($AI428+$AQ428+$AR428),0)</f>
        <v>100.822717226538</v>
      </c>
      <c r="BC428" s="153" t="n">
        <f aca="false">IFERROR(IF($N428="VCA",INDEX(APOIO_REDES!$A:$W,MATCH($C428&amp;$I428&amp;$H428&amp;$N428&amp;$O428,APOIO_REDES!$W:$W,0),MATCH(BC$5,APOIO_REDES!$5:$5,0)),0)*($AI428+$AQ428+$AR428),0)</f>
        <v>1.1090477734624</v>
      </c>
      <c r="BD428" s="153" t="n">
        <f aca="false">IF(AND($N428="VCA",$AF428&gt;=1.25,$AF428&lt;1.5),$M428*$AF428*2,0)</f>
        <v>923.2962</v>
      </c>
      <c r="BE428" s="153" t="n">
        <f aca="false">IF(AND($N428="VCA",$AF428&gt;=1.5,$AF428&lt;3),$M428*$AF428*2,0)</f>
        <v>0</v>
      </c>
      <c r="BF428" s="153" t="n">
        <f aca="false">IF(AND($N428="VCA",$AF428&gt;=3),$M428*$AF428*2,0)</f>
        <v>0</v>
      </c>
      <c r="BG428" s="153" t="n">
        <f aca="false">($BB428+$BC428)*$AK428</f>
        <v>305.795295</v>
      </c>
      <c r="BH428" s="153" t="n">
        <f aca="false">IF(AND($M428&lt;&gt;"",$N428="VCA",$Q428="LINEAR"),($M428*2)/100,IF(AND($M428&lt;&gt;"",$N428="MND",$Q428="EMBOQUE"),($AN428*2)/100,0))</f>
        <v>6.774</v>
      </c>
      <c r="BI428" s="153" t="n">
        <f aca="false">IF(AND($M428&lt;&gt;"",$N428="VCA",$Q428="LINEAR"),$M428,IF(AND($M428&lt;&gt;"",$N428="MND",$Q428="EMBOQUE"),$AN428*2,0))</f>
        <v>338.7</v>
      </c>
      <c r="BJ428" s="153" t="n">
        <f aca="false">IF(AND($M428&lt;&gt;"",$N428="VCA",$Q428="LINEAR"),($M428*6.8)/100,IF(AND($M428&lt;&gt;"",$N428="MND",$Q428="EMBOQUE"),($AN428*2*6.8)/100,0))</f>
        <v>23.0316</v>
      </c>
      <c r="BK428" s="153" t="n">
        <f aca="false">IF(AND($M428&lt;&gt;"",$N428="VCA",$Q428="LINEAR"),($M428*2.5)/50,IF(AND($M428&lt;&gt;"",$N428="MND",$Q428="EMBOQUE"),($AN428*2*2.5)/50,0))</f>
        <v>16.935</v>
      </c>
      <c r="BL428" s="157" t="str">
        <f aca="false">K428&amp;J428</f>
        <v>Zona04REDES</v>
      </c>
      <c r="BM428" s="152" t="s">
        <v>2969</v>
      </c>
      <c r="BN428" s="152" t="s">
        <v>1560</v>
      </c>
      <c r="BO428" s="152" t="s">
        <v>3104</v>
      </c>
      <c r="BP428" s="152" t="s">
        <v>3148</v>
      </c>
      <c r="BQ428" s="152" t="s">
        <v>3034</v>
      </c>
      <c r="BR428" s="152" t="s">
        <v>3159</v>
      </c>
      <c r="BS428" s="152" t="n">
        <v>203799.864</v>
      </c>
      <c r="BT428" s="152" t="n">
        <v>8238617.561</v>
      </c>
      <c r="BU428" s="152" t="n">
        <v>203538.964</v>
      </c>
      <c r="BV428" s="152" t="n">
        <v>8238487.928</v>
      </c>
      <c r="BW428" s="152" t="n">
        <v>-15.9142958</v>
      </c>
      <c r="BX428" s="152" t="n">
        <v>-47.7674642</v>
      </c>
      <c r="BY428" s="152" t="s">
        <v>3148</v>
      </c>
    </row>
    <row r="429" customFormat="false" ht="13.8" hidden="false" customHeight="false" outlineLevel="0" collapsed="false">
      <c r="A429" s="149" t="n">
        <f aca="false">IF(C429&lt;&gt;"",ROW(A424),"")</f>
        <v>424</v>
      </c>
      <c r="B429" s="150" t="str">
        <f aca="false">HYPERLINK("https://www.google.com/maps/dir/-15.917302,-47.760003/-15.9147565,-47.7689129/data=!4m3!4m2!3e0!5i0")</f>
        <v>https://www.google.com/maps/dir/-15.917302,-47.760003/-15.9147565,-47.7689129/data=!4m3!4m2!3e0!5i0</v>
      </c>
      <c r="C429" s="151" t="s">
        <v>117</v>
      </c>
      <c r="D429" s="152" t="s">
        <v>112</v>
      </c>
      <c r="E429" s="152" t="s">
        <v>113</v>
      </c>
      <c r="F429" s="152" t="s">
        <v>117</v>
      </c>
      <c r="G429" s="152" t="s">
        <v>782</v>
      </c>
      <c r="H429" s="152" t="n">
        <v>90</v>
      </c>
      <c r="I429" s="152" t="s">
        <v>115</v>
      </c>
      <c r="J429" s="152" t="s">
        <v>6</v>
      </c>
      <c r="K429" s="152" t="s">
        <v>2966</v>
      </c>
      <c r="L429" s="152" t="s">
        <v>120</v>
      </c>
      <c r="M429" s="153" t="n">
        <f aca="false">152.69</f>
        <v>152.69</v>
      </c>
      <c r="N429" s="152" t="s">
        <v>1548</v>
      </c>
      <c r="O429" s="152" t="s">
        <v>1549</v>
      </c>
      <c r="P429" s="152" t="s">
        <v>1550</v>
      </c>
      <c r="Q429" s="152" t="s">
        <v>1551</v>
      </c>
      <c r="R429" s="154" t="s">
        <v>3160</v>
      </c>
      <c r="S429" s="154" t="s">
        <v>1593</v>
      </c>
      <c r="T429" s="155" t="s">
        <v>3101</v>
      </c>
      <c r="U429" s="152" t="str">
        <f aca="false">RIGHT(T429,7)</f>
        <v>004/037</v>
      </c>
      <c r="V429" s="152" t="s">
        <v>1555</v>
      </c>
      <c r="W429" s="156" t="n">
        <v>45882</v>
      </c>
      <c r="X429" s="152" t="s">
        <v>1594</v>
      </c>
      <c r="Y429" s="152" t="s">
        <v>3015</v>
      </c>
      <c r="Z429" s="152" t="s">
        <v>1557</v>
      </c>
      <c r="AA429" s="153" t="n">
        <v>2.1</v>
      </c>
      <c r="AB429" s="151" t="s">
        <v>3161</v>
      </c>
      <c r="AC429" s="151" t="s">
        <v>526</v>
      </c>
      <c r="AD429" s="151" t="str">
        <f aca="false">CONCATENATE($C429,$I429,$H429,$N429,$J429,$K429)</f>
        <v>TUBO PEADPEAD90VCAREDESZona04</v>
      </c>
      <c r="AE429" s="153" t="n">
        <f aca="false">IFERROR(INDEX(APOIO_REDES!$A:$W,MATCH($C429&amp;$I429&amp;$H429&amp;$N429&amp;$O429,APOIO_REDES!$W:$W,0),MATCH(AE$5,APOIO_REDES!$5:$5,0)),0)</f>
        <v>1.2</v>
      </c>
      <c r="AF429" s="153" t="n">
        <f aca="false">IFERROR(INDEX(APOIO_REDES!$A:$W,MATCH($C429&amp;$I429&amp;$H429&amp;$N429&amp;$O429,APOIO_REDES!$W:$W,0),MATCH(AF$5,APOIO_REDES!$5:$5,0)),0)</f>
        <v>1.39</v>
      </c>
      <c r="AG429" s="153" t="n">
        <f aca="false">IFERROR(INDEX(APOIO_REDES!$A:$W,MATCH($C429&amp;$I429&amp;$H429&amp;$N429&amp;$O429,APOIO_REDES!$W:$W,0),MATCH(AG$5,APOIO_REDES!$5:$5,0)),0)</f>
        <v>0.75</v>
      </c>
      <c r="AH429" s="153" t="n">
        <f aca="false">IFERROR(INDEX(APOIO_REDES!$A:$W,MATCH($C429&amp;$I429&amp;$H429&amp;$N429&amp;$O429,APOIO_REDES!$W:$W,0),MATCH(AH$5,APOIO_REDES!$5:$5,0)),0)</f>
        <v>0.1</v>
      </c>
      <c r="AI429" s="153" t="n">
        <f aca="false">IFERROR(IF($H429&lt;&gt;"",(((($H429/1000)/2)^2)*PI()*$M429),0),0)</f>
        <v>0.971371809110167</v>
      </c>
      <c r="AJ429" s="153" t="n">
        <f aca="false">IFERROR(IF(AND($H429&lt;&gt;"",$I429="FoFo",OR($N429="MND",$N429="VCA"),$Q429="LINEAR"),0,IF(AND($H429&lt;&gt;"",$I429="PEAD",$N429="VCA",$Q429="LINEAR"),($H429/1000)+0.3,IF(AND($H429&lt;&gt;"",$I429="PEAD",$N429="MND",$Q429="EMBOQUE"),0,IF(AND($H429&lt;&gt;"",$I429="PVC",$N429="VCA",$Q429="LINEAR"),($H429/1000)+0.2,IF(AND($H429&lt;&gt;"",$I429="PVC",$N429="MND",$Q429="EMBOQUE"),0,IF(AND($H429&lt;&gt;"",$I429="PEAD",$N429="VCA",$Q429="PREDIAL"),0,0)))))),0)</f>
        <v>0.39</v>
      </c>
      <c r="AK429" s="153" t="n">
        <f aca="false">IF(AA429&lt;&gt;"",AA429,0)</f>
        <v>2.1</v>
      </c>
      <c r="AL429" s="153" t="n">
        <f aca="false">IF(AND($N429="MND",$Q429="EMBOQUE"),$M429,IF(AND($N429="VCA",$Q429="LINEAR"),$M429,IF(AND($N429="VCA",$Q429="PREDIAL"),0,0)))</f>
        <v>152.69</v>
      </c>
      <c r="AM429" s="153" t="n">
        <f aca="false">IF(AND($N429="MND",$Q429="EMBOQUE"),$M429,IF(AND($N429="VCA",$Q429="LINEAR"),$M429,IF(AND($N429="VCA",$Q429="PREDIAL"),0,0)))</f>
        <v>152.69</v>
      </c>
      <c r="AN429" s="153" t="n">
        <f aca="false">ROUND(IF(AND($N429="VCA",$M429&lt;&gt;"",$Q429="LINEAR"),$M429/100,IF(AND($N429="MND",$M429&gt;100,$Q429="EMBOQUE"),$M429/100,0)),0)</f>
        <v>2</v>
      </c>
      <c r="AO429" s="153" t="n">
        <f aca="false">IF(AND($N429="MND",$Q429="EMBOQUE"),$AN429*2*2,IF(AND($N429="VCA",$Q429="LINEAR"),$M429*2,IF(AND($N429="VCA",$Q429="PREDIAL"),0,0)))</f>
        <v>305.38</v>
      </c>
      <c r="AP429" s="153" t="n">
        <f aca="false">IFERROR($M429*$AF429*$AG429,0)</f>
        <v>159.179325</v>
      </c>
      <c r="AQ429" s="153" t="n">
        <f aca="false">IFERROR(IF(AND($N429="VCA",$AH429&gt;0),$M429*$AG429*$AH429,0),0)</f>
        <v>11.45175</v>
      </c>
      <c r="AR429" s="153" t="n">
        <f aca="false">IFERROR(IF(AND($N429="VCA",$AJ429&gt;0),($M429*$AG429*$AJ429)-$AI429,0),0)</f>
        <v>43.6904531908898</v>
      </c>
      <c r="AS429" s="153" t="n">
        <f aca="false">IFERROR(IF(AND($N429="VCA",$AP429&gt;0),$AP429-$AI429-$AQ429-$AR429,0),0)</f>
        <v>103.06575</v>
      </c>
      <c r="AT429" s="153" t="n">
        <f aca="false">IFERROR(IF($N429="VCA",INDEX(APOIO_REDES!$A:$W,MATCH($C429&amp;$I429&amp;$H429&amp;$N429&amp;$O429,APOIO_REDES!$W:$W,0),MATCH(AT$5,APOIO_REDES!$5:$5,0)),0)*$AP429,0)</f>
        <v>1.73191817067524</v>
      </c>
      <c r="AU429" s="153" t="n">
        <f aca="false">IFERROR(IF($N429="VCA",INDEX(APOIO_REDES!$A:$W,MATCH($C429&amp;$I429&amp;$H429&amp;$N429&amp;$O429,APOIO_REDES!$W:$W,0),MATCH(AU$5,APOIO_REDES!$5:$5,0)),0)*$AP429,0)</f>
        <v>1.3830629448085</v>
      </c>
      <c r="AV429" s="153" t="n">
        <f aca="false">IFERROR(IF($N429="VCA",INDEX(APOIO_REDES!$A:$W,MATCH($C429&amp;$I429&amp;$H429&amp;$N429&amp;$O429,APOIO_REDES!$W:$W,0),MATCH(AV$5,APOIO_REDES!$5:$5,0)),0)*$AP429,0)</f>
        <v>0.19140505409168</v>
      </c>
      <c r="AW429" s="153" t="n">
        <f aca="false">IFERROR(IF($N429="VCA",INDEX(APOIO_REDES!$A:$W,MATCH($C429&amp;$I429&amp;$H429&amp;$N429&amp;$O429,APOIO_REDES!$W:$W,0),MATCH(AW$5,APOIO_REDES!$5:$5,0)),0)*$AP429,0)</f>
        <v>109.261922061596</v>
      </c>
      <c r="AX429" s="153" t="n">
        <f aca="false">IFERROR(IF($N429="VCA",INDEX(APOIO_REDES!$A:$W,MATCH($C429&amp;$I429&amp;$H429&amp;$N429&amp;$O429,APOIO_REDES!$W:$W,0),MATCH(AX$5,APOIO_REDES!$5:$5,0)),0)*$AP429,0)</f>
        <v>15.1215387748485</v>
      </c>
      <c r="AY429" s="153" t="n">
        <f aca="false">IFERROR(IF($N429="VCA",INDEX(APOIO_REDES!$A:$W,MATCH($C429&amp;$I429&amp;$H429&amp;$N429&amp;$O429,APOIO_REDES!$W:$W,0),MATCH(AY$5,APOIO_REDES!$5:$5,0)),0)*$AP429,0)</f>
        <v>27.6612420367449</v>
      </c>
      <c r="AZ429" s="153" t="n">
        <f aca="false">IFERROR(IF($N429="VCA",INDEX(APOIO_REDES!$A:$W,MATCH($C429&amp;$I429&amp;$H429&amp;$N429&amp;$O429,APOIO_REDES!$W:$W,0),MATCH(AZ$5,APOIO_REDES!$5:$5,0)),0)*$AP429,0)</f>
        <v>3.82823595723505</v>
      </c>
      <c r="BA429" s="153" t="n">
        <f aca="false">IFERROR(IF(AND($N429="VCA",$Q429="LINEAR"),INDEX(APOIO_REDES!$A:$W,MATCH($C429&amp;$I429&amp;$H429&amp;$N429&amp;$O429,APOIO_REDES!$W:$W,0),MATCH(BA$5,APOIO_REDES!$5:$5,0)),IF(AND($N429="MND",$Q429="EMBOQUE"),INDEX(APOIO_REDES!$A:$W,MATCH($C429&amp;$I429&amp;$H429&amp;$N429&amp;$O429,APOIO_REDES!$W:$W,0),MATCH(BA$5,APOIO_REDES!$5:$5,0)),0))*$M429/10,0)</f>
        <v>12.3064288516567</v>
      </c>
      <c r="BB429" s="153" t="n">
        <f aca="false">IFERROR(IF($N429="VCA",INDEX(APOIO_REDES!$A:$W,MATCH($C429&amp;$I429&amp;$H429&amp;$N429&amp;$O429,APOIO_REDES!$W:$W,0),MATCH(BB$5,APOIO_REDES!$5:$5,0)),0)*($AI429+$AQ429+$AR429),0)</f>
        <v>55.5030426952296</v>
      </c>
      <c r="BC429" s="153" t="n">
        <f aca="false">IFERROR(IF($N429="VCA",INDEX(APOIO_REDES!$A:$W,MATCH($C429&amp;$I429&amp;$H429&amp;$N429&amp;$O429,APOIO_REDES!$W:$W,0),MATCH(BC$5,APOIO_REDES!$5:$5,0)),0)*($AI429+$AQ429+$AR429),0)</f>
        <v>0.610532304770407</v>
      </c>
      <c r="BD429" s="153" t="n">
        <f aca="false">IF(AND($N429="VCA",$AF429&gt;=1.25,$AF429&lt;1.5),$M429*$AF429*2,0)</f>
        <v>424.4782</v>
      </c>
      <c r="BE429" s="153" t="n">
        <f aca="false">IF(AND($N429="VCA",$AF429&gt;=1.5,$AF429&lt;3),$M429*$AF429*2,0)</f>
        <v>0</v>
      </c>
      <c r="BF429" s="153" t="n">
        <f aca="false">IF(AND($N429="VCA",$AF429&gt;=3),$M429*$AF429*2,0)</f>
        <v>0</v>
      </c>
      <c r="BG429" s="153" t="n">
        <f aca="false">($BB429+$BC429)*$AK429</f>
        <v>117.8385075</v>
      </c>
      <c r="BH429" s="153" t="n">
        <f aca="false">IF(AND($M429&lt;&gt;"",$N429="VCA",$Q429="LINEAR"),($M429*2)/100,IF(AND($M429&lt;&gt;"",$N429="MND",$Q429="EMBOQUE"),($AN429*2)/100,0))</f>
        <v>3.0538</v>
      </c>
      <c r="BI429" s="153" t="n">
        <f aca="false">IF(AND($M429&lt;&gt;"",$N429="VCA",$Q429="LINEAR"),$M429,IF(AND($M429&lt;&gt;"",$N429="MND",$Q429="EMBOQUE"),$AN429*2,0))</f>
        <v>152.69</v>
      </c>
      <c r="BJ429" s="153" t="n">
        <f aca="false">IF(AND($M429&lt;&gt;"",$N429="VCA",$Q429="LINEAR"),($M429*6.8)/100,IF(AND($M429&lt;&gt;"",$N429="MND",$Q429="EMBOQUE"),($AN429*2*6.8)/100,0))</f>
        <v>10.38292</v>
      </c>
      <c r="BK429" s="153" t="n">
        <f aca="false">IF(AND($M429&lt;&gt;"",$N429="VCA",$Q429="LINEAR"),($M429*2.5)/50,IF(AND($M429&lt;&gt;"",$N429="MND",$Q429="EMBOQUE"),($AN429*2*2.5)/50,0))</f>
        <v>7.6345</v>
      </c>
      <c r="BL429" s="157" t="str">
        <f aca="false">K429&amp;J429</f>
        <v>Zona04REDES</v>
      </c>
      <c r="BM429" s="152" t="s">
        <v>2969</v>
      </c>
      <c r="BN429" s="152" t="s">
        <v>1560</v>
      </c>
      <c r="BO429" s="152" t="s">
        <v>3104</v>
      </c>
      <c r="BP429" s="152" t="s">
        <v>3025</v>
      </c>
      <c r="BQ429" s="152" t="s">
        <v>3142</v>
      </c>
      <c r="BR429" s="152" t="s">
        <v>3162</v>
      </c>
      <c r="BS429" s="152" t="n">
        <v>203525.656</v>
      </c>
      <c r="BT429" s="152" t="n">
        <v>8238528.279</v>
      </c>
      <c r="BU429" s="152" t="n">
        <v>203615.187</v>
      </c>
      <c r="BV429" s="152" t="n">
        <v>8238642.305</v>
      </c>
      <c r="BW429" s="152" t="n">
        <v>-15.9143747</v>
      </c>
      <c r="BX429" s="152" t="n">
        <v>-47.7683356</v>
      </c>
      <c r="BY429" s="152" t="s">
        <v>3025</v>
      </c>
    </row>
    <row r="430" customFormat="false" ht="13.8" hidden="false" customHeight="false" outlineLevel="0" collapsed="false">
      <c r="A430" s="149" t="n">
        <f aca="false">IF(C430&lt;&gt;"",ROW(A425),"")</f>
        <v>425</v>
      </c>
      <c r="B430" s="150" t="str">
        <f aca="false">HYPERLINK("https://www.google.com/maps/dir/-15.917302,-47.760003/-15.9154694,-47.7686635/data=!4m3!4m2!3e0!5i0")</f>
        <v>https://www.google.com/maps/dir/-15.917302,-47.760003/-15.9154694,-47.7686635/data=!4m3!4m2!3e0!5i0</v>
      </c>
      <c r="C430" s="151" t="s">
        <v>117</v>
      </c>
      <c r="D430" s="152" t="s">
        <v>112</v>
      </c>
      <c r="E430" s="152" t="s">
        <v>113</v>
      </c>
      <c r="F430" s="152" t="s">
        <v>117</v>
      </c>
      <c r="G430" s="152" t="s">
        <v>782</v>
      </c>
      <c r="H430" s="152" t="n">
        <v>63</v>
      </c>
      <c r="I430" s="152" t="s">
        <v>115</v>
      </c>
      <c r="J430" s="152" t="s">
        <v>6</v>
      </c>
      <c r="K430" s="152" t="s">
        <v>2966</v>
      </c>
      <c r="L430" s="152" t="s">
        <v>120</v>
      </c>
      <c r="M430" s="153" t="n">
        <f aca="false">250.33+0.41</f>
        <v>250.74</v>
      </c>
      <c r="N430" s="152" t="s">
        <v>1548</v>
      </c>
      <c r="O430" s="152" t="s">
        <v>1549</v>
      </c>
      <c r="P430" s="152" t="s">
        <v>1550</v>
      </c>
      <c r="Q430" s="152" t="s">
        <v>1551</v>
      </c>
      <c r="R430" s="154" t="s">
        <v>3163</v>
      </c>
      <c r="S430" s="154" t="s">
        <v>1553</v>
      </c>
      <c r="T430" s="155" t="s">
        <v>3101</v>
      </c>
      <c r="U430" s="152" t="str">
        <f aca="false">RIGHT(T430,7)</f>
        <v>004/037</v>
      </c>
      <c r="V430" s="152" t="s">
        <v>1555</v>
      </c>
      <c r="W430" s="156" t="n">
        <v>45882</v>
      </c>
      <c r="X430" s="152" t="s">
        <v>1594</v>
      </c>
      <c r="Y430" s="152" t="s">
        <v>3015</v>
      </c>
      <c r="Z430" s="152" t="s">
        <v>1557</v>
      </c>
      <c r="AA430" s="153" t="n">
        <v>2.1</v>
      </c>
      <c r="AB430" s="151" t="s">
        <v>3164</v>
      </c>
      <c r="AC430" s="151" t="s">
        <v>186</v>
      </c>
      <c r="AD430" s="151" t="str">
        <f aca="false">CONCATENATE($C430,$I430,$H430,$N430,$J430,$K430)</f>
        <v>TUBO PEADPEAD63VCAREDESZona04</v>
      </c>
      <c r="AE430" s="153" t="n">
        <f aca="false">IFERROR(INDEX(APOIO_REDES!$A:$W,MATCH($C430&amp;$I430&amp;$H430&amp;$N430&amp;$O430,APOIO_REDES!$W:$W,0),MATCH(AE$5,APOIO_REDES!$5:$5,0)),0)</f>
        <v>1.2</v>
      </c>
      <c r="AF430" s="153" t="n">
        <f aca="false">IFERROR(INDEX(APOIO_REDES!$A:$W,MATCH($C430&amp;$I430&amp;$H430&amp;$N430&amp;$O430,APOIO_REDES!$W:$W,0),MATCH(AF$5,APOIO_REDES!$5:$5,0)),0)</f>
        <v>1.363</v>
      </c>
      <c r="AG430" s="153" t="n">
        <f aca="false">IFERROR(INDEX(APOIO_REDES!$A:$W,MATCH($C430&amp;$I430&amp;$H430&amp;$N430&amp;$O430,APOIO_REDES!$W:$W,0),MATCH(AG$5,APOIO_REDES!$5:$5,0)),0)</f>
        <v>0.65</v>
      </c>
      <c r="AH430" s="153" t="n">
        <f aca="false">IFERROR(INDEX(APOIO_REDES!$A:$W,MATCH($C430&amp;$I430&amp;$H430&amp;$N430&amp;$O430,APOIO_REDES!$W:$W,0),MATCH(AH$5,APOIO_REDES!$5:$5,0)),0)</f>
        <v>0.1</v>
      </c>
      <c r="AI430" s="153" t="n">
        <f aca="false">IFERROR(IF($H430&lt;&gt;"",(((($H430/1000)/2)^2)*PI()*$M430),0),0)</f>
        <v>0.781618089160906</v>
      </c>
      <c r="AJ430" s="153" t="n">
        <f aca="false">IFERROR(IF(AND($H430&lt;&gt;"",$I430="FoFo",OR($N430="MND",$N430="VCA"),$Q430="LINEAR"),0,IF(AND($H430&lt;&gt;"",$I430="PEAD",$N430="VCA",$Q430="LINEAR"),($H430/1000)+0.3,IF(AND($H430&lt;&gt;"",$I430="PEAD",$N430="MND",$Q430="EMBOQUE"),0,IF(AND($H430&lt;&gt;"",$I430="PVC",$N430="VCA",$Q430="LINEAR"),($H430/1000)+0.2,IF(AND($H430&lt;&gt;"",$I430="PVC",$N430="MND",$Q430="EMBOQUE"),0,IF(AND($H430&lt;&gt;"",$I430="PEAD",$N430="VCA",$Q430="PREDIAL"),0,0)))))),0)</f>
        <v>0.363</v>
      </c>
      <c r="AK430" s="153" t="n">
        <f aca="false">IF(AA430&lt;&gt;"",AA430,0)</f>
        <v>2.1</v>
      </c>
      <c r="AL430" s="153" t="n">
        <f aca="false">IF(AND($N430="MND",$Q430="EMBOQUE"),$M430,IF(AND($N430="VCA",$Q430="LINEAR"),$M430,IF(AND($N430="VCA",$Q430="PREDIAL"),0,0)))</f>
        <v>250.74</v>
      </c>
      <c r="AM430" s="153" t="n">
        <f aca="false">IF(AND($N430="MND",$Q430="EMBOQUE"),$M430,IF(AND($N430="VCA",$Q430="LINEAR"),$M430,IF(AND($N430="VCA",$Q430="PREDIAL"),0,0)))</f>
        <v>250.74</v>
      </c>
      <c r="AN430" s="153" t="n">
        <f aca="false">ROUND(IF(AND($N430="VCA",$M430&lt;&gt;"",$Q430="LINEAR"),$M430/100,IF(AND($N430="MND",$M430&gt;100,$Q430="EMBOQUE"),$M430/100,0)),0)</f>
        <v>3</v>
      </c>
      <c r="AO430" s="153" t="n">
        <f aca="false">IF(AND($N430="MND",$Q430="EMBOQUE"),$AN430*2*2,IF(AND($N430="VCA",$Q430="LINEAR"),$M430*2,IF(AND($N430="VCA",$Q430="PREDIAL"),0,0)))</f>
        <v>501.48</v>
      </c>
      <c r="AP430" s="153" t="n">
        <f aca="false">IFERROR($M430*$AF430*$AG430,0)</f>
        <v>222.143103</v>
      </c>
      <c r="AQ430" s="153" t="n">
        <f aca="false">IFERROR(IF(AND($N430="VCA",$AH430&gt;0),$M430*$AG430*$AH430,0),0)</f>
        <v>16.2981</v>
      </c>
      <c r="AR430" s="153" t="n">
        <f aca="false">IFERROR(IF(AND($N430="VCA",$AJ430&gt;0),($M430*$AG430*$AJ430)-$AI430,0),0)</f>
        <v>58.3804849108391</v>
      </c>
      <c r="AS430" s="153" t="n">
        <f aca="false">IFERROR(IF(AND($N430="VCA",$AP430&gt;0),$AP430-$AI430-$AQ430-$AR430,0),0)</f>
        <v>146.6829</v>
      </c>
      <c r="AT430" s="153" t="n">
        <f aca="false">IFERROR(IF($N430="VCA",INDEX(APOIO_REDES!$A:$W,MATCH($C430&amp;$I430&amp;$H430&amp;$N430&amp;$O430,APOIO_REDES!$W:$W,0),MATCH(AT$5,APOIO_REDES!$5:$5,0)),0)*$AP430,0)</f>
        <v>2.41698271164224</v>
      </c>
      <c r="AU430" s="153" t="n">
        <f aca="false">IFERROR(IF($N430="VCA",INDEX(APOIO_REDES!$A:$W,MATCH($C430&amp;$I430&amp;$H430&amp;$N430&amp;$O430,APOIO_REDES!$W:$W,0),MATCH(AU$5,APOIO_REDES!$5:$5,0)),0)*$AP430,0)</f>
        <v>1.93013693332396</v>
      </c>
      <c r="AV430" s="153" t="n">
        <f aca="false">IFERROR(IF($N430="VCA",INDEX(APOIO_REDES!$A:$W,MATCH($C430&amp;$I430&amp;$H430&amp;$N430&amp;$O430,APOIO_REDES!$W:$W,0),MATCH(AV$5,APOIO_REDES!$5:$5,0)),0)*$AP430,0)</f>
        <v>0.267115799403023</v>
      </c>
      <c r="AW430" s="153" t="n">
        <f aca="false">IFERROR(IF($N430="VCA",INDEX(APOIO_REDES!$A:$W,MATCH($C430&amp;$I430&amp;$H430&amp;$N430&amp;$O430,APOIO_REDES!$W:$W,0),MATCH(AW$5,APOIO_REDES!$5:$5,0)),0)*$AP430,0)</f>
        <v>152.480747147955</v>
      </c>
      <c r="AX430" s="153" t="n">
        <f aca="false">IFERROR(IF($N430="VCA",INDEX(APOIO_REDES!$A:$W,MATCH($C430&amp;$I430&amp;$H430&amp;$N430&amp;$O430,APOIO_REDES!$W:$W,0),MATCH(AX$5,APOIO_REDES!$5:$5,0)),0)*$AP430,0)</f>
        <v>21.1029010556469</v>
      </c>
      <c r="AY430" s="153" t="n">
        <f aca="false">IFERROR(IF($N430="VCA",INDEX(APOIO_REDES!$A:$W,MATCH($C430&amp;$I430&amp;$H430&amp;$N430&amp;$O430,APOIO_REDES!$W:$W,0),MATCH(AY$5,APOIO_REDES!$5:$5,0)),0)*$AP430,0)</f>
        <v>38.6027151382665</v>
      </c>
      <c r="AZ430" s="153" t="n">
        <f aca="false">IFERROR(IF($N430="VCA",INDEX(APOIO_REDES!$A:$W,MATCH($C430&amp;$I430&amp;$H430&amp;$N430&amp;$O430,APOIO_REDES!$W:$W,0),MATCH(AZ$5,APOIO_REDES!$5:$5,0)),0)*$AP430,0)</f>
        <v>5.34250421376249</v>
      </c>
      <c r="BA430" s="153" t="n">
        <f aca="false">IFERROR(IF(AND($N430="VCA",$Q430="LINEAR"),INDEX(APOIO_REDES!$A:$W,MATCH($C430&amp;$I430&amp;$H430&amp;$N430&amp;$O430,APOIO_REDES!$W:$W,0),MATCH(BA$5,APOIO_REDES!$5:$5,0)),IF(AND($N430="MND",$Q430="EMBOQUE"),INDEX(APOIO_REDES!$A:$W,MATCH($C430&amp;$I430&amp;$H430&amp;$N430&amp;$O430,APOIO_REDES!$W:$W,0),MATCH(BA$5,APOIO_REDES!$5:$5,0)),0))*$M430/10,0)</f>
        <v>20.2090115283541</v>
      </c>
      <c r="BB430" s="153" t="n">
        <f aca="false">IFERROR(IF($N430="VCA",INDEX(APOIO_REDES!$A:$W,MATCH($C430&amp;$I430&amp;$H430&amp;$N430&amp;$O430,APOIO_REDES!$W:$W,0),MATCH(BB$5,APOIO_REDES!$5:$5,0)),0)*($AI430+$AQ430+$AR430),0)</f>
        <v>74.63917365628</v>
      </c>
      <c r="BC430" s="153" t="n">
        <f aca="false">IFERROR(IF($N430="VCA",INDEX(APOIO_REDES!$A:$W,MATCH($C430&amp;$I430&amp;$H430&amp;$N430&amp;$O430,APOIO_REDES!$W:$W,0),MATCH(BC$5,APOIO_REDES!$5:$5,0)),0)*($AI430+$AQ430+$AR430),0)</f>
        <v>0.821029343719996</v>
      </c>
      <c r="BD430" s="153" t="n">
        <f aca="false">IF(AND($N430="VCA",$AF430&gt;=1.25,$AF430&lt;1.5),$M430*$AF430*2,0)</f>
        <v>683.51724</v>
      </c>
      <c r="BE430" s="153" t="n">
        <f aca="false">IF(AND($N430="VCA",$AF430&gt;=1.5,$AF430&lt;3),$M430*$AF430*2,0)</f>
        <v>0</v>
      </c>
      <c r="BF430" s="153" t="n">
        <f aca="false">IF(AND($N430="VCA",$AF430&gt;=3),$M430*$AF430*2,0)</f>
        <v>0</v>
      </c>
      <c r="BG430" s="153" t="n">
        <f aca="false">($BB430+$BC430)*$AK430</f>
        <v>158.4664263</v>
      </c>
      <c r="BH430" s="153" t="n">
        <f aca="false">IF(AND($M430&lt;&gt;"",$N430="VCA",$Q430="LINEAR"),($M430*2)/100,IF(AND($M430&lt;&gt;"",$N430="MND",$Q430="EMBOQUE"),($AN430*2)/100,0))</f>
        <v>5.0148</v>
      </c>
      <c r="BI430" s="153" t="n">
        <f aca="false">IF(AND($M430&lt;&gt;"",$N430="VCA",$Q430="LINEAR"),$M430,IF(AND($M430&lt;&gt;"",$N430="MND",$Q430="EMBOQUE"),$AN430*2,0))</f>
        <v>250.74</v>
      </c>
      <c r="BJ430" s="153" t="n">
        <f aca="false">IF(AND($M430&lt;&gt;"",$N430="VCA",$Q430="LINEAR"),($M430*6.8)/100,IF(AND($M430&lt;&gt;"",$N430="MND",$Q430="EMBOQUE"),($AN430*2*6.8)/100,0))</f>
        <v>17.05032</v>
      </c>
      <c r="BK430" s="153" t="n">
        <f aca="false">IF(AND($M430&lt;&gt;"",$N430="VCA",$Q430="LINEAR"),($M430*2.5)/50,IF(AND($M430&lt;&gt;"",$N430="MND",$Q430="EMBOQUE"),($AN430*2*2.5)/50,0))</f>
        <v>12.537</v>
      </c>
      <c r="BL430" s="157" t="str">
        <f aca="false">K430&amp;J430</f>
        <v>Zona04REDES</v>
      </c>
      <c r="BM430" s="152" t="s">
        <v>2969</v>
      </c>
      <c r="BN430" s="152" t="s">
        <v>1560</v>
      </c>
      <c r="BO430" s="152" t="s">
        <v>3104</v>
      </c>
      <c r="BP430" s="152" t="s">
        <v>3045</v>
      </c>
      <c r="BQ430" s="152" t="s">
        <v>2232</v>
      </c>
      <c r="BR430" s="152" t="s">
        <v>3165</v>
      </c>
      <c r="BS430" s="152" t="n">
        <v>203553.429</v>
      </c>
      <c r="BT430" s="152" t="n">
        <v>8238449.701</v>
      </c>
      <c r="BU430" s="152" t="n">
        <v>203759.669</v>
      </c>
      <c r="BV430" s="152" t="n">
        <v>8238591.577</v>
      </c>
      <c r="BW430" s="152" t="n">
        <v>-15.9148469</v>
      </c>
      <c r="BX430" s="152" t="n">
        <v>-47.7676884</v>
      </c>
      <c r="BY430" s="152" t="s">
        <v>3045</v>
      </c>
    </row>
    <row r="431" customFormat="false" ht="13.8" hidden="false" customHeight="false" outlineLevel="0" collapsed="false">
      <c r="A431" s="149" t="n">
        <f aca="false">IF(C431&lt;&gt;"",ROW(A426),"")</f>
        <v>426</v>
      </c>
      <c r="B431" s="150" t="str">
        <f aca="false">HYPERLINK("https://www.google.com/maps/dir/-15.917302,-47.760003/-15.9158206,-47.7685388/data=!4m3!4m2!3e0!5i0")</f>
        <v>https://www.google.com/maps/dir/-15.917302,-47.760003/-15.9158206,-47.7685388/data=!4m3!4m2!3e0!5i0</v>
      </c>
      <c r="C431" s="151" t="s">
        <v>117</v>
      </c>
      <c r="D431" s="152" t="s">
        <v>112</v>
      </c>
      <c r="E431" s="152" t="s">
        <v>113</v>
      </c>
      <c r="F431" s="152" t="s">
        <v>117</v>
      </c>
      <c r="G431" s="152" t="s">
        <v>782</v>
      </c>
      <c r="H431" s="152" t="n">
        <v>63</v>
      </c>
      <c r="I431" s="152" t="s">
        <v>115</v>
      </c>
      <c r="J431" s="152" t="s">
        <v>6</v>
      </c>
      <c r="K431" s="152" t="s">
        <v>2966</v>
      </c>
      <c r="L431" s="152" t="s">
        <v>120</v>
      </c>
      <c r="M431" s="153" t="n">
        <f aca="false">324.1</f>
        <v>324.1</v>
      </c>
      <c r="N431" s="152" t="s">
        <v>1548</v>
      </c>
      <c r="O431" s="152" t="s">
        <v>1549</v>
      </c>
      <c r="P431" s="152" t="s">
        <v>1550</v>
      </c>
      <c r="Q431" s="152" t="s">
        <v>1551</v>
      </c>
      <c r="R431" s="154" t="s">
        <v>3166</v>
      </c>
      <c r="S431" s="154" t="s">
        <v>1553</v>
      </c>
      <c r="T431" s="155" t="s">
        <v>3101</v>
      </c>
      <c r="U431" s="152" t="str">
        <f aca="false">RIGHT(T431,7)</f>
        <v>004/037</v>
      </c>
      <c r="V431" s="152" t="s">
        <v>1555</v>
      </c>
      <c r="W431" s="156" t="n">
        <v>45882</v>
      </c>
      <c r="X431" s="152" t="s">
        <v>1594</v>
      </c>
      <c r="Y431" s="152" t="s">
        <v>3015</v>
      </c>
      <c r="Z431" s="152" t="s">
        <v>1557</v>
      </c>
      <c r="AA431" s="153" t="n">
        <v>2.2</v>
      </c>
      <c r="AB431" s="151" t="s">
        <v>3167</v>
      </c>
      <c r="AC431" s="151" t="s">
        <v>186</v>
      </c>
      <c r="AD431" s="151" t="str">
        <f aca="false">CONCATENATE($C431,$I431,$H431,$N431,$J431,$K431)</f>
        <v>TUBO PEADPEAD63VCAREDESZona04</v>
      </c>
      <c r="AE431" s="153" t="n">
        <f aca="false">IFERROR(INDEX(APOIO_REDES!$A:$W,MATCH($C431&amp;$I431&amp;$H431&amp;$N431&amp;$O431,APOIO_REDES!$W:$W,0),MATCH(AE$5,APOIO_REDES!$5:$5,0)),0)</f>
        <v>1.2</v>
      </c>
      <c r="AF431" s="153" t="n">
        <f aca="false">IFERROR(INDEX(APOIO_REDES!$A:$W,MATCH($C431&amp;$I431&amp;$H431&amp;$N431&amp;$O431,APOIO_REDES!$W:$W,0),MATCH(AF$5,APOIO_REDES!$5:$5,0)),0)</f>
        <v>1.363</v>
      </c>
      <c r="AG431" s="153" t="n">
        <f aca="false">IFERROR(INDEX(APOIO_REDES!$A:$W,MATCH($C431&amp;$I431&amp;$H431&amp;$N431&amp;$O431,APOIO_REDES!$W:$W,0),MATCH(AG$5,APOIO_REDES!$5:$5,0)),0)</f>
        <v>0.65</v>
      </c>
      <c r="AH431" s="153" t="n">
        <f aca="false">IFERROR(INDEX(APOIO_REDES!$A:$W,MATCH($C431&amp;$I431&amp;$H431&amp;$N431&amp;$O431,APOIO_REDES!$W:$W,0),MATCH(AH$5,APOIO_REDES!$5:$5,0)),0)</f>
        <v>0.1</v>
      </c>
      <c r="AI431" s="153" t="n">
        <f aca="false">IFERROR(IF($H431&lt;&gt;"",(((($H431/1000)/2)^2)*PI()*$M431),0),0)</f>
        <v>1.01029920514098</v>
      </c>
      <c r="AJ431" s="153" t="n">
        <f aca="false">IFERROR(IF(AND($H431&lt;&gt;"",$I431="FoFo",OR($N431="MND",$N431="VCA"),$Q431="LINEAR"),0,IF(AND($H431&lt;&gt;"",$I431="PEAD",$N431="VCA",$Q431="LINEAR"),($H431/1000)+0.3,IF(AND($H431&lt;&gt;"",$I431="PEAD",$N431="MND",$Q431="EMBOQUE"),0,IF(AND($H431&lt;&gt;"",$I431="PVC",$N431="VCA",$Q431="LINEAR"),($H431/1000)+0.2,IF(AND($H431&lt;&gt;"",$I431="PVC",$N431="MND",$Q431="EMBOQUE"),0,IF(AND($H431&lt;&gt;"",$I431="PEAD",$N431="VCA",$Q431="PREDIAL"),0,0)))))),0)</f>
        <v>0.363</v>
      </c>
      <c r="AK431" s="153" t="n">
        <f aca="false">IF(AA431&lt;&gt;"",AA431,0)</f>
        <v>2.2</v>
      </c>
      <c r="AL431" s="153" t="n">
        <f aca="false">IF(AND($N431="MND",$Q431="EMBOQUE"),$M431,IF(AND($N431="VCA",$Q431="LINEAR"),$M431,IF(AND($N431="VCA",$Q431="PREDIAL"),0,0)))</f>
        <v>324.1</v>
      </c>
      <c r="AM431" s="153" t="n">
        <f aca="false">IF(AND($N431="MND",$Q431="EMBOQUE"),$M431,IF(AND($N431="VCA",$Q431="LINEAR"),$M431,IF(AND($N431="VCA",$Q431="PREDIAL"),0,0)))</f>
        <v>324.1</v>
      </c>
      <c r="AN431" s="153" t="n">
        <f aca="false">ROUND(IF(AND($N431="VCA",$M431&lt;&gt;"",$Q431="LINEAR"),$M431/100,IF(AND($N431="MND",$M431&gt;100,$Q431="EMBOQUE"),$M431/100,0)),0)</f>
        <v>3</v>
      </c>
      <c r="AO431" s="153" t="n">
        <f aca="false">IF(AND($N431="MND",$Q431="EMBOQUE"),$AN431*2*2,IF(AND($N431="VCA",$Q431="LINEAR"),$M431*2,IF(AND($N431="VCA",$Q431="PREDIAL"),0,0)))</f>
        <v>648.2</v>
      </c>
      <c r="AP431" s="153" t="n">
        <f aca="false">IFERROR($M431*$AF431*$AG431,0)</f>
        <v>287.136395</v>
      </c>
      <c r="AQ431" s="153" t="n">
        <f aca="false">IFERROR(IF(AND($N431="VCA",$AH431&gt;0),$M431*$AG431*$AH431,0),0)</f>
        <v>21.0665</v>
      </c>
      <c r="AR431" s="153" t="n">
        <f aca="false">IFERROR(IF(AND($N431="VCA",$AJ431&gt;0),($M431*$AG431*$AJ431)-$AI431,0),0)</f>
        <v>75.461095794859</v>
      </c>
      <c r="AS431" s="153" t="n">
        <f aca="false">IFERROR(IF(AND($N431="VCA",$AP431&gt;0),$AP431-$AI431-$AQ431-$AR431,0),0)</f>
        <v>189.5985</v>
      </c>
      <c r="AT431" s="153" t="n">
        <f aca="false">IFERROR(IF($N431="VCA",INDEX(APOIO_REDES!$A:$W,MATCH($C431&amp;$I431&amp;$H431&amp;$N431&amp;$O431,APOIO_REDES!$W:$W,0),MATCH(AT$5,APOIO_REDES!$5:$5,0)),0)*$AP431,0)</f>
        <v>3.12412896563472</v>
      </c>
      <c r="AU431" s="153" t="n">
        <f aca="false">IFERROR(IF($N431="VCA",INDEX(APOIO_REDES!$A:$W,MATCH($C431&amp;$I431&amp;$H431&amp;$N431&amp;$O431,APOIO_REDES!$W:$W,0),MATCH(AU$5,APOIO_REDES!$5:$5,0)),0)*$AP431,0)</f>
        <v>2.49484477981294</v>
      </c>
      <c r="AV431" s="153" t="n">
        <f aca="false">IFERROR(IF($N431="VCA",INDEX(APOIO_REDES!$A:$W,MATCH($C431&amp;$I431&amp;$H431&amp;$N431&amp;$O431,APOIO_REDES!$W:$W,0),MATCH(AV$5,APOIO_REDES!$5:$5,0)),0)*$AP431,0)</f>
        <v>0.345266932226688</v>
      </c>
      <c r="AW431" s="153" t="n">
        <f aca="false">IFERROR(IF($N431="VCA",INDEX(APOIO_REDES!$A:$W,MATCH($C431&amp;$I431&amp;$H431&amp;$N431&amp;$O431,APOIO_REDES!$W:$W,0),MATCH(AW$5,APOIO_REDES!$5:$5,0)),0)*$AP431,0)</f>
        <v>197.092646369355</v>
      </c>
      <c r="AX431" s="153" t="n">
        <f aca="false">IFERROR(IF($N431="VCA",INDEX(APOIO_REDES!$A:$W,MATCH($C431&amp;$I431&amp;$H431&amp;$N431&amp;$O431,APOIO_REDES!$W:$W,0),MATCH(AX$5,APOIO_REDES!$5:$5,0)),0)*$AP431,0)</f>
        <v>27.2770608284884</v>
      </c>
      <c r="AY431" s="153" t="n">
        <f aca="false">IFERROR(IF($N431="VCA",INDEX(APOIO_REDES!$A:$W,MATCH($C431&amp;$I431&amp;$H431&amp;$N431&amp;$O431,APOIO_REDES!$W:$W,0),MATCH(AY$5,APOIO_REDES!$5:$5,0)),0)*$AP431,0)</f>
        <v>49.8968651843032</v>
      </c>
      <c r="AZ431" s="153" t="n">
        <f aca="false">IFERROR(IF($N431="VCA",INDEX(APOIO_REDES!$A:$W,MATCH($C431&amp;$I431&amp;$H431&amp;$N431&amp;$O431,APOIO_REDES!$W:$W,0),MATCH(AZ$5,APOIO_REDES!$5:$5,0)),0)*$AP431,0)</f>
        <v>6.90558194017876</v>
      </c>
      <c r="BA431" s="153" t="n">
        <f aca="false">IFERROR(IF(AND($N431="VCA",$Q431="LINEAR"),INDEX(APOIO_REDES!$A:$W,MATCH($C431&amp;$I431&amp;$H431&amp;$N431&amp;$O431,APOIO_REDES!$W:$W,0),MATCH(BA$5,APOIO_REDES!$5:$5,0)),IF(AND($N431="MND",$Q431="EMBOQUE"),INDEX(APOIO_REDES!$A:$W,MATCH($C431&amp;$I431&amp;$H431&amp;$N431&amp;$O431,APOIO_REDES!$W:$W,0),MATCH(BA$5,APOIO_REDES!$5:$5,0)),0))*$M431/10,0)</f>
        <v>26.1216424836068</v>
      </c>
      <c r="BB431" s="153" t="n">
        <f aca="false">IFERROR(IF($N431="VCA",INDEX(APOIO_REDES!$A:$W,MATCH($C431&amp;$I431&amp;$H431&amp;$N431&amp;$O431,APOIO_REDES!$W:$W,0),MATCH(BB$5,APOIO_REDES!$5:$5,0)),0)*($AI431+$AQ431+$AR431),0)</f>
        <v>96.4766538326567</v>
      </c>
      <c r="BC431" s="153" t="n">
        <f aca="false">IFERROR(IF($N431="VCA",INDEX(APOIO_REDES!$A:$W,MATCH($C431&amp;$I431&amp;$H431&amp;$N431&amp;$O431,APOIO_REDES!$W:$W,0),MATCH(BC$5,APOIO_REDES!$5:$5,0)),0)*($AI431+$AQ431+$AR431),0)</f>
        <v>1.06124116734327</v>
      </c>
      <c r="BD431" s="153" t="n">
        <f aca="false">IF(AND($N431="VCA",$AF431&gt;=1.25,$AF431&lt;1.5),$M431*$AF431*2,0)</f>
        <v>883.4966</v>
      </c>
      <c r="BE431" s="153" t="n">
        <f aca="false">IF(AND($N431="VCA",$AF431&gt;=1.5,$AF431&lt;3),$M431*$AF431*2,0)</f>
        <v>0</v>
      </c>
      <c r="BF431" s="153" t="n">
        <f aca="false">IF(AND($N431="VCA",$AF431&gt;=3),$M431*$AF431*2,0)</f>
        <v>0</v>
      </c>
      <c r="BG431" s="153" t="n">
        <f aca="false">($BB431+$BC431)*$AK431</f>
        <v>214.583369</v>
      </c>
      <c r="BH431" s="153" t="n">
        <f aca="false">IF(AND($M431&lt;&gt;"",$N431="VCA",$Q431="LINEAR"),($M431*2)/100,IF(AND($M431&lt;&gt;"",$N431="MND",$Q431="EMBOQUE"),($AN431*2)/100,0))</f>
        <v>6.482</v>
      </c>
      <c r="BI431" s="153" t="n">
        <f aca="false">IF(AND($M431&lt;&gt;"",$N431="VCA",$Q431="LINEAR"),$M431,IF(AND($M431&lt;&gt;"",$N431="MND",$Q431="EMBOQUE"),$AN431*2,0))</f>
        <v>324.1</v>
      </c>
      <c r="BJ431" s="153" t="n">
        <f aca="false">IF(AND($M431&lt;&gt;"",$N431="VCA",$Q431="LINEAR"),($M431*6.8)/100,IF(AND($M431&lt;&gt;"",$N431="MND",$Q431="EMBOQUE"),($AN431*2*6.8)/100,0))</f>
        <v>22.0388</v>
      </c>
      <c r="BK431" s="153" t="n">
        <f aca="false">IF(AND($M431&lt;&gt;"",$N431="VCA",$Q431="LINEAR"),($M431*2.5)/50,IF(AND($M431&lt;&gt;"",$N431="MND",$Q431="EMBOQUE"),($AN431*2*2.5)/50,0))</f>
        <v>16.205</v>
      </c>
      <c r="BL431" s="157" t="str">
        <f aca="false">K431&amp;J431</f>
        <v>Zona04REDES</v>
      </c>
      <c r="BM431" s="152" t="s">
        <v>2969</v>
      </c>
      <c r="BN431" s="152" t="s">
        <v>1560</v>
      </c>
      <c r="BO431" s="152" t="s">
        <v>3104</v>
      </c>
      <c r="BP431" s="152" t="s">
        <v>3065</v>
      </c>
      <c r="BQ431" s="152" t="s">
        <v>3149</v>
      </c>
      <c r="BR431" s="152" t="s">
        <v>3168</v>
      </c>
      <c r="BS431" s="152" t="n">
        <v>203567.303</v>
      </c>
      <c r="BT431" s="152" t="n">
        <v>8238410.992</v>
      </c>
      <c r="BU431" s="152" t="n">
        <v>203800.489</v>
      </c>
      <c r="BV431" s="152" t="n">
        <v>8238614.313</v>
      </c>
      <c r="BW431" s="152" t="n">
        <v>-15.9149701</v>
      </c>
      <c r="BX431" s="152" t="n">
        <v>-47.7673099</v>
      </c>
      <c r="BY431" s="152" t="s">
        <v>3065</v>
      </c>
    </row>
    <row r="432" customFormat="false" ht="13.8" hidden="false" customHeight="false" outlineLevel="0" collapsed="false">
      <c r="A432" s="149" t="n">
        <f aca="false">IF(C432&lt;&gt;"",ROW(A427),"")</f>
        <v>427</v>
      </c>
      <c r="B432" s="150" t="str">
        <f aca="false">HYPERLINK("https://www.google.com/maps/dir/-15.917302,-47.760003/-15.9153806,-47.7670508/data=!4m3!4m2!3e0!5i0")</f>
        <v>https://www.google.com/maps/dir/-15.917302,-47.760003/-15.9153806,-47.7670508/data=!4m3!4m2!3e0!5i0</v>
      </c>
      <c r="C432" s="151" t="s">
        <v>117</v>
      </c>
      <c r="D432" s="152" t="s">
        <v>112</v>
      </c>
      <c r="E432" s="152" t="s">
        <v>113</v>
      </c>
      <c r="F432" s="152" t="s">
        <v>117</v>
      </c>
      <c r="G432" s="152" t="s">
        <v>782</v>
      </c>
      <c r="H432" s="152" t="n">
        <v>63</v>
      </c>
      <c r="I432" s="152" t="s">
        <v>115</v>
      </c>
      <c r="J432" s="152" t="s">
        <v>6</v>
      </c>
      <c r="K432" s="152" t="s">
        <v>2966</v>
      </c>
      <c r="L432" s="152" t="s">
        <v>120</v>
      </c>
      <c r="M432" s="153" t="n">
        <f aca="false">177.49+0.53</f>
        <v>178.02</v>
      </c>
      <c r="N432" s="152" t="s">
        <v>1548</v>
      </c>
      <c r="O432" s="152" t="s">
        <v>1549</v>
      </c>
      <c r="P432" s="152" t="s">
        <v>1550</v>
      </c>
      <c r="Q432" s="152" t="s">
        <v>1551</v>
      </c>
      <c r="R432" s="154" t="s">
        <v>3169</v>
      </c>
      <c r="S432" s="154" t="s">
        <v>1553</v>
      </c>
      <c r="T432" s="155" t="s">
        <v>3101</v>
      </c>
      <c r="U432" s="152" t="str">
        <f aca="false">RIGHT(T432,7)</f>
        <v>004/037</v>
      </c>
      <c r="V432" s="152" t="s">
        <v>1555</v>
      </c>
      <c r="W432" s="156" t="n">
        <v>45882</v>
      </c>
      <c r="X432" s="152" t="s">
        <v>1594</v>
      </c>
      <c r="Y432" s="152" t="s">
        <v>3170</v>
      </c>
      <c r="Z432" s="152" t="s">
        <v>1557</v>
      </c>
      <c r="AA432" s="153" t="n">
        <v>2.4</v>
      </c>
      <c r="AB432" s="151" t="s">
        <v>3171</v>
      </c>
      <c r="AC432" s="151" t="s">
        <v>186</v>
      </c>
      <c r="AD432" s="151" t="str">
        <f aca="false">CONCATENATE($C432,$I432,$H432,$N432,$J432,$K432)</f>
        <v>TUBO PEADPEAD63VCAREDESZona04</v>
      </c>
      <c r="AE432" s="153" t="n">
        <f aca="false">IFERROR(INDEX(APOIO_REDES!$A:$W,MATCH($C432&amp;$I432&amp;$H432&amp;$N432&amp;$O432,APOIO_REDES!$W:$W,0),MATCH(AE$5,APOIO_REDES!$5:$5,0)),0)</f>
        <v>1.2</v>
      </c>
      <c r="AF432" s="153" t="n">
        <f aca="false">IFERROR(INDEX(APOIO_REDES!$A:$W,MATCH($C432&amp;$I432&amp;$H432&amp;$N432&amp;$O432,APOIO_REDES!$W:$W,0),MATCH(AF$5,APOIO_REDES!$5:$5,0)),0)</f>
        <v>1.363</v>
      </c>
      <c r="AG432" s="153" t="n">
        <f aca="false">IFERROR(INDEX(APOIO_REDES!$A:$W,MATCH($C432&amp;$I432&amp;$H432&amp;$N432&amp;$O432,APOIO_REDES!$W:$W,0),MATCH(AG$5,APOIO_REDES!$5:$5,0)),0)</f>
        <v>0.65</v>
      </c>
      <c r="AH432" s="153" t="n">
        <f aca="false">IFERROR(INDEX(APOIO_REDES!$A:$W,MATCH($C432&amp;$I432&amp;$H432&amp;$N432&amp;$O432,APOIO_REDES!$W:$W,0),MATCH(AH$5,APOIO_REDES!$5:$5,0)),0)</f>
        <v>0.1</v>
      </c>
      <c r="AI432" s="153" t="n">
        <f aca="false">IFERROR(IF($H432&lt;&gt;"",(((($H432/1000)/2)^2)*PI()*$M432),0),0)</f>
        <v>0.554932010179567</v>
      </c>
      <c r="AJ432" s="153" t="n">
        <f aca="false">IFERROR(IF(AND($H432&lt;&gt;"",$I432="FoFo",OR($N432="MND",$N432="VCA"),$Q432="LINEAR"),0,IF(AND($H432&lt;&gt;"",$I432="PEAD",$N432="VCA",$Q432="LINEAR"),($H432/1000)+0.3,IF(AND($H432&lt;&gt;"",$I432="PEAD",$N432="MND",$Q432="EMBOQUE"),0,IF(AND($H432&lt;&gt;"",$I432="PVC",$N432="VCA",$Q432="LINEAR"),($H432/1000)+0.2,IF(AND($H432&lt;&gt;"",$I432="PVC",$N432="MND",$Q432="EMBOQUE"),0,IF(AND($H432&lt;&gt;"",$I432="PEAD",$N432="VCA",$Q432="PREDIAL"),0,0)))))),0)</f>
        <v>0.363</v>
      </c>
      <c r="AK432" s="153" t="n">
        <f aca="false">IF(AA432&lt;&gt;"",AA432,0)</f>
        <v>2.4</v>
      </c>
      <c r="AL432" s="153" t="n">
        <f aca="false">IF(AND($N432="MND",$Q432="EMBOQUE"),$M432,IF(AND($N432="VCA",$Q432="LINEAR"),$M432,IF(AND($N432="VCA",$Q432="PREDIAL"),0,0)))</f>
        <v>178.02</v>
      </c>
      <c r="AM432" s="153" t="n">
        <f aca="false">IF(AND($N432="MND",$Q432="EMBOQUE"),$M432,IF(AND($N432="VCA",$Q432="LINEAR"),$M432,IF(AND($N432="VCA",$Q432="PREDIAL"),0,0)))</f>
        <v>178.02</v>
      </c>
      <c r="AN432" s="153" t="n">
        <f aca="false">ROUND(IF(AND($N432="VCA",$M432&lt;&gt;"",$Q432="LINEAR"),$M432/100,IF(AND($N432="MND",$M432&gt;100,$Q432="EMBOQUE"),$M432/100,0)),0)</f>
        <v>2</v>
      </c>
      <c r="AO432" s="153" t="n">
        <f aca="false">IF(AND($N432="MND",$Q432="EMBOQUE"),$AN432*2*2,IF(AND($N432="VCA",$Q432="LINEAR"),$M432*2,IF(AND($N432="VCA",$Q432="PREDIAL"),0,0)))</f>
        <v>356.04</v>
      </c>
      <c r="AP432" s="153" t="n">
        <f aca="false">IFERROR($M432*$AF432*$AG432,0)</f>
        <v>157.716819</v>
      </c>
      <c r="AQ432" s="153" t="n">
        <f aca="false">IFERROR(IF(AND($N432="VCA",$AH432&gt;0),$M432*$AG432*$AH432,0),0)</f>
        <v>11.5713</v>
      </c>
      <c r="AR432" s="153" t="n">
        <f aca="false">IFERROR(IF(AND($N432="VCA",$AJ432&gt;0),($M432*$AG432*$AJ432)-$AI432,0),0)</f>
        <v>41.4488869898204</v>
      </c>
      <c r="AS432" s="153" t="n">
        <f aca="false">IFERROR(IF(AND($N432="VCA",$AP432&gt;0),$AP432-$AI432-$AQ432-$AR432,0),0)</f>
        <v>104.1417</v>
      </c>
      <c r="AT432" s="153" t="n">
        <f aca="false">IFERROR(IF($N432="VCA",INDEX(APOIO_REDES!$A:$W,MATCH($C432&amp;$I432&amp;$H432&amp;$N432&amp;$O432,APOIO_REDES!$W:$W,0),MATCH(AT$5,APOIO_REDES!$5:$5,0)),0)*$AP432,0)</f>
        <v>1.71600567251556</v>
      </c>
      <c r="AU432" s="153" t="n">
        <f aca="false">IFERROR(IF($N432="VCA",INDEX(APOIO_REDES!$A:$W,MATCH($C432&amp;$I432&amp;$H432&amp;$N432&amp;$O432,APOIO_REDES!$W:$W,0),MATCH(AU$5,APOIO_REDES!$5:$5,0)),0)*$AP432,0)</f>
        <v>1.37035565474329</v>
      </c>
      <c r="AV432" s="153" t="n">
        <f aca="false">IFERROR(IF($N432="VCA",INDEX(APOIO_REDES!$A:$W,MATCH($C432&amp;$I432&amp;$H432&amp;$N432&amp;$O432,APOIO_REDES!$W:$W,0),MATCH(AV$5,APOIO_REDES!$5:$5,0)),0)*$AP432,0)</f>
        <v>0.189646464902792</v>
      </c>
      <c r="AW432" s="153" t="n">
        <f aca="false">IFERROR(IF($N432="VCA",INDEX(APOIO_REDES!$A:$W,MATCH($C432&amp;$I432&amp;$H432&amp;$N432&amp;$O432,APOIO_REDES!$W:$W,0),MATCH(AW$5,APOIO_REDES!$5:$5,0)),0)*$AP432,0)</f>
        <v>108.258046611147</v>
      </c>
      <c r="AX432" s="153" t="n">
        <f aca="false">IFERROR(IF($N432="VCA",INDEX(APOIO_REDES!$A:$W,MATCH($C432&amp;$I432&amp;$H432&amp;$N432&amp;$O432,APOIO_REDES!$W:$W,0),MATCH(AX$5,APOIO_REDES!$5:$5,0)),0)*$AP432,0)</f>
        <v>14.9826052720997</v>
      </c>
      <c r="AY432" s="153" t="n">
        <f aca="false">IFERROR(IF($N432="VCA",INDEX(APOIO_REDES!$A:$W,MATCH($C432&amp;$I432&amp;$H432&amp;$N432&amp;$O432,APOIO_REDES!$W:$W,0),MATCH(AY$5,APOIO_REDES!$5:$5,0)),0)*$AP432,0)</f>
        <v>27.4070963903414</v>
      </c>
      <c r="AZ432" s="153" t="n">
        <f aca="false">IFERROR(IF($N432="VCA",INDEX(APOIO_REDES!$A:$W,MATCH($C432&amp;$I432&amp;$H432&amp;$N432&amp;$O432,APOIO_REDES!$W:$W,0),MATCH(AZ$5,APOIO_REDES!$5:$5,0)),0)*$AP432,0)</f>
        <v>3.79306293425061</v>
      </c>
      <c r="BA432" s="153" t="n">
        <f aca="false">IFERROR(IF(AND($N432="VCA",$Q432="LINEAR"),INDEX(APOIO_REDES!$A:$W,MATCH($C432&amp;$I432&amp;$H432&amp;$N432&amp;$O432,APOIO_REDES!$W:$W,0),MATCH(BA$5,APOIO_REDES!$5:$5,0)),IF(AND($N432="MND",$Q432="EMBOQUE"),INDEX(APOIO_REDES!$A:$W,MATCH($C432&amp;$I432&amp;$H432&amp;$N432&amp;$O432,APOIO_REDES!$W:$W,0),MATCH(BA$5,APOIO_REDES!$5:$5,0)),0))*$M432/10,0)</f>
        <v>14.3479629587525</v>
      </c>
      <c r="BB432" s="153" t="n">
        <f aca="false">IFERROR(IF($N432="VCA",INDEX(APOIO_REDES!$A:$W,MATCH($C432&amp;$I432&amp;$H432&amp;$N432&amp;$O432,APOIO_REDES!$W:$W,0),MATCH(BB$5,APOIO_REDES!$5:$5,0)),0)*($AI432+$AQ432+$AR432),0)</f>
        <v>52.9922058478542</v>
      </c>
      <c r="BC432" s="153" t="n">
        <f aca="false">IFERROR(IF($N432="VCA",INDEX(APOIO_REDES!$A:$W,MATCH($C432&amp;$I432&amp;$H432&amp;$N432&amp;$O432,APOIO_REDES!$W:$W,0),MATCH(BC$5,APOIO_REDES!$5:$5,0)),0)*($AI432+$AQ432+$AR432),0)</f>
        <v>0.582913152145783</v>
      </c>
      <c r="BD432" s="153" t="n">
        <f aca="false">IF(AND($N432="VCA",$AF432&gt;=1.25,$AF432&lt;1.5),$M432*$AF432*2,0)</f>
        <v>485.28252</v>
      </c>
      <c r="BE432" s="153" t="n">
        <f aca="false">IF(AND($N432="VCA",$AF432&gt;=1.5,$AF432&lt;3),$M432*$AF432*2,0)</f>
        <v>0</v>
      </c>
      <c r="BF432" s="153" t="n">
        <f aca="false">IF(AND($N432="VCA",$AF432&gt;=3),$M432*$AF432*2,0)</f>
        <v>0</v>
      </c>
      <c r="BG432" s="153" t="n">
        <f aca="false">($BB432+$BC432)*$AK432</f>
        <v>128.5802856</v>
      </c>
      <c r="BH432" s="153" t="n">
        <f aca="false">IF(AND($M432&lt;&gt;"",$N432="VCA",$Q432="LINEAR"),($M432*2)/100,IF(AND($M432&lt;&gt;"",$N432="MND",$Q432="EMBOQUE"),($AN432*2)/100,0))</f>
        <v>3.5604</v>
      </c>
      <c r="BI432" s="153" t="n">
        <f aca="false">IF(AND($M432&lt;&gt;"",$N432="VCA",$Q432="LINEAR"),$M432,IF(AND($M432&lt;&gt;"",$N432="MND",$Q432="EMBOQUE"),$AN432*2,0))</f>
        <v>178.02</v>
      </c>
      <c r="BJ432" s="153" t="n">
        <f aca="false">IF(AND($M432&lt;&gt;"",$N432="VCA",$Q432="LINEAR"),($M432*6.8)/100,IF(AND($M432&lt;&gt;"",$N432="MND",$Q432="EMBOQUE"),($AN432*2*6.8)/100,0))</f>
        <v>12.10536</v>
      </c>
      <c r="BK432" s="153" t="n">
        <f aca="false">IF(AND($M432&lt;&gt;"",$N432="VCA",$Q432="LINEAR"),($M432*2.5)/50,IF(AND($M432&lt;&gt;"",$N432="MND",$Q432="EMBOQUE"),($AN432*2*2.5)/50,0))</f>
        <v>8.901</v>
      </c>
      <c r="BL432" s="157" t="str">
        <f aca="false">K432&amp;J432</f>
        <v>Zona04REDES</v>
      </c>
      <c r="BM432" s="152" t="s">
        <v>2969</v>
      </c>
      <c r="BN432" s="152" t="s">
        <v>1560</v>
      </c>
      <c r="BO432" s="152" t="s">
        <v>3104</v>
      </c>
      <c r="BP432" s="152" t="s">
        <v>3172</v>
      </c>
      <c r="BQ432" s="152" t="s">
        <v>3073</v>
      </c>
      <c r="BR432" s="152" t="s">
        <v>3173</v>
      </c>
      <c r="BS432" s="152" t="n">
        <v>203726.094</v>
      </c>
      <c r="BT432" s="152" t="n">
        <v>8238461.063</v>
      </c>
      <c r="BU432" s="152" t="n">
        <v>203580.874</v>
      </c>
      <c r="BV432" s="152" t="n">
        <v>8238359.05</v>
      </c>
      <c r="BW432" s="152" t="n">
        <v>-15.9158439</v>
      </c>
      <c r="BX432" s="152" t="n">
        <v>-47.7677316</v>
      </c>
      <c r="BY432" s="152" t="s">
        <v>3172</v>
      </c>
    </row>
    <row r="433" customFormat="false" ht="13.8" hidden="false" customHeight="false" outlineLevel="0" collapsed="false">
      <c r="A433" s="149" t="n">
        <f aca="false">IF(C433&lt;&gt;"",ROW(A428),"")</f>
        <v>428</v>
      </c>
      <c r="B433" s="150" t="str">
        <f aca="false">HYPERLINK("https://www.google.com/maps/dir/-15.917302,-47.760003/-15.9167952,-47.7683712/data=!4m3!4m2!3e0!5i0")</f>
        <v>https://www.google.com/maps/dir/-15.917302,-47.760003/-15.9167952,-47.7683712/data=!4m3!4m2!3e0!5i0</v>
      </c>
      <c r="C433" s="151" t="s">
        <v>117</v>
      </c>
      <c r="D433" s="152" t="s">
        <v>112</v>
      </c>
      <c r="E433" s="152" t="s">
        <v>113</v>
      </c>
      <c r="F433" s="152" t="s">
        <v>117</v>
      </c>
      <c r="G433" s="152" t="s">
        <v>782</v>
      </c>
      <c r="H433" s="152" t="n">
        <v>63</v>
      </c>
      <c r="I433" s="152" t="s">
        <v>115</v>
      </c>
      <c r="J433" s="152" t="s">
        <v>6</v>
      </c>
      <c r="K433" s="152" t="s">
        <v>2966</v>
      </c>
      <c r="L433" s="152" t="s">
        <v>120</v>
      </c>
      <c r="M433" s="153" t="n">
        <f aca="false">200.59+4.37</f>
        <v>204.96</v>
      </c>
      <c r="N433" s="152" t="s">
        <v>1548</v>
      </c>
      <c r="O433" s="152" t="s">
        <v>1549</v>
      </c>
      <c r="P433" s="152" t="s">
        <v>1550</v>
      </c>
      <c r="Q433" s="152" t="s">
        <v>1551</v>
      </c>
      <c r="R433" s="154" t="s">
        <v>3174</v>
      </c>
      <c r="S433" s="154" t="s">
        <v>1553</v>
      </c>
      <c r="T433" s="155" t="s">
        <v>3101</v>
      </c>
      <c r="U433" s="152" t="str">
        <f aca="false">RIGHT(T433,7)</f>
        <v>004/037</v>
      </c>
      <c r="V433" s="152" t="s">
        <v>1555</v>
      </c>
      <c r="W433" s="156" t="n">
        <v>45882</v>
      </c>
      <c r="X433" s="152" t="s">
        <v>1594</v>
      </c>
      <c r="Y433" s="152" t="s">
        <v>3015</v>
      </c>
      <c r="Z433" s="152" t="s">
        <v>1557</v>
      </c>
      <c r="AA433" s="153" t="n">
        <v>2.3</v>
      </c>
      <c r="AB433" s="151" t="s">
        <v>3175</v>
      </c>
      <c r="AC433" s="151" t="s">
        <v>186</v>
      </c>
      <c r="AD433" s="151" t="str">
        <f aca="false">CONCATENATE($C433,$I433,$H433,$N433,$J433,$K433)</f>
        <v>TUBO PEADPEAD63VCAREDESZona04</v>
      </c>
      <c r="AE433" s="153" t="n">
        <f aca="false">IFERROR(INDEX(APOIO_REDES!$A:$W,MATCH($C433&amp;$I433&amp;$H433&amp;$N433&amp;$O433,APOIO_REDES!$W:$W,0),MATCH(AE$5,APOIO_REDES!$5:$5,0)),0)</f>
        <v>1.2</v>
      </c>
      <c r="AF433" s="153" t="n">
        <f aca="false">IFERROR(INDEX(APOIO_REDES!$A:$W,MATCH($C433&amp;$I433&amp;$H433&amp;$N433&amp;$O433,APOIO_REDES!$W:$W,0),MATCH(AF$5,APOIO_REDES!$5:$5,0)),0)</f>
        <v>1.363</v>
      </c>
      <c r="AG433" s="153" t="n">
        <f aca="false">IFERROR(INDEX(APOIO_REDES!$A:$W,MATCH($C433&amp;$I433&amp;$H433&amp;$N433&amp;$O433,APOIO_REDES!$W:$W,0),MATCH(AG$5,APOIO_REDES!$5:$5,0)),0)</f>
        <v>0.65</v>
      </c>
      <c r="AH433" s="153" t="n">
        <f aca="false">IFERROR(INDEX(APOIO_REDES!$A:$W,MATCH($C433&amp;$I433&amp;$H433&amp;$N433&amp;$O433,APOIO_REDES!$W:$W,0),MATCH(AH$5,APOIO_REDES!$5:$5,0)),0)</f>
        <v>0.1</v>
      </c>
      <c r="AI433" s="153" t="n">
        <f aca="false">IFERROR(IF($H433&lt;&gt;"",(((($H433/1000)/2)^2)*PI()*$M433),0),0)</f>
        <v>0.638910598845096</v>
      </c>
      <c r="AJ433" s="153" t="n">
        <f aca="false">IFERROR(IF(AND($H433&lt;&gt;"",$I433="FoFo",OR($N433="MND",$N433="VCA"),$Q433="LINEAR"),0,IF(AND($H433&lt;&gt;"",$I433="PEAD",$N433="VCA",$Q433="LINEAR"),($H433/1000)+0.3,IF(AND($H433&lt;&gt;"",$I433="PEAD",$N433="MND",$Q433="EMBOQUE"),0,IF(AND($H433&lt;&gt;"",$I433="PVC",$N433="VCA",$Q433="LINEAR"),($H433/1000)+0.2,IF(AND($H433&lt;&gt;"",$I433="PVC",$N433="MND",$Q433="EMBOQUE"),0,IF(AND($H433&lt;&gt;"",$I433="PEAD",$N433="VCA",$Q433="PREDIAL"),0,0)))))),0)</f>
        <v>0.363</v>
      </c>
      <c r="AK433" s="153" t="n">
        <f aca="false">IF(AA433&lt;&gt;"",AA433,0)</f>
        <v>2.3</v>
      </c>
      <c r="AL433" s="153" t="n">
        <f aca="false">IF(AND($N433="MND",$Q433="EMBOQUE"),$M433,IF(AND($N433="VCA",$Q433="LINEAR"),$M433,IF(AND($N433="VCA",$Q433="PREDIAL"),0,0)))</f>
        <v>204.96</v>
      </c>
      <c r="AM433" s="153" t="n">
        <f aca="false">IF(AND($N433="MND",$Q433="EMBOQUE"),$M433,IF(AND($N433="VCA",$Q433="LINEAR"),$M433,IF(AND($N433="VCA",$Q433="PREDIAL"),0,0)))</f>
        <v>204.96</v>
      </c>
      <c r="AN433" s="153" t="n">
        <f aca="false">ROUND(IF(AND($N433="VCA",$M433&lt;&gt;"",$Q433="LINEAR"),$M433/100,IF(AND($N433="MND",$M433&gt;100,$Q433="EMBOQUE"),$M433/100,0)),0)</f>
        <v>2</v>
      </c>
      <c r="AO433" s="153" t="n">
        <f aca="false">IF(AND($N433="MND",$Q433="EMBOQUE"),$AN433*2*2,IF(AND($N433="VCA",$Q433="LINEAR"),$M433*2,IF(AND($N433="VCA",$Q433="PREDIAL"),0,0)))</f>
        <v>409.92</v>
      </c>
      <c r="AP433" s="153" t="n">
        <f aca="false">IFERROR($M433*$AF433*$AG433,0)</f>
        <v>181.584312</v>
      </c>
      <c r="AQ433" s="153" t="n">
        <f aca="false">IFERROR(IF(AND($N433="VCA",$AH433&gt;0),$M433*$AG433*$AH433,0),0)</f>
        <v>13.3224</v>
      </c>
      <c r="AR433" s="153" t="n">
        <f aca="false">IFERROR(IF(AND($N433="VCA",$AJ433&gt;0),($M433*$AG433*$AJ433)-$AI433,0),0)</f>
        <v>47.7214014011549</v>
      </c>
      <c r="AS433" s="153" t="n">
        <f aca="false">IFERROR(IF(AND($N433="VCA",$AP433&gt;0),$AP433-$AI433-$AQ433-$AR433,0),0)</f>
        <v>119.9016</v>
      </c>
      <c r="AT433" s="153" t="n">
        <f aca="false">IFERROR(IF($N433="VCA",INDEX(APOIO_REDES!$A:$W,MATCH($C433&amp;$I433&amp;$H433&amp;$N433&amp;$O433,APOIO_REDES!$W:$W,0),MATCH(AT$5,APOIO_REDES!$5:$5,0)),0)*$AP433,0)</f>
        <v>1.97569106077288</v>
      </c>
      <c r="AU433" s="153" t="n">
        <f aca="false">IFERROR(IF($N433="VCA",INDEX(APOIO_REDES!$A:$W,MATCH($C433&amp;$I433&amp;$H433&amp;$N433&amp;$O433,APOIO_REDES!$W:$W,0),MATCH(AU$5,APOIO_REDES!$5:$5,0)),0)*$AP433,0)</f>
        <v>1.57773337263332</v>
      </c>
      <c r="AV433" s="153" t="n">
        <f aca="false">IFERROR(IF($N433="VCA",INDEX(APOIO_REDES!$A:$W,MATCH($C433&amp;$I433&amp;$H433&amp;$N433&amp;$O433,APOIO_REDES!$W:$W,0),MATCH(AV$5,APOIO_REDES!$5:$5,0)),0)*$AP433,0)</f>
        <v>0.218345913079858</v>
      </c>
      <c r="AW433" s="153" t="n">
        <f aca="false">IFERROR(IF($N433="VCA",INDEX(APOIO_REDES!$A:$W,MATCH($C433&amp;$I433&amp;$H433&amp;$N433&amp;$O433,APOIO_REDES!$W:$W,0),MATCH(AW$5,APOIO_REDES!$5:$5,0)),0)*$AP433,0)</f>
        <v>124.640878740707</v>
      </c>
      <c r="AX433" s="153" t="n">
        <f aca="false">IFERROR(IF($N433="VCA",INDEX(APOIO_REDES!$A:$W,MATCH($C433&amp;$I433&amp;$H433&amp;$N433&amp;$O433,APOIO_REDES!$W:$W,0),MATCH(AX$5,APOIO_REDES!$5:$5,0)),0)*$AP433,0)</f>
        <v>17.2499425714501</v>
      </c>
      <c r="AY433" s="153" t="n">
        <f aca="false">IFERROR(IF($N433="VCA",INDEX(APOIO_REDES!$A:$W,MATCH($C433&amp;$I433&amp;$H433&amp;$N433&amp;$O433,APOIO_REDES!$W:$W,0),MATCH(AY$5,APOIO_REDES!$5:$5,0)),0)*$AP433,0)</f>
        <v>31.5546482202246</v>
      </c>
      <c r="AZ433" s="153" t="n">
        <f aca="false">IFERROR(IF($N433="VCA",INDEX(APOIO_REDES!$A:$W,MATCH($C433&amp;$I433&amp;$H433&amp;$N433&amp;$O433,APOIO_REDES!$W:$W,0),MATCH(AZ$5,APOIO_REDES!$5:$5,0)),0)*$AP433,0)</f>
        <v>4.36707212113249</v>
      </c>
      <c r="BA433" s="153" t="n">
        <f aca="false">IFERROR(IF(AND($N433="VCA",$Q433="LINEAR"),INDEX(APOIO_REDES!$A:$W,MATCH($C433&amp;$I433&amp;$H433&amp;$N433&amp;$O433,APOIO_REDES!$W:$W,0),MATCH(BA$5,APOIO_REDES!$5:$5,0)),IF(AND($N433="MND",$Q433="EMBOQUE"),INDEX(APOIO_REDES!$A:$W,MATCH($C433&amp;$I433&amp;$H433&amp;$N433&amp;$O433,APOIO_REDES!$W:$W,0),MATCH(BA$5,APOIO_REDES!$5:$5,0)),0))*$M433/10,0)</f>
        <v>16.5192590047518</v>
      </c>
      <c r="BB433" s="153" t="n">
        <f aca="false">IFERROR(IF($N433="VCA",INDEX(APOIO_REDES!$A:$W,MATCH($C433&amp;$I433&amp;$H433&amp;$N433&amp;$O433,APOIO_REDES!$W:$W,0),MATCH(BB$5,APOIO_REDES!$5:$5,0)),0)*($AI433+$AQ433+$AR433),0)</f>
        <v>61.0115858362892</v>
      </c>
      <c r="BC433" s="153" t="n">
        <f aca="false">IFERROR(IF($N433="VCA",INDEX(APOIO_REDES!$A:$W,MATCH($C433&amp;$I433&amp;$H433&amp;$N433&amp;$O433,APOIO_REDES!$W:$W,0),MATCH(BC$5,APOIO_REDES!$5:$5,0)),0)*($AI433+$AQ433+$AR433),0)</f>
        <v>0.671126163710818</v>
      </c>
      <c r="BD433" s="153" t="n">
        <f aca="false">IF(AND($N433="VCA",$AF433&gt;=1.25,$AF433&lt;1.5),$M433*$AF433*2,0)</f>
        <v>558.72096</v>
      </c>
      <c r="BE433" s="153" t="n">
        <f aca="false">IF(AND($N433="VCA",$AF433&gt;=1.5,$AF433&lt;3),$M433*$AF433*2,0)</f>
        <v>0</v>
      </c>
      <c r="BF433" s="153" t="n">
        <f aca="false">IF(AND($N433="VCA",$AF433&gt;=3),$M433*$AF433*2,0)</f>
        <v>0</v>
      </c>
      <c r="BG433" s="153" t="n">
        <f aca="false">($BB433+$BC433)*$AK433</f>
        <v>141.8702376</v>
      </c>
      <c r="BH433" s="153" t="n">
        <f aca="false">IF(AND($M433&lt;&gt;"",$N433="VCA",$Q433="LINEAR"),($M433*2)/100,IF(AND($M433&lt;&gt;"",$N433="MND",$Q433="EMBOQUE"),($AN433*2)/100,0))</f>
        <v>4.0992</v>
      </c>
      <c r="BI433" s="153" t="n">
        <f aca="false">IF(AND($M433&lt;&gt;"",$N433="VCA",$Q433="LINEAR"),$M433,IF(AND($M433&lt;&gt;"",$N433="MND",$Q433="EMBOQUE"),$AN433*2,0))</f>
        <v>204.96</v>
      </c>
      <c r="BJ433" s="153" t="n">
        <f aca="false">IF(AND($M433&lt;&gt;"",$N433="VCA",$Q433="LINEAR"),($M433*6.8)/100,IF(AND($M433&lt;&gt;"",$N433="MND",$Q433="EMBOQUE"),($AN433*2*6.8)/100,0))</f>
        <v>13.93728</v>
      </c>
      <c r="BK433" s="153" t="n">
        <f aca="false">IF(AND($M433&lt;&gt;"",$N433="VCA",$Q433="LINEAR"),($M433*2.5)/50,IF(AND($M433&lt;&gt;"",$N433="MND",$Q433="EMBOQUE"),($AN433*2*2.5)/50,0))</f>
        <v>10.248</v>
      </c>
      <c r="BL433" s="157" t="str">
        <f aca="false">K433&amp;J433</f>
        <v>Zona04REDES</v>
      </c>
      <c r="BM433" s="152" t="s">
        <v>2969</v>
      </c>
      <c r="BN433" s="152" t="s">
        <v>1560</v>
      </c>
      <c r="BO433" s="152" t="s">
        <v>3104</v>
      </c>
      <c r="BP433" s="152" t="s">
        <v>3176</v>
      </c>
      <c r="BQ433" s="152" t="s">
        <v>3177</v>
      </c>
      <c r="BR433" s="152" t="s">
        <v>3178</v>
      </c>
      <c r="BS433" s="152" t="n">
        <v>203586.689</v>
      </c>
      <c r="BT433" s="152" t="n">
        <v>8238303.309</v>
      </c>
      <c r="BU433" s="152" t="n">
        <v>203749.229</v>
      </c>
      <c r="BV433" s="152" t="n">
        <v>8238420.783</v>
      </c>
      <c r="BW433" s="152" t="n">
        <v>-15.9162693</v>
      </c>
      <c r="BX433" s="152" t="n">
        <v>-47.7676093</v>
      </c>
      <c r="BY433" s="152" t="s">
        <v>3176</v>
      </c>
    </row>
    <row r="434" customFormat="false" ht="13.8" hidden="false" customHeight="false" outlineLevel="0" collapsed="false">
      <c r="A434" s="149" t="n">
        <f aca="false">IF(C434&lt;&gt;"",ROW(A429),"")</f>
        <v>429</v>
      </c>
      <c r="B434" s="150" t="str">
        <f aca="false">HYPERLINK("https://www.google.com/maps/dir/-15.917302,-47.760003/-15.9162912,-47.7684186/data=!4m3!4m2!3e0!5i0")</f>
        <v>https://www.google.com/maps/dir/-15.917302,-47.760003/-15.9162912,-47.7684186/data=!4m3!4m2!3e0!5i0</v>
      </c>
      <c r="C434" s="151" t="s">
        <v>117</v>
      </c>
      <c r="D434" s="152" t="s">
        <v>112</v>
      </c>
      <c r="E434" s="152" t="s">
        <v>113</v>
      </c>
      <c r="F434" s="152" t="s">
        <v>117</v>
      </c>
      <c r="G434" s="152" t="s">
        <v>114</v>
      </c>
      <c r="H434" s="152" t="n">
        <v>125</v>
      </c>
      <c r="I434" s="152" t="s">
        <v>115</v>
      </c>
      <c r="J434" s="152" t="s">
        <v>6</v>
      </c>
      <c r="K434" s="152" t="s">
        <v>2966</v>
      </c>
      <c r="L434" s="152" t="s">
        <v>120</v>
      </c>
      <c r="M434" s="153" t="n">
        <f aca="false">10.43</f>
        <v>10.43</v>
      </c>
      <c r="N434" s="152" t="s">
        <v>1548</v>
      </c>
      <c r="O434" s="152" t="s">
        <v>1549</v>
      </c>
      <c r="P434" s="152" t="s">
        <v>1550</v>
      </c>
      <c r="Q434" s="152" t="s">
        <v>1551</v>
      </c>
      <c r="R434" s="154" t="s">
        <v>3179</v>
      </c>
      <c r="S434" s="154" t="s">
        <v>1593</v>
      </c>
      <c r="T434" s="155" t="s">
        <v>1979</v>
      </c>
      <c r="U434" s="152" t="str">
        <f aca="false">RIGHT(T434,7)</f>
        <v>006/037</v>
      </c>
      <c r="V434" s="152" t="s">
        <v>1555</v>
      </c>
      <c r="W434" s="156" t="n">
        <v>45882</v>
      </c>
      <c r="X434" s="152" t="s">
        <v>1594</v>
      </c>
      <c r="Y434" s="152" t="s">
        <v>3015</v>
      </c>
      <c r="Z434" s="152" t="s">
        <v>1557</v>
      </c>
      <c r="AA434" s="153" t="n">
        <v>2.2</v>
      </c>
      <c r="AB434" s="151" t="s">
        <v>3180</v>
      </c>
      <c r="AC434" s="151" t="s">
        <v>505</v>
      </c>
      <c r="AD434" s="151" t="str">
        <f aca="false">CONCATENATE($C434,$I434,$H434,$N434,$J434,$K434)</f>
        <v>TUBO PEADPEAD125VCAREDESZona04</v>
      </c>
      <c r="AE434" s="153" t="n">
        <f aca="false">IFERROR(INDEX(APOIO_REDES!$A:$W,MATCH($C434&amp;$I434&amp;$H434&amp;$N434&amp;$O434,APOIO_REDES!$W:$W,0),MATCH(AE$5,APOIO_REDES!$5:$5,0)),0)</f>
        <v>1.2</v>
      </c>
      <c r="AF434" s="153" t="n">
        <f aca="false">IFERROR(INDEX(APOIO_REDES!$A:$W,MATCH($C434&amp;$I434&amp;$H434&amp;$N434&amp;$O434,APOIO_REDES!$W:$W,0),MATCH(AF$5,APOIO_REDES!$5:$5,0)),0)</f>
        <v>1.425</v>
      </c>
      <c r="AG434" s="153" t="n">
        <f aca="false">IFERROR(INDEX(APOIO_REDES!$A:$W,MATCH($C434&amp;$I434&amp;$H434&amp;$N434&amp;$O434,APOIO_REDES!$W:$W,0),MATCH(AG$5,APOIO_REDES!$5:$5,0)),0)</f>
        <v>0.75</v>
      </c>
      <c r="AH434" s="153" t="n">
        <f aca="false">IFERROR(INDEX(APOIO_REDES!$A:$W,MATCH($C434&amp;$I434&amp;$H434&amp;$N434&amp;$O434,APOIO_REDES!$W:$W,0),MATCH(AH$5,APOIO_REDES!$5:$5,0)),0)</f>
        <v>0.1</v>
      </c>
      <c r="AI434" s="153" t="n">
        <f aca="false">IFERROR(IF($H434&lt;&gt;"",(((($H434/1000)/2)^2)*PI()*$M434),0),0)</f>
        <v>0.127995356941178</v>
      </c>
      <c r="AJ434" s="153" t="n">
        <f aca="false">IFERROR(IF(AND($H434&lt;&gt;"",$I434="FoFo",OR($N434="MND",$N434="VCA"),$Q434="LINEAR"),0,IF(AND($H434&lt;&gt;"",$I434="PEAD",$N434="VCA",$Q434="LINEAR"),($H434/1000)+0.3,IF(AND($H434&lt;&gt;"",$I434="PEAD",$N434="MND",$Q434="EMBOQUE"),0,IF(AND($H434&lt;&gt;"",$I434="PVC",$N434="VCA",$Q434="LINEAR"),($H434/1000)+0.2,IF(AND($H434&lt;&gt;"",$I434="PVC",$N434="MND",$Q434="EMBOQUE"),0,IF(AND($H434&lt;&gt;"",$I434="PEAD",$N434="VCA",$Q434="PREDIAL"),0,0)))))),0)</f>
        <v>0.425</v>
      </c>
      <c r="AK434" s="153" t="n">
        <f aca="false">IF(AA434&lt;&gt;"",AA434,0)</f>
        <v>2.2</v>
      </c>
      <c r="AL434" s="153" t="n">
        <f aca="false">IF(AND($N434="MND",$Q434="EMBOQUE"),$M434,IF(AND($N434="VCA",$Q434="LINEAR"),$M434,IF(AND($N434="VCA",$Q434="PREDIAL"),0,0)))</f>
        <v>10.43</v>
      </c>
      <c r="AM434" s="153" t="n">
        <f aca="false">IF(AND($N434="MND",$Q434="EMBOQUE"),$M434,IF(AND($N434="VCA",$Q434="LINEAR"),$M434,IF(AND($N434="VCA",$Q434="PREDIAL"),0,0)))</f>
        <v>10.43</v>
      </c>
      <c r="AN434" s="153" t="n">
        <f aca="false">ROUND(IF(AND($N434="VCA",$M434&lt;&gt;"",$Q434="LINEAR"),$M434/100,IF(AND($N434="MND",$M434&gt;100,$Q434="EMBOQUE"),$M434/100,0)),0)</f>
        <v>0</v>
      </c>
      <c r="AO434" s="153" t="n">
        <f aca="false">IF(AND($N434="MND",$Q434="EMBOQUE"),$AN434*2*2,IF(AND($N434="VCA",$Q434="LINEAR"),$M434*2,IF(AND($N434="VCA",$Q434="PREDIAL"),0,0)))</f>
        <v>20.86</v>
      </c>
      <c r="AP434" s="153" t="n">
        <f aca="false">IFERROR($M434*$AF434*$AG434,0)</f>
        <v>11.1470625</v>
      </c>
      <c r="AQ434" s="153" t="n">
        <f aca="false">IFERROR(IF(AND($N434="VCA",$AH434&gt;0),$M434*$AG434*$AH434,0),0)</f>
        <v>0.78225</v>
      </c>
      <c r="AR434" s="153" t="n">
        <f aca="false">IFERROR(IF(AND($N434="VCA",$AJ434&gt;0),($M434*$AG434*$AJ434)-$AI434,0),0)</f>
        <v>3.19656714305882</v>
      </c>
      <c r="AS434" s="153" t="n">
        <f aca="false">IFERROR(IF(AND($N434="VCA",$AP434&gt;0),$AP434-$AI434-$AQ434-$AR434,0),0)</f>
        <v>7.04025</v>
      </c>
      <c r="AT434" s="153" t="n">
        <f aca="false">IFERROR(IF($N434="VCA",INDEX(APOIO_REDES!$A:$W,MATCH($C434&amp;$I434&amp;$H434&amp;$N434&amp;$O434,APOIO_REDES!$W:$W,0),MATCH(AT$5,APOIO_REDES!$5:$5,0)),0)*$AP434,0)</f>
        <v>0.121283339362084</v>
      </c>
      <c r="AU434" s="153" t="n">
        <f aca="false">IFERROR(IF($N434="VCA",INDEX(APOIO_REDES!$A:$W,MATCH($C434&amp;$I434&amp;$H434&amp;$N434&amp;$O434,APOIO_REDES!$W:$W,0),MATCH(AU$5,APOIO_REDES!$5:$5,0)),0)*$AP434,0)</f>
        <v>0.0968535900451546</v>
      </c>
      <c r="AV434" s="153" t="n">
        <f aca="false">IFERROR(IF($N434="VCA",INDEX(APOIO_REDES!$A:$W,MATCH($C434&amp;$I434&amp;$H434&amp;$N434&amp;$O434,APOIO_REDES!$W:$W,0),MATCH(AV$5,APOIO_REDES!$5:$5,0)),0)*$AP434,0)</f>
        <v>0.0134037765317564</v>
      </c>
      <c r="AW434" s="153" t="n">
        <f aca="false">IFERROR(IF($N434="VCA",INDEX(APOIO_REDES!$A:$W,MATCH($C434&amp;$I434&amp;$H434&amp;$N434&amp;$O434,APOIO_REDES!$W:$W,0),MATCH(AW$5,APOIO_REDES!$5:$5,0)),0)*$AP434,0)</f>
        <v>7.65143007165498</v>
      </c>
      <c r="AX434" s="153" t="n">
        <f aca="false">IFERROR(IF($N434="VCA",INDEX(APOIO_REDES!$A:$W,MATCH($C434&amp;$I434&amp;$H434&amp;$N434&amp;$O434,APOIO_REDES!$W:$W,0),MATCH(AX$5,APOIO_REDES!$5:$5,0)),0)*$AP434,0)</f>
        <v>1.05893612640592</v>
      </c>
      <c r="AY434" s="153" t="n">
        <f aca="false">IFERROR(IF($N434="VCA",INDEX(APOIO_REDES!$A:$W,MATCH($C434&amp;$I434&amp;$H434&amp;$N434&amp;$O434,APOIO_REDES!$W:$W,0),MATCH(AY$5,APOIO_REDES!$5:$5,0)),0)*$AP434,0)</f>
        <v>1.93707062026568</v>
      </c>
      <c r="AZ434" s="153" t="n">
        <f aca="false">IFERROR(IF($N434="VCA",INDEX(APOIO_REDES!$A:$W,MATCH($C434&amp;$I434&amp;$H434&amp;$N434&amp;$O434,APOIO_REDES!$W:$W,0),MATCH(AZ$5,APOIO_REDES!$5:$5,0)),0)*$AP434,0)</f>
        <v>0.26808497573442</v>
      </c>
      <c r="BA434" s="153" t="n">
        <f aca="false">IFERROR(IF(AND($N434="VCA",$Q434="LINEAR"),INDEX(APOIO_REDES!$A:$W,MATCH($C434&amp;$I434&amp;$H434&amp;$N434&amp;$O434,APOIO_REDES!$W:$W,0),MATCH(BA$5,APOIO_REDES!$5:$5,0)),IF(AND($N434="MND",$Q434="EMBOQUE"),INDEX(APOIO_REDES!$A:$W,MATCH($C434&amp;$I434&amp;$H434&amp;$N434&amp;$O434,APOIO_REDES!$W:$W,0),MATCH(BA$5,APOIO_REDES!$5:$5,0)),0))*$M434/10,0)</f>
        <v>0.840631691157108</v>
      </c>
      <c r="BB434" s="153" t="n">
        <f aca="false">IFERROR(IF($N434="VCA",INDEX(APOIO_REDES!$A:$W,MATCH($C434&amp;$I434&amp;$H434&amp;$N434&amp;$O434,APOIO_REDES!$W:$W,0),MATCH(BB$5,APOIO_REDES!$5:$5,0)),0)*($AI434+$AQ434+$AR434),0)</f>
        <v>4.06212916444555</v>
      </c>
      <c r="BC434" s="153" t="n">
        <f aca="false">IFERROR(IF($N434="VCA",INDEX(APOIO_REDES!$A:$W,MATCH($C434&amp;$I434&amp;$H434&amp;$N434&amp;$O434,APOIO_REDES!$W:$W,0),MATCH(BC$5,APOIO_REDES!$5:$5,0)),0)*($AI434+$AQ434+$AR434),0)</f>
        <v>0.0446833355544522</v>
      </c>
      <c r="BD434" s="153" t="n">
        <f aca="false">IF(AND($N434="VCA",$AF434&gt;=1.25,$AF434&lt;1.5),$M434*$AF434*2,0)</f>
        <v>29.7255</v>
      </c>
      <c r="BE434" s="153" t="n">
        <f aca="false">IF(AND($N434="VCA",$AF434&gt;=1.5,$AF434&lt;3),$M434*$AF434*2,0)</f>
        <v>0</v>
      </c>
      <c r="BF434" s="153" t="n">
        <f aca="false">IF(AND($N434="VCA",$AF434&gt;=3),$M434*$AF434*2,0)</f>
        <v>0</v>
      </c>
      <c r="BG434" s="153" t="n">
        <f aca="false">($BB434+$BC434)*$AK434</f>
        <v>9.0349875</v>
      </c>
      <c r="BH434" s="153" t="n">
        <f aca="false">IF(AND($M434&lt;&gt;"",$N434="VCA",$Q434="LINEAR"),($M434*2)/100,IF(AND($M434&lt;&gt;"",$N434="MND",$Q434="EMBOQUE"),($AN434*2)/100,0))</f>
        <v>0.2086</v>
      </c>
      <c r="BI434" s="153" t="n">
        <f aca="false">IF(AND($M434&lt;&gt;"",$N434="VCA",$Q434="LINEAR"),$M434,IF(AND($M434&lt;&gt;"",$N434="MND",$Q434="EMBOQUE"),$AN434*2,0))</f>
        <v>10.43</v>
      </c>
      <c r="BJ434" s="153" t="n">
        <f aca="false">IF(AND($M434&lt;&gt;"",$N434="VCA",$Q434="LINEAR"),($M434*6.8)/100,IF(AND($M434&lt;&gt;"",$N434="MND",$Q434="EMBOQUE"),($AN434*2*6.8)/100,0))</f>
        <v>0.70924</v>
      </c>
      <c r="BK434" s="153" t="n">
        <f aca="false">IF(AND($M434&lt;&gt;"",$N434="VCA",$Q434="LINEAR"),($M434*2.5)/50,IF(AND($M434&lt;&gt;"",$N434="MND",$Q434="EMBOQUE"),($AN434*2*2.5)/50,0))</f>
        <v>0.5215</v>
      </c>
      <c r="BL434" s="157" t="str">
        <f aca="false">K434&amp;J434</f>
        <v>Zona04REDES</v>
      </c>
      <c r="BM434" s="152" t="s">
        <v>2969</v>
      </c>
      <c r="BN434" s="152" t="s">
        <v>1560</v>
      </c>
      <c r="BO434" s="152" t="s">
        <v>1982</v>
      </c>
      <c r="BP434" s="152" t="s">
        <v>3073</v>
      </c>
      <c r="BQ434" s="152" t="s">
        <v>3181</v>
      </c>
      <c r="BR434" s="152" t="s">
        <v>3182</v>
      </c>
      <c r="BS434" s="152" t="n">
        <v>203580.432</v>
      </c>
      <c r="BT434" s="152" t="n">
        <v>8238358.751</v>
      </c>
      <c r="BU434" s="152" t="n">
        <v>203581.541</v>
      </c>
      <c r="BV434" s="152" t="n">
        <v>8238348.38</v>
      </c>
      <c r="BW434" s="152" t="n">
        <v>-15.9163407</v>
      </c>
      <c r="BX434" s="152" t="n">
        <v>-47.7684182</v>
      </c>
      <c r="BY434" s="152" t="s">
        <v>3073</v>
      </c>
    </row>
    <row r="435" customFormat="false" ht="13.8" hidden="false" customHeight="false" outlineLevel="0" collapsed="false">
      <c r="A435" s="149" t="n">
        <f aca="false">IF(C435&lt;&gt;"",ROW(A430),"")</f>
        <v>430</v>
      </c>
      <c r="B435" s="150" t="str">
        <f aca="false">HYPERLINK("https://www.google.com/maps/dir/-15.917302,-47.760003/-15.9167036,-47.7684258/data=!4m3!4m2!3e0!5i0")</f>
        <v>https://www.google.com/maps/dir/-15.917302,-47.760003/-15.9167036,-47.7684258/data=!4m3!4m2!3e0!5i0</v>
      </c>
      <c r="C435" s="151" t="s">
        <v>117</v>
      </c>
      <c r="D435" s="152" t="s">
        <v>112</v>
      </c>
      <c r="E435" s="152" t="s">
        <v>113</v>
      </c>
      <c r="F435" s="152" t="s">
        <v>117</v>
      </c>
      <c r="G435" s="152" t="s">
        <v>782</v>
      </c>
      <c r="H435" s="152" t="n">
        <v>63</v>
      </c>
      <c r="I435" s="152" t="s">
        <v>115</v>
      </c>
      <c r="J435" s="152" t="s">
        <v>6</v>
      </c>
      <c r="K435" s="152" t="s">
        <v>2966</v>
      </c>
      <c r="L435" s="152" t="s">
        <v>120</v>
      </c>
      <c r="M435" s="153" t="n">
        <f aca="false">125.08</f>
        <v>125.08</v>
      </c>
      <c r="N435" s="152" t="s">
        <v>1548</v>
      </c>
      <c r="O435" s="152" t="s">
        <v>1549</v>
      </c>
      <c r="P435" s="152" t="s">
        <v>1550</v>
      </c>
      <c r="Q435" s="152" t="s">
        <v>1551</v>
      </c>
      <c r="R435" s="154" t="s">
        <v>3183</v>
      </c>
      <c r="S435" s="154" t="s">
        <v>1553</v>
      </c>
      <c r="T435" s="155" t="s">
        <v>1979</v>
      </c>
      <c r="U435" s="152" t="str">
        <f aca="false">RIGHT(T435,7)</f>
        <v>006/037</v>
      </c>
      <c r="V435" s="152" t="s">
        <v>1555</v>
      </c>
      <c r="W435" s="156" t="n">
        <v>45882</v>
      </c>
      <c r="X435" s="152" t="s">
        <v>1594</v>
      </c>
      <c r="Y435" s="152" t="s">
        <v>3184</v>
      </c>
      <c r="Z435" s="152" t="s">
        <v>1557</v>
      </c>
      <c r="AA435" s="153" t="n">
        <v>2.3</v>
      </c>
      <c r="AB435" s="151" t="s">
        <v>3185</v>
      </c>
      <c r="AC435" s="151" t="s">
        <v>186</v>
      </c>
      <c r="AD435" s="151" t="str">
        <f aca="false">CONCATENATE($C435,$I435,$H435,$N435,$J435,$K435)</f>
        <v>TUBO PEADPEAD63VCAREDESZona04</v>
      </c>
      <c r="AE435" s="153" t="n">
        <f aca="false">IFERROR(INDEX(APOIO_REDES!$A:$W,MATCH($C435&amp;$I435&amp;$H435&amp;$N435&amp;$O435,APOIO_REDES!$W:$W,0),MATCH(AE$5,APOIO_REDES!$5:$5,0)),0)</f>
        <v>1.2</v>
      </c>
      <c r="AF435" s="153" t="n">
        <f aca="false">IFERROR(INDEX(APOIO_REDES!$A:$W,MATCH($C435&amp;$I435&amp;$H435&amp;$N435&amp;$O435,APOIO_REDES!$W:$W,0),MATCH(AF$5,APOIO_REDES!$5:$5,0)),0)</f>
        <v>1.363</v>
      </c>
      <c r="AG435" s="153" t="n">
        <f aca="false">IFERROR(INDEX(APOIO_REDES!$A:$W,MATCH($C435&amp;$I435&amp;$H435&amp;$N435&amp;$O435,APOIO_REDES!$W:$W,0),MATCH(AG$5,APOIO_REDES!$5:$5,0)),0)</f>
        <v>0.65</v>
      </c>
      <c r="AH435" s="153" t="n">
        <f aca="false">IFERROR(INDEX(APOIO_REDES!$A:$W,MATCH($C435&amp;$I435&amp;$H435&amp;$N435&amp;$O435,APOIO_REDES!$W:$W,0),MATCH(AH$5,APOIO_REDES!$5:$5,0)),0)</f>
        <v>0.1</v>
      </c>
      <c r="AI435" s="153" t="n">
        <f aca="false">IFERROR(IF($H435&lt;&gt;"",(((($H435/1000)/2)^2)*PI()*$M435),0),0)</f>
        <v>0.389905043440401</v>
      </c>
      <c r="AJ435" s="153" t="n">
        <f aca="false">IFERROR(IF(AND($H435&lt;&gt;"",$I435="FoFo",OR($N435="MND",$N435="VCA"),$Q435="LINEAR"),0,IF(AND($H435&lt;&gt;"",$I435="PEAD",$N435="VCA",$Q435="LINEAR"),($H435/1000)+0.3,IF(AND($H435&lt;&gt;"",$I435="PEAD",$N435="MND",$Q435="EMBOQUE"),0,IF(AND($H435&lt;&gt;"",$I435="PVC",$N435="VCA",$Q435="LINEAR"),($H435/1000)+0.2,IF(AND($H435&lt;&gt;"",$I435="PVC",$N435="MND",$Q435="EMBOQUE"),0,IF(AND($H435&lt;&gt;"",$I435="PEAD",$N435="VCA",$Q435="PREDIAL"),0,0)))))),0)</f>
        <v>0.363</v>
      </c>
      <c r="AK435" s="153" t="n">
        <f aca="false">IF(AA435&lt;&gt;"",AA435,0)</f>
        <v>2.3</v>
      </c>
      <c r="AL435" s="153" t="n">
        <f aca="false">IF(AND($N435="MND",$Q435="EMBOQUE"),$M435,IF(AND($N435="VCA",$Q435="LINEAR"),$M435,IF(AND($N435="VCA",$Q435="PREDIAL"),0,0)))</f>
        <v>125.08</v>
      </c>
      <c r="AM435" s="153" t="n">
        <f aca="false">IF(AND($N435="MND",$Q435="EMBOQUE"),$M435,IF(AND($N435="VCA",$Q435="LINEAR"),$M435,IF(AND($N435="VCA",$Q435="PREDIAL"),0,0)))</f>
        <v>125.08</v>
      </c>
      <c r="AN435" s="153" t="n">
        <f aca="false">ROUND(IF(AND($N435="VCA",$M435&lt;&gt;"",$Q435="LINEAR"),$M435/100,IF(AND($N435="MND",$M435&gt;100,$Q435="EMBOQUE"),$M435/100,0)),0)</f>
        <v>1</v>
      </c>
      <c r="AO435" s="153" t="n">
        <f aca="false">IF(AND($N435="MND",$Q435="EMBOQUE"),$AN435*2*2,IF(AND($N435="VCA",$Q435="LINEAR"),$M435*2,IF(AND($N435="VCA",$Q435="PREDIAL"),0,0)))</f>
        <v>250.16</v>
      </c>
      <c r="AP435" s="153" t="n">
        <f aca="false">IFERROR($M435*$AF435*$AG435,0)</f>
        <v>110.814626</v>
      </c>
      <c r="AQ435" s="153" t="n">
        <f aca="false">IFERROR(IF(AND($N435="VCA",$AH435&gt;0),$M435*$AG435*$AH435,0),0)</f>
        <v>8.1302</v>
      </c>
      <c r="AR435" s="153" t="n">
        <f aca="false">IFERROR(IF(AND($N435="VCA",$AJ435&gt;0),($M435*$AG435*$AJ435)-$AI435,0),0)</f>
        <v>29.1227209565596</v>
      </c>
      <c r="AS435" s="153" t="n">
        <f aca="false">IFERROR(IF(AND($N435="VCA",$AP435&gt;0),$AP435-$AI435-$AQ435-$AR435,0),0)</f>
        <v>73.1718</v>
      </c>
      <c r="AT435" s="153" t="n">
        <f aca="false">IFERROR(IF($N435="VCA",INDEX(APOIO_REDES!$A:$W,MATCH($C435&amp;$I435&amp;$H435&amp;$N435&amp;$O435,APOIO_REDES!$W:$W,0),MATCH(AT$5,APOIO_REDES!$5:$5,0)),0)*$AP435,0)</f>
        <v>1.20569593033505</v>
      </c>
      <c r="AU435" s="153" t="n">
        <f aca="false">IFERROR(IF($N435="VCA",INDEX(APOIO_REDES!$A:$W,MATCH($C435&amp;$I435&amp;$H435&amp;$N435&amp;$O435,APOIO_REDES!$W:$W,0),MATCH(AU$5,APOIO_REDES!$5:$5,0)),0)*$AP435,0)</f>
        <v>0.962836115578533</v>
      </c>
      <c r="AV435" s="153" t="n">
        <f aca="false">IFERROR(IF($N435="VCA",INDEX(APOIO_REDES!$A:$W,MATCH($C435&amp;$I435&amp;$H435&amp;$N435&amp;$O435,APOIO_REDES!$W:$W,0),MATCH(AV$5,APOIO_REDES!$5:$5,0)),0)*$AP435,0)</f>
        <v>0.133248959836205</v>
      </c>
      <c r="AW435" s="153" t="n">
        <f aca="false">IFERROR(IF($N435="VCA",INDEX(APOIO_REDES!$A:$W,MATCH($C435&amp;$I435&amp;$H435&amp;$N435&amp;$O435,APOIO_REDES!$W:$W,0),MATCH(AW$5,APOIO_REDES!$5:$5,0)),0)*$AP435,0)</f>
        <v>76.0640179200215</v>
      </c>
      <c r="AX435" s="153" t="n">
        <f aca="false">IFERROR(IF($N435="VCA",INDEX(APOIO_REDES!$A:$W,MATCH($C435&amp;$I435&amp;$H435&amp;$N435&amp;$O435,APOIO_REDES!$W:$W,0),MATCH(AX$5,APOIO_REDES!$5:$5,0)),0)*$AP435,0)</f>
        <v>10.5270434076746</v>
      </c>
      <c r="AY435" s="153" t="n">
        <f aca="false">IFERROR(IF($N435="VCA",INDEX(APOIO_REDES!$A:$W,MATCH($C435&amp;$I435&amp;$H435&amp;$N435&amp;$O435,APOIO_REDES!$W:$W,0),MATCH(AY$5,APOIO_REDES!$5:$5,0)),0)*$AP435,0)</f>
        <v>19.2567105746765</v>
      </c>
      <c r="AZ435" s="153" t="n">
        <f aca="false">IFERROR(IF($N435="VCA",INDEX(APOIO_REDES!$A:$W,MATCH($C435&amp;$I435&amp;$H435&amp;$N435&amp;$O435,APOIO_REDES!$W:$W,0),MATCH(AZ$5,APOIO_REDES!$5:$5,0)),0)*$AP435,0)</f>
        <v>2.66507309187769</v>
      </c>
      <c r="BA435" s="153" t="n">
        <f aca="false">IFERROR(IF(AND($N435="VCA",$Q435="LINEAR"),INDEX(APOIO_REDES!$A:$W,MATCH($C435&amp;$I435&amp;$H435&amp;$N435&amp;$O435,APOIO_REDES!$W:$W,0),MATCH(BA$5,APOIO_REDES!$5:$5,0)),IF(AND($N435="MND",$Q435="EMBOQUE"),INDEX(APOIO_REDES!$A:$W,MATCH($C435&amp;$I435&amp;$H435&amp;$N435&amp;$O435,APOIO_REDES!$W:$W,0),MATCH(BA$5,APOIO_REDES!$5:$5,0)),0))*$M435/10,0)</f>
        <v>10.0811324956789</v>
      </c>
      <c r="BB435" s="153" t="n">
        <f aca="false">IFERROR(IF($N435="VCA",INDEX(APOIO_REDES!$A:$W,MATCH($C435&amp;$I435&amp;$H435&amp;$N435&amp;$O435,APOIO_REDES!$W:$W,0),MATCH(BB$5,APOIO_REDES!$5:$5,0)),0)*($AI435+$AQ435+$AR435),0)</f>
        <v>37.2332609114122</v>
      </c>
      <c r="BC435" s="153" t="n">
        <f aca="false">IFERROR(IF($N435="VCA",INDEX(APOIO_REDES!$A:$W,MATCH($C435&amp;$I435&amp;$H435&amp;$N435&amp;$O435,APOIO_REDES!$W:$W,0),MATCH(BC$5,APOIO_REDES!$5:$5,0)),0)*($AI435+$AQ435+$AR435),0)</f>
        <v>0.409565088587769</v>
      </c>
      <c r="BD435" s="153" t="n">
        <f aca="false">IF(AND($N435="VCA",$AF435&gt;=1.25,$AF435&lt;1.5),$M435*$AF435*2,0)</f>
        <v>340.96808</v>
      </c>
      <c r="BE435" s="153" t="n">
        <f aca="false">IF(AND($N435="VCA",$AF435&gt;=1.5,$AF435&lt;3),$M435*$AF435*2,0)</f>
        <v>0</v>
      </c>
      <c r="BF435" s="153" t="n">
        <f aca="false">IF(AND($N435="VCA",$AF435&gt;=3),$M435*$AF435*2,0)</f>
        <v>0</v>
      </c>
      <c r="BG435" s="153" t="n">
        <f aca="false">($BB435+$BC435)*$AK435</f>
        <v>86.5784998</v>
      </c>
      <c r="BH435" s="153" t="n">
        <f aca="false">IF(AND($M435&lt;&gt;"",$N435="VCA",$Q435="LINEAR"),($M435*2)/100,IF(AND($M435&lt;&gt;"",$N435="MND",$Q435="EMBOQUE"),($AN435*2)/100,0))</f>
        <v>2.5016</v>
      </c>
      <c r="BI435" s="153" t="n">
        <f aca="false">IF(AND($M435&lt;&gt;"",$N435="VCA",$Q435="LINEAR"),$M435,IF(AND($M435&lt;&gt;"",$N435="MND",$Q435="EMBOQUE"),$AN435*2,0))</f>
        <v>125.08</v>
      </c>
      <c r="BJ435" s="153" t="n">
        <f aca="false">IF(AND($M435&lt;&gt;"",$N435="VCA",$Q435="LINEAR"),($M435*6.8)/100,IF(AND($M435&lt;&gt;"",$N435="MND",$Q435="EMBOQUE"),($AN435*2*6.8)/100,0))</f>
        <v>8.50544</v>
      </c>
      <c r="BK435" s="153" t="n">
        <f aca="false">IF(AND($M435&lt;&gt;"",$N435="VCA",$Q435="LINEAR"),($M435*2.5)/50,IF(AND($M435&lt;&gt;"",$N435="MND",$Q435="EMBOQUE"),($AN435*2*2.5)/50,0))</f>
        <v>6.254</v>
      </c>
      <c r="BL435" s="157" t="str">
        <f aca="false">K435&amp;J435</f>
        <v>Zona04REDES</v>
      </c>
      <c r="BM435" s="152" t="s">
        <v>2969</v>
      </c>
      <c r="BN435" s="152" t="s">
        <v>1560</v>
      </c>
      <c r="BO435" s="152" t="s">
        <v>1982</v>
      </c>
      <c r="BP435" s="152" t="s">
        <v>3186</v>
      </c>
      <c r="BQ435" s="152" t="s">
        <v>3187</v>
      </c>
      <c r="BR435" s="152" t="s">
        <v>3188</v>
      </c>
      <c r="BS435" s="152" t="n">
        <v>203580.708</v>
      </c>
      <c r="BT435" s="152" t="n">
        <v>8238313.377</v>
      </c>
      <c r="BU435" s="152" t="n">
        <v>203507.285</v>
      </c>
      <c r="BV435" s="152" t="n">
        <v>8238311.543</v>
      </c>
      <c r="BW435" s="152" t="n">
        <v>-15.9163916</v>
      </c>
      <c r="BX435" s="152" t="n">
        <v>-47.7686303</v>
      </c>
      <c r="BY435" s="152" t="s">
        <v>3186</v>
      </c>
    </row>
    <row r="436" customFormat="false" ht="13.8" hidden="false" customHeight="false" outlineLevel="0" collapsed="false">
      <c r="A436" s="149" t="n">
        <f aca="false">IF(C436&lt;&gt;"",ROW(A431),"")</f>
        <v>431</v>
      </c>
      <c r="B436" s="150" t="str">
        <f aca="false">HYPERLINK("https://www.google.com/maps/dir/-15.917302,-47.760003/-15.9165264,-47.7671754/data=!4m3!4m2!3e0!5i0")</f>
        <v>https://www.google.com/maps/dir/-15.917302,-47.760003/-15.9165264,-47.7671754/data=!4m3!4m2!3e0!5i0</v>
      </c>
      <c r="C436" s="151" t="s">
        <v>117</v>
      </c>
      <c r="D436" s="152" t="s">
        <v>112</v>
      </c>
      <c r="E436" s="152" t="s">
        <v>113</v>
      </c>
      <c r="F436" s="152" t="s">
        <v>117</v>
      </c>
      <c r="G436" s="152" t="s">
        <v>782</v>
      </c>
      <c r="H436" s="152" t="n">
        <v>63</v>
      </c>
      <c r="I436" s="152" t="s">
        <v>115</v>
      </c>
      <c r="J436" s="152" t="s">
        <v>6</v>
      </c>
      <c r="K436" s="152" t="s">
        <v>2966</v>
      </c>
      <c r="L436" s="152" t="s">
        <v>120</v>
      </c>
      <c r="M436" s="153" t="n">
        <f aca="false">40.23+3.96</f>
        <v>44.19</v>
      </c>
      <c r="N436" s="152" t="s">
        <v>1548</v>
      </c>
      <c r="O436" s="152" t="s">
        <v>1549</v>
      </c>
      <c r="P436" s="152" t="s">
        <v>1550</v>
      </c>
      <c r="Q436" s="152" t="s">
        <v>1551</v>
      </c>
      <c r="R436" s="154" t="s">
        <v>3189</v>
      </c>
      <c r="S436" s="154" t="s">
        <v>1553</v>
      </c>
      <c r="T436" s="155" t="s">
        <v>1979</v>
      </c>
      <c r="U436" s="152" t="str">
        <f aca="false">RIGHT(T436,7)</f>
        <v>006/037</v>
      </c>
      <c r="V436" s="152" t="s">
        <v>1555</v>
      </c>
      <c r="W436" s="156" t="n">
        <v>45882</v>
      </c>
      <c r="X436" s="152" t="s">
        <v>1594</v>
      </c>
      <c r="Y436" s="152" t="s">
        <v>3015</v>
      </c>
      <c r="Z436" s="152" t="s">
        <v>1557</v>
      </c>
      <c r="AA436" s="153" t="n">
        <v>2.5</v>
      </c>
      <c r="AB436" s="151" t="s">
        <v>3190</v>
      </c>
      <c r="AC436" s="151" t="s">
        <v>186</v>
      </c>
      <c r="AD436" s="151" t="str">
        <f aca="false">CONCATENATE($C436,$I436,$H436,$N436,$J436,$K436)</f>
        <v>TUBO PEADPEAD63VCAREDESZona04</v>
      </c>
      <c r="AE436" s="153" t="n">
        <f aca="false">IFERROR(INDEX(APOIO_REDES!$A:$W,MATCH($C436&amp;$I436&amp;$H436&amp;$N436&amp;$O436,APOIO_REDES!$W:$W,0),MATCH(AE$5,APOIO_REDES!$5:$5,0)),0)</f>
        <v>1.2</v>
      </c>
      <c r="AF436" s="153" t="n">
        <f aca="false">IFERROR(INDEX(APOIO_REDES!$A:$W,MATCH($C436&amp;$I436&amp;$H436&amp;$N436&amp;$O436,APOIO_REDES!$W:$W,0),MATCH(AF$5,APOIO_REDES!$5:$5,0)),0)</f>
        <v>1.363</v>
      </c>
      <c r="AG436" s="153" t="n">
        <f aca="false">IFERROR(INDEX(APOIO_REDES!$A:$W,MATCH($C436&amp;$I436&amp;$H436&amp;$N436&amp;$O436,APOIO_REDES!$W:$W,0),MATCH(AG$5,APOIO_REDES!$5:$5,0)),0)</f>
        <v>0.65</v>
      </c>
      <c r="AH436" s="153" t="n">
        <f aca="false">IFERROR(INDEX(APOIO_REDES!$A:$W,MATCH($C436&amp;$I436&amp;$H436&amp;$N436&amp;$O436,APOIO_REDES!$W:$W,0),MATCH(AH$5,APOIO_REDES!$5:$5,0)),0)</f>
        <v>0.1</v>
      </c>
      <c r="AI436" s="153" t="n">
        <f aca="false">IFERROR(IF($H436&lt;&gt;"",(((($H436/1000)/2)^2)*PI()*$M436),0),0)</f>
        <v>0.137751070272076</v>
      </c>
      <c r="AJ436" s="153" t="n">
        <f aca="false">IFERROR(IF(AND($H436&lt;&gt;"",$I436="FoFo",OR($N436="MND",$N436="VCA"),$Q436="LINEAR"),0,IF(AND($H436&lt;&gt;"",$I436="PEAD",$N436="VCA",$Q436="LINEAR"),($H436/1000)+0.3,IF(AND($H436&lt;&gt;"",$I436="PEAD",$N436="MND",$Q436="EMBOQUE"),0,IF(AND($H436&lt;&gt;"",$I436="PVC",$N436="VCA",$Q436="LINEAR"),($H436/1000)+0.2,IF(AND($H436&lt;&gt;"",$I436="PVC",$N436="MND",$Q436="EMBOQUE"),0,IF(AND($H436&lt;&gt;"",$I436="PEAD",$N436="VCA",$Q436="PREDIAL"),0,0)))))),0)</f>
        <v>0.363</v>
      </c>
      <c r="AK436" s="153" t="n">
        <f aca="false">IF(AA436&lt;&gt;"",AA436,0)</f>
        <v>2.5</v>
      </c>
      <c r="AL436" s="153" t="n">
        <f aca="false">IF(AND($N436="MND",$Q436="EMBOQUE"),$M436,IF(AND($N436="VCA",$Q436="LINEAR"),$M436,IF(AND($N436="VCA",$Q436="PREDIAL"),0,0)))</f>
        <v>44.19</v>
      </c>
      <c r="AM436" s="153" t="n">
        <f aca="false">IF(AND($N436="MND",$Q436="EMBOQUE"),$M436,IF(AND($N436="VCA",$Q436="LINEAR"),$M436,IF(AND($N436="VCA",$Q436="PREDIAL"),0,0)))</f>
        <v>44.19</v>
      </c>
      <c r="AN436" s="153" t="n">
        <f aca="false">ROUND(IF(AND($N436="VCA",$M436&lt;&gt;"",$Q436="LINEAR"),$M436/100,IF(AND($N436="MND",$M436&gt;100,$Q436="EMBOQUE"),$M436/100,0)),0)</f>
        <v>0</v>
      </c>
      <c r="AO436" s="153" t="n">
        <f aca="false">IF(AND($N436="MND",$Q436="EMBOQUE"),$AN436*2*2,IF(AND($N436="VCA",$Q436="LINEAR"),$M436*2,IF(AND($N436="VCA",$Q436="PREDIAL"),0,0)))</f>
        <v>88.38</v>
      </c>
      <c r="AP436" s="153" t="n">
        <f aca="false">IFERROR($M436*$AF436*$AG436,0)</f>
        <v>39.1501305</v>
      </c>
      <c r="AQ436" s="153" t="n">
        <f aca="false">IFERROR(IF(AND($N436="VCA",$AH436&gt;0),$M436*$AG436*$AH436,0),0)</f>
        <v>2.87235</v>
      </c>
      <c r="AR436" s="153" t="n">
        <f aca="false">IFERROR(IF(AND($N436="VCA",$AJ436&gt;0),($M436*$AG436*$AJ436)-$AI436,0),0)</f>
        <v>10.2888794297279</v>
      </c>
      <c r="AS436" s="153" t="n">
        <f aca="false">IFERROR(IF(AND($N436="VCA",$AP436&gt;0),$AP436-$AI436-$AQ436-$AR436,0),0)</f>
        <v>25.85115</v>
      </c>
      <c r="AT436" s="153" t="n">
        <f aca="false">IFERROR(IF($N436="VCA",INDEX(APOIO_REDES!$A:$W,MATCH($C436&amp;$I436&amp;$H436&amp;$N436&amp;$O436,APOIO_REDES!$W:$W,0),MATCH(AT$5,APOIO_REDES!$5:$5,0)),0)*$AP436,0)</f>
        <v>0.425965007687128</v>
      </c>
      <c r="AU436" s="153" t="n">
        <f aca="false">IFERROR(IF($N436="VCA",INDEX(APOIO_REDES!$A:$W,MATCH($C436&amp;$I436&amp;$H436&amp;$N436&amp;$O436,APOIO_REDES!$W:$W,0),MATCH(AU$5,APOIO_REDES!$5:$5,0)),0)*$AP436,0)</f>
        <v>0.340164118543455</v>
      </c>
      <c r="AV436" s="153" t="n">
        <f aca="false">IFERROR(IF($N436="VCA",INDEX(APOIO_REDES!$A:$W,MATCH($C436&amp;$I436&amp;$H436&amp;$N436&amp;$O436,APOIO_REDES!$W:$W,0),MATCH(AV$5,APOIO_REDES!$5:$5,0)),0)*$AP436,0)</f>
        <v>0.0470760436133827</v>
      </c>
      <c r="AW436" s="153" t="n">
        <f aca="false">IFERROR(IF($N436="VCA",INDEX(APOIO_REDES!$A:$W,MATCH($C436&amp;$I436&amp;$H436&amp;$N436&amp;$O436,APOIO_REDES!$W:$W,0),MATCH(AW$5,APOIO_REDES!$5:$5,0)),0)*$AP436,0)</f>
        <v>26.8729529252139</v>
      </c>
      <c r="AX436" s="153" t="n">
        <f aca="false">IFERROR(IF($N436="VCA",INDEX(APOIO_REDES!$A:$W,MATCH($C436&amp;$I436&amp;$H436&amp;$N436&amp;$O436,APOIO_REDES!$W:$W,0),MATCH(AX$5,APOIO_REDES!$5:$5,0)),0)*$AP436,0)</f>
        <v>3.7191401357942</v>
      </c>
      <c r="AY436" s="153" t="n">
        <f aca="false">IFERROR(IF($N436="VCA",INDEX(APOIO_REDES!$A:$W,MATCH($C436&amp;$I436&amp;$H436&amp;$N436&amp;$O436,APOIO_REDES!$W:$W,0),MATCH(AY$5,APOIO_REDES!$5:$5,0)),0)*$AP436,0)</f>
        <v>6.80327822429607</v>
      </c>
      <c r="AZ436" s="153" t="n">
        <f aca="false">IFERROR(IF($N436="VCA",INDEX(APOIO_REDES!$A:$W,MATCH($C436&amp;$I436&amp;$H436&amp;$N436&amp;$O436,APOIO_REDES!$W:$W,0),MATCH(AZ$5,APOIO_REDES!$5:$5,0)),0)*$AP436,0)</f>
        <v>0.941554044851896</v>
      </c>
      <c r="BA436" s="153" t="n">
        <f aca="false">IFERROR(IF(AND($N436="VCA",$Q436="LINEAR"),INDEX(APOIO_REDES!$A:$W,MATCH($C436&amp;$I436&amp;$H436&amp;$N436&amp;$O436,APOIO_REDES!$W:$W,0),MATCH(BA$5,APOIO_REDES!$5:$5,0)),IF(AND($N436="MND",$Q436="EMBOQUE"),INDEX(APOIO_REDES!$A:$W,MATCH($C436&amp;$I436&amp;$H436&amp;$N436&amp;$O436,APOIO_REDES!$W:$W,0),MATCH(BA$5,APOIO_REDES!$5:$5,0)),0))*$M436/10,0)</f>
        <v>3.56160253425049</v>
      </c>
      <c r="BB436" s="153" t="n">
        <f aca="false">IFERROR(IF($N436="VCA",INDEX(APOIO_REDES!$A:$W,MATCH($C436&amp;$I436&amp;$H436&amp;$N436&amp;$O436,APOIO_REDES!$W:$W,0),MATCH(BB$5,APOIO_REDES!$5:$5,0)),0)*($AI436+$AQ436+$AR436),0)</f>
        <v>13.1542836558627</v>
      </c>
      <c r="BC436" s="153" t="n">
        <f aca="false">IFERROR(IF($N436="VCA",INDEX(APOIO_REDES!$A:$W,MATCH($C436&amp;$I436&amp;$H436&amp;$N436&amp;$O436,APOIO_REDES!$W:$W,0),MATCH(BC$5,APOIO_REDES!$5:$5,0)),0)*($AI436+$AQ436+$AR436),0)</f>
        <v>0.1446968441373</v>
      </c>
      <c r="BD436" s="153" t="n">
        <f aca="false">IF(AND($N436="VCA",$AF436&gt;=1.25,$AF436&lt;1.5),$M436*$AF436*2,0)</f>
        <v>120.46194</v>
      </c>
      <c r="BE436" s="153" t="n">
        <f aca="false">IF(AND($N436="VCA",$AF436&gt;=1.5,$AF436&lt;3),$M436*$AF436*2,0)</f>
        <v>0</v>
      </c>
      <c r="BF436" s="153" t="n">
        <f aca="false">IF(AND($N436="VCA",$AF436&gt;=3),$M436*$AF436*2,0)</f>
        <v>0</v>
      </c>
      <c r="BG436" s="153" t="n">
        <f aca="false">($BB436+$BC436)*$AK436</f>
        <v>33.24745125</v>
      </c>
      <c r="BH436" s="153" t="n">
        <f aca="false">IF(AND($M436&lt;&gt;"",$N436="VCA",$Q436="LINEAR"),($M436*2)/100,IF(AND($M436&lt;&gt;"",$N436="MND",$Q436="EMBOQUE"),($AN436*2)/100,0))</f>
        <v>0.8838</v>
      </c>
      <c r="BI436" s="153" t="n">
        <f aca="false">IF(AND($M436&lt;&gt;"",$N436="VCA",$Q436="LINEAR"),$M436,IF(AND($M436&lt;&gt;"",$N436="MND",$Q436="EMBOQUE"),$AN436*2,0))</f>
        <v>44.19</v>
      </c>
      <c r="BJ436" s="153" t="n">
        <f aca="false">IF(AND($M436&lt;&gt;"",$N436="VCA",$Q436="LINEAR"),($M436*6.8)/100,IF(AND($M436&lt;&gt;"",$N436="MND",$Q436="EMBOQUE"),($AN436*2*6.8)/100,0))</f>
        <v>3.00492</v>
      </c>
      <c r="BK436" s="153" t="n">
        <f aca="false">IF(AND($M436&lt;&gt;"",$N436="VCA",$Q436="LINEAR"),($M436*2.5)/50,IF(AND($M436&lt;&gt;"",$N436="MND",$Q436="EMBOQUE"),($AN436*2*2.5)/50,0))</f>
        <v>2.2095</v>
      </c>
      <c r="BL436" s="157" t="str">
        <f aca="false">K436&amp;J436</f>
        <v>Zona04REDES</v>
      </c>
      <c r="BM436" s="152" t="s">
        <v>2969</v>
      </c>
      <c r="BN436" s="152" t="s">
        <v>1560</v>
      </c>
      <c r="BO436" s="152" t="s">
        <v>1982</v>
      </c>
      <c r="BP436" s="152" t="s">
        <v>3191</v>
      </c>
      <c r="BQ436" s="152" t="s">
        <v>3192</v>
      </c>
      <c r="BR436" s="152" t="s">
        <v>3193</v>
      </c>
      <c r="BS436" s="152" t="n">
        <v>203714.424</v>
      </c>
      <c r="BT436" s="152" t="n">
        <v>8238334.77</v>
      </c>
      <c r="BU436" s="152" t="n">
        <v>203745.492</v>
      </c>
      <c r="BV436" s="152" t="n">
        <v>8238360.246</v>
      </c>
      <c r="BW436" s="152" t="n">
        <v>-15.9164156</v>
      </c>
      <c r="BX436" s="152" t="n">
        <v>-47.7670272</v>
      </c>
      <c r="BY436" s="152" t="s">
        <v>3191</v>
      </c>
    </row>
    <row r="437" customFormat="false" ht="13.8" hidden="false" customHeight="false" outlineLevel="0" collapsed="false">
      <c r="A437" s="149" t="n">
        <f aca="false">IF(C437&lt;&gt;"",ROW(A432),"")</f>
        <v>432</v>
      </c>
      <c r="B437" s="150" t="str">
        <f aca="false">HYPERLINK("https://www.google.com/maps/dir/-15.917302,-47.760003/-15.9162613,-47.7700424/data=!4m3!4m2!3e0!5i0")</f>
        <v>https://www.google.com/maps/dir/-15.917302,-47.760003/-15.9162613,-47.7700424/data=!4m3!4m2!3e0!5i0</v>
      </c>
      <c r="C437" s="151" t="s">
        <v>117</v>
      </c>
      <c r="D437" s="152" t="s">
        <v>112</v>
      </c>
      <c r="E437" s="152" t="s">
        <v>113</v>
      </c>
      <c r="F437" s="152" t="s">
        <v>117</v>
      </c>
      <c r="G437" s="152" t="s">
        <v>114</v>
      </c>
      <c r="H437" s="152" t="n">
        <v>160</v>
      </c>
      <c r="I437" s="152" t="s">
        <v>115</v>
      </c>
      <c r="J437" s="152" t="s">
        <v>6</v>
      </c>
      <c r="K437" s="152" t="s">
        <v>2966</v>
      </c>
      <c r="L437" s="152" t="s">
        <v>120</v>
      </c>
      <c r="M437" s="153" t="n">
        <f aca="false">56.69</f>
        <v>56.69</v>
      </c>
      <c r="N437" s="152" t="s">
        <v>1548</v>
      </c>
      <c r="O437" s="152" t="s">
        <v>1549</v>
      </c>
      <c r="P437" s="152" t="s">
        <v>1550</v>
      </c>
      <c r="Q437" s="152" t="s">
        <v>1551</v>
      </c>
      <c r="R437" s="154" t="s">
        <v>3194</v>
      </c>
      <c r="S437" s="154" t="s">
        <v>1593</v>
      </c>
      <c r="T437" s="155" t="s">
        <v>1979</v>
      </c>
      <c r="U437" s="152" t="str">
        <f aca="false">RIGHT(T437,7)</f>
        <v>006/037</v>
      </c>
      <c r="V437" s="152" t="s">
        <v>1555</v>
      </c>
      <c r="W437" s="156" t="n">
        <v>45882</v>
      </c>
      <c r="X437" s="152" t="s">
        <v>1594</v>
      </c>
      <c r="Y437" s="152" t="s">
        <v>3076</v>
      </c>
      <c r="Z437" s="152" t="s">
        <v>1557</v>
      </c>
      <c r="AA437" s="153" t="n">
        <v>2.2</v>
      </c>
      <c r="AB437" s="151" t="s">
        <v>3195</v>
      </c>
      <c r="AC437" s="151" t="s">
        <v>505</v>
      </c>
      <c r="AD437" s="151" t="str">
        <f aca="false">CONCATENATE($C437,$I437,$H437,$N437,$J437,$K437)</f>
        <v>TUBO PEADPEAD160VCAREDESZona04</v>
      </c>
      <c r="AE437" s="153" t="n">
        <f aca="false">IFERROR(INDEX(APOIO_REDES!$A:$W,MATCH($C437&amp;$I437&amp;$H437&amp;$N437&amp;$O437,APOIO_REDES!$W:$W,0),MATCH(AE$5,APOIO_REDES!$5:$5,0)),0)</f>
        <v>1.2</v>
      </c>
      <c r="AF437" s="153" t="n">
        <f aca="false">IFERROR(INDEX(APOIO_REDES!$A:$W,MATCH($C437&amp;$I437&amp;$H437&amp;$N437&amp;$O437,APOIO_REDES!$W:$W,0),MATCH(AF$5,APOIO_REDES!$5:$5,0)),0)</f>
        <v>1.46</v>
      </c>
      <c r="AG437" s="153" t="n">
        <f aca="false">IFERROR(INDEX(APOIO_REDES!$A:$W,MATCH($C437&amp;$I437&amp;$H437&amp;$N437&amp;$O437,APOIO_REDES!$W:$W,0),MATCH(AG$5,APOIO_REDES!$5:$5,0)),0)</f>
        <v>0.75</v>
      </c>
      <c r="AH437" s="153" t="n">
        <f aca="false">IFERROR(INDEX(APOIO_REDES!$A:$W,MATCH($C437&amp;$I437&amp;$H437&amp;$N437&amp;$O437,APOIO_REDES!$W:$W,0),MATCH(AH$5,APOIO_REDES!$5:$5,0)),0)</f>
        <v>0.1</v>
      </c>
      <c r="AI437" s="153" t="n">
        <f aca="false">IFERROR(IF($H437&lt;&gt;"",(((($H437/1000)/2)^2)*PI()*$M437),0),0)</f>
        <v>1.13982008020483</v>
      </c>
      <c r="AJ437" s="153" t="n">
        <f aca="false">IFERROR(IF(AND($H437&lt;&gt;"",$I437="FoFo",OR($N437="MND",$N437="VCA"),$Q437="LINEAR"),0,IF(AND($H437&lt;&gt;"",$I437="PEAD",$N437="VCA",$Q437="LINEAR"),($H437/1000)+0.3,IF(AND($H437&lt;&gt;"",$I437="PEAD",$N437="MND",$Q437="EMBOQUE"),0,IF(AND($H437&lt;&gt;"",$I437="PVC",$N437="VCA",$Q437="LINEAR"),($H437/1000)+0.2,IF(AND($H437&lt;&gt;"",$I437="PVC",$N437="MND",$Q437="EMBOQUE"),0,IF(AND($H437&lt;&gt;"",$I437="PEAD",$N437="VCA",$Q437="PREDIAL"),0,0)))))),0)</f>
        <v>0.46</v>
      </c>
      <c r="AK437" s="153" t="n">
        <f aca="false">IF(AA437&lt;&gt;"",AA437,0)</f>
        <v>2.2</v>
      </c>
      <c r="AL437" s="153" t="n">
        <f aca="false">IF(AND($N437="MND",$Q437="EMBOQUE"),$M437,IF(AND($N437="VCA",$Q437="LINEAR"),$M437,IF(AND($N437="VCA",$Q437="PREDIAL"),0,0)))</f>
        <v>56.69</v>
      </c>
      <c r="AM437" s="153" t="n">
        <f aca="false">IF(AND($N437="MND",$Q437="EMBOQUE"),$M437,IF(AND($N437="VCA",$Q437="LINEAR"),$M437,IF(AND($N437="VCA",$Q437="PREDIAL"),0,0)))</f>
        <v>56.69</v>
      </c>
      <c r="AN437" s="153" t="n">
        <f aca="false">ROUND(IF(AND($N437="VCA",$M437&lt;&gt;"",$Q437="LINEAR"),$M437/100,IF(AND($N437="MND",$M437&gt;100,$Q437="EMBOQUE"),$M437/100,0)),0)</f>
        <v>1</v>
      </c>
      <c r="AO437" s="153" t="n">
        <f aca="false">IF(AND($N437="MND",$Q437="EMBOQUE"),$AN437*2*2,IF(AND($N437="VCA",$Q437="LINEAR"),$M437*2,IF(AND($N437="VCA",$Q437="PREDIAL"),0,0)))</f>
        <v>113.38</v>
      </c>
      <c r="AP437" s="153" t="n">
        <f aca="false">IFERROR($M437*$AF437*$AG437,0)</f>
        <v>62.07555</v>
      </c>
      <c r="AQ437" s="153" t="n">
        <f aca="false">IFERROR(IF(AND($N437="VCA",$AH437&gt;0),$M437*$AG437*$AH437,0),0)</f>
        <v>4.25175</v>
      </c>
      <c r="AR437" s="153" t="n">
        <f aca="false">IFERROR(IF(AND($N437="VCA",$AJ437&gt;0),($M437*$AG437*$AJ437)-$AI437,0),0)</f>
        <v>18.4182299197952</v>
      </c>
      <c r="AS437" s="153" t="n">
        <f aca="false">IFERROR(IF(AND($N437="VCA",$AP437&gt;0),$AP437-$AI437-$AQ437-$AR437,0),0)</f>
        <v>38.26575</v>
      </c>
      <c r="AT437" s="153" t="n">
        <f aca="false">IFERROR(IF($N437="VCA",INDEX(APOIO_REDES!$A:$W,MATCH($C437&amp;$I437&amp;$H437&amp;$N437&amp;$O437,APOIO_REDES!$W:$W,0),MATCH(AT$5,APOIO_REDES!$5:$5,0)),0)*$AP437,0)</f>
        <v>0.675400357424931</v>
      </c>
      <c r="AU437" s="153" t="n">
        <f aca="false">IFERROR(IF($N437="VCA",INDEX(APOIO_REDES!$A:$W,MATCH($C437&amp;$I437&amp;$H437&amp;$N437&amp;$O437,APOIO_REDES!$W:$W,0),MATCH(AU$5,APOIO_REDES!$5:$5,0)),0)*$AP437,0)</f>
        <v>0.539356433278049</v>
      </c>
      <c r="AV437" s="153" t="n">
        <f aca="false">IFERROR(IF($N437="VCA",INDEX(APOIO_REDES!$A:$W,MATCH($C437&amp;$I437&amp;$H437&amp;$N437&amp;$O437,APOIO_REDES!$W:$W,0),MATCH(AV$5,APOIO_REDES!$5:$5,0)),0)*$AP437,0)</f>
        <v>0.0746426962516693</v>
      </c>
      <c r="AW437" s="153" t="n">
        <f aca="false">IFERROR(IF($N437="VCA",INDEX(APOIO_REDES!$A:$W,MATCH($C437&amp;$I437&amp;$H437&amp;$N437&amp;$O437,APOIO_REDES!$W:$W,0),MATCH(AW$5,APOIO_REDES!$5:$5,0)),0)*$AP437,0)</f>
        <v>42.6091385048323</v>
      </c>
      <c r="AX437" s="153" t="n">
        <f aca="false">IFERROR(IF($N437="VCA",INDEX(APOIO_REDES!$A:$W,MATCH($C437&amp;$I437&amp;$H437&amp;$N437&amp;$O437,APOIO_REDES!$W:$W,0),MATCH(AX$5,APOIO_REDES!$5:$5,0)),0)*$AP437,0)</f>
        <v>5.89698339464027</v>
      </c>
      <c r="AY437" s="153" t="n">
        <f aca="false">IFERROR(IF($N437="VCA",INDEX(APOIO_REDES!$A:$W,MATCH($C437&amp;$I437&amp;$H437&amp;$N437&amp;$O437,APOIO_REDES!$W:$W,0),MATCH(AY$5,APOIO_REDES!$5:$5,0)),0)*$AP437,0)</f>
        <v>10.7871220908498</v>
      </c>
      <c r="AZ437" s="153" t="n">
        <f aca="false">IFERROR(IF($N437="VCA",INDEX(APOIO_REDES!$A:$W,MATCH($C437&amp;$I437&amp;$H437&amp;$N437&amp;$O437,APOIO_REDES!$W:$W,0),MATCH(AZ$5,APOIO_REDES!$5:$5,0)),0)*$AP437,0)</f>
        <v>1.49290652272299</v>
      </c>
      <c r="BA437" s="153" t="n">
        <f aca="false">IFERROR(IF(AND($N437="VCA",$Q437="LINEAR"),INDEX(APOIO_REDES!$A:$W,MATCH($C437&amp;$I437&amp;$H437&amp;$N437&amp;$O437,APOIO_REDES!$W:$W,0),MATCH(BA$5,APOIO_REDES!$5:$5,0)),IF(AND($N437="MND",$Q437="EMBOQUE"),INDEX(APOIO_REDES!$A:$W,MATCH($C437&amp;$I437&amp;$H437&amp;$N437&amp;$O437,APOIO_REDES!$W:$W,0),MATCH(BA$5,APOIO_REDES!$5:$5,0)),0))*$M437/10,0)</f>
        <v>4.56907100399774</v>
      </c>
      <c r="BB437" s="153" t="n">
        <f aca="false">IFERROR(IF($N437="VCA",INDEX(APOIO_REDES!$A:$W,MATCH($C437&amp;$I437&amp;$H437&amp;$N437&amp;$O437,APOIO_REDES!$W:$W,0),MATCH(BB$5,APOIO_REDES!$5:$5,0)),0)*($AI437+$AQ437+$AR437),0)</f>
        <v>23.5507423286589</v>
      </c>
      <c r="BC437" s="153" t="n">
        <f aca="false">IFERROR(IF($N437="VCA",INDEX(APOIO_REDES!$A:$W,MATCH($C437&amp;$I437&amp;$H437&amp;$N437&amp;$O437,APOIO_REDES!$W:$W,0),MATCH(BC$5,APOIO_REDES!$5:$5,0)),0)*($AI437+$AQ437+$AR437),0)</f>
        <v>0.259057671341069</v>
      </c>
      <c r="BD437" s="153" t="n">
        <f aca="false">IF(AND($N437="VCA",$AF437&gt;=1.25,$AF437&lt;1.5),$M437*$AF437*2,0)</f>
        <v>165.5348</v>
      </c>
      <c r="BE437" s="153" t="n">
        <f aca="false">IF(AND($N437="VCA",$AF437&gt;=1.5,$AF437&lt;3),$M437*$AF437*2,0)</f>
        <v>0</v>
      </c>
      <c r="BF437" s="153" t="n">
        <f aca="false">IF(AND($N437="VCA",$AF437&gt;=3),$M437*$AF437*2,0)</f>
        <v>0</v>
      </c>
      <c r="BG437" s="153" t="n">
        <f aca="false">($BB437+$BC437)*$AK437</f>
        <v>52.38156</v>
      </c>
      <c r="BH437" s="153" t="n">
        <f aca="false">IF(AND($M437&lt;&gt;"",$N437="VCA",$Q437="LINEAR"),($M437*2)/100,IF(AND($M437&lt;&gt;"",$N437="MND",$Q437="EMBOQUE"),($AN437*2)/100,0))</f>
        <v>1.1338</v>
      </c>
      <c r="BI437" s="153" t="n">
        <f aca="false">IF(AND($M437&lt;&gt;"",$N437="VCA",$Q437="LINEAR"),$M437,IF(AND($M437&lt;&gt;"",$N437="MND",$Q437="EMBOQUE"),$AN437*2,0))</f>
        <v>56.69</v>
      </c>
      <c r="BJ437" s="153" t="n">
        <f aca="false">IF(AND($M437&lt;&gt;"",$N437="VCA",$Q437="LINEAR"),($M437*6.8)/100,IF(AND($M437&lt;&gt;"",$N437="MND",$Q437="EMBOQUE"),($AN437*2*6.8)/100,0))</f>
        <v>3.85492</v>
      </c>
      <c r="BK437" s="153" t="n">
        <f aca="false">IF(AND($M437&lt;&gt;"",$N437="VCA",$Q437="LINEAR"),($M437*2.5)/50,IF(AND($M437&lt;&gt;"",$N437="MND",$Q437="EMBOQUE"),($AN437*2*2.5)/50,0))</f>
        <v>2.8345</v>
      </c>
      <c r="BL437" s="157" t="str">
        <f aca="false">K437&amp;J437</f>
        <v>Zona04REDES</v>
      </c>
      <c r="BM437" s="152" t="s">
        <v>2969</v>
      </c>
      <c r="BN437" s="152" t="s">
        <v>1560</v>
      </c>
      <c r="BO437" s="152" t="s">
        <v>1982</v>
      </c>
      <c r="BP437" s="152" t="s">
        <v>3196</v>
      </c>
      <c r="BQ437" s="152" t="s">
        <v>3197</v>
      </c>
      <c r="BR437" s="152" t="s">
        <v>3198</v>
      </c>
      <c r="BS437" s="152" t="n">
        <v>203406.847</v>
      </c>
      <c r="BT437" s="152" t="n">
        <v>8238360.053</v>
      </c>
      <c r="BU437" s="152" t="n">
        <v>203375.068</v>
      </c>
      <c r="BV437" s="152" t="n">
        <v>8238313.182</v>
      </c>
      <c r="BW437" s="152" t="n">
        <v>-15.9164763</v>
      </c>
      <c r="BX437" s="152" t="n">
        <v>-47.7701856</v>
      </c>
      <c r="BY437" s="152" t="s">
        <v>3196</v>
      </c>
    </row>
    <row r="438" customFormat="false" ht="13.8" hidden="false" customHeight="false" outlineLevel="0" collapsed="false">
      <c r="A438" s="149" t="n">
        <f aca="false">IF(C438&lt;&gt;"",ROW(A433),"")</f>
        <v>433</v>
      </c>
      <c r="B438" s="150" t="str">
        <f aca="false">HYPERLINK("https://www.google.com/maps/dir/-15.917302,-47.760003/-15.9163876,-47.7684137/data=!4m3!4m2!3e0!5i0")</f>
        <v>https://www.google.com/maps/dir/-15.917302,-47.760003/-15.9163876,-47.7684137/data=!4m3!4m2!3e0!5i0</v>
      </c>
      <c r="C438" s="151" t="s">
        <v>117</v>
      </c>
      <c r="D438" s="152" t="s">
        <v>112</v>
      </c>
      <c r="E438" s="152" t="s">
        <v>113</v>
      </c>
      <c r="F438" s="152" t="s">
        <v>117</v>
      </c>
      <c r="G438" s="152" t="s">
        <v>114</v>
      </c>
      <c r="H438" s="152" t="n">
        <v>125</v>
      </c>
      <c r="I438" s="152" t="s">
        <v>115</v>
      </c>
      <c r="J438" s="152" t="s">
        <v>6</v>
      </c>
      <c r="K438" s="152" t="s">
        <v>2966</v>
      </c>
      <c r="L438" s="152" t="s">
        <v>120</v>
      </c>
      <c r="M438" s="153" t="n">
        <f aca="false">45.36</f>
        <v>45.36</v>
      </c>
      <c r="N438" s="152" t="s">
        <v>1548</v>
      </c>
      <c r="O438" s="152" t="s">
        <v>1549</v>
      </c>
      <c r="P438" s="152" t="s">
        <v>1550</v>
      </c>
      <c r="Q438" s="152" t="s">
        <v>1551</v>
      </c>
      <c r="R438" s="154" t="s">
        <v>3199</v>
      </c>
      <c r="S438" s="154" t="s">
        <v>1593</v>
      </c>
      <c r="T438" s="155" t="s">
        <v>1979</v>
      </c>
      <c r="U438" s="152" t="str">
        <f aca="false">RIGHT(T438,7)</f>
        <v>006/037</v>
      </c>
      <c r="V438" s="152" t="s">
        <v>1555</v>
      </c>
      <c r="W438" s="156" t="n">
        <v>45882</v>
      </c>
      <c r="X438" s="152" t="s">
        <v>1594</v>
      </c>
      <c r="Y438" s="152" t="s">
        <v>3015</v>
      </c>
      <c r="Z438" s="152" t="s">
        <v>1557</v>
      </c>
      <c r="AA438" s="153" t="n">
        <v>2.3</v>
      </c>
      <c r="AB438" s="151" t="s">
        <v>3200</v>
      </c>
      <c r="AC438" s="151" t="s">
        <v>505</v>
      </c>
      <c r="AD438" s="151" t="str">
        <f aca="false">CONCATENATE($C438,$I438,$H438,$N438,$J438,$K438)</f>
        <v>TUBO PEADPEAD125VCAREDESZona04</v>
      </c>
      <c r="AE438" s="153" t="n">
        <f aca="false">IFERROR(INDEX(APOIO_REDES!$A:$W,MATCH($C438&amp;$I438&amp;$H438&amp;$N438&amp;$O438,APOIO_REDES!$W:$W,0),MATCH(AE$5,APOIO_REDES!$5:$5,0)),0)</f>
        <v>1.2</v>
      </c>
      <c r="AF438" s="153" t="n">
        <f aca="false">IFERROR(INDEX(APOIO_REDES!$A:$W,MATCH($C438&amp;$I438&amp;$H438&amp;$N438&amp;$O438,APOIO_REDES!$W:$W,0),MATCH(AF$5,APOIO_REDES!$5:$5,0)),0)</f>
        <v>1.425</v>
      </c>
      <c r="AG438" s="153" t="n">
        <f aca="false">IFERROR(INDEX(APOIO_REDES!$A:$W,MATCH($C438&amp;$I438&amp;$H438&amp;$N438&amp;$O438,APOIO_REDES!$W:$W,0),MATCH(AG$5,APOIO_REDES!$5:$5,0)),0)</f>
        <v>0.75</v>
      </c>
      <c r="AH438" s="153" t="n">
        <f aca="false">IFERROR(INDEX(APOIO_REDES!$A:$W,MATCH($C438&amp;$I438&amp;$H438&amp;$N438&amp;$O438,APOIO_REDES!$W:$W,0),MATCH(AH$5,APOIO_REDES!$5:$5,0)),0)</f>
        <v>0.1</v>
      </c>
      <c r="AI438" s="153" t="n">
        <f aca="false">IFERROR(IF($H438&lt;&gt;"",(((($H438/1000)/2)^2)*PI()*$M438),0),0)</f>
        <v>0.556650948307942</v>
      </c>
      <c r="AJ438" s="153" t="n">
        <f aca="false">IFERROR(IF(AND($H438&lt;&gt;"",$I438="FoFo",OR($N438="MND",$N438="VCA"),$Q438="LINEAR"),0,IF(AND($H438&lt;&gt;"",$I438="PEAD",$N438="VCA",$Q438="LINEAR"),($H438/1000)+0.3,IF(AND($H438&lt;&gt;"",$I438="PEAD",$N438="MND",$Q438="EMBOQUE"),0,IF(AND($H438&lt;&gt;"",$I438="PVC",$N438="VCA",$Q438="LINEAR"),($H438/1000)+0.2,IF(AND($H438&lt;&gt;"",$I438="PVC",$N438="MND",$Q438="EMBOQUE"),0,IF(AND($H438&lt;&gt;"",$I438="PEAD",$N438="VCA",$Q438="PREDIAL"),0,0)))))),0)</f>
        <v>0.425</v>
      </c>
      <c r="AK438" s="153" t="n">
        <f aca="false">IF(AA438&lt;&gt;"",AA438,0)</f>
        <v>2.3</v>
      </c>
      <c r="AL438" s="153" t="n">
        <f aca="false">IF(AND($N438="MND",$Q438="EMBOQUE"),$M438,IF(AND($N438="VCA",$Q438="LINEAR"),$M438,IF(AND($N438="VCA",$Q438="PREDIAL"),0,0)))</f>
        <v>45.36</v>
      </c>
      <c r="AM438" s="153" t="n">
        <f aca="false">IF(AND($N438="MND",$Q438="EMBOQUE"),$M438,IF(AND($N438="VCA",$Q438="LINEAR"),$M438,IF(AND($N438="VCA",$Q438="PREDIAL"),0,0)))</f>
        <v>45.36</v>
      </c>
      <c r="AN438" s="153" t="n">
        <f aca="false">ROUND(IF(AND($N438="VCA",$M438&lt;&gt;"",$Q438="LINEAR"),$M438/100,IF(AND($N438="MND",$M438&gt;100,$Q438="EMBOQUE"),$M438/100,0)),0)</f>
        <v>0</v>
      </c>
      <c r="AO438" s="153" t="n">
        <f aca="false">IF(AND($N438="MND",$Q438="EMBOQUE"),$AN438*2*2,IF(AND($N438="VCA",$Q438="LINEAR"),$M438*2,IF(AND($N438="VCA",$Q438="PREDIAL"),0,0)))</f>
        <v>90.72</v>
      </c>
      <c r="AP438" s="153" t="n">
        <f aca="false">IFERROR($M438*$AF438*$AG438,0)</f>
        <v>48.4785</v>
      </c>
      <c r="AQ438" s="153" t="n">
        <f aca="false">IFERROR(IF(AND($N438="VCA",$AH438&gt;0),$M438*$AG438*$AH438,0),0)</f>
        <v>3.402</v>
      </c>
      <c r="AR438" s="153" t="n">
        <f aca="false">IFERROR(IF(AND($N438="VCA",$AJ438&gt;0),($M438*$AG438*$AJ438)-$AI438,0),0)</f>
        <v>13.9018490516921</v>
      </c>
      <c r="AS438" s="153" t="n">
        <f aca="false">IFERROR(IF(AND($N438="VCA",$AP438&gt;0),$AP438-$AI438-$AQ438-$AR438,0),0)</f>
        <v>30.618</v>
      </c>
      <c r="AT438" s="153" t="n">
        <f aca="false">IFERROR(IF($N438="VCA",INDEX(APOIO_REDES!$A:$W,MATCH($C438&amp;$I438&amp;$H438&amp;$N438&amp;$O438,APOIO_REDES!$W:$W,0),MATCH(AT$5,APOIO_REDES!$5:$5,0)),0)*$AP438,0)</f>
        <v>0.527460428903562</v>
      </c>
      <c r="AU438" s="153" t="n">
        <f aca="false">IFERROR(IF($N438="VCA",INDEX(APOIO_REDES!$A:$W,MATCH($C438&amp;$I438&amp;$H438&amp;$N438&amp;$O438,APOIO_REDES!$W:$W,0),MATCH(AU$5,APOIO_REDES!$5:$5,0)),0)*$AP438,0)</f>
        <v>0.421215613082283</v>
      </c>
      <c r="AV438" s="153" t="n">
        <f aca="false">IFERROR(IF($N438="VCA",INDEX(APOIO_REDES!$A:$W,MATCH($C438&amp;$I438&amp;$H438&amp;$N438&amp;$O438,APOIO_REDES!$W:$W,0),MATCH(AV$5,APOIO_REDES!$5:$5,0)),0)*$AP438,0)</f>
        <v>0.058292934178377</v>
      </c>
      <c r="AW438" s="153" t="n">
        <f aca="false">IFERROR(IF($N438="VCA",INDEX(APOIO_REDES!$A:$W,MATCH($C438&amp;$I438&amp;$H438&amp;$N438&amp;$O438,APOIO_REDES!$W:$W,0),MATCH(AW$5,APOIO_REDES!$5:$5,0)),0)*$AP438,0)</f>
        <v>33.2760180297478</v>
      </c>
      <c r="AX438" s="153" t="n">
        <f aca="false">IFERROR(IF($N438="VCA",INDEX(APOIO_REDES!$A:$W,MATCH($C438&amp;$I438&amp;$H438&amp;$N438&amp;$O438,APOIO_REDES!$W:$W,0),MATCH(AX$5,APOIO_REDES!$5:$5,0)),0)*$AP438,0)</f>
        <v>4.6053061067855</v>
      </c>
      <c r="AY438" s="153" t="n">
        <f aca="false">IFERROR(IF($N438="VCA",INDEX(APOIO_REDES!$A:$W,MATCH($C438&amp;$I438&amp;$H438&amp;$N438&amp;$O438,APOIO_REDES!$W:$W,0),MATCH(AY$5,APOIO_REDES!$5:$5,0)),0)*$AP438,0)</f>
        <v>8.42430712706148</v>
      </c>
      <c r="AZ438" s="153" t="n">
        <f aca="false">IFERROR(IF($N438="VCA",INDEX(APOIO_REDES!$A:$W,MATCH($C438&amp;$I438&amp;$H438&amp;$N438&amp;$O438,APOIO_REDES!$W:$W,0),MATCH(AZ$5,APOIO_REDES!$5:$5,0)),0)*$AP438,0)</f>
        <v>1.16589976024097</v>
      </c>
      <c r="BA438" s="153" t="n">
        <f aca="false">IFERROR(IF(AND($N438="VCA",$Q438="LINEAR"),INDEX(APOIO_REDES!$A:$W,MATCH($C438&amp;$I438&amp;$H438&amp;$N438&amp;$O438,APOIO_REDES!$W:$W,0),MATCH(BA$5,APOIO_REDES!$5:$5,0)),IF(AND($N438="MND",$Q438="EMBOQUE"),INDEX(APOIO_REDES!$A:$W,MATCH($C438&amp;$I438&amp;$H438&amp;$N438&amp;$O438,APOIO_REDES!$W:$W,0),MATCH(BA$5,APOIO_REDES!$5:$5,0)),0))*$M438/10,0)</f>
        <v>3.65590158301883</v>
      </c>
      <c r="BB438" s="153" t="n">
        <f aca="false">IFERROR(IF($N438="VCA",INDEX(APOIO_REDES!$A:$W,MATCH($C438&amp;$I438&amp;$H438&amp;$N438&amp;$O438,APOIO_REDES!$W:$W,0),MATCH(BB$5,APOIO_REDES!$5:$5,0)),0)*($AI438+$AQ438+$AR438),0)</f>
        <v>17.6661724735618</v>
      </c>
      <c r="BC438" s="153" t="n">
        <f aca="false">IFERROR(IF($N438="VCA",INDEX(APOIO_REDES!$A:$W,MATCH($C438&amp;$I438&amp;$H438&amp;$N438&amp;$O438,APOIO_REDES!$W:$W,0),MATCH(BC$5,APOIO_REDES!$5:$5,0)),0)*($AI438+$AQ438+$AR438),0)</f>
        <v>0.194327526438154</v>
      </c>
      <c r="BD438" s="153" t="n">
        <f aca="false">IF(AND($N438="VCA",$AF438&gt;=1.25,$AF438&lt;1.5),$M438*$AF438*2,0)</f>
        <v>129.276</v>
      </c>
      <c r="BE438" s="153" t="n">
        <f aca="false">IF(AND($N438="VCA",$AF438&gt;=1.5,$AF438&lt;3),$M438*$AF438*2,0)</f>
        <v>0</v>
      </c>
      <c r="BF438" s="153" t="n">
        <f aca="false">IF(AND($N438="VCA",$AF438&gt;=3),$M438*$AF438*2,0)</f>
        <v>0</v>
      </c>
      <c r="BG438" s="153" t="n">
        <f aca="false">($BB438+$BC438)*$AK438</f>
        <v>41.07915</v>
      </c>
      <c r="BH438" s="153" t="n">
        <f aca="false">IF(AND($M438&lt;&gt;"",$N438="VCA",$Q438="LINEAR"),($M438*2)/100,IF(AND($M438&lt;&gt;"",$N438="MND",$Q438="EMBOQUE"),($AN438*2)/100,0))</f>
        <v>0.9072</v>
      </c>
      <c r="BI438" s="153" t="n">
        <f aca="false">IF(AND($M438&lt;&gt;"",$N438="VCA",$Q438="LINEAR"),$M438,IF(AND($M438&lt;&gt;"",$N438="MND",$Q438="EMBOQUE"),$AN438*2,0))</f>
        <v>45.36</v>
      </c>
      <c r="BJ438" s="153" t="n">
        <f aca="false">IF(AND($M438&lt;&gt;"",$N438="VCA",$Q438="LINEAR"),($M438*6.8)/100,IF(AND($M438&lt;&gt;"",$N438="MND",$Q438="EMBOQUE"),($AN438*2*6.8)/100,0))</f>
        <v>3.08448</v>
      </c>
      <c r="BK438" s="153" t="n">
        <f aca="false">IF(AND($M438&lt;&gt;"",$N438="VCA",$Q438="LINEAR"),($M438*2.5)/50,IF(AND($M438&lt;&gt;"",$N438="MND",$Q438="EMBOQUE"),($AN438*2*2.5)/50,0))</f>
        <v>2.268</v>
      </c>
      <c r="BL438" s="157" t="str">
        <f aca="false">K438&amp;J438</f>
        <v>Zona04REDES</v>
      </c>
      <c r="BM438" s="152" t="s">
        <v>2969</v>
      </c>
      <c r="BN438" s="152" t="s">
        <v>1560</v>
      </c>
      <c r="BO438" s="152" t="s">
        <v>1982</v>
      </c>
      <c r="BP438" s="152" t="s">
        <v>3181</v>
      </c>
      <c r="BQ438" s="152" t="s">
        <v>3176</v>
      </c>
      <c r="BR438" s="152" t="s">
        <v>3182</v>
      </c>
      <c r="BS438" s="152" t="n">
        <v>203581.541</v>
      </c>
      <c r="BT438" s="152" t="n">
        <v>8238348.38</v>
      </c>
      <c r="BU438" s="152" t="n">
        <v>203586.362</v>
      </c>
      <c r="BV438" s="152" t="n">
        <v>8238303.274</v>
      </c>
      <c r="BW438" s="152" t="n">
        <v>-15.9165916</v>
      </c>
      <c r="BX438" s="152" t="n">
        <v>-47.768394</v>
      </c>
      <c r="BY438" s="152" t="s">
        <v>3181</v>
      </c>
    </row>
    <row r="439" customFormat="false" ht="13.8" hidden="false" customHeight="false" outlineLevel="0" collapsed="false">
      <c r="A439" s="149" t="n">
        <f aca="false">IF(C439&lt;&gt;"",ROW(A434),"")</f>
        <v>434</v>
      </c>
      <c r="B439" s="150" t="str">
        <f aca="false">HYPERLINK("https://www.google.com/maps/dir/-15.917302,-47.760003/-15.9171014,-47.7694822/data=!4m3!4m2!3e0!5i0")</f>
        <v>https://www.google.com/maps/dir/-15.917302,-47.760003/-15.9171014,-47.7694822/data=!4m3!4m2!3e0!5i0</v>
      </c>
      <c r="C439" s="151" t="s">
        <v>117</v>
      </c>
      <c r="D439" s="152" t="s">
        <v>112</v>
      </c>
      <c r="E439" s="152" t="s">
        <v>113</v>
      </c>
      <c r="F439" s="152" t="s">
        <v>117</v>
      </c>
      <c r="G439" s="152" t="s">
        <v>782</v>
      </c>
      <c r="H439" s="152" t="n">
        <v>110</v>
      </c>
      <c r="I439" s="152" t="s">
        <v>115</v>
      </c>
      <c r="J439" s="152" t="s">
        <v>6</v>
      </c>
      <c r="K439" s="152" t="s">
        <v>2966</v>
      </c>
      <c r="L439" s="152" t="s">
        <v>120</v>
      </c>
      <c r="M439" s="153" t="n">
        <f aca="false">111.01+0.16</f>
        <v>111.17</v>
      </c>
      <c r="N439" s="152" t="s">
        <v>1548</v>
      </c>
      <c r="O439" s="152" t="s">
        <v>1549</v>
      </c>
      <c r="P439" s="152" t="s">
        <v>1550</v>
      </c>
      <c r="Q439" s="152" t="s">
        <v>1551</v>
      </c>
      <c r="R439" s="154" t="s">
        <v>3201</v>
      </c>
      <c r="S439" s="154" t="s">
        <v>1593</v>
      </c>
      <c r="T439" s="155" t="s">
        <v>1979</v>
      </c>
      <c r="U439" s="152" t="str">
        <f aca="false">RIGHT(T439,7)</f>
        <v>006/037</v>
      </c>
      <c r="V439" s="152" t="s">
        <v>1555</v>
      </c>
      <c r="W439" s="156" t="n">
        <v>45882</v>
      </c>
      <c r="X439" s="152" t="s">
        <v>1594</v>
      </c>
      <c r="Y439" s="152" t="s">
        <v>3202</v>
      </c>
      <c r="Z439" s="152" t="s">
        <v>1557</v>
      </c>
      <c r="AA439" s="153" t="n">
        <v>2.4</v>
      </c>
      <c r="AB439" s="151" t="s">
        <v>3203</v>
      </c>
      <c r="AC439" s="151" t="s">
        <v>502</v>
      </c>
      <c r="AD439" s="151" t="str">
        <f aca="false">CONCATENATE($C439,$I439,$H439,$N439,$J439,$K439)</f>
        <v>TUBO PEADPEAD110VCAREDESZona04</v>
      </c>
      <c r="AE439" s="153" t="n">
        <f aca="false">IFERROR(INDEX(APOIO_REDES!$A:$W,MATCH($C439&amp;$I439&amp;$H439&amp;$N439&amp;$O439,APOIO_REDES!$W:$W,0),MATCH(AE$5,APOIO_REDES!$5:$5,0)),0)</f>
        <v>1.2</v>
      </c>
      <c r="AF439" s="153" t="n">
        <f aca="false">IFERROR(INDEX(APOIO_REDES!$A:$W,MATCH($C439&amp;$I439&amp;$H439&amp;$N439&amp;$O439,APOIO_REDES!$W:$W,0),MATCH(AF$5,APOIO_REDES!$5:$5,0)),0)</f>
        <v>1.41</v>
      </c>
      <c r="AG439" s="153" t="n">
        <f aca="false">IFERROR(INDEX(APOIO_REDES!$A:$W,MATCH($C439&amp;$I439&amp;$H439&amp;$N439&amp;$O439,APOIO_REDES!$W:$W,0),MATCH(AG$5,APOIO_REDES!$5:$5,0)),0)</f>
        <v>0.75</v>
      </c>
      <c r="AH439" s="153" t="n">
        <f aca="false">IFERROR(INDEX(APOIO_REDES!$A:$W,MATCH($C439&amp;$I439&amp;$H439&amp;$N439&amp;$O439,APOIO_REDES!$W:$W,0),MATCH(AH$5,APOIO_REDES!$5:$5,0)),0)</f>
        <v>0.1</v>
      </c>
      <c r="AI439" s="153" t="n">
        <f aca="false">IFERROR(IF($H439&lt;&gt;"",(((($H439/1000)/2)^2)*PI()*$M439),0),0)</f>
        <v>1.05648383728122</v>
      </c>
      <c r="AJ439" s="153" t="n">
        <f aca="false">IFERROR(IF(AND($H439&lt;&gt;"",$I439="FoFo",OR($N439="MND",$N439="VCA"),$Q439="LINEAR"),0,IF(AND($H439&lt;&gt;"",$I439="PEAD",$N439="VCA",$Q439="LINEAR"),($H439/1000)+0.3,IF(AND($H439&lt;&gt;"",$I439="PEAD",$N439="MND",$Q439="EMBOQUE"),0,IF(AND($H439&lt;&gt;"",$I439="PVC",$N439="VCA",$Q439="LINEAR"),($H439/1000)+0.2,IF(AND($H439&lt;&gt;"",$I439="PVC",$N439="MND",$Q439="EMBOQUE"),0,IF(AND($H439&lt;&gt;"",$I439="PEAD",$N439="VCA",$Q439="PREDIAL"),0,0)))))),0)</f>
        <v>0.41</v>
      </c>
      <c r="AK439" s="153" t="n">
        <f aca="false">IF(AA439&lt;&gt;"",AA439,0)</f>
        <v>2.4</v>
      </c>
      <c r="AL439" s="153" t="n">
        <f aca="false">IF(AND($N439="MND",$Q439="EMBOQUE"),$M439,IF(AND($N439="VCA",$Q439="LINEAR"),$M439,IF(AND($N439="VCA",$Q439="PREDIAL"),0,0)))</f>
        <v>111.17</v>
      </c>
      <c r="AM439" s="153" t="n">
        <f aca="false">IF(AND($N439="MND",$Q439="EMBOQUE"),$M439,IF(AND($N439="VCA",$Q439="LINEAR"),$M439,IF(AND($N439="VCA",$Q439="PREDIAL"),0,0)))</f>
        <v>111.17</v>
      </c>
      <c r="AN439" s="153" t="n">
        <f aca="false">ROUND(IF(AND($N439="VCA",$M439&lt;&gt;"",$Q439="LINEAR"),$M439/100,IF(AND($N439="MND",$M439&gt;100,$Q439="EMBOQUE"),$M439/100,0)),0)</f>
        <v>1</v>
      </c>
      <c r="AO439" s="153" t="n">
        <f aca="false">IF(AND($N439="MND",$Q439="EMBOQUE"),$AN439*2*2,IF(AND($N439="VCA",$Q439="LINEAR"),$M439*2,IF(AND($N439="VCA",$Q439="PREDIAL"),0,0)))</f>
        <v>222.34</v>
      </c>
      <c r="AP439" s="153" t="n">
        <f aca="false">IFERROR($M439*$AF439*$AG439,0)</f>
        <v>117.562275</v>
      </c>
      <c r="AQ439" s="153" t="n">
        <f aca="false">IFERROR(IF(AND($N439="VCA",$AH439&gt;0),$M439*$AG439*$AH439,0),0)</f>
        <v>8.33775</v>
      </c>
      <c r="AR439" s="153" t="n">
        <f aca="false">IFERROR(IF(AND($N439="VCA",$AJ439&gt;0),($M439*$AG439*$AJ439)-$AI439,0),0)</f>
        <v>33.1282911627188</v>
      </c>
      <c r="AS439" s="153" t="n">
        <f aca="false">IFERROR(IF(AND($N439="VCA",$AP439&gt;0),$AP439-$AI439-$AQ439-$AR439,0),0)</f>
        <v>75.03975</v>
      </c>
      <c r="AT439" s="153" t="n">
        <f aca="false">IFERROR(IF($N439="VCA",INDEX(APOIO_REDES!$A:$W,MATCH($C439&amp;$I439&amp;$H439&amp;$N439&amp;$O439,APOIO_REDES!$W:$W,0),MATCH(AT$5,APOIO_REDES!$5:$5,0)),0)*$AP439,0)</f>
        <v>1.27911234865721</v>
      </c>
      <c r="AU439" s="153" t="n">
        <f aca="false">IFERROR(IF($N439="VCA",INDEX(APOIO_REDES!$A:$W,MATCH($C439&amp;$I439&amp;$H439&amp;$N439&amp;$O439,APOIO_REDES!$W:$W,0),MATCH(AU$5,APOIO_REDES!$5:$5,0)),0)*$AP439,0)</f>
        <v>1.02146447888183</v>
      </c>
      <c r="AV439" s="153" t="n">
        <f aca="false">IFERROR(IF($N439="VCA",INDEX(APOIO_REDES!$A:$W,MATCH($C439&amp;$I439&amp;$H439&amp;$N439&amp;$O439,APOIO_REDES!$W:$W,0),MATCH(AV$5,APOIO_REDES!$5:$5,0)),0)*$AP439,0)</f>
        <v>0.141362665066684</v>
      </c>
      <c r="AW439" s="153" t="n">
        <f aca="false">IFERROR(IF($N439="VCA",INDEX(APOIO_REDES!$A:$W,MATCH($C439&amp;$I439&amp;$H439&amp;$N439&amp;$O439,APOIO_REDES!$W:$W,0),MATCH(AW$5,APOIO_REDES!$5:$5,0)),0)*$AP439,0)</f>
        <v>80.6956564769573</v>
      </c>
      <c r="AX439" s="153" t="n">
        <f aca="false">IFERROR(IF($N439="VCA",INDEX(APOIO_REDES!$A:$W,MATCH($C439&amp;$I439&amp;$H439&amp;$N439&amp;$O439,APOIO_REDES!$W:$W,0),MATCH(AX$5,APOIO_REDES!$5:$5,0)),0)*$AP439,0)</f>
        <v>11.1680489904823</v>
      </c>
      <c r="AY439" s="153" t="n">
        <f aca="false">IFERROR(IF($N439="VCA",INDEX(APOIO_REDES!$A:$W,MATCH($C439&amp;$I439&amp;$H439&amp;$N439&amp;$O439,APOIO_REDES!$W:$W,0),MATCH(AY$5,APOIO_REDES!$5:$5,0)),0)*$AP439,0)</f>
        <v>20.4292771260675</v>
      </c>
      <c r="AZ439" s="153" t="n">
        <f aca="false">IFERROR(IF($N439="VCA",INDEX(APOIO_REDES!$A:$W,MATCH($C439&amp;$I439&amp;$H439&amp;$N439&amp;$O439,APOIO_REDES!$W:$W,0),MATCH(AZ$5,APOIO_REDES!$5:$5,0)),0)*$AP439,0)</f>
        <v>2.82735291388725</v>
      </c>
      <c r="BA439" s="153" t="n">
        <f aca="false">IFERROR(IF(AND($N439="VCA",$Q439="LINEAR"),INDEX(APOIO_REDES!$A:$W,MATCH($C439&amp;$I439&amp;$H439&amp;$N439&amp;$O439,APOIO_REDES!$W:$W,0),MATCH(BA$5,APOIO_REDES!$5:$5,0)),IF(AND($N439="MND",$Q439="EMBOQUE"),INDEX(APOIO_REDES!$A:$W,MATCH($C439&amp;$I439&amp;$H439&amp;$N439&amp;$O439,APOIO_REDES!$W:$W,0),MATCH(BA$5,APOIO_REDES!$5:$5,0)),0))*$M439/10,0)</f>
        <v>8.96002158254418</v>
      </c>
      <c r="BB439" s="153" t="n">
        <f aca="false">IFERROR(IF($N439="VCA",INDEX(APOIO_REDES!$A:$W,MATCH($C439&amp;$I439&amp;$H439&amp;$N439&amp;$O439,APOIO_REDES!$W:$W,0),MATCH(BB$5,APOIO_REDES!$5:$5,0)),0)*($AI439+$AQ439+$AR439),0)</f>
        <v>42.0598673419751</v>
      </c>
      <c r="BC439" s="153" t="n">
        <f aca="false">IFERROR(IF($N439="VCA",INDEX(APOIO_REDES!$A:$W,MATCH($C439&amp;$I439&amp;$H439&amp;$N439&amp;$O439,APOIO_REDES!$W:$W,0),MATCH(BC$5,APOIO_REDES!$5:$5,0)),0)*($AI439+$AQ439+$AR439),0)</f>
        <v>0.462657658024948</v>
      </c>
      <c r="BD439" s="153" t="n">
        <f aca="false">IF(AND($N439="VCA",$AF439&gt;=1.25,$AF439&lt;1.5),$M439*$AF439*2,0)</f>
        <v>313.4994</v>
      </c>
      <c r="BE439" s="153" t="n">
        <f aca="false">IF(AND($N439="VCA",$AF439&gt;=1.5,$AF439&lt;3),$M439*$AF439*2,0)</f>
        <v>0</v>
      </c>
      <c r="BF439" s="153" t="n">
        <f aca="false">IF(AND($N439="VCA",$AF439&gt;=3),$M439*$AF439*2,0)</f>
        <v>0</v>
      </c>
      <c r="BG439" s="153" t="n">
        <f aca="false">($BB439+$BC439)*$AK439</f>
        <v>102.05406</v>
      </c>
      <c r="BH439" s="153" t="n">
        <f aca="false">IF(AND($M439&lt;&gt;"",$N439="VCA",$Q439="LINEAR"),($M439*2)/100,IF(AND($M439&lt;&gt;"",$N439="MND",$Q439="EMBOQUE"),($AN439*2)/100,0))</f>
        <v>2.2234</v>
      </c>
      <c r="BI439" s="153" t="n">
        <f aca="false">IF(AND($M439&lt;&gt;"",$N439="VCA",$Q439="LINEAR"),$M439,IF(AND($M439&lt;&gt;"",$N439="MND",$Q439="EMBOQUE"),$AN439*2,0))</f>
        <v>111.17</v>
      </c>
      <c r="BJ439" s="153" t="n">
        <f aca="false">IF(AND($M439&lt;&gt;"",$N439="VCA",$Q439="LINEAR"),($M439*6.8)/100,IF(AND($M439&lt;&gt;"",$N439="MND",$Q439="EMBOQUE"),($AN439*2*6.8)/100,0))</f>
        <v>7.55956</v>
      </c>
      <c r="BK439" s="153" t="n">
        <f aca="false">IF(AND($M439&lt;&gt;"",$N439="VCA",$Q439="LINEAR"),($M439*2.5)/50,IF(AND($M439&lt;&gt;"",$N439="MND",$Q439="EMBOQUE"),($AN439*2*2.5)/50,0))</f>
        <v>5.5585</v>
      </c>
      <c r="BL439" s="157" t="str">
        <f aca="false">K439&amp;J439</f>
        <v>Zona04REDES</v>
      </c>
      <c r="BM439" s="152" t="s">
        <v>2969</v>
      </c>
      <c r="BN439" s="152" t="s">
        <v>1560</v>
      </c>
      <c r="BO439" s="152" t="s">
        <v>1982</v>
      </c>
      <c r="BP439" s="152" t="s">
        <v>3204</v>
      </c>
      <c r="BQ439" s="152" t="s">
        <v>3196</v>
      </c>
      <c r="BR439" s="152" t="s">
        <v>3205</v>
      </c>
      <c r="BS439" s="152" t="n">
        <v>203468.108</v>
      </c>
      <c r="BT439" s="152" t="n">
        <v>8238267.832</v>
      </c>
      <c r="BU439" s="152" t="n">
        <v>203406.847</v>
      </c>
      <c r="BV439" s="152" t="n">
        <v>8238360.053</v>
      </c>
      <c r="BW439" s="152" t="n">
        <v>-15.9166876</v>
      </c>
      <c r="BX439" s="152" t="n">
        <v>-47.7697721</v>
      </c>
      <c r="BY439" s="152" t="s">
        <v>3204</v>
      </c>
    </row>
    <row r="440" customFormat="false" ht="13.8" hidden="false" customHeight="false" outlineLevel="0" collapsed="false">
      <c r="A440" s="149" t="n">
        <f aca="false">IF(C440&lt;&gt;"",ROW(A435),"")</f>
        <v>435</v>
      </c>
      <c r="B440" s="150" t="str">
        <f aca="false">HYPERLINK("https://www.google.com/maps/dir/-15.917302,-47.760003/-15.9167114,-47.7691112/data=!4m3!4m2!3e0!5i0")</f>
        <v>https://www.google.com/maps/dir/-15.917302,-47.760003/-15.9167114,-47.7691112/data=!4m3!4m2!3e0!5i0</v>
      </c>
      <c r="C440" s="151" t="s">
        <v>117</v>
      </c>
      <c r="D440" s="152" t="s">
        <v>112</v>
      </c>
      <c r="E440" s="152" t="s">
        <v>113</v>
      </c>
      <c r="F440" s="152" t="s">
        <v>117</v>
      </c>
      <c r="G440" s="152" t="s">
        <v>782</v>
      </c>
      <c r="H440" s="152" t="n">
        <v>63</v>
      </c>
      <c r="I440" s="152" t="s">
        <v>115</v>
      </c>
      <c r="J440" s="152" t="s">
        <v>6</v>
      </c>
      <c r="K440" s="152" t="s">
        <v>2966</v>
      </c>
      <c r="L440" s="152" t="s">
        <v>120</v>
      </c>
      <c r="M440" s="153" t="n">
        <f aca="false">36.15</f>
        <v>36.15</v>
      </c>
      <c r="N440" s="152" t="s">
        <v>1548</v>
      </c>
      <c r="O440" s="152" t="s">
        <v>1549</v>
      </c>
      <c r="P440" s="152" t="s">
        <v>1550</v>
      </c>
      <c r="Q440" s="152" t="s">
        <v>1551</v>
      </c>
      <c r="R440" s="154" t="s">
        <v>3206</v>
      </c>
      <c r="S440" s="154" t="s">
        <v>1553</v>
      </c>
      <c r="T440" s="155" t="s">
        <v>1979</v>
      </c>
      <c r="U440" s="152" t="str">
        <f aca="false">RIGHT(T440,7)</f>
        <v>006/037</v>
      </c>
      <c r="V440" s="152" t="s">
        <v>1555</v>
      </c>
      <c r="W440" s="156" t="n">
        <v>45882</v>
      </c>
      <c r="X440" s="152" t="s">
        <v>1594</v>
      </c>
      <c r="Y440" s="152" t="s">
        <v>3076</v>
      </c>
      <c r="Z440" s="152" t="s">
        <v>1557</v>
      </c>
      <c r="AA440" s="153" t="n">
        <v>2.3</v>
      </c>
      <c r="AB440" s="151" t="s">
        <v>3207</v>
      </c>
      <c r="AC440" s="151" t="s">
        <v>186</v>
      </c>
      <c r="AD440" s="151" t="str">
        <f aca="false">CONCATENATE($C440,$I440,$H440,$N440,$J440,$K440)</f>
        <v>TUBO PEADPEAD63VCAREDESZona04</v>
      </c>
      <c r="AE440" s="153" t="n">
        <f aca="false">IFERROR(INDEX(APOIO_REDES!$A:$W,MATCH($C440&amp;$I440&amp;$H440&amp;$N440&amp;$O440,APOIO_REDES!$W:$W,0),MATCH(AE$5,APOIO_REDES!$5:$5,0)),0)</f>
        <v>1.2</v>
      </c>
      <c r="AF440" s="153" t="n">
        <f aca="false">IFERROR(INDEX(APOIO_REDES!$A:$W,MATCH($C440&amp;$I440&amp;$H440&amp;$N440&amp;$O440,APOIO_REDES!$W:$W,0),MATCH(AF$5,APOIO_REDES!$5:$5,0)),0)</f>
        <v>1.363</v>
      </c>
      <c r="AG440" s="153" t="n">
        <f aca="false">IFERROR(INDEX(APOIO_REDES!$A:$W,MATCH($C440&amp;$I440&amp;$H440&amp;$N440&amp;$O440,APOIO_REDES!$W:$W,0),MATCH(AG$5,APOIO_REDES!$5:$5,0)),0)</f>
        <v>0.65</v>
      </c>
      <c r="AH440" s="153" t="n">
        <f aca="false">IFERROR(INDEX(APOIO_REDES!$A:$W,MATCH($C440&amp;$I440&amp;$H440&amp;$N440&amp;$O440,APOIO_REDES!$W:$W,0),MATCH(AH$5,APOIO_REDES!$5:$5,0)),0)</f>
        <v>0.1</v>
      </c>
      <c r="AI440" s="153" t="n">
        <f aca="false">IFERROR(IF($H440&lt;&gt;"",(((($H440/1000)/2)^2)*PI()*$M440),0),0)</f>
        <v>0.11268841797546</v>
      </c>
      <c r="AJ440" s="153" t="n">
        <f aca="false">IFERROR(IF(AND($H440&lt;&gt;"",$I440="FoFo",OR($N440="MND",$N440="VCA"),$Q440="LINEAR"),0,IF(AND($H440&lt;&gt;"",$I440="PEAD",$N440="VCA",$Q440="LINEAR"),($H440/1000)+0.3,IF(AND($H440&lt;&gt;"",$I440="PEAD",$N440="MND",$Q440="EMBOQUE"),0,IF(AND($H440&lt;&gt;"",$I440="PVC",$N440="VCA",$Q440="LINEAR"),($H440/1000)+0.2,IF(AND($H440&lt;&gt;"",$I440="PVC",$N440="MND",$Q440="EMBOQUE"),0,IF(AND($H440&lt;&gt;"",$I440="PEAD",$N440="VCA",$Q440="PREDIAL"),0,0)))))),0)</f>
        <v>0.363</v>
      </c>
      <c r="AK440" s="153" t="n">
        <f aca="false">IF(AA440&lt;&gt;"",AA440,0)</f>
        <v>2.3</v>
      </c>
      <c r="AL440" s="153" t="n">
        <f aca="false">IF(AND($N440="MND",$Q440="EMBOQUE"),$M440,IF(AND($N440="VCA",$Q440="LINEAR"),$M440,IF(AND($N440="VCA",$Q440="PREDIAL"),0,0)))</f>
        <v>36.15</v>
      </c>
      <c r="AM440" s="153" t="n">
        <f aca="false">IF(AND($N440="MND",$Q440="EMBOQUE"),$M440,IF(AND($N440="VCA",$Q440="LINEAR"),$M440,IF(AND($N440="VCA",$Q440="PREDIAL"),0,0)))</f>
        <v>36.15</v>
      </c>
      <c r="AN440" s="153" t="n">
        <f aca="false">ROUND(IF(AND($N440="VCA",$M440&lt;&gt;"",$Q440="LINEAR"),$M440/100,IF(AND($N440="MND",$M440&gt;100,$Q440="EMBOQUE"),$M440/100,0)),0)</f>
        <v>0</v>
      </c>
      <c r="AO440" s="153" t="n">
        <f aca="false">IF(AND($N440="MND",$Q440="EMBOQUE"),$AN440*2*2,IF(AND($N440="VCA",$Q440="LINEAR"),$M440*2,IF(AND($N440="VCA",$Q440="PREDIAL"),0,0)))</f>
        <v>72.3</v>
      </c>
      <c r="AP440" s="153" t="n">
        <f aca="false">IFERROR($M440*$AF440*$AG440,0)</f>
        <v>32.0270925</v>
      </c>
      <c r="AQ440" s="153" t="n">
        <f aca="false">IFERROR(IF(AND($N440="VCA",$AH440&gt;0),$M440*$AG440*$AH440,0),0)</f>
        <v>2.34975</v>
      </c>
      <c r="AR440" s="153" t="n">
        <f aca="false">IFERROR(IF(AND($N440="VCA",$AJ440&gt;0),($M440*$AG440*$AJ440)-$AI440,0),0)</f>
        <v>8.41690408202454</v>
      </c>
      <c r="AS440" s="153" t="n">
        <f aca="false">IFERROR(IF(AND($N440="VCA",$AP440&gt;0),$AP440-$AI440-$AQ440-$AR440,0),0)</f>
        <v>21.14775</v>
      </c>
      <c r="AT440" s="153" t="n">
        <f aca="false">IFERROR(IF($N440="VCA",INDEX(APOIO_REDES!$A:$W,MATCH($C440&amp;$I440&amp;$H440&amp;$N440&amp;$O440,APOIO_REDES!$W:$W,0),MATCH(AT$5,APOIO_REDES!$5:$5,0)),0)*$AP440,0)</f>
        <v>0.348464245935498</v>
      </c>
      <c r="AU440" s="153" t="n">
        <f aca="false">IFERROR(IF($N440="VCA",INDEX(APOIO_REDES!$A:$W,MATCH($C440&amp;$I440&amp;$H440&amp;$N440&amp;$O440,APOIO_REDES!$W:$W,0),MATCH(AU$5,APOIO_REDES!$5:$5,0)),0)*$AP440,0)</f>
        <v>0.278274109195427</v>
      </c>
      <c r="AV440" s="153" t="n">
        <f aca="false">IFERROR(IF($N440="VCA",INDEX(APOIO_REDES!$A:$W,MATCH($C440&amp;$I440&amp;$H440&amp;$N440&amp;$O440,APOIO_REDES!$W:$W,0),MATCH(AV$5,APOIO_REDES!$5:$5,0)),0)*$AP440,0)</f>
        <v>0.0385109521752384</v>
      </c>
      <c r="AW440" s="153" t="n">
        <f aca="false">IFERROR(IF($N440="VCA",INDEX(APOIO_REDES!$A:$W,MATCH($C440&amp;$I440&amp;$H440&amp;$N440&amp;$O440,APOIO_REDES!$W:$W,0),MATCH(AW$5,APOIO_REDES!$5:$5,0)),0)*$AP440,0)</f>
        <v>21.9836444500222</v>
      </c>
      <c r="AX440" s="153" t="n">
        <f aca="false">IFERROR(IF($N440="VCA",INDEX(APOIO_REDES!$A:$W,MATCH($C440&amp;$I440&amp;$H440&amp;$N440&amp;$O440,APOIO_REDES!$W:$W,0),MATCH(AX$5,APOIO_REDES!$5:$5,0)),0)*$AP440,0)</f>
        <v>3.0424737702865</v>
      </c>
      <c r="AY440" s="153" t="n">
        <f aca="false">IFERROR(IF($N440="VCA",INDEX(APOIO_REDES!$A:$W,MATCH($C440&amp;$I440&amp;$H440&amp;$N440&amp;$O440,APOIO_REDES!$W:$W,0),MATCH(AY$5,APOIO_REDES!$5:$5,0)),0)*$AP440,0)</f>
        <v>5.5654787917697</v>
      </c>
      <c r="AZ440" s="153" t="n">
        <f aca="false">IFERROR(IF($N440="VCA",INDEX(APOIO_REDES!$A:$W,MATCH($C440&amp;$I440&amp;$H440&amp;$N440&amp;$O440,APOIO_REDES!$W:$W,0),MATCH(AZ$5,APOIO_REDES!$5:$5,0)),0)*$AP440,0)</f>
        <v>0.770246180615434</v>
      </c>
      <c r="BA440" s="153" t="n">
        <f aca="false">IFERROR(IF(AND($N440="VCA",$Q440="LINEAR"),INDEX(APOIO_REDES!$A:$W,MATCH($C440&amp;$I440&amp;$H440&amp;$N440&amp;$O440,APOIO_REDES!$W:$W,0),MATCH(BA$5,APOIO_REDES!$5:$5,0)),IF(AND($N440="MND",$Q440="EMBOQUE"),INDEX(APOIO_REDES!$A:$W,MATCH($C440&amp;$I440&amp;$H440&amp;$N440&amp;$O440,APOIO_REDES!$W:$W,0),MATCH(BA$5,APOIO_REDES!$5:$5,0)),0))*$M440/10,0)</f>
        <v>2.91359881450906</v>
      </c>
      <c r="BB440" s="153" t="n">
        <f aca="false">IFERROR(IF($N440="VCA",INDEX(APOIO_REDES!$A:$W,MATCH($C440&amp;$I440&amp;$H440&amp;$N440&amp;$O440,APOIO_REDES!$W:$W,0),MATCH(BB$5,APOIO_REDES!$5:$5,0)),0)*($AI440+$AQ440+$AR440),0)</f>
        <v>10.760972033479</v>
      </c>
      <c r="BC440" s="153" t="n">
        <f aca="false">IFERROR(IF($N440="VCA",INDEX(APOIO_REDES!$A:$W,MATCH($C440&amp;$I440&amp;$H440&amp;$N440&amp;$O440,APOIO_REDES!$W:$W,0),MATCH(BC$5,APOIO_REDES!$5:$5,0)),0)*($AI440+$AQ440+$AR440),0)</f>
        <v>0.118370466521009</v>
      </c>
      <c r="BD440" s="153" t="n">
        <f aca="false">IF(AND($N440="VCA",$AF440&gt;=1.25,$AF440&lt;1.5),$M440*$AF440*2,0)</f>
        <v>98.5449</v>
      </c>
      <c r="BE440" s="153" t="n">
        <f aca="false">IF(AND($N440="VCA",$AF440&gt;=1.5,$AF440&lt;3),$M440*$AF440*2,0)</f>
        <v>0</v>
      </c>
      <c r="BF440" s="153" t="n">
        <f aca="false">IF(AND($N440="VCA",$AF440&gt;=3),$M440*$AF440*2,0)</f>
        <v>0</v>
      </c>
      <c r="BG440" s="153" t="n">
        <f aca="false">($BB440+$BC440)*$AK440</f>
        <v>25.02248775</v>
      </c>
      <c r="BH440" s="153" t="n">
        <f aca="false">IF(AND($M440&lt;&gt;"",$N440="VCA",$Q440="LINEAR"),($M440*2)/100,IF(AND($M440&lt;&gt;"",$N440="MND",$Q440="EMBOQUE"),($AN440*2)/100,0))</f>
        <v>0.723</v>
      </c>
      <c r="BI440" s="153" t="n">
        <f aca="false">IF(AND($M440&lt;&gt;"",$N440="VCA",$Q440="LINEAR"),$M440,IF(AND($M440&lt;&gt;"",$N440="MND",$Q440="EMBOQUE"),$AN440*2,0))</f>
        <v>36.15</v>
      </c>
      <c r="BJ440" s="153" t="n">
        <f aca="false">IF(AND($M440&lt;&gt;"",$N440="VCA",$Q440="LINEAR"),($M440*6.8)/100,IF(AND($M440&lt;&gt;"",$N440="MND",$Q440="EMBOQUE"),($AN440*2*6.8)/100,0))</f>
        <v>2.4582</v>
      </c>
      <c r="BK440" s="153" t="n">
        <f aca="false">IF(AND($M440&lt;&gt;"",$N440="VCA",$Q440="LINEAR"),($M440*2.5)/50,IF(AND($M440&lt;&gt;"",$N440="MND",$Q440="EMBOQUE"),($AN440*2*2.5)/50,0))</f>
        <v>1.8075</v>
      </c>
      <c r="BL440" s="157" t="str">
        <f aca="false">K440&amp;J440</f>
        <v>Zona04REDES</v>
      </c>
      <c r="BM440" s="152" t="s">
        <v>2969</v>
      </c>
      <c r="BN440" s="152" t="s">
        <v>1560</v>
      </c>
      <c r="BO440" s="152" t="s">
        <v>1982</v>
      </c>
      <c r="BP440" s="152" t="s">
        <v>3187</v>
      </c>
      <c r="BQ440" s="152" t="s">
        <v>3208</v>
      </c>
      <c r="BR440" s="152" t="s">
        <v>3209</v>
      </c>
      <c r="BS440" s="152" t="n">
        <v>203507.285</v>
      </c>
      <c r="BT440" s="152" t="n">
        <v>8238311.543</v>
      </c>
      <c r="BU440" s="152" t="n">
        <v>203526.274</v>
      </c>
      <c r="BV440" s="152" t="n">
        <v>8238280.777</v>
      </c>
      <c r="BW440" s="152" t="n">
        <v>-15.9168513</v>
      </c>
      <c r="BX440" s="152" t="n">
        <v>-47.7690244</v>
      </c>
      <c r="BY440" s="152" t="s">
        <v>3187</v>
      </c>
    </row>
    <row r="441" customFormat="false" ht="13.8" hidden="false" customHeight="false" outlineLevel="0" collapsed="false">
      <c r="A441" s="149" t="n">
        <f aca="false">IF(C441&lt;&gt;"",ROW(A436),"")</f>
        <v>436</v>
      </c>
      <c r="B441" s="150" t="str">
        <f aca="false">HYPERLINK("https://www.google.com/maps/dir/-15.917302,-47.760003/-15.9167036,-47.7684258/data=!4m3!4m2!3e0!5i0")</f>
        <v>https://www.google.com/maps/dir/-15.917302,-47.760003/-15.9167036,-47.7684258/data=!4m3!4m2!3e0!5i0</v>
      </c>
      <c r="C441" s="151" t="s">
        <v>117</v>
      </c>
      <c r="D441" s="152" t="s">
        <v>112</v>
      </c>
      <c r="E441" s="152" t="s">
        <v>113</v>
      </c>
      <c r="F441" s="152" t="s">
        <v>117</v>
      </c>
      <c r="G441" s="152" t="s">
        <v>782</v>
      </c>
      <c r="H441" s="152" t="n">
        <v>63</v>
      </c>
      <c r="I441" s="152" t="s">
        <v>115</v>
      </c>
      <c r="J441" s="152" t="s">
        <v>6</v>
      </c>
      <c r="K441" s="152" t="s">
        <v>2966</v>
      </c>
      <c r="L441" s="152" t="s">
        <v>120</v>
      </c>
      <c r="M441" s="153" t="n">
        <f aca="false">63.51</f>
        <v>63.51</v>
      </c>
      <c r="N441" s="152" t="s">
        <v>1548</v>
      </c>
      <c r="O441" s="152" t="s">
        <v>1549</v>
      </c>
      <c r="P441" s="152" t="s">
        <v>1550</v>
      </c>
      <c r="Q441" s="152" t="s">
        <v>1551</v>
      </c>
      <c r="R441" s="154" t="s">
        <v>3210</v>
      </c>
      <c r="S441" s="154" t="s">
        <v>1553</v>
      </c>
      <c r="T441" s="155" t="s">
        <v>1979</v>
      </c>
      <c r="U441" s="152" t="str">
        <f aca="false">RIGHT(T441,7)</f>
        <v>006/037</v>
      </c>
      <c r="V441" s="152" t="s">
        <v>1555</v>
      </c>
      <c r="W441" s="156" t="n">
        <v>45882</v>
      </c>
      <c r="X441" s="152" t="s">
        <v>1594</v>
      </c>
      <c r="Y441" s="152" t="s">
        <v>3184</v>
      </c>
      <c r="Z441" s="152" t="s">
        <v>1557</v>
      </c>
      <c r="AA441" s="153" t="n">
        <v>2.3</v>
      </c>
      <c r="AB441" s="151" t="s">
        <v>3211</v>
      </c>
      <c r="AC441" s="151" t="s">
        <v>186</v>
      </c>
      <c r="AD441" s="151" t="str">
        <f aca="false">CONCATENATE($C441,$I441,$H441,$N441,$J441,$K441)</f>
        <v>TUBO PEADPEAD63VCAREDESZona04</v>
      </c>
      <c r="AE441" s="153" t="n">
        <f aca="false">IFERROR(INDEX(APOIO_REDES!$A:$W,MATCH($C441&amp;$I441&amp;$H441&amp;$N441&amp;$O441,APOIO_REDES!$W:$W,0),MATCH(AE$5,APOIO_REDES!$5:$5,0)),0)</f>
        <v>1.2</v>
      </c>
      <c r="AF441" s="153" t="n">
        <f aca="false">IFERROR(INDEX(APOIO_REDES!$A:$W,MATCH($C441&amp;$I441&amp;$H441&amp;$N441&amp;$O441,APOIO_REDES!$W:$W,0),MATCH(AF$5,APOIO_REDES!$5:$5,0)),0)</f>
        <v>1.363</v>
      </c>
      <c r="AG441" s="153" t="n">
        <f aca="false">IFERROR(INDEX(APOIO_REDES!$A:$W,MATCH($C441&amp;$I441&amp;$H441&amp;$N441&amp;$O441,APOIO_REDES!$W:$W,0),MATCH(AG$5,APOIO_REDES!$5:$5,0)),0)</f>
        <v>0.65</v>
      </c>
      <c r="AH441" s="153" t="n">
        <f aca="false">IFERROR(INDEX(APOIO_REDES!$A:$W,MATCH($C441&amp;$I441&amp;$H441&amp;$N441&amp;$O441,APOIO_REDES!$W:$W,0),MATCH(AH$5,APOIO_REDES!$5:$5,0)),0)</f>
        <v>0.1</v>
      </c>
      <c r="AI441" s="153" t="n">
        <f aca="false">IFERROR(IF($H441&lt;&gt;"",(((($H441/1000)/2)^2)*PI()*$M441),0),0)</f>
        <v>0.197976249671409</v>
      </c>
      <c r="AJ441" s="153" t="n">
        <f aca="false">IFERROR(IF(AND($H441&lt;&gt;"",$I441="FoFo",OR($N441="MND",$N441="VCA"),$Q441="LINEAR"),0,IF(AND($H441&lt;&gt;"",$I441="PEAD",$N441="VCA",$Q441="LINEAR"),($H441/1000)+0.3,IF(AND($H441&lt;&gt;"",$I441="PEAD",$N441="MND",$Q441="EMBOQUE"),0,IF(AND($H441&lt;&gt;"",$I441="PVC",$N441="VCA",$Q441="LINEAR"),($H441/1000)+0.2,IF(AND($H441&lt;&gt;"",$I441="PVC",$N441="MND",$Q441="EMBOQUE"),0,IF(AND($H441&lt;&gt;"",$I441="PEAD",$N441="VCA",$Q441="PREDIAL"),0,0)))))),0)</f>
        <v>0.363</v>
      </c>
      <c r="AK441" s="153" t="n">
        <f aca="false">IF(AA441&lt;&gt;"",AA441,0)</f>
        <v>2.3</v>
      </c>
      <c r="AL441" s="153" t="n">
        <f aca="false">IF(AND($N441="MND",$Q441="EMBOQUE"),$M441,IF(AND($N441="VCA",$Q441="LINEAR"),$M441,IF(AND($N441="VCA",$Q441="PREDIAL"),0,0)))</f>
        <v>63.51</v>
      </c>
      <c r="AM441" s="153" t="n">
        <f aca="false">IF(AND($N441="MND",$Q441="EMBOQUE"),$M441,IF(AND($N441="VCA",$Q441="LINEAR"),$M441,IF(AND($N441="VCA",$Q441="PREDIAL"),0,0)))</f>
        <v>63.51</v>
      </c>
      <c r="AN441" s="153" t="n">
        <f aca="false">ROUND(IF(AND($N441="VCA",$M441&lt;&gt;"",$Q441="LINEAR"),$M441/100,IF(AND($N441="MND",$M441&gt;100,$Q441="EMBOQUE"),$M441/100,0)),0)</f>
        <v>1</v>
      </c>
      <c r="AO441" s="153" t="n">
        <f aca="false">IF(AND($N441="MND",$Q441="EMBOQUE"),$AN441*2*2,IF(AND($N441="VCA",$Q441="LINEAR"),$M441*2,IF(AND($N441="VCA",$Q441="PREDIAL"),0,0)))</f>
        <v>127.02</v>
      </c>
      <c r="AP441" s="153" t="n">
        <f aca="false">IFERROR($M441*$AF441*$AG441,0)</f>
        <v>56.2666845</v>
      </c>
      <c r="AQ441" s="153" t="n">
        <f aca="false">IFERROR(IF(AND($N441="VCA",$AH441&gt;0),$M441*$AG441*$AH441,0),0)</f>
        <v>4.12815</v>
      </c>
      <c r="AR441" s="153" t="n">
        <f aca="false">IFERROR(IF(AND($N441="VCA",$AJ441&gt;0),($M441*$AG441*$AJ441)-$AI441,0),0)</f>
        <v>14.7872082503286</v>
      </c>
      <c r="AS441" s="153" t="n">
        <f aca="false">IFERROR(IF(AND($N441="VCA",$AP441&gt;0),$AP441-$AI441-$AQ441-$AR441,0),0)</f>
        <v>37.15335</v>
      </c>
      <c r="AT441" s="153" t="n">
        <f aca="false">IFERROR(IF($N441="VCA",INDEX(APOIO_REDES!$A:$W,MATCH($C441&amp;$I441&amp;$H441&amp;$N441&amp;$O441,APOIO_REDES!$W:$W,0),MATCH(AT$5,APOIO_REDES!$5:$5,0)),0)*$AP441,0)</f>
        <v>0.612198181448506</v>
      </c>
      <c r="AU441" s="153" t="n">
        <f aca="false">IFERROR(IF($N441="VCA",INDEX(APOIO_REDES!$A:$W,MATCH($C441&amp;$I441&amp;$H441&amp;$N441&amp;$O441,APOIO_REDES!$W:$W,0),MATCH(AU$5,APOIO_REDES!$5:$5,0)),0)*$AP441,0)</f>
        <v>0.488884887275285</v>
      </c>
      <c r="AV441" s="153" t="n">
        <f aca="false">IFERROR(IF($N441="VCA",INDEX(APOIO_REDES!$A:$W,MATCH($C441&amp;$I441&amp;$H441&amp;$N441&amp;$O441,APOIO_REDES!$W:$W,0),MATCH(AV$5,APOIO_REDES!$5:$5,0)),0)*$AP441,0)</f>
        <v>0.0676578305020578</v>
      </c>
      <c r="AW441" s="153" t="n">
        <f aca="false">IFERROR(IF($N441="VCA",INDEX(APOIO_REDES!$A:$W,MATCH($C441&amp;$I441&amp;$H441&amp;$N441&amp;$O441,APOIO_REDES!$W:$W,0),MATCH(AW$5,APOIO_REDES!$5:$5,0)),0)*$AP441,0)</f>
        <v>38.6218882163461</v>
      </c>
      <c r="AX441" s="153" t="n">
        <f aca="false">IFERROR(IF($N441="VCA",INDEX(APOIO_REDES!$A:$W,MATCH($C441&amp;$I441&amp;$H441&amp;$N441&amp;$O441,APOIO_REDES!$W:$W,0),MATCH(AX$5,APOIO_REDES!$5:$5,0)),0)*$AP441,0)</f>
        <v>5.34515931261122</v>
      </c>
      <c r="AY441" s="153" t="n">
        <f aca="false">IFERROR(IF($N441="VCA",INDEX(APOIO_REDES!$A:$W,MATCH($C441&amp;$I441&amp;$H441&amp;$N441&amp;$O441,APOIO_REDES!$W:$W,0),MATCH(AY$5,APOIO_REDES!$5:$5,0)),0)*$AP441,0)</f>
        <v>9.77769178603855</v>
      </c>
      <c r="AZ441" s="153" t="n">
        <f aca="false">IFERROR(IF($N441="VCA",INDEX(APOIO_REDES!$A:$W,MATCH($C441&amp;$I441&amp;$H441&amp;$N441&amp;$O441,APOIO_REDES!$W:$W,0),MATCH(AZ$5,APOIO_REDES!$5:$5,0)),0)*$AP441,0)</f>
        <v>1.35320428577832</v>
      </c>
      <c r="BA441" s="153" t="n">
        <f aca="false">IFERROR(IF(AND($N441="VCA",$Q441="LINEAR"),INDEX(APOIO_REDES!$A:$W,MATCH($C441&amp;$I441&amp;$H441&amp;$N441&amp;$O441,APOIO_REDES!$W:$W,0),MATCH(BA$5,APOIO_REDES!$5:$5,0)),IF(AND($N441="MND",$Q441="EMBOQUE"),INDEX(APOIO_REDES!$A:$W,MATCH($C441&amp;$I441&amp;$H441&amp;$N441&amp;$O441,APOIO_REDES!$W:$W,0),MATCH(BA$5,APOIO_REDES!$5:$5,0)),0))*$M441/10,0)</f>
        <v>5.11874580109185</v>
      </c>
      <c r="BB441" s="153" t="n">
        <f aca="false">IFERROR(IF($N441="VCA",INDEX(APOIO_REDES!$A:$W,MATCH($C441&amp;$I441&amp;$H441&amp;$N441&amp;$O441,APOIO_REDES!$W:$W,0),MATCH(BB$5,APOIO_REDES!$5:$5,0)),0)*($AI441+$AQ441+$AR441),0)</f>
        <v>18.9053757633818</v>
      </c>
      <c r="BC441" s="153" t="n">
        <f aca="false">IFERROR(IF($N441="VCA",INDEX(APOIO_REDES!$A:$W,MATCH($C441&amp;$I441&amp;$H441&amp;$N441&amp;$O441,APOIO_REDES!$W:$W,0),MATCH(BC$5,APOIO_REDES!$5:$5,0)),0)*($AI441+$AQ441+$AR441),0)</f>
        <v>0.207958736618238</v>
      </c>
      <c r="BD441" s="153" t="n">
        <f aca="false">IF(AND($N441="VCA",$AF441&gt;=1.25,$AF441&lt;1.5),$M441*$AF441*2,0)</f>
        <v>173.12826</v>
      </c>
      <c r="BE441" s="153" t="n">
        <f aca="false">IF(AND($N441="VCA",$AF441&gt;=1.5,$AF441&lt;3),$M441*$AF441*2,0)</f>
        <v>0</v>
      </c>
      <c r="BF441" s="153" t="n">
        <f aca="false">IF(AND($N441="VCA",$AF441&gt;=3),$M441*$AF441*2,0)</f>
        <v>0</v>
      </c>
      <c r="BG441" s="153" t="n">
        <f aca="false">($BB441+$BC441)*$AK441</f>
        <v>43.96066935</v>
      </c>
      <c r="BH441" s="153" t="n">
        <f aca="false">IF(AND($M441&lt;&gt;"",$N441="VCA",$Q441="LINEAR"),($M441*2)/100,IF(AND($M441&lt;&gt;"",$N441="MND",$Q441="EMBOQUE"),($AN441*2)/100,0))</f>
        <v>1.2702</v>
      </c>
      <c r="BI441" s="153" t="n">
        <f aca="false">IF(AND($M441&lt;&gt;"",$N441="VCA",$Q441="LINEAR"),$M441,IF(AND($M441&lt;&gt;"",$N441="MND",$Q441="EMBOQUE"),$AN441*2,0))</f>
        <v>63.51</v>
      </c>
      <c r="BJ441" s="153" t="n">
        <f aca="false">IF(AND($M441&lt;&gt;"",$N441="VCA",$Q441="LINEAR"),($M441*6.8)/100,IF(AND($M441&lt;&gt;"",$N441="MND",$Q441="EMBOQUE"),($AN441*2*6.8)/100,0))</f>
        <v>4.31868</v>
      </c>
      <c r="BK441" s="153" t="n">
        <f aca="false">IF(AND($M441&lt;&gt;"",$N441="VCA",$Q441="LINEAR"),($M441*2.5)/50,IF(AND($M441&lt;&gt;"",$N441="MND",$Q441="EMBOQUE"),($AN441*2*2.5)/50,0))</f>
        <v>3.1755</v>
      </c>
      <c r="BL441" s="157" t="str">
        <f aca="false">K441&amp;J441</f>
        <v>Zona04REDES</v>
      </c>
      <c r="BM441" s="152" t="s">
        <v>2969</v>
      </c>
      <c r="BN441" s="152" t="s">
        <v>1560</v>
      </c>
      <c r="BO441" s="152" t="s">
        <v>1982</v>
      </c>
      <c r="BP441" s="152" t="s">
        <v>3186</v>
      </c>
      <c r="BQ441" s="152" t="s">
        <v>3208</v>
      </c>
      <c r="BR441" s="152" t="s">
        <v>3212</v>
      </c>
      <c r="BS441" s="152" t="n">
        <v>203580.708</v>
      </c>
      <c r="BT441" s="152" t="n">
        <v>8238313.377</v>
      </c>
      <c r="BU441" s="152" t="n">
        <v>203526.274</v>
      </c>
      <c r="BV441" s="152" t="n">
        <v>8238280.777</v>
      </c>
      <c r="BW441" s="152" t="n">
        <v>-15.9168567</v>
      </c>
      <c r="BX441" s="152" t="n">
        <v>-47.7686762</v>
      </c>
      <c r="BY441" s="152" t="s">
        <v>3186</v>
      </c>
    </row>
    <row r="442" customFormat="false" ht="13.8" hidden="false" customHeight="false" outlineLevel="0" collapsed="false">
      <c r="A442" s="149" t="n">
        <f aca="false">IF(C442&lt;&gt;"",ROW(A437),"")</f>
        <v>437</v>
      </c>
      <c r="B442" s="150" t="str">
        <f aca="false">HYPERLINK("https://www.google.com/maps/dir/-15.917302,-47.760003/-15.9166807,-47.7703448/data=!4m3!4m2!3e0!5i0")</f>
        <v>https://www.google.com/maps/dir/-15.917302,-47.760003/-15.9166807,-47.7703448/data=!4m3!4m2!3e0!5i0</v>
      </c>
      <c r="C442" s="151" t="s">
        <v>117</v>
      </c>
      <c r="D442" s="152" t="s">
        <v>112</v>
      </c>
      <c r="E442" s="152" t="s">
        <v>113</v>
      </c>
      <c r="F442" s="152" t="s">
        <v>117</v>
      </c>
      <c r="G442" s="152" t="s">
        <v>114</v>
      </c>
      <c r="H442" s="152" t="n">
        <v>160</v>
      </c>
      <c r="I442" s="152" t="s">
        <v>115</v>
      </c>
      <c r="J442" s="152" t="s">
        <v>6</v>
      </c>
      <c r="K442" s="152" t="s">
        <v>2966</v>
      </c>
      <c r="L442" s="152" t="s">
        <v>120</v>
      </c>
      <c r="M442" s="153" t="n">
        <f aca="false">48.02</f>
        <v>48.02</v>
      </c>
      <c r="N442" s="152" t="s">
        <v>1548</v>
      </c>
      <c r="O442" s="152" t="s">
        <v>1549</v>
      </c>
      <c r="P442" s="152" t="s">
        <v>1550</v>
      </c>
      <c r="Q442" s="152" t="s">
        <v>1551</v>
      </c>
      <c r="R442" s="154" t="s">
        <v>3213</v>
      </c>
      <c r="S442" s="154" t="s">
        <v>1593</v>
      </c>
      <c r="T442" s="155" t="s">
        <v>1979</v>
      </c>
      <c r="U442" s="152" t="str">
        <f aca="false">RIGHT(T442,7)</f>
        <v>006/037</v>
      </c>
      <c r="V442" s="152" t="s">
        <v>1555</v>
      </c>
      <c r="W442" s="156" t="n">
        <v>45882</v>
      </c>
      <c r="X442" s="152" t="s">
        <v>1594</v>
      </c>
      <c r="Y442" s="152" t="s">
        <v>3202</v>
      </c>
      <c r="Z442" s="152" t="s">
        <v>1557</v>
      </c>
      <c r="AA442" s="153" t="n">
        <v>2.3</v>
      </c>
      <c r="AB442" s="151" t="s">
        <v>3214</v>
      </c>
      <c r="AC442" s="151" t="s">
        <v>505</v>
      </c>
      <c r="AD442" s="151" t="str">
        <f aca="false">CONCATENATE($C442,$I442,$H442,$N442,$J442,$K442)</f>
        <v>TUBO PEADPEAD160VCAREDESZona04</v>
      </c>
      <c r="AE442" s="153" t="n">
        <f aca="false">IFERROR(INDEX(APOIO_REDES!$A:$W,MATCH($C442&amp;$I442&amp;$H442&amp;$N442&amp;$O442,APOIO_REDES!$W:$W,0),MATCH(AE$5,APOIO_REDES!$5:$5,0)),0)</f>
        <v>1.2</v>
      </c>
      <c r="AF442" s="153" t="n">
        <f aca="false">IFERROR(INDEX(APOIO_REDES!$A:$W,MATCH($C442&amp;$I442&amp;$H442&amp;$N442&amp;$O442,APOIO_REDES!$W:$W,0),MATCH(AF$5,APOIO_REDES!$5:$5,0)),0)</f>
        <v>1.46</v>
      </c>
      <c r="AG442" s="153" t="n">
        <f aca="false">IFERROR(INDEX(APOIO_REDES!$A:$W,MATCH($C442&amp;$I442&amp;$H442&amp;$N442&amp;$O442,APOIO_REDES!$W:$W,0),MATCH(AG$5,APOIO_REDES!$5:$5,0)),0)</f>
        <v>0.75</v>
      </c>
      <c r="AH442" s="153" t="n">
        <f aca="false">IFERROR(INDEX(APOIO_REDES!$A:$W,MATCH($C442&amp;$I442&amp;$H442&amp;$N442&amp;$O442,APOIO_REDES!$W:$W,0),MATCH(AH$5,APOIO_REDES!$5:$5,0)),0)</f>
        <v>0.1</v>
      </c>
      <c r="AI442" s="153" t="n">
        <f aca="false">IFERROR(IF($H442&lt;&gt;"",(((($H442/1000)/2)^2)*PI()*$M442),0),0)</f>
        <v>0.965499387042444</v>
      </c>
      <c r="AJ442" s="153" t="n">
        <f aca="false">IFERROR(IF(AND($H442&lt;&gt;"",$I442="FoFo",OR($N442="MND",$N442="VCA"),$Q442="LINEAR"),0,IF(AND($H442&lt;&gt;"",$I442="PEAD",$N442="VCA",$Q442="LINEAR"),($H442/1000)+0.3,IF(AND($H442&lt;&gt;"",$I442="PEAD",$N442="MND",$Q442="EMBOQUE"),0,IF(AND($H442&lt;&gt;"",$I442="PVC",$N442="VCA",$Q442="LINEAR"),($H442/1000)+0.2,IF(AND($H442&lt;&gt;"",$I442="PVC",$N442="MND",$Q442="EMBOQUE"),0,IF(AND($H442&lt;&gt;"",$I442="PEAD",$N442="VCA",$Q442="PREDIAL"),0,0)))))),0)</f>
        <v>0.46</v>
      </c>
      <c r="AK442" s="153" t="n">
        <f aca="false">IF(AA442&lt;&gt;"",AA442,0)</f>
        <v>2.3</v>
      </c>
      <c r="AL442" s="153" t="n">
        <f aca="false">IF(AND($N442="MND",$Q442="EMBOQUE"),$M442,IF(AND($N442="VCA",$Q442="LINEAR"),$M442,IF(AND($N442="VCA",$Q442="PREDIAL"),0,0)))</f>
        <v>48.02</v>
      </c>
      <c r="AM442" s="153" t="n">
        <f aca="false">IF(AND($N442="MND",$Q442="EMBOQUE"),$M442,IF(AND($N442="VCA",$Q442="LINEAR"),$M442,IF(AND($N442="VCA",$Q442="PREDIAL"),0,0)))</f>
        <v>48.02</v>
      </c>
      <c r="AN442" s="153" t="n">
        <f aca="false">ROUND(IF(AND($N442="VCA",$M442&lt;&gt;"",$Q442="LINEAR"),$M442/100,IF(AND($N442="MND",$M442&gt;100,$Q442="EMBOQUE"),$M442/100,0)),0)</f>
        <v>0</v>
      </c>
      <c r="AO442" s="153" t="n">
        <f aca="false">IF(AND($N442="MND",$Q442="EMBOQUE"),$AN442*2*2,IF(AND($N442="VCA",$Q442="LINEAR"),$M442*2,IF(AND($N442="VCA",$Q442="PREDIAL"),0,0)))</f>
        <v>96.04</v>
      </c>
      <c r="AP442" s="153" t="n">
        <f aca="false">IFERROR($M442*$AF442*$AG442,0)</f>
        <v>52.5819</v>
      </c>
      <c r="AQ442" s="153" t="n">
        <f aca="false">IFERROR(IF(AND($N442="VCA",$AH442&gt;0),$M442*$AG442*$AH442,0),0)</f>
        <v>3.6015</v>
      </c>
      <c r="AR442" s="153" t="n">
        <f aca="false">IFERROR(IF(AND($N442="VCA",$AJ442&gt;0),($M442*$AG442*$AJ442)-$AI442,0),0)</f>
        <v>15.6014006129576</v>
      </c>
      <c r="AS442" s="153" t="n">
        <f aca="false">IFERROR(IF(AND($N442="VCA",$AP442&gt;0),$AP442-$AI442-$AQ442-$AR442,0),0)</f>
        <v>32.4135</v>
      </c>
      <c r="AT442" s="153" t="n">
        <f aca="false">IFERROR(IF($N442="VCA",INDEX(APOIO_REDES!$A:$W,MATCH($C442&amp;$I442&amp;$H442&amp;$N442&amp;$O442,APOIO_REDES!$W:$W,0),MATCH(AT$5,APOIO_REDES!$5:$5,0)),0)*$AP442,0)</f>
        <v>0.572106635447966</v>
      </c>
      <c r="AU442" s="153" t="n">
        <f aca="false">IFERROR(IF($N442="VCA",INDEX(APOIO_REDES!$A:$W,MATCH($C442&amp;$I442&amp;$H442&amp;$N442&amp;$O442,APOIO_REDES!$W:$W,0),MATCH(AU$5,APOIO_REDES!$5:$5,0)),0)*$AP442,0)</f>
        <v>0.456868864456023</v>
      </c>
      <c r="AV442" s="153" t="n">
        <f aca="false">IFERROR(IF($N442="VCA",INDEX(APOIO_REDES!$A:$W,MATCH($C442&amp;$I442&amp;$H442&amp;$N442&amp;$O442,APOIO_REDES!$W:$W,0),MATCH(AV$5,APOIO_REDES!$5:$5,0)),0)*$AP442,0)</f>
        <v>0.0632270642795054</v>
      </c>
      <c r="AW442" s="153" t="n">
        <f aca="false">IFERROR(IF($N442="VCA",INDEX(APOIO_REDES!$A:$W,MATCH($C442&amp;$I442&amp;$H442&amp;$N442&amp;$O442,APOIO_REDES!$W:$W,0),MATCH(AW$5,APOIO_REDES!$5:$5,0)),0)*$AP442,0)</f>
        <v>36.0926235844425</v>
      </c>
      <c r="AX442" s="153" t="n">
        <f aca="false">IFERROR(IF($N442="VCA",INDEX(APOIO_REDES!$A:$W,MATCH($C442&amp;$I442&amp;$H442&amp;$N442&amp;$O442,APOIO_REDES!$W:$W,0),MATCH(AX$5,APOIO_REDES!$5:$5,0)),0)*$AP442,0)</f>
        <v>4.99511629230245</v>
      </c>
      <c r="AY442" s="153" t="n">
        <f aca="false">IFERROR(IF($N442="VCA",INDEX(APOIO_REDES!$A:$W,MATCH($C442&amp;$I442&amp;$H442&amp;$N442&amp;$O442,APOIO_REDES!$W:$W,0),MATCH(AY$5,APOIO_REDES!$5:$5,0)),0)*$AP442,0)</f>
        <v>9.13737171992603</v>
      </c>
      <c r="AZ442" s="153" t="n">
        <f aca="false">IFERROR(IF($N442="VCA",INDEX(APOIO_REDES!$A:$W,MATCH($C442&amp;$I442&amp;$H442&amp;$N442&amp;$O442,APOIO_REDES!$W:$W,0),MATCH(AZ$5,APOIO_REDES!$5:$5,0)),0)*$AP442,0)</f>
        <v>1.26458583914549</v>
      </c>
      <c r="BA442" s="153" t="n">
        <f aca="false">IFERROR(IF(AND($N442="VCA",$Q442="LINEAR"),INDEX(APOIO_REDES!$A:$W,MATCH($C442&amp;$I442&amp;$H442&amp;$N442&amp;$O442,APOIO_REDES!$W:$W,0),MATCH(BA$5,APOIO_REDES!$5:$5,0)),IF(AND($N442="MND",$Q442="EMBOQUE"),INDEX(APOIO_REDES!$A:$W,MATCH($C442&amp;$I442&amp;$H442&amp;$N442&amp;$O442,APOIO_REDES!$W:$W,0),MATCH(BA$5,APOIO_REDES!$5:$5,0)),0))*$M442/10,0)</f>
        <v>3.87029087338105</v>
      </c>
      <c r="BB442" s="153" t="n">
        <f aca="false">IFERROR(IF($N442="VCA",INDEX(APOIO_REDES!$A:$W,MATCH($C442&amp;$I442&amp;$H442&amp;$N442&amp;$O442,APOIO_REDES!$W:$W,0),MATCH(BB$5,APOIO_REDES!$5:$5,0)),0)*($AI442+$AQ442+$AR442),0)</f>
        <v>19.9489618384583</v>
      </c>
      <c r="BC442" s="153" t="n">
        <f aca="false">IFERROR(IF($N442="VCA",INDEX(APOIO_REDES!$A:$W,MATCH($C442&amp;$I442&amp;$H442&amp;$N442&amp;$O442,APOIO_REDES!$W:$W,0),MATCH(BC$5,APOIO_REDES!$5:$5,0)),0)*($AI442+$AQ442+$AR442),0)</f>
        <v>0.219438161541685</v>
      </c>
      <c r="BD442" s="153" t="n">
        <f aca="false">IF(AND($N442="VCA",$AF442&gt;=1.25,$AF442&lt;1.5),$M442*$AF442*2,0)</f>
        <v>140.2184</v>
      </c>
      <c r="BE442" s="153" t="n">
        <f aca="false">IF(AND($N442="VCA",$AF442&gt;=1.5,$AF442&lt;3),$M442*$AF442*2,0)</f>
        <v>0</v>
      </c>
      <c r="BF442" s="153" t="n">
        <f aca="false">IF(AND($N442="VCA",$AF442&gt;=3),$M442*$AF442*2,0)</f>
        <v>0</v>
      </c>
      <c r="BG442" s="153" t="n">
        <f aca="false">($BB442+$BC442)*$AK442</f>
        <v>46.38732</v>
      </c>
      <c r="BH442" s="153" t="n">
        <f aca="false">IF(AND($M442&lt;&gt;"",$N442="VCA",$Q442="LINEAR"),($M442*2)/100,IF(AND($M442&lt;&gt;"",$N442="MND",$Q442="EMBOQUE"),($AN442*2)/100,0))</f>
        <v>0.9604</v>
      </c>
      <c r="BI442" s="153" t="n">
        <f aca="false">IF(AND($M442&lt;&gt;"",$N442="VCA",$Q442="LINEAR"),$M442,IF(AND($M442&lt;&gt;"",$N442="MND",$Q442="EMBOQUE"),$AN442*2,0))</f>
        <v>48.02</v>
      </c>
      <c r="BJ442" s="153" t="n">
        <f aca="false">IF(AND($M442&lt;&gt;"",$N442="VCA",$Q442="LINEAR"),($M442*6.8)/100,IF(AND($M442&lt;&gt;"",$N442="MND",$Q442="EMBOQUE"),($AN442*2*6.8)/100,0))</f>
        <v>3.26536</v>
      </c>
      <c r="BK442" s="153" t="n">
        <f aca="false">IF(AND($M442&lt;&gt;"",$N442="VCA",$Q442="LINEAR"),($M442*2.5)/50,IF(AND($M442&lt;&gt;"",$N442="MND",$Q442="EMBOQUE"),($AN442*2*2.5)/50,0))</f>
        <v>2.401</v>
      </c>
      <c r="BL442" s="157" t="str">
        <f aca="false">K442&amp;J442</f>
        <v>Zona04REDES</v>
      </c>
      <c r="BM442" s="152" t="s">
        <v>2969</v>
      </c>
      <c r="BN442" s="152" t="s">
        <v>1560</v>
      </c>
      <c r="BO442" s="152" t="s">
        <v>1982</v>
      </c>
      <c r="BP442" s="152" t="s">
        <v>3197</v>
      </c>
      <c r="BQ442" s="152" t="s">
        <v>3215</v>
      </c>
      <c r="BR442" s="152" t="s">
        <v>3216</v>
      </c>
      <c r="BS442" s="152" t="n">
        <v>203375.068</v>
      </c>
      <c r="BT442" s="152" t="n">
        <v>8238313.182</v>
      </c>
      <c r="BU442" s="152" t="n">
        <v>203346.671</v>
      </c>
      <c r="BV442" s="152" t="n">
        <v>8238274.455</v>
      </c>
      <c r="BW442" s="152" t="n">
        <v>-15.9168535</v>
      </c>
      <c r="BX442" s="152" t="n">
        <v>-47.7704802</v>
      </c>
      <c r="BY442" s="152" t="s">
        <v>3197</v>
      </c>
    </row>
    <row r="443" customFormat="false" ht="13.8" hidden="false" customHeight="false" outlineLevel="0" collapsed="false">
      <c r="A443" s="149" t="n">
        <f aca="false">IF(C443&lt;&gt;"",ROW(A438),"")</f>
        <v>438</v>
      </c>
      <c r="B443" s="150" t="str">
        <f aca="false">HYPERLINK("https://www.google.com/maps/dir/-15.917302,-47.760003/-15.9171014,-47.7694822/data=!4m3!4m2!3e0!5i0")</f>
        <v>https://www.google.com/maps/dir/-15.917302,-47.760003/-15.9171014,-47.7694822/data=!4m3!4m2!3e0!5i0</v>
      </c>
      <c r="C443" s="151" t="s">
        <v>117</v>
      </c>
      <c r="D443" s="152" t="s">
        <v>112</v>
      </c>
      <c r="E443" s="152" t="s">
        <v>113</v>
      </c>
      <c r="F443" s="152" t="s">
        <v>117</v>
      </c>
      <c r="G443" s="152" t="s">
        <v>782</v>
      </c>
      <c r="H443" s="152" t="n">
        <v>63</v>
      </c>
      <c r="I443" s="152" t="s">
        <v>115</v>
      </c>
      <c r="J443" s="152" t="s">
        <v>6</v>
      </c>
      <c r="K443" s="152" t="s">
        <v>2966</v>
      </c>
      <c r="L443" s="152" t="s">
        <v>120</v>
      </c>
      <c r="M443" s="153" t="n">
        <f aca="false">58.82</f>
        <v>58.82</v>
      </c>
      <c r="N443" s="152" t="s">
        <v>1548</v>
      </c>
      <c r="O443" s="152" t="s">
        <v>1549</v>
      </c>
      <c r="P443" s="152" t="s">
        <v>1550</v>
      </c>
      <c r="Q443" s="152" t="s">
        <v>1551</v>
      </c>
      <c r="R443" s="154" t="s">
        <v>3217</v>
      </c>
      <c r="S443" s="154" t="s">
        <v>1553</v>
      </c>
      <c r="T443" s="155" t="s">
        <v>1979</v>
      </c>
      <c r="U443" s="152" t="str">
        <f aca="false">RIGHT(T443,7)</f>
        <v>006/037</v>
      </c>
      <c r="V443" s="152" t="s">
        <v>1555</v>
      </c>
      <c r="W443" s="156" t="n">
        <v>45882</v>
      </c>
      <c r="X443" s="152" t="s">
        <v>1594</v>
      </c>
      <c r="Y443" s="152" t="s">
        <v>3202</v>
      </c>
      <c r="Z443" s="152" t="s">
        <v>1557</v>
      </c>
      <c r="AA443" s="153" t="n">
        <v>2.4</v>
      </c>
      <c r="AB443" s="151" t="s">
        <v>3218</v>
      </c>
      <c r="AC443" s="151" t="s">
        <v>186</v>
      </c>
      <c r="AD443" s="151" t="str">
        <f aca="false">CONCATENATE($C443,$I443,$H443,$N443,$J443,$K443)</f>
        <v>TUBO PEADPEAD63VCAREDESZona04</v>
      </c>
      <c r="AE443" s="153" t="n">
        <f aca="false">IFERROR(INDEX(APOIO_REDES!$A:$W,MATCH($C443&amp;$I443&amp;$H443&amp;$N443&amp;$O443,APOIO_REDES!$W:$W,0),MATCH(AE$5,APOIO_REDES!$5:$5,0)),0)</f>
        <v>1.2</v>
      </c>
      <c r="AF443" s="153" t="n">
        <f aca="false">IFERROR(INDEX(APOIO_REDES!$A:$W,MATCH($C443&amp;$I443&amp;$H443&amp;$N443&amp;$O443,APOIO_REDES!$W:$W,0),MATCH(AF$5,APOIO_REDES!$5:$5,0)),0)</f>
        <v>1.363</v>
      </c>
      <c r="AG443" s="153" t="n">
        <f aca="false">IFERROR(INDEX(APOIO_REDES!$A:$W,MATCH($C443&amp;$I443&amp;$H443&amp;$N443&amp;$O443,APOIO_REDES!$W:$W,0),MATCH(AG$5,APOIO_REDES!$5:$5,0)),0)</f>
        <v>0.65</v>
      </c>
      <c r="AH443" s="153" t="n">
        <f aca="false">IFERROR(INDEX(APOIO_REDES!$A:$W,MATCH($C443&amp;$I443&amp;$H443&amp;$N443&amp;$O443,APOIO_REDES!$W:$W,0),MATCH(AH$5,APOIO_REDES!$5:$5,0)),0)</f>
        <v>0.1</v>
      </c>
      <c r="AI443" s="153" t="n">
        <f aca="false">IFERROR(IF($H443&lt;&gt;"",(((($H443/1000)/2)^2)*PI()*$M443),0),0)</f>
        <v>0.183356369165049</v>
      </c>
      <c r="AJ443" s="153" t="n">
        <f aca="false">IFERROR(IF(AND($H443&lt;&gt;"",$I443="FoFo",OR($N443="MND",$N443="VCA"),$Q443="LINEAR"),0,IF(AND($H443&lt;&gt;"",$I443="PEAD",$N443="VCA",$Q443="LINEAR"),($H443/1000)+0.3,IF(AND($H443&lt;&gt;"",$I443="PEAD",$N443="MND",$Q443="EMBOQUE"),0,IF(AND($H443&lt;&gt;"",$I443="PVC",$N443="VCA",$Q443="LINEAR"),($H443/1000)+0.2,IF(AND($H443&lt;&gt;"",$I443="PVC",$N443="MND",$Q443="EMBOQUE"),0,IF(AND($H443&lt;&gt;"",$I443="PEAD",$N443="VCA",$Q443="PREDIAL"),0,0)))))),0)</f>
        <v>0.363</v>
      </c>
      <c r="AK443" s="153" t="n">
        <f aca="false">IF(AA443&lt;&gt;"",AA443,0)</f>
        <v>2.4</v>
      </c>
      <c r="AL443" s="153" t="n">
        <f aca="false">IF(AND($N443="MND",$Q443="EMBOQUE"),$M443,IF(AND($N443="VCA",$Q443="LINEAR"),$M443,IF(AND($N443="VCA",$Q443="PREDIAL"),0,0)))</f>
        <v>58.82</v>
      </c>
      <c r="AM443" s="153" t="n">
        <f aca="false">IF(AND($N443="MND",$Q443="EMBOQUE"),$M443,IF(AND($N443="VCA",$Q443="LINEAR"),$M443,IF(AND($N443="VCA",$Q443="PREDIAL"),0,0)))</f>
        <v>58.82</v>
      </c>
      <c r="AN443" s="153" t="n">
        <f aca="false">ROUND(IF(AND($N443="VCA",$M443&lt;&gt;"",$Q443="LINEAR"),$M443/100,IF(AND($N443="MND",$M443&gt;100,$Q443="EMBOQUE"),$M443/100,0)),0)</f>
        <v>1</v>
      </c>
      <c r="AO443" s="153" t="n">
        <f aca="false">IF(AND($N443="MND",$Q443="EMBOQUE"),$AN443*2*2,IF(AND($N443="VCA",$Q443="LINEAR"),$M443*2,IF(AND($N443="VCA",$Q443="PREDIAL"),0,0)))</f>
        <v>117.64</v>
      </c>
      <c r="AP443" s="153" t="n">
        <f aca="false">IFERROR($M443*$AF443*$AG443,0)</f>
        <v>52.111579</v>
      </c>
      <c r="AQ443" s="153" t="n">
        <f aca="false">IFERROR(IF(AND($N443="VCA",$AH443&gt;0),$M443*$AG443*$AH443,0),0)</f>
        <v>3.8233</v>
      </c>
      <c r="AR443" s="153" t="n">
        <f aca="false">IFERROR(IF(AND($N443="VCA",$AJ443&gt;0),($M443*$AG443*$AJ443)-$AI443,0),0)</f>
        <v>13.695222630835</v>
      </c>
      <c r="AS443" s="153" t="n">
        <f aca="false">IFERROR(IF(AND($N443="VCA",$AP443&gt;0),$AP443-$AI443-$AQ443-$AR443,0),0)</f>
        <v>34.4097</v>
      </c>
      <c r="AT443" s="153" t="n">
        <f aca="false">IFERROR(IF($N443="VCA",INDEX(APOIO_REDES!$A:$W,MATCH($C443&amp;$I443&amp;$H443&amp;$N443&amp;$O443,APOIO_REDES!$W:$W,0),MATCH(AT$5,APOIO_REDES!$5:$5,0)),0)*$AP443,0)</f>
        <v>0.566989403760056</v>
      </c>
      <c r="AU443" s="153" t="n">
        <f aca="false">IFERROR(IF($N443="VCA",INDEX(APOIO_REDES!$A:$W,MATCH($C443&amp;$I443&amp;$H443&amp;$N443&amp;$O443,APOIO_REDES!$W:$W,0),MATCH(AU$5,APOIO_REDES!$5:$5,0)),0)*$AP443,0)</f>
        <v>0.452782381822268</v>
      </c>
      <c r="AV443" s="153" t="n">
        <f aca="false">IFERROR(IF($N443="VCA",INDEX(APOIO_REDES!$A:$W,MATCH($C443&amp;$I443&amp;$H443&amp;$N443&amp;$O443,APOIO_REDES!$W:$W,0),MATCH(AV$5,APOIO_REDES!$5:$5,0)),0)*$AP443,0)</f>
        <v>0.0626615271631403</v>
      </c>
      <c r="AW443" s="153" t="n">
        <f aca="false">IFERROR(IF($N443="VCA",INDEX(APOIO_REDES!$A:$W,MATCH($C443&amp;$I443&amp;$H443&amp;$N443&amp;$O443,APOIO_REDES!$W:$W,0),MATCH(AW$5,APOIO_REDES!$5:$5,0)),0)*$AP443,0)</f>
        <v>35.7697916058176</v>
      </c>
      <c r="AX443" s="153" t="n">
        <f aca="false">IFERROR(IF($N443="VCA",INDEX(APOIO_REDES!$A:$W,MATCH($C443&amp;$I443&amp;$H443&amp;$N443&amp;$O443,APOIO_REDES!$W:$W,0),MATCH(AX$5,APOIO_REDES!$5:$5,0)),0)*$AP443,0)</f>
        <v>4.95043726606506</v>
      </c>
      <c r="AY443" s="153" t="n">
        <f aca="false">IFERROR(IF($N443="VCA",INDEX(APOIO_REDES!$A:$W,MATCH($C443&amp;$I443&amp;$H443&amp;$N443&amp;$O443,APOIO_REDES!$W:$W,0),MATCH(AY$5,APOIO_REDES!$5:$5,0)),0)*$AP443,0)</f>
        <v>9.05564211706484</v>
      </c>
      <c r="AZ443" s="153" t="n">
        <f aca="false">IFERROR(IF($N443="VCA",INDEX(APOIO_REDES!$A:$W,MATCH($C443&amp;$I443&amp;$H443&amp;$N443&amp;$O443,APOIO_REDES!$W:$W,0),MATCH(AZ$5,APOIO_REDES!$5:$5,0)),0)*$AP443,0)</f>
        <v>1.25327469830705</v>
      </c>
      <c r="BA443" s="153" t="n">
        <f aca="false">IFERROR(IF(AND($N443="VCA",$Q443="LINEAR"),INDEX(APOIO_REDES!$A:$W,MATCH($C443&amp;$I443&amp;$H443&amp;$N443&amp;$O443,APOIO_REDES!$W:$W,0),MATCH(BA$5,APOIO_REDES!$5:$5,0)),IF(AND($N443="MND",$Q443="EMBOQUE"),INDEX(APOIO_REDES!$A:$W,MATCH($C443&amp;$I443&amp;$H443&amp;$N443&amp;$O443,APOIO_REDES!$W:$W,0),MATCH(BA$5,APOIO_REDES!$5:$5,0)),0))*$M443/10,0)</f>
        <v>4.74074363124268</v>
      </c>
      <c r="BB443" s="153" t="n">
        <f aca="false">IFERROR(IF($N443="VCA",INDEX(APOIO_REDES!$A:$W,MATCH($C443&amp;$I443&amp;$H443&amp;$N443&amp;$O443,APOIO_REDES!$W:$W,0),MATCH(BB$5,APOIO_REDES!$5:$5,0)),0)*($AI443+$AQ443+$AR443),0)</f>
        <v>17.5092773169913</v>
      </c>
      <c r="BC443" s="153" t="n">
        <f aca="false">IFERROR(IF($N443="VCA",INDEX(APOIO_REDES!$A:$W,MATCH($C443&amp;$I443&amp;$H443&amp;$N443&amp;$O443,APOIO_REDES!$W:$W,0),MATCH(BC$5,APOIO_REDES!$5:$5,0)),0)*($AI443+$AQ443+$AR443),0)</f>
        <v>0.192601683008735</v>
      </c>
      <c r="BD443" s="153" t="n">
        <f aca="false">IF(AND($N443="VCA",$AF443&gt;=1.25,$AF443&lt;1.5),$M443*$AF443*2,0)</f>
        <v>160.34332</v>
      </c>
      <c r="BE443" s="153" t="n">
        <f aca="false">IF(AND($N443="VCA",$AF443&gt;=1.5,$AF443&lt;3),$M443*$AF443*2,0)</f>
        <v>0</v>
      </c>
      <c r="BF443" s="153" t="n">
        <f aca="false">IF(AND($N443="VCA",$AF443&gt;=3),$M443*$AF443*2,0)</f>
        <v>0</v>
      </c>
      <c r="BG443" s="153" t="n">
        <f aca="false">($BB443+$BC443)*$AK443</f>
        <v>42.4845096</v>
      </c>
      <c r="BH443" s="153" t="n">
        <f aca="false">IF(AND($M443&lt;&gt;"",$N443="VCA",$Q443="LINEAR"),($M443*2)/100,IF(AND($M443&lt;&gt;"",$N443="MND",$Q443="EMBOQUE"),($AN443*2)/100,0))</f>
        <v>1.1764</v>
      </c>
      <c r="BI443" s="153" t="n">
        <f aca="false">IF(AND($M443&lt;&gt;"",$N443="VCA",$Q443="LINEAR"),$M443,IF(AND($M443&lt;&gt;"",$N443="MND",$Q443="EMBOQUE"),$AN443*2,0))</f>
        <v>58.82</v>
      </c>
      <c r="BJ443" s="153" t="n">
        <f aca="false">IF(AND($M443&lt;&gt;"",$N443="VCA",$Q443="LINEAR"),($M443*6.8)/100,IF(AND($M443&lt;&gt;"",$N443="MND",$Q443="EMBOQUE"),($AN443*2*6.8)/100,0))</f>
        <v>3.99976</v>
      </c>
      <c r="BK443" s="153" t="n">
        <f aca="false">IF(AND($M443&lt;&gt;"",$N443="VCA",$Q443="LINEAR"),($M443*2.5)/50,IF(AND($M443&lt;&gt;"",$N443="MND",$Q443="EMBOQUE"),($AN443*2*2.5)/50,0))</f>
        <v>2.941</v>
      </c>
      <c r="BL443" s="157" t="str">
        <f aca="false">K443&amp;J443</f>
        <v>Zona04REDES</v>
      </c>
      <c r="BM443" s="152" t="s">
        <v>2969</v>
      </c>
      <c r="BN443" s="152" t="s">
        <v>1560</v>
      </c>
      <c r="BO443" s="152" t="s">
        <v>1982</v>
      </c>
      <c r="BP443" s="152" t="s">
        <v>3204</v>
      </c>
      <c r="BQ443" s="152" t="s">
        <v>3187</v>
      </c>
      <c r="BR443" s="152" t="s">
        <v>3219</v>
      </c>
      <c r="BS443" s="152" t="n">
        <v>203468.108</v>
      </c>
      <c r="BT443" s="152" t="n">
        <v>8238267.832</v>
      </c>
      <c r="BU443" s="152" t="n">
        <v>203507.285</v>
      </c>
      <c r="BV443" s="152" t="n">
        <v>8238311.543</v>
      </c>
      <c r="BW443" s="152" t="n">
        <v>-15.9169018</v>
      </c>
      <c r="BX443" s="152" t="n">
        <v>-47.7693011</v>
      </c>
      <c r="BY443" s="152" t="s">
        <v>3204</v>
      </c>
    </row>
    <row r="444" customFormat="false" ht="13.8" hidden="false" customHeight="false" outlineLevel="0" collapsed="false">
      <c r="A444" s="149" t="n">
        <f aca="false">IF(C444&lt;&gt;"",ROW(A439),"")</f>
        <v>439</v>
      </c>
      <c r="B444" s="150" t="str">
        <f aca="false">HYPERLINK("https://www.google.com/maps/dir/-15.917302,-47.760003/-15.9165264,-47.7671754/data=!4m3!4m2!3e0!5i0")</f>
        <v>https://www.google.com/maps/dir/-15.917302,-47.760003/-15.9165264,-47.7671754/data=!4m3!4m2!3e0!5i0</v>
      </c>
      <c r="C444" s="151" t="s">
        <v>117</v>
      </c>
      <c r="D444" s="152" t="s">
        <v>112</v>
      </c>
      <c r="E444" s="152" t="s">
        <v>113</v>
      </c>
      <c r="F444" s="152" t="s">
        <v>117</v>
      </c>
      <c r="G444" s="152" t="s">
        <v>782</v>
      </c>
      <c r="H444" s="152" t="n">
        <v>63</v>
      </c>
      <c r="I444" s="152" t="s">
        <v>115</v>
      </c>
      <c r="J444" s="152" t="s">
        <v>6</v>
      </c>
      <c r="K444" s="152" t="s">
        <v>2966</v>
      </c>
      <c r="L444" s="152" t="s">
        <v>120</v>
      </c>
      <c r="M444" s="153" t="n">
        <f aca="false">148.65+0.39</f>
        <v>149.04</v>
      </c>
      <c r="N444" s="152" t="s">
        <v>1548</v>
      </c>
      <c r="O444" s="152" t="s">
        <v>1549</v>
      </c>
      <c r="P444" s="152" t="s">
        <v>1550</v>
      </c>
      <c r="Q444" s="152" t="s">
        <v>1551</v>
      </c>
      <c r="R444" s="154" t="s">
        <v>3220</v>
      </c>
      <c r="S444" s="154" t="s">
        <v>1553</v>
      </c>
      <c r="T444" s="155" t="s">
        <v>1979</v>
      </c>
      <c r="U444" s="152" t="str">
        <f aca="false">RIGHT(T444,7)</f>
        <v>006/037</v>
      </c>
      <c r="V444" s="152" t="s">
        <v>1555</v>
      </c>
      <c r="W444" s="156" t="n">
        <v>45882</v>
      </c>
      <c r="X444" s="152" t="s">
        <v>1594</v>
      </c>
      <c r="Y444" s="152" t="s">
        <v>3015</v>
      </c>
      <c r="Z444" s="152" t="s">
        <v>1557</v>
      </c>
      <c r="AA444" s="153" t="n">
        <v>2.5</v>
      </c>
      <c r="AB444" s="151" t="s">
        <v>3221</v>
      </c>
      <c r="AC444" s="151" t="s">
        <v>186</v>
      </c>
      <c r="AD444" s="151" t="str">
        <f aca="false">CONCATENATE($C444,$I444,$H444,$N444,$J444,$K444)</f>
        <v>TUBO PEADPEAD63VCAREDESZona04</v>
      </c>
      <c r="AE444" s="153" t="n">
        <f aca="false">IFERROR(INDEX(APOIO_REDES!$A:$W,MATCH($C444&amp;$I444&amp;$H444&amp;$N444&amp;$O444,APOIO_REDES!$W:$W,0),MATCH(AE$5,APOIO_REDES!$5:$5,0)),0)</f>
        <v>1.2</v>
      </c>
      <c r="AF444" s="153" t="n">
        <f aca="false">IFERROR(INDEX(APOIO_REDES!$A:$W,MATCH($C444&amp;$I444&amp;$H444&amp;$N444&amp;$O444,APOIO_REDES!$W:$W,0),MATCH(AF$5,APOIO_REDES!$5:$5,0)),0)</f>
        <v>1.363</v>
      </c>
      <c r="AG444" s="153" t="n">
        <f aca="false">IFERROR(INDEX(APOIO_REDES!$A:$W,MATCH($C444&amp;$I444&amp;$H444&amp;$N444&amp;$O444,APOIO_REDES!$W:$W,0),MATCH(AG$5,APOIO_REDES!$5:$5,0)),0)</f>
        <v>0.65</v>
      </c>
      <c r="AH444" s="153" t="n">
        <f aca="false">IFERROR(INDEX(APOIO_REDES!$A:$W,MATCH($C444&amp;$I444&amp;$H444&amp;$N444&amp;$O444,APOIO_REDES!$W:$W,0),MATCH(AH$5,APOIO_REDES!$5:$5,0)),0)</f>
        <v>0.1</v>
      </c>
      <c r="AI444" s="153" t="n">
        <f aca="false">IFERROR(IF($H444&lt;&gt;"",(((($H444/1000)/2)^2)*PI()*$M444),0),0)</f>
        <v>0.464594241080567</v>
      </c>
      <c r="AJ444" s="153" t="n">
        <f aca="false">IFERROR(IF(AND($H444&lt;&gt;"",$I444="FoFo",OR($N444="MND",$N444="VCA"),$Q444="LINEAR"),0,IF(AND($H444&lt;&gt;"",$I444="PEAD",$N444="VCA",$Q444="LINEAR"),($H444/1000)+0.3,IF(AND($H444&lt;&gt;"",$I444="PEAD",$N444="MND",$Q444="EMBOQUE"),0,IF(AND($H444&lt;&gt;"",$I444="PVC",$N444="VCA",$Q444="LINEAR"),($H444/1000)+0.2,IF(AND($H444&lt;&gt;"",$I444="PVC",$N444="MND",$Q444="EMBOQUE"),0,IF(AND($H444&lt;&gt;"",$I444="PEAD",$N444="VCA",$Q444="PREDIAL"),0,0)))))),0)</f>
        <v>0.363</v>
      </c>
      <c r="AK444" s="153" t="n">
        <f aca="false">IF(AA444&lt;&gt;"",AA444,0)</f>
        <v>2.5</v>
      </c>
      <c r="AL444" s="153" t="n">
        <f aca="false">IF(AND($N444="MND",$Q444="EMBOQUE"),$M444,IF(AND($N444="VCA",$Q444="LINEAR"),$M444,IF(AND($N444="VCA",$Q444="PREDIAL"),0,0)))</f>
        <v>149.04</v>
      </c>
      <c r="AM444" s="153" t="n">
        <f aca="false">IF(AND($N444="MND",$Q444="EMBOQUE"),$M444,IF(AND($N444="VCA",$Q444="LINEAR"),$M444,IF(AND($N444="VCA",$Q444="PREDIAL"),0,0)))</f>
        <v>149.04</v>
      </c>
      <c r="AN444" s="153" t="n">
        <f aca="false">ROUND(IF(AND($N444="VCA",$M444&lt;&gt;"",$Q444="LINEAR"),$M444/100,IF(AND($N444="MND",$M444&gt;100,$Q444="EMBOQUE"),$M444/100,0)),0)</f>
        <v>1</v>
      </c>
      <c r="AO444" s="153" t="n">
        <f aca="false">IF(AND($N444="MND",$Q444="EMBOQUE"),$AN444*2*2,IF(AND($N444="VCA",$Q444="LINEAR"),$M444*2,IF(AND($N444="VCA",$Q444="PREDIAL"),0,0)))</f>
        <v>298.08</v>
      </c>
      <c r="AP444" s="153" t="n">
        <f aca="false">IFERROR($M444*$AF444*$AG444,0)</f>
        <v>132.041988</v>
      </c>
      <c r="AQ444" s="153" t="n">
        <f aca="false">IFERROR(IF(AND($N444="VCA",$AH444&gt;0),$M444*$AG444*$AH444,0),0)</f>
        <v>9.6876</v>
      </c>
      <c r="AR444" s="153" t="n">
        <f aca="false">IFERROR(IF(AND($N444="VCA",$AJ444&gt;0),($M444*$AG444*$AJ444)-$AI444,0),0)</f>
        <v>34.7013937589194</v>
      </c>
      <c r="AS444" s="153" t="n">
        <f aca="false">IFERROR(IF(AND($N444="VCA",$AP444&gt;0),$AP444-$AI444-$AQ444-$AR444,0),0)</f>
        <v>87.1884</v>
      </c>
      <c r="AT444" s="153" t="n">
        <f aca="false">IFERROR(IF($N444="VCA",INDEX(APOIO_REDES!$A:$W,MATCH($C444&amp;$I444&amp;$H444&amp;$N444&amp;$O444,APOIO_REDES!$W:$W,0),MATCH(AT$5,APOIO_REDES!$5:$5,0)),0)*$AP444,0)</f>
        <v>1.43665591187349</v>
      </c>
      <c r="AU444" s="153" t="n">
        <f aca="false">IFERROR(IF($N444="VCA",INDEX(APOIO_REDES!$A:$W,MATCH($C444&amp;$I444&amp;$H444&amp;$N444&amp;$O444,APOIO_REDES!$W:$W,0),MATCH(AU$5,APOIO_REDES!$5:$5,0)),0)*$AP444,0)</f>
        <v>1.14727450164554</v>
      </c>
      <c r="AV444" s="153" t="n">
        <f aca="false">IFERROR(IF($N444="VCA",INDEX(APOIO_REDES!$A:$W,MATCH($C444&amp;$I444&amp;$H444&amp;$N444&amp;$O444,APOIO_REDES!$W:$W,0),MATCH(AV$5,APOIO_REDES!$5:$5,0)),0)*$AP444,0)</f>
        <v>0.158773784569779</v>
      </c>
      <c r="AW444" s="153" t="n">
        <f aca="false">IFERROR(IF($N444="VCA",INDEX(APOIO_REDES!$A:$W,MATCH($C444&amp;$I444&amp;$H444&amp;$N444&amp;$O444,APOIO_REDES!$W:$W,0),MATCH(AW$5,APOIO_REDES!$5:$5,0)),0)*$AP444,0)</f>
        <v>90.6346436744484</v>
      </c>
      <c r="AX444" s="153" t="n">
        <f aca="false">IFERROR(IF($N444="VCA",INDEX(APOIO_REDES!$A:$W,MATCH($C444&amp;$I444&amp;$H444&amp;$N444&amp;$O444,APOIO_REDES!$W:$W,0),MATCH(AX$5,APOIO_REDES!$5:$5,0)),0)*$AP444,0)</f>
        <v>12.5435765068741</v>
      </c>
      <c r="AY444" s="153" t="n">
        <f aca="false">IFERROR(IF($N444="VCA",INDEX(APOIO_REDES!$A:$W,MATCH($C444&amp;$I444&amp;$H444&amp;$N444&amp;$O444,APOIO_REDES!$W:$W,0),MATCH(AY$5,APOIO_REDES!$5:$5,0)),0)*$AP444,0)</f>
        <v>22.9454760477277</v>
      </c>
      <c r="AZ444" s="153" t="n">
        <f aca="false">IFERROR(IF($N444="VCA",INDEX(APOIO_REDES!$A:$W,MATCH($C444&amp;$I444&amp;$H444&amp;$N444&amp;$O444,APOIO_REDES!$W:$W,0),MATCH(AZ$5,APOIO_REDES!$5:$5,0)),0)*$AP444,0)</f>
        <v>3.17558757286098</v>
      </c>
      <c r="BA444" s="153" t="n">
        <f aca="false">IFERROR(IF(AND($N444="VCA",$Q444="LINEAR"),INDEX(APOIO_REDES!$A:$W,MATCH($C444&amp;$I444&amp;$H444&amp;$N444&amp;$O444,APOIO_REDES!$W:$W,0),MATCH(BA$5,APOIO_REDES!$5:$5,0)),IF(AND($N444="MND",$Q444="EMBOQUE"),INDEX(APOIO_REDES!$A:$W,MATCH($C444&amp;$I444&amp;$H444&amp;$N444&amp;$O444,APOIO_REDES!$W:$W,0),MATCH(BA$5,APOIO_REDES!$5:$5,0)),0))*$M444/10,0)</f>
        <v>12.0122480584905</v>
      </c>
      <c r="BB444" s="153" t="n">
        <f aca="false">IFERROR(IF($N444="VCA",INDEX(APOIO_REDES!$A:$W,MATCH($C444&amp;$I444&amp;$H444&amp;$N444&amp;$O444,APOIO_REDES!$W:$W,0),MATCH(BB$5,APOIO_REDES!$5:$5,0)),0)*($AI444+$AQ444+$AR444),0)</f>
        <v>44.3655676865756</v>
      </c>
      <c r="BC444" s="153" t="n">
        <f aca="false">IFERROR(IF($N444="VCA",INDEX(APOIO_REDES!$A:$W,MATCH($C444&amp;$I444&amp;$H444&amp;$N444&amp;$O444,APOIO_REDES!$W:$W,0),MATCH(BC$5,APOIO_REDES!$5:$5,0)),0)*($AI444+$AQ444+$AR444),0)</f>
        <v>0.488020313424377</v>
      </c>
      <c r="BD444" s="153" t="n">
        <f aca="false">IF(AND($N444="VCA",$AF444&gt;=1.25,$AF444&lt;1.5),$M444*$AF444*2,0)</f>
        <v>406.28304</v>
      </c>
      <c r="BE444" s="153" t="n">
        <f aca="false">IF(AND($N444="VCA",$AF444&gt;=1.5,$AF444&lt;3),$M444*$AF444*2,0)</f>
        <v>0</v>
      </c>
      <c r="BF444" s="153" t="n">
        <f aca="false">IF(AND($N444="VCA",$AF444&gt;=3),$M444*$AF444*2,0)</f>
        <v>0</v>
      </c>
      <c r="BG444" s="153" t="n">
        <f aca="false">($BB444+$BC444)*$AK444</f>
        <v>112.13397</v>
      </c>
      <c r="BH444" s="153" t="n">
        <f aca="false">IF(AND($M444&lt;&gt;"",$N444="VCA",$Q444="LINEAR"),($M444*2)/100,IF(AND($M444&lt;&gt;"",$N444="MND",$Q444="EMBOQUE"),($AN444*2)/100,0))</f>
        <v>2.9808</v>
      </c>
      <c r="BI444" s="153" t="n">
        <f aca="false">IF(AND($M444&lt;&gt;"",$N444="VCA",$Q444="LINEAR"),$M444,IF(AND($M444&lt;&gt;"",$N444="MND",$Q444="EMBOQUE"),$AN444*2,0))</f>
        <v>149.04</v>
      </c>
      <c r="BJ444" s="153" t="n">
        <f aca="false">IF(AND($M444&lt;&gt;"",$N444="VCA",$Q444="LINEAR"),($M444*6.8)/100,IF(AND($M444&lt;&gt;"",$N444="MND",$Q444="EMBOQUE"),($AN444*2*6.8)/100,0))</f>
        <v>10.13472</v>
      </c>
      <c r="BK444" s="153" t="n">
        <f aca="false">IF(AND($M444&lt;&gt;"",$N444="VCA",$Q444="LINEAR"),($M444*2.5)/50,IF(AND($M444&lt;&gt;"",$N444="MND",$Q444="EMBOQUE"),($AN444*2*2.5)/50,0))</f>
        <v>7.452</v>
      </c>
      <c r="BL444" s="157" t="str">
        <f aca="false">K444&amp;J444</f>
        <v>Zona04REDES</v>
      </c>
      <c r="BM444" s="152" t="s">
        <v>2969</v>
      </c>
      <c r="BN444" s="152" t="s">
        <v>1560</v>
      </c>
      <c r="BO444" s="152" t="s">
        <v>1982</v>
      </c>
      <c r="BP444" s="152" t="s">
        <v>3191</v>
      </c>
      <c r="BQ444" s="152" t="s">
        <v>3222</v>
      </c>
      <c r="BR444" s="152" t="s">
        <v>3223</v>
      </c>
      <c r="BS444" s="152" t="n">
        <v>203714.424</v>
      </c>
      <c r="BT444" s="152" t="n">
        <v>8238334.77</v>
      </c>
      <c r="BU444" s="152" t="n">
        <v>203594.363</v>
      </c>
      <c r="BV444" s="152" t="n">
        <v>8238247.289</v>
      </c>
      <c r="BW444" s="152" t="n">
        <v>-15.9169249</v>
      </c>
      <c r="BX444" s="152" t="n">
        <v>-47.7677329</v>
      </c>
      <c r="BY444" s="152" t="s">
        <v>3191</v>
      </c>
    </row>
    <row r="445" customFormat="false" ht="13.8" hidden="false" customHeight="false" outlineLevel="0" collapsed="false">
      <c r="A445" s="149" t="n">
        <f aca="false">IF(C445&lt;&gt;"",ROW(A440),"")</f>
        <v>440</v>
      </c>
      <c r="B445" s="150" t="str">
        <f aca="false">HYPERLINK("https://www.google.com/maps/dir/-15.917302,-47.760003/-15.9167036,-47.7684258/data=!4m3!4m2!3e0!5i0")</f>
        <v>https://www.google.com/maps/dir/-15.917302,-47.760003/-15.9167036,-47.7684258/data=!4m3!4m2!3e0!5i0</v>
      </c>
      <c r="C445" s="151" t="s">
        <v>117</v>
      </c>
      <c r="D445" s="152" t="s">
        <v>112</v>
      </c>
      <c r="E445" s="152" t="s">
        <v>113</v>
      </c>
      <c r="F445" s="152" t="s">
        <v>117</v>
      </c>
      <c r="G445" s="152" t="s">
        <v>782</v>
      </c>
      <c r="H445" s="152" t="n">
        <v>63</v>
      </c>
      <c r="I445" s="152" t="s">
        <v>115</v>
      </c>
      <c r="J445" s="152" t="s">
        <v>6</v>
      </c>
      <c r="K445" s="152" t="s">
        <v>2966</v>
      </c>
      <c r="L445" s="152" t="s">
        <v>120</v>
      </c>
      <c r="M445" s="153" t="n">
        <f aca="false">61.89</f>
        <v>61.89</v>
      </c>
      <c r="N445" s="152" t="s">
        <v>1548</v>
      </c>
      <c r="O445" s="152" t="s">
        <v>1549</v>
      </c>
      <c r="P445" s="152" t="s">
        <v>1550</v>
      </c>
      <c r="Q445" s="152" t="s">
        <v>1551</v>
      </c>
      <c r="R445" s="154" t="s">
        <v>3224</v>
      </c>
      <c r="S445" s="154" t="s">
        <v>1553</v>
      </c>
      <c r="T445" s="155" t="s">
        <v>1979</v>
      </c>
      <c r="U445" s="152" t="str">
        <f aca="false">RIGHT(T445,7)</f>
        <v>006/037</v>
      </c>
      <c r="V445" s="152" t="s">
        <v>1555</v>
      </c>
      <c r="W445" s="156" t="n">
        <v>45882</v>
      </c>
      <c r="X445" s="152" t="s">
        <v>1594</v>
      </c>
      <c r="Y445" s="152" t="s">
        <v>3184</v>
      </c>
      <c r="Z445" s="152" t="s">
        <v>1557</v>
      </c>
      <c r="AA445" s="153" t="n">
        <v>2.3</v>
      </c>
      <c r="AB445" s="151" t="s">
        <v>3225</v>
      </c>
      <c r="AC445" s="151" t="s">
        <v>186</v>
      </c>
      <c r="AD445" s="151" t="str">
        <f aca="false">CONCATENATE($C445,$I445,$H445,$N445,$J445,$K445)</f>
        <v>TUBO PEADPEAD63VCAREDESZona04</v>
      </c>
      <c r="AE445" s="153" t="n">
        <f aca="false">IFERROR(INDEX(APOIO_REDES!$A:$W,MATCH($C445&amp;$I445&amp;$H445&amp;$N445&amp;$O445,APOIO_REDES!$W:$W,0),MATCH(AE$5,APOIO_REDES!$5:$5,0)),0)</f>
        <v>1.2</v>
      </c>
      <c r="AF445" s="153" t="n">
        <f aca="false">IFERROR(INDEX(APOIO_REDES!$A:$W,MATCH($C445&amp;$I445&amp;$H445&amp;$N445&amp;$O445,APOIO_REDES!$W:$W,0),MATCH(AF$5,APOIO_REDES!$5:$5,0)),0)</f>
        <v>1.363</v>
      </c>
      <c r="AG445" s="153" t="n">
        <f aca="false">IFERROR(INDEX(APOIO_REDES!$A:$W,MATCH($C445&amp;$I445&amp;$H445&amp;$N445&amp;$O445,APOIO_REDES!$W:$W,0),MATCH(AG$5,APOIO_REDES!$5:$5,0)),0)</f>
        <v>0.65</v>
      </c>
      <c r="AH445" s="153" t="n">
        <f aca="false">IFERROR(INDEX(APOIO_REDES!$A:$W,MATCH($C445&amp;$I445&amp;$H445&amp;$N445&amp;$O445,APOIO_REDES!$W:$W,0),MATCH(AH$5,APOIO_REDES!$5:$5,0)),0)</f>
        <v>0.1</v>
      </c>
      <c r="AI445" s="153" t="n">
        <f aca="false">IFERROR(IF($H445&lt;&gt;"",(((($H445/1000)/2)^2)*PI()*$M445),0),0)</f>
        <v>0.19292631226836</v>
      </c>
      <c r="AJ445" s="153" t="n">
        <f aca="false">IFERROR(IF(AND($H445&lt;&gt;"",$I445="FoFo",OR($N445="MND",$N445="VCA"),$Q445="LINEAR"),0,IF(AND($H445&lt;&gt;"",$I445="PEAD",$N445="VCA",$Q445="LINEAR"),($H445/1000)+0.3,IF(AND($H445&lt;&gt;"",$I445="PEAD",$N445="MND",$Q445="EMBOQUE"),0,IF(AND($H445&lt;&gt;"",$I445="PVC",$N445="VCA",$Q445="LINEAR"),($H445/1000)+0.2,IF(AND($H445&lt;&gt;"",$I445="PVC",$N445="MND",$Q445="EMBOQUE"),0,IF(AND($H445&lt;&gt;"",$I445="PEAD",$N445="VCA",$Q445="PREDIAL"),0,0)))))),0)</f>
        <v>0.363</v>
      </c>
      <c r="AK445" s="153" t="n">
        <f aca="false">IF(AA445&lt;&gt;"",AA445,0)</f>
        <v>2.3</v>
      </c>
      <c r="AL445" s="153" t="n">
        <f aca="false">IF(AND($N445="MND",$Q445="EMBOQUE"),$M445,IF(AND($N445="VCA",$Q445="LINEAR"),$M445,IF(AND($N445="VCA",$Q445="PREDIAL"),0,0)))</f>
        <v>61.89</v>
      </c>
      <c r="AM445" s="153" t="n">
        <f aca="false">IF(AND($N445="MND",$Q445="EMBOQUE"),$M445,IF(AND($N445="VCA",$Q445="LINEAR"),$M445,IF(AND($N445="VCA",$Q445="PREDIAL"),0,0)))</f>
        <v>61.89</v>
      </c>
      <c r="AN445" s="153" t="n">
        <f aca="false">ROUND(IF(AND($N445="VCA",$M445&lt;&gt;"",$Q445="LINEAR"),$M445/100,IF(AND($N445="MND",$M445&gt;100,$Q445="EMBOQUE"),$M445/100,0)),0)</f>
        <v>1</v>
      </c>
      <c r="AO445" s="153" t="n">
        <f aca="false">IF(AND($N445="MND",$Q445="EMBOQUE"),$AN445*2*2,IF(AND($N445="VCA",$Q445="LINEAR"),$M445*2,IF(AND($N445="VCA",$Q445="PREDIAL"),0,0)))</f>
        <v>123.78</v>
      </c>
      <c r="AP445" s="153" t="n">
        <f aca="false">IFERROR($M445*$AF445*$AG445,0)</f>
        <v>54.8314455</v>
      </c>
      <c r="AQ445" s="153" t="n">
        <f aca="false">IFERROR(IF(AND($N445="VCA",$AH445&gt;0),$M445*$AG445*$AH445,0),0)</f>
        <v>4.02285</v>
      </c>
      <c r="AR445" s="153" t="n">
        <f aca="false">IFERROR(IF(AND($N445="VCA",$AJ445&gt;0),($M445*$AG445*$AJ445)-$AI445,0),0)</f>
        <v>14.4100191877316</v>
      </c>
      <c r="AS445" s="153" t="n">
        <f aca="false">IFERROR(IF(AND($N445="VCA",$AP445&gt;0),$AP445-$AI445-$AQ445-$AR445,0),0)</f>
        <v>36.20565</v>
      </c>
      <c r="AT445" s="153" t="n">
        <f aca="false">IFERROR(IF($N445="VCA",INDEX(APOIO_REDES!$A:$W,MATCH($C445&amp;$I445&amp;$H445&amp;$N445&amp;$O445,APOIO_REDES!$W:$W,0),MATCH(AT$5,APOIO_REDES!$5:$5,0)),0)*$AP445,0)</f>
        <v>0.596582356319446</v>
      </c>
      <c r="AU445" s="153" t="n">
        <f aca="false">IFERROR(IF($N445="VCA",INDEX(APOIO_REDES!$A:$W,MATCH($C445&amp;$I445&amp;$H445&amp;$N445&amp;$O445,APOIO_REDES!$W:$W,0),MATCH(AU$5,APOIO_REDES!$5:$5,0)),0)*$AP445,0)</f>
        <v>0.476414512257399</v>
      </c>
      <c r="AV445" s="153" t="n">
        <f aca="false">IFERROR(IF($N445="VCA",INDEX(APOIO_REDES!$A:$W,MATCH($C445&amp;$I445&amp;$H445&amp;$N445&amp;$O445,APOIO_REDES!$W:$W,0),MATCH(AV$5,APOIO_REDES!$5:$5,0)),0)*$AP445,0)</f>
        <v>0.0659320284958645</v>
      </c>
      <c r="AW445" s="153" t="n">
        <f aca="false">IFERROR(IF($N445="VCA",INDEX(APOIO_REDES!$A:$W,MATCH($C445&amp;$I445&amp;$H445&amp;$N445&amp;$O445,APOIO_REDES!$W:$W,0),MATCH(AW$5,APOIO_REDES!$5:$5,0)),0)*$AP445,0)</f>
        <v>37.6367290459716</v>
      </c>
      <c r="AX445" s="153" t="n">
        <f aca="false">IFERROR(IF($N445="VCA",INDEX(APOIO_REDES!$A:$W,MATCH($C445&amp;$I445&amp;$H445&amp;$N445&amp;$O445,APOIO_REDES!$W:$W,0),MATCH(AX$5,APOIO_REDES!$5:$5,0)),0)*$AP445,0)</f>
        <v>5.20881608971041</v>
      </c>
      <c r="AY445" s="153" t="n">
        <f aca="false">IFERROR(IF($N445="VCA",INDEX(APOIO_REDES!$A:$W,MATCH($C445&amp;$I445&amp;$H445&amp;$N445&amp;$O445,APOIO_REDES!$W:$W,0),MATCH(AY$5,APOIO_REDES!$5:$5,0)),0)*$AP445,0)</f>
        <v>9.52828443769369</v>
      </c>
      <c r="AZ445" s="153" t="n">
        <f aca="false">IFERROR(IF($N445="VCA",INDEX(APOIO_REDES!$A:$W,MATCH($C445&amp;$I445&amp;$H445&amp;$N445&amp;$O445,APOIO_REDES!$W:$W,0),MATCH(AZ$5,APOIO_REDES!$5:$5,0)),0)*$AP445,0)</f>
        <v>1.31868702955157</v>
      </c>
      <c r="BA445" s="153" t="n">
        <f aca="false">IFERROR(IF(AND($N445="VCA",$Q445="LINEAR"),INDEX(APOIO_REDES!$A:$W,MATCH($C445&amp;$I445&amp;$H445&amp;$N445&amp;$O445,APOIO_REDES!$W:$W,0),MATCH(BA$5,APOIO_REDES!$5:$5,0)),IF(AND($N445="MND",$Q445="EMBOQUE"),INDEX(APOIO_REDES!$A:$W,MATCH($C445&amp;$I445&amp;$H445&amp;$N445&amp;$O445,APOIO_REDES!$W:$W,0),MATCH(BA$5,APOIO_REDES!$5:$5,0)),0))*$M445/10,0)</f>
        <v>4.9881778874126</v>
      </c>
      <c r="BB445" s="153" t="n">
        <f aca="false">IFERROR(IF($N445="VCA",INDEX(APOIO_REDES!$A:$W,MATCH($C445&amp;$I445&amp;$H445&amp;$N445&amp;$O445,APOIO_REDES!$W:$W,0),MATCH(BB$5,APOIO_REDES!$5:$5,0)),0)*($AI445+$AQ445+$AR445),0)</f>
        <v>18.4231413320059</v>
      </c>
      <c r="BC445" s="153" t="n">
        <f aca="false">IFERROR(IF($N445="VCA",INDEX(APOIO_REDES!$A:$W,MATCH($C445&amp;$I445&amp;$H445&amp;$N445&amp;$O445,APOIO_REDES!$W:$W,0),MATCH(BC$5,APOIO_REDES!$5:$5,0)),0)*($AI445+$AQ445+$AR445),0)</f>
        <v>0.20265416799406</v>
      </c>
      <c r="BD445" s="153" t="n">
        <f aca="false">IF(AND($N445="VCA",$AF445&gt;=1.25,$AF445&lt;1.5),$M445*$AF445*2,0)</f>
        <v>168.71214</v>
      </c>
      <c r="BE445" s="153" t="n">
        <f aca="false">IF(AND($N445="VCA",$AF445&gt;=1.5,$AF445&lt;3),$M445*$AF445*2,0)</f>
        <v>0</v>
      </c>
      <c r="BF445" s="153" t="n">
        <f aca="false">IF(AND($N445="VCA",$AF445&gt;=3),$M445*$AF445*2,0)</f>
        <v>0</v>
      </c>
      <c r="BG445" s="153" t="n">
        <f aca="false">($BB445+$BC445)*$AK445</f>
        <v>42.83932965</v>
      </c>
      <c r="BH445" s="153" t="n">
        <f aca="false">IF(AND($M445&lt;&gt;"",$N445="VCA",$Q445="LINEAR"),($M445*2)/100,IF(AND($M445&lt;&gt;"",$N445="MND",$Q445="EMBOQUE"),($AN445*2)/100,0))</f>
        <v>1.2378</v>
      </c>
      <c r="BI445" s="153" t="n">
        <f aca="false">IF(AND($M445&lt;&gt;"",$N445="VCA",$Q445="LINEAR"),$M445,IF(AND($M445&lt;&gt;"",$N445="MND",$Q445="EMBOQUE"),$AN445*2,0))</f>
        <v>61.89</v>
      </c>
      <c r="BJ445" s="153" t="n">
        <f aca="false">IF(AND($M445&lt;&gt;"",$N445="VCA",$Q445="LINEAR"),($M445*6.8)/100,IF(AND($M445&lt;&gt;"",$N445="MND",$Q445="EMBOQUE"),($AN445*2*6.8)/100,0))</f>
        <v>4.20852</v>
      </c>
      <c r="BK445" s="153" t="n">
        <f aca="false">IF(AND($M445&lt;&gt;"",$N445="VCA",$Q445="LINEAR"),($M445*2.5)/50,IF(AND($M445&lt;&gt;"",$N445="MND",$Q445="EMBOQUE"),($AN445*2*2.5)/50,0))</f>
        <v>3.0945</v>
      </c>
      <c r="BL445" s="157" t="str">
        <f aca="false">K445&amp;J445</f>
        <v>Zona04REDES</v>
      </c>
      <c r="BM445" s="152" t="s">
        <v>2969</v>
      </c>
      <c r="BN445" s="152" t="s">
        <v>1560</v>
      </c>
      <c r="BO445" s="152" t="s">
        <v>1982</v>
      </c>
      <c r="BP445" s="152" t="s">
        <v>3186</v>
      </c>
      <c r="BQ445" s="152" t="s">
        <v>3226</v>
      </c>
      <c r="BR445" s="152" t="s">
        <v>3227</v>
      </c>
      <c r="BS445" s="152" t="n">
        <v>203580.708</v>
      </c>
      <c r="BT445" s="152" t="n">
        <v>8238313.377</v>
      </c>
      <c r="BU445" s="152" t="n">
        <v>203588.971</v>
      </c>
      <c r="BV445" s="152" t="n">
        <v>8238252.038</v>
      </c>
      <c r="BW445" s="152" t="n">
        <v>-15.9169812</v>
      </c>
      <c r="BX445" s="152" t="n">
        <v>-47.7683923</v>
      </c>
      <c r="BY445" s="152" t="s">
        <v>3186</v>
      </c>
    </row>
    <row r="446" customFormat="false" ht="13.8" hidden="false" customHeight="false" outlineLevel="0" collapsed="false">
      <c r="A446" s="149" t="n">
        <f aca="false">IF(C446&lt;&gt;"",ROW(A441),"")</f>
        <v>441</v>
      </c>
      <c r="B446" s="150" t="str">
        <f aca="false">HYPERLINK("https://www.google.com/maps/dir/-15.917302,-47.760003/-15.9167952,-47.7683712/data=!4m3!4m2!3e0!5i0")</f>
        <v>https://www.google.com/maps/dir/-15.917302,-47.760003/-15.9167952,-47.7683712/data=!4m3!4m2!3e0!5i0</v>
      </c>
      <c r="C446" s="151" t="s">
        <v>117</v>
      </c>
      <c r="D446" s="152" t="s">
        <v>112</v>
      </c>
      <c r="E446" s="152" t="s">
        <v>113</v>
      </c>
      <c r="F446" s="152" t="s">
        <v>117</v>
      </c>
      <c r="G446" s="152" t="s">
        <v>114</v>
      </c>
      <c r="H446" s="152" t="n">
        <v>125</v>
      </c>
      <c r="I446" s="152" t="s">
        <v>115</v>
      </c>
      <c r="J446" s="152" t="s">
        <v>6</v>
      </c>
      <c r="K446" s="152" t="s">
        <v>2966</v>
      </c>
      <c r="L446" s="152" t="s">
        <v>120</v>
      </c>
      <c r="M446" s="153" t="n">
        <f aca="false">50.78+0.19</f>
        <v>50.97</v>
      </c>
      <c r="N446" s="152" t="s">
        <v>1548</v>
      </c>
      <c r="O446" s="152" t="s">
        <v>1549</v>
      </c>
      <c r="P446" s="152" t="s">
        <v>1550</v>
      </c>
      <c r="Q446" s="152" t="s">
        <v>1551</v>
      </c>
      <c r="R446" s="154" t="s">
        <v>3228</v>
      </c>
      <c r="S446" s="154" t="s">
        <v>1593</v>
      </c>
      <c r="T446" s="155" t="s">
        <v>1979</v>
      </c>
      <c r="U446" s="152" t="str">
        <f aca="false">RIGHT(T446,7)</f>
        <v>006/037</v>
      </c>
      <c r="V446" s="152" t="s">
        <v>1555</v>
      </c>
      <c r="W446" s="156" t="n">
        <v>45882</v>
      </c>
      <c r="X446" s="152" t="s">
        <v>1594</v>
      </c>
      <c r="Y446" s="152" t="s">
        <v>3015</v>
      </c>
      <c r="Z446" s="152" t="s">
        <v>1557</v>
      </c>
      <c r="AA446" s="153" t="n">
        <v>2.3</v>
      </c>
      <c r="AB446" s="151" t="s">
        <v>3229</v>
      </c>
      <c r="AC446" s="151" t="s">
        <v>505</v>
      </c>
      <c r="AD446" s="151" t="str">
        <f aca="false">CONCATENATE($C446,$I446,$H446,$N446,$J446,$K446)</f>
        <v>TUBO PEADPEAD125VCAREDESZona04</v>
      </c>
      <c r="AE446" s="153" t="n">
        <f aca="false">IFERROR(INDEX(APOIO_REDES!$A:$W,MATCH($C446&amp;$I446&amp;$H446&amp;$N446&amp;$O446,APOIO_REDES!$W:$W,0),MATCH(AE$5,APOIO_REDES!$5:$5,0)),0)</f>
        <v>1.2</v>
      </c>
      <c r="AF446" s="153" t="n">
        <f aca="false">IFERROR(INDEX(APOIO_REDES!$A:$W,MATCH($C446&amp;$I446&amp;$H446&amp;$N446&amp;$O446,APOIO_REDES!$W:$W,0),MATCH(AF$5,APOIO_REDES!$5:$5,0)),0)</f>
        <v>1.425</v>
      </c>
      <c r="AG446" s="153" t="n">
        <f aca="false">IFERROR(INDEX(APOIO_REDES!$A:$W,MATCH($C446&amp;$I446&amp;$H446&amp;$N446&amp;$O446,APOIO_REDES!$W:$W,0),MATCH(AG$5,APOIO_REDES!$5:$5,0)),0)</f>
        <v>0.75</v>
      </c>
      <c r="AH446" s="153" t="n">
        <f aca="false">IFERROR(INDEX(APOIO_REDES!$A:$W,MATCH($C446&amp;$I446&amp;$H446&amp;$N446&amp;$O446,APOIO_REDES!$W:$W,0),MATCH(AH$5,APOIO_REDES!$5:$5,0)),0)</f>
        <v>0.1</v>
      </c>
      <c r="AI446" s="153" t="n">
        <f aca="false">IFERROR(IF($H446&lt;&gt;"",(((($H446/1000)/2)^2)*PI()*$M446),0),0)</f>
        <v>0.625496006068249</v>
      </c>
      <c r="AJ446" s="153" t="n">
        <f aca="false">IFERROR(IF(AND($H446&lt;&gt;"",$I446="FoFo",OR($N446="MND",$N446="VCA"),$Q446="LINEAR"),0,IF(AND($H446&lt;&gt;"",$I446="PEAD",$N446="VCA",$Q446="LINEAR"),($H446/1000)+0.3,IF(AND($H446&lt;&gt;"",$I446="PEAD",$N446="MND",$Q446="EMBOQUE"),0,IF(AND($H446&lt;&gt;"",$I446="PVC",$N446="VCA",$Q446="LINEAR"),($H446/1000)+0.2,IF(AND($H446&lt;&gt;"",$I446="PVC",$N446="MND",$Q446="EMBOQUE"),0,IF(AND($H446&lt;&gt;"",$I446="PEAD",$N446="VCA",$Q446="PREDIAL"),0,0)))))),0)</f>
        <v>0.425</v>
      </c>
      <c r="AK446" s="153" t="n">
        <f aca="false">IF(AA446&lt;&gt;"",AA446,0)</f>
        <v>2.3</v>
      </c>
      <c r="AL446" s="153" t="n">
        <f aca="false">IF(AND($N446="MND",$Q446="EMBOQUE"),$M446,IF(AND($N446="VCA",$Q446="LINEAR"),$M446,IF(AND($N446="VCA",$Q446="PREDIAL"),0,0)))</f>
        <v>50.97</v>
      </c>
      <c r="AM446" s="153" t="n">
        <f aca="false">IF(AND($N446="MND",$Q446="EMBOQUE"),$M446,IF(AND($N446="VCA",$Q446="LINEAR"),$M446,IF(AND($N446="VCA",$Q446="PREDIAL"),0,0)))</f>
        <v>50.97</v>
      </c>
      <c r="AN446" s="153" t="n">
        <f aca="false">ROUND(IF(AND($N446="VCA",$M446&lt;&gt;"",$Q446="LINEAR"),$M446/100,IF(AND($N446="MND",$M446&gt;100,$Q446="EMBOQUE"),$M446/100,0)),0)</f>
        <v>1</v>
      </c>
      <c r="AO446" s="153" t="n">
        <f aca="false">IF(AND($N446="MND",$Q446="EMBOQUE"),$AN446*2*2,IF(AND($N446="VCA",$Q446="LINEAR"),$M446*2,IF(AND($N446="VCA",$Q446="PREDIAL"),0,0)))</f>
        <v>101.94</v>
      </c>
      <c r="AP446" s="153" t="n">
        <f aca="false">IFERROR($M446*$AF446*$AG446,0)</f>
        <v>54.4741875</v>
      </c>
      <c r="AQ446" s="153" t="n">
        <f aca="false">IFERROR(IF(AND($N446="VCA",$AH446&gt;0),$M446*$AG446*$AH446,0),0)</f>
        <v>3.82275</v>
      </c>
      <c r="AR446" s="153" t="n">
        <f aca="false">IFERROR(IF(AND($N446="VCA",$AJ446&gt;0),($M446*$AG446*$AJ446)-$AI446,0),0)</f>
        <v>15.6211914939318</v>
      </c>
      <c r="AS446" s="153" t="n">
        <f aca="false">IFERROR(IF(AND($N446="VCA",$AP446&gt;0),$AP446-$AI446-$AQ446-$AR446,0),0)</f>
        <v>34.40475</v>
      </c>
      <c r="AT446" s="153" t="n">
        <f aca="false">IFERROR(IF($N446="VCA",INDEX(APOIO_REDES!$A:$W,MATCH($C446&amp;$I446&amp;$H446&amp;$N446&amp;$O446,APOIO_REDES!$W:$W,0),MATCH(AT$5,APOIO_REDES!$5:$5,0)),0)*$AP446,0)</f>
        <v>0.592695283536476</v>
      </c>
      <c r="AU446" s="153" t="n">
        <f aca="false">IFERROR(IF($N446="VCA",INDEX(APOIO_REDES!$A:$W,MATCH($C446&amp;$I446&amp;$H446&amp;$N446&amp;$O446,APOIO_REDES!$W:$W,0),MATCH(AU$5,APOIO_REDES!$5:$5,0)),0)*$AP446,0)</f>
        <v>0.4733104012082</v>
      </c>
      <c r="AV446" s="153" t="n">
        <f aca="false">IFERROR(IF($N446="VCA",INDEX(APOIO_REDES!$A:$W,MATCH($C446&amp;$I446&amp;$H446&amp;$N446&amp;$O446,APOIO_REDES!$W:$W,0),MATCH(AV$5,APOIO_REDES!$5:$5,0)),0)*$AP446,0)</f>
        <v>0.0655024438948827</v>
      </c>
      <c r="AW446" s="153" t="n">
        <f aca="false">IFERROR(IF($N446="VCA",INDEX(APOIO_REDES!$A:$W,MATCH($C446&amp;$I446&amp;$H446&amp;$N446&amp;$O446,APOIO_REDES!$W:$W,0),MATCH(AW$5,APOIO_REDES!$5:$5,0)),0)*$AP446,0)</f>
        <v>37.3915043866016</v>
      </c>
      <c r="AX446" s="153" t="n">
        <f aca="false">IFERROR(IF($N446="VCA",INDEX(APOIO_REDES!$A:$W,MATCH($C446&amp;$I446&amp;$H446&amp;$N446&amp;$O446,APOIO_REDES!$W:$W,0),MATCH(AX$5,APOIO_REDES!$5:$5,0)),0)*$AP446,0)</f>
        <v>5.17487769538926</v>
      </c>
      <c r="AY446" s="153" t="n">
        <f aca="false">IFERROR(IF($N446="VCA",INDEX(APOIO_REDES!$A:$W,MATCH($C446&amp;$I446&amp;$H446&amp;$N446&amp;$O446,APOIO_REDES!$W:$W,0),MATCH(AY$5,APOIO_REDES!$5:$5,0)),0)*$AP446,0)</f>
        <v>9.46620225454858</v>
      </c>
      <c r="AZ446" s="153" t="n">
        <f aca="false">IFERROR(IF($N446="VCA",INDEX(APOIO_REDES!$A:$W,MATCH($C446&amp;$I446&amp;$H446&amp;$N446&amp;$O446,APOIO_REDES!$W:$W,0),MATCH(AZ$5,APOIO_REDES!$5:$5,0)),0)*$AP446,0)</f>
        <v>1.31009503482104</v>
      </c>
      <c r="BA446" s="153" t="n">
        <f aca="false">IFERROR(IF(AND($N446="VCA",$Q446="LINEAR"),INDEX(APOIO_REDES!$A:$W,MATCH($C446&amp;$I446&amp;$H446&amp;$N446&amp;$O446,APOIO_REDES!$W:$W,0),MATCH(BA$5,APOIO_REDES!$5:$5,0)),IF(AND($N446="MND",$Q446="EMBOQUE"),INDEX(APOIO_REDES!$A:$W,MATCH($C446&amp;$I446&amp;$H446&amp;$N446&amp;$O446,APOIO_REDES!$W:$W,0),MATCH(BA$5,APOIO_REDES!$5:$5,0)),0))*$M446/10,0)</f>
        <v>4.1080534322414</v>
      </c>
      <c r="BB446" s="153" t="n">
        <f aca="false">IFERROR(IF($N446="VCA",INDEX(APOIO_REDES!$A:$W,MATCH($C446&amp;$I446&amp;$H446&amp;$N446&amp;$O446,APOIO_REDES!$W:$W,0),MATCH(BB$5,APOIO_REDES!$5:$5,0)),0)*($AI446+$AQ446+$AR446),0)</f>
        <v>19.8510760797497</v>
      </c>
      <c r="BC446" s="153" t="n">
        <f aca="false">IFERROR(IF($N446="VCA",INDEX(APOIO_REDES!$A:$W,MATCH($C446&amp;$I446&amp;$H446&amp;$N446&amp;$O446,APOIO_REDES!$W:$W,0),MATCH(BC$5,APOIO_REDES!$5:$5,0)),0)*($AI446+$AQ446+$AR446),0)</f>
        <v>0.218361420250281</v>
      </c>
      <c r="BD446" s="153" t="n">
        <f aca="false">IF(AND($N446="VCA",$AF446&gt;=1.25,$AF446&lt;1.5),$M446*$AF446*2,0)</f>
        <v>145.2645</v>
      </c>
      <c r="BE446" s="153" t="n">
        <f aca="false">IF(AND($N446="VCA",$AF446&gt;=1.5,$AF446&lt;3),$M446*$AF446*2,0)</f>
        <v>0</v>
      </c>
      <c r="BF446" s="153" t="n">
        <f aca="false">IF(AND($N446="VCA",$AF446&gt;=3),$M446*$AF446*2,0)</f>
        <v>0</v>
      </c>
      <c r="BG446" s="153" t="n">
        <f aca="false">($BB446+$BC446)*$AK446</f>
        <v>46.15970625</v>
      </c>
      <c r="BH446" s="153" t="n">
        <f aca="false">IF(AND($M446&lt;&gt;"",$N446="VCA",$Q446="LINEAR"),($M446*2)/100,IF(AND($M446&lt;&gt;"",$N446="MND",$Q446="EMBOQUE"),($AN446*2)/100,0))</f>
        <v>1.0194</v>
      </c>
      <c r="BI446" s="153" t="n">
        <f aca="false">IF(AND($M446&lt;&gt;"",$N446="VCA",$Q446="LINEAR"),$M446,IF(AND($M446&lt;&gt;"",$N446="MND",$Q446="EMBOQUE"),$AN446*2,0))</f>
        <v>50.97</v>
      </c>
      <c r="BJ446" s="153" t="n">
        <f aca="false">IF(AND($M446&lt;&gt;"",$N446="VCA",$Q446="LINEAR"),($M446*6.8)/100,IF(AND($M446&lt;&gt;"",$N446="MND",$Q446="EMBOQUE"),($AN446*2*6.8)/100,0))</f>
        <v>3.46596</v>
      </c>
      <c r="BK446" s="153" t="n">
        <f aca="false">IF(AND($M446&lt;&gt;"",$N446="VCA",$Q446="LINEAR"),($M446*2.5)/50,IF(AND($M446&lt;&gt;"",$N446="MND",$Q446="EMBOQUE"),($AN446*2*2.5)/50,0))</f>
        <v>2.5485</v>
      </c>
      <c r="BL446" s="157" t="str">
        <f aca="false">K446&amp;J446</f>
        <v>Zona04REDES</v>
      </c>
      <c r="BM446" s="152" t="s">
        <v>2969</v>
      </c>
      <c r="BN446" s="152" t="s">
        <v>1560</v>
      </c>
      <c r="BO446" s="152" t="s">
        <v>1982</v>
      </c>
      <c r="BP446" s="152" t="s">
        <v>3176</v>
      </c>
      <c r="BQ446" s="152" t="s">
        <v>3230</v>
      </c>
      <c r="BR446" s="152" t="s">
        <v>3231</v>
      </c>
      <c r="BS446" s="152" t="n">
        <v>203586.382</v>
      </c>
      <c r="BT446" s="152" t="n">
        <v>8238303.088</v>
      </c>
      <c r="BU446" s="152" t="n">
        <v>203594.682</v>
      </c>
      <c r="BV446" s="152" t="n">
        <v>8238252.992</v>
      </c>
      <c r="BW446" s="152" t="n">
        <v>-15.9170239</v>
      </c>
      <c r="BX446" s="152" t="n">
        <v>-47.7683385</v>
      </c>
      <c r="BY446" s="152" t="s">
        <v>3176</v>
      </c>
    </row>
    <row r="447" customFormat="false" ht="13.8" hidden="false" customHeight="false" outlineLevel="0" collapsed="false">
      <c r="A447" s="149" t="n">
        <f aca="false">IF(C447&lt;&gt;"",ROW(A442),"")</f>
        <v>442</v>
      </c>
      <c r="B447" s="150" t="str">
        <f aca="false">HYPERLINK("https://www.google.com/maps/dir/-15.917302,-47.760003/-15.9177707,-47.7712202/data=!4m3!4m2!3e0!5i0")</f>
        <v>https://www.google.com/maps/dir/-15.917302,-47.760003/-15.9177707,-47.7712202/data=!4m3!4m2!3e0!5i0</v>
      </c>
      <c r="C447" s="151" t="s">
        <v>117</v>
      </c>
      <c r="D447" s="152" t="s">
        <v>112</v>
      </c>
      <c r="E447" s="152" t="s">
        <v>113</v>
      </c>
      <c r="F447" s="152" t="s">
        <v>117</v>
      </c>
      <c r="G447" s="152" t="s">
        <v>114</v>
      </c>
      <c r="H447" s="152" t="n">
        <v>160</v>
      </c>
      <c r="I447" s="152" t="s">
        <v>115</v>
      </c>
      <c r="J447" s="152" t="s">
        <v>6</v>
      </c>
      <c r="K447" s="152" t="s">
        <v>2966</v>
      </c>
      <c r="L447" s="152" t="s">
        <v>120</v>
      </c>
      <c r="M447" s="153" t="n">
        <f aca="false">211.04</f>
        <v>211.04</v>
      </c>
      <c r="N447" s="152" t="s">
        <v>1548</v>
      </c>
      <c r="O447" s="152" t="s">
        <v>1549</v>
      </c>
      <c r="P447" s="152" t="s">
        <v>1550</v>
      </c>
      <c r="Q447" s="152" t="s">
        <v>1551</v>
      </c>
      <c r="R447" s="154" t="s">
        <v>3232</v>
      </c>
      <c r="S447" s="154" t="s">
        <v>1593</v>
      </c>
      <c r="T447" s="155" t="s">
        <v>1979</v>
      </c>
      <c r="U447" s="152" t="str">
        <f aca="false">RIGHT(T447,7)</f>
        <v>006/037</v>
      </c>
      <c r="V447" s="152" t="s">
        <v>1555</v>
      </c>
      <c r="W447" s="156" t="n">
        <v>45882</v>
      </c>
      <c r="X447" s="152" t="s">
        <v>1594</v>
      </c>
      <c r="Y447" s="152" t="s">
        <v>3233</v>
      </c>
      <c r="Z447" s="152" t="s">
        <v>1557</v>
      </c>
      <c r="AA447" s="153" t="n">
        <v>2.5</v>
      </c>
      <c r="AB447" s="151" t="s">
        <v>3234</v>
      </c>
      <c r="AC447" s="151" t="s">
        <v>505</v>
      </c>
      <c r="AD447" s="151" t="str">
        <f aca="false">CONCATENATE($C447,$I447,$H447,$N447,$J447,$K447)</f>
        <v>TUBO PEADPEAD160VCAREDESZona04</v>
      </c>
      <c r="AE447" s="153" t="n">
        <f aca="false">IFERROR(INDEX(APOIO_REDES!$A:$W,MATCH($C447&amp;$I447&amp;$H447&amp;$N447&amp;$O447,APOIO_REDES!$W:$W,0),MATCH(AE$5,APOIO_REDES!$5:$5,0)),0)</f>
        <v>1.2</v>
      </c>
      <c r="AF447" s="153" t="n">
        <f aca="false">IFERROR(INDEX(APOIO_REDES!$A:$W,MATCH($C447&amp;$I447&amp;$H447&amp;$N447&amp;$O447,APOIO_REDES!$W:$W,0),MATCH(AF$5,APOIO_REDES!$5:$5,0)),0)</f>
        <v>1.46</v>
      </c>
      <c r="AG447" s="153" t="n">
        <f aca="false">IFERROR(INDEX(APOIO_REDES!$A:$W,MATCH($C447&amp;$I447&amp;$H447&amp;$N447&amp;$O447,APOIO_REDES!$W:$W,0),MATCH(AG$5,APOIO_REDES!$5:$5,0)),0)</f>
        <v>0.75</v>
      </c>
      <c r="AH447" s="153" t="n">
        <f aca="false">IFERROR(INDEX(APOIO_REDES!$A:$W,MATCH($C447&amp;$I447&amp;$H447&amp;$N447&amp;$O447,APOIO_REDES!$W:$W,0),MATCH(AH$5,APOIO_REDES!$5:$5,0)),0)</f>
        <v>0.1</v>
      </c>
      <c r="AI447" s="153" t="n">
        <f aca="false">IFERROR(IF($H447&lt;&gt;"",(((($H447/1000)/2)^2)*PI()*$M447),0),0)</f>
        <v>4.24321096712698</v>
      </c>
      <c r="AJ447" s="153" t="n">
        <f aca="false">IFERROR(IF(AND($H447&lt;&gt;"",$I447="FoFo",OR($N447="MND",$N447="VCA"),$Q447="LINEAR"),0,IF(AND($H447&lt;&gt;"",$I447="PEAD",$N447="VCA",$Q447="LINEAR"),($H447/1000)+0.3,IF(AND($H447&lt;&gt;"",$I447="PEAD",$N447="MND",$Q447="EMBOQUE"),0,IF(AND($H447&lt;&gt;"",$I447="PVC",$N447="VCA",$Q447="LINEAR"),($H447/1000)+0.2,IF(AND($H447&lt;&gt;"",$I447="PVC",$N447="MND",$Q447="EMBOQUE"),0,IF(AND($H447&lt;&gt;"",$I447="PEAD",$N447="VCA",$Q447="PREDIAL"),0,0)))))),0)</f>
        <v>0.46</v>
      </c>
      <c r="AK447" s="153" t="n">
        <f aca="false">IF(AA447&lt;&gt;"",AA447,0)</f>
        <v>2.5</v>
      </c>
      <c r="AL447" s="153" t="n">
        <f aca="false">IF(AND($N447="MND",$Q447="EMBOQUE"),$M447,IF(AND($N447="VCA",$Q447="LINEAR"),$M447,IF(AND($N447="VCA",$Q447="PREDIAL"),0,0)))</f>
        <v>211.04</v>
      </c>
      <c r="AM447" s="153" t="n">
        <f aca="false">IF(AND($N447="MND",$Q447="EMBOQUE"),$M447,IF(AND($N447="VCA",$Q447="LINEAR"),$M447,IF(AND($N447="VCA",$Q447="PREDIAL"),0,0)))</f>
        <v>211.04</v>
      </c>
      <c r="AN447" s="153" t="n">
        <f aca="false">ROUND(IF(AND($N447="VCA",$M447&lt;&gt;"",$Q447="LINEAR"),$M447/100,IF(AND($N447="MND",$M447&gt;100,$Q447="EMBOQUE"),$M447/100,0)),0)</f>
        <v>2</v>
      </c>
      <c r="AO447" s="153" t="n">
        <f aca="false">IF(AND($N447="MND",$Q447="EMBOQUE"),$AN447*2*2,IF(AND($N447="VCA",$Q447="LINEAR"),$M447*2,IF(AND($N447="VCA",$Q447="PREDIAL"),0,0)))</f>
        <v>422.08</v>
      </c>
      <c r="AP447" s="153" t="n">
        <f aca="false">IFERROR($M447*$AF447*$AG447,0)</f>
        <v>231.0888</v>
      </c>
      <c r="AQ447" s="153" t="n">
        <f aca="false">IFERROR(IF(AND($N447="VCA",$AH447&gt;0),$M447*$AG447*$AH447,0),0)</f>
        <v>15.828</v>
      </c>
      <c r="AR447" s="153" t="n">
        <f aca="false">IFERROR(IF(AND($N447="VCA",$AJ447&gt;0),($M447*$AG447*$AJ447)-$AI447,0),0)</f>
        <v>68.565589032873</v>
      </c>
      <c r="AS447" s="153" t="n">
        <f aca="false">IFERROR(IF(AND($N447="VCA",$AP447&gt;0),$AP447-$AI447-$AQ447-$AR447,0),0)</f>
        <v>142.452</v>
      </c>
      <c r="AT447" s="153" t="n">
        <f aca="false">IFERROR(IF($N447="VCA",INDEX(APOIO_REDES!$A:$W,MATCH($C447&amp;$I447&amp;$H447&amp;$N447&amp;$O447,APOIO_REDES!$W:$W,0),MATCH(AT$5,APOIO_REDES!$5:$5,0)),0)*$AP447,0)</f>
        <v>2.51431454279339</v>
      </c>
      <c r="AU447" s="153" t="n">
        <f aca="false">IFERROR(IF($N447="VCA",INDEX(APOIO_REDES!$A:$W,MATCH($C447&amp;$I447&amp;$H447&amp;$N447&amp;$O447,APOIO_REDES!$W:$W,0),MATCH(AU$5,APOIO_REDES!$5:$5,0)),0)*$AP447,0)</f>
        <v>2.00786349760098</v>
      </c>
      <c r="AV447" s="153" t="n">
        <f aca="false">IFERROR(IF($N447="VCA",INDEX(APOIO_REDES!$A:$W,MATCH($C447&amp;$I447&amp;$H447&amp;$N447&amp;$O447,APOIO_REDES!$W:$W,0),MATCH(AV$5,APOIO_REDES!$5:$5,0)),0)*$AP447,0)</f>
        <v>0.277872545721508</v>
      </c>
      <c r="AW447" s="153" t="n">
        <f aca="false">IFERROR(IF($N447="VCA",INDEX(APOIO_REDES!$A:$W,MATCH($C447&amp;$I447&amp;$H447&amp;$N447&amp;$O447,APOIO_REDES!$W:$W,0),MATCH(AW$5,APOIO_REDES!$5:$5,0)),0)*$AP447,0)</f>
        <v>158.621142883398</v>
      </c>
      <c r="AX447" s="153" t="n">
        <f aca="false">IFERROR(IF($N447="VCA",INDEX(APOIO_REDES!$A:$W,MATCH($C447&amp;$I447&amp;$H447&amp;$N447&amp;$O447,APOIO_REDES!$W:$W,0),MATCH(AX$5,APOIO_REDES!$5:$5,0)),0)*$AP447,0)</f>
        <v>21.9527143341839</v>
      </c>
      <c r="AY447" s="153" t="n">
        <f aca="false">IFERROR(IF($N447="VCA",INDEX(APOIO_REDES!$A:$W,MATCH($C447&amp;$I447&amp;$H447&amp;$N447&amp;$O447,APOIO_REDES!$W:$W,0),MATCH(AY$5,APOIO_REDES!$5:$5,0)),0)*$AP447,0)</f>
        <v>40.1572454763263</v>
      </c>
      <c r="AZ447" s="153" t="n">
        <f aca="false">IFERROR(IF($N447="VCA",INDEX(APOIO_REDES!$A:$W,MATCH($C447&amp;$I447&amp;$H447&amp;$N447&amp;$O447,APOIO_REDES!$W:$W,0),MATCH(AZ$5,APOIO_REDES!$5:$5,0)),0)*$AP447,0)</f>
        <v>5.55764671997634</v>
      </c>
      <c r="BA447" s="153" t="n">
        <f aca="false">IFERROR(IF(AND($N447="VCA",$Q447="LINEAR"),INDEX(APOIO_REDES!$A:$W,MATCH($C447&amp;$I447&amp;$H447&amp;$N447&amp;$O447,APOIO_REDES!$W:$W,0),MATCH(BA$5,APOIO_REDES!$5:$5,0)),IF(AND($N447="MND",$Q447="EMBOQUE"),INDEX(APOIO_REDES!$A:$W,MATCH($C447&amp;$I447&amp;$H447&amp;$N447&amp;$O447,APOIO_REDES!$W:$W,0),MATCH(BA$5,APOIO_REDES!$5:$5,0)),0))*$M447/10,0)</f>
        <v>17.0092916684368</v>
      </c>
      <c r="BB447" s="153" t="n">
        <f aca="false">IFERROR(IF($N447="VCA",INDEX(APOIO_REDES!$A:$W,MATCH($C447&amp;$I447&amp;$H447&amp;$N447&amp;$O447,APOIO_REDES!$W:$W,0),MATCH(BB$5,APOIO_REDES!$5:$5,0)),0)*($AI447+$AQ447+$AR447),0)</f>
        <v>87.6724053808464</v>
      </c>
      <c r="BC447" s="153" t="n">
        <f aca="false">IFERROR(IF($N447="VCA",INDEX(APOIO_REDES!$A:$W,MATCH($C447&amp;$I447&amp;$H447&amp;$N447&amp;$O447,APOIO_REDES!$W:$W,0),MATCH(BC$5,APOIO_REDES!$5:$5,0)),0)*($AI447+$AQ447+$AR447),0)</f>
        <v>0.96439461915363</v>
      </c>
      <c r="BD447" s="153" t="n">
        <f aca="false">IF(AND($N447="VCA",$AF447&gt;=1.25,$AF447&lt;1.5),$M447*$AF447*2,0)</f>
        <v>616.2368</v>
      </c>
      <c r="BE447" s="153" t="n">
        <f aca="false">IF(AND($N447="VCA",$AF447&gt;=1.5,$AF447&lt;3),$M447*$AF447*2,0)</f>
        <v>0</v>
      </c>
      <c r="BF447" s="153" t="n">
        <f aca="false">IF(AND($N447="VCA",$AF447&gt;=3),$M447*$AF447*2,0)</f>
        <v>0</v>
      </c>
      <c r="BG447" s="153" t="n">
        <f aca="false">($BB447+$BC447)*$AK447</f>
        <v>221.592</v>
      </c>
      <c r="BH447" s="153" t="n">
        <f aca="false">IF(AND($M447&lt;&gt;"",$N447="VCA",$Q447="LINEAR"),($M447*2)/100,IF(AND($M447&lt;&gt;"",$N447="MND",$Q447="EMBOQUE"),($AN447*2)/100,0))</f>
        <v>4.2208</v>
      </c>
      <c r="BI447" s="153" t="n">
        <f aca="false">IF(AND($M447&lt;&gt;"",$N447="VCA",$Q447="LINEAR"),$M447,IF(AND($M447&lt;&gt;"",$N447="MND",$Q447="EMBOQUE"),$AN447*2,0))</f>
        <v>211.04</v>
      </c>
      <c r="BJ447" s="153" t="n">
        <f aca="false">IF(AND($M447&lt;&gt;"",$N447="VCA",$Q447="LINEAR"),($M447*6.8)/100,IF(AND($M447&lt;&gt;"",$N447="MND",$Q447="EMBOQUE"),($AN447*2*6.8)/100,0))</f>
        <v>14.35072</v>
      </c>
      <c r="BK447" s="153" t="n">
        <f aca="false">IF(AND($M447&lt;&gt;"",$N447="VCA",$Q447="LINEAR"),($M447*2.5)/50,IF(AND($M447&lt;&gt;"",$N447="MND",$Q447="EMBOQUE"),($AN447*2*2.5)/50,0))</f>
        <v>10.552</v>
      </c>
      <c r="BL447" s="157" t="str">
        <f aca="false">K447&amp;J447</f>
        <v>Zona04REDES</v>
      </c>
      <c r="BM447" s="152" t="s">
        <v>2969</v>
      </c>
      <c r="BN447" s="152" t="s">
        <v>1560</v>
      </c>
      <c r="BO447" s="152" t="s">
        <v>1982</v>
      </c>
      <c r="BP447" s="152" t="s">
        <v>3235</v>
      </c>
      <c r="BQ447" s="152" t="s">
        <v>3090</v>
      </c>
      <c r="BR447" s="152" t="s">
        <v>3091</v>
      </c>
      <c r="BS447" s="152" t="n">
        <v>203282.875</v>
      </c>
      <c r="BT447" s="152" t="n">
        <v>8238191.254</v>
      </c>
      <c r="BU447" s="152" t="n">
        <v>203405.57</v>
      </c>
      <c r="BV447" s="152" t="n">
        <v>8238362.769</v>
      </c>
      <c r="BW447" s="152" t="n">
        <v>-15.9170112</v>
      </c>
      <c r="BX447" s="152" t="n">
        <v>-47.7706254</v>
      </c>
      <c r="BY447" s="152" t="s">
        <v>3235</v>
      </c>
    </row>
    <row r="448" customFormat="false" ht="13.8" hidden="false" customHeight="false" outlineLevel="0" collapsed="false">
      <c r="A448" s="149" t="n">
        <f aca="false">IF(C448&lt;&gt;"",ROW(A443),"")</f>
        <v>443</v>
      </c>
      <c r="B448" s="150" t="str">
        <f aca="false">HYPERLINK("https://www.google.com/maps/dir/-15.917302,-47.760003/-15.9169915,-47.7689378/data=!4m3!4m2!3e0!5i0")</f>
        <v>https://www.google.com/maps/dir/-15.917302,-47.760003/-15.9169915,-47.7689378/data=!4m3!4m2!3e0!5i0</v>
      </c>
      <c r="C448" s="151" t="s">
        <v>117</v>
      </c>
      <c r="D448" s="152" t="s">
        <v>112</v>
      </c>
      <c r="E448" s="152" t="s">
        <v>113</v>
      </c>
      <c r="F448" s="152" t="s">
        <v>117</v>
      </c>
      <c r="G448" s="152" t="s">
        <v>782</v>
      </c>
      <c r="H448" s="152" t="n">
        <v>63</v>
      </c>
      <c r="I448" s="152" t="s">
        <v>115</v>
      </c>
      <c r="J448" s="152" t="s">
        <v>6</v>
      </c>
      <c r="K448" s="152" t="s">
        <v>2966</v>
      </c>
      <c r="L448" s="152" t="s">
        <v>120</v>
      </c>
      <c r="M448" s="153" t="n">
        <f aca="false">53.9</f>
        <v>53.9</v>
      </c>
      <c r="N448" s="152" t="s">
        <v>1548</v>
      </c>
      <c r="O448" s="152" t="s">
        <v>1549</v>
      </c>
      <c r="P448" s="152" t="s">
        <v>1550</v>
      </c>
      <c r="Q448" s="152" t="s">
        <v>1551</v>
      </c>
      <c r="R448" s="154" t="s">
        <v>3236</v>
      </c>
      <c r="S448" s="154" t="s">
        <v>1553</v>
      </c>
      <c r="T448" s="155" t="s">
        <v>1979</v>
      </c>
      <c r="U448" s="152" t="str">
        <f aca="false">RIGHT(T448,7)</f>
        <v>006/037</v>
      </c>
      <c r="V448" s="152" t="s">
        <v>1555</v>
      </c>
      <c r="W448" s="156" t="n">
        <v>45882</v>
      </c>
      <c r="X448" s="152" t="s">
        <v>1594</v>
      </c>
      <c r="Y448" s="152" t="s">
        <v>3237</v>
      </c>
      <c r="Z448" s="152" t="s">
        <v>1557</v>
      </c>
      <c r="AA448" s="153" t="n">
        <v>2.4</v>
      </c>
      <c r="AB448" s="151" t="s">
        <v>3238</v>
      </c>
      <c r="AC448" s="151" t="s">
        <v>186</v>
      </c>
      <c r="AD448" s="151" t="str">
        <f aca="false">CONCATENATE($C448,$I448,$H448,$N448,$J448,$K448)</f>
        <v>TUBO PEADPEAD63VCAREDESZona04</v>
      </c>
      <c r="AE448" s="153" t="n">
        <f aca="false">IFERROR(INDEX(APOIO_REDES!$A:$W,MATCH($C448&amp;$I448&amp;$H448&amp;$N448&amp;$O448,APOIO_REDES!$W:$W,0),MATCH(AE$5,APOIO_REDES!$5:$5,0)),0)</f>
        <v>1.2</v>
      </c>
      <c r="AF448" s="153" t="n">
        <f aca="false">IFERROR(INDEX(APOIO_REDES!$A:$W,MATCH($C448&amp;$I448&amp;$H448&amp;$N448&amp;$O448,APOIO_REDES!$W:$W,0),MATCH(AF$5,APOIO_REDES!$5:$5,0)),0)</f>
        <v>1.363</v>
      </c>
      <c r="AG448" s="153" t="n">
        <f aca="false">IFERROR(INDEX(APOIO_REDES!$A:$W,MATCH($C448&amp;$I448&amp;$H448&amp;$N448&amp;$O448,APOIO_REDES!$W:$W,0),MATCH(AG$5,APOIO_REDES!$5:$5,0)),0)</f>
        <v>0.65</v>
      </c>
      <c r="AH448" s="153" t="n">
        <f aca="false">IFERROR(INDEX(APOIO_REDES!$A:$W,MATCH($C448&amp;$I448&amp;$H448&amp;$N448&amp;$O448,APOIO_REDES!$W:$W,0),MATCH(AH$5,APOIO_REDES!$5:$5,0)),0)</f>
        <v>0.1</v>
      </c>
      <c r="AI448" s="153" t="n">
        <f aca="false">IFERROR(IF($H448&lt;&gt;"",(((($H448/1000)/2)^2)*PI()*$M448),0),0)</f>
        <v>0.168019522237269</v>
      </c>
      <c r="AJ448" s="153" t="n">
        <f aca="false">IFERROR(IF(AND($H448&lt;&gt;"",$I448="FoFo",OR($N448="MND",$N448="VCA"),$Q448="LINEAR"),0,IF(AND($H448&lt;&gt;"",$I448="PEAD",$N448="VCA",$Q448="LINEAR"),($H448/1000)+0.3,IF(AND($H448&lt;&gt;"",$I448="PEAD",$N448="MND",$Q448="EMBOQUE"),0,IF(AND($H448&lt;&gt;"",$I448="PVC",$N448="VCA",$Q448="LINEAR"),($H448/1000)+0.2,IF(AND($H448&lt;&gt;"",$I448="PVC",$N448="MND",$Q448="EMBOQUE"),0,IF(AND($H448&lt;&gt;"",$I448="PEAD",$N448="VCA",$Q448="PREDIAL"),0,0)))))),0)</f>
        <v>0.363</v>
      </c>
      <c r="AK448" s="153" t="n">
        <f aca="false">IF(AA448&lt;&gt;"",AA448,0)</f>
        <v>2.4</v>
      </c>
      <c r="AL448" s="153" t="n">
        <f aca="false">IF(AND($N448="MND",$Q448="EMBOQUE"),$M448,IF(AND($N448="VCA",$Q448="LINEAR"),$M448,IF(AND($N448="VCA",$Q448="PREDIAL"),0,0)))</f>
        <v>53.9</v>
      </c>
      <c r="AM448" s="153" t="n">
        <f aca="false">IF(AND($N448="MND",$Q448="EMBOQUE"),$M448,IF(AND($N448="VCA",$Q448="LINEAR"),$M448,IF(AND($N448="VCA",$Q448="PREDIAL"),0,0)))</f>
        <v>53.9</v>
      </c>
      <c r="AN448" s="153" t="n">
        <f aca="false">ROUND(IF(AND($N448="VCA",$M448&lt;&gt;"",$Q448="LINEAR"),$M448/100,IF(AND($N448="MND",$M448&gt;100,$Q448="EMBOQUE"),$M448/100,0)),0)</f>
        <v>1</v>
      </c>
      <c r="AO448" s="153" t="n">
        <f aca="false">IF(AND($N448="MND",$Q448="EMBOQUE"),$AN448*2*2,IF(AND($N448="VCA",$Q448="LINEAR"),$M448*2,IF(AND($N448="VCA",$Q448="PREDIAL"),0,0)))</f>
        <v>107.8</v>
      </c>
      <c r="AP448" s="153" t="n">
        <f aca="false">IFERROR($M448*$AF448*$AG448,0)</f>
        <v>47.752705</v>
      </c>
      <c r="AQ448" s="153" t="n">
        <f aca="false">IFERROR(IF(AND($N448="VCA",$AH448&gt;0),$M448*$AG448*$AH448,0),0)</f>
        <v>3.5035</v>
      </c>
      <c r="AR448" s="153" t="n">
        <f aca="false">IFERROR(IF(AND($N448="VCA",$AJ448&gt;0),($M448*$AG448*$AJ448)-$AI448,0),0)</f>
        <v>12.5496854777627</v>
      </c>
      <c r="AS448" s="153" t="n">
        <f aca="false">IFERROR(IF(AND($N448="VCA",$AP448&gt;0),$AP448-$AI448-$AQ448-$AR448,0),0)</f>
        <v>31.5315</v>
      </c>
      <c r="AT448" s="153" t="n">
        <f aca="false">IFERROR(IF($N448="VCA",INDEX(APOIO_REDES!$A:$W,MATCH($C448&amp;$I448&amp;$H448&amp;$N448&amp;$O448,APOIO_REDES!$W:$W,0),MATCH(AT$5,APOIO_REDES!$5:$5,0)),0)*$AP448,0)</f>
        <v>0.519563564479208</v>
      </c>
      <c r="AU448" s="153" t="n">
        <f aca="false">IFERROR(IF($N448="VCA",INDEX(APOIO_REDES!$A:$W,MATCH($C448&amp;$I448&amp;$H448&amp;$N448&amp;$O448,APOIO_REDES!$W:$W,0),MATCH(AU$5,APOIO_REDES!$5:$5,0)),0)*$AP448,0)</f>
        <v>0.414909391027206</v>
      </c>
      <c r="AV448" s="153" t="n">
        <f aca="false">IFERROR(IF($N448="VCA",INDEX(APOIO_REDES!$A:$W,MATCH($C448&amp;$I448&amp;$H448&amp;$N448&amp;$O448,APOIO_REDES!$W:$W,0),MATCH(AV$5,APOIO_REDES!$5:$5,0)),0)*$AP448,0)</f>
        <v>0.0574202025517385</v>
      </c>
      <c r="AW448" s="153" t="n">
        <f aca="false">IFERROR(IF($N448="VCA",INDEX(APOIO_REDES!$A:$W,MATCH($C448&amp;$I448&amp;$H448&amp;$N448&amp;$O448,APOIO_REDES!$W:$W,0),MATCH(AW$5,APOIO_REDES!$5:$5,0)),0)*$AP448,0)</f>
        <v>32.7778267180137</v>
      </c>
      <c r="AX448" s="153" t="n">
        <f aca="false">IFERROR(IF($N448="VCA",INDEX(APOIO_REDES!$A:$W,MATCH($C448&amp;$I448&amp;$H448&amp;$N448&amp;$O448,APOIO_REDES!$W:$W,0),MATCH(AX$5,APOIO_REDES!$5:$5,0)),0)*$AP448,0)</f>
        <v>4.53635784836631</v>
      </c>
      <c r="AY448" s="153" t="n">
        <f aca="false">IFERROR(IF($N448="VCA",INDEX(APOIO_REDES!$A:$W,MATCH($C448&amp;$I448&amp;$H448&amp;$N448&amp;$O448,APOIO_REDES!$W:$W,0),MATCH(AY$5,APOIO_REDES!$5:$5,0)),0)*$AP448,0)</f>
        <v>8.29818276283228</v>
      </c>
      <c r="AZ448" s="153" t="n">
        <f aca="false">IFERROR(IF($N448="VCA",INDEX(APOIO_REDES!$A:$W,MATCH($C448&amp;$I448&amp;$H448&amp;$N448&amp;$O448,APOIO_REDES!$W:$W,0),MATCH(AZ$5,APOIO_REDES!$5:$5,0)),0)*$AP448,0)</f>
        <v>1.14844451272951</v>
      </c>
      <c r="BA448" s="153" t="n">
        <f aca="false">IFERROR(IF(AND($N448="VCA",$Q448="LINEAR"),INDEX(APOIO_REDES!$A:$W,MATCH($C448&amp;$I448&amp;$H448&amp;$N448&amp;$O448,APOIO_REDES!$W:$W,0),MATCH(BA$5,APOIO_REDES!$5:$5,0)),IF(AND($N448="MND",$Q448="EMBOQUE"),INDEX(APOIO_REDES!$A:$W,MATCH($C448&amp;$I448&amp;$H448&amp;$N448&amp;$O448,APOIO_REDES!$W:$W,0),MATCH(BA$5,APOIO_REDES!$5:$5,0)),0))*$M448/10,0)</f>
        <v>4.34420404155016</v>
      </c>
      <c r="BB448" s="153" t="n">
        <f aca="false">IFERROR(IF($N448="VCA",INDEX(APOIO_REDES!$A:$W,MATCH($C448&amp;$I448&amp;$H448&amp;$N448&amp;$O448,APOIO_REDES!$W:$W,0),MATCH(BB$5,APOIO_REDES!$5:$5,0)),0)*($AI448+$AQ448+$AR448),0)</f>
        <v>16.0447134883684</v>
      </c>
      <c r="BC448" s="153" t="n">
        <f aca="false">IFERROR(IF($N448="VCA",INDEX(APOIO_REDES!$A:$W,MATCH($C448&amp;$I448&amp;$H448&amp;$N448&amp;$O448,APOIO_REDES!$W:$W,0),MATCH(BC$5,APOIO_REDES!$5:$5,0)),0)*($AI448+$AQ448+$AR448),0)</f>
        <v>0.176491511631602</v>
      </c>
      <c r="BD448" s="153" t="n">
        <f aca="false">IF(AND($N448="VCA",$AF448&gt;=1.25,$AF448&lt;1.5),$M448*$AF448*2,0)</f>
        <v>146.9314</v>
      </c>
      <c r="BE448" s="153" t="n">
        <f aca="false">IF(AND($N448="VCA",$AF448&gt;=1.5,$AF448&lt;3),$M448*$AF448*2,0)</f>
        <v>0</v>
      </c>
      <c r="BF448" s="153" t="n">
        <f aca="false">IF(AND($N448="VCA",$AF448&gt;=3),$M448*$AF448*2,0)</f>
        <v>0</v>
      </c>
      <c r="BG448" s="153" t="n">
        <f aca="false">($BB448+$BC448)*$AK448</f>
        <v>38.930892</v>
      </c>
      <c r="BH448" s="153" t="n">
        <f aca="false">IF(AND($M448&lt;&gt;"",$N448="VCA",$Q448="LINEAR"),($M448*2)/100,IF(AND($M448&lt;&gt;"",$N448="MND",$Q448="EMBOQUE"),($AN448*2)/100,0))</f>
        <v>1.078</v>
      </c>
      <c r="BI448" s="153" t="n">
        <f aca="false">IF(AND($M448&lt;&gt;"",$N448="VCA",$Q448="LINEAR"),$M448,IF(AND($M448&lt;&gt;"",$N448="MND",$Q448="EMBOQUE"),$AN448*2,0))</f>
        <v>53.9</v>
      </c>
      <c r="BJ448" s="153" t="n">
        <f aca="false">IF(AND($M448&lt;&gt;"",$N448="VCA",$Q448="LINEAR"),($M448*6.8)/100,IF(AND($M448&lt;&gt;"",$N448="MND",$Q448="EMBOQUE"),($AN448*2*6.8)/100,0))</f>
        <v>3.6652</v>
      </c>
      <c r="BK448" s="153" t="n">
        <f aca="false">IF(AND($M448&lt;&gt;"",$N448="VCA",$Q448="LINEAR"),($M448*2.5)/50,IF(AND($M448&lt;&gt;"",$N448="MND",$Q448="EMBOQUE"),($AN448*2*2.5)/50,0))</f>
        <v>2.695</v>
      </c>
      <c r="BL448" s="157" t="str">
        <f aca="false">K448&amp;J448</f>
        <v>Zona04REDES</v>
      </c>
      <c r="BM448" s="152" t="s">
        <v>2969</v>
      </c>
      <c r="BN448" s="152" t="s">
        <v>1560</v>
      </c>
      <c r="BO448" s="152" t="s">
        <v>1982</v>
      </c>
      <c r="BP448" s="152" t="s">
        <v>3208</v>
      </c>
      <c r="BQ448" s="152" t="s">
        <v>3239</v>
      </c>
      <c r="BR448" s="152" t="s">
        <v>3240</v>
      </c>
      <c r="BS448" s="152" t="n">
        <v>203526.274</v>
      </c>
      <c r="BT448" s="152" t="n">
        <v>8238280.777</v>
      </c>
      <c r="BU448" s="152" t="n">
        <v>203478.468</v>
      </c>
      <c r="BV448" s="152" t="n">
        <v>8238255.916</v>
      </c>
      <c r="BW448" s="152" t="n">
        <v>-15.9171025</v>
      </c>
      <c r="BX448" s="152" t="n">
        <v>-47.7691616</v>
      </c>
      <c r="BY448" s="152" t="s">
        <v>3208</v>
      </c>
    </row>
    <row r="449" customFormat="false" ht="13.8" hidden="false" customHeight="false" outlineLevel="0" collapsed="false">
      <c r="A449" s="149" t="n">
        <f aca="false">IF(C449&lt;&gt;"",ROW(A444),"")</f>
        <v>444</v>
      </c>
      <c r="B449" s="150" t="str">
        <f aca="false">HYPERLINK("https://www.google.com/maps/dir/-15.917302,-47.760003/-15.9171014,-47.7694822/data=!4m3!4m2!3e0!5i0")</f>
        <v>https://www.google.com/maps/dir/-15.917302,-47.760003/-15.9171014,-47.7694822/data=!4m3!4m2!3e0!5i0</v>
      </c>
      <c r="C449" s="151" t="s">
        <v>117</v>
      </c>
      <c r="D449" s="152" t="s">
        <v>112</v>
      </c>
      <c r="E449" s="152" t="s">
        <v>113</v>
      </c>
      <c r="F449" s="152" t="s">
        <v>117</v>
      </c>
      <c r="G449" s="152" t="s">
        <v>782</v>
      </c>
      <c r="H449" s="152" t="n">
        <v>90</v>
      </c>
      <c r="I449" s="152" t="s">
        <v>115</v>
      </c>
      <c r="J449" s="152" t="s">
        <v>6</v>
      </c>
      <c r="K449" s="152" t="s">
        <v>2966</v>
      </c>
      <c r="L449" s="152" t="s">
        <v>120</v>
      </c>
      <c r="M449" s="153" t="n">
        <f aca="false">15.46+0.34</f>
        <v>15.8</v>
      </c>
      <c r="N449" s="152" t="s">
        <v>1548</v>
      </c>
      <c r="O449" s="152" t="s">
        <v>1549</v>
      </c>
      <c r="P449" s="152" t="s">
        <v>1550</v>
      </c>
      <c r="Q449" s="152" t="s">
        <v>1551</v>
      </c>
      <c r="R449" s="154" t="s">
        <v>3241</v>
      </c>
      <c r="S449" s="154" t="s">
        <v>1593</v>
      </c>
      <c r="T449" s="155" t="s">
        <v>1979</v>
      </c>
      <c r="U449" s="152" t="str">
        <f aca="false">RIGHT(T449,7)</f>
        <v>006/037</v>
      </c>
      <c r="V449" s="152" t="s">
        <v>1555</v>
      </c>
      <c r="W449" s="156" t="n">
        <v>45882</v>
      </c>
      <c r="X449" s="152" t="s">
        <v>1594</v>
      </c>
      <c r="Y449" s="152" t="s">
        <v>3202</v>
      </c>
      <c r="Z449" s="152" t="s">
        <v>1557</v>
      </c>
      <c r="AA449" s="153" t="n">
        <v>2.4</v>
      </c>
      <c r="AB449" s="151" t="s">
        <v>3242</v>
      </c>
      <c r="AC449" s="151" t="s">
        <v>526</v>
      </c>
      <c r="AD449" s="151" t="str">
        <f aca="false">CONCATENATE($C449,$I449,$H449,$N449,$J449,$K449)</f>
        <v>TUBO PEADPEAD90VCAREDESZona04</v>
      </c>
      <c r="AE449" s="153" t="n">
        <f aca="false">IFERROR(INDEX(APOIO_REDES!$A:$W,MATCH($C449&amp;$I449&amp;$H449&amp;$N449&amp;$O449,APOIO_REDES!$W:$W,0),MATCH(AE$5,APOIO_REDES!$5:$5,0)),0)</f>
        <v>1.2</v>
      </c>
      <c r="AF449" s="153" t="n">
        <f aca="false">IFERROR(INDEX(APOIO_REDES!$A:$W,MATCH($C449&amp;$I449&amp;$H449&amp;$N449&amp;$O449,APOIO_REDES!$W:$W,0),MATCH(AF$5,APOIO_REDES!$5:$5,0)),0)</f>
        <v>1.39</v>
      </c>
      <c r="AG449" s="153" t="n">
        <f aca="false">IFERROR(INDEX(APOIO_REDES!$A:$W,MATCH($C449&amp;$I449&amp;$H449&amp;$N449&amp;$O449,APOIO_REDES!$W:$W,0),MATCH(AG$5,APOIO_REDES!$5:$5,0)),0)</f>
        <v>0.75</v>
      </c>
      <c r="AH449" s="153" t="n">
        <f aca="false">IFERROR(INDEX(APOIO_REDES!$A:$W,MATCH($C449&amp;$I449&amp;$H449&amp;$N449&amp;$O449,APOIO_REDES!$W:$W,0),MATCH(AH$5,APOIO_REDES!$5:$5,0)),0)</f>
        <v>0.1</v>
      </c>
      <c r="AI449" s="153" t="n">
        <f aca="false">IFERROR(IF($H449&lt;&gt;"",(((($H449/1000)/2)^2)*PI()*$M449),0),0)</f>
        <v>0.100515256951605</v>
      </c>
      <c r="AJ449" s="153" t="n">
        <f aca="false">IFERROR(IF(AND($H449&lt;&gt;"",$I449="FoFo",OR($N449="MND",$N449="VCA"),$Q449="LINEAR"),0,IF(AND($H449&lt;&gt;"",$I449="PEAD",$N449="VCA",$Q449="LINEAR"),($H449/1000)+0.3,IF(AND($H449&lt;&gt;"",$I449="PEAD",$N449="MND",$Q449="EMBOQUE"),0,IF(AND($H449&lt;&gt;"",$I449="PVC",$N449="VCA",$Q449="LINEAR"),($H449/1000)+0.2,IF(AND($H449&lt;&gt;"",$I449="PVC",$N449="MND",$Q449="EMBOQUE"),0,IF(AND($H449&lt;&gt;"",$I449="PEAD",$N449="VCA",$Q449="PREDIAL"),0,0)))))),0)</f>
        <v>0.39</v>
      </c>
      <c r="AK449" s="153" t="n">
        <f aca="false">IF(AA449&lt;&gt;"",AA449,0)</f>
        <v>2.4</v>
      </c>
      <c r="AL449" s="153" t="n">
        <f aca="false">IF(AND($N449="MND",$Q449="EMBOQUE"),$M449,IF(AND($N449="VCA",$Q449="LINEAR"),$M449,IF(AND($N449="VCA",$Q449="PREDIAL"),0,0)))</f>
        <v>15.8</v>
      </c>
      <c r="AM449" s="153" t="n">
        <f aca="false">IF(AND($N449="MND",$Q449="EMBOQUE"),$M449,IF(AND($N449="VCA",$Q449="LINEAR"),$M449,IF(AND($N449="VCA",$Q449="PREDIAL"),0,0)))</f>
        <v>15.8</v>
      </c>
      <c r="AN449" s="153" t="n">
        <f aca="false">ROUND(IF(AND($N449="VCA",$M449&lt;&gt;"",$Q449="LINEAR"),$M449/100,IF(AND($N449="MND",$M449&gt;100,$Q449="EMBOQUE"),$M449/100,0)),0)</f>
        <v>0</v>
      </c>
      <c r="AO449" s="153" t="n">
        <f aca="false">IF(AND($N449="MND",$Q449="EMBOQUE"),$AN449*2*2,IF(AND($N449="VCA",$Q449="LINEAR"),$M449*2,IF(AND($N449="VCA",$Q449="PREDIAL"),0,0)))</f>
        <v>31.6</v>
      </c>
      <c r="AP449" s="153" t="n">
        <f aca="false">IFERROR($M449*$AF449*$AG449,0)</f>
        <v>16.4715</v>
      </c>
      <c r="AQ449" s="153" t="n">
        <f aca="false">IFERROR(IF(AND($N449="VCA",$AH449&gt;0),$M449*$AG449*$AH449,0),0)</f>
        <v>1.185</v>
      </c>
      <c r="AR449" s="153" t="n">
        <f aca="false">IFERROR(IF(AND($N449="VCA",$AJ449&gt;0),($M449*$AG449*$AJ449)-$AI449,0),0)</f>
        <v>4.5209847430484</v>
      </c>
      <c r="AS449" s="153" t="n">
        <f aca="false">IFERROR(IF(AND($N449="VCA",$AP449&gt;0),$AP449-$AI449-$AQ449-$AR449,0),0)</f>
        <v>10.665</v>
      </c>
      <c r="AT449" s="153" t="n">
        <f aca="false">IFERROR(IF($N449="VCA",INDEX(APOIO_REDES!$A:$W,MATCH($C449&amp;$I449&amp;$H449&amp;$N449&amp;$O449,APOIO_REDES!$W:$W,0),MATCH(AT$5,APOIO_REDES!$5:$5,0)),0)*$AP449,0)</f>
        <v>0.17921479531514</v>
      </c>
      <c r="AU449" s="153" t="n">
        <f aca="false">IFERROR(IF($N449="VCA",INDEX(APOIO_REDES!$A:$W,MATCH($C449&amp;$I449&amp;$H449&amp;$N449&amp;$O449,APOIO_REDES!$W:$W,0),MATCH(AU$5,APOIO_REDES!$5:$5,0)),0)*$AP449,0)</f>
        <v>0.143116081786459</v>
      </c>
      <c r="AV449" s="153" t="n">
        <f aca="false">IFERROR(IF($N449="VCA",INDEX(APOIO_REDES!$A:$W,MATCH($C449&amp;$I449&amp;$H449&amp;$N449&amp;$O449,APOIO_REDES!$W:$W,0),MATCH(AV$5,APOIO_REDES!$5:$5,0)),0)*$AP449,0)</f>
        <v>0.0198061422139534</v>
      </c>
      <c r="AW449" s="153" t="n">
        <f aca="false">IFERROR(IF($N449="VCA",INDEX(APOIO_REDES!$A:$W,MATCH($C449&amp;$I449&amp;$H449&amp;$N449&amp;$O449,APOIO_REDES!$W:$W,0),MATCH(AW$5,APOIO_REDES!$5:$5,0)),0)*$AP449,0)</f>
        <v>11.3061652274099</v>
      </c>
      <c r="AX449" s="153" t="n">
        <f aca="false">IFERROR(IF($N449="VCA",INDEX(APOIO_REDES!$A:$W,MATCH($C449&amp;$I449&amp;$H449&amp;$N449&amp;$O449,APOIO_REDES!$W:$W,0),MATCH(AX$5,APOIO_REDES!$5:$5,0)),0)*$AP449,0)</f>
        <v>1.56474106125225</v>
      </c>
      <c r="AY449" s="153" t="n">
        <f aca="false">IFERROR(IF($N449="VCA",INDEX(APOIO_REDES!$A:$W,MATCH($C449&amp;$I449&amp;$H449&amp;$N449&amp;$O449,APOIO_REDES!$W:$W,0),MATCH(AY$5,APOIO_REDES!$5:$5,0)),0)*$AP449,0)</f>
        <v>2.86231989115573</v>
      </c>
      <c r="AZ449" s="153" t="n">
        <f aca="false">IFERROR(IF($N449="VCA",INDEX(APOIO_REDES!$A:$W,MATCH($C449&amp;$I449&amp;$H449&amp;$N449&amp;$O449,APOIO_REDES!$W:$W,0),MATCH(AZ$5,APOIO_REDES!$5:$5,0)),0)*$AP449,0)</f>
        <v>0.396136800866551</v>
      </c>
      <c r="BA449" s="153" t="n">
        <f aca="false">IFERROR(IF(AND($N449="VCA",$Q449="LINEAR"),INDEX(APOIO_REDES!$A:$W,MATCH($C449&amp;$I449&amp;$H449&amp;$N449&amp;$O449,APOIO_REDES!$W:$W,0),MATCH(BA$5,APOIO_REDES!$5:$5,0)),IF(AND($N449="MND",$Q449="EMBOQUE"),INDEX(APOIO_REDES!$A:$W,MATCH($C449&amp;$I449&amp;$H449&amp;$N449&amp;$O449,APOIO_REDES!$W:$W,0),MATCH(BA$5,APOIO_REDES!$5:$5,0)),0))*$M449/10,0)</f>
        <v>1.27344014576053</v>
      </c>
      <c r="BB449" s="153" t="n">
        <f aca="false">IFERROR(IF($N449="VCA",INDEX(APOIO_REDES!$A:$W,MATCH($C449&amp;$I449&amp;$H449&amp;$N449&amp;$O449,APOIO_REDES!$W:$W,0),MATCH(BB$5,APOIO_REDES!$5:$5,0)),0)*($AI449+$AQ449+$AR449),0)</f>
        <v>5.74332356136373</v>
      </c>
      <c r="BC449" s="153" t="n">
        <f aca="false">IFERROR(IF($N449="VCA",INDEX(APOIO_REDES!$A:$W,MATCH($C449&amp;$I449&amp;$H449&amp;$N449&amp;$O449,APOIO_REDES!$W:$W,0),MATCH(BC$5,APOIO_REDES!$5:$5,0)),0)*($AI449+$AQ449+$AR449),0)</f>
        <v>0.0631764386362724</v>
      </c>
      <c r="BD449" s="153" t="n">
        <f aca="false">IF(AND($N449="VCA",$AF449&gt;=1.25,$AF449&lt;1.5),$M449*$AF449*2,0)</f>
        <v>43.924</v>
      </c>
      <c r="BE449" s="153" t="n">
        <f aca="false">IF(AND($N449="VCA",$AF449&gt;=1.5,$AF449&lt;3),$M449*$AF449*2,0)</f>
        <v>0</v>
      </c>
      <c r="BF449" s="153" t="n">
        <f aca="false">IF(AND($N449="VCA",$AF449&gt;=3),$M449*$AF449*2,0)</f>
        <v>0</v>
      </c>
      <c r="BG449" s="153" t="n">
        <f aca="false">($BB449+$BC449)*$AK449</f>
        <v>13.9356</v>
      </c>
      <c r="BH449" s="153" t="n">
        <f aca="false">IF(AND($M449&lt;&gt;"",$N449="VCA",$Q449="LINEAR"),($M449*2)/100,IF(AND($M449&lt;&gt;"",$N449="MND",$Q449="EMBOQUE"),($AN449*2)/100,0))</f>
        <v>0.316</v>
      </c>
      <c r="BI449" s="153" t="n">
        <f aca="false">IF(AND($M449&lt;&gt;"",$N449="VCA",$Q449="LINEAR"),$M449,IF(AND($M449&lt;&gt;"",$N449="MND",$Q449="EMBOQUE"),$AN449*2,0))</f>
        <v>15.8</v>
      </c>
      <c r="BJ449" s="153" t="n">
        <f aca="false">IF(AND($M449&lt;&gt;"",$N449="VCA",$Q449="LINEAR"),($M449*6.8)/100,IF(AND($M449&lt;&gt;"",$N449="MND",$Q449="EMBOQUE"),($AN449*2*6.8)/100,0))</f>
        <v>1.0744</v>
      </c>
      <c r="BK449" s="153" t="n">
        <f aca="false">IF(AND($M449&lt;&gt;"",$N449="VCA",$Q449="LINEAR"),($M449*2.5)/50,IF(AND($M449&lt;&gt;"",$N449="MND",$Q449="EMBOQUE"),($AN449*2*2.5)/50,0))</f>
        <v>0.79</v>
      </c>
      <c r="BL449" s="157" t="str">
        <f aca="false">K449&amp;J449</f>
        <v>Zona04REDES</v>
      </c>
      <c r="BM449" s="152" t="s">
        <v>2969</v>
      </c>
      <c r="BN449" s="152" t="s">
        <v>1560</v>
      </c>
      <c r="BO449" s="152" t="s">
        <v>1982</v>
      </c>
      <c r="BP449" s="152" t="s">
        <v>3204</v>
      </c>
      <c r="BQ449" s="152" t="s">
        <v>3239</v>
      </c>
      <c r="BR449" s="152" t="s">
        <v>3243</v>
      </c>
      <c r="BS449" s="152" t="n">
        <v>203468.108</v>
      </c>
      <c r="BT449" s="152" t="n">
        <v>8238267.832</v>
      </c>
      <c r="BU449" s="152" t="n">
        <v>203478.229</v>
      </c>
      <c r="BV449" s="152" t="n">
        <v>8238256.163</v>
      </c>
      <c r="BW449" s="152" t="n">
        <v>-15.9171561</v>
      </c>
      <c r="BX449" s="152" t="n">
        <v>-47.7694374</v>
      </c>
      <c r="BY449" s="152" t="s">
        <v>3204</v>
      </c>
    </row>
    <row r="450" customFormat="false" ht="13.8" hidden="false" customHeight="false" outlineLevel="0" collapsed="false">
      <c r="A450" s="149" t="n">
        <f aca="false">IF(C450&lt;&gt;"",ROW(A445),"")</f>
        <v>445</v>
      </c>
      <c r="B450" s="150" t="str">
        <f aca="false">HYPERLINK("https://www.google.com/maps/dir/-15.917302,-47.760003/-15.9172585,-47.7683563/data=!4m3!4m2!3e0!5i0")</f>
        <v>https://www.google.com/maps/dir/-15.917302,-47.760003/-15.9172585,-47.7683563/data=!4m3!4m2!3e0!5i0</v>
      </c>
      <c r="C450" s="151" t="s">
        <v>117</v>
      </c>
      <c r="D450" s="152" t="s">
        <v>112</v>
      </c>
      <c r="E450" s="152" t="s">
        <v>113</v>
      </c>
      <c r="F450" s="152" t="s">
        <v>117</v>
      </c>
      <c r="G450" s="152" t="s">
        <v>782</v>
      </c>
      <c r="H450" s="152" t="n">
        <v>63</v>
      </c>
      <c r="I450" s="152" t="s">
        <v>115</v>
      </c>
      <c r="J450" s="152" t="s">
        <v>6</v>
      </c>
      <c r="K450" s="152" t="s">
        <v>2966</v>
      </c>
      <c r="L450" s="152" t="s">
        <v>120</v>
      </c>
      <c r="M450" s="153" t="n">
        <f aca="false">5.36+0.43</f>
        <v>5.79</v>
      </c>
      <c r="N450" s="152" t="s">
        <v>1548</v>
      </c>
      <c r="O450" s="152" t="s">
        <v>1549</v>
      </c>
      <c r="P450" s="152" t="s">
        <v>1550</v>
      </c>
      <c r="Q450" s="152" t="s">
        <v>1551</v>
      </c>
      <c r="R450" s="154" t="s">
        <v>3244</v>
      </c>
      <c r="S450" s="154" t="s">
        <v>1553</v>
      </c>
      <c r="T450" s="155" t="s">
        <v>1979</v>
      </c>
      <c r="U450" s="152" t="str">
        <f aca="false">RIGHT(T450,7)</f>
        <v>006/037</v>
      </c>
      <c r="V450" s="152" t="s">
        <v>1555</v>
      </c>
      <c r="W450" s="156" t="n">
        <v>45882</v>
      </c>
      <c r="X450" s="152" t="s">
        <v>1594</v>
      </c>
      <c r="Y450" s="152" t="s">
        <v>3202</v>
      </c>
      <c r="Z450" s="152" t="s">
        <v>1557</v>
      </c>
      <c r="AA450" s="153" t="n">
        <v>2.4</v>
      </c>
      <c r="AB450" s="151" t="s">
        <v>3245</v>
      </c>
      <c r="AC450" s="151" t="s">
        <v>186</v>
      </c>
      <c r="AD450" s="151" t="str">
        <f aca="false">CONCATENATE($C450,$I450,$H450,$N450,$J450,$K450)</f>
        <v>TUBO PEADPEAD63VCAREDESZona04</v>
      </c>
      <c r="AE450" s="153" t="n">
        <f aca="false">IFERROR(INDEX(APOIO_REDES!$A:$W,MATCH($C450&amp;$I450&amp;$H450&amp;$N450&amp;$O450,APOIO_REDES!$W:$W,0),MATCH(AE$5,APOIO_REDES!$5:$5,0)),0)</f>
        <v>1.2</v>
      </c>
      <c r="AF450" s="153" t="n">
        <f aca="false">IFERROR(INDEX(APOIO_REDES!$A:$W,MATCH($C450&amp;$I450&amp;$H450&amp;$N450&amp;$O450,APOIO_REDES!$W:$W,0),MATCH(AF$5,APOIO_REDES!$5:$5,0)),0)</f>
        <v>1.363</v>
      </c>
      <c r="AG450" s="153" t="n">
        <f aca="false">IFERROR(INDEX(APOIO_REDES!$A:$W,MATCH($C450&amp;$I450&amp;$H450&amp;$N450&amp;$O450,APOIO_REDES!$W:$W,0),MATCH(AG$5,APOIO_REDES!$5:$5,0)),0)</f>
        <v>0.65</v>
      </c>
      <c r="AH450" s="153" t="n">
        <f aca="false">IFERROR(INDEX(APOIO_REDES!$A:$W,MATCH($C450&amp;$I450&amp;$H450&amp;$N450&amp;$O450,APOIO_REDES!$W:$W,0),MATCH(AH$5,APOIO_REDES!$5:$5,0)),0)</f>
        <v>0.1</v>
      </c>
      <c r="AI450" s="153" t="n">
        <f aca="false">IFERROR(IF($H450&lt;&gt;"",(((($H450/1000)/2)^2)*PI()*$M450),0),0)</f>
        <v>0.0180488503479367</v>
      </c>
      <c r="AJ450" s="153" t="n">
        <f aca="false">IFERROR(IF(AND($H450&lt;&gt;"",$I450="FoFo",OR($N450="MND",$N450="VCA"),$Q450="LINEAR"),0,IF(AND($H450&lt;&gt;"",$I450="PEAD",$N450="VCA",$Q450="LINEAR"),($H450/1000)+0.3,IF(AND($H450&lt;&gt;"",$I450="PEAD",$N450="MND",$Q450="EMBOQUE"),0,IF(AND($H450&lt;&gt;"",$I450="PVC",$N450="VCA",$Q450="LINEAR"),($H450/1000)+0.2,IF(AND($H450&lt;&gt;"",$I450="PVC",$N450="MND",$Q450="EMBOQUE"),0,IF(AND($H450&lt;&gt;"",$I450="PEAD",$N450="VCA",$Q450="PREDIAL"),0,0)))))),0)</f>
        <v>0.363</v>
      </c>
      <c r="AK450" s="153" t="n">
        <f aca="false">IF(AA450&lt;&gt;"",AA450,0)</f>
        <v>2.4</v>
      </c>
      <c r="AL450" s="153" t="n">
        <f aca="false">IF(AND($N450="MND",$Q450="EMBOQUE"),$M450,IF(AND($N450="VCA",$Q450="LINEAR"),$M450,IF(AND($N450="VCA",$Q450="PREDIAL"),0,0)))</f>
        <v>5.79</v>
      </c>
      <c r="AM450" s="153" t="n">
        <f aca="false">IF(AND($N450="MND",$Q450="EMBOQUE"),$M450,IF(AND($N450="VCA",$Q450="LINEAR"),$M450,IF(AND($N450="VCA",$Q450="PREDIAL"),0,0)))</f>
        <v>5.79</v>
      </c>
      <c r="AN450" s="153" t="n">
        <f aca="false">ROUND(IF(AND($N450="VCA",$M450&lt;&gt;"",$Q450="LINEAR"),$M450/100,IF(AND($N450="MND",$M450&gt;100,$Q450="EMBOQUE"),$M450/100,0)),0)</f>
        <v>0</v>
      </c>
      <c r="AO450" s="153" t="n">
        <f aca="false">IF(AND($N450="MND",$Q450="EMBOQUE"),$AN450*2*2,IF(AND($N450="VCA",$Q450="LINEAR"),$M450*2,IF(AND($N450="VCA",$Q450="PREDIAL"),0,0)))</f>
        <v>11.58</v>
      </c>
      <c r="AP450" s="153" t="n">
        <f aca="false">IFERROR($M450*$AF450*$AG450,0)</f>
        <v>5.1296505</v>
      </c>
      <c r="AQ450" s="153" t="n">
        <f aca="false">IFERROR(IF(AND($N450="VCA",$AH450&gt;0),$M450*$AG450*$AH450,0),0)</f>
        <v>0.37635</v>
      </c>
      <c r="AR450" s="153" t="n">
        <f aca="false">IFERROR(IF(AND($N450="VCA",$AJ450&gt;0),($M450*$AG450*$AJ450)-$AI450,0),0)</f>
        <v>1.34810164965206</v>
      </c>
      <c r="AS450" s="153" t="n">
        <f aca="false">IFERROR(IF(AND($N450="VCA",$AP450&gt;0),$AP450-$AI450-$AQ450-$AR450,0),0)</f>
        <v>3.38715</v>
      </c>
      <c r="AT450" s="153" t="n">
        <f aca="false">IFERROR(IF($N450="VCA",INDEX(APOIO_REDES!$A:$W,MATCH($C450&amp;$I450&amp;$H450&amp;$N450&amp;$O450,APOIO_REDES!$W:$W,0),MATCH(AT$5,APOIO_REDES!$5:$5,0)),0)*$AP450,0)</f>
        <v>0.0558121157390466</v>
      </c>
      <c r="AU450" s="153" t="n">
        <f aca="false">IFERROR(IF($N450="VCA",INDEX(APOIO_REDES!$A:$W,MATCH($C450&amp;$I450&amp;$H450&amp;$N450&amp;$O450,APOIO_REDES!$W:$W,0),MATCH(AU$5,APOIO_REDES!$5:$5,0)),0)*$AP450,0)</f>
        <v>0.0445700440454086</v>
      </c>
      <c r="AV450" s="153" t="n">
        <f aca="false">IFERROR(IF($N450="VCA",INDEX(APOIO_REDES!$A:$W,MATCH($C450&amp;$I450&amp;$H450&amp;$N450&amp;$O450,APOIO_REDES!$W:$W,0),MATCH(AV$5,APOIO_REDES!$5:$5,0)),0)*$AP450,0)</f>
        <v>0.00616814420732034</v>
      </c>
      <c r="AW450" s="153" t="n">
        <f aca="false">IFERROR(IF($N450="VCA",INDEX(APOIO_REDES!$A:$W,MATCH($C450&amp;$I450&amp;$H450&amp;$N450&amp;$O450,APOIO_REDES!$W:$W,0),MATCH(AW$5,APOIO_REDES!$5:$5,0)),0)*$AP450,0)</f>
        <v>3.52103184967161</v>
      </c>
      <c r="AX450" s="153" t="n">
        <f aca="false">IFERROR(IF($N450="VCA",INDEX(APOIO_REDES!$A:$W,MATCH($C450&amp;$I450&amp;$H450&amp;$N450&amp;$O450,APOIO_REDES!$W:$W,0),MATCH(AX$5,APOIO_REDES!$5:$5,0)),0)*$AP450,0)</f>
        <v>0.487300778145472</v>
      </c>
      <c r="AY450" s="153" t="n">
        <f aca="false">IFERROR(IF($N450="VCA",INDEX(APOIO_REDES!$A:$W,MATCH($C450&amp;$I450&amp;$H450&amp;$N450&amp;$O450,APOIO_REDES!$W:$W,0),MATCH(AY$5,APOIO_REDES!$5:$5,0)),0)*$AP450,0)</f>
        <v>0.891400337602948</v>
      </c>
      <c r="AZ450" s="153" t="n">
        <f aca="false">IFERROR(IF($N450="VCA",INDEX(APOIO_REDES!$A:$W,MATCH($C450&amp;$I450&amp;$H450&amp;$N450&amp;$O450,APOIO_REDES!$W:$W,0),MATCH(AZ$5,APOIO_REDES!$5:$5,0)),0)*$AP450,0)</f>
        <v>0.123367230588198</v>
      </c>
      <c r="BA450" s="153" t="n">
        <f aca="false">IFERROR(IF(AND($N450="VCA",$Q450="LINEAR"),INDEX(APOIO_REDES!$A:$W,MATCH($C450&amp;$I450&amp;$H450&amp;$N450&amp;$O450,APOIO_REDES!$W:$W,0),MATCH(BA$5,APOIO_REDES!$5:$5,0)),IF(AND($N450="MND",$Q450="EMBOQUE"),INDEX(APOIO_REDES!$A:$W,MATCH($C450&amp;$I450&amp;$H450&amp;$N450&amp;$O450,APOIO_REDES!$W:$W,0),MATCH(BA$5,APOIO_REDES!$5:$5,0)),0))*$M450/10,0)</f>
        <v>0.466659395186928</v>
      </c>
      <c r="BB450" s="153" t="n">
        <f aca="false">IFERROR(IF($N450="VCA",INDEX(APOIO_REDES!$A:$W,MATCH($C450&amp;$I450&amp;$H450&amp;$N450&amp;$O450,APOIO_REDES!$W:$W,0),MATCH(BB$5,APOIO_REDES!$5:$5,0)),0)*($AI450+$AQ450+$AR450),0)</f>
        <v>1.72354157880618</v>
      </c>
      <c r="BC450" s="153" t="n">
        <f aca="false">IFERROR(IF($N450="VCA",INDEX(APOIO_REDES!$A:$W,MATCH($C450&amp;$I450&amp;$H450&amp;$N450&amp;$O450,APOIO_REDES!$W:$W,0),MATCH(BC$5,APOIO_REDES!$5:$5,0)),0)*($AI450+$AQ450+$AR450),0)</f>
        <v>0.0189589211938214</v>
      </c>
      <c r="BD450" s="153" t="n">
        <f aca="false">IF(AND($N450="VCA",$AF450&gt;=1.25,$AF450&lt;1.5),$M450*$AF450*2,0)</f>
        <v>15.78354</v>
      </c>
      <c r="BE450" s="153" t="n">
        <f aca="false">IF(AND($N450="VCA",$AF450&gt;=1.5,$AF450&lt;3),$M450*$AF450*2,0)</f>
        <v>0</v>
      </c>
      <c r="BF450" s="153" t="n">
        <f aca="false">IF(AND($N450="VCA",$AF450&gt;=3),$M450*$AF450*2,0)</f>
        <v>0</v>
      </c>
      <c r="BG450" s="153" t="n">
        <f aca="false">($BB450+$BC450)*$AK450</f>
        <v>4.1820012</v>
      </c>
      <c r="BH450" s="153" t="n">
        <f aca="false">IF(AND($M450&lt;&gt;"",$N450="VCA",$Q450="LINEAR"),($M450*2)/100,IF(AND($M450&lt;&gt;"",$N450="MND",$Q450="EMBOQUE"),($AN450*2)/100,0))</f>
        <v>0.1158</v>
      </c>
      <c r="BI450" s="153" t="n">
        <f aca="false">IF(AND($M450&lt;&gt;"",$N450="VCA",$Q450="LINEAR"),$M450,IF(AND($M450&lt;&gt;"",$N450="MND",$Q450="EMBOQUE"),$AN450*2,0))</f>
        <v>5.79</v>
      </c>
      <c r="BJ450" s="153" t="n">
        <f aca="false">IF(AND($M450&lt;&gt;"",$N450="VCA",$Q450="LINEAR"),($M450*6.8)/100,IF(AND($M450&lt;&gt;"",$N450="MND",$Q450="EMBOQUE"),($AN450*2*6.8)/100,0))</f>
        <v>0.39372</v>
      </c>
      <c r="BK450" s="153" t="n">
        <f aca="false">IF(AND($M450&lt;&gt;"",$N450="VCA",$Q450="LINEAR"),($M450*2.5)/50,IF(AND($M450&lt;&gt;"",$N450="MND",$Q450="EMBOQUE"),($AN450*2*2.5)/50,0))</f>
        <v>0.2895</v>
      </c>
      <c r="BL450" s="157" t="str">
        <f aca="false">K450&amp;J450</f>
        <v>Zona04REDES</v>
      </c>
      <c r="BM450" s="152" t="s">
        <v>2969</v>
      </c>
      <c r="BN450" s="152" t="s">
        <v>1560</v>
      </c>
      <c r="BO450" s="152" t="s">
        <v>1982</v>
      </c>
      <c r="BP450" s="152" t="s">
        <v>3226</v>
      </c>
      <c r="BQ450" s="152" t="s">
        <v>3230</v>
      </c>
      <c r="BR450" s="152" t="s">
        <v>3227</v>
      </c>
      <c r="BS450" s="152" t="n">
        <v>203588.971</v>
      </c>
      <c r="BT450" s="152" t="n">
        <v>8238252.038</v>
      </c>
      <c r="BU450" s="152" t="n">
        <v>203594.262</v>
      </c>
      <c r="BV450" s="152" t="n">
        <v>8238252.922</v>
      </c>
      <c r="BW450" s="152" t="n">
        <v>-15.9172548</v>
      </c>
      <c r="BX450" s="152" t="n">
        <v>-47.7683315</v>
      </c>
      <c r="BY450" s="152" t="s">
        <v>3226</v>
      </c>
    </row>
    <row r="451" customFormat="false" ht="13.8" hidden="false" customHeight="false" outlineLevel="0" collapsed="false">
      <c r="A451" s="149" t="n">
        <f aca="false">IF(C451&lt;&gt;"",ROW(A446),"")</f>
        <v>446</v>
      </c>
      <c r="B451" s="150" t="str">
        <f aca="false">HYPERLINK("https://www.google.com/maps/dir/-15.917302,-47.760003/-15.9166807,-47.7703448/data=!4m3!4m2!3e0!5i0")</f>
        <v>https://www.google.com/maps/dir/-15.917302,-47.760003/-15.9166807,-47.7703448/data=!4m3!4m2!3e0!5i0</v>
      </c>
      <c r="C451" s="151" t="s">
        <v>117</v>
      </c>
      <c r="D451" s="152" t="s">
        <v>112</v>
      </c>
      <c r="E451" s="152" t="s">
        <v>113</v>
      </c>
      <c r="F451" s="152" t="s">
        <v>117</v>
      </c>
      <c r="G451" s="152" t="s">
        <v>782</v>
      </c>
      <c r="H451" s="152" t="n">
        <v>63</v>
      </c>
      <c r="I451" s="152" t="s">
        <v>115</v>
      </c>
      <c r="J451" s="152" t="s">
        <v>6</v>
      </c>
      <c r="K451" s="152" t="s">
        <v>2966</v>
      </c>
      <c r="L451" s="152" t="s">
        <v>120</v>
      </c>
      <c r="M451" s="153" t="n">
        <f aca="false">181.67+4.82</f>
        <v>186.49</v>
      </c>
      <c r="N451" s="152" t="s">
        <v>1548</v>
      </c>
      <c r="O451" s="152" t="s">
        <v>1549</v>
      </c>
      <c r="P451" s="152" t="s">
        <v>1550</v>
      </c>
      <c r="Q451" s="152" t="s">
        <v>1551</v>
      </c>
      <c r="R451" s="154" t="s">
        <v>3246</v>
      </c>
      <c r="S451" s="154" t="s">
        <v>1553</v>
      </c>
      <c r="T451" s="155" t="s">
        <v>1979</v>
      </c>
      <c r="U451" s="152" t="str">
        <f aca="false">RIGHT(T451,7)</f>
        <v>006/037</v>
      </c>
      <c r="V451" s="152" t="s">
        <v>1555</v>
      </c>
      <c r="W451" s="156" t="n">
        <v>45882</v>
      </c>
      <c r="X451" s="152" t="s">
        <v>1594</v>
      </c>
      <c r="Y451" s="152" t="s">
        <v>3202</v>
      </c>
      <c r="Z451" s="152" t="s">
        <v>1557</v>
      </c>
      <c r="AA451" s="153" t="n">
        <v>2.3</v>
      </c>
      <c r="AB451" s="151" t="s">
        <v>3247</v>
      </c>
      <c r="AC451" s="151" t="s">
        <v>186</v>
      </c>
      <c r="AD451" s="151" t="str">
        <f aca="false">CONCATENATE($C451,$I451,$H451,$N451,$J451,$K451)</f>
        <v>TUBO PEADPEAD63VCAREDESZona04</v>
      </c>
      <c r="AE451" s="153" t="n">
        <f aca="false">IFERROR(INDEX(APOIO_REDES!$A:$W,MATCH($C451&amp;$I451&amp;$H451&amp;$N451&amp;$O451,APOIO_REDES!$W:$W,0),MATCH(AE$5,APOIO_REDES!$5:$5,0)),0)</f>
        <v>1.2</v>
      </c>
      <c r="AF451" s="153" t="n">
        <f aca="false">IFERROR(INDEX(APOIO_REDES!$A:$W,MATCH($C451&amp;$I451&amp;$H451&amp;$N451&amp;$O451,APOIO_REDES!$W:$W,0),MATCH(AF$5,APOIO_REDES!$5:$5,0)),0)</f>
        <v>1.363</v>
      </c>
      <c r="AG451" s="153" t="n">
        <f aca="false">IFERROR(INDEX(APOIO_REDES!$A:$W,MATCH($C451&amp;$I451&amp;$H451&amp;$N451&amp;$O451,APOIO_REDES!$W:$W,0),MATCH(AG$5,APOIO_REDES!$5:$5,0)),0)</f>
        <v>0.65</v>
      </c>
      <c r="AH451" s="153" t="n">
        <f aca="false">IFERROR(INDEX(APOIO_REDES!$A:$W,MATCH($C451&amp;$I451&amp;$H451&amp;$N451&amp;$O451,APOIO_REDES!$W:$W,0),MATCH(AH$5,APOIO_REDES!$5:$5,0)),0)</f>
        <v>0.1</v>
      </c>
      <c r="AI451" s="153" t="n">
        <f aca="false">IFERROR(IF($H451&lt;&gt;"",(((($H451/1000)/2)^2)*PI()*$M451),0),0)</f>
        <v>0.581335077959709</v>
      </c>
      <c r="AJ451" s="153" t="n">
        <f aca="false">IFERROR(IF(AND($H451&lt;&gt;"",$I451="FoFo",OR($N451="MND",$N451="VCA"),$Q451="LINEAR"),0,IF(AND($H451&lt;&gt;"",$I451="PEAD",$N451="VCA",$Q451="LINEAR"),($H451/1000)+0.3,IF(AND($H451&lt;&gt;"",$I451="PEAD",$N451="MND",$Q451="EMBOQUE"),0,IF(AND($H451&lt;&gt;"",$I451="PVC",$N451="VCA",$Q451="LINEAR"),($H451/1000)+0.2,IF(AND($H451&lt;&gt;"",$I451="PVC",$N451="MND",$Q451="EMBOQUE"),0,IF(AND($H451&lt;&gt;"",$I451="PEAD",$N451="VCA",$Q451="PREDIAL"),0,0)))))),0)</f>
        <v>0.363</v>
      </c>
      <c r="AK451" s="153" t="n">
        <f aca="false">IF(AA451&lt;&gt;"",AA451,0)</f>
        <v>2.3</v>
      </c>
      <c r="AL451" s="153" t="n">
        <f aca="false">IF(AND($N451="MND",$Q451="EMBOQUE"),$M451,IF(AND($N451="VCA",$Q451="LINEAR"),$M451,IF(AND($N451="VCA",$Q451="PREDIAL"),0,0)))</f>
        <v>186.49</v>
      </c>
      <c r="AM451" s="153" t="n">
        <f aca="false">IF(AND($N451="MND",$Q451="EMBOQUE"),$M451,IF(AND($N451="VCA",$Q451="LINEAR"),$M451,IF(AND($N451="VCA",$Q451="PREDIAL"),0,0)))</f>
        <v>186.49</v>
      </c>
      <c r="AN451" s="153" t="n">
        <f aca="false">ROUND(IF(AND($N451="VCA",$M451&lt;&gt;"",$Q451="LINEAR"),$M451/100,IF(AND($N451="MND",$M451&gt;100,$Q451="EMBOQUE"),$M451/100,0)),0)</f>
        <v>2</v>
      </c>
      <c r="AO451" s="153" t="n">
        <f aca="false">IF(AND($N451="MND",$Q451="EMBOQUE"),$AN451*2*2,IF(AND($N451="VCA",$Q451="LINEAR"),$M451*2,IF(AND($N451="VCA",$Q451="PREDIAL"),0,0)))</f>
        <v>372.98</v>
      </c>
      <c r="AP451" s="153" t="n">
        <f aca="false">IFERROR($M451*$AF451*$AG451,0)</f>
        <v>165.2208155</v>
      </c>
      <c r="AQ451" s="153" t="n">
        <f aca="false">IFERROR(IF(AND($N451="VCA",$AH451&gt;0),$M451*$AG451*$AH451,0),0)</f>
        <v>12.12185</v>
      </c>
      <c r="AR451" s="153" t="n">
        <f aca="false">IFERROR(IF(AND($N451="VCA",$AJ451&gt;0),($M451*$AG451*$AJ451)-$AI451,0),0)</f>
        <v>43.4209804220403</v>
      </c>
      <c r="AS451" s="153" t="n">
        <f aca="false">IFERROR(IF(AND($N451="VCA",$AP451&gt;0),$AP451-$AI451-$AQ451-$AR451,0),0)</f>
        <v>109.09665</v>
      </c>
      <c r="AT451" s="153" t="n">
        <f aca="false">IFERROR(IF($N451="VCA",INDEX(APOIO_REDES!$A:$W,MATCH($C451&amp;$I451&amp;$H451&amp;$N451&amp;$O451,APOIO_REDES!$W:$W,0),MATCH(AT$5,APOIO_REDES!$5:$5,0)),0)*$AP451,0)</f>
        <v>1.79765137550515</v>
      </c>
      <c r="AU451" s="153" t="n">
        <f aca="false">IFERROR(IF($N451="VCA",INDEX(APOIO_REDES!$A:$W,MATCH($C451&amp;$I451&amp;$H451&amp;$N451&amp;$O451,APOIO_REDES!$W:$W,0),MATCH(AU$5,APOIO_REDES!$5:$5,0)),0)*$AP451,0)</f>
        <v>1.43555570190471</v>
      </c>
      <c r="AV451" s="153" t="n">
        <f aca="false">IFERROR(IF($N451="VCA",INDEX(APOIO_REDES!$A:$W,MATCH($C451&amp;$I451&amp;$H451&amp;$N451&amp;$O451,APOIO_REDES!$W:$W,0),MATCH(AV$5,APOIO_REDES!$5:$5,0)),0)*$AP451,0)</f>
        <v>0.198669639589494</v>
      </c>
      <c r="AW451" s="153" t="n">
        <f aca="false">IFERROR(IF($N451="VCA",INDEX(APOIO_REDES!$A:$W,MATCH($C451&amp;$I451&amp;$H451&amp;$N451&amp;$O451,APOIO_REDES!$W:$W,0),MATCH(AW$5,APOIO_REDES!$5:$5,0)),0)*$AP451,0)</f>
        <v>113.408847952549</v>
      </c>
      <c r="AX451" s="153" t="n">
        <f aca="false">IFERROR(IF($N451="VCA",INDEX(APOIO_REDES!$A:$W,MATCH($C451&amp;$I451&amp;$H451&amp;$N451&amp;$O451,APOIO_REDES!$W:$W,0),MATCH(AX$5,APOIO_REDES!$5:$5,0)),0)*$AP451,0)</f>
        <v>15.6954615054144</v>
      </c>
      <c r="AY451" s="153" t="n">
        <f aca="false">IFERROR(IF($N451="VCA",INDEX(APOIO_REDES!$A:$W,MATCH($C451&amp;$I451&amp;$H451&amp;$N451&amp;$O451,APOIO_REDES!$W:$W,0),MATCH(AY$5,APOIO_REDES!$5:$5,0)),0)*$AP451,0)</f>
        <v>28.7110965387865</v>
      </c>
      <c r="AZ451" s="153" t="n">
        <f aca="false">IFERROR(IF($N451="VCA",INDEX(APOIO_REDES!$A:$W,MATCH($C451&amp;$I451&amp;$H451&amp;$N451&amp;$O451,APOIO_REDES!$W:$W,0),MATCH(AZ$5,APOIO_REDES!$5:$5,0)),0)*$AP451,0)</f>
        <v>3.97353278625096</v>
      </c>
      <c r="BA451" s="153" t="n">
        <f aca="false">IFERROR(IF(AND($N451="VCA",$Q451="LINEAR"),INDEX(APOIO_REDES!$A:$W,MATCH($C451&amp;$I451&amp;$H451&amp;$N451&amp;$O451,APOIO_REDES!$W:$W,0),MATCH(BA$5,APOIO_REDES!$5:$5,0)),IF(AND($N451="MND",$Q451="EMBOQUE"),INDEX(APOIO_REDES!$A:$W,MATCH($C451&amp;$I451&amp;$H451&amp;$N451&amp;$O451,APOIO_REDES!$W:$W,0),MATCH(BA$5,APOIO_REDES!$5:$5,0)),0))*$M451/10,0)</f>
        <v>15.0306235938532</v>
      </c>
      <c r="BB451" s="153" t="n">
        <f aca="false">IFERROR(IF($N451="VCA",INDEX(APOIO_REDES!$A:$W,MATCH($C451&amp;$I451&amp;$H451&amp;$N451&amp;$O451,APOIO_REDES!$W:$W,0),MATCH(BB$5,APOIO_REDES!$5:$5,0)),0)*($AI451+$AQ451+$AR451),0)</f>
        <v>55.513517967455</v>
      </c>
      <c r="BC451" s="153" t="n">
        <f aca="false">IFERROR(IF($N451="VCA",INDEX(APOIO_REDES!$A:$W,MATCH($C451&amp;$I451&amp;$H451&amp;$N451&amp;$O451,APOIO_REDES!$W:$W,0),MATCH(BC$5,APOIO_REDES!$5:$5,0)),0)*($AI451+$AQ451+$AR451),0)</f>
        <v>0.610647532545035</v>
      </c>
      <c r="BD451" s="153" t="n">
        <f aca="false">IF(AND($N451="VCA",$AF451&gt;=1.25,$AF451&lt;1.5),$M451*$AF451*2,0)</f>
        <v>508.37174</v>
      </c>
      <c r="BE451" s="153" t="n">
        <f aca="false">IF(AND($N451="VCA",$AF451&gt;=1.5,$AF451&lt;3),$M451*$AF451*2,0)</f>
        <v>0</v>
      </c>
      <c r="BF451" s="153" t="n">
        <f aca="false">IF(AND($N451="VCA",$AF451&gt;=3),$M451*$AF451*2,0)</f>
        <v>0</v>
      </c>
      <c r="BG451" s="153" t="n">
        <f aca="false">($BB451+$BC451)*$AK451</f>
        <v>129.08558065</v>
      </c>
      <c r="BH451" s="153" t="n">
        <f aca="false">IF(AND($M451&lt;&gt;"",$N451="VCA",$Q451="LINEAR"),($M451*2)/100,IF(AND($M451&lt;&gt;"",$N451="MND",$Q451="EMBOQUE"),($AN451*2)/100,0))</f>
        <v>3.7298</v>
      </c>
      <c r="BI451" s="153" t="n">
        <f aca="false">IF(AND($M451&lt;&gt;"",$N451="VCA",$Q451="LINEAR"),$M451,IF(AND($M451&lt;&gt;"",$N451="MND",$Q451="EMBOQUE"),$AN451*2,0))</f>
        <v>186.49</v>
      </c>
      <c r="BJ451" s="153" t="n">
        <f aca="false">IF(AND($M451&lt;&gt;"",$N451="VCA",$Q451="LINEAR"),($M451*6.8)/100,IF(AND($M451&lt;&gt;"",$N451="MND",$Q451="EMBOQUE"),($AN451*2*6.8)/100,0))</f>
        <v>12.68132</v>
      </c>
      <c r="BK451" s="153" t="n">
        <f aca="false">IF(AND($M451&lt;&gt;"",$N451="VCA",$Q451="LINEAR"),($M451*2.5)/50,IF(AND($M451&lt;&gt;"",$N451="MND",$Q451="EMBOQUE"),($AN451*2*2.5)/50,0))</f>
        <v>9.3245</v>
      </c>
      <c r="BL451" s="157" t="str">
        <f aca="false">K451&amp;J451</f>
        <v>Zona04REDES</v>
      </c>
      <c r="BM451" s="152" t="s">
        <v>2969</v>
      </c>
      <c r="BN451" s="152" t="s">
        <v>1560</v>
      </c>
      <c r="BO451" s="152" t="s">
        <v>1982</v>
      </c>
      <c r="BP451" s="152" t="s">
        <v>3197</v>
      </c>
      <c r="BQ451" s="152" t="s">
        <v>3248</v>
      </c>
      <c r="BR451" s="152" t="s">
        <v>3249</v>
      </c>
      <c r="BS451" s="152" t="n">
        <v>203375.068</v>
      </c>
      <c r="BT451" s="152" t="n">
        <v>8238313.182</v>
      </c>
      <c r="BU451" s="152" t="n">
        <v>203497.175</v>
      </c>
      <c r="BV451" s="152" t="n">
        <v>8238181.54</v>
      </c>
      <c r="BW451" s="152" t="n">
        <v>-15.917257</v>
      </c>
      <c r="BX451" s="152" t="n">
        <v>-47.7697416</v>
      </c>
      <c r="BY451" s="152" t="s">
        <v>3197</v>
      </c>
    </row>
    <row r="452" customFormat="false" ht="13.8" hidden="false" customHeight="false" outlineLevel="0" collapsed="false">
      <c r="A452" s="149" t="n">
        <f aca="false">IF(C452&lt;&gt;"",ROW(A447),"")</f>
        <v>447</v>
      </c>
      <c r="B452" s="150" t="str">
        <f aca="false">HYPERLINK("https://www.google.com/maps/dir/-15.917302,-47.760003/-15.9172511,-47.7683068/data=!4m3!4m2!3e0!5i0")</f>
        <v>https://www.google.com/maps/dir/-15.917302,-47.760003/-15.9172511,-47.7683068/data=!4m3!4m2!3e0!5i0</v>
      </c>
      <c r="C452" s="151" t="s">
        <v>117</v>
      </c>
      <c r="D452" s="152" t="s">
        <v>112</v>
      </c>
      <c r="E452" s="152" t="s">
        <v>113</v>
      </c>
      <c r="F452" s="152" t="s">
        <v>117</v>
      </c>
      <c r="G452" s="152" t="s">
        <v>114</v>
      </c>
      <c r="H452" s="152" t="n">
        <v>125</v>
      </c>
      <c r="I452" s="152" t="s">
        <v>115</v>
      </c>
      <c r="J452" s="152" t="s">
        <v>6</v>
      </c>
      <c r="K452" s="152" t="s">
        <v>2966</v>
      </c>
      <c r="L452" s="152" t="s">
        <v>120</v>
      </c>
      <c r="M452" s="153" t="n">
        <f aca="false">5.71</f>
        <v>5.71</v>
      </c>
      <c r="N452" s="152" t="s">
        <v>1548</v>
      </c>
      <c r="O452" s="152" t="s">
        <v>1549</v>
      </c>
      <c r="P452" s="152" t="s">
        <v>1550</v>
      </c>
      <c r="Q452" s="152" t="s">
        <v>1551</v>
      </c>
      <c r="R452" s="154" t="s">
        <v>3250</v>
      </c>
      <c r="S452" s="154" t="s">
        <v>1593</v>
      </c>
      <c r="T452" s="155" t="s">
        <v>1979</v>
      </c>
      <c r="U452" s="152" t="str">
        <f aca="false">RIGHT(T452,7)</f>
        <v>006/037</v>
      </c>
      <c r="V452" s="152" t="s">
        <v>1555</v>
      </c>
      <c r="W452" s="156" t="n">
        <v>45882</v>
      </c>
      <c r="X452" s="152" t="s">
        <v>1594</v>
      </c>
      <c r="Y452" s="152" t="s">
        <v>3251</v>
      </c>
      <c r="Z452" s="152" t="s">
        <v>1557</v>
      </c>
      <c r="AA452" s="153" t="n">
        <v>2.4</v>
      </c>
      <c r="AB452" s="151" t="s">
        <v>3252</v>
      </c>
      <c r="AC452" s="151" t="s">
        <v>505</v>
      </c>
      <c r="AD452" s="151" t="str">
        <f aca="false">CONCATENATE($C452,$I452,$H452,$N452,$J452,$K452)</f>
        <v>TUBO PEADPEAD125VCAREDESZona04</v>
      </c>
      <c r="AE452" s="153" t="n">
        <f aca="false">IFERROR(INDEX(APOIO_REDES!$A:$W,MATCH($C452&amp;$I452&amp;$H452&amp;$N452&amp;$O452,APOIO_REDES!$W:$W,0),MATCH(AE$5,APOIO_REDES!$5:$5,0)),0)</f>
        <v>1.2</v>
      </c>
      <c r="AF452" s="153" t="n">
        <f aca="false">IFERROR(INDEX(APOIO_REDES!$A:$W,MATCH($C452&amp;$I452&amp;$H452&amp;$N452&amp;$O452,APOIO_REDES!$W:$W,0),MATCH(AF$5,APOIO_REDES!$5:$5,0)),0)</f>
        <v>1.425</v>
      </c>
      <c r="AG452" s="153" t="n">
        <f aca="false">IFERROR(INDEX(APOIO_REDES!$A:$W,MATCH($C452&amp;$I452&amp;$H452&amp;$N452&amp;$O452,APOIO_REDES!$W:$W,0),MATCH(AG$5,APOIO_REDES!$5:$5,0)),0)</f>
        <v>0.75</v>
      </c>
      <c r="AH452" s="153" t="n">
        <f aca="false">IFERROR(INDEX(APOIO_REDES!$A:$W,MATCH($C452&amp;$I452&amp;$H452&amp;$N452&amp;$O452,APOIO_REDES!$W:$W,0),MATCH(AH$5,APOIO_REDES!$5:$5,0)),0)</f>
        <v>0.1</v>
      </c>
      <c r="AI452" s="153" t="n">
        <f aca="false">IFERROR(IF($H452&lt;&gt;"",(((($H452/1000)/2)^2)*PI()*$M452),0),0)</f>
        <v>0.0700722423906161</v>
      </c>
      <c r="AJ452" s="153" t="n">
        <f aca="false">IFERROR(IF(AND($H452&lt;&gt;"",$I452="FoFo",OR($N452="MND",$N452="VCA"),$Q452="LINEAR"),0,IF(AND($H452&lt;&gt;"",$I452="PEAD",$N452="VCA",$Q452="LINEAR"),($H452/1000)+0.3,IF(AND($H452&lt;&gt;"",$I452="PEAD",$N452="MND",$Q452="EMBOQUE"),0,IF(AND($H452&lt;&gt;"",$I452="PVC",$N452="VCA",$Q452="LINEAR"),($H452/1000)+0.2,IF(AND($H452&lt;&gt;"",$I452="PVC",$N452="MND",$Q452="EMBOQUE"),0,IF(AND($H452&lt;&gt;"",$I452="PEAD",$N452="VCA",$Q452="PREDIAL"),0,0)))))),0)</f>
        <v>0.425</v>
      </c>
      <c r="AK452" s="153" t="n">
        <f aca="false">IF(AA452&lt;&gt;"",AA452,0)</f>
        <v>2.4</v>
      </c>
      <c r="AL452" s="153" t="n">
        <f aca="false">IF(AND($N452="MND",$Q452="EMBOQUE"),$M452,IF(AND($N452="VCA",$Q452="LINEAR"),$M452,IF(AND($N452="VCA",$Q452="PREDIAL"),0,0)))</f>
        <v>5.71</v>
      </c>
      <c r="AM452" s="153" t="n">
        <f aca="false">IF(AND($N452="MND",$Q452="EMBOQUE"),$M452,IF(AND($N452="VCA",$Q452="LINEAR"),$M452,IF(AND($N452="VCA",$Q452="PREDIAL"),0,0)))</f>
        <v>5.71</v>
      </c>
      <c r="AN452" s="153" t="n">
        <f aca="false">ROUND(IF(AND($N452="VCA",$M452&lt;&gt;"",$Q452="LINEAR"),$M452/100,IF(AND($N452="MND",$M452&gt;100,$Q452="EMBOQUE"),$M452/100,0)),0)</f>
        <v>0</v>
      </c>
      <c r="AO452" s="153" t="n">
        <f aca="false">IF(AND($N452="MND",$Q452="EMBOQUE"),$AN452*2*2,IF(AND($N452="VCA",$Q452="LINEAR"),$M452*2,IF(AND($N452="VCA",$Q452="PREDIAL"),0,0)))</f>
        <v>11.42</v>
      </c>
      <c r="AP452" s="153" t="n">
        <f aca="false">IFERROR($M452*$AF452*$AG452,0)</f>
        <v>6.1025625</v>
      </c>
      <c r="AQ452" s="153" t="n">
        <f aca="false">IFERROR(IF(AND($N452="VCA",$AH452&gt;0),$M452*$AG452*$AH452,0),0)</f>
        <v>0.42825</v>
      </c>
      <c r="AR452" s="153" t="n">
        <f aca="false">IFERROR(IF(AND($N452="VCA",$AJ452&gt;0),($M452*$AG452*$AJ452)-$AI452,0),0)</f>
        <v>1.74999025760938</v>
      </c>
      <c r="AS452" s="153" t="n">
        <f aca="false">IFERROR(IF(AND($N452="VCA",$AP452&gt;0),$AP452-$AI452-$AQ452-$AR452,0),0)</f>
        <v>3.85425</v>
      </c>
      <c r="AT452" s="153" t="n">
        <f aca="false">IFERROR(IF($N452="VCA",INDEX(APOIO_REDES!$A:$W,MATCH($C452&amp;$I452&amp;$H452&amp;$N452&amp;$O452,APOIO_REDES!$W:$W,0),MATCH(AT$5,APOIO_REDES!$5:$5,0)),0)*$AP452,0)</f>
        <v>0.0663976862662994</v>
      </c>
      <c r="AU452" s="153" t="n">
        <f aca="false">IFERROR(IF($N452="VCA",INDEX(APOIO_REDES!$A:$W,MATCH($C452&amp;$I452&amp;$H452&amp;$N452&amp;$O452,APOIO_REDES!$W:$W,0),MATCH(AU$5,APOIO_REDES!$5:$5,0)),0)*$AP452,0)</f>
        <v>0.0530233939748641</v>
      </c>
      <c r="AV452" s="153" t="n">
        <f aca="false">IFERROR(IF($N452="VCA",INDEX(APOIO_REDES!$A:$W,MATCH($C452&amp;$I452&amp;$H452&amp;$N452&amp;$O452,APOIO_REDES!$W:$W,0),MATCH(AV$5,APOIO_REDES!$5:$5,0)),0)*$AP452,0)</f>
        <v>0.00733802147615813</v>
      </c>
      <c r="AW452" s="153" t="n">
        <f aca="false">IFERROR(IF($N452="VCA",INDEX(APOIO_REDES!$A:$W,MATCH($C452&amp;$I452&amp;$H452&amp;$N452&amp;$O452,APOIO_REDES!$W:$W,0),MATCH(AW$5,APOIO_REDES!$5:$5,0)),0)*$AP452,0)</f>
        <v>4.18884618496164</v>
      </c>
      <c r="AX452" s="153" t="n">
        <f aca="false">IFERROR(IF($N452="VCA",INDEX(APOIO_REDES!$A:$W,MATCH($C452&amp;$I452&amp;$H452&amp;$N452&amp;$O452,APOIO_REDES!$W:$W,0),MATCH(AX$5,APOIO_REDES!$5:$5,0)),0)*$AP452,0)</f>
        <v>0.579724379844471</v>
      </c>
      <c r="AY452" s="153" t="n">
        <f aca="false">IFERROR(IF($N452="VCA",INDEX(APOIO_REDES!$A:$W,MATCH($C452&amp;$I452&amp;$H452&amp;$N452&amp;$O452,APOIO_REDES!$W:$W,0),MATCH(AY$5,APOIO_REDES!$5:$5,0)),0)*$AP452,0)</f>
        <v>1.06046723314641</v>
      </c>
      <c r="AZ452" s="153" t="n">
        <f aca="false">IFERROR(IF($N452="VCA",INDEX(APOIO_REDES!$A:$W,MATCH($C452&amp;$I452&amp;$H452&amp;$N452&amp;$O452,APOIO_REDES!$W:$W,0),MATCH(AZ$5,APOIO_REDES!$5:$5,0)),0)*$AP452,0)</f>
        <v>0.146765600330157</v>
      </c>
      <c r="BA452" s="153" t="n">
        <f aca="false">IFERROR(IF(AND($N452="VCA",$Q452="LINEAR"),INDEX(APOIO_REDES!$A:$W,MATCH($C452&amp;$I452&amp;$H452&amp;$N452&amp;$O452,APOIO_REDES!$W:$W,0),MATCH(BA$5,APOIO_REDES!$5:$5,0)),IF(AND($N452="MND",$Q452="EMBOQUE"),INDEX(APOIO_REDES!$A:$W,MATCH($C452&amp;$I452&amp;$H452&amp;$N452&amp;$O452,APOIO_REDES!$W:$W,0),MATCH(BA$5,APOIO_REDES!$5:$5,0)),0))*$M452/10,0)</f>
        <v>0.460211596980545</v>
      </c>
      <c r="BB452" s="153" t="n">
        <f aca="false">IFERROR(IF($N452="VCA",INDEX(APOIO_REDES!$A:$W,MATCH($C452&amp;$I452&amp;$H452&amp;$N452&amp;$O452,APOIO_REDES!$W:$W,0),MATCH(BB$5,APOIO_REDES!$5:$5,0)),0)*($AI452+$AQ452+$AR452),0)</f>
        <v>2.22385019453347</v>
      </c>
      <c r="BC452" s="153" t="n">
        <f aca="false">IFERROR(IF($N452="VCA",INDEX(APOIO_REDES!$A:$W,MATCH($C452&amp;$I452&amp;$H452&amp;$N452&amp;$O452,APOIO_REDES!$W:$W,0),MATCH(BC$5,APOIO_REDES!$5:$5,0)),0)*($AI452+$AQ452+$AR452),0)</f>
        <v>0.0244623054665313</v>
      </c>
      <c r="BD452" s="153" t="n">
        <f aca="false">IF(AND($N452="VCA",$AF452&gt;=1.25,$AF452&lt;1.5),$M452*$AF452*2,0)</f>
        <v>16.2735</v>
      </c>
      <c r="BE452" s="153" t="n">
        <f aca="false">IF(AND($N452="VCA",$AF452&gt;=1.5,$AF452&lt;3),$M452*$AF452*2,0)</f>
        <v>0</v>
      </c>
      <c r="BF452" s="153" t="n">
        <f aca="false">IF(AND($N452="VCA",$AF452&gt;=3),$M452*$AF452*2,0)</f>
        <v>0</v>
      </c>
      <c r="BG452" s="153" t="n">
        <f aca="false">($BB452+$BC452)*$AK452</f>
        <v>5.39595</v>
      </c>
      <c r="BH452" s="153" t="n">
        <f aca="false">IF(AND($M452&lt;&gt;"",$N452="VCA",$Q452="LINEAR"),($M452*2)/100,IF(AND($M452&lt;&gt;"",$N452="MND",$Q452="EMBOQUE"),($AN452*2)/100,0))</f>
        <v>0.1142</v>
      </c>
      <c r="BI452" s="153" t="n">
        <f aca="false">IF(AND($M452&lt;&gt;"",$N452="VCA",$Q452="LINEAR"),$M452,IF(AND($M452&lt;&gt;"",$N452="MND",$Q452="EMBOQUE"),$AN452*2,0))</f>
        <v>5.71</v>
      </c>
      <c r="BJ452" s="153" t="n">
        <f aca="false">IF(AND($M452&lt;&gt;"",$N452="VCA",$Q452="LINEAR"),($M452*6.8)/100,IF(AND($M452&lt;&gt;"",$N452="MND",$Q452="EMBOQUE"),($AN452*2*6.8)/100,0))</f>
        <v>0.38828</v>
      </c>
      <c r="BK452" s="153" t="n">
        <f aca="false">IF(AND($M452&lt;&gt;"",$N452="VCA",$Q452="LINEAR"),($M452*2.5)/50,IF(AND($M452&lt;&gt;"",$N452="MND",$Q452="EMBOQUE"),($AN452*2*2.5)/50,0))</f>
        <v>0.2855</v>
      </c>
      <c r="BL452" s="157" t="str">
        <f aca="false">K452&amp;J452</f>
        <v>Zona04REDES</v>
      </c>
      <c r="BM452" s="152" t="s">
        <v>2969</v>
      </c>
      <c r="BN452" s="152" t="s">
        <v>1560</v>
      </c>
      <c r="BO452" s="152" t="s">
        <v>1982</v>
      </c>
      <c r="BP452" s="152" t="s">
        <v>3230</v>
      </c>
      <c r="BQ452" s="152" t="s">
        <v>3222</v>
      </c>
      <c r="BR452" s="152" t="s">
        <v>3253</v>
      </c>
      <c r="BS452" s="152" t="n">
        <v>203594.682</v>
      </c>
      <c r="BT452" s="152" t="n">
        <v>8238252.992</v>
      </c>
      <c r="BU452" s="152" t="n">
        <v>203594.076</v>
      </c>
      <c r="BV452" s="152" t="n">
        <v>8238247.324</v>
      </c>
      <c r="BW452" s="152" t="n">
        <v>-15.9172761</v>
      </c>
      <c r="BX452" s="152" t="n">
        <v>-47.7683056</v>
      </c>
      <c r="BY452" s="152" t="s">
        <v>3230</v>
      </c>
    </row>
    <row r="453" customFormat="false" ht="13.8" hidden="false" customHeight="false" outlineLevel="0" collapsed="false">
      <c r="A453" s="149" t="n">
        <f aca="false">IF(C453&lt;&gt;"",ROW(A448),"")</f>
        <v>448</v>
      </c>
      <c r="B453" s="150" t="str">
        <f aca="false">HYPERLINK("https://www.google.com/maps/dir/-15.917302,-47.760003/-15.9170270,-47.7706146/data=!4m3!4m2!3e0!5i1")</f>
        <v>https://www.google.com/maps/dir/-15.917302,-47.760003/-15.9170270,-47.7706146/data=!4m3!4m2!3e0!5i1</v>
      </c>
      <c r="C453" s="151" t="s">
        <v>117</v>
      </c>
      <c r="D453" s="152" t="s">
        <v>112</v>
      </c>
      <c r="E453" s="152" t="s">
        <v>113</v>
      </c>
      <c r="F453" s="152" t="s">
        <v>117</v>
      </c>
      <c r="G453" s="152" t="s">
        <v>114</v>
      </c>
      <c r="H453" s="152" t="n">
        <v>160</v>
      </c>
      <c r="I453" s="152" t="s">
        <v>115</v>
      </c>
      <c r="J453" s="152" t="s">
        <v>6</v>
      </c>
      <c r="K453" s="152" t="s">
        <v>2966</v>
      </c>
      <c r="L453" s="152" t="s">
        <v>120</v>
      </c>
      <c r="M453" s="153" t="n">
        <f aca="false">72.75+0.23</f>
        <v>72.98</v>
      </c>
      <c r="N453" s="152" t="s">
        <v>1548</v>
      </c>
      <c r="O453" s="152" t="s">
        <v>1549</v>
      </c>
      <c r="P453" s="152" t="s">
        <v>1550</v>
      </c>
      <c r="Q453" s="152" t="s">
        <v>1551</v>
      </c>
      <c r="R453" s="154" t="s">
        <v>3254</v>
      </c>
      <c r="S453" s="154" t="s">
        <v>1593</v>
      </c>
      <c r="T453" s="155" t="s">
        <v>1979</v>
      </c>
      <c r="U453" s="152" t="str">
        <f aca="false">RIGHT(T453,7)</f>
        <v>006/037</v>
      </c>
      <c r="V453" s="152" t="s">
        <v>1555</v>
      </c>
      <c r="W453" s="156" t="n">
        <v>45882</v>
      </c>
      <c r="X453" s="152" t="s">
        <v>1594</v>
      </c>
      <c r="Y453" s="152" t="s">
        <v>3202</v>
      </c>
      <c r="Z453" s="152" t="s">
        <v>1557</v>
      </c>
      <c r="AA453" s="153" t="n">
        <v>2.8</v>
      </c>
      <c r="AB453" s="151" t="s">
        <v>3255</v>
      </c>
      <c r="AC453" s="151" t="s">
        <v>505</v>
      </c>
      <c r="AD453" s="151" t="str">
        <f aca="false">CONCATENATE($C453,$I453,$H453,$N453,$J453,$K453)</f>
        <v>TUBO PEADPEAD160VCAREDESZona04</v>
      </c>
      <c r="AE453" s="153" t="n">
        <f aca="false">IFERROR(INDEX(APOIO_REDES!$A:$W,MATCH($C453&amp;$I453&amp;$H453&amp;$N453&amp;$O453,APOIO_REDES!$W:$W,0),MATCH(AE$5,APOIO_REDES!$5:$5,0)),0)</f>
        <v>1.2</v>
      </c>
      <c r="AF453" s="153" t="n">
        <f aca="false">IFERROR(INDEX(APOIO_REDES!$A:$W,MATCH($C453&amp;$I453&amp;$H453&amp;$N453&amp;$O453,APOIO_REDES!$W:$W,0),MATCH(AF$5,APOIO_REDES!$5:$5,0)),0)</f>
        <v>1.46</v>
      </c>
      <c r="AG453" s="153" t="n">
        <f aca="false">IFERROR(INDEX(APOIO_REDES!$A:$W,MATCH($C453&amp;$I453&amp;$H453&amp;$N453&amp;$O453,APOIO_REDES!$W:$W,0),MATCH(AG$5,APOIO_REDES!$5:$5,0)),0)</f>
        <v>0.75</v>
      </c>
      <c r="AH453" s="153" t="n">
        <f aca="false">IFERROR(INDEX(APOIO_REDES!$A:$W,MATCH($C453&amp;$I453&amp;$H453&amp;$N453&amp;$O453,APOIO_REDES!$W:$W,0),MATCH(AH$5,APOIO_REDES!$5:$5,0)),0)</f>
        <v>0.1</v>
      </c>
      <c r="AI453" s="153" t="n">
        <f aca="false">IFERROR(IF($H453&lt;&gt;"",(((($H453/1000)/2)^2)*PI()*$M453),0),0)</f>
        <v>1.46734996389749</v>
      </c>
      <c r="AJ453" s="153" t="n">
        <f aca="false">IFERROR(IF(AND($H453&lt;&gt;"",$I453="FoFo",OR($N453="MND",$N453="VCA"),$Q453="LINEAR"),0,IF(AND($H453&lt;&gt;"",$I453="PEAD",$N453="VCA",$Q453="LINEAR"),($H453/1000)+0.3,IF(AND($H453&lt;&gt;"",$I453="PEAD",$N453="MND",$Q453="EMBOQUE"),0,IF(AND($H453&lt;&gt;"",$I453="PVC",$N453="VCA",$Q453="LINEAR"),($H453/1000)+0.2,IF(AND($H453&lt;&gt;"",$I453="PVC",$N453="MND",$Q453="EMBOQUE"),0,IF(AND($H453&lt;&gt;"",$I453="PEAD",$N453="VCA",$Q453="PREDIAL"),0,0)))))),0)</f>
        <v>0.46</v>
      </c>
      <c r="AK453" s="153" t="n">
        <f aca="false">IF(AA453&lt;&gt;"",AA453,0)</f>
        <v>2.8</v>
      </c>
      <c r="AL453" s="153" t="n">
        <f aca="false">IF(AND($N453="MND",$Q453="EMBOQUE"),$M453,IF(AND($N453="VCA",$Q453="LINEAR"),$M453,IF(AND($N453="VCA",$Q453="PREDIAL"),0,0)))</f>
        <v>72.98</v>
      </c>
      <c r="AM453" s="153" t="n">
        <f aca="false">IF(AND($N453="MND",$Q453="EMBOQUE"),$M453,IF(AND($N453="VCA",$Q453="LINEAR"),$M453,IF(AND($N453="VCA",$Q453="PREDIAL"),0,0)))</f>
        <v>72.98</v>
      </c>
      <c r="AN453" s="153" t="n">
        <f aca="false">ROUND(IF(AND($N453="VCA",$M453&lt;&gt;"",$Q453="LINEAR"),$M453/100,IF(AND($N453="MND",$M453&gt;100,$Q453="EMBOQUE"),$M453/100,0)),0)</f>
        <v>1</v>
      </c>
      <c r="AO453" s="153" t="n">
        <f aca="false">IF(AND($N453="MND",$Q453="EMBOQUE"),$AN453*2*2,IF(AND($N453="VCA",$Q453="LINEAR"),$M453*2,IF(AND($N453="VCA",$Q453="PREDIAL"),0,0)))</f>
        <v>145.96</v>
      </c>
      <c r="AP453" s="153" t="n">
        <f aca="false">IFERROR($M453*$AF453*$AG453,0)</f>
        <v>79.9131</v>
      </c>
      <c r="AQ453" s="153" t="n">
        <f aca="false">IFERROR(IF(AND($N453="VCA",$AH453&gt;0),$M453*$AG453*$AH453,0),0)</f>
        <v>5.4735</v>
      </c>
      <c r="AR453" s="153" t="n">
        <f aca="false">IFERROR(IF(AND($N453="VCA",$AJ453&gt;0),($M453*$AG453*$AJ453)-$AI453,0),0)</f>
        <v>23.7107500361025</v>
      </c>
      <c r="AS453" s="153" t="n">
        <f aca="false">IFERROR(IF(AND($N453="VCA",$AP453&gt;0),$AP453-$AI453-$AQ453-$AR453,0),0)</f>
        <v>49.2615</v>
      </c>
      <c r="AT453" s="153" t="n">
        <f aca="false">IFERROR(IF($N453="VCA",INDEX(APOIO_REDES!$A:$W,MATCH($C453&amp;$I453&amp;$H453&amp;$N453&amp;$O453,APOIO_REDES!$W:$W,0),MATCH(AT$5,APOIO_REDES!$5:$5,0)),0)*$AP453,0)</f>
        <v>0.869478181070232</v>
      </c>
      <c r="AU453" s="153" t="n">
        <f aca="false">IFERROR(IF($N453="VCA",INDEX(APOIO_REDES!$A:$W,MATCH($C453&amp;$I453&amp;$H453&amp;$N453&amp;$O453,APOIO_REDES!$W:$W,0),MATCH(AU$5,APOIO_REDES!$5:$5,0)),0)*$AP453,0)</f>
        <v>0.694341726947117</v>
      </c>
      <c r="AV453" s="153" t="n">
        <f aca="false">IFERROR(IF($N453="VCA",INDEX(APOIO_REDES!$A:$W,MATCH($C453&amp;$I453&amp;$H453&amp;$N453&amp;$O453,APOIO_REDES!$W:$W,0),MATCH(AV$5,APOIO_REDES!$5:$5,0)),0)*$AP453,0)</f>
        <v>0.0960914442132092</v>
      </c>
      <c r="AW453" s="153" t="n">
        <f aca="false">IFERROR(IF($N453="VCA",INDEX(APOIO_REDES!$A:$W,MATCH($C453&amp;$I453&amp;$H453&amp;$N453&amp;$O453,APOIO_REDES!$W:$W,0),MATCH(AW$5,APOIO_REDES!$5:$5,0)),0)*$AP453,0)</f>
        <v>54.8529710369141</v>
      </c>
      <c r="AX453" s="153" t="n">
        <f aca="false">IFERROR(IF($N453="VCA",INDEX(APOIO_REDES!$A:$W,MATCH($C453&amp;$I453&amp;$H453&amp;$N453&amp;$O453,APOIO_REDES!$W:$W,0),MATCH(AX$5,APOIO_REDES!$5:$5,0)),0)*$AP453,0)</f>
        <v>7.59149493986324</v>
      </c>
      <c r="AY453" s="153" t="n">
        <f aca="false">IFERROR(IF($N453="VCA",INDEX(APOIO_REDES!$A:$W,MATCH($C453&amp;$I453&amp;$H453&amp;$N453&amp;$O453,APOIO_REDES!$W:$W,0),MATCH(AY$5,APOIO_REDES!$5:$5,0)),0)*$AP453,0)</f>
        <v>13.886826074973</v>
      </c>
      <c r="AZ453" s="153" t="n">
        <f aca="false">IFERROR(IF($N453="VCA",INDEX(APOIO_REDES!$A:$W,MATCH($C453&amp;$I453&amp;$H453&amp;$N453&amp;$O453,APOIO_REDES!$W:$W,0),MATCH(AZ$5,APOIO_REDES!$5:$5,0)),0)*$AP453,0)</f>
        <v>1.92189659601911</v>
      </c>
      <c r="BA453" s="153" t="n">
        <f aca="false">IFERROR(IF(AND($N453="VCA",$Q453="LINEAR"),INDEX(APOIO_REDES!$A:$W,MATCH($C453&amp;$I453&amp;$H453&amp;$N453&amp;$O453,APOIO_REDES!$W:$W,0),MATCH(BA$5,APOIO_REDES!$5:$5,0)),IF(AND($N453="MND",$Q453="EMBOQUE"),INDEX(APOIO_REDES!$A:$W,MATCH($C453&amp;$I453&amp;$H453&amp;$N453&amp;$O453,APOIO_REDES!$W:$W,0),MATCH(BA$5,APOIO_REDES!$5:$5,0)),0))*$M453/10,0)</f>
        <v>5.88200391377237</v>
      </c>
      <c r="BB453" s="153" t="n">
        <f aca="false">IFERROR(IF($N453="VCA",INDEX(APOIO_REDES!$A:$W,MATCH($C453&amp;$I453&amp;$H453&amp;$N453&amp;$O453,APOIO_REDES!$W:$W,0),MATCH(BB$5,APOIO_REDES!$5:$5,0)),0)*($AI453+$AQ453+$AR453),0)</f>
        <v>30.3181015195895</v>
      </c>
      <c r="BC453" s="153" t="n">
        <f aca="false">IFERROR(IF($N453="VCA",INDEX(APOIO_REDES!$A:$W,MATCH($C453&amp;$I453&amp;$H453&amp;$N453&amp;$O453,APOIO_REDES!$W:$W,0),MATCH(BC$5,APOIO_REDES!$5:$5,0)),0)*($AI453+$AQ453+$AR453),0)</f>
        <v>0.3334984804105</v>
      </c>
      <c r="BD453" s="153" t="n">
        <f aca="false">IF(AND($N453="VCA",$AF453&gt;=1.25,$AF453&lt;1.5),$M453*$AF453*2,0)</f>
        <v>213.1016</v>
      </c>
      <c r="BE453" s="153" t="n">
        <f aca="false">IF(AND($N453="VCA",$AF453&gt;=1.5,$AF453&lt;3),$M453*$AF453*2,0)</f>
        <v>0</v>
      </c>
      <c r="BF453" s="153" t="n">
        <f aca="false">IF(AND($N453="VCA",$AF453&gt;=3),$M453*$AF453*2,0)</f>
        <v>0</v>
      </c>
      <c r="BG453" s="153" t="n">
        <f aca="false">($BB453+$BC453)*$AK453</f>
        <v>85.82448</v>
      </c>
      <c r="BH453" s="153" t="n">
        <f aca="false">IF(AND($M453&lt;&gt;"",$N453="VCA",$Q453="LINEAR"),($M453*2)/100,IF(AND($M453&lt;&gt;"",$N453="MND",$Q453="EMBOQUE"),($AN453*2)/100,0))</f>
        <v>1.4596</v>
      </c>
      <c r="BI453" s="153" t="n">
        <f aca="false">IF(AND($M453&lt;&gt;"",$N453="VCA",$Q453="LINEAR"),$M453,IF(AND($M453&lt;&gt;"",$N453="MND",$Q453="EMBOQUE"),$AN453*2,0))</f>
        <v>72.98</v>
      </c>
      <c r="BJ453" s="153" t="n">
        <f aca="false">IF(AND($M453&lt;&gt;"",$N453="VCA",$Q453="LINEAR"),($M453*6.8)/100,IF(AND($M453&lt;&gt;"",$N453="MND",$Q453="EMBOQUE"),($AN453*2*6.8)/100,0))</f>
        <v>4.96264</v>
      </c>
      <c r="BK453" s="153" t="n">
        <f aca="false">IF(AND($M453&lt;&gt;"",$N453="VCA",$Q453="LINEAR"),($M453*2.5)/50,IF(AND($M453&lt;&gt;"",$N453="MND",$Q453="EMBOQUE"),($AN453*2*2.5)/50,0))</f>
        <v>3.649</v>
      </c>
      <c r="BL453" s="157" t="str">
        <f aca="false">K453&amp;J453</f>
        <v>Zona04REDES</v>
      </c>
      <c r="BM453" s="152" t="s">
        <v>2969</v>
      </c>
      <c r="BN453" s="152" t="s">
        <v>1560</v>
      </c>
      <c r="BO453" s="152" t="s">
        <v>1982</v>
      </c>
      <c r="BP453" s="152" t="s">
        <v>3215</v>
      </c>
      <c r="BQ453" s="152" t="s">
        <v>3256</v>
      </c>
      <c r="BR453" s="152" t="s">
        <v>3257</v>
      </c>
      <c r="BS453" s="152" t="n">
        <v>203346.536</v>
      </c>
      <c r="BT453" s="152" t="n">
        <v>8238274.27</v>
      </c>
      <c r="BU453" s="152" t="n">
        <v>203303.269</v>
      </c>
      <c r="BV453" s="152" t="n">
        <v>8238215.787</v>
      </c>
      <c r="BW453" s="152" t="n">
        <v>-15.9172904</v>
      </c>
      <c r="BX453" s="152" t="n">
        <v>-47.770821</v>
      </c>
      <c r="BY453" s="152" t="s">
        <v>3215</v>
      </c>
    </row>
    <row r="454" customFormat="false" ht="13.8" hidden="false" customHeight="false" outlineLevel="0" collapsed="false">
      <c r="A454" s="149" t="n">
        <f aca="false">IF(C454&lt;&gt;"",ROW(A449),"")</f>
        <v>449</v>
      </c>
      <c r="B454" s="150" t="str">
        <f aca="false">HYPERLINK("https://www.google.com/maps/dir/-15.917302,-47.760003/-15.9177661,-47.7674641/data=!4m3!4m2!3e0!5i0")</f>
        <v>https://www.google.com/maps/dir/-15.917302,-47.760003/-15.9177661,-47.7674641/data=!4m3!4m2!3e0!5i0</v>
      </c>
      <c r="C454" s="151" t="s">
        <v>117</v>
      </c>
      <c r="D454" s="152" t="s">
        <v>112</v>
      </c>
      <c r="E454" s="152" t="s">
        <v>113</v>
      </c>
      <c r="F454" s="152" t="s">
        <v>117</v>
      </c>
      <c r="G454" s="152" t="s">
        <v>782</v>
      </c>
      <c r="H454" s="152" t="n">
        <v>63</v>
      </c>
      <c r="I454" s="152" t="s">
        <v>115</v>
      </c>
      <c r="J454" s="152" t="s">
        <v>6</v>
      </c>
      <c r="K454" s="152" t="s">
        <v>2966</v>
      </c>
      <c r="L454" s="152" t="s">
        <v>120</v>
      </c>
      <c r="M454" s="153" t="n">
        <f aca="false">106.5</f>
        <v>106.5</v>
      </c>
      <c r="N454" s="152" t="s">
        <v>1548</v>
      </c>
      <c r="O454" s="152" t="s">
        <v>1549</v>
      </c>
      <c r="P454" s="152" t="s">
        <v>1550</v>
      </c>
      <c r="Q454" s="152" t="s">
        <v>1551</v>
      </c>
      <c r="R454" s="154" t="s">
        <v>3258</v>
      </c>
      <c r="S454" s="154" t="s">
        <v>1553</v>
      </c>
      <c r="T454" s="155" t="s">
        <v>1979</v>
      </c>
      <c r="U454" s="152" t="str">
        <f aca="false">RIGHT(T454,7)</f>
        <v>006/037</v>
      </c>
      <c r="V454" s="152" t="s">
        <v>1555</v>
      </c>
      <c r="W454" s="156" t="n">
        <v>45882</v>
      </c>
      <c r="X454" s="152" t="s">
        <v>1594</v>
      </c>
      <c r="Y454" s="152" t="s">
        <v>3251</v>
      </c>
      <c r="Z454" s="152" t="s">
        <v>1557</v>
      </c>
      <c r="AA454" s="153" t="n">
        <v>2.6</v>
      </c>
      <c r="AB454" s="151" t="s">
        <v>3259</v>
      </c>
      <c r="AC454" s="151" t="s">
        <v>186</v>
      </c>
      <c r="AD454" s="151" t="str">
        <f aca="false">CONCATENATE($C454,$I454,$H454,$N454,$J454,$K454)</f>
        <v>TUBO PEADPEAD63VCAREDESZona04</v>
      </c>
      <c r="AE454" s="153" t="n">
        <f aca="false">IFERROR(INDEX(APOIO_REDES!$A:$W,MATCH($C454&amp;$I454&amp;$H454&amp;$N454&amp;$O454,APOIO_REDES!$W:$W,0),MATCH(AE$5,APOIO_REDES!$5:$5,0)),0)</f>
        <v>1.2</v>
      </c>
      <c r="AF454" s="153" t="n">
        <f aca="false">IFERROR(INDEX(APOIO_REDES!$A:$W,MATCH($C454&amp;$I454&amp;$H454&amp;$N454&amp;$O454,APOIO_REDES!$W:$W,0),MATCH(AF$5,APOIO_REDES!$5:$5,0)),0)</f>
        <v>1.363</v>
      </c>
      <c r="AG454" s="153" t="n">
        <f aca="false">IFERROR(INDEX(APOIO_REDES!$A:$W,MATCH($C454&amp;$I454&amp;$H454&amp;$N454&amp;$O454,APOIO_REDES!$W:$W,0),MATCH(AG$5,APOIO_REDES!$5:$5,0)),0)</f>
        <v>0.65</v>
      </c>
      <c r="AH454" s="153" t="n">
        <f aca="false">IFERROR(INDEX(APOIO_REDES!$A:$W,MATCH($C454&amp;$I454&amp;$H454&amp;$N454&amp;$O454,APOIO_REDES!$W:$W,0),MATCH(AH$5,APOIO_REDES!$5:$5,0)),0)</f>
        <v>0.1</v>
      </c>
      <c r="AI454" s="153" t="n">
        <f aca="false">IFERROR(IF($H454&lt;&gt;"",(((($H454/1000)/2)^2)*PI()*$M454),0),0)</f>
        <v>0.331986625570856</v>
      </c>
      <c r="AJ454" s="153" t="n">
        <f aca="false">IFERROR(IF(AND($H454&lt;&gt;"",$I454="FoFo",OR($N454="MND",$N454="VCA"),$Q454="LINEAR"),0,IF(AND($H454&lt;&gt;"",$I454="PEAD",$N454="VCA",$Q454="LINEAR"),($H454/1000)+0.3,IF(AND($H454&lt;&gt;"",$I454="PEAD",$N454="MND",$Q454="EMBOQUE"),0,IF(AND($H454&lt;&gt;"",$I454="PVC",$N454="VCA",$Q454="LINEAR"),($H454/1000)+0.2,IF(AND($H454&lt;&gt;"",$I454="PVC",$N454="MND",$Q454="EMBOQUE"),0,IF(AND($H454&lt;&gt;"",$I454="PEAD",$N454="VCA",$Q454="PREDIAL"),0,0)))))),0)</f>
        <v>0.363</v>
      </c>
      <c r="AK454" s="153" t="n">
        <f aca="false">IF(AA454&lt;&gt;"",AA454,0)</f>
        <v>2.6</v>
      </c>
      <c r="AL454" s="153" t="n">
        <f aca="false">IF(AND($N454="MND",$Q454="EMBOQUE"),$M454,IF(AND($N454="VCA",$Q454="LINEAR"),$M454,IF(AND($N454="VCA",$Q454="PREDIAL"),0,0)))</f>
        <v>106.5</v>
      </c>
      <c r="AM454" s="153" t="n">
        <f aca="false">IF(AND($N454="MND",$Q454="EMBOQUE"),$M454,IF(AND($N454="VCA",$Q454="LINEAR"),$M454,IF(AND($N454="VCA",$Q454="PREDIAL"),0,0)))</f>
        <v>106.5</v>
      </c>
      <c r="AN454" s="153" t="n">
        <f aca="false">ROUND(IF(AND($N454="VCA",$M454&lt;&gt;"",$Q454="LINEAR"),$M454/100,IF(AND($N454="MND",$M454&gt;100,$Q454="EMBOQUE"),$M454/100,0)),0)</f>
        <v>1</v>
      </c>
      <c r="AO454" s="153" t="n">
        <f aca="false">IF(AND($N454="MND",$Q454="EMBOQUE"),$AN454*2*2,IF(AND($N454="VCA",$Q454="LINEAR"),$M454*2,IF(AND($N454="VCA",$Q454="PREDIAL"),0,0)))</f>
        <v>213</v>
      </c>
      <c r="AP454" s="153" t="n">
        <f aca="false">IFERROR($M454*$AF454*$AG454,0)</f>
        <v>94.353675</v>
      </c>
      <c r="AQ454" s="153" t="n">
        <f aca="false">IFERROR(IF(AND($N454="VCA",$AH454&gt;0),$M454*$AG454*$AH454,0),0)</f>
        <v>6.9225</v>
      </c>
      <c r="AR454" s="153" t="n">
        <f aca="false">IFERROR(IF(AND($N454="VCA",$AJ454&gt;0),($M454*$AG454*$AJ454)-$AI454,0),0)</f>
        <v>24.7966883744291</v>
      </c>
      <c r="AS454" s="153" t="n">
        <f aca="false">IFERROR(IF(AND($N454="VCA",$AP454&gt;0),$AP454-$AI454-$AQ454-$AR454,0),0)</f>
        <v>62.3025</v>
      </c>
      <c r="AT454" s="153" t="n">
        <f aca="false">IFERROR(IF($N454="VCA",INDEX(APOIO_REDES!$A:$W,MATCH($C454&amp;$I454&amp;$H454&amp;$N454&amp;$O454,APOIO_REDES!$W:$W,0),MATCH(AT$5,APOIO_REDES!$5:$5,0)),0)*$AP454,0)</f>
        <v>1.02659591126226</v>
      </c>
      <c r="AU454" s="153" t="n">
        <f aca="false">IFERROR(IF($N454="VCA",INDEX(APOIO_REDES!$A:$W,MATCH($C454&amp;$I454&amp;$H454&amp;$N454&amp;$O454,APOIO_REDES!$W:$W,0),MATCH(AU$5,APOIO_REDES!$5:$5,0)),0)*$AP454,0)</f>
        <v>0.819811690990676</v>
      </c>
      <c r="AV454" s="153" t="n">
        <f aca="false">IFERROR(IF($N454="VCA",INDEX(APOIO_REDES!$A:$W,MATCH($C454&amp;$I454&amp;$H454&amp;$N454&amp;$O454,APOIO_REDES!$W:$W,0),MATCH(AV$5,APOIO_REDES!$5:$5,0)),0)*$AP454,0)</f>
        <v>0.113455502259001</v>
      </c>
      <c r="AW454" s="153" t="n">
        <f aca="false">IFERROR(IF($N454="VCA",INDEX(APOIO_REDES!$A:$W,MATCH($C454&amp;$I454&amp;$H454&amp;$N454&amp;$O454,APOIO_REDES!$W:$W,0),MATCH(AW$5,APOIO_REDES!$5:$5,0)),0)*$AP454,0)</f>
        <v>64.7650936079492</v>
      </c>
      <c r="AX454" s="153" t="n">
        <f aca="false">IFERROR(IF($N454="VCA",INDEX(APOIO_REDES!$A:$W,MATCH($C454&amp;$I454&amp;$H454&amp;$N454&amp;$O454,APOIO_REDES!$W:$W,0),MATCH(AX$5,APOIO_REDES!$5:$5,0)),0)*$AP454,0)</f>
        <v>8.9633044684789</v>
      </c>
      <c r="AY454" s="153" t="n">
        <f aca="false">IFERROR(IF($N454="VCA",INDEX(APOIO_REDES!$A:$W,MATCH($C454&amp;$I454&amp;$H454&amp;$N454&amp;$O454,APOIO_REDES!$W:$W,0),MATCH(AY$5,APOIO_REDES!$5:$5,0)),0)*$AP454,0)</f>
        <v>16.3962238263755</v>
      </c>
      <c r="AZ454" s="153" t="n">
        <f aca="false">IFERROR(IF($N454="VCA",INDEX(APOIO_REDES!$A:$W,MATCH($C454&amp;$I454&amp;$H454&amp;$N454&amp;$O454,APOIO_REDES!$W:$W,0),MATCH(AZ$5,APOIO_REDES!$5:$5,0)),0)*$AP454,0)</f>
        <v>2.26918999268447</v>
      </c>
      <c r="BA454" s="153" t="n">
        <f aca="false">IFERROR(IF(AND($N454="VCA",$Q454="LINEAR"),INDEX(APOIO_REDES!$A:$W,MATCH($C454&amp;$I454&amp;$H454&amp;$N454&amp;$O454,APOIO_REDES!$W:$W,0),MATCH(BA$5,APOIO_REDES!$5:$5,0)),IF(AND($N454="MND",$Q454="EMBOQUE"),INDEX(APOIO_REDES!$A:$W,MATCH($C454&amp;$I454&amp;$H454&amp;$N454&amp;$O454,APOIO_REDES!$W:$W,0),MATCH(BA$5,APOIO_REDES!$5:$5,0)),0))*$M454/10,0)</f>
        <v>8.5836313622466</v>
      </c>
      <c r="BB454" s="153" t="n">
        <f aca="false">IFERROR(IF($N454="VCA",INDEX(APOIO_REDES!$A:$W,MATCH($C454&amp;$I454&amp;$H454&amp;$N454&amp;$O454,APOIO_REDES!$W:$W,0),MATCH(BB$5,APOIO_REDES!$5:$5,0)),0)*($AI454+$AQ454+$AR454),0)</f>
        <v>31.7024487293364</v>
      </c>
      <c r="BC454" s="153" t="n">
        <f aca="false">IFERROR(IF($N454="VCA",INDEX(APOIO_REDES!$A:$W,MATCH($C454&amp;$I454&amp;$H454&amp;$N454&amp;$O454,APOIO_REDES!$W:$W,0),MATCH(BC$5,APOIO_REDES!$5:$5,0)),0)*($AI454+$AQ454+$AR454),0)</f>
        <v>0.348726270663554</v>
      </c>
      <c r="BD454" s="153" t="n">
        <f aca="false">IF(AND($N454="VCA",$AF454&gt;=1.25,$AF454&lt;1.5),$M454*$AF454*2,0)</f>
        <v>290.319</v>
      </c>
      <c r="BE454" s="153" t="n">
        <f aca="false">IF(AND($N454="VCA",$AF454&gt;=1.5,$AF454&lt;3),$M454*$AF454*2,0)</f>
        <v>0</v>
      </c>
      <c r="BF454" s="153" t="n">
        <f aca="false">IF(AND($N454="VCA",$AF454&gt;=3),$M454*$AF454*2,0)</f>
        <v>0</v>
      </c>
      <c r="BG454" s="153" t="n">
        <f aca="false">($BB454+$BC454)*$AK454</f>
        <v>83.333055</v>
      </c>
      <c r="BH454" s="153" t="n">
        <f aca="false">IF(AND($M454&lt;&gt;"",$N454="VCA",$Q454="LINEAR"),($M454*2)/100,IF(AND($M454&lt;&gt;"",$N454="MND",$Q454="EMBOQUE"),($AN454*2)/100,0))</f>
        <v>2.13</v>
      </c>
      <c r="BI454" s="153" t="n">
        <f aca="false">IF(AND($M454&lt;&gt;"",$N454="VCA",$Q454="LINEAR"),$M454,IF(AND($M454&lt;&gt;"",$N454="MND",$Q454="EMBOQUE"),$AN454*2,0))</f>
        <v>106.5</v>
      </c>
      <c r="BJ454" s="153" t="n">
        <f aca="false">IF(AND($M454&lt;&gt;"",$N454="VCA",$Q454="LINEAR"),($M454*6.8)/100,IF(AND($M454&lt;&gt;"",$N454="MND",$Q454="EMBOQUE"),($AN454*2*6.8)/100,0))</f>
        <v>7.242</v>
      </c>
      <c r="BK454" s="153" t="n">
        <f aca="false">IF(AND($M454&lt;&gt;"",$N454="VCA",$Q454="LINEAR"),($M454*2.5)/50,IF(AND($M454&lt;&gt;"",$N454="MND",$Q454="EMBOQUE"),($AN454*2*2.5)/50,0))</f>
        <v>5.325</v>
      </c>
      <c r="BL454" s="157" t="str">
        <f aca="false">K454&amp;J454</f>
        <v>Zona04REDES</v>
      </c>
      <c r="BM454" s="152" t="s">
        <v>2969</v>
      </c>
      <c r="BN454" s="152" t="s">
        <v>1560</v>
      </c>
      <c r="BO454" s="152" t="s">
        <v>1982</v>
      </c>
      <c r="BP454" s="152" t="s">
        <v>3260</v>
      </c>
      <c r="BQ454" s="152" t="s">
        <v>3261</v>
      </c>
      <c r="BR454" s="152" t="s">
        <v>3262</v>
      </c>
      <c r="BS454" s="152" t="n">
        <v>203685.305</v>
      </c>
      <c r="BT454" s="152" t="n">
        <v>8238197.096</v>
      </c>
      <c r="BU454" s="152" t="n">
        <v>203760.555</v>
      </c>
      <c r="BV454" s="152" t="n">
        <v>8238272.438</v>
      </c>
      <c r="BW454" s="152" t="n">
        <v>-15.9174278</v>
      </c>
      <c r="BX454" s="152" t="n">
        <v>-47.767111</v>
      </c>
      <c r="BY454" s="152" t="s">
        <v>3260</v>
      </c>
    </row>
    <row r="455" customFormat="false" ht="13.8" hidden="false" customHeight="false" outlineLevel="0" collapsed="false">
      <c r="A455" s="149" t="n">
        <f aca="false">IF(C455&lt;&gt;"",ROW(A450),"")</f>
        <v>450</v>
      </c>
      <c r="B455" s="150" t="str">
        <f aca="false">HYPERLINK("https://www.google.com/maps/dir/-15.917302,-47.760003/-15.9172080,-47.7693892/data=!4m3!4m2!3e0!5i0")</f>
        <v>https://www.google.com/maps/dir/-15.917302,-47.760003/-15.9172080,-47.7693892/data=!4m3!4m2!3e0!5i0</v>
      </c>
      <c r="C455" s="151" t="s">
        <v>117</v>
      </c>
      <c r="D455" s="152" t="s">
        <v>112</v>
      </c>
      <c r="E455" s="152" t="s">
        <v>113</v>
      </c>
      <c r="F455" s="152" t="s">
        <v>117</v>
      </c>
      <c r="G455" s="152" t="s">
        <v>782</v>
      </c>
      <c r="H455" s="152" t="n">
        <v>63</v>
      </c>
      <c r="I455" s="152" t="s">
        <v>115</v>
      </c>
      <c r="J455" s="152" t="s">
        <v>6</v>
      </c>
      <c r="K455" s="152" t="s">
        <v>2966</v>
      </c>
      <c r="L455" s="152" t="s">
        <v>120</v>
      </c>
      <c r="M455" s="153" t="n">
        <f aca="false">89.66+3.98</f>
        <v>93.64</v>
      </c>
      <c r="N455" s="152" t="s">
        <v>1548</v>
      </c>
      <c r="O455" s="152" t="s">
        <v>1549</v>
      </c>
      <c r="P455" s="152" t="s">
        <v>1550</v>
      </c>
      <c r="Q455" s="152" t="s">
        <v>1551</v>
      </c>
      <c r="R455" s="154" t="s">
        <v>3263</v>
      </c>
      <c r="S455" s="154" t="s">
        <v>1553</v>
      </c>
      <c r="T455" s="155" t="s">
        <v>1979</v>
      </c>
      <c r="U455" s="152" t="str">
        <f aca="false">RIGHT(T455,7)</f>
        <v>006/037</v>
      </c>
      <c r="V455" s="152" t="s">
        <v>1555</v>
      </c>
      <c r="W455" s="156" t="n">
        <v>45882</v>
      </c>
      <c r="X455" s="152" t="s">
        <v>1594</v>
      </c>
      <c r="Y455" s="152" t="s">
        <v>3202</v>
      </c>
      <c r="Z455" s="152" t="s">
        <v>1557</v>
      </c>
      <c r="AA455" s="153" t="n">
        <v>2.4</v>
      </c>
      <c r="AB455" s="151" t="s">
        <v>3264</v>
      </c>
      <c r="AC455" s="151" t="s">
        <v>186</v>
      </c>
      <c r="AD455" s="151" t="str">
        <f aca="false">CONCATENATE($C455,$I455,$H455,$N455,$J455,$K455)</f>
        <v>TUBO PEADPEAD63VCAREDESZona04</v>
      </c>
      <c r="AE455" s="153" t="n">
        <f aca="false">IFERROR(INDEX(APOIO_REDES!$A:$W,MATCH($C455&amp;$I455&amp;$H455&amp;$N455&amp;$O455,APOIO_REDES!$W:$W,0),MATCH(AE$5,APOIO_REDES!$5:$5,0)),0)</f>
        <v>1.2</v>
      </c>
      <c r="AF455" s="153" t="n">
        <f aca="false">IFERROR(INDEX(APOIO_REDES!$A:$W,MATCH($C455&amp;$I455&amp;$H455&amp;$N455&amp;$O455,APOIO_REDES!$W:$W,0),MATCH(AF$5,APOIO_REDES!$5:$5,0)),0)</f>
        <v>1.363</v>
      </c>
      <c r="AG455" s="153" t="n">
        <f aca="false">IFERROR(INDEX(APOIO_REDES!$A:$W,MATCH($C455&amp;$I455&amp;$H455&amp;$N455&amp;$O455,APOIO_REDES!$W:$W,0),MATCH(AG$5,APOIO_REDES!$5:$5,0)),0)</f>
        <v>0.65</v>
      </c>
      <c r="AH455" s="153" t="n">
        <f aca="false">IFERROR(INDEX(APOIO_REDES!$A:$W,MATCH($C455&amp;$I455&amp;$H455&amp;$N455&amp;$O455,APOIO_REDES!$W:$W,0),MATCH(AH$5,APOIO_REDES!$5:$5,0)),0)</f>
        <v>0.1</v>
      </c>
      <c r="AI455" s="153" t="n">
        <f aca="false">IFERROR(IF($H455&lt;&gt;"",(((($H455/1000)/2)^2)*PI()*$M455),0),0)</f>
        <v>0.291898850877512</v>
      </c>
      <c r="AJ455" s="153" t="n">
        <f aca="false">IFERROR(IF(AND($H455&lt;&gt;"",$I455="FoFo",OR($N455="MND",$N455="VCA"),$Q455="LINEAR"),0,IF(AND($H455&lt;&gt;"",$I455="PEAD",$N455="VCA",$Q455="LINEAR"),($H455/1000)+0.3,IF(AND($H455&lt;&gt;"",$I455="PEAD",$N455="MND",$Q455="EMBOQUE"),0,IF(AND($H455&lt;&gt;"",$I455="PVC",$N455="VCA",$Q455="LINEAR"),($H455/1000)+0.2,IF(AND($H455&lt;&gt;"",$I455="PVC",$N455="MND",$Q455="EMBOQUE"),0,IF(AND($H455&lt;&gt;"",$I455="PEAD",$N455="VCA",$Q455="PREDIAL"),0,0)))))),0)</f>
        <v>0.363</v>
      </c>
      <c r="AK455" s="153" t="n">
        <f aca="false">IF(AA455&lt;&gt;"",AA455,0)</f>
        <v>2.4</v>
      </c>
      <c r="AL455" s="153" t="n">
        <f aca="false">IF(AND($N455="MND",$Q455="EMBOQUE"),$M455,IF(AND($N455="VCA",$Q455="LINEAR"),$M455,IF(AND($N455="VCA",$Q455="PREDIAL"),0,0)))</f>
        <v>93.64</v>
      </c>
      <c r="AM455" s="153" t="n">
        <f aca="false">IF(AND($N455="MND",$Q455="EMBOQUE"),$M455,IF(AND($N455="VCA",$Q455="LINEAR"),$M455,IF(AND($N455="VCA",$Q455="PREDIAL"),0,0)))</f>
        <v>93.64</v>
      </c>
      <c r="AN455" s="153" t="n">
        <f aca="false">ROUND(IF(AND($N455="VCA",$M455&lt;&gt;"",$Q455="LINEAR"),$M455/100,IF(AND($N455="MND",$M455&gt;100,$Q455="EMBOQUE"),$M455/100,0)),0)</f>
        <v>1</v>
      </c>
      <c r="AO455" s="153" t="n">
        <f aca="false">IF(AND($N455="MND",$Q455="EMBOQUE"),$AN455*2*2,IF(AND($N455="VCA",$Q455="LINEAR"),$M455*2,IF(AND($N455="VCA",$Q455="PREDIAL"),0,0)))</f>
        <v>187.28</v>
      </c>
      <c r="AP455" s="153" t="n">
        <f aca="false">IFERROR($M455*$AF455*$AG455,0)</f>
        <v>82.960358</v>
      </c>
      <c r="AQ455" s="153" t="n">
        <f aca="false">IFERROR(IF(AND($N455="VCA",$AH455&gt;0),$M455*$AG455*$AH455,0),0)</f>
        <v>6.0866</v>
      </c>
      <c r="AR455" s="153" t="n">
        <f aca="false">IFERROR(IF(AND($N455="VCA",$AJ455&gt;0),($M455*$AG455*$AJ455)-$AI455,0),0)</f>
        <v>21.8024591491225</v>
      </c>
      <c r="AS455" s="153" t="n">
        <f aca="false">IFERROR(IF(AND($N455="VCA",$AP455&gt;0),$AP455-$AI455-$AQ455-$AR455,0),0)</f>
        <v>54.7794</v>
      </c>
      <c r="AT455" s="153" t="n">
        <f aca="false">IFERROR(IF($N455="VCA",INDEX(APOIO_REDES!$A:$W,MATCH($C455&amp;$I455&amp;$H455&amp;$N455&amp;$O455,APOIO_REDES!$W:$W,0),MATCH(AT$5,APOIO_REDES!$5:$5,0)),0)*$AP455,0)</f>
        <v>0.90263325005256</v>
      </c>
      <c r="AU455" s="153" t="n">
        <f aca="false">IFERROR(IF($N455="VCA",INDEX(APOIO_REDES!$A:$W,MATCH($C455&amp;$I455&amp;$H455&amp;$N455&amp;$O455,APOIO_REDES!$W:$W,0),MATCH(AU$5,APOIO_REDES!$5:$5,0)),0)*$AP455,0)</f>
        <v>0.720818467083257</v>
      </c>
      <c r="AV455" s="153" t="n">
        <f aca="false">IFERROR(IF($N455="VCA",INDEX(APOIO_REDES!$A:$W,MATCH($C455&amp;$I455&amp;$H455&amp;$N455&amp;$O455,APOIO_REDES!$W:$W,0),MATCH(AV$5,APOIO_REDES!$5:$5,0)),0)*$AP455,0)</f>
        <v>0.0997556171974916</v>
      </c>
      <c r="AW455" s="153" t="n">
        <f aca="false">IFERROR(IF($N455="VCA",INDEX(APOIO_REDES!$A:$W,MATCH($C455&amp;$I455&amp;$H455&amp;$N455&amp;$O455,APOIO_REDES!$W:$W,0),MATCH(AW$5,APOIO_REDES!$5:$5,0)),0)*$AP455,0)</f>
        <v>56.9446325394213</v>
      </c>
      <c r="AX455" s="153" t="n">
        <f aca="false">IFERROR(IF($N455="VCA",INDEX(APOIO_REDES!$A:$W,MATCH($C455&amp;$I455&amp;$H455&amp;$N455&amp;$O455,APOIO_REDES!$W:$W,0),MATCH(AX$5,APOIO_REDES!$5:$5,0)),0)*$AP455,0)</f>
        <v>7.88097493359966</v>
      </c>
      <c r="AY455" s="153" t="n">
        <f aca="false">IFERROR(IF($N455="VCA",INDEX(APOIO_REDES!$A:$W,MATCH($C455&amp;$I455&amp;$H455&amp;$N455&amp;$O455,APOIO_REDES!$W:$W,0),MATCH(AY$5,APOIO_REDES!$5:$5,0)),0)*$AP455,0)</f>
        <v>14.4163605549465</v>
      </c>
      <c r="AZ455" s="153" t="n">
        <f aca="false">IFERROR(IF($N455="VCA",INDEX(APOIO_REDES!$A:$W,MATCH($C455&amp;$I455&amp;$H455&amp;$N455&amp;$O455,APOIO_REDES!$W:$W,0),MATCH(AZ$5,APOIO_REDES!$5:$5,0)),0)*$AP455,0)</f>
        <v>1.99518263769929</v>
      </c>
      <c r="BA455" s="153" t="n">
        <f aca="false">IFERROR(IF(AND($N455="VCA",$Q455="LINEAR"),INDEX(APOIO_REDES!$A:$W,MATCH($C455&amp;$I455&amp;$H455&amp;$N455&amp;$O455,APOIO_REDES!$W:$W,0),MATCH(BA$5,APOIO_REDES!$5:$5,0)),IF(AND($N455="MND",$Q455="EMBOQUE"),INDEX(APOIO_REDES!$A:$W,MATCH($C455&amp;$I455&amp;$H455&amp;$N455&amp;$O455,APOIO_REDES!$W:$W,0),MATCH(BA$5,APOIO_REDES!$5:$5,0)),0))*$M455/10,0)</f>
        <v>7.54714780057063</v>
      </c>
      <c r="BB455" s="153" t="n">
        <f aca="false">IFERROR(IF($N455="VCA",INDEX(APOIO_REDES!$A:$W,MATCH($C455&amp;$I455&amp;$H455&amp;$N455&amp;$O455,APOIO_REDES!$W:$W,0),MATCH(BB$5,APOIO_REDES!$5:$5,0)),0)*($AI455+$AQ455+$AR455),0)</f>
        <v>27.8743408358222</v>
      </c>
      <c r="BC455" s="153" t="n">
        <f aca="false">IFERROR(IF($N455="VCA",INDEX(APOIO_REDES!$A:$W,MATCH($C455&amp;$I455&amp;$H455&amp;$N455&amp;$O455,APOIO_REDES!$W:$W,0),MATCH(BC$5,APOIO_REDES!$5:$5,0)),0)*($AI455+$AQ455+$AR455),0)</f>
        <v>0.306617164177796</v>
      </c>
      <c r="BD455" s="153" t="n">
        <f aca="false">IF(AND($N455="VCA",$AF455&gt;=1.25,$AF455&lt;1.5),$M455*$AF455*2,0)</f>
        <v>255.26264</v>
      </c>
      <c r="BE455" s="153" t="n">
        <f aca="false">IF(AND($N455="VCA",$AF455&gt;=1.5,$AF455&lt;3),$M455*$AF455*2,0)</f>
        <v>0</v>
      </c>
      <c r="BF455" s="153" t="n">
        <f aca="false">IF(AND($N455="VCA",$AF455&gt;=3),$M455*$AF455*2,0)</f>
        <v>0</v>
      </c>
      <c r="BG455" s="153" t="n">
        <f aca="false">($BB455+$BC455)*$AK455</f>
        <v>67.6342992</v>
      </c>
      <c r="BH455" s="153" t="n">
        <f aca="false">IF(AND($M455&lt;&gt;"",$N455="VCA",$Q455="LINEAR"),($M455*2)/100,IF(AND($M455&lt;&gt;"",$N455="MND",$Q455="EMBOQUE"),($AN455*2)/100,0))</f>
        <v>1.8728</v>
      </c>
      <c r="BI455" s="153" t="n">
        <f aca="false">IF(AND($M455&lt;&gt;"",$N455="VCA",$Q455="LINEAR"),$M455,IF(AND($M455&lt;&gt;"",$N455="MND",$Q455="EMBOQUE"),$AN455*2,0))</f>
        <v>93.64</v>
      </c>
      <c r="BJ455" s="153" t="n">
        <f aca="false">IF(AND($M455&lt;&gt;"",$N455="VCA",$Q455="LINEAR"),($M455*6.8)/100,IF(AND($M455&lt;&gt;"",$N455="MND",$Q455="EMBOQUE"),($AN455*2*6.8)/100,0))</f>
        <v>6.36752</v>
      </c>
      <c r="BK455" s="153" t="n">
        <f aca="false">IF(AND($M455&lt;&gt;"",$N455="VCA",$Q455="LINEAR"),($M455*2.5)/50,IF(AND($M455&lt;&gt;"",$N455="MND",$Q455="EMBOQUE"),($AN455*2*2.5)/50,0))</f>
        <v>4.682</v>
      </c>
      <c r="BL455" s="157" t="str">
        <f aca="false">K455&amp;J455</f>
        <v>Zona04REDES</v>
      </c>
      <c r="BM455" s="152" t="s">
        <v>2969</v>
      </c>
      <c r="BN455" s="152" t="s">
        <v>1560</v>
      </c>
      <c r="BO455" s="152" t="s">
        <v>1982</v>
      </c>
      <c r="BP455" s="152" t="s">
        <v>3239</v>
      </c>
      <c r="BQ455" s="152" t="s">
        <v>3265</v>
      </c>
      <c r="BR455" s="152" t="s">
        <v>3266</v>
      </c>
      <c r="BS455" s="152" t="n">
        <v>203478.468</v>
      </c>
      <c r="BT455" s="152" t="n">
        <v>8238255.916</v>
      </c>
      <c r="BU455" s="152" t="n">
        <v>203532.757</v>
      </c>
      <c r="BV455" s="152" t="n">
        <v>8238187.587</v>
      </c>
      <c r="BW455" s="152" t="n">
        <v>-15.9175007</v>
      </c>
      <c r="BX455" s="152" t="n">
        <v>-47.7690959</v>
      </c>
      <c r="BY455" s="152" t="s">
        <v>3239</v>
      </c>
    </row>
    <row r="456" customFormat="false" ht="13.8" hidden="false" customHeight="false" outlineLevel="0" collapsed="false">
      <c r="A456" s="149" t="n">
        <f aca="false">IF(C456&lt;&gt;"",ROW(A451),"")</f>
        <v>451</v>
      </c>
      <c r="B456" s="150" t="str">
        <f aca="false">HYPERLINK("https://www.google.com/maps/dir/-15.917302,-47.760003/-15.9177661,-47.7674641/data=!4m3!4m2!3e0!5i0")</f>
        <v>https://www.google.com/maps/dir/-15.917302,-47.760003/-15.9177661,-47.7674641/data=!4m3!4m2!3e0!5i0</v>
      </c>
      <c r="C456" s="151" t="s">
        <v>117</v>
      </c>
      <c r="D456" s="152" t="s">
        <v>112</v>
      </c>
      <c r="E456" s="152" t="s">
        <v>113</v>
      </c>
      <c r="F456" s="152" t="s">
        <v>117</v>
      </c>
      <c r="G456" s="152" t="s">
        <v>782</v>
      </c>
      <c r="H456" s="152" t="n">
        <v>63</v>
      </c>
      <c r="I456" s="152" t="s">
        <v>115</v>
      </c>
      <c r="J456" s="152" t="s">
        <v>6</v>
      </c>
      <c r="K456" s="152" t="s">
        <v>2966</v>
      </c>
      <c r="L456" s="152" t="s">
        <v>120</v>
      </c>
      <c r="M456" s="153" t="n">
        <f aca="false">56.52+3.81</f>
        <v>60.33</v>
      </c>
      <c r="N456" s="152" t="s">
        <v>1548</v>
      </c>
      <c r="O456" s="152" t="s">
        <v>1549</v>
      </c>
      <c r="P456" s="152" t="s">
        <v>1550</v>
      </c>
      <c r="Q456" s="152" t="s">
        <v>1551</v>
      </c>
      <c r="R456" s="154" t="s">
        <v>3267</v>
      </c>
      <c r="S456" s="154" t="s">
        <v>1553</v>
      </c>
      <c r="T456" s="155" t="s">
        <v>1979</v>
      </c>
      <c r="U456" s="152" t="str">
        <f aca="false">RIGHT(T456,7)</f>
        <v>006/037</v>
      </c>
      <c r="V456" s="152" t="s">
        <v>1555</v>
      </c>
      <c r="W456" s="156" t="n">
        <v>45882</v>
      </c>
      <c r="X456" s="152" t="s">
        <v>1594</v>
      </c>
      <c r="Y456" s="152" t="s">
        <v>3251</v>
      </c>
      <c r="Z456" s="152" t="s">
        <v>1557</v>
      </c>
      <c r="AA456" s="153" t="n">
        <v>2.6</v>
      </c>
      <c r="AB456" s="151" t="s">
        <v>3268</v>
      </c>
      <c r="AC456" s="151" t="s">
        <v>186</v>
      </c>
      <c r="AD456" s="151" t="str">
        <f aca="false">CONCATENATE($C456,$I456,$H456,$N456,$J456,$K456)</f>
        <v>TUBO PEADPEAD63VCAREDESZona04</v>
      </c>
      <c r="AE456" s="153" t="n">
        <f aca="false">IFERROR(INDEX(APOIO_REDES!$A:$W,MATCH($C456&amp;$I456&amp;$H456&amp;$N456&amp;$O456,APOIO_REDES!$W:$W,0),MATCH(AE$5,APOIO_REDES!$5:$5,0)),0)</f>
        <v>1.2</v>
      </c>
      <c r="AF456" s="153" t="n">
        <f aca="false">IFERROR(INDEX(APOIO_REDES!$A:$W,MATCH($C456&amp;$I456&amp;$H456&amp;$N456&amp;$O456,APOIO_REDES!$W:$W,0),MATCH(AF$5,APOIO_REDES!$5:$5,0)),0)</f>
        <v>1.363</v>
      </c>
      <c r="AG456" s="153" t="n">
        <f aca="false">IFERROR(INDEX(APOIO_REDES!$A:$W,MATCH($C456&amp;$I456&amp;$H456&amp;$N456&amp;$O456,APOIO_REDES!$W:$W,0),MATCH(AG$5,APOIO_REDES!$5:$5,0)),0)</f>
        <v>0.65</v>
      </c>
      <c r="AH456" s="153" t="n">
        <f aca="false">IFERROR(INDEX(APOIO_REDES!$A:$W,MATCH($C456&amp;$I456&amp;$H456&amp;$N456&amp;$O456,APOIO_REDES!$W:$W,0),MATCH(AH$5,APOIO_REDES!$5:$5,0)),0)</f>
        <v>0.1</v>
      </c>
      <c r="AI456" s="153" t="n">
        <f aca="false">IFERROR(IF($H456&lt;&gt;"",(((($H456/1000)/2)^2)*PI()*$M456),0),0)</f>
        <v>0.188063409583941</v>
      </c>
      <c r="AJ456" s="153" t="n">
        <f aca="false">IFERROR(IF(AND($H456&lt;&gt;"",$I456="FoFo",OR($N456="MND",$N456="VCA"),$Q456="LINEAR"),0,IF(AND($H456&lt;&gt;"",$I456="PEAD",$N456="VCA",$Q456="LINEAR"),($H456/1000)+0.3,IF(AND($H456&lt;&gt;"",$I456="PEAD",$N456="MND",$Q456="EMBOQUE"),0,IF(AND($H456&lt;&gt;"",$I456="PVC",$N456="VCA",$Q456="LINEAR"),($H456/1000)+0.2,IF(AND($H456&lt;&gt;"",$I456="PVC",$N456="MND",$Q456="EMBOQUE"),0,IF(AND($H456&lt;&gt;"",$I456="PEAD",$N456="VCA",$Q456="PREDIAL"),0,0)))))),0)</f>
        <v>0.363</v>
      </c>
      <c r="AK456" s="153" t="n">
        <f aca="false">IF(AA456&lt;&gt;"",AA456,0)</f>
        <v>2.6</v>
      </c>
      <c r="AL456" s="153" t="n">
        <f aca="false">IF(AND($N456="MND",$Q456="EMBOQUE"),$M456,IF(AND($N456="VCA",$Q456="LINEAR"),$M456,IF(AND($N456="VCA",$Q456="PREDIAL"),0,0)))</f>
        <v>60.33</v>
      </c>
      <c r="AM456" s="153" t="n">
        <f aca="false">IF(AND($N456="MND",$Q456="EMBOQUE"),$M456,IF(AND($N456="VCA",$Q456="LINEAR"),$M456,IF(AND($N456="VCA",$Q456="PREDIAL"),0,0)))</f>
        <v>60.33</v>
      </c>
      <c r="AN456" s="153" t="n">
        <f aca="false">ROUND(IF(AND($N456="VCA",$M456&lt;&gt;"",$Q456="LINEAR"),$M456/100,IF(AND($N456="MND",$M456&gt;100,$Q456="EMBOQUE"),$M456/100,0)),0)</f>
        <v>1</v>
      </c>
      <c r="AO456" s="153" t="n">
        <f aca="false">IF(AND($N456="MND",$Q456="EMBOQUE"),$AN456*2*2,IF(AND($N456="VCA",$Q456="LINEAR"),$M456*2,IF(AND($N456="VCA",$Q456="PREDIAL"),0,0)))</f>
        <v>120.66</v>
      </c>
      <c r="AP456" s="153" t="n">
        <f aca="false">IFERROR($M456*$AF456*$AG456,0)</f>
        <v>53.4493635</v>
      </c>
      <c r="AQ456" s="153" t="n">
        <f aca="false">IFERROR(IF(AND($N456="VCA",$AH456&gt;0),$M456*$AG456*$AH456,0),0)</f>
        <v>3.92145</v>
      </c>
      <c r="AR456" s="153" t="n">
        <f aca="false">IFERROR(IF(AND($N456="VCA",$AJ456&gt;0),($M456*$AG456*$AJ456)-$AI456,0),0)</f>
        <v>14.0468000904161</v>
      </c>
      <c r="AS456" s="153" t="n">
        <f aca="false">IFERROR(IF(AND($N456="VCA",$AP456&gt;0),$AP456-$AI456-$AQ456-$AR456,0),0)</f>
        <v>35.29305</v>
      </c>
      <c r="AT456" s="153" t="n">
        <f aca="false">IFERROR(IF($N456="VCA",INDEX(APOIO_REDES!$A:$W,MATCH($C456&amp;$I456&amp;$H456&amp;$N456&amp;$O456,APOIO_REDES!$W:$W,0),MATCH(AT$5,APOIO_REDES!$5:$5,0)),0)*$AP456,0)</f>
        <v>0.581544895084056</v>
      </c>
      <c r="AU456" s="153" t="n">
        <f aca="false">IFERROR(IF($N456="VCA",INDEX(APOIO_REDES!$A:$W,MATCH($C456&amp;$I456&amp;$H456&amp;$N456&amp;$O456,APOIO_REDES!$W:$W,0),MATCH(AU$5,APOIO_REDES!$5:$5,0)),0)*$AP456,0)</f>
        <v>0.464406002980915</v>
      </c>
      <c r="AV456" s="153" t="n">
        <f aca="false">IFERROR(IF($N456="VCA",INDEX(APOIO_REDES!$A:$W,MATCH($C456&amp;$I456&amp;$H456&amp;$N456&amp;$O456,APOIO_REDES!$W:$W,0),MATCH(AV$5,APOIO_REDES!$5:$5,0)),0)*$AP456,0)</f>
        <v>0.0642701450824932</v>
      </c>
      <c r="AW456" s="153" t="n">
        <f aca="false">IFERROR(IF($N456="VCA",INDEX(APOIO_REDES!$A:$W,MATCH($C456&amp;$I456&amp;$H456&amp;$N456&amp;$O456,APOIO_REDES!$W:$W,0),MATCH(AW$5,APOIO_REDES!$5:$5,0)),0)*$AP456,0)</f>
        <v>36.6880572522777</v>
      </c>
      <c r="AX456" s="153" t="n">
        <f aca="false">IFERROR(IF($N456="VCA",INDEX(APOIO_REDES!$A:$W,MATCH($C456&amp;$I456&amp;$H456&amp;$N456&amp;$O456,APOIO_REDES!$W:$W,0),MATCH(AX$5,APOIO_REDES!$5:$5,0)),0)*$AP456,0)</f>
        <v>5.07752261580593</v>
      </c>
      <c r="AY456" s="153" t="n">
        <f aca="false">IFERROR(IF($N456="VCA",INDEX(APOIO_REDES!$A:$W,MATCH($C456&amp;$I456&amp;$H456&amp;$N456&amp;$O456,APOIO_REDES!$W:$W,0),MATCH(AY$5,APOIO_REDES!$5:$5,0)),0)*$AP456,0)</f>
        <v>9.28811439854678</v>
      </c>
      <c r="AZ456" s="153" t="n">
        <f aca="false">IFERROR(IF($N456="VCA",INDEX(APOIO_REDES!$A:$W,MATCH($C456&amp;$I456&amp;$H456&amp;$N456&amp;$O456,APOIO_REDES!$W:$W,0),MATCH(AZ$5,APOIO_REDES!$5:$5,0)),0)*$AP456,0)</f>
        <v>1.28544819022211</v>
      </c>
      <c r="BA456" s="153" t="n">
        <f aca="false">IFERROR(IF(AND($N456="VCA",$Q456="LINEAR"),INDEX(APOIO_REDES!$A:$W,MATCH($C456&amp;$I456&amp;$H456&amp;$N456&amp;$O456,APOIO_REDES!$W:$W,0),MATCH(BA$5,APOIO_REDES!$5:$5,0)),IF(AND($N456="MND",$Q456="EMBOQUE"),INDEX(APOIO_REDES!$A:$W,MATCH($C456&amp;$I456&amp;$H456&amp;$N456&amp;$O456,APOIO_REDES!$W:$W,0),MATCH(BA$5,APOIO_REDES!$5:$5,0)),0))*$M456/10,0)</f>
        <v>4.86244582238814</v>
      </c>
      <c r="BB456" s="153" t="n">
        <f aca="false">IFERROR(IF($N456="VCA",INDEX(APOIO_REDES!$A:$W,MATCH($C456&amp;$I456&amp;$H456&amp;$N456&amp;$O456,APOIO_REDES!$W:$W,0),MATCH(BB$5,APOIO_REDES!$5:$5,0)),0)*($AI456+$AQ456+$AR456),0)</f>
        <v>17.9587674351255</v>
      </c>
      <c r="BC456" s="153" t="n">
        <f aca="false">IFERROR(IF($N456="VCA",INDEX(APOIO_REDES!$A:$W,MATCH($C456&amp;$I456&amp;$H456&amp;$N456&amp;$O456,APOIO_REDES!$W:$W,0),MATCH(BC$5,APOIO_REDES!$5:$5,0)),0)*($AI456+$AQ456+$AR456),0)</f>
        <v>0.197546064874481</v>
      </c>
      <c r="BD456" s="153" t="n">
        <f aca="false">IF(AND($N456="VCA",$AF456&gt;=1.25,$AF456&lt;1.5),$M456*$AF456*2,0)</f>
        <v>164.45958</v>
      </c>
      <c r="BE456" s="153" t="n">
        <f aca="false">IF(AND($N456="VCA",$AF456&gt;=1.5,$AF456&lt;3),$M456*$AF456*2,0)</f>
        <v>0</v>
      </c>
      <c r="BF456" s="153" t="n">
        <f aca="false">IF(AND($N456="VCA",$AF456&gt;=3),$M456*$AF456*2,0)</f>
        <v>0</v>
      </c>
      <c r="BG456" s="153" t="n">
        <f aca="false">($BB456+$BC456)*$AK456</f>
        <v>47.2064151</v>
      </c>
      <c r="BH456" s="153" t="n">
        <f aca="false">IF(AND($M456&lt;&gt;"",$N456="VCA",$Q456="LINEAR"),($M456*2)/100,IF(AND($M456&lt;&gt;"",$N456="MND",$Q456="EMBOQUE"),($AN456*2)/100,0))</f>
        <v>1.2066</v>
      </c>
      <c r="BI456" s="153" t="n">
        <f aca="false">IF(AND($M456&lt;&gt;"",$N456="VCA",$Q456="LINEAR"),$M456,IF(AND($M456&lt;&gt;"",$N456="MND",$Q456="EMBOQUE"),$AN456*2,0))</f>
        <v>60.33</v>
      </c>
      <c r="BJ456" s="153" t="n">
        <f aca="false">IF(AND($M456&lt;&gt;"",$N456="VCA",$Q456="LINEAR"),($M456*6.8)/100,IF(AND($M456&lt;&gt;"",$N456="MND",$Q456="EMBOQUE"),($AN456*2*6.8)/100,0))</f>
        <v>4.10244</v>
      </c>
      <c r="BK456" s="153" t="n">
        <f aca="false">IF(AND($M456&lt;&gt;"",$N456="VCA",$Q456="LINEAR"),($M456*2.5)/50,IF(AND($M456&lt;&gt;"",$N456="MND",$Q456="EMBOQUE"),($AN456*2*2.5)/50,0))</f>
        <v>3.0165</v>
      </c>
      <c r="BL456" s="157" t="str">
        <f aca="false">K456&amp;J456</f>
        <v>Zona04REDES</v>
      </c>
      <c r="BM456" s="152" t="s">
        <v>2969</v>
      </c>
      <c r="BN456" s="152" t="s">
        <v>1560</v>
      </c>
      <c r="BO456" s="152" t="s">
        <v>1982</v>
      </c>
      <c r="BP456" s="152" t="s">
        <v>3260</v>
      </c>
      <c r="BQ456" s="152" t="s">
        <v>3269</v>
      </c>
      <c r="BR456" s="152" t="s">
        <v>3270</v>
      </c>
      <c r="BS456" s="152" t="n">
        <v>203685.305</v>
      </c>
      <c r="BT456" s="152" t="n">
        <v>8238197.096</v>
      </c>
      <c r="BU456" s="152" t="n">
        <v>203667.068</v>
      </c>
      <c r="BV456" s="152" t="n">
        <v>8238250.594</v>
      </c>
      <c r="BW456" s="152" t="n">
        <v>-15.9175237</v>
      </c>
      <c r="BX456" s="152" t="n">
        <v>-47.7675465</v>
      </c>
      <c r="BY456" s="152" t="s">
        <v>3260</v>
      </c>
    </row>
    <row r="457" customFormat="false" ht="13.8" hidden="false" customHeight="false" outlineLevel="0" collapsed="false">
      <c r="A457" s="149" t="n">
        <f aca="false">IF(C457&lt;&gt;"",ROW(A452),"")</f>
        <v>452</v>
      </c>
      <c r="B457" s="150" t="str">
        <f aca="false">HYPERLINK("https://www.google.com/maps/dir/-15.917302,-47.760003/-15.9167763,-47.7663473/data=!4m3!4m2!3e0!5i0")</f>
        <v>https://www.google.com/maps/dir/-15.917302,-47.760003/-15.9167763,-47.7663473/data=!4m3!4m2!3e0!5i0</v>
      </c>
      <c r="C457" s="151" t="s">
        <v>117</v>
      </c>
      <c r="D457" s="152" t="s">
        <v>112</v>
      </c>
      <c r="E457" s="152" t="s">
        <v>113</v>
      </c>
      <c r="F457" s="152" t="s">
        <v>117</v>
      </c>
      <c r="G457" s="152" t="s">
        <v>782</v>
      </c>
      <c r="H457" s="152" t="n">
        <v>63</v>
      </c>
      <c r="I457" s="152" t="s">
        <v>115</v>
      </c>
      <c r="J457" s="152" t="s">
        <v>6</v>
      </c>
      <c r="K457" s="152" t="s">
        <v>2966</v>
      </c>
      <c r="L457" s="152" t="s">
        <v>120</v>
      </c>
      <c r="M457" s="153" t="n">
        <f aca="false">268.53</f>
        <v>268.53</v>
      </c>
      <c r="N457" s="152" t="s">
        <v>1548</v>
      </c>
      <c r="O457" s="152" t="s">
        <v>1549</v>
      </c>
      <c r="P457" s="152" t="s">
        <v>1550</v>
      </c>
      <c r="Q457" s="152" t="s">
        <v>1551</v>
      </c>
      <c r="R457" s="154" t="s">
        <v>3271</v>
      </c>
      <c r="S457" s="154" t="s">
        <v>1553</v>
      </c>
      <c r="T457" s="155" t="s">
        <v>1979</v>
      </c>
      <c r="U457" s="152" t="str">
        <f aca="false">RIGHT(T457,7)</f>
        <v>006/037</v>
      </c>
      <c r="V457" s="152" t="s">
        <v>1555</v>
      </c>
      <c r="W457" s="156" t="n">
        <v>45882</v>
      </c>
      <c r="X457" s="152" t="s">
        <v>1594</v>
      </c>
      <c r="Y457" s="152" t="s">
        <v>3251</v>
      </c>
      <c r="Z457" s="152" t="s">
        <v>1557</v>
      </c>
      <c r="AA457" s="153" t="n">
        <v>2.8</v>
      </c>
      <c r="AB457" s="151" t="s">
        <v>3272</v>
      </c>
      <c r="AC457" s="151" t="s">
        <v>186</v>
      </c>
      <c r="AD457" s="151" t="str">
        <f aca="false">CONCATENATE($C457,$I457,$H457,$N457,$J457,$K457)</f>
        <v>TUBO PEADPEAD63VCAREDESZona04</v>
      </c>
      <c r="AE457" s="153" t="n">
        <f aca="false">IFERROR(INDEX(APOIO_REDES!$A:$W,MATCH($C457&amp;$I457&amp;$H457&amp;$N457&amp;$O457,APOIO_REDES!$W:$W,0),MATCH(AE$5,APOIO_REDES!$5:$5,0)),0)</f>
        <v>1.2</v>
      </c>
      <c r="AF457" s="153" t="n">
        <f aca="false">IFERROR(INDEX(APOIO_REDES!$A:$W,MATCH($C457&amp;$I457&amp;$H457&amp;$N457&amp;$O457,APOIO_REDES!$W:$W,0),MATCH(AF$5,APOIO_REDES!$5:$5,0)),0)</f>
        <v>1.363</v>
      </c>
      <c r="AG457" s="153" t="n">
        <f aca="false">IFERROR(INDEX(APOIO_REDES!$A:$W,MATCH($C457&amp;$I457&amp;$H457&amp;$N457&amp;$O457,APOIO_REDES!$W:$W,0),MATCH(AG$5,APOIO_REDES!$5:$5,0)),0)</f>
        <v>0.65</v>
      </c>
      <c r="AH457" s="153" t="n">
        <f aca="false">IFERROR(INDEX(APOIO_REDES!$A:$W,MATCH($C457&amp;$I457&amp;$H457&amp;$N457&amp;$O457,APOIO_REDES!$W:$W,0),MATCH(AH$5,APOIO_REDES!$5:$5,0)),0)</f>
        <v>0.1</v>
      </c>
      <c r="AI457" s="153" t="n">
        <f aca="false">IFERROR(IF($H457&lt;&gt;"",(((($H457/1000)/2)^2)*PI()*$M457),0),0)</f>
        <v>0.837073883235136</v>
      </c>
      <c r="AJ457" s="153" t="n">
        <f aca="false">IFERROR(IF(AND($H457&lt;&gt;"",$I457="FoFo",OR($N457="MND",$N457="VCA"),$Q457="LINEAR"),0,IF(AND($H457&lt;&gt;"",$I457="PEAD",$N457="VCA",$Q457="LINEAR"),($H457/1000)+0.3,IF(AND($H457&lt;&gt;"",$I457="PEAD",$N457="MND",$Q457="EMBOQUE"),0,IF(AND($H457&lt;&gt;"",$I457="PVC",$N457="VCA",$Q457="LINEAR"),($H457/1000)+0.2,IF(AND($H457&lt;&gt;"",$I457="PVC",$N457="MND",$Q457="EMBOQUE"),0,IF(AND($H457&lt;&gt;"",$I457="PEAD",$N457="VCA",$Q457="PREDIAL"),0,0)))))),0)</f>
        <v>0.363</v>
      </c>
      <c r="AK457" s="153" t="n">
        <f aca="false">IF(AA457&lt;&gt;"",AA457,0)</f>
        <v>2.8</v>
      </c>
      <c r="AL457" s="153" t="n">
        <f aca="false">IF(AND($N457="MND",$Q457="EMBOQUE"),$M457,IF(AND($N457="VCA",$Q457="LINEAR"),$M457,IF(AND($N457="VCA",$Q457="PREDIAL"),0,0)))</f>
        <v>268.53</v>
      </c>
      <c r="AM457" s="153" t="n">
        <f aca="false">IF(AND($N457="MND",$Q457="EMBOQUE"),$M457,IF(AND($N457="VCA",$Q457="LINEAR"),$M457,IF(AND($N457="VCA",$Q457="PREDIAL"),0,0)))</f>
        <v>268.53</v>
      </c>
      <c r="AN457" s="153" t="n">
        <f aca="false">ROUND(IF(AND($N457="VCA",$M457&lt;&gt;"",$Q457="LINEAR"),$M457/100,IF(AND($N457="MND",$M457&gt;100,$Q457="EMBOQUE"),$M457/100,0)),0)</f>
        <v>3</v>
      </c>
      <c r="AO457" s="153" t="n">
        <f aca="false">IF(AND($N457="MND",$Q457="EMBOQUE"),$AN457*2*2,IF(AND($N457="VCA",$Q457="LINEAR"),$M457*2,IF(AND($N457="VCA",$Q457="PREDIAL"),0,0)))</f>
        <v>537.06</v>
      </c>
      <c r="AP457" s="153" t="n">
        <f aca="false">IFERROR($M457*$AF457*$AG457,0)</f>
        <v>237.9041535</v>
      </c>
      <c r="AQ457" s="153" t="n">
        <f aca="false">IFERROR(IF(AND($N457="VCA",$AH457&gt;0),$M457*$AG457*$AH457,0),0)</f>
        <v>17.45445</v>
      </c>
      <c r="AR457" s="153" t="n">
        <f aca="false">IFERROR(IF(AND($N457="VCA",$AJ457&gt;0),($M457*$AG457*$AJ457)-$AI457,0),0)</f>
        <v>62.5225796167649</v>
      </c>
      <c r="AS457" s="153" t="n">
        <f aca="false">IFERROR(IF(AND($N457="VCA",$AP457&gt;0),$AP457-$AI457-$AQ457-$AR457,0),0)</f>
        <v>157.09005</v>
      </c>
      <c r="AT457" s="153" t="n">
        <f aca="false">IFERROR(IF($N457="VCA",INDEX(APOIO_REDES!$A:$W,MATCH($C457&amp;$I457&amp;$H457&amp;$N457&amp;$O457,APOIO_REDES!$W:$W,0),MATCH(AT$5,APOIO_REDES!$5:$5,0)),0)*$AP457,0)</f>
        <v>2.58846760611506</v>
      </c>
      <c r="AU457" s="153" t="n">
        <f aca="false">IFERROR(IF($N457="VCA",INDEX(APOIO_REDES!$A:$W,MATCH($C457&amp;$I457&amp;$H457&amp;$N457&amp;$O457,APOIO_REDES!$W:$W,0),MATCH(AU$5,APOIO_REDES!$5:$5,0)),0)*$AP457,0)</f>
        <v>2.06708012565001</v>
      </c>
      <c r="AV457" s="153" t="n">
        <f aca="false">IFERROR(IF($N457="VCA",INDEX(APOIO_REDES!$A:$W,MATCH($C457&amp;$I457&amp;$H457&amp;$N457&amp;$O457,APOIO_REDES!$W:$W,0),MATCH(AV$5,APOIO_REDES!$5:$5,0)),0)*$AP457,0)</f>
        <v>0.286067662174737</v>
      </c>
      <c r="AW457" s="153" t="n">
        <f aca="false">IFERROR(IF($N457="VCA",INDEX(APOIO_REDES!$A:$W,MATCH($C457&amp;$I457&amp;$H457&amp;$N457&amp;$O457,APOIO_REDES!$W:$W,0),MATCH(AW$5,APOIO_REDES!$5:$5,0)),0)*$AP457,0)</f>
        <v>163.299254333733</v>
      </c>
      <c r="AX457" s="153" t="n">
        <f aca="false">IFERROR(IF($N457="VCA",INDEX(APOIO_REDES!$A:$W,MATCH($C457&amp;$I457&amp;$H457&amp;$N457&amp;$O457,APOIO_REDES!$W:$W,0),MATCH(AX$5,APOIO_REDES!$5:$5,0)),0)*$AP457,0)</f>
        <v>22.6001516330576</v>
      </c>
      <c r="AY457" s="153" t="n">
        <f aca="false">IFERROR(IF($N457="VCA",INDEX(APOIO_REDES!$A:$W,MATCH($C457&amp;$I457&amp;$H457&amp;$N457&amp;$O457,APOIO_REDES!$W:$W,0),MATCH(AY$5,APOIO_REDES!$5:$5,0)),0)*$AP457,0)</f>
        <v>41.3415773154611</v>
      </c>
      <c r="AZ457" s="153" t="n">
        <f aca="false">IFERROR(IF($N457="VCA",INDEX(APOIO_REDES!$A:$W,MATCH($C457&amp;$I457&amp;$H457&amp;$N457&amp;$O457,APOIO_REDES!$W:$W,0),MATCH(AZ$5,APOIO_REDES!$5:$5,0)),0)*$AP457,0)</f>
        <v>5.72155482380809</v>
      </c>
      <c r="BA457" s="153" t="n">
        <f aca="false">IFERROR(IF(AND($N457="VCA",$Q457="LINEAR"),INDEX(APOIO_REDES!$A:$W,MATCH($C457&amp;$I457&amp;$H457&amp;$N457&amp;$O457,APOIO_REDES!$W:$W,0),MATCH(BA$5,APOIO_REDES!$5:$5,0)),IF(AND($N457="MND",$Q457="EMBOQUE"),INDEX(APOIO_REDES!$A:$W,MATCH($C457&amp;$I457&amp;$H457&amp;$N457&amp;$O457,APOIO_REDES!$W:$W,0),MATCH(BA$5,APOIO_REDES!$5:$5,0)),0))*$M457/10,0)</f>
        <v>21.6428406544984</v>
      </c>
      <c r="BB457" s="153" t="n">
        <f aca="false">IFERROR(IF($N457="VCA",INDEX(APOIO_REDES!$A:$W,MATCH($C457&amp;$I457&amp;$H457&amp;$N457&amp;$O457,APOIO_REDES!$W:$W,0),MATCH(BB$5,APOIO_REDES!$5:$5,0)),0)*($AI457+$AQ457+$AR457),0)</f>
        <v>79.9348221341664</v>
      </c>
      <c r="BC457" s="153" t="n">
        <f aca="false">IFERROR(IF($N457="VCA",INDEX(APOIO_REDES!$A:$W,MATCH($C457&amp;$I457&amp;$H457&amp;$N457&amp;$O457,APOIO_REDES!$W:$W,0),MATCH(BC$5,APOIO_REDES!$5:$5,0)),0)*($AI457+$AQ457+$AR457),0)</f>
        <v>0.879281365833655</v>
      </c>
      <c r="BD457" s="153" t="n">
        <f aca="false">IF(AND($N457="VCA",$AF457&gt;=1.25,$AF457&lt;1.5),$M457*$AF457*2,0)</f>
        <v>732.01278</v>
      </c>
      <c r="BE457" s="153" t="n">
        <f aca="false">IF(AND($N457="VCA",$AF457&gt;=1.5,$AF457&lt;3),$M457*$AF457*2,0)</f>
        <v>0</v>
      </c>
      <c r="BF457" s="153" t="n">
        <f aca="false">IF(AND($N457="VCA",$AF457&gt;=3),$M457*$AF457*2,0)</f>
        <v>0</v>
      </c>
      <c r="BG457" s="153" t="n">
        <f aca="false">($BB457+$BC457)*$AK457</f>
        <v>226.2794898</v>
      </c>
      <c r="BH457" s="153" t="n">
        <f aca="false">IF(AND($M457&lt;&gt;"",$N457="VCA",$Q457="LINEAR"),($M457*2)/100,IF(AND($M457&lt;&gt;"",$N457="MND",$Q457="EMBOQUE"),($AN457*2)/100,0))</f>
        <v>5.3706</v>
      </c>
      <c r="BI457" s="153" t="n">
        <f aca="false">IF(AND($M457&lt;&gt;"",$N457="VCA",$Q457="LINEAR"),$M457,IF(AND($M457&lt;&gt;"",$N457="MND",$Q457="EMBOQUE"),$AN457*2,0))</f>
        <v>268.53</v>
      </c>
      <c r="BJ457" s="153" t="n">
        <f aca="false">IF(AND($M457&lt;&gt;"",$N457="VCA",$Q457="LINEAR"),($M457*6.8)/100,IF(AND($M457&lt;&gt;"",$N457="MND",$Q457="EMBOQUE"),($AN457*2*6.8)/100,0))</f>
        <v>18.26004</v>
      </c>
      <c r="BK457" s="153" t="n">
        <f aca="false">IF(AND($M457&lt;&gt;"",$N457="VCA",$Q457="LINEAR"),($M457*2.5)/50,IF(AND($M457&lt;&gt;"",$N457="MND",$Q457="EMBOQUE"),($AN457*2*2.5)/50,0))</f>
        <v>13.4265</v>
      </c>
      <c r="BL457" s="157" t="str">
        <f aca="false">K457&amp;J457</f>
        <v>Zona04REDES</v>
      </c>
      <c r="BM457" s="152" t="s">
        <v>2969</v>
      </c>
      <c r="BN457" s="152" t="s">
        <v>1560</v>
      </c>
      <c r="BO457" s="152" t="s">
        <v>1982</v>
      </c>
      <c r="BP457" s="152" t="s">
        <v>3273</v>
      </c>
      <c r="BQ457" s="152" t="s">
        <v>3274</v>
      </c>
      <c r="BR457" s="152" t="s">
        <v>3275</v>
      </c>
      <c r="BS457" s="152" t="n">
        <v>203803.893</v>
      </c>
      <c r="BT457" s="152" t="n">
        <v>8238307.9</v>
      </c>
      <c r="BU457" s="152" t="n">
        <v>203611.598</v>
      </c>
      <c r="BV457" s="152" t="n">
        <v>8238121.115</v>
      </c>
      <c r="BW457" s="152" t="n">
        <v>-15.9176285</v>
      </c>
      <c r="BX457" s="152" t="n">
        <v>-47.7672387</v>
      </c>
      <c r="BY457" s="152" t="s">
        <v>3273</v>
      </c>
    </row>
    <row r="458" customFormat="false" ht="13.8" hidden="false" customHeight="false" outlineLevel="0" collapsed="false">
      <c r="A458" s="149" t="n">
        <f aca="false">IF(C458&lt;&gt;"",ROW(A453),"")</f>
        <v>453</v>
      </c>
      <c r="B458" s="150" t="str">
        <f aca="false">HYPERLINK("https://www.google.com/maps/dir/-15.917302,-47.760003/-15.9182246,-47.7694141/data=!4m3!4m2!3e0!5i1")</f>
        <v>https://www.google.com/maps/dir/-15.917302,-47.760003/-15.9182246,-47.7694141/data=!4m3!4m2!3e0!5i1</v>
      </c>
      <c r="C458" s="151" t="s">
        <v>117</v>
      </c>
      <c r="D458" s="152" t="s">
        <v>112</v>
      </c>
      <c r="E458" s="152" t="s">
        <v>113</v>
      </c>
      <c r="F458" s="152" t="s">
        <v>117</v>
      </c>
      <c r="G458" s="152" t="s">
        <v>114</v>
      </c>
      <c r="H458" s="152" t="n">
        <v>125</v>
      </c>
      <c r="I458" s="152" t="s">
        <v>115</v>
      </c>
      <c r="J458" s="152" t="s">
        <v>6</v>
      </c>
      <c r="K458" s="152" t="s">
        <v>2966</v>
      </c>
      <c r="L458" s="152" t="s">
        <v>120</v>
      </c>
      <c r="M458" s="153" t="n">
        <f aca="false">184.92+0.05</f>
        <v>184.97</v>
      </c>
      <c r="N458" s="152" t="s">
        <v>1548</v>
      </c>
      <c r="O458" s="152" t="s">
        <v>1549</v>
      </c>
      <c r="P458" s="152" t="s">
        <v>1550</v>
      </c>
      <c r="Q458" s="152" t="s">
        <v>1551</v>
      </c>
      <c r="R458" s="154" t="s">
        <v>3276</v>
      </c>
      <c r="S458" s="154" t="s">
        <v>1593</v>
      </c>
      <c r="T458" s="155" t="s">
        <v>1979</v>
      </c>
      <c r="U458" s="152" t="str">
        <f aca="false">RIGHT(T458,7)</f>
        <v>006/037</v>
      </c>
      <c r="V458" s="152" t="s">
        <v>1555</v>
      </c>
      <c r="W458" s="156" t="n">
        <v>45882</v>
      </c>
      <c r="X458" s="152" t="s">
        <v>1594</v>
      </c>
      <c r="Y458" s="152" t="s">
        <v>3202</v>
      </c>
      <c r="Z458" s="152" t="s">
        <v>1557</v>
      </c>
      <c r="AA458" s="153" t="n">
        <v>2.6</v>
      </c>
      <c r="AB458" s="151" t="s">
        <v>3277</v>
      </c>
      <c r="AC458" s="151" t="s">
        <v>505</v>
      </c>
      <c r="AD458" s="151" t="str">
        <f aca="false">CONCATENATE($C458,$I458,$H458,$N458,$J458,$K458)</f>
        <v>TUBO PEADPEAD125VCAREDESZona04</v>
      </c>
      <c r="AE458" s="153" t="n">
        <f aca="false">IFERROR(INDEX(APOIO_REDES!$A:$W,MATCH($C458&amp;$I458&amp;$H458&amp;$N458&amp;$O458,APOIO_REDES!$W:$W,0),MATCH(AE$5,APOIO_REDES!$5:$5,0)),0)</f>
        <v>1.2</v>
      </c>
      <c r="AF458" s="153" t="n">
        <f aca="false">IFERROR(INDEX(APOIO_REDES!$A:$W,MATCH($C458&amp;$I458&amp;$H458&amp;$N458&amp;$O458,APOIO_REDES!$W:$W,0),MATCH(AF$5,APOIO_REDES!$5:$5,0)),0)</f>
        <v>1.425</v>
      </c>
      <c r="AG458" s="153" t="n">
        <f aca="false">IFERROR(INDEX(APOIO_REDES!$A:$W,MATCH($C458&amp;$I458&amp;$H458&amp;$N458&amp;$O458,APOIO_REDES!$W:$W,0),MATCH(AG$5,APOIO_REDES!$5:$5,0)),0)</f>
        <v>0.75</v>
      </c>
      <c r="AH458" s="153" t="n">
        <f aca="false">IFERROR(INDEX(APOIO_REDES!$A:$W,MATCH($C458&amp;$I458&amp;$H458&amp;$N458&amp;$O458,APOIO_REDES!$W:$W,0),MATCH(AH$5,APOIO_REDES!$5:$5,0)),0)</f>
        <v>0.1</v>
      </c>
      <c r="AI458" s="153" t="n">
        <f aca="false">IFERROR(IF($H458&lt;&gt;"",(((($H458/1000)/2)^2)*PI()*$M458),0),0)</f>
        <v>2.26992341068166</v>
      </c>
      <c r="AJ458" s="153" t="n">
        <f aca="false">IFERROR(IF(AND($H458&lt;&gt;"",$I458="FoFo",OR($N458="MND",$N458="VCA"),$Q458="LINEAR"),0,IF(AND($H458&lt;&gt;"",$I458="PEAD",$N458="VCA",$Q458="LINEAR"),($H458/1000)+0.3,IF(AND($H458&lt;&gt;"",$I458="PEAD",$N458="MND",$Q458="EMBOQUE"),0,IF(AND($H458&lt;&gt;"",$I458="PVC",$N458="VCA",$Q458="LINEAR"),($H458/1000)+0.2,IF(AND($H458&lt;&gt;"",$I458="PVC",$N458="MND",$Q458="EMBOQUE"),0,IF(AND($H458&lt;&gt;"",$I458="PEAD",$N458="VCA",$Q458="PREDIAL"),0,0)))))),0)</f>
        <v>0.425</v>
      </c>
      <c r="AK458" s="153" t="n">
        <f aca="false">IF(AA458&lt;&gt;"",AA458,0)</f>
        <v>2.6</v>
      </c>
      <c r="AL458" s="153" t="n">
        <f aca="false">IF(AND($N458="MND",$Q458="EMBOQUE"),$M458,IF(AND($N458="VCA",$Q458="LINEAR"),$M458,IF(AND($N458="VCA",$Q458="PREDIAL"),0,0)))</f>
        <v>184.97</v>
      </c>
      <c r="AM458" s="153" t="n">
        <f aca="false">IF(AND($N458="MND",$Q458="EMBOQUE"),$M458,IF(AND($N458="VCA",$Q458="LINEAR"),$M458,IF(AND($N458="VCA",$Q458="PREDIAL"),0,0)))</f>
        <v>184.97</v>
      </c>
      <c r="AN458" s="153" t="n">
        <f aca="false">ROUND(IF(AND($N458="VCA",$M458&lt;&gt;"",$Q458="LINEAR"),$M458/100,IF(AND($N458="MND",$M458&gt;100,$Q458="EMBOQUE"),$M458/100,0)),0)</f>
        <v>2</v>
      </c>
      <c r="AO458" s="153" t="n">
        <f aca="false">IF(AND($N458="MND",$Q458="EMBOQUE"),$AN458*2*2,IF(AND($N458="VCA",$Q458="LINEAR"),$M458*2,IF(AND($N458="VCA",$Q458="PREDIAL"),0,0)))</f>
        <v>369.94</v>
      </c>
      <c r="AP458" s="153" t="n">
        <f aca="false">IFERROR($M458*$AF458*$AG458,0)</f>
        <v>197.6866875</v>
      </c>
      <c r="AQ458" s="153" t="n">
        <f aca="false">IFERROR(IF(AND($N458="VCA",$AH458&gt;0),$M458*$AG458*$AH458,0),0)</f>
        <v>13.87275</v>
      </c>
      <c r="AR458" s="153" t="n">
        <f aca="false">IFERROR(IF(AND($N458="VCA",$AJ458&gt;0),($M458*$AG458*$AJ458)-$AI458,0),0)</f>
        <v>56.6892640893183</v>
      </c>
      <c r="AS458" s="153" t="n">
        <f aca="false">IFERROR(IF(AND($N458="VCA",$AP458&gt;0),$AP458-$AI458-$AQ458-$AR458,0),0)</f>
        <v>124.85475</v>
      </c>
      <c r="AT458" s="153" t="n">
        <f aca="false">IFERROR(IF($N458="VCA",INDEX(APOIO_REDES!$A:$W,MATCH($C458&amp;$I458&amp;$H458&amp;$N458&amp;$O458,APOIO_REDES!$W:$W,0),MATCH(AT$5,APOIO_REDES!$5:$5,0)),0)*$AP458,0)</f>
        <v>2.15088967227275</v>
      </c>
      <c r="AU458" s="153" t="n">
        <f aca="false">IFERROR(IF($N458="VCA",INDEX(APOIO_REDES!$A:$W,MATCH($C458&amp;$I458&amp;$H458&amp;$N458&amp;$O458,APOIO_REDES!$W:$W,0),MATCH(AU$5,APOIO_REDES!$5:$5,0)),0)*$AP458,0)</f>
        <v>1.71764223879696</v>
      </c>
      <c r="AV458" s="153" t="n">
        <f aca="false">IFERROR(IF($N458="VCA",INDEX(APOIO_REDES!$A:$W,MATCH($C458&amp;$I458&amp;$H458&amp;$N458&amp;$O458,APOIO_REDES!$W:$W,0),MATCH(AV$5,APOIO_REDES!$5:$5,0)),0)*$AP458,0)</f>
        <v>0.237708201829242</v>
      </c>
      <c r="AW458" s="153" t="n">
        <f aca="false">IFERROR(IF($N458="VCA",INDEX(APOIO_REDES!$A:$W,MATCH($C458&amp;$I458&amp;$H458&amp;$N458&amp;$O458,APOIO_REDES!$W:$W,0),MATCH(AW$5,APOIO_REDES!$5:$5,0)),0)*$AP458,0)</f>
        <v>135.693674051201</v>
      </c>
      <c r="AX458" s="153" t="n">
        <f aca="false">IFERROR(IF($N458="VCA",INDEX(APOIO_REDES!$A:$W,MATCH($C458&amp;$I458&amp;$H458&amp;$N458&amp;$O458,APOIO_REDES!$W:$W,0),MATCH(AX$5,APOIO_REDES!$5:$5,0)),0)*$AP458,0)</f>
        <v>18.779617957939</v>
      </c>
      <c r="AY458" s="153" t="n">
        <f aca="false">IFERROR(IF($N458="VCA",INDEX(APOIO_REDES!$A:$W,MATCH($C458&amp;$I458&amp;$H458&amp;$N458&amp;$O458,APOIO_REDES!$W:$W,0),MATCH(AY$5,APOIO_REDES!$5:$5,0)),0)*$AP458,0)</f>
        <v>34.3528238380195</v>
      </c>
      <c r="AZ458" s="153" t="n">
        <f aca="false">IFERROR(IF($N458="VCA",INDEX(APOIO_REDES!$A:$W,MATCH($C458&amp;$I458&amp;$H458&amp;$N458&amp;$O458,APOIO_REDES!$W:$W,0),MATCH(AZ$5,APOIO_REDES!$5:$5,0)),0)*$AP458,0)</f>
        <v>4.75433153994206</v>
      </c>
      <c r="BA458" s="153" t="n">
        <f aca="false">IFERROR(IF(AND($N458="VCA",$Q458="LINEAR"),INDEX(APOIO_REDES!$A:$W,MATCH($C458&amp;$I458&amp;$H458&amp;$N458&amp;$O458,APOIO_REDES!$W:$W,0),MATCH(BA$5,APOIO_REDES!$5:$5,0)),IF(AND($N458="MND",$Q458="EMBOQUE"),INDEX(APOIO_REDES!$A:$W,MATCH($C458&amp;$I458&amp;$H458&amp;$N458&amp;$O458,APOIO_REDES!$W:$W,0),MATCH(BA$5,APOIO_REDES!$5:$5,0)),0))*$M458/10,0)</f>
        <v>14.908115427932</v>
      </c>
      <c r="BB458" s="153" t="n">
        <f aca="false">IFERROR(IF($N458="VCA",INDEX(APOIO_REDES!$A:$W,MATCH($C458&amp;$I458&amp;$H458&amp;$N458&amp;$O458,APOIO_REDES!$W:$W,0),MATCH(BB$5,APOIO_REDES!$5:$5,0)),0)*($AI458+$AQ458+$AR458),0)</f>
        <v>72.0395044628469</v>
      </c>
      <c r="BC458" s="153" t="n">
        <f aca="false">IFERROR(IF($N458="VCA",INDEX(APOIO_REDES!$A:$W,MATCH($C458&amp;$I458&amp;$H458&amp;$N458&amp;$O458,APOIO_REDES!$W:$W,0),MATCH(BC$5,APOIO_REDES!$5:$5,0)),0)*($AI458+$AQ458+$AR458),0)</f>
        <v>0.792433037153118</v>
      </c>
      <c r="BD458" s="153" t="n">
        <f aca="false">IF(AND($N458="VCA",$AF458&gt;=1.25,$AF458&lt;1.5),$M458*$AF458*2,0)</f>
        <v>527.1645</v>
      </c>
      <c r="BE458" s="153" t="n">
        <f aca="false">IF(AND($N458="VCA",$AF458&gt;=1.5,$AF458&lt;3),$M458*$AF458*2,0)</f>
        <v>0</v>
      </c>
      <c r="BF458" s="153" t="n">
        <f aca="false">IF(AND($N458="VCA",$AF458&gt;=3),$M458*$AF458*2,0)</f>
        <v>0</v>
      </c>
      <c r="BG458" s="153" t="n">
        <f aca="false">($BB458+$BC458)*$AK458</f>
        <v>189.3630375</v>
      </c>
      <c r="BH458" s="153" t="n">
        <f aca="false">IF(AND($M458&lt;&gt;"",$N458="VCA",$Q458="LINEAR"),($M458*2)/100,IF(AND($M458&lt;&gt;"",$N458="MND",$Q458="EMBOQUE"),($AN458*2)/100,0))</f>
        <v>3.6994</v>
      </c>
      <c r="BI458" s="153" t="n">
        <f aca="false">IF(AND($M458&lt;&gt;"",$N458="VCA",$Q458="LINEAR"),$M458,IF(AND($M458&lt;&gt;"",$N458="MND",$Q458="EMBOQUE"),$AN458*2,0))</f>
        <v>184.97</v>
      </c>
      <c r="BJ458" s="153" t="n">
        <f aca="false">IF(AND($M458&lt;&gt;"",$N458="VCA",$Q458="LINEAR"),($M458*6.8)/100,IF(AND($M458&lt;&gt;"",$N458="MND",$Q458="EMBOQUE"),($AN458*2*6.8)/100,0))</f>
        <v>12.57796</v>
      </c>
      <c r="BK458" s="153" t="n">
        <f aca="false">IF(AND($M458&lt;&gt;"",$N458="VCA",$Q458="LINEAR"),($M458*2.5)/50,IF(AND($M458&lt;&gt;"",$N458="MND",$Q458="EMBOQUE"),($AN458*2*2.5)/50,0))</f>
        <v>9.2485</v>
      </c>
      <c r="BL458" s="157" t="str">
        <f aca="false">K458&amp;J458</f>
        <v>Zona04REDES</v>
      </c>
      <c r="BM458" s="152" t="s">
        <v>2969</v>
      </c>
      <c r="BN458" s="152" t="s">
        <v>1560</v>
      </c>
      <c r="BO458" s="152" t="s">
        <v>1982</v>
      </c>
      <c r="BP458" s="152" t="s">
        <v>3278</v>
      </c>
      <c r="BQ458" s="152" t="s">
        <v>3215</v>
      </c>
      <c r="BR458" s="152" t="s">
        <v>3279</v>
      </c>
      <c r="BS458" s="152" t="n">
        <v>203477.417</v>
      </c>
      <c r="BT458" s="152" t="n">
        <v>8238143.862</v>
      </c>
      <c r="BU458" s="152" t="n">
        <v>203346.67</v>
      </c>
      <c r="BV458" s="152" t="n">
        <v>8238274.455</v>
      </c>
      <c r="BW458" s="152" t="n">
        <v>-15.9176236</v>
      </c>
      <c r="BX458" s="152" t="n">
        <v>-47.7700119</v>
      </c>
      <c r="BY458" s="152" t="s">
        <v>3278</v>
      </c>
    </row>
    <row r="459" customFormat="false" ht="13.8" hidden="false" customHeight="false" outlineLevel="0" collapsed="false">
      <c r="A459" s="149" t="n">
        <f aca="false">IF(C459&lt;&gt;"",ROW(A454),"")</f>
        <v>454</v>
      </c>
      <c r="B459" s="150" t="str">
        <f aca="false">HYPERLINK("https://www.google.com/maps/dir/-15.917302,-47.760003/-15.9173020,-47.7683066/data=!4m3!4m2!3e0!5i0")</f>
        <v>https://www.google.com/maps/dir/-15.917302,-47.760003/-15.9173020,-47.7683066/data=!4m3!4m2!3e0!5i0</v>
      </c>
      <c r="C459" s="151" t="s">
        <v>117</v>
      </c>
      <c r="D459" s="152" t="s">
        <v>112</v>
      </c>
      <c r="E459" s="152" t="s">
        <v>113</v>
      </c>
      <c r="F459" s="152" t="s">
        <v>117</v>
      </c>
      <c r="G459" s="152" t="s">
        <v>114</v>
      </c>
      <c r="H459" s="152" t="n">
        <v>125</v>
      </c>
      <c r="I459" s="152" t="s">
        <v>115</v>
      </c>
      <c r="J459" s="152" t="s">
        <v>6</v>
      </c>
      <c r="K459" s="152" t="s">
        <v>2966</v>
      </c>
      <c r="L459" s="152" t="s">
        <v>120</v>
      </c>
      <c r="M459" s="153" t="n">
        <f aca="false">77.07+0.26</f>
        <v>77.33</v>
      </c>
      <c r="N459" s="152" t="s">
        <v>1548</v>
      </c>
      <c r="O459" s="152" t="s">
        <v>1549</v>
      </c>
      <c r="P459" s="152" t="s">
        <v>1550</v>
      </c>
      <c r="Q459" s="152" t="s">
        <v>1551</v>
      </c>
      <c r="R459" s="154" t="s">
        <v>3280</v>
      </c>
      <c r="S459" s="154" t="s">
        <v>1593</v>
      </c>
      <c r="T459" s="155" t="s">
        <v>1979</v>
      </c>
      <c r="U459" s="152" t="str">
        <f aca="false">RIGHT(T459,7)</f>
        <v>006/037</v>
      </c>
      <c r="V459" s="152" t="s">
        <v>1555</v>
      </c>
      <c r="W459" s="156" t="n">
        <v>45882</v>
      </c>
      <c r="X459" s="152" t="s">
        <v>1594</v>
      </c>
      <c r="Y459" s="152" t="s">
        <v>3251</v>
      </c>
      <c r="Z459" s="152" t="s">
        <v>1557</v>
      </c>
      <c r="AA459" s="153" t="n">
        <v>2.4</v>
      </c>
      <c r="AB459" s="151" t="s">
        <v>3281</v>
      </c>
      <c r="AC459" s="151" t="s">
        <v>505</v>
      </c>
      <c r="AD459" s="151" t="str">
        <f aca="false">CONCATENATE($C459,$I459,$H459,$N459,$J459,$K459)</f>
        <v>TUBO PEADPEAD125VCAREDESZona04</v>
      </c>
      <c r="AE459" s="153" t="n">
        <f aca="false">IFERROR(INDEX(APOIO_REDES!$A:$W,MATCH($C459&amp;$I459&amp;$H459&amp;$N459&amp;$O459,APOIO_REDES!$W:$W,0),MATCH(AE$5,APOIO_REDES!$5:$5,0)),0)</f>
        <v>1.2</v>
      </c>
      <c r="AF459" s="153" t="n">
        <f aca="false">IFERROR(INDEX(APOIO_REDES!$A:$W,MATCH($C459&amp;$I459&amp;$H459&amp;$N459&amp;$O459,APOIO_REDES!$W:$W,0),MATCH(AF$5,APOIO_REDES!$5:$5,0)),0)</f>
        <v>1.425</v>
      </c>
      <c r="AG459" s="153" t="n">
        <f aca="false">IFERROR(INDEX(APOIO_REDES!$A:$W,MATCH($C459&amp;$I459&amp;$H459&amp;$N459&amp;$O459,APOIO_REDES!$W:$W,0),MATCH(AG$5,APOIO_REDES!$5:$5,0)),0)</f>
        <v>0.75</v>
      </c>
      <c r="AH459" s="153" t="n">
        <f aca="false">IFERROR(INDEX(APOIO_REDES!$A:$W,MATCH($C459&amp;$I459&amp;$H459&amp;$N459&amp;$O459,APOIO_REDES!$W:$W,0),MATCH(AH$5,APOIO_REDES!$5:$5,0)),0)</f>
        <v>0.1</v>
      </c>
      <c r="AI459" s="153" t="n">
        <f aca="false">IFERROR(IF($H459&lt;&gt;"",(((($H459/1000)/2)^2)*PI()*$M459),0),0)</f>
        <v>0.948981874617573</v>
      </c>
      <c r="AJ459" s="153" t="n">
        <f aca="false">IFERROR(IF(AND($H459&lt;&gt;"",$I459="FoFo",OR($N459="MND",$N459="VCA"),$Q459="LINEAR"),0,IF(AND($H459&lt;&gt;"",$I459="PEAD",$N459="VCA",$Q459="LINEAR"),($H459/1000)+0.3,IF(AND($H459&lt;&gt;"",$I459="PEAD",$N459="MND",$Q459="EMBOQUE"),0,IF(AND($H459&lt;&gt;"",$I459="PVC",$N459="VCA",$Q459="LINEAR"),($H459/1000)+0.2,IF(AND($H459&lt;&gt;"",$I459="PVC",$N459="MND",$Q459="EMBOQUE"),0,IF(AND($H459&lt;&gt;"",$I459="PEAD",$N459="VCA",$Q459="PREDIAL"),0,0)))))),0)</f>
        <v>0.425</v>
      </c>
      <c r="AK459" s="153" t="n">
        <f aca="false">IF(AA459&lt;&gt;"",AA459,0)</f>
        <v>2.4</v>
      </c>
      <c r="AL459" s="153" t="n">
        <f aca="false">IF(AND($N459="MND",$Q459="EMBOQUE"),$M459,IF(AND($N459="VCA",$Q459="LINEAR"),$M459,IF(AND($N459="VCA",$Q459="PREDIAL"),0,0)))</f>
        <v>77.33</v>
      </c>
      <c r="AM459" s="153" t="n">
        <f aca="false">IF(AND($N459="MND",$Q459="EMBOQUE"),$M459,IF(AND($N459="VCA",$Q459="LINEAR"),$M459,IF(AND($N459="VCA",$Q459="PREDIAL"),0,0)))</f>
        <v>77.33</v>
      </c>
      <c r="AN459" s="153" t="n">
        <f aca="false">ROUND(IF(AND($N459="VCA",$M459&lt;&gt;"",$Q459="LINEAR"),$M459/100,IF(AND($N459="MND",$M459&gt;100,$Q459="EMBOQUE"),$M459/100,0)),0)</f>
        <v>1</v>
      </c>
      <c r="AO459" s="153" t="n">
        <f aca="false">IF(AND($N459="MND",$Q459="EMBOQUE"),$AN459*2*2,IF(AND($N459="VCA",$Q459="LINEAR"),$M459*2,IF(AND($N459="VCA",$Q459="PREDIAL"),0,0)))</f>
        <v>154.66</v>
      </c>
      <c r="AP459" s="153" t="n">
        <f aca="false">IFERROR($M459*$AF459*$AG459,0)</f>
        <v>82.6464375</v>
      </c>
      <c r="AQ459" s="153" t="n">
        <f aca="false">IFERROR(IF(AND($N459="VCA",$AH459&gt;0),$M459*$AG459*$AH459,0),0)</f>
        <v>5.79975</v>
      </c>
      <c r="AR459" s="153" t="n">
        <f aca="false">IFERROR(IF(AND($N459="VCA",$AJ459&gt;0),($M459*$AG459*$AJ459)-$AI459,0),0)</f>
        <v>23.6999556253824</v>
      </c>
      <c r="AS459" s="153" t="n">
        <f aca="false">IFERROR(IF(AND($N459="VCA",$AP459&gt;0),$AP459-$AI459-$AQ459-$AR459,0),0)</f>
        <v>52.19775</v>
      </c>
      <c r="AT459" s="153" t="n">
        <f aca="false">IFERROR(IF($N459="VCA",INDEX(APOIO_REDES!$A:$W,MATCH($C459&amp;$I459&amp;$H459&amp;$N459&amp;$O459,APOIO_REDES!$W:$W,0),MATCH(AT$5,APOIO_REDES!$5:$5,0)),0)*$AP459,0)</f>
        <v>0.899217702096835</v>
      </c>
      <c r="AU459" s="153" t="n">
        <f aca="false">IFERROR(IF($N459="VCA",INDEX(APOIO_REDES!$A:$W,MATCH($C459&amp;$I459&amp;$H459&amp;$N459&amp;$O459,APOIO_REDES!$W:$W,0),MATCH(AU$5,APOIO_REDES!$5:$5,0)),0)*$AP459,0)</f>
        <v>0.718090902990585</v>
      </c>
      <c r="AV459" s="153" t="n">
        <f aca="false">IFERROR(IF($N459="VCA",INDEX(APOIO_REDES!$A:$W,MATCH($C459&amp;$I459&amp;$H459&amp;$N459&amp;$O459,APOIO_REDES!$W:$W,0),MATCH(AV$5,APOIO_REDES!$5:$5,0)),0)*$AP459,0)</f>
        <v>0.0993781437392834</v>
      </c>
      <c r="AW459" s="153" t="n">
        <f aca="false">IFERROR(IF($N459="VCA",INDEX(APOIO_REDES!$A:$W,MATCH($C459&amp;$I459&amp;$H459&amp;$N459&amp;$O459,APOIO_REDES!$W:$W,0),MATCH(AW$5,APOIO_REDES!$5:$5,0)),0)*$AP459,0)</f>
        <v>56.7291550758466</v>
      </c>
      <c r="AX459" s="153" t="n">
        <f aca="false">IFERROR(IF($N459="VCA",INDEX(APOIO_REDES!$A:$W,MATCH($C459&amp;$I459&amp;$H459&amp;$N459&amp;$O459,APOIO_REDES!$W:$W,0),MATCH(AX$5,APOIO_REDES!$5:$5,0)),0)*$AP459,0)</f>
        <v>7.85115346644009</v>
      </c>
      <c r="AY459" s="153" t="n">
        <f aca="false">IFERROR(IF($N459="VCA",INDEX(APOIO_REDES!$A:$W,MATCH($C459&amp;$I459&amp;$H459&amp;$N459&amp;$O459,APOIO_REDES!$W:$W,0),MATCH(AY$5,APOIO_REDES!$5:$5,0)),0)*$AP459,0)</f>
        <v>14.3618093063418</v>
      </c>
      <c r="AZ459" s="153" t="n">
        <f aca="false">IFERROR(IF($N459="VCA",INDEX(APOIO_REDES!$A:$W,MATCH($C459&amp;$I459&amp;$H459&amp;$N459&amp;$O459,APOIO_REDES!$W:$W,0),MATCH(AZ$5,APOIO_REDES!$5:$5,0)),0)*$AP459,0)</f>
        <v>1.98763290254484</v>
      </c>
      <c r="BA459" s="153" t="n">
        <f aca="false">IFERROR(IF(AND($N459="VCA",$Q459="LINEAR"),INDEX(APOIO_REDES!$A:$W,MATCH($C459&amp;$I459&amp;$H459&amp;$N459&amp;$O459,APOIO_REDES!$W:$W,0),MATCH(BA$5,APOIO_REDES!$5:$5,0)),IF(AND($N459="MND",$Q459="EMBOQUE"),INDEX(APOIO_REDES!$A:$W,MATCH($C459&amp;$I459&amp;$H459&amp;$N459&amp;$O459,APOIO_REDES!$W:$W,0),MATCH(BA$5,APOIO_REDES!$5:$5,0)),0))*$M459/10,0)</f>
        <v>6.23260294124441</v>
      </c>
      <c r="BB459" s="153" t="n">
        <f aca="false">IFERROR(IF($N459="VCA",INDEX(APOIO_REDES!$A:$W,MATCH($C459&amp;$I459&amp;$H459&amp;$N459&amp;$O459,APOIO_REDES!$W:$W,0),MATCH(BB$5,APOIO_REDES!$5:$5,0)),0)*($AI459+$AQ459+$AR459),0)</f>
        <v>30.1173967676485</v>
      </c>
      <c r="BC459" s="153" t="n">
        <f aca="false">IFERROR(IF($N459="VCA",INDEX(APOIO_REDES!$A:$W,MATCH($C459&amp;$I459&amp;$H459&amp;$N459&amp;$O459,APOIO_REDES!$W:$W,0),MATCH(BC$5,APOIO_REDES!$5:$5,0)),0)*($AI459+$AQ459+$AR459),0)</f>
        <v>0.331290732351466</v>
      </c>
      <c r="BD459" s="153" t="n">
        <f aca="false">IF(AND($N459="VCA",$AF459&gt;=1.25,$AF459&lt;1.5),$M459*$AF459*2,0)</f>
        <v>220.3905</v>
      </c>
      <c r="BE459" s="153" t="n">
        <f aca="false">IF(AND($N459="VCA",$AF459&gt;=1.5,$AF459&lt;3),$M459*$AF459*2,0)</f>
        <v>0</v>
      </c>
      <c r="BF459" s="153" t="n">
        <f aca="false">IF(AND($N459="VCA",$AF459&gt;=3),$M459*$AF459*2,0)</f>
        <v>0</v>
      </c>
      <c r="BG459" s="153" t="n">
        <f aca="false">($BB459+$BC459)*$AK459</f>
        <v>73.07685</v>
      </c>
      <c r="BH459" s="153" t="n">
        <f aca="false">IF(AND($M459&lt;&gt;"",$N459="VCA",$Q459="LINEAR"),($M459*2)/100,IF(AND($M459&lt;&gt;"",$N459="MND",$Q459="EMBOQUE"),($AN459*2)/100,0))</f>
        <v>1.5466</v>
      </c>
      <c r="BI459" s="153" t="n">
        <f aca="false">IF(AND($M459&lt;&gt;"",$N459="VCA",$Q459="LINEAR"),$M459,IF(AND($M459&lt;&gt;"",$N459="MND",$Q459="EMBOQUE"),$AN459*2,0))</f>
        <v>77.33</v>
      </c>
      <c r="BJ459" s="153" t="n">
        <f aca="false">IF(AND($M459&lt;&gt;"",$N459="VCA",$Q459="LINEAR"),($M459*6.8)/100,IF(AND($M459&lt;&gt;"",$N459="MND",$Q459="EMBOQUE"),($AN459*2*6.8)/100,0))</f>
        <v>5.25844</v>
      </c>
      <c r="BK459" s="153" t="n">
        <f aca="false">IF(AND($M459&lt;&gt;"",$N459="VCA",$Q459="LINEAR"),($M459*2.5)/50,IF(AND($M459&lt;&gt;"",$N459="MND",$Q459="EMBOQUE"),($AN459*2*2.5)/50,0))</f>
        <v>3.8665</v>
      </c>
      <c r="BL459" s="157" t="str">
        <f aca="false">K459&amp;J459</f>
        <v>Zona04REDES</v>
      </c>
      <c r="BM459" s="152" t="s">
        <v>2969</v>
      </c>
      <c r="BN459" s="152" t="s">
        <v>1560</v>
      </c>
      <c r="BO459" s="152" t="s">
        <v>1982</v>
      </c>
      <c r="BP459" s="152" t="s">
        <v>3222</v>
      </c>
      <c r="BQ459" s="152" t="s">
        <v>3282</v>
      </c>
      <c r="BR459" s="152" t="s">
        <v>3283</v>
      </c>
      <c r="BS459" s="152" t="n">
        <v>203594.044</v>
      </c>
      <c r="BT459" s="152" t="n">
        <v>8238247.066</v>
      </c>
      <c r="BU459" s="152" t="n">
        <v>203601.632</v>
      </c>
      <c r="BV459" s="152" t="n">
        <v>8238170.586</v>
      </c>
      <c r="BW459" s="152" t="n">
        <v>-15.9176501</v>
      </c>
      <c r="BX459" s="152" t="n">
        <v>-47.7682919</v>
      </c>
      <c r="BY459" s="152" t="s">
        <v>3222</v>
      </c>
    </row>
    <row r="460" customFormat="false" ht="13.8" hidden="false" customHeight="false" outlineLevel="0" collapsed="false">
      <c r="A460" s="149" t="n">
        <f aca="false">IF(C460&lt;&gt;"",ROW(A455),"")</f>
        <v>455</v>
      </c>
      <c r="B460" s="150" t="str">
        <f aca="false">HYPERLINK("https://www.google.com/maps/dir/-15.917302,-47.760003/-15.9177469,-47.7711783/data=!4m3!4m2!3e0!5i0")</f>
        <v>https://www.google.com/maps/dir/-15.917302,-47.760003/-15.9177469,-47.7711783/data=!4m3!4m2!3e0!5i0</v>
      </c>
      <c r="C460" s="151" t="s">
        <v>117</v>
      </c>
      <c r="D460" s="152" t="s">
        <v>112</v>
      </c>
      <c r="E460" s="152" t="s">
        <v>113</v>
      </c>
      <c r="F460" s="152" t="s">
        <v>117</v>
      </c>
      <c r="G460" s="152" t="s">
        <v>114</v>
      </c>
      <c r="H460" s="152" t="n">
        <v>160</v>
      </c>
      <c r="I460" s="152" t="s">
        <v>115</v>
      </c>
      <c r="J460" s="152" t="s">
        <v>6</v>
      </c>
      <c r="K460" s="152" t="s">
        <v>2966</v>
      </c>
      <c r="L460" s="152" t="s">
        <v>120</v>
      </c>
      <c r="M460" s="153" t="n">
        <f aca="false">27.04</f>
        <v>27.04</v>
      </c>
      <c r="N460" s="152" t="s">
        <v>1548</v>
      </c>
      <c r="O460" s="152" t="s">
        <v>1549</v>
      </c>
      <c r="P460" s="152" t="s">
        <v>1550</v>
      </c>
      <c r="Q460" s="152" t="s">
        <v>1551</v>
      </c>
      <c r="R460" s="154" t="s">
        <v>3284</v>
      </c>
      <c r="S460" s="154" t="s">
        <v>1593</v>
      </c>
      <c r="T460" s="155" t="s">
        <v>1979</v>
      </c>
      <c r="U460" s="152" t="str">
        <f aca="false">RIGHT(T460,7)</f>
        <v>006/037</v>
      </c>
      <c r="V460" s="152" t="s">
        <v>1555</v>
      </c>
      <c r="W460" s="156" t="n">
        <v>45882</v>
      </c>
      <c r="X460" s="152" t="s">
        <v>1594</v>
      </c>
      <c r="Y460" s="152" t="s">
        <v>3233</v>
      </c>
      <c r="Z460" s="152" t="s">
        <v>1557</v>
      </c>
      <c r="AA460" s="153" t="n">
        <v>2.5</v>
      </c>
      <c r="AB460" s="151" t="s">
        <v>3285</v>
      </c>
      <c r="AC460" s="151" t="s">
        <v>505</v>
      </c>
      <c r="AD460" s="151" t="str">
        <f aca="false">CONCATENATE($C460,$I460,$H460,$N460,$J460,$K460)</f>
        <v>TUBO PEADPEAD160VCAREDESZona04</v>
      </c>
      <c r="AE460" s="153" t="n">
        <f aca="false">IFERROR(INDEX(APOIO_REDES!$A:$W,MATCH($C460&amp;$I460&amp;$H460&amp;$N460&amp;$O460,APOIO_REDES!$W:$W,0),MATCH(AE$5,APOIO_REDES!$5:$5,0)),0)</f>
        <v>1.2</v>
      </c>
      <c r="AF460" s="153" t="n">
        <f aca="false">IFERROR(INDEX(APOIO_REDES!$A:$W,MATCH($C460&amp;$I460&amp;$H460&amp;$N460&amp;$O460,APOIO_REDES!$W:$W,0),MATCH(AF$5,APOIO_REDES!$5:$5,0)),0)</f>
        <v>1.46</v>
      </c>
      <c r="AG460" s="153" t="n">
        <f aca="false">IFERROR(INDEX(APOIO_REDES!$A:$W,MATCH($C460&amp;$I460&amp;$H460&amp;$N460&amp;$O460,APOIO_REDES!$W:$W,0),MATCH(AG$5,APOIO_REDES!$5:$5,0)),0)</f>
        <v>0.75</v>
      </c>
      <c r="AH460" s="153" t="n">
        <f aca="false">IFERROR(INDEX(APOIO_REDES!$A:$W,MATCH($C460&amp;$I460&amp;$H460&amp;$N460&amp;$O460,APOIO_REDES!$W:$W,0),MATCH(AH$5,APOIO_REDES!$5:$5,0)),0)</f>
        <v>0.1</v>
      </c>
      <c r="AI460" s="153" t="n">
        <f aca="false">IFERROR(IF($H460&lt;&gt;"",(((($H460/1000)/2)^2)*PI()*$M460),0),0)</f>
        <v>0.543671458259635</v>
      </c>
      <c r="AJ460" s="153" t="n">
        <f aca="false">IFERROR(IF(AND($H460&lt;&gt;"",$I460="FoFo",OR($N460="MND",$N460="VCA"),$Q460="LINEAR"),0,IF(AND($H460&lt;&gt;"",$I460="PEAD",$N460="VCA",$Q460="LINEAR"),($H460/1000)+0.3,IF(AND($H460&lt;&gt;"",$I460="PEAD",$N460="MND",$Q460="EMBOQUE"),0,IF(AND($H460&lt;&gt;"",$I460="PVC",$N460="VCA",$Q460="LINEAR"),($H460/1000)+0.2,IF(AND($H460&lt;&gt;"",$I460="PVC",$N460="MND",$Q460="EMBOQUE"),0,IF(AND($H460&lt;&gt;"",$I460="PEAD",$N460="VCA",$Q460="PREDIAL"),0,0)))))),0)</f>
        <v>0.46</v>
      </c>
      <c r="AK460" s="153" t="n">
        <f aca="false">IF(AA460&lt;&gt;"",AA460,0)</f>
        <v>2.5</v>
      </c>
      <c r="AL460" s="153" t="n">
        <f aca="false">IF(AND($N460="MND",$Q460="EMBOQUE"),$M460,IF(AND($N460="VCA",$Q460="LINEAR"),$M460,IF(AND($N460="VCA",$Q460="PREDIAL"),0,0)))</f>
        <v>27.04</v>
      </c>
      <c r="AM460" s="153" t="n">
        <f aca="false">IF(AND($N460="MND",$Q460="EMBOQUE"),$M460,IF(AND($N460="VCA",$Q460="LINEAR"),$M460,IF(AND($N460="VCA",$Q460="PREDIAL"),0,0)))</f>
        <v>27.04</v>
      </c>
      <c r="AN460" s="153" t="n">
        <f aca="false">ROUND(IF(AND($N460="VCA",$M460&lt;&gt;"",$Q460="LINEAR"),$M460/100,IF(AND($N460="MND",$M460&gt;100,$Q460="EMBOQUE"),$M460/100,0)),0)</f>
        <v>0</v>
      </c>
      <c r="AO460" s="153" t="n">
        <f aca="false">IF(AND($N460="MND",$Q460="EMBOQUE"),$AN460*2*2,IF(AND($N460="VCA",$Q460="LINEAR"),$M460*2,IF(AND($N460="VCA",$Q460="PREDIAL"),0,0)))</f>
        <v>54.08</v>
      </c>
      <c r="AP460" s="153" t="n">
        <f aca="false">IFERROR($M460*$AF460*$AG460,0)</f>
        <v>29.6088</v>
      </c>
      <c r="AQ460" s="153" t="n">
        <f aca="false">IFERROR(IF(AND($N460="VCA",$AH460&gt;0),$M460*$AG460*$AH460,0),0)</f>
        <v>2.028</v>
      </c>
      <c r="AR460" s="153" t="n">
        <f aca="false">IFERROR(IF(AND($N460="VCA",$AJ460&gt;0),($M460*$AG460*$AJ460)-$AI460,0),0)</f>
        <v>8.78512854174037</v>
      </c>
      <c r="AS460" s="153" t="n">
        <f aca="false">IFERROR(IF(AND($N460="VCA",$AP460&gt;0),$AP460-$AI460-$AQ460-$AR460,0),0)</f>
        <v>18.252</v>
      </c>
      <c r="AT460" s="153" t="n">
        <f aca="false">IFERROR(IF($N460="VCA",INDEX(APOIO_REDES!$A:$W,MATCH($C460&amp;$I460&amp;$H460&amp;$N460&amp;$O460,APOIO_REDES!$W:$W,0),MATCH(AT$5,APOIO_REDES!$5:$5,0)),0)*$AP460,0)</f>
        <v>0.322152507757455</v>
      </c>
      <c r="AU460" s="153" t="n">
        <f aca="false">IFERROR(IF($N460="VCA",INDEX(APOIO_REDES!$A:$W,MATCH($C460&amp;$I460&amp;$H460&amp;$N460&amp;$O460,APOIO_REDES!$W:$W,0),MATCH(AU$5,APOIO_REDES!$5:$5,0)),0)*$AP460,0)</f>
        <v>0.257262267698685</v>
      </c>
      <c r="AV460" s="153" t="n">
        <f aca="false">IFERROR(IF($N460="VCA",INDEX(APOIO_REDES!$A:$W,MATCH($C460&amp;$I460&amp;$H460&amp;$N460&amp;$O460,APOIO_REDES!$W:$W,0),MATCH(AV$5,APOIO_REDES!$5:$5,0)),0)*$AP460,0)</f>
        <v>0.0356030782615124</v>
      </c>
      <c r="AW460" s="153" t="n">
        <f aca="false">IFERROR(IF($N460="VCA",INDEX(APOIO_REDES!$A:$W,MATCH($C460&amp;$I460&amp;$H460&amp;$N460&amp;$O460,APOIO_REDES!$W:$W,0),MATCH(AW$5,APOIO_REDES!$5:$5,0)),0)*$AP460,0)</f>
        <v>20.3237097401776</v>
      </c>
      <c r="AX460" s="153" t="n">
        <f aca="false">IFERROR(IF($N460="VCA",INDEX(APOIO_REDES!$A:$W,MATCH($C460&amp;$I460&amp;$H460&amp;$N460&amp;$O460,APOIO_REDES!$W:$W,0),MATCH(AX$5,APOIO_REDES!$5:$5,0)),0)*$AP460,0)</f>
        <v>2.81274353485752</v>
      </c>
      <c r="AY460" s="153" t="n">
        <f aca="false">IFERROR(IF($N460="VCA",INDEX(APOIO_REDES!$A:$W,MATCH($C460&amp;$I460&amp;$H460&amp;$N460&amp;$O460,APOIO_REDES!$W:$W,0),MATCH(AY$5,APOIO_REDES!$5:$5,0)),0)*$AP460,0)</f>
        <v>5.14524221796751</v>
      </c>
      <c r="AZ460" s="153" t="n">
        <f aca="false">IFERROR(IF($N460="VCA",INDEX(APOIO_REDES!$A:$W,MATCH($C460&amp;$I460&amp;$H460&amp;$N460&amp;$O460,APOIO_REDES!$W:$W,0),MATCH(AZ$5,APOIO_REDES!$5:$5,0)),0)*$AP460,0)</f>
        <v>0.712086653279759</v>
      </c>
      <c r="BA460" s="153" t="n">
        <f aca="false">IFERROR(IF(AND($N460="VCA",$Q460="LINEAR"),INDEX(APOIO_REDES!$A:$W,MATCH($C460&amp;$I460&amp;$H460&amp;$N460&amp;$O460,APOIO_REDES!$W:$W,0),MATCH(BA$5,APOIO_REDES!$5:$5,0)),IF(AND($N460="MND",$Q460="EMBOQUE"),INDEX(APOIO_REDES!$A:$W,MATCH($C460&amp;$I460&amp;$H460&amp;$N460&amp;$O460,APOIO_REDES!$W:$W,0),MATCH(BA$5,APOIO_REDES!$5:$5,0)),0))*$M460/10,0)</f>
        <v>2.17935579375726</v>
      </c>
      <c r="BB460" s="153" t="n">
        <f aca="false">IFERROR(IF($N460="VCA",INDEX(APOIO_REDES!$A:$W,MATCH($C460&amp;$I460&amp;$H460&amp;$N460&amp;$O460,APOIO_REDES!$W:$W,0),MATCH(BB$5,APOIO_REDES!$5:$5,0)),0)*($AI460+$AQ460+$AR460),0)</f>
        <v>11.2332346545588</v>
      </c>
      <c r="BC460" s="153" t="n">
        <f aca="false">IFERROR(IF($N460="VCA",INDEX(APOIO_REDES!$A:$W,MATCH($C460&amp;$I460&amp;$H460&amp;$N460&amp;$O460,APOIO_REDES!$W:$W,0),MATCH(BC$5,APOIO_REDES!$5:$5,0)),0)*($AI460+$AQ460+$AR460),0)</f>
        <v>0.123565345441216</v>
      </c>
      <c r="BD460" s="153" t="n">
        <f aca="false">IF(AND($N460="VCA",$AF460&gt;=1.25,$AF460&lt;1.5),$M460*$AF460*2,0)</f>
        <v>78.9568</v>
      </c>
      <c r="BE460" s="153" t="n">
        <f aca="false">IF(AND($N460="VCA",$AF460&gt;=1.5,$AF460&lt;3),$M460*$AF460*2,0)</f>
        <v>0</v>
      </c>
      <c r="BF460" s="153" t="n">
        <f aca="false">IF(AND($N460="VCA",$AF460&gt;=3),$M460*$AF460*2,0)</f>
        <v>0</v>
      </c>
      <c r="BG460" s="153" t="n">
        <f aca="false">($BB460+$BC460)*$AK460</f>
        <v>28.392</v>
      </c>
      <c r="BH460" s="153" t="n">
        <f aca="false">IF(AND($M460&lt;&gt;"",$N460="VCA",$Q460="LINEAR"),($M460*2)/100,IF(AND($M460&lt;&gt;"",$N460="MND",$Q460="EMBOQUE"),($AN460*2)/100,0))</f>
        <v>0.5408</v>
      </c>
      <c r="BI460" s="153" t="n">
        <f aca="false">IF(AND($M460&lt;&gt;"",$N460="VCA",$Q460="LINEAR"),$M460,IF(AND($M460&lt;&gt;"",$N460="MND",$Q460="EMBOQUE"),$AN460*2,0))</f>
        <v>27.04</v>
      </c>
      <c r="BJ460" s="153" t="n">
        <f aca="false">IF(AND($M460&lt;&gt;"",$N460="VCA",$Q460="LINEAR"),($M460*6.8)/100,IF(AND($M460&lt;&gt;"",$N460="MND",$Q460="EMBOQUE"),($AN460*2*6.8)/100,0))</f>
        <v>1.83872</v>
      </c>
      <c r="BK460" s="153" t="n">
        <f aca="false">IF(AND($M460&lt;&gt;"",$N460="VCA",$Q460="LINEAR"),($M460*2.5)/50,IF(AND($M460&lt;&gt;"",$N460="MND",$Q460="EMBOQUE"),($AN460*2*2.5)/50,0))</f>
        <v>1.352</v>
      </c>
      <c r="BL460" s="157" t="str">
        <f aca="false">K460&amp;J460</f>
        <v>Zona04REDES</v>
      </c>
      <c r="BM460" s="152" t="s">
        <v>2969</v>
      </c>
      <c r="BN460" s="152" t="s">
        <v>1560</v>
      </c>
      <c r="BO460" s="152" t="s">
        <v>1982</v>
      </c>
      <c r="BP460" s="152" t="s">
        <v>3256</v>
      </c>
      <c r="BQ460" s="152" t="s">
        <v>3286</v>
      </c>
      <c r="BR460" s="152" t="s">
        <v>3287</v>
      </c>
      <c r="BS460" s="152" t="n">
        <v>203303.269</v>
      </c>
      <c r="BT460" s="152" t="n">
        <v>8238215.787</v>
      </c>
      <c r="BU460" s="152" t="n">
        <v>203287.338</v>
      </c>
      <c r="BV460" s="152" t="n">
        <v>8238193.945</v>
      </c>
      <c r="BW460" s="152" t="n">
        <v>-15.9176487</v>
      </c>
      <c r="BX460" s="152" t="n">
        <v>-47.7711033</v>
      </c>
      <c r="BY460" s="152" t="s">
        <v>3286</v>
      </c>
    </row>
    <row r="461" customFormat="false" ht="13.8" hidden="false" customHeight="false" outlineLevel="0" collapsed="false">
      <c r="A461" s="149" t="n">
        <f aca="false">IF(C461&lt;&gt;"",ROW(A456),"")</f>
        <v>456</v>
      </c>
      <c r="B461" s="150" t="str">
        <f aca="false">HYPERLINK("https://www.google.com/maps/dir/-15.917302,-47.760003/-15.9177469,-47.7711783/data=!4m3!4m2!3e0!5i0")</f>
        <v>https://www.google.com/maps/dir/-15.917302,-47.760003/-15.9177469,-47.7711783/data=!4m3!4m2!3e0!5i0</v>
      </c>
      <c r="C461" s="151" t="s">
        <v>117</v>
      </c>
      <c r="D461" s="152" t="s">
        <v>112</v>
      </c>
      <c r="E461" s="152" t="s">
        <v>113</v>
      </c>
      <c r="F461" s="152" t="s">
        <v>117</v>
      </c>
      <c r="G461" s="152" t="s">
        <v>114</v>
      </c>
      <c r="H461" s="152" t="n">
        <v>160</v>
      </c>
      <c r="I461" s="152" t="s">
        <v>115</v>
      </c>
      <c r="J461" s="152" t="s">
        <v>6</v>
      </c>
      <c r="K461" s="152" t="s">
        <v>2966</v>
      </c>
      <c r="L461" s="152" t="s">
        <v>120</v>
      </c>
      <c r="M461" s="153" t="n">
        <f aca="false">4.7</f>
        <v>4.7</v>
      </c>
      <c r="N461" s="152" t="s">
        <v>1548</v>
      </c>
      <c r="O461" s="152" t="s">
        <v>1549</v>
      </c>
      <c r="P461" s="152" t="s">
        <v>1550</v>
      </c>
      <c r="Q461" s="152" t="s">
        <v>1551</v>
      </c>
      <c r="R461" s="154" t="s">
        <v>3288</v>
      </c>
      <c r="S461" s="154" t="s">
        <v>1593</v>
      </c>
      <c r="T461" s="155" t="s">
        <v>1979</v>
      </c>
      <c r="U461" s="152" t="str">
        <f aca="false">RIGHT(T461,7)</f>
        <v>006/037</v>
      </c>
      <c r="V461" s="152" t="s">
        <v>1555</v>
      </c>
      <c r="W461" s="156" t="n">
        <v>45882</v>
      </c>
      <c r="X461" s="152" t="s">
        <v>1594</v>
      </c>
      <c r="Y461" s="152" t="s">
        <v>3233</v>
      </c>
      <c r="Z461" s="152" t="s">
        <v>1557</v>
      </c>
      <c r="AA461" s="153" t="n">
        <v>2.5</v>
      </c>
      <c r="AB461" s="151" t="s">
        <v>3289</v>
      </c>
      <c r="AC461" s="151" t="s">
        <v>505</v>
      </c>
      <c r="AD461" s="151" t="str">
        <f aca="false">CONCATENATE($C461,$I461,$H461,$N461,$J461,$K461)</f>
        <v>TUBO PEADPEAD160VCAREDESZona04</v>
      </c>
      <c r="AE461" s="153" t="n">
        <f aca="false">IFERROR(INDEX(APOIO_REDES!$A:$W,MATCH($C461&amp;$I461&amp;$H461&amp;$N461&amp;$O461,APOIO_REDES!$W:$W,0),MATCH(AE$5,APOIO_REDES!$5:$5,0)),0)</f>
        <v>1.2</v>
      </c>
      <c r="AF461" s="153" t="n">
        <f aca="false">IFERROR(INDEX(APOIO_REDES!$A:$W,MATCH($C461&amp;$I461&amp;$H461&amp;$N461&amp;$O461,APOIO_REDES!$W:$W,0),MATCH(AF$5,APOIO_REDES!$5:$5,0)),0)</f>
        <v>1.46</v>
      </c>
      <c r="AG461" s="153" t="n">
        <f aca="false">IFERROR(INDEX(APOIO_REDES!$A:$W,MATCH($C461&amp;$I461&amp;$H461&amp;$N461&amp;$O461,APOIO_REDES!$W:$W,0),MATCH(AG$5,APOIO_REDES!$5:$5,0)),0)</f>
        <v>0.75</v>
      </c>
      <c r="AH461" s="153" t="n">
        <f aca="false">IFERROR(INDEX(APOIO_REDES!$A:$W,MATCH($C461&amp;$I461&amp;$H461&amp;$N461&amp;$O461,APOIO_REDES!$W:$W,0),MATCH(AH$5,APOIO_REDES!$5:$5,0)),0)</f>
        <v>0.1</v>
      </c>
      <c r="AI461" s="153" t="n">
        <f aca="false">IFERROR(IF($H461&lt;&gt;"",(((($H461/1000)/2)^2)*PI()*$M461),0),0)</f>
        <v>0.094499107019981</v>
      </c>
      <c r="AJ461" s="153" t="n">
        <f aca="false">IFERROR(IF(AND($H461&lt;&gt;"",$I461="FoFo",OR($N461="MND",$N461="VCA"),$Q461="LINEAR"),0,IF(AND($H461&lt;&gt;"",$I461="PEAD",$N461="VCA",$Q461="LINEAR"),($H461/1000)+0.3,IF(AND($H461&lt;&gt;"",$I461="PEAD",$N461="MND",$Q461="EMBOQUE"),0,IF(AND($H461&lt;&gt;"",$I461="PVC",$N461="VCA",$Q461="LINEAR"),($H461/1000)+0.2,IF(AND($H461&lt;&gt;"",$I461="PVC",$N461="MND",$Q461="EMBOQUE"),0,IF(AND($H461&lt;&gt;"",$I461="PEAD",$N461="VCA",$Q461="PREDIAL"),0,0)))))),0)</f>
        <v>0.46</v>
      </c>
      <c r="AK461" s="153" t="n">
        <f aca="false">IF(AA461&lt;&gt;"",AA461,0)</f>
        <v>2.5</v>
      </c>
      <c r="AL461" s="153" t="n">
        <f aca="false">IF(AND($N461="MND",$Q461="EMBOQUE"),$M461,IF(AND($N461="VCA",$Q461="LINEAR"),$M461,IF(AND($N461="VCA",$Q461="PREDIAL"),0,0)))</f>
        <v>4.7</v>
      </c>
      <c r="AM461" s="153" t="n">
        <f aca="false">IF(AND($N461="MND",$Q461="EMBOQUE"),$M461,IF(AND($N461="VCA",$Q461="LINEAR"),$M461,IF(AND($N461="VCA",$Q461="PREDIAL"),0,0)))</f>
        <v>4.7</v>
      </c>
      <c r="AN461" s="153" t="n">
        <f aca="false">ROUND(IF(AND($N461="VCA",$M461&lt;&gt;"",$Q461="LINEAR"),$M461/100,IF(AND($N461="MND",$M461&gt;100,$Q461="EMBOQUE"),$M461/100,0)),0)</f>
        <v>0</v>
      </c>
      <c r="AO461" s="153" t="n">
        <f aca="false">IF(AND($N461="MND",$Q461="EMBOQUE"),$AN461*2*2,IF(AND($N461="VCA",$Q461="LINEAR"),$M461*2,IF(AND($N461="VCA",$Q461="PREDIAL"),0,0)))</f>
        <v>9.4</v>
      </c>
      <c r="AP461" s="153" t="n">
        <f aca="false">IFERROR($M461*$AF461*$AG461,0)</f>
        <v>5.1465</v>
      </c>
      <c r="AQ461" s="153" t="n">
        <f aca="false">IFERROR(IF(AND($N461="VCA",$AH461&gt;0),$M461*$AG461*$AH461,0),0)</f>
        <v>0.3525</v>
      </c>
      <c r="AR461" s="153" t="n">
        <f aca="false">IFERROR(IF(AND($N461="VCA",$AJ461&gt;0),($M461*$AG461*$AJ461)-$AI461,0),0)</f>
        <v>1.52700089298002</v>
      </c>
      <c r="AS461" s="153" t="n">
        <f aca="false">IFERROR(IF(AND($N461="VCA",$AP461&gt;0),$AP461-$AI461-$AQ461-$AR461,0),0)</f>
        <v>3.1725</v>
      </c>
      <c r="AT461" s="153" t="n">
        <f aca="false">IFERROR(IF($N461="VCA",INDEX(APOIO_REDES!$A:$W,MATCH($C461&amp;$I461&amp;$H461&amp;$N461&amp;$O461,APOIO_REDES!$W:$W,0),MATCH(AT$5,APOIO_REDES!$5:$5,0)),0)*$AP461,0)</f>
        <v>0.055995443286244</v>
      </c>
      <c r="AU461" s="153" t="n">
        <f aca="false">IFERROR(IF($N461="VCA",INDEX(APOIO_REDES!$A:$W,MATCH($C461&amp;$I461&amp;$H461&amp;$N461&amp;$O461,APOIO_REDES!$W:$W,0),MATCH(AU$5,APOIO_REDES!$5:$5,0)),0)*$AP461,0)</f>
        <v>0.0447164444594608</v>
      </c>
      <c r="AV461" s="153" t="n">
        <f aca="false">IFERROR(IF($N461="VCA",INDEX(APOIO_REDES!$A:$W,MATCH($C461&amp;$I461&amp;$H461&amp;$N461&amp;$O461,APOIO_REDES!$W:$W,0),MATCH(AV$5,APOIO_REDES!$5:$5,0)),0)*$AP461,0)</f>
        <v>0.00618840487533685</v>
      </c>
      <c r="AW461" s="153" t="n">
        <f aca="false">IFERROR(IF($N461="VCA",INDEX(APOIO_REDES!$A:$W,MATCH($C461&amp;$I461&amp;$H461&amp;$N461&amp;$O461,APOIO_REDES!$W:$W,0),MATCH(AW$5,APOIO_REDES!$5:$5,0)),0)*$AP461,0)</f>
        <v>3.5325974770279</v>
      </c>
      <c r="AX461" s="153" t="n">
        <f aca="false">IFERROR(IF($N461="VCA",INDEX(APOIO_REDES!$A:$W,MATCH($C461&amp;$I461&amp;$H461&amp;$N461&amp;$O461,APOIO_REDES!$W:$W,0),MATCH(AX$5,APOIO_REDES!$5:$5,0)),0)*$AP461,0)</f>
        <v>0.488901428026271</v>
      </c>
      <c r="AY461" s="153" t="n">
        <f aca="false">IFERROR(IF($N461="VCA",INDEX(APOIO_REDES!$A:$W,MATCH($C461&amp;$I461&amp;$H461&amp;$N461&amp;$O461,APOIO_REDES!$W:$W,0),MATCH(AY$5,APOIO_REDES!$5:$5,0)),0)*$AP461,0)</f>
        <v>0.894328344099383</v>
      </c>
      <c r="AZ461" s="153" t="n">
        <f aca="false">IFERROR(IF($N461="VCA",INDEX(APOIO_REDES!$A:$W,MATCH($C461&amp;$I461&amp;$H461&amp;$N461&amp;$O461,APOIO_REDES!$W:$W,0),MATCH(AZ$5,APOIO_REDES!$5:$5,0)),0)*$AP461,0)</f>
        <v>0.123772458225402</v>
      </c>
      <c r="BA461" s="153" t="n">
        <f aca="false">IFERROR(IF(AND($N461="VCA",$Q461="LINEAR"),INDEX(APOIO_REDES!$A:$W,MATCH($C461&amp;$I461&amp;$H461&amp;$N461&amp;$O461,APOIO_REDES!$W:$W,0),MATCH(BA$5,APOIO_REDES!$5:$5,0)),IF(AND($N461="MND",$Q461="EMBOQUE"),INDEX(APOIO_REDES!$A:$W,MATCH($C461&amp;$I461&amp;$H461&amp;$N461&amp;$O461,APOIO_REDES!$W:$W,0),MATCH(BA$5,APOIO_REDES!$5:$5,0)),0))*$M461/10,0)</f>
        <v>0.378808144624967</v>
      </c>
      <c r="BB461" s="153" t="n">
        <f aca="false">IFERROR(IF($N461="VCA",INDEX(APOIO_REDES!$A:$W,MATCH($C461&amp;$I461&amp;$H461&amp;$N461&amp;$O461,APOIO_REDES!$W:$W,0),MATCH(BB$5,APOIO_REDES!$5:$5,0)),0)*($AI461+$AQ461+$AR461),0)</f>
        <v>1.95252229572582</v>
      </c>
      <c r="BC461" s="153" t="n">
        <f aca="false">IFERROR(IF($N461="VCA",INDEX(APOIO_REDES!$A:$W,MATCH($C461&amp;$I461&amp;$H461&amp;$N461&amp;$O461,APOIO_REDES!$W:$W,0),MATCH(BC$5,APOIO_REDES!$5:$5,0)),0)*($AI461+$AQ461+$AR461),0)</f>
        <v>0.0214777042741758</v>
      </c>
      <c r="BD461" s="153" t="n">
        <f aca="false">IF(AND($N461="VCA",$AF461&gt;=1.25,$AF461&lt;1.5),$M461*$AF461*2,0)</f>
        <v>13.724</v>
      </c>
      <c r="BE461" s="153" t="n">
        <f aca="false">IF(AND($N461="VCA",$AF461&gt;=1.5,$AF461&lt;3),$M461*$AF461*2,0)</f>
        <v>0</v>
      </c>
      <c r="BF461" s="153" t="n">
        <f aca="false">IF(AND($N461="VCA",$AF461&gt;=3),$M461*$AF461*2,0)</f>
        <v>0</v>
      </c>
      <c r="BG461" s="153" t="n">
        <f aca="false">($BB461+$BC461)*$AK461</f>
        <v>4.935</v>
      </c>
      <c r="BH461" s="153" t="n">
        <f aca="false">IF(AND($M461&lt;&gt;"",$N461="VCA",$Q461="LINEAR"),($M461*2)/100,IF(AND($M461&lt;&gt;"",$N461="MND",$Q461="EMBOQUE"),($AN461*2)/100,0))</f>
        <v>0.094</v>
      </c>
      <c r="BI461" s="153" t="n">
        <f aca="false">IF(AND($M461&lt;&gt;"",$N461="VCA",$Q461="LINEAR"),$M461,IF(AND($M461&lt;&gt;"",$N461="MND",$Q461="EMBOQUE"),$AN461*2,0))</f>
        <v>4.7</v>
      </c>
      <c r="BJ461" s="153" t="n">
        <f aca="false">IF(AND($M461&lt;&gt;"",$N461="VCA",$Q461="LINEAR"),($M461*6.8)/100,IF(AND($M461&lt;&gt;"",$N461="MND",$Q461="EMBOQUE"),($AN461*2*6.8)/100,0))</f>
        <v>0.3196</v>
      </c>
      <c r="BK461" s="153" t="n">
        <f aca="false">IF(AND($M461&lt;&gt;"",$N461="VCA",$Q461="LINEAR"),($M461*2.5)/50,IF(AND($M461&lt;&gt;"",$N461="MND",$Q461="EMBOQUE"),($AN461*2*2.5)/50,0))</f>
        <v>0.235</v>
      </c>
      <c r="BL461" s="157" t="str">
        <f aca="false">K461&amp;J461</f>
        <v>Zona04REDES</v>
      </c>
      <c r="BM461" s="152" t="s">
        <v>2969</v>
      </c>
      <c r="BN461" s="152" t="s">
        <v>1560</v>
      </c>
      <c r="BO461" s="152" t="s">
        <v>1982</v>
      </c>
      <c r="BP461" s="152" t="s">
        <v>3286</v>
      </c>
      <c r="BQ461" s="152" t="s">
        <v>3290</v>
      </c>
      <c r="BR461" s="152" t="s">
        <v>3287</v>
      </c>
      <c r="BS461" s="152" t="n">
        <v>203287.338</v>
      </c>
      <c r="BT461" s="152" t="n">
        <v>8238193.945</v>
      </c>
      <c r="BU461" s="152" t="n">
        <v>203284.599</v>
      </c>
      <c r="BV461" s="152" t="n">
        <v>8238190.12</v>
      </c>
      <c r="BW461" s="152" t="n">
        <v>-15.917764</v>
      </c>
      <c r="BX461" s="152" t="n">
        <v>-47.7711913</v>
      </c>
      <c r="BY461" s="152" t="s">
        <v>3286</v>
      </c>
    </row>
    <row r="462" customFormat="false" ht="13.8" hidden="false" customHeight="false" outlineLevel="0" collapsed="false">
      <c r="A462" s="149" t="n">
        <f aca="false">IF(C462&lt;&gt;"",ROW(A457),"")</f>
        <v>457</v>
      </c>
      <c r="B462" s="150" t="str">
        <f aca="false">HYPERLINK("https://www.google.com/maps/dir/-15.917302,-47.760003/-15.9177810,-47.7712044/data=!4m3!4m2!3e0!5i0")</f>
        <v>https://www.google.com/maps/dir/-15.917302,-47.760003/-15.9177810,-47.7712044/data=!4m3!4m2!3e0!5i0</v>
      </c>
      <c r="C462" s="151" t="s">
        <v>117</v>
      </c>
      <c r="D462" s="152" t="s">
        <v>112</v>
      </c>
      <c r="E462" s="152" t="s">
        <v>113</v>
      </c>
      <c r="F462" s="152" t="s">
        <v>117</v>
      </c>
      <c r="G462" s="152" t="s">
        <v>114</v>
      </c>
      <c r="H462" s="152" t="n">
        <v>160</v>
      </c>
      <c r="I462" s="152" t="s">
        <v>115</v>
      </c>
      <c r="J462" s="152" t="s">
        <v>6</v>
      </c>
      <c r="K462" s="152" t="s">
        <v>2966</v>
      </c>
      <c r="L462" s="152" t="s">
        <v>120</v>
      </c>
      <c r="M462" s="153" t="n">
        <f aca="false">2.05</f>
        <v>2.05</v>
      </c>
      <c r="N462" s="152" t="s">
        <v>1548</v>
      </c>
      <c r="O462" s="152" t="s">
        <v>1549</v>
      </c>
      <c r="P462" s="152" t="s">
        <v>1550</v>
      </c>
      <c r="Q462" s="152" t="s">
        <v>1551</v>
      </c>
      <c r="R462" s="154" t="s">
        <v>3291</v>
      </c>
      <c r="S462" s="154" t="s">
        <v>1593</v>
      </c>
      <c r="T462" s="155" t="s">
        <v>1979</v>
      </c>
      <c r="U462" s="152" t="str">
        <f aca="false">RIGHT(T462,7)</f>
        <v>006/037</v>
      </c>
      <c r="V462" s="152" t="s">
        <v>1555</v>
      </c>
      <c r="W462" s="156" t="n">
        <v>45882</v>
      </c>
      <c r="X462" s="152" t="s">
        <v>1594</v>
      </c>
      <c r="Y462" s="152" t="s">
        <v>3233</v>
      </c>
      <c r="Z462" s="152" t="s">
        <v>1557</v>
      </c>
      <c r="AA462" s="153" t="n">
        <v>2.5</v>
      </c>
      <c r="AB462" s="151" t="s">
        <v>3292</v>
      </c>
      <c r="AC462" s="151" t="s">
        <v>505</v>
      </c>
      <c r="AD462" s="151" t="str">
        <f aca="false">CONCATENATE($C462,$I462,$H462,$N462,$J462,$K462)</f>
        <v>TUBO PEADPEAD160VCAREDESZona04</v>
      </c>
      <c r="AE462" s="153" t="n">
        <f aca="false">IFERROR(INDEX(APOIO_REDES!$A:$W,MATCH($C462&amp;$I462&amp;$H462&amp;$N462&amp;$O462,APOIO_REDES!$W:$W,0),MATCH(AE$5,APOIO_REDES!$5:$5,0)),0)</f>
        <v>1.2</v>
      </c>
      <c r="AF462" s="153" t="n">
        <f aca="false">IFERROR(INDEX(APOIO_REDES!$A:$W,MATCH($C462&amp;$I462&amp;$H462&amp;$N462&amp;$O462,APOIO_REDES!$W:$W,0),MATCH(AF$5,APOIO_REDES!$5:$5,0)),0)</f>
        <v>1.46</v>
      </c>
      <c r="AG462" s="153" t="n">
        <f aca="false">IFERROR(INDEX(APOIO_REDES!$A:$W,MATCH($C462&amp;$I462&amp;$H462&amp;$N462&amp;$O462,APOIO_REDES!$W:$W,0),MATCH(AG$5,APOIO_REDES!$5:$5,0)),0)</f>
        <v>0.75</v>
      </c>
      <c r="AH462" s="153" t="n">
        <f aca="false">IFERROR(INDEX(APOIO_REDES!$A:$W,MATCH($C462&amp;$I462&amp;$H462&amp;$N462&amp;$O462,APOIO_REDES!$W:$W,0),MATCH(AH$5,APOIO_REDES!$5:$5,0)),0)</f>
        <v>0.1</v>
      </c>
      <c r="AI462" s="153" t="n">
        <f aca="false">IFERROR(IF($H462&lt;&gt;"",(((($H462/1000)/2)^2)*PI()*$M462),0),0)</f>
        <v>0.0412176956150981</v>
      </c>
      <c r="AJ462" s="153" t="n">
        <f aca="false">IFERROR(IF(AND($H462&lt;&gt;"",$I462="FoFo",OR($N462="MND",$N462="VCA"),$Q462="LINEAR"),0,IF(AND($H462&lt;&gt;"",$I462="PEAD",$N462="VCA",$Q462="LINEAR"),($H462/1000)+0.3,IF(AND($H462&lt;&gt;"",$I462="PEAD",$N462="MND",$Q462="EMBOQUE"),0,IF(AND($H462&lt;&gt;"",$I462="PVC",$N462="VCA",$Q462="LINEAR"),($H462/1000)+0.2,IF(AND($H462&lt;&gt;"",$I462="PVC",$N462="MND",$Q462="EMBOQUE"),0,IF(AND($H462&lt;&gt;"",$I462="PEAD",$N462="VCA",$Q462="PREDIAL"),0,0)))))),0)</f>
        <v>0.46</v>
      </c>
      <c r="AK462" s="153" t="n">
        <f aca="false">IF(AA462&lt;&gt;"",AA462,0)</f>
        <v>2.5</v>
      </c>
      <c r="AL462" s="153" t="n">
        <f aca="false">IF(AND($N462="MND",$Q462="EMBOQUE"),$M462,IF(AND($N462="VCA",$Q462="LINEAR"),$M462,IF(AND($N462="VCA",$Q462="PREDIAL"),0,0)))</f>
        <v>2.05</v>
      </c>
      <c r="AM462" s="153" t="n">
        <f aca="false">IF(AND($N462="MND",$Q462="EMBOQUE"),$M462,IF(AND($N462="VCA",$Q462="LINEAR"),$M462,IF(AND($N462="VCA",$Q462="PREDIAL"),0,0)))</f>
        <v>2.05</v>
      </c>
      <c r="AN462" s="153" t="n">
        <f aca="false">ROUND(IF(AND($N462="VCA",$M462&lt;&gt;"",$Q462="LINEAR"),$M462/100,IF(AND($N462="MND",$M462&gt;100,$Q462="EMBOQUE"),$M462/100,0)),0)</f>
        <v>0</v>
      </c>
      <c r="AO462" s="153" t="n">
        <f aca="false">IF(AND($N462="MND",$Q462="EMBOQUE"),$AN462*2*2,IF(AND($N462="VCA",$Q462="LINEAR"),$M462*2,IF(AND($N462="VCA",$Q462="PREDIAL"),0,0)))</f>
        <v>4.1</v>
      </c>
      <c r="AP462" s="153" t="n">
        <f aca="false">IFERROR($M462*$AF462*$AG462,0)</f>
        <v>2.24475</v>
      </c>
      <c r="AQ462" s="153" t="n">
        <f aca="false">IFERROR(IF(AND($N462="VCA",$AH462&gt;0),$M462*$AG462*$AH462,0),0)</f>
        <v>0.15375</v>
      </c>
      <c r="AR462" s="153" t="n">
        <f aca="false">IFERROR(IF(AND($N462="VCA",$AJ462&gt;0),($M462*$AG462*$AJ462)-$AI462,0),0)</f>
        <v>0.666032304384902</v>
      </c>
      <c r="AS462" s="153" t="n">
        <f aca="false">IFERROR(IF(AND($N462="VCA",$AP462&gt;0),$AP462-$AI462-$AQ462-$AR462,0),0)</f>
        <v>1.38375</v>
      </c>
      <c r="AT462" s="153" t="n">
        <f aca="false">IFERROR(IF($N462="VCA",INDEX(APOIO_REDES!$A:$W,MATCH($C462&amp;$I462&amp;$H462&amp;$N462&amp;$O462,APOIO_REDES!$W:$W,0),MATCH(AT$5,APOIO_REDES!$5:$5,0)),0)*$AP462,0)</f>
        <v>0.0244235444120852</v>
      </c>
      <c r="AU462" s="153" t="n">
        <f aca="false">IFERROR(IF($N462="VCA",INDEX(APOIO_REDES!$A:$W,MATCH($C462&amp;$I462&amp;$H462&amp;$N462&amp;$O462,APOIO_REDES!$W:$W,0),MATCH(AU$5,APOIO_REDES!$5:$5,0)),0)*$AP462,0)</f>
        <v>0.0195039810940201</v>
      </c>
      <c r="AV462" s="153" t="n">
        <f aca="false">IFERROR(IF($N462="VCA",INDEX(APOIO_REDES!$A:$W,MATCH($C462&amp;$I462&amp;$H462&amp;$N462&amp;$O462,APOIO_REDES!$W:$W,0),MATCH(AV$5,APOIO_REDES!$5:$5,0)),0)*$AP462,0)</f>
        <v>0.00269919787115756</v>
      </c>
      <c r="AW462" s="153" t="n">
        <f aca="false">IFERROR(IF($N462="VCA",INDEX(APOIO_REDES!$A:$W,MATCH($C462&amp;$I462&amp;$H462&amp;$N462&amp;$O462,APOIO_REDES!$W:$W,0),MATCH(AW$5,APOIO_REDES!$5:$5,0)),0)*$AP462,0)</f>
        <v>1.54081379317175</v>
      </c>
      <c r="AX462" s="153" t="n">
        <f aca="false">IFERROR(IF($N462="VCA",INDEX(APOIO_REDES!$A:$W,MATCH($C462&amp;$I462&amp;$H462&amp;$N462&amp;$O462,APOIO_REDES!$W:$W,0),MATCH(AX$5,APOIO_REDES!$5:$5,0)),0)*$AP462,0)</f>
        <v>0.213244239883799</v>
      </c>
      <c r="AY462" s="153" t="n">
        <f aca="false">IFERROR(IF($N462="VCA",INDEX(APOIO_REDES!$A:$W,MATCH($C462&amp;$I462&amp;$H462&amp;$N462&amp;$O462,APOIO_REDES!$W:$W,0),MATCH(AY$5,APOIO_REDES!$5:$5,0)),0)*$AP462,0)</f>
        <v>0.390079384128454</v>
      </c>
      <c r="AZ462" s="153" t="n">
        <f aca="false">IFERROR(IF($N462="VCA",INDEX(APOIO_REDES!$A:$W,MATCH($C462&amp;$I462&amp;$H462&amp;$N462&amp;$O462,APOIO_REDES!$W:$W,0),MATCH(AZ$5,APOIO_REDES!$5:$5,0)),0)*$AP462,0)</f>
        <v>0.0539858594387391</v>
      </c>
      <c r="BA462" s="153" t="n">
        <f aca="false">IFERROR(IF(AND($N462="VCA",$Q462="LINEAR"),INDEX(APOIO_REDES!$A:$W,MATCH($C462&amp;$I462&amp;$H462&amp;$N462&amp;$O462,APOIO_REDES!$W:$W,0),MATCH(BA$5,APOIO_REDES!$5:$5,0)),IF(AND($N462="MND",$Q462="EMBOQUE"),INDEX(APOIO_REDES!$A:$W,MATCH($C462&amp;$I462&amp;$H462&amp;$N462&amp;$O462,APOIO_REDES!$W:$W,0),MATCH(BA$5,APOIO_REDES!$5:$5,0)),0))*$M462/10,0)</f>
        <v>0.16522482903855</v>
      </c>
      <c r="BB462" s="153" t="n">
        <f aca="false">IFERROR(IF($N462="VCA",INDEX(APOIO_REDES!$A:$W,MATCH($C462&amp;$I462&amp;$H462&amp;$N462&amp;$O462,APOIO_REDES!$W:$W,0),MATCH(BB$5,APOIO_REDES!$5:$5,0)),0)*($AI462+$AQ462+$AR462),0)</f>
        <v>0.851632065157008</v>
      </c>
      <c r="BC462" s="153" t="n">
        <f aca="false">IFERROR(IF($N462="VCA",INDEX(APOIO_REDES!$A:$W,MATCH($C462&amp;$I462&amp;$H462&amp;$N462&amp;$O462,APOIO_REDES!$W:$W,0),MATCH(BC$5,APOIO_REDES!$5:$5,0)),0)*($AI462+$AQ462+$AR462),0)</f>
        <v>0.00936793484299157</v>
      </c>
      <c r="BD462" s="153" t="n">
        <f aca="false">IF(AND($N462="VCA",$AF462&gt;=1.25,$AF462&lt;1.5),$M462*$AF462*2,0)</f>
        <v>5.986</v>
      </c>
      <c r="BE462" s="153" t="n">
        <f aca="false">IF(AND($N462="VCA",$AF462&gt;=1.5,$AF462&lt;3),$M462*$AF462*2,0)</f>
        <v>0</v>
      </c>
      <c r="BF462" s="153" t="n">
        <f aca="false">IF(AND($N462="VCA",$AF462&gt;=3),$M462*$AF462*2,0)</f>
        <v>0</v>
      </c>
      <c r="BG462" s="153" t="n">
        <f aca="false">($BB462+$BC462)*$AK462</f>
        <v>2.1525</v>
      </c>
      <c r="BH462" s="153" t="n">
        <f aca="false">IF(AND($M462&lt;&gt;"",$N462="VCA",$Q462="LINEAR"),($M462*2)/100,IF(AND($M462&lt;&gt;"",$N462="MND",$Q462="EMBOQUE"),($AN462*2)/100,0))</f>
        <v>0.041</v>
      </c>
      <c r="BI462" s="153" t="n">
        <f aca="false">IF(AND($M462&lt;&gt;"",$N462="VCA",$Q462="LINEAR"),$M462,IF(AND($M462&lt;&gt;"",$N462="MND",$Q462="EMBOQUE"),$AN462*2,0))</f>
        <v>2.05</v>
      </c>
      <c r="BJ462" s="153" t="n">
        <f aca="false">IF(AND($M462&lt;&gt;"",$N462="VCA",$Q462="LINEAR"),($M462*6.8)/100,IF(AND($M462&lt;&gt;"",$N462="MND",$Q462="EMBOQUE"),($AN462*2*6.8)/100,0))</f>
        <v>0.1394</v>
      </c>
      <c r="BK462" s="153" t="n">
        <f aca="false">IF(AND($M462&lt;&gt;"",$N462="VCA",$Q462="LINEAR"),($M462*2.5)/50,IF(AND($M462&lt;&gt;"",$N462="MND",$Q462="EMBOQUE"),($AN462*2*2.5)/50,0))</f>
        <v>0.1025</v>
      </c>
      <c r="BL462" s="157" t="str">
        <f aca="false">K462&amp;J462</f>
        <v>Zona04REDES</v>
      </c>
      <c r="BM462" s="152" t="s">
        <v>2969</v>
      </c>
      <c r="BN462" s="152" t="s">
        <v>1560</v>
      </c>
      <c r="BO462" s="152" t="s">
        <v>1982</v>
      </c>
      <c r="BP462" s="152" t="s">
        <v>3290</v>
      </c>
      <c r="BQ462" s="152" t="s">
        <v>3235</v>
      </c>
      <c r="BR462" s="152" t="s">
        <v>3091</v>
      </c>
      <c r="BS462" s="152" t="n">
        <v>203284.585</v>
      </c>
      <c r="BT462" s="152" t="n">
        <v>8238190.129</v>
      </c>
      <c r="BU462" s="152" t="n">
        <v>203282.875</v>
      </c>
      <c r="BV462" s="152" t="n">
        <v>8238191.254</v>
      </c>
      <c r="BW462" s="152" t="n">
        <v>-15.9177759</v>
      </c>
      <c r="BX462" s="152" t="n">
        <v>-47.7712123</v>
      </c>
      <c r="BY462" s="152" t="s">
        <v>3290</v>
      </c>
    </row>
    <row r="463" customFormat="false" ht="13.8" hidden="false" customHeight="false" outlineLevel="0" collapsed="false">
      <c r="A463" s="149" t="n">
        <f aca="false">IF(C463&lt;&gt;"",ROW(A458),"")</f>
        <v>458</v>
      </c>
      <c r="B463" s="150" t="str">
        <f aca="false">HYPERLINK("https://www.google.com/maps/dir/-15.917302,-47.760003/-15.9177810,-47.7712044/data=!4m3!4m2!3e0!5i0")</f>
        <v>https://www.google.com/maps/dir/-15.917302,-47.760003/-15.9177810,-47.7712044/data=!4m3!4m2!3e0!5i0</v>
      </c>
      <c r="C463" s="151" t="s">
        <v>117</v>
      </c>
      <c r="D463" s="152" t="s">
        <v>112</v>
      </c>
      <c r="E463" s="152" t="s">
        <v>113</v>
      </c>
      <c r="F463" s="152" t="s">
        <v>117</v>
      </c>
      <c r="G463" s="152" t="s">
        <v>114</v>
      </c>
      <c r="H463" s="152" t="n">
        <v>225</v>
      </c>
      <c r="I463" s="152" t="s">
        <v>115</v>
      </c>
      <c r="J463" s="152" t="s">
        <v>6</v>
      </c>
      <c r="K463" s="152" t="s">
        <v>2966</v>
      </c>
      <c r="L463" s="152" t="s">
        <v>120</v>
      </c>
      <c r="M463" s="153" t="n">
        <f aca="false">5.57</f>
        <v>5.57</v>
      </c>
      <c r="N463" s="152" t="s">
        <v>1548</v>
      </c>
      <c r="O463" s="152" t="s">
        <v>1549</v>
      </c>
      <c r="P463" s="152" t="s">
        <v>1550</v>
      </c>
      <c r="Q463" s="152" t="s">
        <v>1551</v>
      </c>
      <c r="R463" s="154" t="s">
        <v>3293</v>
      </c>
      <c r="S463" s="154" t="s">
        <v>1593</v>
      </c>
      <c r="T463" s="155" t="s">
        <v>1979</v>
      </c>
      <c r="U463" s="152" t="str">
        <f aca="false">RIGHT(T463,7)</f>
        <v>006/037</v>
      </c>
      <c r="V463" s="152" t="s">
        <v>1555</v>
      </c>
      <c r="W463" s="156" t="n">
        <v>45882</v>
      </c>
      <c r="X463" s="152" t="s">
        <v>1594</v>
      </c>
      <c r="Y463" s="152" t="s">
        <v>3233</v>
      </c>
      <c r="Z463" s="152" t="s">
        <v>1557</v>
      </c>
      <c r="AA463" s="153" t="n">
        <v>2.5</v>
      </c>
      <c r="AB463" s="151" t="s">
        <v>3294</v>
      </c>
      <c r="AC463" s="151" t="s">
        <v>508</v>
      </c>
      <c r="AD463" s="151" t="str">
        <f aca="false">CONCATENATE($C463,$I463,$H463,$N463,$J463,$K463)</f>
        <v>TUBO PEADPEAD225VCAREDESZona04</v>
      </c>
      <c r="AE463" s="153" t="n">
        <f aca="false">IFERROR(INDEX(APOIO_REDES!$A:$W,MATCH($C463&amp;$I463&amp;$H463&amp;$N463&amp;$O463,APOIO_REDES!$W:$W,0),MATCH(AE$5,APOIO_REDES!$5:$5,0)),0)</f>
        <v>1.2</v>
      </c>
      <c r="AF463" s="153" t="n">
        <f aca="false">IFERROR(INDEX(APOIO_REDES!$A:$W,MATCH($C463&amp;$I463&amp;$H463&amp;$N463&amp;$O463,APOIO_REDES!$W:$W,0),MATCH(AF$5,APOIO_REDES!$5:$5,0)),0)</f>
        <v>1.525</v>
      </c>
      <c r="AG463" s="153" t="n">
        <f aca="false">IFERROR(INDEX(APOIO_REDES!$A:$W,MATCH($C463&amp;$I463&amp;$H463&amp;$N463&amp;$O463,APOIO_REDES!$W:$W,0),MATCH(AG$5,APOIO_REDES!$5:$5,0)),0)</f>
        <v>0.8</v>
      </c>
      <c r="AH463" s="153" t="n">
        <f aca="false">IFERROR(INDEX(APOIO_REDES!$A:$W,MATCH($C463&amp;$I463&amp;$H463&amp;$N463&amp;$O463,APOIO_REDES!$W:$W,0),MATCH(AH$5,APOIO_REDES!$5:$5,0)),0)</f>
        <v>0.1</v>
      </c>
      <c r="AI463" s="153" t="n">
        <f aca="false">IFERROR(IF($H463&lt;&gt;"",(((($H463/1000)/2)^2)*PI()*$M463),0),0)</f>
        <v>0.221467555862517</v>
      </c>
      <c r="AJ463" s="153" t="n">
        <f aca="false">IFERROR(IF(AND($H463&lt;&gt;"",$I463="FoFo",OR($N463="MND",$N463="VCA"),$Q463="LINEAR"),0,IF(AND($H463&lt;&gt;"",$I463="PEAD",$N463="VCA",$Q463="LINEAR"),($H463/1000)+0.3,IF(AND($H463&lt;&gt;"",$I463="PEAD",$N463="MND",$Q463="EMBOQUE"),0,IF(AND($H463&lt;&gt;"",$I463="PVC",$N463="VCA",$Q463="LINEAR"),($H463/1000)+0.2,IF(AND($H463&lt;&gt;"",$I463="PVC",$N463="MND",$Q463="EMBOQUE"),0,IF(AND($H463&lt;&gt;"",$I463="PEAD",$N463="VCA",$Q463="PREDIAL"),0,0)))))),0)</f>
        <v>0.525</v>
      </c>
      <c r="AK463" s="153" t="n">
        <f aca="false">IF(AA463&lt;&gt;"",AA463,0)</f>
        <v>2.5</v>
      </c>
      <c r="AL463" s="153" t="n">
        <f aca="false">IF(AND($N463="MND",$Q463="EMBOQUE"),$M463,IF(AND($N463="VCA",$Q463="LINEAR"),$M463,IF(AND($N463="VCA",$Q463="PREDIAL"),0,0)))</f>
        <v>5.57</v>
      </c>
      <c r="AM463" s="153" t="n">
        <f aca="false">IF(AND($N463="MND",$Q463="EMBOQUE"),$M463,IF(AND($N463="VCA",$Q463="LINEAR"),$M463,IF(AND($N463="VCA",$Q463="PREDIAL"),0,0)))</f>
        <v>5.57</v>
      </c>
      <c r="AN463" s="153" t="n">
        <f aca="false">ROUND(IF(AND($N463="VCA",$M463&lt;&gt;"",$Q463="LINEAR"),$M463/100,IF(AND($N463="MND",$M463&gt;100,$Q463="EMBOQUE"),$M463/100,0)),0)</f>
        <v>0</v>
      </c>
      <c r="AO463" s="153" t="n">
        <f aca="false">IF(AND($N463="MND",$Q463="EMBOQUE"),$AN463*2*2,IF(AND($N463="VCA",$Q463="LINEAR"),$M463*2,IF(AND($N463="VCA",$Q463="PREDIAL"),0,0)))</f>
        <v>11.14</v>
      </c>
      <c r="AP463" s="153" t="n">
        <f aca="false">IFERROR($M463*$AF463*$AG463,0)</f>
        <v>6.7954</v>
      </c>
      <c r="AQ463" s="153" t="n">
        <f aca="false">IFERROR(IF(AND($N463="VCA",$AH463&gt;0),$M463*$AG463*$AH463,0),0)</f>
        <v>0.4456</v>
      </c>
      <c r="AR463" s="153" t="n">
        <f aca="false">IFERROR(IF(AND($N463="VCA",$AJ463&gt;0),($M463*$AG463*$AJ463)-$AI463,0),0)</f>
        <v>2.11793244413748</v>
      </c>
      <c r="AS463" s="153" t="n">
        <f aca="false">IFERROR(IF(AND($N463="VCA",$AP463&gt;0),$AP463-$AI463-$AQ463-$AR463,0),0)</f>
        <v>4.0104</v>
      </c>
      <c r="AT463" s="153" t="n">
        <f aca="false">IFERROR(IF($N463="VCA",INDEX(APOIO_REDES!$A:$W,MATCH($C463&amp;$I463&amp;$H463&amp;$N463&amp;$O463,APOIO_REDES!$W:$W,0),MATCH(AT$5,APOIO_REDES!$5:$5,0)),0)*$AP463,0)</f>
        <v>0.0739359633357316</v>
      </c>
      <c r="AU463" s="153" t="n">
        <f aca="false">IFERROR(IF($N463="VCA",INDEX(APOIO_REDES!$A:$W,MATCH($C463&amp;$I463&amp;$H463&amp;$N463&amp;$O463,APOIO_REDES!$W:$W,0),MATCH(AU$5,APOIO_REDES!$5:$5,0)),0)*$AP463,0)</f>
        <v>0.0590432578800777</v>
      </c>
      <c r="AV463" s="153" t="n">
        <f aca="false">IFERROR(IF($N463="VCA",INDEX(APOIO_REDES!$A:$W,MATCH($C463&amp;$I463&amp;$H463&amp;$N463&amp;$O463,APOIO_REDES!$W:$W,0),MATCH(AV$5,APOIO_REDES!$5:$5,0)),0)*$AP463,0)</f>
        <v>0.00817112338285515</v>
      </c>
      <c r="AW463" s="153" t="n">
        <f aca="false">IFERROR(IF($N463="VCA",INDEX(APOIO_REDES!$A:$W,MATCH($C463&amp;$I463&amp;$H463&amp;$N463&amp;$O463,APOIO_REDES!$W:$W,0),MATCH(AW$5,APOIO_REDES!$5:$5,0)),0)*$AP463,0)</f>
        <v>4.66441521332856</v>
      </c>
      <c r="AX463" s="153" t="n">
        <f aca="false">IFERROR(IF($N463="VCA",INDEX(APOIO_REDES!$A:$W,MATCH($C463&amp;$I463&amp;$H463&amp;$N463&amp;$O463,APOIO_REDES!$W:$W,0),MATCH(AX$5,APOIO_REDES!$5:$5,0)),0)*$AP463,0)</f>
        <v>0.645541778686432</v>
      </c>
      <c r="AY463" s="153" t="n">
        <f aca="false">IFERROR(IF($N463="VCA",INDEX(APOIO_REDES!$A:$W,MATCH($C463&amp;$I463&amp;$H463&amp;$N463&amp;$O463,APOIO_REDES!$W:$W,0),MATCH(AY$5,APOIO_REDES!$5:$5,0)),0)*$AP463,0)</f>
        <v>1.18086443786903</v>
      </c>
      <c r="AZ463" s="153" t="n">
        <f aca="false">IFERROR(IF($N463="VCA",INDEX(APOIO_REDES!$A:$W,MATCH($C463&amp;$I463&amp;$H463&amp;$N463&amp;$O463,APOIO_REDES!$W:$W,0),MATCH(AZ$5,APOIO_REDES!$5:$5,0)),0)*$AP463,0)</f>
        <v>0.163428225517322</v>
      </c>
      <c r="BA463" s="153" t="n">
        <f aca="false">IFERROR(IF(AND($N463="VCA",$Q463="LINEAR"),INDEX(APOIO_REDES!$A:$W,MATCH($C463&amp;$I463&amp;$H463&amp;$N463&amp;$O463,APOIO_REDES!$W:$W,0),MATCH(BA$5,APOIO_REDES!$5:$5,0)),IF(AND($N463="MND",$Q463="EMBOQUE"),INDEX(APOIO_REDES!$A:$W,MATCH($C463&amp;$I463&amp;$H463&amp;$N463&amp;$O463,APOIO_REDES!$W:$W,0),MATCH(BA$5,APOIO_REDES!$5:$5,0)),0))*$M463/10,0)</f>
        <v>0.448927950119376</v>
      </c>
      <c r="BB463" s="153" t="n">
        <f aca="false">IFERROR(IF($N463="VCA",INDEX(APOIO_REDES!$A:$W,MATCH($C463&amp;$I463&amp;$H463&amp;$N463&amp;$O463,APOIO_REDES!$W:$W,0),MATCH(BB$5,APOIO_REDES!$5:$5,0)),0)*($AI463+$AQ463+$AR463),0)</f>
        <v>2.75469837568208</v>
      </c>
      <c r="BC463" s="153" t="n">
        <f aca="false">IFERROR(IF($N463="VCA",INDEX(APOIO_REDES!$A:$W,MATCH($C463&amp;$I463&amp;$H463&amp;$N463&amp;$O463,APOIO_REDES!$W:$W,0),MATCH(BC$5,APOIO_REDES!$5:$5,0)),0)*($AI463+$AQ463+$AR463),0)</f>
        <v>0.0303016243179228</v>
      </c>
      <c r="BD463" s="153" t="n">
        <f aca="false">IF(AND($N463="VCA",$AF463&gt;=1.25,$AF463&lt;1.5),$M463*$AF463*2,0)</f>
        <v>0</v>
      </c>
      <c r="BE463" s="153" t="n">
        <f aca="false">IF(AND($N463="VCA",$AF463&gt;=1.5,$AF463&lt;3),$M463*$AF463*2,0)</f>
        <v>16.9885</v>
      </c>
      <c r="BF463" s="153" t="n">
        <f aca="false">IF(AND($N463="VCA",$AF463&gt;=3),$M463*$AF463*2,0)</f>
        <v>0</v>
      </c>
      <c r="BG463" s="153" t="n">
        <f aca="false">($BB463+$BC463)*$AK463</f>
        <v>6.9625</v>
      </c>
      <c r="BH463" s="153" t="n">
        <f aca="false">IF(AND($M463&lt;&gt;"",$N463="VCA",$Q463="LINEAR"),($M463*2)/100,IF(AND($M463&lt;&gt;"",$N463="MND",$Q463="EMBOQUE"),($AN463*2)/100,0))</f>
        <v>0.1114</v>
      </c>
      <c r="BI463" s="153" t="n">
        <f aca="false">IF(AND($M463&lt;&gt;"",$N463="VCA",$Q463="LINEAR"),$M463,IF(AND($M463&lt;&gt;"",$N463="MND",$Q463="EMBOQUE"),$AN463*2,0))</f>
        <v>5.57</v>
      </c>
      <c r="BJ463" s="153" t="n">
        <f aca="false">IF(AND($M463&lt;&gt;"",$N463="VCA",$Q463="LINEAR"),($M463*6.8)/100,IF(AND($M463&lt;&gt;"",$N463="MND",$Q463="EMBOQUE"),($AN463*2*6.8)/100,0))</f>
        <v>0.37876</v>
      </c>
      <c r="BK463" s="153" t="n">
        <f aca="false">IF(AND($M463&lt;&gt;"",$N463="VCA",$Q463="LINEAR"),($M463*2.5)/50,IF(AND($M463&lt;&gt;"",$N463="MND",$Q463="EMBOQUE"),($AN463*2*2.5)/50,0))</f>
        <v>0.2785</v>
      </c>
      <c r="BL463" s="157" t="str">
        <f aca="false">K463&amp;J463</f>
        <v>Zona04REDES</v>
      </c>
      <c r="BM463" s="152" t="s">
        <v>2969</v>
      </c>
      <c r="BN463" s="152" t="s">
        <v>1560</v>
      </c>
      <c r="BO463" s="152" t="s">
        <v>1982</v>
      </c>
      <c r="BP463" s="152" t="s">
        <v>3290</v>
      </c>
      <c r="BQ463" s="152" t="s">
        <v>3295</v>
      </c>
      <c r="BR463" s="152" t="s">
        <v>3296</v>
      </c>
      <c r="BS463" s="152" t="n">
        <v>203284.586</v>
      </c>
      <c r="BT463" s="152" t="n">
        <v>8238190.131</v>
      </c>
      <c r="BU463" s="152" t="n">
        <v>203281.334</v>
      </c>
      <c r="BV463" s="152" t="n">
        <v>8238185.605</v>
      </c>
      <c r="BW463" s="152" t="n">
        <v>-15.9178013</v>
      </c>
      <c r="BX463" s="152" t="n">
        <v>-47.7712198</v>
      </c>
      <c r="BY463" s="152" t="s">
        <v>3290</v>
      </c>
    </row>
    <row r="464" customFormat="false" ht="13.8" hidden="false" customHeight="false" outlineLevel="0" collapsed="false">
      <c r="A464" s="149" t="n">
        <f aca="false">IF(C464&lt;&gt;"",ROW(A459),"")</f>
        <v>459</v>
      </c>
      <c r="B464" s="150" t="str">
        <f aca="false">HYPERLINK("https://www.google.com/maps/dir/-15.917302,-47.760003/-15.9183117,-47.7703160/data=!4m3!4m2!3e0!5i0")</f>
        <v>https://www.google.com/maps/dir/-15.917302,-47.760003/-15.9183117,-47.7703160/data=!4m3!4m2!3e0!5i0</v>
      </c>
      <c r="C464" s="151" t="s">
        <v>117</v>
      </c>
      <c r="D464" s="152" t="s">
        <v>112</v>
      </c>
      <c r="E464" s="152" t="s">
        <v>113</v>
      </c>
      <c r="F464" s="152" t="s">
        <v>117</v>
      </c>
      <c r="G464" s="152" t="s">
        <v>782</v>
      </c>
      <c r="H464" s="152" t="n">
        <v>63</v>
      </c>
      <c r="I464" s="152" t="s">
        <v>115</v>
      </c>
      <c r="J464" s="152" t="s">
        <v>6</v>
      </c>
      <c r="K464" s="152" t="s">
        <v>2966</v>
      </c>
      <c r="L464" s="152" t="s">
        <v>120</v>
      </c>
      <c r="M464" s="153" t="n">
        <f aca="false">113.53+4</f>
        <v>117.53</v>
      </c>
      <c r="N464" s="152" t="s">
        <v>1548</v>
      </c>
      <c r="O464" s="152" t="s">
        <v>1549</v>
      </c>
      <c r="P464" s="152" t="s">
        <v>1550</v>
      </c>
      <c r="Q464" s="152" t="s">
        <v>1551</v>
      </c>
      <c r="R464" s="154" t="s">
        <v>3297</v>
      </c>
      <c r="S464" s="154" t="s">
        <v>1553</v>
      </c>
      <c r="T464" s="155" t="s">
        <v>1979</v>
      </c>
      <c r="U464" s="152" t="str">
        <f aca="false">RIGHT(T464,7)</f>
        <v>006/037</v>
      </c>
      <c r="V464" s="152" t="s">
        <v>1555</v>
      </c>
      <c r="W464" s="156" t="n">
        <v>45882</v>
      </c>
      <c r="X464" s="152" t="s">
        <v>1594</v>
      </c>
      <c r="Y464" s="152" t="s">
        <v>3298</v>
      </c>
      <c r="Z464" s="152" t="s">
        <v>1557</v>
      </c>
      <c r="AA464" s="153" t="n">
        <v>2.5</v>
      </c>
      <c r="AB464" s="151" t="s">
        <v>3299</v>
      </c>
      <c r="AC464" s="151" t="s">
        <v>186</v>
      </c>
      <c r="AD464" s="151" t="str">
        <f aca="false">CONCATENATE($C464,$I464,$H464,$N464,$J464,$K464)</f>
        <v>TUBO PEADPEAD63VCAREDESZona04</v>
      </c>
      <c r="AE464" s="153" t="n">
        <f aca="false">IFERROR(INDEX(APOIO_REDES!$A:$W,MATCH($C464&amp;$I464&amp;$H464&amp;$N464&amp;$O464,APOIO_REDES!$W:$W,0),MATCH(AE$5,APOIO_REDES!$5:$5,0)),0)</f>
        <v>1.2</v>
      </c>
      <c r="AF464" s="153" t="n">
        <f aca="false">IFERROR(INDEX(APOIO_REDES!$A:$W,MATCH($C464&amp;$I464&amp;$H464&amp;$N464&amp;$O464,APOIO_REDES!$W:$W,0),MATCH(AF$5,APOIO_REDES!$5:$5,0)),0)</f>
        <v>1.363</v>
      </c>
      <c r="AG464" s="153" t="n">
        <f aca="false">IFERROR(INDEX(APOIO_REDES!$A:$W,MATCH($C464&amp;$I464&amp;$H464&amp;$N464&amp;$O464,APOIO_REDES!$W:$W,0),MATCH(AG$5,APOIO_REDES!$5:$5,0)),0)</f>
        <v>0.65</v>
      </c>
      <c r="AH464" s="153" t="n">
        <f aca="false">IFERROR(INDEX(APOIO_REDES!$A:$W,MATCH($C464&amp;$I464&amp;$H464&amp;$N464&amp;$O464,APOIO_REDES!$W:$W,0),MATCH(AH$5,APOIO_REDES!$5:$5,0)),0)</f>
        <v>0.1</v>
      </c>
      <c r="AI464" s="153" t="n">
        <f aca="false">IFERROR(IF($H464&lt;&gt;"",(((($H464/1000)/2)^2)*PI()*$M464),0),0)</f>
        <v>0.366369841345941</v>
      </c>
      <c r="AJ464" s="153" t="n">
        <f aca="false">IFERROR(IF(AND($H464&lt;&gt;"",$I464="FoFo",OR($N464="MND",$N464="VCA"),$Q464="LINEAR"),0,IF(AND($H464&lt;&gt;"",$I464="PEAD",$N464="VCA",$Q464="LINEAR"),($H464/1000)+0.3,IF(AND($H464&lt;&gt;"",$I464="PEAD",$N464="MND",$Q464="EMBOQUE"),0,IF(AND($H464&lt;&gt;"",$I464="PVC",$N464="VCA",$Q464="LINEAR"),($H464/1000)+0.2,IF(AND($H464&lt;&gt;"",$I464="PVC",$N464="MND",$Q464="EMBOQUE"),0,IF(AND($H464&lt;&gt;"",$I464="PEAD",$N464="VCA",$Q464="PREDIAL"),0,0)))))),0)</f>
        <v>0.363</v>
      </c>
      <c r="AK464" s="153" t="n">
        <f aca="false">IF(AA464&lt;&gt;"",AA464,0)</f>
        <v>2.5</v>
      </c>
      <c r="AL464" s="153" t="n">
        <f aca="false">IF(AND($N464="MND",$Q464="EMBOQUE"),$M464,IF(AND($N464="VCA",$Q464="LINEAR"),$M464,IF(AND($N464="VCA",$Q464="PREDIAL"),0,0)))</f>
        <v>117.53</v>
      </c>
      <c r="AM464" s="153" t="n">
        <f aca="false">IF(AND($N464="MND",$Q464="EMBOQUE"),$M464,IF(AND($N464="VCA",$Q464="LINEAR"),$M464,IF(AND($N464="VCA",$Q464="PREDIAL"),0,0)))</f>
        <v>117.53</v>
      </c>
      <c r="AN464" s="153" t="n">
        <f aca="false">ROUND(IF(AND($N464="VCA",$M464&lt;&gt;"",$Q464="LINEAR"),$M464/100,IF(AND($N464="MND",$M464&gt;100,$Q464="EMBOQUE"),$M464/100,0)),0)</f>
        <v>1</v>
      </c>
      <c r="AO464" s="153" t="n">
        <f aca="false">IF(AND($N464="MND",$Q464="EMBOQUE"),$AN464*2*2,IF(AND($N464="VCA",$Q464="LINEAR"),$M464*2,IF(AND($N464="VCA",$Q464="PREDIAL"),0,0)))</f>
        <v>235.06</v>
      </c>
      <c r="AP464" s="153" t="n">
        <f aca="false">IFERROR($M464*$AF464*$AG464,0)</f>
        <v>104.1257035</v>
      </c>
      <c r="AQ464" s="153" t="n">
        <f aca="false">IFERROR(IF(AND($N464="VCA",$AH464&gt;0),$M464*$AG464*$AH464,0),0)</f>
        <v>7.63945</v>
      </c>
      <c r="AR464" s="153" t="n">
        <f aca="false">IFERROR(IF(AND($N464="VCA",$AJ464&gt;0),($M464*$AG464*$AJ464)-$AI464,0),0)</f>
        <v>27.3648336586541</v>
      </c>
      <c r="AS464" s="153" t="n">
        <f aca="false">IFERROR(IF(AND($N464="VCA",$AP464&gt;0),$AP464-$AI464-$AQ464-$AR464,0),0)</f>
        <v>68.75505</v>
      </c>
      <c r="AT464" s="153" t="n">
        <f aca="false">IFERROR(IF($N464="VCA",INDEX(APOIO_REDES!$A:$W,MATCH($C464&amp;$I464&amp;$H464&amp;$N464&amp;$O464,APOIO_REDES!$W:$W,0),MATCH(AT$5,APOIO_REDES!$5:$5,0)),0)*$AP464,0)</f>
        <v>1.13291847371505</v>
      </c>
      <c r="AU464" s="153" t="n">
        <f aca="false">IFERROR(IF($N464="VCA",INDEX(APOIO_REDES!$A:$W,MATCH($C464&amp;$I464&amp;$H464&amp;$N464&amp;$O464,APOIO_REDES!$W:$W,0),MATCH(AU$5,APOIO_REDES!$5:$5,0)),0)*$AP464,0)</f>
        <v>0.904718009785297</v>
      </c>
      <c r="AV464" s="153" t="n">
        <f aca="false">IFERROR(IF($N464="VCA",INDEX(APOIO_REDES!$A:$W,MATCH($C464&amp;$I464&amp;$H464&amp;$N464&amp;$O464,APOIO_REDES!$W:$W,0),MATCH(AV$5,APOIO_REDES!$5:$5,0)),0)*$AP464,0)</f>
        <v>0.12520587023944</v>
      </c>
      <c r="AW464" s="153" t="n">
        <f aca="false">IFERROR(IF($N464="VCA",INDEX(APOIO_REDES!$A:$W,MATCH($C464&amp;$I464&amp;$H464&amp;$N464&amp;$O464,APOIO_REDES!$W:$W,0),MATCH(AW$5,APOIO_REDES!$5:$5,0)),0)*$AP464,0)</f>
        <v>71.4726896877209</v>
      </c>
      <c r="AX464" s="153" t="n">
        <f aca="false">IFERROR(IF($N464="VCA",INDEX(APOIO_REDES!$A:$W,MATCH($C464&amp;$I464&amp;$H464&amp;$N464&amp;$O464,APOIO_REDES!$W:$W,0),MATCH(AX$5,APOIO_REDES!$5:$5,0)),0)*$AP464,0)</f>
        <v>9.89161665897018</v>
      </c>
      <c r="AY464" s="153" t="n">
        <f aca="false">IFERROR(IF($N464="VCA",INDEX(APOIO_REDES!$A:$W,MATCH($C464&amp;$I464&amp;$H464&amp;$N464&amp;$O464,APOIO_REDES!$W:$W,0),MATCH(AY$5,APOIO_REDES!$5:$5,0)),0)*$AP464,0)</f>
        <v>18.0943491672667</v>
      </c>
      <c r="AZ464" s="153" t="n">
        <f aca="false">IFERROR(IF($N464="VCA",INDEX(APOIO_REDES!$A:$W,MATCH($C464&amp;$I464&amp;$H464&amp;$N464&amp;$O464,APOIO_REDES!$W:$W,0),MATCH(AZ$5,APOIO_REDES!$5:$5,0)),0)*$AP464,0)</f>
        <v>2.50420563230241</v>
      </c>
      <c r="BA464" s="153" t="n">
        <f aca="false">IFERROR(IF(AND($N464="VCA",$Q464="LINEAR"),INDEX(APOIO_REDES!$A:$W,MATCH($C464&amp;$I464&amp;$H464&amp;$N464&amp;$O464,APOIO_REDES!$W:$W,0),MATCH(BA$5,APOIO_REDES!$5:$5,0)),IF(AND($N464="MND",$Q464="EMBOQUE"),INDEX(APOIO_REDES!$A:$W,MATCH($C464&amp;$I464&amp;$H464&amp;$N464&amp;$O464,APOIO_REDES!$W:$W,0),MATCH(BA$5,APOIO_REDES!$5:$5,0)),0))*$M464/10,0)</f>
        <v>9.47262153995158</v>
      </c>
      <c r="BB464" s="153" t="n">
        <f aca="false">IFERROR(IF($N464="VCA",INDEX(APOIO_REDES!$A:$W,MATCH($C464&amp;$I464&amp;$H464&amp;$N464&amp;$O464,APOIO_REDES!$W:$W,0),MATCH(BB$5,APOIO_REDES!$5:$5,0)),0)*($AI464+$AQ464+$AR464),0)</f>
        <v>34.985810320741</v>
      </c>
      <c r="BC464" s="153" t="n">
        <f aca="false">IFERROR(IF($N464="VCA",INDEX(APOIO_REDES!$A:$W,MATCH($C464&amp;$I464&amp;$H464&amp;$N464&amp;$O464,APOIO_REDES!$W:$W,0),MATCH(BC$5,APOIO_REDES!$5:$5,0)),0)*($AI464+$AQ464+$AR464),0)</f>
        <v>0.384843179259038</v>
      </c>
      <c r="BD464" s="153" t="n">
        <f aca="false">IF(AND($N464="VCA",$AF464&gt;=1.25,$AF464&lt;1.5),$M464*$AF464*2,0)</f>
        <v>320.38678</v>
      </c>
      <c r="BE464" s="153" t="n">
        <f aca="false">IF(AND($N464="VCA",$AF464&gt;=1.5,$AF464&lt;3),$M464*$AF464*2,0)</f>
        <v>0</v>
      </c>
      <c r="BF464" s="153" t="n">
        <f aca="false">IF(AND($N464="VCA",$AF464&gt;=3),$M464*$AF464*2,0)</f>
        <v>0</v>
      </c>
      <c r="BG464" s="153" t="n">
        <f aca="false">($BB464+$BC464)*$AK464</f>
        <v>88.42663375</v>
      </c>
      <c r="BH464" s="153" t="n">
        <f aca="false">IF(AND($M464&lt;&gt;"",$N464="VCA",$Q464="LINEAR"),($M464*2)/100,IF(AND($M464&lt;&gt;"",$N464="MND",$Q464="EMBOQUE"),($AN464*2)/100,0))</f>
        <v>2.3506</v>
      </c>
      <c r="BI464" s="153" t="n">
        <f aca="false">IF(AND($M464&lt;&gt;"",$N464="VCA",$Q464="LINEAR"),$M464,IF(AND($M464&lt;&gt;"",$N464="MND",$Q464="EMBOQUE"),$AN464*2,0))</f>
        <v>117.53</v>
      </c>
      <c r="BJ464" s="153" t="n">
        <f aca="false">IF(AND($M464&lt;&gt;"",$N464="VCA",$Q464="LINEAR"),($M464*6.8)/100,IF(AND($M464&lt;&gt;"",$N464="MND",$Q464="EMBOQUE"),($AN464*2*6.8)/100,0))</f>
        <v>7.99204</v>
      </c>
      <c r="BK464" s="153" t="n">
        <f aca="false">IF(AND($M464&lt;&gt;"",$N464="VCA",$Q464="LINEAR"),($M464*2.5)/50,IF(AND($M464&lt;&gt;"",$N464="MND",$Q464="EMBOQUE"),($AN464*2*2.5)/50,0))</f>
        <v>5.8765</v>
      </c>
      <c r="BL464" s="157" t="str">
        <f aca="false">K464&amp;J464</f>
        <v>Zona04REDES</v>
      </c>
      <c r="BM464" s="152" t="s">
        <v>2969</v>
      </c>
      <c r="BN464" s="152" t="s">
        <v>1560</v>
      </c>
      <c r="BO464" s="152" t="s">
        <v>1982</v>
      </c>
      <c r="BP464" s="152" t="s">
        <v>3256</v>
      </c>
      <c r="BQ464" s="152" t="s">
        <v>3300</v>
      </c>
      <c r="BR464" s="152" t="s">
        <v>3301</v>
      </c>
      <c r="BS464" s="152" t="n">
        <v>203303.269</v>
      </c>
      <c r="BT464" s="152" t="n">
        <v>8238215.787</v>
      </c>
      <c r="BU464" s="152" t="n">
        <v>203380.545</v>
      </c>
      <c r="BV464" s="152" t="n">
        <v>8238132.636</v>
      </c>
      <c r="BW464" s="152" t="n">
        <v>-15.9179303</v>
      </c>
      <c r="BX464" s="152" t="n">
        <v>-47.77067</v>
      </c>
      <c r="BY464" s="152" t="s">
        <v>3300</v>
      </c>
    </row>
    <row r="465" customFormat="false" ht="13.8" hidden="false" customHeight="false" outlineLevel="0" collapsed="false">
      <c r="A465" s="149" t="n">
        <f aca="false">IF(C465&lt;&gt;"",ROW(A460),"")</f>
        <v>460</v>
      </c>
      <c r="B465" s="150" t="str">
        <f aca="false">HYPERLINK("https://www.google.com/maps/dir/-15.917302,-47.760003/-15.9179960,-47.7682524/data=!4m3!4m2!3e0!5i0")</f>
        <v>https://www.google.com/maps/dir/-15.917302,-47.760003/-15.9179960,-47.7682524/data=!4m3!4m2!3e0!5i0</v>
      </c>
      <c r="C465" s="151" t="s">
        <v>117</v>
      </c>
      <c r="D465" s="152" t="s">
        <v>112</v>
      </c>
      <c r="E465" s="152" t="s">
        <v>113</v>
      </c>
      <c r="F465" s="152" t="s">
        <v>117</v>
      </c>
      <c r="G465" s="152" t="s">
        <v>782</v>
      </c>
      <c r="H465" s="152" t="n">
        <v>63</v>
      </c>
      <c r="I465" s="152" t="s">
        <v>115</v>
      </c>
      <c r="J465" s="152" t="s">
        <v>6</v>
      </c>
      <c r="K465" s="152" t="s">
        <v>2966</v>
      </c>
      <c r="L465" s="152" t="s">
        <v>120</v>
      </c>
      <c r="M465" s="153" t="n">
        <f aca="false">93.68+4.46</f>
        <v>98.14</v>
      </c>
      <c r="N465" s="152" t="s">
        <v>1548</v>
      </c>
      <c r="O465" s="152" t="s">
        <v>1549</v>
      </c>
      <c r="P465" s="152" t="s">
        <v>1550</v>
      </c>
      <c r="Q465" s="152" t="s">
        <v>1551</v>
      </c>
      <c r="R465" s="154" t="s">
        <v>3302</v>
      </c>
      <c r="S465" s="154" t="s">
        <v>1553</v>
      </c>
      <c r="T465" s="155" t="s">
        <v>1979</v>
      </c>
      <c r="U465" s="152" t="str">
        <f aca="false">RIGHT(T465,7)</f>
        <v>006/037</v>
      </c>
      <c r="V465" s="152" t="s">
        <v>1555</v>
      </c>
      <c r="W465" s="156" t="n">
        <v>45882</v>
      </c>
      <c r="X465" s="152" t="s">
        <v>1594</v>
      </c>
      <c r="Y465" s="152" t="s">
        <v>3251</v>
      </c>
      <c r="Z465" s="152" t="s">
        <v>1557</v>
      </c>
      <c r="AA465" s="153" t="n">
        <v>2.4</v>
      </c>
      <c r="AB465" s="151" t="s">
        <v>3303</v>
      </c>
      <c r="AC465" s="151" t="s">
        <v>186</v>
      </c>
      <c r="AD465" s="151" t="str">
        <f aca="false">CONCATENATE($C465,$I465,$H465,$N465,$J465,$K465)</f>
        <v>TUBO PEADPEAD63VCAREDESZona04</v>
      </c>
      <c r="AE465" s="153" t="n">
        <f aca="false">IFERROR(INDEX(APOIO_REDES!$A:$W,MATCH($C465&amp;$I465&amp;$H465&amp;$N465&amp;$O465,APOIO_REDES!$W:$W,0),MATCH(AE$5,APOIO_REDES!$5:$5,0)),0)</f>
        <v>1.2</v>
      </c>
      <c r="AF465" s="153" t="n">
        <f aca="false">IFERROR(INDEX(APOIO_REDES!$A:$W,MATCH($C465&amp;$I465&amp;$H465&amp;$N465&amp;$O465,APOIO_REDES!$W:$W,0),MATCH(AF$5,APOIO_REDES!$5:$5,0)),0)</f>
        <v>1.363</v>
      </c>
      <c r="AG465" s="153" t="n">
        <f aca="false">IFERROR(INDEX(APOIO_REDES!$A:$W,MATCH($C465&amp;$I465&amp;$H465&amp;$N465&amp;$O465,APOIO_REDES!$W:$W,0),MATCH(AG$5,APOIO_REDES!$5:$5,0)),0)</f>
        <v>0.65</v>
      </c>
      <c r="AH465" s="153" t="n">
        <f aca="false">IFERROR(INDEX(APOIO_REDES!$A:$W,MATCH($C465&amp;$I465&amp;$H465&amp;$N465&amp;$O465,APOIO_REDES!$W:$W,0),MATCH(AH$5,APOIO_REDES!$5:$5,0)),0)</f>
        <v>0.1</v>
      </c>
      <c r="AI465" s="153" t="n">
        <f aca="false">IFERROR(IF($H465&lt;&gt;"",(((($H465/1000)/2)^2)*PI()*$M465),0),0)</f>
        <v>0.305926454774872</v>
      </c>
      <c r="AJ465" s="153" t="n">
        <f aca="false">IFERROR(IF(AND($H465&lt;&gt;"",$I465="FoFo",OR($N465="MND",$N465="VCA"),$Q465="LINEAR"),0,IF(AND($H465&lt;&gt;"",$I465="PEAD",$N465="VCA",$Q465="LINEAR"),($H465/1000)+0.3,IF(AND($H465&lt;&gt;"",$I465="PEAD",$N465="MND",$Q465="EMBOQUE"),0,IF(AND($H465&lt;&gt;"",$I465="PVC",$N465="VCA",$Q465="LINEAR"),($H465/1000)+0.2,IF(AND($H465&lt;&gt;"",$I465="PVC",$N465="MND",$Q465="EMBOQUE"),0,IF(AND($H465&lt;&gt;"",$I465="PEAD",$N465="VCA",$Q465="PREDIAL"),0,0)))))),0)</f>
        <v>0.363</v>
      </c>
      <c r="AK465" s="153" t="n">
        <f aca="false">IF(AA465&lt;&gt;"",AA465,0)</f>
        <v>2.4</v>
      </c>
      <c r="AL465" s="153" t="n">
        <f aca="false">IF(AND($N465="MND",$Q465="EMBOQUE"),$M465,IF(AND($N465="VCA",$Q465="LINEAR"),$M465,IF(AND($N465="VCA",$Q465="PREDIAL"),0,0)))</f>
        <v>98.14</v>
      </c>
      <c r="AM465" s="153" t="n">
        <f aca="false">IF(AND($N465="MND",$Q465="EMBOQUE"),$M465,IF(AND($N465="VCA",$Q465="LINEAR"),$M465,IF(AND($N465="VCA",$Q465="PREDIAL"),0,0)))</f>
        <v>98.14</v>
      </c>
      <c r="AN465" s="153" t="n">
        <f aca="false">ROUND(IF(AND($N465="VCA",$M465&lt;&gt;"",$Q465="LINEAR"),$M465/100,IF(AND($N465="MND",$M465&gt;100,$Q465="EMBOQUE"),$M465/100,0)),0)</f>
        <v>1</v>
      </c>
      <c r="AO465" s="153" t="n">
        <f aca="false">IF(AND($N465="MND",$Q465="EMBOQUE"),$AN465*2*2,IF(AND($N465="VCA",$Q465="LINEAR"),$M465*2,IF(AND($N465="VCA",$Q465="PREDIAL"),0,0)))</f>
        <v>196.28</v>
      </c>
      <c r="AP465" s="153" t="n">
        <f aca="false">IFERROR($M465*$AF465*$AG465,0)</f>
        <v>86.947133</v>
      </c>
      <c r="AQ465" s="153" t="n">
        <f aca="false">IFERROR(IF(AND($N465="VCA",$AH465&gt;0),$M465*$AG465*$AH465,0),0)</f>
        <v>6.3791</v>
      </c>
      <c r="AR465" s="153" t="n">
        <f aca="false">IFERROR(IF(AND($N465="VCA",$AJ465&gt;0),($M465*$AG465*$AJ465)-$AI465,0),0)</f>
        <v>22.8502065452251</v>
      </c>
      <c r="AS465" s="153" t="n">
        <f aca="false">IFERROR(IF(AND($N465="VCA",$AP465&gt;0),$AP465-$AI465-$AQ465-$AR465,0),0)</f>
        <v>57.4119</v>
      </c>
      <c r="AT465" s="153" t="n">
        <f aca="false">IFERROR(IF($N465="VCA",INDEX(APOIO_REDES!$A:$W,MATCH($C465&amp;$I465&amp;$H465&amp;$N465&amp;$O465,APOIO_REDES!$W:$W,0),MATCH(AT$5,APOIO_REDES!$5:$5,0)),0)*$AP465,0)</f>
        <v>0.946010542077726</v>
      </c>
      <c r="AU465" s="153" t="n">
        <f aca="false">IFERROR(IF($N465="VCA",INDEX(APOIO_REDES!$A:$W,MATCH($C465&amp;$I465&amp;$H465&amp;$N465&amp;$O465,APOIO_REDES!$W:$W,0),MATCH(AU$5,APOIO_REDES!$5:$5,0)),0)*$AP465,0)</f>
        <v>0.755458397688497</v>
      </c>
      <c r="AV465" s="153" t="n">
        <f aca="false">IFERROR(IF($N465="VCA",INDEX(APOIO_REDES!$A:$W,MATCH($C465&amp;$I465&amp;$H465&amp;$N465&amp;$O465,APOIO_REDES!$W:$W,0),MATCH(AV$5,APOIO_REDES!$5:$5,0)),0)*$AP465,0)</f>
        <v>0.104549511659139</v>
      </c>
      <c r="AW465" s="153" t="n">
        <f aca="false">IFERROR(IF($N465="VCA",INDEX(APOIO_REDES!$A:$W,MATCH($C465&amp;$I465&amp;$H465&amp;$N465&amp;$O465,APOIO_REDES!$W:$W,0),MATCH(AW$5,APOIO_REDES!$5:$5,0)),0)*$AP465,0)</f>
        <v>59.6811857904614</v>
      </c>
      <c r="AX465" s="153" t="n">
        <f aca="false">IFERROR(IF($N465="VCA",INDEX(APOIO_REDES!$A:$W,MATCH($C465&amp;$I465&amp;$H465&amp;$N465&amp;$O465,APOIO_REDES!$W:$W,0),MATCH(AX$5,APOIO_REDES!$5:$5,0)),0)*$AP465,0)</f>
        <v>8.25970610832412</v>
      </c>
      <c r="AY465" s="153" t="n">
        <f aca="false">IFERROR(IF($N465="VCA",INDEX(APOIO_REDES!$A:$W,MATCH($C465&amp;$I465&amp;$H465&amp;$N465&amp;$O465,APOIO_REDES!$W:$W,0),MATCH(AY$5,APOIO_REDES!$5:$5,0)),0)*$AP465,0)</f>
        <v>15.1091587447933</v>
      </c>
      <c r="AZ465" s="153" t="n">
        <f aca="false">IFERROR(IF($N465="VCA",INDEX(APOIO_REDES!$A:$W,MATCH($C465&amp;$I465&amp;$H465&amp;$N465&amp;$O465,APOIO_REDES!$W:$W,0),MATCH(AZ$5,APOIO_REDES!$5:$5,0)),0)*$AP465,0)</f>
        <v>2.09106390499581</v>
      </c>
      <c r="BA465" s="153" t="n">
        <f aca="false">IFERROR(IF(AND($N465="VCA",$Q465="LINEAR"),INDEX(APOIO_REDES!$A:$W,MATCH($C465&amp;$I465&amp;$H465&amp;$N465&amp;$O465,APOIO_REDES!$W:$W,0),MATCH(BA$5,APOIO_REDES!$5:$5,0)),IF(AND($N465="MND",$Q465="EMBOQUE"),INDEX(APOIO_REDES!$A:$W,MATCH($C465&amp;$I465&amp;$H465&amp;$N465&amp;$O465,APOIO_REDES!$W:$W,0),MATCH(BA$5,APOIO_REDES!$5:$5,0)),0))*$M465/10,0)</f>
        <v>7.90983644967964</v>
      </c>
      <c r="BB465" s="153" t="n">
        <f aca="false">IFERROR(IF($N465="VCA",INDEX(APOIO_REDES!$A:$W,MATCH($C465&amp;$I465&amp;$H465&amp;$N465&amp;$O465,APOIO_REDES!$W:$W,0),MATCH(BB$5,APOIO_REDES!$5:$5,0)),0)*($AI465+$AQ465+$AR465),0)</f>
        <v>29.2138809229773</v>
      </c>
      <c r="BC465" s="153" t="n">
        <f aca="false">IFERROR(IF($N465="VCA",INDEX(APOIO_REDES!$A:$W,MATCH($C465&amp;$I465&amp;$H465&amp;$N465&amp;$O465,APOIO_REDES!$W:$W,0),MATCH(BC$5,APOIO_REDES!$5:$5,0)),0)*($AI465+$AQ465+$AR465),0)</f>
        <v>0.321352077022734</v>
      </c>
      <c r="BD465" s="153" t="n">
        <f aca="false">IF(AND($N465="VCA",$AF465&gt;=1.25,$AF465&lt;1.5),$M465*$AF465*2,0)</f>
        <v>267.52964</v>
      </c>
      <c r="BE465" s="153" t="n">
        <f aca="false">IF(AND($N465="VCA",$AF465&gt;=1.5,$AF465&lt;3),$M465*$AF465*2,0)</f>
        <v>0</v>
      </c>
      <c r="BF465" s="153" t="n">
        <f aca="false">IF(AND($N465="VCA",$AF465&gt;=3),$M465*$AF465*2,0)</f>
        <v>0</v>
      </c>
      <c r="BG465" s="153" t="n">
        <f aca="false">($BB465+$BC465)*$AK465</f>
        <v>70.8845592</v>
      </c>
      <c r="BH465" s="153" t="n">
        <f aca="false">IF(AND($M465&lt;&gt;"",$N465="VCA",$Q465="LINEAR"),($M465*2)/100,IF(AND($M465&lt;&gt;"",$N465="MND",$Q465="EMBOQUE"),($AN465*2)/100,0))</f>
        <v>1.9628</v>
      </c>
      <c r="BI465" s="153" t="n">
        <f aca="false">IF(AND($M465&lt;&gt;"",$N465="VCA",$Q465="LINEAR"),$M465,IF(AND($M465&lt;&gt;"",$N465="MND",$Q465="EMBOQUE"),$AN465*2,0))</f>
        <v>98.14</v>
      </c>
      <c r="BJ465" s="153" t="n">
        <f aca="false">IF(AND($M465&lt;&gt;"",$N465="VCA",$Q465="LINEAR"),($M465*6.8)/100,IF(AND($M465&lt;&gt;"",$N465="MND",$Q465="EMBOQUE"),($AN465*2*6.8)/100,0))</f>
        <v>6.67352</v>
      </c>
      <c r="BK465" s="153" t="n">
        <f aca="false">IF(AND($M465&lt;&gt;"",$N465="VCA",$Q465="LINEAR"),($M465*2.5)/50,IF(AND($M465&lt;&gt;"",$N465="MND",$Q465="EMBOQUE"),($AN465*2*2.5)/50,0))</f>
        <v>4.907</v>
      </c>
      <c r="BL465" s="157" t="str">
        <f aca="false">K465&amp;J465</f>
        <v>Zona04REDES</v>
      </c>
      <c r="BM465" s="152" t="s">
        <v>2969</v>
      </c>
      <c r="BN465" s="152" t="s">
        <v>1560</v>
      </c>
      <c r="BO465" s="152" t="s">
        <v>1982</v>
      </c>
      <c r="BP465" s="152" t="s">
        <v>3282</v>
      </c>
      <c r="BQ465" s="152" t="s">
        <v>3304</v>
      </c>
      <c r="BR465" s="152" t="s">
        <v>3305</v>
      </c>
      <c r="BS465" s="152" t="n">
        <v>203601.19</v>
      </c>
      <c r="BT465" s="152" t="n">
        <v>8238170.53</v>
      </c>
      <c r="BU465" s="152" t="n">
        <v>203508.255</v>
      </c>
      <c r="BV465" s="152" t="n">
        <v>8238158.712</v>
      </c>
      <c r="BW465" s="152" t="n">
        <v>-15.9180437</v>
      </c>
      <c r="BX465" s="152" t="n">
        <v>-47.7686867</v>
      </c>
      <c r="BY465" s="152" t="s">
        <v>3282</v>
      </c>
    </row>
    <row r="466" customFormat="false" ht="13.8" hidden="false" customHeight="false" outlineLevel="0" collapsed="false">
      <c r="A466" s="149" t="n">
        <f aca="false">IF(C466&lt;&gt;"",ROW(A461),"")</f>
        <v>461</v>
      </c>
      <c r="B466" s="150" t="str">
        <f aca="false">HYPERLINK("https://www.google.com/maps/dir/-15.917302,-47.760003/-15.9184104,-47.7681714/data=!4m3!4m2!3e0!5i0")</f>
        <v>https://www.google.com/maps/dir/-15.917302,-47.760003/-15.9184104,-47.7681714/data=!4m3!4m2!3e0!5i0</v>
      </c>
      <c r="C466" s="151" t="s">
        <v>117</v>
      </c>
      <c r="D466" s="152" t="s">
        <v>112</v>
      </c>
      <c r="E466" s="152" t="s">
        <v>113</v>
      </c>
      <c r="F466" s="152" t="s">
        <v>117</v>
      </c>
      <c r="G466" s="152" t="s">
        <v>782</v>
      </c>
      <c r="H466" s="152" t="n">
        <v>63</v>
      </c>
      <c r="I466" s="152" t="s">
        <v>115</v>
      </c>
      <c r="J466" s="152" t="s">
        <v>6</v>
      </c>
      <c r="K466" s="152" t="s">
        <v>2966</v>
      </c>
      <c r="L466" s="152" t="s">
        <v>120</v>
      </c>
      <c r="M466" s="153" t="n">
        <f aca="false">104.69+0.07</f>
        <v>104.76</v>
      </c>
      <c r="N466" s="152" t="s">
        <v>1548</v>
      </c>
      <c r="O466" s="152" t="s">
        <v>1549</v>
      </c>
      <c r="P466" s="152" t="s">
        <v>1550</v>
      </c>
      <c r="Q466" s="152" t="s">
        <v>1551</v>
      </c>
      <c r="R466" s="154" t="s">
        <v>3306</v>
      </c>
      <c r="S466" s="154" t="s">
        <v>1553</v>
      </c>
      <c r="T466" s="155" t="s">
        <v>1979</v>
      </c>
      <c r="U466" s="152" t="str">
        <f aca="false">RIGHT(T466,7)</f>
        <v>006/037</v>
      </c>
      <c r="V466" s="152" t="s">
        <v>1555</v>
      </c>
      <c r="W466" s="156" t="n">
        <v>45882</v>
      </c>
      <c r="X466" s="152" t="s">
        <v>1594</v>
      </c>
      <c r="Y466" s="152" t="s">
        <v>3251</v>
      </c>
      <c r="Z466" s="152" t="s">
        <v>1557</v>
      </c>
      <c r="AA466" s="153" t="n">
        <v>2.5</v>
      </c>
      <c r="AB466" s="151" t="s">
        <v>3307</v>
      </c>
      <c r="AC466" s="151" t="s">
        <v>186</v>
      </c>
      <c r="AD466" s="151" t="str">
        <f aca="false">CONCATENATE($C466,$I466,$H466,$N466,$J466,$K466)</f>
        <v>TUBO PEADPEAD63VCAREDESZona04</v>
      </c>
      <c r="AE466" s="153" t="n">
        <f aca="false">IFERROR(INDEX(APOIO_REDES!$A:$W,MATCH($C466&amp;$I466&amp;$H466&amp;$N466&amp;$O466,APOIO_REDES!$W:$W,0),MATCH(AE$5,APOIO_REDES!$5:$5,0)),0)</f>
        <v>1.2</v>
      </c>
      <c r="AF466" s="153" t="n">
        <f aca="false">IFERROR(INDEX(APOIO_REDES!$A:$W,MATCH($C466&amp;$I466&amp;$H466&amp;$N466&amp;$O466,APOIO_REDES!$W:$W,0),MATCH(AF$5,APOIO_REDES!$5:$5,0)),0)</f>
        <v>1.363</v>
      </c>
      <c r="AG466" s="153" t="n">
        <f aca="false">IFERROR(INDEX(APOIO_REDES!$A:$W,MATCH($C466&amp;$I466&amp;$H466&amp;$N466&amp;$O466,APOIO_REDES!$W:$W,0),MATCH(AG$5,APOIO_REDES!$5:$5,0)),0)</f>
        <v>0.65</v>
      </c>
      <c r="AH466" s="153" t="n">
        <f aca="false">IFERROR(INDEX(APOIO_REDES!$A:$W,MATCH($C466&amp;$I466&amp;$H466&amp;$N466&amp;$O466,APOIO_REDES!$W:$W,0),MATCH(AH$5,APOIO_REDES!$5:$5,0)),0)</f>
        <v>0.1</v>
      </c>
      <c r="AI466" s="153" t="n">
        <f aca="false">IFERROR(IF($H466&lt;&gt;"",(((($H466/1000)/2)^2)*PI()*$M466),0),0)</f>
        <v>0.326562618730544</v>
      </c>
      <c r="AJ466" s="153" t="n">
        <f aca="false">IFERROR(IF(AND($H466&lt;&gt;"",$I466="FoFo",OR($N466="MND",$N466="VCA"),$Q466="LINEAR"),0,IF(AND($H466&lt;&gt;"",$I466="PEAD",$N466="VCA",$Q466="LINEAR"),($H466/1000)+0.3,IF(AND($H466&lt;&gt;"",$I466="PEAD",$N466="MND",$Q466="EMBOQUE"),0,IF(AND($H466&lt;&gt;"",$I466="PVC",$N466="VCA",$Q466="LINEAR"),($H466/1000)+0.2,IF(AND($H466&lt;&gt;"",$I466="PVC",$N466="MND",$Q466="EMBOQUE"),0,IF(AND($H466&lt;&gt;"",$I466="PEAD",$N466="VCA",$Q466="PREDIAL"),0,0)))))),0)</f>
        <v>0.363</v>
      </c>
      <c r="AK466" s="153" t="n">
        <f aca="false">IF(AA466&lt;&gt;"",AA466,0)</f>
        <v>2.5</v>
      </c>
      <c r="AL466" s="153" t="n">
        <f aca="false">IF(AND($N466="MND",$Q466="EMBOQUE"),$M466,IF(AND($N466="VCA",$Q466="LINEAR"),$M466,IF(AND($N466="VCA",$Q466="PREDIAL"),0,0)))</f>
        <v>104.76</v>
      </c>
      <c r="AM466" s="153" t="n">
        <f aca="false">IF(AND($N466="MND",$Q466="EMBOQUE"),$M466,IF(AND($N466="VCA",$Q466="LINEAR"),$M466,IF(AND($N466="VCA",$Q466="PREDIAL"),0,0)))</f>
        <v>104.76</v>
      </c>
      <c r="AN466" s="153" t="n">
        <f aca="false">ROUND(IF(AND($N466="VCA",$M466&lt;&gt;"",$Q466="LINEAR"),$M466/100,IF(AND($N466="MND",$M466&gt;100,$Q466="EMBOQUE"),$M466/100,0)),0)</f>
        <v>1</v>
      </c>
      <c r="AO466" s="153" t="n">
        <f aca="false">IF(AND($N466="MND",$Q466="EMBOQUE"),$AN466*2*2,IF(AND($N466="VCA",$Q466="LINEAR"),$M466*2,IF(AND($N466="VCA",$Q466="PREDIAL"),0,0)))</f>
        <v>209.52</v>
      </c>
      <c r="AP466" s="153" t="n">
        <f aca="false">IFERROR($M466*$AF466*$AG466,0)</f>
        <v>92.812122</v>
      </c>
      <c r="AQ466" s="153" t="n">
        <f aca="false">IFERROR(IF(AND($N466="VCA",$AH466&gt;0),$M466*$AG466*$AH466,0),0)</f>
        <v>6.8094</v>
      </c>
      <c r="AR466" s="153" t="n">
        <f aca="false">IFERROR(IF(AND($N466="VCA",$AJ466&gt;0),($M466*$AG466*$AJ466)-$AI466,0),0)</f>
        <v>24.3915593812695</v>
      </c>
      <c r="AS466" s="153" t="n">
        <f aca="false">IFERROR(IF(AND($N466="VCA",$AP466&gt;0),$AP466-$AI466-$AQ466-$AR466,0),0)</f>
        <v>61.2846</v>
      </c>
      <c r="AT466" s="153" t="n">
        <f aca="false">IFERROR(IF($N466="VCA",INDEX(APOIO_REDES!$A:$W,MATCH($C466&amp;$I466&amp;$H466&amp;$N466&amp;$O466,APOIO_REDES!$W:$W,0),MATCH(AT$5,APOIO_REDES!$5:$5,0)),0)*$AP466,0)</f>
        <v>1.00982335834586</v>
      </c>
      <c r="AU466" s="153" t="n">
        <f aca="false">IFERROR(IF($N466="VCA",INDEX(APOIO_REDES!$A:$W,MATCH($C466&amp;$I466&amp;$H466&amp;$N466&amp;$O466,APOIO_REDES!$W:$W,0),MATCH(AU$5,APOIO_REDES!$5:$5,0)),0)*$AP466,0)</f>
        <v>0.806417584489983</v>
      </c>
      <c r="AV466" s="153" t="n">
        <f aca="false">IFERROR(IF($N466="VCA",INDEX(APOIO_REDES!$A:$W,MATCH($C466&amp;$I466&amp;$H466&amp;$N466&amp;$O466,APOIO_REDES!$W:$W,0),MATCH(AV$5,APOIO_REDES!$5:$5,0)),0)*$AP466,0)</f>
        <v>0.111601863067164</v>
      </c>
      <c r="AW466" s="153" t="n">
        <f aca="false">IFERROR(IF($N466="VCA",INDEX(APOIO_REDES!$A:$W,MATCH($C466&amp;$I466&amp;$H466&amp;$N466&amp;$O466,APOIO_REDES!$W:$W,0),MATCH(AW$5,APOIO_REDES!$5:$5,0)),0)*$AP466,0)</f>
        <v>63.7069596842137</v>
      </c>
      <c r="AX466" s="153" t="n">
        <f aca="false">IFERROR(IF($N466="VCA",INDEX(APOIO_REDES!$A:$W,MATCH($C466&amp;$I466&amp;$H466&amp;$N466&amp;$O466,APOIO_REDES!$W:$W,0),MATCH(AX$5,APOIO_REDES!$5:$5,0)),0)*$AP466,0)</f>
        <v>8.81686174758544</v>
      </c>
      <c r="AY466" s="153" t="n">
        <f aca="false">IFERROR(IF($N466="VCA",INDEX(APOIO_REDES!$A:$W,MATCH($C466&amp;$I466&amp;$H466&amp;$N466&amp;$O466,APOIO_REDES!$W:$W,0),MATCH(AY$5,APOIO_REDES!$5:$5,0)),0)*$AP466,0)</f>
        <v>16.1283418596347</v>
      </c>
      <c r="AZ466" s="153" t="n">
        <f aca="false">IFERROR(IF($N466="VCA",INDEX(APOIO_REDES!$A:$W,MATCH($C466&amp;$I466&amp;$H466&amp;$N466&amp;$O466,APOIO_REDES!$W:$W,0),MATCH(AZ$5,APOIO_REDES!$5:$5,0)),0)*$AP466,0)</f>
        <v>2.23211590266315</v>
      </c>
      <c r="BA466" s="153" t="n">
        <f aca="false">IFERROR(IF(AND($N466="VCA",$Q466="LINEAR"),INDEX(APOIO_REDES!$A:$W,MATCH($C466&amp;$I466&amp;$H466&amp;$N466&amp;$O466,APOIO_REDES!$W:$W,0),MATCH(BA$5,APOIO_REDES!$5:$5,0)),IF(AND($N466="MND",$Q466="EMBOQUE"),INDEX(APOIO_REDES!$A:$W,MATCH($C466&amp;$I466&amp;$H466&amp;$N466&amp;$O466,APOIO_REDES!$W:$W,0),MATCH(BA$5,APOIO_REDES!$5:$5,0)),0))*$M466/10,0)</f>
        <v>8.44339175125778</v>
      </c>
      <c r="BB466" s="153" t="n">
        <f aca="false">IFERROR(IF($N466="VCA",INDEX(APOIO_REDES!$A:$W,MATCH($C466&amp;$I466&amp;$H466&amp;$N466&amp;$O466,APOIO_REDES!$W:$W,0),MATCH(BB$5,APOIO_REDES!$5:$5,0)),0)*($AI466+$AQ466+$AR466),0)</f>
        <v>31.1844932289698</v>
      </c>
      <c r="BC466" s="153" t="n">
        <f aca="false">IFERROR(IF($N466="VCA",INDEX(APOIO_REDES!$A:$W,MATCH($C466&amp;$I466&amp;$H466&amp;$N466&amp;$O466,APOIO_REDES!$W:$W,0),MATCH(BC$5,APOIO_REDES!$5:$5,0)),0)*($AI466+$AQ466+$AR466),0)</f>
        <v>0.343028771030178</v>
      </c>
      <c r="BD466" s="153" t="n">
        <f aca="false">IF(AND($N466="VCA",$AF466&gt;=1.25,$AF466&lt;1.5),$M466*$AF466*2,0)</f>
        <v>285.57576</v>
      </c>
      <c r="BE466" s="153" t="n">
        <f aca="false">IF(AND($N466="VCA",$AF466&gt;=1.5,$AF466&lt;3),$M466*$AF466*2,0)</f>
        <v>0</v>
      </c>
      <c r="BF466" s="153" t="n">
        <f aca="false">IF(AND($N466="VCA",$AF466&gt;=3),$M466*$AF466*2,0)</f>
        <v>0</v>
      </c>
      <c r="BG466" s="153" t="n">
        <f aca="false">($BB466+$BC466)*$AK466</f>
        <v>78.818805</v>
      </c>
      <c r="BH466" s="153" t="n">
        <f aca="false">IF(AND($M466&lt;&gt;"",$N466="VCA",$Q466="LINEAR"),($M466*2)/100,IF(AND($M466&lt;&gt;"",$N466="MND",$Q466="EMBOQUE"),($AN466*2)/100,0))</f>
        <v>2.0952</v>
      </c>
      <c r="BI466" s="153" t="n">
        <f aca="false">IF(AND($M466&lt;&gt;"",$N466="VCA",$Q466="LINEAR"),$M466,IF(AND($M466&lt;&gt;"",$N466="MND",$Q466="EMBOQUE"),$AN466*2,0))</f>
        <v>104.76</v>
      </c>
      <c r="BJ466" s="153" t="n">
        <f aca="false">IF(AND($M466&lt;&gt;"",$N466="VCA",$Q466="LINEAR"),($M466*6.8)/100,IF(AND($M466&lt;&gt;"",$N466="MND",$Q466="EMBOQUE"),($AN466*2*6.8)/100,0))</f>
        <v>7.12368</v>
      </c>
      <c r="BK466" s="153" t="n">
        <f aca="false">IF(AND($M466&lt;&gt;"",$N466="VCA",$Q466="LINEAR"),($M466*2.5)/50,IF(AND($M466&lt;&gt;"",$N466="MND",$Q466="EMBOQUE"),($AN466*2*2.5)/50,0))</f>
        <v>5.238</v>
      </c>
      <c r="BL466" s="157" t="str">
        <f aca="false">K466&amp;J466</f>
        <v>Zona04REDES</v>
      </c>
      <c r="BM466" s="152" t="s">
        <v>2969</v>
      </c>
      <c r="BN466" s="152" t="s">
        <v>1560</v>
      </c>
      <c r="BO466" s="152" t="s">
        <v>1982</v>
      </c>
      <c r="BP466" s="152" t="s">
        <v>3308</v>
      </c>
      <c r="BQ466" s="152" t="s">
        <v>3260</v>
      </c>
      <c r="BR466" s="152" t="s">
        <v>3309</v>
      </c>
      <c r="BS466" s="152" t="n">
        <v>203610.64</v>
      </c>
      <c r="BT466" s="152" t="n">
        <v>8238124.443</v>
      </c>
      <c r="BU466" s="152" t="n">
        <v>203685.305</v>
      </c>
      <c r="BV466" s="152" t="n">
        <v>8238197.096</v>
      </c>
      <c r="BW466" s="152" t="n">
        <v>-15.9181083</v>
      </c>
      <c r="BX466" s="152" t="n">
        <v>-47.7678009</v>
      </c>
      <c r="BY466" s="152" t="s">
        <v>3308</v>
      </c>
    </row>
    <row r="467" customFormat="false" ht="13.8" hidden="false" customHeight="false" outlineLevel="0" collapsed="false">
      <c r="A467" s="149" t="n">
        <f aca="false">IF(C467&lt;&gt;"",ROW(A462),"")</f>
        <v>462</v>
      </c>
      <c r="B467" s="150" t="str">
        <f aca="false">HYPERLINK("https://www.google.com/maps/dir/-15.917302,-47.760003/-15.9179960,-47.7682524/data=!4m3!4m2!3e0!5i0")</f>
        <v>https://www.google.com/maps/dir/-15.917302,-47.760003/-15.9179960,-47.7682524/data=!4m3!4m2!3e0!5i0</v>
      </c>
      <c r="C467" s="151" t="s">
        <v>117</v>
      </c>
      <c r="D467" s="152" t="s">
        <v>112</v>
      </c>
      <c r="E467" s="152" t="s">
        <v>113</v>
      </c>
      <c r="F467" s="152" t="s">
        <v>117</v>
      </c>
      <c r="G467" s="152" t="s">
        <v>114</v>
      </c>
      <c r="H467" s="152" t="n">
        <v>125</v>
      </c>
      <c r="I467" s="152" t="s">
        <v>115</v>
      </c>
      <c r="J467" s="152" t="s">
        <v>6</v>
      </c>
      <c r="K467" s="152" t="s">
        <v>2966</v>
      </c>
      <c r="L467" s="152" t="s">
        <v>120</v>
      </c>
      <c r="M467" s="153" t="n">
        <f aca="false">28.23</f>
        <v>28.23</v>
      </c>
      <c r="N467" s="152" t="s">
        <v>1548</v>
      </c>
      <c r="O467" s="152" t="s">
        <v>1549</v>
      </c>
      <c r="P467" s="152" t="s">
        <v>1550</v>
      </c>
      <c r="Q467" s="152" t="s">
        <v>1551</v>
      </c>
      <c r="R467" s="154" t="s">
        <v>3310</v>
      </c>
      <c r="S467" s="154" t="s">
        <v>1593</v>
      </c>
      <c r="T467" s="155" t="s">
        <v>1979</v>
      </c>
      <c r="U467" s="152" t="str">
        <f aca="false">RIGHT(T467,7)</f>
        <v>006/037</v>
      </c>
      <c r="V467" s="152" t="s">
        <v>1555</v>
      </c>
      <c r="W467" s="156" t="n">
        <v>45882</v>
      </c>
      <c r="X467" s="152" t="s">
        <v>1594</v>
      </c>
      <c r="Y467" s="152" t="s">
        <v>3251</v>
      </c>
      <c r="Z467" s="152" t="s">
        <v>1557</v>
      </c>
      <c r="AA467" s="153" t="n">
        <v>2.4</v>
      </c>
      <c r="AB467" s="151" t="s">
        <v>3311</v>
      </c>
      <c r="AC467" s="151" t="s">
        <v>505</v>
      </c>
      <c r="AD467" s="151" t="str">
        <f aca="false">CONCATENATE($C467,$I467,$H467,$N467,$J467,$K467)</f>
        <v>TUBO PEADPEAD125VCAREDESZona04</v>
      </c>
      <c r="AE467" s="153" t="n">
        <f aca="false">IFERROR(INDEX(APOIO_REDES!$A:$W,MATCH($C467&amp;$I467&amp;$H467&amp;$N467&amp;$O467,APOIO_REDES!$W:$W,0),MATCH(AE$5,APOIO_REDES!$5:$5,0)),0)</f>
        <v>1.2</v>
      </c>
      <c r="AF467" s="153" t="n">
        <f aca="false">IFERROR(INDEX(APOIO_REDES!$A:$W,MATCH($C467&amp;$I467&amp;$H467&amp;$N467&amp;$O467,APOIO_REDES!$W:$W,0),MATCH(AF$5,APOIO_REDES!$5:$5,0)),0)</f>
        <v>1.425</v>
      </c>
      <c r="AG467" s="153" t="n">
        <f aca="false">IFERROR(INDEX(APOIO_REDES!$A:$W,MATCH($C467&amp;$I467&amp;$H467&amp;$N467&amp;$O467,APOIO_REDES!$W:$W,0),MATCH(AG$5,APOIO_REDES!$5:$5,0)),0)</f>
        <v>0.75</v>
      </c>
      <c r="AH467" s="153" t="n">
        <f aca="false">IFERROR(INDEX(APOIO_REDES!$A:$W,MATCH($C467&amp;$I467&amp;$H467&amp;$N467&amp;$O467,APOIO_REDES!$W:$W,0),MATCH(AH$5,APOIO_REDES!$5:$5,0)),0)</f>
        <v>0.1</v>
      </c>
      <c r="AI467" s="153" t="n">
        <f aca="false">IFERROR(IF($H467&lt;&gt;"",(((($H467/1000)/2)^2)*PI()*$M467),0),0)</f>
        <v>0.346434221136093</v>
      </c>
      <c r="AJ467" s="153" t="n">
        <f aca="false">IFERROR(IF(AND($H467&lt;&gt;"",$I467="FoFo",OR($N467="MND",$N467="VCA"),$Q467="LINEAR"),0,IF(AND($H467&lt;&gt;"",$I467="PEAD",$N467="VCA",$Q467="LINEAR"),($H467/1000)+0.3,IF(AND($H467&lt;&gt;"",$I467="PEAD",$N467="MND",$Q467="EMBOQUE"),0,IF(AND($H467&lt;&gt;"",$I467="PVC",$N467="VCA",$Q467="LINEAR"),($H467/1000)+0.2,IF(AND($H467&lt;&gt;"",$I467="PVC",$N467="MND",$Q467="EMBOQUE"),0,IF(AND($H467&lt;&gt;"",$I467="PEAD",$N467="VCA",$Q467="PREDIAL"),0,0)))))),0)</f>
        <v>0.425</v>
      </c>
      <c r="AK467" s="153" t="n">
        <f aca="false">IF(AA467&lt;&gt;"",AA467,0)</f>
        <v>2.4</v>
      </c>
      <c r="AL467" s="153" t="n">
        <f aca="false">IF(AND($N467="MND",$Q467="EMBOQUE"),$M467,IF(AND($N467="VCA",$Q467="LINEAR"),$M467,IF(AND($N467="VCA",$Q467="PREDIAL"),0,0)))</f>
        <v>28.23</v>
      </c>
      <c r="AM467" s="153" t="n">
        <f aca="false">IF(AND($N467="MND",$Q467="EMBOQUE"),$M467,IF(AND($N467="VCA",$Q467="LINEAR"),$M467,IF(AND($N467="VCA",$Q467="PREDIAL"),0,0)))</f>
        <v>28.23</v>
      </c>
      <c r="AN467" s="153" t="n">
        <f aca="false">ROUND(IF(AND($N467="VCA",$M467&lt;&gt;"",$Q467="LINEAR"),$M467/100,IF(AND($N467="MND",$M467&gt;100,$Q467="EMBOQUE"),$M467/100,0)),0)</f>
        <v>0</v>
      </c>
      <c r="AO467" s="153" t="n">
        <f aca="false">IF(AND($N467="MND",$Q467="EMBOQUE"),$AN467*2*2,IF(AND($N467="VCA",$Q467="LINEAR"),$M467*2,IF(AND($N467="VCA",$Q467="PREDIAL"),0,0)))</f>
        <v>56.46</v>
      </c>
      <c r="AP467" s="153" t="n">
        <f aca="false">IFERROR($M467*$AF467*$AG467,0)</f>
        <v>30.1708125</v>
      </c>
      <c r="AQ467" s="153" t="n">
        <f aca="false">IFERROR(IF(AND($N467="VCA",$AH467&gt;0),$M467*$AG467*$AH467,0),0)</f>
        <v>2.11725</v>
      </c>
      <c r="AR467" s="153" t="n">
        <f aca="false">IFERROR(IF(AND($N467="VCA",$AJ467&gt;0),($M467*$AG467*$AJ467)-$AI467,0),0)</f>
        <v>8.65187827886391</v>
      </c>
      <c r="AS467" s="153" t="n">
        <f aca="false">IFERROR(IF(AND($N467="VCA",$AP467&gt;0),$AP467-$AI467-$AQ467-$AR467,0),0)</f>
        <v>19.05525</v>
      </c>
      <c r="AT467" s="153" t="n">
        <f aca="false">IFERROR(IF($N467="VCA",INDEX(APOIO_REDES!$A:$W,MATCH($C467&amp;$I467&amp;$H467&amp;$N467&amp;$O467,APOIO_REDES!$W:$W,0),MATCH(AT$5,APOIO_REDES!$5:$5,0)),0)*$AP467,0)</f>
        <v>0.328267370104664</v>
      </c>
      <c r="AU467" s="153" t="n">
        <f aca="false">IFERROR(IF($N467="VCA",INDEX(APOIO_REDES!$A:$W,MATCH($C467&amp;$I467&amp;$H467&amp;$N467&amp;$O467,APOIO_REDES!$W:$W,0),MATCH(AU$5,APOIO_REDES!$5:$5,0)),0)*$AP467,0)</f>
        <v>0.262145431157691</v>
      </c>
      <c r="AV467" s="153" t="n">
        <f aca="false">IFERROR(IF($N467="VCA",INDEX(APOIO_REDES!$A:$W,MATCH($C467&amp;$I467&amp;$H467&amp;$N467&amp;$O467,APOIO_REDES!$W:$W,0),MATCH(AV$5,APOIO_REDES!$5:$5,0)),0)*$AP467,0)</f>
        <v>0.0362788697499026</v>
      </c>
      <c r="AW467" s="153" t="n">
        <f aca="false">IFERROR(IF($N467="VCA",INDEX(APOIO_REDES!$A:$W,MATCH($C467&amp;$I467&amp;$H467&amp;$N467&amp;$O467,APOIO_REDES!$W:$W,0),MATCH(AW$5,APOIO_REDES!$5:$5,0)),0)*$AP467,0)</f>
        <v>20.7094794748629</v>
      </c>
      <c r="AX467" s="153" t="n">
        <f aca="false">IFERROR(IF($N467="VCA",INDEX(APOIO_REDES!$A:$W,MATCH($C467&amp;$I467&amp;$H467&amp;$N467&amp;$O467,APOIO_REDES!$W:$W,0),MATCH(AX$5,APOIO_REDES!$5:$5,0)),0)*$AP467,0)</f>
        <v>2.86613296725209</v>
      </c>
      <c r="AY467" s="153" t="n">
        <f aca="false">IFERROR(IF($N467="VCA",INDEX(APOIO_REDES!$A:$W,MATCH($C467&amp;$I467&amp;$H467&amp;$N467&amp;$O467,APOIO_REDES!$W:$W,0),MATCH(AY$5,APOIO_REDES!$5:$5,0)),0)*$AP467,0)</f>
        <v>5.24290542762226</v>
      </c>
      <c r="AZ467" s="153" t="n">
        <f aca="false">IFERROR(IF($N467="VCA",INDEX(APOIO_REDES!$A:$W,MATCH($C467&amp;$I467&amp;$H467&amp;$N467&amp;$O467,APOIO_REDES!$W:$W,0),MATCH(AZ$5,APOIO_REDES!$5:$5,0)),0)*$AP467,0)</f>
        <v>0.725602959250497</v>
      </c>
      <c r="BA467" s="153" t="n">
        <f aca="false">IFERROR(IF(AND($N467="VCA",$Q467="LINEAR"),INDEX(APOIO_REDES!$A:$W,MATCH($C467&amp;$I467&amp;$H467&amp;$N467&amp;$O467,APOIO_REDES!$W:$W,0),MATCH(BA$5,APOIO_REDES!$5:$5,0)),IF(AND($N467="MND",$Q467="EMBOQUE"),INDEX(APOIO_REDES!$A:$W,MATCH($C467&amp;$I467&amp;$H467&amp;$N467&amp;$O467,APOIO_REDES!$W:$W,0),MATCH(BA$5,APOIO_REDES!$5:$5,0)),0))*$M467/10,0)</f>
        <v>2.2752667920772</v>
      </c>
      <c r="BB467" s="153" t="n">
        <f aca="false">IFERROR(IF($N467="VCA",INDEX(APOIO_REDES!$A:$W,MATCH($C467&amp;$I467&amp;$H467&amp;$N467&amp;$O467,APOIO_REDES!$W:$W,0),MATCH(BB$5,APOIO_REDES!$5:$5,0)),0)*($AI467+$AQ467+$AR467),0)</f>
        <v>10.9946218899614</v>
      </c>
      <c r="BC467" s="153" t="n">
        <f aca="false">IFERROR(IF($N467="VCA",INDEX(APOIO_REDES!$A:$W,MATCH($C467&amp;$I467&amp;$H467&amp;$N467&amp;$O467,APOIO_REDES!$W:$W,0),MATCH(BC$5,APOIO_REDES!$5:$5,0)),0)*($AI467+$AQ467+$AR467),0)</f>
        <v>0.12094061003856</v>
      </c>
      <c r="BD467" s="153" t="n">
        <f aca="false">IF(AND($N467="VCA",$AF467&gt;=1.25,$AF467&lt;1.5),$M467*$AF467*2,0)</f>
        <v>80.4555</v>
      </c>
      <c r="BE467" s="153" t="n">
        <f aca="false">IF(AND($N467="VCA",$AF467&gt;=1.5,$AF467&lt;3),$M467*$AF467*2,0)</f>
        <v>0</v>
      </c>
      <c r="BF467" s="153" t="n">
        <f aca="false">IF(AND($N467="VCA",$AF467&gt;=3),$M467*$AF467*2,0)</f>
        <v>0</v>
      </c>
      <c r="BG467" s="153" t="n">
        <f aca="false">($BB467+$BC467)*$AK467</f>
        <v>26.67735</v>
      </c>
      <c r="BH467" s="153" t="n">
        <f aca="false">IF(AND($M467&lt;&gt;"",$N467="VCA",$Q467="LINEAR"),($M467*2)/100,IF(AND($M467&lt;&gt;"",$N467="MND",$Q467="EMBOQUE"),($AN467*2)/100,0))</f>
        <v>0.5646</v>
      </c>
      <c r="BI467" s="153" t="n">
        <f aca="false">IF(AND($M467&lt;&gt;"",$N467="VCA",$Q467="LINEAR"),$M467,IF(AND($M467&lt;&gt;"",$N467="MND",$Q467="EMBOQUE"),$AN467*2,0))</f>
        <v>28.23</v>
      </c>
      <c r="BJ467" s="153" t="n">
        <f aca="false">IF(AND($M467&lt;&gt;"",$N467="VCA",$Q467="LINEAR"),($M467*6.8)/100,IF(AND($M467&lt;&gt;"",$N467="MND",$Q467="EMBOQUE"),($AN467*2*6.8)/100,0))</f>
        <v>1.91964</v>
      </c>
      <c r="BK467" s="153" t="n">
        <f aca="false">IF(AND($M467&lt;&gt;"",$N467="VCA",$Q467="LINEAR"),($M467*2.5)/50,IF(AND($M467&lt;&gt;"",$N467="MND",$Q467="EMBOQUE"),($AN467*2*2.5)/50,0))</f>
        <v>1.4115</v>
      </c>
      <c r="BL467" s="157" t="str">
        <f aca="false">K467&amp;J467</f>
        <v>Zona04REDES</v>
      </c>
      <c r="BM467" s="152" t="s">
        <v>2969</v>
      </c>
      <c r="BN467" s="152" t="s">
        <v>1560</v>
      </c>
      <c r="BO467" s="152" t="s">
        <v>1982</v>
      </c>
      <c r="BP467" s="152" t="s">
        <v>3282</v>
      </c>
      <c r="BQ467" s="152" t="s">
        <v>3312</v>
      </c>
      <c r="BR467" s="152" t="s">
        <v>3313</v>
      </c>
      <c r="BS467" s="152" t="n">
        <v>203601.632</v>
      </c>
      <c r="BT467" s="152" t="n">
        <v>8238170.586</v>
      </c>
      <c r="BU467" s="152" t="n">
        <v>203607.429</v>
      </c>
      <c r="BV467" s="152" t="n">
        <v>8238143.003</v>
      </c>
      <c r="BW467" s="152" t="n">
        <v>-15.9181215</v>
      </c>
      <c r="BX467" s="152" t="n">
        <v>-47.7682285</v>
      </c>
      <c r="BY467" s="152" t="s">
        <v>3282</v>
      </c>
    </row>
    <row r="468" customFormat="false" ht="13.8" hidden="false" customHeight="false" outlineLevel="0" collapsed="false">
      <c r="A468" s="149" t="n">
        <f aca="false">IF(C468&lt;&gt;"",ROW(A463),"")</f>
        <v>463</v>
      </c>
      <c r="B468" s="150" t="str">
        <f aca="false">HYPERLINK("https://www.google.com/maps/dir/-15.917302,-47.760003/-15.9182246,-47.7694141/data=!4m3!4m2!3e0!5i1")</f>
        <v>https://www.google.com/maps/dir/-15.917302,-47.760003/-15.9182246,-47.7694141/data=!4m3!4m2!3e0!5i1</v>
      </c>
      <c r="C468" s="151" t="s">
        <v>117</v>
      </c>
      <c r="D468" s="152" t="s">
        <v>112</v>
      </c>
      <c r="E468" s="152" t="s">
        <v>113</v>
      </c>
      <c r="F468" s="152" t="s">
        <v>117</v>
      </c>
      <c r="G468" s="152" t="s">
        <v>114</v>
      </c>
      <c r="H468" s="152" t="n">
        <v>125</v>
      </c>
      <c r="I468" s="152" t="s">
        <v>115</v>
      </c>
      <c r="J468" s="152" t="s">
        <v>6</v>
      </c>
      <c r="K468" s="152" t="s">
        <v>2966</v>
      </c>
      <c r="L468" s="152" t="s">
        <v>120</v>
      </c>
      <c r="M468" s="153" t="n">
        <f aca="false">137.16</f>
        <v>137.16</v>
      </c>
      <c r="N468" s="152" t="s">
        <v>1548</v>
      </c>
      <c r="O468" s="152" t="s">
        <v>1549</v>
      </c>
      <c r="P468" s="152" t="s">
        <v>1550</v>
      </c>
      <c r="Q468" s="152" t="s">
        <v>1551</v>
      </c>
      <c r="R468" s="154" t="s">
        <v>3314</v>
      </c>
      <c r="S468" s="154" t="s">
        <v>1593</v>
      </c>
      <c r="T468" s="155" t="s">
        <v>1979</v>
      </c>
      <c r="U468" s="152" t="str">
        <f aca="false">RIGHT(T468,7)</f>
        <v>006/037</v>
      </c>
      <c r="V468" s="152" t="s">
        <v>1555</v>
      </c>
      <c r="W468" s="156" t="n">
        <v>45882</v>
      </c>
      <c r="X468" s="152" t="s">
        <v>1594</v>
      </c>
      <c r="Y468" s="152" t="s">
        <v>3202</v>
      </c>
      <c r="Z468" s="152" t="s">
        <v>1557</v>
      </c>
      <c r="AA468" s="153" t="n">
        <v>2.6</v>
      </c>
      <c r="AB468" s="151" t="s">
        <v>3315</v>
      </c>
      <c r="AC468" s="151" t="s">
        <v>505</v>
      </c>
      <c r="AD468" s="151" t="str">
        <f aca="false">CONCATENATE($C468,$I468,$H468,$N468,$J468,$K468)</f>
        <v>TUBO PEADPEAD125VCAREDESZona04</v>
      </c>
      <c r="AE468" s="153" t="n">
        <f aca="false">IFERROR(INDEX(APOIO_REDES!$A:$W,MATCH($C468&amp;$I468&amp;$H468&amp;$N468&amp;$O468,APOIO_REDES!$W:$W,0),MATCH(AE$5,APOIO_REDES!$5:$5,0)),0)</f>
        <v>1.2</v>
      </c>
      <c r="AF468" s="153" t="n">
        <f aca="false">IFERROR(INDEX(APOIO_REDES!$A:$W,MATCH($C468&amp;$I468&amp;$H468&amp;$N468&amp;$O468,APOIO_REDES!$W:$W,0),MATCH(AF$5,APOIO_REDES!$5:$5,0)),0)</f>
        <v>1.425</v>
      </c>
      <c r="AG468" s="153" t="n">
        <f aca="false">IFERROR(INDEX(APOIO_REDES!$A:$W,MATCH($C468&amp;$I468&amp;$H468&amp;$N468&amp;$O468,APOIO_REDES!$W:$W,0),MATCH(AG$5,APOIO_REDES!$5:$5,0)),0)</f>
        <v>0.75</v>
      </c>
      <c r="AH468" s="153" t="n">
        <f aca="false">IFERROR(INDEX(APOIO_REDES!$A:$W,MATCH($C468&amp;$I468&amp;$H468&amp;$N468&amp;$O468,APOIO_REDES!$W:$W,0),MATCH(AH$5,APOIO_REDES!$5:$5,0)),0)</f>
        <v>0.1</v>
      </c>
      <c r="AI468" s="153" t="n">
        <f aca="false">IFERROR(IF($H468&lt;&gt;"",(((($H468/1000)/2)^2)*PI()*$M468),0),0)</f>
        <v>1.68320643893116</v>
      </c>
      <c r="AJ468" s="153" t="n">
        <f aca="false">IFERROR(IF(AND($H468&lt;&gt;"",$I468="FoFo",OR($N468="MND",$N468="VCA"),$Q468="LINEAR"),0,IF(AND($H468&lt;&gt;"",$I468="PEAD",$N468="VCA",$Q468="LINEAR"),($H468/1000)+0.3,IF(AND($H468&lt;&gt;"",$I468="PEAD",$N468="MND",$Q468="EMBOQUE"),0,IF(AND($H468&lt;&gt;"",$I468="PVC",$N468="VCA",$Q468="LINEAR"),($H468/1000)+0.2,IF(AND($H468&lt;&gt;"",$I468="PVC",$N468="MND",$Q468="EMBOQUE"),0,IF(AND($H468&lt;&gt;"",$I468="PEAD",$N468="VCA",$Q468="PREDIAL"),0,0)))))),0)</f>
        <v>0.425</v>
      </c>
      <c r="AK468" s="153" t="n">
        <f aca="false">IF(AA468&lt;&gt;"",AA468,0)</f>
        <v>2.6</v>
      </c>
      <c r="AL468" s="153" t="n">
        <f aca="false">IF(AND($N468="MND",$Q468="EMBOQUE"),$M468,IF(AND($N468="VCA",$Q468="LINEAR"),$M468,IF(AND($N468="VCA",$Q468="PREDIAL"),0,0)))</f>
        <v>137.16</v>
      </c>
      <c r="AM468" s="153" t="n">
        <f aca="false">IF(AND($N468="MND",$Q468="EMBOQUE"),$M468,IF(AND($N468="VCA",$Q468="LINEAR"),$M468,IF(AND($N468="VCA",$Q468="PREDIAL"),0,0)))</f>
        <v>137.16</v>
      </c>
      <c r="AN468" s="153" t="n">
        <f aca="false">ROUND(IF(AND($N468="VCA",$M468&lt;&gt;"",$Q468="LINEAR"),$M468/100,IF(AND($N468="MND",$M468&gt;100,$Q468="EMBOQUE"),$M468/100,0)),0)</f>
        <v>1</v>
      </c>
      <c r="AO468" s="153" t="n">
        <f aca="false">IF(AND($N468="MND",$Q468="EMBOQUE"),$AN468*2*2,IF(AND($N468="VCA",$Q468="LINEAR"),$M468*2,IF(AND($N468="VCA",$Q468="PREDIAL"),0,0)))</f>
        <v>274.32</v>
      </c>
      <c r="AP468" s="153" t="n">
        <f aca="false">IFERROR($M468*$AF468*$AG468,0)</f>
        <v>146.58975</v>
      </c>
      <c r="AQ468" s="153" t="n">
        <f aca="false">IFERROR(IF(AND($N468="VCA",$AH468&gt;0),$M468*$AG468*$AH468,0),0)</f>
        <v>10.287</v>
      </c>
      <c r="AR468" s="153" t="n">
        <f aca="false">IFERROR(IF(AND($N468="VCA",$AJ468&gt;0),($M468*$AG468*$AJ468)-$AI468,0),0)</f>
        <v>42.0365435610688</v>
      </c>
      <c r="AS468" s="153" t="n">
        <f aca="false">IFERROR(IF(AND($N468="VCA",$AP468&gt;0),$AP468-$AI468-$AQ468-$AR468,0),0)</f>
        <v>92.583</v>
      </c>
      <c r="AT468" s="153" t="n">
        <f aca="false">IFERROR(IF($N468="VCA",INDEX(APOIO_REDES!$A:$W,MATCH($C468&amp;$I468&amp;$H468&amp;$N468&amp;$O468,APOIO_REDES!$W:$W,0),MATCH(AT$5,APOIO_REDES!$5:$5,0)),0)*$AP468,0)</f>
        <v>1.59493986835125</v>
      </c>
      <c r="AU468" s="153" t="n">
        <f aca="false">IFERROR(IF($N468="VCA",INDEX(APOIO_REDES!$A:$W,MATCH($C468&amp;$I468&amp;$H468&amp;$N468&amp;$O468,APOIO_REDES!$W:$W,0),MATCH(AU$5,APOIO_REDES!$5:$5,0)),0)*$AP468,0)</f>
        <v>1.27367578241548</v>
      </c>
      <c r="AV468" s="153" t="n">
        <f aca="false">IFERROR(IF($N468="VCA",INDEX(APOIO_REDES!$A:$W,MATCH($C468&amp;$I468&amp;$H468&amp;$N468&amp;$O468,APOIO_REDES!$W:$W,0),MATCH(AV$5,APOIO_REDES!$5:$5,0)),0)*$AP468,0)</f>
        <v>0.176266729539378</v>
      </c>
      <c r="AW468" s="153" t="n">
        <f aca="false">IFERROR(IF($N468="VCA",INDEX(APOIO_REDES!$A:$W,MATCH($C468&amp;$I468&amp;$H468&amp;$N468&amp;$O468,APOIO_REDES!$W:$W,0),MATCH(AW$5,APOIO_REDES!$5:$5,0)),0)*$AP468,0)</f>
        <v>100.620340232809</v>
      </c>
      <c r="AX468" s="153" t="n">
        <f aca="false">IFERROR(IF($N468="VCA",INDEX(APOIO_REDES!$A:$W,MATCH($C468&amp;$I468&amp;$H468&amp;$N468&amp;$O468,APOIO_REDES!$W:$W,0),MATCH(AX$5,APOIO_REDES!$5:$5,0)),0)*$AP468,0)</f>
        <v>13.9255684657561</v>
      </c>
      <c r="AY468" s="153" t="n">
        <f aca="false">IFERROR(IF($N468="VCA",INDEX(APOIO_REDES!$A:$W,MATCH($C468&amp;$I468&amp;$H468&amp;$N468&amp;$O468,APOIO_REDES!$W:$W,0),MATCH(AY$5,APOIO_REDES!$5:$5,0)),0)*$AP468,0)</f>
        <v>25.473500122305</v>
      </c>
      <c r="AZ468" s="153" t="n">
        <f aca="false">IFERROR(IF($N468="VCA",INDEX(APOIO_REDES!$A:$W,MATCH($C468&amp;$I468&amp;$H468&amp;$N468&amp;$O468,APOIO_REDES!$W:$W,0),MATCH(AZ$5,APOIO_REDES!$5:$5,0)),0)*$AP468,0)</f>
        <v>3.52545879882388</v>
      </c>
      <c r="BA468" s="153" t="n">
        <f aca="false">IFERROR(IF(AND($N468="VCA",$Q468="LINEAR"),INDEX(APOIO_REDES!$A:$W,MATCH($C468&amp;$I468&amp;$H468&amp;$N468&amp;$O468,APOIO_REDES!$W:$W,0),MATCH(BA$5,APOIO_REDES!$5:$5,0)),IF(AND($N468="MND",$Q468="EMBOQUE"),INDEX(APOIO_REDES!$A:$W,MATCH($C468&amp;$I468&amp;$H468&amp;$N468&amp;$O468,APOIO_REDES!$W:$W,0),MATCH(BA$5,APOIO_REDES!$5:$5,0)),0))*$M468/10,0)</f>
        <v>11.0547500248427</v>
      </c>
      <c r="BB468" s="153" t="n">
        <f aca="false">IFERROR(IF($N468="VCA",INDEX(APOIO_REDES!$A:$W,MATCH($C468&amp;$I468&amp;$H468&amp;$N468&amp;$O468,APOIO_REDES!$W:$W,0),MATCH(BB$5,APOIO_REDES!$5:$5,0)),0)*($AI468+$AQ468+$AR468),0)</f>
        <v>53.419140574818</v>
      </c>
      <c r="BC468" s="153" t="n">
        <f aca="false">IFERROR(IF($N468="VCA",INDEX(APOIO_REDES!$A:$W,MATCH($C468&amp;$I468&amp;$H468&amp;$N468&amp;$O468,APOIO_REDES!$W:$W,0),MATCH(BC$5,APOIO_REDES!$5:$5,0)),0)*($AI468+$AQ468+$AR468),0)</f>
        <v>0.587609425182038</v>
      </c>
      <c r="BD468" s="153" t="n">
        <f aca="false">IF(AND($N468="VCA",$AF468&gt;=1.25,$AF468&lt;1.5),$M468*$AF468*2,0)</f>
        <v>390.906</v>
      </c>
      <c r="BE468" s="153" t="n">
        <f aca="false">IF(AND($N468="VCA",$AF468&gt;=1.5,$AF468&lt;3),$M468*$AF468*2,0)</f>
        <v>0</v>
      </c>
      <c r="BF468" s="153" t="n">
        <f aca="false">IF(AND($N468="VCA",$AF468&gt;=3),$M468*$AF468*2,0)</f>
        <v>0</v>
      </c>
      <c r="BG468" s="153" t="n">
        <f aca="false">($BB468+$BC468)*$AK468</f>
        <v>140.41755</v>
      </c>
      <c r="BH468" s="153" t="n">
        <f aca="false">IF(AND($M468&lt;&gt;"",$N468="VCA",$Q468="LINEAR"),($M468*2)/100,IF(AND($M468&lt;&gt;"",$N468="MND",$Q468="EMBOQUE"),($AN468*2)/100,0))</f>
        <v>2.7432</v>
      </c>
      <c r="BI468" s="153" t="n">
        <f aca="false">IF(AND($M468&lt;&gt;"",$N468="VCA",$Q468="LINEAR"),$M468,IF(AND($M468&lt;&gt;"",$N468="MND",$Q468="EMBOQUE"),$AN468*2,0))</f>
        <v>137.16</v>
      </c>
      <c r="BJ468" s="153" t="n">
        <f aca="false">IF(AND($M468&lt;&gt;"",$N468="VCA",$Q468="LINEAR"),($M468*6.8)/100,IF(AND($M468&lt;&gt;"",$N468="MND",$Q468="EMBOQUE"),($AN468*2*6.8)/100,0))</f>
        <v>9.32688</v>
      </c>
      <c r="BK468" s="153" t="n">
        <f aca="false">IF(AND($M468&lt;&gt;"",$N468="VCA",$Q468="LINEAR"),($M468*2.5)/50,IF(AND($M468&lt;&gt;"",$N468="MND",$Q468="EMBOQUE"),($AN468*2*2.5)/50,0))</f>
        <v>6.858</v>
      </c>
      <c r="BL468" s="157" t="str">
        <f aca="false">K468&amp;J468</f>
        <v>Zona04REDES</v>
      </c>
      <c r="BM468" s="152" t="s">
        <v>2969</v>
      </c>
      <c r="BN468" s="152" t="s">
        <v>1560</v>
      </c>
      <c r="BO468" s="152" t="s">
        <v>1982</v>
      </c>
      <c r="BP468" s="152" t="s">
        <v>3278</v>
      </c>
      <c r="BQ468" s="152" t="s">
        <v>3312</v>
      </c>
      <c r="BR468" s="152" t="s">
        <v>3316</v>
      </c>
      <c r="BS468" s="152" t="n">
        <v>203477.45</v>
      </c>
      <c r="BT468" s="152" t="n">
        <v>8238143.822</v>
      </c>
      <c r="BU468" s="152" t="n">
        <v>203607.429</v>
      </c>
      <c r="BV468" s="152" t="n">
        <v>8238143.003</v>
      </c>
      <c r="BW468" s="152" t="n">
        <v>-15.9183146</v>
      </c>
      <c r="BX468" s="152" t="n">
        <v>-47.7688335</v>
      </c>
      <c r="BY468" s="152" t="s">
        <v>3278</v>
      </c>
    </row>
    <row r="469" customFormat="false" ht="13.8" hidden="false" customHeight="false" outlineLevel="0" collapsed="false">
      <c r="A469" s="149" t="n">
        <f aca="false">IF(C469&lt;&gt;"",ROW(A464),"")</f>
        <v>464</v>
      </c>
      <c r="B469" s="150" t="str">
        <f aca="false">HYPERLINK("https://www.google.com/maps/dir/-15.917302,-47.760003/-15.9182458,-47.7681972/data=!4m3!4m2!3e0!5i1")</f>
        <v>https://www.google.com/maps/dir/-15.917302,-47.760003/-15.9182458,-47.7681972/data=!4m3!4m2!3e0!5i1</v>
      </c>
      <c r="C469" s="151" t="s">
        <v>117</v>
      </c>
      <c r="D469" s="152" t="s">
        <v>112</v>
      </c>
      <c r="E469" s="152" t="s">
        <v>113</v>
      </c>
      <c r="F469" s="152" t="s">
        <v>117</v>
      </c>
      <c r="G469" s="152" t="s">
        <v>782</v>
      </c>
      <c r="H469" s="152" t="n">
        <v>90</v>
      </c>
      <c r="I469" s="152" t="s">
        <v>115</v>
      </c>
      <c r="J469" s="152" t="s">
        <v>6</v>
      </c>
      <c r="K469" s="152" t="s">
        <v>2966</v>
      </c>
      <c r="L469" s="152" t="s">
        <v>120</v>
      </c>
      <c r="M469" s="153" t="n">
        <f aca="false">18.51+0.43</f>
        <v>18.94</v>
      </c>
      <c r="N469" s="152" t="s">
        <v>1548</v>
      </c>
      <c r="O469" s="152" t="s">
        <v>1549</v>
      </c>
      <c r="P469" s="152" t="s">
        <v>1550</v>
      </c>
      <c r="Q469" s="152" t="s">
        <v>1551</v>
      </c>
      <c r="R469" s="154" t="s">
        <v>3317</v>
      </c>
      <c r="S469" s="154" t="s">
        <v>1593</v>
      </c>
      <c r="T469" s="155" t="s">
        <v>1979</v>
      </c>
      <c r="U469" s="152" t="str">
        <f aca="false">RIGHT(T469,7)</f>
        <v>006/037</v>
      </c>
      <c r="V469" s="152" t="s">
        <v>1555</v>
      </c>
      <c r="W469" s="156" t="n">
        <v>45882</v>
      </c>
      <c r="X469" s="152" t="s">
        <v>1594</v>
      </c>
      <c r="Y469" s="152" t="s">
        <v>3251</v>
      </c>
      <c r="Z469" s="152" t="s">
        <v>1557</v>
      </c>
      <c r="AA469" s="153" t="n">
        <v>2.7</v>
      </c>
      <c r="AB469" s="151" t="s">
        <v>3318</v>
      </c>
      <c r="AC469" s="151" t="s">
        <v>526</v>
      </c>
      <c r="AD469" s="151" t="str">
        <f aca="false">CONCATENATE($C469,$I469,$H469,$N469,$J469,$K469)</f>
        <v>TUBO PEADPEAD90VCAREDESZona04</v>
      </c>
      <c r="AE469" s="153" t="n">
        <f aca="false">IFERROR(INDEX(APOIO_REDES!$A:$W,MATCH($C469&amp;$I469&amp;$H469&amp;$N469&amp;$O469,APOIO_REDES!$W:$W,0),MATCH(AE$5,APOIO_REDES!$5:$5,0)),0)</f>
        <v>1.2</v>
      </c>
      <c r="AF469" s="153" t="n">
        <f aca="false">IFERROR(INDEX(APOIO_REDES!$A:$W,MATCH($C469&amp;$I469&amp;$H469&amp;$N469&amp;$O469,APOIO_REDES!$W:$W,0),MATCH(AF$5,APOIO_REDES!$5:$5,0)),0)</f>
        <v>1.39</v>
      </c>
      <c r="AG469" s="153" t="n">
        <f aca="false">IFERROR(INDEX(APOIO_REDES!$A:$W,MATCH($C469&amp;$I469&amp;$H469&amp;$N469&amp;$O469,APOIO_REDES!$W:$W,0),MATCH(AG$5,APOIO_REDES!$5:$5,0)),0)</f>
        <v>0.75</v>
      </c>
      <c r="AH469" s="153" t="n">
        <f aca="false">IFERROR(INDEX(APOIO_REDES!$A:$W,MATCH($C469&amp;$I469&amp;$H469&amp;$N469&amp;$O469,APOIO_REDES!$W:$W,0),MATCH(AH$5,APOIO_REDES!$5:$5,0)),0)</f>
        <v>0.1</v>
      </c>
      <c r="AI469" s="153" t="n">
        <f aca="false">IFERROR(IF($H469&lt;&gt;"",(((($H469/1000)/2)^2)*PI()*$M469),0),0)</f>
        <v>0.120491073839456</v>
      </c>
      <c r="AJ469" s="153" t="n">
        <f aca="false">IFERROR(IF(AND($H469&lt;&gt;"",$I469="FoFo",OR($N469="MND",$N469="VCA"),$Q469="LINEAR"),0,IF(AND($H469&lt;&gt;"",$I469="PEAD",$N469="VCA",$Q469="LINEAR"),($H469/1000)+0.3,IF(AND($H469&lt;&gt;"",$I469="PEAD",$N469="MND",$Q469="EMBOQUE"),0,IF(AND($H469&lt;&gt;"",$I469="PVC",$N469="VCA",$Q469="LINEAR"),($H469/1000)+0.2,IF(AND($H469&lt;&gt;"",$I469="PVC",$N469="MND",$Q469="EMBOQUE"),0,IF(AND($H469&lt;&gt;"",$I469="PEAD",$N469="VCA",$Q469="PREDIAL"),0,0)))))),0)</f>
        <v>0.39</v>
      </c>
      <c r="AK469" s="153" t="n">
        <f aca="false">IF(AA469&lt;&gt;"",AA469,0)</f>
        <v>2.7</v>
      </c>
      <c r="AL469" s="153" t="n">
        <f aca="false">IF(AND($N469="MND",$Q469="EMBOQUE"),$M469,IF(AND($N469="VCA",$Q469="LINEAR"),$M469,IF(AND($N469="VCA",$Q469="PREDIAL"),0,0)))</f>
        <v>18.94</v>
      </c>
      <c r="AM469" s="153" t="n">
        <f aca="false">IF(AND($N469="MND",$Q469="EMBOQUE"),$M469,IF(AND($N469="VCA",$Q469="LINEAR"),$M469,IF(AND($N469="VCA",$Q469="PREDIAL"),0,0)))</f>
        <v>18.94</v>
      </c>
      <c r="AN469" s="153" t="n">
        <f aca="false">ROUND(IF(AND($N469="VCA",$M469&lt;&gt;"",$Q469="LINEAR"),$M469/100,IF(AND($N469="MND",$M469&gt;100,$Q469="EMBOQUE"),$M469/100,0)),0)</f>
        <v>0</v>
      </c>
      <c r="AO469" s="153" t="n">
        <f aca="false">IF(AND($N469="MND",$Q469="EMBOQUE"),$AN469*2*2,IF(AND($N469="VCA",$Q469="LINEAR"),$M469*2,IF(AND($N469="VCA",$Q469="PREDIAL"),0,0)))</f>
        <v>37.88</v>
      </c>
      <c r="AP469" s="153" t="n">
        <f aca="false">IFERROR($M469*$AF469*$AG469,0)</f>
        <v>19.74495</v>
      </c>
      <c r="AQ469" s="153" t="n">
        <f aca="false">IFERROR(IF(AND($N469="VCA",$AH469&gt;0),$M469*$AG469*$AH469,0),0)</f>
        <v>1.4205</v>
      </c>
      <c r="AR469" s="153" t="n">
        <f aca="false">IFERROR(IF(AND($N469="VCA",$AJ469&gt;0),($M469*$AG469*$AJ469)-$AI469,0),0)</f>
        <v>5.41945892616055</v>
      </c>
      <c r="AS469" s="153" t="n">
        <f aca="false">IFERROR(IF(AND($N469="VCA",$AP469&gt;0),$AP469-$AI469-$AQ469-$AR469,0),0)</f>
        <v>12.7845</v>
      </c>
      <c r="AT469" s="153" t="n">
        <f aca="false">IFERROR(IF($N469="VCA",INDEX(APOIO_REDES!$A:$W,MATCH($C469&amp;$I469&amp;$H469&amp;$N469&amp;$O469,APOIO_REDES!$W:$W,0),MATCH(AT$5,APOIO_REDES!$5:$5,0)),0)*$AP469,0)</f>
        <v>0.214830900206883</v>
      </c>
      <c r="AU469" s="153" t="n">
        <f aca="false">IFERROR(IF($N469="VCA",INDEX(APOIO_REDES!$A:$W,MATCH($C469&amp;$I469&amp;$H469&amp;$N469&amp;$O469,APOIO_REDES!$W:$W,0),MATCH(AU$5,APOIO_REDES!$5:$5,0)),0)*$AP469,0)</f>
        <v>0.171558138546552</v>
      </c>
      <c r="AV469" s="153" t="n">
        <f aca="false">IFERROR(IF($N469="VCA",INDEX(APOIO_REDES!$A:$W,MATCH($C469&amp;$I469&amp;$H469&amp;$N469&amp;$O469,APOIO_REDES!$W:$W,0),MATCH(AV$5,APOIO_REDES!$5:$5,0)),0)*$AP469,0)</f>
        <v>0.0237422995906504</v>
      </c>
      <c r="AW469" s="153" t="n">
        <f aca="false">IFERROR(IF($N469="VCA",INDEX(APOIO_REDES!$A:$W,MATCH($C469&amp;$I469&amp;$H469&amp;$N469&amp;$O469,APOIO_REDES!$W:$W,0),MATCH(AW$5,APOIO_REDES!$5:$5,0)),0)*$AP469,0)</f>
        <v>13.5530866713382</v>
      </c>
      <c r="AX469" s="153" t="n">
        <f aca="false">IFERROR(IF($N469="VCA",INDEX(APOIO_REDES!$A:$W,MATCH($C469&amp;$I469&amp;$H469&amp;$N469&amp;$O469,APOIO_REDES!$W:$W,0),MATCH(AX$5,APOIO_REDES!$5:$5,0)),0)*$AP469,0)</f>
        <v>1.87570858861504</v>
      </c>
      <c r="AY469" s="153" t="n">
        <f aca="false">IFERROR(IF($N469="VCA",INDEX(APOIO_REDES!$A:$W,MATCH($C469&amp;$I469&amp;$H469&amp;$N469&amp;$O469,APOIO_REDES!$W:$W,0),MATCH(AY$5,APOIO_REDES!$5:$5,0)),0)*$AP469,0)</f>
        <v>3.43116067965124</v>
      </c>
      <c r="AZ469" s="153" t="n">
        <f aca="false">IFERROR(IF($N469="VCA",INDEX(APOIO_REDES!$A:$W,MATCH($C469&amp;$I469&amp;$H469&amp;$N469&amp;$O469,APOIO_REDES!$W:$W,0),MATCH(AZ$5,APOIO_REDES!$5:$5,0)),0)*$AP469,0)</f>
        <v>0.474862722051423</v>
      </c>
      <c r="BA469" s="153" t="n">
        <f aca="false">IFERROR(IF(AND($N469="VCA",$Q469="LINEAR"),INDEX(APOIO_REDES!$A:$W,MATCH($C469&amp;$I469&amp;$H469&amp;$N469&amp;$O469,APOIO_REDES!$W:$W,0),MATCH(BA$5,APOIO_REDES!$5:$5,0)),IF(AND($N469="MND",$Q469="EMBOQUE"),INDEX(APOIO_REDES!$A:$W,MATCH($C469&amp;$I469&amp;$H469&amp;$N469&amp;$O469,APOIO_REDES!$W:$W,0),MATCH(BA$5,APOIO_REDES!$5:$5,0)),0))*$M469/10,0)</f>
        <v>1.52651622536104</v>
      </c>
      <c r="BB469" s="153" t="n">
        <f aca="false">IFERROR(IF($N469="VCA",INDEX(APOIO_REDES!$A:$W,MATCH($C469&amp;$I469&amp;$H469&amp;$N469&amp;$O469,APOIO_REDES!$W:$W,0),MATCH(BB$5,APOIO_REDES!$5:$5,0)),0)*($AI469+$AQ469+$AR469),0)</f>
        <v>6.88471824381196</v>
      </c>
      <c r="BC469" s="153" t="n">
        <f aca="false">IFERROR(IF($N469="VCA",INDEX(APOIO_REDES!$A:$W,MATCH($C469&amp;$I469&amp;$H469&amp;$N469&amp;$O469,APOIO_REDES!$W:$W,0),MATCH(BC$5,APOIO_REDES!$5:$5,0)),0)*($AI469+$AQ469+$AR469),0)</f>
        <v>0.0757317561880379</v>
      </c>
      <c r="BD469" s="153" t="n">
        <f aca="false">IF(AND($N469="VCA",$AF469&gt;=1.25,$AF469&lt;1.5),$M469*$AF469*2,0)</f>
        <v>52.6532</v>
      </c>
      <c r="BE469" s="153" t="n">
        <f aca="false">IF(AND($N469="VCA",$AF469&gt;=1.5,$AF469&lt;3),$M469*$AF469*2,0)</f>
        <v>0</v>
      </c>
      <c r="BF469" s="153" t="n">
        <f aca="false">IF(AND($N469="VCA",$AF469&gt;=3),$M469*$AF469*2,0)</f>
        <v>0</v>
      </c>
      <c r="BG469" s="153" t="n">
        <f aca="false">($BB469+$BC469)*$AK469</f>
        <v>18.793215</v>
      </c>
      <c r="BH469" s="153" t="n">
        <f aca="false">IF(AND($M469&lt;&gt;"",$N469="VCA",$Q469="LINEAR"),($M469*2)/100,IF(AND($M469&lt;&gt;"",$N469="MND",$Q469="EMBOQUE"),($AN469*2)/100,0))</f>
        <v>0.3788</v>
      </c>
      <c r="BI469" s="153" t="n">
        <f aca="false">IF(AND($M469&lt;&gt;"",$N469="VCA",$Q469="LINEAR"),$M469,IF(AND($M469&lt;&gt;"",$N469="MND",$Q469="EMBOQUE"),$AN469*2,0))</f>
        <v>18.94</v>
      </c>
      <c r="BJ469" s="153" t="n">
        <f aca="false">IF(AND($M469&lt;&gt;"",$N469="VCA",$Q469="LINEAR"),($M469*6.8)/100,IF(AND($M469&lt;&gt;"",$N469="MND",$Q469="EMBOQUE"),($AN469*2*6.8)/100,0))</f>
        <v>1.28792</v>
      </c>
      <c r="BK469" s="153" t="n">
        <f aca="false">IF(AND($M469&lt;&gt;"",$N469="VCA",$Q469="LINEAR"),($M469*2.5)/50,IF(AND($M469&lt;&gt;"",$N469="MND",$Q469="EMBOQUE"),($AN469*2*2.5)/50,0))</f>
        <v>0.947</v>
      </c>
      <c r="BL469" s="157" t="str">
        <f aca="false">K469&amp;J469</f>
        <v>Zona04REDES</v>
      </c>
      <c r="BM469" s="152" t="s">
        <v>2969</v>
      </c>
      <c r="BN469" s="152" t="s">
        <v>1560</v>
      </c>
      <c r="BO469" s="152" t="s">
        <v>1982</v>
      </c>
      <c r="BP469" s="152" t="s">
        <v>3312</v>
      </c>
      <c r="BQ469" s="152" t="s">
        <v>3308</v>
      </c>
      <c r="BR469" s="152" t="s">
        <v>3319</v>
      </c>
      <c r="BS469" s="152" t="n">
        <v>203607.463</v>
      </c>
      <c r="BT469" s="152" t="n">
        <v>8238142.941</v>
      </c>
      <c r="BU469" s="152" t="n">
        <v>203610.472</v>
      </c>
      <c r="BV469" s="152" t="n">
        <v>8238124.758</v>
      </c>
      <c r="BW469" s="152" t="n">
        <v>-15.9183289</v>
      </c>
      <c r="BX469" s="152" t="n">
        <v>-47.7681886</v>
      </c>
      <c r="BY469" s="152" t="s">
        <v>3312</v>
      </c>
    </row>
    <row r="470" customFormat="false" ht="13.8" hidden="false" customHeight="false" outlineLevel="0" collapsed="false">
      <c r="A470" s="149" t="n">
        <f aca="false">IF(C470&lt;&gt;"",ROW(A465),"")</f>
        <v>465</v>
      </c>
      <c r="B470" s="150" t="str">
        <f aca="false">HYPERLINK("https://www.google.com/maps/dir/-15.917302,-47.760003/-15.9178216,-47.7712352/data=!4m3!4m2!3e0!5i0")</f>
        <v>https://www.google.com/maps/dir/-15.917302,-47.760003/-15.9178216,-47.7712352/data=!4m3!4m2!3e0!5i0</v>
      </c>
      <c r="C470" s="151" t="s">
        <v>117</v>
      </c>
      <c r="D470" s="152" t="s">
        <v>112</v>
      </c>
      <c r="E470" s="152" t="s">
        <v>113</v>
      </c>
      <c r="F470" s="152" t="s">
        <v>117</v>
      </c>
      <c r="G470" s="152" t="s">
        <v>114</v>
      </c>
      <c r="H470" s="152" t="n">
        <v>225</v>
      </c>
      <c r="I470" s="152" t="s">
        <v>115</v>
      </c>
      <c r="J470" s="152" t="s">
        <v>6</v>
      </c>
      <c r="K470" s="152" t="s">
        <v>2966</v>
      </c>
      <c r="L470" s="152" t="s">
        <v>120</v>
      </c>
      <c r="M470" s="153" t="n">
        <f aca="false">131.53</f>
        <v>131.53</v>
      </c>
      <c r="N470" s="152" t="s">
        <v>1548</v>
      </c>
      <c r="O470" s="152" t="s">
        <v>1549</v>
      </c>
      <c r="P470" s="152" t="s">
        <v>1550</v>
      </c>
      <c r="Q470" s="152" t="s">
        <v>1551</v>
      </c>
      <c r="R470" s="154" t="s">
        <v>3320</v>
      </c>
      <c r="S470" s="154" t="s">
        <v>1593</v>
      </c>
      <c r="T470" s="155" t="s">
        <v>1979</v>
      </c>
      <c r="U470" s="152" t="str">
        <f aca="false">RIGHT(T470,7)</f>
        <v>006/037</v>
      </c>
      <c r="V470" s="152" t="s">
        <v>1555</v>
      </c>
      <c r="W470" s="156" t="n">
        <v>45882</v>
      </c>
      <c r="X470" s="152" t="s">
        <v>1594</v>
      </c>
      <c r="Y470" s="152" t="s">
        <v>3233</v>
      </c>
      <c r="Z470" s="152" t="s">
        <v>1557</v>
      </c>
      <c r="AA470" s="153" t="n">
        <v>2.5</v>
      </c>
      <c r="AB470" s="151" t="s">
        <v>3321</v>
      </c>
      <c r="AC470" s="151" t="s">
        <v>508</v>
      </c>
      <c r="AD470" s="151" t="str">
        <f aca="false">CONCATENATE($C470,$I470,$H470,$N470,$J470,$K470)</f>
        <v>TUBO PEADPEAD225VCAREDESZona04</v>
      </c>
      <c r="AE470" s="153" t="n">
        <f aca="false">IFERROR(INDEX(APOIO_REDES!$A:$W,MATCH($C470&amp;$I470&amp;$H470&amp;$N470&amp;$O470,APOIO_REDES!$W:$W,0),MATCH(AE$5,APOIO_REDES!$5:$5,0)),0)</f>
        <v>1.2</v>
      </c>
      <c r="AF470" s="153" t="n">
        <f aca="false">IFERROR(INDEX(APOIO_REDES!$A:$W,MATCH($C470&amp;$I470&amp;$H470&amp;$N470&amp;$O470,APOIO_REDES!$W:$W,0),MATCH(AF$5,APOIO_REDES!$5:$5,0)),0)</f>
        <v>1.525</v>
      </c>
      <c r="AG470" s="153" t="n">
        <f aca="false">IFERROR(INDEX(APOIO_REDES!$A:$W,MATCH($C470&amp;$I470&amp;$H470&amp;$N470&amp;$O470,APOIO_REDES!$W:$W,0),MATCH(AG$5,APOIO_REDES!$5:$5,0)),0)</f>
        <v>0.8</v>
      </c>
      <c r="AH470" s="153" t="n">
        <f aca="false">IFERROR(INDEX(APOIO_REDES!$A:$W,MATCH($C470&amp;$I470&amp;$H470&amp;$N470&amp;$O470,APOIO_REDES!$W:$W,0),MATCH(AH$5,APOIO_REDES!$5:$5,0)),0)</f>
        <v>0.1</v>
      </c>
      <c r="AI470" s="153" t="n">
        <f aca="false">IFERROR(IF($H470&lt;&gt;"",(((($H470/1000)/2)^2)*PI()*$M470),0),0)</f>
        <v>5.22973565935311</v>
      </c>
      <c r="AJ470" s="153" t="n">
        <f aca="false">IFERROR(IF(AND($H470&lt;&gt;"",$I470="FoFo",OR($N470="MND",$N470="VCA"),$Q470="LINEAR"),0,IF(AND($H470&lt;&gt;"",$I470="PEAD",$N470="VCA",$Q470="LINEAR"),($H470/1000)+0.3,IF(AND($H470&lt;&gt;"",$I470="PEAD",$N470="MND",$Q470="EMBOQUE"),0,IF(AND($H470&lt;&gt;"",$I470="PVC",$N470="VCA",$Q470="LINEAR"),($H470/1000)+0.2,IF(AND($H470&lt;&gt;"",$I470="PVC",$N470="MND",$Q470="EMBOQUE"),0,IF(AND($H470&lt;&gt;"",$I470="PEAD",$N470="VCA",$Q470="PREDIAL"),0,0)))))),0)</f>
        <v>0.525</v>
      </c>
      <c r="AK470" s="153" t="n">
        <f aca="false">IF(AA470&lt;&gt;"",AA470,0)</f>
        <v>2.5</v>
      </c>
      <c r="AL470" s="153" t="n">
        <f aca="false">IF(AND($N470="MND",$Q470="EMBOQUE"),$M470,IF(AND($N470="VCA",$Q470="LINEAR"),$M470,IF(AND($N470="VCA",$Q470="PREDIAL"),0,0)))</f>
        <v>131.53</v>
      </c>
      <c r="AM470" s="153" t="n">
        <f aca="false">IF(AND($N470="MND",$Q470="EMBOQUE"),$M470,IF(AND($N470="VCA",$Q470="LINEAR"),$M470,IF(AND($N470="VCA",$Q470="PREDIAL"),0,0)))</f>
        <v>131.53</v>
      </c>
      <c r="AN470" s="153" t="n">
        <f aca="false">ROUND(IF(AND($N470="VCA",$M470&lt;&gt;"",$Q470="LINEAR"),$M470/100,IF(AND($N470="MND",$M470&gt;100,$Q470="EMBOQUE"),$M470/100,0)),0)</f>
        <v>1</v>
      </c>
      <c r="AO470" s="153" t="n">
        <f aca="false">IF(AND($N470="MND",$Q470="EMBOQUE"),$AN470*2*2,IF(AND($N470="VCA",$Q470="LINEAR"),$M470*2,IF(AND($N470="VCA",$Q470="PREDIAL"),0,0)))</f>
        <v>263.06</v>
      </c>
      <c r="AP470" s="153" t="n">
        <f aca="false">IFERROR($M470*$AF470*$AG470,0)</f>
        <v>160.4666</v>
      </c>
      <c r="AQ470" s="153" t="n">
        <f aca="false">IFERROR(IF(AND($N470="VCA",$AH470&gt;0),$M470*$AG470*$AH470,0),0)</f>
        <v>10.5224</v>
      </c>
      <c r="AR470" s="153" t="n">
        <f aca="false">IFERROR(IF(AND($N470="VCA",$AJ470&gt;0),($M470*$AG470*$AJ470)-$AI470,0),0)</f>
        <v>50.0128643406469</v>
      </c>
      <c r="AS470" s="153" t="n">
        <f aca="false">IFERROR(IF(AND($N470="VCA",$AP470&gt;0),$AP470-$AI470-$AQ470-$AR470,0),0)</f>
        <v>94.7016</v>
      </c>
      <c r="AT470" s="153" t="n">
        <f aca="false">IFERROR(IF($N470="VCA",INDEX(APOIO_REDES!$A:$W,MATCH($C470&amp;$I470&amp;$H470&amp;$N470&amp;$O470,APOIO_REDES!$W:$W,0),MATCH(AT$5,APOIO_REDES!$5:$5,0)),0)*$AP470,0)</f>
        <v>1.74592410368919</v>
      </c>
      <c r="AU470" s="153" t="n">
        <f aca="false">IFERROR(IF($N470="VCA",INDEX(APOIO_REDES!$A:$W,MATCH($C470&amp;$I470&amp;$H470&amp;$N470&amp;$O470,APOIO_REDES!$W:$W,0),MATCH(AU$5,APOIO_REDES!$5:$5,0)),0)*$AP470,0)</f>
        <v>1.39424770358467</v>
      </c>
      <c r="AV470" s="153" t="n">
        <f aca="false">IFERROR(IF($N470="VCA",INDEX(APOIO_REDES!$A:$W,MATCH($C470&amp;$I470&amp;$H470&amp;$N470&amp;$O470,APOIO_REDES!$W:$W,0),MATCH(AV$5,APOIO_REDES!$5:$5,0)),0)*$AP470,0)</f>
        <v>0.192952936902502</v>
      </c>
      <c r="AW470" s="153" t="n">
        <f aca="false">IFERROR(IF($N470="VCA",INDEX(APOIO_REDES!$A:$W,MATCH($C470&amp;$I470&amp;$H470&amp;$N470&amp;$O470,APOIO_REDES!$W:$W,0),MATCH(AW$5,APOIO_REDES!$5:$5,0)),0)*$AP470,0)</f>
        <v>110.14551759589</v>
      </c>
      <c r="AX470" s="153" t="n">
        <f aca="false">IFERROR(IF($N470="VCA",INDEX(APOIO_REDES!$A:$W,MATCH($C470&amp;$I470&amp;$H470&amp;$N470&amp;$O470,APOIO_REDES!$W:$W,0),MATCH(AX$5,APOIO_REDES!$5:$5,0)),0)*$AP470,0)</f>
        <v>15.2438258798252</v>
      </c>
      <c r="AY470" s="153" t="n">
        <f aca="false">IFERROR(IF($N470="VCA",INDEX(APOIO_REDES!$A:$W,MATCH($C470&amp;$I470&amp;$H470&amp;$N470&amp;$O470,APOIO_REDES!$W:$W,0),MATCH(AY$5,APOIO_REDES!$5:$5,0)),0)*$AP470,0)</f>
        <v>27.8849370759269</v>
      </c>
      <c r="AZ470" s="153" t="n">
        <f aca="false">IFERROR(IF($N470="VCA",INDEX(APOIO_REDES!$A:$W,MATCH($C470&amp;$I470&amp;$H470&amp;$N470&amp;$O470,APOIO_REDES!$W:$W,0),MATCH(AZ$5,APOIO_REDES!$5:$5,0)),0)*$AP470,0)</f>
        <v>3.85919470418192</v>
      </c>
      <c r="BA470" s="153" t="n">
        <f aca="false">IFERROR(IF(AND($N470="VCA",$Q470="LINEAR"),INDEX(APOIO_REDES!$A:$W,MATCH($C470&amp;$I470&amp;$H470&amp;$N470&amp;$O470,APOIO_REDES!$W:$W,0),MATCH(BA$5,APOIO_REDES!$5:$5,0)),IF(AND($N470="MND",$Q470="EMBOQUE"),INDEX(APOIO_REDES!$A:$W,MATCH($C470&amp;$I470&amp;$H470&amp;$N470&amp;$O470,APOIO_REDES!$W:$W,0),MATCH(BA$5,APOIO_REDES!$5:$5,0)),0))*$M470/10,0)</f>
        <v>10.6009862260685</v>
      </c>
      <c r="BB470" s="153" t="n">
        <f aca="false">IFERROR(IF($N470="VCA",INDEX(APOIO_REDES!$A:$W,MATCH($C470&amp;$I470&amp;$H470&amp;$N470&amp;$O470,APOIO_REDES!$W:$W,0),MATCH(BB$5,APOIO_REDES!$5:$5,0)),0)*($AI470+$AQ470+$AR470),0)</f>
        <v>65.0494573345536</v>
      </c>
      <c r="BC470" s="153" t="n">
        <f aca="false">IFERROR(IF($N470="VCA",INDEX(APOIO_REDES!$A:$W,MATCH($C470&amp;$I470&amp;$H470&amp;$N470&amp;$O470,APOIO_REDES!$W:$W,0),MATCH(BC$5,APOIO_REDES!$5:$5,0)),0)*($AI470+$AQ470+$AR470),0)</f>
        <v>0.715542665446388</v>
      </c>
      <c r="BD470" s="153" t="n">
        <f aca="false">IF(AND($N470="VCA",$AF470&gt;=1.25,$AF470&lt;1.5),$M470*$AF470*2,0)</f>
        <v>0</v>
      </c>
      <c r="BE470" s="153" t="n">
        <f aca="false">IF(AND($N470="VCA",$AF470&gt;=1.5,$AF470&lt;3),$M470*$AF470*2,0)</f>
        <v>401.1665</v>
      </c>
      <c r="BF470" s="153" t="n">
        <f aca="false">IF(AND($N470="VCA",$AF470&gt;=3),$M470*$AF470*2,0)</f>
        <v>0</v>
      </c>
      <c r="BG470" s="153" t="n">
        <f aca="false">($BB470+$BC470)*$AK470</f>
        <v>164.4125</v>
      </c>
      <c r="BH470" s="153" t="n">
        <f aca="false">IF(AND($M470&lt;&gt;"",$N470="VCA",$Q470="LINEAR"),($M470*2)/100,IF(AND($M470&lt;&gt;"",$N470="MND",$Q470="EMBOQUE"),($AN470*2)/100,0))</f>
        <v>2.6306</v>
      </c>
      <c r="BI470" s="153" t="n">
        <f aca="false">IF(AND($M470&lt;&gt;"",$N470="VCA",$Q470="LINEAR"),$M470,IF(AND($M470&lt;&gt;"",$N470="MND",$Q470="EMBOQUE"),$AN470*2,0))</f>
        <v>131.53</v>
      </c>
      <c r="BJ470" s="153" t="n">
        <f aca="false">IF(AND($M470&lt;&gt;"",$N470="VCA",$Q470="LINEAR"),($M470*6.8)/100,IF(AND($M470&lt;&gt;"",$N470="MND",$Q470="EMBOQUE"),($AN470*2*6.8)/100,0))</f>
        <v>8.94404</v>
      </c>
      <c r="BK470" s="153" t="n">
        <f aca="false">IF(AND($M470&lt;&gt;"",$N470="VCA",$Q470="LINEAR"),($M470*2.5)/50,IF(AND($M470&lt;&gt;"",$N470="MND",$Q470="EMBOQUE"),($AN470*2*2.5)/50,0))</f>
        <v>6.5765</v>
      </c>
      <c r="BL470" s="157" t="str">
        <f aca="false">K470&amp;J470</f>
        <v>Zona04REDES</v>
      </c>
      <c r="BM470" s="152" t="s">
        <v>2969</v>
      </c>
      <c r="BN470" s="152" t="s">
        <v>1560</v>
      </c>
      <c r="BO470" s="152" t="s">
        <v>1982</v>
      </c>
      <c r="BP470" s="152" t="s">
        <v>3295</v>
      </c>
      <c r="BQ470" s="152" t="s">
        <v>3322</v>
      </c>
      <c r="BR470" s="152" t="s">
        <v>3296</v>
      </c>
      <c r="BS470" s="152" t="n">
        <v>203281.334</v>
      </c>
      <c r="BT470" s="152" t="n">
        <v>8238185.605</v>
      </c>
      <c r="BU470" s="152" t="n">
        <v>203203.958</v>
      </c>
      <c r="BV470" s="152" t="n">
        <v>8238079.238</v>
      </c>
      <c r="BW470" s="152" t="n">
        <v>-15.9182975</v>
      </c>
      <c r="BX470" s="152" t="n">
        <v>-47.7716024</v>
      </c>
      <c r="BY470" s="152" t="s">
        <v>3295</v>
      </c>
    </row>
    <row r="471" customFormat="false" ht="13.8" hidden="false" customHeight="false" outlineLevel="0" collapsed="false">
      <c r="A471" s="149" t="n">
        <f aca="false">IF(C471&lt;&gt;"",ROW(A466),"")</f>
        <v>466</v>
      </c>
      <c r="B471" s="150" t="str">
        <f aca="false">HYPERLINK("https://www.google.com/maps/dir/-15.917302,-47.760003/-15.9184711,-47.7698556/data=!4m3!4m2!3e0!5i0")</f>
        <v>https://www.google.com/maps/dir/-15.917302,-47.760003/-15.9184711,-47.7698556/data=!4m3!4m2!3e0!5i0</v>
      </c>
      <c r="C471" s="151" t="s">
        <v>117</v>
      </c>
      <c r="D471" s="152" t="s">
        <v>112</v>
      </c>
      <c r="E471" s="152" t="s">
        <v>113</v>
      </c>
      <c r="F471" s="152" t="s">
        <v>117</v>
      </c>
      <c r="G471" s="152" t="s">
        <v>782</v>
      </c>
      <c r="H471" s="152" t="n">
        <v>63</v>
      </c>
      <c r="I471" s="152" t="s">
        <v>115</v>
      </c>
      <c r="J471" s="152" t="s">
        <v>6</v>
      </c>
      <c r="K471" s="152" t="s">
        <v>2966</v>
      </c>
      <c r="L471" s="152" t="s">
        <v>120</v>
      </c>
      <c r="M471" s="153" t="n">
        <f aca="false">54.66+4.07</f>
        <v>58.73</v>
      </c>
      <c r="N471" s="152" t="s">
        <v>1548</v>
      </c>
      <c r="O471" s="152" t="s">
        <v>1549</v>
      </c>
      <c r="P471" s="152" t="s">
        <v>1550</v>
      </c>
      <c r="Q471" s="152" t="s">
        <v>1551</v>
      </c>
      <c r="R471" s="154" t="s">
        <v>3323</v>
      </c>
      <c r="S471" s="154" t="s">
        <v>1553</v>
      </c>
      <c r="T471" s="155" t="s">
        <v>1979</v>
      </c>
      <c r="U471" s="152" t="str">
        <f aca="false">RIGHT(T471,7)</f>
        <v>006/037</v>
      </c>
      <c r="V471" s="152" t="s">
        <v>1555</v>
      </c>
      <c r="W471" s="156" t="n">
        <v>45882</v>
      </c>
      <c r="X471" s="152" t="s">
        <v>1594</v>
      </c>
      <c r="Y471" s="152" t="s">
        <v>3202</v>
      </c>
      <c r="Z471" s="152" t="s">
        <v>1557</v>
      </c>
      <c r="AA471" s="153" t="n">
        <v>2.6</v>
      </c>
      <c r="AB471" s="151" t="s">
        <v>3324</v>
      </c>
      <c r="AC471" s="151" t="s">
        <v>186</v>
      </c>
      <c r="AD471" s="151" t="str">
        <f aca="false">CONCATENATE($C471,$I471,$H471,$N471,$J471,$K471)</f>
        <v>TUBO PEADPEAD63VCAREDESZona04</v>
      </c>
      <c r="AE471" s="153" t="n">
        <f aca="false">IFERROR(INDEX(APOIO_REDES!$A:$W,MATCH($C471&amp;$I471&amp;$H471&amp;$N471&amp;$O471,APOIO_REDES!$W:$W,0),MATCH(AE$5,APOIO_REDES!$5:$5,0)),0)</f>
        <v>1.2</v>
      </c>
      <c r="AF471" s="153" t="n">
        <f aca="false">IFERROR(INDEX(APOIO_REDES!$A:$W,MATCH($C471&amp;$I471&amp;$H471&amp;$N471&amp;$O471,APOIO_REDES!$W:$W,0),MATCH(AF$5,APOIO_REDES!$5:$5,0)),0)</f>
        <v>1.363</v>
      </c>
      <c r="AG471" s="153" t="n">
        <f aca="false">IFERROR(INDEX(APOIO_REDES!$A:$W,MATCH($C471&amp;$I471&amp;$H471&amp;$N471&amp;$O471,APOIO_REDES!$W:$W,0),MATCH(AG$5,APOIO_REDES!$5:$5,0)),0)</f>
        <v>0.65</v>
      </c>
      <c r="AH471" s="153" t="n">
        <f aca="false">IFERROR(INDEX(APOIO_REDES!$A:$W,MATCH($C471&amp;$I471&amp;$H471&amp;$N471&amp;$O471,APOIO_REDES!$W:$W,0),MATCH(AH$5,APOIO_REDES!$5:$5,0)),0)</f>
        <v>0.1</v>
      </c>
      <c r="AI471" s="153" t="n">
        <f aca="false">IFERROR(IF($H471&lt;&gt;"",(((($H471/1000)/2)^2)*PI()*$M471),0),0)</f>
        <v>0.183075817087102</v>
      </c>
      <c r="AJ471" s="153" t="n">
        <f aca="false">IFERROR(IF(AND($H471&lt;&gt;"",$I471="FoFo",OR($N471="MND",$N471="VCA"),$Q471="LINEAR"),0,IF(AND($H471&lt;&gt;"",$I471="PEAD",$N471="VCA",$Q471="LINEAR"),($H471/1000)+0.3,IF(AND($H471&lt;&gt;"",$I471="PEAD",$N471="MND",$Q471="EMBOQUE"),0,IF(AND($H471&lt;&gt;"",$I471="PVC",$N471="VCA",$Q471="LINEAR"),($H471/1000)+0.2,IF(AND($H471&lt;&gt;"",$I471="PVC",$N471="MND",$Q471="EMBOQUE"),0,IF(AND($H471&lt;&gt;"",$I471="PEAD",$N471="VCA",$Q471="PREDIAL"),0,0)))))),0)</f>
        <v>0.363</v>
      </c>
      <c r="AK471" s="153" t="n">
        <f aca="false">IF(AA471&lt;&gt;"",AA471,0)</f>
        <v>2.6</v>
      </c>
      <c r="AL471" s="153" t="n">
        <f aca="false">IF(AND($N471="MND",$Q471="EMBOQUE"),$M471,IF(AND($N471="VCA",$Q471="LINEAR"),$M471,IF(AND($N471="VCA",$Q471="PREDIAL"),0,0)))</f>
        <v>58.73</v>
      </c>
      <c r="AM471" s="153" t="n">
        <f aca="false">IF(AND($N471="MND",$Q471="EMBOQUE"),$M471,IF(AND($N471="VCA",$Q471="LINEAR"),$M471,IF(AND($N471="VCA",$Q471="PREDIAL"),0,0)))</f>
        <v>58.73</v>
      </c>
      <c r="AN471" s="153" t="n">
        <f aca="false">ROUND(IF(AND($N471="VCA",$M471&lt;&gt;"",$Q471="LINEAR"),$M471/100,IF(AND($N471="MND",$M471&gt;100,$Q471="EMBOQUE"),$M471/100,0)),0)</f>
        <v>1</v>
      </c>
      <c r="AO471" s="153" t="n">
        <f aca="false">IF(AND($N471="MND",$Q471="EMBOQUE"),$AN471*2*2,IF(AND($N471="VCA",$Q471="LINEAR"),$M471*2,IF(AND($N471="VCA",$Q471="PREDIAL"),0,0)))</f>
        <v>117.46</v>
      </c>
      <c r="AP471" s="153" t="n">
        <f aca="false">IFERROR($M471*$AF471*$AG471,0)</f>
        <v>52.0318435</v>
      </c>
      <c r="AQ471" s="153" t="n">
        <f aca="false">IFERROR(IF(AND($N471="VCA",$AH471&gt;0),$M471*$AG471*$AH471,0),0)</f>
        <v>3.81745</v>
      </c>
      <c r="AR471" s="153" t="n">
        <f aca="false">IFERROR(IF(AND($N471="VCA",$AJ471&gt;0),($M471*$AG471*$AJ471)-$AI471,0),0)</f>
        <v>13.6742676829129</v>
      </c>
      <c r="AS471" s="153" t="n">
        <f aca="false">IFERROR(IF(AND($N471="VCA",$AP471&gt;0),$AP471-$AI471-$AQ471-$AR471,0),0)</f>
        <v>34.35705</v>
      </c>
      <c r="AT471" s="153" t="n">
        <f aca="false">IFERROR(IF($N471="VCA",INDEX(APOIO_REDES!$A:$W,MATCH($C471&amp;$I471&amp;$H471&amp;$N471&amp;$O471,APOIO_REDES!$W:$W,0),MATCH(AT$5,APOIO_REDES!$5:$5,0)),0)*$AP471,0)</f>
        <v>0.566121857919552</v>
      </c>
      <c r="AU471" s="153" t="n">
        <f aca="false">IFERROR(IF($N471="VCA",INDEX(APOIO_REDES!$A:$W,MATCH($C471&amp;$I471&amp;$H471&amp;$N471&amp;$O471,APOIO_REDES!$W:$W,0),MATCH(AU$5,APOIO_REDES!$5:$5,0)),0)*$AP471,0)</f>
        <v>0.452089583210163</v>
      </c>
      <c r="AV471" s="153" t="n">
        <f aca="false">IFERROR(IF($N471="VCA",INDEX(APOIO_REDES!$A:$W,MATCH($C471&amp;$I471&amp;$H471&amp;$N471&amp;$O471,APOIO_REDES!$W:$W,0),MATCH(AV$5,APOIO_REDES!$5:$5,0)),0)*$AP471,0)</f>
        <v>0.0625656492739073</v>
      </c>
      <c r="AW471" s="153" t="n">
        <f aca="false">IFERROR(IF($N471="VCA",INDEX(APOIO_REDES!$A:$W,MATCH($C471&amp;$I471&amp;$H471&amp;$N471&amp;$O471,APOIO_REDES!$W:$W,0),MATCH(AW$5,APOIO_REDES!$5:$5,0)),0)*$AP471,0)</f>
        <v>35.7150605407968</v>
      </c>
      <c r="AX471" s="153" t="n">
        <f aca="false">IFERROR(IF($N471="VCA",INDEX(APOIO_REDES!$A:$W,MATCH($C471&amp;$I471&amp;$H471&amp;$N471&amp;$O471,APOIO_REDES!$W:$W,0),MATCH(AX$5,APOIO_REDES!$5:$5,0)),0)*$AP471,0)</f>
        <v>4.94286264257057</v>
      </c>
      <c r="AY471" s="153" t="n">
        <f aca="false">IFERROR(IF($N471="VCA",INDEX(APOIO_REDES!$A:$W,MATCH($C471&amp;$I471&amp;$H471&amp;$N471&amp;$O471,APOIO_REDES!$W:$W,0),MATCH(AY$5,APOIO_REDES!$5:$5,0)),0)*$AP471,0)</f>
        <v>9.04178615326789</v>
      </c>
      <c r="AZ471" s="153" t="n">
        <f aca="false">IFERROR(IF($N471="VCA",INDEX(APOIO_REDES!$A:$W,MATCH($C471&amp;$I471&amp;$H471&amp;$N471&amp;$O471,APOIO_REDES!$W:$W,0),MATCH(AZ$5,APOIO_REDES!$5:$5,0)),0)*$AP471,0)</f>
        <v>1.25135707296112</v>
      </c>
      <c r="BA471" s="153" t="n">
        <f aca="false">IFERROR(IF(AND($N471="VCA",$Q471="LINEAR"),INDEX(APOIO_REDES!$A:$W,MATCH($C471&amp;$I471&amp;$H471&amp;$N471&amp;$O471,APOIO_REDES!$W:$W,0),MATCH(BA$5,APOIO_REDES!$5:$5,0)),IF(AND($N471="MND",$Q471="EMBOQUE"),INDEX(APOIO_REDES!$A:$W,MATCH($C471&amp;$I471&amp;$H471&amp;$N471&amp;$O471,APOIO_REDES!$W:$W,0),MATCH(BA$5,APOIO_REDES!$5:$5,0)),0))*$M471/10,0)</f>
        <v>4.7334898582605</v>
      </c>
      <c r="BB471" s="153" t="n">
        <f aca="false">IFERROR(IF($N471="VCA",INDEX(APOIO_REDES!$A:$W,MATCH($C471&amp;$I471&amp;$H471&amp;$N471&amp;$O471,APOIO_REDES!$W:$W,0),MATCH(BB$5,APOIO_REDES!$5:$5,0)),0)*($AI471+$AQ471+$AR471),0)</f>
        <v>17.4824865152482</v>
      </c>
      <c r="BC471" s="153" t="n">
        <f aca="false">IFERROR(IF($N471="VCA",INDEX(APOIO_REDES!$A:$W,MATCH($C471&amp;$I471&amp;$H471&amp;$N471&amp;$O471,APOIO_REDES!$W:$W,0),MATCH(BC$5,APOIO_REDES!$5:$5,0)),0)*($AI471+$AQ471+$AR471),0)</f>
        <v>0.192306984751836</v>
      </c>
      <c r="BD471" s="153" t="n">
        <f aca="false">IF(AND($N471="VCA",$AF471&gt;=1.25,$AF471&lt;1.5),$M471*$AF471*2,0)</f>
        <v>160.09798</v>
      </c>
      <c r="BE471" s="153" t="n">
        <f aca="false">IF(AND($N471="VCA",$AF471&gt;=1.5,$AF471&lt;3),$M471*$AF471*2,0)</f>
        <v>0</v>
      </c>
      <c r="BF471" s="153" t="n">
        <f aca="false">IF(AND($N471="VCA",$AF471&gt;=3),$M471*$AF471*2,0)</f>
        <v>0</v>
      </c>
      <c r="BG471" s="153" t="n">
        <f aca="false">($BB471+$BC471)*$AK471</f>
        <v>45.9544631</v>
      </c>
      <c r="BH471" s="153" t="n">
        <f aca="false">IF(AND($M471&lt;&gt;"",$N471="VCA",$Q471="LINEAR"),($M471*2)/100,IF(AND($M471&lt;&gt;"",$N471="MND",$Q471="EMBOQUE"),($AN471*2)/100,0))</f>
        <v>1.1746</v>
      </c>
      <c r="BI471" s="153" t="n">
        <f aca="false">IF(AND($M471&lt;&gt;"",$N471="VCA",$Q471="LINEAR"),$M471,IF(AND($M471&lt;&gt;"",$N471="MND",$Q471="EMBOQUE"),$AN471*2,0))</f>
        <v>58.73</v>
      </c>
      <c r="BJ471" s="153" t="n">
        <f aca="false">IF(AND($M471&lt;&gt;"",$N471="VCA",$Q471="LINEAR"),($M471*6.8)/100,IF(AND($M471&lt;&gt;"",$N471="MND",$Q471="EMBOQUE"),($AN471*2*6.8)/100,0))</f>
        <v>3.99364</v>
      </c>
      <c r="BK471" s="153" t="n">
        <f aca="false">IF(AND($M471&lt;&gt;"",$N471="VCA",$Q471="LINEAR"),($M471*2.5)/50,IF(AND($M471&lt;&gt;"",$N471="MND",$Q471="EMBOQUE"),($AN471*2*2.5)/50,0))</f>
        <v>2.9365</v>
      </c>
      <c r="BL471" s="157" t="str">
        <f aca="false">K471&amp;J471</f>
        <v>Zona04REDES</v>
      </c>
      <c r="BM471" s="152" t="s">
        <v>2969</v>
      </c>
      <c r="BN471" s="152" t="s">
        <v>1560</v>
      </c>
      <c r="BO471" s="152" t="s">
        <v>1982</v>
      </c>
      <c r="BP471" s="152" t="s">
        <v>3325</v>
      </c>
      <c r="BQ471" s="152" t="s">
        <v>3278</v>
      </c>
      <c r="BR471" s="152" t="s">
        <v>3326</v>
      </c>
      <c r="BS471" s="152" t="n">
        <v>203430.116</v>
      </c>
      <c r="BT471" s="152" t="n">
        <v>8238115.646</v>
      </c>
      <c r="BU471" s="152" t="n">
        <v>203477.051</v>
      </c>
      <c r="BV471" s="152" t="n">
        <v>8238143.562</v>
      </c>
      <c r="BW471" s="152" t="n">
        <v>-15.9183558</v>
      </c>
      <c r="BX471" s="152" t="n">
        <v>-47.7696302</v>
      </c>
      <c r="BY471" s="152" t="s">
        <v>3325</v>
      </c>
    </row>
    <row r="472" customFormat="false" ht="13.8" hidden="false" customHeight="false" outlineLevel="0" collapsed="false">
      <c r="A472" s="149" t="n">
        <f aca="false">IF(C472&lt;&gt;"",ROW(A467),"")</f>
        <v>467</v>
      </c>
      <c r="B472" s="150" t="str">
        <f aca="false">HYPERLINK("https://www.google.com/maps/dir/-15.917302,-47.760003/-15.9184104,-47.7681714/data=!4m3!4m2!3e0!5i0")</f>
        <v>https://www.google.com/maps/dir/-15.917302,-47.760003/-15.9184104,-47.7681714/data=!4m3!4m2!3e0!5i0</v>
      </c>
      <c r="C472" s="151" t="s">
        <v>117</v>
      </c>
      <c r="D472" s="152" t="s">
        <v>112</v>
      </c>
      <c r="E472" s="152" t="s">
        <v>113</v>
      </c>
      <c r="F472" s="152" t="s">
        <v>117</v>
      </c>
      <c r="G472" s="152" t="s">
        <v>782</v>
      </c>
      <c r="H472" s="152" t="n">
        <v>63</v>
      </c>
      <c r="I472" s="152" t="s">
        <v>115</v>
      </c>
      <c r="J472" s="152" t="s">
        <v>6</v>
      </c>
      <c r="K472" s="152" t="s">
        <v>2966</v>
      </c>
      <c r="L472" s="152" t="s">
        <v>120</v>
      </c>
      <c r="M472" s="153" t="n">
        <f aca="false">3.45</f>
        <v>3.45</v>
      </c>
      <c r="N472" s="152" t="s">
        <v>1548</v>
      </c>
      <c r="O472" s="152" t="s">
        <v>1549</v>
      </c>
      <c r="P472" s="152" t="s">
        <v>1550</v>
      </c>
      <c r="Q472" s="152" t="s">
        <v>1551</v>
      </c>
      <c r="R472" s="154" t="s">
        <v>3327</v>
      </c>
      <c r="S472" s="154" t="s">
        <v>1553</v>
      </c>
      <c r="T472" s="155" t="s">
        <v>1979</v>
      </c>
      <c r="U472" s="152" t="str">
        <f aca="false">RIGHT(T472,7)</f>
        <v>006/037</v>
      </c>
      <c r="V472" s="152" t="s">
        <v>1555</v>
      </c>
      <c r="W472" s="156" t="n">
        <v>45882</v>
      </c>
      <c r="X472" s="152" t="s">
        <v>1594</v>
      </c>
      <c r="Y472" s="152" t="s">
        <v>3251</v>
      </c>
      <c r="Z472" s="152" t="s">
        <v>1557</v>
      </c>
      <c r="AA472" s="153" t="n">
        <v>2.5</v>
      </c>
      <c r="AB472" s="151" t="s">
        <v>3328</v>
      </c>
      <c r="AC472" s="151" t="s">
        <v>186</v>
      </c>
      <c r="AD472" s="151" t="str">
        <f aca="false">CONCATENATE($C472,$I472,$H472,$N472,$J472,$K472)</f>
        <v>TUBO PEADPEAD63VCAREDESZona04</v>
      </c>
      <c r="AE472" s="153" t="n">
        <f aca="false">IFERROR(INDEX(APOIO_REDES!$A:$W,MATCH($C472&amp;$I472&amp;$H472&amp;$N472&amp;$O472,APOIO_REDES!$W:$W,0),MATCH(AE$5,APOIO_REDES!$5:$5,0)),0)</f>
        <v>1.2</v>
      </c>
      <c r="AF472" s="153" t="n">
        <f aca="false">IFERROR(INDEX(APOIO_REDES!$A:$W,MATCH($C472&amp;$I472&amp;$H472&amp;$N472&amp;$O472,APOIO_REDES!$W:$W,0),MATCH(AF$5,APOIO_REDES!$5:$5,0)),0)</f>
        <v>1.363</v>
      </c>
      <c r="AG472" s="153" t="n">
        <f aca="false">IFERROR(INDEX(APOIO_REDES!$A:$W,MATCH($C472&amp;$I472&amp;$H472&amp;$N472&amp;$O472,APOIO_REDES!$W:$W,0),MATCH(AG$5,APOIO_REDES!$5:$5,0)),0)</f>
        <v>0.65</v>
      </c>
      <c r="AH472" s="153" t="n">
        <f aca="false">IFERROR(INDEX(APOIO_REDES!$A:$W,MATCH($C472&amp;$I472&amp;$H472&amp;$N472&amp;$O472,APOIO_REDES!$W:$W,0),MATCH(AH$5,APOIO_REDES!$5:$5,0)),0)</f>
        <v>0.1</v>
      </c>
      <c r="AI472" s="153" t="n">
        <f aca="false">IFERROR(IF($H472&lt;&gt;"",(((($H472/1000)/2)^2)*PI()*$M472),0),0)</f>
        <v>0.0107544963213094</v>
      </c>
      <c r="AJ472" s="153" t="n">
        <f aca="false">IFERROR(IF(AND($H472&lt;&gt;"",$I472="FoFo",OR($N472="MND",$N472="VCA"),$Q472="LINEAR"),0,IF(AND($H472&lt;&gt;"",$I472="PEAD",$N472="VCA",$Q472="LINEAR"),($H472/1000)+0.3,IF(AND($H472&lt;&gt;"",$I472="PEAD",$N472="MND",$Q472="EMBOQUE"),0,IF(AND($H472&lt;&gt;"",$I472="PVC",$N472="VCA",$Q472="LINEAR"),($H472/1000)+0.2,IF(AND($H472&lt;&gt;"",$I472="PVC",$N472="MND",$Q472="EMBOQUE"),0,IF(AND($H472&lt;&gt;"",$I472="PEAD",$N472="VCA",$Q472="PREDIAL"),0,0)))))),0)</f>
        <v>0.363</v>
      </c>
      <c r="AK472" s="153" t="n">
        <f aca="false">IF(AA472&lt;&gt;"",AA472,0)</f>
        <v>2.5</v>
      </c>
      <c r="AL472" s="153" t="n">
        <f aca="false">IF(AND($N472="MND",$Q472="EMBOQUE"),$M472,IF(AND($N472="VCA",$Q472="LINEAR"),$M472,IF(AND($N472="VCA",$Q472="PREDIAL"),0,0)))</f>
        <v>3.45</v>
      </c>
      <c r="AM472" s="153" t="n">
        <f aca="false">IF(AND($N472="MND",$Q472="EMBOQUE"),$M472,IF(AND($N472="VCA",$Q472="LINEAR"),$M472,IF(AND($N472="VCA",$Q472="PREDIAL"),0,0)))</f>
        <v>3.45</v>
      </c>
      <c r="AN472" s="153" t="n">
        <f aca="false">ROUND(IF(AND($N472="VCA",$M472&lt;&gt;"",$Q472="LINEAR"),$M472/100,IF(AND($N472="MND",$M472&gt;100,$Q472="EMBOQUE"),$M472/100,0)),0)</f>
        <v>0</v>
      </c>
      <c r="AO472" s="153" t="n">
        <f aca="false">IF(AND($N472="MND",$Q472="EMBOQUE"),$AN472*2*2,IF(AND($N472="VCA",$Q472="LINEAR"),$M472*2,IF(AND($N472="VCA",$Q472="PREDIAL"),0,0)))</f>
        <v>6.9</v>
      </c>
      <c r="AP472" s="153" t="n">
        <f aca="false">IFERROR($M472*$AF472*$AG472,0)</f>
        <v>3.0565275</v>
      </c>
      <c r="AQ472" s="153" t="n">
        <f aca="false">IFERROR(IF(AND($N472="VCA",$AH472&gt;0),$M472*$AG472*$AH472,0),0)</f>
        <v>0.22425</v>
      </c>
      <c r="AR472" s="153" t="n">
        <f aca="false">IFERROR(IF(AND($N472="VCA",$AJ472&gt;0),($M472*$AG472*$AJ472)-$AI472,0),0)</f>
        <v>0.803273003678691</v>
      </c>
      <c r="AS472" s="153" t="n">
        <f aca="false">IFERROR(IF(AND($N472="VCA",$AP472&gt;0),$AP472-$AI472-$AQ472-$AR472,0),0)</f>
        <v>2.01825</v>
      </c>
      <c r="AT472" s="153" t="n">
        <f aca="false">IFERROR(IF($N472="VCA",INDEX(APOIO_REDES!$A:$W,MATCH($C472&amp;$I472&amp;$H472&amp;$N472&amp;$O472,APOIO_REDES!$W:$W,0),MATCH(AT$5,APOIO_REDES!$5:$5,0)),0)*$AP472,0)</f>
        <v>0.0332559238859604</v>
      </c>
      <c r="AU472" s="153" t="n">
        <f aca="false">IFERROR(IF($N472="VCA",INDEX(APOIO_REDES!$A:$W,MATCH($C472&amp;$I472&amp;$H472&amp;$N472&amp;$O472,APOIO_REDES!$W:$W,0),MATCH(AU$5,APOIO_REDES!$5:$5,0)),0)*$AP472,0)</f>
        <v>0.0265572801306839</v>
      </c>
      <c r="AV472" s="153" t="n">
        <f aca="false">IFERROR(IF($N472="VCA",INDEX(APOIO_REDES!$A:$W,MATCH($C472&amp;$I472&amp;$H472&amp;$N472&amp;$O472,APOIO_REDES!$W:$W,0),MATCH(AV$5,APOIO_REDES!$5:$5,0)),0)*$AP472,0)</f>
        <v>0.00367531908726341</v>
      </c>
      <c r="AW472" s="153" t="n">
        <f aca="false">IFERROR(IF($N472="VCA",INDEX(APOIO_REDES!$A:$W,MATCH($C472&amp;$I472&amp;$H472&amp;$N472&amp;$O472,APOIO_REDES!$W:$W,0),MATCH(AW$5,APOIO_REDES!$5:$5,0)),0)*$AP472,0)</f>
        <v>2.09802415913075</v>
      </c>
      <c r="AX472" s="153" t="n">
        <f aca="false">IFERROR(IF($N472="VCA",INDEX(APOIO_REDES!$A:$W,MATCH($C472&amp;$I472&amp;$H472&amp;$N472&amp;$O472,APOIO_REDES!$W:$W,0),MATCH(AX$5,APOIO_REDES!$5:$5,0)),0)*$AP472,0)</f>
        <v>0.290360567288753</v>
      </c>
      <c r="AY472" s="153" t="n">
        <f aca="false">IFERROR(IF($N472="VCA",INDEX(APOIO_REDES!$A:$W,MATCH($C472&amp;$I472&amp;$H472&amp;$N472&amp;$O472,APOIO_REDES!$W:$W,0),MATCH(AY$5,APOIO_REDES!$5:$5,0)),0)*$AP472,0)</f>
        <v>0.531145278882585</v>
      </c>
      <c r="AZ472" s="153" t="n">
        <f aca="false">IFERROR(IF($N472="VCA",INDEX(APOIO_REDES!$A:$W,MATCH($C472&amp;$I472&amp;$H472&amp;$N472&amp;$O472,APOIO_REDES!$W:$W,0),MATCH(AZ$5,APOIO_REDES!$5:$5,0)),0)*$AP472,0)</f>
        <v>0.0735089715940041</v>
      </c>
      <c r="BA472" s="153" t="n">
        <f aca="false">IFERROR(IF(AND($N472="VCA",$Q472="LINEAR"),INDEX(APOIO_REDES!$A:$W,MATCH($C472&amp;$I472&amp;$H472&amp;$N472&amp;$O472,APOIO_REDES!$W:$W,0),MATCH(BA$5,APOIO_REDES!$5:$5,0)),IF(AND($N472="MND",$Q472="EMBOQUE"),INDEX(APOIO_REDES!$A:$W,MATCH($C472&amp;$I472&amp;$H472&amp;$N472&amp;$O472,APOIO_REDES!$W:$W,0),MATCH(BA$5,APOIO_REDES!$5:$5,0)),0))*$M472/10,0)</f>
        <v>0.278061297650242</v>
      </c>
      <c r="BB472" s="153" t="n">
        <f aca="false">IFERROR(IF($N472="VCA",INDEX(APOIO_REDES!$A:$W,MATCH($C472&amp;$I472&amp;$H472&amp;$N472&amp;$O472,APOIO_REDES!$W:$W,0),MATCH(BB$5,APOIO_REDES!$5:$5,0)),0)*($AI472+$AQ472+$AR472),0)</f>
        <v>1.02698073348555</v>
      </c>
      <c r="BC472" s="153" t="n">
        <f aca="false">IFERROR(IF($N472="VCA",INDEX(APOIO_REDES!$A:$W,MATCH($C472&amp;$I472&amp;$H472&amp;$N472&amp;$O472,APOIO_REDES!$W:$W,0),MATCH(BC$5,APOIO_REDES!$5:$5,0)),0)*($AI472+$AQ472+$AR472),0)</f>
        <v>0.0112967665144532</v>
      </c>
      <c r="BD472" s="153" t="n">
        <f aca="false">IF(AND($N472="VCA",$AF472&gt;=1.25,$AF472&lt;1.5),$M472*$AF472*2,0)</f>
        <v>9.4047</v>
      </c>
      <c r="BE472" s="153" t="n">
        <f aca="false">IF(AND($N472="VCA",$AF472&gt;=1.5,$AF472&lt;3),$M472*$AF472*2,0)</f>
        <v>0</v>
      </c>
      <c r="BF472" s="153" t="n">
        <f aca="false">IF(AND($N472="VCA",$AF472&gt;=3),$M472*$AF472*2,0)</f>
        <v>0</v>
      </c>
      <c r="BG472" s="153" t="n">
        <f aca="false">($BB472+$BC472)*$AK472</f>
        <v>2.59569375</v>
      </c>
      <c r="BH472" s="153" t="n">
        <f aca="false">IF(AND($M472&lt;&gt;"",$N472="VCA",$Q472="LINEAR"),($M472*2)/100,IF(AND($M472&lt;&gt;"",$N472="MND",$Q472="EMBOQUE"),($AN472*2)/100,0))</f>
        <v>0.069</v>
      </c>
      <c r="BI472" s="153" t="n">
        <f aca="false">IF(AND($M472&lt;&gt;"",$N472="VCA",$Q472="LINEAR"),$M472,IF(AND($M472&lt;&gt;"",$N472="MND",$Q472="EMBOQUE"),$AN472*2,0))</f>
        <v>3.45</v>
      </c>
      <c r="BJ472" s="153" t="n">
        <f aca="false">IF(AND($M472&lt;&gt;"",$N472="VCA",$Q472="LINEAR"),($M472*6.8)/100,IF(AND($M472&lt;&gt;"",$N472="MND",$Q472="EMBOQUE"),($AN472*2*6.8)/100,0))</f>
        <v>0.2346</v>
      </c>
      <c r="BK472" s="153" t="n">
        <f aca="false">IF(AND($M472&lt;&gt;"",$N472="VCA",$Q472="LINEAR"),($M472*2.5)/50,IF(AND($M472&lt;&gt;"",$N472="MND",$Q472="EMBOQUE"),($AN472*2*2.5)/50,0))</f>
        <v>0.1725</v>
      </c>
      <c r="BL472" s="157" t="str">
        <f aca="false">K472&amp;J472</f>
        <v>Zona04REDES</v>
      </c>
      <c r="BM472" s="152" t="s">
        <v>2969</v>
      </c>
      <c r="BN472" s="152" t="s">
        <v>1560</v>
      </c>
      <c r="BO472" s="152" t="s">
        <v>1982</v>
      </c>
      <c r="BP472" s="152" t="s">
        <v>3308</v>
      </c>
      <c r="BQ472" s="152" t="s">
        <v>3274</v>
      </c>
      <c r="BR472" s="152" t="s">
        <v>3329</v>
      </c>
      <c r="BS472" s="152" t="n">
        <v>203610.579</v>
      </c>
      <c r="BT472" s="152" t="n">
        <v>8238124.411</v>
      </c>
      <c r="BU472" s="152" t="n">
        <v>203611.598</v>
      </c>
      <c r="BV472" s="152" t="n">
        <v>8238121.115</v>
      </c>
      <c r="BW472" s="152" t="n">
        <v>-15.9184285</v>
      </c>
      <c r="BX472" s="152" t="n">
        <v>-47.768166</v>
      </c>
      <c r="BY472" s="152" t="s">
        <v>3308</v>
      </c>
    </row>
    <row r="473" customFormat="false" ht="13.8" hidden="false" customHeight="false" outlineLevel="0" collapsed="false">
      <c r="A473" s="149" t="n">
        <f aca="false">IF(C473&lt;&gt;"",ROW(A468),"")</f>
        <v>468</v>
      </c>
      <c r="B473" s="150" t="str">
        <f aca="false">HYPERLINK("https://www.google.com/maps/dir/-15.917302,-47.760003/-15.9184434,-47.7681613/data=!4m3!4m2!3e0!5i0")</f>
        <v>https://www.google.com/maps/dir/-15.917302,-47.760003/-15.9184434,-47.7681613/data=!4m3!4m2!3e0!5i0</v>
      </c>
      <c r="C473" s="151" t="s">
        <v>117</v>
      </c>
      <c r="D473" s="152" t="s">
        <v>112</v>
      </c>
      <c r="E473" s="152" t="s">
        <v>113</v>
      </c>
      <c r="F473" s="152" t="s">
        <v>117</v>
      </c>
      <c r="G473" s="152" t="s">
        <v>782</v>
      </c>
      <c r="H473" s="152" t="n">
        <v>63</v>
      </c>
      <c r="I473" s="152" t="s">
        <v>115</v>
      </c>
      <c r="J473" s="152" t="s">
        <v>6</v>
      </c>
      <c r="K473" s="152" t="s">
        <v>2966</v>
      </c>
      <c r="L473" s="152" t="s">
        <v>120</v>
      </c>
      <c r="M473" s="153" t="n">
        <f aca="false">26.77+4.02</f>
        <v>30.79</v>
      </c>
      <c r="N473" s="152" t="s">
        <v>1548</v>
      </c>
      <c r="O473" s="152" t="s">
        <v>1549</v>
      </c>
      <c r="P473" s="152" t="s">
        <v>1550</v>
      </c>
      <c r="Q473" s="152" t="s">
        <v>1551</v>
      </c>
      <c r="R473" s="154" t="s">
        <v>3330</v>
      </c>
      <c r="S473" s="154" t="s">
        <v>1553</v>
      </c>
      <c r="T473" s="155" t="s">
        <v>1979</v>
      </c>
      <c r="U473" s="152" t="str">
        <f aca="false">RIGHT(T473,7)</f>
        <v>006/037</v>
      </c>
      <c r="V473" s="152" t="s">
        <v>1555</v>
      </c>
      <c r="W473" s="156" t="n">
        <v>45882</v>
      </c>
      <c r="X473" s="152" t="s">
        <v>1594</v>
      </c>
      <c r="Y473" s="152" t="s">
        <v>2916</v>
      </c>
      <c r="Z473" s="152" t="s">
        <v>1557</v>
      </c>
      <c r="AA473" s="153" t="n">
        <v>2.5</v>
      </c>
      <c r="AB473" s="151" t="s">
        <v>3331</v>
      </c>
      <c r="AC473" s="151" t="s">
        <v>186</v>
      </c>
      <c r="AD473" s="151" t="str">
        <f aca="false">CONCATENATE($C473,$I473,$H473,$N473,$J473,$K473)</f>
        <v>TUBO PEADPEAD63VCAREDESZona04</v>
      </c>
      <c r="AE473" s="153" t="n">
        <f aca="false">IFERROR(INDEX(APOIO_REDES!$A:$W,MATCH($C473&amp;$I473&amp;$H473&amp;$N473&amp;$O473,APOIO_REDES!$W:$W,0),MATCH(AE$5,APOIO_REDES!$5:$5,0)),0)</f>
        <v>1.2</v>
      </c>
      <c r="AF473" s="153" t="n">
        <f aca="false">IFERROR(INDEX(APOIO_REDES!$A:$W,MATCH($C473&amp;$I473&amp;$H473&amp;$N473&amp;$O473,APOIO_REDES!$W:$W,0),MATCH(AF$5,APOIO_REDES!$5:$5,0)),0)</f>
        <v>1.363</v>
      </c>
      <c r="AG473" s="153" t="n">
        <f aca="false">IFERROR(INDEX(APOIO_REDES!$A:$W,MATCH($C473&amp;$I473&amp;$H473&amp;$N473&amp;$O473,APOIO_REDES!$W:$W,0),MATCH(AG$5,APOIO_REDES!$5:$5,0)),0)</f>
        <v>0.65</v>
      </c>
      <c r="AH473" s="153" t="n">
        <f aca="false">IFERROR(INDEX(APOIO_REDES!$A:$W,MATCH($C473&amp;$I473&amp;$H473&amp;$N473&amp;$O473,APOIO_REDES!$W:$W,0),MATCH(AH$5,APOIO_REDES!$5:$5,0)),0)</f>
        <v>0.1</v>
      </c>
      <c r="AI473" s="153" t="n">
        <f aca="false">IFERROR(IF($H473&lt;&gt;"",(((($H473/1000)/2)^2)*PI()*$M473),0),0)</f>
        <v>0.0959799831110485</v>
      </c>
      <c r="AJ473" s="153" t="n">
        <f aca="false">IFERROR(IF(AND($H473&lt;&gt;"",$I473="FoFo",OR($N473="MND",$N473="VCA"),$Q473="LINEAR"),0,IF(AND($H473&lt;&gt;"",$I473="PEAD",$N473="VCA",$Q473="LINEAR"),($H473/1000)+0.3,IF(AND($H473&lt;&gt;"",$I473="PEAD",$N473="MND",$Q473="EMBOQUE"),0,IF(AND($H473&lt;&gt;"",$I473="PVC",$N473="VCA",$Q473="LINEAR"),($H473/1000)+0.2,IF(AND($H473&lt;&gt;"",$I473="PVC",$N473="MND",$Q473="EMBOQUE"),0,IF(AND($H473&lt;&gt;"",$I473="PEAD",$N473="VCA",$Q473="PREDIAL"),0,0)))))),0)</f>
        <v>0.363</v>
      </c>
      <c r="AK473" s="153" t="n">
        <f aca="false">IF(AA473&lt;&gt;"",AA473,0)</f>
        <v>2.5</v>
      </c>
      <c r="AL473" s="153" t="n">
        <f aca="false">IF(AND($N473="MND",$Q473="EMBOQUE"),$M473,IF(AND($N473="VCA",$Q473="LINEAR"),$M473,IF(AND($N473="VCA",$Q473="PREDIAL"),0,0)))</f>
        <v>30.79</v>
      </c>
      <c r="AM473" s="153" t="n">
        <f aca="false">IF(AND($N473="MND",$Q473="EMBOQUE"),$M473,IF(AND($N473="VCA",$Q473="LINEAR"),$M473,IF(AND($N473="VCA",$Q473="PREDIAL"),0,0)))</f>
        <v>30.79</v>
      </c>
      <c r="AN473" s="153" t="n">
        <f aca="false">ROUND(IF(AND($N473="VCA",$M473&lt;&gt;"",$Q473="LINEAR"),$M473/100,IF(AND($N473="MND",$M473&gt;100,$Q473="EMBOQUE"),$M473/100,0)),0)</f>
        <v>0</v>
      </c>
      <c r="AO473" s="153" t="n">
        <f aca="false">IF(AND($N473="MND",$Q473="EMBOQUE"),$AN473*2*2,IF(AND($N473="VCA",$Q473="LINEAR"),$M473*2,IF(AND($N473="VCA",$Q473="PREDIAL"),0,0)))</f>
        <v>61.58</v>
      </c>
      <c r="AP473" s="153" t="n">
        <f aca="false">IFERROR($M473*$AF473*$AG473,0)</f>
        <v>27.2784005</v>
      </c>
      <c r="AQ473" s="153" t="n">
        <f aca="false">IFERROR(IF(AND($N473="VCA",$AH473&gt;0),$M473*$AG473*$AH473,0),0)</f>
        <v>2.00135</v>
      </c>
      <c r="AR473" s="153" t="n">
        <f aca="false">IFERROR(IF(AND($N473="VCA",$AJ473&gt;0),($M473*$AG473*$AJ473)-$AI473,0),0)</f>
        <v>7.16892051688895</v>
      </c>
      <c r="AS473" s="153" t="n">
        <f aca="false">IFERROR(IF(AND($N473="VCA",$AP473&gt;0),$AP473-$AI473-$AQ473-$AR473,0),0)</f>
        <v>18.01215</v>
      </c>
      <c r="AT473" s="153" t="n">
        <f aca="false">IFERROR(IF($N473="VCA",INDEX(APOIO_REDES!$A:$W,MATCH($C473&amp;$I473&amp;$H473&amp;$N473&amp;$O473,APOIO_REDES!$W:$W,0),MATCH(AT$5,APOIO_REDES!$5:$5,0)),0)*$AP473,0)</f>
        <v>0.296797071434412</v>
      </c>
      <c r="AU473" s="153" t="n">
        <f aca="false">IFERROR(IF($N473="VCA",INDEX(APOIO_REDES!$A:$W,MATCH($C473&amp;$I473&amp;$H473&amp;$N473&amp;$O473,APOIO_REDES!$W:$W,0),MATCH(AU$5,APOIO_REDES!$5:$5,0)),0)*$AP473,0)</f>
        <v>0.237014102963408</v>
      </c>
      <c r="AV473" s="153" t="n">
        <f aca="false">IFERROR(IF($N473="VCA",INDEX(APOIO_REDES!$A:$W,MATCH($C473&amp;$I473&amp;$H473&amp;$N473&amp;$O473,APOIO_REDES!$W:$W,0),MATCH(AV$5,APOIO_REDES!$5:$5,0)),0)*$AP473,0)</f>
        <v>0.0328008912164755</v>
      </c>
      <c r="AW473" s="153" t="n">
        <f aca="false">IFERROR(IF($N473="VCA",INDEX(APOIO_REDES!$A:$W,MATCH($C473&amp;$I473&amp;$H473&amp;$N473&amp;$O473,APOIO_REDES!$W:$W,0),MATCH(AW$5,APOIO_REDES!$5:$5,0)),0)*$AP473,0)</f>
        <v>18.7241054665611</v>
      </c>
      <c r="AX473" s="153" t="n">
        <f aca="false">IFERROR(IF($N473="VCA",INDEX(APOIO_REDES!$A:$W,MATCH($C473&amp;$I473&amp;$H473&amp;$N473&amp;$O473,APOIO_REDES!$W:$W,0),MATCH(AX$5,APOIO_REDES!$5:$5,0)),0)*$AP473,0)</f>
        <v>2.59136285994803</v>
      </c>
      <c r="AY473" s="153" t="n">
        <f aca="false">IFERROR(IF($N473="VCA",INDEX(APOIO_REDES!$A:$W,MATCH($C473&amp;$I473&amp;$H473&amp;$N473&amp;$O473,APOIO_REDES!$W:$W,0),MATCH(AY$5,APOIO_REDES!$5:$5,0)),0)*$AP473,0)</f>
        <v>4.74027917008545</v>
      </c>
      <c r="AZ473" s="153" t="n">
        <f aca="false">IFERROR(IF($N473="VCA",INDEX(APOIO_REDES!$A:$W,MATCH($C473&amp;$I473&amp;$H473&amp;$N473&amp;$O473,APOIO_REDES!$W:$W,0),MATCH(AZ$5,APOIO_REDES!$5:$5,0)),0)*$AP473,0)</f>
        <v>0.656040937791126</v>
      </c>
      <c r="BA473" s="153" t="n">
        <f aca="false">IFERROR(IF(AND($N473="VCA",$Q473="LINEAR"),INDEX(APOIO_REDES!$A:$W,MATCH($C473&amp;$I473&amp;$H473&amp;$N473&amp;$O473,APOIO_REDES!$W:$W,0),MATCH(BA$5,APOIO_REDES!$5:$5,0)),IF(AND($N473="MND",$Q473="EMBOQUE"),INDEX(APOIO_REDES!$A:$W,MATCH($C473&amp;$I473&amp;$H473&amp;$N473&amp;$O473,APOIO_REDES!$W:$W,0),MATCH(BA$5,APOIO_REDES!$5:$5,0)),0))*$M473/10,0)</f>
        <v>2.48159633468144</v>
      </c>
      <c r="BB473" s="153" t="n">
        <f aca="false">IFERROR(IF($N473="VCA",INDEX(APOIO_REDES!$A:$W,MATCH($C473&amp;$I473&amp;$H473&amp;$N473&amp;$O473,APOIO_REDES!$W:$W,0),MATCH(BB$5,APOIO_REDES!$5:$5,0)),0)*($AI473+$AQ473+$AR473),0)</f>
        <v>9.16543095188985</v>
      </c>
      <c r="BC473" s="153" t="n">
        <f aca="false">IFERROR(IF($N473="VCA",INDEX(APOIO_REDES!$A:$W,MATCH($C473&amp;$I473&amp;$H473&amp;$N473&amp;$O473,APOIO_REDES!$W:$W,0),MATCH(BC$5,APOIO_REDES!$5:$5,0)),0)*($AI473+$AQ473+$AR473),0)</f>
        <v>0.100819548110149</v>
      </c>
      <c r="BD473" s="153" t="n">
        <f aca="false">IF(AND($N473="VCA",$AF473&gt;=1.25,$AF473&lt;1.5),$M473*$AF473*2,0)</f>
        <v>83.93354</v>
      </c>
      <c r="BE473" s="153" t="n">
        <f aca="false">IF(AND($N473="VCA",$AF473&gt;=1.5,$AF473&lt;3),$M473*$AF473*2,0)</f>
        <v>0</v>
      </c>
      <c r="BF473" s="153" t="n">
        <f aca="false">IF(AND($N473="VCA",$AF473&gt;=3),$M473*$AF473*2,0)</f>
        <v>0</v>
      </c>
      <c r="BG473" s="153" t="n">
        <f aca="false">($BB473+$BC473)*$AK473</f>
        <v>23.16562625</v>
      </c>
      <c r="BH473" s="153" t="n">
        <f aca="false">IF(AND($M473&lt;&gt;"",$N473="VCA",$Q473="LINEAR"),($M473*2)/100,IF(AND($M473&lt;&gt;"",$N473="MND",$Q473="EMBOQUE"),($AN473*2)/100,0))</f>
        <v>0.6158</v>
      </c>
      <c r="BI473" s="153" t="n">
        <f aca="false">IF(AND($M473&lt;&gt;"",$N473="VCA",$Q473="LINEAR"),$M473,IF(AND($M473&lt;&gt;"",$N473="MND",$Q473="EMBOQUE"),$AN473*2,0))</f>
        <v>30.79</v>
      </c>
      <c r="BJ473" s="153" t="n">
        <f aca="false">IF(AND($M473&lt;&gt;"",$N473="VCA",$Q473="LINEAR"),($M473*6.8)/100,IF(AND($M473&lt;&gt;"",$N473="MND",$Q473="EMBOQUE"),($AN473*2*6.8)/100,0))</f>
        <v>2.09372</v>
      </c>
      <c r="BK473" s="153" t="n">
        <f aca="false">IF(AND($M473&lt;&gt;"",$N473="VCA",$Q473="LINEAR"),($M473*2.5)/50,IF(AND($M473&lt;&gt;"",$N473="MND",$Q473="EMBOQUE"),($AN473*2*2.5)/50,0))</f>
        <v>1.5395</v>
      </c>
      <c r="BL473" s="157" t="str">
        <f aca="false">K473&amp;J473</f>
        <v>Zona04REDES</v>
      </c>
      <c r="BM473" s="152" t="s">
        <v>2969</v>
      </c>
      <c r="BN473" s="152" t="s">
        <v>1560</v>
      </c>
      <c r="BO473" s="152" t="s">
        <v>1982</v>
      </c>
      <c r="BP473" s="152" t="s">
        <v>3274</v>
      </c>
      <c r="BQ473" s="152" t="s">
        <v>3332</v>
      </c>
      <c r="BR473" s="152" t="s">
        <v>3333</v>
      </c>
      <c r="BS473" s="152" t="n">
        <v>203611.598</v>
      </c>
      <c r="BT473" s="152" t="n">
        <v>8238121.115</v>
      </c>
      <c r="BU473" s="152" t="n">
        <v>203616.117</v>
      </c>
      <c r="BV473" s="152" t="n">
        <v>8238094.858</v>
      </c>
      <c r="BW473" s="152" t="n">
        <v>-15.9185608</v>
      </c>
      <c r="BX473" s="152" t="n">
        <v>-47.7681339</v>
      </c>
      <c r="BY473" s="152" t="s">
        <v>3274</v>
      </c>
    </row>
    <row r="474" customFormat="false" ht="13.8" hidden="false" customHeight="false" outlineLevel="0" collapsed="false">
      <c r="A474" s="149" t="n">
        <f aca="false">IF(C474&lt;&gt;"",ROW(A469),"")</f>
        <v>469</v>
      </c>
      <c r="B474" s="150" t="str">
        <f aca="false">HYPERLINK("https://www.google.com/maps/dir/-15.917302,-47.760003/-15.9187738,-47.7719690/data=!4m3!4m2!3e0!5i0")</f>
        <v>https://www.google.com/maps/dir/-15.917302,-47.760003/-15.9187738,-47.7719690/data=!4m3!4m2!3e0!5i0</v>
      </c>
      <c r="C474" s="151" t="s">
        <v>117</v>
      </c>
      <c r="D474" s="152" t="s">
        <v>112</v>
      </c>
      <c r="E474" s="152" t="s">
        <v>113</v>
      </c>
      <c r="F474" s="152" t="s">
        <v>117</v>
      </c>
      <c r="G474" s="152" t="s">
        <v>114</v>
      </c>
      <c r="H474" s="152" t="n">
        <v>225</v>
      </c>
      <c r="I474" s="152" t="s">
        <v>115</v>
      </c>
      <c r="J474" s="152" t="s">
        <v>6</v>
      </c>
      <c r="K474" s="152" t="s">
        <v>2966</v>
      </c>
      <c r="L474" s="152" t="s">
        <v>120</v>
      </c>
      <c r="M474" s="153" t="n">
        <f aca="false">4.9</f>
        <v>4.9</v>
      </c>
      <c r="N474" s="152" t="s">
        <v>1548</v>
      </c>
      <c r="O474" s="152" t="s">
        <v>1549</v>
      </c>
      <c r="P474" s="152" t="s">
        <v>1550</v>
      </c>
      <c r="Q474" s="152" t="s">
        <v>1551</v>
      </c>
      <c r="R474" s="154" t="s">
        <v>3334</v>
      </c>
      <c r="S474" s="154" t="s">
        <v>1593</v>
      </c>
      <c r="T474" s="155" t="s">
        <v>1979</v>
      </c>
      <c r="U474" s="152" t="str">
        <f aca="false">RIGHT(T474,7)</f>
        <v>006/037</v>
      </c>
      <c r="V474" s="152" t="s">
        <v>1555</v>
      </c>
      <c r="W474" s="156" t="n">
        <v>45882</v>
      </c>
      <c r="X474" s="152" t="s">
        <v>1594</v>
      </c>
      <c r="Y474" s="152" t="s">
        <v>3233</v>
      </c>
      <c r="Z474" s="152" t="s">
        <v>1557</v>
      </c>
      <c r="AA474" s="153" t="n">
        <v>2.6</v>
      </c>
      <c r="AB474" s="151" t="s">
        <v>3335</v>
      </c>
      <c r="AC474" s="151" t="s">
        <v>508</v>
      </c>
      <c r="AD474" s="151" t="str">
        <f aca="false">CONCATENATE($C474,$I474,$H474,$N474,$J474,$K474)</f>
        <v>TUBO PEADPEAD225VCAREDESZona04</v>
      </c>
      <c r="AE474" s="153" t="n">
        <f aca="false">IFERROR(INDEX(APOIO_REDES!$A:$W,MATCH($C474&amp;$I474&amp;$H474&amp;$N474&amp;$O474,APOIO_REDES!$W:$W,0),MATCH(AE$5,APOIO_REDES!$5:$5,0)),0)</f>
        <v>1.2</v>
      </c>
      <c r="AF474" s="153" t="n">
        <f aca="false">IFERROR(INDEX(APOIO_REDES!$A:$W,MATCH($C474&amp;$I474&amp;$H474&amp;$N474&amp;$O474,APOIO_REDES!$W:$W,0),MATCH(AF$5,APOIO_REDES!$5:$5,0)),0)</f>
        <v>1.525</v>
      </c>
      <c r="AG474" s="153" t="n">
        <f aca="false">IFERROR(INDEX(APOIO_REDES!$A:$W,MATCH($C474&amp;$I474&amp;$H474&amp;$N474&amp;$O474,APOIO_REDES!$W:$W,0),MATCH(AG$5,APOIO_REDES!$5:$5,0)),0)</f>
        <v>0.8</v>
      </c>
      <c r="AH474" s="153" t="n">
        <f aca="false">IFERROR(INDEX(APOIO_REDES!$A:$W,MATCH($C474&amp;$I474&amp;$H474&amp;$N474&amp;$O474,APOIO_REDES!$W:$W,0),MATCH(AH$5,APOIO_REDES!$5:$5,0)),0)</f>
        <v>0.1</v>
      </c>
      <c r="AI474" s="153" t="n">
        <f aca="false">IFERROR(IF($H474&lt;&gt;"",(((($H474/1000)/2)^2)*PI()*$M474),0),0)</f>
        <v>0.19482783190778</v>
      </c>
      <c r="AJ474" s="153" t="n">
        <f aca="false">IFERROR(IF(AND($H474&lt;&gt;"",$I474="FoFo",OR($N474="MND",$N474="VCA"),$Q474="LINEAR"),0,IF(AND($H474&lt;&gt;"",$I474="PEAD",$N474="VCA",$Q474="LINEAR"),($H474/1000)+0.3,IF(AND($H474&lt;&gt;"",$I474="PEAD",$N474="MND",$Q474="EMBOQUE"),0,IF(AND($H474&lt;&gt;"",$I474="PVC",$N474="VCA",$Q474="LINEAR"),($H474/1000)+0.2,IF(AND($H474&lt;&gt;"",$I474="PVC",$N474="MND",$Q474="EMBOQUE"),0,IF(AND($H474&lt;&gt;"",$I474="PEAD",$N474="VCA",$Q474="PREDIAL"),0,0)))))),0)</f>
        <v>0.525</v>
      </c>
      <c r="AK474" s="153" t="n">
        <f aca="false">IF(AA474&lt;&gt;"",AA474,0)</f>
        <v>2.6</v>
      </c>
      <c r="AL474" s="153" t="n">
        <f aca="false">IF(AND($N474="MND",$Q474="EMBOQUE"),$M474,IF(AND($N474="VCA",$Q474="LINEAR"),$M474,IF(AND($N474="VCA",$Q474="PREDIAL"),0,0)))</f>
        <v>4.9</v>
      </c>
      <c r="AM474" s="153" t="n">
        <f aca="false">IF(AND($N474="MND",$Q474="EMBOQUE"),$M474,IF(AND($N474="VCA",$Q474="LINEAR"),$M474,IF(AND($N474="VCA",$Q474="PREDIAL"),0,0)))</f>
        <v>4.9</v>
      </c>
      <c r="AN474" s="153" t="n">
        <f aca="false">ROUND(IF(AND($N474="VCA",$M474&lt;&gt;"",$Q474="LINEAR"),$M474/100,IF(AND($N474="MND",$M474&gt;100,$Q474="EMBOQUE"),$M474/100,0)),0)</f>
        <v>0</v>
      </c>
      <c r="AO474" s="153" t="n">
        <f aca="false">IF(AND($N474="MND",$Q474="EMBOQUE"),$AN474*2*2,IF(AND($N474="VCA",$Q474="LINEAR"),$M474*2,IF(AND($N474="VCA",$Q474="PREDIAL"),0,0)))</f>
        <v>9.8</v>
      </c>
      <c r="AP474" s="153" t="n">
        <f aca="false">IFERROR($M474*$AF474*$AG474,0)</f>
        <v>5.978</v>
      </c>
      <c r="AQ474" s="153" t="n">
        <f aca="false">IFERROR(IF(AND($N474="VCA",$AH474&gt;0),$M474*$AG474*$AH474,0),0)</f>
        <v>0.392</v>
      </c>
      <c r="AR474" s="153" t="n">
        <f aca="false">IFERROR(IF(AND($N474="VCA",$AJ474&gt;0),($M474*$AG474*$AJ474)-$AI474,0),0)</f>
        <v>1.86317216809222</v>
      </c>
      <c r="AS474" s="153" t="n">
        <f aca="false">IFERROR(IF(AND($N474="VCA",$AP474&gt;0),$AP474-$AI474-$AQ474-$AR474,0),0)</f>
        <v>3.528</v>
      </c>
      <c r="AT474" s="153" t="n">
        <f aca="false">IFERROR(IF($N474="VCA",INDEX(APOIO_REDES!$A:$W,MATCH($C474&amp;$I474&amp;$H474&amp;$N474&amp;$O474,APOIO_REDES!$W:$W,0),MATCH(AT$5,APOIO_REDES!$5:$5,0)),0)*$AP474,0)</f>
        <v>0.0650424093976813</v>
      </c>
      <c r="AU474" s="153" t="n">
        <f aca="false">IFERROR(IF($N474="VCA",INDEX(APOIO_REDES!$A:$W,MATCH($C474&amp;$I474&amp;$H474&amp;$N474&amp;$O474,APOIO_REDES!$W:$W,0),MATCH(AU$5,APOIO_REDES!$5:$5,0)),0)*$AP474,0)</f>
        <v>0.0519411065731384</v>
      </c>
      <c r="AV474" s="153" t="n">
        <f aca="false">IFERROR(IF($N474="VCA",INDEX(APOIO_REDES!$A:$W,MATCH($C474&amp;$I474&amp;$H474&amp;$N474&amp;$O474,APOIO_REDES!$W:$W,0),MATCH(AV$5,APOIO_REDES!$5:$5,0)),0)*$AP474,0)</f>
        <v>0.00718824139604852</v>
      </c>
      <c r="AW474" s="153" t="n">
        <f aca="false">IFERROR(IF($N474="VCA",INDEX(APOIO_REDES!$A:$W,MATCH($C474&amp;$I474&amp;$H474&amp;$N474&amp;$O474,APOIO_REDES!$W:$W,0),MATCH(AW$5,APOIO_REDES!$5:$5,0)),0)*$AP474,0)</f>
        <v>4.1033455198043</v>
      </c>
      <c r="AX474" s="153" t="n">
        <f aca="false">IFERROR(IF($N474="VCA",INDEX(APOIO_REDES!$A:$W,MATCH($C474&amp;$I474&amp;$H474&amp;$N474&amp;$O474,APOIO_REDES!$W:$W,0),MATCH(AX$5,APOIO_REDES!$5:$5,0)),0)*$AP474,0)</f>
        <v>0.567891331339949</v>
      </c>
      <c r="AY474" s="153" t="n">
        <f aca="false">IFERROR(IF($N474="VCA",INDEX(APOIO_REDES!$A:$W,MATCH($C474&amp;$I474&amp;$H474&amp;$N474&amp;$O474,APOIO_REDES!$W:$W,0),MATCH(AY$5,APOIO_REDES!$5:$5,0)),0)*$AP474,0)</f>
        <v>1.03882149830489</v>
      </c>
      <c r="AZ474" s="153" t="n">
        <f aca="false">IFERROR(IF($N474="VCA",INDEX(APOIO_REDES!$A:$W,MATCH($C474&amp;$I474&amp;$H474&amp;$N474&amp;$O474,APOIO_REDES!$W:$W,0),MATCH(AZ$5,APOIO_REDES!$5:$5,0)),0)*$AP474,0)</f>
        <v>0.143769893183999</v>
      </c>
      <c r="BA474" s="153" t="n">
        <f aca="false">IFERROR(IF(AND($N474="VCA",$Q474="LINEAR"),INDEX(APOIO_REDES!$A:$W,MATCH($C474&amp;$I474&amp;$H474&amp;$N474&amp;$O474,APOIO_REDES!$W:$W,0),MATCH(BA$5,APOIO_REDES!$5:$5,0)),IF(AND($N474="MND",$Q474="EMBOQUE"),INDEX(APOIO_REDES!$A:$W,MATCH($C474&amp;$I474&amp;$H474&amp;$N474&amp;$O474,APOIO_REDES!$W:$W,0),MATCH(BA$5,APOIO_REDES!$5:$5,0)),0))*$M474/10,0)</f>
        <v>0.394927640140923</v>
      </c>
      <c r="BB474" s="153" t="n">
        <f aca="false">IFERROR(IF($N474="VCA",INDEX(APOIO_REDES!$A:$W,MATCH($C474&amp;$I474&amp;$H474&amp;$N474&amp;$O474,APOIO_REDES!$W:$W,0),MATCH(BB$5,APOIO_REDES!$5:$5,0)),0)*($AI474+$AQ474+$AR474),0)</f>
        <v>2.42334327483702</v>
      </c>
      <c r="BC474" s="153" t="n">
        <f aca="false">IFERROR(IF($N474="VCA",INDEX(APOIO_REDES!$A:$W,MATCH($C474&amp;$I474&amp;$H474&amp;$N474&amp;$O474,APOIO_REDES!$W:$W,0),MATCH(BC$5,APOIO_REDES!$5:$5,0)),0)*($AI474+$AQ474+$AR474),0)</f>
        <v>0.0266567251629841</v>
      </c>
      <c r="BD474" s="153" t="n">
        <f aca="false">IF(AND($N474="VCA",$AF474&gt;=1.25,$AF474&lt;1.5),$M474*$AF474*2,0)</f>
        <v>0</v>
      </c>
      <c r="BE474" s="153" t="n">
        <f aca="false">IF(AND($N474="VCA",$AF474&gt;=1.5,$AF474&lt;3),$M474*$AF474*2,0)</f>
        <v>14.945</v>
      </c>
      <c r="BF474" s="153" t="n">
        <f aca="false">IF(AND($N474="VCA",$AF474&gt;=3),$M474*$AF474*2,0)</f>
        <v>0</v>
      </c>
      <c r="BG474" s="153" t="n">
        <f aca="false">($BB474+$BC474)*$AK474</f>
        <v>6.37</v>
      </c>
      <c r="BH474" s="153" t="n">
        <f aca="false">IF(AND($M474&lt;&gt;"",$N474="VCA",$Q474="LINEAR"),($M474*2)/100,IF(AND($M474&lt;&gt;"",$N474="MND",$Q474="EMBOQUE"),($AN474*2)/100,0))</f>
        <v>0.098</v>
      </c>
      <c r="BI474" s="153" t="n">
        <f aca="false">IF(AND($M474&lt;&gt;"",$N474="VCA",$Q474="LINEAR"),$M474,IF(AND($M474&lt;&gt;"",$N474="MND",$Q474="EMBOQUE"),$AN474*2,0))</f>
        <v>4.9</v>
      </c>
      <c r="BJ474" s="153" t="n">
        <f aca="false">IF(AND($M474&lt;&gt;"",$N474="VCA",$Q474="LINEAR"),($M474*6.8)/100,IF(AND($M474&lt;&gt;"",$N474="MND",$Q474="EMBOQUE"),($AN474*2*6.8)/100,0))</f>
        <v>0.3332</v>
      </c>
      <c r="BK474" s="153" t="n">
        <f aca="false">IF(AND($M474&lt;&gt;"",$N474="VCA",$Q474="LINEAR"),($M474*2.5)/50,IF(AND($M474&lt;&gt;"",$N474="MND",$Q474="EMBOQUE"),($AN474*2*2.5)/50,0))</f>
        <v>0.245</v>
      </c>
      <c r="BL474" s="157" t="str">
        <f aca="false">K474&amp;J474</f>
        <v>Zona04REDES</v>
      </c>
      <c r="BM474" s="152" t="s">
        <v>2969</v>
      </c>
      <c r="BN474" s="152" t="s">
        <v>1560</v>
      </c>
      <c r="BO474" s="152" t="s">
        <v>1982</v>
      </c>
      <c r="BP474" s="152" t="s">
        <v>3322</v>
      </c>
      <c r="BQ474" s="152" t="s">
        <v>3336</v>
      </c>
      <c r="BR474" s="152" t="s">
        <v>3296</v>
      </c>
      <c r="BS474" s="152" t="n">
        <v>203203.958</v>
      </c>
      <c r="BT474" s="152" t="n">
        <v>8238079.238</v>
      </c>
      <c r="BU474" s="152" t="n">
        <v>203201.068</v>
      </c>
      <c r="BV474" s="152" t="n">
        <v>8238075.286</v>
      </c>
      <c r="BW474" s="152" t="n">
        <v>-15.9187904</v>
      </c>
      <c r="BX474" s="152" t="n">
        <v>-47.7719842</v>
      </c>
      <c r="BY474" s="152" t="s">
        <v>3322</v>
      </c>
    </row>
    <row r="475" customFormat="false" ht="13.8" hidden="false" customHeight="false" outlineLevel="0" collapsed="false">
      <c r="A475" s="149" t="n">
        <f aca="false">IF(C475&lt;&gt;"",ROW(A470),"")</f>
        <v>470</v>
      </c>
      <c r="B475" s="150" t="str">
        <f aca="false">HYPERLINK("https://www.google.com/maps/dir/-15.917302,-47.760003/-15.9187976,-47.7720136/data=!4m3!4m2!3e0!5i0")</f>
        <v>https://www.google.com/maps/dir/-15.917302,-47.760003/-15.9187976,-47.7720136/data=!4m3!4m2!3e0!5i0</v>
      </c>
      <c r="C475" s="151" t="s">
        <v>117</v>
      </c>
      <c r="D475" s="152" t="s">
        <v>112</v>
      </c>
      <c r="E475" s="152" t="s">
        <v>113</v>
      </c>
      <c r="F475" s="152" t="s">
        <v>117</v>
      </c>
      <c r="G475" s="152" t="s">
        <v>114</v>
      </c>
      <c r="H475" s="152" t="n">
        <v>250</v>
      </c>
      <c r="I475" s="152" t="s">
        <v>115</v>
      </c>
      <c r="J475" s="152" t="s">
        <v>6</v>
      </c>
      <c r="K475" s="152" t="s">
        <v>2966</v>
      </c>
      <c r="L475" s="152" t="s">
        <v>120</v>
      </c>
      <c r="M475" s="153" t="n">
        <f aca="false">2.03</f>
        <v>2.03</v>
      </c>
      <c r="N475" s="152" t="s">
        <v>1548</v>
      </c>
      <c r="O475" s="152" t="s">
        <v>1549</v>
      </c>
      <c r="P475" s="152" t="s">
        <v>1550</v>
      </c>
      <c r="Q475" s="152" t="s">
        <v>1551</v>
      </c>
      <c r="R475" s="154" t="s">
        <v>3337</v>
      </c>
      <c r="S475" s="154" t="s">
        <v>1593</v>
      </c>
      <c r="T475" s="155" t="s">
        <v>1979</v>
      </c>
      <c r="U475" s="152" t="str">
        <f aca="false">RIGHT(T475,7)</f>
        <v>006/037</v>
      </c>
      <c r="V475" s="152" t="s">
        <v>1555</v>
      </c>
      <c r="W475" s="156" t="n">
        <v>45882</v>
      </c>
      <c r="X475" s="152" t="s">
        <v>1594</v>
      </c>
      <c r="Y475" s="152" t="s">
        <v>2209</v>
      </c>
      <c r="Z475" s="152" t="s">
        <v>1557</v>
      </c>
      <c r="AA475" s="153" t="n">
        <v>2.6</v>
      </c>
      <c r="AB475" s="151" t="s">
        <v>3338</v>
      </c>
      <c r="AC475" s="151" t="s">
        <v>511</v>
      </c>
      <c r="AD475" s="151" t="str">
        <f aca="false">CONCATENATE($C475,$I475,$H475,$N475,$J475,$K475)</f>
        <v>TUBO PEADPEAD250VCAREDESZona04</v>
      </c>
      <c r="AE475" s="153" t="n">
        <f aca="false">IFERROR(INDEX(APOIO_REDES!$A:$W,MATCH($C475&amp;$I475&amp;$H475&amp;$N475&amp;$O475,APOIO_REDES!$W:$W,0),MATCH(AE$5,APOIO_REDES!$5:$5,0)),0)</f>
        <v>1.2</v>
      </c>
      <c r="AF475" s="153" t="n">
        <f aca="false">IFERROR(INDEX(APOIO_REDES!$A:$W,MATCH($C475&amp;$I475&amp;$H475&amp;$N475&amp;$O475,APOIO_REDES!$W:$W,0),MATCH(AF$5,APOIO_REDES!$5:$5,0)),0)</f>
        <v>1.55</v>
      </c>
      <c r="AG475" s="153" t="n">
        <f aca="false">IFERROR(INDEX(APOIO_REDES!$A:$W,MATCH($C475&amp;$I475&amp;$H475&amp;$N475&amp;$O475,APOIO_REDES!$W:$W,0),MATCH(AG$5,APOIO_REDES!$5:$5,0)),0)</f>
        <v>0.85</v>
      </c>
      <c r="AH475" s="153" t="n">
        <f aca="false">IFERROR(INDEX(APOIO_REDES!$A:$W,MATCH($C475&amp;$I475&amp;$H475&amp;$N475&amp;$O475,APOIO_REDES!$W:$W,0),MATCH(AH$5,APOIO_REDES!$5:$5,0)),0)</f>
        <v>0.1</v>
      </c>
      <c r="AI475" s="153" t="n">
        <f aca="false">IFERROR(IF($H475&lt;&gt;"",(((($H475/1000)/2)^2)*PI()*$M475),0),0)</f>
        <v>0.0996473919810512</v>
      </c>
      <c r="AJ475" s="153" t="n">
        <f aca="false">IFERROR(IF(AND($H475&lt;&gt;"",$I475="FoFo",OR($N475="MND",$N475="VCA"),$Q475="LINEAR"),0,IF(AND($H475&lt;&gt;"",$I475="PEAD",$N475="VCA",$Q475="LINEAR"),($H475/1000)+0.3,IF(AND($H475&lt;&gt;"",$I475="PEAD",$N475="MND",$Q475="EMBOQUE"),0,IF(AND($H475&lt;&gt;"",$I475="PVC",$N475="VCA",$Q475="LINEAR"),($H475/1000)+0.2,IF(AND($H475&lt;&gt;"",$I475="PVC",$N475="MND",$Q475="EMBOQUE"),0,IF(AND($H475&lt;&gt;"",$I475="PEAD",$N475="VCA",$Q475="PREDIAL"),0,0)))))),0)</f>
        <v>0.55</v>
      </c>
      <c r="AK475" s="153" t="n">
        <f aca="false">IF(AA475&lt;&gt;"",AA475,0)</f>
        <v>2.6</v>
      </c>
      <c r="AL475" s="153" t="n">
        <f aca="false">IF(AND($N475="MND",$Q475="EMBOQUE"),$M475,IF(AND($N475="VCA",$Q475="LINEAR"),$M475,IF(AND($N475="VCA",$Q475="PREDIAL"),0,0)))</f>
        <v>2.03</v>
      </c>
      <c r="AM475" s="153" t="n">
        <f aca="false">IF(AND($N475="MND",$Q475="EMBOQUE"),$M475,IF(AND($N475="VCA",$Q475="LINEAR"),$M475,IF(AND($N475="VCA",$Q475="PREDIAL"),0,0)))</f>
        <v>2.03</v>
      </c>
      <c r="AN475" s="153" t="n">
        <f aca="false">ROUND(IF(AND($N475="VCA",$M475&lt;&gt;"",$Q475="LINEAR"),$M475/100,IF(AND($N475="MND",$M475&gt;100,$Q475="EMBOQUE"),$M475/100,0)),0)</f>
        <v>0</v>
      </c>
      <c r="AO475" s="153" t="n">
        <f aca="false">IF(AND($N475="MND",$Q475="EMBOQUE"),$AN475*2*2,IF(AND($N475="VCA",$Q475="LINEAR"),$M475*2,IF(AND($N475="VCA",$Q475="PREDIAL"),0,0)))</f>
        <v>4.06</v>
      </c>
      <c r="AP475" s="153" t="n">
        <f aca="false">IFERROR($M475*$AF475*$AG475,0)</f>
        <v>2.674525</v>
      </c>
      <c r="AQ475" s="153" t="n">
        <f aca="false">IFERROR(IF(AND($N475="VCA",$AH475&gt;0),$M475*$AG475*$AH475,0),0)</f>
        <v>0.17255</v>
      </c>
      <c r="AR475" s="153" t="n">
        <f aca="false">IFERROR(IF(AND($N475="VCA",$AJ475&gt;0),($M475*$AG475*$AJ475)-$AI475,0),0)</f>
        <v>0.849377608018949</v>
      </c>
      <c r="AS475" s="153" t="n">
        <f aca="false">IFERROR(IF(AND($N475="VCA",$AP475&gt;0),$AP475-$AI475-$AQ475-$AR475,0),0)</f>
        <v>1.55295</v>
      </c>
      <c r="AT475" s="153" t="n">
        <f aca="false">IFERROR(IF($N475="VCA",INDEX(APOIO_REDES!$A:$W,MATCH($C475&amp;$I475&amp;$H475&amp;$N475&amp;$O475,APOIO_REDES!$W:$W,0),MATCH(AT$5,APOIO_REDES!$5:$5,0)),0)*$AP475,0)</f>
        <v>0.0290996236189919</v>
      </c>
      <c r="AU475" s="153" t="n">
        <f aca="false">IFERROR(IF($N475="VCA",INDEX(APOIO_REDES!$A:$W,MATCH($C475&amp;$I475&amp;$H475&amp;$N475&amp;$O475,APOIO_REDES!$W:$W,0),MATCH(AU$5,APOIO_REDES!$5:$5,0)),0)*$AP475,0)</f>
        <v>0.0232381713043698</v>
      </c>
      <c r="AV475" s="153" t="n">
        <f aca="false">IFERROR(IF($N475="VCA",INDEX(APOIO_REDES!$A:$W,MATCH($C475&amp;$I475&amp;$H475&amp;$N475&amp;$O475,APOIO_REDES!$W:$W,0),MATCH(AV$5,APOIO_REDES!$5:$5,0)),0)*$AP475,0)</f>
        <v>0.00321598048172744</v>
      </c>
      <c r="AW475" s="153" t="n">
        <f aca="false">IFERROR(IF($N475="VCA",INDEX(APOIO_REDES!$A:$W,MATCH($C475&amp;$I475&amp;$H475&amp;$N475&amp;$O475,APOIO_REDES!$W:$W,0),MATCH(AW$5,APOIO_REDES!$5:$5,0)),0)*$AP475,0)</f>
        <v>1.83581468323094</v>
      </c>
      <c r="AX475" s="153" t="n">
        <f aca="false">IFERROR(IF($N475="VCA",INDEX(APOIO_REDES!$A:$W,MATCH($C475&amp;$I475&amp;$H475&amp;$N475&amp;$O475,APOIO_REDES!$W:$W,0),MATCH(AX$5,APOIO_REDES!$5:$5,0)),0)*$AP475,0)</f>
        <v>0.25407152274205</v>
      </c>
      <c r="AY475" s="153" t="n">
        <f aca="false">IFERROR(IF($N475="VCA",INDEX(APOIO_REDES!$A:$W,MATCH($C475&amp;$I475&amp;$H475&amp;$N475&amp;$O475,APOIO_REDES!$W:$W,0),MATCH(AY$5,APOIO_REDES!$5:$5,0)),0)*$AP475,0)</f>
        <v>0.464763142815972</v>
      </c>
      <c r="AZ475" s="153" t="n">
        <f aca="false">IFERROR(IF($N475="VCA",INDEX(APOIO_REDES!$A:$W,MATCH($C475&amp;$I475&amp;$H475&amp;$N475&amp;$O475,APOIO_REDES!$W:$W,0),MATCH(AZ$5,APOIO_REDES!$5:$5,0)),0)*$AP475,0)</f>
        <v>0.0643218758059444</v>
      </c>
      <c r="BA475" s="153" t="n">
        <f aca="false">IFERROR(IF(AND($N475="VCA",$Q475="LINEAR"),INDEX(APOIO_REDES!$A:$W,MATCH($C475&amp;$I475&amp;$H475&amp;$N475&amp;$O475,APOIO_REDES!$W:$W,0),MATCH(BA$5,APOIO_REDES!$5:$5,0)),IF(AND($N475="MND",$Q475="EMBOQUE"),INDEX(APOIO_REDES!$A:$W,MATCH($C475&amp;$I475&amp;$H475&amp;$N475&amp;$O475,APOIO_REDES!$W:$W,0),MATCH(BA$5,APOIO_REDES!$5:$5,0)),0))*$M475/10,0)</f>
        <v>0.163612879486954</v>
      </c>
      <c r="BB475" s="153" t="n">
        <f aca="false">IFERROR(IF($N475="VCA",INDEX(APOIO_REDES!$A:$W,MATCH($C475&amp;$I475&amp;$H475&amp;$N475&amp;$O475,APOIO_REDES!$W:$W,0),MATCH(BB$5,APOIO_REDES!$5:$5,0)),0)*($AI475+$AQ475+$AR475),0)</f>
        <v>1.10937193203075</v>
      </c>
      <c r="BC475" s="153" t="n">
        <f aca="false">IFERROR(IF($N475="VCA",INDEX(APOIO_REDES!$A:$W,MATCH($C475&amp;$I475&amp;$H475&amp;$N475&amp;$O475,APOIO_REDES!$W:$W,0),MATCH(BC$5,APOIO_REDES!$5:$5,0)),0)*($AI475+$AQ475+$AR475),0)</f>
        <v>0.0122030679692547</v>
      </c>
      <c r="BD475" s="153" t="n">
        <f aca="false">IF(AND($N475="VCA",$AF475&gt;=1.25,$AF475&lt;1.5),$M475*$AF475*2,0)</f>
        <v>0</v>
      </c>
      <c r="BE475" s="153" t="n">
        <f aca="false">IF(AND($N475="VCA",$AF475&gt;=1.5,$AF475&lt;3),$M475*$AF475*2,0)</f>
        <v>6.293</v>
      </c>
      <c r="BF475" s="153" t="n">
        <f aca="false">IF(AND($N475="VCA",$AF475&gt;=3),$M475*$AF475*2,0)</f>
        <v>0</v>
      </c>
      <c r="BG475" s="153" t="n">
        <f aca="false">($BB475+$BC475)*$AK475</f>
        <v>2.916095</v>
      </c>
      <c r="BH475" s="153" t="n">
        <f aca="false">IF(AND($M475&lt;&gt;"",$N475="VCA",$Q475="LINEAR"),($M475*2)/100,IF(AND($M475&lt;&gt;"",$N475="MND",$Q475="EMBOQUE"),($AN475*2)/100,0))</f>
        <v>0.0406</v>
      </c>
      <c r="BI475" s="153" t="n">
        <f aca="false">IF(AND($M475&lt;&gt;"",$N475="VCA",$Q475="LINEAR"),$M475,IF(AND($M475&lt;&gt;"",$N475="MND",$Q475="EMBOQUE"),$AN475*2,0))</f>
        <v>2.03</v>
      </c>
      <c r="BJ475" s="153" t="n">
        <f aca="false">IF(AND($M475&lt;&gt;"",$N475="VCA",$Q475="LINEAR"),($M475*6.8)/100,IF(AND($M475&lt;&gt;"",$N475="MND",$Q475="EMBOQUE"),($AN475*2*6.8)/100,0))</f>
        <v>0.13804</v>
      </c>
      <c r="BK475" s="153" t="n">
        <f aca="false">IF(AND($M475&lt;&gt;"",$N475="VCA",$Q475="LINEAR"),($M475*2.5)/50,IF(AND($M475&lt;&gt;"",$N475="MND",$Q475="EMBOQUE"),($AN475*2*2.5)/50,0))</f>
        <v>0.1015</v>
      </c>
      <c r="BL475" s="157" t="str">
        <f aca="false">K475&amp;J475</f>
        <v>Zona04REDES</v>
      </c>
      <c r="BM475" s="152" t="s">
        <v>2969</v>
      </c>
      <c r="BN475" s="152" t="s">
        <v>1560</v>
      </c>
      <c r="BO475" s="152" t="s">
        <v>1982</v>
      </c>
      <c r="BP475" s="152" t="s">
        <v>2722</v>
      </c>
      <c r="BQ475" s="152" t="s">
        <v>3336</v>
      </c>
      <c r="BR475" s="152" t="s">
        <v>2337</v>
      </c>
      <c r="BS475" s="152" t="n">
        <v>203199.383</v>
      </c>
      <c r="BT475" s="152" t="n">
        <v>8238076.421</v>
      </c>
      <c r="BU475" s="152" t="n">
        <v>203201.068</v>
      </c>
      <c r="BV475" s="152" t="n">
        <v>8238075.286</v>
      </c>
      <c r="BW475" s="152" t="n">
        <v>-15.9188028</v>
      </c>
      <c r="BX475" s="152" t="n">
        <v>-47.7720058</v>
      </c>
      <c r="BY475" s="152" t="s">
        <v>2722</v>
      </c>
    </row>
    <row r="476" customFormat="false" ht="13.8" hidden="false" customHeight="false" outlineLevel="0" collapsed="false">
      <c r="A476" s="149" t="n">
        <f aca="false">IF(C476&lt;&gt;"",ROW(A471),"")</f>
        <v>471</v>
      </c>
      <c r="B476" s="150" t="str">
        <f aca="false">HYPERLINK("https://www.google.com/maps/dir/-15.917302,-47.760003/-15.9165264,-47.7671754/data=!4m3!4m2!3e0!5i0")</f>
        <v>https://www.google.com/maps/dir/-15.917302,-47.760003/-15.9165264,-47.7671754/data=!4m3!4m2!3e0!5i0</v>
      </c>
      <c r="C476" s="151" t="s">
        <v>117</v>
      </c>
      <c r="D476" s="152" t="s">
        <v>112</v>
      </c>
      <c r="E476" s="152" t="s">
        <v>113</v>
      </c>
      <c r="F476" s="152" t="s">
        <v>117</v>
      </c>
      <c r="G476" s="152" t="s">
        <v>782</v>
      </c>
      <c r="H476" s="152" t="n">
        <v>63</v>
      </c>
      <c r="I476" s="152" t="s">
        <v>115</v>
      </c>
      <c r="J476" s="152" t="s">
        <v>6</v>
      </c>
      <c r="K476" s="152" t="s">
        <v>2966</v>
      </c>
      <c r="L476" s="152" t="s">
        <v>120</v>
      </c>
      <c r="M476" s="153" t="n">
        <f aca="false">90.86+0.58</f>
        <v>91.44</v>
      </c>
      <c r="N476" s="152" t="s">
        <v>1548</v>
      </c>
      <c r="O476" s="152" t="s">
        <v>1549</v>
      </c>
      <c r="P476" s="152" t="s">
        <v>1550</v>
      </c>
      <c r="Q476" s="152" t="s">
        <v>1551</v>
      </c>
      <c r="R476" s="154" t="s">
        <v>3339</v>
      </c>
      <c r="S476" s="154" t="s">
        <v>1553</v>
      </c>
      <c r="T476" s="155" t="s">
        <v>2643</v>
      </c>
      <c r="U476" s="152" t="str">
        <f aca="false">RIGHT(T476,7)</f>
        <v>007/037</v>
      </c>
      <c r="V476" s="152" t="s">
        <v>1555</v>
      </c>
      <c r="W476" s="156" t="n">
        <v>45882</v>
      </c>
      <c r="X476" s="152" t="s">
        <v>1594</v>
      </c>
      <c r="Y476" s="152" t="s">
        <v>3015</v>
      </c>
      <c r="Z476" s="152" t="s">
        <v>1557</v>
      </c>
      <c r="AA476" s="153" t="n">
        <v>2.5</v>
      </c>
      <c r="AB476" s="151" t="s">
        <v>3340</v>
      </c>
      <c r="AC476" s="151" t="s">
        <v>186</v>
      </c>
      <c r="AD476" s="151" t="str">
        <f aca="false">CONCATENATE($C476,$I476,$H476,$N476,$J476,$K476)</f>
        <v>TUBO PEADPEAD63VCAREDESZona04</v>
      </c>
      <c r="AE476" s="153" t="n">
        <f aca="false">IFERROR(INDEX(APOIO_REDES!$A:$W,MATCH($C476&amp;$I476&amp;$H476&amp;$N476&amp;$O476,APOIO_REDES!$W:$W,0),MATCH(AE$5,APOIO_REDES!$5:$5,0)),0)</f>
        <v>1.2</v>
      </c>
      <c r="AF476" s="153" t="n">
        <f aca="false">IFERROR(INDEX(APOIO_REDES!$A:$W,MATCH($C476&amp;$I476&amp;$H476&amp;$N476&amp;$O476,APOIO_REDES!$W:$W,0),MATCH(AF$5,APOIO_REDES!$5:$5,0)),0)</f>
        <v>1.363</v>
      </c>
      <c r="AG476" s="153" t="n">
        <f aca="false">IFERROR(INDEX(APOIO_REDES!$A:$W,MATCH($C476&amp;$I476&amp;$H476&amp;$N476&amp;$O476,APOIO_REDES!$W:$W,0),MATCH(AG$5,APOIO_REDES!$5:$5,0)),0)</f>
        <v>0.65</v>
      </c>
      <c r="AH476" s="153" t="n">
        <f aca="false">IFERROR(INDEX(APOIO_REDES!$A:$W,MATCH($C476&amp;$I476&amp;$H476&amp;$N476&amp;$O476,APOIO_REDES!$W:$W,0),MATCH(AH$5,APOIO_REDES!$5:$5,0)),0)</f>
        <v>0.1</v>
      </c>
      <c r="AI476" s="153" t="n">
        <f aca="false">IFERROR(IF($H476&lt;&gt;"",(((($H476/1000)/2)^2)*PI()*$M476),0),0)</f>
        <v>0.285040911194358</v>
      </c>
      <c r="AJ476" s="153" t="n">
        <f aca="false">IFERROR(IF(AND($H476&lt;&gt;"",$I476="FoFo",OR($N476="MND",$N476="VCA"),$Q476="LINEAR"),0,IF(AND($H476&lt;&gt;"",$I476="PEAD",$N476="VCA",$Q476="LINEAR"),($H476/1000)+0.3,IF(AND($H476&lt;&gt;"",$I476="PEAD",$N476="MND",$Q476="EMBOQUE"),0,IF(AND($H476&lt;&gt;"",$I476="PVC",$N476="VCA",$Q476="LINEAR"),($H476/1000)+0.2,IF(AND($H476&lt;&gt;"",$I476="PVC",$N476="MND",$Q476="EMBOQUE"),0,IF(AND($H476&lt;&gt;"",$I476="PEAD",$N476="VCA",$Q476="PREDIAL"),0,0)))))),0)</f>
        <v>0.363</v>
      </c>
      <c r="AK476" s="153" t="n">
        <f aca="false">IF(AA476&lt;&gt;"",AA476,0)</f>
        <v>2.5</v>
      </c>
      <c r="AL476" s="153" t="n">
        <f aca="false">IF(AND($N476="MND",$Q476="EMBOQUE"),$M476,IF(AND($N476="VCA",$Q476="LINEAR"),$M476,IF(AND($N476="VCA",$Q476="PREDIAL"),0,0)))</f>
        <v>91.44</v>
      </c>
      <c r="AM476" s="153" t="n">
        <f aca="false">IF(AND($N476="MND",$Q476="EMBOQUE"),$M476,IF(AND($N476="VCA",$Q476="LINEAR"),$M476,IF(AND($N476="VCA",$Q476="PREDIAL"),0,0)))</f>
        <v>91.44</v>
      </c>
      <c r="AN476" s="153" t="n">
        <f aca="false">ROUND(IF(AND($N476="VCA",$M476&lt;&gt;"",$Q476="LINEAR"),$M476/100,IF(AND($N476="MND",$M476&gt;100,$Q476="EMBOQUE"),$M476/100,0)),0)</f>
        <v>1</v>
      </c>
      <c r="AO476" s="153" t="n">
        <f aca="false">IF(AND($N476="MND",$Q476="EMBOQUE"),$AN476*2*2,IF(AND($N476="VCA",$Q476="LINEAR"),$M476*2,IF(AND($N476="VCA",$Q476="PREDIAL"),0,0)))</f>
        <v>182.88</v>
      </c>
      <c r="AP476" s="153" t="n">
        <f aca="false">IFERROR($M476*$AF476*$AG476,0)</f>
        <v>81.011268</v>
      </c>
      <c r="AQ476" s="153" t="n">
        <f aca="false">IFERROR(IF(AND($N476="VCA",$AH476&gt;0),$M476*$AG476*$AH476,0),0)</f>
        <v>5.9436</v>
      </c>
      <c r="AR476" s="153" t="n">
        <f aca="false">IFERROR(IF(AND($N476="VCA",$AJ476&gt;0),($M476*$AG476*$AJ476)-$AI476,0),0)</f>
        <v>21.2902270888056</v>
      </c>
      <c r="AS476" s="153" t="n">
        <f aca="false">IFERROR(IF(AND($N476="VCA",$AP476&gt;0),$AP476-$AI476-$AQ476-$AR476,0),0)</f>
        <v>53.4924</v>
      </c>
      <c r="AT476" s="153" t="n">
        <f aca="false">IFERROR(IF($N476="VCA",INDEX(APOIO_REDES!$A:$W,MATCH($C476&amp;$I476&amp;$H476&amp;$N476&amp;$O476,APOIO_REDES!$W:$W,0),MATCH(AT$5,APOIO_REDES!$5:$5,0)),0)*$AP476,0)</f>
        <v>0.881426573951368</v>
      </c>
      <c r="AU476" s="153" t="n">
        <f aca="false">IFERROR(IF($N476="VCA",INDEX(APOIO_REDES!$A:$W,MATCH($C476&amp;$I476&amp;$H476&amp;$N476&amp;$O476,APOIO_REDES!$W:$W,0),MATCH(AU$5,APOIO_REDES!$5:$5,0)),0)*$AP476,0)</f>
        <v>0.703883389898473</v>
      </c>
      <c r="AV476" s="153" t="n">
        <f aca="false">IFERROR(IF($N476="VCA",INDEX(APOIO_REDES!$A:$W,MATCH($C476&amp;$I476&amp;$H476&amp;$N476&amp;$O476,APOIO_REDES!$W:$W,0),MATCH(AV$5,APOIO_REDES!$5:$5,0)),0)*$AP476,0)</f>
        <v>0.0974119354606859</v>
      </c>
      <c r="AW476" s="153" t="n">
        <f aca="false">IFERROR(IF($N476="VCA",INDEX(APOIO_REDES!$A:$W,MATCH($C476&amp;$I476&amp;$H476&amp;$N476&amp;$O476,APOIO_REDES!$W:$W,0),MATCH(AW$5,APOIO_REDES!$5:$5,0)),0)*$AP476,0)</f>
        <v>55.606762061135</v>
      </c>
      <c r="AX476" s="153" t="n">
        <f aca="false">IFERROR(IF($N476="VCA",INDEX(APOIO_REDES!$A:$W,MATCH($C476&amp;$I476&amp;$H476&amp;$N476&amp;$O476,APOIO_REDES!$W:$W,0),MATCH(AX$5,APOIO_REDES!$5:$5,0)),0)*$AP476,0)</f>
        <v>7.69581747040103</v>
      </c>
      <c r="AY476" s="153" t="n">
        <f aca="false">IFERROR(IF($N476="VCA",INDEX(APOIO_REDES!$A:$W,MATCH($C476&amp;$I476&amp;$H476&amp;$N476&amp;$O476,APOIO_REDES!$W:$W,0),MATCH(AY$5,APOIO_REDES!$5:$5,0)),0)*$AP476,0)</f>
        <v>14.077659217688</v>
      </c>
      <c r="AZ476" s="153" t="n">
        <f aca="false">IFERROR(IF($N476="VCA",INDEX(APOIO_REDES!$A:$W,MATCH($C476&amp;$I476&amp;$H476&amp;$N476&amp;$O476,APOIO_REDES!$W:$W,0),MATCH(AZ$5,APOIO_REDES!$5:$5,0)),0)*$AP476,0)</f>
        <v>1.94830735146543</v>
      </c>
      <c r="BA476" s="153" t="n">
        <f aca="false">IFERROR(IF(AND($N476="VCA",$Q476="LINEAR"),INDEX(APOIO_REDES!$A:$W,MATCH($C476&amp;$I476&amp;$H476&amp;$N476&amp;$O476,APOIO_REDES!$W:$W,0),MATCH(BA$5,APOIO_REDES!$5:$5,0)),IF(AND($N476="MND",$Q476="EMBOQUE"),INDEX(APOIO_REDES!$A:$W,MATCH($C476&amp;$I476&amp;$H476&amp;$N476&amp;$O476,APOIO_REDES!$W:$W,0),MATCH(BA$5,APOIO_REDES!$5:$5,0)),0))*$M476/10,0)</f>
        <v>7.36983334989511</v>
      </c>
      <c r="BB476" s="153" t="n">
        <f aca="false">IFERROR(IF($N476="VCA",INDEX(APOIO_REDES!$A:$W,MATCH($C476&amp;$I476&amp;$H476&amp;$N476&amp;$O476,APOIO_REDES!$W:$W,0),MATCH(BB$5,APOIO_REDES!$5:$5,0)),0)*($AI476+$AQ476+$AR476),0)</f>
        <v>27.2194545709908</v>
      </c>
      <c r="BC476" s="153" t="n">
        <f aca="false">IFERROR(IF($N476="VCA",INDEX(APOIO_REDES!$A:$W,MATCH($C476&amp;$I476&amp;$H476&amp;$N476&amp;$O476,APOIO_REDES!$W:$W,0),MATCH(BC$5,APOIO_REDES!$5:$5,0)),0)*($AI476+$AQ476+$AR476),0)</f>
        <v>0.299413429009159</v>
      </c>
      <c r="BD476" s="153" t="n">
        <f aca="false">IF(AND($N476="VCA",$AF476&gt;=1.25,$AF476&lt;1.5),$M476*$AF476*2,0)</f>
        <v>249.26544</v>
      </c>
      <c r="BE476" s="153" t="n">
        <f aca="false">IF(AND($N476="VCA",$AF476&gt;=1.5,$AF476&lt;3),$M476*$AF476*2,0)</f>
        <v>0</v>
      </c>
      <c r="BF476" s="153" t="n">
        <f aca="false">IF(AND($N476="VCA",$AF476&gt;=3),$M476*$AF476*2,0)</f>
        <v>0</v>
      </c>
      <c r="BG476" s="153" t="n">
        <f aca="false">($BB476+$BC476)*$AK476</f>
        <v>68.79717</v>
      </c>
      <c r="BH476" s="153" t="n">
        <f aca="false">IF(AND($M476&lt;&gt;"",$N476="VCA",$Q476="LINEAR"),($M476*2)/100,IF(AND($M476&lt;&gt;"",$N476="MND",$Q476="EMBOQUE"),($AN476*2)/100,0))</f>
        <v>1.8288</v>
      </c>
      <c r="BI476" s="153" t="n">
        <f aca="false">IF(AND($M476&lt;&gt;"",$N476="VCA",$Q476="LINEAR"),$M476,IF(AND($M476&lt;&gt;"",$N476="MND",$Q476="EMBOQUE"),$AN476*2,0))</f>
        <v>91.44</v>
      </c>
      <c r="BJ476" s="153" t="n">
        <f aca="false">IF(AND($M476&lt;&gt;"",$N476="VCA",$Q476="LINEAR"),($M476*6.8)/100,IF(AND($M476&lt;&gt;"",$N476="MND",$Q476="EMBOQUE"),($AN476*2*6.8)/100,0))</f>
        <v>6.21792</v>
      </c>
      <c r="BK476" s="153" t="n">
        <f aca="false">IF(AND($M476&lt;&gt;"",$N476="VCA",$Q476="LINEAR"),($M476*2.5)/50,IF(AND($M476&lt;&gt;"",$N476="MND",$Q476="EMBOQUE"),($AN476*2*2.5)/50,0))</f>
        <v>4.572</v>
      </c>
      <c r="BL476" s="157" t="str">
        <f aca="false">K476&amp;J476</f>
        <v>Zona04REDES</v>
      </c>
      <c r="BM476" s="152" t="s">
        <v>2969</v>
      </c>
      <c r="BN476" s="152" t="s">
        <v>1560</v>
      </c>
      <c r="BO476" s="152" t="s">
        <v>2645</v>
      </c>
      <c r="BP476" s="152" t="s">
        <v>3191</v>
      </c>
      <c r="BQ476" s="152" t="s">
        <v>3261</v>
      </c>
      <c r="BR476" s="152" t="s">
        <v>3341</v>
      </c>
      <c r="BS476" s="152" t="n">
        <v>203714.424</v>
      </c>
      <c r="BT476" s="152" t="n">
        <v>8238334.77</v>
      </c>
      <c r="BU476" s="152" t="n">
        <v>203760.555</v>
      </c>
      <c r="BV476" s="152" t="n">
        <v>8238272.438</v>
      </c>
      <c r="BW476" s="152" t="n">
        <v>-15.9166975</v>
      </c>
      <c r="BX476" s="152" t="n">
        <v>-47.7668555</v>
      </c>
      <c r="BY476" s="152" t="s">
        <v>3191</v>
      </c>
    </row>
    <row r="477" customFormat="false" ht="13.8" hidden="false" customHeight="false" outlineLevel="0" collapsed="false">
      <c r="A477" s="149" t="n">
        <f aca="false">IF(C477&lt;&gt;"",ROW(A472),"")</f>
        <v>472</v>
      </c>
      <c r="B477" s="150" t="str">
        <f aca="false">HYPERLINK("https://www.google.com/maps/dir/-15.917302,-47.760003/-15.9166993,-47.7663188/data=!4m3!4m2!3e0!5i0")</f>
        <v>https://www.google.com/maps/dir/-15.917302,-47.760003/-15.9166993,-47.7663188/data=!4m3!4m2!3e0!5i0</v>
      </c>
      <c r="C477" s="151" t="s">
        <v>117</v>
      </c>
      <c r="D477" s="152" t="s">
        <v>112</v>
      </c>
      <c r="E477" s="152" t="s">
        <v>113</v>
      </c>
      <c r="F477" s="152" t="s">
        <v>117</v>
      </c>
      <c r="G477" s="152" t="s">
        <v>782</v>
      </c>
      <c r="H477" s="152" t="n">
        <v>63</v>
      </c>
      <c r="I477" s="152" t="s">
        <v>115</v>
      </c>
      <c r="J477" s="152" t="s">
        <v>6</v>
      </c>
      <c r="K477" s="152" t="s">
        <v>2966</v>
      </c>
      <c r="L477" s="152" t="s">
        <v>120</v>
      </c>
      <c r="M477" s="153" t="n">
        <f aca="false">3.17</f>
        <v>3.17</v>
      </c>
      <c r="N477" s="152" t="s">
        <v>1548</v>
      </c>
      <c r="O477" s="152" t="s">
        <v>1549</v>
      </c>
      <c r="P477" s="152" t="s">
        <v>1550</v>
      </c>
      <c r="Q477" s="152" t="s">
        <v>1551</v>
      </c>
      <c r="R477" s="154" t="s">
        <v>3342</v>
      </c>
      <c r="S477" s="154" t="s">
        <v>1553</v>
      </c>
      <c r="T477" s="155" t="s">
        <v>2643</v>
      </c>
      <c r="U477" s="152" t="str">
        <f aca="false">RIGHT(T477,7)</f>
        <v>007/037</v>
      </c>
      <c r="V477" s="152" t="s">
        <v>1555</v>
      </c>
      <c r="W477" s="156" t="n">
        <v>45882</v>
      </c>
      <c r="X477" s="152" t="s">
        <v>1594</v>
      </c>
      <c r="Y477" s="152" t="s">
        <v>3251</v>
      </c>
      <c r="Z477" s="152" t="s">
        <v>1557</v>
      </c>
      <c r="AA477" s="153" t="n">
        <v>2.8</v>
      </c>
      <c r="AB477" s="151" t="s">
        <v>3343</v>
      </c>
      <c r="AC477" s="151" t="s">
        <v>186</v>
      </c>
      <c r="AD477" s="151" t="str">
        <f aca="false">CONCATENATE($C477,$I477,$H477,$N477,$J477,$K477)</f>
        <v>TUBO PEADPEAD63VCAREDESZona04</v>
      </c>
      <c r="AE477" s="153" t="n">
        <f aca="false">IFERROR(INDEX(APOIO_REDES!$A:$W,MATCH($C477&amp;$I477&amp;$H477&amp;$N477&amp;$O477,APOIO_REDES!$W:$W,0),MATCH(AE$5,APOIO_REDES!$5:$5,0)),0)</f>
        <v>1.2</v>
      </c>
      <c r="AF477" s="153" t="n">
        <f aca="false">IFERROR(INDEX(APOIO_REDES!$A:$W,MATCH($C477&amp;$I477&amp;$H477&amp;$N477&amp;$O477,APOIO_REDES!$W:$W,0),MATCH(AF$5,APOIO_REDES!$5:$5,0)),0)</f>
        <v>1.363</v>
      </c>
      <c r="AG477" s="153" t="n">
        <f aca="false">IFERROR(INDEX(APOIO_REDES!$A:$W,MATCH($C477&amp;$I477&amp;$H477&amp;$N477&amp;$O477,APOIO_REDES!$W:$W,0),MATCH(AG$5,APOIO_REDES!$5:$5,0)),0)</f>
        <v>0.65</v>
      </c>
      <c r="AH477" s="153" t="n">
        <f aca="false">IFERROR(INDEX(APOIO_REDES!$A:$W,MATCH($C477&amp;$I477&amp;$H477&amp;$N477&amp;$O477,APOIO_REDES!$W:$W,0),MATCH(AH$5,APOIO_REDES!$5:$5,0)),0)</f>
        <v>0.1</v>
      </c>
      <c r="AI477" s="153" t="n">
        <f aca="false">IFERROR(IF($H477&lt;&gt;"",(((($H477/1000)/2)^2)*PI()*$M477),0),0)</f>
        <v>0.00988166763436258</v>
      </c>
      <c r="AJ477" s="153" t="n">
        <f aca="false">IFERROR(IF(AND($H477&lt;&gt;"",$I477="FoFo",OR($N477="MND",$N477="VCA"),$Q477="LINEAR"),0,IF(AND($H477&lt;&gt;"",$I477="PEAD",$N477="VCA",$Q477="LINEAR"),($H477/1000)+0.3,IF(AND($H477&lt;&gt;"",$I477="PEAD",$N477="MND",$Q477="EMBOQUE"),0,IF(AND($H477&lt;&gt;"",$I477="PVC",$N477="VCA",$Q477="LINEAR"),($H477/1000)+0.2,IF(AND($H477&lt;&gt;"",$I477="PVC",$N477="MND",$Q477="EMBOQUE"),0,IF(AND($H477&lt;&gt;"",$I477="PEAD",$N477="VCA",$Q477="PREDIAL"),0,0)))))),0)</f>
        <v>0.363</v>
      </c>
      <c r="AK477" s="153" t="n">
        <f aca="false">IF(AA477&lt;&gt;"",AA477,0)</f>
        <v>2.8</v>
      </c>
      <c r="AL477" s="153" t="n">
        <f aca="false">IF(AND($N477="MND",$Q477="EMBOQUE"),$M477,IF(AND($N477="VCA",$Q477="LINEAR"),$M477,IF(AND($N477="VCA",$Q477="PREDIAL"),0,0)))</f>
        <v>3.17</v>
      </c>
      <c r="AM477" s="153" t="n">
        <f aca="false">IF(AND($N477="MND",$Q477="EMBOQUE"),$M477,IF(AND($N477="VCA",$Q477="LINEAR"),$M477,IF(AND($N477="VCA",$Q477="PREDIAL"),0,0)))</f>
        <v>3.17</v>
      </c>
      <c r="AN477" s="153" t="n">
        <f aca="false">ROUND(IF(AND($N477="VCA",$M477&lt;&gt;"",$Q477="LINEAR"),$M477/100,IF(AND($N477="MND",$M477&gt;100,$Q477="EMBOQUE"),$M477/100,0)),0)</f>
        <v>0</v>
      </c>
      <c r="AO477" s="153" t="n">
        <f aca="false">IF(AND($N477="MND",$Q477="EMBOQUE"),$AN477*2*2,IF(AND($N477="VCA",$Q477="LINEAR"),$M477*2,IF(AND($N477="VCA",$Q477="PREDIAL"),0,0)))</f>
        <v>6.34</v>
      </c>
      <c r="AP477" s="153" t="n">
        <f aca="false">IFERROR($M477*$AF477*$AG477,0)</f>
        <v>2.8084615</v>
      </c>
      <c r="AQ477" s="153" t="n">
        <f aca="false">IFERROR(IF(AND($N477="VCA",$AH477&gt;0),$M477*$AG477*$AH477,0),0)</f>
        <v>0.20605</v>
      </c>
      <c r="AR477" s="153" t="n">
        <f aca="false">IFERROR(IF(AND($N477="VCA",$AJ477&gt;0),($M477*$AG477*$AJ477)-$AI477,0),0)</f>
        <v>0.738079832365638</v>
      </c>
      <c r="AS477" s="153" t="n">
        <f aca="false">IFERROR(IF(AND($N477="VCA",$AP477&gt;0),$AP477-$AI477-$AQ477-$AR477,0),0)</f>
        <v>1.85445</v>
      </c>
      <c r="AT477" s="153" t="n">
        <f aca="false">IFERROR(IF($N477="VCA",INDEX(APOIO_REDES!$A:$W,MATCH($C477&amp;$I477&amp;$H477&amp;$N477&amp;$O477,APOIO_REDES!$W:$W,0),MATCH(AT$5,APOIO_REDES!$5:$5,0)),0)*$AP477,0)</f>
        <v>0.0305568923821723</v>
      </c>
      <c r="AU477" s="153" t="n">
        <f aca="false">IFERROR(IF($N477="VCA",INDEX(APOIO_REDES!$A:$W,MATCH($C477&amp;$I477&amp;$H477&amp;$N477&amp;$O477,APOIO_REDES!$W:$W,0),MATCH(AU$5,APOIO_REDES!$5:$5,0)),0)*$AP477,0)</f>
        <v>0.0244019066708023</v>
      </c>
      <c r="AV477" s="153" t="n">
        <f aca="false">IFERROR(IF($N477="VCA",INDEX(APOIO_REDES!$A:$W,MATCH($C477&amp;$I477&amp;$H477&amp;$N477&amp;$O477,APOIO_REDES!$W:$W,0),MATCH(AV$5,APOIO_REDES!$5:$5,0)),0)*$AP477,0)</f>
        <v>0.00337703232076087</v>
      </c>
      <c r="AW477" s="153" t="n">
        <f aca="false">IFERROR(IF($N477="VCA",INDEX(APOIO_REDES!$A:$W,MATCH($C477&amp;$I477&amp;$H477&amp;$N477&amp;$O477,APOIO_REDES!$W:$W,0),MATCH(AW$5,APOIO_REDES!$5:$5,0)),0)*$AP477,0)</f>
        <v>1.92774973462159</v>
      </c>
      <c r="AX477" s="153" t="n">
        <f aca="false">IFERROR(IF($N477="VCA",INDEX(APOIO_REDES!$A:$W,MATCH($C477&amp;$I477&amp;$H477&amp;$N477&amp;$O477,APOIO_REDES!$W:$W,0),MATCH(AX$5,APOIO_REDES!$5:$5,0)),0)*$AP477,0)</f>
        <v>0.266795071972564</v>
      </c>
      <c r="AY477" s="153" t="n">
        <f aca="false">IFERROR(IF($N477="VCA",INDEX(APOIO_REDES!$A:$W,MATCH($C477&amp;$I477&amp;$H477&amp;$N477&amp;$O477,APOIO_REDES!$W:$W,0),MATCH(AY$5,APOIO_REDES!$5:$5,0)),0)*$AP477,0)</f>
        <v>0.488037835958781</v>
      </c>
      <c r="AZ477" s="153" t="n">
        <f aca="false">IFERROR(IF($N477="VCA",INDEX(APOIO_REDES!$A:$W,MATCH($C477&amp;$I477&amp;$H477&amp;$N477&amp;$O477,APOIO_REDES!$W:$W,0),MATCH(AZ$5,APOIO_REDES!$5:$5,0)),0)*$AP477,0)</f>
        <v>0.0675430260733313</v>
      </c>
      <c r="BA477" s="153" t="n">
        <f aca="false">IFERROR(IF(AND($N477="VCA",$Q477="LINEAR"),INDEX(APOIO_REDES!$A:$W,MATCH($C477&amp;$I477&amp;$H477&amp;$N477&amp;$O477,APOIO_REDES!$W:$W,0),MATCH(BA$5,APOIO_REDES!$5:$5,0)),IF(AND($N477="MND",$Q477="EMBOQUE"),INDEX(APOIO_REDES!$A:$W,MATCH($C477&amp;$I477&amp;$H477&amp;$N477&amp;$O477,APOIO_REDES!$W:$W,0),MATCH(BA$5,APOIO_REDES!$5:$5,0)),0))*$M477/10,0)</f>
        <v>0.255494003927904</v>
      </c>
      <c r="BB477" s="153" t="n">
        <f aca="false">IFERROR(IF($N477="VCA",INDEX(APOIO_REDES!$A:$W,MATCH($C477&amp;$I477&amp;$H477&amp;$N477&amp;$O477,APOIO_REDES!$W:$W,0),MATCH(BB$5,APOIO_REDES!$5:$5,0)),0)*($AI477+$AQ477+$AR477),0)</f>
        <v>0.94363157250701</v>
      </c>
      <c r="BC477" s="153" t="n">
        <f aca="false">IFERROR(IF($N477="VCA",INDEX(APOIO_REDES!$A:$W,MATCH($C477&amp;$I477&amp;$H477&amp;$N477&amp;$O477,APOIO_REDES!$W:$W,0),MATCH(BC$5,APOIO_REDES!$5:$5,0)),0)*($AI477+$AQ477+$AR477),0)</f>
        <v>0.0103799274929903</v>
      </c>
      <c r="BD477" s="153" t="n">
        <f aca="false">IF(AND($N477="VCA",$AF477&gt;=1.25,$AF477&lt;1.5),$M477*$AF477*2,0)</f>
        <v>8.64142</v>
      </c>
      <c r="BE477" s="153" t="n">
        <f aca="false">IF(AND($N477="VCA",$AF477&gt;=1.5,$AF477&lt;3),$M477*$AF477*2,0)</f>
        <v>0</v>
      </c>
      <c r="BF477" s="153" t="n">
        <f aca="false">IF(AND($N477="VCA",$AF477&gt;=3),$M477*$AF477*2,0)</f>
        <v>0</v>
      </c>
      <c r="BG477" s="153" t="n">
        <f aca="false">($BB477+$BC477)*$AK477</f>
        <v>2.6712322</v>
      </c>
      <c r="BH477" s="153" t="n">
        <f aca="false">IF(AND($M477&lt;&gt;"",$N477="VCA",$Q477="LINEAR"),($M477*2)/100,IF(AND($M477&lt;&gt;"",$N477="MND",$Q477="EMBOQUE"),($AN477*2)/100,0))</f>
        <v>0.0634</v>
      </c>
      <c r="BI477" s="153" t="n">
        <f aca="false">IF(AND($M477&lt;&gt;"",$N477="VCA",$Q477="LINEAR"),$M477,IF(AND($M477&lt;&gt;"",$N477="MND",$Q477="EMBOQUE"),$AN477*2,0))</f>
        <v>3.17</v>
      </c>
      <c r="BJ477" s="153" t="n">
        <f aca="false">IF(AND($M477&lt;&gt;"",$N477="VCA",$Q477="LINEAR"),($M477*6.8)/100,IF(AND($M477&lt;&gt;"",$N477="MND",$Q477="EMBOQUE"),($AN477*2*6.8)/100,0))</f>
        <v>0.21556</v>
      </c>
      <c r="BK477" s="153" t="n">
        <f aca="false">IF(AND($M477&lt;&gt;"",$N477="VCA",$Q477="LINEAR"),($M477*2.5)/50,IF(AND($M477&lt;&gt;"",$N477="MND",$Q477="EMBOQUE"),($AN477*2*2.5)/50,0))</f>
        <v>0.1585</v>
      </c>
      <c r="BL477" s="157" t="str">
        <f aca="false">K477&amp;J477</f>
        <v>Zona04REDES</v>
      </c>
      <c r="BM477" s="152" t="s">
        <v>2969</v>
      </c>
      <c r="BN477" s="152" t="s">
        <v>1560</v>
      </c>
      <c r="BO477" s="152" t="s">
        <v>2645</v>
      </c>
      <c r="BP477" s="152" t="s">
        <v>3344</v>
      </c>
      <c r="BQ477" s="152" t="s">
        <v>3345</v>
      </c>
      <c r="BR477" s="152" t="s">
        <v>3346</v>
      </c>
      <c r="BS477" s="152" t="n">
        <v>203807.337</v>
      </c>
      <c r="BT477" s="152" t="n">
        <v>8238315.671</v>
      </c>
      <c r="BU477" s="152" t="n">
        <v>203808.837</v>
      </c>
      <c r="BV477" s="152" t="n">
        <v>8238312.881</v>
      </c>
      <c r="BW477" s="152" t="n">
        <v>-15.9167227</v>
      </c>
      <c r="BX477" s="152" t="n">
        <v>-47.7663039</v>
      </c>
      <c r="BY477" s="152" t="s">
        <v>3344</v>
      </c>
    </row>
    <row r="478" customFormat="false" ht="13.8" hidden="false" customHeight="false" outlineLevel="0" collapsed="false">
      <c r="A478" s="149" t="n">
        <f aca="false">IF(C478&lt;&gt;"",ROW(A473),"")</f>
        <v>473</v>
      </c>
      <c r="B478" s="150" t="str">
        <f aca="false">HYPERLINK("https://www.google.com/maps/dir/-15.917302,-47.760003/-15.9167354,-47.7662970/data=!4m3!4m2!3e0!5i0")</f>
        <v>https://www.google.com/maps/dir/-15.917302,-47.760003/-15.9167354,-47.7662970/data=!4m3!4m2!3e0!5i0</v>
      </c>
      <c r="C478" s="151" t="s">
        <v>117</v>
      </c>
      <c r="D478" s="152" t="s">
        <v>112</v>
      </c>
      <c r="E478" s="152" t="s">
        <v>113</v>
      </c>
      <c r="F478" s="152" t="s">
        <v>117</v>
      </c>
      <c r="G478" s="152" t="s">
        <v>782</v>
      </c>
      <c r="H478" s="152" t="n">
        <v>63</v>
      </c>
      <c r="I478" s="152" t="s">
        <v>115</v>
      </c>
      <c r="J478" s="152" t="s">
        <v>6</v>
      </c>
      <c r="K478" s="152" t="s">
        <v>2966</v>
      </c>
      <c r="L478" s="152" t="s">
        <v>120</v>
      </c>
      <c r="M478" s="153" t="n">
        <f aca="false">7.02</f>
        <v>7.02</v>
      </c>
      <c r="N478" s="152" t="s">
        <v>1548</v>
      </c>
      <c r="O478" s="152" t="s">
        <v>1549</v>
      </c>
      <c r="P478" s="152" t="s">
        <v>1550</v>
      </c>
      <c r="Q478" s="152" t="s">
        <v>1551</v>
      </c>
      <c r="R478" s="154" t="s">
        <v>3347</v>
      </c>
      <c r="S478" s="154" t="s">
        <v>1553</v>
      </c>
      <c r="T478" s="155" t="s">
        <v>2643</v>
      </c>
      <c r="U478" s="152" t="str">
        <f aca="false">RIGHT(T478,7)</f>
        <v>007/037</v>
      </c>
      <c r="V478" s="152" t="s">
        <v>1555</v>
      </c>
      <c r="W478" s="156" t="n">
        <v>45882</v>
      </c>
      <c r="X478" s="152" t="s">
        <v>1594</v>
      </c>
      <c r="Y478" s="152" t="s">
        <v>3251</v>
      </c>
      <c r="Z478" s="152" t="s">
        <v>1557</v>
      </c>
      <c r="AA478" s="153" t="n">
        <v>2.8</v>
      </c>
      <c r="AB478" s="151" t="s">
        <v>3348</v>
      </c>
      <c r="AC478" s="151" t="s">
        <v>186</v>
      </c>
      <c r="AD478" s="151" t="str">
        <f aca="false">CONCATENATE($C478,$I478,$H478,$N478,$J478,$K478)</f>
        <v>TUBO PEADPEAD63VCAREDESZona04</v>
      </c>
      <c r="AE478" s="153" t="n">
        <f aca="false">IFERROR(INDEX(APOIO_REDES!$A:$W,MATCH($C478&amp;$I478&amp;$H478&amp;$N478&amp;$O478,APOIO_REDES!$W:$W,0),MATCH(AE$5,APOIO_REDES!$5:$5,0)),0)</f>
        <v>1.2</v>
      </c>
      <c r="AF478" s="153" t="n">
        <f aca="false">IFERROR(INDEX(APOIO_REDES!$A:$W,MATCH($C478&amp;$I478&amp;$H478&amp;$N478&amp;$O478,APOIO_REDES!$W:$W,0),MATCH(AF$5,APOIO_REDES!$5:$5,0)),0)</f>
        <v>1.363</v>
      </c>
      <c r="AG478" s="153" t="n">
        <f aca="false">IFERROR(INDEX(APOIO_REDES!$A:$W,MATCH($C478&amp;$I478&amp;$H478&amp;$N478&amp;$O478,APOIO_REDES!$W:$W,0),MATCH(AG$5,APOIO_REDES!$5:$5,0)),0)</f>
        <v>0.65</v>
      </c>
      <c r="AH478" s="153" t="n">
        <f aca="false">IFERROR(INDEX(APOIO_REDES!$A:$W,MATCH($C478&amp;$I478&amp;$H478&amp;$N478&amp;$O478,APOIO_REDES!$W:$W,0),MATCH(AH$5,APOIO_REDES!$5:$5,0)),0)</f>
        <v>0.1</v>
      </c>
      <c r="AI478" s="153" t="n">
        <f aca="false">IFERROR(IF($H478&lt;&gt;"",(((($H478/1000)/2)^2)*PI()*$M478),0),0)</f>
        <v>0.0218830620798818</v>
      </c>
      <c r="AJ478" s="153" t="n">
        <f aca="false">IFERROR(IF(AND($H478&lt;&gt;"",$I478="FoFo",OR($N478="MND",$N478="VCA"),$Q478="LINEAR"),0,IF(AND($H478&lt;&gt;"",$I478="PEAD",$N478="VCA",$Q478="LINEAR"),($H478/1000)+0.3,IF(AND($H478&lt;&gt;"",$I478="PEAD",$N478="MND",$Q478="EMBOQUE"),0,IF(AND($H478&lt;&gt;"",$I478="PVC",$N478="VCA",$Q478="LINEAR"),($H478/1000)+0.2,IF(AND($H478&lt;&gt;"",$I478="PVC",$N478="MND",$Q478="EMBOQUE"),0,IF(AND($H478&lt;&gt;"",$I478="PEAD",$N478="VCA",$Q478="PREDIAL"),0,0)))))),0)</f>
        <v>0.363</v>
      </c>
      <c r="AK478" s="153" t="n">
        <f aca="false">IF(AA478&lt;&gt;"",AA478,0)</f>
        <v>2.8</v>
      </c>
      <c r="AL478" s="153" t="n">
        <f aca="false">IF(AND($N478="MND",$Q478="EMBOQUE"),$M478,IF(AND($N478="VCA",$Q478="LINEAR"),$M478,IF(AND($N478="VCA",$Q478="PREDIAL"),0,0)))</f>
        <v>7.02</v>
      </c>
      <c r="AM478" s="153" t="n">
        <f aca="false">IF(AND($N478="MND",$Q478="EMBOQUE"),$M478,IF(AND($N478="VCA",$Q478="LINEAR"),$M478,IF(AND($N478="VCA",$Q478="PREDIAL"),0,0)))</f>
        <v>7.02</v>
      </c>
      <c r="AN478" s="153" t="n">
        <f aca="false">ROUND(IF(AND($N478="VCA",$M478&lt;&gt;"",$Q478="LINEAR"),$M478/100,IF(AND($N478="MND",$M478&gt;100,$Q478="EMBOQUE"),$M478/100,0)),0)</f>
        <v>0</v>
      </c>
      <c r="AO478" s="153" t="n">
        <f aca="false">IF(AND($N478="MND",$Q478="EMBOQUE"),$AN478*2*2,IF(AND($N478="VCA",$Q478="LINEAR"),$M478*2,IF(AND($N478="VCA",$Q478="PREDIAL"),0,0)))</f>
        <v>14.04</v>
      </c>
      <c r="AP478" s="153" t="n">
        <f aca="false">IFERROR($M478*$AF478*$AG478,0)</f>
        <v>6.219369</v>
      </c>
      <c r="AQ478" s="153" t="n">
        <f aca="false">IFERROR(IF(AND($N478="VCA",$AH478&gt;0),$M478*$AG478*$AH478,0),0)</f>
        <v>0.4563</v>
      </c>
      <c r="AR478" s="153" t="n">
        <f aca="false">IFERROR(IF(AND($N478="VCA",$AJ478&gt;0),($M478*$AG478*$AJ478)-$AI478,0),0)</f>
        <v>1.63448593792012</v>
      </c>
      <c r="AS478" s="153" t="n">
        <f aca="false">IFERROR(IF(AND($N478="VCA",$AP478&gt;0),$AP478-$AI478-$AQ478-$AR478,0),0)</f>
        <v>4.1067</v>
      </c>
      <c r="AT478" s="153" t="n">
        <f aca="false">IFERROR(IF($N478="VCA",INDEX(APOIO_REDES!$A:$W,MATCH($C478&amp;$I478&amp;$H478&amp;$N478&amp;$O478,APOIO_REDES!$W:$W,0),MATCH(AT$5,APOIO_REDES!$5:$5,0)),0)*$AP478,0)</f>
        <v>0.0676685755592586</v>
      </c>
      <c r="AU478" s="153" t="n">
        <f aca="false">IFERROR(IF($N478="VCA",INDEX(APOIO_REDES!$A:$W,MATCH($C478&amp;$I478&amp;$H478&amp;$N478&amp;$O478,APOIO_REDES!$W:$W,0),MATCH(AU$5,APOIO_REDES!$5:$5,0)),0)*$AP478,0)</f>
        <v>0.0540382917441741</v>
      </c>
      <c r="AV478" s="153" t="n">
        <f aca="false">IFERROR(IF($N478="VCA",INDEX(APOIO_REDES!$A:$W,MATCH($C478&amp;$I478&amp;$H478&amp;$N478&amp;$O478,APOIO_REDES!$W:$W,0),MATCH(AV$5,APOIO_REDES!$5:$5,0)),0)*$AP478,0)</f>
        <v>0.00747847536017077</v>
      </c>
      <c r="AW478" s="153" t="n">
        <f aca="false">IFERROR(IF($N478="VCA",INDEX(APOIO_REDES!$A:$W,MATCH($C478&amp;$I478&amp;$H478&amp;$N478&amp;$O478,APOIO_REDES!$W:$W,0),MATCH(AW$5,APOIO_REDES!$5:$5,0)),0)*$AP478,0)</f>
        <v>4.26902307162257</v>
      </c>
      <c r="AX478" s="153" t="n">
        <f aca="false">IFERROR(IF($N478="VCA",INDEX(APOIO_REDES!$A:$W,MATCH($C478&amp;$I478&amp;$H478&amp;$N478&amp;$O478,APOIO_REDES!$W:$W,0),MATCH(AX$5,APOIO_REDES!$5:$5,0)),0)*$AP478,0)</f>
        <v>0.590820632570158</v>
      </c>
      <c r="AY478" s="153" t="n">
        <f aca="false">IFERROR(IF($N478="VCA",INDEX(APOIO_REDES!$A:$W,MATCH($C478&amp;$I478&amp;$H478&amp;$N478&amp;$O478,APOIO_REDES!$W:$W,0),MATCH(AY$5,APOIO_REDES!$5:$5,0)),0)*$AP478,0)</f>
        <v>1.08076517616109</v>
      </c>
      <c r="AZ478" s="153" t="n">
        <f aca="false">IFERROR(IF($N478="VCA",INDEX(APOIO_REDES!$A:$W,MATCH($C478&amp;$I478&amp;$H478&amp;$N478&amp;$O478,APOIO_REDES!$W:$W,0),MATCH(AZ$5,APOIO_REDES!$5:$5,0)),0)*$AP478,0)</f>
        <v>0.149574776982582</v>
      </c>
      <c r="BA478" s="153" t="n">
        <f aca="false">IFERROR(IF(AND($N478="VCA",$Q478="LINEAR"),INDEX(APOIO_REDES!$A:$W,MATCH($C478&amp;$I478&amp;$H478&amp;$N478&amp;$O478,APOIO_REDES!$W:$W,0),MATCH(BA$5,APOIO_REDES!$5:$5,0)),IF(AND($N478="MND",$Q478="EMBOQUE"),INDEX(APOIO_REDES!$A:$W,MATCH($C478&amp;$I478&amp;$H478&amp;$N478&amp;$O478,APOIO_REDES!$W:$W,0),MATCH(BA$5,APOIO_REDES!$5:$5,0)),0))*$M478/10,0)</f>
        <v>0.565794292610058</v>
      </c>
      <c r="BB478" s="153" t="n">
        <f aca="false">IFERROR(IF($N478="VCA",INDEX(APOIO_REDES!$A:$W,MATCH($C478&amp;$I478&amp;$H478&amp;$N478&amp;$O478,APOIO_REDES!$W:$W,0),MATCH(BB$5,APOIO_REDES!$5:$5,0)),0)*($AI478+$AQ478+$AR478),0)</f>
        <v>2.0896825359619</v>
      </c>
      <c r="BC478" s="153" t="n">
        <f aca="false">IFERROR(IF($N478="VCA",INDEX(APOIO_REDES!$A:$W,MATCH($C478&amp;$I478&amp;$H478&amp;$N478&amp;$O478,APOIO_REDES!$W:$W,0),MATCH(BC$5,APOIO_REDES!$5:$5,0)),0)*($AI478+$AQ478+$AR478),0)</f>
        <v>0.0229864640381047</v>
      </c>
      <c r="BD478" s="153" t="n">
        <f aca="false">IF(AND($N478="VCA",$AF478&gt;=1.25,$AF478&lt;1.5),$M478*$AF478*2,0)</f>
        <v>19.13652</v>
      </c>
      <c r="BE478" s="153" t="n">
        <f aca="false">IF(AND($N478="VCA",$AF478&gt;=1.5,$AF478&lt;3),$M478*$AF478*2,0)</f>
        <v>0</v>
      </c>
      <c r="BF478" s="153" t="n">
        <f aca="false">IF(AND($N478="VCA",$AF478&gt;=3),$M478*$AF478*2,0)</f>
        <v>0</v>
      </c>
      <c r="BG478" s="153" t="n">
        <f aca="false">($BB478+$BC478)*$AK478</f>
        <v>5.9154732</v>
      </c>
      <c r="BH478" s="153" t="n">
        <f aca="false">IF(AND($M478&lt;&gt;"",$N478="VCA",$Q478="LINEAR"),($M478*2)/100,IF(AND($M478&lt;&gt;"",$N478="MND",$Q478="EMBOQUE"),($AN478*2)/100,0))</f>
        <v>0.1404</v>
      </c>
      <c r="BI478" s="153" t="n">
        <f aca="false">IF(AND($M478&lt;&gt;"",$N478="VCA",$Q478="LINEAR"),$M478,IF(AND($M478&lt;&gt;"",$N478="MND",$Q478="EMBOQUE"),$AN478*2,0))</f>
        <v>7.02</v>
      </c>
      <c r="BJ478" s="153" t="n">
        <f aca="false">IF(AND($M478&lt;&gt;"",$N478="VCA",$Q478="LINEAR"),($M478*6.8)/100,IF(AND($M478&lt;&gt;"",$N478="MND",$Q478="EMBOQUE"),($AN478*2*6.8)/100,0))</f>
        <v>0.47736</v>
      </c>
      <c r="BK478" s="153" t="n">
        <f aca="false">IF(AND($M478&lt;&gt;"",$N478="VCA",$Q478="LINEAR"),($M478*2.5)/50,IF(AND($M478&lt;&gt;"",$N478="MND",$Q478="EMBOQUE"),($AN478*2*2.5)/50,0))</f>
        <v>0.351</v>
      </c>
      <c r="BL478" s="157" t="str">
        <f aca="false">K478&amp;J478</f>
        <v>Zona04REDES</v>
      </c>
      <c r="BM478" s="152" t="s">
        <v>2969</v>
      </c>
      <c r="BN478" s="152" t="s">
        <v>1560</v>
      </c>
      <c r="BO478" s="152" t="s">
        <v>2645</v>
      </c>
      <c r="BP478" s="152" t="s">
        <v>3345</v>
      </c>
      <c r="BQ478" s="152" t="s">
        <v>3273</v>
      </c>
      <c r="BR478" s="152" t="s">
        <v>3346</v>
      </c>
      <c r="BS478" s="152" t="n">
        <v>203808.837</v>
      </c>
      <c r="BT478" s="152" t="n">
        <v>8238312.881</v>
      </c>
      <c r="BU478" s="152" t="n">
        <v>203803.893</v>
      </c>
      <c r="BV478" s="152" t="n">
        <v>8238307.9</v>
      </c>
      <c r="BW478" s="152" t="n">
        <v>-15.9167576</v>
      </c>
      <c r="BX478" s="152" t="n">
        <v>-47.7663204</v>
      </c>
      <c r="BY478" s="152" t="s">
        <v>3345</v>
      </c>
    </row>
    <row r="479" customFormat="false" ht="13.8" hidden="false" customHeight="false" outlineLevel="0" collapsed="false">
      <c r="A479" s="149" t="n">
        <f aca="false">IF(C479&lt;&gt;"",ROW(A474),"")</f>
        <v>474</v>
      </c>
      <c r="B479" s="150" t="str">
        <f aca="false">HYPERLINK("https://www.google.com/maps/dir/-15.917302,-47.760003/-15.9170948,-47.7667526/data=!4m3!4m2!3e0!5i0")</f>
        <v>https://www.google.com/maps/dir/-15.917302,-47.760003/-15.9170948,-47.7667526/data=!4m3!4m2!3e0!5i0</v>
      </c>
      <c r="C479" s="151" t="s">
        <v>117</v>
      </c>
      <c r="D479" s="152" t="s">
        <v>112</v>
      </c>
      <c r="E479" s="152" t="s">
        <v>113</v>
      </c>
      <c r="F479" s="152" t="s">
        <v>117</v>
      </c>
      <c r="G479" s="152" t="s">
        <v>782</v>
      </c>
      <c r="H479" s="152" t="n">
        <v>63</v>
      </c>
      <c r="I479" s="152" t="s">
        <v>115</v>
      </c>
      <c r="J479" s="152" t="s">
        <v>6</v>
      </c>
      <c r="K479" s="152" t="s">
        <v>2966</v>
      </c>
      <c r="L479" s="152" t="s">
        <v>120</v>
      </c>
      <c r="M479" s="153" t="n">
        <f aca="false">63.88+1.47</f>
        <v>65.35</v>
      </c>
      <c r="N479" s="152" t="s">
        <v>1548</v>
      </c>
      <c r="O479" s="152" t="s">
        <v>1549</v>
      </c>
      <c r="P479" s="152" t="s">
        <v>1550</v>
      </c>
      <c r="Q479" s="152" t="s">
        <v>1551</v>
      </c>
      <c r="R479" s="154" t="s">
        <v>3349</v>
      </c>
      <c r="S479" s="154" t="s">
        <v>1553</v>
      </c>
      <c r="T479" s="155" t="s">
        <v>2643</v>
      </c>
      <c r="U479" s="152" t="str">
        <f aca="false">RIGHT(T479,7)</f>
        <v>007/037</v>
      </c>
      <c r="V479" s="152" t="s">
        <v>1555</v>
      </c>
      <c r="W479" s="156" t="n">
        <v>45882</v>
      </c>
      <c r="X479" s="152" t="s">
        <v>1594</v>
      </c>
      <c r="Y479" s="152" t="s">
        <v>3251</v>
      </c>
      <c r="Z479" s="152" t="s">
        <v>1557</v>
      </c>
      <c r="AA479" s="153" t="n">
        <v>2.6</v>
      </c>
      <c r="AB479" s="151" t="s">
        <v>3350</v>
      </c>
      <c r="AC479" s="151" t="s">
        <v>186</v>
      </c>
      <c r="AD479" s="151" t="str">
        <f aca="false">CONCATENATE($C479,$I479,$H479,$N479,$J479,$K479)</f>
        <v>TUBO PEADPEAD63VCAREDESZona04</v>
      </c>
      <c r="AE479" s="153" t="n">
        <f aca="false">IFERROR(INDEX(APOIO_REDES!$A:$W,MATCH($C479&amp;$I479&amp;$H479&amp;$N479&amp;$O479,APOIO_REDES!$W:$W,0),MATCH(AE$5,APOIO_REDES!$5:$5,0)),0)</f>
        <v>1.2</v>
      </c>
      <c r="AF479" s="153" t="n">
        <f aca="false">IFERROR(INDEX(APOIO_REDES!$A:$W,MATCH($C479&amp;$I479&amp;$H479&amp;$N479&amp;$O479,APOIO_REDES!$W:$W,0),MATCH(AF$5,APOIO_REDES!$5:$5,0)),0)</f>
        <v>1.363</v>
      </c>
      <c r="AG479" s="153" t="n">
        <f aca="false">IFERROR(INDEX(APOIO_REDES!$A:$W,MATCH($C479&amp;$I479&amp;$H479&amp;$N479&amp;$O479,APOIO_REDES!$W:$W,0),MATCH(AG$5,APOIO_REDES!$5:$5,0)),0)</f>
        <v>0.65</v>
      </c>
      <c r="AH479" s="153" t="n">
        <f aca="false">IFERROR(INDEX(APOIO_REDES!$A:$W,MATCH($C479&amp;$I479&amp;$H479&amp;$N479&amp;$O479,APOIO_REDES!$W:$W,0),MATCH(AH$5,APOIO_REDES!$5:$5,0)),0)</f>
        <v>0.1</v>
      </c>
      <c r="AI479" s="153" t="n">
        <f aca="false">IFERROR(IF($H479&lt;&gt;"",(((($H479/1000)/2)^2)*PI()*$M479),0),0)</f>
        <v>0.203711981042774</v>
      </c>
      <c r="AJ479" s="153" t="n">
        <f aca="false">IFERROR(IF(AND($H479&lt;&gt;"",$I479="FoFo",OR($N479="MND",$N479="VCA"),$Q479="LINEAR"),0,IF(AND($H479&lt;&gt;"",$I479="PEAD",$N479="VCA",$Q479="LINEAR"),($H479/1000)+0.3,IF(AND($H479&lt;&gt;"",$I479="PEAD",$N479="MND",$Q479="EMBOQUE"),0,IF(AND($H479&lt;&gt;"",$I479="PVC",$N479="VCA",$Q479="LINEAR"),($H479/1000)+0.2,IF(AND($H479&lt;&gt;"",$I479="PVC",$N479="MND",$Q479="EMBOQUE"),0,IF(AND($H479&lt;&gt;"",$I479="PEAD",$N479="VCA",$Q479="PREDIAL"),0,0)))))),0)</f>
        <v>0.363</v>
      </c>
      <c r="AK479" s="153" t="n">
        <f aca="false">IF(AA479&lt;&gt;"",AA479,0)</f>
        <v>2.6</v>
      </c>
      <c r="AL479" s="153" t="n">
        <f aca="false">IF(AND($N479="MND",$Q479="EMBOQUE"),$M479,IF(AND($N479="VCA",$Q479="LINEAR"),$M479,IF(AND($N479="VCA",$Q479="PREDIAL"),0,0)))</f>
        <v>65.35</v>
      </c>
      <c r="AM479" s="153" t="n">
        <f aca="false">IF(AND($N479="MND",$Q479="EMBOQUE"),$M479,IF(AND($N479="VCA",$Q479="LINEAR"),$M479,IF(AND($N479="VCA",$Q479="PREDIAL"),0,0)))</f>
        <v>65.35</v>
      </c>
      <c r="AN479" s="153" t="n">
        <f aca="false">ROUND(IF(AND($N479="VCA",$M479&lt;&gt;"",$Q479="LINEAR"),$M479/100,IF(AND($N479="MND",$M479&gt;100,$Q479="EMBOQUE"),$M479/100,0)),0)</f>
        <v>1</v>
      </c>
      <c r="AO479" s="153" t="n">
        <f aca="false">IF(AND($N479="MND",$Q479="EMBOQUE"),$AN479*2*2,IF(AND($N479="VCA",$Q479="LINEAR"),$M479*2,IF(AND($N479="VCA",$Q479="PREDIAL"),0,0)))</f>
        <v>130.7</v>
      </c>
      <c r="AP479" s="153" t="n">
        <f aca="false">IFERROR($M479*$AF479*$AG479,0)</f>
        <v>57.8968325</v>
      </c>
      <c r="AQ479" s="153" t="n">
        <f aca="false">IFERROR(IF(AND($N479="VCA",$AH479&gt;0),$M479*$AG479*$AH479,0),0)</f>
        <v>4.24775</v>
      </c>
      <c r="AR479" s="153" t="n">
        <f aca="false">IFERROR(IF(AND($N479="VCA",$AJ479&gt;0),($M479*$AG479*$AJ479)-$AI479,0),0)</f>
        <v>15.2156205189572</v>
      </c>
      <c r="AS479" s="153" t="n">
        <f aca="false">IFERROR(IF(AND($N479="VCA",$AP479&gt;0),$AP479-$AI479-$AQ479-$AR479,0),0)</f>
        <v>38.22975</v>
      </c>
      <c r="AT479" s="153" t="n">
        <f aca="false">IFERROR(IF($N479="VCA",INDEX(APOIO_REDES!$A:$W,MATCH($C479&amp;$I479&amp;$H479&amp;$N479&amp;$O479,APOIO_REDES!$W:$W,0),MATCH(AT$5,APOIO_REDES!$5:$5,0)),0)*$AP479,0)</f>
        <v>0.629934674187685</v>
      </c>
      <c r="AU479" s="153" t="n">
        <f aca="false">IFERROR(IF($N479="VCA",INDEX(APOIO_REDES!$A:$W,MATCH($C479&amp;$I479&amp;$H479&amp;$N479&amp;$O479,APOIO_REDES!$W:$W,0),MATCH(AU$5,APOIO_REDES!$5:$5,0)),0)*$AP479,0)</f>
        <v>0.50304877001165</v>
      </c>
      <c r="AV479" s="153" t="n">
        <f aca="false">IFERROR(IF($N479="VCA",INDEX(APOIO_REDES!$A:$W,MATCH($C479&amp;$I479&amp;$H479&amp;$N479&amp;$O479,APOIO_REDES!$W:$W,0),MATCH(AV$5,APOIO_REDES!$5:$5,0)),0)*$AP479,0)</f>
        <v>0.0696180006819316</v>
      </c>
      <c r="AW479" s="153" t="n">
        <f aca="false">IFERROR(IF($N479="VCA",INDEX(APOIO_REDES!$A:$W,MATCH($C479&amp;$I479&amp;$H479&amp;$N479&amp;$O479,APOIO_REDES!$W:$W,0),MATCH(AW$5,APOIO_REDES!$5:$5,0)),0)*$AP479,0)</f>
        <v>39.7408344345491</v>
      </c>
      <c r="AX479" s="153" t="n">
        <f aca="false">IFERROR(IF($N479="VCA",INDEX(APOIO_REDES!$A:$W,MATCH($C479&amp;$I479&amp;$H479&amp;$N479&amp;$O479,APOIO_REDES!$W:$W,0),MATCH(AX$5,APOIO_REDES!$5:$5,0)),0)*$AP479,0)</f>
        <v>5.50001828183189</v>
      </c>
      <c r="AY479" s="153" t="n">
        <f aca="false">IFERROR(IF($N479="VCA",INDEX(APOIO_REDES!$A:$W,MATCH($C479&amp;$I479&amp;$H479&amp;$N479&amp;$O479,APOIO_REDES!$W:$W,0),MATCH(AY$5,APOIO_REDES!$5:$5,0)),0)*$AP479,0)</f>
        <v>10.0609692681093</v>
      </c>
      <c r="AZ479" s="153" t="n">
        <f aca="false">IFERROR(IF($N479="VCA",INDEX(APOIO_REDES!$A:$W,MATCH($C479&amp;$I479&amp;$H479&amp;$N479&amp;$O479,APOIO_REDES!$W:$W,0),MATCH(AZ$5,APOIO_REDES!$5:$5,0)),0)*$AP479,0)</f>
        <v>1.39240907062845</v>
      </c>
      <c r="BA479" s="153" t="n">
        <f aca="false">IFERROR(IF(AND($N479="VCA",$Q479="LINEAR"),INDEX(APOIO_REDES!$A:$W,MATCH($C479&amp;$I479&amp;$H479&amp;$N479&amp;$O479,APOIO_REDES!$W:$W,0),MATCH(BA$5,APOIO_REDES!$5:$5,0)),IF(AND($N479="MND",$Q479="EMBOQUE"),INDEX(APOIO_REDES!$A:$W,MATCH($C479&amp;$I479&amp;$H479&amp;$N479&amp;$O479,APOIO_REDES!$W:$W,0),MATCH(BA$5,APOIO_REDES!$5:$5,0)),0))*$M479/10,0)</f>
        <v>5.26704515983864</v>
      </c>
      <c r="BB479" s="153" t="n">
        <f aca="false">IFERROR(IF($N479="VCA",INDEX(APOIO_REDES!$A:$W,MATCH($C479&amp;$I479&amp;$H479&amp;$N479&amp;$O479,APOIO_REDES!$W:$W,0),MATCH(BB$5,APOIO_REDES!$5:$5,0)),0)*($AI479+$AQ479+$AR479),0)</f>
        <v>19.4530988212407</v>
      </c>
      <c r="BC479" s="153" t="n">
        <f aca="false">IFERROR(IF($N479="VCA",INDEX(APOIO_REDES!$A:$W,MATCH($C479&amp;$I479&amp;$H479&amp;$N479&amp;$O479,APOIO_REDES!$W:$W,0),MATCH(BC$5,APOIO_REDES!$5:$5,0)),0)*($AI479+$AQ479+$AR479),0)</f>
        <v>0.21398367875928</v>
      </c>
      <c r="BD479" s="153" t="n">
        <f aca="false">IF(AND($N479="VCA",$AF479&gt;=1.25,$AF479&lt;1.5),$M479*$AF479*2,0)</f>
        <v>178.1441</v>
      </c>
      <c r="BE479" s="153" t="n">
        <f aca="false">IF(AND($N479="VCA",$AF479&gt;=1.5,$AF479&lt;3),$M479*$AF479*2,0)</f>
        <v>0</v>
      </c>
      <c r="BF479" s="153" t="n">
        <f aca="false">IF(AND($N479="VCA",$AF479&gt;=3),$M479*$AF479*2,0)</f>
        <v>0</v>
      </c>
      <c r="BG479" s="153" t="n">
        <f aca="false">($BB479+$BC479)*$AK479</f>
        <v>51.1344145</v>
      </c>
      <c r="BH479" s="153" t="n">
        <f aca="false">IF(AND($M479&lt;&gt;"",$N479="VCA",$Q479="LINEAR"),($M479*2)/100,IF(AND($M479&lt;&gt;"",$N479="MND",$Q479="EMBOQUE"),($AN479*2)/100,0))</f>
        <v>1.307</v>
      </c>
      <c r="BI479" s="153" t="n">
        <f aca="false">IF(AND($M479&lt;&gt;"",$N479="VCA",$Q479="LINEAR"),$M479,IF(AND($M479&lt;&gt;"",$N479="MND",$Q479="EMBOQUE"),$AN479*2,0))</f>
        <v>65.35</v>
      </c>
      <c r="BJ479" s="153" t="n">
        <f aca="false">IF(AND($M479&lt;&gt;"",$N479="VCA",$Q479="LINEAR"),($M479*6.8)/100,IF(AND($M479&lt;&gt;"",$N479="MND",$Q479="EMBOQUE"),($AN479*2*6.8)/100,0))</f>
        <v>4.4438</v>
      </c>
      <c r="BK479" s="153" t="n">
        <f aca="false">IF(AND($M479&lt;&gt;"",$N479="VCA",$Q479="LINEAR"),($M479*2.5)/50,IF(AND($M479&lt;&gt;"",$N479="MND",$Q479="EMBOQUE"),($AN479*2*2.5)/50,0))</f>
        <v>3.2675</v>
      </c>
      <c r="BL479" s="157" t="str">
        <f aca="false">K479&amp;J479</f>
        <v>Zona04REDES</v>
      </c>
      <c r="BM479" s="152" t="s">
        <v>2969</v>
      </c>
      <c r="BN479" s="152" t="s">
        <v>1560</v>
      </c>
      <c r="BO479" s="152" t="s">
        <v>2645</v>
      </c>
      <c r="BP479" s="152" t="s">
        <v>3261</v>
      </c>
      <c r="BQ479" s="152" t="s">
        <v>3344</v>
      </c>
      <c r="BR479" s="152" t="s">
        <v>3351</v>
      </c>
      <c r="BS479" s="152" t="n">
        <v>203760.555</v>
      </c>
      <c r="BT479" s="152" t="n">
        <v>8238272.438</v>
      </c>
      <c r="BU479" s="152" t="n">
        <v>203806.455</v>
      </c>
      <c r="BV479" s="152" t="n">
        <v>8238316.851</v>
      </c>
      <c r="BW479" s="152" t="n">
        <v>-15.9168994</v>
      </c>
      <c r="BX479" s="152" t="n">
        <v>-47.7665334</v>
      </c>
      <c r="BY479" s="152" t="s">
        <v>3261</v>
      </c>
    </row>
    <row r="480" customFormat="false" ht="13.8" hidden="false" customHeight="false" outlineLevel="0" collapsed="false">
      <c r="A480" s="149" t="n">
        <f aca="false">IF(C480&lt;&gt;"",ROW(A475),"")</f>
        <v>475</v>
      </c>
      <c r="B480" s="150" t="str">
        <f aca="false">HYPERLINK("https://www.google.com/maps/dir/-15.917302,-47.760003/-15.9223221,-47.7736517/data=!4m3!4m2!3e0!5i2")</f>
        <v>https://www.google.com/maps/dir/-15.917302,-47.760003/-15.9223221,-47.7736517/data=!4m3!4m2!3e0!5i2</v>
      </c>
      <c r="C480" s="151" t="s">
        <v>117</v>
      </c>
      <c r="D480" s="152" t="s">
        <v>112</v>
      </c>
      <c r="E480" s="152" t="s">
        <v>113</v>
      </c>
      <c r="F480" s="152" t="s">
        <v>117</v>
      </c>
      <c r="G480" s="152" t="s">
        <v>114</v>
      </c>
      <c r="H480" s="152" t="n">
        <v>225</v>
      </c>
      <c r="I480" s="152" t="s">
        <v>115</v>
      </c>
      <c r="J480" s="152" t="s">
        <v>6</v>
      </c>
      <c r="K480" s="152" t="s">
        <v>3352</v>
      </c>
      <c r="L480" s="152" t="s">
        <v>120</v>
      </c>
      <c r="M480" s="153" t="n">
        <f aca="false">101.15</f>
        <v>101.15</v>
      </c>
      <c r="N480" s="152" t="s">
        <v>1548</v>
      </c>
      <c r="O480" s="152" t="s">
        <v>1549</v>
      </c>
      <c r="P480" s="152" t="s">
        <v>1550</v>
      </c>
      <c r="Q480" s="152" t="s">
        <v>1551</v>
      </c>
      <c r="R480" s="154" t="s">
        <v>3353</v>
      </c>
      <c r="S480" s="154" t="s">
        <v>1593</v>
      </c>
      <c r="T480" s="155" t="s">
        <v>2227</v>
      </c>
      <c r="U480" s="152" t="str">
        <f aca="false">RIGHT(T480,7)</f>
        <v>008/037</v>
      </c>
      <c r="V480" s="152" t="s">
        <v>1555</v>
      </c>
      <c r="W480" s="156" t="n">
        <v>45882</v>
      </c>
      <c r="X480" s="152" t="s">
        <v>1594</v>
      </c>
      <c r="Y480" s="152" t="s">
        <v>3354</v>
      </c>
      <c r="Z480" s="152" t="s">
        <v>1557</v>
      </c>
      <c r="AA480" s="153" t="n">
        <v>4</v>
      </c>
      <c r="AB480" s="151" t="s">
        <v>3355</v>
      </c>
      <c r="AC480" s="151" t="s">
        <v>508</v>
      </c>
      <c r="AD480" s="151" t="str">
        <f aca="false">CONCATENATE($C480,$I480,$H480,$N480,$J480,$K480)</f>
        <v>TUBO PEADPEAD225VCAREDESZona05</v>
      </c>
      <c r="AE480" s="153" t="n">
        <f aca="false">IFERROR(INDEX(APOIO_REDES!$A:$W,MATCH($C480&amp;$I480&amp;$H480&amp;$N480&amp;$O480,APOIO_REDES!$W:$W,0),MATCH(AE$5,APOIO_REDES!$5:$5,0)),0)</f>
        <v>1.2</v>
      </c>
      <c r="AF480" s="153" t="n">
        <f aca="false">IFERROR(INDEX(APOIO_REDES!$A:$W,MATCH($C480&amp;$I480&amp;$H480&amp;$N480&amp;$O480,APOIO_REDES!$W:$W,0),MATCH(AF$5,APOIO_REDES!$5:$5,0)),0)</f>
        <v>1.525</v>
      </c>
      <c r="AG480" s="153" t="n">
        <f aca="false">IFERROR(INDEX(APOIO_REDES!$A:$W,MATCH($C480&amp;$I480&amp;$H480&amp;$N480&amp;$O480,APOIO_REDES!$W:$W,0),MATCH(AG$5,APOIO_REDES!$5:$5,0)),0)</f>
        <v>0.8</v>
      </c>
      <c r="AH480" s="153" t="n">
        <f aca="false">IFERROR(INDEX(APOIO_REDES!$A:$W,MATCH($C480&amp;$I480&amp;$H480&amp;$N480&amp;$O480,APOIO_REDES!$W:$W,0),MATCH(AH$5,APOIO_REDES!$5:$5,0)),0)</f>
        <v>0.1</v>
      </c>
      <c r="AI480" s="153" t="n">
        <f aca="false">IFERROR(IF($H480&lt;&gt;"",(((($H480/1000)/2)^2)*PI()*$M480),0),0)</f>
        <v>4.02180310152488</v>
      </c>
      <c r="AJ480" s="153" t="n">
        <f aca="false">IFERROR(IF(AND($H480&lt;&gt;"",$I480="FoFo",OR($N480="MND",$N480="VCA"),$Q480="LINEAR"),0,IF(AND($H480&lt;&gt;"",$I480="PEAD",$N480="VCA",$Q480="LINEAR"),($H480/1000)+0.3,IF(AND($H480&lt;&gt;"",$I480="PEAD",$N480="MND",$Q480="EMBOQUE"),0,IF(AND($H480&lt;&gt;"",$I480="PVC",$N480="VCA",$Q480="LINEAR"),($H480/1000)+0.2,IF(AND($H480&lt;&gt;"",$I480="PVC",$N480="MND",$Q480="EMBOQUE"),0,IF(AND($H480&lt;&gt;"",$I480="PEAD",$N480="VCA",$Q480="PREDIAL"),0,0)))))),0)</f>
        <v>0.525</v>
      </c>
      <c r="AK480" s="153" t="n">
        <f aca="false">IF(AA480&lt;&gt;"",AA480,0)</f>
        <v>4</v>
      </c>
      <c r="AL480" s="153" t="n">
        <f aca="false">IF(AND($N480="MND",$Q480="EMBOQUE"),$M480,IF(AND($N480="VCA",$Q480="LINEAR"),$M480,IF(AND($N480="VCA",$Q480="PREDIAL"),0,0)))</f>
        <v>101.15</v>
      </c>
      <c r="AM480" s="153" t="n">
        <f aca="false">IF(AND($N480="MND",$Q480="EMBOQUE"),$M480,IF(AND($N480="VCA",$Q480="LINEAR"),$M480,IF(AND($N480="VCA",$Q480="PREDIAL"),0,0)))</f>
        <v>101.15</v>
      </c>
      <c r="AN480" s="153" t="n">
        <f aca="false">ROUND(IF(AND($N480="VCA",$M480&lt;&gt;"",$Q480="LINEAR"),$M480/100,IF(AND($N480="MND",$M480&gt;100,$Q480="EMBOQUE"),$M480/100,0)),0)</f>
        <v>1</v>
      </c>
      <c r="AO480" s="153" t="n">
        <f aca="false">IF(AND($N480="MND",$Q480="EMBOQUE"),$AN480*2*2,IF(AND($N480="VCA",$Q480="LINEAR"),$M480*2,IF(AND($N480="VCA",$Q480="PREDIAL"),0,0)))</f>
        <v>202.3</v>
      </c>
      <c r="AP480" s="153" t="n">
        <f aca="false">IFERROR($M480*$AF480*$AG480,0)</f>
        <v>123.403</v>
      </c>
      <c r="AQ480" s="153" t="n">
        <f aca="false">IFERROR(IF(AND($N480="VCA",$AH480&gt;0),$M480*$AG480*$AH480,0),0)</f>
        <v>8.092</v>
      </c>
      <c r="AR480" s="153" t="n">
        <f aca="false">IFERROR(IF(AND($N480="VCA",$AJ480&gt;0),($M480*$AG480*$AJ480)-$AI480,0),0)</f>
        <v>38.4611968984751</v>
      </c>
      <c r="AS480" s="153" t="n">
        <f aca="false">IFERROR(IF(AND($N480="VCA",$AP480&gt;0),$AP480-$AI480-$AQ480-$AR480,0),0)</f>
        <v>72.828</v>
      </c>
      <c r="AT480" s="153" t="n">
        <f aca="false">IFERROR(IF($N480="VCA",INDEX(APOIO_REDES!$A:$W,MATCH($C480&amp;$I480&amp;$H480&amp;$N480&amp;$O480,APOIO_REDES!$W:$W,0),MATCH(AT$5,APOIO_REDES!$5:$5,0)),0)*$AP480,0)</f>
        <v>1.34266116542356</v>
      </c>
      <c r="AU480" s="153" t="n">
        <f aca="false">IFERROR(IF($N480="VCA",INDEX(APOIO_REDES!$A:$W,MATCH($C480&amp;$I480&amp;$H480&amp;$N480&amp;$O480,APOIO_REDES!$W:$W,0),MATCH(AU$5,APOIO_REDES!$5:$5,0)),0)*$AP480,0)</f>
        <v>1.07221284283121</v>
      </c>
      <c r="AV480" s="153" t="n">
        <f aca="false">IFERROR(IF($N480="VCA",INDEX(APOIO_REDES!$A:$W,MATCH($C480&amp;$I480&amp;$H480&amp;$N480&amp;$O480,APOIO_REDES!$W:$W,0),MATCH(AV$5,APOIO_REDES!$5:$5,0)),0)*$AP480,0)</f>
        <v>0.148385840247002</v>
      </c>
      <c r="AW480" s="153" t="n">
        <f aca="false">IFERROR(IF($N480="VCA",INDEX(APOIO_REDES!$A:$W,MATCH($C480&amp;$I480&amp;$H480&amp;$N480&amp;$O480,APOIO_REDES!$W:$W,0),MATCH(AW$5,APOIO_REDES!$5:$5,0)),0)*$AP480,0)</f>
        <v>84.704775373103</v>
      </c>
      <c r="AX480" s="153" t="n">
        <f aca="false">IFERROR(IF($N480="VCA",INDEX(APOIO_REDES!$A:$W,MATCH($C480&amp;$I480&amp;$H480&amp;$N480&amp;$O480,APOIO_REDES!$W:$W,0),MATCH(AX$5,APOIO_REDES!$5:$5,0)),0)*$AP480,0)</f>
        <v>11.7228996255175</v>
      </c>
      <c r="AY480" s="153" t="n">
        <f aca="false">IFERROR(IF($N480="VCA",INDEX(APOIO_REDES!$A:$W,MATCH($C480&amp;$I480&amp;$H480&amp;$N480&amp;$O480,APOIO_REDES!$W:$W,0),MATCH(AY$5,APOIO_REDES!$5:$5,0)),0)*$AP480,0)</f>
        <v>21.4442437864366</v>
      </c>
      <c r="AZ480" s="153" t="n">
        <f aca="false">IFERROR(IF($N480="VCA",INDEX(APOIO_REDES!$A:$W,MATCH($C480&amp;$I480&amp;$H480&amp;$N480&amp;$O480,APOIO_REDES!$W:$W,0),MATCH(AZ$5,APOIO_REDES!$5:$5,0)),0)*$AP480,0)</f>
        <v>2.96782136644113</v>
      </c>
      <c r="BA480" s="153" t="n">
        <f aca="false">IFERROR(IF(AND($N480="VCA",$Q480="LINEAR"),INDEX(APOIO_REDES!$A:$W,MATCH($C480&amp;$I480&amp;$H480&amp;$N480&amp;$O480,APOIO_REDES!$W:$W,0),MATCH(BA$5,APOIO_REDES!$5:$5,0)),IF(AND($N480="MND",$Q480="EMBOQUE"),INDEX(APOIO_REDES!$A:$W,MATCH($C480&amp;$I480&amp;$H480&amp;$N480&amp;$O480,APOIO_REDES!$W:$W,0),MATCH(BA$5,APOIO_REDES!$5:$5,0)),0))*$M480/10,0)</f>
        <v>8.15243485719478</v>
      </c>
      <c r="BB480" s="153" t="n">
        <f aca="false">IFERROR(IF($N480="VCA",INDEX(APOIO_REDES!$A:$W,MATCH($C480&amp;$I480&amp;$H480&amp;$N480&amp;$O480,APOIO_REDES!$W:$W,0),MATCH(BB$5,APOIO_REDES!$5:$5,0)),0)*($AI480+$AQ480+$AR480),0)</f>
        <v>50.0247290305641</v>
      </c>
      <c r="BC480" s="153" t="n">
        <f aca="false">IFERROR(IF($N480="VCA",INDEX(APOIO_REDES!$A:$W,MATCH($C480&amp;$I480&amp;$H480&amp;$N480&amp;$O480,APOIO_REDES!$W:$W,0),MATCH(BC$5,APOIO_REDES!$5:$5,0)),0)*($AI480+$AQ480+$AR480),0)</f>
        <v>0.550270969435887</v>
      </c>
      <c r="BD480" s="153" t="n">
        <f aca="false">IF(AND($N480="VCA",$AF480&gt;=1.25,$AF480&lt;1.5),$M480*$AF480*2,0)</f>
        <v>0</v>
      </c>
      <c r="BE480" s="153" t="n">
        <f aca="false">IF(AND($N480="VCA",$AF480&gt;=1.5,$AF480&lt;3),$M480*$AF480*2,0)</f>
        <v>308.5075</v>
      </c>
      <c r="BF480" s="153" t="n">
        <f aca="false">IF(AND($N480="VCA",$AF480&gt;=3),$M480*$AF480*2,0)</f>
        <v>0</v>
      </c>
      <c r="BG480" s="153" t="n">
        <f aca="false">($BB480+$BC480)*$AK480</f>
        <v>202.3</v>
      </c>
      <c r="BH480" s="153" t="n">
        <f aca="false">IF(AND($M480&lt;&gt;"",$N480="VCA",$Q480="LINEAR"),($M480*2)/100,IF(AND($M480&lt;&gt;"",$N480="MND",$Q480="EMBOQUE"),($AN480*2)/100,0))</f>
        <v>2.023</v>
      </c>
      <c r="BI480" s="153" t="n">
        <f aca="false">IF(AND($M480&lt;&gt;"",$N480="VCA",$Q480="LINEAR"),$M480,IF(AND($M480&lt;&gt;"",$N480="MND",$Q480="EMBOQUE"),$AN480*2,0))</f>
        <v>101.15</v>
      </c>
      <c r="BJ480" s="153" t="n">
        <f aca="false">IF(AND($M480&lt;&gt;"",$N480="VCA",$Q480="LINEAR"),($M480*6.8)/100,IF(AND($M480&lt;&gt;"",$N480="MND",$Q480="EMBOQUE"),($AN480*2*6.8)/100,0))</f>
        <v>6.8782</v>
      </c>
      <c r="BK480" s="153" t="n">
        <f aca="false">IF(AND($M480&lt;&gt;"",$N480="VCA",$Q480="LINEAR"),($M480*2.5)/50,IF(AND($M480&lt;&gt;"",$N480="MND",$Q480="EMBOQUE"),($AN480*2*2.5)/50,0))</f>
        <v>5.0575</v>
      </c>
      <c r="BL480" s="157" t="str">
        <f aca="false">K480&amp;J480</f>
        <v>Zona05REDES</v>
      </c>
      <c r="BM480" s="152" t="s">
        <v>3356</v>
      </c>
      <c r="BN480" s="152" t="s">
        <v>1560</v>
      </c>
      <c r="BO480" s="152" t="s">
        <v>2231</v>
      </c>
      <c r="BP480" s="152" t="s">
        <v>3357</v>
      </c>
      <c r="BQ480" s="152" t="s">
        <v>3358</v>
      </c>
      <c r="BR480" s="152" t="s">
        <v>3359</v>
      </c>
      <c r="BS480" s="152" t="n">
        <v>203029.048</v>
      </c>
      <c r="BT480" s="152" t="n">
        <v>8237683.789</v>
      </c>
      <c r="BU480" s="152" t="n">
        <v>202928.896</v>
      </c>
      <c r="BV480" s="152" t="n">
        <v>8237692.824</v>
      </c>
      <c r="BW480" s="152" t="n">
        <v>-15.9222756</v>
      </c>
      <c r="BX480" s="152" t="n">
        <v>-47.7741213</v>
      </c>
      <c r="BY480" s="152" t="s">
        <v>3357</v>
      </c>
    </row>
    <row r="481" customFormat="false" ht="13.8" hidden="false" customHeight="false" outlineLevel="0" collapsed="false">
      <c r="A481" s="149" t="n">
        <f aca="false">IF(C481&lt;&gt;"",ROW(A476),"")</f>
        <v>476</v>
      </c>
      <c r="B481" s="150" t="str">
        <f aca="false">HYPERLINK("https://www.google.com/maps/dir/-15.917302,-47.760003/-15.9223503,-47.7734470/data=!4m3!4m2!3e0!5i2")</f>
        <v>https://www.google.com/maps/dir/-15.917302,-47.760003/-15.9223503,-47.7734470/data=!4m3!4m2!3e0!5i2</v>
      </c>
      <c r="C481" s="151" t="s">
        <v>117</v>
      </c>
      <c r="D481" s="152" t="s">
        <v>112</v>
      </c>
      <c r="E481" s="152" t="s">
        <v>113</v>
      </c>
      <c r="F481" s="152" t="s">
        <v>117</v>
      </c>
      <c r="G481" s="152" t="s">
        <v>114</v>
      </c>
      <c r="H481" s="152" t="n">
        <v>225</v>
      </c>
      <c r="I481" s="152" t="s">
        <v>115</v>
      </c>
      <c r="J481" s="152" t="s">
        <v>6</v>
      </c>
      <c r="K481" s="152" t="s">
        <v>3352</v>
      </c>
      <c r="L481" s="152" t="s">
        <v>120</v>
      </c>
      <c r="M481" s="153" t="n">
        <f aca="false">22.16</f>
        <v>22.16</v>
      </c>
      <c r="N481" s="152" t="s">
        <v>1548</v>
      </c>
      <c r="O481" s="152" t="s">
        <v>1549</v>
      </c>
      <c r="P481" s="152" t="s">
        <v>1550</v>
      </c>
      <c r="Q481" s="152" t="s">
        <v>1551</v>
      </c>
      <c r="R481" s="154" t="s">
        <v>3360</v>
      </c>
      <c r="S481" s="154" t="s">
        <v>1593</v>
      </c>
      <c r="T481" s="155" t="s">
        <v>2227</v>
      </c>
      <c r="U481" s="152" t="str">
        <f aca="false">RIGHT(T481,7)</f>
        <v>008/037</v>
      </c>
      <c r="V481" s="152" t="s">
        <v>1555</v>
      </c>
      <c r="W481" s="156" t="n">
        <v>45882</v>
      </c>
      <c r="X481" s="152" t="s">
        <v>1594</v>
      </c>
      <c r="Y481" s="152" t="s">
        <v>3354</v>
      </c>
      <c r="Z481" s="152" t="s">
        <v>1557</v>
      </c>
      <c r="AA481" s="153" t="n">
        <v>3.9</v>
      </c>
      <c r="AB481" s="151" t="s">
        <v>3361</v>
      </c>
      <c r="AC481" s="151" t="s">
        <v>508</v>
      </c>
      <c r="AD481" s="151" t="str">
        <f aca="false">CONCATENATE($C481,$I481,$H481,$N481,$J481,$K481)</f>
        <v>TUBO PEADPEAD225VCAREDESZona05</v>
      </c>
      <c r="AE481" s="153" t="n">
        <f aca="false">IFERROR(INDEX(APOIO_REDES!$A:$W,MATCH($C481&amp;$I481&amp;$H481&amp;$N481&amp;$O481,APOIO_REDES!$W:$W,0),MATCH(AE$5,APOIO_REDES!$5:$5,0)),0)</f>
        <v>1.2</v>
      </c>
      <c r="AF481" s="153" t="n">
        <f aca="false">IFERROR(INDEX(APOIO_REDES!$A:$W,MATCH($C481&amp;$I481&amp;$H481&amp;$N481&amp;$O481,APOIO_REDES!$W:$W,0),MATCH(AF$5,APOIO_REDES!$5:$5,0)),0)</f>
        <v>1.525</v>
      </c>
      <c r="AG481" s="153" t="n">
        <f aca="false">IFERROR(INDEX(APOIO_REDES!$A:$W,MATCH($C481&amp;$I481&amp;$H481&amp;$N481&amp;$O481,APOIO_REDES!$W:$W,0),MATCH(AG$5,APOIO_REDES!$5:$5,0)),0)</f>
        <v>0.8</v>
      </c>
      <c r="AH481" s="153" t="n">
        <f aca="false">IFERROR(INDEX(APOIO_REDES!$A:$W,MATCH($C481&amp;$I481&amp;$H481&amp;$N481&amp;$O481,APOIO_REDES!$W:$W,0),MATCH(AH$5,APOIO_REDES!$5:$5,0)),0)</f>
        <v>0.1</v>
      </c>
      <c r="AI481" s="153" t="n">
        <f aca="false">IFERROR(IF($H481&lt;&gt;"",(((($H481/1000)/2)^2)*PI()*$M481),0),0)</f>
        <v>0.881098929607427</v>
      </c>
      <c r="AJ481" s="153" t="n">
        <f aca="false">IFERROR(IF(AND($H481&lt;&gt;"",$I481="FoFo",OR($N481="MND",$N481="VCA"),$Q481="LINEAR"),0,IF(AND($H481&lt;&gt;"",$I481="PEAD",$N481="VCA",$Q481="LINEAR"),($H481/1000)+0.3,IF(AND($H481&lt;&gt;"",$I481="PEAD",$N481="MND",$Q481="EMBOQUE"),0,IF(AND($H481&lt;&gt;"",$I481="PVC",$N481="VCA",$Q481="LINEAR"),($H481/1000)+0.2,IF(AND($H481&lt;&gt;"",$I481="PVC",$N481="MND",$Q481="EMBOQUE"),0,IF(AND($H481&lt;&gt;"",$I481="PEAD",$N481="VCA",$Q481="PREDIAL"),0,0)))))),0)</f>
        <v>0.525</v>
      </c>
      <c r="AK481" s="153" t="n">
        <f aca="false">IF(AA481&lt;&gt;"",AA481,0)</f>
        <v>3.9</v>
      </c>
      <c r="AL481" s="153" t="n">
        <f aca="false">IF(AND($N481="MND",$Q481="EMBOQUE"),$M481,IF(AND($N481="VCA",$Q481="LINEAR"),$M481,IF(AND($N481="VCA",$Q481="PREDIAL"),0,0)))</f>
        <v>22.16</v>
      </c>
      <c r="AM481" s="153" t="n">
        <f aca="false">IF(AND($N481="MND",$Q481="EMBOQUE"),$M481,IF(AND($N481="VCA",$Q481="LINEAR"),$M481,IF(AND($N481="VCA",$Q481="PREDIAL"),0,0)))</f>
        <v>22.16</v>
      </c>
      <c r="AN481" s="153" t="n">
        <f aca="false">ROUND(IF(AND($N481="VCA",$M481&lt;&gt;"",$Q481="LINEAR"),$M481/100,IF(AND($N481="MND",$M481&gt;100,$Q481="EMBOQUE"),$M481/100,0)),0)</f>
        <v>0</v>
      </c>
      <c r="AO481" s="153" t="n">
        <f aca="false">IF(AND($N481="MND",$Q481="EMBOQUE"),$AN481*2*2,IF(AND($N481="VCA",$Q481="LINEAR"),$M481*2,IF(AND($N481="VCA",$Q481="PREDIAL"),0,0)))</f>
        <v>44.32</v>
      </c>
      <c r="AP481" s="153" t="n">
        <f aca="false">IFERROR($M481*$AF481*$AG481,0)</f>
        <v>27.0352</v>
      </c>
      <c r="AQ481" s="153" t="n">
        <f aca="false">IFERROR(IF(AND($N481="VCA",$AH481&gt;0),$M481*$AG481*$AH481,0),0)</f>
        <v>1.7728</v>
      </c>
      <c r="AR481" s="153" t="n">
        <f aca="false">IFERROR(IF(AND($N481="VCA",$AJ481&gt;0),($M481*$AG481*$AJ481)-$AI481,0),0)</f>
        <v>8.42610107039257</v>
      </c>
      <c r="AS481" s="153" t="n">
        <f aca="false">IFERROR(IF(AND($N481="VCA",$AP481&gt;0),$AP481-$AI481-$AQ481-$AR481,0),0)</f>
        <v>15.9552</v>
      </c>
      <c r="AT481" s="153" t="n">
        <f aca="false">IFERROR(IF($N481="VCA",INDEX(APOIO_REDES!$A:$W,MATCH($C481&amp;$I481&amp;$H481&amp;$N481&amp;$O481,APOIO_REDES!$W:$W,0),MATCH(AT$5,APOIO_REDES!$5:$5,0)),0)*$AP481,0)</f>
        <v>0.294150978010738</v>
      </c>
      <c r="AU481" s="153" t="n">
        <f aca="false">IFERROR(IF($N481="VCA",INDEX(APOIO_REDES!$A:$W,MATCH($C481&amp;$I481&amp;$H481&amp;$N481&amp;$O481,APOIO_REDES!$W:$W,0),MATCH(AU$5,APOIO_REDES!$5:$5,0)),0)*$AP481,0)</f>
        <v>0.234901004420561</v>
      </c>
      <c r="AV481" s="153" t="n">
        <f aca="false">IFERROR(IF($N481="VCA",INDEX(APOIO_REDES!$A:$W,MATCH($C481&amp;$I481&amp;$H481&amp;$N481&amp;$O481,APOIO_REDES!$W:$W,0),MATCH(AV$5,APOIO_REDES!$5:$5,0)),0)*$AP481,0)</f>
        <v>0.0325084549666194</v>
      </c>
      <c r="AW481" s="153" t="n">
        <f aca="false">IFERROR(IF($N481="VCA",INDEX(APOIO_REDES!$A:$W,MATCH($C481&amp;$I481&amp;$H481&amp;$N481&amp;$O481,APOIO_REDES!$W:$W,0),MATCH(AW$5,APOIO_REDES!$5:$5,0)),0)*$AP481,0)</f>
        <v>18.5571707589517</v>
      </c>
      <c r="AX481" s="153" t="n">
        <f aca="false">IFERROR(IF($N481="VCA",INDEX(APOIO_REDES!$A:$W,MATCH($C481&amp;$I481&amp;$H481&amp;$N481&amp;$O481,APOIO_REDES!$W:$W,0),MATCH(AX$5,APOIO_REDES!$5:$5,0)),0)*$AP481,0)</f>
        <v>2.5682595719374</v>
      </c>
      <c r="AY481" s="153" t="n">
        <f aca="false">IFERROR(IF($N481="VCA",INDEX(APOIO_REDES!$A:$W,MATCH($C481&amp;$I481&amp;$H481&amp;$N481&amp;$O481,APOIO_REDES!$W:$W,0),MATCH(AY$5,APOIO_REDES!$5:$5,0)),0)*$AP481,0)</f>
        <v>4.69801722498701</v>
      </c>
      <c r="AZ481" s="153" t="n">
        <f aca="false">IFERROR(IF($N481="VCA",INDEX(APOIO_REDES!$A:$W,MATCH($C481&amp;$I481&amp;$H481&amp;$N481&amp;$O481,APOIO_REDES!$W:$W,0),MATCH(AZ$5,APOIO_REDES!$5:$5,0)),0)*$AP481,0)</f>
        <v>0.650192006726005</v>
      </c>
      <c r="BA481" s="153" t="n">
        <f aca="false">IFERROR(IF(AND($N481="VCA",$Q481="LINEAR"),INDEX(APOIO_REDES!$A:$W,MATCH($C481&amp;$I481&amp;$H481&amp;$N481&amp;$O481,APOIO_REDES!$W:$W,0),MATCH(BA$5,APOIO_REDES!$5:$5,0)),IF(AND($N481="MND",$Q481="EMBOQUE"),INDEX(APOIO_REDES!$A:$W,MATCH($C481&amp;$I481&amp;$H481&amp;$N481&amp;$O481,APOIO_REDES!$W:$W,0),MATCH(BA$5,APOIO_REDES!$5:$5,0)),0))*$M481/10,0)</f>
        <v>1.78604010316793</v>
      </c>
      <c r="BB481" s="153" t="n">
        <f aca="false">IFERROR(IF($N481="VCA",INDEX(APOIO_REDES!$A:$W,MATCH($C481&amp;$I481&amp;$H481&amp;$N481&amp;$O481,APOIO_REDES!$W:$W,0),MATCH(BB$5,APOIO_REDES!$5:$5,0)),0)*($AI481+$AQ481+$AR481),0)</f>
        <v>10.9594463204874</v>
      </c>
      <c r="BC481" s="153" t="n">
        <f aca="false">IFERROR(IF($N481="VCA",INDEX(APOIO_REDES!$A:$W,MATCH($C481&amp;$I481&amp;$H481&amp;$N481&amp;$O481,APOIO_REDES!$W:$W,0),MATCH(BC$5,APOIO_REDES!$5:$5,0)),0)*($AI481+$AQ481+$AR481),0)</f>
        <v>0.120553679512598</v>
      </c>
      <c r="BD481" s="153" t="n">
        <f aca="false">IF(AND($N481="VCA",$AF481&gt;=1.25,$AF481&lt;1.5),$M481*$AF481*2,0)</f>
        <v>0</v>
      </c>
      <c r="BE481" s="153" t="n">
        <f aca="false">IF(AND($N481="VCA",$AF481&gt;=1.5,$AF481&lt;3),$M481*$AF481*2,0)</f>
        <v>67.588</v>
      </c>
      <c r="BF481" s="153" t="n">
        <f aca="false">IF(AND($N481="VCA",$AF481&gt;=3),$M481*$AF481*2,0)</f>
        <v>0</v>
      </c>
      <c r="BG481" s="153" t="n">
        <f aca="false">($BB481+$BC481)*$AK481</f>
        <v>43.212</v>
      </c>
      <c r="BH481" s="153" t="n">
        <f aca="false">IF(AND($M481&lt;&gt;"",$N481="VCA",$Q481="LINEAR"),($M481*2)/100,IF(AND($M481&lt;&gt;"",$N481="MND",$Q481="EMBOQUE"),($AN481*2)/100,0))</f>
        <v>0.4432</v>
      </c>
      <c r="BI481" s="153" t="n">
        <f aca="false">IF(AND($M481&lt;&gt;"",$N481="VCA",$Q481="LINEAR"),$M481,IF(AND($M481&lt;&gt;"",$N481="MND",$Q481="EMBOQUE"),$AN481*2,0))</f>
        <v>22.16</v>
      </c>
      <c r="BJ481" s="153" t="n">
        <f aca="false">IF(AND($M481&lt;&gt;"",$N481="VCA",$Q481="LINEAR"),($M481*6.8)/100,IF(AND($M481&lt;&gt;"",$N481="MND",$Q481="EMBOQUE"),($AN481*2*6.8)/100,0))</f>
        <v>1.50688</v>
      </c>
      <c r="BK481" s="153" t="n">
        <f aca="false">IF(AND($M481&lt;&gt;"",$N481="VCA",$Q481="LINEAR"),($M481*2.5)/50,IF(AND($M481&lt;&gt;"",$N481="MND",$Q481="EMBOQUE"),($AN481*2*2.5)/50,0))</f>
        <v>1.108</v>
      </c>
      <c r="BL481" s="157" t="str">
        <f aca="false">K481&amp;J481</f>
        <v>Zona05REDES</v>
      </c>
      <c r="BM481" s="152" t="s">
        <v>3356</v>
      </c>
      <c r="BN481" s="152" t="s">
        <v>1560</v>
      </c>
      <c r="BO481" s="152" t="s">
        <v>2231</v>
      </c>
      <c r="BP481" s="152" t="s">
        <v>3362</v>
      </c>
      <c r="BQ481" s="152" t="s">
        <v>3357</v>
      </c>
      <c r="BR481" s="152" t="s">
        <v>3363</v>
      </c>
      <c r="BS481" s="152" t="n">
        <v>203051.029</v>
      </c>
      <c r="BT481" s="152" t="n">
        <v>8237681.013</v>
      </c>
      <c r="BU481" s="152" t="n">
        <v>203029.048</v>
      </c>
      <c r="BV481" s="152" t="n">
        <v>8237683.789</v>
      </c>
      <c r="BW481" s="152" t="n">
        <v>-15.9223356</v>
      </c>
      <c r="BX481" s="152" t="n">
        <v>-47.7735493</v>
      </c>
      <c r="BY481" s="152" t="s">
        <v>3362</v>
      </c>
    </row>
    <row r="482" customFormat="false" ht="13.8" hidden="false" customHeight="false" outlineLevel="0" collapsed="false">
      <c r="A482" s="149" t="n">
        <f aca="false">IF(C482&lt;&gt;"",ROW(A477),"")</f>
        <v>477</v>
      </c>
      <c r="B482" s="150" t="str">
        <f aca="false">HYPERLINK("https://www.google.com/maps/dir/-15.917302,-47.760003/-15.9224032,-47.7729840/data=!4m3!4m2!3e0!5i2")</f>
        <v>https://www.google.com/maps/dir/-15.917302,-47.760003/-15.9224032,-47.7729840/data=!4m3!4m2!3e0!5i2</v>
      </c>
      <c r="C482" s="151" t="s">
        <v>117</v>
      </c>
      <c r="D482" s="152" t="s">
        <v>112</v>
      </c>
      <c r="E482" s="152" t="s">
        <v>113</v>
      </c>
      <c r="F482" s="152" t="s">
        <v>117</v>
      </c>
      <c r="G482" s="152" t="s">
        <v>114</v>
      </c>
      <c r="H482" s="152" t="n">
        <v>160</v>
      </c>
      <c r="I482" s="152" t="s">
        <v>115</v>
      </c>
      <c r="J482" s="152" t="s">
        <v>6</v>
      </c>
      <c r="K482" s="152" t="s">
        <v>3352</v>
      </c>
      <c r="L482" s="152" t="s">
        <v>120</v>
      </c>
      <c r="M482" s="153" t="n">
        <f aca="false">40.61</f>
        <v>40.61</v>
      </c>
      <c r="N482" s="152" t="s">
        <v>1548</v>
      </c>
      <c r="O482" s="152" t="s">
        <v>1549</v>
      </c>
      <c r="P482" s="152" t="s">
        <v>1550</v>
      </c>
      <c r="Q482" s="152" t="s">
        <v>1551</v>
      </c>
      <c r="R482" s="154" t="s">
        <v>3364</v>
      </c>
      <c r="S482" s="154" t="s">
        <v>1593</v>
      </c>
      <c r="T482" s="155" t="s">
        <v>2227</v>
      </c>
      <c r="U482" s="152" t="str">
        <f aca="false">RIGHT(T482,7)</f>
        <v>008/037</v>
      </c>
      <c r="V482" s="152" t="s">
        <v>1555</v>
      </c>
      <c r="W482" s="156" t="n">
        <v>45882</v>
      </c>
      <c r="X482" s="152" t="s">
        <v>1594</v>
      </c>
      <c r="Y482" s="152" t="s">
        <v>3365</v>
      </c>
      <c r="Z482" s="152" t="s">
        <v>1557</v>
      </c>
      <c r="AA482" s="153" t="n">
        <v>4.1</v>
      </c>
      <c r="AB482" s="151" t="s">
        <v>3366</v>
      </c>
      <c r="AC482" s="151" t="s">
        <v>505</v>
      </c>
      <c r="AD482" s="151" t="str">
        <f aca="false">CONCATENATE($C482,$I482,$H482,$N482,$J482,$K482)</f>
        <v>TUBO PEADPEAD160VCAREDESZona05</v>
      </c>
      <c r="AE482" s="153" t="n">
        <f aca="false">IFERROR(INDEX(APOIO_REDES!$A:$W,MATCH($C482&amp;$I482&amp;$H482&amp;$N482&amp;$O482,APOIO_REDES!$W:$W,0),MATCH(AE$5,APOIO_REDES!$5:$5,0)),0)</f>
        <v>1.2</v>
      </c>
      <c r="AF482" s="153" t="n">
        <f aca="false">IFERROR(INDEX(APOIO_REDES!$A:$W,MATCH($C482&amp;$I482&amp;$H482&amp;$N482&amp;$O482,APOIO_REDES!$W:$W,0),MATCH(AF$5,APOIO_REDES!$5:$5,0)),0)</f>
        <v>1.46</v>
      </c>
      <c r="AG482" s="153" t="n">
        <f aca="false">IFERROR(INDEX(APOIO_REDES!$A:$W,MATCH($C482&amp;$I482&amp;$H482&amp;$N482&amp;$O482,APOIO_REDES!$W:$W,0),MATCH(AG$5,APOIO_REDES!$5:$5,0)),0)</f>
        <v>0.75</v>
      </c>
      <c r="AH482" s="153" t="n">
        <f aca="false">IFERROR(INDEX(APOIO_REDES!$A:$W,MATCH($C482&amp;$I482&amp;$H482&amp;$N482&amp;$O482,APOIO_REDES!$W:$W,0),MATCH(AH$5,APOIO_REDES!$5:$5,0)),0)</f>
        <v>0.1</v>
      </c>
      <c r="AI482" s="153" t="n">
        <f aca="false">IFERROR(IF($H482&lt;&gt;"",(((($H482/1000)/2)^2)*PI()*$M482),0),0)</f>
        <v>0.816512497038602</v>
      </c>
      <c r="AJ482" s="153" t="n">
        <f aca="false">IFERROR(IF(AND($H482&lt;&gt;"",$I482="FoFo",OR($N482="MND",$N482="VCA"),$Q482="LINEAR"),0,IF(AND($H482&lt;&gt;"",$I482="PEAD",$N482="VCA",$Q482="LINEAR"),($H482/1000)+0.3,IF(AND($H482&lt;&gt;"",$I482="PEAD",$N482="MND",$Q482="EMBOQUE"),0,IF(AND($H482&lt;&gt;"",$I482="PVC",$N482="VCA",$Q482="LINEAR"),($H482/1000)+0.2,IF(AND($H482&lt;&gt;"",$I482="PVC",$N482="MND",$Q482="EMBOQUE"),0,IF(AND($H482&lt;&gt;"",$I482="PEAD",$N482="VCA",$Q482="PREDIAL"),0,0)))))),0)</f>
        <v>0.46</v>
      </c>
      <c r="AK482" s="153" t="n">
        <f aca="false">IF(AA482&lt;&gt;"",AA482,0)</f>
        <v>4.1</v>
      </c>
      <c r="AL482" s="153" t="n">
        <f aca="false">IF(AND($N482="MND",$Q482="EMBOQUE"),$M482,IF(AND($N482="VCA",$Q482="LINEAR"),$M482,IF(AND($N482="VCA",$Q482="PREDIAL"),0,0)))</f>
        <v>40.61</v>
      </c>
      <c r="AM482" s="153" t="n">
        <f aca="false">IF(AND($N482="MND",$Q482="EMBOQUE"),$M482,IF(AND($N482="VCA",$Q482="LINEAR"),$M482,IF(AND($N482="VCA",$Q482="PREDIAL"),0,0)))</f>
        <v>40.61</v>
      </c>
      <c r="AN482" s="153" t="n">
        <f aca="false">ROUND(IF(AND($N482="VCA",$M482&lt;&gt;"",$Q482="LINEAR"),$M482/100,IF(AND($N482="MND",$M482&gt;100,$Q482="EMBOQUE"),$M482/100,0)),0)</f>
        <v>0</v>
      </c>
      <c r="AO482" s="153" t="n">
        <f aca="false">IF(AND($N482="MND",$Q482="EMBOQUE"),$AN482*2*2,IF(AND($N482="VCA",$Q482="LINEAR"),$M482*2,IF(AND($N482="VCA",$Q482="PREDIAL"),0,0)))</f>
        <v>81.22</v>
      </c>
      <c r="AP482" s="153" t="n">
        <f aca="false">IFERROR($M482*$AF482*$AG482,0)</f>
        <v>44.46795</v>
      </c>
      <c r="AQ482" s="153" t="n">
        <f aca="false">IFERROR(IF(AND($N482="VCA",$AH482&gt;0),$M482*$AG482*$AH482,0),0)</f>
        <v>3.04575</v>
      </c>
      <c r="AR482" s="153" t="n">
        <f aca="false">IFERROR(IF(AND($N482="VCA",$AJ482&gt;0),($M482*$AG482*$AJ482)-$AI482,0),0)</f>
        <v>13.1939375029614</v>
      </c>
      <c r="AS482" s="153" t="n">
        <f aca="false">IFERROR(IF(AND($N482="VCA",$AP482&gt;0),$AP482-$AI482-$AQ482-$AR482,0),0)</f>
        <v>27.41175</v>
      </c>
      <c r="AT482" s="153" t="n">
        <f aca="false">IFERROR(IF($N482="VCA",INDEX(APOIO_REDES!$A:$W,MATCH($C482&amp;$I482&amp;$H482&amp;$N482&amp;$O482,APOIO_REDES!$W:$W,0),MATCH(AT$5,APOIO_REDES!$5:$5,0)),0)*$AP482,0)</f>
        <v>0.483824457841355</v>
      </c>
      <c r="AU482" s="153" t="n">
        <f aca="false">IFERROR(IF($N482="VCA",INDEX(APOIO_REDES!$A:$W,MATCH($C482&amp;$I482&amp;$H482&amp;$N482&amp;$O482,APOIO_REDES!$W:$W,0),MATCH(AU$5,APOIO_REDES!$5:$5,0)),0)*$AP482,0)</f>
        <v>0.386369108403979</v>
      </c>
      <c r="AV482" s="153" t="n">
        <f aca="false">IFERROR(IF($N482="VCA",INDEX(APOIO_REDES!$A:$W,MATCH($C482&amp;$I482&amp;$H482&amp;$N482&amp;$O482,APOIO_REDES!$W:$W,0),MATCH(AV$5,APOIO_REDES!$5:$5,0)),0)*$AP482,0)</f>
        <v>0.0534704514866871</v>
      </c>
      <c r="AW482" s="153" t="n">
        <f aca="false">IFERROR(IF($N482="VCA",INDEX(APOIO_REDES!$A:$W,MATCH($C482&amp;$I482&amp;$H482&amp;$N482&amp;$O482,APOIO_REDES!$W:$W,0),MATCH(AW$5,APOIO_REDES!$5:$5,0)),0)*$AP482,0)</f>
        <v>30.52314543449</v>
      </c>
      <c r="AX482" s="153" t="n">
        <f aca="false">IFERROR(IF($N482="VCA",INDEX(APOIO_REDES!$A:$W,MATCH($C482&amp;$I482&amp;$H482&amp;$N482&amp;$O482,APOIO_REDES!$W:$W,0),MATCH(AX$5,APOIO_REDES!$5:$5,0)),0)*$AP482,0)</f>
        <v>4.22431638130784</v>
      </c>
      <c r="AY482" s="153" t="n">
        <f aca="false">IFERROR(IF($N482="VCA",INDEX(APOIO_REDES!$A:$W,MATCH($C482&amp;$I482&amp;$H482&amp;$N482&amp;$O482,APOIO_REDES!$W:$W,0),MATCH(AY$5,APOIO_REDES!$5:$5,0)),0)*$AP482,0)</f>
        <v>7.72737745827148</v>
      </c>
      <c r="AZ482" s="153" t="n">
        <f aca="false">IFERROR(IF($N482="VCA",INDEX(APOIO_REDES!$A:$W,MATCH($C482&amp;$I482&amp;$H482&amp;$N482&amp;$O482,APOIO_REDES!$W:$W,0),MATCH(AZ$5,APOIO_REDES!$5:$5,0)),0)*$AP482,0)</f>
        <v>1.06944670819863</v>
      </c>
      <c r="BA482" s="153" t="n">
        <f aca="false">IFERROR(IF(AND($N482="VCA",$Q482="LINEAR"),INDEX(APOIO_REDES!$A:$W,MATCH($C482&amp;$I482&amp;$H482&amp;$N482&amp;$O482,APOIO_REDES!$W:$W,0),MATCH(BA$5,APOIO_REDES!$5:$5,0)),IF(AND($N482="MND",$Q482="EMBOQUE"),INDEX(APOIO_REDES!$A:$W,MATCH($C482&amp;$I482&amp;$H482&amp;$N482&amp;$O482,APOIO_REDES!$W:$W,0),MATCH(BA$5,APOIO_REDES!$5:$5,0)),0))*$M482/10,0)</f>
        <v>3.27306356451488</v>
      </c>
      <c r="BB482" s="153" t="n">
        <f aca="false">IFERROR(IF($N482="VCA",INDEX(APOIO_REDES!$A:$W,MATCH($C482&amp;$I482&amp;$H482&amp;$N482&amp;$O482,APOIO_REDES!$W:$W,0),MATCH(BB$5,APOIO_REDES!$5:$5,0)),0)*($AI482+$AQ482+$AR482),0)</f>
        <v>16.8706234956225</v>
      </c>
      <c r="BC482" s="153" t="n">
        <f aca="false">IFERROR(IF($N482="VCA",INDEX(APOIO_REDES!$A:$W,MATCH($C482&amp;$I482&amp;$H482&amp;$N482&amp;$O482,APOIO_REDES!$W:$W,0),MATCH(BC$5,APOIO_REDES!$5:$5,0)),0)*($AI482+$AQ482+$AR482),0)</f>
        <v>0.185576504377506</v>
      </c>
      <c r="BD482" s="153" t="n">
        <f aca="false">IF(AND($N482="VCA",$AF482&gt;=1.25,$AF482&lt;1.5),$M482*$AF482*2,0)</f>
        <v>118.5812</v>
      </c>
      <c r="BE482" s="153" t="n">
        <f aca="false">IF(AND($N482="VCA",$AF482&gt;=1.5,$AF482&lt;3),$M482*$AF482*2,0)</f>
        <v>0</v>
      </c>
      <c r="BF482" s="153" t="n">
        <f aca="false">IF(AND($N482="VCA",$AF482&gt;=3),$M482*$AF482*2,0)</f>
        <v>0</v>
      </c>
      <c r="BG482" s="153" t="n">
        <f aca="false">($BB482+$BC482)*$AK482</f>
        <v>69.93042</v>
      </c>
      <c r="BH482" s="153" t="n">
        <f aca="false">IF(AND($M482&lt;&gt;"",$N482="VCA",$Q482="LINEAR"),($M482*2)/100,IF(AND($M482&lt;&gt;"",$N482="MND",$Q482="EMBOQUE"),($AN482*2)/100,0))</f>
        <v>0.8122</v>
      </c>
      <c r="BI482" s="153" t="n">
        <f aca="false">IF(AND($M482&lt;&gt;"",$N482="VCA",$Q482="LINEAR"),$M482,IF(AND($M482&lt;&gt;"",$N482="MND",$Q482="EMBOQUE"),$AN482*2,0))</f>
        <v>40.61</v>
      </c>
      <c r="BJ482" s="153" t="n">
        <f aca="false">IF(AND($M482&lt;&gt;"",$N482="VCA",$Q482="LINEAR"),($M482*6.8)/100,IF(AND($M482&lt;&gt;"",$N482="MND",$Q482="EMBOQUE"),($AN482*2*6.8)/100,0))</f>
        <v>2.76148</v>
      </c>
      <c r="BK482" s="153" t="n">
        <f aca="false">IF(AND($M482&lt;&gt;"",$N482="VCA",$Q482="LINEAR"),($M482*2.5)/50,IF(AND($M482&lt;&gt;"",$N482="MND",$Q482="EMBOQUE"),($AN482*2*2.5)/50,0))</f>
        <v>2.0305</v>
      </c>
      <c r="BL482" s="157" t="str">
        <f aca="false">K482&amp;J482</f>
        <v>Zona05REDES</v>
      </c>
      <c r="BM482" s="152" t="s">
        <v>3356</v>
      </c>
      <c r="BN482" s="152" t="s">
        <v>1560</v>
      </c>
      <c r="BO482" s="152" t="s">
        <v>2231</v>
      </c>
      <c r="BP482" s="152" t="s">
        <v>2032</v>
      </c>
      <c r="BQ482" s="152" t="s">
        <v>2032</v>
      </c>
      <c r="BR482" s="152" t="s">
        <v>2790</v>
      </c>
      <c r="BS482" s="152" t="n">
        <v>203079.037</v>
      </c>
      <c r="BT482" s="152" t="n">
        <v>8237681.381</v>
      </c>
      <c r="BU482" s="152" t="n">
        <v>203119.169</v>
      </c>
      <c r="BV482" s="152" t="n">
        <v>8237675.312</v>
      </c>
      <c r="BW482" s="152" t="n">
        <v>-15.9223763</v>
      </c>
      <c r="BX482" s="152" t="n">
        <v>-47.772998</v>
      </c>
      <c r="BY482" s="152" t="s">
        <v>3367</v>
      </c>
    </row>
    <row r="483" customFormat="false" ht="13.8" hidden="false" customHeight="false" outlineLevel="0" collapsed="false">
      <c r="A483" s="149" t="n">
        <f aca="false">IF(C483&lt;&gt;"",ROW(A478),"")</f>
        <v>478</v>
      </c>
      <c r="B483" s="150" t="str">
        <f aca="false">HYPERLINK("https://www.google.com/maps/dir/-15.917302,-47.760003/-15.9224032,-47.7729840/data=!4m3!4m2!3e0!5i2")</f>
        <v>https://www.google.com/maps/dir/-15.917302,-47.760003/-15.9224032,-47.7729840/data=!4m3!4m2!3e0!5i2</v>
      </c>
      <c r="C483" s="151" t="s">
        <v>117</v>
      </c>
      <c r="D483" s="152" t="s">
        <v>112</v>
      </c>
      <c r="E483" s="152" t="s">
        <v>113</v>
      </c>
      <c r="F483" s="152" t="s">
        <v>117</v>
      </c>
      <c r="G483" s="152" t="s">
        <v>114</v>
      </c>
      <c r="H483" s="152" t="n">
        <v>225</v>
      </c>
      <c r="I483" s="152" t="s">
        <v>115</v>
      </c>
      <c r="J483" s="152" t="s">
        <v>6</v>
      </c>
      <c r="K483" s="152" t="s">
        <v>3352</v>
      </c>
      <c r="L483" s="152" t="s">
        <v>120</v>
      </c>
      <c r="M483" s="153" t="n">
        <f aca="false">49.96</f>
        <v>49.96</v>
      </c>
      <c r="N483" s="152" t="s">
        <v>1548</v>
      </c>
      <c r="O483" s="152" t="s">
        <v>1549</v>
      </c>
      <c r="P483" s="152" t="s">
        <v>1550</v>
      </c>
      <c r="Q483" s="152" t="s">
        <v>1551</v>
      </c>
      <c r="R483" s="154" t="s">
        <v>3368</v>
      </c>
      <c r="S483" s="154" t="s">
        <v>1593</v>
      </c>
      <c r="T483" s="155" t="s">
        <v>2227</v>
      </c>
      <c r="U483" s="152" t="str">
        <f aca="false">RIGHT(T483,7)</f>
        <v>008/037</v>
      </c>
      <c r="V483" s="152" t="s">
        <v>1555</v>
      </c>
      <c r="W483" s="156" t="n">
        <v>45882</v>
      </c>
      <c r="X483" s="152" t="s">
        <v>1594</v>
      </c>
      <c r="Y483" s="152" t="s">
        <v>3365</v>
      </c>
      <c r="Z483" s="152" t="s">
        <v>1557</v>
      </c>
      <c r="AA483" s="153" t="n">
        <v>4.1</v>
      </c>
      <c r="AB483" s="151" t="s">
        <v>3369</v>
      </c>
      <c r="AC483" s="151" t="s">
        <v>508</v>
      </c>
      <c r="AD483" s="151" t="str">
        <f aca="false">CONCATENATE($C483,$I483,$H483,$N483,$J483,$K483)</f>
        <v>TUBO PEADPEAD225VCAREDESZona05</v>
      </c>
      <c r="AE483" s="153" t="n">
        <f aca="false">IFERROR(INDEX(APOIO_REDES!$A:$W,MATCH($C483&amp;$I483&amp;$H483&amp;$N483&amp;$O483,APOIO_REDES!$W:$W,0),MATCH(AE$5,APOIO_REDES!$5:$5,0)),0)</f>
        <v>1.2</v>
      </c>
      <c r="AF483" s="153" t="n">
        <f aca="false">IFERROR(INDEX(APOIO_REDES!$A:$W,MATCH($C483&amp;$I483&amp;$H483&amp;$N483&amp;$O483,APOIO_REDES!$W:$W,0),MATCH(AF$5,APOIO_REDES!$5:$5,0)),0)</f>
        <v>1.525</v>
      </c>
      <c r="AG483" s="153" t="n">
        <f aca="false">IFERROR(INDEX(APOIO_REDES!$A:$W,MATCH($C483&amp;$I483&amp;$H483&amp;$N483&amp;$O483,APOIO_REDES!$W:$W,0),MATCH(AG$5,APOIO_REDES!$5:$5,0)),0)</f>
        <v>0.8</v>
      </c>
      <c r="AH483" s="153" t="n">
        <f aca="false">IFERROR(INDEX(APOIO_REDES!$A:$W,MATCH($C483&amp;$I483&amp;$H483&amp;$N483&amp;$O483,APOIO_REDES!$W:$W,0),MATCH(AH$5,APOIO_REDES!$5:$5,0)),0)</f>
        <v>0.1</v>
      </c>
      <c r="AI483" s="153" t="n">
        <f aca="false">IFERROR(IF($H483&lt;&gt;"",(((($H483/1000)/2)^2)*PI()*$M483),0),0)</f>
        <v>1.98644866981891</v>
      </c>
      <c r="AJ483" s="153" t="n">
        <f aca="false">IFERROR(IF(AND($H483&lt;&gt;"",$I483="FoFo",OR($N483="MND",$N483="VCA"),$Q483="LINEAR"),0,IF(AND($H483&lt;&gt;"",$I483="PEAD",$N483="VCA",$Q483="LINEAR"),($H483/1000)+0.3,IF(AND($H483&lt;&gt;"",$I483="PEAD",$N483="MND",$Q483="EMBOQUE"),0,IF(AND($H483&lt;&gt;"",$I483="PVC",$N483="VCA",$Q483="LINEAR"),($H483/1000)+0.2,IF(AND($H483&lt;&gt;"",$I483="PVC",$N483="MND",$Q483="EMBOQUE"),0,IF(AND($H483&lt;&gt;"",$I483="PEAD",$N483="VCA",$Q483="PREDIAL"),0,0)))))),0)</f>
        <v>0.525</v>
      </c>
      <c r="AK483" s="153" t="n">
        <f aca="false">IF(AA483&lt;&gt;"",AA483,0)</f>
        <v>4.1</v>
      </c>
      <c r="AL483" s="153" t="n">
        <f aca="false">IF(AND($N483="MND",$Q483="EMBOQUE"),$M483,IF(AND($N483="VCA",$Q483="LINEAR"),$M483,IF(AND($N483="VCA",$Q483="PREDIAL"),0,0)))</f>
        <v>49.96</v>
      </c>
      <c r="AM483" s="153" t="n">
        <f aca="false">IF(AND($N483="MND",$Q483="EMBOQUE"),$M483,IF(AND($N483="VCA",$Q483="LINEAR"),$M483,IF(AND($N483="VCA",$Q483="PREDIAL"),0,0)))</f>
        <v>49.96</v>
      </c>
      <c r="AN483" s="153" t="n">
        <f aca="false">ROUND(IF(AND($N483="VCA",$M483&lt;&gt;"",$Q483="LINEAR"),$M483/100,IF(AND($N483="MND",$M483&gt;100,$Q483="EMBOQUE"),$M483/100,0)),0)</f>
        <v>0</v>
      </c>
      <c r="AO483" s="153" t="n">
        <f aca="false">IF(AND($N483="MND",$Q483="EMBOQUE"),$AN483*2*2,IF(AND($N483="VCA",$Q483="LINEAR"),$M483*2,IF(AND($N483="VCA",$Q483="PREDIAL"),0,0)))</f>
        <v>99.92</v>
      </c>
      <c r="AP483" s="153" t="n">
        <f aca="false">IFERROR($M483*$AF483*$AG483,0)</f>
        <v>60.9512</v>
      </c>
      <c r="AQ483" s="153" t="n">
        <f aca="false">IFERROR(IF(AND($N483="VCA",$AH483&gt;0),$M483*$AG483*$AH483,0),0)</f>
        <v>3.9968</v>
      </c>
      <c r="AR483" s="153" t="n">
        <f aca="false">IFERROR(IF(AND($N483="VCA",$AJ483&gt;0),($M483*$AG483*$AJ483)-$AI483,0),0)</f>
        <v>18.9967513301811</v>
      </c>
      <c r="AS483" s="153" t="n">
        <f aca="false">IFERROR(IF(AND($N483="VCA",$AP483&gt;0),$AP483-$AI483-$AQ483-$AR483,0),0)</f>
        <v>35.9712</v>
      </c>
      <c r="AT483" s="153" t="n">
        <f aca="false">IFERROR(IF($N483="VCA",INDEX(APOIO_REDES!$A:$W,MATCH($C483&amp;$I483&amp;$H483&amp;$N483&amp;$O483,APOIO_REDES!$W:$W,0),MATCH(AT$5,APOIO_REDES!$5:$5,0)),0)*$AP483,0)</f>
        <v>0.663167096634318</v>
      </c>
      <c r="AU483" s="153" t="n">
        <f aca="false">IFERROR(IF($N483="VCA",INDEX(APOIO_REDES!$A:$W,MATCH($C483&amp;$I483&amp;$H483&amp;$N483&amp;$O483,APOIO_REDES!$W:$W,0),MATCH(AU$5,APOIO_REDES!$5:$5,0)),0)*$AP483,0)</f>
        <v>0.529587282529386</v>
      </c>
      <c r="AV483" s="153" t="n">
        <f aca="false">IFERROR(IF($N483="VCA",INDEX(APOIO_REDES!$A:$W,MATCH($C483&amp;$I483&amp;$H483&amp;$N483&amp;$O483,APOIO_REDES!$W:$W,0),MATCH(AV$5,APOIO_REDES!$5:$5,0)),0)*$AP483,0)</f>
        <v>0.0732907224788947</v>
      </c>
      <c r="AW483" s="153" t="n">
        <f aca="false">IFERROR(IF($N483="VCA",INDEX(APOIO_REDES!$A:$W,MATCH($C483&amp;$I483&amp;$H483&amp;$N483&amp;$O483,APOIO_REDES!$W:$W,0),MATCH(AW$5,APOIO_REDES!$5:$5,0)),0)*$AP483,0)</f>
        <v>41.8373759529434</v>
      </c>
      <c r="AX483" s="153" t="n">
        <f aca="false">IFERROR(IF($N483="VCA",INDEX(APOIO_REDES!$A:$W,MATCH($C483&amp;$I483&amp;$H483&amp;$N483&amp;$O483,APOIO_REDES!$W:$W,0),MATCH(AX$5,APOIO_REDES!$5:$5,0)),0)*$AP483,0)</f>
        <v>5.79017365586609</v>
      </c>
      <c r="AY483" s="153" t="n">
        <f aca="false">IFERROR(IF($N483="VCA",INDEX(APOIO_REDES!$A:$W,MATCH($C483&amp;$I483&amp;$H483&amp;$N483&amp;$O483,APOIO_REDES!$W:$W,0),MATCH(AY$5,APOIO_REDES!$5:$5,0)),0)*$AP483,0)</f>
        <v>10.5917391949617</v>
      </c>
      <c r="AZ483" s="153" t="n">
        <f aca="false">IFERROR(IF($N483="VCA",INDEX(APOIO_REDES!$A:$W,MATCH($C483&amp;$I483&amp;$H483&amp;$N483&amp;$O483,APOIO_REDES!$W:$W,0),MATCH(AZ$5,APOIO_REDES!$5:$5,0)),0)*$AP483,0)</f>
        <v>1.46586609458625</v>
      </c>
      <c r="BA483" s="153" t="n">
        <f aca="false">IFERROR(IF(AND($N483="VCA",$Q483="LINEAR"),INDEX(APOIO_REDES!$A:$W,MATCH($C483&amp;$I483&amp;$H483&amp;$N483&amp;$O483,APOIO_REDES!$W:$W,0),MATCH(BA$5,APOIO_REDES!$5:$5,0)),IF(AND($N483="MND",$Q483="EMBOQUE"),INDEX(APOIO_REDES!$A:$W,MATCH($C483&amp;$I483&amp;$H483&amp;$N483&amp;$O483,APOIO_REDES!$W:$W,0),MATCH(BA$5,APOIO_REDES!$5:$5,0)),0))*$M483/10,0)</f>
        <v>4.02664997988582</v>
      </c>
      <c r="BB483" s="153" t="n">
        <f aca="false">IFERROR(IF($N483="VCA",INDEX(APOIO_REDES!$A:$W,MATCH($C483&amp;$I483&amp;$H483&amp;$N483&amp;$O483,APOIO_REDES!$W:$W,0),MATCH(BB$5,APOIO_REDES!$5:$5,0)),0)*($AI483+$AQ483+$AR483),0)</f>
        <v>24.7082102062974</v>
      </c>
      <c r="BC483" s="153" t="n">
        <f aca="false">IFERROR(IF($N483="VCA",INDEX(APOIO_REDES!$A:$W,MATCH($C483&amp;$I483&amp;$H483&amp;$N483&amp;$O483,APOIO_REDES!$W:$W,0),MATCH(BC$5,APOIO_REDES!$5:$5,0)),0)*($AI483+$AQ483+$AR483),0)</f>
        <v>0.271789793702589</v>
      </c>
      <c r="BD483" s="153" t="n">
        <f aca="false">IF(AND($N483="VCA",$AF483&gt;=1.25,$AF483&lt;1.5),$M483*$AF483*2,0)</f>
        <v>0</v>
      </c>
      <c r="BE483" s="153" t="n">
        <f aca="false">IF(AND($N483="VCA",$AF483&gt;=1.5,$AF483&lt;3),$M483*$AF483*2,0)</f>
        <v>152.378</v>
      </c>
      <c r="BF483" s="153" t="n">
        <f aca="false">IF(AND($N483="VCA",$AF483&gt;=3),$M483*$AF483*2,0)</f>
        <v>0</v>
      </c>
      <c r="BG483" s="153" t="n">
        <f aca="false">($BB483+$BC483)*$AK483</f>
        <v>102.418</v>
      </c>
      <c r="BH483" s="153" t="n">
        <f aca="false">IF(AND($M483&lt;&gt;"",$N483="VCA",$Q483="LINEAR"),($M483*2)/100,IF(AND($M483&lt;&gt;"",$N483="MND",$Q483="EMBOQUE"),($AN483*2)/100,0))</f>
        <v>0.9992</v>
      </c>
      <c r="BI483" s="153" t="n">
        <f aca="false">IF(AND($M483&lt;&gt;"",$N483="VCA",$Q483="LINEAR"),$M483,IF(AND($M483&lt;&gt;"",$N483="MND",$Q483="EMBOQUE"),$AN483*2,0))</f>
        <v>49.96</v>
      </c>
      <c r="BJ483" s="153" t="n">
        <f aca="false">IF(AND($M483&lt;&gt;"",$N483="VCA",$Q483="LINEAR"),($M483*6.8)/100,IF(AND($M483&lt;&gt;"",$N483="MND",$Q483="EMBOQUE"),($AN483*2*6.8)/100,0))</f>
        <v>3.39728</v>
      </c>
      <c r="BK483" s="153" t="n">
        <f aca="false">IF(AND($M483&lt;&gt;"",$N483="VCA",$Q483="LINEAR"),($M483*2.5)/50,IF(AND($M483&lt;&gt;"",$N483="MND",$Q483="EMBOQUE"),($AN483*2*2.5)/50,0))</f>
        <v>2.498</v>
      </c>
      <c r="BL483" s="157" t="str">
        <f aca="false">K483&amp;J483</f>
        <v>Zona05REDES</v>
      </c>
      <c r="BM483" s="152" t="s">
        <v>3356</v>
      </c>
      <c r="BN483" s="152" t="s">
        <v>1560</v>
      </c>
      <c r="BO483" s="152" t="s">
        <v>2231</v>
      </c>
      <c r="BP483" s="152" t="s">
        <v>3367</v>
      </c>
      <c r="BQ483" s="152" t="s">
        <v>3362</v>
      </c>
      <c r="BR483" s="152" t="s">
        <v>3370</v>
      </c>
      <c r="BS483" s="152" t="n">
        <v>203100.715</v>
      </c>
      <c r="BT483" s="152" t="n">
        <v>8237675.807</v>
      </c>
      <c r="BU483" s="152" t="n">
        <v>203051.029</v>
      </c>
      <c r="BV483" s="152" t="n">
        <v>8237681.013</v>
      </c>
      <c r="BW483" s="152" t="n">
        <v>-15.9223786</v>
      </c>
      <c r="BX483" s="152" t="n">
        <v>-47.7732157</v>
      </c>
      <c r="BY483" s="152" t="s">
        <v>3367</v>
      </c>
    </row>
    <row r="484" customFormat="false" ht="13.8" hidden="false" customHeight="false" outlineLevel="0" collapsed="false">
      <c r="A484" s="149" t="n">
        <f aca="false">IF(C484&lt;&gt;"",ROW(A479),"")</f>
        <v>479</v>
      </c>
      <c r="B484" s="150" t="str">
        <f aca="false">HYPERLINK("https://www.google.com/maps/dir/-15.917302,-47.760003/-15.9222283,-47.7745853/data=!4m3!4m2!3e0!5i1")</f>
        <v>https://www.google.com/maps/dir/-15.917302,-47.760003/-15.9222283,-47.7745853/data=!4m3!4m2!3e0!5i1</v>
      </c>
      <c r="C484" s="151" t="s">
        <v>117</v>
      </c>
      <c r="D484" s="152" t="s">
        <v>112</v>
      </c>
      <c r="E484" s="152" t="s">
        <v>113</v>
      </c>
      <c r="F484" s="152" t="s">
        <v>117</v>
      </c>
      <c r="G484" s="152" t="s">
        <v>114</v>
      </c>
      <c r="H484" s="152" t="n">
        <v>225</v>
      </c>
      <c r="I484" s="152" t="s">
        <v>115</v>
      </c>
      <c r="J484" s="152" t="s">
        <v>6</v>
      </c>
      <c r="K484" s="152" t="s">
        <v>3352</v>
      </c>
      <c r="L484" s="152" t="s">
        <v>120</v>
      </c>
      <c r="M484" s="153" t="n">
        <f aca="false">64.78</f>
        <v>64.78</v>
      </c>
      <c r="N484" s="152" t="s">
        <v>1548</v>
      </c>
      <c r="O484" s="152" t="s">
        <v>1549</v>
      </c>
      <c r="P484" s="152" t="s">
        <v>1550</v>
      </c>
      <c r="Q484" s="152" t="s">
        <v>1551</v>
      </c>
      <c r="R484" s="154" t="s">
        <v>3371</v>
      </c>
      <c r="S484" s="154" t="s">
        <v>1593</v>
      </c>
      <c r="T484" s="155" t="s">
        <v>2227</v>
      </c>
      <c r="U484" s="152" t="str">
        <f aca="false">RIGHT(T484,7)</f>
        <v>008/037</v>
      </c>
      <c r="V484" s="152" t="s">
        <v>1555</v>
      </c>
      <c r="W484" s="156" t="n">
        <v>45882</v>
      </c>
      <c r="X484" s="152" t="s">
        <v>1594</v>
      </c>
      <c r="Y484" s="152"/>
      <c r="Z484" s="152" t="s">
        <v>1557</v>
      </c>
      <c r="AA484" s="153" t="n">
        <v>3.9</v>
      </c>
      <c r="AB484" s="151" t="s">
        <v>3372</v>
      </c>
      <c r="AC484" s="151" t="s">
        <v>508</v>
      </c>
      <c r="AD484" s="151" t="str">
        <f aca="false">CONCATENATE($C484,$I484,$H484,$N484,$J484,$K484)</f>
        <v>TUBO PEADPEAD225VCAREDESZona05</v>
      </c>
      <c r="AE484" s="153" t="n">
        <f aca="false">IFERROR(INDEX(APOIO_REDES!$A:$W,MATCH($C484&amp;$I484&amp;$H484&amp;$N484&amp;$O484,APOIO_REDES!$W:$W,0),MATCH(AE$5,APOIO_REDES!$5:$5,0)),0)</f>
        <v>1.2</v>
      </c>
      <c r="AF484" s="153" t="n">
        <f aca="false">IFERROR(INDEX(APOIO_REDES!$A:$W,MATCH($C484&amp;$I484&amp;$H484&amp;$N484&amp;$O484,APOIO_REDES!$W:$W,0),MATCH(AF$5,APOIO_REDES!$5:$5,0)),0)</f>
        <v>1.525</v>
      </c>
      <c r="AG484" s="153" t="n">
        <f aca="false">IFERROR(INDEX(APOIO_REDES!$A:$W,MATCH($C484&amp;$I484&amp;$H484&amp;$N484&amp;$O484,APOIO_REDES!$W:$W,0),MATCH(AG$5,APOIO_REDES!$5:$5,0)),0)</f>
        <v>0.8</v>
      </c>
      <c r="AH484" s="153" t="n">
        <f aca="false">IFERROR(INDEX(APOIO_REDES!$A:$W,MATCH($C484&amp;$I484&amp;$H484&amp;$N484&amp;$O484,APOIO_REDES!$W:$W,0),MATCH(AH$5,APOIO_REDES!$5:$5,0)),0)</f>
        <v>0.1</v>
      </c>
      <c r="AI484" s="153" t="n">
        <f aca="false">IFERROR(IF($H484&lt;&gt;"",(((($H484/1000)/2)^2)*PI()*$M484),0),0)</f>
        <v>2.57570345938489</v>
      </c>
      <c r="AJ484" s="153" t="n">
        <f aca="false">IFERROR(IF(AND($H484&lt;&gt;"",$I484="FoFo",OR($N484="MND",$N484="VCA"),$Q484="LINEAR"),0,IF(AND($H484&lt;&gt;"",$I484="PEAD",$N484="VCA",$Q484="LINEAR"),($H484/1000)+0.3,IF(AND($H484&lt;&gt;"",$I484="PEAD",$N484="MND",$Q484="EMBOQUE"),0,IF(AND($H484&lt;&gt;"",$I484="PVC",$N484="VCA",$Q484="LINEAR"),($H484/1000)+0.2,IF(AND($H484&lt;&gt;"",$I484="PVC",$N484="MND",$Q484="EMBOQUE"),0,IF(AND($H484&lt;&gt;"",$I484="PEAD",$N484="VCA",$Q484="PREDIAL"),0,0)))))),0)</f>
        <v>0.525</v>
      </c>
      <c r="AK484" s="153" t="n">
        <f aca="false">IF(AA484&lt;&gt;"",AA484,0)</f>
        <v>3.9</v>
      </c>
      <c r="AL484" s="153" t="n">
        <f aca="false">IF(AND($N484="MND",$Q484="EMBOQUE"),$M484,IF(AND($N484="VCA",$Q484="LINEAR"),$M484,IF(AND($N484="VCA",$Q484="PREDIAL"),0,0)))</f>
        <v>64.78</v>
      </c>
      <c r="AM484" s="153" t="n">
        <f aca="false">IF(AND($N484="MND",$Q484="EMBOQUE"),$M484,IF(AND($N484="VCA",$Q484="LINEAR"),$M484,IF(AND($N484="VCA",$Q484="PREDIAL"),0,0)))</f>
        <v>64.78</v>
      </c>
      <c r="AN484" s="153" t="n">
        <f aca="false">ROUND(IF(AND($N484="VCA",$M484&lt;&gt;"",$Q484="LINEAR"),$M484/100,IF(AND($N484="MND",$M484&gt;100,$Q484="EMBOQUE"),$M484/100,0)),0)</f>
        <v>1</v>
      </c>
      <c r="AO484" s="153" t="n">
        <f aca="false">IF(AND($N484="MND",$Q484="EMBOQUE"),$AN484*2*2,IF(AND($N484="VCA",$Q484="LINEAR"),$M484*2,IF(AND($N484="VCA",$Q484="PREDIAL"),0,0)))</f>
        <v>129.56</v>
      </c>
      <c r="AP484" s="153" t="n">
        <f aca="false">IFERROR($M484*$AF484*$AG484,0)</f>
        <v>79.0316</v>
      </c>
      <c r="AQ484" s="153" t="n">
        <f aca="false">IFERROR(IF(AND($N484="VCA",$AH484&gt;0),$M484*$AG484*$AH484,0),0)</f>
        <v>5.1824</v>
      </c>
      <c r="AR484" s="153" t="n">
        <f aca="false">IFERROR(IF(AND($N484="VCA",$AJ484&gt;0),($M484*$AG484*$AJ484)-$AI484,0),0)</f>
        <v>24.6318965406151</v>
      </c>
      <c r="AS484" s="153" t="n">
        <f aca="false">IFERROR(IF(AND($N484="VCA",$AP484&gt;0),$AP484-$AI484-$AQ484-$AR484,0),0)</f>
        <v>46.6416</v>
      </c>
      <c r="AT484" s="153" t="n">
        <f aca="false">IFERROR(IF($N484="VCA",INDEX(APOIO_REDES!$A:$W,MATCH($C484&amp;$I484&amp;$H484&amp;$N484&amp;$O484,APOIO_REDES!$W:$W,0),MATCH(AT$5,APOIO_REDES!$5:$5,0)),0)*$AP484,0)</f>
        <v>0.85988720015955</v>
      </c>
      <c r="AU484" s="153" t="n">
        <f aca="false">IFERROR(IF($N484="VCA",INDEX(APOIO_REDES!$A:$W,MATCH($C484&amp;$I484&amp;$H484&amp;$N484&amp;$O484,APOIO_REDES!$W:$W,0),MATCH(AU$5,APOIO_REDES!$5:$5,0)),0)*$AP484,0)</f>
        <v>0.686682629348552</v>
      </c>
      <c r="AV484" s="153" t="n">
        <f aca="false">IFERROR(IF($N484="VCA",INDEX(APOIO_REDES!$A:$W,MATCH($C484&amp;$I484&amp;$H484&amp;$N484&amp;$O484,APOIO_REDES!$W:$W,0),MATCH(AV$5,APOIO_REDES!$5:$5,0)),0)*$AP484,0)</f>
        <v>0.0950314852318414</v>
      </c>
      <c r="AW484" s="153" t="n">
        <f aca="false">IFERROR(IF($N484="VCA",INDEX(APOIO_REDES!$A:$W,MATCH($C484&amp;$I484&amp;$H484&amp;$N484&amp;$O484,APOIO_REDES!$W:$W,0),MATCH(AW$5,APOIO_REDES!$5:$5,0)),0)*$AP484,0)</f>
        <v>54.2479026067188</v>
      </c>
      <c r="AX484" s="153" t="n">
        <f aca="false">IFERROR(IF($N484="VCA",INDEX(APOIO_REDES!$A:$W,MATCH($C484&amp;$I484&amp;$H484&amp;$N484&amp;$O484,APOIO_REDES!$W:$W,0),MATCH(AX$5,APOIO_REDES!$5:$5,0)),0)*$AP484,0)</f>
        <v>7.50775519269426</v>
      </c>
      <c r="AY484" s="153" t="n">
        <f aca="false">IFERROR(IF($N484="VCA",INDEX(APOIO_REDES!$A:$W,MATCH($C484&amp;$I484&amp;$H484&amp;$N484&amp;$O484,APOIO_REDES!$W:$W,0),MATCH(AY$5,APOIO_REDES!$5:$5,0)),0)*$AP484,0)</f>
        <v>13.7336442163655</v>
      </c>
      <c r="AZ484" s="153" t="n">
        <f aca="false">IFERROR(IF($N484="VCA",INDEX(APOIO_REDES!$A:$W,MATCH($C484&amp;$I484&amp;$H484&amp;$N484&amp;$O484,APOIO_REDES!$W:$W,0),MATCH(AZ$5,APOIO_REDES!$5:$5,0)),0)*$AP484,0)</f>
        <v>1.90069666948153</v>
      </c>
      <c r="BA484" s="153" t="n">
        <f aca="false">IFERROR(IF(AND($N484="VCA",$Q484="LINEAR"),INDEX(APOIO_REDES!$A:$W,MATCH($C484&amp;$I484&amp;$H484&amp;$N484&amp;$O484,APOIO_REDES!$W:$W,0),MATCH(BA$5,APOIO_REDES!$5:$5,0)),IF(AND($N484="MND",$Q484="EMBOQUE"),INDEX(APOIO_REDES!$A:$W,MATCH($C484&amp;$I484&amp;$H484&amp;$N484&amp;$O484,APOIO_REDES!$W:$W,0),MATCH(BA$5,APOIO_REDES!$5:$5,0)),0))*$M484/10,0)</f>
        <v>5.22110459761817</v>
      </c>
      <c r="BB484" s="153" t="n">
        <f aca="false">IFERROR(IF($N484="VCA",INDEX(APOIO_REDES!$A:$W,MATCH($C484&amp;$I484&amp;$H484&amp;$N484&amp;$O484,APOIO_REDES!$W:$W,0),MATCH(BB$5,APOIO_REDES!$5:$5,0)),0)*($AI484+$AQ484+$AR484),0)</f>
        <v>32.0375872130494</v>
      </c>
      <c r="BC484" s="153" t="n">
        <f aca="false">IFERROR(IF($N484="VCA",INDEX(APOIO_REDES!$A:$W,MATCH($C484&amp;$I484&amp;$H484&amp;$N484&amp;$O484,APOIO_REDES!$W:$W,0),MATCH(BC$5,APOIO_REDES!$5:$5,0)),0)*($AI484+$AQ484+$AR484),0)</f>
        <v>0.352412786950635</v>
      </c>
      <c r="BD484" s="153" t="n">
        <f aca="false">IF(AND($N484="VCA",$AF484&gt;=1.25,$AF484&lt;1.5),$M484*$AF484*2,0)</f>
        <v>0</v>
      </c>
      <c r="BE484" s="153" t="n">
        <f aca="false">IF(AND($N484="VCA",$AF484&gt;=1.5,$AF484&lt;3),$M484*$AF484*2,0)</f>
        <v>197.579</v>
      </c>
      <c r="BF484" s="153" t="n">
        <f aca="false">IF(AND($N484="VCA",$AF484&gt;=3),$M484*$AF484*2,0)</f>
        <v>0</v>
      </c>
      <c r="BG484" s="153" t="n">
        <f aca="false">($BB484+$BC484)*$AK484</f>
        <v>126.321</v>
      </c>
      <c r="BH484" s="153" t="n">
        <f aca="false">IF(AND($M484&lt;&gt;"",$N484="VCA",$Q484="LINEAR"),($M484*2)/100,IF(AND($M484&lt;&gt;"",$N484="MND",$Q484="EMBOQUE"),($AN484*2)/100,0))</f>
        <v>1.2956</v>
      </c>
      <c r="BI484" s="153" t="n">
        <f aca="false">IF(AND($M484&lt;&gt;"",$N484="VCA",$Q484="LINEAR"),$M484,IF(AND($M484&lt;&gt;"",$N484="MND",$Q484="EMBOQUE"),$AN484*2,0))</f>
        <v>64.78</v>
      </c>
      <c r="BJ484" s="153" t="n">
        <f aca="false">IF(AND($M484&lt;&gt;"",$N484="VCA",$Q484="LINEAR"),($M484*6.8)/100,IF(AND($M484&lt;&gt;"",$N484="MND",$Q484="EMBOQUE"),($AN484*2*6.8)/100,0))</f>
        <v>4.40504</v>
      </c>
      <c r="BK484" s="153" t="n">
        <f aca="false">IF(AND($M484&lt;&gt;"",$N484="VCA",$Q484="LINEAR"),($M484*2.5)/50,IF(AND($M484&lt;&gt;"",$N484="MND",$Q484="EMBOQUE"),($AN484*2*2.5)/50,0))</f>
        <v>3.239</v>
      </c>
      <c r="BL484" s="157" t="str">
        <f aca="false">K484&amp;J484</f>
        <v>Zona05REDES</v>
      </c>
      <c r="BM484" s="152" t="s">
        <v>3356</v>
      </c>
      <c r="BN484" s="152" t="s">
        <v>1560</v>
      </c>
      <c r="BO484" s="152" t="s">
        <v>2231</v>
      </c>
      <c r="BP484" s="152" t="s">
        <v>3358</v>
      </c>
      <c r="BQ484" s="152" t="s">
        <v>2244</v>
      </c>
      <c r="BR484" s="152" t="s">
        <v>3373</v>
      </c>
      <c r="BS484" s="152" t="n">
        <v>202928.896</v>
      </c>
      <c r="BT484" s="152" t="n">
        <v>8237692.824</v>
      </c>
      <c r="BU484" s="152" t="n">
        <v>202898.104</v>
      </c>
      <c r="BV484" s="152" t="n">
        <v>8237635.866</v>
      </c>
      <c r="BW484" s="152" t="n">
        <v>-15.9224876</v>
      </c>
      <c r="BX484" s="152" t="n">
        <v>-47.7747264</v>
      </c>
      <c r="BY484" s="152" t="s">
        <v>3358</v>
      </c>
    </row>
    <row r="485" customFormat="false" ht="13.8" hidden="false" customHeight="false" outlineLevel="0" collapsed="false">
      <c r="A485" s="149" t="n">
        <f aca="false">IF(C485&lt;&gt;"",ROW(A480),"")</f>
        <v>480</v>
      </c>
      <c r="B485" s="150" t="str">
        <f aca="false">HYPERLINK("https://www.google.com/maps/dir/-15.917302,-47.760003/-15.9227396,-47.7748797/data=!4m3!4m2!3e0!5i1")</f>
        <v>https://www.google.com/maps/dir/-15.917302,-47.760003/-15.9227396,-47.7748797/data=!4m3!4m2!3e0!5i1</v>
      </c>
      <c r="C485" s="151" t="s">
        <v>117</v>
      </c>
      <c r="D485" s="152" t="s">
        <v>112</v>
      </c>
      <c r="E485" s="152" t="s">
        <v>113</v>
      </c>
      <c r="F485" s="152" t="s">
        <v>117</v>
      </c>
      <c r="G485" s="152" t="s">
        <v>782</v>
      </c>
      <c r="H485" s="152" t="n">
        <v>63</v>
      </c>
      <c r="I485" s="152" t="s">
        <v>115</v>
      </c>
      <c r="J485" s="152" t="s">
        <v>6</v>
      </c>
      <c r="K485" s="152" t="s">
        <v>3352</v>
      </c>
      <c r="L485" s="152" t="s">
        <v>120</v>
      </c>
      <c r="M485" s="153" t="n">
        <f aca="false">4.2</f>
        <v>4.2</v>
      </c>
      <c r="N485" s="152" t="s">
        <v>1548</v>
      </c>
      <c r="O485" s="152" t="s">
        <v>1549</v>
      </c>
      <c r="P485" s="152" t="s">
        <v>1550</v>
      </c>
      <c r="Q485" s="152" t="s">
        <v>1551</v>
      </c>
      <c r="R485" s="154" t="s">
        <v>3374</v>
      </c>
      <c r="S485" s="154" t="s">
        <v>1553</v>
      </c>
      <c r="T485" s="155" t="s">
        <v>2227</v>
      </c>
      <c r="U485" s="152" t="str">
        <f aca="false">RIGHT(T485,7)</f>
        <v>008/037</v>
      </c>
      <c r="V485" s="152" t="s">
        <v>1555</v>
      </c>
      <c r="W485" s="156" t="n">
        <v>45882</v>
      </c>
      <c r="X485" s="152" t="s">
        <v>1594</v>
      </c>
      <c r="Y485" s="152" t="s">
        <v>2242</v>
      </c>
      <c r="Z485" s="152" t="s">
        <v>1557</v>
      </c>
      <c r="AA485" s="153" t="n">
        <v>3.8</v>
      </c>
      <c r="AB485" s="151" t="s">
        <v>3375</v>
      </c>
      <c r="AC485" s="151" t="s">
        <v>186</v>
      </c>
      <c r="AD485" s="151" t="str">
        <f aca="false">CONCATENATE($C485,$I485,$H485,$N485,$J485,$K485)</f>
        <v>TUBO PEADPEAD63VCAREDESZona05</v>
      </c>
      <c r="AE485" s="153" t="n">
        <f aca="false">IFERROR(INDEX(APOIO_REDES!$A:$W,MATCH($C485&amp;$I485&amp;$H485&amp;$N485&amp;$O485,APOIO_REDES!$W:$W,0),MATCH(AE$5,APOIO_REDES!$5:$5,0)),0)</f>
        <v>1.2</v>
      </c>
      <c r="AF485" s="153" t="n">
        <f aca="false">IFERROR(INDEX(APOIO_REDES!$A:$W,MATCH($C485&amp;$I485&amp;$H485&amp;$N485&amp;$O485,APOIO_REDES!$W:$W,0),MATCH(AF$5,APOIO_REDES!$5:$5,0)),0)</f>
        <v>1.363</v>
      </c>
      <c r="AG485" s="153" t="n">
        <f aca="false">IFERROR(INDEX(APOIO_REDES!$A:$W,MATCH($C485&amp;$I485&amp;$H485&amp;$N485&amp;$O485,APOIO_REDES!$W:$W,0),MATCH(AG$5,APOIO_REDES!$5:$5,0)),0)</f>
        <v>0.65</v>
      </c>
      <c r="AH485" s="153" t="n">
        <f aca="false">IFERROR(INDEX(APOIO_REDES!$A:$W,MATCH($C485&amp;$I485&amp;$H485&amp;$N485&amp;$O485,APOIO_REDES!$W:$W,0),MATCH(AH$5,APOIO_REDES!$5:$5,0)),0)</f>
        <v>0.1</v>
      </c>
      <c r="AI485" s="153" t="n">
        <f aca="false">IFERROR(IF($H485&lt;&gt;"",(((($H485/1000)/2)^2)*PI()*$M485),0),0)</f>
        <v>0.0130924303042028</v>
      </c>
      <c r="AJ485" s="153" t="n">
        <f aca="false">IFERROR(IF(AND($H485&lt;&gt;"",$I485="FoFo",OR($N485="MND",$N485="VCA"),$Q485="LINEAR"),0,IF(AND($H485&lt;&gt;"",$I485="PEAD",$N485="VCA",$Q485="LINEAR"),($H485/1000)+0.3,IF(AND($H485&lt;&gt;"",$I485="PEAD",$N485="MND",$Q485="EMBOQUE"),0,IF(AND($H485&lt;&gt;"",$I485="PVC",$N485="VCA",$Q485="LINEAR"),($H485/1000)+0.2,IF(AND($H485&lt;&gt;"",$I485="PVC",$N485="MND",$Q485="EMBOQUE"),0,IF(AND($H485&lt;&gt;"",$I485="PEAD",$N485="VCA",$Q485="PREDIAL"),0,0)))))),0)</f>
        <v>0.363</v>
      </c>
      <c r="AK485" s="153" t="n">
        <f aca="false">IF(AA485&lt;&gt;"",AA485,0)</f>
        <v>3.8</v>
      </c>
      <c r="AL485" s="153" t="n">
        <f aca="false">IF(AND($N485="MND",$Q485="EMBOQUE"),$M485,IF(AND($N485="VCA",$Q485="LINEAR"),$M485,IF(AND($N485="VCA",$Q485="PREDIAL"),0,0)))</f>
        <v>4.2</v>
      </c>
      <c r="AM485" s="153" t="n">
        <f aca="false">IF(AND($N485="MND",$Q485="EMBOQUE"),$M485,IF(AND($N485="VCA",$Q485="LINEAR"),$M485,IF(AND($N485="VCA",$Q485="PREDIAL"),0,0)))</f>
        <v>4.2</v>
      </c>
      <c r="AN485" s="153" t="n">
        <f aca="false">ROUND(IF(AND($N485="VCA",$M485&lt;&gt;"",$Q485="LINEAR"),$M485/100,IF(AND($N485="MND",$M485&gt;100,$Q485="EMBOQUE"),$M485/100,0)),0)</f>
        <v>0</v>
      </c>
      <c r="AO485" s="153" t="n">
        <f aca="false">IF(AND($N485="MND",$Q485="EMBOQUE"),$AN485*2*2,IF(AND($N485="VCA",$Q485="LINEAR"),$M485*2,IF(AND($N485="VCA",$Q485="PREDIAL"),0,0)))</f>
        <v>8.4</v>
      </c>
      <c r="AP485" s="153" t="n">
        <f aca="false">IFERROR($M485*$AF485*$AG485,0)</f>
        <v>3.72099</v>
      </c>
      <c r="AQ485" s="153" t="n">
        <f aca="false">IFERROR(IF(AND($N485="VCA",$AH485&gt;0),$M485*$AG485*$AH485,0),0)</f>
        <v>0.273</v>
      </c>
      <c r="AR485" s="153" t="n">
        <f aca="false">IFERROR(IF(AND($N485="VCA",$AJ485&gt;0),($M485*$AG485*$AJ485)-$AI485,0),0)</f>
        <v>0.977897569695797</v>
      </c>
      <c r="AS485" s="153" t="n">
        <f aca="false">IFERROR(IF(AND($N485="VCA",$AP485&gt;0),$AP485-$AI485-$AQ485-$AR485,0),0)</f>
        <v>2.457</v>
      </c>
      <c r="AT485" s="153" t="n">
        <f aca="false">IFERROR(IF($N485="VCA",INDEX(APOIO_REDES!$A:$W,MATCH($C485&amp;$I485&amp;$H485&amp;$N485&amp;$O485,APOIO_REDES!$W:$W,0),MATCH(AT$5,APOIO_REDES!$5:$5,0)),0)*$AP485,0)</f>
        <v>0.0404854725568214</v>
      </c>
      <c r="AU485" s="153" t="n">
        <f aca="false">IFERROR(IF($N485="VCA",INDEX(APOIO_REDES!$A:$W,MATCH($C485&amp;$I485&amp;$H485&amp;$N485&amp;$O485,APOIO_REDES!$W:$W,0),MATCH(AU$5,APOIO_REDES!$5:$5,0)),0)*$AP485,0)</f>
        <v>0.0323306018982239</v>
      </c>
      <c r="AV485" s="153" t="n">
        <f aca="false">IFERROR(IF($N485="VCA",INDEX(APOIO_REDES!$A:$W,MATCH($C485&amp;$I485&amp;$H485&amp;$N485&amp;$O485,APOIO_REDES!$W:$W,0),MATCH(AV$5,APOIO_REDES!$5:$5,0)),0)*$AP485,0)</f>
        <v>0.00447430149753807</v>
      </c>
      <c r="AW485" s="153" t="n">
        <f aca="false">IFERROR(IF($N485="VCA",INDEX(APOIO_REDES!$A:$W,MATCH($C485&amp;$I485&amp;$H485&amp;$N485&amp;$O485,APOIO_REDES!$W:$W,0),MATCH(AW$5,APOIO_REDES!$5:$5,0)),0)*$AP485,0)</f>
        <v>2.55411636763744</v>
      </c>
      <c r="AX485" s="153" t="n">
        <f aca="false">IFERROR(IF($N485="VCA",INDEX(APOIO_REDES!$A:$W,MATCH($C485&amp;$I485&amp;$H485&amp;$N485&amp;$O485,APOIO_REDES!$W:$W,0),MATCH(AX$5,APOIO_REDES!$5:$5,0)),0)*$AP485,0)</f>
        <v>0.35348242974283</v>
      </c>
      <c r="AY485" s="153" t="n">
        <f aca="false">IFERROR(IF($N485="VCA",INDEX(APOIO_REDES!$A:$W,MATCH($C485&amp;$I485&amp;$H485&amp;$N485&amp;$O485,APOIO_REDES!$W:$W,0),MATCH(AY$5,APOIO_REDES!$5:$5,0)),0)*$AP485,0)</f>
        <v>0.646611643857061</v>
      </c>
      <c r="AZ485" s="153" t="n">
        <f aca="false">IFERROR(IF($N485="VCA",INDEX(APOIO_REDES!$A:$W,MATCH($C485&amp;$I485&amp;$H485&amp;$N485&amp;$O485,APOIO_REDES!$W:$W,0),MATCH(AZ$5,APOIO_REDES!$5:$5,0)),0)*$AP485,0)</f>
        <v>0.0894891828100919</v>
      </c>
      <c r="BA485" s="153" t="n">
        <f aca="false">IFERROR(IF(AND($N485="VCA",$Q485="LINEAR"),INDEX(APOIO_REDES!$A:$W,MATCH($C485&amp;$I485&amp;$H485&amp;$N485&amp;$O485,APOIO_REDES!$W:$W,0),MATCH(BA$5,APOIO_REDES!$5:$5,0)),IF(AND($N485="MND",$Q485="EMBOQUE"),INDEX(APOIO_REDES!$A:$W,MATCH($C485&amp;$I485&amp;$H485&amp;$N485&amp;$O485,APOIO_REDES!$W:$W,0),MATCH(BA$5,APOIO_REDES!$5:$5,0)),0))*$M485/10,0)</f>
        <v>0.338509405835077</v>
      </c>
      <c r="BB485" s="153" t="n">
        <f aca="false">IFERROR(IF($N485="VCA",INDEX(APOIO_REDES!$A:$W,MATCH($C485&amp;$I485&amp;$H485&amp;$N485&amp;$O485,APOIO_REDES!$W:$W,0),MATCH(BB$5,APOIO_REDES!$5:$5,0)),0)*($AI485+$AQ485+$AR485),0)</f>
        <v>1.25023741467806</v>
      </c>
      <c r="BC485" s="153" t="n">
        <f aca="false">IFERROR(IF($N485="VCA",INDEX(APOIO_REDES!$A:$W,MATCH($C485&amp;$I485&amp;$H485&amp;$N485&amp;$O485,APOIO_REDES!$W:$W,0),MATCH(BC$5,APOIO_REDES!$5:$5,0)),0)*($AI485+$AQ485+$AR485),0)</f>
        <v>0.013752585321943</v>
      </c>
      <c r="BD485" s="153" t="n">
        <f aca="false">IF(AND($N485="VCA",$AF485&gt;=1.25,$AF485&lt;1.5),$M485*$AF485*2,0)</f>
        <v>11.4492</v>
      </c>
      <c r="BE485" s="153" t="n">
        <f aca="false">IF(AND($N485="VCA",$AF485&gt;=1.5,$AF485&lt;3),$M485*$AF485*2,0)</f>
        <v>0</v>
      </c>
      <c r="BF485" s="153" t="n">
        <f aca="false">IF(AND($N485="VCA",$AF485&gt;=3),$M485*$AF485*2,0)</f>
        <v>0</v>
      </c>
      <c r="BG485" s="153" t="n">
        <f aca="false">($BB485+$BC485)*$AK485</f>
        <v>4.803162</v>
      </c>
      <c r="BH485" s="153" t="n">
        <f aca="false">IF(AND($M485&lt;&gt;"",$N485="VCA",$Q485="LINEAR"),($M485*2)/100,IF(AND($M485&lt;&gt;"",$N485="MND",$Q485="EMBOQUE"),($AN485*2)/100,0))</f>
        <v>0.084</v>
      </c>
      <c r="BI485" s="153" t="n">
        <f aca="false">IF(AND($M485&lt;&gt;"",$N485="VCA",$Q485="LINEAR"),$M485,IF(AND($M485&lt;&gt;"",$N485="MND",$Q485="EMBOQUE"),$AN485*2,0))</f>
        <v>4.2</v>
      </c>
      <c r="BJ485" s="153" t="n">
        <f aca="false">IF(AND($M485&lt;&gt;"",$N485="VCA",$Q485="LINEAR"),($M485*6.8)/100,IF(AND($M485&lt;&gt;"",$N485="MND",$Q485="EMBOQUE"),($AN485*2*6.8)/100,0))</f>
        <v>0.2856</v>
      </c>
      <c r="BK485" s="153" t="n">
        <f aca="false">IF(AND($M485&lt;&gt;"",$N485="VCA",$Q485="LINEAR"),($M485*2.5)/50,IF(AND($M485&lt;&gt;"",$N485="MND",$Q485="EMBOQUE"),($AN485*2*2.5)/50,0))</f>
        <v>0.21</v>
      </c>
      <c r="BL485" s="157" t="str">
        <f aca="false">K485&amp;J485</f>
        <v>Zona05REDES</v>
      </c>
      <c r="BM485" s="152" t="s">
        <v>3356</v>
      </c>
      <c r="BN485" s="152" t="s">
        <v>1560</v>
      </c>
      <c r="BO485" s="152" t="s">
        <v>2231</v>
      </c>
      <c r="BP485" s="152" t="s">
        <v>2244</v>
      </c>
      <c r="BQ485" s="152" t="s">
        <v>3376</v>
      </c>
      <c r="BR485" s="152" t="s">
        <v>3377</v>
      </c>
      <c r="BS485" s="152" t="n">
        <v>202898.104</v>
      </c>
      <c r="BT485" s="152" t="n">
        <v>8237635.866</v>
      </c>
      <c r="BU485" s="152" t="n">
        <v>202901.008</v>
      </c>
      <c r="BV485" s="152" t="n">
        <v>8237632.826</v>
      </c>
      <c r="BW485" s="152" t="n">
        <v>-15.9227535</v>
      </c>
      <c r="BX485" s="152" t="n">
        <v>-47.7748663</v>
      </c>
      <c r="BY485" s="152" t="s">
        <v>2244</v>
      </c>
    </row>
    <row r="486" customFormat="false" ht="13.8" hidden="false" customHeight="false" outlineLevel="0" collapsed="false">
      <c r="A486" s="149" t="n">
        <f aca="false">IF(C486&lt;&gt;"",ROW(A481),"")</f>
        <v>481</v>
      </c>
      <c r="B486" s="150" t="str">
        <f aca="false">HYPERLINK("https://www.google.com/maps/dir/-15.917302,-47.760003/-15.9227396,-47.7748797/data=!4m3!4m2!3e0!5i1")</f>
        <v>https://www.google.com/maps/dir/-15.917302,-47.760003/-15.9227396,-47.7748797/data=!4m3!4m2!3e0!5i1</v>
      </c>
      <c r="C486" s="151" t="s">
        <v>117</v>
      </c>
      <c r="D486" s="152" t="s">
        <v>112</v>
      </c>
      <c r="E486" s="152" t="s">
        <v>113</v>
      </c>
      <c r="F486" s="152" t="s">
        <v>117</v>
      </c>
      <c r="G486" s="152" t="s">
        <v>114</v>
      </c>
      <c r="H486" s="152" t="n">
        <v>160</v>
      </c>
      <c r="I486" s="152" t="s">
        <v>115</v>
      </c>
      <c r="J486" s="152" t="s">
        <v>6</v>
      </c>
      <c r="K486" s="152" t="s">
        <v>3352</v>
      </c>
      <c r="L486" s="152" t="s">
        <v>120</v>
      </c>
      <c r="M486" s="153" t="n">
        <f aca="false">53.57</f>
        <v>53.57</v>
      </c>
      <c r="N486" s="152" t="s">
        <v>1548</v>
      </c>
      <c r="O486" s="152" t="s">
        <v>1549</v>
      </c>
      <c r="P486" s="152" t="s">
        <v>1550</v>
      </c>
      <c r="Q486" s="152" t="s">
        <v>1551</v>
      </c>
      <c r="R486" s="154" t="s">
        <v>3378</v>
      </c>
      <c r="S486" s="154" t="s">
        <v>1593</v>
      </c>
      <c r="T486" s="155" t="s">
        <v>2227</v>
      </c>
      <c r="U486" s="152" t="str">
        <f aca="false">RIGHT(T486,7)</f>
        <v>008/037</v>
      </c>
      <c r="V486" s="152" t="s">
        <v>1555</v>
      </c>
      <c r="W486" s="156" t="n">
        <v>45882</v>
      </c>
      <c r="X486" s="152" t="s">
        <v>1594</v>
      </c>
      <c r="Y486" s="152" t="s">
        <v>2242</v>
      </c>
      <c r="Z486" s="152" t="s">
        <v>1557</v>
      </c>
      <c r="AA486" s="153" t="n">
        <v>3.8</v>
      </c>
      <c r="AB486" s="151" t="s">
        <v>3379</v>
      </c>
      <c r="AC486" s="151" t="s">
        <v>505</v>
      </c>
      <c r="AD486" s="151" t="str">
        <f aca="false">CONCATENATE($C486,$I486,$H486,$N486,$J486,$K486)</f>
        <v>TUBO PEADPEAD160VCAREDESZona05</v>
      </c>
      <c r="AE486" s="153" t="n">
        <f aca="false">IFERROR(INDEX(APOIO_REDES!$A:$W,MATCH($C486&amp;$I486&amp;$H486&amp;$N486&amp;$O486,APOIO_REDES!$W:$W,0),MATCH(AE$5,APOIO_REDES!$5:$5,0)),0)</f>
        <v>1.2</v>
      </c>
      <c r="AF486" s="153" t="n">
        <f aca="false">IFERROR(INDEX(APOIO_REDES!$A:$W,MATCH($C486&amp;$I486&amp;$H486&amp;$N486&amp;$O486,APOIO_REDES!$W:$W,0),MATCH(AF$5,APOIO_REDES!$5:$5,0)),0)</f>
        <v>1.46</v>
      </c>
      <c r="AG486" s="153" t="n">
        <f aca="false">IFERROR(INDEX(APOIO_REDES!$A:$W,MATCH($C486&amp;$I486&amp;$H486&amp;$N486&amp;$O486,APOIO_REDES!$W:$W,0),MATCH(AG$5,APOIO_REDES!$5:$5,0)),0)</f>
        <v>0.75</v>
      </c>
      <c r="AH486" s="153" t="n">
        <f aca="false">IFERROR(INDEX(APOIO_REDES!$A:$W,MATCH($C486&amp;$I486&amp;$H486&amp;$N486&amp;$O486,APOIO_REDES!$W:$W,0),MATCH(AH$5,APOIO_REDES!$5:$5,0)),0)</f>
        <v>0.1</v>
      </c>
      <c r="AI486" s="153" t="n">
        <f aca="false">IFERROR(IF($H486&lt;&gt;"",(((($H486/1000)/2)^2)*PI()*$M486),0),0)</f>
        <v>1.07708875809795</v>
      </c>
      <c r="AJ486" s="153" t="n">
        <f aca="false">IFERROR(IF(AND($H486&lt;&gt;"",$I486="FoFo",OR($N486="MND",$N486="VCA"),$Q486="LINEAR"),0,IF(AND($H486&lt;&gt;"",$I486="PEAD",$N486="VCA",$Q486="LINEAR"),($H486/1000)+0.3,IF(AND($H486&lt;&gt;"",$I486="PEAD",$N486="MND",$Q486="EMBOQUE"),0,IF(AND($H486&lt;&gt;"",$I486="PVC",$N486="VCA",$Q486="LINEAR"),($H486/1000)+0.2,IF(AND($H486&lt;&gt;"",$I486="PVC",$N486="MND",$Q486="EMBOQUE"),0,IF(AND($H486&lt;&gt;"",$I486="PEAD",$N486="VCA",$Q486="PREDIAL"),0,0)))))),0)</f>
        <v>0.46</v>
      </c>
      <c r="AK486" s="153" t="n">
        <f aca="false">IF(AA486&lt;&gt;"",AA486,0)</f>
        <v>3.8</v>
      </c>
      <c r="AL486" s="153" t="n">
        <f aca="false">IF(AND($N486="MND",$Q486="EMBOQUE"),$M486,IF(AND($N486="VCA",$Q486="LINEAR"),$M486,IF(AND($N486="VCA",$Q486="PREDIAL"),0,0)))</f>
        <v>53.57</v>
      </c>
      <c r="AM486" s="153" t="n">
        <f aca="false">IF(AND($N486="MND",$Q486="EMBOQUE"),$M486,IF(AND($N486="VCA",$Q486="LINEAR"),$M486,IF(AND($N486="VCA",$Q486="PREDIAL"),0,0)))</f>
        <v>53.57</v>
      </c>
      <c r="AN486" s="153" t="n">
        <f aca="false">ROUND(IF(AND($N486="VCA",$M486&lt;&gt;"",$Q486="LINEAR"),$M486/100,IF(AND($N486="MND",$M486&gt;100,$Q486="EMBOQUE"),$M486/100,0)),0)</f>
        <v>1</v>
      </c>
      <c r="AO486" s="153" t="n">
        <f aca="false">IF(AND($N486="MND",$Q486="EMBOQUE"),$AN486*2*2,IF(AND($N486="VCA",$Q486="LINEAR"),$M486*2,IF(AND($N486="VCA",$Q486="PREDIAL"),0,0)))</f>
        <v>107.14</v>
      </c>
      <c r="AP486" s="153" t="n">
        <f aca="false">IFERROR($M486*$AF486*$AG486,0)</f>
        <v>58.65915</v>
      </c>
      <c r="AQ486" s="153" t="n">
        <f aca="false">IFERROR(IF(AND($N486="VCA",$AH486&gt;0),$M486*$AG486*$AH486,0),0)</f>
        <v>4.01775</v>
      </c>
      <c r="AR486" s="153" t="n">
        <f aca="false">IFERROR(IF(AND($N486="VCA",$AJ486&gt;0),($M486*$AG486*$AJ486)-$AI486,0),0)</f>
        <v>17.404561241902</v>
      </c>
      <c r="AS486" s="153" t="n">
        <f aca="false">IFERROR(IF(AND($N486="VCA",$AP486&gt;0),$AP486-$AI486-$AQ486-$AR486,0),0)</f>
        <v>36.15975</v>
      </c>
      <c r="AT486" s="153" t="n">
        <f aca="false">IFERROR(IF($N486="VCA",INDEX(APOIO_REDES!$A:$W,MATCH($C486&amp;$I486&amp;$H486&amp;$N486&amp;$O486,APOIO_REDES!$W:$W,0),MATCH(AT$5,APOIO_REDES!$5:$5,0)),0)*$AP486,0)</f>
        <v>0.638228914222147</v>
      </c>
      <c r="AU486" s="153" t="n">
        <f aca="false">IFERROR(IF($N486="VCA",INDEX(APOIO_REDES!$A:$W,MATCH($C486&amp;$I486&amp;$H486&amp;$N486&amp;$O486,APOIO_REDES!$W:$W,0),MATCH(AU$5,APOIO_REDES!$5:$5,0)),0)*$AP486,0)</f>
        <v>0.509672325466663</v>
      </c>
      <c r="AV486" s="153" t="n">
        <f aca="false">IFERROR(IF($N486="VCA",INDEX(APOIO_REDES!$A:$W,MATCH($C486&amp;$I486&amp;$H486&amp;$N486&amp;$O486,APOIO_REDES!$W:$W,0),MATCH(AV$5,APOIO_REDES!$5:$5,0)),0)*$AP486,0)</f>
        <v>0.0705346487599564</v>
      </c>
      <c r="AW486" s="153" t="n">
        <f aca="false">IFERROR(IF($N486="VCA",INDEX(APOIO_REDES!$A:$W,MATCH($C486&amp;$I486&amp;$H486&amp;$N486&amp;$O486,APOIO_REDES!$W:$W,0),MATCH(AW$5,APOIO_REDES!$5:$5,0)),0)*$AP486,0)</f>
        <v>40.2640950732734</v>
      </c>
      <c r="AX486" s="153" t="n">
        <f aca="false">IFERROR(IF($N486="VCA",INDEX(APOIO_REDES!$A:$W,MATCH($C486&amp;$I486&amp;$H486&amp;$N486&amp;$O486,APOIO_REDES!$W:$W,0),MATCH(AX$5,APOIO_REDES!$5:$5,0)),0)*$AP486,0)</f>
        <v>5.57243606369517</v>
      </c>
      <c r="AY486" s="153" t="n">
        <f aca="false">IFERROR(IF($N486="VCA",INDEX(APOIO_REDES!$A:$W,MATCH($C486&amp;$I486&amp;$H486&amp;$N486&amp;$O486,APOIO_REDES!$W:$W,0),MATCH(AY$5,APOIO_REDES!$5:$5,0)),0)*$AP486,0)</f>
        <v>10.1934402964689</v>
      </c>
      <c r="AZ486" s="153" t="n">
        <f aca="false">IFERROR(IF($N486="VCA",INDEX(APOIO_REDES!$A:$W,MATCH($C486&amp;$I486&amp;$H486&amp;$N486&amp;$O486,APOIO_REDES!$W:$W,0),MATCH(AZ$5,APOIO_REDES!$5:$5,0)),0)*$AP486,0)</f>
        <v>1.41074267811378</v>
      </c>
      <c r="BA486" s="153" t="n">
        <f aca="false">IFERROR(IF(AND($N486="VCA",$Q486="LINEAR"),INDEX(APOIO_REDES!$A:$W,MATCH($C486&amp;$I486&amp;$H486&amp;$N486&amp;$O486,APOIO_REDES!$W:$W,0),MATCH(BA$5,APOIO_REDES!$5:$5,0)),IF(AND($N486="MND",$Q486="EMBOQUE"),INDEX(APOIO_REDES!$A:$W,MATCH($C486&amp;$I486&amp;$H486&amp;$N486&amp;$O486,APOIO_REDES!$W:$W,0),MATCH(BA$5,APOIO_REDES!$5:$5,0)),0))*$M486/10,0)</f>
        <v>4.31760687394883</v>
      </c>
      <c r="BB486" s="153" t="n">
        <f aca="false">IFERROR(IF($N486="VCA",INDEX(APOIO_REDES!$A:$W,MATCH($C486&amp;$I486&amp;$H486&amp;$N486&amp;$O486,APOIO_REDES!$W:$W,0),MATCH(BB$5,APOIO_REDES!$5:$5,0)),0)*($AI486+$AQ486+$AR486),0)</f>
        <v>22.2545998685175</v>
      </c>
      <c r="BC486" s="153" t="n">
        <f aca="false">IFERROR(IF($N486="VCA",INDEX(APOIO_REDES!$A:$W,MATCH($C486&amp;$I486&amp;$H486&amp;$N486&amp;$O486,APOIO_REDES!$W:$W,0),MATCH(BC$5,APOIO_REDES!$5:$5,0)),0)*($AI486+$AQ486+$AR486),0)</f>
        <v>0.244800131482467</v>
      </c>
      <c r="BD486" s="153" t="n">
        <f aca="false">IF(AND($N486="VCA",$AF486&gt;=1.25,$AF486&lt;1.5),$M486*$AF486*2,0)</f>
        <v>156.4244</v>
      </c>
      <c r="BE486" s="153" t="n">
        <f aca="false">IF(AND($N486="VCA",$AF486&gt;=1.5,$AF486&lt;3),$M486*$AF486*2,0)</f>
        <v>0</v>
      </c>
      <c r="BF486" s="153" t="n">
        <f aca="false">IF(AND($N486="VCA",$AF486&gt;=3),$M486*$AF486*2,0)</f>
        <v>0</v>
      </c>
      <c r="BG486" s="153" t="n">
        <f aca="false">($BB486+$BC486)*$AK486</f>
        <v>85.49772</v>
      </c>
      <c r="BH486" s="153" t="n">
        <f aca="false">IF(AND($M486&lt;&gt;"",$N486="VCA",$Q486="LINEAR"),($M486*2)/100,IF(AND($M486&lt;&gt;"",$N486="MND",$Q486="EMBOQUE"),($AN486*2)/100,0))</f>
        <v>1.0714</v>
      </c>
      <c r="BI486" s="153" t="n">
        <f aca="false">IF(AND($M486&lt;&gt;"",$N486="VCA",$Q486="LINEAR"),$M486,IF(AND($M486&lt;&gt;"",$N486="MND",$Q486="EMBOQUE"),$AN486*2,0))</f>
        <v>53.57</v>
      </c>
      <c r="BJ486" s="153" t="n">
        <f aca="false">IF(AND($M486&lt;&gt;"",$N486="VCA",$Q486="LINEAR"),($M486*6.8)/100,IF(AND($M486&lt;&gt;"",$N486="MND",$Q486="EMBOQUE"),($AN486*2*6.8)/100,0))</f>
        <v>3.64276</v>
      </c>
      <c r="BK486" s="153" t="n">
        <f aca="false">IF(AND($M486&lt;&gt;"",$N486="VCA",$Q486="LINEAR"),($M486*2.5)/50,IF(AND($M486&lt;&gt;"",$N486="MND",$Q486="EMBOQUE"),($AN486*2*2.5)/50,0))</f>
        <v>2.6785</v>
      </c>
      <c r="BL486" s="157" t="str">
        <f aca="false">K486&amp;J486</f>
        <v>Zona05REDES</v>
      </c>
      <c r="BM486" s="152" t="s">
        <v>3356</v>
      </c>
      <c r="BN486" s="152" t="s">
        <v>1560</v>
      </c>
      <c r="BO486" s="152" t="s">
        <v>2231</v>
      </c>
      <c r="BP486" s="152" t="s">
        <v>2244</v>
      </c>
      <c r="BQ486" s="152" t="s">
        <v>3380</v>
      </c>
      <c r="BR486" s="152" t="s">
        <v>3381</v>
      </c>
      <c r="BS486" s="152" t="n">
        <v>202898.104</v>
      </c>
      <c r="BT486" s="152" t="n">
        <v>8237635.866</v>
      </c>
      <c r="BU486" s="152" t="n">
        <v>202867.297</v>
      </c>
      <c r="BV486" s="152" t="n">
        <v>8237592.059</v>
      </c>
      <c r="BW486" s="152" t="n">
        <v>-15.9229368</v>
      </c>
      <c r="BX486" s="152" t="n">
        <v>-47.7750243</v>
      </c>
      <c r="BY486" s="152" t="s">
        <v>2244</v>
      </c>
    </row>
    <row r="487" customFormat="false" ht="13.8" hidden="false" customHeight="false" outlineLevel="0" collapsed="false">
      <c r="A487" s="149" t="n">
        <f aca="false">IF(C487&lt;&gt;"",ROW(A482),"")</f>
        <v>482</v>
      </c>
      <c r="B487" s="150" t="str">
        <f aca="false">HYPERLINK("https://www.google.com/maps/dir/-15.917302,-47.760003/-15.9227640,-47.7748492/data=!4m3!4m2!3e0!5i1")</f>
        <v>https://www.google.com/maps/dir/-15.917302,-47.760003/-15.9227640,-47.7748492/data=!4m3!4m2!3e0!5i1</v>
      </c>
      <c r="C487" s="151" t="s">
        <v>117</v>
      </c>
      <c r="D487" s="152" t="s">
        <v>112</v>
      </c>
      <c r="E487" s="152" t="s">
        <v>113</v>
      </c>
      <c r="F487" s="152" t="s">
        <v>117</v>
      </c>
      <c r="G487" s="152" t="s">
        <v>782</v>
      </c>
      <c r="H487" s="152" t="n">
        <v>63</v>
      </c>
      <c r="I487" s="152" t="s">
        <v>115</v>
      </c>
      <c r="J487" s="152" t="s">
        <v>6</v>
      </c>
      <c r="K487" s="152" t="s">
        <v>3352</v>
      </c>
      <c r="L487" s="152" t="s">
        <v>120</v>
      </c>
      <c r="M487" s="153" t="n">
        <f aca="false">98.7+7.05</f>
        <v>105.75</v>
      </c>
      <c r="N487" s="152" t="s">
        <v>1548</v>
      </c>
      <c r="O487" s="152" t="s">
        <v>1549</v>
      </c>
      <c r="P487" s="152" t="s">
        <v>1550</v>
      </c>
      <c r="Q487" s="152" t="s">
        <v>1551</v>
      </c>
      <c r="R487" s="154" t="s">
        <v>3382</v>
      </c>
      <c r="S487" s="154" t="s">
        <v>1553</v>
      </c>
      <c r="T487" s="155" t="s">
        <v>2227</v>
      </c>
      <c r="U487" s="152" t="str">
        <f aca="false">RIGHT(T487,7)</f>
        <v>008/037</v>
      </c>
      <c r="V487" s="152" t="s">
        <v>1555</v>
      </c>
      <c r="W487" s="156" t="n">
        <v>45882</v>
      </c>
      <c r="X487" s="152" t="s">
        <v>1594</v>
      </c>
      <c r="Y487" s="152" t="s">
        <v>2242</v>
      </c>
      <c r="Z487" s="152" t="s">
        <v>1557</v>
      </c>
      <c r="AA487" s="153" t="n">
        <v>3.8</v>
      </c>
      <c r="AB487" s="151" t="s">
        <v>3383</v>
      </c>
      <c r="AC487" s="151" t="s">
        <v>186</v>
      </c>
      <c r="AD487" s="151" t="str">
        <f aca="false">CONCATENATE($C487,$I487,$H487,$N487,$J487,$K487)</f>
        <v>TUBO PEADPEAD63VCAREDESZona05</v>
      </c>
      <c r="AE487" s="153" t="n">
        <f aca="false">IFERROR(INDEX(APOIO_REDES!$A:$W,MATCH($C487&amp;$I487&amp;$H487&amp;$N487&amp;$O487,APOIO_REDES!$W:$W,0),MATCH(AE$5,APOIO_REDES!$5:$5,0)),0)</f>
        <v>1.2</v>
      </c>
      <c r="AF487" s="153" t="n">
        <f aca="false">IFERROR(INDEX(APOIO_REDES!$A:$W,MATCH($C487&amp;$I487&amp;$H487&amp;$N487&amp;$O487,APOIO_REDES!$W:$W,0),MATCH(AF$5,APOIO_REDES!$5:$5,0)),0)</f>
        <v>1.363</v>
      </c>
      <c r="AG487" s="153" t="n">
        <f aca="false">IFERROR(INDEX(APOIO_REDES!$A:$W,MATCH($C487&amp;$I487&amp;$H487&amp;$N487&amp;$O487,APOIO_REDES!$W:$W,0),MATCH(AG$5,APOIO_REDES!$5:$5,0)),0)</f>
        <v>0.65</v>
      </c>
      <c r="AH487" s="153" t="n">
        <f aca="false">IFERROR(INDEX(APOIO_REDES!$A:$W,MATCH($C487&amp;$I487&amp;$H487&amp;$N487&amp;$O487,APOIO_REDES!$W:$W,0),MATCH(AH$5,APOIO_REDES!$5:$5,0)),0)</f>
        <v>0.1</v>
      </c>
      <c r="AI487" s="153" t="n">
        <f aca="false">IFERROR(IF($H487&lt;&gt;"",(((($H487/1000)/2)^2)*PI()*$M487),0),0)</f>
        <v>0.329648691587963</v>
      </c>
      <c r="AJ487" s="153" t="n">
        <f aca="false">IFERROR(IF(AND($H487&lt;&gt;"",$I487="FoFo",OR($N487="MND",$N487="VCA"),$Q487="LINEAR"),0,IF(AND($H487&lt;&gt;"",$I487="PEAD",$N487="VCA",$Q487="LINEAR"),($H487/1000)+0.3,IF(AND($H487&lt;&gt;"",$I487="PEAD",$N487="MND",$Q487="EMBOQUE"),0,IF(AND($H487&lt;&gt;"",$I487="PVC",$N487="VCA",$Q487="LINEAR"),($H487/1000)+0.2,IF(AND($H487&lt;&gt;"",$I487="PVC",$N487="MND",$Q487="EMBOQUE"),0,IF(AND($H487&lt;&gt;"",$I487="PEAD",$N487="VCA",$Q487="PREDIAL"),0,0)))))),0)</f>
        <v>0.363</v>
      </c>
      <c r="AK487" s="153" t="n">
        <f aca="false">IF(AA487&lt;&gt;"",AA487,0)</f>
        <v>3.8</v>
      </c>
      <c r="AL487" s="153" t="n">
        <f aca="false">IF(AND($N487="MND",$Q487="EMBOQUE"),$M487,IF(AND($N487="VCA",$Q487="LINEAR"),$M487,IF(AND($N487="VCA",$Q487="PREDIAL"),0,0)))</f>
        <v>105.75</v>
      </c>
      <c r="AM487" s="153" t="n">
        <f aca="false">IF(AND($N487="MND",$Q487="EMBOQUE"),$M487,IF(AND($N487="VCA",$Q487="LINEAR"),$M487,IF(AND($N487="VCA",$Q487="PREDIAL"),0,0)))</f>
        <v>105.75</v>
      </c>
      <c r="AN487" s="153" t="n">
        <f aca="false">ROUND(IF(AND($N487="VCA",$M487&lt;&gt;"",$Q487="LINEAR"),$M487/100,IF(AND($N487="MND",$M487&gt;100,$Q487="EMBOQUE"),$M487/100,0)),0)</f>
        <v>1</v>
      </c>
      <c r="AO487" s="153" t="n">
        <f aca="false">IF(AND($N487="MND",$Q487="EMBOQUE"),$AN487*2*2,IF(AND($N487="VCA",$Q487="LINEAR"),$M487*2,IF(AND($N487="VCA",$Q487="PREDIAL"),0,0)))</f>
        <v>211.5</v>
      </c>
      <c r="AP487" s="153" t="n">
        <f aca="false">IFERROR($M487*$AF487*$AG487,0)</f>
        <v>93.6892125</v>
      </c>
      <c r="AQ487" s="153" t="n">
        <f aca="false">IFERROR(IF(AND($N487="VCA",$AH487&gt;0),$M487*$AG487*$AH487,0),0)</f>
        <v>6.87375</v>
      </c>
      <c r="AR487" s="153" t="n">
        <f aca="false">IFERROR(IF(AND($N487="VCA",$AJ487&gt;0),($M487*$AG487*$AJ487)-$AI487,0),0)</f>
        <v>24.622063808412</v>
      </c>
      <c r="AS487" s="153" t="n">
        <f aca="false">IFERROR(IF(AND($N487="VCA",$AP487&gt;0),$AP487-$AI487-$AQ487-$AR487,0),0)</f>
        <v>61.86375</v>
      </c>
      <c r="AT487" s="153" t="n">
        <f aca="false">IFERROR(IF($N487="VCA",INDEX(APOIO_REDES!$A:$W,MATCH($C487&amp;$I487&amp;$H487&amp;$N487&amp;$O487,APOIO_REDES!$W:$W,0),MATCH(AT$5,APOIO_REDES!$5:$5,0)),0)*$AP487,0)</f>
        <v>1.0193663625914</v>
      </c>
      <c r="AU487" s="153" t="n">
        <f aca="false">IFERROR(IF($N487="VCA",INDEX(APOIO_REDES!$A:$W,MATCH($C487&amp;$I487&amp;$H487&amp;$N487&amp;$O487,APOIO_REDES!$W:$W,0),MATCH(AU$5,APOIO_REDES!$5:$5,0)),0)*$AP487,0)</f>
        <v>0.814038369223136</v>
      </c>
      <c r="AV487" s="153" t="n">
        <f aca="false">IFERROR(IF($N487="VCA",INDEX(APOIO_REDES!$A:$W,MATCH($C487&amp;$I487&amp;$H487&amp;$N487&amp;$O487,APOIO_REDES!$W:$W,0),MATCH(AV$5,APOIO_REDES!$5:$5,0)),0)*$AP487,0)</f>
        <v>0.112656519848726</v>
      </c>
      <c r="AW487" s="153" t="n">
        <f aca="false">IFERROR(IF($N487="VCA",INDEX(APOIO_REDES!$A:$W,MATCH($C487&amp;$I487&amp;$H487&amp;$N487&amp;$O487,APOIO_REDES!$W:$W,0),MATCH(AW$5,APOIO_REDES!$5:$5,0)),0)*$AP487,0)</f>
        <v>64.3090013994426</v>
      </c>
      <c r="AX487" s="153" t="n">
        <f aca="false">IFERROR(IF($N487="VCA",INDEX(APOIO_REDES!$A:$W,MATCH($C487&amp;$I487&amp;$H487&amp;$N487&amp;$O487,APOIO_REDES!$W:$W,0),MATCH(AX$5,APOIO_REDES!$5:$5,0)),0)*$AP487,0)</f>
        <v>8.90018260602482</v>
      </c>
      <c r="AY487" s="153" t="n">
        <f aca="false">IFERROR(IF($N487="VCA",INDEX(APOIO_REDES!$A:$W,MATCH($C487&amp;$I487&amp;$H487&amp;$N487&amp;$O487,APOIO_REDES!$W:$W,0),MATCH(AY$5,APOIO_REDES!$5:$5,0)),0)*$AP487,0)</f>
        <v>16.280757461401</v>
      </c>
      <c r="AZ487" s="153" t="n">
        <f aca="false">IFERROR(IF($N487="VCA",INDEX(APOIO_REDES!$A:$W,MATCH($C487&amp;$I487&amp;$H487&amp;$N487&amp;$O487,APOIO_REDES!$W:$W,0),MATCH(AZ$5,APOIO_REDES!$5:$5,0)),0)*$AP487,0)</f>
        <v>2.25320978146839</v>
      </c>
      <c r="BA487" s="153" t="n">
        <f aca="false">IFERROR(IF(AND($N487="VCA",$Q487="LINEAR"),INDEX(APOIO_REDES!$A:$W,MATCH($C487&amp;$I487&amp;$H487&amp;$N487&amp;$O487,APOIO_REDES!$W:$W,0),MATCH(BA$5,APOIO_REDES!$5:$5,0)),IF(AND($N487="MND",$Q487="EMBOQUE"),INDEX(APOIO_REDES!$A:$W,MATCH($C487&amp;$I487&amp;$H487&amp;$N487&amp;$O487,APOIO_REDES!$W:$W,0),MATCH(BA$5,APOIO_REDES!$5:$5,0)),0))*$M487/10,0)</f>
        <v>8.52318325406177</v>
      </c>
      <c r="BB487" s="153" t="n">
        <f aca="false">IFERROR(IF($N487="VCA",INDEX(APOIO_REDES!$A:$W,MATCH($C487&amp;$I487&amp;$H487&amp;$N487&amp;$O487,APOIO_REDES!$W:$W,0),MATCH(BB$5,APOIO_REDES!$5:$5,0)),0)*($AI487+$AQ487+$AR487),0)</f>
        <v>31.4791920481439</v>
      </c>
      <c r="BC487" s="153" t="n">
        <f aca="false">IFERROR(IF($N487="VCA",INDEX(APOIO_REDES!$A:$W,MATCH($C487&amp;$I487&amp;$H487&amp;$N487&amp;$O487,APOIO_REDES!$W:$W,0),MATCH(BC$5,APOIO_REDES!$5:$5,0)),0)*($AI487+$AQ487+$AR487),0)</f>
        <v>0.346270451856065</v>
      </c>
      <c r="BD487" s="153" t="n">
        <f aca="false">IF(AND($N487="VCA",$AF487&gt;=1.25,$AF487&lt;1.5),$M487*$AF487*2,0)</f>
        <v>288.2745</v>
      </c>
      <c r="BE487" s="153" t="n">
        <f aca="false">IF(AND($N487="VCA",$AF487&gt;=1.5,$AF487&lt;3),$M487*$AF487*2,0)</f>
        <v>0</v>
      </c>
      <c r="BF487" s="153" t="n">
        <f aca="false">IF(AND($N487="VCA",$AF487&gt;=3),$M487*$AF487*2,0)</f>
        <v>0</v>
      </c>
      <c r="BG487" s="153" t="n">
        <f aca="false">($BB487+$BC487)*$AK487</f>
        <v>120.9367575</v>
      </c>
      <c r="BH487" s="153" t="n">
        <f aca="false">IF(AND($M487&lt;&gt;"",$N487="VCA",$Q487="LINEAR"),($M487*2)/100,IF(AND($M487&lt;&gt;"",$N487="MND",$Q487="EMBOQUE"),($AN487*2)/100,0))</f>
        <v>2.115</v>
      </c>
      <c r="BI487" s="153" t="n">
        <f aca="false">IF(AND($M487&lt;&gt;"",$N487="VCA",$Q487="LINEAR"),$M487,IF(AND($M487&lt;&gt;"",$N487="MND",$Q487="EMBOQUE"),$AN487*2,0))</f>
        <v>105.75</v>
      </c>
      <c r="BJ487" s="153" t="n">
        <f aca="false">IF(AND($M487&lt;&gt;"",$N487="VCA",$Q487="LINEAR"),($M487*6.8)/100,IF(AND($M487&lt;&gt;"",$N487="MND",$Q487="EMBOQUE"),($AN487*2*6.8)/100,0))</f>
        <v>7.191</v>
      </c>
      <c r="BK487" s="153" t="n">
        <f aca="false">IF(AND($M487&lt;&gt;"",$N487="VCA",$Q487="LINEAR"),($M487*2.5)/50,IF(AND($M487&lt;&gt;"",$N487="MND",$Q487="EMBOQUE"),($AN487*2*2.5)/50,0))</f>
        <v>5.2875</v>
      </c>
      <c r="BL487" s="157" t="str">
        <f aca="false">K487&amp;J487</f>
        <v>Zona05REDES</v>
      </c>
      <c r="BM487" s="152" t="s">
        <v>3356</v>
      </c>
      <c r="BN487" s="152" t="s">
        <v>1560</v>
      </c>
      <c r="BO487" s="152" t="s">
        <v>2231</v>
      </c>
      <c r="BP487" s="152" t="s">
        <v>3376</v>
      </c>
      <c r="BQ487" s="152" t="s">
        <v>3384</v>
      </c>
      <c r="BR487" s="152" t="s">
        <v>3385</v>
      </c>
      <c r="BS487" s="152" t="n">
        <v>202901.008</v>
      </c>
      <c r="BT487" s="152" t="n">
        <v>8237632.826</v>
      </c>
      <c r="BU487" s="152" t="n">
        <v>202947.465</v>
      </c>
      <c r="BV487" s="152" t="n">
        <v>8237562.132</v>
      </c>
      <c r="BW487" s="152" t="n">
        <v>-15.9230795</v>
      </c>
      <c r="BX487" s="152" t="n">
        <v>-47.7745248</v>
      </c>
      <c r="BY487" s="152" t="s">
        <v>3376</v>
      </c>
    </row>
    <row r="488" customFormat="false" ht="13.8" hidden="false" customHeight="false" outlineLevel="0" collapsed="false">
      <c r="A488" s="149" t="n">
        <f aca="false">IF(C488&lt;&gt;"",ROW(A483),"")</f>
        <v>483</v>
      </c>
      <c r="B488" s="150" t="str">
        <f aca="false">HYPERLINK("https://www.google.com/maps/dir/-15.917302,-47.760003/-15.9239611,-47.7739278/data=!4m3!4m2!3e0!5i1")</f>
        <v>https://www.google.com/maps/dir/-15.917302,-47.760003/-15.9239611,-47.7739278/data=!4m3!4m2!3e0!5i1</v>
      </c>
      <c r="C488" s="151" t="s">
        <v>117</v>
      </c>
      <c r="D488" s="152" t="s">
        <v>112</v>
      </c>
      <c r="E488" s="152" t="s">
        <v>113</v>
      </c>
      <c r="F488" s="152" t="s">
        <v>117</v>
      </c>
      <c r="G488" s="152" t="s">
        <v>782</v>
      </c>
      <c r="H488" s="152" t="n">
        <v>63</v>
      </c>
      <c r="I488" s="152" t="s">
        <v>115</v>
      </c>
      <c r="J488" s="152" t="s">
        <v>6</v>
      </c>
      <c r="K488" s="152" t="s">
        <v>3352</v>
      </c>
      <c r="L488" s="152" t="s">
        <v>120</v>
      </c>
      <c r="M488" s="153" t="n">
        <f aca="false">199.4+4.94</f>
        <v>204.34</v>
      </c>
      <c r="N488" s="152" t="s">
        <v>1548</v>
      </c>
      <c r="O488" s="152" t="s">
        <v>1549</v>
      </c>
      <c r="P488" s="152" t="s">
        <v>1550</v>
      </c>
      <c r="Q488" s="152" t="s">
        <v>1551</v>
      </c>
      <c r="R488" s="154" t="s">
        <v>3386</v>
      </c>
      <c r="S488" s="154" t="s">
        <v>1553</v>
      </c>
      <c r="T488" s="155" t="s">
        <v>2227</v>
      </c>
      <c r="U488" s="152" t="str">
        <f aca="false">RIGHT(T488,7)</f>
        <v>008/037</v>
      </c>
      <c r="V488" s="152" t="s">
        <v>1555</v>
      </c>
      <c r="W488" s="156" t="n">
        <v>45882</v>
      </c>
      <c r="X488" s="152" t="s">
        <v>1594</v>
      </c>
      <c r="Y488" s="152" t="s">
        <v>3365</v>
      </c>
      <c r="Z488" s="152" t="s">
        <v>1557</v>
      </c>
      <c r="AA488" s="153" t="n">
        <v>3.7</v>
      </c>
      <c r="AB488" s="151" t="s">
        <v>3387</v>
      </c>
      <c r="AC488" s="151" t="s">
        <v>186</v>
      </c>
      <c r="AD488" s="151" t="str">
        <f aca="false">CONCATENATE($C488,$I488,$H488,$N488,$J488,$K488)</f>
        <v>TUBO PEADPEAD63VCAREDESZona05</v>
      </c>
      <c r="AE488" s="153" t="n">
        <f aca="false">IFERROR(INDEX(APOIO_REDES!$A:$W,MATCH($C488&amp;$I488&amp;$H488&amp;$N488&amp;$O488,APOIO_REDES!$W:$W,0),MATCH(AE$5,APOIO_REDES!$5:$5,0)),0)</f>
        <v>1.2</v>
      </c>
      <c r="AF488" s="153" t="n">
        <f aca="false">IFERROR(INDEX(APOIO_REDES!$A:$W,MATCH($C488&amp;$I488&amp;$H488&amp;$N488&amp;$O488,APOIO_REDES!$W:$W,0),MATCH(AF$5,APOIO_REDES!$5:$5,0)),0)</f>
        <v>1.363</v>
      </c>
      <c r="AG488" s="153" t="n">
        <f aca="false">IFERROR(INDEX(APOIO_REDES!$A:$W,MATCH($C488&amp;$I488&amp;$H488&amp;$N488&amp;$O488,APOIO_REDES!$W:$W,0),MATCH(AG$5,APOIO_REDES!$5:$5,0)),0)</f>
        <v>0.65</v>
      </c>
      <c r="AH488" s="153" t="n">
        <f aca="false">IFERROR(INDEX(APOIO_REDES!$A:$W,MATCH($C488&amp;$I488&amp;$H488&amp;$N488&amp;$O488,APOIO_REDES!$W:$W,0),MATCH(AH$5,APOIO_REDES!$5:$5,0)),0)</f>
        <v>0.1</v>
      </c>
      <c r="AI488" s="153" t="n">
        <f aca="false">IFERROR(IF($H488&lt;&gt;"",(((($H488/1000)/2)^2)*PI()*$M488),0),0)</f>
        <v>0.636977906752571</v>
      </c>
      <c r="AJ488" s="153" t="n">
        <f aca="false">IFERROR(IF(AND($H488&lt;&gt;"",$I488="FoFo",OR($N488="MND",$N488="VCA"),$Q488="LINEAR"),0,IF(AND($H488&lt;&gt;"",$I488="PEAD",$N488="VCA",$Q488="LINEAR"),($H488/1000)+0.3,IF(AND($H488&lt;&gt;"",$I488="PEAD",$N488="MND",$Q488="EMBOQUE"),0,IF(AND($H488&lt;&gt;"",$I488="PVC",$N488="VCA",$Q488="LINEAR"),($H488/1000)+0.2,IF(AND($H488&lt;&gt;"",$I488="PVC",$N488="MND",$Q488="EMBOQUE"),0,IF(AND($H488&lt;&gt;"",$I488="PEAD",$N488="VCA",$Q488="PREDIAL"),0,0)))))),0)</f>
        <v>0.363</v>
      </c>
      <c r="AK488" s="153" t="n">
        <f aca="false">IF(AA488&lt;&gt;"",AA488,0)</f>
        <v>3.7</v>
      </c>
      <c r="AL488" s="153" t="n">
        <f aca="false">IF(AND($N488="MND",$Q488="EMBOQUE"),$M488,IF(AND($N488="VCA",$Q488="LINEAR"),$M488,IF(AND($N488="VCA",$Q488="PREDIAL"),0,0)))</f>
        <v>204.34</v>
      </c>
      <c r="AM488" s="153" t="n">
        <f aca="false">IF(AND($N488="MND",$Q488="EMBOQUE"),$M488,IF(AND($N488="VCA",$Q488="LINEAR"),$M488,IF(AND($N488="VCA",$Q488="PREDIAL"),0,0)))</f>
        <v>204.34</v>
      </c>
      <c r="AN488" s="153" t="n">
        <f aca="false">ROUND(IF(AND($N488="VCA",$M488&lt;&gt;"",$Q488="LINEAR"),$M488/100,IF(AND($N488="MND",$M488&gt;100,$Q488="EMBOQUE"),$M488/100,0)),0)</f>
        <v>2</v>
      </c>
      <c r="AO488" s="153" t="n">
        <f aca="false">IF(AND($N488="MND",$Q488="EMBOQUE"),$AN488*2*2,IF(AND($N488="VCA",$Q488="LINEAR"),$M488*2,IF(AND($N488="VCA",$Q488="PREDIAL"),0,0)))</f>
        <v>408.68</v>
      </c>
      <c r="AP488" s="153" t="n">
        <f aca="false">IFERROR($M488*$AF488*$AG488,0)</f>
        <v>181.035023</v>
      </c>
      <c r="AQ488" s="153" t="n">
        <f aca="false">IFERROR(IF(AND($N488="VCA",$AH488&gt;0),$M488*$AG488*$AH488,0),0)</f>
        <v>13.2821</v>
      </c>
      <c r="AR488" s="153" t="n">
        <f aca="false">IFERROR(IF(AND($N488="VCA",$AJ488&gt;0),($M488*$AG488*$AJ488)-$AI488,0),0)</f>
        <v>47.5770450932474</v>
      </c>
      <c r="AS488" s="153" t="n">
        <f aca="false">IFERROR(IF(AND($N488="VCA",$AP488&gt;0),$AP488-$AI488-$AQ488-$AR488,0),0)</f>
        <v>119.5389</v>
      </c>
      <c r="AT488" s="153" t="n">
        <f aca="false">IFERROR(IF($N488="VCA",INDEX(APOIO_REDES!$A:$W,MATCH($C488&amp;$I488&amp;$H488&amp;$N488&amp;$O488,APOIO_REDES!$W:$W,0),MATCH(AT$5,APOIO_REDES!$5:$5,0)),0)*$AP488,0)</f>
        <v>1.96971463387164</v>
      </c>
      <c r="AU488" s="153" t="n">
        <f aca="false">IFERROR(IF($N488="VCA",INDEX(APOIO_REDES!$A:$W,MATCH($C488&amp;$I488&amp;$H488&amp;$N488&amp;$O488,APOIO_REDES!$W:$W,0),MATCH(AU$5,APOIO_REDES!$5:$5,0)),0)*$AP488,0)</f>
        <v>1.57296075997216</v>
      </c>
      <c r="AV488" s="153" t="n">
        <f aca="false">IFERROR(IF($N488="VCA",INDEX(APOIO_REDES!$A:$W,MATCH($C488&amp;$I488&amp;$H488&amp;$N488&amp;$O488,APOIO_REDES!$W:$W,0),MATCH(AV$5,APOIO_REDES!$5:$5,0)),0)*$AP488,0)</f>
        <v>0.217685420954031</v>
      </c>
      <c r="AW488" s="153" t="n">
        <f aca="false">IFERROR(IF($N488="VCA",INDEX(APOIO_REDES!$A:$W,MATCH($C488&amp;$I488&amp;$H488&amp;$N488&amp;$O488,APOIO_REDES!$W:$W,0),MATCH(AW$5,APOIO_REDES!$5:$5,0)),0)*$AP488,0)</f>
        <v>124.263842515008</v>
      </c>
      <c r="AX488" s="153" t="n">
        <f aca="false">IFERROR(IF($N488="VCA",INDEX(APOIO_REDES!$A:$W,MATCH($C488&amp;$I488&amp;$H488&amp;$N488&amp;$O488,APOIO_REDES!$W:$W,0),MATCH(AX$5,APOIO_REDES!$5:$5,0)),0)*$AP488,0)</f>
        <v>17.1977618318214</v>
      </c>
      <c r="AY488" s="153" t="n">
        <f aca="false">IFERROR(IF($N488="VCA",INDEX(APOIO_REDES!$A:$W,MATCH($C488&amp;$I488&amp;$H488&amp;$N488&amp;$O488,APOIO_REDES!$W:$W,0),MATCH(AY$5,APOIO_REDES!$5:$5,0)),0)*$AP488,0)</f>
        <v>31.459196025179</v>
      </c>
      <c r="AZ488" s="153" t="n">
        <f aca="false">IFERROR(IF($N488="VCA",INDEX(APOIO_REDES!$A:$W,MATCH($C488&amp;$I488&amp;$H488&amp;$N488&amp;$O488,APOIO_REDES!$W:$W,0),MATCH(AZ$5,APOIO_REDES!$5:$5,0)),0)*$AP488,0)</f>
        <v>4.35386181319385</v>
      </c>
      <c r="BA488" s="153" t="n">
        <f aca="false">IFERROR(IF(AND($N488="VCA",$Q488="LINEAR"),INDEX(APOIO_REDES!$A:$W,MATCH($C488&amp;$I488&amp;$H488&amp;$N488&amp;$O488,APOIO_REDES!$W:$W,0),MATCH(BA$5,APOIO_REDES!$5:$5,0)),IF(AND($N488="MND",$Q488="EMBOQUE"),INDEX(APOIO_REDES!$A:$W,MATCH($C488&amp;$I488&amp;$H488&amp;$N488&amp;$O488,APOIO_REDES!$W:$W,0),MATCH(BA$5,APOIO_REDES!$5:$5,0)),0))*$M488/10,0)</f>
        <v>16.4692885686523</v>
      </c>
      <c r="BB488" s="153" t="n">
        <f aca="false">IFERROR(IF($N488="VCA",INDEX(APOIO_REDES!$A:$W,MATCH($C488&amp;$I488&amp;$H488&amp;$N488&amp;$O488,APOIO_REDES!$W:$W,0),MATCH(BB$5,APOIO_REDES!$5:$5,0)),0)*($AI488+$AQ488+$AR488),0)</f>
        <v>60.8270269798367</v>
      </c>
      <c r="BC488" s="153" t="n">
        <f aca="false">IFERROR(IF($N488="VCA",INDEX(APOIO_REDES!$A:$W,MATCH($C488&amp;$I488&amp;$H488&amp;$N488&amp;$O488,APOIO_REDES!$W:$W,0),MATCH(BC$5,APOIO_REDES!$5:$5,0)),0)*($AI488+$AQ488+$AR488),0)</f>
        <v>0.669096020163293</v>
      </c>
      <c r="BD488" s="153" t="n">
        <f aca="false">IF(AND($N488="VCA",$AF488&gt;=1.25,$AF488&lt;1.5),$M488*$AF488*2,0)</f>
        <v>557.03084</v>
      </c>
      <c r="BE488" s="153" t="n">
        <f aca="false">IF(AND($N488="VCA",$AF488&gt;=1.5,$AF488&lt;3),$M488*$AF488*2,0)</f>
        <v>0</v>
      </c>
      <c r="BF488" s="153" t="n">
        <f aca="false">IF(AND($N488="VCA",$AF488&gt;=3),$M488*$AF488*2,0)</f>
        <v>0</v>
      </c>
      <c r="BG488" s="153" t="n">
        <f aca="false">($BB488+$BC488)*$AK488</f>
        <v>227.5356551</v>
      </c>
      <c r="BH488" s="153" t="n">
        <f aca="false">IF(AND($M488&lt;&gt;"",$N488="VCA",$Q488="LINEAR"),($M488*2)/100,IF(AND($M488&lt;&gt;"",$N488="MND",$Q488="EMBOQUE"),($AN488*2)/100,0))</f>
        <v>4.0868</v>
      </c>
      <c r="BI488" s="153" t="n">
        <f aca="false">IF(AND($M488&lt;&gt;"",$N488="VCA",$Q488="LINEAR"),$M488,IF(AND($M488&lt;&gt;"",$N488="MND",$Q488="EMBOQUE"),$AN488*2,0))</f>
        <v>204.34</v>
      </c>
      <c r="BJ488" s="153" t="n">
        <f aca="false">IF(AND($M488&lt;&gt;"",$N488="VCA",$Q488="LINEAR"),($M488*6.8)/100,IF(AND($M488&lt;&gt;"",$N488="MND",$Q488="EMBOQUE"),($AN488*2*6.8)/100,0))</f>
        <v>13.89512</v>
      </c>
      <c r="BK488" s="153" t="n">
        <f aca="false">IF(AND($M488&lt;&gt;"",$N488="VCA",$Q488="LINEAR"),($M488*2.5)/50,IF(AND($M488&lt;&gt;"",$N488="MND",$Q488="EMBOQUE"),($AN488*2*2.5)/50,0))</f>
        <v>10.217</v>
      </c>
      <c r="BL488" s="157" t="str">
        <f aca="false">K488&amp;J488</f>
        <v>Zona05REDES</v>
      </c>
      <c r="BM488" s="152" t="s">
        <v>3356</v>
      </c>
      <c r="BN488" s="152" t="s">
        <v>1560</v>
      </c>
      <c r="BO488" s="152" t="s">
        <v>2231</v>
      </c>
      <c r="BP488" s="152" t="s">
        <v>3388</v>
      </c>
      <c r="BQ488" s="152" t="s">
        <v>3367</v>
      </c>
      <c r="BR488" s="152" t="s">
        <v>3389</v>
      </c>
      <c r="BS488" s="152" t="n">
        <v>203002.427</v>
      </c>
      <c r="BT488" s="152" t="n">
        <v>8237502.45</v>
      </c>
      <c r="BU488" s="152" t="n">
        <v>203100.715</v>
      </c>
      <c r="BV488" s="152" t="n">
        <v>8237675.807</v>
      </c>
      <c r="BW488" s="152" t="n">
        <v>-15.9231788</v>
      </c>
      <c r="BX488" s="152" t="n">
        <v>-47.7734564</v>
      </c>
      <c r="BY488" s="152" t="s">
        <v>3388</v>
      </c>
    </row>
    <row r="489" customFormat="false" ht="13.8" hidden="false" customHeight="false" outlineLevel="0" collapsed="false">
      <c r="A489" s="149" t="n">
        <f aca="false">IF(C489&lt;&gt;"",ROW(A484),"")</f>
        <v>484</v>
      </c>
      <c r="B489" s="150" t="str">
        <f aca="false">HYPERLINK("https://www.google.com/maps/dir/-15.917302,-47.760003/-15.9231315,-47.7751726/data=!4m3!4m2!3e0!5i1")</f>
        <v>https://www.google.com/maps/dir/-15.917302,-47.760003/-15.9231315,-47.7751726/data=!4m3!4m2!3e0!5i1</v>
      </c>
      <c r="C489" s="151" t="s">
        <v>117</v>
      </c>
      <c r="D489" s="152" t="s">
        <v>112</v>
      </c>
      <c r="E489" s="152" t="s">
        <v>113</v>
      </c>
      <c r="F489" s="152" t="s">
        <v>117</v>
      </c>
      <c r="G489" s="152" t="s">
        <v>114</v>
      </c>
      <c r="H489" s="152" t="n">
        <v>160</v>
      </c>
      <c r="I489" s="152" t="s">
        <v>115</v>
      </c>
      <c r="J489" s="152" t="s">
        <v>6</v>
      </c>
      <c r="K489" s="152" t="s">
        <v>3352</v>
      </c>
      <c r="L489" s="152" t="s">
        <v>120</v>
      </c>
      <c r="M489" s="153" t="n">
        <f aca="false">26.97</f>
        <v>26.97</v>
      </c>
      <c r="N489" s="152" t="s">
        <v>1548</v>
      </c>
      <c r="O489" s="152" t="s">
        <v>1549</v>
      </c>
      <c r="P489" s="152" t="s">
        <v>1550</v>
      </c>
      <c r="Q489" s="152" t="s">
        <v>1551</v>
      </c>
      <c r="R489" s="154" t="s">
        <v>3390</v>
      </c>
      <c r="S489" s="154" t="s">
        <v>1593</v>
      </c>
      <c r="T489" s="155" t="s">
        <v>2227</v>
      </c>
      <c r="U489" s="152" t="str">
        <f aca="false">RIGHT(T489,7)</f>
        <v>008/037</v>
      </c>
      <c r="V489" s="152" t="s">
        <v>1555</v>
      </c>
      <c r="W489" s="156" t="n">
        <v>45882</v>
      </c>
      <c r="X489" s="152" t="s">
        <v>1594</v>
      </c>
      <c r="Y489" s="152" t="s">
        <v>2242</v>
      </c>
      <c r="Z489" s="152" t="s">
        <v>1557</v>
      </c>
      <c r="AA489" s="153" t="n">
        <v>3.8</v>
      </c>
      <c r="AB489" s="151" t="s">
        <v>3391</v>
      </c>
      <c r="AC489" s="151" t="s">
        <v>505</v>
      </c>
      <c r="AD489" s="151" t="str">
        <f aca="false">CONCATENATE($C489,$I489,$H489,$N489,$J489,$K489)</f>
        <v>TUBO PEADPEAD160VCAREDESZona05</v>
      </c>
      <c r="AE489" s="153" t="n">
        <f aca="false">IFERROR(INDEX(APOIO_REDES!$A:$W,MATCH($C489&amp;$I489&amp;$H489&amp;$N489&amp;$O489,APOIO_REDES!$W:$W,0),MATCH(AE$5,APOIO_REDES!$5:$5,0)),0)</f>
        <v>1.2</v>
      </c>
      <c r="AF489" s="153" t="n">
        <f aca="false">IFERROR(INDEX(APOIO_REDES!$A:$W,MATCH($C489&amp;$I489&amp;$H489&amp;$N489&amp;$O489,APOIO_REDES!$W:$W,0),MATCH(AF$5,APOIO_REDES!$5:$5,0)),0)</f>
        <v>1.46</v>
      </c>
      <c r="AG489" s="153" t="n">
        <f aca="false">IFERROR(INDEX(APOIO_REDES!$A:$W,MATCH($C489&amp;$I489&amp;$H489&amp;$N489&amp;$O489,APOIO_REDES!$W:$W,0),MATCH(AG$5,APOIO_REDES!$5:$5,0)),0)</f>
        <v>0.75</v>
      </c>
      <c r="AH489" s="153" t="n">
        <f aca="false">IFERROR(INDEX(APOIO_REDES!$A:$W,MATCH($C489&amp;$I489&amp;$H489&amp;$N489&amp;$O489,APOIO_REDES!$W:$W,0),MATCH(AH$5,APOIO_REDES!$5:$5,0)),0)</f>
        <v>0.1</v>
      </c>
      <c r="AI489" s="153" t="n">
        <f aca="false">IFERROR(IF($H489&lt;&gt;"",(((($H489/1000)/2)^2)*PI()*$M489),0),0)</f>
        <v>0.542264024750827</v>
      </c>
      <c r="AJ489" s="153" t="n">
        <f aca="false">IFERROR(IF(AND($H489&lt;&gt;"",$I489="FoFo",OR($N489="MND",$N489="VCA"),$Q489="LINEAR"),0,IF(AND($H489&lt;&gt;"",$I489="PEAD",$N489="VCA",$Q489="LINEAR"),($H489/1000)+0.3,IF(AND($H489&lt;&gt;"",$I489="PEAD",$N489="MND",$Q489="EMBOQUE"),0,IF(AND($H489&lt;&gt;"",$I489="PVC",$N489="VCA",$Q489="LINEAR"),($H489/1000)+0.2,IF(AND($H489&lt;&gt;"",$I489="PVC",$N489="MND",$Q489="EMBOQUE"),0,IF(AND($H489&lt;&gt;"",$I489="PEAD",$N489="VCA",$Q489="PREDIAL"),0,0)))))),0)</f>
        <v>0.46</v>
      </c>
      <c r="AK489" s="153" t="n">
        <f aca="false">IF(AA489&lt;&gt;"",AA489,0)</f>
        <v>3.8</v>
      </c>
      <c r="AL489" s="153" t="n">
        <f aca="false">IF(AND($N489="MND",$Q489="EMBOQUE"),$M489,IF(AND($N489="VCA",$Q489="LINEAR"),$M489,IF(AND($N489="VCA",$Q489="PREDIAL"),0,0)))</f>
        <v>26.97</v>
      </c>
      <c r="AM489" s="153" t="n">
        <f aca="false">IF(AND($N489="MND",$Q489="EMBOQUE"),$M489,IF(AND($N489="VCA",$Q489="LINEAR"),$M489,IF(AND($N489="VCA",$Q489="PREDIAL"),0,0)))</f>
        <v>26.97</v>
      </c>
      <c r="AN489" s="153" t="n">
        <f aca="false">ROUND(IF(AND($N489="VCA",$M489&lt;&gt;"",$Q489="LINEAR"),$M489/100,IF(AND($N489="MND",$M489&gt;100,$Q489="EMBOQUE"),$M489/100,0)),0)</f>
        <v>0</v>
      </c>
      <c r="AO489" s="153" t="n">
        <f aca="false">IF(AND($N489="MND",$Q489="EMBOQUE"),$AN489*2*2,IF(AND($N489="VCA",$Q489="LINEAR"),$M489*2,IF(AND($N489="VCA",$Q489="PREDIAL"),0,0)))</f>
        <v>53.94</v>
      </c>
      <c r="AP489" s="153" t="n">
        <f aca="false">IFERROR($M489*$AF489*$AG489,0)</f>
        <v>29.53215</v>
      </c>
      <c r="AQ489" s="153" t="n">
        <f aca="false">IFERROR(IF(AND($N489="VCA",$AH489&gt;0),$M489*$AG489*$AH489,0),0)</f>
        <v>2.02275</v>
      </c>
      <c r="AR489" s="153" t="n">
        <f aca="false">IFERROR(IF(AND($N489="VCA",$AJ489&gt;0),($M489*$AG489*$AJ489)-$AI489,0),0)</f>
        <v>8.76238597524917</v>
      </c>
      <c r="AS489" s="153" t="n">
        <f aca="false">IFERROR(IF(AND($N489="VCA",$AP489&gt;0),$AP489-$AI489-$AQ489-$AR489,0),0)</f>
        <v>18.20475</v>
      </c>
      <c r="AT489" s="153" t="n">
        <f aca="false">IFERROR(IF($N489="VCA",INDEX(APOIO_REDES!$A:$W,MATCH($C489&amp;$I489&amp;$H489&amp;$N489&amp;$O489,APOIO_REDES!$W:$W,0),MATCH(AT$5,APOIO_REDES!$5:$5,0)),0)*$AP489,0)</f>
        <v>0.321318533070213</v>
      </c>
      <c r="AU489" s="153" t="n">
        <f aca="false">IFERROR(IF($N489="VCA",INDEX(APOIO_REDES!$A:$W,MATCH($C489&amp;$I489&amp;$H489&amp;$N489&amp;$O489,APOIO_REDES!$W:$W,0),MATCH(AU$5,APOIO_REDES!$5:$5,0)),0)*$AP489,0)</f>
        <v>0.256596278100353</v>
      </c>
      <c r="AV489" s="153" t="n">
        <f aca="false">IFERROR(IF($N489="VCA",INDEX(APOIO_REDES!$A:$W,MATCH($C489&amp;$I489&amp;$H489&amp;$N489&amp;$O489,APOIO_REDES!$W:$W,0),MATCH(AV$5,APOIO_REDES!$5:$5,0)),0)*$AP489,0)</f>
        <v>0.0355109105293266</v>
      </c>
      <c r="AW489" s="153" t="n">
        <f aca="false">IFERROR(IF($N489="VCA",INDEX(APOIO_REDES!$A:$W,MATCH($C489&amp;$I489&amp;$H489&amp;$N489&amp;$O489,APOIO_REDES!$W:$W,0),MATCH(AW$5,APOIO_REDES!$5:$5,0)),0)*$AP489,0)</f>
        <v>20.2710965862644</v>
      </c>
      <c r="AX489" s="153" t="n">
        <f aca="false">IFERROR(IF($N489="VCA",INDEX(APOIO_REDES!$A:$W,MATCH($C489&amp;$I489&amp;$H489&amp;$N489&amp;$O489,APOIO_REDES!$W:$W,0),MATCH(AX$5,APOIO_REDES!$5:$5,0)),0)*$AP489,0)</f>
        <v>2.80546202422734</v>
      </c>
      <c r="AY489" s="153" t="n">
        <f aca="false">IFERROR(IF($N489="VCA",INDEX(APOIO_REDES!$A:$W,MATCH($C489&amp;$I489&amp;$H489&amp;$N489&amp;$O489,APOIO_REDES!$W:$W,0),MATCH(AY$5,APOIO_REDES!$5:$5,0)),0)*$AP489,0)</f>
        <v>5.13192243411922</v>
      </c>
      <c r="AZ489" s="153" t="n">
        <f aca="false">IFERROR(IF($N489="VCA",INDEX(APOIO_REDES!$A:$W,MATCH($C489&amp;$I489&amp;$H489&amp;$N489&amp;$O489,APOIO_REDES!$W:$W,0),MATCH(AZ$5,APOIO_REDES!$5:$5,0)),0)*$AP489,0)</f>
        <v>0.710243233689168</v>
      </c>
      <c r="BA489" s="153" t="n">
        <f aca="false">IFERROR(IF(AND($N489="VCA",$Q489="LINEAR"),INDEX(APOIO_REDES!$A:$W,MATCH($C489&amp;$I489&amp;$H489&amp;$N489&amp;$O489,APOIO_REDES!$W:$W,0),MATCH(BA$5,APOIO_REDES!$5:$5,0)),IF(AND($N489="MND",$Q489="EMBOQUE"),INDEX(APOIO_REDES!$A:$W,MATCH($C489&amp;$I489&amp;$H489&amp;$N489&amp;$O489,APOIO_REDES!$W:$W,0),MATCH(BA$5,APOIO_REDES!$5:$5,0)),0))*$M489/10,0)</f>
        <v>2.17371397032667</v>
      </c>
      <c r="BB489" s="153" t="n">
        <f aca="false">IFERROR(IF($N489="VCA",INDEX(APOIO_REDES!$A:$W,MATCH($C489&amp;$I489&amp;$H489&amp;$N489&amp;$O489,APOIO_REDES!$W:$W,0),MATCH(BB$5,APOIO_REDES!$5:$5,0)),0)*($AI489+$AQ489+$AR489),0)</f>
        <v>11.2041545352607</v>
      </c>
      <c r="BC489" s="153" t="n">
        <f aca="false">IFERROR(IF($N489="VCA",INDEX(APOIO_REDES!$A:$W,MATCH($C489&amp;$I489&amp;$H489&amp;$N489&amp;$O489,APOIO_REDES!$W:$W,0),MATCH(BC$5,APOIO_REDES!$5:$5,0)),0)*($AI489+$AQ489+$AR489),0)</f>
        <v>0.12324546473926</v>
      </c>
      <c r="BD489" s="153" t="n">
        <f aca="false">IF(AND($N489="VCA",$AF489&gt;=1.25,$AF489&lt;1.5),$M489*$AF489*2,0)</f>
        <v>78.7524</v>
      </c>
      <c r="BE489" s="153" t="n">
        <f aca="false">IF(AND($N489="VCA",$AF489&gt;=1.5,$AF489&lt;3),$M489*$AF489*2,0)</f>
        <v>0</v>
      </c>
      <c r="BF489" s="153" t="n">
        <f aca="false">IF(AND($N489="VCA",$AF489&gt;=3),$M489*$AF489*2,0)</f>
        <v>0</v>
      </c>
      <c r="BG489" s="153" t="n">
        <f aca="false">($BB489+$BC489)*$AK489</f>
        <v>43.04412</v>
      </c>
      <c r="BH489" s="153" t="n">
        <f aca="false">IF(AND($M489&lt;&gt;"",$N489="VCA",$Q489="LINEAR"),($M489*2)/100,IF(AND($M489&lt;&gt;"",$N489="MND",$Q489="EMBOQUE"),($AN489*2)/100,0))</f>
        <v>0.5394</v>
      </c>
      <c r="BI489" s="153" t="n">
        <f aca="false">IF(AND($M489&lt;&gt;"",$N489="VCA",$Q489="LINEAR"),$M489,IF(AND($M489&lt;&gt;"",$N489="MND",$Q489="EMBOQUE"),$AN489*2,0))</f>
        <v>26.97</v>
      </c>
      <c r="BJ489" s="153" t="n">
        <f aca="false">IF(AND($M489&lt;&gt;"",$N489="VCA",$Q489="LINEAR"),($M489*6.8)/100,IF(AND($M489&lt;&gt;"",$N489="MND",$Q489="EMBOQUE"),($AN489*2*6.8)/100,0))</f>
        <v>1.83396</v>
      </c>
      <c r="BK489" s="153" t="n">
        <f aca="false">IF(AND($M489&lt;&gt;"",$N489="VCA",$Q489="LINEAR"),($M489*2.5)/50,IF(AND($M489&lt;&gt;"",$N489="MND",$Q489="EMBOQUE"),($AN489*2*2.5)/50,0))</f>
        <v>1.3485</v>
      </c>
      <c r="BL489" s="157" t="str">
        <f aca="false">K489&amp;J489</f>
        <v>Zona05REDES</v>
      </c>
      <c r="BM489" s="152" t="s">
        <v>3356</v>
      </c>
      <c r="BN489" s="152" t="s">
        <v>1560</v>
      </c>
      <c r="BO489" s="152" t="s">
        <v>2231</v>
      </c>
      <c r="BP489" s="152" t="s">
        <v>3380</v>
      </c>
      <c r="BQ489" s="152" t="s">
        <v>3392</v>
      </c>
      <c r="BR489" s="152" t="s">
        <v>3393</v>
      </c>
      <c r="BS489" s="152" t="n">
        <v>202867.297</v>
      </c>
      <c r="BT489" s="152" t="n">
        <v>8237592.059</v>
      </c>
      <c r="BU489" s="152" t="n">
        <v>202851.467</v>
      </c>
      <c r="BV489" s="152" t="n">
        <v>8237570.228</v>
      </c>
      <c r="BW489" s="152" t="n">
        <v>-15.9232287</v>
      </c>
      <c r="BX489" s="152" t="n">
        <v>-47.7752483</v>
      </c>
      <c r="BY489" s="152" t="s">
        <v>3380</v>
      </c>
    </row>
    <row r="490" customFormat="false" ht="13.8" hidden="false" customHeight="false" outlineLevel="0" collapsed="false">
      <c r="A490" s="149" t="n">
        <f aca="false">IF(C490&lt;&gt;"",ROW(A485),"")</f>
        <v>485</v>
      </c>
      <c r="B490" s="150" t="str">
        <f aca="false">HYPERLINK("https://www.google.com/maps/dir/-15.917302,-47.760003/-15.9233426,-47.7749130/data=!4m3!4m2!3e0!5i1")</f>
        <v>https://www.google.com/maps/dir/-15.917302,-47.760003/-15.9233426,-47.7749130/data=!4m3!4m2!3e0!5i1</v>
      </c>
      <c r="C490" s="151" t="s">
        <v>117</v>
      </c>
      <c r="D490" s="152" t="s">
        <v>112</v>
      </c>
      <c r="E490" s="152" t="s">
        <v>113</v>
      </c>
      <c r="F490" s="152" t="s">
        <v>117</v>
      </c>
      <c r="G490" s="152" t="s">
        <v>782</v>
      </c>
      <c r="H490" s="152" t="n">
        <v>63</v>
      </c>
      <c r="I490" s="152" t="s">
        <v>115</v>
      </c>
      <c r="J490" s="152" t="s">
        <v>6</v>
      </c>
      <c r="K490" s="152" t="s">
        <v>3352</v>
      </c>
      <c r="L490" s="152" t="s">
        <v>120</v>
      </c>
      <c r="M490" s="153" t="n">
        <f aca="false">36.34+4</f>
        <v>40.34</v>
      </c>
      <c r="N490" s="152" t="s">
        <v>1548</v>
      </c>
      <c r="O490" s="152" t="s">
        <v>1549</v>
      </c>
      <c r="P490" s="152" t="s">
        <v>1550</v>
      </c>
      <c r="Q490" s="152" t="s">
        <v>1551</v>
      </c>
      <c r="R490" s="154" t="s">
        <v>3394</v>
      </c>
      <c r="S490" s="154" t="s">
        <v>1553</v>
      </c>
      <c r="T490" s="155" t="s">
        <v>2227</v>
      </c>
      <c r="U490" s="152" t="str">
        <f aca="false">RIGHT(T490,7)</f>
        <v>008/037</v>
      </c>
      <c r="V490" s="152" t="s">
        <v>1555</v>
      </c>
      <c r="W490" s="156" t="n">
        <v>45882</v>
      </c>
      <c r="X490" s="152" t="s">
        <v>1594</v>
      </c>
      <c r="Y490" s="152" t="s">
        <v>2242</v>
      </c>
      <c r="Z490" s="152" t="s">
        <v>1557</v>
      </c>
      <c r="AA490" s="153" t="n">
        <v>3.8</v>
      </c>
      <c r="AB490" s="151" t="s">
        <v>3395</v>
      </c>
      <c r="AC490" s="151" t="s">
        <v>186</v>
      </c>
      <c r="AD490" s="151" t="str">
        <f aca="false">CONCATENATE($C490,$I490,$H490,$N490,$J490,$K490)</f>
        <v>TUBO PEADPEAD63VCAREDESZona05</v>
      </c>
      <c r="AE490" s="153" t="n">
        <f aca="false">IFERROR(INDEX(APOIO_REDES!$A:$W,MATCH($C490&amp;$I490&amp;$H490&amp;$N490&amp;$O490,APOIO_REDES!$W:$W,0),MATCH(AE$5,APOIO_REDES!$5:$5,0)),0)</f>
        <v>1.2</v>
      </c>
      <c r="AF490" s="153" t="n">
        <f aca="false">IFERROR(INDEX(APOIO_REDES!$A:$W,MATCH($C490&amp;$I490&amp;$H490&amp;$N490&amp;$O490,APOIO_REDES!$W:$W,0),MATCH(AF$5,APOIO_REDES!$5:$5,0)),0)</f>
        <v>1.363</v>
      </c>
      <c r="AG490" s="153" t="n">
        <f aca="false">IFERROR(INDEX(APOIO_REDES!$A:$W,MATCH($C490&amp;$I490&amp;$H490&amp;$N490&amp;$O490,APOIO_REDES!$W:$W,0),MATCH(AG$5,APOIO_REDES!$5:$5,0)),0)</f>
        <v>0.65</v>
      </c>
      <c r="AH490" s="153" t="n">
        <f aca="false">IFERROR(INDEX(APOIO_REDES!$A:$W,MATCH($C490&amp;$I490&amp;$H490&amp;$N490&amp;$O490,APOIO_REDES!$W:$W,0),MATCH(AH$5,APOIO_REDES!$5:$5,0)),0)</f>
        <v>0.1</v>
      </c>
      <c r="AI490" s="153" t="n">
        <f aca="false">IFERROR(IF($H490&lt;&gt;"",(((($H490/1000)/2)^2)*PI()*$M490),0),0)</f>
        <v>0.125749675826557</v>
      </c>
      <c r="AJ490" s="153" t="n">
        <f aca="false">IFERROR(IF(AND($H490&lt;&gt;"",$I490="FoFo",OR($N490="MND",$N490="VCA"),$Q490="LINEAR"),0,IF(AND($H490&lt;&gt;"",$I490="PEAD",$N490="VCA",$Q490="LINEAR"),($H490/1000)+0.3,IF(AND($H490&lt;&gt;"",$I490="PEAD",$N490="MND",$Q490="EMBOQUE"),0,IF(AND($H490&lt;&gt;"",$I490="PVC",$N490="VCA",$Q490="LINEAR"),($H490/1000)+0.2,IF(AND($H490&lt;&gt;"",$I490="PVC",$N490="MND",$Q490="EMBOQUE"),0,IF(AND($H490&lt;&gt;"",$I490="PEAD",$N490="VCA",$Q490="PREDIAL"),0,0)))))),0)</f>
        <v>0.363</v>
      </c>
      <c r="AK490" s="153" t="n">
        <f aca="false">IF(AA490&lt;&gt;"",AA490,0)</f>
        <v>3.8</v>
      </c>
      <c r="AL490" s="153" t="n">
        <f aca="false">IF(AND($N490="MND",$Q490="EMBOQUE"),$M490,IF(AND($N490="VCA",$Q490="LINEAR"),$M490,IF(AND($N490="VCA",$Q490="PREDIAL"),0,0)))</f>
        <v>40.34</v>
      </c>
      <c r="AM490" s="153" t="n">
        <f aca="false">IF(AND($N490="MND",$Q490="EMBOQUE"),$M490,IF(AND($N490="VCA",$Q490="LINEAR"),$M490,IF(AND($N490="VCA",$Q490="PREDIAL"),0,0)))</f>
        <v>40.34</v>
      </c>
      <c r="AN490" s="153" t="n">
        <f aca="false">ROUND(IF(AND($N490="VCA",$M490&lt;&gt;"",$Q490="LINEAR"),$M490/100,IF(AND($N490="MND",$M490&gt;100,$Q490="EMBOQUE"),$M490/100,0)),0)</f>
        <v>0</v>
      </c>
      <c r="AO490" s="153" t="n">
        <f aca="false">IF(AND($N490="MND",$Q490="EMBOQUE"),$AN490*2*2,IF(AND($N490="VCA",$Q490="LINEAR"),$M490*2,IF(AND($N490="VCA",$Q490="PREDIAL"),0,0)))</f>
        <v>80.68</v>
      </c>
      <c r="AP490" s="153" t="n">
        <f aca="false">IFERROR($M490*$AF490*$AG490,0)</f>
        <v>35.739223</v>
      </c>
      <c r="AQ490" s="153" t="n">
        <f aca="false">IFERROR(IF(AND($N490="VCA",$AH490&gt;0),$M490*$AG490*$AH490,0),0)</f>
        <v>2.6221</v>
      </c>
      <c r="AR490" s="153" t="n">
        <f aca="false">IFERROR(IF(AND($N490="VCA",$AJ490&gt;0),($M490*$AG490*$AJ490)-$AI490,0),0)</f>
        <v>9.39247332417344</v>
      </c>
      <c r="AS490" s="153" t="n">
        <f aca="false">IFERROR(IF(AND($N490="VCA",$AP490&gt;0),$AP490-$AI490-$AQ490-$AR490,0),0)</f>
        <v>23.5989</v>
      </c>
      <c r="AT490" s="153" t="n">
        <f aca="false">IFERROR(IF($N490="VCA",INDEX(APOIO_REDES!$A:$W,MATCH($C490&amp;$I490&amp;$H490&amp;$N490&amp;$O490,APOIO_REDES!$W:$W,0),MATCH(AT$5,APOIO_REDES!$5:$5,0)),0)*$AP490,0)</f>
        <v>0.388853324510041</v>
      </c>
      <c r="AU490" s="153" t="n">
        <f aca="false">IFERROR(IF($N490="VCA",INDEX(APOIO_REDES!$A:$W,MATCH($C490&amp;$I490&amp;$H490&amp;$N490&amp;$O490,APOIO_REDES!$W:$W,0),MATCH(AU$5,APOIO_REDES!$5:$5,0)),0)*$AP490,0)</f>
        <v>0.310527733470083</v>
      </c>
      <c r="AV490" s="153" t="n">
        <f aca="false">IFERROR(IF($N490="VCA",INDEX(APOIO_REDES!$A:$W,MATCH($C490&amp;$I490&amp;$H490&amp;$N490&amp;$O490,APOIO_REDES!$W:$W,0),MATCH(AV$5,APOIO_REDES!$5:$5,0)),0)*$AP490,0)</f>
        <v>0.0429746005739728</v>
      </c>
      <c r="AW490" s="153" t="n">
        <f aca="false">IFERROR(IF($N490="VCA",INDEX(APOIO_REDES!$A:$W,MATCH($C490&amp;$I490&amp;$H490&amp;$N490&amp;$O490,APOIO_REDES!$W:$W,0),MATCH(AW$5,APOIO_REDES!$5:$5,0)),0)*$AP490,0)</f>
        <v>24.5316795882129</v>
      </c>
      <c r="AX490" s="153" t="n">
        <f aca="false">IFERROR(IF($N490="VCA",INDEX(APOIO_REDES!$A:$W,MATCH($C490&amp;$I490&amp;$H490&amp;$N490&amp;$O490,APOIO_REDES!$W:$W,0),MATCH(AX$5,APOIO_REDES!$5:$5,0)),0)*$AP490,0)</f>
        <v>3.39511457519661</v>
      </c>
      <c r="AY490" s="153" t="n">
        <f aca="false">IFERROR(IF($N490="VCA",INDEX(APOIO_REDES!$A:$W,MATCH($C490&amp;$I490&amp;$H490&amp;$N490&amp;$O490,APOIO_REDES!$W:$W,0),MATCH(AY$5,APOIO_REDES!$5:$5,0)),0)*$AP490,0)</f>
        <v>6.21055088409377</v>
      </c>
      <c r="AZ490" s="153" t="n">
        <f aca="false">IFERROR(IF($N490="VCA",INDEX(APOIO_REDES!$A:$W,MATCH($C490&amp;$I490&amp;$H490&amp;$N490&amp;$O490,APOIO_REDES!$W:$W,0),MATCH(AZ$5,APOIO_REDES!$5:$5,0)),0)*$AP490,0)</f>
        <v>0.859522293942645</v>
      </c>
      <c r="BA490" s="153" t="n">
        <f aca="false">IFERROR(IF(AND($N490="VCA",$Q490="LINEAR"),INDEX(APOIO_REDES!$A:$W,MATCH($C490&amp;$I490&amp;$H490&amp;$N490&amp;$O490,APOIO_REDES!$W:$W,0),MATCH(BA$5,APOIO_REDES!$5:$5,0)),IF(AND($N490="MND",$Q490="EMBOQUE"),INDEX(APOIO_REDES!$A:$W,MATCH($C490&amp;$I490&amp;$H490&amp;$N490&amp;$O490,APOIO_REDES!$W:$W,0),MATCH(BA$5,APOIO_REDES!$5:$5,0)),0))*$M490/10,0)</f>
        <v>3.25130224556834</v>
      </c>
      <c r="BB490" s="153" t="n">
        <f aca="false">IFERROR(IF($N490="VCA",INDEX(APOIO_REDES!$A:$W,MATCH($C490&amp;$I490&amp;$H490&amp;$N490&amp;$O490,APOIO_REDES!$W:$W,0),MATCH(BB$5,APOIO_REDES!$5:$5,0)),0)*($AI490+$AQ490+$AR490),0)</f>
        <v>12.0082326924078</v>
      </c>
      <c r="BC490" s="153" t="n">
        <f aca="false">IFERROR(IF($N490="VCA",INDEX(APOIO_REDES!$A:$W,MATCH($C490&amp;$I490&amp;$H490&amp;$N490&amp;$O490,APOIO_REDES!$W:$W,0),MATCH(BC$5,APOIO_REDES!$5:$5,0)),0)*($AI490+$AQ490+$AR490),0)</f>
        <v>0.132090307592186</v>
      </c>
      <c r="BD490" s="153" t="n">
        <f aca="false">IF(AND($N490="VCA",$AF490&gt;=1.25,$AF490&lt;1.5),$M490*$AF490*2,0)</f>
        <v>109.96684</v>
      </c>
      <c r="BE490" s="153" t="n">
        <f aca="false">IF(AND($N490="VCA",$AF490&gt;=1.5,$AF490&lt;3),$M490*$AF490*2,0)</f>
        <v>0</v>
      </c>
      <c r="BF490" s="153" t="n">
        <f aca="false">IF(AND($N490="VCA",$AF490&gt;=3),$M490*$AF490*2,0)</f>
        <v>0</v>
      </c>
      <c r="BG490" s="153" t="n">
        <f aca="false">($BB490+$BC490)*$AK490</f>
        <v>46.1332274</v>
      </c>
      <c r="BH490" s="153" t="n">
        <f aca="false">IF(AND($M490&lt;&gt;"",$N490="VCA",$Q490="LINEAR"),($M490*2)/100,IF(AND($M490&lt;&gt;"",$N490="MND",$Q490="EMBOQUE"),($AN490*2)/100,0))</f>
        <v>0.8068</v>
      </c>
      <c r="BI490" s="153" t="n">
        <f aca="false">IF(AND($M490&lt;&gt;"",$N490="VCA",$Q490="LINEAR"),$M490,IF(AND($M490&lt;&gt;"",$N490="MND",$Q490="EMBOQUE"),$AN490*2,0))</f>
        <v>40.34</v>
      </c>
      <c r="BJ490" s="153" t="n">
        <f aca="false">IF(AND($M490&lt;&gt;"",$N490="VCA",$Q490="LINEAR"),($M490*6.8)/100,IF(AND($M490&lt;&gt;"",$N490="MND",$Q490="EMBOQUE"),($AN490*2*6.8)/100,0))</f>
        <v>2.74312</v>
      </c>
      <c r="BK490" s="153" t="n">
        <f aca="false">IF(AND($M490&lt;&gt;"",$N490="VCA",$Q490="LINEAR"),($M490*2.5)/50,IF(AND($M490&lt;&gt;"",$N490="MND",$Q490="EMBOQUE"),($AN490*2*2.5)/50,0))</f>
        <v>2.017</v>
      </c>
      <c r="BL490" s="157" t="str">
        <f aca="false">K490&amp;J490</f>
        <v>Zona05REDES</v>
      </c>
      <c r="BM490" s="152" t="s">
        <v>3356</v>
      </c>
      <c r="BN490" s="152" t="s">
        <v>1560</v>
      </c>
      <c r="BO490" s="152" t="s">
        <v>2231</v>
      </c>
      <c r="BP490" s="152" t="s">
        <v>3396</v>
      </c>
      <c r="BQ490" s="152" t="s">
        <v>3380</v>
      </c>
      <c r="BR490" s="152" t="s">
        <v>3397</v>
      </c>
      <c r="BS490" s="152" t="n">
        <v>202895.428</v>
      </c>
      <c r="BT490" s="152" t="n">
        <v>8237569.054</v>
      </c>
      <c r="BU490" s="152" t="n">
        <v>202867.297</v>
      </c>
      <c r="BV490" s="152" t="n">
        <v>8237592.059</v>
      </c>
      <c r="BW490" s="152" t="n">
        <v>-15.923237</v>
      </c>
      <c r="BX490" s="152" t="n">
        <v>-47.7750428</v>
      </c>
      <c r="BY490" s="152" t="s">
        <v>3396</v>
      </c>
    </row>
    <row r="491" customFormat="false" ht="13.8" hidden="false" customHeight="false" outlineLevel="0" collapsed="false">
      <c r="A491" s="149" t="n">
        <f aca="false">IF(C491&lt;&gt;"",ROW(A486),"")</f>
        <v>486</v>
      </c>
      <c r="B491" s="150" t="str">
        <f aca="false">HYPERLINK("https://www.google.com/maps/dir/-15.917302,-47.760003/-15.9224763,-47.7723533/data=!4m3!4m2!3e0!5i1")</f>
        <v>https://www.google.com/maps/dir/-15.917302,-47.760003/-15.9224763,-47.7723533/data=!4m3!4m2!3e0!5i1</v>
      </c>
      <c r="C491" s="151" t="s">
        <v>117</v>
      </c>
      <c r="D491" s="152" t="s">
        <v>112</v>
      </c>
      <c r="E491" s="152" t="s">
        <v>113</v>
      </c>
      <c r="F491" s="152" t="s">
        <v>117</v>
      </c>
      <c r="G491" s="152" t="s">
        <v>782</v>
      </c>
      <c r="H491" s="152" t="n">
        <v>63</v>
      </c>
      <c r="I491" s="152" t="s">
        <v>115</v>
      </c>
      <c r="J491" s="152" t="s">
        <v>6</v>
      </c>
      <c r="K491" s="152" t="s">
        <v>3352</v>
      </c>
      <c r="L491" s="152" t="s">
        <v>120</v>
      </c>
      <c r="M491" s="153" t="n">
        <f aca="false">234.25+3.99</f>
        <v>238.24</v>
      </c>
      <c r="N491" s="152" t="s">
        <v>1548</v>
      </c>
      <c r="O491" s="152" t="s">
        <v>1549</v>
      </c>
      <c r="P491" s="152" t="s">
        <v>1550</v>
      </c>
      <c r="Q491" s="152" t="s">
        <v>1551</v>
      </c>
      <c r="R491" s="154" t="s">
        <v>3398</v>
      </c>
      <c r="S491" s="154" t="s">
        <v>1553</v>
      </c>
      <c r="T491" s="155" t="s">
        <v>2227</v>
      </c>
      <c r="U491" s="152" t="str">
        <f aca="false">RIGHT(T491,7)</f>
        <v>008/037</v>
      </c>
      <c r="V491" s="152" t="s">
        <v>1555</v>
      </c>
      <c r="W491" s="156" t="n">
        <v>45882</v>
      </c>
      <c r="X491" s="152" t="s">
        <v>1594</v>
      </c>
      <c r="Y491" s="152" t="s">
        <v>3365</v>
      </c>
      <c r="Z491" s="152" t="s">
        <v>1557</v>
      </c>
      <c r="AA491" s="153" t="n">
        <v>3.4</v>
      </c>
      <c r="AB491" s="151" t="s">
        <v>3399</v>
      </c>
      <c r="AC491" s="151" t="s">
        <v>186</v>
      </c>
      <c r="AD491" s="151" t="str">
        <f aca="false">CONCATENATE($C491,$I491,$H491,$N491,$J491,$K491)</f>
        <v>TUBO PEADPEAD63VCAREDESZona05</v>
      </c>
      <c r="AE491" s="153" t="n">
        <f aca="false">IFERROR(INDEX(APOIO_REDES!$A:$W,MATCH($C491&amp;$I491&amp;$H491&amp;$N491&amp;$O491,APOIO_REDES!$W:$W,0),MATCH(AE$5,APOIO_REDES!$5:$5,0)),0)</f>
        <v>1.2</v>
      </c>
      <c r="AF491" s="153" t="n">
        <f aca="false">IFERROR(INDEX(APOIO_REDES!$A:$W,MATCH($C491&amp;$I491&amp;$H491&amp;$N491&amp;$O491,APOIO_REDES!$W:$W,0),MATCH(AF$5,APOIO_REDES!$5:$5,0)),0)</f>
        <v>1.363</v>
      </c>
      <c r="AG491" s="153" t="n">
        <f aca="false">IFERROR(INDEX(APOIO_REDES!$A:$W,MATCH($C491&amp;$I491&amp;$H491&amp;$N491&amp;$O491,APOIO_REDES!$W:$W,0),MATCH(AG$5,APOIO_REDES!$5:$5,0)),0)</f>
        <v>0.65</v>
      </c>
      <c r="AH491" s="153" t="n">
        <f aca="false">IFERROR(INDEX(APOIO_REDES!$A:$W,MATCH($C491&amp;$I491&amp;$H491&amp;$N491&amp;$O491,APOIO_REDES!$W:$W,0),MATCH(AH$5,APOIO_REDES!$5:$5,0)),0)</f>
        <v>0.1</v>
      </c>
      <c r="AI491" s="153" t="n">
        <f aca="false">IFERROR(IF($H491&lt;&gt;"",(((($H491/1000)/2)^2)*PI()*$M491),0),0)</f>
        <v>0.74265252277935</v>
      </c>
      <c r="AJ491" s="153" t="n">
        <f aca="false">IFERROR(IF(AND($H491&lt;&gt;"",$I491="FoFo",OR($N491="MND",$N491="VCA"),$Q491="LINEAR"),0,IF(AND($H491&lt;&gt;"",$I491="PEAD",$N491="VCA",$Q491="LINEAR"),($H491/1000)+0.3,IF(AND($H491&lt;&gt;"",$I491="PEAD",$N491="MND",$Q491="EMBOQUE"),0,IF(AND($H491&lt;&gt;"",$I491="PVC",$N491="VCA",$Q491="LINEAR"),($H491/1000)+0.2,IF(AND($H491&lt;&gt;"",$I491="PVC",$N491="MND",$Q491="EMBOQUE"),0,IF(AND($H491&lt;&gt;"",$I491="PEAD",$N491="VCA",$Q491="PREDIAL"),0,0)))))),0)</f>
        <v>0.363</v>
      </c>
      <c r="AK491" s="153" t="n">
        <f aca="false">IF(AA491&lt;&gt;"",AA491,0)</f>
        <v>3.4</v>
      </c>
      <c r="AL491" s="153" t="n">
        <f aca="false">IF(AND($N491="MND",$Q491="EMBOQUE"),$M491,IF(AND($N491="VCA",$Q491="LINEAR"),$M491,IF(AND($N491="VCA",$Q491="PREDIAL"),0,0)))</f>
        <v>238.24</v>
      </c>
      <c r="AM491" s="153" t="n">
        <f aca="false">IF(AND($N491="MND",$Q491="EMBOQUE"),$M491,IF(AND($N491="VCA",$Q491="LINEAR"),$M491,IF(AND($N491="VCA",$Q491="PREDIAL"),0,0)))</f>
        <v>238.24</v>
      </c>
      <c r="AN491" s="153" t="n">
        <f aca="false">ROUND(IF(AND($N491="VCA",$M491&lt;&gt;"",$Q491="LINEAR"),$M491/100,IF(AND($N491="MND",$M491&gt;100,$Q491="EMBOQUE"),$M491/100,0)),0)</f>
        <v>2</v>
      </c>
      <c r="AO491" s="153" t="n">
        <f aca="false">IF(AND($N491="MND",$Q491="EMBOQUE"),$AN491*2*2,IF(AND($N491="VCA",$Q491="LINEAR"),$M491*2,IF(AND($N491="VCA",$Q491="PREDIAL"),0,0)))</f>
        <v>476.48</v>
      </c>
      <c r="AP491" s="153" t="n">
        <f aca="false">IFERROR($M491*$AF491*$AG491,0)</f>
        <v>211.068728</v>
      </c>
      <c r="AQ491" s="153" t="n">
        <f aca="false">IFERROR(IF(AND($N491="VCA",$AH491&gt;0),$M491*$AG491*$AH491,0),0)</f>
        <v>15.4856</v>
      </c>
      <c r="AR491" s="153" t="n">
        <f aca="false">IFERROR(IF(AND($N491="VCA",$AJ491&gt;0),($M491*$AG491*$AJ491)-$AI491,0),0)</f>
        <v>55.4700754772207</v>
      </c>
      <c r="AS491" s="153" t="n">
        <f aca="false">IFERROR(IF(AND($N491="VCA",$AP491&gt;0),$AP491-$AI491-$AQ491-$AR491,0),0)</f>
        <v>139.3704</v>
      </c>
      <c r="AT491" s="153" t="n">
        <f aca="false">IFERROR(IF($N491="VCA",INDEX(APOIO_REDES!$A:$W,MATCH($C491&amp;$I491&amp;$H491&amp;$N491&amp;$O491,APOIO_REDES!$W:$W,0),MATCH(AT$5,APOIO_REDES!$5:$5,0)),0)*$AP491,0)</f>
        <v>2.29649023379455</v>
      </c>
      <c r="AU491" s="153" t="n">
        <f aca="false">IFERROR(IF($N491="VCA",INDEX(APOIO_REDES!$A:$W,MATCH($C491&amp;$I491&amp;$H491&amp;$N491&amp;$O491,APOIO_REDES!$W:$W,0),MATCH(AU$5,APOIO_REDES!$5:$5,0)),0)*$AP491,0)</f>
        <v>1.83391490386496</v>
      </c>
      <c r="AV491" s="153" t="n">
        <f aca="false">IFERROR(IF($N491="VCA",INDEX(APOIO_REDES!$A:$W,MATCH($C491&amp;$I491&amp;$H491&amp;$N491&amp;$O491,APOIO_REDES!$W:$W,0),MATCH(AV$5,APOIO_REDES!$5:$5,0)),0)*$AP491,0)</f>
        <v>0.253799425898445</v>
      </c>
      <c r="AW491" s="153" t="n">
        <f aca="false">IFERROR(IF($N491="VCA",INDEX(APOIO_REDES!$A:$W,MATCH($C491&amp;$I491&amp;$H491&amp;$N491&amp;$O491,APOIO_REDES!$W:$W,0),MATCH(AW$5,APOIO_REDES!$5:$5,0)),0)*$AP491,0)</f>
        <v>144.87921033951</v>
      </c>
      <c r="AX491" s="153" t="n">
        <f aca="false">IFERROR(IF($N491="VCA",INDEX(APOIO_REDES!$A:$W,MATCH($C491&amp;$I491&amp;$H491&amp;$N491&amp;$O491,APOIO_REDES!$W:$W,0),MATCH(AX$5,APOIO_REDES!$5:$5,0)),0)*$AP491,0)</f>
        <v>20.0508700147457</v>
      </c>
      <c r="AY491" s="153" t="n">
        <f aca="false">IFERROR(IF($N491="VCA",INDEX(APOIO_REDES!$A:$W,MATCH($C491&amp;$I491&amp;$H491&amp;$N491&amp;$O491,APOIO_REDES!$W:$W,0),MATCH(AY$5,APOIO_REDES!$5:$5,0)),0)*$AP491,0)</f>
        <v>36.6782757220253</v>
      </c>
      <c r="AZ491" s="153" t="n">
        <f aca="false">IFERROR(IF($N491="VCA",INDEX(APOIO_REDES!$A:$W,MATCH($C491&amp;$I491&amp;$H491&amp;$N491&amp;$O491,APOIO_REDES!$W:$W,0),MATCH(AZ$5,APOIO_REDES!$5:$5,0)),0)*$AP491,0)</f>
        <v>5.07616736016102</v>
      </c>
      <c r="BA491" s="153" t="n">
        <f aca="false">IFERROR(IF(AND($N491="VCA",$Q491="LINEAR"),INDEX(APOIO_REDES!$A:$W,MATCH($C491&amp;$I491&amp;$H491&amp;$N491&amp;$O491,APOIO_REDES!$W:$W,0),MATCH(BA$5,APOIO_REDES!$5:$5,0)),IF(AND($N491="MND",$Q491="EMBOQUE"),INDEX(APOIO_REDES!$A:$W,MATCH($C491&amp;$I491&amp;$H491&amp;$N491&amp;$O491,APOIO_REDES!$W:$W,0),MATCH(BA$5,APOIO_REDES!$5:$5,0)),0))*$M491/10,0)</f>
        <v>19.2015430586069</v>
      </c>
      <c r="BB491" s="153" t="n">
        <f aca="false">IFERROR(IF($N491="VCA",INDEX(APOIO_REDES!$A:$W,MATCH($C491&amp;$I491&amp;$H491&amp;$N491&amp;$O491,APOIO_REDES!$W:$W,0),MATCH(BB$5,APOIO_REDES!$5:$5,0)),0)*($AI491+$AQ491+$AR491),0)</f>
        <v>70.9182289697382</v>
      </c>
      <c r="BC491" s="153" t="n">
        <f aca="false">IFERROR(IF($N491="VCA",INDEX(APOIO_REDES!$A:$W,MATCH($C491&amp;$I491&amp;$H491&amp;$N491&amp;$O491,APOIO_REDES!$W:$W,0),MATCH(BC$5,APOIO_REDES!$5:$5,0)),0)*($AI491+$AQ491+$AR491),0)</f>
        <v>0.780099030261833</v>
      </c>
      <c r="BD491" s="153" t="n">
        <f aca="false">IF(AND($N491="VCA",$AF491&gt;=1.25,$AF491&lt;1.5),$M491*$AF491*2,0)</f>
        <v>649.44224</v>
      </c>
      <c r="BE491" s="153" t="n">
        <f aca="false">IF(AND($N491="VCA",$AF491&gt;=1.5,$AF491&lt;3),$M491*$AF491*2,0)</f>
        <v>0</v>
      </c>
      <c r="BF491" s="153" t="n">
        <f aca="false">IF(AND($N491="VCA",$AF491&gt;=3),$M491*$AF491*2,0)</f>
        <v>0</v>
      </c>
      <c r="BG491" s="153" t="n">
        <f aca="false">($BB491+$BC491)*$AK491</f>
        <v>243.7743152</v>
      </c>
      <c r="BH491" s="153" t="n">
        <f aca="false">IF(AND($M491&lt;&gt;"",$N491="VCA",$Q491="LINEAR"),($M491*2)/100,IF(AND($M491&lt;&gt;"",$N491="MND",$Q491="EMBOQUE"),($AN491*2)/100,0))</f>
        <v>4.7648</v>
      </c>
      <c r="BI491" s="153" t="n">
        <f aca="false">IF(AND($M491&lt;&gt;"",$N491="VCA",$Q491="LINEAR"),$M491,IF(AND($M491&lt;&gt;"",$N491="MND",$Q491="EMBOQUE"),$AN491*2,0))</f>
        <v>238.24</v>
      </c>
      <c r="BJ491" s="153" t="n">
        <f aca="false">IF(AND($M491&lt;&gt;"",$N491="VCA",$Q491="LINEAR"),($M491*6.8)/100,IF(AND($M491&lt;&gt;"",$N491="MND",$Q491="EMBOQUE"),($AN491*2*6.8)/100,0))</f>
        <v>16.20032</v>
      </c>
      <c r="BK491" s="153" t="n">
        <f aca="false">IF(AND($M491&lt;&gt;"",$N491="VCA",$Q491="LINEAR"),($M491*2.5)/50,IF(AND($M491&lt;&gt;"",$N491="MND",$Q491="EMBOQUE"),($AN491*2*2.5)/50,0))</f>
        <v>11.912</v>
      </c>
      <c r="BL491" s="157" t="str">
        <f aca="false">K491&amp;J491</f>
        <v>Zona05REDES</v>
      </c>
      <c r="BM491" s="152" t="s">
        <v>3356</v>
      </c>
      <c r="BN491" s="152" t="s">
        <v>1560</v>
      </c>
      <c r="BO491" s="152" t="s">
        <v>2231</v>
      </c>
      <c r="BP491" s="152" t="s">
        <v>3400</v>
      </c>
      <c r="BQ491" s="152" t="s">
        <v>3401</v>
      </c>
      <c r="BR491" s="152" t="s">
        <v>3402</v>
      </c>
      <c r="BS491" s="152" t="n">
        <v>203168.393</v>
      </c>
      <c r="BT491" s="152" t="n">
        <v>8237668.61</v>
      </c>
      <c r="BU491" s="152" t="n">
        <v>203051.601</v>
      </c>
      <c r="BV491" s="152" t="n">
        <v>8237466.812</v>
      </c>
      <c r="BW491" s="152" t="n">
        <v>-15.9233605</v>
      </c>
      <c r="BX491" s="152" t="n">
        <v>-47.7729373</v>
      </c>
      <c r="BY491" s="152" t="s">
        <v>3400</v>
      </c>
    </row>
    <row r="492" customFormat="false" ht="13.8" hidden="false" customHeight="false" outlineLevel="0" collapsed="false">
      <c r="A492" s="149" t="n">
        <f aca="false">IF(C492&lt;&gt;"",ROW(A487),"")</f>
        <v>487</v>
      </c>
      <c r="B492" s="150" t="str">
        <f aca="false">HYPERLINK("https://www.google.com/maps/dir/-15.917302,-47.760003/-15.9236591,-47.7748873/data=!4m3!4m2!3e0!5i1")</f>
        <v>https://www.google.com/maps/dir/-15.917302,-47.760003/-15.9236591,-47.7748873/data=!4m3!4m2!3e0!5i1</v>
      </c>
      <c r="C492" s="151" t="s">
        <v>117</v>
      </c>
      <c r="D492" s="152" t="s">
        <v>112</v>
      </c>
      <c r="E492" s="152" t="s">
        <v>113</v>
      </c>
      <c r="F492" s="152" t="s">
        <v>117</v>
      </c>
      <c r="G492" s="152" t="s">
        <v>782</v>
      </c>
      <c r="H492" s="152" t="n">
        <v>63</v>
      </c>
      <c r="I492" s="152" t="s">
        <v>115</v>
      </c>
      <c r="J492" s="152" t="s">
        <v>6</v>
      </c>
      <c r="K492" s="152" t="s">
        <v>3352</v>
      </c>
      <c r="L492" s="152" t="s">
        <v>120</v>
      </c>
      <c r="M492" s="153" t="n">
        <f aca="false">59.45</f>
        <v>59.45</v>
      </c>
      <c r="N492" s="152" t="s">
        <v>1548</v>
      </c>
      <c r="O492" s="152" t="s">
        <v>1549</v>
      </c>
      <c r="P492" s="152" t="s">
        <v>1550</v>
      </c>
      <c r="Q492" s="152" t="s">
        <v>1551</v>
      </c>
      <c r="R492" s="154" t="s">
        <v>3403</v>
      </c>
      <c r="S492" s="154" t="s">
        <v>1553</v>
      </c>
      <c r="T492" s="155" t="s">
        <v>2227</v>
      </c>
      <c r="U492" s="152" t="str">
        <f aca="false">RIGHT(T492,7)</f>
        <v>008/037</v>
      </c>
      <c r="V492" s="152" t="s">
        <v>1555</v>
      </c>
      <c r="W492" s="156" t="n">
        <v>45882</v>
      </c>
      <c r="X492" s="152" t="s">
        <v>1594</v>
      </c>
      <c r="Y492" s="152" t="s">
        <v>2242</v>
      </c>
      <c r="Z492" s="152" t="s">
        <v>1557</v>
      </c>
      <c r="AA492" s="153" t="n">
        <v>3.8</v>
      </c>
      <c r="AB492" s="151" t="s">
        <v>3404</v>
      </c>
      <c r="AC492" s="151" t="s">
        <v>186</v>
      </c>
      <c r="AD492" s="151" t="str">
        <f aca="false">CONCATENATE($C492,$I492,$H492,$N492,$J492,$K492)</f>
        <v>TUBO PEADPEAD63VCAREDESZona05</v>
      </c>
      <c r="AE492" s="153" t="n">
        <f aca="false">IFERROR(INDEX(APOIO_REDES!$A:$W,MATCH($C492&amp;$I492&amp;$H492&amp;$N492&amp;$O492,APOIO_REDES!$W:$W,0),MATCH(AE$5,APOIO_REDES!$5:$5,0)),0)</f>
        <v>1.2</v>
      </c>
      <c r="AF492" s="153" t="n">
        <f aca="false">IFERROR(INDEX(APOIO_REDES!$A:$W,MATCH($C492&amp;$I492&amp;$H492&amp;$N492&amp;$O492,APOIO_REDES!$W:$W,0),MATCH(AF$5,APOIO_REDES!$5:$5,0)),0)</f>
        <v>1.363</v>
      </c>
      <c r="AG492" s="153" t="n">
        <f aca="false">IFERROR(INDEX(APOIO_REDES!$A:$W,MATCH($C492&amp;$I492&amp;$H492&amp;$N492&amp;$O492,APOIO_REDES!$W:$W,0),MATCH(AG$5,APOIO_REDES!$5:$5,0)),0)</f>
        <v>0.65</v>
      </c>
      <c r="AH492" s="153" t="n">
        <f aca="false">IFERROR(INDEX(APOIO_REDES!$A:$W,MATCH($C492&amp;$I492&amp;$H492&amp;$N492&amp;$O492,APOIO_REDES!$W:$W,0),MATCH(AH$5,APOIO_REDES!$5:$5,0)),0)</f>
        <v>0.1</v>
      </c>
      <c r="AI492" s="153" t="n">
        <f aca="false">IFERROR(IF($H492&lt;&gt;"",(((($H492/1000)/2)^2)*PI()*$M492),0),0)</f>
        <v>0.18532023371068</v>
      </c>
      <c r="AJ492" s="153" t="n">
        <f aca="false">IFERROR(IF(AND($H492&lt;&gt;"",$I492="FoFo",OR($N492="MND",$N492="VCA"),$Q492="LINEAR"),0,IF(AND($H492&lt;&gt;"",$I492="PEAD",$N492="VCA",$Q492="LINEAR"),($H492/1000)+0.3,IF(AND($H492&lt;&gt;"",$I492="PEAD",$N492="MND",$Q492="EMBOQUE"),0,IF(AND($H492&lt;&gt;"",$I492="PVC",$N492="VCA",$Q492="LINEAR"),($H492/1000)+0.2,IF(AND($H492&lt;&gt;"",$I492="PVC",$N492="MND",$Q492="EMBOQUE"),0,IF(AND($H492&lt;&gt;"",$I492="PEAD",$N492="VCA",$Q492="PREDIAL"),0,0)))))),0)</f>
        <v>0.363</v>
      </c>
      <c r="AK492" s="153" t="n">
        <f aca="false">IF(AA492&lt;&gt;"",AA492,0)</f>
        <v>3.8</v>
      </c>
      <c r="AL492" s="153" t="n">
        <f aca="false">IF(AND($N492="MND",$Q492="EMBOQUE"),$M492,IF(AND($N492="VCA",$Q492="LINEAR"),$M492,IF(AND($N492="VCA",$Q492="PREDIAL"),0,0)))</f>
        <v>59.45</v>
      </c>
      <c r="AM492" s="153" t="n">
        <f aca="false">IF(AND($N492="MND",$Q492="EMBOQUE"),$M492,IF(AND($N492="VCA",$Q492="LINEAR"),$M492,IF(AND($N492="VCA",$Q492="PREDIAL"),0,0)))</f>
        <v>59.45</v>
      </c>
      <c r="AN492" s="153" t="n">
        <f aca="false">ROUND(IF(AND($N492="VCA",$M492&lt;&gt;"",$Q492="LINEAR"),$M492/100,IF(AND($N492="MND",$M492&gt;100,$Q492="EMBOQUE"),$M492/100,0)),0)</f>
        <v>1</v>
      </c>
      <c r="AO492" s="153" t="n">
        <f aca="false">IF(AND($N492="MND",$Q492="EMBOQUE"),$AN492*2*2,IF(AND($N492="VCA",$Q492="LINEAR"),$M492*2,IF(AND($N492="VCA",$Q492="PREDIAL"),0,0)))</f>
        <v>118.9</v>
      </c>
      <c r="AP492" s="153" t="n">
        <f aca="false">IFERROR($M492*$AF492*$AG492,0)</f>
        <v>52.6697275</v>
      </c>
      <c r="AQ492" s="153" t="n">
        <f aca="false">IFERROR(IF(AND($N492="VCA",$AH492&gt;0),$M492*$AG492*$AH492,0),0)</f>
        <v>3.86425</v>
      </c>
      <c r="AR492" s="153" t="n">
        <f aca="false">IFERROR(IF(AND($N492="VCA",$AJ492&gt;0),($M492*$AG492*$AJ492)-$AI492,0),0)</f>
        <v>13.8419072662893</v>
      </c>
      <c r="AS492" s="153" t="n">
        <f aca="false">IFERROR(IF(AND($N492="VCA",$AP492&gt;0),$AP492-$AI492-$AQ492-$AR492,0),0)</f>
        <v>34.77825</v>
      </c>
      <c r="AT492" s="153" t="n">
        <f aca="false">IFERROR(IF($N492="VCA",INDEX(APOIO_REDES!$A:$W,MATCH($C492&amp;$I492&amp;$H492&amp;$N492&amp;$O492,APOIO_REDES!$W:$W,0),MATCH(AT$5,APOIO_REDES!$5:$5,0)),0)*$AP492,0)</f>
        <v>0.573062224643579</v>
      </c>
      <c r="AU492" s="153" t="n">
        <f aca="false">IFERROR(IF($N492="VCA",INDEX(APOIO_REDES!$A:$W,MATCH($C492&amp;$I492&amp;$H492&amp;$N492&amp;$O492,APOIO_REDES!$W:$W,0),MATCH(AU$5,APOIO_REDES!$5:$5,0)),0)*$AP492,0)</f>
        <v>0.457631972107002</v>
      </c>
      <c r="AV492" s="153" t="n">
        <f aca="false">IFERROR(IF($N492="VCA",INDEX(APOIO_REDES!$A:$W,MATCH($C492&amp;$I492&amp;$H492&amp;$N492&amp;$O492,APOIO_REDES!$W:$W,0),MATCH(AV$5,APOIO_REDES!$5:$5,0)),0)*$AP492,0)</f>
        <v>0.063332672387771</v>
      </c>
      <c r="AW492" s="153" t="n">
        <f aca="false">IFERROR(IF($N492="VCA",INDEX(APOIO_REDES!$A:$W,MATCH($C492&amp;$I492&amp;$H492&amp;$N492&amp;$O492,APOIO_REDES!$W:$W,0),MATCH(AW$5,APOIO_REDES!$5:$5,0)),0)*$AP492,0)</f>
        <v>36.1529090609632</v>
      </c>
      <c r="AX492" s="153" t="n">
        <f aca="false">IFERROR(IF($N492="VCA",INDEX(APOIO_REDES!$A:$W,MATCH($C492&amp;$I492&amp;$H492&amp;$N492&amp;$O492,APOIO_REDES!$W:$W,0),MATCH(AX$5,APOIO_REDES!$5:$5,0)),0)*$AP492,0)</f>
        <v>5.00345963052648</v>
      </c>
      <c r="AY492" s="153" t="n">
        <f aca="false">IFERROR(IF($N492="VCA",INDEX(APOIO_REDES!$A:$W,MATCH($C492&amp;$I492&amp;$H492&amp;$N492&amp;$O492,APOIO_REDES!$W:$W,0),MATCH(AY$5,APOIO_REDES!$5:$5,0)),0)*$AP492,0)</f>
        <v>9.15263386364339</v>
      </c>
      <c r="AZ492" s="153" t="n">
        <f aca="false">IFERROR(IF($N492="VCA",INDEX(APOIO_REDES!$A:$W,MATCH($C492&amp;$I492&amp;$H492&amp;$N492&amp;$O492,APOIO_REDES!$W:$W,0),MATCH(AZ$5,APOIO_REDES!$5:$5,0)),0)*$AP492,0)</f>
        <v>1.26669807572856</v>
      </c>
      <c r="BA492" s="153" t="n">
        <f aca="false">IFERROR(IF(AND($N492="VCA",$Q492="LINEAR"),INDEX(APOIO_REDES!$A:$W,MATCH($C492&amp;$I492&amp;$H492&amp;$N492&amp;$O492,APOIO_REDES!$W:$W,0),MATCH(BA$5,APOIO_REDES!$5:$5,0)),IF(AND($N492="MND",$Q492="EMBOQUE"),INDEX(APOIO_REDES!$A:$W,MATCH($C492&amp;$I492&amp;$H492&amp;$N492&amp;$O492,APOIO_REDES!$W:$W,0),MATCH(BA$5,APOIO_REDES!$5:$5,0)),0))*$M492/10,0)</f>
        <v>4.79152004211794</v>
      </c>
      <c r="BB492" s="153" t="n">
        <f aca="false">IFERROR(IF($N492="VCA",INDEX(APOIO_REDES!$A:$W,MATCH($C492&amp;$I492&amp;$H492&amp;$N492&amp;$O492,APOIO_REDES!$W:$W,0),MATCH(BB$5,APOIO_REDES!$5:$5,0)),0)*($AI492+$AQ492+$AR492),0)</f>
        <v>17.696812929193</v>
      </c>
      <c r="BC492" s="153" t="n">
        <f aca="false">IFERROR(IF($N492="VCA",INDEX(APOIO_REDES!$A:$W,MATCH($C492&amp;$I492&amp;$H492&amp;$N492&amp;$O492,APOIO_REDES!$W:$W,0),MATCH(BC$5,APOIO_REDES!$5:$5,0)),0)*($AI492+$AQ492+$AR492),0)</f>
        <v>0.194664570807026</v>
      </c>
      <c r="BD492" s="153" t="n">
        <f aca="false">IF(AND($N492="VCA",$AF492&gt;=1.25,$AF492&lt;1.5),$M492*$AF492*2,0)</f>
        <v>162.0607</v>
      </c>
      <c r="BE492" s="153" t="n">
        <f aca="false">IF(AND($N492="VCA",$AF492&gt;=1.5,$AF492&lt;3),$M492*$AF492*2,0)</f>
        <v>0</v>
      </c>
      <c r="BF492" s="153" t="n">
        <f aca="false">IF(AND($N492="VCA",$AF492&gt;=3),$M492*$AF492*2,0)</f>
        <v>0</v>
      </c>
      <c r="BG492" s="153" t="n">
        <f aca="false">($BB492+$BC492)*$AK492</f>
        <v>67.9876145</v>
      </c>
      <c r="BH492" s="153" t="n">
        <f aca="false">IF(AND($M492&lt;&gt;"",$N492="VCA",$Q492="LINEAR"),($M492*2)/100,IF(AND($M492&lt;&gt;"",$N492="MND",$Q492="EMBOQUE"),($AN492*2)/100,0))</f>
        <v>1.189</v>
      </c>
      <c r="BI492" s="153" t="n">
        <f aca="false">IF(AND($M492&lt;&gt;"",$N492="VCA",$Q492="LINEAR"),$M492,IF(AND($M492&lt;&gt;"",$N492="MND",$Q492="EMBOQUE"),$AN492*2,0))</f>
        <v>59.45</v>
      </c>
      <c r="BJ492" s="153" t="n">
        <f aca="false">IF(AND($M492&lt;&gt;"",$N492="VCA",$Q492="LINEAR"),($M492*6.8)/100,IF(AND($M492&lt;&gt;"",$N492="MND",$Q492="EMBOQUE"),($AN492*2*6.8)/100,0))</f>
        <v>4.0426</v>
      </c>
      <c r="BK492" s="153" t="n">
        <f aca="false">IF(AND($M492&lt;&gt;"",$N492="VCA",$Q492="LINEAR"),($M492*2.5)/50,IF(AND($M492&lt;&gt;"",$N492="MND",$Q492="EMBOQUE"),($AN492*2*2.5)/50,0))</f>
        <v>2.9725</v>
      </c>
      <c r="BL492" s="157" t="str">
        <f aca="false">K492&amp;J492</f>
        <v>Zona05REDES</v>
      </c>
      <c r="BM492" s="152" t="s">
        <v>3356</v>
      </c>
      <c r="BN492" s="152" t="s">
        <v>1560</v>
      </c>
      <c r="BO492" s="152" t="s">
        <v>2231</v>
      </c>
      <c r="BP492" s="152" t="s">
        <v>3405</v>
      </c>
      <c r="BQ492" s="152" t="s">
        <v>3392</v>
      </c>
      <c r="BR492" s="152" t="s">
        <v>3406</v>
      </c>
      <c r="BS492" s="152" t="n">
        <v>202898.643</v>
      </c>
      <c r="BT492" s="152" t="n">
        <v>8237534.044</v>
      </c>
      <c r="BU492" s="152" t="n">
        <v>202851.467</v>
      </c>
      <c r="BV492" s="152" t="n">
        <v>8237570.228</v>
      </c>
      <c r="BW492" s="152" t="n">
        <v>-15.9234929</v>
      </c>
      <c r="BX492" s="152" t="n">
        <v>-47.7751052</v>
      </c>
      <c r="BY492" s="152" t="s">
        <v>3405</v>
      </c>
    </row>
    <row r="493" customFormat="false" ht="13.8" hidden="false" customHeight="false" outlineLevel="0" collapsed="false">
      <c r="A493" s="149" t="n">
        <f aca="false">IF(C493&lt;&gt;"",ROW(A488),"")</f>
        <v>488</v>
      </c>
      <c r="B493" s="150" t="str">
        <f aca="false">HYPERLINK("https://www.google.com/maps/dir/-15.917302,-47.760003/-15.9233267,-47.7753231/data=!4m3!4m2!3e0!5i1")</f>
        <v>https://www.google.com/maps/dir/-15.917302,-47.760003/-15.9233267,-47.7753231/data=!4m3!4m2!3e0!5i1</v>
      </c>
      <c r="C493" s="151" t="s">
        <v>117</v>
      </c>
      <c r="D493" s="152" t="s">
        <v>112</v>
      </c>
      <c r="E493" s="152" t="s">
        <v>113</v>
      </c>
      <c r="F493" s="152" t="s">
        <v>117</v>
      </c>
      <c r="G493" s="152" t="s">
        <v>114</v>
      </c>
      <c r="H493" s="152" t="n">
        <v>160</v>
      </c>
      <c r="I493" s="152" t="s">
        <v>115</v>
      </c>
      <c r="J493" s="152" t="s">
        <v>6</v>
      </c>
      <c r="K493" s="152" t="s">
        <v>3352</v>
      </c>
      <c r="L493" s="152" t="s">
        <v>120</v>
      </c>
      <c r="M493" s="153" t="n">
        <f aca="false">49.22</f>
        <v>49.22</v>
      </c>
      <c r="N493" s="152" t="s">
        <v>1548</v>
      </c>
      <c r="O493" s="152" t="s">
        <v>1549</v>
      </c>
      <c r="P493" s="152" t="s">
        <v>1550</v>
      </c>
      <c r="Q493" s="152" t="s">
        <v>1551</v>
      </c>
      <c r="R493" s="154" t="s">
        <v>3407</v>
      </c>
      <c r="S493" s="154" t="s">
        <v>1593</v>
      </c>
      <c r="T493" s="155" t="s">
        <v>2227</v>
      </c>
      <c r="U493" s="152" t="str">
        <f aca="false">RIGHT(T493,7)</f>
        <v>008/037</v>
      </c>
      <c r="V493" s="152" t="s">
        <v>1555</v>
      </c>
      <c r="W493" s="156" t="n">
        <v>45882</v>
      </c>
      <c r="X493" s="152" t="s">
        <v>1594</v>
      </c>
      <c r="Y493" s="152" t="s">
        <v>3408</v>
      </c>
      <c r="Z493" s="152" t="s">
        <v>1557</v>
      </c>
      <c r="AA493" s="153" t="n">
        <v>3.8</v>
      </c>
      <c r="AB493" s="151" t="s">
        <v>3409</v>
      </c>
      <c r="AC493" s="151" t="s">
        <v>505</v>
      </c>
      <c r="AD493" s="151" t="str">
        <f aca="false">CONCATENATE($C493,$I493,$H493,$N493,$J493,$K493)</f>
        <v>TUBO PEADPEAD160VCAREDESZona05</v>
      </c>
      <c r="AE493" s="153" t="n">
        <f aca="false">IFERROR(INDEX(APOIO_REDES!$A:$W,MATCH($C493&amp;$I493&amp;$H493&amp;$N493&amp;$O493,APOIO_REDES!$W:$W,0),MATCH(AE$5,APOIO_REDES!$5:$5,0)),0)</f>
        <v>1.2</v>
      </c>
      <c r="AF493" s="153" t="n">
        <f aca="false">IFERROR(INDEX(APOIO_REDES!$A:$W,MATCH($C493&amp;$I493&amp;$H493&amp;$N493&amp;$O493,APOIO_REDES!$W:$W,0),MATCH(AF$5,APOIO_REDES!$5:$5,0)),0)</f>
        <v>1.46</v>
      </c>
      <c r="AG493" s="153" t="n">
        <f aca="false">IFERROR(INDEX(APOIO_REDES!$A:$W,MATCH($C493&amp;$I493&amp;$H493&amp;$N493&amp;$O493,APOIO_REDES!$W:$W,0),MATCH(AG$5,APOIO_REDES!$5:$5,0)),0)</f>
        <v>0.75</v>
      </c>
      <c r="AH493" s="153" t="n">
        <f aca="false">IFERROR(INDEX(APOIO_REDES!$A:$W,MATCH($C493&amp;$I493&amp;$H493&amp;$N493&amp;$O493,APOIO_REDES!$W:$W,0),MATCH(AH$5,APOIO_REDES!$5:$5,0)),0)</f>
        <v>0.1</v>
      </c>
      <c r="AI493" s="153" t="n">
        <f aca="false">IFERROR(IF($H493&lt;&gt;"",(((($H493/1000)/2)^2)*PI()*$M493),0),0)</f>
        <v>0.989626818622014</v>
      </c>
      <c r="AJ493" s="153" t="n">
        <f aca="false">IFERROR(IF(AND($H493&lt;&gt;"",$I493="FoFo",OR($N493="MND",$N493="VCA"),$Q493="LINEAR"),0,IF(AND($H493&lt;&gt;"",$I493="PEAD",$N493="VCA",$Q493="LINEAR"),($H493/1000)+0.3,IF(AND($H493&lt;&gt;"",$I493="PEAD",$N493="MND",$Q493="EMBOQUE"),0,IF(AND($H493&lt;&gt;"",$I493="PVC",$N493="VCA",$Q493="LINEAR"),($H493/1000)+0.2,IF(AND($H493&lt;&gt;"",$I493="PVC",$N493="MND",$Q493="EMBOQUE"),0,IF(AND($H493&lt;&gt;"",$I493="PEAD",$N493="VCA",$Q493="PREDIAL"),0,0)))))),0)</f>
        <v>0.46</v>
      </c>
      <c r="AK493" s="153" t="n">
        <f aca="false">IF(AA493&lt;&gt;"",AA493,0)</f>
        <v>3.8</v>
      </c>
      <c r="AL493" s="153" t="n">
        <f aca="false">IF(AND($N493="MND",$Q493="EMBOQUE"),$M493,IF(AND($N493="VCA",$Q493="LINEAR"),$M493,IF(AND($N493="VCA",$Q493="PREDIAL"),0,0)))</f>
        <v>49.22</v>
      </c>
      <c r="AM493" s="153" t="n">
        <f aca="false">IF(AND($N493="MND",$Q493="EMBOQUE"),$M493,IF(AND($N493="VCA",$Q493="LINEAR"),$M493,IF(AND($N493="VCA",$Q493="PREDIAL"),0,0)))</f>
        <v>49.22</v>
      </c>
      <c r="AN493" s="153" t="n">
        <f aca="false">ROUND(IF(AND($N493="VCA",$M493&lt;&gt;"",$Q493="LINEAR"),$M493/100,IF(AND($N493="MND",$M493&gt;100,$Q493="EMBOQUE"),$M493/100,0)),0)</f>
        <v>0</v>
      </c>
      <c r="AO493" s="153" t="n">
        <f aca="false">IF(AND($N493="MND",$Q493="EMBOQUE"),$AN493*2*2,IF(AND($N493="VCA",$Q493="LINEAR"),$M493*2,IF(AND($N493="VCA",$Q493="PREDIAL"),0,0)))</f>
        <v>98.44</v>
      </c>
      <c r="AP493" s="153" t="n">
        <f aca="false">IFERROR($M493*$AF493*$AG493,0)</f>
        <v>53.8959</v>
      </c>
      <c r="AQ493" s="153" t="n">
        <f aca="false">IFERROR(IF(AND($N493="VCA",$AH493&gt;0),$M493*$AG493*$AH493,0),0)</f>
        <v>3.6915</v>
      </c>
      <c r="AR493" s="153" t="n">
        <f aca="false">IFERROR(IF(AND($N493="VCA",$AJ493&gt;0),($M493*$AG493*$AJ493)-$AI493,0),0)</f>
        <v>15.991273181378</v>
      </c>
      <c r="AS493" s="153" t="n">
        <f aca="false">IFERROR(IF(AND($N493="VCA",$AP493&gt;0),$AP493-$AI493-$AQ493-$AR493,0),0)</f>
        <v>33.2235</v>
      </c>
      <c r="AT493" s="153" t="n">
        <f aca="false">IFERROR(IF($N493="VCA",INDEX(APOIO_REDES!$A:$W,MATCH($C493&amp;$I493&amp;$H493&amp;$N493&amp;$O493,APOIO_REDES!$W:$W,0),MATCH(AT$5,APOIO_REDES!$5:$5,0)),0)*$AP493,0)</f>
        <v>0.586403344372113</v>
      </c>
      <c r="AU493" s="153" t="n">
        <f aca="false">IFERROR(IF($N493="VCA",INDEX(APOIO_REDES!$A:$W,MATCH($C493&amp;$I493&amp;$H493&amp;$N493&amp;$O493,APOIO_REDES!$W:$W,0),MATCH(AU$5,APOIO_REDES!$5:$5,0)),0)*$AP493,0)</f>
        <v>0.468285828998864</v>
      </c>
      <c r="AV493" s="153" t="n">
        <f aca="false">IFERROR(IF($N493="VCA",INDEX(APOIO_REDES!$A:$W,MATCH($C493&amp;$I493&amp;$H493&amp;$N493&amp;$O493,APOIO_REDES!$W:$W,0),MATCH(AV$5,APOIO_REDES!$5:$5,0)),0)*$AP493,0)</f>
        <v>0.0648070825455489</v>
      </c>
      <c r="AW493" s="153" t="n">
        <f aca="false">IFERROR(IF($N493="VCA",INDEX(APOIO_REDES!$A:$W,MATCH($C493&amp;$I493&amp;$H493&amp;$N493&amp;$O493,APOIO_REDES!$W:$W,0),MATCH(AW$5,APOIO_REDES!$5:$5,0)),0)*$AP493,0)</f>
        <v>36.9945633658114</v>
      </c>
      <c r="AX493" s="153" t="n">
        <f aca="false">IFERROR(IF($N493="VCA",INDEX(APOIO_REDES!$A:$W,MATCH($C493&amp;$I493&amp;$H493&amp;$N493&amp;$O493,APOIO_REDES!$W:$W,0),MATCH(AX$5,APOIO_REDES!$5:$5,0)),0)*$AP493,0)</f>
        <v>5.1199421888198</v>
      </c>
      <c r="AY493" s="153" t="n">
        <f aca="false">IFERROR(IF($N493="VCA",INDEX(APOIO_REDES!$A:$W,MATCH($C493&amp;$I493&amp;$H493&amp;$N493&amp;$O493,APOIO_REDES!$W:$W,0),MATCH(AY$5,APOIO_REDES!$5:$5,0)),0)*$AP493,0)</f>
        <v>9.36571087161098</v>
      </c>
      <c r="AZ493" s="153" t="n">
        <f aca="false">IFERROR(IF($N493="VCA",INDEX(APOIO_REDES!$A:$W,MATCH($C493&amp;$I493&amp;$H493&amp;$N493&amp;$O493,APOIO_REDES!$W:$W,0),MATCH(AZ$5,APOIO_REDES!$5:$5,0)),0)*$AP493,0)</f>
        <v>1.29618731784134</v>
      </c>
      <c r="BA493" s="153" t="n">
        <f aca="false">IFERROR(IF(AND($N493="VCA",$Q493="LINEAR"),INDEX(APOIO_REDES!$A:$W,MATCH($C493&amp;$I493&amp;$H493&amp;$N493&amp;$O493,APOIO_REDES!$W:$W,0),MATCH(BA$5,APOIO_REDES!$5:$5,0)),IF(AND($N493="MND",$Q493="EMBOQUE"),INDEX(APOIO_REDES!$A:$W,MATCH($C493&amp;$I493&amp;$H493&amp;$N493&amp;$O493,APOIO_REDES!$W:$W,0),MATCH(BA$5,APOIO_REDES!$5:$5,0)),0))*$M493/10,0)</f>
        <v>3.96700784647679</v>
      </c>
      <c r="BB493" s="153" t="n">
        <f aca="false">IFERROR(IF($N493="VCA",INDEX(APOIO_REDES!$A:$W,MATCH($C493&amp;$I493&amp;$H493&amp;$N493&amp;$O493,APOIO_REDES!$W:$W,0),MATCH(BB$5,APOIO_REDES!$5:$5,0)),0)*($AI493+$AQ493+$AR493),0)</f>
        <v>20.4474781692819</v>
      </c>
      <c r="BC493" s="153" t="n">
        <f aca="false">IFERROR(IF($N493="VCA",INDEX(APOIO_REDES!$A:$W,MATCH($C493&amp;$I493&amp;$H493&amp;$N493&amp;$O493,APOIO_REDES!$W:$W,0),MATCH(BC$5,APOIO_REDES!$5:$5,0)),0)*($AI493+$AQ493+$AR493),0)</f>
        <v>0.224921830718071</v>
      </c>
      <c r="BD493" s="153" t="n">
        <f aca="false">IF(AND($N493="VCA",$AF493&gt;=1.25,$AF493&lt;1.5),$M493*$AF493*2,0)</f>
        <v>143.7224</v>
      </c>
      <c r="BE493" s="153" t="n">
        <f aca="false">IF(AND($N493="VCA",$AF493&gt;=1.5,$AF493&lt;3),$M493*$AF493*2,0)</f>
        <v>0</v>
      </c>
      <c r="BF493" s="153" t="n">
        <f aca="false">IF(AND($N493="VCA",$AF493&gt;=3),$M493*$AF493*2,0)</f>
        <v>0</v>
      </c>
      <c r="BG493" s="153" t="n">
        <f aca="false">($BB493+$BC493)*$AK493</f>
        <v>78.55512</v>
      </c>
      <c r="BH493" s="153" t="n">
        <f aca="false">IF(AND($M493&lt;&gt;"",$N493="VCA",$Q493="LINEAR"),($M493*2)/100,IF(AND($M493&lt;&gt;"",$N493="MND",$Q493="EMBOQUE"),($AN493*2)/100,0))</f>
        <v>0.9844</v>
      </c>
      <c r="BI493" s="153" t="n">
        <f aca="false">IF(AND($M493&lt;&gt;"",$N493="VCA",$Q493="LINEAR"),$M493,IF(AND($M493&lt;&gt;"",$N493="MND",$Q493="EMBOQUE"),$AN493*2,0))</f>
        <v>49.22</v>
      </c>
      <c r="BJ493" s="153" t="n">
        <f aca="false">IF(AND($M493&lt;&gt;"",$N493="VCA",$Q493="LINEAR"),($M493*6.8)/100,IF(AND($M493&lt;&gt;"",$N493="MND",$Q493="EMBOQUE"),($AN493*2*6.8)/100,0))</f>
        <v>3.34696</v>
      </c>
      <c r="BK493" s="153" t="n">
        <f aca="false">IF(AND($M493&lt;&gt;"",$N493="VCA",$Q493="LINEAR"),($M493*2.5)/50,IF(AND($M493&lt;&gt;"",$N493="MND",$Q493="EMBOQUE"),($AN493*2*2.5)/50,0))</f>
        <v>2.461</v>
      </c>
      <c r="BL493" s="157" t="str">
        <f aca="false">K493&amp;J493</f>
        <v>Zona05REDES</v>
      </c>
      <c r="BM493" s="152" t="s">
        <v>3356</v>
      </c>
      <c r="BN493" s="152" t="s">
        <v>1560</v>
      </c>
      <c r="BO493" s="152" t="s">
        <v>2231</v>
      </c>
      <c r="BP493" s="152" t="s">
        <v>3392</v>
      </c>
      <c r="BQ493" s="152" t="s">
        <v>3410</v>
      </c>
      <c r="BR493" s="152" t="s">
        <v>3411</v>
      </c>
      <c r="BS493" s="152" t="n">
        <v>202851.467</v>
      </c>
      <c r="BT493" s="152" t="n">
        <v>8237570.228</v>
      </c>
      <c r="BU493" s="152" t="n">
        <v>202823.517</v>
      </c>
      <c r="BV493" s="152" t="n">
        <v>8237529.746</v>
      </c>
      <c r="BW493" s="152" t="n">
        <v>-15.9235094</v>
      </c>
      <c r="BX493" s="152" t="n">
        <v>-47.7754534</v>
      </c>
      <c r="BY493" s="152" t="s">
        <v>3392</v>
      </c>
    </row>
    <row r="494" customFormat="false" ht="13.8" hidden="false" customHeight="false" outlineLevel="0" collapsed="false">
      <c r="A494" s="149" t="n">
        <f aca="false">IF(C494&lt;&gt;"",ROW(A489),"")</f>
        <v>489</v>
      </c>
      <c r="B494" s="150" t="str">
        <f aca="false">HYPERLINK("https://www.google.com/maps/dir/-15.917302,-47.760003/-15.9235612,-47.7748102/data=!4m3!4m2!3e0!5i1")</f>
        <v>https://www.google.com/maps/dir/-15.917302,-47.760003/-15.9235612,-47.7748102/data=!4m3!4m2!3e0!5i1</v>
      </c>
      <c r="C494" s="151" t="s">
        <v>117</v>
      </c>
      <c r="D494" s="152" t="s">
        <v>112</v>
      </c>
      <c r="E494" s="152" t="s">
        <v>113</v>
      </c>
      <c r="F494" s="152" t="s">
        <v>117</v>
      </c>
      <c r="G494" s="152" t="s">
        <v>782</v>
      </c>
      <c r="H494" s="152" t="n">
        <v>63</v>
      </c>
      <c r="I494" s="152" t="s">
        <v>115</v>
      </c>
      <c r="J494" s="152" t="s">
        <v>6</v>
      </c>
      <c r="K494" s="152" t="s">
        <v>3352</v>
      </c>
      <c r="L494" s="152" t="s">
        <v>120</v>
      </c>
      <c r="M494" s="153" t="n">
        <f aca="false">17.52</f>
        <v>17.52</v>
      </c>
      <c r="N494" s="152" t="s">
        <v>1548</v>
      </c>
      <c r="O494" s="152" t="s">
        <v>1549</v>
      </c>
      <c r="P494" s="152" t="s">
        <v>1550</v>
      </c>
      <c r="Q494" s="152" t="s">
        <v>1551</v>
      </c>
      <c r="R494" s="154" t="s">
        <v>3412</v>
      </c>
      <c r="S494" s="154" t="s">
        <v>1553</v>
      </c>
      <c r="T494" s="155" t="s">
        <v>2227</v>
      </c>
      <c r="U494" s="152" t="str">
        <f aca="false">RIGHT(T494,7)</f>
        <v>008/037</v>
      </c>
      <c r="V494" s="152" t="s">
        <v>1555</v>
      </c>
      <c r="W494" s="156" t="n">
        <v>45882</v>
      </c>
      <c r="X494" s="152" t="s">
        <v>1594</v>
      </c>
      <c r="Y494" s="152" t="s">
        <v>2242</v>
      </c>
      <c r="Z494" s="152" t="s">
        <v>1557</v>
      </c>
      <c r="AA494" s="153" t="n">
        <v>3.8</v>
      </c>
      <c r="AB494" s="151" t="s">
        <v>3413</v>
      </c>
      <c r="AC494" s="151" t="s">
        <v>186</v>
      </c>
      <c r="AD494" s="151" t="str">
        <f aca="false">CONCATENATE($C494,$I494,$H494,$N494,$J494,$K494)</f>
        <v>TUBO PEADPEAD63VCAREDESZona05</v>
      </c>
      <c r="AE494" s="153" t="n">
        <f aca="false">IFERROR(INDEX(APOIO_REDES!$A:$W,MATCH($C494&amp;$I494&amp;$H494&amp;$N494&amp;$O494,APOIO_REDES!$W:$W,0),MATCH(AE$5,APOIO_REDES!$5:$5,0)),0)</f>
        <v>1.2</v>
      </c>
      <c r="AF494" s="153" t="n">
        <f aca="false">IFERROR(INDEX(APOIO_REDES!$A:$W,MATCH($C494&amp;$I494&amp;$H494&amp;$N494&amp;$O494,APOIO_REDES!$W:$W,0),MATCH(AF$5,APOIO_REDES!$5:$5,0)),0)</f>
        <v>1.363</v>
      </c>
      <c r="AG494" s="153" t="n">
        <f aca="false">IFERROR(INDEX(APOIO_REDES!$A:$W,MATCH($C494&amp;$I494&amp;$H494&amp;$N494&amp;$O494,APOIO_REDES!$W:$W,0),MATCH(AG$5,APOIO_REDES!$5:$5,0)),0)</f>
        <v>0.65</v>
      </c>
      <c r="AH494" s="153" t="n">
        <f aca="false">IFERROR(INDEX(APOIO_REDES!$A:$W,MATCH($C494&amp;$I494&amp;$H494&amp;$N494&amp;$O494,APOIO_REDES!$W:$W,0),MATCH(AH$5,APOIO_REDES!$5:$5,0)),0)</f>
        <v>0.1</v>
      </c>
      <c r="AI494" s="153" t="n">
        <f aca="false">IFERROR(IF($H494&lt;&gt;"",(((($H494/1000)/2)^2)*PI()*$M494),0),0)</f>
        <v>0.0546141378403888</v>
      </c>
      <c r="AJ494" s="153" t="n">
        <f aca="false">IFERROR(IF(AND($H494&lt;&gt;"",$I494="FoFo",OR($N494="MND",$N494="VCA"),$Q494="LINEAR"),0,IF(AND($H494&lt;&gt;"",$I494="PEAD",$N494="VCA",$Q494="LINEAR"),($H494/1000)+0.3,IF(AND($H494&lt;&gt;"",$I494="PEAD",$N494="MND",$Q494="EMBOQUE"),0,IF(AND($H494&lt;&gt;"",$I494="PVC",$N494="VCA",$Q494="LINEAR"),($H494/1000)+0.2,IF(AND($H494&lt;&gt;"",$I494="PVC",$N494="MND",$Q494="EMBOQUE"),0,IF(AND($H494&lt;&gt;"",$I494="PEAD",$N494="VCA",$Q494="PREDIAL"),0,0)))))),0)</f>
        <v>0.363</v>
      </c>
      <c r="AK494" s="153" t="n">
        <f aca="false">IF(AA494&lt;&gt;"",AA494,0)</f>
        <v>3.8</v>
      </c>
      <c r="AL494" s="153" t="n">
        <f aca="false">IF(AND($N494="MND",$Q494="EMBOQUE"),$M494,IF(AND($N494="VCA",$Q494="LINEAR"),$M494,IF(AND($N494="VCA",$Q494="PREDIAL"),0,0)))</f>
        <v>17.52</v>
      </c>
      <c r="AM494" s="153" t="n">
        <f aca="false">IF(AND($N494="MND",$Q494="EMBOQUE"),$M494,IF(AND($N494="VCA",$Q494="LINEAR"),$M494,IF(AND($N494="VCA",$Q494="PREDIAL"),0,0)))</f>
        <v>17.52</v>
      </c>
      <c r="AN494" s="153" t="n">
        <f aca="false">ROUND(IF(AND($N494="VCA",$M494&lt;&gt;"",$Q494="LINEAR"),$M494/100,IF(AND($N494="MND",$M494&gt;100,$Q494="EMBOQUE"),$M494/100,0)),0)</f>
        <v>0</v>
      </c>
      <c r="AO494" s="153" t="n">
        <f aca="false">IF(AND($N494="MND",$Q494="EMBOQUE"),$AN494*2*2,IF(AND($N494="VCA",$Q494="LINEAR"),$M494*2,IF(AND($N494="VCA",$Q494="PREDIAL"),0,0)))</f>
        <v>35.04</v>
      </c>
      <c r="AP494" s="153" t="n">
        <f aca="false">IFERROR($M494*$AF494*$AG494,0)</f>
        <v>15.521844</v>
      </c>
      <c r="AQ494" s="153" t="n">
        <f aca="false">IFERROR(IF(AND($N494="VCA",$AH494&gt;0),$M494*$AG494*$AH494,0),0)</f>
        <v>1.1388</v>
      </c>
      <c r="AR494" s="153" t="n">
        <f aca="false">IFERROR(IF(AND($N494="VCA",$AJ494&gt;0),($M494*$AG494*$AJ494)-$AI494,0),0)</f>
        <v>4.07922986215961</v>
      </c>
      <c r="AS494" s="153" t="n">
        <f aca="false">IFERROR(IF(AND($N494="VCA",$AP494&gt;0),$AP494-$AI494-$AQ494-$AR494,0),0)</f>
        <v>10.2492</v>
      </c>
      <c r="AT494" s="153" t="n">
        <f aca="false">IFERROR(IF($N494="VCA",INDEX(APOIO_REDES!$A:$W,MATCH($C494&amp;$I494&amp;$H494&amp;$N494&amp;$O494,APOIO_REDES!$W:$W,0),MATCH(AT$5,APOIO_REDES!$5:$5,0)),0)*$AP494,0)</f>
        <v>0.168882256951312</v>
      </c>
      <c r="AU494" s="153" t="n">
        <f aca="false">IFERROR(IF($N494="VCA",INDEX(APOIO_REDES!$A:$W,MATCH($C494&amp;$I494&amp;$H494&amp;$N494&amp;$O494,APOIO_REDES!$W:$W,0),MATCH(AU$5,APOIO_REDES!$5:$5,0)),0)*$AP494,0)</f>
        <v>0.134864796489734</v>
      </c>
      <c r="AV494" s="153" t="n">
        <f aca="false">IFERROR(IF($N494="VCA",INDEX(APOIO_REDES!$A:$W,MATCH($C494&amp;$I494&amp;$H494&amp;$N494&amp;$O494,APOIO_REDES!$W:$W,0),MATCH(AV$5,APOIO_REDES!$5:$5,0)),0)*$AP494,0)</f>
        <v>0.0186642291040159</v>
      </c>
      <c r="AW494" s="153" t="n">
        <f aca="false">IFERROR(IF($N494="VCA",INDEX(APOIO_REDES!$A:$W,MATCH($C494&amp;$I494&amp;$H494&amp;$N494&amp;$O494,APOIO_REDES!$W:$W,0),MATCH(AW$5,APOIO_REDES!$5:$5,0)),0)*$AP494,0)</f>
        <v>10.6543139907162</v>
      </c>
      <c r="AX494" s="153" t="n">
        <f aca="false">IFERROR(IF($N494="VCA",INDEX(APOIO_REDES!$A:$W,MATCH($C494&amp;$I494&amp;$H494&amp;$N494&amp;$O494,APOIO_REDES!$W:$W,0),MATCH(AX$5,APOIO_REDES!$5:$5,0)),0)*$AP494,0)</f>
        <v>1.47452670692723</v>
      </c>
      <c r="AY494" s="153" t="n">
        <f aca="false">IFERROR(IF($N494="VCA",INDEX(APOIO_REDES!$A:$W,MATCH($C494&amp;$I494&amp;$H494&amp;$N494&amp;$O494,APOIO_REDES!$W:$W,0),MATCH(AY$5,APOIO_REDES!$5:$5,0)),0)*$AP494,0)</f>
        <v>2.69729428580374</v>
      </c>
      <c r="AZ494" s="153" t="n">
        <f aca="false">IFERROR(IF($N494="VCA",INDEX(APOIO_REDES!$A:$W,MATCH($C494&amp;$I494&amp;$H494&amp;$N494&amp;$O494,APOIO_REDES!$W:$W,0),MATCH(AZ$5,APOIO_REDES!$5:$5,0)),0)*$AP494,0)</f>
        <v>0.373297734007812</v>
      </c>
      <c r="BA494" s="153" t="n">
        <f aca="false">IFERROR(IF(AND($N494="VCA",$Q494="LINEAR"),INDEX(APOIO_REDES!$A:$W,MATCH($C494&amp;$I494&amp;$H494&amp;$N494&amp;$O494,APOIO_REDES!$W:$W,0),MATCH(BA$5,APOIO_REDES!$5:$5,0)),IF(AND($N494="MND",$Q494="EMBOQUE"),INDEX(APOIO_REDES!$A:$W,MATCH($C494&amp;$I494&amp;$H494&amp;$N494&amp;$O494,APOIO_REDES!$W:$W,0),MATCH(BA$5,APOIO_REDES!$5:$5,0)),0))*$M494/10,0)</f>
        <v>1.41206780719775</v>
      </c>
      <c r="BB494" s="153" t="n">
        <f aca="false">IFERROR(IF($N494="VCA",INDEX(APOIO_REDES!$A:$W,MATCH($C494&amp;$I494&amp;$H494&amp;$N494&amp;$O494,APOIO_REDES!$W:$W,0),MATCH(BB$5,APOIO_REDES!$5:$5,0)),0)*($AI494+$AQ494+$AR494),0)</f>
        <v>5.21527607265704</v>
      </c>
      <c r="BC494" s="153" t="n">
        <f aca="false">IFERROR(IF($N494="VCA",INDEX(APOIO_REDES!$A:$W,MATCH($C494&amp;$I494&amp;$H494&amp;$N494&amp;$O494,APOIO_REDES!$W:$W,0),MATCH(BC$5,APOIO_REDES!$5:$5,0)),0)*($AI494+$AQ494+$AR494),0)</f>
        <v>0.0573679273429622</v>
      </c>
      <c r="BD494" s="153" t="n">
        <f aca="false">IF(AND($N494="VCA",$AF494&gt;=1.25,$AF494&lt;1.5),$M494*$AF494*2,0)</f>
        <v>47.75952</v>
      </c>
      <c r="BE494" s="153" t="n">
        <f aca="false">IF(AND($N494="VCA",$AF494&gt;=1.5,$AF494&lt;3),$M494*$AF494*2,0)</f>
        <v>0</v>
      </c>
      <c r="BF494" s="153" t="n">
        <f aca="false">IF(AND($N494="VCA",$AF494&gt;=3),$M494*$AF494*2,0)</f>
        <v>0</v>
      </c>
      <c r="BG494" s="153" t="n">
        <f aca="false">($BB494+$BC494)*$AK494</f>
        <v>20.0360472</v>
      </c>
      <c r="BH494" s="153" t="n">
        <f aca="false">IF(AND($M494&lt;&gt;"",$N494="VCA",$Q494="LINEAR"),($M494*2)/100,IF(AND($M494&lt;&gt;"",$N494="MND",$Q494="EMBOQUE"),($AN494*2)/100,0))</f>
        <v>0.3504</v>
      </c>
      <c r="BI494" s="153" t="n">
        <f aca="false">IF(AND($M494&lt;&gt;"",$N494="VCA",$Q494="LINEAR"),$M494,IF(AND($M494&lt;&gt;"",$N494="MND",$Q494="EMBOQUE"),$AN494*2,0))</f>
        <v>17.52</v>
      </c>
      <c r="BJ494" s="153" t="n">
        <f aca="false">IF(AND($M494&lt;&gt;"",$N494="VCA",$Q494="LINEAR"),($M494*6.8)/100,IF(AND($M494&lt;&gt;"",$N494="MND",$Q494="EMBOQUE"),($AN494*2*6.8)/100,0))</f>
        <v>1.19136</v>
      </c>
      <c r="BK494" s="153" t="n">
        <f aca="false">IF(AND($M494&lt;&gt;"",$N494="VCA",$Q494="LINEAR"),($M494*2.5)/50,IF(AND($M494&lt;&gt;"",$N494="MND",$Q494="EMBOQUE"),($AN494*2*2.5)/50,0))</f>
        <v>0.876</v>
      </c>
      <c r="BL494" s="157" t="str">
        <f aca="false">K494&amp;J494</f>
        <v>Zona05REDES</v>
      </c>
      <c r="BM494" s="152" t="s">
        <v>3356</v>
      </c>
      <c r="BN494" s="152" t="s">
        <v>1560</v>
      </c>
      <c r="BO494" s="152" t="s">
        <v>2231</v>
      </c>
      <c r="BP494" s="152" t="s">
        <v>3414</v>
      </c>
      <c r="BQ494" s="152" t="s">
        <v>3405</v>
      </c>
      <c r="BR494" s="152" t="s">
        <v>3415</v>
      </c>
      <c r="BS494" s="152" t="n">
        <v>202906.756</v>
      </c>
      <c r="BT494" s="152" t="n">
        <v>8237544.991</v>
      </c>
      <c r="BU494" s="152" t="n">
        <v>202898.643</v>
      </c>
      <c r="BV494" s="152" t="n">
        <v>8237534.044</v>
      </c>
      <c r="BW494" s="152" t="n">
        <v>-15.9235954</v>
      </c>
      <c r="BX494" s="152" t="n">
        <v>-47.7748389</v>
      </c>
      <c r="BY494" s="152" t="s">
        <v>3414</v>
      </c>
    </row>
    <row r="495" customFormat="false" ht="13.8" hidden="false" customHeight="false" outlineLevel="0" collapsed="false">
      <c r="A495" s="149" t="n">
        <f aca="false">IF(C495&lt;&gt;"",ROW(A490),"")</f>
        <v>490</v>
      </c>
      <c r="B495" s="150" t="str">
        <f aca="false">HYPERLINK("https://www.google.com/maps/dir/-15.917302,-47.760003/-15.9236889,-47.7755889/data=!4m3!4m2!3e0!5i2")</f>
        <v>https://www.google.com/maps/dir/-15.917302,-47.760003/-15.9236889,-47.7755889/data=!4m3!4m2!3e0!5i2</v>
      </c>
      <c r="C495" s="151" t="s">
        <v>117</v>
      </c>
      <c r="D495" s="152" t="s">
        <v>112</v>
      </c>
      <c r="E495" s="152" t="s">
        <v>113</v>
      </c>
      <c r="F495" s="152" t="s">
        <v>117</v>
      </c>
      <c r="G495" s="152" t="s">
        <v>114</v>
      </c>
      <c r="H495" s="152" t="n">
        <v>250</v>
      </c>
      <c r="I495" s="152" t="s">
        <v>115</v>
      </c>
      <c r="J495" s="152" t="s">
        <v>6</v>
      </c>
      <c r="K495" s="152" t="s">
        <v>3352</v>
      </c>
      <c r="L495" s="152" t="s">
        <v>120</v>
      </c>
      <c r="M495" s="153" t="n">
        <f aca="false">379.18</f>
        <v>379.18</v>
      </c>
      <c r="N495" s="152" t="s">
        <v>1548</v>
      </c>
      <c r="O495" s="152" t="s">
        <v>1549</v>
      </c>
      <c r="P495" s="152" t="s">
        <v>1550</v>
      </c>
      <c r="Q495" s="152" t="s">
        <v>1551</v>
      </c>
      <c r="R495" s="154" t="s">
        <v>3416</v>
      </c>
      <c r="S495" s="154" t="s">
        <v>1593</v>
      </c>
      <c r="T495" s="155" t="s">
        <v>2227</v>
      </c>
      <c r="U495" s="152" t="str">
        <f aca="false">RIGHT(T495,7)</f>
        <v>008/037</v>
      </c>
      <c r="V495" s="152" t="s">
        <v>1555</v>
      </c>
      <c r="W495" s="156" t="n">
        <v>45882</v>
      </c>
      <c r="X495" s="152" t="s">
        <v>1594</v>
      </c>
      <c r="Y495" s="152" t="s">
        <v>2242</v>
      </c>
      <c r="Z495" s="152" t="s">
        <v>1557</v>
      </c>
      <c r="AA495" s="153" t="n">
        <v>3.8</v>
      </c>
      <c r="AB495" s="151" t="s">
        <v>3417</v>
      </c>
      <c r="AC495" s="151" t="s">
        <v>511</v>
      </c>
      <c r="AD495" s="151" t="str">
        <f aca="false">CONCATENATE($C495,$I495,$H495,$N495,$J495,$K495)</f>
        <v>TUBO PEADPEAD250VCAREDESZona05</v>
      </c>
      <c r="AE495" s="153" t="n">
        <f aca="false">IFERROR(INDEX(APOIO_REDES!$A:$W,MATCH($C495&amp;$I495&amp;$H495&amp;$N495&amp;$O495,APOIO_REDES!$W:$W,0),MATCH(AE$5,APOIO_REDES!$5:$5,0)),0)</f>
        <v>1.2</v>
      </c>
      <c r="AF495" s="153" t="n">
        <f aca="false">IFERROR(INDEX(APOIO_REDES!$A:$W,MATCH($C495&amp;$I495&amp;$H495&amp;$N495&amp;$O495,APOIO_REDES!$W:$W,0),MATCH(AF$5,APOIO_REDES!$5:$5,0)),0)</f>
        <v>1.55</v>
      </c>
      <c r="AG495" s="153" t="n">
        <f aca="false">IFERROR(INDEX(APOIO_REDES!$A:$W,MATCH($C495&amp;$I495&amp;$H495&amp;$N495&amp;$O495,APOIO_REDES!$W:$W,0),MATCH(AG$5,APOIO_REDES!$5:$5,0)),0)</f>
        <v>0.85</v>
      </c>
      <c r="AH495" s="153" t="n">
        <f aca="false">IFERROR(INDEX(APOIO_REDES!$A:$W,MATCH($C495&amp;$I495&amp;$H495&amp;$N495&amp;$O495,APOIO_REDES!$W:$W,0),MATCH(AH$5,APOIO_REDES!$5:$5,0)),0)</f>
        <v>0.1</v>
      </c>
      <c r="AI495" s="153" t="n">
        <f aca="false">IFERROR(IF($H495&lt;&gt;"",(((($H495/1000)/2)^2)*PI()*$M495),0),0)</f>
        <v>18.6129547248153</v>
      </c>
      <c r="AJ495" s="153" t="n">
        <f aca="false">IFERROR(IF(AND($H495&lt;&gt;"",$I495="FoFo",OR($N495="MND",$N495="VCA"),$Q495="LINEAR"),0,IF(AND($H495&lt;&gt;"",$I495="PEAD",$N495="VCA",$Q495="LINEAR"),($H495/1000)+0.3,IF(AND($H495&lt;&gt;"",$I495="PEAD",$N495="MND",$Q495="EMBOQUE"),0,IF(AND($H495&lt;&gt;"",$I495="PVC",$N495="VCA",$Q495="LINEAR"),($H495/1000)+0.2,IF(AND($H495&lt;&gt;"",$I495="PVC",$N495="MND",$Q495="EMBOQUE"),0,IF(AND($H495&lt;&gt;"",$I495="PEAD",$N495="VCA",$Q495="PREDIAL"),0,0)))))),0)</f>
        <v>0.55</v>
      </c>
      <c r="AK495" s="153" t="n">
        <f aca="false">IF(AA495&lt;&gt;"",AA495,0)</f>
        <v>3.8</v>
      </c>
      <c r="AL495" s="153" t="n">
        <f aca="false">IF(AND($N495="MND",$Q495="EMBOQUE"),$M495,IF(AND($N495="VCA",$Q495="LINEAR"),$M495,IF(AND($N495="VCA",$Q495="PREDIAL"),0,0)))</f>
        <v>379.18</v>
      </c>
      <c r="AM495" s="153" t="n">
        <f aca="false">IF(AND($N495="MND",$Q495="EMBOQUE"),$M495,IF(AND($N495="VCA",$Q495="LINEAR"),$M495,IF(AND($N495="VCA",$Q495="PREDIAL"),0,0)))</f>
        <v>379.18</v>
      </c>
      <c r="AN495" s="153" t="n">
        <f aca="false">ROUND(IF(AND($N495="VCA",$M495&lt;&gt;"",$Q495="LINEAR"),$M495/100,IF(AND($N495="MND",$M495&gt;100,$Q495="EMBOQUE"),$M495/100,0)),0)</f>
        <v>4</v>
      </c>
      <c r="AO495" s="153" t="n">
        <f aca="false">IF(AND($N495="MND",$Q495="EMBOQUE"),$AN495*2*2,IF(AND($N495="VCA",$Q495="LINEAR"),$M495*2,IF(AND($N495="VCA",$Q495="PREDIAL"),0,0)))</f>
        <v>758.36</v>
      </c>
      <c r="AP495" s="153" t="n">
        <f aca="false">IFERROR($M495*$AF495*$AG495,0)</f>
        <v>499.56965</v>
      </c>
      <c r="AQ495" s="153" t="n">
        <f aca="false">IFERROR(IF(AND($N495="VCA",$AH495&gt;0),$M495*$AG495*$AH495,0),0)</f>
        <v>32.2303</v>
      </c>
      <c r="AR495" s="153" t="n">
        <f aca="false">IFERROR(IF(AND($N495="VCA",$AJ495&gt;0),($M495*$AG495*$AJ495)-$AI495,0),0)</f>
        <v>158.653695275185</v>
      </c>
      <c r="AS495" s="153" t="n">
        <f aca="false">IFERROR(IF(AND($N495="VCA",$AP495&gt;0),$AP495-$AI495-$AQ495-$AR495,0),0)</f>
        <v>290.0727</v>
      </c>
      <c r="AT495" s="153" t="n">
        <f aca="false">IFERROR(IF($N495="VCA",INDEX(APOIO_REDES!$A:$W,MATCH($C495&amp;$I495&amp;$H495&amp;$N495&amp;$O495,APOIO_REDES!$W:$W,0),MATCH(AT$5,APOIO_REDES!$5:$5,0)),0)*$AP495,0)</f>
        <v>5.43546565706865</v>
      </c>
      <c r="AU495" s="153" t="n">
        <f aca="false">IFERROR(IF($N495="VCA",INDEX(APOIO_REDES!$A:$W,MATCH($C495&amp;$I495&amp;$H495&amp;$N495&amp;$O495,APOIO_REDES!$W:$W,0),MATCH(AU$5,APOIO_REDES!$5:$5,0)),0)*$AP495,0)</f>
        <v>4.34061566265564</v>
      </c>
      <c r="AV495" s="153" t="n">
        <f aca="false">IFERROR(IF($N495="VCA",INDEX(APOIO_REDES!$A:$W,MATCH($C495&amp;$I495&amp;$H495&amp;$N495&amp;$O495,APOIO_REDES!$W:$W,0),MATCH(AV$5,APOIO_REDES!$5:$5,0)),0)*$AP495,0)</f>
        <v>0.600707132542567</v>
      </c>
      <c r="AW495" s="153" t="n">
        <f aca="false">IFERROR(IF($N495="VCA",INDEX(APOIO_REDES!$A:$W,MATCH($C495&amp;$I495&amp;$H495&amp;$N495&amp;$O495,APOIO_REDES!$W:$W,0),MATCH(AW$5,APOIO_REDES!$5:$5,0)),0)*$AP495,0)</f>
        <v>342.908478614537</v>
      </c>
      <c r="AX495" s="153" t="n">
        <f aca="false">IFERROR(IF($N495="VCA",INDEX(APOIO_REDES!$A:$W,MATCH($C495&amp;$I495&amp;$H495&amp;$N495&amp;$O495,APOIO_REDES!$W:$W,0),MATCH(AX$5,APOIO_REDES!$5:$5,0)),0)*$AP495,0)</f>
        <v>47.4575566469609</v>
      </c>
      <c r="AY495" s="153" t="n">
        <f aca="false">IFERROR(IF($N495="VCA",INDEX(APOIO_REDES!$A:$W,MATCH($C495&amp;$I495&amp;$H495&amp;$N495&amp;$O495,APOIO_REDES!$W:$W,0),MATCH(AY$5,APOIO_REDES!$5:$5,0)),0)*$AP495,0)</f>
        <v>86.8122603413598</v>
      </c>
      <c r="AZ495" s="153" t="n">
        <f aca="false">IFERROR(IF($N495="VCA",INDEX(APOIO_REDES!$A:$W,MATCH($C495&amp;$I495&amp;$H495&amp;$N495&amp;$O495,APOIO_REDES!$W:$W,0),MATCH(AZ$5,APOIO_REDES!$5:$5,0)),0)*$AP495,0)</f>
        <v>12.0145659448759</v>
      </c>
      <c r="BA495" s="153" t="n">
        <f aca="false">IFERROR(IF(AND($N495="VCA",$Q495="LINEAR"),INDEX(APOIO_REDES!$A:$W,MATCH($C495&amp;$I495&amp;$H495&amp;$N495&amp;$O495,APOIO_REDES!$W:$W,0),MATCH(BA$5,APOIO_REDES!$5:$5,0)),IF(AND($N495="MND",$Q495="EMBOQUE"),INDEX(APOIO_REDES!$A:$W,MATCH($C495&amp;$I495&amp;$H495&amp;$N495&amp;$O495,APOIO_REDES!$W:$W,0),MATCH(BA$5,APOIO_REDES!$5:$5,0)),0))*$M495/10,0)</f>
        <v>30.5609515487011</v>
      </c>
      <c r="BB495" s="153" t="n">
        <f aca="false">IFERROR(IF($N495="VCA",INDEX(APOIO_REDES!$A:$W,MATCH($C495&amp;$I495&amp;$H495&amp;$N495&amp;$O495,APOIO_REDES!$W:$W,0),MATCH(BB$5,APOIO_REDES!$5:$5,0)),0)*($AI495+$AQ495+$AR495),0)</f>
        <v>207.217561176068</v>
      </c>
      <c r="BC495" s="153" t="n">
        <f aca="false">IFERROR(IF($N495="VCA",INDEX(APOIO_REDES!$A:$W,MATCH($C495&amp;$I495&amp;$H495&amp;$N495&amp;$O495,APOIO_REDES!$W:$W,0),MATCH(BC$5,APOIO_REDES!$5:$5,0)),0)*($AI495+$AQ495+$AR495),0)</f>
        <v>2.27938882393201</v>
      </c>
      <c r="BD495" s="153" t="n">
        <f aca="false">IF(AND($N495="VCA",$AF495&gt;=1.25,$AF495&lt;1.5),$M495*$AF495*2,0)</f>
        <v>0</v>
      </c>
      <c r="BE495" s="153" t="n">
        <f aca="false">IF(AND($N495="VCA",$AF495&gt;=1.5,$AF495&lt;3),$M495*$AF495*2,0)</f>
        <v>1175.458</v>
      </c>
      <c r="BF495" s="153" t="n">
        <f aca="false">IF(AND($N495="VCA",$AF495&gt;=3),$M495*$AF495*2,0)</f>
        <v>0</v>
      </c>
      <c r="BG495" s="153" t="n">
        <f aca="false">($BB495+$BC495)*$AK495</f>
        <v>796.08841</v>
      </c>
      <c r="BH495" s="153" t="n">
        <f aca="false">IF(AND($M495&lt;&gt;"",$N495="VCA",$Q495="LINEAR"),($M495*2)/100,IF(AND($M495&lt;&gt;"",$N495="MND",$Q495="EMBOQUE"),($AN495*2)/100,0))</f>
        <v>7.5836</v>
      </c>
      <c r="BI495" s="153" t="n">
        <f aca="false">IF(AND($M495&lt;&gt;"",$N495="VCA",$Q495="LINEAR"),$M495,IF(AND($M495&lt;&gt;"",$N495="MND",$Q495="EMBOQUE"),$AN495*2,0))</f>
        <v>379.18</v>
      </c>
      <c r="BJ495" s="153" t="n">
        <f aca="false">IF(AND($M495&lt;&gt;"",$N495="VCA",$Q495="LINEAR"),($M495*6.8)/100,IF(AND($M495&lt;&gt;"",$N495="MND",$Q495="EMBOQUE"),($AN495*2*6.8)/100,0))</f>
        <v>25.78424</v>
      </c>
      <c r="BK495" s="153" t="n">
        <f aca="false">IF(AND($M495&lt;&gt;"",$N495="VCA",$Q495="LINEAR"),($M495*2.5)/50,IF(AND($M495&lt;&gt;"",$N495="MND",$Q495="EMBOQUE"),($AN495*2*2.5)/50,0))</f>
        <v>18.959</v>
      </c>
      <c r="BL495" s="157" t="str">
        <f aca="false">K495&amp;J495</f>
        <v>Zona05REDES</v>
      </c>
      <c r="BM495" s="152" t="s">
        <v>3356</v>
      </c>
      <c r="BN495" s="152" t="s">
        <v>1560</v>
      </c>
      <c r="BO495" s="152" t="s">
        <v>2231</v>
      </c>
      <c r="BP495" s="152" t="s">
        <v>2032</v>
      </c>
      <c r="BQ495" s="152" t="s">
        <v>2032</v>
      </c>
      <c r="BR495" s="152" t="s">
        <v>3418</v>
      </c>
      <c r="BS495" s="152" t="n">
        <v>202926.123</v>
      </c>
      <c r="BT495" s="152" t="n">
        <v>8237692.588</v>
      </c>
      <c r="BU495" s="152" t="n">
        <v>202859.501</v>
      </c>
      <c r="BV495" s="152" t="n">
        <v>8237376.551</v>
      </c>
      <c r="BW495" s="152" t="n">
        <v>-15.9236549</v>
      </c>
      <c r="BX495" s="152" t="n">
        <v>-47.7755866</v>
      </c>
      <c r="BY495" s="152" t="s">
        <v>3410</v>
      </c>
    </row>
    <row r="496" customFormat="false" ht="13.8" hidden="false" customHeight="false" outlineLevel="0" collapsed="false">
      <c r="A496" s="149" t="n">
        <f aca="false">IF(C496&lt;&gt;"",ROW(A491),"")</f>
        <v>491</v>
      </c>
      <c r="B496" s="150" t="str">
        <f aca="false">HYPERLINK("https://www.google.com/maps/dir/-15.917302,-47.760003/-15.9236591,-47.7748873/data=!4m3!4m2!3e0!5i1")</f>
        <v>https://www.google.com/maps/dir/-15.917302,-47.760003/-15.9236591,-47.7748873/data=!4m3!4m2!3e0!5i1</v>
      </c>
      <c r="C496" s="151" t="s">
        <v>117</v>
      </c>
      <c r="D496" s="152" t="s">
        <v>112</v>
      </c>
      <c r="E496" s="152" t="s">
        <v>113</v>
      </c>
      <c r="F496" s="152" t="s">
        <v>117</v>
      </c>
      <c r="G496" s="152" t="s">
        <v>782</v>
      </c>
      <c r="H496" s="152" t="n">
        <v>63</v>
      </c>
      <c r="I496" s="152" t="s">
        <v>115</v>
      </c>
      <c r="J496" s="152" t="s">
        <v>6</v>
      </c>
      <c r="K496" s="152" t="s">
        <v>3352</v>
      </c>
      <c r="L496" s="152" t="s">
        <v>120</v>
      </c>
      <c r="M496" s="153" t="n">
        <f aca="false">15.83+4</f>
        <v>19.83</v>
      </c>
      <c r="N496" s="152" t="s">
        <v>1548</v>
      </c>
      <c r="O496" s="152" t="s">
        <v>1549</v>
      </c>
      <c r="P496" s="152" t="s">
        <v>1550</v>
      </c>
      <c r="Q496" s="152" t="s">
        <v>1551</v>
      </c>
      <c r="R496" s="154" t="s">
        <v>3419</v>
      </c>
      <c r="S496" s="154" t="s">
        <v>1553</v>
      </c>
      <c r="T496" s="155" t="s">
        <v>2227</v>
      </c>
      <c r="U496" s="152" t="str">
        <f aca="false">RIGHT(T496,7)</f>
        <v>008/037</v>
      </c>
      <c r="V496" s="152" t="s">
        <v>1555</v>
      </c>
      <c r="W496" s="156" t="n">
        <v>45882</v>
      </c>
      <c r="X496" s="152" t="s">
        <v>1594</v>
      </c>
      <c r="Y496" s="152" t="s">
        <v>2242</v>
      </c>
      <c r="Z496" s="152" t="s">
        <v>1557</v>
      </c>
      <c r="AA496" s="153" t="n">
        <v>3.8</v>
      </c>
      <c r="AB496" s="151" t="s">
        <v>3420</v>
      </c>
      <c r="AC496" s="151" t="s">
        <v>186</v>
      </c>
      <c r="AD496" s="151" t="str">
        <f aca="false">CONCATENATE($C496,$I496,$H496,$N496,$J496,$K496)</f>
        <v>TUBO PEADPEAD63VCAREDESZona05</v>
      </c>
      <c r="AE496" s="153" t="n">
        <f aca="false">IFERROR(INDEX(APOIO_REDES!$A:$W,MATCH($C496&amp;$I496&amp;$H496&amp;$N496&amp;$O496,APOIO_REDES!$W:$W,0),MATCH(AE$5,APOIO_REDES!$5:$5,0)),0)</f>
        <v>1.2</v>
      </c>
      <c r="AF496" s="153" t="n">
        <f aca="false">IFERROR(INDEX(APOIO_REDES!$A:$W,MATCH($C496&amp;$I496&amp;$H496&amp;$N496&amp;$O496,APOIO_REDES!$W:$W,0),MATCH(AF$5,APOIO_REDES!$5:$5,0)),0)</f>
        <v>1.363</v>
      </c>
      <c r="AG496" s="153" t="n">
        <f aca="false">IFERROR(INDEX(APOIO_REDES!$A:$W,MATCH($C496&amp;$I496&amp;$H496&amp;$N496&amp;$O496,APOIO_REDES!$W:$W,0),MATCH(AG$5,APOIO_REDES!$5:$5,0)),0)</f>
        <v>0.65</v>
      </c>
      <c r="AH496" s="153" t="n">
        <f aca="false">IFERROR(INDEX(APOIO_REDES!$A:$W,MATCH($C496&amp;$I496&amp;$H496&amp;$N496&amp;$O496,APOIO_REDES!$W:$W,0),MATCH(AH$5,APOIO_REDES!$5:$5,0)),0)</f>
        <v>0.1</v>
      </c>
      <c r="AI496" s="153" t="n">
        <f aca="false">IFERROR(IF($H496&lt;&gt;"",(((($H496/1000)/2)^2)*PI()*$M496),0),0)</f>
        <v>0.0618149745077003</v>
      </c>
      <c r="AJ496" s="153" t="n">
        <f aca="false">IFERROR(IF(AND($H496&lt;&gt;"",$I496="FoFo",OR($N496="MND",$N496="VCA"),$Q496="LINEAR"),0,IF(AND($H496&lt;&gt;"",$I496="PEAD",$N496="VCA",$Q496="LINEAR"),($H496/1000)+0.3,IF(AND($H496&lt;&gt;"",$I496="PEAD",$N496="MND",$Q496="EMBOQUE"),0,IF(AND($H496&lt;&gt;"",$I496="PVC",$N496="VCA",$Q496="LINEAR"),($H496/1000)+0.2,IF(AND($H496&lt;&gt;"",$I496="PVC",$N496="MND",$Q496="EMBOQUE"),0,IF(AND($H496&lt;&gt;"",$I496="PEAD",$N496="VCA",$Q496="PREDIAL"),0,0)))))),0)</f>
        <v>0.363</v>
      </c>
      <c r="AK496" s="153" t="n">
        <f aca="false">IF(AA496&lt;&gt;"",AA496,0)</f>
        <v>3.8</v>
      </c>
      <c r="AL496" s="153" t="n">
        <f aca="false">IF(AND($N496="MND",$Q496="EMBOQUE"),$M496,IF(AND($N496="VCA",$Q496="LINEAR"),$M496,IF(AND($N496="VCA",$Q496="PREDIAL"),0,0)))</f>
        <v>19.83</v>
      </c>
      <c r="AM496" s="153" t="n">
        <f aca="false">IF(AND($N496="MND",$Q496="EMBOQUE"),$M496,IF(AND($N496="VCA",$Q496="LINEAR"),$M496,IF(AND($N496="VCA",$Q496="PREDIAL"),0,0)))</f>
        <v>19.83</v>
      </c>
      <c r="AN496" s="153" t="n">
        <f aca="false">ROUND(IF(AND($N496="VCA",$M496&lt;&gt;"",$Q496="LINEAR"),$M496/100,IF(AND($N496="MND",$M496&gt;100,$Q496="EMBOQUE"),$M496/100,0)),0)</f>
        <v>0</v>
      </c>
      <c r="AO496" s="153" t="n">
        <f aca="false">IF(AND($N496="MND",$Q496="EMBOQUE"),$AN496*2*2,IF(AND($N496="VCA",$Q496="LINEAR"),$M496*2,IF(AND($N496="VCA",$Q496="PREDIAL"),0,0)))</f>
        <v>39.66</v>
      </c>
      <c r="AP496" s="153" t="n">
        <f aca="false">IFERROR($M496*$AF496*$AG496,0)</f>
        <v>17.5683885</v>
      </c>
      <c r="AQ496" s="153" t="n">
        <f aca="false">IFERROR(IF(AND($N496="VCA",$AH496&gt;0),$M496*$AG496*$AH496,0),0)</f>
        <v>1.28895</v>
      </c>
      <c r="AR496" s="153" t="n">
        <f aca="false">IFERROR(IF(AND($N496="VCA",$AJ496&gt;0),($M496*$AG496*$AJ496)-$AI496,0),0)</f>
        <v>4.6170735254923</v>
      </c>
      <c r="AS496" s="153" t="n">
        <f aca="false">IFERROR(IF(AND($N496="VCA",$AP496&gt;0),$AP496-$AI496-$AQ496-$AR496,0),0)</f>
        <v>11.60055</v>
      </c>
      <c r="AT496" s="153" t="n">
        <f aca="false">IFERROR(IF($N496="VCA",INDEX(APOIO_REDES!$A:$W,MATCH($C496&amp;$I496&amp;$H496&amp;$N496&amp;$O496,APOIO_REDES!$W:$W,0),MATCH(AT$5,APOIO_REDES!$5:$5,0)),0)*$AP496,0)</f>
        <v>0.191149266857564</v>
      </c>
      <c r="AU496" s="153" t="n">
        <f aca="false">IFERROR(IF($N496="VCA",INDEX(APOIO_REDES!$A:$W,MATCH($C496&amp;$I496&amp;$H496&amp;$N496&amp;$O496,APOIO_REDES!$W:$W,0),MATCH(AU$5,APOIO_REDES!$5:$5,0)),0)*$AP496,0)</f>
        <v>0.152646627533757</v>
      </c>
      <c r="AV496" s="153" t="n">
        <f aca="false">IFERROR(IF($N496="VCA",INDEX(APOIO_REDES!$A:$W,MATCH($C496&amp;$I496&amp;$H496&amp;$N496&amp;$O496,APOIO_REDES!$W:$W,0),MATCH(AV$5,APOIO_REDES!$5:$5,0)),0)*$AP496,0)</f>
        <v>0.0211250949276619</v>
      </c>
      <c r="AW496" s="153" t="n">
        <f aca="false">IFERROR(IF($N496="VCA",INDEX(APOIO_REDES!$A:$W,MATCH($C496&amp;$I496&amp;$H496&amp;$N496&amp;$O496,APOIO_REDES!$W:$W,0),MATCH(AW$5,APOIO_REDES!$5:$5,0)),0)*$AP496,0)</f>
        <v>12.0590779929167</v>
      </c>
      <c r="AX496" s="153" t="n">
        <f aca="false">IFERROR(IF($N496="VCA",INDEX(APOIO_REDES!$A:$W,MATCH($C496&amp;$I496&amp;$H496&amp;$N496&amp;$O496,APOIO_REDES!$W:$W,0),MATCH(AX$5,APOIO_REDES!$5:$5,0)),0)*$AP496,0)</f>
        <v>1.66894204328579</v>
      </c>
      <c r="AY496" s="153" t="n">
        <f aca="false">IFERROR(IF($N496="VCA",INDEX(APOIO_REDES!$A:$W,MATCH($C496&amp;$I496&amp;$H496&amp;$N496&amp;$O496,APOIO_REDES!$W:$W,0),MATCH(AY$5,APOIO_REDES!$5:$5,0)),0)*$AP496,0)</f>
        <v>3.05293068992512</v>
      </c>
      <c r="AZ496" s="153" t="n">
        <f aca="false">IFERROR(IF($N496="VCA",INDEX(APOIO_REDES!$A:$W,MATCH($C496&amp;$I496&amp;$H496&amp;$N496&amp;$O496,APOIO_REDES!$W:$W,0),MATCH(AZ$5,APOIO_REDES!$5:$5,0)),0)*$AP496,0)</f>
        <v>0.422516784553363</v>
      </c>
      <c r="BA496" s="153" t="n">
        <f aca="false">IFERROR(IF(AND($N496="VCA",$Q496="LINEAR"),INDEX(APOIO_REDES!$A:$W,MATCH($C496&amp;$I496&amp;$H496&amp;$N496&amp;$O496,APOIO_REDES!$W:$W,0),MATCH(BA$5,APOIO_REDES!$5:$5,0)),IF(AND($N496="MND",$Q496="EMBOQUE"),INDEX(APOIO_REDES!$A:$W,MATCH($C496&amp;$I496&amp;$H496&amp;$N496&amp;$O496,APOIO_REDES!$W:$W,0),MATCH(BA$5,APOIO_REDES!$5:$5,0)),0))*$M496/10,0)</f>
        <v>1.59824798040704</v>
      </c>
      <c r="BB496" s="153" t="n">
        <f aca="false">IFERROR(IF($N496="VCA",INDEX(APOIO_REDES!$A:$W,MATCH($C496&amp;$I496&amp;$H496&amp;$N496&amp;$O496,APOIO_REDES!$W:$W,0),MATCH(BB$5,APOIO_REDES!$5:$5,0)),0)*($AI496+$AQ496+$AR496),0)</f>
        <v>5.90290665072997</v>
      </c>
      <c r="BC496" s="153" t="n">
        <f aca="false">IFERROR(IF($N496="VCA",INDEX(APOIO_REDES!$A:$W,MATCH($C496&amp;$I496&amp;$H496&amp;$N496&amp;$O496,APOIO_REDES!$W:$W,0),MATCH(BC$5,APOIO_REDES!$5:$5,0)),0)*($AI496+$AQ496+$AR496),0)</f>
        <v>0.0649318492700308</v>
      </c>
      <c r="BD496" s="153" t="n">
        <f aca="false">IF(AND($N496="VCA",$AF496&gt;=1.25,$AF496&lt;1.5),$M496*$AF496*2,0)</f>
        <v>54.05658</v>
      </c>
      <c r="BE496" s="153" t="n">
        <f aca="false">IF(AND($N496="VCA",$AF496&gt;=1.5,$AF496&lt;3),$M496*$AF496*2,0)</f>
        <v>0</v>
      </c>
      <c r="BF496" s="153" t="n">
        <f aca="false">IF(AND($N496="VCA",$AF496&gt;=3),$M496*$AF496*2,0)</f>
        <v>0</v>
      </c>
      <c r="BG496" s="153" t="n">
        <f aca="false">($BB496+$BC496)*$AK496</f>
        <v>22.6777863</v>
      </c>
      <c r="BH496" s="153" t="n">
        <f aca="false">IF(AND($M496&lt;&gt;"",$N496="VCA",$Q496="LINEAR"),($M496*2)/100,IF(AND($M496&lt;&gt;"",$N496="MND",$Q496="EMBOQUE"),($AN496*2)/100,0))</f>
        <v>0.3966</v>
      </c>
      <c r="BI496" s="153" t="n">
        <f aca="false">IF(AND($M496&lt;&gt;"",$N496="VCA",$Q496="LINEAR"),$M496,IF(AND($M496&lt;&gt;"",$N496="MND",$Q496="EMBOQUE"),$AN496*2,0))</f>
        <v>19.83</v>
      </c>
      <c r="BJ496" s="153" t="n">
        <f aca="false">IF(AND($M496&lt;&gt;"",$N496="VCA",$Q496="LINEAR"),($M496*6.8)/100,IF(AND($M496&lt;&gt;"",$N496="MND",$Q496="EMBOQUE"),($AN496*2*6.8)/100,0))</f>
        <v>1.34844</v>
      </c>
      <c r="BK496" s="153" t="n">
        <f aca="false">IF(AND($M496&lt;&gt;"",$N496="VCA",$Q496="LINEAR"),($M496*2.5)/50,IF(AND($M496&lt;&gt;"",$N496="MND",$Q496="EMBOQUE"),($AN496*2*2.5)/50,0))</f>
        <v>0.9915</v>
      </c>
      <c r="BL496" s="157" t="str">
        <f aca="false">K496&amp;J496</f>
        <v>Zona05REDES</v>
      </c>
      <c r="BM496" s="152" t="s">
        <v>3356</v>
      </c>
      <c r="BN496" s="152" t="s">
        <v>1560</v>
      </c>
      <c r="BO496" s="152" t="s">
        <v>2231</v>
      </c>
      <c r="BP496" s="152" t="s">
        <v>3405</v>
      </c>
      <c r="BQ496" s="152" t="s">
        <v>3421</v>
      </c>
      <c r="BR496" s="152" t="s">
        <v>3422</v>
      </c>
      <c r="BS496" s="152" t="n">
        <v>202898.643</v>
      </c>
      <c r="BT496" s="152" t="n">
        <v>8237534.044</v>
      </c>
      <c r="BU496" s="152" t="n">
        <v>202889.432</v>
      </c>
      <c r="BV496" s="152" t="n">
        <v>8237521.167</v>
      </c>
      <c r="BW496" s="152" t="n">
        <v>-15.9237167</v>
      </c>
      <c r="BX496" s="152" t="n">
        <v>-47.7749311</v>
      </c>
      <c r="BY496" s="152" t="s">
        <v>3405</v>
      </c>
    </row>
    <row r="497" customFormat="false" ht="13.8" hidden="false" customHeight="false" outlineLevel="0" collapsed="false">
      <c r="A497" s="149" t="n">
        <f aca="false">IF(C497&lt;&gt;"",ROW(A492),"")</f>
        <v>492</v>
      </c>
      <c r="B497" s="150" t="str">
        <f aca="false">HYPERLINK("https://www.google.com/maps/dir/-15.917302,-47.760003/-15.9223503,-47.7734470/data=!4m3!4m2!3e0!5i2")</f>
        <v>https://www.google.com/maps/dir/-15.917302,-47.760003/-15.9223503,-47.7734470/data=!4m3!4m2!3e0!5i2</v>
      </c>
      <c r="C497" s="151" t="s">
        <v>117</v>
      </c>
      <c r="D497" s="152" t="s">
        <v>112</v>
      </c>
      <c r="E497" s="152" t="s">
        <v>113</v>
      </c>
      <c r="F497" s="152" t="s">
        <v>117</v>
      </c>
      <c r="G497" s="152" t="s">
        <v>782</v>
      </c>
      <c r="H497" s="152" t="n">
        <v>63</v>
      </c>
      <c r="I497" s="152" t="s">
        <v>115</v>
      </c>
      <c r="J497" s="152" t="s">
        <v>6</v>
      </c>
      <c r="K497" s="152" t="s">
        <v>3352</v>
      </c>
      <c r="L497" s="152" t="s">
        <v>120</v>
      </c>
      <c r="M497" s="153" t="n">
        <f aca="false">360.68+0.15</f>
        <v>360.83</v>
      </c>
      <c r="N497" s="152" t="s">
        <v>1548</v>
      </c>
      <c r="O497" s="152" t="s">
        <v>1549</v>
      </c>
      <c r="P497" s="152" t="s">
        <v>1550</v>
      </c>
      <c r="Q497" s="152" t="s">
        <v>1551</v>
      </c>
      <c r="R497" s="154" t="s">
        <v>3423</v>
      </c>
      <c r="S497" s="154" t="s">
        <v>1553</v>
      </c>
      <c r="T497" s="155" t="s">
        <v>2227</v>
      </c>
      <c r="U497" s="152" t="str">
        <f aca="false">RIGHT(T497,7)</f>
        <v>008/037</v>
      </c>
      <c r="V497" s="152" t="s">
        <v>1555</v>
      </c>
      <c r="W497" s="156" t="n">
        <v>45882</v>
      </c>
      <c r="X497" s="152" t="s">
        <v>1594</v>
      </c>
      <c r="Y497" s="152" t="s">
        <v>3354</v>
      </c>
      <c r="Z497" s="152" t="s">
        <v>1557</v>
      </c>
      <c r="AA497" s="153" t="n">
        <v>3.9</v>
      </c>
      <c r="AB497" s="151" t="s">
        <v>3424</v>
      </c>
      <c r="AC497" s="151" t="s">
        <v>186</v>
      </c>
      <c r="AD497" s="151" t="str">
        <f aca="false">CONCATENATE($C497,$I497,$H497,$N497,$J497,$K497)</f>
        <v>TUBO PEADPEAD63VCAREDESZona05</v>
      </c>
      <c r="AE497" s="153" t="n">
        <f aca="false">IFERROR(INDEX(APOIO_REDES!$A:$W,MATCH($C497&amp;$I497&amp;$H497&amp;$N497&amp;$O497,APOIO_REDES!$W:$W,0),MATCH(AE$5,APOIO_REDES!$5:$5,0)),0)</f>
        <v>1.2</v>
      </c>
      <c r="AF497" s="153" t="n">
        <f aca="false">IFERROR(INDEX(APOIO_REDES!$A:$W,MATCH($C497&amp;$I497&amp;$H497&amp;$N497&amp;$O497,APOIO_REDES!$W:$W,0),MATCH(AF$5,APOIO_REDES!$5:$5,0)),0)</f>
        <v>1.363</v>
      </c>
      <c r="AG497" s="153" t="n">
        <f aca="false">IFERROR(INDEX(APOIO_REDES!$A:$W,MATCH($C497&amp;$I497&amp;$H497&amp;$N497&amp;$O497,APOIO_REDES!$W:$W,0),MATCH(AG$5,APOIO_REDES!$5:$5,0)),0)</f>
        <v>0.65</v>
      </c>
      <c r="AH497" s="153" t="n">
        <f aca="false">IFERROR(INDEX(APOIO_REDES!$A:$W,MATCH($C497&amp;$I497&amp;$H497&amp;$N497&amp;$O497,APOIO_REDES!$W:$W,0),MATCH(AH$5,APOIO_REDES!$5:$5,0)),0)</f>
        <v>0.1</v>
      </c>
      <c r="AI497" s="153" t="n">
        <f aca="false">IFERROR(IF($H497&lt;&gt;"",(((($H497/1000)/2)^2)*PI()*$M497),0),0)</f>
        <v>1.12479562539655</v>
      </c>
      <c r="AJ497" s="153" t="n">
        <f aca="false">IFERROR(IF(AND($H497&lt;&gt;"",$I497="FoFo",OR($N497="MND",$N497="VCA"),$Q497="LINEAR"),0,IF(AND($H497&lt;&gt;"",$I497="PEAD",$N497="VCA",$Q497="LINEAR"),($H497/1000)+0.3,IF(AND($H497&lt;&gt;"",$I497="PEAD",$N497="MND",$Q497="EMBOQUE"),0,IF(AND($H497&lt;&gt;"",$I497="PVC",$N497="VCA",$Q497="LINEAR"),($H497/1000)+0.2,IF(AND($H497&lt;&gt;"",$I497="PVC",$N497="MND",$Q497="EMBOQUE"),0,IF(AND($H497&lt;&gt;"",$I497="PEAD",$N497="VCA",$Q497="PREDIAL"),0,0)))))),0)</f>
        <v>0.363</v>
      </c>
      <c r="AK497" s="153" t="n">
        <f aca="false">IF(AA497&lt;&gt;"",AA497,0)</f>
        <v>3.9</v>
      </c>
      <c r="AL497" s="153" t="n">
        <f aca="false">IF(AND($N497="MND",$Q497="EMBOQUE"),$M497,IF(AND($N497="VCA",$Q497="LINEAR"),$M497,IF(AND($N497="VCA",$Q497="PREDIAL"),0,0)))</f>
        <v>360.83</v>
      </c>
      <c r="AM497" s="153" t="n">
        <f aca="false">IF(AND($N497="MND",$Q497="EMBOQUE"),$M497,IF(AND($N497="VCA",$Q497="LINEAR"),$M497,IF(AND($N497="VCA",$Q497="PREDIAL"),0,0)))</f>
        <v>360.83</v>
      </c>
      <c r="AN497" s="153" t="n">
        <f aca="false">ROUND(IF(AND($N497="VCA",$M497&lt;&gt;"",$Q497="LINEAR"),$M497/100,IF(AND($N497="MND",$M497&gt;100,$Q497="EMBOQUE"),$M497/100,0)),0)</f>
        <v>4</v>
      </c>
      <c r="AO497" s="153" t="n">
        <f aca="false">IF(AND($N497="MND",$Q497="EMBOQUE"),$AN497*2*2,IF(AND($N497="VCA",$Q497="LINEAR"),$M497*2,IF(AND($N497="VCA",$Q497="PREDIAL"),0,0)))</f>
        <v>721.66</v>
      </c>
      <c r="AP497" s="153" t="n">
        <f aca="false">IFERROR($M497*$AF497*$AG497,0)</f>
        <v>319.6773385</v>
      </c>
      <c r="AQ497" s="153" t="n">
        <f aca="false">IFERROR(IF(AND($N497="VCA",$AH497&gt;0),$M497*$AG497*$AH497,0),0)</f>
        <v>23.45395</v>
      </c>
      <c r="AR497" s="153" t="n">
        <f aca="false">IFERROR(IF(AND($N497="VCA",$AJ497&gt;0),($M497*$AG497*$AJ497)-$AI497,0),0)</f>
        <v>84.0130428746035</v>
      </c>
      <c r="AS497" s="153" t="n">
        <f aca="false">IFERROR(IF(AND($N497="VCA",$AP497&gt;0),$AP497-$AI497-$AQ497-$AR497,0),0)</f>
        <v>211.08555</v>
      </c>
      <c r="AT497" s="153" t="n">
        <f aca="false">IFERROR(IF($N497="VCA",INDEX(APOIO_REDES!$A:$W,MATCH($C497&amp;$I497&amp;$H497&amp;$N497&amp;$O497,APOIO_REDES!$W:$W,0),MATCH(AT$5,APOIO_REDES!$5:$5,0)),0)*$AP497,0)</f>
        <v>3.47818406254235</v>
      </c>
      <c r="AU497" s="153" t="n">
        <f aca="false">IFERROR(IF($N497="VCA",INDEX(APOIO_REDES!$A:$W,MATCH($C497&amp;$I497&amp;$H497&amp;$N497&amp;$O497,APOIO_REDES!$W:$W,0),MATCH(AU$5,APOIO_REDES!$5:$5,0)),0)*$AP497,0)</f>
        <v>2.77758359117526</v>
      </c>
      <c r="AV497" s="153" t="n">
        <f aca="false">IFERROR(IF($N497="VCA",INDEX(APOIO_REDES!$A:$W,MATCH($C497&amp;$I497&amp;$H497&amp;$N497&amp;$O497,APOIO_REDES!$W:$W,0),MATCH(AV$5,APOIO_REDES!$5:$5,0)),0)*$AP497,0)</f>
        <v>0.384395764132538</v>
      </c>
      <c r="AW497" s="153" t="n">
        <f aca="false">IFERROR(IF($N497="VCA",INDEX(APOIO_REDES!$A:$W,MATCH($C497&amp;$I497&amp;$H497&amp;$N497&amp;$O497,APOIO_REDES!$W:$W,0),MATCH(AW$5,APOIO_REDES!$5:$5,0)),0)*$AP497,0)</f>
        <v>219.429002127289</v>
      </c>
      <c r="AX497" s="153" t="n">
        <f aca="false">IFERROR(IF($N497="VCA",INDEX(APOIO_REDES!$A:$W,MATCH($C497&amp;$I497&amp;$H497&amp;$N497&amp;$O497,APOIO_REDES!$W:$W,0),MATCH(AX$5,APOIO_REDES!$5:$5,0)),0)*$AP497,0)</f>
        <v>30.3683488390727</v>
      </c>
      <c r="AY497" s="153" t="n">
        <f aca="false">IFERROR(IF($N497="VCA",INDEX(APOIO_REDES!$A:$W,MATCH($C497&amp;$I497&amp;$H497&amp;$N497&amp;$O497,APOIO_REDES!$W:$W,0),MATCH(AY$5,APOIO_REDES!$5:$5,0)),0)*$AP497,0)</f>
        <v>55.5516379649865</v>
      </c>
      <c r="AZ497" s="153" t="n">
        <f aca="false">IFERROR(IF($N497="VCA",INDEX(APOIO_REDES!$A:$W,MATCH($C497&amp;$I497&amp;$H497&amp;$N497&amp;$O497,APOIO_REDES!$W:$W,0),MATCH(AZ$5,APOIO_REDES!$5:$5,0)),0)*$AP497,0)</f>
        <v>7.6881861508013</v>
      </c>
      <c r="BA497" s="153" t="n">
        <f aca="false">IFERROR(IF(AND($N497="VCA",$Q497="LINEAR"),INDEX(APOIO_REDES!$A:$W,MATCH($C497&amp;$I497&amp;$H497&amp;$N497&amp;$O497,APOIO_REDES!$W:$W,0),MATCH(BA$5,APOIO_REDES!$5:$5,0)),IF(AND($N497="MND",$Q497="EMBOQUE"),INDEX(APOIO_REDES!$A:$W,MATCH($C497&amp;$I497&amp;$H497&amp;$N497&amp;$O497,APOIO_REDES!$W:$W,0),MATCH(BA$5,APOIO_REDES!$5:$5,0)),0))*$M497/10,0)</f>
        <v>29.0819878351121</v>
      </c>
      <c r="BB497" s="153" t="n">
        <f aca="false">IFERROR(IF($N497="VCA",INDEX(APOIO_REDES!$A:$W,MATCH($C497&amp;$I497&amp;$H497&amp;$N497&amp;$O497,APOIO_REDES!$W:$W,0),MATCH(BB$5,APOIO_REDES!$5:$5,0)),0)*($AI497+$AQ497+$AR497),0)</f>
        <v>107.410277699591</v>
      </c>
      <c r="BC497" s="153" t="n">
        <f aca="false">IFERROR(IF($N497="VCA",INDEX(APOIO_REDES!$A:$W,MATCH($C497&amp;$I497&amp;$H497&amp;$N497&amp;$O497,APOIO_REDES!$W:$W,0),MATCH(BC$5,APOIO_REDES!$5:$5,0)),0)*($AI497+$AQ497+$AR497),0)</f>
        <v>1.18151080040874</v>
      </c>
      <c r="BD497" s="153" t="n">
        <f aca="false">IF(AND($N497="VCA",$AF497&gt;=1.25,$AF497&lt;1.5),$M497*$AF497*2,0)</f>
        <v>983.62258</v>
      </c>
      <c r="BE497" s="153" t="n">
        <f aca="false">IF(AND($N497="VCA",$AF497&gt;=1.5,$AF497&lt;3),$M497*$AF497*2,0)</f>
        <v>0</v>
      </c>
      <c r="BF497" s="153" t="n">
        <f aca="false">IF(AND($N497="VCA",$AF497&gt;=3),$M497*$AF497*2,0)</f>
        <v>0</v>
      </c>
      <c r="BG497" s="153" t="n">
        <f aca="false">($BB497+$BC497)*$AK497</f>
        <v>423.50797515</v>
      </c>
      <c r="BH497" s="153" t="n">
        <f aca="false">IF(AND($M497&lt;&gt;"",$N497="VCA",$Q497="LINEAR"),($M497*2)/100,IF(AND($M497&lt;&gt;"",$N497="MND",$Q497="EMBOQUE"),($AN497*2)/100,0))</f>
        <v>7.2166</v>
      </c>
      <c r="BI497" s="153" t="n">
        <f aca="false">IF(AND($M497&lt;&gt;"",$N497="VCA",$Q497="LINEAR"),$M497,IF(AND($M497&lt;&gt;"",$N497="MND",$Q497="EMBOQUE"),$AN497*2,0))</f>
        <v>360.83</v>
      </c>
      <c r="BJ497" s="153" t="n">
        <f aca="false">IF(AND($M497&lt;&gt;"",$N497="VCA",$Q497="LINEAR"),($M497*6.8)/100,IF(AND($M497&lt;&gt;"",$N497="MND",$Q497="EMBOQUE"),($AN497*2*6.8)/100,0))</f>
        <v>24.53644</v>
      </c>
      <c r="BK497" s="153" t="n">
        <f aca="false">IF(AND($M497&lt;&gt;"",$N497="VCA",$Q497="LINEAR"),($M497*2.5)/50,IF(AND($M497&lt;&gt;"",$N497="MND",$Q497="EMBOQUE"),($AN497*2*2.5)/50,0))</f>
        <v>18.0415</v>
      </c>
      <c r="BL497" s="157" t="str">
        <f aca="false">K497&amp;J497</f>
        <v>Zona05REDES</v>
      </c>
      <c r="BM497" s="152" t="s">
        <v>3356</v>
      </c>
      <c r="BN497" s="152" t="s">
        <v>1560</v>
      </c>
      <c r="BO497" s="152" t="s">
        <v>2231</v>
      </c>
      <c r="BP497" s="152" t="s">
        <v>3362</v>
      </c>
      <c r="BQ497" s="152" t="s">
        <v>3425</v>
      </c>
      <c r="BR497" s="152" t="s">
        <v>3426</v>
      </c>
      <c r="BS497" s="152" t="n">
        <v>203051.029</v>
      </c>
      <c r="BT497" s="152" t="n">
        <v>8237681.013</v>
      </c>
      <c r="BU497" s="152" t="n">
        <v>202868.221</v>
      </c>
      <c r="BV497" s="152" t="n">
        <v>8237370.306</v>
      </c>
      <c r="BW497" s="152" t="n">
        <v>-15.9237332</v>
      </c>
      <c r="BX497" s="152" t="n">
        <v>-47.7743335</v>
      </c>
      <c r="BY497" s="152" t="s">
        <v>3362</v>
      </c>
    </row>
    <row r="498" customFormat="false" ht="13.8" hidden="false" customHeight="false" outlineLevel="0" collapsed="false">
      <c r="A498" s="149" t="n">
        <f aca="false">IF(C498&lt;&gt;"",ROW(A493),"")</f>
        <v>493</v>
      </c>
      <c r="B498" s="150" t="str">
        <f aca="false">HYPERLINK("https://www.google.com/maps/dir/-15.917302,-47.760003/-15.9236889,-47.7755889/data=!4m3!4m2!3e0!5i2")</f>
        <v>https://www.google.com/maps/dir/-15.917302,-47.760003/-15.9236889,-47.7755889/data=!4m3!4m2!3e0!5i2</v>
      </c>
      <c r="C498" s="151" t="s">
        <v>117</v>
      </c>
      <c r="D498" s="152" t="s">
        <v>112</v>
      </c>
      <c r="E498" s="152" t="s">
        <v>113</v>
      </c>
      <c r="F498" s="152" t="s">
        <v>117</v>
      </c>
      <c r="G498" s="152" t="s">
        <v>114</v>
      </c>
      <c r="H498" s="152" t="n">
        <v>160</v>
      </c>
      <c r="I498" s="152" t="s">
        <v>115</v>
      </c>
      <c r="J498" s="152" t="s">
        <v>6</v>
      </c>
      <c r="K498" s="152" t="s">
        <v>3352</v>
      </c>
      <c r="L498" s="152" t="s">
        <v>120</v>
      </c>
      <c r="M498" s="153" t="n">
        <f aca="false">24.64</f>
        <v>24.64</v>
      </c>
      <c r="N498" s="152" t="s">
        <v>1548</v>
      </c>
      <c r="O498" s="152" t="s">
        <v>1549</v>
      </c>
      <c r="P498" s="152" t="s">
        <v>1550</v>
      </c>
      <c r="Q498" s="152" t="s">
        <v>1551</v>
      </c>
      <c r="R498" s="154" t="s">
        <v>3427</v>
      </c>
      <c r="S498" s="154" t="s">
        <v>1593</v>
      </c>
      <c r="T498" s="155" t="s">
        <v>2227</v>
      </c>
      <c r="U498" s="152" t="str">
        <f aca="false">RIGHT(T498,7)</f>
        <v>008/037</v>
      </c>
      <c r="V498" s="152" t="s">
        <v>1555</v>
      </c>
      <c r="W498" s="156" t="n">
        <v>45882</v>
      </c>
      <c r="X498" s="152" t="s">
        <v>1594</v>
      </c>
      <c r="Y498" s="152" t="s">
        <v>2242</v>
      </c>
      <c r="Z498" s="152" t="s">
        <v>1557</v>
      </c>
      <c r="AA498" s="153" t="n">
        <v>3.8</v>
      </c>
      <c r="AB498" s="151" t="s">
        <v>3428</v>
      </c>
      <c r="AC498" s="151" t="s">
        <v>505</v>
      </c>
      <c r="AD498" s="151" t="str">
        <f aca="false">CONCATENATE($C498,$I498,$H498,$N498,$J498,$K498)</f>
        <v>TUBO PEADPEAD160VCAREDESZona05</v>
      </c>
      <c r="AE498" s="153" t="n">
        <f aca="false">IFERROR(INDEX(APOIO_REDES!$A:$W,MATCH($C498&amp;$I498&amp;$H498&amp;$N498&amp;$O498,APOIO_REDES!$W:$W,0),MATCH(AE$5,APOIO_REDES!$5:$5,0)),0)</f>
        <v>1.2</v>
      </c>
      <c r="AF498" s="153" t="n">
        <f aca="false">IFERROR(INDEX(APOIO_REDES!$A:$W,MATCH($C498&amp;$I498&amp;$H498&amp;$N498&amp;$O498,APOIO_REDES!$W:$W,0),MATCH(AF$5,APOIO_REDES!$5:$5,0)),0)</f>
        <v>1.46</v>
      </c>
      <c r="AG498" s="153" t="n">
        <f aca="false">IFERROR(INDEX(APOIO_REDES!$A:$W,MATCH($C498&amp;$I498&amp;$H498&amp;$N498&amp;$O498,APOIO_REDES!$W:$W,0),MATCH(AG$5,APOIO_REDES!$5:$5,0)),0)</f>
        <v>0.75</v>
      </c>
      <c r="AH498" s="153" t="n">
        <f aca="false">IFERROR(INDEX(APOIO_REDES!$A:$W,MATCH($C498&amp;$I498&amp;$H498&amp;$N498&amp;$O498,APOIO_REDES!$W:$W,0),MATCH(AH$5,APOIO_REDES!$5:$5,0)),0)</f>
        <v>0.1</v>
      </c>
      <c r="AI498" s="153" t="n">
        <f aca="false">IFERROR(IF($H498&lt;&gt;"",(((($H498/1000)/2)^2)*PI()*$M498),0),0)</f>
        <v>0.495416595100496</v>
      </c>
      <c r="AJ498" s="153" t="n">
        <f aca="false">IFERROR(IF(AND($H498&lt;&gt;"",$I498="FoFo",OR($N498="MND",$N498="VCA"),$Q498="LINEAR"),0,IF(AND($H498&lt;&gt;"",$I498="PEAD",$N498="VCA",$Q498="LINEAR"),($H498/1000)+0.3,IF(AND($H498&lt;&gt;"",$I498="PEAD",$N498="MND",$Q498="EMBOQUE"),0,IF(AND($H498&lt;&gt;"",$I498="PVC",$N498="VCA",$Q498="LINEAR"),($H498/1000)+0.2,IF(AND($H498&lt;&gt;"",$I498="PVC",$N498="MND",$Q498="EMBOQUE"),0,IF(AND($H498&lt;&gt;"",$I498="PEAD",$N498="VCA",$Q498="PREDIAL"),0,0)))))),0)</f>
        <v>0.46</v>
      </c>
      <c r="AK498" s="153" t="n">
        <f aca="false">IF(AA498&lt;&gt;"",AA498,0)</f>
        <v>3.8</v>
      </c>
      <c r="AL498" s="153" t="n">
        <f aca="false">IF(AND($N498="MND",$Q498="EMBOQUE"),$M498,IF(AND($N498="VCA",$Q498="LINEAR"),$M498,IF(AND($N498="VCA",$Q498="PREDIAL"),0,0)))</f>
        <v>24.64</v>
      </c>
      <c r="AM498" s="153" t="n">
        <f aca="false">IF(AND($N498="MND",$Q498="EMBOQUE"),$M498,IF(AND($N498="VCA",$Q498="LINEAR"),$M498,IF(AND($N498="VCA",$Q498="PREDIAL"),0,0)))</f>
        <v>24.64</v>
      </c>
      <c r="AN498" s="153" t="n">
        <f aca="false">ROUND(IF(AND($N498="VCA",$M498&lt;&gt;"",$Q498="LINEAR"),$M498/100,IF(AND($N498="MND",$M498&gt;100,$Q498="EMBOQUE"),$M498/100,0)),0)</f>
        <v>0</v>
      </c>
      <c r="AO498" s="153" t="n">
        <f aca="false">IF(AND($N498="MND",$Q498="EMBOQUE"),$AN498*2*2,IF(AND($N498="VCA",$Q498="LINEAR"),$M498*2,IF(AND($N498="VCA",$Q498="PREDIAL"),0,0)))</f>
        <v>49.28</v>
      </c>
      <c r="AP498" s="153" t="n">
        <f aca="false">IFERROR($M498*$AF498*$AG498,0)</f>
        <v>26.9808</v>
      </c>
      <c r="AQ498" s="153" t="n">
        <f aca="false">IFERROR(IF(AND($N498="VCA",$AH498&gt;0),$M498*$AG498*$AH498,0),0)</f>
        <v>1.848</v>
      </c>
      <c r="AR498" s="153" t="n">
        <f aca="false">IFERROR(IF(AND($N498="VCA",$AJ498&gt;0),($M498*$AG498*$AJ498)-$AI498,0),0)</f>
        <v>8.0053834048995</v>
      </c>
      <c r="AS498" s="153" t="n">
        <f aca="false">IFERROR(IF(AND($N498="VCA",$AP498&gt;0),$AP498-$AI498-$AQ498-$AR498,0),0)</f>
        <v>16.632</v>
      </c>
      <c r="AT498" s="153" t="n">
        <f aca="false">IFERROR(IF($N498="VCA",INDEX(APOIO_REDES!$A:$W,MATCH($C498&amp;$I498&amp;$H498&amp;$N498&amp;$O498,APOIO_REDES!$W:$W,0),MATCH(AT$5,APOIO_REDES!$5:$5,0)),0)*$AP498,0)</f>
        <v>0.29355908990916</v>
      </c>
      <c r="AU498" s="153" t="n">
        <f aca="false">IFERROR(IF($N498="VCA",INDEX(APOIO_REDES!$A:$W,MATCH($C498&amp;$I498&amp;$H498&amp;$N498&amp;$O498,APOIO_REDES!$W:$W,0),MATCH(AU$5,APOIO_REDES!$5:$5,0)),0)*$AP498,0)</f>
        <v>0.234428338613003</v>
      </c>
      <c r="AV498" s="153" t="n">
        <f aca="false">IFERROR(IF($N498="VCA",INDEX(APOIO_REDES!$A:$W,MATCH($C498&amp;$I498&amp;$H498&amp;$N498&amp;$O498,APOIO_REDES!$W:$W,0),MATCH(AV$5,APOIO_REDES!$5:$5,0)),0)*$AP498,0)</f>
        <v>0.0324430417294255</v>
      </c>
      <c r="AW498" s="153" t="n">
        <f aca="false">IFERROR(IF($N498="VCA",INDEX(APOIO_REDES!$A:$W,MATCH($C498&amp;$I498&amp;$H498&amp;$N498&amp;$O498,APOIO_REDES!$W:$W,0),MATCH(AW$5,APOIO_REDES!$5:$5,0)),0)*$AP498,0)</f>
        <v>18.5198301774399</v>
      </c>
      <c r="AX498" s="153" t="n">
        <f aca="false">IFERROR(IF($N498="VCA",INDEX(APOIO_REDES!$A:$W,MATCH($C498&amp;$I498&amp;$H498&amp;$N498&amp;$O498,APOIO_REDES!$W:$W,0),MATCH(AX$5,APOIO_REDES!$5:$5,0)),0)*$AP498,0)</f>
        <v>2.56309174182283</v>
      </c>
      <c r="AY498" s="153" t="n">
        <f aca="false">IFERROR(IF($N498="VCA",INDEX(APOIO_REDES!$A:$W,MATCH($C498&amp;$I498&amp;$H498&amp;$N498&amp;$O498,APOIO_REDES!$W:$W,0),MATCH(AY$5,APOIO_REDES!$5:$5,0)),0)*$AP498,0)</f>
        <v>4.68856391459762</v>
      </c>
      <c r="AZ498" s="153" t="n">
        <f aca="false">IFERROR(IF($N498="VCA",INDEX(APOIO_REDES!$A:$W,MATCH($C498&amp;$I498&amp;$H498&amp;$N498&amp;$O498,APOIO_REDES!$W:$W,0),MATCH(AZ$5,APOIO_REDES!$5:$5,0)),0)*$AP498,0)</f>
        <v>0.648883695888064</v>
      </c>
      <c r="BA498" s="153" t="n">
        <f aca="false">IFERROR(IF(AND($N498="VCA",$Q498="LINEAR"),INDEX(APOIO_REDES!$A:$W,MATCH($C498&amp;$I498&amp;$H498&amp;$N498&amp;$O498,APOIO_REDES!$W:$W,0),MATCH(BA$5,APOIO_REDES!$5:$5,0)),IF(AND($N498="MND",$Q498="EMBOQUE"),INDEX(APOIO_REDES!$A:$W,MATCH($C498&amp;$I498&amp;$H498&amp;$N498&amp;$O498,APOIO_REDES!$W:$W,0),MATCH(BA$5,APOIO_REDES!$5:$5,0)),0))*$M498/10,0)</f>
        <v>1.98592184756579</v>
      </c>
      <c r="BB498" s="153" t="n">
        <f aca="false">IFERROR(IF($N498="VCA",INDEX(APOIO_REDES!$A:$W,MATCH($C498&amp;$I498&amp;$H498&amp;$N498&amp;$O498,APOIO_REDES!$W:$W,0),MATCH(BB$5,APOIO_REDES!$5:$5,0)),0)*($AI498+$AQ498+$AR498),0)</f>
        <v>10.2362019929116</v>
      </c>
      <c r="BC498" s="153" t="n">
        <f aca="false">IFERROR(IF($N498="VCA",INDEX(APOIO_REDES!$A:$W,MATCH($C498&amp;$I498&amp;$H498&amp;$N498&amp;$O498,APOIO_REDES!$W:$W,0),MATCH(BC$5,APOIO_REDES!$5:$5,0)),0)*($AI498+$AQ498+$AR498),0)</f>
        <v>0.112598007088445</v>
      </c>
      <c r="BD498" s="153" t="n">
        <f aca="false">IF(AND($N498="VCA",$AF498&gt;=1.25,$AF498&lt;1.5),$M498*$AF498*2,0)</f>
        <v>71.9488</v>
      </c>
      <c r="BE498" s="153" t="n">
        <f aca="false">IF(AND($N498="VCA",$AF498&gt;=1.5,$AF498&lt;3),$M498*$AF498*2,0)</f>
        <v>0</v>
      </c>
      <c r="BF498" s="153" t="n">
        <f aca="false">IF(AND($N498="VCA",$AF498&gt;=3),$M498*$AF498*2,0)</f>
        <v>0</v>
      </c>
      <c r="BG498" s="153" t="n">
        <f aca="false">($BB498+$BC498)*$AK498</f>
        <v>39.32544</v>
      </c>
      <c r="BH498" s="153" t="n">
        <f aca="false">IF(AND($M498&lt;&gt;"",$N498="VCA",$Q498="LINEAR"),($M498*2)/100,IF(AND($M498&lt;&gt;"",$N498="MND",$Q498="EMBOQUE"),($AN498*2)/100,0))</f>
        <v>0.4928</v>
      </c>
      <c r="BI498" s="153" t="n">
        <f aca="false">IF(AND($M498&lt;&gt;"",$N498="VCA",$Q498="LINEAR"),$M498,IF(AND($M498&lt;&gt;"",$N498="MND",$Q498="EMBOQUE"),$AN498*2,0))</f>
        <v>24.64</v>
      </c>
      <c r="BJ498" s="153" t="n">
        <f aca="false">IF(AND($M498&lt;&gt;"",$N498="VCA",$Q498="LINEAR"),($M498*6.8)/100,IF(AND($M498&lt;&gt;"",$N498="MND",$Q498="EMBOQUE"),($AN498*2*6.8)/100,0))</f>
        <v>1.67552</v>
      </c>
      <c r="BK498" s="153" t="n">
        <f aca="false">IF(AND($M498&lt;&gt;"",$N498="VCA",$Q498="LINEAR"),($M498*2.5)/50,IF(AND($M498&lt;&gt;"",$N498="MND",$Q498="EMBOQUE"),($AN498*2*2.5)/50,0))</f>
        <v>1.232</v>
      </c>
      <c r="BL498" s="157" t="str">
        <f aca="false">K498&amp;J498</f>
        <v>Zona05REDES</v>
      </c>
      <c r="BM498" s="152" t="s">
        <v>3356</v>
      </c>
      <c r="BN498" s="152" t="s">
        <v>1560</v>
      </c>
      <c r="BO498" s="152" t="s">
        <v>2231</v>
      </c>
      <c r="BP498" s="152" t="s">
        <v>3410</v>
      </c>
      <c r="BQ498" s="152" t="s">
        <v>3429</v>
      </c>
      <c r="BR498" s="152" t="s">
        <v>3430</v>
      </c>
      <c r="BS498" s="152" t="n">
        <v>202823.517</v>
      </c>
      <c r="BT498" s="152" t="n">
        <v>8237529.746</v>
      </c>
      <c r="BU498" s="152" t="n">
        <v>202809.344</v>
      </c>
      <c r="BV498" s="152" t="n">
        <v>8237509.589</v>
      </c>
      <c r="BW498" s="152" t="n">
        <v>-15.9237791</v>
      </c>
      <c r="BX498" s="152" t="n">
        <v>-47.7756562</v>
      </c>
      <c r="BY498" s="152" t="s">
        <v>3410</v>
      </c>
    </row>
    <row r="499" customFormat="false" ht="13.8" hidden="false" customHeight="false" outlineLevel="0" collapsed="false">
      <c r="A499" s="149" t="n">
        <f aca="false">IF(C499&lt;&gt;"",ROW(A494),"")</f>
        <v>494</v>
      </c>
      <c r="B499" s="150" t="str">
        <f aca="false">HYPERLINK("https://www.google.com/maps/dir/-15.917302,-47.760003/-15.9240850,-47.7750448/data=!4m3!4m2!3e0!5i2")</f>
        <v>https://www.google.com/maps/dir/-15.917302,-47.760003/-15.9240850,-47.7750448/data=!4m3!4m2!3e0!5i2</v>
      </c>
      <c r="C499" s="151" t="s">
        <v>117</v>
      </c>
      <c r="D499" s="152" t="s">
        <v>112</v>
      </c>
      <c r="E499" s="152" t="s">
        <v>113</v>
      </c>
      <c r="F499" s="152" t="s">
        <v>117</v>
      </c>
      <c r="G499" s="152" t="s">
        <v>782</v>
      </c>
      <c r="H499" s="152" t="n">
        <v>63</v>
      </c>
      <c r="I499" s="152" t="s">
        <v>115</v>
      </c>
      <c r="J499" s="152" t="s">
        <v>6</v>
      </c>
      <c r="K499" s="152" t="s">
        <v>3352</v>
      </c>
      <c r="L499" s="152" t="s">
        <v>120</v>
      </c>
      <c r="M499" s="153" t="n">
        <f aca="false">72.97</f>
        <v>72.97</v>
      </c>
      <c r="N499" s="152" t="s">
        <v>1548</v>
      </c>
      <c r="O499" s="152" t="s">
        <v>1549</v>
      </c>
      <c r="P499" s="152" t="s">
        <v>1550</v>
      </c>
      <c r="Q499" s="152" t="s">
        <v>1551</v>
      </c>
      <c r="R499" s="154" t="s">
        <v>3431</v>
      </c>
      <c r="S499" s="154" t="s">
        <v>1553</v>
      </c>
      <c r="T499" s="155" t="s">
        <v>2227</v>
      </c>
      <c r="U499" s="152" t="str">
        <f aca="false">RIGHT(T499,7)</f>
        <v>008/037</v>
      </c>
      <c r="V499" s="152" t="s">
        <v>1555</v>
      </c>
      <c r="W499" s="156" t="n">
        <v>45882</v>
      </c>
      <c r="X499" s="152" t="s">
        <v>1594</v>
      </c>
      <c r="Y499" s="152" t="s">
        <v>2242</v>
      </c>
      <c r="Z499" s="152" t="s">
        <v>1557</v>
      </c>
      <c r="AA499" s="153" t="n">
        <v>3.9</v>
      </c>
      <c r="AB499" s="151" t="s">
        <v>3432</v>
      </c>
      <c r="AC499" s="151" t="s">
        <v>186</v>
      </c>
      <c r="AD499" s="151" t="str">
        <f aca="false">CONCATENATE($C499,$I499,$H499,$N499,$J499,$K499)</f>
        <v>TUBO PEADPEAD63VCAREDESZona05</v>
      </c>
      <c r="AE499" s="153" t="n">
        <f aca="false">IFERROR(INDEX(APOIO_REDES!$A:$W,MATCH($C499&amp;$I499&amp;$H499&amp;$N499&amp;$O499,APOIO_REDES!$W:$W,0),MATCH(AE$5,APOIO_REDES!$5:$5,0)),0)</f>
        <v>1.2</v>
      </c>
      <c r="AF499" s="153" t="n">
        <f aca="false">IFERROR(INDEX(APOIO_REDES!$A:$W,MATCH($C499&amp;$I499&amp;$H499&amp;$N499&amp;$O499,APOIO_REDES!$W:$W,0),MATCH(AF$5,APOIO_REDES!$5:$5,0)),0)</f>
        <v>1.363</v>
      </c>
      <c r="AG499" s="153" t="n">
        <f aca="false">IFERROR(INDEX(APOIO_REDES!$A:$W,MATCH($C499&amp;$I499&amp;$H499&amp;$N499&amp;$O499,APOIO_REDES!$W:$W,0),MATCH(AG$5,APOIO_REDES!$5:$5,0)),0)</f>
        <v>0.65</v>
      </c>
      <c r="AH499" s="153" t="n">
        <f aca="false">IFERROR(INDEX(APOIO_REDES!$A:$W,MATCH($C499&amp;$I499&amp;$H499&amp;$N499&amp;$O499,APOIO_REDES!$W:$W,0),MATCH(AH$5,APOIO_REDES!$5:$5,0)),0)</f>
        <v>0.1</v>
      </c>
      <c r="AI499" s="153" t="n">
        <f aca="false">IFERROR(IF($H499&lt;&gt;"",(((($H499/1000)/2)^2)*PI()*$M499),0),0)</f>
        <v>0.227465390308971</v>
      </c>
      <c r="AJ499" s="153" t="n">
        <f aca="false">IFERROR(IF(AND($H499&lt;&gt;"",$I499="FoFo",OR($N499="MND",$N499="VCA"),$Q499="LINEAR"),0,IF(AND($H499&lt;&gt;"",$I499="PEAD",$N499="VCA",$Q499="LINEAR"),($H499/1000)+0.3,IF(AND($H499&lt;&gt;"",$I499="PEAD",$N499="MND",$Q499="EMBOQUE"),0,IF(AND($H499&lt;&gt;"",$I499="PVC",$N499="VCA",$Q499="LINEAR"),($H499/1000)+0.2,IF(AND($H499&lt;&gt;"",$I499="PVC",$N499="MND",$Q499="EMBOQUE"),0,IF(AND($H499&lt;&gt;"",$I499="PEAD",$N499="VCA",$Q499="PREDIAL"),0,0)))))),0)</f>
        <v>0.363</v>
      </c>
      <c r="AK499" s="153" t="n">
        <f aca="false">IF(AA499&lt;&gt;"",AA499,0)</f>
        <v>3.9</v>
      </c>
      <c r="AL499" s="153" t="n">
        <f aca="false">IF(AND($N499="MND",$Q499="EMBOQUE"),$M499,IF(AND($N499="VCA",$Q499="LINEAR"),$M499,IF(AND($N499="VCA",$Q499="PREDIAL"),0,0)))</f>
        <v>72.97</v>
      </c>
      <c r="AM499" s="153" t="n">
        <f aca="false">IF(AND($N499="MND",$Q499="EMBOQUE"),$M499,IF(AND($N499="VCA",$Q499="LINEAR"),$M499,IF(AND($N499="VCA",$Q499="PREDIAL"),0,0)))</f>
        <v>72.97</v>
      </c>
      <c r="AN499" s="153" t="n">
        <f aca="false">ROUND(IF(AND($N499="VCA",$M499&lt;&gt;"",$Q499="LINEAR"),$M499/100,IF(AND($N499="MND",$M499&gt;100,$Q499="EMBOQUE"),$M499/100,0)),0)</f>
        <v>1</v>
      </c>
      <c r="AO499" s="153" t="n">
        <f aca="false">IF(AND($N499="MND",$Q499="EMBOQUE"),$AN499*2*2,IF(AND($N499="VCA",$Q499="LINEAR"),$M499*2,IF(AND($N499="VCA",$Q499="PREDIAL"),0,0)))</f>
        <v>145.94</v>
      </c>
      <c r="AP499" s="153" t="n">
        <f aca="false">IFERROR($M499*$AF499*$AG499,0)</f>
        <v>64.6477715</v>
      </c>
      <c r="AQ499" s="153" t="n">
        <f aca="false">IFERROR(IF(AND($N499="VCA",$AH499&gt;0),$M499*$AG499*$AH499,0),0)</f>
        <v>4.74305</v>
      </c>
      <c r="AR499" s="153" t="n">
        <f aca="false">IFERROR(IF(AND($N499="VCA",$AJ499&gt;0),($M499*$AG499*$AJ499)-$AI499,0),0)</f>
        <v>16.989806109691</v>
      </c>
      <c r="AS499" s="153" t="n">
        <f aca="false">IFERROR(IF(AND($N499="VCA",$AP499&gt;0),$AP499-$AI499-$AQ499-$AR499,0),0)</f>
        <v>42.68745</v>
      </c>
      <c r="AT499" s="153" t="n">
        <f aca="false">IFERROR(IF($N499="VCA",INDEX(APOIO_REDES!$A:$W,MATCH($C499&amp;$I499&amp;$H499&amp;$N499&amp;$O499,APOIO_REDES!$W:$W,0),MATCH(AT$5,APOIO_REDES!$5:$5,0)),0)*$AP499,0)</f>
        <v>0.703386888683632</v>
      </c>
      <c r="AU499" s="153" t="n">
        <f aca="false">IFERROR(IF($N499="VCA",INDEX(APOIO_REDES!$A:$W,MATCH($C499&amp;$I499&amp;$H499&amp;$N499&amp;$O499,APOIO_REDES!$W:$W,0),MATCH(AU$5,APOIO_REDES!$5:$5,0)),0)*$AP499,0)</f>
        <v>0.561705719169856</v>
      </c>
      <c r="AV499" s="153" t="n">
        <f aca="false">IFERROR(IF($N499="VCA",INDEX(APOIO_REDES!$A:$W,MATCH($C499&amp;$I499&amp;$H499&amp;$N499&amp;$O499,APOIO_REDES!$W:$W,0),MATCH(AV$5,APOIO_REDES!$5:$5,0)),0)*$AP499,0)</f>
        <v>0.0777356619703221</v>
      </c>
      <c r="AW499" s="153" t="n">
        <f aca="false">IFERROR(IF($N499="VCA",INDEX(APOIO_REDES!$A:$W,MATCH($C499&amp;$I499&amp;$H499&amp;$N499&amp;$O499,APOIO_REDES!$W:$W,0),MATCH(AW$5,APOIO_REDES!$5:$5,0)),0)*$AP499,0)</f>
        <v>44.374731272977</v>
      </c>
      <c r="AX499" s="153" t="n">
        <f aca="false">IFERROR(IF($N499="VCA",INDEX(APOIO_REDES!$A:$W,MATCH($C499&amp;$I499&amp;$H499&amp;$N499&amp;$O499,APOIO_REDES!$W:$W,0),MATCH(AX$5,APOIO_REDES!$5:$5,0)),0)*$AP499,0)</f>
        <v>6.1413364043653</v>
      </c>
      <c r="AY499" s="153" t="n">
        <f aca="false">IFERROR(IF($N499="VCA",INDEX(APOIO_REDES!$A:$W,MATCH($C499&amp;$I499&amp;$H499&amp;$N499&amp;$O499,APOIO_REDES!$W:$W,0),MATCH(AY$5,APOIO_REDES!$5:$5,0)),0)*$AP499,0)</f>
        <v>11.2341075362499</v>
      </c>
      <c r="AZ499" s="153" t="n">
        <f aca="false">IFERROR(IF($N499="VCA",INDEX(APOIO_REDES!$A:$W,MATCH($C499&amp;$I499&amp;$H499&amp;$N499&amp;$O499,APOIO_REDES!$W:$W,0),MATCH(AZ$5,APOIO_REDES!$5:$5,0)),0)*$AP499,0)</f>
        <v>1.55476801658391</v>
      </c>
      <c r="BA499" s="153" t="n">
        <f aca="false">IFERROR(IF(AND($N499="VCA",$Q499="LINEAR"),INDEX(APOIO_REDES!$A:$W,MATCH($C499&amp;$I499&amp;$H499&amp;$N499&amp;$O499,APOIO_REDES!$W:$W,0),MATCH(BA$5,APOIO_REDES!$5:$5,0)),IF(AND($N499="MND",$Q499="EMBOQUE"),INDEX(APOIO_REDES!$A:$W,MATCH($C499&amp;$I499&amp;$H499&amp;$N499&amp;$O499,APOIO_REDES!$W:$W,0),MATCH(BA$5,APOIO_REDES!$5:$5,0)),0))*$M499/10,0)</f>
        <v>5.88119793899657</v>
      </c>
      <c r="BB499" s="153" t="n">
        <f aca="false">IFERROR(IF($N499="VCA",INDEX(APOIO_REDES!$A:$W,MATCH($C499&amp;$I499&amp;$H499&amp;$N499&amp;$O499,APOIO_REDES!$W:$W,0),MATCH(BB$5,APOIO_REDES!$5:$5,0)),0)*($AI499+$AQ499+$AR499),0)</f>
        <v>21.7213867021566</v>
      </c>
      <c r="BC499" s="153" t="n">
        <f aca="false">IFERROR(IF($N499="VCA",INDEX(APOIO_REDES!$A:$W,MATCH($C499&amp;$I499&amp;$H499&amp;$N499&amp;$O499,APOIO_REDES!$W:$W,0),MATCH(BC$5,APOIO_REDES!$5:$5,0)),0)*($AI499+$AQ499+$AR499),0)</f>
        <v>0.238934797843376</v>
      </c>
      <c r="BD499" s="153" t="n">
        <f aca="false">IF(AND($N499="VCA",$AF499&gt;=1.25,$AF499&lt;1.5),$M499*$AF499*2,0)</f>
        <v>198.91622</v>
      </c>
      <c r="BE499" s="153" t="n">
        <f aca="false">IF(AND($N499="VCA",$AF499&gt;=1.5,$AF499&lt;3),$M499*$AF499*2,0)</f>
        <v>0</v>
      </c>
      <c r="BF499" s="153" t="n">
        <f aca="false">IF(AND($N499="VCA",$AF499&gt;=3),$M499*$AF499*2,0)</f>
        <v>0</v>
      </c>
      <c r="BG499" s="153" t="n">
        <f aca="false">($BB499+$BC499)*$AK499</f>
        <v>85.64525385</v>
      </c>
      <c r="BH499" s="153" t="n">
        <f aca="false">IF(AND($M499&lt;&gt;"",$N499="VCA",$Q499="LINEAR"),($M499*2)/100,IF(AND($M499&lt;&gt;"",$N499="MND",$Q499="EMBOQUE"),($AN499*2)/100,0))</f>
        <v>1.4594</v>
      </c>
      <c r="BI499" s="153" t="n">
        <f aca="false">IF(AND($M499&lt;&gt;"",$N499="VCA",$Q499="LINEAR"),$M499,IF(AND($M499&lt;&gt;"",$N499="MND",$Q499="EMBOQUE"),$AN499*2,0))</f>
        <v>72.97</v>
      </c>
      <c r="BJ499" s="153" t="n">
        <f aca="false">IF(AND($M499&lt;&gt;"",$N499="VCA",$Q499="LINEAR"),($M499*6.8)/100,IF(AND($M499&lt;&gt;"",$N499="MND",$Q499="EMBOQUE"),($AN499*2*6.8)/100,0))</f>
        <v>4.96196</v>
      </c>
      <c r="BK499" s="153" t="n">
        <f aca="false">IF(AND($M499&lt;&gt;"",$N499="VCA",$Q499="LINEAR"),($M499*2.5)/50,IF(AND($M499&lt;&gt;"",$N499="MND",$Q499="EMBOQUE"),($AN499*2*2.5)/50,0))</f>
        <v>3.6485</v>
      </c>
      <c r="BL499" s="157" t="str">
        <f aca="false">K499&amp;J499</f>
        <v>Zona05REDES</v>
      </c>
      <c r="BM499" s="152" t="s">
        <v>3356</v>
      </c>
      <c r="BN499" s="152" t="s">
        <v>1560</v>
      </c>
      <c r="BO499" s="152" t="s">
        <v>2231</v>
      </c>
      <c r="BP499" s="152" t="s">
        <v>3433</v>
      </c>
      <c r="BQ499" s="152" t="s">
        <v>3410</v>
      </c>
      <c r="BR499" s="152" t="s">
        <v>3434</v>
      </c>
      <c r="BS499" s="152" t="n">
        <v>202882.397</v>
      </c>
      <c r="BT499" s="152" t="n">
        <v>8237486.657</v>
      </c>
      <c r="BU499" s="152" t="n">
        <v>202823.517</v>
      </c>
      <c r="BV499" s="152" t="n">
        <v>8237529.746</v>
      </c>
      <c r="BW499" s="152" t="n">
        <v>-15.9238864</v>
      </c>
      <c r="BX499" s="152" t="n">
        <v>-47.7753164</v>
      </c>
      <c r="BY499" s="152" t="s">
        <v>3433</v>
      </c>
    </row>
    <row r="500" customFormat="false" ht="13.8" hidden="false" customHeight="false" outlineLevel="0" collapsed="false">
      <c r="A500" s="149" t="n">
        <f aca="false">IF(C500&lt;&gt;"",ROW(A495),"")</f>
        <v>495</v>
      </c>
      <c r="B500" s="150" t="str">
        <f aca="false">HYPERLINK("https://www.google.com/maps/dir/-15.917302,-47.760003/-15.9241220,-47.7749895/data=!4m3!4m2!3e0!5i2")</f>
        <v>https://www.google.com/maps/dir/-15.917302,-47.760003/-15.9241220,-47.7749895/data=!4m3!4m2!3e0!5i2</v>
      </c>
      <c r="C500" s="151" t="s">
        <v>117</v>
      </c>
      <c r="D500" s="152" t="s">
        <v>112</v>
      </c>
      <c r="E500" s="152" t="s">
        <v>113</v>
      </c>
      <c r="F500" s="152" t="s">
        <v>117</v>
      </c>
      <c r="G500" s="152" t="s">
        <v>782</v>
      </c>
      <c r="H500" s="152" t="n">
        <v>63</v>
      </c>
      <c r="I500" s="152" t="s">
        <v>115</v>
      </c>
      <c r="J500" s="152" t="s">
        <v>6</v>
      </c>
      <c r="K500" s="152" t="s">
        <v>3352</v>
      </c>
      <c r="L500" s="152" t="s">
        <v>120</v>
      </c>
      <c r="M500" s="153" t="n">
        <f aca="false">7.2+4</f>
        <v>11.2</v>
      </c>
      <c r="N500" s="152" t="s">
        <v>1548</v>
      </c>
      <c r="O500" s="152" t="s">
        <v>1549</v>
      </c>
      <c r="P500" s="152" t="s">
        <v>1550</v>
      </c>
      <c r="Q500" s="152" t="s">
        <v>1551</v>
      </c>
      <c r="R500" s="154" t="s">
        <v>3435</v>
      </c>
      <c r="S500" s="154" t="s">
        <v>1553</v>
      </c>
      <c r="T500" s="155" t="s">
        <v>2227</v>
      </c>
      <c r="U500" s="152" t="str">
        <f aca="false">RIGHT(T500,7)</f>
        <v>008/037</v>
      </c>
      <c r="V500" s="152" t="s">
        <v>1555</v>
      </c>
      <c r="W500" s="156" t="n">
        <v>45882</v>
      </c>
      <c r="X500" s="152" t="s">
        <v>1594</v>
      </c>
      <c r="Y500" s="152" t="s">
        <v>2242</v>
      </c>
      <c r="Z500" s="152" t="s">
        <v>1557</v>
      </c>
      <c r="AA500" s="153" t="n">
        <v>3.9</v>
      </c>
      <c r="AB500" s="151" t="s">
        <v>3436</v>
      </c>
      <c r="AC500" s="151" t="s">
        <v>186</v>
      </c>
      <c r="AD500" s="151" t="str">
        <f aca="false">CONCATENATE($C500,$I500,$H500,$N500,$J500,$K500)</f>
        <v>TUBO PEADPEAD63VCAREDESZona05</v>
      </c>
      <c r="AE500" s="153" t="n">
        <f aca="false">IFERROR(INDEX(APOIO_REDES!$A:$W,MATCH($C500&amp;$I500&amp;$H500&amp;$N500&amp;$O500,APOIO_REDES!$W:$W,0),MATCH(AE$5,APOIO_REDES!$5:$5,0)),0)</f>
        <v>1.2</v>
      </c>
      <c r="AF500" s="153" t="n">
        <f aca="false">IFERROR(INDEX(APOIO_REDES!$A:$W,MATCH($C500&amp;$I500&amp;$H500&amp;$N500&amp;$O500,APOIO_REDES!$W:$W,0),MATCH(AF$5,APOIO_REDES!$5:$5,0)),0)</f>
        <v>1.363</v>
      </c>
      <c r="AG500" s="153" t="n">
        <f aca="false">IFERROR(INDEX(APOIO_REDES!$A:$W,MATCH($C500&amp;$I500&amp;$H500&amp;$N500&amp;$O500,APOIO_REDES!$W:$W,0),MATCH(AG$5,APOIO_REDES!$5:$5,0)),0)</f>
        <v>0.65</v>
      </c>
      <c r="AH500" s="153" t="n">
        <f aca="false">IFERROR(INDEX(APOIO_REDES!$A:$W,MATCH($C500&amp;$I500&amp;$H500&amp;$N500&amp;$O500,APOIO_REDES!$W:$W,0),MATCH(AH$5,APOIO_REDES!$5:$5,0)),0)</f>
        <v>0.1</v>
      </c>
      <c r="AI500" s="153" t="n">
        <f aca="false">IFERROR(IF($H500&lt;&gt;"",(((($H500/1000)/2)^2)*PI()*$M500),0),0)</f>
        <v>0.0349131474778741</v>
      </c>
      <c r="AJ500" s="153" t="n">
        <f aca="false">IFERROR(IF(AND($H500&lt;&gt;"",$I500="FoFo",OR($N500="MND",$N500="VCA"),$Q500="LINEAR"),0,IF(AND($H500&lt;&gt;"",$I500="PEAD",$N500="VCA",$Q500="LINEAR"),($H500/1000)+0.3,IF(AND($H500&lt;&gt;"",$I500="PEAD",$N500="MND",$Q500="EMBOQUE"),0,IF(AND($H500&lt;&gt;"",$I500="PVC",$N500="VCA",$Q500="LINEAR"),($H500/1000)+0.2,IF(AND($H500&lt;&gt;"",$I500="PVC",$N500="MND",$Q500="EMBOQUE"),0,IF(AND($H500&lt;&gt;"",$I500="PEAD",$N500="VCA",$Q500="PREDIAL"),0,0)))))),0)</f>
        <v>0.363</v>
      </c>
      <c r="AK500" s="153" t="n">
        <f aca="false">IF(AA500&lt;&gt;"",AA500,0)</f>
        <v>3.9</v>
      </c>
      <c r="AL500" s="153" t="n">
        <f aca="false">IF(AND($N500="MND",$Q500="EMBOQUE"),$M500,IF(AND($N500="VCA",$Q500="LINEAR"),$M500,IF(AND($N500="VCA",$Q500="PREDIAL"),0,0)))</f>
        <v>11.2</v>
      </c>
      <c r="AM500" s="153" t="n">
        <f aca="false">IF(AND($N500="MND",$Q500="EMBOQUE"),$M500,IF(AND($N500="VCA",$Q500="LINEAR"),$M500,IF(AND($N500="VCA",$Q500="PREDIAL"),0,0)))</f>
        <v>11.2</v>
      </c>
      <c r="AN500" s="153" t="n">
        <f aca="false">ROUND(IF(AND($N500="VCA",$M500&lt;&gt;"",$Q500="LINEAR"),$M500/100,IF(AND($N500="MND",$M500&gt;100,$Q500="EMBOQUE"),$M500/100,0)),0)</f>
        <v>0</v>
      </c>
      <c r="AO500" s="153" t="n">
        <f aca="false">IF(AND($N500="MND",$Q500="EMBOQUE"),$AN500*2*2,IF(AND($N500="VCA",$Q500="LINEAR"),$M500*2,IF(AND($N500="VCA",$Q500="PREDIAL"),0,0)))</f>
        <v>22.4</v>
      </c>
      <c r="AP500" s="153" t="n">
        <f aca="false">IFERROR($M500*$AF500*$AG500,0)</f>
        <v>9.92264</v>
      </c>
      <c r="AQ500" s="153" t="n">
        <f aca="false">IFERROR(IF(AND($N500="VCA",$AH500&gt;0),$M500*$AG500*$AH500,0),0)</f>
        <v>0.728</v>
      </c>
      <c r="AR500" s="153" t="n">
        <f aca="false">IFERROR(IF(AND($N500="VCA",$AJ500&gt;0),($M500*$AG500*$AJ500)-$AI500,0),0)</f>
        <v>2.60772685252213</v>
      </c>
      <c r="AS500" s="153" t="n">
        <f aca="false">IFERROR(IF(AND($N500="VCA",$AP500&gt;0),$AP500-$AI500-$AQ500-$AR500,0),0)</f>
        <v>6.552</v>
      </c>
      <c r="AT500" s="153" t="n">
        <f aca="false">IFERROR(IF($N500="VCA",INDEX(APOIO_REDES!$A:$W,MATCH($C500&amp;$I500&amp;$H500&amp;$N500&amp;$O500,APOIO_REDES!$W:$W,0),MATCH(AT$5,APOIO_REDES!$5:$5,0)),0)*$AP500,0)</f>
        <v>0.107961260151524</v>
      </c>
      <c r="AU500" s="153" t="n">
        <f aca="false">IFERROR(IF($N500="VCA",INDEX(APOIO_REDES!$A:$W,MATCH($C500&amp;$I500&amp;$H500&amp;$N500&amp;$O500,APOIO_REDES!$W:$W,0),MATCH(AU$5,APOIO_REDES!$5:$5,0)),0)*$AP500,0)</f>
        <v>0.0862149383952636</v>
      </c>
      <c r="AV500" s="153" t="n">
        <f aca="false">IFERROR(IF($N500="VCA",INDEX(APOIO_REDES!$A:$W,MATCH($C500&amp;$I500&amp;$H500&amp;$N500&amp;$O500,APOIO_REDES!$W:$W,0),MATCH(AV$5,APOIO_REDES!$5:$5,0)),0)*$AP500,0)</f>
        <v>0.0119314706601015</v>
      </c>
      <c r="AW500" s="153" t="n">
        <f aca="false">IFERROR(IF($N500="VCA",INDEX(APOIO_REDES!$A:$W,MATCH($C500&amp;$I500&amp;$H500&amp;$N500&amp;$O500,APOIO_REDES!$W:$W,0),MATCH(AW$5,APOIO_REDES!$5:$5,0)),0)*$AP500,0)</f>
        <v>6.81097698036649</v>
      </c>
      <c r="AX500" s="153" t="n">
        <f aca="false">IFERROR(IF($N500="VCA",INDEX(APOIO_REDES!$A:$W,MATCH($C500&amp;$I500&amp;$H500&amp;$N500&amp;$O500,APOIO_REDES!$W:$W,0),MATCH(AX$5,APOIO_REDES!$5:$5,0)),0)*$AP500,0)</f>
        <v>0.942619812647546</v>
      </c>
      <c r="AY500" s="153" t="n">
        <f aca="false">IFERROR(IF($N500="VCA",INDEX(APOIO_REDES!$A:$W,MATCH($C500&amp;$I500&amp;$H500&amp;$N500&amp;$O500,APOIO_REDES!$W:$W,0),MATCH(AY$5,APOIO_REDES!$5:$5,0)),0)*$AP500,0)</f>
        <v>1.72429771695216</v>
      </c>
      <c r="AZ500" s="153" t="n">
        <f aca="false">IFERROR(IF($N500="VCA",INDEX(APOIO_REDES!$A:$W,MATCH($C500&amp;$I500&amp;$H500&amp;$N500&amp;$O500,APOIO_REDES!$W:$W,0),MATCH(AZ$5,APOIO_REDES!$5:$5,0)),0)*$AP500,0)</f>
        <v>0.238637820826912</v>
      </c>
      <c r="BA500" s="153" t="n">
        <f aca="false">IFERROR(IF(AND($N500="VCA",$Q500="LINEAR"),INDEX(APOIO_REDES!$A:$W,MATCH($C500&amp;$I500&amp;$H500&amp;$N500&amp;$O500,APOIO_REDES!$W:$W,0),MATCH(BA$5,APOIO_REDES!$5:$5,0)),IF(AND($N500="MND",$Q500="EMBOQUE"),INDEX(APOIO_REDES!$A:$W,MATCH($C500&amp;$I500&amp;$H500&amp;$N500&amp;$O500,APOIO_REDES!$W:$W,0),MATCH(BA$5,APOIO_REDES!$5:$5,0)),0))*$M500/10,0)</f>
        <v>0.902691748893539</v>
      </c>
      <c r="BB500" s="153" t="n">
        <f aca="false">IFERROR(IF($N500="VCA",INDEX(APOIO_REDES!$A:$W,MATCH($C500&amp;$I500&amp;$H500&amp;$N500&amp;$O500,APOIO_REDES!$W:$W,0),MATCH(BB$5,APOIO_REDES!$5:$5,0)),0)*($AI500+$AQ500+$AR500),0)</f>
        <v>3.33396643914149</v>
      </c>
      <c r="BC500" s="153" t="n">
        <f aca="false">IFERROR(IF($N500="VCA",INDEX(APOIO_REDES!$A:$W,MATCH($C500&amp;$I500&amp;$H500&amp;$N500&amp;$O500,APOIO_REDES!$W:$W,0),MATCH(BC$5,APOIO_REDES!$5:$5,0)),0)*($AI500+$AQ500+$AR500),0)</f>
        <v>0.0366735608585146</v>
      </c>
      <c r="BD500" s="153" t="n">
        <f aca="false">IF(AND($N500="VCA",$AF500&gt;=1.25,$AF500&lt;1.5),$M500*$AF500*2,0)</f>
        <v>30.5312</v>
      </c>
      <c r="BE500" s="153" t="n">
        <f aca="false">IF(AND($N500="VCA",$AF500&gt;=1.5,$AF500&lt;3),$M500*$AF500*2,0)</f>
        <v>0</v>
      </c>
      <c r="BF500" s="153" t="n">
        <f aca="false">IF(AND($N500="VCA",$AF500&gt;=3),$M500*$AF500*2,0)</f>
        <v>0</v>
      </c>
      <c r="BG500" s="153" t="n">
        <f aca="false">($BB500+$BC500)*$AK500</f>
        <v>13.145496</v>
      </c>
      <c r="BH500" s="153" t="n">
        <f aca="false">IF(AND($M500&lt;&gt;"",$N500="VCA",$Q500="LINEAR"),($M500*2)/100,IF(AND($M500&lt;&gt;"",$N500="MND",$Q500="EMBOQUE"),($AN500*2)/100,0))</f>
        <v>0.224</v>
      </c>
      <c r="BI500" s="153" t="n">
        <f aca="false">IF(AND($M500&lt;&gt;"",$N500="VCA",$Q500="LINEAR"),$M500,IF(AND($M500&lt;&gt;"",$N500="MND",$Q500="EMBOQUE"),$AN500*2,0))</f>
        <v>11.2</v>
      </c>
      <c r="BJ500" s="153" t="n">
        <f aca="false">IF(AND($M500&lt;&gt;"",$N500="VCA",$Q500="LINEAR"),($M500*6.8)/100,IF(AND($M500&lt;&gt;"",$N500="MND",$Q500="EMBOQUE"),($AN500*2*6.8)/100,0))</f>
        <v>0.7616</v>
      </c>
      <c r="BK500" s="153" t="n">
        <f aca="false">IF(AND($M500&lt;&gt;"",$N500="VCA",$Q500="LINEAR"),($M500*2.5)/50,IF(AND($M500&lt;&gt;"",$N500="MND",$Q500="EMBOQUE"),($AN500*2*2.5)/50,0))</f>
        <v>0.56</v>
      </c>
      <c r="BL500" s="157" t="str">
        <f aca="false">K500&amp;J500</f>
        <v>Zona05REDES</v>
      </c>
      <c r="BM500" s="152" t="s">
        <v>3356</v>
      </c>
      <c r="BN500" s="152" t="s">
        <v>1560</v>
      </c>
      <c r="BO500" s="152" t="s">
        <v>2231</v>
      </c>
      <c r="BP500" s="152" t="s">
        <v>3437</v>
      </c>
      <c r="BQ500" s="152" t="s">
        <v>3433</v>
      </c>
      <c r="BR500" s="152" t="s">
        <v>3438</v>
      </c>
      <c r="BS500" s="152" t="n">
        <v>202888.375</v>
      </c>
      <c r="BT500" s="152" t="n">
        <v>8237482.637</v>
      </c>
      <c r="BU500" s="152" t="n">
        <v>202882.397</v>
      </c>
      <c r="BV500" s="152" t="n">
        <v>8237486.657</v>
      </c>
      <c r="BW500" s="152" t="n">
        <v>-15.9241035</v>
      </c>
      <c r="BX500" s="152" t="n">
        <v>-47.7750171</v>
      </c>
      <c r="BY500" s="152" t="s">
        <v>3437</v>
      </c>
    </row>
    <row r="501" customFormat="false" ht="13.8" hidden="false" customHeight="false" outlineLevel="0" collapsed="false">
      <c r="A501" s="149" t="n">
        <f aca="false">IF(C501&lt;&gt;"",ROW(A496),"")</f>
        <v>496</v>
      </c>
      <c r="B501" s="150" t="str">
        <f aca="false">HYPERLINK("https://www.google.com/maps/dir/-15.917302,-47.760003/-15.9238692,-47.7757237/data=!4m3!4m2!3e0!5i2")</f>
        <v>https://www.google.com/maps/dir/-15.917302,-47.760003/-15.9238692,-47.7757237/data=!4m3!4m2!3e0!5i2</v>
      </c>
      <c r="C501" s="151" t="s">
        <v>117</v>
      </c>
      <c r="D501" s="152" t="s">
        <v>112</v>
      </c>
      <c r="E501" s="152" t="s">
        <v>113</v>
      </c>
      <c r="F501" s="152" t="s">
        <v>117</v>
      </c>
      <c r="G501" s="152" t="s">
        <v>782</v>
      </c>
      <c r="H501" s="152" t="n">
        <v>63</v>
      </c>
      <c r="I501" s="152" t="s">
        <v>115</v>
      </c>
      <c r="J501" s="152" t="s">
        <v>6</v>
      </c>
      <c r="K501" s="152" t="s">
        <v>3352</v>
      </c>
      <c r="L501" s="152" t="s">
        <v>120</v>
      </c>
      <c r="M501" s="153" t="n">
        <f aca="false">76</f>
        <v>76</v>
      </c>
      <c r="N501" s="152" t="s">
        <v>1548</v>
      </c>
      <c r="O501" s="152" t="s">
        <v>1549</v>
      </c>
      <c r="P501" s="152" t="s">
        <v>1550</v>
      </c>
      <c r="Q501" s="152" t="s">
        <v>1551</v>
      </c>
      <c r="R501" s="154" t="s">
        <v>3439</v>
      </c>
      <c r="S501" s="154" t="s">
        <v>1553</v>
      </c>
      <c r="T501" s="155" t="s">
        <v>2227</v>
      </c>
      <c r="U501" s="152" t="str">
        <f aca="false">RIGHT(T501,7)</f>
        <v>008/037</v>
      </c>
      <c r="V501" s="152" t="s">
        <v>1555</v>
      </c>
      <c r="W501" s="156" t="n">
        <v>45882</v>
      </c>
      <c r="X501" s="152" t="s">
        <v>1594</v>
      </c>
      <c r="Y501" s="152" t="s">
        <v>2242</v>
      </c>
      <c r="Z501" s="152" t="s">
        <v>1557</v>
      </c>
      <c r="AA501" s="153" t="n">
        <v>3.8</v>
      </c>
      <c r="AB501" s="151" t="s">
        <v>3440</v>
      </c>
      <c r="AC501" s="151" t="s">
        <v>186</v>
      </c>
      <c r="AD501" s="151" t="str">
        <f aca="false">CONCATENATE($C501,$I501,$H501,$N501,$J501,$K501)</f>
        <v>TUBO PEADPEAD63VCAREDESZona05</v>
      </c>
      <c r="AE501" s="153" t="n">
        <f aca="false">IFERROR(INDEX(APOIO_REDES!$A:$W,MATCH($C501&amp;$I501&amp;$H501&amp;$N501&amp;$O501,APOIO_REDES!$W:$W,0),MATCH(AE$5,APOIO_REDES!$5:$5,0)),0)</f>
        <v>1.2</v>
      </c>
      <c r="AF501" s="153" t="n">
        <f aca="false">IFERROR(INDEX(APOIO_REDES!$A:$W,MATCH($C501&amp;$I501&amp;$H501&amp;$N501&amp;$O501,APOIO_REDES!$W:$W,0),MATCH(AF$5,APOIO_REDES!$5:$5,0)),0)</f>
        <v>1.363</v>
      </c>
      <c r="AG501" s="153" t="n">
        <f aca="false">IFERROR(INDEX(APOIO_REDES!$A:$W,MATCH($C501&amp;$I501&amp;$H501&amp;$N501&amp;$O501,APOIO_REDES!$W:$W,0),MATCH(AG$5,APOIO_REDES!$5:$5,0)),0)</f>
        <v>0.65</v>
      </c>
      <c r="AH501" s="153" t="n">
        <f aca="false">IFERROR(INDEX(APOIO_REDES!$A:$W,MATCH($C501&amp;$I501&amp;$H501&amp;$N501&amp;$O501,APOIO_REDES!$W:$W,0),MATCH(AH$5,APOIO_REDES!$5:$5,0)),0)</f>
        <v>0.1</v>
      </c>
      <c r="AI501" s="153" t="n">
        <f aca="false">IFERROR(IF($H501&lt;&gt;"",(((($H501/1000)/2)^2)*PI()*$M501),0),0)</f>
        <v>0.23691064359986</v>
      </c>
      <c r="AJ501" s="153" t="n">
        <f aca="false">IFERROR(IF(AND($H501&lt;&gt;"",$I501="FoFo",OR($N501="MND",$N501="VCA"),$Q501="LINEAR"),0,IF(AND($H501&lt;&gt;"",$I501="PEAD",$N501="VCA",$Q501="LINEAR"),($H501/1000)+0.3,IF(AND($H501&lt;&gt;"",$I501="PEAD",$N501="MND",$Q501="EMBOQUE"),0,IF(AND($H501&lt;&gt;"",$I501="PVC",$N501="VCA",$Q501="LINEAR"),($H501/1000)+0.2,IF(AND($H501&lt;&gt;"",$I501="PVC",$N501="MND",$Q501="EMBOQUE"),0,IF(AND($H501&lt;&gt;"",$I501="PEAD",$N501="VCA",$Q501="PREDIAL"),0,0)))))),0)</f>
        <v>0.363</v>
      </c>
      <c r="AK501" s="153" t="n">
        <f aca="false">IF(AA501&lt;&gt;"",AA501,0)</f>
        <v>3.8</v>
      </c>
      <c r="AL501" s="153" t="n">
        <f aca="false">IF(AND($N501="MND",$Q501="EMBOQUE"),$M501,IF(AND($N501="VCA",$Q501="LINEAR"),$M501,IF(AND($N501="VCA",$Q501="PREDIAL"),0,0)))</f>
        <v>76</v>
      </c>
      <c r="AM501" s="153" t="n">
        <f aca="false">IF(AND($N501="MND",$Q501="EMBOQUE"),$M501,IF(AND($N501="VCA",$Q501="LINEAR"),$M501,IF(AND($N501="VCA",$Q501="PREDIAL"),0,0)))</f>
        <v>76</v>
      </c>
      <c r="AN501" s="153" t="n">
        <f aca="false">ROUND(IF(AND($N501="VCA",$M501&lt;&gt;"",$Q501="LINEAR"),$M501/100,IF(AND($N501="MND",$M501&gt;100,$Q501="EMBOQUE"),$M501/100,0)),0)</f>
        <v>1</v>
      </c>
      <c r="AO501" s="153" t="n">
        <f aca="false">IF(AND($N501="MND",$Q501="EMBOQUE"),$AN501*2*2,IF(AND($N501="VCA",$Q501="LINEAR"),$M501*2,IF(AND($N501="VCA",$Q501="PREDIAL"),0,0)))</f>
        <v>152</v>
      </c>
      <c r="AP501" s="153" t="n">
        <f aca="false">IFERROR($M501*$AF501*$AG501,0)</f>
        <v>67.3322</v>
      </c>
      <c r="AQ501" s="153" t="n">
        <f aca="false">IFERROR(IF(AND($N501="VCA",$AH501&gt;0),$M501*$AG501*$AH501,0),0)</f>
        <v>4.94</v>
      </c>
      <c r="AR501" s="153" t="n">
        <f aca="false">IFERROR(IF(AND($N501="VCA",$AJ501&gt;0),($M501*$AG501*$AJ501)-$AI501,0),0)</f>
        <v>17.6952893564001</v>
      </c>
      <c r="AS501" s="153" t="n">
        <f aca="false">IFERROR(IF(AND($N501="VCA",$AP501&gt;0),$AP501-$AI501-$AQ501-$AR501,0),0)</f>
        <v>44.46</v>
      </c>
      <c r="AT501" s="153" t="n">
        <f aca="false">IFERROR(IF($N501="VCA",INDEX(APOIO_REDES!$A:$W,MATCH($C501&amp;$I501&amp;$H501&amp;$N501&amp;$O501,APOIO_REDES!$W:$W,0),MATCH(AT$5,APOIO_REDES!$5:$5,0)),0)*$AP501,0)</f>
        <v>0.73259426531391</v>
      </c>
      <c r="AU501" s="153" t="n">
        <f aca="false">IFERROR(IF($N501="VCA",INDEX(APOIO_REDES!$A:$W,MATCH($C501&amp;$I501&amp;$H501&amp;$N501&amp;$O501,APOIO_REDES!$W:$W,0),MATCH(AU$5,APOIO_REDES!$5:$5,0)),0)*$AP501,0)</f>
        <v>0.585029939110717</v>
      </c>
      <c r="AV501" s="153" t="n">
        <f aca="false">IFERROR(IF($N501="VCA",INDEX(APOIO_REDES!$A:$W,MATCH($C501&amp;$I501&amp;$H501&amp;$N501&amp;$O501,APOIO_REDES!$W:$W,0),MATCH(AV$5,APOIO_REDES!$5:$5,0)),0)*$AP501,0)</f>
        <v>0.0809635509078317</v>
      </c>
      <c r="AW501" s="153" t="n">
        <f aca="false">IFERROR(IF($N501="VCA",INDEX(APOIO_REDES!$A:$W,MATCH($C501&amp;$I501&amp;$H501&amp;$N501&amp;$O501,APOIO_REDES!$W:$W,0),MATCH(AW$5,APOIO_REDES!$5:$5,0)),0)*$AP501,0)</f>
        <v>46.2173437953441</v>
      </c>
      <c r="AX501" s="153" t="n">
        <f aca="false">IFERROR(IF($N501="VCA",INDEX(APOIO_REDES!$A:$W,MATCH($C501&amp;$I501&amp;$H501&amp;$N501&amp;$O501,APOIO_REDES!$W:$W,0),MATCH(AX$5,APOIO_REDES!$5:$5,0)),0)*$AP501,0)</f>
        <v>6.39634872867978</v>
      </c>
      <c r="AY501" s="153" t="n">
        <f aca="false">IFERROR(IF($N501="VCA",INDEX(APOIO_REDES!$A:$W,MATCH($C501&amp;$I501&amp;$H501&amp;$N501&amp;$O501,APOIO_REDES!$W:$W,0),MATCH(AY$5,APOIO_REDES!$5:$5,0)),0)*$AP501,0)</f>
        <v>11.7005916507468</v>
      </c>
      <c r="AZ501" s="153" t="n">
        <f aca="false">IFERROR(IF($N501="VCA",INDEX(APOIO_REDES!$A:$W,MATCH($C501&amp;$I501&amp;$H501&amp;$N501&amp;$O501,APOIO_REDES!$W:$W,0),MATCH(AZ$5,APOIO_REDES!$5:$5,0)),0)*$AP501,0)</f>
        <v>1.6193280698969</v>
      </c>
      <c r="BA501" s="153" t="n">
        <f aca="false">IFERROR(IF(AND($N501="VCA",$Q501="LINEAR"),INDEX(APOIO_REDES!$A:$W,MATCH($C501&amp;$I501&amp;$H501&amp;$N501&amp;$O501,APOIO_REDES!$W:$W,0),MATCH(BA$5,APOIO_REDES!$5:$5,0)),IF(AND($N501="MND",$Q501="EMBOQUE"),INDEX(APOIO_REDES!$A:$W,MATCH($C501&amp;$I501&amp;$H501&amp;$N501&amp;$O501,APOIO_REDES!$W:$W,0),MATCH(BA$5,APOIO_REDES!$5:$5,0)),0))*$M501/10,0)</f>
        <v>6.1254082960633</v>
      </c>
      <c r="BB501" s="153" t="n">
        <f aca="false">IFERROR(IF($N501="VCA",INDEX(APOIO_REDES!$A:$W,MATCH($C501&amp;$I501&amp;$H501&amp;$N501&amp;$O501,APOIO_REDES!$W:$W,0),MATCH(BB$5,APOIO_REDES!$5:$5,0)),0)*($AI501+$AQ501+$AR501),0)</f>
        <v>22.6233436941744</v>
      </c>
      <c r="BC501" s="153" t="n">
        <f aca="false">IFERROR(IF($N501="VCA",INDEX(APOIO_REDES!$A:$W,MATCH($C501&amp;$I501&amp;$H501&amp;$N501&amp;$O501,APOIO_REDES!$W:$W,0),MATCH(BC$5,APOIO_REDES!$5:$5,0)),0)*($AI501+$AQ501+$AR501),0)</f>
        <v>0.248856305825635</v>
      </c>
      <c r="BD501" s="153" t="n">
        <f aca="false">IF(AND($N501="VCA",$AF501&gt;=1.25,$AF501&lt;1.5),$M501*$AF501*2,0)</f>
        <v>207.176</v>
      </c>
      <c r="BE501" s="153" t="n">
        <f aca="false">IF(AND($N501="VCA",$AF501&gt;=1.5,$AF501&lt;3),$M501*$AF501*2,0)</f>
        <v>0</v>
      </c>
      <c r="BF501" s="153" t="n">
        <f aca="false">IF(AND($N501="VCA",$AF501&gt;=3),$M501*$AF501*2,0)</f>
        <v>0</v>
      </c>
      <c r="BG501" s="153" t="n">
        <f aca="false">($BB501+$BC501)*$AK501</f>
        <v>86.91436</v>
      </c>
      <c r="BH501" s="153" t="n">
        <f aca="false">IF(AND($M501&lt;&gt;"",$N501="VCA",$Q501="LINEAR"),($M501*2)/100,IF(AND($M501&lt;&gt;"",$N501="MND",$Q501="EMBOQUE"),($AN501*2)/100,0))</f>
        <v>1.52</v>
      </c>
      <c r="BI501" s="153" t="n">
        <f aca="false">IF(AND($M501&lt;&gt;"",$N501="VCA",$Q501="LINEAR"),$M501,IF(AND($M501&lt;&gt;"",$N501="MND",$Q501="EMBOQUE"),$AN501*2,0))</f>
        <v>76</v>
      </c>
      <c r="BJ501" s="153" t="n">
        <f aca="false">IF(AND($M501&lt;&gt;"",$N501="VCA",$Q501="LINEAR"),($M501*6.8)/100,IF(AND($M501&lt;&gt;"",$N501="MND",$Q501="EMBOQUE"),($AN501*2*6.8)/100,0))</f>
        <v>5.168</v>
      </c>
      <c r="BK501" s="153" t="n">
        <f aca="false">IF(AND($M501&lt;&gt;"",$N501="VCA",$Q501="LINEAR"),($M501*2.5)/50,IF(AND($M501&lt;&gt;"",$N501="MND",$Q501="EMBOQUE"),($AN501*2*2.5)/50,0))</f>
        <v>3.8</v>
      </c>
      <c r="BL501" s="157" t="str">
        <f aca="false">K501&amp;J501</f>
        <v>Zona05REDES</v>
      </c>
      <c r="BM501" s="152" t="s">
        <v>3356</v>
      </c>
      <c r="BN501" s="152" t="s">
        <v>1560</v>
      </c>
      <c r="BO501" s="152" t="s">
        <v>2231</v>
      </c>
      <c r="BP501" s="152" t="s">
        <v>3429</v>
      </c>
      <c r="BQ501" s="152" t="s">
        <v>3441</v>
      </c>
      <c r="BR501" s="152" t="s">
        <v>3442</v>
      </c>
      <c r="BS501" s="152" t="n">
        <v>202809.344</v>
      </c>
      <c r="BT501" s="152" t="n">
        <v>8237509.589</v>
      </c>
      <c r="BU501" s="152" t="n">
        <v>202861.027</v>
      </c>
      <c r="BV501" s="152" t="n">
        <v>8237453.983</v>
      </c>
      <c r="BW501" s="152" t="n">
        <v>-15.9241313</v>
      </c>
      <c r="BX501" s="152" t="n">
        <v>-47.775495</v>
      </c>
      <c r="BY501" s="152" t="s">
        <v>3429</v>
      </c>
    </row>
    <row r="502" customFormat="false" ht="13.8" hidden="false" customHeight="false" outlineLevel="0" collapsed="false">
      <c r="A502" s="149" t="n">
        <f aca="false">IF(C502&lt;&gt;"",ROW(A497),"")</f>
        <v>497</v>
      </c>
      <c r="B502" s="150" t="str">
        <f aca="false">HYPERLINK("https://www.google.com/maps/dir/-15.917302,-47.760003/-15.9207503,-47.7679146/data=!4m3!4m2!3e0!5i1")</f>
        <v>https://www.google.com/maps/dir/-15.917302,-47.760003/-15.9207503,-47.7679146/data=!4m3!4m2!3e0!5i1</v>
      </c>
      <c r="C502" s="151" t="s">
        <v>117</v>
      </c>
      <c r="D502" s="152" t="s">
        <v>112</v>
      </c>
      <c r="E502" s="152" t="s">
        <v>113</v>
      </c>
      <c r="F502" s="152" t="s">
        <v>117</v>
      </c>
      <c r="G502" s="152" t="s">
        <v>782</v>
      </c>
      <c r="H502" s="152" t="n">
        <v>110</v>
      </c>
      <c r="I502" s="152" t="s">
        <v>115</v>
      </c>
      <c r="J502" s="152" t="s">
        <v>6</v>
      </c>
      <c r="K502" s="152" t="s">
        <v>3352</v>
      </c>
      <c r="L502" s="152" t="s">
        <v>120</v>
      </c>
      <c r="M502" s="153" t="n">
        <f aca="false">30.8</f>
        <v>30.8</v>
      </c>
      <c r="N502" s="152" t="s">
        <v>1548</v>
      </c>
      <c r="O502" s="152" t="s">
        <v>1549</v>
      </c>
      <c r="P502" s="152" t="s">
        <v>1550</v>
      </c>
      <c r="Q502" s="152" t="s">
        <v>1551</v>
      </c>
      <c r="R502" s="154" t="s">
        <v>3443</v>
      </c>
      <c r="S502" s="154" t="s">
        <v>1593</v>
      </c>
      <c r="T502" s="155" t="s">
        <v>2797</v>
      </c>
      <c r="U502" s="152" t="str">
        <f aca="false">RIGHT(T502,7)</f>
        <v>009/037</v>
      </c>
      <c r="V502" s="152" t="s">
        <v>1555</v>
      </c>
      <c r="W502" s="156" t="n">
        <v>45882</v>
      </c>
      <c r="X502" s="152" t="s">
        <v>1594</v>
      </c>
      <c r="Y502" s="152" t="s">
        <v>2638</v>
      </c>
      <c r="Z502" s="152" t="s">
        <v>1557</v>
      </c>
      <c r="AA502" s="153" t="n">
        <v>3.3</v>
      </c>
      <c r="AB502" s="151" t="s">
        <v>3444</v>
      </c>
      <c r="AC502" s="151" t="s">
        <v>502</v>
      </c>
      <c r="AD502" s="151" t="str">
        <f aca="false">CONCATENATE($C502,$I502,$H502,$N502,$J502,$K502)</f>
        <v>TUBO PEADPEAD110VCAREDESZona05</v>
      </c>
      <c r="AE502" s="153" t="n">
        <f aca="false">IFERROR(INDEX(APOIO_REDES!$A:$W,MATCH($C502&amp;$I502&amp;$H502&amp;$N502&amp;$O502,APOIO_REDES!$W:$W,0),MATCH(AE$5,APOIO_REDES!$5:$5,0)),0)</f>
        <v>1.2</v>
      </c>
      <c r="AF502" s="153" t="n">
        <f aca="false">IFERROR(INDEX(APOIO_REDES!$A:$W,MATCH($C502&amp;$I502&amp;$H502&amp;$N502&amp;$O502,APOIO_REDES!$W:$W,0),MATCH(AF$5,APOIO_REDES!$5:$5,0)),0)</f>
        <v>1.41</v>
      </c>
      <c r="AG502" s="153" t="n">
        <f aca="false">IFERROR(INDEX(APOIO_REDES!$A:$W,MATCH($C502&amp;$I502&amp;$H502&amp;$N502&amp;$O502,APOIO_REDES!$W:$W,0),MATCH(AG$5,APOIO_REDES!$5:$5,0)),0)</f>
        <v>0.75</v>
      </c>
      <c r="AH502" s="153" t="n">
        <f aca="false">IFERROR(INDEX(APOIO_REDES!$A:$W,MATCH($C502&amp;$I502&amp;$H502&amp;$N502&amp;$O502,APOIO_REDES!$W:$W,0),MATCH(AH$5,APOIO_REDES!$5:$5,0)),0)</f>
        <v>0.1</v>
      </c>
      <c r="AI502" s="153" t="n">
        <f aca="false">IFERROR(IF($H502&lt;&gt;"",(((($H502/1000)/2)^2)*PI()*$M502),0),0)</f>
        <v>0.292702187534961</v>
      </c>
      <c r="AJ502" s="153" t="n">
        <f aca="false">IFERROR(IF(AND($H502&lt;&gt;"",$I502="FoFo",OR($N502="MND",$N502="VCA"),$Q502="LINEAR"),0,IF(AND($H502&lt;&gt;"",$I502="PEAD",$N502="VCA",$Q502="LINEAR"),($H502/1000)+0.3,IF(AND($H502&lt;&gt;"",$I502="PEAD",$N502="MND",$Q502="EMBOQUE"),0,IF(AND($H502&lt;&gt;"",$I502="PVC",$N502="VCA",$Q502="LINEAR"),($H502/1000)+0.2,IF(AND($H502&lt;&gt;"",$I502="PVC",$N502="MND",$Q502="EMBOQUE"),0,IF(AND($H502&lt;&gt;"",$I502="PEAD",$N502="VCA",$Q502="PREDIAL"),0,0)))))),0)</f>
        <v>0.41</v>
      </c>
      <c r="AK502" s="153" t="n">
        <f aca="false">IF(AA502&lt;&gt;"",AA502,0)</f>
        <v>3.3</v>
      </c>
      <c r="AL502" s="153" t="n">
        <f aca="false">IF(AND($N502="MND",$Q502="EMBOQUE"),$M502,IF(AND($N502="VCA",$Q502="LINEAR"),$M502,IF(AND($N502="VCA",$Q502="PREDIAL"),0,0)))</f>
        <v>30.8</v>
      </c>
      <c r="AM502" s="153" t="n">
        <f aca="false">IF(AND($N502="MND",$Q502="EMBOQUE"),$M502,IF(AND($N502="VCA",$Q502="LINEAR"),$M502,IF(AND($N502="VCA",$Q502="PREDIAL"),0,0)))</f>
        <v>30.8</v>
      </c>
      <c r="AN502" s="153" t="n">
        <f aca="false">ROUND(IF(AND($N502="VCA",$M502&lt;&gt;"",$Q502="LINEAR"),$M502/100,IF(AND($N502="MND",$M502&gt;100,$Q502="EMBOQUE"),$M502/100,0)),0)</f>
        <v>0</v>
      </c>
      <c r="AO502" s="153" t="n">
        <f aca="false">IF(AND($N502="MND",$Q502="EMBOQUE"),$AN502*2*2,IF(AND($N502="VCA",$Q502="LINEAR"),$M502*2,IF(AND($N502="VCA",$Q502="PREDIAL"),0,0)))</f>
        <v>61.6</v>
      </c>
      <c r="AP502" s="153" t="n">
        <f aca="false">IFERROR($M502*$AF502*$AG502,0)</f>
        <v>32.571</v>
      </c>
      <c r="AQ502" s="153" t="n">
        <f aca="false">IFERROR(IF(AND($N502="VCA",$AH502&gt;0),$M502*$AG502*$AH502,0),0)</f>
        <v>2.31</v>
      </c>
      <c r="AR502" s="153" t="n">
        <f aca="false">IFERROR(IF(AND($N502="VCA",$AJ502&gt;0),($M502*$AG502*$AJ502)-$AI502,0),0)</f>
        <v>9.17829781246504</v>
      </c>
      <c r="AS502" s="153" t="n">
        <f aca="false">IFERROR(IF(AND($N502="VCA",$AP502&gt;0),$AP502-$AI502-$AQ502-$AR502,0),0)</f>
        <v>20.79</v>
      </c>
      <c r="AT502" s="153" t="n">
        <f aca="false">IFERROR(IF($N502="VCA",INDEX(APOIO_REDES!$A:$W,MATCH($C502&amp;$I502&amp;$H502&amp;$N502&amp;$O502,APOIO_REDES!$W:$W,0),MATCH(AT$5,APOIO_REDES!$5:$5,0)),0)*$AP502,0)</f>
        <v>0.354382120523901</v>
      </c>
      <c r="AU502" s="153" t="n">
        <f aca="false">IFERROR(IF($N502="VCA",INDEX(APOIO_REDES!$A:$W,MATCH($C502&amp;$I502&amp;$H502&amp;$N502&amp;$O502,APOIO_REDES!$W:$W,0),MATCH(AU$5,APOIO_REDES!$5:$5,0)),0)*$AP502,0)</f>
        <v>0.282999963565355</v>
      </c>
      <c r="AV502" s="153" t="n">
        <f aca="false">IFERROR(IF($N502="VCA",INDEX(APOIO_REDES!$A:$W,MATCH($C502&amp;$I502&amp;$H502&amp;$N502&amp;$O502,APOIO_REDES!$W:$W,0),MATCH(AV$5,APOIO_REDES!$5:$5,0)),0)*$AP502,0)</f>
        <v>0.039164973320625</v>
      </c>
      <c r="AW502" s="153" t="n">
        <f aca="false">IFERROR(IF($N502="VCA",INDEX(APOIO_REDES!$A:$W,MATCH($C502&amp;$I502&amp;$H502&amp;$N502&amp;$O502,APOIO_REDES!$W:$W,0),MATCH(AW$5,APOIO_REDES!$5:$5,0)),0)*$AP502,0)</f>
        <v>22.3569867724232</v>
      </c>
      <c r="AX502" s="153" t="n">
        <f aca="false">IFERROR(IF($N502="VCA",INDEX(APOIO_REDES!$A:$W,MATCH($C502&amp;$I502&amp;$H502&amp;$N502&amp;$O502,APOIO_REDES!$W:$W,0),MATCH(AX$5,APOIO_REDES!$5:$5,0)),0)*$AP502,0)</f>
        <v>3.09414328422106</v>
      </c>
      <c r="AY502" s="153" t="n">
        <f aca="false">IFERROR(IF($N502="VCA",INDEX(APOIO_REDES!$A:$W,MATCH($C502&amp;$I502&amp;$H502&amp;$N502&amp;$O502,APOIO_REDES!$W:$W,0),MATCH(AY$5,APOIO_REDES!$5:$5,0)),0)*$AP502,0)</f>
        <v>5.65999582156048</v>
      </c>
      <c r="AZ502" s="153" t="n">
        <f aca="false">IFERROR(IF($N502="VCA",INDEX(APOIO_REDES!$A:$W,MATCH($C502&amp;$I502&amp;$H502&amp;$N502&amp;$O502,APOIO_REDES!$W:$W,0),MATCH(AZ$5,APOIO_REDES!$5:$5,0)),0)*$AP502,0)</f>
        <v>0.78332706438542</v>
      </c>
      <c r="BA502" s="153" t="n">
        <f aca="false">IFERROR(IF(AND($N502="VCA",$Q502="LINEAR"),INDEX(APOIO_REDES!$A:$W,MATCH($C502&amp;$I502&amp;$H502&amp;$N502&amp;$O502,APOIO_REDES!$W:$W,0),MATCH(BA$5,APOIO_REDES!$5:$5,0)),IF(AND($N502="MND",$Q502="EMBOQUE"),INDEX(APOIO_REDES!$A:$W,MATCH($C502&amp;$I502&amp;$H502&amp;$N502&amp;$O502,APOIO_REDES!$W:$W,0),MATCH(BA$5,APOIO_REDES!$5:$5,0)),0))*$M502/10,0)</f>
        <v>2.48240230945723</v>
      </c>
      <c r="BB502" s="153" t="n">
        <f aca="false">IFERROR(IF($N502="VCA",INDEX(APOIO_REDES!$A:$W,MATCH($C502&amp;$I502&amp;$H502&amp;$N502&amp;$O502,APOIO_REDES!$W:$W,0),MATCH(BB$5,APOIO_REDES!$5:$5,0)),0)*($AI502+$AQ502+$AR502),0)</f>
        <v>11.652819233002</v>
      </c>
      <c r="BC502" s="153" t="n">
        <f aca="false">IFERROR(IF($N502="VCA",INDEX(APOIO_REDES!$A:$W,MATCH($C502&amp;$I502&amp;$H502&amp;$N502&amp;$O502,APOIO_REDES!$W:$W,0),MATCH(BC$5,APOIO_REDES!$5:$5,0)),0)*($AI502+$AQ502+$AR502),0)</f>
        <v>0.128180766998007</v>
      </c>
      <c r="BD502" s="153" t="n">
        <f aca="false">IF(AND($N502="VCA",$AF502&gt;=1.25,$AF502&lt;1.5),$M502*$AF502*2,0)</f>
        <v>86.856</v>
      </c>
      <c r="BE502" s="153" t="n">
        <f aca="false">IF(AND($N502="VCA",$AF502&gt;=1.5,$AF502&lt;3),$M502*$AF502*2,0)</f>
        <v>0</v>
      </c>
      <c r="BF502" s="153" t="n">
        <f aca="false">IF(AND($N502="VCA",$AF502&gt;=3),$M502*$AF502*2,0)</f>
        <v>0</v>
      </c>
      <c r="BG502" s="153" t="n">
        <f aca="false">($BB502+$BC502)*$AK502</f>
        <v>38.8773</v>
      </c>
      <c r="BH502" s="153" t="n">
        <f aca="false">IF(AND($M502&lt;&gt;"",$N502="VCA",$Q502="LINEAR"),($M502*2)/100,IF(AND($M502&lt;&gt;"",$N502="MND",$Q502="EMBOQUE"),($AN502*2)/100,0))</f>
        <v>0.616</v>
      </c>
      <c r="BI502" s="153" t="n">
        <f aca="false">IF(AND($M502&lt;&gt;"",$N502="VCA",$Q502="LINEAR"),$M502,IF(AND($M502&lt;&gt;"",$N502="MND",$Q502="EMBOQUE"),$AN502*2,0))</f>
        <v>30.8</v>
      </c>
      <c r="BJ502" s="153" t="n">
        <f aca="false">IF(AND($M502&lt;&gt;"",$N502="VCA",$Q502="LINEAR"),($M502*6.8)/100,IF(AND($M502&lt;&gt;"",$N502="MND",$Q502="EMBOQUE"),($AN502*2*6.8)/100,0))</f>
        <v>2.0944</v>
      </c>
      <c r="BK502" s="153" t="n">
        <f aca="false">IF(AND($M502&lt;&gt;"",$N502="VCA",$Q502="LINEAR"),($M502*2.5)/50,IF(AND($M502&lt;&gt;"",$N502="MND",$Q502="EMBOQUE"),($AN502*2*2.5)/50,0))</f>
        <v>1.54</v>
      </c>
      <c r="BL502" s="157" t="str">
        <f aca="false">K502&amp;J502</f>
        <v>Zona05REDES</v>
      </c>
      <c r="BM502" s="152" t="s">
        <v>3356</v>
      </c>
      <c r="BN502" s="152" t="s">
        <v>1560</v>
      </c>
      <c r="BO502" s="152" t="s">
        <v>2800</v>
      </c>
      <c r="BP502" s="152" t="s">
        <v>3445</v>
      </c>
      <c r="BQ502" s="152" t="s">
        <v>3446</v>
      </c>
      <c r="BR502" s="152" t="s">
        <v>3447</v>
      </c>
      <c r="BS502" s="152" t="n">
        <v>203641.417</v>
      </c>
      <c r="BT502" s="152" t="n">
        <v>8237866.037</v>
      </c>
      <c r="BU502" s="152" t="n">
        <v>203611.091</v>
      </c>
      <c r="BV502" s="152" t="n">
        <v>8237860.633</v>
      </c>
      <c r="BW502" s="152" t="n">
        <v>-15.9207729</v>
      </c>
      <c r="BX502" s="152" t="n">
        <v>-47.7680565</v>
      </c>
      <c r="BY502" s="152" t="s">
        <v>3445</v>
      </c>
    </row>
    <row r="503" customFormat="false" ht="13.8" hidden="false" customHeight="false" outlineLevel="0" collapsed="false">
      <c r="A503" s="149" t="n">
        <f aca="false">IF(C503&lt;&gt;"",ROW(A498),"")</f>
        <v>498</v>
      </c>
      <c r="B503" s="150" t="str">
        <f aca="false">HYPERLINK("https://www.google.com/maps/dir/-15.917302,-47.760003/-15.9207434,-47.7672418/data=!4m3!4m2!3e0!5i1")</f>
        <v>https://www.google.com/maps/dir/-15.917302,-47.760003/-15.9207434,-47.7672418/data=!4m3!4m2!3e0!5i1</v>
      </c>
      <c r="C503" s="151" t="s">
        <v>117</v>
      </c>
      <c r="D503" s="152" t="s">
        <v>112</v>
      </c>
      <c r="E503" s="152" t="s">
        <v>113</v>
      </c>
      <c r="F503" s="152" t="s">
        <v>117</v>
      </c>
      <c r="G503" s="152" t="s">
        <v>782</v>
      </c>
      <c r="H503" s="152" t="n">
        <v>63</v>
      </c>
      <c r="I503" s="152" t="s">
        <v>115</v>
      </c>
      <c r="J503" s="152" t="s">
        <v>6</v>
      </c>
      <c r="K503" s="152" t="s">
        <v>3352</v>
      </c>
      <c r="L503" s="152" t="s">
        <v>120</v>
      </c>
      <c r="M503" s="153" t="n">
        <f aca="false">49.03</f>
        <v>49.03</v>
      </c>
      <c r="N503" s="152" t="s">
        <v>1548</v>
      </c>
      <c r="O503" s="152" t="s">
        <v>1549</v>
      </c>
      <c r="P503" s="152" t="s">
        <v>1550</v>
      </c>
      <c r="Q503" s="152" t="s">
        <v>1551</v>
      </c>
      <c r="R503" s="154" t="s">
        <v>3448</v>
      </c>
      <c r="S503" s="154" t="s">
        <v>1553</v>
      </c>
      <c r="T503" s="155" t="s">
        <v>2797</v>
      </c>
      <c r="U503" s="152" t="str">
        <f aca="false">RIGHT(T503,7)</f>
        <v>009/037</v>
      </c>
      <c r="V503" s="152" t="s">
        <v>1555</v>
      </c>
      <c r="W503" s="156" t="n">
        <v>45882</v>
      </c>
      <c r="X503" s="152" t="s">
        <v>1594</v>
      </c>
      <c r="Y503" s="152" t="s">
        <v>2638</v>
      </c>
      <c r="Z503" s="152" t="s">
        <v>1557</v>
      </c>
      <c r="AA503" s="153" t="n">
        <v>3.4</v>
      </c>
      <c r="AB503" s="151" t="s">
        <v>3449</v>
      </c>
      <c r="AC503" s="151" t="s">
        <v>186</v>
      </c>
      <c r="AD503" s="151" t="str">
        <f aca="false">CONCATENATE($C503,$I503,$H503,$N503,$J503,$K503)</f>
        <v>TUBO PEADPEAD63VCAREDESZona05</v>
      </c>
      <c r="AE503" s="153" t="n">
        <f aca="false">IFERROR(INDEX(APOIO_REDES!$A:$W,MATCH($C503&amp;$I503&amp;$H503&amp;$N503&amp;$O503,APOIO_REDES!$W:$W,0),MATCH(AE$5,APOIO_REDES!$5:$5,0)),0)</f>
        <v>1.2</v>
      </c>
      <c r="AF503" s="153" t="n">
        <f aca="false">IFERROR(INDEX(APOIO_REDES!$A:$W,MATCH($C503&amp;$I503&amp;$H503&amp;$N503&amp;$O503,APOIO_REDES!$W:$W,0),MATCH(AF$5,APOIO_REDES!$5:$5,0)),0)</f>
        <v>1.363</v>
      </c>
      <c r="AG503" s="153" t="n">
        <f aca="false">IFERROR(INDEX(APOIO_REDES!$A:$W,MATCH($C503&amp;$I503&amp;$H503&amp;$N503&amp;$O503,APOIO_REDES!$W:$W,0),MATCH(AG$5,APOIO_REDES!$5:$5,0)),0)</f>
        <v>0.65</v>
      </c>
      <c r="AH503" s="153" t="n">
        <f aca="false">IFERROR(INDEX(APOIO_REDES!$A:$W,MATCH($C503&amp;$I503&amp;$H503&amp;$N503&amp;$O503,APOIO_REDES!$W:$W,0),MATCH(AH$5,APOIO_REDES!$5:$5,0)),0)</f>
        <v>0.1</v>
      </c>
      <c r="AI503" s="153" t="n">
        <f aca="false">IFERROR(IF($H503&lt;&gt;"",(((($H503/1000)/2)^2)*PI()*$M503),0),0)</f>
        <v>0.152838537575015</v>
      </c>
      <c r="AJ503" s="153" t="n">
        <f aca="false">IFERROR(IF(AND($H503&lt;&gt;"",$I503="FoFo",OR($N503="MND",$N503="VCA"),$Q503="LINEAR"),0,IF(AND($H503&lt;&gt;"",$I503="PEAD",$N503="VCA",$Q503="LINEAR"),($H503/1000)+0.3,IF(AND($H503&lt;&gt;"",$I503="PEAD",$N503="MND",$Q503="EMBOQUE"),0,IF(AND($H503&lt;&gt;"",$I503="PVC",$N503="VCA",$Q503="LINEAR"),($H503/1000)+0.2,IF(AND($H503&lt;&gt;"",$I503="PVC",$N503="MND",$Q503="EMBOQUE"),0,IF(AND($H503&lt;&gt;"",$I503="PEAD",$N503="VCA",$Q503="PREDIAL"),0,0)))))),0)</f>
        <v>0.363</v>
      </c>
      <c r="AK503" s="153" t="n">
        <f aca="false">IF(AA503&lt;&gt;"",AA503,0)</f>
        <v>3.4</v>
      </c>
      <c r="AL503" s="153" t="n">
        <f aca="false">IF(AND($N503="MND",$Q503="EMBOQUE"),$M503,IF(AND($N503="VCA",$Q503="LINEAR"),$M503,IF(AND($N503="VCA",$Q503="PREDIAL"),0,0)))</f>
        <v>49.03</v>
      </c>
      <c r="AM503" s="153" t="n">
        <f aca="false">IF(AND($N503="MND",$Q503="EMBOQUE"),$M503,IF(AND($N503="VCA",$Q503="LINEAR"),$M503,IF(AND($N503="VCA",$Q503="PREDIAL"),0,0)))</f>
        <v>49.03</v>
      </c>
      <c r="AN503" s="153" t="n">
        <f aca="false">ROUND(IF(AND($N503="VCA",$M503&lt;&gt;"",$Q503="LINEAR"),$M503/100,IF(AND($N503="MND",$M503&gt;100,$Q503="EMBOQUE"),$M503/100,0)),0)</f>
        <v>0</v>
      </c>
      <c r="AO503" s="153" t="n">
        <f aca="false">IF(AND($N503="MND",$Q503="EMBOQUE"),$AN503*2*2,IF(AND($N503="VCA",$Q503="LINEAR"),$M503*2,IF(AND($N503="VCA",$Q503="PREDIAL"),0,0)))</f>
        <v>98.06</v>
      </c>
      <c r="AP503" s="153" t="n">
        <f aca="false">IFERROR($M503*$AF503*$AG503,0)</f>
        <v>43.4381285</v>
      </c>
      <c r="AQ503" s="153" t="n">
        <f aca="false">IFERROR(IF(AND($N503="VCA",$AH503&gt;0),$M503*$AG503*$AH503,0),0)</f>
        <v>3.18695</v>
      </c>
      <c r="AR503" s="153" t="n">
        <f aca="false">IFERROR(IF(AND($N503="VCA",$AJ503&gt;0),($M503*$AG503*$AJ503)-$AI503,0),0)</f>
        <v>11.415789962425</v>
      </c>
      <c r="AS503" s="153" t="n">
        <f aca="false">IFERROR(IF(AND($N503="VCA",$AP503&gt;0),$AP503-$AI503-$AQ503-$AR503,0),0)</f>
        <v>28.68255</v>
      </c>
      <c r="AT503" s="153" t="n">
        <f aca="false">IFERROR(IF($N503="VCA",INDEX(APOIO_REDES!$A:$W,MATCH($C503&amp;$I503&amp;$H503&amp;$N503&amp;$O503,APOIO_REDES!$W:$W,0),MATCH(AT$5,APOIO_REDES!$5:$5,0)),0)*$AP503,0)</f>
        <v>0.47261969510975</v>
      </c>
      <c r="AU503" s="153" t="n">
        <f aca="false">IFERROR(IF($N503="VCA",INDEX(APOIO_REDES!$A:$W,MATCH($C503&amp;$I503&amp;$H503&amp;$N503&amp;$O503,APOIO_REDES!$W:$W,0),MATCH(AU$5,APOIO_REDES!$5:$5,0)),0)*$AP503,0)</f>
        <v>0.37742128834998</v>
      </c>
      <c r="AV503" s="153" t="n">
        <f aca="false">IFERROR(IF($N503="VCA",INDEX(APOIO_REDES!$A:$W,MATCH($C503&amp;$I503&amp;$H503&amp;$N503&amp;$O503,APOIO_REDES!$W:$W,0),MATCH(AV$5,APOIO_REDES!$5:$5,0)),0)*$AP503,0)</f>
        <v>0.0522321434343551</v>
      </c>
      <c r="AW503" s="153" t="n">
        <f aca="false">IFERROR(IF($N503="VCA",INDEX(APOIO_REDES!$A:$W,MATCH($C503&amp;$I503&amp;$H503&amp;$N503&amp;$O503,APOIO_REDES!$W:$W,0),MATCH(AW$5,APOIO_REDES!$5:$5,0)),0)*$AP503,0)</f>
        <v>29.8162679774437</v>
      </c>
      <c r="AX503" s="153" t="n">
        <f aca="false">IFERROR(IF($N503="VCA",INDEX(APOIO_REDES!$A:$W,MATCH($C503&amp;$I503&amp;$H503&amp;$N503&amp;$O503,APOIO_REDES!$W:$W,0),MATCH(AX$5,APOIO_REDES!$5:$5,0)),0)*$AP503,0)</f>
        <v>4.12648655483118</v>
      </c>
      <c r="AY503" s="153" t="n">
        <f aca="false">IFERROR(IF($N503="VCA",INDEX(APOIO_REDES!$A:$W,MATCH($C503&amp;$I503&amp;$H503&amp;$N503&amp;$O503,APOIO_REDES!$W:$W,0),MATCH(AY$5,APOIO_REDES!$5:$5,0)),0)*$AP503,0)</f>
        <v>7.54842116626469</v>
      </c>
      <c r="AZ503" s="153" t="n">
        <f aca="false">IFERROR(IF($N503="VCA",INDEX(APOIO_REDES!$A:$W,MATCH($C503&amp;$I503&amp;$H503&amp;$N503&amp;$O503,APOIO_REDES!$W:$W,0),MATCH(AZ$5,APOIO_REDES!$5:$5,0)),0)*$AP503,0)</f>
        <v>1.04467967456638</v>
      </c>
      <c r="BA503" s="153" t="n">
        <f aca="false">IFERROR(IF(AND($N503="VCA",$Q503="LINEAR"),INDEX(APOIO_REDES!$A:$W,MATCH($C503&amp;$I503&amp;$H503&amp;$N503&amp;$O503,APOIO_REDES!$W:$W,0),MATCH(BA$5,APOIO_REDES!$5:$5,0)),IF(AND($N503="MND",$Q503="EMBOQUE"),INDEX(APOIO_REDES!$A:$W,MATCH($C503&amp;$I503&amp;$H503&amp;$N503&amp;$O503,APOIO_REDES!$W:$W,0),MATCH(BA$5,APOIO_REDES!$5:$5,0)),0))*$M503/10,0)</f>
        <v>3.95169432573663</v>
      </c>
      <c r="BB503" s="153" t="n">
        <f aca="false">IFERROR(IF($N503="VCA",INDEX(APOIO_REDES!$A:$W,MATCH($C503&amp;$I503&amp;$H503&amp;$N503&amp;$O503,APOIO_REDES!$W:$W,0),MATCH(BB$5,APOIO_REDES!$5:$5,0)),0)*($AI503+$AQ503+$AR503),0)</f>
        <v>14.5950334384917</v>
      </c>
      <c r="BC503" s="153" t="n">
        <f aca="false">IFERROR(IF($N503="VCA",INDEX(APOIO_REDES!$A:$W,MATCH($C503&amp;$I503&amp;$H503&amp;$N503&amp;$O503,APOIO_REDES!$W:$W,0),MATCH(BC$5,APOIO_REDES!$5:$5,0)),0)*($AI503+$AQ503+$AR503),0)</f>
        <v>0.160545061508301</v>
      </c>
      <c r="BD503" s="153" t="n">
        <f aca="false">IF(AND($N503="VCA",$AF503&gt;=1.25,$AF503&lt;1.5),$M503*$AF503*2,0)</f>
        <v>133.65578</v>
      </c>
      <c r="BE503" s="153" t="n">
        <f aca="false">IF(AND($N503="VCA",$AF503&gt;=1.5,$AF503&lt;3),$M503*$AF503*2,0)</f>
        <v>0</v>
      </c>
      <c r="BF503" s="153" t="n">
        <f aca="false">IF(AND($N503="VCA",$AF503&gt;=3),$M503*$AF503*2,0)</f>
        <v>0</v>
      </c>
      <c r="BG503" s="153" t="n">
        <f aca="false">($BB503+$BC503)*$AK503</f>
        <v>50.1689669</v>
      </c>
      <c r="BH503" s="153" t="n">
        <f aca="false">IF(AND($M503&lt;&gt;"",$N503="VCA",$Q503="LINEAR"),($M503*2)/100,IF(AND($M503&lt;&gt;"",$N503="MND",$Q503="EMBOQUE"),($AN503*2)/100,0))</f>
        <v>0.9806</v>
      </c>
      <c r="BI503" s="153" t="n">
        <f aca="false">IF(AND($M503&lt;&gt;"",$N503="VCA",$Q503="LINEAR"),$M503,IF(AND($M503&lt;&gt;"",$N503="MND",$Q503="EMBOQUE"),$AN503*2,0))</f>
        <v>49.03</v>
      </c>
      <c r="BJ503" s="153" t="n">
        <f aca="false">IF(AND($M503&lt;&gt;"",$N503="VCA",$Q503="LINEAR"),($M503*6.8)/100,IF(AND($M503&lt;&gt;"",$N503="MND",$Q503="EMBOQUE"),($AN503*2*6.8)/100,0))</f>
        <v>3.33404</v>
      </c>
      <c r="BK503" s="153" t="n">
        <f aca="false">IF(AND($M503&lt;&gt;"",$N503="VCA",$Q503="LINEAR"),($M503*2.5)/50,IF(AND($M503&lt;&gt;"",$N503="MND",$Q503="EMBOQUE"),($AN503*2*2.5)/50,0))</f>
        <v>2.4515</v>
      </c>
      <c r="BL503" s="157" t="str">
        <f aca="false">K503&amp;J503</f>
        <v>Zona05REDES</v>
      </c>
      <c r="BM503" s="152" t="s">
        <v>3356</v>
      </c>
      <c r="BN503" s="152" t="s">
        <v>1560</v>
      </c>
      <c r="BO503" s="152" t="s">
        <v>2800</v>
      </c>
      <c r="BP503" s="152" t="s">
        <v>3450</v>
      </c>
      <c r="BQ503" s="152" t="s">
        <v>3451</v>
      </c>
      <c r="BR503" s="152" t="s">
        <v>3452</v>
      </c>
      <c r="BS503" s="152" t="n">
        <v>203713.499</v>
      </c>
      <c r="BT503" s="152" t="n">
        <v>8237867.756</v>
      </c>
      <c r="BU503" s="152" t="n">
        <v>203666.327</v>
      </c>
      <c r="BV503" s="152" t="n">
        <v>8237854.394</v>
      </c>
      <c r="BW503" s="152" t="n">
        <v>-15.9208009</v>
      </c>
      <c r="BX503" s="152" t="n">
        <v>-47.7674627</v>
      </c>
      <c r="BY503" s="152" t="s">
        <v>3450</v>
      </c>
    </row>
    <row r="504" customFormat="false" ht="13.8" hidden="false" customHeight="false" outlineLevel="0" collapsed="false">
      <c r="A504" s="149" t="n">
        <f aca="false">IF(C504&lt;&gt;"",ROW(A499),"")</f>
        <v>499</v>
      </c>
      <c r="B504" s="150" t="str">
        <f aca="false">HYPERLINK("https://www.google.com/maps/dir/-15.917302,-47.760003/-15.9207955,-47.7681983/data=!4m3!4m2!3e0!5i1")</f>
        <v>https://www.google.com/maps/dir/-15.917302,-47.760003/-15.9207955,-47.7681983/data=!4m3!4m2!3e0!5i1</v>
      </c>
      <c r="C504" s="151" t="s">
        <v>117</v>
      </c>
      <c r="D504" s="152" t="s">
        <v>112</v>
      </c>
      <c r="E504" s="152" t="s">
        <v>113</v>
      </c>
      <c r="F504" s="152" t="s">
        <v>117</v>
      </c>
      <c r="G504" s="152" t="s">
        <v>782</v>
      </c>
      <c r="H504" s="152" t="n">
        <v>63</v>
      </c>
      <c r="I504" s="152" t="s">
        <v>115</v>
      </c>
      <c r="J504" s="152" t="s">
        <v>6</v>
      </c>
      <c r="K504" s="152" t="s">
        <v>3352</v>
      </c>
      <c r="L504" s="152" t="s">
        <v>120</v>
      </c>
      <c r="M504" s="153" t="n">
        <f aca="false">6.14</f>
        <v>6.14</v>
      </c>
      <c r="N504" s="152" t="s">
        <v>1548</v>
      </c>
      <c r="O504" s="152" t="s">
        <v>1549</v>
      </c>
      <c r="P504" s="152" t="s">
        <v>1550</v>
      </c>
      <c r="Q504" s="152" t="s">
        <v>1551</v>
      </c>
      <c r="R504" s="154" t="s">
        <v>3453</v>
      </c>
      <c r="S504" s="154" t="s">
        <v>1553</v>
      </c>
      <c r="T504" s="155" t="s">
        <v>2797</v>
      </c>
      <c r="U504" s="152" t="str">
        <f aca="false">RIGHT(T504,7)</f>
        <v>009/037</v>
      </c>
      <c r="V504" s="152" t="s">
        <v>1555</v>
      </c>
      <c r="W504" s="156" t="n">
        <v>45882</v>
      </c>
      <c r="X504" s="152" t="s">
        <v>1594</v>
      </c>
      <c r="Y504" s="152" t="s">
        <v>2798</v>
      </c>
      <c r="Z504" s="152" t="s">
        <v>1557</v>
      </c>
      <c r="AA504" s="153" t="n">
        <v>3.3</v>
      </c>
      <c r="AB504" s="151" t="s">
        <v>3454</v>
      </c>
      <c r="AC504" s="151" t="s">
        <v>186</v>
      </c>
      <c r="AD504" s="151" t="str">
        <f aca="false">CONCATENATE($C504,$I504,$H504,$N504,$J504,$K504)</f>
        <v>TUBO PEADPEAD63VCAREDESZona05</v>
      </c>
      <c r="AE504" s="153" t="n">
        <f aca="false">IFERROR(INDEX(APOIO_REDES!$A:$W,MATCH($C504&amp;$I504&amp;$H504&amp;$N504&amp;$O504,APOIO_REDES!$W:$W,0),MATCH(AE$5,APOIO_REDES!$5:$5,0)),0)</f>
        <v>1.2</v>
      </c>
      <c r="AF504" s="153" t="n">
        <f aca="false">IFERROR(INDEX(APOIO_REDES!$A:$W,MATCH($C504&amp;$I504&amp;$H504&amp;$N504&amp;$O504,APOIO_REDES!$W:$W,0),MATCH(AF$5,APOIO_REDES!$5:$5,0)),0)</f>
        <v>1.363</v>
      </c>
      <c r="AG504" s="153" t="n">
        <f aca="false">IFERROR(INDEX(APOIO_REDES!$A:$W,MATCH($C504&amp;$I504&amp;$H504&amp;$N504&amp;$O504,APOIO_REDES!$W:$W,0),MATCH(AG$5,APOIO_REDES!$5:$5,0)),0)</f>
        <v>0.65</v>
      </c>
      <c r="AH504" s="153" t="n">
        <f aca="false">IFERROR(INDEX(APOIO_REDES!$A:$W,MATCH($C504&amp;$I504&amp;$H504&amp;$N504&amp;$O504,APOIO_REDES!$W:$W,0),MATCH(AH$5,APOIO_REDES!$5:$5,0)),0)</f>
        <v>0.1</v>
      </c>
      <c r="AI504" s="153" t="n">
        <f aca="false">IFERROR(IF($H504&lt;&gt;"",(((($H504/1000)/2)^2)*PI()*$M504),0),0)</f>
        <v>0.0191398862066203</v>
      </c>
      <c r="AJ504" s="153" t="n">
        <f aca="false">IFERROR(IF(AND($H504&lt;&gt;"",$I504="FoFo",OR($N504="MND",$N504="VCA"),$Q504="LINEAR"),0,IF(AND($H504&lt;&gt;"",$I504="PEAD",$N504="VCA",$Q504="LINEAR"),($H504/1000)+0.3,IF(AND($H504&lt;&gt;"",$I504="PEAD",$N504="MND",$Q504="EMBOQUE"),0,IF(AND($H504&lt;&gt;"",$I504="PVC",$N504="VCA",$Q504="LINEAR"),($H504/1000)+0.2,IF(AND($H504&lt;&gt;"",$I504="PVC",$N504="MND",$Q504="EMBOQUE"),0,IF(AND($H504&lt;&gt;"",$I504="PEAD",$N504="VCA",$Q504="PREDIAL"),0,0)))))),0)</f>
        <v>0.363</v>
      </c>
      <c r="AK504" s="153" t="n">
        <f aca="false">IF(AA504&lt;&gt;"",AA504,0)</f>
        <v>3.3</v>
      </c>
      <c r="AL504" s="153" t="n">
        <f aca="false">IF(AND($N504="MND",$Q504="EMBOQUE"),$M504,IF(AND($N504="VCA",$Q504="LINEAR"),$M504,IF(AND($N504="VCA",$Q504="PREDIAL"),0,0)))</f>
        <v>6.14</v>
      </c>
      <c r="AM504" s="153" t="n">
        <f aca="false">IF(AND($N504="MND",$Q504="EMBOQUE"),$M504,IF(AND($N504="VCA",$Q504="LINEAR"),$M504,IF(AND($N504="VCA",$Q504="PREDIAL"),0,0)))</f>
        <v>6.14</v>
      </c>
      <c r="AN504" s="153" t="n">
        <f aca="false">ROUND(IF(AND($N504="VCA",$M504&lt;&gt;"",$Q504="LINEAR"),$M504/100,IF(AND($N504="MND",$M504&gt;100,$Q504="EMBOQUE"),$M504/100,0)),0)</f>
        <v>0</v>
      </c>
      <c r="AO504" s="153" t="n">
        <f aca="false">IF(AND($N504="MND",$Q504="EMBOQUE"),$AN504*2*2,IF(AND($N504="VCA",$Q504="LINEAR"),$M504*2,IF(AND($N504="VCA",$Q504="PREDIAL"),0,0)))</f>
        <v>12.28</v>
      </c>
      <c r="AP504" s="153" t="n">
        <f aca="false">IFERROR($M504*$AF504*$AG504,0)</f>
        <v>5.439733</v>
      </c>
      <c r="AQ504" s="153" t="n">
        <f aca="false">IFERROR(IF(AND($N504="VCA",$AH504&gt;0),$M504*$AG504*$AH504,0),0)</f>
        <v>0.3991</v>
      </c>
      <c r="AR504" s="153" t="n">
        <f aca="false">IFERROR(IF(AND($N504="VCA",$AJ504&gt;0),($M504*$AG504*$AJ504)-$AI504,0),0)</f>
        <v>1.42959311379338</v>
      </c>
      <c r="AS504" s="153" t="n">
        <f aca="false">IFERROR(IF(AND($N504="VCA",$AP504&gt;0),$AP504-$AI504-$AQ504-$AR504,0),0)</f>
        <v>3.5919</v>
      </c>
      <c r="AT504" s="153" t="n">
        <f aca="false">IFERROR(IF($N504="VCA",INDEX(APOIO_REDES!$A:$W,MATCH($C504&amp;$I504&amp;$H504&amp;$N504&amp;$O504,APOIO_REDES!$W:$W,0),MATCH(AT$5,APOIO_REDES!$5:$5,0)),0)*$AP504,0)</f>
        <v>0.0591859051187817</v>
      </c>
      <c r="AU504" s="153" t="n">
        <f aca="false">IFERROR(IF($N504="VCA",INDEX(APOIO_REDES!$A:$W,MATCH($C504&amp;$I504&amp;$H504&amp;$N504&amp;$O504,APOIO_REDES!$W:$W,0),MATCH(AU$5,APOIO_REDES!$5:$5,0)),0)*$AP504,0)</f>
        <v>0.0472642608702606</v>
      </c>
      <c r="AV504" s="153" t="n">
        <f aca="false">IFERROR(IF($N504="VCA",INDEX(APOIO_REDES!$A:$W,MATCH($C504&amp;$I504&amp;$H504&amp;$N504&amp;$O504,APOIO_REDES!$W:$W,0),MATCH(AV$5,APOIO_REDES!$5:$5,0)),0)*$AP504,0)</f>
        <v>0.00654100266544851</v>
      </c>
      <c r="AW504" s="153" t="n">
        <f aca="false">IFERROR(IF($N504="VCA",INDEX(APOIO_REDES!$A:$W,MATCH($C504&amp;$I504&amp;$H504&amp;$N504&amp;$O504,APOIO_REDES!$W:$W,0),MATCH(AW$5,APOIO_REDES!$5:$5,0)),0)*$AP504,0)</f>
        <v>3.73387488030806</v>
      </c>
      <c r="AX504" s="153" t="n">
        <f aca="false">IFERROR(IF($N504="VCA",INDEX(APOIO_REDES!$A:$W,MATCH($C504&amp;$I504&amp;$H504&amp;$N504&amp;$O504,APOIO_REDES!$W:$W,0),MATCH(AX$5,APOIO_REDES!$5:$5,0)),0)*$AP504,0)</f>
        <v>0.516757647290708</v>
      </c>
      <c r="AY504" s="153" t="n">
        <f aca="false">IFERROR(IF($N504="VCA",INDEX(APOIO_REDES!$A:$W,MATCH($C504&amp;$I504&amp;$H504&amp;$N504&amp;$O504,APOIO_REDES!$W:$W,0),MATCH(AY$5,APOIO_REDES!$5:$5,0)),0)*$AP504,0)</f>
        <v>0.945284641257703</v>
      </c>
      <c r="AZ504" s="153" t="n">
        <f aca="false">IFERROR(IF($N504="VCA",INDEX(APOIO_REDES!$A:$W,MATCH($C504&amp;$I504&amp;$H504&amp;$N504&amp;$O504,APOIO_REDES!$W:$W,0),MATCH(AZ$5,APOIO_REDES!$5:$5,0)),0)*$AP504,0)</f>
        <v>0.130824662489039</v>
      </c>
      <c r="BA504" s="153" t="n">
        <f aca="false">IFERROR(IF(AND($N504="VCA",$Q504="LINEAR"),INDEX(APOIO_REDES!$A:$W,MATCH($C504&amp;$I504&amp;$H504&amp;$N504&amp;$O504,APOIO_REDES!$W:$W,0),MATCH(BA$5,APOIO_REDES!$5:$5,0)),IF(AND($N504="MND",$Q504="EMBOQUE"),INDEX(APOIO_REDES!$A:$W,MATCH($C504&amp;$I504&amp;$H504&amp;$N504&amp;$O504,APOIO_REDES!$W:$W,0),MATCH(BA$5,APOIO_REDES!$5:$5,0)),0))*$M504/10,0)</f>
        <v>0.494868512339851</v>
      </c>
      <c r="BB504" s="153" t="n">
        <f aca="false">IFERROR(IF($N504="VCA",INDEX(APOIO_REDES!$A:$W,MATCH($C504&amp;$I504&amp;$H504&amp;$N504&amp;$O504,APOIO_REDES!$W:$W,0),MATCH(BB$5,APOIO_REDES!$5:$5,0)),0)*($AI504+$AQ504+$AR504),0)</f>
        <v>1.82772803002935</v>
      </c>
      <c r="BC504" s="153" t="n">
        <f aca="false">IFERROR(IF($N504="VCA",INDEX(APOIO_REDES!$A:$W,MATCH($C504&amp;$I504&amp;$H504&amp;$N504&amp;$O504,APOIO_REDES!$W:$W,0),MATCH(BC$5,APOIO_REDES!$5:$5,0)),0)*($AI504+$AQ504+$AR504),0)</f>
        <v>0.02010496997065</v>
      </c>
      <c r="BD504" s="153" t="n">
        <f aca="false">IF(AND($N504="VCA",$AF504&gt;=1.25,$AF504&lt;1.5),$M504*$AF504*2,0)</f>
        <v>16.73764</v>
      </c>
      <c r="BE504" s="153" t="n">
        <f aca="false">IF(AND($N504="VCA",$AF504&gt;=1.5,$AF504&lt;3),$M504*$AF504*2,0)</f>
        <v>0</v>
      </c>
      <c r="BF504" s="153" t="n">
        <f aca="false">IF(AND($N504="VCA",$AF504&gt;=3),$M504*$AF504*2,0)</f>
        <v>0</v>
      </c>
      <c r="BG504" s="153" t="n">
        <f aca="false">($BB504+$BC504)*$AK504</f>
        <v>6.0978489</v>
      </c>
      <c r="BH504" s="153" t="n">
        <f aca="false">IF(AND($M504&lt;&gt;"",$N504="VCA",$Q504="LINEAR"),($M504*2)/100,IF(AND($M504&lt;&gt;"",$N504="MND",$Q504="EMBOQUE"),($AN504*2)/100,0))</f>
        <v>0.1228</v>
      </c>
      <c r="BI504" s="153" t="n">
        <f aca="false">IF(AND($M504&lt;&gt;"",$N504="VCA",$Q504="LINEAR"),$M504,IF(AND($M504&lt;&gt;"",$N504="MND",$Q504="EMBOQUE"),$AN504*2,0))</f>
        <v>6.14</v>
      </c>
      <c r="BJ504" s="153" t="n">
        <f aca="false">IF(AND($M504&lt;&gt;"",$N504="VCA",$Q504="LINEAR"),($M504*6.8)/100,IF(AND($M504&lt;&gt;"",$N504="MND",$Q504="EMBOQUE"),($AN504*2*6.8)/100,0))</f>
        <v>0.41752</v>
      </c>
      <c r="BK504" s="153" t="n">
        <f aca="false">IF(AND($M504&lt;&gt;"",$N504="VCA",$Q504="LINEAR"),($M504*2.5)/50,IF(AND($M504&lt;&gt;"",$N504="MND",$Q504="EMBOQUE"),($AN504*2*2.5)/50,0))</f>
        <v>0.307</v>
      </c>
      <c r="BL504" s="157" t="str">
        <f aca="false">K504&amp;J504</f>
        <v>Zona05REDES</v>
      </c>
      <c r="BM504" s="152" t="s">
        <v>3356</v>
      </c>
      <c r="BN504" s="152" t="s">
        <v>1560</v>
      </c>
      <c r="BO504" s="152" t="s">
        <v>2800</v>
      </c>
      <c r="BP504" s="152" t="s">
        <v>3446</v>
      </c>
      <c r="BQ504" s="152" t="s">
        <v>3455</v>
      </c>
      <c r="BR504" s="152" t="s">
        <v>3456</v>
      </c>
      <c r="BS504" s="152" t="n">
        <v>203611.091</v>
      </c>
      <c r="BT504" s="152" t="n">
        <v>8237860.633</v>
      </c>
      <c r="BU504" s="152" t="n">
        <v>203604.96</v>
      </c>
      <c r="BV504" s="152" t="n">
        <v>8237860.224</v>
      </c>
      <c r="BW504" s="152" t="n">
        <v>-15.9207969</v>
      </c>
      <c r="BX504" s="152" t="n">
        <v>-47.7682269</v>
      </c>
      <c r="BY504" s="152" t="s">
        <v>3446</v>
      </c>
    </row>
    <row r="505" customFormat="false" ht="13.8" hidden="false" customHeight="false" outlineLevel="0" collapsed="false">
      <c r="A505" s="149" t="n">
        <f aca="false">IF(C505&lt;&gt;"",ROW(A500),"")</f>
        <v>500</v>
      </c>
      <c r="B505" s="150" t="str">
        <f aca="false">HYPERLINK("https://www.google.com/maps/dir/-15.917302,-47.760003/-15.9207916,-47.7682559/data=!4m3!4m2!3e0!5i2")</f>
        <v>https://www.google.com/maps/dir/-15.917302,-47.760003/-15.9207916,-47.7682559/data=!4m3!4m2!3e0!5i2</v>
      </c>
      <c r="C505" s="151" t="s">
        <v>117</v>
      </c>
      <c r="D505" s="152" t="s">
        <v>112</v>
      </c>
      <c r="E505" s="152" t="s">
        <v>113</v>
      </c>
      <c r="F505" s="152" t="s">
        <v>117</v>
      </c>
      <c r="G505" s="152" t="s">
        <v>782</v>
      </c>
      <c r="H505" s="152" t="n">
        <v>63</v>
      </c>
      <c r="I505" s="152" t="s">
        <v>115</v>
      </c>
      <c r="J505" s="152" t="s">
        <v>6</v>
      </c>
      <c r="K505" s="152" t="s">
        <v>3352</v>
      </c>
      <c r="L505" s="152" t="s">
        <v>120</v>
      </c>
      <c r="M505" s="153" t="n">
        <f aca="false">37.79</f>
        <v>37.79</v>
      </c>
      <c r="N505" s="152" t="s">
        <v>1548</v>
      </c>
      <c r="O505" s="152" t="s">
        <v>1549</v>
      </c>
      <c r="P505" s="152" t="s">
        <v>1550</v>
      </c>
      <c r="Q505" s="152" t="s">
        <v>1551</v>
      </c>
      <c r="R505" s="154" t="s">
        <v>3457</v>
      </c>
      <c r="S505" s="154" t="s">
        <v>1553</v>
      </c>
      <c r="T505" s="155" t="s">
        <v>2797</v>
      </c>
      <c r="U505" s="152" t="str">
        <f aca="false">RIGHT(T505,7)</f>
        <v>009/037</v>
      </c>
      <c r="V505" s="152" t="s">
        <v>1555</v>
      </c>
      <c r="W505" s="156" t="n">
        <v>45882</v>
      </c>
      <c r="X505" s="152" t="s">
        <v>1594</v>
      </c>
      <c r="Y505" s="152" t="s">
        <v>2798</v>
      </c>
      <c r="Z505" s="152" t="s">
        <v>1557</v>
      </c>
      <c r="AA505" s="153" t="n">
        <v>3.9</v>
      </c>
      <c r="AB505" s="151" t="s">
        <v>3458</v>
      </c>
      <c r="AC505" s="151" t="s">
        <v>186</v>
      </c>
      <c r="AD505" s="151" t="str">
        <f aca="false">CONCATENATE($C505,$I505,$H505,$N505,$J505,$K505)</f>
        <v>TUBO PEADPEAD63VCAREDESZona05</v>
      </c>
      <c r="AE505" s="153" t="n">
        <f aca="false">IFERROR(INDEX(APOIO_REDES!$A:$W,MATCH($C505&amp;$I505&amp;$H505&amp;$N505&amp;$O505,APOIO_REDES!$W:$W,0),MATCH(AE$5,APOIO_REDES!$5:$5,0)),0)</f>
        <v>1.2</v>
      </c>
      <c r="AF505" s="153" t="n">
        <f aca="false">IFERROR(INDEX(APOIO_REDES!$A:$W,MATCH($C505&amp;$I505&amp;$H505&amp;$N505&amp;$O505,APOIO_REDES!$W:$W,0),MATCH(AF$5,APOIO_REDES!$5:$5,0)),0)</f>
        <v>1.363</v>
      </c>
      <c r="AG505" s="153" t="n">
        <f aca="false">IFERROR(INDEX(APOIO_REDES!$A:$W,MATCH($C505&amp;$I505&amp;$H505&amp;$N505&amp;$O505,APOIO_REDES!$W:$W,0),MATCH(AG$5,APOIO_REDES!$5:$5,0)),0)</f>
        <v>0.65</v>
      </c>
      <c r="AH505" s="153" t="n">
        <f aca="false">IFERROR(INDEX(APOIO_REDES!$A:$W,MATCH($C505&amp;$I505&amp;$H505&amp;$N505&amp;$O505,APOIO_REDES!$W:$W,0),MATCH(AH$5,APOIO_REDES!$5:$5,0)),0)</f>
        <v>0.1</v>
      </c>
      <c r="AI505" s="153" t="n">
        <f aca="false">IFERROR(IF($H505&lt;&gt;"",(((($H505/1000)/2)^2)*PI()*$M505),0),0)</f>
        <v>0.11780070028472</v>
      </c>
      <c r="AJ505" s="153" t="n">
        <f aca="false">IFERROR(IF(AND($H505&lt;&gt;"",$I505="FoFo",OR($N505="MND",$N505="VCA"),$Q505="LINEAR"),0,IF(AND($H505&lt;&gt;"",$I505="PEAD",$N505="VCA",$Q505="LINEAR"),($H505/1000)+0.3,IF(AND($H505&lt;&gt;"",$I505="PEAD",$N505="MND",$Q505="EMBOQUE"),0,IF(AND($H505&lt;&gt;"",$I505="PVC",$N505="VCA",$Q505="LINEAR"),($H505/1000)+0.2,IF(AND($H505&lt;&gt;"",$I505="PVC",$N505="MND",$Q505="EMBOQUE"),0,IF(AND($H505&lt;&gt;"",$I505="PEAD",$N505="VCA",$Q505="PREDIAL"),0,0)))))),0)</f>
        <v>0.363</v>
      </c>
      <c r="AK505" s="153" t="n">
        <f aca="false">IF(AA505&lt;&gt;"",AA505,0)</f>
        <v>3.9</v>
      </c>
      <c r="AL505" s="153" t="n">
        <f aca="false">IF(AND($N505="MND",$Q505="EMBOQUE"),$M505,IF(AND($N505="VCA",$Q505="LINEAR"),$M505,IF(AND($N505="VCA",$Q505="PREDIAL"),0,0)))</f>
        <v>37.79</v>
      </c>
      <c r="AM505" s="153" t="n">
        <f aca="false">IF(AND($N505="MND",$Q505="EMBOQUE"),$M505,IF(AND($N505="VCA",$Q505="LINEAR"),$M505,IF(AND($N505="VCA",$Q505="PREDIAL"),0,0)))</f>
        <v>37.79</v>
      </c>
      <c r="AN505" s="153" t="n">
        <f aca="false">ROUND(IF(AND($N505="VCA",$M505&lt;&gt;"",$Q505="LINEAR"),$M505/100,IF(AND($N505="MND",$M505&gt;100,$Q505="EMBOQUE"),$M505/100,0)),0)</f>
        <v>0</v>
      </c>
      <c r="AO505" s="153" t="n">
        <f aca="false">IF(AND($N505="MND",$Q505="EMBOQUE"),$AN505*2*2,IF(AND($N505="VCA",$Q505="LINEAR"),$M505*2,IF(AND($N505="VCA",$Q505="PREDIAL"),0,0)))</f>
        <v>75.58</v>
      </c>
      <c r="AP505" s="153" t="n">
        <f aca="false">IFERROR($M505*$AF505*$AG505,0)</f>
        <v>33.4800505</v>
      </c>
      <c r="AQ505" s="153" t="n">
        <f aca="false">IFERROR(IF(AND($N505="VCA",$AH505&gt;0),$M505*$AG505*$AH505,0),0)</f>
        <v>2.45635</v>
      </c>
      <c r="AR505" s="153" t="n">
        <f aca="false">IFERROR(IF(AND($N505="VCA",$AJ505&gt;0),($M505*$AG505*$AJ505)-$AI505,0),0)</f>
        <v>8.79874979971528</v>
      </c>
      <c r="AS505" s="153" t="n">
        <f aca="false">IFERROR(IF(AND($N505="VCA",$AP505&gt;0),$AP505-$AI505-$AQ505-$AR505,0),0)</f>
        <v>22.10715</v>
      </c>
      <c r="AT505" s="153" t="n">
        <f aca="false">IFERROR(IF($N505="VCA",INDEX(APOIO_REDES!$A:$W,MATCH($C505&amp;$I505&amp;$H505&amp;$N505&amp;$O505,APOIO_REDES!$W:$W,0),MATCH(AT$5,APOIO_REDES!$5:$5,0)),0)*$AP505,0)</f>
        <v>0.364272859029114</v>
      </c>
      <c r="AU505" s="153" t="n">
        <f aca="false">IFERROR(IF($N505="VCA",INDEX(APOIO_REDES!$A:$W,MATCH($C505&amp;$I505&amp;$H505&amp;$N505&amp;$O505,APOIO_REDES!$W:$W,0),MATCH(AU$5,APOIO_REDES!$5:$5,0)),0)*$AP505,0)</f>
        <v>0.290898439460447</v>
      </c>
      <c r="AV505" s="153" t="n">
        <f aca="false">IFERROR(IF($N505="VCA",INDEX(APOIO_REDES!$A:$W,MATCH($C505&amp;$I505&amp;$H505&amp;$N505&amp;$O505,APOIO_REDES!$W:$W,0),MATCH(AV$5,APOIO_REDES!$5:$5,0)),0)*$AP505,0)</f>
        <v>0.0402580603790389</v>
      </c>
      <c r="AW505" s="153" t="n">
        <f aca="false">IFERROR(IF($N505="VCA",INDEX(APOIO_REDES!$A:$W,MATCH($C505&amp;$I505&amp;$H505&amp;$N505&amp;$O505,APOIO_REDES!$W:$W,0),MATCH(AW$5,APOIO_REDES!$5:$5,0)),0)*$AP505,0)</f>
        <v>22.9809660792902</v>
      </c>
      <c r="AX505" s="153" t="n">
        <f aca="false">IFERROR(IF($N505="VCA",INDEX(APOIO_REDES!$A:$W,MATCH($C505&amp;$I505&amp;$H505&amp;$N505&amp;$O505,APOIO_REDES!$W:$W,0),MATCH(AX$5,APOIO_REDES!$5:$5,0)),0)*$AP505,0)</f>
        <v>3.18050024285275</v>
      </c>
      <c r="AY505" s="153" t="n">
        <f aca="false">IFERROR(IF($N505="VCA",INDEX(APOIO_REDES!$A:$W,MATCH($C505&amp;$I505&amp;$H505&amp;$N505&amp;$O505,APOIO_REDES!$W:$W,0),MATCH(AY$5,APOIO_REDES!$5:$5,0)),0)*$AP505,0)</f>
        <v>5.81796524318055</v>
      </c>
      <c r="AZ505" s="153" t="n">
        <f aca="false">IFERROR(IF($N505="VCA",INDEX(APOIO_REDES!$A:$W,MATCH($C505&amp;$I505&amp;$H505&amp;$N505&amp;$O505,APOIO_REDES!$W:$W,0),MATCH(AZ$5,APOIO_REDES!$5:$5,0)),0)*$AP505,0)</f>
        <v>0.805189575807946</v>
      </c>
      <c r="BA505" s="153" t="n">
        <f aca="false">IFERROR(IF(AND($N505="VCA",$Q505="LINEAR"),INDEX(APOIO_REDES!$A:$W,MATCH($C505&amp;$I505&amp;$H505&amp;$N505&amp;$O505,APOIO_REDES!$W:$W,0),MATCH(BA$5,APOIO_REDES!$5:$5,0)),IF(AND($N505="MND",$Q505="EMBOQUE"),INDEX(APOIO_REDES!$A:$W,MATCH($C505&amp;$I505&amp;$H505&amp;$N505&amp;$O505,APOIO_REDES!$W:$W,0),MATCH(BA$5,APOIO_REDES!$5:$5,0)),0))*$M505/10,0)</f>
        <v>3.0457786777399</v>
      </c>
      <c r="BB505" s="153" t="n">
        <f aca="false">IFERROR(IF($N505="VCA",INDEX(APOIO_REDES!$A:$W,MATCH($C505&amp;$I505&amp;$H505&amp;$N505&amp;$O505,APOIO_REDES!$W:$W,0),MATCH(BB$5,APOIO_REDES!$5:$5,0)),0)*($AI505+$AQ505+$AR505),0)</f>
        <v>11.2491599763533</v>
      </c>
      <c r="BC505" s="153" t="n">
        <f aca="false">IFERROR(IF($N505="VCA",INDEX(APOIO_REDES!$A:$W,MATCH($C505&amp;$I505&amp;$H505&amp;$N505&amp;$O505,APOIO_REDES!$W:$W,0),MATCH(BC$5,APOIO_REDES!$5:$5,0)),0)*($AI505+$AQ505+$AR505),0)</f>
        <v>0.12374052364672</v>
      </c>
      <c r="BD505" s="153" t="n">
        <f aca="false">IF(AND($N505="VCA",$AF505&gt;=1.25,$AF505&lt;1.5),$M505*$AF505*2,0)</f>
        <v>103.01554</v>
      </c>
      <c r="BE505" s="153" t="n">
        <f aca="false">IF(AND($N505="VCA",$AF505&gt;=1.5,$AF505&lt;3),$M505*$AF505*2,0)</f>
        <v>0</v>
      </c>
      <c r="BF505" s="153" t="n">
        <f aca="false">IF(AND($N505="VCA",$AF505&gt;=3),$M505*$AF505*2,0)</f>
        <v>0</v>
      </c>
      <c r="BG505" s="153" t="n">
        <f aca="false">($BB505+$BC505)*$AK505</f>
        <v>44.35431195</v>
      </c>
      <c r="BH505" s="153" t="n">
        <f aca="false">IF(AND($M505&lt;&gt;"",$N505="VCA",$Q505="LINEAR"),($M505*2)/100,IF(AND($M505&lt;&gt;"",$N505="MND",$Q505="EMBOQUE"),($AN505*2)/100,0))</f>
        <v>0.7558</v>
      </c>
      <c r="BI505" s="153" t="n">
        <f aca="false">IF(AND($M505&lt;&gt;"",$N505="VCA",$Q505="LINEAR"),$M505,IF(AND($M505&lt;&gt;"",$N505="MND",$Q505="EMBOQUE"),$AN505*2,0))</f>
        <v>37.79</v>
      </c>
      <c r="BJ505" s="153" t="n">
        <f aca="false">IF(AND($M505&lt;&gt;"",$N505="VCA",$Q505="LINEAR"),($M505*6.8)/100,IF(AND($M505&lt;&gt;"",$N505="MND",$Q505="EMBOQUE"),($AN505*2*6.8)/100,0))</f>
        <v>2.56972</v>
      </c>
      <c r="BK505" s="153" t="n">
        <f aca="false">IF(AND($M505&lt;&gt;"",$N505="VCA",$Q505="LINEAR"),($M505*2.5)/50,IF(AND($M505&lt;&gt;"",$N505="MND",$Q505="EMBOQUE"),($AN505*2*2.5)/50,0))</f>
        <v>1.8895</v>
      </c>
      <c r="BL505" s="157" t="str">
        <f aca="false">K505&amp;J505</f>
        <v>Zona05REDES</v>
      </c>
      <c r="BM505" s="152" t="s">
        <v>3356</v>
      </c>
      <c r="BN505" s="152" t="s">
        <v>1560</v>
      </c>
      <c r="BO505" s="152" t="s">
        <v>2800</v>
      </c>
      <c r="BP505" s="152" t="s">
        <v>3455</v>
      </c>
      <c r="BQ505" s="152" t="s">
        <v>3459</v>
      </c>
      <c r="BR505" s="152" t="s">
        <v>3456</v>
      </c>
      <c r="BS505" s="152" t="n">
        <v>203604.96</v>
      </c>
      <c r="BT505" s="152" t="n">
        <v>8237860.224</v>
      </c>
      <c r="BU505" s="152" t="n">
        <v>203567.269</v>
      </c>
      <c r="BV505" s="152" t="n">
        <v>8237857.549</v>
      </c>
      <c r="BW505" s="152" t="n">
        <v>-15.9208075</v>
      </c>
      <c r="BX505" s="152" t="n">
        <v>-47.7684316</v>
      </c>
      <c r="BY505" s="152" t="s">
        <v>3455</v>
      </c>
    </row>
    <row r="506" customFormat="false" ht="13.8" hidden="false" customHeight="false" outlineLevel="0" collapsed="false">
      <c r="A506" s="149" t="n">
        <f aca="false">IF(C506&lt;&gt;"",ROW(A501),"")</f>
        <v>501</v>
      </c>
      <c r="B506" s="150" t="str">
        <f aca="false">HYPERLINK("https://www.google.com/maps/dir/-15.917302,-47.760003/-15.9208181,-47.7686076/data=!4m3!4m2!3e0!5i2")</f>
        <v>https://www.google.com/maps/dir/-15.917302,-47.760003/-15.9208181,-47.7686076/data=!4m3!4m2!3e0!5i2</v>
      </c>
      <c r="C506" s="151" t="s">
        <v>117</v>
      </c>
      <c r="D506" s="152" t="s">
        <v>112</v>
      </c>
      <c r="E506" s="152" t="s">
        <v>113</v>
      </c>
      <c r="F506" s="152" t="s">
        <v>117</v>
      </c>
      <c r="G506" s="152" t="s">
        <v>782</v>
      </c>
      <c r="H506" s="152" t="n">
        <v>63</v>
      </c>
      <c r="I506" s="152" t="s">
        <v>115</v>
      </c>
      <c r="J506" s="152" t="s">
        <v>6</v>
      </c>
      <c r="K506" s="152" t="s">
        <v>3352</v>
      </c>
      <c r="L506" s="152" t="s">
        <v>120</v>
      </c>
      <c r="M506" s="153" t="n">
        <f aca="false">38.16+3.88</f>
        <v>42.04</v>
      </c>
      <c r="N506" s="152" t="s">
        <v>1548</v>
      </c>
      <c r="O506" s="152" t="s">
        <v>1549</v>
      </c>
      <c r="P506" s="152" t="s">
        <v>1550</v>
      </c>
      <c r="Q506" s="152" t="s">
        <v>1551</v>
      </c>
      <c r="R506" s="154" t="s">
        <v>3460</v>
      </c>
      <c r="S506" s="154" t="s">
        <v>1553</v>
      </c>
      <c r="T506" s="155" t="s">
        <v>2797</v>
      </c>
      <c r="U506" s="152" t="str">
        <f aca="false">RIGHT(T506,7)</f>
        <v>009/037</v>
      </c>
      <c r="V506" s="152" t="s">
        <v>1555</v>
      </c>
      <c r="W506" s="156" t="n">
        <v>45882</v>
      </c>
      <c r="X506" s="152" t="s">
        <v>1594</v>
      </c>
      <c r="Y506" s="152" t="s">
        <v>2798</v>
      </c>
      <c r="Z506" s="152" t="s">
        <v>1557</v>
      </c>
      <c r="AA506" s="153" t="n">
        <v>3.9</v>
      </c>
      <c r="AB506" s="151" t="s">
        <v>3461</v>
      </c>
      <c r="AC506" s="151" t="s">
        <v>186</v>
      </c>
      <c r="AD506" s="151" t="str">
        <f aca="false">CONCATENATE($C506,$I506,$H506,$N506,$J506,$K506)</f>
        <v>TUBO PEADPEAD63VCAREDESZona05</v>
      </c>
      <c r="AE506" s="153" t="n">
        <f aca="false">IFERROR(INDEX(APOIO_REDES!$A:$W,MATCH($C506&amp;$I506&amp;$H506&amp;$N506&amp;$O506,APOIO_REDES!$W:$W,0),MATCH(AE$5,APOIO_REDES!$5:$5,0)),0)</f>
        <v>1.2</v>
      </c>
      <c r="AF506" s="153" t="n">
        <f aca="false">IFERROR(INDEX(APOIO_REDES!$A:$W,MATCH($C506&amp;$I506&amp;$H506&amp;$N506&amp;$O506,APOIO_REDES!$W:$W,0),MATCH(AF$5,APOIO_REDES!$5:$5,0)),0)</f>
        <v>1.363</v>
      </c>
      <c r="AG506" s="153" t="n">
        <f aca="false">IFERROR(INDEX(APOIO_REDES!$A:$W,MATCH($C506&amp;$I506&amp;$H506&amp;$N506&amp;$O506,APOIO_REDES!$W:$W,0),MATCH(AG$5,APOIO_REDES!$5:$5,0)),0)</f>
        <v>0.65</v>
      </c>
      <c r="AH506" s="153" t="n">
        <f aca="false">IFERROR(INDEX(APOIO_REDES!$A:$W,MATCH($C506&amp;$I506&amp;$H506&amp;$N506&amp;$O506,APOIO_REDES!$W:$W,0),MATCH(AH$5,APOIO_REDES!$5:$5,0)),0)</f>
        <v>0.1</v>
      </c>
      <c r="AI506" s="153" t="n">
        <f aca="false">IFERROR(IF($H506&lt;&gt;"",(((($H506/1000)/2)^2)*PI()*$M506),0),0)</f>
        <v>0.131048992854449</v>
      </c>
      <c r="AJ506" s="153" t="n">
        <f aca="false">IFERROR(IF(AND($H506&lt;&gt;"",$I506="FoFo",OR($N506="MND",$N506="VCA"),$Q506="LINEAR"),0,IF(AND($H506&lt;&gt;"",$I506="PEAD",$N506="VCA",$Q506="LINEAR"),($H506/1000)+0.3,IF(AND($H506&lt;&gt;"",$I506="PEAD",$N506="MND",$Q506="EMBOQUE"),0,IF(AND($H506&lt;&gt;"",$I506="PVC",$N506="VCA",$Q506="LINEAR"),($H506/1000)+0.2,IF(AND($H506&lt;&gt;"",$I506="PVC",$N506="MND",$Q506="EMBOQUE"),0,IF(AND($H506&lt;&gt;"",$I506="PEAD",$N506="VCA",$Q506="PREDIAL"),0,0)))))),0)</f>
        <v>0.363</v>
      </c>
      <c r="AK506" s="153" t="n">
        <f aca="false">IF(AA506&lt;&gt;"",AA506,0)</f>
        <v>3.9</v>
      </c>
      <c r="AL506" s="153" t="n">
        <f aca="false">IF(AND($N506="MND",$Q506="EMBOQUE"),$M506,IF(AND($N506="VCA",$Q506="LINEAR"),$M506,IF(AND($N506="VCA",$Q506="PREDIAL"),0,0)))</f>
        <v>42.04</v>
      </c>
      <c r="AM506" s="153" t="n">
        <f aca="false">IF(AND($N506="MND",$Q506="EMBOQUE"),$M506,IF(AND($N506="VCA",$Q506="LINEAR"),$M506,IF(AND($N506="VCA",$Q506="PREDIAL"),0,0)))</f>
        <v>42.04</v>
      </c>
      <c r="AN506" s="153" t="n">
        <f aca="false">ROUND(IF(AND($N506="VCA",$M506&lt;&gt;"",$Q506="LINEAR"),$M506/100,IF(AND($N506="MND",$M506&gt;100,$Q506="EMBOQUE"),$M506/100,0)),0)</f>
        <v>0</v>
      </c>
      <c r="AO506" s="153" t="n">
        <f aca="false">IF(AND($N506="MND",$Q506="EMBOQUE"),$AN506*2*2,IF(AND($N506="VCA",$Q506="LINEAR"),$M506*2,IF(AND($N506="VCA",$Q506="PREDIAL"),0,0)))</f>
        <v>84.08</v>
      </c>
      <c r="AP506" s="153" t="n">
        <f aca="false">IFERROR($M506*$AF506*$AG506,0)</f>
        <v>37.245338</v>
      </c>
      <c r="AQ506" s="153" t="n">
        <f aca="false">IFERROR(IF(AND($N506="VCA",$AH506&gt;0),$M506*$AG506*$AH506,0),0)</f>
        <v>2.7326</v>
      </c>
      <c r="AR506" s="153" t="n">
        <f aca="false">IFERROR(IF(AND($N506="VCA",$AJ506&gt;0),($M506*$AG506*$AJ506)-$AI506,0),0)</f>
        <v>9.78828900714555</v>
      </c>
      <c r="AS506" s="153" t="n">
        <f aca="false">IFERROR(IF(AND($N506="VCA",$AP506&gt;0),$AP506-$AI506-$AQ506-$AR506,0),0)</f>
        <v>24.5934</v>
      </c>
      <c r="AT506" s="153" t="n">
        <f aca="false">IFERROR(IF($N506="VCA",INDEX(APOIO_REDES!$A:$W,MATCH($C506&amp;$I506&amp;$H506&amp;$N506&amp;$O506,APOIO_REDES!$W:$W,0),MATCH(AT$5,APOIO_REDES!$5:$5,0)),0)*$AP506,0)</f>
        <v>0.405240301497326</v>
      </c>
      <c r="AU506" s="153" t="n">
        <f aca="false">IFERROR(IF($N506="VCA",INDEX(APOIO_REDES!$A:$W,MATCH($C506&amp;$I506&amp;$H506&amp;$N506&amp;$O506,APOIO_REDES!$W:$W,0),MATCH(AU$5,APOIO_REDES!$5:$5,0)),0)*$AP506,0)</f>
        <v>0.323613929476507</v>
      </c>
      <c r="AV506" s="153" t="n">
        <f aca="false">IFERROR(IF($N506="VCA",INDEX(APOIO_REDES!$A:$W,MATCH($C506&amp;$I506&amp;$H506&amp;$N506&amp;$O506,APOIO_REDES!$W:$W,0),MATCH(AV$5,APOIO_REDES!$5:$5,0)),0)*$AP506,0)</f>
        <v>0.0447856273705953</v>
      </c>
      <c r="AW506" s="153" t="n">
        <f aca="false">IFERROR(IF($N506="VCA",INDEX(APOIO_REDES!$A:$W,MATCH($C506&amp;$I506&amp;$H506&amp;$N506&amp;$O506,APOIO_REDES!$W:$W,0),MATCH(AW$5,APOIO_REDES!$5:$5,0)),0)*$AP506,0)</f>
        <v>25.5654885941614</v>
      </c>
      <c r="AX506" s="153" t="n">
        <f aca="false">IFERROR(IF($N506="VCA",INDEX(APOIO_REDES!$A:$W,MATCH($C506&amp;$I506&amp;$H506&amp;$N506&amp;$O506,APOIO_REDES!$W:$W,0),MATCH(AX$5,APOIO_REDES!$5:$5,0)),0)*$AP506,0)</f>
        <v>3.53819079675918</v>
      </c>
      <c r="AY506" s="153" t="n">
        <f aca="false">IFERROR(IF($N506="VCA",INDEX(APOIO_REDES!$A:$W,MATCH($C506&amp;$I506&amp;$H506&amp;$N506&amp;$O506,APOIO_REDES!$W:$W,0),MATCH(AY$5,APOIO_REDES!$5:$5,0)),0)*$AP506,0)</f>
        <v>6.47227464470258</v>
      </c>
      <c r="AZ506" s="153" t="n">
        <f aca="false">IFERROR(IF($N506="VCA",INDEX(APOIO_REDES!$A:$W,MATCH($C506&amp;$I506&amp;$H506&amp;$N506&amp;$O506,APOIO_REDES!$W:$W,0),MATCH(AZ$5,APOIO_REDES!$5:$5,0)),0)*$AP506,0)</f>
        <v>0.895744106032444</v>
      </c>
      <c r="BA506" s="153" t="n">
        <f aca="false">IFERROR(IF(AND($N506="VCA",$Q506="LINEAR"),INDEX(APOIO_REDES!$A:$W,MATCH($C506&amp;$I506&amp;$H506&amp;$N506&amp;$O506,APOIO_REDES!$W:$W,0),MATCH(BA$5,APOIO_REDES!$5:$5,0)),IF(AND($N506="MND",$Q506="EMBOQUE"),INDEX(APOIO_REDES!$A:$W,MATCH($C506&amp;$I506&amp;$H506&amp;$N506&amp;$O506,APOIO_REDES!$W:$W,0),MATCH(BA$5,APOIO_REDES!$5:$5,0)),0))*$M506/10,0)</f>
        <v>3.38831795745396</v>
      </c>
      <c r="BB506" s="153" t="n">
        <f aca="false">IFERROR(IF($N506="VCA",INDEX(APOIO_REDES!$A:$W,MATCH($C506&amp;$I506&amp;$H506&amp;$N506&amp;$O506,APOIO_REDES!$W:$W,0),MATCH(BB$5,APOIO_REDES!$5:$5,0)),0)*($AI506+$AQ506+$AR506),0)</f>
        <v>12.5142811697775</v>
      </c>
      <c r="BC506" s="153" t="n">
        <f aca="false">IFERROR(IF($N506="VCA",INDEX(APOIO_REDES!$A:$W,MATCH($C506&amp;$I506&amp;$H506&amp;$N506&amp;$O506,APOIO_REDES!$W:$W,0),MATCH(BC$5,APOIO_REDES!$5:$5,0)),0)*($AI506+$AQ506+$AR506),0)</f>
        <v>0.137656830222496</v>
      </c>
      <c r="BD506" s="153" t="n">
        <f aca="false">IF(AND($N506="VCA",$AF506&gt;=1.25,$AF506&lt;1.5),$M506*$AF506*2,0)</f>
        <v>114.60104</v>
      </c>
      <c r="BE506" s="153" t="n">
        <f aca="false">IF(AND($N506="VCA",$AF506&gt;=1.5,$AF506&lt;3),$M506*$AF506*2,0)</f>
        <v>0</v>
      </c>
      <c r="BF506" s="153" t="n">
        <f aca="false">IF(AND($N506="VCA",$AF506&gt;=3),$M506*$AF506*2,0)</f>
        <v>0</v>
      </c>
      <c r="BG506" s="153" t="n">
        <f aca="false">($BB506+$BC506)*$AK506</f>
        <v>49.3425582</v>
      </c>
      <c r="BH506" s="153" t="n">
        <f aca="false">IF(AND($M506&lt;&gt;"",$N506="VCA",$Q506="LINEAR"),($M506*2)/100,IF(AND($M506&lt;&gt;"",$N506="MND",$Q506="EMBOQUE"),($AN506*2)/100,0))</f>
        <v>0.8408</v>
      </c>
      <c r="BI506" s="153" t="n">
        <f aca="false">IF(AND($M506&lt;&gt;"",$N506="VCA",$Q506="LINEAR"),$M506,IF(AND($M506&lt;&gt;"",$N506="MND",$Q506="EMBOQUE"),$AN506*2,0))</f>
        <v>42.04</v>
      </c>
      <c r="BJ506" s="153" t="n">
        <f aca="false">IF(AND($M506&lt;&gt;"",$N506="VCA",$Q506="LINEAR"),($M506*6.8)/100,IF(AND($M506&lt;&gt;"",$N506="MND",$Q506="EMBOQUE"),($AN506*2*6.8)/100,0))</f>
        <v>2.85872</v>
      </c>
      <c r="BK506" s="153" t="n">
        <f aca="false">IF(AND($M506&lt;&gt;"",$N506="VCA",$Q506="LINEAR"),($M506*2.5)/50,IF(AND($M506&lt;&gt;"",$N506="MND",$Q506="EMBOQUE"),($AN506*2*2.5)/50,0))</f>
        <v>2.102</v>
      </c>
      <c r="BL506" s="157" t="str">
        <f aca="false">K506&amp;J506</f>
        <v>Zona05REDES</v>
      </c>
      <c r="BM506" s="152" t="s">
        <v>3356</v>
      </c>
      <c r="BN506" s="152" t="s">
        <v>1560</v>
      </c>
      <c r="BO506" s="152" t="s">
        <v>2800</v>
      </c>
      <c r="BP506" s="152" t="s">
        <v>3459</v>
      </c>
      <c r="BQ506" s="152" t="s">
        <v>3462</v>
      </c>
      <c r="BR506" s="152" t="s">
        <v>3463</v>
      </c>
      <c r="BS506" s="152" t="n">
        <v>203567.269</v>
      </c>
      <c r="BT506" s="152" t="n">
        <v>8237857.549</v>
      </c>
      <c r="BU506" s="152" t="n">
        <v>203529.23</v>
      </c>
      <c r="BV506" s="152" t="n">
        <v>8237854.534</v>
      </c>
      <c r="BW506" s="152" t="n">
        <v>-15.9208295</v>
      </c>
      <c r="BX506" s="152" t="n">
        <v>-47.7687853</v>
      </c>
      <c r="BY506" s="152" t="s">
        <v>3459</v>
      </c>
    </row>
    <row r="507" customFormat="false" ht="13.8" hidden="false" customHeight="false" outlineLevel="0" collapsed="false">
      <c r="A507" s="149" t="n">
        <f aca="false">IF(C507&lt;&gt;"",ROW(A502),"")</f>
        <v>502</v>
      </c>
      <c r="B507" s="150" t="str">
        <f aca="false">HYPERLINK("https://www.google.com/maps/dir/-15.917302,-47.760003/-15.9207503,-47.7679146/data=!4m3!4m2!3e0!5i1")</f>
        <v>https://www.google.com/maps/dir/-15.917302,-47.760003/-15.9207503,-47.7679146/data=!4m3!4m2!3e0!5i1</v>
      </c>
      <c r="C507" s="151" t="s">
        <v>117</v>
      </c>
      <c r="D507" s="152" t="s">
        <v>112</v>
      </c>
      <c r="E507" s="152" t="s">
        <v>113</v>
      </c>
      <c r="F507" s="152" t="s">
        <v>117</v>
      </c>
      <c r="G507" s="152" t="s">
        <v>782</v>
      </c>
      <c r="H507" s="152" t="n">
        <v>110</v>
      </c>
      <c r="I507" s="152" t="s">
        <v>115</v>
      </c>
      <c r="J507" s="152" t="s">
        <v>6</v>
      </c>
      <c r="K507" s="152" t="s">
        <v>3352</v>
      </c>
      <c r="L507" s="152" t="s">
        <v>120</v>
      </c>
      <c r="M507" s="153" t="n">
        <f aca="false">30.21</f>
        <v>30.21</v>
      </c>
      <c r="N507" s="152" t="s">
        <v>1548</v>
      </c>
      <c r="O507" s="152" t="s">
        <v>1549</v>
      </c>
      <c r="P507" s="152" t="s">
        <v>1550</v>
      </c>
      <c r="Q507" s="152" t="s">
        <v>1551</v>
      </c>
      <c r="R507" s="154" t="s">
        <v>3464</v>
      </c>
      <c r="S507" s="154" t="s">
        <v>1593</v>
      </c>
      <c r="T507" s="155" t="s">
        <v>2797</v>
      </c>
      <c r="U507" s="152" t="str">
        <f aca="false">RIGHT(T507,7)</f>
        <v>009/037</v>
      </c>
      <c r="V507" s="152" t="s">
        <v>1555</v>
      </c>
      <c r="W507" s="156" t="n">
        <v>45882</v>
      </c>
      <c r="X507" s="152" t="s">
        <v>1594</v>
      </c>
      <c r="Y507" s="152" t="s">
        <v>2638</v>
      </c>
      <c r="Z507" s="152" t="s">
        <v>1557</v>
      </c>
      <c r="AA507" s="153" t="n">
        <v>3.3</v>
      </c>
      <c r="AB507" s="151" t="s">
        <v>3465</v>
      </c>
      <c r="AC507" s="151" t="s">
        <v>502</v>
      </c>
      <c r="AD507" s="151" t="str">
        <f aca="false">CONCATENATE($C507,$I507,$H507,$N507,$J507,$K507)</f>
        <v>TUBO PEADPEAD110VCAREDESZona05</v>
      </c>
      <c r="AE507" s="153" t="n">
        <f aca="false">IFERROR(INDEX(APOIO_REDES!$A:$W,MATCH($C507&amp;$I507&amp;$H507&amp;$N507&amp;$O507,APOIO_REDES!$W:$W,0),MATCH(AE$5,APOIO_REDES!$5:$5,0)),0)</f>
        <v>1.2</v>
      </c>
      <c r="AF507" s="153" t="n">
        <f aca="false">IFERROR(INDEX(APOIO_REDES!$A:$W,MATCH($C507&amp;$I507&amp;$H507&amp;$N507&amp;$O507,APOIO_REDES!$W:$W,0),MATCH(AF$5,APOIO_REDES!$5:$5,0)),0)</f>
        <v>1.41</v>
      </c>
      <c r="AG507" s="153" t="n">
        <f aca="false">IFERROR(INDEX(APOIO_REDES!$A:$W,MATCH($C507&amp;$I507&amp;$H507&amp;$N507&amp;$O507,APOIO_REDES!$W:$W,0),MATCH(AG$5,APOIO_REDES!$5:$5,0)),0)</f>
        <v>0.75</v>
      </c>
      <c r="AH507" s="153" t="n">
        <f aca="false">IFERROR(INDEX(APOIO_REDES!$A:$W,MATCH($C507&amp;$I507&amp;$H507&amp;$N507&amp;$O507,APOIO_REDES!$W:$W,0),MATCH(AH$5,APOIO_REDES!$5:$5,0)),0)</f>
        <v>0.1</v>
      </c>
      <c r="AI507" s="153" t="n">
        <f aca="false">IFERROR(IF($H507&lt;&gt;"",(((($H507/1000)/2)^2)*PI()*$M507),0),0)</f>
        <v>0.287095230046467</v>
      </c>
      <c r="AJ507" s="153" t="n">
        <f aca="false">IFERROR(IF(AND($H507&lt;&gt;"",$I507="FoFo",OR($N507="MND",$N507="VCA"),$Q507="LINEAR"),0,IF(AND($H507&lt;&gt;"",$I507="PEAD",$N507="VCA",$Q507="LINEAR"),($H507/1000)+0.3,IF(AND($H507&lt;&gt;"",$I507="PEAD",$N507="MND",$Q507="EMBOQUE"),0,IF(AND($H507&lt;&gt;"",$I507="PVC",$N507="VCA",$Q507="LINEAR"),($H507/1000)+0.2,IF(AND($H507&lt;&gt;"",$I507="PVC",$N507="MND",$Q507="EMBOQUE"),0,IF(AND($H507&lt;&gt;"",$I507="PEAD",$N507="VCA",$Q507="PREDIAL"),0,0)))))),0)</f>
        <v>0.41</v>
      </c>
      <c r="AK507" s="153" t="n">
        <f aca="false">IF(AA507&lt;&gt;"",AA507,0)</f>
        <v>3.3</v>
      </c>
      <c r="AL507" s="153" t="n">
        <f aca="false">IF(AND($N507="MND",$Q507="EMBOQUE"),$M507,IF(AND($N507="VCA",$Q507="LINEAR"),$M507,IF(AND($N507="VCA",$Q507="PREDIAL"),0,0)))</f>
        <v>30.21</v>
      </c>
      <c r="AM507" s="153" t="n">
        <f aca="false">IF(AND($N507="MND",$Q507="EMBOQUE"),$M507,IF(AND($N507="VCA",$Q507="LINEAR"),$M507,IF(AND($N507="VCA",$Q507="PREDIAL"),0,0)))</f>
        <v>30.21</v>
      </c>
      <c r="AN507" s="153" t="n">
        <f aca="false">ROUND(IF(AND($N507="VCA",$M507&lt;&gt;"",$Q507="LINEAR"),$M507/100,IF(AND($N507="MND",$M507&gt;100,$Q507="EMBOQUE"),$M507/100,0)),0)</f>
        <v>0</v>
      </c>
      <c r="AO507" s="153" t="n">
        <f aca="false">IF(AND($N507="MND",$Q507="EMBOQUE"),$AN507*2*2,IF(AND($N507="VCA",$Q507="LINEAR"),$M507*2,IF(AND($N507="VCA",$Q507="PREDIAL"),0,0)))</f>
        <v>60.42</v>
      </c>
      <c r="AP507" s="153" t="n">
        <f aca="false">IFERROR($M507*$AF507*$AG507,0)</f>
        <v>31.947075</v>
      </c>
      <c r="AQ507" s="153" t="n">
        <f aca="false">IFERROR(IF(AND($N507="VCA",$AH507&gt;0),$M507*$AG507*$AH507,0),0)</f>
        <v>2.26575</v>
      </c>
      <c r="AR507" s="153" t="n">
        <f aca="false">IFERROR(IF(AND($N507="VCA",$AJ507&gt;0),($M507*$AG507*$AJ507)-$AI507,0),0)</f>
        <v>9.00247976995353</v>
      </c>
      <c r="AS507" s="153" t="n">
        <f aca="false">IFERROR(IF(AND($N507="VCA",$AP507&gt;0),$AP507-$AI507-$AQ507-$AR507,0),0)</f>
        <v>20.39175</v>
      </c>
      <c r="AT507" s="153" t="n">
        <f aca="false">IFERROR(IF($N507="VCA",INDEX(APOIO_REDES!$A:$W,MATCH($C507&amp;$I507&amp;$H507&amp;$N507&amp;$O507,APOIO_REDES!$W:$W,0),MATCH(AT$5,APOIO_REDES!$5:$5,0)),0)*$AP507,0)</f>
        <v>0.347593631851527</v>
      </c>
      <c r="AU507" s="153" t="n">
        <f aca="false">IFERROR(IF($N507="VCA",INDEX(APOIO_REDES!$A:$W,MATCH($C507&amp;$I507&amp;$H507&amp;$N507&amp;$O507,APOIO_REDES!$W:$W,0),MATCH(AU$5,APOIO_REDES!$5:$5,0)),0)*$AP507,0)</f>
        <v>0.277578860367187</v>
      </c>
      <c r="AV507" s="153" t="n">
        <f aca="false">IFERROR(IF($N507="VCA",INDEX(APOIO_REDES!$A:$W,MATCH($C507&amp;$I507&amp;$H507&amp;$N507&amp;$O507,APOIO_REDES!$W:$W,0),MATCH(AV$5,APOIO_REDES!$5:$5,0)),0)*$AP507,0)</f>
        <v>0.0384147351953273</v>
      </c>
      <c r="AW507" s="153" t="n">
        <f aca="false">IFERROR(IF($N507="VCA",INDEX(APOIO_REDES!$A:$W,MATCH($C507&amp;$I507&amp;$H507&amp;$N507&amp;$O507,APOIO_REDES!$W:$W,0),MATCH(AW$5,APOIO_REDES!$5:$5,0)),0)*$AP507,0)</f>
        <v>21.9287198180164</v>
      </c>
      <c r="AX507" s="153" t="n">
        <f aca="false">IFERROR(IF($N507="VCA",INDEX(APOIO_REDES!$A:$W,MATCH($C507&amp;$I507&amp;$H507&amp;$N507&amp;$O507,APOIO_REDES!$W:$W,0),MATCH(AX$5,APOIO_REDES!$5:$5,0)),0)*$AP507,0)</f>
        <v>3.03487235767267</v>
      </c>
      <c r="AY507" s="153" t="n">
        <f aca="false">IFERROR(IF($N507="VCA",INDEX(APOIO_REDES!$A:$W,MATCH($C507&amp;$I507&amp;$H507&amp;$N507&amp;$O507,APOIO_REDES!$W:$W,0),MATCH(AY$5,APOIO_REDES!$5:$5,0)),0)*$AP507,0)</f>
        <v>5.55157382367994</v>
      </c>
      <c r="AZ507" s="153" t="n">
        <f aca="false">IFERROR(IF($N507="VCA",INDEX(APOIO_REDES!$A:$W,MATCH($C507&amp;$I507&amp;$H507&amp;$N507&amp;$O507,APOIO_REDES!$W:$W,0),MATCH(AZ$5,APOIO_REDES!$5:$5,0)),0)*$AP507,0)</f>
        <v>0.768321773216998</v>
      </c>
      <c r="BA507" s="153" t="n">
        <f aca="false">IFERROR(IF(AND($N507="VCA",$Q507="LINEAR"),INDEX(APOIO_REDES!$A:$W,MATCH($C507&amp;$I507&amp;$H507&amp;$N507&amp;$O507,APOIO_REDES!$W:$W,0),MATCH(BA$5,APOIO_REDES!$5:$5,0)),IF(AND($N507="MND",$Q507="EMBOQUE"),INDEX(APOIO_REDES!$A:$W,MATCH($C507&amp;$I507&amp;$H507&amp;$N507&amp;$O507,APOIO_REDES!$W:$W,0),MATCH(BA$5,APOIO_REDES!$5:$5,0)),0))*$M507/10,0)</f>
        <v>2.43484979768516</v>
      </c>
      <c r="BB507" s="153" t="n">
        <f aca="false">IFERROR(IF($N507="VCA",INDEX(APOIO_REDES!$A:$W,MATCH($C507&amp;$I507&amp;$H507&amp;$N507&amp;$O507,APOIO_REDES!$W:$W,0),MATCH(BB$5,APOIO_REDES!$5:$5,0)),0)*($AI507+$AQ507+$AR507),0)</f>
        <v>11.4295996437984</v>
      </c>
      <c r="BC507" s="153" t="n">
        <f aca="false">IFERROR(IF($N507="VCA",INDEX(APOIO_REDES!$A:$W,MATCH($C507&amp;$I507&amp;$H507&amp;$N507&amp;$O507,APOIO_REDES!$W:$W,0),MATCH(BC$5,APOIO_REDES!$5:$5,0)),0)*($AI507+$AQ507+$AR507),0)</f>
        <v>0.125725356201616</v>
      </c>
      <c r="BD507" s="153" t="n">
        <f aca="false">IF(AND($N507="VCA",$AF507&gt;=1.25,$AF507&lt;1.5),$M507*$AF507*2,0)</f>
        <v>85.1922</v>
      </c>
      <c r="BE507" s="153" t="n">
        <f aca="false">IF(AND($N507="VCA",$AF507&gt;=1.5,$AF507&lt;3),$M507*$AF507*2,0)</f>
        <v>0</v>
      </c>
      <c r="BF507" s="153" t="n">
        <f aca="false">IF(AND($N507="VCA",$AF507&gt;=3),$M507*$AF507*2,0)</f>
        <v>0</v>
      </c>
      <c r="BG507" s="153" t="n">
        <f aca="false">($BB507+$BC507)*$AK507</f>
        <v>38.1325725</v>
      </c>
      <c r="BH507" s="153" t="n">
        <f aca="false">IF(AND($M507&lt;&gt;"",$N507="VCA",$Q507="LINEAR"),($M507*2)/100,IF(AND($M507&lt;&gt;"",$N507="MND",$Q507="EMBOQUE"),($AN507*2)/100,0))</f>
        <v>0.6042</v>
      </c>
      <c r="BI507" s="153" t="n">
        <f aca="false">IF(AND($M507&lt;&gt;"",$N507="VCA",$Q507="LINEAR"),$M507,IF(AND($M507&lt;&gt;"",$N507="MND",$Q507="EMBOQUE"),$AN507*2,0))</f>
        <v>30.21</v>
      </c>
      <c r="BJ507" s="153" t="n">
        <f aca="false">IF(AND($M507&lt;&gt;"",$N507="VCA",$Q507="LINEAR"),($M507*6.8)/100,IF(AND($M507&lt;&gt;"",$N507="MND",$Q507="EMBOQUE"),($AN507*2*6.8)/100,0))</f>
        <v>2.05428</v>
      </c>
      <c r="BK507" s="153" t="n">
        <f aca="false">IF(AND($M507&lt;&gt;"",$N507="VCA",$Q507="LINEAR"),($M507*2.5)/50,IF(AND($M507&lt;&gt;"",$N507="MND",$Q507="EMBOQUE"),($AN507*2*2.5)/50,0))</f>
        <v>1.5105</v>
      </c>
      <c r="BL507" s="157" t="str">
        <f aca="false">K507&amp;J507</f>
        <v>Zona05REDES</v>
      </c>
      <c r="BM507" s="152" t="s">
        <v>3356</v>
      </c>
      <c r="BN507" s="152" t="s">
        <v>1560</v>
      </c>
      <c r="BO507" s="152" t="s">
        <v>2800</v>
      </c>
      <c r="BP507" s="152" t="s">
        <v>3445</v>
      </c>
      <c r="BQ507" s="152" t="s">
        <v>3451</v>
      </c>
      <c r="BR507" s="152" t="s">
        <v>3466</v>
      </c>
      <c r="BS507" s="152" t="n">
        <v>203641.417</v>
      </c>
      <c r="BT507" s="152" t="n">
        <v>8237866.037</v>
      </c>
      <c r="BU507" s="152" t="n">
        <v>203666.327</v>
      </c>
      <c r="BV507" s="152" t="n">
        <v>8237854.394</v>
      </c>
      <c r="BW507" s="152" t="n">
        <v>-15.9208458</v>
      </c>
      <c r="BX507" s="152" t="n">
        <v>-47.7678235</v>
      </c>
      <c r="BY507" s="152" t="s">
        <v>3445</v>
      </c>
    </row>
    <row r="508" customFormat="false" ht="13.8" hidden="false" customHeight="false" outlineLevel="0" collapsed="false">
      <c r="A508" s="149" t="n">
        <f aca="false">IF(C508&lt;&gt;"",ROW(A503),"")</f>
        <v>503</v>
      </c>
      <c r="B508" s="150" t="str">
        <f aca="false">HYPERLINK("https://www.google.com/maps/dir/-15.917302,-47.760003/-15.9221973,-47.7670470/data=!4m3!4m2!3e0!5i1")</f>
        <v>https://www.google.com/maps/dir/-15.917302,-47.760003/-15.9221973,-47.7670470/data=!4m3!4m2!3e0!5i1</v>
      </c>
      <c r="C508" s="151" t="s">
        <v>117</v>
      </c>
      <c r="D508" s="152" t="s">
        <v>112</v>
      </c>
      <c r="E508" s="152" t="s">
        <v>113</v>
      </c>
      <c r="F508" s="152" t="s">
        <v>117</v>
      </c>
      <c r="G508" s="152" t="s">
        <v>782</v>
      </c>
      <c r="H508" s="152" t="n">
        <v>63</v>
      </c>
      <c r="I508" s="152" t="s">
        <v>115</v>
      </c>
      <c r="J508" s="152" t="s">
        <v>6</v>
      </c>
      <c r="K508" s="152" t="s">
        <v>3352</v>
      </c>
      <c r="L508" s="152" t="s">
        <v>120</v>
      </c>
      <c r="M508" s="153" t="n">
        <f aca="false">162.6</f>
        <v>162.6</v>
      </c>
      <c r="N508" s="152" t="s">
        <v>1548</v>
      </c>
      <c r="O508" s="152" t="s">
        <v>1549</v>
      </c>
      <c r="P508" s="152" t="s">
        <v>1550</v>
      </c>
      <c r="Q508" s="152" t="s">
        <v>1551</v>
      </c>
      <c r="R508" s="154" t="s">
        <v>3467</v>
      </c>
      <c r="S508" s="154" t="s">
        <v>1553</v>
      </c>
      <c r="T508" s="155" t="s">
        <v>2797</v>
      </c>
      <c r="U508" s="152" t="str">
        <f aca="false">RIGHT(T508,7)</f>
        <v>009/037</v>
      </c>
      <c r="V508" s="152" t="s">
        <v>1555</v>
      </c>
      <c r="W508" s="156" t="n">
        <v>45882</v>
      </c>
      <c r="X508" s="152" t="s">
        <v>1594</v>
      </c>
      <c r="Y508" s="152" t="s">
        <v>2638</v>
      </c>
      <c r="Z508" s="152" t="s">
        <v>1557</v>
      </c>
      <c r="AA508" s="153" t="n">
        <v>3.5</v>
      </c>
      <c r="AB508" s="151" t="s">
        <v>3468</v>
      </c>
      <c r="AC508" s="151" t="s">
        <v>186</v>
      </c>
      <c r="AD508" s="151" t="str">
        <f aca="false">CONCATENATE($C508,$I508,$H508,$N508,$J508,$K508)</f>
        <v>TUBO PEADPEAD63VCAREDESZona05</v>
      </c>
      <c r="AE508" s="153" t="n">
        <f aca="false">IFERROR(INDEX(APOIO_REDES!$A:$W,MATCH($C508&amp;$I508&amp;$H508&amp;$N508&amp;$O508,APOIO_REDES!$W:$W,0),MATCH(AE$5,APOIO_REDES!$5:$5,0)),0)</f>
        <v>1.2</v>
      </c>
      <c r="AF508" s="153" t="n">
        <f aca="false">IFERROR(INDEX(APOIO_REDES!$A:$W,MATCH($C508&amp;$I508&amp;$H508&amp;$N508&amp;$O508,APOIO_REDES!$W:$W,0),MATCH(AF$5,APOIO_REDES!$5:$5,0)),0)</f>
        <v>1.363</v>
      </c>
      <c r="AG508" s="153" t="n">
        <f aca="false">IFERROR(INDEX(APOIO_REDES!$A:$W,MATCH($C508&amp;$I508&amp;$H508&amp;$N508&amp;$O508,APOIO_REDES!$W:$W,0),MATCH(AG$5,APOIO_REDES!$5:$5,0)),0)</f>
        <v>0.65</v>
      </c>
      <c r="AH508" s="153" t="n">
        <f aca="false">IFERROR(INDEX(APOIO_REDES!$A:$W,MATCH($C508&amp;$I508&amp;$H508&amp;$N508&amp;$O508,APOIO_REDES!$W:$W,0),MATCH(AH$5,APOIO_REDES!$5:$5,0)),0)</f>
        <v>0.1</v>
      </c>
      <c r="AI508" s="153" t="n">
        <f aca="false">IFERROR(IF($H508&lt;&gt;"",(((($H508/1000)/2)^2)*PI()*$M508),0),0)</f>
        <v>0.506864087491279</v>
      </c>
      <c r="AJ508" s="153" t="n">
        <f aca="false">IFERROR(IF(AND($H508&lt;&gt;"",$I508="FoFo",OR($N508="MND",$N508="VCA"),$Q508="LINEAR"),0,IF(AND($H508&lt;&gt;"",$I508="PEAD",$N508="VCA",$Q508="LINEAR"),($H508/1000)+0.3,IF(AND($H508&lt;&gt;"",$I508="PEAD",$N508="MND",$Q508="EMBOQUE"),0,IF(AND($H508&lt;&gt;"",$I508="PVC",$N508="VCA",$Q508="LINEAR"),($H508/1000)+0.2,IF(AND($H508&lt;&gt;"",$I508="PVC",$N508="MND",$Q508="EMBOQUE"),0,IF(AND($H508&lt;&gt;"",$I508="PEAD",$N508="VCA",$Q508="PREDIAL"),0,0)))))),0)</f>
        <v>0.363</v>
      </c>
      <c r="AK508" s="153" t="n">
        <f aca="false">IF(AA508&lt;&gt;"",AA508,0)</f>
        <v>3.5</v>
      </c>
      <c r="AL508" s="153" t="n">
        <f aca="false">IF(AND($N508="MND",$Q508="EMBOQUE"),$M508,IF(AND($N508="VCA",$Q508="LINEAR"),$M508,IF(AND($N508="VCA",$Q508="PREDIAL"),0,0)))</f>
        <v>162.6</v>
      </c>
      <c r="AM508" s="153" t="n">
        <f aca="false">IF(AND($N508="MND",$Q508="EMBOQUE"),$M508,IF(AND($N508="VCA",$Q508="LINEAR"),$M508,IF(AND($N508="VCA",$Q508="PREDIAL"),0,0)))</f>
        <v>162.6</v>
      </c>
      <c r="AN508" s="153" t="n">
        <f aca="false">ROUND(IF(AND($N508="VCA",$M508&lt;&gt;"",$Q508="LINEAR"),$M508/100,IF(AND($N508="MND",$M508&gt;100,$Q508="EMBOQUE"),$M508/100,0)),0)</f>
        <v>2</v>
      </c>
      <c r="AO508" s="153" t="n">
        <f aca="false">IF(AND($N508="MND",$Q508="EMBOQUE"),$AN508*2*2,IF(AND($N508="VCA",$Q508="LINEAR"),$M508*2,IF(AND($N508="VCA",$Q508="PREDIAL"),0,0)))</f>
        <v>325.2</v>
      </c>
      <c r="AP508" s="153" t="n">
        <f aca="false">IFERROR($M508*$AF508*$AG508,0)</f>
        <v>144.05547</v>
      </c>
      <c r="AQ508" s="153" t="n">
        <f aca="false">IFERROR(IF(AND($N508="VCA",$AH508&gt;0),$M508*$AG508*$AH508,0),0)</f>
        <v>10.569</v>
      </c>
      <c r="AR508" s="153" t="n">
        <f aca="false">IFERROR(IF(AND($N508="VCA",$AJ508&gt;0),($M508*$AG508*$AJ508)-$AI508,0),0)</f>
        <v>37.8586059125087</v>
      </c>
      <c r="AS508" s="153" t="n">
        <f aca="false">IFERROR(IF(AND($N508="VCA",$AP508&gt;0),$AP508-$AI508-$AQ508-$AR508,0),0)</f>
        <v>95.121</v>
      </c>
      <c r="AT508" s="153" t="n">
        <f aca="false">IFERROR(IF($N508="VCA",INDEX(APOIO_REDES!$A:$W,MATCH($C508&amp;$I508&amp;$H508&amp;$N508&amp;$O508,APOIO_REDES!$W:$W,0),MATCH(AT$5,APOIO_REDES!$5:$5,0)),0)*$AP508,0)</f>
        <v>1.56736615184266</v>
      </c>
      <c r="AU508" s="153" t="n">
        <f aca="false">IFERROR(IF($N508="VCA",INDEX(APOIO_REDES!$A:$W,MATCH($C508&amp;$I508&amp;$H508&amp;$N508&amp;$O508,APOIO_REDES!$W:$W,0),MATCH(AU$5,APOIO_REDES!$5:$5,0)),0)*$AP508,0)</f>
        <v>1.25165615920267</v>
      </c>
      <c r="AV508" s="153" t="n">
        <f aca="false">IFERROR(IF($N508="VCA",INDEX(APOIO_REDES!$A:$W,MATCH($C508&amp;$I508&amp;$H508&amp;$N508&amp;$O508,APOIO_REDES!$W:$W,0),MATCH(AV$5,APOIO_REDES!$5:$5,0)),0)*$AP508,0)</f>
        <v>0.173219386547545</v>
      </c>
      <c r="AW508" s="153" t="n">
        <f aca="false">IFERROR(IF($N508="VCA",INDEX(APOIO_REDES!$A:$W,MATCH($C508&amp;$I508&amp;$H508&amp;$N508&amp;$O508,APOIO_REDES!$W:$W,0),MATCH(AW$5,APOIO_REDES!$5:$5,0)),0)*$AP508,0)</f>
        <v>98.8807908042492</v>
      </c>
      <c r="AX508" s="153" t="n">
        <f aca="false">IFERROR(IF($N508="VCA",INDEX(APOIO_REDES!$A:$W,MATCH($C508&amp;$I508&amp;$H508&amp;$N508&amp;$O508,APOIO_REDES!$W:$W,0),MATCH(AX$5,APOIO_REDES!$5:$5,0)),0)*$AP508,0)</f>
        <v>13.6848197800438</v>
      </c>
      <c r="AY508" s="153" t="n">
        <f aca="false">IFERROR(IF($N508="VCA",INDEX(APOIO_REDES!$A:$W,MATCH($C508&amp;$I508&amp;$H508&amp;$N508&amp;$O508,APOIO_REDES!$W:$W,0),MATCH(AY$5,APOIO_REDES!$5:$5,0)),0)*$AP508,0)</f>
        <v>25.0331079264662</v>
      </c>
      <c r="AZ508" s="153" t="n">
        <f aca="false">IFERROR(IF($N508="VCA",INDEX(APOIO_REDES!$A:$W,MATCH($C508&amp;$I508&amp;$H508&amp;$N508&amp;$O508,APOIO_REDES!$W:$W,0),MATCH(AZ$5,APOIO_REDES!$5:$5,0)),0)*$AP508,0)</f>
        <v>3.46450979164784</v>
      </c>
      <c r="BA508" s="153" t="n">
        <f aca="false">IFERROR(IF(AND($N508="VCA",$Q508="LINEAR"),INDEX(APOIO_REDES!$A:$W,MATCH($C508&amp;$I508&amp;$H508&amp;$N508&amp;$O508,APOIO_REDES!$W:$W,0),MATCH(BA$5,APOIO_REDES!$5:$5,0)),IF(AND($N508="MND",$Q508="EMBOQUE"),INDEX(APOIO_REDES!$A:$W,MATCH($C508&amp;$I508&amp;$H508&amp;$N508&amp;$O508,APOIO_REDES!$W:$W,0),MATCH(BA$5,APOIO_REDES!$5:$5,0)),0))*$M508/10,0)</f>
        <v>13.1051498544723</v>
      </c>
      <c r="BB508" s="153" t="n">
        <f aca="false">IFERROR(IF($N508="VCA",INDEX(APOIO_REDES!$A:$W,MATCH($C508&amp;$I508&amp;$H508&amp;$N508&amp;$O508,APOIO_REDES!$W:$W,0),MATCH(BB$5,APOIO_REDES!$5:$5,0)),0)*($AI508+$AQ508+$AR508),0)</f>
        <v>48.4020484825362</v>
      </c>
      <c r="BC508" s="153" t="n">
        <f aca="false">IFERROR(IF($N508="VCA",INDEX(APOIO_REDES!$A:$W,MATCH($C508&amp;$I508&amp;$H508&amp;$N508&amp;$O508,APOIO_REDES!$W:$W,0),MATCH(BC$5,APOIO_REDES!$5:$5,0)),0)*($AI508+$AQ508+$AR508),0)</f>
        <v>0.532421517463793</v>
      </c>
      <c r="BD508" s="153" t="n">
        <f aca="false">IF(AND($N508="VCA",$AF508&gt;=1.25,$AF508&lt;1.5),$M508*$AF508*2,0)</f>
        <v>443.2476</v>
      </c>
      <c r="BE508" s="153" t="n">
        <f aca="false">IF(AND($N508="VCA",$AF508&gt;=1.5,$AF508&lt;3),$M508*$AF508*2,0)</f>
        <v>0</v>
      </c>
      <c r="BF508" s="153" t="n">
        <f aca="false">IF(AND($N508="VCA",$AF508&gt;=3),$M508*$AF508*2,0)</f>
        <v>0</v>
      </c>
      <c r="BG508" s="153" t="n">
        <f aca="false">($BB508+$BC508)*$AK508</f>
        <v>171.270645</v>
      </c>
      <c r="BH508" s="153" t="n">
        <f aca="false">IF(AND($M508&lt;&gt;"",$N508="VCA",$Q508="LINEAR"),($M508*2)/100,IF(AND($M508&lt;&gt;"",$N508="MND",$Q508="EMBOQUE"),($AN508*2)/100,0))</f>
        <v>3.252</v>
      </c>
      <c r="BI508" s="153" t="n">
        <f aca="false">IF(AND($M508&lt;&gt;"",$N508="VCA",$Q508="LINEAR"),$M508,IF(AND($M508&lt;&gt;"",$N508="MND",$Q508="EMBOQUE"),$AN508*2,0))</f>
        <v>162.6</v>
      </c>
      <c r="BJ508" s="153" t="n">
        <f aca="false">IF(AND($M508&lt;&gt;"",$N508="VCA",$Q508="LINEAR"),($M508*6.8)/100,IF(AND($M508&lt;&gt;"",$N508="MND",$Q508="EMBOQUE"),($AN508*2*6.8)/100,0))</f>
        <v>11.0568</v>
      </c>
      <c r="BK508" s="153" t="n">
        <f aca="false">IF(AND($M508&lt;&gt;"",$N508="VCA",$Q508="LINEAR"),($M508*2.5)/50,IF(AND($M508&lt;&gt;"",$N508="MND",$Q508="EMBOQUE"),($AN508*2*2.5)/50,0))</f>
        <v>8.13</v>
      </c>
      <c r="BL508" s="157" t="str">
        <f aca="false">K508&amp;J508</f>
        <v>Zona05REDES</v>
      </c>
      <c r="BM508" s="152" t="s">
        <v>3356</v>
      </c>
      <c r="BN508" s="152" t="s">
        <v>1560</v>
      </c>
      <c r="BO508" s="152" t="s">
        <v>2800</v>
      </c>
      <c r="BP508" s="152" t="s">
        <v>3469</v>
      </c>
      <c r="BQ508" s="152" t="s">
        <v>3450</v>
      </c>
      <c r="BR508" s="152" t="s">
        <v>3470</v>
      </c>
      <c r="BS508" s="152" t="n">
        <v>203736.501</v>
      </c>
      <c r="BT508" s="152" t="n">
        <v>8237707.05</v>
      </c>
      <c r="BU508" s="152" t="n">
        <v>203713.499</v>
      </c>
      <c r="BV508" s="152" t="n">
        <v>8237867.756</v>
      </c>
      <c r="BW508" s="152" t="n">
        <v>-15.9214732</v>
      </c>
      <c r="BX508" s="152" t="n">
        <v>-47.767161</v>
      </c>
      <c r="BY508" s="152" t="s">
        <v>3469</v>
      </c>
    </row>
    <row r="509" customFormat="false" ht="13.8" hidden="false" customHeight="false" outlineLevel="0" collapsed="false">
      <c r="A509" s="149" t="n">
        <f aca="false">IF(C509&lt;&gt;"",ROW(A504),"")</f>
        <v>504</v>
      </c>
      <c r="B509" s="150" t="str">
        <f aca="false">HYPERLINK("https://www.google.com/maps/dir/-15.917302,-47.760003/-15.9223399,-47.7675273/data=!4m3!4m2!3e0!5i1")</f>
        <v>https://www.google.com/maps/dir/-15.917302,-47.760003/-15.9223399,-47.7675273/data=!4m3!4m2!3e0!5i1</v>
      </c>
      <c r="C509" s="151" t="s">
        <v>117</v>
      </c>
      <c r="D509" s="152" t="s">
        <v>112</v>
      </c>
      <c r="E509" s="152" t="s">
        <v>113</v>
      </c>
      <c r="F509" s="152" t="s">
        <v>117</v>
      </c>
      <c r="G509" s="152" t="s">
        <v>782</v>
      </c>
      <c r="H509" s="152" t="n">
        <v>110</v>
      </c>
      <c r="I509" s="152" t="s">
        <v>115</v>
      </c>
      <c r="J509" s="152" t="s">
        <v>6</v>
      </c>
      <c r="K509" s="152" t="s">
        <v>3352</v>
      </c>
      <c r="L509" s="152" t="s">
        <v>120</v>
      </c>
      <c r="M509" s="153" t="n">
        <f aca="false">164.97+0.4</f>
        <v>165.37</v>
      </c>
      <c r="N509" s="152" t="s">
        <v>1548</v>
      </c>
      <c r="O509" s="152" t="s">
        <v>1549</v>
      </c>
      <c r="P509" s="152" t="s">
        <v>1550</v>
      </c>
      <c r="Q509" s="152" t="s">
        <v>1551</v>
      </c>
      <c r="R509" s="154" t="s">
        <v>3471</v>
      </c>
      <c r="S509" s="154" t="s">
        <v>1593</v>
      </c>
      <c r="T509" s="155" t="s">
        <v>2797</v>
      </c>
      <c r="U509" s="152" t="str">
        <f aca="false">RIGHT(T509,7)</f>
        <v>009/037</v>
      </c>
      <c r="V509" s="152" t="s">
        <v>1555</v>
      </c>
      <c r="W509" s="156" t="n">
        <v>45882</v>
      </c>
      <c r="X509" s="152" t="s">
        <v>1594</v>
      </c>
      <c r="Y509" s="152" t="s">
        <v>2638</v>
      </c>
      <c r="Z509" s="152" t="s">
        <v>1557</v>
      </c>
      <c r="AA509" s="153" t="n">
        <v>3.5</v>
      </c>
      <c r="AB509" s="151" t="s">
        <v>3472</v>
      </c>
      <c r="AC509" s="151" t="s">
        <v>502</v>
      </c>
      <c r="AD509" s="151" t="str">
        <f aca="false">CONCATENATE($C509,$I509,$H509,$N509,$J509,$K509)</f>
        <v>TUBO PEADPEAD110VCAREDESZona05</v>
      </c>
      <c r="AE509" s="153" t="n">
        <f aca="false">IFERROR(INDEX(APOIO_REDES!$A:$W,MATCH($C509&amp;$I509&amp;$H509&amp;$N509&amp;$O509,APOIO_REDES!$W:$W,0),MATCH(AE$5,APOIO_REDES!$5:$5,0)),0)</f>
        <v>1.2</v>
      </c>
      <c r="AF509" s="153" t="n">
        <f aca="false">IFERROR(INDEX(APOIO_REDES!$A:$W,MATCH($C509&amp;$I509&amp;$H509&amp;$N509&amp;$O509,APOIO_REDES!$W:$W,0),MATCH(AF$5,APOIO_REDES!$5:$5,0)),0)</f>
        <v>1.41</v>
      </c>
      <c r="AG509" s="153" t="n">
        <f aca="false">IFERROR(INDEX(APOIO_REDES!$A:$W,MATCH($C509&amp;$I509&amp;$H509&amp;$N509&amp;$O509,APOIO_REDES!$W:$W,0),MATCH(AG$5,APOIO_REDES!$5:$5,0)),0)</f>
        <v>0.75</v>
      </c>
      <c r="AH509" s="153" t="n">
        <f aca="false">IFERROR(INDEX(APOIO_REDES!$A:$W,MATCH($C509&amp;$I509&amp;$H509&amp;$N509&amp;$O509,APOIO_REDES!$W:$W,0),MATCH(AH$5,APOIO_REDES!$5:$5,0)),0)</f>
        <v>0.1</v>
      </c>
      <c r="AI509" s="153" t="n">
        <f aca="false">IFERROR(IF($H509&lt;&gt;"",(((($H509/1000)/2)^2)*PI()*$M509),0),0)</f>
        <v>1.57156366080054</v>
      </c>
      <c r="AJ509" s="153" t="n">
        <f aca="false">IFERROR(IF(AND($H509&lt;&gt;"",$I509="FoFo",OR($N509="MND",$N509="VCA"),$Q509="LINEAR"),0,IF(AND($H509&lt;&gt;"",$I509="PEAD",$N509="VCA",$Q509="LINEAR"),($H509/1000)+0.3,IF(AND($H509&lt;&gt;"",$I509="PEAD",$N509="MND",$Q509="EMBOQUE"),0,IF(AND($H509&lt;&gt;"",$I509="PVC",$N509="VCA",$Q509="LINEAR"),($H509/1000)+0.2,IF(AND($H509&lt;&gt;"",$I509="PVC",$N509="MND",$Q509="EMBOQUE"),0,IF(AND($H509&lt;&gt;"",$I509="PEAD",$N509="VCA",$Q509="PREDIAL"),0,0)))))),0)</f>
        <v>0.41</v>
      </c>
      <c r="AK509" s="153" t="n">
        <f aca="false">IF(AA509&lt;&gt;"",AA509,0)</f>
        <v>3.5</v>
      </c>
      <c r="AL509" s="153" t="n">
        <f aca="false">IF(AND($N509="MND",$Q509="EMBOQUE"),$M509,IF(AND($N509="VCA",$Q509="LINEAR"),$M509,IF(AND($N509="VCA",$Q509="PREDIAL"),0,0)))</f>
        <v>165.37</v>
      </c>
      <c r="AM509" s="153" t="n">
        <f aca="false">IF(AND($N509="MND",$Q509="EMBOQUE"),$M509,IF(AND($N509="VCA",$Q509="LINEAR"),$M509,IF(AND($N509="VCA",$Q509="PREDIAL"),0,0)))</f>
        <v>165.37</v>
      </c>
      <c r="AN509" s="153" t="n">
        <f aca="false">ROUND(IF(AND($N509="VCA",$M509&lt;&gt;"",$Q509="LINEAR"),$M509/100,IF(AND($N509="MND",$M509&gt;100,$Q509="EMBOQUE"),$M509/100,0)),0)</f>
        <v>2</v>
      </c>
      <c r="AO509" s="153" t="n">
        <f aca="false">IF(AND($N509="MND",$Q509="EMBOQUE"),$AN509*2*2,IF(AND($N509="VCA",$Q509="LINEAR"),$M509*2,IF(AND($N509="VCA",$Q509="PREDIAL"),0,0)))</f>
        <v>330.74</v>
      </c>
      <c r="AP509" s="153" t="n">
        <f aca="false">IFERROR($M509*$AF509*$AG509,0)</f>
        <v>174.878775</v>
      </c>
      <c r="AQ509" s="153" t="n">
        <f aca="false">IFERROR(IF(AND($N509="VCA",$AH509&gt;0),$M509*$AG509*$AH509,0),0)</f>
        <v>12.40275</v>
      </c>
      <c r="AR509" s="153" t="n">
        <f aca="false">IFERROR(IF(AND($N509="VCA",$AJ509&gt;0),($M509*$AG509*$AJ509)-$AI509,0),0)</f>
        <v>49.2797113391995</v>
      </c>
      <c r="AS509" s="153" t="n">
        <f aca="false">IFERROR(IF(AND($N509="VCA",$AP509&gt;0),$AP509-$AI509-$AQ509-$AR509,0),0)</f>
        <v>111.62475</v>
      </c>
      <c r="AT509" s="153" t="n">
        <f aca="false">IFERROR(IF($N509="VCA",INDEX(APOIO_REDES!$A:$W,MATCH($C509&amp;$I509&amp;$H509&amp;$N509&amp;$O509,APOIO_REDES!$W:$W,0),MATCH(AT$5,APOIO_REDES!$5:$5,0)),0)*$AP509,0)</f>
        <v>1.90273283347524</v>
      </c>
      <c r="AU509" s="153" t="n">
        <f aca="false">IFERROR(IF($N509="VCA",INDEX(APOIO_REDES!$A:$W,MATCH($C509&amp;$I509&amp;$H509&amp;$N509&amp;$O509,APOIO_REDES!$W:$W,0),MATCH(AU$5,APOIO_REDES!$5:$5,0)),0)*$AP509,0)</f>
        <v>1.51947090827281</v>
      </c>
      <c r="AV509" s="153" t="n">
        <f aca="false">IFERROR(IF($N509="VCA",INDEX(APOIO_REDES!$A:$W,MATCH($C509&amp;$I509&amp;$H509&amp;$N509&amp;$O509,APOIO_REDES!$W:$W,0),MATCH(AV$5,APOIO_REDES!$5:$5,0)),0)*$AP509,0)</f>
        <v>0.210282845390641</v>
      </c>
      <c r="AW509" s="153" t="n">
        <f aca="false">IFERROR(IF($N509="VCA",INDEX(APOIO_REDES!$A:$W,MATCH($C509&amp;$I509&amp;$H509&amp;$N509&amp;$O509,APOIO_REDES!$W:$W,0),MATCH(AW$5,APOIO_REDES!$5:$5,0)),0)*$AP509,0)</f>
        <v>120.038146186871</v>
      </c>
      <c r="AX509" s="153" t="n">
        <f aca="false">IFERROR(IF($N509="VCA",INDEX(APOIO_REDES!$A:$W,MATCH($C509&amp;$I509&amp;$H509&amp;$N509&amp;$O509,APOIO_REDES!$W:$W,0),MATCH(AX$5,APOIO_REDES!$5:$5,0)),0)*$AP509,0)</f>
        <v>16.612937497131</v>
      </c>
      <c r="AY509" s="153" t="n">
        <f aca="false">IFERROR(IF($N509="VCA",INDEX(APOIO_REDES!$A:$W,MATCH($C509&amp;$I509&amp;$H509&amp;$N509&amp;$O509,APOIO_REDES!$W:$W,0),MATCH(AY$5,APOIO_REDES!$5:$5,0)),0)*$AP509,0)</f>
        <v>30.3893996432291</v>
      </c>
      <c r="AZ509" s="153" t="n">
        <f aca="false">IFERROR(IF($N509="VCA",INDEX(APOIO_REDES!$A:$W,MATCH($C509&amp;$I509&amp;$H509&amp;$N509&amp;$O509,APOIO_REDES!$W:$W,0),MATCH(AZ$5,APOIO_REDES!$5:$5,0)),0)*$AP509,0)</f>
        <v>4.20580508563042</v>
      </c>
      <c r="BA509" s="153" t="n">
        <f aca="false">IFERROR(IF(AND($N509="VCA",$Q509="LINEAR"),INDEX(APOIO_REDES!$A:$W,MATCH($C509&amp;$I509&amp;$H509&amp;$N509&amp;$O509,APOIO_REDES!$W:$W,0),MATCH(BA$5,APOIO_REDES!$5:$5,0)),IF(AND($N509="MND",$Q509="EMBOQUE"),INDEX(APOIO_REDES!$A:$W,MATCH($C509&amp;$I509&amp;$H509&amp;$N509&amp;$O509,APOIO_REDES!$W:$W,0),MATCH(BA$5,APOIO_REDES!$5:$5,0)),0))*$M509/10,0)</f>
        <v>13.3284048673683</v>
      </c>
      <c r="BB509" s="153" t="n">
        <f aca="false">IFERROR(IF($N509="VCA",INDEX(APOIO_REDES!$A:$W,MATCH($C509&amp;$I509&amp;$H509&amp;$N509&amp;$O509,APOIO_REDES!$W:$W,0),MATCH(BB$5,APOIO_REDES!$5:$5,0)),0)*($AI509+$AQ509+$AR509),0)</f>
        <v>62.5658024857643</v>
      </c>
      <c r="BC509" s="153" t="n">
        <f aca="false">IFERROR(IF($N509="VCA",INDEX(APOIO_REDES!$A:$W,MATCH($C509&amp;$I509&amp;$H509&amp;$N509&amp;$O509,APOIO_REDES!$W:$W,0),MATCH(BC$5,APOIO_REDES!$5:$5,0)),0)*($AI509+$AQ509+$AR509),0)</f>
        <v>0.688222514235726</v>
      </c>
      <c r="BD509" s="153" t="n">
        <f aca="false">IF(AND($N509="VCA",$AF509&gt;=1.25,$AF509&lt;1.5),$M509*$AF509*2,0)</f>
        <v>466.3434</v>
      </c>
      <c r="BE509" s="153" t="n">
        <f aca="false">IF(AND($N509="VCA",$AF509&gt;=1.5,$AF509&lt;3),$M509*$AF509*2,0)</f>
        <v>0</v>
      </c>
      <c r="BF509" s="153" t="n">
        <f aca="false">IF(AND($N509="VCA",$AF509&gt;=3),$M509*$AF509*2,0)</f>
        <v>0</v>
      </c>
      <c r="BG509" s="153" t="n">
        <f aca="false">($BB509+$BC509)*$AK509</f>
        <v>221.3890875</v>
      </c>
      <c r="BH509" s="153" t="n">
        <f aca="false">IF(AND($M509&lt;&gt;"",$N509="VCA",$Q509="LINEAR"),($M509*2)/100,IF(AND($M509&lt;&gt;"",$N509="MND",$Q509="EMBOQUE"),($AN509*2)/100,0))</f>
        <v>3.3074</v>
      </c>
      <c r="BI509" s="153" t="n">
        <f aca="false">IF(AND($M509&lt;&gt;"",$N509="VCA",$Q509="LINEAR"),$M509,IF(AND($M509&lt;&gt;"",$N509="MND",$Q509="EMBOQUE"),$AN509*2,0))</f>
        <v>165.37</v>
      </c>
      <c r="BJ509" s="153" t="n">
        <f aca="false">IF(AND($M509&lt;&gt;"",$N509="VCA",$Q509="LINEAR"),($M509*6.8)/100,IF(AND($M509&lt;&gt;"",$N509="MND",$Q509="EMBOQUE"),($AN509*2*6.8)/100,0))</f>
        <v>11.24516</v>
      </c>
      <c r="BK509" s="153" t="n">
        <f aca="false">IF(AND($M509&lt;&gt;"",$N509="VCA",$Q509="LINEAR"),($M509*2.5)/50,IF(AND($M509&lt;&gt;"",$N509="MND",$Q509="EMBOQUE"),($AN509*2*2.5)/50,0))</f>
        <v>8.2685</v>
      </c>
      <c r="BL509" s="157" t="str">
        <f aca="false">K509&amp;J509</f>
        <v>Zona05REDES</v>
      </c>
      <c r="BM509" s="152" t="s">
        <v>3356</v>
      </c>
      <c r="BN509" s="152" t="s">
        <v>1560</v>
      </c>
      <c r="BO509" s="152" t="s">
        <v>2800</v>
      </c>
      <c r="BP509" s="152" t="s">
        <v>3473</v>
      </c>
      <c r="BQ509" s="152" t="s">
        <v>3451</v>
      </c>
      <c r="BR509" s="152" t="s">
        <v>3474</v>
      </c>
      <c r="BS509" s="152" t="n">
        <v>203685.254</v>
      </c>
      <c r="BT509" s="152" t="n">
        <v>8237690.582</v>
      </c>
      <c r="BU509" s="152" t="n">
        <v>203666.327</v>
      </c>
      <c r="BV509" s="152" t="n">
        <v>8237854.394</v>
      </c>
      <c r="BW509" s="152" t="n">
        <v>-15.9216006</v>
      </c>
      <c r="BX509" s="152" t="n">
        <v>-47.7676211</v>
      </c>
      <c r="BY509" s="152" t="s">
        <v>3473</v>
      </c>
    </row>
    <row r="510" customFormat="false" ht="13.8" hidden="false" customHeight="false" outlineLevel="0" collapsed="false">
      <c r="A510" s="149" t="n">
        <f aca="false">IF(C510&lt;&gt;"",ROW(A505),"")</f>
        <v>505</v>
      </c>
      <c r="B510" s="150" t="str">
        <f aca="false">HYPERLINK("https://www.google.com/maps/dir/-15.917302,-47.760003/-15.9208181,-47.7686076/data=!4m3!4m2!3e0!5i2")</f>
        <v>https://www.google.com/maps/dir/-15.917302,-47.760003/-15.9208181,-47.7686076/data=!4m3!4m2!3e0!5i2</v>
      </c>
      <c r="C510" s="151" t="s">
        <v>117</v>
      </c>
      <c r="D510" s="152" t="s">
        <v>112</v>
      </c>
      <c r="E510" s="152" t="s">
        <v>113</v>
      </c>
      <c r="F510" s="152" t="s">
        <v>117</v>
      </c>
      <c r="G510" s="152" t="s">
        <v>782</v>
      </c>
      <c r="H510" s="152" t="n">
        <v>63</v>
      </c>
      <c r="I510" s="152" t="s">
        <v>115</v>
      </c>
      <c r="J510" s="152" t="s">
        <v>6</v>
      </c>
      <c r="K510" s="152" t="s">
        <v>3352</v>
      </c>
      <c r="L510" s="152" t="s">
        <v>120</v>
      </c>
      <c r="M510" s="153" t="n">
        <f aca="false">245.64+0.48</f>
        <v>246.12</v>
      </c>
      <c r="N510" s="152" t="s">
        <v>1548</v>
      </c>
      <c r="O510" s="152" t="s">
        <v>1549</v>
      </c>
      <c r="P510" s="152" t="s">
        <v>1550</v>
      </c>
      <c r="Q510" s="152" t="s">
        <v>1551</v>
      </c>
      <c r="R510" s="154" t="s">
        <v>3475</v>
      </c>
      <c r="S510" s="154" t="s">
        <v>1553</v>
      </c>
      <c r="T510" s="155" t="s">
        <v>2797</v>
      </c>
      <c r="U510" s="152" t="str">
        <f aca="false">RIGHT(T510,7)</f>
        <v>009/037</v>
      </c>
      <c r="V510" s="152" t="s">
        <v>1555</v>
      </c>
      <c r="W510" s="156" t="n">
        <v>45882</v>
      </c>
      <c r="X510" s="152" t="s">
        <v>1594</v>
      </c>
      <c r="Y510" s="152" t="s">
        <v>2798</v>
      </c>
      <c r="Z510" s="152" t="s">
        <v>1557</v>
      </c>
      <c r="AA510" s="153" t="n">
        <v>3.9</v>
      </c>
      <c r="AB510" s="151" t="s">
        <v>3476</v>
      </c>
      <c r="AC510" s="151" t="s">
        <v>186</v>
      </c>
      <c r="AD510" s="151" t="str">
        <f aca="false">CONCATENATE($C510,$I510,$H510,$N510,$J510,$K510)</f>
        <v>TUBO PEADPEAD63VCAREDESZona05</v>
      </c>
      <c r="AE510" s="153" t="n">
        <f aca="false">IFERROR(INDEX(APOIO_REDES!$A:$W,MATCH($C510&amp;$I510&amp;$H510&amp;$N510&amp;$O510,APOIO_REDES!$W:$W,0),MATCH(AE$5,APOIO_REDES!$5:$5,0)),0)</f>
        <v>1.2</v>
      </c>
      <c r="AF510" s="153" t="n">
        <f aca="false">IFERROR(INDEX(APOIO_REDES!$A:$W,MATCH($C510&amp;$I510&amp;$H510&amp;$N510&amp;$O510,APOIO_REDES!$W:$W,0),MATCH(AF$5,APOIO_REDES!$5:$5,0)),0)</f>
        <v>1.363</v>
      </c>
      <c r="AG510" s="153" t="n">
        <f aca="false">IFERROR(INDEX(APOIO_REDES!$A:$W,MATCH($C510&amp;$I510&amp;$H510&amp;$N510&amp;$O510,APOIO_REDES!$W:$W,0),MATCH(AG$5,APOIO_REDES!$5:$5,0)),0)</f>
        <v>0.65</v>
      </c>
      <c r="AH510" s="153" t="n">
        <f aca="false">IFERROR(INDEX(APOIO_REDES!$A:$W,MATCH($C510&amp;$I510&amp;$H510&amp;$N510&amp;$O510,APOIO_REDES!$W:$W,0),MATCH(AH$5,APOIO_REDES!$5:$5,0)),0)</f>
        <v>0.1</v>
      </c>
      <c r="AI510" s="153" t="n">
        <f aca="false">IFERROR(IF($H510&lt;&gt;"",(((($H510/1000)/2)^2)*PI()*$M510),0),0)</f>
        <v>0.767216415826283</v>
      </c>
      <c r="AJ510" s="153" t="n">
        <f aca="false">IFERROR(IF(AND($H510&lt;&gt;"",$I510="FoFo",OR($N510="MND",$N510="VCA"),$Q510="LINEAR"),0,IF(AND($H510&lt;&gt;"",$I510="PEAD",$N510="VCA",$Q510="LINEAR"),($H510/1000)+0.3,IF(AND($H510&lt;&gt;"",$I510="PEAD",$N510="MND",$Q510="EMBOQUE"),0,IF(AND($H510&lt;&gt;"",$I510="PVC",$N510="VCA",$Q510="LINEAR"),($H510/1000)+0.2,IF(AND($H510&lt;&gt;"",$I510="PVC",$N510="MND",$Q510="EMBOQUE"),0,IF(AND($H510&lt;&gt;"",$I510="PEAD",$N510="VCA",$Q510="PREDIAL"),0,0)))))),0)</f>
        <v>0.363</v>
      </c>
      <c r="AK510" s="153" t="n">
        <f aca="false">IF(AA510&lt;&gt;"",AA510,0)</f>
        <v>3.9</v>
      </c>
      <c r="AL510" s="153" t="n">
        <f aca="false">IF(AND($N510="MND",$Q510="EMBOQUE"),$M510,IF(AND($N510="VCA",$Q510="LINEAR"),$M510,IF(AND($N510="VCA",$Q510="PREDIAL"),0,0)))</f>
        <v>246.12</v>
      </c>
      <c r="AM510" s="153" t="n">
        <f aca="false">IF(AND($N510="MND",$Q510="EMBOQUE"),$M510,IF(AND($N510="VCA",$Q510="LINEAR"),$M510,IF(AND($N510="VCA",$Q510="PREDIAL"),0,0)))</f>
        <v>246.12</v>
      </c>
      <c r="AN510" s="153" t="n">
        <f aca="false">ROUND(IF(AND($N510="VCA",$M510&lt;&gt;"",$Q510="LINEAR"),$M510/100,IF(AND($N510="MND",$M510&gt;100,$Q510="EMBOQUE"),$M510/100,0)),0)</f>
        <v>2</v>
      </c>
      <c r="AO510" s="153" t="n">
        <f aca="false">IF(AND($N510="MND",$Q510="EMBOQUE"),$AN510*2*2,IF(AND($N510="VCA",$Q510="LINEAR"),$M510*2,IF(AND($N510="VCA",$Q510="PREDIAL"),0,0)))</f>
        <v>492.24</v>
      </c>
      <c r="AP510" s="153" t="n">
        <f aca="false">IFERROR($M510*$AF510*$AG510,0)</f>
        <v>218.050014</v>
      </c>
      <c r="AQ510" s="153" t="n">
        <f aca="false">IFERROR(IF(AND($N510="VCA",$AH510&gt;0),$M510*$AG510*$AH510,0),0)</f>
        <v>15.9978</v>
      </c>
      <c r="AR510" s="153" t="n">
        <f aca="false">IFERROR(IF(AND($N510="VCA",$AJ510&gt;0),($M510*$AG510*$AJ510)-$AI510,0),0)</f>
        <v>57.3047975841737</v>
      </c>
      <c r="AS510" s="153" t="n">
        <f aca="false">IFERROR(IF(AND($N510="VCA",$AP510&gt;0),$AP510-$AI510-$AQ510-$AR510,0),0)</f>
        <v>143.9802</v>
      </c>
      <c r="AT510" s="153" t="n">
        <f aca="false">IFERROR(IF($N510="VCA",INDEX(APOIO_REDES!$A:$W,MATCH($C510&amp;$I510&amp;$H510&amp;$N510&amp;$O510,APOIO_REDES!$W:$W,0),MATCH(AT$5,APOIO_REDES!$5:$5,0)),0)*$AP510,0)</f>
        <v>2.37244869182973</v>
      </c>
      <c r="AU510" s="153" t="n">
        <f aca="false">IFERROR(IF($N510="VCA",INDEX(APOIO_REDES!$A:$W,MATCH($C510&amp;$I510&amp;$H510&amp;$N510&amp;$O510,APOIO_REDES!$W:$W,0),MATCH(AU$5,APOIO_REDES!$5:$5,0)),0)*$AP510,0)</f>
        <v>1.89457327123592</v>
      </c>
      <c r="AV510" s="153" t="n">
        <f aca="false">IFERROR(IF($N510="VCA",INDEX(APOIO_REDES!$A:$W,MATCH($C510&amp;$I510&amp;$H510&amp;$N510&amp;$O510,APOIO_REDES!$W:$W,0),MATCH(AV$5,APOIO_REDES!$5:$5,0)),0)*$AP510,0)</f>
        <v>0.262194067755731</v>
      </c>
      <c r="AW510" s="153" t="n">
        <f aca="false">IFERROR(IF($N510="VCA",INDEX(APOIO_REDES!$A:$W,MATCH($C510&amp;$I510&amp;$H510&amp;$N510&amp;$O510,APOIO_REDES!$W:$W,0),MATCH(AW$5,APOIO_REDES!$5:$5,0)),0)*$AP510,0)</f>
        <v>149.671219143554</v>
      </c>
      <c r="AX510" s="153" t="n">
        <f aca="false">IFERROR(IF($N510="VCA",INDEX(APOIO_REDES!$A:$W,MATCH($C510&amp;$I510&amp;$H510&amp;$N510&amp;$O510,APOIO_REDES!$W:$W,0),MATCH(AX$5,APOIO_REDES!$5:$5,0)),0)*$AP510,0)</f>
        <v>20.7140703829298</v>
      </c>
      <c r="AY510" s="153" t="n">
        <f aca="false">IFERROR(IF($N510="VCA",INDEX(APOIO_REDES!$A:$W,MATCH($C510&amp;$I510&amp;$H510&amp;$N510&amp;$O510,APOIO_REDES!$W:$W,0),MATCH(AY$5,APOIO_REDES!$5:$5,0)),0)*$AP510,0)</f>
        <v>37.8914423300237</v>
      </c>
      <c r="AZ510" s="153" t="n">
        <f aca="false">IFERROR(IF($N510="VCA",INDEX(APOIO_REDES!$A:$W,MATCH($C510&amp;$I510&amp;$H510&amp;$N510&amp;$O510,APOIO_REDES!$W:$W,0),MATCH(AZ$5,APOIO_REDES!$5:$5,0)),0)*$AP510,0)</f>
        <v>5.24406611267139</v>
      </c>
      <c r="BA510" s="153" t="n">
        <f aca="false">IFERROR(IF(AND($N510="VCA",$Q510="LINEAR"),INDEX(APOIO_REDES!$A:$W,MATCH($C510&amp;$I510&amp;$H510&amp;$N510&amp;$O510,APOIO_REDES!$W:$W,0),MATCH(BA$5,APOIO_REDES!$5:$5,0)),IF(AND($N510="MND",$Q510="EMBOQUE"),INDEX(APOIO_REDES!$A:$W,MATCH($C510&amp;$I510&amp;$H510&amp;$N510&amp;$O510,APOIO_REDES!$W:$W,0),MATCH(BA$5,APOIO_REDES!$5:$5,0)),0))*$M510/10,0)</f>
        <v>19.8366511819355</v>
      </c>
      <c r="BB510" s="153" t="n">
        <f aca="false">IFERROR(IF($N510="VCA",INDEX(APOIO_REDES!$A:$W,MATCH($C510&amp;$I510&amp;$H510&amp;$N510&amp;$O510,APOIO_REDES!$W:$W,0),MATCH(BB$5,APOIO_REDES!$5:$5,0)),0)*($AI510+$AQ510+$AR510),0)</f>
        <v>73.2639125001341</v>
      </c>
      <c r="BC510" s="153" t="n">
        <f aca="false">IFERROR(IF($N510="VCA",INDEX(APOIO_REDES!$A:$W,MATCH($C510&amp;$I510&amp;$H510&amp;$N510&amp;$O510,APOIO_REDES!$W:$W,0),MATCH(BC$5,APOIO_REDES!$5:$5,0)),0)*($AI510+$AQ510+$AR510),0)</f>
        <v>0.805901499865859</v>
      </c>
      <c r="BD510" s="153" t="n">
        <f aca="false">IF(AND($N510="VCA",$AF510&gt;=1.25,$AF510&lt;1.5),$M510*$AF510*2,0)</f>
        <v>670.92312</v>
      </c>
      <c r="BE510" s="153" t="n">
        <f aca="false">IF(AND($N510="VCA",$AF510&gt;=1.5,$AF510&lt;3),$M510*$AF510*2,0)</f>
        <v>0</v>
      </c>
      <c r="BF510" s="153" t="n">
        <f aca="false">IF(AND($N510="VCA",$AF510&gt;=3),$M510*$AF510*2,0)</f>
        <v>0</v>
      </c>
      <c r="BG510" s="153" t="n">
        <f aca="false">($BB510+$BC510)*$AK510</f>
        <v>288.8722746</v>
      </c>
      <c r="BH510" s="153" t="n">
        <f aca="false">IF(AND($M510&lt;&gt;"",$N510="VCA",$Q510="LINEAR"),($M510*2)/100,IF(AND($M510&lt;&gt;"",$N510="MND",$Q510="EMBOQUE"),($AN510*2)/100,0))</f>
        <v>4.9224</v>
      </c>
      <c r="BI510" s="153" t="n">
        <f aca="false">IF(AND($M510&lt;&gt;"",$N510="VCA",$Q510="LINEAR"),$M510,IF(AND($M510&lt;&gt;"",$N510="MND",$Q510="EMBOQUE"),$AN510*2,0))</f>
        <v>246.12</v>
      </c>
      <c r="BJ510" s="153" t="n">
        <f aca="false">IF(AND($M510&lt;&gt;"",$N510="VCA",$Q510="LINEAR"),($M510*6.8)/100,IF(AND($M510&lt;&gt;"",$N510="MND",$Q510="EMBOQUE"),($AN510*2*6.8)/100,0))</f>
        <v>16.73616</v>
      </c>
      <c r="BK510" s="153" t="n">
        <f aca="false">IF(AND($M510&lt;&gt;"",$N510="VCA",$Q510="LINEAR"),($M510*2.5)/50,IF(AND($M510&lt;&gt;"",$N510="MND",$Q510="EMBOQUE"),($AN510*2*2.5)/50,0))</f>
        <v>12.306</v>
      </c>
      <c r="BL510" s="157" t="str">
        <f aca="false">K510&amp;J510</f>
        <v>Zona05REDES</v>
      </c>
      <c r="BM510" s="152" t="s">
        <v>3356</v>
      </c>
      <c r="BN510" s="152" t="s">
        <v>1560</v>
      </c>
      <c r="BO510" s="152" t="s">
        <v>2800</v>
      </c>
      <c r="BP510" s="152" t="s">
        <v>3459</v>
      </c>
      <c r="BQ510" s="152" t="s">
        <v>3477</v>
      </c>
      <c r="BR510" s="152" t="s">
        <v>3478</v>
      </c>
      <c r="BS510" s="152" t="n">
        <v>203567.269</v>
      </c>
      <c r="BT510" s="152" t="n">
        <v>8237857.549</v>
      </c>
      <c r="BU510" s="152" t="n">
        <v>203584.866</v>
      </c>
      <c r="BV510" s="152" t="n">
        <v>8237612.667</v>
      </c>
      <c r="BW510" s="152" t="n">
        <v>-15.9219245</v>
      </c>
      <c r="BX510" s="152" t="n">
        <v>-47.7685339</v>
      </c>
      <c r="BY510" s="152" t="s">
        <v>3459</v>
      </c>
    </row>
    <row r="511" customFormat="false" ht="13.8" hidden="false" customHeight="false" outlineLevel="0" collapsed="false">
      <c r="A511" s="149" t="n">
        <f aca="false">IF(C511&lt;&gt;"",ROW(A506),"")</f>
        <v>506</v>
      </c>
      <c r="B511" s="150" t="str">
        <f aca="false">HYPERLINK("https://www.google.com/maps/dir/-15.917302,-47.760003/-15.9207955,-47.7681983/data=!4m3!4m2!3e0!5i1")</f>
        <v>https://www.google.com/maps/dir/-15.917302,-47.760003/-15.9207955,-47.7681983/data=!4m3!4m2!3e0!5i1</v>
      </c>
      <c r="C511" s="151" t="s">
        <v>117</v>
      </c>
      <c r="D511" s="152" t="s">
        <v>112</v>
      </c>
      <c r="E511" s="152" t="s">
        <v>113</v>
      </c>
      <c r="F511" s="152" t="s">
        <v>117</v>
      </c>
      <c r="G511" s="152" t="s">
        <v>782</v>
      </c>
      <c r="H511" s="152" t="n">
        <v>110</v>
      </c>
      <c r="I511" s="152" t="s">
        <v>115</v>
      </c>
      <c r="J511" s="152" t="s">
        <v>6</v>
      </c>
      <c r="K511" s="152" t="s">
        <v>3352</v>
      </c>
      <c r="L511" s="152" t="s">
        <v>120</v>
      </c>
      <c r="M511" s="153" t="n">
        <f aca="false">263.63</f>
        <v>263.63</v>
      </c>
      <c r="N511" s="152" t="s">
        <v>1548</v>
      </c>
      <c r="O511" s="152" t="s">
        <v>1549</v>
      </c>
      <c r="P511" s="152" t="s">
        <v>1550</v>
      </c>
      <c r="Q511" s="152" t="s">
        <v>1551</v>
      </c>
      <c r="R511" s="154" t="s">
        <v>3479</v>
      </c>
      <c r="S511" s="154" t="s">
        <v>1593</v>
      </c>
      <c r="T511" s="155" t="s">
        <v>2797</v>
      </c>
      <c r="U511" s="152" t="str">
        <f aca="false">RIGHT(T511,7)</f>
        <v>009/037</v>
      </c>
      <c r="V511" s="152" t="s">
        <v>1555</v>
      </c>
      <c r="W511" s="156" t="n">
        <v>45882</v>
      </c>
      <c r="X511" s="152" t="s">
        <v>1594</v>
      </c>
      <c r="Y511" s="152" t="s">
        <v>2798</v>
      </c>
      <c r="Z511" s="152" t="s">
        <v>1557</v>
      </c>
      <c r="AA511" s="153" t="n">
        <v>3.3</v>
      </c>
      <c r="AB511" s="151" t="s">
        <v>3480</v>
      </c>
      <c r="AC511" s="151" t="s">
        <v>502</v>
      </c>
      <c r="AD511" s="151" t="str">
        <f aca="false">CONCATENATE($C511,$I511,$H511,$N511,$J511,$K511)</f>
        <v>TUBO PEADPEAD110VCAREDESZona05</v>
      </c>
      <c r="AE511" s="153" t="n">
        <f aca="false">IFERROR(INDEX(APOIO_REDES!$A:$W,MATCH($C511&amp;$I511&amp;$H511&amp;$N511&amp;$O511,APOIO_REDES!$W:$W,0),MATCH(AE$5,APOIO_REDES!$5:$5,0)),0)</f>
        <v>1.2</v>
      </c>
      <c r="AF511" s="153" t="n">
        <f aca="false">IFERROR(INDEX(APOIO_REDES!$A:$W,MATCH($C511&amp;$I511&amp;$H511&amp;$N511&amp;$O511,APOIO_REDES!$W:$W,0),MATCH(AF$5,APOIO_REDES!$5:$5,0)),0)</f>
        <v>1.41</v>
      </c>
      <c r="AG511" s="153" t="n">
        <f aca="false">IFERROR(INDEX(APOIO_REDES!$A:$W,MATCH($C511&amp;$I511&amp;$H511&amp;$N511&amp;$O511,APOIO_REDES!$W:$W,0),MATCH(AG$5,APOIO_REDES!$5:$5,0)),0)</f>
        <v>0.75</v>
      </c>
      <c r="AH511" s="153" t="n">
        <f aca="false">IFERROR(INDEX(APOIO_REDES!$A:$W,MATCH($C511&amp;$I511&amp;$H511&amp;$N511&amp;$O511,APOIO_REDES!$W:$W,0),MATCH(AH$5,APOIO_REDES!$5:$5,0)),0)</f>
        <v>0.1</v>
      </c>
      <c r="AI511" s="153" t="n">
        <f aca="false">IFERROR(IF($H511&lt;&gt;"",(((($H511/1000)/2)^2)*PI()*$M511),0),0)</f>
        <v>2.50535966557928</v>
      </c>
      <c r="AJ511" s="153" t="n">
        <f aca="false">IFERROR(IF(AND($H511&lt;&gt;"",$I511="FoFo",OR($N511="MND",$N511="VCA"),$Q511="LINEAR"),0,IF(AND($H511&lt;&gt;"",$I511="PEAD",$N511="VCA",$Q511="LINEAR"),($H511/1000)+0.3,IF(AND($H511&lt;&gt;"",$I511="PEAD",$N511="MND",$Q511="EMBOQUE"),0,IF(AND($H511&lt;&gt;"",$I511="PVC",$N511="VCA",$Q511="LINEAR"),($H511/1000)+0.2,IF(AND($H511&lt;&gt;"",$I511="PVC",$N511="MND",$Q511="EMBOQUE"),0,IF(AND($H511&lt;&gt;"",$I511="PEAD",$N511="VCA",$Q511="PREDIAL"),0,0)))))),0)</f>
        <v>0.41</v>
      </c>
      <c r="AK511" s="153" t="n">
        <f aca="false">IF(AA511&lt;&gt;"",AA511,0)</f>
        <v>3.3</v>
      </c>
      <c r="AL511" s="153" t="n">
        <f aca="false">IF(AND($N511="MND",$Q511="EMBOQUE"),$M511,IF(AND($N511="VCA",$Q511="LINEAR"),$M511,IF(AND($N511="VCA",$Q511="PREDIAL"),0,0)))</f>
        <v>263.63</v>
      </c>
      <c r="AM511" s="153" t="n">
        <f aca="false">IF(AND($N511="MND",$Q511="EMBOQUE"),$M511,IF(AND($N511="VCA",$Q511="LINEAR"),$M511,IF(AND($N511="VCA",$Q511="PREDIAL"),0,0)))</f>
        <v>263.63</v>
      </c>
      <c r="AN511" s="153" t="n">
        <f aca="false">ROUND(IF(AND($N511="VCA",$M511&lt;&gt;"",$Q511="LINEAR"),$M511/100,IF(AND($N511="MND",$M511&gt;100,$Q511="EMBOQUE"),$M511/100,0)),0)</f>
        <v>3</v>
      </c>
      <c r="AO511" s="153" t="n">
        <f aca="false">IF(AND($N511="MND",$Q511="EMBOQUE"),$AN511*2*2,IF(AND($N511="VCA",$Q511="LINEAR"),$M511*2,IF(AND($N511="VCA",$Q511="PREDIAL"),0,0)))</f>
        <v>527.26</v>
      </c>
      <c r="AP511" s="153" t="n">
        <f aca="false">IFERROR($M511*$AF511*$AG511,0)</f>
        <v>278.788725</v>
      </c>
      <c r="AQ511" s="153" t="n">
        <f aca="false">IFERROR(IF(AND($N511="VCA",$AH511&gt;0),$M511*$AG511*$AH511,0),0)</f>
        <v>19.77225</v>
      </c>
      <c r="AR511" s="153" t="n">
        <f aca="false">IFERROR(IF(AND($N511="VCA",$AJ511&gt;0),($M511*$AG511*$AJ511)-$AI511,0),0)</f>
        <v>78.5608653344207</v>
      </c>
      <c r="AS511" s="153" t="n">
        <f aca="false">IFERROR(IF(AND($N511="VCA",$AP511&gt;0),$AP511-$AI511-$AQ511-$AR511,0),0)</f>
        <v>177.95025</v>
      </c>
      <c r="AT511" s="153" t="n">
        <f aca="false">IFERROR(IF($N511="VCA",INDEX(APOIO_REDES!$A:$W,MATCH($C511&amp;$I511&amp;$H511&amp;$N511&amp;$O511,APOIO_REDES!$W:$W,0),MATCH(AT$5,APOIO_REDES!$5:$5,0)),0)*$AP511,0)</f>
        <v>3.03330384525052</v>
      </c>
      <c r="AU511" s="153" t="n">
        <f aca="false">IFERROR(IF($N511="VCA",INDEX(APOIO_REDES!$A:$W,MATCH($C511&amp;$I511&amp;$H511&amp;$N511&amp;$O511,APOIO_REDES!$W:$W,0),MATCH(AU$5,APOIO_REDES!$5:$5,0)),0)*$AP511,0)</f>
        <v>2.42231429853034</v>
      </c>
      <c r="AV511" s="153" t="n">
        <f aca="false">IFERROR(IF($N511="VCA",INDEX(APOIO_REDES!$A:$W,MATCH($C511&amp;$I511&amp;$H511&amp;$N511&amp;$O511,APOIO_REDES!$W:$W,0),MATCH(AV$5,APOIO_REDES!$5:$5,0)),0)*$AP511,0)</f>
        <v>0.335229283003778</v>
      </c>
      <c r="AW511" s="153" t="n">
        <f aca="false">IFERROR(IF($N511="VCA",INDEX(APOIO_REDES!$A:$W,MATCH($C511&amp;$I511&amp;$H511&amp;$N511&amp;$O511,APOIO_REDES!$W:$W,0),MATCH(AW$5,APOIO_REDES!$5:$5,0)),0)*$AP511,0)</f>
        <v>191.362741000452</v>
      </c>
      <c r="AX511" s="153" t="n">
        <f aca="false">IFERROR(IF($N511="VCA",INDEX(APOIO_REDES!$A:$W,MATCH($C511&amp;$I511&amp;$H511&amp;$N511&amp;$O511,APOIO_REDES!$W:$W,0),MATCH(AX$5,APOIO_REDES!$5:$5,0)),0)*$AP511,0)</f>
        <v>26.4840582473765</v>
      </c>
      <c r="AY511" s="153" t="n">
        <f aca="false">IFERROR(IF($N511="VCA",INDEX(APOIO_REDES!$A:$W,MATCH($C511&amp;$I511&amp;$H511&amp;$N511&amp;$O511,APOIO_REDES!$W:$W,0),MATCH(AY$5,APOIO_REDES!$5:$5,0)),0)*$AP511,0)</f>
        <v>48.4462564427918</v>
      </c>
      <c r="AZ511" s="153" t="n">
        <f aca="false">IFERROR(IF($N511="VCA",INDEX(APOIO_REDES!$A:$W,MATCH($C511&amp;$I511&amp;$H511&amp;$N511&amp;$O511,APOIO_REDES!$W:$W,0),MATCH(AZ$5,APOIO_REDES!$5:$5,0)),0)*$AP511,0)</f>
        <v>6.70482188259508</v>
      </c>
      <c r="BA511" s="153" t="n">
        <f aca="false">IFERROR(IF(AND($N511="VCA",$Q511="LINEAR"),INDEX(APOIO_REDES!$A:$W,MATCH($C511&amp;$I511&amp;$H511&amp;$N511&amp;$O511,APOIO_REDES!$W:$W,0),MATCH(BA$5,APOIO_REDES!$5:$5,0)),IF(AND($N511="MND",$Q511="EMBOQUE"),INDEX(APOIO_REDES!$A:$W,MATCH($C511&amp;$I511&amp;$H511&amp;$N511&amp;$O511,APOIO_REDES!$W:$W,0),MATCH(BA$5,APOIO_REDES!$5:$5,0)),0))*$M511/10,0)</f>
        <v>21.2479130143575</v>
      </c>
      <c r="BB511" s="153" t="n">
        <f aca="false">IFERROR(IF($N511="VCA",INDEX(APOIO_REDES!$A:$W,MATCH($C511&amp;$I511&amp;$H511&amp;$N511&amp;$O511,APOIO_REDES!$W:$W,0),MATCH(BB$5,APOIO_REDES!$5:$5,0)),0)*($AI511+$AQ511+$AR511),0)</f>
        <v>99.7413225453349</v>
      </c>
      <c r="BC511" s="153" t="n">
        <f aca="false">IFERROR(IF($N511="VCA",INDEX(APOIO_REDES!$A:$W,MATCH($C511&amp;$I511&amp;$H511&amp;$N511&amp;$O511,APOIO_REDES!$W:$W,0),MATCH(BC$5,APOIO_REDES!$5:$5,0)),0)*($AI511+$AQ511+$AR511),0)</f>
        <v>1.09715245466508</v>
      </c>
      <c r="BD511" s="153" t="n">
        <f aca="false">IF(AND($N511="VCA",$AF511&gt;=1.25,$AF511&lt;1.5),$M511*$AF511*2,0)</f>
        <v>743.4366</v>
      </c>
      <c r="BE511" s="153" t="n">
        <f aca="false">IF(AND($N511="VCA",$AF511&gt;=1.5,$AF511&lt;3),$M511*$AF511*2,0)</f>
        <v>0</v>
      </c>
      <c r="BF511" s="153" t="n">
        <f aca="false">IF(AND($N511="VCA",$AF511&gt;=3),$M511*$AF511*2,0)</f>
        <v>0</v>
      </c>
      <c r="BG511" s="153" t="n">
        <f aca="false">($BB511+$BC511)*$AK511</f>
        <v>332.7669675</v>
      </c>
      <c r="BH511" s="153" t="n">
        <f aca="false">IF(AND($M511&lt;&gt;"",$N511="VCA",$Q511="LINEAR"),($M511*2)/100,IF(AND($M511&lt;&gt;"",$N511="MND",$Q511="EMBOQUE"),($AN511*2)/100,0))</f>
        <v>5.2726</v>
      </c>
      <c r="BI511" s="153" t="n">
        <f aca="false">IF(AND($M511&lt;&gt;"",$N511="VCA",$Q511="LINEAR"),$M511,IF(AND($M511&lt;&gt;"",$N511="MND",$Q511="EMBOQUE"),$AN511*2,0))</f>
        <v>263.63</v>
      </c>
      <c r="BJ511" s="153" t="n">
        <f aca="false">IF(AND($M511&lt;&gt;"",$N511="VCA",$Q511="LINEAR"),($M511*6.8)/100,IF(AND($M511&lt;&gt;"",$N511="MND",$Q511="EMBOQUE"),($AN511*2*6.8)/100,0))</f>
        <v>17.92684</v>
      </c>
      <c r="BK511" s="153" t="n">
        <f aca="false">IF(AND($M511&lt;&gt;"",$N511="VCA",$Q511="LINEAR"),($M511*2.5)/50,IF(AND($M511&lt;&gt;"",$N511="MND",$Q511="EMBOQUE"),($AN511*2*2.5)/50,0))</f>
        <v>13.1815</v>
      </c>
      <c r="BL511" s="157" t="str">
        <f aca="false">K511&amp;J511</f>
        <v>Zona05REDES</v>
      </c>
      <c r="BM511" s="152" t="s">
        <v>3356</v>
      </c>
      <c r="BN511" s="152" t="s">
        <v>1560</v>
      </c>
      <c r="BO511" s="152" t="s">
        <v>2800</v>
      </c>
      <c r="BP511" s="152" t="s">
        <v>3446</v>
      </c>
      <c r="BQ511" s="152" t="s">
        <v>3481</v>
      </c>
      <c r="BR511" s="152" t="s">
        <v>3482</v>
      </c>
      <c r="BS511" s="152" t="n">
        <v>203611.091</v>
      </c>
      <c r="BT511" s="152" t="n">
        <v>8237860.633</v>
      </c>
      <c r="BU511" s="152" t="n">
        <v>203620.003</v>
      </c>
      <c r="BV511" s="152" t="n">
        <v>8237600.459</v>
      </c>
      <c r="BW511" s="152" t="n">
        <v>-15.9219791</v>
      </c>
      <c r="BX511" s="152" t="n">
        <v>-47.768068</v>
      </c>
      <c r="BY511" s="152" t="s">
        <v>3446</v>
      </c>
    </row>
    <row r="512" customFormat="false" ht="13.8" hidden="false" customHeight="false" outlineLevel="0" collapsed="false">
      <c r="A512" s="149" t="n">
        <f aca="false">IF(C512&lt;&gt;"",ROW(A507),"")</f>
        <v>507</v>
      </c>
      <c r="B512" s="150" t="str">
        <f aca="false">HYPERLINK("https://www.google.com/maps/dir/-15.917302,-47.760003/-15.9223399,-47.7675273/data=!4m3!4m2!3e0!5i1")</f>
        <v>https://www.google.com/maps/dir/-15.917302,-47.760003/-15.9223399,-47.7675273/data=!4m3!4m2!3e0!5i1</v>
      </c>
      <c r="C512" s="151" t="s">
        <v>117</v>
      </c>
      <c r="D512" s="152" t="s">
        <v>112</v>
      </c>
      <c r="E512" s="152" t="s">
        <v>113</v>
      </c>
      <c r="F512" s="152" t="s">
        <v>117</v>
      </c>
      <c r="G512" s="152" t="s">
        <v>782</v>
      </c>
      <c r="H512" s="152" t="n">
        <v>63</v>
      </c>
      <c r="I512" s="152" t="s">
        <v>115</v>
      </c>
      <c r="J512" s="152" t="s">
        <v>6</v>
      </c>
      <c r="K512" s="152" t="s">
        <v>3352</v>
      </c>
      <c r="L512" s="152" t="s">
        <v>120</v>
      </c>
      <c r="M512" s="153" t="n">
        <f aca="false">53.96</f>
        <v>53.96</v>
      </c>
      <c r="N512" s="152" t="s">
        <v>1548</v>
      </c>
      <c r="O512" s="152" t="s">
        <v>1549</v>
      </c>
      <c r="P512" s="152" t="s">
        <v>1550</v>
      </c>
      <c r="Q512" s="152" t="s">
        <v>1551</v>
      </c>
      <c r="R512" s="154" t="s">
        <v>3483</v>
      </c>
      <c r="S512" s="154" t="s">
        <v>1553</v>
      </c>
      <c r="T512" s="155" t="s">
        <v>2797</v>
      </c>
      <c r="U512" s="152" t="str">
        <f aca="false">RIGHT(T512,7)</f>
        <v>009/037</v>
      </c>
      <c r="V512" s="152" t="s">
        <v>1555</v>
      </c>
      <c r="W512" s="156" t="n">
        <v>45882</v>
      </c>
      <c r="X512" s="152" t="s">
        <v>1594</v>
      </c>
      <c r="Y512" s="152" t="s">
        <v>2638</v>
      </c>
      <c r="Z512" s="152" t="s">
        <v>1557</v>
      </c>
      <c r="AA512" s="153" t="n">
        <v>3.5</v>
      </c>
      <c r="AB512" s="151" t="s">
        <v>3484</v>
      </c>
      <c r="AC512" s="151" t="s">
        <v>186</v>
      </c>
      <c r="AD512" s="151" t="str">
        <f aca="false">CONCATENATE($C512,$I512,$H512,$N512,$J512,$K512)</f>
        <v>TUBO PEADPEAD63VCAREDESZona05</v>
      </c>
      <c r="AE512" s="153" t="n">
        <f aca="false">IFERROR(INDEX(APOIO_REDES!$A:$W,MATCH($C512&amp;$I512&amp;$H512&amp;$N512&amp;$O512,APOIO_REDES!$W:$W,0),MATCH(AE$5,APOIO_REDES!$5:$5,0)),0)</f>
        <v>1.2</v>
      </c>
      <c r="AF512" s="153" t="n">
        <f aca="false">IFERROR(INDEX(APOIO_REDES!$A:$W,MATCH($C512&amp;$I512&amp;$H512&amp;$N512&amp;$O512,APOIO_REDES!$W:$W,0),MATCH(AF$5,APOIO_REDES!$5:$5,0)),0)</f>
        <v>1.363</v>
      </c>
      <c r="AG512" s="153" t="n">
        <f aca="false">IFERROR(INDEX(APOIO_REDES!$A:$W,MATCH($C512&amp;$I512&amp;$H512&amp;$N512&amp;$O512,APOIO_REDES!$W:$W,0),MATCH(AG$5,APOIO_REDES!$5:$5,0)),0)</f>
        <v>0.65</v>
      </c>
      <c r="AH512" s="153" t="n">
        <f aca="false">IFERROR(INDEX(APOIO_REDES!$A:$W,MATCH($C512&amp;$I512&amp;$H512&amp;$N512&amp;$O512,APOIO_REDES!$W:$W,0),MATCH(AH$5,APOIO_REDES!$5:$5,0)),0)</f>
        <v>0.1</v>
      </c>
      <c r="AI512" s="153" t="n">
        <f aca="false">IFERROR(IF($H512&lt;&gt;"",(((($H512/1000)/2)^2)*PI()*$M512),0),0)</f>
        <v>0.168206556955901</v>
      </c>
      <c r="AJ512" s="153" t="n">
        <f aca="false">IFERROR(IF(AND($H512&lt;&gt;"",$I512="FoFo",OR($N512="MND",$N512="VCA"),$Q512="LINEAR"),0,IF(AND($H512&lt;&gt;"",$I512="PEAD",$N512="VCA",$Q512="LINEAR"),($H512/1000)+0.3,IF(AND($H512&lt;&gt;"",$I512="PEAD",$N512="MND",$Q512="EMBOQUE"),0,IF(AND($H512&lt;&gt;"",$I512="PVC",$N512="VCA",$Q512="LINEAR"),($H512/1000)+0.2,IF(AND($H512&lt;&gt;"",$I512="PVC",$N512="MND",$Q512="EMBOQUE"),0,IF(AND($H512&lt;&gt;"",$I512="PEAD",$N512="VCA",$Q512="PREDIAL"),0,0)))))),0)</f>
        <v>0.363</v>
      </c>
      <c r="AK512" s="153" t="n">
        <f aca="false">IF(AA512&lt;&gt;"",AA512,0)</f>
        <v>3.5</v>
      </c>
      <c r="AL512" s="153" t="n">
        <f aca="false">IF(AND($N512="MND",$Q512="EMBOQUE"),$M512,IF(AND($N512="VCA",$Q512="LINEAR"),$M512,IF(AND($N512="VCA",$Q512="PREDIAL"),0,0)))</f>
        <v>53.96</v>
      </c>
      <c r="AM512" s="153" t="n">
        <f aca="false">IF(AND($N512="MND",$Q512="EMBOQUE"),$M512,IF(AND($N512="VCA",$Q512="LINEAR"),$M512,IF(AND($N512="VCA",$Q512="PREDIAL"),0,0)))</f>
        <v>53.96</v>
      </c>
      <c r="AN512" s="153" t="n">
        <f aca="false">ROUND(IF(AND($N512="VCA",$M512&lt;&gt;"",$Q512="LINEAR"),$M512/100,IF(AND($N512="MND",$M512&gt;100,$Q512="EMBOQUE"),$M512/100,0)),0)</f>
        <v>1</v>
      </c>
      <c r="AO512" s="153" t="n">
        <f aca="false">IF(AND($N512="MND",$Q512="EMBOQUE"),$AN512*2*2,IF(AND($N512="VCA",$Q512="LINEAR"),$M512*2,IF(AND($N512="VCA",$Q512="PREDIAL"),0,0)))</f>
        <v>107.92</v>
      </c>
      <c r="AP512" s="153" t="n">
        <f aca="false">IFERROR($M512*$AF512*$AG512,0)</f>
        <v>47.805862</v>
      </c>
      <c r="AQ512" s="153" t="n">
        <f aca="false">IFERROR(IF(AND($N512="VCA",$AH512&gt;0),$M512*$AG512*$AH512,0),0)</f>
        <v>3.5074</v>
      </c>
      <c r="AR512" s="153" t="n">
        <f aca="false">IFERROR(IF(AND($N512="VCA",$AJ512&gt;0),($M512*$AG512*$AJ512)-$AI512,0),0)</f>
        <v>12.5636554430441</v>
      </c>
      <c r="AS512" s="153" t="n">
        <f aca="false">IFERROR(IF(AND($N512="VCA",$AP512&gt;0),$AP512-$AI512-$AQ512-$AR512,0),0)</f>
        <v>31.5666</v>
      </c>
      <c r="AT512" s="153" t="n">
        <f aca="false">IFERROR(IF($N512="VCA",INDEX(APOIO_REDES!$A:$W,MATCH($C512&amp;$I512&amp;$H512&amp;$N512&amp;$O512,APOIO_REDES!$W:$W,0),MATCH(AT$5,APOIO_REDES!$5:$5,0)),0)*$AP512,0)</f>
        <v>0.520141928372876</v>
      </c>
      <c r="AU512" s="153" t="n">
        <f aca="false">IFERROR(IF($N512="VCA",INDEX(APOIO_REDES!$A:$W,MATCH($C512&amp;$I512&amp;$H512&amp;$N512&amp;$O512,APOIO_REDES!$W:$W,0),MATCH(AU$5,APOIO_REDES!$5:$5,0)),0)*$AP512,0)</f>
        <v>0.415371256768609</v>
      </c>
      <c r="AV512" s="153" t="n">
        <f aca="false">IFERROR(IF($N512="VCA",INDEX(APOIO_REDES!$A:$W,MATCH($C512&amp;$I512&amp;$H512&amp;$N512&amp;$O512,APOIO_REDES!$W:$W,0),MATCH(AV$5,APOIO_REDES!$5:$5,0)),0)*$AP512,0)</f>
        <v>0.0574841211445605</v>
      </c>
      <c r="AW512" s="153" t="n">
        <f aca="false">IFERROR(IF($N512="VCA",INDEX(APOIO_REDES!$A:$W,MATCH($C512&amp;$I512&amp;$H512&amp;$N512&amp;$O512,APOIO_REDES!$W:$W,0),MATCH(AW$5,APOIO_REDES!$5:$5,0)),0)*$AP512,0)</f>
        <v>32.8143140946943</v>
      </c>
      <c r="AX512" s="153" t="n">
        <f aca="false">IFERROR(IF($N512="VCA",INDEX(APOIO_REDES!$A:$W,MATCH($C512&amp;$I512&amp;$H512&amp;$N512&amp;$O512,APOIO_REDES!$W:$W,0),MATCH(AX$5,APOIO_REDES!$5:$5,0)),0)*$AP512,0)</f>
        <v>4.54140759736264</v>
      </c>
      <c r="AY512" s="153" t="n">
        <f aca="false">IFERROR(IF($N512="VCA",INDEX(APOIO_REDES!$A:$W,MATCH($C512&amp;$I512&amp;$H512&amp;$N512&amp;$O512,APOIO_REDES!$W:$W,0),MATCH(AY$5,APOIO_REDES!$5:$5,0)),0)*$AP512,0)</f>
        <v>8.30742007203024</v>
      </c>
      <c r="AZ512" s="153" t="n">
        <f aca="false">IFERROR(IF($N512="VCA",INDEX(APOIO_REDES!$A:$W,MATCH($C512&amp;$I512&amp;$H512&amp;$N512&amp;$O512,APOIO_REDES!$W:$W,0),MATCH(AZ$5,APOIO_REDES!$5:$5,0)),0)*$AP512,0)</f>
        <v>1.1497229296268</v>
      </c>
      <c r="BA512" s="153" t="n">
        <f aca="false">IFERROR(IF(AND($N512="VCA",$Q512="LINEAR"),INDEX(APOIO_REDES!$A:$W,MATCH($C512&amp;$I512&amp;$H512&amp;$N512&amp;$O512,APOIO_REDES!$W:$W,0),MATCH(BA$5,APOIO_REDES!$5:$5,0)),IF(AND($N512="MND",$Q512="EMBOQUE"),INDEX(APOIO_REDES!$A:$W,MATCH($C512&amp;$I512&amp;$H512&amp;$N512&amp;$O512,APOIO_REDES!$W:$W,0),MATCH(BA$5,APOIO_REDES!$5:$5,0)),0))*$M512/10,0)</f>
        <v>4.34903989020494</v>
      </c>
      <c r="BB512" s="153" t="n">
        <f aca="false">IFERROR(IF($N512="VCA",INDEX(APOIO_REDES!$A:$W,MATCH($C512&amp;$I512&amp;$H512&amp;$N512&amp;$O512,APOIO_REDES!$W:$W,0),MATCH(BB$5,APOIO_REDES!$5:$5,0)),0)*($AI512+$AQ512+$AR512),0)</f>
        <v>16.0625740228638</v>
      </c>
      <c r="BC512" s="153" t="n">
        <f aca="false">IFERROR(IF($N512="VCA",INDEX(APOIO_REDES!$A:$W,MATCH($C512&amp;$I512&amp;$H512&amp;$N512&amp;$O512,APOIO_REDES!$W:$W,0),MATCH(BC$5,APOIO_REDES!$5:$5,0)),0)*($AI512+$AQ512+$AR512),0)</f>
        <v>0.176687977136201</v>
      </c>
      <c r="BD512" s="153" t="n">
        <f aca="false">IF(AND($N512="VCA",$AF512&gt;=1.25,$AF512&lt;1.5),$M512*$AF512*2,0)</f>
        <v>147.09496</v>
      </c>
      <c r="BE512" s="153" t="n">
        <f aca="false">IF(AND($N512="VCA",$AF512&gt;=1.5,$AF512&lt;3),$M512*$AF512*2,0)</f>
        <v>0</v>
      </c>
      <c r="BF512" s="153" t="n">
        <f aca="false">IF(AND($N512="VCA",$AF512&gt;=3),$M512*$AF512*2,0)</f>
        <v>0</v>
      </c>
      <c r="BG512" s="153" t="n">
        <f aca="false">($BB512+$BC512)*$AK512</f>
        <v>56.837417</v>
      </c>
      <c r="BH512" s="153" t="n">
        <f aca="false">IF(AND($M512&lt;&gt;"",$N512="VCA",$Q512="LINEAR"),($M512*2)/100,IF(AND($M512&lt;&gt;"",$N512="MND",$Q512="EMBOQUE"),($AN512*2)/100,0))</f>
        <v>1.0792</v>
      </c>
      <c r="BI512" s="153" t="n">
        <f aca="false">IF(AND($M512&lt;&gt;"",$N512="VCA",$Q512="LINEAR"),$M512,IF(AND($M512&lt;&gt;"",$N512="MND",$Q512="EMBOQUE"),$AN512*2,0))</f>
        <v>53.96</v>
      </c>
      <c r="BJ512" s="153" t="n">
        <f aca="false">IF(AND($M512&lt;&gt;"",$N512="VCA",$Q512="LINEAR"),($M512*6.8)/100,IF(AND($M512&lt;&gt;"",$N512="MND",$Q512="EMBOQUE"),($AN512*2*6.8)/100,0))</f>
        <v>3.66928</v>
      </c>
      <c r="BK512" s="153" t="n">
        <f aca="false">IF(AND($M512&lt;&gt;"",$N512="VCA",$Q512="LINEAR"),($M512*2.5)/50,IF(AND($M512&lt;&gt;"",$N512="MND",$Q512="EMBOQUE"),($AN512*2*2.5)/50,0))</f>
        <v>2.698</v>
      </c>
      <c r="BL512" s="157" t="str">
        <f aca="false">K512&amp;J512</f>
        <v>Zona05REDES</v>
      </c>
      <c r="BM512" s="152" t="s">
        <v>3356</v>
      </c>
      <c r="BN512" s="152" t="s">
        <v>1560</v>
      </c>
      <c r="BO512" s="152" t="s">
        <v>2800</v>
      </c>
      <c r="BP512" s="152" t="s">
        <v>3473</v>
      </c>
      <c r="BQ512" s="152" t="s">
        <v>3469</v>
      </c>
      <c r="BR512" s="152" t="s">
        <v>3485</v>
      </c>
      <c r="BS512" s="152" t="n">
        <v>203685.366</v>
      </c>
      <c r="BT512" s="152" t="n">
        <v>8237690.207</v>
      </c>
      <c r="BU512" s="152" t="n">
        <v>203736.501</v>
      </c>
      <c r="BV512" s="152" t="n">
        <v>8237707.05</v>
      </c>
      <c r="BW512" s="152" t="n">
        <v>-15.92228</v>
      </c>
      <c r="BX512" s="152" t="n">
        <v>-47.7672832</v>
      </c>
      <c r="BY512" s="152" t="s">
        <v>3473</v>
      </c>
    </row>
    <row r="513" customFormat="false" ht="13.8" hidden="false" customHeight="false" outlineLevel="0" collapsed="false">
      <c r="A513" s="149" t="n">
        <f aca="false">IF(C513&lt;&gt;"",ROW(A508),"")</f>
        <v>508</v>
      </c>
      <c r="B513" s="150" t="str">
        <f aca="false">HYPERLINK("https://www.google.com/maps/dir/-15.917302,-47.760003/-15.9224763,-47.7723533/data=!4m3!4m2!3e0!5i1")</f>
        <v>https://www.google.com/maps/dir/-15.917302,-47.760003/-15.9224763,-47.7723533/data=!4m3!4m2!3e0!5i1</v>
      </c>
      <c r="C513" s="151" t="s">
        <v>117</v>
      </c>
      <c r="D513" s="152" t="s">
        <v>112</v>
      </c>
      <c r="E513" s="152" t="s">
        <v>113</v>
      </c>
      <c r="F513" s="152" t="s">
        <v>117</v>
      </c>
      <c r="G513" s="152" t="s">
        <v>114</v>
      </c>
      <c r="H513" s="152" t="n">
        <v>225</v>
      </c>
      <c r="I513" s="152" t="s">
        <v>115</v>
      </c>
      <c r="J513" s="152" t="s">
        <v>6</v>
      </c>
      <c r="K513" s="152" t="s">
        <v>3352</v>
      </c>
      <c r="L513" s="152" t="s">
        <v>120</v>
      </c>
      <c r="M513" s="153" t="n">
        <f aca="false">68.07</f>
        <v>68.07</v>
      </c>
      <c r="N513" s="152" t="s">
        <v>1548</v>
      </c>
      <c r="O513" s="152" t="s">
        <v>1549</v>
      </c>
      <c r="P513" s="152" t="s">
        <v>1550</v>
      </c>
      <c r="Q513" s="152" t="s">
        <v>1551</v>
      </c>
      <c r="R513" s="154" t="s">
        <v>3486</v>
      </c>
      <c r="S513" s="154" t="s">
        <v>1593</v>
      </c>
      <c r="T513" s="155" t="s">
        <v>2797</v>
      </c>
      <c r="U513" s="152" t="str">
        <f aca="false">RIGHT(T513,7)</f>
        <v>009/037</v>
      </c>
      <c r="V513" s="152" t="s">
        <v>1555</v>
      </c>
      <c r="W513" s="156" t="n">
        <v>45882</v>
      </c>
      <c r="X513" s="152" t="s">
        <v>1594</v>
      </c>
      <c r="Y513" s="152" t="s">
        <v>3365</v>
      </c>
      <c r="Z513" s="152" t="s">
        <v>1557</v>
      </c>
      <c r="AA513" s="153" t="n">
        <v>3.4</v>
      </c>
      <c r="AB513" s="151" t="s">
        <v>3487</v>
      </c>
      <c r="AC513" s="151" t="s">
        <v>508</v>
      </c>
      <c r="AD513" s="151" t="str">
        <f aca="false">CONCATENATE($C513,$I513,$H513,$N513,$J513,$K513)</f>
        <v>TUBO PEADPEAD225VCAREDESZona05</v>
      </c>
      <c r="AE513" s="153" t="n">
        <f aca="false">IFERROR(INDEX(APOIO_REDES!$A:$W,MATCH($C513&amp;$I513&amp;$H513&amp;$N513&amp;$O513,APOIO_REDES!$W:$W,0),MATCH(AE$5,APOIO_REDES!$5:$5,0)),0)</f>
        <v>1.2</v>
      </c>
      <c r="AF513" s="153" t="n">
        <f aca="false">IFERROR(INDEX(APOIO_REDES!$A:$W,MATCH($C513&amp;$I513&amp;$H513&amp;$N513&amp;$O513,APOIO_REDES!$W:$W,0),MATCH(AF$5,APOIO_REDES!$5:$5,0)),0)</f>
        <v>1.525</v>
      </c>
      <c r="AG513" s="153" t="n">
        <f aca="false">IFERROR(INDEX(APOIO_REDES!$A:$W,MATCH($C513&amp;$I513&amp;$H513&amp;$N513&amp;$O513,APOIO_REDES!$W:$W,0),MATCH(AG$5,APOIO_REDES!$5:$5,0)),0)</f>
        <v>0.8</v>
      </c>
      <c r="AH513" s="153" t="n">
        <f aca="false">IFERROR(INDEX(APOIO_REDES!$A:$W,MATCH($C513&amp;$I513&amp;$H513&amp;$N513&amp;$O513,APOIO_REDES!$W:$W,0),MATCH(AH$5,APOIO_REDES!$5:$5,0)),0)</f>
        <v>0.1</v>
      </c>
      <c r="AI513" s="153" t="n">
        <f aca="false">IFERROR(IF($H513&lt;&gt;"",(((($H513/1000)/2)^2)*PI()*$M513),0),0)</f>
        <v>2.70651643223726</v>
      </c>
      <c r="AJ513" s="153" t="n">
        <f aca="false">IFERROR(IF(AND($H513&lt;&gt;"",$I513="FoFo",OR($N513="MND",$N513="VCA"),$Q513="LINEAR"),0,IF(AND($H513&lt;&gt;"",$I513="PEAD",$N513="VCA",$Q513="LINEAR"),($H513/1000)+0.3,IF(AND($H513&lt;&gt;"",$I513="PEAD",$N513="MND",$Q513="EMBOQUE"),0,IF(AND($H513&lt;&gt;"",$I513="PVC",$N513="VCA",$Q513="LINEAR"),($H513/1000)+0.2,IF(AND($H513&lt;&gt;"",$I513="PVC",$N513="MND",$Q513="EMBOQUE"),0,IF(AND($H513&lt;&gt;"",$I513="PEAD",$N513="VCA",$Q513="PREDIAL"),0,0)))))),0)</f>
        <v>0.525</v>
      </c>
      <c r="AK513" s="153" t="n">
        <f aca="false">IF(AA513&lt;&gt;"",AA513,0)</f>
        <v>3.4</v>
      </c>
      <c r="AL513" s="153" t="n">
        <f aca="false">IF(AND($N513="MND",$Q513="EMBOQUE"),$M513,IF(AND($N513="VCA",$Q513="LINEAR"),$M513,IF(AND($N513="VCA",$Q513="PREDIAL"),0,0)))</f>
        <v>68.07</v>
      </c>
      <c r="AM513" s="153" t="n">
        <f aca="false">IF(AND($N513="MND",$Q513="EMBOQUE"),$M513,IF(AND($N513="VCA",$Q513="LINEAR"),$M513,IF(AND($N513="VCA",$Q513="PREDIAL"),0,0)))</f>
        <v>68.07</v>
      </c>
      <c r="AN513" s="153" t="n">
        <f aca="false">ROUND(IF(AND($N513="VCA",$M513&lt;&gt;"",$Q513="LINEAR"),$M513/100,IF(AND($N513="MND",$M513&gt;100,$Q513="EMBOQUE"),$M513/100,0)),0)</f>
        <v>1</v>
      </c>
      <c r="AO513" s="153" t="n">
        <f aca="false">IF(AND($N513="MND",$Q513="EMBOQUE"),$AN513*2*2,IF(AND($N513="VCA",$Q513="LINEAR"),$M513*2,IF(AND($N513="VCA",$Q513="PREDIAL"),0,0)))</f>
        <v>136.14</v>
      </c>
      <c r="AP513" s="153" t="n">
        <f aca="false">IFERROR($M513*$AF513*$AG513,0)</f>
        <v>83.0454</v>
      </c>
      <c r="AQ513" s="153" t="n">
        <f aca="false">IFERROR(IF(AND($N513="VCA",$AH513&gt;0),$M513*$AG513*$AH513,0),0)</f>
        <v>5.4456</v>
      </c>
      <c r="AR513" s="153" t="n">
        <f aca="false">IFERROR(IF(AND($N513="VCA",$AJ513&gt;0),($M513*$AG513*$AJ513)-$AI513,0),0)</f>
        <v>25.8828835677627</v>
      </c>
      <c r="AS513" s="153" t="n">
        <f aca="false">IFERROR(IF(AND($N513="VCA",$AP513&gt;0),$AP513-$AI513-$AQ513-$AR513,0),0)</f>
        <v>49.0104</v>
      </c>
      <c r="AT513" s="153" t="n">
        <f aca="false">IFERROR(IF($N513="VCA",INDEX(APOIO_REDES!$A:$W,MATCH($C513&amp;$I513&amp;$H513&amp;$N513&amp;$O513,APOIO_REDES!$W:$W,0),MATCH(AT$5,APOIO_REDES!$5:$5,0)),0)*$AP513,0)</f>
        <v>0.903558532183707</v>
      </c>
      <c r="AU513" s="153" t="n">
        <f aca="false">IFERROR(IF($N513="VCA",INDEX(APOIO_REDES!$A:$W,MATCH($C513&amp;$I513&amp;$H513&amp;$N513&amp;$O513,APOIO_REDES!$W:$W,0),MATCH(AU$5,APOIO_REDES!$5:$5,0)),0)*$AP513,0)</f>
        <v>0.721557372333373</v>
      </c>
      <c r="AV513" s="153" t="n">
        <f aca="false">IFERROR(IF($N513="VCA",INDEX(APOIO_REDES!$A:$W,MATCH($C513&amp;$I513&amp;$H513&amp;$N513&amp;$O513,APOIO_REDES!$W:$W,0),MATCH(AV$5,APOIO_REDES!$5:$5,0)),0)*$AP513,0)</f>
        <v>0.099857875883474</v>
      </c>
      <c r="AW513" s="153" t="n">
        <f aca="false">IFERROR(IF($N513="VCA",INDEX(APOIO_REDES!$A:$W,MATCH($C513&amp;$I513&amp;$H513&amp;$N513&amp;$O513,APOIO_REDES!$W:$W,0),MATCH(AW$5,APOIO_REDES!$5:$5,0)),0)*$AP513,0)</f>
        <v>57.0030060271589</v>
      </c>
      <c r="AX513" s="153" t="n">
        <f aca="false">IFERROR(IF($N513="VCA",INDEX(APOIO_REDES!$A:$W,MATCH($C513&amp;$I513&amp;$H513&amp;$N513&amp;$O513,APOIO_REDES!$W:$W,0),MATCH(AX$5,APOIO_REDES!$5:$5,0)),0)*$AP513,0)</f>
        <v>7.88905365802251</v>
      </c>
      <c r="AY513" s="153" t="n">
        <f aca="false">IFERROR(IF($N513="VCA",INDEX(APOIO_REDES!$A:$W,MATCH($C513&amp;$I513&amp;$H513&amp;$N513&amp;$O513,APOIO_REDES!$W:$W,0),MATCH(AY$5,APOIO_REDES!$5:$5,0)),0)*$AP513,0)</f>
        <v>14.4311386509416</v>
      </c>
      <c r="AZ513" s="153" t="n">
        <f aca="false">IFERROR(IF($N513="VCA",INDEX(APOIO_REDES!$A:$W,MATCH($C513&amp;$I513&amp;$H513&amp;$N513&amp;$O513,APOIO_REDES!$W:$W,0),MATCH(AZ$5,APOIO_REDES!$5:$5,0)),0)*$AP513,0)</f>
        <v>1.9972278834765</v>
      </c>
      <c r="BA513" s="153" t="n">
        <f aca="false">IFERROR(IF(AND($N513="VCA",$Q513="LINEAR"),INDEX(APOIO_REDES!$A:$W,MATCH($C513&amp;$I513&amp;$H513&amp;$N513&amp;$O513,APOIO_REDES!$W:$W,0),MATCH(BA$5,APOIO_REDES!$5:$5,0)),IF(AND($N513="MND",$Q513="EMBOQUE"),INDEX(APOIO_REDES!$A:$W,MATCH($C513&amp;$I513&amp;$H513&amp;$N513&amp;$O513,APOIO_REDES!$W:$W,0),MATCH(BA$5,APOIO_REDES!$5:$5,0)),0))*$M513/10,0)</f>
        <v>5.48627029885564</v>
      </c>
      <c r="BB513" s="153" t="n">
        <f aca="false">IFERROR(IF($N513="VCA",INDEX(APOIO_REDES!$A:$W,MATCH($C513&amp;$I513&amp;$H513&amp;$N513&amp;$O513,APOIO_REDES!$W:$W,0),MATCH(BB$5,APOIO_REDES!$5:$5,0)),0)*($AI513+$AQ513+$AR513),0)</f>
        <v>33.6646891261542</v>
      </c>
      <c r="BC513" s="153" t="n">
        <f aca="false">IFERROR(IF($N513="VCA",INDEX(APOIO_REDES!$A:$W,MATCH($C513&amp;$I513&amp;$H513&amp;$N513&amp;$O513,APOIO_REDES!$W:$W,0),MATCH(BC$5,APOIO_REDES!$5:$5,0)),0)*($AI513+$AQ513+$AR513),0)</f>
        <v>0.370310873845782</v>
      </c>
      <c r="BD513" s="153" t="n">
        <f aca="false">IF(AND($N513="VCA",$AF513&gt;=1.25,$AF513&lt;1.5),$M513*$AF513*2,0)</f>
        <v>0</v>
      </c>
      <c r="BE513" s="153" t="n">
        <f aca="false">IF(AND($N513="VCA",$AF513&gt;=1.5,$AF513&lt;3),$M513*$AF513*2,0)</f>
        <v>207.6135</v>
      </c>
      <c r="BF513" s="153" t="n">
        <f aca="false">IF(AND($N513="VCA",$AF513&gt;=3),$M513*$AF513*2,0)</f>
        <v>0</v>
      </c>
      <c r="BG513" s="153" t="n">
        <f aca="false">($BB513+$BC513)*$AK513</f>
        <v>115.719</v>
      </c>
      <c r="BH513" s="153" t="n">
        <f aca="false">IF(AND($M513&lt;&gt;"",$N513="VCA",$Q513="LINEAR"),($M513*2)/100,IF(AND($M513&lt;&gt;"",$N513="MND",$Q513="EMBOQUE"),($AN513*2)/100,0))</f>
        <v>1.3614</v>
      </c>
      <c r="BI513" s="153" t="n">
        <f aca="false">IF(AND($M513&lt;&gt;"",$N513="VCA",$Q513="LINEAR"),$M513,IF(AND($M513&lt;&gt;"",$N513="MND",$Q513="EMBOQUE"),$AN513*2,0))</f>
        <v>68.07</v>
      </c>
      <c r="BJ513" s="153" t="n">
        <f aca="false">IF(AND($M513&lt;&gt;"",$N513="VCA",$Q513="LINEAR"),($M513*6.8)/100,IF(AND($M513&lt;&gt;"",$N513="MND",$Q513="EMBOQUE"),($AN513*2*6.8)/100,0))</f>
        <v>4.62876</v>
      </c>
      <c r="BK513" s="153" t="n">
        <f aca="false">IF(AND($M513&lt;&gt;"",$N513="VCA",$Q513="LINEAR"),($M513*2.5)/50,IF(AND($M513&lt;&gt;"",$N513="MND",$Q513="EMBOQUE"),($AN513*2*2.5)/50,0))</f>
        <v>3.4035</v>
      </c>
      <c r="BL513" s="157" t="str">
        <f aca="false">K513&amp;J513</f>
        <v>Zona05REDES</v>
      </c>
      <c r="BM513" s="152" t="s">
        <v>3356</v>
      </c>
      <c r="BN513" s="152" t="s">
        <v>1560</v>
      </c>
      <c r="BO513" s="152" t="s">
        <v>2800</v>
      </c>
      <c r="BP513" s="152" t="s">
        <v>3400</v>
      </c>
      <c r="BQ513" s="152" t="s">
        <v>3367</v>
      </c>
      <c r="BR513" s="152" t="s">
        <v>3488</v>
      </c>
      <c r="BS513" s="152" t="n">
        <v>203168.393</v>
      </c>
      <c r="BT513" s="152" t="n">
        <v>8237668.61</v>
      </c>
      <c r="BU513" s="152" t="n">
        <v>203100.708</v>
      </c>
      <c r="BV513" s="152" t="n">
        <v>8237675.807</v>
      </c>
      <c r="BW513" s="152" t="n">
        <v>-15.9224398</v>
      </c>
      <c r="BX513" s="152" t="n">
        <v>-47.7726687</v>
      </c>
      <c r="BY513" s="152" t="s">
        <v>3400</v>
      </c>
    </row>
    <row r="514" customFormat="false" ht="13.8" hidden="false" customHeight="false" outlineLevel="0" collapsed="false">
      <c r="A514" s="149" t="n">
        <f aca="false">IF(C514&lt;&gt;"",ROW(A509),"")</f>
        <v>509</v>
      </c>
      <c r="B514" s="150" t="str">
        <f aca="false">HYPERLINK("https://www.google.com/maps/dir/-15.917302,-47.760003/-15.9225086,-47.7720516/data=!4m3!4m2!3e0!5i1")</f>
        <v>https://www.google.com/maps/dir/-15.917302,-47.760003/-15.9225086,-47.7720516/data=!4m3!4m2!3e0!5i1</v>
      </c>
      <c r="C514" s="151" t="s">
        <v>117</v>
      </c>
      <c r="D514" s="152" t="s">
        <v>112</v>
      </c>
      <c r="E514" s="152" t="s">
        <v>113</v>
      </c>
      <c r="F514" s="152" t="s">
        <v>117</v>
      </c>
      <c r="G514" s="152" t="s">
        <v>114</v>
      </c>
      <c r="H514" s="152" t="n">
        <v>225</v>
      </c>
      <c r="I514" s="152" t="s">
        <v>115</v>
      </c>
      <c r="J514" s="152" t="s">
        <v>6</v>
      </c>
      <c r="K514" s="152" t="s">
        <v>3352</v>
      </c>
      <c r="L514" s="152" t="s">
        <v>120</v>
      </c>
      <c r="M514" s="153" t="n">
        <f aca="false">32.53</f>
        <v>32.53</v>
      </c>
      <c r="N514" s="152" t="s">
        <v>1548</v>
      </c>
      <c r="O514" s="152" t="s">
        <v>1549</v>
      </c>
      <c r="P514" s="152" t="s">
        <v>1550</v>
      </c>
      <c r="Q514" s="152" t="s">
        <v>1551</v>
      </c>
      <c r="R514" s="154" t="s">
        <v>3489</v>
      </c>
      <c r="S514" s="154" t="s">
        <v>1593</v>
      </c>
      <c r="T514" s="155" t="s">
        <v>2797</v>
      </c>
      <c r="U514" s="152" t="str">
        <f aca="false">RIGHT(T514,7)</f>
        <v>009/037</v>
      </c>
      <c r="V514" s="152" t="s">
        <v>1555</v>
      </c>
      <c r="W514" s="156" t="n">
        <v>45882</v>
      </c>
      <c r="X514" s="152" t="s">
        <v>1594</v>
      </c>
      <c r="Y514" s="152" t="s">
        <v>2630</v>
      </c>
      <c r="Z514" s="152" t="s">
        <v>1557</v>
      </c>
      <c r="AA514" s="153" t="n">
        <v>3.4</v>
      </c>
      <c r="AB514" s="151" t="s">
        <v>3490</v>
      </c>
      <c r="AC514" s="151" t="s">
        <v>508</v>
      </c>
      <c r="AD514" s="151" t="str">
        <f aca="false">CONCATENATE($C514,$I514,$H514,$N514,$J514,$K514)</f>
        <v>TUBO PEADPEAD225VCAREDESZona05</v>
      </c>
      <c r="AE514" s="153" t="n">
        <f aca="false">IFERROR(INDEX(APOIO_REDES!$A:$W,MATCH($C514&amp;$I514&amp;$H514&amp;$N514&amp;$O514,APOIO_REDES!$W:$W,0),MATCH(AE$5,APOIO_REDES!$5:$5,0)),0)</f>
        <v>1.2</v>
      </c>
      <c r="AF514" s="153" t="n">
        <f aca="false">IFERROR(INDEX(APOIO_REDES!$A:$W,MATCH($C514&amp;$I514&amp;$H514&amp;$N514&amp;$O514,APOIO_REDES!$W:$W,0),MATCH(AF$5,APOIO_REDES!$5:$5,0)),0)</f>
        <v>1.525</v>
      </c>
      <c r="AG514" s="153" t="n">
        <f aca="false">IFERROR(INDEX(APOIO_REDES!$A:$W,MATCH($C514&amp;$I514&amp;$H514&amp;$N514&amp;$O514,APOIO_REDES!$W:$W,0),MATCH(AG$5,APOIO_REDES!$5:$5,0)),0)</f>
        <v>0.8</v>
      </c>
      <c r="AH514" s="153" t="n">
        <f aca="false">IFERROR(INDEX(APOIO_REDES!$A:$W,MATCH($C514&amp;$I514&amp;$H514&amp;$N514&amp;$O514,APOIO_REDES!$W:$W,0),MATCH(AH$5,APOIO_REDES!$5:$5,0)),0)</f>
        <v>0.1</v>
      </c>
      <c r="AI514" s="153" t="n">
        <f aca="false">IFERROR(IF($H514&lt;&gt;"",(((($H514/1000)/2)^2)*PI()*$M514),0),0)</f>
        <v>1.29341823917552</v>
      </c>
      <c r="AJ514" s="153" t="n">
        <f aca="false">IFERROR(IF(AND($H514&lt;&gt;"",$I514="FoFo",OR($N514="MND",$N514="VCA"),$Q514="LINEAR"),0,IF(AND($H514&lt;&gt;"",$I514="PEAD",$N514="VCA",$Q514="LINEAR"),($H514/1000)+0.3,IF(AND($H514&lt;&gt;"",$I514="PEAD",$N514="MND",$Q514="EMBOQUE"),0,IF(AND($H514&lt;&gt;"",$I514="PVC",$N514="VCA",$Q514="LINEAR"),($H514/1000)+0.2,IF(AND($H514&lt;&gt;"",$I514="PVC",$N514="MND",$Q514="EMBOQUE"),0,IF(AND($H514&lt;&gt;"",$I514="PEAD",$N514="VCA",$Q514="PREDIAL"),0,0)))))),0)</f>
        <v>0.525</v>
      </c>
      <c r="AK514" s="153" t="n">
        <f aca="false">IF(AA514&lt;&gt;"",AA514,0)</f>
        <v>3.4</v>
      </c>
      <c r="AL514" s="153" t="n">
        <f aca="false">IF(AND($N514="MND",$Q514="EMBOQUE"),$M514,IF(AND($N514="VCA",$Q514="LINEAR"),$M514,IF(AND($N514="VCA",$Q514="PREDIAL"),0,0)))</f>
        <v>32.53</v>
      </c>
      <c r="AM514" s="153" t="n">
        <f aca="false">IF(AND($N514="MND",$Q514="EMBOQUE"),$M514,IF(AND($N514="VCA",$Q514="LINEAR"),$M514,IF(AND($N514="VCA",$Q514="PREDIAL"),0,0)))</f>
        <v>32.53</v>
      </c>
      <c r="AN514" s="153" t="n">
        <f aca="false">ROUND(IF(AND($N514="VCA",$M514&lt;&gt;"",$Q514="LINEAR"),$M514/100,IF(AND($N514="MND",$M514&gt;100,$Q514="EMBOQUE"),$M514/100,0)),0)</f>
        <v>0</v>
      </c>
      <c r="AO514" s="153" t="n">
        <f aca="false">IF(AND($N514="MND",$Q514="EMBOQUE"),$AN514*2*2,IF(AND($N514="VCA",$Q514="LINEAR"),$M514*2,IF(AND($N514="VCA",$Q514="PREDIAL"),0,0)))</f>
        <v>65.06</v>
      </c>
      <c r="AP514" s="153" t="n">
        <f aca="false">IFERROR($M514*$AF514*$AG514,0)</f>
        <v>39.6866</v>
      </c>
      <c r="AQ514" s="153" t="n">
        <f aca="false">IFERROR(IF(AND($N514="VCA",$AH514&gt;0),$M514*$AG514*$AH514,0),0)</f>
        <v>2.6024</v>
      </c>
      <c r="AR514" s="153" t="n">
        <f aca="false">IFERROR(IF(AND($N514="VCA",$AJ514&gt;0),($M514*$AG514*$AJ514)-$AI514,0),0)</f>
        <v>12.3691817608245</v>
      </c>
      <c r="AS514" s="153" t="n">
        <f aca="false">IFERROR(IF(AND($N514="VCA",$AP514&gt;0),$AP514-$AI514-$AQ514-$AR514,0),0)</f>
        <v>23.4216</v>
      </c>
      <c r="AT514" s="153" t="n">
        <f aca="false">IFERROR(IF($N514="VCA",INDEX(APOIO_REDES!$A:$W,MATCH($C514&amp;$I514&amp;$H514&amp;$N514&amp;$O514,APOIO_REDES!$W:$W,0),MATCH(AT$5,APOIO_REDES!$5:$5,0)),0)*$AP514,0)</f>
        <v>0.431801954633994</v>
      </c>
      <c r="AU514" s="153" t="n">
        <f aca="false">IFERROR(IF($N514="VCA",INDEX(APOIO_REDES!$A:$W,MATCH($C514&amp;$I514&amp;$H514&amp;$N514&amp;$O514,APOIO_REDES!$W:$W,0),MATCH(AU$5,APOIO_REDES!$5:$5,0)),0)*$AP514,0)</f>
        <v>0.344825346290651</v>
      </c>
      <c r="AV514" s="153" t="n">
        <f aca="false">IFERROR(IF($N514="VCA",INDEX(APOIO_REDES!$A:$W,MATCH($C514&amp;$I514&amp;$H514&amp;$N514&amp;$O514,APOIO_REDES!$W:$W,0),MATCH(AV$5,APOIO_REDES!$5:$5,0)),0)*$AP514,0)</f>
        <v>0.0477211209415221</v>
      </c>
      <c r="AW514" s="153" t="n">
        <f aca="false">IFERROR(IF($N514="VCA",INDEX(APOIO_REDES!$A:$W,MATCH($C514&amp;$I514&amp;$H514&amp;$N514&amp;$O514,APOIO_REDES!$W:$W,0),MATCH(AW$5,APOIO_REDES!$5:$5,0)),0)*$AP514,0)</f>
        <v>27.2411897467824</v>
      </c>
      <c r="AX514" s="153" t="n">
        <f aca="false">IFERROR(IF($N514="VCA",INDEX(APOIO_REDES!$A:$W,MATCH($C514&amp;$I514&amp;$H514&amp;$N514&amp;$O514,APOIO_REDES!$W:$W,0),MATCH(AX$5,APOIO_REDES!$5:$5,0)),0)*$AP514,0)</f>
        <v>3.77010306295684</v>
      </c>
      <c r="AY514" s="153" t="n">
        <f aca="false">IFERROR(IF($N514="VCA",INDEX(APOIO_REDES!$A:$W,MATCH($C514&amp;$I514&amp;$H514&amp;$N514&amp;$O514,APOIO_REDES!$W:$W,0),MATCH(AY$5,APOIO_REDES!$5:$5,0)),0)*$AP514,0)</f>
        <v>6.89650272242001</v>
      </c>
      <c r="AZ514" s="153" t="n">
        <f aca="false">IFERROR(IF($N514="VCA",INDEX(APOIO_REDES!$A:$W,MATCH($C514&amp;$I514&amp;$H514&amp;$N514&amp;$O514,APOIO_REDES!$W:$W,0),MATCH(AZ$5,APOIO_REDES!$5:$5,0)),0)*$AP514,0)</f>
        <v>0.954456045974591</v>
      </c>
      <c r="BA514" s="153" t="n">
        <f aca="false">IFERROR(IF(AND($N514="VCA",$Q514="LINEAR"),INDEX(APOIO_REDES!$A:$W,MATCH($C514&amp;$I514&amp;$H514&amp;$N514&amp;$O514,APOIO_REDES!$W:$W,0),MATCH(BA$5,APOIO_REDES!$5:$5,0)),IF(AND($N514="MND",$Q514="EMBOQUE"),INDEX(APOIO_REDES!$A:$W,MATCH($C514&amp;$I514&amp;$H514&amp;$N514&amp;$O514,APOIO_REDES!$W:$W,0),MATCH(BA$5,APOIO_REDES!$5:$5,0)),0))*$M514/10,0)</f>
        <v>2.62183594567025</v>
      </c>
      <c r="BB514" s="153" t="n">
        <f aca="false">IFERROR(IF($N514="VCA",INDEX(APOIO_REDES!$A:$W,MATCH($C514&amp;$I514&amp;$H514&amp;$N514&amp;$O514,APOIO_REDES!$W:$W,0),MATCH(BB$5,APOIO_REDES!$5:$5,0)),0)*($AI514+$AQ514+$AR514),0)</f>
        <v>16.0880319858057</v>
      </c>
      <c r="BC514" s="153" t="n">
        <f aca="false">IFERROR(IF($N514="VCA",INDEX(APOIO_REDES!$A:$W,MATCH($C514&amp;$I514&amp;$H514&amp;$N514&amp;$O514,APOIO_REDES!$W:$W,0),MATCH(BC$5,APOIO_REDES!$5:$5,0)),0)*($AI514+$AQ514+$AR514),0)</f>
        <v>0.17696801419426</v>
      </c>
      <c r="BD514" s="153" t="n">
        <f aca="false">IF(AND($N514="VCA",$AF514&gt;=1.25,$AF514&lt;1.5),$M514*$AF514*2,0)</f>
        <v>0</v>
      </c>
      <c r="BE514" s="153" t="n">
        <f aca="false">IF(AND($N514="VCA",$AF514&gt;=1.5,$AF514&lt;3),$M514*$AF514*2,0)</f>
        <v>99.2165</v>
      </c>
      <c r="BF514" s="153" t="n">
        <f aca="false">IF(AND($N514="VCA",$AF514&gt;=3),$M514*$AF514*2,0)</f>
        <v>0</v>
      </c>
      <c r="BG514" s="153" t="n">
        <f aca="false">($BB514+$BC514)*$AK514</f>
        <v>55.301</v>
      </c>
      <c r="BH514" s="153" t="n">
        <f aca="false">IF(AND($M514&lt;&gt;"",$N514="VCA",$Q514="LINEAR"),($M514*2)/100,IF(AND($M514&lt;&gt;"",$N514="MND",$Q514="EMBOQUE"),($AN514*2)/100,0))</f>
        <v>0.6506</v>
      </c>
      <c r="BI514" s="153" t="n">
        <f aca="false">IF(AND($M514&lt;&gt;"",$N514="VCA",$Q514="LINEAR"),$M514,IF(AND($M514&lt;&gt;"",$N514="MND",$Q514="EMBOQUE"),$AN514*2,0))</f>
        <v>32.53</v>
      </c>
      <c r="BJ514" s="153" t="n">
        <f aca="false">IF(AND($M514&lt;&gt;"",$N514="VCA",$Q514="LINEAR"),($M514*6.8)/100,IF(AND($M514&lt;&gt;"",$N514="MND",$Q514="EMBOQUE"),($AN514*2*6.8)/100,0))</f>
        <v>2.21204</v>
      </c>
      <c r="BK514" s="153" t="n">
        <f aca="false">IF(AND($M514&lt;&gt;"",$N514="VCA",$Q514="LINEAR"),($M514*2.5)/50,IF(AND($M514&lt;&gt;"",$N514="MND",$Q514="EMBOQUE"),($AN514*2*2.5)/50,0))</f>
        <v>1.6265</v>
      </c>
      <c r="BL514" s="157" t="str">
        <f aca="false">K514&amp;J514</f>
        <v>Zona05REDES</v>
      </c>
      <c r="BM514" s="152" t="s">
        <v>3356</v>
      </c>
      <c r="BN514" s="152" t="s">
        <v>1560</v>
      </c>
      <c r="BO514" s="152" t="s">
        <v>2800</v>
      </c>
      <c r="BP514" s="152" t="s">
        <v>3491</v>
      </c>
      <c r="BQ514" s="152" t="s">
        <v>3400</v>
      </c>
      <c r="BR514" s="152" t="s">
        <v>3492</v>
      </c>
      <c r="BS514" s="152" t="n">
        <v>203200.766</v>
      </c>
      <c r="BT514" s="152" t="n">
        <v>8237665.463</v>
      </c>
      <c r="BU514" s="152" t="n">
        <v>203168.393</v>
      </c>
      <c r="BV514" s="152" t="n">
        <v>8237668.61</v>
      </c>
      <c r="BW514" s="152" t="n">
        <v>-15.9224917</v>
      </c>
      <c r="BX514" s="152" t="n">
        <v>-47.7722024</v>
      </c>
      <c r="BY514" s="152" t="s">
        <v>3491</v>
      </c>
    </row>
    <row r="515" customFormat="false" ht="13.8" hidden="false" customHeight="false" outlineLevel="0" collapsed="false">
      <c r="A515" s="149" t="n">
        <f aca="false">IF(C515&lt;&gt;"",ROW(A510),"")</f>
        <v>510</v>
      </c>
      <c r="B515" s="150" t="str">
        <f aca="false">HYPERLINK("https://www.google.com/maps/dir/-15.917302,-47.760003/-15.9225237,-47.7718968/data=!4m3!4m2!3e0!5i0")</f>
        <v>https://www.google.com/maps/dir/-15.917302,-47.760003/-15.9225237,-47.7718968/data=!4m3!4m2!3e0!5i0</v>
      </c>
      <c r="C515" s="151" t="s">
        <v>117</v>
      </c>
      <c r="D515" s="152" t="s">
        <v>112</v>
      </c>
      <c r="E515" s="152" t="s">
        <v>113</v>
      </c>
      <c r="F515" s="152" t="s">
        <v>117</v>
      </c>
      <c r="G515" s="152" t="s">
        <v>114</v>
      </c>
      <c r="H515" s="152" t="n">
        <v>225</v>
      </c>
      <c r="I515" s="152" t="s">
        <v>115</v>
      </c>
      <c r="J515" s="152" t="s">
        <v>6</v>
      </c>
      <c r="K515" s="152" t="s">
        <v>3352</v>
      </c>
      <c r="L515" s="152" t="s">
        <v>120</v>
      </c>
      <c r="M515" s="153" t="n">
        <f aca="false">16.67</f>
        <v>16.67</v>
      </c>
      <c r="N515" s="152" t="s">
        <v>1548</v>
      </c>
      <c r="O515" s="152" t="s">
        <v>1549</v>
      </c>
      <c r="P515" s="152" t="s">
        <v>1550</v>
      </c>
      <c r="Q515" s="152" t="s">
        <v>1551</v>
      </c>
      <c r="R515" s="154" t="s">
        <v>3493</v>
      </c>
      <c r="S515" s="154" t="s">
        <v>1593</v>
      </c>
      <c r="T515" s="155" t="s">
        <v>2797</v>
      </c>
      <c r="U515" s="152" t="str">
        <f aca="false">RIGHT(T515,7)</f>
        <v>009/037</v>
      </c>
      <c r="V515" s="152" t="s">
        <v>1555</v>
      </c>
      <c r="W515" s="156" t="n">
        <v>45882</v>
      </c>
      <c r="X515" s="152" t="s">
        <v>1594</v>
      </c>
      <c r="Y515" s="152" t="s">
        <v>3494</v>
      </c>
      <c r="Z515" s="152" t="s">
        <v>1557</v>
      </c>
      <c r="AA515" s="153" t="n">
        <v>3.3</v>
      </c>
      <c r="AB515" s="151" t="s">
        <v>3495</v>
      </c>
      <c r="AC515" s="151" t="s">
        <v>508</v>
      </c>
      <c r="AD515" s="151" t="str">
        <f aca="false">CONCATENATE($C515,$I515,$H515,$N515,$J515,$K515)</f>
        <v>TUBO PEADPEAD225VCAREDESZona05</v>
      </c>
      <c r="AE515" s="153" t="n">
        <f aca="false">IFERROR(INDEX(APOIO_REDES!$A:$W,MATCH($C515&amp;$I515&amp;$H515&amp;$N515&amp;$O515,APOIO_REDES!$W:$W,0),MATCH(AE$5,APOIO_REDES!$5:$5,0)),0)</f>
        <v>1.2</v>
      </c>
      <c r="AF515" s="153" t="n">
        <f aca="false">IFERROR(INDEX(APOIO_REDES!$A:$W,MATCH($C515&amp;$I515&amp;$H515&amp;$N515&amp;$O515,APOIO_REDES!$W:$W,0),MATCH(AF$5,APOIO_REDES!$5:$5,0)),0)</f>
        <v>1.525</v>
      </c>
      <c r="AG515" s="153" t="n">
        <f aca="false">IFERROR(INDEX(APOIO_REDES!$A:$W,MATCH($C515&amp;$I515&amp;$H515&amp;$N515&amp;$O515,APOIO_REDES!$W:$W,0),MATCH(AG$5,APOIO_REDES!$5:$5,0)),0)</f>
        <v>0.8</v>
      </c>
      <c r="AH515" s="153" t="n">
        <f aca="false">IFERROR(INDEX(APOIO_REDES!$A:$W,MATCH($C515&amp;$I515&amp;$H515&amp;$N515&amp;$O515,APOIO_REDES!$W:$W,0),MATCH(AH$5,APOIO_REDES!$5:$5,0)),0)</f>
        <v>0.1</v>
      </c>
      <c r="AI515" s="153" t="n">
        <f aca="false">IFERROR(IF($H515&lt;&gt;"",(((($H515/1000)/2)^2)*PI()*$M515),0),0)</f>
        <v>0.66281223630667</v>
      </c>
      <c r="AJ515" s="153" t="n">
        <f aca="false">IFERROR(IF(AND($H515&lt;&gt;"",$I515="FoFo",OR($N515="MND",$N515="VCA"),$Q515="LINEAR"),0,IF(AND($H515&lt;&gt;"",$I515="PEAD",$N515="VCA",$Q515="LINEAR"),($H515/1000)+0.3,IF(AND($H515&lt;&gt;"",$I515="PEAD",$N515="MND",$Q515="EMBOQUE"),0,IF(AND($H515&lt;&gt;"",$I515="PVC",$N515="VCA",$Q515="LINEAR"),($H515/1000)+0.2,IF(AND($H515&lt;&gt;"",$I515="PVC",$N515="MND",$Q515="EMBOQUE"),0,IF(AND($H515&lt;&gt;"",$I515="PEAD",$N515="VCA",$Q515="PREDIAL"),0,0)))))),0)</f>
        <v>0.525</v>
      </c>
      <c r="AK515" s="153" t="n">
        <f aca="false">IF(AA515&lt;&gt;"",AA515,0)</f>
        <v>3.3</v>
      </c>
      <c r="AL515" s="153" t="n">
        <f aca="false">IF(AND($N515="MND",$Q515="EMBOQUE"),$M515,IF(AND($N515="VCA",$Q515="LINEAR"),$M515,IF(AND($N515="VCA",$Q515="PREDIAL"),0,0)))</f>
        <v>16.67</v>
      </c>
      <c r="AM515" s="153" t="n">
        <f aca="false">IF(AND($N515="MND",$Q515="EMBOQUE"),$M515,IF(AND($N515="VCA",$Q515="LINEAR"),$M515,IF(AND($N515="VCA",$Q515="PREDIAL"),0,0)))</f>
        <v>16.67</v>
      </c>
      <c r="AN515" s="153" t="n">
        <f aca="false">ROUND(IF(AND($N515="VCA",$M515&lt;&gt;"",$Q515="LINEAR"),$M515/100,IF(AND($N515="MND",$M515&gt;100,$Q515="EMBOQUE"),$M515/100,0)),0)</f>
        <v>0</v>
      </c>
      <c r="AO515" s="153" t="n">
        <f aca="false">IF(AND($N515="MND",$Q515="EMBOQUE"),$AN515*2*2,IF(AND($N515="VCA",$Q515="LINEAR"),$M515*2,IF(AND($N515="VCA",$Q515="PREDIAL"),0,0)))</f>
        <v>33.34</v>
      </c>
      <c r="AP515" s="153" t="n">
        <f aca="false">IFERROR($M515*$AF515*$AG515,0)</f>
        <v>20.3374</v>
      </c>
      <c r="AQ515" s="153" t="n">
        <f aca="false">IFERROR(IF(AND($N515="VCA",$AH515&gt;0),$M515*$AG515*$AH515,0),0)</f>
        <v>1.3336</v>
      </c>
      <c r="AR515" s="153" t="n">
        <f aca="false">IFERROR(IF(AND($N515="VCA",$AJ515&gt;0),($M515*$AG515*$AJ515)-$AI515,0),0)</f>
        <v>6.33858776369333</v>
      </c>
      <c r="AS515" s="153" t="n">
        <f aca="false">IFERROR(IF(AND($N515="VCA",$AP515&gt;0),$AP515-$AI515-$AQ515-$AR515,0),0)</f>
        <v>12.0024</v>
      </c>
      <c r="AT515" s="153" t="n">
        <f aca="false">IFERROR(IF($N515="VCA",INDEX(APOIO_REDES!$A:$W,MATCH($C515&amp;$I515&amp;$H515&amp;$N515&amp;$O515,APOIO_REDES!$W:$W,0),MATCH(AT$5,APOIO_REDES!$5:$5,0)),0)*$AP515,0)</f>
        <v>0.221276931563132</v>
      </c>
      <c r="AU515" s="153" t="n">
        <f aca="false">IFERROR(IF($N515="VCA",INDEX(APOIO_REDES!$A:$W,MATCH($C515&amp;$I515&amp;$H515&amp;$N515&amp;$O515,APOIO_REDES!$W:$W,0),MATCH(AU$5,APOIO_REDES!$5:$5,0)),0)*$AP515,0)</f>
        <v>0.176705764606983</v>
      </c>
      <c r="AV515" s="153" t="n">
        <f aca="false">IFERROR(IF($N515="VCA",INDEX(APOIO_REDES!$A:$W,MATCH($C515&amp;$I515&amp;$H515&amp;$N515&amp;$O515,APOIO_REDES!$W:$W,0),MATCH(AV$5,APOIO_REDES!$5:$5,0)),0)*$AP515,0)</f>
        <v>0.0244546906269651</v>
      </c>
      <c r="AW515" s="153" t="n">
        <f aca="false">IFERROR(IF($N515="VCA",INDEX(APOIO_REDES!$A:$W,MATCH($C515&amp;$I515&amp;$H515&amp;$N515&amp;$O515,APOIO_REDES!$W:$W,0),MATCH(AW$5,APOIO_REDES!$5:$5,0)),0)*$AP515,0)</f>
        <v>13.9597489418648</v>
      </c>
      <c r="AX515" s="153" t="n">
        <f aca="false">IFERROR(IF($N515="VCA",INDEX(APOIO_REDES!$A:$W,MATCH($C515&amp;$I515&amp;$H515&amp;$N515&amp;$O515,APOIO_REDES!$W:$W,0),MATCH(AX$5,APOIO_REDES!$5:$5,0)),0)*$AP515,0)</f>
        <v>1.93198948845652</v>
      </c>
      <c r="AY515" s="153" t="n">
        <f aca="false">IFERROR(IF($N515="VCA",INDEX(APOIO_REDES!$A:$W,MATCH($C515&amp;$I515&amp;$H515&amp;$N515&amp;$O515,APOIO_REDES!$W:$W,0),MATCH(AY$5,APOIO_REDES!$5:$5,0)),0)*$AP515,0)</f>
        <v>3.53411313811071</v>
      </c>
      <c r="AZ515" s="153" t="n">
        <f aca="false">IFERROR(IF($N515="VCA",INDEX(APOIO_REDES!$A:$W,MATCH($C515&amp;$I515&amp;$H515&amp;$N515&amp;$O515,APOIO_REDES!$W:$W,0),MATCH(AZ$5,APOIO_REDES!$5:$5,0)),0)*$AP515,0)</f>
        <v>0.489111044770871</v>
      </c>
      <c r="BA515" s="153" t="n">
        <f aca="false">IFERROR(IF(AND($N515="VCA",$Q515="LINEAR"),INDEX(APOIO_REDES!$A:$W,MATCH($C515&amp;$I515&amp;$H515&amp;$N515&amp;$O515,APOIO_REDES!$W:$W,0),MATCH(BA$5,APOIO_REDES!$5:$5,0)),IF(AND($N515="MND",$Q515="EMBOQUE"),INDEX(APOIO_REDES!$A:$W,MATCH($C515&amp;$I515&amp;$H515&amp;$N515&amp;$O515,APOIO_REDES!$W:$W,0),MATCH(BA$5,APOIO_REDES!$5:$5,0)),0))*$M515/10,0)</f>
        <v>1.34355995125494</v>
      </c>
      <c r="BB515" s="153" t="n">
        <f aca="false">IFERROR(IF($N515="VCA",INDEX(APOIO_REDES!$A:$W,MATCH($C515&amp;$I515&amp;$H515&amp;$N515&amp;$O515,APOIO_REDES!$W:$W,0),MATCH(BB$5,APOIO_REDES!$5:$5,0)),0)*($AI515+$AQ515+$AR515),0)</f>
        <v>8.24431273296593</v>
      </c>
      <c r="BC515" s="153" t="n">
        <f aca="false">IFERROR(IF($N515="VCA",INDEX(APOIO_REDES!$A:$W,MATCH($C515&amp;$I515&amp;$H515&amp;$N515&amp;$O515,APOIO_REDES!$W:$W,0),MATCH(BC$5,APOIO_REDES!$5:$5,0)),0)*($AI515+$AQ515+$AR515),0)</f>
        <v>0.0906872670340706</v>
      </c>
      <c r="BD515" s="153" t="n">
        <f aca="false">IF(AND($N515="VCA",$AF515&gt;=1.25,$AF515&lt;1.5),$M515*$AF515*2,0)</f>
        <v>0</v>
      </c>
      <c r="BE515" s="153" t="n">
        <f aca="false">IF(AND($N515="VCA",$AF515&gt;=1.5,$AF515&lt;3),$M515*$AF515*2,0)</f>
        <v>50.8435</v>
      </c>
      <c r="BF515" s="153" t="n">
        <f aca="false">IF(AND($N515="VCA",$AF515&gt;=3),$M515*$AF515*2,0)</f>
        <v>0</v>
      </c>
      <c r="BG515" s="153" t="n">
        <f aca="false">($BB515+$BC515)*$AK515</f>
        <v>27.5055</v>
      </c>
      <c r="BH515" s="153" t="n">
        <f aca="false">IF(AND($M515&lt;&gt;"",$N515="VCA",$Q515="LINEAR"),($M515*2)/100,IF(AND($M515&lt;&gt;"",$N515="MND",$Q515="EMBOQUE"),($AN515*2)/100,0))</f>
        <v>0.3334</v>
      </c>
      <c r="BI515" s="153" t="n">
        <f aca="false">IF(AND($M515&lt;&gt;"",$N515="VCA",$Q515="LINEAR"),$M515,IF(AND($M515&lt;&gt;"",$N515="MND",$Q515="EMBOQUE"),$AN515*2,0))</f>
        <v>16.67</v>
      </c>
      <c r="BJ515" s="153" t="n">
        <f aca="false">IF(AND($M515&lt;&gt;"",$N515="VCA",$Q515="LINEAR"),($M515*6.8)/100,IF(AND($M515&lt;&gt;"",$N515="MND",$Q515="EMBOQUE"),($AN515*2*6.8)/100,0))</f>
        <v>1.13356</v>
      </c>
      <c r="BK515" s="153" t="n">
        <f aca="false">IF(AND($M515&lt;&gt;"",$N515="VCA",$Q515="LINEAR"),($M515*2.5)/50,IF(AND($M515&lt;&gt;"",$N515="MND",$Q515="EMBOQUE"),($AN515*2*2.5)/50,0))</f>
        <v>0.8335</v>
      </c>
      <c r="BL515" s="157" t="str">
        <f aca="false">K515&amp;J515</f>
        <v>Zona05REDES</v>
      </c>
      <c r="BM515" s="152" t="s">
        <v>3356</v>
      </c>
      <c r="BN515" s="152" t="s">
        <v>1560</v>
      </c>
      <c r="BO515" s="152" t="s">
        <v>2800</v>
      </c>
      <c r="BP515" s="152" t="s">
        <v>3496</v>
      </c>
      <c r="BQ515" s="152" t="s">
        <v>3491</v>
      </c>
      <c r="BR515" s="152" t="s">
        <v>3497</v>
      </c>
      <c r="BS515" s="152" t="n">
        <v>203217.376</v>
      </c>
      <c r="BT515" s="152" t="n">
        <v>8237664.019</v>
      </c>
      <c r="BU515" s="152" t="n">
        <v>203200.766</v>
      </c>
      <c r="BV515" s="152" t="n">
        <v>8237665.463</v>
      </c>
      <c r="BW515" s="152" t="n">
        <v>-15.9225168</v>
      </c>
      <c r="BX515" s="152" t="n">
        <v>-47.7719743</v>
      </c>
      <c r="BY515" s="152" t="s">
        <v>3496</v>
      </c>
    </row>
    <row r="516" customFormat="false" ht="13.8" hidden="false" customHeight="false" outlineLevel="0" collapsed="false">
      <c r="A516" s="149" t="n">
        <f aca="false">IF(C516&lt;&gt;"",ROW(A511),"")</f>
        <v>511</v>
      </c>
      <c r="B516" s="150" t="str">
        <f aca="false">HYPERLINK("https://www.google.com/maps/dir/-15.917302,-47.760003/-15.9225821,-47.7713738/data=!4m3!4m2!3e0!5i0")</f>
        <v>https://www.google.com/maps/dir/-15.917302,-47.760003/-15.9225821,-47.7713738/data=!4m3!4m2!3e0!5i0</v>
      </c>
      <c r="C516" s="151" t="s">
        <v>117</v>
      </c>
      <c r="D516" s="152" t="s">
        <v>112</v>
      </c>
      <c r="E516" s="152" t="s">
        <v>113</v>
      </c>
      <c r="F516" s="152" t="s">
        <v>117</v>
      </c>
      <c r="G516" s="152" t="s">
        <v>114</v>
      </c>
      <c r="H516" s="152" t="n">
        <v>225</v>
      </c>
      <c r="I516" s="152" t="s">
        <v>115</v>
      </c>
      <c r="J516" s="152" t="s">
        <v>6</v>
      </c>
      <c r="K516" s="152" t="s">
        <v>3352</v>
      </c>
      <c r="L516" s="152" t="s">
        <v>120</v>
      </c>
      <c r="M516" s="153" t="n">
        <f aca="false">56.46</f>
        <v>56.46</v>
      </c>
      <c r="N516" s="152" t="s">
        <v>1548</v>
      </c>
      <c r="O516" s="152" t="s">
        <v>1549</v>
      </c>
      <c r="P516" s="152" t="s">
        <v>1550</v>
      </c>
      <c r="Q516" s="152" t="s">
        <v>1551</v>
      </c>
      <c r="R516" s="154" t="s">
        <v>3498</v>
      </c>
      <c r="S516" s="154" t="s">
        <v>1593</v>
      </c>
      <c r="T516" s="155" t="s">
        <v>2797</v>
      </c>
      <c r="U516" s="152" t="str">
        <f aca="false">RIGHT(T516,7)</f>
        <v>009/037</v>
      </c>
      <c r="V516" s="152" t="s">
        <v>1555</v>
      </c>
      <c r="W516" s="156" t="n">
        <v>45882</v>
      </c>
      <c r="X516" s="152" t="s">
        <v>1594</v>
      </c>
      <c r="Y516" s="152" t="s">
        <v>3499</v>
      </c>
      <c r="Z516" s="152" t="s">
        <v>1557</v>
      </c>
      <c r="AA516" s="153" t="n">
        <v>3.3</v>
      </c>
      <c r="AB516" s="151" t="s">
        <v>3500</v>
      </c>
      <c r="AC516" s="151" t="s">
        <v>508</v>
      </c>
      <c r="AD516" s="151" t="str">
        <f aca="false">CONCATENATE($C516,$I516,$H516,$N516,$J516,$K516)</f>
        <v>TUBO PEADPEAD225VCAREDESZona05</v>
      </c>
      <c r="AE516" s="153" t="n">
        <f aca="false">IFERROR(INDEX(APOIO_REDES!$A:$W,MATCH($C516&amp;$I516&amp;$H516&amp;$N516&amp;$O516,APOIO_REDES!$W:$W,0),MATCH(AE$5,APOIO_REDES!$5:$5,0)),0)</f>
        <v>1.2</v>
      </c>
      <c r="AF516" s="153" t="n">
        <f aca="false">IFERROR(INDEX(APOIO_REDES!$A:$W,MATCH($C516&amp;$I516&amp;$H516&amp;$N516&amp;$O516,APOIO_REDES!$W:$W,0),MATCH(AF$5,APOIO_REDES!$5:$5,0)),0)</f>
        <v>1.525</v>
      </c>
      <c r="AG516" s="153" t="n">
        <f aca="false">IFERROR(INDEX(APOIO_REDES!$A:$W,MATCH($C516&amp;$I516&amp;$H516&amp;$N516&amp;$O516,APOIO_REDES!$W:$W,0),MATCH(AG$5,APOIO_REDES!$5:$5,0)),0)</f>
        <v>0.8</v>
      </c>
      <c r="AH516" s="153" t="n">
        <f aca="false">IFERROR(INDEX(APOIO_REDES!$A:$W,MATCH($C516&amp;$I516&amp;$H516&amp;$N516&amp;$O516,APOIO_REDES!$W:$W,0),MATCH(AH$5,APOIO_REDES!$5:$5,0)),0)</f>
        <v>0.1</v>
      </c>
      <c r="AI516" s="153" t="n">
        <f aca="false">IFERROR(IF($H516&lt;&gt;"",(((($H516/1000)/2)^2)*PI()*$M516),0),0)</f>
        <v>2.24489375296188</v>
      </c>
      <c r="AJ516" s="153" t="n">
        <f aca="false">IFERROR(IF(AND($H516&lt;&gt;"",$I516="FoFo",OR($N516="MND",$N516="VCA"),$Q516="LINEAR"),0,IF(AND($H516&lt;&gt;"",$I516="PEAD",$N516="VCA",$Q516="LINEAR"),($H516/1000)+0.3,IF(AND($H516&lt;&gt;"",$I516="PEAD",$N516="MND",$Q516="EMBOQUE"),0,IF(AND($H516&lt;&gt;"",$I516="PVC",$N516="VCA",$Q516="LINEAR"),($H516/1000)+0.2,IF(AND($H516&lt;&gt;"",$I516="PVC",$N516="MND",$Q516="EMBOQUE"),0,IF(AND($H516&lt;&gt;"",$I516="PEAD",$N516="VCA",$Q516="PREDIAL"),0,0)))))),0)</f>
        <v>0.525</v>
      </c>
      <c r="AK516" s="153" t="n">
        <f aca="false">IF(AA516&lt;&gt;"",AA516,0)</f>
        <v>3.3</v>
      </c>
      <c r="AL516" s="153" t="n">
        <f aca="false">IF(AND($N516="MND",$Q516="EMBOQUE"),$M516,IF(AND($N516="VCA",$Q516="LINEAR"),$M516,IF(AND($N516="VCA",$Q516="PREDIAL"),0,0)))</f>
        <v>56.46</v>
      </c>
      <c r="AM516" s="153" t="n">
        <f aca="false">IF(AND($N516="MND",$Q516="EMBOQUE"),$M516,IF(AND($N516="VCA",$Q516="LINEAR"),$M516,IF(AND($N516="VCA",$Q516="PREDIAL"),0,0)))</f>
        <v>56.46</v>
      </c>
      <c r="AN516" s="153" t="n">
        <f aca="false">ROUND(IF(AND($N516="VCA",$M516&lt;&gt;"",$Q516="LINEAR"),$M516/100,IF(AND($N516="MND",$M516&gt;100,$Q516="EMBOQUE"),$M516/100,0)),0)</f>
        <v>1</v>
      </c>
      <c r="AO516" s="153" t="n">
        <f aca="false">IF(AND($N516="MND",$Q516="EMBOQUE"),$AN516*2*2,IF(AND($N516="VCA",$Q516="LINEAR"),$M516*2,IF(AND($N516="VCA",$Q516="PREDIAL"),0,0)))</f>
        <v>112.92</v>
      </c>
      <c r="AP516" s="153" t="n">
        <f aca="false">IFERROR($M516*$AF516*$AG516,0)</f>
        <v>68.8812</v>
      </c>
      <c r="AQ516" s="153" t="n">
        <f aca="false">IFERROR(IF(AND($N516="VCA",$AH516&gt;0),$M516*$AG516*$AH516,0),0)</f>
        <v>4.5168</v>
      </c>
      <c r="AR516" s="153" t="n">
        <f aca="false">IFERROR(IF(AND($N516="VCA",$AJ516&gt;0),($M516*$AG516*$AJ516)-$AI516,0),0)</f>
        <v>21.4683062470381</v>
      </c>
      <c r="AS516" s="153" t="n">
        <f aca="false">IFERROR(IF(AND($N516="VCA",$AP516&gt;0),$AP516-$AI516-$AQ516-$AR516,0),0)</f>
        <v>40.6512</v>
      </c>
      <c r="AT516" s="153" t="n">
        <f aca="false">IFERROR(IF($N516="VCA",INDEX(APOIO_REDES!$A:$W,MATCH($C516&amp;$I516&amp;$H516&amp;$N516&amp;$O516,APOIO_REDES!$W:$W,0),MATCH(AT$5,APOIO_REDES!$5:$5,0)),0)*$AP516,0)</f>
        <v>0.749447843794508</v>
      </c>
      <c r="AU516" s="153" t="n">
        <f aca="false">IFERROR(IF($N516="VCA",INDEX(APOIO_REDES!$A:$W,MATCH($C516&amp;$I516&amp;$H516&amp;$N516&amp;$O516,APOIO_REDES!$W:$W,0),MATCH(AU$5,APOIO_REDES!$5:$5,0)),0)*$AP516,0)</f>
        <v>0.598488750432529</v>
      </c>
      <c r="AV516" s="153" t="n">
        <f aca="false">IFERROR(IF($N516="VCA",INDEX(APOIO_REDES!$A:$W,MATCH($C516&amp;$I516&amp;$H516&amp;$N516&amp;$O516,APOIO_REDES!$W:$W,0),MATCH(AV$5,APOIO_REDES!$5:$5,0)),0)*$AP516,0)</f>
        <v>0.082826144738959</v>
      </c>
      <c r="AW516" s="153" t="n">
        <f aca="false">IFERROR(IF($N516="VCA",INDEX(APOIO_REDES!$A:$W,MATCH($C516&amp;$I516&amp;$H516&amp;$N516&amp;$O516,APOIO_REDES!$W:$W,0),MATCH(AW$5,APOIO_REDES!$5:$5,0)),0)*$AP516,0)</f>
        <v>47.2805893975818</v>
      </c>
      <c r="AX516" s="153" t="n">
        <f aca="false">IFERROR(IF($N516="VCA",INDEX(APOIO_REDES!$A:$W,MATCH($C516&amp;$I516&amp;$H516&amp;$N516&amp;$O516,APOIO_REDES!$W:$W,0),MATCH(AX$5,APOIO_REDES!$5:$5,0)),0)*$AP516,0)</f>
        <v>6.54349889131704</v>
      </c>
      <c r="AY516" s="153" t="n">
        <f aca="false">IFERROR(IF($N516="VCA",INDEX(APOIO_REDES!$A:$W,MATCH($C516&amp;$I516&amp;$H516&amp;$N516&amp;$O516,APOIO_REDES!$W:$W,0),MATCH(AY$5,APOIO_REDES!$5:$5,0)),0)*$AP516,0)</f>
        <v>11.9697677131212</v>
      </c>
      <c r="AZ516" s="153" t="n">
        <f aca="false">IFERROR(IF($N516="VCA",INDEX(APOIO_REDES!$A:$W,MATCH($C516&amp;$I516&amp;$H516&amp;$N516&amp;$O516,APOIO_REDES!$W:$W,0),MATCH(AZ$5,APOIO_REDES!$5:$5,0)),0)*$AP516,0)</f>
        <v>1.656581259014</v>
      </c>
      <c r="BA516" s="153" t="n">
        <f aca="false">IFERROR(IF(AND($N516="VCA",$Q516="LINEAR"),INDEX(APOIO_REDES!$A:$W,MATCH($C516&amp;$I516&amp;$H516&amp;$N516&amp;$O516,APOIO_REDES!$W:$W,0),MATCH(BA$5,APOIO_REDES!$5:$5,0)),IF(AND($N516="MND",$Q516="EMBOQUE"),INDEX(APOIO_REDES!$A:$W,MATCH($C516&amp;$I516&amp;$H516&amp;$N516&amp;$O516,APOIO_REDES!$W:$W,0),MATCH(BA$5,APOIO_REDES!$5:$5,0)),0))*$M516/10,0)</f>
        <v>4.5505335841544</v>
      </c>
      <c r="BB516" s="153" t="n">
        <f aca="false">IFERROR(IF($N516="VCA",INDEX(APOIO_REDES!$A:$W,MATCH($C516&amp;$I516&amp;$H516&amp;$N516&amp;$O516,APOIO_REDES!$W:$W,0),MATCH(BB$5,APOIO_REDES!$5:$5,0)),0)*($AI516+$AQ516+$AR516),0)</f>
        <v>27.9228492443465</v>
      </c>
      <c r="BC516" s="153" t="n">
        <f aca="false">IFERROR(IF($N516="VCA",INDEX(APOIO_REDES!$A:$W,MATCH($C516&amp;$I516&amp;$H516&amp;$N516&amp;$O516,APOIO_REDES!$W:$W,0),MATCH(BC$5,APOIO_REDES!$5:$5,0)),0)*($AI516+$AQ516+$AR516),0)</f>
        <v>0.307150755653487</v>
      </c>
      <c r="BD516" s="153" t="n">
        <f aca="false">IF(AND($N516="VCA",$AF516&gt;=1.25,$AF516&lt;1.5),$M516*$AF516*2,0)</f>
        <v>0</v>
      </c>
      <c r="BE516" s="153" t="n">
        <f aca="false">IF(AND($N516="VCA",$AF516&gt;=1.5,$AF516&lt;3),$M516*$AF516*2,0)</f>
        <v>172.203</v>
      </c>
      <c r="BF516" s="153" t="n">
        <f aca="false">IF(AND($N516="VCA",$AF516&gt;=3),$M516*$AF516*2,0)</f>
        <v>0</v>
      </c>
      <c r="BG516" s="153" t="n">
        <f aca="false">($BB516+$BC516)*$AK516</f>
        <v>93.159</v>
      </c>
      <c r="BH516" s="153" t="n">
        <f aca="false">IF(AND($M516&lt;&gt;"",$N516="VCA",$Q516="LINEAR"),($M516*2)/100,IF(AND($M516&lt;&gt;"",$N516="MND",$Q516="EMBOQUE"),($AN516*2)/100,0))</f>
        <v>1.1292</v>
      </c>
      <c r="BI516" s="153" t="n">
        <f aca="false">IF(AND($M516&lt;&gt;"",$N516="VCA",$Q516="LINEAR"),$M516,IF(AND($M516&lt;&gt;"",$N516="MND",$Q516="EMBOQUE"),$AN516*2,0))</f>
        <v>56.46</v>
      </c>
      <c r="BJ516" s="153" t="n">
        <f aca="false">IF(AND($M516&lt;&gt;"",$N516="VCA",$Q516="LINEAR"),($M516*6.8)/100,IF(AND($M516&lt;&gt;"",$N516="MND",$Q516="EMBOQUE"),($AN516*2*6.8)/100,0))</f>
        <v>3.83928</v>
      </c>
      <c r="BK516" s="153" t="n">
        <f aca="false">IF(AND($M516&lt;&gt;"",$N516="VCA",$Q516="LINEAR"),($M516*2.5)/50,IF(AND($M516&lt;&gt;"",$N516="MND",$Q516="EMBOQUE"),($AN516*2*2.5)/50,0))</f>
        <v>2.823</v>
      </c>
      <c r="BL516" s="157" t="str">
        <f aca="false">K516&amp;J516</f>
        <v>Zona05REDES</v>
      </c>
      <c r="BM516" s="152" t="s">
        <v>3356</v>
      </c>
      <c r="BN516" s="152" t="s">
        <v>1560</v>
      </c>
      <c r="BO516" s="152" t="s">
        <v>2800</v>
      </c>
      <c r="BP516" s="152" t="s">
        <v>3501</v>
      </c>
      <c r="BQ516" s="152" t="s">
        <v>3496</v>
      </c>
      <c r="BR516" s="152" t="s">
        <v>3502</v>
      </c>
      <c r="BS516" s="152" t="n">
        <v>203273.498</v>
      </c>
      <c r="BT516" s="152" t="n">
        <v>8237658.3</v>
      </c>
      <c r="BU516" s="152" t="n">
        <v>203217.376</v>
      </c>
      <c r="BV516" s="152" t="n">
        <v>8237664.019</v>
      </c>
      <c r="BW516" s="152" t="n">
        <v>-15.9225559</v>
      </c>
      <c r="BX516" s="152" t="n">
        <v>-47.7716358</v>
      </c>
      <c r="BY516" s="152" t="s">
        <v>3501</v>
      </c>
    </row>
    <row r="517" customFormat="false" ht="13.8" hidden="false" customHeight="false" outlineLevel="0" collapsed="false">
      <c r="A517" s="149" t="n">
        <f aca="false">IF(C517&lt;&gt;"",ROW(A512),"")</f>
        <v>512</v>
      </c>
      <c r="B517" s="150" t="str">
        <f aca="false">HYPERLINK("https://www.google.com/maps/dir/-15.917302,-47.760003/-15.9225966,-47.7711451/data=!4m3!4m2!3e0!5i0")</f>
        <v>https://www.google.com/maps/dir/-15.917302,-47.760003/-15.9225966,-47.7711451/data=!4m3!4m2!3e0!5i0</v>
      </c>
      <c r="C517" s="151" t="s">
        <v>117</v>
      </c>
      <c r="D517" s="152" t="s">
        <v>112</v>
      </c>
      <c r="E517" s="152" t="s">
        <v>113</v>
      </c>
      <c r="F517" s="152" t="s">
        <v>117</v>
      </c>
      <c r="G517" s="152" t="s">
        <v>114</v>
      </c>
      <c r="H517" s="152" t="n">
        <v>225</v>
      </c>
      <c r="I517" s="152" t="s">
        <v>115</v>
      </c>
      <c r="J517" s="152" t="s">
        <v>6</v>
      </c>
      <c r="K517" s="152" t="s">
        <v>3352</v>
      </c>
      <c r="L517" s="152" t="s">
        <v>120</v>
      </c>
      <c r="M517" s="153" t="n">
        <f aca="false">24.55</f>
        <v>24.55</v>
      </c>
      <c r="N517" s="152" t="s">
        <v>1548</v>
      </c>
      <c r="O517" s="152" t="s">
        <v>1549</v>
      </c>
      <c r="P517" s="152" t="s">
        <v>1550</v>
      </c>
      <c r="Q517" s="152" t="s">
        <v>1551</v>
      </c>
      <c r="R517" s="154" t="s">
        <v>3503</v>
      </c>
      <c r="S517" s="154" t="s">
        <v>1593</v>
      </c>
      <c r="T517" s="155" t="s">
        <v>2797</v>
      </c>
      <c r="U517" s="152" t="str">
        <f aca="false">RIGHT(T517,7)</f>
        <v>009/037</v>
      </c>
      <c r="V517" s="152" t="s">
        <v>1555</v>
      </c>
      <c r="W517" s="156" t="n">
        <v>45882</v>
      </c>
      <c r="X517" s="152" t="s">
        <v>1594</v>
      </c>
      <c r="Y517" s="152" t="s">
        <v>3499</v>
      </c>
      <c r="Z517" s="152" t="s">
        <v>1557</v>
      </c>
      <c r="AA517" s="153" t="n">
        <v>3.3</v>
      </c>
      <c r="AB517" s="151" t="s">
        <v>3504</v>
      </c>
      <c r="AC517" s="151" t="s">
        <v>508</v>
      </c>
      <c r="AD517" s="151" t="str">
        <f aca="false">CONCATENATE($C517,$I517,$H517,$N517,$J517,$K517)</f>
        <v>TUBO PEADPEAD225VCAREDESZona05</v>
      </c>
      <c r="AE517" s="153" t="n">
        <f aca="false">IFERROR(INDEX(APOIO_REDES!$A:$W,MATCH($C517&amp;$I517&amp;$H517&amp;$N517&amp;$O517,APOIO_REDES!$W:$W,0),MATCH(AE$5,APOIO_REDES!$5:$5,0)),0)</f>
        <v>1.2</v>
      </c>
      <c r="AF517" s="153" t="n">
        <f aca="false">IFERROR(INDEX(APOIO_REDES!$A:$W,MATCH($C517&amp;$I517&amp;$H517&amp;$N517&amp;$O517,APOIO_REDES!$W:$W,0),MATCH(AF$5,APOIO_REDES!$5:$5,0)),0)</f>
        <v>1.525</v>
      </c>
      <c r="AG517" s="153" t="n">
        <f aca="false">IFERROR(INDEX(APOIO_REDES!$A:$W,MATCH($C517&amp;$I517&amp;$H517&amp;$N517&amp;$O517,APOIO_REDES!$W:$W,0),MATCH(AG$5,APOIO_REDES!$5:$5,0)),0)</f>
        <v>0.8</v>
      </c>
      <c r="AH517" s="153" t="n">
        <f aca="false">IFERROR(INDEX(APOIO_REDES!$A:$W,MATCH($C517&amp;$I517&amp;$H517&amp;$N517&amp;$O517,APOIO_REDES!$W:$W,0),MATCH(AH$5,APOIO_REDES!$5:$5,0)),0)</f>
        <v>0.1</v>
      </c>
      <c r="AI517" s="153" t="n">
        <f aca="false">IFERROR(IF($H517&lt;&gt;"",(((($H517/1000)/2)^2)*PI()*$M517),0),0)</f>
        <v>0.976127198639998</v>
      </c>
      <c r="AJ517" s="153" t="n">
        <f aca="false">IFERROR(IF(AND($H517&lt;&gt;"",$I517="FoFo",OR($N517="MND",$N517="VCA"),$Q517="LINEAR"),0,IF(AND($H517&lt;&gt;"",$I517="PEAD",$N517="VCA",$Q517="LINEAR"),($H517/1000)+0.3,IF(AND($H517&lt;&gt;"",$I517="PEAD",$N517="MND",$Q517="EMBOQUE"),0,IF(AND($H517&lt;&gt;"",$I517="PVC",$N517="VCA",$Q517="LINEAR"),($H517/1000)+0.2,IF(AND($H517&lt;&gt;"",$I517="PVC",$N517="MND",$Q517="EMBOQUE"),0,IF(AND($H517&lt;&gt;"",$I517="PEAD",$N517="VCA",$Q517="PREDIAL"),0,0)))))),0)</f>
        <v>0.525</v>
      </c>
      <c r="AK517" s="153" t="n">
        <f aca="false">IF(AA517&lt;&gt;"",AA517,0)</f>
        <v>3.3</v>
      </c>
      <c r="AL517" s="153" t="n">
        <f aca="false">IF(AND($N517="MND",$Q517="EMBOQUE"),$M517,IF(AND($N517="VCA",$Q517="LINEAR"),$M517,IF(AND($N517="VCA",$Q517="PREDIAL"),0,0)))</f>
        <v>24.55</v>
      </c>
      <c r="AM517" s="153" t="n">
        <f aca="false">IF(AND($N517="MND",$Q517="EMBOQUE"),$M517,IF(AND($N517="VCA",$Q517="LINEAR"),$M517,IF(AND($N517="VCA",$Q517="PREDIAL"),0,0)))</f>
        <v>24.55</v>
      </c>
      <c r="AN517" s="153" t="n">
        <f aca="false">ROUND(IF(AND($N517="VCA",$M517&lt;&gt;"",$Q517="LINEAR"),$M517/100,IF(AND($N517="MND",$M517&gt;100,$Q517="EMBOQUE"),$M517/100,0)),0)</f>
        <v>0</v>
      </c>
      <c r="AO517" s="153" t="n">
        <f aca="false">IF(AND($N517="MND",$Q517="EMBOQUE"),$AN517*2*2,IF(AND($N517="VCA",$Q517="LINEAR"),$M517*2,IF(AND($N517="VCA",$Q517="PREDIAL"),0,0)))</f>
        <v>49.1</v>
      </c>
      <c r="AP517" s="153" t="n">
        <f aca="false">IFERROR($M517*$AF517*$AG517,0)</f>
        <v>29.951</v>
      </c>
      <c r="AQ517" s="153" t="n">
        <f aca="false">IFERROR(IF(AND($N517="VCA",$AH517&gt;0),$M517*$AG517*$AH517,0),0)</f>
        <v>1.964</v>
      </c>
      <c r="AR517" s="153" t="n">
        <f aca="false">IFERROR(IF(AND($N517="VCA",$AJ517&gt;0),($M517*$AG517*$AJ517)-$AI517,0),0)</f>
        <v>9.33487280136</v>
      </c>
      <c r="AS517" s="153" t="n">
        <f aca="false">IFERROR(IF(AND($N517="VCA",$AP517&gt;0),$AP517-$AI517-$AQ517-$AR517,0),0)</f>
        <v>17.676</v>
      </c>
      <c r="AT517" s="153" t="n">
        <f aca="false">IFERROR(IF($N517="VCA",INDEX(APOIO_REDES!$A:$W,MATCH($C517&amp;$I517&amp;$H517&amp;$N517&amp;$O517,APOIO_REDES!$W:$W,0),MATCH(AT$5,APOIO_REDES!$5:$5,0)),0)*$AP517,0)</f>
        <v>0.325875745043485</v>
      </c>
      <c r="AU517" s="153" t="n">
        <f aca="false">IFERROR(IF($N517="VCA",INDEX(APOIO_REDES!$A:$W,MATCH($C517&amp;$I517&amp;$H517&amp;$N517&amp;$O517,APOIO_REDES!$W:$W,0),MATCH(AU$5,APOIO_REDES!$5:$5,0)),0)*$AP517,0)</f>
        <v>0.260235544157255</v>
      </c>
      <c r="AV517" s="153" t="n">
        <f aca="false">IFERROR(IF($N517="VCA",INDEX(APOIO_REDES!$A:$W,MATCH($C517&amp;$I517&amp;$H517&amp;$N517&amp;$O517,APOIO_REDES!$W:$W,0),MATCH(AV$5,APOIO_REDES!$5:$5,0)),0)*$AP517,0)</f>
        <v>0.0360145563822431</v>
      </c>
      <c r="AW517" s="153" t="n">
        <f aca="false">IFERROR(IF($N517="VCA",INDEX(APOIO_REDES!$A:$W,MATCH($C517&amp;$I517&amp;$H517&amp;$N517&amp;$O517,APOIO_REDES!$W:$W,0),MATCH(AW$5,APOIO_REDES!$5:$5,0)),0)*$AP517,0)</f>
        <v>20.5585984716725</v>
      </c>
      <c r="AX517" s="153" t="n">
        <f aca="false">IFERROR(IF($N517="VCA",INDEX(APOIO_REDES!$A:$W,MATCH($C517&amp;$I517&amp;$H517&amp;$N517&amp;$O517,APOIO_REDES!$W:$W,0),MATCH(AX$5,APOIO_REDES!$5:$5,0)),0)*$AP517,0)</f>
        <v>2.84525146620321</v>
      </c>
      <c r="AY517" s="153" t="n">
        <f aca="false">IFERROR(IF($N517="VCA",INDEX(APOIO_REDES!$A:$W,MATCH($C517&amp;$I517&amp;$H517&amp;$N517&amp;$O517,APOIO_REDES!$W:$W,0),MATCH(AY$5,APOIO_REDES!$5:$5,0)),0)*$AP517,0)</f>
        <v>5.2047077108949</v>
      </c>
      <c r="AZ517" s="153" t="n">
        <f aca="false">IFERROR(IF($N517="VCA",INDEX(APOIO_REDES!$A:$W,MATCH($C517&amp;$I517&amp;$H517&amp;$N517&amp;$O517,APOIO_REDES!$W:$W,0),MATCH(AZ$5,APOIO_REDES!$5:$5,0)),0)*$AP517,0)</f>
        <v>0.720316505646364</v>
      </c>
      <c r="BA517" s="153" t="n">
        <f aca="false">IFERROR(IF(AND($N517="VCA",$Q517="LINEAR"),INDEX(APOIO_REDES!$A:$W,MATCH($C517&amp;$I517&amp;$H517&amp;$N517&amp;$O517,APOIO_REDES!$W:$W,0),MATCH(BA$5,APOIO_REDES!$5:$5,0)),IF(AND($N517="MND",$Q517="EMBOQUE"),INDEX(APOIO_REDES!$A:$W,MATCH($C517&amp;$I517&amp;$H517&amp;$N517&amp;$O517,APOIO_REDES!$W:$W,0),MATCH(BA$5,APOIO_REDES!$5:$5,0)),0))*$M517/10,0)</f>
        <v>1.97866807458361</v>
      </c>
      <c r="BB517" s="153" t="n">
        <f aca="false">IFERROR(IF($N517="VCA",INDEX(APOIO_REDES!$A:$W,MATCH($C517&amp;$I517&amp;$H517&amp;$N517&amp;$O517,APOIO_REDES!$W:$W,0),MATCH(BB$5,APOIO_REDES!$5:$5,0)),0)*($AI517+$AQ517+$AR517),0)</f>
        <v>12.1414443667855</v>
      </c>
      <c r="BC517" s="153" t="n">
        <f aca="false">IFERROR(IF($N517="VCA",INDEX(APOIO_REDES!$A:$W,MATCH($C517&amp;$I517&amp;$H517&amp;$N517&amp;$O517,APOIO_REDES!$W:$W,0),MATCH(BC$5,APOIO_REDES!$5:$5,0)),0)*($AI517+$AQ517+$AR517),0)</f>
        <v>0.133555633214543</v>
      </c>
      <c r="BD517" s="153" t="n">
        <f aca="false">IF(AND($N517="VCA",$AF517&gt;=1.25,$AF517&lt;1.5),$M517*$AF517*2,0)</f>
        <v>0</v>
      </c>
      <c r="BE517" s="153" t="n">
        <f aca="false">IF(AND($N517="VCA",$AF517&gt;=1.5,$AF517&lt;3),$M517*$AF517*2,0)</f>
        <v>74.8775</v>
      </c>
      <c r="BF517" s="153" t="n">
        <f aca="false">IF(AND($N517="VCA",$AF517&gt;=3),$M517*$AF517*2,0)</f>
        <v>0</v>
      </c>
      <c r="BG517" s="153" t="n">
        <f aca="false">($BB517+$BC517)*$AK517</f>
        <v>40.5075</v>
      </c>
      <c r="BH517" s="153" t="n">
        <f aca="false">IF(AND($M517&lt;&gt;"",$N517="VCA",$Q517="LINEAR"),($M517*2)/100,IF(AND($M517&lt;&gt;"",$N517="MND",$Q517="EMBOQUE"),($AN517*2)/100,0))</f>
        <v>0.491</v>
      </c>
      <c r="BI517" s="153" t="n">
        <f aca="false">IF(AND($M517&lt;&gt;"",$N517="VCA",$Q517="LINEAR"),$M517,IF(AND($M517&lt;&gt;"",$N517="MND",$Q517="EMBOQUE"),$AN517*2,0))</f>
        <v>24.55</v>
      </c>
      <c r="BJ517" s="153" t="n">
        <f aca="false">IF(AND($M517&lt;&gt;"",$N517="VCA",$Q517="LINEAR"),($M517*6.8)/100,IF(AND($M517&lt;&gt;"",$N517="MND",$Q517="EMBOQUE"),($AN517*2*6.8)/100,0))</f>
        <v>1.6694</v>
      </c>
      <c r="BK517" s="153" t="n">
        <f aca="false">IF(AND($M517&lt;&gt;"",$N517="VCA",$Q517="LINEAR"),($M517*2.5)/50,IF(AND($M517&lt;&gt;"",$N517="MND",$Q517="EMBOQUE"),($AN517*2*2.5)/50,0))</f>
        <v>1.2275</v>
      </c>
      <c r="BL517" s="157" t="str">
        <f aca="false">K517&amp;J517</f>
        <v>Zona05REDES</v>
      </c>
      <c r="BM517" s="152" t="s">
        <v>3356</v>
      </c>
      <c r="BN517" s="152" t="s">
        <v>1560</v>
      </c>
      <c r="BO517" s="152" t="s">
        <v>2800</v>
      </c>
      <c r="BP517" s="152" t="s">
        <v>3505</v>
      </c>
      <c r="BQ517" s="152" t="s">
        <v>3501</v>
      </c>
      <c r="BR517" s="152" t="s">
        <v>3506</v>
      </c>
      <c r="BS517" s="152" t="n">
        <v>203298.016</v>
      </c>
      <c r="BT517" s="152" t="n">
        <v>8237657.009</v>
      </c>
      <c r="BU517" s="152" t="n">
        <v>203273.498</v>
      </c>
      <c r="BV517" s="152" t="n">
        <v>8237658.3</v>
      </c>
      <c r="BW517" s="152" t="n">
        <v>-15.9225893</v>
      </c>
      <c r="BX517" s="152" t="n">
        <v>-47.7712594</v>
      </c>
      <c r="BY517" s="152" t="s">
        <v>3505</v>
      </c>
    </row>
    <row r="518" customFormat="false" ht="13.8" hidden="false" customHeight="false" outlineLevel="0" collapsed="false">
      <c r="A518" s="149" t="n">
        <f aca="false">IF(C518&lt;&gt;"",ROW(A513),"")</f>
        <v>513</v>
      </c>
      <c r="B518" s="150" t="str">
        <f aca="false">HYPERLINK("https://www.google.com/maps/dir/-15.917302,-47.760003/-15.9229438,-47.7674952/data=!4m3!4m2!3e0!5i1")</f>
        <v>https://www.google.com/maps/dir/-15.917302,-47.760003/-15.9229438,-47.7674952/data=!4m3!4m2!3e0!5i1</v>
      </c>
      <c r="C518" s="151" t="s">
        <v>117</v>
      </c>
      <c r="D518" s="152" t="s">
        <v>112</v>
      </c>
      <c r="E518" s="152" t="s">
        <v>113</v>
      </c>
      <c r="F518" s="152" t="s">
        <v>117</v>
      </c>
      <c r="G518" s="152" t="s">
        <v>782</v>
      </c>
      <c r="H518" s="152" t="n">
        <v>63</v>
      </c>
      <c r="I518" s="152" t="s">
        <v>115</v>
      </c>
      <c r="J518" s="152" t="s">
        <v>6</v>
      </c>
      <c r="K518" s="152" t="s">
        <v>3352</v>
      </c>
      <c r="L518" s="152" t="s">
        <v>120</v>
      </c>
      <c r="M518" s="153" t="n">
        <f aca="false">66.65+4.02</f>
        <v>70.67</v>
      </c>
      <c r="N518" s="152" t="s">
        <v>1548</v>
      </c>
      <c r="O518" s="152" t="s">
        <v>1549</v>
      </c>
      <c r="P518" s="152" t="s">
        <v>1550</v>
      </c>
      <c r="Q518" s="152" t="s">
        <v>1551</v>
      </c>
      <c r="R518" s="154" t="s">
        <v>3507</v>
      </c>
      <c r="S518" s="154" t="s">
        <v>1553</v>
      </c>
      <c r="T518" s="155" t="s">
        <v>2797</v>
      </c>
      <c r="U518" s="152" t="str">
        <f aca="false">RIGHT(T518,7)</f>
        <v>009/037</v>
      </c>
      <c r="V518" s="152" t="s">
        <v>1555</v>
      </c>
      <c r="W518" s="156" t="n">
        <v>45882</v>
      </c>
      <c r="X518" s="152" t="s">
        <v>1594</v>
      </c>
      <c r="Y518" s="152" t="s">
        <v>2638</v>
      </c>
      <c r="Z518" s="152" t="s">
        <v>1557</v>
      </c>
      <c r="AA518" s="153" t="n">
        <v>3.6</v>
      </c>
      <c r="AB518" s="151" t="s">
        <v>3508</v>
      </c>
      <c r="AC518" s="151" t="s">
        <v>186</v>
      </c>
      <c r="AD518" s="151" t="str">
        <f aca="false">CONCATENATE($C518,$I518,$H518,$N518,$J518,$K518)</f>
        <v>TUBO PEADPEAD63VCAREDESZona05</v>
      </c>
      <c r="AE518" s="153" t="n">
        <f aca="false">IFERROR(INDEX(APOIO_REDES!$A:$W,MATCH($C518&amp;$I518&amp;$H518&amp;$N518&amp;$O518,APOIO_REDES!$W:$W,0),MATCH(AE$5,APOIO_REDES!$5:$5,0)),0)</f>
        <v>1.2</v>
      </c>
      <c r="AF518" s="153" t="n">
        <f aca="false">IFERROR(INDEX(APOIO_REDES!$A:$W,MATCH($C518&amp;$I518&amp;$H518&amp;$N518&amp;$O518,APOIO_REDES!$W:$W,0),MATCH(AF$5,APOIO_REDES!$5:$5,0)),0)</f>
        <v>1.363</v>
      </c>
      <c r="AG518" s="153" t="n">
        <f aca="false">IFERROR(INDEX(APOIO_REDES!$A:$W,MATCH($C518&amp;$I518&amp;$H518&amp;$N518&amp;$O518,APOIO_REDES!$W:$W,0),MATCH(AG$5,APOIO_REDES!$5:$5,0)),0)</f>
        <v>0.65</v>
      </c>
      <c r="AH518" s="153" t="n">
        <f aca="false">IFERROR(INDEX(APOIO_REDES!$A:$W,MATCH($C518&amp;$I518&amp;$H518&amp;$N518&amp;$O518,APOIO_REDES!$W:$W,0),MATCH(AH$5,APOIO_REDES!$5:$5,0)),0)</f>
        <v>0.1</v>
      </c>
      <c r="AI518" s="153" t="n">
        <f aca="false">IFERROR(IF($H518&lt;&gt;"",(((($H518/1000)/2)^2)*PI()*$M518),0),0)</f>
        <v>0.220295726094764</v>
      </c>
      <c r="AJ518" s="153" t="n">
        <f aca="false">IFERROR(IF(AND($H518&lt;&gt;"",$I518="FoFo",OR($N518="MND",$N518="VCA"),$Q518="LINEAR"),0,IF(AND($H518&lt;&gt;"",$I518="PEAD",$N518="VCA",$Q518="LINEAR"),($H518/1000)+0.3,IF(AND($H518&lt;&gt;"",$I518="PEAD",$N518="MND",$Q518="EMBOQUE"),0,IF(AND($H518&lt;&gt;"",$I518="PVC",$N518="VCA",$Q518="LINEAR"),($H518/1000)+0.2,IF(AND($H518&lt;&gt;"",$I518="PVC",$N518="MND",$Q518="EMBOQUE"),0,IF(AND($H518&lt;&gt;"",$I518="PEAD",$N518="VCA",$Q518="PREDIAL"),0,0)))))),0)</f>
        <v>0.363</v>
      </c>
      <c r="AK518" s="153" t="n">
        <f aca="false">IF(AA518&lt;&gt;"",AA518,0)</f>
        <v>3.6</v>
      </c>
      <c r="AL518" s="153" t="n">
        <f aca="false">IF(AND($N518="MND",$Q518="EMBOQUE"),$M518,IF(AND($N518="VCA",$Q518="LINEAR"),$M518,IF(AND($N518="VCA",$Q518="PREDIAL"),0,0)))</f>
        <v>70.67</v>
      </c>
      <c r="AM518" s="153" t="n">
        <f aca="false">IF(AND($N518="MND",$Q518="EMBOQUE"),$M518,IF(AND($N518="VCA",$Q518="LINEAR"),$M518,IF(AND($N518="VCA",$Q518="PREDIAL"),0,0)))</f>
        <v>70.67</v>
      </c>
      <c r="AN518" s="153" t="n">
        <f aca="false">ROUND(IF(AND($N518="VCA",$M518&lt;&gt;"",$Q518="LINEAR"),$M518/100,IF(AND($N518="MND",$M518&gt;100,$Q518="EMBOQUE"),$M518/100,0)),0)</f>
        <v>1</v>
      </c>
      <c r="AO518" s="153" t="n">
        <f aca="false">IF(AND($N518="MND",$Q518="EMBOQUE"),$AN518*2*2,IF(AND($N518="VCA",$Q518="LINEAR"),$M518*2,IF(AND($N518="VCA",$Q518="PREDIAL"),0,0)))</f>
        <v>141.34</v>
      </c>
      <c r="AP518" s="153" t="n">
        <f aca="false">IFERROR($M518*$AF518*$AG518,0)</f>
        <v>62.6100865</v>
      </c>
      <c r="AQ518" s="153" t="n">
        <f aca="false">IFERROR(IF(AND($N518="VCA",$AH518&gt;0),$M518*$AG518*$AH518,0),0)</f>
        <v>4.59355</v>
      </c>
      <c r="AR518" s="153" t="n">
        <f aca="false">IFERROR(IF(AND($N518="VCA",$AJ518&gt;0),($M518*$AG518*$AJ518)-$AI518,0),0)</f>
        <v>16.4542907739052</v>
      </c>
      <c r="AS518" s="153" t="n">
        <f aca="false">IFERROR(IF(AND($N518="VCA",$AP518&gt;0),$AP518-$AI518-$AQ518-$AR518,0),0)</f>
        <v>41.34195</v>
      </c>
      <c r="AT518" s="153" t="n">
        <f aca="false">IFERROR(IF($N518="VCA",INDEX(APOIO_REDES!$A:$W,MATCH($C518&amp;$I518&amp;$H518&amp;$N518&amp;$O518,APOIO_REDES!$W:$W,0),MATCH(AT$5,APOIO_REDES!$5:$5,0)),0)*$AP518,0)</f>
        <v>0.681216272759659</v>
      </c>
      <c r="AU518" s="153" t="n">
        <f aca="false">IFERROR(IF($N518="VCA",INDEX(APOIO_REDES!$A:$W,MATCH($C518&amp;$I518&amp;$H518&amp;$N518&amp;$O518,APOIO_REDES!$W:$W,0),MATCH(AU$5,APOIO_REDES!$5:$5,0)),0)*$AP518,0)</f>
        <v>0.5440008657494</v>
      </c>
      <c r="AV518" s="153" t="n">
        <f aca="false">IFERROR(IF($N518="VCA",INDEX(APOIO_REDES!$A:$W,MATCH($C518&amp;$I518&amp;$H518&amp;$N518&amp;$O518,APOIO_REDES!$W:$W,0),MATCH(AV$5,APOIO_REDES!$5:$5,0)),0)*$AP518,0)</f>
        <v>0.0752854492454798</v>
      </c>
      <c r="AW518" s="153" t="n">
        <f aca="false">IFERROR(IF($N518="VCA",INDEX(APOIO_REDES!$A:$W,MATCH($C518&amp;$I518&amp;$H518&amp;$N518&amp;$O518,APOIO_REDES!$W:$W,0),MATCH(AW$5,APOIO_REDES!$5:$5,0)),0)*$AP518,0)</f>
        <v>42.9760485002232</v>
      </c>
      <c r="AX518" s="153" t="n">
        <f aca="false">IFERROR(IF($N518="VCA",INDEX(APOIO_REDES!$A:$W,MATCH($C518&amp;$I518&amp;$H518&amp;$N518&amp;$O518,APOIO_REDES!$W:$W,0),MATCH(AX$5,APOIO_REDES!$5:$5,0)),0)*$AP518,0)</f>
        <v>5.94776269283947</v>
      </c>
      <c r="AY518" s="153" t="n">
        <f aca="false">IFERROR(IF($N518="VCA",INDEX(APOIO_REDES!$A:$W,MATCH($C518&amp;$I518&amp;$H518&amp;$N518&amp;$O518,APOIO_REDES!$W:$W,0),MATCH(AY$5,APOIO_REDES!$5:$5,0)),0)*$AP518,0)</f>
        <v>10.8800106836615</v>
      </c>
      <c r="AZ518" s="153" t="n">
        <f aca="false">IFERROR(IF($N518="VCA",INDEX(APOIO_REDES!$A:$W,MATCH($C518&amp;$I518&amp;$H518&amp;$N518&amp;$O518,APOIO_REDES!$W:$W,0),MATCH(AZ$5,APOIO_REDES!$5:$5,0)),0)*$AP518,0)</f>
        <v>1.50576203552124</v>
      </c>
      <c r="BA518" s="153" t="n">
        <f aca="false">IFERROR(IF(AND($N518="VCA",$Q518="LINEAR"),INDEX(APOIO_REDES!$A:$W,MATCH($C518&amp;$I518&amp;$H518&amp;$N518&amp;$O518,APOIO_REDES!$W:$W,0),MATCH(BA$5,APOIO_REDES!$5:$5,0)),IF(AND($N518="MND",$Q518="EMBOQUE"),INDEX(APOIO_REDES!$A:$W,MATCH($C518&amp;$I518&amp;$H518&amp;$N518&amp;$O518,APOIO_REDES!$W:$W,0),MATCH(BA$5,APOIO_REDES!$5:$5,0)),0))*$M518/10,0)</f>
        <v>5.69582374056307</v>
      </c>
      <c r="BB518" s="153" t="n">
        <f aca="false">IFERROR(IF($N518="VCA",INDEX(APOIO_REDES!$A:$W,MATCH($C518&amp;$I518&amp;$H518&amp;$N518&amp;$O518,APOIO_REDES!$W:$W,0),MATCH(BB$5,APOIO_REDES!$5:$5,0)),0)*($AI518+$AQ518+$AR518),0)</f>
        <v>21.0367328798329</v>
      </c>
      <c r="BC518" s="153" t="n">
        <f aca="false">IFERROR(IF($N518="VCA",INDEX(APOIO_REDES!$A:$W,MATCH($C518&amp;$I518&amp;$H518&amp;$N518&amp;$O518,APOIO_REDES!$W:$W,0),MATCH(BC$5,APOIO_REDES!$5:$5,0)),0)*($AI518+$AQ518+$AR518),0)</f>
        <v>0.231403620167074</v>
      </c>
      <c r="BD518" s="153" t="n">
        <f aca="false">IF(AND($N518="VCA",$AF518&gt;=1.25,$AF518&lt;1.5),$M518*$AF518*2,0)</f>
        <v>192.64642</v>
      </c>
      <c r="BE518" s="153" t="n">
        <f aca="false">IF(AND($N518="VCA",$AF518&gt;=1.5,$AF518&lt;3),$M518*$AF518*2,0)</f>
        <v>0</v>
      </c>
      <c r="BF518" s="153" t="n">
        <f aca="false">IF(AND($N518="VCA",$AF518&gt;=3),$M518*$AF518*2,0)</f>
        <v>0</v>
      </c>
      <c r="BG518" s="153" t="n">
        <f aca="false">($BB518+$BC518)*$AK518</f>
        <v>76.5652914</v>
      </c>
      <c r="BH518" s="153" t="n">
        <f aca="false">IF(AND($M518&lt;&gt;"",$N518="VCA",$Q518="LINEAR"),($M518*2)/100,IF(AND($M518&lt;&gt;"",$N518="MND",$Q518="EMBOQUE"),($AN518*2)/100,0))</f>
        <v>1.4134</v>
      </c>
      <c r="BI518" s="153" t="n">
        <f aca="false">IF(AND($M518&lt;&gt;"",$N518="VCA",$Q518="LINEAR"),$M518,IF(AND($M518&lt;&gt;"",$N518="MND",$Q518="EMBOQUE"),$AN518*2,0))</f>
        <v>70.67</v>
      </c>
      <c r="BJ518" s="153" t="n">
        <f aca="false">IF(AND($M518&lt;&gt;"",$N518="VCA",$Q518="LINEAR"),($M518*6.8)/100,IF(AND($M518&lt;&gt;"",$N518="MND",$Q518="EMBOQUE"),($AN518*2*6.8)/100,0))</f>
        <v>4.80556</v>
      </c>
      <c r="BK518" s="153" t="n">
        <f aca="false">IF(AND($M518&lt;&gt;"",$N518="VCA",$Q518="LINEAR"),($M518*2.5)/50,IF(AND($M518&lt;&gt;"",$N518="MND",$Q518="EMBOQUE"),($AN518*2*2.5)/50,0))</f>
        <v>3.5335</v>
      </c>
      <c r="BL518" s="157" t="str">
        <f aca="false">K518&amp;J518</f>
        <v>Zona05REDES</v>
      </c>
      <c r="BM518" s="152" t="s">
        <v>3356</v>
      </c>
      <c r="BN518" s="152" t="s">
        <v>1560</v>
      </c>
      <c r="BO518" s="152" t="s">
        <v>2800</v>
      </c>
      <c r="BP518" s="152" t="s">
        <v>3509</v>
      </c>
      <c r="BQ518" s="152" t="s">
        <v>3473</v>
      </c>
      <c r="BR518" s="152" t="s">
        <v>3510</v>
      </c>
      <c r="BS518" s="152" t="n">
        <v>203689.576</v>
      </c>
      <c r="BT518" s="152" t="n">
        <v>8237623.765</v>
      </c>
      <c r="BU518" s="152" t="n">
        <v>203685.302</v>
      </c>
      <c r="BV518" s="152" t="n">
        <v>8237690.188</v>
      </c>
      <c r="BW518" s="152" t="n">
        <v>-15.9226434</v>
      </c>
      <c r="BX518" s="152" t="n">
        <v>-47.7675142</v>
      </c>
      <c r="BY518" s="152" t="s">
        <v>3509</v>
      </c>
    </row>
    <row r="519" customFormat="false" ht="13.8" hidden="false" customHeight="false" outlineLevel="0" collapsed="false">
      <c r="A519" s="149" t="n">
        <f aca="false">IF(C519&lt;&gt;"",ROW(A514),"")</f>
        <v>514</v>
      </c>
      <c r="B519" s="150" t="str">
        <f aca="false">HYPERLINK("https://www.google.com/maps/dir/-15.917302,-47.760003/-15.9226322,-47.7708574/data=!4m3!4m2!3e0!5i1")</f>
        <v>https://www.google.com/maps/dir/-15.917302,-47.760003/-15.9226322,-47.7708574/data=!4m3!4m2!3e0!5i1</v>
      </c>
      <c r="C519" s="151" t="s">
        <v>117</v>
      </c>
      <c r="D519" s="152" t="s">
        <v>112</v>
      </c>
      <c r="E519" s="152" t="s">
        <v>113</v>
      </c>
      <c r="F519" s="152" t="s">
        <v>117</v>
      </c>
      <c r="G519" s="152" t="s">
        <v>114</v>
      </c>
      <c r="H519" s="152" t="n">
        <v>225</v>
      </c>
      <c r="I519" s="152" t="s">
        <v>115</v>
      </c>
      <c r="J519" s="152" t="s">
        <v>6</v>
      </c>
      <c r="K519" s="152" t="s">
        <v>3352</v>
      </c>
      <c r="L519" s="152" t="s">
        <v>120</v>
      </c>
      <c r="M519" s="153" t="n">
        <f aca="false">31.11</f>
        <v>31.11</v>
      </c>
      <c r="N519" s="152" t="s">
        <v>1548</v>
      </c>
      <c r="O519" s="152" t="s">
        <v>1549</v>
      </c>
      <c r="P519" s="152" t="s">
        <v>1550</v>
      </c>
      <c r="Q519" s="152" t="s">
        <v>1551</v>
      </c>
      <c r="R519" s="154" t="s">
        <v>3511</v>
      </c>
      <c r="S519" s="154" t="s">
        <v>1593</v>
      </c>
      <c r="T519" s="155" t="s">
        <v>2797</v>
      </c>
      <c r="U519" s="152" t="str">
        <f aca="false">RIGHT(T519,7)</f>
        <v>009/037</v>
      </c>
      <c r="V519" s="152" t="s">
        <v>1555</v>
      </c>
      <c r="W519" s="156" t="n">
        <v>45882</v>
      </c>
      <c r="X519" s="152" t="s">
        <v>1594</v>
      </c>
      <c r="Y519" s="152" t="s">
        <v>3499</v>
      </c>
      <c r="Z519" s="152" t="s">
        <v>1557</v>
      </c>
      <c r="AA519" s="153" t="n">
        <v>3.4</v>
      </c>
      <c r="AB519" s="151" t="s">
        <v>3512</v>
      </c>
      <c r="AC519" s="151" t="s">
        <v>508</v>
      </c>
      <c r="AD519" s="151" t="str">
        <f aca="false">CONCATENATE($C519,$I519,$H519,$N519,$J519,$K519)</f>
        <v>TUBO PEADPEAD225VCAREDESZona05</v>
      </c>
      <c r="AE519" s="153" t="n">
        <f aca="false">IFERROR(INDEX(APOIO_REDES!$A:$W,MATCH($C519&amp;$I519&amp;$H519&amp;$N519&amp;$O519,APOIO_REDES!$W:$W,0),MATCH(AE$5,APOIO_REDES!$5:$5,0)),0)</f>
        <v>1.2</v>
      </c>
      <c r="AF519" s="153" t="n">
        <f aca="false">IFERROR(INDEX(APOIO_REDES!$A:$W,MATCH($C519&amp;$I519&amp;$H519&amp;$N519&amp;$O519,APOIO_REDES!$W:$W,0),MATCH(AF$5,APOIO_REDES!$5:$5,0)),0)</f>
        <v>1.525</v>
      </c>
      <c r="AG519" s="153" t="n">
        <f aca="false">IFERROR(INDEX(APOIO_REDES!$A:$W,MATCH($C519&amp;$I519&amp;$H519&amp;$N519&amp;$O519,APOIO_REDES!$W:$W,0),MATCH(AG$5,APOIO_REDES!$5:$5,0)),0)</f>
        <v>0.8</v>
      </c>
      <c r="AH519" s="153" t="n">
        <f aca="false">IFERROR(INDEX(APOIO_REDES!$A:$W,MATCH($C519&amp;$I519&amp;$H519&amp;$N519&amp;$O519,APOIO_REDES!$W:$W,0),MATCH(AH$5,APOIO_REDES!$5:$5,0)),0)</f>
        <v>0.1</v>
      </c>
      <c r="AI519" s="153" t="n">
        <f aca="false">IFERROR(IF($H519&lt;&gt;"",(((($H519/1000)/2)^2)*PI()*$M519),0),0)</f>
        <v>1.23695792870429</v>
      </c>
      <c r="AJ519" s="153" t="n">
        <f aca="false">IFERROR(IF(AND($H519&lt;&gt;"",$I519="FoFo",OR($N519="MND",$N519="VCA"),$Q519="LINEAR"),0,IF(AND($H519&lt;&gt;"",$I519="PEAD",$N519="VCA",$Q519="LINEAR"),($H519/1000)+0.3,IF(AND($H519&lt;&gt;"",$I519="PEAD",$N519="MND",$Q519="EMBOQUE"),0,IF(AND($H519&lt;&gt;"",$I519="PVC",$N519="VCA",$Q519="LINEAR"),($H519/1000)+0.2,IF(AND($H519&lt;&gt;"",$I519="PVC",$N519="MND",$Q519="EMBOQUE"),0,IF(AND($H519&lt;&gt;"",$I519="PEAD",$N519="VCA",$Q519="PREDIAL"),0,0)))))),0)</f>
        <v>0.525</v>
      </c>
      <c r="AK519" s="153" t="n">
        <f aca="false">IF(AA519&lt;&gt;"",AA519,0)</f>
        <v>3.4</v>
      </c>
      <c r="AL519" s="153" t="n">
        <f aca="false">IF(AND($N519="MND",$Q519="EMBOQUE"),$M519,IF(AND($N519="VCA",$Q519="LINEAR"),$M519,IF(AND($N519="VCA",$Q519="PREDIAL"),0,0)))</f>
        <v>31.11</v>
      </c>
      <c r="AM519" s="153" t="n">
        <f aca="false">IF(AND($N519="MND",$Q519="EMBOQUE"),$M519,IF(AND($N519="VCA",$Q519="LINEAR"),$M519,IF(AND($N519="VCA",$Q519="PREDIAL"),0,0)))</f>
        <v>31.11</v>
      </c>
      <c r="AN519" s="153" t="n">
        <f aca="false">ROUND(IF(AND($N519="VCA",$M519&lt;&gt;"",$Q519="LINEAR"),$M519/100,IF(AND($N519="MND",$M519&gt;100,$Q519="EMBOQUE"),$M519/100,0)),0)</f>
        <v>0</v>
      </c>
      <c r="AO519" s="153" t="n">
        <f aca="false">IF(AND($N519="MND",$Q519="EMBOQUE"),$AN519*2*2,IF(AND($N519="VCA",$Q519="LINEAR"),$M519*2,IF(AND($N519="VCA",$Q519="PREDIAL"),0,0)))</f>
        <v>62.22</v>
      </c>
      <c r="AP519" s="153" t="n">
        <f aca="false">IFERROR($M519*$AF519*$AG519,0)</f>
        <v>37.9542</v>
      </c>
      <c r="AQ519" s="153" t="n">
        <f aca="false">IFERROR(IF(AND($N519="VCA",$AH519&gt;0),$M519*$AG519*$AH519,0),0)</f>
        <v>2.4888</v>
      </c>
      <c r="AR519" s="153" t="n">
        <f aca="false">IFERROR(IF(AND($N519="VCA",$AJ519&gt;0),($M519*$AG519*$AJ519)-$AI519,0),0)</f>
        <v>11.8292420712957</v>
      </c>
      <c r="AS519" s="153" t="n">
        <f aca="false">IFERROR(IF(AND($N519="VCA",$AP519&gt;0),$AP519-$AI519-$AQ519-$AR519,0),0)</f>
        <v>22.3992</v>
      </c>
      <c r="AT519" s="153" t="n">
        <f aca="false">IFERROR(IF($N519="VCA",INDEX(APOIO_REDES!$A:$W,MATCH($C519&amp;$I519&amp;$H519&amp;$N519&amp;$O519,APOIO_REDES!$W:$W,0),MATCH(AT$5,APOIO_REDES!$5:$5,0)),0)*$AP519,0)</f>
        <v>0.412952929869768</v>
      </c>
      <c r="AU519" s="153" t="n">
        <f aca="false">IFERROR(IF($N519="VCA",INDEX(APOIO_REDES!$A:$W,MATCH($C519&amp;$I519&amp;$H519&amp;$N519&amp;$O519,APOIO_REDES!$W:$W,0),MATCH(AU$5,APOIO_REDES!$5:$5,0)),0)*$AP519,0)</f>
        <v>0.329773025610272</v>
      </c>
      <c r="AV519" s="153" t="n">
        <f aca="false">IFERROR(IF($N519="VCA",INDEX(APOIO_REDES!$A:$W,MATCH($C519&amp;$I519&amp;$H519&amp;$N519&amp;$O519,APOIO_REDES!$W:$W,0),MATCH(AV$5,APOIO_REDES!$5:$5,0)),0)*$AP519,0)</f>
        <v>0.045637997924708</v>
      </c>
      <c r="AW519" s="153" t="n">
        <f aca="false">IFERROR(IF($N519="VCA",INDEX(APOIO_REDES!$A:$W,MATCH($C519&amp;$I519&amp;$H519&amp;$N519&amp;$O519,APOIO_REDES!$W:$W,0),MATCH(AW$5,APOIO_REDES!$5:$5,0)),0)*$AP519,0)</f>
        <v>26.0520569634922</v>
      </c>
      <c r="AX519" s="153" t="n">
        <f aca="false">IFERROR(IF($N519="VCA",INDEX(APOIO_REDES!$A:$W,MATCH($C519&amp;$I519&amp;$H519&amp;$N519&amp;$O519,APOIO_REDES!$W:$W,0),MATCH(AX$5,APOIO_REDES!$5:$5,0)),0)*$AP519,0)</f>
        <v>3.60553047305833</v>
      </c>
      <c r="AY519" s="153" t="n">
        <f aca="false">IFERROR(IF($N519="VCA",INDEX(APOIO_REDES!$A:$W,MATCH($C519&amp;$I519&amp;$H519&amp;$N519&amp;$O519,APOIO_REDES!$W:$W,0),MATCH(AY$5,APOIO_REDES!$5:$5,0)),0)*$AP519,0)</f>
        <v>6.595456492299</v>
      </c>
      <c r="AZ519" s="153" t="n">
        <f aca="false">IFERROR(IF($N519="VCA",INDEX(APOIO_REDES!$A:$W,MATCH($C519&amp;$I519&amp;$H519&amp;$N519&amp;$O519,APOIO_REDES!$W:$W,0),MATCH(AZ$5,APOIO_REDES!$5:$5,0)),0)*$AP519,0)</f>
        <v>0.912792117745759</v>
      </c>
      <c r="BA519" s="153" t="n">
        <f aca="false">IFERROR(IF(AND($N519="VCA",$Q519="LINEAR"),INDEX(APOIO_REDES!$A:$W,MATCH($C519&amp;$I519&amp;$H519&amp;$N519&amp;$O519,APOIO_REDES!$W:$W,0),MATCH(BA$5,APOIO_REDES!$5:$5,0)),IF(AND($N519="MND",$Q519="EMBOQUE"),INDEX(APOIO_REDES!$A:$W,MATCH($C519&amp;$I519&amp;$H519&amp;$N519&amp;$O519,APOIO_REDES!$W:$W,0),MATCH(BA$5,APOIO_REDES!$5:$5,0)),0))*$M519/10,0)</f>
        <v>2.50738752750697</v>
      </c>
      <c r="BB519" s="153" t="n">
        <f aca="false">IFERROR(IF($N519="VCA",INDEX(APOIO_REDES!$A:$W,MATCH($C519&amp;$I519&amp;$H519&amp;$N519&amp;$O519,APOIO_REDES!$W:$W,0),MATCH(BB$5,APOIO_REDES!$5:$5,0)),0)*($AI519+$AQ519+$AR519),0)</f>
        <v>15.385756995955</v>
      </c>
      <c r="BC519" s="153" t="n">
        <f aca="false">IFERROR(IF($N519="VCA",INDEX(APOIO_REDES!$A:$W,MATCH($C519&amp;$I519&amp;$H519&amp;$N519&amp;$O519,APOIO_REDES!$W:$W,0),MATCH(BC$5,APOIO_REDES!$5:$5,0)),0)*($AI519+$AQ519+$AR519),0)</f>
        <v>0.169243004044987</v>
      </c>
      <c r="BD519" s="153" t="n">
        <f aca="false">IF(AND($N519="VCA",$AF519&gt;=1.25,$AF519&lt;1.5),$M519*$AF519*2,0)</f>
        <v>0</v>
      </c>
      <c r="BE519" s="153" t="n">
        <f aca="false">IF(AND($N519="VCA",$AF519&gt;=1.5,$AF519&lt;3),$M519*$AF519*2,0)</f>
        <v>94.8855</v>
      </c>
      <c r="BF519" s="153" t="n">
        <f aca="false">IF(AND($N519="VCA",$AF519&gt;=3),$M519*$AF519*2,0)</f>
        <v>0</v>
      </c>
      <c r="BG519" s="153" t="n">
        <f aca="false">($BB519+$BC519)*$AK519</f>
        <v>52.887</v>
      </c>
      <c r="BH519" s="153" t="n">
        <f aca="false">IF(AND($M519&lt;&gt;"",$N519="VCA",$Q519="LINEAR"),($M519*2)/100,IF(AND($M519&lt;&gt;"",$N519="MND",$Q519="EMBOQUE"),($AN519*2)/100,0))</f>
        <v>0.6222</v>
      </c>
      <c r="BI519" s="153" t="n">
        <f aca="false">IF(AND($M519&lt;&gt;"",$N519="VCA",$Q519="LINEAR"),$M519,IF(AND($M519&lt;&gt;"",$N519="MND",$Q519="EMBOQUE"),$AN519*2,0))</f>
        <v>31.11</v>
      </c>
      <c r="BJ519" s="153" t="n">
        <f aca="false">IF(AND($M519&lt;&gt;"",$N519="VCA",$Q519="LINEAR"),($M519*6.8)/100,IF(AND($M519&lt;&gt;"",$N519="MND",$Q519="EMBOQUE"),($AN519*2*6.8)/100,0))</f>
        <v>2.11548</v>
      </c>
      <c r="BK519" s="153" t="n">
        <f aca="false">IF(AND($M519&lt;&gt;"",$N519="VCA",$Q519="LINEAR"),($M519*2.5)/50,IF(AND($M519&lt;&gt;"",$N519="MND",$Q519="EMBOQUE"),($AN519*2*2.5)/50,0))</f>
        <v>1.5555</v>
      </c>
      <c r="BL519" s="157" t="str">
        <f aca="false">K519&amp;J519</f>
        <v>Zona05REDES</v>
      </c>
      <c r="BM519" s="152" t="s">
        <v>3356</v>
      </c>
      <c r="BN519" s="152" t="s">
        <v>1560</v>
      </c>
      <c r="BO519" s="152" t="s">
        <v>2800</v>
      </c>
      <c r="BP519" s="152" t="s">
        <v>3513</v>
      </c>
      <c r="BQ519" s="152" t="s">
        <v>3505</v>
      </c>
      <c r="BR519" s="152" t="s">
        <v>3514</v>
      </c>
      <c r="BS519" s="152" t="n">
        <v>203328.891</v>
      </c>
      <c r="BT519" s="152" t="n">
        <v>8237653.486</v>
      </c>
      <c r="BU519" s="152" t="n">
        <v>203298.016</v>
      </c>
      <c r="BV519" s="152" t="n">
        <v>8237657.009</v>
      </c>
      <c r="BW519" s="152" t="n">
        <v>-15.9226087</v>
      </c>
      <c r="BX519" s="152" t="n">
        <v>-47.7710005</v>
      </c>
      <c r="BY519" s="152" t="s">
        <v>3513</v>
      </c>
    </row>
    <row r="520" customFormat="false" ht="13.8" hidden="false" customHeight="false" outlineLevel="0" collapsed="false">
      <c r="A520" s="149" t="n">
        <f aca="false">IF(C520&lt;&gt;"",ROW(A515),"")</f>
        <v>515</v>
      </c>
      <c r="B520" s="150" t="str">
        <f aca="false">HYPERLINK("https://www.google.com/maps/dir/-15.917302,-47.760003/-15.9226942,-47.7704786/data=!4m3!4m2!3e0!5i1")</f>
        <v>https://www.google.com/maps/dir/-15.917302,-47.760003/-15.9226942,-47.7704786/data=!4m3!4m2!3e0!5i1</v>
      </c>
      <c r="C520" s="151" t="s">
        <v>117</v>
      </c>
      <c r="D520" s="152" t="s">
        <v>112</v>
      </c>
      <c r="E520" s="152" t="s">
        <v>113</v>
      </c>
      <c r="F520" s="152" t="s">
        <v>117</v>
      </c>
      <c r="G520" s="152" t="s">
        <v>114</v>
      </c>
      <c r="H520" s="152" t="n">
        <v>225</v>
      </c>
      <c r="I520" s="152" t="s">
        <v>115</v>
      </c>
      <c r="J520" s="152" t="s">
        <v>6</v>
      </c>
      <c r="K520" s="152" t="s">
        <v>3352</v>
      </c>
      <c r="L520" s="152" t="s">
        <v>120</v>
      </c>
      <c r="M520" s="153" t="n">
        <f aca="false">41.13+0.05</f>
        <v>41.18</v>
      </c>
      <c r="N520" s="152" t="s">
        <v>1548</v>
      </c>
      <c r="O520" s="152" t="s">
        <v>1549</v>
      </c>
      <c r="P520" s="152" t="s">
        <v>1550</v>
      </c>
      <c r="Q520" s="152" t="s">
        <v>1551</v>
      </c>
      <c r="R520" s="154" t="s">
        <v>3515</v>
      </c>
      <c r="S520" s="154" t="s">
        <v>1593</v>
      </c>
      <c r="T520" s="155" t="s">
        <v>2797</v>
      </c>
      <c r="U520" s="152" t="str">
        <f aca="false">RIGHT(T520,7)</f>
        <v>009/037</v>
      </c>
      <c r="V520" s="152" t="s">
        <v>1555</v>
      </c>
      <c r="W520" s="156" t="n">
        <v>45882</v>
      </c>
      <c r="X520" s="152" t="s">
        <v>1594</v>
      </c>
      <c r="Y520" s="152" t="s">
        <v>3516</v>
      </c>
      <c r="Z520" s="152" t="s">
        <v>1557</v>
      </c>
      <c r="AA520" s="153" t="n">
        <v>3.4</v>
      </c>
      <c r="AB520" s="151" t="s">
        <v>3517</v>
      </c>
      <c r="AC520" s="151" t="s">
        <v>508</v>
      </c>
      <c r="AD520" s="151" t="str">
        <f aca="false">CONCATENATE($C520,$I520,$H520,$N520,$J520,$K520)</f>
        <v>TUBO PEADPEAD225VCAREDESZona05</v>
      </c>
      <c r="AE520" s="153" t="n">
        <f aca="false">IFERROR(INDEX(APOIO_REDES!$A:$W,MATCH($C520&amp;$I520&amp;$H520&amp;$N520&amp;$O520,APOIO_REDES!$W:$W,0),MATCH(AE$5,APOIO_REDES!$5:$5,0)),0)</f>
        <v>1.2</v>
      </c>
      <c r="AF520" s="153" t="n">
        <f aca="false">IFERROR(INDEX(APOIO_REDES!$A:$W,MATCH($C520&amp;$I520&amp;$H520&amp;$N520&amp;$O520,APOIO_REDES!$W:$W,0),MATCH(AF$5,APOIO_REDES!$5:$5,0)),0)</f>
        <v>1.525</v>
      </c>
      <c r="AG520" s="153" t="n">
        <f aca="false">IFERROR(INDEX(APOIO_REDES!$A:$W,MATCH($C520&amp;$I520&amp;$H520&amp;$N520&amp;$O520,APOIO_REDES!$W:$W,0),MATCH(AG$5,APOIO_REDES!$5:$5,0)),0)</f>
        <v>0.8</v>
      </c>
      <c r="AH520" s="153" t="n">
        <f aca="false">IFERROR(INDEX(APOIO_REDES!$A:$W,MATCH($C520&amp;$I520&amp;$H520&amp;$N520&amp;$O520,APOIO_REDES!$W:$W,0),MATCH(AH$5,APOIO_REDES!$5:$5,0)),0)</f>
        <v>0.1</v>
      </c>
      <c r="AI520" s="153" t="n">
        <f aca="false">IFERROR(IF($H520&lt;&gt;"",(((($H520/1000)/2)^2)*PI()*$M520),0),0)</f>
        <v>1.63734900366579</v>
      </c>
      <c r="AJ520" s="153" t="n">
        <f aca="false">IFERROR(IF(AND($H520&lt;&gt;"",$I520="FoFo",OR($N520="MND",$N520="VCA"),$Q520="LINEAR"),0,IF(AND($H520&lt;&gt;"",$I520="PEAD",$N520="VCA",$Q520="LINEAR"),($H520/1000)+0.3,IF(AND($H520&lt;&gt;"",$I520="PEAD",$N520="MND",$Q520="EMBOQUE"),0,IF(AND($H520&lt;&gt;"",$I520="PVC",$N520="VCA",$Q520="LINEAR"),($H520/1000)+0.2,IF(AND($H520&lt;&gt;"",$I520="PVC",$N520="MND",$Q520="EMBOQUE"),0,IF(AND($H520&lt;&gt;"",$I520="PEAD",$N520="VCA",$Q520="PREDIAL"),0,0)))))),0)</f>
        <v>0.525</v>
      </c>
      <c r="AK520" s="153" t="n">
        <f aca="false">IF(AA520&lt;&gt;"",AA520,0)</f>
        <v>3.4</v>
      </c>
      <c r="AL520" s="153" t="n">
        <f aca="false">IF(AND($N520="MND",$Q520="EMBOQUE"),$M520,IF(AND($N520="VCA",$Q520="LINEAR"),$M520,IF(AND($N520="VCA",$Q520="PREDIAL"),0,0)))</f>
        <v>41.18</v>
      </c>
      <c r="AM520" s="153" t="n">
        <f aca="false">IF(AND($N520="MND",$Q520="EMBOQUE"),$M520,IF(AND($N520="VCA",$Q520="LINEAR"),$M520,IF(AND($N520="VCA",$Q520="PREDIAL"),0,0)))</f>
        <v>41.18</v>
      </c>
      <c r="AN520" s="153" t="n">
        <f aca="false">ROUND(IF(AND($N520="VCA",$M520&lt;&gt;"",$Q520="LINEAR"),$M520/100,IF(AND($N520="MND",$M520&gt;100,$Q520="EMBOQUE"),$M520/100,0)),0)</f>
        <v>0</v>
      </c>
      <c r="AO520" s="153" t="n">
        <f aca="false">IF(AND($N520="MND",$Q520="EMBOQUE"),$AN520*2*2,IF(AND($N520="VCA",$Q520="LINEAR"),$M520*2,IF(AND($N520="VCA",$Q520="PREDIAL"),0,0)))</f>
        <v>82.36</v>
      </c>
      <c r="AP520" s="153" t="n">
        <f aca="false">IFERROR($M520*$AF520*$AG520,0)</f>
        <v>50.2396</v>
      </c>
      <c r="AQ520" s="153" t="n">
        <f aca="false">IFERROR(IF(AND($N520="VCA",$AH520&gt;0),$M520*$AG520*$AH520,0),0)</f>
        <v>3.2944</v>
      </c>
      <c r="AR520" s="153" t="n">
        <f aca="false">IFERROR(IF(AND($N520="VCA",$AJ520&gt;0),($M520*$AG520*$AJ520)-$AI520,0),0)</f>
        <v>15.6582509963342</v>
      </c>
      <c r="AS520" s="153" t="n">
        <f aca="false">IFERROR(IF(AND($N520="VCA",$AP520&gt;0),$AP520-$AI520-$AQ520-$AR520,0),0)</f>
        <v>29.6496</v>
      </c>
      <c r="AT520" s="153" t="n">
        <f aca="false">IFERROR(IF($N520="VCA",INDEX(APOIO_REDES!$A:$W,MATCH($C520&amp;$I520&amp;$H520&amp;$N520&amp;$O520,APOIO_REDES!$W:$W,0),MATCH(AT$5,APOIO_REDES!$5:$5,0)),0)*$AP520,0)</f>
        <v>0.546621718162554</v>
      </c>
      <c r="AU520" s="153" t="n">
        <f aca="false">IFERROR(IF($N520="VCA",INDEX(APOIO_REDES!$A:$W,MATCH($C520&amp;$I520&amp;$H520&amp;$N520&amp;$O520,APOIO_REDES!$W:$W,0),MATCH(AU$5,APOIO_REDES!$5:$5,0)),0)*$AP520,0)</f>
        <v>0.436517299730987</v>
      </c>
      <c r="AV520" s="153" t="n">
        <f aca="false">IFERROR(IF($N520="VCA",INDEX(APOIO_REDES!$A:$W,MATCH($C520&amp;$I520&amp;$H520&amp;$N520&amp;$O520,APOIO_REDES!$W:$W,0),MATCH(AV$5,APOIO_REDES!$5:$5,0)),0)*$AP520,0)</f>
        <v>0.0604105674876077</v>
      </c>
      <c r="AW520" s="153" t="n">
        <f aca="false">IFERROR(IF($N520="VCA",INDEX(APOIO_REDES!$A:$W,MATCH($C520&amp;$I520&amp;$H520&amp;$N520&amp;$O520,APOIO_REDES!$W:$W,0),MATCH(AW$5,APOIO_REDES!$5:$5,0)),0)*$AP520,0)</f>
        <v>34.4848507154165</v>
      </c>
      <c r="AX520" s="153" t="n">
        <f aca="false">IFERROR(IF($N520="VCA",INDEX(APOIO_REDES!$A:$W,MATCH($C520&amp;$I520&amp;$H520&amp;$N520&amp;$O520,APOIO_REDES!$W:$W,0),MATCH(AX$5,APOIO_REDES!$5:$5,0)),0)*$AP520,0)</f>
        <v>4.77260510705696</v>
      </c>
      <c r="AY520" s="153" t="n">
        <f aca="false">IFERROR(IF($N520="VCA",INDEX(APOIO_REDES!$A:$W,MATCH($C520&amp;$I520&amp;$H520&amp;$N520&amp;$O520,APOIO_REDES!$W:$W,0),MATCH(AY$5,APOIO_REDES!$5:$5,0)),0)*$AP520,0)</f>
        <v>8.73034067350925</v>
      </c>
      <c r="AZ520" s="153" t="n">
        <f aca="false">IFERROR(IF($N520="VCA",INDEX(APOIO_REDES!$A:$W,MATCH($C520&amp;$I520&amp;$H520&amp;$N520&amp;$O520,APOIO_REDES!$W:$W,0),MATCH(AZ$5,APOIO_REDES!$5:$5,0)),0)*$AP520,0)</f>
        <v>1.20825391863614</v>
      </c>
      <c r="BA520" s="153" t="n">
        <f aca="false">IFERROR(IF(AND($N520="VCA",$Q520="LINEAR"),INDEX(APOIO_REDES!$A:$W,MATCH($C520&amp;$I520&amp;$H520&amp;$N520&amp;$O520,APOIO_REDES!$W:$W,0),MATCH(BA$5,APOIO_REDES!$5:$5,0)),IF(AND($N520="MND",$Q520="EMBOQUE"),INDEX(APOIO_REDES!$A:$W,MATCH($C520&amp;$I520&amp;$H520&amp;$N520&amp;$O520,APOIO_REDES!$W:$W,0),MATCH(BA$5,APOIO_REDES!$5:$5,0)),0))*$M520/10,0)</f>
        <v>3.31900412673535</v>
      </c>
      <c r="BB520" s="153" t="n">
        <f aca="false">IFERROR(IF($N520="VCA",INDEX(APOIO_REDES!$A:$W,MATCH($C520&amp;$I520&amp;$H520&amp;$N520&amp;$O520,APOIO_REDES!$W:$W,0),MATCH(BB$5,APOIO_REDES!$5:$5,0)),0)*($AI520+$AQ520+$AR520),0)</f>
        <v>20.3659747056711</v>
      </c>
      <c r="BC520" s="153" t="n">
        <f aca="false">IFERROR(IF($N520="VCA",INDEX(APOIO_REDES!$A:$W,MATCH($C520&amp;$I520&amp;$H520&amp;$N520&amp;$O520,APOIO_REDES!$W:$W,0),MATCH(BC$5,APOIO_REDES!$5:$5,0)),0)*($AI520+$AQ520+$AR520),0)</f>
        <v>0.224025294328916</v>
      </c>
      <c r="BD520" s="153" t="n">
        <f aca="false">IF(AND($N520="VCA",$AF520&gt;=1.25,$AF520&lt;1.5),$M520*$AF520*2,0)</f>
        <v>0</v>
      </c>
      <c r="BE520" s="153" t="n">
        <f aca="false">IF(AND($N520="VCA",$AF520&gt;=1.5,$AF520&lt;3),$M520*$AF520*2,0)</f>
        <v>125.599</v>
      </c>
      <c r="BF520" s="153" t="n">
        <f aca="false">IF(AND($N520="VCA",$AF520&gt;=3),$M520*$AF520*2,0)</f>
        <v>0</v>
      </c>
      <c r="BG520" s="153" t="n">
        <f aca="false">($BB520+$BC520)*$AK520</f>
        <v>70.006</v>
      </c>
      <c r="BH520" s="153" t="n">
        <f aca="false">IF(AND($M520&lt;&gt;"",$N520="VCA",$Q520="LINEAR"),($M520*2)/100,IF(AND($M520&lt;&gt;"",$N520="MND",$Q520="EMBOQUE"),($AN520*2)/100,0))</f>
        <v>0.8236</v>
      </c>
      <c r="BI520" s="153" t="n">
        <f aca="false">IF(AND($M520&lt;&gt;"",$N520="VCA",$Q520="LINEAR"),$M520,IF(AND($M520&lt;&gt;"",$N520="MND",$Q520="EMBOQUE"),$AN520*2,0))</f>
        <v>41.18</v>
      </c>
      <c r="BJ520" s="153" t="n">
        <f aca="false">IF(AND($M520&lt;&gt;"",$N520="VCA",$Q520="LINEAR"),($M520*6.8)/100,IF(AND($M520&lt;&gt;"",$N520="MND",$Q520="EMBOQUE"),($AN520*2*6.8)/100,0))</f>
        <v>2.80024</v>
      </c>
      <c r="BK520" s="153" t="n">
        <f aca="false">IF(AND($M520&lt;&gt;"",$N520="VCA",$Q520="LINEAR"),($M520*2.5)/50,IF(AND($M520&lt;&gt;"",$N520="MND",$Q520="EMBOQUE"),($AN520*2*2.5)/50,0))</f>
        <v>2.059</v>
      </c>
      <c r="BL520" s="157" t="str">
        <f aca="false">K520&amp;J520</f>
        <v>Zona05REDES</v>
      </c>
      <c r="BM520" s="152" t="s">
        <v>3356</v>
      </c>
      <c r="BN520" s="152" t="s">
        <v>1560</v>
      </c>
      <c r="BO520" s="152" t="s">
        <v>2800</v>
      </c>
      <c r="BP520" s="152" t="s">
        <v>3518</v>
      </c>
      <c r="BQ520" s="152" t="s">
        <v>3513</v>
      </c>
      <c r="BR520" s="152" t="s">
        <v>3519</v>
      </c>
      <c r="BS520" s="152" t="n">
        <v>203369.524</v>
      </c>
      <c r="BT520" s="152" t="n">
        <v>8237647.164</v>
      </c>
      <c r="BU520" s="152" t="n">
        <v>203328.891</v>
      </c>
      <c r="BV520" s="152" t="n">
        <v>8237653.486</v>
      </c>
      <c r="BW520" s="152" t="n">
        <v>-15.9226643</v>
      </c>
      <c r="BX520" s="152" t="n">
        <v>-47.7706685</v>
      </c>
      <c r="BY520" s="152" t="s">
        <v>3518</v>
      </c>
    </row>
    <row r="521" customFormat="false" ht="13.8" hidden="false" customHeight="false" outlineLevel="0" collapsed="false">
      <c r="A521" s="149" t="n">
        <f aca="false">IF(C521&lt;&gt;"",ROW(A516),"")</f>
        <v>516</v>
      </c>
      <c r="B521" s="150" t="str">
        <f aca="false">HYPERLINK("https://www.google.com/maps/dir/-15.917302,-47.760003/-15.9227396,-47.7701634/data=!4m3!4m2!3e0!5i2")</f>
        <v>https://www.google.com/maps/dir/-15.917302,-47.760003/-15.9227396,-47.7701634/data=!4m3!4m2!3e0!5i2</v>
      </c>
      <c r="C521" s="151" t="s">
        <v>117</v>
      </c>
      <c r="D521" s="152" t="s">
        <v>112</v>
      </c>
      <c r="E521" s="152" t="s">
        <v>113</v>
      </c>
      <c r="F521" s="152" t="s">
        <v>117</v>
      </c>
      <c r="G521" s="152" t="s">
        <v>114</v>
      </c>
      <c r="H521" s="152" t="n">
        <v>225</v>
      </c>
      <c r="I521" s="152" t="s">
        <v>115</v>
      </c>
      <c r="J521" s="152" t="s">
        <v>6</v>
      </c>
      <c r="K521" s="152" t="s">
        <v>3352</v>
      </c>
      <c r="L521" s="152" t="s">
        <v>120</v>
      </c>
      <c r="M521" s="153" t="n">
        <f aca="false">34.11+0.05</f>
        <v>34.16</v>
      </c>
      <c r="N521" s="152" t="s">
        <v>1548</v>
      </c>
      <c r="O521" s="152" t="s">
        <v>1549</v>
      </c>
      <c r="P521" s="152" t="s">
        <v>1550</v>
      </c>
      <c r="Q521" s="152" t="s">
        <v>1551</v>
      </c>
      <c r="R521" s="154" t="s">
        <v>3520</v>
      </c>
      <c r="S521" s="154" t="s">
        <v>1593</v>
      </c>
      <c r="T521" s="155" t="s">
        <v>2797</v>
      </c>
      <c r="U521" s="152" t="str">
        <f aca="false">RIGHT(T521,7)</f>
        <v>009/037</v>
      </c>
      <c r="V521" s="152" t="s">
        <v>1555</v>
      </c>
      <c r="W521" s="156" t="n">
        <v>45882</v>
      </c>
      <c r="X521" s="152" t="s">
        <v>1594</v>
      </c>
      <c r="Y521" s="152" t="s">
        <v>3516</v>
      </c>
      <c r="Z521" s="152" t="s">
        <v>1557</v>
      </c>
      <c r="AA521" s="153" t="n">
        <v>3.5</v>
      </c>
      <c r="AB521" s="151" t="s">
        <v>3521</v>
      </c>
      <c r="AC521" s="151" t="s">
        <v>508</v>
      </c>
      <c r="AD521" s="151" t="str">
        <f aca="false">CONCATENATE($C521,$I521,$H521,$N521,$J521,$K521)</f>
        <v>TUBO PEADPEAD225VCAREDESZona05</v>
      </c>
      <c r="AE521" s="153" t="n">
        <f aca="false">IFERROR(INDEX(APOIO_REDES!$A:$W,MATCH($C521&amp;$I521&amp;$H521&amp;$N521&amp;$O521,APOIO_REDES!$W:$W,0),MATCH(AE$5,APOIO_REDES!$5:$5,0)),0)</f>
        <v>1.2</v>
      </c>
      <c r="AF521" s="153" t="n">
        <f aca="false">IFERROR(INDEX(APOIO_REDES!$A:$W,MATCH($C521&amp;$I521&amp;$H521&amp;$N521&amp;$O521,APOIO_REDES!$W:$W,0),MATCH(AF$5,APOIO_REDES!$5:$5,0)),0)</f>
        <v>1.525</v>
      </c>
      <c r="AG521" s="153" t="n">
        <f aca="false">IFERROR(INDEX(APOIO_REDES!$A:$W,MATCH($C521&amp;$I521&amp;$H521&amp;$N521&amp;$O521,APOIO_REDES!$W:$W,0),MATCH(AG$5,APOIO_REDES!$5:$5,0)),0)</f>
        <v>0.8</v>
      </c>
      <c r="AH521" s="153" t="n">
        <f aca="false">IFERROR(INDEX(APOIO_REDES!$A:$W,MATCH($C521&amp;$I521&amp;$H521&amp;$N521&amp;$O521,APOIO_REDES!$W:$W,0),MATCH(AH$5,APOIO_REDES!$5:$5,0)),0)</f>
        <v>0.1</v>
      </c>
      <c r="AI521" s="153" t="n">
        <f aca="false">IFERROR(IF($H521&lt;&gt;"",(((($H521/1000)/2)^2)*PI()*$M521),0),0)</f>
        <v>1.35822831387138</v>
      </c>
      <c r="AJ521" s="153" t="n">
        <f aca="false">IFERROR(IF(AND($H521&lt;&gt;"",$I521="FoFo",OR($N521="MND",$N521="VCA"),$Q521="LINEAR"),0,IF(AND($H521&lt;&gt;"",$I521="PEAD",$N521="VCA",$Q521="LINEAR"),($H521/1000)+0.3,IF(AND($H521&lt;&gt;"",$I521="PEAD",$N521="MND",$Q521="EMBOQUE"),0,IF(AND($H521&lt;&gt;"",$I521="PVC",$N521="VCA",$Q521="LINEAR"),($H521/1000)+0.2,IF(AND($H521&lt;&gt;"",$I521="PVC",$N521="MND",$Q521="EMBOQUE"),0,IF(AND($H521&lt;&gt;"",$I521="PEAD",$N521="VCA",$Q521="PREDIAL"),0,0)))))),0)</f>
        <v>0.525</v>
      </c>
      <c r="AK521" s="153" t="n">
        <f aca="false">IF(AA521&lt;&gt;"",AA521,0)</f>
        <v>3.5</v>
      </c>
      <c r="AL521" s="153" t="n">
        <f aca="false">IF(AND($N521="MND",$Q521="EMBOQUE"),$M521,IF(AND($N521="VCA",$Q521="LINEAR"),$M521,IF(AND($N521="VCA",$Q521="PREDIAL"),0,0)))</f>
        <v>34.16</v>
      </c>
      <c r="AM521" s="153" t="n">
        <f aca="false">IF(AND($N521="MND",$Q521="EMBOQUE"),$M521,IF(AND($N521="VCA",$Q521="LINEAR"),$M521,IF(AND($N521="VCA",$Q521="PREDIAL"),0,0)))</f>
        <v>34.16</v>
      </c>
      <c r="AN521" s="153" t="n">
        <f aca="false">ROUND(IF(AND($N521="VCA",$M521&lt;&gt;"",$Q521="LINEAR"),$M521/100,IF(AND($N521="MND",$M521&gt;100,$Q521="EMBOQUE"),$M521/100,0)),0)</f>
        <v>0</v>
      </c>
      <c r="AO521" s="153" t="n">
        <f aca="false">IF(AND($N521="MND",$Q521="EMBOQUE"),$AN521*2*2,IF(AND($N521="VCA",$Q521="LINEAR"),$M521*2,IF(AND($N521="VCA",$Q521="PREDIAL"),0,0)))</f>
        <v>68.32</v>
      </c>
      <c r="AP521" s="153" t="n">
        <f aca="false">IFERROR($M521*$AF521*$AG521,0)</f>
        <v>41.6752</v>
      </c>
      <c r="AQ521" s="153" t="n">
        <f aca="false">IFERROR(IF(AND($N521="VCA",$AH521&gt;0),$M521*$AG521*$AH521,0),0)</f>
        <v>2.7328</v>
      </c>
      <c r="AR521" s="153" t="n">
        <f aca="false">IFERROR(IF(AND($N521="VCA",$AJ521&gt;0),($M521*$AG521*$AJ521)-$AI521,0),0)</f>
        <v>12.9889716861286</v>
      </c>
      <c r="AS521" s="153" t="n">
        <f aca="false">IFERROR(IF(AND($N521="VCA",$AP521&gt;0),$AP521-$AI521-$AQ521-$AR521,0),0)</f>
        <v>24.5952</v>
      </c>
      <c r="AT521" s="153" t="n">
        <f aca="false">IFERROR(IF($N521="VCA",INDEX(APOIO_REDES!$A:$W,MATCH($C521&amp;$I521&amp;$H521&amp;$N521&amp;$O521,APOIO_REDES!$W:$W,0),MATCH(AT$5,APOIO_REDES!$5:$5,0)),0)*$AP521,0)</f>
        <v>0.45343851122955</v>
      </c>
      <c r="AU521" s="153" t="n">
        <f aca="false">IFERROR(IF($N521="VCA",INDEX(APOIO_REDES!$A:$W,MATCH($C521&amp;$I521&amp;$H521&amp;$N521&amp;$O521,APOIO_REDES!$W:$W,0),MATCH(AU$5,APOIO_REDES!$5:$5,0)),0)*$AP521,0)</f>
        <v>0.362103714395593</v>
      </c>
      <c r="AV521" s="153" t="n">
        <f aca="false">IFERROR(IF($N521="VCA",INDEX(APOIO_REDES!$A:$W,MATCH($C521&amp;$I521&amp;$H521&amp;$N521&amp;$O521,APOIO_REDES!$W:$W,0),MATCH(AV$5,APOIO_REDES!$5:$5,0)),0)*$AP521,0)</f>
        <v>0.0501123114467382</v>
      </c>
      <c r="AW521" s="153" t="n">
        <f aca="false">IFERROR(IF($N521="VCA",INDEX(APOIO_REDES!$A:$W,MATCH($C521&amp;$I521&amp;$H521&amp;$N521&amp;$O521,APOIO_REDES!$W:$W,0),MATCH(AW$5,APOIO_REDES!$5:$5,0)),0)*$AP521,0)</f>
        <v>28.6061801952071</v>
      </c>
      <c r="AX521" s="153" t="n">
        <f aca="false">IFERROR(IF($N521="VCA",INDEX(APOIO_REDES!$A:$W,MATCH($C521&amp;$I521&amp;$H521&amp;$N521&amp;$O521,APOIO_REDES!$W:$W,0),MATCH(AX$5,APOIO_REDES!$5:$5,0)),0)*$AP521,0)</f>
        <v>3.95901385276993</v>
      </c>
      <c r="AY521" s="153" t="n">
        <f aca="false">IFERROR(IF($N521="VCA",INDEX(APOIO_REDES!$A:$W,MATCH($C521&amp;$I521&amp;$H521&amp;$N521&amp;$O521,APOIO_REDES!$W:$W,0),MATCH(AY$5,APOIO_REDES!$5:$5,0)),0)*$AP521,0)</f>
        <v>7.24206987389694</v>
      </c>
      <c r="AZ521" s="153" t="n">
        <f aca="false">IFERROR(IF($N521="VCA",INDEX(APOIO_REDES!$A:$W,MATCH($C521&amp;$I521&amp;$H521&amp;$N521&amp;$O521,APOIO_REDES!$W:$W,0),MATCH(AZ$5,APOIO_REDES!$5:$5,0)),0)*$AP521,0)</f>
        <v>1.00228154105417</v>
      </c>
      <c r="BA521" s="153" t="n">
        <f aca="false">IFERROR(IF(AND($N521="VCA",$Q521="LINEAR"),INDEX(APOIO_REDES!$A:$W,MATCH($C521&amp;$I521&amp;$H521&amp;$N521&amp;$O521,APOIO_REDES!$W:$W,0),MATCH(BA$5,APOIO_REDES!$5:$5,0)),IF(AND($N521="MND",$Q521="EMBOQUE"),INDEX(APOIO_REDES!$A:$W,MATCH($C521&amp;$I521&amp;$H521&amp;$N521&amp;$O521,APOIO_REDES!$W:$W,0),MATCH(BA$5,APOIO_REDES!$5:$5,0)),0))*$M521/10,0)</f>
        <v>2.75320983412529</v>
      </c>
      <c r="BB521" s="153" t="n">
        <f aca="false">IFERROR(IF($N521="VCA",INDEX(APOIO_REDES!$A:$W,MATCH($C521&amp;$I521&amp;$H521&amp;$N521&amp;$O521,APOIO_REDES!$W:$W,0),MATCH(BB$5,APOIO_REDES!$5:$5,0)),0)*($AI521+$AQ521+$AR521),0)</f>
        <v>16.8941645445781</v>
      </c>
      <c r="BC521" s="153" t="n">
        <f aca="false">IFERROR(IF($N521="VCA",INDEX(APOIO_REDES!$A:$W,MATCH($C521&amp;$I521&amp;$H521&amp;$N521&amp;$O521,APOIO_REDES!$W:$W,0),MATCH(BC$5,APOIO_REDES!$5:$5,0)),0)*($AI521+$AQ521+$AR521),0)</f>
        <v>0.185835455421947</v>
      </c>
      <c r="BD521" s="153" t="n">
        <f aca="false">IF(AND($N521="VCA",$AF521&gt;=1.25,$AF521&lt;1.5),$M521*$AF521*2,0)</f>
        <v>0</v>
      </c>
      <c r="BE521" s="153" t="n">
        <f aca="false">IF(AND($N521="VCA",$AF521&gt;=1.5,$AF521&lt;3),$M521*$AF521*2,0)</f>
        <v>104.188</v>
      </c>
      <c r="BF521" s="153" t="n">
        <f aca="false">IF(AND($N521="VCA",$AF521&gt;=3),$M521*$AF521*2,0)</f>
        <v>0</v>
      </c>
      <c r="BG521" s="153" t="n">
        <f aca="false">($BB521+$BC521)*$AK521</f>
        <v>59.78</v>
      </c>
      <c r="BH521" s="153" t="n">
        <f aca="false">IF(AND($M521&lt;&gt;"",$N521="VCA",$Q521="LINEAR"),($M521*2)/100,IF(AND($M521&lt;&gt;"",$N521="MND",$Q521="EMBOQUE"),($AN521*2)/100,0))</f>
        <v>0.6832</v>
      </c>
      <c r="BI521" s="153" t="n">
        <f aca="false">IF(AND($M521&lt;&gt;"",$N521="VCA",$Q521="LINEAR"),$M521,IF(AND($M521&lt;&gt;"",$N521="MND",$Q521="EMBOQUE"),$AN521*2,0))</f>
        <v>34.16</v>
      </c>
      <c r="BJ521" s="153" t="n">
        <f aca="false">IF(AND($M521&lt;&gt;"",$N521="VCA",$Q521="LINEAR"),($M521*6.8)/100,IF(AND($M521&lt;&gt;"",$N521="MND",$Q521="EMBOQUE"),($AN521*2*6.8)/100,0))</f>
        <v>2.32288</v>
      </c>
      <c r="BK521" s="153" t="n">
        <f aca="false">IF(AND($M521&lt;&gt;"",$N521="VCA",$Q521="LINEAR"),($M521*2.5)/50,IF(AND($M521&lt;&gt;"",$N521="MND",$Q521="EMBOQUE"),($AN521*2*2.5)/50,0))</f>
        <v>1.708</v>
      </c>
      <c r="BL521" s="157" t="str">
        <f aca="false">K521&amp;J521</f>
        <v>Zona05REDES</v>
      </c>
      <c r="BM521" s="152" t="s">
        <v>3356</v>
      </c>
      <c r="BN521" s="152" t="s">
        <v>1560</v>
      </c>
      <c r="BO521" s="152" t="s">
        <v>2800</v>
      </c>
      <c r="BP521" s="152" t="s">
        <v>3522</v>
      </c>
      <c r="BQ521" s="152" t="s">
        <v>3518</v>
      </c>
      <c r="BR521" s="152" t="s">
        <v>3523</v>
      </c>
      <c r="BS521" s="152" t="n">
        <v>203403.357</v>
      </c>
      <c r="BT521" s="152" t="n">
        <v>8237642.604</v>
      </c>
      <c r="BU521" s="152" t="n">
        <v>203369.574</v>
      </c>
      <c r="BV521" s="152" t="n">
        <v>8237647.156</v>
      </c>
      <c r="BW521" s="152" t="n">
        <v>-15.9227217</v>
      </c>
      <c r="BX521" s="152" t="n">
        <v>-47.7703219</v>
      </c>
      <c r="BY521" s="152" t="s">
        <v>3522</v>
      </c>
    </row>
    <row r="522" customFormat="false" ht="13.8" hidden="false" customHeight="false" outlineLevel="0" collapsed="false">
      <c r="A522" s="149" t="n">
        <f aca="false">IF(C522&lt;&gt;"",ROW(A517),"")</f>
        <v>517</v>
      </c>
      <c r="B522" s="150" t="str">
        <f aca="false">HYPERLINK("https://www.google.com/maps/dir/-15.917302,-47.760003/-15.9229163,-47.7719989/data=!4m3!4m2!3e0!5i0")</f>
        <v>https://www.google.com/maps/dir/-15.917302,-47.760003/-15.9229163,-47.7719989/data=!4m3!4m2!3e0!5i0</v>
      </c>
      <c r="C522" s="151" t="s">
        <v>117</v>
      </c>
      <c r="D522" s="152" t="s">
        <v>112</v>
      </c>
      <c r="E522" s="152" t="s">
        <v>113</v>
      </c>
      <c r="F522" s="152" t="s">
        <v>117</v>
      </c>
      <c r="G522" s="152" t="s">
        <v>782</v>
      </c>
      <c r="H522" s="152" t="n">
        <v>63</v>
      </c>
      <c r="I522" s="152" t="s">
        <v>115</v>
      </c>
      <c r="J522" s="152" t="s">
        <v>6</v>
      </c>
      <c r="K522" s="152" t="s">
        <v>3352</v>
      </c>
      <c r="L522" s="152" t="s">
        <v>120</v>
      </c>
      <c r="M522" s="153" t="n">
        <f aca="false">45.5</f>
        <v>45.5</v>
      </c>
      <c r="N522" s="152" t="s">
        <v>1548</v>
      </c>
      <c r="O522" s="152" t="s">
        <v>1549</v>
      </c>
      <c r="P522" s="152" t="s">
        <v>1550</v>
      </c>
      <c r="Q522" s="152" t="s">
        <v>1551</v>
      </c>
      <c r="R522" s="154" t="s">
        <v>3524</v>
      </c>
      <c r="S522" s="154" t="s">
        <v>1553</v>
      </c>
      <c r="T522" s="155" t="s">
        <v>2797</v>
      </c>
      <c r="U522" s="152" t="str">
        <f aca="false">RIGHT(T522,7)</f>
        <v>009/037</v>
      </c>
      <c r="V522" s="152" t="s">
        <v>1555</v>
      </c>
      <c r="W522" s="156" t="n">
        <v>45882</v>
      </c>
      <c r="X522" s="152" t="s">
        <v>1594</v>
      </c>
      <c r="Y522" s="152" t="s">
        <v>3365</v>
      </c>
      <c r="Z522" s="152" t="s">
        <v>1557</v>
      </c>
      <c r="AA522" s="153" t="n">
        <v>3.4</v>
      </c>
      <c r="AB522" s="151" t="s">
        <v>3525</v>
      </c>
      <c r="AC522" s="151" t="s">
        <v>186</v>
      </c>
      <c r="AD522" s="151" t="str">
        <f aca="false">CONCATENATE($C522,$I522,$H522,$N522,$J522,$K522)</f>
        <v>TUBO PEADPEAD63VCAREDESZona05</v>
      </c>
      <c r="AE522" s="153" t="n">
        <f aca="false">IFERROR(INDEX(APOIO_REDES!$A:$W,MATCH($C522&amp;$I522&amp;$H522&amp;$N522&amp;$O522,APOIO_REDES!$W:$W,0),MATCH(AE$5,APOIO_REDES!$5:$5,0)),0)</f>
        <v>1.2</v>
      </c>
      <c r="AF522" s="153" t="n">
        <f aca="false">IFERROR(INDEX(APOIO_REDES!$A:$W,MATCH($C522&amp;$I522&amp;$H522&amp;$N522&amp;$O522,APOIO_REDES!$W:$W,0),MATCH(AF$5,APOIO_REDES!$5:$5,0)),0)</f>
        <v>1.363</v>
      </c>
      <c r="AG522" s="153" t="n">
        <f aca="false">IFERROR(INDEX(APOIO_REDES!$A:$W,MATCH($C522&amp;$I522&amp;$H522&amp;$N522&amp;$O522,APOIO_REDES!$W:$W,0),MATCH(AG$5,APOIO_REDES!$5:$5,0)),0)</f>
        <v>0.65</v>
      </c>
      <c r="AH522" s="153" t="n">
        <f aca="false">IFERROR(INDEX(APOIO_REDES!$A:$W,MATCH($C522&amp;$I522&amp;$H522&amp;$N522&amp;$O522,APOIO_REDES!$W:$W,0),MATCH(AH$5,APOIO_REDES!$5:$5,0)),0)</f>
        <v>0.1</v>
      </c>
      <c r="AI522" s="153" t="n">
        <f aca="false">IFERROR(IF($H522&lt;&gt;"",(((($H522/1000)/2)^2)*PI()*$M522),0),0)</f>
        <v>0.141834661628864</v>
      </c>
      <c r="AJ522" s="153" t="n">
        <f aca="false">IFERROR(IF(AND($H522&lt;&gt;"",$I522="FoFo",OR($N522="MND",$N522="VCA"),$Q522="LINEAR"),0,IF(AND($H522&lt;&gt;"",$I522="PEAD",$N522="VCA",$Q522="LINEAR"),($H522/1000)+0.3,IF(AND($H522&lt;&gt;"",$I522="PEAD",$N522="MND",$Q522="EMBOQUE"),0,IF(AND($H522&lt;&gt;"",$I522="PVC",$N522="VCA",$Q522="LINEAR"),($H522/1000)+0.2,IF(AND($H522&lt;&gt;"",$I522="PVC",$N522="MND",$Q522="EMBOQUE"),0,IF(AND($H522&lt;&gt;"",$I522="PEAD",$N522="VCA",$Q522="PREDIAL"),0,0)))))),0)</f>
        <v>0.363</v>
      </c>
      <c r="AK522" s="153" t="n">
        <f aca="false">IF(AA522&lt;&gt;"",AA522,0)</f>
        <v>3.4</v>
      </c>
      <c r="AL522" s="153" t="n">
        <f aca="false">IF(AND($N522="MND",$Q522="EMBOQUE"),$M522,IF(AND($N522="VCA",$Q522="LINEAR"),$M522,IF(AND($N522="VCA",$Q522="PREDIAL"),0,0)))</f>
        <v>45.5</v>
      </c>
      <c r="AM522" s="153" t="n">
        <f aca="false">IF(AND($N522="MND",$Q522="EMBOQUE"),$M522,IF(AND($N522="VCA",$Q522="LINEAR"),$M522,IF(AND($N522="VCA",$Q522="PREDIAL"),0,0)))</f>
        <v>45.5</v>
      </c>
      <c r="AN522" s="153" t="n">
        <f aca="false">ROUND(IF(AND($N522="VCA",$M522&lt;&gt;"",$Q522="LINEAR"),$M522/100,IF(AND($N522="MND",$M522&gt;100,$Q522="EMBOQUE"),$M522/100,0)),0)</f>
        <v>0</v>
      </c>
      <c r="AO522" s="153" t="n">
        <f aca="false">IF(AND($N522="MND",$Q522="EMBOQUE"),$AN522*2*2,IF(AND($N522="VCA",$Q522="LINEAR"),$M522*2,IF(AND($N522="VCA",$Q522="PREDIAL"),0,0)))</f>
        <v>91</v>
      </c>
      <c r="AP522" s="153" t="n">
        <f aca="false">IFERROR($M522*$AF522*$AG522,0)</f>
        <v>40.310725</v>
      </c>
      <c r="AQ522" s="153" t="n">
        <f aca="false">IFERROR(IF(AND($N522="VCA",$AH522&gt;0),$M522*$AG522*$AH522,0),0)</f>
        <v>2.9575</v>
      </c>
      <c r="AR522" s="153" t="n">
        <f aca="false">IFERROR(IF(AND($N522="VCA",$AJ522&gt;0),($M522*$AG522*$AJ522)-$AI522,0),0)</f>
        <v>10.5938903383711</v>
      </c>
      <c r="AS522" s="153" t="n">
        <f aca="false">IFERROR(IF(AND($N522="VCA",$AP522&gt;0),$AP522-$AI522-$AQ522-$AR522,0),0)</f>
        <v>26.6175</v>
      </c>
      <c r="AT522" s="153" t="n">
        <f aca="false">IFERROR(IF($N522="VCA",INDEX(APOIO_REDES!$A:$W,MATCH($C522&amp;$I522&amp;$H522&amp;$N522&amp;$O522,APOIO_REDES!$W:$W,0),MATCH(AT$5,APOIO_REDES!$5:$5,0)),0)*$AP522,0)</f>
        <v>0.438592619365565</v>
      </c>
      <c r="AU522" s="153" t="n">
        <f aca="false">IFERROR(IF($N522="VCA",INDEX(APOIO_REDES!$A:$W,MATCH($C522&amp;$I522&amp;$H522&amp;$N522&amp;$O522,APOIO_REDES!$W:$W,0),MATCH(AU$5,APOIO_REDES!$5:$5,0)),0)*$AP522,0)</f>
        <v>0.350248187230758</v>
      </c>
      <c r="AV522" s="153" t="n">
        <f aca="false">IFERROR(IF($N522="VCA",INDEX(APOIO_REDES!$A:$W,MATCH($C522&amp;$I522&amp;$H522&amp;$N522&amp;$O522,APOIO_REDES!$W:$W,0),MATCH(AV$5,APOIO_REDES!$5:$5,0)),0)*$AP522,0)</f>
        <v>0.0484715995566624</v>
      </c>
      <c r="AW522" s="153" t="n">
        <f aca="false">IFERROR(IF($N522="VCA",INDEX(APOIO_REDES!$A:$W,MATCH($C522&amp;$I522&amp;$H522&amp;$N522&amp;$O522,APOIO_REDES!$W:$W,0),MATCH(AW$5,APOIO_REDES!$5:$5,0)),0)*$AP522,0)</f>
        <v>27.6695939827389</v>
      </c>
      <c r="AX522" s="153" t="n">
        <f aca="false">IFERROR(IF($N522="VCA",INDEX(APOIO_REDES!$A:$W,MATCH($C522&amp;$I522&amp;$H522&amp;$N522&amp;$O522,APOIO_REDES!$W:$W,0),MATCH(AX$5,APOIO_REDES!$5:$5,0)),0)*$AP522,0)</f>
        <v>3.82939298888066</v>
      </c>
      <c r="AY522" s="153" t="n">
        <f aca="false">IFERROR(IF($N522="VCA",INDEX(APOIO_REDES!$A:$W,MATCH($C522&amp;$I522&amp;$H522&amp;$N522&amp;$O522,APOIO_REDES!$W:$W,0),MATCH(AY$5,APOIO_REDES!$5:$5,0)),0)*$AP522,0)</f>
        <v>7.00495947511816</v>
      </c>
      <c r="AZ522" s="153" t="n">
        <f aca="false">IFERROR(IF($N522="VCA",INDEX(APOIO_REDES!$A:$W,MATCH($C522&amp;$I522&amp;$H522&amp;$N522&amp;$O522,APOIO_REDES!$W:$W,0),MATCH(AZ$5,APOIO_REDES!$5:$5,0)),0)*$AP522,0)</f>
        <v>0.969466147109329</v>
      </c>
      <c r="BA522" s="153" t="n">
        <f aca="false">IFERROR(IF(AND($N522="VCA",$Q522="LINEAR"),INDEX(APOIO_REDES!$A:$W,MATCH($C522&amp;$I522&amp;$H522&amp;$N522&amp;$O522,APOIO_REDES!$W:$W,0),MATCH(BA$5,APOIO_REDES!$5:$5,0)),IF(AND($N522="MND",$Q522="EMBOQUE"),INDEX(APOIO_REDES!$A:$W,MATCH($C522&amp;$I522&amp;$H522&amp;$N522&amp;$O522,APOIO_REDES!$W:$W,0),MATCH(BA$5,APOIO_REDES!$5:$5,0)),0))*$M522/10,0)</f>
        <v>3.66718522988</v>
      </c>
      <c r="BB522" s="153" t="n">
        <f aca="false">IFERROR(IF($N522="VCA",INDEX(APOIO_REDES!$A:$W,MATCH($C522&amp;$I522&amp;$H522&amp;$N522&amp;$O522,APOIO_REDES!$W:$W,0),MATCH(BB$5,APOIO_REDES!$5:$5,0)),0)*($AI522+$AQ522+$AR522),0)</f>
        <v>13.5442386590123</v>
      </c>
      <c r="BC522" s="153" t="n">
        <f aca="false">IFERROR(IF($N522="VCA",INDEX(APOIO_REDES!$A:$W,MATCH($C522&amp;$I522&amp;$H522&amp;$N522&amp;$O522,APOIO_REDES!$W:$W,0),MATCH(BC$5,APOIO_REDES!$5:$5,0)),0)*($AI522+$AQ522+$AR522),0)</f>
        <v>0.148986340987716</v>
      </c>
      <c r="BD522" s="153" t="n">
        <f aca="false">IF(AND($N522="VCA",$AF522&gt;=1.25,$AF522&lt;1.5),$M522*$AF522*2,0)</f>
        <v>124.033</v>
      </c>
      <c r="BE522" s="153" t="n">
        <f aca="false">IF(AND($N522="VCA",$AF522&gt;=1.5,$AF522&lt;3),$M522*$AF522*2,0)</f>
        <v>0</v>
      </c>
      <c r="BF522" s="153" t="n">
        <f aca="false">IF(AND($N522="VCA",$AF522&gt;=3),$M522*$AF522*2,0)</f>
        <v>0</v>
      </c>
      <c r="BG522" s="153" t="n">
        <f aca="false">($BB522+$BC522)*$AK522</f>
        <v>46.556965</v>
      </c>
      <c r="BH522" s="153" t="n">
        <f aca="false">IF(AND($M522&lt;&gt;"",$N522="VCA",$Q522="LINEAR"),($M522*2)/100,IF(AND($M522&lt;&gt;"",$N522="MND",$Q522="EMBOQUE"),($AN522*2)/100,0))</f>
        <v>0.91</v>
      </c>
      <c r="BI522" s="153" t="n">
        <f aca="false">IF(AND($M522&lt;&gt;"",$N522="VCA",$Q522="LINEAR"),$M522,IF(AND($M522&lt;&gt;"",$N522="MND",$Q522="EMBOQUE"),$AN522*2,0))</f>
        <v>45.5</v>
      </c>
      <c r="BJ522" s="153" t="n">
        <f aca="false">IF(AND($M522&lt;&gt;"",$N522="VCA",$Q522="LINEAR"),($M522*6.8)/100,IF(AND($M522&lt;&gt;"",$N522="MND",$Q522="EMBOQUE"),($AN522*2*6.8)/100,0))</f>
        <v>3.094</v>
      </c>
      <c r="BK522" s="153" t="n">
        <f aca="false">IF(AND($M522&lt;&gt;"",$N522="VCA",$Q522="LINEAR"),($M522*2.5)/50,IF(AND($M522&lt;&gt;"",$N522="MND",$Q522="EMBOQUE"),($AN522*2*2.5)/50,0))</f>
        <v>2.275</v>
      </c>
      <c r="BL522" s="157" t="str">
        <f aca="false">K522&amp;J522</f>
        <v>Zona05REDES</v>
      </c>
      <c r="BM522" s="152" t="s">
        <v>3356</v>
      </c>
      <c r="BN522" s="152" t="s">
        <v>1560</v>
      </c>
      <c r="BO522" s="152" t="s">
        <v>2800</v>
      </c>
      <c r="BP522" s="152" t="s">
        <v>3526</v>
      </c>
      <c r="BQ522" s="152" t="s">
        <v>3496</v>
      </c>
      <c r="BR522" s="152" t="s">
        <v>3527</v>
      </c>
      <c r="BS522" s="152" t="n">
        <v>203207.014</v>
      </c>
      <c r="BT522" s="152" t="n">
        <v>8237620.398</v>
      </c>
      <c r="BU522" s="152" t="n">
        <v>203217.376</v>
      </c>
      <c r="BV522" s="152" t="n">
        <v>8237664.019</v>
      </c>
      <c r="BW522" s="152" t="n">
        <v>-15.9227269</v>
      </c>
      <c r="BX522" s="152" t="n">
        <v>-47.7719181</v>
      </c>
      <c r="BY522" s="152" t="s">
        <v>3526</v>
      </c>
    </row>
    <row r="523" customFormat="false" ht="13.8" hidden="false" customHeight="false" outlineLevel="0" collapsed="false">
      <c r="A523" s="149" t="n">
        <f aca="false">IF(C523&lt;&gt;"",ROW(A518),"")</f>
        <v>518</v>
      </c>
      <c r="B523" s="150" t="str">
        <f aca="false">HYPERLINK("https://www.google.com/maps/dir/-15.917302,-47.760003/-15.9227734,-47.7699289/data=!4m3!4m2!3e0!5i2")</f>
        <v>https://www.google.com/maps/dir/-15.917302,-47.760003/-15.9227734,-47.7699289/data=!4m3!4m2!3e0!5i2</v>
      </c>
      <c r="C523" s="151" t="s">
        <v>117</v>
      </c>
      <c r="D523" s="152" t="s">
        <v>112</v>
      </c>
      <c r="E523" s="152" t="s">
        <v>113</v>
      </c>
      <c r="F523" s="152" t="s">
        <v>117</v>
      </c>
      <c r="G523" s="152" t="s">
        <v>114</v>
      </c>
      <c r="H523" s="152" t="n">
        <v>225</v>
      </c>
      <c r="I523" s="152" t="s">
        <v>115</v>
      </c>
      <c r="J523" s="152" t="s">
        <v>6</v>
      </c>
      <c r="K523" s="152" t="s">
        <v>3352</v>
      </c>
      <c r="L523" s="152" t="s">
        <v>120</v>
      </c>
      <c r="M523" s="153" t="n">
        <f aca="false">25.4</f>
        <v>25.4</v>
      </c>
      <c r="N523" s="152" t="s">
        <v>1548</v>
      </c>
      <c r="O523" s="152" t="s">
        <v>1549</v>
      </c>
      <c r="P523" s="152" t="s">
        <v>1550</v>
      </c>
      <c r="Q523" s="152" t="s">
        <v>1551</v>
      </c>
      <c r="R523" s="154" t="s">
        <v>3528</v>
      </c>
      <c r="S523" s="154" t="s">
        <v>1593</v>
      </c>
      <c r="T523" s="155" t="s">
        <v>2797</v>
      </c>
      <c r="U523" s="152" t="str">
        <f aca="false">RIGHT(T523,7)</f>
        <v>009/037</v>
      </c>
      <c r="V523" s="152" t="s">
        <v>1555</v>
      </c>
      <c r="W523" s="156" t="n">
        <v>45882</v>
      </c>
      <c r="X523" s="152" t="s">
        <v>1594</v>
      </c>
      <c r="Y523" s="152" t="s">
        <v>3516</v>
      </c>
      <c r="Z523" s="152" t="s">
        <v>1557</v>
      </c>
      <c r="AA523" s="153" t="n">
        <v>3.5</v>
      </c>
      <c r="AB523" s="151" t="s">
        <v>3529</v>
      </c>
      <c r="AC523" s="151" t="s">
        <v>508</v>
      </c>
      <c r="AD523" s="151" t="str">
        <f aca="false">CONCATENATE($C523,$I523,$H523,$N523,$J523,$K523)</f>
        <v>TUBO PEADPEAD225VCAREDESZona05</v>
      </c>
      <c r="AE523" s="153" t="n">
        <f aca="false">IFERROR(INDEX(APOIO_REDES!$A:$W,MATCH($C523&amp;$I523&amp;$H523&amp;$N523&amp;$O523,APOIO_REDES!$W:$W,0),MATCH(AE$5,APOIO_REDES!$5:$5,0)),0)</f>
        <v>1.2</v>
      </c>
      <c r="AF523" s="153" t="n">
        <f aca="false">IFERROR(INDEX(APOIO_REDES!$A:$W,MATCH($C523&amp;$I523&amp;$H523&amp;$N523&amp;$O523,APOIO_REDES!$W:$W,0),MATCH(AF$5,APOIO_REDES!$5:$5,0)),0)</f>
        <v>1.525</v>
      </c>
      <c r="AG523" s="153" t="n">
        <f aca="false">IFERROR(INDEX(APOIO_REDES!$A:$W,MATCH($C523&amp;$I523&amp;$H523&amp;$N523&amp;$O523,APOIO_REDES!$W:$W,0),MATCH(AG$5,APOIO_REDES!$5:$5,0)),0)</f>
        <v>0.8</v>
      </c>
      <c r="AH523" s="153" t="n">
        <f aca="false">IFERROR(INDEX(APOIO_REDES!$A:$W,MATCH($C523&amp;$I523&amp;$H523&amp;$N523&amp;$O523,APOIO_REDES!$W:$W,0),MATCH(AH$5,APOIO_REDES!$5:$5,0)),0)</f>
        <v>0.1</v>
      </c>
      <c r="AI523" s="153" t="n">
        <f aca="false">IFERROR(IF($H523&lt;&gt;"",(((($H523/1000)/2)^2)*PI()*$M523),0),0)</f>
        <v>1.00992386335869</v>
      </c>
      <c r="AJ523" s="153" t="n">
        <f aca="false">IFERROR(IF(AND($H523&lt;&gt;"",$I523="FoFo",OR($N523="MND",$N523="VCA"),$Q523="LINEAR"),0,IF(AND($H523&lt;&gt;"",$I523="PEAD",$N523="VCA",$Q523="LINEAR"),($H523/1000)+0.3,IF(AND($H523&lt;&gt;"",$I523="PEAD",$N523="MND",$Q523="EMBOQUE"),0,IF(AND($H523&lt;&gt;"",$I523="PVC",$N523="VCA",$Q523="LINEAR"),($H523/1000)+0.2,IF(AND($H523&lt;&gt;"",$I523="PVC",$N523="MND",$Q523="EMBOQUE"),0,IF(AND($H523&lt;&gt;"",$I523="PEAD",$N523="VCA",$Q523="PREDIAL"),0,0)))))),0)</f>
        <v>0.525</v>
      </c>
      <c r="AK523" s="153" t="n">
        <f aca="false">IF(AA523&lt;&gt;"",AA523,0)</f>
        <v>3.5</v>
      </c>
      <c r="AL523" s="153" t="n">
        <f aca="false">IF(AND($N523="MND",$Q523="EMBOQUE"),$M523,IF(AND($N523="VCA",$Q523="LINEAR"),$M523,IF(AND($N523="VCA",$Q523="PREDIAL"),0,0)))</f>
        <v>25.4</v>
      </c>
      <c r="AM523" s="153" t="n">
        <f aca="false">IF(AND($N523="MND",$Q523="EMBOQUE"),$M523,IF(AND($N523="VCA",$Q523="LINEAR"),$M523,IF(AND($N523="VCA",$Q523="PREDIAL"),0,0)))</f>
        <v>25.4</v>
      </c>
      <c r="AN523" s="153" t="n">
        <f aca="false">ROUND(IF(AND($N523="VCA",$M523&lt;&gt;"",$Q523="LINEAR"),$M523/100,IF(AND($N523="MND",$M523&gt;100,$Q523="EMBOQUE"),$M523/100,0)),0)</f>
        <v>0</v>
      </c>
      <c r="AO523" s="153" t="n">
        <f aca="false">IF(AND($N523="MND",$Q523="EMBOQUE"),$AN523*2*2,IF(AND($N523="VCA",$Q523="LINEAR"),$M523*2,IF(AND($N523="VCA",$Q523="PREDIAL"),0,0)))</f>
        <v>50.8</v>
      </c>
      <c r="AP523" s="153" t="n">
        <f aca="false">IFERROR($M523*$AF523*$AG523,0)</f>
        <v>30.988</v>
      </c>
      <c r="AQ523" s="153" t="n">
        <f aca="false">IFERROR(IF(AND($N523="VCA",$AH523&gt;0),$M523*$AG523*$AH523,0),0)</f>
        <v>2.032</v>
      </c>
      <c r="AR523" s="153" t="n">
        <f aca="false">IFERROR(IF(AND($N523="VCA",$AJ523&gt;0),($M523*$AG523*$AJ523)-$AI523,0),0)</f>
        <v>9.65807613664131</v>
      </c>
      <c r="AS523" s="153" t="n">
        <f aca="false">IFERROR(IF(AND($N523="VCA",$AP523&gt;0),$AP523-$AI523-$AQ523-$AR523,0),0)</f>
        <v>18.288</v>
      </c>
      <c r="AT523" s="153" t="n">
        <f aca="false">IFERROR(IF($N523="VCA",INDEX(APOIO_REDES!$A:$W,MATCH($C523&amp;$I523&amp;$H523&amp;$N523&amp;$O523,APOIO_REDES!$W:$W,0),MATCH(AT$5,APOIO_REDES!$5:$5,0)),0)*$AP523,0)</f>
        <v>0.337158611979817</v>
      </c>
      <c r="AU523" s="153" t="n">
        <f aca="false">IFERROR(IF($N523="VCA",INDEX(APOIO_REDES!$A:$W,MATCH($C523&amp;$I523&amp;$H523&amp;$N523&amp;$O523,APOIO_REDES!$W:$W,0),MATCH(AU$5,APOIO_REDES!$5:$5,0)),0)*$AP523,0)</f>
        <v>0.269245736113819</v>
      </c>
      <c r="AV523" s="153" t="n">
        <f aca="false">IFERROR(IF($N523="VCA",INDEX(APOIO_REDES!$A:$W,MATCH($C523&amp;$I523&amp;$H523&amp;$N523&amp;$O523,APOIO_REDES!$W:$W,0),MATCH(AV$5,APOIO_REDES!$5:$5,0)),0)*$AP523,0)</f>
        <v>0.0372614962162515</v>
      </c>
      <c r="AW523" s="153" t="n">
        <f aca="false">IFERROR(IF($N523="VCA",INDEX(APOIO_REDES!$A:$W,MATCH($C523&amp;$I523&amp;$H523&amp;$N523&amp;$O523,APOIO_REDES!$W:$W,0),MATCH(AW$5,APOIO_REDES!$5:$5,0)),0)*$AP523,0)</f>
        <v>21.2704033067406</v>
      </c>
      <c r="AX523" s="153" t="n">
        <f aca="false">IFERROR(IF($N523="VCA",INDEX(APOIO_REDES!$A:$W,MATCH($C523&amp;$I523&amp;$H523&amp;$N523&amp;$O523,APOIO_REDES!$W:$W,0),MATCH(AX$5,APOIO_REDES!$5:$5,0)),0)*$AP523,0)</f>
        <v>2.94376322776218</v>
      </c>
      <c r="AY523" s="153" t="n">
        <f aca="false">IFERROR(IF($N523="VCA",INDEX(APOIO_REDES!$A:$W,MATCH($C523&amp;$I523&amp;$H523&amp;$N523&amp;$O523,APOIO_REDES!$W:$W,0),MATCH(AY$5,APOIO_REDES!$5:$5,0)),0)*$AP523,0)</f>
        <v>5.38491144019269</v>
      </c>
      <c r="AZ523" s="153" t="n">
        <f aca="false">IFERROR(IF($N523="VCA",INDEX(APOIO_REDES!$A:$W,MATCH($C523&amp;$I523&amp;$H523&amp;$N523&amp;$O523,APOIO_REDES!$W:$W,0),MATCH(AZ$5,APOIO_REDES!$5:$5,0)),0)*$AP523,0)</f>
        <v>0.745256180994609</v>
      </c>
      <c r="BA523" s="153" t="n">
        <f aca="false">IFERROR(IF(AND($N523="VCA",$Q523="LINEAR"),INDEX(APOIO_REDES!$A:$W,MATCH($C523&amp;$I523&amp;$H523&amp;$N523&amp;$O523,APOIO_REDES!$W:$W,0),MATCH(BA$5,APOIO_REDES!$5:$5,0)),IF(AND($N523="MND",$Q523="EMBOQUE"),INDEX(APOIO_REDES!$A:$W,MATCH($C523&amp;$I523&amp;$H523&amp;$N523&amp;$O523,APOIO_REDES!$W:$W,0),MATCH(BA$5,APOIO_REDES!$5:$5,0)),0))*$M523/10,0)</f>
        <v>2.04717593052642</v>
      </c>
      <c r="BB523" s="153" t="n">
        <f aca="false">IFERROR(IF($N523="VCA",INDEX(APOIO_REDES!$A:$W,MATCH($C523&amp;$I523&amp;$H523&amp;$N523&amp;$O523,APOIO_REDES!$W:$W,0),MATCH(BB$5,APOIO_REDES!$5:$5,0)),0)*($AI523+$AQ523+$AR523),0)</f>
        <v>12.5618202409919</v>
      </c>
      <c r="BC523" s="153" t="n">
        <f aca="false">IFERROR(IF($N523="VCA",INDEX(APOIO_REDES!$A:$W,MATCH($C523&amp;$I523&amp;$H523&amp;$N523&amp;$O523,APOIO_REDES!$W:$W,0),MATCH(BC$5,APOIO_REDES!$5:$5,0)),0)*($AI523+$AQ523+$AR523),0)</f>
        <v>0.138179759008122</v>
      </c>
      <c r="BD523" s="153" t="n">
        <f aca="false">IF(AND($N523="VCA",$AF523&gt;=1.25,$AF523&lt;1.5),$M523*$AF523*2,0)</f>
        <v>0</v>
      </c>
      <c r="BE523" s="153" t="n">
        <f aca="false">IF(AND($N523="VCA",$AF523&gt;=1.5,$AF523&lt;3),$M523*$AF523*2,0)</f>
        <v>77.47</v>
      </c>
      <c r="BF523" s="153" t="n">
        <f aca="false">IF(AND($N523="VCA",$AF523&gt;=3),$M523*$AF523*2,0)</f>
        <v>0</v>
      </c>
      <c r="BG523" s="153" t="n">
        <f aca="false">($BB523+$BC523)*$AK523</f>
        <v>44.45</v>
      </c>
      <c r="BH523" s="153" t="n">
        <f aca="false">IF(AND($M523&lt;&gt;"",$N523="VCA",$Q523="LINEAR"),($M523*2)/100,IF(AND($M523&lt;&gt;"",$N523="MND",$Q523="EMBOQUE"),($AN523*2)/100,0))</f>
        <v>0.508</v>
      </c>
      <c r="BI523" s="153" t="n">
        <f aca="false">IF(AND($M523&lt;&gt;"",$N523="VCA",$Q523="LINEAR"),$M523,IF(AND($M523&lt;&gt;"",$N523="MND",$Q523="EMBOQUE"),$AN523*2,0))</f>
        <v>25.4</v>
      </c>
      <c r="BJ523" s="153" t="n">
        <f aca="false">IF(AND($M523&lt;&gt;"",$N523="VCA",$Q523="LINEAR"),($M523*6.8)/100,IF(AND($M523&lt;&gt;"",$N523="MND",$Q523="EMBOQUE"),($AN523*2*6.8)/100,0))</f>
        <v>1.7272</v>
      </c>
      <c r="BK523" s="153" t="n">
        <f aca="false">IF(AND($M523&lt;&gt;"",$N523="VCA",$Q523="LINEAR"),($M523*2.5)/50,IF(AND($M523&lt;&gt;"",$N523="MND",$Q523="EMBOQUE"),($AN523*2*2.5)/50,0))</f>
        <v>1.27</v>
      </c>
      <c r="BL523" s="157" t="str">
        <f aca="false">K523&amp;J523</f>
        <v>Zona05REDES</v>
      </c>
      <c r="BM523" s="152" t="s">
        <v>3356</v>
      </c>
      <c r="BN523" s="152" t="s">
        <v>1560</v>
      </c>
      <c r="BO523" s="152" t="s">
        <v>2800</v>
      </c>
      <c r="BP523" s="152" t="s">
        <v>3530</v>
      </c>
      <c r="BQ523" s="152" t="s">
        <v>3522</v>
      </c>
      <c r="BR523" s="152" t="s">
        <v>3531</v>
      </c>
      <c r="BS523" s="152" t="n">
        <v>203428.58</v>
      </c>
      <c r="BT523" s="152" t="n">
        <v>8237639.173</v>
      </c>
      <c r="BU523" s="152" t="n">
        <v>203403.411</v>
      </c>
      <c r="BV523" s="152" t="n">
        <v>8237642.596</v>
      </c>
      <c r="BW523" s="152" t="n">
        <v>-15.9227565</v>
      </c>
      <c r="BX523" s="152" t="n">
        <v>-47.7700462</v>
      </c>
      <c r="BY523" s="152" t="s">
        <v>3530</v>
      </c>
    </row>
    <row r="524" customFormat="false" ht="13.8" hidden="false" customHeight="false" outlineLevel="0" collapsed="false">
      <c r="A524" s="149" t="n">
        <f aca="false">IF(C524&lt;&gt;"",ROW(A519),"")</f>
        <v>519</v>
      </c>
      <c r="B524" s="150" t="str">
        <f aca="false">HYPERLINK("https://www.google.com/maps/dir/-15.917302,-47.760003/-15.9228120,-47.7697016/data=!4m3!4m2!3e0!5i2")</f>
        <v>https://www.google.com/maps/dir/-15.917302,-47.760003/-15.9228120,-47.7697016/data=!4m3!4m2!3e0!5i2</v>
      </c>
      <c r="C524" s="151" t="s">
        <v>117</v>
      </c>
      <c r="D524" s="152" t="s">
        <v>112</v>
      </c>
      <c r="E524" s="152" t="s">
        <v>113</v>
      </c>
      <c r="F524" s="152" t="s">
        <v>117</v>
      </c>
      <c r="G524" s="152" t="s">
        <v>114</v>
      </c>
      <c r="H524" s="152" t="n">
        <v>225</v>
      </c>
      <c r="I524" s="152" t="s">
        <v>115</v>
      </c>
      <c r="J524" s="152" t="s">
        <v>6</v>
      </c>
      <c r="K524" s="152" t="s">
        <v>3352</v>
      </c>
      <c r="L524" s="152" t="s">
        <v>120</v>
      </c>
      <c r="M524" s="153" t="n">
        <f aca="false">24.74</f>
        <v>24.74</v>
      </c>
      <c r="N524" s="152" t="s">
        <v>1548</v>
      </c>
      <c r="O524" s="152" t="s">
        <v>1549</v>
      </c>
      <c r="P524" s="152" t="s">
        <v>1550</v>
      </c>
      <c r="Q524" s="152" t="s">
        <v>1551</v>
      </c>
      <c r="R524" s="154" t="s">
        <v>3532</v>
      </c>
      <c r="S524" s="154" t="s">
        <v>1593</v>
      </c>
      <c r="T524" s="155" t="s">
        <v>2797</v>
      </c>
      <c r="U524" s="152" t="str">
        <f aca="false">RIGHT(T524,7)</f>
        <v>009/037</v>
      </c>
      <c r="V524" s="152" t="s">
        <v>1555</v>
      </c>
      <c r="W524" s="156" t="n">
        <v>45882</v>
      </c>
      <c r="X524" s="152" t="s">
        <v>1594</v>
      </c>
      <c r="Y524" s="152" t="s">
        <v>2834</v>
      </c>
      <c r="Z524" s="152" t="s">
        <v>1557</v>
      </c>
      <c r="AA524" s="153" t="n">
        <v>3.5</v>
      </c>
      <c r="AB524" s="151" t="s">
        <v>3533</v>
      </c>
      <c r="AC524" s="151" t="s">
        <v>508</v>
      </c>
      <c r="AD524" s="151" t="str">
        <f aca="false">CONCATENATE($C524,$I524,$H524,$N524,$J524,$K524)</f>
        <v>TUBO PEADPEAD225VCAREDESZona05</v>
      </c>
      <c r="AE524" s="153" t="n">
        <f aca="false">IFERROR(INDEX(APOIO_REDES!$A:$W,MATCH($C524&amp;$I524&amp;$H524&amp;$N524&amp;$O524,APOIO_REDES!$W:$W,0),MATCH(AE$5,APOIO_REDES!$5:$5,0)),0)</f>
        <v>1.2</v>
      </c>
      <c r="AF524" s="153" t="n">
        <f aca="false">IFERROR(INDEX(APOIO_REDES!$A:$W,MATCH($C524&amp;$I524&amp;$H524&amp;$N524&amp;$O524,APOIO_REDES!$W:$W,0),MATCH(AF$5,APOIO_REDES!$5:$5,0)),0)</f>
        <v>1.525</v>
      </c>
      <c r="AG524" s="153" t="n">
        <f aca="false">IFERROR(INDEX(APOIO_REDES!$A:$W,MATCH($C524&amp;$I524&amp;$H524&amp;$N524&amp;$O524,APOIO_REDES!$W:$W,0),MATCH(AG$5,APOIO_REDES!$5:$5,0)),0)</f>
        <v>0.8</v>
      </c>
      <c r="AH524" s="153" t="n">
        <f aca="false">IFERROR(INDEX(APOIO_REDES!$A:$W,MATCH($C524&amp;$I524&amp;$H524&amp;$N524&amp;$O524,APOIO_REDES!$W:$W,0),MATCH(AH$5,APOIO_REDES!$5:$5,0)),0)</f>
        <v>0.1</v>
      </c>
      <c r="AI524" s="153" t="n">
        <f aca="false">IFERROR(IF($H524&lt;&gt;"",(((($H524/1000)/2)^2)*PI()*$M524),0),0)</f>
        <v>0.983681747224177</v>
      </c>
      <c r="AJ524" s="153" t="n">
        <f aca="false">IFERROR(IF(AND($H524&lt;&gt;"",$I524="FoFo",OR($N524="MND",$N524="VCA"),$Q524="LINEAR"),0,IF(AND($H524&lt;&gt;"",$I524="PEAD",$N524="VCA",$Q524="LINEAR"),($H524/1000)+0.3,IF(AND($H524&lt;&gt;"",$I524="PEAD",$N524="MND",$Q524="EMBOQUE"),0,IF(AND($H524&lt;&gt;"",$I524="PVC",$N524="VCA",$Q524="LINEAR"),($H524/1000)+0.2,IF(AND($H524&lt;&gt;"",$I524="PVC",$N524="MND",$Q524="EMBOQUE"),0,IF(AND($H524&lt;&gt;"",$I524="PEAD",$N524="VCA",$Q524="PREDIAL"),0,0)))))),0)</f>
        <v>0.525</v>
      </c>
      <c r="AK524" s="153" t="n">
        <f aca="false">IF(AA524&lt;&gt;"",AA524,0)</f>
        <v>3.5</v>
      </c>
      <c r="AL524" s="153" t="n">
        <f aca="false">IF(AND($N524="MND",$Q524="EMBOQUE"),$M524,IF(AND($N524="VCA",$Q524="LINEAR"),$M524,IF(AND($N524="VCA",$Q524="PREDIAL"),0,0)))</f>
        <v>24.74</v>
      </c>
      <c r="AM524" s="153" t="n">
        <f aca="false">IF(AND($N524="MND",$Q524="EMBOQUE"),$M524,IF(AND($N524="VCA",$Q524="LINEAR"),$M524,IF(AND($N524="VCA",$Q524="PREDIAL"),0,0)))</f>
        <v>24.74</v>
      </c>
      <c r="AN524" s="153" t="n">
        <f aca="false">ROUND(IF(AND($N524="VCA",$M524&lt;&gt;"",$Q524="LINEAR"),$M524/100,IF(AND($N524="MND",$M524&gt;100,$Q524="EMBOQUE"),$M524/100,0)),0)</f>
        <v>0</v>
      </c>
      <c r="AO524" s="153" t="n">
        <f aca="false">IF(AND($N524="MND",$Q524="EMBOQUE"),$AN524*2*2,IF(AND($N524="VCA",$Q524="LINEAR"),$M524*2,IF(AND($N524="VCA",$Q524="PREDIAL"),0,0)))</f>
        <v>49.48</v>
      </c>
      <c r="AP524" s="153" t="n">
        <f aca="false">IFERROR($M524*$AF524*$AG524,0)</f>
        <v>30.1828</v>
      </c>
      <c r="AQ524" s="153" t="n">
        <f aca="false">IFERROR(IF(AND($N524="VCA",$AH524&gt;0),$M524*$AG524*$AH524,0),0)</f>
        <v>1.9792</v>
      </c>
      <c r="AR524" s="153" t="n">
        <f aca="false">IFERROR(IF(AND($N524="VCA",$AJ524&gt;0),($M524*$AG524*$AJ524)-$AI524,0),0)</f>
        <v>9.40711825277582</v>
      </c>
      <c r="AS524" s="153" t="n">
        <f aca="false">IFERROR(IF(AND($N524="VCA",$AP524&gt;0),$AP524-$AI524-$AQ524-$AR524,0),0)</f>
        <v>17.8128</v>
      </c>
      <c r="AT524" s="153" t="n">
        <f aca="false">IFERROR(IF($N524="VCA",INDEX(APOIO_REDES!$A:$W,MATCH($C524&amp;$I524&amp;$H524&amp;$N524&amp;$O524,APOIO_REDES!$W:$W,0),MATCH(AT$5,APOIO_REDES!$5:$5,0)),0)*$AP524,0)</f>
        <v>0.328397797652783</v>
      </c>
      <c r="AU524" s="153" t="n">
        <f aca="false">IFERROR(IF($N524="VCA",INDEX(APOIO_REDES!$A:$W,MATCH($C524&amp;$I524&amp;$H524&amp;$N524&amp;$O524,APOIO_REDES!$W:$W,0),MATCH(AU$5,APOIO_REDES!$5:$5,0)),0)*$AP524,0)</f>
        <v>0.262249587065193</v>
      </c>
      <c r="AV524" s="153" t="n">
        <f aca="false">IFERROR(IF($N524="VCA",INDEX(APOIO_REDES!$A:$W,MATCH($C524&amp;$I524&amp;$H524&amp;$N524&amp;$O524,APOIO_REDES!$W:$W,0),MATCH(AV$5,APOIO_REDES!$5:$5,0)),0)*$AP524,0)</f>
        <v>0.036293284109845</v>
      </c>
      <c r="AW524" s="153" t="n">
        <f aca="false">IFERROR(IF($N524="VCA",INDEX(APOIO_REDES!$A:$W,MATCH($C524&amp;$I524&amp;$H524&amp;$N524&amp;$O524,APOIO_REDES!$W:$W,0),MATCH(AW$5,APOIO_REDES!$5:$5,0)),0)*$AP524,0)</f>
        <v>20.7177077877466</v>
      </c>
      <c r="AX524" s="153" t="n">
        <f aca="false">IFERROR(IF($N524="VCA",INDEX(APOIO_REDES!$A:$W,MATCH($C524&amp;$I524&amp;$H524&amp;$N524&amp;$O524,APOIO_REDES!$W:$W,0),MATCH(AX$5,APOIO_REDES!$5:$5,0)),0)*$AP524,0)</f>
        <v>2.86727174231639</v>
      </c>
      <c r="AY524" s="153" t="n">
        <f aca="false">IFERROR(IF($N524="VCA",INDEX(APOIO_REDES!$A:$W,MATCH($C524&amp;$I524&amp;$H524&amp;$N524&amp;$O524,APOIO_REDES!$W:$W,0),MATCH(AY$5,APOIO_REDES!$5:$5,0)),0)*$AP524,0)</f>
        <v>5.24498854450264</v>
      </c>
      <c r="AZ524" s="153" t="n">
        <f aca="false">IFERROR(IF($N524="VCA",INDEX(APOIO_REDES!$A:$W,MATCH($C524&amp;$I524&amp;$H524&amp;$N524&amp;$O524,APOIO_REDES!$W:$W,0),MATCH(AZ$5,APOIO_REDES!$5:$5,0)),0)*$AP524,0)</f>
        <v>0.72589125660656</v>
      </c>
      <c r="BA524" s="153" t="n">
        <f aca="false">IFERROR(IF(AND($N524="VCA",$Q524="LINEAR"),INDEX(APOIO_REDES!$A:$W,MATCH($C524&amp;$I524&amp;$H524&amp;$N524&amp;$O524,APOIO_REDES!$W:$W,0),MATCH(BA$5,APOIO_REDES!$5:$5,0)),IF(AND($N524="MND",$Q524="EMBOQUE"),INDEX(APOIO_REDES!$A:$W,MATCH($C524&amp;$I524&amp;$H524&amp;$N524&amp;$O524,APOIO_REDES!$W:$W,0),MATCH(BA$5,APOIO_REDES!$5:$5,0)),0))*$M524/10,0)</f>
        <v>1.99398159532376</v>
      </c>
      <c r="BB524" s="153" t="n">
        <f aca="false">IFERROR(IF($N524="VCA",INDEX(APOIO_REDES!$A:$W,MATCH($C524&amp;$I524&amp;$H524&amp;$N524&amp;$O524,APOIO_REDES!$W:$W,0),MATCH(BB$5,APOIO_REDES!$5:$5,0)),0)*($AI524+$AQ524+$AR524),0)</f>
        <v>12.2354107386669</v>
      </c>
      <c r="BC524" s="153" t="n">
        <f aca="false">IFERROR(IF($N524="VCA",INDEX(APOIO_REDES!$A:$W,MATCH($C524&amp;$I524&amp;$H524&amp;$N524&amp;$O524,APOIO_REDES!$W:$W,0),MATCH(BC$5,APOIO_REDES!$5:$5,0)),0)*($AI524+$AQ524+$AR524),0)</f>
        <v>0.134589261333108</v>
      </c>
      <c r="BD524" s="153" t="n">
        <f aca="false">IF(AND($N524="VCA",$AF524&gt;=1.25,$AF524&lt;1.5),$M524*$AF524*2,0)</f>
        <v>0</v>
      </c>
      <c r="BE524" s="153" t="n">
        <f aca="false">IF(AND($N524="VCA",$AF524&gt;=1.5,$AF524&lt;3),$M524*$AF524*2,0)</f>
        <v>75.457</v>
      </c>
      <c r="BF524" s="153" t="n">
        <f aca="false">IF(AND($N524="VCA",$AF524&gt;=3),$M524*$AF524*2,0)</f>
        <v>0</v>
      </c>
      <c r="BG524" s="153" t="n">
        <f aca="false">($BB524+$BC524)*$AK524</f>
        <v>43.295</v>
      </c>
      <c r="BH524" s="153" t="n">
        <f aca="false">IF(AND($M524&lt;&gt;"",$N524="VCA",$Q524="LINEAR"),($M524*2)/100,IF(AND($M524&lt;&gt;"",$N524="MND",$Q524="EMBOQUE"),($AN524*2)/100,0))</f>
        <v>0.4948</v>
      </c>
      <c r="BI524" s="153" t="n">
        <f aca="false">IF(AND($M524&lt;&gt;"",$N524="VCA",$Q524="LINEAR"),$M524,IF(AND($M524&lt;&gt;"",$N524="MND",$Q524="EMBOQUE"),$AN524*2,0))</f>
        <v>24.74</v>
      </c>
      <c r="BJ524" s="153" t="n">
        <f aca="false">IF(AND($M524&lt;&gt;"",$N524="VCA",$Q524="LINEAR"),($M524*6.8)/100,IF(AND($M524&lt;&gt;"",$N524="MND",$Q524="EMBOQUE"),($AN524*2*6.8)/100,0))</f>
        <v>1.68232</v>
      </c>
      <c r="BK524" s="153" t="n">
        <f aca="false">IF(AND($M524&lt;&gt;"",$N524="VCA",$Q524="LINEAR"),($M524*2.5)/50,IF(AND($M524&lt;&gt;"",$N524="MND",$Q524="EMBOQUE"),($AN524*2*2.5)/50,0))</f>
        <v>1.237</v>
      </c>
      <c r="BL524" s="157" t="str">
        <f aca="false">K524&amp;J524</f>
        <v>Zona05REDES</v>
      </c>
      <c r="BM524" s="152" t="s">
        <v>3356</v>
      </c>
      <c r="BN524" s="152" t="s">
        <v>1560</v>
      </c>
      <c r="BO524" s="152" t="s">
        <v>2800</v>
      </c>
      <c r="BP524" s="152" t="s">
        <v>3534</v>
      </c>
      <c r="BQ524" s="152" t="s">
        <v>3530</v>
      </c>
      <c r="BR524" s="152" t="s">
        <v>3531</v>
      </c>
      <c r="BS524" s="152" t="n">
        <v>203452.996</v>
      </c>
      <c r="BT524" s="152" t="n">
        <v>8237635.221</v>
      </c>
      <c r="BU524" s="152" t="n">
        <v>203428.58</v>
      </c>
      <c r="BV524" s="152" t="n">
        <v>8237639.173</v>
      </c>
      <c r="BW524" s="152" t="n">
        <v>-15.9227906</v>
      </c>
      <c r="BX524" s="152" t="n">
        <v>-47.7698149</v>
      </c>
      <c r="BY524" s="152" t="s">
        <v>3534</v>
      </c>
    </row>
    <row r="525" customFormat="false" ht="13.8" hidden="false" customHeight="false" outlineLevel="0" collapsed="false">
      <c r="A525" s="149" t="n">
        <f aca="false">IF(C525&lt;&gt;"",ROW(A520),"")</f>
        <v>520</v>
      </c>
      <c r="B525" s="150" t="str">
        <f aca="false">HYPERLINK("https://www.google.com/maps/dir/-15.917302,-47.760003/-15.9230123,-47.7716332/data=!4m3!4m2!3e0!5i0")</f>
        <v>https://www.google.com/maps/dir/-15.917302,-47.760003/-15.9230123,-47.7716332/data=!4m3!4m2!3e0!5i0</v>
      </c>
      <c r="C525" s="151" t="s">
        <v>117</v>
      </c>
      <c r="D525" s="152" t="s">
        <v>112</v>
      </c>
      <c r="E525" s="152" t="s">
        <v>113</v>
      </c>
      <c r="F525" s="152" t="s">
        <v>117</v>
      </c>
      <c r="G525" s="152" t="s">
        <v>782</v>
      </c>
      <c r="H525" s="152" t="n">
        <v>63</v>
      </c>
      <c r="I525" s="152" t="s">
        <v>115</v>
      </c>
      <c r="J525" s="152" t="s">
        <v>6</v>
      </c>
      <c r="K525" s="152" t="s">
        <v>3352</v>
      </c>
      <c r="L525" s="152" t="s">
        <v>120</v>
      </c>
      <c r="M525" s="153" t="n">
        <f aca="false">55.16</f>
        <v>55.16</v>
      </c>
      <c r="N525" s="152" t="s">
        <v>1548</v>
      </c>
      <c r="O525" s="152" t="s">
        <v>1549</v>
      </c>
      <c r="P525" s="152" t="s">
        <v>1550</v>
      </c>
      <c r="Q525" s="152" t="s">
        <v>1551</v>
      </c>
      <c r="R525" s="154" t="s">
        <v>3535</v>
      </c>
      <c r="S525" s="154" t="s">
        <v>1553</v>
      </c>
      <c r="T525" s="155" t="s">
        <v>2797</v>
      </c>
      <c r="U525" s="152" t="str">
        <f aca="false">RIGHT(T525,7)</f>
        <v>009/037</v>
      </c>
      <c r="V525" s="152" t="s">
        <v>1555</v>
      </c>
      <c r="W525" s="156" t="n">
        <v>45882</v>
      </c>
      <c r="X525" s="152" t="s">
        <v>1594</v>
      </c>
      <c r="Y525" s="152" t="s">
        <v>3499</v>
      </c>
      <c r="Z525" s="152" t="s">
        <v>1557</v>
      </c>
      <c r="AA525" s="153" t="n">
        <v>3.4</v>
      </c>
      <c r="AB525" s="151" t="s">
        <v>3536</v>
      </c>
      <c r="AC525" s="151" t="s">
        <v>186</v>
      </c>
      <c r="AD525" s="151" t="str">
        <f aca="false">CONCATENATE($C525,$I525,$H525,$N525,$J525,$K525)</f>
        <v>TUBO PEADPEAD63VCAREDESZona05</v>
      </c>
      <c r="AE525" s="153" t="n">
        <f aca="false">IFERROR(INDEX(APOIO_REDES!$A:$W,MATCH($C525&amp;$I525&amp;$H525&amp;$N525&amp;$O525,APOIO_REDES!$W:$W,0),MATCH(AE$5,APOIO_REDES!$5:$5,0)),0)</f>
        <v>1.2</v>
      </c>
      <c r="AF525" s="153" t="n">
        <f aca="false">IFERROR(INDEX(APOIO_REDES!$A:$W,MATCH($C525&amp;$I525&amp;$H525&amp;$N525&amp;$O525,APOIO_REDES!$W:$W,0),MATCH(AF$5,APOIO_REDES!$5:$5,0)),0)</f>
        <v>1.363</v>
      </c>
      <c r="AG525" s="153" t="n">
        <f aca="false">IFERROR(INDEX(APOIO_REDES!$A:$W,MATCH($C525&amp;$I525&amp;$H525&amp;$N525&amp;$O525,APOIO_REDES!$W:$W,0),MATCH(AG$5,APOIO_REDES!$5:$5,0)),0)</f>
        <v>0.65</v>
      </c>
      <c r="AH525" s="153" t="n">
        <f aca="false">IFERROR(INDEX(APOIO_REDES!$A:$W,MATCH($C525&amp;$I525&amp;$H525&amp;$N525&amp;$O525,APOIO_REDES!$W:$W,0),MATCH(AH$5,APOIO_REDES!$5:$5,0)),0)</f>
        <v>0.1</v>
      </c>
      <c r="AI525" s="153" t="n">
        <f aca="false">IFERROR(IF($H525&lt;&gt;"",(((($H525/1000)/2)^2)*PI()*$M525),0),0)</f>
        <v>0.17194725132853</v>
      </c>
      <c r="AJ525" s="153" t="n">
        <f aca="false">IFERROR(IF(AND($H525&lt;&gt;"",$I525="FoFo",OR($N525="MND",$N525="VCA"),$Q525="LINEAR"),0,IF(AND($H525&lt;&gt;"",$I525="PEAD",$N525="VCA",$Q525="LINEAR"),($H525/1000)+0.3,IF(AND($H525&lt;&gt;"",$I525="PEAD",$N525="MND",$Q525="EMBOQUE"),0,IF(AND($H525&lt;&gt;"",$I525="PVC",$N525="VCA",$Q525="LINEAR"),($H525/1000)+0.2,IF(AND($H525&lt;&gt;"",$I525="PVC",$N525="MND",$Q525="EMBOQUE"),0,IF(AND($H525&lt;&gt;"",$I525="PEAD",$N525="VCA",$Q525="PREDIAL"),0,0)))))),0)</f>
        <v>0.363</v>
      </c>
      <c r="AK525" s="153" t="n">
        <f aca="false">IF(AA525&lt;&gt;"",AA525,0)</f>
        <v>3.4</v>
      </c>
      <c r="AL525" s="153" t="n">
        <f aca="false">IF(AND($N525="MND",$Q525="EMBOQUE"),$M525,IF(AND($N525="VCA",$Q525="LINEAR"),$M525,IF(AND($N525="VCA",$Q525="PREDIAL"),0,0)))</f>
        <v>55.16</v>
      </c>
      <c r="AM525" s="153" t="n">
        <f aca="false">IF(AND($N525="MND",$Q525="EMBOQUE"),$M525,IF(AND($N525="VCA",$Q525="LINEAR"),$M525,IF(AND($N525="VCA",$Q525="PREDIAL"),0,0)))</f>
        <v>55.16</v>
      </c>
      <c r="AN525" s="153" t="n">
        <f aca="false">ROUND(IF(AND($N525="VCA",$M525&lt;&gt;"",$Q525="LINEAR"),$M525/100,IF(AND($N525="MND",$M525&gt;100,$Q525="EMBOQUE"),$M525/100,0)),0)</f>
        <v>1</v>
      </c>
      <c r="AO525" s="153" t="n">
        <f aca="false">IF(AND($N525="MND",$Q525="EMBOQUE"),$AN525*2*2,IF(AND($N525="VCA",$Q525="LINEAR"),$M525*2,IF(AND($N525="VCA",$Q525="PREDIAL"),0,0)))</f>
        <v>110.32</v>
      </c>
      <c r="AP525" s="153" t="n">
        <f aca="false">IFERROR($M525*$AF525*$AG525,0)</f>
        <v>48.869002</v>
      </c>
      <c r="AQ525" s="153" t="n">
        <f aca="false">IFERROR(IF(AND($N525="VCA",$AH525&gt;0),$M525*$AG525*$AH525,0),0)</f>
        <v>3.5854</v>
      </c>
      <c r="AR525" s="153" t="n">
        <f aca="false">IFERROR(IF(AND($N525="VCA",$AJ525&gt;0),($M525*$AG525*$AJ525)-$AI525,0),0)</f>
        <v>12.8430547486715</v>
      </c>
      <c r="AS525" s="153" t="n">
        <f aca="false">IFERROR(IF(AND($N525="VCA",$AP525&gt;0),$AP525-$AI525-$AQ525-$AR525,0),0)</f>
        <v>32.2686</v>
      </c>
      <c r="AT525" s="153" t="n">
        <f aca="false">IFERROR(IF($N525="VCA",INDEX(APOIO_REDES!$A:$W,MATCH($C525&amp;$I525&amp;$H525&amp;$N525&amp;$O525,APOIO_REDES!$W:$W,0),MATCH(AT$5,APOIO_REDES!$5:$5,0)),0)*$AP525,0)</f>
        <v>0.531709206246254</v>
      </c>
      <c r="AU525" s="153" t="n">
        <f aca="false">IFERROR(IF($N525="VCA",INDEX(APOIO_REDES!$A:$W,MATCH($C525&amp;$I525&amp;$H525&amp;$N525&amp;$O525,APOIO_REDES!$W:$W,0),MATCH(AU$5,APOIO_REDES!$5:$5,0)),0)*$AP525,0)</f>
        <v>0.424608571596673</v>
      </c>
      <c r="AV525" s="153" t="n">
        <f aca="false">IFERROR(IF($N525="VCA",INDEX(APOIO_REDES!$A:$W,MATCH($C525&amp;$I525&amp;$H525&amp;$N525&amp;$O525,APOIO_REDES!$W:$W,0),MATCH(AV$5,APOIO_REDES!$5:$5,0)),0)*$AP525,0)</f>
        <v>0.0587624930009999</v>
      </c>
      <c r="AW525" s="153" t="n">
        <f aca="false">IFERROR(IF($N525="VCA",INDEX(APOIO_REDES!$A:$W,MATCH($C525&amp;$I525&amp;$H525&amp;$N525&amp;$O525,APOIO_REDES!$W:$W,0),MATCH(AW$5,APOIO_REDES!$5:$5,0)),0)*$AP525,0)</f>
        <v>33.544061628305</v>
      </c>
      <c r="AX525" s="153" t="n">
        <f aca="false">IFERROR(IF($N525="VCA",INDEX(APOIO_REDES!$A:$W,MATCH($C525&amp;$I525&amp;$H525&amp;$N525&amp;$O525,APOIO_REDES!$W:$W,0),MATCH(AX$5,APOIO_REDES!$5:$5,0)),0)*$AP525,0)</f>
        <v>4.64240257728916</v>
      </c>
      <c r="AY525" s="153" t="n">
        <f aca="false">IFERROR(IF($N525="VCA",INDEX(APOIO_REDES!$A:$W,MATCH($C525&amp;$I525&amp;$H525&amp;$N525&amp;$O525,APOIO_REDES!$W:$W,0),MATCH(AY$5,APOIO_REDES!$5:$5,0)),0)*$AP525,0)</f>
        <v>8.49216625598939</v>
      </c>
      <c r="AZ525" s="153" t="n">
        <f aca="false">IFERROR(IF($N525="VCA",INDEX(APOIO_REDES!$A:$W,MATCH($C525&amp;$I525&amp;$H525&amp;$N525&amp;$O525,APOIO_REDES!$W:$W,0),MATCH(AZ$5,APOIO_REDES!$5:$5,0)),0)*$AP525,0)</f>
        <v>1.17529126757254</v>
      </c>
      <c r="BA525" s="153" t="n">
        <f aca="false">IFERROR(IF(AND($N525="VCA",$Q525="LINEAR"),INDEX(APOIO_REDES!$A:$W,MATCH($C525&amp;$I525&amp;$H525&amp;$N525&amp;$O525,APOIO_REDES!$W:$W,0),MATCH(BA$5,APOIO_REDES!$5:$5,0)),IF(AND($N525="MND",$Q525="EMBOQUE"),INDEX(APOIO_REDES!$A:$W,MATCH($C525&amp;$I525&amp;$H525&amp;$N525&amp;$O525,APOIO_REDES!$W:$W,0),MATCH(BA$5,APOIO_REDES!$5:$5,0)),0))*$M525/10,0)</f>
        <v>4.44575686330068</v>
      </c>
      <c r="BB525" s="153" t="n">
        <f aca="false">IFERROR(IF($N525="VCA",INDEX(APOIO_REDES!$A:$W,MATCH($C525&amp;$I525&amp;$H525&amp;$N525&amp;$O525,APOIO_REDES!$W:$W,0),MATCH(BB$5,APOIO_REDES!$5:$5,0)),0)*($AI525+$AQ525+$AR525),0)</f>
        <v>16.4197847127718</v>
      </c>
      <c r="BC525" s="153" t="n">
        <f aca="false">IFERROR(IF($N525="VCA",INDEX(APOIO_REDES!$A:$W,MATCH($C525&amp;$I525&amp;$H525&amp;$N525&amp;$O525,APOIO_REDES!$W:$W,0),MATCH(BC$5,APOIO_REDES!$5:$5,0)),0)*($AI525+$AQ525+$AR525),0)</f>
        <v>0.180617287228185</v>
      </c>
      <c r="BD525" s="153" t="n">
        <f aca="false">IF(AND($N525="VCA",$AF525&gt;=1.25,$AF525&lt;1.5),$M525*$AF525*2,0)</f>
        <v>150.36616</v>
      </c>
      <c r="BE525" s="153" t="n">
        <f aca="false">IF(AND($N525="VCA",$AF525&gt;=1.5,$AF525&lt;3),$M525*$AF525*2,0)</f>
        <v>0</v>
      </c>
      <c r="BF525" s="153" t="n">
        <f aca="false">IF(AND($N525="VCA",$AF525&gt;=3),$M525*$AF525*2,0)</f>
        <v>0</v>
      </c>
      <c r="BG525" s="153" t="n">
        <f aca="false">($BB525+$BC525)*$AK525</f>
        <v>56.4413668</v>
      </c>
      <c r="BH525" s="153" t="n">
        <f aca="false">IF(AND($M525&lt;&gt;"",$N525="VCA",$Q525="LINEAR"),($M525*2)/100,IF(AND($M525&lt;&gt;"",$N525="MND",$Q525="EMBOQUE"),($AN525*2)/100,0))</f>
        <v>1.1032</v>
      </c>
      <c r="BI525" s="153" t="n">
        <f aca="false">IF(AND($M525&lt;&gt;"",$N525="VCA",$Q525="LINEAR"),$M525,IF(AND($M525&lt;&gt;"",$N525="MND",$Q525="EMBOQUE"),$AN525*2,0))</f>
        <v>55.16</v>
      </c>
      <c r="BJ525" s="153" t="n">
        <f aca="false">IF(AND($M525&lt;&gt;"",$N525="VCA",$Q525="LINEAR"),($M525*6.8)/100,IF(AND($M525&lt;&gt;"",$N525="MND",$Q525="EMBOQUE"),($AN525*2*6.8)/100,0))</f>
        <v>3.75088</v>
      </c>
      <c r="BK525" s="153" t="n">
        <f aca="false">IF(AND($M525&lt;&gt;"",$N525="VCA",$Q525="LINEAR"),($M525*2.5)/50,IF(AND($M525&lt;&gt;"",$N525="MND",$Q525="EMBOQUE"),($AN525*2*2.5)/50,0))</f>
        <v>2.758</v>
      </c>
      <c r="BL525" s="157" t="str">
        <f aca="false">K525&amp;J525</f>
        <v>Zona05REDES</v>
      </c>
      <c r="BM525" s="152" t="s">
        <v>3356</v>
      </c>
      <c r="BN525" s="152" t="s">
        <v>1560</v>
      </c>
      <c r="BO525" s="152" t="s">
        <v>2800</v>
      </c>
      <c r="BP525" s="152" t="s">
        <v>3537</v>
      </c>
      <c r="BQ525" s="152" t="s">
        <v>3501</v>
      </c>
      <c r="BR525" s="152" t="s">
        <v>3538</v>
      </c>
      <c r="BS525" s="152" t="n">
        <v>203246.335</v>
      </c>
      <c r="BT525" s="152" t="n">
        <v>8237610.291</v>
      </c>
      <c r="BU525" s="152" t="n">
        <v>203273.498</v>
      </c>
      <c r="BV525" s="152" t="n">
        <v>8237658.3</v>
      </c>
      <c r="BW525" s="152" t="n">
        <v>-15.9227976</v>
      </c>
      <c r="BX525" s="152" t="n">
        <v>-47.7715027</v>
      </c>
      <c r="BY525" s="152" t="s">
        <v>3537</v>
      </c>
    </row>
    <row r="526" customFormat="false" ht="13.8" hidden="false" customHeight="false" outlineLevel="0" collapsed="false">
      <c r="A526" s="149" t="n">
        <f aca="false">IF(C526&lt;&gt;"",ROW(A521),"")</f>
        <v>521</v>
      </c>
      <c r="B526" s="150" t="str">
        <f aca="false">HYPERLINK("https://www.google.com/maps/dir/-15.917302,-47.760003/-15.9229045,-47.7692447/data=!4m3!4m2!3e0!5i2")</f>
        <v>https://www.google.com/maps/dir/-15.917302,-47.760003/-15.9229045,-47.7692447/data=!4m3!4m2!3e0!5i2</v>
      </c>
      <c r="C526" s="151" t="s">
        <v>117</v>
      </c>
      <c r="D526" s="152" t="s">
        <v>112</v>
      </c>
      <c r="E526" s="152" t="s">
        <v>113</v>
      </c>
      <c r="F526" s="152" t="s">
        <v>117</v>
      </c>
      <c r="G526" s="152" t="s">
        <v>114</v>
      </c>
      <c r="H526" s="152" t="n">
        <v>225</v>
      </c>
      <c r="I526" s="152" t="s">
        <v>115</v>
      </c>
      <c r="J526" s="152" t="s">
        <v>6</v>
      </c>
      <c r="K526" s="152" t="s">
        <v>3352</v>
      </c>
      <c r="L526" s="152" t="s">
        <v>120</v>
      </c>
      <c r="M526" s="153" t="n">
        <f aca="false">50.01</f>
        <v>50.01</v>
      </c>
      <c r="N526" s="152" t="s">
        <v>1548</v>
      </c>
      <c r="O526" s="152" t="s">
        <v>1549</v>
      </c>
      <c r="P526" s="152" t="s">
        <v>1550</v>
      </c>
      <c r="Q526" s="152" t="s">
        <v>1551</v>
      </c>
      <c r="R526" s="154" t="s">
        <v>3539</v>
      </c>
      <c r="S526" s="154" t="s">
        <v>1593</v>
      </c>
      <c r="T526" s="155" t="s">
        <v>2797</v>
      </c>
      <c r="U526" s="152" t="str">
        <f aca="false">RIGHT(T526,7)</f>
        <v>009/037</v>
      </c>
      <c r="V526" s="152" t="s">
        <v>1555</v>
      </c>
      <c r="W526" s="156" t="n">
        <v>45882</v>
      </c>
      <c r="X526" s="152" t="s">
        <v>1594</v>
      </c>
      <c r="Y526" s="152" t="s">
        <v>3540</v>
      </c>
      <c r="Z526" s="152" t="s">
        <v>1557</v>
      </c>
      <c r="AA526" s="153" t="n">
        <v>3.6</v>
      </c>
      <c r="AB526" s="151" t="s">
        <v>3541</v>
      </c>
      <c r="AC526" s="151" t="s">
        <v>508</v>
      </c>
      <c r="AD526" s="151" t="str">
        <f aca="false">CONCATENATE($C526,$I526,$H526,$N526,$J526,$K526)</f>
        <v>TUBO PEADPEAD225VCAREDESZona05</v>
      </c>
      <c r="AE526" s="153" t="n">
        <f aca="false">IFERROR(INDEX(APOIO_REDES!$A:$W,MATCH($C526&amp;$I526&amp;$H526&amp;$N526&amp;$O526,APOIO_REDES!$W:$W,0),MATCH(AE$5,APOIO_REDES!$5:$5,0)),0)</f>
        <v>1.2</v>
      </c>
      <c r="AF526" s="153" t="n">
        <f aca="false">IFERROR(INDEX(APOIO_REDES!$A:$W,MATCH($C526&amp;$I526&amp;$H526&amp;$N526&amp;$O526,APOIO_REDES!$W:$W,0),MATCH(AF$5,APOIO_REDES!$5:$5,0)),0)</f>
        <v>1.525</v>
      </c>
      <c r="AG526" s="153" t="n">
        <f aca="false">IFERROR(INDEX(APOIO_REDES!$A:$W,MATCH($C526&amp;$I526&amp;$H526&amp;$N526&amp;$O526,APOIO_REDES!$W:$W,0),MATCH(AG$5,APOIO_REDES!$5:$5,0)),0)</f>
        <v>0.8</v>
      </c>
      <c r="AH526" s="153" t="n">
        <f aca="false">IFERROR(INDEX(APOIO_REDES!$A:$W,MATCH($C526&amp;$I526&amp;$H526&amp;$N526&amp;$O526,APOIO_REDES!$W:$W,0),MATCH(AH$5,APOIO_REDES!$5:$5,0)),0)</f>
        <v>0.1</v>
      </c>
      <c r="AI526" s="153" t="n">
        <f aca="false">IFERROR(IF($H526&lt;&gt;"",(((($H526/1000)/2)^2)*PI()*$M526),0),0)</f>
        <v>1.98843670892001</v>
      </c>
      <c r="AJ526" s="153" t="n">
        <f aca="false">IFERROR(IF(AND($H526&lt;&gt;"",$I526="FoFo",OR($N526="MND",$N526="VCA"),$Q526="LINEAR"),0,IF(AND($H526&lt;&gt;"",$I526="PEAD",$N526="VCA",$Q526="LINEAR"),($H526/1000)+0.3,IF(AND($H526&lt;&gt;"",$I526="PEAD",$N526="MND",$Q526="EMBOQUE"),0,IF(AND($H526&lt;&gt;"",$I526="PVC",$N526="VCA",$Q526="LINEAR"),($H526/1000)+0.2,IF(AND($H526&lt;&gt;"",$I526="PVC",$N526="MND",$Q526="EMBOQUE"),0,IF(AND($H526&lt;&gt;"",$I526="PEAD",$N526="VCA",$Q526="PREDIAL"),0,0)))))),0)</f>
        <v>0.525</v>
      </c>
      <c r="AK526" s="153" t="n">
        <f aca="false">IF(AA526&lt;&gt;"",AA526,0)</f>
        <v>3.6</v>
      </c>
      <c r="AL526" s="153" t="n">
        <f aca="false">IF(AND($N526="MND",$Q526="EMBOQUE"),$M526,IF(AND($N526="VCA",$Q526="LINEAR"),$M526,IF(AND($N526="VCA",$Q526="PREDIAL"),0,0)))</f>
        <v>50.01</v>
      </c>
      <c r="AM526" s="153" t="n">
        <f aca="false">IF(AND($N526="MND",$Q526="EMBOQUE"),$M526,IF(AND($N526="VCA",$Q526="LINEAR"),$M526,IF(AND($N526="VCA",$Q526="PREDIAL"),0,0)))</f>
        <v>50.01</v>
      </c>
      <c r="AN526" s="153" t="n">
        <f aca="false">ROUND(IF(AND($N526="VCA",$M526&lt;&gt;"",$Q526="LINEAR"),$M526/100,IF(AND($N526="MND",$M526&gt;100,$Q526="EMBOQUE"),$M526/100,0)),0)</f>
        <v>1</v>
      </c>
      <c r="AO526" s="153" t="n">
        <f aca="false">IF(AND($N526="MND",$Q526="EMBOQUE"),$AN526*2*2,IF(AND($N526="VCA",$Q526="LINEAR"),$M526*2,IF(AND($N526="VCA",$Q526="PREDIAL"),0,0)))</f>
        <v>100.02</v>
      </c>
      <c r="AP526" s="153" t="n">
        <f aca="false">IFERROR($M526*$AF526*$AG526,0)</f>
        <v>61.0122</v>
      </c>
      <c r="AQ526" s="153" t="n">
        <f aca="false">IFERROR(IF(AND($N526="VCA",$AH526&gt;0),$M526*$AG526*$AH526,0),0)</f>
        <v>4.0008</v>
      </c>
      <c r="AR526" s="153" t="n">
        <f aca="false">IFERROR(IF(AND($N526="VCA",$AJ526&gt;0),($M526*$AG526*$AJ526)-$AI526,0),0)</f>
        <v>19.01576329108</v>
      </c>
      <c r="AS526" s="153" t="n">
        <f aca="false">IFERROR(IF(AND($N526="VCA",$AP526&gt;0),$AP526-$AI526-$AQ526-$AR526,0),0)</f>
        <v>36.0072</v>
      </c>
      <c r="AT526" s="153" t="n">
        <f aca="false">IFERROR(IF($N526="VCA",INDEX(APOIO_REDES!$A:$W,MATCH($C526&amp;$I526&amp;$H526&amp;$N526&amp;$O526,APOIO_REDES!$W:$W,0),MATCH(AT$5,APOIO_REDES!$5:$5,0)),0)*$AP526,0)</f>
        <v>0.663830794689396</v>
      </c>
      <c r="AU526" s="153" t="n">
        <f aca="false">IFERROR(IF($N526="VCA",INDEX(APOIO_REDES!$A:$W,MATCH($C526&amp;$I526&amp;$H526&amp;$N526&amp;$O526,APOIO_REDES!$W:$W,0),MATCH(AU$5,APOIO_REDES!$5:$5,0)),0)*$AP526,0)</f>
        <v>0.530117293820949</v>
      </c>
      <c r="AV526" s="153" t="n">
        <f aca="false">IFERROR(IF($N526="VCA",INDEX(APOIO_REDES!$A:$W,MATCH($C526&amp;$I526&amp;$H526&amp;$N526&amp;$O526,APOIO_REDES!$W:$W,0),MATCH(AV$5,APOIO_REDES!$5:$5,0)),0)*$AP526,0)</f>
        <v>0.0733640718808952</v>
      </c>
      <c r="AW526" s="153" t="n">
        <f aca="false">IFERROR(IF($N526="VCA",INDEX(APOIO_REDES!$A:$W,MATCH($C526&amp;$I526&amp;$H526&amp;$N526&amp;$O526,APOIO_REDES!$W:$W,0),MATCH(AW$5,APOIO_REDES!$5:$5,0)),0)*$AP526,0)</f>
        <v>41.8792468255945</v>
      </c>
      <c r="AX526" s="153" t="n">
        <f aca="false">IFERROR(IF($N526="VCA",INDEX(APOIO_REDES!$A:$W,MATCH($C526&amp;$I526&amp;$H526&amp;$N526&amp;$O526,APOIO_REDES!$W:$W,0),MATCH(AX$5,APOIO_REDES!$5:$5,0)),0)*$AP526,0)</f>
        <v>5.79596846536956</v>
      </c>
      <c r="AY526" s="153" t="n">
        <f aca="false">IFERROR(IF($N526="VCA",INDEX(APOIO_REDES!$A:$W,MATCH($C526&amp;$I526&amp;$H526&amp;$N526&amp;$O526,APOIO_REDES!$W:$W,0),MATCH(AY$5,APOIO_REDES!$5:$5,0)),0)*$AP526,0)</f>
        <v>10.6023394143321</v>
      </c>
      <c r="AZ526" s="153" t="n">
        <f aca="false">IFERROR(IF($N526="VCA",INDEX(APOIO_REDES!$A:$W,MATCH($C526&amp;$I526&amp;$H526&amp;$N526&amp;$O526,APOIO_REDES!$W:$W,0),MATCH(AZ$5,APOIO_REDES!$5:$5,0)),0)*$AP526,0)</f>
        <v>1.46733313431261</v>
      </c>
      <c r="BA526" s="153" t="n">
        <f aca="false">IFERROR(IF(AND($N526="VCA",$Q526="LINEAR"),INDEX(APOIO_REDES!$A:$W,MATCH($C526&amp;$I526&amp;$H526&amp;$N526&amp;$O526,APOIO_REDES!$W:$W,0),MATCH(BA$5,APOIO_REDES!$5:$5,0)),IF(AND($N526="MND",$Q526="EMBOQUE"),INDEX(APOIO_REDES!$A:$W,MATCH($C526&amp;$I526&amp;$H526&amp;$N526&amp;$O526,APOIO_REDES!$W:$W,0),MATCH(BA$5,APOIO_REDES!$5:$5,0)),0))*$M526/10,0)</f>
        <v>4.03067985376481</v>
      </c>
      <c r="BB526" s="153" t="n">
        <f aca="false">IFERROR(IF($N526="VCA",INDEX(APOIO_REDES!$A:$W,MATCH($C526&amp;$I526&amp;$H526&amp;$N526&amp;$O526,APOIO_REDES!$W:$W,0),MATCH(BB$5,APOIO_REDES!$5:$5,0)),0)*($AI526+$AQ526+$AR526),0)</f>
        <v>24.7329381988978</v>
      </c>
      <c r="BC526" s="153" t="n">
        <f aca="false">IFERROR(IF($N526="VCA",INDEX(APOIO_REDES!$A:$W,MATCH($C526&amp;$I526&amp;$H526&amp;$N526&amp;$O526,APOIO_REDES!$W:$W,0),MATCH(BC$5,APOIO_REDES!$5:$5,0)),0)*($AI526+$AQ526+$AR526),0)</f>
        <v>0.272061801102212</v>
      </c>
      <c r="BD526" s="153" t="n">
        <f aca="false">IF(AND($N526="VCA",$AF526&gt;=1.25,$AF526&lt;1.5),$M526*$AF526*2,0)</f>
        <v>0</v>
      </c>
      <c r="BE526" s="153" t="n">
        <f aca="false">IF(AND($N526="VCA",$AF526&gt;=1.5,$AF526&lt;3),$M526*$AF526*2,0)</f>
        <v>152.5305</v>
      </c>
      <c r="BF526" s="153" t="n">
        <f aca="false">IF(AND($N526="VCA",$AF526&gt;=3),$M526*$AF526*2,0)</f>
        <v>0</v>
      </c>
      <c r="BG526" s="153" t="n">
        <f aca="false">($BB526+$BC526)*$AK526</f>
        <v>90.018</v>
      </c>
      <c r="BH526" s="153" t="n">
        <f aca="false">IF(AND($M526&lt;&gt;"",$N526="VCA",$Q526="LINEAR"),($M526*2)/100,IF(AND($M526&lt;&gt;"",$N526="MND",$Q526="EMBOQUE"),($AN526*2)/100,0))</f>
        <v>1.0002</v>
      </c>
      <c r="BI526" s="153" t="n">
        <f aca="false">IF(AND($M526&lt;&gt;"",$N526="VCA",$Q526="LINEAR"),$M526,IF(AND($M526&lt;&gt;"",$N526="MND",$Q526="EMBOQUE"),$AN526*2,0))</f>
        <v>50.01</v>
      </c>
      <c r="BJ526" s="153" t="n">
        <f aca="false">IF(AND($M526&lt;&gt;"",$N526="VCA",$Q526="LINEAR"),($M526*6.8)/100,IF(AND($M526&lt;&gt;"",$N526="MND",$Q526="EMBOQUE"),($AN526*2*6.8)/100,0))</f>
        <v>3.40068</v>
      </c>
      <c r="BK526" s="153" t="n">
        <f aca="false">IF(AND($M526&lt;&gt;"",$N526="VCA",$Q526="LINEAR"),($M526*2.5)/50,IF(AND($M526&lt;&gt;"",$N526="MND",$Q526="EMBOQUE"),($AN526*2*2.5)/50,0))</f>
        <v>2.5005</v>
      </c>
      <c r="BL526" s="157" t="str">
        <f aca="false">K526&amp;J526</f>
        <v>Zona05REDES</v>
      </c>
      <c r="BM526" s="152" t="s">
        <v>3356</v>
      </c>
      <c r="BN526" s="152" t="s">
        <v>1560</v>
      </c>
      <c r="BO526" s="152" t="s">
        <v>2800</v>
      </c>
      <c r="BP526" s="152" t="s">
        <v>3542</v>
      </c>
      <c r="BQ526" s="152" t="s">
        <v>3534</v>
      </c>
      <c r="BR526" s="152" t="s">
        <v>3543</v>
      </c>
      <c r="BS526" s="152" t="n">
        <v>203502.077</v>
      </c>
      <c r="BT526" s="152" t="n">
        <v>8237625.629</v>
      </c>
      <c r="BU526" s="152" t="n">
        <v>203452.996</v>
      </c>
      <c r="BV526" s="152" t="n">
        <v>8237635.221</v>
      </c>
      <c r="BW526" s="152" t="n">
        <v>-15.9228586</v>
      </c>
      <c r="BX526" s="152" t="n">
        <v>-47.7694732</v>
      </c>
      <c r="BY526" s="152" t="s">
        <v>3542</v>
      </c>
    </row>
    <row r="527" customFormat="false" ht="13.8" hidden="false" customHeight="false" outlineLevel="0" collapsed="false">
      <c r="A527" s="149" t="n">
        <f aca="false">IF(C527&lt;&gt;"",ROW(A522),"")</f>
        <v>522</v>
      </c>
      <c r="B527" s="150" t="str">
        <f aca="false">HYPERLINK("https://www.google.com/maps/dir/-15.917302,-47.760003/-15.9229860,-47.7688387/data=!4m3!4m2!3e0!5i2")</f>
        <v>https://www.google.com/maps/dir/-15.917302,-47.760003/-15.9229860,-47.7688387/data=!4m3!4m2!3e0!5i2</v>
      </c>
      <c r="C527" s="151" t="s">
        <v>117</v>
      </c>
      <c r="D527" s="152" t="s">
        <v>112</v>
      </c>
      <c r="E527" s="152" t="s">
        <v>113</v>
      </c>
      <c r="F527" s="152" t="s">
        <v>117</v>
      </c>
      <c r="G527" s="152" t="s">
        <v>114</v>
      </c>
      <c r="H527" s="152" t="n">
        <v>225</v>
      </c>
      <c r="I527" s="152" t="s">
        <v>115</v>
      </c>
      <c r="J527" s="152" t="s">
        <v>6</v>
      </c>
      <c r="K527" s="152" t="s">
        <v>3352</v>
      </c>
      <c r="L527" s="152" t="s">
        <v>120</v>
      </c>
      <c r="M527" s="153" t="n">
        <f aca="false">44.44</f>
        <v>44.44</v>
      </c>
      <c r="N527" s="152" t="s">
        <v>1548</v>
      </c>
      <c r="O527" s="152" t="s">
        <v>1549</v>
      </c>
      <c r="P527" s="152" t="s">
        <v>1550</v>
      </c>
      <c r="Q527" s="152" t="s">
        <v>1551</v>
      </c>
      <c r="R527" s="154" t="s">
        <v>3544</v>
      </c>
      <c r="S527" s="154" t="s">
        <v>1593</v>
      </c>
      <c r="T527" s="155" t="s">
        <v>2797</v>
      </c>
      <c r="U527" s="152" t="str">
        <f aca="false">RIGHT(T527,7)</f>
        <v>009/037</v>
      </c>
      <c r="V527" s="152" t="s">
        <v>1555</v>
      </c>
      <c r="W527" s="156" t="n">
        <v>45882</v>
      </c>
      <c r="X527" s="152" t="s">
        <v>1594</v>
      </c>
      <c r="Y527" s="152" t="s">
        <v>3540</v>
      </c>
      <c r="Z527" s="152" t="s">
        <v>1557</v>
      </c>
      <c r="AA527" s="153" t="n">
        <v>3.6</v>
      </c>
      <c r="AB527" s="151" t="s">
        <v>3545</v>
      </c>
      <c r="AC527" s="151" t="s">
        <v>508</v>
      </c>
      <c r="AD527" s="151" t="str">
        <f aca="false">CONCATENATE($C527,$I527,$H527,$N527,$J527,$K527)</f>
        <v>TUBO PEADPEAD225VCAREDESZona05</v>
      </c>
      <c r="AE527" s="153" t="n">
        <f aca="false">IFERROR(INDEX(APOIO_REDES!$A:$W,MATCH($C527&amp;$I527&amp;$H527&amp;$N527&amp;$O527,APOIO_REDES!$W:$W,0),MATCH(AE$5,APOIO_REDES!$5:$5,0)),0)</f>
        <v>1.2</v>
      </c>
      <c r="AF527" s="153" t="n">
        <f aca="false">IFERROR(INDEX(APOIO_REDES!$A:$W,MATCH($C527&amp;$I527&amp;$H527&amp;$N527&amp;$O527,APOIO_REDES!$W:$W,0),MATCH(AF$5,APOIO_REDES!$5:$5,0)),0)</f>
        <v>1.525</v>
      </c>
      <c r="AG527" s="153" t="n">
        <f aca="false">IFERROR(INDEX(APOIO_REDES!$A:$W,MATCH($C527&amp;$I527&amp;$H527&amp;$N527&amp;$O527,APOIO_REDES!$W:$W,0),MATCH(AG$5,APOIO_REDES!$5:$5,0)),0)</f>
        <v>0.8</v>
      </c>
      <c r="AH527" s="153" t="n">
        <f aca="false">IFERROR(INDEX(APOIO_REDES!$A:$W,MATCH($C527&amp;$I527&amp;$H527&amp;$N527&amp;$O527,APOIO_REDES!$W:$W,0),MATCH(AH$5,APOIO_REDES!$5:$5,0)),0)</f>
        <v>0.1</v>
      </c>
      <c r="AI527" s="153" t="n">
        <f aca="false">IFERROR(IF($H527&lt;&gt;"",(((($H527/1000)/2)^2)*PI()*$M527),0),0)</f>
        <v>1.76696915305749</v>
      </c>
      <c r="AJ527" s="153" t="n">
        <f aca="false">IFERROR(IF(AND($H527&lt;&gt;"",$I527="FoFo",OR($N527="MND",$N527="VCA"),$Q527="LINEAR"),0,IF(AND($H527&lt;&gt;"",$I527="PEAD",$N527="VCA",$Q527="LINEAR"),($H527/1000)+0.3,IF(AND($H527&lt;&gt;"",$I527="PEAD",$N527="MND",$Q527="EMBOQUE"),0,IF(AND($H527&lt;&gt;"",$I527="PVC",$N527="VCA",$Q527="LINEAR"),($H527/1000)+0.2,IF(AND($H527&lt;&gt;"",$I527="PVC",$N527="MND",$Q527="EMBOQUE"),0,IF(AND($H527&lt;&gt;"",$I527="PEAD",$N527="VCA",$Q527="PREDIAL"),0,0)))))),0)</f>
        <v>0.525</v>
      </c>
      <c r="AK527" s="153" t="n">
        <f aca="false">IF(AA527&lt;&gt;"",AA527,0)</f>
        <v>3.6</v>
      </c>
      <c r="AL527" s="153" t="n">
        <f aca="false">IF(AND($N527="MND",$Q527="EMBOQUE"),$M527,IF(AND($N527="VCA",$Q527="LINEAR"),$M527,IF(AND($N527="VCA",$Q527="PREDIAL"),0,0)))</f>
        <v>44.44</v>
      </c>
      <c r="AM527" s="153" t="n">
        <f aca="false">IF(AND($N527="MND",$Q527="EMBOQUE"),$M527,IF(AND($N527="VCA",$Q527="LINEAR"),$M527,IF(AND($N527="VCA",$Q527="PREDIAL"),0,0)))</f>
        <v>44.44</v>
      </c>
      <c r="AN527" s="153" t="n">
        <f aca="false">ROUND(IF(AND($N527="VCA",$M527&lt;&gt;"",$Q527="LINEAR"),$M527/100,IF(AND($N527="MND",$M527&gt;100,$Q527="EMBOQUE"),$M527/100,0)),0)</f>
        <v>0</v>
      </c>
      <c r="AO527" s="153" t="n">
        <f aca="false">IF(AND($N527="MND",$Q527="EMBOQUE"),$AN527*2*2,IF(AND($N527="VCA",$Q527="LINEAR"),$M527*2,IF(AND($N527="VCA",$Q527="PREDIAL"),0,0)))</f>
        <v>88.88</v>
      </c>
      <c r="AP527" s="153" t="n">
        <f aca="false">IFERROR($M527*$AF527*$AG527,0)</f>
        <v>54.2168</v>
      </c>
      <c r="AQ527" s="153" t="n">
        <f aca="false">IFERROR(IF(AND($N527="VCA",$AH527&gt;0),$M527*$AG527*$AH527,0),0)</f>
        <v>3.5552</v>
      </c>
      <c r="AR527" s="153" t="n">
        <f aca="false">IFERROR(IF(AND($N527="VCA",$AJ527&gt;0),($M527*$AG527*$AJ527)-$AI527,0),0)</f>
        <v>16.8978308469425</v>
      </c>
      <c r="AS527" s="153" t="n">
        <f aca="false">IFERROR(IF(AND($N527="VCA",$AP527&gt;0),$AP527-$AI527-$AQ527-$AR527,0),0)</f>
        <v>31.9968</v>
      </c>
      <c r="AT527" s="153" t="n">
        <f aca="false">IFERROR(IF($N527="VCA",INDEX(APOIO_REDES!$A:$W,MATCH($C527&amp;$I527&amp;$H527&amp;$N527&amp;$O527,APOIO_REDES!$W:$W,0),MATCH(AT$5,APOIO_REDES!$5:$5,0)),0)*$AP527,0)</f>
        <v>0.589894831353665</v>
      </c>
      <c r="AU527" s="153" t="n">
        <f aca="false">IFERROR(IF($N527="VCA",INDEX(APOIO_REDES!$A:$W,MATCH($C527&amp;$I527&amp;$H527&amp;$N527&amp;$O527,APOIO_REDES!$W:$W,0),MATCH(AU$5,APOIO_REDES!$5:$5,0)),0)*$AP527,0)</f>
        <v>0.471074035940871</v>
      </c>
      <c r="AV527" s="153" t="n">
        <f aca="false">IFERROR(IF($N527="VCA",INDEX(APOIO_REDES!$A:$W,MATCH($C527&amp;$I527&amp;$H527&amp;$N527&amp;$O527,APOIO_REDES!$W:$W,0),MATCH(AV$5,APOIO_REDES!$5:$5,0)),0)*$AP527,0)</f>
        <v>0.06519294849804</v>
      </c>
      <c r="AW527" s="153" t="n">
        <f aca="false">IFERROR(IF($N527="VCA",INDEX(APOIO_REDES!$A:$W,MATCH($C527&amp;$I527&amp;$H527&amp;$N527&amp;$O527,APOIO_REDES!$W:$W,0),MATCH(AW$5,APOIO_REDES!$5:$5,0)),0)*$AP527,0)</f>
        <v>37.2148316122659</v>
      </c>
      <c r="AX527" s="153" t="n">
        <f aca="false">IFERROR(IF($N527="VCA",INDEX(APOIO_REDES!$A:$W,MATCH($C527&amp;$I527&amp;$H527&amp;$N527&amp;$O527,APOIO_REDES!$W:$W,0),MATCH(AX$5,APOIO_REDES!$5:$5,0)),0)*$AP527,0)</f>
        <v>5.15042668668313</v>
      </c>
      <c r="AY527" s="153" t="n">
        <f aca="false">IFERROR(IF($N527="VCA",INDEX(APOIO_REDES!$A:$W,MATCH($C527&amp;$I527&amp;$H527&amp;$N527&amp;$O527,APOIO_REDES!$W:$W,0),MATCH(AY$5,APOIO_REDES!$5:$5,0)),0)*$AP527,0)</f>
        <v>9.42147497646312</v>
      </c>
      <c r="AZ527" s="153" t="n">
        <f aca="false">IFERROR(IF($N527="VCA",INDEX(APOIO_REDES!$A:$W,MATCH($C527&amp;$I527&amp;$H527&amp;$N527&amp;$O527,APOIO_REDES!$W:$W,0),MATCH(AZ$5,APOIO_REDES!$5:$5,0)),0)*$AP527,0)</f>
        <v>1.30390490879529</v>
      </c>
      <c r="BA527" s="153" t="n">
        <f aca="false">IFERROR(IF(AND($N527="VCA",$Q527="LINEAR"),INDEX(APOIO_REDES!$A:$W,MATCH($C527&amp;$I527&amp;$H527&amp;$N527&amp;$O527,APOIO_REDES!$W:$W,0),MATCH(BA$5,APOIO_REDES!$5:$5,0)),IF(AND($N527="MND",$Q527="EMBOQUE"),INDEX(APOIO_REDES!$A:$W,MATCH($C527&amp;$I527&amp;$H527&amp;$N527&amp;$O527,APOIO_REDES!$W:$W,0),MATCH(BA$5,APOIO_REDES!$5:$5,0)),0))*$M527/10,0)</f>
        <v>3.58175190364544</v>
      </c>
      <c r="BB527" s="153" t="n">
        <f aca="false">IFERROR(IF($N527="VCA",INDEX(APOIO_REDES!$A:$W,MATCH($C527&amp;$I527&amp;$H527&amp;$N527&amp;$O527,APOIO_REDES!$W:$W,0),MATCH(BB$5,APOIO_REDES!$5:$5,0)),0)*($AI527+$AQ527+$AR527),0)</f>
        <v>21.9782398232157</v>
      </c>
      <c r="BC527" s="153" t="n">
        <f aca="false">IFERROR(IF($N527="VCA",INDEX(APOIO_REDES!$A:$W,MATCH($C527&amp;$I527&amp;$H527&amp;$N527&amp;$O527,APOIO_REDES!$W:$W,0),MATCH(BC$5,APOIO_REDES!$5:$5,0)),0)*($AI527+$AQ527+$AR527),0)</f>
        <v>0.241760176784289</v>
      </c>
      <c r="BD527" s="153" t="n">
        <f aca="false">IF(AND($N527="VCA",$AF527&gt;=1.25,$AF527&lt;1.5),$M527*$AF527*2,0)</f>
        <v>0</v>
      </c>
      <c r="BE527" s="153" t="n">
        <f aca="false">IF(AND($N527="VCA",$AF527&gt;=1.5,$AF527&lt;3),$M527*$AF527*2,0)</f>
        <v>135.542</v>
      </c>
      <c r="BF527" s="153" t="n">
        <f aca="false">IF(AND($N527="VCA",$AF527&gt;=3),$M527*$AF527*2,0)</f>
        <v>0</v>
      </c>
      <c r="BG527" s="153" t="n">
        <f aca="false">($BB527+$BC527)*$AK527</f>
        <v>79.992</v>
      </c>
      <c r="BH527" s="153" t="n">
        <f aca="false">IF(AND($M527&lt;&gt;"",$N527="VCA",$Q527="LINEAR"),($M527*2)/100,IF(AND($M527&lt;&gt;"",$N527="MND",$Q527="EMBOQUE"),($AN527*2)/100,0))</f>
        <v>0.8888</v>
      </c>
      <c r="BI527" s="153" t="n">
        <f aca="false">IF(AND($M527&lt;&gt;"",$N527="VCA",$Q527="LINEAR"),$M527,IF(AND($M527&lt;&gt;"",$N527="MND",$Q527="EMBOQUE"),$AN527*2,0))</f>
        <v>44.44</v>
      </c>
      <c r="BJ527" s="153" t="n">
        <f aca="false">IF(AND($M527&lt;&gt;"",$N527="VCA",$Q527="LINEAR"),($M527*6.8)/100,IF(AND($M527&lt;&gt;"",$N527="MND",$Q527="EMBOQUE"),($AN527*2*6.8)/100,0))</f>
        <v>3.02192</v>
      </c>
      <c r="BK527" s="153" t="n">
        <f aca="false">IF(AND($M527&lt;&gt;"",$N527="VCA",$Q527="LINEAR"),($M527*2.5)/50,IF(AND($M527&lt;&gt;"",$N527="MND",$Q527="EMBOQUE"),($AN527*2*2.5)/50,0))</f>
        <v>2.222</v>
      </c>
      <c r="BL527" s="157" t="str">
        <f aca="false">K527&amp;J527</f>
        <v>Zona05REDES</v>
      </c>
      <c r="BM527" s="152" t="s">
        <v>3356</v>
      </c>
      <c r="BN527" s="152" t="s">
        <v>1560</v>
      </c>
      <c r="BO527" s="152" t="s">
        <v>2800</v>
      </c>
      <c r="BP527" s="152" t="s">
        <v>3546</v>
      </c>
      <c r="BQ527" s="152" t="s">
        <v>3542</v>
      </c>
      <c r="BR527" s="152" t="s">
        <v>3547</v>
      </c>
      <c r="BS527" s="152" t="n">
        <v>203545.701</v>
      </c>
      <c r="BT527" s="152" t="n">
        <v>8237617.182</v>
      </c>
      <c r="BU527" s="152" t="n">
        <v>203502.077</v>
      </c>
      <c r="BV527" s="152" t="n">
        <v>8237625.629</v>
      </c>
      <c r="BW527" s="152" t="n">
        <v>-15.9229451</v>
      </c>
      <c r="BX527" s="152" t="n">
        <v>-47.7690416</v>
      </c>
      <c r="BY527" s="152" t="s">
        <v>3546</v>
      </c>
    </row>
    <row r="528" customFormat="false" ht="13.8" hidden="false" customHeight="false" outlineLevel="0" collapsed="false">
      <c r="A528" s="149" t="n">
        <f aca="false">IF(C528&lt;&gt;"",ROW(A523),"")</f>
        <v>523</v>
      </c>
      <c r="B528" s="150" t="str">
        <f aca="false">HYPERLINK("https://www.google.com/maps/dir/-15.917302,-47.760003/-15.9230315,-47.7684771/data=!4m3!4m2!3e0!5i2")</f>
        <v>https://www.google.com/maps/dir/-15.917302,-47.760003/-15.9230315,-47.7684771/data=!4m3!4m2!3e0!5i2</v>
      </c>
      <c r="C528" s="151" t="s">
        <v>117</v>
      </c>
      <c r="D528" s="152" t="s">
        <v>112</v>
      </c>
      <c r="E528" s="152" t="s">
        <v>113</v>
      </c>
      <c r="F528" s="152" t="s">
        <v>117</v>
      </c>
      <c r="G528" s="152" t="s">
        <v>782</v>
      </c>
      <c r="H528" s="152" t="n">
        <v>63</v>
      </c>
      <c r="I528" s="152" t="s">
        <v>115</v>
      </c>
      <c r="J528" s="152" t="s">
        <v>6</v>
      </c>
      <c r="K528" s="152" t="s">
        <v>3352</v>
      </c>
      <c r="L528" s="152" t="s">
        <v>120</v>
      </c>
      <c r="M528" s="153" t="n">
        <f aca="false">40.4</f>
        <v>40.4</v>
      </c>
      <c r="N528" s="152" t="s">
        <v>1548</v>
      </c>
      <c r="O528" s="152" t="s">
        <v>1549</v>
      </c>
      <c r="P528" s="152" t="s">
        <v>1550</v>
      </c>
      <c r="Q528" s="152" t="s">
        <v>1551</v>
      </c>
      <c r="R528" s="154" t="s">
        <v>3548</v>
      </c>
      <c r="S528" s="154" t="s">
        <v>1553</v>
      </c>
      <c r="T528" s="155" t="s">
        <v>2797</v>
      </c>
      <c r="U528" s="152" t="str">
        <f aca="false">RIGHT(T528,7)</f>
        <v>009/037</v>
      </c>
      <c r="V528" s="152" t="s">
        <v>1555</v>
      </c>
      <c r="W528" s="156" t="n">
        <v>45882</v>
      </c>
      <c r="X528" s="152" t="s">
        <v>1594</v>
      </c>
      <c r="Y528" s="152" t="s">
        <v>3549</v>
      </c>
      <c r="Z528" s="152" t="s">
        <v>1557</v>
      </c>
      <c r="AA528" s="153" t="n">
        <v>3.6</v>
      </c>
      <c r="AB528" s="151" t="s">
        <v>3550</v>
      </c>
      <c r="AC528" s="151" t="s">
        <v>186</v>
      </c>
      <c r="AD528" s="151" t="str">
        <f aca="false">CONCATENATE($C528,$I528,$H528,$N528,$J528,$K528)</f>
        <v>TUBO PEADPEAD63VCAREDESZona05</v>
      </c>
      <c r="AE528" s="153" t="n">
        <f aca="false">IFERROR(INDEX(APOIO_REDES!$A:$W,MATCH($C528&amp;$I528&amp;$H528&amp;$N528&amp;$O528,APOIO_REDES!$W:$W,0),MATCH(AE$5,APOIO_REDES!$5:$5,0)),0)</f>
        <v>1.2</v>
      </c>
      <c r="AF528" s="153" t="n">
        <f aca="false">IFERROR(INDEX(APOIO_REDES!$A:$W,MATCH($C528&amp;$I528&amp;$H528&amp;$N528&amp;$O528,APOIO_REDES!$W:$W,0),MATCH(AF$5,APOIO_REDES!$5:$5,0)),0)</f>
        <v>1.363</v>
      </c>
      <c r="AG528" s="153" t="n">
        <f aca="false">IFERROR(INDEX(APOIO_REDES!$A:$W,MATCH($C528&amp;$I528&amp;$H528&amp;$N528&amp;$O528,APOIO_REDES!$W:$W,0),MATCH(AG$5,APOIO_REDES!$5:$5,0)),0)</f>
        <v>0.65</v>
      </c>
      <c r="AH528" s="153" t="n">
        <f aca="false">IFERROR(INDEX(APOIO_REDES!$A:$W,MATCH($C528&amp;$I528&amp;$H528&amp;$N528&amp;$O528,APOIO_REDES!$W:$W,0),MATCH(AH$5,APOIO_REDES!$5:$5,0)),0)</f>
        <v>0.1</v>
      </c>
      <c r="AI528" s="153" t="n">
        <f aca="false">IFERROR(IF($H528&lt;&gt;"",(((($H528/1000)/2)^2)*PI()*$M528),0),0)</f>
        <v>0.125936710545189</v>
      </c>
      <c r="AJ528" s="153" t="n">
        <f aca="false">IFERROR(IF(AND($H528&lt;&gt;"",$I528="FoFo",OR($N528="MND",$N528="VCA"),$Q528="LINEAR"),0,IF(AND($H528&lt;&gt;"",$I528="PEAD",$N528="VCA",$Q528="LINEAR"),($H528/1000)+0.3,IF(AND($H528&lt;&gt;"",$I528="PEAD",$N528="MND",$Q528="EMBOQUE"),0,IF(AND($H528&lt;&gt;"",$I528="PVC",$N528="VCA",$Q528="LINEAR"),($H528/1000)+0.2,IF(AND($H528&lt;&gt;"",$I528="PVC",$N528="MND",$Q528="EMBOQUE"),0,IF(AND($H528&lt;&gt;"",$I528="PEAD",$N528="VCA",$Q528="PREDIAL"),0,0)))))),0)</f>
        <v>0.363</v>
      </c>
      <c r="AK528" s="153" t="n">
        <f aca="false">IF(AA528&lt;&gt;"",AA528,0)</f>
        <v>3.6</v>
      </c>
      <c r="AL528" s="153" t="n">
        <f aca="false">IF(AND($N528="MND",$Q528="EMBOQUE"),$M528,IF(AND($N528="VCA",$Q528="LINEAR"),$M528,IF(AND($N528="VCA",$Q528="PREDIAL"),0,0)))</f>
        <v>40.4</v>
      </c>
      <c r="AM528" s="153" t="n">
        <f aca="false">IF(AND($N528="MND",$Q528="EMBOQUE"),$M528,IF(AND($N528="VCA",$Q528="LINEAR"),$M528,IF(AND($N528="VCA",$Q528="PREDIAL"),0,0)))</f>
        <v>40.4</v>
      </c>
      <c r="AN528" s="153" t="n">
        <f aca="false">ROUND(IF(AND($N528="VCA",$M528&lt;&gt;"",$Q528="LINEAR"),$M528/100,IF(AND($N528="MND",$M528&gt;100,$Q528="EMBOQUE"),$M528/100,0)),0)</f>
        <v>0</v>
      </c>
      <c r="AO528" s="153" t="n">
        <f aca="false">IF(AND($N528="MND",$Q528="EMBOQUE"),$AN528*2*2,IF(AND($N528="VCA",$Q528="LINEAR"),$M528*2,IF(AND($N528="VCA",$Q528="PREDIAL"),0,0)))</f>
        <v>80.8</v>
      </c>
      <c r="AP528" s="153" t="n">
        <f aca="false">IFERROR($M528*$AF528*$AG528,0)</f>
        <v>35.79238</v>
      </c>
      <c r="AQ528" s="153" t="n">
        <f aca="false">IFERROR(IF(AND($N528="VCA",$AH528&gt;0),$M528*$AG528*$AH528,0),0)</f>
        <v>2.626</v>
      </c>
      <c r="AR528" s="153" t="n">
        <f aca="false">IFERROR(IF(AND($N528="VCA",$AJ528&gt;0),($M528*$AG528*$AJ528)-$AI528,0),0)</f>
        <v>9.40644328945481</v>
      </c>
      <c r="AS528" s="153" t="n">
        <f aca="false">IFERROR(IF(AND($N528="VCA",$AP528&gt;0),$AP528-$AI528-$AQ528-$AR528,0),0)</f>
        <v>23.634</v>
      </c>
      <c r="AT528" s="153" t="n">
        <f aca="false">IFERROR(IF($N528="VCA",INDEX(APOIO_REDES!$A:$W,MATCH($C528&amp;$I528&amp;$H528&amp;$N528&amp;$O528,APOIO_REDES!$W:$W,0),MATCH(AT$5,APOIO_REDES!$5:$5,0)),0)*$AP528,0)</f>
        <v>0.38943168840371</v>
      </c>
      <c r="AU528" s="153" t="n">
        <f aca="false">IFERROR(IF($N528="VCA",INDEX(APOIO_REDES!$A:$W,MATCH($C528&amp;$I528&amp;$H528&amp;$N528&amp;$O528,APOIO_REDES!$W:$W,0),MATCH(AU$5,APOIO_REDES!$5:$5,0)),0)*$AP528,0)</f>
        <v>0.310989599211487</v>
      </c>
      <c r="AV528" s="153" t="n">
        <f aca="false">IFERROR(IF($N528="VCA",INDEX(APOIO_REDES!$A:$W,MATCH($C528&amp;$I528&amp;$H528&amp;$N528&amp;$O528,APOIO_REDES!$W:$W,0),MATCH(AV$5,APOIO_REDES!$5:$5,0)),0)*$AP528,0)</f>
        <v>0.0430385191667947</v>
      </c>
      <c r="AW528" s="153" t="n">
        <f aca="false">IFERROR(IF($N528="VCA",INDEX(APOIO_REDES!$A:$W,MATCH($C528&amp;$I528&amp;$H528&amp;$N528&amp;$O528,APOIO_REDES!$W:$W,0),MATCH(AW$5,APOIO_REDES!$5:$5,0)),0)*$AP528,0)</f>
        <v>24.5681669648934</v>
      </c>
      <c r="AX528" s="153" t="n">
        <f aca="false">IFERROR(IF($N528="VCA",INDEX(APOIO_REDES!$A:$W,MATCH($C528&amp;$I528&amp;$H528&amp;$N528&amp;$O528,APOIO_REDES!$W:$W,0),MATCH(AX$5,APOIO_REDES!$5:$5,0)),0)*$AP528,0)</f>
        <v>3.40016432419293</v>
      </c>
      <c r="AY528" s="153" t="n">
        <f aca="false">IFERROR(IF($N528="VCA",INDEX(APOIO_REDES!$A:$W,MATCH($C528&amp;$I528&amp;$H528&amp;$N528&amp;$O528,APOIO_REDES!$W:$W,0),MATCH(AY$5,APOIO_REDES!$5:$5,0)),0)*$AP528,0)</f>
        <v>6.21978819329173</v>
      </c>
      <c r="AZ528" s="153" t="n">
        <f aca="false">IFERROR(IF($N528="VCA",INDEX(APOIO_REDES!$A:$W,MATCH($C528&amp;$I528&amp;$H528&amp;$N528&amp;$O528,APOIO_REDES!$W:$W,0),MATCH(AZ$5,APOIO_REDES!$5:$5,0)),0)*$AP528,0)</f>
        <v>0.860800710839932</v>
      </c>
      <c r="BA528" s="153" t="n">
        <f aca="false">IFERROR(IF(AND($N528="VCA",$Q528="LINEAR"),INDEX(APOIO_REDES!$A:$W,MATCH($C528&amp;$I528&amp;$H528&amp;$N528&amp;$O528,APOIO_REDES!$W:$W,0),MATCH(BA$5,APOIO_REDES!$5:$5,0)),IF(AND($N528="MND",$Q528="EMBOQUE"),INDEX(APOIO_REDES!$A:$W,MATCH($C528&amp;$I528&amp;$H528&amp;$N528&amp;$O528,APOIO_REDES!$W:$W,0),MATCH(BA$5,APOIO_REDES!$5:$5,0)),0))*$M528/10,0)</f>
        <v>3.25613809422312</v>
      </c>
      <c r="BB528" s="153" t="n">
        <f aca="false">IFERROR(IF($N528="VCA",INDEX(APOIO_REDES!$A:$W,MATCH($C528&amp;$I528&amp;$H528&amp;$N528&amp;$O528,APOIO_REDES!$W:$W,0),MATCH(BB$5,APOIO_REDES!$5:$5,0)),0)*($AI528+$AQ528+$AR528),0)</f>
        <v>12.0260932269032</v>
      </c>
      <c r="BC528" s="153" t="n">
        <f aca="false">IFERROR(IF($N528="VCA",INDEX(APOIO_REDES!$A:$W,MATCH($C528&amp;$I528&amp;$H528&amp;$N528&amp;$O528,APOIO_REDES!$W:$W,0),MATCH(BC$5,APOIO_REDES!$5:$5,0)),0)*($AI528+$AQ528+$AR528),0)</f>
        <v>0.132286773096785</v>
      </c>
      <c r="BD528" s="153" t="n">
        <f aca="false">IF(AND($N528="VCA",$AF528&gt;=1.25,$AF528&lt;1.5),$M528*$AF528*2,0)</f>
        <v>110.1304</v>
      </c>
      <c r="BE528" s="153" t="n">
        <f aca="false">IF(AND($N528="VCA",$AF528&gt;=1.5,$AF528&lt;3),$M528*$AF528*2,0)</f>
        <v>0</v>
      </c>
      <c r="BF528" s="153" t="n">
        <f aca="false">IF(AND($N528="VCA",$AF528&gt;=3),$M528*$AF528*2,0)</f>
        <v>0</v>
      </c>
      <c r="BG528" s="153" t="n">
        <f aca="false">($BB528+$BC528)*$AK528</f>
        <v>43.770168</v>
      </c>
      <c r="BH528" s="153" t="n">
        <f aca="false">IF(AND($M528&lt;&gt;"",$N528="VCA",$Q528="LINEAR"),($M528*2)/100,IF(AND($M528&lt;&gt;"",$N528="MND",$Q528="EMBOQUE"),($AN528*2)/100,0))</f>
        <v>0.808</v>
      </c>
      <c r="BI528" s="153" t="n">
        <f aca="false">IF(AND($M528&lt;&gt;"",$N528="VCA",$Q528="LINEAR"),$M528,IF(AND($M528&lt;&gt;"",$N528="MND",$Q528="EMBOQUE"),$AN528*2,0))</f>
        <v>40.4</v>
      </c>
      <c r="BJ528" s="153" t="n">
        <f aca="false">IF(AND($M528&lt;&gt;"",$N528="VCA",$Q528="LINEAR"),($M528*6.8)/100,IF(AND($M528&lt;&gt;"",$N528="MND",$Q528="EMBOQUE"),($AN528*2*6.8)/100,0))</f>
        <v>2.7472</v>
      </c>
      <c r="BK528" s="153" t="n">
        <f aca="false">IF(AND($M528&lt;&gt;"",$N528="VCA",$Q528="LINEAR"),($M528*2.5)/50,IF(AND($M528&lt;&gt;"",$N528="MND",$Q528="EMBOQUE"),($AN528*2*2.5)/50,0))</f>
        <v>2.02</v>
      </c>
      <c r="BL528" s="157" t="str">
        <f aca="false">K528&amp;J528</f>
        <v>Zona05REDES</v>
      </c>
      <c r="BM528" s="152" t="s">
        <v>3356</v>
      </c>
      <c r="BN528" s="152" t="s">
        <v>1560</v>
      </c>
      <c r="BO528" s="152" t="s">
        <v>2800</v>
      </c>
      <c r="BP528" s="152" t="s">
        <v>3477</v>
      </c>
      <c r="BQ528" s="152" t="s">
        <v>2032</v>
      </c>
      <c r="BR528" s="152" t="s">
        <v>2948</v>
      </c>
      <c r="BS528" s="152" t="n">
        <v>203584.511</v>
      </c>
      <c r="BT528" s="152" t="n">
        <v>8237612.652</v>
      </c>
      <c r="BU528" s="152" t="n">
        <v>203545.244</v>
      </c>
      <c r="BV528" s="152" t="n">
        <v>8237622.061</v>
      </c>
      <c r="BW528" s="152" t="n">
        <v>-15.9229887</v>
      </c>
      <c r="BX528" s="152" t="n">
        <v>-47.7686603</v>
      </c>
      <c r="BY528" s="152" t="s">
        <v>3477</v>
      </c>
    </row>
    <row r="529" customFormat="false" ht="13.8" hidden="false" customHeight="false" outlineLevel="0" collapsed="false">
      <c r="A529" s="149" t="n">
        <f aca="false">IF(C529&lt;&gt;"",ROW(A524),"")</f>
        <v>524</v>
      </c>
      <c r="B529" s="150" t="str">
        <f aca="false">HYPERLINK("https://www.google.com/maps/dir/-15.917302,-47.760003/-15.9229163,-47.7719989/data=!4m3!4m2!3e0!5i0")</f>
        <v>https://www.google.com/maps/dir/-15.917302,-47.760003/-15.9229163,-47.7719989/data=!4m3!4m2!3e0!5i0</v>
      </c>
      <c r="C529" s="151" t="s">
        <v>117</v>
      </c>
      <c r="D529" s="152" t="s">
        <v>112</v>
      </c>
      <c r="E529" s="152" t="s">
        <v>113</v>
      </c>
      <c r="F529" s="152" t="s">
        <v>117</v>
      </c>
      <c r="G529" s="152" t="s">
        <v>782</v>
      </c>
      <c r="H529" s="152" t="n">
        <v>63</v>
      </c>
      <c r="I529" s="152" t="s">
        <v>115</v>
      </c>
      <c r="J529" s="152" t="s">
        <v>6</v>
      </c>
      <c r="K529" s="152" t="s">
        <v>3352</v>
      </c>
      <c r="L529" s="152" t="s">
        <v>120</v>
      </c>
      <c r="M529" s="153" t="n">
        <f aca="false">40.63</f>
        <v>40.63</v>
      </c>
      <c r="N529" s="152" t="s">
        <v>1548</v>
      </c>
      <c r="O529" s="152" t="s">
        <v>1549</v>
      </c>
      <c r="P529" s="152" t="s">
        <v>1550</v>
      </c>
      <c r="Q529" s="152" t="s">
        <v>1551</v>
      </c>
      <c r="R529" s="154" t="s">
        <v>3551</v>
      </c>
      <c r="S529" s="154" t="s">
        <v>1553</v>
      </c>
      <c r="T529" s="155" t="s">
        <v>2797</v>
      </c>
      <c r="U529" s="152" t="str">
        <f aca="false">RIGHT(T529,7)</f>
        <v>009/037</v>
      </c>
      <c r="V529" s="152" t="s">
        <v>1555</v>
      </c>
      <c r="W529" s="156" t="n">
        <v>45882</v>
      </c>
      <c r="X529" s="152" t="s">
        <v>1594</v>
      </c>
      <c r="Y529" s="152" t="s">
        <v>3365</v>
      </c>
      <c r="Z529" s="152" t="s">
        <v>1557</v>
      </c>
      <c r="AA529" s="153" t="n">
        <v>3.4</v>
      </c>
      <c r="AB529" s="151" t="s">
        <v>3552</v>
      </c>
      <c r="AC529" s="151" t="s">
        <v>186</v>
      </c>
      <c r="AD529" s="151" t="str">
        <f aca="false">CONCATENATE($C529,$I529,$H529,$N529,$J529,$K529)</f>
        <v>TUBO PEADPEAD63VCAREDESZona05</v>
      </c>
      <c r="AE529" s="153" t="n">
        <f aca="false">IFERROR(INDEX(APOIO_REDES!$A:$W,MATCH($C529&amp;$I529&amp;$H529&amp;$N529&amp;$O529,APOIO_REDES!$W:$W,0),MATCH(AE$5,APOIO_REDES!$5:$5,0)),0)</f>
        <v>1.2</v>
      </c>
      <c r="AF529" s="153" t="n">
        <f aca="false">IFERROR(INDEX(APOIO_REDES!$A:$W,MATCH($C529&amp;$I529&amp;$H529&amp;$N529&amp;$O529,APOIO_REDES!$W:$W,0),MATCH(AF$5,APOIO_REDES!$5:$5,0)),0)</f>
        <v>1.363</v>
      </c>
      <c r="AG529" s="153" t="n">
        <f aca="false">IFERROR(INDEX(APOIO_REDES!$A:$W,MATCH($C529&amp;$I529&amp;$H529&amp;$N529&amp;$O529,APOIO_REDES!$W:$W,0),MATCH(AG$5,APOIO_REDES!$5:$5,0)),0)</f>
        <v>0.65</v>
      </c>
      <c r="AH529" s="153" t="n">
        <f aca="false">IFERROR(INDEX(APOIO_REDES!$A:$W,MATCH($C529&amp;$I529&amp;$H529&amp;$N529&amp;$O529,APOIO_REDES!$W:$W,0),MATCH(AH$5,APOIO_REDES!$5:$5,0)),0)</f>
        <v>0.1</v>
      </c>
      <c r="AI529" s="153" t="n">
        <f aca="false">IFERROR(IF($H529&lt;&gt;"",(((($H529/1000)/2)^2)*PI()*$M529),0),0)</f>
        <v>0.126653676966609</v>
      </c>
      <c r="AJ529" s="153" t="n">
        <f aca="false">IFERROR(IF(AND($H529&lt;&gt;"",$I529="FoFo",OR($N529="MND",$N529="VCA"),$Q529="LINEAR"),0,IF(AND($H529&lt;&gt;"",$I529="PEAD",$N529="VCA",$Q529="LINEAR"),($H529/1000)+0.3,IF(AND($H529&lt;&gt;"",$I529="PEAD",$N529="MND",$Q529="EMBOQUE"),0,IF(AND($H529&lt;&gt;"",$I529="PVC",$N529="VCA",$Q529="LINEAR"),($H529/1000)+0.2,IF(AND($H529&lt;&gt;"",$I529="PVC",$N529="MND",$Q529="EMBOQUE"),0,IF(AND($H529&lt;&gt;"",$I529="PEAD",$N529="VCA",$Q529="PREDIAL"),0,0)))))),0)</f>
        <v>0.363</v>
      </c>
      <c r="AK529" s="153" t="n">
        <f aca="false">IF(AA529&lt;&gt;"",AA529,0)</f>
        <v>3.4</v>
      </c>
      <c r="AL529" s="153" t="n">
        <f aca="false">IF(AND($N529="MND",$Q529="EMBOQUE"),$M529,IF(AND($N529="VCA",$Q529="LINEAR"),$M529,IF(AND($N529="VCA",$Q529="PREDIAL"),0,0)))</f>
        <v>40.63</v>
      </c>
      <c r="AM529" s="153" t="n">
        <f aca="false">IF(AND($N529="MND",$Q529="EMBOQUE"),$M529,IF(AND($N529="VCA",$Q529="LINEAR"),$M529,IF(AND($N529="VCA",$Q529="PREDIAL"),0,0)))</f>
        <v>40.63</v>
      </c>
      <c r="AN529" s="153" t="n">
        <f aca="false">ROUND(IF(AND($N529="VCA",$M529&lt;&gt;"",$Q529="LINEAR"),$M529/100,IF(AND($N529="MND",$M529&gt;100,$Q529="EMBOQUE"),$M529/100,0)),0)</f>
        <v>0</v>
      </c>
      <c r="AO529" s="153" t="n">
        <f aca="false">IF(AND($N529="MND",$Q529="EMBOQUE"),$AN529*2*2,IF(AND($N529="VCA",$Q529="LINEAR"),$M529*2,IF(AND($N529="VCA",$Q529="PREDIAL"),0,0)))</f>
        <v>81.26</v>
      </c>
      <c r="AP529" s="153" t="n">
        <f aca="false">IFERROR($M529*$AF529*$AG529,0)</f>
        <v>35.9961485</v>
      </c>
      <c r="AQ529" s="153" t="n">
        <f aca="false">IFERROR(IF(AND($N529="VCA",$AH529&gt;0),$M529*$AG529*$AH529,0),0)</f>
        <v>2.64095</v>
      </c>
      <c r="AR529" s="153" t="n">
        <f aca="false">IFERROR(IF(AND($N529="VCA",$AJ529&gt;0),($M529*$AG529*$AJ529)-$AI529,0),0)</f>
        <v>9.45999482303339</v>
      </c>
      <c r="AS529" s="153" t="n">
        <f aca="false">IFERROR(IF(AND($N529="VCA",$AP529&gt;0),$AP529-$AI529-$AQ529-$AR529,0),0)</f>
        <v>23.76855</v>
      </c>
      <c r="AT529" s="153" t="n">
        <f aca="false">IFERROR(IF($N529="VCA",INDEX(APOIO_REDES!$A:$W,MATCH($C529&amp;$I529&amp;$H529&amp;$N529&amp;$O529,APOIO_REDES!$W:$W,0),MATCH(AT$5,APOIO_REDES!$5:$5,0)),0)*$AP529,0)</f>
        <v>0.391648749996108</v>
      </c>
      <c r="AU529" s="153" t="n">
        <f aca="false">IFERROR(IF($N529="VCA",INDEX(APOIO_REDES!$A:$W,MATCH($C529&amp;$I529&amp;$H529&amp;$N529&amp;$O529,APOIO_REDES!$W:$W,0),MATCH(AU$5,APOIO_REDES!$5:$5,0)),0)*$AP529,0)</f>
        <v>0.312760084553532</v>
      </c>
      <c r="AV529" s="153" t="n">
        <f aca="false">IFERROR(IF($N529="VCA",INDEX(APOIO_REDES!$A:$W,MATCH($C529&amp;$I529&amp;$H529&amp;$N529&amp;$O529,APOIO_REDES!$W:$W,0),MATCH(AV$5,APOIO_REDES!$5:$5,0)),0)*$AP529,0)</f>
        <v>0.043283540439279</v>
      </c>
      <c r="AW529" s="153" t="n">
        <f aca="false">IFERROR(IF($N529="VCA",INDEX(APOIO_REDES!$A:$W,MATCH($C529&amp;$I529&amp;$H529&amp;$N529&amp;$O529,APOIO_REDES!$W:$W,0),MATCH(AW$5,APOIO_REDES!$5:$5,0)),0)*$AP529,0)</f>
        <v>24.7080352421688</v>
      </c>
      <c r="AX529" s="153" t="n">
        <f aca="false">IFERROR(IF($N529="VCA",INDEX(APOIO_REDES!$A:$W,MATCH($C529&amp;$I529&amp;$H529&amp;$N529&amp;$O529,APOIO_REDES!$W:$W,0),MATCH(AX$5,APOIO_REDES!$5:$5,0)),0)*$AP529,0)</f>
        <v>3.41952169534552</v>
      </c>
      <c r="AY529" s="153" t="n">
        <f aca="false">IFERROR(IF($N529="VCA",INDEX(APOIO_REDES!$A:$W,MATCH($C529&amp;$I529&amp;$H529&amp;$N529&amp;$O529,APOIO_REDES!$W:$W,0),MATCH(AY$5,APOIO_REDES!$5:$5,0)),0)*$AP529,0)</f>
        <v>6.25519787855057</v>
      </c>
      <c r="AZ529" s="153" t="n">
        <f aca="false">IFERROR(IF($N529="VCA",INDEX(APOIO_REDES!$A:$W,MATCH($C529&amp;$I529&amp;$H529&amp;$N529&amp;$O529,APOIO_REDES!$W:$W,0),MATCH(AZ$5,APOIO_REDES!$5:$5,0)),0)*$AP529,0)</f>
        <v>0.865701308946199</v>
      </c>
      <c r="BA529" s="153" t="n">
        <f aca="false">IFERROR(IF(AND($N529="VCA",$Q529="LINEAR"),INDEX(APOIO_REDES!$A:$W,MATCH($C529&amp;$I529&amp;$H529&amp;$N529&amp;$O529,APOIO_REDES!$W:$W,0),MATCH(BA$5,APOIO_REDES!$5:$5,0)),IF(AND($N529="MND",$Q529="EMBOQUE"),INDEX(APOIO_REDES!$A:$W,MATCH($C529&amp;$I529&amp;$H529&amp;$N529&amp;$O529,APOIO_REDES!$W:$W,0),MATCH(BA$5,APOIO_REDES!$5:$5,0)),0))*$M529/10,0)</f>
        <v>3.27467551406647</v>
      </c>
      <c r="BB529" s="153" t="n">
        <f aca="false">IFERROR(IF($N529="VCA",INDEX(APOIO_REDES!$A:$W,MATCH($C529&amp;$I529&amp;$H529&amp;$N529&amp;$O529,APOIO_REDES!$W:$W,0),MATCH(BB$5,APOIO_REDES!$5:$5,0)),0)*($AI529+$AQ529+$AR529),0)</f>
        <v>12.0945586091356</v>
      </c>
      <c r="BC529" s="153" t="n">
        <f aca="false">IFERROR(IF($N529="VCA",INDEX(APOIO_REDES!$A:$W,MATCH($C529&amp;$I529&amp;$H529&amp;$N529&amp;$O529,APOIO_REDES!$W:$W,0),MATCH(BC$5,APOIO_REDES!$5:$5,0)),0)*($AI529+$AQ529+$AR529),0)</f>
        <v>0.133039890864415</v>
      </c>
      <c r="BD529" s="153" t="n">
        <f aca="false">IF(AND($N529="VCA",$AF529&gt;=1.25,$AF529&lt;1.5),$M529*$AF529*2,0)</f>
        <v>110.75738</v>
      </c>
      <c r="BE529" s="153" t="n">
        <f aca="false">IF(AND($N529="VCA",$AF529&gt;=1.5,$AF529&lt;3),$M529*$AF529*2,0)</f>
        <v>0</v>
      </c>
      <c r="BF529" s="153" t="n">
        <f aca="false">IF(AND($N529="VCA",$AF529&gt;=3),$M529*$AF529*2,0)</f>
        <v>0</v>
      </c>
      <c r="BG529" s="153" t="n">
        <f aca="false">($BB529+$BC529)*$AK529</f>
        <v>41.5738349</v>
      </c>
      <c r="BH529" s="153" t="n">
        <f aca="false">IF(AND($M529&lt;&gt;"",$N529="VCA",$Q529="LINEAR"),($M529*2)/100,IF(AND($M529&lt;&gt;"",$N529="MND",$Q529="EMBOQUE"),($AN529*2)/100,0))</f>
        <v>0.8126</v>
      </c>
      <c r="BI529" s="153" t="n">
        <f aca="false">IF(AND($M529&lt;&gt;"",$N529="VCA",$Q529="LINEAR"),$M529,IF(AND($M529&lt;&gt;"",$N529="MND",$Q529="EMBOQUE"),$AN529*2,0))</f>
        <v>40.63</v>
      </c>
      <c r="BJ529" s="153" t="n">
        <f aca="false">IF(AND($M529&lt;&gt;"",$N529="VCA",$Q529="LINEAR"),($M529*6.8)/100,IF(AND($M529&lt;&gt;"",$N529="MND",$Q529="EMBOQUE"),($AN529*2*6.8)/100,0))</f>
        <v>2.76284</v>
      </c>
      <c r="BK529" s="153" t="n">
        <f aca="false">IF(AND($M529&lt;&gt;"",$N529="VCA",$Q529="LINEAR"),($M529*2.5)/50,IF(AND($M529&lt;&gt;"",$N529="MND",$Q529="EMBOQUE"),($AN529*2*2.5)/50,0))</f>
        <v>2.0315</v>
      </c>
      <c r="BL529" s="157" t="str">
        <f aca="false">K529&amp;J529</f>
        <v>Zona05REDES</v>
      </c>
      <c r="BM529" s="152" t="s">
        <v>3356</v>
      </c>
      <c r="BN529" s="152" t="s">
        <v>1560</v>
      </c>
      <c r="BO529" s="152" t="s">
        <v>2800</v>
      </c>
      <c r="BP529" s="152" t="s">
        <v>3526</v>
      </c>
      <c r="BQ529" s="152" t="s">
        <v>3537</v>
      </c>
      <c r="BR529" s="152" t="s">
        <v>3553</v>
      </c>
      <c r="BS529" s="152" t="n">
        <v>203207.014</v>
      </c>
      <c r="BT529" s="152" t="n">
        <v>8237620.398</v>
      </c>
      <c r="BU529" s="152" t="n">
        <v>203246.335</v>
      </c>
      <c r="BV529" s="152" t="n">
        <v>8237610.291</v>
      </c>
      <c r="BW529" s="152" t="n">
        <v>-15.9229613</v>
      </c>
      <c r="BX529" s="152" t="n">
        <v>-47.7718151</v>
      </c>
      <c r="BY529" s="152" t="s">
        <v>3526</v>
      </c>
    </row>
    <row r="530" customFormat="false" ht="13.8" hidden="false" customHeight="false" outlineLevel="0" collapsed="false">
      <c r="A530" s="149" t="n">
        <f aca="false">IF(C530&lt;&gt;"",ROW(A525),"")</f>
        <v>525</v>
      </c>
      <c r="B530" s="150" t="str">
        <f aca="false">HYPERLINK("https://www.google.com/maps/dir/-15.917302,-47.760003/-15.9229860,-47.7688387/data=!4m3!4m2!3e0!5i2")</f>
        <v>https://www.google.com/maps/dir/-15.917302,-47.760003/-15.9229860,-47.7688387/data=!4m3!4m2!3e0!5i2</v>
      </c>
      <c r="C530" s="151" t="s">
        <v>117</v>
      </c>
      <c r="D530" s="152" t="s">
        <v>112</v>
      </c>
      <c r="E530" s="152" t="s">
        <v>113</v>
      </c>
      <c r="F530" s="152" t="s">
        <v>117</v>
      </c>
      <c r="G530" s="152" t="s">
        <v>114</v>
      </c>
      <c r="H530" s="152" t="n">
        <v>225</v>
      </c>
      <c r="I530" s="152" t="s">
        <v>115</v>
      </c>
      <c r="J530" s="152" t="s">
        <v>6</v>
      </c>
      <c r="K530" s="152" t="s">
        <v>3352</v>
      </c>
      <c r="L530" s="152" t="s">
        <v>120</v>
      </c>
      <c r="M530" s="153" t="n">
        <f aca="false">40.25</f>
        <v>40.25</v>
      </c>
      <c r="N530" s="152" t="s">
        <v>1548</v>
      </c>
      <c r="O530" s="152" t="s">
        <v>1549</v>
      </c>
      <c r="P530" s="152" t="s">
        <v>1550</v>
      </c>
      <c r="Q530" s="152" t="s">
        <v>1551</v>
      </c>
      <c r="R530" s="154" t="s">
        <v>3554</v>
      </c>
      <c r="S530" s="154" t="s">
        <v>1593</v>
      </c>
      <c r="T530" s="155" t="s">
        <v>2797</v>
      </c>
      <c r="U530" s="152" t="str">
        <f aca="false">RIGHT(T530,7)</f>
        <v>009/037</v>
      </c>
      <c r="V530" s="152" t="s">
        <v>1555</v>
      </c>
      <c r="W530" s="156" t="n">
        <v>45882</v>
      </c>
      <c r="X530" s="152" t="s">
        <v>1594</v>
      </c>
      <c r="Y530" s="152" t="s">
        <v>3540</v>
      </c>
      <c r="Z530" s="152" t="s">
        <v>1557</v>
      </c>
      <c r="AA530" s="153" t="n">
        <v>3.6</v>
      </c>
      <c r="AB530" s="151" t="s">
        <v>3555</v>
      </c>
      <c r="AC530" s="151" t="s">
        <v>508</v>
      </c>
      <c r="AD530" s="151" t="str">
        <f aca="false">CONCATENATE($C530,$I530,$H530,$N530,$J530,$K530)</f>
        <v>TUBO PEADPEAD225VCAREDESZona05</v>
      </c>
      <c r="AE530" s="153" t="n">
        <f aca="false">IFERROR(INDEX(APOIO_REDES!$A:$W,MATCH($C530&amp;$I530&amp;$H530&amp;$N530&amp;$O530,APOIO_REDES!$W:$W,0),MATCH(AE$5,APOIO_REDES!$5:$5,0)),0)</f>
        <v>1.2</v>
      </c>
      <c r="AF530" s="153" t="n">
        <f aca="false">IFERROR(INDEX(APOIO_REDES!$A:$W,MATCH($C530&amp;$I530&amp;$H530&amp;$N530&amp;$O530,APOIO_REDES!$W:$W,0),MATCH(AF$5,APOIO_REDES!$5:$5,0)),0)</f>
        <v>1.525</v>
      </c>
      <c r="AG530" s="153" t="n">
        <f aca="false">IFERROR(INDEX(APOIO_REDES!$A:$W,MATCH($C530&amp;$I530&amp;$H530&amp;$N530&amp;$O530,APOIO_REDES!$W:$W,0),MATCH(AG$5,APOIO_REDES!$5:$5,0)),0)</f>
        <v>0.8</v>
      </c>
      <c r="AH530" s="153" t="n">
        <f aca="false">IFERROR(INDEX(APOIO_REDES!$A:$W,MATCH($C530&amp;$I530&amp;$H530&amp;$N530&amp;$O530,APOIO_REDES!$W:$W,0),MATCH(AH$5,APOIO_REDES!$5:$5,0)),0)</f>
        <v>0.1</v>
      </c>
      <c r="AI530" s="153" t="n">
        <f aca="false">IFERROR(IF($H530&lt;&gt;"",(((($H530/1000)/2)^2)*PI()*$M530),0),0)</f>
        <v>1.60037147638533</v>
      </c>
      <c r="AJ530" s="153" t="n">
        <f aca="false">IFERROR(IF(AND($H530&lt;&gt;"",$I530="FoFo",OR($N530="MND",$N530="VCA"),$Q530="LINEAR"),0,IF(AND($H530&lt;&gt;"",$I530="PEAD",$N530="VCA",$Q530="LINEAR"),($H530/1000)+0.3,IF(AND($H530&lt;&gt;"",$I530="PEAD",$N530="MND",$Q530="EMBOQUE"),0,IF(AND($H530&lt;&gt;"",$I530="PVC",$N530="VCA",$Q530="LINEAR"),($H530/1000)+0.2,IF(AND($H530&lt;&gt;"",$I530="PVC",$N530="MND",$Q530="EMBOQUE"),0,IF(AND($H530&lt;&gt;"",$I530="PEAD",$N530="VCA",$Q530="PREDIAL"),0,0)))))),0)</f>
        <v>0.525</v>
      </c>
      <c r="AK530" s="153" t="n">
        <f aca="false">IF(AA530&lt;&gt;"",AA530,0)</f>
        <v>3.6</v>
      </c>
      <c r="AL530" s="153" t="n">
        <f aca="false">IF(AND($N530="MND",$Q530="EMBOQUE"),$M530,IF(AND($N530="VCA",$Q530="LINEAR"),$M530,IF(AND($N530="VCA",$Q530="PREDIAL"),0,0)))</f>
        <v>40.25</v>
      </c>
      <c r="AM530" s="153" t="n">
        <f aca="false">IF(AND($N530="MND",$Q530="EMBOQUE"),$M530,IF(AND($N530="VCA",$Q530="LINEAR"),$M530,IF(AND($N530="VCA",$Q530="PREDIAL"),0,0)))</f>
        <v>40.25</v>
      </c>
      <c r="AN530" s="153" t="n">
        <f aca="false">ROUND(IF(AND($N530="VCA",$M530&lt;&gt;"",$Q530="LINEAR"),$M530/100,IF(AND($N530="MND",$M530&gt;100,$Q530="EMBOQUE"),$M530/100,0)),0)</f>
        <v>0</v>
      </c>
      <c r="AO530" s="153" t="n">
        <f aca="false">IF(AND($N530="MND",$Q530="EMBOQUE"),$AN530*2*2,IF(AND($N530="VCA",$Q530="LINEAR"),$M530*2,IF(AND($N530="VCA",$Q530="PREDIAL"),0,0)))</f>
        <v>80.5</v>
      </c>
      <c r="AP530" s="153" t="n">
        <f aca="false">IFERROR($M530*$AF530*$AG530,0)</f>
        <v>49.105</v>
      </c>
      <c r="AQ530" s="153" t="n">
        <f aca="false">IFERROR(IF(AND($N530="VCA",$AH530&gt;0),$M530*$AG530*$AH530,0),0)</f>
        <v>3.22</v>
      </c>
      <c r="AR530" s="153" t="n">
        <f aca="false">IFERROR(IF(AND($N530="VCA",$AJ530&gt;0),($M530*$AG530*$AJ530)-$AI530,0),0)</f>
        <v>15.3046285236147</v>
      </c>
      <c r="AS530" s="153" t="n">
        <f aca="false">IFERROR(IF(AND($N530="VCA",$AP530&gt;0),$AP530-$AI530-$AQ530-$AR530,0),0)</f>
        <v>28.98</v>
      </c>
      <c r="AT530" s="153" t="n">
        <f aca="false">IFERROR(IF($N530="VCA",INDEX(APOIO_REDES!$A:$W,MATCH($C530&amp;$I530&amp;$H530&amp;$N530&amp;$O530,APOIO_REDES!$W:$W,0),MATCH(AT$5,APOIO_REDES!$5:$5,0)),0)*$AP530,0)</f>
        <v>0.534276934338096</v>
      </c>
      <c r="AU530" s="153" t="n">
        <f aca="false">IFERROR(IF($N530="VCA",INDEX(APOIO_REDES!$A:$W,MATCH($C530&amp;$I530&amp;$H530&amp;$N530&amp;$O530,APOIO_REDES!$W:$W,0),MATCH(AU$5,APOIO_REDES!$5:$5,0)),0)*$AP530,0)</f>
        <v>0.426659089707922</v>
      </c>
      <c r="AV530" s="153" t="n">
        <f aca="false">IFERROR(IF($N530="VCA",INDEX(APOIO_REDES!$A:$W,MATCH($C530&amp;$I530&amp;$H530&amp;$N530&amp;$O530,APOIO_REDES!$W:$W,0),MATCH(AV$5,APOIO_REDES!$5:$5,0)),0)*$AP530,0)</f>
        <v>0.0590462686103985</v>
      </c>
      <c r="AW530" s="153" t="n">
        <f aca="false">IFERROR(IF($N530="VCA",INDEX(APOIO_REDES!$A:$W,MATCH($C530&amp;$I530&amp;$H530&amp;$N530&amp;$O530,APOIO_REDES!$W:$W,0),MATCH(AW$5,APOIO_REDES!$5:$5,0)),0)*$AP530,0)</f>
        <v>33.7060524841067</v>
      </c>
      <c r="AX530" s="153" t="n">
        <f aca="false">IFERROR(IF($N530="VCA",INDEX(APOIO_REDES!$A:$W,MATCH($C530&amp;$I530&amp;$H530&amp;$N530&amp;$O530,APOIO_REDES!$W:$W,0),MATCH(AX$5,APOIO_REDES!$5:$5,0)),0)*$AP530,0)</f>
        <v>4.66482165029244</v>
      </c>
      <c r="AY530" s="153" t="n">
        <f aca="false">IFERROR(IF($N530="VCA",INDEX(APOIO_REDES!$A:$W,MATCH($C530&amp;$I530&amp;$H530&amp;$N530&amp;$O530,APOIO_REDES!$W:$W,0),MATCH(AY$5,APOIO_REDES!$5:$5,0)),0)*$AP530,0)</f>
        <v>8.53317659321873</v>
      </c>
      <c r="AZ530" s="153" t="n">
        <f aca="false">IFERROR(IF($N530="VCA",INDEX(APOIO_REDES!$A:$W,MATCH($C530&amp;$I530&amp;$H530&amp;$N530&amp;$O530,APOIO_REDES!$W:$W,0),MATCH(AZ$5,APOIO_REDES!$5:$5,0)),0)*$AP530,0)</f>
        <v>1.18096697972571</v>
      </c>
      <c r="BA530" s="153" t="n">
        <f aca="false">IFERROR(IF(AND($N530="VCA",$Q530="LINEAR"),INDEX(APOIO_REDES!$A:$W,MATCH($C530&amp;$I530&amp;$H530&amp;$N530&amp;$O530,APOIO_REDES!$W:$W,0),MATCH(BA$5,APOIO_REDES!$5:$5,0)),IF(AND($N530="MND",$Q530="EMBOQUE"),INDEX(APOIO_REDES!$A:$W,MATCH($C530&amp;$I530&amp;$H530&amp;$N530&amp;$O530,APOIO_REDES!$W:$W,0),MATCH(BA$5,APOIO_REDES!$5:$5,0)),0))*$M530/10,0)</f>
        <v>3.24404847258616</v>
      </c>
      <c r="BB530" s="153" t="n">
        <f aca="false">IFERROR(IF($N530="VCA",INDEX(APOIO_REDES!$A:$W,MATCH($C530&amp;$I530&amp;$H530&amp;$N530&amp;$O530,APOIO_REDES!$W:$W,0),MATCH(BB$5,APOIO_REDES!$5:$5,0)),0)*($AI530+$AQ530+$AR530),0)</f>
        <v>19.9060340433041</v>
      </c>
      <c r="BC530" s="153" t="n">
        <f aca="false">IFERROR(IF($N530="VCA",INDEX(APOIO_REDES!$A:$W,MATCH($C530&amp;$I530&amp;$H530&amp;$N530&amp;$O530,APOIO_REDES!$W:$W,0),MATCH(BC$5,APOIO_REDES!$5:$5,0)),0)*($AI530+$AQ530+$AR530),0)</f>
        <v>0.218965956695941</v>
      </c>
      <c r="BD530" s="153" t="n">
        <f aca="false">IF(AND($N530="VCA",$AF530&gt;=1.25,$AF530&lt;1.5),$M530*$AF530*2,0)</f>
        <v>0</v>
      </c>
      <c r="BE530" s="153" t="n">
        <f aca="false">IF(AND($N530="VCA",$AF530&gt;=1.5,$AF530&lt;3),$M530*$AF530*2,0)</f>
        <v>122.7625</v>
      </c>
      <c r="BF530" s="153" t="n">
        <f aca="false">IF(AND($N530="VCA",$AF530&gt;=3),$M530*$AF530*2,0)</f>
        <v>0</v>
      </c>
      <c r="BG530" s="153" t="n">
        <f aca="false">($BB530+$BC530)*$AK530</f>
        <v>72.45</v>
      </c>
      <c r="BH530" s="153" t="n">
        <f aca="false">IF(AND($M530&lt;&gt;"",$N530="VCA",$Q530="LINEAR"),($M530*2)/100,IF(AND($M530&lt;&gt;"",$N530="MND",$Q530="EMBOQUE"),($AN530*2)/100,0))</f>
        <v>0.805</v>
      </c>
      <c r="BI530" s="153" t="n">
        <f aca="false">IF(AND($M530&lt;&gt;"",$N530="VCA",$Q530="LINEAR"),$M530,IF(AND($M530&lt;&gt;"",$N530="MND",$Q530="EMBOQUE"),$AN530*2,0))</f>
        <v>40.25</v>
      </c>
      <c r="BJ530" s="153" t="n">
        <f aca="false">IF(AND($M530&lt;&gt;"",$N530="VCA",$Q530="LINEAR"),($M530*6.8)/100,IF(AND($M530&lt;&gt;"",$N530="MND",$Q530="EMBOQUE"),($AN530*2*6.8)/100,0))</f>
        <v>2.737</v>
      </c>
      <c r="BK530" s="153" t="n">
        <f aca="false">IF(AND($M530&lt;&gt;"",$N530="VCA",$Q530="LINEAR"),($M530*2.5)/50,IF(AND($M530&lt;&gt;"",$N530="MND",$Q530="EMBOQUE"),($AN530*2*2.5)/50,0))</f>
        <v>2.0125</v>
      </c>
      <c r="BL530" s="157" t="str">
        <f aca="false">K530&amp;J530</f>
        <v>Zona05REDES</v>
      </c>
      <c r="BM530" s="152" t="s">
        <v>3356</v>
      </c>
      <c r="BN530" s="152" t="s">
        <v>1560</v>
      </c>
      <c r="BO530" s="152" t="s">
        <v>2800</v>
      </c>
      <c r="BP530" s="152" t="s">
        <v>3546</v>
      </c>
      <c r="BQ530" s="152" t="s">
        <v>3556</v>
      </c>
      <c r="BR530" s="152" t="s">
        <v>3557</v>
      </c>
      <c r="BS530" s="152" t="n">
        <v>203545.701</v>
      </c>
      <c r="BT530" s="152" t="n">
        <v>8237617.182</v>
      </c>
      <c r="BU530" s="152" t="n">
        <v>203584.561</v>
      </c>
      <c r="BV530" s="152" t="n">
        <v>8237606.76</v>
      </c>
      <c r="BW530" s="152" t="n">
        <v>-15.923033</v>
      </c>
      <c r="BX530" s="152" t="n">
        <v>-47.7686573</v>
      </c>
      <c r="BY530" s="152" t="s">
        <v>3546</v>
      </c>
    </row>
    <row r="531" customFormat="false" ht="13.8" hidden="false" customHeight="false" outlineLevel="0" collapsed="false">
      <c r="A531" s="149" t="n">
        <f aca="false">IF(C531&lt;&gt;"",ROW(A526),"")</f>
        <v>526</v>
      </c>
      <c r="B531" s="150" t="str">
        <f aca="false">HYPERLINK("https://www.google.com/maps/dir/-15.917302,-47.760003/-15.9230847,-47.7684773/data=!4m3!4m2!3e0!5i2")</f>
        <v>https://www.google.com/maps/dir/-15.917302,-47.760003/-15.9230847,-47.7684773/data=!4m3!4m2!3e0!5i2</v>
      </c>
      <c r="C531" s="151" t="s">
        <v>117</v>
      </c>
      <c r="D531" s="152" t="s">
        <v>112</v>
      </c>
      <c r="E531" s="152" t="s">
        <v>113</v>
      </c>
      <c r="F531" s="152" t="s">
        <v>117</v>
      </c>
      <c r="G531" s="152" t="s">
        <v>782</v>
      </c>
      <c r="H531" s="152" t="n">
        <v>110</v>
      </c>
      <c r="I531" s="152" t="s">
        <v>115</v>
      </c>
      <c r="J531" s="152" t="s">
        <v>6</v>
      </c>
      <c r="K531" s="152" t="s">
        <v>3352</v>
      </c>
      <c r="L531" s="152" t="s">
        <v>120</v>
      </c>
      <c r="M531" s="153" t="n">
        <f aca="false">6.2</f>
        <v>6.2</v>
      </c>
      <c r="N531" s="152" t="s">
        <v>1548</v>
      </c>
      <c r="O531" s="152" t="s">
        <v>1549</v>
      </c>
      <c r="P531" s="152" t="s">
        <v>1550</v>
      </c>
      <c r="Q531" s="152" t="s">
        <v>1551</v>
      </c>
      <c r="R531" s="154" t="s">
        <v>3558</v>
      </c>
      <c r="S531" s="154" t="s">
        <v>1593</v>
      </c>
      <c r="T531" s="155" t="s">
        <v>2797</v>
      </c>
      <c r="U531" s="152" t="str">
        <f aca="false">RIGHT(T531,7)</f>
        <v>009/037</v>
      </c>
      <c r="V531" s="152" t="s">
        <v>1555</v>
      </c>
      <c r="W531" s="156" t="n">
        <v>45882</v>
      </c>
      <c r="X531" s="152" t="s">
        <v>1594</v>
      </c>
      <c r="Y531" s="152" t="s">
        <v>3540</v>
      </c>
      <c r="Z531" s="152" t="s">
        <v>1557</v>
      </c>
      <c r="AA531" s="153" t="n">
        <v>3.6</v>
      </c>
      <c r="AB531" s="151" t="s">
        <v>3559</v>
      </c>
      <c r="AC531" s="151" t="s">
        <v>502</v>
      </c>
      <c r="AD531" s="151" t="str">
        <f aca="false">CONCATENATE($C531,$I531,$H531,$N531,$J531,$K531)</f>
        <v>TUBO PEADPEAD110VCAREDESZona05</v>
      </c>
      <c r="AE531" s="153" t="n">
        <f aca="false">IFERROR(INDEX(APOIO_REDES!$A:$W,MATCH($C531&amp;$I531&amp;$H531&amp;$N531&amp;$O531,APOIO_REDES!$W:$W,0),MATCH(AE$5,APOIO_REDES!$5:$5,0)),0)</f>
        <v>1.2</v>
      </c>
      <c r="AF531" s="153" t="n">
        <f aca="false">IFERROR(INDEX(APOIO_REDES!$A:$W,MATCH($C531&amp;$I531&amp;$H531&amp;$N531&amp;$O531,APOIO_REDES!$W:$W,0),MATCH(AF$5,APOIO_REDES!$5:$5,0)),0)</f>
        <v>1.41</v>
      </c>
      <c r="AG531" s="153" t="n">
        <f aca="false">IFERROR(INDEX(APOIO_REDES!$A:$W,MATCH($C531&amp;$I531&amp;$H531&amp;$N531&amp;$O531,APOIO_REDES!$W:$W,0),MATCH(AG$5,APOIO_REDES!$5:$5,0)),0)</f>
        <v>0.75</v>
      </c>
      <c r="AH531" s="153" t="n">
        <f aca="false">IFERROR(INDEX(APOIO_REDES!$A:$W,MATCH($C531&amp;$I531&amp;$H531&amp;$N531&amp;$O531,APOIO_REDES!$W:$W,0),MATCH(AH$5,APOIO_REDES!$5:$5,0)),0)</f>
        <v>0.1</v>
      </c>
      <c r="AI531" s="153" t="n">
        <f aca="false">IFERROR(IF($H531&lt;&gt;"",(((($H531/1000)/2)^2)*PI()*$M531),0),0)</f>
        <v>0.0589205702180766</v>
      </c>
      <c r="AJ531" s="153" t="n">
        <f aca="false">IFERROR(IF(AND($H531&lt;&gt;"",$I531="FoFo",OR($N531="MND",$N531="VCA"),$Q531="LINEAR"),0,IF(AND($H531&lt;&gt;"",$I531="PEAD",$N531="VCA",$Q531="LINEAR"),($H531/1000)+0.3,IF(AND($H531&lt;&gt;"",$I531="PEAD",$N531="MND",$Q531="EMBOQUE"),0,IF(AND($H531&lt;&gt;"",$I531="PVC",$N531="VCA",$Q531="LINEAR"),($H531/1000)+0.2,IF(AND($H531&lt;&gt;"",$I531="PVC",$N531="MND",$Q531="EMBOQUE"),0,IF(AND($H531&lt;&gt;"",$I531="PEAD",$N531="VCA",$Q531="PREDIAL"),0,0)))))),0)</f>
        <v>0.41</v>
      </c>
      <c r="AK531" s="153" t="n">
        <f aca="false">IF(AA531&lt;&gt;"",AA531,0)</f>
        <v>3.6</v>
      </c>
      <c r="AL531" s="153" t="n">
        <f aca="false">IF(AND($N531="MND",$Q531="EMBOQUE"),$M531,IF(AND($N531="VCA",$Q531="LINEAR"),$M531,IF(AND($N531="VCA",$Q531="PREDIAL"),0,0)))</f>
        <v>6.2</v>
      </c>
      <c r="AM531" s="153" t="n">
        <f aca="false">IF(AND($N531="MND",$Q531="EMBOQUE"),$M531,IF(AND($N531="VCA",$Q531="LINEAR"),$M531,IF(AND($N531="VCA",$Q531="PREDIAL"),0,0)))</f>
        <v>6.2</v>
      </c>
      <c r="AN531" s="153" t="n">
        <f aca="false">ROUND(IF(AND($N531="VCA",$M531&lt;&gt;"",$Q531="LINEAR"),$M531/100,IF(AND($N531="MND",$M531&gt;100,$Q531="EMBOQUE"),$M531/100,0)),0)</f>
        <v>0</v>
      </c>
      <c r="AO531" s="153" t="n">
        <f aca="false">IF(AND($N531="MND",$Q531="EMBOQUE"),$AN531*2*2,IF(AND($N531="VCA",$Q531="LINEAR"),$M531*2,IF(AND($N531="VCA",$Q531="PREDIAL"),0,0)))</f>
        <v>12.4</v>
      </c>
      <c r="AP531" s="153" t="n">
        <f aca="false">IFERROR($M531*$AF531*$AG531,0)</f>
        <v>6.5565</v>
      </c>
      <c r="AQ531" s="153" t="n">
        <f aca="false">IFERROR(IF(AND($N531="VCA",$AH531&gt;0),$M531*$AG531*$AH531,0),0)</f>
        <v>0.465</v>
      </c>
      <c r="AR531" s="153" t="n">
        <f aca="false">IFERROR(IF(AND($N531="VCA",$AJ531&gt;0),($M531*$AG531*$AJ531)-$AI531,0),0)</f>
        <v>1.84757942978192</v>
      </c>
      <c r="AS531" s="153" t="n">
        <f aca="false">IFERROR(IF(AND($N531="VCA",$AP531&gt;0),$AP531-$AI531-$AQ531-$AR531,0),0)</f>
        <v>4.185</v>
      </c>
      <c r="AT531" s="153" t="n">
        <f aca="false">IFERROR(IF($N531="VCA",INDEX(APOIO_REDES!$A:$W,MATCH($C531&amp;$I531&amp;$H531&amp;$N531&amp;$O531,APOIO_REDES!$W:$W,0),MATCH(AT$5,APOIO_REDES!$5:$5,0)),0)*$AP531,0)</f>
        <v>0.071336660624941</v>
      </c>
      <c r="AU531" s="153" t="n">
        <f aca="false">IFERROR(IF($N531="VCA",INDEX(APOIO_REDES!$A:$W,MATCH($C531&amp;$I531&amp;$H531&amp;$N531&amp;$O531,APOIO_REDES!$W:$W,0),MATCH(AU$5,APOIO_REDES!$5:$5,0)),0)*$AP531,0)</f>
        <v>0.0569675251332857</v>
      </c>
      <c r="AV531" s="153" t="n">
        <f aca="false">IFERROR(IF($N531="VCA",INDEX(APOIO_REDES!$A:$W,MATCH($C531&amp;$I531&amp;$H531&amp;$N531&amp;$O531,APOIO_REDES!$W:$W,0),MATCH(AV$5,APOIO_REDES!$5:$5,0)),0)*$AP531,0)</f>
        <v>0.0078838582658401</v>
      </c>
      <c r="AW531" s="153" t="n">
        <f aca="false">IFERROR(IF($N531="VCA",INDEX(APOIO_REDES!$A:$W,MATCH($C531&amp;$I531&amp;$H531&amp;$N531&amp;$O531,APOIO_REDES!$W:$W,0),MATCH(AW$5,APOIO_REDES!$5:$5,0)),0)*$AP531,0)</f>
        <v>4.50043240224103</v>
      </c>
      <c r="AX531" s="153" t="n">
        <f aca="false">IFERROR(IF($N531="VCA",INDEX(APOIO_REDES!$A:$W,MATCH($C531&amp;$I531&amp;$H531&amp;$N531&amp;$O531,APOIO_REDES!$W:$W,0),MATCH(AX$5,APOIO_REDES!$5:$5,0)),0)*$AP531,0)</f>
        <v>0.622847024745797</v>
      </c>
      <c r="AY531" s="153" t="n">
        <f aca="false">IFERROR(IF($N531="VCA",INDEX(APOIO_REDES!$A:$W,MATCH($C531&amp;$I531&amp;$H531&amp;$N531&amp;$O531,APOIO_REDES!$W:$W,0),MATCH(AY$5,APOIO_REDES!$5:$5,0)),0)*$AP531,0)</f>
        <v>1.1393498082362</v>
      </c>
      <c r="AZ531" s="153" t="n">
        <f aca="false">IFERROR(IF($N531="VCA",INDEX(APOIO_REDES!$A:$W,MATCH($C531&amp;$I531&amp;$H531&amp;$N531&amp;$O531,APOIO_REDES!$W:$W,0),MATCH(AZ$5,APOIO_REDES!$5:$5,0)),0)*$AP531,0)</f>
        <v>0.157682720752909</v>
      </c>
      <c r="BA531" s="153" t="n">
        <f aca="false">IFERROR(IF(AND($N531="VCA",$Q531="LINEAR"),INDEX(APOIO_REDES!$A:$W,MATCH($C531&amp;$I531&amp;$H531&amp;$N531&amp;$O531,APOIO_REDES!$W:$W,0),MATCH(BA$5,APOIO_REDES!$5:$5,0)),IF(AND($N531="MND",$Q531="EMBOQUE"),INDEX(APOIO_REDES!$A:$W,MATCH($C531&amp;$I531&amp;$H531&amp;$N531&amp;$O531,APOIO_REDES!$W:$W,0),MATCH(BA$5,APOIO_REDES!$5:$5,0)),0))*$M531/10,0)</f>
        <v>0.499704360994638</v>
      </c>
      <c r="BB531" s="153" t="n">
        <f aca="false">IFERROR(IF($N531="VCA",INDEX(APOIO_REDES!$A:$W,MATCH($C531&amp;$I531&amp;$H531&amp;$N531&amp;$O531,APOIO_REDES!$W:$W,0),MATCH(BB$5,APOIO_REDES!$5:$5,0)),0)*($AI531+$AQ531+$AR531),0)</f>
        <v>2.34569737807183</v>
      </c>
      <c r="BC531" s="153" t="n">
        <f aca="false">IFERROR(IF($N531="VCA",INDEX(APOIO_REDES!$A:$W,MATCH($C531&amp;$I531&amp;$H531&amp;$N531&amp;$O531,APOIO_REDES!$W:$W,0),MATCH(BC$5,APOIO_REDES!$5:$5,0)),0)*($AI531+$AQ531+$AR531),0)</f>
        <v>0.0258026219281702</v>
      </c>
      <c r="BD531" s="153" t="n">
        <f aca="false">IF(AND($N531="VCA",$AF531&gt;=1.25,$AF531&lt;1.5),$M531*$AF531*2,0)</f>
        <v>17.484</v>
      </c>
      <c r="BE531" s="153" t="n">
        <f aca="false">IF(AND($N531="VCA",$AF531&gt;=1.5,$AF531&lt;3),$M531*$AF531*2,0)</f>
        <v>0</v>
      </c>
      <c r="BF531" s="153" t="n">
        <f aca="false">IF(AND($N531="VCA",$AF531&gt;=3),$M531*$AF531*2,0)</f>
        <v>0</v>
      </c>
      <c r="BG531" s="153" t="n">
        <f aca="false">($BB531+$BC531)*$AK531</f>
        <v>8.5374</v>
      </c>
      <c r="BH531" s="153" t="n">
        <f aca="false">IF(AND($M531&lt;&gt;"",$N531="VCA",$Q531="LINEAR"),($M531*2)/100,IF(AND($M531&lt;&gt;"",$N531="MND",$Q531="EMBOQUE"),($AN531*2)/100,0))</f>
        <v>0.124</v>
      </c>
      <c r="BI531" s="153" t="n">
        <f aca="false">IF(AND($M531&lt;&gt;"",$N531="VCA",$Q531="LINEAR"),$M531,IF(AND($M531&lt;&gt;"",$N531="MND",$Q531="EMBOQUE"),$AN531*2,0))</f>
        <v>6.2</v>
      </c>
      <c r="BJ531" s="153" t="n">
        <f aca="false">IF(AND($M531&lt;&gt;"",$N531="VCA",$Q531="LINEAR"),($M531*6.8)/100,IF(AND($M531&lt;&gt;"",$N531="MND",$Q531="EMBOQUE"),($AN531*2*6.8)/100,0))</f>
        <v>0.4216</v>
      </c>
      <c r="BK531" s="153" t="n">
        <f aca="false">IF(AND($M531&lt;&gt;"",$N531="VCA",$Q531="LINEAR"),($M531*2.5)/50,IF(AND($M531&lt;&gt;"",$N531="MND",$Q531="EMBOQUE"),($AN531*2*2.5)/50,0))</f>
        <v>0.31</v>
      </c>
      <c r="BL531" s="157" t="str">
        <f aca="false">K531&amp;J531</f>
        <v>Zona05REDES</v>
      </c>
      <c r="BM531" s="152" t="s">
        <v>3356</v>
      </c>
      <c r="BN531" s="152" t="s">
        <v>1560</v>
      </c>
      <c r="BO531" s="152" t="s">
        <v>2800</v>
      </c>
      <c r="BP531" s="152" t="s">
        <v>3556</v>
      </c>
      <c r="BQ531" s="152" t="s">
        <v>3477</v>
      </c>
      <c r="BR531" s="152" t="s">
        <v>3560</v>
      </c>
      <c r="BS531" s="152" t="n">
        <v>203584.561</v>
      </c>
      <c r="BT531" s="152" t="n">
        <v>8237606.76</v>
      </c>
      <c r="BU531" s="152" t="n">
        <v>203584.87</v>
      </c>
      <c r="BV531" s="152" t="n">
        <v>8237612.556</v>
      </c>
      <c r="BW531" s="152" t="n">
        <v>-15.9230571</v>
      </c>
      <c r="BX531" s="152" t="n">
        <v>-47.7684731</v>
      </c>
      <c r="BY531" s="152" t="s">
        <v>3556</v>
      </c>
    </row>
    <row r="532" customFormat="false" ht="13.8" hidden="false" customHeight="false" outlineLevel="0" collapsed="false">
      <c r="A532" s="149" t="n">
        <f aca="false">IF(C532&lt;&gt;"",ROW(A527),"")</f>
        <v>527</v>
      </c>
      <c r="B532" s="150" t="str">
        <f aca="false">HYPERLINK("https://www.google.com/maps/dir/-15.917302,-47.760003/-15.9231459,-47.7681473/data=!4m3!4m2!3e0!5i2")</f>
        <v>https://www.google.com/maps/dir/-15.917302,-47.760003/-15.9231459,-47.7681473/data=!4m3!4m2!3e0!5i2</v>
      </c>
      <c r="C532" s="151" t="s">
        <v>117</v>
      </c>
      <c r="D532" s="152" t="s">
        <v>112</v>
      </c>
      <c r="E532" s="152" t="s">
        <v>113</v>
      </c>
      <c r="F532" s="152" t="s">
        <v>117</v>
      </c>
      <c r="G532" s="152" t="s">
        <v>782</v>
      </c>
      <c r="H532" s="152" t="n">
        <v>110</v>
      </c>
      <c r="I532" s="152" t="s">
        <v>115</v>
      </c>
      <c r="J532" s="152" t="s">
        <v>6</v>
      </c>
      <c r="K532" s="152" t="s">
        <v>3352</v>
      </c>
      <c r="L532" s="152" t="s">
        <v>120</v>
      </c>
      <c r="M532" s="153" t="n">
        <f aca="false">36.54+0.17</f>
        <v>36.71</v>
      </c>
      <c r="N532" s="152" t="s">
        <v>1548</v>
      </c>
      <c r="O532" s="152" t="s">
        <v>1549</v>
      </c>
      <c r="P532" s="152" t="s">
        <v>1550</v>
      </c>
      <c r="Q532" s="152" t="s">
        <v>1551</v>
      </c>
      <c r="R532" s="154" t="s">
        <v>3561</v>
      </c>
      <c r="S532" s="154" t="s">
        <v>1593</v>
      </c>
      <c r="T532" s="155" t="s">
        <v>2797</v>
      </c>
      <c r="U532" s="152" t="str">
        <f aca="false">RIGHT(T532,7)</f>
        <v>009/037</v>
      </c>
      <c r="V532" s="152" t="s">
        <v>1555</v>
      </c>
      <c r="W532" s="156" t="n">
        <v>45882</v>
      </c>
      <c r="X532" s="152" t="s">
        <v>1594</v>
      </c>
      <c r="Y532" s="152" t="s">
        <v>3549</v>
      </c>
      <c r="Z532" s="152" t="s">
        <v>1557</v>
      </c>
      <c r="AA532" s="153" t="n">
        <v>3.7</v>
      </c>
      <c r="AB532" s="151" t="s">
        <v>3562</v>
      </c>
      <c r="AC532" s="151" t="s">
        <v>502</v>
      </c>
      <c r="AD532" s="151" t="str">
        <f aca="false">CONCATENATE($C532,$I532,$H532,$N532,$J532,$K532)</f>
        <v>TUBO PEADPEAD110VCAREDESZona05</v>
      </c>
      <c r="AE532" s="153" t="n">
        <f aca="false">IFERROR(INDEX(APOIO_REDES!$A:$W,MATCH($C532&amp;$I532&amp;$H532&amp;$N532&amp;$O532,APOIO_REDES!$W:$W,0),MATCH(AE$5,APOIO_REDES!$5:$5,0)),0)</f>
        <v>1.2</v>
      </c>
      <c r="AF532" s="153" t="n">
        <f aca="false">IFERROR(INDEX(APOIO_REDES!$A:$W,MATCH($C532&amp;$I532&amp;$H532&amp;$N532&amp;$O532,APOIO_REDES!$W:$W,0),MATCH(AF$5,APOIO_REDES!$5:$5,0)),0)</f>
        <v>1.41</v>
      </c>
      <c r="AG532" s="153" t="n">
        <f aca="false">IFERROR(INDEX(APOIO_REDES!$A:$W,MATCH($C532&amp;$I532&amp;$H532&amp;$N532&amp;$O532,APOIO_REDES!$W:$W,0),MATCH(AG$5,APOIO_REDES!$5:$5,0)),0)</f>
        <v>0.75</v>
      </c>
      <c r="AH532" s="153" t="n">
        <f aca="false">IFERROR(INDEX(APOIO_REDES!$A:$W,MATCH($C532&amp;$I532&amp;$H532&amp;$N532&amp;$O532,APOIO_REDES!$W:$W,0),MATCH(AH$5,APOIO_REDES!$5:$5,0)),0)</f>
        <v>0.1</v>
      </c>
      <c r="AI532" s="153" t="n">
        <f aca="false">IFERROR(IF($H532&lt;&gt;"",(((($H532/1000)/2)^2)*PI()*$M532),0),0)</f>
        <v>0.348866795597676</v>
      </c>
      <c r="AJ532" s="153" t="n">
        <f aca="false">IFERROR(IF(AND($H532&lt;&gt;"",$I532="FoFo",OR($N532="MND",$N532="VCA"),$Q532="LINEAR"),0,IF(AND($H532&lt;&gt;"",$I532="PEAD",$N532="VCA",$Q532="LINEAR"),($H532/1000)+0.3,IF(AND($H532&lt;&gt;"",$I532="PEAD",$N532="MND",$Q532="EMBOQUE"),0,IF(AND($H532&lt;&gt;"",$I532="PVC",$N532="VCA",$Q532="LINEAR"),($H532/1000)+0.2,IF(AND($H532&lt;&gt;"",$I532="PVC",$N532="MND",$Q532="EMBOQUE"),0,IF(AND($H532&lt;&gt;"",$I532="PEAD",$N532="VCA",$Q532="PREDIAL"),0,0)))))),0)</f>
        <v>0.41</v>
      </c>
      <c r="AK532" s="153" t="n">
        <f aca="false">IF(AA532&lt;&gt;"",AA532,0)</f>
        <v>3.7</v>
      </c>
      <c r="AL532" s="153" t="n">
        <f aca="false">IF(AND($N532="MND",$Q532="EMBOQUE"),$M532,IF(AND($N532="VCA",$Q532="LINEAR"),$M532,IF(AND($N532="VCA",$Q532="PREDIAL"),0,0)))</f>
        <v>36.71</v>
      </c>
      <c r="AM532" s="153" t="n">
        <f aca="false">IF(AND($N532="MND",$Q532="EMBOQUE"),$M532,IF(AND($N532="VCA",$Q532="LINEAR"),$M532,IF(AND($N532="VCA",$Q532="PREDIAL"),0,0)))</f>
        <v>36.71</v>
      </c>
      <c r="AN532" s="153" t="n">
        <f aca="false">ROUND(IF(AND($N532="VCA",$M532&lt;&gt;"",$Q532="LINEAR"),$M532/100,IF(AND($N532="MND",$M532&gt;100,$Q532="EMBOQUE"),$M532/100,0)),0)</f>
        <v>0</v>
      </c>
      <c r="AO532" s="153" t="n">
        <f aca="false">IF(AND($N532="MND",$Q532="EMBOQUE"),$AN532*2*2,IF(AND($N532="VCA",$Q532="LINEAR"),$M532*2,IF(AND($N532="VCA",$Q532="PREDIAL"),0,0)))</f>
        <v>73.42</v>
      </c>
      <c r="AP532" s="153" t="n">
        <f aca="false">IFERROR($M532*$AF532*$AG532,0)</f>
        <v>38.820825</v>
      </c>
      <c r="AQ532" s="153" t="n">
        <f aca="false">IFERROR(IF(AND($N532="VCA",$AH532&gt;0),$M532*$AG532*$AH532,0),0)</f>
        <v>2.75325</v>
      </c>
      <c r="AR532" s="153" t="n">
        <f aca="false">IFERROR(IF(AND($N532="VCA",$AJ532&gt;0),($M532*$AG532*$AJ532)-$AI532,0),0)</f>
        <v>10.9394582044023</v>
      </c>
      <c r="AS532" s="153" t="n">
        <f aca="false">IFERROR(IF(AND($N532="VCA",$AP532&gt;0),$AP532-$AI532-$AQ532-$AR532,0),0)</f>
        <v>24.77925</v>
      </c>
      <c r="AT532" s="153" t="n">
        <f aca="false">IFERROR(IF($N532="VCA",INDEX(APOIO_REDES!$A:$W,MATCH($C532&amp;$I532&amp;$H532&amp;$N532&amp;$O532,APOIO_REDES!$W:$W,0),MATCH(AT$5,APOIO_REDES!$5:$5,0)),0)*$AP532,0)</f>
        <v>0.422382066377675</v>
      </c>
      <c r="AU532" s="153" t="n">
        <f aca="false">IFERROR(IF($N532="VCA",INDEX(APOIO_REDES!$A:$W,MATCH($C532&amp;$I532&amp;$H532&amp;$N532&amp;$O532,APOIO_REDES!$W:$W,0),MATCH(AU$5,APOIO_REDES!$5:$5,0)),0)*$AP532,0)</f>
        <v>0.337302878652083</v>
      </c>
      <c r="AV532" s="153" t="n">
        <f aca="false">IFERROR(IF($N532="VCA",INDEX(APOIO_REDES!$A:$W,MATCH($C532&amp;$I532&amp;$H532&amp;$N532&amp;$O532,APOIO_REDES!$W:$W,0),MATCH(AV$5,APOIO_REDES!$5:$5,0)),0)*$AP532,0)</f>
        <v>0.0466800704740306</v>
      </c>
      <c r="AW532" s="153" t="n">
        <f aca="false">IFERROR(IF($N532="VCA",INDEX(APOIO_REDES!$A:$W,MATCH($C532&amp;$I532&amp;$H532&amp;$N532&amp;$O532,APOIO_REDES!$W:$W,0),MATCH(AW$5,APOIO_REDES!$5:$5,0)),0)*$AP532,0)</f>
        <v>26.6469150784303</v>
      </c>
      <c r="AX532" s="153" t="n">
        <f aca="false">IFERROR(IF($N532="VCA",INDEX(APOIO_REDES!$A:$W,MATCH($C532&amp;$I532&amp;$H532&amp;$N532&amp;$O532,APOIO_REDES!$W:$W,0),MATCH(AX$5,APOIO_REDES!$5:$5,0)),0)*$AP532,0)</f>
        <v>3.68785714168036</v>
      </c>
      <c r="AY532" s="153" t="n">
        <f aca="false">IFERROR(IF($N532="VCA",INDEX(APOIO_REDES!$A:$W,MATCH($C532&amp;$I532&amp;$H532&amp;$N532&amp;$O532,APOIO_REDES!$W:$W,0),MATCH(AY$5,APOIO_REDES!$5:$5,0)),0)*$AP532,0)</f>
        <v>6.74605346134692</v>
      </c>
      <c r="AZ532" s="153" t="n">
        <f aca="false">IFERROR(IF($N532="VCA",INDEX(APOIO_REDES!$A:$W,MATCH($C532&amp;$I532&amp;$H532&amp;$N532&amp;$O532,APOIO_REDES!$W:$W,0),MATCH(AZ$5,APOIO_REDES!$5:$5,0)),0)*$AP532,0)</f>
        <v>0.933634303038597</v>
      </c>
      <c r="BA532" s="153" t="n">
        <f aca="false">IFERROR(IF(AND($N532="VCA",$Q532="LINEAR"),INDEX(APOIO_REDES!$A:$W,MATCH($C532&amp;$I532&amp;$H532&amp;$N532&amp;$O532,APOIO_REDES!$W:$W,0),MATCH(BA$5,APOIO_REDES!$5:$5,0)),IF(AND($N532="MND",$Q532="EMBOQUE"),INDEX(APOIO_REDES!$A:$W,MATCH($C532&amp;$I532&amp;$H532&amp;$N532&amp;$O532,APOIO_REDES!$W:$W,0),MATCH(BA$5,APOIO_REDES!$5:$5,0)),0))*$M532/10,0)</f>
        <v>2.95873340195373</v>
      </c>
      <c r="BB532" s="153" t="n">
        <f aca="false">IFERROR(IF($N532="VCA",INDEX(APOIO_REDES!$A:$W,MATCH($C532&amp;$I532&amp;$H532&amp;$N532&amp;$O532,APOIO_REDES!$W:$W,0),MATCH(BB$5,APOIO_REDES!$5:$5,0)),0)*($AI532+$AQ532+$AR532),0)</f>
        <v>13.8887985079059</v>
      </c>
      <c r="BC532" s="153" t="n">
        <f aca="false">IFERROR(IF($N532="VCA",INDEX(APOIO_REDES!$A:$W,MATCH($C532&amp;$I532&amp;$H532&amp;$N532&amp;$O532,APOIO_REDES!$W:$W,0),MATCH(BC$5,APOIO_REDES!$5:$5,0)),0)*($AI532+$AQ532+$AR532),0)</f>
        <v>0.152776492094053</v>
      </c>
      <c r="BD532" s="153" t="n">
        <f aca="false">IF(AND($N532="VCA",$AF532&gt;=1.25,$AF532&lt;1.5),$M532*$AF532*2,0)</f>
        <v>103.5222</v>
      </c>
      <c r="BE532" s="153" t="n">
        <f aca="false">IF(AND($N532="VCA",$AF532&gt;=1.5,$AF532&lt;3),$M532*$AF532*2,0)</f>
        <v>0</v>
      </c>
      <c r="BF532" s="153" t="n">
        <f aca="false">IF(AND($N532="VCA",$AF532&gt;=3),$M532*$AF532*2,0)</f>
        <v>0</v>
      </c>
      <c r="BG532" s="153" t="n">
        <f aca="false">($BB532+$BC532)*$AK532</f>
        <v>51.9538275</v>
      </c>
      <c r="BH532" s="153" t="n">
        <f aca="false">IF(AND($M532&lt;&gt;"",$N532="VCA",$Q532="LINEAR"),($M532*2)/100,IF(AND($M532&lt;&gt;"",$N532="MND",$Q532="EMBOQUE"),($AN532*2)/100,0))</f>
        <v>0.7342</v>
      </c>
      <c r="BI532" s="153" t="n">
        <f aca="false">IF(AND($M532&lt;&gt;"",$N532="VCA",$Q532="LINEAR"),$M532,IF(AND($M532&lt;&gt;"",$N532="MND",$Q532="EMBOQUE"),$AN532*2,0))</f>
        <v>36.71</v>
      </c>
      <c r="BJ532" s="153" t="n">
        <f aca="false">IF(AND($M532&lt;&gt;"",$N532="VCA",$Q532="LINEAR"),($M532*6.8)/100,IF(AND($M532&lt;&gt;"",$N532="MND",$Q532="EMBOQUE"),($AN532*2*6.8)/100,0))</f>
        <v>2.49628</v>
      </c>
      <c r="BK532" s="153" t="n">
        <f aca="false">IF(AND($M532&lt;&gt;"",$N532="VCA",$Q532="LINEAR"),($M532*2.5)/50,IF(AND($M532&lt;&gt;"",$N532="MND",$Q532="EMBOQUE"),($AN532*2*2.5)/50,0))</f>
        <v>1.8355</v>
      </c>
      <c r="BL532" s="157" t="str">
        <f aca="false">K532&amp;J532</f>
        <v>Zona05REDES</v>
      </c>
      <c r="BM532" s="152" t="s">
        <v>3356</v>
      </c>
      <c r="BN532" s="152" t="s">
        <v>1560</v>
      </c>
      <c r="BO532" s="152" t="s">
        <v>2800</v>
      </c>
      <c r="BP532" s="152" t="s">
        <v>3481</v>
      </c>
      <c r="BQ532" s="152" t="s">
        <v>3563</v>
      </c>
      <c r="BR532" s="152" t="s">
        <v>3564</v>
      </c>
      <c r="BS532" s="152" t="n">
        <v>203620.003</v>
      </c>
      <c r="BT532" s="152" t="n">
        <v>8237600.459</v>
      </c>
      <c r="BU532" s="152" t="n">
        <v>203585.49</v>
      </c>
      <c r="BV532" s="152" t="n">
        <v>8237612.389</v>
      </c>
      <c r="BW532" s="152" t="n">
        <v>-15.9230861</v>
      </c>
      <c r="BX532" s="152" t="n">
        <v>-47.7683062</v>
      </c>
      <c r="BY532" s="152" t="s">
        <v>3481</v>
      </c>
    </row>
    <row r="533" customFormat="false" ht="13.8" hidden="false" customHeight="false" outlineLevel="0" collapsed="false">
      <c r="A533" s="149" t="n">
        <f aca="false">IF(C533&lt;&gt;"",ROW(A528),"")</f>
        <v>528</v>
      </c>
      <c r="B533" s="150" t="str">
        <f aca="false">HYPERLINK("https://www.google.com/maps/dir/-15.917302,-47.760003/-15.9230847,-47.7684773/data=!4m3!4m2!3e0!5i2")</f>
        <v>https://www.google.com/maps/dir/-15.917302,-47.760003/-15.9230847,-47.7684773/data=!4m3!4m2!3e0!5i2</v>
      </c>
      <c r="C533" s="151" t="s">
        <v>117</v>
      </c>
      <c r="D533" s="152" t="s">
        <v>112</v>
      </c>
      <c r="E533" s="152" t="s">
        <v>113</v>
      </c>
      <c r="F533" s="152" t="s">
        <v>117</v>
      </c>
      <c r="G533" s="152" t="s">
        <v>114</v>
      </c>
      <c r="H533" s="152" t="n">
        <v>225</v>
      </c>
      <c r="I533" s="152" t="s">
        <v>115</v>
      </c>
      <c r="J533" s="152" t="s">
        <v>6</v>
      </c>
      <c r="K533" s="152" t="s">
        <v>3352</v>
      </c>
      <c r="L533" s="152" t="s">
        <v>120</v>
      </c>
      <c r="M533" s="153" t="n">
        <f aca="false">15</f>
        <v>15</v>
      </c>
      <c r="N533" s="152" t="s">
        <v>1548</v>
      </c>
      <c r="O533" s="152" t="s">
        <v>1549</v>
      </c>
      <c r="P533" s="152" t="s">
        <v>1550</v>
      </c>
      <c r="Q533" s="152" t="s">
        <v>1551</v>
      </c>
      <c r="R533" s="154" t="s">
        <v>3565</v>
      </c>
      <c r="S533" s="154" t="s">
        <v>1593</v>
      </c>
      <c r="T533" s="155" t="s">
        <v>2797</v>
      </c>
      <c r="U533" s="152" t="str">
        <f aca="false">RIGHT(T533,7)</f>
        <v>009/037</v>
      </c>
      <c r="V533" s="152" t="s">
        <v>1555</v>
      </c>
      <c r="W533" s="156" t="n">
        <v>45882</v>
      </c>
      <c r="X533" s="152" t="s">
        <v>1594</v>
      </c>
      <c r="Y533" s="152" t="s">
        <v>3540</v>
      </c>
      <c r="Z533" s="152" t="s">
        <v>1557</v>
      </c>
      <c r="AA533" s="153" t="n">
        <v>3.6</v>
      </c>
      <c r="AB533" s="151" t="s">
        <v>3566</v>
      </c>
      <c r="AC533" s="151" t="s">
        <v>508</v>
      </c>
      <c r="AD533" s="151" t="str">
        <f aca="false">CONCATENATE($C533,$I533,$H533,$N533,$J533,$K533)</f>
        <v>TUBO PEADPEAD225VCAREDESZona05</v>
      </c>
      <c r="AE533" s="153" t="n">
        <f aca="false">IFERROR(INDEX(APOIO_REDES!$A:$W,MATCH($C533&amp;$I533&amp;$H533&amp;$N533&amp;$O533,APOIO_REDES!$W:$W,0),MATCH(AE$5,APOIO_REDES!$5:$5,0)),0)</f>
        <v>1.2</v>
      </c>
      <c r="AF533" s="153" t="n">
        <f aca="false">IFERROR(INDEX(APOIO_REDES!$A:$W,MATCH($C533&amp;$I533&amp;$H533&amp;$N533&amp;$O533,APOIO_REDES!$W:$W,0),MATCH(AF$5,APOIO_REDES!$5:$5,0)),0)</f>
        <v>1.525</v>
      </c>
      <c r="AG533" s="153" t="n">
        <f aca="false">IFERROR(INDEX(APOIO_REDES!$A:$W,MATCH($C533&amp;$I533&amp;$H533&amp;$N533&amp;$O533,APOIO_REDES!$W:$W,0),MATCH(AG$5,APOIO_REDES!$5:$5,0)),0)</f>
        <v>0.8</v>
      </c>
      <c r="AH533" s="153" t="n">
        <f aca="false">IFERROR(INDEX(APOIO_REDES!$A:$W,MATCH($C533&amp;$I533&amp;$H533&amp;$N533&amp;$O533,APOIO_REDES!$W:$W,0),MATCH(AH$5,APOIO_REDES!$5:$5,0)),0)</f>
        <v>0.1</v>
      </c>
      <c r="AI533" s="153" t="n">
        <f aca="false">IFERROR(IF($H533&lt;&gt;"",(((($H533/1000)/2)^2)*PI()*$M533),0),0)</f>
        <v>0.596411730329937</v>
      </c>
      <c r="AJ533" s="153" t="n">
        <f aca="false">IFERROR(IF(AND($H533&lt;&gt;"",$I533="FoFo",OR($N533="MND",$N533="VCA"),$Q533="LINEAR"),0,IF(AND($H533&lt;&gt;"",$I533="PEAD",$N533="VCA",$Q533="LINEAR"),($H533/1000)+0.3,IF(AND($H533&lt;&gt;"",$I533="PEAD",$N533="MND",$Q533="EMBOQUE"),0,IF(AND($H533&lt;&gt;"",$I533="PVC",$N533="VCA",$Q533="LINEAR"),($H533/1000)+0.2,IF(AND($H533&lt;&gt;"",$I533="PVC",$N533="MND",$Q533="EMBOQUE"),0,IF(AND($H533&lt;&gt;"",$I533="PEAD",$N533="VCA",$Q533="PREDIAL"),0,0)))))),0)</f>
        <v>0.525</v>
      </c>
      <c r="AK533" s="153" t="n">
        <f aca="false">IF(AA533&lt;&gt;"",AA533,0)</f>
        <v>3.6</v>
      </c>
      <c r="AL533" s="153" t="n">
        <f aca="false">IF(AND($N533="MND",$Q533="EMBOQUE"),$M533,IF(AND($N533="VCA",$Q533="LINEAR"),$M533,IF(AND($N533="VCA",$Q533="PREDIAL"),0,0)))</f>
        <v>15</v>
      </c>
      <c r="AM533" s="153" t="n">
        <f aca="false">IF(AND($N533="MND",$Q533="EMBOQUE"),$M533,IF(AND($N533="VCA",$Q533="LINEAR"),$M533,IF(AND($N533="VCA",$Q533="PREDIAL"),0,0)))</f>
        <v>15</v>
      </c>
      <c r="AN533" s="153" t="n">
        <f aca="false">ROUND(IF(AND($N533="VCA",$M533&lt;&gt;"",$Q533="LINEAR"),$M533/100,IF(AND($N533="MND",$M533&gt;100,$Q533="EMBOQUE"),$M533/100,0)),0)</f>
        <v>0</v>
      </c>
      <c r="AO533" s="153" t="n">
        <f aca="false">IF(AND($N533="MND",$Q533="EMBOQUE"),$AN533*2*2,IF(AND($N533="VCA",$Q533="LINEAR"),$M533*2,IF(AND($N533="VCA",$Q533="PREDIAL"),0,0)))</f>
        <v>30</v>
      </c>
      <c r="AP533" s="153" t="n">
        <f aca="false">IFERROR($M533*$AF533*$AG533,0)</f>
        <v>18.3</v>
      </c>
      <c r="AQ533" s="153" t="n">
        <f aca="false">IFERROR(IF(AND($N533="VCA",$AH533&gt;0),$M533*$AG533*$AH533,0),0)</f>
        <v>1.2</v>
      </c>
      <c r="AR533" s="153" t="n">
        <f aca="false">IFERROR(IF(AND($N533="VCA",$AJ533&gt;0),($M533*$AG533*$AJ533)-$AI533,0),0)</f>
        <v>5.70358826967006</v>
      </c>
      <c r="AS533" s="153" t="n">
        <f aca="false">IFERROR(IF(AND($N533="VCA",$AP533&gt;0),$AP533-$AI533-$AQ533-$AR533,0),0)</f>
        <v>10.8</v>
      </c>
      <c r="AT533" s="153" t="n">
        <f aca="false">IFERROR(IF($N533="VCA",INDEX(APOIO_REDES!$A:$W,MATCH($C533&amp;$I533&amp;$H533&amp;$N533&amp;$O533,APOIO_REDES!$W:$W,0),MATCH(AT$5,APOIO_REDES!$5:$5,0)),0)*$AP533,0)</f>
        <v>0.199109416523514</v>
      </c>
      <c r="AU533" s="153" t="n">
        <f aca="false">IFERROR(IF($N533="VCA",INDEX(APOIO_REDES!$A:$W,MATCH($C533&amp;$I533&amp;$H533&amp;$N533&amp;$O533,APOIO_REDES!$W:$W,0),MATCH(AU$5,APOIO_REDES!$5:$5,0)),0)*$AP533,0)</f>
        <v>0.159003387468791</v>
      </c>
      <c r="AV533" s="153" t="n">
        <f aca="false">IFERROR(IF($N533="VCA",INDEX(APOIO_REDES!$A:$W,MATCH($C533&amp;$I533&amp;$H533&amp;$N533&amp;$O533,APOIO_REDES!$W:$W,0),MATCH(AV$5,APOIO_REDES!$5:$5,0)),0)*$AP533,0)</f>
        <v>0.0220048206001485</v>
      </c>
      <c r="AW533" s="153" t="n">
        <f aca="false">IFERROR(IF($N533="VCA",INDEX(APOIO_REDES!$A:$W,MATCH($C533&amp;$I533&amp;$H533&amp;$N533&amp;$O533,APOIO_REDES!$W:$W,0),MATCH(AW$5,APOIO_REDES!$5:$5,0)),0)*$AP533,0)</f>
        <v>12.5612617953193</v>
      </c>
      <c r="AX533" s="153" t="n">
        <f aca="false">IFERROR(IF($N533="VCA",INDEX(APOIO_REDES!$A:$W,MATCH($C533&amp;$I533&amp;$H533&amp;$N533&amp;$O533,APOIO_REDES!$W:$W,0),MATCH(AX$5,APOIO_REDES!$5:$5,0)),0)*$AP533,0)</f>
        <v>1.73844285104066</v>
      </c>
      <c r="AY533" s="153" t="n">
        <f aca="false">IFERROR(IF($N533="VCA",INDEX(APOIO_REDES!$A:$W,MATCH($C533&amp;$I533&amp;$H533&amp;$N533&amp;$O533,APOIO_REDES!$W:$W,0),MATCH(AY$5,APOIO_REDES!$5:$5,0)),0)*$AP533,0)</f>
        <v>3.18006581113742</v>
      </c>
      <c r="AZ533" s="153" t="n">
        <f aca="false">IFERROR(IF($N533="VCA",INDEX(APOIO_REDES!$A:$W,MATCH($C533&amp;$I533&amp;$H533&amp;$N533&amp;$O533,APOIO_REDES!$W:$W,0),MATCH(AZ$5,APOIO_REDES!$5:$5,0)),0)*$AP533,0)</f>
        <v>0.440111917910202</v>
      </c>
      <c r="BA533" s="153" t="n">
        <f aca="false">IFERROR(IF(AND($N533="VCA",$Q533="LINEAR"),INDEX(APOIO_REDES!$A:$W,MATCH($C533&amp;$I533&amp;$H533&amp;$N533&amp;$O533,APOIO_REDES!$W:$W,0),MATCH(BA$5,APOIO_REDES!$5:$5,0)),IF(AND($N533="MND",$Q533="EMBOQUE"),INDEX(APOIO_REDES!$A:$W,MATCH($C533&amp;$I533&amp;$H533&amp;$N533&amp;$O533,APOIO_REDES!$W:$W,0),MATCH(BA$5,APOIO_REDES!$5:$5,0)),0))*$M533/10,0)</f>
        <v>1.2089621636967</v>
      </c>
      <c r="BB533" s="153" t="n">
        <f aca="false">IFERROR(IF($N533="VCA",INDEX(APOIO_REDES!$A:$W,MATCH($C533&amp;$I533&amp;$H533&amp;$N533&amp;$O533,APOIO_REDES!$W:$W,0),MATCH(BB$5,APOIO_REDES!$5:$5,0)),0)*($AI533+$AQ533+$AR533),0)</f>
        <v>7.41839778011331</v>
      </c>
      <c r="BC533" s="153" t="n">
        <f aca="false">IFERROR(IF($N533="VCA",INDEX(APOIO_REDES!$A:$W,MATCH($C533&amp;$I533&amp;$H533&amp;$N533&amp;$O533,APOIO_REDES!$W:$W,0),MATCH(BC$5,APOIO_REDES!$5:$5,0)),0)*($AI533+$AQ533+$AR533),0)</f>
        <v>0.0816022198866861</v>
      </c>
      <c r="BD533" s="153" t="n">
        <f aca="false">IF(AND($N533="VCA",$AF533&gt;=1.25,$AF533&lt;1.5),$M533*$AF533*2,0)</f>
        <v>0</v>
      </c>
      <c r="BE533" s="153" t="n">
        <f aca="false">IF(AND($N533="VCA",$AF533&gt;=1.5,$AF533&lt;3),$M533*$AF533*2,0)</f>
        <v>45.75</v>
      </c>
      <c r="BF533" s="153" t="n">
        <f aca="false">IF(AND($N533="VCA",$AF533&gt;=3),$M533*$AF533*2,0)</f>
        <v>0</v>
      </c>
      <c r="BG533" s="153" t="n">
        <f aca="false">($BB533+$BC533)*$AK533</f>
        <v>27</v>
      </c>
      <c r="BH533" s="153" t="n">
        <f aca="false">IF(AND($M533&lt;&gt;"",$N533="VCA",$Q533="LINEAR"),($M533*2)/100,IF(AND($M533&lt;&gt;"",$N533="MND",$Q533="EMBOQUE"),($AN533*2)/100,0))</f>
        <v>0.3</v>
      </c>
      <c r="BI533" s="153" t="n">
        <f aca="false">IF(AND($M533&lt;&gt;"",$N533="VCA",$Q533="LINEAR"),$M533,IF(AND($M533&lt;&gt;"",$N533="MND",$Q533="EMBOQUE"),$AN533*2,0))</f>
        <v>15</v>
      </c>
      <c r="BJ533" s="153" t="n">
        <f aca="false">IF(AND($M533&lt;&gt;"",$N533="VCA",$Q533="LINEAR"),($M533*6.8)/100,IF(AND($M533&lt;&gt;"",$N533="MND",$Q533="EMBOQUE"),($AN533*2*6.8)/100,0))</f>
        <v>1.02</v>
      </c>
      <c r="BK533" s="153" t="n">
        <f aca="false">IF(AND($M533&lt;&gt;"",$N533="VCA",$Q533="LINEAR"),($M533*2.5)/50,IF(AND($M533&lt;&gt;"",$N533="MND",$Q533="EMBOQUE"),($AN533*2*2.5)/50,0))</f>
        <v>0.75</v>
      </c>
      <c r="BL533" s="157" t="str">
        <f aca="false">K533&amp;J533</f>
        <v>Zona05REDES</v>
      </c>
      <c r="BM533" s="152" t="s">
        <v>3356</v>
      </c>
      <c r="BN533" s="152" t="s">
        <v>1560</v>
      </c>
      <c r="BO533" s="152" t="s">
        <v>2800</v>
      </c>
      <c r="BP533" s="152" t="s">
        <v>3556</v>
      </c>
      <c r="BQ533" s="152" t="s">
        <v>3567</v>
      </c>
      <c r="BR533" s="152" t="s">
        <v>3568</v>
      </c>
      <c r="BS533" s="152" t="n">
        <v>203584.561</v>
      </c>
      <c r="BT533" s="152" t="n">
        <v>8237606.76</v>
      </c>
      <c r="BU533" s="152" t="n">
        <v>203598.876</v>
      </c>
      <c r="BV533" s="152" t="n">
        <v>8237602.278</v>
      </c>
      <c r="BW533" s="152" t="n">
        <v>-15.9231054</v>
      </c>
      <c r="BX533" s="152" t="n">
        <v>-47.7684106</v>
      </c>
      <c r="BY533" s="152" t="s">
        <v>3556</v>
      </c>
    </row>
    <row r="534" customFormat="false" ht="13.8" hidden="false" customHeight="false" outlineLevel="0" collapsed="false">
      <c r="A534" s="149" t="n">
        <f aca="false">IF(C534&lt;&gt;"",ROW(A529),"")</f>
        <v>529</v>
      </c>
      <c r="B534" s="150" t="str">
        <f aca="false">HYPERLINK("https://www.google.com/maps/dir/-15.917302,-47.760003/-15.9231459,-47.7681473/data=!4m3!4m2!3e0!5i2")</f>
        <v>https://www.google.com/maps/dir/-15.917302,-47.760003/-15.9231459,-47.7681473/data=!4m3!4m2!3e0!5i2</v>
      </c>
      <c r="C534" s="151" t="s">
        <v>117</v>
      </c>
      <c r="D534" s="152" t="s">
        <v>112</v>
      </c>
      <c r="E534" s="152" t="s">
        <v>113</v>
      </c>
      <c r="F534" s="152" t="s">
        <v>117</v>
      </c>
      <c r="G534" s="152" t="s">
        <v>782</v>
      </c>
      <c r="H534" s="152" t="n">
        <v>63</v>
      </c>
      <c r="I534" s="152" t="s">
        <v>115</v>
      </c>
      <c r="J534" s="152" t="s">
        <v>6</v>
      </c>
      <c r="K534" s="152" t="s">
        <v>3352</v>
      </c>
      <c r="L534" s="152" t="s">
        <v>120</v>
      </c>
      <c r="M534" s="153" t="n">
        <f aca="false">75.75+4.01</f>
        <v>79.76</v>
      </c>
      <c r="N534" s="152" t="s">
        <v>1548</v>
      </c>
      <c r="O534" s="152" t="s">
        <v>1549</v>
      </c>
      <c r="P534" s="152" t="s">
        <v>1550</v>
      </c>
      <c r="Q534" s="152" t="s">
        <v>1551</v>
      </c>
      <c r="R534" s="154" t="s">
        <v>3569</v>
      </c>
      <c r="S534" s="154" t="s">
        <v>1553</v>
      </c>
      <c r="T534" s="155" t="s">
        <v>2797</v>
      </c>
      <c r="U534" s="152" t="str">
        <f aca="false">RIGHT(T534,7)</f>
        <v>009/037</v>
      </c>
      <c r="V534" s="152" t="s">
        <v>1555</v>
      </c>
      <c r="W534" s="156" t="n">
        <v>45882</v>
      </c>
      <c r="X534" s="152" t="s">
        <v>1594</v>
      </c>
      <c r="Y534" s="152" t="s">
        <v>3549</v>
      </c>
      <c r="Z534" s="152" t="s">
        <v>1557</v>
      </c>
      <c r="AA534" s="153" t="n">
        <v>3.7</v>
      </c>
      <c r="AB534" s="151" t="s">
        <v>3570</v>
      </c>
      <c r="AC534" s="151" t="s">
        <v>186</v>
      </c>
      <c r="AD534" s="151" t="str">
        <f aca="false">CONCATENATE($C534,$I534,$H534,$N534,$J534,$K534)</f>
        <v>TUBO PEADPEAD63VCAREDESZona05</v>
      </c>
      <c r="AE534" s="153" t="n">
        <f aca="false">IFERROR(INDEX(APOIO_REDES!$A:$W,MATCH($C534&amp;$I534&amp;$H534&amp;$N534&amp;$O534,APOIO_REDES!$W:$W,0),MATCH(AE$5,APOIO_REDES!$5:$5,0)),0)</f>
        <v>1.2</v>
      </c>
      <c r="AF534" s="153" t="n">
        <f aca="false">IFERROR(INDEX(APOIO_REDES!$A:$W,MATCH($C534&amp;$I534&amp;$H534&amp;$N534&amp;$O534,APOIO_REDES!$W:$W,0),MATCH(AF$5,APOIO_REDES!$5:$5,0)),0)</f>
        <v>1.363</v>
      </c>
      <c r="AG534" s="153" t="n">
        <f aca="false">IFERROR(INDEX(APOIO_REDES!$A:$W,MATCH($C534&amp;$I534&amp;$H534&amp;$N534&amp;$O534,APOIO_REDES!$W:$W,0),MATCH(AG$5,APOIO_REDES!$5:$5,0)),0)</f>
        <v>0.65</v>
      </c>
      <c r="AH534" s="153" t="n">
        <f aca="false">IFERROR(INDEX(APOIO_REDES!$A:$W,MATCH($C534&amp;$I534&amp;$H534&amp;$N534&amp;$O534,APOIO_REDES!$W:$W,0),MATCH(AH$5,APOIO_REDES!$5:$5,0)),0)</f>
        <v>0.1</v>
      </c>
      <c r="AI534" s="153" t="n">
        <f aca="false">IFERROR(IF($H534&lt;&gt;"",(((($H534/1000)/2)^2)*PI()*$M534),0),0)</f>
        <v>0.248631485967432</v>
      </c>
      <c r="AJ534" s="153" t="n">
        <f aca="false">IFERROR(IF(AND($H534&lt;&gt;"",$I534="FoFo",OR($N534="MND",$N534="VCA"),$Q534="LINEAR"),0,IF(AND($H534&lt;&gt;"",$I534="PEAD",$N534="VCA",$Q534="LINEAR"),($H534/1000)+0.3,IF(AND($H534&lt;&gt;"",$I534="PEAD",$N534="MND",$Q534="EMBOQUE"),0,IF(AND($H534&lt;&gt;"",$I534="PVC",$N534="VCA",$Q534="LINEAR"),($H534/1000)+0.2,IF(AND($H534&lt;&gt;"",$I534="PVC",$N534="MND",$Q534="EMBOQUE"),0,IF(AND($H534&lt;&gt;"",$I534="PEAD",$N534="VCA",$Q534="PREDIAL"),0,0)))))),0)</f>
        <v>0.363</v>
      </c>
      <c r="AK534" s="153" t="n">
        <f aca="false">IF(AA534&lt;&gt;"",AA534,0)</f>
        <v>3.7</v>
      </c>
      <c r="AL534" s="153" t="n">
        <f aca="false">IF(AND($N534="MND",$Q534="EMBOQUE"),$M534,IF(AND($N534="VCA",$Q534="LINEAR"),$M534,IF(AND($N534="VCA",$Q534="PREDIAL"),0,0)))</f>
        <v>79.76</v>
      </c>
      <c r="AM534" s="153" t="n">
        <f aca="false">IF(AND($N534="MND",$Q534="EMBOQUE"),$M534,IF(AND($N534="VCA",$Q534="LINEAR"),$M534,IF(AND($N534="VCA",$Q534="PREDIAL"),0,0)))</f>
        <v>79.76</v>
      </c>
      <c r="AN534" s="153" t="n">
        <f aca="false">ROUND(IF(AND($N534="VCA",$M534&lt;&gt;"",$Q534="LINEAR"),$M534/100,IF(AND($N534="MND",$M534&gt;100,$Q534="EMBOQUE"),$M534/100,0)),0)</f>
        <v>1</v>
      </c>
      <c r="AO534" s="153" t="n">
        <f aca="false">IF(AND($N534="MND",$Q534="EMBOQUE"),$AN534*2*2,IF(AND($N534="VCA",$Q534="LINEAR"),$M534*2,IF(AND($N534="VCA",$Q534="PREDIAL"),0,0)))</f>
        <v>159.52</v>
      </c>
      <c r="AP534" s="153" t="n">
        <f aca="false">IFERROR($M534*$AF534*$AG534,0)</f>
        <v>70.663372</v>
      </c>
      <c r="AQ534" s="153" t="n">
        <f aca="false">IFERROR(IF(AND($N534="VCA",$AH534&gt;0),$M534*$AG534*$AH534,0),0)</f>
        <v>5.1844</v>
      </c>
      <c r="AR534" s="153" t="n">
        <f aca="false">IFERROR(IF(AND($N534="VCA",$AJ534&gt;0),($M534*$AG534*$AJ534)-$AI534,0),0)</f>
        <v>18.5707405140326</v>
      </c>
      <c r="AS534" s="153" t="n">
        <f aca="false">IFERROR(IF(AND($N534="VCA",$AP534&gt;0),$AP534-$AI534-$AQ534-$AR534,0),0)</f>
        <v>46.6596</v>
      </c>
      <c r="AT534" s="153" t="n">
        <f aca="false">IFERROR(IF($N534="VCA",INDEX(APOIO_REDES!$A:$W,MATCH($C534&amp;$I534&amp;$H534&amp;$N534&amp;$O534,APOIO_REDES!$W:$W,0),MATCH(AT$5,APOIO_REDES!$5:$5,0)),0)*$AP534,0)</f>
        <v>0.768838402650493</v>
      </c>
      <c r="AU534" s="153" t="n">
        <f aca="false">IFERROR(IF($N534="VCA",INDEX(APOIO_REDES!$A:$W,MATCH($C534&amp;$I534&amp;$H534&amp;$N534&amp;$O534,APOIO_REDES!$W:$W,0),MATCH(AU$5,APOIO_REDES!$5:$5,0)),0)*$AP534,0)</f>
        <v>0.613973525571984</v>
      </c>
      <c r="AV534" s="153" t="n">
        <f aca="false">IFERROR(IF($N534="VCA",INDEX(APOIO_REDES!$A:$W,MATCH($C534&amp;$I534&amp;$H534&amp;$N534&amp;$O534,APOIO_REDES!$W:$W,0),MATCH(AV$5,APOIO_REDES!$5:$5,0)),0)*$AP534,0)</f>
        <v>0.0849691160580086</v>
      </c>
      <c r="AW534" s="153" t="n">
        <f aca="false">IFERROR(IF($N534="VCA",INDEX(APOIO_REDES!$A:$W,MATCH($C534&amp;$I534&amp;$H534&amp;$N534&amp;$O534,APOIO_REDES!$W:$W,0),MATCH(AW$5,APOIO_REDES!$5:$5,0)),0)*$AP534,0)</f>
        <v>48.5038860673242</v>
      </c>
      <c r="AX534" s="153" t="n">
        <f aca="false">IFERROR(IF($N534="VCA",INDEX(APOIO_REDES!$A:$W,MATCH($C534&amp;$I534&amp;$H534&amp;$N534&amp;$O534,APOIO_REDES!$W:$W,0),MATCH(AX$5,APOIO_REDES!$5:$5,0)),0)*$AP534,0)</f>
        <v>6.71279966578288</v>
      </c>
      <c r="AY534" s="153" t="n">
        <f aca="false">IFERROR(IF($N534="VCA",INDEX(APOIO_REDES!$A:$W,MATCH($C534&amp;$I534&amp;$H534&amp;$N534&amp;$O534,APOIO_REDES!$W:$W,0),MATCH(AY$5,APOIO_REDES!$5:$5,0)),0)*$AP534,0)</f>
        <v>12.2794630271522</v>
      </c>
      <c r="AZ534" s="153" t="n">
        <f aca="false">IFERROR(IF($N534="VCA",INDEX(APOIO_REDES!$A:$W,MATCH($C534&amp;$I534&amp;$H534&amp;$N534&amp;$O534,APOIO_REDES!$W:$W,0),MATCH(AZ$5,APOIO_REDES!$5:$5,0)),0)*$AP534,0)</f>
        <v>1.69944219546022</v>
      </c>
      <c r="BA534" s="153" t="n">
        <f aca="false">IFERROR(IF(AND($N534="VCA",$Q534="LINEAR"),INDEX(APOIO_REDES!$A:$W,MATCH($C534&amp;$I534&amp;$H534&amp;$N534&amp;$O534,APOIO_REDES!$W:$W,0),MATCH(BA$5,APOIO_REDES!$5:$5,0)),IF(AND($N534="MND",$Q534="EMBOQUE"),INDEX(APOIO_REDES!$A:$W,MATCH($C534&amp;$I534&amp;$H534&amp;$N534&amp;$O534,APOIO_REDES!$W:$W,0),MATCH(BA$5,APOIO_REDES!$5:$5,0)),0))*$M534/10,0)</f>
        <v>6.42845481176328</v>
      </c>
      <c r="BB534" s="153" t="n">
        <f aca="false">IFERROR(IF($N534="VCA",INDEX(APOIO_REDES!$A:$W,MATCH($C534&amp;$I534&amp;$H534&amp;$N534&amp;$O534,APOIO_REDES!$W:$W,0),MATCH(BB$5,APOIO_REDES!$5:$5,0)),0)*($AI534+$AQ534+$AR534),0)</f>
        <v>23.7426038558862</v>
      </c>
      <c r="BC534" s="153" t="n">
        <f aca="false">IFERROR(IF($N534="VCA",INDEX(APOIO_REDES!$A:$W,MATCH($C534&amp;$I534&amp;$H534&amp;$N534&amp;$O534,APOIO_REDES!$W:$W,0),MATCH(BC$5,APOIO_REDES!$5:$5,0)),0)*($AI534+$AQ534+$AR534),0)</f>
        <v>0.261168144113851</v>
      </c>
      <c r="BD534" s="153" t="n">
        <f aca="false">IF(AND($N534="VCA",$AF534&gt;=1.25,$AF534&lt;1.5),$M534*$AF534*2,0)</f>
        <v>217.42576</v>
      </c>
      <c r="BE534" s="153" t="n">
        <f aca="false">IF(AND($N534="VCA",$AF534&gt;=1.5,$AF534&lt;3),$M534*$AF534*2,0)</f>
        <v>0</v>
      </c>
      <c r="BF534" s="153" t="n">
        <f aca="false">IF(AND($N534="VCA",$AF534&gt;=3),$M534*$AF534*2,0)</f>
        <v>0</v>
      </c>
      <c r="BG534" s="153" t="n">
        <f aca="false">($BB534+$BC534)*$AK534</f>
        <v>88.8139564</v>
      </c>
      <c r="BH534" s="153" t="n">
        <f aca="false">IF(AND($M534&lt;&gt;"",$N534="VCA",$Q534="LINEAR"),($M534*2)/100,IF(AND($M534&lt;&gt;"",$N534="MND",$Q534="EMBOQUE"),($AN534*2)/100,0))</f>
        <v>1.5952</v>
      </c>
      <c r="BI534" s="153" t="n">
        <f aca="false">IF(AND($M534&lt;&gt;"",$N534="VCA",$Q534="LINEAR"),$M534,IF(AND($M534&lt;&gt;"",$N534="MND",$Q534="EMBOQUE"),$AN534*2,0))</f>
        <v>79.76</v>
      </c>
      <c r="BJ534" s="153" t="n">
        <f aca="false">IF(AND($M534&lt;&gt;"",$N534="VCA",$Q534="LINEAR"),($M534*6.8)/100,IF(AND($M534&lt;&gt;"",$N534="MND",$Q534="EMBOQUE"),($AN534*2*6.8)/100,0))</f>
        <v>5.42368</v>
      </c>
      <c r="BK534" s="153" t="n">
        <f aca="false">IF(AND($M534&lt;&gt;"",$N534="VCA",$Q534="LINEAR"),($M534*2.5)/50,IF(AND($M534&lt;&gt;"",$N534="MND",$Q534="EMBOQUE"),($AN534*2*2.5)/50,0))</f>
        <v>3.988</v>
      </c>
      <c r="BL534" s="157" t="str">
        <f aca="false">K534&amp;J534</f>
        <v>Zona05REDES</v>
      </c>
      <c r="BM534" s="152" t="s">
        <v>3356</v>
      </c>
      <c r="BN534" s="152" t="s">
        <v>1560</v>
      </c>
      <c r="BO534" s="152" t="s">
        <v>2800</v>
      </c>
      <c r="BP534" s="152" t="s">
        <v>3481</v>
      </c>
      <c r="BQ534" s="152" t="s">
        <v>3571</v>
      </c>
      <c r="BR534" s="152" t="s">
        <v>3572</v>
      </c>
      <c r="BS534" s="152" t="n">
        <v>203620.003</v>
      </c>
      <c r="BT534" s="152" t="n">
        <v>8237600.459</v>
      </c>
      <c r="BU534" s="152" t="n">
        <v>203695.266</v>
      </c>
      <c r="BV534" s="152" t="n">
        <v>8237607.179</v>
      </c>
      <c r="BW534" s="152" t="n">
        <v>-15.9231259</v>
      </c>
      <c r="BX534" s="152" t="n">
        <v>-47.7677961</v>
      </c>
      <c r="BY534" s="152" t="s">
        <v>3481</v>
      </c>
    </row>
    <row r="535" customFormat="false" ht="13.8" hidden="false" customHeight="false" outlineLevel="0" collapsed="false">
      <c r="A535" s="149" t="n">
        <f aca="false">IF(C535&lt;&gt;"",ROW(A530),"")</f>
        <v>530</v>
      </c>
      <c r="B535" s="150" t="str">
        <f aca="false">HYPERLINK("https://www.google.com/maps/dir/-15.917302,-47.760003/-15.9231269,-47.7683443/data=!4m3!4m2!3e0!5i2")</f>
        <v>https://www.google.com/maps/dir/-15.917302,-47.760003/-15.9231269,-47.7683443/data=!4m3!4m2!3e0!5i2</v>
      </c>
      <c r="C535" s="151" t="s">
        <v>117</v>
      </c>
      <c r="D535" s="152" t="s">
        <v>112</v>
      </c>
      <c r="E535" s="152" t="s">
        <v>113</v>
      </c>
      <c r="F535" s="152" t="s">
        <v>117</v>
      </c>
      <c r="G535" s="152" t="s">
        <v>114</v>
      </c>
      <c r="H535" s="152" t="n">
        <v>225</v>
      </c>
      <c r="I535" s="152" t="s">
        <v>115</v>
      </c>
      <c r="J535" s="152" t="s">
        <v>6</v>
      </c>
      <c r="K535" s="152" t="s">
        <v>3352</v>
      </c>
      <c r="L535" s="152" t="s">
        <v>120</v>
      </c>
      <c r="M535" s="153" t="n">
        <f aca="false">57.43</f>
        <v>57.43</v>
      </c>
      <c r="N535" s="152" t="s">
        <v>1548</v>
      </c>
      <c r="O535" s="152" t="s">
        <v>1549</v>
      </c>
      <c r="P535" s="152" t="s">
        <v>1550</v>
      </c>
      <c r="Q535" s="152" t="s">
        <v>1551</v>
      </c>
      <c r="R535" s="154" t="s">
        <v>3573</v>
      </c>
      <c r="S535" s="154" t="s">
        <v>1593</v>
      </c>
      <c r="T535" s="155" t="s">
        <v>2797</v>
      </c>
      <c r="U535" s="152" t="str">
        <f aca="false">RIGHT(T535,7)</f>
        <v>009/037</v>
      </c>
      <c r="V535" s="152" t="s">
        <v>1555</v>
      </c>
      <c r="W535" s="156" t="n">
        <v>45882</v>
      </c>
      <c r="X535" s="152" t="s">
        <v>1594</v>
      </c>
      <c r="Y535" s="152" t="s">
        <v>3540</v>
      </c>
      <c r="Z535" s="152" t="s">
        <v>1557</v>
      </c>
      <c r="AA535" s="153" t="n">
        <v>3.7</v>
      </c>
      <c r="AB535" s="151" t="s">
        <v>3574</v>
      </c>
      <c r="AC535" s="151" t="s">
        <v>508</v>
      </c>
      <c r="AD535" s="151" t="str">
        <f aca="false">CONCATENATE($C535,$I535,$H535,$N535,$J535,$K535)</f>
        <v>TUBO PEADPEAD225VCAREDESZona05</v>
      </c>
      <c r="AE535" s="153" t="n">
        <f aca="false">IFERROR(INDEX(APOIO_REDES!$A:$W,MATCH($C535&amp;$I535&amp;$H535&amp;$N535&amp;$O535,APOIO_REDES!$W:$W,0),MATCH(AE$5,APOIO_REDES!$5:$5,0)),0)</f>
        <v>1.2</v>
      </c>
      <c r="AF535" s="153" t="n">
        <f aca="false">IFERROR(INDEX(APOIO_REDES!$A:$W,MATCH($C535&amp;$I535&amp;$H535&amp;$N535&amp;$O535,APOIO_REDES!$W:$W,0),MATCH(AF$5,APOIO_REDES!$5:$5,0)),0)</f>
        <v>1.525</v>
      </c>
      <c r="AG535" s="153" t="n">
        <f aca="false">IFERROR(INDEX(APOIO_REDES!$A:$W,MATCH($C535&amp;$I535&amp;$H535&amp;$N535&amp;$O535,APOIO_REDES!$W:$W,0),MATCH(AG$5,APOIO_REDES!$5:$5,0)),0)</f>
        <v>0.8</v>
      </c>
      <c r="AH535" s="153" t="n">
        <f aca="false">IFERROR(INDEX(APOIO_REDES!$A:$W,MATCH($C535&amp;$I535&amp;$H535&amp;$N535&amp;$O535,APOIO_REDES!$W:$W,0),MATCH(AH$5,APOIO_REDES!$5:$5,0)),0)</f>
        <v>0.1</v>
      </c>
      <c r="AI535" s="153" t="n">
        <f aca="false">IFERROR(IF($H535&lt;&gt;"",(((($H535/1000)/2)^2)*PI()*$M535),0),0)</f>
        <v>2.28346171152322</v>
      </c>
      <c r="AJ535" s="153" t="n">
        <f aca="false">IFERROR(IF(AND($H535&lt;&gt;"",$I535="FoFo",OR($N535="MND",$N535="VCA"),$Q535="LINEAR"),0,IF(AND($H535&lt;&gt;"",$I535="PEAD",$N535="VCA",$Q535="LINEAR"),($H535/1000)+0.3,IF(AND($H535&lt;&gt;"",$I535="PEAD",$N535="MND",$Q535="EMBOQUE"),0,IF(AND($H535&lt;&gt;"",$I535="PVC",$N535="VCA",$Q535="LINEAR"),($H535/1000)+0.2,IF(AND($H535&lt;&gt;"",$I535="PVC",$N535="MND",$Q535="EMBOQUE"),0,IF(AND($H535&lt;&gt;"",$I535="PEAD",$N535="VCA",$Q535="PREDIAL"),0,0)))))),0)</f>
        <v>0.525</v>
      </c>
      <c r="AK535" s="153" t="n">
        <f aca="false">IF(AA535&lt;&gt;"",AA535,0)</f>
        <v>3.7</v>
      </c>
      <c r="AL535" s="153" t="n">
        <f aca="false">IF(AND($N535="MND",$Q535="EMBOQUE"),$M535,IF(AND($N535="VCA",$Q535="LINEAR"),$M535,IF(AND($N535="VCA",$Q535="PREDIAL"),0,0)))</f>
        <v>57.43</v>
      </c>
      <c r="AM535" s="153" t="n">
        <f aca="false">IF(AND($N535="MND",$Q535="EMBOQUE"),$M535,IF(AND($N535="VCA",$Q535="LINEAR"),$M535,IF(AND($N535="VCA",$Q535="PREDIAL"),0,0)))</f>
        <v>57.43</v>
      </c>
      <c r="AN535" s="153" t="n">
        <f aca="false">ROUND(IF(AND($N535="VCA",$M535&lt;&gt;"",$Q535="LINEAR"),$M535/100,IF(AND($N535="MND",$M535&gt;100,$Q535="EMBOQUE"),$M535/100,0)),0)</f>
        <v>1</v>
      </c>
      <c r="AO535" s="153" t="n">
        <f aca="false">IF(AND($N535="MND",$Q535="EMBOQUE"),$AN535*2*2,IF(AND($N535="VCA",$Q535="LINEAR"),$M535*2,IF(AND($N535="VCA",$Q535="PREDIAL"),0,0)))</f>
        <v>114.86</v>
      </c>
      <c r="AP535" s="153" t="n">
        <f aca="false">IFERROR($M535*$AF535*$AG535,0)</f>
        <v>70.0646</v>
      </c>
      <c r="AQ535" s="153" t="n">
        <f aca="false">IFERROR(IF(AND($N535="VCA",$AH535&gt;0),$M535*$AG535*$AH535,0),0)</f>
        <v>4.5944</v>
      </c>
      <c r="AR535" s="153" t="n">
        <f aca="false">IFERROR(IF(AND($N535="VCA",$AJ535&gt;0),($M535*$AG535*$AJ535)-$AI535,0),0)</f>
        <v>21.8371382884768</v>
      </c>
      <c r="AS535" s="153" t="n">
        <f aca="false">IFERROR(IF(AND($N535="VCA",$AP535&gt;0),$AP535-$AI535-$AQ535-$AR535,0),0)</f>
        <v>41.3496</v>
      </c>
      <c r="AT535" s="153" t="n">
        <f aca="false">IFERROR(IF($N535="VCA",INDEX(APOIO_REDES!$A:$W,MATCH($C535&amp;$I535&amp;$H535&amp;$N535&amp;$O535,APOIO_REDES!$W:$W,0),MATCH(AT$5,APOIO_REDES!$5:$5,0)),0)*$AP535,0)</f>
        <v>0.762323586063028</v>
      </c>
      <c r="AU535" s="153" t="n">
        <f aca="false">IFERROR(IF($N535="VCA",INDEX(APOIO_REDES!$A:$W,MATCH($C535&amp;$I535&amp;$H535&amp;$N535&amp;$O535,APOIO_REDES!$W:$W,0),MATCH(AU$5,APOIO_REDES!$5:$5,0)),0)*$AP535,0)</f>
        <v>0.608770969488844</v>
      </c>
      <c r="AV535" s="153" t="n">
        <f aca="false">IFERROR(IF($N535="VCA",INDEX(APOIO_REDES!$A:$W,MATCH($C535&amp;$I535&amp;$H535&amp;$N535&amp;$O535,APOIO_REDES!$W:$W,0),MATCH(AV$5,APOIO_REDES!$5:$5,0)),0)*$AP535,0)</f>
        <v>0.0842491231377686</v>
      </c>
      <c r="AW535" s="153" t="n">
        <f aca="false">IFERROR(IF($N535="VCA",INDEX(APOIO_REDES!$A:$W,MATCH($C535&amp;$I535&amp;$H535&amp;$N535&amp;$O535,APOIO_REDES!$W:$W,0),MATCH(AW$5,APOIO_REDES!$5:$5,0)),0)*$AP535,0)</f>
        <v>48.0928843270124</v>
      </c>
      <c r="AX535" s="153" t="n">
        <f aca="false">IFERROR(IF($N535="VCA",INDEX(APOIO_REDES!$A:$W,MATCH($C535&amp;$I535&amp;$H535&amp;$N535&amp;$O535,APOIO_REDES!$W:$W,0),MATCH(AX$5,APOIO_REDES!$5:$5,0)),0)*$AP535,0)</f>
        <v>6.65591819568434</v>
      </c>
      <c r="AY535" s="153" t="n">
        <f aca="false">IFERROR(IF($N535="VCA",INDEX(APOIO_REDES!$A:$W,MATCH($C535&amp;$I535&amp;$H535&amp;$N535&amp;$O535,APOIO_REDES!$W:$W,0),MATCH(AY$5,APOIO_REDES!$5:$5,0)),0)*$AP535,0)</f>
        <v>12.1754119689081</v>
      </c>
      <c r="AZ535" s="153" t="n">
        <f aca="false">IFERROR(IF($N535="VCA",INDEX(APOIO_REDES!$A:$W,MATCH($C535&amp;$I535&amp;$H535&amp;$N535&amp;$O535,APOIO_REDES!$W:$W,0),MATCH(AZ$5,APOIO_REDES!$5:$5,0)),0)*$AP535,0)</f>
        <v>1.68504182970553</v>
      </c>
      <c r="BA535" s="153" t="n">
        <f aca="false">IFERROR(IF(AND($N535="VCA",$Q535="LINEAR"),INDEX(APOIO_REDES!$A:$W,MATCH($C535&amp;$I535&amp;$H535&amp;$N535&amp;$O535,APOIO_REDES!$W:$W,0),MATCH(BA$5,APOIO_REDES!$5:$5,0)),IF(AND($N535="MND",$Q535="EMBOQUE"),INDEX(APOIO_REDES!$A:$W,MATCH($C535&amp;$I535&amp;$H535&amp;$N535&amp;$O535,APOIO_REDES!$W:$W,0),MATCH(BA$5,APOIO_REDES!$5:$5,0)),0))*$M535/10,0)</f>
        <v>4.62871313740678</v>
      </c>
      <c r="BB535" s="153" t="n">
        <f aca="false">IFERROR(IF($N535="VCA",INDEX(APOIO_REDES!$A:$W,MATCH($C535&amp;$I535&amp;$H535&amp;$N535&amp;$O535,APOIO_REDES!$W:$W,0),MATCH(BB$5,APOIO_REDES!$5:$5,0)),0)*($AI535+$AQ535+$AR535),0)</f>
        <v>28.4025723007938</v>
      </c>
      <c r="BC535" s="153" t="n">
        <f aca="false">IFERROR(IF($N535="VCA",INDEX(APOIO_REDES!$A:$W,MATCH($C535&amp;$I535&amp;$H535&amp;$N535&amp;$O535,APOIO_REDES!$W:$W,0),MATCH(BC$5,APOIO_REDES!$5:$5,0)),0)*($AI535+$AQ535+$AR535),0)</f>
        <v>0.312427699206159</v>
      </c>
      <c r="BD535" s="153" t="n">
        <f aca="false">IF(AND($N535="VCA",$AF535&gt;=1.25,$AF535&lt;1.5),$M535*$AF535*2,0)</f>
        <v>0</v>
      </c>
      <c r="BE535" s="153" t="n">
        <f aca="false">IF(AND($N535="VCA",$AF535&gt;=1.5,$AF535&lt;3),$M535*$AF535*2,0)</f>
        <v>175.1615</v>
      </c>
      <c r="BF535" s="153" t="n">
        <f aca="false">IF(AND($N535="VCA",$AF535&gt;=3),$M535*$AF535*2,0)</f>
        <v>0</v>
      </c>
      <c r="BG535" s="153" t="n">
        <f aca="false">($BB535+$BC535)*$AK535</f>
        <v>106.2455</v>
      </c>
      <c r="BH535" s="153" t="n">
        <f aca="false">IF(AND($M535&lt;&gt;"",$N535="VCA",$Q535="LINEAR"),($M535*2)/100,IF(AND($M535&lt;&gt;"",$N535="MND",$Q535="EMBOQUE"),($AN535*2)/100,0))</f>
        <v>1.1486</v>
      </c>
      <c r="BI535" s="153" t="n">
        <f aca="false">IF(AND($M535&lt;&gt;"",$N535="VCA",$Q535="LINEAR"),$M535,IF(AND($M535&lt;&gt;"",$N535="MND",$Q535="EMBOQUE"),$AN535*2,0))</f>
        <v>57.43</v>
      </c>
      <c r="BJ535" s="153" t="n">
        <f aca="false">IF(AND($M535&lt;&gt;"",$N535="VCA",$Q535="LINEAR"),($M535*6.8)/100,IF(AND($M535&lt;&gt;"",$N535="MND",$Q535="EMBOQUE"),($AN535*2*6.8)/100,0))</f>
        <v>3.90524</v>
      </c>
      <c r="BK535" s="153" t="n">
        <f aca="false">IF(AND($M535&lt;&gt;"",$N535="VCA",$Q535="LINEAR"),($M535*2.5)/50,IF(AND($M535&lt;&gt;"",$N535="MND",$Q535="EMBOQUE"),($AN535*2*2.5)/50,0))</f>
        <v>2.8715</v>
      </c>
      <c r="BL535" s="157" t="str">
        <f aca="false">K535&amp;J535</f>
        <v>Zona05REDES</v>
      </c>
      <c r="BM535" s="152" t="s">
        <v>3356</v>
      </c>
      <c r="BN535" s="152" t="s">
        <v>1560</v>
      </c>
      <c r="BO535" s="152" t="s">
        <v>2800</v>
      </c>
      <c r="BP535" s="152" t="s">
        <v>3567</v>
      </c>
      <c r="BQ535" s="152" t="s">
        <v>3575</v>
      </c>
      <c r="BR535" s="152" t="s">
        <v>3576</v>
      </c>
      <c r="BS535" s="152" t="n">
        <v>203598.876</v>
      </c>
      <c r="BT535" s="152" t="n">
        <v>8237602.278</v>
      </c>
      <c r="BU535" s="152" t="n">
        <v>203638.607</v>
      </c>
      <c r="BV535" s="152" t="n">
        <v>8237564.395</v>
      </c>
      <c r="BW535" s="152" t="n">
        <v>-15.9232504</v>
      </c>
      <c r="BX535" s="152" t="n">
        <v>-47.7681129</v>
      </c>
      <c r="BY535" s="152" t="s">
        <v>3567</v>
      </c>
    </row>
    <row r="536" customFormat="false" ht="13.8" hidden="false" customHeight="false" outlineLevel="0" collapsed="false">
      <c r="A536" s="149" t="n">
        <f aca="false">IF(C536&lt;&gt;"",ROW(A531),"")</f>
        <v>531</v>
      </c>
      <c r="B536" s="150" t="str">
        <f aca="false">HYPERLINK("https://www.google.com/maps/dir/-15.917302,-47.760003/-15.9228120,-47.7697016/data=!4m3!4m2!3e0!5i2")</f>
        <v>https://www.google.com/maps/dir/-15.917302,-47.760003/-15.9228120,-47.7697016/data=!4m3!4m2!3e0!5i2</v>
      </c>
      <c r="C536" s="151" t="s">
        <v>117</v>
      </c>
      <c r="D536" s="152" t="s">
        <v>112</v>
      </c>
      <c r="E536" s="152" t="s">
        <v>113</v>
      </c>
      <c r="F536" s="152" t="s">
        <v>117</v>
      </c>
      <c r="G536" s="152" t="s">
        <v>782</v>
      </c>
      <c r="H536" s="152" t="n">
        <v>63</v>
      </c>
      <c r="I536" s="152" t="s">
        <v>115</v>
      </c>
      <c r="J536" s="152" t="s">
        <v>6</v>
      </c>
      <c r="K536" s="152" t="s">
        <v>3352</v>
      </c>
      <c r="L536" s="152" t="s">
        <v>120</v>
      </c>
      <c r="M536" s="153" t="n">
        <f aca="false">123.3</f>
        <v>123.3</v>
      </c>
      <c r="N536" s="152" t="s">
        <v>1548</v>
      </c>
      <c r="O536" s="152" t="s">
        <v>1549</v>
      </c>
      <c r="P536" s="152" t="s">
        <v>1550</v>
      </c>
      <c r="Q536" s="152" t="s">
        <v>1551</v>
      </c>
      <c r="R536" s="154" t="s">
        <v>3577</v>
      </c>
      <c r="S536" s="154" t="s">
        <v>1553</v>
      </c>
      <c r="T536" s="155" t="s">
        <v>2797</v>
      </c>
      <c r="U536" s="152" t="str">
        <f aca="false">RIGHT(T536,7)</f>
        <v>009/037</v>
      </c>
      <c r="V536" s="152" t="s">
        <v>1555</v>
      </c>
      <c r="W536" s="156" t="n">
        <v>45882</v>
      </c>
      <c r="X536" s="152" t="s">
        <v>1594</v>
      </c>
      <c r="Y536" s="152" t="s">
        <v>2834</v>
      </c>
      <c r="Z536" s="152" t="s">
        <v>1557</v>
      </c>
      <c r="AA536" s="153" t="n">
        <v>3.5</v>
      </c>
      <c r="AB536" s="151" t="s">
        <v>3578</v>
      </c>
      <c r="AC536" s="151" t="s">
        <v>186</v>
      </c>
      <c r="AD536" s="151" t="str">
        <f aca="false">CONCATENATE($C536,$I536,$H536,$N536,$J536,$K536)</f>
        <v>TUBO PEADPEAD63VCAREDESZona05</v>
      </c>
      <c r="AE536" s="153" t="n">
        <f aca="false">IFERROR(INDEX(APOIO_REDES!$A:$W,MATCH($C536&amp;$I536&amp;$H536&amp;$N536&amp;$O536,APOIO_REDES!$W:$W,0),MATCH(AE$5,APOIO_REDES!$5:$5,0)),0)</f>
        <v>1.2</v>
      </c>
      <c r="AF536" s="153" t="n">
        <f aca="false">IFERROR(INDEX(APOIO_REDES!$A:$W,MATCH($C536&amp;$I536&amp;$H536&amp;$N536&amp;$O536,APOIO_REDES!$W:$W,0),MATCH(AF$5,APOIO_REDES!$5:$5,0)),0)</f>
        <v>1.363</v>
      </c>
      <c r="AG536" s="153" t="n">
        <f aca="false">IFERROR(INDEX(APOIO_REDES!$A:$W,MATCH($C536&amp;$I536&amp;$H536&amp;$N536&amp;$O536,APOIO_REDES!$W:$W,0),MATCH(AG$5,APOIO_REDES!$5:$5,0)),0)</f>
        <v>0.65</v>
      </c>
      <c r="AH536" s="153" t="n">
        <f aca="false">IFERROR(INDEX(APOIO_REDES!$A:$W,MATCH($C536&amp;$I536&amp;$H536&amp;$N536&amp;$O536,APOIO_REDES!$W:$W,0),MATCH(AH$5,APOIO_REDES!$5:$5,0)),0)</f>
        <v>0.1</v>
      </c>
      <c r="AI536" s="153" t="n">
        <f aca="false">IFERROR(IF($H536&lt;&gt;"",(((($H536/1000)/2)^2)*PI()*$M536),0),0)</f>
        <v>0.384356346787667</v>
      </c>
      <c r="AJ536" s="153" t="n">
        <f aca="false">IFERROR(IF(AND($H536&lt;&gt;"",$I536="FoFo",OR($N536="MND",$N536="VCA"),$Q536="LINEAR"),0,IF(AND($H536&lt;&gt;"",$I536="PEAD",$N536="VCA",$Q536="LINEAR"),($H536/1000)+0.3,IF(AND($H536&lt;&gt;"",$I536="PEAD",$N536="MND",$Q536="EMBOQUE"),0,IF(AND($H536&lt;&gt;"",$I536="PVC",$N536="VCA",$Q536="LINEAR"),($H536/1000)+0.2,IF(AND($H536&lt;&gt;"",$I536="PVC",$N536="MND",$Q536="EMBOQUE"),0,IF(AND($H536&lt;&gt;"",$I536="PEAD",$N536="VCA",$Q536="PREDIAL"),0,0)))))),0)</f>
        <v>0.363</v>
      </c>
      <c r="AK536" s="153" t="n">
        <f aca="false">IF(AA536&lt;&gt;"",AA536,0)</f>
        <v>3.5</v>
      </c>
      <c r="AL536" s="153" t="n">
        <f aca="false">IF(AND($N536="MND",$Q536="EMBOQUE"),$M536,IF(AND($N536="VCA",$Q536="LINEAR"),$M536,IF(AND($N536="VCA",$Q536="PREDIAL"),0,0)))</f>
        <v>123.3</v>
      </c>
      <c r="AM536" s="153" t="n">
        <f aca="false">IF(AND($N536="MND",$Q536="EMBOQUE"),$M536,IF(AND($N536="VCA",$Q536="LINEAR"),$M536,IF(AND($N536="VCA",$Q536="PREDIAL"),0,0)))</f>
        <v>123.3</v>
      </c>
      <c r="AN536" s="153" t="n">
        <f aca="false">ROUND(IF(AND($N536="VCA",$M536&lt;&gt;"",$Q536="LINEAR"),$M536/100,IF(AND($N536="MND",$M536&gt;100,$Q536="EMBOQUE"),$M536/100,0)),0)</f>
        <v>1</v>
      </c>
      <c r="AO536" s="153" t="n">
        <f aca="false">IF(AND($N536="MND",$Q536="EMBOQUE"),$AN536*2*2,IF(AND($N536="VCA",$Q536="LINEAR"),$M536*2,IF(AND($N536="VCA",$Q536="PREDIAL"),0,0)))</f>
        <v>246.6</v>
      </c>
      <c r="AP536" s="153" t="n">
        <f aca="false">IFERROR($M536*$AF536*$AG536,0)</f>
        <v>109.237635</v>
      </c>
      <c r="AQ536" s="153" t="n">
        <f aca="false">IFERROR(IF(AND($N536="VCA",$AH536&gt;0),$M536*$AG536*$AH536,0),0)</f>
        <v>8.0145</v>
      </c>
      <c r="AR536" s="153" t="n">
        <f aca="false">IFERROR(IF(AND($N536="VCA",$AJ536&gt;0),($M536*$AG536*$AJ536)-$AI536,0),0)</f>
        <v>28.7082786532123</v>
      </c>
      <c r="AS536" s="153" t="n">
        <f aca="false">IFERROR(IF(AND($N536="VCA",$AP536&gt;0),$AP536-$AI536-$AQ536-$AR536,0),0)</f>
        <v>72.1305</v>
      </c>
      <c r="AT536" s="153" t="n">
        <f aca="false">IFERROR(IF($N536="VCA",INDEX(APOIO_REDES!$A:$W,MATCH($C536&amp;$I536&amp;$H536&amp;$N536&amp;$O536,APOIO_REDES!$W:$W,0),MATCH(AT$5,APOIO_REDES!$5:$5,0)),0)*$AP536,0)</f>
        <v>1.18853780148954</v>
      </c>
      <c r="AU536" s="153" t="n">
        <f aca="false">IFERROR(IF($N536="VCA",INDEX(APOIO_REDES!$A:$W,MATCH($C536&amp;$I536&amp;$H536&amp;$N536&amp;$O536,APOIO_REDES!$W:$W,0),MATCH(AU$5,APOIO_REDES!$5:$5,0)),0)*$AP536,0)</f>
        <v>0.949134098583572</v>
      </c>
      <c r="AV536" s="153" t="n">
        <f aca="false">IFERROR(IF($N536="VCA",INDEX(APOIO_REDES!$A:$W,MATCH($C536&amp;$I536&amp;$H536&amp;$N536&amp;$O536,APOIO_REDES!$W:$W,0),MATCH(AV$5,APOIO_REDES!$5:$5,0)),0)*$AP536,0)</f>
        <v>0.131352708249153</v>
      </c>
      <c r="AW536" s="153" t="n">
        <f aca="false">IFERROR(IF($N536="VCA",INDEX(APOIO_REDES!$A:$W,MATCH($C536&amp;$I536&amp;$H536&amp;$N536&amp;$O536,APOIO_REDES!$W:$W,0),MATCH(AW$5,APOIO_REDES!$5:$5,0)),0)*$AP536,0)</f>
        <v>74.981559078499</v>
      </c>
      <c r="AX536" s="153" t="n">
        <f aca="false">IFERROR(IF($N536="VCA",INDEX(APOIO_REDES!$A:$W,MATCH($C536&amp;$I536&amp;$H536&amp;$N536&amp;$O536,APOIO_REDES!$W:$W,0),MATCH(AX$5,APOIO_REDES!$5:$5,0)),0)*$AP536,0)</f>
        <v>10.3772341874502</v>
      </c>
      <c r="AY536" s="153" t="n">
        <f aca="false">IFERROR(IF($N536="VCA",INDEX(APOIO_REDES!$A:$W,MATCH($C536&amp;$I536&amp;$H536&amp;$N536&amp;$O536,APOIO_REDES!$W:$W,0),MATCH(AY$5,APOIO_REDES!$5:$5,0)),0)*$AP536,0)</f>
        <v>18.9826704018037</v>
      </c>
      <c r="AZ536" s="153" t="n">
        <f aca="false">IFERROR(IF($N536="VCA",INDEX(APOIO_REDES!$A:$W,MATCH($C536&amp;$I536&amp;$H536&amp;$N536&amp;$O536,APOIO_REDES!$W:$W,0),MATCH(AZ$5,APOIO_REDES!$5:$5,0)),0)*$AP536,0)</f>
        <v>2.62714672392484</v>
      </c>
      <c r="BA536" s="153" t="n">
        <f aca="false">IFERROR(IF(AND($N536="VCA",$Q536="LINEAR"),INDEX(APOIO_REDES!$A:$W,MATCH($C536&amp;$I536&amp;$H536&amp;$N536&amp;$O536,APOIO_REDES!$W:$W,0),MATCH(BA$5,APOIO_REDES!$5:$5,0)),IF(AND($N536="MND",$Q536="EMBOQUE"),INDEX(APOIO_REDES!$A:$W,MATCH($C536&amp;$I536&amp;$H536&amp;$N536&amp;$O536,APOIO_REDES!$W:$W,0),MATCH(BA$5,APOIO_REDES!$5:$5,0)),0))*$M536/10,0)</f>
        <v>9.93766898558691</v>
      </c>
      <c r="BB536" s="153" t="n">
        <f aca="false">IFERROR(IF($N536="VCA",INDEX(APOIO_REDES!$A:$W,MATCH($C536&amp;$I536&amp;$H536&amp;$N536&amp;$O536,APOIO_REDES!$W:$W,0),MATCH(BB$5,APOIO_REDES!$5:$5,0)),0)*($AI536+$AQ536+$AR536),0)</f>
        <v>36.7033983880487</v>
      </c>
      <c r="BC536" s="153" t="n">
        <f aca="false">IFERROR(IF($N536="VCA",INDEX(APOIO_REDES!$A:$W,MATCH($C536&amp;$I536&amp;$H536&amp;$N536&amp;$O536,APOIO_REDES!$W:$W,0),MATCH(BC$5,APOIO_REDES!$5:$5,0)),0)*($AI536+$AQ536+$AR536),0)</f>
        <v>0.403736611951326</v>
      </c>
      <c r="BD536" s="153" t="n">
        <f aca="false">IF(AND($N536="VCA",$AF536&gt;=1.25,$AF536&lt;1.5),$M536*$AF536*2,0)</f>
        <v>336.1158</v>
      </c>
      <c r="BE536" s="153" t="n">
        <f aca="false">IF(AND($N536="VCA",$AF536&gt;=1.5,$AF536&lt;3),$M536*$AF536*2,0)</f>
        <v>0</v>
      </c>
      <c r="BF536" s="153" t="n">
        <f aca="false">IF(AND($N536="VCA",$AF536&gt;=3),$M536*$AF536*2,0)</f>
        <v>0</v>
      </c>
      <c r="BG536" s="153" t="n">
        <f aca="false">($BB536+$BC536)*$AK536</f>
        <v>129.8749725</v>
      </c>
      <c r="BH536" s="153" t="n">
        <f aca="false">IF(AND($M536&lt;&gt;"",$N536="VCA",$Q536="LINEAR"),($M536*2)/100,IF(AND($M536&lt;&gt;"",$N536="MND",$Q536="EMBOQUE"),($AN536*2)/100,0))</f>
        <v>2.466</v>
      </c>
      <c r="BI536" s="153" t="n">
        <f aca="false">IF(AND($M536&lt;&gt;"",$N536="VCA",$Q536="LINEAR"),$M536,IF(AND($M536&lt;&gt;"",$N536="MND",$Q536="EMBOQUE"),$AN536*2,0))</f>
        <v>123.3</v>
      </c>
      <c r="BJ536" s="153" t="n">
        <f aca="false">IF(AND($M536&lt;&gt;"",$N536="VCA",$Q536="LINEAR"),($M536*6.8)/100,IF(AND($M536&lt;&gt;"",$N536="MND",$Q536="EMBOQUE"),($AN536*2*6.8)/100,0))</f>
        <v>8.3844</v>
      </c>
      <c r="BK536" s="153" t="n">
        <f aca="false">IF(AND($M536&lt;&gt;"",$N536="VCA",$Q536="LINEAR"),($M536*2.5)/50,IF(AND($M536&lt;&gt;"",$N536="MND",$Q536="EMBOQUE"),($AN536*2*2.5)/50,0))</f>
        <v>6.165</v>
      </c>
      <c r="BL536" s="157" t="str">
        <f aca="false">K536&amp;J536</f>
        <v>Zona05REDES</v>
      </c>
      <c r="BM536" s="152" t="s">
        <v>3356</v>
      </c>
      <c r="BN536" s="152" t="s">
        <v>1560</v>
      </c>
      <c r="BO536" s="152" t="s">
        <v>2800</v>
      </c>
      <c r="BP536" s="152" t="s">
        <v>3534</v>
      </c>
      <c r="BQ536" s="152" t="s">
        <v>3579</v>
      </c>
      <c r="BR536" s="152" t="s">
        <v>3580</v>
      </c>
      <c r="BS536" s="152" t="n">
        <v>203452.996</v>
      </c>
      <c r="BT536" s="152" t="n">
        <v>8237635.221</v>
      </c>
      <c r="BU536" s="152" t="n">
        <v>203392.316</v>
      </c>
      <c r="BV536" s="152" t="n">
        <v>8237527.892</v>
      </c>
      <c r="BW536" s="152" t="n">
        <v>-15.9232948</v>
      </c>
      <c r="BX536" s="152" t="n">
        <v>-47.769988</v>
      </c>
      <c r="BY536" s="152" t="s">
        <v>3534</v>
      </c>
    </row>
    <row r="537" customFormat="false" ht="13.8" hidden="false" customHeight="false" outlineLevel="0" collapsed="false">
      <c r="A537" s="149" t="n">
        <f aca="false">IF(C537&lt;&gt;"",ROW(A532),"")</f>
        <v>532</v>
      </c>
      <c r="B537" s="150" t="str">
        <f aca="false">HYPERLINK("https://www.google.com/maps/dir/-15.917302,-47.760003/-15.9226942,-47.7704786/data=!4m3!4m2!3e0!5i1")</f>
        <v>https://www.google.com/maps/dir/-15.917302,-47.760003/-15.9226942,-47.7704786/data=!4m3!4m2!3e0!5i1</v>
      </c>
      <c r="C537" s="151" t="s">
        <v>117</v>
      </c>
      <c r="D537" s="152" t="s">
        <v>112</v>
      </c>
      <c r="E537" s="152" t="s">
        <v>113</v>
      </c>
      <c r="F537" s="152" t="s">
        <v>117</v>
      </c>
      <c r="G537" s="152" t="s">
        <v>782</v>
      </c>
      <c r="H537" s="152" t="n">
        <v>63</v>
      </c>
      <c r="I537" s="152" t="s">
        <v>115</v>
      </c>
      <c r="J537" s="152" t="s">
        <v>6</v>
      </c>
      <c r="K537" s="152" t="s">
        <v>3352</v>
      </c>
      <c r="L537" s="152" t="s">
        <v>120</v>
      </c>
      <c r="M537" s="153" t="n">
        <f aca="false">162.35+4</f>
        <v>166.35</v>
      </c>
      <c r="N537" s="152" t="s">
        <v>1548</v>
      </c>
      <c r="O537" s="152" t="s">
        <v>1549</v>
      </c>
      <c r="P537" s="152" t="s">
        <v>1550</v>
      </c>
      <c r="Q537" s="152" t="s">
        <v>1551</v>
      </c>
      <c r="R537" s="154" t="s">
        <v>3581</v>
      </c>
      <c r="S537" s="154" t="s">
        <v>1553</v>
      </c>
      <c r="T537" s="155" t="s">
        <v>2797</v>
      </c>
      <c r="U537" s="152" t="str">
        <f aca="false">RIGHT(T537,7)</f>
        <v>009/037</v>
      </c>
      <c r="V537" s="152" t="s">
        <v>1555</v>
      </c>
      <c r="W537" s="156" t="n">
        <v>45882</v>
      </c>
      <c r="X537" s="152" t="s">
        <v>1594</v>
      </c>
      <c r="Y537" s="152" t="s">
        <v>3516</v>
      </c>
      <c r="Z537" s="152" t="s">
        <v>1557</v>
      </c>
      <c r="AA537" s="153" t="n">
        <v>3.4</v>
      </c>
      <c r="AB537" s="151" t="s">
        <v>3582</v>
      </c>
      <c r="AC537" s="151" t="s">
        <v>186</v>
      </c>
      <c r="AD537" s="151" t="str">
        <f aca="false">CONCATENATE($C537,$I537,$H537,$N537,$J537,$K537)</f>
        <v>TUBO PEADPEAD63VCAREDESZona05</v>
      </c>
      <c r="AE537" s="153" t="n">
        <f aca="false">IFERROR(INDEX(APOIO_REDES!$A:$W,MATCH($C537&amp;$I537&amp;$H537&amp;$N537&amp;$O537,APOIO_REDES!$W:$W,0),MATCH(AE$5,APOIO_REDES!$5:$5,0)),0)</f>
        <v>1.2</v>
      </c>
      <c r="AF537" s="153" t="n">
        <f aca="false">IFERROR(INDEX(APOIO_REDES!$A:$W,MATCH($C537&amp;$I537&amp;$H537&amp;$N537&amp;$O537,APOIO_REDES!$W:$W,0),MATCH(AF$5,APOIO_REDES!$5:$5,0)),0)</f>
        <v>1.363</v>
      </c>
      <c r="AG537" s="153" t="n">
        <f aca="false">IFERROR(INDEX(APOIO_REDES!$A:$W,MATCH($C537&amp;$I537&amp;$H537&amp;$N537&amp;$O537,APOIO_REDES!$W:$W,0),MATCH(AG$5,APOIO_REDES!$5:$5,0)),0)</f>
        <v>0.65</v>
      </c>
      <c r="AH537" s="153" t="n">
        <f aca="false">IFERROR(INDEX(APOIO_REDES!$A:$W,MATCH($C537&amp;$I537&amp;$H537&amp;$N537&amp;$O537,APOIO_REDES!$W:$W,0),MATCH(AH$5,APOIO_REDES!$5:$5,0)),0)</f>
        <v>0.1</v>
      </c>
      <c r="AI537" s="153" t="n">
        <f aca="false">IFERROR(IF($H537&lt;&gt;"",(((($H537/1000)/2)^2)*PI()*$M537),0),0)</f>
        <v>0.518553757405746</v>
      </c>
      <c r="AJ537" s="153" t="n">
        <f aca="false">IFERROR(IF(AND($H537&lt;&gt;"",$I537="FoFo",OR($N537="MND",$N537="VCA"),$Q537="LINEAR"),0,IF(AND($H537&lt;&gt;"",$I537="PEAD",$N537="VCA",$Q537="LINEAR"),($H537/1000)+0.3,IF(AND($H537&lt;&gt;"",$I537="PEAD",$N537="MND",$Q537="EMBOQUE"),0,IF(AND($H537&lt;&gt;"",$I537="PVC",$N537="VCA",$Q537="LINEAR"),($H537/1000)+0.2,IF(AND($H537&lt;&gt;"",$I537="PVC",$N537="MND",$Q537="EMBOQUE"),0,IF(AND($H537&lt;&gt;"",$I537="PEAD",$N537="VCA",$Q537="PREDIAL"),0,0)))))),0)</f>
        <v>0.363</v>
      </c>
      <c r="AK537" s="153" t="n">
        <f aca="false">IF(AA537&lt;&gt;"",AA537,0)</f>
        <v>3.4</v>
      </c>
      <c r="AL537" s="153" t="n">
        <f aca="false">IF(AND($N537="MND",$Q537="EMBOQUE"),$M537,IF(AND($N537="VCA",$Q537="LINEAR"),$M537,IF(AND($N537="VCA",$Q537="PREDIAL"),0,0)))</f>
        <v>166.35</v>
      </c>
      <c r="AM537" s="153" t="n">
        <f aca="false">IF(AND($N537="MND",$Q537="EMBOQUE"),$M537,IF(AND($N537="VCA",$Q537="LINEAR"),$M537,IF(AND($N537="VCA",$Q537="PREDIAL"),0,0)))</f>
        <v>166.35</v>
      </c>
      <c r="AN537" s="153" t="n">
        <f aca="false">ROUND(IF(AND($N537="VCA",$M537&lt;&gt;"",$Q537="LINEAR"),$M537/100,IF(AND($N537="MND",$M537&gt;100,$Q537="EMBOQUE"),$M537/100,0)),0)</f>
        <v>2</v>
      </c>
      <c r="AO537" s="153" t="n">
        <f aca="false">IF(AND($N537="MND",$Q537="EMBOQUE"),$AN537*2*2,IF(AND($N537="VCA",$Q537="LINEAR"),$M537*2,IF(AND($N537="VCA",$Q537="PREDIAL"),0,0)))</f>
        <v>332.7</v>
      </c>
      <c r="AP537" s="153" t="n">
        <f aca="false">IFERROR($M537*$AF537*$AG537,0)</f>
        <v>147.3777825</v>
      </c>
      <c r="AQ537" s="153" t="n">
        <f aca="false">IFERROR(IF(AND($N537="VCA",$AH537&gt;0),$M537*$AG537*$AH537,0),0)</f>
        <v>10.81275</v>
      </c>
      <c r="AR537" s="153" t="n">
        <f aca="false">IFERROR(IF(AND($N537="VCA",$AJ537&gt;0),($M537*$AG537*$AJ537)-$AI537,0),0)</f>
        <v>38.7317287425943</v>
      </c>
      <c r="AS537" s="153" t="n">
        <f aca="false">IFERROR(IF(AND($N537="VCA",$AP537&gt;0),$AP537-$AI537-$AQ537-$AR537,0),0)</f>
        <v>97.31475</v>
      </c>
      <c r="AT537" s="153" t="n">
        <f aca="false">IFERROR(IF($N537="VCA",INDEX(APOIO_REDES!$A:$W,MATCH($C537&amp;$I537&amp;$H537&amp;$N537&amp;$O537,APOIO_REDES!$W:$W,0),MATCH(AT$5,APOIO_REDES!$5:$5,0)),0)*$AP537,0)</f>
        <v>1.60351389519696</v>
      </c>
      <c r="AU537" s="153" t="n">
        <f aca="false">IFERROR(IF($N537="VCA",INDEX(APOIO_REDES!$A:$W,MATCH($C537&amp;$I537&amp;$H537&amp;$N537&amp;$O537,APOIO_REDES!$W:$W,0),MATCH(AU$5,APOIO_REDES!$5:$5,0)),0)*$AP537,0)</f>
        <v>1.28052276804037</v>
      </c>
      <c r="AV537" s="153" t="n">
        <f aca="false">IFERROR(IF($N537="VCA",INDEX(APOIO_REDES!$A:$W,MATCH($C537&amp;$I537&amp;$H537&amp;$N537&amp;$O537,APOIO_REDES!$W:$W,0),MATCH(AV$5,APOIO_REDES!$5:$5,0)),0)*$AP537,0)</f>
        <v>0.177214298598918</v>
      </c>
      <c r="AW537" s="153" t="n">
        <f aca="false">IFERROR(IF($N537="VCA",INDEX(APOIO_REDES!$A:$W,MATCH($C537&amp;$I537&amp;$H537&amp;$N537&amp;$O537,APOIO_REDES!$W:$W,0),MATCH(AW$5,APOIO_REDES!$5:$5,0)),0)*$AP537,0)</f>
        <v>101.161251846783</v>
      </c>
      <c r="AX537" s="153" t="n">
        <f aca="false">IFERROR(IF($N537="VCA",INDEX(APOIO_REDES!$A:$W,MATCH($C537&amp;$I537&amp;$H537&amp;$N537&amp;$O537,APOIO_REDES!$W:$W,0),MATCH(AX$5,APOIO_REDES!$5:$5,0)),0)*$AP537,0)</f>
        <v>14.0004290923142</v>
      </c>
      <c r="AY537" s="153" t="n">
        <f aca="false">IFERROR(IF($N537="VCA",INDEX(APOIO_REDES!$A:$W,MATCH($C537&amp;$I537&amp;$H537&amp;$N537&amp;$O537,APOIO_REDES!$W:$W,0),MATCH(AY$5,APOIO_REDES!$5:$5,0)),0)*$AP537,0)</f>
        <v>25.6104397513386</v>
      </c>
      <c r="AZ537" s="153" t="n">
        <f aca="false">IFERROR(IF($N537="VCA",INDEX(APOIO_REDES!$A:$W,MATCH($C537&amp;$I537&amp;$H537&amp;$N537&amp;$O537,APOIO_REDES!$W:$W,0),MATCH(AZ$5,APOIO_REDES!$5:$5,0)),0)*$AP537,0)</f>
        <v>3.54441084772828</v>
      </c>
      <c r="BA537" s="153" t="n">
        <f aca="false">IFERROR(IF(AND($N537="VCA",$Q537="LINEAR"),INDEX(APOIO_REDES!$A:$W,MATCH($C537&amp;$I537&amp;$H537&amp;$N537&amp;$O537,APOIO_REDES!$W:$W,0),MATCH(BA$5,APOIO_REDES!$5:$5,0)),IF(AND($N537="MND",$Q537="EMBOQUE"),INDEX(APOIO_REDES!$A:$W,MATCH($C537&amp;$I537&amp;$H537&amp;$N537&amp;$O537,APOIO_REDES!$W:$W,0),MATCH(BA$5,APOIO_REDES!$5:$5,0)),0))*$M537/10,0)</f>
        <v>13.4073903953965</v>
      </c>
      <c r="BB537" s="153" t="n">
        <f aca="false">IFERROR(IF($N537="VCA",INDEX(APOIO_REDES!$A:$W,MATCH($C537&amp;$I537&amp;$H537&amp;$N537&amp;$O537,APOIO_REDES!$W:$W,0),MATCH(BB$5,APOIO_REDES!$5:$5,0)),0)*($AI537+$AQ537+$AR537),0)</f>
        <v>49.5183318884988</v>
      </c>
      <c r="BC537" s="153" t="n">
        <f aca="false">IFERROR(IF($N537="VCA",INDEX(APOIO_REDES!$A:$W,MATCH($C537&amp;$I537&amp;$H537&amp;$N537&amp;$O537,APOIO_REDES!$W:$W,0),MATCH(BC$5,APOIO_REDES!$5:$5,0)),0)*($AI537+$AQ537+$AR537),0)</f>
        <v>0.544700611501242</v>
      </c>
      <c r="BD537" s="153" t="n">
        <f aca="false">IF(AND($N537="VCA",$AF537&gt;=1.25,$AF537&lt;1.5),$M537*$AF537*2,0)</f>
        <v>453.4701</v>
      </c>
      <c r="BE537" s="153" t="n">
        <f aca="false">IF(AND($N537="VCA",$AF537&gt;=1.5,$AF537&lt;3),$M537*$AF537*2,0)</f>
        <v>0</v>
      </c>
      <c r="BF537" s="153" t="n">
        <f aca="false">IF(AND($N537="VCA",$AF537&gt;=3),$M537*$AF537*2,0)</f>
        <v>0</v>
      </c>
      <c r="BG537" s="153" t="n">
        <f aca="false">($BB537+$BC537)*$AK537</f>
        <v>170.2143105</v>
      </c>
      <c r="BH537" s="153" t="n">
        <f aca="false">IF(AND($M537&lt;&gt;"",$N537="VCA",$Q537="LINEAR"),($M537*2)/100,IF(AND($M537&lt;&gt;"",$N537="MND",$Q537="EMBOQUE"),($AN537*2)/100,0))</f>
        <v>3.327</v>
      </c>
      <c r="BI537" s="153" t="n">
        <f aca="false">IF(AND($M537&lt;&gt;"",$N537="VCA",$Q537="LINEAR"),$M537,IF(AND($M537&lt;&gt;"",$N537="MND",$Q537="EMBOQUE"),$AN537*2,0))</f>
        <v>166.35</v>
      </c>
      <c r="BJ537" s="153" t="n">
        <f aca="false">IF(AND($M537&lt;&gt;"",$N537="VCA",$Q537="LINEAR"),($M537*6.8)/100,IF(AND($M537&lt;&gt;"",$N537="MND",$Q537="EMBOQUE"),($AN537*2*6.8)/100,0))</f>
        <v>11.3118</v>
      </c>
      <c r="BK537" s="153" t="n">
        <f aca="false">IF(AND($M537&lt;&gt;"",$N537="VCA",$Q537="LINEAR"),($M537*2.5)/50,IF(AND($M537&lt;&gt;"",$N537="MND",$Q537="EMBOQUE"),($AN537*2*2.5)/50,0))</f>
        <v>8.3175</v>
      </c>
      <c r="BL537" s="157" t="str">
        <f aca="false">K537&amp;J537</f>
        <v>Zona05REDES</v>
      </c>
      <c r="BM537" s="152" t="s">
        <v>3356</v>
      </c>
      <c r="BN537" s="152" t="s">
        <v>1560</v>
      </c>
      <c r="BO537" s="152" t="s">
        <v>2800</v>
      </c>
      <c r="BP537" s="152" t="s">
        <v>3518</v>
      </c>
      <c r="BQ537" s="152" t="s">
        <v>3583</v>
      </c>
      <c r="BR537" s="152" t="s">
        <v>3584</v>
      </c>
      <c r="BS537" s="152" t="n">
        <v>203369.574</v>
      </c>
      <c r="BT537" s="152" t="n">
        <v>8237647.155</v>
      </c>
      <c r="BU537" s="152" t="n">
        <v>203288.543</v>
      </c>
      <c r="BV537" s="152" t="n">
        <v>8237506.558</v>
      </c>
      <c r="BW537" s="152" t="n">
        <v>-15.9233315</v>
      </c>
      <c r="BX537" s="152" t="n">
        <v>-47.7708526</v>
      </c>
      <c r="BY537" s="152" t="s">
        <v>3518</v>
      </c>
    </row>
    <row r="538" customFormat="false" ht="13.8" hidden="false" customHeight="false" outlineLevel="0" collapsed="false">
      <c r="A538" s="149" t="n">
        <f aca="false">IF(C538&lt;&gt;"",ROW(A533),"")</f>
        <v>533</v>
      </c>
      <c r="B538" s="150" t="str">
        <f aca="false">HYPERLINK("https://www.google.com/maps/dir/-15.917302,-47.760003/-15.9229860,-47.7688387/data=!4m3!4m2!3e0!5i2")</f>
        <v>https://www.google.com/maps/dir/-15.917302,-47.760003/-15.9229860,-47.7688387/data=!4m3!4m2!3e0!5i2</v>
      </c>
      <c r="C538" s="151" t="s">
        <v>117</v>
      </c>
      <c r="D538" s="152" t="s">
        <v>112</v>
      </c>
      <c r="E538" s="152" t="s">
        <v>113</v>
      </c>
      <c r="F538" s="152" t="s">
        <v>117</v>
      </c>
      <c r="G538" s="152" t="s">
        <v>782</v>
      </c>
      <c r="H538" s="152" t="n">
        <v>63</v>
      </c>
      <c r="I538" s="152" t="s">
        <v>115</v>
      </c>
      <c r="J538" s="152" t="s">
        <v>6</v>
      </c>
      <c r="K538" s="152" t="s">
        <v>3352</v>
      </c>
      <c r="L538" s="152" t="s">
        <v>120</v>
      </c>
      <c r="M538" s="153" t="n">
        <f aca="false">114.49+4.05</f>
        <v>118.54</v>
      </c>
      <c r="N538" s="152" t="s">
        <v>1548</v>
      </c>
      <c r="O538" s="152" t="s">
        <v>1549</v>
      </c>
      <c r="P538" s="152" t="s">
        <v>1550</v>
      </c>
      <c r="Q538" s="152" t="s">
        <v>1551</v>
      </c>
      <c r="R538" s="154" t="s">
        <v>3585</v>
      </c>
      <c r="S538" s="154" t="s">
        <v>1553</v>
      </c>
      <c r="T538" s="155" t="s">
        <v>2797</v>
      </c>
      <c r="U538" s="152" t="str">
        <f aca="false">RIGHT(T538,7)</f>
        <v>009/037</v>
      </c>
      <c r="V538" s="152" t="s">
        <v>1555</v>
      </c>
      <c r="W538" s="156" t="n">
        <v>45882</v>
      </c>
      <c r="X538" s="152" t="s">
        <v>1594</v>
      </c>
      <c r="Y538" s="152" t="s">
        <v>3540</v>
      </c>
      <c r="Z538" s="152" t="s">
        <v>1557</v>
      </c>
      <c r="AA538" s="153" t="n">
        <v>3.6</v>
      </c>
      <c r="AB538" s="151" t="s">
        <v>3586</v>
      </c>
      <c r="AC538" s="151" t="s">
        <v>186</v>
      </c>
      <c r="AD538" s="151" t="str">
        <f aca="false">CONCATENATE($C538,$I538,$H538,$N538,$J538,$K538)</f>
        <v>TUBO PEADPEAD63VCAREDESZona05</v>
      </c>
      <c r="AE538" s="153" t="n">
        <f aca="false">IFERROR(INDEX(APOIO_REDES!$A:$W,MATCH($C538&amp;$I538&amp;$H538&amp;$N538&amp;$O538,APOIO_REDES!$W:$W,0),MATCH(AE$5,APOIO_REDES!$5:$5,0)),0)</f>
        <v>1.2</v>
      </c>
      <c r="AF538" s="153" t="n">
        <f aca="false">IFERROR(INDEX(APOIO_REDES!$A:$W,MATCH($C538&amp;$I538&amp;$H538&amp;$N538&amp;$O538,APOIO_REDES!$W:$W,0),MATCH(AF$5,APOIO_REDES!$5:$5,0)),0)</f>
        <v>1.363</v>
      </c>
      <c r="AG538" s="153" t="n">
        <f aca="false">IFERROR(INDEX(APOIO_REDES!$A:$W,MATCH($C538&amp;$I538&amp;$H538&amp;$N538&amp;$O538,APOIO_REDES!$W:$W,0),MATCH(AG$5,APOIO_REDES!$5:$5,0)),0)</f>
        <v>0.65</v>
      </c>
      <c r="AH538" s="153" t="n">
        <f aca="false">IFERROR(INDEX(APOIO_REDES!$A:$W,MATCH($C538&amp;$I538&amp;$H538&amp;$N538&amp;$O538,APOIO_REDES!$W:$W,0),MATCH(AH$5,APOIO_REDES!$5:$5,0)),0)</f>
        <v>0.1</v>
      </c>
      <c r="AI538" s="153" t="n">
        <f aca="false">IFERROR(IF($H538&lt;&gt;"",(((($H538/1000)/2)^2)*PI()*$M538),0),0)</f>
        <v>0.369518259109571</v>
      </c>
      <c r="AJ538" s="153" t="n">
        <f aca="false">IFERROR(IF(AND($H538&lt;&gt;"",$I538="FoFo",OR($N538="MND",$N538="VCA"),$Q538="LINEAR"),0,IF(AND($H538&lt;&gt;"",$I538="PEAD",$N538="VCA",$Q538="LINEAR"),($H538/1000)+0.3,IF(AND($H538&lt;&gt;"",$I538="PEAD",$N538="MND",$Q538="EMBOQUE"),0,IF(AND($H538&lt;&gt;"",$I538="PVC",$N538="VCA",$Q538="LINEAR"),($H538/1000)+0.2,IF(AND($H538&lt;&gt;"",$I538="PVC",$N538="MND",$Q538="EMBOQUE"),0,IF(AND($H538&lt;&gt;"",$I538="PEAD",$N538="VCA",$Q538="PREDIAL"),0,0)))))),0)</f>
        <v>0.363</v>
      </c>
      <c r="AK538" s="153" t="n">
        <f aca="false">IF(AA538&lt;&gt;"",AA538,0)</f>
        <v>3.6</v>
      </c>
      <c r="AL538" s="153" t="n">
        <f aca="false">IF(AND($N538="MND",$Q538="EMBOQUE"),$M538,IF(AND($N538="VCA",$Q538="LINEAR"),$M538,IF(AND($N538="VCA",$Q538="PREDIAL"),0,0)))</f>
        <v>118.54</v>
      </c>
      <c r="AM538" s="153" t="n">
        <f aca="false">IF(AND($N538="MND",$Q538="EMBOQUE"),$M538,IF(AND($N538="VCA",$Q538="LINEAR"),$M538,IF(AND($N538="VCA",$Q538="PREDIAL"),0,0)))</f>
        <v>118.54</v>
      </c>
      <c r="AN538" s="153" t="n">
        <f aca="false">ROUND(IF(AND($N538="VCA",$M538&lt;&gt;"",$Q538="LINEAR"),$M538/100,IF(AND($N538="MND",$M538&gt;100,$Q538="EMBOQUE"),$M538/100,0)),0)</f>
        <v>1</v>
      </c>
      <c r="AO538" s="153" t="n">
        <f aca="false">IF(AND($N538="MND",$Q538="EMBOQUE"),$AN538*2*2,IF(AND($N538="VCA",$Q538="LINEAR"),$M538*2,IF(AND($N538="VCA",$Q538="PREDIAL"),0,0)))</f>
        <v>237.08</v>
      </c>
      <c r="AP538" s="153" t="n">
        <f aca="false">IFERROR($M538*$AF538*$AG538,0)</f>
        <v>105.020513</v>
      </c>
      <c r="AQ538" s="153" t="n">
        <f aca="false">IFERROR(IF(AND($N538="VCA",$AH538&gt;0),$M538*$AG538*$AH538,0),0)</f>
        <v>7.7051</v>
      </c>
      <c r="AR538" s="153" t="n">
        <f aca="false">IFERROR(IF(AND($N538="VCA",$AJ538&gt;0),($M538*$AG538*$AJ538)-$AI538,0),0)</f>
        <v>27.5999947408904</v>
      </c>
      <c r="AS538" s="153" t="n">
        <f aca="false">IFERROR(IF(AND($N538="VCA",$AP538&gt;0),$AP538-$AI538-$AQ538-$AR538,0),0)</f>
        <v>69.3459</v>
      </c>
      <c r="AT538" s="153" t="n">
        <f aca="false">IFERROR(IF($N538="VCA",INDEX(APOIO_REDES!$A:$W,MATCH($C538&amp;$I538&amp;$H538&amp;$N538&amp;$O538,APOIO_REDES!$W:$W,0),MATCH(AT$5,APOIO_REDES!$5:$5,0)),0)*$AP538,0)</f>
        <v>1.14265426592514</v>
      </c>
      <c r="AU538" s="153" t="n">
        <f aca="false">IFERROR(IF($N538="VCA",INDEX(APOIO_REDES!$A:$W,MATCH($C538&amp;$I538&amp;$H538&amp;$N538&amp;$O538,APOIO_REDES!$W:$W,0),MATCH(AU$5,APOIO_REDES!$5:$5,0)),0)*$AP538,0)</f>
        <v>0.912492749765585</v>
      </c>
      <c r="AV538" s="153" t="n">
        <f aca="false">IFERROR(IF($N538="VCA",INDEX(APOIO_REDES!$A:$W,MATCH($C538&amp;$I538&amp;$H538&amp;$N538&amp;$O538,APOIO_REDES!$W:$W,0),MATCH(AV$5,APOIO_REDES!$5:$5,0)),0)*$AP538,0)</f>
        <v>0.12628183321861</v>
      </c>
      <c r="AW538" s="153" t="n">
        <f aca="false">IFERROR(IF($N538="VCA",INDEX(APOIO_REDES!$A:$W,MATCH($C538&amp;$I538&amp;$H538&amp;$N538&amp;$O538,APOIO_REDES!$W:$W,0),MATCH(AW$5,APOIO_REDES!$5:$5,0)),0)*$AP538,0)</f>
        <v>72.0868938618432</v>
      </c>
      <c r="AX538" s="153" t="n">
        <f aca="false">IFERROR(IF($N538="VCA",INDEX(APOIO_REDES!$A:$W,MATCH($C538&amp;$I538&amp;$H538&amp;$N538&amp;$O538,APOIO_REDES!$W:$W,0),MATCH(AX$5,APOIO_REDES!$5:$5,0)),0)*$AP538,0)</f>
        <v>9.97662076707501</v>
      </c>
      <c r="AY538" s="153" t="n">
        <f aca="false">IFERROR(IF($N538="VCA",INDEX(APOIO_REDES!$A:$W,MATCH($C538&amp;$I538&amp;$H538&amp;$N538&amp;$O538,APOIO_REDES!$W:$W,0),MATCH(AY$5,APOIO_REDES!$5:$5,0)),0)*$AP538,0)</f>
        <v>18.249843872099</v>
      </c>
      <c r="AZ538" s="153" t="n">
        <f aca="false">IFERROR(IF($N538="VCA",INDEX(APOIO_REDES!$A:$W,MATCH($C538&amp;$I538&amp;$H538&amp;$N538&amp;$O538,APOIO_REDES!$W:$W,0),MATCH(AZ$5,APOIO_REDES!$5:$5,0)),0)*$AP538,0)</f>
        <v>2.5257256500734</v>
      </c>
      <c r="BA538" s="153" t="n">
        <f aca="false">IFERROR(IF(AND($N538="VCA",$Q538="LINEAR"),INDEX(APOIO_REDES!$A:$W,MATCH($C538&amp;$I538&amp;$H538&amp;$N538&amp;$O538,APOIO_REDES!$W:$W,0),MATCH(BA$5,APOIO_REDES!$5:$5,0)),IF(AND($N538="MND",$Q538="EMBOQUE"),INDEX(APOIO_REDES!$A:$W,MATCH($C538&amp;$I538&amp;$H538&amp;$N538&amp;$O538,APOIO_REDES!$W:$W,0),MATCH(BA$5,APOIO_REDES!$5:$5,0)),0))*$M538/10,0)</f>
        <v>9.55402499230715</v>
      </c>
      <c r="BB538" s="153" t="n">
        <f aca="false">IFERROR(IF($N538="VCA",INDEX(APOIO_REDES!$A:$W,MATCH($C538&amp;$I538&amp;$H538&amp;$N538&amp;$O538,APOIO_REDES!$W:$W,0),MATCH(BB$5,APOIO_REDES!$5:$5,0)),0)*($AI538+$AQ538+$AR538),0)</f>
        <v>35.2864626514135</v>
      </c>
      <c r="BC538" s="153" t="n">
        <f aca="false">IFERROR(IF($N538="VCA",INDEX(APOIO_REDES!$A:$W,MATCH($C538&amp;$I538&amp;$H538&amp;$N538&amp;$O538,APOIO_REDES!$W:$W,0),MATCH(BC$5,APOIO_REDES!$5:$5,0)),0)*($AI538+$AQ538+$AR538),0)</f>
        <v>0.388150348586458</v>
      </c>
      <c r="BD538" s="153" t="n">
        <f aca="false">IF(AND($N538="VCA",$AF538&gt;=1.25,$AF538&lt;1.5),$M538*$AF538*2,0)</f>
        <v>323.14004</v>
      </c>
      <c r="BE538" s="153" t="n">
        <f aca="false">IF(AND($N538="VCA",$AF538&gt;=1.5,$AF538&lt;3),$M538*$AF538*2,0)</f>
        <v>0</v>
      </c>
      <c r="BF538" s="153" t="n">
        <f aca="false">IF(AND($N538="VCA",$AF538&gt;=3),$M538*$AF538*2,0)</f>
        <v>0</v>
      </c>
      <c r="BG538" s="153" t="n">
        <f aca="false">($BB538+$BC538)*$AK538</f>
        <v>128.4286068</v>
      </c>
      <c r="BH538" s="153" t="n">
        <f aca="false">IF(AND($M538&lt;&gt;"",$N538="VCA",$Q538="LINEAR"),($M538*2)/100,IF(AND($M538&lt;&gt;"",$N538="MND",$Q538="EMBOQUE"),($AN538*2)/100,0))</f>
        <v>2.3708</v>
      </c>
      <c r="BI538" s="153" t="n">
        <f aca="false">IF(AND($M538&lt;&gt;"",$N538="VCA",$Q538="LINEAR"),$M538,IF(AND($M538&lt;&gt;"",$N538="MND",$Q538="EMBOQUE"),$AN538*2,0))</f>
        <v>118.54</v>
      </c>
      <c r="BJ538" s="153" t="n">
        <f aca="false">IF(AND($M538&lt;&gt;"",$N538="VCA",$Q538="LINEAR"),($M538*6.8)/100,IF(AND($M538&lt;&gt;"",$N538="MND",$Q538="EMBOQUE"),($AN538*2*6.8)/100,0))</f>
        <v>8.06072</v>
      </c>
      <c r="BK538" s="153" t="n">
        <f aca="false">IF(AND($M538&lt;&gt;"",$N538="VCA",$Q538="LINEAR"),($M538*2.5)/50,IF(AND($M538&lt;&gt;"",$N538="MND",$Q538="EMBOQUE"),($AN538*2*2.5)/50,0))</f>
        <v>5.927</v>
      </c>
      <c r="BL538" s="157" t="str">
        <f aca="false">K538&amp;J538</f>
        <v>Zona05REDES</v>
      </c>
      <c r="BM538" s="152" t="s">
        <v>3356</v>
      </c>
      <c r="BN538" s="152" t="s">
        <v>1560</v>
      </c>
      <c r="BO538" s="152" t="s">
        <v>2800</v>
      </c>
      <c r="BP538" s="152" t="s">
        <v>3546</v>
      </c>
      <c r="BQ538" s="152" t="s">
        <v>3587</v>
      </c>
      <c r="BR538" s="152" t="s">
        <v>3588</v>
      </c>
      <c r="BS538" s="152" t="n">
        <v>203545.701</v>
      </c>
      <c r="BT538" s="152" t="n">
        <v>8237617.181</v>
      </c>
      <c r="BU538" s="152" t="n">
        <v>203490.852</v>
      </c>
      <c r="BV538" s="152" t="n">
        <v>8237516.702</v>
      </c>
      <c r="BW538" s="152" t="n">
        <v>-15.923436</v>
      </c>
      <c r="BX538" s="152" t="n">
        <v>-47.7691014</v>
      </c>
      <c r="BY538" s="152" t="s">
        <v>3546</v>
      </c>
    </row>
    <row r="539" customFormat="false" ht="13.8" hidden="false" customHeight="false" outlineLevel="0" collapsed="false">
      <c r="A539" s="149" t="n">
        <f aca="false">IF(C539&lt;&gt;"",ROW(A534),"")</f>
        <v>534</v>
      </c>
      <c r="B539" s="150" t="str">
        <f aca="false">HYPERLINK("https://www.google.com/maps/dir/-15.917302,-47.760003/-15.9239785,-47.7699404/data=!4m3!4m2!3e0!5i2")</f>
        <v>https://www.google.com/maps/dir/-15.917302,-47.760003/-15.9239785,-47.7699404/data=!4m3!4m2!3e0!5i2</v>
      </c>
      <c r="C539" s="151" t="s">
        <v>117</v>
      </c>
      <c r="D539" s="152" t="s">
        <v>112</v>
      </c>
      <c r="E539" s="152" t="s">
        <v>113</v>
      </c>
      <c r="F539" s="152" t="s">
        <v>117</v>
      </c>
      <c r="G539" s="152" t="s">
        <v>782</v>
      </c>
      <c r="H539" s="152" t="n">
        <v>63</v>
      </c>
      <c r="I539" s="152" t="s">
        <v>115</v>
      </c>
      <c r="J539" s="152" t="s">
        <v>6</v>
      </c>
      <c r="K539" s="152" t="s">
        <v>3352</v>
      </c>
      <c r="L539" s="152" t="s">
        <v>120</v>
      </c>
      <c r="M539" s="153" t="n">
        <f aca="false">141.66</f>
        <v>141.66</v>
      </c>
      <c r="N539" s="152" t="s">
        <v>1548</v>
      </c>
      <c r="O539" s="152" t="s">
        <v>1549</v>
      </c>
      <c r="P539" s="152" t="s">
        <v>1550</v>
      </c>
      <c r="Q539" s="152" t="s">
        <v>1551</v>
      </c>
      <c r="R539" s="154" t="s">
        <v>3589</v>
      </c>
      <c r="S539" s="154" t="s">
        <v>1553</v>
      </c>
      <c r="T539" s="155" t="s">
        <v>2797</v>
      </c>
      <c r="U539" s="152" t="str">
        <f aca="false">RIGHT(T539,7)</f>
        <v>009/037</v>
      </c>
      <c r="V539" s="152" t="s">
        <v>1555</v>
      </c>
      <c r="W539" s="156" t="n">
        <v>45882</v>
      </c>
      <c r="X539" s="152" t="s">
        <v>1594</v>
      </c>
      <c r="Y539" s="152" t="s">
        <v>3590</v>
      </c>
      <c r="Z539" s="152" t="s">
        <v>1557</v>
      </c>
      <c r="AA539" s="153" t="n">
        <v>3.7</v>
      </c>
      <c r="AB539" s="151" t="s">
        <v>3591</v>
      </c>
      <c r="AC539" s="151" t="s">
        <v>186</v>
      </c>
      <c r="AD539" s="151" t="str">
        <f aca="false">CONCATENATE($C539,$I539,$H539,$N539,$J539,$K539)</f>
        <v>TUBO PEADPEAD63VCAREDESZona05</v>
      </c>
      <c r="AE539" s="153" t="n">
        <f aca="false">IFERROR(INDEX(APOIO_REDES!$A:$W,MATCH($C539&amp;$I539&amp;$H539&amp;$N539&amp;$O539,APOIO_REDES!$W:$W,0),MATCH(AE$5,APOIO_REDES!$5:$5,0)),0)</f>
        <v>1.2</v>
      </c>
      <c r="AF539" s="153" t="n">
        <f aca="false">IFERROR(INDEX(APOIO_REDES!$A:$W,MATCH($C539&amp;$I539&amp;$H539&amp;$N539&amp;$O539,APOIO_REDES!$W:$W,0),MATCH(AF$5,APOIO_REDES!$5:$5,0)),0)</f>
        <v>1.363</v>
      </c>
      <c r="AG539" s="153" t="n">
        <f aca="false">IFERROR(INDEX(APOIO_REDES!$A:$W,MATCH($C539&amp;$I539&amp;$H539&amp;$N539&amp;$O539,APOIO_REDES!$W:$W,0),MATCH(AG$5,APOIO_REDES!$5:$5,0)),0)</f>
        <v>0.65</v>
      </c>
      <c r="AH539" s="153" t="n">
        <f aca="false">IFERROR(INDEX(APOIO_REDES!$A:$W,MATCH($C539&amp;$I539&amp;$H539&amp;$N539&amp;$O539,APOIO_REDES!$W:$W,0),MATCH(AH$5,APOIO_REDES!$5:$5,0)),0)</f>
        <v>0.1</v>
      </c>
      <c r="AI539" s="153" t="n">
        <f aca="false">IFERROR(IF($H539&lt;&gt;"",(((($H539/1000)/2)^2)*PI()*$M539),0),0)</f>
        <v>0.441588970688897</v>
      </c>
      <c r="AJ539" s="153" t="n">
        <f aca="false">IFERROR(IF(AND($H539&lt;&gt;"",$I539="FoFo",OR($N539="MND",$N539="VCA"),$Q539="LINEAR"),0,IF(AND($H539&lt;&gt;"",$I539="PEAD",$N539="VCA",$Q539="LINEAR"),($H539/1000)+0.3,IF(AND($H539&lt;&gt;"",$I539="PEAD",$N539="MND",$Q539="EMBOQUE"),0,IF(AND($H539&lt;&gt;"",$I539="PVC",$N539="VCA",$Q539="LINEAR"),($H539/1000)+0.2,IF(AND($H539&lt;&gt;"",$I539="PVC",$N539="MND",$Q539="EMBOQUE"),0,IF(AND($H539&lt;&gt;"",$I539="PEAD",$N539="VCA",$Q539="PREDIAL"),0,0)))))),0)</f>
        <v>0.363</v>
      </c>
      <c r="AK539" s="153" t="n">
        <f aca="false">IF(AA539&lt;&gt;"",AA539,0)</f>
        <v>3.7</v>
      </c>
      <c r="AL539" s="153" t="n">
        <f aca="false">IF(AND($N539="MND",$Q539="EMBOQUE"),$M539,IF(AND($N539="VCA",$Q539="LINEAR"),$M539,IF(AND($N539="VCA",$Q539="PREDIAL"),0,0)))</f>
        <v>141.66</v>
      </c>
      <c r="AM539" s="153" t="n">
        <f aca="false">IF(AND($N539="MND",$Q539="EMBOQUE"),$M539,IF(AND($N539="VCA",$Q539="LINEAR"),$M539,IF(AND($N539="VCA",$Q539="PREDIAL"),0,0)))</f>
        <v>141.66</v>
      </c>
      <c r="AN539" s="153" t="n">
        <f aca="false">ROUND(IF(AND($N539="VCA",$M539&lt;&gt;"",$Q539="LINEAR"),$M539/100,IF(AND($N539="MND",$M539&gt;100,$Q539="EMBOQUE"),$M539/100,0)),0)</f>
        <v>1</v>
      </c>
      <c r="AO539" s="153" t="n">
        <f aca="false">IF(AND($N539="MND",$Q539="EMBOQUE"),$AN539*2*2,IF(AND($N539="VCA",$Q539="LINEAR"),$M539*2,IF(AND($N539="VCA",$Q539="PREDIAL"),0,0)))</f>
        <v>283.32</v>
      </c>
      <c r="AP539" s="153" t="n">
        <f aca="false">IFERROR($M539*$AF539*$AG539,0)</f>
        <v>125.503677</v>
      </c>
      <c r="AQ539" s="153" t="n">
        <f aca="false">IFERROR(IF(AND($N539="VCA",$AH539&gt;0),$M539*$AG539*$AH539,0),0)</f>
        <v>9.2079</v>
      </c>
      <c r="AR539" s="153" t="n">
        <f aca="false">IFERROR(IF(AND($N539="VCA",$AJ539&gt;0),($M539*$AG539*$AJ539)-$AI539,0),0)</f>
        <v>32.9830880293111</v>
      </c>
      <c r="AS539" s="153" t="n">
        <f aca="false">IFERROR(IF(AND($N539="VCA",$AP539&gt;0),$AP539-$AI539-$AQ539-$AR539,0),0)</f>
        <v>82.8711</v>
      </c>
      <c r="AT539" s="153" t="n">
        <f aca="false">IFERROR(IF($N539="VCA",INDEX(APOIO_REDES!$A:$W,MATCH($C539&amp;$I539&amp;$H539&amp;$N539&amp;$O539,APOIO_REDES!$W:$W,0),MATCH(AT$5,APOIO_REDES!$5:$5,0)),0)*$AP539,0)</f>
        <v>1.36551715295222</v>
      </c>
      <c r="AU539" s="153" t="n">
        <f aca="false">IFERROR(IF($N539="VCA",INDEX(APOIO_REDES!$A:$W,MATCH($C539&amp;$I539&amp;$H539&amp;$N539&amp;$O539,APOIO_REDES!$W:$W,0),MATCH(AU$5,APOIO_REDES!$5:$5,0)),0)*$AP539,0)</f>
        <v>1.09046501545295</v>
      </c>
      <c r="AV539" s="153" t="n">
        <f aca="false">IFERROR(IF($N539="VCA",INDEX(APOIO_REDES!$A:$W,MATCH($C539&amp;$I539&amp;$H539&amp;$N539&amp;$O539,APOIO_REDES!$W:$W,0),MATCH(AV$5,APOIO_REDES!$5:$5,0)),0)*$AP539,0)</f>
        <v>0.150911797652677</v>
      </c>
      <c r="AW539" s="153" t="n">
        <f aca="false">IFERROR(IF($N539="VCA",INDEX(APOIO_REDES!$A:$W,MATCH($C539&amp;$I539&amp;$H539&amp;$N539&amp;$O539,APOIO_REDES!$W:$W,0),MATCH(AW$5,APOIO_REDES!$5:$5,0)),0)*$AP539,0)</f>
        <v>86.1466963427426</v>
      </c>
      <c r="AX539" s="153" t="n">
        <f aca="false">IFERROR(IF($N539="VCA",INDEX(APOIO_REDES!$A:$W,MATCH($C539&amp;$I539&amp;$H539&amp;$N539&amp;$O539,APOIO_REDES!$W:$W,0),MATCH(AX$5,APOIO_REDES!$5:$5,0)),0)*$AP539,0)</f>
        <v>11.922457380326</v>
      </c>
      <c r="AY539" s="153" t="n">
        <f aca="false">IFERROR(IF($N539="VCA",INDEX(APOIO_REDES!$A:$W,MATCH($C539&amp;$I539&amp;$H539&amp;$N539&amp;$O539,APOIO_REDES!$W:$W,0),MATCH(AY$5,APOIO_REDES!$5:$5,0)),0)*$AP539,0)</f>
        <v>21.8092870163789</v>
      </c>
      <c r="AZ539" s="153" t="n">
        <f aca="false">IFERROR(IF($N539="VCA",INDEX(APOIO_REDES!$A:$W,MATCH($C539&amp;$I539&amp;$H539&amp;$N539&amp;$O539,APOIO_REDES!$W:$W,0),MATCH(AZ$5,APOIO_REDES!$5:$5,0)),0)*$AP539,0)</f>
        <v>3.01834229449467</v>
      </c>
      <c r="BA539" s="153" t="n">
        <f aca="false">IFERROR(IF(AND($N539="VCA",$Q539="LINEAR"),INDEX(APOIO_REDES!$A:$W,MATCH($C539&amp;$I539&amp;$H539&amp;$N539&amp;$O539,APOIO_REDES!$W:$W,0),MATCH(BA$5,APOIO_REDES!$5:$5,0)),IF(AND($N539="MND",$Q539="EMBOQUE"),INDEX(APOIO_REDES!$A:$W,MATCH($C539&amp;$I539&amp;$H539&amp;$N539&amp;$O539,APOIO_REDES!$W:$W,0),MATCH(BA$5,APOIO_REDES!$5:$5,0)),0))*$M539/10,0)</f>
        <v>11.4174386739517</v>
      </c>
      <c r="BB539" s="153" t="n">
        <f aca="false">IFERROR(IF($N539="VCA",INDEX(APOIO_REDES!$A:$W,MATCH($C539&amp;$I539&amp;$H539&amp;$N539&amp;$O539,APOIO_REDES!$W:$W,0),MATCH(BB$5,APOIO_REDES!$5:$5,0)),0)*($AI539+$AQ539+$AR539),0)</f>
        <v>42.1687219436413</v>
      </c>
      <c r="BC539" s="153" t="n">
        <f aca="false">IFERROR(IF($N539="VCA",INDEX(APOIO_REDES!$A:$W,MATCH($C539&amp;$I539&amp;$H539&amp;$N539&amp;$O539,APOIO_REDES!$W:$W,0),MATCH(BC$5,APOIO_REDES!$5:$5,0)),0)*($AI539+$AQ539+$AR539),0)</f>
        <v>0.463855056358677</v>
      </c>
      <c r="BD539" s="153" t="n">
        <f aca="false">IF(AND($N539="VCA",$AF539&gt;=1.25,$AF539&lt;1.5),$M539*$AF539*2,0)</f>
        <v>386.16516</v>
      </c>
      <c r="BE539" s="153" t="n">
        <f aca="false">IF(AND($N539="VCA",$AF539&gt;=1.5,$AF539&lt;3),$M539*$AF539*2,0)</f>
        <v>0</v>
      </c>
      <c r="BF539" s="153" t="n">
        <f aca="false">IF(AND($N539="VCA",$AF539&gt;=3),$M539*$AF539*2,0)</f>
        <v>0</v>
      </c>
      <c r="BG539" s="153" t="n">
        <f aca="false">($BB539+$BC539)*$AK539</f>
        <v>157.7405349</v>
      </c>
      <c r="BH539" s="153" t="n">
        <f aca="false">IF(AND($M539&lt;&gt;"",$N539="VCA",$Q539="LINEAR"),($M539*2)/100,IF(AND($M539&lt;&gt;"",$N539="MND",$Q539="EMBOQUE"),($AN539*2)/100,0))</f>
        <v>2.8332</v>
      </c>
      <c r="BI539" s="153" t="n">
        <f aca="false">IF(AND($M539&lt;&gt;"",$N539="VCA",$Q539="LINEAR"),$M539,IF(AND($M539&lt;&gt;"",$N539="MND",$Q539="EMBOQUE"),$AN539*2,0))</f>
        <v>141.66</v>
      </c>
      <c r="BJ539" s="153" t="n">
        <f aca="false">IF(AND($M539&lt;&gt;"",$N539="VCA",$Q539="LINEAR"),($M539*6.8)/100,IF(AND($M539&lt;&gt;"",$N539="MND",$Q539="EMBOQUE"),($AN539*2*6.8)/100,0))</f>
        <v>9.63288</v>
      </c>
      <c r="BK539" s="153" t="n">
        <f aca="false">IF(AND($M539&lt;&gt;"",$N539="VCA",$Q539="LINEAR"),($M539*2.5)/50,IF(AND($M539&lt;&gt;"",$N539="MND",$Q539="EMBOQUE"),($AN539*2*2.5)/50,0))</f>
        <v>7.083</v>
      </c>
      <c r="BL539" s="157" t="str">
        <f aca="false">K539&amp;J539</f>
        <v>Zona05REDES</v>
      </c>
      <c r="BM539" s="152" t="s">
        <v>3356</v>
      </c>
      <c r="BN539" s="152" t="s">
        <v>1560</v>
      </c>
      <c r="BO539" s="152" t="s">
        <v>2800</v>
      </c>
      <c r="BP539" s="152" t="s">
        <v>3592</v>
      </c>
      <c r="BQ539" s="152" t="s">
        <v>3542</v>
      </c>
      <c r="BR539" s="152" t="s">
        <v>3593</v>
      </c>
      <c r="BS539" s="152" t="n">
        <v>203429.122</v>
      </c>
      <c r="BT539" s="152" t="n">
        <v>8237505.714</v>
      </c>
      <c r="BU539" s="152" t="n">
        <v>203502.077</v>
      </c>
      <c r="BV539" s="152" t="n">
        <v>8237625.629</v>
      </c>
      <c r="BW539" s="152" t="n">
        <v>-15.9234632</v>
      </c>
      <c r="BX539" s="152" t="n">
        <v>-47.7695665</v>
      </c>
      <c r="BY539" s="152" t="s">
        <v>3592</v>
      </c>
    </row>
    <row r="540" customFormat="false" ht="13.8" hidden="false" customHeight="false" outlineLevel="0" collapsed="false">
      <c r="A540" s="149" t="n">
        <f aca="false">IF(C540&lt;&gt;"",ROW(A535),"")</f>
        <v>535</v>
      </c>
      <c r="B540" s="150" t="str">
        <f aca="false">HYPERLINK("https://www.google.com/maps/dir/-15.917302,-47.760003/-15.9225086,-47.7720516/data=!4m3!4m2!3e0!5i1")</f>
        <v>https://www.google.com/maps/dir/-15.917302,-47.760003/-15.9225086,-47.7720516/data=!4m3!4m2!3e0!5i1</v>
      </c>
      <c r="C540" s="151" t="s">
        <v>117</v>
      </c>
      <c r="D540" s="152" t="s">
        <v>112</v>
      </c>
      <c r="E540" s="152" t="s">
        <v>113</v>
      </c>
      <c r="F540" s="152" t="s">
        <v>117</v>
      </c>
      <c r="G540" s="152" t="s">
        <v>782</v>
      </c>
      <c r="H540" s="152" t="n">
        <v>63</v>
      </c>
      <c r="I540" s="152" t="s">
        <v>115</v>
      </c>
      <c r="J540" s="152" t="s">
        <v>6</v>
      </c>
      <c r="K540" s="152" t="s">
        <v>3352</v>
      </c>
      <c r="L540" s="152" t="s">
        <v>120</v>
      </c>
      <c r="M540" s="153" t="n">
        <f aca="false">244.02+4.4</f>
        <v>248.42</v>
      </c>
      <c r="N540" s="152" t="s">
        <v>1548</v>
      </c>
      <c r="O540" s="152" t="s">
        <v>1549</v>
      </c>
      <c r="P540" s="152" t="s">
        <v>1550</v>
      </c>
      <c r="Q540" s="152" t="s">
        <v>1551</v>
      </c>
      <c r="R540" s="154" t="s">
        <v>3594</v>
      </c>
      <c r="S540" s="154" t="s">
        <v>1553</v>
      </c>
      <c r="T540" s="155" t="s">
        <v>2797</v>
      </c>
      <c r="U540" s="152" t="str">
        <f aca="false">RIGHT(T540,7)</f>
        <v>009/037</v>
      </c>
      <c r="V540" s="152" t="s">
        <v>1555</v>
      </c>
      <c r="W540" s="156" t="n">
        <v>45882</v>
      </c>
      <c r="X540" s="152" t="s">
        <v>1594</v>
      </c>
      <c r="Y540" s="152" t="s">
        <v>2630</v>
      </c>
      <c r="Z540" s="152" t="s">
        <v>1557</v>
      </c>
      <c r="AA540" s="153" t="n">
        <v>3.4</v>
      </c>
      <c r="AB540" s="151" t="s">
        <v>3595</v>
      </c>
      <c r="AC540" s="151" t="s">
        <v>186</v>
      </c>
      <c r="AD540" s="151" t="str">
        <f aca="false">CONCATENATE($C540,$I540,$H540,$N540,$J540,$K540)</f>
        <v>TUBO PEADPEAD63VCAREDESZona05</v>
      </c>
      <c r="AE540" s="153" t="n">
        <f aca="false">IFERROR(INDEX(APOIO_REDES!$A:$W,MATCH($C540&amp;$I540&amp;$H540&amp;$N540&amp;$O540,APOIO_REDES!$W:$W,0),MATCH(AE$5,APOIO_REDES!$5:$5,0)),0)</f>
        <v>1.2</v>
      </c>
      <c r="AF540" s="153" t="n">
        <f aca="false">IFERROR(INDEX(APOIO_REDES!$A:$W,MATCH($C540&amp;$I540&amp;$H540&amp;$N540&amp;$O540,APOIO_REDES!$W:$W,0),MATCH(AF$5,APOIO_REDES!$5:$5,0)),0)</f>
        <v>1.363</v>
      </c>
      <c r="AG540" s="153" t="n">
        <f aca="false">IFERROR(INDEX(APOIO_REDES!$A:$W,MATCH($C540&amp;$I540&amp;$H540&amp;$N540&amp;$O540,APOIO_REDES!$W:$W,0),MATCH(AG$5,APOIO_REDES!$5:$5,0)),0)</f>
        <v>0.65</v>
      </c>
      <c r="AH540" s="153" t="n">
        <f aca="false">IFERROR(INDEX(APOIO_REDES!$A:$W,MATCH($C540&amp;$I540&amp;$H540&amp;$N540&amp;$O540,APOIO_REDES!$W:$W,0),MATCH(AH$5,APOIO_REDES!$5:$5,0)),0)</f>
        <v>0.1</v>
      </c>
      <c r="AI540" s="153" t="n">
        <f aca="false">IFERROR(IF($H540&lt;&gt;"",(((($H540/1000)/2)^2)*PI()*$M540),0),0)</f>
        <v>0.77438608004049</v>
      </c>
      <c r="AJ540" s="153" t="n">
        <f aca="false">IFERROR(IF(AND($H540&lt;&gt;"",$I540="FoFo",OR($N540="MND",$N540="VCA"),$Q540="LINEAR"),0,IF(AND($H540&lt;&gt;"",$I540="PEAD",$N540="VCA",$Q540="LINEAR"),($H540/1000)+0.3,IF(AND($H540&lt;&gt;"",$I540="PEAD",$N540="MND",$Q540="EMBOQUE"),0,IF(AND($H540&lt;&gt;"",$I540="PVC",$N540="VCA",$Q540="LINEAR"),($H540/1000)+0.2,IF(AND($H540&lt;&gt;"",$I540="PVC",$N540="MND",$Q540="EMBOQUE"),0,IF(AND($H540&lt;&gt;"",$I540="PEAD",$N540="VCA",$Q540="PREDIAL"),0,0)))))),0)</f>
        <v>0.363</v>
      </c>
      <c r="AK540" s="153" t="n">
        <f aca="false">IF(AA540&lt;&gt;"",AA540,0)</f>
        <v>3.4</v>
      </c>
      <c r="AL540" s="153" t="n">
        <f aca="false">IF(AND($N540="MND",$Q540="EMBOQUE"),$M540,IF(AND($N540="VCA",$Q540="LINEAR"),$M540,IF(AND($N540="VCA",$Q540="PREDIAL"),0,0)))</f>
        <v>248.42</v>
      </c>
      <c r="AM540" s="153" t="n">
        <f aca="false">IF(AND($N540="MND",$Q540="EMBOQUE"),$M540,IF(AND($N540="VCA",$Q540="LINEAR"),$M540,IF(AND($N540="VCA",$Q540="PREDIAL"),0,0)))</f>
        <v>248.42</v>
      </c>
      <c r="AN540" s="153" t="n">
        <f aca="false">ROUND(IF(AND($N540="VCA",$M540&lt;&gt;"",$Q540="LINEAR"),$M540/100,IF(AND($N540="MND",$M540&gt;100,$Q540="EMBOQUE"),$M540/100,0)),0)</f>
        <v>2</v>
      </c>
      <c r="AO540" s="153" t="n">
        <f aca="false">IF(AND($N540="MND",$Q540="EMBOQUE"),$AN540*2*2,IF(AND($N540="VCA",$Q540="LINEAR"),$M540*2,IF(AND($N540="VCA",$Q540="PREDIAL"),0,0)))</f>
        <v>496.84</v>
      </c>
      <c r="AP540" s="153" t="n">
        <f aca="false">IFERROR($M540*$AF540*$AG540,0)</f>
        <v>220.087699</v>
      </c>
      <c r="AQ540" s="153" t="n">
        <f aca="false">IFERROR(IF(AND($N540="VCA",$AH540&gt;0),$M540*$AG540*$AH540,0),0)</f>
        <v>16.1473</v>
      </c>
      <c r="AR540" s="153" t="n">
        <f aca="false">IFERROR(IF(AND($N540="VCA",$AJ540&gt;0),($M540*$AG540*$AJ540)-$AI540,0),0)</f>
        <v>57.8403129199595</v>
      </c>
      <c r="AS540" s="153" t="n">
        <f aca="false">IFERROR(IF(AND($N540="VCA",$AP540&gt;0),$AP540-$AI540-$AQ540-$AR540,0),0)</f>
        <v>145.3257</v>
      </c>
      <c r="AT540" s="153" t="n">
        <f aca="false">IFERROR(IF($N540="VCA",INDEX(APOIO_REDES!$A:$W,MATCH($C540&amp;$I540&amp;$H540&amp;$N540&amp;$O540,APOIO_REDES!$W:$W,0),MATCH(AT$5,APOIO_REDES!$5:$5,0)),0)*$AP540,0)</f>
        <v>2.39461930775371</v>
      </c>
      <c r="AU540" s="153" t="n">
        <f aca="false">IFERROR(IF($N540="VCA",INDEX(APOIO_REDES!$A:$W,MATCH($C540&amp;$I540&amp;$H540&amp;$N540&amp;$O540,APOIO_REDES!$W:$W,0),MATCH(AU$5,APOIO_REDES!$5:$5,0)),0)*$AP540,0)</f>
        <v>1.91227812465637</v>
      </c>
      <c r="AV540" s="153" t="n">
        <f aca="false">IFERROR(IF($N540="VCA",INDEX(APOIO_REDES!$A:$W,MATCH($C540&amp;$I540&amp;$H540&amp;$N540&amp;$O540,APOIO_REDES!$W:$W,0),MATCH(AV$5,APOIO_REDES!$5:$5,0)),0)*$AP540,0)</f>
        <v>0.264644280480573</v>
      </c>
      <c r="AW540" s="153" t="n">
        <f aca="false">IFERROR(IF($N540="VCA",INDEX(APOIO_REDES!$A:$W,MATCH($C540&amp;$I540&amp;$H540&amp;$N540&amp;$O540,APOIO_REDES!$W:$W,0),MATCH(AW$5,APOIO_REDES!$5:$5,0)),0)*$AP540,0)</f>
        <v>151.069901916308</v>
      </c>
      <c r="AX540" s="153" t="n">
        <f aca="false">IFERROR(IF($N540="VCA",INDEX(APOIO_REDES!$A:$W,MATCH($C540&amp;$I540&amp;$H540&amp;$N540&amp;$O540,APOIO_REDES!$W:$W,0),MATCH(AX$5,APOIO_REDES!$5:$5,0)),0)*$AP540,0)</f>
        <v>20.9076440944557</v>
      </c>
      <c r="AY540" s="153" t="n">
        <f aca="false">IFERROR(IF($N540="VCA",INDEX(APOIO_REDES!$A:$W,MATCH($C540&amp;$I540&amp;$H540&amp;$N540&amp;$O540,APOIO_REDES!$W:$W,0),MATCH(AY$5,APOIO_REDES!$5:$5,0)),0)*$AP540,0)</f>
        <v>38.2455391826122</v>
      </c>
      <c r="AZ540" s="153" t="n">
        <f aca="false">IFERROR(IF($N540="VCA",INDEX(APOIO_REDES!$A:$W,MATCH($C540&amp;$I540&amp;$H540&amp;$N540&amp;$O540,APOIO_REDES!$W:$W,0),MATCH(AZ$5,APOIO_REDES!$5:$5,0)),0)*$AP540,0)</f>
        <v>5.29307209373406</v>
      </c>
      <c r="BA540" s="153" t="n">
        <f aca="false">IFERROR(IF(AND($N540="VCA",$Q540="LINEAR"),INDEX(APOIO_REDES!$A:$W,MATCH($C540&amp;$I540&amp;$H540&amp;$N540&amp;$O540,APOIO_REDES!$W:$W,0),MATCH(BA$5,APOIO_REDES!$5:$5,0)),IF(AND($N540="MND",$Q540="EMBOQUE"),INDEX(APOIO_REDES!$A:$W,MATCH($C540&amp;$I540&amp;$H540&amp;$N540&amp;$O540,APOIO_REDES!$W:$W,0),MATCH(BA$5,APOIO_REDES!$5:$5,0)),0))*$M540/10,0)</f>
        <v>20.022025380369</v>
      </c>
      <c r="BB540" s="153" t="n">
        <f aca="false">IFERROR(IF($N540="VCA",INDEX(APOIO_REDES!$A:$W,MATCH($C540&amp;$I540&amp;$H540&amp;$N540&amp;$O540,APOIO_REDES!$W:$W,0),MATCH(BB$5,APOIO_REDES!$5:$5,0)),0)*($AI540+$AQ540+$AR540),0)</f>
        <v>73.9485663224578</v>
      </c>
      <c r="BC540" s="153" t="n">
        <f aca="false">IFERROR(IF($N540="VCA",INDEX(APOIO_REDES!$A:$W,MATCH($C540&amp;$I540&amp;$H540&amp;$N540&amp;$O540,APOIO_REDES!$W:$W,0),MATCH(BC$5,APOIO_REDES!$5:$5,0)),0)*($AI540+$AQ540+$AR540),0)</f>
        <v>0.813432677542161</v>
      </c>
      <c r="BD540" s="153" t="n">
        <f aca="false">IF(AND($N540="VCA",$AF540&gt;=1.25,$AF540&lt;1.5),$M540*$AF540*2,0)</f>
        <v>677.19292</v>
      </c>
      <c r="BE540" s="153" t="n">
        <f aca="false">IF(AND($N540="VCA",$AF540&gt;=1.5,$AF540&lt;3),$M540*$AF540*2,0)</f>
        <v>0</v>
      </c>
      <c r="BF540" s="153" t="n">
        <f aca="false">IF(AND($N540="VCA",$AF540&gt;=3),$M540*$AF540*2,0)</f>
        <v>0</v>
      </c>
      <c r="BG540" s="153" t="n">
        <f aca="false">($BB540+$BC540)*$AK540</f>
        <v>254.1907966</v>
      </c>
      <c r="BH540" s="153" t="n">
        <f aca="false">IF(AND($M540&lt;&gt;"",$N540="VCA",$Q540="LINEAR"),($M540*2)/100,IF(AND($M540&lt;&gt;"",$N540="MND",$Q540="EMBOQUE"),($AN540*2)/100,0))</f>
        <v>4.9684</v>
      </c>
      <c r="BI540" s="153" t="n">
        <f aca="false">IF(AND($M540&lt;&gt;"",$N540="VCA",$Q540="LINEAR"),$M540,IF(AND($M540&lt;&gt;"",$N540="MND",$Q540="EMBOQUE"),$AN540*2,0))</f>
        <v>248.42</v>
      </c>
      <c r="BJ540" s="153" t="n">
        <f aca="false">IF(AND($M540&lt;&gt;"",$N540="VCA",$Q540="LINEAR"),($M540*6.8)/100,IF(AND($M540&lt;&gt;"",$N540="MND",$Q540="EMBOQUE"),($AN540*2*6.8)/100,0))</f>
        <v>16.89256</v>
      </c>
      <c r="BK540" s="153" t="n">
        <f aca="false">IF(AND($M540&lt;&gt;"",$N540="VCA",$Q540="LINEAR"),($M540*2.5)/50,IF(AND($M540&lt;&gt;"",$N540="MND",$Q540="EMBOQUE"),($AN540*2*2.5)/50,0))</f>
        <v>12.421</v>
      </c>
      <c r="BL540" s="157" t="str">
        <f aca="false">K540&amp;J540</f>
        <v>Zona05REDES</v>
      </c>
      <c r="BM540" s="152" t="s">
        <v>3356</v>
      </c>
      <c r="BN540" s="152" t="s">
        <v>1560</v>
      </c>
      <c r="BO540" s="152" t="s">
        <v>2800</v>
      </c>
      <c r="BP540" s="152" t="s">
        <v>3491</v>
      </c>
      <c r="BQ540" s="152" t="s">
        <v>3596</v>
      </c>
      <c r="BR540" s="152" t="s">
        <v>3597</v>
      </c>
      <c r="BS540" s="152" t="n">
        <v>203200.766</v>
      </c>
      <c r="BT540" s="152" t="n">
        <v>8237665.463</v>
      </c>
      <c r="BU540" s="152" t="n">
        <v>203091.077</v>
      </c>
      <c r="BV540" s="152" t="n">
        <v>8237448.789</v>
      </c>
      <c r="BW540" s="152" t="n">
        <v>-15.923497</v>
      </c>
      <c r="BX540" s="152" t="n">
        <v>-47.7725349</v>
      </c>
      <c r="BY540" s="152" t="s">
        <v>3491</v>
      </c>
    </row>
    <row r="541" customFormat="false" ht="13.8" hidden="false" customHeight="false" outlineLevel="0" collapsed="false">
      <c r="A541" s="149" t="n">
        <f aca="false">IF(C541&lt;&gt;"",ROW(A536),"")</f>
        <v>536</v>
      </c>
      <c r="B541" s="150" t="str">
        <f aca="false">HYPERLINK("https://www.google.com/maps/dir/-15.917302,-47.760003/-15.9242808,-47.7727767/data=!4m3!4m2!3e0!5i1")</f>
        <v>https://www.google.com/maps/dir/-15.917302,-47.760003/-15.9242808,-47.7727767/data=!4m3!4m2!3e0!5i1</v>
      </c>
      <c r="C541" s="151" t="s">
        <v>117</v>
      </c>
      <c r="D541" s="152" t="s">
        <v>112</v>
      </c>
      <c r="E541" s="152" t="s">
        <v>113</v>
      </c>
      <c r="F541" s="152" t="s">
        <v>117</v>
      </c>
      <c r="G541" s="152" t="s">
        <v>782</v>
      </c>
      <c r="H541" s="152" t="n">
        <v>63</v>
      </c>
      <c r="I541" s="152" t="s">
        <v>115</v>
      </c>
      <c r="J541" s="152" t="s">
        <v>6</v>
      </c>
      <c r="K541" s="152" t="s">
        <v>3352</v>
      </c>
      <c r="L541" s="152" t="s">
        <v>120</v>
      </c>
      <c r="M541" s="153" t="n">
        <f aca="false">172.73</f>
        <v>172.73</v>
      </c>
      <c r="N541" s="152" t="s">
        <v>1548</v>
      </c>
      <c r="O541" s="152" t="s">
        <v>1549</v>
      </c>
      <c r="P541" s="152" t="s">
        <v>1550</v>
      </c>
      <c r="Q541" s="152" t="s">
        <v>1551</v>
      </c>
      <c r="R541" s="154" t="s">
        <v>3598</v>
      </c>
      <c r="S541" s="154" t="s">
        <v>1553</v>
      </c>
      <c r="T541" s="155" t="s">
        <v>2797</v>
      </c>
      <c r="U541" s="152" t="str">
        <f aca="false">RIGHT(T541,7)</f>
        <v>009/037</v>
      </c>
      <c r="V541" s="152" t="s">
        <v>1555</v>
      </c>
      <c r="W541" s="156" t="n">
        <v>45882</v>
      </c>
      <c r="X541" s="152" t="s">
        <v>1594</v>
      </c>
      <c r="Y541" s="152" t="s">
        <v>3494</v>
      </c>
      <c r="Z541" s="152" t="s">
        <v>1557</v>
      </c>
      <c r="AA541" s="153" t="n">
        <v>3.6</v>
      </c>
      <c r="AB541" s="151" t="s">
        <v>3599</v>
      </c>
      <c r="AC541" s="151" t="s">
        <v>186</v>
      </c>
      <c r="AD541" s="151" t="str">
        <f aca="false">CONCATENATE($C541,$I541,$H541,$N541,$J541,$K541)</f>
        <v>TUBO PEADPEAD63VCAREDESZona05</v>
      </c>
      <c r="AE541" s="153" t="n">
        <f aca="false">IFERROR(INDEX(APOIO_REDES!$A:$W,MATCH($C541&amp;$I541&amp;$H541&amp;$N541&amp;$O541,APOIO_REDES!$W:$W,0),MATCH(AE$5,APOIO_REDES!$5:$5,0)),0)</f>
        <v>1.2</v>
      </c>
      <c r="AF541" s="153" t="n">
        <f aca="false">IFERROR(INDEX(APOIO_REDES!$A:$W,MATCH($C541&amp;$I541&amp;$H541&amp;$N541&amp;$O541,APOIO_REDES!$W:$W,0),MATCH(AF$5,APOIO_REDES!$5:$5,0)),0)</f>
        <v>1.363</v>
      </c>
      <c r="AG541" s="153" t="n">
        <f aca="false">IFERROR(INDEX(APOIO_REDES!$A:$W,MATCH($C541&amp;$I541&amp;$H541&amp;$N541&amp;$O541,APOIO_REDES!$W:$W,0),MATCH(AG$5,APOIO_REDES!$5:$5,0)),0)</f>
        <v>0.65</v>
      </c>
      <c r="AH541" s="153" t="n">
        <f aca="false">IFERROR(INDEX(APOIO_REDES!$A:$W,MATCH($C541&amp;$I541&amp;$H541&amp;$N541&amp;$O541,APOIO_REDES!$W:$W,0),MATCH(AH$5,APOIO_REDES!$5:$5,0)),0)</f>
        <v>0.1</v>
      </c>
      <c r="AI541" s="153" t="n">
        <f aca="false">IFERROR(IF($H541&lt;&gt;"",(((($H541/1000)/2)^2)*PI()*$M541),0),0)</f>
        <v>0.538441782486892</v>
      </c>
      <c r="AJ541" s="153" t="n">
        <f aca="false">IFERROR(IF(AND($H541&lt;&gt;"",$I541="FoFo",OR($N541="MND",$N541="VCA"),$Q541="LINEAR"),0,IF(AND($H541&lt;&gt;"",$I541="PEAD",$N541="VCA",$Q541="LINEAR"),($H541/1000)+0.3,IF(AND($H541&lt;&gt;"",$I541="PEAD",$N541="MND",$Q541="EMBOQUE"),0,IF(AND($H541&lt;&gt;"",$I541="PVC",$N541="VCA",$Q541="LINEAR"),($H541/1000)+0.2,IF(AND($H541&lt;&gt;"",$I541="PVC",$N541="MND",$Q541="EMBOQUE"),0,IF(AND($H541&lt;&gt;"",$I541="PEAD",$N541="VCA",$Q541="PREDIAL"),0,0)))))),0)</f>
        <v>0.363</v>
      </c>
      <c r="AK541" s="153" t="n">
        <f aca="false">IF(AA541&lt;&gt;"",AA541,0)</f>
        <v>3.6</v>
      </c>
      <c r="AL541" s="153" t="n">
        <f aca="false">IF(AND($N541="MND",$Q541="EMBOQUE"),$M541,IF(AND($N541="VCA",$Q541="LINEAR"),$M541,IF(AND($N541="VCA",$Q541="PREDIAL"),0,0)))</f>
        <v>172.73</v>
      </c>
      <c r="AM541" s="153" t="n">
        <f aca="false">IF(AND($N541="MND",$Q541="EMBOQUE"),$M541,IF(AND($N541="VCA",$Q541="LINEAR"),$M541,IF(AND($N541="VCA",$Q541="PREDIAL"),0,0)))</f>
        <v>172.73</v>
      </c>
      <c r="AN541" s="153" t="n">
        <f aca="false">ROUND(IF(AND($N541="VCA",$M541&lt;&gt;"",$Q541="LINEAR"),$M541/100,IF(AND($N541="MND",$M541&gt;100,$Q541="EMBOQUE"),$M541/100,0)),0)</f>
        <v>2</v>
      </c>
      <c r="AO541" s="153" t="n">
        <f aca="false">IF(AND($N541="MND",$Q541="EMBOQUE"),$AN541*2*2,IF(AND($N541="VCA",$Q541="LINEAR"),$M541*2,IF(AND($N541="VCA",$Q541="PREDIAL"),0,0)))</f>
        <v>345.46</v>
      </c>
      <c r="AP541" s="153" t="n">
        <f aca="false">IFERROR($M541*$AF541*$AG541,0)</f>
        <v>153.0301435</v>
      </c>
      <c r="AQ541" s="153" t="n">
        <f aca="false">IFERROR(IF(AND($N541="VCA",$AH541&gt;0),$M541*$AG541*$AH541,0),0)</f>
        <v>11.22745</v>
      </c>
      <c r="AR541" s="153" t="n">
        <f aca="false">IFERROR(IF(AND($N541="VCA",$AJ541&gt;0),($M541*$AG541*$AJ541)-$AI541,0),0)</f>
        <v>40.2172017175131</v>
      </c>
      <c r="AS541" s="153" t="n">
        <f aca="false">IFERROR(IF(AND($N541="VCA",$AP541&gt;0),$AP541-$AI541-$AQ541-$AR541,0),0)</f>
        <v>101.04705</v>
      </c>
      <c r="AT541" s="153" t="n">
        <f aca="false">IFERROR(IF($N541="VCA",INDEX(APOIO_REDES!$A:$W,MATCH($C541&amp;$I541&amp;$H541&amp;$N541&amp;$O541,APOIO_REDES!$W:$W,0),MATCH(AT$5,APOIO_REDES!$5:$5,0)),0)*$AP541,0)</f>
        <v>1.66501325589042</v>
      </c>
      <c r="AU541" s="153" t="n">
        <f aca="false">IFERROR(IF($N541="VCA",INDEX(APOIO_REDES!$A:$W,MATCH($C541&amp;$I541&amp;$H541&amp;$N541&amp;$O541,APOIO_REDES!$W:$W,0),MATCH(AU$5,APOIO_REDES!$5:$5,0)),0)*$AP541,0)</f>
        <v>1.32963449187624</v>
      </c>
      <c r="AV541" s="153" t="n">
        <f aca="false">IFERROR(IF($N541="VCA",INDEX(APOIO_REDES!$A:$W,MATCH($C541&amp;$I541&amp;$H541&amp;$N541&amp;$O541,APOIO_REDES!$W:$W,0),MATCH(AV$5,APOIO_REDES!$5:$5,0)),0)*$AP541,0)</f>
        <v>0.184010975635655</v>
      </c>
      <c r="AW541" s="153" t="n">
        <f aca="false">IFERROR(IF($N541="VCA",INDEX(APOIO_REDES!$A:$W,MATCH($C541&amp;$I541&amp;$H541&amp;$N541&amp;$O541,APOIO_REDES!$W:$W,0),MATCH(AW$5,APOIO_REDES!$5:$5,0)),0)*$AP541,0)</f>
        <v>105.041076233813</v>
      </c>
      <c r="AX541" s="153" t="n">
        <f aca="false">IFERROR(IF($N541="VCA",INDEX(APOIO_REDES!$A:$W,MATCH($C541&amp;$I541&amp;$H541&amp;$N541&amp;$O541,APOIO_REDES!$W:$W,0),MATCH(AX$5,APOIO_REDES!$5:$5,0)),0)*$AP541,0)</f>
        <v>14.5373857355902</v>
      </c>
      <c r="AY541" s="153" t="n">
        <f aca="false">IFERROR(IF($N541="VCA",INDEX(APOIO_REDES!$A:$W,MATCH($C541&amp;$I541&amp;$H541&amp;$N541&amp;$O541,APOIO_REDES!$W:$W,0),MATCH(AY$5,APOIO_REDES!$5:$5,0)),0)*$AP541,0)</f>
        <v>26.5926736293881</v>
      </c>
      <c r="AZ541" s="153" t="n">
        <f aca="false">IFERROR(IF($N541="VCA",INDEX(APOIO_REDES!$A:$W,MATCH($C541&amp;$I541&amp;$H541&amp;$N541&amp;$O541,APOIO_REDES!$W:$W,0),MATCH(AZ$5,APOIO_REDES!$5:$5,0)),0)*$AP541,0)</f>
        <v>3.68034917780647</v>
      </c>
      <c r="BA541" s="153" t="n">
        <f aca="false">IFERROR(IF(AND($N541="VCA",$Q541="LINEAR"),INDEX(APOIO_REDES!$A:$W,MATCH($C541&amp;$I541&amp;$H541&amp;$N541&amp;$O541,APOIO_REDES!$W:$W,0),MATCH(BA$5,APOIO_REDES!$5:$5,0)),IF(AND($N541="MND",$Q541="EMBOQUE"),INDEX(APOIO_REDES!$A:$W,MATCH($C541&amp;$I541&amp;$H541&amp;$N541&amp;$O541,APOIO_REDES!$W:$W,0),MATCH(BA$5,APOIO_REDES!$5:$5,0)),0))*$M541/10,0)</f>
        <v>13.9216023023554</v>
      </c>
      <c r="BB541" s="153" t="n">
        <f aca="false">IFERROR(IF($N541="VCA",INDEX(APOIO_REDES!$A:$W,MATCH($C541&amp;$I541&amp;$H541&amp;$N541&amp;$O541,APOIO_REDES!$W:$W,0),MATCH(BB$5,APOIO_REDES!$5:$5,0)),0)*($AI541+$AQ541+$AR541),0)</f>
        <v>51.4175020565097</v>
      </c>
      <c r="BC541" s="153" t="n">
        <f aca="false">IFERROR(IF($N541="VCA",INDEX(APOIO_REDES!$A:$W,MATCH($C541&amp;$I541&amp;$H541&amp;$N541&amp;$O541,APOIO_REDES!$W:$W,0),MATCH(BC$5,APOIO_REDES!$5:$5,0)),0)*($AI541+$AQ541+$AR541),0)</f>
        <v>0.565591443490289</v>
      </c>
      <c r="BD541" s="153" t="n">
        <f aca="false">IF(AND($N541="VCA",$AF541&gt;=1.25,$AF541&lt;1.5),$M541*$AF541*2,0)</f>
        <v>470.86198</v>
      </c>
      <c r="BE541" s="153" t="n">
        <f aca="false">IF(AND($N541="VCA",$AF541&gt;=1.5,$AF541&lt;3),$M541*$AF541*2,0)</f>
        <v>0</v>
      </c>
      <c r="BF541" s="153" t="n">
        <f aca="false">IF(AND($N541="VCA",$AF541&gt;=3),$M541*$AF541*2,0)</f>
        <v>0</v>
      </c>
      <c r="BG541" s="153" t="n">
        <f aca="false">($BB541+$BC541)*$AK541</f>
        <v>187.1391366</v>
      </c>
      <c r="BH541" s="153" t="n">
        <f aca="false">IF(AND($M541&lt;&gt;"",$N541="VCA",$Q541="LINEAR"),($M541*2)/100,IF(AND($M541&lt;&gt;"",$N541="MND",$Q541="EMBOQUE"),($AN541*2)/100,0))</f>
        <v>3.4546</v>
      </c>
      <c r="BI541" s="153" t="n">
        <f aca="false">IF(AND($M541&lt;&gt;"",$N541="VCA",$Q541="LINEAR"),$M541,IF(AND($M541&lt;&gt;"",$N541="MND",$Q541="EMBOQUE"),$AN541*2,0))</f>
        <v>172.73</v>
      </c>
      <c r="BJ541" s="153" t="n">
        <f aca="false">IF(AND($M541&lt;&gt;"",$N541="VCA",$Q541="LINEAR"),($M541*6.8)/100,IF(AND($M541&lt;&gt;"",$N541="MND",$Q541="EMBOQUE"),($AN541*2*6.8)/100,0))</f>
        <v>11.74564</v>
      </c>
      <c r="BK541" s="153" t="n">
        <f aca="false">IF(AND($M541&lt;&gt;"",$N541="VCA",$Q541="LINEAR"),($M541*2.5)/50,IF(AND($M541&lt;&gt;"",$N541="MND",$Q541="EMBOQUE"),($AN541*2*2.5)/50,0))</f>
        <v>8.6365</v>
      </c>
      <c r="BL541" s="157" t="str">
        <f aca="false">K541&amp;J541</f>
        <v>Zona05REDES</v>
      </c>
      <c r="BM541" s="152" t="s">
        <v>3356</v>
      </c>
      <c r="BN541" s="152" t="s">
        <v>1560</v>
      </c>
      <c r="BO541" s="152" t="s">
        <v>2800</v>
      </c>
      <c r="BP541" s="152" t="s">
        <v>3600</v>
      </c>
      <c r="BQ541" s="152" t="s">
        <v>3526</v>
      </c>
      <c r="BR541" s="152" t="s">
        <v>3601</v>
      </c>
      <c r="BS541" s="152" t="n">
        <v>203125.688</v>
      </c>
      <c r="BT541" s="152" t="n">
        <v>8237468.213</v>
      </c>
      <c r="BU541" s="152" t="n">
        <v>203207.014</v>
      </c>
      <c r="BV541" s="152" t="n">
        <v>8237620.398</v>
      </c>
      <c r="BW541" s="152" t="n">
        <v>-15.9236054</v>
      </c>
      <c r="BX541" s="152" t="n">
        <v>-47.7723735</v>
      </c>
      <c r="BY541" s="152" t="s">
        <v>3600</v>
      </c>
    </row>
    <row r="542" customFormat="false" ht="13.8" hidden="false" customHeight="false" outlineLevel="0" collapsed="false">
      <c r="A542" s="149" t="n">
        <f aca="false">IF(C542&lt;&gt;"",ROW(A537),"")</f>
        <v>537</v>
      </c>
      <c r="B542" s="150" t="str">
        <f aca="false">HYPERLINK("https://www.google.com/maps/dir/-15.917302,-47.760003/-15.9225966,-47.7711451/data=!4m3!4m2!3e0!5i0")</f>
        <v>https://www.google.com/maps/dir/-15.917302,-47.760003/-15.9225966,-47.7711451/data=!4m3!4m2!3e0!5i0</v>
      </c>
      <c r="C542" s="151" t="s">
        <v>117</v>
      </c>
      <c r="D542" s="152" t="s">
        <v>112</v>
      </c>
      <c r="E542" s="152" t="s">
        <v>113</v>
      </c>
      <c r="F542" s="152" t="s">
        <v>117</v>
      </c>
      <c r="G542" s="152" t="s">
        <v>782</v>
      </c>
      <c r="H542" s="152" t="n">
        <v>63</v>
      </c>
      <c r="I542" s="152" t="s">
        <v>115</v>
      </c>
      <c r="J542" s="152" t="s">
        <v>6</v>
      </c>
      <c r="K542" s="152" t="s">
        <v>3352</v>
      </c>
      <c r="L542" s="152" t="s">
        <v>120</v>
      </c>
      <c r="M542" s="153" t="n">
        <f aca="false">257.55</f>
        <v>257.55</v>
      </c>
      <c r="N542" s="152" t="s">
        <v>1548</v>
      </c>
      <c r="O542" s="152" t="s">
        <v>1549</v>
      </c>
      <c r="P542" s="152" t="s">
        <v>1550</v>
      </c>
      <c r="Q542" s="152" t="s">
        <v>1551</v>
      </c>
      <c r="R542" s="154" t="s">
        <v>3602</v>
      </c>
      <c r="S542" s="154" t="s">
        <v>1553</v>
      </c>
      <c r="T542" s="155" t="s">
        <v>2797</v>
      </c>
      <c r="U542" s="152" t="str">
        <f aca="false">RIGHT(T542,7)</f>
        <v>009/037</v>
      </c>
      <c r="V542" s="152" t="s">
        <v>1555</v>
      </c>
      <c r="W542" s="156" t="n">
        <v>45882</v>
      </c>
      <c r="X542" s="152" t="s">
        <v>1594</v>
      </c>
      <c r="Y542" s="152" t="s">
        <v>3499</v>
      </c>
      <c r="Z542" s="152" t="s">
        <v>1557</v>
      </c>
      <c r="AA542" s="153" t="n">
        <v>3.3</v>
      </c>
      <c r="AB542" s="151" t="s">
        <v>3603</v>
      </c>
      <c r="AC542" s="151" t="s">
        <v>186</v>
      </c>
      <c r="AD542" s="151" t="str">
        <f aca="false">CONCATENATE($C542,$I542,$H542,$N542,$J542,$K542)</f>
        <v>TUBO PEADPEAD63VCAREDESZona05</v>
      </c>
      <c r="AE542" s="153" t="n">
        <f aca="false">IFERROR(INDEX(APOIO_REDES!$A:$W,MATCH($C542&amp;$I542&amp;$H542&amp;$N542&amp;$O542,APOIO_REDES!$W:$W,0),MATCH(AE$5,APOIO_REDES!$5:$5,0)),0)</f>
        <v>1.2</v>
      </c>
      <c r="AF542" s="153" t="n">
        <f aca="false">IFERROR(INDEX(APOIO_REDES!$A:$W,MATCH($C542&amp;$I542&amp;$H542&amp;$N542&amp;$O542,APOIO_REDES!$W:$W,0),MATCH(AF$5,APOIO_REDES!$5:$5,0)),0)</f>
        <v>1.363</v>
      </c>
      <c r="AG542" s="153" t="n">
        <f aca="false">IFERROR(INDEX(APOIO_REDES!$A:$W,MATCH($C542&amp;$I542&amp;$H542&amp;$N542&amp;$O542,APOIO_REDES!$W:$W,0),MATCH(AG$5,APOIO_REDES!$5:$5,0)),0)</f>
        <v>0.65</v>
      </c>
      <c r="AH542" s="153" t="n">
        <f aca="false">IFERROR(INDEX(APOIO_REDES!$A:$W,MATCH($C542&amp;$I542&amp;$H542&amp;$N542&amp;$O542,APOIO_REDES!$W:$W,0),MATCH(AH$5,APOIO_REDES!$5:$5,0)),0)</f>
        <v>0.1</v>
      </c>
      <c r="AI542" s="153" t="n">
        <f aca="false">IFERROR(IF($H542&lt;&gt;"",(((($H542/1000)/2)^2)*PI()*$M542),0),0)</f>
        <v>0.802846529725578</v>
      </c>
      <c r="AJ542" s="153" t="n">
        <f aca="false">IFERROR(IF(AND($H542&lt;&gt;"",$I542="FoFo",OR($N542="MND",$N542="VCA"),$Q542="LINEAR"),0,IF(AND($H542&lt;&gt;"",$I542="PEAD",$N542="VCA",$Q542="LINEAR"),($H542/1000)+0.3,IF(AND($H542&lt;&gt;"",$I542="PEAD",$N542="MND",$Q542="EMBOQUE"),0,IF(AND($H542&lt;&gt;"",$I542="PVC",$N542="VCA",$Q542="LINEAR"),($H542/1000)+0.2,IF(AND($H542&lt;&gt;"",$I542="PVC",$N542="MND",$Q542="EMBOQUE"),0,IF(AND($H542&lt;&gt;"",$I542="PEAD",$N542="VCA",$Q542="PREDIAL"),0,0)))))),0)</f>
        <v>0.363</v>
      </c>
      <c r="AK542" s="153" t="n">
        <f aca="false">IF(AA542&lt;&gt;"",AA542,0)</f>
        <v>3.3</v>
      </c>
      <c r="AL542" s="153" t="n">
        <f aca="false">IF(AND($N542="MND",$Q542="EMBOQUE"),$M542,IF(AND($N542="VCA",$Q542="LINEAR"),$M542,IF(AND($N542="VCA",$Q542="PREDIAL"),0,0)))</f>
        <v>257.55</v>
      </c>
      <c r="AM542" s="153" t="n">
        <f aca="false">IF(AND($N542="MND",$Q542="EMBOQUE"),$M542,IF(AND($N542="VCA",$Q542="LINEAR"),$M542,IF(AND($N542="VCA",$Q542="PREDIAL"),0,0)))</f>
        <v>257.55</v>
      </c>
      <c r="AN542" s="153" t="n">
        <f aca="false">ROUND(IF(AND($N542="VCA",$M542&lt;&gt;"",$Q542="LINEAR"),$M542/100,IF(AND($N542="MND",$M542&gt;100,$Q542="EMBOQUE"),$M542/100,0)),0)</f>
        <v>3</v>
      </c>
      <c r="AO542" s="153" t="n">
        <f aca="false">IF(AND($N542="MND",$Q542="EMBOQUE"),$AN542*2*2,IF(AND($N542="VCA",$Q542="LINEAR"),$M542*2,IF(AND($N542="VCA",$Q542="PREDIAL"),0,0)))</f>
        <v>515.1</v>
      </c>
      <c r="AP542" s="153" t="n">
        <f aca="false">IFERROR($M542*$AF542*$AG542,0)</f>
        <v>228.1764225</v>
      </c>
      <c r="AQ542" s="153" t="n">
        <f aca="false">IFERROR(IF(AND($N542="VCA",$AH542&gt;0),$M542*$AG542*$AH542,0),0)</f>
        <v>16.74075</v>
      </c>
      <c r="AR542" s="153" t="n">
        <f aca="false">IFERROR(IF(AND($N542="VCA",$AJ542&gt;0),($M542*$AG542*$AJ542)-$AI542,0),0)</f>
        <v>59.9660759702744</v>
      </c>
      <c r="AS542" s="153" t="n">
        <f aca="false">IFERROR(IF(AND($N542="VCA",$AP542&gt;0),$AP542-$AI542-$AQ542-$AR542,0),0)</f>
        <v>150.66675</v>
      </c>
      <c r="AT542" s="153" t="n">
        <f aca="false">IFERROR(IF($N542="VCA",INDEX(APOIO_REDES!$A:$W,MATCH($C542&amp;$I542&amp;$H542&amp;$N542&amp;$O542,APOIO_REDES!$W:$W,0),MATCH(AT$5,APOIO_REDES!$5:$5,0)),0)*$AP542,0)</f>
        <v>2.48262701357365</v>
      </c>
      <c r="AU542" s="153" t="n">
        <f aca="false">IFERROR(IF($N542="VCA",INDEX(APOIO_REDES!$A:$W,MATCH($C542&amp;$I542&amp;$H542&amp;$N542&amp;$O542,APOIO_REDES!$W:$W,0),MATCH(AU$5,APOIO_REDES!$5:$5,0)),0)*$AP542,0)</f>
        <v>1.98255869497323</v>
      </c>
      <c r="AV542" s="153" t="n">
        <f aca="false">IFERROR(IF($N542="VCA",INDEX(APOIO_REDES!$A:$W,MATCH($C542&amp;$I542&amp;$H542&amp;$N542&amp;$O542,APOIO_REDES!$W:$W,0),MATCH(AV$5,APOIO_REDES!$5:$5,0)),0)*$AP542,0)</f>
        <v>0.274370559688317</v>
      </c>
      <c r="AW542" s="153" t="n">
        <f aca="false">IFERROR(IF($N542="VCA",INDEX(APOIO_REDES!$A:$W,MATCH($C542&amp;$I542&amp;$H542&amp;$N542&amp;$O542,APOIO_REDES!$W:$W,0),MATCH(AW$5,APOIO_REDES!$5:$5,0)),0)*$AP542,0)</f>
        <v>156.622064401196</v>
      </c>
      <c r="AX542" s="153" t="n">
        <f aca="false">IFERROR(IF($N542="VCA",INDEX(APOIO_REDES!$A:$W,MATCH($C542&amp;$I542&amp;$H542&amp;$N542&amp;$O542,APOIO_REDES!$W:$W,0),MATCH(AX$5,APOIO_REDES!$5:$5,0)),0)*$AP542,0)</f>
        <v>21.67604756673</v>
      </c>
      <c r="AY542" s="153" t="n">
        <f aca="false">IFERROR(IF($N542="VCA",INDEX(APOIO_REDES!$A:$W,MATCH($C542&amp;$I542&amp;$H542&amp;$N542&amp;$O542,APOIO_REDES!$W:$W,0),MATCH(AY$5,APOIO_REDES!$5:$5,0)),0)*$AP542,0)</f>
        <v>39.6511497322348</v>
      </c>
      <c r="AZ542" s="153" t="n">
        <f aca="false">IFERROR(IF($N542="VCA",INDEX(APOIO_REDES!$A:$W,MATCH($C542&amp;$I542&amp;$H542&amp;$N542&amp;$O542,APOIO_REDES!$W:$W,0),MATCH(AZ$5,APOIO_REDES!$5:$5,0)),0)*$AP542,0)</f>
        <v>5.48760453160457</v>
      </c>
      <c r="BA542" s="153" t="n">
        <f aca="false">IFERROR(IF(AND($N542="VCA",$Q542="LINEAR"),INDEX(APOIO_REDES!$A:$W,MATCH($C542&amp;$I542&amp;$H542&amp;$N542&amp;$O542,APOIO_REDES!$W:$W,0),MATCH(BA$5,APOIO_REDES!$5:$5,0)),IF(AND($N542="MND",$Q542="EMBOQUE"),INDEX(APOIO_REDES!$A:$W,MATCH($C542&amp;$I542&amp;$H542&amp;$N542&amp;$O542,APOIO_REDES!$W:$W,0),MATCH(BA$5,APOIO_REDES!$5:$5,0)),0))*$M542/10,0)</f>
        <v>20.7578803506724</v>
      </c>
      <c r="BB542" s="153" t="n">
        <f aca="false">IFERROR(IF($N542="VCA",INDEX(APOIO_REDES!$A:$W,MATCH($C542&amp;$I542&amp;$H542&amp;$N542&amp;$O542,APOIO_REDES!$W:$W,0),MATCH(BB$5,APOIO_REDES!$5:$5,0)),0)*($AI542+$AQ542+$AR542),0)</f>
        <v>76.666344321508</v>
      </c>
      <c r="BC542" s="153" t="n">
        <f aca="false">IFERROR(IF($N542="VCA",INDEX(APOIO_REDES!$A:$W,MATCH($C542&amp;$I542&amp;$H542&amp;$N542&amp;$O542,APOIO_REDES!$W:$W,0),MATCH(BC$5,APOIO_REDES!$5:$5,0)),0)*($AI542+$AQ542+$AR542),0)</f>
        <v>0.843328178492004</v>
      </c>
      <c r="BD542" s="153" t="n">
        <f aca="false">IF(AND($N542="VCA",$AF542&gt;=1.25,$AF542&lt;1.5),$M542*$AF542*2,0)</f>
        <v>702.0813</v>
      </c>
      <c r="BE542" s="153" t="n">
        <f aca="false">IF(AND($N542="VCA",$AF542&gt;=1.5,$AF542&lt;3),$M542*$AF542*2,0)</f>
        <v>0</v>
      </c>
      <c r="BF542" s="153" t="n">
        <f aca="false">IF(AND($N542="VCA",$AF542&gt;=3),$M542*$AF542*2,0)</f>
        <v>0</v>
      </c>
      <c r="BG542" s="153" t="n">
        <f aca="false">($BB542+$BC542)*$AK542</f>
        <v>255.78191925</v>
      </c>
      <c r="BH542" s="153" t="n">
        <f aca="false">IF(AND($M542&lt;&gt;"",$N542="VCA",$Q542="LINEAR"),($M542*2)/100,IF(AND($M542&lt;&gt;"",$N542="MND",$Q542="EMBOQUE"),($AN542*2)/100,0))</f>
        <v>5.151</v>
      </c>
      <c r="BI542" s="153" t="n">
        <f aca="false">IF(AND($M542&lt;&gt;"",$N542="VCA",$Q542="LINEAR"),$M542,IF(AND($M542&lt;&gt;"",$N542="MND",$Q542="EMBOQUE"),$AN542*2,0))</f>
        <v>257.55</v>
      </c>
      <c r="BJ542" s="153" t="n">
        <f aca="false">IF(AND($M542&lt;&gt;"",$N542="VCA",$Q542="LINEAR"),($M542*6.8)/100,IF(AND($M542&lt;&gt;"",$N542="MND",$Q542="EMBOQUE"),($AN542*2*6.8)/100,0))</f>
        <v>17.5134</v>
      </c>
      <c r="BK542" s="153" t="n">
        <f aca="false">IF(AND($M542&lt;&gt;"",$N542="VCA",$Q542="LINEAR"),($M542*2.5)/50,IF(AND($M542&lt;&gt;"",$N542="MND",$Q542="EMBOQUE"),($AN542*2*2.5)/50,0))</f>
        <v>12.8775</v>
      </c>
      <c r="BL542" s="157" t="str">
        <f aca="false">K542&amp;J542</f>
        <v>Zona05REDES</v>
      </c>
      <c r="BM542" s="152" t="s">
        <v>3356</v>
      </c>
      <c r="BN542" s="152" t="s">
        <v>1560</v>
      </c>
      <c r="BO542" s="152" t="s">
        <v>2800</v>
      </c>
      <c r="BP542" s="152" t="s">
        <v>3505</v>
      </c>
      <c r="BQ542" s="152" t="s">
        <v>3604</v>
      </c>
      <c r="BR542" s="152" t="s">
        <v>3605</v>
      </c>
      <c r="BS542" s="152" t="n">
        <v>203298.016</v>
      </c>
      <c r="BT542" s="152" t="n">
        <v>8237657.009</v>
      </c>
      <c r="BU542" s="152" t="n">
        <v>203175.118</v>
      </c>
      <c r="BV542" s="152" t="n">
        <v>8237430.889</v>
      </c>
      <c r="BW542" s="152" t="n">
        <v>-15.9236179</v>
      </c>
      <c r="BX542" s="152" t="n">
        <v>-47.771718</v>
      </c>
      <c r="BY542" s="152" t="s">
        <v>3505</v>
      </c>
    </row>
    <row r="543" customFormat="false" ht="13.8" hidden="false" customHeight="false" outlineLevel="0" collapsed="false">
      <c r="A543" s="149" t="n">
        <f aca="false">IF(C543&lt;&gt;"",ROW(A538),"")</f>
        <v>538</v>
      </c>
      <c r="B543" s="150" t="str">
        <f aca="false">HYPERLINK("https://www.google.com/maps/dir/-15.917302,-47.760003/-15.9242120,-47.7689978/data=!4m3!4m2!3e0!5i2")</f>
        <v>https://www.google.com/maps/dir/-15.917302,-47.760003/-15.9242120,-47.7689978/data=!4m3!4m2!3e0!5i2</v>
      </c>
      <c r="C543" s="151" t="s">
        <v>117</v>
      </c>
      <c r="D543" s="152" t="s">
        <v>112</v>
      </c>
      <c r="E543" s="152" t="s">
        <v>113</v>
      </c>
      <c r="F543" s="152" t="s">
        <v>117</v>
      </c>
      <c r="G543" s="152" t="s">
        <v>782</v>
      </c>
      <c r="H543" s="152" t="n">
        <v>63</v>
      </c>
      <c r="I543" s="152" t="s">
        <v>115</v>
      </c>
      <c r="J543" s="152" t="s">
        <v>6</v>
      </c>
      <c r="K543" s="152" t="s">
        <v>3352</v>
      </c>
      <c r="L543" s="152" t="s">
        <v>120</v>
      </c>
      <c r="M543" s="153" t="n">
        <f aca="false">139.16+4.04</f>
        <v>143.2</v>
      </c>
      <c r="N543" s="152" t="s">
        <v>1548</v>
      </c>
      <c r="O543" s="152" t="s">
        <v>1549</v>
      </c>
      <c r="P543" s="152" t="s">
        <v>1550</v>
      </c>
      <c r="Q543" s="152" t="s">
        <v>1551</v>
      </c>
      <c r="R543" s="154" t="s">
        <v>3606</v>
      </c>
      <c r="S543" s="154" t="s">
        <v>1553</v>
      </c>
      <c r="T543" s="155" t="s">
        <v>2797</v>
      </c>
      <c r="U543" s="152" t="str">
        <f aca="false">RIGHT(T543,7)</f>
        <v>009/037</v>
      </c>
      <c r="V543" s="152" t="s">
        <v>1555</v>
      </c>
      <c r="W543" s="156" t="n">
        <v>45882</v>
      </c>
      <c r="X543" s="152" t="s">
        <v>1594</v>
      </c>
      <c r="Y543" s="152" t="s">
        <v>3540</v>
      </c>
      <c r="Z543" s="152" t="s">
        <v>1557</v>
      </c>
      <c r="AA543" s="153" t="n">
        <v>3.8</v>
      </c>
      <c r="AB543" s="151" t="s">
        <v>3607</v>
      </c>
      <c r="AC543" s="151" t="s">
        <v>186</v>
      </c>
      <c r="AD543" s="151" t="str">
        <f aca="false">CONCATENATE($C543,$I543,$H543,$N543,$J543,$K543)</f>
        <v>TUBO PEADPEAD63VCAREDESZona05</v>
      </c>
      <c r="AE543" s="153" t="n">
        <f aca="false">IFERROR(INDEX(APOIO_REDES!$A:$W,MATCH($C543&amp;$I543&amp;$H543&amp;$N543&amp;$O543,APOIO_REDES!$W:$W,0),MATCH(AE$5,APOIO_REDES!$5:$5,0)),0)</f>
        <v>1.2</v>
      </c>
      <c r="AF543" s="153" t="n">
        <f aca="false">IFERROR(INDEX(APOIO_REDES!$A:$W,MATCH($C543&amp;$I543&amp;$H543&amp;$N543&amp;$O543,APOIO_REDES!$W:$W,0),MATCH(AF$5,APOIO_REDES!$5:$5,0)),0)</f>
        <v>1.363</v>
      </c>
      <c r="AG543" s="153" t="n">
        <f aca="false">IFERROR(INDEX(APOIO_REDES!$A:$W,MATCH($C543&amp;$I543&amp;$H543&amp;$N543&amp;$O543,APOIO_REDES!$W:$W,0),MATCH(AG$5,APOIO_REDES!$5:$5,0)),0)</f>
        <v>0.65</v>
      </c>
      <c r="AH543" s="153" t="n">
        <f aca="false">IFERROR(INDEX(APOIO_REDES!$A:$W,MATCH($C543&amp;$I543&amp;$H543&amp;$N543&amp;$O543,APOIO_REDES!$W:$W,0),MATCH(AH$5,APOIO_REDES!$5:$5,0)),0)</f>
        <v>0.1</v>
      </c>
      <c r="AI543" s="153" t="n">
        <f aca="false">IFERROR(IF($H543&lt;&gt;"",(((($H543/1000)/2)^2)*PI()*$M543),0),0)</f>
        <v>0.446389528467104</v>
      </c>
      <c r="AJ543" s="153" t="n">
        <f aca="false">IFERROR(IF(AND($H543&lt;&gt;"",$I543="FoFo",OR($N543="MND",$N543="VCA"),$Q543="LINEAR"),0,IF(AND($H543&lt;&gt;"",$I543="PEAD",$N543="VCA",$Q543="LINEAR"),($H543/1000)+0.3,IF(AND($H543&lt;&gt;"",$I543="PEAD",$N543="MND",$Q543="EMBOQUE"),0,IF(AND($H543&lt;&gt;"",$I543="PVC",$N543="VCA",$Q543="LINEAR"),($H543/1000)+0.2,IF(AND($H543&lt;&gt;"",$I543="PVC",$N543="MND",$Q543="EMBOQUE"),0,IF(AND($H543&lt;&gt;"",$I543="PEAD",$N543="VCA",$Q543="PREDIAL"),0,0)))))),0)</f>
        <v>0.363</v>
      </c>
      <c r="AK543" s="153" t="n">
        <f aca="false">IF(AA543&lt;&gt;"",AA543,0)</f>
        <v>3.8</v>
      </c>
      <c r="AL543" s="153" t="n">
        <f aca="false">IF(AND($N543="MND",$Q543="EMBOQUE"),$M543,IF(AND($N543="VCA",$Q543="LINEAR"),$M543,IF(AND($N543="VCA",$Q543="PREDIAL"),0,0)))</f>
        <v>143.2</v>
      </c>
      <c r="AM543" s="153" t="n">
        <f aca="false">IF(AND($N543="MND",$Q543="EMBOQUE"),$M543,IF(AND($N543="VCA",$Q543="LINEAR"),$M543,IF(AND($N543="VCA",$Q543="PREDIAL"),0,0)))</f>
        <v>143.2</v>
      </c>
      <c r="AN543" s="153" t="n">
        <f aca="false">ROUND(IF(AND($N543="VCA",$M543&lt;&gt;"",$Q543="LINEAR"),$M543/100,IF(AND($N543="MND",$M543&gt;100,$Q543="EMBOQUE"),$M543/100,0)),0)</f>
        <v>1</v>
      </c>
      <c r="AO543" s="153" t="n">
        <f aca="false">IF(AND($N543="MND",$Q543="EMBOQUE"),$AN543*2*2,IF(AND($N543="VCA",$Q543="LINEAR"),$M543*2,IF(AND($N543="VCA",$Q543="PREDIAL"),0,0)))</f>
        <v>286.4</v>
      </c>
      <c r="AP543" s="153" t="n">
        <f aca="false">IFERROR($M543*$AF543*$AG543,0)</f>
        <v>126.86804</v>
      </c>
      <c r="AQ543" s="153" t="n">
        <f aca="false">IFERROR(IF(AND($N543="VCA",$AH543&gt;0),$M543*$AG543*$AH543,0),0)</f>
        <v>9.308</v>
      </c>
      <c r="AR543" s="153" t="n">
        <f aca="false">IFERROR(IF(AND($N543="VCA",$AJ543&gt;0),($M543*$AG543*$AJ543)-$AI543,0),0)</f>
        <v>33.3416504715329</v>
      </c>
      <c r="AS543" s="153" t="n">
        <f aca="false">IFERROR(IF(AND($N543="VCA",$AP543&gt;0),$AP543-$AI543-$AQ543-$AR543,0),0)</f>
        <v>83.772</v>
      </c>
      <c r="AT543" s="153" t="n">
        <f aca="false">IFERROR(IF($N543="VCA",INDEX(APOIO_REDES!$A:$W,MATCH($C543&amp;$I543&amp;$H543&amp;$N543&amp;$O543,APOIO_REDES!$W:$W,0),MATCH(AT$5,APOIO_REDES!$5:$5,0)),0)*$AP543,0)</f>
        <v>1.38036182622305</v>
      </c>
      <c r="AU543" s="153" t="n">
        <f aca="false">IFERROR(IF($N543="VCA",INDEX(APOIO_REDES!$A:$W,MATCH($C543&amp;$I543&amp;$H543&amp;$N543&amp;$O543,APOIO_REDES!$W:$W,0),MATCH(AU$5,APOIO_REDES!$5:$5,0)),0)*$AP543,0)</f>
        <v>1.1023195694823</v>
      </c>
      <c r="AV543" s="153" t="n">
        <f aca="false">IFERROR(IF($N543="VCA",INDEX(APOIO_REDES!$A:$W,MATCH($C543&amp;$I543&amp;$H543&amp;$N543&amp;$O543,APOIO_REDES!$W:$W,0),MATCH(AV$5,APOIO_REDES!$5:$5,0)),0)*$AP543,0)</f>
        <v>0.152552374868441</v>
      </c>
      <c r="AW543" s="153" t="n">
        <f aca="false">IFERROR(IF($N543="VCA",INDEX(APOIO_REDES!$A:$W,MATCH($C543&amp;$I543&amp;$H543&amp;$N543&amp;$O543,APOIO_REDES!$W:$W,0),MATCH(AW$5,APOIO_REDES!$5:$5,0)),0)*$AP543,0)</f>
        <v>87.083205677543</v>
      </c>
      <c r="AX543" s="153" t="n">
        <f aca="false">IFERROR(IF($N543="VCA",INDEX(APOIO_REDES!$A:$W,MATCH($C543&amp;$I543&amp;$H543&amp;$N543&amp;$O543,APOIO_REDES!$W:$W,0),MATCH(AX$5,APOIO_REDES!$5:$5,0)),0)*$AP543,0)</f>
        <v>12.0520676045651</v>
      </c>
      <c r="AY543" s="153" t="n">
        <f aca="false">IFERROR(IF($N543="VCA",INDEX(APOIO_REDES!$A:$W,MATCH($C543&amp;$I543&amp;$H543&amp;$N543&amp;$O543,APOIO_REDES!$W:$W,0),MATCH(AY$5,APOIO_REDES!$5:$5,0)),0)*$AP543,0)</f>
        <v>22.0463779524598</v>
      </c>
      <c r="AZ543" s="153" t="n">
        <f aca="false">IFERROR(IF($N543="VCA",INDEX(APOIO_REDES!$A:$W,MATCH($C543&amp;$I543&amp;$H543&amp;$N543&amp;$O543,APOIO_REDES!$W:$W,0),MATCH(AZ$5,APOIO_REDES!$5:$5,0)),0)*$AP543,0)</f>
        <v>3.05115499485837</v>
      </c>
      <c r="BA543" s="153" t="n">
        <f aca="false">IFERROR(IF(AND($N543="VCA",$Q543="LINEAR"),INDEX(APOIO_REDES!$A:$W,MATCH($C543&amp;$I543&amp;$H543&amp;$N543&amp;$O543,APOIO_REDES!$W:$W,0),MATCH(BA$5,APOIO_REDES!$5:$5,0)),IF(AND($N543="MND",$Q543="EMBOQUE"),INDEX(APOIO_REDES!$A:$W,MATCH($C543&amp;$I543&amp;$H543&amp;$N543&amp;$O543,APOIO_REDES!$W:$W,0),MATCH(BA$5,APOIO_REDES!$5:$5,0)),0))*$M543/10,0)</f>
        <v>11.5415587894245</v>
      </c>
      <c r="BB543" s="153" t="n">
        <f aca="false">IFERROR(IF($N543="VCA",INDEX(APOIO_REDES!$A:$W,MATCH($C543&amp;$I543&amp;$H543&amp;$N543&amp;$O543,APOIO_REDES!$W:$W,0),MATCH(BB$5,APOIO_REDES!$5:$5,0)),0)*($AI543+$AQ543+$AR543),0)</f>
        <v>42.6271423290233</v>
      </c>
      <c r="BC543" s="153" t="n">
        <f aca="false">IFERROR(IF($N543="VCA",INDEX(APOIO_REDES!$A:$W,MATCH($C543&amp;$I543&amp;$H543&amp;$N543&amp;$O543,APOIO_REDES!$W:$W,0),MATCH(BC$5,APOIO_REDES!$5:$5,0)),0)*($AI543+$AQ543+$AR543),0)</f>
        <v>0.468897670976723</v>
      </c>
      <c r="BD543" s="153" t="n">
        <f aca="false">IF(AND($N543="VCA",$AF543&gt;=1.25,$AF543&lt;1.5),$M543*$AF543*2,0)</f>
        <v>390.3632</v>
      </c>
      <c r="BE543" s="153" t="n">
        <f aca="false">IF(AND($N543="VCA",$AF543&gt;=1.5,$AF543&lt;3),$M543*$AF543*2,0)</f>
        <v>0</v>
      </c>
      <c r="BF543" s="153" t="n">
        <f aca="false">IF(AND($N543="VCA",$AF543&gt;=3),$M543*$AF543*2,0)</f>
        <v>0</v>
      </c>
      <c r="BG543" s="153" t="n">
        <f aca="false">($BB543+$BC543)*$AK543</f>
        <v>163.764952</v>
      </c>
      <c r="BH543" s="153" t="n">
        <f aca="false">IF(AND($M543&lt;&gt;"",$N543="VCA",$Q543="LINEAR"),($M543*2)/100,IF(AND($M543&lt;&gt;"",$N543="MND",$Q543="EMBOQUE"),($AN543*2)/100,0))</f>
        <v>2.864</v>
      </c>
      <c r="BI543" s="153" t="n">
        <f aca="false">IF(AND($M543&lt;&gt;"",$N543="VCA",$Q543="LINEAR"),$M543,IF(AND($M543&lt;&gt;"",$N543="MND",$Q543="EMBOQUE"),$AN543*2,0))</f>
        <v>143.2</v>
      </c>
      <c r="BJ543" s="153" t="n">
        <f aca="false">IF(AND($M543&lt;&gt;"",$N543="VCA",$Q543="LINEAR"),($M543*6.8)/100,IF(AND($M543&lt;&gt;"",$N543="MND",$Q543="EMBOQUE"),($AN543*2*6.8)/100,0))</f>
        <v>9.7376</v>
      </c>
      <c r="BK543" s="153" t="n">
        <f aca="false">IF(AND($M543&lt;&gt;"",$N543="VCA",$Q543="LINEAR"),($M543*2.5)/50,IF(AND($M543&lt;&gt;"",$N543="MND",$Q543="EMBOQUE"),($AN543*2*2.5)/50,0))</f>
        <v>7.16</v>
      </c>
      <c r="BL543" s="157" t="str">
        <f aca="false">K543&amp;J543</f>
        <v>Zona05REDES</v>
      </c>
      <c r="BM543" s="152" t="s">
        <v>3356</v>
      </c>
      <c r="BN543" s="152" t="s">
        <v>1560</v>
      </c>
      <c r="BO543" s="152" t="s">
        <v>2800</v>
      </c>
      <c r="BP543" s="152" t="s">
        <v>3608</v>
      </c>
      <c r="BQ543" s="152" t="s">
        <v>3567</v>
      </c>
      <c r="BR543" s="152" t="s">
        <v>3609</v>
      </c>
      <c r="BS543" s="152" t="n">
        <v>203530.449</v>
      </c>
      <c r="BT543" s="152" t="n">
        <v>8237481.204</v>
      </c>
      <c r="BU543" s="152" t="n">
        <v>203598.876</v>
      </c>
      <c r="BV543" s="152" t="n">
        <v>8237602.278</v>
      </c>
      <c r="BW543" s="152" t="n">
        <v>-15.9236724</v>
      </c>
      <c r="BX543" s="152" t="n">
        <v>-47.768666</v>
      </c>
      <c r="BY543" s="152" t="s">
        <v>3608</v>
      </c>
    </row>
    <row r="544" customFormat="false" ht="13.8" hidden="false" customHeight="false" outlineLevel="0" collapsed="false">
      <c r="A544" s="149" t="n">
        <f aca="false">IF(C544&lt;&gt;"",ROW(A539),"")</f>
        <v>539</v>
      </c>
      <c r="B544" s="150" t="str">
        <f aca="false">HYPERLINK("https://www.google.com/maps/dir/-15.917302,-47.760003/-15.9226322,-47.7708574/data=!4m3!4m2!3e0!5i1")</f>
        <v>https://www.google.com/maps/dir/-15.917302,-47.760003/-15.9226322,-47.7708574/data=!4m3!4m2!3e0!5i1</v>
      </c>
      <c r="C544" s="151" t="s">
        <v>117</v>
      </c>
      <c r="D544" s="152" t="s">
        <v>112</v>
      </c>
      <c r="E544" s="152" t="s">
        <v>113</v>
      </c>
      <c r="F544" s="152" t="s">
        <v>117</v>
      </c>
      <c r="G544" s="152" t="s">
        <v>782</v>
      </c>
      <c r="H544" s="152" t="n">
        <v>63</v>
      </c>
      <c r="I544" s="152" t="s">
        <v>115</v>
      </c>
      <c r="J544" s="152" t="s">
        <v>6</v>
      </c>
      <c r="K544" s="152" t="s">
        <v>3352</v>
      </c>
      <c r="L544" s="152" t="s">
        <v>120</v>
      </c>
      <c r="M544" s="153" t="n">
        <f aca="false">270.19</f>
        <v>270.19</v>
      </c>
      <c r="N544" s="152" t="s">
        <v>1548</v>
      </c>
      <c r="O544" s="152" t="s">
        <v>1549</v>
      </c>
      <c r="P544" s="152" t="s">
        <v>1550</v>
      </c>
      <c r="Q544" s="152" t="s">
        <v>1551</v>
      </c>
      <c r="R544" s="154" t="s">
        <v>3610</v>
      </c>
      <c r="S544" s="154" t="s">
        <v>1553</v>
      </c>
      <c r="T544" s="155" t="s">
        <v>2797</v>
      </c>
      <c r="U544" s="152" t="str">
        <f aca="false">RIGHT(T544,7)</f>
        <v>009/037</v>
      </c>
      <c r="V544" s="152" t="s">
        <v>1555</v>
      </c>
      <c r="W544" s="156" t="n">
        <v>45882</v>
      </c>
      <c r="X544" s="152" t="s">
        <v>1594</v>
      </c>
      <c r="Y544" s="152" t="s">
        <v>3499</v>
      </c>
      <c r="Z544" s="152" t="s">
        <v>1557</v>
      </c>
      <c r="AA544" s="153" t="n">
        <v>3.4</v>
      </c>
      <c r="AB544" s="151" t="s">
        <v>3611</v>
      </c>
      <c r="AC544" s="151" t="s">
        <v>186</v>
      </c>
      <c r="AD544" s="151" t="str">
        <f aca="false">CONCATENATE($C544,$I544,$H544,$N544,$J544,$K544)</f>
        <v>TUBO PEADPEAD63VCAREDESZona05</v>
      </c>
      <c r="AE544" s="153" t="n">
        <f aca="false">IFERROR(INDEX(APOIO_REDES!$A:$W,MATCH($C544&amp;$I544&amp;$H544&amp;$N544&amp;$O544,APOIO_REDES!$W:$W,0),MATCH(AE$5,APOIO_REDES!$5:$5,0)),0)</f>
        <v>1.2</v>
      </c>
      <c r="AF544" s="153" t="n">
        <f aca="false">IFERROR(INDEX(APOIO_REDES!$A:$W,MATCH($C544&amp;$I544&amp;$H544&amp;$N544&amp;$O544,APOIO_REDES!$W:$W,0),MATCH(AF$5,APOIO_REDES!$5:$5,0)),0)</f>
        <v>1.363</v>
      </c>
      <c r="AG544" s="153" t="n">
        <f aca="false">IFERROR(INDEX(APOIO_REDES!$A:$W,MATCH($C544&amp;$I544&amp;$H544&amp;$N544&amp;$O544,APOIO_REDES!$W:$W,0),MATCH(AG$5,APOIO_REDES!$5:$5,0)),0)</f>
        <v>0.65</v>
      </c>
      <c r="AH544" s="153" t="n">
        <f aca="false">IFERROR(INDEX(APOIO_REDES!$A:$W,MATCH($C544&amp;$I544&amp;$H544&amp;$N544&amp;$O544,APOIO_REDES!$W:$W,0),MATCH(AH$5,APOIO_REDES!$5:$5,0)),0)</f>
        <v>0.1</v>
      </c>
      <c r="AI544" s="153" t="n">
        <f aca="false">IFERROR(IF($H544&lt;&gt;"",(((($H544/1000)/2)^2)*PI()*$M544),0),0)</f>
        <v>0.842248510450607</v>
      </c>
      <c r="AJ544" s="153" t="n">
        <f aca="false">IFERROR(IF(AND($H544&lt;&gt;"",$I544="FoFo",OR($N544="MND",$N544="VCA"),$Q544="LINEAR"),0,IF(AND($H544&lt;&gt;"",$I544="PEAD",$N544="VCA",$Q544="LINEAR"),($H544/1000)+0.3,IF(AND($H544&lt;&gt;"",$I544="PEAD",$N544="MND",$Q544="EMBOQUE"),0,IF(AND($H544&lt;&gt;"",$I544="PVC",$N544="VCA",$Q544="LINEAR"),($H544/1000)+0.2,IF(AND($H544&lt;&gt;"",$I544="PVC",$N544="MND",$Q544="EMBOQUE"),0,IF(AND($H544&lt;&gt;"",$I544="PEAD",$N544="VCA",$Q544="PREDIAL"),0,0)))))),0)</f>
        <v>0.363</v>
      </c>
      <c r="AK544" s="153" t="n">
        <f aca="false">IF(AA544&lt;&gt;"",AA544,0)</f>
        <v>3.4</v>
      </c>
      <c r="AL544" s="153" t="n">
        <f aca="false">IF(AND($N544="MND",$Q544="EMBOQUE"),$M544,IF(AND($N544="VCA",$Q544="LINEAR"),$M544,IF(AND($N544="VCA",$Q544="PREDIAL"),0,0)))</f>
        <v>270.19</v>
      </c>
      <c r="AM544" s="153" t="n">
        <f aca="false">IF(AND($N544="MND",$Q544="EMBOQUE"),$M544,IF(AND($N544="VCA",$Q544="LINEAR"),$M544,IF(AND($N544="VCA",$Q544="PREDIAL"),0,0)))</f>
        <v>270.19</v>
      </c>
      <c r="AN544" s="153" t="n">
        <f aca="false">ROUND(IF(AND($N544="VCA",$M544&lt;&gt;"",$Q544="LINEAR"),$M544/100,IF(AND($N544="MND",$M544&gt;100,$Q544="EMBOQUE"),$M544/100,0)),0)</f>
        <v>3</v>
      </c>
      <c r="AO544" s="153" t="n">
        <f aca="false">IF(AND($N544="MND",$Q544="EMBOQUE"),$AN544*2*2,IF(AND($N544="VCA",$Q544="LINEAR"),$M544*2,IF(AND($N544="VCA",$Q544="PREDIAL"),0,0)))</f>
        <v>540.38</v>
      </c>
      <c r="AP544" s="153" t="n">
        <f aca="false">IFERROR($M544*$AF544*$AG544,0)</f>
        <v>239.3748305</v>
      </c>
      <c r="AQ544" s="153" t="n">
        <f aca="false">IFERROR(IF(AND($N544="VCA",$AH544&gt;0),$M544*$AG544*$AH544,0),0)</f>
        <v>17.56235</v>
      </c>
      <c r="AR544" s="153" t="n">
        <f aca="false">IFERROR(IF(AND($N544="VCA",$AJ544&gt;0),($M544*$AG544*$AJ544)-$AI544,0),0)</f>
        <v>62.9090819895494</v>
      </c>
      <c r="AS544" s="153" t="n">
        <f aca="false">IFERROR(IF(AND($N544="VCA",$AP544&gt;0),$AP544-$AI544-$AQ544-$AR544,0),0)</f>
        <v>158.06115</v>
      </c>
      <c r="AT544" s="153" t="n">
        <f aca="false">IFERROR(IF($N544="VCA",INDEX(APOIO_REDES!$A:$W,MATCH($C544&amp;$I544&amp;$H544&amp;$N544&amp;$O544,APOIO_REDES!$W:$W,0),MATCH(AT$5,APOIO_REDES!$5:$5,0)),0)*$AP544,0)</f>
        <v>2.60446900717323</v>
      </c>
      <c r="AU544" s="153" t="n">
        <f aca="false">IFERROR(IF($N544="VCA",INDEX(APOIO_REDES!$A:$W,MATCH($C544&amp;$I544&amp;$H544&amp;$N544&amp;$O544,APOIO_REDES!$W:$W,0),MATCH(AU$5,APOIO_REDES!$5:$5,0)),0)*$AP544,0)</f>
        <v>2.07985841116217</v>
      </c>
      <c r="AV544" s="153" t="n">
        <f aca="false">IFERROR(IF($N544="VCA",INDEX(APOIO_REDES!$A:$W,MATCH($C544&amp;$I544&amp;$H544&amp;$N544&amp;$O544,APOIO_REDES!$W:$W,0),MATCH(AV$5,APOIO_REDES!$5:$5,0)),0)*$AP544,0)</f>
        <v>0.287836076576145</v>
      </c>
      <c r="AW544" s="153" t="n">
        <f aca="false">IFERROR(IF($N544="VCA",INDEX(APOIO_REDES!$A:$W,MATCH($C544&amp;$I544&amp;$H544&amp;$N544&amp;$O544,APOIO_REDES!$W:$W,0),MATCH(AW$5,APOIO_REDES!$5:$5,0)),0)*$AP544,0)</f>
        <v>164.308738421895</v>
      </c>
      <c r="AX544" s="153" t="n">
        <f aca="false">IFERROR(IF($N544="VCA",INDEX(APOIO_REDES!$A:$W,MATCH($C544&amp;$I544&amp;$H544&amp;$N544&amp;$O544,APOIO_REDES!$W:$W,0),MATCH(AX$5,APOIO_REDES!$5:$5,0)),0)*$AP544,0)</f>
        <v>22.7398613552893</v>
      </c>
      <c r="AY544" s="153" t="n">
        <f aca="false">IFERROR(IF($N544="VCA",INDEX(APOIO_REDES!$A:$W,MATCH($C544&amp;$I544&amp;$H544&amp;$N544&amp;$O544,APOIO_REDES!$W:$W,0),MATCH(AY$5,APOIO_REDES!$5:$5,0)),0)*$AP544,0)</f>
        <v>41.5971428699379</v>
      </c>
      <c r="AZ544" s="153" t="n">
        <f aca="false">IFERROR(IF($N544="VCA",INDEX(APOIO_REDES!$A:$W,MATCH($C544&amp;$I544&amp;$H544&amp;$N544&amp;$O544,APOIO_REDES!$W:$W,0),MATCH(AZ$5,APOIO_REDES!$5:$5,0)),0)*$AP544,0)</f>
        <v>5.75692435796637</v>
      </c>
      <c r="BA544" s="153" t="n">
        <f aca="false">IFERROR(IF(AND($N544="VCA",$Q544="LINEAR"),INDEX(APOIO_REDES!$A:$W,MATCH($C544&amp;$I544&amp;$H544&amp;$N544&amp;$O544,APOIO_REDES!$W:$W,0),MATCH(BA$5,APOIO_REDES!$5:$5,0)),IF(AND($N544="MND",$Q544="EMBOQUE"),INDEX(APOIO_REDES!$A:$W,MATCH($C544&amp;$I544&amp;$H544&amp;$N544&amp;$O544,APOIO_REDES!$W:$W,0),MATCH(BA$5,APOIO_REDES!$5:$5,0)),0))*$M544/10,0)</f>
        <v>21.7766324672808</v>
      </c>
      <c r="BB544" s="153" t="n">
        <f aca="false">IFERROR(IF($N544="VCA",INDEX(APOIO_REDES!$A:$W,MATCH($C544&amp;$I544&amp;$H544&amp;$N544&amp;$O544,APOIO_REDES!$W:$W,0),MATCH(BB$5,APOIO_REDES!$5:$5,0)),0)*($AI544+$AQ544+$AR544),0)</f>
        <v>80.4289635885391</v>
      </c>
      <c r="BC544" s="153" t="n">
        <f aca="false">IFERROR(IF($N544="VCA",INDEX(APOIO_REDES!$A:$W,MATCH($C544&amp;$I544&amp;$H544&amp;$N544&amp;$O544,APOIO_REDES!$W:$W,0),MATCH(BC$5,APOIO_REDES!$5:$5,0)),0)*($AI544+$AQ544+$AR544),0)</f>
        <v>0.884716911460899</v>
      </c>
      <c r="BD544" s="153" t="n">
        <f aca="false">IF(AND($N544="VCA",$AF544&gt;=1.25,$AF544&lt;1.5),$M544*$AF544*2,0)</f>
        <v>736.53794</v>
      </c>
      <c r="BE544" s="153" t="n">
        <f aca="false">IF(AND($N544="VCA",$AF544&gt;=1.5,$AF544&lt;3),$M544*$AF544*2,0)</f>
        <v>0</v>
      </c>
      <c r="BF544" s="153" t="n">
        <f aca="false">IF(AND($N544="VCA",$AF544&gt;=3),$M544*$AF544*2,0)</f>
        <v>0</v>
      </c>
      <c r="BG544" s="153" t="n">
        <f aca="false">($BB544+$BC544)*$AK544</f>
        <v>276.4665137</v>
      </c>
      <c r="BH544" s="153" t="n">
        <f aca="false">IF(AND($M544&lt;&gt;"",$N544="VCA",$Q544="LINEAR"),($M544*2)/100,IF(AND($M544&lt;&gt;"",$N544="MND",$Q544="EMBOQUE"),($AN544*2)/100,0))</f>
        <v>5.4038</v>
      </c>
      <c r="BI544" s="153" t="n">
        <f aca="false">IF(AND($M544&lt;&gt;"",$N544="VCA",$Q544="LINEAR"),$M544,IF(AND($M544&lt;&gt;"",$N544="MND",$Q544="EMBOQUE"),$AN544*2,0))</f>
        <v>270.19</v>
      </c>
      <c r="BJ544" s="153" t="n">
        <f aca="false">IF(AND($M544&lt;&gt;"",$N544="VCA",$Q544="LINEAR"),($M544*6.8)/100,IF(AND($M544&lt;&gt;"",$N544="MND",$Q544="EMBOQUE"),($AN544*2*6.8)/100,0))</f>
        <v>18.37292</v>
      </c>
      <c r="BK544" s="153" t="n">
        <f aca="false">IF(AND($M544&lt;&gt;"",$N544="VCA",$Q544="LINEAR"),($M544*2.5)/50,IF(AND($M544&lt;&gt;"",$N544="MND",$Q544="EMBOQUE"),($AN544*2*2.5)/50,0))</f>
        <v>13.5095</v>
      </c>
      <c r="BL544" s="157" t="str">
        <f aca="false">K544&amp;J544</f>
        <v>Zona05REDES</v>
      </c>
      <c r="BM544" s="152" t="s">
        <v>3356</v>
      </c>
      <c r="BN544" s="152" t="s">
        <v>1560</v>
      </c>
      <c r="BO544" s="152" t="s">
        <v>2800</v>
      </c>
      <c r="BP544" s="152" t="s">
        <v>3513</v>
      </c>
      <c r="BQ544" s="152" t="s">
        <v>3612</v>
      </c>
      <c r="BR544" s="152" t="s">
        <v>3613</v>
      </c>
      <c r="BS544" s="152" t="n">
        <v>203328.891</v>
      </c>
      <c r="BT544" s="152" t="n">
        <v>8237653.486</v>
      </c>
      <c r="BU544" s="152" t="n">
        <v>203196.801</v>
      </c>
      <c r="BV544" s="152" t="n">
        <v>8237417.929</v>
      </c>
      <c r="BW544" s="152" t="n">
        <v>-15.9236896</v>
      </c>
      <c r="BX544" s="152" t="n">
        <v>-47.7714854</v>
      </c>
      <c r="BY544" s="152" t="s">
        <v>3513</v>
      </c>
    </row>
    <row r="545" customFormat="false" ht="13.8" hidden="false" customHeight="false" outlineLevel="0" collapsed="false">
      <c r="A545" s="149" t="n">
        <f aca="false">IF(C545&lt;&gt;"",ROW(A540),"")</f>
        <v>540</v>
      </c>
      <c r="B545" s="150" t="str">
        <f aca="false">HYPERLINK("https://www.google.com/maps/dir/-15.917302,-47.760003/-15.9234738,-47.7679782/data=!4m3!4m2!3e0!5i2")</f>
        <v>https://www.google.com/maps/dir/-15.917302,-47.760003/-15.9234738,-47.7679782/data=!4m3!4m2!3e0!5i2</v>
      </c>
      <c r="C545" s="151" t="s">
        <v>117</v>
      </c>
      <c r="D545" s="152" t="s">
        <v>112</v>
      </c>
      <c r="E545" s="152" t="s">
        <v>113</v>
      </c>
      <c r="F545" s="152" t="s">
        <v>117</v>
      </c>
      <c r="G545" s="152" t="s">
        <v>114</v>
      </c>
      <c r="H545" s="152" t="n">
        <v>225</v>
      </c>
      <c r="I545" s="152" t="s">
        <v>115</v>
      </c>
      <c r="J545" s="152" t="s">
        <v>6</v>
      </c>
      <c r="K545" s="152" t="s">
        <v>3352</v>
      </c>
      <c r="L545" s="152" t="s">
        <v>120</v>
      </c>
      <c r="M545" s="153" t="n">
        <f aca="false">70.12</f>
        <v>70.12</v>
      </c>
      <c r="N545" s="152" t="s">
        <v>1548</v>
      </c>
      <c r="O545" s="152" t="s">
        <v>1549</v>
      </c>
      <c r="P545" s="152" t="s">
        <v>1550</v>
      </c>
      <c r="Q545" s="152" t="s">
        <v>1551</v>
      </c>
      <c r="R545" s="154" t="s">
        <v>3614</v>
      </c>
      <c r="S545" s="154" t="s">
        <v>1593</v>
      </c>
      <c r="T545" s="155" t="s">
        <v>2797</v>
      </c>
      <c r="U545" s="152" t="str">
        <f aca="false">RIGHT(T545,7)</f>
        <v>009/037</v>
      </c>
      <c r="V545" s="152" t="s">
        <v>1555</v>
      </c>
      <c r="W545" s="156" t="n">
        <v>45882</v>
      </c>
      <c r="X545" s="152" t="s">
        <v>1594</v>
      </c>
      <c r="Y545" s="152" t="s">
        <v>3540</v>
      </c>
      <c r="Z545" s="152" t="s">
        <v>1557</v>
      </c>
      <c r="AA545" s="153" t="n">
        <v>3.7</v>
      </c>
      <c r="AB545" s="151" t="s">
        <v>3615</v>
      </c>
      <c r="AC545" s="151" t="s">
        <v>508</v>
      </c>
      <c r="AD545" s="151" t="str">
        <f aca="false">CONCATENATE($C545,$I545,$H545,$N545,$J545,$K545)</f>
        <v>TUBO PEADPEAD225VCAREDESZona05</v>
      </c>
      <c r="AE545" s="153" t="n">
        <f aca="false">IFERROR(INDEX(APOIO_REDES!$A:$W,MATCH($C545&amp;$I545&amp;$H545&amp;$N545&amp;$O545,APOIO_REDES!$W:$W,0),MATCH(AE$5,APOIO_REDES!$5:$5,0)),0)</f>
        <v>1.2</v>
      </c>
      <c r="AF545" s="153" t="n">
        <f aca="false">IFERROR(INDEX(APOIO_REDES!$A:$W,MATCH($C545&amp;$I545&amp;$H545&amp;$N545&amp;$O545,APOIO_REDES!$W:$W,0),MATCH(AF$5,APOIO_REDES!$5:$5,0)),0)</f>
        <v>1.525</v>
      </c>
      <c r="AG545" s="153" t="n">
        <f aca="false">IFERROR(INDEX(APOIO_REDES!$A:$W,MATCH($C545&amp;$I545&amp;$H545&amp;$N545&amp;$O545,APOIO_REDES!$W:$W,0),MATCH(AG$5,APOIO_REDES!$5:$5,0)),0)</f>
        <v>0.8</v>
      </c>
      <c r="AH545" s="153" t="n">
        <f aca="false">IFERROR(INDEX(APOIO_REDES!$A:$W,MATCH($C545&amp;$I545&amp;$H545&amp;$N545&amp;$O545,APOIO_REDES!$W:$W,0),MATCH(AH$5,APOIO_REDES!$5:$5,0)),0)</f>
        <v>0.1</v>
      </c>
      <c r="AI545" s="153" t="n">
        <f aca="false">IFERROR(IF($H545&lt;&gt;"",(((($H545/1000)/2)^2)*PI()*$M545),0),0)</f>
        <v>2.78802603538235</v>
      </c>
      <c r="AJ545" s="153" t="n">
        <f aca="false">IFERROR(IF(AND($H545&lt;&gt;"",$I545="FoFo",OR($N545="MND",$N545="VCA"),$Q545="LINEAR"),0,IF(AND($H545&lt;&gt;"",$I545="PEAD",$N545="VCA",$Q545="LINEAR"),($H545/1000)+0.3,IF(AND($H545&lt;&gt;"",$I545="PEAD",$N545="MND",$Q545="EMBOQUE"),0,IF(AND($H545&lt;&gt;"",$I545="PVC",$N545="VCA",$Q545="LINEAR"),($H545/1000)+0.2,IF(AND($H545&lt;&gt;"",$I545="PVC",$N545="MND",$Q545="EMBOQUE"),0,IF(AND($H545&lt;&gt;"",$I545="PEAD",$N545="VCA",$Q545="PREDIAL"),0,0)))))),0)</f>
        <v>0.525</v>
      </c>
      <c r="AK545" s="153" t="n">
        <f aca="false">IF(AA545&lt;&gt;"",AA545,0)</f>
        <v>3.7</v>
      </c>
      <c r="AL545" s="153" t="n">
        <f aca="false">IF(AND($N545="MND",$Q545="EMBOQUE"),$M545,IF(AND($N545="VCA",$Q545="LINEAR"),$M545,IF(AND($N545="VCA",$Q545="PREDIAL"),0,0)))</f>
        <v>70.12</v>
      </c>
      <c r="AM545" s="153" t="n">
        <f aca="false">IF(AND($N545="MND",$Q545="EMBOQUE"),$M545,IF(AND($N545="VCA",$Q545="LINEAR"),$M545,IF(AND($N545="VCA",$Q545="PREDIAL"),0,0)))</f>
        <v>70.12</v>
      </c>
      <c r="AN545" s="153" t="n">
        <f aca="false">ROUND(IF(AND($N545="VCA",$M545&lt;&gt;"",$Q545="LINEAR"),$M545/100,IF(AND($N545="MND",$M545&gt;100,$Q545="EMBOQUE"),$M545/100,0)),0)</f>
        <v>1</v>
      </c>
      <c r="AO545" s="153" t="n">
        <f aca="false">IF(AND($N545="MND",$Q545="EMBOQUE"),$AN545*2*2,IF(AND($N545="VCA",$Q545="LINEAR"),$M545*2,IF(AND($N545="VCA",$Q545="PREDIAL"),0,0)))</f>
        <v>140.24</v>
      </c>
      <c r="AP545" s="153" t="n">
        <f aca="false">IFERROR($M545*$AF545*$AG545,0)</f>
        <v>85.5464</v>
      </c>
      <c r="AQ545" s="153" t="n">
        <f aca="false">IFERROR(IF(AND($N545="VCA",$AH545&gt;0),$M545*$AG545*$AH545,0),0)</f>
        <v>5.6096</v>
      </c>
      <c r="AR545" s="153" t="n">
        <f aca="false">IFERROR(IF(AND($N545="VCA",$AJ545&gt;0),($M545*$AG545*$AJ545)-$AI545,0),0)</f>
        <v>26.6623739646177</v>
      </c>
      <c r="AS545" s="153" t="n">
        <f aca="false">IFERROR(IF(AND($N545="VCA",$AP545&gt;0),$AP545-$AI545-$AQ545-$AR545,0),0)</f>
        <v>50.4864</v>
      </c>
      <c r="AT545" s="153" t="n">
        <f aca="false">IFERROR(IF($N545="VCA",INDEX(APOIO_REDES!$A:$W,MATCH($C545&amp;$I545&amp;$H545&amp;$N545&amp;$O545,APOIO_REDES!$W:$W,0),MATCH(AT$5,APOIO_REDES!$5:$5,0)),0)*$AP545,0)</f>
        <v>0.930770152441921</v>
      </c>
      <c r="AU545" s="153" t="n">
        <f aca="false">IFERROR(IF($N545="VCA",INDEX(APOIO_REDES!$A:$W,MATCH($C545&amp;$I545&amp;$H545&amp;$N545&amp;$O545,APOIO_REDES!$W:$W,0),MATCH(AU$5,APOIO_REDES!$5:$5,0)),0)*$AP545,0)</f>
        <v>0.743287835287442</v>
      </c>
      <c r="AV545" s="153" t="n">
        <f aca="false">IFERROR(IF($N545="VCA",INDEX(APOIO_REDES!$A:$W,MATCH($C545&amp;$I545&amp;$H545&amp;$N545&amp;$O545,APOIO_REDES!$W:$W,0),MATCH(AV$5,APOIO_REDES!$5:$5,0)),0)*$AP545,0)</f>
        <v>0.102865201365494</v>
      </c>
      <c r="AW545" s="153" t="n">
        <f aca="false">IFERROR(IF($N545="VCA",INDEX(APOIO_REDES!$A:$W,MATCH($C545&amp;$I545&amp;$H545&amp;$N545&amp;$O545,APOIO_REDES!$W:$W,0),MATCH(AW$5,APOIO_REDES!$5:$5,0)),0)*$AP545,0)</f>
        <v>58.7197118058525</v>
      </c>
      <c r="AX545" s="153" t="n">
        <f aca="false">IFERROR(IF($N545="VCA",INDEX(APOIO_REDES!$A:$W,MATCH($C545&amp;$I545&amp;$H545&amp;$N545&amp;$O545,APOIO_REDES!$W:$W,0),MATCH(AX$5,APOIO_REDES!$5:$5,0)),0)*$AP545,0)</f>
        <v>8.12664084766474</v>
      </c>
      <c r="AY545" s="153" t="n">
        <f aca="false">IFERROR(IF($N545="VCA",INDEX(APOIO_REDES!$A:$W,MATCH($C545&amp;$I545&amp;$H545&amp;$N545&amp;$O545,APOIO_REDES!$W:$W,0),MATCH(AY$5,APOIO_REDES!$5:$5,0)),0)*$AP545,0)</f>
        <v>14.8657476451304</v>
      </c>
      <c r="AZ545" s="153" t="n">
        <f aca="false">IFERROR(IF($N545="VCA",INDEX(APOIO_REDES!$A:$W,MATCH($C545&amp;$I545&amp;$H545&amp;$N545&amp;$O545,APOIO_REDES!$W:$W,0),MATCH(AZ$5,APOIO_REDES!$5:$5,0)),0)*$AP545,0)</f>
        <v>2.05737651225756</v>
      </c>
      <c r="BA545" s="153" t="n">
        <f aca="false">IFERROR(IF(AND($N545="VCA",$Q545="LINEAR"),INDEX(APOIO_REDES!$A:$W,MATCH($C545&amp;$I545&amp;$H545&amp;$N545&amp;$O545,APOIO_REDES!$W:$W,0),MATCH(BA$5,APOIO_REDES!$5:$5,0)),IF(AND($N545="MND",$Q545="EMBOQUE"),INDEX(APOIO_REDES!$A:$W,MATCH($C545&amp;$I545&amp;$H545&amp;$N545&amp;$O545,APOIO_REDES!$W:$W,0),MATCH(BA$5,APOIO_REDES!$5:$5,0)),0))*$M545/10,0)</f>
        <v>5.65149512789419</v>
      </c>
      <c r="BB545" s="153" t="n">
        <f aca="false">IFERROR(IF($N545="VCA",INDEX(APOIO_REDES!$A:$W,MATCH($C545&amp;$I545&amp;$H545&amp;$N545&amp;$O545,APOIO_REDES!$W:$W,0),MATCH(BB$5,APOIO_REDES!$5:$5,0)),0)*($AI545+$AQ545+$AR545),0)</f>
        <v>34.6785368227697</v>
      </c>
      <c r="BC545" s="153" t="n">
        <f aca="false">IFERROR(IF($N545="VCA",INDEX(APOIO_REDES!$A:$W,MATCH($C545&amp;$I545&amp;$H545&amp;$N545&amp;$O545,APOIO_REDES!$W:$W,0),MATCH(BC$5,APOIO_REDES!$5:$5,0)),0)*($AI545+$AQ545+$AR545),0)</f>
        <v>0.381463177230295</v>
      </c>
      <c r="BD545" s="153" t="n">
        <f aca="false">IF(AND($N545="VCA",$AF545&gt;=1.25,$AF545&lt;1.5),$M545*$AF545*2,0)</f>
        <v>0</v>
      </c>
      <c r="BE545" s="153" t="n">
        <f aca="false">IF(AND($N545="VCA",$AF545&gt;=1.5,$AF545&lt;3),$M545*$AF545*2,0)</f>
        <v>213.866</v>
      </c>
      <c r="BF545" s="153" t="n">
        <f aca="false">IF(AND($N545="VCA",$AF545&gt;=3),$M545*$AF545*2,0)</f>
        <v>0</v>
      </c>
      <c r="BG545" s="153" t="n">
        <f aca="false">($BB545+$BC545)*$AK545</f>
        <v>129.722</v>
      </c>
      <c r="BH545" s="153" t="n">
        <f aca="false">IF(AND($M545&lt;&gt;"",$N545="VCA",$Q545="LINEAR"),($M545*2)/100,IF(AND($M545&lt;&gt;"",$N545="MND",$Q545="EMBOQUE"),($AN545*2)/100,0))</f>
        <v>1.4024</v>
      </c>
      <c r="BI545" s="153" t="n">
        <f aca="false">IF(AND($M545&lt;&gt;"",$N545="VCA",$Q545="LINEAR"),$M545,IF(AND($M545&lt;&gt;"",$N545="MND",$Q545="EMBOQUE"),$AN545*2,0))</f>
        <v>70.12</v>
      </c>
      <c r="BJ545" s="153" t="n">
        <f aca="false">IF(AND($M545&lt;&gt;"",$N545="VCA",$Q545="LINEAR"),($M545*6.8)/100,IF(AND($M545&lt;&gt;"",$N545="MND",$Q545="EMBOQUE"),($AN545*2*6.8)/100,0))</f>
        <v>4.76816</v>
      </c>
      <c r="BK545" s="153" t="n">
        <f aca="false">IF(AND($M545&lt;&gt;"",$N545="VCA",$Q545="LINEAR"),($M545*2.5)/50,IF(AND($M545&lt;&gt;"",$N545="MND",$Q545="EMBOQUE"),($AN545*2*2.5)/50,0))</f>
        <v>3.506</v>
      </c>
      <c r="BL545" s="157" t="str">
        <f aca="false">K545&amp;J545</f>
        <v>Zona05REDES</v>
      </c>
      <c r="BM545" s="152" t="s">
        <v>3356</v>
      </c>
      <c r="BN545" s="152" t="s">
        <v>1560</v>
      </c>
      <c r="BO545" s="152" t="s">
        <v>2800</v>
      </c>
      <c r="BP545" s="152" t="s">
        <v>3575</v>
      </c>
      <c r="BQ545" s="152" t="s">
        <v>3616</v>
      </c>
      <c r="BR545" s="152" t="s">
        <v>3617</v>
      </c>
      <c r="BS545" s="152" t="n">
        <v>203638.607</v>
      </c>
      <c r="BT545" s="152" t="n">
        <v>8237564.395</v>
      </c>
      <c r="BU545" s="152" t="n">
        <v>203669.942</v>
      </c>
      <c r="BV545" s="152" t="n">
        <v>8237501.73</v>
      </c>
      <c r="BW545" s="152" t="n">
        <v>-15.9237564</v>
      </c>
      <c r="BX545" s="152" t="n">
        <v>-47.7678316</v>
      </c>
      <c r="BY545" s="152" t="s">
        <v>3575</v>
      </c>
    </row>
    <row r="546" customFormat="false" ht="13.8" hidden="false" customHeight="false" outlineLevel="0" collapsed="false">
      <c r="A546" s="149" t="n">
        <f aca="false">IF(C546&lt;&gt;"",ROW(A541),"")</f>
        <v>541</v>
      </c>
      <c r="B546" s="150" t="str">
        <f aca="false">HYPERLINK("https://www.google.com/maps/dir/-15.917302,-47.760003/-15.9244467,-47.7725001/data=!4m3!4m2!3e0!5i0")</f>
        <v>https://www.google.com/maps/dir/-15.917302,-47.760003/-15.9244467,-47.7725001/data=!4m3!4m2!3e0!5i0</v>
      </c>
      <c r="C546" s="151" t="s">
        <v>117</v>
      </c>
      <c r="D546" s="152" t="s">
        <v>112</v>
      </c>
      <c r="E546" s="152" t="s">
        <v>113</v>
      </c>
      <c r="F546" s="152" t="s">
        <v>117</v>
      </c>
      <c r="G546" s="152" t="s">
        <v>782</v>
      </c>
      <c r="H546" s="152" t="n">
        <v>63</v>
      </c>
      <c r="I546" s="152" t="s">
        <v>115</v>
      </c>
      <c r="J546" s="152" t="s">
        <v>6</v>
      </c>
      <c r="K546" s="152" t="s">
        <v>3352</v>
      </c>
      <c r="L546" s="152" t="s">
        <v>120</v>
      </c>
      <c r="M546" s="153" t="n">
        <f aca="false">184.01</f>
        <v>184.01</v>
      </c>
      <c r="N546" s="152" t="s">
        <v>1548</v>
      </c>
      <c r="O546" s="152" t="s">
        <v>1549</v>
      </c>
      <c r="P546" s="152" t="s">
        <v>1550</v>
      </c>
      <c r="Q546" s="152" t="s">
        <v>1551</v>
      </c>
      <c r="R546" s="154" t="s">
        <v>3618</v>
      </c>
      <c r="S546" s="154" t="s">
        <v>1553</v>
      </c>
      <c r="T546" s="155" t="s">
        <v>2797</v>
      </c>
      <c r="U546" s="152" t="str">
        <f aca="false">RIGHT(T546,7)</f>
        <v>009/037</v>
      </c>
      <c r="V546" s="152" t="s">
        <v>1555</v>
      </c>
      <c r="W546" s="156" t="n">
        <v>45882</v>
      </c>
      <c r="X546" s="152" t="s">
        <v>1594</v>
      </c>
      <c r="Y546" s="152" t="s">
        <v>3494</v>
      </c>
      <c r="Z546" s="152" t="s">
        <v>1557</v>
      </c>
      <c r="AA546" s="153" t="n">
        <v>3.6</v>
      </c>
      <c r="AB546" s="151" t="s">
        <v>3619</v>
      </c>
      <c r="AC546" s="151" t="s">
        <v>186</v>
      </c>
      <c r="AD546" s="151" t="str">
        <f aca="false">CONCATENATE($C546,$I546,$H546,$N546,$J546,$K546)</f>
        <v>TUBO PEADPEAD63VCAREDESZona05</v>
      </c>
      <c r="AE546" s="153" t="n">
        <f aca="false">IFERROR(INDEX(APOIO_REDES!$A:$W,MATCH($C546&amp;$I546&amp;$H546&amp;$N546&amp;$O546,APOIO_REDES!$W:$W,0),MATCH(AE$5,APOIO_REDES!$5:$5,0)),0)</f>
        <v>1.2</v>
      </c>
      <c r="AF546" s="153" t="n">
        <f aca="false">IFERROR(INDEX(APOIO_REDES!$A:$W,MATCH($C546&amp;$I546&amp;$H546&amp;$N546&amp;$O546,APOIO_REDES!$W:$W,0),MATCH(AF$5,APOIO_REDES!$5:$5,0)),0)</f>
        <v>1.363</v>
      </c>
      <c r="AG546" s="153" t="n">
        <f aca="false">IFERROR(INDEX(APOIO_REDES!$A:$W,MATCH($C546&amp;$I546&amp;$H546&amp;$N546&amp;$O546,APOIO_REDES!$W:$W,0),MATCH(AG$5,APOIO_REDES!$5:$5,0)),0)</f>
        <v>0.65</v>
      </c>
      <c r="AH546" s="153" t="n">
        <f aca="false">IFERROR(INDEX(APOIO_REDES!$A:$W,MATCH($C546&amp;$I546&amp;$H546&amp;$N546&amp;$O546,APOIO_REDES!$W:$W,0),MATCH(AH$5,APOIO_REDES!$5:$5,0)),0)</f>
        <v>0.1</v>
      </c>
      <c r="AI546" s="153" t="n">
        <f aca="false">IFERROR(IF($H546&lt;&gt;"",(((($H546/1000)/2)^2)*PI()*$M546),0),0)</f>
        <v>0.573604309589608</v>
      </c>
      <c r="AJ546" s="153" t="n">
        <f aca="false">IFERROR(IF(AND($H546&lt;&gt;"",$I546="FoFo",OR($N546="MND",$N546="VCA"),$Q546="LINEAR"),0,IF(AND($H546&lt;&gt;"",$I546="PEAD",$N546="VCA",$Q546="LINEAR"),($H546/1000)+0.3,IF(AND($H546&lt;&gt;"",$I546="PEAD",$N546="MND",$Q546="EMBOQUE"),0,IF(AND($H546&lt;&gt;"",$I546="PVC",$N546="VCA",$Q546="LINEAR"),($H546/1000)+0.2,IF(AND($H546&lt;&gt;"",$I546="PVC",$N546="MND",$Q546="EMBOQUE"),0,IF(AND($H546&lt;&gt;"",$I546="PEAD",$N546="VCA",$Q546="PREDIAL"),0,0)))))),0)</f>
        <v>0.363</v>
      </c>
      <c r="AK546" s="153" t="n">
        <f aca="false">IF(AA546&lt;&gt;"",AA546,0)</f>
        <v>3.6</v>
      </c>
      <c r="AL546" s="153" t="n">
        <f aca="false">IF(AND($N546="MND",$Q546="EMBOQUE"),$M546,IF(AND($N546="VCA",$Q546="LINEAR"),$M546,IF(AND($N546="VCA",$Q546="PREDIAL"),0,0)))</f>
        <v>184.01</v>
      </c>
      <c r="AM546" s="153" t="n">
        <f aca="false">IF(AND($N546="MND",$Q546="EMBOQUE"),$M546,IF(AND($N546="VCA",$Q546="LINEAR"),$M546,IF(AND($N546="VCA",$Q546="PREDIAL"),0,0)))</f>
        <v>184.01</v>
      </c>
      <c r="AN546" s="153" t="n">
        <f aca="false">ROUND(IF(AND($N546="VCA",$M546&lt;&gt;"",$Q546="LINEAR"),$M546/100,IF(AND($N546="MND",$M546&gt;100,$Q546="EMBOQUE"),$M546/100,0)),0)</f>
        <v>2</v>
      </c>
      <c r="AO546" s="153" t="n">
        <f aca="false">IF(AND($N546="MND",$Q546="EMBOQUE"),$AN546*2*2,IF(AND($N546="VCA",$Q546="LINEAR"),$M546*2,IF(AND($N546="VCA",$Q546="PREDIAL"),0,0)))</f>
        <v>368.02</v>
      </c>
      <c r="AP546" s="153" t="n">
        <f aca="false">IFERROR($M546*$AF546*$AG546,0)</f>
        <v>163.0236595</v>
      </c>
      <c r="AQ546" s="153" t="n">
        <f aca="false">IFERROR(IF(AND($N546="VCA",$AH546&gt;0),$M546*$AG546*$AH546,0),0)</f>
        <v>11.96065</v>
      </c>
      <c r="AR546" s="153" t="n">
        <f aca="false">IFERROR(IF(AND($N546="VCA",$AJ546&gt;0),($M546*$AG546*$AJ546)-$AI546,0),0)</f>
        <v>42.8435551904104</v>
      </c>
      <c r="AS546" s="153" t="n">
        <f aca="false">IFERROR(IF(AND($N546="VCA",$AP546&gt;0),$AP546-$AI546-$AQ546-$AR546,0),0)</f>
        <v>107.64585</v>
      </c>
      <c r="AT546" s="153" t="n">
        <f aca="false">IFERROR(IF($N546="VCA",INDEX(APOIO_REDES!$A:$W,MATCH($C546&amp;$I546&amp;$H546&amp;$N546&amp;$O546,APOIO_REDES!$W:$W,0),MATCH(AT$5,APOIO_REDES!$5:$5,0)),0)*$AP546,0)</f>
        <v>1.77374566790017</v>
      </c>
      <c r="AU546" s="153" t="n">
        <f aca="false">IFERROR(IF($N546="VCA",INDEX(APOIO_REDES!$A:$W,MATCH($C546&amp;$I546&amp;$H546&amp;$N546&amp;$O546,APOIO_REDES!$W:$W,0),MATCH(AU$5,APOIO_REDES!$5:$5,0)),0)*$AP546,0)</f>
        <v>1.41646525126004</v>
      </c>
      <c r="AV546" s="153" t="n">
        <f aca="false">IFERROR(IF($N546="VCA",INDEX(APOIO_REDES!$A:$W,MATCH($C546&amp;$I546&amp;$H546&amp;$N546&amp;$O546,APOIO_REDES!$W:$W,0),MATCH(AV$5,APOIO_REDES!$5:$5,0)),0)*$AP546,0)</f>
        <v>0.196027671086186</v>
      </c>
      <c r="AW546" s="153" t="n">
        <f aca="false">IFERROR(IF($N546="VCA",INDEX(APOIO_REDES!$A:$W,MATCH($C546&amp;$I546&amp;$H546&amp;$N546&amp;$O546,APOIO_REDES!$W:$W,0),MATCH(AW$5,APOIO_REDES!$5:$5,0)),0)*$AP546,0)</f>
        <v>111.900703049753</v>
      </c>
      <c r="AX546" s="153" t="n">
        <f aca="false">IFERROR(IF($N546="VCA",INDEX(APOIO_REDES!$A:$W,MATCH($C546&amp;$I546&amp;$H546&amp;$N546&amp;$O546,APOIO_REDES!$W:$W,0),MATCH(AX$5,APOIO_REDES!$5:$5,0)),0)*$AP546,0)</f>
        <v>15.4867385468995</v>
      </c>
      <c r="AY546" s="153" t="n">
        <f aca="false">IFERROR(IF($N546="VCA",INDEX(APOIO_REDES!$A:$W,MATCH($C546&amp;$I546&amp;$H546&amp;$N546&amp;$O546,APOIO_REDES!$W:$W,0),MATCH(AY$5,APOIO_REDES!$5:$5,0)),0)*$AP546,0)</f>
        <v>28.3292877586042</v>
      </c>
      <c r="AZ546" s="153" t="n">
        <f aca="false">IFERROR(IF($N546="VCA",INDEX(APOIO_REDES!$A:$W,MATCH($C546&amp;$I546&amp;$H546&amp;$N546&amp;$O546,APOIO_REDES!$W:$W,0),MATCH(AZ$5,APOIO_REDES!$5:$5,0)),0)*$AP546,0)</f>
        <v>3.92069155449643</v>
      </c>
      <c r="BA546" s="153" t="n">
        <f aca="false">IFERROR(IF(AND($N546="VCA",$Q546="LINEAR"),INDEX(APOIO_REDES!$A:$W,MATCH($C546&amp;$I546&amp;$H546&amp;$N546&amp;$O546,APOIO_REDES!$W:$W,0),MATCH(BA$5,APOIO_REDES!$5:$5,0)),IF(AND($N546="MND",$Q546="EMBOQUE"),INDEX(APOIO_REDES!$A:$W,MATCH($C546&amp;$I546&amp;$H546&amp;$N546&amp;$O546,APOIO_REDES!$W:$W,0),MATCH(BA$5,APOIO_REDES!$5:$5,0)),0))*$M546/10,0)</f>
        <v>14.8307418494554</v>
      </c>
      <c r="BB546" s="153" t="n">
        <f aca="false">IFERROR(IF($N546="VCA",INDEX(APOIO_REDES!$A:$W,MATCH($C546&amp;$I546&amp;$H546&amp;$N546&amp;$O546,APOIO_REDES!$W:$W,0),MATCH(BB$5,APOIO_REDES!$5:$5,0)),0)*($AI546+$AQ546+$AR546),0)</f>
        <v>54.7752825416451</v>
      </c>
      <c r="BC546" s="153" t="n">
        <f aca="false">IFERROR(IF($N546="VCA",INDEX(APOIO_REDES!$A:$W,MATCH($C546&amp;$I546&amp;$H546&amp;$N546&amp;$O546,APOIO_REDES!$W:$W,0),MATCH(BC$5,APOIO_REDES!$5:$5,0)),0)*($AI546+$AQ546+$AR546),0)</f>
        <v>0.602526958354935</v>
      </c>
      <c r="BD546" s="153" t="n">
        <f aca="false">IF(AND($N546="VCA",$AF546&gt;=1.25,$AF546&lt;1.5),$M546*$AF546*2,0)</f>
        <v>501.61126</v>
      </c>
      <c r="BE546" s="153" t="n">
        <f aca="false">IF(AND($N546="VCA",$AF546&gt;=1.5,$AF546&lt;3),$M546*$AF546*2,0)</f>
        <v>0</v>
      </c>
      <c r="BF546" s="153" t="n">
        <f aca="false">IF(AND($N546="VCA",$AF546&gt;=3),$M546*$AF546*2,0)</f>
        <v>0</v>
      </c>
      <c r="BG546" s="153" t="n">
        <f aca="false">($BB546+$BC546)*$AK546</f>
        <v>199.3601142</v>
      </c>
      <c r="BH546" s="153" t="n">
        <f aca="false">IF(AND($M546&lt;&gt;"",$N546="VCA",$Q546="LINEAR"),($M546*2)/100,IF(AND($M546&lt;&gt;"",$N546="MND",$Q546="EMBOQUE"),($AN546*2)/100,0))</f>
        <v>3.6802</v>
      </c>
      <c r="BI546" s="153" t="n">
        <f aca="false">IF(AND($M546&lt;&gt;"",$N546="VCA",$Q546="LINEAR"),$M546,IF(AND($M546&lt;&gt;"",$N546="MND",$Q546="EMBOQUE"),$AN546*2,0))</f>
        <v>184.01</v>
      </c>
      <c r="BJ546" s="153" t="n">
        <f aca="false">IF(AND($M546&lt;&gt;"",$N546="VCA",$Q546="LINEAR"),($M546*6.8)/100,IF(AND($M546&lt;&gt;"",$N546="MND",$Q546="EMBOQUE"),($AN546*2*6.8)/100,0))</f>
        <v>12.51268</v>
      </c>
      <c r="BK546" s="153" t="n">
        <f aca="false">IF(AND($M546&lt;&gt;"",$N546="VCA",$Q546="LINEAR"),($M546*2.5)/50,IF(AND($M546&lt;&gt;"",$N546="MND",$Q546="EMBOQUE"),($AN546*2*2.5)/50,0))</f>
        <v>9.2005</v>
      </c>
      <c r="BL546" s="157" t="str">
        <f aca="false">K546&amp;J546</f>
        <v>Zona05REDES</v>
      </c>
      <c r="BM546" s="152" t="s">
        <v>3356</v>
      </c>
      <c r="BN546" s="152" t="s">
        <v>1560</v>
      </c>
      <c r="BO546" s="152" t="s">
        <v>2800</v>
      </c>
      <c r="BP546" s="152" t="s">
        <v>3620</v>
      </c>
      <c r="BQ546" s="152" t="s">
        <v>3537</v>
      </c>
      <c r="BR546" s="152" t="s">
        <v>3621</v>
      </c>
      <c r="BS546" s="152" t="n">
        <v>203155.57</v>
      </c>
      <c r="BT546" s="152" t="n">
        <v>8237450.232</v>
      </c>
      <c r="BU546" s="152" t="n">
        <v>203246.335</v>
      </c>
      <c r="BV546" s="152" t="n">
        <v>8237610.291</v>
      </c>
      <c r="BW546" s="152" t="n">
        <v>-15.9237302</v>
      </c>
      <c r="BX546" s="152" t="n">
        <v>-47.7720654</v>
      </c>
      <c r="BY546" s="152" t="s">
        <v>3620</v>
      </c>
    </row>
    <row r="547" customFormat="false" ht="13.8" hidden="false" customHeight="false" outlineLevel="0" collapsed="false">
      <c r="A547" s="149" t="n">
        <f aca="false">IF(C547&lt;&gt;"",ROW(A542),"")</f>
        <v>542</v>
      </c>
      <c r="B547" s="150" t="str">
        <f aca="false">HYPERLINK("https://www.google.com/maps/dir/-15.917302,-47.760003/-15.9227396,-47.7701634/data=!4m3!4m2!3e0!5i2")</f>
        <v>https://www.google.com/maps/dir/-15.917302,-47.760003/-15.9227396,-47.7701634/data=!4m3!4m2!3e0!5i2</v>
      </c>
      <c r="C547" s="151" t="s">
        <v>117</v>
      </c>
      <c r="D547" s="152" t="s">
        <v>112</v>
      </c>
      <c r="E547" s="152" t="s">
        <v>113</v>
      </c>
      <c r="F547" s="152" t="s">
        <v>117</v>
      </c>
      <c r="G547" s="152" t="s">
        <v>782</v>
      </c>
      <c r="H547" s="152" t="n">
        <v>63</v>
      </c>
      <c r="I547" s="152" t="s">
        <v>115</v>
      </c>
      <c r="J547" s="152" t="s">
        <v>6</v>
      </c>
      <c r="K547" s="152" t="s">
        <v>3352</v>
      </c>
      <c r="L547" s="152" t="s">
        <v>120</v>
      </c>
      <c r="M547" s="153" t="n">
        <f aca="false">281.84</f>
        <v>281.84</v>
      </c>
      <c r="N547" s="152" t="s">
        <v>1548</v>
      </c>
      <c r="O547" s="152" t="s">
        <v>1549</v>
      </c>
      <c r="P547" s="152" t="s">
        <v>1550</v>
      </c>
      <c r="Q547" s="152" t="s">
        <v>1551</v>
      </c>
      <c r="R547" s="154" t="s">
        <v>3622</v>
      </c>
      <c r="S547" s="154" t="s">
        <v>1553</v>
      </c>
      <c r="T547" s="155" t="s">
        <v>2797</v>
      </c>
      <c r="U547" s="152" t="str">
        <f aca="false">RIGHT(T547,7)</f>
        <v>009/037</v>
      </c>
      <c r="V547" s="152" t="s">
        <v>1555</v>
      </c>
      <c r="W547" s="156" t="n">
        <v>45882</v>
      </c>
      <c r="X547" s="152" t="s">
        <v>1594</v>
      </c>
      <c r="Y547" s="152" t="s">
        <v>3516</v>
      </c>
      <c r="Z547" s="152" t="s">
        <v>1557</v>
      </c>
      <c r="AA547" s="153" t="n">
        <v>3.5</v>
      </c>
      <c r="AB547" s="151" t="s">
        <v>3623</v>
      </c>
      <c r="AC547" s="151" t="s">
        <v>186</v>
      </c>
      <c r="AD547" s="151" t="str">
        <f aca="false">CONCATENATE($C547,$I547,$H547,$N547,$J547,$K547)</f>
        <v>TUBO PEADPEAD63VCAREDESZona05</v>
      </c>
      <c r="AE547" s="153" t="n">
        <f aca="false">IFERROR(INDEX(APOIO_REDES!$A:$W,MATCH($C547&amp;$I547&amp;$H547&amp;$N547&amp;$O547,APOIO_REDES!$W:$W,0),MATCH(AE$5,APOIO_REDES!$5:$5,0)),0)</f>
        <v>1.2</v>
      </c>
      <c r="AF547" s="153" t="n">
        <f aca="false">IFERROR(INDEX(APOIO_REDES!$A:$W,MATCH($C547&amp;$I547&amp;$H547&amp;$N547&amp;$O547,APOIO_REDES!$W:$W,0),MATCH(AF$5,APOIO_REDES!$5:$5,0)),0)</f>
        <v>1.363</v>
      </c>
      <c r="AG547" s="153" t="n">
        <f aca="false">IFERROR(INDEX(APOIO_REDES!$A:$W,MATCH($C547&amp;$I547&amp;$H547&amp;$N547&amp;$O547,APOIO_REDES!$W:$W,0),MATCH(AG$5,APOIO_REDES!$5:$5,0)),0)</f>
        <v>0.65</v>
      </c>
      <c r="AH547" s="153" t="n">
        <f aca="false">IFERROR(INDEX(APOIO_REDES!$A:$W,MATCH($C547&amp;$I547&amp;$H547&amp;$N547&amp;$O547,APOIO_REDES!$W:$W,0),MATCH(AH$5,APOIO_REDES!$5:$5,0)),0)</f>
        <v>0.1</v>
      </c>
      <c r="AI547" s="153" t="n">
        <f aca="false">IFERROR(IF($H547&lt;&gt;"",(((($H547/1000)/2)^2)*PI()*$M547),0),0)</f>
        <v>0.878564418318217</v>
      </c>
      <c r="AJ547" s="153" t="n">
        <f aca="false">IFERROR(IF(AND($H547&lt;&gt;"",$I547="FoFo",OR($N547="MND",$N547="VCA"),$Q547="LINEAR"),0,IF(AND($H547&lt;&gt;"",$I547="PEAD",$N547="VCA",$Q547="LINEAR"),($H547/1000)+0.3,IF(AND($H547&lt;&gt;"",$I547="PEAD",$N547="MND",$Q547="EMBOQUE"),0,IF(AND($H547&lt;&gt;"",$I547="PVC",$N547="VCA",$Q547="LINEAR"),($H547/1000)+0.2,IF(AND($H547&lt;&gt;"",$I547="PVC",$N547="MND",$Q547="EMBOQUE"),0,IF(AND($H547&lt;&gt;"",$I547="PEAD",$N547="VCA",$Q547="PREDIAL"),0,0)))))),0)</f>
        <v>0.363</v>
      </c>
      <c r="AK547" s="153" t="n">
        <f aca="false">IF(AA547&lt;&gt;"",AA547,0)</f>
        <v>3.5</v>
      </c>
      <c r="AL547" s="153" t="n">
        <f aca="false">IF(AND($N547="MND",$Q547="EMBOQUE"),$M547,IF(AND($N547="VCA",$Q547="LINEAR"),$M547,IF(AND($N547="VCA",$Q547="PREDIAL"),0,0)))</f>
        <v>281.84</v>
      </c>
      <c r="AM547" s="153" t="n">
        <f aca="false">IF(AND($N547="MND",$Q547="EMBOQUE"),$M547,IF(AND($N547="VCA",$Q547="LINEAR"),$M547,IF(AND($N547="VCA",$Q547="PREDIAL"),0,0)))</f>
        <v>281.84</v>
      </c>
      <c r="AN547" s="153" t="n">
        <f aca="false">ROUND(IF(AND($N547="VCA",$M547&lt;&gt;"",$Q547="LINEAR"),$M547/100,IF(AND($N547="MND",$M547&gt;100,$Q547="EMBOQUE"),$M547/100,0)),0)</f>
        <v>3</v>
      </c>
      <c r="AO547" s="153" t="n">
        <f aca="false">IF(AND($N547="MND",$Q547="EMBOQUE"),$AN547*2*2,IF(AND($N547="VCA",$Q547="LINEAR"),$M547*2,IF(AND($N547="VCA",$Q547="PREDIAL"),0,0)))</f>
        <v>563.68</v>
      </c>
      <c r="AP547" s="153" t="n">
        <f aca="false">IFERROR($M547*$AF547*$AG547,0)</f>
        <v>249.696148</v>
      </c>
      <c r="AQ547" s="153" t="n">
        <f aca="false">IFERROR(IF(AND($N547="VCA",$AH547&gt;0),$M547*$AG547*$AH547,0),0)</f>
        <v>18.3196</v>
      </c>
      <c r="AR547" s="153" t="n">
        <f aca="false">IFERROR(IF(AND($N547="VCA",$AJ547&gt;0),($M547*$AG547*$AJ547)-$AI547,0),0)</f>
        <v>65.6215835816818</v>
      </c>
      <c r="AS547" s="153" t="n">
        <f aca="false">IFERROR(IF(AND($N547="VCA",$AP547&gt;0),$AP547-$AI547-$AQ547-$AR547,0),0)</f>
        <v>164.8764</v>
      </c>
      <c r="AT547" s="153" t="n">
        <f aca="false">IFERROR(IF($N547="VCA",INDEX(APOIO_REDES!$A:$W,MATCH($C547&amp;$I547&amp;$H547&amp;$N547&amp;$O547,APOIO_REDES!$W:$W,0),MATCH(AT$5,APOIO_REDES!$5:$5,0)),0)*$AP547,0)</f>
        <v>2.71676799652727</v>
      </c>
      <c r="AU547" s="153" t="n">
        <f aca="false">IFERROR(IF($N547="VCA",INDEX(APOIO_REDES!$A:$W,MATCH($C547&amp;$I547&amp;$H547&amp;$N547&amp;$O547,APOIO_REDES!$W:$W,0),MATCH(AU$5,APOIO_REDES!$5:$5,0)),0)*$AP547,0)</f>
        <v>2.16953734261795</v>
      </c>
      <c r="AV547" s="153" t="n">
        <f aca="false">IFERROR(IF($N547="VCA",INDEX(APOIO_REDES!$A:$W,MATCH($C547&amp;$I547&amp;$H547&amp;$N547&amp;$O547,APOIO_REDES!$W:$W,0),MATCH(AV$5,APOIO_REDES!$5:$5,0)),0)*$AP547,0)</f>
        <v>0.300246936682412</v>
      </c>
      <c r="AW547" s="153" t="n">
        <f aca="false">IFERROR(IF($N547="VCA",INDEX(APOIO_REDES!$A:$W,MATCH($C547&amp;$I547&amp;$H547&amp;$N547&amp;$O547,APOIO_REDES!$W:$W,0),MATCH(AW$5,APOIO_REDES!$5:$5,0)),0)*$AP547,0)</f>
        <v>171.393370727365</v>
      </c>
      <c r="AX547" s="153" t="n">
        <f aca="false">IFERROR(IF($N547="VCA",INDEX(APOIO_REDES!$A:$W,MATCH($C547&amp;$I547&amp;$H547&amp;$N547&amp;$O547,APOIO_REDES!$W:$W,0),MATCH(AX$5,APOIO_REDES!$5:$5,0)),0)*$AP547,0)</f>
        <v>23.7203542854093</v>
      </c>
      <c r="AY547" s="153" t="n">
        <f aca="false">IFERROR(IF($N547="VCA",INDEX(APOIO_REDES!$A:$W,MATCH($C547&amp;$I547&amp;$H547&amp;$N547&amp;$O547,APOIO_REDES!$W:$W,0),MATCH(AY$5,APOIO_REDES!$5:$5,0)),0)*$AP547,0)</f>
        <v>43.3907204058747</v>
      </c>
      <c r="AZ547" s="153" t="n">
        <f aca="false">IFERROR(IF($N547="VCA",INDEX(APOIO_REDES!$A:$W,MATCH($C547&amp;$I547&amp;$H547&amp;$N547&amp;$O547,APOIO_REDES!$W:$W,0),MATCH(AZ$5,APOIO_REDES!$5:$5,0)),0)*$AP547,0)</f>
        <v>6.00515030552293</v>
      </c>
      <c r="BA547" s="153" t="n">
        <f aca="false">IFERROR(IF(AND($N547="VCA",$Q547="LINEAR"),INDEX(APOIO_REDES!$A:$W,MATCH($C547&amp;$I547&amp;$H547&amp;$N547&amp;$O547,APOIO_REDES!$W:$W,0),MATCH(BA$5,APOIO_REDES!$5:$5,0)),IF(AND($N547="MND",$Q547="EMBOQUE"),INDEX(APOIO_REDES!$A:$W,MATCH($C547&amp;$I547&amp;$H547&amp;$N547&amp;$O547,APOIO_REDES!$W:$W,0),MATCH(BA$5,APOIO_REDES!$5:$5,0)),0))*$M547/10,0)</f>
        <v>22.7155930810853</v>
      </c>
      <c r="BB547" s="153" t="n">
        <f aca="false">IFERROR(IF($N547="VCA",INDEX(APOIO_REDES!$A:$W,MATCH($C547&amp;$I547&amp;$H547&amp;$N547&amp;$O547,APOIO_REDES!$W:$W,0),MATCH(BB$5,APOIO_REDES!$5:$5,0)),0)*($AI547+$AQ547+$AR547),0)</f>
        <v>83.8968840363961</v>
      </c>
      <c r="BC547" s="153" t="n">
        <f aca="false">IFERROR(IF($N547="VCA",INDEX(APOIO_REDES!$A:$W,MATCH($C547&amp;$I547&amp;$H547&amp;$N547&amp;$O547,APOIO_REDES!$W:$W,0),MATCH(BC$5,APOIO_REDES!$5:$5,0)),0)*($AI547+$AQ547+$AR547),0)</f>
        <v>0.922863963603907</v>
      </c>
      <c r="BD547" s="153" t="n">
        <f aca="false">IF(AND($N547="VCA",$AF547&gt;=1.25,$AF547&lt;1.5),$M547*$AF547*2,0)</f>
        <v>768.29584</v>
      </c>
      <c r="BE547" s="153" t="n">
        <f aca="false">IF(AND($N547="VCA",$AF547&gt;=1.5,$AF547&lt;3),$M547*$AF547*2,0)</f>
        <v>0</v>
      </c>
      <c r="BF547" s="153" t="n">
        <f aca="false">IF(AND($N547="VCA",$AF547&gt;=3),$M547*$AF547*2,0)</f>
        <v>0</v>
      </c>
      <c r="BG547" s="153" t="n">
        <f aca="false">($BB547+$BC547)*$AK547</f>
        <v>296.869118</v>
      </c>
      <c r="BH547" s="153" t="n">
        <f aca="false">IF(AND($M547&lt;&gt;"",$N547="VCA",$Q547="LINEAR"),($M547*2)/100,IF(AND($M547&lt;&gt;"",$N547="MND",$Q547="EMBOQUE"),($AN547*2)/100,0))</f>
        <v>5.6368</v>
      </c>
      <c r="BI547" s="153" t="n">
        <f aca="false">IF(AND($M547&lt;&gt;"",$N547="VCA",$Q547="LINEAR"),$M547,IF(AND($M547&lt;&gt;"",$N547="MND",$Q547="EMBOQUE"),$AN547*2,0))</f>
        <v>281.84</v>
      </c>
      <c r="BJ547" s="153" t="n">
        <f aca="false">IF(AND($M547&lt;&gt;"",$N547="VCA",$Q547="LINEAR"),($M547*6.8)/100,IF(AND($M547&lt;&gt;"",$N547="MND",$Q547="EMBOQUE"),($AN547*2*6.8)/100,0))</f>
        <v>19.16512</v>
      </c>
      <c r="BK547" s="153" t="n">
        <f aca="false">IF(AND($M547&lt;&gt;"",$N547="VCA",$Q547="LINEAR"),($M547*2.5)/50,IF(AND($M547&lt;&gt;"",$N547="MND",$Q547="EMBOQUE"),($AN547*2*2.5)/50,0))</f>
        <v>14.092</v>
      </c>
      <c r="BL547" s="157" t="str">
        <f aca="false">K547&amp;J547</f>
        <v>Zona05REDES</v>
      </c>
      <c r="BM547" s="152" t="s">
        <v>3356</v>
      </c>
      <c r="BN547" s="152" t="s">
        <v>1560</v>
      </c>
      <c r="BO547" s="152" t="s">
        <v>2800</v>
      </c>
      <c r="BP547" s="152" t="s">
        <v>3522</v>
      </c>
      <c r="BQ547" s="152" t="s">
        <v>2032</v>
      </c>
      <c r="BR547" s="152" t="s">
        <v>3624</v>
      </c>
      <c r="BS547" s="152" t="n">
        <v>203403.411</v>
      </c>
      <c r="BT547" s="152" t="n">
        <v>8237642.596</v>
      </c>
      <c r="BU547" s="152" t="n">
        <v>203267.706</v>
      </c>
      <c r="BV547" s="152" t="n">
        <v>8237395.831</v>
      </c>
      <c r="BW547" s="152" t="n">
        <v>-15.9238551</v>
      </c>
      <c r="BX547" s="152" t="n">
        <v>-47.770794</v>
      </c>
      <c r="BY547" s="152" t="s">
        <v>3522</v>
      </c>
    </row>
    <row r="548" customFormat="false" ht="13.8" hidden="false" customHeight="false" outlineLevel="0" collapsed="false">
      <c r="A548" s="149" t="n">
        <f aca="false">IF(C548&lt;&gt;"",ROW(A543),"")</f>
        <v>543</v>
      </c>
      <c r="B548" s="150" t="str">
        <f aca="false">HYPERLINK("https://www.google.com/maps/dir/-15.917302,-47.760003/-15.9239785,-47.7699404/data=!4m3!4m2!3e0!5i2")</f>
        <v>https://www.google.com/maps/dir/-15.917302,-47.760003/-15.9239785,-47.7699404/data=!4m3!4m2!3e0!5i2</v>
      </c>
      <c r="C548" s="151" t="s">
        <v>117</v>
      </c>
      <c r="D548" s="152" t="s">
        <v>112</v>
      </c>
      <c r="E548" s="152" t="s">
        <v>113</v>
      </c>
      <c r="F548" s="152" t="s">
        <v>117</v>
      </c>
      <c r="G548" s="152" t="s">
        <v>782</v>
      </c>
      <c r="H548" s="152" t="n">
        <v>63</v>
      </c>
      <c r="I548" s="152" t="s">
        <v>115</v>
      </c>
      <c r="J548" s="152" t="s">
        <v>6</v>
      </c>
      <c r="K548" s="152" t="s">
        <v>3352</v>
      </c>
      <c r="L548" s="152" t="s">
        <v>120</v>
      </c>
      <c r="M548" s="153" t="n">
        <f aca="false">42.98</f>
        <v>42.98</v>
      </c>
      <c r="N548" s="152" t="s">
        <v>1548</v>
      </c>
      <c r="O548" s="152" t="s">
        <v>1549</v>
      </c>
      <c r="P548" s="152" t="s">
        <v>1550</v>
      </c>
      <c r="Q548" s="152" t="s">
        <v>1551</v>
      </c>
      <c r="R548" s="154" t="s">
        <v>3625</v>
      </c>
      <c r="S548" s="154" t="s">
        <v>1553</v>
      </c>
      <c r="T548" s="155" t="s">
        <v>2797</v>
      </c>
      <c r="U548" s="152" t="str">
        <f aca="false">RIGHT(T548,7)</f>
        <v>009/037</v>
      </c>
      <c r="V548" s="152" t="s">
        <v>1555</v>
      </c>
      <c r="W548" s="156" t="n">
        <v>45882</v>
      </c>
      <c r="X548" s="152" t="s">
        <v>1594</v>
      </c>
      <c r="Y548" s="152" t="s">
        <v>3590</v>
      </c>
      <c r="Z548" s="152" t="s">
        <v>1557</v>
      </c>
      <c r="AA548" s="153" t="n">
        <v>3.7</v>
      </c>
      <c r="AB548" s="151" t="s">
        <v>3626</v>
      </c>
      <c r="AC548" s="151" t="s">
        <v>186</v>
      </c>
      <c r="AD548" s="151" t="str">
        <f aca="false">CONCATENATE($C548,$I548,$H548,$N548,$J548,$K548)</f>
        <v>TUBO PEADPEAD63VCAREDESZona05</v>
      </c>
      <c r="AE548" s="153" t="n">
        <f aca="false">IFERROR(INDEX(APOIO_REDES!$A:$W,MATCH($C548&amp;$I548&amp;$H548&amp;$N548&amp;$O548,APOIO_REDES!$W:$W,0),MATCH(AE$5,APOIO_REDES!$5:$5,0)),0)</f>
        <v>1.2</v>
      </c>
      <c r="AF548" s="153" t="n">
        <f aca="false">IFERROR(INDEX(APOIO_REDES!$A:$W,MATCH($C548&amp;$I548&amp;$H548&amp;$N548&amp;$O548,APOIO_REDES!$W:$W,0),MATCH(AF$5,APOIO_REDES!$5:$5,0)),0)</f>
        <v>1.363</v>
      </c>
      <c r="AG548" s="153" t="n">
        <f aca="false">IFERROR(INDEX(APOIO_REDES!$A:$W,MATCH($C548&amp;$I548&amp;$H548&amp;$N548&amp;$O548,APOIO_REDES!$W:$W,0),MATCH(AG$5,APOIO_REDES!$5:$5,0)),0)</f>
        <v>0.65</v>
      </c>
      <c r="AH548" s="153" t="n">
        <f aca="false">IFERROR(INDEX(APOIO_REDES!$A:$W,MATCH($C548&amp;$I548&amp;$H548&amp;$N548&amp;$O548,APOIO_REDES!$W:$W,0),MATCH(AH$5,APOIO_REDES!$5:$5,0)),0)</f>
        <v>0.1</v>
      </c>
      <c r="AI548" s="153" t="n">
        <f aca="false">IFERROR(IF($H548&lt;&gt;"",(((($H548/1000)/2)^2)*PI()*$M548),0),0)</f>
        <v>0.133979203446342</v>
      </c>
      <c r="AJ548" s="153" t="n">
        <f aca="false">IFERROR(IF(AND($H548&lt;&gt;"",$I548="FoFo",OR($N548="MND",$N548="VCA"),$Q548="LINEAR"),0,IF(AND($H548&lt;&gt;"",$I548="PEAD",$N548="VCA",$Q548="LINEAR"),($H548/1000)+0.3,IF(AND($H548&lt;&gt;"",$I548="PEAD",$N548="MND",$Q548="EMBOQUE"),0,IF(AND($H548&lt;&gt;"",$I548="PVC",$N548="VCA",$Q548="LINEAR"),($H548/1000)+0.2,IF(AND($H548&lt;&gt;"",$I548="PVC",$N548="MND",$Q548="EMBOQUE"),0,IF(AND($H548&lt;&gt;"",$I548="PEAD",$N548="VCA",$Q548="PREDIAL"),0,0)))))),0)</f>
        <v>0.363</v>
      </c>
      <c r="AK548" s="153" t="n">
        <f aca="false">IF(AA548&lt;&gt;"",AA548,0)</f>
        <v>3.7</v>
      </c>
      <c r="AL548" s="153" t="n">
        <f aca="false">IF(AND($N548="MND",$Q548="EMBOQUE"),$M548,IF(AND($N548="VCA",$Q548="LINEAR"),$M548,IF(AND($N548="VCA",$Q548="PREDIAL"),0,0)))</f>
        <v>42.98</v>
      </c>
      <c r="AM548" s="153" t="n">
        <f aca="false">IF(AND($N548="MND",$Q548="EMBOQUE"),$M548,IF(AND($N548="VCA",$Q548="LINEAR"),$M548,IF(AND($N548="VCA",$Q548="PREDIAL"),0,0)))</f>
        <v>42.98</v>
      </c>
      <c r="AN548" s="153" t="n">
        <f aca="false">ROUND(IF(AND($N548="VCA",$M548&lt;&gt;"",$Q548="LINEAR"),$M548/100,IF(AND($N548="MND",$M548&gt;100,$Q548="EMBOQUE"),$M548/100,0)),0)</f>
        <v>0</v>
      </c>
      <c r="AO548" s="153" t="n">
        <f aca="false">IF(AND($N548="MND",$Q548="EMBOQUE"),$AN548*2*2,IF(AND($N548="VCA",$Q548="LINEAR"),$M548*2,IF(AND($N548="VCA",$Q548="PREDIAL"),0,0)))</f>
        <v>85.96</v>
      </c>
      <c r="AP548" s="153" t="n">
        <f aca="false">IFERROR($M548*$AF548*$AG548,0)</f>
        <v>38.078131</v>
      </c>
      <c r="AQ548" s="153" t="n">
        <f aca="false">IFERROR(IF(AND($N548="VCA",$AH548&gt;0),$M548*$AG548*$AH548,0),0)</f>
        <v>2.7937</v>
      </c>
      <c r="AR548" s="153" t="n">
        <f aca="false">IFERROR(IF(AND($N548="VCA",$AJ548&gt;0),($M548*$AG548*$AJ548)-$AI548,0),0)</f>
        <v>10.0071517965537</v>
      </c>
      <c r="AS548" s="153" t="n">
        <f aca="false">IFERROR(IF(AND($N548="VCA",$AP548&gt;0),$AP548-$AI548-$AQ548-$AR548,0),0)</f>
        <v>25.1433</v>
      </c>
      <c r="AT548" s="153" t="n">
        <f aca="false">IFERROR(IF($N548="VCA",INDEX(APOIO_REDES!$A:$W,MATCH($C548&amp;$I548&amp;$H548&amp;$N548&amp;$O548,APOIO_REDES!$W:$W,0),MATCH(AT$5,APOIO_REDES!$5:$5,0)),0)*$AP548,0)</f>
        <v>0.414301335831472</v>
      </c>
      <c r="AU548" s="153" t="n">
        <f aca="false">IFERROR(IF($N548="VCA",INDEX(APOIO_REDES!$A:$W,MATCH($C548&amp;$I548&amp;$H548&amp;$N548&amp;$O548,APOIO_REDES!$W:$W,0),MATCH(AU$5,APOIO_REDES!$5:$5,0)),0)*$AP548,0)</f>
        <v>0.330849826091824</v>
      </c>
      <c r="AV548" s="153" t="n">
        <f aca="false">IFERROR(IF($N548="VCA",INDEX(APOIO_REDES!$A:$W,MATCH($C548&amp;$I548&amp;$H548&amp;$N548&amp;$O548,APOIO_REDES!$W:$W,0),MATCH(AV$5,APOIO_REDES!$5:$5,0)),0)*$AP548,0)</f>
        <v>0.0457870186581396</v>
      </c>
      <c r="AW548" s="153" t="n">
        <f aca="false">IFERROR(IF($N548="VCA",INDEX(APOIO_REDES!$A:$W,MATCH($C548&amp;$I548&amp;$H548&amp;$N548&amp;$O548,APOIO_REDES!$W:$W,0),MATCH(AW$5,APOIO_REDES!$5:$5,0)),0)*$AP548,0)</f>
        <v>26.1371241621564</v>
      </c>
      <c r="AX548" s="153" t="n">
        <f aca="false">IFERROR(IF($N548="VCA",INDEX(APOIO_REDES!$A:$W,MATCH($C548&amp;$I548&amp;$H548&amp;$N548&amp;$O548,APOIO_REDES!$W:$W,0),MATCH(AX$5,APOIO_REDES!$5:$5,0)),0)*$AP548,0)</f>
        <v>3.61730353103496</v>
      </c>
      <c r="AY548" s="153" t="n">
        <f aca="false">IFERROR(IF($N548="VCA",INDEX(APOIO_REDES!$A:$W,MATCH($C548&amp;$I548&amp;$H548&amp;$N548&amp;$O548,APOIO_REDES!$W:$W,0),MATCH(AY$5,APOIO_REDES!$5:$5,0)),0)*$AP548,0)</f>
        <v>6.61699248880392</v>
      </c>
      <c r="AZ548" s="153" t="n">
        <f aca="false">IFERROR(IF($N548="VCA",INDEX(APOIO_REDES!$A:$W,MATCH($C548&amp;$I548&amp;$H548&amp;$N548&amp;$O548,APOIO_REDES!$W:$W,0),MATCH(AZ$5,APOIO_REDES!$5:$5,0)),0)*$AP548,0)</f>
        <v>0.915772637423274</v>
      </c>
      <c r="BA548" s="153" t="n">
        <f aca="false">IFERROR(IF(AND($N548="VCA",$Q548="LINEAR"),INDEX(APOIO_REDES!$A:$W,MATCH($C548&amp;$I548&amp;$H548&amp;$N548&amp;$O548,APOIO_REDES!$W:$W,0),MATCH(BA$5,APOIO_REDES!$5:$5,0)),IF(AND($N548="MND",$Q548="EMBOQUE"),INDEX(APOIO_REDES!$A:$W,MATCH($C548&amp;$I548&amp;$H548&amp;$N548&amp;$O548,APOIO_REDES!$W:$W,0),MATCH(BA$5,APOIO_REDES!$5:$5,0)),0))*$M548/10,0)</f>
        <v>3.46407958637896</v>
      </c>
      <c r="BB548" s="153" t="n">
        <f aca="false">IFERROR(IF($N548="VCA",INDEX(APOIO_REDES!$A:$W,MATCH($C548&amp;$I548&amp;$H548&amp;$N548&amp;$O548,APOIO_REDES!$W:$W,0),MATCH(BB$5,APOIO_REDES!$5:$5,0)),0)*($AI548+$AQ548+$AR548),0)</f>
        <v>12.7940962102055</v>
      </c>
      <c r="BC548" s="153" t="n">
        <f aca="false">IFERROR(IF($N548="VCA",INDEX(APOIO_REDES!$A:$W,MATCH($C548&amp;$I548&amp;$H548&amp;$N548&amp;$O548,APOIO_REDES!$W:$W,0),MATCH(BC$5,APOIO_REDES!$5:$5,0)),0)*($AI548+$AQ548+$AR548),0)</f>
        <v>0.14073478979455</v>
      </c>
      <c r="BD548" s="153" t="n">
        <f aca="false">IF(AND($N548="VCA",$AF548&gt;=1.25,$AF548&lt;1.5),$M548*$AF548*2,0)</f>
        <v>117.16348</v>
      </c>
      <c r="BE548" s="153" t="n">
        <f aca="false">IF(AND($N548="VCA",$AF548&gt;=1.5,$AF548&lt;3),$M548*$AF548*2,0)</f>
        <v>0</v>
      </c>
      <c r="BF548" s="153" t="n">
        <f aca="false">IF(AND($N548="VCA",$AF548&gt;=3),$M548*$AF548*2,0)</f>
        <v>0</v>
      </c>
      <c r="BG548" s="153" t="n">
        <f aca="false">($BB548+$BC548)*$AK548</f>
        <v>47.8588747</v>
      </c>
      <c r="BH548" s="153" t="n">
        <f aca="false">IF(AND($M548&lt;&gt;"",$N548="VCA",$Q548="LINEAR"),($M548*2)/100,IF(AND($M548&lt;&gt;"",$N548="MND",$Q548="EMBOQUE"),($AN548*2)/100,0))</f>
        <v>0.8596</v>
      </c>
      <c r="BI548" s="153" t="n">
        <f aca="false">IF(AND($M548&lt;&gt;"",$N548="VCA",$Q548="LINEAR"),$M548,IF(AND($M548&lt;&gt;"",$N548="MND",$Q548="EMBOQUE"),$AN548*2,0))</f>
        <v>42.98</v>
      </c>
      <c r="BJ548" s="153" t="n">
        <f aca="false">IF(AND($M548&lt;&gt;"",$N548="VCA",$Q548="LINEAR"),($M548*6.8)/100,IF(AND($M548&lt;&gt;"",$N548="MND",$Q548="EMBOQUE"),($AN548*2*6.8)/100,0))</f>
        <v>2.92264</v>
      </c>
      <c r="BK548" s="153" t="n">
        <f aca="false">IF(AND($M548&lt;&gt;"",$N548="VCA",$Q548="LINEAR"),($M548*2.5)/50,IF(AND($M548&lt;&gt;"",$N548="MND",$Q548="EMBOQUE"),($AN548*2*2.5)/50,0))</f>
        <v>2.149</v>
      </c>
      <c r="BL548" s="157" t="str">
        <f aca="false">K548&amp;J548</f>
        <v>Zona05REDES</v>
      </c>
      <c r="BM548" s="152" t="s">
        <v>3356</v>
      </c>
      <c r="BN548" s="152" t="s">
        <v>1560</v>
      </c>
      <c r="BO548" s="152" t="s">
        <v>2800</v>
      </c>
      <c r="BP548" s="152" t="s">
        <v>3592</v>
      </c>
      <c r="BQ548" s="152" t="s">
        <v>3579</v>
      </c>
      <c r="BR548" s="152" t="s">
        <v>3627</v>
      </c>
      <c r="BS548" s="152" t="n">
        <v>203429.122</v>
      </c>
      <c r="BT548" s="152" t="n">
        <v>8237505.714</v>
      </c>
      <c r="BU548" s="152" t="n">
        <v>203392.316</v>
      </c>
      <c r="BV548" s="152" t="n">
        <v>8237527.892</v>
      </c>
      <c r="BW548" s="152" t="n">
        <v>-15.9238781</v>
      </c>
      <c r="BX548" s="152" t="n">
        <v>-47.770112</v>
      </c>
      <c r="BY548" s="152" t="s">
        <v>3592</v>
      </c>
    </row>
    <row r="549" customFormat="false" ht="13.8" hidden="false" customHeight="false" outlineLevel="0" collapsed="false">
      <c r="A549" s="149" t="n">
        <f aca="false">IF(C549&lt;&gt;"",ROW(A544),"")</f>
        <v>544</v>
      </c>
      <c r="B549" s="150" t="str">
        <f aca="false">HYPERLINK("https://www.google.com/maps/dir/-15.917302,-47.760003/-15.9234738,-47.7679782/data=!4m3!4m2!3e0!5i2")</f>
        <v>https://www.google.com/maps/dir/-15.917302,-47.760003/-15.9234738,-47.7679782/data=!4m3!4m2!3e0!5i2</v>
      </c>
      <c r="C549" s="151" t="s">
        <v>117</v>
      </c>
      <c r="D549" s="152" t="s">
        <v>112</v>
      </c>
      <c r="E549" s="152" t="s">
        <v>113</v>
      </c>
      <c r="F549" s="152" t="s">
        <v>117</v>
      </c>
      <c r="G549" s="152" t="s">
        <v>782</v>
      </c>
      <c r="H549" s="152" t="n">
        <v>63</v>
      </c>
      <c r="I549" s="152" t="s">
        <v>115</v>
      </c>
      <c r="J549" s="152" t="s">
        <v>6</v>
      </c>
      <c r="K549" s="152" t="s">
        <v>3352</v>
      </c>
      <c r="L549" s="152" t="s">
        <v>120</v>
      </c>
      <c r="M549" s="153" t="n">
        <f aca="false">129.89+2.05</f>
        <v>131.94</v>
      </c>
      <c r="N549" s="152" t="s">
        <v>1548</v>
      </c>
      <c r="O549" s="152" t="s">
        <v>1549</v>
      </c>
      <c r="P549" s="152" t="s">
        <v>1550</v>
      </c>
      <c r="Q549" s="152" t="s">
        <v>1551</v>
      </c>
      <c r="R549" s="154" t="s">
        <v>3628</v>
      </c>
      <c r="S549" s="154" t="s">
        <v>1553</v>
      </c>
      <c r="T549" s="155" t="s">
        <v>2797</v>
      </c>
      <c r="U549" s="152" t="str">
        <f aca="false">RIGHT(T549,7)</f>
        <v>009/037</v>
      </c>
      <c r="V549" s="152" t="s">
        <v>1555</v>
      </c>
      <c r="W549" s="156" t="n">
        <v>45882</v>
      </c>
      <c r="X549" s="152" t="s">
        <v>1594</v>
      </c>
      <c r="Y549" s="152" t="s">
        <v>3540</v>
      </c>
      <c r="Z549" s="152" t="s">
        <v>1557</v>
      </c>
      <c r="AA549" s="153" t="n">
        <v>3.7</v>
      </c>
      <c r="AB549" s="151" t="s">
        <v>3629</v>
      </c>
      <c r="AC549" s="151" t="s">
        <v>186</v>
      </c>
      <c r="AD549" s="151" t="str">
        <f aca="false">CONCATENATE($C549,$I549,$H549,$N549,$J549,$K549)</f>
        <v>TUBO PEADPEAD63VCAREDESZona05</v>
      </c>
      <c r="AE549" s="153" t="n">
        <f aca="false">IFERROR(INDEX(APOIO_REDES!$A:$W,MATCH($C549&amp;$I549&amp;$H549&amp;$N549&amp;$O549,APOIO_REDES!$W:$W,0),MATCH(AE$5,APOIO_REDES!$5:$5,0)),0)</f>
        <v>1.2</v>
      </c>
      <c r="AF549" s="153" t="n">
        <f aca="false">IFERROR(INDEX(APOIO_REDES!$A:$W,MATCH($C549&amp;$I549&amp;$H549&amp;$N549&amp;$O549,APOIO_REDES!$W:$W,0),MATCH(AF$5,APOIO_REDES!$5:$5,0)),0)</f>
        <v>1.363</v>
      </c>
      <c r="AG549" s="153" t="n">
        <f aca="false">IFERROR(INDEX(APOIO_REDES!$A:$W,MATCH($C549&amp;$I549&amp;$H549&amp;$N549&amp;$O549,APOIO_REDES!$W:$W,0),MATCH(AG$5,APOIO_REDES!$5:$5,0)),0)</f>
        <v>0.65</v>
      </c>
      <c r="AH549" s="153" t="n">
        <f aca="false">IFERROR(INDEX(APOIO_REDES!$A:$W,MATCH($C549&amp;$I549&amp;$H549&amp;$N549&amp;$O549,APOIO_REDES!$W:$W,0),MATCH(AH$5,APOIO_REDES!$5:$5,0)),0)</f>
        <v>0.1</v>
      </c>
      <c r="AI549" s="153" t="n">
        <f aca="false">IFERROR(IF($H549&lt;&gt;"",(((($H549/1000)/2)^2)*PI()*$M549),0),0)</f>
        <v>0.411289346270599</v>
      </c>
      <c r="AJ549" s="153" t="n">
        <f aca="false">IFERROR(IF(AND($H549&lt;&gt;"",$I549="FoFo",OR($N549="MND",$N549="VCA"),$Q549="LINEAR"),0,IF(AND($H549&lt;&gt;"",$I549="PEAD",$N549="VCA",$Q549="LINEAR"),($H549/1000)+0.3,IF(AND($H549&lt;&gt;"",$I549="PEAD",$N549="MND",$Q549="EMBOQUE"),0,IF(AND($H549&lt;&gt;"",$I549="PVC",$N549="VCA",$Q549="LINEAR"),($H549/1000)+0.2,IF(AND($H549&lt;&gt;"",$I549="PVC",$N549="MND",$Q549="EMBOQUE"),0,IF(AND($H549&lt;&gt;"",$I549="PEAD",$N549="VCA",$Q549="PREDIAL"),0,0)))))),0)</f>
        <v>0.363</v>
      </c>
      <c r="AK549" s="153" t="n">
        <f aca="false">IF(AA549&lt;&gt;"",AA549,0)</f>
        <v>3.7</v>
      </c>
      <c r="AL549" s="153" t="n">
        <f aca="false">IF(AND($N549="MND",$Q549="EMBOQUE"),$M549,IF(AND($N549="VCA",$Q549="LINEAR"),$M549,IF(AND($N549="VCA",$Q549="PREDIAL"),0,0)))</f>
        <v>131.94</v>
      </c>
      <c r="AM549" s="153" t="n">
        <f aca="false">IF(AND($N549="MND",$Q549="EMBOQUE"),$M549,IF(AND($N549="VCA",$Q549="LINEAR"),$M549,IF(AND($N549="VCA",$Q549="PREDIAL"),0,0)))</f>
        <v>131.94</v>
      </c>
      <c r="AN549" s="153" t="n">
        <f aca="false">ROUND(IF(AND($N549="VCA",$M549&lt;&gt;"",$Q549="LINEAR"),$M549/100,IF(AND($N549="MND",$M549&gt;100,$Q549="EMBOQUE"),$M549/100,0)),0)</f>
        <v>1</v>
      </c>
      <c r="AO549" s="153" t="n">
        <f aca="false">IF(AND($N549="MND",$Q549="EMBOQUE"),$AN549*2*2,IF(AND($N549="VCA",$Q549="LINEAR"),$M549*2,IF(AND($N549="VCA",$Q549="PREDIAL"),0,0)))</f>
        <v>263.88</v>
      </c>
      <c r="AP549" s="153" t="n">
        <f aca="false">IFERROR($M549*$AF549*$AG549,0)</f>
        <v>116.892243</v>
      </c>
      <c r="AQ549" s="153" t="n">
        <f aca="false">IFERROR(IF(AND($N549="VCA",$AH549&gt;0),$M549*$AG549*$AH549,0),0)</f>
        <v>8.5761</v>
      </c>
      <c r="AR549" s="153" t="n">
        <f aca="false">IFERROR(IF(AND($N549="VCA",$AJ549&gt;0),($M549*$AG549*$AJ549)-$AI549,0),0)</f>
        <v>30.7199536537294</v>
      </c>
      <c r="AS549" s="153" t="n">
        <f aca="false">IFERROR(IF(AND($N549="VCA",$AP549&gt;0),$AP549-$AI549-$AQ549-$AR549,0),0)</f>
        <v>77.1849</v>
      </c>
      <c r="AT549" s="153" t="n">
        <f aca="false">IFERROR(IF($N549="VCA",INDEX(APOIO_REDES!$A:$W,MATCH($C549&amp;$I549&amp;$H549&amp;$N549&amp;$O549,APOIO_REDES!$W:$W,0),MATCH(AT$5,APOIO_REDES!$5:$5,0)),0)*$AP549,0)</f>
        <v>1.27182220217786</v>
      </c>
      <c r="AU549" s="153" t="n">
        <f aca="false">IFERROR(IF($N549="VCA",INDEX(APOIO_REDES!$A:$W,MATCH($C549&amp;$I549&amp;$H549&amp;$N549&amp;$O549,APOIO_REDES!$W:$W,0),MATCH(AU$5,APOIO_REDES!$5:$5,0)),0)*$AP549,0)</f>
        <v>1.01564276534563</v>
      </c>
      <c r="AV549" s="153" t="n">
        <f aca="false">IFERROR(IF($N549="VCA",INDEX(APOIO_REDES!$A:$W,MATCH($C549&amp;$I549&amp;$H549&amp;$N549&amp;$O549,APOIO_REDES!$W:$W,0),MATCH(AV$5,APOIO_REDES!$5:$5,0)),0)*$AP549,0)</f>
        <v>0.140556985615517</v>
      </c>
      <c r="AW549" s="153" t="n">
        <f aca="false">IFERROR(IF($N549="VCA",INDEX(APOIO_REDES!$A:$W,MATCH($C549&amp;$I549&amp;$H549&amp;$N549&amp;$O549,APOIO_REDES!$W:$W,0),MATCH(AW$5,APOIO_REDES!$5:$5,0)),0)*$AP549,0)</f>
        <v>80.235741320496</v>
      </c>
      <c r="AX549" s="153" t="n">
        <f aca="false">IFERROR(IF($N549="VCA",INDEX(APOIO_REDES!$A:$W,MATCH($C549&amp;$I549&amp;$H549&amp;$N549&amp;$O549,APOIO_REDES!$W:$W,0),MATCH(AX$5,APOIO_REDES!$5:$5,0)),0)*$AP549,0)</f>
        <v>11.1043980429212</v>
      </c>
      <c r="AY549" s="153" t="n">
        <f aca="false">IFERROR(IF($N549="VCA",INDEX(APOIO_REDES!$A:$W,MATCH($C549&amp;$I549&amp;$H549&amp;$N549&amp;$O549,APOIO_REDES!$W:$W,0),MATCH(AY$5,APOIO_REDES!$5:$5,0)),0)*$AP549,0)</f>
        <v>20.3128429263097</v>
      </c>
      <c r="AZ549" s="153" t="n">
        <f aca="false">IFERROR(IF($N549="VCA",INDEX(APOIO_REDES!$A:$W,MATCH($C549&amp;$I549&amp;$H549&amp;$N549&amp;$O549,APOIO_REDES!$W:$W,0),MATCH(AZ$5,APOIO_REDES!$5:$5,0)),0)*$AP549,0)</f>
        <v>2.81123875713417</v>
      </c>
      <c r="BA549" s="153" t="n">
        <f aca="false">IFERROR(IF(AND($N549="VCA",$Q549="LINEAR"),INDEX(APOIO_REDES!$A:$W,MATCH($C549&amp;$I549&amp;$H549&amp;$N549&amp;$O549,APOIO_REDES!$W:$W,0),MATCH(BA$5,APOIO_REDES!$5:$5,0)),IF(AND($N549="MND",$Q549="EMBOQUE"),INDEX(APOIO_REDES!$A:$W,MATCH($C549&amp;$I549&amp;$H549&amp;$N549&amp;$O549,APOIO_REDES!$W:$W,0),MATCH(BA$5,APOIO_REDES!$5:$5,0)),0))*$M549/10,0)</f>
        <v>10.6340311918762</v>
      </c>
      <c r="BB549" s="153" t="n">
        <f aca="false">IFERROR(IF($N549="VCA",INDEX(APOIO_REDES!$A:$W,MATCH($C549&amp;$I549&amp;$H549&amp;$N549&amp;$O549,APOIO_REDES!$W:$W,0),MATCH(BB$5,APOIO_REDES!$5:$5,0)),0)*($AI549+$AQ549+$AR549),0)</f>
        <v>39.2753153553864</v>
      </c>
      <c r="BC549" s="153" t="n">
        <f aca="false">IFERROR(IF($N549="VCA",INDEX(APOIO_REDES!$A:$W,MATCH($C549&amp;$I549&amp;$H549&amp;$N549&amp;$O549,APOIO_REDES!$W:$W,0),MATCH(BC$5,APOIO_REDES!$5:$5,0)),0)*($AI549+$AQ549+$AR549),0)</f>
        <v>0.432027644613609</v>
      </c>
      <c r="BD549" s="153" t="n">
        <f aca="false">IF(AND($N549="VCA",$AF549&gt;=1.25,$AF549&lt;1.5),$M549*$AF549*2,0)</f>
        <v>359.66844</v>
      </c>
      <c r="BE549" s="153" t="n">
        <f aca="false">IF(AND($N549="VCA",$AF549&gt;=1.5,$AF549&lt;3),$M549*$AF549*2,0)</f>
        <v>0</v>
      </c>
      <c r="BF549" s="153" t="n">
        <f aca="false">IF(AND($N549="VCA",$AF549&gt;=3),$M549*$AF549*2,0)</f>
        <v>0</v>
      </c>
      <c r="BG549" s="153" t="n">
        <f aca="false">($BB549+$BC549)*$AK549</f>
        <v>146.9171691</v>
      </c>
      <c r="BH549" s="153" t="n">
        <f aca="false">IF(AND($M549&lt;&gt;"",$N549="VCA",$Q549="LINEAR"),($M549*2)/100,IF(AND($M549&lt;&gt;"",$N549="MND",$Q549="EMBOQUE"),($AN549*2)/100,0))</f>
        <v>2.6388</v>
      </c>
      <c r="BI549" s="153" t="n">
        <f aca="false">IF(AND($M549&lt;&gt;"",$N549="VCA",$Q549="LINEAR"),$M549,IF(AND($M549&lt;&gt;"",$N549="MND",$Q549="EMBOQUE"),$AN549*2,0))</f>
        <v>131.94</v>
      </c>
      <c r="BJ549" s="153" t="n">
        <f aca="false">IF(AND($M549&lt;&gt;"",$N549="VCA",$Q549="LINEAR"),($M549*6.8)/100,IF(AND($M549&lt;&gt;"",$N549="MND",$Q549="EMBOQUE"),($AN549*2*6.8)/100,0))</f>
        <v>8.97192</v>
      </c>
      <c r="BK549" s="153" t="n">
        <f aca="false">IF(AND($M549&lt;&gt;"",$N549="VCA",$Q549="LINEAR"),($M549*2.5)/50,IF(AND($M549&lt;&gt;"",$N549="MND",$Q549="EMBOQUE"),($AN549*2*2.5)/50,0))</f>
        <v>6.597</v>
      </c>
      <c r="BL549" s="157" t="str">
        <f aca="false">K549&amp;J549</f>
        <v>Zona05REDES</v>
      </c>
      <c r="BM549" s="152" t="s">
        <v>3356</v>
      </c>
      <c r="BN549" s="152" t="s">
        <v>1560</v>
      </c>
      <c r="BO549" s="152" t="s">
        <v>2800</v>
      </c>
      <c r="BP549" s="152" t="s">
        <v>3575</v>
      </c>
      <c r="BQ549" s="152" t="s">
        <v>3630</v>
      </c>
      <c r="BR549" s="152" t="s">
        <v>3631</v>
      </c>
      <c r="BS549" s="152" t="n">
        <v>203638.607</v>
      </c>
      <c r="BT549" s="152" t="n">
        <v>8237564.395</v>
      </c>
      <c r="BU549" s="152" t="n">
        <v>203562.348</v>
      </c>
      <c r="BV549" s="152" t="n">
        <v>8237465.926</v>
      </c>
      <c r="BW549" s="152" t="n">
        <v>-15.9239551</v>
      </c>
      <c r="BX549" s="152" t="n">
        <v>-47.7682576</v>
      </c>
      <c r="BY549" s="152" t="s">
        <v>3575</v>
      </c>
    </row>
    <row r="550" customFormat="false" ht="13.8" hidden="false" customHeight="false" outlineLevel="0" collapsed="false">
      <c r="A550" s="149" t="n">
        <f aca="false">IF(C550&lt;&gt;"",ROW(A545),"")</f>
        <v>545</v>
      </c>
      <c r="B550" s="150" t="str">
        <f aca="false">HYPERLINK("https://www.google.com/maps/dir/-15.917302,-47.760003/-15.9237739,-47.7702811/data=!4m3!4m2!3e0!5i2")</f>
        <v>https://www.google.com/maps/dir/-15.917302,-47.760003/-15.9237739,-47.7702811/data=!4m3!4m2!3e0!5i2</v>
      </c>
      <c r="C550" s="151" t="s">
        <v>117</v>
      </c>
      <c r="D550" s="152" t="s">
        <v>112</v>
      </c>
      <c r="E550" s="152" t="s">
        <v>113</v>
      </c>
      <c r="F550" s="152" t="s">
        <v>117</v>
      </c>
      <c r="G550" s="152" t="s">
        <v>782</v>
      </c>
      <c r="H550" s="152" t="n">
        <v>63</v>
      </c>
      <c r="I550" s="152" t="s">
        <v>115</v>
      </c>
      <c r="J550" s="152" t="s">
        <v>6</v>
      </c>
      <c r="K550" s="152" t="s">
        <v>3352</v>
      </c>
      <c r="L550" s="152" t="s">
        <v>120</v>
      </c>
      <c r="M550" s="153" t="n">
        <f aca="false">59.85</f>
        <v>59.85</v>
      </c>
      <c r="N550" s="152" t="s">
        <v>1548</v>
      </c>
      <c r="O550" s="152" t="s">
        <v>1549</v>
      </c>
      <c r="P550" s="152" t="s">
        <v>1550</v>
      </c>
      <c r="Q550" s="152" t="s">
        <v>1551</v>
      </c>
      <c r="R550" s="154" t="s">
        <v>3632</v>
      </c>
      <c r="S550" s="154" t="s">
        <v>1553</v>
      </c>
      <c r="T550" s="155" t="s">
        <v>2797</v>
      </c>
      <c r="U550" s="152" t="str">
        <f aca="false">RIGHT(T550,7)</f>
        <v>009/037</v>
      </c>
      <c r="V550" s="152" t="s">
        <v>1555</v>
      </c>
      <c r="W550" s="156" t="n">
        <v>45882</v>
      </c>
      <c r="X550" s="152" t="s">
        <v>1594</v>
      </c>
      <c r="Y550" s="152" t="s">
        <v>3516</v>
      </c>
      <c r="Z550" s="152" t="s">
        <v>1557</v>
      </c>
      <c r="AA550" s="153" t="n">
        <v>3.6</v>
      </c>
      <c r="AB550" s="151" t="s">
        <v>3633</v>
      </c>
      <c r="AC550" s="151" t="s">
        <v>186</v>
      </c>
      <c r="AD550" s="151" t="str">
        <f aca="false">CONCATENATE($C550,$I550,$H550,$N550,$J550,$K550)</f>
        <v>TUBO PEADPEAD63VCAREDESZona05</v>
      </c>
      <c r="AE550" s="153" t="n">
        <f aca="false">IFERROR(INDEX(APOIO_REDES!$A:$W,MATCH($C550&amp;$I550&amp;$H550&amp;$N550&amp;$O550,APOIO_REDES!$W:$W,0),MATCH(AE$5,APOIO_REDES!$5:$5,0)),0)</f>
        <v>1.2</v>
      </c>
      <c r="AF550" s="153" t="n">
        <f aca="false">IFERROR(INDEX(APOIO_REDES!$A:$W,MATCH($C550&amp;$I550&amp;$H550&amp;$N550&amp;$O550,APOIO_REDES!$W:$W,0),MATCH(AF$5,APOIO_REDES!$5:$5,0)),0)</f>
        <v>1.363</v>
      </c>
      <c r="AG550" s="153" t="n">
        <f aca="false">IFERROR(INDEX(APOIO_REDES!$A:$W,MATCH($C550&amp;$I550&amp;$H550&amp;$N550&amp;$O550,APOIO_REDES!$W:$W,0),MATCH(AG$5,APOIO_REDES!$5:$5,0)),0)</f>
        <v>0.65</v>
      </c>
      <c r="AH550" s="153" t="n">
        <f aca="false">IFERROR(INDEX(APOIO_REDES!$A:$W,MATCH($C550&amp;$I550&amp;$H550&amp;$N550&amp;$O550,APOIO_REDES!$W:$W,0),MATCH(AH$5,APOIO_REDES!$5:$5,0)),0)</f>
        <v>0.1</v>
      </c>
      <c r="AI550" s="153" t="n">
        <f aca="false">IFERROR(IF($H550&lt;&gt;"",(((($H550/1000)/2)^2)*PI()*$M550),0),0)</f>
        <v>0.18656713183489</v>
      </c>
      <c r="AJ550" s="153" t="n">
        <f aca="false">IFERROR(IF(AND($H550&lt;&gt;"",$I550="FoFo",OR($N550="MND",$N550="VCA"),$Q550="LINEAR"),0,IF(AND($H550&lt;&gt;"",$I550="PEAD",$N550="VCA",$Q550="LINEAR"),($H550/1000)+0.3,IF(AND($H550&lt;&gt;"",$I550="PEAD",$N550="MND",$Q550="EMBOQUE"),0,IF(AND($H550&lt;&gt;"",$I550="PVC",$N550="VCA",$Q550="LINEAR"),($H550/1000)+0.2,IF(AND($H550&lt;&gt;"",$I550="PVC",$N550="MND",$Q550="EMBOQUE"),0,IF(AND($H550&lt;&gt;"",$I550="PEAD",$N550="VCA",$Q550="PREDIAL"),0,0)))))),0)</f>
        <v>0.363</v>
      </c>
      <c r="AK550" s="153" t="n">
        <f aca="false">IF(AA550&lt;&gt;"",AA550,0)</f>
        <v>3.6</v>
      </c>
      <c r="AL550" s="153" t="n">
        <f aca="false">IF(AND($N550="MND",$Q550="EMBOQUE"),$M550,IF(AND($N550="VCA",$Q550="LINEAR"),$M550,IF(AND($N550="VCA",$Q550="PREDIAL"),0,0)))</f>
        <v>59.85</v>
      </c>
      <c r="AM550" s="153" t="n">
        <f aca="false">IF(AND($N550="MND",$Q550="EMBOQUE"),$M550,IF(AND($N550="VCA",$Q550="LINEAR"),$M550,IF(AND($N550="VCA",$Q550="PREDIAL"),0,0)))</f>
        <v>59.85</v>
      </c>
      <c r="AN550" s="153" t="n">
        <f aca="false">ROUND(IF(AND($N550="VCA",$M550&lt;&gt;"",$Q550="LINEAR"),$M550/100,IF(AND($N550="MND",$M550&gt;100,$Q550="EMBOQUE"),$M550/100,0)),0)</f>
        <v>1</v>
      </c>
      <c r="AO550" s="153" t="n">
        <f aca="false">IF(AND($N550="MND",$Q550="EMBOQUE"),$AN550*2*2,IF(AND($N550="VCA",$Q550="LINEAR"),$M550*2,IF(AND($N550="VCA",$Q550="PREDIAL"),0,0)))</f>
        <v>119.7</v>
      </c>
      <c r="AP550" s="153" t="n">
        <f aca="false">IFERROR($M550*$AF550*$AG550,0)</f>
        <v>53.0241075</v>
      </c>
      <c r="AQ550" s="153" t="n">
        <f aca="false">IFERROR(IF(AND($N550="VCA",$AH550&gt;0),$M550*$AG550*$AH550,0),0)</f>
        <v>3.89025</v>
      </c>
      <c r="AR550" s="153" t="n">
        <f aca="false">IFERROR(IF(AND($N550="VCA",$AJ550&gt;0),($M550*$AG550*$AJ550)-$AI550,0),0)</f>
        <v>13.9350403681651</v>
      </c>
      <c r="AS550" s="153" t="n">
        <f aca="false">IFERROR(IF(AND($N550="VCA",$AP550&gt;0),$AP550-$AI550-$AQ550-$AR550,0),0)</f>
        <v>35.01225</v>
      </c>
      <c r="AT550" s="153" t="n">
        <f aca="false">IFERROR(IF($N550="VCA",INDEX(APOIO_REDES!$A:$W,MATCH($C550&amp;$I550&amp;$H550&amp;$N550&amp;$O550,APOIO_REDES!$W:$W,0),MATCH(AT$5,APOIO_REDES!$5:$5,0)),0)*$AP550,0)</f>
        <v>0.576917983934705</v>
      </c>
      <c r="AU550" s="153" t="n">
        <f aca="false">IFERROR(IF($N550="VCA",INDEX(APOIO_REDES!$A:$W,MATCH($C550&amp;$I550&amp;$H550&amp;$N550&amp;$O550,APOIO_REDES!$W:$W,0),MATCH(AU$5,APOIO_REDES!$5:$5,0)),0)*$AP550,0)</f>
        <v>0.46071107704969</v>
      </c>
      <c r="AV550" s="153" t="n">
        <f aca="false">IFERROR(IF($N550="VCA",INDEX(APOIO_REDES!$A:$W,MATCH($C550&amp;$I550&amp;$H550&amp;$N550&amp;$O550,APOIO_REDES!$W:$W,0),MATCH(AV$5,APOIO_REDES!$5:$5,0)),0)*$AP550,0)</f>
        <v>0.0637587963399175</v>
      </c>
      <c r="AW550" s="153" t="n">
        <f aca="false">IFERROR(IF($N550="VCA",INDEX(APOIO_REDES!$A:$W,MATCH($C550&amp;$I550&amp;$H550&amp;$N550&amp;$O550,APOIO_REDES!$W:$W,0),MATCH(AW$5,APOIO_REDES!$5:$5,0)),0)*$AP550,0)</f>
        <v>36.3961582388335</v>
      </c>
      <c r="AX550" s="153" t="n">
        <f aca="false">IFERROR(IF($N550="VCA",INDEX(APOIO_REDES!$A:$W,MATCH($C550&amp;$I550&amp;$H550&amp;$N550&amp;$O550,APOIO_REDES!$W:$W,0),MATCH(AX$5,APOIO_REDES!$5:$5,0)),0)*$AP550,0)</f>
        <v>5.03712462383532</v>
      </c>
      <c r="AY550" s="153" t="n">
        <f aca="false">IFERROR(IF($N550="VCA",INDEX(APOIO_REDES!$A:$W,MATCH($C550&amp;$I550&amp;$H550&amp;$N550&amp;$O550,APOIO_REDES!$W:$W,0),MATCH(AY$5,APOIO_REDES!$5:$5,0)),0)*$AP550,0)</f>
        <v>9.21421592496311</v>
      </c>
      <c r="AZ550" s="153" t="n">
        <f aca="false">IFERROR(IF($N550="VCA",INDEX(APOIO_REDES!$A:$W,MATCH($C550&amp;$I550&amp;$H550&amp;$N550&amp;$O550,APOIO_REDES!$W:$W,0),MATCH(AZ$5,APOIO_REDES!$5:$5,0)),0)*$AP550,0)</f>
        <v>1.27522085504381</v>
      </c>
      <c r="BA550" s="153" t="n">
        <f aca="false">IFERROR(IF(AND($N550="VCA",$Q550="LINEAR"),INDEX(APOIO_REDES!$A:$W,MATCH($C550&amp;$I550&amp;$H550&amp;$N550&amp;$O550,APOIO_REDES!$W:$W,0),MATCH(BA$5,APOIO_REDES!$5:$5,0)),IF(AND($N550="MND",$Q550="EMBOQUE"),INDEX(APOIO_REDES!$A:$W,MATCH($C550&amp;$I550&amp;$H550&amp;$N550&amp;$O550,APOIO_REDES!$W:$W,0),MATCH(BA$5,APOIO_REDES!$5:$5,0)),0))*$M550/10,0)</f>
        <v>4.82375903314985</v>
      </c>
      <c r="BB550" s="153" t="n">
        <f aca="false">IFERROR(IF($N550="VCA",INDEX(APOIO_REDES!$A:$W,MATCH($C550&amp;$I550&amp;$H550&amp;$N550&amp;$O550,APOIO_REDES!$W:$W,0),MATCH(BB$5,APOIO_REDES!$5:$5,0)),0)*($AI550+$AQ550+$AR550),0)</f>
        <v>17.8158831591623</v>
      </c>
      <c r="BC550" s="153" t="n">
        <f aca="false">IFERROR(IF($N550="VCA",INDEX(APOIO_REDES!$A:$W,MATCH($C550&amp;$I550&amp;$H550&amp;$N550&amp;$O550,APOIO_REDES!$W:$W,0),MATCH(BC$5,APOIO_REDES!$5:$5,0)),0)*($AI550+$AQ550+$AR550),0)</f>
        <v>0.195974340837688</v>
      </c>
      <c r="BD550" s="153" t="n">
        <f aca="false">IF(AND($N550="VCA",$AF550&gt;=1.25,$AF550&lt;1.5),$M550*$AF550*2,0)</f>
        <v>163.1511</v>
      </c>
      <c r="BE550" s="153" t="n">
        <f aca="false">IF(AND($N550="VCA",$AF550&gt;=1.5,$AF550&lt;3),$M550*$AF550*2,0)</f>
        <v>0</v>
      </c>
      <c r="BF550" s="153" t="n">
        <f aca="false">IF(AND($N550="VCA",$AF550&gt;=3),$M550*$AF550*2,0)</f>
        <v>0</v>
      </c>
      <c r="BG550" s="153" t="n">
        <f aca="false">($BB550+$BC550)*$AK550</f>
        <v>64.842687</v>
      </c>
      <c r="BH550" s="153" t="n">
        <f aca="false">IF(AND($M550&lt;&gt;"",$N550="VCA",$Q550="LINEAR"),($M550*2)/100,IF(AND($M550&lt;&gt;"",$N550="MND",$Q550="EMBOQUE"),($AN550*2)/100,0))</f>
        <v>1.197</v>
      </c>
      <c r="BI550" s="153" t="n">
        <f aca="false">IF(AND($M550&lt;&gt;"",$N550="VCA",$Q550="LINEAR"),$M550,IF(AND($M550&lt;&gt;"",$N550="MND",$Q550="EMBOQUE"),$AN550*2,0))</f>
        <v>59.85</v>
      </c>
      <c r="BJ550" s="153" t="n">
        <f aca="false">IF(AND($M550&lt;&gt;"",$N550="VCA",$Q550="LINEAR"),($M550*6.8)/100,IF(AND($M550&lt;&gt;"",$N550="MND",$Q550="EMBOQUE"),($AN550*2*6.8)/100,0))</f>
        <v>4.0698</v>
      </c>
      <c r="BK550" s="153" t="n">
        <f aca="false">IF(AND($M550&lt;&gt;"",$N550="VCA",$Q550="LINEAR"),($M550*2.5)/50,IF(AND($M550&lt;&gt;"",$N550="MND",$Q550="EMBOQUE"),($AN550*2*2.5)/50,0))</f>
        <v>2.9925</v>
      </c>
      <c r="BL550" s="157" t="str">
        <f aca="false">K550&amp;J550</f>
        <v>Zona05REDES</v>
      </c>
      <c r="BM550" s="152" t="s">
        <v>3356</v>
      </c>
      <c r="BN550" s="152" t="s">
        <v>1560</v>
      </c>
      <c r="BO550" s="152" t="s">
        <v>2800</v>
      </c>
      <c r="BP550" s="152" t="s">
        <v>3579</v>
      </c>
      <c r="BQ550" s="152" t="s">
        <v>3634</v>
      </c>
      <c r="BR550" s="152" t="s">
        <v>3635</v>
      </c>
      <c r="BS550" s="152" t="n">
        <v>203392.316</v>
      </c>
      <c r="BT550" s="152" t="n">
        <v>8237527.892</v>
      </c>
      <c r="BU550" s="152" t="n">
        <v>203361.686</v>
      </c>
      <c r="BV550" s="152" t="n">
        <v>8237476.484</v>
      </c>
      <c r="BW550" s="152" t="n">
        <v>-15.9240059</v>
      </c>
      <c r="BX550" s="152" t="n">
        <v>-47.7704242</v>
      </c>
      <c r="BY550" s="152" t="s">
        <v>3579</v>
      </c>
    </row>
    <row r="551" customFormat="false" ht="13.8" hidden="false" customHeight="false" outlineLevel="0" collapsed="false">
      <c r="A551" s="149" t="n">
        <f aca="false">IF(C551&lt;&gt;"",ROW(A546),"")</f>
        <v>546</v>
      </c>
      <c r="B551" s="150" t="str">
        <f aca="false">HYPERLINK("https://www.google.com/maps/dir/-15.917302,-47.760003/-15.9241500,-47.7707350/data=!4m3!4m2!3e0!5i2")</f>
        <v>https://www.google.com/maps/dir/-15.917302,-47.760003/-15.9241500,-47.7707350/data=!4m3!4m2!3e0!5i2</v>
      </c>
      <c r="C551" s="151" t="s">
        <v>117</v>
      </c>
      <c r="D551" s="152" t="s">
        <v>112</v>
      </c>
      <c r="E551" s="152" t="s">
        <v>113</v>
      </c>
      <c r="F551" s="152" t="s">
        <v>117</v>
      </c>
      <c r="G551" s="152" t="s">
        <v>782</v>
      </c>
      <c r="H551" s="152" t="n">
        <v>63</v>
      </c>
      <c r="I551" s="152" t="s">
        <v>115</v>
      </c>
      <c r="J551" s="152" t="s">
        <v>6</v>
      </c>
      <c r="K551" s="152" t="s">
        <v>3352</v>
      </c>
      <c r="L551" s="152" t="s">
        <v>120</v>
      </c>
      <c r="M551" s="153" t="n">
        <f aca="false">19.69</f>
        <v>19.69</v>
      </c>
      <c r="N551" s="152" t="s">
        <v>1548</v>
      </c>
      <c r="O551" s="152" t="s">
        <v>1549</v>
      </c>
      <c r="P551" s="152" t="s">
        <v>1550</v>
      </c>
      <c r="Q551" s="152" t="s">
        <v>1551</v>
      </c>
      <c r="R551" s="154" t="s">
        <v>3636</v>
      </c>
      <c r="S551" s="154" t="s">
        <v>1553</v>
      </c>
      <c r="T551" s="155" t="s">
        <v>2797</v>
      </c>
      <c r="U551" s="152" t="str">
        <f aca="false">RIGHT(T551,7)</f>
        <v>009/037</v>
      </c>
      <c r="V551" s="152" t="s">
        <v>1555</v>
      </c>
      <c r="W551" s="156" t="n">
        <v>45882</v>
      </c>
      <c r="X551" s="152" t="s">
        <v>1594</v>
      </c>
      <c r="Y551" s="152" t="s">
        <v>3516</v>
      </c>
      <c r="Z551" s="152" t="s">
        <v>1557</v>
      </c>
      <c r="AA551" s="153" t="n">
        <v>3.7</v>
      </c>
      <c r="AB551" s="151" t="s">
        <v>3637</v>
      </c>
      <c r="AC551" s="151" t="s">
        <v>186</v>
      </c>
      <c r="AD551" s="151" t="str">
        <f aca="false">CONCATENATE($C551,$I551,$H551,$N551,$J551,$K551)</f>
        <v>TUBO PEADPEAD63VCAREDESZona05</v>
      </c>
      <c r="AE551" s="153" t="n">
        <f aca="false">IFERROR(INDEX(APOIO_REDES!$A:$W,MATCH($C551&amp;$I551&amp;$H551&amp;$N551&amp;$O551,APOIO_REDES!$W:$W,0),MATCH(AE$5,APOIO_REDES!$5:$5,0)),0)</f>
        <v>1.2</v>
      </c>
      <c r="AF551" s="153" t="n">
        <f aca="false">IFERROR(INDEX(APOIO_REDES!$A:$W,MATCH($C551&amp;$I551&amp;$H551&amp;$N551&amp;$O551,APOIO_REDES!$W:$W,0),MATCH(AF$5,APOIO_REDES!$5:$5,0)),0)</f>
        <v>1.363</v>
      </c>
      <c r="AG551" s="153" t="n">
        <f aca="false">IFERROR(INDEX(APOIO_REDES!$A:$W,MATCH($C551&amp;$I551&amp;$H551&amp;$N551&amp;$O551,APOIO_REDES!$W:$W,0),MATCH(AG$5,APOIO_REDES!$5:$5,0)),0)</f>
        <v>0.65</v>
      </c>
      <c r="AH551" s="153" t="n">
        <f aca="false">IFERROR(INDEX(APOIO_REDES!$A:$W,MATCH($C551&amp;$I551&amp;$H551&amp;$N551&amp;$O551,APOIO_REDES!$W:$W,0),MATCH(AH$5,APOIO_REDES!$5:$5,0)),0)</f>
        <v>0.1</v>
      </c>
      <c r="AI551" s="153" t="n">
        <f aca="false">IFERROR(IF($H551&lt;&gt;"",(((($H551/1000)/2)^2)*PI()*$M551),0),0)</f>
        <v>0.0613785601642269</v>
      </c>
      <c r="AJ551" s="153" t="n">
        <f aca="false">IFERROR(IF(AND($H551&lt;&gt;"",$I551="FoFo",OR($N551="MND",$N551="VCA"),$Q551="LINEAR"),0,IF(AND($H551&lt;&gt;"",$I551="PEAD",$N551="VCA",$Q551="LINEAR"),($H551/1000)+0.3,IF(AND($H551&lt;&gt;"",$I551="PEAD",$N551="MND",$Q551="EMBOQUE"),0,IF(AND($H551&lt;&gt;"",$I551="PVC",$N551="VCA",$Q551="LINEAR"),($H551/1000)+0.2,IF(AND($H551&lt;&gt;"",$I551="PVC",$N551="MND",$Q551="EMBOQUE"),0,IF(AND($H551&lt;&gt;"",$I551="PEAD",$N551="VCA",$Q551="PREDIAL"),0,0)))))),0)</f>
        <v>0.363</v>
      </c>
      <c r="AK551" s="153" t="n">
        <f aca="false">IF(AA551&lt;&gt;"",AA551,0)</f>
        <v>3.7</v>
      </c>
      <c r="AL551" s="153" t="n">
        <f aca="false">IF(AND($N551="MND",$Q551="EMBOQUE"),$M551,IF(AND($N551="VCA",$Q551="LINEAR"),$M551,IF(AND($N551="VCA",$Q551="PREDIAL"),0,0)))</f>
        <v>19.69</v>
      </c>
      <c r="AM551" s="153" t="n">
        <f aca="false">IF(AND($N551="MND",$Q551="EMBOQUE"),$M551,IF(AND($N551="VCA",$Q551="LINEAR"),$M551,IF(AND($N551="VCA",$Q551="PREDIAL"),0,0)))</f>
        <v>19.69</v>
      </c>
      <c r="AN551" s="153" t="n">
        <f aca="false">ROUND(IF(AND($N551="VCA",$M551&lt;&gt;"",$Q551="LINEAR"),$M551/100,IF(AND($N551="MND",$M551&gt;100,$Q551="EMBOQUE"),$M551/100,0)),0)</f>
        <v>0</v>
      </c>
      <c r="AO551" s="153" t="n">
        <f aca="false">IF(AND($N551="MND",$Q551="EMBOQUE"),$AN551*2*2,IF(AND($N551="VCA",$Q551="LINEAR"),$M551*2,IF(AND($N551="VCA",$Q551="PREDIAL"),0,0)))</f>
        <v>39.38</v>
      </c>
      <c r="AP551" s="153" t="n">
        <f aca="false">IFERROR($M551*$AF551*$AG551,0)</f>
        <v>17.4443555</v>
      </c>
      <c r="AQ551" s="153" t="n">
        <f aca="false">IFERROR(IF(AND($N551="VCA",$AH551&gt;0),$M551*$AG551*$AH551,0),0)</f>
        <v>1.27985</v>
      </c>
      <c r="AR551" s="153" t="n">
        <f aca="false">IFERROR(IF(AND($N551="VCA",$AJ551&gt;0),($M551*$AG551*$AJ551)-$AI551,0),0)</f>
        <v>4.58447693983577</v>
      </c>
      <c r="AS551" s="153" t="n">
        <f aca="false">IFERROR(IF(AND($N551="VCA",$AP551&gt;0),$AP551-$AI551-$AQ551-$AR551,0),0)</f>
        <v>11.51865</v>
      </c>
      <c r="AT551" s="153" t="n">
        <f aca="false">IFERROR(IF($N551="VCA",INDEX(APOIO_REDES!$A:$W,MATCH($C551&amp;$I551&amp;$H551&amp;$N551&amp;$O551,APOIO_REDES!$W:$W,0),MATCH(AT$5,APOIO_REDES!$5:$5,0)),0)*$AP551,0)</f>
        <v>0.18979975110567</v>
      </c>
      <c r="AU551" s="153" t="n">
        <f aca="false">IFERROR(IF($N551="VCA",INDEX(APOIO_REDES!$A:$W,MATCH($C551&amp;$I551&amp;$H551&amp;$N551&amp;$O551,APOIO_REDES!$W:$W,0),MATCH(AU$5,APOIO_REDES!$5:$5,0)),0)*$AP551,0)</f>
        <v>0.151568940803816</v>
      </c>
      <c r="AV551" s="153" t="n">
        <f aca="false">IFERROR(IF($N551="VCA",INDEX(APOIO_REDES!$A:$W,MATCH($C551&amp;$I551&amp;$H551&amp;$N551&amp;$O551,APOIO_REDES!$W:$W,0),MATCH(AV$5,APOIO_REDES!$5:$5,0)),0)*$AP551,0)</f>
        <v>0.0209759515444106</v>
      </c>
      <c r="AW551" s="153" t="n">
        <f aca="false">IFERROR(IF($N551="VCA",INDEX(APOIO_REDES!$A:$W,MATCH($C551&amp;$I551&amp;$H551&amp;$N551&amp;$O551,APOIO_REDES!$W:$W,0),MATCH(AW$5,APOIO_REDES!$5:$5,0)),0)*$AP551,0)</f>
        <v>11.9739407806622</v>
      </c>
      <c r="AX551" s="153" t="n">
        <f aca="false">IFERROR(IF($N551="VCA",INDEX(APOIO_REDES!$A:$W,MATCH($C551&amp;$I551&amp;$H551&amp;$N551&amp;$O551,APOIO_REDES!$W:$W,0),MATCH(AX$5,APOIO_REDES!$5:$5,0)),0)*$AP551,0)</f>
        <v>1.65715929562769</v>
      </c>
      <c r="AY551" s="153" t="n">
        <f aca="false">IFERROR(IF($N551="VCA",INDEX(APOIO_REDES!$A:$W,MATCH($C551&amp;$I551&amp;$H551&amp;$N551&amp;$O551,APOIO_REDES!$W:$W,0),MATCH(AY$5,APOIO_REDES!$5:$5,0)),0)*$AP551,0)</f>
        <v>3.03137696846322</v>
      </c>
      <c r="AZ551" s="153" t="n">
        <f aca="false">IFERROR(IF($N551="VCA",INDEX(APOIO_REDES!$A:$W,MATCH($C551&amp;$I551&amp;$H551&amp;$N551&amp;$O551,APOIO_REDES!$W:$W,0),MATCH(AZ$5,APOIO_REDES!$5:$5,0)),0)*$AP551,0)</f>
        <v>0.419533811793026</v>
      </c>
      <c r="BA551" s="153" t="n">
        <f aca="false">IFERROR(IF(AND($N551="VCA",$Q551="LINEAR"),INDEX(APOIO_REDES!$A:$W,MATCH($C551&amp;$I551&amp;$H551&amp;$N551&amp;$O551,APOIO_REDES!$W:$W,0),MATCH(BA$5,APOIO_REDES!$5:$5,0)),IF(AND($N551="MND",$Q551="EMBOQUE"),INDEX(APOIO_REDES!$A:$W,MATCH($C551&amp;$I551&amp;$H551&amp;$N551&amp;$O551,APOIO_REDES!$W:$W,0),MATCH(BA$5,APOIO_REDES!$5:$5,0)),0))*$M551/10,0)</f>
        <v>1.58696433354587</v>
      </c>
      <c r="BB551" s="153" t="n">
        <f aca="false">IFERROR(IF($N551="VCA",INDEX(APOIO_REDES!$A:$W,MATCH($C551&amp;$I551&amp;$H551&amp;$N551&amp;$O551,APOIO_REDES!$W:$W,0),MATCH(BB$5,APOIO_REDES!$5:$5,0)),0)*($AI551+$AQ551+$AR551),0)</f>
        <v>5.8612320702407</v>
      </c>
      <c r="BC551" s="153" t="n">
        <f aca="false">IFERROR(IF($N551="VCA",INDEX(APOIO_REDES!$A:$W,MATCH($C551&amp;$I551&amp;$H551&amp;$N551&amp;$O551,APOIO_REDES!$W:$W,0),MATCH(BC$5,APOIO_REDES!$5:$5,0)),0)*($AI551+$AQ551+$AR551),0)</f>
        <v>0.0644734297592994</v>
      </c>
      <c r="BD551" s="153" t="n">
        <f aca="false">IF(AND($N551="VCA",$AF551&gt;=1.25,$AF551&lt;1.5),$M551*$AF551*2,0)</f>
        <v>53.67494</v>
      </c>
      <c r="BE551" s="153" t="n">
        <f aca="false">IF(AND($N551="VCA",$AF551&gt;=1.5,$AF551&lt;3),$M551*$AF551*2,0)</f>
        <v>0</v>
      </c>
      <c r="BF551" s="153" t="n">
        <f aca="false">IF(AND($N551="VCA",$AF551&gt;=3),$M551*$AF551*2,0)</f>
        <v>0</v>
      </c>
      <c r="BG551" s="153" t="n">
        <f aca="false">($BB551+$BC551)*$AK551</f>
        <v>21.92511035</v>
      </c>
      <c r="BH551" s="153" t="n">
        <f aca="false">IF(AND($M551&lt;&gt;"",$N551="VCA",$Q551="LINEAR"),($M551*2)/100,IF(AND($M551&lt;&gt;"",$N551="MND",$Q551="EMBOQUE"),($AN551*2)/100,0))</f>
        <v>0.3938</v>
      </c>
      <c r="BI551" s="153" t="n">
        <f aca="false">IF(AND($M551&lt;&gt;"",$N551="VCA",$Q551="LINEAR"),$M551,IF(AND($M551&lt;&gt;"",$N551="MND",$Q551="EMBOQUE"),$AN551*2,0))</f>
        <v>19.69</v>
      </c>
      <c r="BJ551" s="153" t="n">
        <f aca="false">IF(AND($M551&lt;&gt;"",$N551="VCA",$Q551="LINEAR"),($M551*6.8)/100,IF(AND($M551&lt;&gt;"",$N551="MND",$Q551="EMBOQUE"),($AN551*2*6.8)/100,0))</f>
        <v>1.33892</v>
      </c>
      <c r="BK551" s="153" t="n">
        <f aca="false">IF(AND($M551&lt;&gt;"",$N551="VCA",$Q551="LINEAR"),($M551*2.5)/50,IF(AND($M551&lt;&gt;"",$N551="MND",$Q551="EMBOQUE"),($AN551*2*2.5)/50,0))</f>
        <v>0.9845</v>
      </c>
      <c r="BL551" s="157" t="str">
        <f aca="false">K551&amp;J551</f>
        <v>Zona05REDES</v>
      </c>
      <c r="BM551" s="152" t="s">
        <v>3356</v>
      </c>
      <c r="BN551" s="152" t="s">
        <v>1560</v>
      </c>
      <c r="BO551" s="152" t="s">
        <v>2800</v>
      </c>
      <c r="BP551" s="152" t="s">
        <v>3638</v>
      </c>
      <c r="BQ551" s="152" t="s">
        <v>3634</v>
      </c>
      <c r="BR551" s="152" t="s">
        <v>3639</v>
      </c>
      <c r="BS551" s="152" t="n">
        <v>203344.235</v>
      </c>
      <c r="BT551" s="152" t="n">
        <v>8237485.598</v>
      </c>
      <c r="BU551" s="152" t="n">
        <v>203361.686</v>
      </c>
      <c r="BV551" s="152" t="n">
        <v>8237476.484</v>
      </c>
      <c r="BW551" s="152" t="n">
        <v>-15.9241922</v>
      </c>
      <c r="BX551" s="152" t="n">
        <v>-47.7706542</v>
      </c>
      <c r="BY551" s="152" t="s">
        <v>3638</v>
      </c>
    </row>
    <row r="552" customFormat="false" ht="13.8" hidden="false" customHeight="false" outlineLevel="0" collapsed="false">
      <c r="A552" s="149" t="n">
        <f aca="false">IF(C552&lt;&gt;"",ROW(A547),"")</f>
        <v>547</v>
      </c>
      <c r="B552" s="150" t="str">
        <f aca="false">HYPERLINK("https://www.google.com/maps/dir/-15.917302,-47.760003/-15.9228537,-47.7668939/data=!4m3!4m2!3e0!5i1")</f>
        <v>https://www.google.com/maps/dir/-15.917302,-47.760003/-15.9228537,-47.7668939/data=!4m3!4m2!3e0!5i1</v>
      </c>
      <c r="C552" s="151" t="s">
        <v>117</v>
      </c>
      <c r="D552" s="152" t="s">
        <v>112</v>
      </c>
      <c r="E552" s="152" t="s">
        <v>113</v>
      </c>
      <c r="F552" s="152" t="s">
        <v>117</v>
      </c>
      <c r="G552" s="152" t="s">
        <v>782</v>
      </c>
      <c r="H552" s="152" t="n">
        <v>63</v>
      </c>
      <c r="I552" s="152" t="s">
        <v>115</v>
      </c>
      <c r="J552" s="152" t="s">
        <v>6</v>
      </c>
      <c r="K552" s="152" t="s">
        <v>3352</v>
      </c>
      <c r="L552" s="152" t="s">
        <v>120</v>
      </c>
      <c r="M552" s="153" t="n">
        <f aca="false">75.35+4.05</f>
        <v>79.4</v>
      </c>
      <c r="N552" s="152" t="s">
        <v>1548</v>
      </c>
      <c r="O552" s="152" t="s">
        <v>1549</v>
      </c>
      <c r="P552" s="152" t="s">
        <v>1550</v>
      </c>
      <c r="Q552" s="152" t="s">
        <v>1551</v>
      </c>
      <c r="R552" s="154" t="s">
        <v>3640</v>
      </c>
      <c r="S552" s="154" t="s">
        <v>1553</v>
      </c>
      <c r="T552" s="155" t="s">
        <v>2950</v>
      </c>
      <c r="U552" s="152" t="str">
        <f aca="false">RIGHT(T552,7)</f>
        <v>010/037</v>
      </c>
      <c r="V552" s="152" t="s">
        <v>1555</v>
      </c>
      <c r="W552" s="156" t="n">
        <v>45882</v>
      </c>
      <c r="X552" s="152" t="s">
        <v>1594</v>
      </c>
      <c r="Y552" s="152"/>
      <c r="Z552" s="152" t="s">
        <v>1557</v>
      </c>
      <c r="AA552" s="153" t="n">
        <v>3.6</v>
      </c>
      <c r="AB552" s="151" t="s">
        <v>3641</v>
      </c>
      <c r="AC552" s="151" t="s">
        <v>186</v>
      </c>
      <c r="AD552" s="151" t="str">
        <f aca="false">CONCATENATE($C552,$I552,$H552,$N552,$J552,$K552)</f>
        <v>TUBO PEADPEAD63VCAREDESZona05</v>
      </c>
      <c r="AE552" s="153" t="n">
        <f aca="false">IFERROR(INDEX(APOIO_REDES!$A:$W,MATCH($C552&amp;$I552&amp;$H552&amp;$N552&amp;$O552,APOIO_REDES!$W:$W,0),MATCH(AE$5,APOIO_REDES!$5:$5,0)),0)</f>
        <v>1.2</v>
      </c>
      <c r="AF552" s="153" t="n">
        <f aca="false">IFERROR(INDEX(APOIO_REDES!$A:$W,MATCH($C552&amp;$I552&amp;$H552&amp;$N552&amp;$O552,APOIO_REDES!$W:$W,0),MATCH(AF$5,APOIO_REDES!$5:$5,0)),0)</f>
        <v>1.363</v>
      </c>
      <c r="AG552" s="153" t="n">
        <f aca="false">IFERROR(INDEX(APOIO_REDES!$A:$W,MATCH($C552&amp;$I552&amp;$H552&amp;$N552&amp;$O552,APOIO_REDES!$W:$W,0),MATCH(AG$5,APOIO_REDES!$5:$5,0)),0)</f>
        <v>0.65</v>
      </c>
      <c r="AH552" s="153" t="n">
        <f aca="false">IFERROR(INDEX(APOIO_REDES!$A:$W,MATCH($C552&amp;$I552&amp;$H552&amp;$N552&amp;$O552,APOIO_REDES!$W:$W,0),MATCH(AH$5,APOIO_REDES!$5:$5,0)),0)</f>
        <v>0.1</v>
      </c>
      <c r="AI552" s="153" t="n">
        <f aca="false">IFERROR(IF($H552&lt;&gt;"",(((($H552/1000)/2)^2)*PI()*$M552),0),0)</f>
        <v>0.247509277655643</v>
      </c>
      <c r="AJ552" s="153" t="n">
        <f aca="false">IFERROR(IF(AND($H552&lt;&gt;"",$I552="FoFo",OR($N552="MND",$N552="VCA"),$Q552="LINEAR"),0,IF(AND($H552&lt;&gt;"",$I552="PEAD",$N552="VCA",$Q552="LINEAR"),($H552/1000)+0.3,IF(AND($H552&lt;&gt;"",$I552="PEAD",$N552="MND",$Q552="EMBOQUE"),0,IF(AND($H552&lt;&gt;"",$I552="PVC",$N552="VCA",$Q552="LINEAR"),($H552/1000)+0.2,IF(AND($H552&lt;&gt;"",$I552="PVC",$N552="MND",$Q552="EMBOQUE"),0,IF(AND($H552&lt;&gt;"",$I552="PEAD",$N552="VCA",$Q552="PREDIAL"),0,0)))))),0)</f>
        <v>0.363</v>
      </c>
      <c r="AK552" s="153" t="n">
        <f aca="false">IF(AA552&lt;&gt;"",AA552,0)</f>
        <v>3.6</v>
      </c>
      <c r="AL552" s="153" t="n">
        <f aca="false">IF(AND($N552="MND",$Q552="EMBOQUE"),$M552,IF(AND($N552="VCA",$Q552="LINEAR"),$M552,IF(AND($N552="VCA",$Q552="PREDIAL"),0,0)))</f>
        <v>79.4</v>
      </c>
      <c r="AM552" s="153" t="n">
        <f aca="false">IF(AND($N552="MND",$Q552="EMBOQUE"),$M552,IF(AND($N552="VCA",$Q552="LINEAR"),$M552,IF(AND($N552="VCA",$Q552="PREDIAL"),0,0)))</f>
        <v>79.4</v>
      </c>
      <c r="AN552" s="153" t="n">
        <f aca="false">ROUND(IF(AND($N552="VCA",$M552&lt;&gt;"",$Q552="LINEAR"),$M552/100,IF(AND($N552="MND",$M552&gt;100,$Q552="EMBOQUE"),$M552/100,0)),0)</f>
        <v>1</v>
      </c>
      <c r="AO552" s="153" t="n">
        <f aca="false">IF(AND($N552="MND",$Q552="EMBOQUE"),$AN552*2*2,IF(AND($N552="VCA",$Q552="LINEAR"),$M552*2,IF(AND($N552="VCA",$Q552="PREDIAL"),0,0)))</f>
        <v>158.8</v>
      </c>
      <c r="AP552" s="153" t="n">
        <f aca="false">IFERROR($M552*$AF552*$AG552,0)</f>
        <v>70.34443</v>
      </c>
      <c r="AQ552" s="153" t="n">
        <f aca="false">IFERROR(IF(AND($N552="VCA",$AH552&gt;0),$M552*$AG552*$AH552,0),0)</f>
        <v>5.161</v>
      </c>
      <c r="AR552" s="153" t="n">
        <f aca="false">IFERROR(IF(AND($N552="VCA",$AJ552&gt;0),($M552*$AG552*$AJ552)-$AI552,0),0)</f>
        <v>18.4869207223444</v>
      </c>
      <c r="AS552" s="153" t="n">
        <f aca="false">IFERROR(IF(AND($N552="VCA",$AP552&gt;0),$AP552-$AI552-$AQ552-$AR552,0),0)</f>
        <v>46.449</v>
      </c>
      <c r="AT552" s="153" t="n">
        <f aca="false">IFERROR(IF($N552="VCA",INDEX(APOIO_REDES!$A:$W,MATCH($C552&amp;$I552&amp;$H552&amp;$N552&amp;$O552,APOIO_REDES!$W:$W,0),MATCH(AT$5,APOIO_REDES!$5:$5,0)),0)*$AP552,0)</f>
        <v>0.76536821928848</v>
      </c>
      <c r="AU552" s="153" t="n">
        <f aca="false">IFERROR(IF($N552="VCA",INDEX(APOIO_REDES!$A:$W,MATCH($C552&amp;$I552&amp;$H552&amp;$N552&amp;$O552,APOIO_REDES!$W:$W,0),MATCH(AU$5,APOIO_REDES!$5:$5,0)),0)*$AP552,0)</f>
        <v>0.611202331123565</v>
      </c>
      <c r="AV552" s="153" t="n">
        <f aca="false">IFERROR(IF($N552="VCA",INDEX(APOIO_REDES!$A:$W,MATCH($C552&amp;$I552&amp;$H552&amp;$N552&amp;$O552,APOIO_REDES!$W:$W,0),MATCH(AV$5,APOIO_REDES!$5:$5,0)),0)*$AP552,0)</f>
        <v>0.0845856045010768</v>
      </c>
      <c r="AW552" s="153" t="n">
        <f aca="false">IFERROR(IF($N552="VCA",INDEX(APOIO_REDES!$A:$W,MATCH($C552&amp;$I552&amp;$H552&amp;$N552&amp;$O552,APOIO_REDES!$W:$W,0),MATCH(AW$5,APOIO_REDES!$5:$5,0)),0)*$AP552,0)</f>
        <v>48.284961807241</v>
      </c>
      <c r="AX552" s="153" t="n">
        <f aca="false">IFERROR(IF($N552="VCA",INDEX(APOIO_REDES!$A:$W,MATCH($C552&amp;$I552&amp;$H552&amp;$N552&amp;$O552,APOIO_REDES!$W:$W,0),MATCH(AX$5,APOIO_REDES!$5:$5,0)),0)*$AP552,0)</f>
        <v>6.68250117180492</v>
      </c>
      <c r="AY552" s="153" t="n">
        <f aca="false">IFERROR(IF($N552="VCA",INDEX(APOIO_REDES!$A:$W,MATCH($C552&amp;$I552&amp;$H552&amp;$N552&amp;$O552,APOIO_REDES!$W:$W,0),MATCH(AY$5,APOIO_REDES!$5:$5,0)),0)*$AP552,0)</f>
        <v>12.2240391719644</v>
      </c>
      <c r="AZ552" s="153" t="n">
        <f aca="false">IFERROR(IF($N552="VCA",INDEX(APOIO_REDES!$A:$W,MATCH($C552&amp;$I552&amp;$H552&amp;$N552&amp;$O552,APOIO_REDES!$W:$W,0),MATCH(AZ$5,APOIO_REDES!$5:$5,0)),0)*$AP552,0)</f>
        <v>1.6917716940765</v>
      </c>
      <c r="BA552" s="153" t="n">
        <f aca="false">IFERROR(IF(AND($N552="VCA",$Q552="LINEAR"),INDEX(APOIO_REDES!$A:$W,MATCH($C552&amp;$I552&amp;$H552&amp;$N552&amp;$O552,APOIO_REDES!$W:$W,0),MATCH(BA$5,APOIO_REDES!$5:$5,0)),IF(AND($N552="MND",$Q552="EMBOQUE"),INDEX(APOIO_REDES!$A:$W,MATCH($C552&amp;$I552&amp;$H552&amp;$N552&amp;$O552,APOIO_REDES!$W:$W,0),MATCH(BA$5,APOIO_REDES!$5:$5,0)),0))*$M552/10,0)</f>
        <v>6.39943971983455</v>
      </c>
      <c r="BB552" s="153" t="n">
        <f aca="false">IFERROR(IF($N552="VCA",INDEX(APOIO_REDES!$A:$W,MATCH($C552&amp;$I552&amp;$H552&amp;$N552&amp;$O552,APOIO_REDES!$W:$W,0),MATCH(BB$5,APOIO_REDES!$5:$5,0)),0)*($AI552+$AQ552+$AR552),0)</f>
        <v>23.6354406489137</v>
      </c>
      <c r="BC552" s="153" t="n">
        <f aca="false">IFERROR(IF($N552="VCA",INDEX(APOIO_REDES!$A:$W,MATCH($C552&amp;$I552&amp;$H552&amp;$N552&amp;$O552,APOIO_REDES!$W:$W,0),MATCH(BC$5,APOIO_REDES!$5:$5,0)),0)*($AI552+$AQ552+$AR552),0)</f>
        <v>0.259989351086256</v>
      </c>
      <c r="BD552" s="153" t="n">
        <f aca="false">IF(AND($N552="VCA",$AF552&gt;=1.25,$AF552&lt;1.5),$M552*$AF552*2,0)</f>
        <v>216.4444</v>
      </c>
      <c r="BE552" s="153" t="n">
        <f aca="false">IF(AND($N552="VCA",$AF552&gt;=1.5,$AF552&lt;3),$M552*$AF552*2,0)</f>
        <v>0</v>
      </c>
      <c r="BF552" s="153" t="n">
        <f aca="false">IF(AND($N552="VCA",$AF552&gt;=3),$M552*$AF552*2,0)</f>
        <v>0</v>
      </c>
      <c r="BG552" s="153" t="n">
        <f aca="false">($BB552+$BC552)*$AK552</f>
        <v>86.023548</v>
      </c>
      <c r="BH552" s="153" t="n">
        <f aca="false">IF(AND($M552&lt;&gt;"",$N552="VCA",$Q552="LINEAR"),($M552*2)/100,IF(AND($M552&lt;&gt;"",$N552="MND",$Q552="EMBOQUE"),($AN552*2)/100,0))</f>
        <v>1.588</v>
      </c>
      <c r="BI552" s="153" t="n">
        <f aca="false">IF(AND($M552&lt;&gt;"",$N552="VCA",$Q552="LINEAR"),$M552,IF(AND($M552&lt;&gt;"",$N552="MND",$Q552="EMBOQUE"),$AN552*2,0))</f>
        <v>79.4</v>
      </c>
      <c r="BJ552" s="153" t="n">
        <f aca="false">IF(AND($M552&lt;&gt;"",$N552="VCA",$Q552="LINEAR"),($M552*6.8)/100,IF(AND($M552&lt;&gt;"",$N552="MND",$Q552="EMBOQUE"),($AN552*2*6.8)/100,0))</f>
        <v>5.3992</v>
      </c>
      <c r="BK552" s="153" t="n">
        <f aca="false">IF(AND($M552&lt;&gt;"",$N552="VCA",$Q552="LINEAR"),($M552*2.5)/50,IF(AND($M552&lt;&gt;"",$N552="MND",$Q552="EMBOQUE"),($AN552*2*2.5)/50,0))</f>
        <v>3.97</v>
      </c>
      <c r="BL552" s="157" t="str">
        <f aca="false">K552&amp;J552</f>
        <v>Zona05REDES</v>
      </c>
      <c r="BM552" s="152" t="s">
        <v>3356</v>
      </c>
      <c r="BN552" s="152" t="s">
        <v>1560</v>
      </c>
      <c r="BO552" s="152" t="s">
        <v>2952</v>
      </c>
      <c r="BP552" s="152" t="s">
        <v>3642</v>
      </c>
      <c r="BQ552" s="152" t="s">
        <v>3469</v>
      </c>
      <c r="BR552" s="152" t="s">
        <v>3643</v>
      </c>
      <c r="BS552" s="152" t="n">
        <v>203753.878</v>
      </c>
      <c r="BT552" s="152" t="n">
        <v>8237634.587</v>
      </c>
      <c r="BU552" s="152" t="n">
        <v>203736.501</v>
      </c>
      <c r="BV552" s="152" t="n">
        <v>8237707.05</v>
      </c>
      <c r="BW552" s="152" t="n">
        <v>-15.9225186</v>
      </c>
      <c r="BX552" s="152" t="n">
        <v>-47.7669481</v>
      </c>
      <c r="BY552" s="152" t="s">
        <v>3642</v>
      </c>
    </row>
    <row r="553" customFormat="false" ht="13.8" hidden="false" customHeight="false" outlineLevel="0" collapsed="false">
      <c r="A553" s="149" t="n">
        <f aca="false">IF(C553&lt;&gt;"",ROW(A548),"")</f>
        <v>548</v>
      </c>
      <c r="B553" s="150" t="str">
        <f aca="false">HYPERLINK("https://www.google.com/maps/dir/-15.917302,-47.760003/-15.9240850,-47.7750448/data=!4m3!4m2!3e0!5i2")</f>
        <v>https://www.google.com/maps/dir/-15.917302,-47.760003/-15.9240850,-47.7750448/data=!4m3!4m2!3e0!5i2</v>
      </c>
      <c r="C553" s="151" t="s">
        <v>117</v>
      </c>
      <c r="D553" s="152" t="s">
        <v>112</v>
      </c>
      <c r="E553" s="152" t="s">
        <v>113</v>
      </c>
      <c r="F553" s="152" t="s">
        <v>117</v>
      </c>
      <c r="G553" s="152" t="s">
        <v>782</v>
      </c>
      <c r="H553" s="152" t="n">
        <v>63</v>
      </c>
      <c r="I553" s="152" t="s">
        <v>115</v>
      </c>
      <c r="J553" s="152" t="s">
        <v>6</v>
      </c>
      <c r="K553" s="152" t="s">
        <v>3352</v>
      </c>
      <c r="L553" s="152" t="s">
        <v>120</v>
      </c>
      <c r="M553" s="153" t="n">
        <f aca="false">39.1</f>
        <v>39.1</v>
      </c>
      <c r="N553" s="152" t="s">
        <v>1548</v>
      </c>
      <c r="O553" s="152" t="s">
        <v>1549</v>
      </c>
      <c r="P553" s="152" t="s">
        <v>1550</v>
      </c>
      <c r="Q553" s="152" t="s">
        <v>1551</v>
      </c>
      <c r="R553" s="154" t="s">
        <v>3644</v>
      </c>
      <c r="S553" s="154" t="s">
        <v>1553</v>
      </c>
      <c r="T553" s="155" t="s">
        <v>2487</v>
      </c>
      <c r="U553" s="152" t="str">
        <f aca="false">RIGHT(T553,7)</f>
        <v>011/037</v>
      </c>
      <c r="V553" s="152" t="s">
        <v>1555</v>
      </c>
      <c r="W553" s="156" t="n">
        <v>45882</v>
      </c>
      <c r="X553" s="152" t="s">
        <v>1594</v>
      </c>
      <c r="Y553" s="152" t="s">
        <v>2242</v>
      </c>
      <c r="Z553" s="152" t="s">
        <v>1557</v>
      </c>
      <c r="AA553" s="153" t="n">
        <v>3.9</v>
      </c>
      <c r="AB553" s="151" t="s">
        <v>3645</v>
      </c>
      <c r="AC553" s="151" t="s">
        <v>186</v>
      </c>
      <c r="AD553" s="151" t="str">
        <f aca="false">CONCATENATE($C553,$I553,$H553,$N553,$J553,$K553)</f>
        <v>TUBO PEADPEAD63VCAREDESZona05</v>
      </c>
      <c r="AE553" s="153" t="n">
        <f aca="false">IFERROR(INDEX(APOIO_REDES!$A:$W,MATCH($C553&amp;$I553&amp;$H553&amp;$N553&amp;$O553,APOIO_REDES!$W:$W,0),MATCH(AE$5,APOIO_REDES!$5:$5,0)),0)</f>
        <v>1.2</v>
      </c>
      <c r="AF553" s="153" t="n">
        <f aca="false">IFERROR(INDEX(APOIO_REDES!$A:$W,MATCH($C553&amp;$I553&amp;$H553&amp;$N553&amp;$O553,APOIO_REDES!$W:$W,0),MATCH(AF$5,APOIO_REDES!$5:$5,0)),0)</f>
        <v>1.363</v>
      </c>
      <c r="AG553" s="153" t="n">
        <f aca="false">IFERROR(INDEX(APOIO_REDES!$A:$W,MATCH($C553&amp;$I553&amp;$H553&amp;$N553&amp;$O553,APOIO_REDES!$W:$W,0),MATCH(AG$5,APOIO_REDES!$5:$5,0)),0)</f>
        <v>0.65</v>
      </c>
      <c r="AH553" s="153" t="n">
        <f aca="false">IFERROR(INDEX(APOIO_REDES!$A:$W,MATCH($C553&amp;$I553&amp;$H553&amp;$N553&amp;$O553,APOIO_REDES!$W:$W,0),MATCH(AH$5,APOIO_REDES!$5:$5,0)),0)</f>
        <v>0.1</v>
      </c>
      <c r="AI553" s="153" t="n">
        <f aca="false">IFERROR(IF($H553&lt;&gt;"",(((($H553/1000)/2)^2)*PI()*$M553),0),0)</f>
        <v>0.121884291641507</v>
      </c>
      <c r="AJ553" s="153" t="n">
        <f aca="false">IFERROR(IF(AND($H553&lt;&gt;"",$I553="FoFo",OR($N553="MND",$N553="VCA"),$Q553="LINEAR"),0,IF(AND($H553&lt;&gt;"",$I553="PEAD",$N553="VCA",$Q553="LINEAR"),($H553/1000)+0.3,IF(AND($H553&lt;&gt;"",$I553="PEAD",$N553="MND",$Q553="EMBOQUE"),0,IF(AND($H553&lt;&gt;"",$I553="PVC",$N553="VCA",$Q553="LINEAR"),($H553/1000)+0.2,IF(AND($H553&lt;&gt;"",$I553="PVC",$N553="MND",$Q553="EMBOQUE"),0,IF(AND($H553&lt;&gt;"",$I553="PEAD",$N553="VCA",$Q553="PREDIAL"),0,0)))))),0)</f>
        <v>0.363</v>
      </c>
      <c r="AK553" s="153" t="n">
        <f aca="false">IF(AA553&lt;&gt;"",AA553,0)</f>
        <v>3.9</v>
      </c>
      <c r="AL553" s="153" t="n">
        <f aca="false">IF(AND($N553="MND",$Q553="EMBOQUE"),$M553,IF(AND($N553="VCA",$Q553="LINEAR"),$M553,IF(AND($N553="VCA",$Q553="PREDIAL"),0,0)))</f>
        <v>39.1</v>
      </c>
      <c r="AM553" s="153" t="n">
        <f aca="false">IF(AND($N553="MND",$Q553="EMBOQUE"),$M553,IF(AND($N553="VCA",$Q553="LINEAR"),$M553,IF(AND($N553="VCA",$Q553="PREDIAL"),0,0)))</f>
        <v>39.1</v>
      </c>
      <c r="AN553" s="153" t="n">
        <f aca="false">ROUND(IF(AND($N553="VCA",$M553&lt;&gt;"",$Q553="LINEAR"),$M553/100,IF(AND($N553="MND",$M553&gt;100,$Q553="EMBOQUE"),$M553/100,0)),0)</f>
        <v>0</v>
      </c>
      <c r="AO553" s="153" t="n">
        <f aca="false">IF(AND($N553="MND",$Q553="EMBOQUE"),$AN553*2*2,IF(AND($N553="VCA",$Q553="LINEAR"),$M553*2,IF(AND($N553="VCA",$Q553="PREDIAL"),0,0)))</f>
        <v>78.2</v>
      </c>
      <c r="AP553" s="153" t="n">
        <f aca="false">IFERROR($M553*$AF553*$AG553,0)</f>
        <v>34.640645</v>
      </c>
      <c r="AQ553" s="153" t="n">
        <f aca="false">IFERROR(IF(AND($N553="VCA",$AH553&gt;0),$M553*$AG553*$AH553,0),0)</f>
        <v>2.5415</v>
      </c>
      <c r="AR553" s="153" t="n">
        <f aca="false">IFERROR(IF(AND($N553="VCA",$AJ553&gt;0),($M553*$AG553*$AJ553)-$AI553,0),0)</f>
        <v>9.10376070835849</v>
      </c>
      <c r="AS553" s="153" t="n">
        <f aca="false">IFERROR(IF(AND($N553="VCA",$AP553&gt;0),$AP553-$AI553-$AQ553-$AR553,0),0)</f>
        <v>22.8735</v>
      </c>
      <c r="AT553" s="153" t="n">
        <f aca="false">IFERROR(IF($N553="VCA",INDEX(APOIO_REDES!$A:$W,MATCH($C553&amp;$I553&amp;$H553&amp;$N553&amp;$O553,APOIO_REDES!$W:$W,0),MATCH(AT$5,APOIO_REDES!$5:$5,0)),0)*$AP553,0)</f>
        <v>0.376900470707551</v>
      </c>
      <c r="AU553" s="153" t="n">
        <f aca="false">IFERROR(IF($N553="VCA",INDEX(APOIO_REDES!$A:$W,MATCH($C553&amp;$I553&amp;$H553&amp;$N553&amp;$O553,APOIO_REDES!$W:$W,0),MATCH(AU$5,APOIO_REDES!$5:$5,0)),0)*$AP553,0)</f>
        <v>0.300982508147751</v>
      </c>
      <c r="AV553" s="153" t="n">
        <f aca="false">IFERROR(IF($N553="VCA",INDEX(APOIO_REDES!$A:$W,MATCH($C553&amp;$I553&amp;$H553&amp;$N553&amp;$O553,APOIO_REDES!$W:$W,0),MATCH(AV$5,APOIO_REDES!$5:$5,0)),0)*$AP553,0)</f>
        <v>0.0416536163223187</v>
      </c>
      <c r="AW553" s="153" t="n">
        <f aca="false">IFERROR(IF($N553="VCA",INDEX(APOIO_REDES!$A:$W,MATCH($C553&amp;$I553&amp;$H553&amp;$N553&amp;$O553,APOIO_REDES!$W:$W,0),MATCH(AW$5,APOIO_REDES!$5:$5,0)),0)*$AP553,0)</f>
        <v>23.7776071368152</v>
      </c>
      <c r="AX553" s="153" t="n">
        <f aca="false">IFERROR(IF($N553="VCA",INDEX(APOIO_REDES!$A:$W,MATCH($C553&amp;$I553&amp;$H553&amp;$N553&amp;$O553,APOIO_REDES!$W:$W,0),MATCH(AX$5,APOIO_REDES!$5:$5,0)),0)*$AP553,0)</f>
        <v>3.2907530959392</v>
      </c>
      <c r="AY553" s="153" t="n">
        <f aca="false">IFERROR(IF($N553="VCA",INDEX(APOIO_REDES!$A:$W,MATCH($C553&amp;$I553&amp;$H553&amp;$N553&amp;$O553,APOIO_REDES!$W:$W,0),MATCH(AY$5,APOIO_REDES!$5:$5,0)),0)*$AP553,0)</f>
        <v>6.01964649400264</v>
      </c>
      <c r="AZ553" s="153" t="n">
        <f aca="false">IFERROR(IF($N553="VCA",INDEX(APOIO_REDES!$A:$W,MATCH($C553&amp;$I553&amp;$H553&amp;$N553&amp;$O553,APOIO_REDES!$W:$W,0),MATCH(AZ$5,APOIO_REDES!$5:$5,0)),0)*$AP553,0)</f>
        <v>0.83310167806538</v>
      </c>
      <c r="BA553" s="153" t="n">
        <f aca="false">IFERROR(IF(AND($N553="VCA",$Q553="LINEAR"),INDEX(APOIO_REDES!$A:$W,MATCH($C553&amp;$I553&amp;$H553&amp;$N553&amp;$O553,APOIO_REDES!$W:$W,0),MATCH(BA$5,APOIO_REDES!$5:$5,0)),IF(AND($N553="MND",$Q553="EMBOQUE"),INDEX(APOIO_REDES!$A:$W,MATCH($C553&amp;$I553&amp;$H553&amp;$N553&amp;$O553,APOIO_REDES!$W:$W,0),MATCH(BA$5,APOIO_REDES!$5:$5,0)),0))*$M553/10,0)</f>
        <v>3.15136137336941</v>
      </c>
      <c r="BB553" s="153" t="n">
        <f aca="false">IFERROR(IF($N553="VCA",INDEX(APOIO_REDES!$A:$W,MATCH($C553&amp;$I553&amp;$H553&amp;$N553&amp;$O553,APOIO_REDES!$W:$W,0),MATCH(BB$5,APOIO_REDES!$5:$5,0)),0)*($AI553+$AQ553+$AR553),0)</f>
        <v>11.6391149795029</v>
      </c>
      <c r="BC553" s="153" t="n">
        <f aca="false">IFERROR(IF($N553="VCA",INDEX(APOIO_REDES!$A:$W,MATCH($C553&amp;$I553&amp;$H553&amp;$N553&amp;$O553,APOIO_REDES!$W:$W,0),MATCH(BC$5,APOIO_REDES!$5:$5,0)),0)*($AI553+$AQ553+$AR553),0)</f>
        <v>0.128030020497136</v>
      </c>
      <c r="BD553" s="153" t="n">
        <f aca="false">IF(AND($N553="VCA",$AF553&gt;=1.25,$AF553&lt;1.5),$M553*$AF553*2,0)</f>
        <v>106.5866</v>
      </c>
      <c r="BE553" s="153" t="n">
        <f aca="false">IF(AND($N553="VCA",$AF553&gt;=1.5,$AF553&lt;3),$M553*$AF553*2,0)</f>
        <v>0</v>
      </c>
      <c r="BF553" s="153" t="n">
        <f aca="false">IF(AND($N553="VCA",$AF553&gt;=3),$M553*$AF553*2,0)</f>
        <v>0</v>
      </c>
      <c r="BG553" s="153" t="n">
        <f aca="false">($BB553+$BC553)*$AK553</f>
        <v>45.8918655</v>
      </c>
      <c r="BH553" s="153" t="n">
        <f aca="false">IF(AND($M553&lt;&gt;"",$N553="VCA",$Q553="LINEAR"),($M553*2)/100,IF(AND($M553&lt;&gt;"",$N553="MND",$Q553="EMBOQUE"),($AN553*2)/100,0))</f>
        <v>0.782</v>
      </c>
      <c r="BI553" s="153" t="n">
        <f aca="false">IF(AND($M553&lt;&gt;"",$N553="VCA",$Q553="LINEAR"),$M553,IF(AND($M553&lt;&gt;"",$N553="MND",$Q553="EMBOQUE"),$AN553*2,0))</f>
        <v>39.1</v>
      </c>
      <c r="BJ553" s="153" t="n">
        <f aca="false">IF(AND($M553&lt;&gt;"",$N553="VCA",$Q553="LINEAR"),($M553*6.8)/100,IF(AND($M553&lt;&gt;"",$N553="MND",$Q553="EMBOQUE"),($AN553*2*6.8)/100,0))</f>
        <v>2.6588</v>
      </c>
      <c r="BK553" s="153" t="n">
        <f aca="false">IF(AND($M553&lt;&gt;"",$N553="VCA",$Q553="LINEAR"),($M553*2.5)/50,IF(AND($M553&lt;&gt;"",$N553="MND",$Q553="EMBOQUE"),($AN553*2*2.5)/50,0))</f>
        <v>1.955</v>
      </c>
      <c r="BL553" s="157" t="str">
        <f aca="false">K553&amp;J553</f>
        <v>Zona05REDES</v>
      </c>
      <c r="BM553" s="152" t="s">
        <v>3356</v>
      </c>
      <c r="BN553" s="152" t="s">
        <v>1560</v>
      </c>
      <c r="BO553" s="152" t="s">
        <v>2489</v>
      </c>
      <c r="BP553" s="152" t="s">
        <v>3433</v>
      </c>
      <c r="BQ553" s="152" t="s">
        <v>3441</v>
      </c>
      <c r="BR553" s="152" t="s">
        <v>3646</v>
      </c>
      <c r="BS553" s="152" t="n">
        <v>202882.397</v>
      </c>
      <c r="BT553" s="152" t="n">
        <v>8237486.657</v>
      </c>
      <c r="BU553" s="152" t="n">
        <v>202861.027</v>
      </c>
      <c r="BV553" s="152" t="n">
        <v>8237453.983</v>
      </c>
      <c r="BW553" s="152" t="n">
        <v>-15.924232</v>
      </c>
      <c r="BX553" s="152" t="n">
        <v>-47.7751458</v>
      </c>
      <c r="BY553" s="152" t="s">
        <v>3433</v>
      </c>
    </row>
    <row r="554" customFormat="false" ht="13.8" hidden="false" customHeight="false" outlineLevel="0" collapsed="false">
      <c r="A554" s="149" t="n">
        <f aca="false">IF(C554&lt;&gt;"",ROW(A549),"")</f>
        <v>549</v>
      </c>
      <c r="B554" s="150" t="str">
        <f aca="false">HYPERLINK("https://www.google.com/maps/dir/-15.917302,-47.760003/-15.9242808,-47.7727767/data=!4m3!4m2!3e0!5i1")</f>
        <v>https://www.google.com/maps/dir/-15.917302,-47.760003/-15.9242808,-47.7727767/data=!4m3!4m2!3e0!5i1</v>
      </c>
      <c r="C554" s="151" t="s">
        <v>117</v>
      </c>
      <c r="D554" s="152" t="s">
        <v>112</v>
      </c>
      <c r="E554" s="152" t="s">
        <v>113</v>
      </c>
      <c r="F554" s="152" t="s">
        <v>117</v>
      </c>
      <c r="G554" s="152" t="s">
        <v>782</v>
      </c>
      <c r="H554" s="152" t="n">
        <v>63</v>
      </c>
      <c r="I554" s="152" t="s">
        <v>115</v>
      </c>
      <c r="J554" s="152" t="s">
        <v>6</v>
      </c>
      <c r="K554" s="152" t="s">
        <v>3352</v>
      </c>
      <c r="L554" s="152" t="s">
        <v>120</v>
      </c>
      <c r="M554" s="153" t="n">
        <f aca="false">34.9</f>
        <v>34.9</v>
      </c>
      <c r="N554" s="152" t="s">
        <v>1548</v>
      </c>
      <c r="O554" s="152" t="s">
        <v>1549</v>
      </c>
      <c r="P554" s="152" t="s">
        <v>1550</v>
      </c>
      <c r="Q554" s="152" t="s">
        <v>1551</v>
      </c>
      <c r="R554" s="154" t="s">
        <v>3647</v>
      </c>
      <c r="S554" s="154" t="s">
        <v>1553</v>
      </c>
      <c r="T554" s="155" t="s">
        <v>2487</v>
      </c>
      <c r="U554" s="152" t="str">
        <f aca="false">RIGHT(T554,7)</f>
        <v>011/037</v>
      </c>
      <c r="V554" s="152" t="s">
        <v>1555</v>
      </c>
      <c r="W554" s="156" t="n">
        <v>45882</v>
      </c>
      <c r="X554" s="152" t="s">
        <v>1594</v>
      </c>
      <c r="Y554" s="152" t="s">
        <v>3494</v>
      </c>
      <c r="Z554" s="152" t="s">
        <v>1557</v>
      </c>
      <c r="AA554" s="153" t="n">
        <v>3.6</v>
      </c>
      <c r="AB554" s="151" t="s">
        <v>3648</v>
      </c>
      <c r="AC554" s="151" t="s">
        <v>186</v>
      </c>
      <c r="AD554" s="151" t="str">
        <f aca="false">CONCATENATE($C554,$I554,$H554,$N554,$J554,$K554)</f>
        <v>TUBO PEADPEAD63VCAREDESZona05</v>
      </c>
      <c r="AE554" s="153" t="n">
        <f aca="false">IFERROR(INDEX(APOIO_REDES!$A:$W,MATCH($C554&amp;$I554&amp;$H554&amp;$N554&amp;$O554,APOIO_REDES!$W:$W,0),MATCH(AE$5,APOIO_REDES!$5:$5,0)),0)</f>
        <v>1.2</v>
      </c>
      <c r="AF554" s="153" t="n">
        <f aca="false">IFERROR(INDEX(APOIO_REDES!$A:$W,MATCH($C554&amp;$I554&amp;$H554&amp;$N554&amp;$O554,APOIO_REDES!$W:$W,0),MATCH(AF$5,APOIO_REDES!$5:$5,0)),0)</f>
        <v>1.363</v>
      </c>
      <c r="AG554" s="153" t="n">
        <f aca="false">IFERROR(INDEX(APOIO_REDES!$A:$W,MATCH($C554&amp;$I554&amp;$H554&amp;$N554&amp;$O554,APOIO_REDES!$W:$W,0),MATCH(AG$5,APOIO_REDES!$5:$5,0)),0)</f>
        <v>0.65</v>
      </c>
      <c r="AH554" s="153" t="n">
        <f aca="false">IFERROR(INDEX(APOIO_REDES!$A:$W,MATCH($C554&amp;$I554&amp;$H554&amp;$N554&amp;$O554,APOIO_REDES!$W:$W,0),MATCH(AH$5,APOIO_REDES!$5:$5,0)),0)</f>
        <v>0.1</v>
      </c>
      <c r="AI554" s="153" t="n">
        <f aca="false">IFERROR(IF($H554&lt;&gt;"",(((($H554/1000)/2)^2)*PI()*$M554),0),0)</f>
        <v>0.108791861337304</v>
      </c>
      <c r="AJ554" s="153" t="n">
        <f aca="false">IFERROR(IF(AND($H554&lt;&gt;"",$I554="FoFo",OR($N554="MND",$N554="VCA"),$Q554="LINEAR"),0,IF(AND($H554&lt;&gt;"",$I554="PEAD",$N554="VCA",$Q554="LINEAR"),($H554/1000)+0.3,IF(AND($H554&lt;&gt;"",$I554="PEAD",$N554="MND",$Q554="EMBOQUE"),0,IF(AND($H554&lt;&gt;"",$I554="PVC",$N554="VCA",$Q554="LINEAR"),($H554/1000)+0.2,IF(AND($H554&lt;&gt;"",$I554="PVC",$N554="MND",$Q554="EMBOQUE"),0,IF(AND($H554&lt;&gt;"",$I554="PEAD",$N554="VCA",$Q554="PREDIAL"),0,0)))))),0)</f>
        <v>0.363</v>
      </c>
      <c r="AK554" s="153" t="n">
        <f aca="false">IF(AA554&lt;&gt;"",AA554,0)</f>
        <v>3.6</v>
      </c>
      <c r="AL554" s="153" t="n">
        <f aca="false">IF(AND($N554="MND",$Q554="EMBOQUE"),$M554,IF(AND($N554="VCA",$Q554="LINEAR"),$M554,IF(AND($N554="VCA",$Q554="PREDIAL"),0,0)))</f>
        <v>34.9</v>
      </c>
      <c r="AM554" s="153" t="n">
        <f aca="false">IF(AND($N554="MND",$Q554="EMBOQUE"),$M554,IF(AND($N554="VCA",$Q554="LINEAR"),$M554,IF(AND($N554="VCA",$Q554="PREDIAL"),0,0)))</f>
        <v>34.9</v>
      </c>
      <c r="AN554" s="153" t="n">
        <f aca="false">ROUND(IF(AND($N554="VCA",$M554&lt;&gt;"",$Q554="LINEAR"),$M554/100,IF(AND($N554="MND",$M554&gt;100,$Q554="EMBOQUE"),$M554/100,0)),0)</f>
        <v>0</v>
      </c>
      <c r="AO554" s="153" t="n">
        <f aca="false">IF(AND($N554="MND",$Q554="EMBOQUE"),$AN554*2*2,IF(AND($N554="VCA",$Q554="LINEAR"),$M554*2,IF(AND($N554="VCA",$Q554="PREDIAL"),0,0)))</f>
        <v>69.8</v>
      </c>
      <c r="AP554" s="153" t="n">
        <f aca="false">IFERROR($M554*$AF554*$AG554,0)</f>
        <v>30.919655</v>
      </c>
      <c r="AQ554" s="153" t="n">
        <f aca="false">IFERROR(IF(AND($N554="VCA",$AH554&gt;0),$M554*$AG554*$AH554,0),0)</f>
        <v>2.2685</v>
      </c>
      <c r="AR554" s="153" t="n">
        <f aca="false">IFERROR(IF(AND($N554="VCA",$AJ554&gt;0),($M554*$AG554*$AJ554)-$AI554,0),0)</f>
        <v>8.1258631386627</v>
      </c>
      <c r="AS554" s="153" t="n">
        <f aca="false">IFERROR(IF(AND($N554="VCA",$AP554&gt;0),$AP554-$AI554-$AQ554-$AR554,0),0)</f>
        <v>20.4165</v>
      </c>
      <c r="AT554" s="153" t="n">
        <f aca="false">IFERROR(IF($N554="VCA",INDEX(APOIO_REDES!$A:$W,MATCH($C554&amp;$I554&amp;$H554&amp;$N554&amp;$O554,APOIO_REDES!$W:$W,0),MATCH(AT$5,APOIO_REDES!$5:$5,0)),0)*$AP554,0)</f>
        <v>0.33641499815073</v>
      </c>
      <c r="AU554" s="153" t="n">
        <f aca="false">IFERROR(IF($N554="VCA",INDEX(APOIO_REDES!$A:$W,MATCH($C554&amp;$I554&amp;$H554&amp;$N554&amp;$O554,APOIO_REDES!$W:$W,0),MATCH(AU$5,APOIO_REDES!$5:$5,0)),0)*$AP554,0)</f>
        <v>0.268651906249527</v>
      </c>
      <c r="AV554" s="153" t="n">
        <f aca="false">IFERROR(IF($N554="VCA",INDEX(APOIO_REDES!$A:$W,MATCH($C554&amp;$I554&amp;$H554&amp;$N554&amp;$O554,APOIO_REDES!$W:$W,0),MATCH(AV$5,APOIO_REDES!$5:$5,0)),0)*$AP554,0)</f>
        <v>0.0371793148247806</v>
      </c>
      <c r="AW554" s="153" t="n">
        <f aca="false">IFERROR(IF($N554="VCA",INDEX(APOIO_REDES!$A:$W,MATCH($C554&amp;$I554&amp;$H554&amp;$N554&amp;$O554,APOIO_REDES!$W:$W,0),MATCH(AW$5,APOIO_REDES!$5:$5,0)),0)*$AP554,0)</f>
        <v>21.2234907691777</v>
      </c>
      <c r="AX554" s="153" t="n">
        <f aca="false">IFERROR(IF($N554="VCA",INDEX(APOIO_REDES!$A:$W,MATCH($C554&amp;$I554&amp;$H554&amp;$N554&amp;$O554,APOIO_REDES!$W:$W,0),MATCH(AX$5,APOIO_REDES!$5:$5,0)),0)*$AP554,0)</f>
        <v>2.93727066619637</v>
      </c>
      <c r="AY554" s="153" t="n">
        <f aca="false">IFERROR(IF($N554="VCA",INDEX(APOIO_REDES!$A:$W,MATCH($C554&amp;$I554&amp;$H554&amp;$N554&amp;$O554,APOIO_REDES!$W:$W,0),MATCH(AY$5,APOIO_REDES!$5:$5,0)),0)*$AP554,0)</f>
        <v>5.37303485014558</v>
      </c>
      <c r="AZ554" s="153" t="n">
        <f aca="false">IFERROR(IF($N554="VCA",INDEX(APOIO_REDES!$A:$W,MATCH($C554&amp;$I554&amp;$H554&amp;$N554&amp;$O554,APOIO_REDES!$W:$W,0),MATCH(AZ$5,APOIO_REDES!$5:$5,0)),0)*$AP554,0)</f>
        <v>0.743612495255288</v>
      </c>
      <c r="BA554" s="153" t="n">
        <f aca="false">IFERROR(IF(AND($N554="VCA",$Q554="LINEAR"),INDEX(APOIO_REDES!$A:$W,MATCH($C554&amp;$I554&amp;$H554&amp;$N554&amp;$O554,APOIO_REDES!$W:$W,0),MATCH(BA$5,APOIO_REDES!$5:$5,0)),IF(AND($N554="MND",$Q554="EMBOQUE"),INDEX(APOIO_REDES!$A:$W,MATCH($C554&amp;$I554&amp;$H554&amp;$N554&amp;$O554,APOIO_REDES!$W:$W,0),MATCH(BA$5,APOIO_REDES!$5:$5,0)),0))*$M554/10,0)</f>
        <v>2.81285196753433</v>
      </c>
      <c r="BB554" s="153" t="n">
        <f aca="false">IFERROR(IF($N554="VCA",INDEX(APOIO_REDES!$A:$W,MATCH($C554&amp;$I554&amp;$H554&amp;$N554&amp;$O554,APOIO_REDES!$W:$W,0),MATCH(BB$5,APOIO_REDES!$5:$5,0)),0)*($AI554+$AQ554+$AR554),0)</f>
        <v>10.3888775648248</v>
      </c>
      <c r="BC554" s="153" t="n">
        <f aca="false">IFERROR(IF($N554="VCA",INDEX(APOIO_REDES!$A:$W,MATCH($C554&amp;$I554&amp;$H554&amp;$N554&amp;$O554,APOIO_REDES!$W:$W,0),MATCH(BC$5,APOIO_REDES!$5:$5,0)),0)*($AI554+$AQ554+$AR554),0)</f>
        <v>0.114277435175193</v>
      </c>
      <c r="BD554" s="153" t="n">
        <f aca="false">IF(AND($N554="VCA",$AF554&gt;=1.25,$AF554&lt;1.5),$M554*$AF554*2,0)</f>
        <v>95.1374</v>
      </c>
      <c r="BE554" s="153" t="n">
        <f aca="false">IF(AND($N554="VCA",$AF554&gt;=1.5,$AF554&lt;3),$M554*$AF554*2,0)</f>
        <v>0</v>
      </c>
      <c r="BF554" s="153" t="n">
        <f aca="false">IF(AND($N554="VCA",$AF554&gt;=3),$M554*$AF554*2,0)</f>
        <v>0</v>
      </c>
      <c r="BG554" s="153" t="n">
        <f aca="false">($BB554+$BC554)*$AK554</f>
        <v>37.811358</v>
      </c>
      <c r="BH554" s="153" t="n">
        <f aca="false">IF(AND($M554&lt;&gt;"",$N554="VCA",$Q554="LINEAR"),($M554*2)/100,IF(AND($M554&lt;&gt;"",$N554="MND",$Q554="EMBOQUE"),($AN554*2)/100,0))</f>
        <v>0.698</v>
      </c>
      <c r="BI554" s="153" t="n">
        <f aca="false">IF(AND($M554&lt;&gt;"",$N554="VCA",$Q554="LINEAR"),$M554,IF(AND($M554&lt;&gt;"",$N554="MND",$Q554="EMBOQUE"),$AN554*2,0))</f>
        <v>34.9</v>
      </c>
      <c r="BJ554" s="153" t="n">
        <f aca="false">IF(AND($M554&lt;&gt;"",$N554="VCA",$Q554="LINEAR"),($M554*6.8)/100,IF(AND($M554&lt;&gt;"",$N554="MND",$Q554="EMBOQUE"),($AN554*2*6.8)/100,0))</f>
        <v>2.3732</v>
      </c>
      <c r="BK554" s="153" t="n">
        <f aca="false">IF(AND($M554&lt;&gt;"",$N554="VCA",$Q554="LINEAR"),($M554*2.5)/50,IF(AND($M554&lt;&gt;"",$N554="MND",$Q554="EMBOQUE"),($AN554*2*2.5)/50,0))</f>
        <v>1.745</v>
      </c>
      <c r="BL554" s="157" t="str">
        <f aca="false">K554&amp;J554</f>
        <v>Zona05REDES</v>
      </c>
      <c r="BM554" s="152" t="s">
        <v>3356</v>
      </c>
      <c r="BN554" s="152" t="s">
        <v>1560</v>
      </c>
      <c r="BO554" s="152" t="s">
        <v>2489</v>
      </c>
      <c r="BP554" s="152" t="s">
        <v>3600</v>
      </c>
      <c r="BQ554" s="152" t="s">
        <v>3620</v>
      </c>
      <c r="BR554" s="152" t="s">
        <v>3649</v>
      </c>
      <c r="BS554" s="152" t="n">
        <v>203125.688</v>
      </c>
      <c r="BT554" s="152" t="n">
        <v>8237468.213</v>
      </c>
      <c r="BU554" s="152" t="n">
        <v>203155.57</v>
      </c>
      <c r="BV554" s="152" t="n">
        <v>8237450.232</v>
      </c>
      <c r="BW554" s="152" t="n">
        <v>-15.92436</v>
      </c>
      <c r="BX554" s="152" t="n">
        <v>-47.7726361</v>
      </c>
      <c r="BY554" s="152" t="s">
        <v>3600</v>
      </c>
    </row>
    <row r="555" customFormat="false" ht="13.8" hidden="false" customHeight="false" outlineLevel="0" collapsed="false">
      <c r="A555" s="149" t="n">
        <f aca="false">IF(C555&lt;&gt;"",ROW(A550),"")</f>
        <v>550</v>
      </c>
      <c r="B555" s="150" t="str">
        <f aca="false">HYPERLINK("https://www.google.com/maps/dir/-15.917302,-47.760003/-15.9238692,-47.7757237/data=!4m3!4m2!3e0!5i2")</f>
        <v>https://www.google.com/maps/dir/-15.917302,-47.760003/-15.9238692,-47.7757237/data=!4m3!4m2!3e0!5i2</v>
      </c>
      <c r="C555" s="151" t="s">
        <v>117</v>
      </c>
      <c r="D555" s="152" t="s">
        <v>112</v>
      </c>
      <c r="E555" s="152" t="s">
        <v>113</v>
      </c>
      <c r="F555" s="152" t="s">
        <v>117</v>
      </c>
      <c r="G555" s="152" t="s">
        <v>114</v>
      </c>
      <c r="H555" s="152" t="n">
        <v>160</v>
      </c>
      <c r="I555" s="152" t="s">
        <v>115</v>
      </c>
      <c r="J555" s="152" t="s">
        <v>6</v>
      </c>
      <c r="K555" s="152" t="s">
        <v>3352</v>
      </c>
      <c r="L555" s="152" t="s">
        <v>120</v>
      </c>
      <c r="M555" s="153" t="n">
        <f aca="false">108.92+0.18</f>
        <v>109.1</v>
      </c>
      <c r="N555" s="152" t="s">
        <v>1548</v>
      </c>
      <c r="O555" s="152" t="s">
        <v>1549</v>
      </c>
      <c r="P555" s="152" t="s">
        <v>1550</v>
      </c>
      <c r="Q555" s="152" t="s">
        <v>1551</v>
      </c>
      <c r="R555" s="154" t="s">
        <v>3650</v>
      </c>
      <c r="S555" s="154" t="s">
        <v>1593</v>
      </c>
      <c r="T555" s="155" t="s">
        <v>2487</v>
      </c>
      <c r="U555" s="152" t="str">
        <f aca="false">RIGHT(T555,7)</f>
        <v>011/037</v>
      </c>
      <c r="V555" s="152" t="s">
        <v>1555</v>
      </c>
      <c r="W555" s="156" t="n">
        <v>45882</v>
      </c>
      <c r="X555" s="152" t="s">
        <v>1594</v>
      </c>
      <c r="Y555" s="152" t="s">
        <v>2242</v>
      </c>
      <c r="Z555" s="152" t="s">
        <v>1557</v>
      </c>
      <c r="AA555" s="153" t="n">
        <v>3.8</v>
      </c>
      <c r="AB555" s="151" t="s">
        <v>3651</v>
      </c>
      <c r="AC555" s="151" t="s">
        <v>505</v>
      </c>
      <c r="AD555" s="151" t="str">
        <f aca="false">CONCATENATE($C555,$I555,$H555,$N555,$J555,$K555)</f>
        <v>TUBO PEADPEAD160VCAREDESZona05</v>
      </c>
      <c r="AE555" s="153" t="n">
        <f aca="false">IFERROR(INDEX(APOIO_REDES!$A:$W,MATCH($C555&amp;$I555&amp;$H555&amp;$N555&amp;$O555,APOIO_REDES!$W:$W,0),MATCH(AE$5,APOIO_REDES!$5:$5,0)),0)</f>
        <v>1.2</v>
      </c>
      <c r="AF555" s="153" t="n">
        <f aca="false">IFERROR(INDEX(APOIO_REDES!$A:$W,MATCH($C555&amp;$I555&amp;$H555&amp;$N555&amp;$O555,APOIO_REDES!$W:$W,0),MATCH(AF$5,APOIO_REDES!$5:$5,0)),0)</f>
        <v>1.46</v>
      </c>
      <c r="AG555" s="153" t="n">
        <f aca="false">IFERROR(INDEX(APOIO_REDES!$A:$W,MATCH($C555&amp;$I555&amp;$H555&amp;$N555&amp;$O555,APOIO_REDES!$W:$W,0),MATCH(AG$5,APOIO_REDES!$5:$5,0)),0)</f>
        <v>0.75</v>
      </c>
      <c r="AH555" s="153" t="n">
        <f aca="false">IFERROR(INDEX(APOIO_REDES!$A:$W,MATCH($C555&amp;$I555&amp;$H555&amp;$N555&amp;$O555,APOIO_REDES!$W:$W,0),MATCH(AH$5,APOIO_REDES!$5:$5,0)),0)</f>
        <v>0.1</v>
      </c>
      <c r="AI555" s="153" t="n">
        <f aca="false">IFERROR(IF($H555&lt;&gt;"",(((($H555/1000)/2)^2)*PI()*$M555),0),0)</f>
        <v>2.19358565444254</v>
      </c>
      <c r="AJ555" s="153" t="n">
        <f aca="false">IFERROR(IF(AND($H555&lt;&gt;"",$I555="FoFo",OR($N555="MND",$N555="VCA"),$Q555="LINEAR"),0,IF(AND($H555&lt;&gt;"",$I555="PEAD",$N555="VCA",$Q555="LINEAR"),($H555/1000)+0.3,IF(AND($H555&lt;&gt;"",$I555="PEAD",$N555="MND",$Q555="EMBOQUE"),0,IF(AND($H555&lt;&gt;"",$I555="PVC",$N555="VCA",$Q555="LINEAR"),($H555/1000)+0.2,IF(AND($H555&lt;&gt;"",$I555="PVC",$N555="MND",$Q555="EMBOQUE"),0,IF(AND($H555&lt;&gt;"",$I555="PEAD",$N555="VCA",$Q555="PREDIAL"),0,0)))))),0)</f>
        <v>0.46</v>
      </c>
      <c r="AK555" s="153" t="n">
        <f aca="false">IF(AA555&lt;&gt;"",AA555,0)</f>
        <v>3.8</v>
      </c>
      <c r="AL555" s="153" t="n">
        <f aca="false">IF(AND($N555="MND",$Q555="EMBOQUE"),$M555,IF(AND($N555="VCA",$Q555="LINEAR"),$M555,IF(AND($N555="VCA",$Q555="PREDIAL"),0,0)))</f>
        <v>109.1</v>
      </c>
      <c r="AM555" s="153" t="n">
        <f aca="false">IF(AND($N555="MND",$Q555="EMBOQUE"),$M555,IF(AND($N555="VCA",$Q555="LINEAR"),$M555,IF(AND($N555="VCA",$Q555="PREDIAL"),0,0)))</f>
        <v>109.1</v>
      </c>
      <c r="AN555" s="153" t="n">
        <f aca="false">ROUND(IF(AND($N555="VCA",$M555&lt;&gt;"",$Q555="LINEAR"),$M555/100,IF(AND($N555="MND",$M555&gt;100,$Q555="EMBOQUE"),$M555/100,0)),0)</f>
        <v>1</v>
      </c>
      <c r="AO555" s="153" t="n">
        <f aca="false">IF(AND($N555="MND",$Q555="EMBOQUE"),$AN555*2*2,IF(AND($N555="VCA",$Q555="LINEAR"),$M555*2,IF(AND($N555="VCA",$Q555="PREDIAL"),0,0)))</f>
        <v>218.2</v>
      </c>
      <c r="AP555" s="153" t="n">
        <f aca="false">IFERROR($M555*$AF555*$AG555,0)</f>
        <v>119.4645</v>
      </c>
      <c r="AQ555" s="153" t="n">
        <f aca="false">IFERROR(IF(AND($N555="VCA",$AH555&gt;0),$M555*$AG555*$AH555,0),0)</f>
        <v>8.1825</v>
      </c>
      <c r="AR555" s="153" t="n">
        <f aca="false">IFERROR(IF(AND($N555="VCA",$AJ555&gt;0),($M555*$AG555*$AJ555)-$AI555,0),0)</f>
        <v>35.4459143455575</v>
      </c>
      <c r="AS555" s="153" t="n">
        <f aca="false">IFERROR(IF(AND($N555="VCA",$AP555&gt;0),$AP555-$AI555-$AQ555-$AR555,0),0)</f>
        <v>73.6425</v>
      </c>
      <c r="AT555" s="153" t="n">
        <f aca="false">IFERROR(IF($N555="VCA",INDEX(APOIO_REDES!$A:$W,MATCH($C555&amp;$I555&amp;$H555&amp;$N555&amp;$O555,APOIO_REDES!$W:$W,0),MATCH(AT$5,APOIO_REDES!$5:$5,0)),0)*$AP555,0)</f>
        <v>1.29980911968707</v>
      </c>
      <c r="AU555" s="153" t="n">
        <f aca="false">IFERROR(IF($N555="VCA",INDEX(APOIO_REDES!$A:$W,MATCH($C555&amp;$I555&amp;$H555&amp;$N555&amp;$O555,APOIO_REDES!$W:$W,0),MATCH(AU$5,APOIO_REDES!$5:$5,0)),0)*$AP555,0)</f>
        <v>1.03799235968663</v>
      </c>
      <c r="AV555" s="153" t="n">
        <f aca="false">IFERROR(IF($N555="VCA",INDEX(APOIO_REDES!$A:$W,MATCH($C555&amp;$I555&amp;$H555&amp;$N555&amp;$O555,APOIO_REDES!$W:$W,0),MATCH(AV$5,APOIO_REDES!$5:$5,0)),0)*$AP555,0)</f>
        <v>0.143649994021117</v>
      </c>
      <c r="AW555" s="153" t="n">
        <f aca="false">IFERROR(IF($N555="VCA",INDEX(APOIO_REDES!$A:$W,MATCH($C555&amp;$I555&amp;$H555&amp;$N555&amp;$O555,APOIO_REDES!$W:$W,0),MATCH(AW$5,APOIO_REDES!$5:$5,0)),0)*$AP555,0)</f>
        <v>82.0013584561158</v>
      </c>
      <c r="AX555" s="153" t="n">
        <f aca="false">IFERROR(IF($N555="VCA",INDEX(APOIO_REDES!$A:$W,MATCH($C555&amp;$I555&amp;$H555&amp;$N555&amp;$O555,APOIO_REDES!$W:$W,0),MATCH(AX$5,APOIO_REDES!$5:$5,0)),0)*$AP555,0)</f>
        <v>11.3487544250353</v>
      </c>
      <c r="AY555" s="153" t="n">
        <f aca="false">IFERROR(IF($N555="VCA",INDEX(APOIO_REDES!$A:$W,MATCH($C555&amp;$I555&amp;$H555&amp;$N555&amp;$O555,APOIO_REDES!$W:$W,0),MATCH(AY$5,APOIO_REDES!$5:$5,0)),0)*$AP555,0)</f>
        <v>20.7598345406899</v>
      </c>
      <c r="AZ555" s="153" t="n">
        <f aca="false">IFERROR(IF($N555="VCA",INDEX(APOIO_REDES!$A:$W,MATCH($C555&amp;$I555&amp;$H555&amp;$N555&amp;$O555,APOIO_REDES!$W:$W,0),MATCH(AZ$5,APOIO_REDES!$5:$5,0)),0)*$AP555,0)</f>
        <v>2.87310110476412</v>
      </c>
      <c r="BA555" s="153" t="n">
        <f aca="false">IFERROR(IF(AND($N555="VCA",$Q555="LINEAR"),INDEX(APOIO_REDES!$A:$W,MATCH($C555&amp;$I555&amp;$H555&amp;$N555&amp;$O555,APOIO_REDES!$W:$W,0),MATCH(BA$5,APOIO_REDES!$5:$5,0)),IF(AND($N555="MND",$Q555="EMBOQUE"),INDEX(APOIO_REDES!$A:$W,MATCH($C555&amp;$I555&amp;$H555&amp;$N555&amp;$O555,APOIO_REDES!$W:$W,0),MATCH(BA$5,APOIO_REDES!$5:$5,0)),0))*$M555/10,0)</f>
        <v>8.79318480395403</v>
      </c>
      <c r="BB555" s="153" t="n">
        <f aca="false">IFERROR(IF($N555="VCA",INDEX(APOIO_REDES!$A:$W,MATCH($C555&amp;$I555&amp;$H555&amp;$N555&amp;$O555,APOIO_REDES!$W:$W,0),MATCH(BB$5,APOIO_REDES!$5:$5,0)),0)*($AI555+$AQ555+$AR555),0)</f>
        <v>45.3234430773803</v>
      </c>
      <c r="BC555" s="153" t="n">
        <f aca="false">IFERROR(IF($N555="VCA",INDEX(APOIO_REDES!$A:$W,MATCH($C555&amp;$I555&amp;$H555&amp;$N555&amp;$O555,APOIO_REDES!$W:$W,0),MATCH(BC$5,APOIO_REDES!$5:$5,0)),0)*($AI555+$AQ555+$AR555),0)</f>
        <v>0.498556922619698</v>
      </c>
      <c r="BD555" s="153" t="n">
        <f aca="false">IF(AND($N555="VCA",$AF555&gt;=1.25,$AF555&lt;1.5),$M555*$AF555*2,0)</f>
        <v>318.572</v>
      </c>
      <c r="BE555" s="153" t="n">
        <f aca="false">IF(AND($N555="VCA",$AF555&gt;=1.5,$AF555&lt;3),$M555*$AF555*2,0)</f>
        <v>0</v>
      </c>
      <c r="BF555" s="153" t="n">
        <f aca="false">IF(AND($N555="VCA",$AF555&gt;=3),$M555*$AF555*2,0)</f>
        <v>0</v>
      </c>
      <c r="BG555" s="153" t="n">
        <f aca="false">($BB555+$BC555)*$AK555</f>
        <v>174.1236</v>
      </c>
      <c r="BH555" s="153" t="n">
        <f aca="false">IF(AND($M555&lt;&gt;"",$N555="VCA",$Q555="LINEAR"),($M555*2)/100,IF(AND($M555&lt;&gt;"",$N555="MND",$Q555="EMBOQUE"),($AN555*2)/100,0))</f>
        <v>2.182</v>
      </c>
      <c r="BI555" s="153" t="n">
        <f aca="false">IF(AND($M555&lt;&gt;"",$N555="VCA",$Q555="LINEAR"),$M555,IF(AND($M555&lt;&gt;"",$N555="MND",$Q555="EMBOQUE"),$AN555*2,0))</f>
        <v>109.1</v>
      </c>
      <c r="BJ555" s="153" t="n">
        <f aca="false">IF(AND($M555&lt;&gt;"",$N555="VCA",$Q555="LINEAR"),($M555*6.8)/100,IF(AND($M555&lt;&gt;"",$N555="MND",$Q555="EMBOQUE"),($AN555*2*6.8)/100,0))</f>
        <v>7.4188</v>
      </c>
      <c r="BK555" s="153" t="n">
        <f aca="false">IF(AND($M555&lt;&gt;"",$N555="VCA",$Q555="LINEAR"),($M555*2.5)/50,IF(AND($M555&lt;&gt;"",$N555="MND",$Q555="EMBOQUE"),($AN555*2*2.5)/50,0))</f>
        <v>5.455</v>
      </c>
      <c r="BL555" s="157" t="str">
        <f aca="false">K555&amp;J555</f>
        <v>Zona05REDES</v>
      </c>
      <c r="BM555" s="152" t="s">
        <v>3356</v>
      </c>
      <c r="BN555" s="152" t="s">
        <v>1560</v>
      </c>
      <c r="BO555" s="152" t="s">
        <v>2489</v>
      </c>
      <c r="BP555" s="152" t="s">
        <v>3429</v>
      </c>
      <c r="BQ555" s="152" t="s">
        <v>3652</v>
      </c>
      <c r="BR555" s="152" t="s">
        <v>3653</v>
      </c>
      <c r="BS555" s="152" t="n">
        <v>202809.344</v>
      </c>
      <c r="BT555" s="152" t="n">
        <v>8237509.589</v>
      </c>
      <c r="BU555" s="152" t="n">
        <v>202827.66</v>
      </c>
      <c r="BV555" s="152" t="n">
        <v>8237415.344</v>
      </c>
      <c r="BW555" s="152" t="n">
        <v>-15.9243247</v>
      </c>
      <c r="BX555" s="152" t="n">
        <v>-47.7758541</v>
      </c>
      <c r="BY555" s="152" t="s">
        <v>3429</v>
      </c>
    </row>
    <row r="556" customFormat="false" ht="13.8" hidden="false" customHeight="false" outlineLevel="0" collapsed="false">
      <c r="A556" s="149" t="n">
        <f aca="false">IF(C556&lt;&gt;"",ROW(A551),"")</f>
        <v>551</v>
      </c>
      <c r="B556" s="150" t="str">
        <f aca="false">HYPERLINK("https://www.google.com/maps/dir/-15.917302,-47.760003/-15.9243775,-47.7752483/data=!4m3!4m2!3e0!5i0")</f>
        <v>https://www.google.com/maps/dir/-15.917302,-47.760003/-15.9243775,-47.7752483/data=!4m3!4m2!3e0!5i0</v>
      </c>
      <c r="C556" s="151" t="s">
        <v>117</v>
      </c>
      <c r="D556" s="152" t="s">
        <v>112</v>
      </c>
      <c r="E556" s="152" t="s">
        <v>113</v>
      </c>
      <c r="F556" s="152" t="s">
        <v>117</v>
      </c>
      <c r="G556" s="152" t="s">
        <v>782</v>
      </c>
      <c r="H556" s="152" t="n">
        <v>63</v>
      </c>
      <c r="I556" s="152" t="s">
        <v>115</v>
      </c>
      <c r="J556" s="152" t="s">
        <v>6</v>
      </c>
      <c r="K556" s="152" t="s">
        <v>3352</v>
      </c>
      <c r="L556" s="152" t="s">
        <v>120</v>
      </c>
      <c r="M556" s="153" t="n">
        <f aca="false">50.51+0.52</f>
        <v>51.03</v>
      </c>
      <c r="N556" s="152" t="s">
        <v>1548</v>
      </c>
      <c r="O556" s="152" t="s">
        <v>1549</v>
      </c>
      <c r="P556" s="152" t="s">
        <v>1550</v>
      </c>
      <c r="Q556" s="152" t="s">
        <v>1551</v>
      </c>
      <c r="R556" s="154" t="s">
        <v>3654</v>
      </c>
      <c r="S556" s="154" t="s">
        <v>1553</v>
      </c>
      <c r="T556" s="155" t="s">
        <v>2487</v>
      </c>
      <c r="U556" s="152" t="str">
        <f aca="false">RIGHT(T556,7)</f>
        <v>011/037</v>
      </c>
      <c r="V556" s="152" t="s">
        <v>1555</v>
      </c>
      <c r="W556" s="156" t="n">
        <v>45882</v>
      </c>
      <c r="X556" s="152" t="s">
        <v>1594</v>
      </c>
      <c r="Y556" s="152" t="s">
        <v>2242</v>
      </c>
      <c r="Z556" s="152" t="s">
        <v>1557</v>
      </c>
      <c r="AA556" s="153" t="n">
        <v>3.5</v>
      </c>
      <c r="AB556" s="151" t="s">
        <v>3655</v>
      </c>
      <c r="AC556" s="151" t="s">
        <v>186</v>
      </c>
      <c r="AD556" s="151" t="str">
        <f aca="false">CONCATENATE($C556,$I556,$H556,$N556,$J556,$K556)</f>
        <v>TUBO PEADPEAD63VCAREDESZona05</v>
      </c>
      <c r="AE556" s="153" t="n">
        <f aca="false">IFERROR(INDEX(APOIO_REDES!$A:$W,MATCH($C556&amp;$I556&amp;$H556&amp;$N556&amp;$O556,APOIO_REDES!$W:$W,0),MATCH(AE$5,APOIO_REDES!$5:$5,0)),0)</f>
        <v>1.2</v>
      </c>
      <c r="AF556" s="153" t="n">
        <f aca="false">IFERROR(INDEX(APOIO_REDES!$A:$W,MATCH($C556&amp;$I556&amp;$H556&amp;$N556&amp;$O556,APOIO_REDES!$W:$W,0),MATCH(AF$5,APOIO_REDES!$5:$5,0)),0)</f>
        <v>1.363</v>
      </c>
      <c r="AG556" s="153" t="n">
        <f aca="false">IFERROR(INDEX(APOIO_REDES!$A:$W,MATCH($C556&amp;$I556&amp;$H556&amp;$N556&amp;$O556,APOIO_REDES!$W:$W,0),MATCH(AG$5,APOIO_REDES!$5:$5,0)),0)</f>
        <v>0.65</v>
      </c>
      <c r="AH556" s="153" t="n">
        <f aca="false">IFERROR(INDEX(APOIO_REDES!$A:$W,MATCH($C556&amp;$I556&amp;$H556&amp;$N556&amp;$O556,APOIO_REDES!$W:$W,0),MATCH(AH$5,APOIO_REDES!$5:$5,0)),0)</f>
        <v>0.1</v>
      </c>
      <c r="AI556" s="153" t="n">
        <f aca="false">IFERROR(IF($H556&lt;&gt;"",(((($H556/1000)/2)^2)*PI()*$M556),0),0)</f>
        <v>0.159073028196064</v>
      </c>
      <c r="AJ556" s="153" t="n">
        <f aca="false">IFERROR(IF(AND($H556&lt;&gt;"",$I556="FoFo",OR($N556="MND",$N556="VCA"),$Q556="LINEAR"),0,IF(AND($H556&lt;&gt;"",$I556="PEAD",$N556="VCA",$Q556="LINEAR"),($H556/1000)+0.3,IF(AND($H556&lt;&gt;"",$I556="PEAD",$N556="MND",$Q556="EMBOQUE"),0,IF(AND($H556&lt;&gt;"",$I556="PVC",$N556="VCA",$Q556="LINEAR"),($H556/1000)+0.2,IF(AND($H556&lt;&gt;"",$I556="PVC",$N556="MND",$Q556="EMBOQUE"),0,IF(AND($H556&lt;&gt;"",$I556="PEAD",$N556="VCA",$Q556="PREDIAL"),0,0)))))),0)</f>
        <v>0.363</v>
      </c>
      <c r="AK556" s="153" t="n">
        <f aca="false">IF(AA556&lt;&gt;"",AA556,0)</f>
        <v>3.5</v>
      </c>
      <c r="AL556" s="153" t="n">
        <f aca="false">IF(AND($N556="MND",$Q556="EMBOQUE"),$M556,IF(AND($N556="VCA",$Q556="LINEAR"),$M556,IF(AND($N556="VCA",$Q556="PREDIAL"),0,0)))</f>
        <v>51.03</v>
      </c>
      <c r="AM556" s="153" t="n">
        <f aca="false">IF(AND($N556="MND",$Q556="EMBOQUE"),$M556,IF(AND($N556="VCA",$Q556="LINEAR"),$M556,IF(AND($N556="VCA",$Q556="PREDIAL"),0,0)))</f>
        <v>51.03</v>
      </c>
      <c r="AN556" s="153" t="n">
        <f aca="false">ROUND(IF(AND($N556="VCA",$M556&lt;&gt;"",$Q556="LINEAR"),$M556/100,IF(AND($N556="MND",$M556&gt;100,$Q556="EMBOQUE"),$M556/100,0)),0)</f>
        <v>1</v>
      </c>
      <c r="AO556" s="153" t="n">
        <f aca="false">IF(AND($N556="MND",$Q556="EMBOQUE"),$AN556*2*2,IF(AND($N556="VCA",$Q556="LINEAR"),$M556*2,IF(AND($N556="VCA",$Q556="PREDIAL"),0,0)))</f>
        <v>102.06</v>
      </c>
      <c r="AP556" s="153" t="n">
        <f aca="false">IFERROR($M556*$AF556*$AG556,0)</f>
        <v>45.2100285</v>
      </c>
      <c r="AQ556" s="153" t="n">
        <f aca="false">IFERROR(IF(AND($N556="VCA",$AH556&gt;0),$M556*$AG556*$AH556,0),0)</f>
        <v>3.31695</v>
      </c>
      <c r="AR556" s="153" t="n">
        <f aca="false">IFERROR(IF(AND($N556="VCA",$AJ556&gt;0),($M556*$AG556*$AJ556)-$AI556,0),0)</f>
        <v>11.8814554718039</v>
      </c>
      <c r="AS556" s="153" t="n">
        <f aca="false">IFERROR(IF(AND($N556="VCA",$AP556&gt;0),$AP556-$AI556-$AQ556-$AR556,0),0)</f>
        <v>29.85255</v>
      </c>
      <c r="AT556" s="153" t="n">
        <f aca="false">IFERROR(IF($N556="VCA",INDEX(APOIO_REDES!$A:$W,MATCH($C556&amp;$I556&amp;$H556&amp;$N556&amp;$O556,APOIO_REDES!$W:$W,0),MATCH(AT$5,APOIO_REDES!$5:$5,0)),0)*$AP556,0)</f>
        <v>0.49189849156538</v>
      </c>
      <c r="AU556" s="153" t="n">
        <f aca="false">IFERROR(IF($N556="VCA",INDEX(APOIO_REDES!$A:$W,MATCH($C556&amp;$I556&amp;$H556&amp;$N556&amp;$O556,APOIO_REDES!$W:$W,0),MATCH(AU$5,APOIO_REDES!$5:$5,0)),0)*$AP556,0)</f>
        <v>0.39281681306342</v>
      </c>
      <c r="AV556" s="153" t="n">
        <f aca="false">IFERROR(IF($N556="VCA",INDEX(APOIO_REDES!$A:$W,MATCH($C556&amp;$I556&amp;$H556&amp;$N556&amp;$O556,APOIO_REDES!$W:$W,0),MATCH(AV$5,APOIO_REDES!$5:$5,0)),0)*$AP556,0)</f>
        <v>0.0543627631950875</v>
      </c>
      <c r="AW556" s="153" t="n">
        <f aca="false">IFERROR(IF($N556="VCA",INDEX(APOIO_REDES!$A:$W,MATCH($C556&amp;$I556&amp;$H556&amp;$N556&amp;$O556,APOIO_REDES!$W:$W,0),MATCH(AW$5,APOIO_REDES!$5:$5,0)),0)*$AP556,0)</f>
        <v>31.0325138667948</v>
      </c>
      <c r="AX556" s="153" t="n">
        <f aca="false">IFERROR(IF($N556="VCA",INDEX(APOIO_REDES!$A:$W,MATCH($C556&amp;$I556&amp;$H556&amp;$N556&amp;$O556,APOIO_REDES!$W:$W,0),MATCH(AX$5,APOIO_REDES!$5:$5,0)),0)*$AP556,0)</f>
        <v>4.29481152137538</v>
      </c>
      <c r="AY556" s="153" t="n">
        <f aca="false">IFERROR(IF($N556="VCA",INDEX(APOIO_REDES!$A:$W,MATCH($C556&amp;$I556&amp;$H556&amp;$N556&amp;$O556,APOIO_REDES!$W:$W,0),MATCH(AY$5,APOIO_REDES!$5:$5,0)),0)*$AP556,0)</f>
        <v>7.85633147286329</v>
      </c>
      <c r="AZ556" s="153" t="n">
        <f aca="false">IFERROR(IF($N556="VCA",INDEX(APOIO_REDES!$A:$W,MATCH($C556&amp;$I556&amp;$H556&amp;$N556&amp;$O556,APOIO_REDES!$W:$W,0),MATCH(AZ$5,APOIO_REDES!$5:$5,0)),0)*$AP556,0)</f>
        <v>1.08729357114262</v>
      </c>
      <c r="BA556" s="153" t="n">
        <f aca="false">IFERROR(IF(AND($N556="VCA",$Q556="LINEAR"),INDEX(APOIO_REDES!$A:$W,MATCH($C556&amp;$I556&amp;$H556&amp;$N556&amp;$O556,APOIO_REDES!$W:$W,0),MATCH(BA$5,APOIO_REDES!$5:$5,0)),IF(AND($N556="MND",$Q556="EMBOQUE"),INDEX(APOIO_REDES!$A:$W,MATCH($C556&amp;$I556&amp;$H556&amp;$N556&amp;$O556,APOIO_REDES!$W:$W,0),MATCH(BA$5,APOIO_REDES!$5:$5,0)),0))*$M556/10,0)</f>
        <v>4.11288928089619</v>
      </c>
      <c r="BB556" s="153" t="n">
        <f aca="false">IFERROR(IF($N556="VCA",INDEX(APOIO_REDES!$A:$W,MATCH($C556&amp;$I556&amp;$H556&amp;$N556&amp;$O556,APOIO_REDES!$W:$W,0),MATCH(BB$5,APOIO_REDES!$5:$5,0)),0)*($AI556+$AQ556+$AR556),0)</f>
        <v>15.1903845883384</v>
      </c>
      <c r="BC556" s="153" t="n">
        <f aca="false">IFERROR(IF($N556="VCA",INDEX(APOIO_REDES!$A:$W,MATCH($C556&amp;$I556&amp;$H556&amp;$N556&amp;$O556,APOIO_REDES!$W:$W,0),MATCH(BC$5,APOIO_REDES!$5:$5,0)),0)*($AI556+$AQ556+$AR556),0)</f>
        <v>0.167093911661607</v>
      </c>
      <c r="BD556" s="153" t="n">
        <f aca="false">IF(AND($N556="VCA",$AF556&gt;=1.25,$AF556&lt;1.5),$M556*$AF556*2,0)</f>
        <v>139.10778</v>
      </c>
      <c r="BE556" s="153" t="n">
        <f aca="false">IF(AND($N556="VCA",$AF556&gt;=1.5,$AF556&lt;3),$M556*$AF556*2,0)</f>
        <v>0</v>
      </c>
      <c r="BF556" s="153" t="n">
        <f aca="false">IF(AND($N556="VCA",$AF556&gt;=3),$M556*$AF556*2,0)</f>
        <v>0</v>
      </c>
      <c r="BG556" s="153" t="n">
        <f aca="false">($BB556+$BC556)*$AK556</f>
        <v>53.75117475</v>
      </c>
      <c r="BH556" s="153" t="n">
        <f aca="false">IF(AND($M556&lt;&gt;"",$N556="VCA",$Q556="LINEAR"),($M556*2)/100,IF(AND($M556&lt;&gt;"",$N556="MND",$Q556="EMBOQUE"),($AN556*2)/100,0))</f>
        <v>1.0206</v>
      </c>
      <c r="BI556" s="153" t="n">
        <f aca="false">IF(AND($M556&lt;&gt;"",$N556="VCA",$Q556="LINEAR"),$M556,IF(AND($M556&lt;&gt;"",$N556="MND",$Q556="EMBOQUE"),$AN556*2,0))</f>
        <v>51.03</v>
      </c>
      <c r="BJ556" s="153" t="n">
        <f aca="false">IF(AND($M556&lt;&gt;"",$N556="VCA",$Q556="LINEAR"),($M556*6.8)/100,IF(AND($M556&lt;&gt;"",$N556="MND",$Q556="EMBOQUE"),($AN556*2*6.8)/100,0))</f>
        <v>3.47004</v>
      </c>
      <c r="BK556" s="153" t="n">
        <f aca="false">IF(AND($M556&lt;&gt;"",$N556="VCA",$Q556="LINEAR"),($M556*2.5)/50,IF(AND($M556&lt;&gt;"",$N556="MND",$Q556="EMBOQUE"),($AN556*2*2.5)/50,0))</f>
        <v>2.5515</v>
      </c>
      <c r="BL556" s="157" t="str">
        <f aca="false">K556&amp;J556</f>
        <v>Zona05REDES</v>
      </c>
      <c r="BM556" s="152" t="s">
        <v>3356</v>
      </c>
      <c r="BN556" s="152" t="s">
        <v>1560</v>
      </c>
      <c r="BO556" s="152" t="s">
        <v>2489</v>
      </c>
      <c r="BP556" s="152" t="s">
        <v>3441</v>
      </c>
      <c r="BQ556" s="152" t="s">
        <v>3652</v>
      </c>
      <c r="BR556" s="152" t="s">
        <v>3656</v>
      </c>
      <c r="BS556" s="152" t="n">
        <v>202861.027</v>
      </c>
      <c r="BT556" s="152" t="n">
        <v>8237453.983</v>
      </c>
      <c r="BU556" s="152" t="n">
        <v>202828.087</v>
      </c>
      <c r="BV556" s="152" t="n">
        <v>8237415.71</v>
      </c>
      <c r="BW556" s="152" t="n">
        <v>-15.9245471</v>
      </c>
      <c r="BX556" s="152" t="n">
        <v>-47.7754057</v>
      </c>
      <c r="BY556" s="152" t="s">
        <v>3441</v>
      </c>
    </row>
    <row r="557" customFormat="false" ht="13.8" hidden="false" customHeight="false" outlineLevel="0" collapsed="false">
      <c r="A557" s="149" t="n">
        <f aca="false">IF(C557&lt;&gt;"",ROW(A552),"")</f>
        <v>552</v>
      </c>
      <c r="B557" s="150" t="str">
        <f aca="false">HYPERLINK("https://www.google.com/maps/dir/-15.917302,-47.760003/-15.9242808,-47.7727767/data=!4m3!4m2!3e0!5i1")</f>
        <v>https://www.google.com/maps/dir/-15.917302,-47.760003/-15.9242808,-47.7727767/data=!4m3!4m2!3e0!5i1</v>
      </c>
      <c r="C557" s="151" t="s">
        <v>117</v>
      </c>
      <c r="D557" s="152" t="s">
        <v>112</v>
      </c>
      <c r="E557" s="152" t="s">
        <v>113</v>
      </c>
      <c r="F557" s="152" t="s">
        <v>117</v>
      </c>
      <c r="G557" s="152" t="s">
        <v>782</v>
      </c>
      <c r="H557" s="152" t="n">
        <v>63</v>
      </c>
      <c r="I557" s="152" t="s">
        <v>115</v>
      </c>
      <c r="J557" s="152" t="s">
        <v>6</v>
      </c>
      <c r="K557" s="152" t="s">
        <v>3352</v>
      </c>
      <c r="L557" s="152" t="s">
        <v>120</v>
      </c>
      <c r="M557" s="153" t="n">
        <f aca="false">94.49+4.04</f>
        <v>98.53</v>
      </c>
      <c r="N557" s="152" t="s">
        <v>1548</v>
      </c>
      <c r="O557" s="152" t="s">
        <v>1549</v>
      </c>
      <c r="P557" s="152" t="s">
        <v>1550</v>
      </c>
      <c r="Q557" s="152" t="s">
        <v>1551</v>
      </c>
      <c r="R557" s="154" t="s">
        <v>3657</v>
      </c>
      <c r="S557" s="154" t="s">
        <v>1553</v>
      </c>
      <c r="T557" s="155" t="s">
        <v>2487</v>
      </c>
      <c r="U557" s="152" t="str">
        <f aca="false">RIGHT(T557,7)</f>
        <v>011/037</v>
      </c>
      <c r="V557" s="152" t="s">
        <v>1555</v>
      </c>
      <c r="W557" s="156" t="n">
        <v>45882</v>
      </c>
      <c r="X557" s="152" t="s">
        <v>1594</v>
      </c>
      <c r="Y557" s="152" t="s">
        <v>3494</v>
      </c>
      <c r="Z557" s="152" t="s">
        <v>1557</v>
      </c>
      <c r="AA557" s="153" t="n">
        <v>3.6</v>
      </c>
      <c r="AB557" s="151" t="s">
        <v>3658</v>
      </c>
      <c r="AC557" s="151" t="s">
        <v>186</v>
      </c>
      <c r="AD557" s="151" t="str">
        <f aca="false">CONCATENATE($C557,$I557,$H557,$N557,$J557,$K557)</f>
        <v>TUBO PEADPEAD63VCAREDESZona05</v>
      </c>
      <c r="AE557" s="153" t="n">
        <f aca="false">IFERROR(INDEX(APOIO_REDES!$A:$W,MATCH($C557&amp;$I557&amp;$H557&amp;$N557&amp;$O557,APOIO_REDES!$W:$W,0),MATCH(AE$5,APOIO_REDES!$5:$5,0)),0)</f>
        <v>1.2</v>
      </c>
      <c r="AF557" s="153" t="n">
        <f aca="false">IFERROR(INDEX(APOIO_REDES!$A:$W,MATCH($C557&amp;$I557&amp;$H557&amp;$N557&amp;$O557,APOIO_REDES!$W:$W,0),MATCH(AF$5,APOIO_REDES!$5:$5,0)),0)</f>
        <v>1.363</v>
      </c>
      <c r="AG557" s="153" t="n">
        <f aca="false">IFERROR(INDEX(APOIO_REDES!$A:$W,MATCH($C557&amp;$I557&amp;$H557&amp;$N557&amp;$O557,APOIO_REDES!$W:$W,0),MATCH(AG$5,APOIO_REDES!$5:$5,0)),0)</f>
        <v>0.65</v>
      </c>
      <c r="AH557" s="153" t="n">
        <f aca="false">IFERROR(INDEX(APOIO_REDES!$A:$W,MATCH($C557&amp;$I557&amp;$H557&amp;$N557&amp;$O557,APOIO_REDES!$W:$W,0),MATCH(AH$5,APOIO_REDES!$5:$5,0)),0)</f>
        <v>0.1</v>
      </c>
      <c r="AI557" s="153" t="n">
        <f aca="false">IFERROR(IF($H557&lt;&gt;"",(((($H557/1000)/2)^2)*PI()*$M557),0),0)</f>
        <v>0.307142180445976</v>
      </c>
      <c r="AJ557" s="153" t="n">
        <f aca="false">IFERROR(IF(AND($H557&lt;&gt;"",$I557="FoFo",OR($N557="MND",$N557="VCA"),$Q557="LINEAR"),0,IF(AND($H557&lt;&gt;"",$I557="PEAD",$N557="VCA",$Q557="LINEAR"),($H557/1000)+0.3,IF(AND($H557&lt;&gt;"",$I557="PEAD",$N557="MND",$Q557="EMBOQUE"),0,IF(AND($H557&lt;&gt;"",$I557="PVC",$N557="VCA",$Q557="LINEAR"),($H557/1000)+0.2,IF(AND($H557&lt;&gt;"",$I557="PVC",$N557="MND",$Q557="EMBOQUE"),0,IF(AND($H557&lt;&gt;"",$I557="PEAD",$N557="VCA",$Q557="PREDIAL"),0,0)))))),0)</f>
        <v>0.363</v>
      </c>
      <c r="AK557" s="153" t="n">
        <f aca="false">IF(AA557&lt;&gt;"",AA557,0)</f>
        <v>3.6</v>
      </c>
      <c r="AL557" s="153" t="n">
        <f aca="false">IF(AND($N557="MND",$Q557="EMBOQUE"),$M557,IF(AND($N557="VCA",$Q557="LINEAR"),$M557,IF(AND($N557="VCA",$Q557="PREDIAL"),0,0)))</f>
        <v>98.53</v>
      </c>
      <c r="AM557" s="153" t="n">
        <f aca="false">IF(AND($N557="MND",$Q557="EMBOQUE"),$M557,IF(AND($N557="VCA",$Q557="LINEAR"),$M557,IF(AND($N557="VCA",$Q557="PREDIAL"),0,0)))</f>
        <v>98.53</v>
      </c>
      <c r="AN557" s="153" t="n">
        <f aca="false">ROUND(IF(AND($N557="VCA",$M557&lt;&gt;"",$Q557="LINEAR"),$M557/100,IF(AND($N557="MND",$M557&gt;100,$Q557="EMBOQUE"),$M557/100,0)),0)</f>
        <v>1</v>
      </c>
      <c r="AO557" s="153" t="n">
        <f aca="false">IF(AND($N557="MND",$Q557="EMBOQUE"),$AN557*2*2,IF(AND($N557="VCA",$Q557="LINEAR"),$M557*2,IF(AND($N557="VCA",$Q557="PREDIAL"),0,0)))</f>
        <v>197.06</v>
      </c>
      <c r="AP557" s="153" t="n">
        <f aca="false">IFERROR($M557*$AF557*$AG557,0)</f>
        <v>87.2926535</v>
      </c>
      <c r="AQ557" s="153" t="n">
        <f aca="false">IFERROR(IF(AND($N557="VCA",$AH557&gt;0),$M557*$AG557*$AH557,0),0)</f>
        <v>6.40445</v>
      </c>
      <c r="AR557" s="153" t="n">
        <f aca="false">IFERROR(IF(AND($N557="VCA",$AJ557&gt;0),($M557*$AG557*$AJ557)-$AI557,0),0)</f>
        <v>22.941011319554</v>
      </c>
      <c r="AS557" s="153" t="n">
        <f aca="false">IFERROR(IF(AND($N557="VCA",$AP557&gt;0),$AP557-$AI557-$AQ557-$AR557,0),0)</f>
        <v>57.64005</v>
      </c>
      <c r="AT557" s="153" t="n">
        <f aca="false">IFERROR(IF($N557="VCA",INDEX(APOIO_REDES!$A:$W,MATCH($C557&amp;$I557&amp;$H557&amp;$N557&amp;$O557,APOIO_REDES!$W:$W,0),MATCH(AT$5,APOIO_REDES!$5:$5,0)),0)*$AP557,0)</f>
        <v>0.949769907386574</v>
      </c>
      <c r="AU557" s="153" t="n">
        <f aca="false">IFERROR(IF($N557="VCA",INDEX(APOIO_REDES!$A:$W,MATCH($C557&amp;$I557&amp;$H557&amp;$N557&amp;$O557,APOIO_REDES!$W:$W,0),MATCH(AU$5,APOIO_REDES!$5:$5,0)),0)*$AP557,0)</f>
        <v>0.758460525007618</v>
      </c>
      <c r="AV557" s="153" t="n">
        <f aca="false">IFERROR(IF($N557="VCA",INDEX(APOIO_REDES!$A:$W,MATCH($C557&amp;$I557&amp;$H557&amp;$N557&amp;$O557,APOIO_REDES!$W:$W,0),MATCH(AV$5,APOIO_REDES!$5:$5,0)),0)*$AP557,0)</f>
        <v>0.104964982512482</v>
      </c>
      <c r="AW557" s="153" t="n">
        <f aca="false">IFERROR(IF($N557="VCA",INDEX(APOIO_REDES!$A:$W,MATCH($C557&amp;$I557&amp;$H557&amp;$N557&amp;$O557,APOIO_REDES!$W:$W,0),MATCH(AW$5,APOIO_REDES!$5:$5,0)),0)*$AP557,0)</f>
        <v>59.9183537388849</v>
      </c>
      <c r="AX557" s="153" t="n">
        <f aca="false">IFERROR(IF($N557="VCA",INDEX(APOIO_REDES!$A:$W,MATCH($C557&amp;$I557&amp;$H557&amp;$N557&amp;$O557,APOIO_REDES!$W:$W,0),MATCH(AX$5,APOIO_REDES!$5:$5,0)),0)*$AP557,0)</f>
        <v>8.29252947680024</v>
      </c>
      <c r="AY557" s="153" t="n">
        <f aca="false">IFERROR(IF($N557="VCA",INDEX(APOIO_REDES!$A:$W,MATCH($C557&amp;$I557&amp;$H557&amp;$N557&amp;$O557,APOIO_REDES!$W:$W,0),MATCH(AY$5,APOIO_REDES!$5:$5,0)),0)*$AP557,0)</f>
        <v>15.16920125458</v>
      </c>
      <c r="AZ557" s="153" t="n">
        <f aca="false">IFERROR(IF($N557="VCA",INDEX(APOIO_REDES!$A:$W,MATCH($C557&amp;$I557&amp;$H557&amp;$N557&amp;$O557,APOIO_REDES!$W:$W,0),MATCH(AZ$5,APOIO_REDES!$5:$5,0)),0)*$AP557,0)</f>
        <v>2.09937361482818</v>
      </c>
      <c r="BA557" s="153" t="n">
        <f aca="false">IFERROR(IF(AND($N557="VCA",$Q557="LINEAR"),INDEX(APOIO_REDES!$A:$W,MATCH($C557&amp;$I557&amp;$H557&amp;$N557&amp;$O557,APOIO_REDES!$W:$W,0),MATCH(BA$5,APOIO_REDES!$5:$5,0)),IF(AND($N557="MND",$Q557="EMBOQUE"),INDEX(APOIO_REDES!$A:$W,MATCH($C557&amp;$I557&amp;$H557&amp;$N557&amp;$O557,APOIO_REDES!$W:$W,0),MATCH(BA$5,APOIO_REDES!$5:$5,0)),0))*$M557/10,0)</f>
        <v>7.94126946593575</v>
      </c>
      <c r="BB557" s="153" t="n">
        <f aca="false">IFERROR(IF($N557="VCA",INDEX(APOIO_REDES!$A:$W,MATCH($C557&amp;$I557&amp;$H557&amp;$N557&amp;$O557,APOIO_REDES!$W:$W,0),MATCH(BB$5,APOIO_REDES!$5:$5,0)),0)*($AI557+$AQ557+$AR557),0)</f>
        <v>29.3299743971974</v>
      </c>
      <c r="BC557" s="153" t="n">
        <f aca="false">IFERROR(IF($N557="VCA",INDEX(APOIO_REDES!$A:$W,MATCH($C557&amp;$I557&amp;$H557&amp;$N557&amp;$O557,APOIO_REDES!$W:$W,0),MATCH(BC$5,APOIO_REDES!$5:$5,0)),0)*($AI557+$AQ557+$AR557),0)</f>
        <v>0.322629102802629</v>
      </c>
      <c r="BD557" s="153" t="n">
        <f aca="false">IF(AND($N557="VCA",$AF557&gt;=1.25,$AF557&lt;1.5),$M557*$AF557*2,0)</f>
        <v>268.59278</v>
      </c>
      <c r="BE557" s="153" t="n">
        <f aca="false">IF(AND($N557="VCA",$AF557&gt;=1.5,$AF557&lt;3),$M557*$AF557*2,0)</f>
        <v>0</v>
      </c>
      <c r="BF557" s="153" t="n">
        <f aca="false">IF(AND($N557="VCA",$AF557&gt;=3),$M557*$AF557*2,0)</f>
        <v>0</v>
      </c>
      <c r="BG557" s="153" t="n">
        <f aca="false">($BB557+$BC557)*$AK557</f>
        <v>106.7493726</v>
      </c>
      <c r="BH557" s="153" t="n">
        <f aca="false">IF(AND($M557&lt;&gt;"",$N557="VCA",$Q557="LINEAR"),($M557*2)/100,IF(AND($M557&lt;&gt;"",$N557="MND",$Q557="EMBOQUE"),($AN557*2)/100,0))</f>
        <v>1.9706</v>
      </c>
      <c r="BI557" s="153" t="n">
        <f aca="false">IF(AND($M557&lt;&gt;"",$N557="VCA",$Q557="LINEAR"),$M557,IF(AND($M557&lt;&gt;"",$N557="MND",$Q557="EMBOQUE"),$AN557*2,0))</f>
        <v>98.53</v>
      </c>
      <c r="BJ557" s="153" t="n">
        <f aca="false">IF(AND($M557&lt;&gt;"",$N557="VCA",$Q557="LINEAR"),($M557*6.8)/100,IF(AND($M557&lt;&gt;"",$N557="MND",$Q557="EMBOQUE"),($AN557*2*6.8)/100,0))</f>
        <v>6.70004</v>
      </c>
      <c r="BK557" s="153" t="n">
        <f aca="false">IF(AND($M557&lt;&gt;"",$N557="VCA",$Q557="LINEAR"),($M557*2.5)/50,IF(AND($M557&lt;&gt;"",$N557="MND",$Q557="EMBOQUE"),($AN557*2*2.5)/50,0))</f>
        <v>4.9265</v>
      </c>
      <c r="BL557" s="157" t="str">
        <f aca="false">K557&amp;J557</f>
        <v>Zona05REDES</v>
      </c>
      <c r="BM557" s="152" t="s">
        <v>3356</v>
      </c>
      <c r="BN557" s="152" t="s">
        <v>1560</v>
      </c>
      <c r="BO557" s="152" t="s">
        <v>2489</v>
      </c>
      <c r="BP557" s="152" t="s">
        <v>3600</v>
      </c>
      <c r="BQ557" s="152" t="s">
        <v>3659</v>
      </c>
      <c r="BR557" s="152" t="s">
        <v>3660</v>
      </c>
      <c r="BS557" s="152" t="n">
        <v>203125.69</v>
      </c>
      <c r="BT557" s="152" t="n">
        <v>8237468.217</v>
      </c>
      <c r="BU557" s="152" t="n">
        <v>203079.612</v>
      </c>
      <c r="BV557" s="152" t="n">
        <v>8237385.73</v>
      </c>
      <c r="BW557" s="152" t="n">
        <v>-15.9246507</v>
      </c>
      <c r="BX557" s="152" t="n">
        <v>-47.7729963</v>
      </c>
      <c r="BY557" s="152" t="s">
        <v>3600</v>
      </c>
    </row>
    <row r="558" customFormat="false" ht="13.8" hidden="false" customHeight="false" outlineLevel="0" collapsed="false">
      <c r="A558" s="149" t="n">
        <f aca="false">IF(C558&lt;&gt;"",ROW(A553),"")</f>
        <v>553</v>
      </c>
      <c r="B558" s="150" t="str">
        <f aca="false">HYPERLINK("https://www.google.com/maps/dir/-15.917302,-47.760003/-15.9247191,-47.7755604/data=!4m3!4m2!3e0!5i2")</f>
        <v>https://www.google.com/maps/dir/-15.917302,-47.760003/-15.9247191,-47.7755604/data=!4m3!4m2!3e0!5i2</v>
      </c>
      <c r="C558" s="151" t="s">
        <v>117</v>
      </c>
      <c r="D558" s="152" t="s">
        <v>112</v>
      </c>
      <c r="E558" s="152" t="s">
        <v>113</v>
      </c>
      <c r="F558" s="152" t="s">
        <v>117</v>
      </c>
      <c r="G558" s="152" t="s">
        <v>114</v>
      </c>
      <c r="H558" s="152" t="n">
        <v>160</v>
      </c>
      <c r="I558" s="152" t="s">
        <v>115</v>
      </c>
      <c r="J558" s="152" t="s">
        <v>6</v>
      </c>
      <c r="K558" s="152" t="s">
        <v>3352</v>
      </c>
      <c r="L558" s="152" t="s">
        <v>120</v>
      </c>
      <c r="M558" s="153" t="n">
        <f aca="false">60.44</f>
        <v>60.44</v>
      </c>
      <c r="N558" s="152" t="s">
        <v>1548</v>
      </c>
      <c r="O558" s="152" t="s">
        <v>1549</v>
      </c>
      <c r="P558" s="152" t="s">
        <v>1550</v>
      </c>
      <c r="Q558" s="152" t="s">
        <v>1551</v>
      </c>
      <c r="R558" s="154" t="s">
        <v>3661</v>
      </c>
      <c r="S558" s="154" t="s">
        <v>1593</v>
      </c>
      <c r="T558" s="155" t="s">
        <v>2487</v>
      </c>
      <c r="U558" s="152" t="str">
        <f aca="false">RIGHT(T558,7)</f>
        <v>011/037</v>
      </c>
      <c r="V558" s="152" t="s">
        <v>1555</v>
      </c>
      <c r="W558" s="156" t="n">
        <v>45882</v>
      </c>
      <c r="X558" s="152" t="s">
        <v>1594</v>
      </c>
      <c r="Y558" s="152" t="s">
        <v>2242</v>
      </c>
      <c r="Z558" s="152" t="s">
        <v>1557</v>
      </c>
      <c r="AA558" s="153" t="n">
        <v>4</v>
      </c>
      <c r="AB558" s="151" t="s">
        <v>3662</v>
      </c>
      <c r="AC558" s="151" t="s">
        <v>505</v>
      </c>
      <c r="AD558" s="151" t="str">
        <f aca="false">CONCATENATE($C558,$I558,$H558,$N558,$J558,$K558)</f>
        <v>TUBO PEADPEAD160VCAREDESZona05</v>
      </c>
      <c r="AE558" s="153" t="n">
        <f aca="false">IFERROR(INDEX(APOIO_REDES!$A:$W,MATCH($C558&amp;$I558&amp;$H558&amp;$N558&amp;$O558,APOIO_REDES!$W:$W,0),MATCH(AE$5,APOIO_REDES!$5:$5,0)),0)</f>
        <v>1.2</v>
      </c>
      <c r="AF558" s="153" t="n">
        <f aca="false">IFERROR(INDEX(APOIO_REDES!$A:$W,MATCH($C558&amp;$I558&amp;$H558&amp;$N558&amp;$O558,APOIO_REDES!$W:$W,0),MATCH(AF$5,APOIO_REDES!$5:$5,0)),0)</f>
        <v>1.46</v>
      </c>
      <c r="AG558" s="153" t="n">
        <f aca="false">IFERROR(INDEX(APOIO_REDES!$A:$W,MATCH($C558&amp;$I558&amp;$H558&amp;$N558&amp;$O558,APOIO_REDES!$W:$W,0),MATCH(AG$5,APOIO_REDES!$5:$5,0)),0)</f>
        <v>0.75</v>
      </c>
      <c r="AH558" s="153" t="n">
        <f aca="false">IFERROR(INDEX(APOIO_REDES!$A:$W,MATCH($C558&amp;$I558&amp;$H558&amp;$N558&amp;$O558,APOIO_REDES!$W:$W,0),MATCH(AH$5,APOIO_REDES!$5:$5,0)),0)</f>
        <v>0.1</v>
      </c>
      <c r="AI558" s="153" t="n">
        <f aca="false">IFERROR(IF($H558&lt;&gt;"",(((($H558/1000)/2)^2)*PI()*$M558),0),0)</f>
        <v>1.21521830389099</v>
      </c>
      <c r="AJ558" s="153" t="n">
        <f aca="false">IFERROR(IF(AND($H558&lt;&gt;"",$I558="FoFo",OR($N558="MND",$N558="VCA"),$Q558="LINEAR"),0,IF(AND($H558&lt;&gt;"",$I558="PEAD",$N558="VCA",$Q558="LINEAR"),($H558/1000)+0.3,IF(AND($H558&lt;&gt;"",$I558="PEAD",$N558="MND",$Q558="EMBOQUE"),0,IF(AND($H558&lt;&gt;"",$I558="PVC",$N558="VCA",$Q558="LINEAR"),($H558/1000)+0.2,IF(AND($H558&lt;&gt;"",$I558="PVC",$N558="MND",$Q558="EMBOQUE"),0,IF(AND($H558&lt;&gt;"",$I558="PEAD",$N558="VCA",$Q558="PREDIAL"),0,0)))))),0)</f>
        <v>0.46</v>
      </c>
      <c r="AK558" s="153" t="n">
        <f aca="false">IF(AA558&lt;&gt;"",AA558,0)</f>
        <v>4</v>
      </c>
      <c r="AL558" s="153" t="n">
        <f aca="false">IF(AND($N558="MND",$Q558="EMBOQUE"),$M558,IF(AND($N558="VCA",$Q558="LINEAR"),$M558,IF(AND($N558="VCA",$Q558="PREDIAL"),0,0)))</f>
        <v>60.44</v>
      </c>
      <c r="AM558" s="153" t="n">
        <f aca="false">IF(AND($N558="MND",$Q558="EMBOQUE"),$M558,IF(AND($N558="VCA",$Q558="LINEAR"),$M558,IF(AND($N558="VCA",$Q558="PREDIAL"),0,0)))</f>
        <v>60.44</v>
      </c>
      <c r="AN558" s="153" t="n">
        <f aca="false">ROUND(IF(AND($N558="VCA",$M558&lt;&gt;"",$Q558="LINEAR"),$M558/100,IF(AND($N558="MND",$M558&gt;100,$Q558="EMBOQUE"),$M558/100,0)),0)</f>
        <v>1</v>
      </c>
      <c r="AO558" s="153" t="n">
        <f aca="false">IF(AND($N558="MND",$Q558="EMBOQUE"),$AN558*2*2,IF(AND($N558="VCA",$Q558="LINEAR"),$M558*2,IF(AND($N558="VCA",$Q558="PREDIAL"),0,0)))</f>
        <v>120.88</v>
      </c>
      <c r="AP558" s="153" t="n">
        <f aca="false">IFERROR($M558*$AF558*$AG558,0)</f>
        <v>66.1818</v>
      </c>
      <c r="AQ558" s="153" t="n">
        <f aca="false">IFERROR(IF(AND($N558="VCA",$AH558&gt;0),$M558*$AG558*$AH558,0),0)</f>
        <v>4.533</v>
      </c>
      <c r="AR558" s="153" t="n">
        <f aca="false">IFERROR(IF(AND($N558="VCA",$AJ558&gt;0),($M558*$AG558*$AJ558)-$AI558,0),0)</f>
        <v>19.636581696109</v>
      </c>
      <c r="AS558" s="153" t="n">
        <f aca="false">IFERROR(IF(AND($N558="VCA",$AP558&gt;0),$AP558-$AI558-$AQ558-$AR558,0),0)</f>
        <v>40.797</v>
      </c>
      <c r="AT558" s="153" t="n">
        <f aca="false">IFERROR(IF($N558="VCA",INDEX(APOIO_REDES!$A:$W,MATCH($C558&amp;$I558&amp;$H558&amp;$N558&amp;$O558,APOIO_REDES!$W:$W,0),MATCH(AT$5,APOIO_REDES!$5:$5,0)),0)*$AP558,0)</f>
        <v>0.720077572812891</v>
      </c>
      <c r="AU558" s="153" t="n">
        <f aca="false">IFERROR(IF($N558="VCA",INDEX(APOIO_REDES!$A:$W,MATCH($C558&amp;$I558&amp;$H558&amp;$N558&amp;$O558,APOIO_REDES!$W:$W,0),MATCH(AU$5,APOIO_REDES!$5:$5,0)),0)*$AP558,0)</f>
        <v>0.575034447474428</v>
      </c>
      <c r="AV558" s="153" t="n">
        <f aca="false">IFERROR(IF($N558="VCA",INDEX(APOIO_REDES!$A:$W,MATCH($C558&amp;$I558&amp;$H558&amp;$N558&amp;$O558,APOIO_REDES!$W:$W,0),MATCH(AV$5,APOIO_REDES!$5:$5,0)),0)*$AP558,0)</f>
        <v>0.0795802533330551</v>
      </c>
      <c r="AW558" s="153" t="n">
        <f aca="false">IFERROR(IF($N558="VCA",INDEX(APOIO_REDES!$A:$W,MATCH($C558&amp;$I558&amp;$H558&amp;$N558&amp;$O558,APOIO_REDES!$W:$W,0),MATCH(AW$5,APOIO_REDES!$5:$5,0)),0)*$AP558,0)</f>
        <v>45.4277003216099</v>
      </c>
      <c r="AX558" s="153" t="n">
        <f aca="false">IFERROR(IF($N558="VCA",INDEX(APOIO_REDES!$A:$W,MATCH($C558&amp;$I558&amp;$H558&amp;$N558&amp;$O558,APOIO_REDES!$W:$W,0),MATCH(AX$5,APOIO_REDES!$5:$5,0)),0)*$AP558,0)</f>
        <v>6.28706432125698</v>
      </c>
      <c r="AY558" s="153" t="n">
        <f aca="false">IFERROR(IF($N558="VCA",INDEX(APOIO_REDES!$A:$W,MATCH($C558&amp;$I558&amp;$H558&amp;$N558&amp;$O558,APOIO_REDES!$W:$W,0),MATCH(AY$5,APOIO_REDES!$5:$5,0)),0)*$AP558,0)</f>
        <v>11.5006819398653</v>
      </c>
      <c r="AZ558" s="153" t="n">
        <f aca="false">IFERROR(IF($N558="VCA",INDEX(APOIO_REDES!$A:$W,MATCH($C558&amp;$I558&amp;$H558&amp;$N558&amp;$O558,APOIO_REDES!$W:$W,0),MATCH(AZ$5,APOIO_REDES!$5:$5,0)),0)*$AP558,0)</f>
        <v>1.59166114364751</v>
      </c>
      <c r="BA558" s="153" t="n">
        <f aca="false">IFERROR(IF(AND($N558="VCA",$Q558="LINEAR"),INDEX(APOIO_REDES!$A:$W,MATCH($C558&amp;$I558&amp;$H558&amp;$N558&amp;$O558,APOIO_REDES!$W:$W,0),MATCH(BA$5,APOIO_REDES!$5:$5,0)),IF(AND($N558="MND",$Q558="EMBOQUE"),INDEX(APOIO_REDES!$A:$W,MATCH($C558&amp;$I558&amp;$H558&amp;$N558&amp;$O558,APOIO_REDES!$W:$W,0),MATCH(BA$5,APOIO_REDES!$5:$5,0)),0))*$M558/10,0)</f>
        <v>4.87131154492192</v>
      </c>
      <c r="BB558" s="153" t="n">
        <f aca="false">IFERROR(IF($N558="VCA",INDEX(APOIO_REDES!$A:$W,MATCH($C558&amp;$I558&amp;$H558&amp;$N558&amp;$O558,APOIO_REDES!$W:$W,0),MATCH(BB$5,APOIO_REDES!$5:$5,0)),0)*($AI558+$AQ558+$AR558),0)</f>
        <v>25.1086058624827</v>
      </c>
      <c r="BC558" s="153" t="n">
        <f aca="false">IFERROR(IF($N558="VCA",INDEX(APOIO_REDES!$A:$W,MATCH($C558&amp;$I558&amp;$H558&amp;$N558&amp;$O558,APOIO_REDES!$W:$W,0),MATCH(BC$5,APOIO_REDES!$5:$5,0)),0)*($AI558+$AQ558+$AR558),0)</f>
        <v>0.276194137517273</v>
      </c>
      <c r="BD558" s="153" t="n">
        <f aca="false">IF(AND($N558="VCA",$AF558&gt;=1.25,$AF558&lt;1.5),$M558*$AF558*2,0)</f>
        <v>176.4848</v>
      </c>
      <c r="BE558" s="153" t="n">
        <f aca="false">IF(AND($N558="VCA",$AF558&gt;=1.5,$AF558&lt;3),$M558*$AF558*2,0)</f>
        <v>0</v>
      </c>
      <c r="BF558" s="153" t="n">
        <f aca="false">IF(AND($N558="VCA",$AF558&gt;=3),$M558*$AF558*2,0)</f>
        <v>0</v>
      </c>
      <c r="BG558" s="153" t="n">
        <f aca="false">($BB558+$BC558)*$AK558</f>
        <v>101.5392</v>
      </c>
      <c r="BH558" s="153" t="n">
        <f aca="false">IF(AND($M558&lt;&gt;"",$N558="VCA",$Q558="LINEAR"),($M558*2)/100,IF(AND($M558&lt;&gt;"",$N558="MND",$Q558="EMBOQUE"),($AN558*2)/100,0))</f>
        <v>1.2088</v>
      </c>
      <c r="BI558" s="153" t="n">
        <f aca="false">IF(AND($M558&lt;&gt;"",$N558="VCA",$Q558="LINEAR"),$M558,IF(AND($M558&lt;&gt;"",$N558="MND",$Q558="EMBOQUE"),$AN558*2,0))</f>
        <v>60.44</v>
      </c>
      <c r="BJ558" s="153" t="n">
        <f aca="false">IF(AND($M558&lt;&gt;"",$N558="VCA",$Q558="LINEAR"),($M558*6.8)/100,IF(AND($M558&lt;&gt;"",$N558="MND",$Q558="EMBOQUE"),($AN558*2*6.8)/100,0))</f>
        <v>4.10992</v>
      </c>
      <c r="BK558" s="153" t="n">
        <f aca="false">IF(AND($M558&lt;&gt;"",$N558="VCA",$Q558="LINEAR"),($M558*2.5)/50,IF(AND($M558&lt;&gt;"",$N558="MND",$Q558="EMBOQUE"),($AN558*2*2.5)/50,0))</f>
        <v>3.022</v>
      </c>
      <c r="BL558" s="157" t="str">
        <f aca="false">K558&amp;J558</f>
        <v>Zona05REDES</v>
      </c>
      <c r="BM558" s="152" t="s">
        <v>3356</v>
      </c>
      <c r="BN558" s="152" t="s">
        <v>1560</v>
      </c>
      <c r="BO558" s="152" t="s">
        <v>2489</v>
      </c>
      <c r="BP558" s="152" t="s">
        <v>3652</v>
      </c>
      <c r="BQ558" s="152" t="s">
        <v>3425</v>
      </c>
      <c r="BR558" s="152" t="s">
        <v>3663</v>
      </c>
      <c r="BS558" s="152" t="n">
        <v>202827.774</v>
      </c>
      <c r="BT558" s="152" t="n">
        <v>8237415.211</v>
      </c>
      <c r="BU558" s="152" t="n">
        <v>202868.21</v>
      </c>
      <c r="BV558" s="152" t="n">
        <v>8237370.312</v>
      </c>
      <c r="BW558" s="152" t="n">
        <v>-15.9249316</v>
      </c>
      <c r="BX558" s="152" t="n">
        <v>-47.7753809</v>
      </c>
      <c r="BY558" s="152" t="s">
        <v>3652</v>
      </c>
    </row>
    <row r="559" customFormat="false" ht="13.8" hidden="false" customHeight="false" outlineLevel="0" collapsed="false">
      <c r="A559" s="149" t="n">
        <f aca="false">IF(C559&lt;&gt;"",ROW(A554),"")</f>
        <v>554</v>
      </c>
      <c r="B559" s="150" t="str">
        <f aca="false">HYPERLINK("https://www.google.com/maps/dir/-15.917302,-47.760003/-15.9251339,-47.7751916/data=!4m3!4m2!3e0!5i2")</f>
        <v>https://www.google.com/maps/dir/-15.917302,-47.760003/-15.9251339,-47.7751916/data=!4m3!4m2!3e0!5i2</v>
      </c>
      <c r="C559" s="151" t="s">
        <v>117</v>
      </c>
      <c r="D559" s="152" t="s">
        <v>112</v>
      </c>
      <c r="E559" s="152" t="s">
        <v>113</v>
      </c>
      <c r="F559" s="152" t="s">
        <v>117</v>
      </c>
      <c r="G559" s="152" t="s">
        <v>114</v>
      </c>
      <c r="H559" s="152" t="n">
        <v>160</v>
      </c>
      <c r="I559" s="152" t="s">
        <v>115</v>
      </c>
      <c r="J559" s="152" t="s">
        <v>6</v>
      </c>
      <c r="K559" s="152" t="s">
        <v>3352</v>
      </c>
      <c r="L559" s="152" t="s">
        <v>120</v>
      </c>
      <c r="M559" s="153" t="n">
        <f aca="false">12.48</f>
        <v>12.48</v>
      </c>
      <c r="N559" s="152" t="s">
        <v>1548</v>
      </c>
      <c r="O559" s="152" t="s">
        <v>1549</v>
      </c>
      <c r="P559" s="152" t="s">
        <v>1550</v>
      </c>
      <c r="Q559" s="152" t="s">
        <v>1551</v>
      </c>
      <c r="R559" s="154" t="s">
        <v>3664</v>
      </c>
      <c r="S559" s="154" t="s">
        <v>1593</v>
      </c>
      <c r="T559" s="155" t="s">
        <v>2487</v>
      </c>
      <c r="U559" s="152" t="str">
        <f aca="false">RIGHT(T559,7)</f>
        <v>011/037</v>
      </c>
      <c r="V559" s="152" t="s">
        <v>1555</v>
      </c>
      <c r="W559" s="156" t="n">
        <v>45882</v>
      </c>
      <c r="X559" s="152" t="s">
        <v>1594</v>
      </c>
      <c r="Y559" s="152" t="s">
        <v>3354</v>
      </c>
      <c r="Z559" s="152" t="s">
        <v>1557</v>
      </c>
      <c r="AA559" s="153" t="n">
        <v>3.9</v>
      </c>
      <c r="AB559" s="151" t="s">
        <v>3665</v>
      </c>
      <c r="AC559" s="151" t="s">
        <v>505</v>
      </c>
      <c r="AD559" s="151" t="str">
        <f aca="false">CONCATENATE($C559,$I559,$H559,$N559,$J559,$K559)</f>
        <v>TUBO PEADPEAD160VCAREDESZona05</v>
      </c>
      <c r="AE559" s="153" t="n">
        <f aca="false">IFERROR(INDEX(APOIO_REDES!$A:$W,MATCH($C559&amp;$I559&amp;$H559&amp;$N559&amp;$O559,APOIO_REDES!$W:$W,0),MATCH(AE$5,APOIO_REDES!$5:$5,0)),0)</f>
        <v>1.2</v>
      </c>
      <c r="AF559" s="153" t="n">
        <f aca="false">IFERROR(INDEX(APOIO_REDES!$A:$W,MATCH($C559&amp;$I559&amp;$H559&amp;$N559&amp;$O559,APOIO_REDES!$W:$W,0),MATCH(AF$5,APOIO_REDES!$5:$5,0)),0)</f>
        <v>1.46</v>
      </c>
      <c r="AG559" s="153" t="n">
        <f aca="false">IFERROR(INDEX(APOIO_REDES!$A:$W,MATCH($C559&amp;$I559&amp;$H559&amp;$N559&amp;$O559,APOIO_REDES!$W:$W,0),MATCH(AG$5,APOIO_REDES!$5:$5,0)),0)</f>
        <v>0.75</v>
      </c>
      <c r="AH559" s="153" t="n">
        <f aca="false">IFERROR(INDEX(APOIO_REDES!$A:$W,MATCH($C559&amp;$I559&amp;$H559&amp;$N559&amp;$O559,APOIO_REDES!$W:$W,0),MATCH(AH$5,APOIO_REDES!$5:$5,0)),0)</f>
        <v>0.1</v>
      </c>
      <c r="AI559" s="153" t="n">
        <f aca="false">IFERROR(IF($H559&lt;&gt;"",(((($H559/1000)/2)^2)*PI()*$M559),0),0)</f>
        <v>0.250925288427524</v>
      </c>
      <c r="AJ559" s="153" t="n">
        <f aca="false">IFERROR(IF(AND($H559&lt;&gt;"",$I559="FoFo",OR($N559="MND",$N559="VCA"),$Q559="LINEAR"),0,IF(AND($H559&lt;&gt;"",$I559="PEAD",$N559="VCA",$Q559="LINEAR"),($H559/1000)+0.3,IF(AND($H559&lt;&gt;"",$I559="PEAD",$N559="MND",$Q559="EMBOQUE"),0,IF(AND($H559&lt;&gt;"",$I559="PVC",$N559="VCA",$Q559="LINEAR"),($H559/1000)+0.2,IF(AND($H559&lt;&gt;"",$I559="PVC",$N559="MND",$Q559="EMBOQUE"),0,IF(AND($H559&lt;&gt;"",$I559="PEAD",$N559="VCA",$Q559="PREDIAL"),0,0)))))),0)</f>
        <v>0.46</v>
      </c>
      <c r="AK559" s="153" t="n">
        <f aca="false">IF(AA559&lt;&gt;"",AA559,0)</f>
        <v>3.9</v>
      </c>
      <c r="AL559" s="153" t="n">
        <f aca="false">IF(AND($N559="MND",$Q559="EMBOQUE"),$M559,IF(AND($N559="VCA",$Q559="LINEAR"),$M559,IF(AND($N559="VCA",$Q559="PREDIAL"),0,0)))</f>
        <v>12.48</v>
      </c>
      <c r="AM559" s="153" t="n">
        <f aca="false">IF(AND($N559="MND",$Q559="EMBOQUE"),$M559,IF(AND($N559="VCA",$Q559="LINEAR"),$M559,IF(AND($N559="VCA",$Q559="PREDIAL"),0,0)))</f>
        <v>12.48</v>
      </c>
      <c r="AN559" s="153" t="n">
        <f aca="false">ROUND(IF(AND($N559="VCA",$M559&lt;&gt;"",$Q559="LINEAR"),$M559/100,IF(AND($N559="MND",$M559&gt;100,$Q559="EMBOQUE"),$M559/100,0)),0)</f>
        <v>0</v>
      </c>
      <c r="AO559" s="153" t="n">
        <f aca="false">IF(AND($N559="MND",$Q559="EMBOQUE"),$AN559*2*2,IF(AND($N559="VCA",$Q559="LINEAR"),$M559*2,IF(AND($N559="VCA",$Q559="PREDIAL"),0,0)))</f>
        <v>24.96</v>
      </c>
      <c r="AP559" s="153" t="n">
        <f aca="false">IFERROR($M559*$AF559*$AG559,0)</f>
        <v>13.6656</v>
      </c>
      <c r="AQ559" s="153" t="n">
        <f aca="false">IFERROR(IF(AND($N559="VCA",$AH559&gt;0),$M559*$AG559*$AH559,0),0)</f>
        <v>0.936</v>
      </c>
      <c r="AR559" s="153" t="n">
        <f aca="false">IFERROR(IF(AND($N559="VCA",$AJ559&gt;0),($M559*$AG559*$AJ559)-$AI559,0),0)</f>
        <v>4.05467471157248</v>
      </c>
      <c r="AS559" s="153" t="n">
        <f aca="false">IFERROR(IF(AND($N559="VCA",$AP559&gt;0),$AP559-$AI559-$AQ559-$AR559,0),0)</f>
        <v>8.424</v>
      </c>
      <c r="AT559" s="153" t="n">
        <f aca="false">IFERROR(IF($N559="VCA",INDEX(APOIO_REDES!$A:$W,MATCH($C559&amp;$I559&amp;$H559&amp;$N559&amp;$O559,APOIO_REDES!$W:$W,0),MATCH(AT$5,APOIO_REDES!$5:$5,0)),0)*$AP559,0)</f>
        <v>0.148685772811133</v>
      </c>
      <c r="AU559" s="153" t="n">
        <f aca="false">IFERROR(IF($N559="VCA",INDEX(APOIO_REDES!$A:$W,MATCH($C559&amp;$I559&amp;$H559&amp;$N559&amp;$O559,APOIO_REDES!$W:$W,0),MATCH(AU$5,APOIO_REDES!$5:$5,0)),0)*$AP559,0)</f>
        <v>0.118736431245547</v>
      </c>
      <c r="AV559" s="153" t="n">
        <f aca="false">IFERROR(IF($N559="VCA",INDEX(APOIO_REDES!$A:$W,MATCH($C559&amp;$I559&amp;$H559&amp;$N559&amp;$O559,APOIO_REDES!$W:$W,0),MATCH(AV$5,APOIO_REDES!$5:$5,0)),0)*$AP559,0)</f>
        <v>0.0164321899668519</v>
      </c>
      <c r="AW559" s="153" t="n">
        <f aca="false">IFERROR(IF($N559="VCA",INDEX(APOIO_REDES!$A:$W,MATCH($C559&amp;$I559&amp;$H559&amp;$N559&amp;$O559,APOIO_REDES!$W:$W,0),MATCH(AW$5,APOIO_REDES!$5:$5,0)),0)*$AP559,0)</f>
        <v>9.38017372623579</v>
      </c>
      <c r="AX559" s="153" t="n">
        <f aca="false">IFERROR(IF($N559="VCA",INDEX(APOIO_REDES!$A:$W,MATCH($C559&amp;$I559&amp;$H559&amp;$N559&amp;$O559,APOIO_REDES!$W:$W,0),MATCH(AX$5,APOIO_REDES!$5:$5,0)),0)*$AP559,0)</f>
        <v>1.2981893237804</v>
      </c>
      <c r="AY559" s="153" t="n">
        <f aca="false">IFERROR(IF($N559="VCA",INDEX(APOIO_REDES!$A:$W,MATCH($C559&amp;$I559&amp;$H559&amp;$N559&amp;$O559,APOIO_REDES!$W:$W,0),MATCH(AY$5,APOIO_REDES!$5:$5,0)),0)*$AP559,0)</f>
        <v>2.37472717752347</v>
      </c>
      <c r="AZ559" s="153" t="n">
        <f aca="false">IFERROR(IF($N559="VCA",INDEX(APOIO_REDES!$A:$W,MATCH($C559&amp;$I559&amp;$H559&amp;$N559&amp;$O559,APOIO_REDES!$W:$W,0),MATCH(AZ$5,APOIO_REDES!$5:$5,0)),0)*$AP559,0)</f>
        <v>0.328655378436812</v>
      </c>
      <c r="BA559" s="153" t="n">
        <f aca="false">IFERROR(IF(AND($N559="VCA",$Q559="LINEAR"),INDEX(APOIO_REDES!$A:$W,MATCH($C559&amp;$I559&amp;$H559&amp;$N559&amp;$O559,APOIO_REDES!$W:$W,0),MATCH(BA$5,APOIO_REDES!$5:$5,0)),IF(AND($N559="MND",$Q559="EMBOQUE"),INDEX(APOIO_REDES!$A:$W,MATCH($C559&amp;$I559&amp;$H559&amp;$N559&amp;$O559,APOIO_REDES!$W:$W,0),MATCH(BA$5,APOIO_REDES!$5:$5,0)),0))*$M559/10,0)</f>
        <v>1.00585652019566</v>
      </c>
      <c r="BB559" s="153" t="n">
        <f aca="false">IFERROR(IF($N559="VCA",INDEX(APOIO_REDES!$A:$W,MATCH($C559&amp;$I559&amp;$H559&amp;$N559&amp;$O559,APOIO_REDES!$W:$W,0),MATCH(BB$5,APOIO_REDES!$5:$5,0)),0)*($AI559+$AQ559+$AR559),0)</f>
        <v>5.18456984056559</v>
      </c>
      <c r="BC559" s="153" t="n">
        <f aca="false">IFERROR(IF($N559="VCA",INDEX(APOIO_REDES!$A:$W,MATCH($C559&amp;$I559&amp;$H559&amp;$N559&amp;$O559,APOIO_REDES!$W:$W,0),MATCH(BC$5,APOIO_REDES!$5:$5,0)),0)*($AI559+$AQ559+$AR559),0)</f>
        <v>0.0570301594344072</v>
      </c>
      <c r="BD559" s="153" t="n">
        <f aca="false">IF(AND($N559="VCA",$AF559&gt;=1.25,$AF559&lt;1.5),$M559*$AF559*2,0)</f>
        <v>36.4416</v>
      </c>
      <c r="BE559" s="153" t="n">
        <f aca="false">IF(AND($N559="VCA",$AF559&gt;=1.5,$AF559&lt;3),$M559*$AF559*2,0)</f>
        <v>0</v>
      </c>
      <c r="BF559" s="153" t="n">
        <f aca="false">IF(AND($N559="VCA",$AF559&gt;=3),$M559*$AF559*2,0)</f>
        <v>0</v>
      </c>
      <c r="BG559" s="153" t="n">
        <f aca="false">($BB559+$BC559)*$AK559</f>
        <v>20.44224</v>
      </c>
      <c r="BH559" s="153" t="n">
        <f aca="false">IF(AND($M559&lt;&gt;"",$N559="VCA",$Q559="LINEAR"),($M559*2)/100,IF(AND($M559&lt;&gt;"",$N559="MND",$Q559="EMBOQUE"),($AN559*2)/100,0))</f>
        <v>0.2496</v>
      </c>
      <c r="BI559" s="153" t="n">
        <f aca="false">IF(AND($M559&lt;&gt;"",$N559="VCA",$Q559="LINEAR"),$M559,IF(AND($M559&lt;&gt;"",$N559="MND",$Q559="EMBOQUE"),$AN559*2,0))</f>
        <v>12.48</v>
      </c>
      <c r="BJ559" s="153" t="n">
        <f aca="false">IF(AND($M559&lt;&gt;"",$N559="VCA",$Q559="LINEAR"),($M559*6.8)/100,IF(AND($M559&lt;&gt;"",$N559="MND",$Q559="EMBOQUE"),($AN559*2*6.8)/100,0))</f>
        <v>0.84864</v>
      </c>
      <c r="BK559" s="153" t="n">
        <f aca="false">IF(AND($M559&lt;&gt;"",$N559="VCA",$Q559="LINEAR"),($M559*2.5)/50,IF(AND($M559&lt;&gt;"",$N559="MND",$Q559="EMBOQUE"),($AN559*2*2.5)/50,0))</f>
        <v>0.624</v>
      </c>
      <c r="BL559" s="157" t="str">
        <f aca="false">K559&amp;J559</f>
        <v>Zona05REDES</v>
      </c>
      <c r="BM559" s="152" t="s">
        <v>3356</v>
      </c>
      <c r="BN559" s="152" t="s">
        <v>1560</v>
      </c>
      <c r="BO559" s="152" t="s">
        <v>2489</v>
      </c>
      <c r="BP559" s="152" t="s">
        <v>3425</v>
      </c>
      <c r="BQ559" s="152" t="s">
        <v>3666</v>
      </c>
      <c r="BR559" s="152" t="s">
        <v>3667</v>
      </c>
      <c r="BS559" s="152" t="n">
        <v>202868.21</v>
      </c>
      <c r="BT559" s="152" t="n">
        <v>8237370.312</v>
      </c>
      <c r="BU559" s="152" t="n">
        <v>202876.97</v>
      </c>
      <c r="BV559" s="152" t="n">
        <v>8237361.43</v>
      </c>
      <c r="BW559" s="152" t="n">
        <v>-15.9251748</v>
      </c>
      <c r="BX559" s="152" t="n">
        <v>-47.7751516</v>
      </c>
      <c r="BY559" s="152" t="s">
        <v>3425</v>
      </c>
    </row>
    <row r="560" customFormat="false" ht="13.8" hidden="false" customHeight="false" outlineLevel="0" collapsed="false">
      <c r="A560" s="149" t="n">
        <f aca="false">IF(C560&lt;&gt;"",ROW(A555),"")</f>
        <v>555</v>
      </c>
      <c r="B560" s="150" t="str">
        <f aca="false">HYPERLINK("https://www.google.com/maps/dir/-15.917302,-47.760003/-15.9252698,-47.7750809/data=!4m3!4m2!3e0!5i0")</f>
        <v>https://www.google.com/maps/dir/-15.917302,-47.760003/-15.9252698,-47.7750809/data=!4m3!4m2!3e0!5i0</v>
      </c>
      <c r="C560" s="151" t="s">
        <v>117</v>
      </c>
      <c r="D560" s="152" t="s">
        <v>112</v>
      </c>
      <c r="E560" s="152" t="s">
        <v>113</v>
      </c>
      <c r="F560" s="152" t="s">
        <v>117</v>
      </c>
      <c r="G560" s="152" t="s">
        <v>114</v>
      </c>
      <c r="H560" s="152" t="n">
        <v>250</v>
      </c>
      <c r="I560" s="152" t="s">
        <v>115</v>
      </c>
      <c r="J560" s="152" t="s">
        <v>6</v>
      </c>
      <c r="K560" s="152" t="s">
        <v>3352</v>
      </c>
      <c r="L560" s="152" t="s">
        <v>120</v>
      </c>
      <c r="M560" s="153" t="n">
        <f aca="false">22.9</f>
        <v>22.9</v>
      </c>
      <c r="N560" s="152" t="s">
        <v>1548</v>
      </c>
      <c r="O560" s="152" t="s">
        <v>1549</v>
      </c>
      <c r="P560" s="152" t="s">
        <v>1550</v>
      </c>
      <c r="Q560" s="152" t="s">
        <v>1551</v>
      </c>
      <c r="R560" s="154" t="s">
        <v>3668</v>
      </c>
      <c r="S560" s="154" t="s">
        <v>1593</v>
      </c>
      <c r="T560" s="155" t="s">
        <v>2487</v>
      </c>
      <c r="U560" s="152" t="str">
        <f aca="false">RIGHT(T560,7)</f>
        <v>011/037</v>
      </c>
      <c r="V560" s="152" t="s">
        <v>1555</v>
      </c>
      <c r="W560" s="156" t="n">
        <v>45882</v>
      </c>
      <c r="X560" s="152" t="s">
        <v>1594</v>
      </c>
      <c r="Y560" s="152" t="s">
        <v>3354</v>
      </c>
      <c r="Z560" s="152" t="s">
        <v>1557</v>
      </c>
      <c r="AA560" s="153" t="n">
        <v>3.5</v>
      </c>
      <c r="AB560" s="151" t="s">
        <v>3669</v>
      </c>
      <c r="AC560" s="151" t="s">
        <v>511</v>
      </c>
      <c r="AD560" s="151" t="str">
        <f aca="false">CONCATENATE($C560,$I560,$H560,$N560,$J560,$K560)</f>
        <v>TUBO PEADPEAD250VCAREDESZona05</v>
      </c>
      <c r="AE560" s="153" t="n">
        <f aca="false">IFERROR(INDEX(APOIO_REDES!$A:$W,MATCH($C560&amp;$I560&amp;$H560&amp;$N560&amp;$O560,APOIO_REDES!$W:$W,0),MATCH(AE$5,APOIO_REDES!$5:$5,0)),0)</f>
        <v>1.2</v>
      </c>
      <c r="AF560" s="153" t="n">
        <f aca="false">IFERROR(INDEX(APOIO_REDES!$A:$W,MATCH($C560&amp;$I560&amp;$H560&amp;$N560&amp;$O560,APOIO_REDES!$W:$W,0),MATCH(AF$5,APOIO_REDES!$5:$5,0)),0)</f>
        <v>1.55</v>
      </c>
      <c r="AG560" s="153" t="n">
        <f aca="false">IFERROR(INDEX(APOIO_REDES!$A:$W,MATCH($C560&amp;$I560&amp;$H560&amp;$N560&amp;$O560,APOIO_REDES!$W:$W,0),MATCH(AG$5,APOIO_REDES!$5:$5,0)),0)</f>
        <v>0.85</v>
      </c>
      <c r="AH560" s="153" t="n">
        <f aca="false">IFERROR(INDEX(APOIO_REDES!$A:$W,MATCH($C560&amp;$I560&amp;$H560&amp;$N560&amp;$O560,APOIO_REDES!$W:$W,0),MATCH(AH$5,APOIO_REDES!$5:$5,0)),0)</f>
        <v>0.1</v>
      </c>
      <c r="AI560" s="153" t="n">
        <f aca="false">IFERROR(IF($H560&lt;&gt;"",(((($H560/1000)/2)^2)*PI()*$M560),0),0)</f>
        <v>1.1241011213626</v>
      </c>
      <c r="AJ560" s="153" t="n">
        <f aca="false">IFERROR(IF(AND($H560&lt;&gt;"",$I560="FoFo",OR($N560="MND",$N560="VCA"),$Q560="LINEAR"),0,IF(AND($H560&lt;&gt;"",$I560="PEAD",$N560="VCA",$Q560="LINEAR"),($H560/1000)+0.3,IF(AND($H560&lt;&gt;"",$I560="PEAD",$N560="MND",$Q560="EMBOQUE"),0,IF(AND($H560&lt;&gt;"",$I560="PVC",$N560="VCA",$Q560="LINEAR"),($H560/1000)+0.2,IF(AND($H560&lt;&gt;"",$I560="PVC",$N560="MND",$Q560="EMBOQUE"),0,IF(AND($H560&lt;&gt;"",$I560="PEAD",$N560="VCA",$Q560="PREDIAL"),0,0)))))),0)</f>
        <v>0.55</v>
      </c>
      <c r="AK560" s="153" t="n">
        <f aca="false">IF(AA560&lt;&gt;"",AA560,0)</f>
        <v>3.5</v>
      </c>
      <c r="AL560" s="153" t="n">
        <f aca="false">IF(AND($N560="MND",$Q560="EMBOQUE"),$M560,IF(AND($N560="VCA",$Q560="LINEAR"),$M560,IF(AND($N560="VCA",$Q560="PREDIAL"),0,0)))</f>
        <v>22.9</v>
      </c>
      <c r="AM560" s="153" t="n">
        <f aca="false">IF(AND($N560="MND",$Q560="EMBOQUE"),$M560,IF(AND($N560="VCA",$Q560="LINEAR"),$M560,IF(AND($N560="VCA",$Q560="PREDIAL"),0,0)))</f>
        <v>22.9</v>
      </c>
      <c r="AN560" s="153" t="n">
        <f aca="false">ROUND(IF(AND($N560="VCA",$M560&lt;&gt;"",$Q560="LINEAR"),$M560/100,IF(AND($N560="MND",$M560&gt;100,$Q560="EMBOQUE"),$M560/100,0)),0)</f>
        <v>0</v>
      </c>
      <c r="AO560" s="153" t="n">
        <f aca="false">IF(AND($N560="MND",$Q560="EMBOQUE"),$AN560*2*2,IF(AND($N560="VCA",$Q560="LINEAR"),$M560*2,IF(AND($N560="VCA",$Q560="PREDIAL"),0,0)))</f>
        <v>45.8</v>
      </c>
      <c r="AP560" s="153" t="n">
        <f aca="false">IFERROR($M560*$AF560*$AG560,0)</f>
        <v>30.17075</v>
      </c>
      <c r="AQ560" s="153" t="n">
        <f aca="false">IFERROR(IF(AND($N560="VCA",$AH560&gt;0),$M560*$AG560*$AH560,0),0)</f>
        <v>1.9465</v>
      </c>
      <c r="AR560" s="153" t="n">
        <f aca="false">IFERROR(IF(AND($N560="VCA",$AJ560&gt;0),($M560*$AG560*$AJ560)-$AI560,0),0)</f>
        <v>9.5816488786374</v>
      </c>
      <c r="AS560" s="153" t="n">
        <f aca="false">IFERROR(IF(AND($N560="VCA",$AP560&gt;0),$AP560-$AI560-$AQ560-$AR560,0),0)</f>
        <v>17.5185</v>
      </c>
      <c r="AT560" s="153" t="n">
        <f aca="false">IFERROR(IF($N560="VCA",INDEX(APOIO_REDES!$A:$W,MATCH($C560&amp;$I560&amp;$H560&amp;$N560&amp;$O560,APOIO_REDES!$W:$W,0),MATCH(AT$5,APOIO_REDES!$5:$5,0)),0)*$AP560,0)</f>
        <v>0.328266690086165</v>
      </c>
      <c r="AU560" s="153" t="n">
        <f aca="false">IFERROR(IF($N560="VCA",INDEX(APOIO_REDES!$A:$W,MATCH($C560&amp;$I560&amp;$H560&amp;$N560&amp;$O560,APOIO_REDES!$W:$W,0),MATCH(AU$5,APOIO_REDES!$5:$5,0)),0)*$AP560,0)</f>
        <v>0.262144888113335</v>
      </c>
      <c r="AV560" s="153" t="n">
        <f aca="false">IFERROR(IF($N560="VCA",INDEX(APOIO_REDES!$A:$W,MATCH($C560&amp;$I560&amp;$H560&amp;$N560&amp;$O560,APOIO_REDES!$W:$W,0),MATCH(AV$5,APOIO_REDES!$5:$5,0)),0)*$AP560,0)</f>
        <v>0.0362787945968268</v>
      </c>
      <c r="AW560" s="153" t="n">
        <f aca="false">IFERROR(IF($N560="VCA",INDEX(APOIO_REDES!$A:$W,MATCH($C560&amp;$I560&amp;$H560&amp;$N560&amp;$O560,APOIO_REDES!$W:$W,0),MATCH(AW$5,APOIO_REDES!$5:$5,0)),0)*$AP560,0)</f>
        <v>20.7094365743786</v>
      </c>
      <c r="AX560" s="153" t="n">
        <f aca="false">IFERROR(IF($N560="VCA",INDEX(APOIO_REDES!$A:$W,MATCH($C560&amp;$I560&amp;$H560&amp;$N560&amp;$O560,APOIO_REDES!$W:$W,0),MATCH(AX$5,APOIO_REDES!$5:$5,0)),0)*$AP560,0)</f>
        <v>2.86612702994727</v>
      </c>
      <c r="AY560" s="153" t="n">
        <f aca="false">IFERROR(IF($N560="VCA",INDEX(APOIO_REDES!$A:$W,MATCH($C560&amp;$I560&amp;$H560&amp;$N560&amp;$O560,APOIO_REDES!$W:$W,0),MATCH(AY$5,APOIO_REDES!$5:$5,0)),0)*$AP560,0)</f>
        <v>5.24289456674176</v>
      </c>
      <c r="AZ560" s="153" t="n">
        <f aca="false">IFERROR(IF($N560="VCA",INDEX(APOIO_REDES!$A:$W,MATCH($C560&amp;$I560&amp;$H560&amp;$N560&amp;$O560,APOIO_REDES!$W:$W,0),MATCH(AZ$5,APOIO_REDES!$5:$5,0)),0)*$AP560,0)</f>
        <v>0.725601456136023</v>
      </c>
      <c r="BA560" s="153" t="n">
        <f aca="false">IFERROR(IF(AND($N560="VCA",$Q560="LINEAR"),INDEX(APOIO_REDES!$A:$W,MATCH($C560&amp;$I560&amp;$H560&amp;$N560&amp;$O560,APOIO_REDES!$W:$W,0),MATCH(BA$5,APOIO_REDES!$5:$5,0)),IF(AND($N560="MND",$Q560="EMBOQUE"),INDEX(APOIO_REDES!$A:$W,MATCH($C560&amp;$I560&amp;$H560&amp;$N560&amp;$O560,APOIO_REDES!$W:$W,0),MATCH(BA$5,APOIO_REDES!$5:$5,0)),0))*$M560/10,0)</f>
        <v>1.84568223657697</v>
      </c>
      <c r="BB560" s="153" t="n">
        <f aca="false">IFERROR(IF($N560="VCA",INDEX(APOIO_REDES!$A:$W,MATCH($C560&amp;$I560&amp;$H560&amp;$N560&amp;$O560,APOIO_REDES!$W:$W,0),MATCH(BB$5,APOIO_REDES!$5:$5,0)),0)*($AI560+$AQ560+$AR560),0)</f>
        <v>12.5145897751252</v>
      </c>
      <c r="BC560" s="153" t="n">
        <f aca="false">IFERROR(IF($N560="VCA",INDEX(APOIO_REDES!$A:$W,MATCH($C560&amp;$I560&amp;$H560&amp;$N560&amp;$O560,APOIO_REDES!$W:$W,0),MATCH(BC$5,APOIO_REDES!$5:$5,0)),0)*($AI560+$AQ560+$AR560),0)</f>
        <v>0.137660224874843</v>
      </c>
      <c r="BD560" s="153" t="n">
        <f aca="false">IF(AND($N560="VCA",$AF560&gt;=1.25,$AF560&lt;1.5),$M560*$AF560*2,0)</f>
        <v>0</v>
      </c>
      <c r="BE560" s="153" t="n">
        <f aca="false">IF(AND($N560="VCA",$AF560&gt;=1.5,$AF560&lt;3),$M560*$AF560*2,0)</f>
        <v>70.99</v>
      </c>
      <c r="BF560" s="153" t="n">
        <f aca="false">IF(AND($N560="VCA",$AF560&gt;=3),$M560*$AF560*2,0)</f>
        <v>0</v>
      </c>
      <c r="BG560" s="153" t="n">
        <f aca="false">($BB560+$BC560)*$AK560</f>
        <v>44.282875</v>
      </c>
      <c r="BH560" s="153" t="n">
        <f aca="false">IF(AND($M560&lt;&gt;"",$N560="VCA",$Q560="LINEAR"),($M560*2)/100,IF(AND($M560&lt;&gt;"",$N560="MND",$Q560="EMBOQUE"),($AN560*2)/100,0))</f>
        <v>0.458</v>
      </c>
      <c r="BI560" s="153" t="n">
        <f aca="false">IF(AND($M560&lt;&gt;"",$N560="VCA",$Q560="LINEAR"),$M560,IF(AND($M560&lt;&gt;"",$N560="MND",$Q560="EMBOQUE"),$AN560*2,0))</f>
        <v>22.9</v>
      </c>
      <c r="BJ560" s="153" t="n">
        <f aca="false">IF(AND($M560&lt;&gt;"",$N560="VCA",$Q560="LINEAR"),($M560*6.8)/100,IF(AND($M560&lt;&gt;"",$N560="MND",$Q560="EMBOQUE"),($AN560*2*6.8)/100,0))</f>
        <v>1.5572</v>
      </c>
      <c r="BK560" s="153" t="n">
        <f aca="false">IF(AND($M560&lt;&gt;"",$N560="VCA",$Q560="LINEAR"),($M560*2.5)/50,IF(AND($M560&lt;&gt;"",$N560="MND",$Q560="EMBOQUE"),($AN560*2*2.5)/50,0))</f>
        <v>1.145</v>
      </c>
      <c r="BL560" s="157" t="str">
        <f aca="false">K560&amp;J560</f>
        <v>Zona05REDES</v>
      </c>
      <c r="BM560" s="152" t="s">
        <v>3356</v>
      </c>
      <c r="BN560" s="152" t="s">
        <v>1560</v>
      </c>
      <c r="BO560" s="152" t="s">
        <v>2489</v>
      </c>
      <c r="BP560" s="152" t="s">
        <v>2032</v>
      </c>
      <c r="BQ560" s="152" t="s">
        <v>3670</v>
      </c>
      <c r="BR560" s="152" t="s">
        <v>3671</v>
      </c>
      <c r="BS560" s="152" t="n">
        <v>202864.128</v>
      </c>
      <c r="BT560" s="152" t="n">
        <v>8237371.645</v>
      </c>
      <c r="BU560" s="152" t="n">
        <v>202880.277</v>
      </c>
      <c r="BV560" s="152" t="n">
        <v>8237355.416</v>
      </c>
      <c r="BW560" s="152" t="n">
        <v>-15.9251965</v>
      </c>
      <c r="BX560" s="152" t="n">
        <v>-47.7751562</v>
      </c>
      <c r="BY560" s="152" t="s">
        <v>3670</v>
      </c>
    </row>
    <row r="561" customFormat="false" ht="13.8" hidden="false" customHeight="false" outlineLevel="0" collapsed="false">
      <c r="A561" s="149" t="n">
        <f aca="false">IF(C561&lt;&gt;"",ROW(A556),"")</f>
        <v>556</v>
      </c>
      <c r="B561" s="150" t="str">
        <f aca="false">HYPERLINK("https://www.google.com/maps/dir/-15.917302,-47.760003/-15.9252151,-47.7751110/data=!4m3!4m2!3e0!5i0")</f>
        <v>https://www.google.com/maps/dir/-15.917302,-47.760003/-15.9252151,-47.7751110/data=!4m3!4m2!3e0!5i0</v>
      </c>
      <c r="C561" s="151" t="s">
        <v>117</v>
      </c>
      <c r="D561" s="152" t="s">
        <v>112</v>
      </c>
      <c r="E561" s="152" t="s">
        <v>113</v>
      </c>
      <c r="F561" s="152" t="s">
        <v>117</v>
      </c>
      <c r="G561" s="152" t="s">
        <v>114</v>
      </c>
      <c r="H561" s="152" t="n">
        <v>160</v>
      </c>
      <c r="I561" s="152" t="s">
        <v>115</v>
      </c>
      <c r="J561" s="152" t="s">
        <v>6</v>
      </c>
      <c r="K561" s="152" t="s">
        <v>3352</v>
      </c>
      <c r="L561" s="152" t="s">
        <v>120</v>
      </c>
      <c r="M561" s="153" t="n">
        <f aca="false">6.56</f>
        <v>6.56</v>
      </c>
      <c r="N561" s="152" t="s">
        <v>1548</v>
      </c>
      <c r="O561" s="152" t="s">
        <v>1549</v>
      </c>
      <c r="P561" s="152" t="s">
        <v>1550</v>
      </c>
      <c r="Q561" s="152" t="s">
        <v>1551</v>
      </c>
      <c r="R561" s="154" t="s">
        <v>3672</v>
      </c>
      <c r="S561" s="154" t="s">
        <v>1593</v>
      </c>
      <c r="T561" s="155" t="s">
        <v>2487</v>
      </c>
      <c r="U561" s="152" t="str">
        <f aca="false">RIGHT(T561,7)</f>
        <v>011/037</v>
      </c>
      <c r="V561" s="152" t="s">
        <v>1555</v>
      </c>
      <c r="W561" s="156" t="n">
        <v>45882</v>
      </c>
      <c r="X561" s="152" t="s">
        <v>1594</v>
      </c>
      <c r="Y561" s="152" t="s">
        <v>3354</v>
      </c>
      <c r="Z561" s="152" t="s">
        <v>1557</v>
      </c>
      <c r="AA561" s="153" t="n">
        <v>3.5</v>
      </c>
      <c r="AB561" s="151" t="s">
        <v>3673</v>
      </c>
      <c r="AC561" s="151" t="s">
        <v>505</v>
      </c>
      <c r="AD561" s="151" t="str">
        <f aca="false">CONCATENATE($C561,$I561,$H561,$N561,$J561,$K561)</f>
        <v>TUBO PEADPEAD160VCAREDESZona05</v>
      </c>
      <c r="AE561" s="153" t="n">
        <f aca="false">IFERROR(INDEX(APOIO_REDES!$A:$W,MATCH($C561&amp;$I561&amp;$H561&amp;$N561&amp;$O561,APOIO_REDES!$W:$W,0),MATCH(AE$5,APOIO_REDES!$5:$5,0)),0)</f>
        <v>1.2</v>
      </c>
      <c r="AF561" s="153" t="n">
        <f aca="false">IFERROR(INDEX(APOIO_REDES!$A:$W,MATCH($C561&amp;$I561&amp;$H561&amp;$N561&amp;$O561,APOIO_REDES!$W:$W,0),MATCH(AF$5,APOIO_REDES!$5:$5,0)),0)</f>
        <v>1.46</v>
      </c>
      <c r="AG561" s="153" t="n">
        <f aca="false">IFERROR(INDEX(APOIO_REDES!$A:$W,MATCH($C561&amp;$I561&amp;$H561&amp;$N561&amp;$O561,APOIO_REDES!$W:$W,0),MATCH(AG$5,APOIO_REDES!$5:$5,0)),0)</f>
        <v>0.75</v>
      </c>
      <c r="AH561" s="153" t="n">
        <f aca="false">IFERROR(INDEX(APOIO_REDES!$A:$W,MATCH($C561&amp;$I561&amp;$H561&amp;$N561&amp;$O561,APOIO_REDES!$W:$W,0),MATCH(AH$5,APOIO_REDES!$5:$5,0)),0)</f>
        <v>0.1</v>
      </c>
      <c r="AI561" s="153" t="n">
        <f aca="false">IFERROR(IF($H561&lt;&gt;"",(((($H561/1000)/2)^2)*PI()*$M561),0),0)</f>
        <v>0.131896625968314</v>
      </c>
      <c r="AJ561" s="153" t="n">
        <f aca="false">IFERROR(IF(AND($H561&lt;&gt;"",$I561="FoFo",OR($N561="MND",$N561="VCA"),$Q561="LINEAR"),0,IF(AND($H561&lt;&gt;"",$I561="PEAD",$N561="VCA",$Q561="LINEAR"),($H561/1000)+0.3,IF(AND($H561&lt;&gt;"",$I561="PEAD",$N561="MND",$Q561="EMBOQUE"),0,IF(AND($H561&lt;&gt;"",$I561="PVC",$N561="VCA",$Q561="LINEAR"),($H561/1000)+0.2,IF(AND($H561&lt;&gt;"",$I561="PVC",$N561="MND",$Q561="EMBOQUE"),0,IF(AND($H561&lt;&gt;"",$I561="PEAD",$N561="VCA",$Q561="PREDIAL"),0,0)))))),0)</f>
        <v>0.46</v>
      </c>
      <c r="AK561" s="153" t="n">
        <f aca="false">IF(AA561&lt;&gt;"",AA561,0)</f>
        <v>3.5</v>
      </c>
      <c r="AL561" s="153" t="n">
        <f aca="false">IF(AND($N561="MND",$Q561="EMBOQUE"),$M561,IF(AND($N561="VCA",$Q561="LINEAR"),$M561,IF(AND($N561="VCA",$Q561="PREDIAL"),0,0)))</f>
        <v>6.56</v>
      </c>
      <c r="AM561" s="153" t="n">
        <f aca="false">IF(AND($N561="MND",$Q561="EMBOQUE"),$M561,IF(AND($N561="VCA",$Q561="LINEAR"),$M561,IF(AND($N561="VCA",$Q561="PREDIAL"),0,0)))</f>
        <v>6.56</v>
      </c>
      <c r="AN561" s="153" t="n">
        <f aca="false">ROUND(IF(AND($N561="VCA",$M561&lt;&gt;"",$Q561="LINEAR"),$M561/100,IF(AND($N561="MND",$M561&gt;100,$Q561="EMBOQUE"),$M561/100,0)),0)</f>
        <v>0</v>
      </c>
      <c r="AO561" s="153" t="n">
        <f aca="false">IF(AND($N561="MND",$Q561="EMBOQUE"),$AN561*2*2,IF(AND($N561="VCA",$Q561="LINEAR"),$M561*2,IF(AND($N561="VCA",$Q561="PREDIAL"),0,0)))</f>
        <v>13.12</v>
      </c>
      <c r="AP561" s="153" t="n">
        <f aca="false">IFERROR($M561*$AF561*$AG561,0)</f>
        <v>7.1832</v>
      </c>
      <c r="AQ561" s="153" t="n">
        <f aca="false">IFERROR(IF(AND($N561="VCA",$AH561&gt;0),$M561*$AG561*$AH561,0),0)</f>
        <v>0.492</v>
      </c>
      <c r="AR561" s="153" t="n">
        <f aca="false">IFERROR(IF(AND($N561="VCA",$AJ561&gt;0),($M561*$AG561*$AJ561)-$AI561,0),0)</f>
        <v>2.13130337403169</v>
      </c>
      <c r="AS561" s="153" t="n">
        <f aca="false">IFERROR(IF(AND($N561="VCA",$AP561&gt;0),$AP561-$AI561-$AQ561-$AR561,0),0)</f>
        <v>4.428</v>
      </c>
      <c r="AT561" s="153" t="n">
        <f aca="false">IFERROR(IF($N561="VCA",INDEX(APOIO_REDES!$A:$W,MATCH($C561&amp;$I561&amp;$H561&amp;$N561&amp;$O561,APOIO_REDES!$W:$W,0),MATCH(AT$5,APOIO_REDES!$5:$5,0)),0)*$AP561,0)</f>
        <v>0.0781553421186725</v>
      </c>
      <c r="AU561" s="153" t="n">
        <f aca="false">IFERROR(IF($N561="VCA",INDEX(APOIO_REDES!$A:$W,MATCH($C561&amp;$I561&amp;$H561&amp;$N561&amp;$O561,APOIO_REDES!$W:$W,0),MATCH(AU$5,APOIO_REDES!$5:$5,0)),0)*$AP561,0)</f>
        <v>0.0624127395008644</v>
      </c>
      <c r="AV561" s="153" t="n">
        <f aca="false">IFERROR(IF($N561="VCA",INDEX(APOIO_REDES!$A:$W,MATCH($C561&amp;$I561&amp;$H561&amp;$N561&amp;$O561,APOIO_REDES!$W:$W,0),MATCH(AV$5,APOIO_REDES!$5:$5,0)),0)*$AP561,0)</f>
        <v>0.0086374331877042</v>
      </c>
      <c r="AW561" s="153" t="n">
        <f aca="false">IFERROR(IF($N561="VCA",INDEX(APOIO_REDES!$A:$W,MATCH($C561&amp;$I561&amp;$H561&amp;$N561&amp;$O561,APOIO_REDES!$W:$W,0),MATCH(AW$5,APOIO_REDES!$5:$5,0)),0)*$AP561,0)</f>
        <v>4.93060413814958</v>
      </c>
      <c r="AX561" s="153" t="n">
        <f aca="false">IFERROR(IF($N561="VCA",INDEX(APOIO_REDES!$A:$W,MATCH($C561&amp;$I561&amp;$H561&amp;$N561&amp;$O561,APOIO_REDES!$W:$W,0),MATCH(AX$5,APOIO_REDES!$5:$5,0)),0)*$AP561,0)</f>
        <v>0.682381567628156</v>
      </c>
      <c r="AY561" s="153" t="n">
        <f aca="false">IFERROR(IF($N561="VCA",INDEX(APOIO_REDES!$A:$W,MATCH($C561&amp;$I561&amp;$H561&amp;$N561&amp;$O561,APOIO_REDES!$W:$W,0),MATCH(AY$5,APOIO_REDES!$5:$5,0)),0)*$AP561,0)</f>
        <v>1.24825402921105</v>
      </c>
      <c r="AZ561" s="153" t="n">
        <f aca="false">IFERROR(IF($N561="VCA",INDEX(APOIO_REDES!$A:$W,MATCH($C561&amp;$I561&amp;$H561&amp;$N561&amp;$O561,APOIO_REDES!$W:$W,0),MATCH(AZ$5,APOIO_REDES!$5:$5,0)),0)*$AP561,0)</f>
        <v>0.172754750203965</v>
      </c>
      <c r="BA561" s="153" t="n">
        <f aca="false">IFERROR(IF(AND($N561="VCA",$Q561="LINEAR"),INDEX(APOIO_REDES!$A:$W,MATCH($C561&amp;$I561&amp;$H561&amp;$N561&amp;$O561,APOIO_REDES!$W:$W,0),MATCH(BA$5,APOIO_REDES!$5:$5,0)),IF(AND($N561="MND",$Q561="EMBOQUE"),INDEX(APOIO_REDES!$A:$W,MATCH($C561&amp;$I561&amp;$H561&amp;$N561&amp;$O561,APOIO_REDES!$W:$W,0),MATCH(BA$5,APOIO_REDES!$5:$5,0)),0))*$M561/10,0)</f>
        <v>0.528719452923359</v>
      </c>
      <c r="BB561" s="153" t="n">
        <f aca="false">IFERROR(IF($N561="VCA",INDEX(APOIO_REDES!$A:$W,MATCH($C561&amp;$I561&amp;$H561&amp;$N561&amp;$O561,APOIO_REDES!$W:$W,0),MATCH(BB$5,APOIO_REDES!$5:$5,0)),0)*($AI561+$AQ561+$AR561),0)</f>
        <v>2.72522260850243</v>
      </c>
      <c r="BC561" s="153" t="n">
        <f aca="false">IFERROR(IF($N561="VCA",INDEX(APOIO_REDES!$A:$W,MATCH($C561&amp;$I561&amp;$H561&amp;$N561&amp;$O561,APOIO_REDES!$W:$W,0),MATCH(BC$5,APOIO_REDES!$5:$5,0)),0)*($AI561+$AQ561+$AR561),0)</f>
        <v>0.029977391497573</v>
      </c>
      <c r="BD561" s="153" t="n">
        <f aca="false">IF(AND($N561="VCA",$AF561&gt;=1.25,$AF561&lt;1.5),$M561*$AF561*2,0)</f>
        <v>19.1552</v>
      </c>
      <c r="BE561" s="153" t="n">
        <f aca="false">IF(AND($N561="VCA",$AF561&gt;=1.5,$AF561&lt;3),$M561*$AF561*2,0)</f>
        <v>0</v>
      </c>
      <c r="BF561" s="153" t="n">
        <f aca="false">IF(AND($N561="VCA",$AF561&gt;=3),$M561*$AF561*2,0)</f>
        <v>0</v>
      </c>
      <c r="BG561" s="153" t="n">
        <f aca="false">($BB561+$BC561)*$AK561</f>
        <v>9.6432</v>
      </c>
      <c r="BH561" s="153" t="n">
        <f aca="false">IF(AND($M561&lt;&gt;"",$N561="VCA",$Q561="LINEAR"),($M561*2)/100,IF(AND($M561&lt;&gt;"",$N561="MND",$Q561="EMBOQUE"),($AN561*2)/100,0))</f>
        <v>0.1312</v>
      </c>
      <c r="BI561" s="153" t="n">
        <f aca="false">IF(AND($M561&lt;&gt;"",$N561="VCA",$Q561="LINEAR"),$M561,IF(AND($M561&lt;&gt;"",$N561="MND",$Q561="EMBOQUE"),$AN561*2,0))</f>
        <v>6.56</v>
      </c>
      <c r="BJ561" s="153" t="n">
        <f aca="false">IF(AND($M561&lt;&gt;"",$N561="VCA",$Q561="LINEAR"),($M561*6.8)/100,IF(AND($M561&lt;&gt;"",$N561="MND",$Q561="EMBOQUE"),($AN561*2*6.8)/100,0))</f>
        <v>0.44608</v>
      </c>
      <c r="BK561" s="153" t="n">
        <f aca="false">IF(AND($M561&lt;&gt;"",$N561="VCA",$Q561="LINEAR"),($M561*2.5)/50,IF(AND($M561&lt;&gt;"",$N561="MND",$Q561="EMBOQUE"),($AN561*2*2.5)/50,0))</f>
        <v>0.328</v>
      </c>
      <c r="BL561" s="157" t="str">
        <f aca="false">K561&amp;J561</f>
        <v>Zona05REDES</v>
      </c>
      <c r="BM561" s="152" t="s">
        <v>3356</v>
      </c>
      <c r="BN561" s="152" t="s">
        <v>1560</v>
      </c>
      <c r="BO561" s="152" t="s">
        <v>2489</v>
      </c>
      <c r="BP561" s="152" t="s">
        <v>3666</v>
      </c>
      <c r="BQ561" s="152" t="s">
        <v>3674</v>
      </c>
      <c r="BR561" s="152" t="s">
        <v>3667</v>
      </c>
      <c r="BS561" s="152" t="n">
        <v>202876.97</v>
      </c>
      <c r="BT561" s="152" t="n">
        <v>8237361.43</v>
      </c>
      <c r="BU561" s="152" t="n">
        <v>202881.672</v>
      </c>
      <c r="BV561" s="152" t="n">
        <v>8237356.849</v>
      </c>
      <c r="BW561" s="152" t="n">
        <v>-15.9252361</v>
      </c>
      <c r="BX561" s="152" t="n">
        <v>-47.7750893</v>
      </c>
      <c r="BY561" s="152" t="s">
        <v>3666</v>
      </c>
    </row>
    <row r="562" customFormat="false" ht="13.8" hidden="false" customHeight="false" outlineLevel="0" collapsed="false">
      <c r="A562" s="149" t="n">
        <f aca="false">IF(C562&lt;&gt;"",ROW(A557),"")</f>
        <v>557</v>
      </c>
      <c r="B562" s="150" t="str">
        <f aca="false">HYPERLINK("https://www.google.com/maps/dir/-15.917302,-47.760003/-15.9252571,-47.7750677/data=!4m3!4m2!3e0!5i0")</f>
        <v>https://www.google.com/maps/dir/-15.917302,-47.760003/-15.9252571,-47.7750677/data=!4m3!4m2!3e0!5i0</v>
      </c>
      <c r="C562" s="151" t="s">
        <v>117</v>
      </c>
      <c r="D562" s="152" t="s">
        <v>112</v>
      </c>
      <c r="E562" s="152" t="s">
        <v>113</v>
      </c>
      <c r="F562" s="152" t="s">
        <v>117</v>
      </c>
      <c r="G562" s="152" t="s">
        <v>114</v>
      </c>
      <c r="H562" s="152" t="n">
        <v>250</v>
      </c>
      <c r="I562" s="152" t="s">
        <v>115</v>
      </c>
      <c r="J562" s="152" t="s">
        <v>6</v>
      </c>
      <c r="K562" s="152" t="s">
        <v>3352</v>
      </c>
      <c r="L562" s="152" t="s">
        <v>120</v>
      </c>
      <c r="M562" s="153" t="n">
        <f aca="false">2</f>
        <v>2</v>
      </c>
      <c r="N562" s="152" t="s">
        <v>1548</v>
      </c>
      <c r="O562" s="152" t="s">
        <v>1549</v>
      </c>
      <c r="P562" s="152" t="s">
        <v>1550</v>
      </c>
      <c r="Q562" s="152" t="s">
        <v>1551</v>
      </c>
      <c r="R562" s="154" t="s">
        <v>3675</v>
      </c>
      <c r="S562" s="154" t="s">
        <v>1593</v>
      </c>
      <c r="T562" s="155" t="s">
        <v>2487</v>
      </c>
      <c r="U562" s="152" t="str">
        <f aca="false">RIGHT(T562,7)</f>
        <v>011/037</v>
      </c>
      <c r="V562" s="152" t="s">
        <v>1555</v>
      </c>
      <c r="W562" s="156" t="n">
        <v>45882</v>
      </c>
      <c r="X562" s="152" t="s">
        <v>1594</v>
      </c>
      <c r="Y562" s="152" t="s">
        <v>3354</v>
      </c>
      <c r="Z562" s="152" t="s">
        <v>1557</v>
      </c>
      <c r="AA562" s="153" t="n">
        <v>3.5</v>
      </c>
      <c r="AB562" s="151" t="s">
        <v>3676</v>
      </c>
      <c r="AC562" s="151" t="s">
        <v>511</v>
      </c>
      <c r="AD562" s="151" t="str">
        <f aca="false">CONCATENATE($C562,$I562,$H562,$N562,$J562,$K562)</f>
        <v>TUBO PEADPEAD250VCAREDESZona05</v>
      </c>
      <c r="AE562" s="153" t="n">
        <f aca="false">IFERROR(INDEX(APOIO_REDES!$A:$W,MATCH($C562&amp;$I562&amp;$H562&amp;$N562&amp;$O562,APOIO_REDES!$W:$W,0),MATCH(AE$5,APOIO_REDES!$5:$5,0)),0)</f>
        <v>1.2</v>
      </c>
      <c r="AF562" s="153" t="n">
        <f aca="false">IFERROR(INDEX(APOIO_REDES!$A:$W,MATCH($C562&amp;$I562&amp;$H562&amp;$N562&amp;$O562,APOIO_REDES!$W:$W,0),MATCH(AF$5,APOIO_REDES!$5:$5,0)),0)</f>
        <v>1.55</v>
      </c>
      <c r="AG562" s="153" t="n">
        <f aca="false">IFERROR(INDEX(APOIO_REDES!$A:$W,MATCH($C562&amp;$I562&amp;$H562&amp;$N562&amp;$O562,APOIO_REDES!$W:$W,0),MATCH(AG$5,APOIO_REDES!$5:$5,0)),0)</f>
        <v>0.85</v>
      </c>
      <c r="AH562" s="153" t="n">
        <f aca="false">IFERROR(INDEX(APOIO_REDES!$A:$W,MATCH($C562&amp;$I562&amp;$H562&amp;$N562&amp;$O562,APOIO_REDES!$W:$W,0),MATCH(AH$5,APOIO_REDES!$5:$5,0)),0)</f>
        <v>0.1</v>
      </c>
      <c r="AI562" s="153" t="n">
        <f aca="false">IFERROR(IF($H562&lt;&gt;"",(((($H562/1000)/2)^2)*PI()*$M562),0),0)</f>
        <v>0.098174770424681</v>
      </c>
      <c r="AJ562" s="153" t="n">
        <f aca="false">IFERROR(IF(AND($H562&lt;&gt;"",$I562="FoFo",OR($N562="MND",$N562="VCA"),$Q562="LINEAR"),0,IF(AND($H562&lt;&gt;"",$I562="PEAD",$N562="VCA",$Q562="LINEAR"),($H562/1000)+0.3,IF(AND($H562&lt;&gt;"",$I562="PEAD",$N562="MND",$Q562="EMBOQUE"),0,IF(AND($H562&lt;&gt;"",$I562="PVC",$N562="VCA",$Q562="LINEAR"),($H562/1000)+0.2,IF(AND($H562&lt;&gt;"",$I562="PVC",$N562="MND",$Q562="EMBOQUE"),0,IF(AND($H562&lt;&gt;"",$I562="PEAD",$N562="VCA",$Q562="PREDIAL"),0,0)))))),0)</f>
        <v>0.55</v>
      </c>
      <c r="AK562" s="153" t="n">
        <f aca="false">IF(AA562&lt;&gt;"",AA562,0)</f>
        <v>3.5</v>
      </c>
      <c r="AL562" s="153" t="n">
        <f aca="false">IF(AND($N562="MND",$Q562="EMBOQUE"),$M562,IF(AND($N562="VCA",$Q562="LINEAR"),$M562,IF(AND($N562="VCA",$Q562="PREDIAL"),0,0)))</f>
        <v>2</v>
      </c>
      <c r="AM562" s="153" t="n">
        <f aca="false">IF(AND($N562="MND",$Q562="EMBOQUE"),$M562,IF(AND($N562="VCA",$Q562="LINEAR"),$M562,IF(AND($N562="VCA",$Q562="PREDIAL"),0,0)))</f>
        <v>2</v>
      </c>
      <c r="AN562" s="153" t="n">
        <f aca="false">ROUND(IF(AND($N562="VCA",$M562&lt;&gt;"",$Q562="LINEAR"),$M562/100,IF(AND($N562="MND",$M562&gt;100,$Q562="EMBOQUE"),$M562/100,0)),0)</f>
        <v>0</v>
      </c>
      <c r="AO562" s="153" t="n">
        <f aca="false">IF(AND($N562="MND",$Q562="EMBOQUE"),$AN562*2*2,IF(AND($N562="VCA",$Q562="LINEAR"),$M562*2,IF(AND($N562="VCA",$Q562="PREDIAL"),0,0)))</f>
        <v>4</v>
      </c>
      <c r="AP562" s="153" t="n">
        <f aca="false">IFERROR($M562*$AF562*$AG562,0)</f>
        <v>2.635</v>
      </c>
      <c r="AQ562" s="153" t="n">
        <f aca="false">IFERROR(IF(AND($N562="VCA",$AH562&gt;0),$M562*$AG562*$AH562,0),0)</f>
        <v>0.17</v>
      </c>
      <c r="AR562" s="153" t="n">
        <f aca="false">IFERROR(IF(AND($N562="VCA",$AJ562&gt;0),($M562*$AG562*$AJ562)-$AI562,0),0)</f>
        <v>0.836825229575319</v>
      </c>
      <c r="AS562" s="153" t="n">
        <f aca="false">IFERROR(IF(AND($N562="VCA",$AP562&gt;0),$AP562-$AI562-$AQ562-$AR562,0),0)</f>
        <v>1.53</v>
      </c>
      <c r="AT562" s="153" t="n">
        <f aca="false">IFERROR(IF($N562="VCA",INDEX(APOIO_REDES!$A:$W,MATCH($C562&amp;$I562&amp;$H562&amp;$N562&amp;$O562,APOIO_REDES!$W:$W,0),MATCH(AT$5,APOIO_REDES!$5:$5,0)),0)*$AP562,0)</f>
        <v>0.0286695799201891</v>
      </c>
      <c r="AU562" s="153" t="n">
        <f aca="false">IFERROR(IF($N562="VCA",INDEX(APOIO_REDES!$A:$W,MATCH($C562&amp;$I562&amp;$H562&amp;$N562&amp;$O562,APOIO_REDES!$W:$W,0),MATCH(AU$5,APOIO_REDES!$5:$5,0)),0)*$AP562,0)</f>
        <v>0.0228947500535663</v>
      </c>
      <c r="AV562" s="153" t="n">
        <f aca="false">IFERROR(IF($N562="VCA",INDEX(APOIO_REDES!$A:$W,MATCH($C562&amp;$I562&amp;$H562&amp;$N562&amp;$O562,APOIO_REDES!$W:$W,0),MATCH(AV$5,APOIO_REDES!$5:$5,0)),0)*$AP562,0)</f>
        <v>0.00316845367657876</v>
      </c>
      <c r="AW562" s="153" t="n">
        <f aca="false">IFERROR(IF($N562="VCA",INDEX(APOIO_REDES!$A:$W,MATCH($C562&amp;$I562&amp;$H562&amp;$N562&amp;$O562,APOIO_REDES!$W:$W,0),MATCH(AW$5,APOIO_REDES!$5:$5,0)),0)*$AP562,0)</f>
        <v>1.8086844169763</v>
      </c>
      <c r="AX562" s="153" t="n">
        <f aca="false">IFERROR(IF($N562="VCA",INDEX(APOIO_REDES!$A:$W,MATCH($C562&amp;$I562&amp;$H562&amp;$N562&amp;$O562,APOIO_REDES!$W:$W,0),MATCH(AX$5,APOIO_REDES!$5:$5,0)),0)*$AP562,0)</f>
        <v>0.250316771174434</v>
      </c>
      <c r="AY562" s="153" t="n">
        <f aca="false">IFERROR(IF($N562="VCA",INDEX(APOIO_REDES!$A:$W,MATCH($C562&amp;$I562&amp;$H562&amp;$N562&amp;$O562,APOIO_REDES!$W:$W,0),MATCH(AY$5,APOIO_REDES!$5:$5,0)),0)*$AP562,0)</f>
        <v>0.45789472198618</v>
      </c>
      <c r="AZ562" s="153" t="n">
        <f aca="false">IFERROR(IF($N562="VCA",INDEX(APOIO_REDES!$A:$W,MATCH($C562&amp;$I562&amp;$H562&amp;$N562&amp;$O562,APOIO_REDES!$W:$W,0),MATCH(AZ$5,APOIO_REDES!$5:$5,0)),0)*$AP562,0)</f>
        <v>0.0633713062127531</v>
      </c>
      <c r="BA562" s="153" t="n">
        <f aca="false">IFERROR(IF(AND($N562="VCA",$Q562="LINEAR"),INDEX(APOIO_REDES!$A:$W,MATCH($C562&amp;$I562&amp;$H562&amp;$N562&amp;$O562,APOIO_REDES!$W:$W,0),MATCH(BA$5,APOIO_REDES!$5:$5,0)),IF(AND($N562="MND",$Q562="EMBOQUE"),INDEX(APOIO_REDES!$A:$W,MATCH($C562&amp;$I562&amp;$H562&amp;$N562&amp;$O562,APOIO_REDES!$W:$W,0),MATCH(BA$5,APOIO_REDES!$5:$5,0)),0))*$M562/10,0)</f>
        <v>0.161194955159561</v>
      </c>
      <c r="BB562" s="153" t="n">
        <f aca="false">IFERROR(IF($N562="VCA",INDEX(APOIO_REDES!$A:$W,MATCH($C562&amp;$I562&amp;$H562&amp;$N562&amp;$O562,APOIO_REDES!$W:$W,0),MATCH(BB$5,APOIO_REDES!$5:$5,0)),0)*($AI562+$AQ562+$AR562),0)</f>
        <v>1.09297727293669</v>
      </c>
      <c r="BC562" s="153" t="n">
        <f aca="false">IFERROR(IF($N562="VCA",INDEX(APOIO_REDES!$A:$W,MATCH($C562&amp;$I562&amp;$H562&amp;$N562&amp;$O562,APOIO_REDES!$W:$W,0),MATCH(BC$5,APOIO_REDES!$5:$5,0)),0)*($AI562+$AQ562+$AR562),0)</f>
        <v>0.0120227270633051</v>
      </c>
      <c r="BD562" s="153" t="n">
        <f aca="false">IF(AND($N562="VCA",$AF562&gt;=1.25,$AF562&lt;1.5),$M562*$AF562*2,0)</f>
        <v>0</v>
      </c>
      <c r="BE562" s="153" t="n">
        <f aca="false">IF(AND($N562="VCA",$AF562&gt;=1.5,$AF562&lt;3),$M562*$AF562*2,0)</f>
        <v>6.2</v>
      </c>
      <c r="BF562" s="153" t="n">
        <f aca="false">IF(AND($N562="VCA",$AF562&gt;=3),$M562*$AF562*2,0)</f>
        <v>0</v>
      </c>
      <c r="BG562" s="153" t="n">
        <f aca="false">($BB562+$BC562)*$AK562</f>
        <v>3.8675</v>
      </c>
      <c r="BH562" s="153" t="n">
        <f aca="false">IF(AND($M562&lt;&gt;"",$N562="VCA",$Q562="LINEAR"),($M562*2)/100,IF(AND($M562&lt;&gt;"",$N562="MND",$Q562="EMBOQUE"),($AN562*2)/100,0))</f>
        <v>0.04</v>
      </c>
      <c r="BI562" s="153" t="n">
        <f aca="false">IF(AND($M562&lt;&gt;"",$N562="VCA",$Q562="LINEAR"),$M562,IF(AND($M562&lt;&gt;"",$N562="MND",$Q562="EMBOQUE"),$AN562*2,0))</f>
        <v>2</v>
      </c>
      <c r="BJ562" s="153" t="n">
        <f aca="false">IF(AND($M562&lt;&gt;"",$N562="VCA",$Q562="LINEAR"),($M562*6.8)/100,IF(AND($M562&lt;&gt;"",$N562="MND",$Q562="EMBOQUE"),($AN562*2*6.8)/100,0))</f>
        <v>0.136</v>
      </c>
      <c r="BK562" s="153" t="n">
        <f aca="false">IF(AND($M562&lt;&gt;"",$N562="VCA",$Q562="LINEAR"),($M562*2.5)/50,IF(AND($M562&lt;&gt;"",$N562="MND",$Q562="EMBOQUE"),($AN562*2*2.5)/50,0))</f>
        <v>0.1</v>
      </c>
      <c r="BL562" s="157" t="str">
        <f aca="false">K562&amp;J562</f>
        <v>Zona05REDES</v>
      </c>
      <c r="BM562" s="152" t="s">
        <v>3356</v>
      </c>
      <c r="BN562" s="152" t="s">
        <v>1560</v>
      </c>
      <c r="BO562" s="152" t="s">
        <v>2489</v>
      </c>
      <c r="BP562" s="152" t="s">
        <v>3674</v>
      </c>
      <c r="BQ562" s="152" t="s">
        <v>3670</v>
      </c>
      <c r="BR562" s="152" t="s">
        <v>3677</v>
      </c>
      <c r="BS562" s="152" t="n">
        <v>202881.672</v>
      </c>
      <c r="BT562" s="152" t="n">
        <v>8237356.849</v>
      </c>
      <c r="BU562" s="152" t="n">
        <v>202880.277</v>
      </c>
      <c r="BV562" s="152" t="n">
        <v>8237355.416</v>
      </c>
      <c r="BW562" s="152" t="n">
        <v>-15.9252635</v>
      </c>
      <c r="BX562" s="152" t="n">
        <v>-47.7750743</v>
      </c>
      <c r="BY562" s="152" t="s">
        <v>3674</v>
      </c>
    </row>
    <row r="563" customFormat="false" ht="13.8" hidden="false" customHeight="false" outlineLevel="0" collapsed="false">
      <c r="A563" s="149" t="n">
        <f aca="false">IF(C563&lt;&gt;"",ROW(A558),"")</f>
        <v>558</v>
      </c>
      <c r="B563" s="150" t="str">
        <f aca="false">HYPERLINK("https://www.google.com/maps/dir/-15.917302,-47.760003/-15.9252571,-47.7750677/data=!4m3!4m2!3e0!5i0")</f>
        <v>https://www.google.com/maps/dir/-15.917302,-47.760003/-15.9252571,-47.7750677/data=!4m3!4m2!3e0!5i0</v>
      </c>
      <c r="C563" s="151" t="s">
        <v>117</v>
      </c>
      <c r="D563" s="152" t="s">
        <v>112</v>
      </c>
      <c r="E563" s="152" t="s">
        <v>113</v>
      </c>
      <c r="F563" s="152" t="s">
        <v>117</v>
      </c>
      <c r="G563" s="152" t="s">
        <v>114</v>
      </c>
      <c r="H563" s="152" t="n">
        <v>250</v>
      </c>
      <c r="I563" s="152" t="s">
        <v>115</v>
      </c>
      <c r="J563" s="152" t="s">
        <v>6</v>
      </c>
      <c r="K563" s="152" t="s">
        <v>3352</v>
      </c>
      <c r="L563" s="152" t="s">
        <v>120</v>
      </c>
      <c r="M563" s="153" t="n">
        <f aca="false">4.88</f>
        <v>4.88</v>
      </c>
      <c r="N563" s="152" t="s">
        <v>1548</v>
      </c>
      <c r="O563" s="152" t="s">
        <v>1549</v>
      </c>
      <c r="P563" s="152" t="s">
        <v>1550</v>
      </c>
      <c r="Q563" s="152" t="s">
        <v>1551</v>
      </c>
      <c r="R563" s="154" t="s">
        <v>3678</v>
      </c>
      <c r="S563" s="154" t="s">
        <v>1593</v>
      </c>
      <c r="T563" s="155" t="s">
        <v>2487</v>
      </c>
      <c r="U563" s="152" t="str">
        <f aca="false">RIGHT(T563,7)</f>
        <v>011/037</v>
      </c>
      <c r="V563" s="152" t="s">
        <v>1555</v>
      </c>
      <c r="W563" s="156" t="n">
        <v>45882</v>
      </c>
      <c r="X563" s="152" t="s">
        <v>1594</v>
      </c>
      <c r="Y563" s="152" t="s">
        <v>3354</v>
      </c>
      <c r="Z563" s="152" t="s">
        <v>1557</v>
      </c>
      <c r="AA563" s="153" t="n">
        <v>3.5</v>
      </c>
      <c r="AB563" s="151" t="s">
        <v>3679</v>
      </c>
      <c r="AC563" s="151" t="s">
        <v>511</v>
      </c>
      <c r="AD563" s="151" t="str">
        <f aca="false">CONCATENATE($C563,$I563,$H563,$N563,$J563,$K563)</f>
        <v>TUBO PEADPEAD250VCAREDESZona05</v>
      </c>
      <c r="AE563" s="153" t="n">
        <f aca="false">IFERROR(INDEX(APOIO_REDES!$A:$W,MATCH($C563&amp;$I563&amp;$H563&amp;$N563&amp;$O563,APOIO_REDES!$W:$W,0),MATCH(AE$5,APOIO_REDES!$5:$5,0)),0)</f>
        <v>1.2</v>
      </c>
      <c r="AF563" s="153" t="n">
        <f aca="false">IFERROR(INDEX(APOIO_REDES!$A:$W,MATCH($C563&amp;$I563&amp;$H563&amp;$N563&amp;$O563,APOIO_REDES!$W:$W,0),MATCH(AF$5,APOIO_REDES!$5:$5,0)),0)</f>
        <v>1.55</v>
      </c>
      <c r="AG563" s="153" t="n">
        <f aca="false">IFERROR(INDEX(APOIO_REDES!$A:$W,MATCH($C563&amp;$I563&amp;$H563&amp;$N563&amp;$O563,APOIO_REDES!$W:$W,0),MATCH(AG$5,APOIO_REDES!$5:$5,0)),0)</f>
        <v>0.85</v>
      </c>
      <c r="AH563" s="153" t="n">
        <f aca="false">IFERROR(INDEX(APOIO_REDES!$A:$W,MATCH($C563&amp;$I563&amp;$H563&amp;$N563&amp;$O563,APOIO_REDES!$W:$W,0),MATCH(AH$5,APOIO_REDES!$5:$5,0)),0)</f>
        <v>0.1</v>
      </c>
      <c r="AI563" s="153" t="n">
        <f aca="false">IFERROR(IF($H563&lt;&gt;"",(((($H563/1000)/2)^2)*PI()*$M563),0),0)</f>
        <v>0.239546439836222</v>
      </c>
      <c r="AJ563" s="153" t="n">
        <f aca="false">IFERROR(IF(AND($H563&lt;&gt;"",$I563="FoFo",OR($N563="MND",$N563="VCA"),$Q563="LINEAR"),0,IF(AND($H563&lt;&gt;"",$I563="PEAD",$N563="VCA",$Q563="LINEAR"),($H563/1000)+0.3,IF(AND($H563&lt;&gt;"",$I563="PEAD",$N563="MND",$Q563="EMBOQUE"),0,IF(AND($H563&lt;&gt;"",$I563="PVC",$N563="VCA",$Q563="LINEAR"),($H563/1000)+0.2,IF(AND($H563&lt;&gt;"",$I563="PVC",$N563="MND",$Q563="EMBOQUE"),0,IF(AND($H563&lt;&gt;"",$I563="PEAD",$N563="VCA",$Q563="PREDIAL"),0,0)))))),0)</f>
        <v>0.55</v>
      </c>
      <c r="AK563" s="153" t="n">
        <f aca="false">IF(AA563&lt;&gt;"",AA563,0)</f>
        <v>3.5</v>
      </c>
      <c r="AL563" s="153" t="n">
        <f aca="false">IF(AND($N563="MND",$Q563="EMBOQUE"),$M563,IF(AND($N563="VCA",$Q563="LINEAR"),$M563,IF(AND($N563="VCA",$Q563="PREDIAL"),0,0)))</f>
        <v>4.88</v>
      </c>
      <c r="AM563" s="153" t="n">
        <f aca="false">IF(AND($N563="MND",$Q563="EMBOQUE"),$M563,IF(AND($N563="VCA",$Q563="LINEAR"),$M563,IF(AND($N563="VCA",$Q563="PREDIAL"),0,0)))</f>
        <v>4.88</v>
      </c>
      <c r="AN563" s="153" t="n">
        <f aca="false">ROUND(IF(AND($N563="VCA",$M563&lt;&gt;"",$Q563="LINEAR"),$M563/100,IF(AND($N563="MND",$M563&gt;100,$Q563="EMBOQUE"),$M563/100,0)),0)</f>
        <v>0</v>
      </c>
      <c r="AO563" s="153" t="n">
        <f aca="false">IF(AND($N563="MND",$Q563="EMBOQUE"),$AN563*2*2,IF(AND($N563="VCA",$Q563="LINEAR"),$M563*2,IF(AND($N563="VCA",$Q563="PREDIAL"),0,0)))</f>
        <v>9.76</v>
      </c>
      <c r="AP563" s="153" t="n">
        <f aca="false">IFERROR($M563*$AF563*$AG563,0)</f>
        <v>6.4294</v>
      </c>
      <c r="AQ563" s="153" t="n">
        <f aca="false">IFERROR(IF(AND($N563="VCA",$AH563&gt;0),$M563*$AG563*$AH563,0),0)</f>
        <v>0.4148</v>
      </c>
      <c r="AR563" s="153" t="n">
        <f aca="false">IFERROR(IF(AND($N563="VCA",$AJ563&gt;0),($M563*$AG563*$AJ563)-$AI563,0),0)</f>
        <v>2.04185356016378</v>
      </c>
      <c r="AS563" s="153" t="n">
        <f aca="false">IFERROR(IF(AND($N563="VCA",$AP563&gt;0),$AP563-$AI563-$AQ563-$AR563,0),0)</f>
        <v>3.7332</v>
      </c>
      <c r="AT563" s="153" t="n">
        <f aca="false">IFERROR(IF($N563="VCA",INDEX(APOIO_REDES!$A:$W,MATCH($C563&amp;$I563&amp;$H563&amp;$N563&amp;$O563,APOIO_REDES!$W:$W,0),MATCH(AT$5,APOIO_REDES!$5:$5,0)),0)*$AP563,0)</f>
        <v>0.0699537750052613</v>
      </c>
      <c r="AU563" s="153" t="n">
        <f aca="false">IFERROR(IF($N563="VCA",INDEX(APOIO_REDES!$A:$W,MATCH($C563&amp;$I563&amp;$H563&amp;$N563&amp;$O563,APOIO_REDES!$W:$W,0),MATCH(AU$5,APOIO_REDES!$5:$5,0)),0)*$AP563,0)</f>
        <v>0.0558631901307019</v>
      </c>
      <c r="AV563" s="153" t="n">
        <f aca="false">IFERROR(IF($N563="VCA",INDEX(APOIO_REDES!$A:$W,MATCH($C563&amp;$I563&amp;$H563&amp;$N563&amp;$O563,APOIO_REDES!$W:$W,0),MATCH(AV$5,APOIO_REDES!$5:$5,0)),0)*$AP563,0)</f>
        <v>0.00773102697085218</v>
      </c>
      <c r="AW563" s="153" t="n">
        <f aca="false">IFERROR(IF($N563="VCA",INDEX(APOIO_REDES!$A:$W,MATCH($C563&amp;$I563&amp;$H563&amp;$N563&amp;$O563,APOIO_REDES!$W:$W,0),MATCH(AW$5,APOIO_REDES!$5:$5,0)),0)*$AP563,0)</f>
        <v>4.41318997742217</v>
      </c>
      <c r="AX563" s="153" t="n">
        <f aca="false">IFERROR(IF($N563="VCA",INDEX(APOIO_REDES!$A:$W,MATCH($C563&amp;$I563&amp;$H563&amp;$N563&amp;$O563,APOIO_REDES!$W:$W,0),MATCH(AX$5,APOIO_REDES!$5:$5,0)),0)*$AP563,0)</f>
        <v>0.610772921665618</v>
      </c>
      <c r="AY563" s="153" t="n">
        <f aca="false">IFERROR(IF($N563="VCA",INDEX(APOIO_REDES!$A:$W,MATCH($C563&amp;$I563&amp;$H563&amp;$N563&amp;$O563,APOIO_REDES!$W:$W,0),MATCH(AY$5,APOIO_REDES!$5:$5,0)),0)*$AP563,0)</f>
        <v>1.11726312164628</v>
      </c>
      <c r="AZ563" s="153" t="n">
        <f aca="false">IFERROR(IF($N563="VCA",INDEX(APOIO_REDES!$A:$W,MATCH($C563&amp;$I563&amp;$H563&amp;$N563&amp;$O563,APOIO_REDES!$W:$W,0),MATCH(AZ$5,APOIO_REDES!$5:$5,0)),0)*$AP563,0)</f>
        <v>0.154625987159118</v>
      </c>
      <c r="BA563" s="153" t="n">
        <f aca="false">IFERROR(IF(AND($N563="VCA",$Q563="LINEAR"),INDEX(APOIO_REDES!$A:$W,MATCH($C563&amp;$I563&amp;$H563&amp;$N563&amp;$O563,APOIO_REDES!$W:$W,0),MATCH(BA$5,APOIO_REDES!$5:$5,0)),IF(AND($N563="MND",$Q563="EMBOQUE"),INDEX(APOIO_REDES!$A:$W,MATCH($C563&amp;$I563&amp;$H563&amp;$N563&amp;$O563,APOIO_REDES!$W:$W,0),MATCH(BA$5,APOIO_REDES!$5:$5,0)),0))*$M563/10,0)</f>
        <v>0.393315690589328</v>
      </c>
      <c r="BB563" s="153" t="n">
        <f aca="false">IFERROR(IF($N563="VCA",INDEX(APOIO_REDES!$A:$W,MATCH($C563&amp;$I563&amp;$H563&amp;$N563&amp;$O563,APOIO_REDES!$W:$W,0),MATCH(BB$5,APOIO_REDES!$5:$5,0)),0)*($AI563+$AQ563+$AR563),0)</f>
        <v>2.66686454596554</v>
      </c>
      <c r="BC563" s="153" t="n">
        <f aca="false">IFERROR(IF($N563="VCA",INDEX(APOIO_REDES!$A:$W,MATCH($C563&amp;$I563&amp;$H563&amp;$N563&amp;$O563,APOIO_REDES!$W:$W,0),MATCH(BC$5,APOIO_REDES!$5:$5,0)),0)*($AI563+$AQ563+$AR563),0)</f>
        <v>0.0293354540344644</v>
      </c>
      <c r="BD563" s="153" t="n">
        <f aca="false">IF(AND($N563="VCA",$AF563&gt;=1.25,$AF563&lt;1.5),$M563*$AF563*2,0)</f>
        <v>0</v>
      </c>
      <c r="BE563" s="153" t="n">
        <f aca="false">IF(AND($N563="VCA",$AF563&gt;=1.5,$AF563&lt;3),$M563*$AF563*2,0)</f>
        <v>15.128</v>
      </c>
      <c r="BF563" s="153" t="n">
        <f aca="false">IF(AND($N563="VCA",$AF563&gt;=3),$M563*$AF563*2,0)</f>
        <v>0</v>
      </c>
      <c r="BG563" s="153" t="n">
        <f aca="false">($BB563+$BC563)*$AK563</f>
        <v>9.4367</v>
      </c>
      <c r="BH563" s="153" t="n">
        <f aca="false">IF(AND($M563&lt;&gt;"",$N563="VCA",$Q563="LINEAR"),($M563*2)/100,IF(AND($M563&lt;&gt;"",$N563="MND",$Q563="EMBOQUE"),($AN563*2)/100,0))</f>
        <v>0.0976</v>
      </c>
      <c r="BI563" s="153" t="n">
        <f aca="false">IF(AND($M563&lt;&gt;"",$N563="VCA",$Q563="LINEAR"),$M563,IF(AND($M563&lt;&gt;"",$N563="MND",$Q563="EMBOQUE"),$AN563*2,0))</f>
        <v>4.88</v>
      </c>
      <c r="BJ563" s="153" t="n">
        <f aca="false">IF(AND($M563&lt;&gt;"",$N563="VCA",$Q563="LINEAR"),($M563*6.8)/100,IF(AND($M563&lt;&gt;"",$N563="MND",$Q563="EMBOQUE"),($AN563*2*6.8)/100,0))</f>
        <v>0.33184</v>
      </c>
      <c r="BK563" s="153" t="n">
        <f aca="false">IF(AND($M563&lt;&gt;"",$N563="VCA",$Q563="LINEAR"),($M563*2.5)/50,IF(AND($M563&lt;&gt;"",$N563="MND",$Q563="EMBOQUE"),($AN563*2*2.5)/50,0))</f>
        <v>0.244</v>
      </c>
      <c r="BL563" s="157" t="str">
        <f aca="false">K563&amp;J563</f>
        <v>Zona05REDES</v>
      </c>
      <c r="BM563" s="152" t="s">
        <v>3356</v>
      </c>
      <c r="BN563" s="152" t="s">
        <v>1560</v>
      </c>
      <c r="BO563" s="152" t="s">
        <v>2489</v>
      </c>
      <c r="BP563" s="152" t="s">
        <v>3674</v>
      </c>
      <c r="BQ563" s="152" t="s">
        <v>3680</v>
      </c>
      <c r="BR563" s="152" t="s">
        <v>3681</v>
      </c>
      <c r="BS563" s="152" t="n">
        <v>202881.672</v>
      </c>
      <c r="BT563" s="152" t="n">
        <v>8237356.849</v>
      </c>
      <c r="BU563" s="152" t="n">
        <v>202885.17</v>
      </c>
      <c r="BV563" s="152" t="n">
        <v>8237353.441</v>
      </c>
      <c r="BW563" s="152" t="n">
        <v>-15.9252727</v>
      </c>
      <c r="BX563" s="152" t="n">
        <v>-47.7750516</v>
      </c>
      <c r="BY563" s="152" t="s">
        <v>3674</v>
      </c>
    </row>
    <row r="564" customFormat="false" ht="13.8" hidden="false" customHeight="false" outlineLevel="0" collapsed="false">
      <c r="A564" s="149" t="n">
        <f aca="false">IF(C564&lt;&gt;"",ROW(A559),"")</f>
        <v>559</v>
      </c>
      <c r="B564" s="150" t="str">
        <f aca="false">HYPERLINK("https://www.google.com/maps/dir/-15.917302,-47.760003/-15.9252887,-47.7750359/data=!4m3!4m2!3e0!5i0")</f>
        <v>https://www.google.com/maps/dir/-15.917302,-47.760003/-15.9252887,-47.7750359/data=!4m3!4m2!3e0!5i0</v>
      </c>
      <c r="C564" s="151" t="s">
        <v>117</v>
      </c>
      <c r="D564" s="152" t="s">
        <v>112</v>
      </c>
      <c r="E564" s="152" t="s">
        <v>113</v>
      </c>
      <c r="F564" s="152" t="s">
        <v>117</v>
      </c>
      <c r="G564" s="152" t="s">
        <v>114</v>
      </c>
      <c r="H564" s="152" t="n">
        <v>250</v>
      </c>
      <c r="I564" s="152" t="s">
        <v>115</v>
      </c>
      <c r="J564" s="152" t="s">
        <v>6</v>
      </c>
      <c r="K564" s="152" t="s">
        <v>3352</v>
      </c>
      <c r="L564" s="152" t="s">
        <v>120</v>
      </c>
      <c r="M564" s="153" t="n">
        <f aca="false">4.94</f>
        <v>4.94</v>
      </c>
      <c r="N564" s="152" t="s">
        <v>1548</v>
      </c>
      <c r="O564" s="152" t="s">
        <v>1549</v>
      </c>
      <c r="P564" s="152" t="s">
        <v>1550</v>
      </c>
      <c r="Q564" s="152" t="s">
        <v>1551</v>
      </c>
      <c r="R564" s="154" t="s">
        <v>3682</v>
      </c>
      <c r="S564" s="154" t="s">
        <v>1593</v>
      </c>
      <c r="T564" s="155" t="s">
        <v>2487</v>
      </c>
      <c r="U564" s="152" t="str">
        <f aca="false">RIGHT(T564,7)</f>
        <v>011/037</v>
      </c>
      <c r="V564" s="152" t="s">
        <v>1555</v>
      </c>
      <c r="W564" s="156" t="n">
        <v>45882</v>
      </c>
      <c r="X564" s="152" t="s">
        <v>1594</v>
      </c>
      <c r="Y564" s="152" t="s">
        <v>3354</v>
      </c>
      <c r="Z564" s="152" t="s">
        <v>1557</v>
      </c>
      <c r="AA564" s="153" t="n">
        <v>3.5</v>
      </c>
      <c r="AB564" s="151" t="s">
        <v>3683</v>
      </c>
      <c r="AC564" s="151" t="s">
        <v>511</v>
      </c>
      <c r="AD564" s="151" t="str">
        <f aca="false">CONCATENATE($C564,$I564,$H564,$N564,$J564,$K564)</f>
        <v>TUBO PEADPEAD250VCAREDESZona05</v>
      </c>
      <c r="AE564" s="153" t="n">
        <f aca="false">IFERROR(INDEX(APOIO_REDES!$A:$W,MATCH($C564&amp;$I564&amp;$H564&amp;$N564&amp;$O564,APOIO_REDES!$W:$W,0),MATCH(AE$5,APOIO_REDES!$5:$5,0)),0)</f>
        <v>1.2</v>
      </c>
      <c r="AF564" s="153" t="n">
        <f aca="false">IFERROR(INDEX(APOIO_REDES!$A:$W,MATCH($C564&amp;$I564&amp;$H564&amp;$N564&amp;$O564,APOIO_REDES!$W:$W,0),MATCH(AF$5,APOIO_REDES!$5:$5,0)),0)</f>
        <v>1.55</v>
      </c>
      <c r="AG564" s="153" t="n">
        <f aca="false">IFERROR(INDEX(APOIO_REDES!$A:$W,MATCH($C564&amp;$I564&amp;$H564&amp;$N564&amp;$O564,APOIO_REDES!$W:$W,0),MATCH(AG$5,APOIO_REDES!$5:$5,0)),0)</f>
        <v>0.85</v>
      </c>
      <c r="AH564" s="153" t="n">
        <f aca="false">IFERROR(INDEX(APOIO_REDES!$A:$W,MATCH($C564&amp;$I564&amp;$H564&amp;$N564&amp;$O564,APOIO_REDES!$W:$W,0),MATCH(AH$5,APOIO_REDES!$5:$5,0)),0)</f>
        <v>0.1</v>
      </c>
      <c r="AI564" s="153" t="n">
        <f aca="false">IFERROR(IF($H564&lt;&gt;"",(((($H564/1000)/2)^2)*PI()*$M564),0),0)</f>
        <v>0.242491682948962</v>
      </c>
      <c r="AJ564" s="153" t="n">
        <f aca="false">IFERROR(IF(AND($H564&lt;&gt;"",$I564="FoFo",OR($N564="MND",$N564="VCA"),$Q564="LINEAR"),0,IF(AND($H564&lt;&gt;"",$I564="PEAD",$N564="VCA",$Q564="LINEAR"),($H564/1000)+0.3,IF(AND($H564&lt;&gt;"",$I564="PEAD",$N564="MND",$Q564="EMBOQUE"),0,IF(AND($H564&lt;&gt;"",$I564="PVC",$N564="VCA",$Q564="LINEAR"),($H564/1000)+0.2,IF(AND($H564&lt;&gt;"",$I564="PVC",$N564="MND",$Q564="EMBOQUE"),0,IF(AND($H564&lt;&gt;"",$I564="PEAD",$N564="VCA",$Q564="PREDIAL"),0,0)))))),0)</f>
        <v>0.55</v>
      </c>
      <c r="AK564" s="153" t="n">
        <f aca="false">IF(AA564&lt;&gt;"",AA564,0)</f>
        <v>3.5</v>
      </c>
      <c r="AL564" s="153" t="n">
        <f aca="false">IF(AND($N564="MND",$Q564="EMBOQUE"),$M564,IF(AND($N564="VCA",$Q564="LINEAR"),$M564,IF(AND($N564="VCA",$Q564="PREDIAL"),0,0)))</f>
        <v>4.94</v>
      </c>
      <c r="AM564" s="153" t="n">
        <f aca="false">IF(AND($N564="MND",$Q564="EMBOQUE"),$M564,IF(AND($N564="VCA",$Q564="LINEAR"),$M564,IF(AND($N564="VCA",$Q564="PREDIAL"),0,0)))</f>
        <v>4.94</v>
      </c>
      <c r="AN564" s="153" t="n">
        <f aca="false">ROUND(IF(AND($N564="VCA",$M564&lt;&gt;"",$Q564="LINEAR"),$M564/100,IF(AND($N564="MND",$M564&gt;100,$Q564="EMBOQUE"),$M564/100,0)),0)</f>
        <v>0</v>
      </c>
      <c r="AO564" s="153" t="n">
        <f aca="false">IF(AND($N564="MND",$Q564="EMBOQUE"),$AN564*2*2,IF(AND($N564="VCA",$Q564="LINEAR"),$M564*2,IF(AND($N564="VCA",$Q564="PREDIAL"),0,0)))</f>
        <v>9.88</v>
      </c>
      <c r="AP564" s="153" t="n">
        <f aca="false">IFERROR($M564*$AF564*$AG564,0)</f>
        <v>6.50845</v>
      </c>
      <c r="AQ564" s="153" t="n">
        <f aca="false">IFERROR(IF(AND($N564="VCA",$AH564&gt;0),$M564*$AG564*$AH564,0),0)</f>
        <v>0.4199</v>
      </c>
      <c r="AR564" s="153" t="n">
        <f aca="false">IFERROR(IF(AND($N564="VCA",$AJ564&gt;0),($M564*$AG564*$AJ564)-$AI564,0),0)</f>
        <v>2.06695831705104</v>
      </c>
      <c r="AS564" s="153" t="n">
        <f aca="false">IFERROR(IF(AND($N564="VCA",$AP564&gt;0),$AP564-$AI564-$AQ564-$AR564,0),0)</f>
        <v>3.7791</v>
      </c>
      <c r="AT564" s="153" t="n">
        <f aca="false">IFERROR(IF($N564="VCA",INDEX(APOIO_REDES!$A:$W,MATCH($C564&amp;$I564&amp;$H564&amp;$N564&amp;$O564,APOIO_REDES!$W:$W,0),MATCH(AT$5,APOIO_REDES!$5:$5,0)),0)*$AP564,0)</f>
        <v>0.070813862402867</v>
      </c>
      <c r="AU564" s="153" t="n">
        <f aca="false">IFERROR(IF($N564="VCA",INDEX(APOIO_REDES!$A:$W,MATCH($C564&amp;$I564&amp;$H564&amp;$N564&amp;$O564,APOIO_REDES!$W:$W,0),MATCH(AU$5,APOIO_REDES!$5:$5,0)),0)*$AP564,0)</f>
        <v>0.0565500326323089</v>
      </c>
      <c r="AV564" s="153" t="n">
        <f aca="false">IFERROR(IF($N564="VCA",INDEX(APOIO_REDES!$A:$W,MATCH($C564&amp;$I564&amp;$H564&amp;$N564&amp;$O564,APOIO_REDES!$W:$W,0),MATCH(AV$5,APOIO_REDES!$5:$5,0)),0)*$AP564,0)</f>
        <v>0.00782608058114954</v>
      </c>
      <c r="AW564" s="153" t="n">
        <f aca="false">IFERROR(IF($N564="VCA",INDEX(APOIO_REDES!$A:$W,MATCH($C564&amp;$I564&amp;$H564&amp;$N564&amp;$O564,APOIO_REDES!$W:$W,0),MATCH(AW$5,APOIO_REDES!$5:$5,0)),0)*$AP564,0)</f>
        <v>4.46745050993146</v>
      </c>
      <c r="AX564" s="153" t="n">
        <f aca="false">IFERROR(IF($N564="VCA",INDEX(APOIO_REDES!$A:$W,MATCH($C564&amp;$I564&amp;$H564&amp;$N564&amp;$O564,APOIO_REDES!$W:$W,0),MATCH(AX$5,APOIO_REDES!$5:$5,0)),0)*$AP564,0)</f>
        <v>0.618282424800851</v>
      </c>
      <c r="AY564" s="153" t="n">
        <f aca="false">IFERROR(IF($N564="VCA",INDEX(APOIO_REDES!$A:$W,MATCH($C564&amp;$I564&amp;$H564&amp;$N564&amp;$O564,APOIO_REDES!$W:$W,0),MATCH(AY$5,APOIO_REDES!$5:$5,0)),0)*$AP564,0)</f>
        <v>1.13099996330586</v>
      </c>
      <c r="AZ564" s="153" t="n">
        <f aca="false">IFERROR(IF($N564="VCA",INDEX(APOIO_REDES!$A:$W,MATCH($C564&amp;$I564&amp;$H564&amp;$N564&amp;$O564,APOIO_REDES!$W:$W,0),MATCH(AZ$5,APOIO_REDES!$5:$5,0)),0)*$AP564,0)</f>
        <v>0.1565271263455</v>
      </c>
      <c r="BA564" s="153" t="n">
        <f aca="false">IFERROR(IF(AND($N564="VCA",$Q564="LINEAR"),INDEX(APOIO_REDES!$A:$W,MATCH($C564&amp;$I564&amp;$H564&amp;$N564&amp;$O564,APOIO_REDES!$W:$W,0),MATCH(BA$5,APOIO_REDES!$5:$5,0)),IF(AND($N564="MND",$Q564="EMBOQUE"),INDEX(APOIO_REDES!$A:$W,MATCH($C564&amp;$I564&amp;$H564&amp;$N564&amp;$O564,APOIO_REDES!$W:$W,0),MATCH(BA$5,APOIO_REDES!$5:$5,0)),0))*$M564/10,0)</f>
        <v>0.398151539244115</v>
      </c>
      <c r="BB564" s="153" t="n">
        <f aca="false">IFERROR(IF($N564="VCA",INDEX(APOIO_REDES!$A:$W,MATCH($C564&amp;$I564&amp;$H564&amp;$N564&amp;$O564,APOIO_REDES!$W:$W,0),MATCH(BB$5,APOIO_REDES!$5:$5,0)),0)*($AI564+$AQ564+$AR564),0)</f>
        <v>2.69965386415364</v>
      </c>
      <c r="BC564" s="153" t="n">
        <f aca="false">IFERROR(IF($N564="VCA",INDEX(APOIO_REDES!$A:$W,MATCH($C564&amp;$I564&amp;$H564&amp;$N564&amp;$O564,APOIO_REDES!$W:$W,0),MATCH(BC$5,APOIO_REDES!$5:$5,0)),0)*($AI564+$AQ564+$AR564),0)</f>
        <v>0.0296961358463636</v>
      </c>
      <c r="BD564" s="153" t="n">
        <f aca="false">IF(AND($N564="VCA",$AF564&gt;=1.25,$AF564&lt;1.5),$M564*$AF564*2,0)</f>
        <v>0</v>
      </c>
      <c r="BE564" s="153" t="n">
        <f aca="false">IF(AND($N564="VCA",$AF564&gt;=1.5,$AF564&lt;3),$M564*$AF564*2,0)</f>
        <v>15.314</v>
      </c>
      <c r="BF564" s="153" t="n">
        <f aca="false">IF(AND($N564="VCA",$AF564&gt;=3),$M564*$AF564*2,0)</f>
        <v>0</v>
      </c>
      <c r="BG564" s="153" t="n">
        <f aca="false">($BB564+$BC564)*$AK564</f>
        <v>9.552725</v>
      </c>
      <c r="BH564" s="153" t="n">
        <f aca="false">IF(AND($M564&lt;&gt;"",$N564="VCA",$Q564="LINEAR"),($M564*2)/100,IF(AND($M564&lt;&gt;"",$N564="MND",$Q564="EMBOQUE"),($AN564*2)/100,0))</f>
        <v>0.0988</v>
      </c>
      <c r="BI564" s="153" t="n">
        <f aca="false">IF(AND($M564&lt;&gt;"",$N564="VCA",$Q564="LINEAR"),$M564,IF(AND($M564&lt;&gt;"",$N564="MND",$Q564="EMBOQUE"),$AN564*2,0))</f>
        <v>4.94</v>
      </c>
      <c r="BJ564" s="153" t="n">
        <f aca="false">IF(AND($M564&lt;&gt;"",$N564="VCA",$Q564="LINEAR"),($M564*6.8)/100,IF(AND($M564&lt;&gt;"",$N564="MND",$Q564="EMBOQUE"),($AN564*2*6.8)/100,0))</f>
        <v>0.33592</v>
      </c>
      <c r="BK564" s="153" t="n">
        <f aca="false">IF(AND($M564&lt;&gt;"",$N564="VCA",$Q564="LINEAR"),($M564*2.5)/50,IF(AND($M564&lt;&gt;"",$N564="MND",$Q564="EMBOQUE"),($AN564*2*2.5)/50,0))</f>
        <v>0.247</v>
      </c>
      <c r="BL564" s="157" t="str">
        <f aca="false">K564&amp;J564</f>
        <v>Zona05REDES</v>
      </c>
      <c r="BM564" s="152" t="s">
        <v>3356</v>
      </c>
      <c r="BN564" s="152" t="s">
        <v>1560</v>
      </c>
      <c r="BO564" s="152" t="s">
        <v>2489</v>
      </c>
      <c r="BP564" s="152" t="s">
        <v>3680</v>
      </c>
      <c r="BQ564" s="152" t="s">
        <v>2032</v>
      </c>
      <c r="BR564" s="152" t="s">
        <v>3681</v>
      </c>
      <c r="BS564" s="152" t="n">
        <v>202885.17</v>
      </c>
      <c r="BT564" s="152" t="n">
        <v>8237353.441</v>
      </c>
      <c r="BU564" s="152" t="n">
        <v>202888.661</v>
      </c>
      <c r="BV564" s="152" t="n">
        <v>8237349.941</v>
      </c>
      <c r="BW564" s="152" t="n">
        <v>-15.9253041</v>
      </c>
      <c r="BX564" s="152" t="n">
        <v>-47.7750192</v>
      </c>
      <c r="BY564" s="152" t="s">
        <v>3680</v>
      </c>
    </row>
    <row r="565" customFormat="false" ht="13.8" hidden="false" customHeight="false" outlineLevel="0" collapsed="false">
      <c r="A565" s="149" t="n">
        <f aca="false">IF(C565&lt;&gt;"",ROW(A560),"")</f>
        <v>560</v>
      </c>
      <c r="B565" s="150" t="str">
        <f aca="false">HYPERLINK("https://www.google.com/maps/dir/-15.917302,-47.760003/-15.9240434,-47.7676935/data=!4m3!4m2!3e0!5i2")</f>
        <v>https://www.google.com/maps/dir/-15.917302,-47.760003/-15.9240434,-47.7676935/data=!4m3!4m2!3e0!5i2</v>
      </c>
      <c r="C565" s="151" t="s">
        <v>117</v>
      </c>
      <c r="D565" s="152" t="s">
        <v>112</v>
      </c>
      <c r="E565" s="152" t="s">
        <v>113</v>
      </c>
      <c r="F565" s="152" t="s">
        <v>117</v>
      </c>
      <c r="G565" s="152" t="s">
        <v>782</v>
      </c>
      <c r="H565" s="152" t="n">
        <v>63</v>
      </c>
      <c r="I565" s="152" t="s">
        <v>115</v>
      </c>
      <c r="J565" s="152" t="s">
        <v>6</v>
      </c>
      <c r="K565" s="152" t="s">
        <v>3352</v>
      </c>
      <c r="L565" s="152" t="s">
        <v>120</v>
      </c>
      <c r="M565" s="153" t="n">
        <f aca="false">87.28+4.91</f>
        <v>92.19</v>
      </c>
      <c r="N565" s="152" t="s">
        <v>1548</v>
      </c>
      <c r="O565" s="152" t="s">
        <v>1549</v>
      </c>
      <c r="P565" s="152" t="s">
        <v>1550</v>
      </c>
      <c r="Q565" s="152" t="s">
        <v>1551</v>
      </c>
      <c r="R565" s="154" t="s">
        <v>3684</v>
      </c>
      <c r="S565" s="154" t="s">
        <v>1553</v>
      </c>
      <c r="T565" s="155" t="s">
        <v>3685</v>
      </c>
      <c r="U565" s="152" t="str">
        <f aca="false">RIGHT(T565,7)</f>
        <v>012/037</v>
      </c>
      <c r="V565" s="152" t="s">
        <v>1555</v>
      </c>
      <c r="W565" s="156" t="n">
        <v>45882</v>
      </c>
      <c r="X565" s="152" t="s">
        <v>1594</v>
      </c>
      <c r="Y565" s="152" t="s">
        <v>3686</v>
      </c>
      <c r="Z565" s="152" t="s">
        <v>1557</v>
      </c>
      <c r="AA565" s="153" t="n">
        <v>3.8</v>
      </c>
      <c r="AB565" s="151" t="s">
        <v>3687</v>
      </c>
      <c r="AC565" s="151" t="s">
        <v>186</v>
      </c>
      <c r="AD565" s="151" t="str">
        <f aca="false">CONCATENATE($C565,$I565,$H565,$N565,$J565,$K565)</f>
        <v>TUBO PEADPEAD63VCAREDESZona05</v>
      </c>
      <c r="AE565" s="153" t="n">
        <f aca="false">IFERROR(INDEX(APOIO_REDES!$A:$W,MATCH($C565&amp;$I565&amp;$H565&amp;$N565&amp;$O565,APOIO_REDES!$W:$W,0),MATCH(AE$5,APOIO_REDES!$5:$5,0)),0)</f>
        <v>1.2</v>
      </c>
      <c r="AF565" s="153" t="n">
        <f aca="false">IFERROR(INDEX(APOIO_REDES!$A:$W,MATCH($C565&amp;$I565&amp;$H565&amp;$N565&amp;$O565,APOIO_REDES!$W:$W,0),MATCH(AF$5,APOIO_REDES!$5:$5,0)),0)</f>
        <v>1.363</v>
      </c>
      <c r="AG565" s="153" t="n">
        <f aca="false">IFERROR(INDEX(APOIO_REDES!$A:$W,MATCH($C565&amp;$I565&amp;$H565&amp;$N565&amp;$O565,APOIO_REDES!$W:$W,0),MATCH(AG$5,APOIO_REDES!$5:$5,0)),0)</f>
        <v>0.65</v>
      </c>
      <c r="AH565" s="153" t="n">
        <f aca="false">IFERROR(INDEX(APOIO_REDES!$A:$W,MATCH($C565&amp;$I565&amp;$H565&amp;$N565&amp;$O565,APOIO_REDES!$W:$W,0),MATCH(AH$5,APOIO_REDES!$5:$5,0)),0)</f>
        <v>0.1</v>
      </c>
      <c r="AI565" s="153" t="n">
        <f aca="false">IFERROR(IF($H565&lt;&gt;"",(((($H565/1000)/2)^2)*PI()*$M565),0),0)</f>
        <v>0.287378845177251</v>
      </c>
      <c r="AJ565" s="153" t="n">
        <f aca="false">IFERROR(IF(AND($H565&lt;&gt;"",$I565="FoFo",OR($N565="MND",$N565="VCA"),$Q565="LINEAR"),0,IF(AND($H565&lt;&gt;"",$I565="PEAD",$N565="VCA",$Q565="LINEAR"),($H565/1000)+0.3,IF(AND($H565&lt;&gt;"",$I565="PEAD",$N565="MND",$Q565="EMBOQUE"),0,IF(AND($H565&lt;&gt;"",$I565="PVC",$N565="VCA",$Q565="LINEAR"),($H565/1000)+0.2,IF(AND($H565&lt;&gt;"",$I565="PVC",$N565="MND",$Q565="EMBOQUE"),0,IF(AND($H565&lt;&gt;"",$I565="PEAD",$N565="VCA",$Q565="PREDIAL"),0,0)))))),0)</f>
        <v>0.363</v>
      </c>
      <c r="AK565" s="153" t="n">
        <f aca="false">IF(AA565&lt;&gt;"",AA565,0)</f>
        <v>3.8</v>
      </c>
      <c r="AL565" s="153" t="n">
        <f aca="false">IF(AND($N565="MND",$Q565="EMBOQUE"),$M565,IF(AND($N565="VCA",$Q565="LINEAR"),$M565,IF(AND($N565="VCA",$Q565="PREDIAL"),0,0)))</f>
        <v>92.19</v>
      </c>
      <c r="AM565" s="153" t="n">
        <f aca="false">IF(AND($N565="MND",$Q565="EMBOQUE"),$M565,IF(AND($N565="VCA",$Q565="LINEAR"),$M565,IF(AND($N565="VCA",$Q565="PREDIAL"),0,0)))</f>
        <v>92.19</v>
      </c>
      <c r="AN565" s="153" t="n">
        <f aca="false">ROUND(IF(AND($N565="VCA",$M565&lt;&gt;"",$Q565="LINEAR"),$M565/100,IF(AND($N565="MND",$M565&gt;100,$Q565="EMBOQUE"),$M565/100,0)),0)</f>
        <v>1</v>
      </c>
      <c r="AO565" s="153" t="n">
        <f aca="false">IF(AND($N565="MND",$Q565="EMBOQUE"),$AN565*2*2,IF(AND($N565="VCA",$Q565="LINEAR"),$M565*2,IF(AND($N565="VCA",$Q565="PREDIAL"),0,0)))</f>
        <v>184.38</v>
      </c>
      <c r="AP565" s="153" t="n">
        <f aca="false">IFERROR($M565*$AF565*$AG565,0)</f>
        <v>81.6757305</v>
      </c>
      <c r="AQ565" s="153" t="n">
        <f aca="false">IFERROR(IF(AND($N565="VCA",$AH565&gt;0),$M565*$AG565*$AH565,0),0)</f>
        <v>5.99235</v>
      </c>
      <c r="AR565" s="153" t="n">
        <f aca="false">IFERROR(IF(AND($N565="VCA",$AJ565&gt;0),($M565*$AG565*$AJ565)-$AI565,0),0)</f>
        <v>21.4648516548228</v>
      </c>
      <c r="AS565" s="153" t="n">
        <f aca="false">IFERROR(IF(AND($N565="VCA",$AP565&gt;0),$AP565-$AI565-$AQ565-$AR565,0),0)</f>
        <v>53.93115</v>
      </c>
      <c r="AT565" s="153" t="n">
        <f aca="false">IFERROR(IF($N565="VCA",INDEX(APOIO_REDES!$A:$W,MATCH($C565&amp;$I565&amp;$H565&amp;$N565&amp;$O565,APOIO_REDES!$W:$W,0),MATCH(AT$5,APOIO_REDES!$5:$5,0)),0)*$AP565,0)</f>
        <v>0.888656122622229</v>
      </c>
      <c r="AU565" s="153" t="n">
        <f aca="false">IFERROR(IF($N565="VCA",INDEX(APOIO_REDES!$A:$W,MATCH($C565&amp;$I565&amp;$H565&amp;$N565&amp;$O565,APOIO_REDES!$W:$W,0),MATCH(AU$5,APOIO_REDES!$5:$5,0)),0)*$AP565,0)</f>
        <v>0.709656711666013</v>
      </c>
      <c r="AV565" s="153" t="n">
        <f aca="false">IFERROR(IF($N565="VCA",INDEX(APOIO_REDES!$A:$W,MATCH($C565&amp;$I565&amp;$H565&amp;$N565&amp;$O565,APOIO_REDES!$W:$W,0),MATCH(AV$5,APOIO_REDES!$5:$5,0)),0)*$AP565,0)</f>
        <v>0.0982109178709606</v>
      </c>
      <c r="AW565" s="153" t="n">
        <f aca="false">IFERROR(IF($N565="VCA",INDEX(APOIO_REDES!$A:$W,MATCH($C565&amp;$I565&amp;$H565&amp;$N565&amp;$O565,APOIO_REDES!$W:$W,0),MATCH(AW$5,APOIO_REDES!$5:$5,0)),0)*$AP565,0)</f>
        <v>56.0628542696417</v>
      </c>
      <c r="AX565" s="153" t="n">
        <f aca="false">IFERROR(IF($N565="VCA",INDEX(APOIO_REDES!$A:$W,MATCH($C565&amp;$I565&amp;$H565&amp;$N565&amp;$O565,APOIO_REDES!$W:$W,0),MATCH(AX$5,APOIO_REDES!$5:$5,0)),0)*$AP565,0)</f>
        <v>7.75893933285511</v>
      </c>
      <c r="AY565" s="153" t="n">
        <f aca="false">IFERROR(IF($N565="VCA",INDEX(APOIO_REDES!$A:$W,MATCH($C565&amp;$I565&amp;$H565&amp;$N565&amp;$O565,APOIO_REDES!$W:$W,0),MATCH(AY$5,APOIO_REDES!$5:$5,0)),0)*$AP565,0)</f>
        <v>14.1931255826625</v>
      </c>
      <c r="AZ565" s="153" t="n">
        <f aca="false">IFERROR(IF($N565="VCA",INDEX(APOIO_REDES!$A:$W,MATCH($C565&amp;$I565&amp;$H565&amp;$N565&amp;$O565,APOIO_REDES!$W:$W,0),MATCH(AZ$5,APOIO_REDES!$5:$5,0)),0)*$AP565,0)</f>
        <v>1.96428756268152</v>
      </c>
      <c r="BA565" s="153" t="n">
        <f aca="false">IFERROR(IF(AND($N565="VCA",$Q565="LINEAR"),INDEX(APOIO_REDES!$A:$W,MATCH($C565&amp;$I565&amp;$H565&amp;$N565&amp;$O565,APOIO_REDES!$W:$W,0),MATCH(BA$5,APOIO_REDES!$5:$5,0)),IF(AND($N565="MND",$Q565="EMBOQUE"),INDEX(APOIO_REDES!$A:$W,MATCH($C565&amp;$I565&amp;$H565&amp;$N565&amp;$O565,APOIO_REDES!$W:$W,0),MATCH(BA$5,APOIO_REDES!$5:$5,0)),0))*$M565/10,0)</f>
        <v>7.43028145807995</v>
      </c>
      <c r="BB565" s="153" t="n">
        <f aca="false">IFERROR(IF($N565="VCA",INDEX(APOIO_REDES!$A:$W,MATCH($C565&amp;$I565&amp;$H565&amp;$N565&amp;$O565,APOIO_REDES!$W:$W,0),MATCH(BB$5,APOIO_REDES!$5:$5,0)),0)*($AI565+$AQ565+$AR565),0)</f>
        <v>27.4427112521834</v>
      </c>
      <c r="BC565" s="153" t="n">
        <f aca="false">IFERROR(IF($N565="VCA",INDEX(APOIO_REDES!$A:$W,MATCH($C565&amp;$I565&amp;$H565&amp;$N565&amp;$O565,APOIO_REDES!$W:$W,0),MATCH(BC$5,APOIO_REDES!$5:$5,0)),0)*($AI565+$AQ565+$AR565),0)</f>
        <v>0.301869247816649</v>
      </c>
      <c r="BD565" s="153" t="n">
        <f aca="false">IF(AND($N565="VCA",$AF565&gt;=1.25,$AF565&lt;1.5),$M565*$AF565*2,0)</f>
        <v>251.30994</v>
      </c>
      <c r="BE565" s="153" t="n">
        <f aca="false">IF(AND($N565="VCA",$AF565&gt;=1.5,$AF565&lt;3),$M565*$AF565*2,0)</f>
        <v>0</v>
      </c>
      <c r="BF565" s="153" t="n">
        <f aca="false">IF(AND($N565="VCA",$AF565&gt;=3),$M565*$AF565*2,0)</f>
        <v>0</v>
      </c>
      <c r="BG565" s="153" t="n">
        <f aca="false">($BB565+$BC565)*$AK565</f>
        <v>105.4294059</v>
      </c>
      <c r="BH565" s="153" t="n">
        <f aca="false">IF(AND($M565&lt;&gt;"",$N565="VCA",$Q565="LINEAR"),($M565*2)/100,IF(AND($M565&lt;&gt;"",$N565="MND",$Q565="EMBOQUE"),($AN565*2)/100,0))</f>
        <v>1.8438</v>
      </c>
      <c r="BI565" s="153" t="n">
        <f aca="false">IF(AND($M565&lt;&gt;"",$N565="VCA",$Q565="LINEAR"),$M565,IF(AND($M565&lt;&gt;"",$N565="MND",$Q565="EMBOQUE"),$AN565*2,0))</f>
        <v>92.19</v>
      </c>
      <c r="BJ565" s="153" t="n">
        <f aca="false">IF(AND($M565&lt;&gt;"",$N565="VCA",$Q565="LINEAR"),($M565*6.8)/100,IF(AND($M565&lt;&gt;"",$N565="MND",$Q565="EMBOQUE"),($AN565*2*6.8)/100,0))</f>
        <v>6.26892</v>
      </c>
      <c r="BK565" s="153" t="n">
        <f aca="false">IF(AND($M565&lt;&gt;"",$N565="VCA",$Q565="LINEAR"),($M565*2.5)/50,IF(AND($M565&lt;&gt;"",$N565="MND",$Q565="EMBOQUE"),($AN565*2*2.5)/50,0))</f>
        <v>4.6095</v>
      </c>
      <c r="BL565" s="157" t="str">
        <f aca="false">K565&amp;J565</f>
        <v>Zona05REDES</v>
      </c>
      <c r="BM565" s="152" t="s">
        <v>3356</v>
      </c>
      <c r="BN565" s="152" t="s">
        <v>1560</v>
      </c>
      <c r="BO565" s="152" t="s">
        <v>3688</v>
      </c>
      <c r="BP565" s="152" t="s">
        <v>3616</v>
      </c>
      <c r="BQ565" s="152" t="s">
        <v>3689</v>
      </c>
      <c r="BR565" s="152" t="s">
        <v>3690</v>
      </c>
      <c r="BS565" s="152" t="n">
        <v>203669.942</v>
      </c>
      <c r="BT565" s="152" t="n">
        <v>8237501.73</v>
      </c>
      <c r="BU565" s="152" t="n">
        <v>203605.432</v>
      </c>
      <c r="BV565" s="152" t="n">
        <v>8237443.04</v>
      </c>
      <c r="BW565" s="152" t="n">
        <v>-15.9243088</v>
      </c>
      <c r="BX565" s="152" t="n">
        <v>-47.7679939</v>
      </c>
      <c r="BY565" s="152" t="s">
        <v>3616</v>
      </c>
    </row>
    <row r="566" customFormat="false" ht="13.8" hidden="false" customHeight="false" outlineLevel="0" collapsed="false">
      <c r="A566" s="149" t="n">
        <f aca="false">IF(C566&lt;&gt;"",ROW(A561),"")</f>
        <v>561</v>
      </c>
      <c r="B566" s="150" t="str">
        <f aca="false">HYPERLINK("https://www.google.com/maps/dir/-15.917302,-47.760003/-15.9240434,-47.7676935/data=!4m3!4m2!3e0!5i2")</f>
        <v>https://www.google.com/maps/dir/-15.917302,-47.760003/-15.9240434,-47.7676935/data=!4m3!4m2!3e0!5i2</v>
      </c>
      <c r="C566" s="151" t="s">
        <v>117</v>
      </c>
      <c r="D566" s="152" t="s">
        <v>112</v>
      </c>
      <c r="E566" s="152" t="s">
        <v>113</v>
      </c>
      <c r="F566" s="152" t="s">
        <v>117</v>
      </c>
      <c r="G566" s="152" t="s">
        <v>114</v>
      </c>
      <c r="H566" s="152" t="n">
        <v>225</v>
      </c>
      <c r="I566" s="152" t="s">
        <v>115</v>
      </c>
      <c r="J566" s="152" t="s">
        <v>6</v>
      </c>
      <c r="K566" s="152" t="s">
        <v>3352</v>
      </c>
      <c r="L566" s="152" t="s">
        <v>120</v>
      </c>
      <c r="M566" s="153" t="n">
        <f aca="false">67.83</f>
        <v>67.83</v>
      </c>
      <c r="N566" s="152" t="s">
        <v>1548</v>
      </c>
      <c r="O566" s="152" t="s">
        <v>1549</v>
      </c>
      <c r="P566" s="152" t="s">
        <v>1550</v>
      </c>
      <c r="Q566" s="152" t="s">
        <v>1551</v>
      </c>
      <c r="R566" s="154" t="s">
        <v>3691</v>
      </c>
      <c r="S566" s="154" t="s">
        <v>1593</v>
      </c>
      <c r="T566" s="155" t="s">
        <v>3685</v>
      </c>
      <c r="U566" s="152" t="str">
        <f aca="false">RIGHT(T566,7)</f>
        <v>012/037</v>
      </c>
      <c r="V566" s="152" t="s">
        <v>1555</v>
      </c>
      <c r="W566" s="156" t="n">
        <v>45882</v>
      </c>
      <c r="X566" s="152" t="s">
        <v>1594</v>
      </c>
      <c r="Y566" s="152" t="s">
        <v>3686</v>
      </c>
      <c r="Z566" s="152" t="s">
        <v>1557</v>
      </c>
      <c r="AA566" s="153" t="n">
        <v>3.8</v>
      </c>
      <c r="AB566" s="151" t="s">
        <v>3692</v>
      </c>
      <c r="AC566" s="151" t="s">
        <v>508</v>
      </c>
      <c r="AD566" s="151" t="str">
        <f aca="false">CONCATENATE($C566,$I566,$H566,$N566,$J566,$K566)</f>
        <v>TUBO PEADPEAD225VCAREDESZona05</v>
      </c>
      <c r="AE566" s="153" t="n">
        <f aca="false">IFERROR(INDEX(APOIO_REDES!$A:$W,MATCH($C566&amp;$I566&amp;$H566&amp;$N566&amp;$O566,APOIO_REDES!$W:$W,0),MATCH(AE$5,APOIO_REDES!$5:$5,0)),0)</f>
        <v>1.2</v>
      </c>
      <c r="AF566" s="153" t="n">
        <f aca="false">IFERROR(INDEX(APOIO_REDES!$A:$W,MATCH($C566&amp;$I566&amp;$H566&amp;$N566&amp;$O566,APOIO_REDES!$W:$W,0),MATCH(AF$5,APOIO_REDES!$5:$5,0)),0)</f>
        <v>1.525</v>
      </c>
      <c r="AG566" s="153" t="n">
        <f aca="false">IFERROR(INDEX(APOIO_REDES!$A:$W,MATCH($C566&amp;$I566&amp;$H566&amp;$N566&amp;$O566,APOIO_REDES!$W:$W,0),MATCH(AG$5,APOIO_REDES!$5:$5,0)),0)</f>
        <v>0.8</v>
      </c>
      <c r="AH566" s="153" t="n">
        <f aca="false">IFERROR(INDEX(APOIO_REDES!$A:$W,MATCH($C566&amp;$I566&amp;$H566&amp;$N566&amp;$O566,APOIO_REDES!$W:$W,0),MATCH(AH$5,APOIO_REDES!$5:$5,0)),0)</f>
        <v>0.1</v>
      </c>
      <c r="AI566" s="153" t="n">
        <f aca="false">IFERROR(IF($H566&lt;&gt;"",(((($H566/1000)/2)^2)*PI()*$M566),0),0)</f>
        <v>2.69697384455198</v>
      </c>
      <c r="AJ566" s="153" t="n">
        <f aca="false">IFERROR(IF(AND($H566&lt;&gt;"",$I566="FoFo",OR($N566="MND",$N566="VCA"),$Q566="LINEAR"),0,IF(AND($H566&lt;&gt;"",$I566="PEAD",$N566="VCA",$Q566="LINEAR"),($H566/1000)+0.3,IF(AND($H566&lt;&gt;"",$I566="PEAD",$N566="MND",$Q566="EMBOQUE"),0,IF(AND($H566&lt;&gt;"",$I566="PVC",$N566="VCA",$Q566="LINEAR"),($H566/1000)+0.2,IF(AND($H566&lt;&gt;"",$I566="PVC",$N566="MND",$Q566="EMBOQUE"),0,IF(AND($H566&lt;&gt;"",$I566="PEAD",$N566="VCA",$Q566="PREDIAL"),0,0)))))),0)</f>
        <v>0.525</v>
      </c>
      <c r="AK566" s="153" t="n">
        <f aca="false">IF(AA566&lt;&gt;"",AA566,0)</f>
        <v>3.8</v>
      </c>
      <c r="AL566" s="153" t="n">
        <f aca="false">IF(AND($N566="MND",$Q566="EMBOQUE"),$M566,IF(AND($N566="VCA",$Q566="LINEAR"),$M566,IF(AND($N566="VCA",$Q566="PREDIAL"),0,0)))</f>
        <v>67.83</v>
      </c>
      <c r="AM566" s="153" t="n">
        <f aca="false">IF(AND($N566="MND",$Q566="EMBOQUE"),$M566,IF(AND($N566="VCA",$Q566="LINEAR"),$M566,IF(AND($N566="VCA",$Q566="PREDIAL"),0,0)))</f>
        <v>67.83</v>
      </c>
      <c r="AN566" s="153" t="n">
        <f aca="false">ROUND(IF(AND($N566="VCA",$M566&lt;&gt;"",$Q566="LINEAR"),$M566/100,IF(AND($N566="MND",$M566&gt;100,$Q566="EMBOQUE"),$M566/100,0)),0)</f>
        <v>1</v>
      </c>
      <c r="AO566" s="153" t="n">
        <f aca="false">IF(AND($N566="MND",$Q566="EMBOQUE"),$AN566*2*2,IF(AND($N566="VCA",$Q566="LINEAR"),$M566*2,IF(AND($N566="VCA",$Q566="PREDIAL"),0,0)))</f>
        <v>135.66</v>
      </c>
      <c r="AP566" s="153" t="n">
        <f aca="false">IFERROR($M566*$AF566*$AG566,0)</f>
        <v>82.7526</v>
      </c>
      <c r="AQ566" s="153" t="n">
        <f aca="false">IFERROR(IF(AND($N566="VCA",$AH566&gt;0),$M566*$AG566*$AH566,0),0)</f>
        <v>5.4264</v>
      </c>
      <c r="AR566" s="153" t="n">
        <f aca="false">IFERROR(IF(AND($N566="VCA",$AJ566&gt;0),($M566*$AG566*$AJ566)-$AI566,0),0)</f>
        <v>25.791626155448</v>
      </c>
      <c r="AS566" s="153" t="n">
        <f aca="false">IFERROR(IF(AND($N566="VCA",$AP566&gt;0),$AP566-$AI566-$AQ566-$AR566,0),0)</f>
        <v>48.8376</v>
      </c>
      <c r="AT566" s="153" t="n">
        <f aca="false">IFERROR(IF($N566="VCA",INDEX(APOIO_REDES!$A:$W,MATCH($C566&amp;$I566&amp;$H566&amp;$N566&amp;$O566,APOIO_REDES!$W:$W,0),MATCH(AT$5,APOIO_REDES!$5:$5,0)),0)*$AP566,0)</f>
        <v>0.900372781519331</v>
      </c>
      <c r="AU566" s="153" t="n">
        <f aca="false">IFERROR(IF($N566="VCA",INDEX(APOIO_REDES!$A:$W,MATCH($C566&amp;$I566&amp;$H566&amp;$N566&amp;$O566,APOIO_REDES!$W:$W,0),MATCH(AU$5,APOIO_REDES!$5:$5,0)),0)*$AP566,0)</f>
        <v>0.719013318133873</v>
      </c>
      <c r="AV566" s="153" t="n">
        <f aca="false">IFERROR(IF($N566="VCA",INDEX(APOIO_REDES!$A:$W,MATCH($C566&amp;$I566&amp;$H566&amp;$N566&amp;$O566,APOIO_REDES!$W:$W,0),MATCH(AV$5,APOIO_REDES!$5:$5,0)),0)*$AP566,0)</f>
        <v>0.0995057987538716</v>
      </c>
      <c r="AW566" s="153" t="n">
        <f aca="false">IFERROR(IF($N566="VCA",INDEX(APOIO_REDES!$A:$W,MATCH($C566&amp;$I566&amp;$H566&amp;$N566&amp;$O566,APOIO_REDES!$W:$W,0),MATCH(AW$5,APOIO_REDES!$5:$5,0)),0)*$AP566,0)</f>
        <v>56.8020258384338</v>
      </c>
      <c r="AX566" s="153" t="n">
        <f aca="false">IFERROR(IF($N566="VCA",INDEX(APOIO_REDES!$A:$W,MATCH($C566&amp;$I566&amp;$H566&amp;$N566&amp;$O566,APOIO_REDES!$W:$W,0),MATCH(AX$5,APOIO_REDES!$5:$5,0)),0)*$AP566,0)</f>
        <v>7.86123857240586</v>
      </c>
      <c r="AY566" s="153" t="n">
        <f aca="false">IFERROR(IF($N566="VCA",INDEX(APOIO_REDES!$A:$W,MATCH($C566&amp;$I566&amp;$H566&amp;$N566&amp;$O566,APOIO_REDES!$W:$W,0),MATCH(AY$5,APOIO_REDES!$5:$5,0)),0)*$AP566,0)</f>
        <v>14.3802575979634</v>
      </c>
      <c r="AZ566" s="153" t="n">
        <f aca="false">IFERROR(IF($N566="VCA",INDEX(APOIO_REDES!$A:$W,MATCH($C566&amp;$I566&amp;$H566&amp;$N566&amp;$O566,APOIO_REDES!$W:$W,0),MATCH(AZ$5,APOIO_REDES!$5:$5,0)),0)*$AP566,0)</f>
        <v>1.99018609278993</v>
      </c>
      <c r="BA566" s="153" t="n">
        <f aca="false">IFERROR(IF(AND($N566="VCA",$Q566="LINEAR"),INDEX(APOIO_REDES!$A:$W,MATCH($C566&amp;$I566&amp;$H566&amp;$N566&amp;$O566,APOIO_REDES!$W:$W,0),MATCH(BA$5,APOIO_REDES!$5:$5,0)),IF(AND($N566="MND",$Q566="EMBOQUE"),INDEX(APOIO_REDES!$A:$W,MATCH($C566&amp;$I566&amp;$H566&amp;$N566&amp;$O566,APOIO_REDES!$W:$W,0),MATCH(BA$5,APOIO_REDES!$5:$5,0)),0))*$M566/10,0)</f>
        <v>5.4669269042365</v>
      </c>
      <c r="BB566" s="153" t="n">
        <f aca="false">IFERROR(IF($N566="VCA",INDEX(APOIO_REDES!$A:$W,MATCH($C566&amp;$I566&amp;$H566&amp;$N566&amp;$O566,APOIO_REDES!$W:$W,0),MATCH(BB$5,APOIO_REDES!$5:$5,0)),0)*($AI566+$AQ566+$AR566),0)</f>
        <v>33.5459947616724</v>
      </c>
      <c r="BC566" s="153" t="n">
        <f aca="false">IFERROR(IF($N566="VCA",INDEX(APOIO_REDES!$A:$W,MATCH($C566&amp;$I566&amp;$H566&amp;$N566&amp;$O566,APOIO_REDES!$W:$W,0),MATCH(BC$5,APOIO_REDES!$5:$5,0)),0)*($AI566+$AQ566+$AR566),0)</f>
        <v>0.369005238327595</v>
      </c>
      <c r="BD566" s="153" t="n">
        <f aca="false">IF(AND($N566="VCA",$AF566&gt;=1.25,$AF566&lt;1.5),$M566*$AF566*2,0)</f>
        <v>0</v>
      </c>
      <c r="BE566" s="153" t="n">
        <f aca="false">IF(AND($N566="VCA",$AF566&gt;=1.5,$AF566&lt;3),$M566*$AF566*2,0)</f>
        <v>206.8815</v>
      </c>
      <c r="BF566" s="153" t="n">
        <f aca="false">IF(AND($N566="VCA",$AF566&gt;=3),$M566*$AF566*2,0)</f>
        <v>0</v>
      </c>
      <c r="BG566" s="153" t="n">
        <f aca="false">($BB566+$BC566)*$AK566</f>
        <v>128.877</v>
      </c>
      <c r="BH566" s="153" t="n">
        <f aca="false">IF(AND($M566&lt;&gt;"",$N566="VCA",$Q566="LINEAR"),($M566*2)/100,IF(AND($M566&lt;&gt;"",$N566="MND",$Q566="EMBOQUE"),($AN566*2)/100,0))</f>
        <v>1.3566</v>
      </c>
      <c r="BI566" s="153" t="n">
        <f aca="false">IF(AND($M566&lt;&gt;"",$N566="VCA",$Q566="LINEAR"),$M566,IF(AND($M566&lt;&gt;"",$N566="MND",$Q566="EMBOQUE"),$AN566*2,0))</f>
        <v>67.83</v>
      </c>
      <c r="BJ566" s="153" t="n">
        <f aca="false">IF(AND($M566&lt;&gt;"",$N566="VCA",$Q566="LINEAR"),($M566*6.8)/100,IF(AND($M566&lt;&gt;"",$N566="MND",$Q566="EMBOQUE"),($AN566*2*6.8)/100,0))</f>
        <v>4.61244</v>
      </c>
      <c r="BK566" s="153" t="n">
        <f aca="false">IF(AND($M566&lt;&gt;"",$N566="VCA",$Q566="LINEAR"),($M566*2.5)/50,IF(AND($M566&lt;&gt;"",$N566="MND",$Q566="EMBOQUE"),($AN566*2*2.5)/50,0))</f>
        <v>3.3915</v>
      </c>
      <c r="BL566" s="157" t="str">
        <f aca="false">K566&amp;J566</f>
        <v>Zona05REDES</v>
      </c>
      <c r="BM566" s="152" t="s">
        <v>3356</v>
      </c>
      <c r="BN566" s="152" t="s">
        <v>1560</v>
      </c>
      <c r="BO566" s="152" t="s">
        <v>3688</v>
      </c>
      <c r="BP566" s="152" t="s">
        <v>3616</v>
      </c>
      <c r="BQ566" s="152" t="s">
        <v>3693</v>
      </c>
      <c r="BR566" s="152" t="s">
        <v>3694</v>
      </c>
      <c r="BS566" s="152" t="n">
        <v>203669.942</v>
      </c>
      <c r="BT566" s="152" t="n">
        <v>8237501.73</v>
      </c>
      <c r="BU566" s="152" t="n">
        <v>203694.156</v>
      </c>
      <c r="BV566" s="152" t="n">
        <v>8237438.701</v>
      </c>
      <c r="BW566" s="152" t="n">
        <v>-15.9243205</v>
      </c>
      <c r="BX566" s="152" t="n">
        <v>-47.7675603</v>
      </c>
      <c r="BY566" s="152" t="s">
        <v>3616</v>
      </c>
    </row>
    <row r="567" customFormat="false" ht="13.8" hidden="false" customHeight="false" outlineLevel="0" collapsed="false">
      <c r="A567" s="149" t="n">
        <f aca="false">IF(C567&lt;&gt;"",ROW(A562),"")</f>
        <v>562</v>
      </c>
      <c r="B567" s="150" t="str">
        <f aca="false">HYPERLINK("https://www.google.com/maps/dir/-15.917302,-47.760003/-15.9242345,-47.7705732/data=!4m3!4m2!3e0!5i2")</f>
        <v>https://www.google.com/maps/dir/-15.917302,-47.760003/-15.9242345,-47.7705732/data=!4m3!4m2!3e0!5i2</v>
      </c>
      <c r="C567" s="151" t="s">
        <v>117</v>
      </c>
      <c r="D567" s="152" t="s">
        <v>112</v>
      </c>
      <c r="E567" s="152" t="s">
        <v>113</v>
      </c>
      <c r="F567" s="152" t="s">
        <v>117</v>
      </c>
      <c r="G567" s="152" t="s">
        <v>782</v>
      </c>
      <c r="H567" s="152" t="n">
        <v>63</v>
      </c>
      <c r="I567" s="152" t="s">
        <v>115</v>
      </c>
      <c r="J567" s="152" t="s">
        <v>6</v>
      </c>
      <c r="K567" s="152" t="s">
        <v>3352</v>
      </c>
      <c r="L567" s="152" t="s">
        <v>120</v>
      </c>
      <c r="M567" s="153" t="n">
        <f aca="false">36.3</f>
        <v>36.3</v>
      </c>
      <c r="N567" s="152" t="s">
        <v>1548</v>
      </c>
      <c r="O567" s="152" t="s">
        <v>1549</v>
      </c>
      <c r="P567" s="152" t="s">
        <v>1550</v>
      </c>
      <c r="Q567" s="152" t="s">
        <v>1551</v>
      </c>
      <c r="R567" s="154" t="s">
        <v>3695</v>
      </c>
      <c r="S567" s="154" t="s">
        <v>1553</v>
      </c>
      <c r="T567" s="155" t="s">
        <v>3685</v>
      </c>
      <c r="U567" s="152" t="str">
        <f aca="false">RIGHT(T567,7)</f>
        <v>012/037</v>
      </c>
      <c r="V567" s="152" t="s">
        <v>1555</v>
      </c>
      <c r="W567" s="156" t="n">
        <v>45882</v>
      </c>
      <c r="X567" s="152" t="s">
        <v>1594</v>
      </c>
      <c r="Y567" s="152" t="s">
        <v>3516</v>
      </c>
      <c r="Z567" s="152" t="s">
        <v>1557</v>
      </c>
      <c r="AA567" s="153" t="n">
        <v>3.7</v>
      </c>
      <c r="AB567" s="151" t="s">
        <v>3696</v>
      </c>
      <c r="AC567" s="151" t="s">
        <v>186</v>
      </c>
      <c r="AD567" s="151" t="str">
        <f aca="false">CONCATENATE($C567,$I567,$H567,$N567,$J567,$K567)</f>
        <v>TUBO PEADPEAD63VCAREDESZona05</v>
      </c>
      <c r="AE567" s="153" t="n">
        <f aca="false">IFERROR(INDEX(APOIO_REDES!$A:$W,MATCH($C567&amp;$I567&amp;$H567&amp;$N567&amp;$O567,APOIO_REDES!$W:$W,0),MATCH(AE$5,APOIO_REDES!$5:$5,0)),0)</f>
        <v>1.2</v>
      </c>
      <c r="AF567" s="153" t="n">
        <f aca="false">IFERROR(INDEX(APOIO_REDES!$A:$W,MATCH($C567&amp;$I567&amp;$H567&amp;$N567&amp;$O567,APOIO_REDES!$W:$W,0),MATCH(AF$5,APOIO_REDES!$5:$5,0)),0)</f>
        <v>1.363</v>
      </c>
      <c r="AG567" s="153" t="n">
        <f aca="false">IFERROR(INDEX(APOIO_REDES!$A:$W,MATCH($C567&amp;$I567&amp;$H567&amp;$N567&amp;$O567,APOIO_REDES!$W:$W,0),MATCH(AG$5,APOIO_REDES!$5:$5,0)),0)</f>
        <v>0.65</v>
      </c>
      <c r="AH567" s="153" t="n">
        <f aca="false">IFERROR(INDEX(APOIO_REDES!$A:$W,MATCH($C567&amp;$I567&amp;$H567&amp;$N567&amp;$O567,APOIO_REDES!$W:$W,0),MATCH(AH$5,APOIO_REDES!$5:$5,0)),0)</f>
        <v>0.1</v>
      </c>
      <c r="AI567" s="153" t="n">
        <f aca="false">IFERROR(IF($H567&lt;&gt;"",(((($H567/1000)/2)^2)*PI()*$M567),0),0)</f>
        <v>0.113156004772038</v>
      </c>
      <c r="AJ567" s="153" t="n">
        <f aca="false">IFERROR(IF(AND($H567&lt;&gt;"",$I567="FoFo",OR($N567="MND",$N567="VCA"),$Q567="LINEAR"),0,IF(AND($H567&lt;&gt;"",$I567="PEAD",$N567="VCA",$Q567="LINEAR"),($H567/1000)+0.3,IF(AND($H567&lt;&gt;"",$I567="PEAD",$N567="MND",$Q567="EMBOQUE"),0,IF(AND($H567&lt;&gt;"",$I567="PVC",$N567="VCA",$Q567="LINEAR"),($H567/1000)+0.2,IF(AND($H567&lt;&gt;"",$I567="PVC",$N567="MND",$Q567="EMBOQUE"),0,IF(AND($H567&lt;&gt;"",$I567="PEAD",$N567="VCA",$Q567="PREDIAL"),0,0)))))),0)</f>
        <v>0.363</v>
      </c>
      <c r="AK567" s="153" t="n">
        <f aca="false">IF(AA567&lt;&gt;"",AA567,0)</f>
        <v>3.7</v>
      </c>
      <c r="AL567" s="153" t="n">
        <f aca="false">IF(AND($N567="MND",$Q567="EMBOQUE"),$M567,IF(AND($N567="VCA",$Q567="LINEAR"),$M567,IF(AND($N567="VCA",$Q567="PREDIAL"),0,0)))</f>
        <v>36.3</v>
      </c>
      <c r="AM567" s="153" t="n">
        <f aca="false">IF(AND($N567="MND",$Q567="EMBOQUE"),$M567,IF(AND($N567="VCA",$Q567="LINEAR"),$M567,IF(AND($N567="VCA",$Q567="PREDIAL"),0,0)))</f>
        <v>36.3</v>
      </c>
      <c r="AN567" s="153" t="n">
        <f aca="false">ROUND(IF(AND($N567="VCA",$M567&lt;&gt;"",$Q567="LINEAR"),$M567/100,IF(AND($N567="MND",$M567&gt;100,$Q567="EMBOQUE"),$M567/100,0)),0)</f>
        <v>0</v>
      </c>
      <c r="AO567" s="153" t="n">
        <f aca="false">IF(AND($N567="MND",$Q567="EMBOQUE"),$AN567*2*2,IF(AND($N567="VCA",$Q567="LINEAR"),$M567*2,IF(AND($N567="VCA",$Q567="PREDIAL"),0,0)))</f>
        <v>72.6</v>
      </c>
      <c r="AP567" s="153" t="n">
        <f aca="false">IFERROR($M567*$AF567*$AG567,0)</f>
        <v>32.159985</v>
      </c>
      <c r="AQ567" s="153" t="n">
        <f aca="false">IFERROR(IF(AND($N567="VCA",$AH567&gt;0),$M567*$AG567*$AH567,0),0)</f>
        <v>2.3595</v>
      </c>
      <c r="AR567" s="153" t="n">
        <f aca="false">IFERROR(IF(AND($N567="VCA",$AJ567&gt;0),($M567*$AG567*$AJ567)-$AI567,0),0)</f>
        <v>8.45182899522796</v>
      </c>
      <c r="AS567" s="153" t="n">
        <f aca="false">IFERROR(IF(AND($N567="VCA",$AP567&gt;0),$AP567-$AI567-$AQ567-$AR567,0),0)</f>
        <v>21.2355</v>
      </c>
      <c r="AT567" s="153" t="n">
        <f aca="false">IFERROR(IF($N567="VCA",INDEX(APOIO_REDES!$A:$W,MATCH($C567&amp;$I567&amp;$H567&amp;$N567&amp;$O567,APOIO_REDES!$W:$W,0),MATCH(AT$5,APOIO_REDES!$5:$5,0)),0)*$AP567,0)</f>
        <v>0.34991015566967</v>
      </c>
      <c r="AU567" s="153" t="n">
        <f aca="false">IFERROR(IF($N567="VCA",INDEX(APOIO_REDES!$A:$W,MATCH($C567&amp;$I567&amp;$H567&amp;$N567&amp;$O567,APOIO_REDES!$W:$W,0),MATCH(AU$5,APOIO_REDES!$5:$5,0)),0)*$AP567,0)</f>
        <v>0.279428773548935</v>
      </c>
      <c r="AV567" s="153" t="n">
        <f aca="false">IFERROR(IF($N567="VCA",INDEX(APOIO_REDES!$A:$W,MATCH($C567&amp;$I567&amp;$H567&amp;$N567&amp;$O567,APOIO_REDES!$W:$W,0),MATCH(AV$5,APOIO_REDES!$5:$5,0)),0)*$AP567,0)</f>
        <v>0.0386707486572933</v>
      </c>
      <c r="AW567" s="153" t="n">
        <f aca="false">IFERROR(IF($N567="VCA",INDEX(APOIO_REDES!$A:$W,MATCH($C567&amp;$I567&amp;$H567&amp;$N567&amp;$O567,APOIO_REDES!$W:$W,0),MATCH(AW$5,APOIO_REDES!$5:$5,0)),0)*$AP567,0)</f>
        <v>22.0748628917235</v>
      </c>
      <c r="AX567" s="153" t="n">
        <f aca="false">IFERROR(IF($N567="VCA",INDEX(APOIO_REDES!$A:$W,MATCH($C567&amp;$I567&amp;$H567&amp;$N567&amp;$O567,APOIO_REDES!$W:$W,0),MATCH(AX$5,APOIO_REDES!$5:$5,0)),0)*$AP567,0)</f>
        <v>3.05509814277731</v>
      </c>
      <c r="AY567" s="153" t="n">
        <f aca="false">IFERROR(IF($N567="VCA",INDEX(APOIO_REDES!$A:$W,MATCH($C567&amp;$I567&amp;$H567&amp;$N567&amp;$O567,APOIO_REDES!$W:$W,0),MATCH(AY$5,APOIO_REDES!$5:$5,0)),0)*$AP567,0)</f>
        <v>5.5885720647646</v>
      </c>
      <c r="AZ567" s="153" t="n">
        <f aca="false">IFERROR(IF($N567="VCA",INDEX(APOIO_REDES!$A:$W,MATCH($C567&amp;$I567&amp;$H567&amp;$N567&amp;$O567,APOIO_REDES!$W:$W,0),MATCH(AZ$5,APOIO_REDES!$5:$5,0)),0)*$AP567,0)</f>
        <v>0.773442222858652</v>
      </c>
      <c r="BA567" s="153" t="n">
        <f aca="false">IFERROR(IF(AND($N567="VCA",$Q567="LINEAR"),INDEX(APOIO_REDES!$A:$W,MATCH($C567&amp;$I567&amp;$H567&amp;$N567&amp;$O567,APOIO_REDES!$W:$W,0),MATCH(BA$5,APOIO_REDES!$5:$5,0)),IF(AND($N567="MND",$Q567="EMBOQUE"),INDEX(APOIO_REDES!$A:$W,MATCH($C567&amp;$I567&amp;$H567&amp;$N567&amp;$O567,APOIO_REDES!$W:$W,0),MATCH(BA$5,APOIO_REDES!$5:$5,0)),0))*$M567/10,0)</f>
        <v>2.92568843614602</v>
      </c>
      <c r="BB567" s="153" t="n">
        <f aca="false">IFERROR(IF($N567="VCA",INDEX(APOIO_REDES!$A:$W,MATCH($C567&amp;$I567&amp;$H567&amp;$N567&amp;$O567,APOIO_REDES!$W:$W,0),MATCH(BB$5,APOIO_REDES!$5:$5,0)),0)*($AI567+$AQ567+$AR567),0)</f>
        <v>10.8056233697175</v>
      </c>
      <c r="BC567" s="153" t="n">
        <f aca="false">IFERROR(IF($N567="VCA",INDEX(APOIO_REDES!$A:$W,MATCH($C567&amp;$I567&amp;$H567&amp;$N567&amp;$O567,APOIO_REDES!$W:$W,0),MATCH(BC$5,APOIO_REDES!$5:$5,0)),0)*($AI567+$AQ567+$AR567),0)</f>
        <v>0.118861630282507</v>
      </c>
      <c r="BD567" s="153" t="n">
        <f aca="false">IF(AND($N567="VCA",$AF567&gt;=1.25,$AF567&lt;1.5),$M567*$AF567*2,0)</f>
        <v>98.9538</v>
      </c>
      <c r="BE567" s="153" t="n">
        <f aca="false">IF(AND($N567="VCA",$AF567&gt;=1.5,$AF567&lt;3),$M567*$AF567*2,0)</f>
        <v>0</v>
      </c>
      <c r="BF567" s="153" t="n">
        <f aca="false">IF(AND($N567="VCA",$AF567&gt;=3),$M567*$AF567*2,0)</f>
        <v>0</v>
      </c>
      <c r="BG567" s="153" t="n">
        <f aca="false">($BB567+$BC567)*$AK567</f>
        <v>40.4205945</v>
      </c>
      <c r="BH567" s="153" t="n">
        <f aca="false">IF(AND($M567&lt;&gt;"",$N567="VCA",$Q567="LINEAR"),($M567*2)/100,IF(AND($M567&lt;&gt;"",$N567="MND",$Q567="EMBOQUE"),($AN567*2)/100,0))</f>
        <v>0.726</v>
      </c>
      <c r="BI567" s="153" t="n">
        <f aca="false">IF(AND($M567&lt;&gt;"",$N567="VCA",$Q567="LINEAR"),$M567,IF(AND($M567&lt;&gt;"",$N567="MND",$Q567="EMBOQUE"),$AN567*2,0))</f>
        <v>36.3</v>
      </c>
      <c r="BJ567" s="153" t="n">
        <f aca="false">IF(AND($M567&lt;&gt;"",$N567="VCA",$Q567="LINEAR"),($M567*6.8)/100,IF(AND($M567&lt;&gt;"",$N567="MND",$Q567="EMBOQUE"),($AN567*2*6.8)/100,0))</f>
        <v>2.4684</v>
      </c>
      <c r="BK567" s="153" t="n">
        <f aca="false">IF(AND($M567&lt;&gt;"",$N567="VCA",$Q567="LINEAR"),($M567*2.5)/50,IF(AND($M567&lt;&gt;"",$N567="MND",$Q567="EMBOQUE"),($AN567*2*2.5)/50,0))</f>
        <v>1.815</v>
      </c>
      <c r="BL567" s="157" t="str">
        <f aca="false">K567&amp;J567</f>
        <v>Zona05REDES</v>
      </c>
      <c r="BM567" s="152" t="s">
        <v>3356</v>
      </c>
      <c r="BN567" s="152" t="s">
        <v>1560</v>
      </c>
      <c r="BO567" s="152" t="s">
        <v>3688</v>
      </c>
      <c r="BP567" s="152" t="s">
        <v>3634</v>
      </c>
      <c r="BQ567" s="152" t="s">
        <v>3697</v>
      </c>
      <c r="BR567" s="152" t="s">
        <v>3698</v>
      </c>
      <c r="BS567" s="152" t="n">
        <v>203361.686</v>
      </c>
      <c r="BT567" s="152" t="n">
        <v>8237476.484</v>
      </c>
      <c r="BU567" s="152" t="n">
        <v>203393.038</v>
      </c>
      <c r="BV567" s="152" t="n">
        <v>8237458.199</v>
      </c>
      <c r="BW567" s="152" t="n">
        <v>-15.9243202</v>
      </c>
      <c r="BX567" s="152" t="n">
        <v>-47.770429</v>
      </c>
      <c r="BY567" s="152" t="s">
        <v>3634</v>
      </c>
    </row>
    <row r="568" customFormat="false" ht="13.8" hidden="false" customHeight="false" outlineLevel="0" collapsed="false">
      <c r="A568" s="149" t="n">
        <f aca="false">IF(C568&lt;&gt;"",ROW(A563),"")</f>
        <v>563</v>
      </c>
      <c r="B568" s="150" t="str">
        <f aca="false">HYPERLINK("https://www.google.com/maps/dir/-15.917302,-47.760003/-15.9241500,-47.7707350/data=!4m3!4m2!3e0!5i2")</f>
        <v>https://www.google.com/maps/dir/-15.917302,-47.760003/-15.9241500,-47.7707350/data=!4m3!4m2!3e0!5i2</v>
      </c>
      <c r="C568" s="151" t="s">
        <v>117</v>
      </c>
      <c r="D568" s="152" t="s">
        <v>112</v>
      </c>
      <c r="E568" s="152" t="s">
        <v>113</v>
      </c>
      <c r="F568" s="152" t="s">
        <v>117</v>
      </c>
      <c r="G568" s="152" t="s">
        <v>782</v>
      </c>
      <c r="H568" s="152" t="n">
        <v>63</v>
      </c>
      <c r="I568" s="152" t="s">
        <v>115</v>
      </c>
      <c r="J568" s="152" t="s">
        <v>6</v>
      </c>
      <c r="K568" s="152" t="s">
        <v>3352</v>
      </c>
      <c r="L568" s="152" t="s">
        <v>120</v>
      </c>
      <c r="M568" s="153" t="n">
        <f aca="false">72.07</f>
        <v>72.07</v>
      </c>
      <c r="N568" s="152" t="s">
        <v>1548</v>
      </c>
      <c r="O568" s="152" t="s">
        <v>1549</v>
      </c>
      <c r="P568" s="152" t="s">
        <v>1550</v>
      </c>
      <c r="Q568" s="152" t="s">
        <v>1551</v>
      </c>
      <c r="R568" s="154" t="s">
        <v>3699</v>
      </c>
      <c r="S568" s="154" t="s">
        <v>1553</v>
      </c>
      <c r="T568" s="155" t="s">
        <v>3685</v>
      </c>
      <c r="U568" s="152" t="str">
        <f aca="false">RIGHT(T568,7)</f>
        <v>012/037</v>
      </c>
      <c r="V568" s="152" t="s">
        <v>1555</v>
      </c>
      <c r="W568" s="156" t="n">
        <v>45882</v>
      </c>
      <c r="X568" s="152" t="s">
        <v>1594</v>
      </c>
      <c r="Y568" s="152" t="s">
        <v>3516</v>
      </c>
      <c r="Z568" s="152" t="s">
        <v>1557</v>
      </c>
      <c r="AA568" s="153" t="n">
        <v>3.7</v>
      </c>
      <c r="AB568" s="151" t="s">
        <v>3700</v>
      </c>
      <c r="AC568" s="151" t="s">
        <v>186</v>
      </c>
      <c r="AD568" s="151" t="str">
        <f aca="false">CONCATENATE($C568,$I568,$H568,$N568,$J568,$K568)</f>
        <v>TUBO PEADPEAD63VCAREDESZona05</v>
      </c>
      <c r="AE568" s="153" t="n">
        <f aca="false">IFERROR(INDEX(APOIO_REDES!$A:$W,MATCH($C568&amp;$I568&amp;$H568&amp;$N568&amp;$O568,APOIO_REDES!$W:$W,0),MATCH(AE$5,APOIO_REDES!$5:$5,0)),0)</f>
        <v>1.2</v>
      </c>
      <c r="AF568" s="153" t="n">
        <f aca="false">IFERROR(INDEX(APOIO_REDES!$A:$W,MATCH($C568&amp;$I568&amp;$H568&amp;$N568&amp;$O568,APOIO_REDES!$W:$W,0),MATCH(AF$5,APOIO_REDES!$5:$5,0)),0)</f>
        <v>1.363</v>
      </c>
      <c r="AG568" s="153" t="n">
        <f aca="false">IFERROR(INDEX(APOIO_REDES!$A:$W,MATCH($C568&amp;$I568&amp;$H568&amp;$N568&amp;$O568,APOIO_REDES!$W:$W,0),MATCH(AG$5,APOIO_REDES!$5:$5,0)),0)</f>
        <v>0.65</v>
      </c>
      <c r="AH568" s="153" t="n">
        <f aca="false">IFERROR(INDEX(APOIO_REDES!$A:$W,MATCH($C568&amp;$I568&amp;$H568&amp;$N568&amp;$O568,APOIO_REDES!$W:$W,0),MATCH(AH$5,APOIO_REDES!$5:$5,0)),0)</f>
        <v>0.1</v>
      </c>
      <c r="AI568" s="153" t="n">
        <f aca="false">IFERROR(IF($H568&lt;&gt;"",(((($H568/1000)/2)^2)*PI()*$M568),0),0)</f>
        <v>0.224659869529499</v>
      </c>
      <c r="AJ568" s="153" t="n">
        <f aca="false">IFERROR(IF(AND($H568&lt;&gt;"",$I568="FoFo",OR($N568="MND",$N568="VCA"),$Q568="LINEAR"),0,IF(AND($H568&lt;&gt;"",$I568="PEAD",$N568="VCA",$Q568="LINEAR"),($H568/1000)+0.3,IF(AND($H568&lt;&gt;"",$I568="PEAD",$N568="MND",$Q568="EMBOQUE"),0,IF(AND($H568&lt;&gt;"",$I568="PVC",$N568="VCA",$Q568="LINEAR"),($H568/1000)+0.2,IF(AND($H568&lt;&gt;"",$I568="PVC",$N568="MND",$Q568="EMBOQUE"),0,IF(AND($H568&lt;&gt;"",$I568="PEAD",$N568="VCA",$Q568="PREDIAL"),0,0)))))),0)</f>
        <v>0.363</v>
      </c>
      <c r="AK568" s="153" t="n">
        <f aca="false">IF(AA568&lt;&gt;"",AA568,0)</f>
        <v>3.7</v>
      </c>
      <c r="AL568" s="153" t="n">
        <f aca="false">IF(AND($N568="MND",$Q568="EMBOQUE"),$M568,IF(AND($N568="VCA",$Q568="LINEAR"),$M568,IF(AND($N568="VCA",$Q568="PREDIAL"),0,0)))</f>
        <v>72.07</v>
      </c>
      <c r="AM568" s="153" t="n">
        <f aca="false">IF(AND($N568="MND",$Q568="EMBOQUE"),$M568,IF(AND($N568="VCA",$Q568="LINEAR"),$M568,IF(AND($N568="VCA",$Q568="PREDIAL"),0,0)))</f>
        <v>72.07</v>
      </c>
      <c r="AN568" s="153" t="n">
        <f aca="false">ROUND(IF(AND($N568="VCA",$M568&lt;&gt;"",$Q568="LINEAR"),$M568/100,IF(AND($N568="MND",$M568&gt;100,$Q568="EMBOQUE"),$M568/100,0)),0)</f>
        <v>1</v>
      </c>
      <c r="AO568" s="153" t="n">
        <f aca="false">IF(AND($N568="MND",$Q568="EMBOQUE"),$AN568*2*2,IF(AND($N568="VCA",$Q568="LINEAR"),$M568*2,IF(AND($N568="VCA",$Q568="PREDIAL"),0,0)))</f>
        <v>144.14</v>
      </c>
      <c r="AP568" s="153" t="n">
        <f aca="false">IFERROR($M568*$AF568*$AG568,0)</f>
        <v>63.8504165</v>
      </c>
      <c r="AQ568" s="153" t="n">
        <f aca="false">IFERROR(IF(AND($N568="VCA",$AH568&gt;0),$M568*$AG568*$AH568,0),0)</f>
        <v>4.68455</v>
      </c>
      <c r="AR568" s="153" t="n">
        <f aca="false">IFERROR(IF(AND($N568="VCA",$AJ568&gt;0),($M568*$AG568*$AJ568)-$AI568,0),0)</f>
        <v>16.7802566304705</v>
      </c>
      <c r="AS568" s="153" t="n">
        <f aca="false">IFERROR(IF(AND($N568="VCA",$AP568&gt;0),$AP568-$AI568-$AQ568-$AR568,0),0)</f>
        <v>42.16095</v>
      </c>
      <c r="AT568" s="153" t="n">
        <f aca="false">IFERROR(IF($N568="VCA",INDEX(APOIO_REDES!$A:$W,MATCH($C568&amp;$I568&amp;$H568&amp;$N568&amp;$O568,APOIO_REDES!$W:$W,0),MATCH(AT$5,APOIO_REDES!$5:$5,0)),0)*$AP568,0)</f>
        <v>0.694711430278599</v>
      </c>
      <c r="AU568" s="153" t="n">
        <f aca="false">IFERROR(IF($N568="VCA",INDEX(APOIO_REDES!$A:$W,MATCH($C568&amp;$I568&amp;$H568&amp;$N568&amp;$O568,APOIO_REDES!$W:$W,0),MATCH(AU$5,APOIO_REDES!$5:$5,0)),0)*$AP568,0)</f>
        <v>0.554777733048808</v>
      </c>
      <c r="AV568" s="153" t="n">
        <f aca="false">IFERROR(IF($N568="VCA",INDEX(APOIO_REDES!$A:$W,MATCH($C568&amp;$I568&amp;$H568&amp;$N568&amp;$O568,APOIO_REDES!$W:$W,0),MATCH(AV$5,APOIO_REDES!$5:$5,0)),0)*$AP568,0)</f>
        <v>0.0767768830779925</v>
      </c>
      <c r="AW568" s="153" t="n">
        <f aca="false">IFERROR(IF($N568="VCA",INDEX(APOIO_REDES!$A:$W,MATCH($C568&amp;$I568&amp;$H568&amp;$N568&amp;$O568,APOIO_REDES!$W:$W,0),MATCH(AW$5,APOIO_REDES!$5:$5,0)),0)*$AP568,0)</f>
        <v>43.827420622769</v>
      </c>
      <c r="AX568" s="153" t="n">
        <f aca="false">IFERROR(IF($N568="VCA",INDEX(APOIO_REDES!$A:$W,MATCH($C568&amp;$I568&amp;$H568&amp;$N568&amp;$O568,APOIO_REDES!$W:$W,0),MATCH(AX$5,APOIO_REDES!$5:$5,0)),0)*$AP568,0)</f>
        <v>6.06559016942041</v>
      </c>
      <c r="AY568" s="153" t="n">
        <f aca="false">IFERROR(IF($N568="VCA",INDEX(APOIO_REDES!$A:$W,MATCH($C568&amp;$I568&amp;$H568&amp;$N568&amp;$O568,APOIO_REDES!$W:$W,0),MATCH(AY$5,APOIO_REDES!$5:$5,0)),0)*$AP568,0)</f>
        <v>11.0955478982806</v>
      </c>
      <c r="AZ568" s="153" t="n">
        <f aca="false">IFERROR(IF($N568="VCA",INDEX(APOIO_REDES!$A:$W,MATCH($C568&amp;$I568&amp;$H568&amp;$N568&amp;$O568,APOIO_REDES!$W:$W,0),MATCH(AZ$5,APOIO_REDES!$5:$5,0)),0)*$AP568,0)</f>
        <v>1.5355917631246</v>
      </c>
      <c r="BA568" s="153" t="n">
        <f aca="false">IFERROR(IF(AND($N568="VCA",$Q568="LINEAR"),INDEX(APOIO_REDES!$A:$W,MATCH($C568&amp;$I568&amp;$H568&amp;$N568&amp;$O568,APOIO_REDES!$W:$W,0),MATCH(BA$5,APOIO_REDES!$5:$5,0)),IF(AND($N568="MND",$Q568="EMBOQUE"),INDEX(APOIO_REDES!$A:$W,MATCH($C568&amp;$I568&amp;$H568&amp;$N568&amp;$O568,APOIO_REDES!$W:$W,0),MATCH(BA$5,APOIO_REDES!$5:$5,0)),0))*$M568/10,0)</f>
        <v>5.80866020917476</v>
      </c>
      <c r="BB568" s="153" t="n">
        <f aca="false">IFERROR(IF($N568="VCA",INDEX(APOIO_REDES!$A:$W,MATCH($C568&amp;$I568&amp;$H568&amp;$N568&amp;$O568,APOIO_REDES!$W:$W,0),MATCH(BB$5,APOIO_REDES!$5:$5,0)),0)*($AI568+$AQ568+$AR568),0)</f>
        <v>21.4534786847256</v>
      </c>
      <c r="BC568" s="153" t="n">
        <f aca="false">IFERROR(IF($N568="VCA",INDEX(APOIO_REDES!$A:$W,MATCH($C568&amp;$I568&amp;$H568&amp;$N568&amp;$O568,APOIO_REDES!$W:$W,0),MATCH(BC$5,APOIO_REDES!$5:$5,0)),0)*($AI568+$AQ568+$AR568),0)</f>
        <v>0.235987815274388</v>
      </c>
      <c r="BD568" s="153" t="n">
        <f aca="false">IF(AND($N568="VCA",$AF568&gt;=1.25,$AF568&lt;1.5),$M568*$AF568*2,0)</f>
        <v>196.46282</v>
      </c>
      <c r="BE568" s="153" t="n">
        <f aca="false">IF(AND($N568="VCA",$AF568&gt;=1.5,$AF568&lt;3),$M568*$AF568*2,0)</f>
        <v>0</v>
      </c>
      <c r="BF568" s="153" t="n">
        <f aca="false">IF(AND($N568="VCA",$AF568&gt;=3),$M568*$AF568*2,0)</f>
        <v>0</v>
      </c>
      <c r="BG568" s="153" t="n">
        <f aca="false">($BB568+$BC568)*$AK568</f>
        <v>80.25102605</v>
      </c>
      <c r="BH568" s="153" t="n">
        <f aca="false">IF(AND($M568&lt;&gt;"",$N568="VCA",$Q568="LINEAR"),($M568*2)/100,IF(AND($M568&lt;&gt;"",$N568="MND",$Q568="EMBOQUE"),($AN568*2)/100,0))</f>
        <v>1.4414</v>
      </c>
      <c r="BI568" s="153" t="n">
        <f aca="false">IF(AND($M568&lt;&gt;"",$N568="VCA",$Q568="LINEAR"),$M568,IF(AND($M568&lt;&gt;"",$N568="MND",$Q568="EMBOQUE"),$AN568*2,0))</f>
        <v>72.07</v>
      </c>
      <c r="BJ568" s="153" t="n">
        <f aca="false">IF(AND($M568&lt;&gt;"",$N568="VCA",$Q568="LINEAR"),($M568*6.8)/100,IF(AND($M568&lt;&gt;"",$N568="MND",$Q568="EMBOQUE"),($AN568*2*6.8)/100,0))</f>
        <v>4.90076</v>
      </c>
      <c r="BK568" s="153" t="n">
        <f aca="false">IF(AND($M568&lt;&gt;"",$N568="VCA",$Q568="LINEAR"),($M568*2.5)/50,IF(AND($M568&lt;&gt;"",$N568="MND",$Q568="EMBOQUE"),($AN568*2*2.5)/50,0))</f>
        <v>3.6035</v>
      </c>
      <c r="BL568" s="157" t="str">
        <f aca="false">K568&amp;J568</f>
        <v>Zona05REDES</v>
      </c>
      <c r="BM568" s="152" t="s">
        <v>3356</v>
      </c>
      <c r="BN568" s="152" t="s">
        <v>1560</v>
      </c>
      <c r="BO568" s="152" t="s">
        <v>3688</v>
      </c>
      <c r="BP568" s="152" t="s">
        <v>3638</v>
      </c>
      <c r="BQ568" s="152" t="s">
        <v>3701</v>
      </c>
      <c r="BR568" s="152" t="s">
        <v>3702</v>
      </c>
      <c r="BS568" s="152" t="n">
        <v>203344.235</v>
      </c>
      <c r="BT568" s="152" t="n">
        <v>8237485.598</v>
      </c>
      <c r="BU568" s="152" t="n">
        <v>203307.724</v>
      </c>
      <c r="BV568" s="152" t="n">
        <v>8237423.468</v>
      </c>
      <c r="BW568" s="152" t="n">
        <v>-15.9244285</v>
      </c>
      <c r="BX568" s="152" t="n">
        <v>-47.770909</v>
      </c>
      <c r="BY568" s="152" t="s">
        <v>3638</v>
      </c>
    </row>
    <row r="569" customFormat="false" ht="13.8" hidden="false" customHeight="false" outlineLevel="0" collapsed="false">
      <c r="A569" s="149" t="n">
        <f aca="false">IF(C569&lt;&gt;"",ROW(A564),"")</f>
        <v>564</v>
      </c>
      <c r="B569" s="150" t="str">
        <f aca="false">HYPERLINK("https://www.google.com/maps/dir/-15.917302,-47.760003/-15.9244033,-47.7702830/data=!4m3!4m2!3e0!5i2")</f>
        <v>https://www.google.com/maps/dir/-15.917302,-47.760003/-15.9244033,-47.7702830/data=!4m3!4m2!3e0!5i2</v>
      </c>
      <c r="C569" s="151" t="s">
        <v>117</v>
      </c>
      <c r="D569" s="152" t="s">
        <v>112</v>
      </c>
      <c r="E569" s="152" t="s">
        <v>113</v>
      </c>
      <c r="F569" s="152" t="s">
        <v>117</v>
      </c>
      <c r="G569" s="152" t="s">
        <v>782</v>
      </c>
      <c r="H569" s="152" t="n">
        <v>63</v>
      </c>
      <c r="I569" s="152" t="s">
        <v>115</v>
      </c>
      <c r="J569" s="152" t="s">
        <v>6</v>
      </c>
      <c r="K569" s="152" t="s">
        <v>3352</v>
      </c>
      <c r="L569" s="152" t="s">
        <v>120</v>
      </c>
      <c r="M569" s="153" t="n">
        <f aca="false">60.04</f>
        <v>60.04</v>
      </c>
      <c r="N569" s="152" t="s">
        <v>1548</v>
      </c>
      <c r="O569" s="152" t="s">
        <v>1549</v>
      </c>
      <c r="P569" s="152" t="s">
        <v>1550</v>
      </c>
      <c r="Q569" s="152" t="s">
        <v>1551</v>
      </c>
      <c r="R569" s="154" t="s">
        <v>3703</v>
      </c>
      <c r="S569" s="154" t="s">
        <v>1553</v>
      </c>
      <c r="T569" s="155" t="s">
        <v>3685</v>
      </c>
      <c r="U569" s="152" t="str">
        <f aca="false">RIGHT(T569,7)</f>
        <v>012/037</v>
      </c>
      <c r="V569" s="152" t="s">
        <v>1555</v>
      </c>
      <c r="W569" s="156" t="n">
        <v>45882</v>
      </c>
      <c r="X569" s="152" t="s">
        <v>1594</v>
      </c>
      <c r="Y569" s="152" t="s">
        <v>3704</v>
      </c>
      <c r="Z569" s="152" t="s">
        <v>1557</v>
      </c>
      <c r="AA569" s="153" t="n">
        <v>3.7</v>
      </c>
      <c r="AB569" s="151" t="s">
        <v>3705</v>
      </c>
      <c r="AC569" s="151" t="s">
        <v>186</v>
      </c>
      <c r="AD569" s="151" t="str">
        <f aca="false">CONCATENATE($C569,$I569,$H569,$N569,$J569,$K569)</f>
        <v>TUBO PEADPEAD63VCAREDESZona05</v>
      </c>
      <c r="AE569" s="153" t="n">
        <f aca="false">IFERROR(INDEX(APOIO_REDES!$A:$W,MATCH($C569&amp;$I569&amp;$H569&amp;$N569&amp;$O569,APOIO_REDES!$W:$W,0),MATCH(AE$5,APOIO_REDES!$5:$5,0)),0)</f>
        <v>1.2</v>
      </c>
      <c r="AF569" s="153" t="n">
        <f aca="false">IFERROR(INDEX(APOIO_REDES!$A:$W,MATCH($C569&amp;$I569&amp;$H569&amp;$N569&amp;$O569,APOIO_REDES!$W:$W,0),MATCH(AF$5,APOIO_REDES!$5:$5,0)),0)</f>
        <v>1.363</v>
      </c>
      <c r="AG569" s="153" t="n">
        <f aca="false">IFERROR(INDEX(APOIO_REDES!$A:$W,MATCH($C569&amp;$I569&amp;$H569&amp;$N569&amp;$O569,APOIO_REDES!$W:$W,0),MATCH(AG$5,APOIO_REDES!$5:$5,0)),0)</f>
        <v>0.65</v>
      </c>
      <c r="AH569" s="153" t="n">
        <f aca="false">IFERROR(INDEX(APOIO_REDES!$A:$W,MATCH($C569&amp;$I569&amp;$H569&amp;$N569&amp;$O569,APOIO_REDES!$W:$W,0),MATCH(AH$5,APOIO_REDES!$5:$5,0)),0)</f>
        <v>0.1</v>
      </c>
      <c r="AI569" s="153" t="n">
        <f aca="false">IFERROR(IF($H569&lt;&gt;"",(((($H569/1000)/2)^2)*PI()*$M569),0),0)</f>
        <v>0.187159408443889</v>
      </c>
      <c r="AJ569" s="153" t="n">
        <f aca="false">IFERROR(IF(AND($H569&lt;&gt;"",$I569="FoFo",OR($N569="MND",$N569="VCA"),$Q569="LINEAR"),0,IF(AND($H569&lt;&gt;"",$I569="PEAD",$N569="VCA",$Q569="LINEAR"),($H569/1000)+0.3,IF(AND($H569&lt;&gt;"",$I569="PEAD",$N569="MND",$Q569="EMBOQUE"),0,IF(AND($H569&lt;&gt;"",$I569="PVC",$N569="VCA",$Q569="LINEAR"),($H569/1000)+0.2,IF(AND($H569&lt;&gt;"",$I569="PVC",$N569="MND",$Q569="EMBOQUE"),0,IF(AND($H569&lt;&gt;"",$I569="PEAD",$N569="VCA",$Q569="PREDIAL"),0,0)))))),0)</f>
        <v>0.363</v>
      </c>
      <c r="AK569" s="153" t="n">
        <f aca="false">IF(AA569&lt;&gt;"",AA569,0)</f>
        <v>3.7</v>
      </c>
      <c r="AL569" s="153" t="n">
        <f aca="false">IF(AND($N569="MND",$Q569="EMBOQUE"),$M569,IF(AND($N569="VCA",$Q569="LINEAR"),$M569,IF(AND($N569="VCA",$Q569="PREDIAL"),0,0)))</f>
        <v>60.04</v>
      </c>
      <c r="AM569" s="153" t="n">
        <f aca="false">IF(AND($N569="MND",$Q569="EMBOQUE"),$M569,IF(AND($N569="VCA",$Q569="LINEAR"),$M569,IF(AND($N569="VCA",$Q569="PREDIAL"),0,0)))</f>
        <v>60.04</v>
      </c>
      <c r="AN569" s="153" t="n">
        <f aca="false">ROUND(IF(AND($N569="VCA",$M569&lt;&gt;"",$Q569="LINEAR"),$M569/100,IF(AND($N569="MND",$M569&gt;100,$Q569="EMBOQUE"),$M569/100,0)),0)</f>
        <v>1</v>
      </c>
      <c r="AO569" s="153" t="n">
        <f aca="false">IF(AND($N569="MND",$Q569="EMBOQUE"),$AN569*2*2,IF(AND($N569="VCA",$Q569="LINEAR"),$M569*2,IF(AND($N569="VCA",$Q569="PREDIAL"),0,0)))</f>
        <v>120.08</v>
      </c>
      <c r="AP569" s="153" t="n">
        <f aca="false">IFERROR($M569*$AF569*$AG569,0)</f>
        <v>53.192438</v>
      </c>
      <c r="AQ569" s="153" t="n">
        <f aca="false">IFERROR(IF(AND($N569="VCA",$AH569&gt;0),$M569*$AG569*$AH569,0),0)</f>
        <v>3.9026</v>
      </c>
      <c r="AR569" s="153" t="n">
        <f aca="false">IFERROR(IF(AND($N569="VCA",$AJ569&gt;0),($M569*$AG569*$AJ569)-$AI569,0),0)</f>
        <v>13.9792785915561</v>
      </c>
      <c r="AS569" s="153" t="n">
        <f aca="false">IFERROR(IF(AND($N569="VCA",$AP569&gt;0),$AP569-$AI569-$AQ569-$AR569,0),0)</f>
        <v>35.1234</v>
      </c>
      <c r="AT569" s="153" t="n">
        <f aca="false">IFERROR(IF($N569="VCA",INDEX(APOIO_REDES!$A:$W,MATCH($C569&amp;$I569&amp;$H569&amp;$N569&amp;$O569,APOIO_REDES!$W:$W,0),MATCH(AT$5,APOIO_REDES!$5:$5,0)),0)*$AP569,0)</f>
        <v>0.578749469597989</v>
      </c>
      <c r="AU569" s="153" t="n">
        <f aca="false">IFERROR(IF($N569="VCA",INDEX(APOIO_REDES!$A:$W,MATCH($C569&amp;$I569&amp;$H569&amp;$N569&amp;$O569,APOIO_REDES!$W:$W,0),MATCH(AU$5,APOIO_REDES!$5:$5,0)),0)*$AP569,0)</f>
        <v>0.462173651897467</v>
      </c>
      <c r="AV569" s="153" t="n">
        <f aca="false">IFERROR(IF($N569="VCA",INDEX(APOIO_REDES!$A:$W,MATCH($C569&amp;$I569&amp;$H569&amp;$N569&amp;$O569,APOIO_REDES!$W:$W,0),MATCH(AV$5,APOIO_REDES!$5:$5,0)),0)*$AP569,0)</f>
        <v>0.063961205217187</v>
      </c>
      <c r="AW569" s="153" t="n">
        <f aca="false">IFERROR(IF($N569="VCA",INDEX(APOIO_REDES!$A:$W,MATCH($C569&amp;$I569&amp;$H569&amp;$N569&amp;$O569,APOIO_REDES!$W:$W,0),MATCH(AW$5,APOIO_REDES!$5:$5,0)),0)*$AP569,0)</f>
        <v>36.5117015983218</v>
      </c>
      <c r="AX569" s="153" t="n">
        <f aca="false">IFERROR(IF($N569="VCA",INDEX(APOIO_REDES!$A:$W,MATCH($C569&amp;$I569&amp;$H569&amp;$N569&amp;$O569,APOIO_REDES!$W:$W,0),MATCH(AX$5,APOIO_REDES!$5:$5,0)),0)*$AP569,0)</f>
        <v>5.05311549565702</v>
      </c>
      <c r="AY569" s="153" t="n">
        <f aca="false">IFERROR(IF($N569="VCA",INDEX(APOIO_REDES!$A:$W,MATCH($C569&amp;$I569&amp;$H569&amp;$N569&amp;$O569,APOIO_REDES!$W:$W,0),MATCH(AY$5,APOIO_REDES!$5:$5,0)),0)*$AP569,0)</f>
        <v>9.24346740408998</v>
      </c>
      <c r="AZ569" s="153" t="n">
        <f aca="false">IFERROR(IF($N569="VCA",INDEX(APOIO_REDES!$A:$W,MATCH($C569&amp;$I569&amp;$H569&amp;$N569&amp;$O569,APOIO_REDES!$W:$W,0),MATCH(AZ$5,APOIO_REDES!$5:$5,0)),0)*$AP569,0)</f>
        <v>1.27926917521855</v>
      </c>
      <c r="BA569" s="153" t="n">
        <f aca="false">IFERROR(IF(AND($N569="VCA",$Q569="LINEAR"),INDEX(APOIO_REDES!$A:$W,MATCH($C569&amp;$I569&amp;$H569&amp;$N569&amp;$O569,APOIO_REDES!$W:$W,0),MATCH(BA$5,APOIO_REDES!$5:$5,0)),IF(AND($N569="MND",$Q569="EMBOQUE"),INDEX(APOIO_REDES!$A:$W,MATCH($C569&amp;$I569&amp;$H569&amp;$N569&amp;$O569,APOIO_REDES!$W:$W,0),MATCH(BA$5,APOIO_REDES!$5:$5,0)),0))*$M569/10,0)</f>
        <v>4.83907255389001</v>
      </c>
      <c r="BB569" s="153" t="n">
        <f aca="false">IFERROR(IF($N569="VCA",INDEX(APOIO_REDES!$A:$W,MATCH($C569&amp;$I569&amp;$H569&amp;$N569&amp;$O569,APOIO_REDES!$W:$W,0),MATCH(BB$5,APOIO_REDES!$5:$5,0)),0)*($AI569+$AQ569+$AR569),0)</f>
        <v>17.8724415183978</v>
      </c>
      <c r="BC569" s="153" t="n">
        <f aca="false">IFERROR(IF($N569="VCA",INDEX(APOIO_REDES!$A:$W,MATCH($C569&amp;$I569&amp;$H569&amp;$N569&amp;$O569,APOIO_REDES!$W:$W,0),MATCH(BC$5,APOIO_REDES!$5:$5,0)),0)*($AI569+$AQ569+$AR569),0)</f>
        <v>0.196596481602252</v>
      </c>
      <c r="BD569" s="153" t="n">
        <f aca="false">IF(AND($N569="VCA",$AF569&gt;=1.25,$AF569&lt;1.5),$M569*$AF569*2,0)</f>
        <v>163.66904</v>
      </c>
      <c r="BE569" s="153" t="n">
        <f aca="false">IF(AND($N569="VCA",$AF569&gt;=1.5,$AF569&lt;3),$M569*$AF569*2,0)</f>
        <v>0</v>
      </c>
      <c r="BF569" s="153" t="n">
        <f aca="false">IF(AND($N569="VCA",$AF569&gt;=3),$M569*$AF569*2,0)</f>
        <v>0</v>
      </c>
      <c r="BG569" s="153" t="n">
        <f aca="false">($BB569+$BC569)*$AK569</f>
        <v>66.8554406</v>
      </c>
      <c r="BH569" s="153" t="n">
        <f aca="false">IF(AND($M569&lt;&gt;"",$N569="VCA",$Q569="LINEAR"),($M569*2)/100,IF(AND($M569&lt;&gt;"",$N569="MND",$Q569="EMBOQUE"),($AN569*2)/100,0))</f>
        <v>1.2008</v>
      </c>
      <c r="BI569" s="153" t="n">
        <f aca="false">IF(AND($M569&lt;&gt;"",$N569="VCA",$Q569="LINEAR"),$M569,IF(AND($M569&lt;&gt;"",$N569="MND",$Q569="EMBOQUE"),$AN569*2,0))</f>
        <v>60.04</v>
      </c>
      <c r="BJ569" s="153" t="n">
        <f aca="false">IF(AND($M569&lt;&gt;"",$N569="VCA",$Q569="LINEAR"),($M569*6.8)/100,IF(AND($M569&lt;&gt;"",$N569="MND",$Q569="EMBOQUE"),($AN569*2*6.8)/100,0))</f>
        <v>4.08272</v>
      </c>
      <c r="BK569" s="153" t="n">
        <f aca="false">IF(AND($M569&lt;&gt;"",$N569="VCA",$Q569="LINEAR"),($M569*2.5)/50,IF(AND($M569&lt;&gt;"",$N569="MND",$Q569="EMBOQUE"),($AN569*2*2.5)/50,0))</f>
        <v>3.002</v>
      </c>
      <c r="BL569" s="157" t="str">
        <f aca="false">K569&amp;J569</f>
        <v>Zona05REDES</v>
      </c>
      <c r="BM569" s="152" t="s">
        <v>3356</v>
      </c>
      <c r="BN569" s="152" t="s">
        <v>1560</v>
      </c>
      <c r="BO569" s="152" t="s">
        <v>3688</v>
      </c>
      <c r="BP569" s="152" t="s">
        <v>3697</v>
      </c>
      <c r="BQ569" s="152" t="s">
        <v>3706</v>
      </c>
      <c r="BR569" s="152" t="s">
        <v>3707</v>
      </c>
      <c r="BS569" s="152" t="n">
        <v>203393.038</v>
      </c>
      <c r="BT569" s="152" t="n">
        <v>8237458.199</v>
      </c>
      <c r="BU569" s="152" t="n">
        <v>203446.449</v>
      </c>
      <c r="BV569" s="152" t="n">
        <v>8237430.792</v>
      </c>
      <c r="BW569" s="152" t="n">
        <v>-15.9245335</v>
      </c>
      <c r="BX569" s="152" t="n">
        <v>-47.7700373</v>
      </c>
      <c r="BY569" s="152" t="s">
        <v>3697</v>
      </c>
    </row>
    <row r="570" customFormat="false" ht="13.8" hidden="false" customHeight="false" outlineLevel="0" collapsed="false">
      <c r="A570" s="149" t="n">
        <f aca="false">IF(C570&lt;&gt;"",ROW(A565),"")</f>
        <v>565</v>
      </c>
      <c r="B570" s="150" t="str">
        <f aca="false">HYPERLINK("https://www.google.com/maps/dir/-15.917302,-47.760003/-15.9243173,-47.7715810/data=!4m3!4m2!3e0!5i2")</f>
        <v>https://www.google.com/maps/dir/-15.917302,-47.760003/-15.9243173,-47.7715810/data=!4m3!4m2!3e0!5i2</v>
      </c>
      <c r="C570" s="151" t="s">
        <v>117</v>
      </c>
      <c r="D570" s="152" t="s">
        <v>112</v>
      </c>
      <c r="E570" s="152" t="s">
        <v>113</v>
      </c>
      <c r="F570" s="152" t="s">
        <v>117</v>
      </c>
      <c r="G570" s="152" t="s">
        <v>782</v>
      </c>
      <c r="H570" s="152" t="n">
        <v>63</v>
      </c>
      <c r="I570" s="152" t="s">
        <v>115</v>
      </c>
      <c r="J570" s="152" t="s">
        <v>6</v>
      </c>
      <c r="K570" s="152" t="s">
        <v>3352</v>
      </c>
      <c r="L570" s="152" t="s">
        <v>120</v>
      </c>
      <c r="M570" s="153" t="n">
        <f aca="false">71.1+3.94</f>
        <v>75.04</v>
      </c>
      <c r="N570" s="152" t="s">
        <v>1548</v>
      </c>
      <c r="O570" s="152" t="s">
        <v>1549</v>
      </c>
      <c r="P570" s="152" t="s">
        <v>1550</v>
      </c>
      <c r="Q570" s="152" t="s">
        <v>1551</v>
      </c>
      <c r="R570" s="154" t="s">
        <v>3708</v>
      </c>
      <c r="S570" s="154" t="s">
        <v>1553</v>
      </c>
      <c r="T570" s="155" t="s">
        <v>3685</v>
      </c>
      <c r="U570" s="152" t="str">
        <f aca="false">RIGHT(T570,7)</f>
        <v>012/037</v>
      </c>
      <c r="V570" s="152" t="s">
        <v>1555</v>
      </c>
      <c r="W570" s="156" t="n">
        <v>45882</v>
      </c>
      <c r="X570" s="152" t="s">
        <v>1594</v>
      </c>
      <c r="Y570" s="152" t="s">
        <v>3499</v>
      </c>
      <c r="Z570" s="152" t="s">
        <v>1557</v>
      </c>
      <c r="AA570" s="153" t="n">
        <v>3.9</v>
      </c>
      <c r="AB570" s="151" t="s">
        <v>3709</v>
      </c>
      <c r="AC570" s="151" t="s">
        <v>186</v>
      </c>
      <c r="AD570" s="151" t="str">
        <f aca="false">CONCATENATE($C570,$I570,$H570,$N570,$J570,$K570)</f>
        <v>TUBO PEADPEAD63VCAREDESZona05</v>
      </c>
      <c r="AE570" s="153" t="n">
        <f aca="false">IFERROR(INDEX(APOIO_REDES!$A:$W,MATCH($C570&amp;$I570&amp;$H570&amp;$N570&amp;$O570,APOIO_REDES!$W:$W,0),MATCH(AE$5,APOIO_REDES!$5:$5,0)),0)</f>
        <v>1.2</v>
      </c>
      <c r="AF570" s="153" t="n">
        <f aca="false">IFERROR(INDEX(APOIO_REDES!$A:$W,MATCH($C570&amp;$I570&amp;$H570&amp;$N570&amp;$O570,APOIO_REDES!$W:$W,0),MATCH(AF$5,APOIO_REDES!$5:$5,0)),0)</f>
        <v>1.363</v>
      </c>
      <c r="AG570" s="153" t="n">
        <f aca="false">IFERROR(INDEX(APOIO_REDES!$A:$W,MATCH($C570&amp;$I570&amp;$H570&amp;$N570&amp;$O570,APOIO_REDES!$W:$W,0),MATCH(AG$5,APOIO_REDES!$5:$5,0)),0)</f>
        <v>0.65</v>
      </c>
      <c r="AH570" s="153" t="n">
        <f aca="false">IFERROR(INDEX(APOIO_REDES!$A:$W,MATCH($C570&amp;$I570&amp;$H570&amp;$N570&amp;$O570,APOIO_REDES!$W:$W,0),MATCH(AH$5,APOIO_REDES!$5:$5,0)),0)</f>
        <v>0.1</v>
      </c>
      <c r="AI570" s="153" t="n">
        <f aca="false">IFERROR(IF($H570&lt;&gt;"",(((($H570/1000)/2)^2)*PI()*$M570),0),0)</f>
        <v>0.233918088101756</v>
      </c>
      <c r="AJ570" s="153" t="n">
        <f aca="false">IFERROR(IF(AND($H570&lt;&gt;"",$I570="FoFo",OR($N570="MND",$N570="VCA"),$Q570="LINEAR"),0,IF(AND($H570&lt;&gt;"",$I570="PEAD",$N570="VCA",$Q570="LINEAR"),($H570/1000)+0.3,IF(AND($H570&lt;&gt;"",$I570="PEAD",$N570="MND",$Q570="EMBOQUE"),0,IF(AND($H570&lt;&gt;"",$I570="PVC",$N570="VCA",$Q570="LINEAR"),($H570/1000)+0.2,IF(AND($H570&lt;&gt;"",$I570="PVC",$N570="MND",$Q570="EMBOQUE"),0,IF(AND($H570&lt;&gt;"",$I570="PEAD",$N570="VCA",$Q570="PREDIAL"),0,0)))))),0)</f>
        <v>0.363</v>
      </c>
      <c r="AK570" s="153" t="n">
        <f aca="false">IF(AA570&lt;&gt;"",AA570,0)</f>
        <v>3.9</v>
      </c>
      <c r="AL570" s="153" t="n">
        <f aca="false">IF(AND($N570="MND",$Q570="EMBOQUE"),$M570,IF(AND($N570="VCA",$Q570="LINEAR"),$M570,IF(AND($N570="VCA",$Q570="PREDIAL"),0,0)))</f>
        <v>75.04</v>
      </c>
      <c r="AM570" s="153" t="n">
        <f aca="false">IF(AND($N570="MND",$Q570="EMBOQUE"),$M570,IF(AND($N570="VCA",$Q570="LINEAR"),$M570,IF(AND($N570="VCA",$Q570="PREDIAL"),0,0)))</f>
        <v>75.04</v>
      </c>
      <c r="AN570" s="153" t="n">
        <f aca="false">ROUND(IF(AND($N570="VCA",$M570&lt;&gt;"",$Q570="LINEAR"),$M570/100,IF(AND($N570="MND",$M570&gt;100,$Q570="EMBOQUE"),$M570/100,0)),0)</f>
        <v>1</v>
      </c>
      <c r="AO570" s="153" t="n">
        <f aca="false">IF(AND($N570="MND",$Q570="EMBOQUE"),$AN570*2*2,IF(AND($N570="VCA",$Q570="LINEAR"),$M570*2,IF(AND($N570="VCA",$Q570="PREDIAL"),0,0)))</f>
        <v>150.08</v>
      </c>
      <c r="AP570" s="153" t="n">
        <f aca="false">IFERROR($M570*$AF570*$AG570,0)</f>
        <v>66.481688</v>
      </c>
      <c r="AQ570" s="153" t="n">
        <f aca="false">IFERROR(IF(AND($N570="VCA",$AH570&gt;0),$M570*$AG570*$AH570,0),0)</f>
        <v>4.8776</v>
      </c>
      <c r="AR570" s="153" t="n">
        <f aca="false">IFERROR(IF(AND($N570="VCA",$AJ570&gt;0),($M570*$AG570*$AJ570)-$AI570,0),0)</f>
        <v>17.4717699118982</v>
      </c>
      <c r="AS570" s="153" t="n">
        <f aca="false">IFERROR(IF(AND($N570="VCA",$AP570&gt;0),$AP570-$AI570-$AQ570-$AR570,0),0)</f>
        <v>43.8984</v>
      </c>
      <c r="AT570" s="153" t="n">
        <f aca="false">IFERROR(IF($N570="VCA",INDEX(APOIO_REDES!$A:$W,MATCH($C570&amp;$I570&amp;$H570&amp;$N570&amp;$O570,APOIO_REDES!$W:$W,0),MATCH(AT$5,APOIO_REDES!$5:$5,0)),0)*$AP570,0)</f>
        <v>0.723340443015208</v>
      </c>
      <c r="AU570" s="153" t="n">
        <f aca="false">IFERROR(IF($N570="VCA",INDEX(APOIO_REDES!$A:$W,MATCH($C570&amp;$I570&amp;$H570&amp;$N570&amp;$O570,APOIO_REDES!$W:$W,0),MATCH(AU$5,APOIO_REDES!$5:$5,0)),0)*$AP570,0)</f>
        <v>0.577640087248266</v>
      </c>
      <c r="AV570" s="153" t="n">
        <f aca="false">IFERROR(IF($N570="VCA",INDEX(APOIO_REDES!$A:$W,MATCH($C570&amp;$I570&amp;$H570&amp;$N570&amp;$O570,APOIO_REDES!$W:$W,0),MATCH(AV$5,APOIO_REDES!$5:$5,0)),0)*$AP570,0)</f>
        <v>0.0799408534226801</v>
      </c>
      <c r="AW570" s="153" t="n">
        <f aca="false">IFERROR(IF($N570="VCA",INDEX(APOIO_REDES!$A:$W,MATCH($C570&amp;$I570&amp;$H570&amp;$N570&amp;$O570,APOIO_REDES!$W:$W,0),MATCH(AW$5,APOIO_REDES!$5:$5,0)),0)*$AP570,0)</f>
        <v>45.6335457684555</v>
      </c>
      <c r="AX570" s="153" t="n">
        <f aca="false">IFERROR(IF($N570="VCA",INDEX(APOIO_REDES!$A:$W,MATCH($C570&amp;$I570&amp;$H570&amp;$N570&amp;$O570,APOIO_REDES!$W:$W,0),MATCH(AX$5,APOIO_REDES!$5:$5,0)),0)*$AP570,0)</f>
        <v>6.31555274473856</v>
      </c>
      <c r="AY570" s="153" t="n">
        <f aca="false">IFERROR(IF($N570="VCA",INDEX(APOIO_REDES!$A:$W,MATCH($C570&amp;$I570&amp;$H570&amp;$N570&amp;$O570,APOIO_REDES!$W:$W,0),MATCH(AY$5,APOIO_REDES!$5:$5,0)),0)*$AP570,0)</f>
        <v>11.5527947035795</v>
      </c>
      <c r="AZ570" s="153" t="n">
        <f aca="false">IFERROR(IF($N570="VCA",INDEX(APOIO_REDES!$A:$W,MATCH($C570&amp;$I570&amp;$H570&amp;$N570&amp;$O570,APOIO_REDES!$W:$W,0),MATCH(AZ$5,APOIO_REDES!$5:$5,0)),0)*$AP570,0)</f>
        <v>1.59887339954031</v>
      </c>
      <c r="BA570" s="153" t="n">
        <f aca="false">IFERROR(IF(AND($N570="VCA",$Q570="LINEAR"),INDEX(APOIO_REDES!$A:$W,MATCH($C570&amp;$I570&amp;$H570&amp;$N570&amp;$O570,APOIO_REDES!$W:$W,0),MATCH(BA$5,APOIO_REDES!$5:$5,0)),IF(AND($N570="MND",$Q570="EMBOQUE"),INDEX(APOIO_REDES!$A:$W,MATCH($C570&amp;$I570&amp;$H570&amp;$N570&amp;$O570,APOIO_REDES!$W:$W,0),MATCH(BA$5,APOIO_REDES!$5:$5,0)),0))*$M570/10,0)</f>
        <v>6.04803471758671</v>
      </c>
      <c r="BB570" s="153" t="n">
        <f aca="false">IFERROR(IF($N570="VCA",INDEX(APOIO_REDES!$A:$W,MATCH($C570&amp;$I570&amp;$H570&amp;$N570&amp;$O570,APOIO_REDES!$W:$W,0),MATCH(BB$5,APOIO_REDES!$5:$5,0)),0)*($AI570+$AQ570+$AR570),0)</f>
        <v>22.337575142248</v>
      </c>
      <c r="BC570" s="153" t="n">
        <f aca="false">IFERROR(IF($N570="VCA",INDEX(APOIO_REDES!$A:$W,MATCH($C570&amp;$I570&amp;$H570&amp;$N570&amp;$O570,APOIO_REDES!$W:$W,0),MATCH(BC$5,APOIO_REDES!$5:$5,0)),0)*($AI570+$AQ570+$AR570),0)</f>
        <v>0.245712857752048</v>
      </c>
      <c r="BD570" s="153" t="n">
        <f aca="false">IF(AND($N570="VCA",$AF570&gt;=1.25,$AF570&lt;1.5),$M570*$AF570*2,0)</f>
        <v>204.55904</v>
      </c>
      <c r="BE570" s="153" t="n">
        <f aca="false">IF(AND($N570="VCA",$AF570&gt;=1.5,$AF570&lt;3),$M570*$AF570*2,0)</f>
        <v>0</v>
      </c>
      <c r="BF570" s="153" t="n">
        <f aca="false">IF(AND($N570="VCA",$AF570&gt;=3),$M570*$AF570*2,0)</f>
        <v>0</v>
      </c>
      <c r="BG570" s="153" t="n">
        <f aca="false">($BB570+$BC570)*$AK570</f>
        <v>88.0748232</v>
      </c>
      <c r="BH570" s="153" t="n">
        <f aca="false">IF(AND($M570&lt;&gt;"",$N570="VCA",$Q570="LINEAR"),($M570*2)/100,IF(AND($M570&lt;&gt;"",$N570="MND",$Q570="EMBOQUE"),($AN570*2)/100,0))</f>
        <v>1.5008</v>
      </c>
      <c r="BI570" s="153" t="n">
        <f aca="false">IF(AND($M570&lt;&gt;"",$N570="VCA",$Q570="LINEAR"),$M570,IF(AND($M570&lt;&gt;"",$N570="MND",$Q570="EMBOQUE"),$AN570*2,0))</f>
        <v>75.04</v>
      </c>
      <c r="BJ570" s="153" t="n">
        <f aca="false">IF(AND($M570&lt;&gt;"",$N570="VCA",$Q570="LINEAR"),($M570*6.8)/100,IF(AND($M570&lt;&gt;"",$N570="MND",$Q570="EMBOQUE"),($AN570*2*6.8)/100,0))</f>
        <v>5.10272</v>
      </c>
      <c r="BK570" s="153" t="n">
        <f aca="false">IF(AND($M570&lt;&gt;"",$N570="VCA",$Q570="LINEAR"),($M570*2.5)/50,IF(AND($M570&lt;&gt;"",$N570="MND",$Q570="EMBOQUE"),($AN570*2*2.5)/50,0))</f>
        <v>3.752</v>
      </c>
      <c r="BL570" s="157" t="str">
        <f aca="false">K570&amp;J570</f>
        <v>Zona05REDES</v>
      </c>
      <c r="BM570" s="152" t="s">
        <v>3356</v>
      </c>
      <c r="BN570" s="152" t="s">
        <v>1560</v>
      </c>
      <c r="BO570" s="152" t="s">
        <v>3688</v>
      </c>
      <c r="BP570" s="152" t="s">
        <v>3710</v>
      </c>
      <c r="BQ570" s="152" t="s">
        <v>2032</v>
      </c>
      <c r="BR570" s="152" t="s">
        <v>3711</v>
      </c>
      <c r="BS570" s="152" t="n">
        <v>203253.842</v>
      </c>
      <c r="BT570" s="152" t="n">
        <v>8237465.867</v>
      </c>
      <c r="BU570" s="152" t="n">
        <v>203220.061</v>
      </c>
      <c r="BV570" s="152" t="n">
        <v>8237403.308</v>
      </c>
      <c r="BW570" s="152" t="n">
        <v>-15.9245978</v>
      </c>
      <c r="BX570" s="152" t="n">
        <v>-47.7717425</v>
      </c>
      <c r="BY570" s="152" t="s">
        <v>3710</v>
      </c>
    </row>
    <row r="571" customFormat="false" ht="13.8" hidden="false" customHeight="false" outlineLevel="0" collapsed="false">
      <c r="A571" s="149" t="n">
        <f aca="false">IF(C571&lt;&gt;"",ROW(A566),"")</f>
        <v>566</v>
      </c>
      <c r="B571" s="150" t="str">
        <f aca="false">HYPERLINK("https://www.google.com/maps/dir/-15.917302,-47.760003/-15.9248611,-47.7679322/data=!4m3!4m2!3e0!5i2")</f>
        <v>https://www.google.com/maps/dir/-15.917302,-47.760003/-15.9248611,-47.7679322/data=!4m3!4m2!3e0!5i2</v>
      </c>
      <c r="C571" s="151" t="s">
        <v>117</v>
      </c>
      <c r="D571" s="152" t="s">
        <v>112</v>
      </c>
      <c r="E571" s="152" t="s">
        <v>113</v>
      </c>
      <c r="F571" s="152" t="s">
        <v>117</v>
      </c>
      <c r="G571" s="152" t="s">
        <v>782</v>
      </c>
      <c r="H571" s="152" t="n">
        <v>63</v>
      </c>
      <c r="I571" s="152" t="s">
        <v>115</v>
      </c>
      <c r="J571" s="152" t="s">
        <v>6</v>
      </c>
      <c r="K571" s="152" t="s">
        <v>3352</v>
      </c>
      <c r="L571" s="152" t="s">
        <v>120</v>
      </c>
      <c r="M571" s="153" t="n">
        <f aca="false">59.87+4</f>
        <v>63.87</v>
      </c>
      <c r="N571" s="152" t="s">
        <v>1548</v>
      </c>
      <c r="O571" s="152" t="s">
        <v>1549</v>
      </c>
      <c r="P571" s="152" t="s">
        <v>1550</v>
      </c>
      <c r="Q571" s="152" t="s">
        <v>1551</v>
      </c>
      <c r="R571" s="154" t="s">
        <v>3712</v>
      </c>
      <c r="S571" s="154" t="s">
        <v>1553</v>
      </c>
      <c r="T571" s="155" t="s">
        <v>3685</v>
      </c>
      <c r="U571" s="152" t="str">
        <f aca="false">RIGHT(T571,7)</f>
        <v>012/037</v>
      </c>
      <c r="V571" s="152" t="s">
        <v>1555</v>
      </c>
      <c r="W571" s="156" t="n">
        <v>45882</v>
      </c>
      <c r="X571" s="152" t="s">
        <v>1594</v>
      </c>
      <c r="Y571" s="152" t="s">
        <v>3704</v>
      </c>
      <c r="Z571" s="152" t="s">
        <v>1557</v>
      </c>
      <c r="AA571" s="153" t="n">
        <v>3.4</v>
      </c>
      <c r="AB571" s="151" t="s">
        <v>3713</v>
      </c>
      <c r="AC571" s="151" t="s">
        <v>186</v>
      </c>
      <c r="AD571" s="151" t="str">
        <f aca="false">CONCATENATE($C571,$I571,$H571,$N571,$J571,$K571)</f>
        <v>TUBO PEADPEAD63VCAREDESZona05</v>
      </c>
      <c r="AE571" s="153" t="n">
        <f aca="false">IFERROR(INDEX(APOIO_REDES!$A:$W,MATCH($C571&amp;$I571&amp;$H571&amp;$N571&amp;$O571,APOIO_REDES!$W:$W,0),MATCH(AE$5,APOIO_REDES!$5:$5,0)),0)</f>
        <v>1.2</v>
      </c>
      <c r="AF571" s="153" t="n">
        <f aca="false">IFERROR(INDEX(APOIO_REDES!$A:$W,MATCH($C571&amp;$I571&amp;$H571&amp;$N571&amp;$O571,APOIO_REDES!$W:$W,0),MATCH(AF$5,APOIO_REDES!$5:$5,0)),0)</f>
        <v>1.363</v>
      </c>
      <c r="AG571" s="153" t="n">
        <f aca="false">IFERROR(INDEX(APOIO_REDES!$A:$W,MATCH($C571&amp;$I571&amp;$H571&amp;$N571&amp;$O571,APOIO_REDES!$W:$W,0),MATCH(AG$5,APOIO_REDES!$5:$5,0)),0)</f>
        <v>0.65</v>
      </c>
      <c r="AH571" s="153" t="n">
        <f aca="false">IFERROR(INDEX(APOIO_REDES!$A:$W,MATCH($C571&amp;$I571&amp;$H571&amp;$N571&amp;$O571,APOIO_REDES!$W:$W,0),MATCH(AH$5,APOIO_REDES!$5:$5,0)),0)</f>
        <v>0.1</v>
      </c>
      <c r="AI571" s="153" t="n">
        <f aca="false">IFERROR(IF($H571&lt;&gt;"",(((($H571/1000)/2)^2)*PI()*$M571),0),0)</f>
        <v>0.199098457983198</v>
      </c>
      <c r="AJ571" s="153" t="n">
        <f aca="false">IFERROR(IF(AND($H571&lt;&gt;"",$I571="FoFo",OR($N571="MND",$N571="VCA"),$Q571="LINEAR"),0,IF(AND($H571&lt;&gt;"",$I571="PEAD",$N571="VCA",$Q571="LINEAR"),($H571/1000)+0.3,IF(AND($H571&lt;&gt;"",$I571="PEAD",$N571="MND",$Q571="EMBOQUE"),0,IF(AND($H571&lt;&gt;"",$I571="PVC",$N571="VCA",$Q571="LINEAR"),($H571/1000)+0.2,IF(AND($H571&lt;&gt;"",$I571="PVC",$N571="MND",$Q571="EMBOQUE"),0,IF(AND($H571&lt;&gt;"",$I571="PEAD",$N571="VCA",$Q571="PREDIAL"),0,0)))))),0)</f>
        <v>0.363</v>
      </c>
      <c r="AK571" s="153" t="n">
        <f aca="false">IF(AA571&lt;&gt;"",AA571,0)</f>
        <v>3.4</v>
      </c>
      <c r="AL571" s="153" t="n">
        <f aca="false">IF(AND($N571="MND",$Q571="EMBOQUE"),$M571,IF(AND($N571="VCA",$Q571="LINEAR"),$M571,IF(AND($N571="VCA",$Q571="PREDIAL"),0,0)))</f>
        <v>63.87</v>
      </c>
      <c r="AM571" s="153" t="n">
        <f aca="false">IF(AND($N571="MND",$Q571="EMBOQUE"),$M571,IF(AND($N571="VCA",$Q571="LINEAR"),$M571,IF(AND($N571="VCA",$Q571="PREDIAL"),0,0)))</f>
        <v>63.87</v>
      </c>
      <c r="AN571" s="153" t="n">
        <f aca="false">ROUND(IF(AND($N571="VCA",$M571&lt;&gt;"",$Q571="LINEAR"),$M571/100,IF(AND($N571="MND",$M571&gt;100,$Q571="EMBOQUE"),$M571/100,0)),0)</f>
        <v>1</v>
      </c>
      <c r="AO571" s="153" t="n">
        <f aca="false">IF(AND($N571="MND",$Q571="EMBOQUE"),$AN571*2*2,IF(AND($N571="VCA",$Q571="LINEAR"),$M571*2,IF(AND($N571="VCA",$Q571="PREDIAL"),0,0)))</f>
        <v>127.74</v>
      </c>
      <c r="AP571" s="153" t="n">
        <f aca="false">IFERROR($M571*$AF571*$AG571,0)</f>
        <v>56.5856265</v>
      </c>
      <c r="AQ571" s="153" t="n">
        <f aca="false">IFERROR(IF(AND($N571="VCA",$AH571&gt;0),$M571*$AG571*$AH571,0),0)</f>
        <v>4.15155</v>
      </c>
      <c r="AR571" s="153" t="n">
        <f aca="false">IFERROR(IF(AND($N571="VCA",$AJ571&gt;0),($M571*$AG571*$AJ571)-$AI571,0),0)</f>
        <v>14.8710280420168</v>
      </c>
      <c r="AS571" s="153" t="n">
        <f aca="false">IFERROR(IF(AND($N571="VCA",$AP571&gt;0),$AP571-$AI571-$AQ571-$AR571,0),0)</f>
        <v>37.36395</v>
      </c>
      <c r="AT571" s="153" t="n">
        <f aca="false">IFERROR(IF($N571="VCA",INDEX(APOIO_REDES!$A:$W,MATCH($C571&amp;$I571&amp;$H571&amp;$N571&amp;$O571,APOIO_REDES!$W:$W,0),MATCH(AT$5,APOIO_REDES!$5:$5,0)),0)*$AP571,0)</f>
        <v>0.615668364810519</v>
      </c>
      <c r="AU571" s="153" t="n">
        <f aca="false">IFERROR(IF($N571="VCA",INDEX(APOIO_REDES!$A:$W,MATCH($C571&amp;$I571&amp;$H571&amp;$N571&amp;$O571,APOIO_REDES!$W:$W,0),MATCH(AU$5,APOIO_REDES!$5:$5,0)),0)*$AP571,0)</f>
        <v>0.491656081723704</v>
      </c>
      <c r="AV571" s="153" t="n">
        <f aca="false">IFERROR(IF($N571="VCA",INDEX(APOIO_REDES!$A:$W,MATCH($C571&amp;$I571&amp;$H571&amp;$N571&amp;$O571,APOIO_REDES!$W:$W,0),MATCH(AV$5,APOIO_REDES!$5:$5,0)),0)*$AP571,0)</f>
        <v>0.0680413420589896</v>
      </c>
      <c r="AW571" s="153" t="n">
        <f aca="false">IFERROR(IF($N571="VCA",INDEX(APOIO_REDES!$A:$W,MATCH($C571&amp;$I571&amp;$H571&amp;$N571&amp;$O571,APOIO_REDES!$W:$W,0),MATCH(AW$5,APOIO_REDES!$5:$5,0)),0)*$AP571,0)</f>
        <v>38.8408124764293</v>
      </c>
      <c r="AX571" s="153" t="n">
        <f aca="false">IFERROR(IF($N571="VCA",INDEX(APOIO_REDES!$A:$W,MATCH($C571&amp;$I571&amp;$H571&amp;$N571&amp;$O571,APOIO_REDES!$W:$W,0),MATCH(AX$5,APOIO_REDES!$5:$5,0)),0)*$AP571,0)</f>
        <v>5.37545780658917</v>
      </c>
      <c r="AY571" s="153" t="n">
        <f aca="false">IFERROR(IF($N571="VCA",INDEX(APOIO_REDES!$A:$W,MATCH($C571&amp;$I571&amp;$H571&amp;$N571&amp;$O571,APOIO_REDES!$W:$W,0),MATCH(AY$5,APOIO_REDES!$5:$5,0)),0)*$AP571,0)</f>
        <v>9.8331156412263</v>
      </c>
      <c r="AZ571" s="153" t="n">
        <f aca="false">IFERROR(IF($N571="VCA",INDEX(APOIO_REDES!$A:$W,MATCH($C571&amp;$I571&amp;$H571&amp;$N571&amp;$O571,APOIO_REDES!$W:$W,0),MATCH(AZ$5,APOIO_REDES!$5:$5,0)),0)*$AP571,0)</f>
        <v>1.36087478716204</v>
      </c>
      <c r="BA571" s="153" t="n">
        <f aca="false">IFERROR(IF(AND($N571="VCA",$Q571="LINEAR"),INDEX(APOIO_REDES!$A:$W,MATCH($C571&amp;$I571&amp;$H571&amp;$N571&amp;$O571,APOIO_REDES!$W:$W,0),MATCH(BA$5,APOIO_REDES!$5:$5,0)),IF(AND($N571="MND",$Q571="EMBOQUE"),INDEX(APOIO_REDES!$A:$W,MATCH($C571&amp;$I571&amp;$H571&amp;$N571&amp;$O571,APOIO_REDES!$W:$W,0),MATCH(BA$5,APOIO_REDES!$5:$5,0)),0))*$M571/10,0)</f>
        <v>5.14776089302057</v>
      </c>
      <c r="BB571" s="153" t="n">
        <f aca="false">IFERROR(IF($N571="VCA",INDEX(APOIO_REDES!$A:$W,MATCH($C571&amp;$I571&amp;$H571&amp;$N571&amp;$O571,APOIO_REDES!$W:$W,0),MATCH(BB$5,APOIO_REDES!$5:$5,0)),0)*($AI571+$AQ571+$AR571),0)</f>
        <v>19.0125389703542</v>
      </c>
      <c r="BC571" s="153" t="n">
        <f aca="false">IFERROR(IF($N571="VCA",INDEX(APOIO_REDES!$A:$W,MATCH($C571&amp;$I571&amp;$H571&amp;$N571&amp;$O571,APOIO_REDES!$W:$W,0),MATCH(BC$5,APOIO_REDES!$5:$5,0)),0)*($AI571+$AQ571+$AR571),0)</f>
        <v>0.209137529645833</v>
      </c>
      <c r="BD571" s="153" t="n">
        <f aca="false">IF(AND($N571="VCA",$AF571&gt;=1.25,$AF571&lt;1.5),$M571*$AF571*2,0)</f>
        <v>174.10962</v>
      </c>
      <c r="BE571" s="153" t="n">
        <f aca="false">IF(AND($N571="VCA",$AF571&gt;=1.5,$AF571&lt;3),$M571*$AF571*2,0)</f>
        <v>0</v>
      </c>
      <c r="BF571" s="153" t="n">
        <f aca="false">IF(AND($N571="VCA",$AF571&gt;=3),$M571*$AF571*2,0)</f>
        <v>0</v>
      </c>
      <c r="BG571" s="153" t="n">
        <f aca="false">($BB571+$BC571)*$AK571</f>
        <v>65.3537001</v>
      </c>
      <c r="BH571" s="153" t="n">
        <f aca="false">IF(AND($M571&lt;&gt;"",$N571="VCA",$Q571="LINEAR"),($M571*2)/100,IF(AND($M571&lt;&gt;"",$N571="MND",$Q571="EMBOQUE"),($AN571*2)/100,0))</f>
        <v>1.2774</v>
      </c>
      <c r="BI571" s="153" t="n">
        <f aca="false">IF(AND($M571&lt;&gt;"",$N571="VCA",$Q571="LINEAR"),$M571,IF(AND($M571&lt;&gt;"",$N571="MND",$Q571="EMBOQUE"),$AN571*2,0))</f>
        <v>63.87</v>
      </c>
      <c r="BJ571" s="153" t="n">
        <f aca="false">IF(AND($M571&lt;&gt;"",$N571="VCA",$Q571="LINEAR"),($M571*6.8)/100,IF(AND($M571&lt;&gt;"",$N571="MND",$Q571="EMBOQUE"),($AN571*2*6.8)/100,0))</f>
        <v>4.34316</v>
      </c>
      <c r="BK571" s="153" t="n">
        <f aca="false">IF(AND($M571&lt;&gt;"",$N571="VCA",$Q571="LINEAR"),($M571*2.5)/50,IF(AND($M571&lt;&gt;"",$N571="MND",$Q571="EMBOQUE"),($AN571*2*2.5)/50,0))</f>
        <v>3.1935</v>
      </c>
      <c r="BL571" s="157" t="str">
        <f aca="false">K571&amp;J571</f>
        <v>Zona05REDES</v>
      </c>
      <c r="BM571" s="152" t="s">
        <v>3356</v>
      </c>
      <c r="BN571" s="152" t="s">
        <v>1560</v>
      </c>
      <c r="BO571" s="152" t="s">
        <v>3688</v>
      </c>
      <c r="BP571" s="152" t="s">
        <v>3714</v>
      </c>
      <c r="BQ571" s="152" t="s">
        <v>3693</v>
      </c>
      <c r="BR571" s="152" t="s">
        <v>3715</v>
      </c>
      <c r="BS571" s="152" t="n">
        <v>203645.571</v>
      </c>
      <c r="BT571" s="152" t="n">
        <v>8237410.851</v>
      </c>
      <c r="BU571" s="152" t="n">
        <v>203694.156</v>
      </c>
      <c r="BV571" s="152" t="n">
        <v>8237438.701</v>
      </c>
      <c r="BW571" s="152" t="n">
        <v>-15.9246678</v>
      </c>
      <c r="BX571" s="152" t="n">
        <v>-47.7677415</v>
      </c>
      <c r="BY571" s="152" t="s">
        <v>3714</v>
      </c>
    </row>
    <row r="572" customFormat="false" ht="13.8" hidden="false" customHeight="false" outlineLevel="0" collapsed="false">
      <c r="A572" s="149" t="n">
        <f aca="false">IF(C572&lt;&gt;"",ROW(A567),"")</f>
        <v>567</v>
      </c>
      <c r="B572" s="150" t="str">
        <f aca="false">HYPERLINK("https://www.google.com/maps/dir/-15.917302,-47.760003/-15.9253497,-47.7675548/data=!4m3!4m2!3e0!5i2")</f>
        <v>https://www.google.com/maps/dir/-15.917302,-47.760003/-15.9253497,-47.7675548/data=!4m3!4m2!3e0!5i2</v>
      </c>
      <c r="C572" s="151" t="s">
        <v>117</v>
      </c>
      <c r="D572" s="152" t="s">
        <v>112</v>
      </c>
      <c r="E572" s="152" t="s">
        <v>113</v>
      </c>
      <c r="F572" s="152" t="s">
        <v>117</v>
      </c>
      <c r="G572" s="152" t="s">
        <v>782</v>
      </c>
      <c r="H572" s="152" t="n">
        <v>63</v>
      </c>
      <c r="I572" s="152" t="s">
        <v>115</v>
      </c>
      <c r="J572" s="152" t="s">
        <v>6</v>
      </c>
      <c r="K572" s="152" t="s">
        <v>3352</v>
      </c>
      <c r="L572" s="152" t="s">
        <v>120</v>
      </c>
      <c r="M572" s="153" t="n">
        <f aca="false">297.57</f>
        <v>297.57</v>
      </c>
      <c r="N572" s="152" t="s">
        <v>1548</v>
      </c>
      <c r="O572" s="152" t="s">
        <v>1549</v>
      </c>
      <c r="P572" s="152" t="s">
        <v>1550</v>
      </c>
      <c r="Q572" s="152" t="s">
        <v>1551</v>
      </c>
      <c r="R572" s="154" t="s">
        <v>3716</v>
      </c>
      <c r="S572" s="154" t="s">
        <v>1553</v>
      </c>
      <c r="T572" s="155" t="s">
        <v>3685</v>
      </c>
      <c r="U572" s="152" t="str">
        <f aca="false">RIGHT(T572,7)</f>
        <v>012/037</v>
      </c>
      <c r="V572" s="152" t="s">
        <v>1555</v>
      </c>
      <c r="W572" s="156" t="n">
        <v>45882</v>
      </c>
      <c r="X572" s="152" t="s">
        <v>1594</v>
      </c>
      <c r="Y572" s="152" t="s">
        <v>3499</v>
      </c>
      <c r="Z572" s="152" t="s">
        <v>1557</v>
      </c>
      <c r="AA572" s="153" t="n">
        <v>3.2</v>
      </c>
      <c r="AB572" s="151" t="s">
        <v>3717</v>
      </c>
      <c r="AC572" s="151" t="s">
        <v>186</v>
      </c>
      <c r="AD572" s="151" t="str">
        <f aca="false">CONCATENATE($C572,$I572,$H572,$N572,$J572,$K572)</f>
        <v>TUBO PEADPEAD63VCAREDESZona05</v>
      </c>
      <c r="AE572" s="153" t="n">
        <f aca="false">IFERROR(INDEX(APOIO_REDES!$A:$W,MATCH($C572&amp;$I572&amp;$H572&amp;$N572&amp;$O572,APOIO_REDES!$W:$W,0),MATCH(AE$5,APOIO_REDES!$5:$5,0)),0)</f>
        <v>1.2</v>
      </c>
      <c r="AF572" s="153" t="n">
        <f aca="false">IFERROR(INDEX(APOIO_REDES!$A:$W,MATCH($C572&amp;$I572&amp;$H572&amp;$N572&amp;$O572,APOIO_REDES!$W:$W,0),MATCH(AF$5,APOIO_REDES!$5:$5,0)),0)</f>
        <v>1.363</v>
      </c>
      <c r="AG572" s="153" t="n">
        <f aca="false">IFERROR(INDEX(APOIO_REDES!$A:$W,MATCH($C572&amp;$I572&amp;$H572&amp;$N572&amp;$O572,APOIO_REDES!$W:$W,0),MATCH(AG$5,APOIO_REDES!$5:$5,0)),0)</f>
        <v>0.65</v>
      </c>
      <c r="AH572" s="153" t="n">
        <f aca="false">IFERROR(INDEX(APOIO_REDES!$A:$W,MATCH($C572&amp;$I572&amp;$H572&amp;$N572&amp;$O572,APOIO_REDES!$W:$W,0),MATCH(AH$5,APOIO_REDES!$5:$5,0)),0)</f>
        <v>0.1</v>
      </c>
      <c r="AI572" s="153" t="n">
        <f aca="false">IFERROR(IF($H572&lt;&gt;"",(((($H572/1000)/2)^2)*PI()*$M572),0),0)</f>
        <v>0.927598687052767</v>
      </c>
      <c r="AJ572" s="153" t="n">
        <f aca="false">IFERROR(IF(AND($H572&lt;&gt;"",$I572="FoFo",OR($N572="MND",$N572="VCA"),$Q572="LINEAR"),0,IF(AND($H572&lt;&gt;"",$I572="PEAD",$N572="VCA",$Q572="LINEAR"),($H572/1000)+0.3,IF(AND($H572&lt;&gt;"",$I572="PEAD",$N572="MND",$Q572="EMBOQUE"),0,IF(AND($H572&lt;&gt;"",$I572="PVC",$N572="VCA",$Q572="LINEAR"),($H572/1000)+0.2,IF(AND($H572&lt;&gt;"",$I572="PVC",$N572="MND",$Q572="EMBOQUE"),0,IF(AND($H572&lt;&gt;"",$I572="PEAD",$N572="VCA",$Q572="PREDIAL"),0,0)))))),0)</f>
        <v>0.363</v>
      </c>
      <c r="AK572" s="153" t="n">
        <f aca="false">IF(AA572&lt;&gt;"",AA572,0)</f>
        <v>3.2</v>
      </c>
      <c r="AL572" s="153" t="n">
        <f aca="false">IF(AND($N572="MND",$Q572="EMBOQUE"),$M572,IF(AND($N572="VCA",$Q572="LINEAR"),$M572,IF(AND($N572="VCA",$Q572="PREDIAL"),0,0)))</f>
        <v>297.57</v>
      </c>
      <c r="AM572" s="153" t="n">
        <f aca="false">IF(AND($N572="MND",$Q572="EMBOQUE"),$M572,IF(AND($N572="VCA",$Q572="LINEAR"),$M572,IF(AND($N572="VCA",$Q572="PREDIAL"),0,0)))</f>
        <v>297.57</v>
      </c>
      <c r="AN572" s="153" t="n">
        <f aca="false">ROUND(IF(AND($N572="VCA",$M572&lt;&gt;"",$Q572="LINEAR"),$M572/100,IF(AND($N572="MND",$M572&gt;100,$Q572="EMBOQUE"),$M572/100,0)),0)</f>
        <v>3</v>
      </c>
      <c r="AO572" s="153" t="n">
        <f aca="false">IF(AND($N572="MND",$Q572="EMBOQUE"),$AN572*2*2,IF(AND($N572="VCA",$Q572="LINEAR"),$M572*2,IF(AND($N572="VCA",$Q572="PREDIAL"),0,0)))</f>
        <v>595.14</v>
      </c>
      <c r="AP572" s="153" t="n">
        <f aca="false">IFERROR($M572*$AF572*$AG572,0)</f>
        <v>263.6321415</v>
      </c>
      <c r="AQ572" s="153" t="n">
        <f aca="false">IFERROR(IF(AND($N572="VCA",$AH572&gt;0),$M572*$AG572*$AH572,0),0)</f>
        <v>19.34205</v>
      </c>
      <c r="AR572" s="153" t="n">
        <f aca="false">IFERROR(IF(AND($N572="VCA",$AJ572&gt;0),($M572*$AG572*$AJ572)-$AI572,0),0)</f>
        <v>69.2840428129472</v>
      </c>
      <c r="AS572" s="153" t="n">
        <f aca="false">IFERROR(IF(AND($N572="VCA",$AP572&gt;0),$AP572-$AI572-$AQ572-$AR572,0),0)</f>
        <v>174.07845</v>
      </c>
      <c r="AT572" s="153" t="n">
        <f aca="false">IFERROR(IF($N572="VCA",INDEX(APOIO_REDES!$A:$W,MATCH($C572&amp;$I572&amp;$H572&amp;$N572&amp;$O572,APOIO_REDES!$W:$W,0),MATCH(AT$5,APOIO_REDES!$5:$5,0)),0)*$AP572,0)</f>
        <v>2.86839573065079</v>
      </c>
      <c r="AU572" s="153" t="n">
        <f aca="false">IFERROR(IF($N572="VCA",INDEX(APOIO_REDES!$A:$W,MATCH($C572&amp;$I572&amp;$H572&amp;$N572&amp;$O572,APOIO_REDES!$W:$W,0),MATCH(AU$5,APOIO_REDES!$5:$5,0)),0)*$AP572,0)</f>
        <v>2.29062314448916</v>
      </c>
      <c r="AV572" s="153" t="n">
        <f aca="false">IFERROR(IF($N572="VCA",INDEX(APOIO_REDES!$A:$W,MATCH($C572&amp;$I572&amp;$H572&amp;$N572&amp;$O572,APOIO_REDES!$W:$W,0),MATCH(AV$5,APOIO_REDES!$5:$5,0)),0)*$AP572,0)</f>
        <v>0.317004261100572</v>
      </c>
      <c r="AW572" s="153" t="n">
        <f aca="false">IFERROR(IF($N572="VCA",INDEX(APOIO_REDES!$A:$W,MATCH($C572&amp;$I572&amp;$H572&amp;$N572&amp;$O572,APOIO_REDES!$W:$W,0),MATCH(AW$5,APOIO_REDES!$5:$5,0)),0)*$AP572,0)</f>
        <v>180.959144647112</v>
      </c>
      <c r="AX572" s="153" t="n">
        <f aca="false">IFERROR(IF($N572="VCA",INDEX(APOIO_REDES!$A:$W,MATCH($C572&amp;$I572&amp;$H572&amp;$N572&amp;$O572,APOIO_REDES!$W:$W,0),MATCH(AX$5,APOIO_REDES!$5:$5,0)),0)*$AP572,0)</f>
        <v>25.0442301472795</v>
      </c>
      <c r="AY572" s="153" t="n">
        <f aca="false">IFERROR(IF($N572="VCA",INDEX(APOIO_REDES!$A:$W,MATCH($C572&amp;$I572&amp;$H572&amp;$N572&amp;$O572,APOIO_REDES!$W:$W,0),MATCH(AY$5,APOIO_REDES!$5:$5,0)),0)*$AP572,0)</f>
        <v>45.8124349672727</v>
      </c>
      <c r="AZ572" s="153" t="n">
        <f aca="false">IFERROR(IF($N572="VCA",INDEX(APOIO_REDES!$A:$W,MATCH($C572&amp;$I572&amp;$H572&amp;$N572&amp;$O572,APOIO_REDES!$W:$W,0),MATCH(AZ$5,APOIO_REDES!$5:$5,0)),0)*$AP572,0)</f>
        <v>6.34030860209501</v>
      </c>
      <c r="BA572" s="153" t="n">
        <f aca="false">IFERROR(IF(AND($N572="VCA",$Q572="LINEAR"),INDEX(APOIO_REDES!$A:$W,MATCH($C572&amp;$I572&amp;$H572&amp;$N572&amp;$O572,APOIO_REDES!$W:$W,0),MATCH(BA$5,APOIO_REDES!$5:$5,0)),IF(AND($N572="MND",$Q572="EMBOQUE"),INDEX(APOIO_REDES!$A:$W,MATCH($C572&amp;$I572&amp;$H572&amp;$N572&amp;$O572,APOIO_REDES!$W:$W,0),MATCH(BA$5,APOIO_REDES!$5:$5,0)),0))*$M572/10,0)</f>
        <v>23.9833914034152</v>
      </c>
      <c r="BB572" s="153" t="n">
        <f aca="false">IFERROR(IF($N572="VCA",INDEX(APOIO_REDES!$A:$W,MATCH($C572&amp;$I572&amp;$H572&amp;$N572&amp;$O572,APOIO_REDES!$W:$W,0),MATCH(BB$5,APOIO_REDES!$5:$5,0)),0)*($AI572+$AQ572+$AR572),0)</f>
        <v>88.5793208299403</v>
      </c>
      <c r="BC572" s="153" t="n">
        <f aca="false">IFERROR(IF($N572="VCA",INDEX(APOIO_REDES!$A:$W,MATCH($C572&amp;$I572&amp;$H572&amp;$N572&amp;$O572,APOIO_REDES!$W:$W,0),MATCH(BC$5,APOIO_REDES!$5:$5,0)),0)*($AI572+$AQ572+$AR572),0)</f>
        <v>0.974370670059661</v>
      </c>
      <c r="BD572" s="153" t="n">
        <f aca="false">IF(AND($N572="VCA",$AF572&gt;=1.25,$AF572&lt;1.5),$M572*$AF572*2,0)</f>
        <v>811.17582</v>
      </c>
      <c r="BE572" s="153" t="n">
        <f aca="false">IF(AND($N572="VCA",$AF572&gt;=1.5,$AF572&lt;3),$M572*$AF572*2,0)</f>
        <v>0</v>
      </c>
      <c r="BF572" s="153" t="n">
        <f aca="false">IF(AND($N572="VCA",$AF572&gt;=3),$M572*$AF572*2,0)</f>
        <v>0</v>
      </c>
      <c r="BG572" s="153" t="n">
        <f aca="false">($BB572+$BC572)*$AK572</f>
        <v>286.5718128</v>
      </c>
      <c r="BH572" s="153" t="n">
        <f aca="false">IF(AND($M572&lt;&gt;"",$N572="VCA",$Q572="LINEAR"),($M572*2)/100,IF(AND($M572&lt;&gt;"",$N572="MND",$Q572="EMBOQUE"),($AN572*2)/100,0))</f>
        <v>5.9514</v>
      </c>
      <c r="BI572" s="153" t="n">
        <f aca="false">IF(AND($M572&lt;&gt;"",$N572="VCA",$Q572="LINEAR"),$M572,IF(AND($M572&lt;&gt;"",$N572="MND",$Q572="EMBOQUE"),$AN572*2,0))</f>
        <v>297.57</v>
      </c>
      <c r="BJ572" s="153" t="n">
        <f aca="false">IF(AND($M572&lt;&gt;"",$N572="VCA",$Q572="LINEAR"),($M572*6.8)/100,IF(AND($M572&lt;&gt;"",$N572="MND",$Q572="EMBOQUE"),($AN572*2*6.8)/100,0))</f>
        <v>20.23476</v>
      </c>
      <c r="BK572" s="153" t="n">
        <f aca="false">IF(AND($M572&lt;&gt;"",$N572="VCA",$Q572="LINEAR"),($M572*2.5)/50,IF(AND($M572&lt;&gt;"",$N572="MND",$Q572="EMBOQUE"),($AN572*2*2.5)/50,0))</f>
        <v>14.8785</v>
      </c>
      <c r="BL572" s="157" t="str">
        <f aca="false">K572&amp;J572</f>
        <v>Zona05REDES</v>
      </c>
      <c r="BM572" s="152" t="s">
        <v>3356</v>
      </c>
      <c r="BN572" s="152" t="s">
        <v>1560</v>
      </c>
      <c r="BO572" s="152" t="s">
        <v>3688</v>
      </c>
      <c r="BP572" s="152" t="s">
        <v>3718</v>
      </c>
      <c r="BQ572" s="152" t="s">
        <v>3592</v>
      </c>
      <c r="BR572" s="152" t="s">
        <v>3719</v>
      </c>
      <c r="BS572" s="152" t="n">
        <v>203686.724</v>
      </c>
      <c r="BT572" s="152" t="n">
        <v>8237357.286</v>
      </c>
      <c r="BU572" s="152" t="n">
        <v>203429.122</v>
      </c>
      <c r="BV572" s="152" t="n">
        <v>8237505.714</v>
      </c>
      <c r="BW572" s="152" t="n">
        <v>-15.924673</v>
      </c>
      <c r="BX572" s="152" t="n">
        <v>-47.7687528</v>
      </c>
      <c r="BY572" s="152" t="s">
        <v>3718</v>
      </c>
    </row>
    <row r="573" customFormat="false" ht="13.8" hidden="false" customHeight="false" outlineLevel="0" collapsed="false">
      <c r="A573" s="149" t="n">
        <f aca="false">IF(C573&lt;&gt;"",ROW(A568),"")</f>
        <v>568</v>
      </c>
      <c r="B573" s="150" t="str">
        <f aca="false">HYPERLINK("https://www.google.com/maps/dir/-15.917302,-47.760003/-15.9249887,-47.7706029/data=!4m3!4m2!3e0!5i2")</f>
        <v>https://www.google.com/maps/dir/-15.917302,-47.760003/-15.9249887,-47.7706029/data=!4m3!4m2!3e0!5i2</v>
      </c>
      <c r="C573" s="151" t="s">
        <v>117</v>
      </c>
      <c r="D573" s="152" t="s">
        <v>112</v>
      </c>
      <c r="E573" s="152" t="s">
        <v>113</v>
      </c>
      <c r="F573" s="152" t="s">
        <v>117</v>
      </c>
      <c r="G573" s="152" t="s">
        <v>782</v>
      </c>
      <c r="H573" s="152" t="n">
        <v>63</v>
      </c>
      <c r="I573" s="152" t="s">
        <v>115</v>
      </c>
      <c r="J573" s="152" t="s">
        <v>6</v>
      </c>
      <c r="K573" s="152" t="s">
        <v>3352</v>
      </c>
      <c r="L573" s="152" t="s">
        <v>120</v>
      </c>
      <c r="M573" s="153" t="n">
        <f aca="false">73.7</f>
        <v>73.7</v>
      </c>
      <c r="N573" s="152" t="s">
        <v>1548</v>
      </c>
      <c r="O573" s="152" t="s">
        <v>1549</v>
      </c>
      <c r="P573" s="152" t="s">
        <v>1550</v>
      </c>
      <c r="Q573" s="152" t="s">
        <v>1551</v>
      </c>
      <c r="R573" s="154" t="s">
        <v>3720</v>
      </c>
      <c r="S573" s="154" t="s">
        <v>1553</v>
      </c>
      <c r="T573" s="155" t="s">
        <v>3685</v>
      </c>
      <c r="U573" s="152" t="str">
        <f aca="false">RIGHT(T573,7)</f>
        <v>012/037</v>
      </c>
      <c r="V573" s="152" t="s">
        <v>1555</v>
      </c>
      <c r="W573" s="156" t="n">
        <v>45882</v>
      </c>
      <c r="X573" s="152" t="s">
        <v>1594</v>
      </c>
      <c r="Y573" s="152" t="s">
        <v>3721</v>
      </c>
      <c r="Z573" s="152" t="s">
        <v>1557</v>
      </c>
      <c r="AA573" s="153" t="n">
        <v>3.8</v>
      </c>
      <c r="AB573" s="151" t="s">
        <v>3722</v>
      </c>
      <c r="AC573" s="151" t="s">
        <v>186</v>
      </c>
      <c r="AD573" s="151" t="str">
        <f aca="false">CONCATENATE($C573,$I573,$H573,$N573,$J573,$K573)</f>
        <v>TUBO PEADPEAD63VCAREDESZona05</v>
      </c>
      <c r="AE573" s="153" t="n">
        <f aca="false">IFERROR(INDEX(APOIO_REDES!$A:$W,MATCH($C573&amp;$I573&amp;$H573&amp;$N573&amp;$O573,APOIO_REDES!$W:$W,0),MATCH(AE$5,APOIO_REDES!$5:$5,0)),0)</f>
        <v>1.2</v>
      </c>
      <c r="AF573" s="153" t="n">
        <f aca="false">IFERROR(INDEX(APOIO_REDES!$A:$W,MATCH($C573&amp;$I573&amp;$H573&amp;$N573&amp;$O573,APOIO_REDES!$W:$W,0),MATCH(AF$5,APOIO_REDES!$5:$5,0)),0)</f>
        <v>1.363</v>
      </c>
      <c r="AG573" s="153" t="n">
        <f aca="false">IFERROR(INDEX(APOIO_REDES!$A:$W,MATCH($C573&amp;$I573&amp;$H573&amp;$N573&amp;$O573,APOIO_REDES!$W:$W,0),MATCH(AG$5,APOIO_REDES!$5:$5,0)),0)</f>
        <v>0.65</v>
      </c>
      <c r="AH573" s="153" t="n">
        <f aca="false">IFERROR(INDEX(APOIO_REDES!$A:$W,MATCH($C573&amp;$I573&amp;$H573&amp;$N573&amp;$O573,APOIO_REDES!$W:$W,0),MATCH(AH$5,APOIO_REDES!$5:$5,0)),0)</f>
        <v>0.1</v>
      </c>
      <c r="AI573" s="153" t="n">
        <f aca="false">IFERROR(IF($H573&lt;&gt;"",(((($H573/1000)/2)^2)*PI()*$M573),0),0)</f>
        <v>0.229740979385654</v>
      </c>
      <c r="AJ573" s="153" t="n">
        <f aca="false">IFERROR(IF(AND($H573&lt;&gt;"",$I573="FoFo",OR($N573="MND",$N573="VCA"),$Q573="LINEAR"),0,IF(AND($H573&lt;&gt;"",$I573="PEAD",$N573="VCA",$Q573="LINEAR"),($H573/1000)+0.3,IF(AND($H573&lt;&gt;"",$I573="PEAD",$N573="MND",$Q573="EMBOQUE"),0,IF(AND($H573&lt;&gt;"",$I573="PVC",$N573="VCA",$Q573="LINEAR"),($H573/1000)+0.2,IF(AND($H573&lt;&gt;"",$I573="PVC",$N573="MND",$Q573="EMBOQUE"),0,IF(AND($H573&lt;&gt;"",$I573="PEAD",$N573="VCA",$Q573="PREDIAL"),0,0)))))),0)</f>
        <v>0.363</v>
      </c>
      <c r="AK573" s="153" t="n">
        <f aca="false">IF(AA573&lt;&gt;"",AA573,0)</f>
        <v>3.8</v>
      </c>
      <c r="AL573" s="153" t="n">
        <f aca="false">IF(AND($N573="MND",$Q573="EMBOQUE"),$M573,IF(AND($N573="VCA",$Q573="LINEAR"),$M573,IF(AND($N573="VCA",$Q573="PREDIAL"),0,0)))</f>
        <v>73.7</v>
      </c>
      <c r="AM573" s="153" t="n">
        <f aca="false">IF(AND($N573="MND",$Q573="EMBOQUE"),$M573,IF(AND($N573="VCA",$Q573="LINEAR"),$M573,IF(AND($N573="VCA",$Q573="PREDIAL"),0,0)))</f>
        <v>73.7</v>
      </c>
      <c r="AN573" s="153" t="n">
        <f aca="false">ROUND(IF(AND($N573="VCA",$M573&lt;&gt;"",$Q573="LINEAR"),$M573/100,IF(AND($N573="MND",$M573&gt;100,$Q573="EMBOQUE"),$M573/100,0)),0)</f>
        <v>1</v>
      </c>
      <c r="AO573" s="153" t="n">
        <f aca="false">IF(AND($N573="MND",$Q573="EMBOQUE"),$AN573*2*2,IF(AND($N573="VCA",$Q573="LINEAR"),$M573*2,IF(AND($N573="VCA",$Q573="PREDIAL"),0,0)))</f>
        <v>147.4</v>
      </c>
      <c r="AP573" s="153" t="n">
        <f aca="false">IFERROR($M573*$AF573*$AG573,0)</f>
        <v>65.294515</v>
      </c>
      <c r="AQ573" s="153" t="n">
        <f aca="false">IFERROR(IF(AND($N573="VCA",$AH573&gt;0),$M573*$AG573*$AH573,0),0)</f>
        <v>4.7905</v>
      </c>
      <c r="AR573" s="153" t="n">
        <f aca="false">IFERROR(IF(AND($N573="VCA",$AJ573&gt;0),($M573*$AG573*$AJ573)-$AI573,0),0)</f>
        <v>17.1597740206143</v>
      </c>
      <c r="AS573" s="153" t="n">
        <f aca="false">IFERROR(IF(AND($N573="VCA",$AP573&gt;0),$AP573-$AI573-$AQ573-$AR573,0),0)</f>
        <v>43.1145</v>
      </c>
      <c r="AT573" s="153" t="n">
        <f aca="false">IFERROR(IF($N573="VCA",INDEX(APOIO_REDES!$A:$W,MATCH($C573&amp;$I573&amp;$H573&amp;$N573&amp;$O573,APOIO_REDES!$W:$W,0),MATCH(AT$5,APOIO_REDES!$5:$5,0)),0)*$AP573,0)</f>
        <v>0.710423649389937</v>
      </c>
      <c r="AU573" s="153" t="n">
        <f aca="false">IFERROR(IF($N573="VCA",INDEX(APOIO_REDES!$A:$W,MATCH($C573&amp;$I573&amp;$H573&amp;$N573&amp;$O573,APOIO_REDES!$W:$W,0),MATCH(AU$5,APOIO_REDES!$5:$5,0)),0)*$AP573,0)</f>
        <v>0.567325085690261</v>
      </c>
      <c r="AV573" s="153" t="n">
        <f aca="false">IFERROR(IF($N573="VCA",INDEX(APOIO_REDES!$A:$W,MATCH($C573&amp;$I573&amp;$H573&amp;$N573&amp;$O573,APOIO_REDES!$W:$W,0),MATCH(AV$5,APOIO_REDES!$5:$5,0)),0)*$AP573,0)</f>
        <v>0.0785133381829894</v>
      </c>
      <c r="AW573" s="153" t="n">
        <f aca="false">IFERROR(IF($N573="VCA",INDEX(APOIO_REDES!$A:$W,MATCH($C573&amp;$I573&amp;$H573&amp;$N573&amp;$O573,APOIO_REDES!$W:$W,0),MATCH(AW$5,APOIO_REDES!$5:$5,0)),0)*$AP573,0)</f>
        <v>44.8186610225902</v>
      </c>
      <c r="AX573" s="153" t="n">
        <f aca="false">IFERROR(IF($N573="VCA",INDEX(APOIO_REDES!$A:$W,MATCH($C573&amp;$I573&amp;$H573&amp;$N573&amp;$O573,APOIO_REDES!$W:$W,0),MATCH(AX$5,APOIO_REDES!$5:$5,0)),0)*$AP573,0)</f>
        <v>6.20277501715394</v>
      </c>
      <c r="AY573" s="153" t="n">
        <f aca="false">IFERROR(IF($N573="VCA",INDEX(APOIO_REDES!$A:$W,MATCH($C573&amp;$I573&amp;$H573&amp;$N573&amp;$O573,APOIO_REDES!$W:$W,0),MATCH(AY$5,APOIO_REDES!$5:$5,0)),0)*$AP573,0)</f>
        <v>11.3464947981584</v>
      </c>
      <c r="AZ573" s="153" t="n">
        <f aca="false">IFERROR(IF($N573="VCA",INDEX(APOIO_REDES!$A:$W,MATCH($C573&amp;$I573&amp;$H573&amp;$N573&amp;$O573,APOIO_REDES!$W:$W,0),MATCH(AZ$5,APOIO_REDES!$5:$5,0)),0)*$AP573,0)</f>
        <v>1.57032208883423</v>
      </c>
      <c r="BA573" s="153" t="n">
        <f aca="false">IFERROR(IF(AND($N573="VCA",$Q573="LINEAR"),INDEX(APOIO_REDES!$A:$W,MATCH($C573&amp;$I573&amp;$H573&amp;$N573&amp;$O573,APOIO_REDES!$W:$W,0),MATCH(BA$5,APOIO_REDES!$5:$5,0)),IF(AND($N573="MND",$Q573="EMBOQUE"),INDEX(APOIO_REDES!$A:$W,MATCH($C573&amp;$I573&amp;$H573&amp;$N573&amp;$O573,APOIO_REDES!$W:$W,0),MATCH(BA$5,APOIO_REDES!$5:$5,0)),0))*$M573/10,0)</f>
        <v>5.94003409762981</v>
      </c>
      <c r="BB573" s="153" t="n">
        <f aca="false">IFERROR(IF($N573="VCA",INDEX(APOIO_REDES!$A:$W,MATCH($C573&amp;$I573&amp;$H573&amp;$N573&amp;$O573,APOIO_REDES!$W:$W,0),MATCH(BB$5,APOIO_REDES!$5:$5,0)),0)*($AI573+$AQ573+$AR573),0)</f>
        <v>21.9386898718507</v>
      </c>
      <c r="BC573" s="153" t="n">
        <f aca="false">IFERROR(IF($N573="VCA",INDEX(APOIO_REDES!$A:$W,MATCH($C573&amp;$I573&amp;$H573&amp;$N573&amp;$O573,APOIO_REDES!$W:$W,0),MATCH(BC$5,APOIO_REDES!$5:$5,0)),0)*($AI573+$AQ573+$AR573),0)</f>
        <v>0.241325128149333</v>
      </c>
      <c r="BD573" s="153" t="n">
        <f aca="false">IF(AND($N573="VCA",$AF573&gt;=1.25,$AF573&lt;1.5),$M573*$AF573*2,0)</f>
        <v>200.9062</v>
      </c>
      <c r="BE573" s="153" t="n">
        <f aca="false">IF(AND($N573="VCA",$AF573&gt;=1.5,$AF573&lt;3),$M573*$AF573*2,0)</f>
        <v>0</v>
      </c>
      <c r="BF573" s="153" t="n">
        <f aca="false">IF(AND($N573="VCA",$AF573&gt;=3),$M573*$AF573*2,0)</f>
        <v>0</v>
      </c>
      <c r="BG573" s="153" t="n">
        <f aca="false">($BB573+$BC573)*$AK573</f>
        <v>84.284057</v>
      </c>
      <c r="BH573" s="153" t="n">
        <f aca="false">IF(AND($M573&lt;&gt;"",$N573="VCA",$Q573="LINEAR"),($M573*2)/100,IF(AND($M573&lt;&gt;"",$N573="MND",$Q573="EMBOQUE"),($AN573*2)/100,0))</f>
        <v>1.474</v>
      </c>
      <c r="BI573" s="153" t="n">
        <f aca="false">IF(AND($M573&lt;&gt;"",$N573="VCA",$Q573="LINEAR"),$M573,IF(AND($M573&lt;&gt;"",$N573="MND",$Q573="EMBOQUE"),$AN573*2,0))</f>
        <v>73.7</v>
      </c>
      <c r="BJ573" s="153" t="n">
        <f aca="false">IF(AND($M573&lt;&gt;"",$N573="VCA",$Q573="LINEAR"),($M573*6.8)/100,IF(AND($M573&lt;&gt;"",$N573="MND",$Q573="EMBOQUE"),($AN573*2*6.8)/100,0))</f>
        <v>5.0116</v>
      </c>
      <c r="BK573" s="153" t="n">
        <f aca="false">IF(AND($M573&lt;&gt;"",$N573="VCA",$Q573="LINEAR"),($M573*2.5)/50,IF(AND($M573&lt;&gt;"",$N573="MND",$Q573="EMBOQUE"),($AN573*2*2.5)/50,0))</f>
        <v>3.685</v>
      </c>
      <c r="BL573" s="157" t="str">
        <f aca="false">K573&amp;J573</f>
        <v>Zona05REDES</v>
      </c>
      <c r="BM573" s="152" t="s">
        <v>3356</v>
      </c>
      <c r="BN573" s="152" t="s">
        <v>1560</v>
      </c>
      <c r="BO573" s="152" t="s">
        <v>3688</v>
      </c>
      <c r="BP573" s="152" t="s">
        <v>3723</v>
      </c>
      <c r="BQ573" s="152" t="s">
        <v>3697</v>
      </c>
      <c r="BR573" s="152" t="s">
        <v>3724</v>
      </c>
      <c r="BS573" s="152" t="n">
        <v>203359.626</v>
      </c>
      <c r="BT573" s="152" t="n">
        <v>8237392.922</v>
      </c>
      <c r="BU573" s="152" t="n">
        <v>203393.038</v>
      </c>
      <c r="BV573" s="152" t="n">
        <v>8237458.199</v>
      </c>
      <c r="BW573" s="152" t="n">
        <v>-15.9247007</v>
      </c>
      <c r="BX573" s="152" t="n">
        <v>-47.7704307</v>
      </c>
      <c r="BY573" s="152" t="s">
        <v>3723</v>
      </c>
    </row>
    <row r="574" customFormat="false" ht="13.8" hidden="false" customHeight="false" outlineLevel="0" collapsed="false">
      <c r="A574" s="149" t="n">
        <f aca="false">IF(C574&lt;&gt;"",ROW(A569),"")</f>
        <v>569</v>
      </c>
      <c r="B574" s="150" t="str">
        <f aca="false">HYPERLINK("https://www.google.com/maps/dir/-15.917302,-47.760003/-15.9246237,-47.7723200/data=!4m3!4m2!3e0!5i2")</f>
        <v>https://www.google.com/maps/dir/-15.917302,-47.760003/-15.9246237,-47.7723200/data=!4m3!4m2!3e0!5i2</v>
      </c>
      <c r="C574" s="151" t="s">
        <v>117</v>
      </c>
      <c r="D574" s="152" t="s">
        <v>112</v>
      </c>
      <c r="E574" s="152" t="s">
        <v>113</v>
      </c>
      <c r="F574" s="152" t="s">
        <v>117</v>
      </c>
      <c r="G574" s="152" t="s">
        <v>782</v>
      </c>
      <c r="H574" s="152" t="n">
        <v>63</v>
      </c>
      <c r="I574" s="152" t="s">
        <v>115</v>
      </c>
      <c r="J574" s="152" t="s">
        <v>6</v>
      </c>
      <c r="K574" s="152" t="s">
        <v>3352</v>
      </c>
      <c r="L574" s="152" t="s">
        <v>120</v>
      </c>
      <c r="M574" s="153" t="n">
        <f aca="false">25.32</f>
        <v>25.32</v>
      </c>
      <c r="N574" s="152" t="s">
        <v>1548</v>
      </c>
      <c r="O574" s="152" t="s">
        <v>1549</v>
      </c>
      <c r="P574" s="152" t="s">
        <v>1550</v>
      </c>
      <c r="Q574" s="152" t="s">
        <v>1551</v>
      </c>
      <c r="R574" s="154" t="s">
        <v>3725</v>
      </c>
      <c r="S574" s="154" t="s">
        <v>1553</v>
      </c>
      <c r="T574" s="155" t="s">
        <v>3685</v>
      </c>
      <c r="U574" s="152" t="str">
        <f aca="false">RIGHT(T574,7)</f>
        <v>012/037</v>
      </c>
      <c r="V574" s="152" t="s">
        <v>1555</v>
      </c>
      <c r="W574" s="156" t="n">
        <v>45882</v>
      </c>
      <c r="X574" s="152" t="s">
        <v>1594</v>
      </c>
      <c r="Y574" s="152" t="s">
        <v>3499</v>
      </c>
      <c r="Z574" s="152" t="s">
        <v>1557</v>
      </c>
      <c r="AA574" s="153" t="n">
        <v>3.6</v>
      </c>
      <c r="AB574" s="151" t="s">
        <v>3726</v>
      </c>
      <c r="AC574" s="151" t="s">
        <v>186</v>
      </c>
      <c r="AD574" s="151" t="str">
        <f aca="false">CONCATENATE($C574,$I574,$H574,$N574,$J574,$K574)</f>
        <v>TUBO PEADPEAD63VCAREDESZona05</v>
      </c>
      <c r="AE574" s="153" t="n">
        <f aca="false">IFERROR(INDEX(APOIO_REDES!$A:$W,MATCH($C574&amp;$I574&amp;$H574&amp;$N574&amp;$O574,APOIO_REDES!$W:$W,0),MATCH(AE$5,APOIO_REDES!$5:$5,0)),0)</f>
        <v>1.2</v>
      </c>
      <c r="AF574" s="153" t="n">
        <f aca="false">IFERROR(INDEX(APOIO_REDES!$A:$W,MATCH($C574&amp;$I574&amp;$H574&amp;$N574&amp;$O574,APOIO_REDES!$W:$W,0),MATCH(AF$5,APOIO_REDES!$5:$5,0)),0)</f>
        <v>1.363</v>
      </c>
      <c r="AG574" s="153" t="n">
        <f aca="false">IFERROR(INDEX(APOIO_REDES!$A:$W,MATCH($C574&amp;$I574&amp;$H574&amp;$N574&amp;$O574,APOIO_REDES!$W:$W,0),MATCH(AG$5,APOIO_REDES!$5:$5,0)),0)</f>
        <v>0.65</v>
      </c>
      <c r="AH574" s="153" t="n">
        <f aca="false">IFERROR(INDEX(APOIO_REDES!$A:$W,MATCH($C574&amp;$I574&amp;$H574&amp;$N574&amp;$O574,APOIO_REDES!$W:$W,0),MATCH(AH$5,APOIO_REDES!$5:$5,0)),0)</f>
        <v>0.1</v>
      </c>
      <c r="AI574" s="153" t="n">
        <f aca="false">IFERROR(IF($H574&lt;&gt;"",(((($H574/1000)/2)^2)*PI()*$M574),0),0)</f>
        <v>0.0789286512624796</v>
      </c>
      <c r="AJ574" s="153" t="n">
        <f aca="false">IFERROR(IF(AND($H574&lt;&gt;"",$I574="FoFo",OR($N574="MND",$N574="VCA"),$Q574="LINEAR"),0,IF(AND($H574&lt;&gt;"",$I574="PEAD",$N574="VCA",$Q574="LINEAR"),($H574/1000)+0.3,IF(AND($H574&lt;&gt;"",$I574="PEAD",$N574="MND",$Q574="EMBOQUE"),0,IF(AND($H574&lt;&gt;"",$I574="PVC",$N574="VCA",$Q574="LINEAR"),($H574/1000)+0.2,IF(AND($H574&lt;&gt;"",$I574="PVC",$N574="MND",$Q574="EMBOQUE"),0,IF(AND($H574&lt;&gt;"",$I574="PEAD",$N574="VCA",$Q574="PREDIAL"),0,0)))))),0)</f>
        <v>0.363</v>
      </c>
      <c r="AK574" s="153" t="n">
        <f aca="false">IF(AA574&lt;&gt;"",AA574,0)</f>
        <v>3.6</v>
      </c>
      <c r="AL574" s="153" t="n">
        <f aca="false">IF(AND($N574="MND",$Q574="EMBOQUE"),$M574,IF(AND($N574="VCA",$Q574="LINEAR"),$M574,IF(AND($N574="VCA",$Q574="PREDIAL"),0,0)))</f>
        <v>25.32</v>
      </c>
      <c r="AM574" s="153" t="n">
        <f aca="false">IF(AND($N574="MND",$Q574="EMBOQUE"),$M574,IF(AND($N574="VCA",$Q574="LINEAR"),$M574,IF(AND($N574="VCA",$Q574="PREDIAL"),0,0)))</f>
        <v>25.32</v>
      </c>
      <c r="AN574" s="153" t="n">
        <f aca="false">ROUND(IF(AND($N574="VCA",$M574&lt;&gt;"",$Q574="LINEAR"),$M574/100,IF(AND($N574="MND",$M574&gt;100,$Q574="EMBOQUE"),$M574/100,0)),0)</f>
        <v>0</v>
      </c>
      <c r="AO574" s="153" t="n">
        <f aca="false">IF(AND($N574="MND",$Q574="EMBOQUE"),$AN574*2*2,IF(AND($N574="VCA",$Q574="LINEAR"),$M574*2,IF(AND($N574="VCA",$Q574="PREDIAL"),0,0)))</f>
        <v>50.64</v>
      </c>
      <c r="AP574" s="153" t="n">
        <f aca="false">IFERROR($M574*$AF574*$AG574,0)</f>
        <v>22.432254</v>
      </c>
      <c r="AQ574" s="153" t="n">
        <f aca="false">IFERROR(IF(AND($N574="VCA",$AH574&gt;0),$M574*$AG574*$AH574,0),0)</f>
        <v>1.6458</v>
      </c>
      <c r="AR574" s="153" t="n">
        <f aca="false">IFERROR(IF(AND($N574="VCA",$AJ574&gt;0),($M574*$AG574*$AJ574)-$AI574,0),0)</f>
        <v>5.89532534873752</v>
      </c>
      <c r="AS574" s="153" t="n">
        <f aca="false">IFERROR(IF(AND($N574="VCA",$AP574&gt;0),$AP574-$AI574-$AQ574-$AR574,0),0)</f>
        <v>14.8122</v>
      </c>
      <c r="AT574" s="153" t="n">
        <f aca="false">IFERROR(IF($N574="VCA",INDEX(APOIO_REDES!$A:$W,MATCH($C574&amp;$I574&amp;$H574&amp;$N574&amp;$O574,APOIO_REDES!$W:$W,0),MATCH(AT$5,APOIO_REDES!$5:$5,0)),0)*$AP574,0)</f>
        <v>0.244069563128266</v>
      </c>
      <c r="AU574" s="153" t="n">
        <f aca="false">IFERROR(IF($N574="VCA",INDEX(APOIO_REDES!$A:$W,MATCH($C574&amp;$I574&amp;$H574&amp;$N574&amp;$O574,APOIO_REDES!$W:$W,0),MATCH(AU$5,APOIO_REDES!$5:$5,0)),0)*$AP574,0)</f>
        <v>0.194907342872149</v>
      </c>
      <c r="AV574" s="153" t="n">
        <f aca="false">IFERROR(IF($N574="VCA",INDEX(APOIO_REDES!$A:$W,MATCH($C574&amp;$I574&amp;$H574&amp;$N574&amp;$O574,APOIO_REDES!$W:$W,0),MATCH(AV$5,APOIO_REDES!$5:$5,0)),0)*$AP574,0)</f>
        <v>0.0269736461708723</v>
      </c>
      <c r="AW574" s="153" t="n">
        <f aca="false">IFERROR(IF($N574="VCA",INDEX(APOIO_REDES!$A:$W,MATCH($C574&amp;$I574&amp;$H574&amp;$N574&amp;$O574,APOIO_REDES!$W:$W,0),MATCH(AW$5,APOIO_REDES!$5:$5,0)),0)*$AP574,0)</f>
        <v>15.3976729591857</v>
      </c>
      <c r="AX574" s="153" t="n">
        <f aca="false">IFERROR(IF($N574="VCA",INDEX(APOIO_REDES!$A:$W,MATCH($C574&amp;$I574&amp;$H574&amp;$N574&amp;$O574,APOIO_REDES!$W:$W,0),MATCH(AX$5,APOIO_REDES!$5:$5,0)),0)*$AP574,0)</f>
        <v>2.13099407644963</v>
      </c>
      <c r="AY574" s="153" t="n">
        <f aca="false">IFERROR(IF($N574="VCA",INDEX(APOIO_REDES!$A:$W,MATCH($C574&amp;$I574&amp;$H574&amp;$N574&amp;$O574,APOIO_REDES!$W:$W,0),MATCH(AY$5,APOIO_REDES!$5:$5,0)),0)*$AP574,0)</f>
        <v>3.89814448153828</v>
      </c>
      <c r="AZ574" s="153" t="n">
        <f aca="false">IFERROR(IF($N574="VCA",INDEX(APOIO_REDES!$A:$W,MATCH($C574&amp;$I574&amp;$H574&amp;$N574&amp;$O574,APOIO_REDES!$W:$W,0),MATCH(AZ$5,APOIO_REDES!$5:$5,0)),0)*$AP574,0)</f>
        <v>0.539491930655126</v>
      </c>
      <c r="BA574" s="153" t="n">
        <f aca="false">IFERROR(IF(AND($N574="VCA",$Q574="LINEAR"),INDEX(APOIO_REDES!$A:$W,MATCH($C574&amp;$I574&amp;$H574&amp;$N574&amp;$O574,APOIO_REDES!$W:$W,0),MATCH(BA$5,APOIO_REDES!$5:$5,0)),IF(AND($N574="MND",$Q574="EMBOQUE"),INDEX(APOIO_REDES!$A:$W,MATCH($C574&amp;$I574&amp;$H574&amp;$N574&amp;$O574,APOIO_REDES!$W:$W,0),MATCH(BA$5,APOIO_REDES!$5:$5,0)),0))*$M574/10,0)</f>
        <v>2.04072813232004</v>
      </c>
      <c r="BB574" s="153" t="n">
        <f aca="false">IFERROR(IF($N574="VCA",INDEX(APOIO_REDES!$A:$W,MATCH($C574&amp;$I574&amp;$H574&amp;$N574&amp;$O574,APOIO_REDES!$W:$W,0),MATCH(BB$5,APOIO_REDES!$5:$5,0)),0)*($AI574+$AQ574+$AR574),0)</f>
        <v>7.53714555705914</v>
      </c>
      <c r="BC574" s="153" t="n">
        <f aca="false">IFERROR(IF($N574="VCA",INDEX(APOIO_REDES!$A:$W,MATCH($C574&amp;$I574&amp;$H574&amp;$N574&amp;$O574,APOIO_REDES!$W:$W,0),MATCH(BC$5,APOIO_REDES!$5:$5,0)),0)*($AI574+$AQ574+$AR574),0)</f>
        <v>0.0829084429408563</v>
      </c>
      <c r="BD574" s="153" t="n">
        <f aca="false">IF(AND($N574="VCA",$AF574&gt;=1.25,$AF574&lt;1.5),$M574*$AF574*2,0)</f>
        <v>69.02232</v>
      </c>
      <c r="BE574" s="153" t="n">
        <f aca="false">IF(AND($N574="VCA",$AF574&gt;=1.5,$AF574&lt;3),$M574*$AF574*2,0)</f>
        <v>0</v>
      </c>
      <c r="BF574" s="153" t="n">
        <f aca="false">IF(AND($N574="VCA",$AF574&gt;=3),$M574*$AF574*2,0)</f>
        <v>0</v>
      </c>
      <c r="BG574" s="153" t="n">
        <f aca="false">($BB574+$BC574)*$AK574</f>
        <v>27.4321944</v>
      </c>
      <c r="BH574" s="153" t="n">
        <f aca="false">IF(AND($M574&lt;&gt;"",$N574="VCA",$Q574="LINEAR"),($M574*2)/100,IF(AND($M574&lt;&gt;"",$N574="MND",$Q574="EMBOQUE"),($AN574*2)/100,0))</f>
        <v>0.5064</v>
      </c>
      <c r="BI574" s="153" t="n">
        <f aca="false">IF(AND($M574&lt;&gt;"",$N574="VCA",$Q574="LINEAR"),$M574,IF(AND($M574&lt;&gt;"",$N574="MND",$Q574="EMBOQUE"),$AN574*2,0))</f>
        <v>25.32</v>
      </c>
      <c r="BJ574" s="153" t="n">
        <f aca="false">IF(AND($M574&lt;&gt;"",$N574="VCA",$Q574="LINEAR"),($M574*6.8)/100,IF(AND($M574&lt;&gt;"",$N574="MND",$Q574="EMBOQUE"),($AN574*2*6.8)/100,0))</f>
        <v>1.72176</v>
      </c>
      <c r="BK574" s="153" t="n">
        <f aca="false">IF(AND($M574&lt;&gt;"",$N574="VCA",$Q574="LINEAR"),($M574*2.5)/50,IF(AND($M574&lt;&gt;"",$N574="MND",$Q574="EMBOQUE"),($AN574*2*2.5)/50,0))</f>
        <v>1.266</v>
      </c>
      <c r="BL574" s="157" t="str">
        <f aca="false">K574&amp;J574</f>
        <v>Zona05REDES</v>
      </c>
      <c r="BM574" s="152" t="s">
        <v>3356</v>
      </c>
      <c r="BN574" s="152" t="s">
        <v>1560</v>
      </c>
      <c r="BO574" s="152" t="s">
        <v>3688</v>
      </c>
      <c r="BP574" s="152" t="s">
        <v>3604</v>
      </c>
      <c r="BQ574" s="152" t="s">
        <v>3612</v>
      </c>
      <c r="BR574" s="152" t="s">
        <v>3727</v>
      </c>
      <c r="BS574" s="152" t="n">
        <v>203175.118</v>
      </c>
      <c r="BT574" s="152" t="n">
        <v>8237430.889</v>
      </c>
      <c r="BU574" s="152" t="n">
        <v>203196.801</v>
      </c>
      <c r="BV574" s="152" t="n">
        <v>8237417.929</v>
      </c>
      <c r="BW574" s="152" t="n">
        <v>-15.9246874</v>
      </c>
      <c r="BX574" s="152" t="n">
        <v>-47.7722223</v>
      </c>
      <c r="BY574" s="152" t="s">
        <v>3604</v>
      </c>
    </row>
    <row r="575" customFormat="false" ht="13.8" hidden="false" customHeight="false" outlineLevel="0" collapsed="false">
      <c r="A575" s="149" t="n">
        <f aca="false">IF(C575&lt;&gt;"",ROW(A570),"")</f>
        <v>570</v>
      </c>
      <c r="B575" s="150" t="str">
        <f aca="false">HYPERLINK("https://www.google.com/maps/dir/-15.917302,-47.760003/-15.9246571,-47.7697880/data=!4m3!4m2!3e0!5i2")</f>
        <v>https://www.google.com/maps/dir/-15.917302,-47.760003/-15.9246571,-47.7697880/data=!4m3!4m2!3e0!5i2</v>
      </c>
      <c r="C575" s="151" t="s">
        <v>117</v>
      </c>
      <c r="D575" s="152" t="s">
        <v>112</v>
      </c>
      <c r="E575" s="152" t="s">
        <v>113</v>
      </c>
      <c r="F575" s="152" t="s">
        <v>117</v>
      </c>
      <c r="G575" s="152" t="s">
        <v>782</v>
      </c>
      <c r="H575" s="152" t="n">
        <v>63</v>
      </c>
      <c r="I575" s="152" t="s">
        <v>115</v>
      </c>
      <c r="J575" s="152" t="s">
        <v>6</v>
      </c>
      <c r="K575" s="152" t="s">
        <v>3352</v>
      </c>
      <c r="L575" s="152" t="s">
        <v>120</v>
      </c>
      <c r="M575" s="153" t="n">
        <f aca="false">38.34</f>
        <v>38.34</v>
      </c>
      <c r="N575" s="152" t="s">
        <v>1548</v>
      </c>
      <c r="O575" s="152" t="s">
        <v>1549</v>
      </c>
      <c r="P575" s="152" t="s">
        <v>1550</v>
      </c>
      <c r="Q575" s="152" t="s">
        <v>1551</v>
      </c>
      <c r="R575" s="154" t="s">
        <v>3728</v>
      </c>
      <c r="S575" s="154" t="s">
        <v>1553</v>
      </c>
      <c r="T575" s="155" t="s">
        <v>3685</v>
      </c>
      <c r="U575" s="152" t="str">
        <f aca="false">RIGHT(T575,7)</f>
        <v>012/037</v>
      </c>
      <c r="V575" s="152" t="s">
        <v>1555</v>
      </c>
      <c r="W575" s="156" t="n">
        <v>45882</v>
      </c>
      <c r="X575" s="152" t="s">
        <v>1594</v>
      </c>
      <c r="Y575" s="152" t="s">
        <v>3704</v>
      </c>
      <c r="Z575" s="152" t="s">
        <v>1557</v>
      </c>
      <c r="AA575" s="153" t="n">
        <v>3.8</v>
      </c>
      <c r="AB575" s="151" t="s">
        <v>3729</v>
      </c>
      <c r="AC575" s="151" t="s">
        <v>186</v>
      </c>
      <c r="AD575" s="151" t="str">
        <f aca="false">CONCATENATE($C575,$I575,$H575,$N575,$J575,$K575)</f>
        <v>TUBO PEADPEAD63VCAREDESZona05</v>
      </c>
      <c r="AE575" s="153" t="n">
        <f aca="false">IFERROR(INDEX(APOIO_REDES!$A:$W,MATCH($C575&amp;$I575&amp;$H575&amp;$N575&amp;$O575,APOIO_REDES!$W:$W,0),MATCH(AE$5,APOIO_REDES!$5:$5,0)),0)</f>
        <v>1.2</v>
      </c>
      <c r="AF575" s="153" t="n">
        <f aca="false">IFERROR(INDEX(APOIO_REDES!$A:$W,MATCH($C575&amp;$I575&amp;$H575&amp;$N575&amp;$O575,APOIO_REDES!$W:$W,0),MATCH(AF$5,APOIO_REDES!$5:$5,0)),0)</f>
        <v>1.363</v>
      </c>
      <c r="AG575" s="153" t="n">
        <f aca="false">IFERROR(INDEX(APOIO_REDES!$A:$W,MATCH($C575&amp;$I575&amp;$H575&amp;$N575&amp;$O575,APOIO_REDES!$W:$W,0),MATCH(AG$5,APOIO_REDES!$5:$5,0)),0)</f>
        <v>0.65</v>
      </c>
      <c r="AH575" s="153" t="n">
        <f aca="false">IFERROR(INDEX(APOIO_REDES!$A:$W,MATCH($C575&amp;$I575&amp;$H575&amp;$N575&amp;$O575,APOIO_REDES!$W:$W,0),MATCH(AH$5,APOIO_REDES!$5:$5,0)),0)</f>
        <v>0.1</v>
      </c>
      <c r="AI575" s="153" t="n">
        <f aca="false">IFERROR(IF($H575&lt;&gt;"",(((($H575/1000)/2)^2)*PI()*$M575),0),0)</f>
        <v>0.119515185205508</v>
      </c>
      <c r="AJ575" s="153" t="n">
        <f aca="false">IFERROR(IF(AND($H575&lt;&gt;"",$I575="FoFo",OR($N575="MND",$N575="VCA"),$Q575="LINEAR"),0,IF(AND($H575&lt;&gt;"",$I575="PEAD",$N575="VCA",$Q575="LINEAR"),($H575/1000)+0.3,IF(AND($H575&lt;&gt;"",$I575="PEAD",$N575="MND",$Q575="EMBOQUE"),0,IF(AND($H575&lt;&gt;"",$I575="PVC",$N575="VCA",$Q575="LINEAR"),($H575/1000)+0.2,IF(AND($H575&lt;&gt;"",$I575="PVC",$N575="MND",$Q575="EMBOQUE"),0,IF(AND($H575&lt;&gt;"",$I575="PEAD",$N575="VCA",$Q575="PREDIAL"),0,0)))))),0)</f>
        <v>0.363</v>
      </c>
      <c r="AK575" s="153" t="n">
        <f aca="false">IF(AA575&lt;&gt;"",AA575,0)</f>
        <v>3.8</v>
      </c>
      <c r="AL575" s="153" t="n">
        <f aca="false">IF(AND($N575="MND",$Q575="EMBOQUE"),$M575,IF(AND($N575="VCA",$Q575="LINEAR"),$M575,IF(AND($N575="VCA",$Q575="PREDIAL"),0,0)))</f>
        <v>38.34</v>
      </c>
      <c r="AM575" s="153" t="n">
        <f aca="false">IF(AND($N575="MND",$Q575="EMBOQUE"),$M575,IF(AND($N575="VCA",$Q575="LINEAR"),$M575,IF(AND($N575="VCA",$Q575="PREDIAL"),0,0)))</f>
        <v>38.34</v>
      </c>
      <c r="AN575" s="153" t="n">
        <f aca="false">ROUND(IF(AND($N575="VCA",$M575&lt;&gt;"",$Q575="LINEAR"),$M575/100,IF(AND($N575="MND",$M575&gt;100,$Q575="EMBOQUE"),$M575/100,0)),0)</f>
        <v>0</v>
      </c>
      <c r="AO575" s="153" t="n">
        <f aca="false">IF(AND($N575="MND",$Q575="EMBOQUE"),$AN575*2*2,IF(AND($N575="VCA",$Q575="LINEAR"),$M575*2,IF(AND($N575="VCA",$Q575="PREDIAL"),0,0)))</f>
        <v>76.68</v>
      </c>
      <c r="AP575" s="153" t="n">
        <f aca="false">IFERROR($M575*$AF575*$AG575,0)</f>
        <v>33.967323</v>
      </c>
      <c r="AQ575" s="153" t="n">
        <f aca="false">IFERROR(IF(AND($N575="VCA",$AH575&gt;0),$M575*$AG575*$AH575,0),0)</f>
        <v>2.4921</v>
      </c>
      <c r="AR575" s="153" t="n">
        <f aca="false">IFERROR(IF(AND($N575="VCA",$AJ575&gt;0),($M575*$AG575*$AJ575)-$AI575,0),0)</f>
        <v>8.92680781479449</v>
      </c>
      <c r="AS575" s="153" t="n">
        <f aca="false">IFERROR(IF(AND($N575="VCA",$AP575&gt;0),$AP575-$AI575-$AQ575-$AR575,0),0)</f>
        <v>22.4289</v>
      </c>
      <c r="AT575" s="153" t="n">
        <f aca="false">IFERROR(IF($N575="VCA",INDEX(APOIO_REDES!$A:$W,MATCH($C575&amp;$I575&amp;$H575&amp;$N575&amp;$O575,APOIO_REDES!$W:$W,0),MATCH(AT$5,APOIO_REDES!$5:$5,0)),0)*$AP575,0)</f>
        <v>0.369574528054412</v>
      </c>
      <c r="AU575" s="153" t="n">
        <f aca="false">IFERROR(IF($N575="VCA",INDEX(APOIO_REDES!$A:$W,MATCH($C575&amp;$I575&amp;$H575&amp;$N575&amp;$O575,APOIO_REDES!$W:$W,0),MATCH(AU$5,APOIO_REDES!$5:$5,0)),0)*$AP575,0)</f>
        <v>0.295132208756643</v>
      </c>
      <c r="AV575" s="153" t="n">
        <f aca="false">IFERROR(IF($N575="VCA",INDEX(APOIO_REDES!$A:$W,MATCH($C575&amp;$I575&amp;$H575&amp;$N575&amp;$O575,APOIO_REDES!$W:$W,0),MATCH(AV$5,APOIO_REDES!$5:$5,0)),0)*$AP575,0)</f>
        <v>0.0408439808132404</v>
      </c>
      <c r="AW575" s="153" t="n">
        <f aca="false">IFERROR(IF($N575="VCA",INDEX(APOIO_REDES!$A:$W,MATCH($C575&amp;$I575&amp;$H575&amp;$N575&amp;$O575,APOIO_REDES!$W:$W,0),MATCH(AW$5,APOIO_REDES!$5:$5,0)),0)*$AP575,0)</f>
        <v>23.3154336988617</v>
      </c>
      <c r="AX575" s="153" t="n">
        <f aca="false">IFERROR(IF($N575="VCA",INDEX(APOIO_REDES!$A:$W,MATCH($C575&amp;$I575&amp;$H575&amp;$N575&amp;$O575,APOIO_REDES!$W:$W,0),MATCH(AX$5,APOIO_REDES!$5:$5,0)),0)*$AP575,0)</f>
        <v>3.2267896086524</v>
      </c>
      <c r="AY575" s="153" t="n">
        <f aca="false">IFERROR(IF($N575="VCA",INDEX(APOIO_REDES!$A:$W,MATCH($C575&amp;$I575&amp;$H575&amp;$N575&amp;$O575,APOIO_REDES!$W:$W,0),MATCH(AY$5,APOIO_REDES!$5:$5,0)),0)*$AP575,0)</f>
        <v>5.90264057749517</v>
      </c>
      <c r="AZ575" s="153" t="n">
        <f aca="false">IFERROR(IF($N575="VCA",INDEX(APOIO_REDES!$A:$W,MATCH($C575&amp;$I575&amp;$H575&amp;$N575&amp;$O575,APOIO_REDES!$W:$W,0),MATCH(AZ$5,APOIO_REDES!$5:$5,0)),0)*$AP575,0)</f>
        <v>0.816908397366411</v>
      </c>
      <c r="BA575" s="153" t="n">
        <f aca="false">IFERROR(IF(AND($N575="VCA",$Q575="LINEAR"),INDEX(APOIO_REDES!$A:$W,MATCH($C575&amp;$I575&amp;$H575&amp;$N575&amp;$O575,APOIO_REDES!$W:$W,0),MATCH(BA$5,APOIO_REDES!$5:$5,0)),IF(AND($N575="MND",$Q575="EMBOQUE"),INDEX(APOIO_REDES!$A:$W,MATCH($C575&amp;$I575&amp;$H575&amp;$N575&amp;$O575,APOIO_REDES!$W:$W,0),MATCH(BA$5,APOIO_REDES!$5:$5,0)),0))*$M575/10,0)</f>
        <v>3.09010729040878</v>
      </c>
      <c r="BB575" s="153" t="n">
        <f aca="false">IFERROR(IF($N575="VCA",INDEX(APOIO_REDES!$A:$W,MATCH($C575&amp;$I575&amp;$H575&amp;$N575&amp;$O575,APOIO_REDES!$W:$W,0),MATCH(BB$5,APOIO_REDES!$5:$5,0)),0)*($AI575+$AQ575+$AR575),0)</f>
        <v>11.4128815425611</v>
      </c>
      <c r="BC575" s="153" t="n">
        <f aca="false">IFERROR(IF($N575="VCA",INDEX(APOIO_REDES!$A:$W,MATCH($C575&amp;$I575&amp;$H575&amp;$N575&amp;$O575,APOIO_REDES!$W:$W,0),MATCH(BC$5,APOIO_REDES!$5:$5,0)),0)*($AI575+$AQ575+$AR575),0)</f>
        <v>0.12554145743888</v>
      </c>
      <c r="BD575" s="153" t="n">
        <f aca="false">IF(AND($N575="VCA",$AF575&gt;=1.25,$AF575&lt;1.5),$M575*$AF575*2,0)</f>
        <v>104.51484</v>
      </c>
      <c r="BE575" s="153" t="n">
        <f aca="false">IF(AND($N575="VCA",$AF575&gt;=1.5,$AF575&lt;3),$M575*$AF575*2,0)</f>
        <v>0</v>
      </c>
      <c r="BF575" s="153" t="n">
        <f aca="false">IF(AND($N575="VCA",$AF575&gt;=3),$M575*$AF575*2,0)</f>
        <v>0</v>
      </c>
      <c r="BG575" s="153" t="n">
        <f aca="false">($BB575+$BC575)*$AK575</f>
        <v>43.8460074</v>
      </c>
      <c r="BH575" s="153" t="n">
        <f aca="false">IF(AND($M575&lt;&gt;"",$N575="VCA",$Q575="LINEAR"),($M575*2)/100,IF(AND($M575&lt;&gt;"",$N575="MND",$Q575="EMBOQUE"),($AN575*2)/100,0))</f>
        <v>0.7668</v>
      </c>
      <c r="BI575" s="153" t="n">
        <f aca="false">IF(AND($M575&lt;&gt;"",$N575="VCA",$Q575="LINEAR"),$M575,IF(AND($M575&lt;&gt;"",$N575="MND",$Q575="EMBOQUE"),$AN575*2,0))</f>
        <v>38.34</v>
      </c>
      <c r="BJ575" s="153" t="n">
        <f aca="false">IF(AND($M575&lt;&gt;"",$N575="VCA",$Q575="LINEAR"),($M575*6.8)/100,IF(AND($M575&lt;&gt;"",$N575="MND",$Q575="EMBOQUE"),($AN575*2*6.8)/100,0))</f>
        <v>2.60712</v>
      </c>
      <c r="BK575" s="153" t="n">
        <f aca="false">IF(AND($M575&lt;&gt;"",$N575="VCA",$Q575="LINEAR"),($M575*2.5)/50,IF(AND($M575&lt;&gt;"",$N575="MND",$Q575="EMBOQUE"),($AN575*2*2.5)/50,0))</f>
        <v>1.917</v>
      </c>
      <c r="BL575" s="157" t="str">
        <f aca="false">K575&amp;J575</f>
        <v>Zona05REDES</v>
      </c>
      <c r="BM575" s="152" t="s">
        <v>3356</v>
      </c>
      <c r="BN575" s="152" t="s">
        <v>1560</v>
      </c>
      <c r="BO575" s="152" t="s">
        <v>3688</v>
      </c>
      <c r="BP575" s="152" t="s">
        <v>3706</v>
      </c>
      <c r="BQ575" s="152" t="s">
        <v>3730</v>
      </c>
      <c r="BR575" s="152" t="s">
        <v>3731</v>
      </c>
      <c r="BS575" s="152" t="n">
        <v>203446.449</v>
      </c>
      <c r="BT575" s="152" t="n">
        <v>8237430.792</v>
      </c>
      <c r="BU575" s="152" t="n">
        <v>203430.103</v>
      </c>
      <c r="BV575" s="152" t="n">
        <v>8237396.294</v>
      </c>
      <c r="BW575" s="152" t="n">
        <v>-15.9248167</v>
      </c>
      <c r="BX575" s="152" t="n">
        <v>-47.7698554</v>
      </c>
      <c r="BY575" s="152" t="s">
        <v>3706</v>
      </c>
    </row>
    <row r="576" customFormat="false" ht="13.8" hidden="false" customHeight="false" outlineLevel="0" collapsed="false">
      <c r="A576" s="149" t="n">
        <f aca="false">IF(C576&lt;&gt;"",ROW(A571),"")</f>
        <v>571</v>
      </c>
      <c r="B576" s="150" t="str">
        <f aca="false">HYPERLINK("https://www.google.com/maps/dir/-15.917302,-47.760003/-15.9246571,-47.7697880/data=!4m3!4m2!3e0!5i2")</f>
        <v>https://www.google.com/maps/dir/-15.917302,-47.760003/-15.9246571,-47.7697880/data=!4m3!4m2!3e0!5i2</v>
      </c>
      <c r="C576" s="151" t="s">
        <v>117</v>
      </c>
      <c r="D576" s="152" t="s">
        <v>112</v>
      </c>
      <c r="E576" s="152" t="s">
        <v>113</v>
      </c>
      <c r="F576" s="152" t="s">
        <v>117</v>
      </c>
      <c r="G576" s="152" t="s">
        <v>782</v>
      </c>
      <c r="H576" s="152" t="n">
        <v>63</v>
      </c>
      <c r="I576" s="152" t="s">
        <v>115</v>
      </c>
      <c r="J576" s="152" t="s">
        <v>6</v>
      </c>
      <c r="K576" s="152" t="s">
        <v>3352</v>
      </c>
      <c r="L576" s="152" t="s">
        <v>120</v>
      </c>
      <c r="M576" s="153" t="n">
        <f aca="false">77.78</f>
        <v>77.78</v>
      </c>
      <c r="N576" s="152" t="s">
        <v>1548</v>
      </c>
      <c r="O576" s="152" t="s">
        <v>1549</v>
      </c>
      <c r="P576" s="152" t="s">
        <v>1550</v>
      </c>
      <c r="Q576" s="152" t="s">
        <v>1551</v>
      </c>
      <c r="R576" s="154" t="s">
        <v>3732</v>
      </c>
      <c r="S576" s="154" t="s">
        <v>1553</v>
      </c>
      <c r="T576" s="155" t="s">
        <v>3685</v>
      </c>
      <c r="U576" s="152" t="str">
        <f aca="false">RIGHT(T576,7)</f>
        <v>012/037</v>
      </c>
      <c r="V576" s="152" t="s">
        <v>1555</v>
      </c>
      <c r="W576" s="156" t="n">
        <v>45882</v>
      </c>
      <c r="X576" s="152" t="s">
        <v>1594</v>
      </c>
      <c r="Y576" s="152" t="s">
        <v>3704</v>
      </c>
      <c r="Z576" s="152" t="s">
        <v>1557</v>
      </c>
      <c r="AA576" s="153" t="n">
        <v>3.8</v>
      </c>
      <c r="AB576" s="151" t="s">
        <v>3733</v>
      </c>
      <c r="AC576" s="151" t="s">
        <v>186</v>
      </c>
      <c r="AD576" s="151" t="str">
        <f aca="false">CONCATENATE($C576,$I576,$H576,$N576,$J576,$K576)</f>
        <v>TUBO PEADPEAD63VCAREDESZona05</v>
      </c>
      <c r="AE576" s="153" t="n">
        <f aca="false">IFERROR(INDEX(APOIO_REDES!$A:$W,MATCH($C576&amp;$I576&amp;$H576&amp;$N576&amp;$O576,APOIO_REDES!$W:$W,0),MATCH(AE$5,APOIO_REDES!$5:$5,0)),0)</f>
        <v>1.2</v>
      </c>
      <c r="AF576" s="153" t="n">
        <f aca="false">IFERROR(INDEX(APOIO_REDES!$A:$W,MATCH($C576&amp;$I576&amp;$H576&amp;$N576&amp;$O576,APOIO_REDES!$W:$W,0),MATCH(AF$5,APOIO_REDES!$5:$5,0)),0)</f>
        <v>1.363</v>
      </c>
      <c r="AG576" s="153" t="n">
        <f aca="false">IFERROR(INDEX(APOIO_REDES!$A:$W,MATCH($C576&amp;$I576&amp;$H576&amp;$N576&amp;$O576,APOIO_REDES!$W:$W,0),MATCH(AG$5,APOIO_REDES!$5:$5,0)),0)</f>
        <v>0.65</v>
      </c>
      <c r="AH576" s="153" t="n">
        <f aca="false">IFERROR(INDEX(APOIO_REDES!$A:$W,MATCH($C576&amp;$I576&amp;$H576&amp;$N576&amp;$O576,APOIO_REDES!$W:$W,0),MATCH(AH$5,APOIO_REDES!$5:$5,0)),0)</f>
        <v>0.1</v>
      </c>
      <c r="AI576" s="153" t="n">
        <f aca="false">IFERROR(IF($H576&lt;&gt;"",(((($H576/1000)/2)^2)*PI()*$M576),0),0)</f>
        <v>0.242459340252593</v>
      </c>
      <c r="AJ576" s="153" t="n">
        <f aca="false">IFERROR(IF(AND($H576&lt;&gt;"",$I576="FoFo",OR($N576="MND",$N576="VCA"),$Q576="LINEAR"),0,IF(AND($H576&lt;&gt;"",$I576="PEAD",$N576="VCA",$Q576="LINEAR"),($H576/1000)+0.3,IF(AND($H576&lt;&gt;"",$I576="PEAD",$N576="MND",$Q576="EMBOQUE"),0,IF(AND($H576&lt;&gt;"",$I576="PVC",$N576="VCA",$Q576="LINEAR"),($H576/1000)+0.2,IF(AND($H576&lt;&gt;"",$I576="PVC",$N576="MND",$Q576="EMBOQUE"),0,IF(AND($H576&lt;&gt;"",$I576="PEAD",$N576="VCA",$Q576="PREDIAL"),0,0)))))),0)</f>
        <v>0.363</v>
      </c>
      <c r="AK576" s="153" t="n">
        <f aca="false">IF(AA576&lt;&gt;"",AA576,0)</f>
        <v>3.8</v>
      </c>
      <c r="AL576" s="153" t="n">
        <f aca="false">IF(AND($N576="MND",$Q576="EMBOQUE"),$M576,IF(AND($N576="VCA",$Q576="LINEAR"),$M576,IF(AND($N576="VCA",$Q576="PREDIAL"),0,0)))</f>
        <v>77.78</v>
      </c>
      <c r="AM576" s="153" t="n">
        <f aca="false">IF(AND($N576="MND",$Q576="EMBOQUE"),$M576,IF(AND($N576="VCA",$Q576="LINEAR"),$M576,IF(AND($N576="VCA",$Q576="PREDIAL"),0,0)))</f>
        <v>77.78</v>
      </c>
      <c r="AN576" s="153" t="n">
        <f aca="false">ROUND(IF(AND($N576="VCA",$M576&lt;&gt;"",$Q576="LINEAR"),$M576/100,IF(AND($N576="MND",$M576&gt;100,$Q576="EMBOQUE"),$M576/100,0)),0)</f>
        <v>1</v>
      </c>
      <c r="AO576" s="153" t="n">
        <f aca="false">IF(AND($N576="MND",$Q576="EMBOQUE"),$AN576*2*2,IF(AND($N576="VCA",$Q576="LINEAR"),$M576*2,IF(AND($N576="VCA",$Q576="PREDIAL"),0,0)))</f>
        <v>155.56</v>
      </c>
      <c r="AP576" s="153" t="n">
        <f aca="false">IFERROR($M576*$AF576*$AG576,0)</f>
        <v>68.909191</v>
      </c>
      <c r="AQ576" s="153" t="n">
        <f aca="false">IFERROR(IF(AND($N576="VCA",$AH576&gt;0),$M576*$AG576*$AH576,0),0)</f>
        <v>5.0557</v>
      </c>
      <c r="AR576" s="153" t="n">
        <f aca="false">IFERROR(IF(AND($N576="VCA",$AJ576&gt;0),($M576*$AG576*$AJ576)-$AI576,0),0)</f>
        <v>18.1097316597474</v>
      </c>
      <c r="AS576" s="153" t="n">
        <f aca="false">IFERROR(IF(AND($N576="VCA",$AP576&gt;0),$AP576-$AI576-$AQ576-$AR576,0),0)</f>
        <v>45.5013</v>
      </c>
      <c r="AT576" s="153" t="n">
        <f aca="false">IFERROR(IF($N576="VCA",INDEX(APOIO_REDES!$A:$W,MATCH($C576&amp;$I576&amp;$H576&amp;$N576&amp;$O576,APOIO_REDES!$W:$W,0),MATCH(AT$5,APOIO_REDES!$5:$5,0)),0)*$AP576,0)</f>
        <v>0.749752394159421</v>
      </c>
      <c r="AU576" s="153" t="n">
        <f aca="false">IFERROR(IF($N576="VCA",INDEX(APOIO_REDES!$A:$W,MATCH($C576&amp;$I576&amp;$H576&amp;$N576&amp;$O576,APOIO_REDES!$W:$W,0),MATCH(AU$5,APOIO_REDES!$5:$5,0)),0)*$AP576,0)</f>
        <v>0.598731956105679</v>
      </c>
      <c r="AV576" s="153" t="n">
        <f aca="false">IFERROR(IF($N576="VCA",INDEX(APOIO_REDES!$A:$W,MATCH($C576&amp;$I576&amp;$H576&amp;$N576&amp;$O576,APOIO_REDES!$W:$W,0),MATCH(AV$5,APOIO_REDES!$5:$5,0)),0)*$AP576,0)</f>
        <v>0.0828598024948835</v>
      </c>
      <c r="AW576" s="153" t="n">
        <f aca="false">IFERROR(IF($N576="VCA",INDEX(APOIO_REDES!$A:$W,MATCH($C576&amp;$I576&amp;$H576&amp;$N576&amp;$O576,APOIO_REDES!$W:$W,0),MATCH(AW$5,APOIO_REDES!$5:$5,0)),0)*$AP576,0)</f>
        <v>47.2998026368666</v>
      </c>
      <c r="AX576" s="153" t="n">
        <f aca="false">IFERROR(IF($N576="VCA",INDEX(APOIO_REDES!$A:$W,MATCH($C576&amp;$I576&amp;$H576&amp;$N576&amp;$O576,APOIO_REDES!$W:$W,0),MATCH(AX$5,APOIO_REDES!$5:$5,0)),0)*$AP576,0)</f>
        <v>6.54615794890412</v>
      </c>
      <c r="AY576" s="153" t="n">
        <f aca="false">IFERROR(IF($N576="VCA",INDEX(APOIO_REDES!$A:$W,MATCH($C576&amp;$I576&amp;$H576&amp;$N576&amp;$O576,APOIO_REDES!$W:$W,0),MATCH(AY$5,APOIO_REDES!$5:$5,0)),0)*$AP576,0)</f>
        <v>11.9746318236196</v>
      </c>
      <c r="AZ576" s="153" t="n">
        <f aca="false">IFERROR(IF($N576="VCA",INDEX(APOIO_REDES!$A:$W,MATCH($C576&amp;$I576&amp;$H576&amp;$N576&amp;$O576,APOIO_REDES!$W:$W,0),MATCH(AZ$5,APOIO_REDES!$5:$5,0)),0)*$AP576,0)</f>
        <v>1.65725443784975</v>
      </c>
      <c r="BA576" s="153" t="n">
        <f aca="false">IFERROR(IF(AND($N576="VCA",$Q576="LINEAR"),INDEX(APOIO_REDES!$A:$W,MATCH($C576&amp;$I576&amp;$H576&amp;$N576&amp;$O576,APOIO_REDES!$W:$W,0),MATCH(BA$5,APOIO_REDES!$5:$5,0)),IF(AND($N576="MND",$Q576="EMBOQUE"),INDEX(APOIO_REDES!$A:$W,MATCH($C576&amp;$I576&amp;$H576&amp;$N576&amp;$O576,APOIO_REDES!$W:$W,0),MATCH(BA$5,APOIO_REDES!$5:$5,0)),0))*$M576/10,0)</f>
        <v>6.26887180615531</v>
      </c>
      <c r="BB576" s="153" t="n">
        <f aca="false">IFERROR(IF($N576="VCA",INDEX(APOIO_REDES!$A:$W,MATCH($C576&amp;$I576&amp;$H576&amp;$N576&amp;$O576,APOIO_REDES!$W:$W,0),MATCH(BB$5,APOIO_REDES!$5:$5,0)),0)*($AI576+$AQ576+$AR576),0)</f>
        <v>23.1532062175379</v>
      </c>
      <c r="BC576" s="153" t="n">
        <f aca="false">IFERROR(IF($N576="VCA",INDEX(APOIO_REDES!$A:$W,MATCH($C576&amp;$I576&amp;$H576&amp;$N576&amp;$O576,APOIO_REDES!$W:$W,0),MATCH(BC$5,APOIO_REDES!$5:$5,0)),0)*($AI576+$AQ576+$AR576),0)</f>
        <v>0.254684782462078</v>
      </c>
      <c r="BD576" s="153" t="n">
        <f aca="false">IF(AND($N576="VCA",$AF576&gt;=1.25,$AF576&lt;1.5),$M576*$AF576*2,0)</f>
        <v>212.02828</v>
      </c>
      <c r="BE576" s="153" t="n">
        <f aca="false">IF(AND($N576="VCA",$AF576&gt;=1.5,$AF576&lt;3),$M576*$AF576*2,0)</f>
        <v>0</v>
      </c>
      <c r="BF576" s="153" t="n">
        <f aca="false">IF(AND($N576="VCA",$AF576&gt;=3),$M576*$AF576*2,0)</f>
        <v>0</v>
      </c>
      <c r="BG576" s="153" t="n">
        <f aca="false">($BB576+$BC576)*$AK576</f>
        <v>88.9499858</v>
      </c>
      <c r="BH576" s="153" t="n">
        <f aca="false">IF(AND($M576&lt;&gt;"",$N576="VCA",$Q576="LINEAR"),($M576*2)/100,IF(AND($M576&lt;&gt;"",$N576="MND",$Q576="EMBOQUE"),($AN576*2)/100,0))</f>
        <v>1.5556</v>
      </c>
      <c r="BI576" s="153" t="n">
        <f aca="false">IF(AND($M576&lt;&gt;"",$N576="VCA",$Q576="LINEAR"),$M576,IF(AND($M576&lt;&gt;"",$N576="MND",$Q576="EMBOQUE"),$AN576*2,0))</f>
        <v>77.78</v>
      </c>
      <c r="BJ576" s="153" t="n">
        <f aca="false">IF(AND($M576&lt;&gt;"",$N576="VCA",$Q576="LINEAR"),($M576*6.8)/100,IF(AND($M576&lt;&gt;"",$N576="MND",$Q576="EMBOQUE"),($AN576*2*6.8)/100,0))</f>
        <v>5.28904</v>
      </c>
      <c r="BK576" s="153" t="n">
        <f aca="false">IF(AND($M576&lt;&gt;"",$N576="VCA",$Q576="LINEAR"),($M576*2.5)/50,IF(AND($M576&lt;&gt;"",$N576="MND",$Q576="EMBOQUE"),($AN576*2*2.5)/50,0))</f>
        <v>3.889</v>
      </c>
      <c r="BL576" s="157" t="str">
        <f aca="false">K576&amp;J576</f>
        <v>Zona05REDES</v>
      </c>
      <c r="BM576" s="152" t="s">
        <v>3356</v>
      </c>
      <c r="BN576" s="152" t="s">
        <v>1560</v>
      </c>
      <c r="BO576" s="152" t="s">
        <v>3688</v>
      </c>
      <c r="BP576" s="152" t="s">
        <v>3706</v>
      </c>
      <c r="BQ576" s="152" t="s">
        <v>3734</v>
      </c>
      <c r="BR576" s="152" t="s">
        <v>3735</v>
      </c>
      <c r="BS576" s="152" t="n">
        <v>203446.449</v>
      </c>
      <c r="BT576" s="152" t="n">
        <v>8237430.792</v>
      </c>
      <c r="BU576" s="152" t="n">
        <v>203514.895</v>
      </c>
      <c r="BV576" s="152" t="n">
        <v>8237393.883</v>
      </c>
      <c r="BW576" s="152" t="n">
        <v>-15.9248245</v>
      </c>
      <c r="BX576" s="152" t="n">
        <v>-47.769469</v>
      </c>
      <c r="BY576" s="152" t="s">
        <v>3706</v>
      </c>
    </row>
    <row r="577" customFormat="false" ht="13.8" hidden="false" customHeight="false" outlineLevel="0" collapsed="false">
      <c r="A577" s="149" t="n">
        <f aca="false">IF(C577&lt;&gt;"",ROW(A572),"")</f>
        <v>572</v>
      </c>
      <c r="B577" s="150" t="str">
        <f aca="false">HYPERLINK("https://www.google.com/maps/dir/-15.917302,-47.760003/-15.9249887,-47.7706029/data=!4m3!4m2!3e0!5i2")</f>
        <v>https://www.google.com/maps/dir/-15.917302,-47.760003/-15.9249887,-47.7706029/data=!4m3!4m2!3e0!5i2</v>
      </c>
      <c r="C577" s="151" t="s">
        <v>117</v>
      </c>
      <c r="D577" s="152" t="s">
        <v>112</v>
      </c>
      <c r="E577" s="152" t="s">
        <v>113</v>
      </c>
      <c r="F577" s="152" t="s">
        <v>117</v>
      </c>
      <c r="G577" s="152" t="s">
        <v>782</v>
      </c>
      <c r="H577" s="152" t="n">
        <v>63</v>
      </c>
      <c r="I577" s="152" t="s">
        <v>115</v>
      </c>
      <c r="J577" s="152" t="s">
        <v>6</v>
      </c>
      <c r="K577" s="152" t="s">
        <v>3352</v>
      </c>
      <c r="L577" s="152" t="s">
        <v>120</v>
      </c>
      <c r="M577" s="153" t="n">
        <f aca="false">60.25</f>
        <v>60.25</v>
      </c>
      <c r="N577" s="152" t="s">
        <v>1548</v>
      </c>
      <c r="O577" s="152" t="s">
        <v>1549</v>
      </c>
      <c r="P577" s="152" t="s">
        <v>1550</v>
      </c>
      <c r="Q577" s="152" t="s">
        <v>1551</v>
      </c>
      <c r="R577" s="154" t="s">
        <v>3736</v>
      </c>
      <c r="S577" s="154" t="s">
        <v>1553</v>
      </c>
      <c r="T577" s="155" t="s">
        <v>3685</v>
      </c>
      <c r="U577" s="152" t="str">
        <f aca="false">RIGHT(T577,7)</f>
        <v>012/037</v>
      </c>
      <c r="V577" s="152" t="s">
        <v>1555</v>
      </c>
      <c r="W577" s="156" t="n">
        <v>45882</v>
      </c>
      <c r="X577" s="152" t="s">
        <v>1594</v>
      </c>
      <c r="Y577" s="152" t="s">
        <v>3721</v>
      </c>
      <c r="Z577" s="152" t="s">
        <v>1557</v>
      </c>
      <c r="AA577" s="153" t="n">
        <v>3.8</v>
      </c>
      <c r="AB577" s="151" t="s">
        <v>3737</v>
      </c>
      <c r="AC577" s="151" t="s">
        <v>186</v>
      </c>
      <c r="AD577" s="151" t="str">
        <f aca="false">CONCATENATE($C577,$I577,$H577,$N577,$J577,$K577)</f>
        <v>TUBO PEADPEAD63VCAREDESZona05</v>
      </c>
      <c r="AE577" s="153" t="n">
        <f aca="false">IFERROR(INDEX(APOIO_REDES!$A:$W,MATCH($C577&amp;$I577&amp;$H577&amp;$N577&amp;$O577,APOIO_REDES!$W:$W,0),MATCH(AE$5,APOIO_REDES!$5:$5,0)),0)</f>
        <v>1.2</v>
      </c>
      <c r="AF577" s="153" t="n">
        <f aca="false">IFERROR(INDEX(APOIO_REDES!$A:$W,MATCH($C577&amp;$I577&amp;$H577&amp;$N577&amp;$O577,APOIO_REDES!$W:$W,0),MATCH(AF$5,APOIO_REDES!$5:$5,0)),0)</f>
        <v>1.363</v>
      </c>
      <c r="AG577" s="153" t="n">
        <f aca="false">IFERROR(INDEX(APOIO_REDES!$A:$W,MATCH($C577&amp;$I577&amp;$H577&amp;$N577&amp;$O577,APOIO_REDES!$W:$W,0),MATCH(AG$5,APOIO_REDES!$5:$5,0)),0)</f>
        <v>0.65</v>
      </c>
      <c r="AH577" s="153" t="n">
        <f aca="false">IFERROR(INDEX(APOIO_REDES!$A:$W,MATCH($C577&amp;$I577&amp;$H577&amp;$N577&amp;$O577,APOIO_REDES!$W:$W,0),MATCH(AH$5,APOIO_REDES!$5:$5,0)),0)</f>
        <v>0.1</v>
      </c>
      <c r="AI577" s="153" t="n">
        <f aca="false">IFERROR(IF($H577&lt;&gt;"",(((($H577/1000)/2)^2)*PI()*$M577),0),0)</f>
        <v>0.187814029959099</v>
      </c>
      <c r="AJ577" s="153" t="n">
        <f aca="false">IFERROR(IF(AND($H577&lt;&gt;"",$I577="FoFo",OR($N577="MND",$N577="VCA"),$Q577="LINEAR"),0,IF(AND($H577&lt;&gt;"",$I577="PEAD",$N577="VCA",$Q577="LINEAR"),($H577/1000)+0.3,IF(AND($H577&lt;&gt;"",$I577="PEAD",$N577="MND",$Q577="EMBOQUE"),0,IF(AND($H577&lt;&gt;"",$I577="PVC",$N577="VCA",$Q577="LINEAR"),($H577/1000)+0.2,IF(AND($H577&lt;&gt;"",$I577="PVC",$N577="MND",$Q577="EMBOQUE"),0,IF(AND($H577&lt;&gt;"",$I577="PEAD",$N577="VCA",$Q577="PREDIAL"),0,0)))))),0)</f>
        <v>0.363</v>
      </c>
      <c r="AK577" s="153" t="n">
        <f aca="false">IF(AA577&lt;&gt;"",AA577,0)</f>
        <v>3.8</v>
      </c>
      <c r="AL577" s="153" t="n">
        <f aca="false">IF(AND($N577="MND",$Q577="EMBOQUE"),$M577,IF(AND($N577="VCA",$Q577="LINEAR"),$M577,IF(AND($N577="VCA",$Q577="PREDIAL"),0,0)))</f>
        <v>60.25</v>
      </c>
      <c r="AM577" s="153" t="n">
        <f aca="false">IF(AND($N577="MND",$Q577="EMBOQUE"),$M577,IF(AND($N577="VCA",$Q577="LINEAR"),$M577,IF(AND($N577="VCA",$Q577="PREDIAL"),0,0)))</f>
        <v>60.25</v>
      </c>
      <c r="AN577" s="153" t="n">
        <f aca="false">ROUND(IF(AND($N577="VCA",$M577&lt;&gt;"",$Q577="LINEAR"),$M577/100,IF(AND($N577="MND",$M577&gt;100,$Q577="EMBOQUE"),$M577/100,0)),0)</f>
        <v>1</v>
      </c>
      <c r="AO577" s="153" t="n">
        <f aca="false">IF(AND($N577="MND",$Q577="EMBOQUE"),$AN577*2*2,IF(AND($N577="VCA",$Q577="LINEAR"),$M577*2,IF(AND($N577="VCA",$Q577="PREDIAL"),0,0)))</f>
        <v>120.5</v>
      </c>
      <c r="AP577" s="153" t="n">
        <f aca="false">IFERROR($M577*$AF577*$AG577,0)</f>
        <v>53.3784875</v>
      </c>
      <c r="AQ577" s="153" t="n">
        <f aca="false">IFERROR(IF(AND($N577="VCA",$AH577&gt;0),$M577*$AG577*$AH577,0),0)</f>
        <v>3.91625</v>
      </c>
      <c r="AR577" s="153" t="n">
        <f aca="false">IFERROR(IF(AND($N577="VCA",$AJ577&gt;0),($M577*$AG577*$AJ577)-$AI577,0),0)</f>
        <v>14.0281734700409</v>
      </c>
      <c r="AS577" s="153" t="n">
        <f aca="false">IFERROR(IF(AND($N577="VCA",$AP577&gt;0),$AP577-$AI577-$AQ577-$AR577,0),0)</f>
        <v>35.24625</v>
      </c>
      <c r="AT577" s="153" t="n">
        <f aca="false">IFERROR(IF($N577="VCA",INDEX(APOIO_REDES!$A:$W,MATCH($C577&amp;$I577&amp;$H577&amp;$N577&amp;$O577,APOIO_REDES!$W:$W,0),MATCH(AT$5,APOIO_REDES!$5:$5,0)),0)*$AP577,0)</f>
        <v>0.58077374322583</v>
      </c>
      <c r="AU577" s="153" t="n">
        <f aca="false">IFERROR(IF($N577="VCA",INDEX(APOIO_REDES!$A:$W,MATCH($C577&amp;$I577&amp;$H577&amp;$N577&amp;$O577,APOIO_REDES!$W:$W,0),MATCH(AU$5,APOIO_REDES!$5:$5,0)),0)*$AP577,0)</f>
        <v>0.463790181992378</v>
      </c>
      <c r="AV577" s="153" t="n">
        <f aca="false">IFERROR(IF($N577="VCA",INDEX(APOIO_REDES!$A:$W,MATCH($C577&amp;$I577&amp;$H577&amp;$N577&amp;$O577,APOIO_REDES!$W:$W,0),MATCH(AV$5,APOIO_REDES!$5:$5,0)),0)*$AP577,0)</f>
        <v>0.0641849202920639</v>
      </c>
      <c r="AW577" s="153" t="n">
        <f aca="false">IFERROR(IF($N577="VCA",INDEX(APOIO_REDES!$A:$W,MATCH($C577&amp;$I577&amp;$H577&amp;$N577&amp;$O577,APOIO_REDES!$W:$W,0),MATCH(AW$5,APOIO_REDES!$5:$5,0)),0)*$AP577,0)</f>
        <v>36.6394074167037</v>
      </c>
      <c r="AX577" s="153" t="n">
        <f aca="false">IFERROR(IF($N577="VCA",INDEX(APOIO_REDES!$A:$W,MATCH($C577&amp;$I577&amp;$H577&amp;$N577&amp;$O577,APOIO_REDES!$W:$W,0),MATCH(AX$5,APOIO_REDES!$5:$5,0)),0)*$AP577,0)</f>
        <v>5.07078961714416</v>
      </c>
      <c r="AY577" s="153" t="n">
        <f aca="false">IFERROR(IF($N577="VCA",INDEX(APOIO_REDES!$A:$W,MATCH($C577&amp;$I577&amp;$H577&amp;$N577&amp;$O577,APOIO_REDES!$W:$W,0),MATCH(AY$5,APOIO_REDES!$5:$5,0)),0)*$AP577,0)</f>
        <v>9.27579798628283</v>
      </c>
      <c r="AZ577" s="153" t="n">
        <f aca="false">IFERROR(IF($N577="VCA",INDEX(APOIO_REDES!$A:$W,MATCH($C577&amp;$I577&amp;$H577&amp;$N577&amp;$O577,APOIO_REDES!$W:$W,0),MATCH(AZ$5,APOIO_REDES!$5:$5,0)),0)*$AP577,0)</f>
        <v>1.28374363435906</v>
      </c>
      <c r="BA577" s="153" t="n">
        <f aca="false">IFERROR(IF(AND($N577="VCA",$Q577="LINEAR"),INDEX(APOIO_REDES!$A:$W,MATCH($C577&amp;$I577&amp;$H577&amp;$N577&amp;$O577,APOIO_REDES!$W:$W,0),MATCH(BA$5,APOIO_REDES!$5:$5,0)),IF(AND($N577="MND",$Q577="EMBOQUE"),INDEX(APOIO_REDES!$A:$W,MATCH($C577&amp;$I577&amp;$H577&amp;$N577&amp;$O577,APOIO_REDES!$W:$W,0),MATCH(BA$5,APOIO_REDES!$5:$5,0)),0))*$M577/10,0)</f>
        <v>4.85599802418176</v>
      </c>
      <c r="BB577" s="153" t="n">
        <f aca="false">IFERROR(IF($N577="VCA",INDEX(APOIO_REDES!$A:$W,MATCH($C577&amp;$I577&amp;$H577&amp;$N577&amp;$O577,APOIO_REDES!$W:$W,0),MATCH(BB$5,APOIO_REDES!$5:$5,0)),0)*($AI577+$AQ577+$AR577),0)</f>
        <v>17.9349533891317</v>
      </c>
      <c r="BC577" s="153" t="n">
        <f aca="false">IFERROR(IF($N577="VCA",INDEX(APOIO_REDES!$A:$W,MATCH($C577&amp;$I577&amp;$H577&amp;$N577&amp;$O577,APOIO_REDES!$W:$W,0),MATCH(BC$5,APOIO_REDES!$5:$5,0)),0)*($AI577+$AQ577+$AR577),0)</f>
        <v>0.197284110868349</v>
      </c>
      <c r="BD577" s="153" t="n">
        <f aca="false">IF(AND($N577="VCA",$AF577&gt;=1.25,$AF577&lt;1.5),$M577*$AF577*2,0)</f>
        <v>164.2415</v>
      </c>
      <c r="BE577" s="153" t="n">
        <f aca="false">IF(AND($N577="VCA",$AF577&gt;=1.5,$AF577&lt;3),$M577*$AF577*2,0)</f>
        <v>0</v>
      </c>
      <c r="BF577" s="153" t="n">
        <f aca="false">IF(AND($N577="VCA",$AF577&gt;=3),$M577*$AF577*2,0)</f>
        <v>0</v>
      </c>
      <c r="BG577" s="153" t="n">
        <f aca="false">($BB577+$BC577)*$AK577</f>
        <v>68.9025025</v>
      </c>
      <c r="BH577" s="153" t="n">
        <f aca="false">IF(AND($M577&lt;&gt;"",$N577="VCA",$Q577="LINEAR"),($M577*2)/100,IF(AND($M577&lt;&gt;"",$N577="MND",$Q577="EMBOQUE"),($AN577*2)/100,0))</f>
        <v>1.205</v>
      </c>
      <c r="BI577" s="153" t="n">
        <f aca="false">IF(AND($M577&lt;&gt;"",$N577="VCA",$Q577="LINEAR"),$M577,IF(AND($M577&lt;&gt;"",$N577="MND",$Q577="EMBOQUE"),$AN577*2,0))</f>
        <v>60.25</v>
      </c>
      <c r="BJ577" s="153" t="n">
        <f aca="false">IF(AND($M577&lt;&gt;"",$N577="VCA",$Q577="LINEAR"),($M577*6.8)/100,IF(AND($M577&lt;&gt;"",$N577="MND",$Q577="EMBOQUE"),($AN577*2*6.8)/100,0))</f>
        <v>4.097</v>
      </c>
      <c r="BK577" s="153" t="n">
        <f aca="false">IF(AND($M577&lt;&gt;"",$N577="VCA",$Q577="LINEAR"),($M577*2.5)/50,IF(AND($M577&lt;&gt;"",$N577="MND",$Q577="EMBOQUE"),($AN577*2*2.5)/50,0))</f>
        <v>3.0125</v>
      </c>
      <c r="BL577" s="157" t="str">
        <f aca="false">K577&amp;J577</f>
        <v>Zona05REDES</v>
      </c>
      <c r="BM577" s="152" t="s">
        <v>3356</v>
      </c>
      <c r="BN577" s="152" t="s">
        <v>1560</v>
      </c>
      <c r="BO577" s="152" t="s">
        <v>3688</v>
      </c>
      <c r="BP577" s="152" t="s">
        <v>3723</v>
      </c>
      <c r="BQ577" s="152" t="s">
        <v>3701</v>
      </c>
      <c r="BR577" s="152" t="s">
        <v>3738</v>
      </c>
      <c r="BS577" s="152" t="n">
        <v>203359.626</v>
      </c>
      <c r="BT577" s="152" t="n">
        <v>8237392.922</v>
      </c>
      <c r="BU577" s="152" t="n">
        <v>203307.724</v>
      </c>
      <c r="BV577" s="152" t="n">
        <v>8237423.468</v>
      </c>
      <c r="BW577" s="152" t="n">
        <v>-15.924852</v>
      </c>
      <c r="BX577" s="152" t="n">
        <v>-47.7708459</v>
      </c>
      <c r="BY577" s="152" t="s">
        <v>3723</v>
      </c>
    </row>
    <row r="578" customFormat="false" ht="13.8" hidden="false" customHeight="false" outlineLevel="0" collapsed="false">
      <c r="A578" s="149" t="n">
        <f aca="false">IF(C578&lt;&gt;"",ROW(A573),"")</f>
        <v>573</v>
      </c>
      <c r="B578" s="150" t="str">
        <f aca="false">HYPERLINK("https://www.google.com/maps/dir/-15.917302,-47.760003/-15.9246154,-47.7674754/data=!4m3!4m2!3e0!5i2")</f>
        <v>https://www.google.com/maps/dir/-15.917302,-47.760003/-15.9246154,-47.7674754/data=!4m3!4m2!3e0!5i2</v>
      </c>
      <c r="C578" s="151" t="s">
        <v>117</v>
      </c>
      <c r="D578" s="152" t="s">
        <v>112</v>
      </c>
      <c r="E578" s="152" t="s">
        <v>113</v>
      </c>
      <c r="F578" s="152" t="s">
        <v>117</v>
      </c>
      <c r="G578" s="152" t="s">
        <v>114</v>
      </c>
      <c r="H578" s="152" t="n">
        <v>225</v>
      </c>
      <c r="I578" s="152" t="s">
        <v>115</v>
      </c>
      <c r="J578" s="152" t="s">
        <v>6</v>
      </c>
      <c r="K578" s="152" t="s">
        <v>3352</v>
      </c>
      <c r="L578" s="152" t="s">
        <v>120</v>
      </c>
      <c r="M578" s="153" t="n">
        <f aca="false">83.7</f>
        <v>83.7</v>
      </c>
      <c r="N578" s="152" t="s">
        <v>1548</v>
      </c>
      <c r="O578" s="152" t="s">
        <v>1549</v>
      </c>
      <c r="P578" s="152" t="s">
        <v>1550</v>
      </c>
      <c r="Q578" s="152" t="s">
        <v>1551</v>
      </c>
      <c r="R578" s="154" t="s">
        <v>3739</v>
      </c>
      <c r="S578" s="154" t="s">
        <v>1593</v>
      </c>
      <c r="T578" s="155" t="s">
        <v>3685</v>
      </c>
      <c r="U578" s="152" t="str">
        <f aca="false">RIGHT(T578,7)</f>
        <v>012/037</v>
      </c>
      <c r="V578" s="152" t="s">
        <v>1555</v>
      </c>
      <c r="W578" s="156" t="n">
        <v>45882</v>
      </c>
      <c r="X578" s="152" t="s">
        <v>1594</v>
      </c>
      <c r="Y578" s="152" t="s">
        <v>3686</v>
      </c>
      <c r="Z578" s="152" t="s">
        <v>1557</v>
      </c>
      <c r="AA578" s="153" t="n">
        <v>3.3</v>
      </c>
      <c r="AB578" s="151" t="s">
        <v>3740</v>
      </c>
      <c r="AC578" s="151" t="s">
        <v>508</v>
      </c>
      <c r="AD578" s="151" t="str">
        <f aca="false">CONCATENATE($C578,$I578,$H578,$N578,$J578,$K578)</f>
        <v>TUBO PEADPEAD225VCAREDESZona05</v>
      </c>
      <c r="AE578" s="153" t="n">
        <f aca="false">IFERROR(INDEX(APOIO_REDES!$A:$W,MATCH($C578&amp;$I578&amp;$H578&amp;$N578&amp;$O578,APOIO_REDES!$W:$W,0),MATCH(AE$5,APOIO_REDES!$5:$5,0)),0)</f>
        <v>1.2</v>
      </c>
      <c r="AF578" s="153" t="n">
        <f aca="false">IFERROR(INDEX(APOIO_REDES!$A:$W,MATCH($C578&amp;$I578&amp;$H578&amp;$N578&amp;$O578,APOIO_REDES!$W:$W,0),MATCH(AF$5,APOIO_REDES!$5:$5,0)),0)</f>
        <v>1.525</v>
      </c>
      <c r="AG578" s="153" t="n">
        <f aca="false">IFERROR(INDEX(APOIO_REDES!$A:$W,MATCH($C578&amp;$I578&amp;$H578&amp;$N578&amp;$O578,APOIO_REDES!$W:$W,0),MATCH(AG$5,APOIO_REDES!$5:$5,0)),0)</f>
        <v>0.8</v>
      </c>
      <c r="AH578" s="153" t="n">
        <f aca="false">IFERROR(INDEX(APOIO_REDES!$A:$W,MATCH($C578&amp;$I578&amp;$H578&amp;$N578&amp;$O578,APOIO_REDES!$W:$W,0),MATCH(AH$5,APOIO_REDES!$5:$5,0)),0)</f>
        <v>0.1</v>
      </c>
      <c r="AI578" s="153" t="n">
        <f aca="false">IFERROR(IF($H578&lt;&gt;"",(((($H578/1000)/2)^2)*PI()*$M578),0),0)</f>
        <v>3.32797745524105</v>
      </c>
      <c r="AJ578" s="153" t="n">
        <f aca="false">IFERROR(IF(AND($H578&lt;&gt;"",$I578="FoFo",OR($N578="MND",$N578="VCA"),$Q578="LINEAR"),0,IF(AND($H578&lt;&gt;"",$I578="PEAD",$N578="VCA",$Q578="LINEAR"),($H578/1000)+0.3,IF(AND($H578&lt;&gt;"",$I578="PEAD",$N578="MND",$Q578="EMBOQUE"),0,IF(AND($H578&lt;&gt;"",$I578="PVC",$N578="VCA",$Q578="LINEAR"),($H578/1000)+0.2,IF(AND($H578&lt;&gt;"",$I578="PVC",$N578="MND",$Q578="EMBOQUE"),0,IF(AND($H578&lt;&gt;"",$I578="PEAD",$N578="VCA",$Q578="PREDIAL"),0,0)))))),0)</f>
        <v>0.525</v>
      </c>
      <c r="AK578" s="153" t="n">
        <f aca="false">IF(AA578&lt;&gt;"",AA578,0)</f>
        <v>3.3</v>
      </c>
      <c r="AL578" s="153" t="n">
        <f aca="false">IF(AND($N578="MND",$Q578="EMBOQUE"),$M578,IF(AND($N578="VCA",$Q578="LINEAR"),$M578,IF(AND($N578="VCA",$Q578="PREDIAL"),0,0)))</f>
        <v>83.7</v>
      </c>
      <c r="AM578" s="153" t="n">
        <f aca="false">IF(AND($N578="MND",$Q578="EMBOQUE"),$M578,IF(AND($N578="VCA",$Q578="LINEAR"),$M578,IF(AND($N578="VCA",$Q578="PREDIAL"),0,0)))</f>
        <v>83.7</v>
      </c>
      <c r="AN578" s="153" t="n">
        <f aca="false">ROUND(IF(AND($N578="VCA",$M578&lt;&gt;"",$Q578="LINEAR"),$M578/100,IF(AND($N578="MND",$M578&gt;100,$Q578="EMBOQUE"),$M578/100,0)),0)</f>
        <v>1</v>
      </c>
      <c r="AO578" s="153" t="n">
        <f aca="false">IF(AND($N578="MND",$Q578="EMBOQUE"),$AN578*2*2,IF(AND($N578="VCA",$Q578="LINEAR"),$M578*2,IF(AND($N578="VCA",$Q578="PREDIAL"),0,0)))</f>
        <v>167.4</v>
      </c>
      <c r="AP578" s="153" t="n">
        <f aca="false">IFERROR($M578*$AF578*$AG578,0)</f>
        <v>102.114</v>
      </c>
      <c r="AQ578" s="153" t="n">
        <f aca="false">IFERROR(IF(AND($N578="VCA",$AH578&gt;0),$M578*$AG578*$AH578,0),0)</f>
        <v>6.696</v>
      </c>
      <c r="AR578" s="153" t="n">
        <f aca="false">IFERROR(IF(AND($N578="VCA",$AJ578&gt;0),($M578*$AG578*$AJ578)-$AI578,0),0)</f>
        <v>31.826022544759</v>
      </c>
      <c r="AS578" s="153" t="n">
        <f aca="false">IFERROR(IF(AND($N578="VCA",$AP578&gt;0),$AP578-$AI578-$AQ578-$AR578,0),0)</f>
        <v>60.264</v>
      </c>
      <c r="AT578" s="153" t="n">
        <f aca="false">IFERROR(IF($N578="VCA",INDEX(APOIO_REDES!$A:$W,MATCH($C578&amp;$I578&amp;$H578&amp;$N578&amp;$O578,APOIO_REDES!$W:$W,0),MATCH(AT$5,APOIO_REDES!$5:$5,0)),0)*$AP578,0)</f>
        <v>1.11103054420121</v>
      </c>
      <c r="AU578" s="153" t="n">
        <f aca="false">IFERROR(IF($N578="VCA",INDEX(APOIO_REDES!$A:$W,MATCH($C578&amp;$I578&amp;$H578&amp;$N578&amp;$O578,APOIO_REDES!$W:$W,0),MATCH(AU$5,APOIO_REDES!$5:$5,0)),0)*$AP578,0)</f>
        <v>0.887238902075854</v>
      </c>
      <c r="AV578" s="153" t="n">
        <f aca="false">IFERROR(IF($N578="VCA",INDEX(APOIO_REDES!$A:$W,MATCH($C578&amp;$I578&amp;$H578&amp;$N578&amp;$O578,APOIO_REDES!$W:$W,0),MATCH(AV$5,APOIO_REDES!$5:$5,0)),0)*$AP578,0)</f>
        <v>0.122786898948829</v>
      </c>
      <c r="AW578" s="153" t="n">
        <f aca="false">IFERROR(IF($N578="VCA",INDEX(APOIO_REDES!$A:$W,MATCH($C578&amp;$I578&amp;$H578&amp;$N578&amp;$O578,APOIO_REDES!$W:$W,0),MATCH(AW$5,APOIO_REDES!$5:$5,0)),0)*$AP578,0)</f>
        <v>70.0918408178816</v>
      </c>
      <c r="AX578" s="153" t="n">
        <f aca="false">IFERROR(IF($N578="VCA",INDEX(APOIO_REDES!$A:$W,MATCH($C578&amp;$I578&amp;$H578&amp;$N578&amp;$O578,APOIO_REDES!$W:$W,0),MATCH(AX$5,APOIO_REDES!$5:$5,0)),0)*$AP578,0)</f>
        <v>9.70051110880688</v>
      </c>
      <c r="AY578" s="153" t="n">
        <f aca="false">IFERROR(IF($N578="VCA",INDEX(APOIO_REDES!$A:$W,MATCH($C578&amp;$I578&amp;$H578&amp;$N578&amp;$O578,APOIO_REDES!$W:$W,0),MATCH(AY$5,APOIO_REDES!$5:$5,0)),0)*$AP578,0)</f>
        <v>17.7447672261468</v>
      </c>
      <c r="AZ578" s="153" t="n">
        <f aca="false">IFERROR(IF($N578="VCA",INDEX(APOIO_REDES!$A:$W,MATCH($C578&amp;$I578&amp;$H578&amp;$N578&amp;$O578,APOIO_REDES!$W:$W,0),MATCH(AZ$5,APOIO_REDES!$5:$5,0)),0)*$AP578,0)</f>
        <v>2.45582450193893</v>
      </c>
      <c r="BA578" s="153" t="n">
        <f aca="false">IFERROR(IF(AND($N578="VCA",$Q578="LINEAR"),INDEX(APOIO_REDES!$A:$W,MATCH($C578&amp;$I578&amp;$H578&amp;$N578&amp;$O578,APOIO_REDES!$W:$W,0),MATCH(BA$5,APOIO_REDES!$5:$5,0)),IF(AND($N578="MND",$Q578="EMBOQUE"),INDEX(APOIO_REDES!$A:$W,MATCH($C578&amp;$I578&amp;$H578&amp;$N578&amp;$O578,APOIO_REDES!$W:$W,0),MATCH(BA$5,APOIO_REDES!$5:$5,0)),0))*$M578/10,0)</f>
        <v>6.74600887342761</v>
      </c>
      <c r="BB578" s="153" t="n">
        <f aca="false">IFERROR(IF($N578="VCA",INDEX(APOIO_REDES!$A:$W,MATCH($C578&amp;$I578&amp;$H578&amp;$N578&amp;$O578,APOIO_REDES!$W:$W,0),MATCH(BB$5,APOIO_REDES!$5:$5,0)),0)*($AI578+$AQ578+$AR578),0)</f>
        <v>41.3946596130323</v>
      </c>
      <c r="BC578" s="153" t="n">
        <f aca="false">IFERROR(IF($N578="VCA",INDEX(APOIO_REDES!$A:$W,MATCH($C578&amp;$I578&amp;$H578&amp;$N578&amp;$O578,APOIO_REDES!$W:$W,0),MATCH(BC$5,APOIO_REDES!$5:$5,0)),0)*($AI578+$AQ578+$AR578),0)</f>
        <v>0.455340386967709</v>
      </c>
      <c r="BD578" s="153" t="n">
        <f aca="false">IF(AND($N578="VCA",$AF578&gt;=1.25,$AF578&lt;1.5),$M578*$AF578*2,0)</f>
        <v>0</v>
      </c>
      <c r="BE578" s="153" t="n">
        <f aca="false">IF(AND($N578="VCA",$AF578&gt;=1.5,$AF578&lt;3),$M578*$AF578*2,0)</f>
        <v>255.285</v>
      </c>
      <c r="BF578" s="153" t="n">
        <f aca="false">IF(AND($N578="VCA",$AF578&gt;=3),$M578*$AF578*2,0)</f>
        <v>0</v>
      </c>
      <c r="BG578" s="153" t="n">
        <f aca="false">($BB578+$BC578)*$AK578</f>
        <v>138.105</v>
      </c>
      <c r="BH578" s="153" t="n">
        <f aca="false">IF(AND($M578&lt;&gt;"",$N578="VCA",$Q578="LINEAR"),($M578*2)/100,IF(AND($M578&lt;&gt;"",$N578="MND",$Q578="EMBOQUE"),($AN578*2)/100,0))</f>
        <v>1.674</v>
      </c>
      <c r="BI578" s="153" t="n">
        <f aca="false">IF(AND($M578&lt;&gt;"",$N578="VCA",$Q578="LINEAR"),$M578,IF(AND($M578&lt;&gt;"",$N578="MND",$Q578="EMBOQUE"),$AN578*2,0))</f>
        <v>83.7</v>
      </c>
      <c r="BJ578" s="153" t="n">
        <f aca="false">IF(AND($M578&lt;&gt;"",$N578="VCA",$Q578="LINEAR"),($M578*6.8)/100,IF(AND($M578&lt;&gt;"",$N578="MND",$Q578="EMBOQUE"),($AN578*2*6.8)/100,0))</f>
        <v>5.6916</v>
      </c>
      <c r="BK578" s="153" t="n">
        <f aca="false">IF(AND($M578&lt;&gt;"",$N578="VCA",$Q578="LINEAR"),($M578*2.5)/50,IF(AND($M578&lt;&gt;"",$N578="MND",$Q578="EMBOQUE"),($AN578*2*2.5)/50,0))</f>
        <v>4.185</v>
      </c>
      <c r="BL578" s="157" t="str">
        <f aca="false">K578&amp;J578</f>
        <v>Zona05REDES</v>
      </c>
      <c r="BM578" s="152" t="s">
        <v>3356</v>
      </c>
      <c r="BN578" s="152" t="s">
        <v>1560</v>
      </c>
      <c r="BO578" s="152" t="s">
        <v>3688</v>
      </c>
      <c r="BP578" s="152" t="s">
        <v>3693</v>
      </c>
      <c r="BQ578" s="152" t="s">
        <v>3718</v>
      </c>
      <c r="BR578" s="152" t="s">
        <v>3741</v>
      </c>
      <c r="BS578" s="152" t="n">
        <v>203694.156</v>
      </c>
      <c r="BT578" s="152" t="n">
        <v>8237438.701</v>
      </c>
      <c r="BU578" s="152" t="n">
        <v>203686.724</v>
      </c>
      <c r="BV578" s="152" t="n">
        <v>8237357.286</v>
      </c>
      <c r="BW578" s="152" t="n">
        <v>-15.9249892</v>
      </c>
      <c r="BX578" s="152" t="n">
        <v>-47.7674434</v>
      </c>
      <c r="BY578" s="152" t="s">
        <v>3693</v>
      </c>
    </row>
    <row r="579" customFormat="false" ht="13.8" hidden="false" customHeight="false" outlineLevel="0" collapsed="false">
      <c r="A579" s="149" t="n">
        <f aca="false">IF(C579&lt;&gt;"",ROW(A574),"")</f>
        <v>574</v>
      </c>
      <c r="B579" s="150" t="str">
        <f aca="false">HYPERLINK("https://www.google.com/maps/dir/-15.917302,-47.760003/-15.9249667,-47.7699448/data=!4m3!4m2!3e0!5i2")</f>
        <v>https://www.google.com/maps/dir/-15.917302,-47.760003/-15.9249667,-47.7699448/data=!4m3!4m2!3e0!5i2</v>
      </c>
      <c r="C579" s="151" t="s">
        <v>117</v>
      </c>
      <c r="D579" s="152" t="s">
        <v>112</v>
      </c>
      <c r="E579" s="152" t="s">
        <v>113</v>
      </c>
      <c r="F579" s="152" t="s">
        <v>117</v>
      </c>
      <c r="G579" s="152" t="s">
        <v>782</v>
      </c>
      <c r="H579" s="152" t="n">
        <v>63</v>
      </c>
      <c r="I579" s="152" t="s">
        <v>115</v>
      </c>
      <c r="J579" s="152" t="s">
        <v>6</v>
      </c>
      <c r="K579" s="152" t="s">
        <v>3352</v>
      </c>
      <c r="L579" s="152" t="s">
        <v>120</v>
      </c>
      <c r="M579" s="153" t="n">
        <f aca="false">37.4</f>
        <v>37.4</v>
      </c>
      <c r="N579" s="152" t="s">
        <v>1548</v>
      </c>
      <c r="O579" s="152" t="s">
        <v>1549</v>
      </c>
      <c r="P579" s="152" t="s">
        <v>1550</v>
      </c>
      <c r="Q579" s="152" t="s">
        <v>1551</v>
      </c>
      <c r="R579" s="154" t="s">
        <v>3742</v>
      </c>
      <c r="S579" s="154" t="s">
        <v>1553</v>
      </c>
      <c r="T579" s="155" t="s">
        <v>3685</v>
      </c>
      <c r="U579" s="152" t="str">
        <f aca="false">RIGHT(T579,7)</f>
        <v>012/037</v>
      </c>
      <c r="V579" s="152" t="s">
        <v>1555</v>
      </c>
      <c r="W579" s="156" t="n">
        <v>45882</v>
      </c>
      <c r="X579" s="152" t="s">
        <v>1594</v>
      </c>
      <c r="Y579" s="152" t="s">
        <v>3743</v>
      </c>
      <c r="Z579" s="152" t="s">
        <v>1557</v>
      </c>
      <c r="AA579" s="153" t="n">
        <v>3.8</v>
      </c>
      <c r="AB579" s="151" t="s">
        <v>3744</v>
      </c>
      <c r="AC579" s="151" t="s">
        <v>186</v>
      </c>
      <c r="AD579" s="151" t="str">
        <f aca="false">CONCATENATE($C579,$I579,$H579,$N579,$J579,$K579)</f>
        <v>TUBO PEADPEAD63VCAREDESZona05</v>
      </c>
      <c r="AE579" s="153" t="n">
        <f aca="false">IFERROR(INDEX(APOIO_REDES!$A:$W,MATCH($C579&amp;$I579&amp;$H579&amp;$N579&amp;$O579,APOIO_REDES!$W:$W,0),MATCH(AE$5,APOIO_REDES!$5:$5,0)),0)</f>
        <v>1.2</v>
      </c>
      <c r="AF579" s="153" t="n">
        <f aca="false">IFERROR(INDEX(APOIO_REDES!$A:$W,MATCH($C579&amp;$I579&amp;$H579&amp;$N579&amp;$O579,APOIO_REDES!$W:$W,0),MATCH(AF$5,APOIO_REDES!$5:$5,0)),0)</f>
        <v>1.363</v>
      </c>
      <c r="AG579" s="153" t="n">
        <f aca="false">IFERROR(INDEX(APOIO_REDES!$A:$W,MATCH($C579&amp;$I579&amp;$H579&amp;$N579&amp;$O579,APOIO_REDES!$W:$W,0),MATCH(AG$5,APOIO_REDES!$5:$5,0)),0)</f>
        <v>0.65</v>
      </c>
      <c r="AH579" s="153" t="n">
        <f aca="false">IFERROR(INDEX(APOIO_REDES!$A:$W,MATCH($C579&amp;$I579&amp;$H579&amp;$N579&amp;$O579,APOIO_REDES!$W:$W,0),MATCH(AH$5,APOIO_REDES!$5:$5,0)),0)</f>
        <v>0.1</v>
      </c>
      <c r="AI579" s="153" t="n">
        <f aca="false">IFERROR(IF($H579&lt;&gt;"",(((($H579/1000)/2)^2)*PI()*$M579),0),0)</f>
        <v>0.116584974613615</v>
      </c>
      <c r="AJ579" s="153" t="n">
        <f aca="false">IFERROR(IF(AND($H579&lt;&gt;"",$I579="FoFo",OR($N579="MND",$N579="VCA"),$Q579="LINEAR"),0,IF(AND($H579&lt;&gt;"",$I579="PEAD",$N579="VCA",$Q579="LINEAR"),($H579/1000)+0.3,IF(AND($H579&lt;&gt;"",$I579="PEAD",$N579="MND",$Q579="EMBOQUE"),0,IF(AND($H579&lt;&gt;"",$I579="PVC",$N579="VCA",$Q579="LINEAR"),($H579/1000)+0.2,IF(AND($H579&lt;&gt;"",$I579="PVC",$N579="MND",$Q579="EMBOQUE"),0,IF(AND($H579&lt;&gt;"",$I579="PEAD",$N579="VCA",$Q579="PREDIAL"),0,0)))))),0)</f>
        <v>0.363</v>
      </c>
      <c r="AK579" s="153" t="n">
        <f aca="false">IF(AA579&lt;&gt;"",AA579,0)</f>
        <v>3.8</v>
      </c>
      <c r="AL579" s="153" t="n">
        <f aca="false">IF(AND($N579="MND",$Q579="EMBOQUE"),$M579,IF(AND($N579="VCA",$Q579="LINEAR"),$M579,IF(AND($N579="VCA",$Q579="PREDIAL"),0,0)))</f>
        <v>37.4</v>
      </c>
      <c r="AM579" s="153" t="n">
        <f aca="false">IF(AND($N579="MND",$Q579="EMBOQUE"),$M579,IF(AND($N579="VCA",$Q579="LINEAR"),$M579,IF(AND($N579="VCA",$Q579="PREDIAL"),0,0)))</f>
        <v>37.4</v>
      </c>
      <c r="AN579" s="153" t="n">
        <f aca="false">ROUND(IF(AND($N579="VCA",$M579&lt;&gt;"",$Q579="LINEAR"),$M579/100,IF(AND($N579="MND",$M579&gt;100,$Q579="EMBOQUE"),$M579/100,0)),0)</f>
        <v>0</v>
      </c>
      <c r="AO579" s="153" t="n">
        <f aca="false">IF(AND($N579="MND",$Q579="EMBOQUE"),$AN579*2*2,IF(AND($N579="VCA",$Q579="LINEAR"),$M579*2,IF(AND($N579="VCA",$Q579="PREDIAL"),0,0)))</f>
        <v>74.8</v>
      </c>
      <c r="AP579" s="153" t="n">
        <f aca="false">IFERROR($M579*$AF579*$AG579,0)</f>
        <v>33.13453</v>
      </c>
      <c r="AQ579" s="153" t="n">
        <f aca="false">IFERROR(IF(AND($N579="VCA",$AH579&gt;0),$M579*$AG579*$AH579,0),0)</f>
        <v>2.431</v>
      </c>
      <c r="AR579" s="153" t="n">
        <f aca="false">IFERROR(IF(AND($N579="VCA",$AJ579&gt;0),($M579*$AG579*$AJ579)-$AI579,0),0)</f>
        <v>8.70794502538638</v>
      </c>
      <c r="AS579" s="153" t="n">
        <f aca="false">IFERROR(IF(AND($N579="VCA",$AP579&gt;0),$AP579-$AI579-$AQ579-$AR579,0),0)</f>
        <v>21.879</v>
      </c>
      <c r="AT579" s="153" t="n">
        <f aca="false">IFERROR(IF($N579="VCA",INDEX(APOIO_REDES!$A:$W,MATCH($C579&amp;$I579&amp;$H579&amp;$N579&amp;$O579,APOIO_REDES!$W:$W,0),MATCH(AT$5,APOIO_REDES!$5:$5,0)),0)*$AP579,0)</f>
        <v>0.360513493720266</v>
      </c>
      <c r="AU579" s="153" t="n">
        <f aca="false">IFERROR(IF($N579="VCA",INDEX(APOIO_REDES!$A:$W,MATCH($C579&amp;$I579&amp;$H579&amp;$N579&amp;$O579,APOIO_REDES!$W:$W,0),MATCH(AU$5,APOIO_REDES!$5:$5,0)),0)*$AP579,0)</f>
        <v>0.287896312141327</v>
      </c>
      <c r="AV579" s="153" t="n">
        <f aca="false">IFERROR(IF($N579="VCA",INDEX(APOIO_REDES!$A:$W,MATCH($C579&amp;$I579&amp;$H579&amp;$N579&amp;$O579,APOIO_REDES!$W:$W,0),MATCH(AV$5,APOIO_REDES!$5:$5,0)),0)*$AP579,0)</f>
        <v>0.0398425895256961</v>
      </c>
      <c r="AW579" s="153" t="n">
        <f aca="false">IFERROR(IF($N579="VCA",INDEX(APOIO_REDES!$A:$W,MATCH($C579&amp;$I579&amp;$H579&amp;$N579&amp;$O579,APOIO_REDES!$W:$W,0),MATCH(AW$5,APOIO_REDES!$5:$5,0)),0)*$AP579,0)</f>
        <v>22.7437981308667</v>
      </c>
      <c r="AX579" s="153" t="n">
        <f aca="false">IFERROR(IF($N579="VCA",INDEX(APOIO_REDES!$A:$W,MATCH($C579&amp;$I579&amp;$H579&amp;$N579&amp;$O579,APOIO_REDES!$W:$W,0),MATCH(AX$5,APOIO_REDES!$5:$5,0)),0)*$AP579,0)</f>
        <v>3.14767687437663</v>
      </c>
      <c r="AY579" s="153" t="n">
        <f aca="false">IFERROR(IF($N579="VCA",INDEX(APOIO_REDES!$A:$W,MATCH($C579&amp;$I579&amp;$H579&amp;$N579&amp;$O579,APOIO_REDES!$W:$W,0),MATCH(AY$5,APOIO_REDES!$5:$5,0)),0)*$AP579,0)</f>
        <v>5.75792273339382</v>
      </c>
      <c r="AZ579" s="153" t="n">
        <f aca="false">IFERROR(IF($N579="VCA",INDEX(APOIO_REDES!$A:$W,MATCH($C579&amp;$I579&amp;$H579&amp;$N579&amp;$O579,APOIO_REDES!$W:$W,0),MATCH(AZ$5,APOIO_REDES!$5:$5,0)),0)*$AP579,0)</f>
        <v>0.796879865975581</v>
      </c>
      <c r="BA579" s="153" t="n">
        <f aca="false">IFERROR(IF(AND($N579="VCA",$Q579="LINEAR"),INDEX(APOIO_REDES!$A:$W,MATCH($C579&amp;$I579&amp;$H579&amp;$N579&amp;$O579,APOIO_REDES!$W:$W,0),MATCH(BA$5,APOIO_REDES!$5:$5,0)),IF(AND($N579="MND",$Q579="EMBOQUE"),INDEX(APOIO_REDES!$A:$W,MATCH($C579&amp;$I579&amp;$H579&amp;$N579&amp;$O579,APOIO_REDES!$W:$W,0),MATCH(BA$5,APOIO_REDES!$5:$5,0)),0))*$M579/10,0)</f>
        <v>3.01434566148378</v>
      </c>
      <c r="BB579" s="153" t="n">
        <f aca="false">IFERROR(IF($N579="VCA",INDEX(APOIO_REDES!$A:$W,MATCH($C579&amp;$I579&amp;$H579&amp;$N579&amp;$O579,APOIO_REDES!$W:$W,0),MATCH(BB$5,APOIO_REDES!$5:$5,0)),0)*($AI579+$AQ579+$AR579),0)</f>
        <v>11.1330665021332</v>
      </c>
      <c r="BC579" s="153" t="n">
        <f aca="false">IFERROR(IF($N579="VCA",INDEX(APOIO_REDES!$A:$W,MATCH($C579&amp;$I579&amp;$H579&amp;$N579&amp;$O579,APOIO_REDES!$W:$W,0),MATCH(BC$5,APOIO_REDES!$5:$5,0)),0)*($AI579+$AQ579+$AR579),0)</f>
        <v>0.122463497866826</v>
      </c>
      <c r="BD579" s="153" t="n">
        <f aca="false">IF(AND($N579="VCA",$AF579&gt;=1.25,$AF579&lt;1.5),$M579*$AF579*2,0)</f>
        <v>101.9524</v>
      </c>
      <c r="BE579" s="153" t="n">
        <f aca="false">IF(AND($N579="VCA",$AF579&gt;=1.5,$AF579&lt;3),$M579*$AF579*2,0)</f>
        <v>0</v>
      </c>
      <c r="BF579" s="153" t="n">
        <f aca="false">IF(AND($N579="VCA",$AF579&gt;=3),$M579*$AF579*2,0)</f>
        <v>0</v>
      </c>
      <c r="BG579" s="153" t="n">
        <f aca="false">($BB579+$BC579)*$AK579</f>
        <v>42.771014</v>
      </c>
      <c r="BH579" s="153" t="n">
        <f aca="false">IF(AND($M579&lt;&gt;"",$N579="VCA",$Q579="LINEAR"),($M579*2)/100,IF(AND($M579&lt;&gt;"",$N579="MND",$Q579="EMBOQUE"),($AN579*2)/100,0))</f>
        <v>0.748</v>
      </c>
      <c r="BI579" s="153" t="n">
        <f aca="false">IF(AND($M579&lt;&gt;"",$N579="VCA",$Q579="LINEAR"),$M579,IF(AND($M579&lt;&gt;"",$N579="MND",$Q579="EMBOQUE"),$AN579*2,0))</f>
        <v>37.4</v>
      </c>
      <c r="BJ579" s="153" t="n">
        <f aca="false">IF(AND($M579&lt;&gt;"",$N579="VCA",$Q579="LINEAR"),($M579*6.8)/100,IF(AND($M579&lt;&gt;"",$N579="MND",$Q579="EMBOQUE"),($AN579*2*6.8)/100,0))</f>
        <v>2.5432</v>
      </c>
      <c r="BK579" s="153" t="n">
        <f aca="false">IF(AND($M579&lt;&gt;"",$N579="VCA",$Q579="LINEAR"),($M579*2.5)/50,IF(AND($M579&lt;&gt;"",$N579="MND",$Q579="EMBOQUE"),($AN579*2*2.5)/50,0))</f>
        <v>1.87</v>
      </c>
      <c r="BL579" s="157" t="str">
        <f aca="false">K579&amp;J579</f>
        <v>Zona05REDES</v>
      </c>
      <c r="BM579" s="152" t="s">
        <v>3356</v>
      </c>
      <c r="BN579" s="152" t="s">
        <v>1560</v>
      </c>
      <c r="BO579" s="152" t="s">
        <v>3688</v>
      </c>
      <c r="BP579" s="152" t="s">
        <v>3730</v>
      </c>
      <c r="BQ579" s="152" t="s">
        <v>3745</v>
      </c>
      <c r="BR579" s="152" t="s">
        <v>3746</v>
      </c>
      <c r="BS579" s="152" t="n">
        <v>203430.103</v>
      </c>
      <c r="BT579" s="152" t="n">
        <v>8237396.294</v>
      </c>
      <c r="BU579" s="152" t="n">
        <v>203411.008</v>
      </c>
      <c r="BV579" s="152" t="n">
        <v>8237364.15</v>
      </c>
      <c r="BW579" s="152" t="n">
        <v>-15.9251117</v>
      </c>
      <c r="BX579" s="152" t="n">
        <v>-47.7700343</v>
      </c>
      <c r="BY579" s="152" t="s">
        <v>3730</v>
      </c>
    </row>
    <row r="580" customFormat="false" ht="13.8" hidden="false" customHeight="false" outlineLevel="0" collapsed="false">
      <c r="A580" s="149" t="n">
        <f aca="false">IF(C580&lt;&gt;"",ROW(A575),"")</f>
        <v>575</v>
      </c>
      <c r="B580" s="150" t="str">
        <f aca="false">HYPERLINK("https://www.google.com/maps/dir/-15.917302,-47.760003/-15.9252547,-47.7701270/data=!4m3!4m2!3e0!5i0")</f>
        <v>https://www.google.com/maps/dir/-15.917302,-47.760003/-15.9252547,-47.7701270/data=!4m3!4m2!3e0!5i0</v>
      </c>
      <c r="C580" s="151" t="s">
        <v>117</v>
      </c>
      <c r="D580" s="152" t="s">
        <v>112</v>
      </c>
      <c r="E580" s="152" t="s">
        <v>113</v>
      </c>
      <c r="F580" s="152" t="s">
        <v>117</v>
      </c>
      <c r="G580" s="152" t="s">
        <v>782</v>
      </c>
      <c r="H580" s="152" t="n">
        <v>63</v>
      </c>
      <c r="I580" s="152" t="s">
        <v>115</v>
      </c>
      <c r="J580" s="152" t="s">
        <v>6</v>
      </c>
      <c r="K580" s="152" t="s">
        <v>3352</v>
      </c>
      <c r="L580" s="152" t="s">
        <v>120</v>
      </c>
      <c r="M580" s="153" t="n">
        <f aca="false">57.86</f>
        <v>57.86</v>
      </c>
      <c r="N580" s="152" t="s">
        <v>1548</v>
      </c>
      <c r="O580" s="152" t="s">
        <v>1549</v>
      </c>
      <c r="P580" s="152" t="s">
        <v>1550</v>
      </c>
      <c r="Q580" s="152" t="s">
        <v>1551</v>
      </c>
      <c r="R580" s="154" t="s">
        <v>3747</v>
      </c>
      <c r="S580" s="154" t="s">
        <v>1553</v>
      </c>
      <c r="T580" s="155" t="s">
        <v>3685</v>
      </c>
      <c r="U580" s="152" t="str">
        <f aca="false">RIGHT(T580,7)</f>
        <v>012/037</v>
      </c>
      <c r="V580" s="152" t="s">
        <v>1555</v>
      </c>
      <c r="W580" s="156" t="n">
        <v>45882</v>
      </c>
      <c r="X580" s="152" t="s">
        <v>1594</v>
      </c>
      <c r="Y580" s="152" t="s">
        <v>3721</v>
      </c>
      <c r="Z580" s="152" t="s">
        <v>1557</v>
      </c>
      <c r="AA580" s="153" t="n">
        <v>2.8</v>
      </c>
      <c r="AB580" s="151" t="s">
        <v>3748</v>
      </c>
      <c r="AC580" s="151" t="s">
        <v>186</v>
      </c>
      <c r="AD580" s="151" t="str">
        <f aca="false">CONCATENATE($C580,$I580,$H580,$N580,$J580,$K580)</f>
        <v>TUBO PEADPEAD63VCAREDESZona05</v>
      </c>
      <c r="AE580" s="153" t="n">
        <f aca="false">IFERROR(INDEX(APOIO_REDES!$A:$W,MATCH($C580&amp;$I580&amp;$H580&amp;$N580&amp;$O580,APOIO_REDES!$W:$W,0),MATCH(AE$5,APOIO_REDES!$5:$5,0)),0)</f>
        <v>1.2</v>
      </c>
      <c r="AF580" s="153" t="n">
        <f aca="false">IFERROR(INDEX(APOIO_REDES!$A:$W,MATCH($C580&amp;$I580&amp;$H580&amp;$N580&amp;$O580,APOIO_REDES!$W:$W,0),MATCH(AF$5,APOIO_REDES!$5:$5,0)),0)</f>
        <v>1.363</v>
      </c>
      <c r="AG580" s="153" t="n">
        <f aca="false">IFERROR(INDEX(APOIO_REDES!$A:$W,MATCH($C580&amp;$I580&amp;$H580&amp;$N580&amp;$O580,APOIO_REDES!$W:$W,0),MATCH(AG$5,APOIO_REDES!$5:$5,0)),0)</f>
        <v>0.65</v>
      </c>
      <c r="AH580" s="153" t="n">
        <f aca="false">IFERROR(INDEX(APOIO_REDES!$A:$W,MATCH($C580&amp;$I580&amp;$H580&amp;$N580&amp;$O580,APOIO_REDES!$W:$W,0),MATCH(AH$5,APOIO_REDES!$5:$5,0)),0)</f>
        <v>0.1</v>
      </c>
      <c r="AI580" s="153" t="n">
        <f aca="false">IFERROR(IF($H580&lt;&gt;"",(((($H580/1000)/2)^2)*PI()*$M580),0),0)</f>
        <v>0.180363813666946</v>
      </c>
      <c r="AJ580" s="153" t="n">
        <f aca="false">IFERROR(IF(AND($H580&lt;&gt;"",$I580="FoFo",OR($N580="MND",$N580="VCA"),$Q580="LINEAR"),0,IF(AND($H580&lt;&gt;"",$I580="PEAD",$N580="VCA",$Q580="LINEAR"),($H580/1000)+0.3,IF(AND($H580&lt;&gt;"",$I580="PEAD",$N580="MND",$Q580="EMBOQUE"),0,IF(AND($H580&lt;&gt;"",$I580="PVC",$N580="VCA",$Q580="LINEAR"),($H580/1000)+0.2,IF(AND($H580&lt;&gt;"",$I580="PVC",$N580="MND",$Q580="EMBOQUE"),0,IF(AND($H580&lt;&gt;"",$I580="PEAD",$N580="VCA",$Q580="PREDIAL"),0,0)))))),0)</f>
        <v>0.363</v>
      </c>
      <c r="AK580" s="153" t="n">
        <f aca="false">IF(AA580&lt;&gt;"",AA580,0)</f>
        <v>2.8</v>
      </c>
      <c r="AL580" s="153" t="n">
        <f aca="false">IF(AND($N580="MND",$Q580="EMBOQUE"),$M580,IF(AND($N580="VCA",$Q580="LINEAR"),$M580,IF(AND($N580="VCA",$Q580="PREDIAL"),0,0)))</f>
        <v>57.86</v>
      </c>
      <c r="AM580" s="153" t="n">
        <f aca="false">IF(AND($N580="MND",$Q580="EMBOQUE"),$M580,IF(AND($N580="VCA",$Q580="LINEAR"),$M580,IF(AND($N580="VCA",$Q580="PREDIAL"),0,0)))</f>
        <v>57.86</v>
      </c>
      <c r="AN580" s="153" t="n">
        <f aca="false">ROUND(IF(AND($N580="VCA",$M580&lt;&gt;"",$Q580="LINEAR"),$M580/100,IF(AND($N580="MND",$M580&gt;100,$Q580="EMBOQUE"),$M580/100,0)),0)</f>
        <v>1</v>
      </c>
      <c r="AO580" s="153" t="n">
        <f aca="false">IF(AND($N580="MND",$Q580="EMBOQUE"),$AN580*2*2,IF(AND($N580="VCA",$Q580="LINEAR"),$M580*2,IF(AND($N580="VCA",$Q580="PREDIAL"),0,0)))</f>
        <v>115.72</v>
      </c>
      <c r="AP580" s="153" t="n">
        <f aca="false">IFERROR($M580*$AF580*$AG580,0)</f>
        <v>51.261067</v>
      </c>
      <c r="AQ580" s="153" t="n">
        <f aca="false">IFERROR(IF(AND($N580="VCA",$AH580&gt;0),$M580*$AG580*$AH580,0),0)</f>
        <v>3.7609</v>
      </c>
      <c r="AR580" s="153" t="n">
        <f aca="false">IFERROR(IF(AND($N580="VCA",$AJ580&gt;0),($M580*$AG580*$AJ580)-$AI580,0),0)</f>
        <v>13.4717031863331</v>
      </c>
      <c r="AS580" s="153" t="n">
        <f aca="false">IFERROR(IF(AND($N580="VCA",$AP580&gt;0),$AP580-$AI580-$AQ580-$AR580,0),0)</f>
        <v>33.8481</v>
      </c>
      <c r="AT580" s="153" t="n">
        <f aca="false">IFERROR(IF($N580="VCA",INDEX(APOIO_REDES!$A:$W,MATCH($C580&amp;$I580&amp;$H580&amp;$N580&amp;$O580,APOIO_REDES!$W:$W,0),MATCH(AT$5,APOIO_REDES!$5:$5,0)),0)*$AP580,0)</f>
        <v>0.557735581461353</v>
      </c>
      <c r="AU580" s="153" t="n">
        <f aca="false">IFERROR(IF($N580="VCA",INDEX(APOIO_REDES!$A:$W,MATCH($C580&amp;$I580&amp;$H580&amp;$N580&amp;$O580,APOIO_REDES!$W:$W,0),MATCH(AU$5,APOIO_REDES!$5:$5,0)),0)*$AP580,0)</f>
        <v>0.445392529959817</v>
      </c>
      <c r="AV580" s="153" t="n">
        <f aca="false">IFERROR(IF($N580="VCA",INDEX(APOIO_REDES!$A:$W,MATCH($C580&amp;$I580&amp;$H580&amp;$N580&amp;$O580,APOIO_REDES!$W:$W,0),MATCH(AV$5,APOIO_REDES!$5:$5,0)),0)*$AP580,0)</f>
        <v>0.0616388296779887</v>
      </c>
      <c r="AW580" s="153" t="n">
        <f aca="false">IFERROR(IF($N580="VCA",INDEX(APOIO_REDES!$A:$W,MATCH($C580&amp;$I580&amp;$H580&amp;$N580&amp;$O580,APOIO_REDES!$W:$W,0),MATCH(AW$5,APOIO_REDES!$5:$5,0)),0)*$AP580,0)</f>
        <v>35.185993578929</v>
      </c>
      <c r="AX580" s="153" t="n">
        <f aca="false">IFERROR(IF($N580="VCA",INDEX(APOIO_REDES!$A:$W,MATCH($C580&amp;$I580&amp;$H580&amp;$N580&amp;$O580,APOIO_REDES!$W:$W,0),MATCH(AX$5,APOIO_REDES!$5:$5,0)),0)*$AP580,0)</f>
        <v>4.86964128212384</v>
      </c>
      <c r="AY580" s="153" t="n">
        <f aca="false">IFERROR(IF($N580="VCA",INDEX(APOIO_REDES!$A:$W,MATCH($C580&amp;$I580&amp;$H580&amp;$N580&amp;$O580,APOIO_REDES!$W:$W,0),MATCH(AY$5,APOIO_REDES!$5:$5,0)),0)*$AP580,0)</f>
        <v>8.90784516989751</v>
      </c>
      <c r="AZ580" s="153" t="n">
        <f aca="false">IFERROR(IF($N580="VCA",INDEX(APOIO_REDES!$A:$W,MATCH($C580&amp;$I580&amp;$H580&amp;$N580&amp;$O580,APOIO_REDES!$W:$W,0),MATCH(AZ$5,APOIO_REDES!$5:$5,0)),0)*$AP580,0)</f>
        <v>1.23282002795046</v>
      </c>
      <c r="BA580" s="153" t="n">
        <f aca="false">IFERROR(IF(AND($N580="VCA",$Q580="LINEAR"),INDEX(APOIO_REDES!$A:$W,MATCH($C580&amp;$I580&amp;$H580&amp;$N580&amp;$O580,APOIO_REDES!$W:$W,0),MATCH(BA$5,APOIO_REDES!$5:$5,0)),IF(AND($N580="MND",$Q580="EMBOQUE"),INDEX(APOIO_REDES!$A:$W,MATCH($C580&amp;$I580&amp;$H580&amp;$N580&amp;$O580,APOIO_REDES!$W:$W,0),MATCH(BA$5,APOIO_REDES!$5:$5,0)),0))*$M580/10,0)</f>
        <v>4.66337005276609</v>
      </c>
      <c r="BB580" s="153" t="n">
        <f aca="false">IFERROR(IF($N580="VCA",INDEX(APOIO_REDES!$A:$W,MATCH($C580&amp;$I580&amp;$H580&amp;$N580&amp;$O580,APOIO_REDES!$W:$W,0),MATCH(BB$5,APOIO_REDES!$5:$5,0)),0)*($AI580+$AQ580+$AR580),0)</f>
        <v>17.2235087650649</v>
      </c>
      <c r="BC580" s="153" t="n">
        <f aca="false">IFERROR(IF($N580="VCA",INDEX(APOIO_REDES!$A:$W,MATCH($C580&amp;$I580&amp;$H580&amp;$N580&amp;$O580,APOIO_REDES!$W:$W,0),MATCH(BC$5,APOIO_REDES!$5:$5,0)),0)*($AI580+$AQ580+$AR580),0)</f>
        <v>0.189458234935148</v>
      </c>
      <c r="BD580" s="153" t="n">
        <f aca="false">IF(AND($N580="VCA",$AF580&gt;=1.25,$AF580&lt;1.5),$M580*$AF580*2,0)</f>
        <v>157.72636</v>
      </c>
      <c r="BE580" s="153" t="n">
        <f aca="false">IF(AND($N580="VCA",$AF580&gt;=1.5,$AF580&lt;3),$M580*$AF580*2,0)</f>
        <v>0</v>
      </c>
      <c r="BF580" s="153" t="n">
        <f aca="false">IF(AND($N580="VCA",$AF580&gt;=3),$M580*$AF580*2,0)</f>
        <v>0</v>
      </c>
      <c r="BG580" s="153" t="n">
        <f aca="false">($BB580+$BC580)*$AK580</f>
        <v>48.7563076</v>
      </c>
      <c r="BH580" s="153" t="n">
        <f aca="false">IF(AND($M580&lt;&gt;"",$N580="VCA",$Q580="LINEAR"),($M580*2)/100,IF(AND($M580&lt;&gt;"",$N580="MND",$Q580="EMBOQUE"),($AN580*2)/100,0))</f>
        <v>1.1572</v>
      </c>
      <c r="BI580" s="153" t="n">
        <f aca="false">IF(AND($M580&lt;&gt;"",$N580="VCA",$Q580="LINEAR"),$M580,IF(AND($M580&lt;&gt;"",$N580="MND",$Q580="EMBOQUE"),$AN580*2,0))</f>
        <v>57.86</v>
      </c>
      <c r="BJ580" s="153" t="n">
        <f aca="false">IF(AND($M580&lt;&gt;"",$N580="VCA",$Q580="LINEAR"),($M580*6.8)/100,IF(AND($M580&lt;&gt;"",$N580="MND",$Q580="EMBOQUE"),($AN580*2*6.8)/100,0))</f>
        <v>3.93448</v>
      </c>
      <c r="BK580" s="153" t="n">
        <f aca="false">IF(AND($M580&lt;&gt;"",$N580="VCA",$Q580="LINEAR"),($M580*2.5)/50,IF(AND($M580&lt;&gt;"",$N580="MND",$Q580="EMBOQUE"),($AN580*2*2.5)/50,0))</f>
        <v>2.893</v>
      </c>
      <c r="BL580" s="157" t="str">
        <f aca="false">K580&amp;J580</f>
        <v>Zona05REDES</v>
      </c>
      <c r="BM580" s="152" t="s">
        <v>3356</v>
      </c>
      <c r="BN580" s="152" t="s">
        <v>1560</v>
      </c>
      <c r="BO580" s="152" t="s">
        <v>3688</v>
      </c>
      <c r="BP580" s="152" t="s">
        <v>3745</v>
      </c>
      <c r="BQ580" s="152" t="s">
        <v>3723</v>
      </c>
      <c r="BR580" s="152" t="s">
        <v>3749</v>
      </c>
      <c r="BS580" s="152" t="n">
        <v>203410.105</v>
      </c>
      <c r="BT580" s="152" t="n">
        <v>8237364.652</v>
      </c>
      <c r="BU580" s="152" t="n">
        <v>203359.626</v>
      </c>
      <c r="BV580" s="152" t="n">
        <v>8237392.922</v>
      </c>
      <c r="BW580" s="152" t="n">
        <v>-15.9251202</v>
      </c>
      <c r="BX580" s="152" t="n">
        <v>-47.7703696</v>
      </c>
      <c r="BY580" s="152" t="s">
        <v>3745</v>
      </c>
    </row>
    <row r="581" customFormat="false" ht="13.8" hidden="false" customHeight="false" outlineLevel="0" collapsed="false">
      <c r="A581" s="149" t="n">
        <f aca="false">IF(C581&lt;&gt;"",ROW(A576),"")</f>
        <v>576</v>
      </c>
      <c r="B581" s="150" t="str">
        <f aca="false">HYPERLINK("https://www.google.com/maps/dir/-15.917302,-47.760003/-15.9249667,-47.7699448/data=!4m3!4m2!3e0!5i2")</f>
        <v>https://www.google.com/maps/dir/-15.917302,-47.760003/-15.9249667,-47.7699448/data=!4m3!4m2!3e0!5i2</v>
      </c>
      <c r="C581" s="151" t="s">
        <v>117</v>
      </c>
      <c r="D581" s="152" t="s">
        <v>112</v>
      </c>
      <c r="E581" s="152" t="s">
        <v>113</v>
      </c>
      <c r="F581" s="152" t="s">
        <v>117</v>
      </c>
      <c r="G581" s="152" t="s">
        <v>782</v>
      </c>
      <c r="H581" s="152" t="n">
        <v>63</v>
      </c>
      <c r="I581" s="152" t="s">
        <v>115</v>
      </c>
      <c r="J581" s="152" t="s">
        <v>6</v>
      </c>
      <c r="K581" s="152" t="s">
        <v>3352</v>
      </c>
      <c r="L581" s="152" t="s">
        <v>120</v>
      </c>
      <c r="M581" s="153" t="n">
        <f aca="false">90.25</f>
        <v>90.25</v>
      </c>
      <c r="N581" s="152" t="s">
        <v>1548</v>
      </c>
      <c r="O581" s="152" t="s">
        <v>1549</v>
      </c>
      <c r="P581" s="152" t="s">
        <v>1550</v>
      </c>
      <c r="Q581" s="152" t="s">
        <v>1551</v>
      </c>
      <c r="R581" s="154" t="s">
        <v>3750</v>
      </c>
      <c r="S581" s="154" t="s">
        <v>1553</v>
      </c>
      <c r="T581" s="155" t="s">
        <v>3685</v>
      </c>
      <c r="U581" s="152" t="str">
        <f aca="false">RIGHT(T581,7)</f>
        <v>012/037</v>
      </c>
      <c r="V581" s="152" t="s">
        <v>1555</v>
      </c>
      <c r="W581" s="156" t="n">
        <v>45882</v>
      </c>
      <c r="X581" s="152" t="s">
        <v>1594</v>
      </c>
      <c r="Y581" s="152" t="s">
        <v>3743</v>
      </c>
      <c r="Z581" s="152" t="s">
        <v>1557</v>
      </c>
      <c r="AA581" s="153" t="n">
        <v>3.8</v>
      </c>
      <c r="AB581" s="151" t="s">
        <v>3751</v>
      </c>
      <c r="AC581" s="151" t="s">
        <v>186</v>
      </c>
      <c r="AD581" s="151" t="str">
        <f aca="false">CONCATENATE($C581,$I581,$H581,$N581,$J581,$K581)</f>
        <v>TUBO PEADPEAD63VCAREDESZona05</v>
      </c>
      <c r="AE581" s="153" t="n">
        <f aca="false">IFERROR(INDEX(APOIO_REDES!$A:$W,MATCH($C581&amp;$I581&amp;$H581&amp;$N581&amp;$O581,APOIO_REDES!$W:$W,0),MATCH(AE$5,APOIO_REDES!$5:$5,0)),0)</f>
        <v>1.2</v>
      </c>
      <c r="AF581" s="153" t="n">
        <f aca="false">IFERROR(INDEX(APOIO_REDES!$A:$W,MATCH($C581&amp;$I581&amp;$H581&amp;$N581&amp;$O581,APOIO_REDES!$W:$W,0),MATCH(AF$5,APOIO_REDES!$5:$5,0)),0)</f>
        <v>1.363</v>
      </c>
      <c r="AG581" s="153" t="n">
        <f aca="false">IFERROR(INDEX(APOIO_REDES!$A:$W,MATCH($C581&amp;$I581&amp;$H581&amp;$N581&amp;$O581,APOIO_REDES!$W:$W,0),MATCH(AG$5,APOIO_REDES!$5:$5,0)),0)</f>
        <v>0.65</v>
      </c>
      <c r="AH581" s="153" t="n">
        <f aca="false">IFERROR(INDEX(APOIO_REDES!$A:$W,MATCH($C581&amp;$I581&amp;$H581&amp;$N581&amp;$O581,APOIO_REDES!$W:$W,0),MATCH(AH$5,APOIO_REDES!$5:$5,0)),0)</f>
        <v>0.1</v>
      </c>
      <c r="AI581" s="153" t="n">
        <f aca="false">IFERROR(IF($H581&lt;&gt;"",(((($H581/1000)/2)^2)*PI()*$M581),0),0)</f>
        <v>0.281331389274834</v>
      </c>
      <c r="AJ581" s="153" t="n">
        <f aca="false">IFERROR(IF(AND($H581&lt;&gt;"",$I581="FoFo",OR($N581="MND",$N581="VCA"),$Q581="LINEAR"),0,IF(AND($H581&lt;&gt;"",$I581="PEAD",$N581="VCA",$Q581="LINEAR"),($H581/1000)+0.3,IF(AND($H581&lt;&gt;"",$I581="PEAD",$N581="MND",$Q581="EMBOQUE"),0,IF(AND($H581&lt;&gt;"",$I581="PVC",$N581="VCA",$Q581="LINEAR"),($H581/1000)+0.2,IF(AND($H581&lt;&gt;"",$I581="PVC",$N581="MND",$Q581="EMBOQUE"),0,IF(AND($H581&lt;&gt;"",$I581="PEAD",$N581="VCA",$Q581="PREDIAL"),0,0)))))),0)</f>
        <v>0.363</v>
      </c>
      <c r="AK581" s="153" t="n">
        <f aca="false">IF(AA581&lt;&gt;"",AA581,0)</f>
        <v>3.8</v>
      </c>
      <c r="AL581" s="153" t="n">
        <f aca="false">IF(AND($N581="MND",$Q581="EMBOQUE"),$M581,IF(AND($N581="VCA",$Q581="LINEAR"),$M581,IF(AND($N581="VCA",$Q581="PREDIAL"),0,0)))</f>
        <v>90.25</v>
      </c>
      <c r="AM581" s="153" t="n">
        <f aca="false">IF(AND($N581="MND",$Q581="EMBOQUE"),$M581,IF(AND($N581="VCA",$Q581="LINEAR"),$M581,IF(AND($N581="VCA",$Q581="PREDIAL"),0,0)))</f>
        <v>90.25</v>
      </c>
      <c r="AN581" s="153" t="n">
        <f aca="false">ROUND(IF(AND($N581="VCA",$M581&lt;&gt;"",$Q581="LINEAR"),$M581/100,IF(AND($N581="MND",$M581&gt;100,$Q581="EMBOQUE"),$M581/100,0)),0)</f>
        <v>1</v>
      </c>
      <c r="AO581" s="153" t="n">
        <f aca="false">IF(AND($N581="MND",$Q581="EMBOQUE"),$AN581*2*2,IF(AND($N581="VCA",$Q581="LINEAR"),$M581*2,IF(AND($N581="VCA",$Q581="PREDIAL"),0,0)))</f>
        <v>180.5</v>
      </c>
      <c r="AP581" s="153" t="n">
        <f aca="false">IFERROR($M581*$AF581*$AG581,0)</f>
        <v>79.9569875</v>
      </c>
      <c r="AQ581" s="153" t="n">
        <f aca="false">IFERROR(IF(AND($N581="VCA",$AH581&gt;0),$M581*$AG581*$AH581,0),0)</f>
        <v>5.86625</v>
      </c>
      <c r="AR581" s="153" t="n">
        <f aca="false">IFERROR(IF(AND($N581="VCA",$AJ581&gt;0),($M581*$AG581*$AJ581)-$AI581,0),0)</f>
        <v>21.0131561107252</v>
      </c>
      <c r="AS581" s="153" t="n">
        <f aca="false">IFERROR(IF(AND($N581="VCA",$AP581&gt;0),$AP581-$AI581-$AQ581-$AR581,0),0)</f>
        <v>52.79625</v>
      </c>
      <c r="AT581" s="153" t="n">
        <f aca="false">IFERROR(IF($N581="VCA",INDEX(APOIO_REDES!$A:$W,MATCH($C581&amp;$I581&amp;$H581&amp;$N581&amp;$O581,APOIO_REDES!$W:$W,0),MATCH(AT$5,APOIO_REDES!$5:$5,0)),0)*$AP581,0)</f>
        <v>0.869955690060269</v>
      </c>
      <c r="AU581" s="153" t="n">
        <f aca="false">IFERROR(IF($N581="VCA",INDEX(APOIO_REDES!$A:$W,MATCH($C581&amp;$I581&amp;$H581&amp;$N581&amp;$O581,APOIO_REDES!$W:$W,0),MATCH(AU$5,APOIO_REDES!$5:$5,0)),0)*$AP581,0)</f>
        <v>0.694723052693977</v>
      </c>
      <c r="AV581" s="153" t="n">
        <f aca="false">IFERROR(IF($N581="VCA",INDEX(APOIO_REDES!$A:$W,MATCH($C581&amp;$I581&amp;$H581&amp;$N581&amp;$O581,APOIO_REDES!$W:$W,0),MATCH(AV$5,APOIO_REDES!$5:$5,0)),0)*$AP581,0)</f>
        <v>0.0961442167030501</v>
      </c>
      <c r="AW581" s="153" t="n">
        <f aca="false">IFERROR(IF($N581="VCA",INDEX(APOIO_REDES!$A:$W,MATCH($C581&amp;$I581&amp;$H581&amp;$N581&amp;$O581,APOIO_REDES!$W:$W,0),MATCH(AW$5,APOIO_REDES!$5:$5,0)),0)*$AP581,0)</f>
        <v>54.8830957569711</v>
      </c>
      <c r="AX581" s="153" t="n">
        <f aca="false">IFERROR(IF($N581="VCA",INDEX(APOIO_REDES!$A:$W,MATCH($C581&amp;$I581&amp;$H581&amp;$N581&amp;$O581,APOIO_REDES!$W:$W,0),MATCH(AX$5,APOIO_REDES!$5:$5,0)),0)*$AP581,0)</f>
        <v>7.59566411530723</v>
      </c>
      <c r="AY581" s="153" t="n">
        <f aca="false">IFERROR(IF($N581="VCA",INDEX(APOIO_REDES!$A:$W,MATCH($C581&amp;$I581&amp;$H581&amp;$N581&amp;$O581,APOIO_REDES!$W:$W,0),MATCH(AY$5,APOIO_REDES!$5:$5,0)),0)*$AP581,0)</f>
        <v>13.8944525852618</v>
      </c>
      <c r="AZ581" s="153" t="n">
        <f aca="false">IFERROR(IF($N581="VCA",INDEX(APOIO_REDES!$A:$W,MATCH($C581&amp;$I581&amp;$H581&amp;$N581&amp;$O581,APOIO_REDES!$W:$W,0),MATCH(AZ$5,APOIO_REDES!$5:$5,0)),0)*$AP581,0)</f>
        <v>1.92295208300257</v>
      </c>
      <c r="BA581" s="153" t="n">
        <f aca="false">IFERROR(IF(AND($N581="VCA",$Q581="LINEAR"),INDEX(APOIO_REDES!$A:$W,MATCH($C581&amp;$I581&amp;$H581&amp;$N581&amp;$O581,APOIO_REDES!$W:$W,0),MATCH(BA$5,APOIO_REDES!$5:$5,0)),IF(AND($N581="MND",$Q581="EMBOQUE"),INDEX(APOIO_REDES!$A:$W,MATCH($C581&amp;$I581&amp;$H581&amp;$N581&amp;$O581,APOIO_REDES!$W:$W,0),MATCH(BA$5,APOIO_REDES!$5:$5,0)),0))*$M581/10,0)</f>
        <v>7.27392235157517</v>
      </c>
      <c r="BB581" s="153" t="n">
        <f aca="false">IFERROR(IF($N581="VCA",INDEX(APOIO_REDES!$A:$W,MATCH($C581&amp;$I581&amp;$H581&amp;$N581&amp;$O581,APOIO_REDES!$W:$W,0),MATCH(BB$5,APOIO_REDES!$5:$5,0)),0)*($AI581+$AQ581+$AR581),0)</f>
        <v>26.8652206368321</v>
      </c>
      <c r="BC581" s="153" t="n">
        <f aca="false">IFERROR(IF($N581="VCA",INDEX(APOIO_REDES!$A:$W,MATCH($C581&amp;$I581&amp;$H581&amp;$N581&amp;$O581,APOIO_REDES!$W:$W,0),MATCH(BC$5,APOIO_REDES!$5:$5,0)),0)*($AI581+$AQ581+$AR581),0)</f>
        <v>0.295516863167942</v>
      </c>
      <c r="BD581" s="153" t="n">
        <f aca="false">IF(AND($N581="VCA",$AF581&gt;=1.25,$AF581&lt;1.5),$M581*$AF581*2,0)</f>
        <v>246.0215</v>
      </c>
      <c r="BE581" s="153" t="n">
        <f aca="false">IF(AND($N581="VCA",$AF581&gt;=1.5,$AF581&lt;3),$M581*$AF581*2,0)</f>
        <v>0</v>
      </c>
      <c r="BF581" s="153" t="n">
        <f aca="false">IF(AND($N581="VCA",$AF581&gt;=3),$M581*$AF581*2,0)</f>
        <v>0</v>
      </c>
      <c r="BG581" s="153" t="n">
        <f aca="false">($BB581+$BC581)*$AK581</f>
        <v>103.2108025</v>
      </c>
      <c r="BH581" s="153" t="n">
        <f aca="false">IF(AND($M581&lt;&gt;"",$N581="VCA",$Q581="LINEAR"),($M581*2)/100,IF(AND($M581&lt;&gt;"",$N581="MND",$Q581="EMBOQUE"),($AN581*2)/100,0))</f>
        <v>1.805</v>
      </c>
      <c r="BI581" s="153" t="n">
        <f aca="false">IF(AND($M581&lt;&gt;"",$N581="VCA",$Q581="LINEAR"),$M581,IF(AND($M581&lt;&gt;"",$N581="MND",$Q581="EMBOQUE"),$AN581*2,0))</f>
        <v>90.25</v>
      </c>
      <c r="BJ581" s="153" t="n">
        <f aca="false">IF(AND($M581&lt;&gt;"",$N581="VCA",$Q581="LINEAR"),($M581*6.8)/100,IF(AND($M581&lt;&gt;"",$N581="MND",$Q581="EMBOQUE"),($AN581*2*6.8)/100,0))</f>
        <v>6.137</v>
      </c>
      <c r="BK581" s="153" t="n">
        <f aca="false">IF(AND($M581&lt;&gt;"",$N581="VCA",$Q581="LINEAR"),($M581*2.5)/50,IF(AND($M581&lt;&gt;"",$N581="MND",$Q581="EMBOQUE"),($AN581*2*2.5)/50,0))</f>
        <v>4.5125</v>
      </c>
      <c r="BL581" s="157" t="str">
        <f aca="false">K581&amp;J581</f>
        <v>Zona05REDES</v>
      </c>
      <c r="BM581" s="152" t="s">
        <v>3356</v>
      </c>
      <c r="BN581" s="152" t="s">
        <v>1560</v>
      </c>
      <c r="BO581" s="152" t="s">
        <v>3688</v>
      </c>
      <c r="BP581" s="152" t="s">
        <v>3730</v>
      </c>
      <c r="BQ581" s="152" t="s">
        <v>3752</v>
      </c>
      <c r="BR581" s="152" t="s">
        <v>3753</v>
      </c>
      <c r="BS581" s="152" t="n">
        <v>203430.103</v>
      </c>
      <c r="BT581" s="152" t="n">
        <v>8237396.294</v>
      </c>
      <c r="BU581" s="152" t="n">
        <v>203508.039</v>
      </c>
      <c r="BV581" s="152" t="n">
        <v>8237350.815</v>
      </c>
      <c r="BW581" s="152" t="n">
        <v>-15.9251775</v>
      </c>
      <c r="BX581" s="152" t="n">
        <v>-47.7695844</v>
      </c>
      <c r="BY581" s="152" t="s">
        <v>3730</v>
      </c>
    </row>
    <row r="582" customFormat="false" ht="13.8" hidden="false" customHeight="false" outlineLevel="0" collapsed="false">
      <c r="A582" s="149" t="n">
        <f aca="false">IF(C582&lt;&gt;"",ROW(A577),"")</f>
        <v>577</v>
      </c>
      <c r="B582" s="150" t="str">
        <f aca="false">HYPERLINK("https://www.google.com/maps/dir/-15.917302,-47.760003/-15.9249986,-47.7691538/data=!4m3!4m2!3e0!5i2")</f>
        <v>https://www.google.com/maps/dir/-15.917302,-47.760003/-15.9249986,-47.7691538/data=!4m3!4m2!3e0!5i2</v>
      </c>
      <c r="C582" s="151" t="s">
        <v>117</v>
      </c>
      <c r="D582" s="152" t="s">
        <v>112</v>
      </c>
      <c r="E582" s="152" t="s">
        <v>113</v>
      </c>
      <c r="F582" s="152" t="s">
        <v>117</v>
      </c>
      <c r="G582" s="152" t="s">
        <v>782</v>
      </c>
      <c r="H582" s="152" t="n">
        <v>90</v>
      </c>
      <c r="I582" s="152" t="s">
        <v>115</v>
      </c>
      <c r="J582" s="152" t="s">
        <v>6</v>
      </c>
      <c r="K582" s="152" t="s">
        <v>3352</v>
      </c>
      <c r="L582" s="152" t="s">
        <v>120</v>
      </c>
      <c r="M582" s="153" t="n">
        <f aca="false">173.61</f>
        <v>173.61</v>
      </c>
      <c r="N582" s="152" t="s">
        <v>1548</v>
      </c>
      <c r="O582" s="152" t="s">
        <v>1549</v>
      </c>
      <c r="P582" s="152" t="s">
        <v>1550</v>
      </c>
      <c r="Q582" s="152" t="s">
        <v>1551</v>
      </c>
      <c r="R582" s="154" t="s">
        <v>3754</v>
      </c>
      <c r="S582" s="154" t="s">
        <v>1593</v>
      </c>
      <c r="T582" s="155" t="s">
        <v>3685</v>
      </c>
      <c r="U582" s="152" t="str">
        <f aca="false">RIGHT(T582,7)</f>
        <v>012/037</v>
      </c>
      <c r="V582" s="152" t="s">
        <v>1555</v>
      </c>
      <c r="W582" s="156" t="n">
        <v>45882</v>
      </c>
      <c r="X582" s="152" t="s">
        <v>1594</v>
      </c>
      <c r="Y582" s="152" t="s">
        <v>3704</v>
      </c>
      <c r="Z582" s="152" t="s">
        <v>1557</v>
      </c>
      <c r="AA582" s="153" t="n">
        <v>3.3</v>
      </c>
      <c r="AB582" s="151" t="s">
        <v>3755</v>
      </c>
      <c r="AC582" s="151" t="s">
        <v>526</v>
      </c>
      <c r="AD582" s="151" t="str">
        <f aca="false">CONCATENATE($C582,$I582,$H582,$N582,$J582,$K582)</f>
        <v>TUBO PEADPEAD90VCAREDESZona05</v>
      </c>
      <c r="AE582" s="153" t="n">
        <f aca="false">IFERROR(INDEX(APOIO_REDES!$A:$W,MATCH($C582&amp;$I582&amp;$H582&amp;$N582&amp;$O582,APOIO_REDES!$W:$W,0),MATCH(AE$5,APOIO_REDES!$5:$5,0)),0)</f>
        <v>1.2</v>
      </c>
      <c r="AF582" s="153" t="n">
        <f aca="false">IFERROR(INDEX(APOIO_REDES!$A:$W,MATCH($C582&amp;$I582&amp;$H582&amp;$N582&amp;$O582,APOIO_REDES!$W:$W,0),MATCH(AF$5,APOIO_REDES!$5:$5,0)),0)</f>
        <v>1.39</v>
      </c>
      <c r="AG582" s="153" t="n">
        <f aca="false">IFERROR(INDEX(APOIO_REDES!$A:$W,MATCH($C582&amp;$I582&amp;$H582&amp;$N582&amp;$O582,APOIO_REDES!$W:$W,0),MATCH(AG$5,APOIO_REDES!$5:$5,0)),0)</f>
        <v>0.75</v>
      </c>
      <c r="AH582" s="153" t="n">
        <f aca="false">IFERROR(INDEX(APOIO_REDES!$A:$W,MATCH($C582&amp;$I582&amp;$H582&amp;$N582&amp;$O582,APOIO_REDES!$W:$W,0),MATCH(AH$5,APOIO_REDES!$5:$5,0)),0)</f>
        <v>0.1</v>
      </c>
      <c r="AI582" s="153" t="n">
        <f aca="false">IFERROR(IF($H582&lt;&gt;"",(((($H582/1000)/2)^2)*PI()*$M582),0),0)</f>
        <v>1.10445909869419</v>
      </c>
      <c r="AJ582" s="153" t="n">
        <f aca="false">IFERROR(IF(AND($H582&lt;&gt;"",$I582="FoFo",OR($N582="MND",$N582="VCA"),$Q582="LINEAR"),0,IF(AND($H582&lt;&gt;"",$I582="PEAD",$N582="VCA",$Q582="LINEAR"),($H582/1000)+0.3,IF(AND($H582&lt;&gt;"",$I582="PEAD",$N582="MND",$Q582="EMBOQUE"),0,IF(AND($H582&lt;&gt;"",$I582="PVC",$N582="VCA",$Q582="LINEAR"),($H582/1000)+0.2,IF(AND($H582&lt;&gt;"",$I582="PVC",$N582="MND",$Q582="EMBOQUE"),0,IF(AND($H582&lt;&gt;"",$I582="PEAD",$N582="VCA",$Q582="PREDIAL"),0,0)))))),0)</f>
        <v>0.39</v>
      </c>
      <c r="AK582" s="153" t="n">
        <f aca="false">IF(AA582&lt;&gt;"",AA582,0)</f>
        <v>3.3</v>
      </c>
      <c r="AL582" s="153" t="n">
        <f aca="false">IF(AND($N582="MND",$Q582="EMBOQUE"),$M582,IF(AND($N582="VCA",$Q582="LINEAR"),$M582,IF(AND($N582="VCA",$Q582="PREDIAL"),0,0)))</f>
        <v>173.61</v>
      </c>
      <c r="AM582" s="153" t="n">
        <f aca="false">IF(AND($N582="MND",$Q582="EMBOQUE"),$M582,IF(AND($N582="VCA",$Q582="LINEAR"),$M582,IF(AND($N582="VCA",$Q582="PREDIAL"),0,0)))</f>
        <v>173.61</v>
      </c>
      <c r="AN582" s="153" t="n">
        <f aca="false">ROUND(IF(AND($N582="VCA",$M582&lt;&gt;"",$Q582="LINEAR"),$M582/100,IF(AND($N582="MND",$M582&gt;100,$Q582="EMBOQUE"),$M582/100,0)),0)</f>
        <v>2</v>
      </c>
      <c r="AO582" s="153" t="n">
        <f aca="false">IF(AND($N582="MND",$Q582="EMBOQUE"),$AN582*2*2,IF(AND($N582="VCA",$Q582="LINEAR"),$M582*2,IF(AND($N582="VCA",$Q582="PREDIAL"),0,0)))</f>
        <v>347.22</v>
      </c>
      <c r="AP582" s="153" t="n">
        <f aca="false">IFERROR($M582*$AF582*$AG582,0)</f>
        <v>180.988425</v>
      </c>
      <c r="AQ582" s="153" t="n">
        <f aca="false">IFERROR(IF(AND($N582="VCA",$AH582&gt;0),$M582*$AG582*$AH582,0),0)</f>
        <v>13.02075</v>
      </c>
      <c r="AR582" s="153" t="n">
        <f aca="false">IFERROR(IF(AND($N582="VCA",$AJ582&gt;0),($M582*$AG582*$AJ582)-$AI582,0),0)</f>
        <v>49.6764659013058</v>
      </c>
      <c r="AS582" s="153" t="n">
        <f aca="false">IFERROR(IF(AND($N582="VCA",$AP582&gt;0),$AP582-$AI582-$AQ582-$AR582,0),0)</f>
        <v>117.18675</v>
      </c>
      <c r="AT582" s="153" t="n">
        <f aca="false">IFERROR(IF($N582="VCA",INDEX(APOIO_REDES!$A:$W,MATCH($C582&amp;$I582&amp;$H582&amp;$N582&amp;$O582,APOIO_REDES!$W:$W,0),MATCH(AT$5,APOIO_REDES!$5:$5,0)),0)*$AP582,0)</f>
        <v>1.96920763383933</v>
      </c>
      <c r="AU582" s="153" t="n">
        <f aca="false">IFERROR(IF($N582="VCA",INDEX(APOIO_REDES!$A:$W,MATCH($C582&amp;$I582&amp;$H582&amp;$N582&amp;$O582,APOIO_REDES!$W:$W,0),MATCH(AU$5,APOIO_REDES!$5:$5,0)),0)*$AP582,0)</f>
        <v>1.57255588347766</v>
      </c>
      <c r="AV582" s="153" t="n">
        <f aca="false">IFERROR(IF($N582="VCA",INDEX(APOIO_REDES!$A:$W,MATCH($C582&amp;$I582&amp;$H582&amp;$N582&amp;$O582,APOIO_REDES!$W:$W,0),MATCH(AV$5,APOIO_REDES!$5:$5,0)),0)*$AP582,0)</f>
        <v>0.217629389225598</v>
      </c>
      <c r="AW582" s="153" t="n">
        <f aca="false">IFERROR(IF($N582="VCA",INDEX(APOIO_REDES!$A:$W,MATCH($C582&amp;$I582&amp;$H582&amp;$N582&amp;$O582,APOIO_REDES!$W:$W,0),MATCH(AW$5,APOIO_REDES!$5:$5,0)),0)*$AP582,0)</f>
        <v>124.231857286749</v>
      </c>
      <c r="AX582" s="153" t="n">
        <f aca="false">IFERROR(IF($N582="VCA",INDEX(APOIO_REDES!$A:$W,MATCH($C582&amp;$I582&amp;$H582&amp;$N582&amp;$O582,APOIO_REDES!$W:$W,0),MATCH(AX$5,APOIO_REDES!$5:$5,0)),0)*$AP582,0)</f>
        <v>17.193335167342</v>
      </c>
      <c r="AY582" s="153" t="n">
        <f aca="false">IFERROR(IF($N582="VCA",INDEX(APOIO_REDES!$A:$W,MATCH($C582&amp;$I582&amp;$H582&amp;$N582&amp;$O582,APOIO_REDES!$W:$W,0),MATCH(AY$5,APOIO_REDES!$5:$5,0)),0)*$AP582,0)</f>
        <v>31.4510985002245</v>
      </c>
      <c r="AZ582" s="153" t="n">
        <f aca="false">IFERROR(IF($N582="VCA",INDEX(APOIO_REDES!$A:$W,MATCH($C582&amp;$I582&amp;$H582&amp;$N582&amp;$O582,APOIO_REDES!$W:$W,0),MATCH(AZ$5,APOIO_REDES!$5:$5,0)),0)*$AP582,0)</f>
        <v>4.3527411391419</v>
      </c>
      <c r="BA582" s="153" t="n">
        <f aca="false">IFERROR(IF(AND($N582="VCA",$Q582="LINEAR"),INDEX(APOIO_REDES!$A:$W,MATCH($C582&amp;$I582&amp;$H582&amp;$N582&amp;$O582,APOIO_REDES!$W:$W,0),MATCH(BA$5,APOIO_REDES!$5:$5,0)),IF(AND($N582="MND",$Q582="EMBOQUE"),INDEX(APOIO_REDES!$A:$W,MATCH($C582&amp;$I582&amp;$H582&amp;$N582&amp;$O582,APOIO_REDES!$W:$W,0),MATCH(BA$5,APOIO_REDES!$5:$5,0)),0))*$M582/10,0)</f>
        <v>13.9925280826257</v>
      </c>
      <c r="BB582" s="153" t="n">
        <f aca="false">IFERROR(IF($N582="VCA",INDEX(APOIO_REDES!$A:$W,MATCH($C582&amp;$I582&amp;$H582&amp;$N582&amp;$O582,APOIO_REDES!$W:$W,0),MATCH(BB$5,APOIO_REDES!$5:$5,0)),0)*($AI582+$AQ582+$AR582),0)</f>
        <v>63.1074938916682</v>
      </c>
      <c r="BC582" s="153" t="n">
        <f aca="false">IFERROR(IF($N582="VCA",INDEX(APOIO_REDES!$A:$W,MATCH($C582&amp;$I582&amp;$H582&amp;$N582&amp;$O582,APOIO_REDES!$W:$W,0),MATCH(BC$5,APOIO_REDES!$5:$5,0)),0)*($AI582+$AQ582+$AR582),0)</f>
        <v>0.694181108331851</v>
      </c>
      <c r="BD582" s="153" t="n">
        <f aca="false">IF(AND($N582="VCA",$AF582&gt;=1.25,$AF582&lt;1.5),$M582*$AF582*2,0)</f>
        <v>482.6358</v>
      </c>
      <c r="BE582" s="153" t="n">
        <f aca="false">IF(AND($N582="VCA",$AF582&gt;=1.5,$AF582&lt;3),$M582*$AF582*2,0)</f>
        <v>0</v>
      </c>
      <c r="BF582" s="153" t="n">
        <f aca="false">IF(AND($N582="VCA",$AF582&gt;=3),$M582*$AF582*2,0)</f>
        <v>0</v>
      </c>
      <c r="BG582" s="153" t="n">
        <f aca="false">($BB582+$BC582)*$AK582</f>
        <v>210.5455275</v>
      </c>
      <c r="BH582" s="153" t="n">
        <f aca="false">IF(AND($M582&lt;&gt;"",$N582="VCA",$Q582="LINEAR"),($M582*2)/100,IF(AND($M582&lt;&gt;"",$N582="MND",$Q582="EMBOQUE"),($AN582*2)/100,0))</f>
        <v>3.4722</v>
      </c>
      <c r="BI582" s="153" t="n">
        <f aca="false">IF(AND($M582&lt;&gt;"",$N582="VCA",$Q582="LINEAR"),$M582,IF(AND($M582&lt;&gt;"",$N582="MND",$Q582="EMBOQUE"),$AN582*2,0))</f>
        <v>173.61</v>
      </c>
      <c r="BJ582" s="153" t="n">
        <f aca="false">IF(AND($M582&lt;&gt;"",$N582="VCA",$Q582="LINEAR"),($M582*6.8)/100,IF(AND($M582&lt;&gt;"",$N582="MND",$Q582="EMBOQUE"),($AN582*2*6.8)/100,0))</f>
        <v>11.80548</v>
      </c>
      <c r="BK582" s="153" t="n">
        <f aca="false">IF(AND($M582&lt;&gt;"",$N582="VCA",$Q582="LINEAR"),($M582*2.5)/50,IF(AND($M582&lt;&gt;"",$N582="MND",$Q582="EMBOQUE"),($AN582*2*2.5)/50,0))</f>
        <v>8.6805</v>
      </c>
      <c r="BL582" s="157" t="str">
        <f aca="false">K582&amp;J582</f>
        <v>Zona05REDES</v>
      </c>
      <c r="BM582" s="152" t="s">
        <v>3356</v>
      </c>
      <c r="BN582" s="152" t="s">
        <v>1560</v>
      </c>
      <c r="BO582" s="152" t="s">
        <v>3688</v>
      </c>
      <c r="BP582" s="152" t="s">
        <v>3734</v>
      </c>
      <c r="BQ582" s="152" t="s">
        <v>3756</v>
      </c>
      <c r="BR582" s="152" t="s">
        <v>3757</v>
      </c>
      <c r="BS582" s="152" t="n">
        <v>203514.895</v>
      </c>
      <c r="BT582" s="152" t="n">
        <v>8237393.883</v>
      </c>
      <c r="BU582" s="152" t="n">
        <v>203665.603</v>
      </c>
      <c r="BV582" s="152" t="n">
        <v>8237307.693</v>
      </c>
      <c r="BW582" s="152" t="n">
        <v>-15.9253957</v>
      </c>
      <c r="BX582" s="152" t="n">
        <v>-47.7684552</v>
      </c>
      <c r="BY582" s="152" t="s">
        <v>3734</v>
      </c>
    </row>
    <row r="583" customFormat="false" ht="13.8" hidden="false" customHeight="false" outlineLevel="0" collapsed="false">
      <c r="A583" s="149" t="n">
        <f aca="false">IF(C583&lt;&gt;"",ROW(A578),"")</f>
        <v>578</v>
      </c>
      <c r="B583" s="150" t="str">
        <f aca="false">HYPERLINK("https://www.google.com/maps/dir/-15.917302,-47.760003/-15.9252547,-47.7701270/data=!4m3!4m2!3e0!5i0")</f>
        <v>https://www.google.com/maps/dir/-15.917302,-47.760003/-15.9252547,-47.7701270/data=!4m3!4m2!3e0!5i0</v>
      </c>
      <c r="C583" s="151" t="s">
        <v>117</v>
      </c>
      <c r="D583" s="152" t="s">
        <v>112</v>
      </c>
      <c r="E583" s="152" t="s">
        <v>113</v>
      </c>
      <c r="F583" s="152" t="s">
        <v>117</v>
      </c>
      <c r="G583" s="152" t="s">
        <v>782</v>
      </c>
      <c r="H583" s="152" t="n">
        <v>63</v>
      </c>
      <c r="I583" s="152" t="s">
        <v>115</v>
      </c>
      <c r="J583" s="152" t="s">
        <v>6</v>
      </c>
      <c r="K583" s="152" t="s">
        <v>3352</v>
      </c>
      <c r="L583" s="152" t="s">
        <v>120</v>
      </c>
      <c r="M583" s="153" t="n">
        <f aca="false">97.22+1.03</f>
        <v>98.25</v>
      </c>
      <c r="N583" s="152" t="s">
        <v>1548</v>
      </c>
      <c r="O583" s="152" t="s">
        <v>1549</v>
      </c>
      <c r="P583" s="152" t="s">
        <v>1550</v>
      </c>
      <c r="Q583" s="152" t="s">
        <v>1551</v>
      </c>
      <c r="R583" s="154" t="s">
        <v>3758</v>
      </c>
      <c r="S583" s="154" t="s">
        <v>1553</v>
      </c>
      <c r="T583" s="155" t="s">
        <v>3685</v>
      </c>
      <c r="U583" s="152" t="str">
        <f aca="false">RIGHT(T583,7)</f>
        <v>012/037</v>
      </c>
      <c r="V583" s="152" t="s">
        <v>1555</v>
      </c>
      <c r="W583" s="156" t="n">
        <v>45882</v>
      </c>
      <c r="X583" s="152" t="s">
        <v>1594</v>
      </c>
      <c r="Y583" s="152" t="s">
        <v>3721</v>
      </c>
      <c r="Z583" s="152" t="s">
        <v>1557</v>
      </c>
      <c r="AA583" s="153" t="n">
        <v>2.8</v>
      </c>
      <c r="AB583" s="151" t="s">
        <v>3759</v>
      </c>
      <c r="AC583" s="151" t="s">
        <v>186</v>
      </c>
      <c r="AD583" s="151" t="str">
        <f aca="false">CONCATENATE($C583,$I583,$H583,$N583,$J583,$K583)</f>
        <v>TUBO PEADPEAD63VCAREDESZona05</v>
      </c>
      <c r="AE583" s="153" t="n">
        <f aca="false">IFERROR(INDEX(APOIO_REDES!$A:$W,MATCH($C583&amp;$I583&amp;$H583&amp;$N583&amp;$O583,APOIO_REDES!$W:$W,0),MATCH(AE$5,APOIO_REDES!$5:$5,0)),0)</f>
        <v>1.2</v>
      </c>
      <c r="AF583" s="153" t="n">
        <f aca="false">IFERROR(INDEX(APOIO_REDES!$A:$W,MATCH($C583&amp;$I583&amp;$H583&amp;$N583&amp;$O583,APOIO_REDES!$W:$W,0),MATCH(AF$5,APOIO_REDES!$5:$5,0)),0)</f>
        <v>1.363</v>
      </c>
      <c r="AG583" s="153" t="n">
        <f aca="false">IFERROR(INDEX(APOIO_REDES!$A:$W,MATCH($C583&amp;$I583&amp;$H583&amp;$N583&amp;$O583,APOIO_REDES!$W:$W,0),MATCH(AG$5,APOIO_REDES!$5:$5,0)),0)</f>
        <v>0.65</v>
      </c>
      <c r="AH583" s="153" t="n">
        <f aca="false">IFERROR(INDEX(APOIO_REDES!$A:$W,MATCH($C583&amp;$I583&amp;$H583&amp;$N583&amp;$O583,APOIO_REDES!$W:$W,0),MATCH(AH$5,APOIO_REDES!$5:$5,0)),0)</f>
        <v>0.1</v>
      </c>
      <c r="AI583" s="153" t="n">
        <f aca="false">IFERROR(IF($H583&lt;&gt;"",(((($H583/1000)/2)^2)*PI()*$M583),0),0)</f>
        <v>0.306269351759029</v>
      </c>
      <c r="AJ583" s="153" t="n">
        <f aca="false">IFERROR(IF(AND($H583&lt;&gt;"",$I583="FoFo",OR($N583="MND",$N583="VCA"),$Q583="LINEAR"),0,IF(AND($H583&lt;&gt;"",$I583="PEAD",$N583="VCA",$Q583="LINEAR"),($H583/1000)+0.3,IF(AND($H583&lt;&gt;"",$I583="PEAD",$N583="MND",$Q583="EMBOQUE"),0,IF(AND($H583&lt;&gt;"",$I583="PVC",$N583="VCA",$Q583="LINEAR"),($H583/1000)+0.2,IF(AND($H583&lt;&gt;"",$I583="PVC",$N583="MND",$Q583="EMBOQUE"),0,IF(AND($H583&lt;&gt;"",$I583="PEAD",$N583="VCA",$Q583="PREDIAL"),0,0)))))),0)</f>
        <v>0.363</v>
      </c>
      <c r="AK583" s="153" t="n">
        <f aca="false">IF(AA583&lt;&gt;"",AA583,0)</f>
        <v>2.8</v>
      </c>
      <c r="AL583" s="153" t="n">
        <f aca="false">IF(AND($N583="MND",$Q583="EMBOQUE"),$M583,IF(AND($N583="VCA",$Q583="LINEAR"),$M583,IF(AND($N583="VCA",$Q583="PREDIAL"),0,0)))</f>
        <v>98.25</v>
      </c>
      <c r="AM583" s="153" t="n">
        <f aca="false">IF(AND($N583="MND",$Q583="EMBOQUE"),$M583,IF(AND($N583="VCA",$Q583="LINEAR"),$M583,IF(AND($N583="VCA",$Q583="PREDIAL"),0,0)))</f>
        <v>98.25</v>
      </c>
      <c r="AN583" s="153" t="n">
        <f aca="false">ROUND(IF(AND($N583="VCA",$M583&lt;&gt;"",$Q583="LINEAR"),$M583/100,IF(AND($N583="MND",$M583&gt;100,$Q583="EMBOQUE"),$M583/100,0)),0)</f>
        <v>1</v>
      </c>
      <c r="AO583" s="153" t="n">
        <f aca="false">IF(AND($N583="MND",$Q583="EMBOQUE"),$AN583*2*2,IF(AND($N583="VCA",$Q583="LINEAR"),$M583*2,IF(AND($N583="VCA",$Q583="PREDIAL"),0,0)))</f>
        <v>196.5</v>
      </c>
      <c r="AP583" s="153" t="n">
        <f aca="false">IFERROR($M583*$AF583*$AG583,0)</f>
        <v>87.0445875</v>
      </c>
      <c r="AQ583" s="153" t="n">
        <f aca="false">IFERROR(IF(AND($N583="VCA",$AH583&gt;0),$M583*$AG583*$AH583,0),0)</f>
        <v>6.38625</v>
      </c>
      <c r="AR583" s="153" t="n">
        <f aca="false">IFERROR(IF(AND($N583="VCA",$AJ583&gt;0),($M583*$AG583*$AJ583)-$AI583,0),0)</f>
        <v>22.875818148241</v>
      </c>
      <c r="AS583" s="153" t="n">
        <f aca="false">IFERROR(IF(AND($N583="VCA",$AP583&gt;0),$AP583-$AI583-$AQ583-$AR583,0),0)</f>
        <v>57.47625</v>
      </c>
      <c r="AT583" s="153" t="n">
        <f aca="false">IFERROR(IF($N583="VCA",INDEX(APOIO_REDES!$A:$W,MATCH($C583&amp;$I583&amp;$H583&amp;$N583&amp;$O583,APOIO_REDES!$W:$W,0),MATCH(AT$5,APOIO_REDES!$5:$5,0)),0)*$AP583,0)</f>
        <v>0.947070875882786</v>
      </c>
      <c r="AU583" s="153" t="n">
        <f aca="false">IFERROR(IF($N583="VCA",INDEX(APOIO_REDES!$A:$W,MATCH($C583&amp;$I583&amp;$H583&amp;$N583&amp;$O583,APOIO_REDES!$W:$W,0),MATCH(AU$5,APOIO_REDES!$5:$5,0)),0)*$AP583,0)</f>
        <v>0.756305151547736</v>
      </c>
      <c r="AV583" s="153" t="n">
        <f aca="false">IFERROR(IF($N583="VCA",INDEX(APOIO_REDES!$A:$W,MATCH($C583&amp;$I583&amp;$H583&amp;$N583&amp;$O583,APOIO_REDES!$W:$W,0),MATCH(AV$5,APOIO_REDES!$5:$5,0)),0)*$AP583,0)</f>
        <v>0.10466669574598</v>
      </c>
      <c r="AW583" s="153" t="n">
        <f aca="false">IFERROR(IF($N583="VCA",INDEX(APOIO_REDES!$A:$W,MATCH($C583&amp;$I583&amp;$H583&amp;$N583&amp;$O583,APOIO_REDES!$W:$W,0),MATCH(AW$5,APOIO_REDES!$5:$5,0)),0)*$AP583,0)</f>
        <v>59.7480793143757</v>
      </c>
      <c r="AX583" s="153" t="n">
        <f aca="false">IFERROR(IF($N583="VCA",INDEX(APOIO_REDES!$A:$W,MATCH($C583&amp;$I583&amp;$H583&amp;$N583&amp;$O583,APOIO_REDES!$W:$W,0),MATCH(AX$5,APOIO_REDES!$5:$5,0)),0)*$AP583,0)</f>
        <v>8.26896398148405</v>
      </c>
      <c r="AY583" s="153" t="n">
        <f aca="false">IFERROR(IF($N583="VCA",INDEX(APOIO_REDES!$A:$W,MATCH($C583&amp;$I583&amp;$H583&amp;$N583&amp;$O583,APOIO_REDES!$W:$W,0),MATCH(AY$5,APOIO_REDES!$5:$5,0)),0)*$AP583,0)</f>
        <v>15.1260938116562</v>
      </c>
      <c r="AZ583" s="153" t="n">
        <f aca="false">IFERROR(IF($N583="VCA",INDEX(APOIO_REDES!$A:$W,MATCH($C583&amp;$I583&amp;$H583&amp;$N583&amp;$O583,APOIO_REDES!$W:$W,0),MATCH(AZ$5,APOIO_REDES!$5:$5,0)),0)*$AP583,0)</f>
        <v>2.09340766930751</v>
      </c>
      <c r="BA583" s="153" t="n">
        <f aca="false">IFERROR(IF(AND($N583="VCA",$Q583="LINEAR"),INDEX(APOIO_REDES!$A:$W,MATCH($C583&amp;$I583&amp;$H583&amp;$N583&amp;$O583,APOIO_REDES!$W:$W,0),MATCH(BA$5,APOIO_REDES!$5:$5,0)),IF(AND($N583="MND",$Q583="EMBOQUE"),INDEX(APOIO_REDES!$A:$W,MATCH($C583&amp;$I583&amp;$H583&amp;$N583&amp;$O583,APOIO_REDES!$W:$W,0),MATCH(BA$5,APOIO_REDES!$5:$5,0)),0))*$M583/10,0)</f>
        <v>7.91870217221341</v>
      </c>
      <c r="BB583" s="153" t="n">
        <f aca="false">IFERROR(IF($N583="VCA",INDEX(APOIO_REDES!$A:$W,MATCH($C583&amp;$I583&amp;$H583&amp;$N583&amp;$O583,APOIO_REDES!$W:$W,0),MATCH(BB$5,APOIO_REDES!$5:$5,0)),0)*($AI583+$AQ583+$AR583),0)</f>
        <v>29.2466252362188</v>
      </c>
      <c r="BC583" s="153" t="n">
        <f aca="false">IFERROR(IF($N583="VCA",INDEX(APOIO_REDES!$A:$W,MATCH($C583&amp;$I583&amp;$H583&amp;$N583&amp;$O583,APOIO_REDES!$W:$W,0),MATCH(BC$5,APOIO_REDES!$5:$5,0)),0)*($AI583+$AQ583+$AR583),0)</f>
        <v>0.321712263781166</v>
      </c>
      <c r="BD583" s="153" t="n">
        <f aca="false">IF(AND($N583="VCA",$AF583&gt;=1.25,$AF583&lt;1.5),$M583*$AF583*2,0)</f>
        <v>267.8295</v>
      </c>
      <c r="BE583" s="153" t="n">
        <f aca="false">IF(AND($N583="VCA",$AF583&gt;=1.5,$AF583&lt;3),$M583*$AF583*2,0)</f>
        <v>0</v>
      </c>
      <c r="BF583" s="153" t="n">
        <f aca="false">IF(AND($N583="VCA",$AF583&gt;=3),$M583*$AF583*2,0)</f>
        <v>0</v>
      </c>
      <c r="BG583" s="153" t="n">
        <f aca="false">($BB583+$BC583)*$AK583</f>
        <v>82.791345</v>
      </c>
      <c r="BH583" s="153" t="n">
        <f aca="false">IF(AND($M583&lt;&gt;"",$N583="VCA",$Q583="LINEAR"),($M583*2)/100,IF(AND($M583&lt;&gt;"",$N583="MND",$Q583="EMBOQUE"),($AN583*2)/100,0))</f>
        <v>1.965</v>
      </c>
      <c r="BI583" s="153" t="n">
        <f aca="false">IF(AND($M583&lt;&gt;"",$N583="VCA",$Q583="LINEAR"),$M583,IF(AND($M583&lt;&gt;"",$N583="MND",$Q583="EMBOQUE"),$AN583*2,0))</f>
        <v>98.25</v>
      </c>
      <c r="BJ583" s="153" t="n">
        <f aca="false">IF(AND($M583&lt;&gt;"",$N583="VCA",$Q583="LINEAR"),($M583*6.8)/100,IF(AND($M583&lt;&gt;"",$N583="MND",$Q583="EMBOQUE"),($AN583*2*6.8)/100,0))</f>
        <v>6.681</v>
      </c>
      <c r="BK583" s="153" t="n">
        <f aca="false">IF(AND($M583&lt;&gt;"",$N583="VCA",$Q583="LINEAR"),($M583*2.5)/50,IF(AND($M583&lt;&gt;"",$N583="MND",$Q583="EMBOQUE"),($AN583*2*2.5)/50,0))</f>
        <v>4.9125</v>
      </c>
      <c r="BL583" s="157" t="str">
        <f aca="false">K583&amp;J583</f>
        <v>Zona05REDES</v>
      </c>
      <c r="BM583" s="152" t="s">
        <v>3356</v>
      </c>
      <c r="BN583" s="152" t="s">
        <v>1560</v>
      </c>
      <c r="BO583" s="152" t="s">
        <v>3688</v>
      </c>
      <c r="BP583" s="152" t="s">
        <v>3745</v>
      </c>
      <c r="BQ583" s="152" t="s">
        <v>3760</v>
      </c>
      <c r="BR583" s="152" t="s">
        <v>3761</v>
      </c>
      <c r="BS583" s="152" t="n">
        <v>203411.008</v>
      </c>
      <c r="BT583" s="152" t="n">
        <v>8237364.149</v>
      </c>
      <c r="BU583" s="152" t="n">
        <v>203494.633</v>
      </c>
      <c r="BV583" s="152" t="n">
        <v>8237314.929</v>
      </c>
      <c r="BW583" s="152" t="n">
        <v>-15.9254737</v>
      </c>
      <c r="BX583" s="152" t="n">
        <v>-47.7697338</v>
      </c>
      <c r="BY583" s="152" t="s">
        <v>3745</v>
      </c>
    </row>
    <row r="584" customFormat="false" ht="13.8" hidden="false" customHeight="false" outlineLevel="0" collapsed="false">
      <c r="A584" s="149" t="n">
        <f aca="false">IF(C584&lt;&gt;"",ROW(A579),"")</f>
        <v>579</v>
      </c>
      <c r="B584" s="150" t="str">
        <f aca="false">HYPERLINK("https://www.google.com/maps/dir/-15.917302,-47.760003/-15.9257950,-47.7677581/data=!4m3!4m2!3e0!5i2")</f>
        <v>https://www.google.com/maps/dir/-15.917302,-47.760003/-15.9257950,-47.7677581/data=!4m3!4m2!3e0!5i2</v>
      </c>
      <c r="C584" s="151" t="s">
        <v>117</v>
      </c>
      <c r="D584" s="152" t="s">
        <v>112</v>
      </c>
      <c r="E584" s="152" t="s">
        <v>113</v>
      </c>
      <c r="F584" s="152" t="s">
        <v>117</v>
      </c>
      <c r="G584" s="152" t="s">
        <v>114</v>
      </c>
      <c r="H584" s="152" t="n">
        <v>225</v>
      </c>
      <c r="I584" s="152" t="s">
        <v>115</v>
      </c>
      <c r="J584" s="152" t="s">
        <v>6</v>
      </c>
      <c r="K584" s="152" t="s">
        <v>3352</v>
      </c>
      <c r="L584" s="152" t="s">
        <v>120</v>
      </c>
      <c r="M584" s="153" t="n">
        <f aca="false">53.91</f>
        <v>53.91</v>
      </c>
      <c r="N584" s="152" t="s">
        <v>1548</v>
      </c>
      <c r="O584" s="152" t="s">
        <v>1549</v>
      </c>
      <c r="P584" s="152" t="s">
        <v>1550</v>
      </c>
      <c r="Q584" s="152" t="s">
        <v>1551</v>
      </c>
      <c r="R584" s="154" t="s">
        <v>3762</v>
      </c>
      <c r="S584" s="154" t="s">
        <v>1593</v>
      </c>
      <c r="T584" s="155" t="s">
        <v>3685</v>
      </c>
      <c r="U584" s="152" t="str">
        <f aca="false">RIGHT(T584,7)</f>
        <v>012/037</v>
      </c>
      <c r="V584" s="152" t="s">
        <v>1555</v>
      </c>
      <c r="W584" s="156" t="n">
        <v>45882</v>
      </c>
      <c r="X584" s="152" t="s">
        <v>1594</v>
      </c>
      <c r="Y584" s="152" t="s">
        <v>3704</v>
      </c>
      <c r="Z584" s="152" t="s">
        <v>1557</v>
      </c>
      <c r="AA584" s="153" t="n">
        <v>3.1</v>
      </c>
      <c r="AB584" s="151" t="s">
        <v>3763</v>
      </c>
      <c r="AC584" s="151" t="s">
        <v>508</v>
      </c>
      <c r="AD584" s="151" t="str">
        <f aca="false">CONCATENATE($C584,$I584,$H584,$N584,$J584,$K584)</f>
        <v>TUBO PEADPEAD225VCAREDESZona05</v>
      </c>
      <c r="AE584" s="153" t="n">
        <f aca="false">IFERROR(INDEX(APOIO_REDES!$A:$W,MATCH($C584&amp;$I584&amp;$H584&amp;$N584&amp;$O584,APOIO_REDES!$W:$W,0),MATCH(AE$5,APOIO_REDES!$5:$5,0)),0)</f>
        <v>1.2</v>
      </c>
      <c r="AF584" s="153" t="n">
        <f aca="false">IFERROR(INDEX(APOIO_REDES!$A:$W,MATCH($C584&amp;$I584&amp;$H584&amp;$N584&amp;$O584,APOIO_REDES!$W:$W,0),MATCH(AF$5,APOIO_REDES!$5:$5,0)),0)</f>
        <v>1.525</v>
      </c>
      <c r="AG584" s="153" t="n">
        <f aca="false">IFERROR(INDEX(APOIO_REDES!$A:$W,MATCH($C584&amp;$I584&amp;$H584&amp;$N584&amp;$O584,APOIO_REDES!$W:$W,0),MATCH(AG$5,APOIO_REDES!$5:$5,0)),0)</f>
        <v>0.8</v>
      </c>
      <c r="AH584" s="153" t="n">
        <f aca="false">IFERROR(INDEX(APOIO_REDES!$A:$W,MATCH($C584&amp;$I584&amp;$H584&amp;$N584&amp;$O584,APOIO_REDES!$W:$W,0),MATCH(AH$5,APOIO_REDES!$5:$5,0)),0)</f>
        <v>0.1</v>
      </c>
      <c r="AI584" s="153" t="n">
        <f aca="false">IFERROR(IF($H584&lt;&gt;"",(((($H584/1000)/2)^2)*PI()*$M584),0),0)</f>
        <v>2.14350375880579</v>
      </c>
      <c r="AJ584" s="153" t="n">
        <f aca="false">IFERROR(IF(AND($H584&lt;&gt;"",$I584="FoFo",OR($N584="MND",$N584="VCA"),$Q584="LINEAR"),0,IF(AND($H584&lt;&gt;"",$I584="PEAD",$N584="VCA",$Q584="LINEAR"),($H584/1000)+0.3,IF(AND($H584&lt;&gt;"",$I584="PEAD",$N584="MND",$Q584="EMBOQUE"),0,IF(AND($H584&lt;&gt;"",$I584="PVC",$N584="VCA",$Q584="LINEAR"),($H584/1000)+0.2,IF(AND($H584&lt;&gt;"",$I584="PVC",$N584="MND",$Q584="EMBOQUE"),0,IF(AND($H584&lt;&gt;"",$I584="PEAD",$N584="VCA",$Q584="PREDIAL"),0,0)))))),0)</f>
        <v>0.525</v>
      </c>
      <c r="AK584" s="153" t="n">
        <f aca="false">IF(AA584&lt;&gt;"",AA584,0)</f>
        <v>3.1</v>
      </c>
      <c r="AL584" s="153" t="n">
        <f aca="false">IF(AND($N584="MND",$Q584="EMBOQUE"),$M584,IF(AND($N584="VCA",$Q584="LINEAR"),$M584,IF(AND($N584="VCA",$Q584="PREDIAL"),0,0)))</f>
        <v>53.91</v>
      </c>
      <c r="AM584" s="153" t="n">
        <f aca="false">IF(AND($N584="MND",$Q584="EMBOQUE"),$M584,IF(AND($N584="VCA",$Q584="LINEAR"),$M584,IF(AND($N584="VCA",$Q584="PREDIAL"),0,0)))</f>
        <v>53.91</v>
      </c>
      <c r="AN584" s="153" t="n">
        <f aca="false">ROUND(IF(AND($N584="VCA",$M584&lt;&gt;"",$Q584="LINEAR"),$M584/100,IF(AND($N584="MND",$M584&gt;100,$Q584="EMBOQUE"),$M584/100,0)),0)</f>
        <v>1</v>
      </c>
      <c r="AO584" s="153" t="n">
        <f aca="false">IF(AND($N584="MND",$Q584="EMBOQUE"),$AN584*2*2,IF(AND($N584="VCA",$Q584="LINEAR"),$M584*2,IF(AND($N584="VCA",$Q584="PREDIAL"),0,0)))</f>
        <v>107.82</v>
      </c>
      <c r="AP584" s="153" t="n">
        <f aca="false">IFERROR($M584*$AF584*$AG584,0)</f>
        <v>65.7702</v>
      </c>
      <c r="AQ584" s="153" t="n">
        <f aca="false">IFERROR(IF(AND($N584="VCA",$AH584&gt;0),$M584*$AG584*$AH584,0),0)</f>
        <v>4.3128</v>
      </c>
      <c r="AR584" s="153" t="n">
        <f aca="false">IFERROR(IF(AND($N584="VCA",$AJ584&gt;0),($M584*$AG584*$AJ584)-$AI584,0),0)</f>
        <v>20.4986962411942</v>
      </c>
      <c r="AS584" s="153" t="n">
        <f aca="false">IFERROR(IF(AND($N584="VCA",$AP584&gt;0),$AP584-$AI584-$AQ584-$AR584,0),0)</f>
        <v>38.8152</v>
      </c>
      <c r="AT584" s="153" t="n">
        <f aca="false">IFERROR(IF($N584="VCA",INDEX(APOIO_REDES!$A:$W,MATCH($C584&amp;$I584&amp;$H584&amp;$N584&amp;$O584,APOIO_REDES!$W:$W,0),MATCH(AT$5,APOIO_REDES!$5:$5,0)),0)*$AP584,0)</f>
        <v>0.71559924298551</v>
      </c>
      <c r="AU584" s="153" t="n">
        <f aca="false">IFERROR(IF($N584="VCA",INDEX(APOIO_REDES!$A:$W,MATCH($C584&amp;$I584&amp;$H584&amp;$N584&amp;$O584,APOIO_REDES!$W:$W,0),MATCH(AU$5,APOIO_REDES!$5:$5,0)),0)*$AP584,0)</f>
        <v>0.571458174562835</v>
      </c>
      <c r="AV584" s="153" t="n">
        <f aca="false">IFERROR(IF($N584="VCA",INDEX(APOIO_REDES!$A:$W,MATCH($C584&amp;$I584&amp;$H584&amp;$N584&amp;$O584,APOIO_REDES!$W:$W,0),MATCH(AV$5,APOIO_REDES!$5:$5,0)),0)*$AP584,0)</f>
        <v>0.0790853252369338</v>
      </c>
      <c r="AW584" s="153" t="n">
        <f aca="false">IFERROR(IF($N584="VCA",INDEX(APOIO_REDES!$A:$W,MATCH($C584&amp;$I584&amp;$H584&amp;$N584&amp;$O584,APOIO_REDES!$W:$W,0),MATCH(AW$5,APOIO_REDES!$5:$5,0)),0)*$AP584,0)</f>
        <v>45.1451748923775</v>
      </c>
      <c r="AX584" s="153" t="n">
        <f aca="false">IFERROR(IF($N584="VCA",INDEX(APOIO_REDES!$A:$W,MATCH($C584&amp;$I584&amp;$H584&amp;$N584&amp;$O584,APOIO_REDES!$W:$W,0),MATCH(AX$5,APOIO_REDES!$5:$5,0)),0)*$AP584,0)</f>
        <v>6.24796360664013</v>
      </c>
      <c r="AY584" s="153" t="n">
        <f aca="false">IFERROR(IF($N584="VCA",INDEX(APOIO_REDES!$A:$W,MATCH($C584&amp;$I584&amp;$H584&amp;$N584&amp;$O584,APOIO_REDES!$W:$W,0),MATCH(AY$5,APOIO_REDES!$5:$5,0)),0)*$AP584,0)</f>
        <v>11.4291565252279</v>
      </c>
      <c r="AZ584" s="153" t="n">
        <f aca="false">IFERROR(IF($N584="VCA",INDEX(APOIO_REDES!$A:$W,MATCH($C584&amp;$I584&amp;$H584&amp;$N584&amp;$O584,APOIO_REDES!$W:$W,0),MATCH(AZ$5,APOIO_REDES!$5:$5,0)),0)*$AP584,0)</f>
        <v>1.58176223296927</v>
      </c>
      <c r="BA584" s="153" t="n">
        <f aca="false">IFERROR(IF(AND($N584="VCA",$Q584="LINEAR"),INDEX(APOIO_REDES!$A:$W,MATCH($C584&amp;$I584&amp;$H584&amp;$N584&amp;$O584,APOIO_REDES!$W:$W,0),MATCH(BA$5,APOIO_REDES!$5:$5,0)),IF(AND($N584="MND",$Q584="EMBOQUE"),INDEX(APOIO_REDES!$A:$W,MATCH($C584&amp;$I584&amp;$H584&amp;$N584&amp;$O584,APOIO_REDES!$W:$W,0),MATCH(BA$5,APOIO_REDES!$5:$5,0)),0))*$M584/10,0)</f>
        <v>4.34501001632596</v>
      </c>
      <c r="BB584" s="153" t="n">
        <f aca="false">IFERROR(IF($N584="VCA",INDEX(APOIO_REDES!$A:$W,MATCH($C584&amp;$I584&amp;$H584&amp;$N584&amp;$O584,APOIO_REDES!$W:$W,0),MATCH(BB$5,APOIO_REDES!$5:$5,0)),0)*($AI584+$AQ584+$AR584),0)</f>
        <v>26.6617216217273</v>
      </c>
      <c r="BC584" s="153" t="n">
        <f aca="false">IFERROR(IF($N584="VCA",INDEX(APOIO_REDES!$A:$W,MATCH($C584&amp;$I584&amp;$H584&amp;$N584&amp;$O584,APOIO_REDES!$W:$W,0),MATCH(BC$5,APOIO_REDES!$5:$5,0)),0)*($AI584+$AQ584+$AR584),0)</f>
        <v>0.29327837827275</v>
      </c>
      <c r="BD584" s="153" t="n">
        <f aca="false">IF(AND($N584="VCA",$AF584&gt;=1.25,$AF584&lt;1.5),$M584*$AF584*2,0)</f>
        <v>0</v>
      </c>
      <c r="BE584" s="153" t="n">
        <f aca="false">IF(AND($N584="VCA",$AF584&gt;=1.5,$AF584&lt;3),$M584*$AF584*2,0)</f>
        <v>164.4255</v>
      </c>
      <c r="BF584" s="153" t="n">
        <f aca="false">IF(AND($N584="VCA",$AF584&gt;=3),$M584*$AF584*2,0)</f>
        <v>0</v>
      </c>
      <c r="BG584" s="153" t="n">
        <f aca="false">($BB584+$BC584)*$AK584</f>
        <v>83.5605</v>
      </c>
      <c r="BH584" s="153" t="n">
        <f aca="false">IF(AND($M584&lt;&gt;"",$N584="VCA",$Q584="LINEAR"),($M584*2)/100,IF(AND($M584&lt;&gt;"",$N584="MND",$Q584="EMBOQUE"),($AN584*2)/100,0))</f>
        <v>1.0782</v>
      </c>
      <c r="BI584" s="153" t="n">
        <f aca="false">IF(AND($M584&lt;&gt;"",$N584="VCA",$Q584="LINEAR"),$M584,IF(AND($M584&lt;&gt;"",$N584="MND",$Q584="EMBOQUE"),$AN584*2,0))</f>
        <v>53.91</v>
      </c>
      <c r="BJ584" s="153" t="n">
        <f aca="false">IF(AND($M584&lt;&gt;"",$N584="VCA",$Q584="LINEAR"),($M584*6.8)/100,IF(AND($M584&lt;&gt;"",$N584="MND",$Q584="EMBOQUE"),($AN584*2*6.8)/100,0))</f>
        <v>3.66588</v>
      </c>
      <c r="BK584" s="153" t="n">
        <f aca="false">IF(AND($M584&lt;&gt;"",$N584="VCA",$Q584="LINEAR"),($M584*2.5)/50,IF(AND($M584&lt;&gt;"",$N584="MND",$Q584="EMBOQUE"),($AN584*2*2.5)/50,0))</f>
        <v>2.6955</v>
      </c>
      <c r="BL584" s="157" t="str">
        <f aca="false">K584&amp;J584</f>
        <v>Zona05REDES</v>
      </c>
      <c r="BM584" s="152" t="s">
        <v>3356</v>
      </c>
      <c r="BN584" s="152" t="s">
        <v>1560</v>
      </c>
      <c r="BO584" s="152" t="s">
        <v>3688</v>
      </c>
      <c r="BP584" s="152" t="s">
        <v>3756</v>
      </c>
      <c r="BQ584" s="152" t="s">
        <v>3718</v>
      </c>
      <c r="BR584" s="152" t="s">
        <v>3764</v>
      </c>
      <c r="BS584" s="152" t="n">
        <v>203665.603</v>
      </c>
      <c r="BT584" s="152" t="n">
        <v>8237307.693</v>
      </c>
      <c r="BU584" s="152" t="n">
        <v>203686.724</v>
      </c>
      <c r="BV584" s="152" t="n">
        <v>8237357.286</v>
      </c>
      <c r="BW584" s="152" t="n">
        <v>-15.9255718</v>
      </c>
      <c r="BX584" s="152" t="n">
        <v>-47.7676577</v>
      </c>
      <c r="BY584" s="152" t="s">
        <v>3756</v>
      </c>
    </row>
    <row r="585" customFormat="false" ht="13.8" hidden="false" customHeight="false" outlineLevel="0" collapsed="false">
      <c r="A585" s="149" t="n">
        <f aca="false">IF(C585&lt;&gt;"",ROW(A580),"")</f>
        <v>580</v>
      </c>
      <c r="B585" s="150" t="str">
        <f aca="false">HYPERLINK("https://www.google.com/maps/dir/-15.917302,-47.760003/-15.9261063,-47.7679034/data=!4m3!4m2!3e0!5i2")</f>
        <v>https://www.google.com/maps/dir/-15.917302,-47.760003/-15.9261063,-47.7679034/data=!4m3!4m2!3e0!5i2</v>
      </c>
      <c r="C585" s="151" t="s">
        <v>117</v>
      </c>
      <c r="D585" s="152" t="s">
        <v>112</v>
      </c>
      <c r="E585" s="152" t="s">
        <v>113</v>
      </c>
      <c r="F585" s="152" t="s">
        <v>117</v>
      </c>
      <c r="G585" s="152" t="s">
        <v>782</v>
      </c>
      <c r="H585" s="152" t="n">
        <v>90</v>
      </c>
      <c r="I585" s="152" t="s">
        <v>115</v>
      </c>
      <c r="J585" s="152" t="s">
        <v>6</v>
      </c>
      <c r="K585" s="152" t="s">
        <v>3352</v>
      </c>
      <c r="L585" s="152" t="s">
        <v>120</v>
      </c>
      <c r="M585" s="153" t="n">
        <f aca="false">162.34</f>
        <v>162.34</v>
      </c>
      <c r="N585" s="152" t="s">
        <v>1548</v>
      </c>
      <c r="O585" s="152" t="s">
        <v>1549</v>
      </c>
      <c r="P585" s="152" t="s">
        <v>1550</v>
      </c>
      <c r="Q585" s="152" t="s">
        <v>1551</v>
      </c>
      <c r="R585" s="154" t="s">
        <v>3765</v>
      </c>
      <c r="S585" s="154" t="s">
        <v>1593</v>
      </c>
      <c r="T585" s="155" t="s">
        <v>3685</v>
      </c>
      <c r="U585" s="152" t="str">
        <f aca="false">RIGHT(T585,7)</f>
        <v>012/037</v>
      </c>
      <c r="V585" s="152" t="s">
        <v>1555</v>
      </c>
      <c r="W585" s="156" t="n">
        <v>45882</v>
      </c>
      <c r="X585" s="152" t="s">
        <v>1594</v>
      </c>
      <c r="Y585" s="152" t="s">
        <v>3766</v>
      </c>
      <c r="Z585" s="152" t="s">
        <v>1557</v>
      </c>
      <c r="AA585" s="153" t="n">
        <v>3.1</v>
      </c>
      <c r="AB585" s="151" t="s">
        <v>3767</v>
      </c>
      <c r="AC585" s="151" t="s">
        <v>526</v>
      </c>
      <c r="AD585" s="151" t="str">
        <f aca="false">CONCATENATE($C585,$I585,$H585,$N585,$J585,$K585)</f>
        <v>TUBO PEADPEAD90VCAREDESZona05</v>
      </c>
      <c r="AE585" s="153" t="n">
        <f aca="false">IFERROR(INDEX(APOIO_REDES!$A:$W,MATCH($C585&amp;$I585&amp;$H585&amp;$N585&amp;$O585,APOIO_REDES!$W:$W,0),MATCH(AE$5,APOIO_REDES!$5:$5,0)),0)</f>
        <v>1.2</v>
      </c>
      <c r="AF585" s="153" t="n">
        <f aca="false">IFERROR(INDEX(APOIO_REDES!$A:$W,MATCH($C585&amp;$I585&amp;$H585&amp;$N585&amp;$O585,APOIO_REDES!$W:$W,0),MATCH(AF$5,APOIO_REDES!$5:$5,0)),0)</f>
        <v>1.39</v>
      </c>
      <c r="AG585" s="153" t="n">
        <f aca="false">IFERROR(INDEX(APOIO_REDES!$A:$W,MATCH($C585&amp;$I585&amp;$H585&amp;$N585&amp;$O585,APOIO_REDES!$W:$W,0),MATCH(AG$5,APOIO_REDES!$5:$5,0)),0)</f>
        <v>0.75</v>
      </c>
      <c r="AH585" s="153" t="n">
        <f aca="false">IFERROR(INDEX(APOIO_REDES!$A:$W,MATCH($C585&amp;$I585&amp;$H585&amp;$N585&amp;$O585,APOIO_REDES!$W:$W,0),MATCH(AH$5,APOIO_REDES!$5:$5,0)),0)</f>
        <v>0.1</v>
      </c>
      <c r="AI585" s="153" t="n">
        <f aca="false">IFERROR(IF($H585&lt;&gt;"",(((($H585/1000)/2)^2)*PI()*$M585),0),0)</f>
        <v>1.03276245655213</v>
      </c>
      <c r="AJ585" s="153" t="n">
        <f aca="false">IFERROR(IF(AND($H585&lt;&gt;"",$I585="FoFo",OR($N585="MND",$N585="VCA"),$Q585="LINEAR"),0,IF(AND($H585&lt;&gt;"",$I585="PEAD",$N585="VCA",$Q585="LINEAR"),($H585/1000)+0.3,IF(AND($H585&lt;&gt;"",$I585="PEAD",$N585="MND",$Q585="EMBOQUE"),0,IF(AND($H585&lt;&gt;"",$I585="PVC",$N585="VCA",$Q585="LINEAR"),($H585/1000)+0.2,IF(AND($H585&lt;&gt;"",$I585="PVC",$N585="MND",$Q585="EMBOQUE"),0,IF(AND($H585&lt;&gt;"",$I585="PEAD",$N585="VCA",$Q585="PREDIAL"),0,0)))))),0)</f>
        <v>0.39</v>
      </c>
      <c r="AK585" s="153" t="n">
        <f aca="false">IF(AA585&lt;&gt;"",AA585,0)</f>
        <v>3.1</v>
      </c>
      <c r="AL585" s="153" t="n">
        <f aca="false">IF(AND($N585="MND",$Q585="EMBOQUE"),$M585,IF(AND($N585="VCA",$Q585="LINEAR"),$M585,IF(AND($N585="VCA",$Q585="PREDIAL"),0,0)))</f>
        <v>162.34</v>
      </c>
      <c r="AM585" s="153" t="n">
        <f aca="false">IF(AND($N585="MND",$Q585="EMBOQUE"),$M585,IF(AND($N585="VCA",$Q585="LINEAR"),$M585,IF(AND($N585="VCA",$Q585="PREDIAL"),0,0)))</f>
        <v>162.34</v>
      </c>
      <c r="AN585" s="153" t="n">
        <f aca="false">ROUND(IF(AND($N585="VCA",$M585&lt;&gt;"",$Q585="LINEAR"),$M585/100,IF(AND($N585="MND",$M585&gt;100,$Q585="EMBOQUE"),$M585/100,0)),0)</f>
        <v>2</v>
      </c>
      <c r="AO585" s="153" t="n">
        <f aca="false">IF(AND($N585="MND",$Q585="EMBOQUE"),$AN585*2*2,IF(AND($N585="VCA",$Q585="LINEAR"),$M585*2,IF(AND($N585="VCA",$Q585="PREDIAL"),0,0)))</f>
        <v>324.68</v>
      </c>
      <c r="AP585" s="153" t="n">
        <f aca="false">IFERROR($M585*$AF585*$AG585,0)</f>
        <v>169.23945</v>
      </c>
      <c r="AQ585" s="153" t="n">
        <f aca="false">IFERROR(IF(AND($N585="VCA",$AH585&gt;0),$M585*$AG585*$AH585,0),0)</f>
        <v>12.1755</v>
      </c>
      <c r="AR585" s="153" t="n">
        <f aca="false">IFERROR(IF(AND($N585="VCA",$AJ585&gt;0),($M585*$AG585*$AJ585)-$AI585,0),0)</f>
        <v>46.4516875434479</v>
      </c>
      <c r="AS585" s="153" t="n">
        <f aca="false">IFERROR(IF(AND($N585="VCA",$AP585&gt;0),$AP585-$AI585-$AQ585-$AR585,0),0)</f>
        <v>109.5795</v>
      </c>
      <c r="AT585" s="153" t="n">
        <f aca="false">IFERROR(IF($N585="VCA",INDEX(APOIO_REDES!$A:$W,MATCH($C585&amp;$I585&amp;$H585&amp;$N585&amp;$O585,APOIO_REDES!$W:$W,0),MATCH(AT$5,APOIO_REDES!$5:$5,0)),0)*$AP585,0)</f>
        <v>1.84137530832024</v>
      </c>
      <c r="AU585" s="153" t="n">
        <f aca="false">IFERROR(IF($N585="VCA",INDEX(APOIO_REDES!$A:$W,MATCH($C585&amp;$I585&amp;$H585&amp;$N585&amp;$O585,APOIO_REDES!$W:$W,0),MATCH(AU$5,APOIO_REDES!$5:$5,0)),0)*$AP585,0)</f>
        <v>1.47047245045656</v>
      </c>
      <c r="AV585" s="153" t="n">
        <f aca="false">IFERROR(IF($N585="VCA",INDEX(APOIO_REDES!$A:$W,MATCH($C585&amp;$I585&amp;$H585&amp;$N585&amp;$O585,APOIO_REDES!$W:$W,0),MATCH(AV$5,APOIO_REDES!$5:$5,0)),0)*$AP585,0)</f>
        <v>0.203501843481847</v>
      </c>
      <c r="AW585" s="153" t="n">
        <f aca="false">IFERROR(IF($N585="VCA",INDEX(APOIO_REDES!$A:$W,MATCH($C585&amp;$I585&amp;$H585&amp;$N585&amp;$O585,APOIO_REDES!$W:$W,0),MATCH(AW$5,APOIO_REDES!$5:$5,0)),0)*$AP585,0)</f>
        <v>116.167269811248</v>
      </c>
      <c r="AX585" s="153" t="n">
        <f aca="false">IFERROR(IF($N585="VCA",INDEX(APOIO_REDES!$A:$W,MATCH($C585&amp;$I585&amp;$H585&amp;$N585&amp;$O585,APOIO_REDES!$W:$W,0),MATCH(AX$5,APOIO_REDES!$5:$5,0)),0)*$AP585,0)</f>
        <v>16.077219233145</v>
      </c>
      <c r="AY585" s="153" t="n">
        <f aca="false">IFERROR(IF($N585="VCA",INDEX(APOIO_REDES!$A:$W,MATCH($C585&amp;$I585&amp;$H585&amp;$N585&amp;$O585,APOIO_REDES!$W:$W,0),MATCH(AY$5,APOIO_REDES!$5:$5,0)),0)*$AP585,0)</f>
        <v>29.4094310841913</v>
      </c>
      <c r="AZ585" s="153" t="n">
        <f aca="false">IFERROR(IF($N585="VCA",INDEX(APOIO_REDES!$A:$W,MATCH($C585&amp;$I585&amp;$H585&amp;$N585&amp;$O585,APOIO_REDES!$W:$W,0),MATCH(AZ$5,APOIO_REDES!$5:$5,0)),0)*$AP585,0)</f>
        <v>4.07018026915671</v>
      </c>
      <c r="BA585" s="153" t="n">
        <f aca="false">IFERROR(IF(AND($N585="VCA",$Q585="LINEAR"),INDEX(APOIO_REDES!$A:$W,MATCH($C585&amp;$I585&amp;$H585&amp;$N585&amp;$O585,APOIO_REDES!$W:$W,0),MATCH(BA$5,APOIO_REDES!$5:$5,0)),IF(AND($N585="MND",$Q585="EMBOQUE"),INDEX(APOIO_REDES!$A:$W,MATCH($C585&amp;$I585&amp;$H585&amp;$N585&amp;$O585,APOIO_REDES!$W:$W,0),MATCH(BA$5,APOIO_REDES!$5:$5,0)),0))*$M585/10,0)</f>
        <v>13.0841945103015</v>
      </c>
      <c r="BB585" s="153" t="n">
        <f aca="false">IFERROR(IF($N585="VCA",INDEX(APOIO_REDES!$A:$W,MATCH($C585&amp;$I585&amp;$H585&amp;$N585&amp;$O585,APOIO_REDES!$W:$W,0),MATCH(BB$5,APOIO_REDES!$5:$5,0)),0)*($AI585+$AQ585+$AR585),0)</f>
        <v>59.0108320855562</v>
      </c>
      <c r="BC585" s="153" t="n">
        <f aca="false">IFERROR(IF($N585="VCA",INDEX(APOIO_REDES!$A:$W,MATCH($C585&amp;$I585&amp;$H585&amp;$N585&amp;$O585,APOIO_REDES!$W:$W,0),MATCH(BC$5,APOIO_REDES!$5:$5,0)),0)*($AI585+$AQ585+$AR585),0)</f>
        <v>0.649117914443827</v>
      </c>
      <c r="BD585" s="153" t="n">
        <f aca="false">IF(AND($N585="VCA",$AF585&gt;=1.25,$AF585&lt;1.5),$M585*$AF585*2,0)</f>
        <v>451.3052</v>
      </c>
      <c r="BE585" s="153" t="n">
        <f aca="false">IF(AND($N585="VCA",$AF585&gt;=1.5,$AF585&lt;3),$M585*$AF585*2,0)</f>
        <v>0</v>
      </c>
      <c r="BF585" s="153" t="n">
        <f aca="false">IF(AND($N585="VCA",$AF585&gt;=3),$M585*$AF585*2,0)</f>
        <v>0</v>
      </c>
      <c r="BG585" s="153" t="n">
        <f aca="false">($BB585+$BC585)*$AK585</f>
        <v>184.945845</v>
      </c>
      <c r="BH585" s="153" t="n">
        <f aca="false">IF(AND($M585&lt;&gt;"",$N585="VCA",$Q585="LINEAR"),($M585*2)/100,IF(AND($M585&lt;&gt;"",$N585="MND",$Q585="EMBOQUE"),($AN585*2)/100,0))</f>
        <v>3.2468</v>
      </c>
      <c r="BI585" s="153" t="n">
        <f aca="false">IF(AND($M585&lt;&gt;"",$N585="VCA",$Q585="LINEAR"),$M585,IF(AND($M585&lt;&gt;"",$N585="MND",$Q585="EMBOQUE"),$AN585*2,0))</f>
        <v>162.34</v>
      </c>
      <c r="BJ585" s="153" t="n">
        <f aca="false">IF(AND($M585&lt;&gt;"",$N585="VCA",$Q585="LINEAR"),($M585*6.8)/100,IF(AND($M585&lt;&gt;"",$N585="MND",$Q585="EMBOQUE"),($AN585*2*6.8)/100,0))</f>
        <v>11.03912</v>
      </c>
      <c r="BK585" s="153" t="n">
        <f aca="false">IF(AND($M585&lt;&gt;"",$N585="VCA",$Q585="LINEAR"),($M585*2.5)/50,IF(AND($M585&lt;&gt;"",$N585="MND",$Q585="EMBOQUE"),($AN585*2*2.5)/50,0))</f>
        <v>8.117</v>
      </c>
      <c r="BL585" s="157" t="str">
        <f aca="false">K585&amp;J585</f>
        <v>Zona05REDES</v>
      </c>
      <c r="BM585" s="152" t="s">
        <v>3356</v>
      </c>
      <c r="BN585" s="152" t="s">
        <v>1560</v>
      </c>
      <c r="BO585" s="152" t="s">
        <v>3688</v>
      </c>
      <c r="BP585" s="152" t="s">
        <v>3768</v>
      </c>
      <c r="BQ585" s="152" t="s">
        <v>3752</v>
      </c>
      <c r="BR585" s="152" t="s">
        <v>3769</v>
      </c>
      <c r="BS585" s="152" t="n">
        <v>203650.493</v>
      </c>
      <c r="BT585" s="152" t="n">
        <v>8237273.02</v>
      </c>
      <c r="BU585" s="152" t="n">
        <v>203508.039</v>
      </c>
      <c r="BV585" s="152" t="n">
        <v>8237350.815</v>
      </c>
      <c r="BW585" s="152" t="n">
        <v>-15.9257534</v>
      </c>
      <c r="BX585" s="152" t="n">
        <v>-47.7685673</v>
      </c>
      <c r="BY585" s="152" t="s">
        <v>3768</v>
      </c>
    </row>
    <row r="586" customFormat="false" ht="13.8" hidden="false" customHeight="false" outlineLevel="0" collapsed="false">
      <c r="A586" s="149" t="n">
        <f aca="false">IF(C586&lt;&gt;"",ROW(A581),"")</f>
        <v>581</v>
      </c>
      <c r="B586" s="150" t="str">
        <f aca="false">HYPERLINK("https://www.google.com/maps/dir/-15.917302,-47.760003/-15.9261063,-47.7679034/data=!4m3!4m2!3e0!5i2")</f>
        <v>https://www.google.com/maps/dir/-15.917302,-47.760003/-15.9261063,-47.7679034/data=!4m3!4m2!3e0!5i2</v>
      </c>
      <c r="C586" s="151" t="s">
        <v>117</v>
      </c>
      <c r="D586" s="152" t="s">
        <v>112</v>
      </c>
      <c r="E586" s="152" t="s">
        <v>113</v>
      </c>
      <c r="F586" s="152" t="s">
        <v>117</v>
      </c>
      <c r="G586" s="152" t="s">
        <v>114</v>
      </c>
      <c r="H586" s="152" t="n">
        <v>225</v>
      </c>
      <c r="I586" s="152" t="s">
        <v>115</v>
      </c>
      <c r="J586" s="152" t="s">
        <v>6</v>
      </c>
      <c r="K586" s="152" t="s">
        <v>3352</v>
      </c>
      <c r="L586" s="152" t="s">
        <v>120</v>
      </c>
      <c r="M586" s="153" t="n">
        <f aca="false">37.85</f>
        <v>37.85</v>
      </c>
      <c r="N586" s="152" t="s">
        <v>1548</v>
      </c>
      <c r="O586" s="152" t="s">
        <v>1549</v>
      </c>
      <c r="P586" s="152" t="s">
        <v>1550</v>
      </c>
      <c r="Q586" s="152" t="s">
        <v>1551</v>
      </c>
      <c r="R586" s="154" t="s">
        <v>3770</v>
      </c>
      <c r="S586" s="154" t="s">
        <v>1593</v>
      </c>
      <c r="T586" s="155" t="s">
        <v>3685</v>
      </c>
      <c r="U586" s="152" t="str">
        <f aca="false">RIGHT(T586,7)</f>
        <v>012/037</v>
      </c>
      <c r="V586" s="152" t="s">
        <v>1555</v>
      </c>
      <c r="W586" s="156" t="n">
        <v>45882</v>
      </c>
      <c r="X586" s="152" t="s">
        <v>1594</v>
      </c>
      <c r="Y586" s="152" t="s">
        <v>3766</v>
      </c>
      <c r="Z586" s="152" t="s">
        <v>1557</v>
      </c>
      <c r="AA586" s="153" t="n">
        <v>3.1</v>
      </c>
      <c r="AB586" s="151" t="s">
        <v>3771</v>
      </c>
      <c r="AC586" s="151" t="s">
        <v>508</v>
      </c>
      <c r="AD586" s="151" t="str">
        <f aca="false">CONCATENATE($C586,$I586,$H586,$N586,$J586,$K586)</f>
        <v>TUBO PEADPEAD225VCAREDESZona05</v>
      </c>
      <c r="AE586" s="153" t="n">
        <f aca="false">IFERROR(INDEX(APOIO_REDES!$A:$W,MATCH($C586&amp;$I586&amp;$H586&amp;$N586&amp;$O586,APOIO_REDES!$W:$W,0),MATCH(AE$5,APOIO_REDES!$5:$5,0)),0)</f>
        <v>1.2</v>
      </c>
      <c r="AF586" s="153" t="n">
        <f aca="false">IFERROR(INDEX(APOIO_REDES!$A:$W,MATCH($C586&amp;$I586&amp;$H586&amp;$N586&amp;$O586,APOIO_REDES!$W:$W,0),MATCH(AF$5,APOIO_REDES!$5:$5,0)),0)</f>
        <v>1.525</v>
      </c>
      <c r="AG586" s="153" t="n">
        <f aca="false">IFERROR(INDEX(APOIO_REDES!$A:$W,MATCH($C586&amp;$I586&amp;$H586&amp;$N586&amp;$O586,APOIO_REDES!$W:$W,0),MATCH(AG$5,APOIO_REDES!$5:$5,0)),0)</f>
        <v>0.8</v>
      </c>
      <c r="AH586" s="153" t="n">
        <f aca="false">IFERROR(INDEX(APOIO_REDES!$A:$W,MATCH($C586&amp;$I586&amp;$H586&amp;$N586&amp;$O586,APOIO_REDES!$W:$W,0),MATCH(AH$5,APOIO_REDES!$5:$5,0)),0)</f>
        <v>0.1</v>
      </c>
      <c r="AI586" s="153" t="n">
        <f aca="false">IFERROR(IF($H586&lt;&gt;"",(((($H586/1000)/2)^2)*PI()*$M586),0),0)</f>
        <v>1.50494559953254</v>
      </c>
      <c r="AJ586" s="153" t="n">
        <f aca="false">IFERROR(IF(AND($H586&lt;&gt;"",$I586="FoFo",OR($N586="MND",$N586="VCA"),$Q586="LINEAR"),0,IF(AND($H586&lt;&gt;"",$I586="PEAD",$N586="VCA",$Q586="LINEAR"),($H586/1000)+0.3,IF(AND($H586&lt;&gt;"",$I586="PEAD",$N586="MND",$Q586="EMBOQUE"),0,IF(AND($H586&lt;&gt;"",$I586="PVC",$N586="VCA",$Q586="LINEAR"),($H586/1000)+0.2,IF(AND($H586&lt;&gt;"",$I586="PVC",$N586="MND",$Q586="EMBOQUE"),0,IF(AND($H586&lt;&gt;"",$I586="PEAD",$N586="VCA",$Q586="PREDIAL"),0,0)))))),0)</f>
        <v>0.525</v>
      </c>
      <c r="AK586" s="153" t="n">
        <f aca="false">IF(AA586&lt;&gt;"",AA586,0)</f>
        <v>3.1</v>
      </c>
      <c r="AL586" s="153" t="n">
        <f aca="false">IF(AND($N586="MND",$Q586="EMBOQUE"),$M586,IF(AND($N586="VCA",$Q586="LINEAR"),$M586,IF(AND($N586="VCA",$Q586="PREDIAL"),0,0)))</f>
        <v>37.85</v>
      </c>
      <c r="AM586" s="153" t="n">
        <f aca="false">IF(AND($N586="MND",$Q586="EMBOQUE"),$M586,IF(AND($N586="VCA",$Q586="LINEAR"),$M586,IF(AND($N586="VCA",$Q586="PREDIAL"),0,0)))</f>
        <v>37.85</v>
      </c>
      <c r="AN586" s="153" t="n">
        <f aca="false">ROUND(IF(AND($N586="VCA",$M586&lt;&gt;"",$Q586="LINEAR"),$M586/100,IF(AND($N586="MND",$M586&gt;100,$Q586="EMBOQUE"),$M586/100,0)),0)</f>
        <v>0</v>
      </c>
      <c r="AO586" s="153" t="n">
        <f aca="false">IF(AND($N586="MND",$Q586="EMBOQUE"),$AN586*2*2,IF(AND($N586="VCA",$Q586="LINEAR"),$M586*2,IF(AND($N586="VCA",$Q586="PREDIAL"),0,0)))</f>
        <v>75.7</v>
      </c>
      <c r="AP586" s="153" t="n">
        <f aca="false">IFERROR($M586*$AF586*$AG586,0)</f>
        <v>46.177</v>
      </c>
      <c r="AQ586" s="153" t="n">
        <f aca="false">IFERROR(IF(AND($N586="VCA",$AH586&gt;0),$M586*$AG586*$AH586,0),0)</f>
        <v>3.028</v>
      </c>
      <c r="AR586" s="153" t="n">
        <f aca="false">IFERROR(IF(AND($N586="VCA",$AJ586&gt;0),($M586*$AG586*$AJ586)-$AI586,0),0)</f>
        <v>14.3920544004675</v>
      </c>
      <c r="AS586" s="153" t="n">
        <f aca="false">IFERROR(IF(AND($N586="VCA",$AP586&gt;0),$AP586-$AI586-$AQ586-$AR586,0),0)</f>
        <v>27.252</v>
      </c>
      <c r="AT586" s="153" t="n">
        <f aca="false">IFERROR(IF($N586="VCA",INDEX(APOIO_REDES!$A:$W,MATCH($C586&amp;$I586&amp;$H586&amp;$N586&amp;$O586,APOIO_REDES!$W:$W,0),MATCH(AT$5,APOIO_REDES!$5:$5,0)),0)*$AP586,0)</f>
        <v>0.502419427694334</v>
      </c>
      <c r="AU586" s="153" t="n">
        <f aca="false">IFERROR(IF($N586="VCA",INDEX(APOIO_REDES!$A:$W,MATCH($C586&amp;$I586&amp;$H586&amp;$N586&amp;$O586,APOIO_REDES!$W:$W,0),MATCH(AU$5,APOIO_REDES!$5:$5,0)),0)*$AP586,0)</f>
        <v>0.401218547712916</v>
      </c>
      <c r="AV586" s="153" t="n">
        <f aca="false">IFERROR(IF($N586="VCA",INDEX(APOIO_REDES!$A:$W,MATCH($C586&amp;$I586&amp;$H586&amp;$N586&amp;$O586,APOIO_REDES!$W:$W,0),MATCH(AV$5,APOIO_REDES!$5:$5,0)),0)*$AP586,0)</f>
        <v>0.0555254973143748</v>
      </c>
      <c r="AW586" s="153" t="n">
        <f aca="false">IFERROR(IF($N586="VCA",INDEX(APOIO_REDES!$A:$W,MATCH($C586&amp;$I586&amp;$H586&amp;$N586&amp;$O586,APOIO_REDES!$W:$W,0),MATCH(AW$5,APOIO_REDES!$5:$5,0)),0)*$AP586,0)</f>
        <v>31.6962505968556</v>
      </c>
      <c r="AX586" s="153" t="n">
        <f aca="false">IFERROR(IF($N586="VCA",INDEX(APOIO_REDES!$A:$W,MATCH($C586&amp;$I586&amp;$H586&amp;$N586&amp;$O586,APOIO_REDES!$W:$W,0),MATCH(AX$5,APOIO_REDES!$5:$5,0)),0)*$AP586,0)</f>
        <v>4.38667079412593</v>
      </c>
      <c r="AY586" s="153" t="n">
        <f aca="false">IFERROR(IF($N586="VCA",INDEX(APOIO_REDES!$A:$W,MATCH($C586&amp;$I586&amp;$H586&amp;$N586&amp;$O586,APOIO_REDES!$W:$W,0),MATCH(AY$5,APOIO_REDES!$5:$5,0)),0)*$AP586,0)</f>
        <v>8.02436606343674</v>
      </c>
      <c r="AZ586" s="153" t="n">
        <f aca="false">IFERROR(IF($N586="VCA",INDEX(APOIO_REDES!$A:$W,MATCH($C586&amp;$I586&amp;$H586&amp;$N586&amp;$O586,APOIO_REDES!$W:$W,0),MATCH(AZ$5,APOIO_REDES!$5:$5,0)),0)*$AP586,0)</f>
        <v>1.11054907286008</v>
      </c>
      <c r="BA586" s="153" t="n">
        <f aca="false">IFERROR(IF(AND($N586="VCA",$Q586="LINEAR"),INDEX(APOIO_REDES!$A:$W,MATCH($C586&amp;$I586&amp;$H586&amp;$N586&amp;$O586,APOIO_REDES!$W:$W,0),MATCH(BA$5,APOIO_REDES!$5:$5,0)),IF(AND($N586="MND",$Q586="EMBOQUE"),INDEX(APOIO_REDES!$A:$W,MATCH($C586&amp;$I586&amp;$H586&amp;$N586&amp;$O586,APOIO_REDES!$W:$W,0),MATCH(BA$5,APOIO_REDES!$5:$5,0)),0))*$M586/10,0)</f>
        <v>3.05061452639468</v>
      </c>
      <c r="BB586" s="153" t="n">
        <f aca="false">IFERROR(IF($N586="VCA",INDEX(APOIO_REDES!$A:$W,MATCH($C586&amp;$I586&amp;$H586&amp;$N586&amp;$O586,APOIO_REDES!$W:$W,0),MATCH(BB$5,APOIO_REDES!$5:$5,0)),0)*($AI586+$AQ586+$AR586),0)</f>
        <v>18.7190903984859</v>
      </c>
      <c r="BC586" s="153" t="n">
        <f aca="false">IFERROR(IF($N586="VCA",INDEX(APOIO_REDES!$A:$W,MATCH($C586&amp;$I586&amp;$H586&amp;$N586&amp;$O586,APOIO_REDES!$W:$W,0),MATCH(BC$5,APOIO_REDES!$5:$5,0)),0)*($AI586+$AQ586+$AR586),0)</f>
        <v>0.205909601514071</v>
      </c>
      <c r="BD586" s="153" t="n">
        <f aca="false">IF(AND($N586="VCA",$AF586&gt;=1.25,$AF586&lt;1.5),$M586*$AF586*2,0)</f>
        <v>0</v>
      </c>
      <c r="BE586" s="153" t="n">
        <f aca="false">IF(AND($N586="VCA",$AF586&gt;=1.5,$AF586&lt;3),$M586*$AF586*2,0)</f>
        <v>115.4425</v>
      </c>
      <c r="BF586" s="153" t="n">
        <f aca="false">IF(AND($N586="VCA",$AF586&gt;=3),$M586*$AF586*2,0)</f>
        <v>0</v>
      </c>
      <c r="BG586" s="153" t="n">
        <f aca="false">($BB586+$BC586)*$AK586</f>
        <v>58.6675</v>
      </c>
      <c r="BH586" s="153" t="n">
        <f aca="false">IF(AND($M586&lt;&gt;"",$N586="VCA",$Q586="LINEAR"),($M586*2)/100,IF(AND($M586&lt;&gt;"",$N586="MND",$Q586="EMBOQUE"),($AN586*2)/100,0))</f>
        <v>0.757</v>
      </c>
      <c r="BI586" s="153" t="n">
        <f aca="false">IF(AND($M586&lt;&gt;"",$N586="VCA",$Q586="LINEAR"),$M586,IF(AND($M586&lt;&gt;"",$N586="MND",$Q586="EMBOQUE"),$AN586*2,0))</f>
        <v>37.85</v>
      </c>
      <c r="BJ586" s="153" t="n">
        <f aca="false">IF(AND($M586&lt;&gt;"",$N586="VCA",$Q586="LINEAR"),($M586*6.8)/100,IF(AND($M586&lt;&gt;"",$N586="MND",$Q586="EMBOQUE"),($AN586*2*6.8)/100,0))</f>
        <v>2.5738</v>
      </c>
      <c r="BK586" s="153" t="n">
        <f aca="false">IF(AND($M586&lt;&gt;"",$N586="VCA",$Q586="LINEAR"),($M586*2.5)/50,IF(AND($M586&lt;&gt;"",$N586="MND",$Q586="EMBOQUE"),($AN586*2*2.5)/50,0))</f>
        <v>1.8925</v>
      </c>
      <c r="BL586" s="157" t="str">
        <f aca="false">K586&amp;J586</f>
        <v>Zona05REDES</v>
      </c>
      <c r="BM586" s="152" t="s">
        <v>3356</v>
      </c>
      <c r="BN586" s="152" t="s">
        <v>1560</v>
      </c>
      <c r="BO586" s="152" t="s">
        <v>3688</v>
      </c>
      <c r="BP586" s="152" t="s">
        <v>3768</v>
      </c>
      <c r="BQ586" s="152" t="s">
        <v>3756</v>
      </c>
      <c r="BR586" s="152" t="s">
        <v>3772</v>
      </c>
      <c r="BS586" s="152" t="n">
        <v>203650.493</v>
      </c>
      <c r="BT586" s="152" t="n">
        <v>8237273.02</v>
      </c>
      <c r="BU586" s="152" t="n">
        <v>203665.603</v>
      </c>
      <c r="BV586" s="152" t="n">
        <v>8237307.693</v>
      </c>
      <c r="BW586" s="152" t="n">
        <v>-15.9259529</v>
      </c>
      <c r="BX586" s="152" t="n">
        <v>-47.7678255</v>
      </c>
      <c r="BY586" s="152" t="s">
        <v>3768</v>
      </c>
    </row>
    <row r="587" customFormat="false" ht="13.8" hidden="false" customHeight="false" outlineLevel="0" collapsed="false">
      <c r="A587" s="149" t="n">
        <f aca="false">IF(C587&lt;&gt;"",ROW(A582),"")</f>
        <v>582</v>
      </c>
      <c r="B587" s="150" t="str">
        <f aca="false">HYPERLINK("https://www.google.com/maps/dir/-15.917302,-47.760003/-15.9264569,-47.7680788/data=!4m3!4m2!3e0!5i2")</f>
        <v>https://www.google.com/maps/dir/-15.917302,-47.760003/-15.9264569,-47.7680788/data=!4m3!4m2!3e0!5i2</v>
      </c>
      <c r="C587" s="151" t="s">
        <v>117</v>
      </c>
      <c r="D587" s="152" t="s">
        <v>112</v>
      </c>
      <c r="E587" s="152" t="s">
        <v>113</v>
      </c>
      <c r="F587" s="152" t="s">
        <v>117</v>
      </c>
      <c r="G587" s="152" t="s">
        <v>782</v>
      </c>
      <c r="H587" s="152" t="n">
        <v>90</v>
      </c>
      <c r="I587" s="152" t="s">
        <v>115</v>
      </c>
      <c r="J587" s="152" t="s">
        <v>6</v>
      </c>
      <c r="K587" s="152" t="s">
        <v>3352</v>
      </c>
      <c r="L587" s="152" t="s">
        <v>120</v>
      </c>
      <c r="M587" s="153" t="n">
        <f aca="false">159.38+0.35</f>
        <v>159.73</v>
      </c>
      <c r="N587" s="152" t="s">
        <v>1548</v>
      </c>
      <c r="O587" s="152" t="s">
        <v>1549</v>
      </c>
      <c r="P587" s="152" t="s">
        <v>1550</v>
      </c>
      <c r="Q587" s="152" t="s">
        <v>1551</v>
      </c>
      <c r="R587" s="154" t="s">
        <v>3773</v>
      </c>
      <c r="S587" s="154" t="s">
        <v>1593</v>
      </c>
      <c r="T587" s="155" t="s">
        <v>3685</v>
      </c>
      <c r="U587" s="152" t="str">
        <f aca="false">RIGHT(T587,7)</f>
        <v>012/037</v>
      </c>
      <c r="V587" s="152" t="s">
        <v>1555</v>
      </c>
      <c r="W587" s="156" t="n">
        <v>45882</v>
      </c>
      <c r="X587" s="152" t="s">
        <v>1594</v>
      </c>
      <c r="Y587" s="152" t="s">
        <v>3721</v>
      </c>
      <c r="Z587" s="152" t="s">
        <v>1557</v>
      </c>
      <c r="AA587" s="153" t="n">
        <v>3.1</v>
      </c>
      <c r="AB587" s="151" t="s">
        <v>3774</v>
      </c>
      <c r="AC587" s="151" t="s">
        <v>526</v>
      </c>
      <c r="AD587" s="151" t="str">
        <f aca="false">CONCATENATE($C587,$I587,$H587,$N587,$J587,$K587)</f>
        <v>TUBO PEADPEAD90VCAREDESZona05</v>
      </c>
      <c r="AE587" s="153" t="n">
        <f aca="false">IFERROR(INDEX(APOIO_REDES!$A:$W,MATCH($C587&amp;$I587&amp;$H587&amp;$N587&amp;$O587,APOIO_REDES!$W:$W,0),MATCH(AE$5,APOIO_REDES!$5:$5,0)),0)</f>
        <v>1.2</v>
      </c>
      <c r="AF587" s="153" t="n">
        <f aca="false">IFERROR(INDEX(APOIO_REDES!$A:$W,MATCH($C587&amp;$I587&amp;$H587&amp;$N587&amp;$O587,APOIO_REDES!$W:$W,0),MATCH(AF$5,APOIO_REDES!$5:$5,0)),0)</f>
        <v>1.39</v>
      </c>
      <c r="AG587" s="153" t="n">
        <f aca="false">IFERROR(INDEX(APOIO_REDES!$A:$W,MATCH($C587&amp;$I587&amp;$H587&amp;$N587&amp;$O587,APOIO_REDES!$W:$W,0),MATCH(AG$5,APOIO_REDES!$5:$5,0)),0)</f>
        <v>0.75</v>
      </c>
      <c r="AH587" s="153" t="n">
        <f aca="false">IFERROR(INDEX(APOIO_REDES!$A:$W,MATCH($C587&amp;$I587&amp;$H587&amp;$N587&amp;$O587,APOIO_REDES!$W:$W,0),MATCH(AH$5,APOIO_REDES!$5:$5,0)),0)</f>
        <v>0.1</v>
      </c>
      <c r="AI587" s="153" t="n">
        <f aca="false">IFERROR(IF($H587&lt;&gt;"",(((($H587/1000)/2)^2)*PI()*$M587),0),0)</f>
        <v>1.01615835397974</v>
      </c>
      <c r="AJ587" s="153" t="n">
        <f aca="false">IFERROR(IF(AND($H587&lt;&gt;"",$I587="FoFo",OR($N587="MND",$N587="VCA"),$Q587="LINEAR"),0,IF(AND($H587&lt;&gt;"",$I587="PEAD",$N587="VCA",$Q587="LINEAR"),($H587/1000)+0.3,IF(AND($H587&lt;&gt;"",$I587="PEAD",$N587="MND",$Q587="EMBOQUE"),0,IF(AND($H587&lt;&gt;"",$I587="PVC",$N587="VCA",$Q587="LINEAR"),($H587/1000)+0.2,IF(AND($H587&lt;&gt;"",$I587="PVC",$N587="MND",$Q587="EMBOQUE"),0,IF(AND($H587&lt;&gt;"",$I587="PEAD",$N587="VCA",$Q587="PREDIAL"),0,0)))))),0)</f>
        <v>0.39</v>
      </c>
      <c r="AK587" s="153" t="n">
        <f aca="false">IF(AA587&lt;&gt;"",AA587,0)</f>
        <v>3.1</v>
      </c>
      <c r="AL587" s="153" t="n">
        <f aca="false">IF(AND($N587="MND",$Q587="EMBOQUE"),$M587,IF(AND($N587="VCA",$Q587="LINEAR"),$M587,IF(AND($N587="VCA",$Q587="PREDIAL"),0,0)))</f>
        <v>159.73</v>
      </c>
      <c r="AM587" s="153" t="n">
        <f aca="false">IF(AND($N587="MND",$Q587="EMBOQUE"),$M587,IF(AND($N587="VCA",$Q587="LINEAR"),$M587,IF(AND($N587="VCA",$Q587="PREDIAL"),0,0)))</f>
        <v>159.73</v>
      </c>
      <c r="AN587" s="153" t="n">
        <f aca="false">ROUND(IF(AND($N587="VCA",$M587&lt;&gt;"",$Q587="LINEAR"),$M587/100,IF(AND($N587="MND",$M587&gt;100,$Q587="EMBOQUE"),$M587/100,0)),0)</f>
        <v>2</v>
      </c>
      <c r="AO587" s="153" t="n">
        <f aca="false">IF(AND($N587="MND",$Q587="EMBOQUE"),$AN587*2*2,IF(AND($N587="VCA",$Q587="LINEAR"),$M587*2,IF(AND($N587="VCA",$Q587="PREDIAL"),0,0)))</f>
        <v>319.46</v>
      </c>
      <c r="AP587" s="153" t="n">
        <f aca="false">IFERROR($M587*$AF587*$AG587,0)</f>
        <v>166.518525</v>
      </c>
      <c r="AQ587" s="153" t="n">
        <f aca="false">IFERROR(IF(AND($N587="VCA",$AH587&gt;0),$M587*$AG587*$AH587,0),0)</f>
        <v>11.97975</v>
      </c>
      <c r="AR587" s="153" t="n">
        <f aca="false">IFERROR(IF(AND($N587="VCA",$AJ587&gt;0),($M587*$AG587*$AJ587)-$AI587,0),0)</f>
        <v>45.7048666460203</v>
      </c>
      <c r="AS587" s="153" t="n">
        <f aca="false">IFERROR(IF(AND($N587="VCA",$AP587&gt;0),$AP587-$AI587-$AQ587-$AR587,0),0)</f>
        <v>107.81775</v>
      </c>
      <c r="AT587" s="153" t="n">
        <f aca="false">IFERROR(IF($N587="VCA",INDEX(APOIO_REDES!$A:$W,MATCH($C587&amp;$I587&amp;$H587&amp;$N587&amp;$O587,APOIO_REDES!$W:$W,0),MATCH(AT$5,APOIO_REDES!$5:$5,0)),0)*$AP587,0)</f>
        <v>1.81177083896755</v>
      </c>
      <c r="AU587" s="153" t="n">
        <f aca="false">IFERROR(IF($N587="VCA",INDEX(APOIO_REDES!$A:$W,MATCH($C587&amp;$I587&amp;$H587&amp;$N587&amp;$O587,APOIO_REDES!$W:$W,0),MATCH(AU$5,APOIO_REDES!$5:$5,0)),0)*$AP587,0)</f>
        <v>1.44683112302222</v>
      </c>
      <c r="AV587" s="153" t="n">
        <f aca="false">IFERROR(IF($N587="VCA",INDEX(APOIO_REDES!$A:$W,MATCH($C587&amp;$I587&amp;$H587&amp;$N587&amp;$O587,APOIO_REDES!$W:$W,0),MATCH(AV$5,APOIO_REDES!$5:$5,0)),0)*$AP587,0)</f>
        <v>0.200230069356631</v>
      </c>
      <c r="AW587" s="153" t="n">
        <f aca="false">IFERROR(IF($N587="VCA",INDEX(APOIO_REDES!$A:$W,MATCH($C587&amp;$I587&amp;$H587&amp;$N587&amp;$O587,APOIO_REDES!$W:$W,0),MATCH(AW$5,APOIO_REDES!$5:$5,0)),0)*$AP587,0)</f>
        <v>114.299605808493</v>
      </c>
      <c r="AX587" s="153" t="n">
        <f aca="false">IFERROR(IF($N587="VCA",INDEX(APOIO_REDES!$A:$W,MATCH($C587&amp;$I587&amp;$H587&amp;$N587&amp;$O587,APOIO_REDES!$W:$W,0),MATCH(AX$5,APOIO_REDES!$5:$5,0)),0)*$AP587,0)</f>
        <v>15.8187398553052</v>
      </c>
      <c r="AY587" s="153" t="n">
        <f aca="false">IFERROR(IF($N587="VCA",INDEX(APOIO_REDES!$A:$W,MATCH($C587&amp;$I587&amp;$H587&amp;$N587&amp;$O587,APOIO_REDES!$W:$W,0),MATCH(AY$5,APOIO_REDES!$5:$5,0)),0)*$AP587,0)</f>
        <v>28.9366048236902</v>
      </c>
      <c r="AZ587" s="153" t="n">
        <f aca="false">IFERROR(IF($N587="VCA",INDEX(APOIO_REDES!$A:$W,MATCH($C587&amp;$I587&amp;$H587&amp;$N587&amp;$O587,APOIO_REDES!$W:$W,0),MATCH(AZ$5,APOIO_REDES!$5:$5,0)),0)*$AP587,0)</f>
        <v>4.00474248116546</v>
      </c>
      <c r="BA587" s="153" t="n">
        <f aca="false">IFERROR(IF(AND($N587="VCA",$Q587="LINEAR"),INDEX(APOIO_REDES!$A:$W,MATCH($C587&amp;$I587&amp;$H587&amp;$N587&amp;$O587,APOIO_REDES!$W:$W,0),MATCH(BA$5,APOIO_REDES!$5:$5,0)),IF(AND($N587="MND",$Q587="EMBOQUE"),INDEX(APOIO_REDES!$A:$W,MATCH($C587&amp;$I587&amp;$H587&amp;$N587&amp;$O587,APOIO_REDES!$W:$W,0),MATCH(BA$5,APOIO_REDES!$5:$5,0)),0))*$M587/10,0)</f>
        <v>12.8738350938183</v>
      </c>
      <c r="BB587" s="153" t="n">
        <f aca="false">IFERROR(IF($N587="VCA",INDEX(APOIO_REDES!$A:$W,MATCH($C587&amp;$I587&amp;$H587&amp;$N587&amp;$O587,APOIO_REDES!$W:$W,0),MATCH(BB$5,APOIO_REDES!$5:$5,0)),0)*($AI587+$AQ587+$AR587),0)</f>
        <v>58.0620931934575</v>
      </c>
      <c r="BC587" s="153" t="n">
        <f aca="false">IFERROR(IF($N587="VCA",INDEX(APOIO_REDES!$A:$W,MATCH($C587&amp;$I587&amp;$H587&amp;$N587&amp;$O587,APOIO_REDES!$W:$W,0),MATCH(BC$5,APOIO_REDES!$5:$5,0)),0)*($AI587+$AQ587+$AR587),0)</f>
        <v>0.638681806542518</v>
      </c>
      <c r="BD587" s="153" t="n">
        <f aca="false">IF(AND($N587="VCA",$AF587&gt;=1.25,$AF587&lt;1.5),$M587*$AF587*2,0)</f>
        <v>444.0494</v>
      </c>
      <c r="BE587" s="153" t="n">
        <f aca="false">IF(AND($N587="VCA",$AF587&gt;=1.5,$AF587&lt;3),$M587*$AF587*2,0)</f>
        <v>0</v>
      </c>
      <c r="BF587" s="153" t="n">
        <f aca="false">IF(AND($N587="VCA",$AF587&gt;=3),$M587*$AF587*2,0)</f>
        <v>0</v>
      </c>
      <c r="BG587" s="153" t="n">
        <f aca="false">($BB587+$BC587)*$AK587</f>
        <v>181.9724025</v>
      </c>
      <c r="BH587" s="153" t="n">
        <f aca="false">IF(AND($M587&lt;&gt;"",$N587="VCA",$Q587="LINEAR"),($M587*2)/100,IF(AND($M587&lt;&gt;"",$N587="MND",$Q587="EMBOQUE"),($AN587*2)/100,0))</f>
        <v>3.1946</v>
      </c>
      <c r="BI587" s="153" t="n">
        <f aca="false">IF(AND($M587&lt;&gt;"",$N587="VCA",$Q587="LINEAR"),$M587,IF(AND($M587&lt;&gt;"",$N587="MND",$Q587="EMBOQUE"),$AN587*2,0))</f>
        <v>159.73</v>
      </c>
      <c r="BJ587" s="153" t="n">
        <f aca="false">IF(AND($M587&lt;&gt;"",$N587="VCA",$Q587="LINEAR"),($M587*6.8)/100,IF(AND($M587&lt;&gt;"",$N587="MND",$Q587="EMBOQUE"),($AN587*2*6.8)/100,0))</f>
        <v>10.86164</v>
      </c>
      <c r="BK587" s="153" t="n">
        <f aca="false">IF(AND($M587&lt;&gt;"",$N587="VCA",$Q587="LINEAR"),($M587*2.5)/50,IF(AND($M587&lt;&gt;"",$N587="MND",$Q587="EMBOQUE"),($AN587*2*2.5)/50,0))</f>
        <v>7.9865</v>
      </c>
      <c r="BL587" s="157" t="str">
        <f aca="false">K587&amp;J587</f>
        <v>Zona05REDES</v>
      </c>
      <c r="BM587" s="152" t="s">
        <v>3356</v>
      </c>
      <c r="BN587" s="152" t="s">
        <v>1560</v>
      </c>
      <c r="BO587" s="152" t="s">
        <v>3688</v>
      </c>
      <c r="BP587" s="152" t="s">
        <v>3775</v>
      </c>
      <c r="BQ587" s="152" t="s">
        <v>3760</v>
      </c>
      <c r="BR587" s="152" t="s">
        <v>3776</v>
      </c>
      <c r="BS587" s="152" t="n">
        <v>203632.208</v>
      </c>
      <c r="BT587" s="152" t="n">
        <v>8237233.95</v>
      </c>
      <c r="BU587" s="152" t="n">
        <v>203494.938</v>
      </c>
      <c r="BV587" s="152" t="n">
        <v>8237314.755</v>
      </c>
      <c r="BW587" s="152" t="n">
        <v>-15.9260756</v>
      </c>
      <c r="BX587" s="152" t="n">
        <v>-47.7687087</v>
      </c>
      <c r="BY587" s="152" t="s">
        <v>3775</v>
      </c>
    </row>
    <row r="588" customFormat="false" ht="13.8" hidden="false" customHeight="false" outlineLevel="0" collapsed="false">
      <c r="A588" s="149" t="n">
        <f aca="false">IF(C588&lt;&gt;"",ROW(A583),"")</f>
        <v>583</v>
      </c>
      <c r="B588" s="150" t="str">
        <f aca="false">HYPERLINK("https://www.google.com/maps/dir/-15.917302,-47.760003/-15.9264569,-47.7680788/data=!4m3!4m2!3e0!5i2")</f>
        <v>https://www.google.com/maps/dir/-15.917302,-47.760003/-15.9264569,-47.7680788/data=!4m3!4m2!3e0!5i2</v>
      </c>
      <c r="C588" s="151" t="s">
        <v>117</v>
      </c>
      <c r="D588" s="152" t="s">
        <v>112</v>
      </c>
      <c r="E588" s="152" t="s">
        <v>113</v>
      </c>
      <c r="F588" s="152" t="s">
        <v>117</v>
      </c>
      <c r="G588" s="152" t="s">
        <v>114</v>
      </c>
      <c r="H588" s="152" t="n">
        <v>225</v>
      </c>
      <c r="I588" s="152" t="s">
        <v>115</v>
      </c>
      <c r="J588" s="152" t="s">
        <v>6</v>
      </c>
      <c r="K588" s="152" t="s">
        <v>3352</v>
      </c>
      <c r="L588" s="152" t="s">
        <v>120</v>
      </c>
      <c r="M588" s="153" t="n">
        <f aca="false">43.16</f>
        <v>43.16</v>
      </c>
      <c r="N588" s="152" t="s">
        <v>1548</v>
      </c>
      <c r="O588" s="152" t="s">
        <v>1549</v>
      </c>
      <c r="P588" s="152" t="s">
        <v>1550</v>
      </c>
      <c r="Q588" s="152" t="s">
        <v>1551</v>
      </c>
      <c r="R588" s="154" t="s">
        <v>3777</v>
      </c>
      <c r="S588" s="154" t="s">
        <v>1593</v>
      </c>
      <c r="T588" s="155" t="s">
        <v>3685</v>
      </c>
      <c r="U588" s="152" t="str">
        <f aca="false">RIGHT(T588,7)</f>
        <v>012/037</v>
      </c>
      <c r="V588" s="152" t="s">
        <v>1555</v>
      </c>
      <c r="W588" s="156" t="n">
        <v>45882</v>
      </c>
      <c r="X588" s="152" t="s">
        <v>1594</v>
      </c>
      <c r="Y588" s="152" t="s">
        <v>3721</v>
      </c>
      <c r="Z588" s="152" t="s">
        <v>1557</v>
      </c>
      <c r="AA588" s="153" t="n">
        <v>3.1</v>
      </c>
      <c r="AB588" s="151" t="s">
        <v>3778</v>
      </c>
      <c r="AC588" s="151" t="s">
        <v>508</v>
      </c>
      <c r="AD588" s="151" t="str">
        <f aca="false">CONCATENATE($C588,$I588,$H588,$N588,$J588,$K588)</f>
        <v>TUBO PEADPEAD225VCAREDESZona05</v>
      </c>
      <c r="AE588" s="153" t="n">
        <f aca="false">IFERROR(INDEX(APOIO_REDES!$A:$W,MATCH($C588&amp;$I588&amp;$H588&amp;$N588&amp;$O588,APOIO_REDES!$W:$W,0),MATCH(AE$5,APOIO_REDES!$5:$5,0)),0)</f>
        <v>1.2</v>
      </c>
      <c r="AF588" s="153" t="n">
        <f aca="false">IFERROR(INDEX(APOIO_REDES!$A:$W,MATCH($C588&amp;$I588&amp;$H588&amp;$N588&amp;$O588,APOIO_REDES!$W:$W,0),MATCH(AF$5,APOIO_REDES!$5:$5,0)),0)</f>
        <v>1.525</v>
      </c>
      <c r="AG588" s="153" t="n">
        <f aca="false">IFERROR(INDEX(APOIO_REDES!$A:$W,MATCH($C588&amp;$I588&amp;$H588&amp;$N588&amp;$O588,APOIO_REDES!$W:$W,0),MATCH(AG$5,APOIO_REDES!$5:$5,0)),0)</f>
        <v>0.8</v>
      </c>
      <c r="AH588" s="153" t="n">
        <f aca="false">IFERROR(INDEX(APOIO_REDES!$A:$W,MATCH($C588&amp;$I588&amp;$H588&amp;$N588&amp;$O588,APOIO_REDES!$W:$W,0),MATCH(AH$5,APOIO_REDES!$5:$5,0)),0)</f>
        <v>0.1</v>
      </c>
      <c r="AI588" s="153" t="n">
        <f aca="false">IFERROR(IF($H588&lt;&gt;"",(((($H588/1000)/2)^2)*PI()*$M588),0),0)</f>
        <v>1.71607535206934</v>
      </c>
      <c r="AJ588" s="153" t="n">
        <f aca="false">IFERROR(IF(AND($H588&lt;&gt;"",$I588="FoFo",OR($N588="MND",$N588="VCA"),$Q588="LINEAR"),0,IF(AND($H588&lt;&gt;"",$I588="PEAD",$N588="VCA",$Q588="LINEAR"),($H588/1000)+0.3,IF(AND($H588&lt;&gt;"",$I588="PEAD",$N588="MND",$Q588="EMBOQUE"),0,IF(AND($H588&lt;&gt;"",$I588="PVC",$N588="VCA",$Q588="LINEAR"),($H588/1000)+0.2,IF(AND($H588&lt;&gt;"",$I588="PVC",$N588="MND",$Q588="EMBOQUE"),0,IF(AND($H588&lt;&gt;"",$I588="PEAD",$N588="VCA",$Q588="PREDIAL"),0,0)))))),0)</f>
        <v>0.525</v>
      </c>
      <c r="AK588" s="153" t="n">
        <f aca="false">IF(AA588&lt;&gt;"",AA588,0)</f>
        <v>3.1</v>
      </c>
      <c r="AL588" s="153" t="n">
        <f aca="false">IF(AND($N588="MND",$Q588="EMBOQUE"),$M588,IF(AND($N588="VCA",$Q588="LINEAR"),$M588,IF(AND($N588="VCA",$Q588="PREDIAL"),0,0)))</f>
        <v>43.16</v>
      </c>
      <c r="AM588" s="153" t="n">
        <f aca="false">IF(AND($N588="MND",$Q588="EMBOQUE"),$M588,IF(AND($N588="VCA",$Q588="LINEAR"),$M588,IF(AND($N588="VCA",$Q588="PREDIAL"),0,0)))</f>
        <v>43.16</v>
      </c>
      <c r="AN588" s="153" t="n">
        <f aca="false">ROUND(IF(AND($N588="VCA",$M588&lt;&gt;"",$Q588="LINEAR"),$M588/100,IF(AND($N588="MND",$M588&gt;100,$Q588="EMBOQUE"),$M588/100,0)),0)</f>
        <v>0</v>
      </c>
      <c r="AO588" s="153" t="n">
        <f aca="false">IF(AND($N588="MND",$Q588="EMBOQUE"),$AN588*2*2,IF(AND($N588="VCA",$Q588="LINEAR"),$M588*2,IF(AND($N588="VCA",$Q588="PREDIAL"),0,0)))</f>
        <v>86.32</v>
      </c>
      <c r="AP588" s="153" t="n">
        <f aca="false">IFERROR($M588*$AF588*$AG588,0)</f>
        <v>52.6552</v>
      </c>
      <c r="AQ588" s="153" t="n">
        <f aca="false">IFERROR(IF(AND($N588="VCA",$AH588&gt;0),$M588*$AG588*$AH588,0),0)</f>
        <v>3.4528</v>
      </c>
      <c r="AR588" s="153" t="n">
        <f aca="false">IFERROR(IF(AND($N588="VCA",$AJ588&gt;0),($M588*$AG588*$AJ588)-$AI588,0),0)</f>
        <v>16.4111246479307</v>
      </c>
      <c r="AS588" s="153" t="n">
        <f aca="false">IFERROR(IF(AND($N588="VCA",$AP588&gt;0),$AP588-$AI588-$AQ588-$AR588,0),0)</f>
        <v>31.0752</v>
      </c>
      <c r="AT588" s="153" t="n">
        <f aca="false">IFERROR(IF($N588="VCA",INDEX(APOIO_REDES!$A:$W,MATCH($C588&amp;$I588&amp;$H588&amp;$N588&amp;$O588,APOIO_REDES!$W:$W,0),MATCH(AT$5,APOIO_REDES!$5:$5,0)),0)*$AP588,0)</f>
        <v>0.572904161143658</v>
      </c>
      <c r="AU588" s="153" t="n">
        <f aca="false">IFERROR(IF($N588="VCA",INDEX(APOIO_REDES!$A:$W,MATCH($C588&amp;$I588&amp;$H588&amp;$N588&amp;$O588,APOIO_REDES!$W:$W,0),MATCH(AU$5,APOIO_REDES!$5:$5,0)),0)*$AP588,0)</f>
        <v>0.457505746876868</v>
      </c>
      <c r="AV588" s="153" t="n">
        <f aca="false">IFERROR(IF($N588="VCA",INDEX(APOIO_REDES!$A:$W,MATCH($C588&amp;$I588&amp;$H588&amp;$N588&amp;$O588,APOIO_REDES!$W:$W,0),MATCH(AV$5,APOIO_REDES!$5:$5,0)),0)*$AP588,0)</f>
        <v>0.0633152038068273</v>
      </c>
      <c r="AW588" s="153" t="n">
        <f aca="false">IFERROR(IF($N588="VCA",INDEX(APOIO_REDES!$A:$W,MATCH($C588&amp;$I588&amp;$H588&amp;$N588&amp;$O588,APOIO_REDES!$W:$W,0),MATCH(AW$5,APOIO_REDES!$5:$5,0)),0)*$AP588,0)</f>
        <v>36.1429372723987</v>
      </c>
      <c r="AX588" s="153" t="n">
        <f aca="false">IFERROR(IF($N588="VCA",INDEX(APOIO_REDES!$A:$W,MATCH($C588&amp;$I588&amp;$H588&amp;$N588&amp;$O588,APOIO_REDES!$W:$W,0),MATCH(AX$5,APOIO_REDES!$5:$5,0)),0)*$AP588,0)</f>
        <v>5.00207956339432</v>
      </c>
      <c r="AY588" s="153" t="n">
        <f aca="false">IFERROR(IF($N588="VCA",INDEX(APOIO_REDES!$A:$W,MATCH($C588&amp;$I588&amp;$H588&amp;$N588&amp;$O588,APOIO_REDES!$W:$W,0),MATCH(AY$5,APOIO_REDES!$5:$5,0)),0)*$AP588,0)</f>
        <v>9.15010936057939</v>
      </c>
      <c r="AZ588" s="153" t="n">
        <f aca="false">IFERROR(IF($N588="VCA",INDEX(APOIO_REDES!$A:$W,MATCH($C588&amp;$I588&amp;$H588&amp;$N588&amp;$O588,APOIO_REDES!$W:$W,0),MATCH(AZ$5,APOIO_REDES!$5:$5,0)),0)*$AP588,0)</f>
        <v>1.26634869180029</v>
      </c>
      <c r="BA588" s="153" t="n">
        <f aca="false">IFERROR(IF(AND($N588="VCA",$Q588="LINEAR"),INDEX(APOIO_REDES!$A:$W,MATCH($C588&amp;$I588&amp;$H588&amp;$N588&amp;$O588,APOIO_REDES!$W:$W,0),MATCH(BA$5,APOIO_REDES!$5:$5,0)),IF(AND($N588="MND",$Q588="EMBOQUE"),INDEX(APOIO_REDES!$A:$W,MATCH($C588&amp;$I588&amp;$H588&amp;$N588&amp;$O588,APOIO_REDES!$W:$W,0),MATCH(BA$5,APOIO_REDES!$5:$5,0)),0))*$M588/10,0)</f>
        <v>3.47858713234332</v>
      </c>
      <c r="BB588" s="153" t="n">
        <f aca="false">IFERROR(IF($N588="VCA",INDEX(APOIO_REDES!$A:$W,MATCH($C588&amp;$I588&amp;$H588&amp;$N588&amp;$O588,APOIO_REDES!$W:$W,0),MATCH(BB$5,APOIO_REDES!$5:$5,0)),0)*($AI588+$AQ588+$AR588),0)</f>
        <v>21.345203212646</v>
      </c>
      <c r="BC588" s="153" t="n">
        <f aca="false">IFERROR(IF($N588="VCA",INDEX(APOIO_REDES!$A:$W,MATCH($C588&amp;$I588&amp;$H588&amp;$N588&amp;$O588,APOIO_REDES!$W:$W,0),MATCH(BC$5,APOIO_REDES!$5:$5,0)),0)*($AI588+$AQ588+$AR588),0)</f>
        <v>0.234796787353958</v>
      </c>
      <c r="BD588" s="153" t="n">
        <f aca="false">IF(AND($N588="VCA",$AF588&gt;=1.25,$AF588&lt;1.5),$M588*$AF588*2,0)</f>
        <v>0</v>
      </c>
      <c r="BE588" s="153" t="n">
        <f aca="false">IF(AND($N588="VCA",$AF588&gt;=1.5,$AF588&lt;3),$M588*$AF588*2,0)</f>
        <v>131.638</v>
      </c>
      <c r="BF588" s="153" t="n">
        <f aca="false">IF(AND($N588="VCA",$AF588&gt;=3),$M588*$AF588*2,0)</f>
        <v>0</v>
      </c>
      <c r="BG588" s="153" t="n">
        <f aca="false">($BB588+$BC588)*$AK588</f>
        <v>66.898</v>
      </c>
      <c r="BH588" s="153" t="n">
        <f aca="false">IF(AND($M588&lt;&gt;"",$N588="VCA",$Q588="LINEAR"),($M588*2)/100,IF(AND($M588&lt;&gt;"",$N588="MND",$Q588="EMBOQUE"),($AN588*2)/100,0))</f>
        <v>0.8632</v>
      </c>
      <c r="BI588" s="153" t="n">
        <f aca="false">IF(AND($M588&lt;&gt;"",$N588="VCA",$Q588="LINEAR"),$M588,IF(AND($M588&lt;&gt;"",$N588="MND",$Q588="EMBOQUE"),$AN588*2,0))</f>
        <v>43.16</v>
      </c>
      <c r="BJ588" s="153" t="n">
        <f aca="false">IF(AND($M588&lt;&gt;"",$N588="VCA",$Q588="LINEAR"),($M588*6.8)/100,IF(AND($M588&lt;&gt;"",$N588="MND",$Q588="EMBOQUE"),($AN588*2*6.8)/100,0))</f>
        <v>2.93488</v>
      </c>
      <c r="BK588" s="153" t="n">
        <f aca="false">IF(AND($M588&lt;&gt;"",$N588="VCA",$Q588="LINEAR"),($M588*2.5)/50,IF(AND($M588&lt;&gt;"",$N588="MND",$Q588="EMBOQUE"),($AN588*2*2.5)/50,0))</f>
        <v>2.158</v>
      </c>
      <c r="BL588" s="157" t="str">
        <f aca="false">K588&amp;J588</f>
        <v>Zona05REDES</v>
      </c>
      <c r="BM588" s="152" t="s">
        <v>3356</v>
      </c>
      <c r="BN588" s="152" t="s">
        <v>1560</v>
      </c>
      <c r="BO588" s="152" t="s">
        <v>3688</v>
      </c>
      <c r="BP588" s="152" t="s">
        <v>3775</v>
      </c>
      <c r="BQ588" s="152" t="s">
        <v>3768</v>
      </c>
      <c r="BR588" s="152" t="s">
        <v>3779</v>
      </c>
      <c r="BS588" s="152" t="n">
        <v>203632.208</v>
      </c>
      <c r="BT588" s="152" t="n">
        <v>8237233.95</v>
      </c>
      <c r="BU588" s="152" t="n">
        <v>203650.493</v>
      </c>
      <c r="BV588" s="152" t="n">
        <v>8237273.02</v>
      </c>
      <c r="BW588" s="152" t="n">
        <v>-15.9262825</v>
      </c>
      <c r="BX588" s="152" t="n">
        <v>-47.7679893</v>
      </c>
      <c r="BY588" s="152" t="s">
        <v>3775</v>
      </c>
    </row>
    <row r="589" customFormat="false" ht="13.8" hidden="false" customHeight="false" outlineLevel="0" collapsed="false">
      <c r="A589" s="149" t="n">
        <f aca="false">IF(C589&lt;&gt;"",ROW(A584),"")</f>
        <v>584</v>
      </c>
      <c r="B589" s="150" t="str">
        <f aca="false">HYPERLINK("https://www.google.com/maps/dir/-15.917302,-47.760003/-15.9264569,-47.7680788/data=!4m3!4m2!3e0!5i2")</f>
        <v>https://www.google.com/maps/dir/-15.917302,-47.760003/-15.9264569,-47.7680788/data=!4m3!4m2!3e0!5i2</v>
      </c>
      <c r="C589" s="151" t="s">
        <v>117</v>
      </c>
      <c r="D589" s="152" t="s">
        <v>112</v>
      </c>
      <c r="E589" s="152" t="s">
        <v>113</v>
      </c>
      <c r="F589" s="152" t="s">
        <v>117</v>
      </c>
      <c r="G589" s="152" t="s">
        <v>114</v>
      </c>
      <c r="H589" s="152" t="n">
        <v>225</v>
      </c>
      <c r="I589" s="152" t="s">
        <v>115</v>
      </c>
      <c r="J589" s="152" t="s">
        <v>6</v>
      </c>
      <c r="K589" s="152" t="s">
        <v>3352</v>
      </c>
      <c r="L589" s="152" t="s">
        <v>120</v>
      </c>
      <c r="M589" s="153" t="n">
        <f aca="false">3.62</f>
        <v>3.62</v>
      </c>
      <c r="N589" s="152" t="s">
        <v>1548</v>
      </c>
      <c r="O589" s="152" t="s">
        <v>1549</v>
      </c>
      <c r="P589" s="152" t="s">
        <v>1550</v>
      </c>
      <c r="Q589" s="152" t="s">
        <v>1551</v>
      </c>
      <c r="R589" s="154" t="s">
        <v>3780</v>
      </c>
      <c r="S589" s="154" t="s">
        <v>1593</v>
      </c>
      <c r="T589" s="155" t="s">
        <v>3685</v>
      </c>
      <c r="U589" s="152" t="str">
        <f aca="false">RIGHT(T589,7)</f>
        <v>012/037</v>
      </c>
      <c r="V589" s="152" t="s">
        <v>1555</v>
      </c>
      <c r="W589" s="156" t="n">
        <v>45882</v>
      </c>
      <c r="X589" s="152" t="s">
        <v>1594</v>
      </c>
      <c r="Y589" s="152" t="s">
        <v>3721</v>
      </c>
      <c r="Z589" s="152" t="s">
        <v>1557</v>
      </c>
      <c r="AA589" s="153" t="n">
        <v>3.1</v>
      </c>
      <c r="AB589" s="151" t="s">
        <v>3781</v>
      </c>
      <c r="AC589" s="151" t="s">
        <v>508</v>
      </c>
      <c r="AD589" s="151" t="str">
        <f aca="false">CONCATENATE($C589,$I589,$H589,$N589,$J589,$K589)</f>
        <v>TUBO PEADPEAD225VCAREDESZona05</v>
      </c>
      <c r="AE589" s="153" t="n">
        <f aca="false">IFERROR(INDEX(APOIO_REDES!$A:$W,MATCH($C589&amp;$I589&amp;$H589&amp;$N589&amp;$O589,APOIO_REDES!$W:$W,0),MATCH(AE$5,APOIO_REDES!$5:$5,0)),0)</f>
        <v>1.2</v>
      </c>
      <c r="AF589" s="153" t="n">
        <f aca="false">IFERROR(INDEX(APOIO_REDES!$A:$W,MATCH($C589&amp;$I589&amp;$H589&amp;$N589&amp;$O589,APOIO_REDES!$W:$W,0),MATCH(AF$5,APOIO_REDES!$5:$5,0)),0)</f>
        <v>1.525</v>
      </c>
      <c r="AG589" s="153" t="n">
        <f aca="false">IFERROR(INDEX(APOIO_REDES!$A:$W,MATCH($C589&amp;$I589&amp;$H589&amp;$N589&amp;$O589,APOIO_REDES!$W:$W,0),MATCH(AG$5,APOIO_REDES!$5:$5,0)),0)</f>
        <v>0.8</v>
      </c>
      <c r="AH589" s="153" t="n">
        <f aca="false">IFERROR(INDEX(APOIO_REDES!$A:$W,MATCH($C589&amp;$I589&amp;$H589&amp;$N589&amp;$O589,APOIO_REDES!$W:$W,0),MATCH(AH$5,APOIO_REDES!$5:$5,0)),0)</f>
        <v>0.1</v>
      </c>
      <c r="AI589" s="153" t="n">
        <f aca="false">IFERROR(IF($H589&lt;&gt;"",(((($H589/1000)/2)^2)*PI()*$M589),0),0)</f>
        <v>0.143934030919625</v>
      </c>
      <c r="AJ589" s="153" t="n">
        <f aca="false">IFERROR(IF(AND($H589&lt;&gt;"",$I589="FoFo",OR($N589="MND",$N589="VCA"),$Q589="LINEAR"),0,IF(AND($H589&lt;&gt;"",$I589="PEAD",$N589="VCA",$Q589="LINEAR"),($H589/1000)+0.3,IF(AND($H589&lt;&gt;"",$I589="PEAD",$N589="MND",$Q589="EMBOQUE"),0,IF(AND($H589&lt;&gt;"",$I589="PVC",$N589="VCA",$Q589="LINEAR"),($H589/1000)+0.2,IF(AND($H589&lt;&gt;"",$I589="PVC",$N589="MND",$Q589="EMBOQUE"),0,IF(AND($H589&lt;&gt;"",$I589="PEAD",$N589="VCA",$Q589="PREDIAL"),0,0)))))),0)</f>
        <v>0.525</v>
      </c>
      <c r="AK589" s="153" t="n">
        <f aca="false">IF(AA589&lt;&gt;"",AA589,0)</f>
        <v>3.1</v>
      </c>
      <c r="AL589" s="153" t="n">
        <f aca="false">IF(AND($N589="MND",$Q589="EMBOQUE"),$M589,IF(AND($N589="VCA",$Q589="LINEAR"),$M589,IF(AND($N589="VCA",$Q589="PREDIAL"),0,0)))</f>
        <v>3.62</v>
      </c>
      <c r="AM589" s="153" t="n">
        <f aca="false">IF(AND($N589="MND",$Q589="EMBOQUE"),$M589,IF(AND($N589="VCA",$Q589="LINEAR"),$M589,IF(AND($N589="VCA",$Q589="PREDIAL"),0,0)))</f>
        <v>3.62</v>
      </c>
      <c r="AN589" s="153" t="n">
        <f aca="false">ROUND(IF(AND($N589="VCA",$M589&lt;&gt;"",$Q589="LINEAR"),$M589/100,IF(AND($N589="MND",$M589&gt;100,$Q589="EMBOQUE"),$M589/100,0)),0)</f>
        <v>0</v>
      </c>
      <c r="AO589" s="153" t="n">
        <f aca="false">IF(AND($N589="MND",$Q589="EMBOQUE"),$AN589*2*2,IF(AND($N589="VCA",$Q589="LINEAR"),$M589*2,IF(AND($N589="VCA",$Q589="PREDIAL"),0,0)))</f>
        <v>7.24</v>
      </c>
      <c r="AP589" s="153" t="n">
        <f aca="false">IFERROR($M589*$AF589*$AG589,0)</f>
        <v>4.4164</v>
      </c>
      <c r="AQ589" s="153" t="n">
        <f aca="false">IFERROR(IF(AND($N589="VCA",$AH589&gt;0),$M589*$AG589*$AH589,0),0)</f>
        <v>0.2896</v>
      </c>
      <c r="AR589" s="153" t="n">
        <f aca="false">IFERROR(IF(AND($N589="VCA",$AJ589&gt;0),($M589*$AG589*$AJ589)-$AI589,0),0)</f>
        <v>1.37646596908038</v>
      </c>
      <c r="AS589" s="153" t="n">
        <f aca="false">IFERROR(IF(AND($N589="VCA",$AP589&gt;0),$AP589-$AI589-$AQ589-$AR589,0),0)</f>
        <v>2.6064</v>
      </c>
      <c r="AT589" s="153" t="n">
        <f aca="false">IFERROR(IF($N589="VCA",INDEX(APOIO_REDES!$A:$W,MATCH($C589&amp;$I589&amp;$H589&amp;$N589&amp;$O589,APOIO_REDES!$W:$W,0),MATCH(AT$5,APOIO_REDES!$5:$5,0)),0)*$AP589,0)</f>
        <v>0.0480517391876748</v>
      </c>
      <c r="AU589" s="153" t="n">
        <f aca="false">IFERROR(IF($N589="VCA",INDEX(APOIO_REDES!$A:$W,MATCH($C589&amp;$I589&amp;$H589&amp;$N589&amp;$O589,APOIO_REDES!$W:$W,0),MATCH(AU$5,APOIO_REDES!$5:$5,0)),0)*$AP589,0)</f>
        <v>0.0383728175091349</v>
      </c>
      <c r="AV589" s="153" t="n">
        <f aca="false">IFERROR(IF($N589="VCA",INDEX(APOIO_REDES!$A:$W,MATCH($C589&amp;$I589&amp;$H589&amp;$N589&amp;$O589,APOIO_REDES!$W:$W,0),MATCH(AV$5,APOIO_REDES!$5:$5,0)),0)*$AP589,0)</f>
        <v>0.00531049670483584</v>
      </c>
      <c r="AW589" s="153" t="n">
        <f aca="false">IFERROR(IF($N589="VCA",INDEX(APOIO_REDES!$A:$W,MATCH($C589&amp;$I589&amp;$H589&amp;$N589&amp;$O589,APOIO_REDES!$W:$W,0),MATCH(AW$5,APOIO_REDES!$5:$5,0)),0)*$AP589,0)</f>
        <v>3.03145117993705</v>
      </c>
      <c r="AX589" s="153" t="n">
        <f aca="false">IFERROR(IF($N589="VCA",INDEX(APOIO_REDES!$A:$W,MATCH($C589&amp;$I589&amp;$H589&amp;$N589&amp;$O589,APOIO_REDES!$W:$W,0),MATCH(AX$5,APOIO_REDES!$5:$5,0)),0)*$AP589,0)</f>
        <v>0.419544208051146</v>
      </c>
      <c r="AY589" s="153" t="n">
        <f aca="false">IFERROR(IF($N589="VCA",INDEX(APOIO_REDES!$A:$W,MATCH($C589&amp;$I589&amp;$H589&amp;$N589&amp;$O589,APOIO_REDES!$W:$W,0),MATCH(AY$5,APOIO_REDES!$5:$5,0)),0)*$AP589,0)</f>
        <v>0.767455882421163</v>
      </c>
      <c r="AZ589" s="153" t="n">
        <f aca="false">IFERROR(IF($N589="VCA",INDEX(APOIO_REDES!$A:$W,MATCH($C589&amp;$I589&amp;$H589&amp;$N589&amp;$O589,APOIO_REDES!$W:$W,0),MATCH(AZ$5,APOIO_REDES!$5:$5,0)),0)*$AP589,0)</f>
        <v>0.106213676188995</v>
      </c>
      <c r="BA589" s="153" t="n">
        <f aca="false">IFERROR(IF(AND($N589="VCA",$Q589="LINEAR"),INDEX(APOIO_REDES!$A:$W,MATCH($C589&amp;$I589&amp;$H589&amp;$N589&amp;$O589,APOIO_REDES!$W:$W,0),MATCH(BA$5,APOIO_REDES!$5:$5,0)),IF(AND($N589="MND",$Q589="EMBOQUE"),INDEX(APOIO_REDES!$A:$W,MATCH($C589&amp;$I589&amp;$H589&amp;$N589&amp;$O589,APOIO_REDES!$W:$W,0),MATCH(BA$5,APOIO_REDES!$5:$5,0)),0))*$M589/10,0)</f>
        <v>0.291762868838805</v>
      </c>
      <c r="BB589" s="153" t="n">
        <f aca="false">IFERROR(IF($N589="VCA",INDEX(APOIO_REDES!$A:$W,MATCH($C589&amp;$I589&amp;$H589&amp;$N589&amp;$O589,APOIO_REDES!$W:$W,0),MATCH(BB$5,APOIO_REDES!$5:$5,0)),0)*($AI589+$AQ589+$AR589),0)</f>
        <v>1.79030666426735</v>
      </c>
      <c r="BC589" s="153" t="n">
        <f aca="false">IFERROR(IF($N589="VCA",INDEX(APOIO_REDES!$A:$W,MATCH($C589&amp;$I589&amp;$H589&amp;$N589&amp;$O589,APOIO_REDES!$W:$W,0),MATCH(BC$5,APOIO_REDES!$5:$5,0)),0)*($AI589+$AQ589+$AR589),0)</f>
        <v>0.0196933357326536</v>
      </c>
      <c r="BD589" s="153" t="n">
        <f aca="false">IF(AND($N589="VCA",$AF589&gt;=1.25,$AF589&lt;1.5),$M589*$AF589*2,0)</f>
        <v>0</v>
      </c>
      <c r="BE589" s="153" t="n">
        <f aca="false">IF(AND($N589="VCA",$AF589&gt;=1.5,$AF589&lt;3),$M589*$AF589*2,0)</f>
        <v>11.041</v>
      </c>
      <c r="BF589" s="153" t="n">
        <f aca="false">IF(AND($N589="VCA",$AF589&gt;=3),$M589*$AF589*2,0)</f>
        <v>0</v>
      </c>
      <c r="BG589" s="153" t="n">
        <f aca="false">($BB589+$BC589)*$AK589</f>
        <v>5.611</v>
      </c>
      <c r="BH589" s="153" t="n">
        <f aca="false">IF(AND($M589&lt;&gt;"",$N589="VCA",$Q589="LINEAR"),($M589*2)/100,IF(AND($M589&lt;&gt;"",$N589="MND",$Q589="EMBOQUE"),($AN589*2)/100,0))</f>
        <v>0.0724</v>
      </c>
      <c r="BI589" s="153" t="n">
        <f aca="false">IF(AND($M589&lt;&gt;"",$N589="VCA",$Q589="LINEAR"),$M589,IF(AND($M589&lt;&gt;"",$N589="MND",$Q589="EMBOQUE"),$AN589*2,0))</f>
        <v>3.62</v>
      </c>
      <c r="BJ589" s="153" t="n">
        <f aca="false">IF(AND($M589&lt;&gt;"",$N589="VCA",$Q589="LINEAR"),($M589*6.8)/100,IF(AND($M589&lt;&gt;"",$N589="MND",$Q589="EMBOQUE"),($AN589*2*6.8)/100,0))</f>
        <v>0.24616</v>
      </c>
      <c r="BK589" s="153" t="n">
        <f aca="false">IF(AND($M589&lt;&gt;"",$N589="VCA",$Q589="LINEAR"),($M589*2.5)/50,IF(AND($M589&lt;&gt;"",$N589="MND",$Q589="EMBOQUE"),($AN589*2*2.5)/50,0))</f>
        <v>0.181</v>
      </c>
      <c r="BL589" s="157" t="str">
        <f aca="false">K589&amp;J589</f>
        <v>Zona05REDES</v>
      </c>
      <c r="BM589" s="152" t="s">
        <v>3356</v>
      </c>
      <c r="BN589" s="152" t="s">
        <v>1560</v>
      </c>
      <c r="BO589" s="152" t="s">
        <v>3688</v>
      </c>
      <c r="BP589" s="152" t="s">
        <v>3775</v>
      </c>
      <c r="BQ589" s="152" t="s">
        <v>3782</v>
      </c>
      <c r="BR589" s="152" t="s">
        <v>3783</v>
      </c>
      <c r="BS589" s="152" t="n">
        <v>203632.208</v>
      </c>
      <c r="BT589" s="152" t="n">
        <v>8237233.95</v>
      </c>
      <c r="BU589" s="152" t="n">
        <v>203632.386</v>
      </c>
      <c r="BV589" s="152" t="n">
        <v>8237230.647</v>
      </c>
      <c r="BW589" s="152" t="n">
        <v>-15.9264718</v>
      </c>
      <c r="BX589" s="152" t="n">
        <v>-47.7680845</v>
      </c>
      <c r="BY589" s="152" t="s">
        <v>3775</v>
      </c>
    </row>
    <row r="590" customFormat="false" ht="13.8" hidden="false" customHeight="false" outlineLevel="0" collapsed="false">
      <c r="A590" s="149" t="n">
        <f aca="false">IF(C590&lt;&gt;"",ROW(A585),"")</f>
        <v>585</v>
      </c>
      <c r="B590" s="150" t="str">
        <f aca="false">HYPERLINK("https://www.google.com/maps/dir/-15.917302,-47.760003/-15.9264868,-47.7680777/data=!4m3!4m2!3e0!5i2")</f>
        <v>https://www.google.com/maps/dir/-15.917302,-47.760003/-15.9264868,-47.7680777/data=!4m3!4m2!3e0!5i2</v>
      </c>
      <c r="C590" s="151" t="s">
        <v>117</v>
      </c>
      <c r="D590" s="152" t="s">
        <v>112</v>
      </c>
      <c r="E590" s="152" t="s">
        <v>113</v>
      </c>
      <c r="F590" s="152" t="s">
        <v>117</v>
      </c>
      <c r="G590" s="152" t="s">
        <v>114</v>
      </c>
      <c r="H590" s="152" t="n">
        <v>225</v>
      </c>
      <c r="I590" s="152" t="s">
        <v>115</v>
      </c>
      <c r="J590" s="152" t="s">
        <v>6</v>
      </c>
      <c r="K590" s="152" t="s">
        <v>3352</v>
      </c>
      <c r="L590" s="152" t="s">
        <v>120</v>
      </c>
      <c r="M590" s="153" t="n">
        <f aca="false">3.07</f>
        <v>3.07</v>
      </c>
      <c r="N590" s="152" t="s">
        <v>1548</v>
      </c>
      <c r="O590" s="152" t="s">
        <v>1549</v>
      </c>
      <c r="P590" s="152" t="s">
        <v>1550</v>
      </c>
      <c r="Q590" s="152" t="s">
        <v>1551</v>
      </c>
      <c r="R590" s="154" t="s">
        <v>3784</v>
      </c>
      <c r="S590" s="154" t="s">
        <v>1593</v>
      </c>
      <c r="T590" s="155" t="s">
        <v>3685</v>
      </c>
      <c r="U590" s="152" t="str">
        <f aca="false">RIGHT(T590,7)</f>
        <v>012/037</v>
      </c>
      <c r="V590" s="152" t="s">
        <v>1555</v>
      </c>
      <c r="W590" s="156" t="n">
        <v>45882</v>
      </c>
      <c r="X590" s="152" t="s">
        <v>1594</v>
      </c>
      <c r="Y590" s="152" t="s">
        <v>3721</v>
      </c>
      <c r="Z590" s="152" t="s">
        <v>1557</v>
      </c>
      <c r="AA590" s="153" t="n">
        <v>3.1</v>
      </c>
      <c r="AB590" s="151" t="s">
        <v>3785</v>
      </c>
      <c r="AC590" s="151" t="s">
        <v>508</v>
      </c>
      <c r="AD590" s="151" t="str">
        <f aca="false">CONCATENATE($C590,$I590,$H590,$N590,$J590,$K590)</f>
        <v>TUBO PEADPEAD225VCAREDESZona05</v>
      </c>
      <c r="AE590" s="153" t="n">
        <f aca="false">IFERROR(INDEX(APOIO_REDES!$A:$W,MATCH($C590&amp;$I590&amp;$H590&amp;$N590&amp;$O590,APOIO_REDES!$W:$W,0),MATCH(AE$5,APOIO_REDES!$5:$5,0)),0)</f>
        <v>1.2</v>
      </c>
      <c r="AF590" s="153" t="n">
        <f aca="false">IFERROR(INDEX(APOIO_REDES!$A:$W,MATCH($C590&amp;$I590&amp;$H590&amp;$N590&amp;$O590,APOIO_REDES!$W:$W,0),MATCH(AF$5,APOIO_REDES!$5:$5,0)),0)</f>
        <v>1.525</v>
      </c>
      <c r="AG590" s="153" t="n">
        <f aca="false">IFERROR(INDEX(APOIO_REDES!$A:$W,MATCH($C590&amp;$I590&amp;$H590&amp;$N590&amp;$O590,APOIO_REDES!$W:$W,0),MATCH(AG$5,APOIO_REDES!$5:$5,0)),0)</f>
        <v>0.8</v>
      </c>
      <c r="AH590" s="153" t="n">
        <f aca="false">IFERROR(INDEX(APOIO_REDES!$A:$W,MATCH($C590&amp;$I590&amp;$H590&amp;$N590&amp;$O590,APOIO_REDES!$W:$W,0),MATCH(AH$5,APOIO_REDES!$5:$5,0)),0)</f>
        <v>0.1</v>
      </c>
      <c r="AI590" s="153" t="n">
        <f aca="false">IFERROR(IF($H590&lt;&gt;"",(((($H590/1000)/2)^2)*PI()*$M590),0),0)</f>
        <v>0.122065600807527</v>
      </c>
      <c r="AJ590" s="153" t="n">
        <f aca="false">IFERROR(IF(AND($H590&lt;&gt;"",$I590="FoFo",OR($N590="MND",$N590="VCA"),$Q590="LINEAR"),0,IF(AND($H590&lt;&gt;"",$I590="PEAD",$N590="VCA",$Q590="LINEAR"),($H590/1000)+0.3,IF(AND($H590&lt;&gt;"",$I590="PEAD",$N590="MND",$Q590="EMBOQUE"),0,IF(AND($H590&lt;&gt;"",$I590="PVC",$N590="VCA",$Q590="LINEAR"),($H590/1000)+0.2,IF(AND($H590&lt;&gt;"",$I590="PVC",$N590="MND",$Q590="EMBOQUE"),0,IF(AND($H590&lt;&gt;"",$I590="PEAD",$N590="VCA",$Q590="PREDIAL"),0,0)))))),0)</f>
        <v>0.525</v>
      </c>
      <c r="AK590" s="153" t="n">
        <f aca="false">IF(AA590&lt;&gt;"",AA590,0)</f>
        <v>3.1</v>
      </c>
      <c r="AL590" s="153" t="n">
        <f aca="false">IF(AND($N590="MND",$Q590="EMBOQUE"),$M590,IF(AND($N590="VCA",$Q590="LINEAR"),$M590,IF(AND($N590="VCA",$Q590="PREDIAL"),0,0)))</f>
        <v>3.07</v>
      </c>
      <c r="AM590" s="153" t="n">
        <f aca="false">IF(AND($N590="MND",$Q590="EMBOQUE"),$M590,IF(AND($N590="VCA",$Q590="LINEAR"),$M590,IF(AND($N590="VCA",$Q590="PREDIAL"),0,0)))</f>
        <v>3.07</v>
      </c>
      <c r="AN590" s="153" t="n">
        <f aca="false">ROUND(IF(AND($N590="VCA",$M590&lt;&gt;"",$Q590="LINEAR"),$M590/100,IF(AND($N590="MND",$M590&gt;100,$Q590="EMBOQUE"),$M590/100,0)),0)</f>
        <v>0</v>
      </c>
      <c r="AO590" s="153" t="n">
        <f aca="false">IF(AND($N590="MND",$Q590="EMBOQUE"),$AN590*2*2,IF(AND($N590="VCA",$Q590="LINEAR"),$M590*2,IF(AND($N590="VCA",$Q590="PREDIAL"),0,0)))</f>
        <v>6.14</v>
      </c>
      <c r="AP590" s="153" t="n">
        <f aca="false">IFERROR($M590*$AF590*$AG590,0)</f>
        <v>3.7454</v>
      </c>
      <c r="AQ590" s="153" t="n">
        <f aca="false">IFERROR(IF(AND($N590="VCA",$AH590&gt;0),$M590*$AG590*$AH590,0),0)</f>
        <v>0.2456</v>
      </c>
      <c r="AR590" s="153" t="n">
        <f aca="false">IFERROR(IF(AND($N590="VCA",$AJ590&gt;0),($M590*$AG590*$AJ590)-$AI590,0),0)</f>
        <v>1.16733439919247</v>
      </c>
      <c r="AS590" s="153" t="n">
        <f aca="false">IFERROR(IF(AND($N590="VCA",$AP590&gt;0),$AP590-$AI590-$AQ590-$AR590,0),0)</f>
        <v>2.2104</v>
      </c>
      <c r="AT590" s="153" t="n">
        <f aca="false">IFERROR(IF($N590="VCA",INDEX(APOIO_REDES!$A:$W,MATCH($C590&amp;$I590&amp;$H590&amp;$N590&amp;$O590,APOIO_REDES!$W:$W,0),MATCH(AT$5,APOIO_REDES!$5:$5,0)),0)*$AP590,0)</f>
        <v>0.0407510605818126</v>
      </c>
      <c r="AU590" s="153" t="n">
        <f aca="false">IFERROR(IF($N590="VCA",INDEX(APOIO_REDES!$A:$W,MATCH($C590&amp;$I590&amp;$H590&amp;$N590&amp;$O590,APOIO_REDES!$W:$W,0),MATCH(AU$5,APOIO_REDES!$5:$5,0)),0)*$AP590,0)</f>
        <v>0.0325426933019459</v>
      </c>
      <c r="AV590" s="153" t="n">
        <f aca="false">IFERROR(IF($N590="VCA",INDEX(APOIO_REDES!$A:$W,MATCH($C590&amp;$I590&amp;$H590&amp;$N590&amp;$O590,APOIO_REDES!$W:$W,0),MATCH(AV$5,APOIO_REDES!$5:$5,0)),0)*$AP590,0)</f>
        <v>0.0045036532828304</v>
      </c>
      <c r="AW590" s="153" t="n">
        <f aca="false">IFERROR(IF($N590="VCA",INDEX(APOIO_REDES!$A:$W,MATCH($C590&amp;$I590&amp;$H590&amp;$N590&amp;$O590,APOIO_REDES!$W:$W,0),MATCH(AW$5,APOIO_REDES!$5:$5,0)),0)*$AP590,0)</f>
        <v>2.57087158077534</v>
      </c>
      <c r="AX590" s="153" t="n">
        <f aca="false">IFERROR(IF($N590="VCA",INDEX(APOIO_REDES!$A:$W,MATCH($C590&amp;$I590&amp;$H590&amp;$N590&amp;$O590,APOIO_REDES!$W:$W,0),MATCH(AX$5,APOIO_REDES!$5:$5,0)),0)*$AP590,0)</f>
        <v>0.355801303512988</v>
      </c>
      <c r="AY590" s="153" t="n">
        <f aca="false">IFERROR(IF($N590="VCA",INDEX(APOIO_REDES!$A:$W,MATCH($C590&amp;$I590&amp;$H590&amp;$N590&amp;$O590,APOIO_REDES!$W:$W,0),MATCH(AY$5,APOIO_REDES!$5:$5,0)),0)*$AP590,0)</f>
        <v>0.650853469346124</v>
      </c>
      <c r="AZ590" s="153" t="n">
        <f aca="false">IFERROR(IF($N590="VCA",INDEX(APOIO_REDES!$A:$W,MATCH($C590&amp;$I590&amp;$H590&amp;$N590&amp;$O590,APOIO_REDES!$W:$W,0),MATCH(AZ$5,APOIO_REDES!$5:$5,0)),0)*$AP590,0)</f>
        <v>0.0900762391989547</v>
      </c>
      <c r="BA590" s="153" t="n">
        <f aca="false">IFERROR(IF(AND($N590="VCA",$Q590="LINEAR"),INDEX(APOIO_REDES!$A:$W,MATCH($C590&amp;$I590&amp;$H590&amp;$N590&amp;$O590,APOIO_REDES!$W:$W,0),MATCH(BA$5,APOIO_REDES!$5:$5,0)),IF(AND($N590="MND",$Q590="EMBOQUE"),INDEX(APOIO_REDES!$A:$W,MATCH($C590&amp;$I590&amp;$H590&amp;$N590&amp;$O590,APOIO_REDES!$W:$W,0),MATCH(BA$5,APOIO_REDES!$5:$5,0)),0))*$M590/10,0)</f>
        <v>0.247434256169925</v>
      </c>
      <c r="BB590" s="153" t="n">
        <f aca="false">IFERROR(IF($N590="VCA",INDEX(APOIO_REDES!$A:$W,MATCH($C590&amp;$I590&amp;$H590&amp;$N590&amp;$O590,APOIO_REDES!$W:$W,0),MATCH(BB$5,APOIO_REDES!$5:$5,0)),0)*($AI590+$AQ590+$AR590),0)</f>
        <v>1.51829874566319</v>
      </c>
      <c r="BC590" s="153" t="n">
        <f aca="false">IFERROR(IF($N590="VCA",INDEX(APOIO_REDES!$A:$W,MATCH($C590&amp;$I590&amp;$H590&amp;$N590&amp;$O590,APOIO_REDES!$W:$W,0),MATCH(BC$5,APOIO_REDES!$5:$5,0)),0)*($AI590+$AQ590+$AR590),0)</f>
        <v>0.0167012543368084</v>
      </c>
      <c r="BD590" s="153" t="n">
        <f aca="false">IF(AND($N590="VCA",$AF590&gt;=1.25,$AF590&lt;1.5),$M590*$AF590*2,0)</f>
        <v>0</v>
      </c>
      <c r="BE590" s="153" t="n">
        <f aca="false">IF(AND($N590="VCA",$AF590&gt;=1.5,$AF590&lt;3),$M590*$AF590*2,0)</f>
        <v>9.3635</v>
      </c>
      <c r="BF590" s="153" t="n">
        <f aca="false">IF(AND($N590="VCA",$AF590&gt;=3),$M590*$AF590*2,0)</f>
        <v>0</v>
      </c>
      <c r="BG590" s="153" t="n">
        <f aca="false">($BB590+$BC590)*$AK590</f>
        <v>4.7585</v>
      </c>
      <c r="BH590" s="153" t="n">
        <f aca="false">IF(AND($M590&lt;&gt;"",$N590="VCA",$Q590="LINEAR"),($M590*2)/100,IF(AND($M590&lt;&gt;"",$N590="MND",$Q590="EMBOQUE"),($AN590*2)/100,0))</f>
        <v>0.0614</v>
      </c>
      <c r="BI590" s="153" t="n">
        <f aca="false">IF(AND($M590&lt;&gt;"",$N590="VCA",$Q590="LINEAR"),$M590,IF(AND($M590&lt;&gt;"",$N590="MND",$Q590="EMBOQUE"),$AN590*2,0))</f>
        <v>3.07</v>
      </c>
      <c r="BJ590" s="153" t="n">
        <f aca="false">IF(AND($M590&lt;&gt;"",$N590="VCA",$Q590="LINEAR"),($M590*6.8)/100,IF(AND($M590&lt;&gt;"",$N590="MND",$Q590="EMBOQUE"),($AN590*2*6.8)/100,0))</f>
        <v>0.20876</v>
      </c>
      <c r="BK590" s="153" t="n">
        <f aca="false">IF(AND($M590&lt;&gt;"",$N590="VCA",$Q590="LINEAR"),($M590*2.5)/50,IF(AND($M590&lt;&gt;"",$N590="MND",$Q590="EMBOQUE"),($AN590*2*2.5)/50,0))</f>
        <v>0.1535</v>
      </c>
      <c r="BL590" s="157" t="str">
        <f aca="false">K590&amp;J590</f>
        <v>Zona05REDES</v>
      </c>
      <c r="BM590" s="152" t="s">
        <v>3356</v>
      </c>
      <c r="BN590" s="152" t="s">
        <v>1560</v>
      </c>
      <c r="BO590" s="152" t="s">
        <v>3688</v>
      </c>
      <c r="BP590" s="152" t="s">
        <v>3782</v>
      </c>
      <c r="BQ590" s="152" t="s">
        <v>2032</v>
      </c>
      <c r="BR590" s="152" t="s">
        <v>3783</v>
      </c>
      <c r="BS590" s="152" t="n">
        <v>203632.386</v>
      </c>
      <c r="BT590" s="152" t="n">
        <v>8237230.647</v>
      </c>
      <c r="BU590" s="152" t="n">
        <v>203633.214</v>
      </c>
      <c r="BV590" s="152" t="n">
        <v>8237227.852</v>
      </c>
      <c r="BW590" s="152" t="n">
        <v>-15.9264993</v>
      </c>
      <c r="BX590" s="152" t="n">
        <v>-47.7680717</v>
      </c>
      <c r="BY590" s="152" t="s">
        <v>3782</v>
      </c>
    </row>
    <row r="591" customFormat="false" ht="13.8" hidden="false" customHeight="false" outlineLevel="0" collapsed="false">
      <c r="A591" s="149" t="n">
        <f aca="false">IF(C591&lt;&gt;"",ROW(A586),"")</f>
        <v>586</v>
      </c>
      <c r="B591" s="150" t="str">
        <f aca="false">HYPERLINK("https://www.google.com/maps/dir/-15.917302,-47.760003/-15.9241914,-47.7619921/data=!4m3!4m2!3e0!5i0")</f>
        <v>https://www.google.com/maps/dir/-15.917302,-47.760003/-15.9241914,-47.7619921/data=!4m3!4m2!3e0!5i0</v>
      </c>
      <c r="C591" s="151" t="s">
        <v>117</v>
      </c>
      <c r="D591" s="152" t="s">
        <v>112</v>
      </c>
      <c r="E591" s="152" t="s">
        <v>113</v>
      </c>
      <c r="F591" s="152" t="s">
        <v>117</v>
      </c>
      <c r="G591" s="152" t="s">
        <v>782</v>
      </c>
      <c r="H591" s="152" t="n">
        <v>63</v>
      </c>
      <c r="I591" s="152" t="s">
        <v>115</v>
      </c>
      <c r="J591" s="152" t="s">
        <v>6</v>
      </c>
      <c r="K591" s="152" t="s">
        <v>3786</v>
      </c>
      <c r="L591" s="152" t="s">
        <v>120</v>
      </c>
      <c r="M591" s="153" t="n">
        <f aca="false">8.53</f>
        <v>8.53</v>
      </c>
      <c r="N591" s="152" t="s">
        <v>1548</v>
      </c>
      <c r="O591" s="152" t="s">
        <v>1549</v>
      </c>
      <c r="P591" s="152" t="s">
        <v>1550</v>
      </c>
      <c r="Q591" s="152" t="s">
        <v>1551</v>
      </c>
      <c r="R591" s="154" t="s">
        <v>3787</v>
      </c>
      <c r="S591" s="154" t="s">
        <v>1553</v>
      </c>
      <c r="T591" s="155" t="s">
        <v>2950</v>
      </c>
      <c r="U591" s="152" t="str">
        <f aca="false">RIGHT(T591,7)</f>
        <v>010/037</v>
      </c>
      <c r="V591" s="152" t="s">
        <v>1555</v>
      </c>
      <c r="W591" s="156" t="n">
        <v>45882</v>
      </c>
      <c r="X591" s="152" t="s">
        <v>1594</v>
      </c>
      <c r="Y591" s="152" t="s">
        <v>3788</v>
      </c>
      <c r="Z591" s="152" t="s">
        <v>1557</v>
      </c>
      <c r="AA591" s="153" t="n">
        <v>1.4</v>
      </c>
      <c r="AB591" s="151" t="s">
        <v>3789</v>
      </c>
      <c r="AC591" s="151" t="s">
        <v>186</v>
      </c>
      <c r="AD591" s="151" t="str">
        <f aca="false">CONCATENATE($C591,$I591,$H591,$N591,$J591,$K591)</f>
        <v>TUBO PEADPEAD63VCAREDESZona06</v>
      </c>
      <c r="AE591" s="153" t="n">
        <f aca="false">IFERROR(INDEX(APOIO_REDES!$A:$W,MATCH($C591&amp;$I591&amp;$H591&amp;$N591&amp;$O591,APOIO_REDES!$W:$W,0),MATCH(AE$5,APOIO_REDES!$5:$5,0)),0)</f>
        <v>1.2</v>
      </c>
      <c r="AF591" s="153" t="n">
        <f aca="false">IFERROR(INDEX(APOIO_REDES!$A:$W,MATCH($C591&amp;$I591&amp;$H591&amp;$N591&amp;$O591,APOIO_REDES!$W:$W,0),MATCH(AF$5,APOIO_REDES!$5:$5,0)),0)</f>
        <v>1.363</v>
      </c>
      <c r="AG591" s="153" t="n">
        <f aca="false">IFERROR(INDEX(APOIO_REDES!$A:$W,MATCH($C591&amp;$I591&amp;$H591&amp;$N591&amp;$O591,APOIO_REDES!$W:$W,0),MATCH(AG$5,APOIO_REDES!$5:$5,0)),0)</f>
        <v>0.65</v>
      </c>
      <c r="AH591" s="153" t="n">
        <f aca="false">IFERROR(INDEX(APOIO_REDES!$A:$W,MATCH($C591&amp;$I591&amp;$H591&amp;$N591&amp;$O591,APOIO_REDES!$W:$W,0),MATCH(AH$5,APOIO_REDES!$5:$5,0)),0)</f>
        <v>0.1</v>
      </c>
      <c r="AI591" s="153" t="n">
        <f aca="false">IFERROR(IF($H591&lt;&gt;"",(((($H591/1000)/2)^2)*PI()*$M591),0),0)</f>
        <v>0.0265901024987737</v>
      </c>
      <c r="AJ591" s="153" t="n">
        <f aca="false">IFERROR(IF(AND($H591&lt;&gt;"",$I591="FoFo",OR($N591="MND",$N591="VCA"),$Q591="LINEAR"),0,IF(AND($H591&lt;&gt;"",$I591="PEAD",$N591="VCA",$Q591="LINEAR"),($H591/1000)+0.3,IF(AND($H591&lt;&gt;"",$I591="PEAD",$N591="MND",$Q591="EMBOQUE"),0,IF(AND($H591&lt;&gt;"",$I591="PVC",$N591="VCA",$Q591="LINEAR"),($H591/1000)+0.2,IF(AND($H591&lt;&gt;"",$I591="PVC",$N591="MND",$Q591="EMBOQUE"),0,IF(AND($H591&lt;&gt;"",$I591="PEAD",$N591="VCA",$Q591="PREDIAL"),0,0)))))),0)</f>
        <v>0.363</v>
      </c>
      <c r="AK591" s="153" t="n">
        <f aca="false">IF(AA591&lt;&gt;"",AA591,0)</f>
        <v>1.4</v>
      </c>
      <c r="AL591" s="153" t="n">
        <f aca="false">IF(AND($N591="MND",$Q591="EMBOQUE"),$M591,IF(AND($N591="VCA",$Q591="LINEAR"),$M591,IF(AND($N591="VCA",$Q591="PREDIAL"),0,0)))</f>
        <v>8.53</v>
      </c>
      <c r="AM591" s="153" t="n">
        <f aca="false">IF(AND($N591="MND",$Q591="EMBOQUE"),$M591,IF(AND($N591="VCA",$Q591="LINEAR"),$M591,IF(AND($N591="VCA",$Q591="PREDIAL"),0,0)))</f>
        <v>8.53</v>
      </c>
      <c r="AN591" s="153" t="n">
        <f aca="false">ROUND(IF(AND($N591="VCA",$M591&lt;&gt;"",$Q591="LINEAR"),$M591/100,IF(AND($N591="MND",$M591&gt;100,$Q591="EMBOQUE"),$M591/100,0)),0)</f>
        <v>0</v>
      </c>
      <c r="AO591" s="153" t="n">
        <f aca="false">IF(AND($N591="MND",$Q591="EMBOQUE"),$AN591*2*2,IF(AND($N591="VCA",$Q591="LINEAR"),$M591*2,IF(AND($N591="VCA",$Q591="PREDIAL"),0,0)))</f>
        <v>17.06</v>
      </c>
      <c r="AP591" s="153" t="n">
        <f aca="false">IFERROR($M591*$AF591*$AG591,0)</f>
        <v>7.5571535</v>
      </c>
      <c r="AQ591" s="153" t="n">
        <f aca="false">IFERROR(IF(AND($N591="VCA",$AH591&gt;0),$M591*$AG591*$AH591,0),0)</f>
        <v>0.55445</v>
      </c>
      <c r="AR591" s="153" t="n">
        <f aca="false">IFERROR(IF(AND($N591="VCA",$AJ591&gt;0),($M591*$AG591*$AJ591)-$AI591,0),0)</f>
        <v>1.98606339750123</v>
      </c>
      <c r="AS591" s="153" t="n">
        <f aca="false">IFERROR(IF(AND($N591="VCA",$AP591&gt;0),$AP591-$AI591-$AQ591-$AR591,0),0)</f>
        <v>4.99005</v>
      </c>
      <c r="AT591" s="153" t="n">
        <f aca="false">IFERROR(IF($N591="VCA",INDEX(APOIO_REDES!$A:$W,MATCH($C591&amp;$I591&amp;$H591&amp;$N591&amp;$O591,APOIO_REDES!$W:$W,0),MATCH(AT$5,APOIO_REDES!$5:$5,0)),0)*$AP591,0)</f>
        <v>0.0822240668832586</v>
      </c>
      <c r="AU591" s="153" t="n">
        <f aca="false">IFERROR(IF($N591="VCA",INDEX(APOIO_REDES!$A:$W,MATCH($C591&amp;$I591&amp;$H591&amp;$N591&amp;$O591,APOIO_REDES!$W:$W,0),MATCH(AU$5,APOIO_REDES!$5:$5,0)),0)*$AP591,0)</f>
        <v>0.0656619129028213</v>
      </c>
      <c r="AV591" s="153" t="n">
        <f aca="false">IFERROR(IF($N591="VCA",INDEX(APOIO_REDES!$A:$W,MATCH($C591&amp;$I591&amp;$H591&amp;$N591&amp;$O591,APOIO_REDES!$W:$W,0),MATCH(AV$5,APOIO_REDES!$5:$5,0)),0)*$AP591,0)</f>
        <v>0.00908709327952374</v>
      </c>
      <c r="AW591" s="153" t="n">
        <f aca="false">IFERROR(IF($N591="VCA",INDEX(APOIO_REDES!$A:$W,MATCH($C591&amp;$I591&amp;$H591&amp;$N591&amp;$O591,APOIO_REDES!$W:$W,0),MATCH(AW$5,APOIO_REDES!$5:$5,0)),0)*$AP591,0)</f>
        <v>5.18728871808269</v>
      </c>
      <c r="AX591" s="153" t="n">
        <f aca="false">IFERROR(IF($N591="VCA",INDEX(APOIO_REDES!$A:$W,MATCH($C591&amp;$I591&amp;$H591&amp;$N591&amp;$O591,APOIO_REDES!$W:$W,0),MATCH(AX$5,APOIO_REDES!$5:$5,0)),0)*$AP591,0)</f>
        <v>0.717905982311033</v>
      </c>
      <c r="AY591" s="153" t="n">
        <f aca="false">IFERROR(IF($N591="VCA",INDEX(APOIO_REDES!$A:$W,MATCH($C591&amp;$I591&amp;$H591&amp;$N591&amp;$O591,APOIO_REDES!$W:$W,0),MATCH(AY$5,APOIO_REDES!$5:$5,0)),0)*$AP591,0)</f>
        <v>1.31323745764303</v>
      </c>
      <c r="AZ591" s="153" t="n">
        <f aca="false">IFERROR(IF($N591="VCA",INDEX(APOIO_REDES!$A:$W,MATCH($C591&amp;$I591&amp;$H591&amp;$N591&amp;$O591,APOIO_REDES!$W:$W,0),MATCH(AZ$5,APOIO_REDES!$5:$5,0)),0)*$AP591,0)</f>
        <v>0.181748268897639</v>
      </c>
      <c r="BA591" s="153" t="n">
        <f aca="false">IFERROR(IF(AND($N591="VCA",$Q591="LINEAR"),INDEX(APOIO_REDES!$A:$W,MATCH($C591&amp;$I591&amp;$H591&amp;$N591&amp;$O591,APOIO_REDES!$W:$W,0),MATCH(BA$5,APOIO_REDES!$5:$5,0)),IF(AND($N591="MND",$Q591="EMBOQUE"),INDEX(APOIO_REDES!$A:$W,MATCH($C591&amp;$I591&amp;$H591&amp;$N591&amp;$O591,APOIO_REDES!$W:$W,0),MATCH(BA$5,APOIO_REDES!$5:$5,0)),0))*$M591/10,0)</f>
        <v>0.687496483755526</v>
      </c>
      <c r="BB591" s="153" t="n">
        <f aca="false">IFERROR(IF($N591="VCA",INDEX(APOIO_REDES!$A:$W,MATCH($C591&amp;$I591&amp;$H591&amp;$N591&amp;$O591,APOIO_REDES!$W:$W,0),MATCH(BB$5,APOIO_REDES!$5:$5,0)),0)*($AI591+$AQ591+$AR591),0)</f>
        <v>2.53917265409615</v>
      </c>
      <c r="BC591" s="153" t="n">
        <f aca="false">IFERROR(IF($N591="VCA",INDEX(APOIO_REDES!$A:$W,MATCH($C591&amp;$I591&amp;$H591&amp;$N591&amp;$O591,APOIO_REDES!$W:$W,0),MATCH(BC$5,APOIO_REDES!$5:$5,0)),0)*($AI591+$AQ591+$AR591),0)</f>
        <v>0.0279308459038509</v>
      </c>
      <c r="BD591" s="153" t="n">
        <f aca="false">IF(AND($N591="VCA",$AF591&gt;=1.25,$AF591&lt;1.5),$M591*$AF591*2,0)</f>
        <v>23.25278</v>
      </c>
      <c r="BE591" s="153" t="n">
        <f aca="false">IF(AND($N591="VCA",$AF591&gt;=1.5,$AF591&lt;3),$M591*$AF591*2,0)</f>
        <v>0</v>
      </c>
      <c r="BF591" s="153" t="n">
        <f aca="false">IF(AND($N591="VCA",$AF591&gt;=3),$M591*$AF591*2,0)</f>
        <v>0</v>
      </c>
      <c r="BG591" s="153" t="n">
        <f aca="false">($BB591+$BC591)*$AK591</f>
        <v>3.5939449</v>
      </c>
      <c r="BH591" s="153" t="n">
        <f aca="false">IF(AND($M591&lt;&gt;"",$N591="VCA",$Q591="LINEAR"),($M591*2)/100,IF(AND($M591&lt;&gt;"",$N591="MND",$Q591="EMBOQUE"),($AN591*2)/100,0))</f>
        <v>0.1706</v>
      </c>
      <c r="BI591" s="153" t="n">
        <f aca="false">IF(AND($M591&lt;&gt;"",$N591="VCA",$Q591="LINEAR"),$M591,IF(AND($M591&lt;&gt;"",$N591="MND",$Q591="EMBOQUE"),$AN591*2,0))</f>
        <v>8.53</v>
      </c>
      <c r="BJ591" s="153" t="n">
        <f aca="false">IF(AND($M591&lt;&gt;"",$N591="VCA",$Q591="LINEAR"),($M591*6.8)/100,IF(AND($M591&lt;&gt;"",$N591="MND",$Q591="EMBOQUE"),($AN591*2*6.8)/100,0))</f>
        <v>0.58004</v>
      </c>
      <c r="BK591" s="153" t="n">
        <f aca="false">IF(AND($M591&lt;&gt;"",$N591="VCA",$Q591="LINEAR"),($M591*2.5)/50,IF(AND($M591&lt;&gt;"",$N591="MND",$Q591="EMBOQUE"),($AN591*2*2.5)/50,0))</f>
        <v>0.4265</v>
      </c>
      <c r="BL591" s="157" t="str">
        <f aca="false">K591&amp;J591</f>
        <v>Zona06REDES</v>
      </c>
      <c r="BM591" s="152" t="s">
        <v>3790</v>
      </c>
      <c r="BN591" s="152" t="s">
        <v>1560</v>
      </c>
      <c r="BO591" s="152" t="s">
        <v>2952</v>
      </c>
      <c r="BP591" s="152" t="s">
        <v>3791</v>
      </c>
      <c r="BQ591" s="152" t="s">
        <v>3792</v>
      </c>
      <c r="BR591" s="152" t="s">
        <v>3793</v>
      </c>
      <c r="BS591" s="152" t="n">
        <v>204281</v>
      </c>
      <c r="BT591" s="152" t="n">
        <v>8237493.434</v>
      </c>
      <c r="BU591" s="152" t="n">
        <v>204289.527</v>
      </c>
      <c r="BV591" s="152" t="n">
        <v>8237493.397</v>
      </c>
      <c r="BW591" s="152" t="n">
        <v>-15.9241921</v>
      </c>
      <c r="BX591" s="152" t="n">
        <v>-47.7619523</v>
      </c>
      <c r="BY591" s="152" t="s">
        <v>3791</v>
      </c>
    </row>
    <row r="592" customFormat="false" ht="13.8" hidden="false" customHeight="false" outlineLevel="0" collapsed="false">
      <c r="A592" s="149" t="n">
        <f aca="false">IF(C592&lt;&gt;"",ROW(A587),"")</f>
        <v>587</v>
      </c>
      <c r="B592" s="150" t="str">
        <f aca="false">HYPERLINK("https://www.google.com/maps/dir/-15.917302,-47.760003/-15.9254756,-47.7614877/data=!4m3!4m2!3e0!5i0")</f>
        <v>https://www.google.com/maps/dir/-15.917302,-47.760003/-15.9254756,-47.7614877/data=!4m3!4m2!3e0!5i0</v>
      </c>
      <c r="C592" s="151" t="s">
        <v>117</v>
      </c>
      <c r="D592" s="152" t="s">
        <v>112</v>
      </c>
      <c r="E592" s="152" t="s">
        <v>113</v>
      </c>
      <c r="F592" s="152" t="s">
        <v>117</v>
      </c>
      <c r="G592" s="152" t="s">
        <v>114</v>
      </c>
      <c r="H592" s="152" t="n">
        <v>315</v>
      </c>
      <c r="I592" s="152" t="s">
        <v>115</v>
      </c>
      <c r="J592" s="152" t="s">
        <v>6</v>
      </c>
      <c r="K592" s="152" t="s">
        <v>2224</v>
      </c>
      <c r="L592" s="152" t="s">
        <v>120</v>
      </c>
      <c r="M592" s="153" t="n">
        <f aca="false">189.55+4.01</f>
        <v>193.56</v>
      </c>
      <c r="N592" s="152" t="s">
        <v>1548</v>
      </c>
      <c r="O592" s="152" t="s">
        <v>1549</v>
      </c>
      <c r="P592" s="152" t="s">
        <v>1550</v>
      </c>
      <c r="Q592" s="152" t="s">
        <v>1551</v>
      </c>
      <c r="R592" s="154" t="s">
        <v>3794</v>
      </c>
      <c r="S592" s="154" t="s">
        <v>2226</v>
      </c>
      <c r="T592" s="155" t="s">
        <v>3795</v>
      </c>
      <c r="U592" s="152" t="str">
        <f aca="false">RIGHT(T592,7)</f>
        <v>013/037</v>
      </c>
      <c r="V592" s="152" t="s">
        <v>1555</v>
      </c>
      <c r="W592" s="156" t="n">
        <v>45882</v>
      </c>
      <c r="X592" s="152" t="s">
        <v>1594</v>
      </c>
      <c r="Y592" s="152" t="s">
        <v>3788</v>
      </c>
      <c r="Z592" s="152" t="s">
        <v>1557</v>
      </c>
      <c r="AA592" s="153" t="n">
        <v>1.3</v>
      </c>
      <c r="AB592" s="151" t="s">
        <v>3796</v>
      </c>
      <c r="AC592" s="151" t="s">
        <v>514</v>
      </c>
      <c r="AD592" s="151" t="str">
        <f aca="false">CONCATENATE($C592,$I592,$H592,$N592,$J592,$K592)</f>
        <v>TUBO PEADPEAD315VCAREDESADUTORA</v>
      </c>
      <c r="AE592" s="153" t="n">
        <f aca="false">IFERROR(INDEX(APOIO_REDES!$A:$W,MATCH($C592&amp;$I592&amp;$H592&amp;$N592&amp;$O592,APOIO_REDES!$W:$W,0),MATCH(AE$5,APOIO_REDES!$5:$5,0)),0)</f>
        <v>1.2</v>
      </c>
      <c r="AF592" s="153" t="n">
        <f aca="false">IFERROR(INDEX(APOIO_REDES!$A:$W,MATCH($C592&amp;$I592&amp;$H592&amp;$N592&amp;$O592,APOIO_REDES!$W:$W,0),MATCH(AF$5,APOIO_REDES!$5:$5,0)),0)</f>
        <v>1.615</v>
      </c>
      <c r="AG592" s="153" t="n">
        <f aca="false">IFERROR(INDEX(APOIO_REDES!$A:$W,MATCH($C592&amp;$I592&amp;$H592&amp;$N592&amp;$O592,APOIO_REDES!$W:$W,0),MATCH(AG$5,APOIO_REDES!$5:$5,0)),0)</f>
        <v>0.9</v>
      </c>
      <c r="AH592" s="153" t="n">
        <f aca="false">IFERROR(INDEX(APOIO_REDES!$A:$W,MATCH($C592&amp;$I592&amp;$H592&amp;$N592&amp;$O592,APOIO_REDES!$W:$W,0),MATCH(AH$5,APOIO_REDES!$5:$5,0)),0)</f>
        <v>0.1</v>
      </c>
      <c r="AI592" s="153" t="n">
        <f aca="false">IFERROR(IF($H592&lt;&gt;"",(((($H592/1000)/2)^2)*PI()*$M592),0),0)</f>
        <v>15.0843500576279</v>
      </c>
      <c r="AJ592" s="153" t="n">
        <f aca="false">IFERROR(IF(AND($H592&lt;&gt;"",$I592="FoFo",OR($N592="MND",$N592="VCA"),$Q592="LINEAR"),0,IF(AND($H592&lt;&gt;"",$I592="PEAD",$N592="VCA",$Q592="LINEAR"),($H592/1000)+0.3,IF(AND($H592&lt;&gt;"",$I592="PEAD",$N592="MND",$Q592="EMBOQUE"),0,IF(AND($H592&lt;&gt;"",$I592="PVC",$N592="VCA",$Q592="LINEAR"),($H592/1000)+0.2,IF(AND($H592&lt;&gt;"",$I592="PVC",$N592="MND",$Q592="EMBOQUE"),0,IF(AND($H592&lt;&gt;"",$I592="PEAD",$N592="VCA",$Q592="PREDIAL"),0,0)))))),0)</f>
        <v>0.615</v>
      </c>
      <c r="AK592" s="153" t="n">
        <f aca="false">IF(AA592&lt;&gt;"",AA592,0)</f>
        <v>1.3</v>
      </c>
      <c r="AL592" s="153" t="n">
        <f aca="false">IF(AND($N592="MND",$Q592="EMBOQUE"),$M592,IF(AND($N592="VCA",$Q592="LINEAR"),$M592,IF(AND($N592="VCA",$Q592="PREDIAL"),0,0)))</f>
        <v>193.56</v>
      </c>
      <c r="AM592" s="153" t="n">
        <f aca="false">IF(AND($N592="MND",$Q592="EMBOQUE"),$M592,IF(AND($N592="VCA",$Q592="LINEAR"),$M592,IF(AND($N592="VCA",$Q592="PREDIAL"),0,0)))</f>
        <v>193.56</v>
      </c>
      <c r="AN592" s="153" t="n">
        <f aca="false">ROUND(IF(AND($N592="VCA",$M592&lt;&gt;"",$Q592="LINEAR"),$M592/100,IF(AND($N592="MND",$M592&gt;100,$Q592="EMBOQUE"),$M592/100,0)),0)</f>
        <v>2</v>
      </c>
      <c r="AO592" s="153" t="n">
        <f aca="false">IF(AND($N592="MND",$Q592="EMBOQUE"),$AN592*2*2,IF(AND($N592="VCA",$Q592="LINEAR"),$M592*2,IF(AND($N592="VCA",$Q592="PREDIAL"),0,0)))</f>
        <v>387.12</v>
      </c>
      <c r="AP592" s="153" t="n">
        <f aca="false">IFERROR($M592*$AF592*$AG592,0)</f>
        <v>281.33946</v>
      </c>
      <c r="AQ592" s="153" t="n">
        <f aca="false">IFERROR(IF(AND($N592="VCA",$AH592&gt;0),$M592*$AG592*$AH592,0),0)</f>
        <v>17.4204</v>
      </c>
      <c r="AR592" s="153" t="n">
        <f aca="false">IFERROR(IF(AND($N592="VCA",$AJ592&gt;0),($M592*$AG592*$AJ592)-$AI592,0),0)</f>
        <v>92.0511099423721</v>
      </c>
      <c r="AS592" s="153" t="n">
        <f aca="false">IFERROR(IF(AND($N592="VCA",$AP592&gt;0),$AP592-$AI592-$AQ592-$AR592,0),0)</f>
        <v>156.7836</v>
      </c>
      <c r="AT592" s="153" t="n">
        <f aca="false">IFERROR(IF($N592="VCA",INDEX(APOIO_REDES!$A:$W,MATCH($C592&amp;$I592&amp;$H592&amp;$N592&amp;$O592,APOIO_REDES!$W:$W,0),MATCH(AT$5,APOIO_REDES!$5:$5,0)),0)*$AP592,0)</f>
        <v>3.06105659702954</v>
      </c>
      <c r="AU592" s="153" t="n">
        <f aca="false">IFERROR(IF($N592="VCA",INDEX(APOIO_REDES!$A:$W,MATCH($C592&amp;$I592&amp;$H592&amp;$N592&amp;$O592,APOIO_REDES!$W:$W,0),MATCH(AU$5,APOIO_REDES!$5:$5,0)),0)*$AP592,0)</f>
        <v>2.44447689446122</v>
      </c>
      <c r="AV592" s="153" t="n">
        <f aca="false">IFERROR(IF($N592="VCA",INDEX(APOIO_REDES!$A:$W,MATCH($C592&amp;$I592&amp;$H592&amp;$N592&amp;$O592,APOIO_REDES!$W:$W,0),MATCH(AV$5,APOIO_REDES!$5:$5,0)),0)*$AP592,0)</f>
        <v>0.338296412297413</v>
      </c>
      <c r="AW592" s="153" t="n">
        <f aca="false">IFERROR(IF($N592="VCA",INDEX(APOIO_REDES!$A:$W,MATCH($C592&amp;$I592&amp;$H592&amp;$N592&amp;$O592,APOIO_REDES!$W:$W,0),MATCH(AW$5,APOIO_REDES!$5:$5,0)),0)*$AP592,0)</f>
        <v>193.113585268511</v>
      </c>
      <c r="AX592" s="153" t="n">
        <f aca="false">IFERROR(IF($N592="VCA",INDEX(APOIO_REDES!$A:$W,MATCH($C592&amp;$I592&amp;$H592&amp;$N592&amp;$O592,APOIO_REDES!$W:$W,0),MATCH(AX$5,APOIO_REDES!$5:$5,0)),0)*$AP592,0)</f>
        <v>26.7263701067016</v>
      </c>
      <c r="AY592" s="153" t="n">
        <f aca="false">IFERROR(IF($N592="VCA",INDEX(APOIO_REDES!$A:$W,MATCH($C592&amp;$I592&amp;$H592&amp;$N592&amp;$O592,APOIO_REDES!$W:$W,0),MATCH(AY$5,APOIO_REDES!$5:$5,0)),0)*$AP592,0)</f>
        <v>48.8895080912493</v>
      </c>
      <c r="AZ592" s="153" t="n">
        <f aca="false">IFERROR(IF($N592="VCA",INDEX(APOIO_REDES!$A:$W,MATCH($C592&amp;$I592&amp;$H592&amp;$N592&amp;$O592,APOIO_REDES!$W:$W,0),MATCH(AZ$5,APOIO_REDES!$5:$5,0)),0)*$AP592,0)</f>
        <v>6.76616662974976</v>
      </c>
      <c r="BA592" s="153" t="n">
        <f aca="false">IFERROR(IF(AND($N592="VCA",$Q592="LINEAR"),INDEX(APOIO_REDES!$A:$W,MATCH($C592&amp;$I592&amp;$H592&amp;$N592&amp;$O592,APOIO_REDES!$W:$W,0),MATCH(BA$5,APOIO_REDES!$5:$5,0)),IF(AND($N592="MND",$Q592="EMBOQUE"),INDEX(APOIO_REDES!$A:$W,MATCH($C592&amp;$I592&amp;$H592&amp;$N592&amp;$O592,APOIO_REDES!$W:$W,0),MATCH(BA$5,APOIO_REDES!$5:$5,0)),0))*$M592/10,0)</f>
        <v>15.6004477603423</v>
      </c>
      <c r="BB592" s="153" t="n">
        <f aca="false">IFERROR(IF($N592="VCA",INDEX(APOIO_REDES!$A:$W,MATCH($C592&amp;$I592&amp;$H592&amp;$N592&amp;$O592,APOIO_REDES!$W:$W,0),MATCH(BB$5,APOIO_REDES!$5:$5,0)),0)*($AI592+$AQ592+$AR592),0)</f>
        <v>123.200655376547</v>
      </c>
      <c r="BC592" s="153" t="n">
        <f aca="false">IFERROR(IF($N592="VCA",INDEX(APOIO_REDES!$A:$W,MATCH($C592&amp;$I592&amp;$H592&amp;$N592&amp;$O592,APOIO_REDES!$W:$W,0),MATCH(BC$5,APOIO_REDES!$5:$5,0)),0)*($AI592+$AQ592+$AR592),0)</f>
        <v>1.35520462345271</v>
      </c>
      <c r="BD592" s="153" t="n">
        <f aca="false">IF(AND($N592="VCA",$AF592&gt;=1.25,$AF592&lt;1.5),$M592*$AF592*2,0)</f>
        <v>0</v>
      </c>
      <c r="BE592" s="153" t="n">
        <f aca="false">IF(AND($N592="VCA",$AF592&gt;=1.5,$AF592&lt;3),$M592*$AF592*2,0)</f>
        <v>625.1988</v>
      </c>
      <c r="BF592" s="153" t="n">
        <f aca="false">IF(AND($N592="VCA",$AF592&gt;=3),$M592*$AF592*2,0)</f>
        <v>0</v>
      </c>
      <c r="BG592" s="153" t="n">
        <f aca="false">($BB592+$BC592)*$AK592</f>
        <v>161.922618</v>
      </c>
      <c r="BH592" s="153" t="n">
        <f aca="false">IF(AND($M592&lt;&gt;"",$N592="VCA",$Q592="LINEAR"),($M592*2)/100,IF(AND($M592&lt;&gt;"",$N592="MND",$Q592="EMBOQUE"),($AN592*2)/100,0))</f>
        <v>3.8712</v>
      </c>
      <c r="BI592" s="153" t="n">
        <f aca="false">IF(AND($M592&lt;&gt;"",$N592="VCA",$Q592="LINEAR"),$M592,IF(AND($M592&lt;&gt;"",$N592="MND",$Q592="EMBOQUE"),$AN592*2,0))</f>
        <v>193.56</v>
      </c>
      <c r="BJ592" s="153" t="n">
        <f aca="false">IF(AND($M592&lt;&gt;"",$N592="VCA",$Q592="LINEAR"),($M592*6.8)/100,IF(AND($M592&lt;&gt;"",$N592="MND",$Q592="EMBOQUE"),($AN592*2*6.8)/100,0))</f>
        <v>13.16208</v>
      </c>
      <c r="BK592" s="153" t="n">
        <f aca="false">IF(AND($M592&lt;&gt;"",$N592="VCA",$Q592="LINEAR"),($M592*2.5)/50,IF(AND($M592&lt;&gt;"",$N592="MND",$Q592="EMBOQUE"),($AN592*2*2.5)/50,0))</f>
        <v>9.678</v>
      </c>
      <c r="BL592" s="157" t="str">
        <f aca="false">K592&amp;J592</f>
        <v>ADUTORAREDES</v>
      </c>
      <c r="BM592" s="152" t="s">
        <v>2229</v>
      </c>
      <c r="BN592" s="152" t="s">
        <v>2230</v>
      </c>
      <c r="BO592" s="152" t="s">
        <v>3797</v>
      </c>
      <c r="BP592" s="152" t="s">
        <v>3798</v>
      </c>
      <c r="BQ592" s="152" t="s">
        <v>3799</v>
      </c>
      <c r="BR592" s="152" t="s">
        <v>3800</v>
      </c>
      <c r="BS592" s="152" t="n">
        <v>204336.899</v>
      </c>
      <c r="BT592" s="152" t="n">
        <v>8237351.962</v>
      </c>
      <c r="BU592" s="152" t="n">
        <v>204372.996</v>
      </c>
      <c r="BV592" s="152" t="n">
        <v>8237538.034</v>
      </c>
      <c r="BW592" s="152" t="n">
        <v>-15.9246383</v>
      </c>
      <c r="BX592" s="152" t="n">
        <v>-47.7613047</v>
      </c>
      <c r="BY592" s="152" t="s">
        <v>3801</v>
      </c>
    </row>
    <row r="593" customFormat="false" ht="13.8" hidden="false" customHeight="false" outlineLevel="0" collapsed="false">
      <c r="A593" s="149" t="n">
        <f aca="false">IF(C593&lt;&gt;"",ROW(A588),"")</f>
        <v>588</v>
      </c>
      <c r="B593" s="150" t="str">
        <f aca="false">HYPERLINK("https://www.google.com/maps/dir/-15.917302,-47.760003/-15.9254756,-47.7614877/data=!4m3!4m2!3e0!5i0")</f>
        <v>https://www.google.com/maps/dir/-15.917302,-47.760003/-15.9254756,-47.7614877/data=!4m3!4m2!3e0!5i0</v>
      </c>
      <c r="C593" s="151" t="s">
        <v>117</v>
      </c>
      <c r="D593" s="152" t="s">
        <v>112</v>
      </c>
      <c r="E593" s="152" t="s">
        <v>113</v>
      </c>
      <c r="F593" s="152" t="s">
        <v>117</v>
      </c>
      <c r="G593" s="152" t="s">
        <v>114</v>
      </c>
      <c r="H593" s="152" t="n">
        <v>315</v>
      </c>
      <c r="I593" s="152" t="s">
        <v>115</v>
      </c>
      <c r="J593" s="152" t="s">
        <v>6</v>
      </c>
      <c r="K593" s="152" t="s">
        <v>2224</v>
      </c>
      <c r="L593" s="152" t="s">
        <v>120</v>
      </c>
      <c r="M593" s="153" t="n">
        <f aca="false">419.47</f>
        <v>419.47</v>
      </c>
      <c r="N593" s="152" t="s">
        <v>1548</v>
      </c>
      <c r="O593" s="152" t="s">
        <v>1549</v>
      </c>
      <c r="P593" s="152" t="s">
        <v>1550</v>
      </c>
      <c r="Q593" s="152" t="s">
        <v>1551</v>
      </c>
      <c r="R593" s="154" t="s">
        <v>3802</v>
      </c>
      <c r="S593" s="154" t="s">
        <v>2226</v>
      </c>
      <c r="T593" s="155" t="s">
        <v>3795</v>
      </c>
      <c r="U593" s="152" t="str">
        <f aca="false">RIGHT(T593,7)</f>
        <v>013/037</v>
      </c>
      <c r="V593" s="152" t="s">
        <v>1555</v>
      </c>
      <c r="W593" s="156" t="n">
        <v>45882</v>
      </c>
      <c r="X593" s="152" t="s">
        <v>1594</v>
      </c>
      <c r="Y593" s="152" t="s">
        <v>3788</v>
      </c>
      <c r="Z593" s="152" t="s">
        <v>1557</v>
      </c>
      <c r="AA593" s="153" t="n">
        <v>1.3</v>
      </c>
      <c r="AB593" s="151" t="s">
        <v>3803</v>
      </c>
      <c r="AC593" s="151" t="s">
        <v>514</v>
      </c>
      <c r="AD593" s="151" t="str">
        <f aca="false">CONCATENATE($C593,$I593,$H593,$N593,$J593,$K593)</f>
        <v>TUBO PEADPEAD315VCAREDESADUTORA</v>
      </c>
      <c r="AE593" s="153" t="n">
        <f aca="false">IFERROR(INDEX(APOIO_REDES!$A:$W,MATCH($C593&amp;$I593&amp;$H593&amp;$N593&amp;$O593,APOIO_REDES!$W:$W,0),MATCH(AE$5,APOIO_REDES!$5:$5,0)),0)</f>
        <v>1.2</v>
      </c>
      <c r="AF593" s="153" t="n">
        <f aca="false">IFERROR(INDEX(APOIO_REDES!$A:$W,MATCH($C593&amp;$I593&amp;$H593&amp;$N593&amp;$O593,APOIO_REDES!$W:$W,0),MATCH(AF$5,APOIO_REDES!$5:$5,0)),0)</f>
        <v>1.615</v>
      </c>
      <c r="AG593" s="153" t="n">
        <f aca="false">IFERROR(INDEX(APOIO_REDES!$A:$W,MATCH($C593&amp;$I593&amp;$H593&amp;$N593&amp;$O593,APOIO_REDES!$W:$W,0),MATCH(AG$5,APOIO_REDES!$5:$5,0)),0)</f>
        <v>0.9</v>
      </c>
      <c r="AH593" s="153" t="n">
        <f aca="false">IFERROR(INDEX(APOIO_REDES!$A:$W,MATCH($C593&amp;$I593&amp;$H593&amp;$N593&amp;$O593,APOIO_REDES!$W:$W,0),MATCH(AH$5,APOIO_REDES!$5:$5,0)),0)</f>
        <v>0.1</v>
      </c>
      <c r="AI593" s="153" t="n">
        <f aca="false">IFERROR(IF($H593&lt;&gt;"",(((($H593/1000)/2)^2)*PI()*$M593),0),0)</f>
        <v>32.6897722601425</v>
      </c>
      <c r="AJ593" s="153" t="n">
        <f aca="false">IFERROR(IF(AND($H593&lt;&gt;"",$I593="FoFo",OR($N593="MND",$N593="VCA"),$Q593="LINEAR"),0,IF(AND($H593&lt;&gt;"",$I593="PEAD",$N593="VCA",$Q593="LINEAR"),($H593/1000)+0.3,IF(AND($H593&lt;&gt;"",$I593="PEAD",$N593="MND",$Q593="EMBOQUE"),0,IF(AND($H593&lt;&gt;"",$I593="PVC",$N593="VCA",$Q593="LINEAR"),($H593/1000)+0.2,IF(AND($H593&lt;&gt;"",$I593="PVC",$N593="MND",$Q593="EMBOQUE"),0,IF(AND($H593&lt;&gt;"",$I593="PEAD",$N593="VCA",$Q593="PREDIAL"),0,0)))))),0)</f>
        <v>0.615</v>
      </c>
      <c r="AK593" s="153" t="n">
        <f aca="false">IF(AA593&lt;&gt;"",AA593,0)</f>
        <v>1.3</v>
      </c>
      <c r="AL593" s="153" t="n">
        <f aca="false">IF(AND($N593="MND",$Q593="EMBOQUE"),$M593,IF(AND($N593="VCA",$Q593="LINEAR"),$M593,IF(AND($N593="VCA",$Q593="PREDIAL"),0,0)))</f>
        <v>419.47</v>
      </c>
      <c r="AM593" s="153" t="n">
        <f aca="false">IF(AND($N593="MND",$Q593="EMBOQUE"),$M593,IF(AND($N593="VCA",$Q593="LINEAR"),$M593,IF(AND($N593="VCA",$Q593="PREDIAL"),0,0)))</f>
        <v>419.47</v>
      </c>
      <c r="AN593" s="153" t="n">
        <f aca="false">ROUND(IF(AND($N593="VCA",$M593&lt;&gt;"",$Q593="LINEAR"),$M593/100,IF(AND($N593="MND",$M593&gt;100,$Q593="EMBOQUE"),$M593/100,0)),0)</f>
        <v>4</v>
      </c>
      <c r="AO593" s="153" t="n">
        <f aca="false">IF(AND($N593="MND",$Q593="EMBOQUE"),$AN593*2*2,IF(AND($N593="VCA",$Q593="LINEAR"),$M593*2,IF(AND($N593="VCA",$Q593="PREDIAL"),0,0)))</f>
        <v>838.94</v>
      </c>
      <c r="AP593" s="153" t="n">
        <f aca="false">IFERROR($M593*$AF593*$AG593,0)</f>
        <v>609.699645</v>
      </c>
      <c r="AQ593" s="153" t="n">
        <f aca="false">IFERROR(IF(AND($N593="VCA",$AH593&gt;0),$M593*$AG593*$AH593,0),0)</f>
        <v>37.7523</v>
      </c>
      <c r="AR593" s="153" t="n">
        <f aca="false">IFERROR(IF(AND($N593="VCA",$AJ593&gt;0),($M593*$AG593*$AJ593)-$AI593,0),0)</f>
        <v>199.486872739858</v>
      </c>
      <c r="AS593" s="153" t="n">
        <f aca="false">IFERROR(IF(AND($N593="VCA",$AP593&gt;0),$AP593-$AI593-$AQ593-$AR593,0),0)</f>
        <v>339.7707</v>
      </c>
      <c r="AT593" s="153" t="n">
        <f aca="false">IFERROR(IF($N593="VCA",INDEX(APOIO_REDES!$A:$W,MATCH($C593&amp;$I593&amp;$H593&amp;$N593&amp;$O593,APOIO_REDES!$W:$W,0),MATCH(AT$5,APOIO_REDES!$5:$5,0)),0)*$AP593,0)</f>
        <v>6.63371259948326</v>
      </c>
      <c r="AU593" s="153" t="n">
        <f aca="false">IFERROR(IF($N593="VCA",INDEX(APOIO_REDES!$A:$W,MATCH($C593&amp;$I593&amp;$H593&amp;$N593&amp;$O593,APOIO_REDES!$W:$W,0),MATCH(AU$5,APOIO_REDES!$5:$5,0)),0)*$AP593,0)</f>
        <v>5.2975032182251</v>
      </c>
      <c r="AV593" s="153" t="n">
        <f aca="false">IFERROR(IF($N593="VCA",INDEX(APOIO_REDES!$A:$W,MATCH($C593&amp;$I593&amp;$H593&amp;$N593&amp;$O593,APOIO_REDES!$W:$W,0),MATCH(AV$5,APOIO_REDES!$5:$5,0)),0)*$AP593,0)</f>
        <v>0.733132858371543</v>
      </c>
      <c r="AW593" s="153" t="n">
        <f aca="false">IFERROR(IF($N593="VCA",INDEX(APOIO_REDES!$A:$W,MATCH($C593&amp;$I593&amp;$H593&amp;$N593&amp;$O593,APOIO_REDES!$W:$W,0),MATCH(AW$5,APOIO_REDES!$5:$5,0)),0)*$AP593,0)</f>
        <v>418.502560511378</v>
      </c>
      <c r="AX593" s="153" t="n">
        <f aca="false">IFERROR(IF($N593="VCA",INDEX(APOIO_REDES!$A:$W,MATCH($C593&amp;$I593&amp;$H593&amp;$N593&amp;$O593,APOIO_REDES!$W:$W,0),MATCH(AX$5,APOIO_REDES!$5:$5,0)),0)*$AP593,0)</f>
        <v>57.9195622476655</v>
      </c>
      <c r="AY593" s="153" t="n">
        <f aca="false">IFERROR(IF($N593="VCA",INDEX(APOIO_REDES!$A:$W,MATCH($C593&amp;$I593&amp;$H593&amp;$N593&amp;$O593,APOIO_REDES!$W:$W,0),MATCH(AY$5,APOIO_REDES!$5:$5,0)),0)*$AP593,0)</f>
        <v>105.949999788367</v>
      </c>
      <c r="AZ593" s="153" t="n">
        <f aca="false">IFERROR(IF($N593="VCA",INDEX(APOIO_REDES!$A:$W,MATCH($C593&amp;$I593&amp;$H593&amp;$N593&amp;$O593,APOIO_REDES!$W:$W,0),MATCH(AZ$5,APOIO_REDES!$5:$5,0)),0)*$AP593,0)</f>
        <v>14.6631737765092</v>
      </c>
      <c r="BA593" s="153" t="n">
        <f aca="false">IFERROR(IF(AND($N593="VCA",$Q593="LINEAR"),INDEX(APOIO_REDES!$A:$W,MATCH($C593&amp;$I593&amp;$H593&amp;$N593&amp;$O593,APOIO_REDES!$W:$W,0),MATCH(BA$5,APOIO_REDES!$5:$5,0)),IF(AND($N593="MND",$Q593="EMBOQUE"),INDEX(APOIO_REDES!$A:$W,MATCH($C593&amp;$I593&amp;$H593&amp;$N593&amp;$O593,APOIO_REDES!$W:$W,0),MATCH(BA$5,APOIO_REDES!$5:$5,0)),0))*$M593/10,0)</f>
        <v>33.8082239203904</v>
      </c>
      <c r="BB593" s="153" t="n">
        <f aca="false">IFERROR(IF($N593="VCA",INDEX(APOIO_REDES!$A:$W,MATCH($C593&amp;$I593&amp;$H593&amp;$N593&amp;$O593,APOIO_REDES!$W:$W,0),MATCH(BB$5,APOIO_REDES!$5:$5,0)),0)*($AI593+$AQ593+$AR593),0)</f>
        <v>266.992038183511</v>
      </c>
      <c r="BC593" s="153" t="n">
        <f aca="false">IFERROR(IF($N593="VCA",INDEX(APOIO_REDES!$A:$W,MATCH($C593&amp;$I593&amp;$H593&amp;$N593&amp;$O593,APOIO_REDES!$W:$W,0),MATCH(BC$5,APOIO_REDES!$5:$5,0)),0)*($AI593+$AQ593+$AR593),0)</f>
        <v>2.93690681648949</v>
      </c>
      <c r="BD593" s="153" t="n">
        <f aca="false">IF(AND($N593="VCA",$AF593&gt;=1.25,$AF593&lt;1.5),$M593*$AF593*2,0)</f>
        <v>0</v>
      </c>
      <c r="BE593" s="153" t="n">
        <f aca="false">IF(AND($N593="VCA",$AF593&gt;=1.5,$AF593&lt;3),$M593*$AF593*2,0)</f>
        <v>1354.8881</v>
      </c>
      <c r="BF593" s="153" t="n">
        <f aca="false">IF(AND($N593="VCA",$AF593&gt;=3),$M593*$AF593*2,0)</f>
        <v>0</v>
      </c>
      <c r="BG593" s="153" t="n">
        <f aca="false">($BB593+$BC593)*$AK593</f>
        <v>350.9076285</v>
      </c>
      <c r="BH593" s="153" t="n">
        <f aca="false">IF(AND($M593&lt;&gt;"",$N593="VCA",$Q593="LINEAR"),($M593*2)/100,IF(AND($M593&lt;&gt;"",$N593="MND",$Q593="EMBOQUE"),($AN593*2)/100,0))</f>
        <v>8.3894</v>
      </c>
      <c r="BI593" s="153" t="n">
        <f aca="false">IF(AND($M593&lt;&gt;"",$N593="VCA",$Q593="LINEAR"),$M593,IF(AND($M593&lt;&gt;"",$N593="MND",$Q593="EMBOQUE"),$AN593*2,0))</f>
        <v>419.47</v>
      </c>
      <c r="BJ593" s="153" t="n">
        <f aca="false">IF(AND($M593&lt;&gt;"",$N593="VCA",$Q593="LINEAR"),($M593*6.8)/100,IF(AND($M593&lt;&gt;"",$N593="MND",$Q593="EMBOQUE"),($AN593*2*6.8)/100,0))</f>
        <v>28.52396</v>
      </c>
      <c r="BK593" s="153" t="n">
        <f aca="false">IF(AND($M593&lt;&gt;"",$N593="VCA",$Q593="LINEAR"),($M593*2.5)/50,IF(AND($M593&lt;&gt;"",$N593="MND",$Q593="EMBOQUE"),($AN593*2*2.5)/50,0))</f>
        <v>20.9735</v>
      </c>
      <c r="BL593" s="157" t="str">
        <f aca="false">K593&amp;J593</f>
        <v>ADUTORAREDES</v>
      </c>
      <c r="BM593" s="152" t="s">
        <v>2229</v>
      </c>
      <c r="BN593" s="152" t="s">
        <v>2230</v>
      </c>
      <c r="BO593" s="152" t="s">
        <v>3797</v>
      </c>
      <c r="BP593" s="152" t="s">
        <v>2032</v>
      </c>
      <c r="BQ593" s="152" t="s">
        <v>3798</v>
      </c>
      <c r="BR593" s="152" t="s">
        <v>3804</v>
      </c>
      <c r="BS593" s="152" t="n">
        <v>204289.896</v>
      </c>
      <c r="BT593" s="152" t="n">
        <v>8236989.623</v>
      </c>
      <c r="BU593" s="152" t="n">
        <v>204336.899</v>
      </c>
      <c r="BV593" s="152" t="n">
        <v>8237351.962</v>
      </c>
      <c r="BW593" s="152" t="n">
        <v>-15.9269334</v>
      </c>
      <c r="BX593" s="152" t="n">
        <v>-47.7614529</v>
      </c>
      <c r="BY593" s="152" t="s">
        <v>3801</v>
      </c>
    </row>
    <row r="594" customFormat="false" ht="13.8" hidden="false" customHeight="false" outlineLevel="0" collapsed="false">
      <c r="A594" s="149" t="n">
        <f aca="false">IF(C594&lt;&gt;"",ROW(A589),"")</f>
        <v>589</v>
      </c>
      <c r="B594" s="150" t="str">
        <f aca="false">HYPERLINK("https://www.google.com/maps/dir/-15.917302,-47.760003/-15.9242890,-47.7612595/data=!4m3!4m2!3e0!5i0")</f>
        <v>https://www.google.com/maps/dir/-15.917302,-47.760003/-15.9242890,-47.7612595/data=!4m3!4m2!3e0!5i0</v>
      </c>
      <c r="C594" s="151" t="s">
        <v>117</v>
      </c>
      <c r="D594" s="152" t="s">
        <v>112</v>
      </c>
      <c r="E594" s="152" t="s">
        <v>113</v>
      </c>
      <c r="F594" s="152" t="s">
        <v>117</v>
      </c>
      <c r="G594" s="152" t="s">
        <v>782</v>
      </c>
      <c r="H594" s="152" t="n">
        <v>63</v>
      </c>
      <c r="I594" s="152" t="s">
        <v>115</v>
      </c>
      <c r="J594" s="152" t="s">
        <v>6</v>
      </c>
      <c r="K594" s="152" t="s">
        <v>3786</v>
      </c>
      <c r="L594" s="152" t="s">
        <v>120</v>
      </c>
      <c r="M594" s="153" t="n">
        <f aca="false">44.85+4.01</f>
        <v>48.86</v>
      </c>
      <c r="N594" s="152" t="s">
        <v>1548</v>
      </c>
      <c r="O594" s="152" t="s">
        <v>1549</v>
      </c>
      <c r="P594" s="152" t="s">
        <v>1550</v>
      </c>
      <c r="Q594" s="152" t="s">
        <v>1551</v>
      </c>
      <c r="R594" s="154" t="s">
        <v>3805</v>
      </c>
      <c r="S594" s="154" t="s">
        <v>1553</v>
      </c>
      <c r="T594" s="155" t="s">
        <v>3795</v>
      </c>
      <c r="U594" s="152" t="str">
        <f aca="false">RIGHT(T594,7)</f>
        <v>013/037</v>
      </c>
      <c r="V594" s="152" t="s">
        <v>1555</v>
      </c>
      <c r="W594" s="156" t="n">
        <v>45882</v>
      </c>
      <c r="X594" s="152" t="s">
        <v>1594</v>
      </c>
      <c r="Y594" s="152"/>
      <c r="Z594" s="152" t="s">
        <v>1557</v>
      </c>
      <c r="AA594" s="153" t="n">
        <v>1.2</v>
      </c>
      <c r="AB594" s="151" t="s">
        <v>3806</v>
      </c>
      <c r="AC594" s="151" t="s">
        <v>186</v>
      </c>
      <c r="AD594" s="151" t="str">
        <f aca="false">CONCATENATE($C594,$I594,$H594,$N594,$J594,$K594)</f>
        <v>TUBO PEADPEAD63VCAREDESZona06</v>
      </c>
      <c r="AE594" s="153" t="n">
        <f aca="false">IFERROR(INDEX(APOIO_REDES!$A:$W,MATCH($C594&amp;$I594&amp;$H594&amp;$N594&amp;$O594,APOIO_REDES!$W:$W,0),MATCH(AE$5,APOIO_REDES!$5:$5,0)),0)</f>
        <v>1.2</v>
      </c>
      <c r="AF594" s="153" t="n">
        <f aca="false">IFERROR(INDEX(APOIO_REDES!$A:$W,MATCH($C594&amp;$I594&amp;$H594&amp;$N594&amp;$O594,APOIO_REDES!$W:$W,0),MATCH(AF$5,APOIO_REDES!$5:$5,0)),0)</f>
        <v>1.363</v>
      </c>
      <c r="AG594" s="153" t="n">
        <f aca="false">IFERROR(INDEX(APOIO_REDES!$A:$W,MATCH($C594&amp;$I594&amp;$H594&amp;$N594&amp;$O594,APOIO_REDES!$W:$W,0),MATCH(AG$5,APOIO_REDES!$5:$5,0)),0)</f>
        <v>0.65</v>
      </c>
      <c r="AH594" s="153" t="n">
        <f aca="false">IFERROR(INDEX(APOIO_REDES!$A:$W,MATCH($C594&amp;$I594&amp;$H594&amp;$N594&amp;$O594,APOIO_REDES!$W:$W,0),MATCH(AH$5,APOIO_REDES!$5:$5,0)),0)</f>
        <v>0.1</v>
      </c>
      <c r="AI594" s="153" t="n">
        <f aca="false">IFERROR(IF($H594&lt;&gt;"",(((($H594/1000)/2)^2)*PI()*$M594),0),0)</f>
        <v>0.152308605872226</v>
      </c>
      <c r="AJ594" s="153" t="n">
        <f aca="false">IFERROR(IF(AND($H594&lt;&gt;"",$I594="FoFo",OR($N594="MND",$N594="VCA"),$Q594="LINEAR"),0,IF(AND($H594&lt;&gt;"",$I594="PEAD",$N594="VCA",$Q594="LINEAR"),($H594/1000)+0.3,IF(AND($H594&lt;&gt;"",$I594="PEAD",$N594="MND",$Q594="EMBOQUE"),0,IF(AND($H594&lt;&gt;"",$I594="PVC",$N594="VCA",$Q594="LINEAR"),($H594/1000)+0.2,IF(AND($H594&lt;&gt;"",$I594="PVC",$N594="MND",$Q594="EMBOQUE"),0,IF(AND($H594&lt;&gt;"",$I594="PEAD",$N594="VCA",$Q594="PREDIAL"),0,0)))))),0)</f>
        <v>0.363</v>
      </c>
      <c r="AK594" s="153" t="n">
        <f aca="false">IF(AA594&lt;&gt;"",AA594,0)</f>
        <v>1.2</v>
      </c>
      <c r="AL594" s="153" t="n">
        <f aca="false">IF(AND($N594="MND",$Q594="EMBOQUE"),$M594,IF(AND($N594="VCA",$Q594="LINEAR"),$M594,IF(AND($N594="VCA",$Q594="PREDIAL"),0,0)))</f>
        <v>48.86</v>
      </c>
      <c r="AM594" s="153" t="n">
        <f aca="false">IF(AND($N594="MND",$Q594="EMBOQUE"),$M594,IF(AND($N594="VCA",$Q594="LINEAR"),$M594,IF(AND($N594="VCA",$Q594="PREDIAL"),0,0)))</f>
        <v>48.86</v>
      </c>
      <c r="AN594" s="153" t="n">
        <f aca="false">ROUND(IF(AND($N594="VCA",$M594&lt;&gt;"",$Q594="LINEAR"),$M594/100,IF(AND($N594="MND",$M594&gt;100,$Q594="EMBOQUE"),$M594/100,0)),0)</f>
        <v>0</v>
      </c>
      <c r="AO594" s="153" t="n">
        <f aca="false">IF(AND($N594="MND",$Q594="EMBOQUE"),$AN594*2*2,IF(AND($N594="VCA",$Q594="LINEAR"),$M594*2,IF(AND($N594="VCA",$Q594="PREDIAL"),0,0)))</f>
        <v>97.72</v>
      </c>
      <c r="AP594" s="153" t="n">
        <f aca="false">IFERROR($M594*$AF594*$AG594,0)</f>
        <v>43.287517</v>
      </c>
      <c r="AQ594" s="153" t="n">
        <f aca="false">IFERROR(IF(AND($N594="VCA",$AH594&gt;0),$M594*$AG594*$AH594,0),0)</f>
        <v>3.1759</v>
      </c>
      <c r="AR594" s="153" t="n">
        <f aca="false">IFERROR(IF(AND($N594="VCA",$AJ594&gt;0),($M594*$AG594*$AJ594)-$AI594,0),0)</f>
        <v>11.3762083941278</v>
      </c>
      <c r="AS594" s="153" t="n">
        <f aca="false">IFERROR(IF(AND($N594="VCA",$AP594&gt;0),$AP594-$AI594-$AQ594-$AR594,0),0)</f>
        <v>28.5831</v>
      </c>
      <c r="AT594" s="153" t="n">
        <f aca="false">IFERROR(IF($N594="VCA",INDEX(APOIO_REDES!$A:$W,MATCH($C594&amp;$I594&amp;$H594&amp;$N594&amp;$O594,APOIO_REDES!$W:$W,0),MATCH(AT$5,APOIO_REDES!$5:$5,0)),0)*$AP594,0)</f>
        <v>0.470980997411022</v>
      </c>
      <c r="AU594" s="153" t="n">
        <f aca="false">IFERROR(IF($N594="VCA",INDEX(APOIO_REDES!$A:$W,MATCH($C594&amp;$I594&amp;$H594&amp;$N594&amp;$O594,APOIO_REDES!$W:$W,0),MATCH(AU$5,APOIO_REDES!$5:$5,0)),0)*$AP594,0)</f>
        <v>0.376112668749337</v>
      </c>
      <c r="AV594" s="153" t="n">
        <f aca="false">IFERROR(IF($N594="VCA",INDEX(APOIO_REDES!$A:$W,MATCH($C594&amp;$I594&amp;$H594&amp;$N594&amp;$O594,APOIO_REDES!$W:$W,0),MATCH(AV$5,APOIO_REDES!$5:$5,0)),0)*$AP594,0)</f>
        <v>0.0520510407546928</v>
      </c>
      <c r="AW594" s="153" t="n">
        <f aca="false">IFERROR(IF($N594="VCA",INDEX(APOIO_REDES!$A:$W,MATCH($C594&amp;$I594&amp;$H594&amp;$N594&amp;$O594,APOIO_REDES!$W:$W,0),MATCH(AW$5,APOIO_REDES!$5:$5,0)),0)*$AP594,0)</f>
        <v>29.7128870768488</v>
      </c>
      <c r="AX594" s="153" t="n">
        <f aca="false">IFERROR(IF($N594="VCA",INDEX(APOIO_REDES!$A:$W,MATCH($C594&amp;$I594&amp;$H594&amp;$N594&amp;$O594,APOIO_REDES!$W:$W,0),MATCH(AX$5,APOIO_REDES!$5:$5,0)),0)*$AP594,0)</f>
        <v>4.11217893267492</v>
      </c>
      <c r="AY594" s="153" t="n">
        <f aca="false">IFERROR(IF($N594="VCA",INDEX(APOIO_REDES!$A:$W,MATCH($C594&amp;$I594&amp;$H594&amp;$N594&amp;$O594,APOIO_REDES!$W:$W,0),MATCH(AY$5,APOIO_REDES!$5:$5,0)),0)*$AP594,0)</f>
        <v>7.5222487902038</v>
      </c>
      <c r="AZ594" s="153" t="n">
        <f aca="false">IFERROR(IF($N594="VCA",INDEX(APOIO_REDES!$A:$W,MATCH($C594&amp;$I594&amp;$H594&amp;$N594&amp;$O594,APOIO_REDES!$W:$W,0),MATCH(AZ$5,APOIO_REDES!$5:$5,0)),0)*$AP594,0)</f>
        <v>1.0410574933574</v>
      </c>
      <c r="BA594" s="153" t="n">
        <f aca="false">IFERROR(IF(AND($N594="VCA",$Q594="LINEAR"),INDEX(APOIO_REDES!$A:$W,MATCH($C594&amp;$I594&amp;$H594&amp;$N594&amp;$O594,APOIO_REDES!$W:$W,0),MATCH(BA$5,APOIO_REDES!$5:$5,0)),IF(AND($N594="MND",$Q594="EMBOQUE"),INDEX(APOIO_REDES!$A:$W,MATCH($C594&amp;$I594&amp;$H594&amp;$N594&amp;$O594,APOIO_REDES!$W:$W,0),MATCH(BA$5,APOIO_REDES!$5:$5,0)),0))*$M594/10,0)</f>
        <v>3.93799275454807</v>
      </c>
      <c r="BB594" s="153" t="n">
        <f aca="false">IFERROR(IF($N594="VCA",INDEX(APOIO_REDES!$A:$W,MATCH($C594&amp;$I594&amp;$H594&amp;$N594&amp;$O594,APOIO_REDES!$W:$W,0),MATCH(BB$5,APOIO_REDES!$5:$5,0)),0)*($AI594+$AQ594+$AR594),0)</f>
        <v>14.5444285907547</v>
      </c>
      <c r="BC594" s="153" t="n">
        <f aca="false">IFERROR(IF($N594="VCA",INDEX(APOIO_REDES!$A:$W,MATCH($C594&amp;$I594&amp;$H594&amp;$N594&amp;$O594,APOIO_REDES!$W:$W,0),MATCH(BC$5,APOIO_REDES!$5:$5,0)),0)*($AI594+$AQ594+$AR594),0)</f>
        <v>0.15998840924527</v>
      </c>
      <c r="BD594" s="153" t="n">
        <f aca="false">IF(AND($N594="VCA",$AF594&gt;=1.25,$AF594&lt;1.5),$M594*$AF594*2,0)</f>
        <v>133.19236</v>
      </c>
      <c r="BE594" s="153" t="n">
        <f aca="false">IF(AND($N594="VCA",$AF594&gt;=1.5,$AF594&lt;3),$M594*$AF594*2,0)</f>
        <v>0</v>
      </c>
      <c r="BF594" s="153" t="n">
        <f aca="false">IF(AND($N594="VCA",$AF594&gt;=3),$M594*$AF594*2,0)</f>
        <v>0</v>
      </c>
      <c r="BG594" s="153" t="n">
        <f aca="false">($BB594+$BC594)*$AK594</f>
        <v>17.6453004</v>
      </c>
      <c r="BH594" s="153" t="n">
        <f aca="false">IF(AND($M594&lt;&gt;"",$N594="VCA",$Q594="LINEAR"),($M594*2)/100,IF(AND($M594&lt;&gt;"",$N594="MND",$Q594="EMBOQUE"),($AN594*2)/100,0))</f>
        <v>0.9772</v>
      </c>
      <c r="BI594" s="153" t="n">
        <f aca="false">IF(AND($M594&lt;&gt;"",$N594="VCA",$Q594="LINEAR"),$M594,IF(AND($M594&lt;&gt;"",$N594="MND",$Q594="EMBOQUE"),$AN594*2,0))</f>
        <v>48.86</v>
      </c>
      <c r="BJ594" s="153" t="n">
        <f aca="false">IF(AND($M594&lt;&gt;"",$N594="VCA",$Q594="LINEAR"),($M594*6.8)/100,IF(AND($M594&lt;&gt;"",$N594="MND",$Q594="EMBOQUE"),($AN594*2*6.8)/100,0))</f>
        <v>3.32248</v>
      </c>
      <c r="BK594" s="153" t="n">
        <f aca="false">IF(AND($M594&lt;&gt;"",$N594="VCA",$Q594="LINEAR"),($M594*2.5)/50,IF(AND($M594&lt;&gt;"",$N594="MND",$Q594="EMBOQUE"),($AN594*2*2.5)/50,0))</f>
        <v>2.443</v>
      </c>
      <c r="BL594" s="157" t="str">
        <f aca="false">K594&amp;J594</f>
        <v>Zona06REDES</v>
      </c>
      <c r="BM594" s="152" t="s">
        <v>3790</v>
      </c>
      <c r="BN594" s="152" t="s">
        <v>1560</v>
      </c>
      <c r="BO594" s="152" t="s">
        <v>3797</v>
      </c>
      <c r="BP594" s="152" t="s">
        <v>3807</v>
      </c>
      <c r="BQ594" s="152" t="s">
        <v>3808</v>
      </c>
      <c r="BR594" s="152" t="s">
        <v>3809</v>
      </c>
      <c r="BS594" s="152" t="n">
        <v>204359.635</v>
      </c>
      <c r="BT594" s="152" t="n">
        <v>8237483.667</v>
      </c>
      <c r="BU594" s="152" t="n">
        <v>204368.542</v>
      </c>
      <c r="BV594" s="152" t="n">
        <v>8237527.619</v>
      </c>
      <c r="BW594" s="152" t="n">
        <v>-15.9240911</v>
      </c>
      <c r="BX594" s="152" t="n">
        <v>-47.7612152</v>
      </c>
      <c r="BY594" s="152" t="s">
        <v>3807</v>
      </c>
    </row>
    <row r="595" customFormat="false" ht="13.8" hidden="false" customHeight="false" outlineLevel="0" collapsed="false">
      <c r="A595" s="149" t="n">
        <f aca="false">IF(C595&lt;&gt;"",ROW(A590),"")</f>
        <v>590</v>
      </c>
      <c r="B595" s="150" t="str">
        <f aca="false">HYPERLINK("https://www.google.com/maps/dir/-15.917302,-47.760003/-15.9241859,-47.7619124/data=!4m3!4m2!3e0!5i0")</f>
        <v>https://www.google.com/maps/dir/-15.917302,-47.760003/-15.9241859,-47.7619124/data=!4m3!4m2!3e0!5i0</v>
      </c>
      <c r="C595" s="151" t="s">
        <v>117</v>
      </c>
      <c r="D595" s="152" t="s">
        <v>112</v>
      </c>
      <c r="E595" s="152" t="s">
        <v>113</v>
      </c>
      <c r="F595" s="152" t="s">
        <v>117</v>
      </c>
      <c r="G595" s="152" t="s">
        <v>782</v>
      </c>
      <c r="H595" s="152" t="n">
        <v>63</v>
      </c>
      <c r="I595" s="152" t="s">
        <v>115</v>
      </c>
      <c r="J595" s="152" t="s">
        <v>6</v>
      </c>
      <c r="K595" s="152" t="s">
        <v>3786</v>
      </c>
      <c r="L595" s="152" t="s">
        <v>120</v>
      </c>
      <c r="M595" s="153" t="n">
        <f aca="false">71.28</f>
        <v>71.28</v>
      </c>
      <c r="N595" s="152" t="s">
        <v>1548</v>
      </c>
      <c r="O595" s="152" t="s">
        <v>1549</v>
      </c>
      <c r="P595" s="152" t="s">
        <v>1550</v>
      </c>
      <c r="Q595" s="152" t="s">
        <v>1551</v>
      </c>
      <c r="R595" s="154" t="s">
        <v>3810</v>
      </c>
      <c r="S595" s="154" t="s">
        <v>1553</v>
      </c>
      <c r="T595" s="155" t="s">
        <v>3795</v>
      </c>
      <c r="U595" s="152" t="str">
        <f aca="false">RIGHT(T595,7)</f>
        <v>013/037</v>
      </c>
      <c r="V595" s="152" t="s">
        <v>1555</v>
      </c>
      <c r="W595" s="156" t="n">
        <v>45882</v>
      </c>
      <c r="X595" s="152" t="s">
        <v>1594</v>
      </c>
      <c r="Y595" s="152" t="s">
        <v>3788</v>
      </c>
      <c r="Z595" s="152" t="s">
        <v>1557</v>
      </c>
      <c r="AA595" s="153" t="n">
        <v>1.4</v>
      </c>
      <c r="AB595" s="151" t="s">
        <v>3811</v>
      </c>
      <c r="AC595" s="151" t="s">
        <v>186</v>
      </c>
      <c r="AD595" s="151" t="str">
        <f aca="false">CONCATENATE($C595,$I595,$H595,$N595,$J595,$K595)</f>
        <v>TUBO PEADPEAD63VCAREDESZona06</v>
      </c>
      <c r="AE595" s="153" t="n">
        <f aca="false">IFERROR(INDEX(APOIO_REDES!$A:$W,MATCH($C595&amp;$I595&amp;$H595&amp;$N595&amp;$O595,APOIO_REDES!$W:$W,0),MATCH(AE$5,APOIO_REDES!$5:$5,0)),0)</f>
        <v>1.2</v>
      </c>
      <c r="AF595" s="153" t="n">
        <f aca="false">IFERROR(INDEX(APOIO_REDES!$A:$W,MATCH($C595&amp;$I595&amp;$H595&amp;$N595&amp;$O595,APOIO_REDES!$W:$W,0),MATCH(AF$5,APOIO_REDES!$5:$5,0)),0)</f>
        <v>1.363</v>
      </c>
      <c r="AG595" s="153" t="n">
        <f aca="false">IFERROR(INDEX(APOIO_REDES!$A:$W,MATCH($C595&amp;$I595&amp;$H595&amp;$N595&amp;$O595,APOIO_REDES!$W:$W,0),MATCH(AG$5,APOIO_REDES!$5:$5,0)),0)</f>
        <v>0.65</v>
      </c>
      <c r="AH595" s="153" t="n">
        <f aca="false">IFERROR(INDEX(APOIO_REDES!$A:$W,MATCH($C595&amp;$I595&amp;$H595&amp;$N595&amp;$O595,APOIO_REDES!$W:$W,0),MATCH(AH$5,APOIO_REDES!$5:$5,0)),0)</f>
        <v>0.1</v>
      </c>
      <c r="AI595" s="153" t="n">
        <f aca="false">IFERROR(IF($H595&lt;&gt;"",(((($H595/1000)/2)^2)*PI()*$M595),0),0)</f>
        <v>0.222197245734184</v>
      </c>
      <c r="AJ595" s="153" t="n">
        <f aca="false">IFERROR(IF(AND($H595&lt;&gt;"",$I595="FoFo",OR($N595="MND",$N595="VCA"),$Q595="LINEAR"),0,IF(AND($H595&lt;&gt;"",$I595="PEAD",$N595="VCA",$Q595="LINEAR"),($H595/1000)+0.3,IF(AND($H595&lt;&gt;"",$I595="PEAD",$N595="MND",$Q595="EMBOQUE"),0,IF(AND($H595&lt;&gt;"",$I595="PVC",$N595="VCA",$Q595="LINEAR"),($H595/1000)+0.2,IF(AND($H595&lt;&gt;"",$I595="PVC",$N595="MND",$Q595="EMBOQUE"),0,IF(AND($H595&lt;&gt;"",$I595="PEAD",$N595="VCA",$Q595="PREDIAL"),0,0)))))),0)</f>
        <v>0.363</v>
      </c>
      <c r="AK595" s="153" t="n">
        <f aca="false">IF(AA595&lt;&gt;"",AA595,0)</f>
        <v>1.4</v>
      </c>
      <c r="AL595" s="153" t="n">
        <f aca="false">IF(AND($N595="MND",$Q595="EMBOQUE"),$M595,IF(AND($N595="VCA",$Q595="LINEAR"),$M595,IF(AND($N595="VCA",$Q595="PREDIAL"),0,0)))</f>
        <v>71.28</v>
      </c>
      <c r="AM595" s="153" t="n">
        <f aca="false">IF(AND($N595="MND",$Q595="EMBOQUE"),$M595,IF(AND($N595="VCA",$Q595="LINEAR"),$M595,IF(AND($N595="VCA",$Q595="PREDIAL"),0,0)))</f>
        <v>71.28</v>
      </c>
      <c r="AN595" s="153" t="n">
        <f aca="false">ROUND(IF(AND($N595="VCA",$M595&lt;&gt;"",$Q595="LINEAR"),$M595/100,IF(AND($N595="MND",$M595&gt;100,$Q595="EMBOQUE"),$M595/100,0)),0)</f>
        <v>1</v>
      </c>
      <c r="AO595" s="153" t="n">
        <f aca="false">IF(AND($N595="MND",$Q595="EMBOQUE"),$AN595*2*2,IF(AND($N595="VCA",$Q595="LINEAR"),$M595*2,IF(AND($N595="VCA",$Q595="PREDIAL"),0,0)))</f>
        <v>142.56</v>
      </c>
      <c r="AP595" s="153" t="n">
        <f aca="false">IFERROR($M595*$AF595*$AG595,0)</f>
        <v>63.150516</v>
      </c>
      <c r="AQ595" s="153" t="n">
        <f aca="false">IFERROR(IF(AND($N595="VCA",$AH595&gt;0),$M595*$AG595*$AH595,0),0)</f>
        <v>4.6332</v>
      </c>
      <c r="AR595" s="153" t="n">
        <f aca="false">IFERROR(IF(AND($N595="VCA",$AJ595&gt;0),($M595*$AG595*$AJ595)-$AI595,0),0)</f>
        <v>16.5963187542658</v>
      </c>
      <c r="AS595" s="153" t="n">
        <f aca="false">IFERROR(IF(AND($N595="VCA",$AP595&gt;0),$AP595-$AI595-$AQ595-$AR595,0),0)</f>
        <v>41.6988</v>
      </c>
      <c r="AT595" s="153" t="n">
        <f aca="false">IFERROR(IF($N595="VCA",INDEX(APOIO_REDES!$A:$W,MATCH($C595&amp;$I595&amp;$H595&amp;$N595&amp;$O595,APOIO_REDES!$W:$W,0),MATCH(AT$5,APOIO_REDES!$5:$5,0)),0)*$AP595,0)</f>
        <v>0.687096305678626</v>
      </c>
      <c r="AU595" s="153" t="n">
        <f aca="false">IFERROR(IF($N595="VCA",INDEX(APOIO_REDES!$A:$W,MATCH($C595&amp;$I595&amp;$H595&amp;$N595&amp;$O595,APOIO_REDES!$W:$W,0),MATCH(AU$5,APOIO_REDES!$5:$5,0)),0)*$AP595,0)</f>
        <v>0.548696500786999</v>
      </c>
      <c r="AV595" s="153" t="n">
        <f aca="false">IFERROR(IF($N595="VCA",INDEX(APOIO_REDES!$A:$W,MATCH($C595&amp;$I595&amp;$H595&amp;$N595&amp;$O595,APOIO_REDES!$W:$W,0),MATCH(AV$5,APOIO_REDES!$5:$5,0)),0)*$AP595,0)</f>
        <v>0.0759352882725032</v>
      </c>
      <c r="AW595" s="153" t="n">
        <f aca="false">IFERROR(IF($N595="VCA",INDEX(APOIO_REDES!$A:$W,MATCH($C595&amp;$I595&amp;$H595&amp;$N595&amp;$O595,APOIO_REDES!$W:$W,0),MATCH(AW$5,APOIO_REDES!$5:$5,0)),0)*$AP595,0)</f>
        <v>43.3470034964753</v>
      </c>
      <c r="AX595" s="153" t="n">
        <f aca="false">IFERROR(IF($N595="VCA",INDEX(APOIO_REDES!$A:$W,MATCH($C595&amp;$I595&amp;$H595&amp;$N595&amp;$O595,APOIO_REDES!$W:$W,0),MATCH(AX$5,APOIO_REDES!$5:$5,0)),0)*$AP595,0)</f>
        <v>5.99910180763545</v>
      </c>
      <c r="AY595" s="153" t="n">
        <f aca="false">IFERROR(IF($N595="VCA",INDEX(APOIO_REDES!$A:$W,MATCH($C595&amp;$I595&amp;$H595&amp;$N595&amp;$O595,APOIO_REDES!$W:$W,0),MATCH(AY$5,APOIO_REDES!$5:$5,0)),0)*$AP595,0)</f>
        <v>10.9739233271741</v>
      </c>
      <c r="AZ595" s="153" t="n">
        <f aca="false">IFERROR(IF($N595="VCA",INDEX(APOIO_REDES!$A:$W,MATCH($C595&amp;$I595&amp;$H595&amp;$N595&amp;$O595,APOIO_REDES!$W:$W,0),MATCH(AZ$5,APOIO_REDES!$5:$5,0)),0)*$AP595,0)</f>
        <v>1.51875927397699</v>
      </c>
      <c r="BA595" s="153" t="n">
        <f aca="false">IFERROR(IF(AND($N595="VCA",$Q595="LINEAR"),INDEX(APOIO_REDES!$A:$W,MATCH($C595&amp;$I595&amp;$H595&amp;$N595&amp;$O595,APOIO_REDES!$W:$W,0),MATCH(BA$5,APOIO_REDES!$5:$5,0)),IF(AND($N595="MND",$Q595="EMBOQUE"),INDEX(APOIO_REDES!$A:$W,MATCH($C595&amp;$I595&amp;$H595&amp;$N595&amp;$O595,APOIO_REDES!$W:$W,0),MATCH(BA$5,APOIO_REDES!$5:$5,0)),0))*$M595/10,0)</f>
        <v>5.74498820188674</v>
      </c>
      <c r="BB595" s="153" t="n">
        <f aca="false">IFERROR(IF($N595="VCA",INDEX(APOIO_REDES!$A:$W,MATCH($C595&amp;$I595&amp;$H595&amp;$N595&amp;$O595,APOIO_REDES!$W:$W,0),MATCH(BB$5,APOIO_REDES!$5:$5,0)),0)*($AI595+$AQ595+$AR595),0)</f>
        <v>21.2183149805362</v>
      </c>
      <c r="BC595" s="153" t="n">
        <f aca="false">IFERROR(IF($N595="VCA",INDEX(APOIO_REDES!$A:$W,MATCH($C595&amp;$I595&amp;$H595&amp;$N595&amp;$O595,APOIO_REDES!$W:$W,0),MATCH(BC$5,APOIO_REDES!$5:$5,0)),0)*($AI595+$AQ595+$AR595),0)</f>
        <v>0.233401019463832</v>
      </c>
      <c r="BD595" s="153" t="n">
        <f aca="false">IF(AND($N595="VCA",$AF595&gt;=1.25,$AF595&lt;1.5),$M595*$AF595*2,0)</f>
        <v>194.30928</v>
      </c>
      <c r="BE595" s="153" t="n">
        <f aca="false">IF(AND($N595="VCA",$AF595&gt;=1.5,$AF595&lt;3),$M595*$AF595*2,0)</f>
        <v>0</v>
      </c>
      <c r="BF595" s="153" t="n">
        <f aca="false">IF(AND($N595="VCA",$AF595&gt;=3),$M595*$AF595*2,0)</f>
        <v>0</v>
      </c>
      <c r="BG595" s="153" t="n">
        <f aca="false">($BB595+$BC595)*$AK595</f>
        <v>30.0324024</v>
      </c>
      <c r="BH595" s="153" t="n">
        <f aca="false">IF(AND($M595&lt;&gt;"",$N595="VCA",$Q595="LINEAR"),($M595*2)/100,IF(AND($M595&lt;&gt;"",$N595="MND",$Q595="EMBOQUE"),($AN595*2)/100,0))</f>
        <v>1.4256</v>
      </c>
      <c r="BI595" s="153" t="n">
        <f aca="false">IF(AND($M595&lt;&gt;"",$N595="VCA",$Q595="LINEAR"),$M595,IF(AND($M595&lt;&gt;"",$N595="MND",$Q595="EMBOQUE"),$AN595*2,0))</f>
        <v>71.28</v>
      </c>
      <c r="BJ595" s="153" t="n">
        <f aca="false">IF(AND($M595&lt;&gt;"",$N595="VCA",$Q595="LINEAR"),($M595*6.8)/100,IF(AND($M595&lt;&gt;"",$N595="MND",$Q595="EMBOQUE"),($AN595*2*6.8)/100,0))</f>
        <v>4.84704</v>
      </c>
      <c r="BK595" s="153" t="n">
        <f aca="false">IF(AND($M595&lt;&gt;"",$N595="VCA",$Q595="LINEAR"),($M595*2.5)/50,IF(AND($M595&lt;&gt;"",$N595="MND",$Q595="EMBOQUE"),($AN595*2*2.5)/50,0))</f>
        <v>3.564</v>
      </c>
      <c r="BL595" s="157" t="str">
        <f aca="false">K595&amp;J595</f>
        <v>Zona06REDES</v>
      </c>
      <c r="BM595" s="152" t="s">
        <v>3790</v>
      </c>
      <c r="BN595" s="152" t="s">
        <v>1560</v>
      </c>
      <c r="BO595" s="152" t="s">
        <v>3797</v>
      </c>
      <c r="BP595" s="152" t="s">
        <v>3792</v>
      </c>
      <c r="BQ595" s="152" t="s">
        <v>3807</v>
      </c>
      <c r="BR595" s="152" t="s">
        <v>3793</v>
      </c>
      <c r="BS595" s="152" t="n">
        <v>204289.527</v>
      </c>
      <c r="BT595" s="152" t="n">
        <v>8237493.397</v>
      </c>
      <c r="BU595" s="152" t="n">
        <v>204359.635</v>
      </c>
      <c r="BV595" s="152" t="n">
        <v>8237483.667</v>
      </c>
      <c r="BW595" s="152" t="n">
        <v>-15.9242076</v>
      </c>
      <c r="BX595" s="152" t="n">
        <v>-47.7615813</v>
      </c>
      <c r="BY595" s="152" t="s">
        <v>3792</v>
      </c>
    </row>
    <row r="596" customFormat="false" ht="13.8" hidden="false" customHeight="false" outlineLevel="0" collapsed="false">
      <c r="A596" s="149" t="n">
        <f aca="false">IF(C596&lt;&gt;"",ROW(A591),"")</f>
        <v>591</v>
      </c>
      <c r="B596" s="150" t="str">
        <f aca="false">HYPERLINK("https://www.google.com/maps/dir/-15.917302,-47.760003/-15.9249346,-47.7621333/data=!4m3!4m2!3e0!5i0")</f>
        <v>https://www.google.com/maps/dir/-15.917302,-47.760003/-15.9249346,-47.7621333/data=!4m3!4m2!3e0!5i0</v>
      </c>
      <c r="C596" s="151" t="s">
        <v>117</v>
      </c>
      <c r="D596" s="152" t="s">
        <v>112</v>
      </c>
      <c r="E596" s="152" t="s">
        <v>113</v>
      </c>
      <c r="F596" s="152" t="s">
        <v>117</v>
      </c>
      <c r="G596" s="152" t="s">
        <v>782</v>
      </c>
      <c r="H596" s="152" t="n">
        <v>63</v>
      </c>
      <c r="I596" s="152" t="s">
        <v>115</v>
      </c>
      <c r="J596" s="152" t="s">
        <v>6</v>
      </c>
      <c r="K596" s="152" t="s">
        <v>3786</v>
      </c>
      <c r="L596" s="152" t="s">
        <v>120</v>
      </c>
      <c r="M596" s="153" t="n">
        <f aca="false">84.21</f>
        <v>84.21</v>
      </c>
      <c r="N596" s="152" t="s">
        <v>1548</v>
      </c>
      <c r="O596" s="152" t="s">
        <v>1549</v>
      </c>
      <c r="P596" s="152" t="s">
        <v>1550</v>
      </c>
      <c r="Q596" s="152" t="s">
        <v>1551</v>
      </c>
      <c r="R596" s="154" t="s">
        <v>3812</v>
      </c>
      <c r="S596" s="154" t="s">
        <v>1553</v>
      </c>
      <c r="T596" s="155" t="s">
        <v>3795</v>
      </c>
      <c r="U596" s="152" t="str">
        <f aca="false">RIGHT(T596,7)</f>
        <v>013/037</v>
      </c>
      <c r="V596" s="152" t="s">
        <v>1555</v>
      </c>
      <c r="W596" s="156" t="n">
        <v>45882</v>
      </c>
      <c r="X596" s="152" t="s">
        <v>1594</v>
      </c>
      <c r="Y596" s="152" t="s">
        <v>3788</v>
      </c>
      <c r="Z596" s="152" t="s">
        <v>1557</v>
      </c>
      <c r="AA596" s="153" t="n">
        <v>1.3</v>
      </c>
      <c r="AB596" s="151" t="s">
        <v>3813</v>
      </c>
      <c r="AC596" s="151" t="s">
        <v>186</v>
      </c>
      <c r="AD596" s="151" t="str">
        <f aca="false">CONCATENATE($C596,$I596,$H596,$N596,$J596,$K596)</f>
        <v>TUBO PEADPEAD63VCAREDESZona06</v>
      </c>
      <c r="AE596" s="153" t="n">
        <f aca="false">IFERROR(INDEX(APOIO_REDES!$A:$W,MATCH($C596&amp;$I596&amp;$H596&amp;$N596&amp;$O596,APOIO_REDES!$W:$W,0),MATCH(AE$5,APOIO_REDES!$5:$5,0)),0)</f>
        <v>1.2</v>
      </c>
      <c r="AF596" s="153" t="n">
        <f aca="false">IFERROR(INDEX(APOIO_REDES!$A:$W,MATCH($C596&amp;$I596&amp;$H596&amp;$N596&amp;$O596,APOIO_REDES!$W:$W,0),MATCH(AF$5,APOIO_REDES!$5:$5,0)),0)</f>
        <v>1.363</v>
      </c>
      <c r="AG596" s="153" t="n">
        <f aca="false">IFERROR(INDEX(APOIO_REDES!$A:$W,MATCH($C596&amp;$I596&amp;$H596&amp;$N596&amp;$O596,APOIO_REDES!$W:$W,0),MATCH(AG$5,APOIO_REDES!$5:$5,0)),0)</f>
        <v>0.65</v>
      </c>
      <c r="AH596" s="153" t="n">
        <f aca="false">IFERROR(INDEX(APOIO_REDES!$A:$W,MATCH($C596&amp;$I596&amp;$H596&amp;$N596&amp;$O596,APOIO_REDES!$W:$W,0),MATCH(AH$5,APOIO_REDES!$5:$5,0)),0)</f>
        <v>0.1</v>
      </c>
      <c r="AI596" s="153" t="n">
        <f aca="false">IFERROR(IF($H596&lt;&gt;"",(((($H596/1000)/2)^2)*PI()*$M596),0),0)</f>
        <v>0.262503227599266</v>
      </c>
      <c r="AJ596" s="153" t="n">
        <f aca="false">IFERROR(IF(AND($H596&lt;&gt;"",$I596="FoFo",OR($N596="MND",$N596="VCA"),$Q596="LINEAR"),0,IF(AND($H596&lt;&gt;"",$I596="PEAD",$N596="VCA",$Q596="LINEAR"),($H596/1000)+0.3,IF(AND($H596&lt;&gt;"",$I596="PEAD",$N596="MND",$Q596="EMBOQUE"),0,IF(AND($H596&lt;&gt;"",$I596="PVC",$N596="VCA",$Q596="LINEAR"),($H596/1000)+0.2,IF(AND($H596&lt;&gt;"",$I596="PVC",$N596="MND",$Q596="EMBOQUE"),0,IF(AND($H596&lt;&gt;"",$I596="PEAD",$N596="VCA",$Q596="PREDIAL"),0,0)))))),0)</f>
        <v>0.363</v>
      </c>
      <c r="AK596" s="153" t="n">
        <f aca="false">IF(AA596&lt;&gt;"",AA596,0)</f>
        <v>1.3</v>
      </c>
      <c r="AL596" s="153" t="n">
        <f aca="false">IF(AND($N596="MND",$Q596="EMBOQUE"),$M596,IF(AND($N596="VCA",$Q596="LINEAR"),$M596,IF(AND($N596="VCA",$Q596="PREDIAL"),0,0)))</f>
        <v>84.21</v>
      </c>
      <c r="AM596" s="153" t="n">
        <f aca="false">IF(AND($N596="MND",$Q596="EMBOQUE"),$M596,IF(AND($N596="VCA",$Q596="LINEAR"),$M596,IF(AND($N596="VCA",$Q596="PREDIAL"),0,0)))</f>
        <v>84.21</v>
      </c>
      <c r="AN596" s="153" t="n">
        <f aca="false">ROUND(IF(AND($N596="VCA",$M596&lt;&gt;"",$Q596="LINEAR"),$M596/100,IF(AND($N596="MND",$M596&gt;100,$Q596="EMBOQUE"),$M596/100,0)),0)</f>
        <v>1</v>
      </c>
      <c r="AO596" s="153" t="n">
        <f aca="false">IF(AND($N596="MND",$Q596="EMBOQUE"),$AN596*2*2,IF(AND($N596="VCA",$Q596="LINEAR"),$M596*2,IF(AND($N596="VCA",$Q596="PREDIAL"),0,0)))</f>
        <v>168.42</v>
      </c>
      <c r="AP596" s="153" t="n">
        <f aca="false">IFERROR($M596*$AF596*$AG596,0)</f>
        <v>74.6058495</v>
      </c>
      <c r="AQ596" s="153" t="n">
        <f aca="false">IFERROR(IF(AND($N596="VCA",$AH596&gt;0),$M596*$AG596*$AH596,0),0)</f>
        <v>5.47365</v>
      </c>
      <c r="AR596" s="153" t="n">
        <f aca="false">IFERROR(IF(AND($N596="VCA",$AJ596&gt;0),($M596*$AG596*$AJ596)-$AI596,0),0)</f>
        <v>19.6068462724007</v>
      </c>
      <c r="AS596" s="153" t="n">
        <f aca="false">IFERROR(IF(AND($N596="VCA",$AP596&gt;0),$AP596-$AI596-$AQ596-$AR596,0),0)</f>
        <v>49.26285</v>
      </c>
      <c r="AT596" s="153" t="n">
        <f aca="false">IFERROR(IF($N596="VCA",INDEX(APOIO_REDES!$A:$W,MATCH($C596&amp;$I596&amp;$H596&amp;$N596&amp;$O596,APOIO_REDES!$W:$W,0),MATCH(AT$5,APOIO_REDES!$5:$5,0)),0)*$AP596,0)</f>
        <v>0.811733724764268</v>
      </c>
      <c r="AU596" s="153" t="n">
        <f aca="false">IFERROR(IF($N596="VCA",INDEX(APOIO_REDES!$A:$W,MATCH($C596&amp;$I596&amp;$H596&amp;$N596&amp;$O596,APOIO_REDES!$W:$W,0),MATCH(AU$5,APOIO_REDES!$5:$5,0)),0)*$AP596,0)</f>
        <v>0.648228568059388</v>
      </c>
      <c r="AV596" s="153" t="n">
        <f aca="false">IFERROR(IF($N596="VCA",INDEX(APOIO_REDES!$A:$W,MATCH($C596&amp;$I596&amp;$H596&amp;$N596&amp;$O596,APOIO_REDES!$W:$W,0),MATCH(AV$5,APOIO_REDES!$5:$5,0)),0)*$AP596,0)</f>
        <v>0.0897097450256382</v>
      </c>
      <c r="AW596" s="153" t="n">
        <f aca="false">IFERROR(IF($N596="VCA",INDEX(APOIO_REDES!$A:$W,MATCH($C596&amp;$I596&amp;$H596&amp;$N596&amp;$O596,APOIO_REDES!$W:$W,0),MATCH(AW$5,APOIO_REDES!$5:$5,0)),0)*$AP596,0)</f>
        <v>51.2100331711306</v>
      </c>
      <c r="AX596" s="153" t="n">
        <f aca="false">IFERROR(IF($N596="VCA",INDEX(APOIO_REDES!$A:$W,MATCH($C596&amp;$I596&amp;$H596&amp;$N596&amp;$O596,APOIO_REDES!$W:$W,0),MATCH(AX$5,APOIO_REDES!$5:$5,0)),0)*$AP596,0)</f>
        <v>7.08732271634374</v>
      </c>
      <c r="AY596" s="153" t="n">
        <f aca="false">IFERROR(IF($N596="VCA",INDEX(APOIO_REDES!$A:$W,MATCH($C596&amp;$I596&amp;$H596&amp;$N596&amp;$O596,APOIO_REDES!$W:$W,0),MATCH(AY$5,APOIO_REDES!$5:$5,0)),0)*$AP596,0)</f>
        <v>12.9645634593341</v>
      </c>
      <c r="AZ596" s="153" t="n">
        <f aca="false">IFERROR(IF($N596="VCA",INDEX(APOIO_REDES!$A:$W,MATCH($C596&amp;$I596&amp;$H596&amp;$N596&amp;$O596,APOIO_REDES!$W:$W,0),MATCH(AZ$5,APOIO_REDES!$5:$5,0)),0)*$AP596,0)</f>
        <v>1.79425811534234</v>
      </c>
      <c r="BA596" s="153" t="n">
        <f aca="false">IFERROR(IF(AND($N596="VCA",$Q596="LINEAR"),INDEX(APOIO_REDES!$A:$W,MATCH($C596&amp;$I596&amp;$H596&amp;$N596&amp;$O596,APOIO_REDES!$W:$W,0),MATCH(BA$5,APOIO_REDES!$5:$5,0)),IF(AND($N596="MND",$Q596="EMBOQUE"),INDEX(APOIO_REDES!$A:$W,MATCH($C596&amp;$I596&amp;$H596&amp;$N596&amp;$O596,APOIO_REDES!$W:$W,0),MATCH(BA$5,APOIO_REDES!$5:$5,0)),0))*$M596/10,0)</f>
        <v>6.7871135869933</v>
      </c>
      <c r="BB596" s="153" t="n">
        <f aca="false">IFERROR(IF($N596="VCA",INDEX(APOIO_REDES!$A:$W,MATCH($C596&amp;$I596&amp;$H596&amp;$N596&amp;$O596,APOIO_REDES!$W:$W,0),MATCH(BB$5,APOIO_REDES!$5:$5,0)),0)*($AI596+$AQ596+$AR596),0)</f>
        <v>25.067260164295</v>
      </c>
      <c r="BC596" s="153" t="n">
        <f aca="false">IFERROR(IF($N596="VCA",INDEX(APOIO_REDES!$A:$W,MATCH($C596&amp;$I596&amp;$H596&amp;$N596&amp;$O596,APOIO_REDES!$W:$W,0),MATCH(BC$5,APOIO_REDES!$5:$5,0)),0)*($AI596+$AQ596+$AR596),0)</f>
        <v>0.275739335704957</v>
      </c>
      <c r="BD596" s="153" t="n">
        <f aca="false">IF(AND($N596="VCA",$AF596&gt;=1.25,$AF596&lt;1.5),$M596*$AF596*2,0)</f>
        <v>229.55646</v>
      </c>
      <c r="BE596" s="153" t="n">
        <f aca="false">IF(AND($N596="VCA",$AF596&gt;=1.5,$AF596&lt;3),$M596*$AF596*2,0)</f>
        <v>0</v>
      </c>
      <c r="BF596" s="153" t="n">
        <f aca="false">IF(AND($N596="VCA",$AF596&gt;=3),$M596*$AF596*2,0)</f>
        <v>0</v>
      </c>
      <c r="BG596" s="153" t="n">
        <f aca="false">($BB596+$BC596)*$AK596</f>
        <v>32.94589935</v>
      </c>
      <c r="BH596" s="153" t="n">
        <f aca="false">IF(AND($M596&lt;&gt;"",$N596="VCA",$Q596="LINEAR"),($M596*2)/100,IF(AND($M596&lt;&gt;"",$N596="MND",$Q596="EMBOQUE"),($AN596*2)/100,0))</f>
        <v>1.6842</v>
      </c>
      <c r="BI596" s="153" t="n">
        <f aca="false">IF(AND($M596&lt;&gt;"",$N596="VCA",$Q596="LINEAR"),$M596,IF(AND($M596&lt;&gt;"",$N596="MND",$Q596="EMBOQUE"),$AN596*2,0))</f>
        <v>84.21</v>
      </c>
      <c r="BJ596" s="153" t="n">
        <f aca="false">IF(AND($M596&lt;&gt;"",$N596="VCA",$Q596="LINEAR"),($M596*6.8)/100,IF(AND($M596&lt;&gt;"",$N596="MND",$Q596="EMBOQUE"),($AN596*2*6.8)/100,0))</f>
        <v>5.72628</v>
      </c>
      <c r="BK596" s="153" t="n">
        <f aca="false">IF(AND($M596&lt;&gt;"",$N596="VCA",$Q596="LINEAR"),($M596*2.5)/50,IF(AND($M596&lt;&gt;"",$N596="MND",$Q596="EMBOQUE"),($AN596*2*2.5)/50,0))</f>
        <v>4.2105</v>
      </c>
      <c r="BL596" s="157" t="str">
        <f aca="false">K596&amp;J596</f>
        <v>Zona06REDES</v>
      </c>
      <c r="BM596" s="152" t="s">
        <v>3790</v>
      </c>
      <c r="BN596" s="152" t="s">
        <v>1560</v>
      </c>
      <c r="BO596" s="152" t="s">
        <v>3797</v>
      </c>
      <c r="BP596" s="152" t="s">
        <v>3814</v>
      </c>
      <c r="BQ596" s="152" t="s">
        <v>3791</v>
      </c>
      <c r="BR596" s="152" t="s">
        <v>3815</v>
      </c>
      <c r="BS596" s="152" t="n">
        <v>204266.968</v>
      </c>
      <c r="BT596" s="152" t="n">
        <v>8237410.945</v>
      </c>
      <c r="BU596" s="152" t="n">
        <v>204281</v>
      </c>
      <c r="BV596" s="152" t="n">
        <v>8237493.434</v>
      </c>
      <c r="BW596" s="152" t="n">
        <v>-15.9245655</v>
      </c>
      <c r="BX596" s="152" t="n">
        <v>-47.762062</v>
      </c>
      <c r="BY596" s="152" t="s">
        <v>3814</v>
      </c>
    </row>
    <row r="597" customFormat="false" ht="13.8" hidden="false" customHeight="false" outlineLevel="0" collapsed="false">
      <c r="A597" s="149" t="n">
        <f aca="false">IF(C597&lt;&gt;"",ROW(A592),"")</f>
        <v>592</v>
      </c>
      <c r="B597" s="150" t="str">
        <f aca="false">HYPERLINK("https://www.google.com/maps/dir/-15.917302,-47.760003/-15.9249379,-47.7614011/data=!4m3!4m2!3e0!5i0")</f>
        <v>https://www.google.com/maps/dir/-15.917302,-47.760003/-15.9249379,-47.7614011/data=!4m3!4m2!3e0!5i0</v>
      </c>
      <c r="C597" s="151" t="s">
        <v>117</v>
      </c>
      <c r="D597" s="152" t="s">
        <v>112</v>
      </c>
      <c r="E597" s="152" t="s">
        <v>113</v>
      </c>
      <c r="F597" s="152" t="s">
        <v>117</v>
      </c>
      <c r="G597" s="152" t="s">
        <v>782</v>
      </c>
      <c r="H597" s="152" t="n">
        <v>63</v>
      </c>
      <c r="I597" s="152" t="s">
        <v>115</v>
      </c>
      <c r="J597" s="152" t="s">
        <v>6</v>
      </c>
      <c r="K597" s="152" t="s">
        <v>3786</v>
      </c>
      <c r="L597" s="152" t="s">
        <v>120</v>
      </c>
      <c r="M597" s="153" t="n">
        <f aca="false">73.64</f>
        <v>73.64</v>
      </c>
      <c r="N597" s="152" t="s">
        <v>1548</v>
      </c>
      <c r="O597" s="152" t="s">
        <v>1549</v>
      </c>
      <c r="P597" s="152" t="s">
        <v>1550</v>
      </c>
      <c r="Q597" s="152" t="s">
        <v>1551</v>
      </c>
      <c r="R597" s="154" t="s">
        <v>3816</v>
      </c>
      <c r="S597" s="154" t="s">
        <v>1553</v>
      </c>
      <c r="T597" s="155" t="s">
        <v>3795</v>
      </c>
      <c r="U597" s="152" t="str">
        <f aca="false">RIGHT(T597,7)</f>
        <v>013/037</v>
      </c>
      <c r="V597" s="152" t="s">
        <v>1555</v>
      </c>
      <c r="W597" s="156" t="n">
        <v>45882</v>
      </c>
      <c r="X597" s="152" t="s">
        <v>1594</v>
      </c>
      <c r="Y597" s="152" t="s">
        <v>3788</v>
      </c>
      <c r="Z597" s="152" t="s">
        <v>1557</v>
      </c>
      <c r="AA597" s="153" t="n">
        <v>1.3</v>
      </c>
      <c r="AB597" s="151" t="s">
        <v>3817</v>
      </c>
      <c r="AC597" s="151" t="s">
        <v>186</v>
      </c>
      <c r="AD597" s="151" t="str">
        <f aca="false">CONCATENATE($C597,$I597,$H597,$N597,$J597,$K597)</f>
        <v>TUBO PEADPEAD63VCAREDESZona06</v>
      </c>
      <c r="AE597" s="153" t="n">
        <f aca="false">IFERROR(INDEX(APOIO_REDES!$A:$W,MATCH($C597&amp;$I597&amp;$H597&amp;$N597&amp;$O597,APOIO_REDES!$W:$W,0),MATCH(AE$5,APOIO_REDES!$5:$5,0)),0)</f>
        <v>1.2</v>
      </c>
      <c r="AF597" s="153" t="n">
        <f aca="false">IFERROR(INDEX(APOIO_REDES!$A:$W,MATCH($C597&amp;$I597&amp;$H597&amp;$N597&amp;$O597,APOIO_REDES!$W:$W,0),MATCH(AF$5,APOIO_REDES!$5:$5,0)),0)</f>
        <v>1.363</v>
      </c>
      <c r="AG597" s="153" t="n">
        <f aca="false">IFERROR(INDEX(APOIO_REDES!$A:$W,MATCH($C597&amp;$I597&amp;$H597&amp;$N597&amp;$O597,APOIO_REDES!$W:$W,0),MATCH(AG$5,APOIO_REDES!$5:$5,0)),0)</f>
        <v>0.65</v>
      </c>
      <c r="AH597" s="153" t="n">
        <f aca="false">IFERROR(INDEX(APOIO_REDES!$A:$W,MATCH($C597&amp;$I597&amp;$H597&amp;$N597&amp;$O597,APOIO_REDES!$W:$W,0),MATCH(AH$5,APOIO_REDES!$5:$5,0)),0)</f>
        <v>0.1</v>
      </c>
      <c r="AI597" s="153" t="n">
        <f aca="false">IFERROR(IF($H597&lt;&gt;"",(((($H597/1000)/2)^2)*PI()*$M597),0),0)</f>
        <v>0.229553944667022</v>
      </c>
      <c r="AJ597" s="153" t="n">
        <f aca="false">IFERROR(IF(AND($H597&lt;&gt;"",$I597="FoFo",OR($N597="MND",$N597="VCA"),$Q597="LINEAR"),0,IF(AND($H597&lt;&gt;"",$I597="PEAD",$N597="VCA",$Q597="LINEAR"),($H597/1000)+0.3,IF(AND($H597&lt;&gt;"",$I597="PEAD",$N597="MND",$Q597="EMBOQUE"),0,IF(AND($H597&lt;&gt;"",$I597="PVC",$N597="VCA",$Q597="LINEAR"),($H597/1000)+0.2,IF(AND($H597&lt;&gt;"",$I597="PVC",$N597="MND",$Q597="EMBOQUE"),0,IF(AND($H597&lt;&gt;"",$I597="PEAD",$N597="VCA",$Q597="PREDIAL"),0,0)))))),0)</f>
        <v>0.363</v>
      </c>
      <c r="AK597" s="153" t="n">
        <f aca="false">IF(AA597&lt;&gt;"",AA597,0)</f>
        <v>1.3</v>
      </c>
      <c r="AL597" s="153" t="n">
        <f aca="false">IF(AND($N597="MND",$Q597="EMBOQUE"),$M597,IF(AND($N597="VCA",$Q597="LINEAR"),$M597,IF(AND($N597="VCA",$Q597="PREDIAL"),0,0)))</f>
        <v>73.64</v>
      </c>
      <c r="AM597" s="153" t="n">
        <f aca="false">IF(AND($N597="MND",$Q597="EMBOQUE"),$M597,IF(AND($N597="VCA",$Q597="LINEAR"),$M597,IF(AND($N597="VCA",$Q597="PREDIAL"),0,0)))</f>
        <v>73.64</v>
      </c>
      <c r="AN597" s="153" t="n">
        <f aca="false">ROUND(IF(AND($N597="VCA",$M597&lt;&gt;"",$Q597="LINEAR"),$M597/100,IF(AND($N597="MND",$M597&gt;100,$Q597="EMBOQUE"),$M597/100,0)),0)</f>
        <v>1</v>
      </c>
      <c r="AO597" s="153" t="n">
        <f aca="false">IF(AND($N597="MND",$Q597="EMBOQUE"),$AN597*2*2,IF(AND($N597="VCA",$Q597="LINEAR"),$M597*2,IF(AND($N597="VCA",$Q597="PREDIAL"),0,0)))</f>
        <v>147.28</v>
      </c>
      <c r="AP597" s="153" t="n">
        <f aca="false">IFERROR($M597*$AF597*$AG597,0)</f>
        <v>65.241358</v>
      </c>
      <c r="AQ597" s="153" t="n">
        <f aca="false">IFERROR(IF(AND($N597="VCA",$AH597&gt;0),$M597*$AG597*$AH597,0),0)</f>
        <v>4.7866</v>
      </c>
      <c r="AR597" s="153" t="n">
        <f aca="false">IFERROR(IF(AND($N597="VCA",$AJ597&gt;0),($M597*$AG597*$AJ597)-$AI597,0),0)</f>
        <v>17.145804055333</v>
      </c>
      <c r="AS597" s="153" t="n">
        <f aca="false">IFERROR(IF(AND($N597="VCA",$AP597&gt;0),$AP597-$AI597-$AQ597-$AR597,0),0)</f>
        <v>43.0794</v>
      </c>
      <c r="AT597" s="153" t="n">
        <f aca="false">IFERROR(IF($N597="VCA",INDEX(APOIO_REDES!$A:$W,MATCH($C597&amp;$I597&amp;$H597&amp;$N597&amp;$O597,APOIO_REDES!$W:$W,0),MATCH(AT$5,APOIO_REDES!$5:$5,0)),0)*$AP597,0)</f>
        <v>0.709845285496268</v>
      </c>
      <c r="AU597" s="153" t="n">
        <f aca="false">IFERROR(IF($N597="VCA",INDEX(APOIO_REDES!$A:$W,MATCH($C597&amp;$I597&amp;$H597&amp;$N597&amp;$O597,APOIO_REDES!$W:$W,0),MATCH(AU$5,APOIO_REDES!$5:$5,0)),0)*$AP597,0)</f>
        <v>0.566863219948858</v>
      </c>
      <c r="AV597" s="153" t="n">
        <f aca="false">IFERROR(IF($N597="VCA",INDEX(APOIO_REDES!$A:$W,MATCH($C597&amp;$I597&amp;$H597&amp;$N597&amp;$O597,APOIO_REDES!$W:$W,0),MATCH(AV$5,APOIO_REDES!$5:$5,0)),0)*$AP597,0)</f>
        <v>0.0784494195901674</v>
      </c>
      <c r="AW597" s="153" t="n">
        <f aca="false">IFERROR(IF($N597="VCA",INDEX(APOIO_REDES!$A:$W,MATCH($C597&amp;$I597&amp;$H597&amp;$N597&amp;$O597,APOIO_REDES!$W:$W,0),MATCH(AW$5,APOIO_REDES!$5:$5,0)),0)*$AP597,0)</f>
        <v>44.7821736459097</v>
      </c>
      <c r="AX597" s="153" t="n">
        <f aca="false">IFERROR(IF($N597="VCA",INDEX(APOIO_REDES!$A:$W,MATCH($C597&amp;$I597&amp;$H597&amp;$N597&amp;$O597,APOIO_REDES!$W:$W,0),MATCH(AX$5,APOIO_REDES!$5:$5,0)),0)*$AP597,0)</f>
        <v>6.19772526815761</v>
      </c>
      <c r="AY597" s="153" t="n">
        <f aca="false">IFERROR(IF($N597="VCA",INDEX(APOIO_REDES!$A:$W,MATCH($C597&amp;$I597&amp;$H597&amp;$N597&amp;$O597,APOIO_REDES!$W:$W,0),MATCH(AY$5,APOIO_REDES!$5:$5,0)),0)*$AP597,0)</f>
        <v>11.3372574889605</v>
      </c>
      <c r="AZ597" s="153" t="n">
        <f aca="false">IFERROR(IF($N597="VCA",INDEX(APOIO_REDES!$A:$W,MATCH($C597&amp;$I597&amp;$H597&amp;$N597&amp;$O597,APOIO_REDES!$W:$W,0),MATCH(AZ$5,APOIO_REDES!$5:$5,0)),0)*$AP597,0)</f>
        <v>1.56904367193695</v>
      </c>
      <c r="BA597" s="153" t="n">
        <f aca="false">IFERROR(IF(AND($N597="VCA",$Q597="LINEAR"),INDEX(APOIO_REDES!$A:$W,MATCH($C597&amp;$I597&amp;$H597&amp;$N597&amp;$O597,APOIO_REDES!$W:$W,0),MATCH(BA$5,APOIO_REDES!$5:$5,0)),IF(AND($N597="MND",$Q597="EMBOQUE"),INDEX(APOIO_REDES!$A:$W,MATCH($C597&amp;$I597&amp;$H597&amp;$N597&amp;$O597,APOIO_REDES!$W:$W,0),MATCH(BA$5,APOIO_REDES!$5:$5,0)),0))*$M597/10,0)</f>
        <v>5.93519824897502</v>
      </c>
      <c r="BB597" s="153" t="n">
        <f aca="false">IFERROR(IF($N597="VCA",INDEX(APOIO_REDES!$A:$W,MATCH($C597&amp;$I597&amp;$H597&amp;$N597&amp;$O597,APOIO_REDES!$W:$W,0),MATCH(BB$5,APOIO_REDES!$5:$5,0)),0)*($AI597+$AQ597+$AR597),0)</f>
        <v>21.9208293373553</v>
      </c>
      <c r="BC597" s="153" t="n">
        <f aca="false">IFERROR(IF($N597="VCA",INDEX(APOIO_REDES!$A:$W,MATCH($C597&amp;$I597&amp;$H597&amp;$N597&amp;$O597,APOIO_REDES!$W:$W,0),MATCH(BC$5,APOIO_REDES!$5:$5,0)),0)*($AI597+$AQ597+$AR597),0)</f>
        <v>0.241128662644734</v>
      </c>
      <c r="BD597" s="153" t="n">
        <f aca="false">IF(AND($N597="VCA",$AF597&gt;=1.25,$AF597&lt;1.5),$M597*$AF597*2,0)</f>
        <v>200.74264</v>
      </c>
      <c r="BE597" s="153" t="n">
        <f aca="false">IF(AND($N597="VCA",$AF597&gt;=1.5,$AF597&lt;3),$M597*$AF597*2,0)</f>
        <v>0</v>
      </c>
      <c r="BF597" s="153" t="n">
        <f aca="false">IF(AND($N597="VCA",$AF597&gt;=3),$M597*$AF597*2,0)</f>
        <v>0</v>
      </c>
      <c r="BG597" s="153" t="n">
        <f aca="false">($BB597+$BC597)*$AK597</f>
        <v>28.8105454</v>
      </c>
      <c r="BH597" s="153" t="n">
        <f aca="false">IF(AND($M597&lt;&gt;"",$N597="VCA",$Q597="LINEAR"),($M597*2)/100,IF(AND($M597&lt;&gt;"",$N597="MND",$Q597="EMBOQUE"),($AN597*2)/100,0))</f>
        <v>1.4728</v>
      </c>
      <c r="BI597" s="153" t="n">
        <f aca="false">IF(AND($M597&lt;&gt;"",$N597="VCA",$Q597="LINEAR"),$M597,IF(AND($M597&lt;&gt;"",$N597="MND",$Q597="EMBOQUE"),$AN597*2,0))</f>
        <v>73.64</v>
      </c>
      <c r="BJ597" s="153" t="n">
        <f aca="false">IF(AND($M597&lt;&gt;"",$N597="VCA",$Q597="LINEAR"),($M597*6.8)/100,IF(AND($M597&lt;&gt;"",$N597="MND",$Q597="EMBOQUE"),($AN597*2*6.8)/100,0))</f>
        <v>5.00752</v>
      </c>
      <c r="BK597" s="153" t="n">
        <f aca="false">IF(AND($M597&lt;&gt;"",$N597="VCA",$Q597="LINEAR"),($M597*2.5)/50,IF(AND($M597&lt;&gt;"",$N597="MND",$Q597="EMBOQUE"),($AN597*2*2.5)/50,0))</f>
        <v>3.682</v>
      </c>
      <c r="BL597" s="157" t="str">
        <f aca="false">K597&amp;J597</f>
        <v>Zona06REDES</v>
      </c>
      <c r="BM597" s="152" t="s">
        <v>3790</v>
      </c>
      <c r="BN597" s="152" t="s">
        <v>1560</v>
      </c>
      <c r="BO597" s="152" t="s">
        <v>3797</v>
      </c>
      <c r="BP597" s="152" t="s">
        <v>3818</v>
      </c>
      <c r="BQ597" s="152" t="s">
        <v>3807</v>
      </c>
      <c r="BR597" s="152" t="s">
        <v>3809</v>
      </c>
      <c r="BS597" s="152" t="n">
        <v>204345.419</v>
      </c>
      <c r="BT597" s="152" t="n">
        <v>8237411.615</v>
      </c>
      <c r="BU597" s="152" t="n">
        <v>204359.635</v>
      </c>
      <c r="BV597" s="152" t="n">
        <v>8237483.667</v>
      </c>
      <c r="BW597" s="152" t="n">
        <v>-15.9246133</v>
      </c>
      <c r="BX597" s="152" t="n">
        <v>-47.7613355</v>
      </c>
      <c r="BY597" s="152" t="s">
        <v>3818</v>
      </c>
    </row>
    <row r="598" customFormat="false" ht="13.8" hidden="false" customHeight="false" outlineLevel="0" collapsed="false">
      <c r="A598" s="149" t="n">
        <f aca="false">IF(C598&lt;&gt;"",ROW(A593),"")</f>
        <v>593</v>
      </c>
      <c r="B598" s="150" t="str">
        <f aca="false">HYPERLINK("https://www.google.com/maps/dir/-15.917302,-47.760003/-15.9249346,-47.7621333/data=!4m3!4m2!3e0!5i0")</f>
        <v>https://www.google.com/maps/dir/-15.917302,-47.760003/-15.9249346,-47.7621333/data=!4m3!4m2!3e0!5i0</v>
      </c>
      <c r="C598" s="151" t="s">
        <v>117</v>
      </c>
      <c r="D598" s="152" t="s">
        <v>112</v>
      </c>
      <c r="E598" s="152" t="s">
        <v>113</v>
      </c>
      <c r="F598" s="152" t="s">
        <v>117</v>
      </c>
      <c r="G598" s="152" t="s">
        <v>782</v>
      </c>
      <c r="H598" s="152" t="n">
        <v>63</v>
      </c>
      <c r="I598" s="152" t="s">
        <v>115</v>
      </c>
      <c r="J598" s="152" t="s">
        <v>6</v>
      </c>
      <c r="K598" s="152" t="s">
        <v>3786</v>
      </c>
      <c r="L598" s="152" t="s">
        <v>120</v>
      </c>
      <c r="M598" s="153" t="n">
        <f aca="false">78.45</f>
        <v>78.45</v>
      </c>
      <c r="N598" s="152" t="s">
        <v>1548</v>
      </c>
      <c r="O598" s="152" t="s">
        <v>1549</v>
      </c>
      <c r="P598" s="152" t="s">
        <v>1550</v>
      </c>
      <c r="Q598" s="152" t="s">
        <v>1551</v>
      </c>
      <c r="R598" s="154" t="s">
        <v>3819</v>
      </c>
      <c r="S598" s="154" t="s">
        <v>1553</v>
      </c>
      <c r="T598" s="155" t="s">
        <v>3795</v>
      </c>
      <c r="U598" s="152" t="str">
        <f aca="false">RIGHT(T598,7)</f>
        <v>013/037</v>
      </c>
      <c r="V598" s="152" t="s">
        <v>1555</v>
      </c>
      <c r="W598" s="156" t="n">
        <v>45882</v>
      </c>
      <c r="X598" s="152" t="s">
        <v>1594</v>
      </c>
      <c r="Y598" s="152" t="s">
        <v>3788</v>
      </c>
      <c r="Z598" s="152" t="s">
        <v>1557</v>
      </c>
      <c r="AA598" s="153" t="n">
        <v>1.3</v>
      </c>
      <c r="AB598" s="151" t="s">
        <v>3820</v>
      </c>
      <c r="AC598" s="151" t="s">
        <v>186</v>
      </c>
      <c r="AD598" s="151" t="str">
        <f aca="false">CONCATENATE($C598,$I598,$H598,$N598,$J598,$K598)</f>
        <v>TUBO PEADPEAD63VCAREDESZona06</v>
      </c>
      <c r="AE598" s="153" t="n">
        <f aca="false">IFERROR(INDEX(APOIO_REDES!$A:$W,MATCH($C598&amp;$I598&amp;$H598&amp;$N598&amp;$O598,APOIO_REDES!$W:$W,0),MATCH(AE$5,APOIO_REDES!$5:$5,0)),0)</f>
        <v>1.2</v>
      </c>
      <c r="AF598" s="153" t="n">
        <f aca="false">IFERROR(INDEX(APOIO_REDES!$A:$W,MATCH($C598&amp;$I598&amp;$H598&amp;$N598&amp;$O598,APOIO_REDES!$W:$W,0),MATCH(AF$5,APOIO_REDES!$5:$5,0)),0)</f>
        <v>1.363</v>
      </c>
      <c r="AG598" s="153" t="n">
        <f aca="false">IFERROR(INDEX(APOIO_REDES!$A:$W,MATCH($C598&amp;$I598&amp;$H598&amp;$N598&amp;$O598,APOIO_REDES!$W:$W,0),MATCH(AG$5,APOIO_REDES!$5:$5,0)),0)</f>
        <v>0.65</v>
      </c>
      <c r="AH598" s="153" t="n">
        <f aca="false">IFERROR(INDEX(APOIO_REDES!$A:$W,MATCH($C598&amp;$I598&amp;$H598&amp;$N598&amp;$O598,APOIO_REDES!$W:$W,0),MATCH(AH$5,APOIO_REDES!$5:$5,0)),0)</f>
        <v>0.1</v>
      </c>
      <c r="AI598" s="153" t="n">
        <f aca="false">IFERROR(IF($H598&lt;&gt;"",(((($H598/1000)/2)^2)*PI()*$M598),0),0)</f>
        <v>0.244547894610645</v>
      </c>
      <c r="AJ598" s="153" t="n">
        <f aca="false">IFERROR(IF(AND($H598&lt;&gt;"",$I598="FoFo",OR($N598="MND",$N598="VCA"),$Q598="LINEAR"),0,IF(AND($H598&lt;&gt;"",$I598="PEAD",$N598="VCA",$Q598="LINEAR"),($H598/1000)+0.3,IF(AND($H598&lt;&gt;"",$I598="PEAD",$N598="MND",$Q598="EMBOQUE"),0,IF(AND($H598&lt;&gt;"",$I598="PVC",$N598="VCA",$Q598="LINEAR"),($H598/1000)+0.2,IF(AND($H598&lt;&gt;"",$I598="PVC",$N598="MND",$Q598="EMBOQUE"),0,IF(AND($H598&lt;&gt;"",$I598="PEAD",$N598="VCA",$Q598="PREDIAL"),0,0)))))),0)</f>
        <v>0.363</v>
      </c>
      <c r="AK598" s="153" t="n">
        <f aca="false">IF(AA598&lt;&gt;"",AA598,0)</f>
        <v>1.3</v>
      </c>
      <c r="AL598" s="153" t="n">
        <f aca="false">IF(AND($N598="MND",$Q598="EMBOQUE"),$M598,IF(AND($N598="VCA",$Q598="LINEAR"),$M598,IF(AND($N598="VCA",$Q598="PREDIAL"),0,0)))</f>
        <v>78.45</v>
      </c>
      <c r="AM598" s="153" t="n">
        <f aca="false">IF(AND($N598="MND",$Q598="EMBOQUE"),$M598,IF(AND($N598="VCA",$Q598="LINEAR"),$M598,IF(AND($N598="VCA",$Q598="PREDIAL"),0,0)))</f>
        <v>78.45</v>
      </c>
      <c r="AN598" s="153" t="n">
        <f aca="false">ROUND(IF(AND($N598="VCA",$M598&lt;&gt;"",$Q598="LINEAR"),$M598/100,IF(AND($N598="MND",$M598&gt;100,$Q598="EMBOQUE"),$M598/100,0)),0)</f>
        <v>1</v>
      </c>
      <c r="AO598" s="153" t="n">
        <f aca="false">IF(AND($N598="MND",$Q598="EMBOQUE"),$AN598*2*2,IF(AND($N598="VCA",$Q598="LINEAR"),$M598*2,IF(AND($N598="VCA",$Q598="PREDIAL"),0,0)))</f>
        <v>156.9</v>
      </c>
      <c r="AP598" s="153" t="n">
        <f aca="false">IFERROR($M598*$AF598*$AG598,0)</f>
        <v>69.5027775</v>
      </c>
      <c r="AQ598" s="153" t="n">
        <f aca="false">IFERROR(IF(AND($N598="VCA",$AH598&gt;0),$M598*$AG598*$AH598,0),0)</f>
        <v>5.09925</v>
      </c>
      <c r="AR598" s="153" t="n">
        <f aca="false">IFERROR(IF(AND($N598="VCA",$AJ598&gt;0),($M598*$AG598*$AJ598)-$AI598,0),0)</f>
        <v>18.2657296053894</v>
      </c>
      <c r="AS598" s="153" t="n">
        <f aca="false">IFERROR(IF(AND($N598="VCA",$AP598&gt;0),$AP598-$AI598-$AQ598-$AR598,0),0)</f>
        <v>45.89325</v>
      </c>
      <c r="AT598" s="153" t="n">
        <f aca="false">IFERROR(IF($N598="VCA",INDEX(APOIO_REDES!$A:$W,MATCH($C598&amp;$I598&amp;$H598&amp;$N598&amp;$O598,APOIO_REDES!$W:$W,0),MATCH(AT$5,APOIO_REDES!$5:$5,0)),0)*$AP598,0)</f>
        <v>0.756210790972056</v>
      </c>
      <c r="AU598" s="153" t="n">
        <f aca="false">IFERROR(IF($N598="VCA",INDEX(APOIO_REDES!$A:$W,MATCH($C598&amp;$I598&amp;$H598&amp;$N598&amp;$O598,APOIO_REDES!$W:$W,0),MATCH(AU$5,APOIO_REDES!$5:$5,0)),0)*$AP598,0)</f>
        <v>0.603889456884681</v>
      </c>
      <c r="AV598" s="153" t="n">
        <f aca="false">IFERROR(IF($N598="VCA",INDEX(APOIO_REDES!$A:$W,MATCH($C598&amp;$I598&amp;$H598&amp;$N598&amp;$O598,APOIO_REDES!$W:$W,0),MATCH(AV$5,APOIO_REDES!$5:$5,0)),0)*$AP598,0)</f>
        <v>0.0835735601147289</v>
      </c>
      <c r="AW598" s="153" t="n">
        <f aca="false">IFERROR(IF($N598="VCA",INDEX(APOIO_REDES!$A:$W,MATCH($C598&amp;$I598&amp;$H598&amp;$N598&amp;$O598,APOIO_REDES!$W:$W,0),MATCH(AW$5,APOIO_REDES!$5:$5,0)),0)*$AP598,0)</f>
        <v>47.7072450097992</v>
      </c>
      <c r="AX598" s="153" t="n">
        <f aca="false">IFERROR(IF($N598="VCA",INDEX(APOIO_REDES!$A:$W,MATCH($C598&amp;$I598&amp;$H598&amp;$N598&amp;$O598,APOIO_REDES!$W:$W,0),MATCH(AX$5,APOIO_REDES!$5:$5,0)),0)*$AP598,0)</f>
        <v>6.60254681269643</v>
      </c>
      <c r="AY598" s="153" t="n">
        <f aca="false">IFERROR(IF($N598="VCA",INDEX(APOIO_REDES!$A:$W,MATCH($C598&amp;$I598&amp;$H598&amp;$N598&amp;$O598,APOIO_REDES!$W:$W,0),MATCH(AY$5,APOIO_REDES!$5:$5,0)),0)*$AP598,0)</f>
        <v>12.0777817763301</v>
      </c>
      <c r="AZ598" s="153" t="n">
        <f aca="false">IFERROR(IF($N598="VCA",INDEX(APOIO_REDES!$A:$W,MATCH($C598&amp;$I598&amp;$H598&amp;$N598&amp;$O598,APOIO_REDES!$W:$W,0),MATCH(AZ$5,APOIO_REDES!$5:$5,0)),0)*$AP598,0)</f>
        <v>1.67153009320279</v>
      </c>
      <c r="BA598" s="153" t="n">
        <f aca="false">IFERROR(IF(AND($N598="VCA",$Q598="LINEAR"),INDEX(APOIO_REDES!$A:$W,MATCH($C598&amp;$I598&amp;$H598&amp;$N598&amp;$O598,APOIO_REDES!$W:$W,0),MATCH(BA$5,APOIO_REDES!$5:$5,0)),IF(AND($N598="MND",$Q598="EMBOQUE"),INDEX(APOIO_REDES!$A:$W,MATCH($C598&amp;$I598&amp;$H598&amp;$N598&amp;$O598,APOIO_REDES!$W:$W,0),MATCH(BA$5,APOIO_REDES!$5:$5,0)),0))*$M598/10,0)</f>
        <v>6.32287211613376</v>
      </c>
      <c r="BB598" s="153" t="n">
        <f aca="false">IFERROR(IF($N598="VCA",INDEX(APOIO_REDES!$A:$W,MATCH($C598&amp;$I598&amp;$H598&amp;$N598&amp;$O598,APOIO_REDES!$W:$W,0),MATCH(BB$5,APOIO_REDES!$5:$5,0)),0)*($AI598+$AQ598+$AR598),0)</f>
        <v>23.3526488527366</v>
      </c>
      <c r="BC598" s="153" t="n">
        <f aca="false">IFERROR(IF($N598="VCA",INDEX(APOIO_REDES!$A:$W,MATCH($C598&amp;$I598&amp;$H598&amp;$N598&amp;$O598,APOIO_REDES!$W:$W,0),MATCH(BC$5,APOIO_REDES!$5:$5,0)),0)*($AI598+$AQ598+$AR598),0)</f>
        <v>0.256878647263435</v>
      </c>
      <c r="BD598" s="153" t="n">
        <f aca="false">IF(AND($N598="VCA",$AF598&gt;=1.25,$AF598&lt;1.5),$M598*$AF598*2,0)</f>
        <v>213.8547</v>
      </c>
      <c r="BE598" s="153" t="n">
        <f aca="false">IF(AND($N598="VCA",$AF598&gt;=1.5,$AF598&lt;3),$M598*$AF598*2,0)</f>
        <v>0</v>
      </c>
      <c r="BF598" s="153" t="n">
        <f aca="false">IF(AND($N598="VCA",$AF598&gt;=3),$M598*$AF598*2,0)</f>
        <v>0</v>
      </c>
      <c r="BG598" s="153" t="n">
        <f aca="false">($BB598+$BC598)*$AK598</f>
        <v>30.69238575</v>
      </c>
      <c r="BH598" s="153" t="n">
        <f aca="false">IF(AND($M598&lt;&gt;"",$N598="VCA",$Q598="LINEAR"),($M598*2)/100,IF(AND($M598&lt;&gt;"",$N598="MND",$Q598="EMBOQUE"),($AN598*2)/100,0))</f>
        <v>1.569</v>
      </c>
      <c r="BI598" s="153" t="n">
        <f aca="false">IF(AND($M598&lt;&gt;"",$N598="VCA",$Q598="LINEAR"),$M598,IF(AND($M598&lt;&gt;"",$N598="MND",$Q598="EMBOQUE"),$AN598*2,0))</f>
        <v>78.45</v>
      </c>
      <c r="BJ598" s="153" t="n">
        <f aca="false">IF(AND($M598&lt;&gt;"",$N598="VCA",$Q598="LINEAR"),($M598*6.8)/100,IF(AND($M598&lt;&gt;"",$N598="MND",$Q598="EMBOQUE"),($AN598*2*6.8)/100,0))</f>
        <v>5.3346</v>
      </c>
      <c r="BK598" s="153" t="n">
        <f aca="false">IF(AND($M598&lt;&gt;"",$N598="VCA",$Q598="LINEAR"),($M598*2.5)/50,IF(AND($M598&lt;&gt;"",$N598="MND",$Q598="EMBOQUE"),($AN598*2*2.5)/50,0))</f>
        <v>3.9225</v>
      </c>
      <c r="BL598" s="157" t="str">
        <f aca="false">K598&amp;J598</f>
        <v>Zona06REDES</v>
      </c>
      <c r="BM598" s="152" t="s">
        <v>3790</v>
      </c>
      <c r="BN598" s="152" t="s">
        <v>1560</v>
      </c>
      <c r="BO598" s="152" t="s">
        <v>3797</v>
      </c>
      <c r="BP598" s="152" t="s">
        <v>3814</v>
      </c>
      <c r="BQ598" s="152" t="s">
        <v>3818</v>
      </c>
      <c r="BR598" s="152" t="s">
        <v>3821</v>
      </c>
      <c r="BS598" s="152" t="n">
        <v>204266.968</v>
      </c>
      <c r="BT598" s="152" t="n">
        <v>8237410.945</v>
      </c>
      <c r="BU598" s="152" t="n">
        <v>204345.419</v>
      </c>
      <c r="BV598" s="152" t="n">
        <v>8237411.615</v>
      </c>
      <c r="BW598" s="152" t="n">
        <v>-15.9249362</v>
      </c>
      <c r="BX598" s="152" t="n">
        <v>-47.7617672</v>
      </c>
      <c r="BY598" s="152" t="s">
        <v>3814</v>
      </c>
    </row>
    <row r="599" customFormat="false" ht="13.8" hidden="false" customHeight="false" outlineLevel="0" collapsed="false">
      <c r="A599" s="149" t="n">
        <f aca="false">IF(C599&lt;&gt;"",ROW(A594),"")</f>
        <v>594</v>
      </c>
      <c r="B599" s="150" t="str">
        <f aca="false">HYPERLINK("https://www.google.com/maps/dir/-15.917302,-47.760003/-15.9249346,-47.7621333/data=!4m3!4m2!3e0!5i0")</f>
        <v>https://www.google.com/maps/dir/-15.917302,-47.760003/-15.9249346,-47.7621333/data=!4m3!4m2!3e0!5i0</v>
      </c>
      <c r="C599" s="151" t="s">
        <v>117</v>
      </c>
      <c r="D599" s="152" t="s">
        <v>112</v>
      </c>
      <c r="E599" s="152" t="s">
        <v>113</v>
      </c>
      <c r="F599" s="152" t="s">
        <v>117</v>
      </c>
      <c r="G599" s="152" t="s">
        <v>782</v>
      </c>
      <c r="H599" s="152" t="n">
        <v>63</v>
      </c>
      <c r="I599" s="152" t="s">
        <v>115</v>
      </c>
      <c r="J599" s="152" t="s">
        <v>6</v>
      </c>
      <c r="K599" s="152" t="s">
        <v>3786</v>
      </c>
      <c r="L599" s="152" t="s">
        <v>120</v>
      </c>
      <c r="M599" s="153" t="n">
        <f aca="false">68.19</f>
        <v>68.19</v>
      </c>
      <c r="N599" s="152" t="s">
        <v>1548</v>
      </c>
      <c r="O599" s="152" t="s">
        <v>1549</v>
      </c>
      <c r="P599" s="152" t="s">
        <v>1550</v>
      </c>
      <c r="Q599" s="152" t="s">
        <v>1551</v>
      </c>
      <c r="R599" s="154" t="s">
        <v>3822</v>
      </c>
      <c r="S599" s="154" t="s">
        <v>1553</v>
      </c>
      <c r="T599" s="155" t="s">
        <v>3795</v>
      </c>
      <c r="U599" s="152" t="str">
        <f aca="false">RIGHT(T599,7)</f>
        <v>013/037</v>
      </c>
      <c r="V599" s="152" t="s">
        <v>1555</v>
      </c>
      <c r="W599" s="156" t="n">
        <v>45882</v>
      </c>
      <c r="X599" s="152" t="s">
        <v>1594</v>
      </c>
      <c r="Y599" s="152" t="s">
        <v>3788</v>
      </c>
      <c r="Z599" s="152" t="s">
        <v>1557</v>
      </c>
      <c r="AA599" s="153" t="n">
        <v>1.3</v>
      </c>
      <c r="AB599" s="151" t="s">
        <v>3823</v>
      </c>
      <c r="AC599" s="151" t="s">
        <v>186</v>
      </c>
      <c r="AD599" s="151" t="str">
        <f aca="false">CONCATENATE($C599,$I599,$H599,$N599,$J599,$K599)</f>
        <v>TUBO PEADPEAD63VCAREDESZona06</v>
      </c>
      <c r="AE599" s="153" t="n">
        <f aca="false">IFERROR(INDEX(APOIO_REDES!$A:$W,MATCH($C599&amp;$I599&amp;$H599&amp;$N599&amp;$O599,APOIO_REDES!$W:$W,0),MATCH(AE$5,APOIO_REDES!$5:$5,0)),0)</f>
        <v>1.2</v>
      </c>
      <c r="AF599" s="153" t="n">
        <f aca="false">IFERROR(INDEX(APOIO_REDES!$A:$W,MATCH($C599&amp;$I599&amp;$H599&amp;$N599&amp;$O599,APOIO_REDES!$W:$W,0),MATCH(AF$5,APOIO_REDES!$5:$5,0)),0)</f>
        <v>1.363</v>
      </c>
      <c r="AG599" s="153" t="n">
        <f aca="false">IFERROR(INDEX(APOIO_REDES!$A:$W,MATCH($C599&amp;$I599&amp;$H599&amp;$N599&amp;$O599,APOIO_REDES!$W:$W,0),MATCH(AG$5,APOIO_REDES!$5:$5,0)),0)</f>
        <v>0.65</v>
      </c>
      <c r="AH599" s="153" t="n">
        <f aca="false">IFERROR(INDEX(APOIO_REDES!$A:$W,MATCH($C599&amp;$I599&amp;$H599&amp;$N599&amp;$O599,APOIO_REDES!$W:$W,0),MATCH(AH$5,APOIO_REDES!$5:$5,0)),0)</f>
        <v>0.1</v>
      </c>
      <c r="AI599" s="153" t="n">
        <f aca="false">IFERROR(IF($H599&lt;&gt;"",(((($H599/1000)/2)^2)*PI()*$M599),0),0)</f>
        <v>0.212564957724664</v>
      </c>
      <c r="AJ599" s="153" t="n">
        <f aca="false">IFERROR(IF(AND($H599&lt;&gt;"",$I599="FoFo",OR($N599="MND",$N599="VCA"),$Q599="LINEAR"),0,IF(AND($H599&lt;&gt;"",$I599="PEAD",$N599="VCA",$Q599="LINEAR"),($H599/1000)+0.3,IF(AND($H599&lt;&gt;"",$I599="PEAD",$N599="MND",$Q599="EMBOQUE"),0,IF(AND($H599&lt;&gt;"",$I599="PVC",$N599="VCA",$Q599="LINEAR"),($H599/1000)+0.2,IF(AND($H599&lt;&gt;"",$I599="PVC",$N599="MND",$Q599="EMBOQUE"),0,IF(AND($H599&lt;&gt;"",$I599="PEAD",$N599="VCA",$Q599="PREDIAL"),0,0)))))),0)</f>
        <v>0.363</v>
      </c>
      <c r="AK599" s="153" t="n">
        <f aca="false">IF(AA599&lt;&gt;"",AA599,0)</f>
        <v>1.3</v>
      </c>
      <c r="AL599" s="153" t="n">
        <f aca="false">IF(AND($N599="MND",$Q599="EMBOQUE"),$M599,IF(AND($N599="VCA",$Q599="LINEAR"),$M599,IF(AND($N599="VCA",$Q599="PREDIAL"),0,0)))</f>
        <v>68.19</v>
      </c>
      <c r="AM599" s="153" t="n">
        <f aca="false">IF(AND($N599="MND",$Q599="EMBOQUE"),$M599,IF(AND($N599="VCA",$Q599="LINEAR"),$M599,IF(AND($N599="VCA",$Q599="PREDIAL"),0,0)))</f>
        <v>68.19</v>
      </c>
      <c r="AN599" s="153" t="n">
        <f aca="false">ROUND(IF(AND($N599="VCA",$M599&lt;&gt;"",$Q599="LINEAR"),$M599/100,IF(AND($N599="MND",$M599&gt;100,$Q599="EMBOQUE"),$M599/100,0)),0)</f>
        <v>1</v>
      </c>
      <c r="AO599" s="153" t="n">
        <f aca="false">IF(AND($N599="MND",$Q599="EMBOQUE"),$AN599*2*2,IF(AND($N599="VCA",$Q599="LINEAR"),$M599*2,IF(AND($N599="VCA",$Q599="PREDIAL"),0,0)))</f>
        <v>136.38</v>
      </c>
      <c r="AP599" s="153" t="n">
        <f aca="false">IFERROR($M599*$AF599*$AG599,0)</f>
        <v>60.4129305</v>
      </c>
      <c r="AQ599" s="153" t="n">
        <f aca="false">IFERROR(IF(AND($N599="VCA",$AH599&gt;0),$M599*$AG599*$AH599,0),0)</f>
        <v>4.43235</v>
      </c>
      <c r="AR599" s="153" t="n">
        <f aca="false">IFERROR(IF(AND($N599="VCA",$AJ599&gt;0),($M599*$AG599*$AJ599)-$AI599,0),0)</f>
        <v>15.8768655422753</v>
      </c>
      <c r="AS599" s="153" t="n">
        <f aca="false">IFERROR(IF(AND($N599="VCA",$AP599&gt;0),$AP599-$AI599-$AQ599-$AR599,0),0)</f>
        <v>39.89115</v>
      </c>
      <c r="AT599" s="153" t="n">
        <f aca="false">IFERROR(IF($N599="VCA",INDEX(APOIO_REDES!$A:$W,MATCH($C599&amp;$I599&amp;$H599&amp;$N599&amp;$O599,APOIO_REDES!$W:$W,0),MATCH(AT$5,APOIO_REDES!$5:$5,0)),0)*$AP599,0)</f>
        <v>0.657310565154678</v>
      </c>
      <c r="AU599" s="153" t="n">
        <f aca="false">IFERROR(IF($N599="VCA",INDEX(APOIO_REDES!$A:$W,MATCH($C599&amp;$I599&amp;$H599&amp;$N599&amp;$O599,APOIO_REDES!$W:$W,0),MATCH(AU$5,APOIO_REDES!$5:$5,0)),0)*$AP599,0)</f>
        <v>0.524910415104734</v>
      </c>
      <c r="AV599" s="153" t="n">
        <f aca="false">IFERROR(IF($N599="VCA",INDEX(APOIO_REDES!$A:$W,MATCH($C599&amp;$I599&amp;$H599&amp;$N599&amp;$O599,APOIO_REDES!$W:$W,0),MATCH(AV$5,APOIO_REDES!$5:$5,0)),0)*$AP599,0)</f>
        <v>0.0726434807421716</v>
      </c>
      <c r="AW599" s="153" t="n">
        <f aca="false">IFERROR(IF($N599="VCA",INDEX(APOIO_REDES!$A:$W,MATCH($C599&amp;$I599&amp;$H599&amp;$N599&amp;$O599,APOIO_REDES!$W:$W,0),MATCH(AW$5,APOIO_REDES!$5:$5,0)),0)*$AP599,0)</f>
        <v>41.4679035974278</v>
      </c>
      <c r="AX599" s="153" t="n">
        <f aca="false">IFERROR(IF($N599="VCA",INDEX(APOIO_REDES!$A:$W,MATCH($C599&amp;$I599&amp;$H599&amp;$N599&amp;$O599,APOIO_REDES!$W:$W,0),MATCH(AX$5,APOIO_REDES!$5:$5,0)),0)*$AP599,0)</f>
        <v>5.73903973432466</v>
      </c>
      <c r="AY599" s="153" t="n">
        <f aca="false">IFERROR(IF($N599="VCA",INDEX(APOIO_REDES!$A:$W,MATCH($C599&amp;$I599&amp;$H599&amp;$N599&amp;$O599,APOIO_REDES!$W:$W,0),MATCH(AY$5,APOIO_REDES!$5:$5,0)),0)*$AP599,0)</f>
        <v>10.4982019034793</v>
      </c>
      <c r="AZ599" s="153" t="n">
        <f aca="false">IFERROR(IF($N599="VCA",INDEX(APOIO_REDES!$A:$W,MATCH($C599&amp;$I599&amp;$H599&amp;$N599&amp;$O599,APOIO_REDES!$W:$W,0),MATCH(AZ$5,APOIO_REDES!$5:$5,0)),0)*$AP599,0)</f>
        <v>1.45292080376671</v>
      </c>
      <c r="BA599" s="153" t="n">
        <f aca="false">IFERROR(IF(AND($N599="VCA",$Q599="LINEAR"),INDEX(APOIO_REDES!$A:$W,MATCH($C599&amp;$I599&amp;$H599&amp;$N599&amp;$O599,APOIO_REDES!$W:$W,0),MATCH(BA$5,APOIO_REDES!$5:$5,0)),IF(AND($N599="MND",$Q599="EMBOQUE"),INDEX(APOIO_REDES!$A:$W,MATCH($C599&amp;$I599&amp;$H599&amp;$N599&amp;$O599,APOIO_REDES!$W:$W,0),MATCH(BA$5,APOIO_REDES!$5:$5,0)),0))*$M599/10,0)</f>
        <v>5.49594199616522</v>
      </c>
      <c r="BB599" s="153" t="n">
        <f aca="false">IFERROR(IF($N599="VCA",INDEX(APOIO_REDES!$A:$W,MATCH($C599&amp;$I599&amp;$H599&amp;$N599&amp;$O599,APOIO_REDES!$W:$W,0),MATCH(BB$5,APOIO_REDES!$5:$5,0)),0)*($AI599+$AQ599+$AR599),0)</f>
        <v>20.298497454023</v>
      </c>
      <c r="BC599" s="153" t="n">
        <f aca="false">IFERROR(IF($N599="VCA",INDEX(APOIO_REDES!$A:$W,MATCH($C599&amp;$I599&amp;$H599&amp;$N599&amp;$O599,APOIO_REDES!$W:$W,0),MATCH(BC$5,APOIO_REDES!$5:$5,0)),0)*($AI599+$AQ599+$AR599),0)</f>
        <v>0.223283045976974</v>
      </c>
      <c r="BD599" s="153" t="n">
        <f aca="false">IF(AND($N599="VCA",$AF599&gt;=1.25,$AF599&lt;1.5),$M599*$AF599*2,0)</f>
        <v>185.88594</v>
      </c>
      <c r="BE599" s="153" t="n">
        <f aca="false">IF(AND($N599="VCA",$AF599&gt;=1.5,$AF599&lt;3),$M599*$AF599*2,0)</f>
        <v>0</v>
      </c>
      <c r="BF599" s="153" t="n">
        <f aca="false">IF(AND($N599="VCA",$AF599&gt;=3),$M599*$AF599*2,0)</f>
        <v>0</v>
      </c>
      <c r="BG599" s="153" t="n">
        <f aca="false">($BB599+$BC599)*$AK599</f>
        <v>26.67831465</v>
      </c>
      <c r="BH599" s="153" t="n">
        <f aca="false">IF(AND($M599&lt;&gt;"",$N599="VCA",$Q599="LINEAR"),($M599*2)/100,IF(AND($M599&lt;&gt;"",$N599="MND",$Q599="EMBOQUE"),($AN599*2)/100,0))</f>
        <v>1.3638</v>
      </c>
      <c r="BI599" s="153" t="n">
        <f aca="false">IF(AND($M599&lt;&gt;"",$N599="VCA",$Q599="LINEAR"),$M599,IF(AND($M599&lt;&gt;"",$N599="MND",$Q599="EMBOQUE"),$AN599*2,0))</f>
        <v>68.19</v>
      </c>
      <c r="BJ599" s="153" t="n">
        <f aca="false">IF(AND($M599&lt;&gt;"",$N599="VCA",$Q599="LINEAR"),($M599*6.8)/100,IF(AND($M599&lt;&gt;"",$N599="MND",$Q599="EMBOQUE"),($AN599*2*6.8)/100,0))</f>
        <v>4.63692</v>
      </c>
      <c r="BK599" s="153" t="n">
        <f aca="false">IF(AND($M599&lt;&gt;"",$N599="VCA",$Q599="LINEAR"),($M599*2.5)/50,IF(AND($M599&lt;&gt;"",$N599="MND",$Q599="EMBOQUE"),($AN599*2*2.5)/50,0))</f>
        <v>3.4095</v>
      </c>
      <c r="BL599" s="157" t="str">
        <f aca="false">K599&amp;J599</f>
        <v>Zona06REDES</v>
      </c>
      <c r="BM599" s="152" t="s">
        <v>3790</v>
      </c>
      <c r="BN599" s="152" t="s">
        <v>1560</v>
      </c>
      <c r="BO599" s="152" t="s">
        <v>3797</v>
      </c>
      <c r="BP599" s="152" t="s">
        <v>3814</v>
      </c>
      <c r="BQ599" s="152" t="s">
        <v>3824</v>
      </c>
      <c r="BR599" s="152" t="s">
        <v>3825</v>
      </c>
      <c r="BS599" s="152" t="n">
        <v>204266.968</v>
      </c>
      <c r="BT599" s="152" t="n">
        <v>8237410.945</v>
      </c>
      <c r="BU599" s="152" t="n">
        <v>204257.86</v>
      </c>
      <c r="BV599" s="152" t="n">
        <v>8237343.506</v>
      </c>
      <c r="BW599" s="152" t="n">
        <v>-15.9252362</v>
      </c>
      <c r="BX599" s="152" t="n">
        <v>-47.7621967</v>
      </c>
      <c r="BY599" s="152" t="s">
        <v>3814</v>
      </c>
    </row>
    <row r="600" customFormat="false" ht="13.8" hidden="false" customHeight="false" outlineLevel="0" collapsed="false">
      <c r="A600" s="149" t="n">
        <f aca="false">IF(C600&lt;&gt;"",ROW(A595),"")</f>
        <v>595</v>
      </c>
      <c r="B600" s="150" t="str">
        <f aca="false">HYPERLINK("https://www.google.com/maps/dir/-15.917302,-47.760003/-15.9249379,-47.7614011/data=!4m3!4m2!3e0!5i0")</f>
        <v>https://www.google.com/maps/dir/-15.917302,-47.760003/-15.9249379,-47.7614011/data=!4m3!4m2!3e0!5i0</v>
      </c>
      <c r="C600" s="151" t="s">
        <v>117</v>
      </c>
      <c r="D600" s="152" t="s">
        <v>112</v>
      </c>
      <c r="E600" s="152" t="s">
        <v>113</v>
      </c>
      <c r="F600" s="152" t="s">
        <v>117</v>
      </c>
      <c r="G600" s="152" t="s">
        <v>782</v>
      </c>
      <c r="H600" s="152" t="n">
        <v>63</v>
      </c>
      <c r="I600" s="152" t="s">
        <v>115</v>
      </c>
      <c r="J600" s="152" t="s">
        <v>6</v>
      </c>
      <c r="K600" s="152" t="s">
        <v>3786</v>
      </c>
      <c r="L600" s="152" t="s">
        <v>120</v>
      </c>
      <c r="M600" s="153" t="n">
        <f aca="false">78.89</f>
        <v>78.89</v>
      </c>
      <c r="N600" s="152" t="s">
        <v>1548</v>
      </c>
      <c r="O600" s="152" t="s">
        <v>1549</v>
      </c>
      <c r="P600" s="152" t="s">
        <v>1550</v>
      </c>
      <c r="Q600" s="152" t="s">
        <v>1551</v>
      </c>
      <c r="R600" s="154" t="s">
        <v>3826</v>
      </c>
      <c r="S600" s="154" t="s">
        <v>1553</v>
      </c>
      <c r="T600" s="155" t="s">
        <v>3795</v>
      </c>
      <c r="U600" s="152" t="str">
        <f aca="false">RIGHT(T600,7)</f>
        <v>013/037</v>
      </c>
      <c r="V600" s="152" t="s">
        <v>1555</v>
      </c>
      <c r="W600" s="156" t="n">
        <v>45882</v>
      </c>
      <c r="X600" s="152" t="s">
        <v>1594</v>
      </c>
      <c r="Y600" s="152" t="s">
        <v>3788</v>
      </c>
      <c r="Z600" s="152" t="s">
        <v>1557</v>
      </c>
      <c r="AA600" s="153" t="n">
        <v>1.3</v>
      </c>
      <c r="AB600" s="151" t="s">
        <v>3827</v>
      </c>
      <c r="AC600" s="151" t="s">
        <v>186</v>
      </c>
      <c r="AD600" s="151" t="str">
        <f aca="false">CONCATENATE($C600,$I600,$H600,$N600,$J600,$K600)</f>
        <v>TUBO PEADPEAD63VCAREDESZona06</v>
      </c>
      <c r="AE600" s="153" t="n">
        <f aca="false">IFERROR(INDEX(APOIO_REDES!$A:$W,MATCH($C600&amp;$I600&amp;$H600&amp;$N600&amp;$O600,APOIO_REDES!$W:$W,0),MATCH(AE$5,APOIO_REDES!$5:$5,0)),0)</f>
        <v>1.2</v>
      </c>
      <c r="AF600" s="153" t="n">
        <f aca="false">IFERROR(INDEX(APOIO_REDES!$A:$W,MATCH($C600&amp;$I600&amp;$H600&amp;$N600&amp;$O600,APOIO_REDES!$W:$W,0),MATCH(AF$5,APOIO_REDES!$5:$5,0)),0)</f>
        <v>1.363</v>
      </c>
      <c r="AG600" s="153" t="n">
        <f aca="false">IFERROR(INDEX(APOIO_REDES!$A:$W,MATCH($C600&amp;$I600&amp;$H600&amp;$N600&amp;$O600,APOIO_REDES!$W:$W,0),MATCH(AG$5,APOIO_REDES!$5:$5,0)),0)</f>
        <v>0.65</v>
      </c>
      <c r="AH600" s="153" t="n">
        <f aca="false">IFERROR(INDEX(APOIO_REDES!$A:$W,MATCH($C600&amp;$I600&amp;$H600&amp;$N600&amp;$O600,APOIO_REDES!$W:$W,0),MATCH(AH$5,APOIO_REDES!$5:$5,0)),0)</f>
        <v>0.1</v>
      </c>
      <c r="AI600" s="153" t="n">
        <f aca="false">IFERROR(IF($H600&lt;&gt;"",(((($H600/1000)/2)^2)*PI()*$M600),0),0)</f>
        <v>0.245919482547276</v>
      </c>
      <c r="AJ600" s="153" t="n">
        <f aca="false">IFERROR(IF(AND($H600&lt;&gt;"",$I600="FoFo",OR($N600="MND",$N600="VCA"),$Q600="LINEAR"),0,IF(AND($H600&lt;&gt;"",$I600="PEAD",$N600="VCA",$Q600="LINEAR"),($H600/1000)+0.3,IF(AND($H600&lt;&gt;"",$I600="PEAD",$N600="MND",$Q600="EMBOQUE"),0,IF(AND($H600&lt;&gt;"",$I600="PVC",$N600="VCA",$Q600="LINEAR"),($H600/1000)+0.2,IF(AND($H600&lt;&gt;"",$I600="PVC",$N600="MND",$Q600="EMBOQUE"),0,IF(AND($H600&lt;&gt;"",$I600="PEAD",$N600="VCA",$Q600="PREDIAL"),0,0)))))),0)</f>
        <v>0.363</v>
      </c>
      <c r="AK600" s="153" t="n">
        <f aca="false">IF(AA600&lt;&gt;"",AA600,0)</f>
        <v>1.3</v>
      </c>
      <c r="AL600" s="153" t="n">
        <f aca="false">IF(AND($N600="MND",$Q600="EMBOQUE"),$M600,IF(AND($N600="VCA",$Q600="LINEAR"),$M600,IF(AND($N600="VCA",$Q600="PREDIAL"),0,0)))</f>
        <v>78.89</v>
      </c>
      <c r="AM600" s="153" t="n">
        <f aca="false">IF(AND($N600="MND",$Q600="EMBOQUE"),$M600,IF(AND($N600="VCA",$Q600="LINEAR"),$M600,IF(AND($N600="VCA",$Q600="PREDIAL"),0,0)))</f>
        <v>78.89</v>
      </c>
      <c r="AN600" s="153" t="n">
        <f aca="false">ROUND(IF(AND($N600="VCA",$M600&lt;&gt;"",$Q600="LINEAR"),$M600/100,IF(AND($N600="MND",$M600&gt;100,$Q600="EMBOQUE"),$M600/100,0)),0)</f>
        <v>1</v>
      </c>
      <c r="AO600" s="153" t="n">
        <f aca="false">IF(AND($N600="MND",$Q600="EMBOQUE"),$AN600*2*2,IF(AND($N600="VCA",$Q600="LINEAR"),$M600*2,IF(AND($N600="VCA",$Q600="PREDIAL"),0,0)))</f>
        <v>157.78</v>
      </c>
      <c r="AP600" s="153" t="n">
        <f aca="false">IFERROR($M600*$AF600*$AG600,0)</f>
        <v>69.8925955</v>
      </c>
      <c r="AQ600" s="153" t="n">
        <f aca="false">IFERROR(IF(AND($N600="VCA",$AH600&gt;0),$M600*$AG600*$AH600,0),0)</f>
        <v>5.12785</v>
      </c>
      <c r="AR600" s="153" t="n">
        <f aca="false">IFERROR(IF(AND($N600="VCA",$AJ600&gt;0),($M600*$AG600*$AJ600)-$AI600,0),0)</f>
        <v>18.3681760174527</v>
      </c>
      <c r="AS600" s="153" t="n">
        <f aca="false">IFERROR(IF(AND($N600="VCA",$AP600&gt;0),$AP600-$AI600-$AQ600-$AR600,0),0)</f>
        <v>46.15065</v>
      </c>
      <c r="AT600" s="153" t="n">
        <f aca="false">IFERROR(IF($N600="VCA",INDEX(APOIO_REDES!$A:$W,MATCH($C600&amp;$I600&amp;$H600&amp;$N600&amp;$O600,APOIO_REDES!$W:$W,0),MATCH(AT$5,APOIO_REDES!$5:$5,0)),0)*$AP600,0)</f>
        <v>0.760452126192295</v>
      </c>
      <c r="AU600" s="153" t="n">
        <f aca="false">IFERROR(IF($N600="VCA",INDEX(APOIO_REDES!$A:$W,MATCH($C600&amp;$I600&amp;$H600&amp;$N600&amp;$O600,APOIO_REDES!$W:$W,0),MATCH(AU$5,APOIO_REDES!$5:$5,0)),0)*$AP600,0)</f>
        <v>0.607276472321638</v>
      </c>
      <c r="AV600" s="153" t="n">
        <f aca="false">IFERROR(IF($N600="VCA",INDEX(APOIO_REDES!$A:$W,MATCH($C600&amp;$I600&amp;$H600&amp;$N600&amp;$O600,APOIO_REDES!$W:$W,0),MATCH(AV$5,APOIO_REDES!$5:$5,0)),0)*$AP600,0)</f>
        <v>0.08404229646209</v>
      </c>
      <c r="AW600" s="153" t="n">
        <f aca="false">IFERROR(IF($N600="VCA",INDEX(APOIO_REDES!$A:$W,MATCH($C600&amp;$I600&amp;$H600&amp;$N600&amp;$O600,APOIO_REDES!$W:$W,0),MATCH(AW$5,APOIO_REDES!$5:$5,0)),0)*$AP600,0)</f>
        <v>47.9748191054565</v>
      </c>
      <c r="AX600" s="153" t="n">
        <f aca="false">IFERROR(IF($N600="VCA",INDEX(APOIO_REDES!$A:$W,MATCH($C600&amp;$I600&amp;$H600&amp;$N600&amp;$O600,APOIO_REDES!$W:$W,0),MATCH(AX$5,APOIO_REDES!$5:$5,0)),0)*$AP600,0)</f>
        <v>6.63957830533615</v>
      </c>
      <c r="AY600" s="153" t="n">
        <f aca="false">IFERROR(IF($N600="VCA",INDEX(APOIO_REDES!$A:$W,MATCH($C600&amp;$I600&amp;$H600&amp;$N600&amp;$O600,APOIO_REDES!$W:$W,0),MATCH(AY$5,APOIO_REDES!$5:$5,0)),0)*$AP600,0)</f>
        <v>12.1455220437818</v>
      </c>
      <c r="AZ600" s="153" t="n">
        <f aca="false">IFERROR(IF($N600="VCA",INDEX(APOIO_REDES!$A:$W,MATCH($C600&amp;$I600&amp;$H600&amp;$N600&amp;$O600,APOIO_REDES!$W:$W,0),MATCH(AZ$5,APOIO_REDES!$5:$5,0)),0)*$AP600,0)</f>
        <v>1.68090515044956</v>
      </c>
      <c r="BA600" s="153" t="n">
        <f aca="false">IFERROR(IF(AND($N600="VCA",$Q600="LINEAR"),INDEX(APOIO_REDES!$A:$W,MATCH($C600&amp;$I600&amp;$H600&amp;$N600&amp;$O600,APOIO_REDES!$W:$W,0),MATCH(BA$5,APOIO_REDES!$5:$5,0)),IF(AND($N600="MND",$Q600="EMBOQUE"),INDEX(APOIO_REDES!$A:$W,MATCH($C600&amp;$I600&amp;$H600&amp;$N600&amp;$O600,APOIO_REDES!$W:$W,0),MATCH(BA$5,APOIO_REDES!$5:$5,0)),0))*$M600/10,0)</f>
        <v>6.35833500626887</v>
      </c>
      <c r="BB600" s="153" t="n">
        <f aca="false">IFERROR(IF($N600="VCA",INDEX(APOIO_REDES!$A:$W,MATCH($C600&amp;$I600&amp;$H600&amp;$N600&amp;$O600,APOIO_REDES!$W:$W,0),MATCH(BB$5,APOIO_REDES!$5:$5,0)),0)*($AI600+$AQ600+$AR600),0)</f>
        <v>23.4836261057028</v>
      </c>
      <c r="BC600" s="153" t="n">
        <f aca="false">IFERROR(IF($N600="VCA",INDEX(APOIO_REDES!$A:$W,MATCH($C600&amp;$I600&amp;$H600&amp;$N600&amp;$O600,APOIO_REDES!$W:$W,0),MATCH(BC$5,APOIO_REDES!$5:$5,0)),0)*($AI600+$AQ600+$AR600),0)</f>
        <v>0.258319394297162</v>
      </c>
      <c r="BD600" s="153" t="n">
        <f aca="false">IF(AND($N600="VCA",$AF600&gt;=1.25,$AF600&lt;1.5),$M600*$AF600*2,0)</f>
        <v>215.05414</v>
      </c>
      <c r="BE600" s="153" t="n">
        <f aca="false">IF(AND($N600="VCA",$AF600&gt;=1.5,$AF600&lt;3),$M600*$AF600*2,0)</f>
        <v>0</v>
      </c>
      <c r="BF600" s="153" t="n">
        <f aca="false">IF(AND($N600="VCA",$AF600&gt;=3),$M600*$AF600*2,0)</f>
        <v>0</v>
      </c>
      <c r="BG600" s="153" t="n">
        <f aca="false">($BB600+$BC600)*$AK600</f>
        <v>30.86452915</v>
      </c>
      <c r="BH600" s="153" t="n">
        <f aca="false">IF(AND($M600&lt;&gt;"",$N600="VCA",$Q600="LINEAR"),($M600*2)/100,IF(AND($M600&lt;&gt;"",$N600="MND",$Q600="EMBOQUE"),($AN600*2)/100,0))</f>
        <v>1.5778</v>
      </c>
      <c r="BI600" s="153" t="n">
        <f aca="false">IF(AND($M600&lt;&gt;"",$N600="VCA",$Q600="LINEAR"),$M600,IF(AND($M600&lt;&gt;"",$N600="MND",$Q600="EMBOQUE"),$AN600*2,0))</f>
        <v>78.89</v>
      </c>
      <c r="BJ600" s="153" t="n">
        <f aca="false">IF(AND($M600&lt;&gt;"",$N600="VCA",$Q600="LINEAR"),($M600*6.8)/100,IF(AND($M600&lt;&gt;"",$N600="MND",$Q600="EMBOQUE"),($AN600*2*6.8)/100,0))</f>
        <v>5.36452</v>
      </c>
      <c r="BK600" s="153" t="n">
        <f aca="false">IF(AND($M600&lt;&gt;"",$N600="VCA",$Q600="LINEAR"),($M600*2.5)/50,IF(AND($M600&lt;&gt;"",$N600="MND",$Q600="EMBOQUE"),($AN600*2*2.5)/50,0))</f>
        <v>3.9445</v>
      </c>
      <c r="BL600" s="157" t="str">
        <f aca="false">K600&amp;J600</f>
        <v>Zona06REDES</v>
      </c>
      <c r="BM600" s="152" t="s">
        <v>3790</v>
      </c>
      <c r="BN600" s="152" t="s">
        <v>1560</v>
      </c>
      <c r="BO600" s="152" t="s">
        <v>3797</v>
      </c>
      <c r="BP600" s="152" t="s">
        <v>3818</v>
      </c>
      <c r="BQ600" s="152" t="s">
        <v>3828</v>
      </c>
      <c r="BR600" s="152" t="s">
        <v>3829</v>
      </c>
      <c r="BS600" s="152" t="n">
        <v>204345.419</v>
      </c>
      <c r="BT600" s="152" t="n">
        <v>8237411.615</v>
      </c>
      <c r="BU600" s="152" t="n">
        <v>204331.497</v>
      </c>
      <c r="BV600" s="152" t="n">
        <v>8237334.411</v>
      </c>
      <c r="BW600" s="152" t="n">
        <v>-15.9252848</v>
      </c>
      <c r="BX600" s="152" t="n">
        <v>-47.7614649</v>
      </c>
      <c r="BY600" s="152" t="s">
        <v>3818</v>
      </c>
    </row>
    <row r="601" customFormat="false" ht="13.8" hidden="false" customHeight="false" outlineLevel="0" collapsed="false">
      <c r="A601" s="149" t="n">
        <f aca="false">IF(C601&lt;&gt;"",ROW(A596),"")</f>
        <v>596</v>
      </c>
      <c r="B601" s="150" t="str">
        <f aca="false">HYPERLINK("https://www.google.com/maps/dir/-15.917302,-47.760003/-15.9255316,-47.7636461/data=!4m3!4m2!3e0!5i0")</f>
        <v>https://www.google.com/maps/dir/-15.917302,-47.760003/-15.9255316,-47.7636461/data=!4m3!4m2!3e0!5i0</v>
      </c>
      <c r="C601" s="151" t="s">
        <v>117</v>
      </c>
      <c r="D601" s="152" t="s">
        <v>112</v>
      </c>
      <c r="E601" s="152" t="s">
        <v>113</v>
      </c>
      <c r="F601" s="152" t="s">
        <v>117</v>
      </c>
      <c r="G601" s="152" t="s">
        <v>782</v>
      </c>
      <c r="H601" s="152" t="n">
        <v>110</v>
      </c>
      <c r="I601" s="152" t="s">
        <v>115</v>
      </c>
      <c r="J601" s="152" t="s">
        <v>6</v>
      </c>
      <c r="K601" s="152" t="s">
        <v>3786</v>
      </c>
      <c r="L601" s="152" t="s">
        <v>120</v>
      </c>
      <c r="M601" s="153" t="n">
        <f aca="false">104.24</f>
        <v>104.24</v>
      </c>
      <c r="N601" s="152" t="s">
        <v>1548</v>
      </c>
      <c r="O601" s="152" t="s">
        <v>1549</v>
      </c>
      <c r="P601" s="152" t="s">
        <v>1550</v>
      </c>
      <c r="Q601" s="152" t="s">
        <v>1551</v>
      </c>
      <c r="R601" s="154" t="s">
        <v>3830</v>
      </c>
      <c r="S601" s="154" t="s">
        <v>1593</v>
      </c>
      <c r="T601" s="155" t="s">
        <v>3795</v>
      </c>
      <c r="U601" s="152" t="str">
        <f aca="false">RIGHT(T601,7)</f>
        <v>013/037</v>
      </c>
      <c r="V601" s="152" t="s">
        <v>1555</v>
      </c>
      <c r="W601" s="156" t="n">
        <v>45882</v>
      </c>
      <c r="X601" s="152" t="s">
        <v>1594</v>
      </c>
      <c r="Y601" s="152" t="s">
        <v>2276</v>
      </c>
      <c r="Z601" s="152" t="s">
        <v>1557</v>
      </c>
      <c r="AA601" s="153" t="n">
        <v>1.6</v>
      </c>
      <c r="AB601" s="151" t="s">
        <v>3831</v>
      </c>
      <c r="AC601" s="151" t="s">
        <v>502</v>
      </c>
      <c r="AD601" s="151" t="str">
        <f aca="false">CONCATENATE($C601,$I601,$H601,$N601,$J601,$K601)</f>
        <v>TUBO PEADPEAD110VCAREDESZona06</v>
      </c>
      <c r="AE601" s="153" t="n">
        <f aca="false">IFERROR(INDEX(APOIO_REDES!$A:$W,MATCH($C601&amp;$I601&amp;$H601&amp;$N601&amp;$O601,APOIO_REDES!$W:$W,0),MATCH(AE$5,APOIO_REDES!$5:$5,0)),0)</f>
        <v>1.2</v>
      </c>
      <c r="AF601" s="153" t="n">
        <f aca="false">IFERROR(INDEX(APOIO_REDES!$A:$W,MATCH($C601&amp;$I601&amp;$H601&amp;$N601&amp;$O601,APOIO_REDES!$W:$W,0),MATCH(AF$5,APOIO_REDES!$5:$5,0)),0)</f>
        <v>1.41</v>
      </c>
      <c r="AG601" s="153" t="n">
        <f aca="false">IFERROR(INDEX(APOIO_REDES!$A:$W,MATCH($C601&amp;$I601&amp;$H601&amp;$N601&amp;$O601,APOIO_REDES!$W:$W,0),MATCH(AG$5,APOIO_REDES!$5:$5,0)),0)</f>
        <v>0.75</v>
      </c>
      <c r="AH601" s="153" t="n">
        <f aca="false">IFERROR(INDEX(APOIO_REDES!$A:$W,MATCH($C601&amp;$I601&amp;$H601&amp;$N601&amp;$O601,APOIO_REDES!$W:$W,0),MATCH(AH$5,APOIO_REDES!$5:$5,0)),0)</f>
        <v>0.1</v>
      </c>
      <c r="AI601" s="153" t="n">
        <f aca="false">IFERROR(IF($H601&lt;&gt;"",(((($H601/1000)/2)^2)*PI()*$M601),0),0)</f>
        <v>0.990625845085855</v>
      </c>
      <c r="AJ601" s="153" t="n">
        <f aca="false">IFERROR(IF(AND($H601&lt;&gt;"",$I601="FoFo",OR($N601="MND",$N601="VCA"),$Q601="LINEAR"),0,IF(AND($H601&lt;&gt;"",$I601="PEAD",$N601="VCA",$Q601="LINEAR"),($H601/1000)+0.3,IF(AND($H601&lt;&gt;"",$I601="PEAD",$N601="MND",$Q601="EMBOQUE"),0,IF(AND($H601&lt;&gt;"",$I601="PVC",$N601="VCA",$Q601="LINEAR"),($H601/1000)+0.2,IF(AND($H601&lt;&gt;"",$I601="PVC",$N601="MND",$Q601="EMBOQUE"),0,IF(AND($H601&lt;&gt;"",$I601="PEAD",$N601="VCA",$Q601="PREDIAL"),0,0)))))),0)</f>
        <v>0.41</v>
      </c>
      <c r="AK601" s="153" t="n">
        <f aca="false">IF(AA601&lt;&gt;"",AA601,0)</f>
        <v>1.6</v>
      </c>
      <c r="AL601" s="153" t="n">
        <f aca="false">IF(AND($N601="MND",$Q601="EMBOQUE"),$M601,IF(AND($N601="VCA",$Q601="LINEAR"),$M601,IF(AND($N601="VCA",$Q601="PREDIAL"),0,0)))</f>
        <v>104.24</v>
      </c>
      <c r="AM601" s="153" t="n">
        <f aca="false">IF(AND($N601="MND",$Q601="EMBOQUE"),$M601,IF(AND($N601="VCA",$Q601="LINEAR"),$M601,IF(AND($N601="VCA",$Q601="PREDIAL"),0,0)))</f>
        <v>104.24</v>
      </c>
      <c r="AN601" s="153" t="n">
        <f aca="false">ROUND(IF(AND($N601="VCA",$M601&lt;&gt;"",$Q601="LINEAR"),$M601/100,IF(AND($N601="MND",$M601&gt;100,$Q601="EMBOQUE"),$M601/100,0)),0)</f>
        <v>1</v>
      </c>
      <c r="AO601" s="153" t="n">
        <f aca="false">IF(AND($N601="MND",$Q601="EMBOQUE"),$AN601*2*2,IF(AND($N601="VCA",$Q601="LINEAR"),$M601*2,IF(AND($N601="VCA",$Q601="PREDIAL"),0,0)))</f>
        <v>208.48</v>
      </c>
      <c r="AP601" s="153" t="n">
        <f aca="false">IFERROR($M601*$AF601*$AG601,0)</f>
        <v>110.2338</v>
      </c>
      <c r="AQ601" s="153" t="n">
        <f aca="false">IFERROR(IF(AND($N601="VCA",$AH601&gt;0),$M601*$AG601*$AH601,0),0)</f>
        <v>7.818</v>
      </c>
      <c r="AR601" s="153" t="n">
        <f aca="false">IFERROR(IF(AND($N601="VCA",$AJ601&gt;0),($M601*$AG601*$AJ601)-$AI601,0),0)</f>
        <v>31.0631741549141</v>
      </c>
      <c r="AS601" s="153" t="n">
        <f aca="false">IFERROR(IF(AND($N601="VCA",$AP601&gt;0),$AP601-$AI601-$AQ601-$AR601,0),0)</f>
        <v>70.362</v>
      </c>
      <c r="AT601" s="153" t="n">
        <f aca="false">IFERROR(IF($N601="VCA",INDEX(APOIO_REDES!$A:$W,MATCH($C601&amp;$I601&amp;$H601&amp;$N601&amp;$O601,APOIO_REDES!$W:$W,0),MATCH(AT$5,APOIO_REDES!$5:$5,0)),0)*$AP601,0)</f>
        <v>1.19937637153933</v>
      </c>
      <c r="AU601" s="153" t="n">
        <f aca="false">IFERROR(IF($N601="VCA",INDEX(APOIO_REDES!$A:$W,MATCH($C601&amp;$I601&amp;$H601&amp;$N601&amp;$O601,APOIO_REDES!$W:$W,0),MATCH(AU$5,APOIO_REDES!$5:$5,0)),0)*$AP601,0)</f>
        <v>0.957789487079629</v>
      </c>
      <c r="AV601" s="153" t="n">
        <f aca="false">IFERROR(IF($N601="VCA",INDEX(APOIO_REDES!$A:$W,MATCH($C601&amp;$I601&amp;$H601&amp;$N601&amp;$O601,APOIO_REDES!$W:$W,0),MATCH(AV$5,APOIO_REDES!$5:$5,0)),0)*$AP601,0)</f>
        <v>0.132550546069544</v>
      </c>
      <c r="AW601" s="153" t="n">
        <f aca="false">IFERROR(IF($N601="VCA",INDEX(APOIO_REDES!$A:$W,MATCH($C601&amp;$I601&amp;$H601&amp;$N601&amp;$O601,APOIO_REDES!$W:$W,0),MATCH(AW$5,APOIO_REDES!$5:$5,0)),0)*$AP601,0)</f>
        <v>75.6653344531621</v>
      </c>
      <c r="AX601" s="153" t="n">
        <f aca="false">IFERROR(IF($N601="VCA",INDEX(APOIO_REDES!$A:$W,MATCH($C601&amp;$I601&amp;$H601&amp;$N601&amp;$O601,APOIO_REDES!$W:$W,0),MATCH(AX$5,APOIO_REDES!$5:$5,0)),0)*$AP601,0)</f>
        <v>10.4718667515326</v>
      </c>
      <c r="AY601" s="153" t="n">
        <f aca="false">IFERROR(IF($N601="VCA",INDEX(APOIO_REDES!$A:$W,MATCH($C601&amp;$I601&amp;$H601&amp;$N601&amp;$O601,APOIO_REDES!$W:$W,0),MATCH(AY$5,APOIO_REDES!$5:$5,0)),0)*$AP601,0)</f>
        <v>19.1557780662164</v>
      </c>
      <c r="AZ601" s="153" t="n">
        <f aca="false">IFERROR(IF($N601="VCA",INDEX(APOIO_REDES!$A:$W,MATCH($C601&amp;$I601&amp;$H601&amp;$N601&amp;$O601,APOIO_REDES!$W:$W,0),MATCH(AZ$5,APOIO_REDES!$5:$5,0)),0)*$AP601,0)</f>
        <v>2.65110432440053</v>
      </c>
      <c r="BA601" s="153" t="n">
        <f aca="false">IFERROR(IF(AND($N601="VCA",$Q601="LINEAR"),INDEX(APOIO_REDES!$A:$W,MATCH($C601&amp;$I601&amp;$H601&amp;$N601&amp;$O601,APOIO_REDES!$W:$W,0),MATCH(BA$5,APOIO_REDES!$5:$5,0)),IF(AND($N601="MND",$Q601="EMBOQUE"),INDEX(APOIO_REDES!$A:$W,MATCH($C601&amp;$I601&amp;$H601&amp;$N601&amp;$O601,APOIO_REDES!$W:$W,0),MATCH(BA$5,APOIO_REDES!$5:$5,0)),0))*$M601/10,0)</f>
        <v>8.4014810629163</v>
      </c>
      <c r="BB601" s="153" t="n">
        <f aca="false">IFERROR(IF($N601="VCA",INDEX(APOIO_REDES!$A:$W,MATCH($C601&amp;$I601&amp;$H601&amp;$N601&amp;$O601,APOIO_REDES!$W:$W,0),MATCH(BB$5,APOIO_REDES!$5:$5,0)),0)*($AI601+$AQ601+$AR601),0)</f>
        <v>39.4379830145496</v>
      </c>
      <c r="BC601" s="153" t="n">
        <f aca="false">IFERROR(IF($N601="VCA",INDEX(APOIO_REDES!$A:$W,MATCH($C601&amp;$I601&amp;$H601&amp;$N601&amp;$O601,APOIO_REDES!$W:$W,0),MATCH(BC$5,APOIO_REDES!$5:$5,0)),0)*($AI601+$AQ601+$AR601),0)</f>
        <v>0.433816985450396</v>
      </c>
      <c r="BD601" s="153" t="n">
        <f aca="false">IF(AND($N601="VCA",$AF601&gt;=1.25,$AF601&lt;1.5),$M601*$AF601*2,0)</f>
        <v>293.9568</v>
      </c>
      <c r="BE601" s="153" t="n">
        <f aca="false">IF(AND($N601="VCA",$AF601&gt;=1.5,$AF601&lt;3),$M601*$AF601*2,0)</f>
        <v>0</v>
      </c>
      <c r="BF601" s="153" t="n">
        <f aca="false">IF(AND($N601="VCA",$AF601&gt;=3),$M601*$AF601*2,0)</f>
        <v>0</v>
      </c>
      <c r="BG601" s="153" t="n">
        <f aca="false">($BB601+$BC601)*$AK601</f>
        <v>63.79488</v>
      </c>
      <c r="BH601" s="153" t="n">
        <f aca="false">IF(AND($M601&lt;&gt;"",$N601="VCA",$Q601="LINEAR"),($M601*2)/100,IF(AND($M601&lt;&gt;"",$N601="MND",$Q601="EMBOQUE"),($AN601*2)/100,0))</f>
        <v>2.0848</v>
      </c>
      <c r="BI601" s="153" t="n">
        <f aca="false">IF(AND($M601&lt;&gt;"",$N601="VCA",$Q601="LINEAR"),$M601,IF(AND($M601&lt;&gt;"",$N601="MND",$Q601="EMBOQUE"),$AN601*2,0))</f>
        <v>104.24</v>
      </c>
      <c r="BJ601" s="153" t="n">
        <f aca="false">IF(AND($M601&lt;&gt;"",$N601="VCA",$Q601="LINEAR"),($M601*6.8)/100,IF(AND($M601&lt;&gt;"",$N601="MND",$Q601="EMBOQUE"),($AN601*2*6.8)/100,0))</f>
        <v>7.08832</v>
      </c>
      <c r="BK601" s="153" t="n">
        <f aca="false">IF(AND($M601&lt;&gt;"",$N601="VCA",$Q601="LINEAR"),($M601*2.5)/50,IF(AND($M601&lt;&gt;"",$N601="MND",$Q601="EMBOQUE"),($AN601*2*2.5)/50,0))</f>
        <v>5.212</v>
      </c>
      <c r="BL601" s="157" t="str">
        <f aca="false">K601&amp;J601</f>
        <v>Zona06REDES</v>
      </c>
      <c r="BM601" s="152" t="s">
        <v>3790</v>
      </c>
      <c r="BN601" s="152" t="s">
        <v>1560</v>
      </c>
      <c r="BO601" s="152" t="s">
        <v>3797</v>
      </c>
      <c r="BP601" s="152" t="s">
        <v>3832</v>
      </c>
      <c r="BQ601" s="152" t="s">
        <v>3833</v>
      </c>
      <c r="BR601" s="152" t="s">
        <v>3834</v>
      </c>
      <c r="BS601" s="152" t="n">
        <v>204105.762</v>
      </c>
      <c r="BT601" s="152" t="n">
        <v>8237342.696</v>
      </c>
      <c r="BU601" s="152" t="n">
        <v>204209.855</v>
      </c>
      <c r="BV601" s="152" t="n">
        <v>8237346.341</v>
      </c>
      <c r="BW601" s="152" t="n">
        <v>-15.9255109</v>
      </c>
      <c r="BX601" s="152" t="n">
        <v>-47.7631605</v>
      </c>
      <c r="BY601" s="152" t="s">
        <v>3832</v>
      </c>
    </row>
    <row r="602" customFormat="false" ht="13.8" hidden="false" customHeight="false" outlineLevel="0" collapsed="false">
      <c r="A602" s="149" t="n">
        <f aca="false">IF(C602&lt;&gt;"",ROW(A597),"")</f>
        <v>597</v>
      </c>
      <c r="B602" s="150" t="str">
        <f aca="false">HYPERLINK("https://www.google.com/maps/dir/-15.917302,-47.760003/-15.9255316,-47.7636461/data=!4m3!4m2!3e0!5i0")</f>
        <v>https://www.google.com/maps/dir/-15.917302,-47.760003/-15.9255316,-47.7636461/data=!4m3!4m2!3e0!5i0</v>
      </c>
      <c r="C602" s="151" t="s">
        <v>117</v>
      </c>
      <c r="D602" s="152" t="s">
        <v>112</v>
      </c>
      <c r="E602" s="152" t="s">
        <v>113</v>
      </c>
      <c r="F602" s="152" t="s">
        <v>117</v>
      </c>
      <c r="G602" s="152" t="s">
        <v>782</v>
      </c>
      <c r="H602" s="152" t="n">
        <v>63</v>
      </c>
      <c r="I602" s="152" t="s">
        <v>115</v>
      </c>
      <c r="J602" s="152" t="s">
        <v>6</v>
      </c>
      <c r="K602" s="152" t="s">
        <v>3786</v>
      </c>
      <c r="L602" s="152" t="s">
        <v>120</v>
      </c>
      <c r="M602" s="153" t="n">
        <f aca="false">5.94</f>
        <v>5.94</v>
      </c>
      <c r="N602" s="152" t="s">
        <v>1548</v>
      </c>
      <c r="O602" s="152" t="s">
        <v>1549</v>
      </c>
      <c r="P602" s="152" t="s">
        <v>1550</v>
      </c>
      <c r="Q602" s="152" t="s">
        <v>1551</v>
      </c>
      <c r="R602" s="154" t="s">
        <v>3835</v>
      </c>
      <c r="S602" s="154" t="s">
        <v>1553</v>
      </c>
      <c r="T602" s="155" t="s">
        <v>3795</v>
      </c>
      <c r="U602" s="152" t="str">
        <f aca="false">RIGHT(T602,7)</f>
        <v>013/037</v>
      </c>
      <c r="V602" s="152" t="s">
        <v>1555</v>
      </c>
      <c r="W602" s="156" t="n">
        <v>45882</v>
      </c>
      <c r="X602" s="152" t="s">
        <v>1594</v>
      </c>
      <c r="Y602" s="152" t="s">
        <v>2276</v>
      </c>
      <c r="Z602" s="152" t="s">
        <v>1557</v>
      </c>
      <c r="AA602" s="153" t="n">
        <v>1.6</v>
      </c>
      <c r="AB602" s="151" t="s">
        <v>3836</v>
      </c>
      <c r="AC602" s="151" t="s">
        <v>186</v>
      </c>
      <c r="AD602" s="151" t="str">
        <f aca="false">CONCATENATE($C602,$I602,$H602,$N602,$J602,$K602)</f>
        <v>TUBO PEADPEAD63VCAREDESZona06</v>
      </c>
      <c r="AE602" s="153" t="n">
        <f aca="false">IFERROR(INDEX(APOIO_REDES!$A:$W,MATCH($C602&amp;$I602&amp;$H602&amp;$N602&amp;$O602,APOIO_REDES!$W:$W,0),MATCH(AE$5,APOIO_REDES!$5:$5,0)),0)</f>
        <v>1.2</v>
      </c>
      <c r="AF602" s="153" t="n">
        <f aca="false">IFERROR(INDEX(APOIO_REDES!$A:$W,MATCH($C602&amp;$I602&amp;$H602&amp;$N602&amp;$O602,APOIO_REDES!$W:$W,0),MATCH(AF$5,APOIO_REDES!$5:$5,0)),0)</f>
        <v>1.363</v>
      </c>
      <c r="AG602" s="153" t="n">
        <f aca="false">IFERROR(INDEX(APOIO_REDES!$A:$W,MATCH($C602&amp;$I602&amp;$H602&amp;$N602&amp;$O602,APOIO_REDES!$W:$W,0),MATCH(AG$5,APOIO_REDES!$5:$5,0)),0)</f>
        <v>0.65</v>
      </c>
      <c r="AH602" s="153" t="n">
        <f aca="false">IFERROR(INDEX(APOIO_REDES!$A:$W,MATCH($C602&amp;$I602&amp;$H602&amp;$N602&amp;$O602,APOIO_REDES!$W:$W,0),MATCH(AH$5,APOIO_REDES!$5:$5,0)),0)</f>
        <v>0.1</v>
      </c>
      <c r="AI602" s="153" t="n">
        <f aca="false">IFERROR(IF($H602&lt;&gt;"",(((($H602/1000)/2)^2)*PI()*$M602),0),0)</f>
        <v>0.0185164371445154</v>
      </c>
      <c r="AJ602" s="153" t="n">
        <f aca="false">IFERROR(IF(AND($H602&lt;&gt;"",$I602="FoFo",OR($N602="MND",$N602="VCA"),$Q602="LINEAR"),0,IF(AND($H602&lt;&gt;"",$I602="PEAD",$N602="VCA",$Q602="LINEAR"),($H602/1000)+0.3,IF(AND($H602&lt;&gt;"",$I602="PEAD",$N602="MND",$Q602="EMBOQUE"),0,IF(AND($H602&lt;&gt;"",$I602="PVC",$N602="VCA",$Q602="LINEAR"),($H602/1000)+0.2,IF(AND($H602&lt;&gt;"",$I602="PVC",$N602="MND",$Q602="EMBOQUE"),0,IF(AND($H602&lt;&gt;"",$I602="PEAD",$N602="VCA",$Q602="PREDIAL"),0,0)))))),0)</f>
        <v>0.363</v>
      </c>
      <c r="AK602" s="153" t="n">
        <f aca="false">IF(AA602&lt;&gt;"",AA602,0)</f>
        <v>1.6</v>
      </c>
      <c r="AL602" s="153" t="n">
        <f aca="false">IF(AND($N602="MND",$Q602="EMBOQUE"),$M602,IF(AND($N602="VCA",$Q602="LINEAR"),$M602,IF(AND($N602="VCA",$Q602="PREDIAL"),0,0)))</f>
        <v>5.94</v>
      </c>
      <c r="AM602" s="153" t="n">
        <f aca="false">IF(AND($N602="MND",$Q602="EMBOQUE"),$M602,IF(AND($N602="VCA",$Q602="LINEAR"),$M602,IF(AND($N602="VCA",$Q602="PREDIAL"),0,0)))</f>
        <v>5.94</v>
      </c>
      <c r="AN602" s="153" t="n">
        <f aca="false">ROUND(IF(AND($N602="VCA",$M602&lt;&gt;"",$Q602="LINEAR"),$M602/100,IF(AND($N602="MND",$M602&gt;100,$Q602="EMBOQUE"),$M602/100,0)),0)</f>
        <v>0</v>
      </c>
      <c r="AO602" s="153" t="n">
        <f aca="false">IF(AND($N602="MND",$Q602="EMBOQUE"),$AN602*2*2,IF(AND($N602="VCA",$Q602="LINEAR"),$M602*2,IF(AND($N602="VCA",$Q602="PREDIAL"),0,0)))</f>
        <v>11.88</v>
      </c>
      <c r="AP602" s="153" t="n">
        <f aca="false">IFERROR($M602*$AF602*$AG602,0)</f>
        <v>5.262543</v>
      </c>
      <c r="AQ602" s="153" t="n">
        <f aca="false">IFERROR(IF(AND($N602="VCA",$AH602&gt;0),$M602*$AG602*$AH602,0),0)</f>
        <v>0.3861</v>
      </c>
      <c r="AR602" s="153" t="n">
        <f aca="false">IFERROR(IF(AND($N602="VCA",$AJ602&gt;0),($M602*$AG602*$AJ602)-$AI602,0),0)</f>
        <v>1.38302656285548</v>
      </c>
      <c r="AS602" s="153" t="n">
        <f aca="false">IFERROR(IF(AND($N602="VCA",$AP602&gt;0),$AP602-$AI602-$AQ602-$AR602,0),0)</f>
        <v>3.4749</v>
      </c>
      <c r="AT602" s="153" t="n">
        <f aca="false">IFERROR(IF($N602="VCA",INDEX(APOIO_REDES!$A:$W,MATCH($C602&amp;$I602&amp;$H602&amp;$N602&amp;$O602,APOIO_REDES!$W:$W,0),MATCH(AT$5,APOIO_REDES!$5:$5,0)),0)*$AP602,0)</f>
        <v>0.0572580254732188</v>
      </c>
      <c r="AU602" s="153" t="n">
        <f aca="false">IFERROR(IF($N602="VCA",INDEX(APOIO_REDES!$A:$W,MATCH($C602&amp;$I602&amp;$H602&amp;$N602&amp;$O602,APOIO_REDES!$W:$W,0),MATCH(AU$5,APOIO_REDES!$5:$5,0)),0)*$AP602,0)</f>
        <v>0.0457247083989166</v>
      </c>
      <c r="AV602" s="153" t="n">
        <f aca="false">IFERROR(IF($N602="VCA",INDEX(APOIO_REDES!$A:$W,MATCH($C602&amp;$I602&amp;$H602&amp;$N602&amp;$O602,APOIO_REDES!$W:$W,0),MATCH(AV$5,APOIO_REDES!$5:$5,0)),0)*$AP602,0)</f>
        <v>0.00632794068937527</v>
      </c>
      <c r="AW602" s="153" t="n">
        <f aca="false">IFERROR(IF($N602="VCA",INDEX(APOIO_REDES!$A:$W,MATCH($C602&amp;$I602&amp;$H602&amp;$N602&amp;$O602,APOIO_REDES!$W:$W,0),MATCH(AW$5,APOIO_REDES!$5:$5,0)),0)*$AP602,0)</f>
        <v>3.61225029137294</v>
      </c>
      <c r="AX602" s="153" t="n">
        <f aca="false">IFERROR(IF($N602="VCA",INDEX(APOIO_REDES!$A:$W,MATCH($C602&amp;$I602&amp;$H602&amp;$N602&amp;$O602,APOIO_REDES!$W:$W,0),MATCH(AX$5,APOIO_REDES!$5:$5,0)),0)*$AP602,0)</f>
        <v>0.499925150636288</v>
      </c>
      <c r="AY602" s="153" t="n">
        <f aca="false">IFERROR(IF($N602="VCA",INDEX(APOIO_REDES!$A:$W,MATCH($C602&amp;$I602&amp;$H602&amp;$N602&amp;$O602,APOIO_REDES!$W:$W,0),MATCH(AY$5,APOIO_REDES!$5:$5,0)),0)*$AP602,0)</f>
        <v>0.914493610597843</v>
      </c>
      <c r="AZ602" s="153" t="n">
        <f aca="false">IFERROR(IF($N602="VCA",INDEX(APOIO_REDES!$A:$W,MATCH($C602&amp;$I602&amp;$H602&amp;$N602&amp;$O602,APOIO_REDES!$W:$W,0),MATCH(AZ$5,APOIO_REDES!$5:$5,0)),0)*$AP602,0)</f>
        <v>0.126563272831416</v>
      </c>
      <c r="BA602" s="153" t="n">
        <f aca="false">IFERROR(IF(AND($N602="VCA",$Q602="LINEAR"),INDEX(APOIO_REDES!$A:$W,MATCH($C602&amp;$I602&amp;$H602&amp;$N602&amp;$O602,APOIO_REDES!$W:$W,0),MATCH(BA$5,APOIO_REDES!$5:$5,0)),IF(AND($N602="MND",$Q602="EMBOQUE"),INDEX(APOIO_REDES!$A:$W,MATCH($C602&amp;$I602&amp;$H602&amp;$N602&amp;$O602,APOIO_REDES!$W:$W,0),MATCH(BA$5,APOIO_REDES!$5:$5,0)),0))*$M602/10,0)</f>
        <v>0.478749016823895</v>
      </c>
      <c r="BB602" s="153" t="n">
        <f aca="false">IFERROR(IF($N602="VCA",INDEX(APOIO_REDES!$A:$W,MATCH($C602&amp;$I602&amp;$H602&amp;$N602&amp;$O602,APOIO_REDES!$W:$W,0),MATCH(BB$5,APOIO_REDES!$5:$5,0)),0)*($AI602+$AQ602+$AR602),0)</f>
        <v>1.76819291504468</v>
      </c>
      <c r="BC602" s="153" t="n">
        <f aca="false">IFERROR(IF($N602="VCA",INDEX(APOIO_REDES!$A:$W,MATCH($C602&amp;$I602&amp;$H602&amp;$N602&amp;$O602,APOIO_REDES!$W:$W,0),MATCH(BC$5,APOIO_REDES!$5:$5,0)),0)*($AI602+$AQ602+$AR602),0)</f>
        <v>0.0194500849553194</v>
      </c>
      <c r="BD602" s="153" t="n">
        <f aca="false">IF(AND($N602="VCA",$AF602&gt;=1.25,$AF602&lt;1.5),$M602*$AF602*2,0)</f>
        <v>16.19244</v>
      </c>
      <c r="BE602" s="153" t="n">
        <f aca="false">IF(AND($N602="VCA",$AF602&gt;=1.5,$AF602&lt;3),$M602*$AF602*2,0)</f>
        <v>0</v>
      </c>
      <c r="BF602" s="153" t="n">
        <f aca="false">IF(AND($N602="VCA",$AF602&gt;=3),$M602*$AF602*2,0)</f>
        <v>0</v>
      </c>
      <c r="BG602" s="153" t="n">
        <f aca="false">($BB602+$BC602)*$AK602</f>
        <v>2.8602288</v>
      </c>
      <c r="BH602" s="153" t="n">
        <f aca="false">IF(AND($M602&lt;&gt;"",$N602="VCA",$Q602="LINEAR"),($M602*2)/100,IF(AND($M602&lt;&gt;"",$N602="MND",$Q602="EMBOQUE"),($AN602*2)/100,0))</f>
        <v>0.1188</v>
      </c>
      <c r="BI602" s="153" t="n">
        <f aca="false">IF(AND($M602&lt;&gt;"",$N602="VCA",$Q602="LINEAR"),$M602,IF(AND($M602&lt;&gt;"",$N602="MND",$Q602="EMBOQUE"),$AN602*2,0))</f>
        <v>5.94</v>
      </c>
      <c r="BJ602" s="153" t="n">
        <f aca="false">IF(AND($M602&lt;&gt;"",$N602="VCA",$Q602="LINEAR"),($M602*6.8)/100,IF(AND($M602&lt;&gt;"",$N602="MND",$Q602="EMBOQUE"),($AN602*2*6.8)/100,0))</f>
        <v>0.40392</v>
      </c>
      <c r="BK602" s="153" t="n">
        <f aca="false">IF(AND($M602&lt;&gt;"",$N602="VCA",$Q602="LINEAR"),($M602*2.5)/50,IF(AND($M602&lt;&gt;"",$N602="MND",$Q602="EMBOQUE"),($AN602*2*2.5)/50,0))</f>
        <v>0.297</v>
      </c>
      <c r="BL602" s="157" t="str">
        <f aca="false">K602&amp;J602</f>
        <v>Zona06REDES</v>
      </c>
      <c r="BM602" s="152" t="s">
        <v>3790</v>
      </c>
      <c r="BN602" s="152" t="s">
        <v>1560</v>
      </c>
      <c r="BO602" s="152" t="s">
        <v>3797</v>
      </c>
      <c r="BP602" s="152" t="s">
        <v>3832</v>
      </c>
      <c r="BQ602" s="152" t="s">
        <v>3837</v>
      </c>
      <c r="BR602" s="152" t="s">
        <v>3838</v>
      </c>
      <c r="BS602" s="152" t="n">
        <v>204105.762</v>
      </c>
      <c r="BT602" s="152" t="n">
        <v>8237342.696</v>
      </c>
      <c r="BU602" s="152" t="n">
        <v>204104.946</v>
      </c>
      <c r="BV602" s="152" t="n">
        <v>8237348.575</v>
      </c>
      <c r="BW602" s="152" t="n">
        <v>-15.925505</v>
      </c>
      <c r="BX602" s="152" t="n">
        <v>-47.7636495</v>
      </c>
      <c r="BY602" s="152" t="s">
        <v>3832</v>
      </c>
    </row>
    <row r="603" customFormat="false" ht="13.8" hidden="false" customHeight="false" outlineLevel="0" collapsed="false">
      <c r="A603" s="149" t="n">
        <f aca="false">IF(C603&lt;&gt;"",ROW(A598),"")</f>
        <v>598</v>
      </c>
      <c r="B603" s="150" t="str">
        <f aca="false">HYPERLINK("https://www.google.com/maps/dir/-15.917302,-47.760003/-15.9255111,-47.7626742/data=!4m3!4m2!3e0!5i0")</f>
        <v>https://www.google.com/maps/dir/-15.917302,-47.760003/-15.9255111,-47.7626742/data=!4m3!4m2!3e0!5i0</v>
      </c>
      <c r="C603" s="151" t="s">
        <v>117</v>
      </c>
      <c r="D603" s="152" t="s">
        <v>112</v>
      </c>
      <c r="E603" s="152" t="s">
        <v>113</v>
      </c>
      <c r="F603" s="152" t="s">
        <v>117</v>
      </c>
      <c r="G603" s="152" t="s">
        <v>782</v>
      </c>
      <c r="H603" s="152" t="n">
        <v>110</v>
      </c>
      <c r="I603" s="152" t="s">
        <v>115</v>
      </c>
      <c r="J603" s="152" t="s">
        <v>6</v>
      </c>
      <c r="K603" s="152" t="s">
        <v>3786</v>
      </c>
      <c r="L603" s="152" t="s">
        <v>120</v>
      </c>
      <c r="M603" s="153" t="n">
        <f aca="false">44.98</f>
        <v>44.98</v>
      </c>
      <c r="N603" s="152" t="s">
        <v>1548</v>
      </c>
      <c r="O603" s="152" t="s">
        <v>1549</v>
      </c>
      <c r="P603" s="152" t="s">
        <v>1550</v>
      </c>
      <c r="Q603" s="152" t="s">
        <v>1551</v>
      </c>
      <c r="R603" s="154" t="s">
        <v>3839</v>
      </c>
      <c r="S603" s="154" t="s">
        <v>1593</v>
      </c>
      <c r="T603" s="155" t="s">
        <v>3795</v>
      </c>
      <c r="U603" s="152" t="str">
        <f aca="false">RIGHT(T603,7)</f>
        <v>013/037</v>
      </c>
      <c r="V603" s="152" t="s">
        <v>1555</v>
      </c>
      <c r="W603" s="156" t="n">
        <v>45882</v>
      </c>
      <c r="X603" s="152" t="s">
        <v>1594</v>
      </c>
      <c r="Y603" s="152" t="s">
        <v>3840</v>
      </c>
      <c r="Z603" s="152" t="s">
        <v>1557</v>
      </c>
      <c r="AA603" s="153" t="n">
        <v>1.5</v>
      </c>
      <c r="AB603" s="151" t="s">
        <v>3841</v>
      </c>
      <c r="AC603" s="151" t="s">
        <v>502</v>
      </c>
      <c r="AD603" s="151" t="str">
        <f aca="false">CONCATENATE($C603,$I603,$H603,$N603,$J603,$K603)</f>
        <v>TUBO PEADPEAD110VCAREDESZona06</v>
      </c>
      <c r="AE603" s="153" t="n">
        <f aca="false">IFERROR(INDEX(APOIO_REDES!$A:$W,MATCH($C603&amp;$I603&amp;$H603&amp;$N603&amp;$O603,APOIO_REDES!$W:$W,0),MATCH(AE$5,APOIO_REDES!$5:$5,0)),0)</f>
        <v>1.2</v>
      </c>
      <c r="AF603" s="153" t="n">
        <f aca="false">IFERROR(INDEX(APOIO_REDES!$A:$W,MATCH($C603&amp;$I603&amp;$H603&amp;$N603&amp;$O603,APOIO_REDES!$W:$W,0),MATCH(AF$5,APOIO_REDES!$5:$5,0)),0)</f>
        <v>1.41</v>
      </c>
      <c r="AG603" s="153" t="n">
        <f aca="false">IFERROR(INDEX(APOIO_REDES!$A:$W,MATCH($C603&amp;$I603&amp;$H603&amp;$N603&amp;$O603,APOIO_REDES!$W:$W,0),MATCH(AG$5,APOIO_REDES!$5:$5,0)),0)</f>
        <v>0.75</v>
      </c>
      <c r="AH603" s="153" t="n">
        <f aca="false">IFERROR(INDEX(APOIO_REDES!$A:$W,MATCH($C603&amp;$I603&amp;$H603&amp;$N603&amp;$O603,APOIO_REDES!$W:$W,0),MATCH(AH$5,APOIO_REDES!$5:$5,0)),0)</f>
        <v>0.1</v>
      </c>
      <c r="AI603" s="153" t="n">
        <f aca="false">IFERROR(IF($H603&lt;&gt;"",(((($H603/1000)/2)^2)*PI()*$M603),0),0)</f>
        <v>0.427459233614368</v>
      </c>
      <c r="AJ603" s="153" t="n">
        <f aca="false">IFERROR(IF(AND($H603&lt;&gt;"",$I603="FoFo",OR($N603="MND",$N603="VCA"),$Q603="LINEAR"),0,IF(AND($H603&lt;&gt;"",$I603="PEAD",$N603="VCA",$Q603="LINEAR"),($H603/1000)+0.3,IF(AND($H603&lt;&gt;"",$I603="PEAD",$N603="MND",$Q603="EMBOQUE"),0,IF(AND($H603&lt;&gt;"",$I603="PVC",$N603="VCA",$Q603="LINEAR"),($H603/1000)+0.2,IF(AND($H603&lt;&gt;"",$I603="PVC",$N603="MND",$Q603="EMBOQUE"),0,IF(AND($H603&lt;&gt;"",$I603="PEAD",$N603="VCA",$Q603="PREDIAL"),0,0)))))),0)</f>
        <v>0.41</v>
      </c>
      <c r="AK603" s="153" t="n">
        <f aca="false">IF(AA603&lt;&gt;"",AA603,0)</f>
        <v>1.5</v>
      </c>
      <c r="AL603" s="153" t="n">
        <f aca="false">IF(AND($N603="MND",$Q603="EMBOQUE"),$M603,IF(AND($N603="VCA",$Q603="LINEAR"),$M603,IF(AND($N603="VCA",$Q603="PREDIAL"),0,0)))</f>
        <v>44.98</v>
      </c>
      <c r="AM603" s="153" t="n">
        <f aca="false">IF(AND($N603="MND",$Q603="EMBOQUE"),$M603,IF(AND($N603="VCA",$Q603="LINEAR"),$M603,IF(AND($N603="VCA",$Q603="PREDIAL"),0,0)))</f>
        <v>44.98</v>
      </c>
      <c r="AN603" s="153" t="n">
        <f aca="false">ROUND(IF(AND($N603="VCA",$M603&lt;&gt;"",$Q603="LINEAR"),$M603/100,IF(AND($N603="MND",$M603&gt;100,$Q603="EMBOQUE"),$M603/100,0)),0)</f>
        <v>0</v>
      </c>
      <c r="AO603" s="153" t="n">
        <f aca="false">IF(AND($N603="MND",$Q603="EMBOQUE"),$AN603*2*2,IF(AND($N603="VCA",$Q603="LINEAR"),$M603*2,IF(AND($N603="VCA",$Q603="PREDIAL"),0,0)))</f>
        <v>89.96</v>
      </c>
      <c r="AP603" s="153" t="n">
        <f aca="false">IFERROR($M603*$AF603*$AG603,0)</f>
        <v>47.56635</v>
      </c>
      <c r="AQ603" s="153" t="n">
        <f aca="false">IFERROR(IF(AND($N603="VCA",$AH603&gt;0),$M603*$AG603*$AH603,0),0)</f>
        <v>3.3735</v>
      </c>
      <c r="AR603" s="153" t="n">
        <f aca="false">IFERROR(IF(AND($N603="VCA",$AJ603&gt;0),($M603*$AG603*$AJ603)-$AI603,0),0)</f>
        <v>13.4038907663856</v>
      </c>
      <c r="AS603" s="153" t="n">
        <f aca="false">IFERROR(IF(AND($N603="VCA",$AP603&gt;0),$AP603-$AI603-$AQ603-$AR603,0),0)</f>
        <v>30.3615</v>
      </c>
      <c r="AT603" s="153" t="n">
        <f aca="false">IFERROR(IF($N603="VCA",INDEX(APOIO_REDES!$A:$W,MATCH($C603&amp;$I603&amp;$H603&amp;$N603&amp;$O603,APOIO_REDES!$W:$W,0),MATCH(AT$5,APOIO_REDES!$5:$5,0)),0)*$AP603,0)</f>
        <v>0.517535966920943</v>
      </c>
      <c r="AU603" s="153" t="n">
        <f aca="false">IFERROR(IF($N603="VCA",INDEX(APOIO_REDES!$A:$W,MATCH($C603&amp;$I603&amp;$H603&amp;$N603&amp;$O603,APOIO_REDES!$W:$W,0),MATCH(AU$5,APOIO_REDES!$5:$5,0)),0)*$AP603,0)</f>
        <v>0.413290206531482</v>
      </c>
      <c r="AV603" s="153" t="n">
        <f aca="false">IFERROR(IF($N603="VCA",INDEX(APOIO_REDES!$A:$W,MATCH($C603&amp;$I603&amp;$H603&amp;$N603&amp;$O603,APOIO_REDES!$W:$W,0),MATCH(AV$5,APOIO_REDES!$5:$5,0)),0)*$AP603,0)</f>
        <v>0.057196120128627</v>
      </c>
      <c r="AW603" s="153" t="n">
        <f aca="false">IFERROR(IF($N603="VCA",INDEX(APOIO_REDES!$A:$W,MATCH($C603&amp;$I603&amp;$H603&amp;$N603&amp;$O603,APOIO_REDES!$W:$W,0),MATCH(AW$5,APOIO_REDES!$5:$5,0)),0)*$AP603,0)</f>
        <v>32.6499112020647</v>
      </c>
      <c r="AX603" s="153" t="n">
        <f aca="false">IFERROR(IF($N603="VCA",INDEX(APOIO_REDES!$A:$W,MATCH($C603&amp;$I603&amp;$H603&amp;$N603&amp;$O603,APOIO_REDES!$W:$W,0),MATCH(AX$5,APOIO_REDES!$5:$5,0)),0)*$AP603,0)</f>
        <v>4.51865470533322</v>
      </c>
      <c r="AY603" s="153" t="n">
        <f aca="false">IFERROR(IF($N603="VCA",INDEX(APOIO_REDES!$A:$W,MATCH($C603&amp;$I603&amp;$H603&amp;$N603&amp;$O603,APOIO_REDES!$W:$W,0),MATCH(AY$5,APOIO_REDES!$5:$5,0)),0)*$AP603,0)</f>
        <v>8.26579909265553</v>
      </c>
      <c r="AZ603" s="153" t="n">
        <f aca="false">IFERROR(IF($N603="VCA",INDEX(APOIO_REDES!$A:$W,MATCH($C603&amp;$I603&amp;$H603&amp;$N603&amp;$O603,APOIO_REDES!$W:$W,0),MATCH(AZ$5,APOIO_REDES!$5:$5,0)),0)*$AP603,0)</f>
        <v>1.14396270636546</v>
      </c>
      <c r="BA603" s="153" t="n">
        <f aca="false">IFERROR(IF(AND($N603="VCA",$Q603="LINEAR"),INDEX(APOIO_REDES!$A:$W,MATCH($C603&amp;$I603&amp;$H603&amp;$N603&amp;$O603,APOIO_REDES!$W:$W,0),MATCH(BA$5,APOIO_REDES!$5:$5,0)),IF(AND($N603="MND",$Q603="EMBOQUE"),INDEX(APOIO_REDES!$A:$W,MATCH($C603&amp;$I603&amp;$H603&amp;$N603&amp;$O603,APOIO_REDES!$W:$W,0),MATCH(BA$5,APOIO_REDES!$5:$5,0)),0))*$M603/10,0)</f>
        <v>3.62527454153852</v>
      </c>
      <c r="BB603" s="153" t="n">
        <f aca="false">IFERROR(IF($N603="VCA",INDEX(APOIO_REDES!$A:$W,MATCH($C603&amp;$I603&amp;$H603&amp;$N603&amp;$O603,APOIO_REDES!$W:$W,0),MATCH(BB$5,APOIO_REDES!$5:$5,0)),0)*($AI603+$AQ603+$AR603),0)</f>
        <v>17.0176561396243</v>
      </c>
      <c r="BC603" s="153" t="n">
        <f aca="false">IFERROR(IF($N603="VCA",INDEX(APOIO_REDES!$A:$W,MATCH($C603&amp;$I603&amp;$H603&amp;$N603&amp;$O603,APOIO_REDES!$W:$W,0),MATCH(BC$5,APOIO_REDES!$5:$5,0)),0)*($AI603+$AQ603+$AR603),0)</f>
        <v>0.18719386037566</v>
      </c>
      <c r="BD603" s="153" t="n">
        <f aca="false">IF(AND($N603="VCA",$AF603&gt;=1.25,$AF603&lt;1.5),$M603*$AF603*2,0)</f>
        <v>126.8436</v>
      </c>
      <c r="BE603" s="153" t="n">
        <f aca="false">IF(AND($N603="VCA",$AF603&gt;=1.5,$AF603&lt;3),$M603*$AF603*2,0)</f>
        <v>0</v>
      </c>
      <c r="BF603" s="153" t="n">
        <f aca="false">IF(AND($N603="VCA",$AF603&gt;=3),$M603*$AF603*2,0)</f>
        <v>0</v>
      </c>
      <c r="BG603" s="153" t="n">
        <f aca="false">($BB603+$BC603)*$AK603</f>
        <v>25.807275</v>
      </c>
      <c r="BH603" s="153" t="n">
        <f aca="false">IF(AND($M603&lt;&gt;"",$N603="VCA",$Q603="LINEAR"),($M603*2)/100,IF(AND($M603&lt;&gt;"",$N603="MND",$Q603="EMBOQUE"),($AN603*2)/100,0))</f>
        <v>0.8996</v>
      </c>
      <c r="BI603" s="153" t="n">
        <f aca="false">IF(AND($M603&lt;&gt;"",$N603="VCA",$Q603="LINEAR"),$M603,IF(AND($M603&lt;&gt;"",$N603="MND",$Q603="EMBOQUE"),$AN603*2,0))</f>
        <v>44.98</v>
      </c>
      <c r="BJ603" s="153" t="n">
        <f aca="false">IF(AND($M603&lt;&gt;"",$N603="VCA",$Q603="LINEAR"),($M603*6.8)/100,IF(AND($M603&lt;&gt;"",$N603="MND",$Q603="EMBOQUE"),($AN603*2*6.8)/100,0))</f>
        <v>3.05864</v>
      </c>
      <c r="BK603" s="153" t="n">
        <f aca="false">IF(AND($M603&lt;&gt;"",$N603="VCA",$Q603="LINEAR"),($M603*2.5)/50,IF(AND($M603&lt;&gt;"",$N603="MND",$Q603="EMBOQUE"),($AN603*2*2.5)/50,0))</f>
        <v>2.249</v>
      </c>
      <c r="BL603" s="157" t="str">
        <f aca="false">K603&amp;J603</f>
        <v>Zona06REDES</v>
      </c>
      <c r="BM603" s="152" t="s">
        <v>3790</v>
      </c>
      <c r="BN603" s="152" t="s">
        <v>1560</v>
      </c>
      <c r="BO603" s="152" t="s">
        <v>3797</v>
      </c>
      <c r="BP603" s="152" t="s">
        <v>3833</v>
      </c>
      <c r="BQ603" s="152" t="s">
        <v>3842</v>
      </c>
      <c r="BR603" s="152" t="s">
        <v>3843</v>
      </c>
      <c r="BS603" s="152" t="n">
        <v>204209.855</v>
      </c>
      <c r="BT603" s="152" t="n">
        <v>8237346.341</v>
      </c>
      <c r="BU603" s="152" t="n">
        <v>204254.753</v>
      </c>
      <c r="BV603" s="152" t="n">
        <v>8237343.69</v>
      </c>
      <c r="BW603" s="152" t="n">
        <v>-15.9255247</v>
      </c>
      <c r="BX603" s="152" t="n">
        <v>-47.7624648</v>
      </c>
      <c r="BY603" s="152" t="s">
        <v>3833</v>
      </c>
    </row>
    <row r="604" customFormat="false" ht="13.8" hidden="false" customHeight="false" outlineLevel="0" collapsed="false">
      <c r="A604" s="149" t="n">
        <f aca="false">IF(C604&lt;&gt;"",ROW(A599),"")</f>
        <v>599</v>
      </c>
      <c r="B604" s="150" t="str">
        <f aca="false">HYPERLINK("https://www.google.com/maps/dir/-15.917302,-47.760003/-15.9255404,-47.7622556/data=!4m3!4m2!3e0!5i0")</f>
        <v>https://www.google.com/maps/dir/-15.917302,-47.760003/-15.9255404,-47.7622556/data=!4m3!4m2!3e0!5i0</v>
      </c>
      <c r="C604" s="151" t="s">
        <v>117</v>
      </c>
      <c r="D604" s="152" t="s">
        <v>112</v>
      </c>
      <c r="E604" s="152" t="s">
        <v>113</v>
      </c>
      <c r="F604" s="152" t="s">
        <v>117</v>
      </c>
      <c r="G604" s="152" t="s">
        <v>782</v>
      </c>
      <c r="H604" s="152" t="n">
        <v>110</v>
      </c>
      <c r="I604" s="152" t="s">
        <v>115</v>
      </c>
      <c r="J604" s="152" t="s">
        <v>6</v>
      </c>
      <c r="K604" s="152" t="s">
        <v>3786</v>
      </c>
      <c r="L604" s="152" t="s">
        <v>120</v>
      </c>
      <c r="M604" s="153" t="n">
        <f aca="false">3.11</f>
        <v>3.11</v>
      </c>
      <c r="N604" s="152" t="s">
        <v>1548</v>
      </c>
      <c r="O604" s="152" t="s">
        <v>1549</v>
      </c>
      <c r="P604" s="152" t="s">
        <v>1550</v>
      </c>
      <c r="Q604" s="152" t="s">
        <v>1551</v>
      </c>
      <c r="R604" s="154" t="s">
        <v>3844</v>
      </c>
      <c r="S604" s="154" t="s">
        <v>1593</v>
      </c>
      <c r="T604" s="155" t="s">
        <v>3795</v>
      </c>
      <c r="U604" s="152" t="str">
        <f aca="false">RIGHT(T604,7)</f>
        <v>013/037</v>
      </c>
      <c r="V604" s="152" t="s">
        <v>1555</v>
      </c>
      <c r="W604" s="156" t="n">
        <v>45882</v>
      </c>
      <c r="X604" s="152" t="s">
        <v>1594</v>
      </c>
      <c r="Y604" s="152" t="s">
        <v>2276</v>
      </c>
      <c r="Z604" s="152" t="s">
        <v>1557</v>
      </c>
      <c r="AA604" s="153" t="n">
        <v>1.4</v>
      </c>
      <c r="AB604" s="151" t="s">
        <v>3845</v>
      </c>
      <c r="AC604" s="151" t="s">
        <v>502</v>
      </c>
      <c r="AD604" s="151" t="str">
        <f aca="false">CONCATENATE($C604,$I604,$H604,$N604,$J604,$K604)</f>
        <v>TUBO PEADPEAD110VCAREDESZona06</v>
      </c>
      <c r="AE604" s="153" t="n">
        <f aca="false">IFERROR(INDEX(APOIO_REDES!$A:$W,MATCH($C604&amp;$I604&amp;$H604&amp;$N604&amp;$O604,APOIO_REDES!$W:$W,0),MATCH(AE$5,APOIO_REDES!$5:$5,0)),0)</f>
        <v>1.2</v>
      </c>
      <c r="AF604" s="153" t="n">
        <f aca="false">IFERROR(INDEX(APOIO_REDES!$A:$W,MATCH($C604&amp;$I604&amp;$H604&amp;$N604&amp;$O604,APOIO_REDES!$W:$W,0),MATCH(AF$5,APOIO_REDES!$5:$5,0)),0)</f>
        <v>1.41</v>
      </c>
      <c r="AG604" s="153" t="n">
        <f aca="false">IFERROR(INDEX(APOIO_REDES!$A:$W,MATCH($C604&amp;$I604&amp;$H604&amp;$N604&amp;$O604,APOIO_REDES!$W:$W,0),MATCH(AG$5,APOIO_REDES!$5:$5,0)),0)</f>
        <v>0.75</v>
      </c>
      <c r="AH604" s="153" t="n">
        <f aca="false">IFERROR(INDEX(APOIO_REDES!$A:$W,MATCH($C604&amp;$I604&amp;$H604&amp;$N604&amp;$O604,APOIO_REDES!$W:$W,0),MATCH(AH$5,APOIO_REDES!$5:$5,0)),0)</f>
        <v>0.1</v>
      </c>
      <c r="AI604" s="153" t="n">
        <f aca="false">IFERROR(IF($H604&lt;&gt;"",(((($H604/1000)/2)^2)*PI()*$M604),0),0)</f>
        <v>0.0295553182868094</v>
      </c>
      <c r="AJ604" s="153" t="n">
        <f aca="false">IFERROR(IF(AND($H604&lt;&gt;"",$I604="FoFo",OR($N604="MND",$N604="VCA"),$Q604="LINEAR"),0,IF(AND($H604&lt;&gt;"",$I604="PEAD",$N604="VCA",$Q604="LINEAR"),($H604/1000)+0.3,IF(AND($H604&lt;&gt;"",$I604="PEAD",$N604="MND",$Q604="EMBOQUE"),0,IF(AND($H604&lt;&gt;"",$I604="PVC",$N604="VCA",$Q604="LINEAR"),($H604/1000)+0.2,IF(AND($H604&lt;&gt;"",$I604="PVC",$N604="MND",$Q604="EMBOQUE"),0,IF(AND($H604&lt;&gt;"",$I604="PEAD",$N604="VCA",$Q604="PREDIAL"),0,0)))))),0)</f>
        <v>0.41</v>
      </c>
      <c r="AK604" s="153" t="n">
        <f aca="false">IF(AA604&lt;&gt;"",AA604,0)</f>
        <v>1.4</v>
      </c>
      <c r="AL604" s="153" t="n">
        <f aca="false">IF(AND($N604="MND",$Q604="EMBOQUE"),$M604,IF(AND($N604="VCA",$Q604="LINEAR"),$M604,IF(AND($N604="VCA",$Q604="PREDIAL"),0,0)))</f>
        <v>3.11</v>
      </c>
      <c r="AM604" s="153" t="n">
        <f aca="false">IF(AND($N604="MND",$Q604="EMBOQUE"),$M604,IF(AND($N604="VCA",$Q604="LINEAR"),$M604,IF(AND($N604="VCA",$Q604="PREDIAL"),0,0)))</f>
        <v>3.11</v>
      </c>
      <c r="AN604" s="153" t="n">
        <f aca="false">ROUND(IF(AND($N604="VCA",$M604&lt;&gt;"",$Q604="LINEAR"),$M604/100,IF(AND($N604="MND",$M604&gt;100,$Q604="EMBOQUE"),$M604/100,0)),0)</f>
        <v>0</v>
      </c>
      <c r="AO604" s="153" t="n">
        <f aca="false">IF(AND($N604="MND",$Q604="EMBOQUE"),$AN604*2*2,IF(AND($N604="VCA",$Q604="LINEAR"),$M604*2,IF(AND($N604="VCA",$Q604="PREDIAL"),0,0)))</f>
        <v>6.22</v>
      </c>
      <c r="AP604" s="153" t="n">
        <f aca="false">IFERROR($M604*$AF604*$AG604,0)</f>
        <v>3.288825</v>
      </c>
      <c r="AQ604" s="153" t="n">
        <f aca="false">IFERROR(IF(AND($N604="VCA",$AH604&gt;0),$M604*$AG604*$AH604,0),0)</f>
        <v>0.23325</v>
      </c>
      <c r="AR604" s="153" t="n">
        <f aca="false">IFERROR(IF(AND($N604="VCA",$AJ604&gt;0),($M604*$AG604*$AJ604)-$AI604,0),0)</f>
        <v>0.926769681713191</v>
      </c>
      <c r="AS604" s="153" t="n">
        <f aca="false">IFERROR(IF(AND($N604="VCA",$AP604&gt;0),$AP604-$AI604-$AQ604-$AR604,0),0)</f>
        <v>2.09925</v>
      </c>
      <c r="AT604" s="153" t="n">
        <f aca="false">IFERROR(IF($N604="VCA",INDEX(APOIO_REDES!$A:$W,MATCH($C604&amp;$I604&amp;$H604&amp;$N604&amp;$O604,APOIO_REDES!$W:$W,0),MATCH(AT$5,APOIO_REDES!$5:$5,0)),0)*$AP604,0)</f>
        <v>0.0357833894425107</v>
      </c>
      <c r="AU604" s="153" t="n">
        <f aca="false">IFERROR(IF($N604="VCA",INDEX(APOIO_REDES!$A:$W,MATCH($C604&amp;$I604&amp;$H604&amp;$N604&amp;$O604,APOIO_REDES!$W:$W,0),MATCH(AU$5,APOIO_REDES!$5:$5,0)),0)*$AP604,0)</f>
        <v>0.0285756456716965</v>
      </c>
      <c r="AV604" s="153" t="n">
        <f aca="false">IFERROR(IF($N604="VCA",INDEX(APOIO_REDES!$A:$W,MATCH($C604&amp;$I604&amp;$H604&amp;$N604&amp;$O604,APOIO_REDES!$W:$W,0),MATCH(AV$5,APOIO_REDES!$5:$5,0)),0)*$AP604,0)</f>
        <v>0.00395464503334882</v>
      </c>
      <c r="AW604" s="153" t="n">
        <f aca="false">IFERROR(IF($N604="VCA",INDEX(APOIO_REDES!$A:$W,MATCH($C604&amp;$I604&amp;$H604&amp;$N604&amp;$O604,APOIO_REDES!$W:$W,0),MATCH(AW$5,APOIO_REDES!$5:$5,0)),0)*$AP604,0)</f>
        <v>2.25747496305961</v>
      </c>
      <c r="AX604" s="153" t="n">
        <f aca="false">IFERROR(IF($N604="VCA",INDEX(APOIO_REDES!$A:$W,MATCH($C604&amp;$I604&amp;$H604&amp;$N604&amp;$O604,APOIO_REDES!$W:$W,0),MATCH(AX$5,APOIO_REDES!$5:$5,0)),0)*$AP604,0)</f>
        <v>0.312428104348295</v>
      </c>
      <c r="AY604" s="153" t="n">
        <f aca="false">IFERROR(IF($N604="VCA",INDEX(APOIO_REDES!$A:$W,MATCH($C604&amp;$I604&amp;$H604&amp;$N604&amp;$O604,APOIO_REDES!$W:$W,0),MATCH(AY$5,APOIO_REDES!$5:$5,0)),0)*$AP604,0)</f>
        <v>0.571512565099126</v>
      </c>
      <c r="AZ604" s="153" t="n">
        <f aca="false">IFERROR(IF($N604="VCA",INDEX(APOIO_REDES!$A:$W,MATCH($C604&amp;$I604&amp;$H604&amp;$N604&amp;$O604,APOIO_REDES!$W:$W,0),MATCH(AZ$5,APOIO_REDES!$5:$5,0)),0)*$AP604,0)</f>
        <v>0.0790956873454109</v>
      </c>
      <c r="BA604" s="153" t="n">
        <f aca="false">IFERROR(IF(AND($N604="VCA",$Q604="LINEAR"),INDEX(APOIO_REDES!$A:$W,MATCH($C604&amp;$I604&amp;$H604&amp;$N604&amp;$O604,APOIO_REDES!$W:$W,0),MATCH(BA$5,APOIO_REDES!$5:$5,0)),IF(AND($N604="MND",$Q604="EMBOQUE"),INDEX(APOIO_REDES!$A:$W,MATCH($C604&amp;$I604&amp;$H604&amp;$N604&amp;$O604,APOIO_REDES!$W:$W,0),MATCH(BA$5,APOIO_REDES!$5:$5,0)),0))*$M604/10,0)</f>
        <v>0.250658155273117</v>
      </c>
      <c r="BB604" s="153" t="n">
        <f aca="false">IFERROR(IF($N604="VCA",INDEX(APOIO_REDES!$A:$W,MATCH($C604&amp;$I604&amp;$H604&amp;$N604&amp;$O604,APOIO_REDES!$W:$W,0),MATCH(BB$5,APOIO_REDES!$5:$5,0)),0)*($AI604+$AQ604+$AR604),0)</f>
        <v>1.17663207190377</v>
      </c>
      <c r="BC604" s="153" t="n">
        <f aca="false">IFERROR(IF($N604="VCA",INDEX(APOIO_REDES!$A:$W,MATCH($C604&amp;$I604&amp;$H604&amp;$N604&amp;$O604,APOIO_REDES!$W:$W,0),MATCH(BC$5,APOIO_REDES!$5:$5,0)),0)*($AI604+$AQ604+$AR604),0)</f>
        <v>0.0129429280962273</v>
      </c>
      <c r="BD604" s="153" t="n">
        <f aca="false">IF(AND($N604="VCA",$AF604&gt;=1.25,$AF604&lt;1.5),$M604*$AF604*2,0)</f>
        <v>8.7702</v>
      </c>
      <c r="BE604" s="153" t="n">
        <f aca="false">IF(AND($N604="VCA",$AF604&gt;=1.5,$AF604&lt;3),$M604*$AF604*2,0)</f>
        <v>0</v>
      </c>
      <c r="BF604" s="153" t="n">
        <f aca="false">IF(AND($N604="VCA",$AF604&gt;=3),$M604*$AF604*2,0)</f>
        <v>0</v>
      </c>
      <c r="BG604" s="153" t="n">
        <f aca="false">($BB604+$BC604)*$AK604</f>
        <v>1.665405</v>
      </c>
      <c r="BH604" s="153" t="n">
        <f aca="false">IF(AND($M604&lt;&gt;"",$N604="VCA",$Q604="LINEAR"),($M604*2)/100,IF(AND($M604&lt;&gt;"",$N604="MND",$Q604="EMBOQUE"),($AN604*2)/100,0))</f>
        <v>0.0622</v>
      </c>
      <c r="BI604" s="153" t="n">
        <f aca="false">IF(AND($M604&lt;&gt;"",$N604="VCA",$Q604="LINEAR"),$M604,IF(AND($M604&lt;&gt;"",$N604="MND",$Q604="EMBOQUE"),$AN604*2,0))</f>
        <v>3.11</v>
      </c>
      <c r="BJ604" s="153" t="n">
        <f aca="false">IF(AND($M604&lt;&gt;"",$N604="VCA",$Q604="LINEAR"),($M604*6.8)/100,IF(AND($M604&lt;&gt;"",$N604="MND",$Q604="EMBOQUE"),($AN604*2*6.8)/100,0))</f>
        <v>0.21148</v>
      </c>
      <c r="BK604" s="153" t="n">
        <f aca="false">IF(AND($M604&lt;&gt;"",$N604="VCA",$Q604="LINEAR"),($M604*2.5)/50,IF(AND($M604&lt;&gt;"",$N604="MND",$Q604="EMBOQUE"),($AN604*2*2.5)/50,0))</f>
        <v>0.1555</v>
      </c>
      <c r="BL604" s="157" t="str">
        <f aca="false">K604&amp;J604</f>
        <v>Zona06REDES</v>
      </c>
      <c r="BM604" s="152" t="s">
        <v>3790</v>
      </c>
      <c r="BN604" s="152" t="s">
        <v>1560</v>
      </c>
      <c r="BO604" s="152" t="s">
        <v>3797</v>
      </c>
      <c r="BP604" s="152" t="s">
        <v>3842</v>
      </c>
      <c r="BQ604" s="152" t="s">
        <v>3824</v>
      </c>
      <c r="BR604" s="152" t="s">
        <v>3846</v>
      </c>
      <c r="BS604" s="152" t="n">
        <v>204254.753</v>
      </c>
      <c r="BT604" s="152" t="n">
        <v>8237343.69</v>
      </c>
      <c r="BU604" s="152" t="n">
        <v>204257.86</v>
      </c>
      <c r="BV604" s="152" t="n">
        <v>8237343.506</v>
      </c>
      <c r="BW604" s="152" t="n">
        <v>-15.9255414</v>
      </c>
      <c r="BX604" s="152" t="n">
        <v>-47.7622411</v>
      </c>
      <c r="BY604" s="152" t="s">
        <v>3842</v>
      </c>
    </row>
    <row r="605" customFormat="false" ht="13.8" hidden="false" customHeight="false" outlineLevel="0" collapsed="false">
      <c r="A605" s="149" t="n">
        <f aca="false">IF(C605&lt;&gt;"",ROW(A600),"")</f>
        <v>600</v>
      </c>
      <c r="B605" s="150" t="str">
        <f aca="false">HYPERLINK("https://www.google.com/maps/dir/-15.917302,-47.760003/-15.9256327,-47.7642556/data=!4m3!4m2!3e0!5i0")</f>
        <v>https://www.google.com/maps/dir/-15.917302,-47.760003/-15.9256327,-47.7642556/data=!4m3!4m2!3e0!5i0</v>
      </c>
      <c r="C605" s="151" t="s">
        <v>117</v>
      </c>
      <c r="D605" s="152" t="s">
        <v>112</v>
      </c>
      <c r="E605" s="152" t="s">
        <v>113</v>
      </c>
      <c r="F605" s="152" t="s">
        <v>117</v>
      </c>
      <c r="G605" s="152" t="s">
        <v>782</v>
      </c>
      <c r="H605" s="152" t="n">
        <v>63</v>
      </c>
      <c r="I605" s="152" t="s">
        <v>115</v>
      </c>
      <c r="J605" s="152" t="s">
        <v>6</v>
      </c>
      <c r="K605" s="152" t="s">
        <v>3786</v>
      </c>
      <c r="L605" s="152" t="s">
        <v>120</v>
      </c>
      <c r="M605" s="153" t="n">
        <f aca="false">37.52</f>
        <v>37.52</v>
      </c>
      <c r="N605" s="152" t="s">
        <v>1548</v>
      </c>
      <c r="O605" s="152" t="s">
        <v>1549</v>
      </c>
      <c r="P605" s="152" t="s">
        <v>1550</v>
      </c>
      <c r="Q605" s="152" t="s">
        <v>1551</v>
      </c>
      <c r="R605" s="154" t="s">
        <v>3847</v>
      </c>
      <c r="S605" s="154" t="s">
        <v>1553</v>
      </c>
      <c r="T605" s="155" t="s">
        <v>3795</v>
      </c>
      <c r="U605" s="152" t="str">
        <f aca="false">RIGHT(T605,7)</f>
        <v>013/037</v>
      </c>
      <c r="V605" s="152" t="s">
        <v>1555</v>
      </c>
      <c r="W605" s="156" t="n">
        <v>45882</v>
      </c>
      <c r="X605" s="152" t="s">
        <v>1594</v>
      </c>
      <c r="Y605" s="152" t="s">
        <v>3743</v>
      </c>
      <c r="Z605" s="152" t="s">
        <v>1557</v>
      </c>
      <c r="AA605" s="153" t="n">
        <v>1.6</v>
      </c>
      <c r="AB605" s="151" t="s">
        <v>3848</v>
      </c>
      <c r="AC605" s="151" t="s">
        <v>186</v>
      </c>
      <c r="AD605" s="151" t="str">
        <f aca="false">CONCATENATE($C605,$I605,$H605,$N605,$J605,$K605)</f>
        <v>TUBO PEADPEAD63VCAREDESZona06</v>
      </c>
      <c r="AE605" s="153" t="n">
        <f aca="false">IFERROR(INDEX(APOIO_REDES!$A:$W,MATCH($C605&amp;$I605&amp;$H605&amp;$N605&amp;$O605,APOIO_REDES!$W:$W,0),MATCH(AE$5,APOIO_REDES!$5:$5,0)),0)</f>
        <v>1.2</v>
      </c>
      <c r="AF605" s="153" t="n">
        <f aca="false">IFERROR(INDEX(APOIO_REDES!$A:$W,MATCH($C605&amp;$I605&amp;$H605&amp;$N605&amp;$O605,APOIO_REDES!$W:$W,0),MATCH(AF$5,APOIO_REDES!$5:$5,0)),0)</f>
        <v>1.363</v>
      </c>
      <c r="AG605" s="153" t="n">
        <f aca="false">IFERROR(INDEX(APOIO_REDES!$A:$W,MATCH($C605&amp;$I605&amp;$H605&amp;$N605&amp;$O605,APOIO_REDES!$W:$W,0),MATCH(AG$5,APOIO_REDES!$5:$5,0)),0)</f>
        <v>0.65</v>
      </c>
      <c r="AH605" s="153" t="n">
        <f aca="false">IFERROR(INDEX(APOIO_REDES!$A:$W,MATCH($C605&amp;$I605&amp;$H605&amp;$N605&amp;$O605,APOIO_REDES!$W:$W,0),MATCH(AH$5,APOIO_REDES!$5:$5,0)),0)</f>
        <v>0.1</v>
      </c>
      <c r="AI605" s="153" t="n">
        <f aca="false">IFERROR(IF($H605&lt;&gt;"",(((($H605/1000)/2)^2)*PI()*$M605),0),0)</f>
        <v>0.116959044050878</v>
      </c>
      <c r="AJ605" s="153" t="n">
        <f aca="false">IFERROR(IF(AND($H605&lt;&gt;"",$I605="FoFo",OR($N605="MND",$N605="VCA"),$Q605="LINEAR"),0,IF(AND($H605&lt;&gt;"",$I605="PEAD",$N605="VCA",$Q605="LINEAR"),($H605/1000)+0.3,IF(AND($H605&lt;&gt;"",$I605="PEAD",$N605="MND",$Q605="EMBOQUE"),0,IF(AND($H605&lt;&gt;"",$I605="PVC",$N605="VCA",$Q605="LINEAR"),($H605/1000)+0.2,IF(AND($H605&lt;&gt;"",$I605="PVC",$N605="MND",$Q605="EMBOQUE"),0,IF(AND($H605&lt;&gt;"",$I605="PEAD",$N605="VCA",$Q605="PREDIAL"),0,0)))))),0)</f>
        <v>0.363</v>
      </c>
      <c r="AK605" s="153" t="n">
        <f aca="false">IF(AA605&lt;&gt;"",AA605,0)</f>
        <v>1.6</v>
      </c>
      <c r="AL605" s="153" t="n">
        <f aca="false">IF(AND($N605="MND",$Q605="EMBOQUE"),$M605,IF(AND($N605="VCA",$Q605="LINEAR"),$M605,IF(AND($N605="VCA",$Q605="PREDIAL"),0,0)))</f>
        <v>37.52</v>
      </c>
      <c r="AM605" s="153" t="n">
        <f aca="false">IF(AND($N605="MND",$Q605="EMBOQUE"),$M605,IF(AND($N605="VCA",$Q605="LINEAR"),$M605,IF(AND($N605="VCA",$Q605="PREDIAL"),0,0)))</f>
        <v>37.52</v>
      </c>
      <c r="AN605" s="153" t="n">
        <f aca="false">ROUND(IF(AND($N605="VCA",$M605&lt;&gt;"",$Q605="LINEAR"),$M605/100,IF(AND($N605="MND",$M605&gt;100,$Q605="EMBOQUE"),$M605/100,0)),0)</f>
        <v>0</v>
      </c>
      <c r="AO605" s="153" t="n">
        <f aca="false">IF(AND($N605="MND",$Q605="EMBOQUE"),$AN605*2*2,IF(AND($N605="VCA",$Q605="LINEAR"),$M605*2,IF(AND($N605="VCA",$Q605="PREDIAL"),0,0)))</f>
        <v>75.04</v>
      </c>
      <c r="AP605" s="153" t="n">
        <f aca="false">IFERROR($M605*$AF605*$AG605,0)</f>
        <v>33.240844</v>
      </c>
      <c r="AQ605" s="153" t="n">
        <f aca="false">IFERROR(IF(AND($N605="VCA",$AH605&gt;0),$M605*$AG605*$AH605,0),0)</f>
        <v>2.4388</v>
      </c>
      <c r="AR605" s="153" t="n">
        <f aca="false">IFERROR(IF(AND($N605="VCA",$AJ605&gt;0),($M605*$AG605*$AJ605)-$AI605,0),0)</f>
        <v>8.73588495594912</v>
      </c>
      <c r="AS605" s="153" t="n">
        <f aca="false">IFERROR(IF(AND($N605="VCA",$AP605&gt;0),$AP605-$AI605-$AQ605-$AR605,0),0)</f>
        <v>21.9492</v>
      </c>
      <c r="AT605" s="153" t="n">
        <f aca="false">IFERROR(IF($N605="VCA",INDEX(APOIO_REDES!$A:$W,MATCH($C605&amp;$I605&amp;$H605&amp;$N605&amp;$O605,APOIO_REDES!$W:$W,0),MATCH(AT$5,APOIO_REDES!$5:$5,0)),0)*$AP605,0)</f>
        <v>0.361670221507604</v>
      </c>
      <c r="AU605" s="153" t="n">
        <f aca="false">IFERROR(IF($N605="VCA",INDEX(APOIO_REDES!$A:$W,MATCH($C605&amp;$I605&amp;$H605&amp;$N605&amp;$O605,APOIO_REDES!$W:$W,0),MATCH(AU$5,APOIO_REDES!$5:$5,0)),0)*$AP605,0)</f>
        <v>0.288820043624133</v>
      </c>
      <c r="AV605" s="153" t="n">
        <f aca="false">IFERROR(IF($N605="VCA",INDEX(APOIO_REDES!$A:$W,MATCH($C605&amp;$I605&amp;$H605&amp;$N605&amp;$O605,APOIO_REDES!$W:$W,0),MATCH(AV$5,APOIO_REDES!$5:$5,0)),0)*$AP605,0)</f>
        <v>0.0399704267113401</v>
      </c>
      <c r="AW605" s="153" t="n">
        <f aca="false">IFERROR(IF($N605="VCA",INDEX(APOIO_REDES!$A:$W,MATCH($C605&amp;$I605&amp;$H605&amp;$N605&amp;$O605,APOIO_REDES!$W:$W,0),MATCH(AW$5,APOIO_REDES!$5:$5,0)),0)*$AP605,0)</f>
        <v>22.8167728842278</v>
      </c>
      <c r="AX605" s="153" t="n">
        <f aca="false">IFERROR(IF($N605="VCA",INDEX(APOIO_REDES!$A:$W,MATCH($C605&amp;$I605&amp;$H605&amp;$N605&amp;$O605,APOIO_REDES!$W:$W,0),MATCH(AX$5,APOIO_REDES!$5:$5,0)),0)*$AP605,0)</f>
        <v>3.15777637236928</v>
      </c>
      <c r="AY605" s="153" t="n">
        <f aca="false">IFERROR(IF($N605="VCA",INDEX(APOIO_REDES!$A:$W,MATCH($C605&amp;$I605&amp;$H605&amp;$N605&amp;$O605,APOIO_REDES!$W:$W,0),MATCH(AY$5,APOIO_REDES!$5:$5,0)),0)*$AP605,0)</f>
        <v>5.77639735178974</v>
      </c>
      <c r="AZ605" s="153" t="n">
        <f aca="false">IFERROR(IF($N605="VCA",INDEX(APOIO_REDES!$A:$W,MATCH($C605&amp;$I605&amp;$H605&amp;$N605&amp;$O605,APOIO_REDES!$W:$W,0),MATCH(AZ$5,APOIO_REDES!$5:$5,0)),0)*$AP605,0)</f>
        <v>0.799436699770155</v>
      </c>
      <c r="BA605" s="153" t="n">
        <f aca="false">IFERROR(IF(AND($N605="VCA",$Q605="LINEAR"),INDEX(APOIO_REDES!$A:$W,MATCH($C605&amp;$I605&amp;$H605&amp;$N605&amp;$O605,APOIO_REDES!$W:$W,0),MATCH(BA$5,APOIO_REDES!$5:$5,0)),IF(AND($N605="MND",$Q605="EMBOQUE"),INDEX(APOIO_REDES!$A:$W,MATCH($C605&amp;$I605&amp;$H605&amp;$N605&amp;$O605,APOIO_REDES!$W:$W,0),MATCH(BA$5,APOIO_REDES!$5:$5,0)),0))*$M605/10,0)</f>
        <v>3.02401735879336</v>
      </c>
      <c r="BB605" s="153" t="n">
        <f aca="false">IFERROR(IF($N605="VCA",INDEX(APOIO_REDES!$A:$W,MATCH($C605&amp;$I605&amp;$H605&amp;$N605&amp;$O605,APOIO_REDES!$W:$W,0),MATCH(BB$5,APOIO_REDES!$5:$5,0)),0)*($AI605+$AQ605+$AR605),0)</f>
        <v>11.168787571124</v>
      </c>
      <c r="BC605" s="153" t="n">
        <f aca="false">IFERROR(IF($N605="VCA",INDEX(APOIO_REDES!$A:$W,MATCH($C605&amp;$I605&amp;$H605&amp;$N605&amp;$O605,APOIO_REDES!$W:$W,0),MATCH(BC$5,APOIO_REDES!$5:$5,0)),0)*($AI605+$AQ605+$AR605),0)</f>
        <v>0.122856428876024</v>
      </c>
      <c r="BD605" s="153" t="n">
        <f aca="false">IF(AND($N605="VCA",$AF605&gt;=1.25,$AF605&lt;1.5),$M605*$AF605*2,0)</f>
        <v>102.27952</v>
      </c>
      <c r="BE605" s="153" t="n">
        <f aca="false">IF(AND($N605="VCA",$AF605&gt;=1.5,$AF605&lt;3),$M605*$AF605*2,0)</f>
        <v>0</v>
      </c>
      <c r="BF605" s="153" t="n">
        <f aca="false">IF(AND($N605="VCA",$AF605&gt;=3),$M605*$AF605*2,0)</f>
        <v>0</v>
      </c>
      <c r="BG605" s="153" t="n">
        <f aca="false">($BB605+$BC605)*$AK605</f>
        <v>18.0666304</v>
      </c>
      <c r="BH605" s="153" t="n">
        <f aca="false">IF(AND($M605&lt;&gt;"",$N605="VCA",$Q605="LINEAR"),($M605*2)/100,IF(AND($M605&lt;&gt;"",$N605="MND",$Q605="EMBOQUE"),($AN605*2)/100,0))</f>
        <v>0.7504</v>
      </c>
      <c r="BI605" s="153" t="n">
        <f aca="false">IF(AND($M605&lt;&gt;"",$N605="VCA",$Q605="LINEAR"),$M605,IF(AND($M605&lt;&gt;"",$N605="MND",$Q605="EMBOQUE"),$AN605*2,0))</f>
        <v>37.52</v>
      </c>
      <c r="BJ605" s="153" t="n">
        <f aca="false">IF(AND($M605&lt;&gt;"",$N605="VCA",$Q605="LINEAR"),($M605*6.8)/100,IF(AND($M605&lt;&gt;"",$N605="MND",$Q605="EMBOQUE"),($AN605*2*6.8)/100,0))</f>
        <v>2.55136</v>
      </c>
      <c r="BK605" s="153" t="n">
        <f aca="false">IF(AND($M605&lt;&gt;"",$N605="VCA",$Q605="LINEAR"),($M605*2.5)/50,IF(AND($M605&lt;&gt;"",$N605="MND",$Q605="EMBOQUE"),($AN605*2*2.5)/50,0))</f>
        <v>1.876</v>
      </c>
      <c r="BL605" s="157" t="str">
        <f aca="false">K605&amp;J605</f>
        <v>Zona06REDES</v>
      </c>
      <c r="BM605" s="152" t="s">
        <v>3790</v>
      </c>
      <c r="BN605" s="152" t="s">
        <v>1560</v>
      </c>
      <c r="BO605" s="152" t="s">
        <v>3797</v>
      </c>
      <c r="BP605" s="152" t="s">
        <v>3849</v>
      </c>
      <c r="BQ605" s="152" t="s">
        <v>3850</v>
      </c>
      <c r="BR605" s="152" t="s">
        <v>3851</v>
      </c>
      <c r="BS605" s="152" t="n">
        <v>204040.609</v>
      </c>
      <c r="BT605" s="152" t="n">
        <v>8237330.631</v>
      </c>
      <c r="BU605" s="152" t="n">
        <v>204011.259</v>
      </c>
      <c r="BV605" s="152" t="n">
        <v>8237353.995</v>
      </c>
      <c r="BW605" s="152" t="n">
        <v>-15.9255274</v>
      </c>
      <c r="BX605" s="152" t="n">
        <v>-47.7643927</v>
      </c>
      <c r="BY605" s="152" t="s">
        <v>3849</v>
      </c>
    </row>
    <row r="606" customFormat="false" ht="13.8" hidden="false" customHeight="false" outlineLevel="0" collapsed="false">
      <c r="A606" s="149" t="n">
        <f aca="false">IF(C606&lt;&gt;"",ROW(A601),"")</f>
        <v>601</v>
      </c>
      <c r="B606" s="150" t="str">
        <f aca="false">HYPERLINK("https://www.google.com/maps/dir/-15.917302,-47.760003/-15.9255425,-47.7622266/data=!4m3!4m2!3e0!5i0")</f>
        <v>https://www.google.com/maps/dir/-15.917302,-47.760003/-15.9255425,-47.7622266/data=!4m3!4m2!3e0!5i0</v>
      </c>
      <c r="C606" s="151" t="s">
        <v>117</v>
      </c>
      <c r="D606" s="152" t="s">
        <v>112</v>
      </c>
      <c r="E606" s="152" t="s">
        <v>113</v>
      </c>
      <c r="F606" s="152" t="s">
        <v>117</v>
      </c>
      <c r="G606" s="152" t="s">
        <v>782</v>
      </c>
      <c r="H606" s="152" t="n">
        <v>110</v>
      </c>
      <c r="I606" s="152" t="s">
        <v>115</v>
      </c>
      <c r="J606" s="152" t="s">
        <v>6</v>
      </c>
      <c r="K606" s="152" t="s">
        <v>3786</v>
      </c>
      <c r="L606" s="152" t="s">
        <v>120</v>
      </c>
      <c r="M606" s="153" t="n">
        <f aca="false">74.3</f>
        <v>74.3</v>
      </c>
      <c r="N606" s="152" t="s">
        <v>1548</v>
      </c>
      <c r="O606" s="152" t="s">
        <v>1549</v>
      </c>
      <c r="P606" s="152" t="s">
        <v>1550</v>
      </c>
      <c r="Q606" s="152" t="s">
        <v>1551</v>
      </c>
      <c r="R606" s="154" t="s">
        <v>3852</v>
      </c>
      <c r="S606" s="154" t="s">
        <v>1593</v>
      </c>
      <c r="T606" s="155" t="s">
        <v>3795</v>
      </c>
      <c r="U606" s="152" t="str">
        <f aca="false">RIGHT(T606,7)</f>
        <v>013/037</v>
      </c>
      <c r="V606" s="152" t="s">
        <v>1555</v>
      </c>
      <c r="W606" s="156" t="n">
        <v>45882</v>
      </c>
      <c r="X606" s="152" t="s">
        <v>1594</v>
      </c>
      <c r="Y606" s="152" t="s">
        <v>2276</v>
      </c>
      <c r="Z606" s="152" t="s">
        <v>1557</v>
      </c>
      <c r="AA606" s="153" t="n">
        <v>1.4</v>
      </c>
      <c r="AB606" s="151" t="s">
        <v>3853</v>
      </c>
      <c r="AC606" s="151" t="s">
        <v>502</v>
      </c>
      <c r="AD606" s="151" t="str">
        <f aca="false">CONCATENATE($C606,$I606,$H606,$N606,$J606,$K606)</f>
        <v>TUBO PEADPEAD110VCAREDESZona06</v>
      </c>
      <c r="AE606" s="153" t="n">
        <f aca="false">IFERROR(INDEX(APOIO_REDES!$A:$W,MATCH($C606&amp;$I606&amp;$H606&amp;$N606&amp;$O606,APOIO_REDES!$W:$W,0),MATCH(AE$5,APOIO_REDES!$5:$5,0)),0)</f>
        <v>1.2</v>
      </c>
      <c r="AF606" s="153" t="n">
        <f aca="false">IFERROR(INDEX(APOIO_REDES!$A:$W,MATCH($C606&amp;$I606&amp;$H606&amp;$N606&amp;$O606,APOIO_REDES!$W:$W,0),MATCH(AF$5,APOIO_REDES!$5:$5,0)),0)</f>
        <v>1.41</v>
      </c>
      <c r="AG606" s="153" t="n">
        <f aca="false">IFERROR(INDEX(APOIO_REDES!$A:$W,MATCH($C606&amp;$I606&amp;$H606&amp;$N606&amp;$O606,APOIO_REDES!$W:$W,0),MATCH(AG$5,APOIO_REDES!$5:$5,0)),0)</f>
        <v>0.75</v>
      </c>
      <c r="AH606" s="153" t="n">
        <f aca="false">IFERROR(INDEX(APOIO_REDES!$A:$W,MATCH($C606&amp;$I606&amp;$H606&amp;$N606&amp;$O606,APOIO_REDES!$W:$W,0),MATCH(AH$5,APOIO_REDES!$5:$5,0)),0)</f>
        <v>0.1</v>
      </c>
      <c r="AI606" s="153" t="n">
        <f aca="false">IFERROR(IF($H606&lt;&gt;"",(((($H606/1000)/2)^2)*PI()*$M606),0),0)</f>
        <v>0.706096510839208</v>
      </c>
      <c r="AJ606" s="153" t="n">
        <f aca="false">IFERROR(IF(AND($H606&lt;&gt;"",$I606="FoFo",OR($N606="MND",$N606="VCA"),$Q606="LINEAR"),0,IF(AND($H606&lt;&gt;"",$I606="PEAD",$N606="VCA",$Q606="LINEAR"),($H606/1000)+0.3,IF(AND($H606&lt;&gt;"",$I606="PEAD",$N606="MND",$Q606="EMBOQUE"),0,IF(AND($H606&lt;&gt;"",$I606="PVC",$N606="VCA",$Q606="LINEAR"),($H606/1000)+0.2,IF(AND($H606&lt;&gt;"",$I606="PVC",$N606="MND",$Q606="EMBOQUE"),0,IF(AND($H606&lt;&gt;"",$I606="PEAD",$N606="VCA",$Q606="PREDIAL"),0,0)))))),0)</f>
        <v>0.41</v>
      </c>
      <c r="AK606" s="153" t="n">
        <f aca="false">IF(AA606&lt;&gt;"",AA606,0)</f>
        <v>1.4</v>
      </c>
      <c r="AL606" s="153" t="n">
        <f aca="false">IF(AND($N606="MND",$Q606="EMBOQUE"),$M606,IF(AND($N606="VCA",$Q606="LINEAR"),$M606,IF(AND($N606="VCA",$Q606="PREDIAL"),0,0)))</f>
        <v>74.3</v>
      </c>
      <c r="AM606" s="153" t="n">
        <f aca="false">IF(AND($N606="MND",$Q606="EMBOQUE"),$M606,IF(AND($N606="VCA",$Q606="LINEAR"),$M606,IF(AND($N606="VCA",$Q606="PREDIAL"),0,0)))</f>
        <v>74.3</v>
      </c>
      <c r="AN606" s="153" t="n">
        <f aca="false">ROUND(IF(AND($N606="VCA",$M606&lt;&gt;"",$Q606="LINEAR"),$M606/100,IF(AND($N606="MND",$M606&gt;100,$Q606="EMBOQUE"),$M606/100,0)),0)</f>
        <v>1</v>
      </c>
      <c r="AO606" s="153" t="n">
        <f aca="false">IF(AND($N606="MND",$Q606="EMBOQUE"),$AN606*2*2,IF(AND($N606="VCA",$Q606="LINEAR"),$M606*2,IF(AND($N606="VCA",$Q606="PREDIAL"),0,0)))</f>
        <v>148.6</v>
      </c>
      <c r="AP606" s="153" t="n">
        <f aca="false">IFERROR($M606*$AF606*$AG606,0)</f>
        <v>78.57225</v>
      </c>
      <c r="AQ606" s="153" t="n">
        <f aca="false">IFERROR(IF(AND($N606="VCA",$AH606&gt;0),$M606*$AG606*$AH606,0),0)</f>
        <v>5.5725</v>
      </c>
      <c r="AR606" s="153" t="n">
        <f aca="false">IFERROR(IF(AND($N606="VCA",$AJ606&gt;0),($M606*$AG606*$AJ606)-$AI606,0),0)</f>
        <v>22.1411534891608</v>
      </c>
      <c r="AS606" s="153" t="n">
        <f aca="false">IFERROR(IF(AND($N606="VCA",$AP606&gt;0),$AP606-$AI606-$AQ606-$AR606,0),0)</f>
        <v>50.1525</v>
      </c>
      <c r="AT606" s="153" t="n">
        <f aca="false">IFERROR(IF($N606="VCA",INDEX(APOIO_REDES!$A:$W,MATCH($C606&amp;$I606&amp;$H606&amp;$N606&amp;$O606,APOIO_REDES!$W:$W,0),MATCH(AT$5,APOIO_REDES!$5:$5,0)),0)*$AP606,0)</f>
        <v>0.85488933619889</v>
      </c>
      <c r="AU606" s="153" t="n">
        <f aca="false">IFERROR(IF($N606="VCA",INDEX(APOIO_REDES!$A:$W,MATCH($C606&amp;$I606&amp;$H606&amp;$N606&amp;$O606,APOIO_REDES!$W:$W,0),MATCH(AU$5,APOIO_REDES!$5:$5,0)),0)*$AP606,0)</f>
        <v>0.682691470548891</v>
      </c>
      <c r="AV606" s="153" t="n">
        <f aca="false">IFERROR(IF($N606="VCA",INDEX(APOIO_REDES!$A:$W,MATCH($C606&amp;$I606&amp;$H606&amp;$N606&amp;$O606,APOIO_REDES!$W:$W,0),MATCH(AV$5,APOIO_REDES!$5:$5,0)),0)*$AP606,0)</f>
        <v>0.0944791401857934</v>
      </c>
      <c r="AW606" s="153" t="n">
        <f aca="false">IFERROR(IF($N606="VCA",INDEX(APOIO_REDES!$A:$W,MATCH($C606&amp;$I606&amp;$H606&amp;$N606&amp;$O606,APOIO_REDES!$W:$W,0),MATCH(AW$5,APOIO_REDES!$5:$5,0)),0)*$AP606,0)</f>
        <v>53.9326012075013</v>
      </c>
      <c r="AX606" s="153" t="n">
        <f aca="false">IFERROR(IF($N606="VCA",INDEX(APOIO_REDES!$A:$W,MATCH($C606&amp;$I606&amp;$H606&amp;$N606&amp;$O606,APOIO_REDES!$W:$W,0),MATCH(AX$5,APOIO_REDES!$5:$5,0)),0)*$AP606,0)</f>
        <v>7.4641183771956</v>
      </c>
      <c r="AY606" s="153" t="n">
        <f aca="false">IFERROR(IF($N606="VCA",INDEX(APOIO_REDES!$A:$W,MATCH($C606&amp;$I606&amp;$H606&amp;$N606&amp;$O606,APOIO_REDES!$W:$W,0),MATCH(AY$5,APOIO_REDES!$5:$5,0)),0)*$AP606,0)</f>
        <v>13.6538210890241</v>
      </c>
      <c r="AZ606" s="153" t="n">
        <f aca="false">IFERROR(IF($N606="VCA",INDEX(APOIO_REDES!$A:$W,MATCH($C606&amp;$I606&amp;$H606&amp;$N606&amp;$O606,APOIO_REDES!$W:$W,0),MATCH(AZ$5,APOIO_REDES!$5:$5,0)),0)*$AP606,0)</f>
        <v>1.88964937934535</v>
      </c>
      <c r="BA606" s="153" t="n">
        <f aca="false">IFERROR(IF(AND($N606="VCA",$Q606="LINEAR"),INDEX(APOIO_REDES!$A:$W,MATCH($C606&amp;$I606&amp;$H606&amp;$N606&amp;$O606,APOIO_REDES!$W:$W,0),MATCH(BA$5,APOIO_REDES!$5:$5,0)),IF(AND($N606="MND",$Q606="EMBOQUE"),INDEX(APOIO_REDES!$A:$W,MATCH($C606&amp;$I606&amp;$H606&amp;$N606&amp;$O606,APOIO_REDES!$W:$W,0),MATCH(BA$5,APOIO_REDES!$5:$5,0)),0))*$M606/10,0)</f>
        <v>5.98839258417768</v>
      </c>
      <c r="BB606" s="153" t="n">
        <f aca="false">IFERROR(IF($N606="VCA",INDEX(APOIO_REDES!$A:$W,MATCH($C606&amp;$I606&amp;$H606&amp;$N606&amp;$O606,APOIO_REDES!$W:$W,0),MATCH(BB$5,APOIO_REDES!$5:$5,0)),0)*($AI606+$AQ606+$AR606),0)</f>
        <v>28.1105347081834</v>
      </c>
      <c r="BC606" s="153" t="n">
        <f aca="false">IFERROR(IF($N606="VCA",INDEX(APOIO_REDES!$A:$W,MATCH($C606&amp;$I606&amp;$H606&amp;$N606&amp;$O606,APOIO_REDES!$W:$W,0),MATCH(BC$5,APOIO_REDES!$5:$5,0)),0)*($AI606+$AQ606+$AR606),0)</f>
        <v>0.30921529181662</v>
      </c>
      <c r="BD606" s="153" t="n">
        <f aca="false">IF(AND($N606="VCA",$AF606&gt;=1.25,$AF606&lt;1.5),$M606*$AF606*2,0)</f>
        <v>209.526</v>
      </c>
      <c r="BE606" s="153" t="n">
        <f aca="false">IF(AND($N606="VCA",$AF606&gt;=1.5,$AF606&lt;3),$M606*$AF606*2,0)</f>
        <v>0</v>
      </c>
      <c r="BF606" s="153" t="n">
        <f aca="false">IF(AND($N606="VCA",$AF606&gt;=3),$M606*$AF606*2,0)</f>
        <v>0</v>
      </c>
      <c r="BG606" s="153" t="n">
        <f aca="false">($BB606+$BC606)*$AK606</f>
        <v>39.78765</v>
      </c>
      <c r="BH606" s="153" t="n">
        <f aca="false">IF(AND($M606&lt;&gt;"",$N606="VCA",$Q606="LINEAR"),($M606*2)/100,IF(AND($M606&lt;&gt;"",$N606="MND",$Q606="EMBOQUE"),($AN606*2)/100,0))</f>
        <v>1.486</v>
      </c>
      <c r="BI606" s="153" t="n">
        <f aca="false">IF(AND($M606&lt;&gt;"",$N606="VCA",$Q606="LINEAR"),$M606,IF(AND($M606&lt;&gt;"",$N606="MND",$Q606="EMBOQUE"),$AN606*2,0))</f>
        <v>74.3</v>
      </c>
      <c r="BJ606" s="153" t="n">
        <f aca="false">IF(AND($M606&lt;&gt;"",$N606="VCA",$Q606="LINEAR"),($M606*6.8)/100,IF(AND($M606&lt;&gt;"",$N606="MND",$Q606="EMBOQUE"),($AN606*2*6.8)/100,0))</f>
        <v>5.0524</v>
      </c>
      <c r="BK606" s="153" t="n">
        <f aca="false">IF(AND($M606&lt;&gt;"",$N606="VCA",$Q606="LINEAR"),($M606*2.5)/50,IF(AND($M606&lt;&gt;"",$N606="MND",$Q606="EMBOQUE"),($AN606*2*2.5)/50,0))</f>
        <v>3.715</v>
      </c>
      <c r="BL606" s="157" t="str">
        <f aca="false">K606&amp;J606</f>
        <v>Zona06REDES</v>
      </c>
      <c r="BM606" s="152" t="s">
        <v>3790</v>
      </c>
      <c r="BN606" s="152" t="s">
        <v>1560</v>
      </c>
      <c r="BO606" s="152" t="s">
        <v>3797</v>
      </c>
      <c r="BP606" s="152" t="s">
        <v>3824</v>
      </c>
      <c r="BQ606" s="152" t="s">
        <v>3828</v>
      </c>
      <c r="BR606" s="152" t="s">
        <v>3846</v>
      </c>
      <c r="BS606" s="152" t="n">
        <v>204257.86</v>
      </c>
      <c r="BT606" s="152" t="n">
        <v>8237343.506</v>
      </c>
      <c r="BU606" s="152" t="n">
        <v>204331.497</v>
      </c>
      <c r="BV606" s="152" t="n">
        <v>8237334.411</v>
      </c>
      <c r="BW606" s="152" t="n">
        <v>-15.925573</v>
      </c>
      <c r="BX606" s="152" t="n">
        <v>-47.7618815</v>
      </c>
      <c r="BY606" s="152" t="s">
        <v>3824</v>
      </c>
    </row>
    <row r="607" customFormat="false" ht="13.8" hidden="false" customHeight="false" outlineLevel="0" collapsed="false">
      <c r="A607" s="149" t="n">
        <f aca="false">IF(C607&lt;&gt;"",ROW(A602),"")</f>
        <v>602</v>
      </c>
      <c r="B607" s="150" t="str">
        <f aca="false">HYPERLINK("https://www.google.com/maps/dir/-15.917302,-47.760003/-15.9251074,-47.7648589/data=!4m3!4m2!3e0!5i0")</f>
        <v>https://www.google.com/maps/dir/-15.917302,-47.760003/-15.9251074,-47.7648589/data=!4m3!4m2!3e0!5i0</v>
      </c>
      <c r="C607" s="151" t="s">
        <v>117</v>
      </c>
      <c r="D607" s="152" t="s">
        <v>112</v>
      </c>
      <c r="E607" s="152" t="s">
        <v>113</v>
      </c>
      <c r="F607" s="152" t="s">
        <v>117</v>
      </c>
      <c r="G607" s="152" t="s">
        <v>782</v>
      </c>
      <c r="H607" s="152" t="n">
        <v>63</v>
      </c>
      <c r="I607" s="152" t="s">
        <v>115</v>
      </c>
      <c r="J607" s="152" t="s">
        <v>6</v>
      </c>
      <c r="K607" s="152" t="s">
        <v>3786</v>
      </c>
      <c r="L607" s="152" t="s">
        <v>120</v>
      </c>
      <c r="M607" s="153" t="n">
        <f aca="false">161.82</f>
        <v>161.82</v>
      </c>
      <c r="N607" s="152" t="s">
        <v>1548</v>
      </c>
      <c r="O607" s="152" t="s">
        <v>1549</v>
      </c>
      <c r="P607" s="152" t="s">
        <v>1550</v>
      </c>
      <c r="Q607" s="152" t="s">
        <v>1551</v>
      </c>
      <c r="R607" s="154" t="s">
        <v>3854</v>
      </c>
      <c r="S607" s="154" t="s">
        <v>1553</v>
      </c>
      <c r="T607" s="155" t="s">
        <v>3795</v>
      </c>
      <c r="U607" s="152" t="str">
        <f aca="false">RIGHT(T607,7)</f>
        <v>013/037</v>
      </c>
      <c r="V607" s="152" t="s">
        <v>1555</v>
      </c>
      <c r="W607" s="156" t="n">
        <v>45882</v>
      </c>
      <c r="X607" s="152" t="s">
        <v>1594</v>
      </c>
      <c r="Y607" s="152" t="s">
        <v>3855</v>
      </c>
      <c r="Z607" s="152" t="s">
        <v>1557</v>
      </c>
      <c r="AA607" s="153" t="n">
        <v>1.7</v>
      </c>
      <c r="AB607" s="151" t="s">
        <v>3856</v>
      </c>
      <c r="AC607" s="151" t="s">
        <v>186</v>
      </c>
      <c r="AD607" s="151" t="str">
        <f aca="false">CONCATENATE($C607,$I607,$H607,$N607,$J607,$K607)</f>
        <v>TUBO PEADPEAD63VCAREDESZona06</v>
      </c>
      <c r="AE607" s="153" t="n">
        <f aca="false">IFERROR(INDEX(APOIO_REDES!$A:$W,MATCH($C607&amp;$I607&amp;$H607&amp;$N607&amp;$O607,APOIO_REDES!$W:$W,0),MATCH(AE$5,APOIO_REDES!$5:$5,0)),0)</f>
        <v>1.2</v>
      </c>
      <c r="AF607" s="153" t="n">
        <f aca="false">IFERROR(INDEX(APOIO_REDES!$A:$W,MATCH($C607&amp;$I607&amp;$H607&amp;$N607&amp;$O607,APOIO_REDES!$W:$W,0),MATCH(AF$5,APOIO_REDES!$5:$5,0)),0)</f>
        <v>1.363</v>
      </c>
      <c r="AG607" s="153" t="n">
        <f aca="false">IFERROR(INDEX(APOIO_REDES!$A:$W,MATCH($C607&amp;$I607&amp;$H607&amp;$N607&amp;$O607,APOIO_REDES!$W:$W,0),MATCH(AG$5,APOIO_REDES!$5:$5,0)),0)</f>
        <v>0.65</v>
      </c>
      <c r="AH607" s="153" t="n">
        <f aca="false">IFERROR(INDEX(APOIO_REDES!$A:$W,MATCH($C607&amp;$I607&amp;$H607&amp;$N607&amp;$O607,APOIO_REDES!$W:$W,0),MATCH(AH$5,APOIO_REDES!$5:$5,0)),0)</f>
        <v>0.1</v>
      </c>
      <c r="AI607" s="153" t="n">
        <f aca="false">IFERROR(IF($H607&lt;&gt;"",(((($H607/1000)/2)^2)*PI()*$M607),0),0)</f>
        <v>0.50443263614907</v>
      </c>
      <c r="AJ607" s="153" t="n">
        <f aca="false">IFERROR(IF(AND($H607&lt;&gt;"",$I607="FoFo",OR($N607="MND",$N607="VCA"),$Q607="LINEAR"),0,IF(AND($H607&lt;&gt;"",$I607="PEAD",$N607="VCA",$Q607="LINEAR"),($H607/1000)+0.3,IF(AND($H607&lt;&gt;"",$I607="PEAD",$N607="MND",$Q607="EMBOQUE"),0,IF(AND($H607&lt;&gt;"",$I607="PVC",$N607="VCA",$Q607="LINEAR"),($H607/1000)+0.2,IF(AND($H607&lt;&gt;"",$I607="PVC",$N607="MND",$Q607="EMBOQUE"),0,IF(AND($H607&lt;&gt;"",$I607="PEAD",$N607="VCA",$Q607="PREDIAL"),0,0)))))),0)</f>
        <v>0.363</v>
      </c>
      <c r="AK607" s="153" t="n">
        <f aca="false">IF(AA607&lt;&gt;"",AA607,0)</f>
        <v>1.7</v>
      </c>
      <c r="AL607" s="153" t="n">
        <f aca="false">IF(AND($N607="MND",$Q607="EMBOQUE"),$M607,IF(AND($N607="VCA",$Q607="LINEAR"),$M607,IF(AND($N607="VCA",$Q607="PREDIAL"),0,0)))</f>
        <v>161.82</v>
      </c>
      <c r="AM607" s="153" t="n">
        <f aca="false">IF(AND($N607="MND",$Q607="EMBOQUE"),$M607,IF(AND($N607="VCA",$Q607="LINEAR"),$M607,IF(AND($N607="VCA",$Q607="PREDIAL"),0,0)))</f>
        <v>161.82</v>
      </c>
      <c r="AN607" s="153" t="n">
        <f aca="false">ROUND(IF(AND($N607="VCA",$M607&lt;&gt;"",$Q607="LINEAR"),$M607/100,IF(AND($N607="MND",$M607&gt;100,$Q607="EMBOQUE"),$M607/100,0)),0)</f>
        <v>2</v>
      </c>
      <c r="AO607" s="153" t="n">
        <f aca="false">IF(AND($N607="MND",$Q607="EMBOQUE"),$AN607*2*2,IF(AND($N607="VCA",$Q607="LINEAR"),$M607*2,IF(AND($N607="VCA",$Q607="PREDIAL"),0,0)))</f>
        <v>323.64</v>
      </c>
      <c r="AP607" s="153" t="n">
        <f aca="false">IFERROR($M607*$AF607*$AG607,0)</f>
        <v>143.364429</v>
      </c>
      <c r="AQ607" s="153" t="n">
        <f aca="false">IFERROR(IF(AND($N607="VCA",$AH607&gt;0),$M607*$AG607*$AH607,0),0)</f>
        <v>10.5183</v>
      </c>
      <c r="AR607" s="153" t="n">
        <f aca="false">IFERROR(IF(AND($N607="VCA",$AJ607&gt;0),($M607*$AG607*$AJ607)-$AI607,0),0)</f>
        <v>37.6769963638509</v>
      </c>
      <c r="AS607" s="153" t="n">
        <f aca="false">IFERROR(IF(AND($N607="VCA",$AP607&gt;0),$AP607-$AI607-$AQ607-$AR607,0),0)</f>
        <v>94.6647</v>
      </c>
      <c r="AT607" s="153" t="n">
        <f aca="false">IFERROR(IF($N607="VCA",INDEX(APOIO_REDES!$A:$W,MATCH($C607&amp;$I607&amp;$H607&amp;$N607&amp;$O607,APOIO_REDES!$W:$W,0),MATCH(AT$5,APOIO_REDES!$5:$5,0)),0)*$AP607,0)</f>
        <v>1.55984742122496</v>
      </c>
      <c r="AU607" s="153" t="n">
        <f aca="false">IFERROR(IF($N607="VCA",INDEX(APOIO_REDES!$A:$W,MATCH($C607&amp;$I607&amp;$H607&amp;$N607&amp;$O607,APOIO_REDES!$W:$W,0),MATCH(AU$5,APOIO_REDES!$5:$5,0)),0)*$AP607,0)</f>
        <v>1.24565190456442</v>
      </c>
      <c r="AV607" s="153" t="n">
        <f aca="false">IFERROR(IF($N607="VCA",INDEX(APOIO_REDES!$A:$W,MATCH($C607&amp;$I607&amp;$H607&amp;$N607&amp;$O607,APOIO_REDES!$W:$W,0),MATCH(AV$5,APOIO_REDES!$5:$5,0)),0)*$AP607,0)</f>
        <v>0.17238844484086</v>
      </c>
      <c r="AW607" s="153" t="n">
        <f aca="false">IFERROR(IF($N607="VCA",INDEX(APOIO_REDES!$A:$W,MATCH($C607&amp;$I607&amp;$H607&amp;$N607&amp;$O607,APOIO_REDES!$W:$W,0),MATCH(AW$5,APOIO_REDES!$5:$5,0)),0)*$AP607,0)</f>
        <v>98.4064549074023</v>
      </c>
      <c r="AX607" s="153" t="n">
        <f aca="false">IFERROR(IF($N607="VCA",INDEX(APOIO_REDES!$A:$W,MATCH($C607&amp;$I607&amp;$H607&amp;$N607&amp;$O607,APOIO_REDES!$W:$W,0),MATCH(AX$5,APOIO_REDES!$5:$5,0)),0)*$AP607,0)</f>
        <v>13.6191730430916</v>
      </c>
      <c r="AY607" s="153" t="n">
        <f aca="false">IFERROR(IF($N607="VCA",INDEX(APOIO_REDES!$A:$W,MATCH($C607&amp;$I607&amp;$H607&amp;$N607&amp;$O607,APOIO_REDES!$W:$W,0),MATCH(AY$5,APOIO_REDES!$5:$5,0)),0)*$AP607,0)</f>
        <v>24.9130229068927</v>
      </c>
      <c r="AZ607" s="153" t="n">
        <f aca="false">IFERROR(IF($N607="VCA",INDEX(APOIO_REDES!$A:$W,MATCH($C607&amp;$I607&amp;$H607&amp;$N607&amp;$O607,APOIO_REDES!$W:$W,0),MATCH(AZ$5,APOIO_REDES!$5:$5,0)),0)*$AP607,0)</f>
        <v>3.44789037198311</v>
      </c>
      <c r="BA607" s="153" t="n">
        <f aca="false">IFERROR(IF(AND($N607="VCA",$Q607="LINEAR"),INDEX(APOIO_REDES!$A:$W,MATCH($C607&amp;$I607&amp;$H607&amp;$N607&amp;$O607,APOIO_REDES!$W:$W,0),MATCH(BA$5,APOIO_REDES!$5:$5,0)),IF(AND($N607="MND",$Q607="EMBOQUE"),INDEX(APOIO_REDES!$A:$W,MATCH($C607&amp;$I607&amp;$H607&amp;$N607&amp;$O607,APOIO_REDES!$W:$W,0),MATCH(BA$5,APOIO_REDES!$5:$5,0)),0))*$M607/10,0)</f>
        <v>13.04228382196</v>
      </c>
      <c r="BB607" s="153" t="n">
        <f aca="false">IFERROR(IF($N607="VCA",INDEX(APOIO_REDES!$A:$W,MATCH($C607&amp;$I607&amp;$H607&amp;$N607&amp;$O607,APOIO_REDES!$W:$W,0),MATCH(BB$5,APOIO_REDES!$5:$5,0)),0)*($AI607+$AQ607+$AR607),0)</f>
        <v>48.169861534096</v>
      </c>
      <c r="BC607" s="153" t="n">
        <f aca="false">IFERROR(IF($N607="VCA",INDEX(APOIO_REDES!$A:$W,MATCH($C607&amp;$I607&amp;$H607&amp;$N607&amp;$O607,APOIO_REDES!$W:$W,0),MATCH(BC$5,APOIO_REDES!$5:$5,0)),0)*($AI607+$AQ607+$AR607),0)</f>
        <v>0.529867465904003</v>
      </c>
      <c r="BD607" s="153" t="n">
        <f aca="false">IF(AND($N607="VCA",$AF607&gt;=1.25,$AF607&lt;1.5),$M607*$AF607*2,0)</f>
        <v>441.12132</v>
      </c>
      <c r="BE607" s="153" t="n">
        <f aca="false">IF(AND($N607="VCA",$AF607&gt;=1.5,$AF607&lt;3),$M607*$AF607*2,0)</f>
        <v>0</v>
      </c>
      <c r="BF607" s="153" t="n">
        <f aca="false">IF(AND($N607="VCA",$AF607&gt;=3),$M607*$AF607*2,0)</f>
        <v>0</v>
      </c>
      <c r="BG607" s="153" t="n">
        <f aca="false">($BB607+$BC607)*$AK607</f>
        <v>82.7895393</v>
      </c>
      <c r="BH607" s="153" t="n">
        <f aca="false">IF(AND($M607&lt;&gt;"",$N607="VCA",$Q607="LINEAR"),($M607*2)/100,IF(AND($M607&lt;&gt;"",$N607="MND",$Q607="EMBOQUE"),($AN607*2)/100,0))</f>
        <v>3.2364</v>
      </c>
      <c r="BI607" s="153" t="n">
        <f aca="false">IF(AND($M607&lt;&gt;"",$N607="VCA",$Q607="LINEAR"),$M607,IF(AND($M607&lt;&gt;"",$N607="MND",$Q607="EMBOQUE"),$AN607*2,0))</f>
        <v>161.82</v>
      </c>
      <c r="BJ607" s="153" t="n">
        <f aca="false">IF(AND($M607&lt;&gt;"",$N607="VCA",$Q607="LINEAR"),($M607*6.8)/100,IF(AND($M607&lt;&gt;"",$N607="MND",$Q607="EMBOQUE"),($AN607*2*6.8)/100,0))</f>
        <v>11.00376</v>
      </c>
      <c r="BK607" s="153" t="n">
        <f aca="false">IF(AND($M607&lt;&gt;"",$N607="VCA",$Q607="LINEAR"),($M607*2.5)/50,IF(AND($M607&lt;&gt;"",$N607="MND",$Q607="EMBOQUE"),($AN607*2*2.5)/50,0))</f>
        <v>8.091</v>
      </c>
      <c r="BL607" s="157" t="str">
        <f aca="false">K607&amp;J607</f>
        <v>Zona06REDES</v>
      </c>
      <c r="BM607" s="152" t="s">
        <v>3790</v>
      </c>
      <c r="BN607" s="152" t="s">
        <v>1560</v>
      </c>
      <c r="BO607" s="152" t="s">
        <v>3797</v>
      </c>
      <c r="BP607" s="152" t="s">
        <v>3857</v>
      </c>
      <c r="BQ607" s="152" t="s">
        <v>3837</v>
      </c>
      <c r="BR607" s="152" t="s">
        <v>3858</v>
      </c>
      <c r="BS607" s="152" t="n">
        <v>203975.199</v>
      </c>
      <c r="BT607" s="152" t="n">
        <v>8237387.183</v>
      </c>
      <c r="BU607" s="152" t="n">
        <v>204104.946</v>
      </c>
      <c r="BV607" s="152" t="n">
        <v>8237348.575</v>
      </c>
      <c r="BW607" s="152" t="n">
        <v>-15.9255576</v>
      </c>
      <c r="BX607" s="152" t="n">
        <v>-47.76426</v>
      </c>
      <c r="BY607" s="152" t="s">
        <v>3857</v>
      </c>
    </row>
    <row r="608" customFormat="false" ht="13.8" hidden="false" customHeight="false" outlineLevel="0" collapsed="false">
      <c r="A608" s="149" t="n">
        <f aca="false">IF(C608&lt;&gt;"",ROW(A603),"")</f>
        <v>603</v>
      </c>
      <c r="B608" s="150" t="str">
        <f aca="false">HYPERLINK("https://www.google.com/maps/dir/-15.917302,-47.760003/-15.9256334,-47.7615405/data=!4m3!4m2!3e0!5i0")</f>
        <v>https://www.google.com/maps/dir/-15.917302,-47.760003/-15.9256334,-47.7615405/data=!4m3!4m2!3e0!5i0</v>
      </c>
      <c r="C608" s="151" t="s">
        <v>117</v>
      </c>
      <c r="D608" s="152" t="s">
        <v>112</v>
      </c>
      <c r="E608" s="152" t="s">
        <v>113</v>
      </c>
      <c r="F608" s="152" t="s">
        <v>117</v>
      </c>
      <c r="G608" s="152" t="s">
        <v>782</v>
      </c>
      <c r="H608" s="152" t="n">
        <v>110</v>
      </c>
      <c r="I608" s="152" t="s">
        <v>115</v>
      </c>
      <c r="J608" s="152" t="s">
        <v>6</v>
      </c>
      <c r="K608" s="152" t="s">
        <v>3786</v>
      </c>
      <c r="L608" s="152" t="s">
        <v>120</v>
      </c>
      <c r="M608" s="153" t="n">
        <f aca="false">19.79</f>
        <v>19.79</v>
      </c>
      <c r="N608" s="152" t="s">
        <v>1548</v>
      </c>
      <c r="O608" s="152" t="s">
        <v>1549</v>
      </c>
      <c r="P608" s="152" t="s">
        <v>1550</v>
      </c>
      <c r="Q608" s="152" t="s">
        <v>1551</v>
      </c>
      <c r="R608" s="154" t="s">
        <v>3859</v>
      </c>
      <c r="S608" s="154" t="s">
        <v>1593</v>
      </c>
      <c r="T608" s="155" t="s">
        <v>3795</v>
      </c>
      <c r="U608" s="152" t="str">
        <f aca="false">RIGHT(T608,7)</f>
        <v>013/037</v>
      </c>
      <c r="V608" s="152" t="s">
        <v>1555</v>
      </c>
      <c r="W608" s="156" t="n">
        <v>45882</v>
      </c>
      <c r="X608" s="152" t="s">
        <v>1594</v>
      </c>
      <c r="Y608" s="152" t="s">
        <v>2276</v>
      </c>
      <c r="Z608" s="152" t="s">
        <v>1557</v>
      </c>
      <c r="AA608" s="153" t="n">
        <v>1.3</v>
      </c>
      <c r="AB608" s="151" t="s">
        <v>3860</v>
      </c>
      <c r="AC608" s="151" t="s">
        <v>502</v>
      </c>
      <c r="AD608" s="151" t="str">
        <f aca="false">CONCATENATE($C608,$I608,$H608,$N608,$J608,$K608)</f>
        <v>TUBO PEADPEAD110VCAREDESZona06</v>
      </c>
      <c r="AE608" s="153" t="n">
        <f aca="false">IFERROR(INDEX(APOIO_REDES!$A:$W,MATCH($C608&amp;$I608&amp;$H608&amp;$N608&amp;$O608,APOIO_REDES!$W:$W,0),MATCH(AE$5,APOIO_REDES!$5:$5,0)),0)</f>
        <v>1.2</v>
      </c>
      <c r="AF608" s="153" t="n">
        <f aca="false">IFERROR(INDEX(APOIO_REDES!$A:$W,MATCH($C608&amp;$I608&amp;$H608&amp;$N608&amp;$O608,APOIO_REDES!$W:$W,0),MATCH(AF$5,APOIO_REDES!$5:$5,0)),0)</f>
        <v>1.41</v>
      </c>
      <c r="AG608" s="153" t="n">
        <f aca="false">IFERROR(INDEX(APOIO_REDES!$A:$W,MATCH($C608&amp;$I608&amp;$H608&amp;$N608&amp;$O608,APOIO_REDES!$W:$W,0),MATCH(AG$5,APOIO_REDES!$5:$5,0)),0)</f>
        <v>0.75</v>
      </c>
      <c r="AH608" s="153" t="n">
        <f aca="false">IFERROR(INDEX(APOIO_REDES!$A:$W,MATCH($C608&amp;$I608&amp;$H608&amp;$N608&amp;$O608,APOIO_REDES!$W:$W,0),MATCH(AH$5,APOIO_REDES!$5:$5,0)),0)</f>
        <v>0.1</v>
      </c>
      <c r="AI608" s="153" t="n">
        <f aca="false">IFERROR(IF($H608&lt;&gt;"",(((($H608/1000)/2)^2)*PI()*$M608),0),0)</f>
        <v>0.18807065880899</v>
      </c>
      <c r="AJ608" s="153" t="n">
        <f aca="false">IFERROR(IF(AND($H608&lt;&gt;"",$I608="FoFo",OR($N608="MND",$N608="VCA"),$Q608="LINEAR"),0,IF(AND($H608&lt;&gt;"",$I608="PEAD",$N608="VCA",$Q608="LINEAR"),($H608/1000)+0.3,IF(AND($H608&lt;&gt;"",$I608="PEAD",$N608="MND",$Q608="EMBOQUE"),0,IF(AND($H608&lt;&gt;"",$I608="PVC",$N608="VCA",$Q608="LINEAR"),($H608/1000)+0.2,IF(AND($H608&lt;&gt;"",$I608="PVC",$N608="MND",$Q608="EMBOQUE"),0,IF(AND($H608&lt;&gt;"",$I608="PEAD",$N608="VCA",$Q608="PREDIAL"),0,0)))))),0)</f>
        <v>0.41</v>
      </c>
      <c r="AK608" s="153" t="n">
        <f aca="false">IF(AA608&lt;&gt;"",AA608,0)</f>
        <v>1.3</v>
      </c>
      <c r="AL608" s="153" t="n">
        <f aca="false">IF(AND($N608="MND",$Q608="EMBOQUE"),$M608,IF(AND($N608="VCA",$Q608="LINEAR"),$M608,IF(AND($N608="VCA",$Q608="PREDIAL"),0,0)))</f>
        <v>19.79</v>
      </c>
      <c r="AM608" s="153" t="n">
        <f aca="false">IF(AND($N608="MND",$Q608="EMBOQUE"),$M608,IF(AND($N608="VCA",$Q608="LINEAR"),$M608,IF(AND($N608="VCA",$Q608="PREDIAL"),0,0)))</f>
        <v>19.79</v>
      </c>
      <c r="AN608" s="153" t="n">
        <f aca="false">ROUND(IF(AND($N608="VCA",$M608&lt;&gt;"",$Q608="LINEAR"),$M608/100,IF(AND($N608="MND",$M608&gt;100,$Q608="EMBOQUE"),$M608/100,0)),0)</f>
        <v>0</v>
      </c>
      <c r="AO608" s="153" t="n">
        <f aca="false">IF(AND($N608="MND",$Q608="EMBOQUE"),$AN608*2*2,IF(AND($N608="VCA",$Q608="LINEAR"),$M608*2,IF(AND($N608="VCA",$Q608="PREDIAL"),0,0)))</f>
        <v>39.58</v>
      </c>
      <c r="AP608" s="153" t="n">
        <f aca="false">IFERROR($M608*$AF608*$AG608,0)</f>
        <v>20.927925</v>
      </c>
      <c r="AQ608" s="153" t="n">
        <f aca="false">IFERROR(IF(AND($N608="VCA",$AH608&gt;0),$M608*$AG608*$AH608,0),0)</f>
        <v>1.48425</v>
      </c>
      <c r="AR608" s="153" t="n">
        <f aca="false">IFERROR(IF(AND($N608="VCA",$AJ608&gt;0),($M608*$AG608*$AJ608)-$AI608,0),0)</f>
        <v>5.89735434119101</v>
      </c>
      <c r="AS608" s="153" t="n">
        <f aca="false">IFERROR(IF(AND($N608="VCA",$AP608&gt;0),$AP608-$AI608-$AQ608-$AR608,0),0)</f>
        <v>13.35825</v>
      </c>
      <c r="AT608" s="153" t="n">
        <f aca="false">IFERROR(IF($N608="VCA",INDEX(APOIO_REDES!$A:$W,MATCH($C608&amp;$I608&amp;$H608&amp;$N608&amp;$O608,APOIO_REDES!$W:$W,0),MATCH(AT$5,APOIO_REDES!$5:$5,0)),0)*$AP608,0)</f>
        <v>0.22770201834961</v>
      </c>
      <c r="AU608" s="153" t="n">
        <f aca="false">IFERROR(IF($N608="VCA",INDEX(APOIO_REDES!$A:$W,MATCH($C608&amp;$I608&amp;$H608&amp;$N608&amp;$O608,APOIO_REDES!$W:$W,0),MATCH(AU$5,APOIO_REDES!$5:$5,0)),0)*$AP608,0)</f>
        <v>0.181836664901246</v>
      </c>
      <c r="AV608" s="153" t="n">
        <f aca="false">IFERROR(IF($N608="VCA",INDEX(APOIO_REDES!$A:$W,MATCH($C608&amp;$I608&amp;$H608&amp;$N608&amp;$O608,APOIO_REDES!$W:$W,0),MATCH(AV$5,APOIO_REDES!$5:$5,0)),0)*$AP608,0)</f>
        <v>0.0251647669485444</v>
      </c>
      <c r="AW608" s="153" t="n">
        <f aca="false">IFERROR(IF($N608="VCA",INDEX(APOIO_REDES!$A:$W,MATCH($C608&amp;$I608&amp;$H608&amp;$N608&amp;$O608,APOIO_REDES!$W:$W,0),MATCH(AW$5,APOIO_REDES!$5:$5,0)),0)*$AP608,0)</f>
        <v>14.3650898774758</v>
      </c>
      <c r="AX608" s="153" t="n">
        <f aca="false">IFERROR(IF($N608="VCA",INDEX(APOIO_REDES!$A:$W,MATCH($C608&amp;$I608&amp;$H608&amp;$N608&amp;$O608,APOIO_REDES!$W:$W,0),MATCH(AX$5,APOIO_REDES!$5:$5,0)),0)*$AP608,0)</f>
        <v>1.98808751930957</v>
      </c>
      <c r="AY608" s="153" t="n">
        <f aca="false">IFERROR(IF($N608="VCA",INDEX(APOIO_REDES!$A:$W,MATCH($C608&amp;$I608&amp;$H608&amp;$N608&amp;$O608,APOIO_REDES!$W:$W,0),MATCH(AY$5,APOIO_REDES!$5:$5,0)),0)*$AP608,0)</f>
        <v>3.63673108145071</v>
      </c>
      <c r="AZ608" s="153" t="n">
        <f aca="false">IFERROR(IF($N608="VCA",INDEX(APOIO_REDES!$A:$W,MATCH($C608&amp;$I608&amp;$H608&amp;$N608&amp;$O608,APOIO_REDES!$W:$W,0),MATCH(AZ$5,APOIO_REDES!$5:$5,0)),0)*$AP608,0)</f>
        <v>0.503313071564528</v>
      </c>
      <c r="BA608" s="153" t="n">
        <f aca="false">IFERROR(IF(AND($N608="VCA",$Q608="LINEAR"),INDEX(APOIO_REDES!$A:$W,MATCH($C608&amp;$I608&amp;$H608&amp;$N608&amp;$O608,APOIO_REDES!$W:$W,0),MATCH(BA$5,APOIO_REDES!$5:$5,0)),IF(AND($N608="MND",$Q608="EMBOQUE"),INDEX(APOIO_REDES!$A:$W,MATCH($C608&amp;$I608&amp;$H608&amp;$N608&amp;$O608,APOIO_REDES!$W:$W,0),MATCH(BA$5,APOIO_REDES!$5:$5,0)),0))*$M608/10,0)</f>
        <v>1.59502408130385</v>
      </c>
      <c r="BB608" s="153" t="n">
        <f aca="false">IFERROR(IF($N608="VCA",INDEX(APOIO_REDES!$A:$W,MATCH($C608&amp;$I608&amp;$H608&amp;$N608&amp;$O608,APOIO_REDES!$W:$W,0),MATCH(BB$5,APOIO_REDES!$5:$5,0)),0)*($AI608+$AQ608+$AR608),0)</f>
        <v>7.48731469549057</v>
      </c>
      <c r="BC608" s="153" t="n">
        <f aca="false">IFERROR(IF($N608="VCA",INDEX(APOIO_REDES!$A:$W,MATCH($C608&amp;$I608&amp;$H608&amp;$N608&amp;$O608,APOIO_REDES!$W:$W,0),MATCH(BC$5,APOIO_REDES!$5:$5,0)),0)*($AI608+$AQ608+$AR608),0)</f>
        <v>0.0823603045094334</v>
      </c>
      <c r="BD608" s="153" t="n">
        <f aca="false">IF(AND($N608="VCA",$AF608&gt;=1.25,$AF608&lt;1.5),$M608*$AF608*2,0)</f>
        <v>55.8078</v>
      </c>
      <c r="BE608" s="153" t="n">
        <f aca="false">IF(AND($N608="VCA",$AF608&gt;=1.5,$AF608&lt;3),$M608*$AF608*2,0)</f>
        <v>0</v>
      </c>
      <c r="BF608" s="153" t="n">
        <f aca="false">IF(AND($N608="VCA",$AF608&gt;=3),$M608*$AF608*2,0)</f>
        <v>0</v>
      </c>
      <c r="BG608" s="153" t="n">
        <f aca="false">($BB608+$BC608)*$AK608</f>
        <v>9.8405775</v>
      </c>
      <c r="BH608" s="153" t="n">
        <f aca="false">IF(AND($M608&lt;&gt;"",$N608="VCA",$Q608="LINEAR"),($M608*2)/100,IF(AND($M608&lt;&gt;"",$N608="MND",$Q608="EMBOQUE"),($AN608*2)/100,0))</f>
        <v>0.3958</v>
      </c>
      <c r="BI608" s="153" t="n">
        <f aca="false">IF(AND($M608&lt;&gt;"",$N608="VCA",$Q608="LINEAR"),$M608,IF(AND($M608&lt;&gt;"",$N608="MND",$Q608="EMBOQUE"),$AN608*2,0))</f>
        <v>19.79</v>
      </c>
      <c r="BJ608" s="153" t="n">
        <f aca="false">IF(AND($M608&lt;&gt;"",$N608="VCA",$Q608="LINEAR"),($M608*6.8)/100,IF(AND($M608&lt;&gt;"",$N608="MND",$Q608="EMBOQUE"),($AN608*2*6.8)/100,0))</f>
        <v>1.34572</v>
      </c>
      <c r="BK608" s="153" t="n">
        <f aca="false">IF(AND($M608&lt;&gt;"",$N608="VCA",$Q608="LINEAR"),($M608*2.5)/50,IF(AND($M608&lt;&gt;"",$N608="MND",$Q608="EMBOQUE"),($AN608*2*2.5)/50,0))</f>
        <v>0.9895</v>
      </c>
      <c r="BL608" s="157" t="str">
        <f aca="false">K608&amp;J608</f>
        <v>Zona06REDES</v>
      </c>
      <c r="BM608" s="152" t="s">
        <v>3790</v>
      </c>
      <c r="BN608" s="152" t="s">
        <v>1560</v>
      </c>
      <c r="BO608" s="152" t="s">
        <v>3797</v>
      </c>
      <c r="BP608" s="152" t="s">
        <v>3828</v>
      </c>
      <c r="BQ608" s="152" t="s">
        <v>3861</v>
      </c>
      <c r="BR608" s="152" t="s">
        <v>3862</v>
      </c>
      <c r="BS608" s="152" t="n">
        <v>204331.497</v>
      </c>
      <c r="BT608" s="152" t="n">
        <v>8237334.411</v>
      </c>
      <c r="BU608" s="152" t="n">
        <v>204350.923</v>
      </c>
      <c r="BV608" s="152" t="n">
        <v>8237330.633</v>
      </c>
      <c r="BW608" s="152" t="n">
        <v>-15.9256521</v>
      </c>
      <c r="BX608" s="152" t="n">
        <v>-47.7614502</v>
      </c>
      <c r="BY608" s="152" t="s">
        <v>3828</v>
      </c>
    </row>
    <row r="609" customFormat="false" ht="13.8" hidden="false" customHeight="false" outlineLevel="0" collapsed="false">
      <c r="A609" s="149" t="n">
        <f aca="false">IF(C609&lt;&gt;"",ROW(A604),"")</f>
        <v>604</v>
      </c>
      <c r="B609" s="150" t="str">
        <f aca="false">HYPERLINK("https://www.google.com/maps/dir/-15.917302,-47.760003/-15.9258240,-47.7639740/data=!4m3!4m2!3e0!5i2")</f>
        <v>https://www.google.com/maps/dir/-15.917302,-47.760003/-15.9258240,-47.7639740/data=!4m3!4m2!3e0!5i2</v>
      </c>
      <c r="C609" s="151" t="s">
        <v>117</v>
      </c>
      <c r="D609" s="152" t="s">
        <v>112</v>
      </c>
      <c r="E609" s="152" t="s">
        <v>113</v>
      </c>
      <c r="F609" s="152" t="s">
        <v>117</v>
      </c>
      <c r="G609" s="152" t="s">
        <v>782</v>
      </c>
      <c r="H609" s="152" t="n">
        <v>110</v>
      </c>
      <c r="I609" s="152" t="s">
        <v>115</v>
      </c>
      <c r="J609" s="152" t="s">
        <v>6</v>
      </c>
      <c r="K609" s="152" t="s">
        <v>3786</v>
      </c>
      <c r="L609" s="152" t="s">
        <v>120</v>
      </c>
      <c r="M609" s="153" t="n">
        <f aca="false">49.28</f>
        <v>49.28</v>
      </c>
      <c r="N609" s="152" t="s">
        <v>1548</v>
      </c>
      <c r="O609" s="152" t="s">
        <v>1549</v>
      </c>
      <c r="P609" s="152" t="s">
        <v>1550</v>
      </c>
      <c r="Q609" s="152" t="s">
        <v>1551</v>
      </c>
      <c r="R609" s="154" t="s">
        <v>3863</v>
      </c>
      <c r="S609" s="154" t="s">
        <v>1593</v>
      </c>
      <c r="T609" s="155" t="s">
        <v>3795</v>
      </c>
      <c r="U609" s="152" t="str">
        <f aca="false">RIGHT(T609,7)</f>
        <v>013/037</v>
      </c>
      <c r="V609" s="152" t="s">
        <v>1555</v>
      </c>
      <c r="W609" s="156" t="n">
        <v>45882</v>
      </c>
      <c r="X609" s="152" t="s">
        <v>1594</v>
      </c>
      <c r="Y609" s="152" t="s">
        <v>2276</v>
      </c>
      <c r="Z609" s="152" t="s">
        <v>1557</v>
      </c>
      <c r="AA609" s="153" t="n">
        <v>1.9</v>
      </c>
      <c r="AB609" s="151" t="s">
        <v>3864</v>
      </c>
      <c r="AC609" s="151" t="s">
        <v>502</v>
      </c>
      <c r="AD609" s="151" t="str">
        <f aca="false">CONCATENATE($C609,$I609,$H609,$N609,$J609,$K609)</f>
        <v>TUBO PEADPEAD110VCAREDESZona06</v>
      </c>
      <c r="AE609" s="153" t="n">
        <f aca="false">IFERROR(INDEX(APOIO_REDES!$A:$W,MATCH($C609&amp;$I609&amp;$H609&amp;$N609&amp;$O609,APOIO_REDES!$W:$W,0),MATCH(AE$5,APOIO_REDES!$5:$5,0)),0)</f>
        <v>1.2</v>
      </c>
      <c r="AF609" s="153" t="n">
        <f aca="false">IFERROR(INDEX(APOIO_REDES!$A:$W,MATCH($C609&amp;$I609&amp;$H609&amp;$N609&amp;$O609,APOIO_REDES!$W:$W,0),MATCH(AF$5,APOIO_REDES!$5:$5,0)),0)</f>
        <v>1.41</v>
      </c>
      <c r="AG609" s="153" t="n">
        <f aca="false">IFERROR(INDEX(APOIO_REDES!$A:$W,MATCH($C609&amp;$I609&amp;$H609&amp;$N609&amp;$O609,APOIO_REDES!$W:$W,0),MATCH(AG$5,APOIO_REDES!$5:$5,0)),0)</f>
        <v>0.75</v>
      </c>
      <c r="AH609" s="153" t="n">
        <f aca="false">IFERROR(INDEX(APOIO_REDES!$A:$W,MATCH($C609&amp;$I609&amp;$H609&amp;$N609&amp;$O609,APOIO_REDES!$W:$W,0),MATCH(AH$5,APOIO_REDES!$5:$5,0)),0)</f>
        <v>0.1</v>
      </c>
      <c r="AI609" s="153" t="n">
        <f aca="false">IFERROR(IF($H609&lt;&gt;"",(((($H609/1000)/2)^2)*PI()*$M609),0),0)</f>
        <v>0.468323500055938</v>
      </c>
      <c r="AJ609" s="153" t="n">
        <f aca="false">IFERROR(IF(AND($H609&lt;&gt;"",$I609="FoFo",OR($N609="MND",$N609="VCA"),$Q609="LINEAR"),0,IF(AND($H609&lt;&gt;"",$I609="PEAD",$N609="VCA",$Q609="LINEAR"),($H609/1000)+0.3,IF(AND($H609&lt;&gt;"",$I609="PEAD",$N609="MND",$Q609="EMBOQUE"),0,IF(AND($H609&lt;&gt;"",$I609="PVC",$N609="VCA",$Q609="LINEAR"),($H609/1000)+0.2,IF(AND($H609&lt;&gt;"",$I609="PVC",$N609="MND",$Q609="EMBOQUE"),0,IF(AND($H609&lt;&gt;"",$I609="PEAD",$N609="VCA",$Q609="PREDIAL"),0,0)))))),0)</f>
        <v>0.41</v>
      </c>
      <c r="AK609" s="153" t="n">
        <f aca="false">IF(AA609&lt;&gt;"",AA609,0)</f>
        <v>1.9</v>
      </c>
      <c r="AL609" s="153" t="n">
        <f aca="false">IF(AND($N609="MND",$Q609="EMBOQUE"),$M609,IF(AND($N609="VCA",$Q609="LINEAR"),$M609,IF(AND($N609="VCA",$Q609="PREDIAL"),0,0)))</f>
        <v>49.28</v>
      </c>
      <c r="AM609" s="153" t="n">
        <f aca="false">IF(AND($N609="MND",$Q609="EMBOQUE"),$M609,IF(AND($N609="VCA",$Q609="LINEAR"),$M609,IF(AND($N609="VCA",$Q609="PREDIAL"),0,0)))</f>
        <v>49.28</v>
      </c>
      <c r="AN609" s="153" t="n">
        <f aca="false">ROUND(IF(AND($N609="VCA",$M609&lt;&gt;"",$Q609="LINEAR"),$M609/100,IF(AND($N609="MND",$M609&gt;100,$Q609="EMBOQUE"),$M609/100,0)),0)</f>
        <v>0</v>
      </c>
      <c r="AO609" s="153" t="n">
        <f aca="false">IF(AND($N609="MND",$Q609="EMBOQUE"),$AN609*2*2,IF(AND($N609="VCA",$Q609="LINEAR"),$M609*2,IF(AND($N609="VCA",$Q609="PREDIAL"),0,0)))</f>
        <v>98.56</v>
      </c>
      <c r="AP609" s="153" t="n">
        <f aca="false">IFERROR($M609*$AF609*$AG609,0)</f>
        <v>52.1136</v>
      </c>
      <c r="AQ609" s="153" t="n">
        <f aca="false">IFERROR(IF(AND($N609="VCA",$AH609&gt;0),$M609*$AG609*$AH609,0),0)</f>
        <v>3.696</v>
      </c>
      <c r="AR609" s="153" t="n">
        <f aca="false">IFERROR(IF(AND($N609="VCA",$AJ609&gt;0),($M609*$AG609*$AJ609)-$AI609,0),0)</f>
        <v>14.6852764999441</v>
      </c>
      <c r="AS609" s="153" t="n">
        <f aca="false">IFERROR(IF(AND($N609="VCA",$AP609&gt;0),$AP609-$AI609-$AQ609-$AR609,0),0)</f>
        <v>33.264</v>
      </c>
      <c r="AT609" s="153" t="n">
        <f aca="false">IFERROR(IF($N609="VCA",INDEX(APOIO_REDES!$A:$W,MATCH($C609&amp;$I609&amp;$H609&amp;$N609&amp;$O609,APOIO_REDES!$W:$W,0),MATCH(AT$5,APOIO_REDES!$5:$5,0)),0)*$AP609,0)</f>
        <v>0.567011392838241</v>
      </c>
      <c r="AU609" s="153" t="n">
        <f aca="false">IFERROR(IF($N609="VCA",INDEX(APOIO_REDES!$A:$W,MATCH($C609&amp;$I609&amp;$H609&amp;$N609&amp;$O609,APOIO_REDES!$W:$W,0),MATCH(AU$5,APOIO_REDES!$5:$5,0)),0)*$AP609,0)</f>
        <v>0.452799941704567</v>
      </c>
      <c r="AV609" s="153" t="n">
        <f aca="false">IFERROR(IF($N609="VCA",INDEX(APOIO_REDES!$A:$W,MATCH($C609&amp;$I609&amp;$H609&amp;$N609&amp;$O609,APOIO_REDES!$W:$W,0),MATCH(AV$5,APOIO_REDES!$5:$5,0)),0)*$AP609,0)</f>
        <v>0.062663957313</v>
      </c>
      <c r="AW609" s="153" t="n">
        <f aca="false">IFERROR(IF($N609="VCA",INDEX(APOIO_REDES!$A:$W,MATCH($C609&amp;$I609&amp;$H609&amp;$N609&amp;$O609,APOIO_REDES!$W:$W,0),MATCH(AW$5,APOIO_REDES!$5:$5,0)),0)*$AP609,0)</f>
        <v>35.7711788358771</v>
      </c>
      <c r="AX609" s="153" t="n">
        <f aca="false">IFERROR(IF($N609="VCA",INDEX(APOIO_REDES!$A:$W,MATCH($C609&amp;$I609&amp;$H609&amp;$N609&amp;$O609,APOIO_REDES!$W:$W,0),MATCH(AX$5,APOIO_REDES!$5:$5,0)),0)*$AP609,0)</f>
        <v>4.95062925475369</v>
      </c>
      <c r="AY609" s="153" t="n">
        <f aca="false">IFERROR(IF($N609="VCA",INDEX(APOIO_REDES!$A:$W,MATCH($C609&amp;$I609&amp;$H609&amp;$N609&amp;$O609,APOIO_REDES!$W:$W,0),MATCH(AY$5,APOIO_REDES!$5:$5,0)),0)*$AP609,0)</f>
        <v>9.05599331449676</v>
      </c>
      <c r="AZ609" s="153" t="n">
        <f aca="false">IFERROR(IF($N609="VCA",INDEX(APOIO_REDES!$A:$W,MATCH($C609&amp;$I609&amp;$H609&amp;$N609&amp;$O609,APOIO_REDES!$W:$W,0),MATCH(AZ$5,APOIO_REDES!$5:$5,0)),0)*$AP609,0)</f>
        <v>1.25332330301667</v>
      </c>
      <c r="BA609" s="153" t="n">
        <f aca="false">IFERROR(IF(AND($N609="VCA",$Q609="LINEAR"),INDEX(APOIO_REDES!$A:$W,MATCH($C609&amp;$I609&amp;$H609&amp;$N609&amp;$O609,APOIO_REDES!$W:$W,0),MATCH(BA$5,APOIO_REDES!$5:$5,0)),IF(AND($N609="MND",$Q609="EMBOQUE"),INDEX(APOIO_REDES!$A:$W,MATCH($C609&amp;$I609&amp;$H609&amp;$N609&amp;$O609,APOIO_REDES!$W:$W,0),MATCH(BA$5,APOIO_REDES!$5:$5,0)),0))*$M609/10,0)</f>
        <v>3.97184369513157</v>
      </c>
      <c r="BB609" s="153" t="n">
        <f aca="false">IFERROR(IF($N609="VCA",INDEX(APOIO_REDES!$A:$W,MATCH($C609&amp;$I609&amp;$H609&amp;$N609&amp;$O609,APOIO_REDES!$W:$W,0),MATCH(BB$5,APOIO_REDES!$5:$5,0)),0)*($AI609+$AQ609+$AR609),0)</f>
        <v>18.6445107728032</v>
      </c>
      <c r="BC609" s="153" t="n">
        <f aca="false">IFERROR(IF($N609="VCA",INDEX(APOIO_REDES!$A:$W,MATCH($C609&amp;$I609&amp;$H609&amp;$N609&amp;$O609,APOIO_REDES!$W:$W,0),MATCH(BC$5,APOIO_REDES!$5:$5,0)),0)*($AI609+$AQ609+$AR609),0)</f>
        <v>0.205089227196811</v>
      </c>
      <c r="BD609" s="153" t="n">
        <f aca="false">IF(AND($N609="VCA",$AF609&gt;=1.25,$AF609&lt;1.5),$M609*$AF609*2,0)</f>
        <v>138.9696</v>
      </c>
      <c r="BE609" s="153" t="n">
        <f aca="false">IF(AND($N609="VCA",$AF609&gt;=1.5,$AF609&lt;3),$M609*$AF609*2,0)</f>
        <v>0</v>
      </c>
      <c r="BF609" s="153" t="n">
        <f aca="false">IF(AND($N609="VCA",$AF609&gt;=3),$M609*$AF609*2,0)</f>
        <v>0</v>
      </c>
      <c r="BG609" s="153" t="n">
        <f aca="false">($BB609+$BC609)*$AK609</f>
        <v>35.81424</v>
      </c>
      <c r="BH609" s="153" t="n">
        <f aca="false">IF(AND($M609&lt;&gt;"",$N609="VCA",$Q609="LINEAR"),($M609*2)/100,IF(AND($M609&lt;&gt;"",$N609="MND",$Q609="EMBOQUE"),($AN609*2)/100,0))</f>
        <v>0.9856</v>
      </c>
      <c r="BI609" s="153" t="n">
        <f aca="false">IF(AND($M609&lt;&gt;"",$N609="VCA",$Q609="LINEAR"),$M609,IF(AND($M609&lt;&gt;"",$N609="MND",$Q609="EMBOQUE"),$AN609*2,0))</f>
        <v>49.28</v>
      </c>
      <c r="BJ609" s="153" t="n">
        <f aca="false">IF(AND($M609&lt;&gt;"",$N609="VCA",$Q609="LINEAR"),($M609*6.8)/100,IF(AND($M609&lt;&gt;"",$N609="MND",$Q609="EMBOQUE"),($AN609*2*6.8)/100,0))</f>
        <v>3.35104</v>
      </c>
      <c r="BK609" s="153" t="n">
        <f aca="false">IF(AND($M609&lt;&gt;"",$N609="VCA",$Q609="LINEAR"),($M609*2.5)/50,IF(AND($M609&lt;&gt;"",$N609="MND",$Q609="EMBOQUE"),($AN609*2*2.5)/50,0))</f>
        <v>2.464</v>
      </c>
      <c r="BL609" s="157" t="str">
        <f aca="false">K609&amp;J609</f>
        <v>Zona06REDES</v>
      </c>
      <c r="BM609" s="152" t="s">
        <v>3790</v>
      </c>
      <c r="BN609" s="152" t="s">
        <v>1560</v>
      </c>
      <c r="BO609" s="152" t="s">
        <v>3797</v>
      </c>
      <c r="BP609" s="152" t="s">
        <v>3865</v>
      </c>
      <c r="BQ609" s="152" t="s">
        <v>3832</v>
      </c>
      <c r="BR609" s="152" t="s">
        <v>3866</v>
      </c>
      <c r="BS609" s="152" t="n">
        <v>204071.064</v>
      </c>
      <c r="BT609" s="152" t="n">
        <v>8237309.851</v>
      </c>
      <c r="BU609" s="152" t="n">
        <v>204105.762</v>
      </c>
      <c r="BV609" s="152" t="n">
        <v>8237342.696</v>
      </c>
      <c r="BW609" s="152" t="n">
        <v>-15.9256445</v>
      </c>
      <c r="BX609" s="152" t="n">
        <v>-47.7638384</v>
      </c>
      <c r="BY609" s="152" t="s">
        <v>3865</v>
      </c>
    </row>
    <row r="610" customFormat="false" ht="13.8" hidden="false" customHeight="false" outlineLevel="0" collapsed="false">
      <c r="A610" s="149" t="n">
        <f aca="false">IF(C610&lt;&gt;"",ROW(A605),"")</f>
        <v>605</v>
      </c>
      <c r="B610" s="150" t="str">
        <f aca="false">HYPERLINK("https://www.google.com/maps/dir/-15.917302,-47.760003/-15.9254182,-47.7645266/data=!4m3!4m2!3e0!5i0")</f>
        <v>https://www.google.com/maps/dir/-15.917302,-47.760003/-15.9254182,-47.7645266/data=!4m3!4m2!3e0!5i0</v>
      </c>
      <c r="C610" s="151" t="s">
        <v>117</v>
      </c>
      <c r="D610" s="152" t="s">
        <v>112</v>
      </c>
      <c r="E610" s="152" t="s">
        <v>113</v>
      </c>
      <c r="F610" s="152" t="s">
        <v>117</v>
      </c>
      <c r="G610" s="152" t="s">
        <v>782</v>
      </c>
      <c r="H610" s="152" t="n">
        <v>63</v>
      </c>
      <c r="I610" s="152" t="s">
        <v>115</v>
      </c>
      <c r="J610" s="152" t="s">
        <v>6</v>
      </c>
      <c r="K610" s="152" t="s">
        <v>3786</v>
      </c>
      <c r="L610" s="152" t="s">
        <v>120</v>
      </c>
      <c r="M610" s="153" t="n">
        <f aca="false">63.57</f>
        <v>63.57</v>
      </c>
      <c r="N610" s="152" t="s">
        <v>1548</v>
      </c>
      <c r="O610" s="152" t="s">
        <v>1549</v>
      </c>
      <c r="P610" s="152" t="s">
        <v>1550</v>
      </c>
      <c r="Q610" s="152" t="s">
        <v>1551</v>
      </c>
      <c r="R610" s="154" t="s">
        <v>3867</v>
      </c>
      <c r="S610" s="154" t="s">
        <v>1553</v>
      </c>
      <c r="T610" s="155" t="s">
        <v>3795</v>
      </c>
      <c r="U610" s="152" t="str">
        <f aca="false">RIGHT(T610,7)</f>
        <v>013/037</v>
      </c>
      <c r="V610" s="152" t="s">
        <v>1555</v>
      </c>
      <c r="W610" s="156" t="n">
        <v>45882</v>
      </c>
      <c r="X610" s="152" t="s">
        <v>1594</v>
      </c>
      <c r="Y610" s="152" t="s">
        <v>3855</v>
      </c>
      <c r="Z610" s="152" t="s">
        <v>1557</v>
      </c>
      <c r="AA610" s="153" t="n">
        <v>1.7</v>
      </c>
      <c r="AB610" s="151" t="s">
        <v>3868</v>
      </c>
      <c r="AC610" s="151" t="s">
        <v>186</v>
      </c>
      <c r="AD610" s="151" t="str">
        <f aca="false">CONCATENATE($C610,$I610,$H610,$N610,$J610,$K610)</f>
        <v>TUBO PEADPEAD63VCAREDESZona06</v>
      </c>
      <c r="AE610" s="153" t="n">
        <f aca="false">IFERROR(INDEX(APOIO_REDES!$A:$W,MATCH($C610&amp;$I610&amp;$H610&amp;$N610&amp;$O610,APOIO_REDES!$W:$W,0),MATCH(AE$5,APOIO_REDES!$5:$5,0)),0)</f>
        <v>1.2</v>
      </c>
      <c r="AF610" s="153" t="n">
        <f aca="false">IFERROR(INDEX(APOIO_REDES!$A:$W,MATCH($C610&amp;$I610&amp;$H610&amp;$N610&amp;$O610,APOIO_REDES!$W:$W,0),MATCH(AF$5,APOIO_REDES!$5:$5,0)),0)</f>
        <v>1.363</v>
      </c>
      <c r="AG610" s="153" t="n">
        <f aca="false">IFERROR(INDEX(APOIO_REDES!$A:$W,MATCH($C610&amp;$I610&amp;$H610&amp;$N610&amp;$O610,APOIO_REDES!$W:$W,0),MATCH(AG$5,APOIO_REDES!$5:$5,0)),0)</f>
        <v>0.65</v>
      </c>
      <c r="AH610" s="153" t="n">
        <f aca="false">IFERROR(INDEX(APOIO_REDES!$A:$W,MATCH($C610&amp;$I610&amp;$H610&amp;$N610&amp;$O610,APOIO_REDES!$W:$W,0),MATCH(AH$5,APOIO_REDES!$5:$5,0)),0)</f>
        <v>0.1</v>
      </c>
      <c r="AI610" s="153" t="n">
        <f aca="false">IFERROR(IF($H610&lt;&gt;"",(((($H610/1000)/2)^2)*PI()*$M610),0),0)</f>
        <v>0.198163284390041</v>
      </c>
      <c r="AJ610" s="153" t="n">
        <f aca="false">IFERROR(IF(AND($H610&lt;&gt;"",$I610="FoFo",OR($N610="MND",$N610="VCA"),$Q610="LINEAR"),0,IF(AND($H610&lt;&gt;"",$I610="PEAD",$N610="VCA",$Q610="LINEAR"),($H610/1000)+0.3,IF(AND($H610&lt;&gt;"",$I610="PEAD",$N610="MND",$Q610="EMBOQUE"),0,IF(AND($H610&lt;&gt;"",$I610="PVC",$N610="VCA",$Q610="LINEAR"),($H610/1000)+0.2,IF(AND($H610&lt;&gt;"",$I610="PVC",$N610="MND",$Q610="EMBOQUE"),0,IF(AND($H610&lt;&gt;"",$I610="PEAD",$N610="VCA",$Q610="PREDIAL"),0,0)))))),0)</f>
        <v>0.363</v>
      </c>
      <c r="AK610" s="153" t="n">
        <f aca="false">IF(AA610&lt;&gt;"",AA610,0)</f>
        <v>1.7</v>
      </c>
      <c r="AL610" s="153" t="n">
        <f aca="false">IF(AND($N610="MND",$Q610="EMBOQUE"),$M610,IF(AND($N610="VCA",$Q610="LINEAR"),$M610,IF(AND($N610="VCA",$Q610="PREDIAL"),0,0)))</f>
        <v>63.57</v>
      </c>
      <c r="AM610" s="153" t="n">
        <f aca="false">IF(AND($N610="MND",$Q610="EMBOQUE"),$M610,IF(AND($N610="VCA",$Q610="LINEAR"),$M610,IF(AND($N610="VCA",$Q610="PREDIAL"),0,0)))</f>
        <v>63.57</v>
      </c>
      <c r="AN610" s="153" t="n">
        <f aca="false">ROUND(IF(AND($N610="VCA",$M610&lt;&gt;"",$Q610="LINEAR"),$M610/100,IF(AND($N610="MND",$M610&gt;100,$Q610="EMBOQUE"),$M610/100,0)),0)</f>
        <v>1</v>
      </c>
      <c r="AO610" s="153" t="n">
        <f aca="false">IF(AND($N610="MND",$Q610="EMBOQUE"),$AN610*2*2,IF(AND($N610="VCA",$Q610="LINEAR"),$M610*2,IF(AND($N610="VCA",$Q610="PREDIAL"),0,0)))</f>
        <v>127.14</v>
      </c>
      <c r="AP610" s="153" t="n">
        <f aca="false">IFERROR($M610*$AF610*$AG610,0)</f>
        <v>56.3198415</v>
      </c>
      <c r="AQ610" s="153" t="n">
        <f aca="false">IFERROR(IF(AND($N610="VCA",$AH610&gt;0),$M610*$AG610*$AH610,0),0)</f>
        <v>4.13205</v>
      </c>
      <c r="AR610" s="153" t="n">
        <f aca="false">IFERROR(IF(AND($N610="VCA",$AJ610&gt;0),($M610*$AG610*$AJ610)-$AI610,0),0)</f>
        <v>14.80117821561</v>
      </c>
      <c r="AS610" s="153" t="n">
        <f aca="false">IFERROR(IF(AND($N610="VCA",$AP610&gt;0),$AP610-$AI610-$AQ610-$AR610,0),0)</f>
        <v>37.18845</v>
      </c>
      <c r="AT610" s="153" t="n">
        <f aca="false">IFERROR(IF($N610="VCA",INDEX(APOIO_REDES!$A:$W,MATCH($C610&amp;$I610&amp;$H610&amp;$N610&amp;$O610,APOIO_REDES!$W:$W,0),MATCH(AT$5,APOIO_REDES!$5:$5,0)),0)*$AP610,0)</f>
        <v>0.612776545342175</v>
      </c>
      <c r="AU610" s="153" t="n">
        <f aca="false">IFERROR(IF($N610="VCA",INDEX(APOIO_REDES!$A:$W,MATCH($C610&amp;$I610&amp;$H610&amp;$N610&amp;$O610,APOIO_REDES!$W:$W,0),MATCH(AU$5,APOIO_REDES!$5:$5,0)),0)*$AP610,0)</f>
        <v>0.489346753016688</v>
      </c>
      <c r="AV610" s="153" t="n">
        <f aca="false">IFERROR(IF($N610="VCA",INDEX(APOIO_REDES!$A:$W,MATCH($C610&amp;$I610&amp;$H610&amp;$N610&amp;$O610,APOIO_REDES!$W:$W,0),MATCH(AV$5,APOIO_REDES!$5:$5,0)),0)*$AP610,0)</f>
        <v>0.0677217490948797</v>
      </c>
      <c r="AW610" s="153" t="n">
        <f aca="false">IFERROR(IF($N610="VCA",INDEX(APOIO_REDES!$A:$W,MATCH($C610&amp;$I610&amp;$H610&amp;$N610&amp;$O610,APOIO_REDES!$W:$W,0),MATCH(AW$5,APOIO_REDES!$5:$5,0)),0)*$AP610,0)</f>
        <v>38.6583755930266</v>
      </c>
      <c r="AX610" s="153" t="n">
        <f aca="false">IFERROR(IF($N610="VCA",INDEX(APOIO_REDES!$A:$W,MATCH($C610&amp;$I610&amp;$H610&amp;$N610&amp;$O610,APOIO_REDES!$W:$W,0),MATCH(AX$5,APOIO_REDES!$5:$5,0)),0)*$AP610,0)</f>
        <v>5.35020906160754</v>
      </c>
      <c r="AY610" s="153" t="n">
        <f aca="false">IFERROR(IF($N610="VCA",INDEX(APOIO_REDES!$A:$W,MATCH($C610&amp;$I610&amp;$H610&amp;$N610&amp;$O610,APOIO_REDES!$W:$W,0),MATCH(AY$5,APOIO_REDES!$5:$5,0)),0)*$AP610,0)</f>
        <v>9.78692909523651</v>
      </c>
      <c r="AZ610" s="153" t="n">
        <f aca="false">IFERROR(IF($N610="VCA",INDEX(APOIO_REDES!$A:$W,MATCH($C610&amp;$I610&amp;$H610&amp;$N610&amp;$O610,APOIO_REDES!$W:$W,0),MATCH(AZ$5,APOIO_REDES!$5:$5,0)),0)*$AP610,0)</f>
        <v>1.35448270267561</v>
      </c>
      <c r="BA610" s="153" t="n">
        <f aca="false">IFERROR(IF(AND($N610="VCA",$Q610="LINEAR"),INDEX(APOIO_REDES!$A:$W,MATCH($C610&amp;$I610&amp;$H610&amp;$N610&amp;$O610,APOIO_REDES!$W:$W,0),MATCH(BA$5,APOIO_REDES!$5:$5,0)),IF(AND($N610="MND",$Q610="EMBOQUE"),INDEX(APOIO_REDES!$A:$W,MATCH($C610&amp;$I610&amp;$H610&amp;$N610&amp;$O610,APOIO_REDES!$W:$W,0),MATCH(BA$5,APOIO_REDES!$5:$5,0)),0))*$M610/10,0)</f>
        <v>5.12358164974663</v>
      </c>
      <c r="BB610" s="153" t="n">
        <f aca="false">IFERROR(IF($N610="VCA",INDEX(APOIO_REDES!$A:$W,MATCH($C610&amp;$I610&amp;$H610&amp;$N610&amp;$O610,APOIO_REDES!$W:$W,0),MATCH(BB$5,APOIO_REDES!$5:$5,0)),0)*($AI610+$AQ610+$AR610),0)</f>
        <v>18.9232362978772</v>
      </c>
      <c r="BC610" s="153" t="n">
        <f aca="false">IFERROR(IF($N610="VCA",INDEX(APOIO_REDES!$A:$W,MATCH($C610&amp;$I610&amp;$H610&amp;$N610&amp;$O610,APOIO_REDES!$W:$W,0),MATCH(BC$5,APOIO_REDES!$5:$5,0)),0)*($AI610+$AQ610+$AR610),0)</f>
        <v>0.208155202122837</v>
      </c>
      <c r="BD610" s="153" t="n">
        <f aca="false">IF(AND($N610="VCA",$AF610&gt;=1.25,$AF610&lt;1.5),$M610*$AF610*2,0)</f>
        <v>173.29182</v>
      </c>
      <c r="BE610" s="153" t="n">
        <f aca="false">IF(AND($N610="VCA",$AF610&gt;=1.5,$AF610&lt;3),$M610*$AF610*2,0)</f>
        <v>0</v>
      </c>
      <c r="BF610" s="153" t="n">
        <f aca="false">IF(AND($N610="VCA",$AF610&gt;=3),$M610*$AF610*2,0)</f>
        <v>0</v>
      </c>
      <c r="BG610" s="153" t="n">
        <f aca="false">($BB610+$BC610)*$AK610</f>
        <v>32.52336555</v>
      </c>
      <c r="BH610" s="153" t="n">
        <f aca="false">IF(AND($M610&lt;&gt;"",$N610="VCA",$Q610="LINEAR"),($M610*2)/100,IF(AND($M610&lt;&gt;"",$N610="MND",$Q610="EMBOQUE"),($AN610*2)/100,0))</f>
        <v>1.2714</v>
      </c>
      <c r="BI610" s="153" t="n">
        <f aca="false">IF(AND($M610&lt;&gt;"",$N610="VCA",$Q610="LINEAR"),$M610,IF(AND($M610&lt;&gt;"",$N610="MND",$Q610="EMBOQUE"),$AN610*2,0))</f>
        <v>63.57</v>
      </c>
      <c r="BJ610" s="153" t="n">
        <f aca="false">IF(AND($M610&lt;&gt;"",$N610="VCA",$Q610="LINEAR"),($M610*6.8)/100,IF(AND($M610&lt;&gt;"",$N610="MND",$Q610="EMBOQUE"),($AN610*2*6.8)/100,0))</f>
        <v>4.32276</v>
      </c>
      <c r="BK610" s="153" t="n">
        <f aca="false">IF(AND($M610&lt;&gt;"",$N610="VCA",$Q610="LINEAR"),($M610*2.5)/50,IF(AND($M610&lt;&gt;"",$N610="MND",$Q610="EMBOQUE"),($AN610*2*2.5)/50,0))</f>
        <v>3.1785</v>
      </c>
      <c r="BL610" s="157" t="str">
        <f aca="false">K610&amp;J610</f>
        <v>Zona06REDES</v>
      </c>
      <c r="BM610" s="152" t="s">
        <v>3790</v>
      </c>
      <c r="BN610" s="152" t="s">
        <v>1560</v>
      </c>
      <c r="BO610" s="152" t="s">
        <v>3797</v>
      </c>
      <c r="BP610" s="152" t="s">
        <v>3850</v>
      </c>
      <c r="BQ610" s="152" t="s">
        <v>3256</v>
      </c>
      <c r="BR610" s="152" t="s">
        <v>3851</v>
      </c>
      <c r="BS610" s="152" t="n">
        <v>204011.259</v>
      </c>
      <c r="BT610" s="152" t="n">
        <v>8237353.995</v>
      </c>
      <c r="BU610" s="152" t="n">
        <v>203972.893</v>
      </c>
      <c r="BV610" s="152" t="n">
        <v>8237303.33</v>
      </c>
      <c r="BW610" s="152" t="n">
        <v>-15.9256471</v>
      </c>
      <c r="BX610" s="152" t="n">
        <v>-47.7647057</v>
      </c>
      <c r="BY610" s="152" t="s">
        <v>3850</v>
      </c>
    </row>
    <row r="611" customFormat="false" ht="13.8" hidden="false" customHeight="false" outlineLevel="0" collapsed="false">
      <c r="A611" s="149" t="n">
        <f aca="false">IF(C611&lt;&gt;"",ROW(A606),"")</f>
        <v>606</v>
      </c>
      <c r="B611" s="150" t="str">
        <f aca="false">HYPERLINK("https://www.google.com/maps/dir/-15.917302,-47.760003/-15.9258087,-47.7640115/data=!4m3!4m2!3e0!5i2")</f>
        <v>https://www.google.com/maps/dir/-15.917302,-47.760003/-15.9258087,-47.7640115/data=!4m3!4m2!3e0!5i2</v>
      </c>
      <c r="C611" s="151" t="s">
        <v>117</v>
      </c>
      <c r="D611" s="152" t="s">
        <v>112</v>
      </c>
      <c r="E611" s="152" t="s">
        <v>113</v>
      </c>
      <c r="F611" s="152" t="s">
        <v>117</v>
      </c>
      <c r="G611" s="152" t="s">
        <v>782</v>
      </c>
      <c r="H611" s="152" t="n">
        <v>63</v>
      </c>
      <c r="I611" s="152" t="s">
        <v>115</v>
      </c>
      <c r="J611" s="152" t="s">
        <v>6</v>
      </c>
      <c r="K611" s="152" t="s">
        <v>3786</v>
      </c>
      <c r="L611" s="152" t="s">
        <v>120</v>
      </c>
      <c r="M611" s="153" t="n">
        <f aca="false">32.62</f>
        <v>32.62</v>
      </c>
      <c r="N611" s="152" t="s">
        <v>1548</v>
      </c>
      <c r="O611" s="152" t="s">
        <v>1549</v>
      </c>
      <c r="P611" s="152" t="s">
        <v>1550</v>
      </c>
      <c r="Q611" s="152" t="s">
        <v>1551</v>
      </c>
      <c r="R611" s="154" t="s">
        <v>3869</v>
      </c>
      <c r="S611" s="154" t="s">
        <v>1553</v>
      </c>
      <c r="T611" s="155" t="s">
        <v>3795</v>
      </c>
      <c r="U611" s="152" t="str">
        <f aca="false">RIGHT(T611,7)</f>
        <v>013/037</v>
      </c>
      <c r="V611" s="152" t="s">
        <v>1555</v>
      </c>
      <c r="W611" s="156" t="n">
        <v>45882</v>
      </c>
      <c r="X611" s="152" t="s">
        <v>1594</v>
      </c>
      <c r="Y611" s="152" t="s">
        <v>2276</v>
      </c>
      <c r="Z611" s="152" t="s">
        <v>1557</v>
      </c>
      <c r="AA611" s="153" t="n">
        <v>1.9</v>
      </c>
      <c r="AB611" s="151" t="s">
        <v>3870</v>
      </c>
      <c r="AC611" s="151" t="s">
        <v>186</v>
      </c>
      <c r="AD611" s="151" t="str">
        <f aca="false">CONCATENATE($C611,$I611,$H611,$N611,$J611,$K611)</f>
        <v>TUBO PEADPEAD63VCAREDESZona06</v>
      </c>
      <c r="AE611" s="153" t="n">
        <f aca="false">IFERROR(INDEX(APOIO_REDES!$A:$W,MATCH($C611&amp;$I611&amp;$H611&amp;$N611&amp;$O611,APOIO_REDES!$W:$W,0),MATCH(AE$5,APOIO_REDES!$5:$5,0)),0)</f>
        <v>1.2</v>
      </c>
      <c r="AF611" s="153" t="n">
        <f aca="false">IFERROR(INDEX(APOIO_REDES!$A:$W,MATCH($C611&amp;$I611&amp;$H611&amp;$N611&amp;$O611,APOIO_REDES!$W:$W,0),MATCH(AF$5,APOIO_REDES!$5:$5,0)),0)</f>
        <v>1.363</v>
      </c>
      <c r="AG611" s="153" t="n">
        <f aca="false">IFERROR(INDEX(APOIO_REDES!$A:$W,MATCH($C611&amp;$I611&amp;$H611&amp;$N611&amp;$O611,APOIO_REDES!$W:$W,0),MATCH(AG$5,APOIO_REDES!$5:$5,0)),0)</f>
        <v>0.65</v>
      </c>
      <c r="AH611" s="153" t="n">
        <f aca="false">IFERROR(INDEX(APOIO_REDES!$A:$W,MATCH($C611&amp;$I611&amp;$H611&amp;$N611&amp;$O611,APOIO_REDES!$W:$W,0),MATCH(AH$5,APOIO_REDES!$5:$5,0)),0)</f>
        <v>0.1</v>
      </c>
      <c r="AI611" s="153" t="n">
        <f aca="false">IFERROR(IF($H611&lt;&gt;"",(((($H611/1000)/2)^2)*PI()*$M611),0),0)</f>
        <v>0.101684542029308</v>
      </c>
      <c r="AJ611" s="153" t="n">
        <f aca="false">IFERROR(IF(AND($H611&lt;&gt;"",$I611="FoFo",OR($N611="MND",$N611="VCA"),$Q611="LINEAR"),0,IF(AND($H611&lt;&gt;"",$I611="PEAD",$N611="VCA",$Q611="LINEAR"),($H611/1000)+0.3,IF(AND($H611&lt;&gt;"",$I611="PEAD",$N611="MND",$Q611="EMBOQUE"),0,IF(AND($H611&lt;&gt;"",$I611="PVC",$N611="VCA",$Q611="LINEAR"),($H611/1000)+0.2,IF(AND($H611&lt;&gt;"",$I611="PVC",$N611="MND",$Q611="EMBOQUE"),0,IF(AND($H611&lt;&gt;"",$I611="PEAD",$N611="VCA",$Q611="PREDIAL"),0,0)))))),0)</f>
        <v>0.363</v>
      </c>
      <c r="AK611" s="153" t="n">
        <f aca="false">IF(AA611&lt;&gt;"",AA611,0)</f>
        <v>1.9</v>
      </c>
      <c r="AL611" s="153" t="n">
        <f aca="false">IF(AND($N611="MND",$Q611="EMBOQUE"),$M611,IF(AND($N611="VCA",$Q611="LINEAR"),$M611,IF(AND($N611="VCA",$Q611="PREDIAL"),0,0)))</f>
        <v>32.62</v>
      </c>
      <c r="AM611" s="153" t="n">
        <f aca="false">IF(AND($N611="MND",$Q611="EMBOQUE"),$M611,IF(AND($N611="VCA",$Q611="LINEAR"),$M611,IF(AND($N611="VCA",$Q611="PREDIAL"),0,0)))</f>
        <v>32.62</v>
      </c>
      <c r="AN611" s="153" t="n">
        <f aca="false">ROUND(IF(AND($N611="VCA",$M611&lt;&gt;"",$Q611="LINEAR"),$M611/100,IF(AND($N611="MND",$M611&gt;100,$Q611="EMBOQUE"),$M611/100,0)),0)</f>
        <v>0</v>
      </c>
      <c r="AO611" s="153" t="n">
        <f aca="false">IF(AND($N611="MND",$Q611="EMBOQUE"),$AN611*2*2,IF(AND($N611="VCA",$Q611="LINEAR"),$M611*2,IF(AND($N611="VCA",$Q611="PREDIAL"),0,0)))</f>
        <v>65.24</v>
      </c>
      <c r="AP611" s="153" t="n">
        <f aca="false">IFERROR($M611*$AF611*$AG611,0)</f>
        <v>28.899689</v>
      </c>
      <c r="AQ611" s="153" t="n">
        <f aca="false">IFERROR(IF(AND($N611="VCA",$AH611&gt;0),$M611*$AG611*$AH611,0),0)</f>
        <v>2.1203</v>
      </c>
      <c r="AR611" s="153" t="n">
        <f aca="false">IFERROR(IF(AND($N611="VCA",$AJ611&gt;0),($M611*$AG611*$AJ611)-$AI611,0),0)</f>
        <v>7.59500445797069</v>
      </c>
      <c r="AS611" s="153" t="n">
        <f aca="false">IFERROR(IF(AND($N611="VCA",$AP611&gt;0),$AP611-$AI611-$AQ611-$AR611,0),0)</f>
        <v>19.0827</v>
      </c>
      <c r="AT611" s="153" t="n">
        <f aca="false">IFERROR(IF($N611="VCA",INDEX(APOIO_REDES!$A:$W,MATCH($C611&amp;$I611&amp;$H611&amp;$N611&amp;$O611,APOIO_REDES!$W:$W,0),MATCH(AT$5,APOIO_REDES!$5:$5,0)),0)*$AP611,0)</f>
        <v>0.314437170191313</v>
      </c>
      <c r="AU611" s="153" t="n">
        <f aca="false">IFERROR(IF($N611="VCA",INDEX(APOIO_REDES!$A:$W,MATCH($C611&amp;$I611&amp;$H611&amp;$N611&amp;$O611,APOIO_REDES!$W:$W,0),MATCH(AU$5,APOIO_REDES!$5:$5,0)),0)*$AP611,0)</f>
        <v>0.251101008076205</v>
      </c>
      <c r="AV611" s="153" t="n">
        <f aca="false">IFERROR(IF($N611="VCA",INDEX(APOIO_REDES!$A:$W,MATCH($C611&amp;$I611&amp;$H611&amp;$N611&amp;$O611,APOIO_REDES!$W:$W,0),MATCH(AV$5,APOIO_REDES!$5:$5,0)),0)*$AP611,0)</f>
        <v>0.0347504082975457</v>
      </c>
      <c r="AW611" s="153" t="n">
        <f aca="false">IFERROR(IF($N611="VCA",INDEX(APOIO_REDES!$A:$W,MATCH($C611&amp;$I611&amp;$H611&amp;$N611&amp;$O611,APOIO_REDES!$W:$W,0),MATCH(AW$5,APOIO_REDES!$5:$5,0)),0)*$AP611,0)</f>
        <v>19.8369704553174</v>
      </c>
      <c r="AX611" s="153" t="n">
        <f aca="false">IFERROR(IF($N611="VCA",INDEX(APOIO_REDES!$A:$W,MATCH($C611&amp;$I611&amp;$H611&amp;$N611&amp;$O611,APOIO_REDES!$W:$W,0),MATCH(AX$5,APOIO_REDES!$5:$5,0)),0)*$AP611,0)</f>
        <v>2.74538020433598</v>
      </c>
      <c r="AY611" s="153" t="n">
        <f aca="false">IFERROR(IF($N611="VCA",INDEX(APOIO_REDES!$A:$W,MATCH($C611&amp;$I611&amp;$H611&amp;$N611&amp;$O611,APOIO_REDES!$W:$W,0),MATCH(AY$5,APOIO_REDES!$5:$5,0)),0)*$AP611,0)</f>
        <v>5.02201710062317</v>
      </c>
      <c r="AZ611" s="153" t="n">
        <f aca="false">IFERROR(IF($N611="VCA",INDEX(APOIO_REDES!$A:$W,MATCH($C611&amp;$I611&amp;$H611&amp;$N611&amp;$O611,APOIO_REDES!$W:$W,0),MATCH(AZ$5,APOIO_REDES!$5:$5,0)),0)*$AP611,0)</f>
        <v>0.695032653158381</v>
      </c>
      <c r="BA611" s="153" t="n">
        <f aca="false">IFERROR(IF(AND($N611="VCA",$Q611="LINEAR"),INDEX(APOIO_REDES!$A:$W,MATCH($C611&amp;$I611&amp;$H611&amp;$N611&amp;$O611,APOIO_REDES!$W:$W,0),MATCH(BA$5,APOIO_REDES!$5:$5,0)),IF(AND($N611="MND",$Q611="EMBOQUE"),INDEX(APOIO_REDES!$A:$W,MATCH($C611&amp;$I611&amp;$H611&amp;$N611&amp;$O611,APOIO_REDES!$W:$W,0),MATCH(BA$5,APOIO_REDES!$5:$5,0)),0))*$M611/10,0)</f>
        <v>2.62908971865243</v>
      </c>
      <c r="BB611" s="153" t="n">
        <f aca="false">IFERROR(IF($N611="VCA",INDEX(APOIO_REDES!$A:$W,MATCH($C611&amp;$I611&amp;$H611&amp;$N611&amp;$O611,APOIO_REDES!$W:$W,0),MATCH(BB$5,APOIO_REDES!$5:$5,0)),0)*($AI611+$AQ611+$AR611),0)</f>
        <v>9.71017725399958</v>
      </c>
      <c r="BC611" s="153" t="n">
        <f aca="false">IFERROR(IF($N611="VCA",INDEX(APOIO_REDES!$A:$W,MATCH($C611&amp;$I611&amp;$H611&amp;$N611&amp;$O611,APOIO_REDES!$W:$W,0),MATCH(BC$5,APOIO_REDES!$5:$5,0)),0)*($AI611+$AQ611+$AR611),0)</f>
        <v>0.106811746000424</v>
      </c>
      <c r="BD611" s="153" t="n">
        <f aca="false">IF(AND($N611="VCA",$AF611&gt;=1.25,$AF611&lt;1.5),$M611*$AF611*2,0)</f>
        <v>88.92212</v>
      </c>
      <c r="BE611" s="153" t="n">
        <f aca="false">IF(AND($N611="VCA",$AF611&gt;=1.5,$AF611&lt;3),$M611*$AF611*2,0)</f>
        <v>0</v>
      </c>
      <c r="BF611" s="153" t="n">
        <f aca="false">IF(AND($N611="VCA",$AF611&gt;=3),$M611*$AF611*2,0)</f>
        <v>0</v>
      </c>
      <c r="BG611" s="153" t="n">
        <f aca="false">($BB611+$BC611)*$AK611</f>
        <v>18.6522791</v>
      </c>
      <c r="BH611" s="153" t="n">
        <f aca="false">IF(AND($M611&lt;&gt;"",$N611="VCA",$Q611="LINEAR"),($M611*2)/100,IF(AND($M611&lt;&gt;"",$N611="MND",$Q611="EMBOQUE"),($AN611*2)/100,0))</f>
        <v>0.6524</v>
      </c>
      <c r="BI611" s="153" t="n">
        <f aca="false">IF(AND($M611&lt;&gt;"",$N611="VCA",$Q611="LINEAR"),$M611,IF(AND($M611&lt;&gt;"",$N611="MND",$Q611="EMBOQUE"),$AN611*2,0))</f>
        <v>32.62</v>
      </c>
      <c r="BJ611" s="153" t="n">
        <f aca="false">IF(AND($M611&lt;&gt;"",$N611="VCA",$Q611="LINEAR"),($M611*6.8)/100,IF(AND($M611&lt;&gt;"",$N611="MND",$Q611="EMBOQUE"),($AN611*2*6.8)/100,0))</f>
        <v>2.21816</v>
      </c>
      <c r="BK611" s="153" t="n">
        <f aca="false">IF(AND($M611&lt;&gt;"",$N611="VCA",$Q611="LINEAR"),($M611*2.5)/50,IF(AND($M611&lt;&gt;"",$N611="MND",$Q611="EMBOQUE"),($AN611*2*2.5)/50,0))</f>
        <v>1.631</v>
      </c>
      <c r="BL611" s="157" t="str">
        <f aca="false">K611&amp;J611</f>
        <v>Zona06REDES</v>
      </c>
      <c r="BM611" s="152" t="s">
        <v>3790</v>
      </c>
      <c r="BN611" s="152" t="s">
        <v>1560</v>
      </c>
      <c r="BO611" s="152" t="s">
        <v>3797</v>
      </c>
      <c r="BP611" s="152" t="s">
        <v>3871</v>
      </c>
      <c r="BQ611" s="152" t="s">
        <v>3849</v>
      </c>
      <c r="BR611" s="152" t="s">
        <v>3872</v>
      </c>
      <c r="BS611" s="152" t="n">
        <v>204067.023</v>
      </c>
      <c r="BT611" s="152" t="n">
        <v>8237311.497</v>
      </c>
      <c r="BU611" s="152" t="n">
        <v>204040.609</v>
      </c>
      <c r="BV611" s="152" t="n">
        <v>8237330.631</v>
      </c>
      <c r="BW611" s="152" t="n">
        <v>-15.9257202</v>
      </c>
      <c r="BX611" s="152" t="n">
        <v>-47.7641331</v>
      </c>
      <c r="BY611" s="152" t="s">
        <v>3871</v>
      </c>
    </row>
    <row r="612" customFormat="false" ht="13.8" hidden="false" customHeight="false" outlineLevel="0" collapsed="false">
      <c r="A612" s="149" t="n">
        <f aca="false">IF(C612&lt;&gt;"",ROW(A607),"")</f>
        <v>607</v>
      </c>
      <c r="B612" s="150" t="str">
        <f aca="false">HYPERLINK("https://www.google.com/maps/dir/-15.917302,-47.760003/-15.9261192,-47.7623671/data=!4m3!4m2!3e0!5i0")</f>
        <v>https://www.google.com/maps/dir/-15.917302,-47.760003/-15.9261192,-47.7623671/data=!4m3!4m2!3e0!5i0</v>
      </c>
      <c r="C612" s="151" t="s">
        <v>117</v>
      </c>
      <c r="D612" s="152" t="s">
        <v>112</v>
      </c>
      <c r="E612" s="152" t="s">
        <v>113</v>
      </c>
      <c r="F612" s="152" t="s">
        <v>117</v>
      </c>
      <c r="G612" s="152" t="s">
        <v>782</v>
      </c>
      <c r="H612" s="152" t="n">
        <v>63</v>
      </c>
      <c r="I612" s="152" t="s">
        <v>115</v>
      </c>
      <c r="J612" s="152" t="s">
        <v>6</v>
      </c>
      <c r="K612" s="152" t="s">
        <v>3786</v>
      </c>
      <c r="L612" s="152" t="s">
        <v>120</v>
      </c>
      <c r="M612" s="153" t="n">
        <f aca="false">65.21</f>
        <v>65.21</v>
      </c>
      <c r="N612" s="152" t="s">
        <v>1548</v>
      </c>
      <c r="O612" s="152" t="s">
        <v>1549</v>
      </c>
      <c r="P612" s="152" t="s">
        <v>1550</v>
      </c>
      <c r="Q612" s="152" t="s">
        <v>1551</v>
      </c>
      <c r="R612" s="154" t="s">
        <v>3873</v>
      </c>
      <c r="S612" s="154" t="s">
        <v>1553</v>
      </c>
      <c r="T612" s="155" t="s">
        <v>3795</v>
      </c>
      <c r="U612" s="152" t="str">
        <f aca="false">RIGHT(T612,7)</f>
        <v>013/037</v>
      </c>
      <c r="V612" s="152" t="s">
        <v>1555</v>
      </c>
      <c r="W612" s="156" t="n">
        <v>45882</v>
      </c>
      <c r="X612" s="152" t="s">
        <v>1594</v>
      </c>
      <c r="Y612" s="152" t="s">
        <v>2276</v>
      </c>
      <c r="Z612" s="152" t="s">
        <v>1557</v>
      </c>
      <c r="AA612" s="153" t="n">
        <v>1.5</v>
      </c>
      <c r="AB612" s="151" t="s">
        <v>3874</v>
      </c>
      <c r="AC612" s="151" t="s">
        <v>186</v>
      </c>
      <c r="AD612" s="151" t="str">
        <f aca="false">CONCATENATE($C612,$I612,$H612,$N612,$J612,$K612)</f>
        <v>TUBO PEADPEAD63VCAREDESZona06</v>
      </c>
      <c r="AE612" s="153" t="n">
        <f aca="false">IFERROR(INDEX(APOIO_REDES!$A:$W,MATCH($C612&amp;$I612&amp;$H612&amp;$N612&amp;$O612,APOIO_REDES!$W:$W,0),MATCH(AE$5,APOIO_REDES!$5:$5,0)),0)</f>
        <v>1.2</v>
      </c>
      <c r="AF612" s="153" t="n">
        <f aca="false">IFERROR(INDEX(APOIO_REDES!$A:$W,MATCH($C612&amp;$I612&amp;$H612&amp;$N612&amp;$O612,APOIO_REDES!$W:$W,0),MATCH(AF$5,APOIO_REDES!$5:$5,0)),0)</f>
        <v>1.363</v>
      </c>
      <c r="AG612" s="153" t="n">
        <f aca="false">IFERROR(INDEX(APOIO_REDES!$A:$W,MATCH($C612&amp;$I612&amp;$H612&amp;$N612&amp;$O612,APOIO_REDES!$W:$W,0),MATCH(AG$5,APOIO_REDES!$5:$5,0)),0)</f>
        <v>0.65</v>
      </c>
      <c r="AH612" s="153" t="n">
        <f aca="false">IFERROR(INDEX(APOIO_REDES!$A:$W,MATCH($C612&amp;$I612&amp;$H612&amp;$N612&amp;$O612,APOIO_REDES!$W:$W,0),MATCH(AH$5,APOIO_REDES!$5:$5,0)),0)</f>
        <v>0.1</v>
      </c>
      <c r="AI612" s="153" t="n">
        <f aca="false">IFERROR(IF($H612&lt;&gt;"",(((($H612/1000)/2)^2)*PI()*$M612),0),0)</f>
        <v>0.203275566699301</v>
      </c>
      <c r="AJ612" s="153" t="n">
        <f aca="false">IFERROR(IF(AND($H612&lt;&gt;"",$I612="FoFo",OR($N612="MND",$N612="VCA"),$Q612="LINEAR"),0,IF(AND($H612&lt;&gt;"",$I612="PEAD",$N612="VCA",$Q612="LINEAR"),($H612/1000)+0.3,IF(AND($H612&lt;&gt;"",$I612="PEAD",$N612="MND",$Q612="EMBOQUE"),0,IF(AND($H612&lt;&gt;"",$I612="PVC",$N612="VCA",$Q612="LINEAR"),($H612/1000)+0.2,IF(AND($H612&lt;&gt;"",$I612="PVC",$N612="MND",$Q612="EMBOQUE"),0,IF(AND($H612&lt;&gt;"",$I612="PEAD",$N612="VCA",$Q612="PREDIAL"),0,0)))))),0)</f>
        <v>0.363</v>
      </c>
      <c r="AK612" s="153" t="n">
        <f aca="false">IF(AA612&lt;&gt;"",AA612,0)</f>
        <v>1.5</v>
      </c>
      <c r="AL612" s="153" t="n">
        <f aca="false">IF(AND($N612="MND",$Q612="EMBOQUE"),$M612,IF(AND($N612="VCA",$Q612="LINEAR"),$M612,IF(AND($N612="VCA",$Q612="PREDIAL"),0,0)))</f>
        <v>65.21</v>
      </c>
      <c r="AM612" s="153" t="n">
        <f aca="false">IF(AND($N612="MND",$Q612="EMBOQUE"),$M612,IF(AND($N612="VCA",$Q612="LINEAR"),$M612,IF(AND($N612="VCA",$Q612="PREDIAL"),0,0)))</f>
        <v>65.21</v>
      </c>
      <c r="AN612" s="153" t="n">
        <f aca="false">ROUND(IF(AND($N612="VCA",$M612&lt;&gt;"",$Q612="LINEAR"),$M612/100,IF(AND($N612="MND",$M612&gt;100,$Q612="EMBOQUE"),$M612/100,0)),0)</f>
        <v>1</v>
      </c>
      <c r="AO612" s="153" t="n">
        <f aca="false">IF(AND($N612="MND",$Q612="EMBOQUE"),$AN612*2*2,IF(AND($N612="VCA",$Q612="LINEAR"),$M612*2,IF(AND($N612="VCA",$Q612="PREDIAL"),0,0)))</f>
        <v>130.42</v>
      </c>
      <c r="AP612" s="153" t="n">
        <f aca="false">IFERROR($M612*$AF612*$AG612,0)</f>
        <v>57.7727995</v>
      </c>
      <c r="AQ612" s="153" t="n">
        <f aca="false">IFERROR(IF(AND($N612="VCA",$AH612&gt;0),$M612*$AG612*$AH612,0),0)</f>
        <v>4.23865</v>
      </c>
      <c r="AR612" s="153" t="n">
        <f aca="false">IFERROR(IF(AND($N612="VCA",$AJ612&gt;0),($M612*$AG612*$AJ612)-$AI612,0),0)</f>
        <v>15.1830239333007</v>
      </c>
      <c r="AS612" s="153" t="n">
        <f aca="false">IFERROR(IF(AND($N612="VCA",$AP612&gt;0),$AP612-$AI612-$AQ612-$AR612,0),0)</f>
        <v>38.14785</v>
      </c>
      <c r="AT612" s="153" t="n">
        <f aca="false">IFERROR(IF($N612="VCA",INDEX(APOIO_REDES!$A:$W,MATCH($C612&amp;$I612&amp;$H612&amp;$N612&amp;$O612,APOIO_REDES!$W:$W,0),MATCH(AT$5,APOIO_REDES!$5:$5,0)),0)*$AP612,0)</f>
        <v>0.628585158435791</v>
      </c>
      <c r="AU612" s="153" t="n">
        <f aca="false">IFERROR(IF($N612="VCA",INDEX(APOIO_REDES!$A:$W,MATCH($C612&amp;$I612&amp;$H612&amp;$N612&amp;$O612,APOIO_REDES!$W:$W,0),MATCH(AU$5,APOIO_REDES!$5:$5,0)),0)*$AP612,0)</f>
        <v>0.501971083281709</v>
      </c>
      <c r="AV612" s="153" t="n">
        <f aca="false">IFERROR(IF($N612="VCA",INDEX(APOIO_REDES!$A:$W,MATCH($C612&amp;$I612&amp;$H612&amp;$N612&amp;$O612,APOIO_REDES!$W:$W,0),MATCH(AV$5,APOIO_REDES!$5:$5,0)),0)*$AP612,0)</f>
        <v>0.0694688572986803</v>
      </c>
      <c r="AW612" s="153" t="n">
        <f aca="false">IFERROR(IF($N612="VCA",INDEX(APOIO_REDES!$A:$W,MATCH($C612&amp;$I612&amp;$H612&amp;$N612&amp;$O612,APOIO_REDES!$W:$W,0),MATCH(AW$5,APOIO_REDES!$5:$5,0)),0)*$AP612,0)</f>
        <v>39.6556972222946</v>
      </c>
      <c r="AX612" s="153" t="n">
        <f aca="false">IFERROR(IF($N612="VCA",INDEX(APOIO_REDES!$A:$W,MATCH($C612&amp;$I612&amp;$H612&amp;$N612&amp;$O612,APOIO_REDES!$W:$W,0),MATCH(AX$5,APOIO_REDES!$5:$5,0)),0)*$AP612,0)</f>
        <v>5.48823553417379</v>
      </c>
      <c r="AY612" s="153" t="n">
        <f aca="false">IFERROR(IF($N612="VCA",INDEX(APOIO_REDES!$A:$W,MATCH($C612&amp;$I612&amp;$H612&amp;$N612&amp;$O612,APOIO_REDES!$W:$W,0),MATCH(AY$5,APOIO_REDES!$5:$5,0)),0)*$AP612,0)</f>
        <v>10.0394155466474</v>
      </c>
      <c r="AZ612" s="153" t="n">
        <f aca="false">IFERROR(IF($N612="VCA",INDEX(APOIO_REDES!$A:$W,MATCH($C612&amp;$I612&amp;$H612&amp;$N612&amp;$O612,APOIO_REDES!$W:$W,0),MATCH(AZ$5,APOIO_REDES!$5:$5,0)),0)*$AP612,0)</f>
        <v>1.38942609786812</v>
      </c>
      <c r="BA612" s="153" t="n">
        <f aca="false">IFERROR(IF(AND($N612="VCA",$Q612="LINEAR"),INDEX(APOIO_REDES!$A:$W,MATCH($C612&amp;$I612&amp;$H612&amp;$N612&amp;$O612,APOIO_REDES!$W:$W,0),MATCH(BA$5,APOIO_REDES!$5:$5,0)),IF(AND($N612="MND",$Q612="EMBOQUE"),INDEX(APOIO_REDES!$A:$W,MATCH($C612&amp;$I612&amp;$H612&amp;$N612&amp;$O612,APOIO_REDES!$W:$W,0),MATCH(BA$5,APOIO_REDES!$5:$5,0)),0))*$M612/10,0)</f>
        <v>5.25576151297747</v>
      </c>
      <c r="BB612" s="153" t="n">
        <f aca="false">IFERROR(IF($N612="VCA",INDEX(APOIO_REDES!$A:$W,MATCH($C612&amp;$I612&amp;$H612&amp;$N612&amp;$O612,APOIO_REDES!$W:$W,0),MATCH(BB$5,APOIO_REDES!$5:$5,0)),0)*($AI612+$AQ612+$AR612),0)</f>
        <v>19.4114242407515</v>
      </c>
      <c r="BC612" s="153" t="n">
        <f aca="false">IFERROR(IF($N612="VCA",INDEX(APOIO_REDES!$A:$W,MATCH($C612&amp;$I612&amp;$H612&amp;$N612&amp;$O612,APOIO_REDES!$W:$W,0),MATCH(BC$5,APOIO_REDES!$5:$5,0)),0)*($AI612+$AQ612+$AR612),0)</f>
        <v>0.213525259248548</v>
      </c>
      <c r="BD612" s="153" t="n">
        <f aca="false">IF(AND($N612="VCA",$AF612&gt;=1.25,$AF612&lt;1.5),$M612*$AF612*2,0)</f>
        <v>177.76246</v>
      </c>
      <c r="BE612" s="153" t="n">
        <f aca="false">IF(AND($N612="VCA",$AF612&gt;=1.5,$AF612&lt;3),$M612*$AF612*2,0)</f>
        <v>0</v>
      </c>
      <c r="BF612" s="153" t="n">
        <f aca="false">IF(AND($N612="VCA",$AF612&gt;=3),$M612*$AF612*2,0)</f>
        <v>0</v>
      </c>
      <c r="BG612" s="153" t="n">
        <f aca="false">($BB612+$BC612)*$AK612</f>
        <v>29.43742425</v>
      </c>
      <c r="BH612" s="153" t="n">
        <f aca="false">IF(AND($M612&lt;&gt;"",$N612="VCA",$Q612="LINEAR"),($M612*2)/100,IF(AND($M612&lt;&gt;"",$N612="MND",$Q612="EMBOQUE"),($AN612*2)/100,0))</f>
        <v>1.3042</v>
      </c>
      <c r="BI612" s="153" t="n">
        <f aca="false">IF(AND($M612&lt;&gt;"",$N612="VCA",$Q612="LINEAR"),$M612,IF(AND($M612&lt;&gt;"",$N612="MND",$Q612="EMBOQUE"),$AN612*2,0))</f>
        <v>65.21</v>
      </c>
      <c r="BJ612" s="153" t="n">
        <f aca="false">IF(AND($M612&lt;&gt;"",$N612="VCA",$Q612="LINEAR"),($M612*6.8)/100,IF(AND($M612&lt;&gt;"",$N612="MND",$Q612="EMBOQUE"),($AN612*2*6.8)/100,0))</f>
        <v>4.43428</v>
      </c>
      <c r="BK612" s="153" t="n">
        <f aca="false">IF(AND($M612&lt;&gt;"",$N612="VCA",$Q612="LINEAR"),($M612*2.5)/50,IF(AND($M612&lt;&gt;"",$N612="MND",$Q612="EMBOQUE"),($AN612*2*2.5)/50,0))</f>
        <v>3.2605</v>
      </c>
      <c r="BL612" s="157" t="str">
        <f aca="false">K612&amp;J612</f>
        <v>Zona06REDES</v>
      </c>
      <c r="BM612" s="152" t="s">
        <v>3790</v>
      </c>
      <c r="BN612" s="152" t="s">
        <v>1560</v>
      </c>
      <c r="BO612" s="152" t="s">
        <v>3797</v>
      </c>
      <c r="BP612" s="152" t="s">
        <v>3875</v>
      </c>
      <c r="BQ612" s="152" t="s">
        <v>3842</v>
      </c>
      <c r="BR612" s="152" t="s">
        <v>3876</v>
      </c>
      <c r="BS612" s="152" t="n">
        <v>204243.648</v>
      </c>
      <c r="BT612" s="152" t="n">
        <v>8237279.444</v>
      </c>
      <c r="BU612" s="152" t="n">
        <v>204254.753</v>
      </c>
      <c r="BV612" s="152" t="n">
        <v>8237343.69</v>
      </c>
      <c r="BW612" s="152" t="n">
        <v>-15.9258305</v>
      </c>
      <c r="BX612" s="152" t="n">
        <v>-47.7623076</v>
      </c>
      <c r="BY612" s="152" t="s">
        <v>3875</v>
      </c>
    </row>
    <row r="613" customFormat="false" ht="13.8" hidden="false" customHeight="false" outlineLevel="0" collapsed="false">
      <c r="A613" s="149" t="n">
        <f aca="false">IF(C613&lt;&gt;"",ROW(A608),"")</f>
        <v>608</v>
      </c>
      <c r="B613" s="150" t="str">
        <f aca="false">HYPERLINK("https://www.google.com/maps/dir/-15.917302,-47.760003/-15.9258087,-47.7640115/data=!4m3!4m2!3e0!5i2")</f>
        <v>https://www.google.com/maps/dir/-15.917302,-47.760003/-15.9258087,-47.7640115/data=!4m3!4m2!3e0!5i2</v>
      </c>
      <c r="C613" s="151" t="s">
        <v>117</v>
      </c>
      <c r="D613" s="152" t="s">
        <v>112</v>
      </c>
      <c r="E613" s="152" t="s">
        <v>113</v>
      </c>
      <c r="F613" s="152" t="s">
        <v>117</v>
      </c>
      <c r="G613" s="152" t="s">
        <v>782</v>
      </c>
      <c r="H613" s="152" t="n">
        <v>110</v>
      </c>
      <c r="I613" s="152" t="s">
        <v>115</v>
      </c>
      <c r="J613" s="152" t="s">
        <v>6</v>
      </c>
      <c r="K613" s="152" t="s">
        <v>3786</v>
      </c>
      <c r="L613" s="152" t="s">
        <v>120</v>
      </c>
      <c r="M613" s="153" t="n">
        <f aca="false">4.36</f>
        <v>4.36</v>
      </c>
      <c r="N613" s="152" t="s">
        <v>1548</v>
      </c>
      <c r="O613" s="152" t="s">
        <v>1549</v>
      </c>
      <c r="P613" s="152" t="s">
        <v>1550</v>
      </c>
      <c r="Q613" s="152" t="s">
        <v>1551</v>
      </c>
      <c r="R613" s="154" t="s">
        <v>3877</v>
      </c>
      <c r="S613" s="154" t="s">
        <v>1593</v>
      </c>
      <c r="T613" s="155" t="s">
        <v>3795</v>
      </c>
      <c r="U613" s="152" t="str">
        <f aca="false">RIGHT(T613,7)</f>
        <v>013/037</v>
      </c>
      <c r="V613" s="152" t="s">
        <v>1555</v>
      </c>
      <c r="W613" s="156" t="n">
        <v>45882</v>
      </c>
      <c r="X613" s="152" t="s">
        <v>1594</v>
      </c>
      <c r="Y613" s="152" t="s">
        <v>2276</v>
      </c>
      <c r="Z613" s="152" t="s">
        <v>1557</v>
      </c>
      <c r="AA613" s="153" t="n">
        <v>1.9</v>
      </c>
      <c r="AB613" s="151" t="s">
        <v>3878</v>
      </c>
      <c r="AC613" s="151" t="s">
        <v>502</v>
      </c>
      <c r="AD613" s="151" t="str">
        <f aca="false">CONCATENATE($C613,$I613,$H613,$N613,$J613,$K613)</f>
        <v>TUBO PEADPEAD110VCAREDESZona06</v>
      </c>
      <c r="AE613" s="153" t="n">
        <f aca="false">IFERROR(INDEX(APOIO_REDES!$A:$W,MATCH($C613&amp;$I613&amp;$H613&amp;$N613&amp;$O613,APOIO_REDES!$W:$W,0),MATCH(AE$5,APOIO_REDES!$5:$5,0)),0)</f>
        <v>1.2</v>
      </c>
      <c r="AF613" s="153" t="n">
        <f aca="false">IFERROR(INDEX(APOIO_REDES!$A:$W,MATCH($C613&amp;$I613&amp;$H613&amp;$N613&amp;$O613,APOIO_REDES!$W:$W,0),MATCH(AF$5,APOIO_REDES!$5:$5,0)),0)</f>
        <v>1.41</v>
      </c>
      <c r="AG613" s="153" t="n">
        <f aca="false">IFERROR(INDEX(APOIO_REDES!$A:$W,MATCH($C613&amp;$I613&amp;$H613&amp;$N613&amp;$O613,APOIO_REDES!$W:$W,0),MATCH(AG$5,APOIO_REDES!$5:$5,0)),0)</f>
        <v>0.75</v>
      </c>
      <c r="AH613" s="153" t="n">
        <f aca="false">IFERROR(INDEX(APOIO_REDES!$A:$W,MATCH($C613&amp;$I613&amp;$H613&amp;$N613&amp;$O613,APOIO_REDES!$W:$W,0),MATCH(AH$5,APOIO_REDES!$5:$5,0)),0)</f>
        <v>0.1</v>
      </c>
      <c r="AI613" s="153" t="n">
        <f aca="false">IFERROR(IF($H613&lt;&gt;"",(((($H613/1000)/2)^2)*PI()*$M613),0),0)</f>
        <v>0.0414344655081958</v>
      </c>
      <c r="AJ613" s="153" t="n">
        <f aca="false">IFERROR(IF(AND($H613&lt;&gt;"",$I613="FoFo",OR($N613="MND",$N613="VCA"),$Q613="LINEAR"),0,IF(AND($H613&lt;&gt;"",$I613="PEAD",$N613="VCA",$Q613="LINEAR"),($H613/1000)+0.3,IF(AND($H613&lt;&gt;"",$I613="PEAD",$N613="MND",$Q613="EMBOQUE"),0,IF(AND($H613&lt;&gt;"",$I613="PVC",$N613="VCA",$Q613="LINEAR"),($H613/1000)+0.2,IF(AND($H613&lt;&gt;"",$I613="PVC",$N613="MND",$Q613="EMBOQUE"),0,IF(AND($H613&lt;&gt;"",$I613="PEAD",$N613="VCA",$Q613="PREDIAL"),0,0)))))),0)</f>
        <v>0.41</v>
      </c>
      <c r="AK613" s="153" t="n">
        <f aca="false">IF(AA613&lt;&gt;"",AA613,0)</f>
        <v>1.9</v>
      </c>
      <c r="AL613" s="153" t="n">
        <f aca="false">IF(AND($N613="MND",$Q613="EMBOQUE"),$M613,IF(AND($N613="VCA",$Q613="LINEAR"),$M613,IF(AND($N613="VCA",$Q613="PREDIAL"),0,0)))</f>
        <v>4.36</v>
      </c>
      <c r="AM613" s="153" t="n">
        <f aca="false">IF(AND($N613="MND",$Q613="EMBOQUE"),$M613,IF(AND($N613="VCA",$Q613="LINEAR"),$M613,IF(AND($N613="VCA",$Q613="PREDIAL"),0,0)))</f>
        <v>4.36</v>
      </c>
      <c r="AN613" s="153" t="n">
        <f aca="false">ROUND(IF(AND($N613="VCA",$M613&lt;&gt;"",$Q613="LINEAR"),$M613/100,IF(AND($N613="MND",$M613&gt;100,$Q613="EMBOQUE"),$M613/100,0)),0)</f>
        <v>0</v>
      </c>
      <c r="AO613" s="153" t="n">
        <f aca="false">IF(AND($N613="MND",$Q613="EMBOQUE"),$AN613*2*2,IF(AND($N613="VCA",$Q613="LINEAR"),$M613*2,IF(AND($N613="VCA",$Q613="PREDIAL"),0,0)))</f>
        <v>8.72</v>
      </c>
      <c r="AP613" s="153" t="n">
        <f aca="false">IFERROR($M613*$AF613*$AG613,0)</f>
        <v>4.6107</v>
      </c>
      <c r="AQ613" s="153" t="n">
        <f aca="false">IFERROR(IF(AND($N613="VCA",$AH613&gt;0),$M613*$AG613*$AH613,0),0)</f>
        <v>0.327</v>
      </c>
      <c r="AR613" s="153" t="n">
        <f aca="false">IFERROR(IF(AND($N613="VCA",$AJ613&gt;0),($M613*$AG613*$AJ613)-$AI613,0),0)</f>
        <v>1.2992655344918</v>
      </c>
      <c r="AS613" s="153" t="n">
        <f aca="false">IFERROR(IF(AND($N613="VCA",$AP613&gt;0),$AP613-$AI613-$AQ613-$AR613,0),0)</f>
        <v>2.943</v>
      </c>
      <c r="AT613" s="153" t="n">
        <f aca="false">IFERROR(IF($N613="VCA",INDEX(APOIO_REDES!$A:$W,MATCH($C613&amp;$I613&amp;$H613&amp;$N613&amp;$O613,APOIO_REDES!$W:$W,0),MATCH(AT$5,APOIO_REDES!$5:$5,0)),0)*$AP613,0)</f>
        <v>0.0501657806975392</v>
      </c>
      <c r="AU613" s="153" t="n">
        <f aca="false">IFERROR(IF($N613="VCA",INDEX(APOIO_REDES!$A:$W,MATCH($C613&amp;$I613&amp;$H613&amp;$N613&amp;$O613,APOIO_REDES!$W:$W,0),MATCH(AU$5,APOIO_REDES!$5:$5,0)),0)*$AP613,0)</f>
        <v>0.0400610338034074</v>
      </c>
      <c r="AV613" s="153" t="n">
        <f aca="false">IFERROR(IF($N613="VCA",INDEX(APOIO_REDES!$A:$W,MATCH($C613&amp;$I613&amp;$H613&amp;$N613&amp;$O613,APOIO_REDES!$W:$W,0),MATCH(AV$5,APOIO_REDES!$5:$5,0)),0)*$AP613,0)</f>
        <v>0.00554413258694562</v>
      </c>
      <c r="AW613" s="153" t="n">
        <f aca="false">IFERROR(IF($N613="VCA",INDEX(APOIO_REDES!$A:$W,MATCH($C613&amp;$I613&amp;$H613&amp;$N613&amp;$O613,APOIO_REDES!$W:$W,0),MATCH(AW$5,APOIO_REDES!$5:$5,0)),0)*$AP613,0)</f>
        <v>3.16482020544692</v>
      </c>
      <c r="AX613" s="153" t="n">
        <f aca="false">IFERROR(IF($N613="VCA",INDEX(APOIO_REDES!$A:$W,MATCH($C613&amp;$I613&amp;$H613&amp;$N613&amp;$O613,APOIO_REDES!$W:$W,0),MATCH(AX$5,APOIO_REDES!$5:$5,0)),0)*$AP613,0)</f>
        <v>0.438002101272851</v>
      </c>
      <c r="AY613" s="153" t="n">
        <f aca="false">IFERROR(IF($N613="VCA",INDEX(APOIO_REDES!$A:$W,MATCH($C613&amp;$I613&amp;$H613&amp;$N613&amp;$O613,APOIO_REDES!$W:$W,0),MATCH(AY$5,APOIO_REDES!$5:$5,0)),0)*$AP613,0)</f>
        <v>0.801220187727393</v>
      </c>
      <c r="AZ613" s="153" t="n">
        <f aca="false">IFERROR(IF($N613="VCA",INDEX(APOIO_REDES!$A:$W,MATCH($C613&amp;$I613&amp;$H613&amp;$N613&amp;$O613,APOIO_REDES!$W:$W,0),MATCH(AZ$5,APOIO_REDES!$5:$5,0)),0)*$AP613,0)</f>
        <v>0.110886558464949</v>
      </c>
      <c r="BA613" s="153" t="n">
        <f aca="false">IFERROR(IF(AND($N613="VCA",$Q613="LINEAR"),INDEX(APOIO_REDES!$A:$W,MATCH($C613&amp;$I613&amp;$H613&amp;$N613&amp;$O613,APOIO_REDES!$W:$W,0),MATCH(BA$5,APOIO_REDES!$5:$5,0)),IF(AND($N613="MND",$Q613="EMBOQUE"),INDEX(APOIO_REDES!$A:$W,MATCH($C613&amp;$I613&amp;$H613&amp;$N613&amp;$O613,APOIO_REDES!$W:$W,0),MATCH(BA$5,APOIO_REDES!$5:$5,0)),0))*$M613/10,0)</f>
        <v>0.351405002247842</v>
      </c>
      <c r="BB613" s="153" t="n">
        <f aca="false">IFERROR(IF($N613="VCA",INDEX(APOIO_REDES!$A:$W,MATCH($C613&amp;$I613&amp;$H613&amp;$N613&amp;$O613,APOIO_REDES!$W:$W,0),MATCH(BB$5,APOIO_REDES!$5:$5,0)),0)*($AI613+$AQ613+$AR613),0)</f>
        <v>1.649554930386</v>
      </c>
      <c r="BC613" s="153" t="n">
        <f aca="false">IFERROR(IF($N613="VCA",INDEX(APOIO_REDES!$A:$W,MATCH($C613&amp;$I613&amp;$H613&amp;$N613&amp;$O613,APOIO_REDES!$W:$W,0),MATCH(BC$5,APOIO_REDES!$5:$5,0)),0)*($AI613+$AQ613+$AR613),0)</f>
        <v>0.0181450696140035</v>
      </c>
      <c r="BD613" s="153" t="n">
        <f aca="false">IF(AND($N613="VCA",$AF613&gt;=1.25,$AF613&lt;1.5),$M613*$AF613*2,0)</f>
        <v>12.2952</v>
      </c>
      <c r="BE613" s="153" t="n">
        <f aca="false">IF(AND($N613="VCA",$AF613&gt;=1.5,$AF613&lt;3),$M613*$AF613*2,0)</f>
        <v>0</v>
      </c>
      <c r="BF613" s="153" t="n">
        <f aca="false">IF(AND($N613="VCA",$AF613&gt;=3),$M613*$AF613*2,0)</f>
        <v>0</v>
      </c>
      <c r="BG613" s="153" t="n">
        <f aca="false">($BB613+$BC613)*$AK613</f>
        <v>3.16863</v>
      </c>
      <c r="BH613" s="153" t="n">
        <f aca="false">IF(AND($M613&lt;&gt;"",$N613="VCA",$Q613="LINEAR"),($M613*2)/100,IF(AND($M613&lt;&gt;"",$N613="MND",$Q613="EMBOQUE"),($AN613*2)/100,0))</f>
        <v>0.0872</v>
      </c>
      <c r="BI613" s="153" t="n">
        <f aca="false">IF(AND($M613&lt;&gt;"",$N613="VCA",$Q613="LINEAR"),$M613,IF(AND($M613&lt;&gt;"",$N613="MND",$Q613="EMBOQUE"),$AN613*2,0))</f>
        <v>4.36</v>
      </c>
      <c r="BJ613" s="153" t="n">
        <f aca="false">IF(AND($M613&lt;&gt;"",$N613="VCA",$Q613="LINEAR"),($M613*6.8)/100,IF(AND($M613&lt;&gt;"",$N613="MND",$Q613="EMBOQUE"),($AN613*2*6.8)/100,0))</f>
        <v>0.29648</v>
      </c>
      <c r="BK613" s="153" t="n">
        <f aca="false">IF(AND($M613&lt;&gt;"",$N613="VCA",$Q613="LINEAR"),($M613*2.5)/50,IF(AND($M613&lt;&gt;"",$N613="MND",$Q613="EMBOQUE"),($AN613*2*2.5)/50,0))</f>
        <v>0.218</v>
      </c>
      <c r="BL613" s="157" t="str">
        <f aca="false">K613&amp;J613</f>
        <v>Zona06REDES</v>
      </c>
      <c r="BM613" s="152" t="s">
        <v>3790</v>
      </c>
      <c r="BN613" s="152" t="s">
        <v>1560</v>
      </c>
      <c r="BO613" s="152" t="s">
        <v>3797</v>
      </c>
      <c r="BP613" s="152" t="s">
        <v>3871</v>
      </c>
      <c r="BQ613" s="152" t="s">
        <v>3865</v>
      </c>
      <c r="BR613" s="152" t="s">
        <v>3879</v>
      </c>
      <c r="BS613" s="152" t="n">
        <v>204067.023</v>
      </c>
      <c r="BT613" s="152" t="n">
        <v>8237311.497</v>
      </c>
      <c r="BU613" s="152" t="n">
        <v>204071.064</v>
      </c>
      <c r="BV613" s="152" t="n">
        <v>8237309.851</v>
      </c>
      <c r="BW613" s="152" t="n">
        <v>-15.9258163</v>
      </c>
      <c r="BX613" s="152" t="n">
        <v>-47.7639927</v>
      </c>
      <c r="BY613" s="152" t="s">
        <v>3871</v>
      </c>
    </row>
    <row r="614" customFormat="false" ht="13.8" hidden="false" customHeight="false" outlineLevel="0" collapsed="false">
      <c r="A614" s="149" t="n">
        <f aca="false">IF(C614&lt;&gt;"",ROW(A609),"")</f>
        <v>609</v>
      </c>
      <c r="B614" s="150" t="str">
        <f aca="false">HYPERLINK("https://www.google.com/maps/dir/-15.917302,-47.760003/-15.9256327,-47.7642556/data=!4m3!4m2!3e0!5i0")</f>
        <v>https://www.google.com/maps/dir/-15.917302,-47.760003/-15.9256327,-47.7642556/data=!4m3!4m2!3e0!5i0</v>
      </c>
      <c r="C614" s="151" t="s">
        <v>117</v>
      </c>
      <c r="D614" s="152" t="s">
        <v>112</v>
      </c>
      <c r="E614" s="152" t="s">
        <v>113</v>
      </c>
      <c r="F614" s="152" t="s">
        <v>117</v>
      </c>
      <c r="G614" s="152" t="s">
        <v>782</v>
      </c>
      <c r="H614" s="152" t="n">
        <v>63</v>
      </c>
      <c r="I614" s="152" t="s">
        <v>115</v>
      </c>
      <c r="J614" s="152" t="s">
        <v>6</v>
      </c>
      <c r="K614" s="152" t="s">
        <v>3786</v>
      </c>
      <c r="L614" s="152" t="s">
        <v>120</v>
      </c>
      <c r="M614" s="153" t="n">
        <f aca="false">52.71+4</f>
        <v>56.71</v>
      </c>
      <c r="N614" s="152" t="s">
        <v>1548</v>
      </c>
      <c r="O614" s="152" t="s">
        <v>1549</v>
      </c>
      <c r="P614" s="152" t="s">
        <v>1550</v>
      </c>
      <c r="Q614" s="152" t="s">
        <v>1551</v>
      </c>
      <c r="R614" s="154" t="s">
        <v>3880</v>
      </c>
      <c r="S614" s="154" t="s">
        <v>1553</v>
      </c>
      <c r="T614" s="155" t="s">
        <v>3795</v>
      </c>
      <c r="U614" s="152" t="str">
        <f aca="false">RIGHT(T614,7)</f>
        <v>013/037</v>
      </c>
      <c r="V614" s="152" t="s">
        <v>1555</v>
      </c>
      <c r="W614" s="156" t="n">
        <v>45882</v>
      </c>
      <c r="X614" s="152" t="s">
        <v>1594</v>
      </c>
      <c r="Y614" s="152" t="s">
        <v>3743</v>
      </c>
      <c r="Z614" s="152" t="s">
        <v>1557</v>
      </c>
      <c r="AA614" s="153" t="n">
        <v>1.6</v>
      </c>
      <c r="AB614" s="151" t="s">
        <v>3881</v>
      </c>
      <c r="AC614" s="151" t="s">
        <v>186</v>
      </c>
      <c r="AD614" s="151" t="str">
        <f aca="false">CONCATENATE($C614,$I614,$H614,$N614,$J614,$K614)</f>
        <v>TUBO PEADPEAD63VCAREDESZona06</v>
      </c>
      <c r="AE614" s="153" t="n">
        <f aca="false">IFERROR(INDEX(APOIO_REDES!$A:$W,MATCH($C614&amp;$I614&amp;$H614&amp;$N614&amp;$O614,APOIO_REDES!$W:$W,0),MATCH(AE$5,APOIO_REDES!$5:$5,0)),0)</f>
        <v>1.2</v>
      </c>
      <c r="AF614" s="153" t="n">
        <f aca="false">IFERROR(INDEX(APOIO_REDES!$A:$W,MATCH($C614&amp;$I614&amp;$H614&amp;$N614&amp;$O614,APOIO_REDES!$W:$W,0),MATCH(AF$5,APOIO_REDES!$5:$5,0)),0)</f>
        <v>1.363</v>
      </c>
      <c r="AG614" s="153" t="n">
        <f aca="false">IFERROR(INDEX(APOIO_REDES!$A:$W,MATCH($C614&amp;$I614&amp;$H614&amp;$N614&amp;$O614,APOIO_REDES!$W:$W,0),MATCH(AG$5,APOIO_REDES!$5:$5,0)),0)</f>
        <v>0.65</v>
      </c>
      <c r="AH614" s="153" t="n">
        <f aca="false">IFERROR(INDEX(APOIO_REDES!$A:$W,MATCH($C614&amp;$I614&amp;$H614&amp;$N614&amp;$O614,APOIO_REDES!$W:$W,0),MATCH(AH$5,APOIO_REDES!$5:$5,0)),0)</f>
        <v>0.1</v>
      </c>
      <c r="AI614" s="153" t="n">
        <f aca="false">IFERROR(IF($H614&lt;&gt;"",(((($H614/1000)/2)^2)*PI()*$M614),0),0)</f>
        <v>0.176778981559843</v>
      </c>
      <c r="AJ614" s="153" t="n">
        <f aca="false">IFERROR(IF(AND($H614&lt;&gt;"",$I614="FoFo",OR($N614="MND",$N614="VCA"),$Q614="LINEAR"),0,IF(AND($H614&lt;&gt;"",$I614="PEAD",$N614="VCA",$Q614="LINEAR"),($H614/1000)+0.3,IF(AND($H614&lt;&gt;"",$I614="PEAD",$N614="MND",$Q614="EMBOQUE"),0,IF(AND($H614&lt;&gt;"",$I614="PVC",$N614="VCA",$Q614="LINEAR"),($H614/1000)+0.2,IF(AND($H614&lt;&gt;"",$I614="PVC",$N614="MND",$Q614="EMBOQUE"),0,IF(AND($H614&lt;&gt;"",$I614="PEAD",$N614="VCA",$Q614="PREDIAL"),0,0)))))),0)</f>
        <v>0.363</v>
      </c>
      <c r="AK614" s="153" t="n">
        <f aca="false">IF(AA614&lt;&gt;"",AA614,0)</f>
        <v>1.6</v>
      </c>
      <c r="AL614" s="153" t="n">
        <f aca="false">IF(AND($N614="MND",$Q614="EMBOQUE"),$M614,IF(AND($N614="VCA",$Q614="LINEAR"),$M614,IF(AND($N614="VCA",$Q614="PREDIAL"),0,0)))</f>
        <v>56.71</v>
      </c>
      <c r="AM614" s="153" t="n">
        <f aca="false">IF(AND($N614="MND",$Q614="EMBOQUE"),$M614,IF(AND($N614="VCA",$Q614="LINEAR"),$M614,IF(AND($N614="VCA",$Q614="PREDIAL"),0,0)))</f>
        <v>56.71</v>
      </c>
      <c r="AN614" s="153" t="n">
        <f aca="false">ROUND(IF(AND($N614="VCA",$M614&lt;&gt;"",$Q614="LINEAR"),$M614/100,IF(AND($N614="MND",$M614&gt;100,$Q614="EMBOQUE"),$M614/100,0)),0)</f>
        <v>1</v>
      </c>
      <c r="AO614" s="153" t="n">
        <f aca="false">IF(AND($N614="MND",$Q614="EMBOQUE"),$AN614*2*2,IF(AND($N614="VCA",$Q614="LINEAR"),$M614*2,IF(AND($N614="VCA",$Q614="PREDIAL"),0,0)))</f>
        <v>113.42</v>
      </c>
      <c r="AP614" s="153" t="n">
        <f aca="false">IFERROR($M614*$AF614*$AG614,0)</f>
        <v>50.2422245</v>
      </c>
      <c r="AQ614" s="153" t="n">
        <f aca="false">IFERROR(IF(AND($N614="VCA",$AH614&gt;0),$M614*$AG614*$AH614,0),0)</f>
        <v>3.68615</v>
      </c>
      <c r="AR614" s="153" t="n">
        <f aca="false">IFERROR(IF(AND($N614="VCA",$AJ614&gt;0),($M614*$AG614*$AJ614)-$AI614,0),0)</f>
        <v>13.2039455184402</v>
      </c>
      <c r="AS614" s="153" t="n">
        <f aca="false">IFERROR(IF(AND($N614="VCA",$AP614&gt;0),$AP614-$AI614-$AQ614-$AR614,0),0)</f>
        <v>33.17535</v>
      </c>
      <c r="AT614" s="153" t="n">
        <f aca="false">IFERROR(IF($N614="VCA",INDEX(APOIO_REDES!$A:$W,MATCH($C614&amp;$I614&amp;$H614&amp;$N614&amp;$O614,APOIO_REDES!$W:$W,0),MATCH(AT$5,APOIO_REDES!$5:$5,0)),0)*$AP614,0)</f>
        <v>0.546650273499367</v>
      </c>
      <c r="AU614" s="153" t="n">
        <f aca="false">IFERROR(IF($N614="VCA",INDEX(APOIO_REDES!$A:$W,MATCH($C614&amp;$I614&amp;$H614&amp;$N614&amp;$O614,APOIO_REDES!$W:$W,0),MATCH(AU$5,APOIO_REDES!$5:$5,0)),0)*$AP614,0)</f>
        <v>0.436540103249589</v>
      </c>
      <c r="AV614" s="153" t="n">
        <f aca="false">IFERROR(IF($N614="VCA",INDEX(APOIO_REDES!$A:$W,MATCH($C614&amp;$I614&amp;$H614&amp;$N614&amp;$O614,APOIO_REDES!$W:$W,0),MATCH(AV$5,APOIO_REDES!$5:$5,0)),0)*$AP614,0)</f>
        <v>0.0604137233155676</v>
      </c>
      <c r="AW614" s="153" t="n">
        <f aca="false">IFERROR(IF($N614="VCA",INDEX(APOIO_REDES!$A:$W,MATCH($C614&amp;$I614&amp;$H614&amp;$N614&amp;$O614,APOIO_REDES!$W:$W,0),MATCH(AW$5,APOIO_REDES!$5:$5,0)),0)*$AP614,0)</f>
        <v>34.4866521925521</v>
      </c>
      <c r="AX614" s="153" t="n">
        <f aca="false">IFERROR(IF($N614="VCA",INDEX(APOIO_REDES!$A:$W,MATCH($C614&amp;$I614&amp;$H614&amp;$N614&amp;$O614,APOIO_REDES!$W:$W,0),MATCH(AX$5,APOIO_REDES!$5:$5,0)),0)*$AP614,0)</f>
        <v>4.77285442636092</v>
      </c>
      <c r="AY614" s="153" t="n">
        <f aca="false">IFERROR(IF($N614="VCA",INDEX(APOIO_REDES!$A:$W,MATCH($C614&amp;$I614&amp;$H614&amp;$N614&amp;$O614,APOIO_REDES!$W:$W,0),MATCH(AY$5,APOIO_REDES!$5:$5,0)),0)*$AP614,0)</f>
        <v>8.73079674360331</v>
      </c>
      <c r="AZ614" s="153" t="n">
        <f aca="false">IFERROR(IF($N614="VCA",INDEX(APOIO_REDES!$A:$W,MATCH($C614&amp;$I614&amp;$H614&amp;$N614&amp;$O614,APOIO_REDES!$W:$W,0),MATCH(AZ$5,APOIO_REDES!$5:$5,0)),0)*$AP614,0)</f>
        <v>1.20831703741912</v>
      </c>
      <c r="BA614" s="153" t="n">
        <f aca="false">IFERROR(IF(AND($N614="VCA",$Q614="LINEAR"),INDEX(APOIO_REDES!$A:$W,MATCH($C614&amp;$I614&amp;$H614&amp;$N614&amp;$O614,APOIO_REDES!$W:$W,0),MATCH(BA$5,APOIO_REDES!$5:$5,0)),IF(AND($N614="MND",$Q614="EMBOQUE"),INDEX(APOIO_REDES!$A:$W,MATCH($C614&amp;$I614&amp;$H614&amp;$N614&amp;$O614,APOIO_REDES!$W:$W,0),MATCH(BA$5,APOIO_REDES!$5:$5,0)),0))*$M614/10,0)</f>
        <v>4.57068295354934</v>
      </c>
      <c r="BB614" s="153" t="n">
        <f aca="false">IFERROR(IF($N614="VCA",INDEX(APOIO_REDES!$A:$W,MATCH($C614&amp;$I614&amp;$H614&amp;$N614&amp;$O614,APOIO_REDES!$W:$W,0),MATCH(BB$5,APOIO_REDES!$5:$5,0)),0)*($AI614+$AQ614+$AR614),0)</f>
        <v>16.881181853903</v>
      </c>
      <c r="BC614" s="153" t="n">
        <f aca="false">IFERROR(IF($N614="VCA",INDEX(APOIO_REDES!$A:$W,MATCH($C614&amp;$I614&amp;$H614&amp;$N614&amp;$O614,APOIO_REDES!$W:$W,0),MATCH(BC$5,APOIO_REDES!$5:$5,0)),0)*($AI614+$AQ614+$AR614),0)</f>
        <v>0.185692646096997</v>
      </c>
      <c r="BD614" s="153" t="n">
        <f aca="false">IF(AND($N614="VCA",$AF614&gt;=1.25,$AF614&lt;1.5),$M614*$AF614*2,0)</f>
        <v>154.59146</v>
      </c>
      <c r="BE614" s="153" t="n">
        <f aca="false">IF(AND($N614="VCA",$AF614&gt;=1.5,$AF614&lt;3),$M614*$AF614*2,0)</f>
        <v>0</v>
      </c>
      <c r="BF614" s="153" t="n">
        <f aca="false">IF(AND($N614="VCA",$AF614&gt;=3),$M614*$AF614*2,0)</f>
        <v>0</v>
      </c>
      <c r="BG614" s="153" t="n">
        <f aca="false">($BB614+$BC614)*$AK614</f>
        <v>27.3069992</v>
      </c>
      <c r="BH614" s="153" t="n">
        <f aca="false">IF(AND($M614&lt;&gt;"",$N614="VCA",$Q614="LINEAR"),($M614*2)/100,IF(AND($M614&lt;&gt;"",$N614="MND",$Q614="EMBOQUE"),($AN614*2)/100,0))</f>
        <v>1.1342</v>
      </c>
      <c r="BI614" s="153" t="n">
        <f aca="false">IF(AND($M614&lt;&gt;"",$N614="VCA",$Q614="LINEAR"),$M614,IF(AND($M614&lt;&gt;"",$N614="MND",$Q614="EMBOQUE"),$AN614*2,0))</f>
        <v>56.71</v>
      </c>
      <c r="BJ614" s="153" t="n">
        <f aca="false">IF(AND($M614&lt;&gt;"",$N614="VCA",$Q614="LINEAR"),($M614*6.8)/100,IF(AND($M614&lt;&gt;"",$N614="MND",$Q614="EMBOQUE"),($AN614*2*6.8)/100,0))</f>
        <v>3.85628</v>
      </c>
      <c r="BK614" s="153" t="n">
        <f aca="false">IF(AND($M614&lt;&gt;"",$N614="VCA",$Q614="LINEAR"),($M614*2.5)/50,IF(AND($M614&lt;&gt;"",$N614="MND",$Q614="EMBOQUE"),($AN614*2*2.5)/50,0))</f>
        <v>2.8355</v>
      </c>
      <c r="BL614" s="157" t="str">
        <f aca="false">K614&amp;J614</f>
        <v>Zona06REDES</v>
      </c>
      <c r="BM614" s="152" t="s">
        <v>3790</v>
      </c>
      <c r="BN614" s="152" t="s">
        <v>1560</v>
      </c>
      <c r="BO614" s="152" t="s">
        <v>3797</v>
      </c>
      <c r="BP614" s="152" t="s">
        <v>3849</v>
      </c>
      <c r="BQ614" s="152" t="s">
        <v>3882</v>
      </c>
      <c r="BR614" s="152" t="s">
        <v>3883</v>
      </c>
      <c r="BS614" s="152" t="n">
        <v>204040.609</v>
      </c>
      <c r="BT614" s="152" t="n">
        <v>8237330.631</v>
      </c>
      <c r="BU614" s="152" t="n">
        <v>204007.844</v>
      </c>
      <c r="BV614" s="152" t="n">
        <v>8237289.363</v>
      </c>
      <c r="BW614" s="152" t="n">
        <v>-15.9258151</v>
      </c>
      <c r="BX614" s="152" t="n">
        <v>-47.7644135</v>
      </c>
      <c r="BY614" s="152" t="s">
        <v>3849</v>
      </c>
    </row>
    <row r="615" customFormat="false" ht="13.8" hidden="false" customHeight="false" outlineLevel="0" collapsed="false">
      <c r="A615" s="149" t="n">
        <f aca="false">IF(C615&lt;&gt;"",ROW(A610),"")</f>
        <v>610</v>
      </c>
      <c r="B615" s="150" t="str">
        <f aca="false">HYPERLINK("https://www.google.com/maps/dir/-15.917302,-47.760003/-15.9257941,-47.7652056/data=!4m3!4m2!3e0!5i0")</f>
        <v>https://www.google.com/maps/dir/-15.917302,-47.760003/-15.9257941,-47.7652056/data=!4m3!4m2!3e0!5i0</v>
      </c>
      <c r="C615" s="151" t="s">
        <v>117</v>
      </c>
      <c r="D615" s="152" t="s">
        <v>112</v>
      </c>
      <c r="E615" s="152" t="s">
        <v>113</v>
      </c>
      <c r="F615" s="152" t="s">
        <v>117</v>
      </c>
      <c r="G615" s="152" t="s">
        <v>782</v>
      </c>
      <c r="H615" s="152" t="n">
        <v>63</v>
      </c>
      <c r="I615" s="152" t="s">
        <v>115</v>
      </c>
      <c r="J615" s="152" t="s">
        <v>6</v>
      </c>
      <c r="K615" s="152" t="s">
        <v>3786</v>
      </c>
      <c r="L615" s="152" t="s">
        <v>120</v>
      </c>
      <c r="M615" s="153" t="n">
        <f aca="false">34.8+4</f>
        <v>38.8</v>
      </c>
      <c r="N615" s="152" t="s">
        <v>1548</v>
      </c>
      <c r="O615" s="152" t="s">
        <v>1549</v>
      </c>
      <c r="P615" s="152" t="s">
        <v>1550</v>
      </c>
      <c r="Q615" s="152" t="s">
        <v>1551</v>
      </c>
      <c r="R615" s="154" t="s">
        <v>3884</v>
      </c>
      <c r="S615" s="154" t="s">
        <v>1553</v>
      </c>
      <c r="T615" s="155" t="s">
        <v>3795</v>
      </c>
      <c r="U615" s="152" t="str">
        <f aca="false">RIGHT(T615,7)</f>
        <v>013/037</v>
      </c>
      <c r="V615" s="152" t="s">
        <v>1555</v>
      </c>
      <c r="W615" s="156" t="n">
        <v>45882</v>
      </c>
      <c r="X615" s="152" t="s">
        <v>1594</v>
      </c>
      <c r="Y615" s="152" t="s">
        <v>3855</v>
      </c>
      <c r="Z615" s="152" t="s">
        <v>1557</v>
      </c>
      <c r="AA615" s="153" t="n">
        <v>1.8</v>
      </c>
      <c r="AB615" s="151" t="s">
        <v>3885</v>
      </c>
      <c r="AC615" s="151" t="s">
        <v>186</v>
      </c>
      <c r="AD615" s="151" t="str">
        <f aca="false">CONCATENATE($C615,$I615,$H615,$N615,$J615,$K615)</f>
        <v>TUBO PEADPEAD63VCAREDESZona06</v>
      </c>
      <c r="AE615" s="153" t="n">
        <f aca="false">IFERROR(INDEX(APOIO_REDES!$A:$W,MATCH($C615&amp;$I615&amp;$H615&amp;$N615&amp;$O615,APOIO_REDES!$W:$W,0),MATCH(AE$5,APOIO_REDES!$5:$5,0)),0)</f>
        <v>1.2</v>
      </c>
      <c r="AF615" s="153" t="n">
        <f aca="false">IFERROR(INDEX(APOIO_REDES!$A:$W,MATCH($C615&amp;$I615&amp;$H615&amp;$N615&amp;$O615,APOIO_REDES!$W:$W,0),MATCH(AF$5,APOIO_REDES!$5:$5,0)),0)</f>
        <v>1.363</v>
      </c>
      <c r="AG615" s="153" t="n">
        <f aca="false">IFERROR(INDEX(APOIO_REDES!$A:$W,MATCH($C615&amp;$I615&amp;$H615&amp;$N615&amp;$O615,APOIO_REDES!$W:$W,0),MATCH(AG$5,APOIO_REDES!$5:$5,0)),0)</f>
        <v>0.65</v>
      </c>
      <c r="AH615" s="153" t="n">
        <f aca="false">IFERROR(INDEX(APOIO_REDES!$A:$W,MATCH($C615&amp;$I615&amp;$H615&amp;$N615&amp;$O615,APOIO_REDES!$W:$W,0),MATCH(AH$5,APOIO_REDES!$5:$5,0)),0)</f>
        <v>0.1</v>
      </c>
      <c r="AI615" s="153" t="n">
        <f aca="false">IFERROR(IF($H615&lt;&gt;"",(((($H615/1000)/2)^2)*PI()*$M615),0),0)</f>
        <v>0.12094911804835</v>
      </c>
      <c r="AJ615" s="153" t="n">
        <f aca="false">IFERROR(IF(AND($H615&lt;&gt;"",$I615="FoFo",OR($N615="MND",$N615="VCA"),$Q615="LINEAR"),0,IF(AND($H615&lt;&gt;"",$I615="PEAD",$N615="VCA",$Q615="LINEAR"),($H615/1000)+0.3,IF(AND($H615&lt;&gt;"",$I615="PEAD",$N615="MND",$Q615="EMBOQUE"),0,IF(AND($H615&lt;&gt;"",$I615="PVC",$N615="VCA",$Q615="LINEAR"),($H615/1000)+0.2,IF(AND($H615&lt;&gt;"",$I615="PVC",$N615="MND",$Q615="EMBOQUE"),0,IF(AND($H615&lt;&gt;"",$I615="PEAD",$N615="VCA",$Q615="PREDIAL"),0,0)))))),0)</f>
        <v>0.363</v>
      </c>
      <c r="AK615" s="153" t="n">
        <f aca="false">IF(AA615&lt;&gt;"",AA615,0)</f>
        <v>1.8</v>
      </c>
      <c r="AL615" s="153" t="n">
        <f aca="false">IF(AND($N615="MND",$Q615="EMBOQUE"),$M615,IF(AND($N615="VCA",$Q615="LINEAR"),$M615,IF(AND($N615="VCA",$Q615="PREDIAL"),0,0)))</f>
        <v>38.8</v>
      </c>
      <c r="AM615" s="153" t="n">
        <f aca="false">IF(AND($N615="MND",$Q615="EMBOQUE"),$M615,IF(AND($N615="VCA",$Q615="LINEAR"),$M615,IF(AND($N615="VCA",$Q615="PREDIAL"),0,0)))</f>
        <v>38.8</v>
      </c>
      <c r="AN615" s="153" t="n">
        <f aca="false">ROUND(IF(AND($N615="VCA",$M615&lt;&gt;"",$Q615="LINEAR"),$M615/100,IF(AND($N615="MND",$M615&gt;100,$Q615="EMBOQUE"),$M615/100,0)),0)</f>
        <v>0</v>
      </c>
      <c r="AO615" s="153" t="n">
        <f aca="false">IF(AND($N615="MND",$Q615="EMBOQUE"),$AN615*2*2,IF(AND($N615="VCA",$Q615="LINEAR"),$M615*2,IF(AND($N615="VCA",$Q615="PREDIAL"),0,0)))</f>
        <v>77.6</v>
      </c>
      <c r="AP615" s="153" t="n">
        <f aca="false">IFERROR($M615*$AF615*$AG615,0)</f>
        <v>34.37486</v>
      </c>
      <c r="AQ615" s="153" t="n">
        <f aca="false">IFERROR(IF(AND($N615="VCA",$AH615&gt;0),$M615*$AG615*$AH615,0),0)</f>
        <v>2.522</v>
      </c>
      <c r="AR615" s="153" t="n">
        <f aca="false">IFERROR(IF(AND($N615="VCA",$AJ615&gt;0),($M615*$AG615*$AJ615)-$AI615,0),0)</f>
        <v>9.03391088195165</v>
      </c>
      <c r="AS615" s="153" t="n">
        <f aca="false">IFERROR(IF(AND($N615="VCA",$AP615&gt;0),$AP615-$AI615-$AQ615-$AR615,0),0)</f>
        <v>22.698</v>
      </c>
      <c r="AT615" s="153" t="n">
        <f aca="false">IFERROR(IF($N615="VCA",INDEX(APOIO_REDES!$A:$W,MATCH($C615&amp;$I615&amp;$H615&amp;$N615&amp;$O615,APOIO_REDES!$W:$W,0),MATCH(AT$5,APOIO_REDES!$5:$5,0)),0)*$AP615,0)</f>
        <v>0.374008651239207</v>
      </c>
      <c r="AU615" s="153" t="n">
        <f aca="false">IFERROR(IF($N615="VCA",INDEX(APOIO_REDES!$A:$W,MATCH($C615&amp;$I615&amp;$H615&amp;$N615&amp;$O615,APOIO_REDES!$W:$W,0),MATCH(AU$5,APOIO_REDES!$5:$5,0)),0)*$AP615,0)</f>
        <v>0.298673179440735</v>
      </c>
      <c r="AV615" s="153" t="n">
        <f aca="false">IFERROR(IF($N615="VCA",INDEX(APOIO_REDES!$A:$W,MATCH($C615&amp;$I615&amp;$H615&amp;$N615&amp;$O615,APOIO_REDES!$W:$W,0),MATCH(AV$5,APOIO_REDES!$5:$5,0)),0)*$AP615,0)</f>
        <v>0.0413340233582088</v>
      </c>
      <c r="AW615" s="153" t="n">
        <f aca="false">IFERROR(IF($N615="VCA",INDEX(APOIO_REDES!$A:$W,MATCH($C615&amp;$I615&amp;$H615&amp;$N615&amp;$O615,APOIO_REDES!$W:$W,0),MATCH(AW$5,APOIO_REDES!$5:$5,0)),0)*$AP615,0)</f>
        <v>23.5951702534125</v>
      </c>
      <c r="AX615" s="153" t="n">
        <f aca="false">IFERROR(IF($N615="VCA",INDEX(APOIO_REDES!$A:$W,MATCH($C615&amp;$I615&amp;$H615&amp;$N615&amp;$O615,APOIO_REDES!$W:$W,0),MATCH(AX$5,APOIO_REDES!$5:$5,0)),0)*$AP615,0)</f>
        <v>3.26550435095757</v>
      </c>
      <c r="AY615" s="153" t="n">
        <f aca="false">IFERROR(IF($N615="VCA",INDEX(APOIO_REDES!$A:$W,MATCH($C615&amp;$I615&amp;$H615&amp;$N615&amp;$O615,APOIO_REDES!$W:$W,0),MATCH(AY$5,APOIO_REDES!$5:$5,0)),0)*$AP615,0)</f>
        <v>5.97345994801284</v>
      </c>
      <c r="AZ615" s="153" t="n">
        <f aca="false">IFERROR(IF($N615="VCA",INDEX(APOIO_REDES!$A:$W,MATCH($C615&amp;$I615&amp;$H615&amp;$N615&amp;$O615,APOIO_REDES!$W:$W,0),MATCH(AZ$5,APOIO_REDES!$5:$5,0)),0)*$AP615,0)</f>
        <v>0.826709593578944</v>
      </c>
      <c r="BA615" s="153" t="n">
        <f aca="false">IFERROR(IF(AND($N615="VCA",$Q615="LINEAR"),INDEX(APOIO_REDES!$A:$W,MATCH($C615&amp;$I615&amp;$H615&amp;$N615&amp;$O615,APOIO_REDES!$W:$W,0),MATCH(BA$5,APOIO_REDES!$5:$5,0)),IF(AND($N615="MND",$Q615="EMBOQUE"),INDEX(APOIO_REDES!$A:$W,MATCH($C615&amp;$I615&amp;$H615&amp;$N615&amp;$O615,APOIO_REDES!$W:$W,0),MATCH(BA$5,APOIO_REDES!$5:$5,0)),0))*$M615/10,0)</f>
        <v>3.12718213009547</v>
      </c>
      <c r="BB615" s="153" t="n">
        <f aca="false">IFERROR(IF($N615="VCA",INDEX(APOIO_REDES!$A:$W,MATCH($C615&amp;$I615&amp;$H615&amp;$N615&amp;$O615,APOIO_REDES!$W:$W,0),MATCH(BB$5,APOIO_REDES!$5:$5,0)),0)*($AI615+$AQ615+$AR615),0)</f>
        <v>11.5498123070259</v>
      </c>
      <c r="BC615" s="153" t="n">
        <f aca="false">IFERROR(IF($N615="VCA",INDEX(APOIO_REDES!$A:$W,MATCH($C615&amp;$I615&amp;$H615&amp;$N615&amp;$O615,APOIO_REDES!$W:$W,0),MATCH(BC$5,APOIO_REDES!$5:$5,0)),0)*($AI615+$AQ615+$AR615),0)</f>
        <v>0.12704769297414</v>
      </c>
      <c r="BD615" s="153" t="n">
        <f aca="false">IF(AND($N615="VCA",$AF615&gt;=1.25,$AF615&lt;1.5),$M615*$AF615*2,0)</f>
        <v>105.7688</v>
      </c>
      <c r="BE615" s="153" t="n">
        <f aca="false">IF(AND($N615="VCA",$AF615&gt;=1.5,$AF615&lt;3),$M615*$AF615*2,0)</f>
        <v>0</v>
      </c>
      <c r="BF615" s="153" t="n">
        <f aca="false">IF(AND($N615="VCA",$AF615&gt;=3),$M615*$AF615*2,0)</f>
        <v>0</v>
      </c>
      <c r="BG615" s="153" t="n">
        <f aca="false">($BB615+$BC615)*$AK615</f>
        <v>21.018348</v>
      </c>
      <c r="BH615" s="153" t="n">
        <f aca="false">IF(AND($M615&lt;&gt;"",$N615="VCA",$Q615="LINEAR"),($M615*2)/100,IF(AND($M615&lt;&gt;"",$N615="MND",$Q615="EMBOQUE"),($AN615*2)/100,0))</f>
        <v>0.776</v>
      </c>
      <c r="BI615" s="153" t="n">
        <f aca="false">IF(AND($M615&lt;&gt;"",$N615="VCA",$Q615="LINEAR"),$M615,IF(AND($M615&lt;&gt;"",$N615="MND",$Q615="EMBOQUE"),$AN615*2,0))</f>
        <v>38.8</v>
      </c>
      <c r="BJ615" s="153" t="n">
        <f aca="false">IF(AND($M615&lt;&gt;"",$N615="VCA",$Q615="LINEAR"),($M615*6.8)/100,IF(AND($M615&lt;&gt;"",$N615="MND",$Q615="EMBOQUE"),($AN615*2*6.8)/100,0))</f>
        <v>2.6384</v>
      </c>
      <c r="BK615" s="153" t="n">
        <f aca="false">IF(AND($M615&lt;&gt;"",$N615="VCA",$Q615="LINEAR"),($M615*2.5)/50,IF(AND($M615&lt;&gt;"",$N615="MND",$Q615="EMBOQUE"),($AN615*2*2.5)/50,0))</f>
        <v>1.94</v>
      </c>
      <c r="BL615" s="157" t="str">
        <f aca="false">K615&amp;J615</f>
        <v>Zona06REDES</v>
      </c>
      <c r="BM615" s="152" t="s">
        <v>3790</v>
      </c>
      <c r="BN615" s="152" t="s">
        <v>1560</v>
      </c>
      <c r="BO615" s="152" t="s">
        <v>3797</v>
      </c>
      <c r="BP615" s="152" t="s">
        <v>3256</v>
      </c>
      <c r="BQ615" s="152" t="s">
        <v>3886</v>
      </c>
      <c r="BR615" s="152" t="s">
        <v>3887</v>
      </c>
      <c r="BS615" s="152" t="n">
        <v>203972.893</v>
      </c>
      <c r="BT615" s="152" t="n">
        <v>8237303.33</v>
      </c>
      <c r="BU615" s="152" t="n">
        <v>203939.067</v>
      </c>
      <c r="BV615" s="152" t="n">
        <v>8237311.41</v>
      </c>
      <c r="BW615" s="152" t="n">
        <v>-15.9258341</v>
      </c>
      <c r="BX615" s="152" t="n">
        <v>-47.7650485</v>
      </c>
      <c r="BY615" s="152" t="s">
        <v>3886</v>
      </c>
    </row>
    <row r="616" customFormat="false" ht="13.8" hidden="false" customHeight="false" outlineLevel="0" collapsed="false">
      <c r="A616" s="149" t="n">
        <f aca="false">IF(C616&lt;&gt;"",ROW(A611),"")</f>
        <v>611</v>
      </c>
      <c r="B616" s="150" t="str">
        <f aca="false">HYPERLINK("https://www.google.com/maps/dir/-15.917302,-47.760003/-15.9259290,-47.7640580/data=!4m3!4m2!3e0!5i2")</f>
        <v>https://www.google.com/maps/dir/-15.917302,-47.760003/-15.9259290,-47.7640580/data=!4m3!4m2!3e0!5i2</v>
      </c>
      <c r="C616" s="151" t="s">
        <v>117</v>
      </c>
      <c r="D616" s="152" t="s">
        <v>112</v>
      </c>
      <c r="E616" s="152" t="s">
        <v>113</v>
      </c>
      <c r="F616" s="152" t="s">
        <v>117</v>
      </c>
      <c r="G616" s="152" t="s">
        <v>782</v>
      </c>
      <c r="H616" s="152" t="n">
        <v>63</v>
      </c>
      <c r="I616" s="152" t="s">
        <v>115</v>
      </c>
      <c r="J616" s="152" t="s">
        <v>6</v>
      </c>
      <c r="K616" s="152" t="s">
        <v>3786</v>
      </c>
      <c r="L616" s="152" t="s">
        <v>120</v>
      </c>
      <c r="M616" s="153" t="n">
        <f aca="false">14.71</f>
        <v>14.71</v>
      </c>
      <c r="N616" s="152" t="s">
        <v>1548</v>
      </c>
      <c r="O616" s="152" t="s">
        <v>1549</v>
      </c>
      <c r="P616" s="152" t="s">
        <v>1550</v>
      </c>
      <c r="Q616" s="152" t="s">
        <v>1551</v>
      </c>
      <c r="R616" s="154" t="s">
        <v>3888</v>
      </c>
      <c r="S616" s="154" t="s">
        <v>1553</v>
      </c>
      <c r="T616" s="155" t="s">
        <v>3795</v>
      </c>
      <c r="U616" s="152" t="str">
        <f aca="false">RIGHT(T616,7)</f>
        <v>013/037</v>
      </c>
      <c r="V616" s="152" t="s">
        <v>1555</v>
      </c>
      <c r="W616" s="156" t="n">
        <v>45882</v>
      </c>
      <c r="X616" s="152" t="s">
        <v>1594</v>
      </c>
      <c r="Y616" s="152" t="s">
        <v>2276</v>
      </c>
      <c r="Z616" s="152" t="s">
        <v>1557</v>
      </c>
      <c r="AA616" s="153" t="n">
        <v>1.9</v>
      </c>
      <c r="AB616" s="151" t="s">
        <v>3889</v>
      </c>
      <c r="AC616" s="151" t="s">
        <v>186</v>
      </c>
      <c r="AD616" s="151" t="str">
        <f aca="false">CONCATENATE($C616,$I616,$H616,$N616,$J616,$K616)</f>
        <v>TUBO PEADPEAD63VCAREDESZona06</v>
      </c>
      <c r="AE616" s="153" t="n">
        <f aca="false">IFERROR(INDEX(APOIO_REDES!$A:$W,MATCH($C616&amp;$I616&amp;$H616&amp;$N616&amp;$O616,APOIO_REDES!$W:$W,0),MATCH(AE$5,APOIO_REDES!$5:$5,0)),0)</f>
        <v>1.2</v>
      </c>
      <c r="AF616" s="153" t="n">
        <f aca="false">IFERROR(INDEX(APOIO_REDES!$A:$W,MATCH($C616&amp;$I616&amp;$H616&amp;$N616&amp;$O616,APOIO_REDES!$W:$W,0),MATCH(AF$5,APOIO_REDES!$5:$5,0)),0)</f>
        <v>1.363</v>
      </c>
      <c r="AG616" s="153" t="n">
        <f aca="false">IFERROR(INDEX(APOIO_REDES!$A:$W,MATCH($C616&amp;$I616&amp;$H616&amp;$N616&amp;$O616,APOIO_REDES!$W:$W,0),MATCH(AG$5,APOIO_REDES!$5:$5,0)),0)</f>
        <v>0.65</v>
      </c>
      <c r="AH616" s="153" t="n">
        <f aca="false">IFERROR(INDEX(APOIO_REDES!$A:$W,MATCH($C616&amp;$I616&amp;$H616&amp;$N616&amp;$O616,APOIO_REDES!$W:$W,0),MATCH(AH$5,APOIO_REDES!$5:$5,0)),0)</f>
        <v>0.1</v>
      </c>
      <c r="AI616" s="153" t="n">
        <f aca="false">IFERROR(IF($H616&lt;&gt;"",(((($H616/1000)/2)^2)*PI()*$M616),0),0)</f>
        <v>0.045854678517815</v>
      </c>
      <c r="AJ616" s="153" t="n">
        <f aca="false">IFERROR(IF(AND($H616&lt;&gt;"",$I616="FoFo",OR($N616="MND",$N616="VCA"),$Q616="LINEAR"),0,IF(AND($H616&lt;&gt;"",$I616="PEAD",$N616="VCA",$Q616="LINEAR"),($H616/1000)+0.3,IF(AND($H616&lt;&gt;"",$I616="PEAD",$N616="MND",$Q616="EMBOQUE"),0,IF(AND($H616&lt;&gt;"",$I616="PVC",$N616="VCA",$Q616="LINEAR"),($H616/1000)+0.2,IF(AND($H616&lt;&gt;"",$I616="PVC",$N616="MND",$Q616="EMBOQUE"),0,IF(AND($H616&lt;&gt;"",$I616="PEAD",$N616="VCA",$Q616="PREDIAL"),0,0)))))),0)</f>
        <v>0.363</v>
      </c>
      <c r="AK616" s="153" t="n">
        <f aca="false">IF(AA616&lt;&gt;"",AA616,0)</f>
        <v>1.9</v>
      </c>
      <c r="AL616" s="153" t="n">
        <f aca="false">IF(AND($N616="MND",$Q616="EMBOQUE"),$M616,IF(AND($N616="VCA",$Q616="LINEAR"),$M616,IF(AND($N616="VCA",$Q616="PREDIAL"),0,0)))</f>
        <v>14.71</v>
      </c>
      <c r="AM616" s="153" t="n">
        <f aca="false">IF(AND($N616="MND",$Q616="EMBOQUE"),$M616,IF(AND($N616="VCA",$Q616="LINEAR"),$M616,IF(AND($N616="VCA",$Q616="PREDIAL"),0,0)))</f>
        <v>14.71</v>
      </c>
      <c r="AN616" s="153" t="n">
        <f aca="false">ROUND(IF(AND($N616="VCA",$M616&lt;&gt;"",$Q616="LINEAR"),$M616/100,IF(AND($N616="MND",$M616&gt;100,$Q616="EMBOQUE"),$M616/100,0)),0)</f>
        <v>0</v>
      </c>
      <c r="AO616" s="153" t="n">
        <f aca="false">IF(AND($N616="MND",$Q616="EMBOQUE"),$AN616*2*2,IF(AND($N616="VCA",$Q616="LINEAR"),$M616*2,IF(AND($N616="VCA",$Q616="PREDIAL"),0,0)))</f>
        <v>29.42</v>
      </c>
      <c r="AP616" s="153" t="n">
        <f aca="false">IFERROR($M616*$AF616*$AG616,0)</f>
        <v>13.0323245</v>
      </c>
      <c r="AQ616" s="153" t="n">
        <f aca="false">IFERROR(IF(AND($N616="VCA",$AH616&gt;0),$M616*$AG616*$AH616,0),0)</f>
        <v>0.95615</v>
      </c>
      <c r="AR616" s="153" t="n">
        <f aca="false">IFERROR(IF(AND($N616="VCA",$AJ616&gt;0),($M616*$AG616*$AJ616)-$AI616,0),0)</f>
        <v>3.42496982148219</v>
      </c>
      <c r="AS616" s="153" t="n">
        <f aca="false">IFERROR(IF(AND($N616="VCA",$AP616&gt;0),$AP616-$AI616-$AQ616-$AR616,0),0)</f>
        <v>8.60535</v>
      </c>
      <c r="AT616" s="153" t="n">
        <f aca="false">IFERROR(IF($N616="VCA",INDEX(APOIO_REDES!$A:$W,MATCH($C616&amp;$I616&amp;$H616&amp;$N616&amp;$O616,APOIO_REDES!$W:$W,0),MATCH(AT$5,APOIO_REDES!$5:$5,0)),0)*$AP616,0)</f>
        <v>0.141795547931153</v>
      </c>
      <c r="AU616" s="153" t="n">
        <f aca="false">IFERROR(IF($N616="VCA",INDEX(APOIO_REDES!$A:$W,MATCH($C616&amp;$I616&amp;$H616&amp;$N616&amp;$O616,APOIO_REDES!$W:$W,0),MATCH(AU$5,APOIO_REDES!$5:$5,0)),0)*$AP616,0)</f>
        <v>0.113234084267351</v>
      </c>
      <c r="AV616" s="153" t="n">
        <f aca="false">IFERROR(IF($N616="VCA",INDEX(APOIO_REDES!$A:$W,MATCH($C616&amp;$I616&amp;$H616&amp;$N616&amp;$O616,APOIO_REDES!$W:$W,0),MATCH(AV$5,APOIO_REDES!$5:$5,0)),0)*$AP616,0)</f>
        <v>0.0156707083401869</v>
      </c>
      <c r="AW616" s="153" t="n">
        <f aca="false">IFERROR(IF($N616="VCA",INDEX(APOIO_REDES!$A:$W,MATCH($C616&amp;$I616&amp;$H616&amp;$N616&amp;$O616,APOIO_REDES!$W:$W,0),MATCH(AW$5,APOIO_REDES!$5:$5,0)),0)*$AP616,0)</f>
        <v>8.94548851617778</v>
      </c>
      <c r="AX616" s="153" t="n">
        <f aca="false">IFERROR(IF($N616="VCA",INDEX(APOIO_REDES!$A:$W,MATCH($C616&amp;$I616&amp;$H616&amp;$N616&amp;$O616,APOIO_REDES!$W:$W,0),MATCH(AX$5,APOIO_REDES!$5:$5,0)),0)*$AP616,0)</f>
        <v>1.23803012893263</v>
      </c>
      <c r="AY616" s="153" t="n">
        <f aca="false">IFERROR(IF($N616="VCA",INDEX(APOIO_REDES!$A:$W,MATCH($C616&amp;$I616&amp;$H616&amp;$N616&amp;$O616,APOIO_REDES!$W:$W,0),MATCH(AY$5,APOIO_REDES!$5:$5,0)),0)*$AP616,0)</f>
        <v>2.26468030503271</v>
      </c>
      <c r="AZ616" s="153" t="n">
        <f aca="false">IFERROR(IF($N616="VCA",INDEX(APOIO_REDES!$A:$W,MATCH($C616&amp;$I616&amp;$H616&amp;$N616&amp;$O616,APOIO_REDES!$W:$W,0),MATCH(AZ$5,APOIO_REDES!$5:$5,0)),0)*$AP616,0)</f>
        <v>0.313425209318203</v>
      </c>
      <c r="BA616" s="153" t="n">
        <f aca="false">IFERROR(IF(AND($N616="VCA",$Q616="LINEAR"),INDEX(APOIO_REDES!$A:$W,MATCH($C616&amp;$I616&amp;$H616&amp;$N616&amp;$O616,APOIO_REDES!$W:$W,0),MATCH(BA$5,APOIO_REDES!$5:$5,0)),IF(AND($N616="MND",$Q616="EMBOQUE"),INDEX(APOIO_REDES!$A:$W,MATCH($C616&amp;$I616&amp;$H616&amp;$N616&amp;$O616,APOIO_REDES!$W:$W,0),MATCH(BA$5,APOIO_REDES!$5:$5,0)),0))*$M616/10,0)</f>
        <v>1.18558889519857</v>
      </c>
      <c r="BB616" s="153" t="n">
        <f aca="false">IFERROR(IF($N616="VCA",INDEX(APOIO_REDES!$A:$W,MATCH($C616&amp;$I616&amp;$H616&amp;$N616&amp;$O616,APOIO_REDES!$W:$W,0),MATCH(BB$5,APOIO_REDES!$5:$5,0)),0)*($AI616+$AQ616+$AR616),0)</f>
        <v>4.37880770712243</v>
      </c>
      <c r="BC616" s="153" t="n">
        <f aca="false">IFERROR(IF($N616="VCA",INDEX(APOIO_REDES!$A:$W,MATCH($C616&amp;$I616&amp;$H616&amp;$N616&amp;$O616,APOIO_REDES!$W:$W,0),MATCH(BC$5,APOIO_REDES!$5:$5,0)),0)*($AI616+$AQ616+$AR616),0)</f>
        <v>0.048166792877567</v>
      </c>
      <c r="BD616" s="153" t="n">
        <f aca="false">IF(AND($N616="VCA",$AF616&gt;=1.25,$AF616&lt;1.5),$M616*$AF616*2,0)</f>
        <v>40.09946</v>
      </c>
      <c r="BE616" s="153" t="n">
        <f aca="false">IF(AND($N616="VCA",$AF616&gt;=1.5,$AF616&lt;3),$M616*$AF616*2,0)</f>
        <v>0</v>
      </c>
      <c r="BF616" s="153" t="n">
        <f aca="false">IF(AND($N616="VCA",$AF616&gt;=3),$M616*$AF616*2,0)</f>
        <v>0</v>
      </c>
      <c r="BG616" s="153" t="n">
        <f aca="false">($BB616+$BC616)*$AK616</f>
        <v>8.41125155</v>
      </c>
      <c r="BH616" s="153" t="n">
        <f aca="false">IF(AND($M616&lt;&gt;"",$N616="VCA",$Q616="LINEAR"),($M616*2)/100,IF(AND($M616&lt;&gt;"",$N616="MND",$Q616="EMBOQUE"),($AN616*2)/100,0))</f>
        <v>0.2942</v>
      </c>
      <c r="BI616" s="153" t="n">
        <f aca="false">IF(AND($M616&lt;&gt;"",$N616="VCA",$Q616="LINEAR"),$M616,IF(AND($M616&lt;&gt;"",$N616="MND",$Q616="EMBOQUE"),$AN616*2,0))</f>
        <v>14.71</v>
      </c>
      <c r="BJ616" s="153" t="n">
        <f aca="false">IF(AND($M616&lt;&gt;"",$N616="VCA",$Q616="LINEAR"),($M616*6.8)/100,IF(AND($M616&lt;&gt;"",$N616="MND",$Q616="EMBOQUE"),($AN616*2*6.8)/100,0))</f>
        <v>1.00028</v>
      </c>
      <c r="BK616" s="153" t="n">
        <f aca="false">IF(AND($M616&lt;&gt;"",$N616="VCA",$Q616="LINEAR"),($M616*2.5)/50,IF(AND($M616&lt;&gt;"",$N616="MND",$Q616="EMBOQUE"),($AN616*2*2.5)/50,0))</f>
        <v>0.7355</v>
      </c>
      <c r="BL616" s="157" t="str">
        <f aca="false">K616&amp;J616</f>
        <v>Zona06REDES</v>
      </c>
      <c r="BM616" s="152" t="s">
        <v>3790</v>
      </c>
      <c r="BN616" s="152" t="s">
        <v>1560</v>
      </c>
      <c r="BO616" s="152" t="s">
        <v>3797</v>
      </c>
      <c r="BP616" s="152" t="s">
        <v>3890</v>
      </c>
      <c r="BQ616" s="152" t="s">
        <v>3865</v>
      </c>
      <c r="BR616" s="152" t="s">
        <v>3891</v>
      </c>
      <c r="BS616" s="152" t="n">
        <v>204062.216</v>
      </c>
      <c r="BT616" s="152" t="n">
        <v>8237298.105</v>
      </c>
      <c r="BU616" s="152" t="n">
        <v>204071.064</v>
      </c>
      <c r="BV616" s="152" t="n">
        <v>8237309.851</v>
      </c>
      <c r="BW616" s="152" t="n">
        <v>-15.9258759</v>
      </c>
      <c r="BX616" s="152" t="n">
        <v>-47.7640169</v>
      </c>
      <c r="BY616" s="152" t="s">
        <v>3890</v>
      </c>
    </row>
    <row r="617" customFormat="false" ht="13.8" hidden="false" customHeight="false" outlineLevel="0" collapsed="false">
      <c r="A617" s="149" t="n">
        <f aca="false">IF(C617&lt;&gt;"",ROW(A612),"")</f>
        <v>612</v>
      </c>
      <c r="B617" s="150" t="str">
        <f aca="false">HYPERLINK("https://www.google.com/maps/dir/-15.917302,-47.760003/-15.9259783,-47.7649742/data=!4m3!4m2!3e0!5i0")</f>
        <v>https://www.google.com/maps/dir/-15.917302,-47.760003/-15.9259783,-47.7649742/data=!4m3!4m2!3e0!5i0</v>
      </c>
      <c r="C617" s="151" t="s">
        <v>117</v>
      </c>
      <c r="D617" s="152" t="s">
        <v>112</v>
      </c>
      <c r="E617" s="152" t="s">
        <v>113</v>
      </c>
      <c r="F617" s="152" t="s">
        <v>117</v>
      </c>
      <c r="G617" s="152" t="s">
        <v>782</v>
      </c>
      <c r="H617" s="152" t="n">
        <v>63</v>
      </c>
      <c r="I617" s="152" t="s">
        <v>115</v>
      </c>
      <c r="J617" s="152" t="s">
        <v>6</v>
      </c>
      <c r="K617" s="152" t="s">
        <v>3786</v>
      </c>
      <c r="L617" s="152" t="s">
        <v>120</v>
      </c>
      <c r="M617" s="153" t="n">
        <f aca="false">14.85+4</f>
        <v>18.85</v>
      </c>
      <c r="N617" s="152" t="s">
        <v>1548</v>
      </c>
      <c r="O617" s="152" t="s">
        <v>1549</v>
      </c>
      <c r="P617" s="152" t="s">
        <v>1550</v>
      </c>
      <c r="Q617" s="152" t="s">
        <v>1551</v>
      </c>
      <c r="R617" s="154" t="s">
        <v>3892</v>
      </c>
      <c r="S617" s="154" t="s">
        <v>1553</v>
      </c>
      <c r="T617" s="155" t="s">
        <v>3795</v>
      </c>
      <c r="U617" s="152" t="str">
        <f aca="false">RIGHT(T617,7)</f>
        <v>013/037</v>
      </c>
      <c r="V617" s="152" t="s">
        <v>1555</v>
      </c>
      <c r="W617" s="156" t="n">
        <v>45882</v>
      </c>
      <c r="X617" s="152" t="s">
        <v>1594</v>
      </c>
      <c r="Y617" s="152" t="s">
        <v>3855</v>
      </c>
      <c r="Z617" s="152" t="s">
        <v>1557</v>
      </c>
      <c r="AA617" s="153" t="n">
        <v>1.8</v>
      </c>
      <c r="AB617" s="151" t="s">
        <v>3893</v>
      </c>
      <c r="AC617" s="151" t="s">
        <v>186</v>
      </c>
      <c r="AD617" s="151" t="str">
        <f aca="false">CONCATENATE($C617,$I617,$H617,$N617,$J617,$K617)</f>
        <v>TUBO PEADPEAD63VCAREDESZona06</v>
      </c>
      <c r="AE617" s="153" t="n">
        <f aca="false">IFERROR(INDEX(APOIO_REDES!$A:$W,MATCH($C617&amp;$I617&amp;$H617&amp;$N617&amp;$O617,APOIO_REDES!$W:$W,0),MATCH(AE$5,APOIO_REDES!$5:$5,0)),0)</f>
        <v>1.2</v>
      </c>
      <c r="AF617" s="153" t="n">
        <f aca="false">IFERROR(INDEX(APOIO_REDES!$A:$W,MATCH($C617&amp;$I617&amp;$H617&amp;$N617&amp;$O617,APOIO_REDES!$W:$W,0),MATCH(AF$5,APOIO_REDES!$5:$5,0)),0)</f>
        <v>1.363</v>
      </c>
      <c r="AG617" s="153" t="n">
        <f aca="false">IFERROR(INDEX(APOIO_REDES!$A:$W,MATCH($C617&amp;$I617&amp;$H617&amp;$N617&amp;$O617,APOIO_REDES!$W:$W,0),MATCH(AG$5,APOIO_REDES!$5:$5,0)),0)</f>
        <v>0.65</v>
      </c>
      <c r="AH617" s="153" t="n">
        <f aca="false">IFERROR(INDEX(APOIO_REDES!$A:$W,MATCH($C617&amp;$I617&amp;$H617&amp;$N617&amp;$O617,APOIO_REDES!$W:$W,0),MATCH(AH$5,APOIO_REDES!$5:$5,0)),0)</f>
        <v>0.1</v>
      </c>
      <c r="AI617" s="153" t="n">
        <f aca="false">IFERROR(IF($H617&lt;&gt;"",(((($H617/1000)/2)^2)*PI()*$M617),0),0)</f>
        <v>0.0587600741033863</v>
      </c>
      <c r="AJ617" s="153" t="n">
        <f aca="false">IFERROR(IF(AND($H617&lt;&gt;"",$I617="FoFo",OR($N617="MND",$N617="VCA"),$Q617="LINEAR"),0,IF(AND($H617&lt;&gt;"",$I617="PEAD",$N617="VCA",$Q617="LINEAR"),($H617/1000)+0.3,IF(AND($H617&lt;&gt;"",$I617="PEAD",$N617="MND",$Q617="EMBOQUE"),0,IF(AND($H617&lt;&gt;"",$I617="PVC",$N617="VCA",$Q617="LINEAR"),($H617/1000)+0.2,IF(AND($H617&lt;&gt;"",$I617="PVC",$N617="MND",$Q617="EMBOQUE"),0,IF(AND($H617&lt;&gt;"",$I617="PEAD",$N617="VCA",$Q617="PREDIAL"),0,0)))))),0)</f>
        <v>0.363</v>
      </c>
      <c r="AK617" s="153" t="n">
        <f aca="false">IF(AA617&lt;&gt;"",AA617,0)</f>
        <v>1.8</v>
      </c>
      <c r="AL617" s="153" t="n">
        <f aca="false">IF(AND($N617="MND",$Q617="EMBOQUE"),$M617,IF(AND($N617="VCA",$Q617="LINEAR"),$M617,IF(AND($N617="VCA",$Q617="PREDIAL"),0,0)))</f>
        <v>18.85</v>
      </c>
      <c r="AM617" s="153" t="n">
        <f aca="false">IF(AND($N617="MND",$Q617="EMBOQUE"),$M617,IF(AND($N617="VCA",$Q617="LINEAR"),$M617,IF(AND($N617="VCA",$Q617="PREDIAL"),0,0)))</f>
        <v>18.85</v>
      </c>
      <c r="AN617" s="153" t="n">
        <f aca="false">ROUND(IF(AND($N617="VCA",$M617&lt;&gt;"",$Q617="LINEAR"),$M617/100,IF(AND($N617="MND",$M617&gt;100,$Q617="EMBOQUE"),$M617/100,0)),0)</f>
        <v>0</v>
      </c>
      <c r="AO617" s="153" t="n">
        <f aca="false">IF(AND($N617="MND",$Q617="EMBOQUE"),$AN617*2*2,IF(AND($N617="VCA",$Q617="LINEAR"),$M617*2,IF(AND($N617="VCA",$Q617="PREDIAL"),0,0)))</f>
        <v>37.7</v>
      </c>
      <c r="AP617" s="153" t="n">
        <f aca="false">IFERROR($M617*$AF617*$AG617,0)</f>
        <v>16.7001575</v>
      </c>
      <c r="AQ617" s="153" t="n">
        <f aca="false">IFERROR(IF(AND($N617="VCA",$AH617&gt;0),$M617*$AG617*$AH617,0),0)</f>
        <v>1.22525</v>
      </c>
      <c r="AR617" s="153" t="n">
        <f aca="false">IFERROR(IF(AND($N617="VCA",$AJ617&gt;0),($M617*$AG617*$AJ617)-$AI617,0),0)</f>
        <v>4.38889742589661</v>
      </c>
      <c r="AS617" s="153" t="n">
        <f aca="false">IFERROR(IF(AND($N617="VCA",$AP617&gt;0),$AP617-$AI617-$AQ617-$AR617,0),0)</f>
        <v>11.02725</v>
      </c>
      <c r="AT617" s="153" t="n">
        <f aca="false">IFERROR(IF($N617="VCA",INDEX(APOIO_REDES!$A:$W,MATCH($C617&amp;$I617&amp;$H617&amp;$N617&amp;$O617,APOIO_REDES!$W:$W,0),MATCH(AT$5,APOIO_REDES!$5:$5,0)),0)*$AP617,0)</f>
        <v>0.181702656594305</v>
      </c>
      <c r="AU617" s="153" t="n">
        <f aca="false">IFERROR(IF($N617="VCA",INDEX(APOIO_REDES!$A:$W,MATCH($C617&amp;$I617&amp;$H617&amp;$N617&amp;$O617,APOIO_REDES!$W:$W,0),MATCH(AU$5,APOIO_REDES!$5:$5,0)),0)*$AP617,0)</f>
        <v>0.145102820424171</v>
      </c>
      <c r="AV617" s="153" t="n">
        <f aca="false">IFERROR(IF($N617="VCA",INDEX(APOIO_REDES!$A:$W,MATCH($C617&amp;$I617&amp;$H617&amp;$N617&amp;$O617,APOIO_REDES!$W:$W,0),MATCH(AV$5,APOIO_REDES!$5:$5,0)),0)*$AP617,0)</f>
        <v>0.020081091244903</v>
      </c>
      <c r="AW617" s="153" t="n">
        <f aca="false">IFERROR(IF($N617="VCA",INDEX(APOIO_REDES!$A:$W,MATCH($C617&amp;$I617&amp;$H617&amp;$N617&amp;$O617,APOIO_REDES!$W:$W,0),MATCH(AW$5,APOIO_REDES!$5:$5,0)),0)*$AP617,0)</f>
        <v>11.4631175071347</v>
      </c>
      <c r="AX617" s="153" t="n">
        <f aca="false">IFERROR(IF($N617="VCA",INDEX(APOIO_REDES!$A:$W,MATCH($C617&amp;$I617&amp;$H617&amp;$N617&amp;$O617,APOIO_REDES!$W:$W,0),MATCH(AX$5,APOIO_REDES!$5:$5,0)),0)*$AP617,0)</f>
        <v>1.58646280967913</v>
      </c>
      <c r="AY617" s="153" t="n">
        <f aca="false">IFERROR(IF($N617="VCA",INDEX(APOIO_REDES!$A:$W,MATCH($C617&amp;$I617&amp;$H617&amp;$N617&amp;$O617,APOIO_REDES!$W:$W,0),MATCH(AY$5,APOIO_REDES!$5:$5,0)),0)*$AP617,0)</f>
        <v>2.90205463969181</v>
      </c>
      <c r="AZ617" s="153" t="n">
        <f aca="false">IFERROR(IF($N617="VCA",INDEX(APOIO_REDES!$A:$W,MATCH($C617&amp;$I617&amp;$H617&amp;$N617&amp;$O617,APOIO_REDES!$W:$W,0),MATCH(AZ$5,APOIO_REDES!$5:$5,0)),0)*$AP617,0)</f>
        <v>0.401635975231008</v>
      </c>
      <c r="BA617" s="153" t="n">
        <f aca="false">IFERROR(IF(AND($N617="VCA",$Q617="LINEAR"),INDEX(APOIO_REDES!$A:$W,MATCH($C617&amp;$I617&amp;$H617&amp;$N617&amp;$O617,APOIO_REDES!$W:$W,0),MATCH(BA$5,APOIO_REDES!$5:$5,0)),IF(AND($N617="MND",$Q617="EMBOQUE"),INDEX(APOIO_REDES!$A:$W,MATCH($C617&amp;$I617&amp;$H617&amp;$N617&amp;$O617,APOIO_REDES!$W:$W,0),MATCH(BA$5,APOIO_REDES!$5:$5,0)),0))*$M617/10,0)</f>
        <v>1.51926245237886</v>
      </c>
      <c r="BB617" s="153" t="n">
        <f aca="false">IFERROR(IF($N617="VCA",INDEX(APOIO_REDES!$A:$W,MATCH($C617&amp;$I617&amp;$H617&amp;$N617&amp;$O617,APOIO_REDES!$W:$W,0),MATCH(BB$5,APOIO_REDES!$5:$5,0)),0)*($AI617+$AQ617+$AR617),0)</f>
        <v>5.61118458730509</v>
      </c>
      <c r="BC617" s="153" t="n">
        <f aca="false">IFERROR(IF($N617="VCA",INDEX(APOIO_REDES!$A:$W,MATCH($C617&amp;$I617&amp;$H617&amp;$N617&amp;$O617,APOIO_REDES!$W:$W,0),MATCH(BC$5,APOIO_REDES!$5:$5,0)),0)*($AI617+$AQ617+$AR617),0)</f>
        <v>0.0617229126949108</v>
      </c>
      <c r="BD617" s="153" t="n">
        <f aca="false">IF(AND($N617="VCA",$AF617&gt;=1.25,$AF617&lt;1.5),$M617*$AF617*2,0)</f>
        <v>51.3851</v>
      </c>
      <c r="BE617" s="153" t="n">
        <f aca="false">IF(AND($N617="VCA",$AF617&gt;=1.5,$AF617&lt;3),$M617*$AF617*2,0)</f>
        <v>0</v>
      </c>
      <c r="BF617" s="153" t="n">
        <f aca="false">IF(AND($N617="VCA",$AF617&gt;=3),$M617*$AF617*2,0)</f>
        <v>0</v>
      </c>
      <c r="BG617" s="153" t="n">
        <f aca="false">($BB617+$BC617)*$AK617</f>
        <v>10.2112335</v>
      </c>
      <c r="BH617" s="153" t="n">
        <f aca="false">IF(AND($M617&lt;&gt;"",$N617="VCA",$Q617="LINEAR"),($M617*2)/100,IF(AND($M617&lt;&gt;"",$N617="MND",$Q617="EMBOQUE"),($AN617*2)/100,0))</f>
        <v>0.377</v>
      </c>
      <c r="BI617" s="153" t="n">
        <f aca="false">IF(AND($M617&lt;&gt;"",$N617="VCA",$Q617="LINEAR"),$M617,IF(AND($M617&lt;&gt;"",$N617="MND",$Q617="EMBOQUE"),$AN617*2,0))</f>
        <v>18.85</v>
      </c>
      <c r="BJ617" s="153" t="n">
        <f aca="false">IF(AND($M617&lt;&gt;"",$N617="VCA",$Q617="LINEAR"),($M617*6.8)/100,IF(AND($M617&lt;&gt;"",$N617="MND",$Q617="EMBOQUE"),($AN617*2*6.8)/100,0))</f>
        <v>1.2818</v>
      </c>
      <c r="BK617" s="153" t="n">
        <f aca="false">IF(AND($M617&lt;&gt;"",$N617="VCA",$Q617="LINEAR"),($M617*2.5)/50,IF(AND($M617&lt;&gt;"",$N617="MND",$Q617="EMBOQUE"),($AN617*2*2.5)/50,0))</f>
        <v>0.9425</v>
      </c>
      <c r="BL617" s="157" t="str">
        <f aca="false">K617&amp;J617</f>
        <v>Zona06REDES</v>
      </c>
      <c r="BM617" s="152" t="s">
        <v>3790</v>
      </c>
      <c r="BN617" s="152" t="s">
        <v>1560</v>
      </c>
      <c r="BO617" s="152" t="s">
        <v>3797</v>
      </c>
      <c r="BP617" s="152" t="s">
        <v>3256</v>
      </c>
      <c r="BQ617" s="152" t="s">
        <v>3894</v>
      </c>
      <c r="BR617" s="152" t="s">
        <v>3895</v>
      </c>
      <c r="BS617" s="152" t="n">
        <v>203972.893</v>
      </c>
      <c r="BT617" s="152" t="n">
        <v>8237303.33</v>
      </c>
      <c r="BU617" s="152" t="n">
        <v>203964.128</v>
      </c>
      <c r="BV617" s="152" t="n">
        <v>8237291.347</v>
      </c>
      <c r="BW617" s="152" t="n">
        <v>-15.9259247</v>
      </c>
      <c r="BX617" s="152" t="n">
        <v>-47.7649326</v>
      </c>
      <c r="BY617" s="152" t="s">
        <v>3894</v>
      </c>
    </row>
    <row r="618" customFormat="false" ht="13.8" hidden="false" customHeight="false" outlineLevel="0" collapsed="false">
      <c r="A618" s="149" t="n">
        <f aca="false">IF(C618&lt;&gt;"",ROW(A613),"")</f>
        <v>613</v>
      </c>
      <c r="B618" s="150" t="str">
        <f aca="false">HYPERLINK("https://www.google.com/maps/dir/-15.917302,-47.760003/-15.9265626,-47.7613324/data=!4m3!4m2!3e0!5i0")</f>
        <v>https://www.google.com/maps/dir/-15.917302,-47.760003/-15.9265626,-47.7613324/data=!4m3!4m2!3e0!5i0</v>
      </c>
      <c r="C618" s="151" t="s">
        <v>117</v>
      </c>
      <c r="D618" s="152" t="s">
        <v>112</v>
      </c>
      <c r="E618" s="152" t="s">
        <v>113</v>
      </c>
      <c r="F618" s="152" t="s">
        <v>117</v>
      </c>
      <c r="G618" s="152" t="s">
        <v>782</v>
      </c>
      <c r="H618" s="152" t="n">
        <v>110</v>
      </c>
      <c r="I618" s="152" t="s">
        <v>115</v>
      </c>
      <c r="J618" s="152" t="s">
        <v>6</v>
      </c>
      <c r="K618" s="152" t="s">
        <v>3786</v>
      </c>
      <c r="L618" s="152" t="s">
        <v>120</v>
      </c>
      <c r="M618" s="153" t="n">
        <f aca="false">134.76+1.18</f>
        <v>135.94</v>
      </c>
      <c r="N618" s="152" t="s">
        <v>1548</v>
      </c>
      <c r="O618" s="152" t="s">
        <v>1549</v>
      </c>
      <c r="P618" s="152" t="s">
        <v>1550</v>
      </c>
      <c r="Q618" s="152" t="s">
        <v>1551</v>
      </c>
      <c r="R618" s="154" t="s">
        <v>3896</v>
      </c>
      <c r="S618" s="154" t="s">
        <v>1593</v>
      </c>
      <c r="T618" s="155" t="s">
        <v>3795</v>
      </c>
      <c r="U618" s="152" t="str">
        <f aca="false">RIGHT(T618,7)</f>
        <v>013/037</v>
      </c>
      <c r="V618" s="152" t="s">
        <v>1555</v>
      </c>
      <c r="W618" s="156" t="n">
        <v>45882</v>
      </c>
      <c r="X618" s="152" t="s">
        <v>1594</v>
      </c>
      <c r="Y618" s="152" t="s">
        <v>2276</v>
      </c>
      <c r="Z618" s="152" t="s">
        <v>1557</v>
      </c>
      <c r="AA618" s="153" t="n">
        <v>1.5</v>
      </c>
      <c r="AB618" s="151" t="s">
        <v>3897</v>
      </c>
      <c r="AC618" s="151" t="s">
        <v>502</v>
      </c>
      <c r="AD618" s="151" t="str">
        <f aca="false">CONCATENATE($C618,$I618,$H618,$N618,$J618,$K618)</f>
        <v>TUBO PEADPEAD110VCAREDESZona06</v>
      </c>
      <c r="AE618" s="153" t="n">
        <f aca="false">IFERROR(INDEX(APOIO_REDES!$A:$W,MATCH($C618&amp;$I618&amp;$H618&amp;$N618&amp;$O618,APOIO_REDES!$W:$W,0),MATCH(AE$5,APOIO_REDES!$5:$5,0)),0)</f>
        <v>1.2</v>
      </c>
      <c r="AF618" s="153" t="n">
        <f aca="false">IFERROR(INDEX(APOIO_REDES!$A:$W,MATCH($C618&amp;$I618&amp;$H618&amp;$N618&amp;$O618,APOIO_REDES!$W:$W,0),MATCH(AF$5,APOIO_REDES!$5:$5,0)),0)</f>
        <v>1.41</v>
      </c>
      <c r="AG618" s="153" t="n">
        <f aca="false">IFERROR(INDEX(APOIO_REDES!$A:$W,MATCH($C618&amp;$I618&amp;$H618&amp;$N618&amp;$O618,APOIO_REDES!$W:$W,0),MATCH(AG$5,APOIO_REDES!$5:$5,0)),0)</f>
        <v>0.75</v>
      </c>
      <c r="AH618" s="153" t="n">
        <f aca="false">IFERROR(INDEX(APOIO_REDES!$A:$W,MATCH($C618&amp;$I618&amp;$H618&amp;$N618&amp;$O618,APOIO_REDES!$W:$W,0),MATCH(AH$5,APOIO_REDES!$5:$5,0)),0)</f>
        <v>0.1</v>
      </c>
      <c r="AI618" s="153" t="n">
        <f aca="false">IFERROR(IF($H618&lt;&gt;"",(((($H618/1000)/2)^2)*PI()*$M618),0),0)</f>
        <v>1.29188101862021</v>
      </c>
      <c r="AJ618" s="153" t="n">
        <f aca="false">IFERROR(IF(AND($H618&lt;&gt;"",$I618="FoFo",OR($N618="MND",$N618="VCA"),$Q618="LINEAR"),0,IF(AND($H618&lt;&gt;"",$I618="PEAD",$N618="VCA",$Q618="LINEAR"),($H618/1000)+0.3,IF(AND($H618&lt;&gt;"",$I618="PEAD",$N618="MND",$Q618="EMBOQUE"),0,IF(AND($H618&lt;&gt;"",$I618="PVC",$N618="VCA",$Q618="LINEAR"),($H618/1000)+0.2,IF(AND($H618&lt;&gt;"",$I618="PVC",$N618="MND",$Q618="EMBOQUE"),0,IF(AND($H618&lt;&gt;"",$I618="PEAD",$N618="VCA",$Q618="PREDIAL"),0,0)))))),0)</f>
        <v>0.41</v>
      </c>
      <c r="AK618" s="153" t="n">
        <f aca="false">IF(AA618&lt;&gt;"",AA618,0)</f>
        <v>1.5</v>
      </c>
      <c r="AL618" s="153" t="n">
        <f aca="false">IF(AND($N618="MND",$Q618="EMBOQUE"),$M618,IF(AND($N618="VCA",$Q618="LINEAR"),$M618,IF(AND($N618="VCA",$Q618="PREDIAL"),0,0)))</f>
        <v>135.94</v>
      </c>
      <c r="AM618" s="153" t="n">
        <f aca="false">IF(AND($N618="MND",$Q618="EMBOQUE"),$M618,IF(AND($N618="VCA",$Q618="LINEAR"),$M618,IF(AND($N618="VCA",$Q618="PREDIAL"),0,0)))</f>
        <v>135.94</v>
      </c>
      <c r="AN618" s="153" t="n">
        <f aca="false">ROUND(IF(AND($N618="VCA",$M618&lt;&gt;"",$Q618="LINEAR"),$M618/100,IF(AND($N618="MND",$M618&gt;100,$Q618="EMBOQUE"),$M618/100,0)),0)</f>
        <v>1</v>
      </c>
      <c r="AO618" s="153" t="n">
        <f aca="false">IF(AND($N618="MND",$Q618="EMBOQUE"),$AN618*2*2,IF(AND($N618="VCA",$Q618="LINEAR"),$M618*2,IF(AND($N618="VCA",$Q618="PREDIAL"),0,0)))</f>
        <v>271.88</v>
      </c>
      <c r="AP618" s="153" t="n">
        <f aca="false">IFERROR($M618*$AF618*$AG618,0)</f>
        <v>143.75655</v>
      </c>
      <c r="AQ618" s="153" t="n">
        <f aca="false">IFERROR(IF(AND($N618="VCA",$AH618&gt;0),$M618*$AG618*$AH618,0),0)</f>
        <v>10.1955</v>
      </c>
      <c r="AR618" s="153" t="n">
        <f aca="false">IFERROR(IF(AND($N618="VCA",$AJ618&gt;0),($M618*$AG618*$AJ618)-$AI618,0),0)</f>
        <v>40.5096689813798</v>
      </c>
      <c r="AS618" s="153" t="n">
        <f aca="false">IFERROR(IF(AND($N618="VCA",$AP618&gt;0),$AP618-$AI618-$AQ618-$AR618,0),0)</f>
        <v>91.7595</v>
      </c>
      <c r="AT618" s="153" t="n">
        <f aca="false">IFERROR(IF($N618="VCA",INDEX(APOIO_REDES!$A:$W,MATCH($C618&amp;$I618&amp;$H618&amp;$N618&amp;$O618,APOIO_REDES!$W:$W,0),MATCH(AT$5,APOIO_REDES!$5:$5,0)),0)*$AP618,0)</f>
        <v>1.56411381376685</v>
      </c>
      <c r="AU618" s="153" t="n">
        <f aca="false">IFERROR(IF($N618="VCA",INDEX(APOIO_REDES!$A:$W,MATCH($C618&amp;$I618&amp;$H618&amp;$N618&amp;$O618,APOIO_REDES!$W:$W,0),MATCH(AU$5,APOIO_REDES!$5:$5,0)),0)*$AP618,0)</f>
        <v>1.24905893009982</v>
      </c>
      <c r="AV618" s="153" t="n">
        <f aca="false">IFERROR(IF($N618="VCA",INDEX(APOIO_REDES!$A:$W,MATCH($C618&amp;$I618&amp;$H618&amp;$N618&amp;$O618,APOIO_REDES!$W:$W,0),MATCH(AV$5,APOIO_REDES!$5:$5,0)),0)*$AP618,0)</f>
        <v>0.172859950428758</v>
      </c>
      <c r="AW618" s="153" t="n">
        <f aca="false">IFERROR(IF($N618="VCA",INDEX(APOIO_REDES!$A:$W,MATCH($C618&amp;$I618&amp;$H618&amp;$N618&amp;$O618,APOIO_REDES!$W:$W,0),MATCH(AW$5,APOIO_REDES!$5:$5,0)),0)*$AP618,0)</f>
        <v>98.6756098001041</v>
      </c>
      <c r="AX618" s="153" t="n">
        <f aca="false">IFERROR(IF($N618="VCA",INDEX(APOIO_REDES!$A:$W,MATCH($C618&amp;$I618&amp;$H618&amp;$N618&amp;$O618,APOIO_REDES!$W:$W,0),MATCH(AX$5,APOIO_REDES!$5:$5,0)),0)*$AP618,0)</f>
        <v>13.6564233135393</v>
      </c>
      <c r="AY618" s="153" t="n">
        <f aca="false">IFERROR(IF($N618="VCA",INDEX(APOIO_REDES!$A:$W,MATCH($C618&amp;$I618&amp;$H618&amp;$N618&amp;$O618,APOIO_REDES!$W:$W,0),MATCH(AY$5,APOIO_REDES!$5:$5,0)),0)*$AP618,0)</f>
        <v>24.9811633760692</v>
      </c>
      <c r="AZ618" s="153" t="n">
        <f aca="false">IFERROR(IF($N618="VCA",INDEX(APOIO_REDES!$A:$W,MATCH($C618&amp;$I618&amp;$H618&amp;$N618&amp;$O618,APOIO_REDES!$W:$W,0),MATCH(AZ$5,APOIO_REDES!$5:$5,0)),0)*$AP618,0)</f>
        <v>3.45732081599201</v>
      </c>
      <c r="BA618" s="153" t="n">
        <f aca="false">IFERROR(IF(AND($N618="VCA",$Q618="LINEAR"),INDEX(APOIO_REDES!$A:$W,MATCH($C618&amp;$I618&amp;$H618&amp;$N618&amp;$O618,APOIO_REDES!$W:$W,0),MATCH(BA$5,APOIO_REDES!$5:$5,0)),IF(AND($N618="MND",$Q618="EMBOQUE"),INDEX(APOIO_REDES!$A:$W,MATCH($C618&amp;$I618&amp;$H618&amp;$N618&amp;$O618,APOIO_REDES!$W:$W,0),MATCH(BA$5,APOIO_REDES!$5:$5,0)),0))*$M618/10,0)</f>
        <v>10.9564211021953</v>
      </c>
      <c r="BB618" s="153" t="n">
        <f aca="false">IFERROR(IF($N618="VCA",INDEX(APOIO_REDES!$A:$W,MATCH($C618&amp;$I618&amp;$H618&amp;$N618&amp;$O618,APOIO_REDES!$W:$W,0),MATCH(BB$5,APOIO_REDES!$5:$5,0)),0)*($AI618+$AQ618+$AR618),0)</f>
        <v>51.4313067056588</v>
      </c>
      <c r="BC618" s="153" t="n">
        <f aca="false">IFERROR(IF($N618="VCA",INDEX(APOIO_REDES!$A:$W,MATCH($C618&amp;$I618&amp;$H618&amp;$N618&amp;$O618,APOIO_REDES!$W:$W,0),MATCH(BC$5,APOIO_REDES!$5:$5,0)),0)*($AI618+$AQ618+$AR618),0)</f>
        <v>0.565743294341202</v>
      </c>
      <c r="BD618" s="153" t="n">
        <f aca="false">IF(AND($N618="VCA",$AF618&gt;=1.25,$AF618&lt;1.5),$M618*$AF618*2,0)</f>
        <v>383.3508</v>
      </c>
      <c r="BE618" s="153" t="n">
        <f aca="false">IF(AND($N618="VCA",$AF618&gt;=1.5,$AF618&lt;3),$M618*$AF618*2,0)</f>
        <v>0</v>
      </c>
      <c r="BF618" s="153" t="n">
        <f aca="false">IF(AND($N618="VCA",$AF618&gt;=3),$M618*$AF618*2,0)</f>
        <v>0</v>
      </c>
      <c r="BG618" s="153" t="n">
        <f aca="false">($BB618+$BC618)*$AK618</f>
        <v>77.995575</v>
      </c>
      <c r="BH618" s="153" t="n">
        <f aca="false">IF(AND($M618&lt;&gt;"",$N618="VCA",$Q618="LINEAR"),($M618*2)/100,IF(AND($M618&lt;&gt;"",$N618="MND",$Q618="EMBOQUE"),($AN618*2)/100,0))</f>
        <v>2.7188</v>
      </c>
      <c r="BI618" s="153" t="n">
        <f aca="false">IF(AND($M618&lt;&gt;"",$N618="VCA",$Q618="LINEAR"),$M618,IF(AND($M618&lt;&gt;"",$N618="MND",$Q618="EMBOQUE"),$AN618*2,0))</f>
        <v>135.94</v>
      </c>
      <c r="BJ618" s="153" t="n">
        <f aca="false">IF(AND($M618&lt;&gt;"",$N618="VCA",$Q618="LINEAR"),($M618*6.8)/100,IF(AND($M618&lt;&gt;"",$N618="MND",$Q618="EMBOQUE"),($AN618*2*6.8)/100,0))</f>
        <v>9.24392</v>
      </c>
      <c r="BK618" s="153" t="n">
        <f aca="false">IF(AND($M618&lt;&gt;"",$N618="VCA",$Q618="LINEAR"),($M618*2.5)/50,IF(AND($M618&lt;&gt;"",$N618="MND",$Q618="EMBOQUE"),($AN618*2*2.5)/50,0))</f>
        <v>6.797</v>
      </c>
      <c r="BL618" s="157" t="str">
        <f aca="false">K618&amp;J618</f>
        <v>Zona06REDES</v>
      </c>
      <c r="BM618" s="152" t="s">
        <v>3790</v>
      </c>
      <c r="BN618" s="152" t="s">
        <v>1560</v>
      </c>
      <c r="BO618" s="152" t="s">
        <v>3797</v>
      </c>
      <c r="BP618" s="152" t="s">
        <v>3898</v>
      </c>
      <c r="BQ618" s="152" t="s">
        <v>3861</v>
      </c>
      <c r="BR618" s="152" t="s">
        <v>3899</v>
      </c>
      <c r="BS618" s="152" t="n">
        <v>204355.138</v>
      </c>
      <c r="BT618" s="152" t="n">
        <v>8237231.831</v>
      </c>
      <c r="BU618" s="152" t="n">
        <v>204350.923</v>
      </c>
      <c r="BV618" s="152" t="n">
        <v>8237330.633</v>
      </c>
      <c r="BW618" s="152" t="n">
        <v>-15.9260168</v>
      </c>
      <c r="BX618" s="152" t="n">
        <v>-47.7610547</v>
      </c>
      <c r="BY618" s="152" t="s">
        <v>3898</v>
      </c>
    </row>
    <row r="619" customFormat="false" ht="13.8" hidden="false" customHeight="false" outlineLevel="0" collapsed="false">
      <c r="A619" s="149" t="n">
        <f aca="false">IF(C619&lt;&gt;"",ROW(A614),"")</f>
        <v>614</v>
      </c>
      <c r="B619" s="150" t="str">
        <f aca="false">HYPERLINK("https://www.google.com/maps/dir/-15.917302,-47.760003/-15.9265632,-47.7628722/data=!4m3!4m2!3e0!5i0")</f>
        <v>https://www.google.com/maps/dir/-15.917302,-47.760003/-15.9265632,-47.7628722/data=!4m3!4m2!3e0!5i0</v>
      </c>
      <c r="C619" s="151" t="s">
        <v>117</v>
      </c>
      <c r="D619" s="152" t="s">
        <v>112</v>
      </c>
      <c r="E619" s="152" t="s">
        <v>113</v>
      </c>
      <c r="F619" s="152" t="s">
        <v>117</v>
      </c>
      <c r="G619" s="152" t="s">
        <v>782</v>
      </c>
      <c r="H619" s="152" t="n">
        <v>63</v>
      </c>
      <c r="I619" s="152" t="s">
        <v>115</v>
      </c>
      <c r="J619" s="152" t="s">
        <v>6</v>
      </c>
      <c r="K619" s="152" t="s">
        <v>3786</v>
      </c>
      <c r="L619" s="152" t="s">
        <v>120</v>
      </c>
      <c r="M619" s="153" t="n">
        <f aca="false">118.44+4</f>
        <v>122.44</v>
      </c>
      <c r="N619" s="152" t="s">
        <v>1548</v>
      </c>
      <c r="O619" s="152" t="s">
        <v>1549</v>
      </c>
      <c r="P619" s="152" t="s">
        <v>1550</v>
      </c>
      <c r="Q619" s="152" t="s">
        <v>1551</v>
      </c>
      <c r="R619" s="154" t="s">
        <v>3900</v>
      </c>
      <c r="S619" s="154" t="s">
        <v>1553</v>
      </c>
      <c r="T619" s="155" t="s">
        <v>3795</v>
      </c>
      <c r="U619" s="152" t="str">
        <f aca="false">RIGHT(T619,7)</f>
        <v>013/037</v>
      </c>
      <c r="V619" s="152" t="s">
        <v>1555</v>
      </c>
      <c r="W619" s="156" t="n">
        <v>45882</v>
      </c>
      <c r="X619" s="152" t="s">
        <v>1594</v>
      </c>
      <c r="Y619" s="152" t="s">
        <v>2276</v>
      </c>
      <c r="Z619" s="152" t="s">
        <v>1557</v>
      </c>
      <c r="AA619" s="153" t="n">
        <v>1.6</v>
      </c>
      <c r="AB619" s="151" t="s">
        <v>3901</v>
      </c>
      <c r="AC619" s="151" t="s">
        <v>186</v>
      </c>
      <c r="AD619" s="151" t="str">
        <f aca="false">CONCATENATE($C619,$I619,$H619,$N619,$J619,$K619)</f>
        <v>TUBO PEADPEAD63VCAREDESZona06</v>
      </c>
      <c r="AE619" s="153" t="n">
        <f aca="false">IFERROR(INDEX(APOIO_REDES!$A:$W,MATCH($C619&amp;$I619&amp;$H619&amp;$N619&amp;$O619,APOIO_REDES!$W:$W,0),MATCH(AE$5,APOIO_REDES!$5:$5,0)),0)</f>
        <v>1.2</v>
      </c>
      <c r="AF619" s="153" t="n">
        <f aca="false">IFERROR(INDEX(APOIO_REDES!$A:$W,MATCH($C619&amp;$I619&amp;$H619&amp;$N619&amp;$O619,APOIO_REDES!$W:$W,0),MATCH(AF$5,APOIO_REDES!$5:$5,0)),0)</f>
        <v>1.363</v>
      </c>
      <c r="AG619" s="153" t="n">
        <f aca="false">IFERROR(INDEX(APOIO_REDES!$A:$W,MATCH($C619&amp;$I619&amp;$H619&amp;$N619&amp;$O619,APOIO_REDES!$W:$W,0),MATCH(AG$5,APOIO_REDES!$5:$5,0)),0)</f>
        <v>0.65</v>
      </c>
      <c r="AH619" s="153" t="n">
        <f aca="false">IFERROR(INDEX(APOIO_REDES!$A:$W,MATCH($C619&amp;$I619&amp;$H619&amp;$N619&amp;$O619,APOIO_REDES!$W:$W,0),MATCH(AH$5,APOIO_REDES!$5:$5,0)),0)</f>
        <v>0.1</v>
      </c>
      <c r="AI619" s="153" t="n">
        <f aca="false">IFERROR(IF($H619&lt;&gt;"",(((($H619/1000)/2)^2)*PI()*$M619),0),0)</f>
        <v>0.381675515820616</v>
      </c>
      <c r="AJ619" s="153" t="n">
        <f aca="false">IFERROR(IF(AND($H619&lt;&gt;"",$I619="FoFo",OR($N619="MND",$N619="VCA"),$Q619="LINEAR"),0,IF(AND($H619&lt;&gt;"",$I619="PEAD",$N619="VCA",$Q619="LINEAR"),($H619/1000)+0.3,IF(AND($H619&lt;&gt;"",$I619="PEAD",$N619="MND",$Q619="EMBOQUE"),0,IF(AND($H619&lt;&gt;"",$I619="PVC",$N619="VCA",$Q619="LINEAR"),($H619/1000)+0.2,IF(AND($H619&lt;&gt;"",$I619="PVC",$N619="MND",$Q619="EMBOQUE"),0,IF(AND($H619&lt;&gt;"",$I619="PEAD",$N619="VCA",$Q619="PREDIAL"),0,0)))))),0)</f>
        <v>0.363</v>
      </c>
      <c r="AK619" s="153" t="n">
        <f aca="false">IF(AA619&lt;&gt;"",AA619,0)</f>
        <v>1.6</v>
      </c>
      <c r="AL619" s="153" t="n">
        <f aca="false">IF(AND($N619="MND",$Q619="EMBOQUE"),$M619,IF(AND($N619="VCA",$Q619="LINEAR"),$M619,IF(AND($N619="VCA",$Q619="PREDIAL"),0,0)))</f>
        <v>122.44</v>
      </c>
      <c r="AM619" s="153" t="n">
        <f aca="false">IF(AND($N619="MND",$Q619="EMBOQUE"),$M619,IF(AND($N619="VCA",$Q619="LINEAR"),$M619,IF(AND($N619="VCA",$Q619="PREDIAL"),0,0)))</f>
        <v>122.44</v>
      </c>
      <c r="AN619" s="153" t="n">
        <f aca="false">ROUND(IF(AND($N619="VCA",$M619&lt;&gt;"",$Q619="LINEAR"),$M619/100,IF(AND($N619="MND",$M619&gt;100,$Q619="EMBOQUE"),$M619/100,0)),0)</f>
        <v>1</v>
      </c>
      <c r="AO619" s="153" t="n">
        <f aca="false">IF(AND($N619="MND",$Q619="EMBOQUE"),$AN619*2*2,IF(AND($N619="VCA",$Q619="LINEAR"),$M619*2,IF(AND($N619="VCA",$Q619="PREDIAL"),0,0)))</f>
        <v>244.88</v>
      </c>
      <c r="AP619" s="153" t="n">
        <f aca="false">IFERROR($M619*$AF619*$AG619,0)</f>
        <v>108.475718</v>
      </c>
      <c r="AQ619" s="153" t="n">
        <f aca="false">IFERROR(IF(AND($N619="VCA",$AH619&gt;0),$M619*$AG619*$AH619,0),0)</f>
        <v>7.9586</v>
      </c>
      <c r="AR619" s="153" t="n">
        <f aca="false">IFERROR(IF(AND($N619="VCA",$AJ619&gt;0),($M619*$AG619*$AJ619)-$AI619,0),0)</f>
        <v>28.5080424841794</v>
      </c>
      <c r="AS619" s="153" t="n">
        <f aca="false">IFERROR(IF(AND($N619="VCA",$AP619&gt;0),$AP619-$AI619-$AQ619-$AR619,0),0)</f>
        <v>71.6274</v>
      </c>
      <c r="AT619" s="153" t="n">
        <f aca="false">IFERROR(IF($N619="VCA",INDEX(APOIO_REDES!$A:$W,MATCH($C619&amp;$I619&amp;$H619&amp;$N619&amp;$O619,APOIO_REDES!$W:$W,0),MATCH(AT$5,APOIO_REDES!$5:$5,0)),0)*$AP619,0)</f>
        <v>1.18024791901362</v>
      </c>
      <c r="AU619" s="153" t="n">
        <f aca="false">IFERROR(IF($N619="VCA",INDEX(APOIO_REDES!$A:$W,MATCH($C619&amp;$I619&amp;$H619&amp;$N619&amp;$O619,APOIO_REDES!$W:$W,0),MATCH(AU$5,APOIO_REDES!$5:$5,0)),0)*$AP619,0)</f>
        <v>0.942514022956792</v>
      </c>
      <c r="AV619" s="153" t="n">
        <f aca="false">IFERROR(IF($N619="VCA",INDEX(APOIO_REDES!$A:$W,MATCH($C619&amp;$I619&amp;$H619&amp;$N619&amp;$O619,APOIO_REDES!$W:$W,0),MATCH(AV$5,APOIO_REDES!$5:$5,0)),0)*$AP619,0)</f>
        <v>0.130436541752038</v>
      </c>
      <c r="AW619" s="153" t="n">
        <f aca="false">IFERROR(IF($N619="VCA",INDEX(APOIO_REDES!$A:$W,MATCH($C619&amp;$I619&amp;$H619&amp;$N619&amp;$O619,APOIO_REDES!$W:$W,0),MATCH(AW$5,APOIO_REDES!$5:$5,0)),0)*$AP619,0)</f>
        <v>74.458573346078</v>
      </c>
      <c r="AX619" s="153" t="n">
        <f aca="false">IFERROR(IF($N619="VCA",INDEX(APOIO_REDES!$A:$W,MATCH($C619&amp;$I619&amp;$H619&amp;$N619&amp;$O619,APOIO_REDES!$W:$W,0),MATCH(AX$5,APOIO_REDES!$5:$5,0)),0)*$AP619,0)</f>
        <v>10.3048544518362</v>
      </c>
      <c r="AY619" s="153" t="n">
        <f aca="false">IFERROR(IF($N619="VCA",INDEX(APOIO_REDES!$A:$W,MATCH($C619&amp;$I619&amp;$H619&amp;$N619&amp;$O619,APOIO_REDES!$W:$W,0),MATCH(AY$5,APOIO_REDES!$5:$5,0)),0)*$AP619,0)</f>
        <v>18.8502689699663</v>
      </c>
      <c r="AZ619" s="153" t="n">
        <f aca="false">IFERROR(IF($N619="VCA",INDEX(APOIO_REDES!$A:$W,MATCH($C619&amp;$I619&amp;$H619&amp;$N619&amp;$O619,APOIO_REDES!$W:$W,0),MATCH(AZ$5,APOIO_REDES!$5:$5,0)),0)*$AP619,0)</f>
        <v>2.60882274839706</v>
      </c>
      <c r="BA619" s="153" t="n">
        <f aca="false">IFERROR(IF(AND($N619="VCA",$Q619="LINEAR"),INDEX(APOIO_REDES!$A:$W,MATCH($C619&amp;$I619&amp;$H619&amp;$N619&amp;$O619,APOIO_REDES!$W:$W,0),MATCH(BA$5,APOIO_REDES!$5:$5,0)),IF(AND($N619="MND",$Q619="EMBOQUE"),INDEX(APOIO_REDES!$A:$W,MATCH($C619&amp;$I619&amp;$H619&amp;$N619&amp;$O619,APOIO_REDES!$W:$W,0),MATCH(BA$5,APOIO_REDES!$5:$5,0)),0))*$M619/10,0)</f>
        <v>9.8683551548683</v>
      </c>
      <c r="BB619" s="153" t="n">
        <f aca="false">IFERROR(IF($N619="VCA",INDEX(APOIO_REDES!$A:$W,MATCH($C619&amp;$I619&amp;$H619&amp;$N619&amp;$O619,APOIO_REDES!$W:$W,0),MATCH(BB$5,APOIO_REDES!$5:$5,0)),0)*($AI619+$AQ619+$AR619),0)</f>
        <v>36.4473973936146</v>
      </c>
      <c r="BC619" s="153" t="n">
        <f aca="false">IFERROR(IF($N619="VCA",INDEX(APOIO_REDES!$A:$W,MATCH($C619&amp;$I619&amp;$H619&amp;$N619&amp;$O619,APOIO_REDES!$W:$W,0),MATCH(BC$5,APOIO_REDES!$5:$5,0)),0)*($AI619+$AQ619+$AR619),0)</f>
        <v>0.400920606385405</v>
      </c>
      <c r="BD619" s="153" t="n">
        <f aca="false">IF(AND($N619="VCA",$AF619&gt;=1.25,$AF619&lt;1.5),$M619*$AF619*2,0)</f>
        <v>333.77144</v>
      </c>
      <c r="BE619" s="153" t="n">
        <f aca="false">IF(AND($N619="VCA",$AF619&gt;=1.5,$AF619&lt;3),$M619*$AF619*2,0)</f>
        <v>0</v>
      </c>
      <c r="BF619" s="153" t="n">
        <f aca="false">IF(AND($N619="VCA",$AF619&gt;=3),$M619*$AF619*2,0)</f>
        <v>0</v>
      </c>
      <c r="BG619" s="153" t="n">
        <f aca="false">($BB619+$BC619)*$AK619</f>
        <v>58.9573088</v>
      </c>
      <c r="BH619" s="153" t="n">
        <f aca="false">IF(AND($M619&lt;&gt;"",$N619="VCA",$Q619="LINEAR"),($M619*2)/100,IF(AND($M619&lt;&gt;"",$N619="MND",$Q619="EMBOQUE"),($AN619*2)/100,0))</f>
        <v>2.4488</v>
      </c>
      <c r="BI619" s="153" t="n">
        <f aca="false">IF(AND($M619&lt;&gt;"",$N619="VCA",$Q619="LINEAR"),$M619,IF(AND($M619&lt;&gt;"",$N619="MND",$Q619="EMBOQUE"),$AN619*2,0))</f>
        <v>122.44</v>
      </c>
      <c r="BJ619" s="153" t="n">
        <f aca="false">IF(AND($M619&lt;&gt;"",$N619="VCA",$Q619="LINEAR"),($M619*6.8)/100,IF(AND($M619&lt;&gt;"",$N619="MND",$Q619="EMBOQUE"),($AN619*2*6.8)/100,0))</f>
        <v>8.32592</v>
      </c>
      <c r="BK619" s="153" t="n">
        <f aca="false">IF(AND($M619&lt;&gt;"",$N619="VCA",$Q619="LINEAR"),($M619*2.5)/50,IF(AND($M619&lt;&gt;"",$N619="MND",$Q619="EMBOQUE"),($AN619*2*2.5)/50,0))</f>
        <v>6.122</v>
      </c>
      <c r="BL619" s="157" t="str">
        <f aca="false">K619&amp;J619</f>
        <v>Zona06REDES</v>
      </c>
      <c r="BM619" s="152" t="s">
        <v>3790</v>
      </c>
      <c r="BN619" s="152" t="s">
        <v>1560</v>
      </c>
      <c r="BO619" s="152" t="s">
        <v>3797</v>
      </c>
      <c r="BP619" s="152" t="s">
        <v>3902</v>
      </c>
      <c r="BQ619" s="152" t="s">
        <v>3833</v>
      </c>
      <c r="BR619" s="152" t="s">
        <v>3903</v>
      </c>
      <c r="BS619" s="152" t="n">
        <v>204190.191</v>
      </c>
      <c r="BT619" s="152" t="n">
        <v>8237229.567</v>
      </c>
      <c r="BU619" s="152" t="n">
        <v>204209.855</v>
      </c>
      <c r="BV619" s="152" t="n">
        <v>8237346.341</v>
      </c>
      <c r="BW619" s="152" t="n">
        <v>-15.9260381</v>
      </c>
      <c r="BX619" s="152" t="n">
        <v>-47.7627681</v>
      </c>
      <c r="BY619" s="152" t="s">
        <v>3902</v>
      </c>
    </row>
    <row r="620" customFormat="false" ht="13.8" hidden="false" customHeight="false" outlineLevel="0" collapsed="false">
      <c r="A620" s="149" t="n">
        <f aca="false">IF(C620&lt;&gt;"",ROW(A615),"")</f>
        <v>615</v>
      </c>
      <c r="B620" s="150" t="str">
        <f aca="false">HYPERLINK("https://www.google.com/maps/dir/-15.917302,-47.760003/-15.9263319,-47.7643301/data=!4m3!4m2!3e0!5i0")</f>
        <v>https://www.google.com/maps/dir/-15.917302,-47.760003/-15.9263319,-47.7643301/data=!4m3!4m2!3e0!5i0</v>
      </c>
      <c r="C620" s="151" t="s">
        <v>117</v>
      </c>
      <c r="D620" s="152" t="s">
        <v>112</v>
      </c>
      <c r="E620" s="152" t="s">
        <v>113</v>
      </c>
      <c r="F620" s="152" t="s">
        <v>117</v>
      </c>
      <c r="G620" s="152" t="s">
        <v>782</v>
      </c>
      <c r="H620" s="152" t="n">
        <v>63</v>
      </c>
      <c r="I620" s="152" t="s">
        <v>115</v>
      </c>
      <c r="J620" s="152" t="s">
        <v>6</v>
      </c>
      <c r="K620" s="152" t="s">
        <v>3786</v>
      </c>
      <c r="L620" s="152" t="s">
        <v>120</v>
      </c>
      <c r="M620" s="153" t="n">
        <f aca="false">53.39</f>
        <v>53.39</v>
      </c>
      <c r="N620" s="152" t="s">
        <v>1548</v>
      </c>
      <c r="O620" s="152" t="s">
        <v>1549</v>
      </c>
      <c r="P620" s="152" t="s">
        <v>1550</v>
      </c>
      <c r="Q620" s="152" t="s">
        <v>1551</v>
      </c>
      <c r="R620" s="154" t="s">
        <v>3904</v>
      </c>
      <c r="S620" s="154" t="s">
        <v>1553</v>
      </c>
      <c r="T620" s="155" t="s">
        <v>3795</v>
      </c>
      <c r="U620" s="152" t="str">
        <f aca="false">RIGHT(T620,7)</f>
        <v>013/037</v>
      </c>
      <c r="V620" s="152" t="s">
        <v>1555</v>
      </c>
      <c r="W620" s="156" t="n">
        <v>45882</v>
      </c>
      <c r="X620" s="152" t="s">
        <v>1594</v>
      </c>
      <c r="Y620" s="152" t="s">
        <v>3905</v>
      </c>
      <c r="Z620" s="152" t="s">
        <v>1557</v>
      </c>
      <c r="AA620" s="153" t="n">
        <v>1.7</v>
      </c>
      <c r="AB620" s="151" t="s">
        <v>3906</v>
      </c>
      <c r="AC620" s="151" t="s">
        <v>186</v>
      </c>
      <c r="AD620" s="151" t="str">
        <f aca="false">CONCATENATE($C620,$I620,$H620,$N620,$J620,$K620)</f>
        <v>TUBO PEADPEAD63VCAREDESZona06</v>
      </c>
      <c r="AE620" s="153" t="n">
        <f aca="false">IFERROR(INDEX(APOIO_REDES!$A:$W,MATCH($C620&amp;$I620&amp;$H620&amp;$N620&amp;$O620,APOIO_REDES!$W:$W,0),MATCH(AE$5,APOIO_REDES!$5:$5,0)),0)</f>
        <v>1.2</v>
      </c>
      <c r="AF620" s="153" t="n">
        <f aca="false">IFERROR(INDEX(APOIO_REDES!$A:$W,MATCH($C620&amp;$I620&amp;$H620&amp;$N620&amp;$O620,APOIO_REDES!$W:$W,0),MATCH(AF$5,APOIO_REDES!$5:$5,0)),0)</f>
        <v>1.363</v>
      </c>
      <c r="AG620" s="153" t="n">
        <f aca="false">IFERROR(INDEX(APOIO_REDES!$A:$W,MATCH($C620&amp;$I620&amp;$H620&amp;$N620&amp;$O620,APOIO_REDES!$W:$W,0),MATCH(AG$5,APOIO_REDES!$5:$5,0)),0)</f>
        <v>0.65</v>
      </c>
      <c r="AH620" s="153" t="n">
        <f aca="false">IFERROR(INDEX(APOIO_REDES!$A:$W,MATCH($C620&amp;$I620&amp;$H620&amp;$N620&amp;$O620,APOIO_REDES!$W:$W,0),MATCH(AH$5,APOIO_REDES!$5:$5,0)),0)</f>
        <v>0.1</v>
      </c>
      <c r="AI620" s="153" t="n">
        <f aca="false">IFERROR(IF($H620&lt;&gt;"",(((($H620/1000)/2)^2)*PI()*$M620),0),0)</f>
        <v>0.166429727128902</v>
      </c>
      <c r="AJ620" s="153" t="n">
        <f aca="false">IFERROR(IF(AND($H620&lt;&gt;"",$I620="FoFo",OR($N620="MND",$N620="VCA"),$Q620="LINEAR"),0,IF(AND($H620&lt;&gt;"",$I620="PEAD",$N620="VCA",$Q620="LINEAR"),($H620/1000)+0.3,IF(AND($H620&lt;&gt;"",$I620="PEAD",$N620="MND",$Q620="EMBOQUE"),0,IF(AND($H620&lt;&gt;"",$I620="PVC",$N620="VCA",$Q620="LINEAR"),($H620/1000)+0.2,IF(AND($H620&lt;&gt;"",$I620="PVC",$N620="MND",$Q620="EMBOQUE"),0,IF(AND($H620&lt;&gt;"",$I620="PEAD",$N620="VCA",$Q620="PREDIAL"),0,0)))))),0)</f>
        <v>0.363</v>
      </c>
      <c r="AK620" s="153" t="n">
        <f aca="false">IF(AA620&lt;&gt;"",AA620,0)</f>
        <v>1.7</v>
      </c>
      <c r="AL620" s="153" t="n">
        <f aca="false">IF(AND($N620="MND",$Q620="EMBOQUE"),$M620,IF(AND($N620="VCA",$Q620="LINEAR"),$M620,IF(AND($N620="VCA",$Q620="PREDIAL"),0,0)))</f>
        <v>53.39</v>
      </c>
      <c r="AM620" s="153" t="n">
        <f aca="false">IF(AND($N620="MND",$Q620="EMBOQUE"),$M620,IF(AND($N620="VCA",$Q620="LINEAR"),$M620,IF(AND($N620="VCA",$Q620="PREDIAL"),0,0)))</f>
        <v>53.39</v>
      </c>
      <c r="AN620" s="153" t="n">
        <f aca="false">ROUND(IF(AND($N620="VCA",$M620&lt;&gt;"",$Q620="LINEAR"),$M620/100,IF(AND($N620="MND",$M620&gt;100,$Q620="EMBOQUE"),$M620/100,0)),0)</f>
        <v>1</v>
      </c>
      <c r="AO620" s="153" t="n">
        <f aca="false">IF(AND($N620="MND",$Q620="EMBOQUE"),$AN620*2*2,IF(AND($N620="VCA",$Q620="LINEAR"),$M620*2,IF(AND($N620="VCA",$Q620="PREDIAL"),0,0)))</f>
        <v>106.78</v>
      </c>
      <c r="AP620" s="153" t="n">
        <f aca="false">IFERROR($M620*$AF620*$AG620,0)</f>
        <v>47.3008705</v>
      </c>
      <c r="AQ620" s="153" t="n">
        <f aca="false">IFERROR(IF(AND($N620="VCA",$AH620&gt;0),$M620*$AG620*$AH620,0),0)</f>
        <v>3.47035</v>
      </c>
      <c r="AR620" s="153" t="n">
        <f aca="false">IFERROR(IF(AND($N620="VCA",$AJ620&gt;0),($M620*$AG620*$AJ620)-$AI620,0),0)</f>
        <v>12.4309407728711</v>
      </c>
      <c r="AS620" s="153" t="n">
        <f aca="false">IFERROR(IF(AND($N620="VCA",$AP620&gt;0),$AP620-$AI620-$AQ620-$AR620,0),0)</f>
        <v>31.23315</v>
      </c>
      <c r="AT620" s="153" t="n">
        <f aca="false">IFERROR(IF($N620="VCA",INDEX(APOIO_REDES!$A:$W,MATCH($C620&amp;$I620&amp;$H620&amp;$N620&amp;$O620,APOIO_REDES!$W:$W,0),MATCH(AT$5,APOIO_REDES!$5:$5,0)),0)*$AP620,0)</f>
        <v>0.514647471383022</v>
      </c>
      <c r="AU620" s="153" t="n">
        <f aca="false">IFERROR(IF($N620="VCA",INDEX(APOIO_REDES!$A:$W,MATCH($C620&amp;$I620&amp;$H620&amp;$N620&amp;$O620,APOIO_REDES!$W:$W,0),MATCH(AU$5,APOIO_REDES!$5:$5,0)),0)*$AP620,0)</f>
        <v>0.410983532225279</v>
      </c>
      <c r="AV620" s="153" t="n">
        <f aca="false">IFERROR(IF($N620="VCA",INDEX(APOIO_REDES!$A:$W,MATCH($C620&amp;$I620&amp;$H620&amp;$N620&amp;$O620,APOIO_REDES!$W:$W,0),MATCH(AV$5,APOIO_REDES!$5:$5,0)),0)*$AP620,0)</f>
        <v>0.0568768945127518</v>
      </c>
      <c r="AW620" s="153" t="n">
        <f aca="false">IFERROR(IF($N620="VCA",INDEX(APOIO_REDES!$A:$W,MATCH($C620&amp;$I620&amp;$H620&amp;$N620&amp;$O620,APOIO_REDES!$W:$W,0),MATCH(AW$5,APOIO_REDES!$5:$5,0)),0)*$AP620,0)</f>
        <v>32.4676840162292</v>
      </c>
      <c r="AX620" s="153" t="n">
        <f aca="false">IFERROR(IF($N620="VCA",INDEX(APOIO_REDES!$A:$W,MATCH($C620&amp;$I620&amp;$H620&amp;$N620&amp;$O620,APOIO_REDES!$W:$W,0),MATCH(AX$5,APOIO_REDES!$5:$5,0)),0)*$AP620,0)</f>
        <v>4.49343498189754</v>
      </c>
      <c r="AY620" s="153" t="n">
        <f aca="false">IFERROR(IF($N620="VCA",INDEX(APOIO_REDES!$A:$W,MATCH($C620&amp;$I620&amp;$H620&amp;$N620&amp;$O620,APOIO_REDES!$W:$W,0),MATCH(AY$5,APOIO_REDES!$5:$5,0)),0)*$AP620,0)</f>
        <v>8.21966563464964</v>
      </c>
      <c r="AZ620" s="153" t="n">
        <f aca="false">IFERROR(IF($N620="VCA",INDEX(APOIO_REDES!$A:$W,MATCH($C620&amp;$I620&amp;$H620&amp;$N620&amp;$O620,APOIO_REDES!$W:$W,0),MATCH(AZ$5,APOIO_REDES!$5:$5,0)),0)*$AP620,0)</f>
        <v>1.13757796910257</v>
      </c>
      <c r="BA620" s="153" t="n">
        <f aca="false">IFERROR(IF(AND($N620="VCA",$Q620="LINEAR"),INDEX(APOIO_REDES!$A:$W,MATCH($C620&amp;$I620&amp;$H620&amp;$N620&amp;$O620,APOIO_REDES!$W:$W,0),MATCH(BA$5,APOIO_REDES!$5:$5,0)),IF(AND($N620="MND",$Q620="EMBOQUE"),INDEX(APOIO_REDES!$A:$W,MATCH($C620&amp;$I620&amp;$H620&amp;$N620&amp;$O620,APOIO_REDES!$W:$W,0),MATCH(BA$5,APOIO_REDES!$5:$5,0)),0))*$M620/10,0)</f>
        <v>4.30309932798447</v>
      </c>
      <c r="BB620" s="153" t="n">
        <f aca="false">IFERROR(IF($N620="VCA",INDEX(APOIO_REDES!$A:$W,MATCH($C620&amp;$I620&amp;$H620&amp;$N620&amp;$O620,APOIO_REDES!$W:$W,0),MATCH(BB$5,APOIO_REDES!$5:$5,0)),0)*($AI620+$AQ620+$AR620),0)</f>
        <v>15.8928989451575</v>
      </c>
      <c r="BC620" s="153" t="n">
        <f aca="false">IFERROR(IF($N620="VCA",INDEX(APOIO_REDES!$A:$W,MATCH($C620&amp;$I620&amp;$H620&amp;$N620&amp;$O620,APOIO_REDES!$W:$W,0),MATCH(BC$5,APOIO_REDES!$5:$5,0)),0)*($AI620+$AQ620+$AR620),0)</f>
        <v>0.174821554842509</v>
      </c>
      <c r="BD620" s="153" t="n">
        <f aca="false">IF(AND($N620="VCA",$AF620&gt;=1.25,$AF620&lt;1.5),$M620*$AF620*2,0)</f>
        <v>145.54114</v>
      </c>
      <c r="BE620" s="153" t="n">
        <f aca="false">IF(AND($N620="VCA",$AF620&gt;=1.5,$AF620&lt;3),$M620*$AF620*2,0)</f>
        <v>0</v>
      </c>
      <c r="BF620" s="153" t="n">
        <f aca="false">IF(AND($N620="VCA",$AF620&gt;=3),$M620*$AF620*2,0)</f>
        <v>0</v>
      </c>
      <c r="BG620" s="153" t="n">
        <f aca="false">($BB620+$BC620)*$AK620</f>
        <v>27.31512485</v>
      </c>
      <c r="BH620" s="153" t="n">
        <f aca="false">IF(AND($M620&lt;&gt;"",$N620="VCA",$Q620="LINEAR"),($M620*2)/100,IF(AND($M620&lt;&gt;"",$N620="MND",$Q620="EMBOQUE"),($AN620*2)/100,0))</f>
        <v>1.0678</v>
      </c>
      <c r="BI620" s="153" t="n">
        <f aca="false">IF(AND($M620&lt;&gt;"",$N620="VCA",$Q620="LINEAR"),$M620,IF(AND($M620&lt;&gt;"",$N620="MND",$Q620="EMBOQUE"),$AN620*2,0))</f>
        <v>53.39</v>
      </c>
      <c r="BJ620" s="153" t="n">
        <f aca="false">IF(AND($M620&lt;&gt;"",$N620="VCA",$Q620="LINEAR"),($M620*6.8)/100,IF(AND($M620&lt;&gt;"",$N620="MND",$Q620="EMBOQUE"),($AN620*2*6.8)/100,0))</f>
        <v>3.63052</v>
      </c>
      <c r="BK620" s="153" t="n">
        <f aca="false">IF(AND($M620&lt;&gt;"",$N620="VCA",$Q620="LINEAR"),($M620*2.5)/50,IF(AND($M620&lt;&gt;"",$N620="MND",$Q620="EMBOQUE"),($AN620*2*2.5)/50,0))</f>
        <v>2.6695</v>
      </c>
      <c r="BL620" s="157" t="str">
        <f aca="false">K620&amp;J620</f>
        <v>Zona06REDES</v>
      </c>
      <c r="BM620" s="152" t="s">
        <v>3790</v>
      </c>
      <c r="BN620" s="152" t="s">
        <v>1560</v>
      </c>
      <c r="BO620" s="152" t="s">
        <v>3797</v>
      </c>
      <c r="BP620" s="152" t="s">
        <v>3907</v>
      </c>
      <c r="BQ620" s="152" t="s">
        <v>3890</v>
      </c>
      <c r="BR620" s="152" t="s">
        <v>3908</v>
      </c>
      <c r="BS620" s="152" t="n">
        <v>204033.651</v>
      </c>
      <c r="BT620" s="152" t="n">
        <v>8237253.106</v>
      </c>
      <c r="BU620" s="152" t="n">
        <v>204062.216</v>
      </c>
      <c r="BV620" s="152" t="n">
        <v>8237298.105</v>
      </c>
      <c r="BW620" s="152" t="n">
        <v>-15.926127</v>
      </c>
      <c r="BX620" s="152" t="n">
        <v>-47.7642001</v>
      </c>
      <c r="BY620" s="152" t="s">
        <v>3907</v>
      </c>
    </row>
    <row r="621" customFormat="false" ht="13.8" hidden="false" customHeight="false" outlineLevel="0" collapsed="false">
      <c r="A621" s="149" t="n">
        <f aca="false">IF(C621&lt;&gt;"",ROW(A616),"")</f>
        <v>616</v>
      </c>
      <c r="B621" s="150" t="str">
        <f aca="false">HYPERLINK("https://www.google.com/maps/dir/-15.917302,-47.760003/-15.9261192,-47.7623671/data=!4m3!4m2!3e0!5i0")</f>
        <v>https://www.google.com/maps/dir/-15.917302,-47.760003/-15.9261192,-47.7623671/data=!4m3!4m2!3e0!5i0</v>
      </c>
      <c r="C621" s="151" t="s">
        <v>117</v>
      </c>
      <c r="D621" s="152" t="s">
        <v>112</v>
      </c>
      <c r="E621" s="152" t="s">
        <v>113</v>
      </c>
      <c r="F621" s="152" t="s">
        <v>117</v>
      </c>
      <c r="G621" s="152" t="s">
        <v>782</v>
      </c>
      <c r="H621" s="152" t="n">
        <v>63</v>
      </c>
      <c r="I621" s="152" t="s">
        <v>115</v>
      </c>
      <c r="J621" s="152" t="s">
        <v>6</v>
      </c>
      <c r="K621" s="152" t="s">
        <v>3786</v>
      </c>
      <c r="L621" s="152" t="s">
        <v>120</v>
      </c>
      <c r="M621" s="153" t="n">
        <f aca="false">52.96+4.01</f>
        <v>56.97</v>
      </c>
      <c r="N621" s="152" t="s">
        <v>1548</v>
      </c>
      <c r="O621" s="152" t="s">
        <v>1549</v>
      </c>
      <c r="P621" s="152" t="s">
        <v>1550</v>
      </c>
      <c r="Q621" s="152" t="s">
        <v>1551</v>
      </c>
      <c r="R621" s="154" t="s">
        <v>3909</v>
      </c>
      <c r="S621" s="154" t="s">
        <v>1553</v>
      </c>
      <c r="T621" s="155" t="s">
        <v>3795</v>
      </c>
      <c r="U621" s="152" t="str">
        <f aca="false">RIGHT(T621,7)</f>
        <v>013/037</v>
      </c>
      <c r="V621" s="152" t="s">
        <v>1555</v>
      </c>
      <c r="W621" s="156" t="n">
        <v>45882</v>
      </c>
      <c r="X621" s="152" t="s">
        <v>1594</v>
      </c>
      <c r="Y621" s="152" t="s">
        <v>2276</v>
      </c>
      <c r="Z621" s="152" t="s">
        <v>1557</v>
      </c>
      <c r="AA621" s="153" t="n">
        <v>1.5</v>
      </c>
      <c r="AB621" s="151" t="s">
        <v>3910</v>
      </c>
      <c r="AC621" s="151" t="s">
        <v>186</v>
      </c>
      <c r="AD621" s="151" t="str">
        <f aca="false">CONCATENATE($C621,$I621,$H621,$N621,$J621,$K621)</f>
        <v>TUBO PEADPEAD63VCAREDESZona06</v>
      </c>
      <c r="AE621" s="153" t="n">
        <f aca="false">IFERROR(INDEX(APOIO_REDES!$A:$W,MATCH($C621&amp;$I621&amp;$H621&amp;$N621&amp;$O621,APOIO_REDES!$W:$W,0),MATCH(AE$5,APOIO_REDES!$5:$5,0)),0)</f>
        <v>1.2</v>
      </c>
      <c r="AF621" s="153" t="n">
        <f aca="false">IFERROR(INDEX(APOIO_REDES!$A:$W,MATCH($C621&amp;$I621&amp;$H621&amp;$N621&amp;$O621,APOIO_REDES!$W:$W,0),MATCH(AF$5,APOIO_REDES!$5:$5,0)),0)</f>
        <v>1.363</v>
      </c>
      <c r="AG621" s="153" t="n">
        <f aca="false">IFERROR(INDEX(APOIO_REDES!$A:$W,MATCH($C621&amp;$I621&amp;$H621&amp;$N621&amp;$O621,APOIO_REDES!$W:$W,0),MATCH(AG$5,APOIO_REDES!$5:$5,0)),0)</f>
        <v>0.65</v>
      </c>
      <c r="AH621" s="153" t="n">
        <f aca="false">IFERROR(INDEX(APOIO_REDES!$A:$W,MATCH($C621&amp;$I621&amp;$H621&amp;$N621&amp;$O621,APOIO_REDES!$W:$W,0),MATCH(AH$5,APOIO_REDES!$5:$5,0)),0)</f>
        <v>0.1</v>
      </c>
      <c r="AI621" s="153" t="n">
        <f aca="false">IFERROR(IF($H621&lt;&gt;"",(((($H621/1000)/2)^2)*PI()*$M621),0),0)</f>
        <v>0.177589465340579</v>
      </c>
      <c r="AJ621" s="153" t="n">
        <f aca="false">IFERROR(IF(AND($H621&lt;&gt;"",$I621="FoFo",OR($N621="MND",$N621="VCA"),$Q621="LINEAR"),0,IF(AND($H621&lt;&gt;"",$I621="PEAD",$N621="VCA",$Q621="LINEAR"),($H621/1000)+0.3,IF(AND($H621&lt;&gt;"",$I621="PEAD",$N621="MND",$Q621="EMBOQUE"),0,IF(AND($H621&lt;&gt;"",$I621="PVC",$N621="VCA",$Q621="LINEAR"),($H621/1000)+0.2,IF(AND($H621&lt;&gt;"",$I621="PVC",$N621="MND",$Q621="EMBOQUE"),0,IF(AND($H621&lt;&gt;"",$I621="PEAD",$N621="VCA",$Q621="PREDIAL"),0,0)))))),0)</f>
        <v>0.363</v>
      </c>
      <c r="AK621" s="153" t="n">
        <f aca="false">IF(AA621&lt;&gt;"",AA621,0)</f>
        <v>1.5</v>
      </c>
      <c r="AL621" s="153" t="n">
        <f aca="false">IF(AND($N621="MND",$Q621="EMBOQUE"),$M621,IF(AND($N621="VCA",$Q621="LINEAR"),$M621,IF(AND($N621="VCA",$Q621="PREDIAL"),0,0)))</f>
        <v>56.97</v>
      </c>
      <c r="AM621" s="153" t="n">
        <f aca="false">IF(AND($N621="MND",$Q621="EMBOQUE"),$M621,IF(AND($N621="VCA",$Q621="LINEAR"),$M621,IF(AND($N621="VCA",$Q621="PREDIAL"),0,0)))</f>
        <v>56.97</v>
      </c>
      <c r="AN621" s="153" t="n">
        <f aca="false">ROUND(IF(AND($N621="VCA",$M621&lt;&gt;"",$Q621="LINEAR"),$M621/100,IF(AND($N621="MND",$M621&gt;100,$Q621="EMBOQUE"),$M621/100,0)),0)</f>
        <v>1</v>
      </c>
      <c r="AO621" s="153" t="n">
        <f aca="false">IF(AND($N621="MND",$Q621="EMBOQUE"),$AN621*2*2,IF(AND($N621="VCA",$Q621="LINEAR"),$M621*2,IF(AND($N621="VCA",$Q621="PREDIAL"),0,0)))</f>
        <v>113.94</v>
      </c>
      <c r="AP621" s="153" t="n">
        <f aca="false">IFERROR($M621*$AF621*$AG621,0)</f>
        <v>50.4725715</v>
      </c>
      <c r="AQ621" s="153" t="n">
        <f aca="false">IFERROR(IF(AND($N621="VCA",$AH621&gt;0),$M621*$AG621*$AH621,0),0)</f>
        <v>3.70305</v>
      </c>
      <c r="AR621" s="153" t="n">
        <f aca="false">IFERROR(IF(AND($N621="VCA",$AJ621&gt;0),($M621*$AG621*$AJ621)-$AI621,0),0)</f>
        <v>13.2644820346594</v>
      </c>
      <c r="AS621" s="153" t="n">
        <f aca="false">IFERROR(IF(AND($N621="VCA",$AP621&gt;0),$AP621-$AI621-$AQ621-$AR621,0),0)</f>
        <v>33.32745</v>
      </c>
      <c r="AT621" s="153" t="n">
        <f aca="false">IFERROR(IF($N621="VCA",INDEX(APOIO_REDES!$A:$W,MATCH($C621&amp;$I621&amp;$H621&amp;$N621&amp;$O621,APOIO_REDES!$W:$W,0),MATCH(AT$5,APOIO_REDES!$5:$5,0)),0)*$AP621,0)</f>
        <v>0.549156517038598</v>
      </c>
      <c r="AU621" s="153" t="n">
        <f aca="false">IFERROR(IF($N621="VCA",INDEX(APOIO_REDES!$A:$W,MATCH($C621&amp;$I621&amp;$H621&amp;$N621&amp;$O621,APOIO_REDES!$W:$W,0),MATCH(AU$5,APOIO_REDES!$5:$5,0)),0)*$AP621,0)</f>
        <v>0.438541521462336</v>
      </c>
      <c r="AV621" s="153" t="n">
        <f aca="false">IFERROR(IF($N621="VCA",INDEX(APOIO_REDES!$A:$W,MATCH($C621&amp;$I621&amp;$H621&amp;$N621&amp;$O621,APOIO_REDES!$W:$W,0),MATCH(AV$5,APOIO_REDES!$5:$5,0)),0)*$AP621,0)</f>
        <v>0.0606907038844628</v>
      </c>
      <c r="AW621" s="153" t="n">
        <f aca="false">IFERROR(IF($N621="VCA",INDEX(APOIO_REDES!$A:$W,MATCH($C621&amp;$I621&amp;$H621&amp;$N621&amp;$O621,APOIO_REDES!$W:$W,0),MATCH(AW$5,APOIO_REDES!$5:$5,0)),0)*$AP621,0)</f>
        <v>34.6447641581678</v>
      </c>
      <c r="AX621" s="153" t="n">
        <f aca="false">IFERROR(IF($N621="VCA",INDEX(APOIO_REDES!$A:$W,MATCH($C621&amp;$I621&amp;$H621&amp;$N621&amp;$O621,APOIO_REDES!$W:$W,0),MATCH(AX$5,APOIO_REDES!$5:$5,0)),0)*$AP621,0)</f>
        <v>4.79473667201167</v>
      </c>
      <c r="AY621" s="153" t="n">
        <f aca="false">IFERROR(IF($N621="VCA",INDEX(APOIO_REDES!$A:$W,MATCH($C621&amp;$I621&amp;$H621&amp;$N621&amp;$O621,APOIO_REDES!$W:$W,0),MATCH(AY$5,APOIO_REDES!$5:$5,0)),0)*$AP621,0)</f>
        <v>8.77082508346113</v>
      </c>
      <c r="AZ621" s="153" t="n">
        <f aca="false">IFERROR(IF($N621="VCA",INDEX(APOIO_REDES!$A:$W,MATCH($C621&amp;$I621&amp;$H621&amp;$N621&amp;$O621,APOIO_REDES!$W:$W,0),MATCH(AZ$5,APOIO_REDES!$5:$5,0)),0)*$AP621,0)</f>
        <v>1.21385684397403</v>
      </c>
      <c r="BA621" s="153" t="n">
        <f aca="false">IFERROR(IF(AND($N621="VCA",$Q621="LINEAR"),INDEX(APOIO_REDES!$A:$W,MATCH($C621&amp;$I621&amp;$H621&amp;$N621&amp;$O621,APOIO_REDES!$W:$W,0),MATCH(BA$5,APOIO_REDES!$5:$5,0)),IF(AND($N621="MND",$Q621="EMBOQUE"),INDEX(APOIO_REDES!$A:$W,MATCH($C621&amp;$I621&amp;$H621&amp;$N621&amp;$O621,APOIO_REDES!$W:$W,0),MATCH(BA$5,APOIO_REDES!$5:$5,0)),0))*$M621/10,0)</f>
        <v>4.59163829772008</v>
      </c>
      <c r="BB621" s="153" t="n">
        <f aca="false">IFERROR(IF($N621="VCA",INDEX(APOIO_REDES!$A:$W,MATCH($C621&amp;$I621&amp;$H621&amp;$N621&amp;$O621,APOIO_REDES!$W:$W,0),MATCH(BB$5,APOIO_REDES!$5:$5,0)),0)*($AI621+$AQ621+$AR621),0)</f>
        <v>16.9585775033831</v>
      </c>
      <c r="BC621" s="153" t="n">
        <f aca="false">IFERROR(IF($N621="VCA",INDEX(APOIO_REDES!$A:$W,MATCH($C621&amp;$I621&amp;$H621&amp;$N621&amp;$O621,APOIO_REDES!$W:$W,0),MATCH(BC$5,APOIO_REDES!$5:$5,0)),0)*($AI621+$AQ621+$AR621),0)</f>
        <v>0.186543996616927</v>
      </c>
      <c r="BD621" s="153" t="n">
        <f aca="false">IF(AND($N621="VCA",$AF621&gt;=1.25,$AF621&lt;1.5),$M621*$AF621*2,0)</f>
        <v>155.30022</v>
      </c>
      <c r="BE621" s="153" t="n">
        <f aca="false">IF(AND($N621="VCA",$AF621&gt;=1.5,$AF621&lt;3),$M621*$AF621*2,0)</f>
        <v>0</v>
      </c>
      <c r="BF621" s="153" t="n">
        <f aca="false">IF(AND($N621="VCA",$AF621&gt;=3),$M621*$AF621*2,0)</f>
        <v>0</v>
      </c>
      <c r="BG621" s="153" t="n">
        <f aca="false">($BB621+$BC621)*$AK621</f>
        <v>25.71768225</v>
      </c>
      <c r="BH621" s="153" t="n">
        <f aca="false">IF(AND($M621&lt;&gt;"",$N621="VCA",$Q621="LINEAR"),($M621*2)/100,IF(AND($M621&lt;&gt;"",$N621="MND",$Q621="EMBOQUE"),($AN621*2)/100,0))</f>
        <v>1.1394</v>
      </c>
      <c r="BI621" s="153" t="n">
        <f aca="false">IF(AND($M621&lt;&gt;"",$N621="VCA",$Q621="LINEAR"),$M621,IF(AND($M621&lt;&gt;"",$N621="MND",$Q621="EMBOQUE"),$AN621*2,0))</f>
        <v>56.97</v>
      </c>
      <c r="BJ621" s="153" t="n">
        <f aca="false">IF(AND($M621&lt;&gt;"",$N621="VCA",$Q621="LINEAR"),($M621*6.8)/100,IF(AND($M621&lt;&gt;"",$N621="MND",$Q621="EMBOQUE"),($AN621*2*6.8)/100,0))</f>
        <v>3.87396</v>
      </c>
      <c r="BK621" s="153" t="n">
        <f aca="false">IF(AND($M621&lt;&gt;"",$N621="VCA",$Q621="LINEAR"),($M621*2.5)/50,IF(AND($M621&lt;&gt;"",$N621="MND",$Q621="EMBOQUE"),($AN621*2*2.5)/50,0))</f>
        <v>2.8485</v>
      </c>
      <c r="BL621" s="157" t="str">
        <f aca="false">K621&amp;J621</f>
        <v>Zona06REDES</v>
      </c>
      <c r="BM621" s="152" t="s">
        <v>3790</v>
      </c>
      <c r="BN621" s="152" t="s">
        <v>1560</v>
      </c>
      <c r="BO621" s="152" t="s">
        <v>3797</v>
      </c>
      <c r="BP621" s="152" t="s">
        <v>3875</v>
      </c>
      <c r="BQ621" s="152" t="s">
        <v>3911</v>
      </c>
      <c r="BR621" s="152" t="s">
        <v>3912</v>
      </c>
      <c r="BS621" s="152" t="n">
        <v>204243.648</v>
      </c>
      <c r="BT621" s="152" t="n">
        <v>8237279.444</v>
      </c>
      <c r="BU621" s="152" t="n">
        <v>204295.938</v>
      </c>
      <c r="BV621" s="152" t="n">
        <v>8237271.039</v>
      </c>
      <c r="BW621" s="152" t="n">
        <v>-15.9261603</v>
      </c>
      <c r="BX621" s="152" t="n">
        <v>-47.7621237</v>
      </c>
      <c r="BY621" s="152" t="s">
        <v>3875</v>
      </c>
    </row>
    <row r="622" customFormat="false" ht="13.8" hidden="false" customHeight="false" outlineLevel="0" collapsed="false">
      <c r="A622" s="149" t="n">
        <f aca="false">IF(C622&lt;&gt;"",ROW(A617),"")</f>
        <v>617</v>
      </c>
      <c r="B622" s="150" t="str">
        <f aca="false">HYPERLINK("https://www.google.com/maps/dir/-15.917302,-47.760003/-15.9259290,-47.7640580/data=!4m3!4m2!3e0!5i2")</f>
        <v>https://www.google.com/maps/dir/-15.917302,-47.760003/-15.9259290,-47.7640580/data=!4m3!4m2!3e0!5i2</v>
      </c>
      <c r="C622" s="151" t="s">
        <v>117</v>
      </c>
      <c r="D622" s="152" t="s">
        <v>112</v>
      </c>
      <c r="E622" s="152" t="s">
        <v>113</v>
      </c>
      <c r="F622" s="152" t="s">
        <v>117</v>
      </c>
      <c r="G622" s="152" t="s">
        <v>782</v>
      </c>
      <c r="H622" s="152" t="n">
        <v>63</v>
      </c>
      <c r="I622" s="152" t="s">
        <v>115</v>
      </c>
      <c r="J622" s="152" t="s">
        <v>6</v>
      </c>
      <c r="K622" s="152" t="s">
        <v>3786</v>
      </c>
      <c r="L622" s="152" t="s">
        <v>120</v>
      </c>
      <c r="M622" s="153" t="n">
        <f aca="false">106.17+4</f>
        <v>110.17</v>
      </c>
      <c r="N622" s="152" t="s">
        <v>1548</v>
      </c>
      <c r="O622" s="152" t="s">
        <v>1549</v>
      </c>
      <c r="P622" s="152" t="s">
        <v>1550</v>
      </c>
      <c r="Q622" s="152" t="s">
        <v>1551</v>
      </c>
      <c r="R622" s="154" t="s">
        <v>3913</v>
      </c>
      <c r="S622" s="154" t="s">
        <v>1553</v>
      </c>
      <c r="T622" s="155" t="s">
        <v>3795</v>
      </c>
      <c r="U622" s="152" t="str">
        <f aca="false">RIGHT(T622,7)</f>
        <v>013/037</v>
      </c>
      <c r="V622" s="152" t="s">
        <v>1555</v>
      </c>
      <c r="W622" s="156" t="n">
        <v>45882</v>
      </c>
      <c r="X622" s="152" t="s">
        <v>1594</v>
      </c>
      <c r="Y622" s="152" t="s">
        <v>2276</v>
      </c>
      <c r="Z622" s="152" t="s">
        <v>1557</v>
      </c>
      <c r="AA622" s="153" t="n">
        <v>1.9</v>
      </c>
      <c r="AB622" s="151" t="s">
        <v>3914</v>
      </c>
      <c r="AC622" s="151" t="s">
        <v>186</v>
      </c>
      <c r="AD622" s="151" t="str">
        <f aca="false">CONCATENATE($C622,$I622,$H622,$N622,$J622,$K622)</f>
        <v>TUBO PEADPEAD63VCAREDESZona06</v>
      </c>
      <c r="AE622" s="153" t="n">
        <f aca="false">IFERROR(INDEX(APOIO_REDES!$A:$W,MATCH($C622&amp;$I622&amp;$H622&amp;$N622&amp;$O622,APOIO_REDES!$W:$W,0),MATCH(AE$5,APOIO_REDES!$5:$5,0)),0)</f>
        <v>1.2</v>
      </c>
      <c r="AF622" s="153" t="n">
        <f aca="false">IFERROR(INDEX(APOIO_REDES!$A:$W,MATCH($C622&amp;$I622&amp;$H622&amp;$N622&amp;$O622,APOIO_REDES!$W:$W,0),MATCH(AF$5,APOIO_REDES!$5:$5,0)),0)</f>
        <v>1.363</v>
      </c>
      <c r="AG622" s="153" t="n">
        <f aca="false">IFERROR(INDEX(APOIO_REDES!$A:$W,MATCH($C622&amp;$I622&amp;$H622&amp;$N622&amp;$O622,APOIO_REDES!$W:$W,0),MATCH(AG$5,APOIO_REDES!$5:$5,0)),0)</f>
        <v>0.65</v>
      </c>
      <c r="AH622" s="153" t="n">
        <f aca="false">IFERROR(INDEX(APOIO_REDES!$A:$W,MATCH($C622&amp;$I622&amp;$H622&amp;$N622&amp;$O622,APOIO_REDES!$W:$W,0),MATCH(AH$5,APOIO_REDES!$5:$5,0)),0)</f>
        <v>0.1</v>
      </c>
      <c r="AI622" s="153" t="n">
        <f aca="false">IFERROR(IF($H622&lt;&gt;"",(((($H622/1000)/2)^2)*PI()*$M622),0),0)</f>
        <v>0.343426915860481</v>
      </c>
      <c r="AJ622" s="153" t="n">
        <f aca="false">IFERROR(IF(AND($H622&lt;&gt;"",$I622="FoFo",OR($N622="MND",$N622="VCA"),$Q622="LINEAR"),0,IF(AND($H622&lt;&gt;"",$I622="PEAD",$N622="VCA",$Q622="LINEAR"),($H622/1000)+0.3,IF(AND($H622&lt;&gt;"",$I622="PEAD",$N622="MND",$Q622="EMBOQUE"),0,IF(AND($H622&lt;&gt;"",$I622="PVC",$N622="VCA",$Q622="LINEAR"),($H622/1000)+0.2,IF(AND($H622&lt;&gt;"",$I622="PVC",$N622="MND",$Q622="EMBOQUE"),0,IF(AND($H622&lt;&gt;"",$I622="PEAD",$N622="VCA",$Q622="PREDIAL"),0,0)))))),0)</f>
        <v>0.363</v>
      </c>
      <c r="AK622" s="153" t="n">
        <f aca="false">IF(AA622&lt;&gt;"",AA622,0)</f>
        <v>1.9</v>
      </c>
      <c r="AL622" s="153" t="n">
        <f aca="false">IF(AND($N622="MND",$Q622="EMBOQUE"),$M622,IF(AND($N622="VCA",$Q622="LINEAR"),$M622,IF(AND($N622="VCA",$Q622="PREDIAL"),0,0)))</f>
        <v>110.17</v>
      </c>
      <c r="AM622" s="153" t="n">
        <f aca="false">IF(AND($N622="MND",$Q622="EMBOQUE"),$M622,IF(AND($N622="VCA",$Q622="LINEAR"),$M622,IF(AND($N622="VCA",$Q622="PREDIAL"),0,0)))</f>
        <v>110.17</v>
      </c>
      <c r="AN622" s="153" t="n">
        <f aca="false">ROUND(IF(AND($N622="VCA",$M622&lt;&gt;"",$Q622="LINEAR"),$M622/100,IF(AND($N622="MND",$M622&gt;100,$Q622="EMBOQUE"),$M622/100,0)),0)</f>
        <v>1</v>
      </c>
      <c r="AO622" s="153" t="n">
        <f aca="false">IF(AND($N622="MND",$Q622="EMBOQUE"),$AN622*2*2,IF(AND($N622="VCA",$Q622="LINEAR"),$M622*2,IF(AND($N622="VCA",$Q622="PREDIAL"),0,0)))</f>
        <v>220.34</v>
      </c>
      <c r="AP622" s="153" t="n">
        <f aca="false">IFERROR($M622*$AF622*$AG622,0)</f>
        <v>97.6051115</v>
      </c>
      <c r="AQ622" s="153" t="n">
        <f aca="false">IFERROR(IF(AND($N622="VCA",$AH622&gt;0),$M622*$AG622*$AH622,0),0)</f>
        <v>7.16105</v>
      </c>
      <c r="AR622" s="153" t="n">
        <f aca="false">IFERROR(IF(AND($N622="VCA",$AJ622&gt;0),($M622*$AG622*$AJ622)-$AI622,0),0)</f>
        <v>25.6511845841395</v>
      </c>
      <c r="AS622" s="153" t="n">
        <f aca="false">IFERROR(IF(AND($N622="VCA",$AP622&gt;0),$AP622-$AI622-$AQ622-$AR622,0),0)</f>
        <v>64.44945</v>
      </c>
      <c r="AT622" s="153" t="n">
        <f aca="false">IFERROR(IF($N622="VCA",INDEX(APOIO_REDES!$A:$W,MATCH($C622&amp;$I622&amp;$H622&amp;$N622&amp;$O622,APOIO_REDES!$W:$W,0),MATCH(AT$5,APOIO_REDES!$5:$5,0)),0)*$AP622,0)</f>
        <v>1.06197250275834</v>
      </c>
      <c r="AU622" s="153" t="n">
        <f aca="false">IFERROR(IF($N622="VCA",INDEX(APOIO_REDES!$A:$W,MATCH($C622&amp;$I622&amp;$H622&amp;$N622&amp;$O622,APOIO_REDES!$W:$W,0),MATCH(AU$5,APOIO_REDES!$5:$5,0)),0)*$AP622,0)</f>
        <v>0.848062478839838</v>
      </c>
      <c r="AV622" s="153" t="n">
        <f aca="false">IFERROR(IF($N622="VCA",INDEX(APOIO_REDES!$A:$W,MATCH($C622&amp;$I622&amp;$H622&amp;$N622&amp;$O622,APOIO_REDES!$W:$W,0),MATCH(AV$5,APOIO_REDES!$5:$5,0)),0)*$AP622,0)</f>
        <v>0.117365189519945</v>
      </c>
      <c r="AW622" s="153" t="n">
        <f aca="false">IFERROR(IF($N622="VCA",INDEX(APOIO_REDES!$A:$W,MATCH($C622&amp;$I622&amp;$H622&amp;$N622&amp;$O622,APOIO_REDES!$W:$W,0),MATCH(AW$5,APOIO_REDES!$5:$5,0)),0)*$AP622,0)</f>
        <v>66.9969048149086</v>
      </c>
      <c r="AX622" s="153" t="n">
        <f aca="false">IFERROR(IF($N622="VCA",INDEX(APOIO_REDES!$A:$W,MATCH($C622&amp;$I622&amp;$H622&amp;$N622&amp;$O622,APOIO_REDES!$W:$W,0),MATCH(AX$5,APOIO_REDES!$5:$5,0)),0)*$AP622,0)</f>
        <v>9.27218078208751</v>
      </c>
      <c r="AY622" s="153" t="n">
        <f aca="false">IFERROR(IF($N622="VCA",INDEX(APOIO_REDES!$A:$W,MATCH($C622&amp;$I622&amp;$H622&amp;$N622&amp;$O622,APOIO_REDES!$W:$W,0),MATCH(AY$5,APOIO_REDES!$5:$5,0)),0)*$AP622,0)</f>
        <v>16.9612392389839</v>
      </c>
      <c r="AZ622" s="153" t="n">
        <f aca="false">IFERROR(IF($N622="VCA",INDEX(APOIO_REDES!$A:$W,MATCH($C622&amp;$I622&amp;$H622&amp;$N622&amp;$O622,APOIO_REDES!$W:$W,0),MATCH(AZ$5,APOIO_REDES!$5:$5,0)),0)*$AP622,0)</f>
        <v>2.34738649290186</v>
      </c>
      <c r="BA622" s="153" t="n">
        <f aca="false">IFERROR(IF(AND($N622="VCA",$Q622="LINEAR"),INDEX(APOIO_REDES!$A:$W,MATCH($C622&amp;$I622&amp;$H622&amp;$N622&amp;$O622,APOIO_REDES!$W:$W,0),MATCH(BA$5,APOIO_REDES!$5:$5,0)),IF(AND($N622="MND",$Q622="EMBOQUE"),INDEX(APOIO_REDES!$A:$W,MATCH($C622&amp;$I622&amp;$H622&amp;$N622&amp;$O622,APOIO_REDES!$W:$W,0),MATCH(BA$5,APOIO_REDES!$5:$5,0)),0))*$M622/10,0)</f>
        <v>8.8794241049644</v>
      </c>
      <c r="BB622" s="153" t="n">
        <f aca="false">IFERROR(IF($N622="VCA",INDEX(APOIO_REDES!$A:$W,MATCH($C622&amp;$I622&amp;$H622&amp;$N622&amp;$O622,APOIO_REDES!$W:$W,0),MATCH(BB$5,APOIO_REDES!$5:$5,0)),0)*($AI622+$AQ622+$AR622),0)</f>
        <v>32.7949180893051</v>
      </c>
      <c r="BC622" s="153" t="n">
        <f aca="false">IFERROR(IF($N622="VCA",INDEX(APOIO_REDES!$A:$W,MATCH($C622&amp;$I622&amp;$H622&amp;$N622&amp;$O622,APOIO_REDES!$W:$W,0),MATCH(BC$5,APOIO_REDES!$5:$5,0)),0)*($AI622+$AQ622+$AR622),0)</f>
        <v>0.360743410694871</v>
      </c>
      <c r="BD622" s="153" t="n">
        <f aca="false">IF(AND($N622="VCA",$AF622&gt;=1.25,$AF622&lt;1.5),$M622*$AF622*2,0)</f>
        <v>300.32342</v>
      </c>
      <c r="BE622" s="153" t="n">
        <f aca="false">IF(AND($N622="VCA",$AF622&gt;=1.5,$AF622&lt;3),$M622*$AF622*2,0)</f>
        <v>0</v>
      </c>
      <c r="BF622" s="153" t="n">
        <f aca="false">IF(AND($N622="VCA",$AF622&gt;=3),$M622*$AF622*2,0)</f>
        <v>0</v>
      </c>
      <c r="BG622" s="153" t="n">
        <f aca="false">($BB622+$BC622)*$AK622</f>
        <v>62.99575685</v>
      </c>
      <c r="BH622" s="153" t="n">
        <f aca="false">IF(AND($M622&lt;&gt;"",$N622="VCA",$Q622="LINEAR"),($M622*2)/100,IF(AND($M622&lt;&gt;"",$N622="MND",$Q622="EMBOQUE"),($AN622*2)/100,0))</f>
        <v>2.2034</v>
      </c>
      <c r="BI622" s="153" t="n">
        <f aca="false">IF(AND($M622&lt;&gt;"",$N622="VCA",$Q622="LINEAR"),$M622,IF(AND($M622&lt;&gt;"",$N622="MND",$Q622="EMBOQUE"),$AN622*2,0))</f>
        <v>110.17</v>
      </c>
      <c r="BJ622" s="153" t="n">
        <f aca="false">IF(AND($M622&lt;&gt;"",$N622="VCA",$Q622="LINEAR"),($M622*6.8)/100,IF(AND($M622&lt;&gt;"",$N622="MND",$Q622="EMBOQUE"),($AN622*2*6.8)/100,0))</f>
        <v>7.49156</v>
      </c>
      <c r="BK622" s="153" t="n">
        <f aca="false">IF(AND($M622&lt;&gt;"",$N622="VCA",$Q622="LINEAR"),($M622*2.5)/50,IF(AND($M622&lt;&gt;"",$N622="MND",$Q622="EMBOQUE"),($AN622*2*2.5)/50,0))</f>
        <v>5.5085</v>
      </c>
      <c r="BL622" s="157" t="str">
        <f aca="false">K622&amp;J622</f>
        <v>Zona06REDES</v>
      </c>
      <c r="BM622" s="152" t="s">
        <v>3790</v>
      </c>
      <c r="BN622" s="152" t="s">
        <v>1560</v>
      </c>
      <c r="BO622" s="152" t="s">
        <v>3797</v>
      </c>
      <c r="BP622" s="152" t="s">
        <v>3890</v>
      </c>
      <c r="BQ622" s="152" t="s">
        <v>3915</v>
      </c>
      <c r="BR622" s="152" t="s">
        <v>3916</v>
      </c>
      <c r="BS622" s="152" t="n">
        <v>204062.216</v>
      </c>
      <c r="BT622" s="152" t="n">
        <v>8237298.105</v>
      </c>
      <c r="BU622" s="152" t="n">
        <v>204160.361</v>
      </c>
      <c r="BV622" s="152" t="n">
        <v>8237261.572</v>
      </c>
      <c r="BW622" s="152" t="n">
        <v>-15.9261447</v>
      </c>
      <c r="BX622" s="152" t="n">
        <v>-47.763624</v>
      </c>
      <c r="BY622" s="152" t="s">
        <v>3890</v>
      </c>
    </row>
    <row r="623" customFormat="false" ht="13.8" hidden="false" customHeight="false" outlineLevel="0" collapsed="false">
      <c r="A623" s="149" t="n">
        <f aca="false">IF(C623&lt;&gt;"",ROW(A618),"")</f>
        <v>618</v>
      </c>
      <c r="B623" s="150" t="str">
        <f aca="false">HYPERLINK("https://www.google.com/maps/dir/-15.917302,-47.760003/-15.9262760,-47.7623977/data=!4m3!4m2!3e0!5i0")</f>
        <v>https://www.google.com/maps/dir/-15.917302,-47.760003/-15.9262760,-47.7623977/data=!4m3!4m2!3e0!5i0</v>
      </c>
      <c r="C623" s="151" t="s">
        <v>117</v>
      </c>
      <c r="D623" s="152" t="s">
        <v>112</v>
      </c>
      <c r="E623" s="152" t="s">
        <v>113</v>
      </c>
      <c r="F623" s="152" t="s">
        <v>117</v>
      </c>
      <c r="G623" s="152" t="s">
        <v>782</v>
      </c>
      <c r="H623" s="152" t="n">
        <v>63</v>
      </c>
      <c r="I623" s="152" t="s">
        <v>115</v>
      </c>
      <c r="J623" s="152" t="s">
        <v>6</v>
      </c>
      <c r="K623" s="152" t="s">
        <v>3786</v>
      </c>
      <c r="L623" s="152" t="s">
        <v>120</v>
      </c>
      <c r="M623" s="153" t="n">
        <f aca="false">17.67</f>
        <v>17.67</v>
      </c>
      <c r="N623" s="152" t="s">
        <v>1548</v>
      </c>
      <c r="O623" s="152" t="s">
        <v>1549</v>
      </c>
      <c r="P623" s="152" t="s">
        <v>1550</v>
      </c>
      <c r="Q623" s="152" t="s">
        <v>1551</v>
      </c>
      <c r="R623" s="154" t="s">
        <v>3917</v>
      </c>
      <c r="S623" s="154" t="s">
        <v>1553</v>
      </c>
      <c r="T623" s="155" t="s">
        <v>3795</v>
      </c>
      <c r="U623" s="152" t="str">
        <f aca="false">RIGHT(T623,7)</f>
        <v>013/037</v>
      </c>
      <c r="V623" s="152" t="s">
        <v>1555</v>
      </c>
      <c r="W623" s="156" t="n">
        <v>45882</v>
      </c>
      <c r="X623" s="152" t="s">
        <v>1594</v>
      </c>
      <c r="Y623" s="152" t="s">
        <v>2276</v>
      </c>
      <c r="Z623" s="152" t="s">
        <v>1557</v>
      </c>
      <c r="AA623" s="153" t="n">
        <v>1.5</v>
      </c>
      <c r="AB623" s="151" t="s">
        <v>3918</v>
      </c>
      <c r="AC623" s="151" t="s">
        <v>186</v>
      </c>
      <c r="AD623" s="151" t="str">
        <f aca="false">CONCATENATE($C623,$I623,$H623,$N623,$J623,$K623)</f>
        <v>TUBO PEADPEAD63VCAREDESZona06</v>
      </c>
      <c r="AE623" s="153" t="n">
        <f aca="false">IFERROR(INDEX(APOIO_REDES!$A:$W,MATCH($C623&amp;$I623&amp;$H623&amp;$N623&amp;$O623,APOIO_REDES!$W:$W,0),MATCH(AE$5,APOIO_REDES!$5:$5,0)),0)</f>
        <v>1.2</v>
      </c>
      <c r="AF623" s="153" t="n">
        <f aca="false">IFERROR(INDEX(APOIO_REDES!$A:$W,MATCH($C623&amp;$I623&amp;$H623&amp;$N623&amp;$O623,APOIO_REDES!$W:$W,0),MATCH(AF$5,APOIO_REDES!$5:$5,0)),0)</f>
        <v>1.363</v>
      </c>
      <c r="AG623" s="153" t="n">
        <f aca="false">IFERROR(INDEX(APOIO_REDES!$A:$W,MATCH($C623&amp;$I623&amp;$H623&amp;$N623&amp;$O623,APOIO_REDES!$W:$W,0),MATCH(AG$5,APOIO_REDES!$5:$5,0)),0)</f>
        <v>0.65</v>
      </c>
      <c r="AH623" s="153" t="n">
        <f aca="false">IFERROR(INDEX(APOIO_REDES!$A:$W,MATCH($C623&amp;$I623&amp;$H623&amp;$N623&amp;$O623,APOIO_REDES!$W:$W,0),MATCH(AH$5,APOIO_REDES!$5:$5,0)),0)</f>
        <v>0.1</v>
      </c>
      <c r="AI623" s="153" t="n">
        <f aca="false">IFERROR(IF($H623&lt;&gt;"",(((($H623/1000)/2)^2)*PI()*$M623),0),0)</f>
        <v>0.0550817246369674</v>
      </c>
      <c r="AJ623" s="153" t="n">
        <f aca="false">IFERROR(IF(AND($H623&lt;&gt;"",$I623="FoFo",OR($N623="MND",$N623="VCA"),$Q623="LINEAR"),0,IF(AND($H623&lt;&gt;"",$I623="PEAD",$N623="VCA",$Q623="LINEAR"),($H623/1000)+0.3,IF(AND($H623&lt;&gt;"",$I623="PEAD",$N623="MND",$Q623="EMBOQUE"),0,IF(AND($H623&lt;&gt;"",$I623="PVC",$N623="VCA",$Q623="LINEAR"),($H623/1000)+0.2,IF(AND($H623&lt;&gt;"",$I623="PVC",$N623="MND",$Q623="EMBOQUE"),0,IF(AND($H623&lt;&gt;"",$I623="PEAD",$N623="VCA",$Q623="PREDIAL"),0,0)))))),0)</f>
        <v>0.363</v>
      </c>
      <c r="AK623" s="153" t="n">
        <f aca="false">IF(AA623&lt;&gt;"",AA623,0)</f>
        <v>1.5</v>
      </c>
      <c r="AL623" s="153" t="n">
        <f aca="false">IF(AND($N623="MND",$Q623="EMBOQUE"),$M623,IF(AND($N623="VCA",$Q623="LINEAR"),$M623,IF(AND($N623="VCA",$Q623="PREDIAL"),0,0)))</f>
        <v>17.67</v>
      </c>
      <c r="AM623" s="153" t="n">
        <f aca="false">IF(AND($N623="MND",$Q623="EMBOQUE"),$M623,IF(AND($N623="VCA",$Q623="LINEAR"),$M623,IF(AND($N623="VCA",$Q623="PREDIAL"),0,0)))</f>
        <v>17.67</v>
      </c>
      <c r="AN623" s="153" t="n">
        <f aca="false">ROUND(IF(AND($N623="VCA",$M623&lt;&gt;"",$Q623="LINEAR"),$M623/100,IF(AND($N623="MND",$M623&gt;100,$Q623="EMBOQUE"),$M623/100,0)),0)</f>
        <v>0</v>
      </c>
      <c r="AO623" s="153" t="n">
        <f aca="false">IF(AND($N623="MND",$Q623="EMBOQUE"),$AN623*2*2,IF(AND($N623="VCA",$Q623="LINEAR"),$M623*2,IF(AND($N623="VCA",$Q623="PREDIAL"),0,0)))</f>
        <v>35.34</v>
      </c>
      <c r="AP623" s="153" t="n">
        <f aca="false">IFERROR($M623*$AF623*$AG623,0)</f>
        <v>15.6547365</v>
      </c>
      <c r="AQ623" s="153" t="n">
        <f aca="false">IFERROR(IF(AND($N623="VCA",$AH623&gt;0),$M623*$AG623*$AH623,0),0)</f>
        <v>1.14855</v>
      </c>
      <c r="AR623" s="153" t="n">
        <f aca="false">IFERROR(IF(AND($N623="VCA",$AJ623&gt;0),($M623*$AG623*$AJ623)-$AI623,0),0)</f>
        <v>4.11415477536303</v>
      </c>
      <c r="AS623" s="153" t="n">
        <f aca="false">IFERROR(IF(AND($N623="VCA",$AP623&gt;0),$AP623-$AI623-$AQ623-$AR623,0),0)</f>
        <v>10.33695</v>
      </c>
      <c r="AT623" s="153" t="n">
        <f aca="false">IFERROR(IF($N623="VCA",INDEX(APOIO_REDES!$A:$W,MATCH($C623&amp;$I623&amp;$H623&amp;$N623&amp;$O623,APOIO_REDES!$W:$W,0),MATCH(AT$5,APOIO_REDES!$5:$5,0)),0)*$AP623,0)</f>
        <v>0.170328166685484</v>
      </c>
      <c r="AU623" s="153" t="n">
        <f aca="false">IFERROR(IF($N623="VCA",INDEX(APOIO_REDES!$A:$W,MATCH($C623&amp;$I623&amp;$H623&amp;$N623&amp;$O623,APOIO_REDES!$W:$W,0),MATCH(AU$5,APOIO_REDES!$5:$5,0)),0)*$AP623,0)</f>
        <v>0.136019460843242</v>
      </c>
      <c r="AV623" s="153" t="n">
        <f aca="false">IFERROR(IF($N623="VCA",INDEX(APOIO_REDES!$A:$W,MATCH($C623&amp;$I623&amp;$H623&amp;$N623&amp;$O623,APOIO_REDES!$W:$W,0),MATCH(AV$5,APOIO_REDES!$5:$5,0)),0)*$AP623,0)</f>
        <v>0.0188240255860709</v>
      </c>
      <c r="AW623" s="153" t="n">
        <f aca="false">IFERROR(IF($N623="VCA",INDEX(APOIO_REDES!$A:$W,MATCH($C623&amp;$I623&amp;$H623&amp;$N623&amp;$O623,APOIO_REDES!$W:$W,0),MATCH(AW$5,APOIO_REDES!$5:$5,0)),0)*$AP623,0)</f>
        <v>10.7455324324175</v>
      </c>
      <c r="AX623" s="153" t="n">
        <f aca="false">IFERROR(IF($N623="VCA",INDEX(APOIO_REDES!$A:$W,MATCH($C623&amp;$I623&amp;$H623&amp;$N623&amp;$O623,APOIO_REDES!$W:$W,0),MATCH(AX$5,APOIO_REDES!$5:$5,0)),0)*$AP623,0)</f>
        <v>1.48715107941805</v>
      </c>
      <c r="AY623" s="153" t="n">
        <f aca="false">IFERROR(IF($N623="VCA",INDEX(APOIO_REDES!$A:$W,MATCH($C623&amp;$I623&amp;$H623&amp;$N623&amp;$O623,APOIO_REDES!$W:$W,0),MATCH(AY$5,APOIO_REDES!$5:$5,0)),0)*$AP623,0)</f>
        <v>2.72038755879863</v>
      </c>
      <c r="AZ623" s="153" t="n">
        <f aca="false">IFERROR(IF($N623="VCA",INDEX(APOIO_REDES!$A:$W,MATCH($C623&amp;$I623&amp;$H623&amp;$N623&amp;$O623,APOIO_REDES!$W:$W,0),MATCH(AZ$5,APOIO_REDES!$5:$5,0)),0)*$AP623,0)</f>
        <v>0.37649377625103</v>
      </c>
      <c r="BA623" s="153" t="n">
        <f aca="false">IFERROR(IF(AND($N623="VCA",$Q623="LINEAR"),INDEX(APOIO_REDES!$A:$W,MATCH($C623&amp;$I623&amp;$H623&amp;$N623&amp;$O623,APOIO_REDES!$W:$W,0),MATCH(BA$5,APOIO_REDES!$5:$5,0)),IF(AND($N623="MND",$Q623="EMBOQUE"),INDEX(APOIO_REDES!$A:$W,MATCH($C623&amp;$I623&amp;$H623&amp;$N623&amp;$O623,APOIO_REDES!$W:$W,0),MATCH(BA$5,APOIO_REDES!$5:$5,0)),0))*$M623/10,0)</f>
        <v>1.42415742883472</v>
      </c>
      <c r="BB623" s="153" t="n">
        <f aca="false">IFERROR(IF($N623="VCA",INDEX(APOIO_REDES!$A:$W,MATCH($C623&amp;$I623&amp;$H623&amp;$N623&amp;$O623,APOIO_REDES!$W:$W,0),MATCH(BB$5,APOIO_REDES!$5:$5,0)),0)*($AI623+$AQ623+$AR623),0)</f>
        <v>5.25992740889554</v>
      </c>
      <c r="BC623" s="153" t="n">
        <f aca="false">IFERROR(IF($N623="VCA",INDEX(APOIO_REDES!$A:$W,MATCH($C623&amp;$I623&amp;$H623&amp;$N623&amp;$O623,APOIO_REDES!$W:$W,0),MATCH(BC$5,APOIO_REDES!$5:$5,0)),0)*($AI623+$AQ623+$AR623),0)</f>
        <v>0.0578590911044601</v>
      </c>
      <c r="BD623" s="153" t="n">
        <f aca="false">IF(AND($N623="VCA",$AF623&gt;=1.25,$AF623&lt;1.5),$M623*$AF623*2,0)</f>
        <v>48.16842</v>
      </c>
      <c r="BE623" s="153" t="n">
        <f aca="false">IF(AND($N623="VCA",$AF623&gt;=1.5,$AF623&lt;3),$M623*$AF623*2,0)</f>
        <v>0</v>
      </c>
      <c r="BF623" s="153" t="n">
        <f aca="false">IF(AND($N623="VCA",$AF623&gt;=3),$M623*$AF623*2,0)</f>
        <v>0</v>
      </c>
      <c r="BG623" s="153" t="n">
        <f aca="false">($BB623+$BC623)*$AK623</f>
        <v>7.97667975</v>
      </c>
      <c r="BH623" s="153" t="n">
        <f aca="false">IF(AND($M623&lt;&gt;"",$N623="VCA",$Q623="LINEAR"),($M623*2)/100,IF(AND($M623&lt;&gt;"",$N623="MND",$Q623="EMBOQUE"),($AN623*2)/100,0))</f>
        <v>0.3534</v>
      </c>
      <c r="BI623" s="153" t="n">
        <f aca="false">IF(AND($M623&lt;&gt;"",$N623="VCA",$Q623="LINEAR"),$M623,IF(AND($M623&lt;&gt;"",$N623="MND",$Q623="EMBOQUE"),$AN623*2,0))</f>
        <v>17.67</v>
      </c>
      <c r="BJ623" s="153" t="n">
        <f aca="false">IF(AND($M623&lt;&gt;"",$N623="VCA",$Q623="LINEAR"),($M623*6.8)/100,IF(AND($M623&lt;&gt;"",$N623="MND",$Q623="EMBOQUE"),($AN623*2*6.8)/100,0))</f>
        <v>1.20156</v>
      </c>
      <c r="BK623" s="153" t="n">
        <f aca="false">IF(AND($M623&lt;&gt;"",$N623="VCA",$Q623="LINEAR"),($M623*2.5)/50,IF(AND($M623&lt;&gt;"",$N623="MND",$Q623="EMBOQUE"),($AN623*2*2.5)/50,0))</f>
        <v>0.8835</v>
      </c>
      <c r="BL623" s="157" t="str">
        <f aca="false">K623&amp;J623</f>
        <v>Zona06REDES</v>
      </c>
      <c r="BM623" s="152" t="s">
        <v>3790</v>
      </c>
      <c r="BN623" s="152" t="s">
        <v>1560</v>
      </c>
      <c r="BO623" s="152" t="s">
        <v>3797</v>
      </c>
      <c r="BP623" s="152" t="s">
        <v>3919</v>
      </c>
      <c r="BQ623" s="152" t="s">
        <v>3875</v>
      </c>
      <c r="BR623" s="152" t="s">
        <v>3920</v>
      </c>
      <c r="BS623" s="152" t="n">
        <v>204240.598</v>
      </c>
      <c r="BT623" s="152" t="n">
        <v>8237262.039</v>
      </c>
      <c r="BU623" s="152" t="n">
        <v>204243.648</v>
      </c>
      <c r="BV623" s="152" t="n">
        <v>8237279.444</v>
      </c>
      <c r="BW623" s="152" t="n">
        <v>-15.9261976</v>
      </c>
      <c r="BX623" s="152" t="n">
        <v>-47.7623829</v>
      </c>
      <c r="BY623" s="152" t="s">
        <v>3919</v>
      </c>
    </row>
    <row r="624" customFormat="false" ht="13.8" hidden="false" customHeight="false" outlineLevel="0" collapsed="false">
      <c r="A624" s="149" t="n">
        <f aca="false">IF(C624&lt;&gt;"",ROW(A619),"")</f>
        <v>619</v>
      </c>
      <c r="B624" s="150" t="str">
        <f aca="false">HYPERLINK("https://www.google.com/maps/dir/-15.917302,-47.760003/-15.9256698,-47.7613597/data=!4m3!4m2!3e0!5i0")</f>
        <v>https://www.google.com/maps/dir/-15.917302,-47.760003/-15.9256698,-47.7613597/data=!4m3!4m2!3e0!5i0</v>
      </c>
      <c r="C624" s="151" t="s">
        <v>117</v>
      </c>
      <c r="D624" s="152" t="s">
        <v>112</v>
      </c>
      <c r="E624" s="152" t="s">
        <v>113</v>
      </c>
      <c r="F624" s="152" t="s">
        <v>117</v>
      </c>
      <c r="G624" s="152" t="s">
        <v>782</v>
      </c>
      <c r="H624" s="152" t="n">
        <v>63</v>
      </c>
      <c r="I624" s="152" t="s">
        <v>115</v>
      </c>
      <c r="J624" s="152" t="s">
        <v>6</v>
      </c>
      <c r="K624" s="152" t="s">
        <v>3786</v>
      </c>
      <c r="L624" s="152" t="s">
        <v>120</v>
      </c>
      <c r="M624" s="153" t="n">
        <f aca="false">142.21+3.97</f>
        <v>146.18</v>
      </c>
      <c r="N624" s="152" t="s">
        <v>1548</v>
      </c>
      <c r="O624" s="152" t="s">
        <v>1549</v>
      </c>
      <c r="P624" s="152" t="s">
        <v>1550</v>
      </c>
      <c r="Q624" s="152" t="s">
        <v>1551</v>
      </c>
      <c r="R624" s="154" t="s">
        <v>3921</v>
      </c>
      <c r="S624" s="154" t="s">
        <v>1553</v>
      </c>
      <c r="T624" s="155" t="s">
        <v>3795</v>
      </c>
      <c r="U624" s="152" t="str">
        <f aca="false">RIGHT(T624,7)</f>
        <v>013/037</v>
      </c>
      <c r="V624" s="152" t="s">
        <v>1555</v>
      </c>
      <c r="W624" s="156" t="n">
        <v>45882</v>
      </c>
      <c r="X624" s="152" t="s">
        <v>1594</v>
      </c>
      <c r="Y624" s="152" t="s">
        <v>2276</v>
      </c>
      <c r="Z624" s="152" t="s">
        <v>1557</v>
      </c>
      <c r="AA624" s="153" t="n">
        <v>1.3</v>
      </c>
      <c r="AB624" s="151" t="s">
        <v>3922</v>
      </c>
      <c r="AC624" s="151" t="s">
        <v>186</v>
      </c>
      <c r="AD624" s="151" t="str">
        <f aca="false">CONCATENATE($C624,$I624,$H624,$N624,$J624,$K624)</f>
        <v>TUBO PEADPEAD63VCAREDESZona06</v>
      </c>
      <c r="AE624" s="153" t="n">
        <f aca="false">IFERROR(INDEX(APOIO_REDES!$A:$W,MATCH($C624&amp;$I624&amp;$H624&amp;$N624&amp;$O624,APOIO_REDES!$W:$W,0),MATCH(AE$5,APOIO_REDES!$5:$5,0)),0)</f>
        <v>1.2</v>
      </c>
      <c r="AF624" s="153" t="n">
        <f aca="false">IFERROR(INDEX(APOIO_REDES!$A:$W,MATCH($C624&amp;$I624&amp;$H624&amp;$N624&amp;$O624,APOIO_REDES!$W:$W,0),MATCH(AF$5,APOIO_REDES!$5:$5,0)),0)</f>
        <v>1.363</v>
      </c>
      <c r="AG624" s="153" t="n">
        <f aca="false">IFERROR(INDEX(APOIO_REDES!$A:$W,MATCH($C624&amp;$I624&amp;$H624&amp;$N624&amp;$O624,APOIO_REDES!$W:$W,0),MATCH(AG$5,APOIO_REDES!$5:$5,0)),0)</f>
        <v>0.65</v>
      </c>
      <c r="AH624" s="153" t="n">
        <f aca="false">IFERROR(INDEX(APOIO_REDES!$A:$W,MATCH($C624&amp;$I624&amp;$H624&amp;$N624&amp;$O624,APOIO_REDES!$W:$W,0),MATCH(AH$5,APOIO_REDES!$5:$5,0)),0)</f>
        <v>0.1</v>
      </c>
      <c r="AI624" s="153" t="n">
        <f aca="false">IFERROR(IF($H624&lt;&gt;"",(((($H624/1000)/2)^2)*PI()*$M624),0),0)</f>
        <v>0.455678919492467</v>
      </c>
      <c r="AJ624" s="153" t="n">
        <f aca="false">IFERROR(IF(AND($H624&lt;&gt;"",$I624="FoFo",OR($N624="MND",$N624="VCA"),$Q624="LINEAR"),0,IF(AND($H624&lt;&gt;"",$I624="PEAD",$N624="VCA",$Q624="LINEAR"),($H624/1000)+0.3,IF(AND($H624&lt;&gt;"",$I624="PEAD",$N624="MND",$Q624="EMBOQUE"),0,IF(AND($H624&lt;&gt;"",$I624="PVC",$N624="VCA",$Q624="LINEAR"),($H624/1000)+0.2,IF(AND($H624&lt;&gt;"",$I624="PVC",$N624="MND",$Q624="EMBOQUE"),0,IF(AND($H624&lt;&gt;"",$I624="PEAD",$N624="VCA",$Q624="PREDIAL"),0,0)))))),0)</f>
        <v>0.363</v>
      </c>
      <c r="AK624" s="153" t="n">
        <f aca="false">IF(AA624&lt;&gt;"",AA624,0)</f>
        <v>1.3</v>
      </c>
      <c r="AL624" s="153" t="n">
        <f aca="false">IF(AND($N624="MND",$Q624="EMBOQUE"),$M624,IF(AND($N624="VCA",$Q624="LINEAR"),$M624,IF(AND($N624="VCA",$Q624="PREDIAL"),0,0)))</f>
        <v>146.18</v>
      </c>
      <c r="AM624" s="153" t="n">
        <f aca="false">IF(AND($N624="MND",$Q624="EMBOQUE"),$M624,IF(AND($N624="VCA",$Q624="LINEAR"),$M624,IF(AND($N624="VCA",$Q624="PREDIAL"),0,0)))</f>
        <v>146.18</v>
      </c>
      <c r="AN624" s="153" t="n">
        <f aca="false">ROUND(IF(AND($N624="VCA",$M624&lt;&gt;"",$Q624="LINEAR"),$M624/100,IF(AND($N624="MND",$M624&gt;100,$Q624="EMBOQUE"),$M624/100,0)),0)</f>
        <v>1</v>
      </c>
      <c r="AO624" s="153" t="n">
        <f aca="false">IF(AND($N624="MND",$Q624="EMBOQUE"),$AN624*2*2,IF(AND($N624="VCA",$Q624="LINEAR"),$M624*2,IF(AND($N624="VCA",$Q624="PREDIAL"),0,0)))</f>
        <v>292.36</v>
      </c>
      <c r="AP624" s="153" t="n">
        <f aca="false">IFERROR($M624*$AF624*$AG624,0)</f>
        <v>129.508171</v>
      </c>
      <c r="AQ624" s="153" t="n">
        <f aca="false">IFERROR(IF(AND($N624="VCA",$AH624&gt;0),$M624*$AG624*$AH624,0),0)</f>
        <v>9.5017</v>
      </c>
      <c r="AR624" s="153" t="n">
        <f aca="false">IFERROR(IF(AND($N624="VCA",$AJ624&gt;0),($M624*$AG624*$AJ624)-$AI624,0),0)</f>
        <v>34.0354920805075</v>
      </c>
      <c r="AS624" s="153" t="n">
        <f aca="false">IFERROR(IF(AND($N624="VCA",$AP624&gt;0),$AP624-$AI624-$AQ624-$AR624,0),0)</f>
        <v>85.5153</v>
      </c>
      <c r="AT624" s="153" t="n">
        <f aca="false">IFERROR(IF($N624="VCA",INDEX(APOIO_REDES!$A:$W,MATCH($C624&amp;$I624&amp;$H624&amp;$N624&amp;$O624,APOIO_REDES!$W:$W,0),MATCH(AT$5,APOIO_REDES!$5:$5,0)),0)*$AP624,0)</f>
        <v>1.40908723294194</v>
      </c>
      <c r="AU624" s="153" t="n">
        <f aca="false">IFERROR(IF($N624="VCA",INDEX(APOIO_REDES!$A:$W,MATCH($C624&amp;$I624&amp;$H624&amp;$N624&amp;$O624,APOIO_REDES!$W:$W,0),MATCH(AU$5,APOIO_REDES!$5:$5,0)),0)*$AP624,0)</f>
        <v>1.12525890130532</v>
      </c>
      <c r="AV624" s="153" t="n">
        <f aca="false">IFERROR(IF($N624="VCA",INDEX(APOIO_REDES!$A:$W,MATCH($C624&amp;$I624&amp;$H624&amp;$N624&amp;$O624,APOIO_REDES!$W:$W,0),MATCH(AV$5,APOIO_REDES!$5:$5,0)),0)*$AP624,0)</f>
        <v>0.155726998311932</v>
      </c>
      <c r="AW624" s="153" t="n">
        <f aca="false">IFERROR(IF($N624="VCA",INDEX(APOIO_REDES!$A:$W,MATCH($C624&amp;$I624&amp;$H624&amp;$N624&amp;$O624,APOIO_REDES!$W:$W,0),MATCH(AW$5,APOIO_REDES!$5:$5,0)),0)*$AP624,0)</f>
        <v>88.8954120526763</v>
      </c>
      <c r="AX624" s="153" t="n">
        <f aca="false">IFERROR(IF($N624="VCA",INDEX(APOIO_REDES!$A:$W,MATCH($C624&amp;$I624&amp;$H624&amp;$N624&amp;$O624,APOIO_REDES!$W:$W,0),MATCH(AX$5,APOIO_REDES!$5:$5,0)),0)*$AP624,0)</f>
        <v>12.3028718047159</v>
      </c>
      <c r="AY624" s="153" t="n">
        <f aca="false">IFERROR(IF($N624="VCA",INDEX(APOIO_REDES!$A:$W,MATCH($C624&amp;$I624&amp;$H624&amp;$N624&amp;$O624,APOIO_REDES!$W:$W,0),MATCH(AY$5,APOIO_REDES!$5:$5,0)),0)*$AP624,0)</f>
        <v>22.5051643092917</v>
      </c>
      <c r="AZ624" s="153" t="n">
        <f aca="false">IFERROR(IF($N624="VCA",INDEX(APOIO_REDES!$A:$W,MATCH($C624&amp;$I624&amp;$H624&amp;$N624&amp;$O624,APOIO_REDES!$W:$W,0),MATCH(AZ$5,APOIO_REDES!$5:$5,0)),0)*$AP624,0)</f>
        <v>3.11464970075696</v>
      </c>
      <c r="BA624" s="153" t="n">
        <f aca="false">IFERROR(IF(AND($N624="VCA",$Q624="LINEAR"),INDEX(APOIO_REDES!$A:$W,MATCH($C624&amp;$I624&amp;$H624&amp;$N624&amp;$O624,APOIO_REDES!$W:$W,0),MATCH(BA$5,APOIO_REDES!$5:$5,0)),IF(AND($N624="MND",$Q624="EMBOQUE"),INDEX(APOIO_REDES!$A:$W,MATCH($C624&amp;$I624&amp;$H624&amp;$N624&amp;$O624,APOIO_REDES!$W:$W,0),MATCH(BA$5,APOIO_REDES!$5:$5,0)),0))*$M624/10,0)</f>
        <v>11.7817392726123</v>
      </c>
      <c r="BB624" s="153" t="n">
        <f aca="false">IFERROR(IF($N624="VCA",INDEX(APOIO_REDES!$A:$W,MATCH($C624&amp;$I624&amp;$H624&amp;$N624&amp;$O624,APOIO_REDES!$W:$W,0),MATCH(BB$5,APOIO_REDES!$5:$5,0)),0)*($AI624+$AQ624+$AR624),0)</f>
        <v>43.5142155422949</v>
      </c>
      <c r="BC624" s="153" t="n">
        <f aca="false">IFERROR(IF($N624="VCA",INDEX(APOIO_REDES!$A:$W,MATCH($C624&amp;$I624&amp;$H624&amp;$N624&amp;$O624,APOIO_REDES!$W:$W,0),MATCH(BC$5,APOIO_REDES!$5:$5,0)),0)*($AI624+$AQ624+$AR624),0)</f>
        <v>0.478655457705149</v>
      </c>
      <c r="BD624" s="153" t="n">
        <f aca="false">IF(AND($N624="VCA",$AF624&gt;=1.25,$AF624&lt;1.5),$M624*$AF624*2,0)</f>
        <v>398.48668</v>
      </c>
      <c r="BE624" s="153" t="n">
        <f aca="false">IF(AND($N624="VCA",$AF624&gt;=1.5,$AF624&lt;3),$M624*$AF624*2,0)</f>
        <v>0</v>
      </c>
      <c r="BF624" s="153" t="n">
        <f aca="false">IF(AND($N624="VCA",$AF624&gt;=3),$M624*$AF624*2,0)</f>
        <v>0</v>
      </c>
      <c r="BG624" s="153" t="n">
        <f aca="false">($BB624+$BC624)*$AK624</f>
        <v>57.1907323</v>
      </c>
      <c r="BH624" s="153" t="n">
        <f aca="false">IF(AND($M624&lt;&gt;"",$N624="VCA",$Q624="LINEAR"),($M624*2)/100,IF(AND($M624&lt;&gt;"",$N624="MND",$Q624="EMBOQUE"),($AN624*2)/100,0))</f>
        <v>2.9236</v>
      </c>
      <c r="BI624" s="153" t="n">
        <f aca="false">IF(AND($M624&lt;&gt;"",$N624="VCA",$Q624="LINEAR"),$M624,IF(AND($M624&lt;&gt;"",$N624="MND",$Q624="EMBOQUE"),$AN624*2,0))</f>
        <v>146.18</v>
      </c>
      <c r="BJ624" s="153" t="n">
        <f aca="false">IF(AND($M624&lt;&gt;"",$N624="VCA",$Q624="LINEAR"),($M624*6.8)/100,IF(AND($M624&lt;&gt;"",$N624="MND",$Q624="EMBOQUE"),($AN624*2*6.8)/100,0))</f>
        <v>9.94024</v>
      </c>
      <c r="BK624" s="153" t="n">
        <f aca="false">IF(AND($M624&lt;&gt;"",$N624="VCA",$Q624="LINEAR"),($M624*2.5)/50,IF(AND($M624&lt;&gt;"",$N624="MND",$Q624="EMBOQUE"),($AN624*2*2.5)/50,0))</f>
        <v>7.309</v>
      </c>
      <c r="BL624" s="157" t="str">
        <f aca="false">K624&amp;J624</f>
        <v>Zona06REDES</v>
      </c>
      <c r="BM624" s="152" t="s">
        <v>3790</v>
      </c>
      <c r="BN624" s="152" t="s">
        <v>1560</v>
      </c>
      <c r="BO624" s="152" t="s">
        <v>3797</v>
      </c>
      <c r="BP624" s="152" t="s">
        <v>3861</v>
      </c>
      <c r="BQ624" s="152" t="s">
        <v>3923</v>
      </c>
      <c r="BR624" s="152" t="s">
        <v>3924</v>
      </c>
      <c r="BS624" s="152" t="n">
        <v>204350.923</v>
      </c>
      <c r="BT624" s="152" t="n">
        <v>8237330.633</v>
      </c>
      <c r="BU624" s="152" t="n">
        <v>204291.44</v>
      </c>
      <c r="BV624" s="152" t="n">
        <v>8237201.544</v>
      </c>
      <c r="BW624" s="152" t="n">
        <v>-15.9262533</v>
      </c>
      <c r="BX624" s="152" t="n">
        <v>-47.7616363</v>
      </c>
      <c r="BY624" s="152" t="s">
        <v>3861</v>
      </c>
    </row>
    <row r="625" customFormat="false" ht="13.8" hidden="false" customHeight="false" outlineLevel="0" collapsed="false">
      <c r="A625" s="149" t="n">
        <f aca="false">IF(C625&lt;&gt;"",ROW(A620),"")</f>
        <v>620</v>
      </c>
      <c r="B625" s="150" t="str">
        <f aca="false">HYPERLINK("https://www.google.com/maps/dir/-15.917302,-47.760003/-15.9262760,-47.7623977/data=!4m3!4m2!3e0!5i0")</f>
        <v>https://www.google.com/maps/dir/-15.917302,-47.760003/-15.9262760,-47.7623977/data=!4m3!4m2!3e0!5i0</v>
      </c>
      <c r="C625" s="151" t="s">
        <v>117</v>
      </c>
      <c r="D625" s="152" t="s">
        <v>112</v>
      </c>
      <c r="E625" s="152" t="s">
        <v>113</v>
      </c>
      <c r="F625" s="152" t="s">
        <v>117</v>
      </c>
      <c r="G625" s="152" t="s">
        <v>782</v>
      </c>
      <c r="H625" s="152" t="n">
        <v>63</v>
      </c>
      <c r="I625" s="152" t="s">
        <v>115</v>
      </c>
      <c r="J625" s="152" t="s">
        <v>6</v>
      </c>
      <c r="K625" s="152" t="s">
        <v>3786</v>
      </c>
      <c r="L625" s="152" t="s">
        <v>120</v>
      </c>
      <c r="M625" s="153" t="n">
        <f aca="false">45.71+4</f>
        <v>49.71</v>
      </c>
      <c r="N625" s="152" t="s">
        <v>1548</v>
      </c>
      <c r="O625" s="152" t="s">
        <v>1549</v>
      </c>
      <c r="P625" s="152" t="s">
        <v>1550</v>
      </c>
      <c r="Q625" s="152" t="s">
        <v>1551</v>
      </c>
      <c r="R625" s="154" t="s">
        <v>3925</v>
      </c>
      <c r="S625" s="154" t="s">
        <v>1553</v>
      </c>
      <c r="T625" s="155" t="s">
        <v>3795</v>
      </c>
      <c r="U625" s="152" t="str">
        <f aca="false">RIGHT(T625,7)</f>
        <v>013/037</v>
      </c>
      <c r="V625" s="152" t="s">
        <v>1555</v>
      </c>
      <c r="W625" s="156" t="n">
        <v>45882</v>
      </c>
      <c r="X625" s="152" t="s">
        <v>1594</v>
      </c>
      <c r="Y625" s="152" t="s">
        <v>2276</v>
      </c>
      <c r="Z625" s="152" t="s">
        <v>1557</v>
      </c>
      <c r="AA625" s="153" t="n">
        <v>1.5</v>
      </c>
      <c r="AB625" s="151" t="s">
        <v>3926</v>
      </c>
      <c r="AC625" s="151" t="s">
        <v>186</v>
      </c>
      <c r="AD625" s="151" t="str">
        <f aca="false">CONCATENATE($C625,$I625,$H625,$N625,$J625,$K625)</f>
        <v>TUBO PEADPEAD63VCAREDESZona06</v>
      </c>
      <c r="AE625" s="153" t="n">
        <f aca="false">IFERROR(INDEX(APOIO_REDES!$A:$W,MATCH($C625&amp;$I625&amp;$H625&amp;$N625&amp;$O625,APOIO_REDES!$W:$W,0),MATCH(AE$5,APOIO_REDES!$5:$5,0)),0)</f>
        <v>1.2</v>
      </c>
      <c r="AF625" s="153" t="n">
        <f aca="false">IFERROR(INDEX(APOIO_REDES!$A:$W,MATCH($C625&amp;$I625&amp;$H625&amp;$N625&amp;$O625,APOIO_REDES!$W:$W,0),MATCH(AF$5,APOIO_REDES!$5:$5,0)),0)</f>
        <v>1.363</v>
      </c>
      <c r="AG625" s="153" t="n">
        <f aca="false">IFERROR(INDEX(APOIO_REDES!$A:$W,MATCH($C625&amp;$I625&amp;$H625&amp;$N625&amp;$O625,APOIO_REDES!$W:$W,0),MATCH(AG$5,APOIO_REDES!$5:$5,0)),0)</f>
        <v>0.65</v>
      </c>
      <c r="AH625" s="153" t="n">
        <f aca="false">IFERROR(INDEX(APOIO_REDES!$A:$W,MATCH($C625&amp;$I625&amp;$H625&amp;$N625&amp;$O625,APOIO_REDES!$W:$W,0),MATCH(AH$5,APOIO_REDES!$5:$5,0)),0)</f>
        <v>0.1</v>
      </c>
      <c r="AI625" s="153" t="n">
        <f aca="false">IFERROR(IF($H625&lt;&gt;"",(((($H625/1000)/2)^2)*PI()*$M625),0),0)</f>
        <v>0.154958264386172</v>
      </c>
      <c r="AJ625" s="153" t="n">
        <f aca="false">IFERROR(IF(AND($H625&lt;&gt;"",$I625="FoFo",OR($N625="MND",$N625="VCA"),$Q625="LINEAR"),0,IF(AND($H625&lt;&gt;"",$I625="PEAD",$N625="VCA",$Q625="LINEAR"),($H625/1000)+0.3,IF(AND($H625&lt;&gt;"",$I625="PEAD",$N625="MND",$Q625="EMBOQUE"),0,IF(AND($H625&lt;&gt;"",$I625="PVC",$N625="VCA",$Q625="LINEAR"),($H625/1000)+0.2,IF(AND($H625&lt;&gt;"",$I625="PVC",$N625="MND",$Q625="EMBOQUE"),0,IF(AND($H625&lt;&gt;"",$I625="PEAD",$N625="VCA",$Q625="PREDIAL"),0,0)))))),0)</f>
        <v>0.363</v>
      </c>
      <c r="AK625" s="153" t="n">
        <f aca="false">IF(AA625&lt;&gt;"",AA625,0)</f>
        <v>1.5</v>
      </c>
      <c r="AL625" s="153" t="n">
        <f aca="false">IF(AND($N625="MND",$Q625="EMBOQUE"),$M625,IF(AND($N625="VCA",$Q625="LINEAR"),$M625,IF(AND($N625="VCA",$Q625="PREDIAL"),0,0)))</f>
        <v>49.71</v>
      </c>
      <c r="AM625" s="153" t="n">
        <f aca="false">IF(AND($N625="MND",$Q625="EMBOQUE"),$M625,IF(AND($N625="VCA",$Q625="LINEAR"),$M625,IF(AND($N625="VCA",$Q625="PREDIAL"),0,0)))</f>
        <v>49.71</v>
      </c>
      <c r="AN625" s="153" t="n">
        <f aca="false">ROUND(IF(AND($N625="VCA",$M625&lt;&gt;"",$Q625="LINEAR"),$M625/100,IF(AND($N625="MND",$M625&gt;100,$Q625="EMBOQUE"),$M625/100,0)),0)</f>
        <v>0</v>
      </c>
      <c r="AO625" s="153" t="n">
        <f aca="false">IF(AND($N625="MND",$Q625="EMBOQUE"),$AN625*2*2,IF(AND($N625="VCA",$Q625="LINEAR"),$M625*2,IF(AND($N625="VCA",$Q625="PREDIAL"),0,0)))</f>
        <v>99.42</v>
      </c>
      <c r="AP625" s="153" t="n">
        <f aca="false">IFERROR($M625*$AF625*$AG625,0)</f>
        <v>44.0405745</v>
      </c>
      <c r="AQ625" s="153" t="n">
        <f aca="false">IFERROR(IF(AND($N625="VCA",$AH625&gt;0),$M625*$AG625*$AH625,0),0)</f>
        <v>3.23115</v>
      </c>
      <c r="AR625" s="153" t="n">
        <f aca="false">IFERROR(IF(AND($N625="VCA",$AJ625&gt;0),($M625*$AG625*$AJ625)-$AI625,0),0)</f>
        <v>11.5741162356138</v>
      </c>
      <c r="AS625" s="153" t="n">
        <f aca="false">IFERROR(IF(AND($N625="VCA",$AP625&gt;0),$AP625-$AI625-$AQ625-$AR625,0),0)</f>
        <v>29.08035</v>
      </c>
      <c r="AT625" s="153" t="n">
        <f aca="false">IFERROR(IF($N625="VCA",INDEX(APOIO_REDES!$A:$W,MATCH($C625&amp;$I625&amp;$H625&amp;$N625&amp;$O625,APOIO_REDES!$W:$W,0),MATCH(AT$5,APOIO_REDES!$5:$5,0)),0)*$AP625,0)</f>
        <v>0.479174485904664</v>
      </c>
      <c r="AU625" s="153" t="n">
        <f aca="false">IFERROR(IF($N625="VCA",INDEX(APOIO_REDES!$A:$W,MATCH($C625&amp;$I625&amp;$H625&amp;$N625&amp;$O625,APOIO_REDES!$W:$W,0),MATCH(AU$5,APOIO_REDES!$5:$5,0)),0)*$AP625,0)</f>
        <v>0.382655766752549</v>
      </c>
      <c r="AV625" s="153" t="n">
        <f aca="false">IFERROR(IF($N625="VCA",INDEX(APOIO_REDES!$A:$W,MATCH($C625&amp;$I625&amp;$H625&amp;$N625&amp;$O625,APOIO_REDES!$W:$W,0),MATCH(AV$5,APOIO_REDES!$5:$5,0)),0)*$AP625,0)</f>
        <v>0.0529565541530041</v>
      </c>
      <c r="AW625" s="153" t="n">
        <f aca="false">IFERROR(IF($N625="VCA",INDEX(APOIO_REDES!$A:$W,MATCH($C625&amp;$I625&amp;$H625&amp;$N625&amp;$O625,APOIO_REDES!$W:$W,0),MATCH(AW$5,APOIO_REDES!$5:$5,0)),0)*$AP625,0)</f>
        <v>30.2297915798231</v>
      </c>
      <c r="AX625" s="153" t="n">
        <f aca="false">IFERROR(IF($N625="VCA",INDEX(APOIO_REDES!$A:$W,MATCH($C625&amp;$I625&amp;$H625&amp;$N625&amp;$O625,APOIO_REDES!$W:$W,0),MATCH(AX$5,APOIO_REDES!$5:$5,0)),0)*$AP625,0)</f>
        <v>4.18371704345621</v>
      </c>
      <c r="AY625" s="153" t="n">
        <f aca="false">IFERROR(IF($N625="VCA",INDEX(APOIO_REDES!$A:$W,MATCH($C625&amp;$I625&amp;$H625&amp;$N625&amp;$O625,APOIO_REDES!$W:$W,0),MATCH(AY$5,APOIO_REDES!$5:$5,0)),0)*$AP625,0)</f>
        <v>7.65311067050821</v>
      </c>
      <c r="AZ625" s="153" t="n">
        <f aca="false">IFERROR(IF($N625="VCA",INDEX(APOIO_REDES!$A:$W,MATCH($C625&amp;$I625&amp;$H625&amp;$N625&amp;$O625,APOIO_REDES!$W:$W,0),MATCH(AZ$5,APOIO_REDES!$5:$5,0)),0)*$AP625,0)</f>
        <v>1.0591683994023</v>
      </c>
      <c r="BA625" s="153" t="n">
        <f aca="false">IFERROR(IF(AND($N625="VCA",$Q625="LINEAR"),INDEX(APOIO_REDES!$A:$W,MATCH($C625&amp;$I625&amp;$H625&amp;$N625&amp;$O625,APOIO_REDES!$W:$W,0),MATCH(BA$5,APOIO_REDES!$5:$5,0)),IF(AND($N625="MND",$Q625="EMBOQUE"),INDEX(APOIO_REDES!$A:$W,MATCH($C625&amp;$I625&amp;$H625&amp;$N625&amp;$O625,APOIO_REDES!$W:$W,0),MATCH(BA$5,APOIO_REDES!$5:$5,0)),0))*$M625/10,0)</f>
        <v>4.00650061049088</v>
      </c>
      <c r="BB625" s="153" t="n">
        <f aca="false">IFERROR(IF($N625="VCA",INDEX(APOIO_REDES!$A:$W,MATCH($C625&amp;$I625&amp;$H625&amp;$N625&amp;$O625,APOIO_REDES!$W:$W,0),MATCH(BB$5,APOIO_REDES!$5:$5,0)),0)*($AI625+$AQ625+$AR625),0)</f>
        <v>14.7974528294396</v>
      </c>
      <c r="BC625" s="153" t="n">
        <f aca="false">IFERROR(IF($N625="VCA",INDEX(APOIO_REDES!$A:$W,MATCH($C625&amp;$I625&amp;$H625&amp;$N625&amp;$O625,APOIO_REDES!$W:$W,0),MATCH(BC$5,APOIO_REDES!$5:$5,0)),0)*($AI625+$AQ625+$AR625),0)</f>
        <v>0.162771670560425</v>
      </c>
      <c r="BD625" s="153" t="n">
        <f aca="false">IF(AND($N625="VCA",$AF625&gt;=1.25,$AF625&lt;1.5),$M625*$AF625*2,0)</f>
        <v>135.50946</v>
      </c>
      <c r="BE625" s="153" t="n">
        <f aca="false">IF(AND($N625="VCA",$AF625&gt;=1.5,$AF625&lt;3),$M625*$AF625*2,0)</f>
        <v>0</v>
      </c>
      <c r="BF625" s="153" t="n">
        <f aca="false">IF(AND($N625="VCA",$AF625&gt;=3),$M625*$AF625*2,0)</f>
        <v>0</v>
      </c>
      <c r="BG625" s="153" t="n">
        <f aca="false">($BB625+$BC625)*$AK625</f>
        <v>22.44033675</v>
      </c>
      <c r="BH625" s="153" t="n">
        <f aca="false">IF(AND($M625&lt;&gt;"",$N625="VCA",$Q625="LINEAR"),($M625*2)/100,IF(AND($M625&lt;&gt;"",$N625="MND",$Q625="EMBOQUE"),($AN625*2)/100,0))</f>
        <v>0.9942</v>
      </c>
      <c r="BI625" s="153" t="n">
        <f aca="false">IF(AND($M625&lt;&gt;"",$N625="VCA",$Q625="LINEAR"),$M625,IF(AND($M625&lt;&gt;"",$N625="MND",$Q625="EMBOQUE"),$AN625*2,0))</f>
        <v>49.71</v>
      </c>
      <c r="BJ625" s="153" t="n">
        <f aca="false">IF(AND($M625&lt;&gt;"",$N625="VCA",$Q625="LINEAR"),($M625*6.8)/100,IF(AND($M625&lt;&gt;"",$N625="MND",$Q625="EMBOQUE"),($AN625*2*6.8)/100,0))</f>
        <v>3.38028</v>
      </c>
      <c r="BK625" s="153" t="n">
        <f aca="false">IF(AND($M625&lt;&gt;"",$N625="VCA",$Q625="LINEAR"),($M625*2.5)/50,IF(AND($M625&lt;&gt;"",$N625="MND",$Q625="EMBOQUE"),($AN625*2*2.5)/50,0))</f>
        <v>2.4855</v>
      </c>
      <c r="BL625" s="157" t="str">
        <f aca="false">K625&amp;J625</f>
        <v>Zona06REDES</v>
      </c>
      <c r="BM625" s="152" t="s">
        <v>3790</v>
      </c>
      <c r="BN625" s="152" t="s">
        <v>1560</v>
      </c>
      <c r="BO625" s="152" t="s">
        <v>3797</v>
      </c>
      <c r="BP625" s="152" t="s">
        <v>3919</v>
      </c>
      <c r="BQ625" s="152" t="s">
        <v>3927</v>
      </c>
      <c r="BR625" s="152" t="s">
        <v>3928</v>
      </c>
      <c r="BS625" s="152" t="n">
        <v>204240.598</v>
      </c>
      <c r="BT625" s="152" t="n">
        <v>8237262.039</v>
      </c>
      <c r="BU625" s="152" t="n">
        <v>204284.53</v>
      </c>
      <c r="BV625" s="152" t="n">
        <v>8237249.513</v>
      </c>
      <c r="BW625" s="152" t="n">
        <v>-15.9263297</v>
      </c>
      <c r="BX625" s="152" t="n">
        <v>-47.7621919</v>
      </c>
      <c r="BY625" s="152" t="s">
        <v>3919</v>
      </c>
    </row>
    <row r="626" customFormat="false" ht="13.8" hidden="false" customHeight="false" outlineLevel="0" collapsed="false">
      <c r="A626" s="149" t="n">
        <f aca="false">IF(C626&lt;&gt;"",ROW(A621),"")</f>
        <v>621</v>
      </c>
      <c r="B626" s="150" t="str">
        <f aca="false">HYPERLINK("https://www.google.com/maps/dir/-15.917302,-47.760003/-15.9263319,-47.7643301/data=!4m3!4m2!3e0!5i0")</f>
        <v>https://www.google.com/maps/dir/-15.917302,-47.760003/-15.9263319,-47.7643301/data=!4m3!4m2!3e0!5i0</v>
      </c>
      <c r="C626" s="151" t="s">
        <v>117</v>
      </c>
      <c r="D626" s="152" t="s">
        <v>112</v>
      </c>
      <c r="E626" s="152" t="s">
        <v>113</v>
      </c>
      <c r="F626" s="152" t="s">
        <v>117</v>
      </c>
      <c r="G626" s="152" t="s">
        <v>782</v>
      </c>
      <c r="H626" s="152" t="n">
        <v>63</v>
      </c>
      <c r="I626" s="152" t="s">
        <v>115</v>
      </c>
      <c r="J626" s="152" t="s">
        <v>6</v>
      </c>
      <c r="K626" s="152" t="s">
        <v>3786</v>
      </c>
      <c r="L626" s="152" t="s">
        <v>120</v>
      </c>
      <c r="M626" s="153" t="n">
        <f aca="false">102.48</f>
        <v>102.48</v>
      </c>
      <c r="N626" s="152" t="s">
        <v>1548</v>
      </c>
      <c r="O626" s="152" t="s">
        <v>1549</v>
      </c>
      <c r="P626" s="152" t="s">
        <v>1550</v>
      </c>
      <c r="Q626" s="152" t="s">
        <v>1551</v>
      </c>
      <c r="R626" s="154" t="s">
        <v>3929</v>
      </c>
      <c r="S626" s="154" t="s">
        <v>1553</v>
      </c>
      <c r="T626" s="155" t="s">
        <v>3795</v>
      </c>
      <c r="U626" s="152" t="str">
        <f aca="false">RIGHT(T626,7)</f>
        <v>013/037</v>
      </c>
      <c r="V626" s="152" t="s">
        <v>1555</v>
      </c>
      <c r="W626" s="156" t="n">
        <v>45882</v>
      </c>
      <c r="X626" s="152" t="s">
        <v>1594</v>
      </c>
      <c r="Y626" s="152" t="s">
        <v>3905</v>
      </c>
      <c r="Z626" s="152" t="s">
        <v>1557</v>
      </c>
      <c r="AA626" s="153" t="n">
        <v>1.7</v>
      </c>
      <c r="AB626" s="151" t="s">
        <v>3930</v>
      </c>
      <c r="AC626" s="151" t="s">
        <v>186</v>
      </c>
      <c r="AD626" s="151" t="str">
        <f aca="false">CONCATENATE($C626,$I626,$H626,$N626,$J626,$K626)</f>
        <v>TUBO PEADPEAD63VCAREDESZona06</v>
      </c>
      <c r="AE626" s="153" t="n">
        <f aca="false">IFERROR(INDEX(APOIO_REDES!$A:$W,MATCH($C626&amp;$I626&amp;$H626&amp;$N626&amp;$O626,APOIO_REDES!$W:$W,0),MATCH(AE$5,APOIO_REDES!$5:$5,0)),0)</f>
        <v>1.2</v>
      </c>
      <c r="AF626" s="153" t="n">
        <f aca="false">IFERROR(INDEX(APOIO_REDES!$A:$W,MATCH($C626&amp;$I626&amp;$H626&amp;$N626&amp;$O626,APOIO_REDES!$W:$W,0),MATCH(AF$5,APOIO_REDES!$5:$5,0)),0)</f>
        <v>1.363</v>
      </c>
      <c r="AG626" s="153" t="n">
        <f aca="false">IFERROR(INDEX(APOIO_REDES!$A:$W,MATCH($C626&amp;$I626&amp;$H626&amp;$N626&amp;$O626,APOIO_REDES!$W:$W,0),MATCH(AG$5,APOIO_REDES!$5:$5,0)),0)</f>
        <v>0.65</v>
      </c>
      <c r="AH626" s="153" t="n">
        <f aca="false">IFERROR(INDEX(APOIO_REDES!$A:$W,MATCH($C626&amp;$I626&amp;$H626&amp;$N626&amp;$O626,APOIO_REDES!$W:$W,0),MATCH(AH$5,APOIO_REDES!$5:$5,0)),0)</f>
        <v>0.1</v>
      </c>
      <c r="AI626" s="153" t="n">
        <f aca="false">IFERROR(IF($H626&lt;&gt;"",(((($H626/1000)/2)^2)*PI()*$M626),0),0)</f>
        <v>0.319455299422548</v>
      </c>
      <c r="AJ626" s="153" t="n">
        <f aca="false">IFERROR(IF(AND($H626&lt;&gt;"",$I626="FoFo",OR($N626="MND",$N626="VCA"),$Q626="LINEAR"),0,IF(AND($H626&lt;&gt;"",$I626="PEAD",$N626="VCA",$Q626="LINEAR"),($H626/1000)+0.3,IF(AND($H626&lt;&gt;"",$I626="PEAD",$N626="MND",$Q626="EMBOQUE"),0,IF(AND($H626&lt;&gt;"",$I626="PVC",$N626="VCA",$Q626="LINEAR"),($H626/1000)+0.2,IF(AND($H626&lt;&gt;"",$I626="PVC",$N626="MND",$Q626="EMBOQUE"),0,IF(AND($H626&lt;&gt;"",$I626="PEAD",$N626="VCA",$Q626="PREDIAL"),0,0)))))),0)</f>
        <v>0.363</v>
      </c>
      <c r="AK626" s="153" t="n">
        <f aca="false">IF(AA626&lt;&gt;"",AA626,0)</f>
        <v>1.7</v>
      </c>
      <c r="AL626" s="153" t="n">
        <f aca="false">IF(AND($N626="MND",$Q626="EMBOQUE"),$M626,IF(AND($N626="VCA",$Q626="LINEAR"),$M626,IF(AND($N626="VCA",$Q626="PREDIAL"),0,0)))</f>
        <v>102.48</v>
      </c>
      <c r="AM626" s="153" t="n">
        <f aca="false">IF(AND($N626="MND",$Q626="EMBOQUE"),$M626,IF(AND($N626="VCA",$Q626="LINEAR"),$M626,IF(AND($N626="VCA",$Q626="PREDIAL"),0,0)))</f>
        <v>102.48</v>
      </c>
      <c r="AN626" s="153" t="n">
        <f aca="false">ROUND(IF(AND($N626="VCA",$M626&lt;&gt;"",$Q626="LINEAR"),$M626/100,IF(AND($N626="MND",$M626&gt;100,$Q626="EMBOQUE"),$M626/100,0)),0)</f>
        <v>1</v>
      </c>
      <c r="AO626" s="153" t="n">
        <f aca="false">IF(AND($N626="MND",$Q626="EMBOQUE"),$AN626*2*2,IF(AND($N626="VCA",$Q626="LINEAR"),$M626*2,IF(AND($N626="VCA",$Q626="PREDIAL"),0,0)))</f>
        <v>204.96</v>
      </c>
      <c r="AP626" s="153" t="n">
        <f aca="false">IFERROR($M626*$AF626*$AG626,0)</f>
        <v>90.792156</v>
      </c>
      <c r="AQ626" s="153" t="n">
        <f aca="false">IFERROR(IF(AND($N626="VCA",$AH626&gt;0),$M626*$AG626*$AH626,0),0)</f>
        <v>6.6612</v>
      </c>
      <c r="AR626" s="153" t="n">
        <f aca="false">IFERROR(IF(AND($N626="VCA",$AJ626&gt;0),($M626*$AG626*$AJ626)-$AI626,0),0)</f>
        <v>23.8607007005775</v>
      </c>
      <c r="AS626" s="153" t="n">
        <f aca="false">IFERROR(IF(AND($N626="VCA",$AP626&gt;0),$AP626-$AI626-$AQ626-$AR626,0),0)</f>
        <v>59.9508</v>
      </c>
      <c r="AT626" s="153" t="n">
        <f aca="false">IFERROR(IF($N626="VCA",INDEX(APOIO_REDES!$A:$W,MATCH($C626&amp;$I626&amp;$H626&amp;$N626&amp;$O626,APOIO_REDES!$W:$W,0),MATCH(AT$5,APOIO_REDES!$5:$5,0)),0)*$AP626,0)</f>
        <v>0.987845530386441</v>
      </c>
      <c r="AU626" s="153" t="n">
        <f aca="false">IFERROR(IF($N626="VCA",INDEX(APOIO_REDES!$A:$W,MATCH($C626&amp;$I626&amp;$H626&amp;$N626&amp;$O626,APOIO_REDES!$W:$W,0),MATCH(AU$5,APOIO_REDES!$5:$5,0)),0)*$AP626,0)</f>
        <v>0.788866686316662</v>
      </c>
      <c r="AV626" s="153" t="n">
        <f aca="false">IFERROR(IF($N626="VCA",INDEX(APOIO_REDES!$A:$W,MATCH($C626&amp;$I626&amp;$H626&amp;$N626&amp;$O626,APOIO_REDES!$W:$W,0),MATCH(AV$5,APOIO_REDES!$5:$5,0)),0)*$AP626,0)</f>
        <v>0.109172956539929</v>
      </c>
      <c r="AW626" s="153" t="n">
        <f aca="false">IFERROR(IF($N626="VCA",INDEX(APOIO_REDES!$A:$W,MATCH($C626&amp;$I626&amp;$H626&amp;$N626&amp;$O626,APOIO_REDES!$W:$W,0),MATCH(AW$5,APOIO_REDES!$5:$5,0)),0)*$AP626,0)</f>
        <v>62.3204393703534</v>
      </c>
      <c r="AX626" s="153" t="n">
        <f aca="false">IFERROR(IF($N626="VCA",INDEX(APOIO_REDES!$A:$W,MATCH($C626&amp;$I626&amp;$H626&amp;$N626&amp;$O626,APOIO_REDES!$W:$W,0),MATCH(AX$5,APOIO_REDES!$5:$5,0)),0)*$AP626,0)</f>
        <v>8.62497128572504</v>
      </c>
      <c r="AY626" s="153" t="n">
        <f aca="false">IFERROR(IF($N626="VCA",INDEX(APOIO_REDES!$A:$W,MATCH($C626&amp;$I626&amp;$H626&amp;$N626&amp;$O626,APOIO_REDES!$W:$W,0),MATCH(AY$5,APOIO_REDES!$5:$5,0)),0)*$AP626,0)</f>
        <v>15.7773241101123</v>
      </c>
      <c r="AZ626" s="153" t="n">
        <f aca="false">IFERROR(IF($N626="VCA",INDEX(APOIO_REDES!$A:$W,MATCH($C626&amp;$I626&amp;$H626&amp;$N626&amp;$O626,APOIO_REDES!$W:$W,0),MATCH(AZ$5,APOIO_REDES!$5:$5,0)),0)*$AP626,0)</f>
        <v>2.18353606056624</v>
      </c>
      <c r="BA626" s="153" t="n">
        <f aca="false">IFERROR(IF(AND($N626="VCA",$Q626="LINEAR"),INDEX(APOIO_REDES!$A:$W,MATCH($C626&amp;$I626&amp;$H626&amp;$N626&amp;$O626,APOIO_REDES!$W:$W,0),MATCH(BA$5,APOIO_REDES!$5:$5,0)),IF(AND($N626="MND",$Q626="EMBOQUE"),INDEX(APOIO_REDES!$A:$W,MATCH($C626&amp;$I626&amp;$H626&amp;$N626&amp;$O626,APOIO_REDES!$W:$W,0),MATCH(BA$5,APOIO_REDES!$5:$5,0)),0))*$M626/10,0)</f>
        <v>8.25962950237588</v>
      </c>
      <c r="BB626" s="153" t="n">
        <f aca="false">IFERROR(IF($N626="VCA",INDEX(APOIO_REDES!$A:$W,MATCH($C626&amp;$I626&amp;$H626&amp;$N626&amp;$O626,APOIO_REDES!$W:$W,0),MATCH(BB$5,APOIO_REDES!$5:$5,0)),0)*($AI626+$AQ626+$AR626),0)</f>
        <v>30.5057929181446</v>
      </c>
      <c r="BC626" s="153" t="n">
        <f aca="false">IFERROR(IF($N626="VCA",INDEX(APOIO_REDES!$A:$W,MATCH($C626&amp;$I626&amp;$H626&amp;$N626&amp;$O626,APOIO_REDES!$W:$W,0),MATCH(BC$5,APOIO_REDES!$5:$5,0)),0)*($AI626+$AQ626+$AR626),0)</f>
        <v>0.335563081855409</v>
      </c>
      <c r="BD626" s="153" t="n">
        <f aca="false">IF(AND($N626="VCA",$AF626&gt;=1.25,$AF626&lt;1.5),$M626*$AF626*2,0)</f>
        <v>279.36048</v>
      </c>
      <c r="BE626" s="153" t="n">
        <f aca="false">IF(AND($N626="VCA",$AF626&gt;=1.5,$AF626&lt;3),$M626*$AF626*2,0)</f>
        <v>0</v>
      </c>
      <c r="BF626" s="153" t="n">
        <f aca="false">IF(AND($N626="VCA",$AF626&gt;=3),$M626*$AF626*2,0)</f>
        <v>0</v>
      </c>
      <c r="BG626" s="153" t="n">
        <f aca="false">($BB626+$BC626)*$AK626</f>
        <v>52.4303052</v>
      </c>
      <c r="BH626" s="153" t="n">
        <f aca="false">IF(AND($M626&lt;&gt;"",$N626="VCA",$Q626="LINEAR"),($M626*2)/100,IF(AND($M626&lt;&gt;"",$N626="MND",$Q626="EMBOQUE"),($AN626*2)/100,0))</f>
        <v>2.0496</v>
      </c>
      <c r="BI626" s="153" t="n">
        <f aca="false">IF(AND($M626&lt;&gt;"",$N626="VCA",$Q626="LINEAR"),$M626,IF(AND($M626&lt;&gt;"",$N626="MND",$Q626="EMBOQUE"),$AN626*2,0))</f>
        <v>102.48</v>
      </c>
      <c r="BJ626" s="153" t="n">
        <f aca="false">IF(AND($M626&lt;&gt;"",$N626="VCA",$Q626="LINEAR"),($M626*6.8)/100,IF(AND($M626&lt;&gt;"",$N626="MND",$Q626="EMBOQUE"),($AN626*2*6.8)/100,0))</f>
        <v>6.96864</v>
      </c>
      <c r="BK626" s="153" t="n">
        <f aca="false">IF(AND($M626&lt;&gt;"",$N626="VCA",$Q626="LINEAR"),($M626*2.5)/50,IF(AND($M626&lt;&gt;"",$N626="MND",$Q626="EMBOQUE"),($AN626*2*2.5)/50,0))</f>
        <v>5.124</v>
      </c>
      <c r="BL626" s="157" t="str">
        <f aca="false">K626&amp;J626</f>
        <v>Zona06REDES</v>
      </c>
      <c r="BM626" s="152" t="s">
        <v>3790</v>
      </c>
      <c r="BN626" s="152" t="s">
        <v>1560</v>
      </c>
      <c r="BO626" s="152" t="s">
        <v>3797</v>
      </c>
      <c r="BP626" s="152" t="s">
        <v>3907</v>
      </c>
      <c r="BQ626" s="152" t="s">
        <v>3931</v>
      </c>
      <c r="BR626" s="152" t="s">
        <v>3932</v>
      </c>
      <c r="BS626" s="152" t="n">
        <v>204033.651</v>
      </c>
      <c r="BT626" s="152" t="n">
        <v>8237253.106</v>
      </c>
      <c r="BU626" s="152" t="n">
        <v>204129.903</v>
      </c>
      <c r="BV626" s="152" t="n">
        <v>8237217.925</v>
      </c>
      <c r="BW626" s="152" t="n">
        <v>-15.9264973</v>
      </c>
      <c r="BX626" s="152" t="n">
        <v>-47.7638835</v>
      </c>
      <c r="BY626" s="152" t="s">
        <v>3907</v>
      </c>
    </row>
    <row r="627" customFormat="false" ht="13.8" hidden="false" customHeight="false" outlineLevel="0" collapsed="false">
      <c r="A627" s="149" t="n">
        <f aca="false">IF(C627&lt;&gt;"",ROW(A622),"")</f>
        <v>622</v>
      </c>
      <c r="B627" s="150" t="str">
        <f aca="false">HYPERLINK("https://www.google.com/maps/dir/-15.917302,-47.760003/-15.9267178,-47.7645061/data=!4m3!4m2!3e0!5i0")</f>
        <v>https://www.google.com/maps/dir/-15.917302,-47.760003/-15.9267178,-47.7645061/data=!4m3!4m2!3e0!5i0</v>
      </c>
      <c r="C627" s="151" t="s">
        <v>117</v>
      </c>
      <c r="D627" s="152" t="s">
        <v>112</v>
      </c>
      <c r="E627" s="152" t="s">
        <v>113</v>
      </c>
      <c r="F627" s="152" t="s">
        <v>117</v>
      </c>
      <c r="G627" s="152" t="s">
        <v>782</v>
      </c>
      <c r="H627" s="152" t="n">
        <v>63</v>
      </c>
      <c r="I627" s="152" t="s">
        <v>115</v>
      </c>
      <c r="J627" s="152" t="s">
        <v>6</v>
      </c>
      <c r="K627" s="152" t="s">
        <v>3786</v>
      </c>
      <c r="L627" s="152" t="s">
        <v>120</v>
      </c>
      <c r="M627" s="153" t="n">
        <f aca="false">48.5</f>
        <v>48.5</v>
      </c>
      <c r="N627" s="152" t="s">
        <v>1548</v>
      </c>
      <c r="O627" s="152" t="s">
        <v>1549</v>
      </c>
      <c r="P627" s="152" t="s">
        <v>1550</v>
      </c>
      <c r="Q627" s="152" t="s">
        <v>1551</v>
      </c>
      <c r="R627" s="154" t="s">
        <v>3933</v>
      </c>
      <c r="S627" s="154" t="s">
        <v>1553</v>
      </c>
      <c r="T627" s="155" t="s">
        <v>3795</v>
      </c>
      <c r="U627" s="152" t="str">
        <f aca="false">RIGHT(T627,7)</f>
        <v>013/037</v>
      </c>
      <c r="V627" s="152" t="s">
        <v>1555</v>
      </c>
      <c r="W627" s="156" t="n">
        <v>45882</v>
      </c>
      <c r="X627" s="152" t="s">
        <v>1594</v>
      </c>
      <c r="Y627" s="152" t="s">
        <v>3905</v>
      </c>
      <c r="Z627" s="152" t="s">
        <v>1557</v>
      </c>
      <c r="AA627" s="153" t="n">
        <v>1.7</v>
      </c>
      <c r="AB627" s="151" t="s">
        <v>3934</v>
      </c>
      <c r="AC627" s="151" t="s">
        <v>186</v>
      </c>
      <c r="AD627" s="151" t="str">
        <f aca="false">CONCATENATE($C627,$I627,$H627,$N627,$J627,$K627)</f>
        <v>TUBO PEADPEAD63VCAREDESZona06</v>
      </c>
      <c r="AE627" s="153" t="n">
        <f aca="false">IFERROR(INDEX(APOIO_REDES!$A:$W,MATCH($C627&amp;$I627&amp;$H627&amp;$N627&amp;$O627,APOIO_REDES!$W:$W,0),MATCH(AE$5,APOIO_REDES!$5:$5,0)),0)</f>
        <v>1.2</v>
      </c>
      <c r="AF627" s="153" t="n">
        <f aca="false">IFERROR(INDEX(APOIO_REDES!$A:$W,MATCH($C627&amp;$I627&amp;$H627&amp;$N627&amp;$O627,APOIO_REDES!$W:$W,0),MATCH(AF$5,APOIO_REDES!$5:$5,0)),0)</f>
        <v>1.363</v>
      </c>
      <c r="AG627" s="153" t="n">
        <f aca="false">IFERROR(INDEX(APOIO_REDES!$A:$W,MATCH($C627&amp;$I627&amp;$H627&amp;$N627&amp;$O627,APOIO_REDES!$W:$W,0),MATCH(AG$5,APOIO_REDES!$5:$5,0)),0)</f>
        <v>0.65</v>
      </c>
      <c r="AH627" s="153" t="n">
        <f aca="false">IFERROR(INDEX(APOIO_REDES!$A:$W,MATCH($C627&amp;$I627&amp;$H627&amp;$N627&amp;$O627,APOIO_REDES!$W:$W,0),MATCH(AH$5,APOIO_REDES!$5:$5,0)),0)</f>
        <v>0.1</v>
      </c>
      <c r="AI627" s="153" t="n">
        <f aca="false">IFERROR(IF($H627&lt;&gt;"",(((($H627/1000)/2)^2)*PI()*$M627),0),0)</f>
        <v>0.151186397560437</v>
      </c>
      <c r="AJ627" s="153" t="n">
        <f aca="false">IFERROR(IF(AND($H627&lt;&gt;"",$I627="FoFo",OR($N627="MND",$N627="VCA"),$Q627="LINEAR"),0,IF(AND($H627&lt;&gt;"",$I627="PEAD",$N627="VCA",$Q627="LINEAR"),($H627/1000)+0.3,IF(AND($H627&lt;&gt;"",$I627="PEAD",$N627="MND",$Q627="EMBOQUE"),0,IF(AND($H627&lt;&gt;"",$I627="PVC",$N627="VCA",$Q627="LINEAR"),($H627/1000)+0.2,IF(AND($H627&lt;&gt;"",$I627="PVC",$N627="MND",$Q627="EMBOQUE"),0,IF(AND($H627&lt;&gt;"",$I627="PEAD",$N627="VCA",$Q627="PREDIAL"),0,0)))))),0)</f>
        <v>0.363</v>
      </c>
      <c r="AK627" s="153" t="n">
        <f aca="false">IF(AA627&lt;&gt;"",AA627,0)</f>
        <v>1.7</v>
      </c>
      <c r="AL627" s="153" t="n">
        <f aca="false">IF(AND($N627="MND",$Q627="EMBOQUE"),$M627,IF(AND($N627="VCA",$Q627="LINEAR"),$M627,IF(AND($N627="VCA",$Q627="PREDIAL"),0,0)))</f>
        <v>48.5</v>
      </c>
      <c r="AM627" s="153" t="n">
        <f aca="false">IF(AND($N627="MND",$Q627="EMBOQUE"),$M627,IF(AND($N627="VCA",$Q627="LINEAR"),$M627,IF(AND($N627="VCA",$Q627="PREDIAL"),0,0)))</f>
        <v>48.5</v>
      </c>
      <c r="AN627" s="153" t="n">
        <f aca="false">ROUND(IF(AND($N627="VCA",$M627&lt;&gt;"",$Q627="LINEAR"),$M627/100,IF(AND($N627="MND",$M627&gt;100,$Q627="EMBOQUE"),$M627/100,0)),0)</f>
        <v>0</v>
      </c>
      <c r="AO627" s="153" t="n">
        <f aca="false">IF(AND($N627="MND",$Q627="EMBOQUE"),$AN627*2*2,IF(AND($N627="VCA",$Q627="LINEAR"),$M627*2,IF(AND($N627="VCA",$Q627="PREDIAL"),0,0)))</f>
        <v>97</v>
      </c>
      <c r="AP627" s="153" t="n">
        <f aca="false">IFERROR($M627*$AF627*$AG627,0)</f>
        <v>42.968575</v>
      </c>
      <c r="AQ627" s="153" t="n">
        <f aca="false">IFERROR(IF(AND($N627="VCA",$AH627&gt;0),$M627*$AG627*$AH627,0),0)</f>
        <v>3.1525</v>
      </c>
      <c r="AR627" s="153" t="n">
        <f aca="false">IFERROR(IF(AND($N627="VCA",$AJ627&gt;0),($M627*$AG627*$AJ627)-$AI627,0),0)</f>
        <v>11.2923886024396</v>
      </c>
      <c r="AS627" s="153" t="n">
        <f aca="false">IFERROR(IF(AND($N627="VCA",$AP627&gt;0),$AP627-$AI627-$AQ627-$AR627,0),0)</f>
        <v>28.3725</v>
      </c>
      <c r="AT627" s="153" t="n">
        <f aca="false">IFERROR(IF($N627="VCA",INDEX(APOIO_REDES!$A:$W,MATCH($C627&amp;$I627&amp;$H627&amp;$N627&amp;$O627,APOIO_REDES!$W:$W,0),MATCH(AT$5,APOIO_REDES!$5:$5,0)),0)*$AP627,0)</f>
        <v>0.467510814049009</v>
      </c>
      <c r="AU627" s="153" t="n">
        <f aca="false">IFERROR(IF($N627="VCA",INDEX(APOIO_REDES!$A:$W,MATCH($C627&amp;$I627&amp;$H627&amp;$N627&amp;$O627,APOIO_REDES!$W:$W,0),MATCH(AU$5,APOIO_REDES!$5:$5,0)),0)*$AP627,0)</f>
        <v>0.373341474300918</v>
      </c>
      <c r="AV627" s="153" t="n">
        <f aca="false">IFERROR(IF($N627="VCA",INDEX(APOIO_REDES!$A:$W,MATCH($C627&amp;$I627&amp;$H627&amp;$N627&amp;$O627,APOIO_REDES!$W:$W,0),MATCH(AV$5,APOIO_REDES!$5:$5,0)),0)*$AP627,0)</f>
        <v>0.051667529197761</v>
      </c>
      <c r="AW627" s="153" t="n">
        <f aca="false">IFERROR(IF($N627="VCA",INDEX(APOIO_REDES!$A:$W,MATCH($C627&amp;$I627&amp;$H627&amp;$N627&amp;$O627,APOIO_REDES!$W:$W,0),MATCH(AW$5,APOIO_REDES!$5:$5,0)),0)*$AP627,0)</f>
        <v>29.4939628167656</v>
      </c>
      <c r="AX627" s="153" t="n">
        <f aca="false">IFERROR(IF($N627="VCA",INDEX(APOIO_REDES!$A:$W,MATCH($C627&amp;$I627&amp;$H627&amp;$N627&amp;$O627,APOIO_REDES!$W:$W,0),MATCH(AX$5,APOIO_REDES!$5:$5,0)),0)*$AP627,0)</f>
        <v>4.08188043869696</v>
      </c>
      <c r="AY627" s="153" t="n">
        <f aca="false">IFERROR(IF($N627="VCA",INDEX(APOIO_REDES!$A:$W,MATCH($C627&amp;$I627&amp;$H627&amp;$N627&amp;$O627,APOIO_REDES!$W:$W,0),MATCH(AY$5,APOIO_REDES!$5:$5,0)),0)*$AP627,0)</f>
        <v>7.46682493501606</v>
      </c>
      <c r="AZ627" s="153" t="n">
        <f aca="false">IFERROR(IF($N627="VCA",INDEX(APOIO_REDES!$A:$W,MATCH($C627&amp;$I627&amp;$H627&amp;$N627&amp;$O627,APOIO_REDES!$W:$W,0),MATCH(AZ$5,APOIO_REDES!$5:$5,0)),0)*$AP627,0)</f>
        <v>1.03338699197368</v>
      </c>
      <c r="BA627" s="153" t="n">
        <f aca="false">IFERROR(IF(AND($N627="VCA",$Q627="LINEAR"),INDEX(APOIO_REDES!$A:$W,MATCH($C627&amp;$I627&amp;$H627&amp;$N627&amp;$O627,APOIO_REDES!$W:$W,0),MATCH(BA$5,APOIO_REDES!$5:$5,0)),IF(AND($N627="MND",$Q627="EMBOQUE"),INDEX(APOIO_REDES!$A:$W,MATCH($C627&amp;$I627&amp;$H627&amp;$N627&amp;$O627,APOIO_REDES!$W:$W,0),MATCH(BA$5,APOIO_REDES!$5:$5,0)),0))*$M627/10,0)</f>
        <v>3.90897766261934</v>
      </c>
      <c r="BB627" s="153" t="n">
        <f aca="false">IFERROR(IF($N627="VCA",INDEX(APOIO_REDES!$A:$W,MATCH($C627&amp;$I627&amp;$H627&amp;$N627&amp;$O627,APOIO_REDES!$W:$W,0),MATCH(BB$5,APOIO_REDES!$5:$5,0)),0)*($AI627+$AQ627+$AR627),0)</f>
        <v>14.4372653837823</v>
      </c>
      <c r="BC627" s="153" t="n">
        <f aca="false">IFERROR(IF($N627="VCA",INDEX(APOIO_REDES!$A:$W,MATCH($C627&amp;$I627&amp;$H627&amp;$N627&amp;$O627,APOIO_REDES!$W:$W,0),MATCH(BC$5,APOIO_REDES!$5:$5,0)),0)*($AI627+$AQ627+$AR627),0)</f>
        <v>0.158809616217675</v>
      </c>
      <c r="BD627" s="153" t="n">
        <f aca="false">IF(AND($N627="VCA",$AF627&gt;=1.25,$AF627&lt;1.5),$M627*$AF627*2,0)</f>
        <v>132.211</v>
      </c>
      <c r="BE627" s="153" t="n">
        <f aca="false">IF(AND($N627="VCA",$AF627&gt;=1.5,$AF627&lt;3),$M627*$AF627*2,0)</f>
        <v>0</v>
      </c>
      <c r="BF627" s="153" t="n">
        <f aca="false">IF(AND($N627="VCA",$AF627&gt;=3),$M627*$AF627*2,0)</f>
        <v>0</v>
      </c>
      <c r="BG627" s="153" t="n">
        <f aca="false">($BB627+$BC627)*$AK627</f>
        <v>24.8133275</v>
      </c>
      <c r="BH627" s="153" t="n">
        <f aca="false">IF(AND($M627&lt;&gt;"",$N627="VCA",$Q627="LINEAR"),($M627*2)/100,IF(AND($M627&lt;&gt;"",$N627="MND",$Q627="EMBOQUE"),($AN627*2)/100,0))</f>
        <v>0.97</v>
      </c>
      <c r="BI627" s="153" t="n">
        <f aca="false">IF(AND($M627&lt;&gt;"",$N627="VCA",$Q627="LINEAR"),$M627,IF(AND($M627&lt;&gt;"",$N627="MND",$Q627="EMBOQUE"),$AN627*2,0))</f>
        <v>48.5</v>
      </c>
      <c r="BJ627" s="153" t="n">
        <f aca="false">IF(AND($M627&lt;&gt;"",$N627="VCA",$Q627="LINEAR"),($M627*6.8)/100,IF(AND($M627&lt;&gt;"",$N627="MND",$Q627="EMBOQUE"),($AN627*2*6.8)/100,0))</f>
        <v>3.298</v>
      </c>
      <c r="BK627" s="153" t="n">
        <f aca="false">IF(AND($M627&lt;&gt;"",$N627="VCA",$Q627="LINEAR"),($M627*2.5)/50,IF(AND($M627&lt;&gt;"",$N627="MND",$Q627="EMBOQUE"),($AN627*2*2.5)/50,0))</f>
        <v>2.425</v>
      </c>
      <c r="BL627" s="157" t="str">
        <f aca="false">K627&amp;J627</f>
        <v>Zona06REDES</v>
      </c>
      <c r="BM627" s="152" t="s">
        <v>3790</v>
      </c>
      <c r="BN627" s="152" t="s">
        <v>1560</v>
      </c>
      <c r="BO627" s="152" t="s">
        <v>3797</v>
      </c>
      <c r="BP627" s="152" t="s">
        <v>3935</v>
      </c>
      <c r="BQ627" s="152" t="s">
        <v>3907</v>
      </c>
      <c r="BR627" s="152" t="s">
        <v>3936</v>
      </c>
      <c r="BS627" s="152" t="n">
        <v>204015.365</v>
      </c>
      <c r="BT627" s="152" t="n">
        <v>8237210.13</v>
      </c>
      <c r="BU627" s="152" t="n">
        <v>204033.651</v>
      </c>
      <c r="BV627" s="152" t="n">
        <v>8237253.106</v>
      </c>
      <c r="BW627" s="152" t="n">
        <v>-15.9265107</v>
      </c>
      <c r="BX627" s="152" t="n">
        <v>-47.7644326</v>
      </c>
      <c r="BY627" s="152" t="s">
        <v>3935</v>
      </c>
    </row>
    <row r="628" customFormat="false" ht="13.8" hidden="false" customHeight="false" outlineLevel="0" collapsed="false">
      <c r="A628" s="149" t="n">
        <f aca="false">IF(C628&lt;&gt;"",ROW(A623),"")</f>
        <v>623</v>
      </c>
      <c r="B628" s="150" t="str">
        <f aca="false">HYPERLINK("https://www.google.com/maps/dir/-15.917302,-47.760003/-15.9266507,-47.7611713/data=!4m3!4m2!3e0!5i2")</f>
        <v>https://www.google.com/maps/dir/-15.917302,-47.760003/-15.9266507,-47.7611713/data=!4m3!4m2!3e0!5i2</v>
      </c>
      <c r="C628" s="151" t="s">
        <v>117</v>
      </c>
      <c r="D628" s="152" t="s">
        <v>112</v>
      </c>
      <c r="E628" s="152" t="s">
        <v>113</v>
      </c>
      <c r="F628" s="152" t="s">
        <v>117</v>
      </c>
      <c r="G628" s="152" t="s">
        <v>782</v>
      </c>
      <c r="H628" s="152" t="n">
        <v>63</v>
      </c>
      <c r="I628" s="152" t="s">
        <v>115</v>
      </c>
      <c r="J628" s="152" t="s">
        <v>6</v>
      </c>
      <c r="K628" s="152" t="s">
        <v>3786</v>
      </c>
      <c r="L628" s="152" t="s">
        <v>120</v>
      </c>
      <c r="M628" s="153" t="n">
        <f aca="false">22.11+4</f>
        <v>26.11</v>
      </c>
      <c r="N628" s="152" t="s">
        <v>1548</v>
      </c>
      <c r="O628" s="152" t="s">
        <v>1549</v>
      </c>
      <c r="P628" s="152" t="s">
        <v>1550</v>
      </c>
      <c r="Q628" s="152" t="s">
        <v>1551</v>
      </c>
      <c r="R628" s="154" t="s">
        <v>3937</v>
      </c>
      <c r="S628" s="154" t="s">
        <v>1553</v>
      </c>
      <c r="T628" s="155" t="s">
        <v>3795</v>
      </c>
      <c r="U628" s="152" t="str">
        <f aca="false">RIGHT(T628,7)</f>
        <v>013/037</v>
      </c>
      <c r="V628" s="152" t="s">
        <v>1555</v>
      </c>
      <c r="W628" s="156" t="n">
        <v>45882</v>
      </c>
      <c r="X628" s="152" t="s">
        <v>3938</v>
      </c>
      <c r="Y628" s="152"/>
      <c r="Z628" s="152" t="s">
        <v>1557</v>
      </c>
      <c r="AA628" s="153" t="n">
        <v>1.7</v>
      </c>
      <c r="AB628" s="151" t="s">
        <v>3939</v>
      </c>
      <c r="AC628" s="151" t="s">
        <v>186</v>
      </c>
      <c r="AD628" s="151" t="str">
        <f aca="false">CONCATENATE($C628,$I628,$H628,$N628,$J628,$K628)</f>
        <v>TUBO PEADPEAD63VCAREDESZona06</v>
      </c>
      <c r="AE628" s="153" t="n">
        <f aca="false">IFERROR(INDEX(APOIO_REDES!$A:$W,MATCH($C628&amp;$I628&amp;$H628&amp;$N628&amp;$O628,APOIO_REDES!$W:$W,0),MATCH(AE$5,APOIO_REDES!$5:$5,0)),0)</f>
        <v>1.2</v>
      </c>
      <c r="AF628" s="153" t="n">
        <f aca="false">IFERROR(INDEX(APOIO_REDES!$A:$W,MATCH($C628&amp;$I628&amp;$H628&amp;$N628&amp;$O628,APOIO_REDES!$W:$W,0),MATCH(AF$5,APOIO_REDES!$5:$5,0)),0)</f>
        <v>1.363</v>
      </c>
      <c r="AG628" s="153" t="n">
        <f aca="false">IFERROR(INDEX(APOIO_REDES!$A:$W,MATCH($C628&amp;$I628&amp;$H628&amp;$N628&amp;$O628,APOIO_REDES!$W:$W,0),MATCH(AG$5,APOIO_REDES!$5:$5,0)),0)</f>
        <v>0.65</v>
      </c>
      <c r="AH628" s="153" t="n">
        <f aca="false">IFERROR(INDEX(APOIO_REDES!$A:$W,MATCH($C628&amp;$I628&amp;$H628&amp;$N628&amp;$O628,APOIO_REDES!$W:$W,0),MATCH(AH$5,APOIO_REDES!$5:$5,0)),0)</f>
        <v>0.1</v>
      </c>
      <c r="AI628" s="153" t="n">
        <f aca="false">IFERROR(IF($H628&lt;&gt;"",(((($H628/1000)/2)^2)*PI()*$M628),0),0)</f>
        <v>0.081391275057794</v>
      </c>
      <c r="AJ628" s="153" t="n">
        <f aca="false">IFERROR(IF(AND($H628&lt;&gt;"",$I628="FoFo",OR($N628="MND",$N628="VCA"),$Q628="LINEAR"),0,IF(AND($H628&lt;&gt;"",$I628="PEAD",$N628="VCA",$Q628="LINEAR"),($H628/1000)+0.3,IF(AND($H628&lt;&gt;"",$I628="PEAD",$N628="MND",$Q628="EMBOQUE"),0,IF(AND($H628&lt;&gt;"",$I628="PVC",$N628="VCA",$Q628="LINEAR"),($H628/1000)+0.2,IF(AND($H628&lt;&gt;"",$I628="PVC",$N628="MND",$Q628="EMBOQUE"),0,IF(AND($H628&lt;&gt;"",$I628="PEAD",$N628="VCA",$Q628="PREDIAL"),0,0)))))),0)</f>
        <v>0.363</v>
      </c>
      <c r="AK628" s="153" t="n">
        <f aca="false">IF(AA628&lt;&gt;"",AA628,0)</f>
        <v>1.7</v>
      </c>
      <c r="AL628" s="153" t="n">
        <f aca="false">IF(AND($N628="MND",$Q628="EMBOQUE"),$M628,IF(AND($N628="VCA",$Q628="LINEAR"),$M628,IF(AND($N628="VCA",$Q628="PREDIAL"),0,0)))</f>
        <v>26.11</v>
      </c>
      <c r="AM628" s="153" t="n">
        <f aca="false">IF(AND($N628="MND",$Q628="EMBOQUE"),$M628,IF(AND($N628="VCA",$Q628="LINEAR"),$M628,IF(AND($N628="VCA",$Q628="PREDIAL"),0,0)))</f>
        <v>26.11</v>
      </c>
      <c r="AN628" s="153" t="n">
        <f aca="false">ROUND(IF(AND($N628="VCA",$M628&lt;&gt;"",$Q628="LINEAR"),$M628/100,IF(AND($N628="MND",$M628&gt;100,$Q628="EMBOQUE"),$M628/100,0)),0)</f>
        <v>0</v>
      </c>
      <c r="AO628" s="153" t="n">
        <f aca="false">IF(AND($N628="MND",$Q628="EMBOQUE"),$AN628*2*2,IF(AND($N628="VCA",$Q628="LINEAR"),$M628*2,IF(AND($N628="VCA",$Q628="PREDIAL"),0,0)))</f>
        <v>52.22</v>
      </c>
      <c r="AP628" s="153" t="n">
        <f aca="false">IFERROR($M628*$AF628*$AG628,0)</f>
        <v>23.1321545</v>
      </c>
      <c r="AQ628" s="153" t="n">
        <f aca="false">IFERROR(IF(AND($N628="VCA",$AH628&gt;0),$M628*$AG628*$AH628,0),0)</f>
        <v>1.69715</v>
      </c>
      <c r="AR628" s="153" t="n">
        <f aca="false">IFERROR(IF(AND($N628="VCA",$AJ628&gt;0),($M628*$AG628*$AJ628)-$AI628,0),0)</f>
        <v>6.07926322494221</v>
      </c>
      <c r="AS628" s="153" t="n">
        <f aca="false">IFERROR(IF(AND($N628="VCA",$AP628&gt;0),$AP628-$AI628-$AQ628-$AR628,0),0)</f>
        <v>15.27435</v>
      </c>
      <c r="AT628" s="153" t="n">
        <f aca="false">IFERROR(IF($N628="VCA",INDEX(APOIO_REDES!$A:$W,MATCH($C628&amp;$I628&amp;$H628&amp;$N628&amp;$O628,APOIO_REDES!$W:$W,0),MATCH(AT$5,APOIO_REDES!$5:$5,0)),0)*$AP628,0)</f>
        <v>0.25168468772824</v>
      </c>
      <c r="AU628" s="153" t="n">
        <f aca="false">IFERROR(IF($N628="VCA",INDEX(APOIO_REDES!$A:$W,MATCH($C628&amp;$I628&amp;$H628&amp;$N628&amp;$O628,APOIO_REDES!$W:$W,0),MATCH(AU$5,APOIO_REDES!$5:$5,0)),0)*$AP628,0)</f>
        <v>0.200988575133958</v>
      </c>
      <c r="AV628" s="153" t="n">
        <f aca="false">IFERROR(IF($N628="VCA",INDEX(APOIO_REDES!$A:$W,MATCH($C628&amp;$I628&amp;$H628&amp;$N628&amp;$O628,APOIO_REDES!$W:$W,0),MATCH(AV$5,APOIO_REDES!$5:$5,0)),0)*$AP628,0)</f>
        <v>0.0278152409763617</v>
      </c>
      <c r="AW628" s="153" t="n">
        <f aca="false">IFERROR(IF($N628="VCA",INDEX(APOIO_REDES!$A:$W,MATCH($C628&amp;$I628&amp;$H628&amp;$N628&amp;$O628,APOIO_REDES!$W:$W,0),MATCH(AW$5,APOIO_REDES!$5:$5,0)),0)*$AP628,0)</f>
        <v>15.8780900854794</v>
      </c>
      <c r="AX628" s="153" t="n">
        <f aca="false">IFERROR(IF($N628="VCA",INDEX(APOIO_REDES!$A:$W,MATCH($C628&amp;$I628&amp;$H628&amp;$N628&amp;$O628,APOIO_REDES!$W:$W,0),MATCH(AX$5,APOIO_REDES!$5:$5,0)),0)*$AP628,0)</f>
        <v>2.19748243823459</v>
      </c>
      <c r="AY628" s="153" t="n">
        <f aca="false">IFERROR(IF($N628="VCA",INDEX(APOIO_REDES!$A:$W,MATCH($C628&amp;$I628&amp;$H628&amp;$N628&amp;$O628,APOIO_REDES!$W:$W,0),MATCH(AY$5,APOIO_REDES!$5:$5,0)),0)*$AP628,0)</f>
        <v>4.01976905264473</v>
      </c>
      <c r="AZ628" s="153" t="n">
        <f aca="false">IFERROR(IF($N628="VCA",INDEX(APOIO_REDES!$A:$W,MATCH($C628&amp;$I628&amp;$H628&amp;$N628&amp;$O628,APOIO_REDES!$W:$W,0),MATCH(AZ$5,APOIO_REDES!$5:$5,0)),0)*$AP628,0)</f>
        <v>0.556324419802738</v>
      </c>
      <c r="BA628" s="153" t="n">
        <f aca="false">IFERROR(IF(AND($N628="VCA",$Q628="LINEAR"),INDEX(APOIO_REDES!$A:$W,MATCH($C628&amp;$I628&amp;$H628&amp;$N628&amp;$O628,APOIO_REDES!$W:$W,0),MATCH(BA$5,APOIO_REDES!$5:$5,0)),IF(AND($N628="MND",$Q628="EMBOQUE"),INDEX(APOIO_REDES!$A:$W,MATCH($C628&amp;$I628&amp;$H628&amp;$N628&amp;$O628,APOIO_REDES!$W:$W,0),MATCH(BA$5,APOIO_REDES!$5:$5,0)),0))*$M628/10,0)</f>
        <v>2.10440013960806</v>
      </c>
      <c r="BB628" s="153" t="n">
        <f aca="false">IFERROR(IF($N628="VCA",INDEX(APOIO_REDES!$A:$W,MATCH($C628&amp;$I628&amp;$H628&amp;$N628&amp;$O628,APOIO_REDES!$W:$W,0),MATCH(BB$5,APOIO_REDES!$5:$5,0)),0)*($AI628+$AQ628+$AR628),0)</f>
        <v>7.77230926124859</v>
      </c>
      <c r="BC628" s="153" t="n">
        <f aca="false">IFERROR(IF($N628="VCA",INDEX(APOIO_REDES!$A:$W,MATCH($C628&amp;$I628&amp;$H628&amp;$N628&amp;$O628,APOIO_REDES!$W:$W,0),MATCH(BC$5,APOIO_REDES!$5:$5,0)),0)*($AI628+$AQ628+$AR628),0)</f>
        <v>0.0854952387514122</v>
      </c>
      <c r="BD628" s="153" t="n">
        <f aca="false">IF(AND($N628="VCA",$AF628&gt;=1.25,$AF628&lt;1.5),$M628*$AF628*2,0)</f>
        <v>71.17586</v>
      </c>
      <c r="BE628" s="153" t="n">
        <f aca="false">IF(AND($N628="VCA",$AF628&gt;=1.5,$AF628&lt;3),$M628*$AF628*2,0)</f>
        <v>0</v>
      </c>
      <c r="BF628" s="153" t="n">
        <f aca="false">IF(AND($N628="VCA",$AF628&gt;=3),$M628*$AF628*2,0)</f>
        <v>0</v>
      </c>
      <c r="BG628" s="153" t="n">
        <f aca="false">($BB628+$BC628)*$AK628</f>
        <v>13.35826765</v>
      </c>
      <c r="BH628" s="153" t="n">
        <f aca="false">IF(AND($M628&lt;&gt;"",$N628="VCA",$Q628="LINEAR"),($M628*2)/100,IF(AND($M628&lt;&gt;"",$N628="MND",$Q628="EMBOQUE"),($AN628*2)/100,0))</f>
        <v>0.5222</v>
      </c>
      <c r="BI628" s="153" t="n">
        <f aca="false">IF(AND($M628&lt;&gt;"",$N628="VCA",$Q628="LINEAR"),$M628,IF(AND($M628&lt;&gt;"",$N628="MND",$Q628="EMBOQUE"),$AN628*2,0))</f>
        <v>26.11</v>
      </c>
      <c r="BJ628" s="153" t="n">
        <f aca="false">IF(AND($M628&lt;&gt;"",$N628="VCA",$Q628="LINEAR"),($M628*6.8)/100,IF(AND($M628&lt;&gt;"",$N628="MND",$Q628="EMBOQUE"),($AN628*2*6.8)/100,0))</f>
        <v>1.77548</v>
      </c>
      <c r="BK628" s="153" t="n">
        <f aca="false">IF(AND($M628&lt;&gt;"",$N628="VCA",$Q628="LINEAR"),($M628*2.5)/50,IF(AND($M628&lt;&gt;"",$N628="MND",$Q628="EMBOQUE"),($AN628*2*2.5)/50,0))</f>
        <v>1.3055</v>
      </c>
      <c r="BL628" s="157" t="str">
        <f aca="false">K628&amp;J628</f>
        <v>Zona06REDES</v>
      </c>
      <c r="BM628" s="152" t="s">
        <v>3790</v>
      </c>
      <c r="BN628" s="152" t="s">
        <v>1560</v>
      </c>
      <c r="BO628" s="152" t="s">
        <v>3797</v>
      </c>
      <c r="BP628" s="152" t="s">
        <v>3940</v>
      </c>
      <c r="BQ628" s="152" t="s">
        <v>3898</v>
      </c>
      <c r="BR628" s="152" t="s">
        <v>3941</v>
      </c>
      <c r="BS628" s="152" t="n">
        <v>204372.546</v>
      </c>
      <c r="BT628" s="152" t="n">
        <v>8237222.29</v>
      </c>
      <c r="BU628" s="152" t="n">
        <v>204355.155</v>
      </c>
      <c r="BV628" s="152" t="n">
        <v>8237231.822</v>
      </c>
      <c r="BW628" s="152" t="n">
        <v>-15.9266016</v>
      </c>
      <c r="BX628" s="152" t="n">
        <v>-47.7612611</v>
      </c>
      <c r="BY628" s="152" t="s">
        <v>3940</v>
      </c>
    </row>
    <row r="629" customFormat="false" ht="13.8" hidden="false" customHeight="false" outlineLevel="0" collapsed="false">
      <c r="A629" s="149" t="n">
        <f aca="false">IF(C629&lt;&gt;"",ROW(A624),"")</f>
        <v>624</v>
      </c>
      <c r="B629" s="150" t="str">
        <f aca="false">HYPERLINK("https://www.google.com/maps/dir/-15.917302,-47.760003/-15.9268027,-47.7621795/data=!4m3!4m2!3e0!5i0")</f>
        <v>https://www.google.com/maps/dir/-15.917302,-47.760003/-15.9268027,-47.7621795/data=!4m3!4m2!3e0!5i0</v>
      </c>
      <c r="C629" s="151" t="s">
        <v>117</v>
      </c>
      <c r="D629" s="152" t="s">
        <v>112</v>
      </c>
      <c r="E629" s="152" t="s">
        <v>113</v>
      </c>
      <c r="F629" s="152" t="s">
        <v>117</v>
      </c>
      <c r="G629" s="152" t="s">
        <v>782</v>
      </c>
      <c r="H629" s="152" t="n">
        <v>63</v>
      </c>
      <c r="I629" s="152" t="s">
        <v>115</v>
      </c>
      <c r="J629" s="152" t="s">
        <v>6</v>
      </c>
      <c r="K629" s="152" t="s">
        <v>3786</v>
      </c>
      <c r="L629" s="152" t="s">
        <v>120</v>
      </c>
      <c r="M629" s="153" t="n">
        <f aca="false">79.12+4</f>
        <v>83.12</v>
      </c>
      <c r="N629" s="152" t="s">
        <v>1548</v>
      </c>
      <c r="O629" s="152" t="s">
        <v>1549</v>
      </c>
      <c r="P629" s="152" t="s">
        <v>1550</v>
      </c>
      <c r="Q629" s="152" t="s">
        <v>1551</v>
      </c>
      <c r="R629" s="154" t="s">
        <v>3942</v>
      </c>
      <c r="S629" s="154" t="s">
        <v>1553</v>
      </c>
      <c r="T629" s="155" t="s">
        <v>3795</v>
      </c>
      <c r="U629" s="152" t="str">
        <f aca="false">RIGHT(T629,7)</f>
        <v>013/037</v>
      </c>
      <c r="V629" s="152" t="s">
        <v>1555</v>
      </c>
      <c r="W629" s="156" t="n">
        <v>45882</v>
      </c>
      <c r="X629" s="152" t="s">
        <v>1594</v>
      </c>
      <c r="Y629" s="152" t="s">
        <v>2553</v>
      </c>
      <c r="Z629" s="152" t="s">
        <v>1557</v>
      </c>
      <c r="AA629" s="153" t="n">
        <v>1.6</v>
      </c>
      <c r="AB629" s="151" t="s">
        <v>3943</v>
      </c>
      <c r="AC629" s="151" t="s">
        <v>186</v>
      </c>
      <c r="AD629" s="151" t="str">
        <f aca="false">CONCATENATE($C629,$I629,$H629,$N629,$J629,$K629)</f>
        <v>TUBO PEADPEAD63VCAREDESZona06</v>
      </c>
      <c r="AE629" s="153" t="n">
        <f aca="false">IFERROR(INDEX(APOIO_REDES!$A:$W,MATCH($C629&amp;$I629&amp;$H629&amp;$N629&amp;$O629,APOIO_REDES!$W:$W,0),MATCH(AE$5,APOIO_REDES!$5:$5,0)),0)</f>
        <v>1.2</v>
      </c>
      <c r="AF629" s="153" t="n">
        <f aca="false">IFERROR(INDEX(APOIO_REDES!$A:$W,MATCH($C629&amp;$I629&amp;$H629&amp;$N629&amp;$O629,APOIO_REDES!$W:$W,0),MATCH(AF$5,APOIO_REDES!$5:$5,0)),0)</f>
        <v>1.363</v>
      </c>
      <c r="AG629" s="153" t="n">
        <f aca="false">IFERROR(INDEX(APOIO_REDES!$A:$W,MATCH($C629&amp;$I629&amp;$H629&amp;$N629&amp;$O629,APOIO_REDES!$W:$W,0),MATCH(AG$5,APOIO_REDES!$5:$5,0)),0)</f>
        <v>0.65</v>
      </c>
      <c r="AH629" s="153" t="n">
        <f aca="false">IFERROR(INDEX(APOIO_REDES!$A:$W,MATCH($C629&amp;$I629&amp;$H629&amp;$N629&amp;$O629,APOIO_REDES!$W:$W,0),MATCH(AH$5,APOIO_REDES!$5:$5,0)),0)</f>
        <v>0.1</v>
      </c>
      <c r="AI629" s="153" t="n">
        <f aca="false">IFERROR(IF($H629&lt;&gt;"",(((($H629/1000)/2)^2)*PI()*$M629),0),0)</f>
        <v>0.259105430210794</v>
      </c>
      <c r="AJ629" s="153" t="n">
        <f aca="false">IFERROR(IF(AND($H629&lt;&gt;"",$I629="FoFo",OR($N629="MND",$N629="VCA"),$Q629="LINEAR"),0,IF(AND($H629&lt;&gt;"",$I629="PEAD",$N629="VCA",$Q629="LINEAR"),($H629/1000)+0.3,IF(AND($H629&lt;&gt;"",$I629="PEAD",$N629="MND",$Q629="EMBOQUE"),0,IF(AND($H629&lt;&gt;"",$I629="PVC",$N629="VCA",$Q629="LINEAR"),($H629/1000)+0.2,IF(AND($H629&lt;&gt;"",$I629="PVC",$N629="MND",$Q629="EMBOQUE"),0,IF(AND($H629&lt;&gt;"",$I629="PEAD",$N629="VCA",$Q629="PREDIAL"),0,0)))))),0)</f>
        <v>0.363</v>
      </c>
      <c r="AK629" s="153" t="n">
        <f aca="false">IF(AA629&lt;&gt;"",AA629,0)</f>
        <v>1.6</v>
      </c>
      <c r="AL629" s="153" t="n">
        <f aca="false">IF(AND($N629="MND",$Q629="EMBOQUE"),$M629,IF(AND($N629="VCA",$Q629="LINEAR"),$M629,IF(AND($N629="VCA",$Q629="PREDIAL"),0,0)))</f>
        <v>83.12</v>
      </c>
      <c r="AM629" s="153" t="n">
        <f aca="false">IF(AND($N629="MND",$Q629="EMBOQUE"),$M629,IF(AND($N629="VCA",$Q629="LINEAR"),$M629,IF(AND($N629="VCA",$Q629="PREDIAL"),0,0)))</f>
        <v>83.12</v>
      </c>
      <c r="AN629" s="153" t="n">
        <f aca="false">ROUND(IF(AND($N629="VCA",$M629&lt;&gt;"",$Q629="LINEAR"),$M629/100,IF(AND($N629="MND",$M629&gt;100,$Q629="EMBOQUE"),$M629/100,0)),0)</f>
        <v>1</v>
      </c>
      <c r="AO629" s="153" t="n">
        <f aca="false">IF(AND($N629="MND",$Q629="EMBOQUE"),$AN629*2*2,IF(AND($N629="VCA",$Q629="LINEAR"),$M629*2,IF(AND($N629="VCA",$Q629="PREDIAL"),0,0)))</f>
        <v>166.24</v>
      </c>
      <c r="AP629" s="153" t="n">
        <f aca="false">IFERROR($M629*$AF629*$AG629,0)</f>
        <v>73.640164</v>
      </c>
      <c r="AQ629" s="153" t="n">
        <f aca="false">IFERROR(IF(AND($N629="VCA",$AH629&gt;0),$M629*$AG629*$AH629,0),0)</f>
        <v>5.4028</v>
      </c>
      <c r="AR629" s="153" t="n">
        <f aca="false">IFERROR(IF(AND($N629="VCA",$AJ629&gt;0),($M629*$AG629*$AJ629)-$AI629,0),0)</f>
        <v>19.3530585697892</v>
      </c>
      <c r="AS629" s="153" t="n">
        <f aca="false">IFERROR(IF(AND($N629="VCA",$AP629&gt;0),$AP629-$AI629-$AQ629-$AR629,0),0)</f>
        <v>48.6252</v>
      </c>
      <c r="AT629" s="153" t="n">
        <f aca="false">IFERROR(IF($N629="VCA",INDEX(APOIO_REDES!$A:$W,MATCH($C629&amp;$I629&amp;$H629&amp;$N629&amp;$O629,APOIO_REDES!$W:$W,0),MATCH(AT$5,APOIO_REDES!$5:$5,0)),0)*$AP629,0)</f>
        <v>0.801226780695951</v>
      </c>
      <c r="AU629" s="153" t="n">
        <f aca="false">IFERROR(IF($N629="VCA",INDEX(APOIO_REDES!$A:$W,MATCH($C629&amp;$I629&amp;$H629&amp;$N629&amp;$O629,APOIO_REDES!$W:$W,0),MATCH(AU$5,APOIO_REDES!$5:$5,0)),0)*$AP629,0)</f>
        <v>0.639838007090564</v>
      </c>
      <c r="AV629" s="153" t="n">
        <f aca="false">IFERROR(IF($N629="VCA",INDEX(APOIO_REDES!$A:$W,MATCH($C629&amp;$I629&amp;$H629&amp;$N629&amp;$O629,APOIO_REDES!$W:$W,0),MATCH(AV$5,APOIO_REDES!$5:$5,0)),0)*$AP629,0)</f>
        <v>0.0885485572560391</v>
      </c>
      <c r="AW629" s="153" t="n">
        <f aca="false">IFERROR(IF($N629="VCA",INDEX(APOIO_REDES!$A:$W,MATCH($C629&amp;$I629&amp;$H629&amp;$N629&amp;$O629,APOIO_REDES!$W:$W,0),MATCH(AW$5,APOIO_REDES!$5:$5,0)),0)*$AP629,0)</f>
        <v>50.5471791614342</v>
      </c>
      <c r="AX629" s="153" t="n">
        <f aca="false">IFERROR(IF($N629="VCA",INDEX(APOIO_REDES!$A:$W,MATCH($C629&amp;$I629&amp;$H629&amp;$N629&amp;$O629,APOIO_REDES!$W:$W,0),MATCH(AX$5,APOIO_REDES!$5:$5,0)),0)*$AP629,0)</f>
        <v>6.99558560957714</v>
      </c>
      <c r="AY629" s="153" t="n">
        <f aca="false">IFERROR(IF($N629="VCA",INDEX(APOIO_REDES!$A:$W,MATCH($C629&amp;$I629&amp;$H629&amp;$N629&amp;$O629,APOIO_REDES!$W:$W,0),MATCH(AY$5,APOIO_REDES!$5:$5,0)),0)*$AP629,0)</f>
        <v>12.7967523422378</v>
      </c>
      <c r="AZ629" s="153" t="n">
        <f aca="false">IFERROR(IF($N629="VCA",INDEX(APOIO_REDES!$A:$W,MATCH($C629&amp;$I629&amp;$H629&amp;$N629&amp;$O629,APOIO_REDES!$W:$W,0),MATCH(AZ$5,APOIO_REDES!$5:$5,0)),0)*$AP629,0)</f>
        <v>1.7710335417083</v>
      </c>
      <c r="BA629" s="153" t="n">
        <f aca="false">IFERROR(IF(AND($N629="VCA",$Q629="LINEAR"),INDEX(APOIO_REDES!$A:$W,MATCH($C629&amp;$I629&amp;$H629&amp;$N629&amp;$O629,APOIO_REDES!$W:$W,0),MATCH(BA$5,APOIO_REDES!$5:$5,0)),IF(AND($N629="MND",$Q629="EMBOQUE"),INDEX(APOIO_REDES!$A:$W,MATCH($C629&amp;$I629&amp;$H629&amp;$N629&amp;$O629,APOIO_REDES!$W:$W,0),MATCH(BA$5,APOIO_REDES!$5:$5,0)),0))*$M629/10,0)</f>
        <v>6.69926233643134</v>
      </c>
      <c r="BB629" s="153" t="n">
        <f aca="false">IFERROR(IF($N629="VCA",INDEX(APOIO_REDES!$A:$W,MATCH($C629&amp;$I629&amp;$H629&amp;$N629&amp;$O629,APOIO_REDES!$W:$W,0),MATCH(BB$5,APOIO_REDES!$5:$5,0)),0)*($AI629+$AQ629+$AR629),0)</f>
        <v>24.7427937876286</v>
      </c>
      <c r="BC629" s="153" t="n">
        <f aca="false">IFERROR(IF($N629="VCA",INDEX(APOIO_REDES!$A:$W,MATCH($C629&amp;$I629&amp;$H629&amp;$N629&amp;$O629,APOIO_REDES!$W:$W,0),MATCH(BC$5,APOIO_REDES!$5:$5,0)),0)*($AI629+$AQ629+$AR629),0)</f>
        <v>0.272170212371405</v>
      </c>
      <c r="BD629" s="153" t="n">
        <f aca="false">IF(AND($N629="VCA",$AF629&gt;=1.25,$AF629&lt;1.5),$M629*$AF629*2,0)</f>
        <v>226.58512</v>
      </c>
      <c r="BE629" s="153" t="n">
        <f aca="false">IF(AND($N629="VCA",$AF629&gt;=1.5,$AF629&lt;3),$M629*$AF629*2,0)</f>
        <v>0</v>
      </c>
      <c r="BF629" s="153" t="n">
        <f aca="false">IF(AND($N629="VCA",$AF629&gt;=3),$M629*$AF629*2,0)</f>
        <v>0</v>
      </c>
      <c r="BG629" s="153" t="n">
        <f aca="false">($BB629+$BC629)*$AK629</f>
        <v>40.0239424</v>
      </c>
      <c r="BH629" s="153" t="n">
        <f aca="false">IF(AND($M629&lt;&gt;"",$N629="VCA",$Q629="LINEAR"),($M629*2)/100,IF(AND($M629&lt;&gt;"",$N629="MND",$Q629="EMBOQUE"),($AN629*2)/100,0))</f>
        <v>1.6624</v>
      </c>
      <c r="BI629" s="153" t="n">
        <f aca="false">IF(AND($M629&lt;&gt;"",$N629="VCA",$Q629="LINEAR"),$M629,IF(AND($M629&lt;&gt;"",$N629="MND",$Q629="EMBOQUE"),$AN629*2,0))</f>
        <v>83.12</v>
      </c>
      <c r="BJ629" s="153" t="n">
        <f aca="false">IF(AND($M629&lt;&gt;"",$N629="VCA",$Q629="LINEAR"),($M629*6.8)/100,IF(AND($M629&lt;&gt;"",$N629="MND",$Q629="EMBOQUE"),($AN629*2*6.8)/100,0))</f>
        <v>5.65216</v>
      </c>
      <c r="BK629" s="153" t="n">
        <f aca="false">IF(AND($M629&lt;&gt;"",$N629="VCA",$Q629="LINEAR"),($M629*2.5)/50,IF(AND($M629&lt;&gt;"",$N629="MND",$Q629="EMBOQUE"),($AN629*2*2.5)/50,0))</f>
        <v>4.156</v>
      </c>
      <c r="BL629" s="157" t="str">
        <f aca="false">K629&amp;J629</f>
        <v>Zona06REDES</v>
      </c>
      <c r="BM629" s="152" t="s">
        <v>3790</v>
      </c>
      <c r="BN629" s="152" t="s">
        <v>1560</v>
      </c>
      <c r="BO629" s="152" t="s">
        <v>3797</v>
      </c>
      <c r="BP629" s="152" t="s">
        <v>3944</v>
      </c>
      <c r="BQ629" s="152" t="s">
        <v>3919</v>
      </c>
      <c r="BR629" s="152" t="s">
        <v>3945</v>
      </c>
      <c r="BS629" s="152" t="n">
        <v>204264.757</v>
      </c>
      <c r="BT629" s="152" t="n">
        <v>8237204.031</v>
      </c>
      <c r="BU629" s="152" t="n">
        <v>204240.598</v>
      </c>
      <c r="BV629" s="152" t="n">
        <v>8237262.039</v>
      </c>
      <c r="BW629" s="152" t="n">
        <v>-15.9266278</v>
      </c>
      <c r="BX629" s="152" t="n">
        <v>-47.7624619</v>
      </c>
      <c r="BY629" s="152" t="s">
        <v>3944</v>
      </c>
    </row>
    <row r="630" customFormat="false" ht="13.8" hidden="false" customHeight="false" outlineLevel="0" collapsed="false">
      <c r="A630" s="149" t="n">
        <f aca="false">IF(C630&lt;&gt;"",ROW(A625),"")</f>
        <v>625</v>
      </c>
      <c r="B630" s="150" t="str">
        <f aca="false">HYPERLINK("https://www.google.com/maps/dir/-15.917302,-47.760003/-15.9266613,-47.7634360/data=!4m3!4m2!3e0!5i0")</f>
        <v>https://www.google.com/maps/dir/-15.917302,-47.760003/-15.9266613,-47.7634360/data=!4m3!4m2!3e0!5i0</v>
      </c>
      <c r="C630" s="151" t="s">
        <v>117</v>
      </c>
      <c r="D630" s="152" t="s">
        <v>112</v>
      </c>
      <c r="E630" s="152" t="s">
        <v>113</v>
      </c>
      <c r="F630" s="152" t="s">
        <v>117</v>
      </c>
      <c r="G630" s="152" t="s">
        <v>782</v>
      </c>
      <c r="H630" s="152" t="n">
        <v>63</v>
      </c>
      <c r="I630" s="152" t="s">
        <v>115</v>
      </c>
      <c r="J630" s="152" t="s">
        <v>6</v>
      </c>
      <c r="K630" s="152" t="s">
        <v>3786</v>
      </c>
      <c r="L630" s="152" t="s">
        <v>120</v>
      </c>
      <c r="M630" s="153" t="n">
        <f aca="false">42.6</f>
        <v>42.6</v>
      </c>
      <c r="N630" s="152" t="s">
        <v>1548</v>
      </c>
      <c r="O630" s="152" t="s">
        <v>1549</v>
      </c>
      <c r="P630" s="152" t="s">
        <v>1550</v>
      </c>
      <c r="Q630" s="152" t="s">
        <v>1551</v>
      </c>
      <c r="R630" s="154" t="s">
        <v>3946</v>
      </c>
      <c r="S630" s="154" t="s">
        <v>1553</v>
      </c>
      <c r="T630" s="155" t="s">
        <v>3795</v>
      </c>
      <c r="U630" s="152" t="str">
        <f aca="false">RIGHT(T630,7)</f>
        <v>013/037</v>
      </c>
      <c r="V630" s="152" t="s">
        <v>1555</v>
      </c>
      <c r="W630" s="156" t="n">
        <v>45882</v>
      </c>
      <c r="X630" s="152" t="s">
        <v>1594</v>
      </c>
      <c r="Y630" s="152" t="s">
        <v>2553</v>
      </c>
      <c r="Z630" s="152" t="s">
        <v>1557</v>
      </c>
      <c r="AA630" s="153" t="n">
        <v>1.8</v>
      </c>
      <c r="AB630" s="151" t="s">
        <v>3947</v>
      </c>
      <c r="AC630" s="151" t="s">
        <v>186</v>
      </c>
      <c r="AD630" s="151" t="str">
        <f aca="false">CONCATENATE($C630,$I630,$H630,$N630,$J630,$K630)</f>
        <v>TUBO PEADPEAD63VCAREDESZona06</v>
      </c>
      <c r="AE630" s="153" t="n">
        <f aca="false">IFERROR(INDEX(APOIO_REDES!$A:$W,MATCH($C630&amp;$I630&amp;$H630&amp;$N630&amp;$O630,APOIO_REDES!$W:$W,0),MATCH(AE$5,APOIO_REDES!$5:$5,0)),0)</f>
        <v>1.2</v>
      </c>
      <c r="AF630" s="153" t="n">
        <f aca="false">IFERROR(INDEX(APOIO_REDES!$A:$W,MATCH($C630&amp;$I630&amp;$H630&amp;$N630&amp;$O630,APOIO_REDES!$W:$W,0),MATCH(AF$5,APOIO_REDES!$5:$5,0)),0)</f>
        <v>1.363</v>
      </c>
      <c r="AG630" s="153" t="n">
        <f aca="false">IFERROR(INDEX(APOIO_REDES!$A:$W,MATCH($C630&amp;$I630&amp;$H630&amp;$N630&amp;$O630,APOIO_REDES!$W:$W,0),MATCH(AG$5,APOIO_REDES!$5:$5,0)),0)</f>
        <v>0.65</v>
      </c>
      <c r="AH630" s="153" t="n">
        <f aca="false">IFERROR(INDEX(APOIO_REDES!$A:$W,MATCH($C630&amp;$I630&amp;$H630&amp;$N630&amp;$O630,APOIO_REDES!$W:$W,0),MATCH(AH$5,APOIO_REDES!$5:$5,0)),0)</f>
        <v>0.1</v>
      </c>
      <c r="AI630" s="153" t="n">
        <f aca="false">IFERROR(IF($H630&lt;&gt;"",(((($H630/1000)/2)^2)*PI()*$M630),0),0)</f>
        <v>0.132794650228343</v>
      </c>
      <c r="AJ630" s="153" t="n">
        <f aca="false">IFERROR(IF(AND($H630&lt;&gt;"",$I630="FoFo",OR($N630="MND",$N630="VCA"),$Q630="LINEAR"),0,IF(AND($H630&lt;&gt;"",$I630="PEAD",$N630="VCA",$Q630="LINEAR"),($H630/1000)+0.3,IF(AND($H630&lt;&gt;"",$I630="PEAD",$N630="MND",$Q630="EMBOQUE"),0,IF(AND($H630&lt;&gt;"",$I630="PVC",$N630="VCA",$Q630="LINEAR"),($H630/1000)+0.2,IF(AND($H630&lt;&gt;"",$I630="PVC",$N630="MND",$Q630="EMBOQUE"),0,IF(AND($H630&lt;&gt;"",$I630="PEAD",$N630="VCA",$Q630="PREDIAL"),0,0)))))),0)</f>
        <v>0.363</v>
      </c>
      <c r="AK630" s="153" t="n">
        <f aca="false">IF(AA630&lt;&gt;"",AA630,0)</f>
        <v>1.8</v>
      </c>
      <c r="AL630" s="153" t="n">
        <f aca="false">IF(AND($N630="MND",$Q630="EMBOQUE"),$M630,IF(AND($N630="VCA",$Q630="LINEAR"),$M630,IF(AND($N630="VCA",$Q630="PREDIAL"),0,0)))</f>
        <v>42.6</v>
      </c>
      <c r="AM630" s="153" t="n">
        <f aca="false">IF(AND($N630="MND",$Q630="EMBOQUE"),$M630,IF(AND($N630="VCA",$Q630="LINEAR"),$M630,IF(AND($N630="VCA",$Q630="PREDIAL"),0,0)))</f>
        <v>42.6</v>
      </c>
      <c r="AN630" s="153" t="n">
        <f aca="false">ROUND(IF(AND($N630="VCA",$M630&lt;&gt;"",$Q630="LINEAR"),$M630/100,IF(AND($N630="MND",$M630&gt;100,$Q630="EMBOQUE"),$M630/100,0)),0)</f>
        <v>0</v>
      </c>
      <c r="AO630" s="153" t="n">
        <f aca="false">IF(AND($N630="MND",$Q630="EMBOQUE"),$AN630*2*2,IF(AND($N630="VCA",$Q630="LINEAR"),$M630*2,IF(AND($N630="VCA",$Q630="PREDIAL"),0,0)))</f>
        <v>85.2</v>
      </c>
      <c r="AP630" s="153" t="n">
        <f aca="false">IFERROR($M630*$AF630*$AG630,0)</f>
        <v>37.74147</v>
      </c>
      <c r="AQ630" s="153" t="n">
        <f aca="false">IFERROR(IF(AND($N630="VCA",$AH630&gt;0),$M630*$AG630*$AH630,0),0)</f>
        <v>2.769</v>
      </c>
      <c r="AR630" s="153" t="n">
        <f aca="false">IFERROR(IF(AND($N630="VCA",$AJ630&gt;0),($M630*$AG630*$AJ630)-$AI630,0),0)</f>
        <v>9.91867534977166</v>
      </c>
      <c r="AS630" s="153" t="n">
        <f aca="false">IFERROR(IF(AND($N630="VCA",$AP630&gt;0),$AP630-$AI630-$AQ630-$AR630,0),0)</f>
        <v>24.921</v>
      </c>
      <c r="AT630" s="153" t="n">
        <f aca="false">IFERROR(IF($N630="VCA",INDEX(APOIO_REDES!$A:$W,MATCH($C630&amp;$I630&amp;$H630&amp;$N630&amp;$O630,APOIO_REDES!$W:$W,0),MATCH(AT$5,APOIO_REDES!$5:$5,0)),0)*$AP630,0)</f>
        <v>0.410638364504902</v>
      </c>
      <c r="AU630" s="153" t="n">
        <f aca="false">IFERROR(IF($N630="VCA",INDEX(APOIO_REDES!$A:$W,MATCH($C630&amp;$I630&amp;$H630&amp;$N630&amp;$O630,APOIO_REDES!$W:$W,0),MATCH(AU$5,APOIO_REDES!$5:$5,0)),0)*$AP630,0)</f>
        <v>0.32792467639627</v>
      </c>
      <c r="AV630" s="153" t="n">
        <f aca="false">IFERROR(IF($N630="VCA",INDEX(APOIO_REDES!$A:$W,MATCH($C630&amp;$I630&amp;$H630&amp;$N630&amp;$O630,APOIO_REDES!$W:$W,0),MATCH(AV$5,APOIO_REDES!$5:$5,0)),0)*$AP630,0)</f>
        <v>0.0453822009036004</v>
      </c>
      <c r="AW630" s="153" t="n">
        <f aca="false">IFERROR(IF($N630="VCA",INDEX(APOIO_REDES!$A:$W,MATCH($C630&amp;$I630&amp;$H630&amp;$N630&amp;$O630,APOIO_REDES!$W:$W,0),MATCH(AW$5,APOIO_REDES!$5:$5,0)),0)*$AP630,0)</f>
        <v>25.9060374431797</v>
      </c>
      <c r="AX630" s="153" t="n">
        <f aca="false">IFERROR(IF($N630="VCA",INDEX(APOIO_REDES!$A:$W,MATCH($C630&amp;$I630&amp;$H630&amp;$N630&amp;$O630,APOIO_REDES!$W:$W,0),MATCH(AX$5,APOIO_REDES!$5:$5,0)),0)*$AP630,0)</f>
        <v>3.58532178739156</v>
      </c>
      <c r="AY630" s="153" t="n">
        <f aca="false">IFERROR(IF($N630="VCA",INDEX(APOIO_REDES!$A:$W,MATCH($C630&amp;$I630&amp;$H630&amp;$N630&amp;$O630,APOIO_REDES!$W:$W,0),MATCH(AY$5,APOIO_REDES!$5:$5,0)),0)*$AP630,0)</f>
        <v>6.55848953055019</v>
      </c>
      <c r="AZ630" s="153" t="n">
        <f aca="false">IFERROR(IF($N630="VCA",INDEX(APOIO_REDES!$A:$W,MATCH($C630&amp;$I630&amp;$H630&amp;$N630&amp;$O630,APOIO_REDES!$W:$W,0),MATCH(AZ$5,APOIO_REDES!$5:$5,0)),0)*$AP630,0)</f>
        <v>0.90767599707379</v>
      </c>
      <c r="BA630" s="153" t="n">
        <f aca="false">IFERROR(IF(AND($N630="VCA",$Q630="LINEAR"),INDEX(APOIO_REDES!$A:$W,MATCH($C630&amp;$I630&amp;$H630&amp;$N630&amp;$O630,APOIO_REDES!$W:$W,0),MATCH(BA$5,APOIO_REDES!$5:$5,0)),IF(AND($N630="MND",$Q630="EMBOQUE"),INDEX(APOIO_REDES!$A:$W,MATCH($C630&amp;$I630&amp;$H630&amp;$N630&amp;$O630,APOIO_REDES!$W:$W,0),MATCH(BA$5,APOIO_REDES!$5:$5,0)),0))*$M630/10,0)</f>
        <v>3.43345254489864</v>
      </c>
      <c r="BB630" s="153" t="n">
        <f aca="false">IFERROR(IF($N630="VCA",INDEX(APOIO_REDES!$A:$W,MATCH($C630&amp;$I630&amp;$H630&amp;$N630&amp;$O630,APOIO_REDES!$W:$W,0),MATCH(BB$5,APOIO_REDES!$5:$5,0)),0)*($AI630+$AQ630+$AR630),0)</f>
        <v>12.6809794917346</v>
      </c>
      <c r="BC630" s="153" t="n">
        <f aca="false">IFERROR(IF($N630="VCA",INDEX(APOIO_REDES!$A:$W,MATCH($C630&amp;$I630&amp;$H630&amp;$N630&amp;$O630,APOIO_REDES!$W:$W,0),MATCH(BC$5,APOIO_REDES!$5:$5,0)),0)*($AI630+$AQ630+$AR630),0)</f>
        <v>0.139490508265422</v>
      </c>
      <c r="BD630" s="153" t="n">
        <f aca="false">IF(AND($N630="VCA",$AF630&gt;=1.25,$AF630&lt;1.5),$M630*$AF630*2,0)</f>
        <v>116.1276</v>
      </c>
      <c r="BE630" s="153" t="n">
        <f aca="false">IF(AND($N630="VCA",$AF630&gt;=1.5,$AF630&lt;3),$M630*$AF630*2,0)</f>
        <v>0</v>
      </c>
      <c r="BF630" s="153" t="n">
        <f aca="false">IF(AND($N630="VCA",$AF630&gt;=3),$M630*$AF630*2,0)</f>
        <v>0</v>
      </c>
      <c r="BG630" s="153" t="n">
        <f aca="false">($BB630+$BC630)*$AK630</f>
        <v>23.076846</v>
      </c>
      <c r="BH630" s="153" t="n">
        <f aca="false">IF(AND($M630&lt;&gt;"",$N630="VCA",$Q630="LINEAR"),($M630*2)/100,IF(AND($M630&lt;&gt;"",$N630="MND",$Q630="EMBOQUE"),($AN630*2)/100,0))</f>
        <v>0.852</v>
      </c>
      <c r="BI630" s="153" t="n">
        <f aca="false">IF(AND($M630&lt;&gt;"",$N630="VCA",$Q630="LINEAR"),$M630,IF(AND($M630&lt;&gt;"",$N630="MND",$Q630="EMBOQUE"),$AN630*2,0))</f>
        <v>42.6</v>
      </c>
      <c r="BJ630" s="153" t="n">
        <f aca="false">IF(AND($M630&lt;&gt;"",$N630="VCA",$Q630="LINEAR"),($M630*6.8)/100,IF(AND($M630&lt;&gt;"",$N630="MND",$Q630="EMBOQUE"),($AN630*2*6.8)/100,0))</f>
        <v>2.8968</v>
      </c>
      <c r="BK630" s="153" t="n">
        <f aca="false">IF(AND($M630&lt;&gt;"",$N630="VCA",$Q630="LINEAR"),($M630*2.5)/50,IF(AND($M630&lt;&gt;"",$N630="MND",$Q630="EMBOQUE"),($AN630*2*2.5)/50,0))</f>
        <v>2.13</v>
      </c>
      <c r="BL630" s="157" t="str">
        <f aca="false">K630&amp;J630</f>
        <v>Zona06REDES</v>
      </c>
      <c r="BM630" s="152" t="s">
        <v>3790</v>
      </c>
      <c r="BN630" s="152" t="s">
        <v>1560</v>
      </c>
      <c r="BO630" s="152" t="s">
        <v>3797</v>
      </c>
      <c r="BP630" s="152" t="s">
        <v>3931</v>
      </c>
      <c r="BQ630" s="152" t="s">
        <v>3948</v>
      </c>
      <c r="BR630" s="152" t="s">
        <v>3949</v>
      </c>
      <c r="BS630" s="152" t="n">
        <v>204129.903</v>
      </c>
      <c r="BT630" s="152" t="n">
        <v>8237217.925</v>
      </c>
      <c r="BU630" s="152" t="n">
        <v>204170.196</v>
      </c>
      <c r="BV630" s="152" t="n">
        <v>8237204.276</v>
      </c>
      <c r="BW630" s="152" t="n">
        <v>-15.9267245</v>
      </c>
      <c r="BX630" s="152" t="n">
        <v>-47.7632491</v>
      </c>
      <c r="BY630" s="152" t="s">
        <v>3931</v>
      </c>
    </row>
    <row r="631" customFormat="false" ht="13.8" hidden="false" customHeight="false" outlineLevel="0" collapsed="false">
      <c r="A631" s="149" t="n">
        <f aca="false">IF(C631&lt;&gt;"",ROW(A626),"")</f>
        <v>626</v>
      </c>
      <c r="B631" s="150" t="str">
        <f aca="false">HYPERLINK("https://www.google.com/maps/dir/-15.917302,-47.760003/-15.9267795,-47.7645441/data=!4m3!4m2!3e0!5i0")</f>
        <v>https://www.google.com/maps/dir/-15.917302,-47.760003/-15.9267795,-47.7645441/data=!4m3!4m2!3e0!5i0</v>
      </c>
      <c r="C631" s="151" t="s">
        <v>117</v>
      </c>
      <c r="D631" s="152" t="s">
        <v>112</v>
      </c>
      <c r="E631" s="152" t="s">
        <v>113</v>
      </c>
      <c r="F631" s="152" t="s">
        <v>117</v>
      </c>
      <c r="G631" s="152" t="s">
        <v>782</v>
      </c>
      <c r="H631" s="152" t="n">
        <v>63</v>
      </c>
      <c r="I631" s="152" t="s">
        <v>115</v>
      </c>
      <c r="J631" s="152" t="s">
        <v>6</v>
      </c>
      <c r="K631" s="152" t="s">
        <v>3786</v>
      </c>
      <c r="L631" s="152" t="s">
        <v>120</v>
      </c>
      <c r="M631" s="153" t="n">
        <f aca="false">8.1</f>
        <v>8.1</v>
      </c>
      <c r="N631" s="152" t="s">
        <v>1548</v>
      </c>
      <c r="O631" s="152" t="s">
        <v>1549</v>
      </c>
      <c r="P631" s="152" t="s">
        <v>1550</v>
      </c>
      <c r="Q631" s="152" t="s">
        <v>1551</v>
      </c>
      <c r="R631" s="154" t="s">
        <v>3950</v>
      </c>
      <c r="S631" s="154" t="s">
        <v>1553</v>
      </c>
      <c r="T631" s="155" t="s">
        <v>3795</v>
      </c>
      <c r="U631" s="152" t="str">
        <f aca="false">RIGHT(T631,7)</f>
        <v>013/037</v>
      </c>
      <c r="V631" s="152" t="s">
        <v>1555</v>
      </c>
      <c r="W631" s="156" t="n">
        <v>45882</v>
      </c>
      <c r="X631" s="152" t="s">
        <v>1594</v>
      </c>
      <c r="Y631" s="152"/>
      <c r="Z631" s="152" t="s">
        <v>1557</v>
      </c>
      <c r="AA631" s="153" t="n">
        <v>1.7</v>
      </c>
      <c r="AB631" s="151" t="s">
        <v>3951</v>
      </c>
      <c r="AC631" s="151" t="s">
        <v>186</v>
      </c>
      <c r="AD631" s="151" t="str">
        <f aca="false">CONCATENATE($C631,$I631,$H631,$N631,$J631,$K631)</f>
        <v>TUBO PEADPEAD63VCAREDESZona06</v>
      </c>
      <c r="AE631" s="153" t="n">
        <f aca="false">IFERROR(INDEX(APOIO_REDES!$A:$W,MATCH($C631&amp;$I631&amp;$H631&amp;$N631&amp;$O631,APOIO_REDES!$W:$W,0),MATCH(AE$5,APOIO_REDES!$5:$5,0)),0)</f>
        <v>1.2</v>
      </c>
      <c r="AF631" s="153" t="n">
        <f aca="false">IFERROR(INDEX(APOIO_REDES!$A:$W,MATCH($C631&amp;$I631&amp;$H631&amp;$N631&amp;$O631,APOIO_REDES!$W:$W,0),MATCH(AF$5,APOIO_REDES!$5:$5,0)),0)</f>
        <v>1.363</v>
      </c>
      <c r="AG631" s="153" t="n">
        <f aca="false">IFERROR(INDEX(APOIO_REDES!$A:$W,MATCH($C631&amp;$I631&amp;$H631&amp;$N631&amp;$O631,APOIO_REDES!$W:$W,0),MATCH(AG$5,APOIO_REDES!$5:$5,0)),0)</f>
        <v>0.65</v>
      </c>
      <c r="AH631" s="153" t="n">
        <f aca="false">IFERROR(INDEX(APOIO_REDES!$A:$W,MATCH($C631&amp;$I631&amp;$H631&amp;$N631&amp;$O631,APOIO_REDES!$W:$W,0),MATCH(AH$5,APOIO_REDES!$5:$5,0)),0)</f>
        <v>0.1</v>
      </c>
      <c r="AI631" s="153" t="n">
        <f aca="false">IFERROR(IF($H631&lt;&gt;"",(((($H631/1000)/2)^2)*PI()*$M631),0),0)</f>
        <v>0.0252496870152482</v>
      </c>
      <c r="AJ631" s="153" t="n">
        <f aca="false">IFERROR(IF(AND($H631&lt;&gt;"",$I631="FoFo",OR($N631="MND",$N631="VCA"),$Q631="LINEAR"),0,IF(AND($H631&lt;&gt;"",$I631="PEAD",$N631="VCA",$Q631="LINEAR"),($H631/1000)+0.3,IF(AND($H631&lt;&gt;"",$I631="PEAD",$N631="MND",$Q631="EMBOQUE"),0,IF(AND($H631&lt;&gt;"",$I631="PVC",$N631="VCA",$Q631="LINEAR"),($H631/1000)+0.2,IF(AND($H631&lt;&gt;"",$I631="PVC",$N631="MND",$Q631="EMBOQUE"),0,IF(AND($H631&lt;&gt;"",$I631="PEAD",$N631="VCA",$Q631="PREDIAL"),0,0)))))),0)</f>
        <v>0.363</v>
      </c>
      <c r="AK631" s="153" t="n">
        <f aca="false">IF(AA631&lt;&gt;"",AA631,0)</f>
        <v>1.7</v>
      </c>
      <c r="AL631" s="153" t="n">
        <f aca="false">IF(AND($N631="MND",$Q631="EMBOQUE"),$M631,IF(AND($N631="VCA",$Q631="LINEAR"),$M631,IF(AND($N631="VCA",$Q631="PREDIAL"),0,0)))</f>
        <v>8.1</v>
      </c>
      <c r="AM631" s="153" t="n">
        <f aca="false">IF(AND($N631="MND",$Q631="EMBOQUE"),$M631,IF(AND($N631="VCA",$Q631="LINEAR"),$M631,IF(AND($N631="VCA",$Q631="PREDIAL"),0,0)))</f>
        <v>8.1</v>
      </c>
      <c r="AN631" s="153" t="n">
        <f aca="false">ROUND(IF(AND($N631="VCA",$M631&lt;&gt;"",$Q631="LINEAR"),$M631/100,IF(AND($N631="MND",$M631&gt;100,$Q631="EMBOQUE"),$M631/100,0)),0)</f>
        <v>0</v>
      </c>
      <c r="AO631" s="153" t="n">
        <f aca="false">IF(AND($N631="MND",$Q631="EMBOQUE"),$AN631*2*2,IF(AND($N631="VCA",$Q631="LINEAR"),$M631*2,IF(AND($N631="VCA",$Q631="PREDIAL"),0,0)))</f>
        <v>16.2</v>
      </c>
      <c r="AP631" s="153" t="n">
        <f aca="false">IFERROR($M631*$AF631*$AG631,0)</f>
        <v>7.176195</v>
      </c>
      <c r="AQ631" s="153" t="n">
        <f aca="false">IFERROR(IF(AND($N631="VCA",$AH631&gt;0),$M631*$AG631*$AH631,0),0)</f>
        <v>0.5265</v>
      </c>
      <c r="AR631" s="153" t="n">
        <f aca="false">IFERROR(IF(AND($N631="VCA",$AJ631&gt;0),($M631*$AG631*$AJ631)-$AI631,0),0)</f>
        <v>1.88594531298475</v>
      </c>
      <c r="AS631" s="153" t="n">
        <f aca="false">IFERROR(IF(AND($N631="VCA",$AP631&gt;0),$AP631-$AI631-$AQ631-$AR631,0),0)</f>
        <v>4.7385</v>
      </c>
      <c r="AT631" s="153" t="n">
        <f aca="false">IFERROR(IF($N631="VCA",INDEX(APOIO_REDES!$A:$W,MATCH($C631&amp;$I631&amp;$H631&amp;$N631&amp;$O631,APOIO_REDES!$W:$W,0),MATCH(AT$5,APOIO_REDES!$5:$5,0)),0)*$AP631,0)</f>
        <v>0.0780791256452984</v>
      </c>
      <c r="AU631" s="153" t="n">
        <f aca="false">IFERROR(IF($N631="VCA",INDEX(APOIO_REDES!$A:$W,MATCH($C631&amp;$I631&amp;$H631&amp;$N631&amp;$O631,APOIO_REDES!$W:$W,0),MATCH(AU$5,APOIO_REDES!$5:$5,0)),0)*$AP631,0)</f>
        <v>0.0623518750894317</v>
      </c>
      <c r="AV631" s="153" t="n">
        <f aca="false">IFERROR(IF($N631="VCA",INDEX(APOIO_REDES!$A:$W,MATCH($C631&amp;$I631&amp;$H631&amp;$N631&amp;$O631,APOIO_REDES!$W:$W,0),MATCH(AV$5,APOIO_REDES!$5:$5,0)),0)*$AP631,0)</f>
        <v>0.00862901003096627</v>
      </c>
      <c r="AW631" s="153" t="n">
        <f aca="false">IFERROR(IF($N631="VCA",INDEX(APOIO_REDES!$A:$W,MATCH($C631&amp;$I631&amp;$H631&amp;$N631&amp;$O631,APOIO_REDES!$W:$W,0),MATCH(AW$5,APOIO_REDES!$5:$5,0)),0)*$AP631,0)</f>
        <v>4.9257958518722</v>
      </c>
      <c r="AX631" s="153" t="n">
        <f aca="false">IFERROR(IF($N631="VCA",INDEX(APOIO_REDES!$A:$W,MATCH($C631&amp;$I631&amp;$H631&amp;$N631&amp;$O631,APOIO_REDES!$W:$W,0),MATCH(AX$5,APOIO_REDES!$5:$5,0)),0)*$AP631,0)</f>
        <v>0.681716114504029</v>
      </c>
      <c r="AY631" s="153" t="n">
        <f aca="false">IFERROR(IF($N631="VCA",INDEX(APOIO_REDES!$A:$W,MATCH($C631&amp;$I631&amp;$H631&amp;$N631&amp;$O631,APOIO_REDES!$W:$W,0),MATCH(AY$5,APOIO_REDES!$5:$5,0)),0)*$AP631,0)</f>
        <v>1.24703674172433</v>
      </c>
      <c r="AZ631" s="153" t="n">
        <f aca="false">IFERROR(IF($N631="VCA",INDEX(APOIO_REDES!$A:$W,MATCH($C631&amp;$I631&amp;$H631&amp;$N631&amp;$O631,APOIO_REDES!$W:$W,0),MATCH(AZ$5,APOIO_REDES!$5:$5,0)),0)*$AP631,0)</f>
        <v>0.172586281133749</v>
      </c>
      <c r="BA631" s="153" t="n">
        <f aca="false">IFERROR(IF(AND($N631="VCA",$Q631="LINEAR"),INDEX(APOIO_REDES!$A:$W,MATCH($C631&amp;$I631&amp;$H631&amp;$N631&amp;$O631,APOIO_REDES!$W:$W,0),MATCH(BA$5,APOIO_REDES!$5:$5,0)),IF(AND($N631="MND",$Q631="EMBOQUE"),INDEX(APOIO_REDES!$A:$W,MATCH($C631&amp;$I631&amp;$H631&amp;$N631&amp;$O631,APOIO_REDES!$W:$W,0),MATCH(BA$5,APOIO_REDES!$5:$5,0)),0))*$M631/10,0)</f>
        <v>0.65283956839622</v>
      </c>
      <c r="BB631" s="153" t="n">
        <f aca="false">IFERROR(IF($N631="VCA",INDEX(APOIO_REDES!$A:$W,MATCH($C631&amp;$I631&amp;$H631&amp;$N631&amp;$O631,APOIO_REDES!$W:$W,0),MATCH(BB$5,APOIO_REDES!$5:$5,0)),0)*($AI631+$AQ631+$AR631),0)</f>
        <v>2.41117215687911</v>
      </c>
      <c r="BC631" s="153" t="n">
        <f aca="false">IFERROR(IF($N631="VCA",INDEX(APOIO_REDES!$A:$W,MATCH($C631&amp;$I631&amp;$H631&amp;$N631&amp;$O631,APOIO_REDES!$W:$W,0),MATCH(BC$5,APOIO_REDES!$5:$5,0)),0)*($AI631+$AQ631+$AR631),0)</f>
        <v>0.02652284312089</v>
      </c>
      <c r="BD631" s="153" t="n">
        <f aca="false">IF(AND($N631="VCA",$AF631&gt;=1.25,$AF631&lt;1.5),$M631*$AF631*2,0)</f>
        <v>22.0806</v>
      </c>
      <c r="BE631" s="153" t="n">
        <f aca="false">IF(AND($N631="VCA",$AF631&gt;=1.5,$AF631&lt;3),$M631*$AF631*2,0)</f>
        <v>0</v>
      </c>
      <c r="BF631" s="153" t="n">
        <f aca="false">IF(AND($N631="VCA",$AF631&gt;=3),$M631*$AF631*2,0)</f>
        <v>0</v>
      </c>
      <c r="BG631" s="153" t="n">
        <f aca="false">($BB631+$BC631)*$AK631</f>
        <v>4.1440815</v>
      </c>
      <c r="BH631" s="153" t="n">
        <f aca="false">IF(AND($M631&lt;&gt;"",$N631="VCA",$Q631="LINEAR"),($M631*2)/100,IF(AND($M631&lt;&gt;"",$N631="MND",$Q631="EMBOQUE"),($AN631*2)/100,0))</f>
        <v>0.162</v>
      </c>
      <c r="BI631" s="153" t="n">
        <f aca="false">IF(AND($M631&lt;&gt;"",$N631="VCA",$Q631="LINEAR"),$M631,IF(AND($M631&lt;&gt;"",$N631="MND",$Q631="EMBOQUE"),$AN631*2,0))</f>
        <v>8.1</v>
      </c>
      <c r="BJ631" s="153" t="n">
        <f aca="false">IF(AND($M631&lt;&gt;"",$N631="VCA",$Q631="LINEAR"),($M631*6.8)/100,IF(AND($M631&lt;&gt;"",$N631="MND",$Q631="EMBOQUE"),($AN631*2*6.8)/100,0))</f>
        <v>0.5508</v>
      </c>
      <c r="BK631" s="153" t="n">
        <f aca="false">IF(AND($M631&lt;&gt;"",$N631="VCA",$Q631="LINEAR"),($M631*2.5)/50,IF(AND($M631&lt;&gt;"",$N631="MND",$Q631="EMBOQUE"),($AN631*2*2.5)/50,0))</f>
        <v>0.405</v>
      </c>
      <c r="BL631" s="157" t="str">
        <f aca="false">K631&amp;J631</f>
        <v>Zona06REDES</v>
      </c>
      <c r="BM631" s="152" t="s">
        <v>3790</v>
      </c>
      <c r="BN631" s="152" t="s">
        <v>1560</v>
      </c>
      <c r="BO631" s="152" t="s">
        <v>3797</v>
      </c>
      <c r="BP631" s="152" t="s">
        <v>3952</v>
      </c>
      <c r="BQ631" s="152" t="s">
        <v>3935</v>
      </c>
      <c r="BR631" s="152" t="s">
        <v>3953</v>
      </c>
      <c r="BS631" s="152" t="n">
        <v>204011.382</v>
      </c>
      <c r="BT631" s="152" t="n">
        <v>8237203.249</v>
      </c>
      <c r="BU631" s="152" t="n">
        <v>204015.365</v>
      </c>
      <c r="BV631" s="152" t="n">
        <v>8237210.13</v>
      </c>
      <c r="BW631" s="152" t="n">
        <v>-15.9267459</v>
      </c>
      <c r="BX631" s="152" t="n">
        <v>-47.7645292</v>
      </c>
      <c r="BY631" s="152" t="s">
        <v>3952</v>
      </c>
    </row>
    <row r="632" customFormat="false" ht="13.8" hidden="false" customHeight="false" outlineLevel="0" collapsed="false">
      <c r="A632" s="149" t="n">
        <f aca="false">IF(C632&lt;&gt;"",ROW(A627),"")</f>
        <v>627</v>
      </c>
      <c r="B632" s="150" t="str">
        <f aca="false">HYPERLINK("https://www.google.com/maps/dir/-15.917302,-47.760003/-15.9270405,-47.7636279/data=!4m3!4m2!3e0!5i0")</f>
        <v>https://www.google.com/maps/dir/-15.917302,-47.760003/-15.9270405,-47.7636279/data=!4m3!4m2!3e0!5i0</v>
      </c>
      <c r="C632" s="151" t="s">
        <v>117</v>
      </c>
      <c r="D632" s="152" t="s">
        <v>112</v>
      </c>
      <c r="E632" s="152" t="s">
        <v>113</v>
      </c>
      <c r="F632" s="152" t="s">
        <v>117</v>
      </c>
      <c r="G632" s="152" t="s">
        <v>782</v>
      </c>
      <c r="H632" s="152" t="n">
        <v>63</v>
      </c>
      <c r="I632" s="152" t="s">
        <v>115</v>
      </c>
      <c r="J632" s="152" t="s">
        <v>6</v>
      </c>
      <c r="K632" s="152" t="s">
        <v>3786</v>
      </c>
      <c r="L632" s="152" t="s">
        <v>120</v>
      </c>
      <c r="M632" s="153" t="n">
        <f aca="false">45.34</f>
        <v>45.34</v>
      </c>
      <c r="N632" s="152" t="s">
        <v>1548</v>
      </c>
      <c r="O632" s="152" t="s">
        <v>1549</v>
      </c>
      <c r="P632" s="152" t="s">
        <v>1550</v>
      </c>
      <c r="Q632" s="152" t="s">
        <v>1551</v>
      </c>
      <c r="R632" s="154" t="s">
        <v>3954</v>
      </c>
      <c r="S632" s="154" t="s">
        <v>1553</v>
      </c>
      <c r="T632" s="155" t="s">
        <v>3795</v>
      </c>
      <c r="U632" s="152" t="str">
        <f aca="false">RIGHT(T632,7)</f>
        <v>013/037</v>
      </c>
      <c r="V632" s="152" t="s">
        <v>1555</v>
      </c>
      <c r="W632" s="156" t="n">
        <v>45882</v>
      </c>
      <c r="X632" s="152" t="s">
        <v>1594</v>
      </c>
      <c r="Y632" s="152" t="s">
        <v>2553</v>
      </c>
      <c r="Z632" s="152" t="s">
        <v>1557</v>
      </c>
      <c r="AA632" s="153" t="n">
        <v>1.8</v>
      </c>
      <c r="AB632" s="151" t="s">
        <v>3955</v>
      </c>
      <c r="AC632" s="151" t="s">
        <v>186</v>
      </c>
      <c r="AD632" s="151" t="str">
        <f aca="false">CONCATENATE($C632,$I632,$H632,$N632,$J632,$K632)</f>
        <v>TUBO PEADPEAD63VCAREDESZona06</v>
      </c>
      <c r="AE632" s="153" t="n">
        <f aca="false">IFERROR(INDEX(APOIO_REDES!$A:$W,MATCH($C632&amp;$I632&amp;$H632&amp;$N632&amp;$O632,APOIO_REDES!$W:$W,0),MATCH(AE$5,APOIO_REDES!$5:$5,0)),0)</f>
        <v>1.2</v>
      </c>
      <c r="AF632" s="153" t="n">
        <f aca="false">IFERROR(INDEX(APOIO_REDES!$A:$W,MATCH($C632&amp;$I632&amp;$H632&amp;$N632&amp;$O632,APOIO_REDES!$W:$W,0),MATCH(AF$5,APOIO_REDES!$5:$5,0)),0)</f>
        <v>1.363</v>
      </c>
      <c r="AG632" s="153" t="n">
        <f aca="false">IFERROR(INDEX(APOIO_REDES!$A:$W,MATCH($C632&amp;$I632&amp;$H632&amp;$N632&amp;$O632,APOIO_REDES!$W:$W,0),MATCH(AG$5,APOIO_REDES!$5:$5,0)),0)</f>
        <v>0.65</v>
      </c>
      <c r="AH632" s="153" t="n">
        <f aca="false">IFERROR(INDEX(APOIO_REDES!$A:$W,MATCH($C632&amp;$I632&amp;$H632&amp;$N632&amp;$O632,APOIO_REDES!$W:$W,0),MATCH(AH$5,APOIO_REDES!$5:$5,0)),0)</f>
        <v>0.1</v>
      </c>
      <c r="AI632" s="153" t="n">
        <f aca="false">IFERROR(IF($H632&lt;&gt;"",(((($H632/1000)/2)^2)*PI()*$M632),0),0)</f>
        <v>0.14133590237918</v>
      </c>
      <c r="AJ632" s="153" t="n">
        <f aca="false">IFERROR(IF(AND($H632&lt;&gt;"",$I632="FoFo",OR($N632="MND",$N632="VCA"),$Q632="LINEAR"),0,IF(AND($H632&lt;&gt;"",$I632="PEAD",$N632="VCA",$Q632="LINEAR"),($H632/1000)+0.3,IF(AND($H632&lt;&gt;"",$I632="PEAD",$N632="MND",$Q632="EMBOQUE"),0,IF(AND($H632&lt;&gt;"",$I632="PVC",$N632="VCA",$Q632="LINEAR"),($H632/1000)+0.2,IF(AND($H632&lt;&gt;"",$I632="PVC",$N632="MND",$Q632="EMBOQUE"),0,IF(AND($H632&lt;&gt;"",$I632="PEAD",$N632="VCA",$Q632="PREDIAL"),0,0)))))),0)</f>
        <v>0.363</v>
      </c>
      <c r="AK632" s="153" t="n">
        <f aca="false">IF(AA632&lt;&gt;"",AA632,0)</f>
        <v>1.8</v>
      </c>
      <c r="AL632" s="153" t="n">
        <f aca="false">IF(AND($N632="MND",$Q632="EMBOQUE"),$M632,IF(AND($N632="VCA",$Q632="LINEAR"),$M632,IF(AND($N632="VCA",$Q632="PREDIAL"),0,0)))</f>
        <v>45.34</v>
      </c>
      <c r="AM632" s="153" t="n">
        <f aca="false">IF(AND($N632="MND",$Q632="EMBOQUE"),$M632,IF(AND($N632="VCA",$Q632="LINEAR"),$M632,IF(AND($N632="VCA",$Q632="PREDIAL"),0,0)))</f>
        <v>45.34</v>
      </c>
      <c r="AN632" s="153" t="n">
        <f aca="false">ROUND(IF(AND($N632="VCA",$M632&lt;&gt;"",$Q632="LINEAR"),$M632/100,IF(AND($N632="MND",$M632&gt;100,$Q632="EMBOQUE"),$M632/100,0)),0)</f>
        <v>0</v>
      </c>
      <c r="AO632" s="153" t="n">
        <f aca="false">IF(AND($N632="MND",$Q632="EMBOQUE"),$AN632*2*2,IF(AND($N632="VCA",$Q632="LINEAR"),$M632*2,IF(AND($N632="VCA",$Q632="PREDIAL"),0,0)))</f>
        <v>90.68</v>
      </c>
      <c r="AP632" s="153" t="n">
        <f aca="false">IFERROR($M632*$AF632*$AG632,0)</f>
        <v>40.168973</v>
      </c>
      <c r="AQ632" s="153" t="n">
        <f aca="false">IFERROR(IF(AND($N632="VCA",$AH632&gt;0),$M632*$AG632*$AH632,0),0)</f>
        <v>2.9471</v>
      </c>
      <c r="AR632" s="153" t="n">
        <f aca="false">IFERROR(IF(AND($N632="VCA",$AJ632&gt;0),($M632*$AG632*$AJ632)-$AI632,0),0)</f>
        <v>10.5566370976208</v>
      </c>
      <c r="AS632" s="153" t="n">
        <f aca="false">IFERROR(IF(AND($N632="VCA",$AP632&gt;0),$AP632-$AI632-$AQ632-$AR632,0),0)</f>
        <v>26.5239</v>
      </c>
      <c r="AT632" s="153" t="n">
        <f aca="false">IFERROR(IF($N632="VCA",INDEX(APOIO_REDES!$A:$W,MATCH($C632&amp;$I632&amp;$H632&amp;$N632&amp;$O632,APOIO_REDES!$W:$W,0),MATCH(AT$5,APOIO_REDES!$5:$5,0)),0)*$AP632,0)</f>
        <v>0.437050315649115</v>
      </c>
      <c r="AU632" s="153" t="n">
        <f aca="false">IFERROR(IF($N632="VCA",INDEX(APOIO_REDES!$A:$W,MATCH($C632&amp;$I632&amp;$H632&amp;$N632&amp;$O632,APOIO_REDES!$W:$W,0),MATCH(AU$5,APOIO_REDES!$5:$5,0)),0)*$AP632,0)</f>
        <v>0.349016545253683</v>
      </c>
      <c r="AV632" s="153" t="n">
        <f aca="false">IFERROR(IF($N632="VCA",INDEX(APOIO_REDES!$A:$W,MATCH($C632&amp;$I632&amp;$H632&amp;$N632&amp;$O632,APOIO_REDES!$W:$W,0),MATCH(AV$5,APOIO_REDES!$5:$5,0)),0)*$AP632,0)</f>
        <v>0.0483011499758038</v>
      </c>
      <c r="AW632" s="153" t="n">
        <f aca="false">IFERROR(IF($N632="VCA",INDEX(APOIO_REDES!$A:$W,MATCH($C632&amp;$I632&amp;$H632&amp;$N632&amp;$O632,APOIO_REDES!$W:$W,0),MATCH(AW$5,APOIO_REDES!$5:$5,0)),0)*$AP632,0)</f>
        <v>27.5722943115908</v>
      </c>
      <c r="AX632" s="153" t="n">
        <f aca="false">IFERROR(IF($N632="VCA",INDEX(APOIO_REDES!$A:$W,MATCH($C632&amp;$I632&amp;$H632&amp;$N632&amp;$O632,APOIO_REDES!$W:$W,0),MATCH(AX$5,APOIO_REDES!$5:$5,0)),0)*$AP632,0)</f>
        <v>3.81592699155712</v>
      </c>
      <c r="AY632" s="153" t="n">
        <f aca="false">IFERROR(IF($N632="VCA",INDEX(APOIO_REDES!$A:$W,MATCH($C632&amp;$I632&amp;$H632&amp;$N632&amp;$O632,APOIO_REDES!$W:$W,0),MATCH(AY$5,APOIO_REDES!$5:$5,0)),0)*$AP632,0)</f>
        <v>6.98032665059027</v>
      </c>
      <c r="AZ632" s="153" t="n">
        <f aca="false">IFERROR(IF($N632="VCA",INDEX(APOIO_REDES!$A:$W,MATCH($C632&amp;$I632&amp;$H632&amp;$N632&amp;$O632,APOIO_REDES!$W:$W,0),MATCH(AZ$5,APOIO_REDES!$5:$5,0)),0)*$AP632,0)</f>
        <v>0.966057035383231</v>
      </c>
      <c r="BA632" s="153" t="n">
        <f aca="false">IFERROR(IF(AND($N632="VCA",$Q632="LINEAR"),INDEX(APOIO_REDES!$A:$W,MATCH($C632&amp;$I632&amp;$H632&amp;$N632&amp;$O632,APOIO_REDES!$W:$W,0),MATCH(BA$5,APOIO_REDES!$5:$5,0)),IF(AND($N632="MND",$Q632="EMBOQUE"),INDEX(APOIO_REDES!$A:$W,MATCH($C632&amp;$I632&amp;$H632&amp;$N632&amp;$O632,APOIO_REDES!$W:$W,0),MATCH(BA$5,APOIO_REDES!$5:$5,0)),0))*$M632/10,0)</f>
        <v>3.65428963346724</v>
      </c>
      <c r="BB632" s="153" t="n">
        <f aca="false">IFERROR(IF($N632="VCA",INDEX(APOIO_REDES!$A:$W,MATCH($C632&amp;$I632&amp;$H632&amp;$N632&amp;$O632,APOIO_REDES!$W:$W,0),MATCH(BB$5,APOIO_REDES!$5:$5,0)),0)*($AI632+$AQ632+$AR632),0)</f>
        <v>13.4966105670246</v>
      </c>
      <c r="BC632" s="153" t="n">
        <f aca="false">IFERROR(IF($N632="VCA",INDEX(APOIO_REDES!$A:$W,MATCH($C632&amp;$I632&amp;$H632&amp;$N632&amp;$O632,APOIO_REDES!$W:$W,0),MATCH(BC$5,APOIO_REDES!$5:$5,0)),0)*($AI632+$AQ632+$AR632),0)</f>
        <v>0.148462432975451</v>
      </c>
      <c r="BD632" s="153" t="n">
        <f aca="false">IF(AND($N632="VCA",$AF632&gt;=1.25,$AF632&lt;1.5),$M632*$AF632*2,0)</f>
        <v>123.59684</v>
      </c>
      <c r="BE632" s="153" t="n">
        <f aca="false">IF(AND($N632="VCA",$AF632&gt;=1.5,$AF632&lt;3),$M632*$AF632*2,0)</f>
        <v>0</v>
      </c>
      <c r="BF632" s="153" t="n">
        <f aca="false">IF(AND($N632="VCA",$AF632&gt;=3),$M632*$AF632*2,0)</f>
        <v>0</v>
      </c>
      <c r="BG632" s="153" t="n">
        <f aca="false">($BB632+$BC632)*$AK632</f>
        <v>24.5611314</v>
      </c>
      <c r="BH632" s="153" t="n">
        <f aca="false">IF(AND($M632&lt;&gt;"",$N632="VCA",$Q632="LINEAR"),($M632*2)/100,IF(AND($M632&lt;&gt;"",$N632="MND",$Q632="EMBOQUE"),($AN632*2)/100,0))</f>
        <v>0.9068</v>
      </c>
      <c r="BI632" s="153" t="n">
        <f aca="false">IF(AND($M632&lt;&gt;"",$N632="VCA",$Q632="LINEAR"),$M632,IF(AND($M632&lt;&gt;"",$N632="MND",$Q632="EMBOQUE"),$AN632*2,0))</f>
        <v>45.34</v>
      </c>
      <c r="BJ632" s="153" t="n">
        <f aca="false">IF(AND($M632&lt;&gt;"",$N632="VCA",$Q632="LINEAR"),($M632*6.8)/100,IF(AND($M632&lt;&gt;"",$N632="MND",$Q632="EMBOQUE"),($AN632*2*6.8)/100,0))</f>
        <v>3.08312</v>
      </c>
      <c r="BK632" s="153" t="n">
        <f aca="false">IF(AND($M632&lt;&gt;"",$N632="VCA",$Q632="LINEAR"),($M632*2.5)/50,IF(AND($M632&lt;&gt;"",$N632="MND",$Q632="EMBOQUE"),($AN632*2*2.5)/50,0))</f>
        <v>2.267</v>
      </c>
      <c r="BL632" s="157" t="str">
        <f aca="false">K632&amp;J632</f>
        <v>Zona06REDES</v>
      </c>
      <c r="BM632" s="152" t="s">
        <v>3790</v>
      </c>
      <c r="BN632" s="152" t="s">
        <v>1560</v>
      </c>
      <c r="BO632" s="152" t="s">
        <v>3797</v>
      </c>
      <c r="BP632" s="152" t="s">
        <v>3956</v>
      </c>
      <c r="BQ632" s="152" t="s">
        <v>3931</v>
      </c>
      <c r="BR632" s="152" t="s">
        <v>3957</v>
      </c>
      <c r="BS632" s="152" t="n">
        <v>204111.013</v>
      </c>
      <c r="BT632" s="152" t="n">
        <v>8237176.752</v>
      </c>
      <c r="BU632" s="152" t="n">
        <v>204129.903</v>
      </c>
      <c r="BV632" s="152" t="n">
        <v>8237217.925</v>
      </c>
      <c r="BW632" s="152" t="n">
        <v>-15.9268461</v>
      </c>
      <c r="BX632" s="152" t="n">
        <v>-47.763527</v>
      </c>
      <c r="BY632" s="152" t="s">
        <v>3956</v>
      </c>
    </row>
    <row r="633" customFormat="false" ht="13.8" hidden="false" customHeight="false" outlineLevel="0" collapsed="false">
      <c r="A633" s="149" t="n">
        <f aca="false">IF(C633&lt;&gt;"",ROW(A628),"")</f>
        <v>628</v>
      </c>
      <c r="B633" s="150" t="str">
        <f aca="false">HYPERLINK("https://www.google.com/maps/dir/-15.917302,-47.760003/-15.9270405,-47.7636279/data=!4m3!4m2!3e0!5i0")</f>
        <v>https://www.google.com/maps/dir/-15.917302,-47.760003/-15.9270405,-47.7636279/data=!4m3!4m2!3e0!5i0</v>
      </c>
      <c r="C633" s="151" t="s">
        <v>117</v>
      </c>
      <c r="D633" s="152" t="s">
        <v>112</v>
      </c>
      <c r="E633" s="152" t="s">
        <v>113</v>
      </c>
      <c r="F633" s="152" t="s">
        <v>117</v>
      </c>
      <c r="G633" s="152" t="s">
        <v>782</v>
      </c>
      <c r="H633" s="152" t="n">
        <v>63</v>
      </c>
      <c r="I633" s="152" t="s">
        <v>115</v>
      </c>
      <c r="J633" s="152" t="s">
        <v>6</v>
      </c>
      <c r="K633" s="152" t="s">
        <v>3786</v>
      </c>
      <c r="L633" s="152" t="s">
        <v>120</v>
      </c>
      <c r="M633" s="153" t="n">
        <f aca="false">100.77+1.63</f>
        <v>102.4</v>
      </c>
      <c r="N633" s="152" t="s">
        <v>1548</v>
      </c>
      <c r="O633" s="152" t="s">
        <v>1549</v>
      </c>
      <c r="P633" s="152" t="s">
        <v>1550</v>
      </c>
      <c r="Q633" s="152" t="s">
        <v>1551</v>
      </c>
      <c r="R633" s="154" t="s">
        <v>3958</v>
      </c>
      <c r="S633" s="154" t="s">
        <v>1553</v>
      </c>
      <c r="T633" s="155" t="s">
        <v>3795</v>
      </c>
      <c r="U633" s="152" t="str">
        <f aca="false">RIGHT(T633,7)</f>
        <v>013/037</v>
      </c>
      <c r="V633" s="152" t="s">
        <v>1555</v>
      </c>
      <c r="W633" s="156" t="n">
        <v>45882</v>
      </c>
      <c r="X633" s="152" t="s">
        <v>1594</v>
      </c>
      <c r="Y633" s="152" t="s">
        <v>2553</v>
      </c>
      <c r="Z633" s="152" t="s">
        <v>1557</v>
      </c>
      <c r="AA633" s="153" t="n">
        <v>1.8</v>
      </c>
      <c r="AB633" s="151" t="s">
        <v>3959</v>
      </c>
      <c r="AC633" s="151" t="s">
        <v>186</v>
      </c>
      <c r="AD633" s="151" t="str">
        <f aca="false">CONCATENATE($C633,$I633,$H633,$N633,$J633,$K633)</f>
        <v>TUBO PEADPEAD63VCAREDESZona06</v>
      </c>
      <c r="AE633" s="153" t="n">
        <f aca="false">IFERROR(INDEX(APOIO_REDES!$A:$W,MATCH($C633&amp;$I633&amp;$H633&amp;$N633&amp;$O633,APOIO_REDES!$W:$W,0),MATCH(AE$5,APOIO_REDES!$5:$5,0)),0)</f>
        <v>1.2</v>
      </c>
      <c r="AF633" s="153" t="n">
        <f aca="false">IFERROR(INDEX(APOIO_REDES!$A:$W,MATCH($C633&amp;$I633&amp;$H633&amp;$N633&amp;$O633,APOIO_REDES!$W:$W,0),MATCH(AF$5,APOIO_REDES!$5:$5,0)),0)</f>
        <v>1.363</v>
      </c>
      <c r="AG633" s="153" t="n">
        <f aca="false">IFERROR(INDEX(APOIO_REDES!$A:$W,MATCH($C633&amp;$I633&amp;$H633&amp;$N633&amp;$O633,APOIO_REDES!$W:$W,0),MATCH(AG$5,APOIO_REDES!$5:$5,0)),0)</f>
        <v>0.65</v>
      </c>
      <c r="AH633" s="153" t="n">
        <f aca="false">IFERROR(INDEX(APOIO_REDES!$A:$W,MATCH($C633&amp;$I633&amp;$H633&amp;$N633&amp;$O633,APOIO_REDES!$W:$W,0),MATCH(AH$5,APOIO_REDES!$5:$5,0)),0)</f>
        <v>0.1</v>
      </c>
      <c r="AI633" s="153" t="n">
        <f aca="false">IFERROR(IF($H633&lt;&gt;"",(((($H633/1000)/2)^2)*PI()*$M633),0),0)</f>
        <v>0.319205919797706</v>
      </c>
      <c r="AJ633" s="153" t="n">
        <f aca="false">IFERROR(IF(AND($H633&lt;&gt;"",$I633="FoFo",OR($N633="MND",$N633="VCA"),$Q633="LINEAR"),0,IF(AND($H633&lt;&gt;"",$I633="PEAD",$N633="VCA",$Q633="LINEAR"),($H633/1000)+0.3,IF(AND($H633&lt;&gt;"",$I633="PEAD",$N633="MND",$Q633="EMBOQUE"),0,IF(AND($H633&lt;&gt;"",$I633="PVC",$N633="VCA",$Q633="LINEAR"),($H633/1000)+0.2,IF(AND($H633&lt;&gt;"",$I633="PVC",$N633="MND",$Q633="EMBOQUE"),0,IF(AND($H633&lt;&gt;"",$I633="PEAD",$N633="VCA",$Q633="PREDIAL"),0,0)))))),0)</f>
        <v>0.363</v>
      </c>
      <c r="AK633" s="153" t="n">
        <f aca="false">IF(AA633&lt;&gt;"",AA633,0)</f>
        <v>1.8</v>
      </c>
      <c r="AL633" s="153" t="n">
        <f aca="false">IF(AND($N633="MND",$Q633="EMBOQUE"),$M633,IF(AND($N633="VCA",$Q633="LINEAR"),$M633,IF(AND($N633="VCA",$Q633="PREDIAL"),0,0)))</f>
        <v>102.4</v>
      </c>
      <c r="AM633" s="153" t="n">
        <f aca="false">IF(AND($N633="MND",$Q633="EMBOQUE"),$M633,IF(AND($N633="VCA",$Q633="LINEAR"),$M633,IF(AND($N633="VCA",$Q633="PREDIAL"),0,0)))</f>
        <v>102.4</v>
      </c>
      <c r="AN633" s="153" t="n">
        <f aca="false">ROUND(IF(AND($N633="VCA",$M633&lt;&gt;"",$Q633="LINEAR"),$M633/100,IF(AND($N633="MND",$M633&gt;100,$Q633="EMBOQUE"),$M633/100,0)),0)</f>
        <v>1</v>
      </c>
      <c r="AO633" s="153" t="n">
        <f aca="false">IF(AND($N633="MND",$Q633="EMBOQUE"),$AN633*2*2,IF(AND($N633="VCA",$Q633="LINEAR"),$M633*2,IF(AND($N633="VCA",$Q633="PREDIAL"),0,0)))</f>
        <v>204.8</v>
      </c>
      <c r="AP633" s="153" t="n">
        <f aca="false">IFERROR($M633*$AF633*$AG633,0)</f>
        <v>90.72128</v>
      </c>
      <c r="AQ633" s="153" t="n">
        <f aca="false">IFERROR(IF(AND($N633="VCA",$AH633&gt;0),$M633*$AG633*$AH633,0),0)</f>
        <v>6.656</v>
      </c>
      <c r="AR633" s="153" t="n">
        <f aca="false">IFERROR(IF(AND($N633="VCA",$AJ633&gt;0),($M633*$AG633*$AJ633)-$AI633,0),0)</f>
        <v>23.8420740802023</v>
      </c>
      <c r="AS633" s="153" t="n">
        <f aca="false">IFERROR(IF(AND($N633="VCA",$AP633&gt;0),$AP633-$AI633-$AQ633-$AR633,0),0)</f>
        <v>59.904</v>
      </c>
      <c r="AT633" s="153" t="n">
        <f aca="false">IFERROR(IF($N633="VCA",INDEX(APOIO_REDES!$A:$W,MATCH($C633&amp;$I633&amp;$H633&amp;$N633&amp;$O633,APOIO_REDES!$W:$W,0),MATCH(AT$5,APOIO_REDES!$5:$5,0)),0)*$AP633,0)</f>
        <v>0.987074378528216</v>
      </c>
      <c r="AU633" s="153" t="n">
        <f aca="false">IFERROR(IF($N633="VCA",INDEX(APOIO_REDES!$A:$W,MATCH($C633&amp;$I633&amp;$H633&amp;$N633&amp;$O633,APOIO_REDES!$W:$W,0),MATCH(AU$5,APOIO_REDES!$5:$5,0)),0)*$AP633,0)</f>
        <v>0.788250865328124</v>
      </c>
      <c r="AV633" s="153" t="n">
        <f aca="false">IFERROR(IF($N633="VCA",INDEX(APOIO_REDES!$A:$W,MATCH($C633&amp;$I633&amp;$H633&amp;$N633&amp;$O633,APOIO_REDES!$W:$W,0),MATCH(AV$5,APOIO_REDES!$5:$5,0)),0)*$AP633,0)</f>
        <v>0.1090877317495</v>
      </c>
      <c r="AW633" s="153" t="n">
        <f aca="false">IFERROR(IF($N633="VCA",INDEX(APOIO_REDES!$A:$W,MATCH($C633&amp;$I633&amp;$H633&amp;$N633&amp;$O633,APOIO_REDES!$W:$W,0),MATCH(AW$5,APOIO_REDES!$5:$5,0)),0)*$AP633,0)</f>
        <v>62.2717895347794</v>
      </c>
      <c r="AX633" s="153" t="n">
        <f aca="false">IFERROR(IF($N633="VCA",INDEX(APOIO_REDES!$A:$W,MATCH($C633&amp;$I633&amp;$H633&amp;$N633&amp;$O633,APOIO_REDES!$W:$W,0),MATCH(AX$5,APOIO_REDES!$5:$5,0)),0)*$AP633,0)</f>
        <v>8.61823828706327</v>
      </c>
      <c r="AY633" s="153" t="n">
        <f aca="false">IFERROR(IF($N633="VCA",INDEX(APOIO_REDES!$A:$W,MATCH($C633&amp;$I633&amp;$H633&amp;$N633&amp;$O633,APOIO_REDES!$W:$W,0),MATCH(AY$5,APOIO_REDES!$5:$5,0)),0)*$AP633,0)</f>
        <v>15.7650076978483</v>
      </c>
      <c r="AZ633" s="153" t="n">
        <f aca="false">IFERROR(IF($N633="VCA",INDEX(APOIO_REDES!$A:$W,MATCH($C633&amp;$I633&amp;$H633&amp;$N633&amp;$O633,APOIO_REDES!$W:$W,0),MATCH(AZ$5,APOIO_REDES!$5:$5,0)),0)*$AP633,0)</f>
        <v>2.18183150470319</v>
      </c>
      <c r="BA633" s="153" t="n">
        <f aca="false">IFERROR(IF(AND($N633="VCA",$Q633="LINEAR"),INDEX(APOIO_REDES!$A:$W,MATCH($C633&amp;$I633&amp;$H633&amp;$N633&amp;$O633,APOIO_REDES!$W:$W,0),MATCH(BA$5,APOIO_REDES!$5:$5,0)),IF(AND($N633="MND",$Q633="EMBOQUE"),INDEX(APOIO_REDES!$A:$W,MATCH($C633&amp;$I633&amp;$H633&amp;$N633&amp;$O633,APOIO_REDES!$W:$W,0),MATCH(BA$5,APOIO_REDES!$5:$5,0)),0))*$M633/10,0)</f>
        <v>8.2531817041695</v>
      </c>
      <c r="BB633" s="153" t="n">
        <f aca="false">IFERROR(IF($N633="VCA",INDEX(APOIO_REDES!$A:$W,MATCH($C633&amp;$I633&amp;$H633&amp;$N633&amp;$O633,APOIO_REDES!$W:$W,0),MATCH(BB$5,APOIO_REDES!$5:$5,0)),0)*($AI633+$AQ633+$AR633),0)</f>
        <v>30.4819788721507</v>
      </c>
      <c r="BC633" s="153" t="n">
        <f aca="false">IFERROR(IF($N633="VCA",INDEX(APOIO_REDES!$A:$W,MATCH($C633&amp;$I633&amp;$H633&amp;$N633&amp;$O633,APOIO_REDES!$W:$W,0),MATCH(BC$5,APOIO_REDES!$5:$5,0)),0)*($AI633+$AQ633+$AR633),0)</f>
        <v>0.335301127849277</v>
      </c>
      <c r="BD633" s="153" t="n">
        <f aca="false">IF(AND($N633="VCA",$AF633&gt;=1.25,$AF633&lt;1.5),$M633*$AF633*2,0)</f>
        <v>279.1424</v>
      </c>
      <c r="BE633" s="153" t="n">
        <f aca="false">IF(AND($N633="VCA",$AF633&gt;=1.5,$AF633&lt;3),$M633*$AF633*2,0)</f>
        <v>0</v>
      </c>
      <c r="BF633" s="153" t="n">
        <f aca="false">IF(AND($N633="VCA",$AF633&gt;=3),$M633*$AF633*2,0)</f>
        <v>0</v>
      </c>
      <c r="BG633" s="153" t="n">
        <f aca="false">($BB633+$BC633)*$AK633</f>
        <v>55.471104</v>
      </c>
      <c r="BH633" s="153" t="n">
        <f aca="false">IF(AND($M633&lt;&gt;"",$N633="VCA",$Q633="LINEAR"),($M633*2)/100,IF(AND($M633&lt;&gt;"",$N633="MND",$Q633="EMBOQUE"),($AN633*2)/100,0))</f>
        <v>2.048</v>
      </c>
      <c r="BI633" s="153" t="n">
        <f aca="false">IF(AND($M633&lt;&gt;"",$N633="VCA",$Q633="LINEAR"),$M633,IF(AND($M633&lt;&gt;"",$N633="MND",$Q633="EMBOQUE"),$AN633*2,0))</f>
        <v>102.4</v>
      </c>
      <c r="BJ633" s="153" t="n">
        <f aca="false">IF(AND($M633&lt;&gt;"",$N633="VCA",$Q633="LINEAR"),($M633*6.8)/100,IF(AND($M633&lt;&gt;"",$N633="MND",$Q633="EMBOQUE"),($AN633*2*6.8)/100,0))</f>
        <v>6.9632</v>
      </c>
      <c r="BK633" s="153" t="n">
        <f aca="false">IF(AND($M633&lt;&gt;"",$N633="VCA",$Q633="LINEAR"),($M633*2.5)/50,IF(AND($M633&lt;&gt;"",$N633="MND",$Q633="EMBOQUE"),($AN633*2*2.5)/50,0))</f>
        <v>5.12</v>
      </c>
      <c r="BL633" s="157" t="str">
        <f aca="false">K633&amp;J633</f>
        <v>Zona06REDES</v>
      </c>
      <c r="BM633" s="152" t="s">
        <v>3790</v>
      </c>
      <c r="BN633" s="152" t="s">
        <v>1560</v>
      </c>
      <c r="BO633" s="152" t="s">
        <v>3797</v>
      </c>
      <c r="BP633" s="152" t="s">
        <v>3956</v>
      </c>
      <c r="BQ633" s="152" t="s">
        <v>3935</v>
      </c>
      <c r="BR633" s="152" t="s">
        <v>3960</v>
      </c>
      <c r="BS633" s="152" t="n">
        <v>204109.894</v>
      </c>
      <c r="BT633" s="152" t="n">
        <v>8237175.659</v>
      </c>
      <c r="BU633" s="152" t="n">
        <v>204015.365</v>
      </c>
      <c r="BV633" s="152" t="n">
        <v>8237210.13</v>
      </c>
      <c r="BW633" s="152" t="n">
        <v>-15.9268843</v>
      </c>
      <c r="BX633" s="152" t="n">
        <v>-47.7640699</v>
      </c>
      <c r="BY633" s="152" t="s">
        <v>3956</v>
      </c>
    </row>
    <row r="634" customFormat="false" ht="13.8" hidden="false" customHeight="false" outlineLevel="0" collapsed="false">
      <c r="A634" s="149" t="n">
        <f aca="false">IF(C634&lt;&gt;"",ROW(A629),"")</f>
        <v>629</v>
      </c>
      <c r="B634" s="150" t="str">
        <f aca="false">HYPERLINK("https://www.google.com/maps/dir/-15.917302,-47.760003/-15.9265626,-47.7613324/data=!4m3!4m2!3e0!5i0")</f>
        <v>https://www.google.com/maps/dir/-15.917302,-47.760003/-15.9265626,-47.7613324/data=!4m3!4m2!3e0!5i0</v>
      </c>
      <c r="C634" s="151" t="s">
        <v>117</v>
      </c>
      <c r="D634" s="152" t="s">
        <v>112</v>
      </c>
      <c r="E634" s="152" t="s">
        <v>113</v>
      </c>
      <c r="F634" s="152" t="s">
        <v>117</v>
      </c>
      <c r="G634" s="152" t="s">
        <v>782</v>
      </c>
      <c r="H634" s="152" t="n">
        <v>110</v>
      </c>
      <c r="I634" s="152" t="s">
        <v>115</v>
      </c>
      <c r="J634" s="152" t="s">
        <v>6</v>
      </c>
      <c r="K634" s="152" t="s">
        <v>3786</v>
      </c>
      <c r="L634" s="152" t="s">
        <v>120</v>
      </c>
      <c r="M634" s="153" t="n">
        <f aca="false">87.33</f>
        <v>87.33</v>
      </c>
      <c r="N634" s="152" t="s">
        <v>1548</v>
      </c>
      <c r="O634" s="152" t="s">
        <v>1549</v>
      </c>
      <c r="P634" s="152" t="s">
        <v>1550</v>
      </c>
      <c r="Q634" s="152" t="s">
        <v>1551</v>
      </c>
      <c r="R634" s="154" t="s">
        <v>3961</v>
      </c>
      <c r="S634" s="154" t="s">
        <v>1593</v>
      </c>
      <c r="T634" s="155" t="s">
        <v>3795</v>
      </c>
      <c r="U634" s="152" t="str">
        <f aca="false">RIGHT(T634,7)</f>
        <v>013/037</v>
      </c>
      <c r="V634" s="152" t="s">
        <v>1555</v>
      </c>
      <c r="W634" s="156" t="n">
        <v>45882</v>
      </c>
      <c r="X634" s="152" t="s">
        <v>1594</v>
      </c>
      <c r="Y634" s="152" t="s">
        <v>2276</v>
      </c>
      <c r="Z634" s="152" t="s">
        <v>1557</v>
      </c>
      <c r="AA634" s="153" t="n">
        <v>1.5</v>
      </c>
      <c r="AB634" s="151" t="s">
        <v>3962</v>
      </c>
      <c r="AC634" s="151" t="s">
        <v>502</v>
      </c>
      <c r="AD634" s="151" t="str">
        <f aca="false">CONCATENATE($C634,$I634,$H634,$N634,$J634,$K634)</f>
        <v>TUBO PEADPEAD110VCAREDESZona06</v>
      </c>
      <c r="AE634" s="153" t="n">
        <f aca="false">IFERROR(INDEX(APOIO_REDES!$A:$W,MATCH($C634&amp;$I634&amp;$H634&amp;$N634&amp;$O634,APOIO_REDES!$W:$W,0),MATCH(AE$5,APOIO_REDES!$5:$5,0)),0)</f>
        <v>1.2</v>
      </c>
      <c r="AF634" s="153" t="n">
        <f aca="false">IFERROR(INDEX(APOIO_REDES!$A:$W,MATCH($C634&amp;$I634&amp;$H634&amp;$N634&amp;$O634,APOIO_REDES!$W:$W,0),MATCH(AF$5,APOIO_REDES!$5:$5,0)),0)</f>
        <v>1.41</v>
      </c>
      <c r="AG634" s="153" t="n">
        <f aca="false">IFERROR(INDEX(APOIO_REDES!$A:$W,MATCH($C634&amp;$I634&amp;$H634&amp;$N634&amp;$O634,APOIO_REDES!$W:$W,0),MATCH(AG$5,APOIO_REDES!$5:$5,0)),0)</f>
        <v>0.75</v>
      </c>
      <c r="AH634" s="153" t="n">
        <f aca="false">IFERROR(INDEX(APOIO_REDES!$A:$W,MATCH($C634&amp;$I634&amp;$H634&amp;$N634&amp;$O634,APOIO_REDES!$W:$W,0),MATCH(AH$5,APOIO_REDES!$5:$5,0)),0)</f>
        <v>0.1</v>
      </c>
      <c r="AI634" s="153" t="n">
        <f aca="false">IFERROR(IF($H634&lt;&gt;"",(((($H634/1000)/2)^2)*PI()*$M634),0),0)</f>
        <v>0.82992474147494</v>
      </c>
      <c r="AJ634" s="153" t="n">
        <f aca="false">IFERROR(IF(AND($H634&lt;&gt;"",$I634="FoFo",OR($N634="MND",$N634="VCA"),$Q634="LINEAR"),0,IF(AND($H634&lt;&gt;"",$I634="PEAD",$N634="VCA",$Q634="LINEAR"),($H634/1000)+0.3,IF(AND($H634&lt;&gt;"",$I634="PEAD",$N634="MND",$Q634="EMBOQUE"),0,IF(AND($H634&lt;&gt;"",$I634="PVC",$N634="VCA",$Q634="LINEAR"),($H634/1000)+0.2,IF(AND($H634&lt;&gt;"",$I634="PVC",$N634="MND",$Q634="EMBOQUE"),0,IF(AND($H634&lt;&gt;"",$I634="PEAD",$N634="VCA",$Q634="PREDIAL"),0,0)))))),0)</f>
        <v>0.41</v>
      </c>
      <c r="AK634" s="153" t="n">
        <f aca="false">IF(AA634&lt;&gt;"",AA634,0)</f>
        <v>1.5</v>
      </c>
      <c r="AL634" s="153" t="n">
        <f aca="false">IF(AND($N634="MND",$Q634="EMBOQUE"),$M634,IF(AND($N634="VCA",$Q634="LINEAR"),$M634,IF(AND($N634="VCA",$Q634="PREDIAL"),0,0)))</f>
        <v>87.33</v>
      </c>
      <c r="AM634" s="153" t="n">
        <f aca="false">IF(AND($N634="MND",$Q634="EMBOQUE"),$M634,IF(AND($N634="VCA",$Q634="LINEAR"),$M634,IF(AND($N634="VCA",$Q634="PREDIAL"),0,0)))</f>
        <v>87.33</v>
      </c>
      <c r="AN634" s="153" t="n">
        <f aca="false">ROUND(IF(AND($N634="VCA",$M634&lt;&gt;"",$Q634="LINEAR"),$M634/100,IF(AND($N634="MND",$M634&gt;100,$Q634="EMBOQUE"),$M634/100,0)),0)</f>
        <v>1</v>
      </c>
      <c r="AO634" s="153" t="n">
        <f aca="false">IF(AND($N634="MND",$Q634="EMBOQUE"),$AN634*2*2,IF(AND($N634="VCA",$Q634="LINEAR"),$M634*2,IF(AND($N634="VCA",$Q634="PREDIAL"),0,0)))</f>
        <v>174.66</v>
      </c>
      <c r="AP634" s="153" t="n">
        <f aca="false">IFERROR($M634*$AF634*$AG634,0)</f>
        <v>92.351475</v>
      </c>
      <c r="AQ634" s="153" t="n">
        <f aca="false">IFERROR(IF(AND($N634="VCA",$AH634&gt;0),$M634*$AG634*$AH634,0),0)</f>
        <v>6.54975</v>
      </c>
      <c r="AR634" s="153" t="n">
        <f aca="false">IFERROR(IF(AND($N634="VCA",$AJ634&gt;0),($M634*$AG634*$AJ634)-$AI634,0),0)</f>
        <v>26.0240502585251</v>
      </c>
      <c r="AS634" s="153" t="n">
        <f aca="false">IFERROR(IF(AND($N634="VCA",$AP634&gt;0),$AP634-$AI634-$AQ634-$AR634,0),0)</f>
        <v>58.94775</v>
      </c>
      <c r="AT634" s="153" t="n">
        <f aca="false">IFERROR(IF($N634="VCA",INDEX(APOIO_REDES!$A:$W,MATCH($C634&amp;$I634&amp;$H634&amp;$N634&amp;$O634,APOIO_REDES!$W:$W,0),MATCH(AT$5,APOIO_REDES!$5:$5,0)),0)*$AP634,0)</f>
        <v>1.00481138264131</v>
      </c>
      <c r="AU634" s="153" t="n">
        <f aca="false">IFERROR(IF($N634="VCA",INDEX(APOIO_REDES!$A:$W,MATCH($C634&amp;$I634&amp;$H634&amp;$N634&amp;$O634,APOIO_REDES!$W:$W,0),MATCH(AU$5,APOIO_REDES!$5:$5,0)),0)*$AP634,0)</f>
        <v>0.802415156433845</v>
      </c>
      <c r="AV634" s="153" t="n">
        <f aca="false">IFERROR(IF($N634="VCA",INDEX(APOIO_REDES!$A:$W,MATCH($C634&amp;$I634&amp;$H634&amp;$N634&amp;$O634,APOIO_REDES!$W:$W,0),MATCH(AV$5,APOIO_REDES!$5:$5,0)),0)*$AP634,0)</f>
        <v>0.111047958444486</v>
      </c>
      <c r="AW634" s="153" t="n">
        <f aca="false">IFERROR(IF($N634="VCA",INDEX(APOIO_REDES!$A:$W,MATCH($C634&amp;$I634&amp;$H634&amp;$N634&amp;$O634,APOIO_REDES!$W:$W,0),MATCH(AW$5,APOIO_REDES!$5:$5,0)),0)*$AP634,0)</f>
        <v>63.3907680141466</v>
      </c>
      <c r="AX634" s="153" t="n">
        <f aca="false">IFERROR(IF($N634="VCA",INDEX(APOIO_REDES!$A:$W,MATCH($C634&amp;$I634&amp;$H634&amp;$N634&amp;$O634,APOIO_REDES!$W:$W,0),MATCH(AX$5,APOIO_REDES!$5:$5,0)),0)*$AP634,0)</f>
        <v>8.77310172113717</v>
      </c>
      <c r="AY634" s="153" t="n">
        <f aca="false">IFERROR(IF($N634="VCA",INDEX(APOIO_REDES!$A:$W,MATCH($C634&amp;$I634&amp;$H634&amp;$N634&amp;$O634,APOIO_REDES!$W:$W,0),MATCH(AY$5,APOIO_REDES!$5:$5,0)),0)*$AP634,0)</f>
        <v>16.0482933473012</v>
      </c>
      <c r="AZ634" s="153" t="n">
        <f aca="false">IFERROR(IF($N634="VCA",INDEX(APOIO_REDES!$A:$W,MATCH($C634&amp;$I634&amp;$H634&amp;$N634&amp;$O634,APOIO_REDES!$W:$W,0),MATCH(AZ$5,APOIO_REDES!$5:$5,0)),0)*$AP634,0)</f>
        <v>2.22103741989541</v>
      </c>
      <c r="BA634" s="153" t="n">
        <f aca="false">IFERROR(IF(AND($N634="VCA",$Q634="LINEAR"),INDEX(APOIO_REDES!$A:$W,MATCH($C634&amp;$I634&amp;$H634&amp;$N634&amp;$O634,APOIO_REDES!$W:$W,0),MATCH(BA$5,APOIO_REDES!$5:$5,0)),IF(AND($N634="MND",$Q634="EMBOQUE"),INDEX(APOIO_REDES!$A:$W,MATCH($C634&amp;$I634&amp;$H634&amp;$N634&amp;$O634,APOIO_REDES!$W:$W,0),MATCH(BA$5,APOIO_REDES!$5:$5,0)),0))*$M634/10,0)</f>
        <v>7.03857771704221</v>
      </c>
      <c r="BB634" s="153" t="n">
        <f aca="false">IFERROR(IF($N634="VCA",INDEX(APOIO_REDES!$A:$W,MATCH($C634&amp;$I634&amp;$H634&amp;$N634&amp;$O634,APOIO_REDES!$W:$W,0),MATCH(BB$5,APOIO_REDES!$5:$5,0)),0)*($AI634+$AQ634+$AR634),0)</f>
        <v>33.0402825850021</v>
      </c>
      <c r="BC634" s="153" t="n">
        <f aca="false">IFERROR(IF($N634="VCA",INDEX(APOIO_REDES!$A:$W,MATCH($C634&amp;$I634&amp;$H634&amp;$N634&amp;$O634,APOIO_REDES!$W:$W,0),MATCH(BC$5,APOIO_REDES!$5:$5,0)),0)*($AI634+$AQ634+$AR634),0)</f>
        <v>0.363442414997919</v>
      </c>
      <c r="BD634" s="153" t="n">
        <f aca="false">IF(AND($N634="VCA",$AF634&gt;=1.25,$AF634&lt;1.5),$M634*$AF634*2,0)</f>
        <v>246.2706</v>
      </c>
      <c r="BE634" s="153" t="n">
        <f aca="false">IF(AND($N634="VCA",$AF634&gt;=1.5,$AF634&lt;3),$M634*$AF634*2,0)</f>
        <v>0</v>
      </c>
      <c r="BF634" s="153" t="n">
        <f aca="false">IF(AND($N634="VCA",$AF634&gt;=3),$M634*$AF634*2,0)</f>
        <v>0</v>
      </c>
      <c r="BG634" s="153" t="n">
        <f aca="false">($BB634+$BC634)*$AK634</f>
        <v>50.1055875</v>
      </c>
      <c r="BH634" s="153" t="n">
        <f aca="false">IF(AND($M634&lt;&gt;"",$N634="VCA",$Q634="LINEAR"),($M634*2)/100,IF(AND($M634&lt;&gt;"",$N634="MND",$Q634="EMBOQUE"),($AN634*2)/100,0))</f>
        <v>1.7466</v>
      </c>
      <c r="BI634" s="153" t="n">
        <f aca="false">IF(AND($M634&lt;&gt;"",$N634="VCA",$Q634="LINEAR"),$M634,IF(AND($M634&lt;&gt;"",$N634="MND",$Q634="EMBOQUE"),$AN634*2,0))</f>
        <v>87.33</v>
      </c>
      <c r="BJ634" s="153" t="n">
        <f aca="false">IF(AND($M634&lt;&gt;"",$N634="VCA",$Q634="LINEAR"),($M634*6.8)/100,IF(AND($M634&lt;&gt;"",$N634="MND",$Q634="EMBOQUE"),($AN634*2*6.8)/100,0))</f>
        <v>5.93844</v>
      </c>
      <c r="BK634" s="153" t="n">
        <f aca="false">IF(AND($M634&lt;&gt;"",$N634="VCA",$Q634="LINEAR"),($M634*2.5)/50,IF(AND($M634&lt;&gt;"",$N634="MND",$Q634="EMBOQUE"),($AN634*2*2.5)/50,0))</f>
        <v>4.3665</v>
      </c>
      <c r="BL634" s="157" t="str">
        <f aca="false">K634&amp;J634</f>
        <v>Zona06REDES</v>
      </c>
      <c r="BM634" s="152" t="s">
        <v>3790</v>
      </c>
      <c r="BN634" s="152" t="s">
        <v>1560</v>
      </c>
      <c r="BO634" s="152" t="s">
        <v>3797</v>
      </c>
      <c r="BP634" s="152" t="s">
        <v>3898</v>
      </c>
      <c r="BQ634" s="152" t="s">
        <v>3963</v>
      </c>
      <c r="BR634" s="152" t="s">
        <v>3964</v>
      </c>
      <c r="BS634" s="152" t="n">
        <v>204354.638</v>
      </c>
      <c r="BT634" s="152" t="n">
        <v>8237230.815</v>
      </c>
      <c r="BU634" s="152" t="n">
        <v>204320.623</v>
      </c>
      <c r="BV634" s="152" t="n">
        <v>8237150.398</v>
      </c>
      <c r="BW634" s="152" t="n">
        <v>-15.926932</v>
      </c>
      <c r="BX634" s="152" t="n">
        <v>-47.7615028</v>
      </c>
      <c r="BY634" s="152" t="s">
        <v>3898</v>
      </c>
    </row>
    <row r="635" customFormat="false" ht="13.8" hidden="false" customHeight="false" outlineLevel="0" collapsed="false">
      <c r="A635" s="149" t="n">
        <f aca="false">IF(C635&lt;&gt;"",ROW(A630),"")</f>
        <v>630</v>
      </c>
      <c r="B635" s="150" t="str">
        <f aca="false">HYPERLINK("https://www.google.com/maps/dir/-15.917302,-47.760003/-15.9270731,-47.7636378/data=!4m3!4m2!3e0!5i0")</f>
        <v>https://www.google.com/maps/dir/-15.917302,-47.760003/-15.9270731,-47.7636378/data=!4m3!4m2!3e0!5i0</v>
      </c>
      <c r="C635" s="151" t="s">
        <v>117</v>
      </c>
      <c r="D635" s="152" t="s">
        <v>112</v>
      </c>
      <c r="E635" s="152" t="s">
        <v>113</v>
      </c>
      <c r="F635" s="152" t="s">
        <v>117</v>
      </c>
      <c r="G635" s="152" t="s">
        <v>782</v>
      </c>
      <c r="H635" s="152" t="n">
        <v>63</v>
      </c>
      <c r="I635" s="152" t="s">
        <v>115</v>
      </c>
      <c r="J635" s="152" t="s">
        <v>6</v>
      </c>
      <c r="K635" s="152" t="s">
        <v>3786</v>
      </c>
      <c r="L635" s="152" t="s">
        <v>120</v>
      </c>
      <c r="M635" s="153" t="n">
        <f aca="false">102.74</f>
        <v>102.74</v>
      </c>
      <c r="N635" s="152" t="s">
        <v>1548</v>
      </c>
      <c r="O635" s="152" t="s">
        <v>1549</v>
      </c>
      <c r="P635" s="152" t="s">
        <v>1550</v>
      </c>
      <c r="Q635" s="152" t="s">
        <v>1551</v>
      </c>
      <c r="R635" s="154" t="s">
        <v>3965</v>
      </c>
      <c r="S635" s="154" t="s">
        <v>1553</v>
      </c>
      <c r="T635" s="155" t="s">
        <v>3795</v>
      </c>
      <c r="U635" s="152" t="str">
        <f aca="false">RIGHT(T635,7)</f>
        <v>013/037</v>
      </c>
      <c r="V635" s="152" t="s">
        <v>1555</v>
      </c>
      <c r="W635" s="156" t="n">
        <v>45882</v>
      </c>
      <c r="X635" s="152" t="s">
        <v>1594</v>
      </c>
      <c r="Y635" s="152" t="s">
        <v>2553</v>
      </c>
      <c r="Z635" s="152" t="s">
        <v>1557</v>
      </c>
      <c r="AA635" s="153" t="n">
        <v>1.8</v>
      </c>
      <c r="AB635" s="151" t="s">
        <v>3966</v>
      </c>
      <c r="AC635" s="151" t="s">
        <v>186</v>
      </c>
      <c r="AD635" s="151" t="str">
        <f aca="false">CONCATENATE($C635,$I635,$H635,$N635,$J635,$K635)</f>
        <v>TUBO PEADPEAD63VCAREDESZona06</v>
      </c>
      <c r="AE635" s="153" t="n">
        <f aca="false">IFERROR(INDEX(APOIO_REDES!$A:$W,MATCH($C635&amp;$I635&amp;$H635&amp;$N635&amp;$O635,APOIO_REDES!$W:$W,0),MATCH(AE$5,APOIO_REDES!$5:$5,0)),0)</f>
        <v>1.2</v>
      </c>
      <c r="AF635" s="153" t="n">
        <f aca="false">IFERROR(INDEX(APOIO_REDES!$A:$W,MATCH($C635&amp;$I635&amp;$H635&amp;$N635&amp;$O635,APOIO_REDES!$W:$W,0),MATCH(AF$5,APOIO_REDES!$5:$5,0)),0)</f>
        <v>1.363</v>
      </c>
      <c r="AG635" s="153" t="n">
        <f aca="false">IFERROR(INDEX(APOIO_REDES!$A:$W,MATCH($C635&amp;$I635&amp;$H635&amp;$N635&amp;$O635,APOIO_REDES!$W:$W,0),MATCH(AG$5,APOIO_REDES!$5:$5,0)),0)</f>
        <v>0.65</v>
      </c>
      <c r="AH635" s="153" t="n">
        <f aca="false">IFERROR(INDEX(APOIO_REDES!$A:$W,MATCH($C635&amp;$I635&amp;$H635&amp;$N635&amp;$O635,APOIO_REDES!$W:$W,0),MATCH(AH$5,APOIO_REDES!$5:$5,0)),0)</f>
        <v>0.1</v>
      </c>
      <c r="AI635" s="153" t="n">
        <f aca="false">IFERROR(IF($H635&lt;&gt;"",(((($H635/1000)/2)^2)*PI()*$M635),0),0)</f>
        <v>0.320265783203284</v>
      </c>
      <c r="AJ635" s="153" t="n">
        <f aca="false">IFERROR(IF(AND($H635&lt;&gt;"",$I635="FoFo",OR($N635="MND",$N635="VCA"),$Q635="LINEAR"),0,IF(AND($H635&lt;&gt;"",$I635="PEAD",$N635="VCA",$Q635="LINEAR"),($H635/1000)+0.3,IF(AND($H635&lt;&gt;"",$I635="PEAD",$N635="MND",$Q635="EMBOQUE"),0,IF(AND($H635&lt;&gt;"",$I635="PVC",$N635="VCA",$Q635="LINEAR"),($H635/1000)+0.2,IF(AND($H635&lt;&gt;"",$I635="PVC",$N635="MND",$Q635="EMBOQUE"),0,IF(AND($H635&lt;&gt;"",$I635="PEAD",$N635="VCA",$Q635="PREDIAL"),0,0)))))),0)</f>
        <v>0.363</v>
      </c>
      <c r="AK635" s="153" t="n">
        <f aca="false">IF(AA635&lt;&gt;"",AA635,0)</f>
        <v>1.8</v>
      </c>
      <c r="AL635" s="153" t="n">
        <f aca="false">IF(AND($N635="MND",$Q635="EMBOQUE"),$M635,IF(AND($N635="VCA",$Q635="LINEAR"),$M635,IF(AND($N635="VCA",$Q635="PREDIAL"),0,0)))</f>
        <v>102.74</v>
      </c>
      <c r="AM635" s="153" t="n">
        <f aca="false">IF(AND($N635="MND",$Q635="EMBOQUE"),$M635,IF(AND($N635="VCA",$Q635="LINEAR"),$M635,IF(AND($N635="VCA",$Q635="PREDIAL"),0,0)))</f>
        <v>102.74</v>
      </c>
      <c r="AN635" s="153" t="n">
        <f aca="false">ROUND(IF(AND($N635="VCA",$M635&lt;&gt;"",$Q635="LINEAR"),$M635/100,IF(AND($N635="MND",$M635&gt;100,$Q635="EMBOQUE"),$M635/100,0)),0)</f>
        <v>1</v>
      </c>
      <c r="AO635" s="153" t="n">
        <f aca="false">IF(AND($N635="MND",$Q635="EMBOQUE"),$AN635*2*2,IF(AND($N635="VCA",$Q635="LINEAR"),$M635*2,IF(AND($N635="VCA",$Q635="PREDIAL"),0,0)))</f>
        <v>205.48</v>
      </c>
      <c r="AP635" s="153" t="n">
        <f aca="false">IFERROR($M635*$AF635*$AG635,0)</f>
        <v>91.022503</v>
      </c>
      <c r="AQ635" s="153" t="n">
        <f aca="false">IFERROR(IF(AND($N635="VCA",$AH635&gt;0),$M635*$AG635*$AH635,0),0)</f>
        <v>6.6781</v>
      </c>
      <c r="AR635" s="153" t="n">
        <f aca="false">IFERROR(IF(AND($N635="VCA",$AJ635&gt;0),($M635*$AG635*$AJ635)-$AI635,0),0)</f>
        <v>23.9212372167967</v>
      </c>
      <c r="AS635" s="153" t="n">
        <f aca="false">IFERROR(IF(AND($N635="VCA",$AP635&gt;0),$AP635-$AI635-$AQ635-$AR635,0),0)</f>
        <v>60.1029</v>
      </c>
      <c r="AT635" s="153" t="n">
        <f aca="false">IFERROR(IF($N635="VCA",INDEX(APOIO_REDES!$A:$W,MATCH($C635&amp;$I635&amp;$H635&amp;$N635&amp;$O635,APOIO_REDES!$W:$W,0),MATCH(AT$5,APOIO_REDES!$5:$5,0)),0)*$AP635,0)</f>
        <v>0.990351773925673</v>
      </c>
      <c r="AU635" s="153" t="n">
        <f aca="false">IFERROR(IF($N635="VCA",INDEX(APOIO_REDES!$A:$W,MATCH($C635&amp;$I635&amp;$H635&amp;$N635&amp;$O635,APOIO_REDES!$W:$W,0),MATCH(AU$5,APOIO_REDES!$5:$5,0)),0)*$AP635,0)</f>
        <v>0.790868104529409</v>
      </c>
      <c r="AV635" s="153" t="n">
        <f aca="false">IFERROR(IF($N635="VCA",INDEX(APOIO_REDES!$A:$W,MATCH($C635&amp;$I635&amp;$H635&amp;$N635&amp;$O635,APOIO_REDES!$W:$W,0),MATCH(AV$5,APOIO_REDES!$5:$5,0)),0)*$AP635,0)</f>
        <v>0.109449937108824</v>
      </c>
      <c r="AW635" s="153" t="n">
        <f aca="false">IFERROR(IF($N635="VCA",INDEX(APOIO_REDES!$A:$W,MATCH($C635&amp;$I635&amp;$H635&amp;$N635&amp;$O635,APOIO_REDES!$W:$W,0),MATCH(AW$5,APOIO_REDES!$5:$5,0)),0)*$AP635,0)</f>
        <v>62.4785513359691</v>
      </c>
      <c r="AX635" s="153" t="n">
        <f aca="false">IFERROR(IF($N635="VCA",INDEX(APOIO_REDES!$A:$W,MATCH($C635&amp;$I635&amp;$H635&amp;$N635&amp;$O635,APOIO_REDES!$W:$W,0),MATCH(AX$5,APOIO_REDES!$5:$5,0)),0)*$AP635,0)</f>
        <v>8.64685353137579</v>
      </c>
      <c r="AY635" s="153" t="n">
        <f aca="false">IFERROR(IF($N635="VCA",INDEX(APOIO_REDES!$A:$W,MATCH($C635&amp;$I635&amp;$H635&amp;$N635&amp;$O635,APOIO_REDES!$W:$W,0),MATCH(AY$5,APOIO_REDES!$5:$5,0)),0)*$AP635,0)</f>
        <v>15.8173524499701</v>
      </c>
      <c r="AZ635" s="153" t="n">
        <f aca="false">IFERROR(IF($N635="VCA",INDEX(APOIO_REDES!$A:$W,MATCH($C635&amp;$I635&amp;$H635&amp;$N635&amp;$O635,APOIO_REDES!$W:$W,0),MATCH(AZ$5,APOIO_REDES!$5:$5,0)),0)*$AP635,0)</f>
        <v>2.18907586712115</v>
      </c>
      <c r="BA635" s="153" t="n">
        <f aca="false">IFERROR(IF(AND($N635="VCA",$Q635="LINEAR"),INDEX(APOIO_REDES!$A:$W,MATCH($C635&amp;$I635&amp;$H635&amp;$N635&amp;$O635,APOIO_REDES!$W:$W,0),MATCH(BA$5,APOIO_REDES!$5:$5,0)),IF(AND($N635="MND",$Q635="EMBOQUE"),INDEX(APOIO_REDES!$A:$W,MATCH($C635&amp;$I635&amp;$H635&amp;$N635&amp;$O635,APOIO_REDES!$W:$W,0),MATCH(BA$5,APOIO_REDES!$5:$5,0)),0))*$M635/10,0)</f>
        <v>8.28058484654663</v>
      </c>
      <c r="BB635" s="153" t="n">
        <f aca="false">IFERROR(IF($N635="VCA",INDEX(APOIO_REDES!$A:$W,MATCH($C635&amp;$I635&amp;$H635&amp;$N635&amp;$O635,APOIO_REDES!$W:$W,0),MATCH(BB$5,APOIO_REDES!$5:$5,0)),0)*($AI635+$AQ635+$AR635),0)</f>
        <v>30.5831885676247</v>
      </c>
      <c r="BC635" s="153" t="n">
        <f aca="false">IFERROR(IF($N635="VCA",INDEX(APOIO_REDES!$A:$W,MATCH($C635&amp;$I635&amp;$H635&amp;$N635&amp;$O635,APOIO_REDES!$W:$W,0),MATCH(BC$5,APOIO_REDES!$5:$5,0)),0)*($AI635+$AQ635+$AR635),0)</f>
        <v>0.336414432375339</v>
      </c>
      <c r="BD635" s="153" t="n">
        <f aca="false">IF(AND($N635="VCA",$AF635&gt;=1.25,$AF635&lt;1.5),$M635*$AF635*2,0)</f>
        <v>280.06924</v>
      </c>
      <c r="BE635" s="153" t="n">
        <f aca="false">IF(AND($N635="VCA",$AF635&gt;=1.5,$AF635&lt;3),$M635*$AF635*2,0)</f>
        <v>0</v>
      </c>
      <c r="BF635" s="153" t="n">
        <f aca="false">IF(AND($N635="VCA",$AF635&gt;=3),$M635*$AF635*2,0)</f>
        <v>0</v>
      </c>
      <c r="BG635" s="153" t="n">
        <f aca="false">($BB635+$BC635)*$AK635</f>
        <v>55.6552854</v>
      </c>
      <c r="BH635" s="153" t="n">
        <f aca="false">IF(AND($M635&lt;&gt;"",$N635="VCA",$Q635="LINEAR"),($M635*2)/100,IF(AND($M635&lt;&gt;"",$N635="MND",$Q635="EMBOQUE"),($AN635*2)/100,0))</f>
        <v>2.0548</v>
      </c>
      <c r="BI635" s="153" t="n">
        <f aca="false">IF(AND($M635&lt;&gt;"",$N635="VCA",$Q635="LINEAR"),$M635,IF(AND($M635&lt;&gt;"",$N635="MND",$Q635="EMBOQUE"),$AN635*2,0))</f>
        <v>102.74</v>
      </c>
      <c r="BJ635" s="153" t="n">
        <f aca="false">IF(AND($M635&lt;&gt;"",$N635="VCA",$Q635="LINEAR"),($M635*6.8)/100,IF(AND($M635&lt;&gt;"",$N635="MND",$Q635="EMBOQUE"),($AN635*2*6.8)/100,0))</f>
        <v>6.98632</v>
      </c>
      <c r="BK635" s="153" t="n">
        <f aca="false">IF(AND($M635&lt;&gt;"",$N635="VCA",$Q635="LINEAR"),($M635*2.5)/50,IF(AND($M635&lt;&gt;"",$N635="MND",$Q635="EMBOQUE"),($AN635*2*2.5)/50,0))</f>
        <v>5.137</v>
      </c>
      <c r="BL635" s="157" t="str">
        <f aca="false">K635&amp;J635</f>
        <v>Zona06REDES</v>
      </c>
      <c r="BM635" s="152" t="s">
        <v>3790</v>
      </c>
      <c r="BN635" s="152" t="s">
        <v>1560</v>
      </c>
      <c r="BO635" s="152" t="s">
        <v>3797</v>
      </c>
      <c r="BP635" s="152" t="s">
        <v>3967</v>
      </c>
      <c r="BQ635" s="152" t="s">
        <v>3952</v>
      </c>
      <c r="BR635" s="152" t="s">
        <v>3968</v>
      </c>
      <c r="BS635" s="152" t="n">
        <v>204108.917</v>
      </c>
      <c r="BT635" s="152" t="n">
        <v>8237172.022</v>
      </c>
      <c r="BU635" s="152" t="n">
        <v>204011.382</v>
      </c>
      <c r="BV635" s="152" t="n">
        <v>8237203.249</v>
      </c>
      <c r="BW635" s="152" t="n">
        <v>-15.9269167</v>
      </c>
      <c r="BX635" s="152" t="n">
        <v>-47.7640891</v>
      </c>
      <c r="BY635" s="152" t="s">
        <v>3967</v>
      </c>
    </row>
    <row r="636" customFormat="false" ht="13.8" hidden="false" customHeight="false" outlineLevel="0" collapsed="false">
      <c r="A636" s="149" t="n">
        <f aca="false">IF(C636&lt;&gt;"",ROW(A631),"")</f>
        <v>631</v>
      </c>
      <c r="B636" s="150" t="str">
        <f aca="false">HYPERLINK("https://www.google.com/maps/dir/-15.917302,-47.760003/-15.9272028,-47.7631997/data=!4m3!4m2!3e0!5i1")</f>
        <v>https://www.google.com/maps/dir/-15.917302,-47.760003/-15.9272028,-47.7631997/data=!4m3!4m2!3e0!5i1</v>
      </c>
      <c r="C636" s="151" t="s">
        <v>117</v>
      </c>
      <c r="D636" s="152" t="s">
        <v>112</v>
      </c>
      <c r="E636" s="152" t="s">
        <v>113</v>
      </c>
      <c r="F636" s="152" t="s">
        <v>117</v>
      </c>
      <c r="G636" s="152" t="s">
        <v>782</v>
      </c>
      <c r="H636" s="152" t="n">
        <v>63</v>
      </c>
      <c r="I636" s="152" t="s">
        <v>115</v>
      </c>
      <c r="J636" s="152" t="s">
        <v>6</v>
      </c>
      <c r="K636" s="152" t="s">
        <v>3786</v>
      </c>
      <c r="L636" s="152" t="s">
        <v>120</v>
      </c>
      <c r="M636" s="153" t="n">
        <f aca="false">48.08+1.54</f>
        <v>49.62</v>
      </c>
      <c r="N636" s="152" t="s">
        <v>1548</v>
      </c>
      <c r="O636" s="152" t="s">
        <v>1549</v>
      </c>
      <c r="P636" s="152" t="s">
        <v>1550</v>
      </c>
      <c r="Q636" s="152" t="s">
        <v>1551</v>
      </c>
      <c r="R636" s="154" t="s">
        <v>3969</v>
      </c>
      <c r="S636" s="154" t="s">
        <v>1553</v>
      </c>
      <c r="T636" s="155" t="s">
        <v>3795</v>
      </c>
      <c r="U636" s="152" t="str">
        <f aca="false">RIGHT(T636,7)</f>
        <v>013/037</v>
      </c>
      <c r="V636" s="152" t="s">
        <v>1555</v>
      </c>
      <c r="W636" s="156" t="n">
        <v>45882</v>
      </c>
      <c r="X636" s="152" t="s">
        <v>1594</v>
      </c>
      <c r="Y636" s="152" t="s">
        <v>2553</v>
      </c>
      <c r="Z636" s="152" t="s">
        <v>1557</v>
      </c>
      <c r="AA636" s="153" t="n">
        <v>1.9</v>
      </c>
      <c r="AB636" s="151" t="s">
        <v>3970</v>
      </c>
      <c r="AC636" s="151" t="s">
        <v>186</v>
      </c>
      <c r="AD636" s="151" t="str">
        <f aca="false">CONCATENATE($C636,$I636,$H636,$N636,$J636,$K636)</f>
        <v>TUBO PEADPEAD63VCAREDESZona06</v>
      </c>
      <c r="AE636" s="153" t="n">
        <f aca="false">IFERROR(INDEX(APOIO_REDES!$A:$W,MATCH($C636&amp;$I636&amp;$H636&amp;$N636&amp;$O636,APOIO_REDES!$W:$W,0),MATCH(AE$5,APOIO_REDES!$5:$5,0)),0)</f>
        <v>1.2</v>
      </c>
      <c r="AF636" s="153" t="n">
        <f aca="false">IFERROR(INDEX(APOIO_REDES!$A:$W,MATCH($C636&amp;$I636&amp;$H636&amp;$N636&amp;$O636,APOIO_REDES!$W:$W,0),MATCH(AF$5,APOIO_REDES!$5:$5,0)),0)</f>
        <v>1.363</v>
      </c>
      <c r="AG636" s="153" t="n">
        <f aca="false">IFERROR(INDEX(APOIO_REDES!$A:$W,MATCH($C636&amp;$I636&amp;$H636&amp;$N636&amp;$O636,APOIO_REDES!$W:$W,0),MATCH(AG$5,APOIO_REDES!$5:$5,0)),0)</f>
        <v>0.65</v>
      </c>
      <c r="AH636" s="153" t="n">
        <f aca="false">IFERROR(INDEX(APOIO_REDES!$A:$W,MATCH($C636&amp;$I636&amp;$H636&amp;$N636&amp;$O636,APOIO_REDES!$W:$W,0),MATCH(AH$5,APOIO_REDES!$5:$5,0)),0)</f>
        <v>0.1</v>
      </c>
      <c r="AI636" s="153" t="n">
        <f aca="false">IFERROR(IF($H636&lt;&gt;"",(((($H636/1000)/2)^2)*PI()*$M636),0),0)</f>
        <v>0.154677712308224</v>
      </c>
      <c r="AJ636" s="153" t="n">
        <f aca="false">IFERROR(IF(AND($H636&lt;&gt;"",$I636="FoFo",OR($N636="MND",$N636="VCA"),$Q636="LINEAR"),0,IF(AND($H636&lt;&gt;"",$I636="PEAD",$N636="VCA",$Q636="LINEAR"),($H636/1000)+0.3,IF(AND($H636&lt;&gt;"",$I636="PEAD",$N636="MND",$Q636="EMBOQUE"),0,IF(AND($H636&lt;&gt;"",$I636="PVC",$N636="VCA",$Q636="LINEAR"),($H636/1000)+0.2,IF(AND($H636&lt;&gt;"",$I636="PVC",$N636="MND",$Q636="EMBOQUE"),0,IF(AND($H636&lt;&gt;"",$I636="PEAD",$N636="VCA",$Q636="PREDIAL"),0,0)))))),0)</f>
        <v>0.363</v>
      </c>
      <c r="AK636" s="153" t="n">
        <f aca="false">IF(AA636&lt;&gt;"",AA636,0)</f>
        <v>1.9</v>
      </c>
      <c r="AL636" s="153" t="n">
        <f aca="false">IF(AND($N636="MND",$Q636="EMBOQUE"),$M636,IF(AND($N636="VCA",$Q636="LINEAR"),$M636,IF(AND($N636="VCA",$Q636="PREDIAL"),0,0)))</f>
        <v>49.62</v>
      </c>
      <c r="AM636" s="153" t="n">
        <f aca="false">IF(AND($N636="MND",$Q636="EMBOQUE"),$M636,IF(AND($N636="VCA",$Q636="LINEAR"),$M636,IF(AND($N636="VCA",$Q636="PREDIAL"),0,0)))</f>
        <v>49.62</v>
      </c>
      <c r="AN636" s="153" t="n">
        <f aca="false">ROUND(IF(AND($N636="VCA",$M636&lt;&gt;"",$Q636="LINEAR"),$M636/100,IF(AND($N636="MND",$M636&gt;100,$Q636="EMBOQUE"),$M636/100,0)),0)</f>
        <v>0</v>
      </c>
      <c r="AO636" s="153" t="n">
        <f aca="false">IF(AND($N636="MND",$Q636="EMBOQUE"),$AN636*2*2,IF(AND($N636="VCA",$Q636="LINEAR"),$M636*2,IF(AND($N636="VCA",$Q636="PREDIAL"),0,0)))</f>
        <v>99.24</v>
      </c>
      <c r="AP636" s="153" t="n">
        <f aca="false">IFERROR($M636*$AF636*$AG636,0)</f>
        <v>43.960839</v>
      </c>
      <c r="AQ636" s="153" t="n">
        <f aca="false">IFERROR(IF(AND($N636="VCA",$AH636&gt;0),$M636*$AG636*$AH636,0),0)</f>
        <v>3.2253</v>
      </c>
      <c r="AR636" s="153" t="n">
        <f aca="false">IFERROR(IF(AND($N636="VCA",$AJ636&gt;0),($M636*$AG636*$AJ636)-$AI636,0),0)</f>
        <v>11.5531612876918</v>
      </c>
      <c r="AS636" s="153" t="n">
        <f aca="false">IFERROR(IF(AND($N636="VCA",$AP636&gt;0),$AP636-$AI636-$AQ636-$AR636,0),0)</f>
        <v>29.0277</v>
      </c>
      <c r="AT636" s="153" t="n">
        <f aca="false">IFERROR(IF($N636="VCA",INDEX(APOIO_REDES!$A:$W,MATCH($C636&amp;$I636&amp;$H636&amp;$N636&amp;$O636,APOIO_REDES!$W:$W,0),MATCH(AT$5,APOIO_REDES!$5:$5,0)),0)*$AP636,0)</f>
        <v>0.478306940064161</v>
      </c>
      <c r="AU636" s="153" t="n">
        <f aca="false">IFERROR(IF($N636="VCA",INDEX(APOIO_REDES!$A:$W,MATCH($C636&amp;$I636&amp;$H636&amp;$N636&amp;$O636,APOIO_REDES!$W:$W,0),MATCH(AU$5,APOIO_REDES!$5:$5,0)),0)*$AP636,0)</f>
        <v>0.381962968140445</v>
      </c>
      <c r="AV636" s="153" t="n">
        <f aca="false">IFERROR(IF($N636="VCA",INDEX(APOIO_REDES!$A:$W,MATCH($C636&amp;$I636&amp;$H636&amp;$N636&amp;$O636,APOIO_REDES!$W:$W,0),MATCH(AV$5,APOIO_REDES!$5:$5,0)),0)*$AP636,0)</f>
        <v>0.0528606762637712</v>
      </c>
      <c r="AW636" s="153" t="n">
        <f aca="false">IFERROR(IF($N636="VCA",INDEX(APOIO_REDES!$A:$W,MATCH($C636&amp;$I636&amp;$H636&amp;$N636&amp;$O636,APOIO_REDES!$W:$W,0),MATCH(AW$5,APOIO_REDES!$5:$5,0)),0)*$AP636,0)</f>
        <v>30.1750605148023</v>
      </c>
      <c r="AX636" s="153" t="n">
        <f aca="false">IFERROR(IF($N636="VCA",INDEX(APOIO_REDES!$A:$W,MATCH($C636&amp;$I636&amp;$H636&amp;$N636&amp;$O636,APOIO_REDES!$W:$W,0),MATCH(AX$5,APOIO_REDES!$5:$5,0)),0)*$AP636,0)</f>
        <v>4.17614241996172</v>
      </c>
      <c r="AY636" s="153" t="n">
        <f aca="false">IFERROR(IF($N636="VCA",INDEX(APOIO_REDES!$A:$W,MATCH($C636&amp;$I636&amp;$H636&amp;$N636&amp;$O636,APOIO_REDES!$W:$W,0),MATCH(AY$5,APOIO_REDES!$5:$5,0)),0)*$AP636,0)</f>
        <v>7.63925470671127</v>
      </c>
      <c r="AZ636" s="153" t="n">
        <f aca="false">IFERROR(IF($N636="VCA",INDEX(APOIO_REDES!$A:$W,MATCH($C636&amp;$I636&amp;$H636&amp;$N636&amp;$O636,APOIO_REDES!$W:$W,0),MATCH(AZ$5,APOIO_REDES!$5:$5,0)),0)*$AP636,0)</f>
        <v>1.05725077405637</v>
      </c>
      <c r="BA636" s="153" t="n">
        <f aca="false">IFERROR(IF(AND($N636="VCA",$Q636="LINEAR"),INDEX(APOIO_REDES!$A:$W,MATCH($C636&amp;$I636&amp;$H636&amp;$N636&amp;$O636,APOIO_REDES!$W:$W,0),MATCH(BA$5,APOIO_REDES!$5:$5,0)),IF(AND($N636="MND",$Q636="EMBOQUE"),INDEX(APOIO_REDES!$A:$W,MATCH($C636&amp;$I636&amp;$H636&amp;$N636&amp;$O636,APOIO_REDES!$W:$W,0),MATCH(BA$5,APOIO_REDES!$5:$5,0)),0))*$M636/10,0)</f>
        <v>3.9992468375087</v>
      </c>
      <c r="BB636" s="153" t="n">
        <f aca="false">IFERROR(IF($N636="VCA",INDEX(APOIO_REDES!$A:$W,MATCH($C636&amp;$I636&amp;$H636&amp;$N636&amp;$O636,APOIO_REDES!$W:$W,0),MATCH(BB$5,APOIO_REDES!$5:$5,0)),0)*($AI636+$AQ636+$AR636),0)</f>
        <v>14.7706620276965</v>
      </c>
      <c r="BC636" s="153" t="n">
        <f aca="false">IFERROR(IF($N636="VCA",INDEX(APOIO_REDES!$A:$W,MATCH($C636&amp;$I636&amp;$H636&amp;$N636&amp;$O636,APOIO_REDES!$W:$W,0),MATCH(BC$5,APOIO_REDES!$5:$5,0)),0)*($AI636+$AQ636+$AR636),0)</f>
        <v>0.162476972303526</v>
      </c>
      <c r="BD636" s="153" t="n">
        <f aca="false">IF(AND($N636="VCA",$AF636&gt;=1.25,$AF636&lt;1.5),$M636*$AF636*2,0)</f>
        <v>135.26412</v>
      </c>
      <c r="BE636" s="153" t="n">
        <f aca="false">IF(AND($N636="VCA",$AF636&gt;=1.5,$AF636&lt;3),$M636*$AF636*2,0)</f>
        <v>0</v>
      </c>
      <c r="BF636" s="153" t="n">
        <f aca="false">IF(AND($N636="VCA",$AF636&gt;=3),$M636*$AF636*2,0)</f>
        <v>0</v>
      </c>
      <c r="BG636" s="153" t="n">
        <f aca="false">($BB636+$BC636)*$AK636</f>
        <v>28.3729641</v>
      </c>
      <c r="BH636" s="153" t="n">
        <f aca="false">IF(AND($M636&lt;&gt;"",$N636="VCA",$Q636="LINEAR"),($M636*2)/100,IF(AND($M636&lt;&gt;"",$N636="MND",$Q636="EMBOQUE"),($AN636*2)/100,0))</f>
        <v>0.9924</v>
      </c>
      <c r="BI636" s="153" t="n">
        <f aca="false">IF(AND($M636&lt;&gt;"",$N636="VCA",$Q636="LINEAR"),$M636,IF(AND($M636&lt;&gt;"",$N636="MND",$Q636="EMBOQUE"),$AN636*2,0))</f>
        <v>49.62</v>
      </c>
      <c r="BJ636" s="153" t="n">
        <f aca="false">IF(AND($M636&lt;&gt;"",$N636="VCA",$Q636="LINEAR"),($M636*6.8)/100,IF(AND($M636&lt;&gt;"",$N636="MND",$Q636="EMBOQUE"),($AN636*2*6.8)/100,0))</f>
        <v>3.37416</v>
      </c>
      <c r="BK636" s="153" t="n">
        <f aca="false">IF(AND($M636&lt;&gt;"",$N636="VCA",$Q636="LINEAR"),($M636*2.5)/50,IF(AND($M636&lt;&gt;"",$N636="MND",$Q636="EMBOQUE"),($AN636*2*2.5)/50,0))</f>
        <v>2.481</v>
      </c>
      <c r="BL636" s="157" t="str">
        <f aca="false">K636&amp;J636</f>
        <v>Zona06REDES</v>
      </c>
      <c r="BM636" s="152" t="s">
        <v>3790</v>
      </c>
      <c r="BN636" s="152" t="s">
        <v>1560</v>
      </c>
      <c r="BO636" s="152" t="s">
        <v>3797</v>
      </c>
      <c r="BP636" s="152" t="s">
        <v>3971</v>
      </c>
      <c r="BQ636" s="152" t="s">
        <v>3948</v>
      </c>
      <c r="BR636" s="152" t="s">
        <v>3972</v>
      </c>
      <c r="BS636" s="152" t="n">
        <v>204155.962</v>
      </c>
      <c r="BT636" s="152" t="n">
        <v>8237158.39</v>
      </c>
      <c r="BU636" s="152" t="n">
        <v>204171.671</v>
      </c>
      <c r="BV636" s="152" t="n">
        <v>8237203.82</v>
      </c>
      <c r="BW636" s="152" t="n">
        <v>-15.9269981</v>
      </c>
      <c r="BX636" s="152" t="n">
        <v>-47.7631231</v>
      </c>
      <c r="BY636" s="152" t="s">
        <v>3971</v>
      </c>
    </row>
    <row r="637" customFormat="false" ht="13.8" hidden="false" customHeight="false" outlineLevel="0" collapsed="false">
      <c r="A637" s="149" t="n">
        <f aca="false">IF(C637&lt;&gt;"",ROW(A632),"")</f>
        <v>632</v>
      </c>
      <c r="B637" s="150" t="str">
        <f aca="false">HYPERLINK("https://www.google.com/maps/dir/-15.917302,-47.760003/-15.9267937,-47.7630484/data=!4m3!4m2!3e0!5i1")</f>
        <v>https://www.google.com/maps/dir/-15.917302,-47.760003/-15.9267937,-47.7630484/data=!4m3!4m2!3e0!5i1</v>
      </c>
      <c r="C637" s="151" t="s">
        <v>117</v>
      </c>
      <c r="D637" s="152" t="s">
        <v>112</v>
      </c>
      <c r="E637" s="152" t="s">
        <v>113</v>
      </c>
      <c r="F637" s="152" t="s">
        <v>117</v>
      </c>
      <c r="G637" s="152" t="s">
        <v>782</v>
      </c>
      <c r="H637" s="152" t="n">
        <v>63</v>
      </c>
      <c r="I637" s="152" t="s">
        <v>115</v>
      </c>
      <c r="J637" s="152" t="s">
        <v>6</v>
      </c>
      <c r="K637" s="152" t="s">
        <v>3786</v>
      </c>
      <c r="L637" s="152" t="s">
        <v>120</v>
      </c>
      <c r="M637" s="153" t="n">
        <f aca="false">158.34</f>
        <v>158.34</v>
      </c>
      <c r="N637" s="152" t="s">
        <v>1548</v>
      </c>
      <c r="O637" s="152" t="s">
        <v>1549</v>
      </c>
      <c r="P637" s="152" t="s">
        <v>1550</v>
      </c>
      <c r="Q637" s="152" t="s">
        <v>1551</v>
      </c>
      <c r="R637" s="154" t="s">
        <v>3973</v>
      </c>
      <c r="S637" s="154" t="s">
        <v>1553</v>
      </c>
      <c r="T637" s="155" t="s">
        <v>3795</v>
      </c>
      <c r="U637" s="152" t="str">
        <f aca="false">RIGHT(T637,7)</f>
        <v>013/037</v>
      </c>
      <c r="V637" s="152" t="s">
        <v>1555</v>
      </c>
      <c r="W637" s="156" t="n">
        <v>45882</v>
      </c>
      <c r="X637" s="152" t="s">
        <v>1594</v>
      </c>
      <c r="Y637" s="152" t="s">
        <v>2553</v>
      </c>
      <c r="Z637" s="152" t="s">
        <v>1557</v>
      </c>
      <c r="AA637" s="153" t="n">
        <v>1.8</v>
      </c>
      <c r="AB637" s="151" t="s">
        <v>3974</v>
      </c>
      <c r="AC637" s="151" t="s">
        <v>186</v>
      </c>
      <c r="AD637" s="151" t="str">
        <f aca="false">CONCATENATE($C637,$I637,$H637,$N637,$J637,$K637)</f>
        <v>TUBO PEADPEAD63VCAREDESZona06</v>
      </c>
      <c r="AE637" s="153" t="n">
        <f aca="false">IFERROR(INDEX(APOIO_REDES!$A:$W,MATCH($C637&amp;$I637&amp;$H637&amp;$N637&amp;$O637,APOIO_REDES!$W:$W,0),MATCH(AE$5,APOIO_REDES!$5:$5,0)),0)</f>
        <v>1.2</v>
      </c>
      <c r="AF637" s="153" t="n">
        <f aca="false">IFERROR(INDEX(APOIO_REDES!$A:$W,MATCH($C637&amp;$I637&amp;$H637&amp;$N637&amp;$O637,APOIO_REDES!$W:$W,0),MATCH(AF$5,APOIO_REDES!$5:$5,0)),0)</f>
        <v>1.363</v>
      </c>
      <c r="AG637" s="153" t="n">
        <f aca="false">IFERROR(INDEX(APOIO_REDES!$A:$W,MATCH($C637&amp;$I637&amp;$H637&amp;$N637&amp;$O637,APOIO_REDES!$W:$W,0),MATCH(AG$5,APOIO_REDES!$5:$5,0)),0)</f>
        <v>0.65</v>
      </c>
      <c r="AH637" s="153" t="n">
        <f aca="false">IFERROR(INDEX(APOIO_REDES!$A:$W,MATCH($C637&amp;$I637&amp;$H637&amp;$N637&amp;$O637,APOIO_REDES!$W:$W,0),MATCH(AH$5,APOIO_REDES!$5:$5,0)),0)</f>
        <v>0.1</v>
      </c>
      <c r="AI637" s="153" t="n">
        <f aca="false">IFERROR(IF($H637&lt;&gt;"",(((($H637/1000)/2)^2)*PI()*$M637),0),0)</f>
        <v>0.493584622468445</v>
      </c>
      <c r="AJ637" s="153" t="n">
        <f aca="false">IFERROR(IF(AND($H637&lt;&gt;"",$I637="FoFo",OR($N637="MND",$N637="VCA"),$Q637="LINEAR"),0,IF(AND($H637&lt;&gt;"",$I637="PEAD",$N637="VCA",$Q637="LINEAR"),($H637/1000)+0.3,IF(AND($H637&lt;&gt;"",$I637="PEAD",$N637="MND",$Q637="EMBOQUE"),0,IF(AND($H637&lt;&gt;"",$I637="PVC",$N637="VCA",$Q637="LINEAR"),($H637/1000)+0.2,IF(AND($H637&lt;&gt;"",$I637="PVC",$N637="MND",$Q637="EMBOQUE"),0,IF(AND($H637&lt;&gt;"",$I637="PEAD",$N637="VCA",$Q637="PREDIAL"),0,0)))))),0)</f>
        <v>0.363</v>
      </c>
      <c r="AK637" s="153" t="n">
        <f aca="false">IF(AA637&lt;&gt;"",AA637,0)</f>
        <v>1.8</v>
      </c>
      <c r="AL637" s="153" t="n">
        <f aca="false">IF(AND($N637="MND",$Q637="EMBOQUE"),$M637,IF(AND($N637="VCA",$Q637="LINEAR"),$M637,IF(AND($N637="VCA",$Q637="PREDIAL"),0,0)))</f>
        <v>158.34</v>
      </c>
      <c r="AM637" s="153" t="n">
        <f aca="false">IF(AND($N637="MND",$Q637="EMBOQUE"),$M637,IF(AND($N637="VCA",$Q637="LINEAR"),$M637,IF(AND($N637="VCA",$Q637="PREDIAL"),0,0)))</f>
        <v>158.34</v>
      </c>
      <c r="AN637" s="153" t="n">
        <f aca="false">ROUND(IF(AND($N637="VCA",$M637&lt;&gt;"",$Q637="LINEAR"),$M637/100,IF(AND($N637="MND",$M637&gt;100,$Q637="EMBOQUE"),$M637/100,0)),0)</f>
        <v>2</v>
      </c>
      <c r="AO637" s="153" t="n">
        <f aca="false">IF(AND($N637="MND",$Q637="EMBOQUE"),$AN637*2*2,IF(AND($N637="VCA",$Q637="LINEAR"),$M637*2,IF(AND($N637="VCA",$Q637="PREDIAL"),0,0)))</f>
        <v>316.68</v>
      </c>
      <c r="AP637" s="153" t="n">
        <f aca="false">IFERROR($M637*$AF637*$AG637,0)</f>
        <v>140.281323</v>
      </c>
      <c r="AQ637" s="153" t="n">
        <f aca="false">IFERROR(IF(AND($N637="VCA",$AH637&gt;0),$M637*$AG637*$AH637,0),0)</f>
        <v>10.2921</v>
      </c>
      <c r="AR637" s="153" t="n">
        <f aca="false">IFERROR(IF(AND($N637="VCA",$AJ637&gt;0),($M637*$AG637*$AJ637)-$AI637,0),0)</f>
        <v>36.8667383775316</v>
      </c>
      <c r="AS637" s="153" t="n">
        <f aca="false">IFERROR(IF(AND($N637="VCA",$AP637&gt;0),$AP637-$AI637-$AQ637-$AR637,0),0)</f>
        <v>92.6289</v>
      </c>
      <c r="AT637" s="153" t="n">
        <f aca="false">IFERROR(IF($N637="VCA",INDEX(APOIO_REDES!$A:$W,MATCH($C637&amp;$I637&amp;$H637&amp;$N637&amp;$O637,APOIO_REDES!$W:$W,0),MATCH(AT$5,APOIO_REDES!$5:$5,0)),0)*$AP637,0)</f>
        <v>1.52630231539217</v>
      </c>
      <c r="AU637" s="153" t="n">
        <f aca="false">IFERROR(IF($N637="VCA",INDEX(APOIO_REDES!$A:$W,MATCH($C637&amp;$I637&amp;$H637&amp;$N637&amp;$O637,APOIO_REDES!$W:$W,0),MATCH(AU$5,APOIO_REDES!$5:$5,0)),0)*$AP637,0)</f>
        <v>1.21886369156304</v>
      </c>
      <c r="AV637" s="153" t="n">
        <f aca="false">IFERROR(IF($N637="VCA",INDEX(APOIO_REDES!$A:$W,MATCH($C637&amp;$I637&amp;$H637&amp;$N637&amp;$O637,APOIO_REDES!$W:$W,0),MATCH(AV$5,APOIO_REDES!$5:$5,0)),0)*$AP637,0)</f>
        <v>0.168681166457185</v>
      </c>
      <c r="AW637" s="153" t="n">
        <f aca="false">IFERROR(IF($N637="VCA",INDEX(APOIO_REDES!$A:$W,MATCH($C637&amp;$I637&amp;$H637&amp;$N637&amp;$O637,APOIO_REDES!$W:$W,0),MATCH(AW$5,APOIO_REDES!$5:$5,0)),0)*$AP637,0)</f>
        <v>96.2901870599313</v>
      </c>
      <c r="AX637" s="153" t="n">
        <f aca="false">IFERROR(IF($N637="VCA",INDEX(APOIO_REDES!$A:$W,MATCH($C637&amp;$I637&amp;$H637&amp;$N637&amp;$O637,APOIO_REDES!$W:$W,0),MATCH(AX$5,APOIO_REDES!$5:$5,0)),0)*$AP637,0)</f>
        <v>13.3262876013047</v>
      </c>
      <c r="AY637" s="153" t="n">
        <f aca="false">IFERROR(IF($N637="VCA",INDEX(APOIO_REDES!$A:$W,MATCH($C637&amp;$I637&amp;$H637&amp;$N637&amp;$O637,APOIO_REDES!$W:$W,0),MATCH(AY$5,APOIO_REDES!$5:$5,0)),0)*$AP637,0)</f>
        <v>24.3772589734112</v>
      </c>
      <c r="AZ637" s="153" t="n">
        <f aca="false">IFERROR(IF($N637="VCA",INDEX(APOIO_REDES!$A:$W,MATCH($C637&amp;$I637&amp;$H637&amp;$N637&amp;$O637,APOIO_REDES!$W:$W,0),MATCH(AZ$5,APOIO_REDES!$5:$5,0)),0)*$AP637,0)</f>
        <v>3.37374219194047</v>
      </c>
      <c r="BA637" s="153" t="n">
        <f aca="false">IFERROR(IF(AND($N637="VCA",$Q637="LINEAR"),INDEX(APOIO_REDES!$A:$W,MATCH($C637&amp;$I637&amp;$H637&amp;$N637&amp;$O637,APOIO_REDES!$W:$W,0),MATCH(BA$5,APOIO_REDES!$5:$5,0)),IF(AND($N637="MND",$Q637="EMBOQUE"),INDEX(APOIO_REDES!$A:$W,MATCH($C637&amp;$I637&amp;$H637&amp;$N637&amp;$O637,APOIO_REDES!$W:$W,0),MATCH(BA$5,APOIO_REDES!$5:$5,0)),0))*$M637/10,0)</f>
        <v>12.7618045999824</v>
      </c>
      <c r="BB637" s="153" t="n">
        <f aca="false">IFERROR(IF($N637="VCA",INDEX(APOIO_REDES!$A:$W,MATCH($C637&amp;$I637&amp;$H637&amp;$N637&amp;$O637,APOIO_REDES!$W:$W,0),MATCH(BB$5,APOIO_REDES!$5:$5,0)),0)*($AI637+$AQ637+$AR637),0)</f>
        <v>47.1339505333628</v>
      </c>
      <c r="BC637" s="153" t="n">
        <f aca="false">IFERROR(IF($N637="VCA",INDEX(APOIO_REDES!$A:$W,MATCH($C637&amp;$I637&amp;$H637&amp;$N637&amp;$O637,APOIO_REDES!$W:$W,0),MATCH(BC$5,APOIO_REDES!$5:$5,0)),0)*($AI637+$AQ637+$AR637),0)</f>
        <v>0.518472466637251</v>
      </c>
      <c r="BD637" s="153" t="n">
        <f aca="false">IF(AND($N637="VCA",$AF637&gt;=1.25,$AF637&lt;1.5),$M637*$AF637*2,0)</f>
        <v>431.63484</v>
      </c>
      <c r="BE637" s="153" t="n">
        <f aca="false">IF(AND($N637="VCA",$AF637&gt;=1.5,$AF637&lt;3),$M637*$AF637*2,0)</f>
        <v>0</v>
      </c>
      <c r="BF637" s="153" t="n">
        <f aca="false">IF(AND($N637="VCA",$AF637&gt;=3),$M637*$AF637*2,0)</f>
        <v>0</v>
      </c>
      <c r="BG637" s="153" t="n">
        <f aca="false">($BB637+$BC637)*$AK637</f>
        <v>85.7743614</v>
      </c>
      <c r="BH637" s="153" t="n">
        <f aca="false">IF(AND($M637&lt;&gt;"",$N637="VCA",$Q637="LINEAR"),($M637*2)/100,IF(AND($M637&lt;&gt;"",$N637="MND",$Q637="EMBOQUE"),($AN637*2)/100,0))</f>
        <v>3.1668</v>
      </c>
      <c r="BI637" s="153" t="n">
        <f aca="false">IF(AND($M637&lt;&gt;"",$N637="VCA",$Q637="LINEAR"),$M637,IF(AND($M637&lt;&gt;"",$N637="MND",$Q637="EMBOQUE"),$AN637*2,0))</f>
        <v>158.34</v>
      </c>
      <c r="BJ637" s="153" t="n">
        <f aca="false">IF(AND($M637&lt;&gt;"",$N637="VCA",$Q637="LINEAR"),($M637*6.8)/100,IF(AND($M637&lt;&gt;"",$N637="MND",$Q637="EMBOQUE"),($AN637*2*6.8)/100,0))</f>
        <v>10.76712</v>
      </c>
      <c r="BK637" s="153" t="n">
        <f aca="false">IF(AND($M637&lt;&gt;"",$N637="VCA",$Q637="LINEAR"),($M637*2.5)/50,IF(AND($M637&lt;&gt;"",$N637="MND",$Q637="EMBOQUE"),($AN637*2*2.5)/50,0))</f>
        <v>7.917</v>
      </c>
      <c r="BL637" s="157" t="str">
        <f aca="false">K637&amp;J637</f>
        <v>Zona06REDES</v>
      </c>
      <c r="BM637" s="152" t="s">
        <v>3790</v>
      </c>
      <c r="BN637" s="152" t="s">
        <v>1560</v>
      </c>
      <c r="BO637" s="152" t="s">
        <v>3797</v>
      </c>
      <c r="BP637" s="152" t="s">
        <v>3948</v>
      </c>
      <c r="BQ637" s="152" t="s">
        <v>3963</v>
      </c>
      <c r="BR637" s="152" t="s">
        <v>3975</v>
      </c>
      <c r="BS637" s="152" t="n">
        <v>204171.671</v>
      </c>
      <c r="BT637" s="152" t="n">
        <v>8237203.82</v>
      </c>
      <c r="BU637" s="152" t="n">
        <v>204320.623</v>
      </c>
      <c r="BV637" s="152" t="n">
        <v>8237150.398</v>
      </c>
      <c r="BW637" s="152" t="n">
        <v>-15.9270227</v>
      </c>
      <c r="BX637" s="152" t="n">
        <v>-47.7623485</v>
      </c>
      <c r="BY637" s="152" t="s">
        <v>3948</v>
      </c>
    </row>
    <row r="638" customFormat="false" ht="13.8" hidden="false" customHeight="false" outlineLevel="0" collapsed="false">
      <c r="A638" s="149" t="n">
        <f aca="false">IF(C638&lt;&gt;"",ROW(A633),"")</f>
        <v>633</v>
      </c>
      <c r="B638" s="150" t="str">
        <f aca="false">HYPERLINK("https://www.google.com/maps/dir/-15.917302,-47.760003/-15.9270731,-47.7636378/data=!4m3!4m2!3e0!5i0")</f>
        <v>https://www.google.com/maps/dir/-15.917302,-47.760003/-15.9270731,-47.7636378/data=!4m3!4m2!3e0!5i0</v>
      </c>
      <c r="C638" s="151" t="s">
        <v>117</v>
      </c>
      <c r="D638" s="152" t="s">
        <v>112</v>
      </c>
      <c r="E638" s="152" t="s">
        <v>113</v>
      </c>
      <c r="F638" s="152" t="s">
        <v>117</v>
      </c>
      <c r="G638" s="152" t="s">
        <v>782</v>
      </c>
      <c r="H638" s="152" t="n">
        <v>63</v>
      </c>
      <c r="I638" s="152" t="s">
        <v>115</v>
      </c>
      <c r="J638" s="152" t="s">
        <v>6</v>
      </c>
      <c r="K638" s="152" t="s">
        <v>3786</v>
      </c>
      <c r="L638" s="152" t="s">
        <v>120</v>
      </c>
      <c r="M638" s="153" t="n">
        <f aca="false">3.77</f>
        <v>3.77</v>
      </c>
      <c r="N638" s="152" t="s">
        <v>1548</v>
      </c>
      <c r="O638" s="152" t="s">
        <v>1549</v>
      </c>
      <c r="P638" s="152" t="s">
        <v>1550</v>
      </c>
      <c r="Q638" s="152" t="s">
        <v>1551</v>
      </c>
      <c r="R638" s="154" t="s">
        <v>3976</v>
      </c>
      <c r="S638" s="154" t="s">
        <v>1553</v>
      </c>
      <c r="T638" s="155" t="s">
        <v>3795</v>
      </c>
      <c r="U638" s="152" t="str">
        <f aca="false">RIGHT(T638,7)</f>
        <v>013/037</v>
      </c>
      <c r="V638" s="152" t="s">
        <v>1555</v>
      </c>
      <c r="W638" s="156" t="n">
        <v>45882</v>
      </c>
      <c r="X638" s="152" t="s">
        <v>1594</v>
      </c>
      <c r="Y638" s="152" t="s">
        <v>2553</v>
      </c>
      <c r="Z638" s="152" t="s">
        <v>1557</v>
      </c>
      <c r="AA638" s="153" t="n">
        <v>1.8</v>
      </c>
      <c r="AB638" s="151" t="s">
        <v>3977</v>
      </c>
      <c r="AC638" s="151" t="s">
        <v>186</v>
      </c>
      <c r="AD638" s="151" t="str">
        <f aca="false">CONCATENATE($C638,$I638,$H638,$N638,$J638,$K638)</f>
        <v>TUBO PEADPEAD63VCAREDESZona06</v>
      </c>
      <c r="AE638" s="153" t="n">
        <f aca="false">IFERROR(INDEX(APOIO_REDES!$A:$W,MATCH($C638&amp;$I638&amp;$H638&amp;$N638&amp;$O638,APOIO_REDES!$W:$W,0),MATCH(AE$5,APOIO_REDES!$5:$5,0)),0)</f>
        <v>1.2</v>
      </c>
      <c r="AF638" s="153" t="n">
        <f aca="false">IFERROR(INDEX(APOIO_REDES!$A:$W,MATCH($C638&amp;$I638&amp;$H638&amp;$N638&amp;$O638,APOIO_REDES!$W:$W,0),MATCH(AF$5,APOIO_REDES!$5:$5,0)),0)</f>
        <v>1.363</v>
      </c>
      <c r="AG638" s="153" t="n">
        <f aca="false">IFERROR(INDEX(APOIO_REDES!$A:$W,MATCH($C638&amp;$I638&amp;$H638&amp;$N638&amp;$O638,APOIO_REDES!$W:$W,0),MATCH(AG$5,APOIO_REDES!$5:$5,0)),0)</f>
        <v>0.65</v>
      </c>
      <c r="AH638" s="153" t="n">
        <f aca="false">IFERROR(INDEX(APOIO_REDES!$A:$W,MATCH($C638&amp;$I638&amp;$H638&amp;$N638&amp;$O638,APOIO_REDES!$W:$W,0),MATCH(AH$5,APOIO_REDES!$5:$5,0)),0)</f>
        <v>0.1</v>
      </c>
      <c r="AI638" s="153" t="n">
        <f aca="false">IFERROR(IF($H638&lt;&gt;"",(((($H638/1000)/2)^2)*PI()*$M638),0),0)</f>
        <v>0.0117520148206773</v>
      </c>
      <c r="AJ638" s="153" t="n">
        <f aca="false">IFERROR(IF(AND($H638&lt;&gt;"",$I638="FoFo",OR($N638="MND",$N638="VCA"),$Q638="LINEAR"),0,IF(AND($H638&lt;&gt;"",$I638="PEAD",$N638="VCA",$Q638="LINEAR"),($H638/1000)+0.3,IF(AND($H638&lt;&gt;"",$I638="PEAD",$N638="MND",$Q638="EMBOQUE"),0,IF(AND($H638&lt;&gt;"",$I638="PVC",$N638="VCA",$Q638="LINEAR"),($H638/1000)+0.2,IF(AND($H638&lt;&gt;"",$I638="PVC",$N638="MND",$Q638="EMBOQUE"),0,IF(AND($H638&lt;&gt;"",$I638="PEAD",$N638="VCA",$Q638="PREDIAL"),0,0)))))),0)</f>
        <v>0.363</v>
      </c>
      <c r="AK638" s="153" t="n">
        <f aca="false">IF(AA638&lt;&gt;"",AA638,0)</f>
        <v>1.8</v>
      </c>
      <c r="AL638" s="153" t="n">
        <f aca="false">IF(AND($N638="MND",$Q638="EMBOQUE"),$M638,IF(AND($N638="VCA",$Q638="LINEAR"),$M638,IF(AND($N638="VCA",$Q638="PREDIAL"),0,0)))</f>
        <v>3.77</v>
      </c>
      <c r="AM638" s="153" t="n">
        <f aca="false">IF(AND($N638="MND",$Q638="EMBOQUE"),$M638,IF(AND($N638="VCA",$Q638="LINEAR"),$M638,IF(AND($N638="VCA",$Q638="PREDIAL"),0,0)))</f>
        <v>3.77</v>
      </c>
      <c r="AN638" s="153" t="n">
        <f aca="false">ROUND(IF(AND($N638="VCA",$M638&lt;&gt;"",$Q638="LINEAR"),$M638/100,IF(AND($N638="MND",$M638&gt;100,$Q638="EMBOQUE"),$M638/100,0)),0)</f>
        <v>0</v>
      </c>
      <c r="AO638" s="153" t="n">
        <f aca="false">IF(AND($N638="MND",$Q638="EMBOQUE"),$AN638*2*2,IF(AND($N638="VCA",$Q638="LINEAR"),$M638*2,IF(AND($N638="VCA",$Q638="PREDIAL"),0,0)))</f>
        <v>7.54</v>
      </c>
      <c r="AP638" s="153" t="n">
        <f aca="false">IFERROR($M638*$AF638*$AG638,0)</f>
        <v>3.3400315</v>
      </c>
      <c r="AQ638" s="153" t="n">
        <f aca="false">IFERROR(IF(AND($N638="VCA",$AH638&gt;0),$M638*$AG638*$AH638,0),0)</f>
        <v>0.24505</v>
      </c>
      <c r="AR638" s="153" t="n">
        <f aca="false">IFERROR(IF(AND($N638="VCA",$AJ638&gt;0),($M638*$AG638*$AJ638)-$AI638,0),0)</f>
        <v>0.877779485179323</v>
      </c>
      <c r="AS638" s="153" t="n">
        <f aca="false">IFERROR(IF(AND($N638="VCA",$AP638&gt;0),$AP638-$AI638-$AQ638-$AR638,0),0)</f>
        <v>2.20545</v>
      </c>
      <c r="AT638" s="153" t="n">
        <f aca="false">IFERROR(IF($N638="VCA",INDEX(APOIO_REDES!$A:$W,MATCH($C638&amp;$I638&amp;$H638&amp;$N638&amp;$O638,APOIO_REDES!$W:$W,0),MATCH(AT$5,APOIO_REDES!$5:$5,0)),0)*$AP638,0)</f>
        <v>0.0363405313188611</v>
      </c>
      <c r="AU638" s="153" t="n">
        <f aca="false">IFERROR(IF($N638="VCA",INDEX(APOIO_REDES!$A:$W,MATCH($C638&amp;$I638&amp;$H638&amp;$N638&amp;$O638,APOIO_REDES!$W:$W,0),MATCH(AU$5,APOIO_REDES!$5:$5,0)),0)*$AP638,0)</f>
        <v>0.0290205640848343</v>
      </c>
      <c r="AV638" s="153" t="n">
        <f aca="false">IFERROR(IF($N638="VCA",INDEX(APOIO_REDES!$A:$W,MATCH($C638&amp;$I638&amp;$H638&amp;$N638&amp;$O638,APOIO_REDES!$W:$W,0),MATCH(AV$5,APOIO_REDES!$5:$5,0)),0)*$AP638,0)</f>
        <v>0.0040162182489806</v>
      </c>
      <c r="AW638" s="153" t="n">
        <f aca="false">IFERROR(IF($N638="VCA",INDEX(APOIO_REDES!$A:$W,MATCH($C638&amp;$I638&amp;$H638&amp;$N638&amp;$O638,APOIO_REDES!$W:$W,0),MATCH(AW$5,APOIO_REDES!$5:$5,0)),0)*$AP638,0)</f>
        <v>2.29262350142694</v>
      </c>
      <c r="AX638" s="153" t="n">
        <f aca="false">IFERROR(IF($N638="VCA",INDEX(APOIO_REDES!$A:$W,MATCH($C638&amp;$I638&amp;$H638&amp;$N638&amp;$O638,APOIO_REDES!$W:$W,0),MATCH(AX$5,APOIO_REDES!$5:$5,0)),0)*$AP638,0)</f>
        <v>0.317292561935826</v>
      </c>
      <c r="AY638" s="153" t="n">
        <f aca="false">IFERROR(IF($N638="VCA",INDEX(APOIO_REDES!$A:$W,MATCH($C638&amp;$I638&amp;$H638&amp;$N638&amp;$O638,APOIO_REDES!$W:$W,0),MATCH(AY$5,APOIO_REDES!$5:$5,0)),0)*$AP638,0)</f>
        <v>0.580410927938362</v>
      </c>
      <c r="AZ638" s="153" t="n">
        <f aca="false">IFERROR(IF($N638="VCA",INDEX(APOIO_REDES!$A:$W,MATCH($C638&amp;$I638&amp;$H638&amp;$N638&amp;$O638,APOIO_REDES!$W:$W,0),MATCH(AZ$5,APOIO_REDES!$5:$5,0)),0)*$AP638,0)</f>
        <v>0.0803271950462016</v>
      </c>
      <c r="BA638" s="153" t="n">
        <f aca="false">IFERROR(IF(AND($N638="VCA",$Q638="LINEAR"),INDEX(APOIO_REDES!$A:$W,MATCH($C638&amp;$I638&amp;$H638&amp;$N638&amp;$O638,APOIO_REDES!$W:$W,0),MATCH(BA$5,APOIO_REDES!$5:$5,0)),IF(AND($N638="MND",$Q638="EMBOQUE"),INDEX(APOIO_REDES!$A:$W,MATCH($C638&amp;$I638&amp;$H638&amp;$N638&amp;$O638,APOIO_REDES!$W:$W,0),MATCH(BA$5,APOIO_REDES!$5:$5,0)),0))*$M638/10,0)</f>
        <v>0.303852490475772</v>
      </c>
      <c r="BB638" s="153" t="n">
        <f aca="false">IFERROR(IF($N638="VCA",INDEX(APOIO_REDES!$A:$W,MATCH($C638&amp;$I638&amp;$H638&amp;$N638&amp;$O638,APOIO_REDES!$W:$W,0),MATCH(BB$5,APOIO_REDES!$5:$5,0)),0)*($AI638+$AQ638+$AR638),0)</f>
        <v>1.12223691746102</v>
      </c>
      <c r="BC638" s="153" t="n">
        <f aca="false">IFERROR(IF($N638="VCA",INDEX(APOIO_REDES!$A:$W,MATCH($C638&amp;$I638&amp;$H638&amp;$N638&amp;$O638,APOIO_REDES!$W:$W,0),MATCH(BC$5,APOIO_REDES!$5:$5,0)),0)*($AI638+$AQ638+$AR638),0)</f>
        <v>0.0123445825389822</v>
      </c>
      <c r="BD638" s="153" t="n">
        <f aca="false">IF(AND($N638="VCA",$AF638&gt;=1.25,$AF638&lt;1.5),$M638*$AF638*2,0)</f>
        <v>10.27702</v>
      </c>
      <c r="BE638" s="153" t="n">
        <f aca="false">IF(AND($N638="VCA",$AF638&gt;=1.5,$AF638&lt;3),$M638*$AF638*2,0)</f>
        <v>0</v>
      </c>
      <c r="BF638" s="153" t="n">
        <f aca="false">IF(AND($N638="VCA",$AF638&gt;=3),$M638*$AF638*2,0)</f>
        <v>0</v>
      </c>
      <c r="BG638" s="153" t="n">
        <f aca="false">($BB638+$BC638)*$AK638</f>
        <v>2.0422467</v>
      </c>
      <c r="BH638" s="153" t="n">
        <f aca="false">IF(AND($M638&lt;&gt;"",$N638="VCA",$Q638="LINEAR"),($M638*2)/100,IF(AND($M638&lt;&gt;"",$N638="MND",$Q638="EMBOQUE"),($AN638*2)/100,0))</f>
        <v>0.0754</v>
      </c>
      <c r="BI638" s="153" t="n">
        <f aca="false">IF(AND($M638&lt;&gt;"",$N638="VCA",$Q638="LINEAR"),$M638,IF(AND($M638&lt;&gt;"",$N638="MND",$Q638="EMBOQUE"),$AN638*2,0))</f>
        <v>3.77</v>
      </c>
      <c r="BJ638" s="153" t="n">
        <f aca="false">IF(AND($M638&lt;&gt;"",$N638="VCA",$Q638="LINEAR"),($M638*6.8)/100,IF(AND($M638&lt;&gt;"",$N638="MND",$Q638="EMBOQUE"),($AN638*2*6.8)/100,0))</f>
        <v>0.25636</v>
      </c>
      <c r="BK638" s="153" t="n">
        <f aca="false">IF(AND($M638&lt;&gt;"",$N638="VCA",$Q638="LINEAR"),($M638*2.5)/50,IF(AND($M638&lt;&gt;"",$N638="MND",$Q638="EMBOQUE"),($AN638*2*2.5)/50,0))</f>
        <v>0.1885</v>
      </c>
      <c r="BL638" s="157" t="str">
        <f aca="false">K638&amp;J638</f>
        <v>Zona06REDES</v>
      </c>
      <c r="BM638" s="152" t="s">
        <v>3790</v>
      </c>
      <c r="BN638" s="152" t="s">
        <v>1560</v>
      </c>
      <c r="BO638" s="152" t="s">
        <v>3797</v>
      </c>
      <c r="BP638" s="152" t="s">
        <v>3967</v>
      </c>
      <c r="BQ638" s="152" t="s">
        <v>3956</v>
      </c>
      <c r="BR638" s="152" t="s">
        <v>3978</v>
      </c>
      <c r="BS638" s="152" t="n">
        <v>204108.917</v>
      </c>
      <c r="BT638" s="152" t="n">
        <v>8237172.022</v>
      </c>
      <c r="BU638" s="152" t="n">
        <v>204109.894</v>
      </c>
      <c r="BV638" s="152" t="n">
        <v>8237175.659</v>
      </c>
      <c r="BW638" s="152" t="n">
        <v>-15.9270568</v>
      </c>
      <c r="BX638" s="152" t="n">
        <v>-47.763633</v>
      </c>
      <c r="BY638" s="152" t="s">
        <v>3967</v>
      </c>
    </row>
    <row r="639" customFormat="false" ht="13.8" hidden="false" customHeight="false" outlineLevel="0" collapsed="false">
      <c r="A639" s="149" t="n">
        <f aca="false">IF(C639&lt;&gt;"",ROW(A634),"")</f>
        <v>634</v>
      </c>
      <c r="B639" s="150" t="str">
        <f aca="false">HYPERLINK("https://www.google.com/maps/dir/-15.917302,-47.760003/-15.9258087,-47.7640115/data=!4m3!4m2!3e0!5i2")</f>
        <v>https://www.google.com/maps/dir/-15.917302,-47.760003/-15.9258087,-47.7640115/data=!4m3!4m2!3e0!5i2</v>
      </c>
      <c r="C639" s="151" t="s">
        <v>117</v>
      </c>
      <c r="D639" s="152" t="s">
        <v>112</v>
      </c>
      <c r="E639" s="152" t="s">
        <v>113</v>
      </c>
      <c r="F639" s="152" t="s">
        <v>117</v>
      </c>
      <c r="G639" s="152" t="s">
        <v>782</v>
      </c>
      <c r="H639" s="152" t="n">
        <v>110</v>
      </c>
      <c r="I639" s="152" t="s">
        <v>115</v>
      </c>
      <c r="J639" s="152" t="s">
        <v>6</v>
      </c>
      <c r="K639" s="152" t="s">
        <v>3786</v>
      </c>
      <c r="L639" s="152" t="s">
        <v>120</v>
      </c>
      <c r="M639" s="153" t="n">
        <f aca="false">350.83</f>
        <v>350.83</v>
      </c>
      <c r="N639" s="152" t="s">
        <v>1548</v>
      </c>
      <c r="O639" s="152" t="s">
        <v>1549</v>
      </c>
      <c r="P639" s="152" t="s">
        <v>1550</v>
      </c>
      <c r="Q639" s="152" t="s">
        <v>1551</v>
      </c>
      <c r="R639" s="154" t="s">
        <v>3979</v>
      </c>
      <c r="S639" s="154" t="s">
        <v>1593</v>
      </c>
      <c r="T639" s="155" t="s">
        <v>3795</v>
      </c>
      <c r="U639" s="152" t="str">
        <f aca="false">RIGHT(T639,7)</f>
        <v>013/037</v>
      </c>
      <c r="V639" s="152" t="s">
        <v>1555</v>
      </c>
      <c r="W639" s="156" t="n">
        <v>45882</v>
      </c>
      <c r="X639" s="152" t="s">
        <v>1594</v>
      </c>
      <c r="Y639" s="152" t="s">
        <v>2276</v>
      </c>
      <c r="Z639" s="152" t="s">
        <v>1557</v>
      </c>
      <c r="AA639" s="153" t="n">
        <v>1.9</v>
      </c>
      <c r="AB639" s="151" t="s">
        <v>3980</v>
      </c>
      <c r="AC639" s="151" t="s">
        <v>502</v>
      </c>
      <c r="AD639" s="151" t="str">
        <f aca="false">CONCATENATE($C639,$I639,$H639,$N639,$J639,$K639)</f>
        <v>TUBO PEADPEAD110VCAREDESZona06</v>
      </c>
      <c r="AE639" s="153" t="n">
        <f aca="false">IFERROR(INDEX(APOIO_REDES!$A:$W,MATCH($C639&amp;$I639&amp;$H639&amp;$N639&amp;$O639,APOIO_REDES!$W:$W,0),MATCH(AE$5,APOIO_REDES!$5:$5,0)),0)</f>
        <v>1.2</v>
      </c>
      <c r="AF639" s="153" t="n">
        <f aca="false">IFERROR(INDEX(APOIO_REDES!$A:$W,MATCH($C639&amp;$I639&amp;$H639&amp;$N639&amp;$O639,APOIO_REDES!$W:$W,0),MATCH(AF$5,APOIO_REDES!$5:$5,0)),0)</f>
        <v>1.41</v>
      </c>
      <c r="AG639" s="153" t="n">
        <f aca="false">IFERROR(INDEX(APOIO_REDES!$A:$W,MATCH($C639&amp;$I639&amp;$H639&amp;$N639&amp;$O639,APOIO_REDES!$W:$W,0),MATCH(AG$5,APOIO_REDES!$5:$5,0)),0)</f>
        <v>0.75</v>
      </c>
      <c r="AH639" s="153" t="n">
        <f aca="false">IFERROR(INDEX(APOIO_REDES!$A:$W,MATCH($C639&amp;$I639&amp;$H639&amp;$N639&amp;$O639,APOIO_REDES!$W:$W,0),MATCH(AH$5,APOIO_REDES!$5:$5,0)),0)</f>
        <v>0.1</v>
      </c>
      <c r="AI639" s="153" t="n">
        <f aca="false">IFERROR(IF($H639&lt;&gt;"",(((($H639/1000)/2)^2)*PI()*$M639),0),0)</f>
        <v>3.33404897574319</v>
      </c>
      <c r="AJ639" s="153" t="n">
        <f aca="false">IFERROR(IF(AND($H639&lt;&gt;"",$I639="FoFo",OR($N639="MND",$N639="VCA"),$Q639="LINEAR"),0,IF(AND($H639&lt;&gt;"",$I639="PEAD",$N639="VCA",$Q639="LINEAR"),($H639/1000)+0.3,IF(AND($H639&lt;&gt;"",$I639="PEAD",$N639="MND",$Q639="EMBOQUE"),0,IF(AND($H639&lt;&gt;"",$I639="PVC",$N639="VCA",$Q639="LINEAR"),($H639/1000)+0.2,IF(AND($H639&lt;&gt;"",$I639="PVC",$N639="MND",$Q639="EMBOQUE"),0,IF(AND($H639&lt;&gt;"",$I639="PEAD",$N639="VCA",$Q639="PREDIAL"),0,0)))))),0)</f>
        <v>0.41</v>
      </c>
      <c r="AK639" s="153" t="n">
        <f aca="false">IF(AA639&lt;&gt;"",AA639,0)</f>
        <v>1.9</v>
      </c>
      <c r="AL639" s="153" t="n">
        <f aca="false">IF(AND($N639="MND",$Q639="EMBOQUE"),$M639,IF(AND($N639="VCA",$Q639="LINEAR"),$M639,IF(AND($N639="VCA",$Q639="PREDIAL"),0,0)))</f>
        <v>350.83</v>
      </c>
      <c r="AM639" s="153" t="n">
        <f aca="false">IF(AND($N639="MND",$Q639="EMBOQUE"),$M639,IF(AND($N639="VCA",$Q639="LINEAR"),$M639,IF(AND($N639="VCA",$Q639="PREDIAL"),0,0)))</f>
        <v>350.83</v>
      </c>
      <c r="AN639" s="153" t="n">
        <f aca="false">ROUND(IF(AND($N639="VCA",$M639&lt;&gt;"",$Q639="LINEAR"),$M639/100,IF(AND($N639="MND",$M639&gt;100,$Q639="EMBOQUE"),$M639/100,0)),0)</f>
        <v>4</v>
      </c>
      <c r="AO639" s="153" t="n">
        <f aca="false">IF(AND($N639="MND",$Q639="EMBOQUE"),$AN639*2*2,IF(AND($N639="VCA",$Q639="LINEAR"),$M639*2,IF(AND($N639="VCA",$Q639="PREDIAL"),0,0)))</f>
        <v>701.66</v>
      </c>
      <c r="AP639" s="153" t="n">
        <f aca="false">IFERROR($M639*$AF639*$AG639,0)</f>
        <v>371.002725</v>
      </c>
      <c r="AQ639" s="153" t="n">
        <f aca="false">IFERROR(IF(AND($N639="VCA",$AH639&gt;0),$M639*$AG639*$AH639,0),0)</f>
        <v>26.31225</v>
      </c>
      <c r="AR639" s="153" t="n">
        <f aca="false">IFERROR(IF(AND($N639="VCA",$AJ639&gt;0),($M639*$AG639*$AJ639)-$AI639,0),0)</f>
        <v>104.546176024257</v>
      </c>
      <c r="AS639" s="153" t="n">
        <f aca="false">IFERROR(IF(AND($N639="VCA",$AP639&gt;0),$AP639-$AI639-$AQ639-$AR639,0),0)</f>
        <v>236.81025</v>
      </c>
      <c r="AT639" s="153" t="n">
        <f aca="false">IFERROR(IF($N639="VCA",INDEX(APOIO_REDES!$A:$W,MATCH($C639&amp;$I639&amp;$H639&amp;$N639&amp;$O639,APOIO_REDES!$W:$W,0),MATCH(AT$5,APOIO_REDES!$5:$5,0)),0)*$AP639,0)</f>
        <v>4.0366194592013</v>
      </c>
      <c r="AU639" s="153" t="n">
        <f aca="false">IFERROR(IF($N639="VCA",INDEX(APOIO_REDES!$A:$W,MATCH($C639&amp;$I639&amp;$H639&amp;$N639&amp;$O639,APOIO_REDES!$W:$W,0),MATCH(AU$5,APOIO_REDES!$5:$5,0)),0)*$AP639,0)</f>
        <v>3.22353497459849</v>
      </c>
      <c r="AV639" s="153" t="n">
        <f aca="false">IFERROR(IF($N639="VCA",INDEX(APOIO_REDES!$A:$W,MATCH($C639&amp;$I639&amp;$H639&amp;$N639&amp;$O639,APOIO_REDES!$W:$W,0),MATCH(AV$5,APOIO_REDES!$5:$5,0)),0)*$AP639,0)</f>
        <v>0.44611193474269</v>
      </c>
      <c r="AW639" s="153" t="n">
        <f aca="false">IFERROR(IF($N639="VCA",INDEX(APOIO_REDES!$A:$W,MATCH($C639&amp;$I639&amp;$H639&amp;$N639&amp;$O639,APOIO_REDES!$W:$W,0),MATCH(AW$5,APOIO_REDES!$5:$5,0)),0)*$AP639,0)</f>
        <v>254.65914510939</v>
      </c>
      <c r="AX639" s="153" t="n">
        <f aca="false">IFERROR(IF($N639="VCA",INDEX(APOIO_REDES!$A:$W,MATCH($C639&amp;$I639&amp;$H639&amp;$N639&amp;$O639,APOIO_REDES!$W:$W,0),MATCH(AX$5,APOIO_REDES!$5:$5,0)),0)*$AP639,0)</f>
        <v>35.2441002728335</v>
      </c>
      <c r="AY639" s="153" t="n">
        <f aca="false">IFERROR(IF($N639="VCA",INDEX(APOIO_REDES!$A:$W,MATCH($C639&amp;$I639&amp;$H639&amp;$N639&amp;$O639,APOIO_REDES!$W:$W,0),MATCH(AY$5,APOIO_REDES!$5:$5,0)),0)*$AP639,0)</f>
        <v>64.4706601973397</v>
      </c>
      <c r="AZ639" s="153" t="n">
        <f aca="false">IFERROR(IF($N639="VCA",INDEX(APOIO_REDES!$A:$W,MATCH($C639&amp;$I639&amp;$H639&amp;$N639&amp;$O639,APOIO_REDES!$W:$W,0),MATCH(AZ$5,APOIO_REDES!$5:$5,0)),0)*$AP639,0)</f>
        <v>8.92255305189406</v>
      </c>
      <c r="BA639" s="153" t="n">
        <f aca="false">IFERROR(IF(AND($N639="VCA",$Q639="LINEAR"),INDEX(APOIO_REDES!$A:$W,MATCH($C639&amp;$I639&amp;$H639&amp;$N639&amp;$O639,APOIO_REDES!$W:$W,0),MATCH(BA$5,APOIO_REDES!$5:$5,0)),IF(AND($N639="MND",$Q639="EMBOQUE"),INDEX(APOIO_REDES!$A:$W,MATCH($C639&amp;$I639&amp;$H639&amp;$N639&amp;$O639,APOIO_REDES!$W:$W,0),MATCH(BA$5,APOIO_REDES!$5:$5,0)),0))*$M639/10,0)</f>
        <v>28.2760130593143</v>
      </c>
      <c r="BB639" s="153" t="n">
        <f aca="false">IFERROR(IF($N639="VCA",INDEX(APOIO_REDES!$A:$W,MATCH($C639&amp;$I639&amp;$H639&amp;$N639&amp;$O639,APOIO_REDES!$W:$W,0),MATCH(BB$5,APOIO_REDES!$5:$5,0)),0)*($AI639+$AQ639+$AR639),0)</f>
        <v>132.732421153055</v>
      </c>
      <c r="BC639" s="153" t="n">
        <f aca="false">IFERROR(IF($N639="VCA",INDEX(APOIO_REDES!$A:$W,MATCH($C639&amp;$I639&amp;$H639&amp;$N639&amp;$O639,APOIO_REDES!$W:$W,0),MATCH(BC$5,APOIO_REDES!$5:$5,0)),0)*($AI639+$AQ639+$AR639),0)</f>
        <v>1.46005384694515</v>
      </c>
      <c r="BD639" s="153" t="n">
        <f aca="false">IF(AND($N639="VCA",$AF639&gt;=1.25,$AF639&lt;1.5),$M639*$AF639*2,0)</f>
        <v>989.3406</v>
      </c>
      <c r="BE639" s="153" t="n">
        <f aca="false">IF(AND($N639="VCA",$AF639&gt;=1.5,$AF639&lt;3),$M639*$AF639*2,0)</f>
        <v>0</v>
      </c>
      <c r="BF639" s="153" t="n">
        <f aca="false">IF(AND($N639="VCA",$AF639&gt;=3),$M639*$AF639*2,0)</f>
        <v>0</v>
      </c>
      <c r="BG639" s="153" t="n">
        <f aca="false">($BB639+$BC639)*$AK639</f>
        <v>254.9657025</v>
      </c>
      <c r="BH639" s="153" t="n">
        <f aca="false">IF(AND($M639&lt;&gt;"",$N639="VCA",$Q639="LINEAR"),($M639*2)/100,IF(AND($M639&lt;&gt;"",$N639="MND",$Q639="EMBOQUE"),($AN639*2)/100,0))</f>
        <v>7.0166</v>
      </c>
      <c r="BI639" s="153" t="n">
        <f aca="false">IF(AND($M639&lt;&gt;"",$N639="VCA",$Q639="LINEAR"),$M639,IF(AND($M639&lt;&gt;"",$N639="MND",$Q639="EMBOQUE"),$AN639*2,0))</f>
        <v>350.83</v>
      </c>
      <c r="BJ639" s="153" t="n">
        <f aca="false">IF(AND($M639&lt;&gt;"",$N639="VCA",$Q639="LINEAR"),($M639*6.8)/100,IF(AND($M639&lt;&gt;"",$N639="MND",$Q639="EMBOQUE"),($AN639*2*6.8)/100,0))</f>
        <v>23.85644</v>
      </c>
      <c r="BK639" s="153" t="n">
        <f aca="false">IF(AND($M639&lt;&gt;"",$N639="VCA",$Q639="LINEAR"),($M639*2.5)/50,IF(AND($M639&lt;&gt;"",$N639="MND",$Q639="EMBOQUE"),($AN639*2*2.5)/50,0))</f>
        <v>17.5415</v>
      </c>
      <c r="BL639" s="157" t="str">
        <f aca="false">K639&amp;J639</f>
        <v>Zona06REDES</v>
      </c>
      <c r="BM639" s="152" t="s">
        <v>3790</v>
      </c>
      <c r="BN639" s="152" t="s">
        <v>1560</v>
      </c>
      <c r="BO639" s="152" t="s">
        <v>3797</v>
      </c>
      <c r="BP639" s="152" t="s">
        <v>2232</v>
      </c>
      <c r="BQ639" s="152" t="s">
        <v>3871</v>
      </c>
      <c r="BR639" s="152" t="s">
        <v>3981</v>
      </c>
      <c r="BS639" s="152" t="n">
        <v>203882.32</v>
      </c>
      <c r="BT639" s="152" t="n">
        <v>8237021.045</v>
      </c>
      <c r="BU639" s="152" t="n">
        <v>204067.023</v>
      </c>
      <c r="BV639" s="152" t="n">
        <v>8237311.497</v>
      </c>
      <c r="BW639" s="152" t="n">
        <v>-15.9271808</v>
      </c>
      <c r="BX639" s="152" t="n">
        <v>-47.7648043</v>
      </c>
      <c r="BY639" s="152" t="s">
        <v>3871</v>
      </c>
    </row>
    <row r="640" customFormat="false" ht="13.8" hidden="false" customHeight="false" outlineLevel="0" collapsed="false">
      <c r="A640" s="149" t="n">
        <f aca="false">IF(C640&lt;&gt;"",ROW(A635),"")</f>
        <v>635</v>
      </c>
      <c r="B640" s="150" t="str">
        <f aca="false">HYPERLINK("https://www.google.com/maps/dir/-15.917302,-47.760003/-15.9267795,-47.7645441/data=!4m3!4m2!3e0!5i0")</f>
        <v>https://www.google.com/maps/dir/-15.917302,-47.760003/-15.9267795,-47.7645441/data=!4m3!4m2!3e0!5i0</v>
      </c>
      <c r="C640" s="151" t="s">
        <v>117</v>
      </c>
      <c r="D640" s="152" t="s">
        <v>112</v>
      </c>
      <c r="E640" s="152" t="s">
        <v>113</v>
      </c>
      <c r="F640" s="152" t="s">
        <v>117</v>
      </c>
      <c r="G640" s="152" t="s">
        <v>782</v>
      </c>
      <c r="H640" s="152" t="n">
        <v>63</v>
      </c>
      <c r="I640" s="152" t="s">
        <v>115</v>
      </c>
      <c r="J640" s="152" t="s">
        <v>6</v>
      </c>
      <c r="K640" s="152" t="s">
        <v>3786</v>
      </c>
      <c r="L640" s="152" t="s">
        <v>120</v>
      </c>
      <c r="M640" s="153" t="n">
        <f aca="false">133.92</f>
        <v>133.92</v>
      </c>
      <c r="N640" s="152" t="s">
        <v>1548</v>
      </c>
      <c r="O640" s="152" t="s">
        <v>1549</v>
      </c>
      <c r="P640" s="152" t="s">
        <v>1550</v>
      </c>
      <c r="Q640" s="152" t="s">
        <v>1551</v>
      </c>
      <c r="R640" s="154" t="s">
        <v>3982</v>
      </c>
      <c r="S640" s="154" t="s">
        <v>1553</v>
      </c>
      <c r="T640" s="155" t="s">
        <v>3795</v>
      </c>
      <c r="U640" s="152" t="str">
        <f aca="false">RIGHT(T640,7)</f>
        <v>013/037</v>
      </c>
      <c r="V640" s="152" t="s">
        <v>1555</v>
      </c>
      <c r="W640" s="156" t="n">
        <v>45882</v>
      </c>
      <c r="X640" s="152" t="s">
        <v>1594</v>
      </c>
      <c r="Y640" s="152"/>
      <c r="Z640" s="152" t="s">
        <v>1557</v>
      </c>
      <c r="AA640" s="153" t="n">
        <v>1.7</v>
      </c>
      <c r="AB640" s="151" t="s">
        <v>3983</v>
      </c>
      <c r="AC640" s="151" t="s">
        <v>186</v>
      </c>
      <c r="AD640" s="151" t="str">
        <f aca="false">CONCATENATE($C640,$I640,$H640,$N640,$J640,$K640)</f>
        <v>TUBO PEADPEAD63VCAREDESZona06</v>
      </c>
      <c r="AE640" s="153" t="n">
        <f aca="false">IFERROR(INDEX(APOIO_REDES!$A:$W,MATCH($C640&amp;$I640&amp;$H640&amp;$N640&amp;$O640,APOIO_REDES!$W:$W,0),MATCH(AE$5,APOIO_REDES!$5:$5,0)),0)</f>
        <v>1.2</v>
      </c>
      <c r="AF640" s="153" t="n">
        <f aca="false">IFERROR(INDEX(APOIO_REDES!$A:$W,MATCH($C640&amp;$I640&amp;$H640&amp;$N640&amp;$O640,APOIO_REDES!$W:$W,0),MATCH(AF$5,APOIO_REDES!$5:$5,0)),0)</f>
        <v>1.363</v>
      </c>
      <c r="AG640" s="153" t="n">
        <f aca="false">IFERROR(INDEX(APOIO_REDES!$A:$W,MATCH($C640&amp;$I640&amp;$H640&amp;$N640&amp;$O640,APOIO_REDES!$W:$W,0),MATCH(AG$5,APOIO_REDES!$5:$5,0)),0)</f>
        <v>0.65</v>
      </c>
      <c r="AH640" s="153" t="n">
        <f aca="false">IFERROR(INDEX(APOIO_REDES!$A:$W,MATCH($C640&amp;$I640&amp;$H640&amp;$N640&amp;$O640,APOIO_REDES!$W:$W,0),MATCH(AH$5,APOIO_REDES!$5:$5,0)),0)</f>
        <v>0.1</v>
      </c>
      <c r="AI640" s="153" t="n">
        <f aca="false">IFERROR(IF($H640&lt;&gt;"",(((($H640/1000)/2)^2)*PI()*$M640),0),0)</f>
        <v>0.417461491985437</v>
      </c>
      <c r="AJ640" s="153" t="n">
        <f aca="false">IFERROR(IF(AND($H640&lt;&gt;"",$I640="FoFo",OR($N640="MND",$N640="VCA"),$Q640="LINEAR"),0,IF(AND($H640&lt;&gt;"",$I640="PEAD",$N640="VCA",$Q640="LINEAR"),($H640/1000)+0.3,IF(AND($H640&lt;&gt;"",$I640="PEAD",$N640="MND",$Q640="EMBOQUE"),0,IF(AND($H640&lt;&gt;"",$I640="PVC",$N640="VCA",$Q640="LINEAR"),($H640/1000)+0.2,IF(AND($H640&lt;&gt;"",$I640="PVC",$N640="MND",$Q640="EMBOQUE"),0,IF(AND($H640&lt;&gt;"",$I640="PEAD",$N640="VCA",$Q640="PREDIAL"),0,0)))))),0)</f>
        <v>0.363</v>
      </c>
      <c r="AK640" s="153" t="n">
        <f aca="false">IF(AA640&lt;&gt;"",AA640,0)</f>
        <v>1.7</v>
      </c>
      <c r="AL640" s="153" t="n">
        <f aca="false">IF(AND($N640="MND",$Q640="EMBOQUE"),$M640,IF(AND($N640="VCA",$Q640="LINEAR"),$M640,IF(AND($N640="VCA",$Q640="PREDIAL"),0,0)))</f>
        <v>133.92</v>
      </c>
      <c r="AM640" s="153" t="n">
        <f aca="false">IF(AND($N640="MND",$Q640="EMBOQUE"),$M640,IF(AND($N640="VCA",$Q640="LINEAR"),$M640,IF(AND($N640="VCA",$Q640="PREDIAL"),0,0)))</f>
        <v>133.92</v>
      </c>
      <c r="AN640" s="153" t="n">
        <f aca="false">ROUND(IF(AND($N640="VCA",$M640&lt;&gt;"",$Q640="LINEAR"),$M640/100,IF(AND($N640="MND",$M640&gt;100,$Q640="EMBOQUE"),$M640/100,0)),0)</f>
        <v>1</v>
      </c>
      <c r="AO640" s="153" t="n">
        <f aca="false">IF(AND($N640="MND",$Q640="EMBOQUE"),$AN640*2*2,IF(AND($N640="VCA",$Q640="LINEAR"),$M640*2,IF(AND($N640="VCA",$Q640="PREDIAL"),0,0)))</f>
        <v>267.84</v>
      </c>
      <c r="AP640" s="153" t="n">
        <f aca="false">IFERROR($M640*$AF640*$AG640,0)</f>
        <v>118.646424</v>
      </c>
      <c r="AQ640" s="153" t="n">
        <f aca="false">IFERROR(IF(AND($N640="VCA",$AH640&gt;0),$M640*$AG640*$AH640,0),0)</f>
        <v>8.7048</v>
      </c>
      <c r="AR640" s="153" t="n">
        <f aca="false">IFERROR(IF(AND($N640="VCA",$AJ640&gt;0),($M640*$AG640*$AJ640)-$AI640,0),0)</f>
        <v>31.1809625080146</v>
      </c>
      <c r="AS640" s="153" t="n">
        <f aca="false">IFERROR(IF(AND($N640="VCA",$AP640&gt;0),$AP640-$AI640-$AQ640-$AR640,0),0)</f>
        <v>78.3432</v>
      </c>
      <c r="AT640" s="153" t="n">
        <f aca="false">IFERROR(IF($N640="VCA",INDEX(APOIO_REDES!$A:$W,MATCH($C640&amp;$I640&amp;$H640&amp;$N640&amp;$O640,APOIO_REDES!$W:$W,0),MATCH(AT$5,APOIO_REDES!$5:$5,0)),0)*$AP640,0)</f>
        <v>1.29090821066893</v>
      </c>
      <c r="AU640" s="153" t="n">
        <f aca="false">IFERROR(IF($N640="VCA",INDEX(APOIO_REDES!$A:$W,MATCH($C640&amp;$I640&amp;$H640&amp;$N640&amp;$O640,APOIO_REDES!$W:$W,0),MATCH(AU$5,APOIO_REDES!$5:$5,0)),0)*$AP640,0)</f>
        <v>1.03088433481194</v>
      </c>
      <c r="AV640" s="153" t="n">
        <f aca="false">IFERROR(IF($N640="VCA",INDEX(APOIO_REDES!$A:$W,MATCH($C640&amp;$I640&amp;$H640&amp;$N640&amp;$O640,APOIO_REDES!$W:$W,0),MATCH(AV$5,APOIO_REDES!$5:$5,0)),0)*$AP640,0)</f>
        <v>0.142666299178642</v>
      </c>
      <c r="AW640" s="153" t="n">
        <f aca="false">IFERROR(IF($N640="VCA",INDEX(APOIO_REDES!$A:$W,MATCH($C640&amp;$I640&amp;$H640&amp;$N640&amp;$O640,APOIO_REDES!$W:$W,0),MATCH(AW$5,APOIO_REDES!$5:$5,0)),0)*$AP640,0)</f>
        <v>81.4398247509536</v>
      </c>
      <c r="AX640" s="153" t="n">
        <f aca="false">IFERROR(IF($N640="VCA",INDEX(APOIO_REDES!$A:$W,MATCH($C640&amp;$I640&amp;$H640&amp;$N640&amp;$O640,APOIO_REDES!$W:$W,0),MATCH(AX$5,APOIO_REDES!$5:$5,0)),0)*$AP640,0)</f>
        <v>11.2710397597999</v>
      </c>
      <c r="AY640" s="153" t="n">
        <f aca="false">IFERROR(IF($N640="VCA",INDEX(APOIO_REDES!$A:$W,MATCH($C640&amp;$I640&amp;$H640&amp;$N640&amp;$O640,APOIO_REDES!$W:$W,0),MATCH(AY$5,APOIO_REDES!$5:$5,0)),0)*$AP640,0)</f>
        <v>20.6176741298423</v>
      </c>
      <c r="AZ640" s="153" t="n">
        <f aca="false">IFERROR(IF($N640="VCA",INDEX(APOIO_REDES!$A:$W,MATCH($C640&amp;$I640&amp;$H640&amp;$N640&amp;$O640,APOIO_REDES!$W:$W,0),MATCH(AZ$5,APOIO_REDES!$5:$5,0)),0)*$AP640,0)</f>
        <v>2.85342651474465</v>
      </c>
      <c r="BA640" s="153" t="n">
        <f aca="false">IFERROR(IF(AND($N640="VCA",$Q640="LINEAR"),INDEX(APOIO_REDES!$A:$W,MATCH($C640&amp;$I640&amp;$H640&amp;$N640&amp;$O640,APOIO_REDES!$W:$W,0),MATCH(BA$5,APOIO_REDES!$5:$5,0)),IF(AND($N640="MND",$Q640="EMBOQUE"),INDEX(APOIO_REDES!$A:$W,MATCH($C640&amp;$I640&amp;$H640&amp;$N640&amp;$O640,APOIO_REDES!$W:$W,0),MATCH(BA$5,APOIO_REDES!$5:$5,0)),0))*$M640/10,0)</f>
        <v>10.7936141974842</v>
      </c>
      <c r="BB640" s="153" t="n">
        <f aca="false">IFERROR(IF($N640="VCA",INDEX(APOIO_REDES!$A:$W,MATCH($C640&amp;$I640&amp;$H640&amp;$N640&amp;$O640,APOIO_REDES!$W:$W,0),MATCH(BB$5,APOIO_REDES!$5:$5,0)),0)*($AI640+$AQ640+$AR640),0)</f>
        <v>39.8647129937346</v>
      </c>
      <c r="BC640" s="153" t="n">
        <f aca="false">IFERROR(IF($N640="VCA",INDEX(APOIO_REDES!$A:$W,MATCH($C640&amp;$I640&amp;$H640&amp;$N640&amp;$O640,APOIO_REDES!$W:$W,0),MATCH(BC$5,APOIO_REDES!$5:$5,0)),0)*($AI640+$AQ640+$AR640),0)</f>
        <v>0.438511006265382</v>
      </c>
      <c r="BD640" s="153" t="n">
        <f aca="false">IF(AND($N640="VCA",$AF640&gt;=1.25,$AF640&lt;1.5),$M640*$AF640*2,0)</f>
        <v>365.06592</v>
      </c>
      <c r="BE640" s="153" t="n">
        <f aca="false">IF(AND($N640="VCA",$AF640&gt;=1.5,$AF640&lt;3),$M640*$AF640*2,0)</f>
        <v>0</v>
      </c>
      <c r="BF640" s="153" t="n">
        <f aca="false">IF(AND($N640="VCA",$AF640&gt;=3),$M640*$AF640*2,0)</f>
        <v>0</v>
      </c>
      <c r="BG640" s="153" t="n">
        <f aca="false">($BB640+$BC640)*$AK640</f>
        <v>68.5154808</v>
      </c>
      <c r="BH640" s="153" t="n">
        <f aca="false">IF(AND($M640&lt;&gt;"",$N640="VCA",$Q640="LINEAR"),($M640*2)/100,IF(AND($M640&lt;&gt;"",$N640="MND",$Q640="EMBOQUE"),($AN640*2)/100,0))</f>
        <v>2.6784</v>
      </c>
      <c r="BI640" s="153" t="n">
        <f aca="false">IF(AND($M640&lt;&gt;"",$N640="VCA",$Q640="LINEAR"),$M640,IF(AND($M640&lt;&gt;"",$N640="MND",$Q640="EMBOQUE"),$AN640*2,0))</f>
        <v>133.92</v>
      </c>
      <c r="BJ640" s="153" t="n">
        <f aca="false">IF(AND($M640&lt;&gt;"",$N640="VCA",$Q640="LINEAR"),($M640*6.8)/100,IF(AND($M640&lt;&gt;"",$N640="MND",$Q640="EMBOQUE"),($AN640*2*6.8)/100,0))</f>
        <v>9.10656</v>
      </c>
      <c r="BK640" s="153" t="n">
        <f aca="false">IF(AND($M640&lt;&gt;"",$N640="VCA",$Q640="LINEAR"),($M640*2.5)/50,IF(AND($M640&lt;&gt;"",$N640="MND",$Q640="EMBOQUE"),($AN640*2*2.5)/50,0))</f>
        <v>6.696</v>
      </c>
      <c r="BL640" s="157" t="str">
        <f aca="false">K640&amp;J640</f>
        <v>Zona06REDES</v>
      </c>
      <c r="BM640" s="152" t="s">
        <v>3790</v>
      </c>
      <c r="BN640" s="152" t="s">
        <v>1560</v>
      </c>
      <c r="BO640" s="152" t="s">
        <v>3797</v>
      </c>
      <c r="BP640" s="152" t="s">
        <v>3952</v>
      </c>
      <c r="BQ640" s="152" t="s">
        <v>3984</v>
      </c>
      <c r="BR640" s="152" t="s">
        <v>3985</v>
      </c>
      <c r="BS640" s="152" t="n">
        <v>204011.382</v>
      </c>
      <c r="BT640" s="152" t="n">
        <v>8237203.249</v>
      </c>
      <c r="BU640" s="152" t="n">
        <v>203957.464</v>
      </c>
      <c r="BV640" s="152" t="n">
        <v>8237080.722</v>
      </c>
      <c r="BW640" s="152" t="n">
        <v>-15.9273341</v>
      </c>
      <c r="BX640" s="152" t="n">
        <v>-47.7647931</v>
      </c>
      <c r="BY640" s="152" t="s">
        <v>3952</v>
      </c>
    </row>
    <row r="641" customFormat="false" ht="13.8" hidden="false" customHeight="false" outlineLevel="0" collapsed="false">
      <c r="A641" s="149" t="n">
        <f aca="false">IF(C641&lt;&gt;"",ROW(A636),"")</f>
        <v>636</v>
      </c>
      <c r="B641" s="150" t="str">
        <f aca="false">HYPERLINK("https://www.google.com/maps/dir/-15.917302,-47.760003/-15.9272028,-47.7631997/data=!4m3!4m2!3e0!5i1")</f>
        <v>https://www.google.com/maps/dir/-15.917302,-47.760003/-15.9272028,-47.7631997/data=!4m3!4m2!3e0!5i1</v>
      </c>
      <c r="C641" s="151" t="s">
        <v>117</v>
      </c>
      <c r="D641" s="152" t="s">
        <v>112</v>
      </c>
      <c r="E641" s="152" t="s">
        <v>113</v>
      </c>
      <c r="F641" s="152" t="s">
        <v>117</v>
      </c>
      <c r="G641" s="152" t="s">
        <v>782</v>
      </c>
      <c r="H641" s="152" t="n">
        <v>63</v>
      </c>
      <c r="I641" s="152" t="s">
        <v>115</v>
      </c>
      <c r="J641" s="152" t="s">
        <v>6</v>
      </c>
      <c r="K641" s="152" t="s">
        <v>3786</v>
      </c>
      <c r="L641" s="152" t="s">
        <v>120</v>
      </c>
      <c r="M641" s="153" t="n">
        <f aca="false">157.31+0.18</f>
        <v>157.49</v>
      </c>
      <c r="N641" s="152" t="s">
        <v>1548</v>
      </c>
      <c r="O641" s="152" t="s">
        <v>1549</v>
      </c>
      <c r="P641" s="152" t="s">
        <v>1550</v>
      </c>
      <c r="Q641" s="152" t="s">
        <v>1551</v>
      </c>
      <c r="R641" s="154" t="s">
        <v>3986</v>
      </c>
      <c r="S641" s="154" t="s">
        <v>1553</v>
      </c>
      <c r="T641" s="155" t="s">
        <v>3795</v>
      </c>
      <c r="U641" s="152" t="str">
        <f aca="false">RIGHT(T641,7)</f>
        <v>013/037</v>
      </c>
      <c r="V641" s="152" t="s">
        <v>1555</v>
      </c>
      <c r="W641" s="156" t="n">
        <v>45882</v>
      </c>
      <c r="X641" s="152" t="s">
        <v>1594</v>
      </c>
      <c r="Y641" s="152" t="s">
        <v>2553</v>
      </c>
      <c r="Z641" s="152" t="s">
        <v>1557</v>
      </c>
      <c r="AA641" s="153" t="n">
        <v>1.9</v>
      </c>
      <c r="AB641" s="151" t="s">
        <v>3987</v>
      </c>
      <c r="AC641" s="151" t="s">
        <v>186</v>
      </c>
      <c r="AD641" s="151" t="str">
        <f aca="false">CONCATENATE($C641,$I641,$H641,$N641,$J641,$K641)</f>
        <v>TUBO PEADPEAD63VCAREDESZona06</v>
      </c>
      <c r="AE641" s="153" t="n">
        <f aca="false">IFERROR(INDEX(APOIO_REDES!$A:$W,MATCH($C641&amp;$I641&amp;$H641&amp;$N641&amp;$O641,APOIO_REDES!$W:$W,0),MATCH(AE$5,APOIO_REDES!$5:$5,0)),0)</f>
        <v>1.2</v>
      </c>
      <c r="AF641" s="153" t="n">
        <f aca="false">IFERROR(INDEX(APOIO_REDES!$A:$W,MATCH($C641&amp;$I641&amp;$H641&amp;$N641&amp;$O641,APOIO_REDES!$W:$W,0),MATCH(AF$5,APOIO_REDES!$5:$5,0)),0)</f>
        <v>1.363</v>
      </c>
      <c r="AG641" s="153" t="n">
        <f aca="false">IFERROR(INDEX(APOIO_REDES!$A:$W,MATCH($C641&amp;$I641&amp;$H641&amp;$N641&amp;$O641,APOIO_REDES!$W:$W,0),MATCH(AG$5,APOIO_REDES!$5:$5,0)),0)</f>
        <v>0.65</v>
      </c>
      <c r="AH641" s="153" t="n">
        <f aca="false">IFERROR(INDEX(APOIO_REDES!$A:$W,MATCH($C641&amp;$I641&amp;$H641&amp;$N641&amp;$O641,APOIO_REDES!$W:$W,0),MATCH(AH$5,APOIO_REDES!$5:$5,0)),0)</f>
        <v>0.1</v>
      </c>
      <c r="AI641" s="153" t="n">
        <f aca="false">IFERROR(IF($H641&lt;&gt;"",(((($H641/1000)/2)^2)*PI()*$M641),0),0)</f>
        <v>0.490934963954499</v>
      </c>
      <c r="AJ641" s="153" t="n">
        <f aca="false">IFERROR(IF(AND($H641&lt;&gt;"",$I641="FoFo",OR($N641="MND",$N641="VCA"),$Q641="LINEAR"),0,IF(AND($H641&lt;&gt;"",$I641="PEAD",$N641="VCA",$Q641="LINEAR"),($H641/1000)+0.3,IF(AND($H641&lt;&gt;"",$I641="PEAD",$N641="MND",$Q641="EMBOQUE"),0,IF(AND($H641&lt;&gt;"",$I641="PVC",$N641="VCA",$Q641="LINEAR"),($H641/1000)+0.2,IF(AND($H641&lt;&gt;"",$I641="PVC",$N641="MND",$Q641="EMBOQUE"),0,IF(AND($H641&lt;&gt;"",$I641="PEAD",$N641="VCA",$Q641="PREDIAL"),0,0)))))),0)</f>
        <v>0.363</v>
      </c>
      <c r="AK641" s="153" t="n">
        <f aca="false">IF(AA641&lt;&gt;"",AA641,0)</f>
        <v>1.9</v>
      </c>
      <c r="AL641" s="153" t="n">
        <f aca="false">IF(AND($N641="MND",$Q641="EMBOQUE"),$M641,IF(AND($N641="VCA",$Q641="LINEAR"),$M641,IF(AND($N641="VCA",$Q641="PREDIAL"),0,0)))</f>
        <v>157.49</v>
      </c>
      <c r="AM641" s="153" t="n">
        <f aca="false">IF(AND($N641="MND",$Q641="EMBOQUE"),$M641,IF(AND($N641="VCA",$Q641="LINEAR"),$M641,IF(AND($N641="VCA",$Q641="PREDIAL"),0,0)))</f>
        <v>157.49</v>
      </c>
      <c r="AN641" s="153" t="n">
        <f aca="false">ROUND(IF(AND($N641="VCA",$M641&lt;&gt;"",$Q641="LINEAR"),$M641/100,IF(AND($N641="MND",$M641&gt;100,$Q641="EMBOQUE"),$M641/100,0)),0)</f>
        <v>2</v>
      </c>
      <c r="AO641" s="153" t="n">
        <f aca="false">IF(AND($N641="MND",$Q641="EMBOQUE"),$AN641*2*2,IF(AND($N641="VCA",$Q641="LINEAR"),$M641*2,IF(AND($N641="VCA",$Q641="PREDIAL"),0,0)))</f>
        <v>314.98</v>
      </c>
      <c r="AP641" s="153" t="n">
        <f aca="false">IFERROR($M641*$AF641*$AG641,0)</f>
        <v>139.5282655</v>
      </c>
      <c r="AQ641" s="153" t="n">
        <f aca="false">IFERROR(IF(AND($N641="VCA",$AH641&gt;0),$M641*$AG641*$AH641,0),0)</f>
        <v>10.23685</v>
      </c>
      <c r="AR641" s="153" t="n">
        <f aca="false">IFERROR(IF(AND($N641="VCA",$AJ641&gt;0),($M641*$AG641*$AJ641)-$AI641,0),0)</f>
        <v>36.6688305360455</v>
      </c>
      <c r="AS641" s="153" t="n">
        <f aca="false">IFERROR(IF(AND($N641="VCA",$AP641&gt;0),$AP641-$AI641-$AQ641-$AR641,0),0)</f>
        <v>92.13165</v>
      </c>
      <c r="AT641" s="153" t="n">
        <f aca="false">IFERROR(IF($N641="VCA",INDEX(APOIO_REDES!$A:$W,MATCH($C641&amp;$I641&amp;$H641&amp;$N641&amp;$O641,APOIO_REDES!$W:$W,0),MATCH(AT$5,APOIO_REDES!$5:$5,0)),0)*$AP641,0)</f>
        <v>1.51810882689852</v>
      </c>
      <c r="AU641" s="153" t="n">
        <f aca="false">IFERROR(IF($N641="VCA",INDEX(APOIO_REDES!$A:$W,MATCH($C641&amp;$I641&amp;$H641&amp;$N641&amp;$O641,APOIO_REDES!$W:$W,0),MATCH(AU$5,APOIO_REDES!$5:$5,0)),0)*$AP641,0)</f>
        <v>1.21232059355983</v>
      </c>
      <c r="AV641" s="153" t="n">
        <f aca="false">IFERROR(IF($N641="VCA",INDEX(APOIO_REDES!$A:$W,MATCH($C641&amp;$I641&amp;$H641&amp;$N641&amp;$O641,APOIO_REDES!$W:$W,0),MATCH(AV$5,APOIO_REDES!$5:$5,0)),0)*$AP641,0)</f>
        <v>0.167775653058874</v>
      </c>
      <c r="AW641" s="153" t="n">
        <f aca="false">IFERROR(IF($N641="VCA",INDEX(APOIO_REDES!$A:$W,MATCH($C641&amp;$I641&amp;$H641&amp;$N641&amp;$O641,APOIO_REDES!$W:$W,0),MATCH(AW$5,APOIO_REDES!$5:$5,0)),0)*$AP641,0)</f>
        <v>95.773282556957</v>
      </c>
      <c r="AX641" s="153" t="n">
        <f aca="false">IFERROR(IF($N641="VCA",INDEX(APOIO_REDES!$A:$W,MATCH($C641&amp;$I641&amp;$H641&amp;$N641&amp;$O641,APOIO_REDES!$W:$W,0),MATCH(AX$5,APOIO_REDES!$5:$5,0)),0)*$AP641,0)</f>
        <v>13.2547494905234</v>
      </c>
      <c r="AY641" s="153" t="n">
        <f aca="false">IFERROR(IF($N641="VCA",INDEX(APOIO_REDES!$A:$W,MATCH($C641&amp;$I641&amp;$H641&amp;$N641&amp;$O641,APOIO_REDES!$W:$W,0),MATCH(AY$5,APOIO_REDES!$5:$5,0)),0)*$AP641,0)</f>
        <v>24.2463970931068</v>
      </c>
      <c r="AZ641" s="153" t="n">
        <f aca="false">IFERROR(IF($N641="VCA",INDEX(APOIO_REDES!$A:$W,MATCH($C641&amp;$I641&amp;$H641&amp;$N641&amp;$O641,APOIO_REDES!$W:$W,0),MATCH(AZ$5,APOIO_REDES!$5:$5,0)),0)*$AP641,0)</f>
        <v>3.35563128589557</v>
      </c>
      <c r="BA641" s="153" t="n">
        <f aca="false">IFERROR(IF(AND($N641="VCA",$Q641="LINEAR"),INDEX(APOIO_REDES!$A:$W,MATCH($C641&amp;$I641&amp;$H641&amp;$N641&amp;$O641,APOIO_REDES!$W:$W,0),MATCH(BA$5,APOIO_REDES!$5:$5,0)),IF(AND($N641="MND",$Q641="EMBOQUE"),INDEX(APOIO_REDES!$A:$W,MATCH($C641&amp;$I641&amp;$H641&amp;$N641&amp;$O641,APOIO_REDES!$W:$W,0),MATCH(BA$5,APOIO_REDES!$5:$5,0)),0))*$M641/10,0)</f>
        <v>12.6932967440396</v>
      </c>
      <c r="BB641" s="153" t="n">
        <f aca="false">IFERROR(IF($N641="VCA",INDEX(APOIO_REDES!$A:$W,MATCH($C641&amp;$I641&amp;$H641&amp;$N641&amp;$O641,APOIO_REDES!$W:$W,0),MATCH(BB$5,APOIO_REDES!$5:$5,0)),0)*($AI641+$AQ641+$AR641),0)</f>
        <v>46.8809262946779</v>
      </c>
      <c r="BC641" s="153" t="n">
        <f aca="false">IFERROR(IF($N641="VCA",INDEX(APOIO_REDES!$A:$W,MATCH($C641&amp;$I641&amp;$H641&amp;$N641&amp;$O641,APOIO_REDES!$W:$W,0),MATCH(BC$5,APOIO_REDES!$5:$5,0)),0)*($AI641+$AQ641+$AR641),0)</f>
        <v>0.515689205322096</v>
      </c>
      <c r="BD641" s="153" t="n">
        <f aca="false">IF(AND($N641="VCA",$AF641&gt;=1.25,$AF641&lt;1.5),$M641*$AF641*2,0)</f>
        <v>429.31774</v>
      </c>
      <c r="BE641" s="153" t="n">
        <f aca="false">IF(AND($N641="VCA",$AF641&gt;=1.5,$AF641&lt;3),$M641*$AF641*2,0)</f>
        <v>0</v>
      </c>
      <c r="BF641" s="153" t="n">
        <f aca="false">IF(AND($N641="VCA",$AF641&gt;=3),$M641*$AF641*2,0)</f>
        <v>0</v>
      </c>
      <c r="BG641" s="153" t="n">
        <f aca="false">($BB641+$BC641)*$AK641</f>
        <v>90.05356945</v>
      </c>
      <c r="BH641" s="153" t="n">
        <f aca="false">IF(AND($M641&lt;&gt;"",$N641="VCA",$Q641="LINEAR"),($M641*2)/100,IF(AND($M641&lt;&gt;"",$N641="MND",$Q641="EMBOQUE"),($AN641*2)/100,0))</f>
        <v>3.1498</v>
      </c>
      <c r="BI641" s="153" t="n">
        <f aca="false">IF(AND($M641&lt;&gt;"",$N641="VCA",$Q641="LINEAR"),$M641,IF(AND($M641&lt;&gt;"",$N641="MND",$Q641="EMBOQUE"),$AN641*2,0))</f>
        <v>157.49</v>
      </c>
      <c r="BJ641" s="153" t="n">
        <f aca="false">IF(AND($M641&lt;&gt;"",$N641="VCA",$Q641="LINEAR"),($M641*6.8)/100,IF(AND($M641&lt;&gt;"",$N641="MND",$Q641="EMBOQUE"),($AN641*2*6.8)/100,0))</f>
        <v>10.70932</v>
      </c>
      <c r="BK641" s="153" t="n">
        <f aca="false">IF(AND($M641&lt;&gt;"",$N641="VCA",$Q641="LINEAR"),($M641*2.5)/50,IF(AND($M641&lt;&gt;"",$N641="MND",$Q641="EMBOQUE"),($AN641*2*2.5)/50,0))</f>
        <v>7.8745</v>
      </c>
      <c r="BL641" s="157" t="str">
        <f aca="false">K641&amp;J641</f>
        <v>Zona06REDES</v>
      </c>
      <c r="BM641" s="152" t="s">
        <v>3790</v>
      </c>
      <c r="BN641" s="152" t="s">
        <v>1560</v>
      </c>
      <c r="BO641" s="152" t="s">
        <v>3797</v>
      </c>
      <c r="BP641" s="152" t="s">
        <v>3971</v>
      </c>
      <c r="BQ641" s="152" t="s">
        <v>3988</v>
      </c>
      <c r="BR641" s="152" t="s">
        <v>3989</v>
      </c>
      <c r="BS641" s="152" t="n">
        <v>204156.064</v>
      </c>
      <c r="BT641" s="152" t="n">
        <v>8237158.354</v>
      </c>
      <c r="BU641" s="152" t="n">
        <v>204303.207</v>
      </c>
      <c r="BV641" s="152" t="n">
        <v>8237103.65</v>
      </c>
      <c r="BW641" s="152" t="n">
        <v>-15.9274436</v>
      </c>
      <c r="BX641" s="152" t="n">
        <v>-47.7625099</v>
      </c>
      <c r="BY641" s="152" t="s">
        <v>3971</v>
      </c>
    </row>
    <row r="642" customFormat="false" ht="13.8" hidden="false" customHeight="false" outlineLevel="0" collapsed="false">
      <c r="A642" s="149" t="n">
        <f aca="false">IF(C642&lt;&gt;"",ROW(A637),"")</f>
        <v>637</v>
      </c>
      <c r="B642" s="150" t="str">
        <f aca="false">HYPERLINK("https://www.google.com/maps/dir/-15.917302,-47.760003/-15.9272937,-47.7616647/data=!4m3!4m2!3e0!5i0")</f>
        <v>https://www.google.com/maps/dir/-15.917302,-47.760003/-15.9272937,-47.7616647/data=!4m3!4m2!3e0!5i0</v>
      </c>
      <c r="C642" s="151" t="s">
        <v>117</v>
      </c>
      <c r="D642" s="152" t="s">
        <v>112</v>
      </c>
      <c r="E642" s="152" t="s">
        <v>113</v>
      </c>
      <c r="F642" s="152" t="s">
        <v>117</v>
      </c>
      <c r="G642" s="152" t="s">
        <v>782</v>
      </c>
      <c r="H642" s="152" t="n">
        <v>110</v>
      </c>
      <c r="I642" s="152" t="s">
        <v>115</v>
      </c>
      <c r="J642" s="152" t="s">
        <v>6</v>
      </c>
      <c r="K642" s="152" t="s">
        <v>3786</v>
      </c>
      <c r="L642" s="152" t="s">
        <v>120</v>
      </c>
      <c r="M642" s="153" t="n">
        <f aca="false">49.9</f>
        <v>49.9</v>
      </c>
      <c r="N642" s="152" t="s">
        <v>1548</v>
      </c>
      <c r="O642" s="152" t="s">
        <v>1549</v>
      </c>
      <c r="P642" s="152" t="s">
        <v>1550</v>
      </c>
      <c r="Q642" s="152" t="s">
        <v>1551</v>
      </c>
      <c r="R642" s="154" t="s">
        <v>3990</v>
      </c>
      <c r="S642" s="154" t="s">
        <v>1593</v>
      </c>
      <c r="T642" s="155" t="s">
        <v>3795</v>
      </c>
      <c r="U642" s="152" t="str">
        <f aca="false">RIGHT(T642,7)</f>
        <v>013/037</v>
      </c>
      <c r="V642" s="152" t="s">
        <v>1555</v>
      </c>
      <c r="W642" s="156" t="n">
        <v>45882</v>
      </c>
      <c r="X642" s="152" t="s">
        <v>1594</v>
      </c>
      <c r="Y642" s="152" t="s">
        <v>2553</v>
      </c>
      <c r="Z642" s="152" t="s">
        <v>1557</v>
      </c>
      <c r="AA642" s="153" t="n">
        <v>1.6</v>
      </c>
      <c r="AB642" s="151" t="s">
        <v>3991</v>
      </c>
      <c r="AC642" s="151" t="s">
        <v>502</v>
      </c>
      <c r="AD642" s="151" t="str">
        <f aca="false">CONCATENATE($C642,$I642,$H642,$N642,$J642,$K642)</f>
        <v>TUBO PEADPEAD110VCAREDESZona06</v>
      </c>
      <c r="AE642" s="153" t="n">
        <f aca="false">IFERROR(INDEX(APOIO_REDES!$A:$W,MATCH($C642&amp;$I642&amp;$H642&amp;$N642&amp;$O642,APOIO_REDES!$W:$W,0),MATCH(AE$5,APOIO_REDES!$5:$5,0)),0)</f>
        <v>1.2</v>
      </c>
      <c r="AF642" s="153" t="n">
        <f aca="false">IFERROR(INDEX(APOIO_REDES!$A:$W,MATCH($C642&amp;$I642&amp;$H642&amp;$N642&amp;$O642,APOIO_REDES!$W:$W,0),MATCH(AF$5,APOIO_REDES!$5:$5,0)),0)</f>
        <v>1.41</v>
      </c>
      <c r="AG642" s="153" t="n">
        <f aca="false">IFERROR(INDEX(APOIO_REDES!$A:$W,MATCH($C642&amp;$I642&amp;$H642&amp;$N642&amp;$O642,APOIO_REDES!$W:$W,0),MATCH(AG$5,APOIO_REDES!$5:$5,0)),0)</f>
        <v>0.75</v>
      </c>
      <c r="AH642" s="153" t="n">
        <f aca="false">IFERROR(INDEX(APOIO_REDES!$A:$W,MATCH($C642&amp;$I642&amp;$H642&amp;$N642&amp;$O642,APOIO_REDES!$W:$W,0),MATCH(AH$5,APOIO_REDES!$5:$5,0)),0)</f>
        <v>0.1</v>
      </c>
      <c r="AI642" s="153" t="n">
        <f aca="false">IFERROR(IF($H642&lt;&gt;"",(((($H642/1000)/2)^2)*PI()*$M642),0),0)</f>
        <v>0.474215557077745</v>
      </c>
      <c r="AJ642" s="153" t="n">
        <f aca="false">IFERROR(IF(AND($H642&lt;&gt;"",$I642="FoFo",OR($N642="MND",$N642="VCA"),$Q642="LINEAR"),0,IF(AND($H642&lt;&gt;"",$I642="PEAD",$N642="VCA",$Q642="LINEAR"),($H642/1000)+0.3,IF(AND($H642&lt;&gt;"",$I642="PEAD",$N642="MND",$Q642="EMBOQUE"),0,IF(AND($H642&lt;&gt;"",$I642="PVC",$N642="VCA",$Q642="LINEAR"),($H642/1000)+0.2,IF(AND($H642&lt;&gt;"",$I642="PVC",$N642="MND",$Q642="EMBOQUE"),0,IF(AND($H642&lt;&gt;"",$I642="PEAD",$N642="VCA",$Q642="PREDIAL"),0,0)))))),0)</f>
        <v>0.41</v>
      </c>
      <c r="AK642" s="153" t="n">
        <f aca="false">IF(AA642&lt;&gt;"",AA642,0)</f>
        <v>1.6</v>
      </c>
      <c r="AL642" s="153" t="n">
        <f aca="false">IF(AND($N642="MND",$Q642="EMBOQUE"),$M642,IF(AND($N642="VCA",$Q642="LINEAR"),$M642,IF(AND($N642="VCA",$Q642="PREDIAL"),0,0)))</f>
        <v>49.9</v>
      </c>
      <c r="AM642" s="153" t="n">
        <f aca="false">IF(AND($N642="MND",$Q642="EMBOQUE"),$M642,IF(AND($N642="VCA",$Q642="LINEAR"),$M642,IF(AND($N642="VCA",$Q642="PREDIAL"),0,0)))</f>
        <v>49.9</v>
      </c>
      <c r="AN642" s="153" t="n">
        <f aca="false">ROUND(IF(AND($N642="VCA",$M642&lt;&gt;"",$Q642="LINEAR"),$M642/100,IF(AND($N642="MND",$M642&gt;100,$Q642="EMBOQUE"),$M642/100,0)),0)</f>
        <v>0</v>
      </c>
      <c r="AO642" s="153" t="n">
        <f aca="false">IF(AND($N642="MND",$Q642="EMBOQUE"),$AN642*2*2,IF(AND($N642="VCA",$Q642="LINEAR"),$M642*2,IF(AND($N642="VCA",$Q642="PREDIAL"),0,0)))</f>
        <v>99.8</v>
      </c>
      <c r="AP642" s="153" t="n">
        <f aca="false">IFERROR($M642*$AF642*$AG642,0)</f>
        <v>52.76925</v>
      </c>
      <c r="AQ642" s="153" t="n">
        <f aca="false">IFERROR(IF(AND($N642="VCA",$AH642&gt;0),$M642*$AG642*$AH642,0),0)</f>
        <v>3.7425</v>
      </c>
      <c r="AR642" s="153" t="n">
        <f aca="false">IFERROR(IF(AND($N642="VCA",$AJ642&gt;0),($M642*$AG642*$AJ642)-$AI642,0),0)</f>
        <v>14.8700344429223</v>
      </c>
      <c r="AS642" s="153" t="n">
        <f aca="false">IFERROR(IF(AND($N642="VCA",$AP642&gt;0),$AP642-$AI642-$AQ642-$AR642,0),0)</f>
        <v>33.6825</v>
      </c>
      <c r="AT642" s="153" t="n">
        <f aca="false">IFERROR(IF($N642="VCA",INDEX(APOIO_REDES!$A:$W,MATCH($C642&amp;$I642&amp;$H642&amp;$N642&amp;$O642,APOIO_REDES!$W:$W,0),MATCH(AT$5,APOIO_REDES!$5:$5,0)),0)*$AP642,0)</f>
        <v>0.574145058900735</v>
      </c>
      <c r="AU642" s="153" t="n">
        <f aca="false">IFERROR(IF($N642="VCA",INDEX(APOIO_REDES!$A:$W,MATCH($C642&amp;$I642&amp;$H642&amp;$N642&amp;$O642,APOIO_REDES!$W:$W,0),MATCH(AU$5,APOIO_REDES!$5:$5,0)),0)*$AP642,0)</f>
        <v>0.458496694217896</v>
      </c>
      <c r="AV642" s="153" t="n">
        <f aca="false">IFERROR(IF($N642="VCA",INDEX(APOIO_REDES!$A:$W,MATCH($C642&amp;$I642&amp;$H642&amp;$N642&amp;$O642,APOIO_REDES!$W:$W,0),MATCH(AV$5,APOIO_REDES!$5:$5,0)),0)*$AP642,0)</f>
        <v>0.063452343139584</v>
      </c>
      <c r="AW642" s="153" t="n">
        <f aca="false">IFERROR(IF($N642="VCA",INDEX(APOIO_REDES!$A:$W,MATCH($C642&amp;$I642&amp;$H642&amp;$N642&amp;$O642,APOIO_REDES!$W:$W,0),MATCH(AW$5,APOIO_REDES!$5:$5,0)),0)*$AP642,0)</f>
        <v>36.2212220761012</v>
      </c>
      <c r="AX642" s="153" t="n">
        <f aca="false">IFERROR(IF($N642="VCA",INDEX(APOIO_REDES!$A:$W,MATCH($C642&amp;$I642&amp;$H642&amp;$N642&amp;$O642,APOIO_REDES!$W:$W,0),MATCH(AX$5,APOIO_REDES!$5:$5,0)),0)*$AP642,0)</f>
        <v>5.01291395722827</v>
      </c>
      <c r="AY642" s="153" t="n">
        <f aca="false">IFERROR(IF($N642="VCA",INDEX(APOIO_REDES!$A:$W,MATCH($C642&amp;$I642&amp;$H642&amp;$N642&amp;$O642,APOIO_REDES!$W:$W,0),MATCH(AY$5,APOIO_REDES!$5:$5,0)),0)*$AP642,0)</f>
        <v>9.16992829532038</v>
      </c>
      <c r="AZ642" s="153" t="n">
        <f aca="false">IFERROR(IF($N642="VCA",INDEX(APOIO_REDES!$A:$W,MATCH($C642&amp;$I642&amp;$H642&amp;$N642&amp;$O642,APOIO_REDES!$W:$W,0),MATCH(AZ$5,APOIO_REDES!$5:$5,0)),0)*$AP642,0)</f>
        <v>1.26909157509196</v>
      </c>
      <c r="BA642" s="153" t="n">
        <f aca="false">IFERROR(IF(AND($N642="VCA",$Q642="LINEAR"),INDEX(APOIO_REDES!$A:$W,MATCH($C642&amp;$I642&amp;$H642&amp;$N642&amp;$O642,APOIO_REDES!$W:$W,0),MATCH(BA$5,APOIO_REDES!$5:$5,0)),IF(AND($N642="MND",$Q642="EMBOQUE"),INDEX(APOIO_REDES!$A:$W,MATCH($C642&amp;$I642&amp;$H642&amp;$N642&amp;$O642,APOIO_REDES!$W:$W,0),MATCH(BA$5,APOIO_REDES!$5:$5,0)),0))*$M642/10,0)</f>
        <v>4.02181413123104</v>
      </c>
      <c r="BB642" s="153" t="n">
        <f aca="false">IFERROR(IF($N642="VCA",INDEX(APOIO_REDES!$A:$W,MATCH($C642&amp;$I642&amp;$H642&amp;$N642&amp;$O642,APOIO_REDES!$W:$W,0),MATCH(BB$5,APOIO_REDES!$5:$5,0)),0)*($AI642+$AQ642+$AR642),0)</f>
        <v>18.8790805106104</v>
      </c>
      <c r="BC642" s="153" t="n">
        <f aca="false">IFERROR(IF($N642="VCA",INDEX(APOIO_REDES!$A:$W,MATCH($C642&amp;$I642&amp;$H642&amp;$N642&amp;$O642,APOIO_REDES!$W:$W,0),MATCH(BC$5,APOIO_REDES!$5:$5,0)),0)*($AI642+$AQ642+$AR642),0)</f>
        <v>0.207669489389627</v>
      </c>
      <c r="BD642" s="153" t="n">
        <f aca="false">IF(AND($N642="VCA",$AF642&gt;=1.25,$AF642&lt;1.5),$M642*$AF642*2,0)</f>
        <v>140.718</v>
      </c>
      <c r="BE642" s="153" t="n">
        <f aca="false">IF(AND($N642="VCA",$AF642&gt;=1.5,$AF642&lt;3),$M642*$AF642*2,0)</f>
        <v>0</v>
      </c>
      <c r="BF642" s="153" t="n">
        <f aca="false">IF(AND($N642="VCA",$AF642&gt;=3),$M642*$AF642*2,0)</f>
        <v>0</v>
      </c>
      <c r="BG642" s="153" t="n">
        <f aca="false">($BB642+$BC642)*$AK642</f>
        <v>30.5388</v>
      </c>
      <c r="BH642" s="153" t="n">
        <f aca="false">IF(AND($M642&lt;&gt;"",$N642="VCA",$Q642="LINEAR"),($M642*2)/100,IF(AND($M642&lt;&gt;"",$N642="MND",$Q642="EMBOQUE"),($AN642*2)/100,0))</f>
        <v>0.998</v>
      </c>
      <c r="BI642" s="153" t="n">
        <f aca="false">IF(AND($M642&lt;&gt;"",$N642="VCA",$Q642="LINEAR"),$M642,IF(AND($M642&lt;&gt;"",$N642="MND",$Q642="EMBOQUE"),$AN642*2,0))</f>
        <v>49.9</v>
      </c>
      <c r="BJ642" s="153" t="n">
        <f aca="false">IF(AND($M642&lt;&gt;"",$N642="VCA",$Q642="LINEAR"),($M642*6.8)/100,IF(AND($M642&lt;&gt;"",$N642="MND",$Q642="EMBOQUE"),($AN642*2*6.8)/100,0))</f>
        <v>3.3932</v>
      </c>
      <c r="BK642" s="153" t="n">
        <f aca="false">IF(AND($M642&lt;&gt;"",$N642="VCA",$Q642="LINEAR"),($M642*2.5)/50,IF(AND($M642&lt;&gt;"",$N642="MND",$Q642="EMBOQUE"),($AN642*2*2.5)/50,0))</f>
        <v>2.495</v>
      </c>
      <c r="BL642" s="157" t="str">
        <f aca="false">K642&amp;J642</f>
        <v>Zona06REDES</v>
      </c>
      <c r="BM642" s="152" t="s">
        <v>3790</v>
      </c>
      <c r="BN642" s="152" t="s">
        <v>1560</v>
      </c>
      <c r="BO642" s="152" t="s">
        <v>3797</v>
      </c>
      <c r="BP642" s="152" t="s">
        <v>3963</v>
      </c>
      <c r="BQ642" s="152" t="s">
        <v>3988</v>
      </c>
      <c r="BR642" s="152" t="s">
        <v>3964</v>
      </c>
      <c r="BS642" s="152" t="n">
        <v>204320.623</v>
      </c>
      <c r="BT642" s="152" t="n">
        <v>8237150.398</v>
      </c>
      <c r="BU642" s="152" t="n">
        <v>204303.208</v>
      </c>
      <c r="BV642" s="152" t="n">
        <v>8237103.65</v>
      </c>
      <c r="BW642" s="152" t="n">
        <v>-15.9275022</v>
      </c>
      <c r="BX642" s="152" t="n">
        <v>-47.7617529</v>
      </c>
      <c r="BY642" s="152" t="s">
        <v>3963</v>
      </c>
    </row>
    <row r="643" customFormat="false" ht="13.8" hidden="false" customHeight="false" outlineLevel="0" collapsed="false">
      <c r="A643" s="149" t="n">
        <f aca="false">IF(C643&lt;&gt;"",ROW(A638),"")</f>
        <v>638</v>
      </c>
      <c r="B643" s="150" t="str">
        <f aca="false">HYPERLINK("https://www.google.com/maps/dir/-15.917302,-47.760003/-15.9281927,-47.7640574/data=!4m3!4m2!3e0!5i0")</f>
        <v>https://www.google.com/maps/dir/-15.917302,-47.760003/-15.9281927,-47.7640574/data=!4m3!4m2!3e0!5i0</v>
      </c>
      <c r="C643" s="151" t="s">
        <v>117</v>
      </c>
      <c r="D643" s="152" t="s">
        <v>112</v>
      </c>
      <c r="E643" s="152" t="s">
        <v>113</v>
      </c>
      <c r="F643" s="152" t="s">
        <v>117</v>
      </c>
      <c r="G643" s="152" t="s">
        <v>782</v>
      </c>
      <c r="H643" s="152" t="n">
        <v>63</v>
      </c>
      <c r="I643" s="152" t="s">
        <v>115</v>
      </c>
      <c r="J643" s="152" t="s">
        <v>6</v>
      </c>
      <c r="K643" s="152" t="s">
        <v>3786</v>
      </c>
      <c r="L643" s="152" t="s">
        <v>120</v>
      </c>
      <c r="M643" s="153" t="n">
        <f aca="false">131.99</f>
        <v>131.99</v>
      </c>
      <c r="N643" s="152" t="s">
        <v>1548</v>
      </c>
      <c r="O643" s="152" t="s">
        <v>1549</v>
      </c>
      <c r="P643" s="152" t="s">
        <v>1550</v>
      </c>
      <c r="Q643" s="152" t="s">
        <v>1551</v>
      </c>
      <c r="R643" s="154" t="s">
        <v>3992</v>
      </c>
      <c r="S643" s="154" t="s">
        <v>1553</v>
      </c>
      <c r="T643" s="155" t="s">
        <v>3795</v>
      </c>
      <c r="U643" s="152" t="str">
        <f aca="false">RIGHT(T643,7)</f>
        <v>013/037</v>
      </c>
      <c r="V643" s="152" t="s">
        <v>1555</v>
      </c>
      <c r="W643" s="156" t="n">
        <v>45882</v>
      </c>
      <c r="X643" s="152" t="s">
        <v>1594</v>
      </c>
      <c r="Y643" s="152"/>
      <c r="Z643" s="152" t="s">
        <v>1557</v>
      </c>
      <c r="AA643" s="153" t="n">
        <v>2</v>
      </c>
      <c r="AB643" s="151" t="s">
        <v>3993</v>
      </c>
      <c r="AC643" s="151" t="s">
        <v>186</v>
      </c>
      <c r="AD643" s="151" t="str">
        <f aca="false">CONCATENATE($C643,$I643,$H643,$N643,$J643,$K643)</f>
        <v>TUBO PEADPEAD63VCAREDESZona06</v>
      </c>
      <c r="AE643" s="153" t="n">
        <f aca="false">IFERROR(INDEX(APOIO_REDES!$A:$W,MATCH($C643&amp;$I643&amp;$H643&amp;$N643&amp;$O643,APOIO_REDES!$W:$W,0),MATCH(AE$5,APOIO_REDES!$5:$5,0)),0)</f>
        <v>1.2</v>
      </c>
      <c r="AF643" s="153" t="n">
        <f aca="false">IFERROR(INDEX(APOIO_REDES!$A:$W,MATCH($C643&amp;$I643&amp;$H643&amp;$N643&amp;$O643,APOIO_REDES!$W:$W,0),MATCH(AF$5,APOIO_REDES!$5:$5,0)),0)</f>
        <v>1.363</v>
      </c>
      <c r="AG643" s="153" t="n">
        <f aca="false">IFERROR(INDEX(APOIO_REDES!$A:$W,MATCH($C643&amp;$I643&amp;$H643&amp;$N643&amp;$O643,APOIO_REDES!$W:$W,0),MATCH(AG$5,APOIO_REDES!$5:$5,0)),0)</f>
        <v>0.65</v>
      </c>
      <c r="AH643" s="153" t="n">
        <f aca="false">IFERROR(INDEX(APOIO_REDES!$A:$W,MATCH($C643&amp;$I643&amp;$H643&amp;$N643&amp;$O643,APOIO_REDES!$W:$W,0),MATCH(AH$5,APOIO_REDES!$5:$5,0)),0)</f>
        <v>0.1</v>
      </c>
      <c r="AI643" s="153" t="n">
        <f aca="false">IFERROR(IF($H643&lt;&gt;"",(((($H643/1000)/2)^2)*PI()*$M643),0),0)</f>
        <v>0.411445208536125</v>
      </c>
      <c r="AJ643" s="153" t="n">
        <f aca="false">IFERROR(IF(AND($H643&lt;&gt;"",$I643="FoFo",OR($N643="MND",$N643="VCA"),$Q643="LINEAR"),0,IF(AND($H643&lt;&gt;"",$I643="PEAD",$N643="VCA",$Q643="LINEAR"),($H643/1000)+0.3,IF(AND($H643&lt;&gt;"",$I643="PEAD",$N643="MND",$Q643="EMBOQUE"),0,IF(AND($H643&lt;&gt;"",$I643="PVC",$N643="VCA",$Q643="LINEAR"),($H643/1000)+0.2,IF(AND($H643&lt;&gt;"",$I643="PVC",$N643="MND",$Q643="EMBOQUE"),0,IF(AND($H643&lt;&gt;"",$I643="PEAD",$N643="VCA",$Q643="PREDIAL"),0,0)))))),0)</f>
        <v>0.363</v>
      </c>
      <c r="AK643" s="153" t="n">
        <f aca="false">IF(AA643&lt;&gt;"",AA643,0)</f>
        <v>2</v>
      </c>
      <c r="AL643" s="153" t="n">
        <f aca="false">IF(AND($N643="MND",$Q643="EMBOQUE"),$M643,IF(AND($N643="VCA",$Q643="LINEAR"),$M643,IF(AND($N643="VCA",$Q643="PREDIAL"),0,0)))</f>
        <v>131.99</v>
      </c>
      <c r="AM643" s="153" t="n">
        <f aca="false">IF(AND($N643="MND",$Q643="EMBOQUE"),$M643,IF(AND($N643="VCA",$Q643="LINEAR"),$M643,IF(AND($N643="VCA",$Q643="PREDIAL"),0,0)))</f>
        <v>131.99</v>
      </c>
      <c r="AN643" s="153" t="n">
        <f aca="false">ROUND(IF(AND($N643="VCA",$M643&lt;&gt;"",$Q643="LINEAR"),$M643/100,IF(AND($N643="MND",$M643&gt;100,$Q643="EMBOQUE"),$M643/100,0)),0)</f>
        <v>1</v>
      </c>
      <c r="AO643" s="153" t="n">
        <f aca="false">IF(AND($N643="MND",$Q643="EMBOQUE"),$AN643*2*2,IF(AND($N643="VCA",$Q643="LINEAR"),$M643*2,IF(AND($N643="VCA",$Q643="PREDIAL"),0,0)))</f>
        <v>263.98</v>
      </c>
      <c r="AP643" s="153" t="n">
        <f aca="false">IFERROR($M643*$AF643*$AG643,0)</f>
        <v>116.9365405</v>
      </c>
      <c r="AQ643" s="153" t="n">
        <f aca="false">IFERROR(IF(AND($N643="VCA",$AH643&gt;0),$M643*$AG643*$AH643,0),0)</f>
        <v>8.57935</v>
      </c>
      <c r="AR643" s="153" t="n">
        <f aca="false">IFERROR(IF(AND($N643="VCA",$AJ643&gt;0),($M643*$AG643*$AJ643)-$AI643,0),0)</f>
        <v>30.7315952914639</v>
      </c>
      <c r="AS643" s="153" t="n">
        <f aca="false">IFERROR(IF(AND($N643="VCA",$AP643&gt;0),$AP643-$AI643-$AQ643-$AR643,0),0)</f>
        <v>77.21415</v>
      </c>
      <c r="AT643" s="153" t="n">
        <f aca="false">IFERROR(IF($N643="VCA",INDEX(APOIO_REDES!$A:$W,MATCH($C643&amp;$I643&amp;$H643&amp;$N643&amp;$O643,APOIO_REDES!$W:$W,0),MATCH(AT$5,APOIO_REDES!$5:$5,0)),0)*$AP643,0)</f>
        <v>1.27230417208925</v>
      </c>
      <c r="AU643" s="153" t="n">
        <f aca="false">IFERROR(IF($N643="VCA",INDEX(APOIO_REDES!$A:$W,MATCH($C643&amp;$I643&amp;$H643&amp;$N643&amp;$O643,APOIO_REDES!$W:$W,0),MATCH(AU$5,APOIO_REDES!$5:$5,0)),0)*$AP643,0)</f>
        <v>1.01602765346347</v>
      </c>
      <c r="AV643" s="153" t="n">
        <f aca="false">IFERROR(IF($N643="VCA",INDEX(APOIO_REDES!$A:$W,MATCH($C643&amp;$I643&amp;$H643&amp;$N643&amp;$O643,APOIO_REDES!$W:$W,0),MATCH(AV$5,APOIO_REDES!$5:$5,0)),0)*$AP643,0)</f>
        <v>0.140610251109536</v>
      </c>
      <c r="AW643" s="153" t="n">
        <f aca="false">IFERROR(IF($N643="VCA",INDEX(APOIO_REDES!$A:$W,MATCH($C643&amp;$I643&amp;$H643&amp;$N643&amp;$O643,APOIO_REDES!$W:$W,0),MATCH(AW$5,APOIO_REDES!$5:$5,0)),0)*$AP643,0)</f>
        <v>80.2661474677298</v>
      </c>
      <c r="AX643" s="153" t="n">
        <f aca="false">IFERROR(IF($N643="VCA",INDEX(APOIO_REDES!$A:$W,MATCH($C643&amp;$I643&amp;$H643&amp;$N643&amp;$O643,APOIO_REDES!$W:$W,0),MATCH(AX$5,APOIO_REDES!$5:$5,0)),0)*$AP643,0)</f>
        <v>11.1086061670848</v>
      </c>
      <c r="AY643" s="153" t="n">
        <f aca="false">IFERROR(IF($N643="VCA",INDEX(APOIO_REDES!$A:$W,MATCH($C643&amp;$I643&amp;$H643&amp;$N643&amp;$O643,APOIO_REDES!$W:$W,0),MATCH(AY$5,APOIO_REDES!$5:$5,0)),0)*$AP643,0)</f>
        <v>20.3205406839746</v>
      </c>
      <c r="AZ643" s="153" t="n">
        <f aca="false">IFERROR(IF($N643="VCA",INDEX(APOIO_REDES!$A:$W,MATCH($C643&amp;$I643&amp;$H643&amp;$N643&amp;$O643,APOIO_REDES!$W:$W,0),MATCH(AZ$5,APOIO_REDES!$5:$5,0)),0)*$AP643,0)</f>
        <v>2.81230410454858</v>
      </c>
      <c r="BA643" s="153" t="n">
        <f aca="false">IFERROR(IF(AND($N643="VCA",$Q643="LINEAR"),INDEX(APOIO_REDES!$A:$W,MATCH($C643&amp;$I643&amp;$H643&amp;$N643&amp;$O643,APOIO_REDES!$W:$W,0),MATCH(BA$5,APOIO_REDES!$5:$5,0)),IF(AND($N643="MND",$Q643="EMBOQUE"),INDEX(APOIO_REDES!$A:$W,MATCH($C643&amp;$I643&amp;$H643&amp;$N643&amp;$O643,APOIO_REDES!$W:$W,0),MATCH(BA$5,APOIO_REDES!$5:$5,0)),0))*$M643/10,0)</f>
        <v>10.6380610657552</v>
      </c>
      <c r="BB643" s="153" t="n">
        <f aca="false">IFERROR(IF($N643="VCA",INDEX(APOIO_REDES!$A:$W,MATCH($C643&amp;$I643&amp;$H643&amp;$N643&amp;$O643,APOIO_REDES!$W:$W,0),MATCH(BB$5,APOIO_REDES!$5:$5,0)),0)*($AI643+$AQ643+$AR643),0)</f>
        <v>39.2901991341326</v>
      </c>
      <c r="BC643" s="153" t="n">
        <f aca="false">IFERROR(IF($N643="VCA",INDEX(APOIO_REDES!$A:$W,MATCH($C643&amp;$I643&amp;$H643&amp;$N643&amp;$O643,APOIO_REDES!$W:$W,0),MATCH(BC$5,APOIO_REDES!$5:$5,0)),0)*($AI643+$AQ643+$AR643),0)</f>
        <v>0.432191365867442</v>
      </c>
      <c r="BD643" s="153" t="n">
        <f aca="false">IF(AND($N643="VCA",$AF643&gt;=1.25,$AF643&lt;1.5),$M643*$AF643*2,0)</f>
        <v>359.80474</v>
      </c>
      <c r="BE643" s="153" t="n">
        <f aca="false">IF(AND($N643="VCA",$AF643&gt;=1.5,$AF643&lt;3),$M643*$AF643*2,0)</f>
        <v>0</v>
      </c>
      <c r="BF643" s="153" t="n">
        <f aca="false">IF(AND($N643="VCA",$AF643&gt;=3),$M643*$AF643*2,0)</f>
        <v>0</v>
      </c>
      <c r="BG643" s="153" t="n">
        <f aca="false">($BB643+$BC643)*$AK643</f>
        <v>79.444781</v>
      </c>
      <c r="BH643" s="153" t="n">
        <f aca="false">IF(AND($M643&lt;&gt;"",$N643="VCA",$Q643="LINEAR"),($M643*2)/100,IF(AND($M643&lt;&gt;"",$N643="MND",$Q643="EMBOQUE"),($AN643*2)/100,0))</f>
        <v>2.6398</v>
      </c>
      <c r="BI643" s="153" t="n">
        <f aca="false">IF(AND($M643&lt;&gt;"",$N643="VCA",$Q643="LINEAR"),$M643,IF(AND($M643&lt;&gt;"",$N643="MND",$Q643="EMBOQUE"),$AN643*2,0))</f>
        <v>131.99</v>
      </c>
      <c r="BJ643" s="153" t="n">
        <f aca="false">IF(AND($M643&lt;&gt;"",$N643="VCA",$Q643="LINEAR"),($M643*6.8)/100,IF(AND($M643&lt;&gt;"",$N643="MND",$Q643="EMBOQUE"),($AN643*2*6.8)/100,0))</f>
        <v>8.97532</v>
      </c>
      <c r="BK643" s="153" t="n">
        <f aca="false">IF(AND($M643&lt;&gt;"",$N643="VCA",$Q643="LINEAR"),($M643*2.5)/50,IF(AND($M643&lt;&gt;"",$N643="MND",$Q643="EMBOQUE"),($AN643*2*2.5)/50,0))</f>
        <v>6.5995</v>
      </c>
      <c r="BL643" s="157" t="str">
        <f aca="false">K643&amp;J643</f>
        <v>Zona06REDES</v>
      </c>
      <c r="BM643" s="152" t="s">
        <v>3790</v>
      </c>
      <c r="BN643" s="152" t="s">
        <v>1560</v>
      </c>
      <c r="BO643" s="152" t="s">
        <v>3797</v>
      </c>
      <c r="BP643" s="152" t="s">
        <v>3994</v>
      </c>
      <c r="BQ643" s="152" t="s">
        <v>3967</v>
      </c>
      <c r="BR643" s="152" t="s">
        <v>3995</v>
      </c>
      <c r="BS643" s="152" t="n">
        <v>204065.595</v>
      </c>
      <c r="BT643" s="152" t="n">
        <v>8237047.461</v>
      </c>
      <c r="BU643" s="152" t="n">
        <v>204108.917</v>
      </c>
      <c r="BV643" s="152" t="n">
        <v>8237172.022</v>
      </c>
      <c r="BW643" s="152" t="n">
        <v>-15.92764</v>
      </c>
      <c r="BX643" s="152" t="n">
        <v>-47.7638273</v>
      </c>
      <c r="BY643" s="152" t="s">
        <v>3994</v>
      </c>
    </row>
    <row r="644" customFormat="false" ht="13.8" hidden="false" customHeight="false" outlineLevel="0" collapsed="false">
      <c r="A644" s="149" t="n">
        <f aca="false">IF(C644&lt;&gt;"",ROW(A639),"")</f>
        <v>639</v>
      </c>
      <c r="B644" s="150" t="str">
        <f aca="false">HYPERLINK("https://www.google.com/maps/dir/-15.917302,-47.760003/-15.9277676,-47.7629283/data=!4m3!4m2!3e0!5i2")</f>
        <v>https://www.google.com/maps/dir/-15.917302,-47.760003/-15.9277676,-47.7629283/data=!4m3!4m2!3e0!5i2</v>
      </c>
      <c r="C644" s="151" t="s">
        <v>117</v>
      </c>
      <c r="D644" s="152" t="s">
        <v>112</v>
      </c>
      <c r="E644" s="152" t="s">
        <v>113</v>
      </c>
      <c r="F644" s="152" t="s">
        <v>117</v>
      </c>
      <c r="G644" s="152" t="s">
        <v>782</v>
      </c>
      <c r="H644" s="152" t="n">
        <v>63</v>
      </c>
      <c r="I644" s="152" t="s">
        <v>115</v>
      </c>
      <c r="J644" s="152" t="s">
        <v>6</v>
      </c>
      <c r="K644" s="152" t="s">
        <v>3786</v>
      </c>
      <c r="L644" s="152" t="s">
        <v>120</v>
      </c>
      <c r="M644" s="153" t="n">
        <f aca="false">20.49+4</f>
        <v>24.49</v>
      </c>
      <c r="N644" s="152" t="s">
        <v>1548</v>
      </c>
      <c r="O644" s="152" t="s">
        <v>1549</v>
      </c>
      <c r="P644" s="152" t="s">
        <v>1550</v>
      </c>
      <c r="Q644" s="152" t="s">
        <v>1551</v>
      </c>
      <c r="R644" s="154" t="s">
        <v>3996</v>
      </c>
      <c r="S644" s="154" t="s">
        <v>1553</v>
      </c>
      <c r="T644" s="155" t="s">
        <v>3795</v>
      </c>
      <c r="U644" s="152" t="str">
        <f aca="false">RIGHT(T644,7)</f>
        <v>013/037</v>
      </c>
      <c r="V644" s="152" t="s">
        <v>1555</v>
      </c>
      <c r="W644" s="156" t="n">
        <v>45882</v>
      </c>
      <c r="X644" s="152" t="s">
        <v>1594</v>
      </c>
      <c r="Y644" s="152" t="s">
        <v>2553</v>
      </c>
      <c r="Z644" s="152" t="s">
        <v>1557</v>
      </c>
      <c r="AA644" s="153" t="n">
        <v>2.2</v>
      </c>
      <c r="AB644" s="151" t="s">
        <v>3997</v>
      </c>
      <c r="AC644" s="151" t="s">
        <v>186</v>
      </c>
      <c r="AD644" s="151" t="str">
        <f aca="false">CONCATENATE($C644,$I644,$H644,$N644,$J644,$K644)</f>
        <v>TUBO PEADPEAD63VCAREDESZona06</v>
      </c>
      <c r="AE644" s="153" t="n">
        <f aca="false">IFERROR(INDEX(APOIO_REDES!$A:$W,MATCH($C644&amp;$I644&amp;$H644&amp;$N644&amp;$O644,APOIO_REDES!$W:$W,0),MATCH(AE$5,APOIO_REDES!$5:$5,0)),0)</f>
        <v>1.2</v>
      </c>
      <c r="AF644" s="153" t="n">
        <f aca="false">IFERROR(INDEX(APOIO_REDES!$A:$W,MATCH($C644&amp;$I644&amp;$H644&amp;$N644&amp;$O644,APOIO_REDES!$W:$W,0),MATCH(AF$5,APOIO_REDES!$5:$5,0)),0)</f>
        <v>1.363</v>
      </c>
      <c r="AG644" s="153" t="n">
        <f aca="false">IFERROR(INDEX(APOIO_REDES!$A:$W,MATCH($C644&amp;$I644&amp;$H644&amp;$N644&amp;$O644,APOIO_REDES!$W:$W,0),MATCH(AG$5,APOIO_REDES!$5:$5,0)),0)</f>
        <v>0.65</v>
      </c>
      <c r="AH644" s="153" t="n">
        <f aca="false">IFERROR(INDEX(APOIO_REDES!$A:$W,MATCH($C644&amp;$I644&amp;$H644&amp;$N644&amp;$O644,APOIO_REDES!$W:$W,0),MATCH(AH$5,APOIO_REDES!$5:$5,0)),0)</f>
        <v>0.1</v>
      </c>
      <c r="AI644" s="153" t="n">
        <f aca="false">IFERROR(IF($H644&lt;&gt;"",(((($H644/1000)/2)^2)*PI()*$M644),0),0)</f>
        <v>0.0763413376547443</v>
      </c>
      <c r="AJ644" s="153" t="n">
        <f aca="false">IFERROR(IF(AND($H644&lt;&gt;"",$I644="FoFo",OR($N644="MND",$N644="VCA"),$Q644="LINEAR"),0,IF(AND($H644&lt;&gt;"",$I644="PEAD",$N644="VCA",$Q644="LINEAR"),($H644/1000)+0.3,IF(AND($H644&lt;&gt;"",$I644="PEAD",$N644="MND",$Q644="EMBOQUE"),0,IF(AND($H644&lt;&gt;"",$I644="PVC",$N644="VCA",$Q644="LINEAR"),($H644/1000)+0.2,IF(AND($H644&lt;&gt;"",$I644="PVC",$N644="MND",$Q644="EMBOQUE"),0,IF(AND($H644&lt;&gt;"",$I644="PEAD",$N644="VCA",$Q644="PREDIAL"),0,0)))))),0)</f>
        <v>0.363</v>
      </c>
      <c r="AK644" s="153" t="n">
        <f aca="false">IF(AA644&lt;&gt;"",AA644,0)</f>
        <v>2.2</v>
      </c>
      <c r="AL644" s="153" t="n">
        <f aca="false">IF(AND($N644="MND",$Q644="EMBOQUE"),$M644,IF(AND($N644="VCA",$Q644="LINEAR"),$M644,IF(AND($N644="VCA",$Q644="PREDIAL"),0,0)))</f>
        <v>24.49</v>
      </c>
      <c r="AM644" s="153" t="n">
        <f aca="false">IF(AND($N644="MND",$Q644="EMBOQUE"),$M644,IF(AND($N644="VCA",$Q644="LINEAR"),$M644,IF(AND($N644="VCA",$Q644="PREDIAL"),0,0)))</f>
        <v>24.49</v>
      </c>
      <c r="AN644" s="153" t="n">
        <f aca="false">ROUND(IF(AND($N644="VCA",$M644&lt;&gt;"",$Q644="LINEAR"),$M644/100,IF(AND($N644="MND",$M644&gt;100,$Q644="EMBOQUE"),$M644/100,0)),0)</f>
        <v>0</v>
      </c>
      <c r="AO644" s="153" t="n">
        <f aca="false">IF(AND($N644="MND",$Q644="EMBOQUE"),$AN644*2*2,IF(AND($N644="VCA",$Q644="LINEAR"),$M644*2,IF(AND($N644="VCA",$Q644="PREDIAL"),0,0)))</f>
        <v>48.98</v>
      </c>
      <c r="AP644" s="153" t="n">
        <f aca="false">IFERROR($M644*$AF644*$AG644,0)</f>
        <v>21.6969155</v>
      </c>
      <c r="AQ644" s="153" t="n">
        <f aca="false">IFERROR(IF(AND($N644="VCA",$AH644&gt;0),$M644*$AG644*$AH644,0),0)</f>
        <v>1.59185</v>
      </c>
      <c r="AR644" s="153" t="n">
        <f aca="false">IFERROR(IF(AND($N644="VCA",$AJ644&gt;0),($M644*$AG644*$AJ644)-$AI644,0),0)</f>
        <v>5.70207416234526</v>
      </c>
      <c r="AS644" s="153" t="n">
        <f aca="false">IFERROR(IF(AND($N644="VCA",$AP644&gt;0),$AP644-$AI644-$AQ644-$AR644,0),0)</f>
        <v>14.32665</v>
      </c>
      <c r="AT644" s="153" t="n">
        <f aca="false">IFERROR(IF($N644="VCA",INDEX(APOIO_REDES!$A:$W,MATCH($C644&amp;$I644&amp;$H644&amp;$N644&amp;$O644,APOIO_REDES!$W:$W,0),MATCH(AT$5,APOIO_REDES!$5:$5,0)),0)*$AP644,0)</f>
        <v>0.23606886259918</v>
      </c>
      <c r="AU644" s="153" t="n">
        <f aca="false">IFERROR(IF($N644="VCA",INDEX(APOIO_REDES!$A:$W,MATCH($C644&amp;$I644&amp;$H644&amp;$N644&amp;$O644,APOIO_REDES!$W:$W,0),MATCH(AU$5,APOIO_REDES!$5:$5,0)),0)*$AP644,0)</f>
        <v>0.188518200116072</v>
      </c>
      <c r="AV644" s="153" t="n">
        <f aca="false">IFERROR(IF($N644="VCA",INDEX(APOIO_REDES!$A:$W,MATCH($C644&amp;$I644&amp;$H644&amp;$N644&amp;$O644,APOIO_REDES!$W:$W,0),MATCH(AV$5,APOIO_REDES!$5:$5,0)),0)*$AP644,0)</f>
        <v>0.0260894389701684</v>
      </c>
      <c r="AW644" s="153" t="n">
        <f aca="false">IFERROR(IF($N644="VCA",INDEX(APOIO_REDES!$A:$W,MATCH($C644&amp;$I644&amp;$H644&amp;$N644&amp;$O644,APOIO_REDES!$W:$W,0),MATCH(AW$5,APOIO_REDES!$5:$5,0)),0)*$AP644,0)</f>
        <v>14.8929309151049</v>
      </c>
      <c r="AX644" s="153" t="n">
        <f aca="false">IFERROR(IF($N644="VCA",INDEX(APOIO_REDES!$A:$W,MATCH($C644&amp;$I644&amp;$H644&amp;$N644&amp;$O644,APOIO_REDES!$W:$W,0),MATCH(AX$5,APOIO_REDES!$5:$5,0)),0)*$AP644,0)</f>
        <v>2.06113921533379</v>
      </c>
      <c r="AY644" s="153" t="n">
        <f aca="false">IFERROR(IF($N644="VCA",INDEX(APOIO_REDES!$A:$W,MATCH($C644&amp;$I644&amp;$H644&amp;$N644&amp;$O644,APOIO_REDES!$W:$W,0),MATCH(AY$5,APOIO_REDES!$5:$5,0)),0)*$AP644,0)</f>
        <v>3.77036170429986</v>
      </c>
      <c r="AZ644" s="153" t="n">
        <f aca="false">IFERROR(IF($N644="VCA",INDEX(APOIO_REDES!$A:$W,MATCH($C644&amp;$I644&amp;$H644&amp;$N644&amp;$O644,APOIO_REDES!$W:$W,0),MATCH(AZ$5,APOIO_REDES!$5:$5,0)),0)*$AP644,0)</f>
        <v>0.521807163575988</v>
      </c>
      <c r="BA644" s="153" t="n">
        <f aca="false">IFERROR(IF(AND($N644="VCA",$Q644="LINEAR"),INDEX(APOIO_REDES!$A:$W,MATCH($C644&amp;$I644&amp;$H644&amp;$N644&amp;$O644,APOIO_REDES!$W:$W,0),MATCH(BA$5,APOIO_REDES!$5:$5,0)),IF(AND($N644="MND",$Q644="EMBOQUE"),INDEX(APOIO_REDES!$A:$W,MATCH($C644&amp;$I644&amp;$H644&amp;$N644&amp;$O644,APOIO_REDES!$W:$W,0),MATCH(BA$5,APOIO_REDES!$5:$5,0)),0))*$M644/10,0)</f>
        <v>1.97383222592882</v>
      </c>
      <c r="BB644" s="153" t="n">
        <f aca="false">IFERROR(IF($N644="VCA",INDEX(APOIO_REDES!$A:$W,MATCH($C644&amp;$I644&amp;$H644&amp;$N644&amp;$O644,APOIO_REDES!$W:$W,0),MATCH(BB$5,APOIO_REDES!$5:$5,0)),0)*($AI644+$AQ644+$AR644),0)</f>
        <v>7.29007482987277</v>
      </c>
      <c r="BC644" s="153" t="n">
        <f aca="false">IFERROR(IF($N644="VCA",INDEX(APOIO_REDES!$A:$W,MATCH($C644&amp;$I644&amp;$H644&amp;$N644&amp;$O644,APOIO_REDES!$W:$W,0),MATCH(BC$5,APOIO_REDES!$5:$5,0)),0)*($AI644+$AQ644+$AR644),0)</f>
        <v>0.0801906701272342</v>
      </c>
      <c r="BD644" s="153" t="n">
        <f aca="false">IF(AND($N644="VCA",$AF644&gt;=1.25,$AF644&lt;1.5),$M644*$AF644*2,0)</f>
        <v>66.75974</v>
      </c>
      <c r="BE644" s="153" t="n">
        <f aca="false">IF(AND($N644="VCA",$AF644&gt;=1.5,$AF644&lt;3),$M644*$AF644*2,0)</f>
        <v>0</v>
      </c>
      <c r="BF644" s="153" t="n">
        <f aca="false">IF(AND($N644="VCA",$AF644&gt;=3),$M644*$AF644*2,0)</f>
        <v>0</v>
      </c>
      <c r="BG644" s="153" t="n">
        <f aca="false">($BB644+$BC644)*$AK644</f>
        <v>16.2145841</v>
      </c>
      <c r="BH644" s="153" t="n">
        <f aca="false">IF(AND($M644&lt;&gt;"",$N644="VCA",$Q644="LINEAR"),($M644*2)/100,IF(AND($M644&lt;&gt;"",$N644="MND",$Q644="EMBOQUE"),($AN644*2)/100,0))</f>
        <v>0.4898</v>
      </c>
      <c r="BI644" s="153" t="n">
        <f aca="false">IF(AND($M644&lt;&gt;"",$N644="VCA",$Q644="LINEAR"),$M644,IF(AND($M644&lt;&gt;"",$N644="MND",$Q644="EMBOQUE"),$AN644*2,0))</f>
        <v>24.49</v>
      </c>
      <c r="BJ644" s="153" t="n">
        <f aca="false">IF(AND($M644&lt;&gt;"",$N644="VCA",$Q644="LINEAR"),($M644*6.8)/100,IF(AND($M644&lt;&gt;"",$N644="MND",$Q644="EMBOQUE"),($AN644*2*6.8)/100,0))</f>
        <v>1.66532</v>
      </c>
      <c r="BK644" s="153" t="n">
        <f aca="false">IF(AND($M644&lt;&gt;"",$N644="VCA",$Q644="LINEAR"),($M644*2.5)/50,IF(AND($M644&lt;&gt;"",$N644="MND",$Q644="EMBOQUE"),($AN644*2*2.5)/50,0))</f>
        <v>1.2245</v>
      </c>
      <c r="BL644" s="157" t="str">
        <f aca="false">K644&amp;J644</f>
        <v>Zona06REDES</v>
      </c>
      <c r="BM644" s="152" t="s">
        <v>3790</v>
      </c>
      <c r="BN644" s="152" t="s">
        <v>1560</v>
      </c>
      <c r="BO644" s="152" t="s">
        <v>3797</v>
      </c>
      <c r="BP644" s="152" t="s">
        <v>3998</v>
      </c>
      <c r="BQ644" s="152" t="s">
        <v>3999</v>
      </c>
      <c r="BR644" s="152" t="s">
        <v>4000</v>
      </c>
      <c r="BS644" s="152" t="n">
        <v>204185.945</v>
      </c>
      <c r="BT644" s="152" t="n">
        <v>8237096.131</v>
      </c>
      <c r="BU644" s="152" t="n">
        <v>204193.211</v>
      </c>
      <c r="BV644" s="152" t="n">
        <v>8237115.281</v>
      </c>
      <c r="BW644" s="152" t="n">
        <v>-15.9276814</v>
      </c>
      <c r="BX644" s="152" t="n">
        <v>-47.7628939</v>
      </c>
      <c r="BY644" s="152" t="s">
        <v>3998</v>
      </c>
    </row>
    <row r="645" customFormat="false" ht="13.8" hidden="false" customHeight="false" outlineLevel="0" collapsed="false">
      <c r="A645" s="149" t="n">
        <f aca="false">IF(C645&lt;&gt;"",ROW(A640),"")</f>
        <v>640</v>
      </c>
      <c r="B645" s="150" t="str">
        <f aca="false">HYPERLINK("https://www.google.com/maps/dir/-15.917302,-47.760003/-15.9295669,-47.7678088/data=!4m3!4m2!3e0!5i0")</f>
        <v>https://www.google.com/maps/dir/-15.917302,-47.760003/-15.9295669,-47.7678088/data=!4m3!4m2!3e0!5i0</v>
      </c>
      <c r="C645" s="151" t="s">
        <v>117</v>
      </c>
      <c r="D645" s="152" t="s">
        <v>112</v>
      </c>
      <c r="E645" s="152" t="s">
        <v>113</v>
      </c>
      <c r="F645" s="152" t="s">
        <v>117</v>
      </c>
      <c r="G645" s="152" t="s">
        <v>114</v>
      </c>
      <c r="H645" s="152" t="n">
        <v>160</v>
      </c>
      <c r="I645" s="152" t="s">
        <v>115</v>
      </c>
      <c r="J645" s="152" t="s">
        <v>6</v>
      </c>
      <c r="K645" s="152" t="s">
        <v>3786</v>
      </c>
      <c r="L645" s="152" t="s">
        <v>120</v>
      </c>
      <c r="M645" s="153" t="n">
        <f aca="false">126.2</f>
        <v>126.2</v>
      </c>
      <c r="N645" s="152" t="s">
        <v>1548</v>
      </c>
      <c r="O645" s="152" t="s">
        <v>1549</v>
      </c>
      <c r="P645" s="152" t="s">
        <v>1550</v>
      </c>
      <c r="Q645" s="152" t="s">
        <v>1551</v>
      </c>
      <c r="R645" s="154" t="s">
        <v>4001</v>
      </c>
      <c r="S645" s="154" t="s">
        <v>1593</v>
      </c>
      <c r="T645" s="155" t="s">
        <v>4002</v>
      </c>
      <c r="U645" s="152" t="str">
        <f aca="false">RIGHT(T645,7)</f>
        <v>015/037</v>
      </c>
      <c r="V645" s="152" t="s">
        <v>1555</v>
      </c>
      <c r="W645" s="156" t="n">
        <v>45882</v>
      </c>
      <c r="X645" s="152" t="s">
        <v>1594</v>
      </c>
      <c r="Y645" s="152" t="s">
        <v>2387</v>
      </c>
      <c r="Z645" s="152" t="s">
        <v>1557</v>
      </c>
      <c r="AA645" s="153" t="n">
        <v>2.2</v>
      </c>
      <c r="AB645" s="151" t="s">
        <v>4003</v>
      </c>
      <c r="AC645" s="151" t="s">
        <v>505</v>
      </c>
      <c r="AD645" s="151" t="str">
        <f aca="false">CONCATENATE($C645,$I645,$H645,$N645,$J645,$K645)</f>
        <v>TUBO PEADPEAD160VCAREDESZona06</v>
      </c>
      <c r="AE645" s="153" t="n">
        <f aca="false">IFERROR(INDEX(APOIO_REDES!$A:$W,MATCH($C645&amp;$I645&amp;$H645&amp;$N645&amp;$O645,APOIO_REDES!$W:$W,0),MATCH(AE$5,APOIO_REDES!$5:$5,0)),0)</f>
        <v>1.2</v>
      </c>
      <c r="AF645" s="153" t="n">
        <f aca="false">IFERROR(INDEX(APOIO_REDES!$A:$W,MATCH($C645&amp;$I645&amp;$H645&amp;$N645&amp;$O645,APOIO_REDES!$W:$W,0),MATCH(AF$5,APOIO_REDES!$5:$5,0)),0)</f>
        <v>1.46</v>
      </c>
      <c r="AG645" s="153" t="n">
        <f aca="false">IFERROR(INDEX(APOIO_REDES!$A:$W,MATCH($C645&amp;$I645&amp;$H645&amp;$N645&amp;$O645,APOIO_REDES!$W:$W,0),MATCH(AG$5,APOIO_REDES!$5:$5,0)),0)</f>
        <v>0.75</v>
      </c>
      <c r="AH645" s="153" t="n">
        <f aca="false">IFERROR(INDEX(APOIO_REDES!$A:$W,MATCH($C645&amp;$I645&amp;$H645&amp;$N645&amp;$O645,APOIO_REDES!$W:$W,0),MATCH(AH$5,APOIO_REDES!$5:$5,0)),0)</f>
        <v>0.1</v>
      </c>
      <c r="AI645" s="153" t="n">
        <f aca="false">IFERROR(IF($H645&lt;&gt;"",(((($H645/1000)/2)^2)*PI()*$M645),0),0)</f>
        <v>2.5374015544514</v>
      </c>
      <c r="AJ645" s="153" t="n">
        <f aca="false">IFERROR(IF(AND($H645&lt;&gt;"",$I645="FoFo",OR($N645="MND",$N645="VCA"),$Q645="LINEAR"),0,IF(AND($H645&lt;&gt;"",$I645="PEAD",$N645="VCA",$Q645="LINEAR"),($H645/1000)+0.3,IF(AND($H645&lt;&gt;"",$I645="PEAD",$N645="MND",$Q645="EMBOQUE"),0,IF(AND($H645&lt;&gt;"",$I645="PVC",$N645="VCA",$Q645="LINEAR"),($H645/1000)+0.2,IF(AND($H645&lt;&gt;"",$I645="PVC",$N645="MND",$Q645="EMBOQUE"),0,IF(AND($H645&lt;&gt;"",$I645="PEAD",$N645="VCA",$Q645="PREDIAL"),0,0)))))),0)</f>
        <v>0.46</v>
      </c>
      <c r="AK645" s="153" t="n">
        <f aca="false">IF(AA645&lt;&gt;"",AA645,0)</f>
        <v>2.2</v>
      </c>
      <c r="AL645" s="153" t="n">
        <f aca="false">IF(AND($N645="MND",$Q645="EMBOQUE"),$M645,IF(AND($N645="VCA",$Q645="LINEAR"),$M645,IF(AND($N645="VCA",$Q645="PREDIAL"),0,0)))</f>
        <v>126.2</v>
      </c>
      <c r="AM645" s="153" t="n">
        <f aca="false">IF(AND($N645="MND",$Q645="EMBOQUE"),$M645,IF(AND($N645="VCA",$Q645="LINEAR"),$M645,IF(AND($N645="VCA",$Q645="PREDIAL"),0,0)))</f>
        <v>126.2</v>
      </c>
      <c r="AN645" s="153" t="n">
        <f aca="false">ROUND(IF(AND($N645="VCA",$M645&lt;&gt;"",$Q645="LINEAR"),$M645/100,IF(AND($N645="MND",$M645&gt;100,$Q645="EMBOQUE"),$M645/100,0)),0)</f>
        <v>1</v>
      </c>
      <c r="AO645" s="153" t="n">
        <f aca="false">IF(AND($N645="MND",$Q645="EMBOQUE"),$AN645*2*2,IF(AND($N645="VCA",$Q645="LINEAR"),$M645*2,IF(AND($N645="VCA",$Q645="PREDIAL"),0,0)))</f>
        <v>252.4</v>
      </c>
      <c r="AP645" s="153" t="n">
        <f aca="false">IFERROR($M645*$AF645*$AG645,0)</f>
        <v>138.189</v>
      </c>
      <c r="AQ645" s="153" t="n">
        <f aca="false">IFERROR(IF(AND($N645="VCA",$AH645&gt;0),$M645*$AG645*$AH645,0),0)</f>
        <v>9.465</v>
      </c>
      <c r="AR645" s="153" t="n">
        <f aca="false">IFERROR(IF(AND($N645="VCA",$AJ645&gt;0),($M645*$AG645*$AJ645)-$AI645,0),0)</f>
        <v>41.0015984455486</v>
      </c>
      <c r="AS645" s="153" t="n">
        <f aca="false">IFERROR(IF(AND($N645="VCA",$AP645&gt;0),$AP645-$AI645-$AQ645-$AR645,0),0)</f>
        <v>85.185</v>
      </c>
      <c r="AT645" s="153" t="n">
        <f aca="false">IFERROR(IF($N645="VCA",INDEX(APOIO_REDES!$A:$W,MATCH($C645&amp;$I645&amp;$H645&amp;$N645&amp;$O645,APOIO_REDES!$W:$W,0),MATCH(AT$5,APOIO_REDES!$5:$5,0)),0)*$AP645,0)</f>
        <v>1.50353722185617</v>
      </c>
      <c r="AU645" s="153" t="n">
        <f aca="false">IFERROR(IF($N645="VCA",INDEX(APOIO_REDES!$A:$W,MATCH($C645&amp;$I645&amp;$H645&amp;$N645&amp;$O645,APOIO_REDES!$W:$W,0),MATCH(AU$5,APOIO_REDES!$5:$5,0)),0)*$AP645,0)</f>
        <v>1.20068410442212</v>
      </c>
      <c r="AV645" s="153" t="n">
        <f aca="false">IFERROR(IF($N645="VCA",INDEX(APOIO_REDES!$A:$W,MATCH($C645&amp;$I645&amp;$H645&amp;$N645&amp;$O645,APOIO_REDES!$W:$W,0),MATCH(AV$5,APOIO_REDES!$5:$5,0)),0)*$AP645,0)</f>
        <v>0.166165254312236</v>
      </c>
      <c r="AW645" s="153" t="n">
        <f aca="false">IFERROR(IF($N645="VCA",INDEX(APOIO_REDES!$A:$W,MATCH($C645&amp;$I645&amp;$H645&amp;$N645&amp;$O645,APOIO_REDES!$W:$W,0),MATCH(AW$5,APOIO_REDES!$5:$5,0)),0)*$AP645,0)</f>
        <v>94.8540003406216</v>
      </c>
      <c r="AX645" s="153" t="n">
        <f aca="false">IFERROR(IF($N645="VCA",INDEX(APOIO_REDES!$A:$W,MATCH($C645&amp;$I645&amp;$H645&amp;$N645&amp;$O645,APOIO_REDES!$W:$W,0),MATCH(AX$5,APOIO_REDES!$5:$5,0)),0)*$AP645,0)</f>
        <v>13.1275234504075</v>
      </c>
      <c r="AY645" s="153" t="n">
        <f aca="false">IFERROR(IF($N645="VCA",INDEX(APOIO_REDES!$A:$W,MATCH($C645&amp;$I645&amp;$H645&amp;$N645&amp;$O645,APOIO_REDES!$W:$W,0),MATCH(AY$5,APOIO_REDES!$5:$5,0)),0)*$AP645,0)</f>
        <v>24.0136674522005</v>
      </c>
      <c r="AZ645" s="153" t="n">
        <f aca="false">IFERROR(IF($N645="VCA",INDEX(APOIO_REDES!$A:$W,MATCH($C645&amp;$I645&amp;$H645&amp;$N645&amp;$O645,APOIO_REDES!$W:$W,0),MATCH(AZ$5,APOIO_REDES!$5:$5,0)),0)*$AP645,0)</f>
        <v>3.32342217617994</v>
      </c>
      <c r="BA645" s="153" t="n">
        <f aca="false">IFERROR(IF(AND($N645="VCA",$Q645="LINEAR"),INDEX(APOIO_REDES!$A:$W,MATCH($C645&amp;$I645&amp;$H645&amp;$N645&amp;$O645,APOIO_REDES!$W:$W,0),MATCH(BA$5,APOIO_REDES!$5:$5,0)),IF(AND($N645="MND",$Q645="EMBOQUE"),INDEX(APOIO_REDES!$A:$W,MATCH($C645&amp;$I645&amp;$H645&amp;$N645&amp;$O645,APOIO_REDES!$W:$W,0),MATCH(BA$5,APOIO_REDES!$5:$5,0)),0))*$M645/10,0)</f>
        <v>10.1714016705683</v>
      </c>
      <c r="BB645" s="153" t="n">
        <f aca="false">IFERROR(IF($N645="VCA",INDEX(APOIO_REDES!$A:$W,MATCH($C645&amp;$I645&amp;$H645&amp;$N645&amp;$O645,APOIO_REDES!$W:$W,0),MATCH(BB$5,APOIO_REDES!$5:$5,0)),0)*($AI645+$AQ645+$AR645),0)</f>
        <v>52.4273007916168</v>
      </c>
      <c r="BC645" s="153" t="n">
        <f aca="false">IFERROR(IF($N645="VCA",INDEX(APOIO_REDES!$A:$W,MATCH($C645&amp;$I645&amp;$H645&amp;$N645&amp;$O645,APOIO_REDES!$W:$W,0),MATCH(BC$5,APOIO_REDES!$5:$5,0)),0)*($AI645+$AQ645+$AR645),0)</f>
        <v>0.576699208383188</v>
      </c>
      <c r="BD645" s="153" t="n">
        <f aca="false">IF(AND($N645="VCA",$AF645&gt;=1.25,$AF645&lt;1.5),$M645*$AF645*2,0)</f>
        <v>368.504</v>
      </c>
      <c r="BE645" s="153" t="n">
        <f aca="false">IF(AND($N645="VCA",$AF645&gt;=1.5,$AF645&lt;3),$M645*$AF645*2,0)</f>
        <v>0</v>
      </c>
      <c r="BF645" s="153" t="n">
        <f aca="false">IF(AND($N645="VCA",$AF645&gt;=3),$M645*$AF645*2,0)</f>
        <v>0</v>
      </c>
      <c r="BG645" s="153" t="n">
        <f aca="false">($BB645+$BC645)*$AK645</f>
        <v>116.6088</v>
      </c>
      <c r="BH645" s="153" t="n">
        <f aca="false">IF(AND($M645&lt;&gt;"",$N645="VCA",$Q645="LINEAR"),($M645*2)/100,IF(AND($M645&lt;&gt;"",$N645="MND",$Q645="EMBOQUE"),($AN645*2)/100,0))</f>
        <v>2.524</v>
      </c>
      <c r="BI645" s="153" t="n">
        <f aca="false">IF(AND($M645&lt;&gt;"",$N645="VCA",$Q645="LINEAR"),$M645,IF(AND($M645&lt;&gt;"",$N645="MND",$Q645="EMBOQUE"),$AN645*2,0))</f>
        <v>126.2</v>
      </c>
      <c r="BJ645" s="153" t="n">
        <f aca="false">IF(AND($M645&lt;&gt;"",$N645="VCA",$Q645="LINEAR"),($M645*6.8)/100,IF(AND($M645&lt;&gt;"",$N645="MND",$Q645="EMBOQUE"),($AN645*2*6.8)/100,0))</f>
        <v>8.5816</v>
      </c>
      <c r="BK645" s="153" t="n">
        <f aca="false">IF(AND($M645&lt;&gt;"",$N645="VCA",$Q645="LINEAR"),($M645*2.5)/50,IF(AND($M645&lt;&gt;"",$N645="MND",$Q645="EMBOQUE"),($AN645*2*2.5)/50,0))</f>
        <v>6.31</v>
      </c>
      <c r="BL645" s="157" t="str">
        <f aca="false">K645&amp;J645</f>
        <v>Zona06REDES</v>
      </c>
      <c r="BM645" s="152" t="s">
        <v>3790</v>
      </c>
      <c r="BN645" s="152" t="s">
        <v>1560</v>
      </c>
      <c r="BO645" s="152" t="s">
        <v>4004</v>
      </c>
      <c r="BP645" s="152" t="s">
        <v>4005</v>
      </c>
      <c r="BQ645" s="152" t="s">
        <v>4006</v>
      </c>
      <c r="BR645" s="152" t="s">
        <v>4007</v>
      </c>
      <c r="BS645" s="152" t="n">
        <v>203665.708</v>
      </c>
      <c r="BT645" s="152" t="n">
        <v>8236889.982</v>
      </c>
      <c r="BU645" s="152" t="n">
        <v>203776.917</v>
      </c>
      <c r="BV645" s="152" t="n">
        <v>8236949.382</v>
      </c>
      <c r="BW645" s="152" t="n">
        <v>-15.9292969</v>
      </c>
      <c r="BX645" s="152" t="n">
        <v>-47.7672911</v>
      </c>
      <c r="BY645" s="152" t="s">
        <v>4005</v>
      </c>
    </row>
    <row r="646" customFormat="false" ht="13.8" hidden="false" customHeight="false" outlineLevel="0" collapsed="false">
      <c r="A646" s="149" t="n">
        <f aca="false">IF(C646&lt;&gt;"",ROW(A641),"")</f>
        <v>641</v>
      </c>
      <c r="B646" s="150" t="str">
        <f aca="false">HYPERLINK("https://www.google.com/maps/dir/-15.917302,-47.760003/-15.9290559,-47.7667181/data=!4m3!4m2!3e0!5i0")</f>
        <v>https://www.google.com/maps/dir/-15.917302,-47.760003/-15.9290559,-47.7667181/data=!4m3!4m2!3e0!5i0</v>
      </c>
      <c r="C646" s="151" t="s">
        <v>117</v>
      </c>
      <c r="D646" s="152" t="s">
        <v>112</v>
      </c>
      <c r="E646" s="152" t="s">
        <v>113</v>
      </c>
      <c r="F646" s="152" t="s">
        <v>117</v>
      </c>
      <c r="G646" s="152" t="s">
        <v>114</v>
      </c>
      <c r="H646" s="152" t="n">
        <v>160</v>
      </c>
      <c r="I646" s="152" t="s">
        <v>115</v>
      </c>
      <c r="J646" s="152" t="s">
        <v>6</v>
      </c>
      <c r="K646" s="152" t="s">
        <v>3786</v>
      </c>
      <c r="L646" s="152" t="s">
        <v>120</v>
      </c>
      <c r="M646" s="153" t="n">
        <f aca="false">134.49</f>
        <v>134.49</v>
      </c>
      <c r="N646" s="152" t="s">
        <v>1548</v>
      </c>
      <c r="O646" s="152" t="s">
        <v>1549</v>
      </c>
      <c r="P646" s="152" t="s">
        <v>1550</v>
      </c>
      <c r="Q646" s="152" t="s">
        <v>1551</v>
      </c>
      <c r="R646" s="154" t="s">
        <v>4008</v>
      </c>
      <c r="S646" s="154" t="s">
        <v>1593</v>
      </c>
      <c r="T646" s="155" t="s">
        <v>4002</v>
      </c>
      <c r="U646" s="152" t="str">
        <f aca="false">RIGHT(T646,7)</f>
        <v>015/037</v>
      </c>
      <c r="V646" s="152" t="s">
        <v>1555</v>
      </c>
      <c r="W646" s="156" t="n">
        <v>45882</v>
      </c>
      <c r="X646" s="152" t="s">
        <v>1594</v>
      </c>
      <c r="Y646" s="152" t="s">
        <v>4009</v>
      </c>
      <c r="Z646" s="152" t="s">
        <v>1557</v>
      </c>
      <c r="AA646" s="153" t="n">
        <v>2.1</v>
      </c>
      <c r="AB646" s="151" t="s">
        <v>4010</v>
      </c>
      <c r="AC646" s="151" t="s">
        <v>505</v>
      </c>
      <c r="AD646" s="151" t="str">
        <f aca="false">CONCATENATE($C646,$I646,$H646,$N646,$J646,$K646)</f>
        <v>TUBO PEADPEAD160VCAREDESZona06</v>
      </c>
      <c r="AE646" s="153" t="n">
        <f aca="false">IFERROR(INDEX(APOIO_REDES!$A:$W,MATCH($C646&amp;$I646&amp;$H646&amp;$N646&amp;$O646,APOIO_REDES!$W:$W,0),MATCH(AE$5,APOIO_REDES!$5:$5,0)),0)</f>
        <v>1.2</v>
      </c>
      <c r="AF646" s="153" t="n">
        <f aca="false">IFERROR(INDEX(APOIO_REDES!$A:$W,MATCH($C646&amp;$I646&amp;$H646&amp;$N646&amp;$O646,APOIO_REDES!$W:$W,0),MATCH(AF$5,APOIO_REDES!$5:$5,0)),0)</f>
        <v>1.46</v>
      </c>
      <c r="AG646" s="153" t="n">
        <f aca="false">IFERROR(INDEX(APOIO_REDES!$A:$W,MATCH($C646&amp;$I646&amp;$H646&amp;$N646&amp;$O646,APOIO_REDES!$W:$W,0),MATCH(AG$5,APOIO_REDES!$5:$5,0)),0)</f>
        <v>0.75</v>
      </c>
      <c r="AH646" s="153" t="n">
        <f aca="false">IFERROR(INDEX(APOIO_REDES!$A:$W,MATCH($C646&amp;$I646&amp;$H646&amp;$N646&amp;$O646,APOIO_REDES!$W:$W,0),MATCH(AH$5,APOIO_REDES!$5:$5,0)),0)</f>
        <v>0.1</v>
      </c>
      <c r="AI646" s="153" t="n">
        <f aca="false">IFERROR(IF($H646&lt;&gt;"",(((($H646/1000)/2)^2)*PI()*$M646),0),0)</f>
        <v>2.70408189428026</v>
      </c>
      <c r="AJ646" s="153" t="n">
        <f aca="false">IFERROR(IF(AND($H646&lt;&gt;"",$I646="FoFo",OR($N646="MND",$N646="VCA"),$Q646="LINEAR"),0,IF(AND($H646&lt;&gt;"",$I646="PEAD",$N646="VCA",$Q646="LINEAR"),($H646/1000)+0.3,IF(AND($H646&lt;&gt;"",$I646="PEAD",$N646="MND",$Q646="EMBOQUE"),0,IF(AND($H646&lt;&gt;"",$I646="PVC",$N646="VCA",$Q646="LINEAR"),($H646/1000)+0.2,IF(AND($H646&lt;&gt;"",$I646="PVC",$N646="MND",$Q646="EMBOQUE"),0,IF(AND($H646&lt;&gt;"",$I646="PEAD",$N646="VCA",$Q646="PREDIAL"),0,0)))))),0)</f>
        <v>0.46</v>
      </c>
      <c r="AK646" s="153" t="n">
        <f aca="false">IF(AA646&lt;&gt;"",AA646,0)</f>
        <v>2.1</v>
      </c>
      <c r="AL646" s="153" t="n">
        <f aca="false">IF(AND($N646="MND",$Q646="EMBOQUE"),$M646,IF(AND($N646="VCA",$Q646="LINEAR"),$M646,IF(AND($N646="VCA",$Q646="PREDIAL"),0,0)))</f>
        <v>134.49</v>
      </c>
      <c r="AM646" s="153" t="n">
        <f aca="false">IF(AND($N646="MND",$Q646="EMBOQUE"),$M646,IF(AND($N646="VCA",$Q646="LINEAR"),$M646,IF(AND($N646="VCA",$Q646="PREDIAL"),0,0)))</f>
        <v>134.49</v>
      </c>
      <c r="AN646" s="153" t="n">
        <f aca="false">ROUND(IF(AND($N646="VCA",$M646&lt;&gt;"",$Q646="LINEAR"),$M646/100,IF(AND($N646="MND",$M646&gt;100,$Q646="EMBOQUE"),$M646/100,0)),0)</f>
        <v>1</v>
      </c>
      <c r="AO646" s="153" t="n">
        <f aca="false">IF(AND($N646="MND",$Q646="EMBOQUE"),$AN646*2*2,IF(AND($N646="VCA",$Q646="LINEAR"),$M646*2,IF(AND($N646="VCA",$Q646="PREDIAL"),0,0)))</f>
        <v>268.98</v>
      </c>
      <c r="AP646" s="153" t="n">
        <f aca="false">IFERROR($M646*$AF646*$AG646,0)</f>
        <v>147.26655</v>
      </c>
      <c r="AQ646" s="153" t="n">
        <f aca="false">IFERROR(IF(AND($N646="VCA",$AH646&gt;0),$M646*$AG646*$AH646,0),0)</f>
        <v>10.08675</v>
      </c>
      <c r="AR646" s="153" t="n">
        <f aca="false">IFERROR(IF(AND($N646="VCA",$AJ646&gt;0),($M646*$AG646*$AJ646)-$AI646,0),0)</f>
        <v>43.6949681057197</v>
      </c>
      <c r="AS646" s="153" t="n">
        <f aca="false">IFERROR(IF(AND($N646="VCA",$AP646&gt;0),$AP646-$AI646-$AQ646-$AR646,0),0)</f>
        <v>90.78075</v>
      </c>
      <c r="AT646" s="153" t="n">
        <f aca="false">IFERROR(IF($N646="VCA",INDEX(APOIO_REDES!$A:$W,MATCH($C646&amp;$I646&amp;$H646&amp;$N646&amp;$O646,APOIO_REDES!$W:$W,0),MATCH(AT$5,APOIO_REDES!$5:$5,0)),0)*$AP646,0)</f>
        <v>1.60230365267382</v>
      </c>
      <c r="AU646" s="153" t="n">
        <f aca="false">IFERROR(IF($N646="VCA",INDEX(APOIO_REDES!$A:$W,MATCH($C646&amp;$I646&amp;$H646&amp;$N646&amp;$O646,APOIO_REDES!$W:$W,0),MATCH(AU$5,APOIO_REDES!$5:$5,0)),0)*$AP646,0)</f>
        <v>1.27955630113891</v>
      </c>
      <c r="AV646" s="153" t="n">
        <f aca="false">IFERROR(IF($N646="VCA",INDEX(APOIO_REDES!$A:$W,MATCH($C646&amp;$I646&amp;$H646&amp;$N646&amp;$O646,APOIO_REDES!$W:$W,0),MATCH(AV$5,APOIO_REDES!$5:$5,0)),0)*$AP646,0)</f>
        <v>0.17708054716682</v>
      </c>
      <c r="AW646" s="153" t="n">
        <f aca="false">IFERROR(IF($N646="VCA",INDEX(APOIO_REDES!$A:$W,MATCH($C646&amp;$I646&amp;$H646&amp;$N646&amp;$O646,APOIO_REDES!$W:$W,0),MATCH(AW$5,APOIO_REDES!$5:$5,0)),0)*$AP646,0)</f>
        <v>101.084900996911</v>
      </c>
      <c r="AX646" s="153" t="n">
        <f aca="false">IFERROR(IF($N646="VCA",INDEX(APOIO_REDES!$A:$W,MATCH($C646&amp;$I646&amp;$H646&amp;$N646&amp;$O646,APOIO_REDES!$W:$W,0),MATCH(AX$5,APOIO_REDES!$5:$5,0)),0)*$AP646,0)</f>
        <v>13.9898623521815</v>
      </c>
      <c r="AY646" s="153" t="n">
        <f aca="false">IFERROR(IF($N646="VCA",INDEX(APOIO_REDES!$A:$W,MATCH($C646&amp;$I646&amp;$H646&amp;$N646&amp;$O646,APOIO_REDES!$W:$W,0),MATCH(AY$5,APOIO_REDES!$5:$5,0)),0)*$AP646,0)</f>
        <v>25.5911104250906</v>
      </c>
      <c r="AZ646" s="153" t="n">
        <f aca="false">IFERROR(IF($N646="VCA",INDEX(APOIO_REDES!$A:$W,MATCH($C646&amp;$I646&amp;$H646&amp;$N646&amp;$O646,APOIO_REDES!$W:$W,0),MATCH(AZ$5,APOIO_REDES!$5:$5,0)),0)*$AP646,0)</f>
        <v>3.54173572483708</v>
      </c>
      <c r="BA646" s="153" t="n">
        <f aca="false">IFERROR(IF(AND($N646="VCA",$Q646="LINEAR"),INDEX(APOIO_REDES!$A:$W,MATCH($C646&amp;$I646&amp;$H646&amp;$N646&amp;$O646,APOIO_REDES!$W:$W,0),MATCH(BA$5,APOIO_REDES!$5:$5,0)),IF(AND($N646="MND",$Q646="EMBOQUE"),INDEX(APOIO_REDES!$A:$W,MATCH($C646&amp;$I646&amp;$H646&amp;$N646&amp;$O646,APOIO_REDES!$W:$W,0),MATCH(BA$5,APOIO_REDES!$5:$5,0)),0))*$M646/10,0)</f>
        <v>10.8395547597047</v>
      </c>
      <c r="BB646" s="153" t="n">
        <f aca="false">IFERROR(IF($N646="VCA",INDEX(APOIO_REDES!$A:$W,MATCH($C646&amp;$I646&amp;$H646&amp;$N646&amp;$O646,APOIO_REDES!$W:$W,0),MATCH(BB$5,APOIO_REDES!$5:$5,0)),0)*($AI646+$AQ646+$AR646),0)</f>
        <v>55.8712177770566</v>
      </c>
      <c r="BC646" s="153" t="n">
        <f aca="false">IFERROR(IF($N646="VCA",INDEX(APOIO_REDES!$A:$W,MATCH($C646&amp;$I646&amp;$H646&amp;$N646&amp;$O646,APOIO_REDES!$W:$W,0),MATCH(BC$5,APOIO_REDES!$5:$5,0)),0)*($AI646+$AQ646+$AR646),0)</f>
        <v>0.614582222943384</v>
      </c>
      <c r="BD646" s="153" t="n">
        <f aca="false">IF(AND($N646="VCA",$AF646&gt;=1.25,$AF646&lt;1.5),$M646*$AF646*2,0)</f>
        <v>392.7108</v>
      </c>
      <c r="BE646" s="153" t="n">
        <f aca="false">IF(AND($N646="VCA",$AF646&gt;=1.5,$AF646&lt;3),$M646*$AF646*2,0)</f>
        <v>0</v>
      </c>
      <c r="BF646" s="153" t="n">
        <f aca="false">IF(AND($N646="VCA",$AF646&gt;=3),$M646*$AF646*2,0)</f>
        <v>0</v>
      </c>
      <c r="BG646" s="153" t="n">
        <f aca="false">($BB646+$BC646)*$AK646</f>
        <v>118.62018</v>
      </c>
      <c r="BH646" s="153" t="n">
        <f aca="false">IF(AND($M646&lt;&gt;"",$N646="VCA",$Q646="LINEAR"),($M646*2)/100,IF(AND($M646&lt;&gt;"",$N646="MND",$Q646="EMBOQUE"),($AN646*2)/100,0))</f>
        <v>2.6898</v>
      </c>
      <c r="BI646" s="153" t="n">
        <f aca="false">IF(AND($M646&lt;&gt;"",$N646="VCA",$Q646="LINEAR"),$M646,IF(AND($M646&lt;&gt;"",$N646="MND",$Q646="EMBOQUE"),$AN646*2,0))</f>
        <v>134.49</v>
      </c>
      <c r="BJ646" s="153" t="n">
        <f aca="false">IF(AND($M646&lt;&gt;"",$N646="VCA",$Q646="LINEAR"),($M646*6.8)/100,IF(AND($M646&lt;&gt;"",$N646="MND",$Q646="EMBOQUE"),($AN646*2*6.8)/100,0))</f>
        <v>9.14532</v>
      </c>
      <c r="BK646" s="153" t="n">
        <f aca="false">IF(AND($M646&lt;&gt;"",$N646="VCA",$Q646="LINEAR"),($M646*2.5)/50,IF(AND($M646&lt;&gt;"",$N646="MND",$Q646="EMBOQUE"),($AN646*2*2.5)/50,0))</f>
        <v>6.7245</v>
      </c>
      <c r="BL646" s="157" t="str">
        <f aca="false">K646&amp;J646</f>
        <v>Zona06REDES</v>
      </c>
      <c r="BM646" s="152" t="s">
        <v>3790</v>
      </c>
      <c r="BN646" s="152" t="s">
        <v>1560</v>
      </c>
      <c r="BO646" s="152" t="s">
        <v>4004</v>
      </c>
      <c r="BP646" s="152" t="s">
        <v>4011</v>
      </c>
      <c r="BQ646" s="152" t="s">
        <v>4012</v>
      </c>
      <c r="BR646" s="152" t="s">
        <v>4013</v>
      </c>
      <c r="BS646" s="152" t="n">
        <v>203781.806</v>
      </c>
      <c r="BT646" s="152" t="n">
        <v>8236948.108</v>
      </c>
      <c r="BU646" s="152" t="n">
        <v>203663.183</v>
      </c>
      <c r="BV646" s="152" t="n">
        <v>8236884.798</v>
      </c>
      <c r="BW646" s="152" t="n">
        <v>-15.9293388</v>
      </c>
      <c r="BX646" s="152" t="n">
        <v>-47.7672732</v>
      </c>
      <c r="BY646" s="152" t="s">
        <v>4011</v>
      </c>
    </row>
    <row r="647" customFormat="false" ht="13.8" hidden="false" customHeight="false" outlineLevel="0" collapsed="false">
      <c r="A647" s="149" t="n">
        <f aca="false">IF(C647&lt;&gt;"",ROW(A642),"")</f>
        <v>642</v>
      </c>
      <c r="B647" s="150" t="str">
        <f aca="false">HYPERLINK("https://www.google.com/maps/dir/-15.917302,-47.760003/-15.9296179,-47.7678307/data=!4m3!4m2!3e0!5i2")</f>
        <v>https://www.google.com/maps/dir/-15.917302,-47.760003/-15.9296179,-47.7678307/data=!4m3!4m2!3e0!5i2</v>
      </c>
      <c r="C647" s="151" t="s">
        <v>117</v>
      </c>
      <c r="D647" s="152" t="s">
        <v>112</v>
      </c>
      <c r="E647" s="152" t="s">
        <v>113</v>
      </c>
      <c r="F647" s="152" t="s">
        <v>117</v>
      </c>
      <c r="G647" s="152" t="s">
        <v>114</v>
      </c>
      <c r="H647" s="152" t="n">
        <v>160</v>
      </c>
      <c r="I647" s="152" t="s">
        <v>115</v>
      </c>
      <c r="J647" s="152" t="s">
        <v>6</v>
      </c>
      <c r="K647" s="152" t="s">
        <v>3786</v>
      </c>
      <c r="L647" s="152" t="s">
        <v>120</v>
      </c>
      <c r="M647" s="153" t="n">
        <f aca="false">11.25</f>
        <v>11.25</v>
      </c>
      <c r="N647" s="152" t="s">
        <v>1548</v>
      </c>
      <c r="O647" s="152" t="s">
        <v>1549</v>
      </c>
      <c r="P647" s="152" t="s">
        <v>1550</v>
      </c>
      <c r="Q647" s="152" t="s">
        <v>1551</v>
      </c>
      <c r="R647" s="154" t="s">
        <v>4014</v>
      </c>
      <c r="S647" s="154" t="s">
        <v>1593</v>
      </c>
      <c r="T647" s="155" t="s">
        <v>4002</v>
      </c>
      <c r="U647" s="152" t="str">
        <f aca="false">RIGHT(T647,7)</f>
        <v>015/037</v>
      </c>
      <c r="V647" s="152" t="s">
        <v>1555</v>
      </c>
      <c r="W647" s="156" t="n">
        <v>45882</v>
      </c>
      <c r="X647" s="152" t="s">
        <v>1594</v>
      </c>
      <c r="Y647" s="152" t="s">
        <v>4015</v>
      </c>
      <c r="Z647" s="152" t="s">
        <v>1557</v>
      </c>
      <c r="AA647" s="153" t="n">
        <v>2.7</v>
      </c>
      <c r="AB647" s="151" t="s">
        <v>4016</v>
      </c>
      <c r="AC647" s="151" t="s">
        <v>505</v>
      </c>
      <c r="AD647" s="151" t="str">
        <f aca="false">CONCATENATE($C647,$I647,$H647,$N647,$J647,$K647)</f>
        <v>TUBO PEADPEAD160VCAREDESZona06</v>
      </c>
      <c r="AE647" s="153" t="n">
        <f aca="false">IFERROR(INDEX(APOIO_REDES!$A:$W,MATCH($C647&amp;$I647&amp;$H647&amp;$N647&amp;$O647,APOIO_REDES!$W:$W,0),MATCH(AE$5,APOIO_REDES!$5:$5,0)),0)</f>
        <v>1.2</v>
      </c>
      <c r="AF647" s="153" t="n">
        <f aca="false">IFERROR(INDEX(APOIO_REDES!$A:$W,MATCH($C647&amp;$I647&amp;$H647&amp;$N647&amp;$O647,APOIO_REDES!$W:$W,0),MATCH(AF$5,APOIO_REDES!$5:$5,0)),0)</f>
        <v>1.46</v>
      </c>
      <c r="AG647" s="153" t="n">
        <f aca="false">IFERROR(INDEX(APOIO_REDES!$A:$W,MATCH($C647&amp;$I647&amp;$H647&amp;$N647&amp;$O647,APOIO_REDES!$W:$W,0),MATCH(AG$5,APOIO_REDES!$5:$5,0)),0)</f>
        <v>0.75</v>
      </c>
      <c r="AH647" s="153" t="n">
        <f aca="false">IFERROR(INDEX(APOIO_REDES!$A:$W,MATCH($C647&amp;$I647&amp;$H647&amp;$N647&amp;$O647,APOIO_REDES!$W:$W,0),MATCH(AH$5,APOIO_REDES!$5:$5,0)),0)</f>
        <v>0.1</v>
      </c>
      <c r="AI647" s="153" t="n">
        <f aca="false">IFERROR(IF($H647&lt;&gt;"",(((($H647/1000)/2)^2)*PI()*$M647),0),0)</f>
        <v>0.226194671058465</v>
      </c>
      <c r="AJ647" s="153" t="n">
        <f aca="false">IFERROR(IF(AND($H647&lt;&gt;"",$I647="FoFo",OR($N647="MND",$N647="VCA"),$Q647="LINEAR"),0,IF(AND($H647&lt;&gt;"",$I647="PEAD",$N647="VCA",$Q647="LINEAR"),($H647/1000)+0.3,IF(AND($H647&lt;&gt;"",$I647="PEAD",$N647="MND",$Q647="EMBOQUE"),0,IF(AND($H647&lt;&gt;"",$I647="PVC",$N647="VCA",$Q647="LINEAR"),($H647/1000)+0.2,IF(AND($H647&lt;&gt;"",$I647="PVC",$N647="MND",$Q647="EMBOQUE"),0,IF(AND($H647&lt;&gt;"",$I647="PEAD",$N647="VCA",$Q647="PREDIAL"),0,0)))))),0)</f>
        <v>0.46</v>
      </c>
      <c r="AK647" s="153" t="n">
        <f aca="false">IF(AA647&lt;&gt;"",AA647,0)</f>
        <v>2.7</v>
      </c>
      <c r="AL647" s="153" t="n">
        <f aca="false">IF(AND($N647="MND",$Q647="EMBOQUE"),$M647,IF(AND($N647="VCA",$Q647="LINEAR"),$M647,IF(AND($N647="VCA",$Q647="PREDIAL"),0,0)))</f>
        <v>11.25</v>
      </c>
      <c r="AM647" s="153" t="n">
        <f aca="false">IF(AND($N647="MND",$Q647="EMBOQUE"),$M647,IF(AND($N647="VCA",$Q647="LINEAR"),$M647,IF(AND($N647="VCA",$Q647="PREDIAL"),0,0)))</f>
        <v>11.25</v>
      </c>
      <c r="AN647" s="153" t="n">
        <f aca="false">ROUND(IF(AND($N647="VCA",$M647&lt;&gt;"",$Q647="LINEAR"),$M647/100,IF(AND($N647="MND",$M647&gt;100,$Q647="EMBOQUE"),$M647/100,0)),0)</f>
        <v>0</v>
      </c>
      <c r="AO647" s="153" t="n">
        <f aca="false">IF(AND($N647="MND",$Q647="EMBOQUE"),$AN647*2*2,IF(AND($N647="VCA",$Q647="LINEAR"),$M647*2,IF(AND($N647="VCA",$Q647="PREDIAL"),0,0)))</f>
        <v>22.5</v>
      </c>
      <c r="AP647" s="153" t="n">
        <f aca="false">IFERROR($M647*$AF647*$AG647,0)</f>
        <v>12.31875</v>
      </c>
      <c r="AQ647" s="153" t="n">
        <f aca="false">IFERROR(IF(AND($N647="VCA",$AH647&gt;0),$M647*$AG647*$AH647,0),0)</f>
        <v>0.84375</v>
      </c>
      <c r="AR647" s="153" t="n">
        <f aca="false">IFERROR(IF(AND($N647="VCA",$AJ647&gt;0),($M647*$AG647*$AJ647)-$AI647,0),0)</f>
        <v>3.65505532894153</v>
      </c>
      <c r="AS647" s="153" t="n">
        <f aca="false">IFERROR(IF(AND($N647="VCA",$AP647&gt;0),$AP647-$AI647-$AQ647-$AR647,0),0)</f>
        <v>7.59375</v>
      </c>
      <c r="AT647" s="153" t="n">
        <f aca="false">IFERROR(IF($N647="VCA",INDEX(APOIO_REDES!$A:$W,MATCH($C647&amp;$I647&amp;$H647&amp;$N647&amp;$O647,APOIO_REDES!$W:$W,0),MATCH(AT$5,APOIO_REDES!$5:$5,0)),0)*$AP647,0)</f>
        <v>0.134031646163882</v>
      </c>
      <c r="AU647" s="153" t="n">
        <f aca="false">IFERROR(IF($N647="VCA",INDEX(APOIO_REDES!$A:$W,MATCH($C647&amp;$I647&amp;$H647&amp;$N647&amp;$O647,APOIO_REDES!$W:$W,0),MATCH(AU$5,APOIO_REDES!$5:$5,0)),0)*$AP647,0)</f>
        <v>0.107034042589135</v>
      </c>
      <c r="AV647" s="153" t="n">
        <f aca="false">IFERROR(IF($N647="VCA",INDEX(APOIO_REDES!$A:$W,MATCH($C647&amp;$I647&amp;$H647&amp;$N647&amp;$O647,APOIO_REDES!$W:$W,0),MATCH(AV$5,APOIO_REDES!$5:$5,0)),0)*$AP647,0)</f>
        <v>0.0148126712441574</v>
      </c>
      <c r="AW647" s="153" t="n">
        <f aca="false">IFERROR(IF($N647="VCA",INDEX(APOIO_REDES!$A:$W,MATCH($C647&amp;$I647&amp;$H647&amp;$N647&amp;$O647,APOIO_REDES!$W:$W,0),MATCH(AW$5,APOIO_REDES!$5:$5,0)),0)*$AP647,0)</f>
        <v>8.45568545033275</v>
      </c>
      <c r="AX647" s="153" t="n">
        <f aca="false">IFERROR(IF($N647="VCA",INDEX(APOIO_REDES!$A:$W,MATCH($C647&amp;$I647&amp;$H647&amp;$N647&amp;$O647,APOIO_REDES!$W:$W,0),MATCH(AX$5,APOIO_REDES!$5:$5,0)),0)*$AP647,0)</f>
        <v>1.17024277985012</v>
      </c>
      <c r="AY647" s="153" t="n">
        <f aca="false">IFERROR(IF($N647="VCA",INDEX(APOIO_REDES!$A:$W,MATCH($C647&amp;$I647&amp;$H647&amp;$N647&amp;$O647,APOIO_REDES!$W:$W,0),MATCH(AY$5,APOIO_REDES!$5:$5,0)),0)*$AP647,0)</f>
        <v>2.1406795470464</v>
      </c>
      <c r="AZ647" s="153" t="n">
        <f aca="false">IFERROR(IF($N647="VCA",INDEX(APOIO_REDES!$A:$W,MATCH($C647&amp;$I647&amp;$H647&amp;$N647&amp;$O647,APOIO_REDES!$W:$W,0),MATCH(AZ$5,APOIO_REDES!$5:$5,0)),0)*$AP647,0)</f>
        <v>0.296263862773568</v>
      </c>
      <c r="BA647" s="153" t="n">
        <f aca="false">IFERROR(IF(AND($N647="VCA",$Q647="LINEAR"),INDEX(APOIO_REDES!$A:$W,MATCH($C647&amp;$I647&amp;$H647&amp;$N647&amp;$O647,APOIO_REDES!$W:$W,0),MATCH(BA$5,APOIO_REDES!$5:$5,0)),IF(AND($N647="MND",$Q647="EMBOQUE"),INDEX(APOIO_REDES!$A:$W,MATCH($C647&amp;$I647&amp;$H647&amp;$N647&amp;$O647,APOIO_REDES!$W:$W,0),MATCH(BA$5,APOIO_REDES!$5:$5,0)),0))*$M647/10,0)</f>
        <v>0.906721622772528</v>
      </c>
      <c r="BB647" s="153" t="n">
        <f aca="false">IFERROR(IF($N647="VCA",INDEX(APOIO_REDES!$A:$W,MATCH($C647&amp;$I647&amp;$H647&amp;$N647&amp;$O647,APOIO_REDES!$W:$W,0),MATCH(BB$5,APOIO_REDES!$5:$5,0)),0)*($AI647+$AQ647+$AR647),0)</f>
        <v>4.67359060147139</v>
      </c>
      <c r="BC647" s="153" t="n">
        <f aca="false">IFERROR(IF($N647="VCA",INDEX(APOIO_REDES!$A:$W,MATCH($C647&amp;$I647&amp;$H647&amp;$N647&amp;$O647,APOIO_REDES!$W:$W,0),MATCH(BC$5,APOIO_REDES!$5:$5,0)),0)*($AI647+$AQ647+$AR647),0)</f>
        <v>0.0514093985286123</v>
      </c>
      <c r="BD647" s="153" t="n">
        <f aca="false">IF(AND($N647="VCA",$AF647&gt;=1.25,$AF647&lt;1.5),$M647*$AF647*2,0)</f>
        <v>32.85</v>
      </c>
      <c r="BE647" s="153" t="n">
        <f aca="false">IF(AND($N647="VCA",$AF647&gt;=1.5,$AF647&lt;3),$M647*$AF647*2,0)</f>
        <v>0</v>
      </c>
      <c r="BF647" s="153" t="n">
        <f aca="false">IF(AND($N647="VCA",$AF647&gt;=3),$M647*$AF647*2,0)</f>
        <v>0</v>
      </c>
      <c r="BG647" s="153" t="n">
        <f aca="false">($BB647+$BC647)*$AK647</f>
        <v>12.7575</v>
      </c>
      <c r="BH647" s="153" t="n">
        <f aca="false">IF(AND($M647&lt;&gt;"",$N647="VCA",$Q647="LINEAR"),($M647*2)/100,IF(AND($M647&lt;&gt;"",$N647="MND",$Q647="EMBOQUE"),($AN647*2)/100,0))</f>
        <v>0.225</v>
      </c>
      <c r="BI647" s="153" t="n">
        <f aca="false">IF(AND($M647&lt;&gt;"",$N647="VCA",$Q647="LINEAR"),$M647,IF(AND($M647&lt;&gt;"",$N647="MND",$Q647="EMBOQUE"),$AN647*2,0))</f>
        <v>11.25</v>
      </c>
      <c r="BJ647" s="153" t="n">
        <f aca="false">IF(AND($M647&lt;&gt;"",$N647="VCA",$Q647="LINEAR"),($M647*6.8)/100,IF(AND($M647&lt;&gt;"",$N647="MND",$Q647="EMBOQUE"),($AN647*2*6.8)/100,0))</f>
        <v>0.765</v>
      </c>
      <c r="BK647" s="153" t="n">
        <f aca="false">IF(AND($M647&lt;&gt;"",$N647="VCA",$Q647="LINEAR"),($M647*2.5)/50,IF(AND($M647&lt;&gt;"",$N647="MND",$Q647="EMBOQUE"),($AN647*2*2.5)/50,0))</f>
        <v>0.5625</v>
      </c>
      <c r="BL647" s="157" t="str">
        <f aca="false">K647&amp;J647</f>
        <v>Zona06REDES</v>
      </c>
      <c r="BM647" s="152" t="s">
        <v>3790</v>
      </c>
      <c r="BN647" s="152" t="s">
        <v>1560</v>
      </c>
      <c r="BO647" s="152" t="s">
        <v>4004</v>
      </c>
      <c r="BP647" s="152" t="s">
        <v>4012</v>
      </c>
      <c r="BQ647" s="152" t="s">
        <v>4017</v>
      </c>
      <c r="BR647" s="152" t="s">
        <v>4018</v>
      </c>
      <c r="BS647" s="152" t="n">
        <v>203662.613</v>
      </c>
      <c r="BT647" s="152" t="n">
        <v>8236885.223</v>
      </c>
      <c r="BU647" s="152" t="n">
        <v>203656.409</v>
      </c>
      <c r="BV647" s="152" t="n">
        <v>8236891.926</v>
      </c>
      <c r="BW647" s="152" t="n">
        <v>-15.9295699</v>
      </c>
      <c r="BX647" s="152" t="n">
        <v>-47.7678565</v>
      </c>
      <c r="BY647" s="152" t="s">
        <v>4012</v>
      </c>
    </row>
    <row r="648" customFormat="false" ht="13.8" hidden="false" customHeight="false" outlineLevel="0" collapsed="false">
      <c r="A648" s="149" t="n">
        <f aca="false">IF(C648&lt;&gt;"",ROW(A643),"")</f>
        <v>643</v>
      </c>
      <c r="B648" s="150" t="str">
        <f aca="false">HYPERLINK("https://www.google.com/maps/dir/-15.917302,-47.760003/-15.9296179,-47.7678307/data=!4m3!4m2!3e0!5i2")</f>
        <v>https://www.google.com/maps/dir/-15.917302,-47.760003/-15.9296179,-47.7678307/data=!4m3!4m2!3e0!5i2</v>
      </c>
      <c r="C648" s="151" t="s">
        <v>117</v>
      </c>
      <c r="D648" s="152" t="s">
        <v>112</v>
      </c>
      <c r="E648" s="152" t="s">
        <v>113</v>
      </c>
      <c r="F648" s="152" t="s">
        <v>117</v>
      </c>
      <c r="G648" s="152" t="s">
        <v>114</v>
      </c>
      <c r="H648" s="152" t="n">
        <v>160</v>
      </c>
      <c r="I648" s="152" t="s">
        <v>115</v>
      </c>
      <c r="J648" s="152" t="s">
        <v>6</v>
      </c>
      <c r="K648" s="152" t="s">
        <v>3786</v>
      </c>
      <c r="L648" s="152" t="s">
        <v>120</v>
      </c>
      <c r="M648" s="153" t="n">
        <f aca="false">6.56</f>
        <v>6.56</v>
      </c>
      <c r="N648" s="152" t="s">
        <v>1548</v>
      </c>
      <c r="O648" s="152" t="s">
        <v>1549</v>
      </c>
      <c r="P648" s="152" t="s">
        <v>1550</v>
      </c>
      <c r="Q648" s="152" t="s">
        <v>1551</v>
      </c>
      <c r="R648" s="154" t="s">
        <v>4019</v>
      </c>
      <c r="S648" s="154" t="s">
        <v>1593</v>
      </c>
      <c r="T648" s="155" t="s">
        <v>4002</v>
      </c>
      <c r="U648" s="152" t="str">
        <f aca="false">RIGHT(T648,7)</f>
        <v>015/037</v>
      </c>
      <c r="V648" s="152" t="s">
        <v>1555</v>
      </c>
      <c r="W648" s="156" t="n">
        <v>45882</v>
      </c>
      <c r="X648" s="152" t="s">
        <v>1594</v>
      </c>
      <c r="Y648" s="152" t="s">
        <v>4015</v>
      </c>
      <c r="Z648" s="152" t="s">
        <v>1557</v>
      </c>
      <c r="AA648" s="153" t="n">
        <v>2.7</v>
      </c>
      <c r="AB648" s="151" t="s">
        <v>4020</v>
      </c>
      <c r="AC648" s="151" t="s">
        <v>505</v>
      </c>
      <c r="AD648" s="151" t="str">
        <f aca="false">CONCATENATE($C648,$I648,$H648,$N648,$J648,$K648)</f>
        <v>TUBO PEADPEAD160VCAREDESZona06</v>
      </c>
      <c r="AE648" s="153" t="n">
        <f aca="false">IFERROR(INDEX(APOIO_REDES!$A:$W,MATCH($C648&amp;$I648&amp;$H648&amp;$N648&amp;$O648,APOIO_REDES!$W:$W,0),MATCH(AE$5,APOIO_REDES!$5:$5,0)),0)</f>
        <v>1.2</v>
      </c>
      <c r="AF648" s="153" t="n">
        <f aca="false">IFERROR(INDEX(APOIO_REDES!$A:$W,MATCH($C648&amp;$I648&amp;$H648&amp;$N648&amp;$O648,APOIO_REDES!$W:$W,0),MATCH(AF$5,APOIO_REDES!$5:$5,0)),0)</f>
        <v>1.46</v>
      </c>
      <c r="AG648" s="153" t="n">
        <f aca="false">IFERROR(INDEX(APOIO_REDES!$A:$W,MATCH($C648&amp;$I648&amp;$H648&amp;$N648&amp;$O648,APOIO_REDES!$W:$W,0),MATCH(AG$5,APOIO_REDES!$5:$5,0)),0)</f>
        <v>0.75</v>
      </c>
      <c r="AH648" s="153" t="n">
        <f aca="false">IFERROR(INDEX(APOIO_REDES!$A:$W,MATCH($C648&amp;$I648&amp;$H648&amp;$N648&amp;$O648,APOIO_REDES!$W:$W,0),MATCH(AH$5,APOIO_REDES!$5:$5,0)),0)</f>
        <v>0.1</v>
      </c>
      <c r="AI648" s="153" t="n">
        <f aca="false">IFERROR(IF($H648&lt;&gt;"",(((($H648/1000)/2)^2)*PI()*$M648),0),0)</f>
        <v>0.131896625968314</v>
      </c>
      <c r="AJ648" s="153" t="n">
        <f aca="false">IFERROR(IF(AND($H648&lt;&gt;"",$I648="FoFo",OR($N648="MND",$N648="VCA"),$Q648="LINEAR"),0,IF(AND($H648&lt;&gt;"",$I648="PEAD",$N648="VCA",$Q648="LINEAR"),($H648/1000)+0.3,IF(AND($H648&lt;&gt;"",$I648="PEAD",$N648="MND",$Q648="EMBOQUE"),0,IF(AND($H648&lt;&gt;"",$I648="PVC",$N648="VCA",$Q648="LINEAR"),($H648/1000)+0.2,IF(AND($H648&lt;&gt;"",$I648="PVC",$N648="MND",$Q648="EMBOQUE"),0,IF(AND($H648&lt;&gt;"",$I648="PEAD",$N648="VCA",$Q648="PREDIAL"),0,0)))))),0)</f>
        <v>0.46</v>
      </c>
      <c r="AK648" s="153" t="n">
        <f aca="false">IF(AA648&lt;&gt;"",AA648,0)</f>
        <v>2.7</v>
      </c>
      <c r="AL648" s="153" t="n">
        <f aca="false">IF(AND($N648="MND",$Q648="EMBOQUE"),$M648,IF(AND($N648="VCA",$Q648="LINEAR"),$M648,IF(AND($N648="VCA",$Q648="PREDIAL"),0,0)))</f>
        <v>6.56</v>
      </c>
      <c r="AM648" s="153" t="n">
        <f aca="false">IF(AND($N648="MND",$Q648="EMBOQUE"),$M648,IF(AND($N648="VCA",$Q648="LINEAR"),$M648,IF(AND($N648="VCA",$Q648="PREDIAL"),0,0)))</f>
        <v>6.56</v>
      </c>
      <c r="AN648" s="153" t="n">
        <f aca="false">ROUND(IF(AND($N648="VCA",$M648&lt;&gt;"",$Q648="LINEAR"),$M648/100,IF(AND($N648="MND",$M648&gt;100,$Q648="EMBOQUE"),$M648/100,0)),0)</f>
        <v>0</v>
      </c>
      <c r="AO648" s="153" t="n">
        <f aca="false">IF(AND($N648="MND",$Q648="EMBOQUE"),$AN648*2*2,IF(AND($N648="VCA",$Q648="LINEAR"),$M648*2,IF(AND($N648="VCA",$Q648="PREDIAL"),0,0)))</f>
        <v>13.12</v>
      </c>
      <c r="AP648" s="153" t="n">
        <f aca="false">IFERROR($M648*$AF648*$AG648,0)</f>
        <v>7.1832</v>
      </c>
      <c r="AQ648" s="153" t="n">
        <f aca="false">IFERROR(IF(AND($N648="VCA",$AH648&gt;0),$M648*$AG648*$AH648,0),0)</f>
        <v>0.492</v>
      </c>
      <c r="AR648" s="153" t="n">
        <f aca="false">IFERROR(IF(AND($N648="VCA",$AJ648&gt;0),($M648*$AG648*$AJ648)-$AI648,0),0)</f>
        <v>2.13130337403169</v>
      </c>
      <c r="AS648" s="153" t="n">
        <f aca="false">IFERROR(IF(AND($N648="VCA",$AP648&gt;0),$AP648-$AI648-$AQ648-$AR648,0),0)</f>
        <v>4.428</v>
      </c>
      <c r="AT648" s="153" t="n">
        <f aca="false">IFERROR(IF($N648="VCA",INDEX(APOIO_REDES!$A:$W,MATCH($C648&amp;$I648&amp;$H648&amp;$N648&amp;$O648,APOIO_REDES!$W:$W,0),MATCH(AT$5,APOIO_REDES!$5:$5,0)),0)*$AP648,0)</f>
        <v>0.0781553421186725</v>
      </c>
      <c r="AU648" s="153" t="n">
        <f aca="false">IFERROR(IF($N648="VCA",INDEX(APOIO_REDES!$A:$W,MATCH($C648&amp;$I648&amp;$H648&amp;$N648&amp;$O648,APOIO_REDES!$W:$W,0),MATCH(AU$5,APOIO_REDES!$5:$5,0)),0)*$AP648,0)</f>
        <v>0.0624127395008644</v>
      </c>
      <c r="AV648" s="153" t="n">
        <f aca="false">IFERROR(IF($N648="VCA",INDEX(APOIO_REDES!$A:$W,MATCH($C648&amp;$I648&amp;$H648&amp;$N648&amp;$O648,APOIO_REDES!$W:$W,0),MATCH(AV$5,APOIO_REDES!$5:$5,0)),0)*$AP648,0)</f>
        <v>0.0086374331877042</v>
      </c>
      <c r="AW648" s="153" t="n">
        <f aca="false">IFERROR(IF($N648="VCA",INDEX(APOIO_REDES!$A:$W,MATCH($C648&amp;$I648&amp;$H648&amp;$N648&amp;$O648,APOIO_REDES!$W:$W,0),MATCH(AW$5,APOIO_REDES!$5:$5,0)),0)*$AP648,0)</f>
        <v>4.93060413814958</v>
      </c>
      <c r="AX648" s="153" t="n">
        <f aca="false">IFERROR(IF($N648="VCA",INDEX(APOIO_REDES!$A:$W,MATCH($C648&amp;$I648&amp;$H648&amp;$N648&amp;$O648,APOIO_REDES!$W:$W,0),MATCH(AX$5,APOIO_REDES!$5:$5,0)),0)*$AP648,0)</f>
        <v>0.682381567628156</v>
      </c>
      <c r="AY648" s="153" t="n">
        <f aca="false">IFERROR(IF($N648="VCA",INDEX(APOIO_REDES!$A:$W,MATCH($C648&amp;$I648&amp;$H648&amp;$N648&amp;$O648,APOIO_REDES!$W:$W,0),MATCH(AY$5,APOIO_REDES!$5:$5,0)),0)*$AP648,0)</f>
        <v>1.24825402921105</v>
      </c>
      <c r="AZ648" s="153" t="n">
        <f aca="false">IFERROR(IF($N648="VCA",INDEX(APOIO_REDES!$A:$W,MATCH($C648&amp;$I648&amp;$H648&amp;$N648&amp;$O648,APOIO_REDES!$W:$W,0),MATCH(AZ$5,APOIO_REDES!$5:$5,0)),0)*$AP648,0)</f>
        <v>0.172754750203965</v>
      </c>
      <c r="BA648" s="153" t="n">
        <f aca="false">IFERROR(IF(AND($N648="VCA",$Q648="LINEAR"),INDEX(APOIO_REDES!$A:$W,MATCH($C648&amp;$I648&amp;$H648&amp;$N648&amp;$O648,APOIO_REDES!$W:$W,0),MATCH(BA$5,APOIO_REDES!$5:$5,0)),IF(AND($N648="MND",$Q648="EMBOQUE"),INDEX(APOIO_REDES!$A:$W,MATCH($C648&amp;$I648&amp;$H648&amp;$N648&amp;$O648,APOIO_REDES!$W:$W,0),MATCH(BA$5,APOIO_REDES!$5:$5,0)),0))*$M648/10,0)</f>
        <v>0.528719452923359</v>
      </c>
      <c r="BB648" s="153" t="n">
        <f aca="false">IFERROR(IF($N648="VCA",INDEX(APOIO_REDES!$A:$W,MATCH($C648&amp;$I648&amp;$H648&amp;$N648&amp;$O648,APOIO_REDES!$W:$W,0),MATCH(BB$5,APOIO_REDES!$5:$5,0)),0)*($AI648+$AQ648+$AR648),0)</f>
        <v>2.72522260850243</v>
      </c>
      <c r="BC648" s="153" t="n">
        <f aca="false">IFERROR(IF($N648="VCA",INDEX(APOIO_REDES!$A:$W,MATCH($C648&amp;$I648&amp;$H648&amp;$N648&amp;$O648,APOIO_REDES!$W:$W,0),MATCH(BC$5,APOIO_REDES!$5:$5,0)),0)*($AI648+$AQ648+$AR648),0)</f>
        <v>0.029977391497573</v>
      </c>
      <c r="BD648" s="153" t="n">
        <f aca="false">IF(AND($N648="VCA",$AF648&gt;=1.25,$AF648&lt;1.5),$M648*$AF648*2,0)</f>
        <v>19.1552</v>
      </c>
      <c r="BE648" s="153" t="n">
        <f aca="false">IF(AND($N648="VCA",$AF648&gt;=1.5,$AF648&lt;3),$M648*$AF648*2,0)</f>
        <v>0</v>
      </c>
      <c r="BF648" s="153" t="n">
        <f aca="false">IF(AND($N648="VCA",$AF648&gt;=3),$M648*$AF648*2,0)</f>
        <v>0</v>
      </c>
      <c r="BG648" s="153" t="n">
        <f aca="false">($BB648+$BC648)*$AK648</f>
        <v>7.43904</v>
      </c>
      <c r="BH648" s="153" t="n">
        <f aca="false">IF(AND($M648&lt;&gt;"",$N648="VCA",$Q648="LINEAR"),($M648*2)/100,IF(AND($M648&lt;&gt;"",$N648="MND",$Q648="EMBOQUE"),($AN648*2)/100,0))</f>
        <v>0.1312</v>
      </c>
      <c r="BI648" s="153" t="n">
        <f aca="false">IF(AND($M648&lt;&gt;"",$N648="VCA",$Q648="LINEAR"),$M648,IF(AND($M648&lt;&gt;"",$N648="MND",$Q648="EMBOQUE"),$AN648*2,0))</f>
        <v>6.56</v>
      </c>
      <c r="BJ648" s="153" t="n">
        <f aca="false">IF(AND($M648&lt;&gt;"",$N648="VCA",$Q648="LINEAR"),($M648*6.8)/100,IF(AND($M648&lt;&gt;"",$N648="MND",$Q648="EMBOQUE"),($AN648*2*6.8)/100,0))</f>
        <v>0.44608</v>
      </c>
      <c r="BK648" s="153" t="n">
        <f aca="false">IF(AND($M648&lt;&gt;"",$N648="VCA",$Q648="LINEAR"),($M648*2.5)/50,IF(AND($M648&lt;&gt;"",$N648="MND",$Q648="EMBOQUE"),($AN648*2*2.5)/50,0))</f>
        <v>0.328</v>
      </c>
      <c r="BL648" s="157" t="str">
        <f aca="false">K648&amp;J648</f>
        <v>Zona06REDES</v>
      </c>
      <c r="BM648" s="152" t="s">
        <v>3790</v>
      </c>
      <c r="BN648" s="152" t="s">
        <v>1560</v>
      </c>
      <c r="BO648" s="152" t="s">
        <v>4004</v>
      </c>
      <c r="BP648" s="152" t="s">
        <v>4012</v>
      </c>
      <c r="BQ648" s="152" t="s">
        <v>4005</v>
      </c>
      <c r="BR648" s="152" t="s">
        <v>4007</v>
      </c>
      <c r="BS648" s="152" t="n">
        <v>203662.613</v>
      </c>
      <c r="BT648" s="152" t="n">
        <v>8236885.223</v>
      </c>
      <c r="BU648" s="152" t="n">
        <v>203665.708</v>
      </c>
      <c r="BV648" s="152" t="n">
        <v>8236889.982</v>
      </c>
      <c r="BW648" s="152" t="n">
        <v>-15.9295835</v>
      </c>
      <c r="BX648" s="152" t="n">
        <v>-47.7678341</v>
      </c>
      <c r="BY648" s="152" t="s">
        <v>4012</v>
      </c>
    </row>
    <row r="649" customFormat="false" ht="13.8" hidden="false" customHeight="false" outlineLevel="0" collapsed="false">
      <c r="A649" s="149" t="n">
        <f aca="false">IF(C649&lt;&gt;"",ROW(A644),"")</f>
        <v>644</v>
      </c>
      <c r="B649" s="150" t="str">
        <f aca="false">HYPERLINK("https://www.google.com/maps/dir/-15.917302,-47.760003/-15.9297974,-47.7682011/data=!4m3!4m2!3e0!5i0")</f>
        <v>https://www.google.com/maps/dir/-15.917302,-47.760003/-15.9297974,-47.7682011/data=!4m3!4m2!3e0!5i0</v>
      </c>
      <c r="C649" s="151" t="s">
        <v>117</v>
      </c>
      <c r="D649" s="152" t="s">
        <v>112</v>
      </c>
      <c r="E649" s="152" t="s">
        <v>113</v>
      </c>
      <c r="F649" s="152" t="s">
        <v>117</v>
      </c>
      <c r="G649" s="152" t="s">
        <v>114</v>
      </c>
      <c r="H649" s="152" t="n">
        <v>160</v>
      </c>
      <c r="I649" s="152" t="s">
        <v>115</v>
      </c>
      <c r="J649" s="152" t="s">
        <v>6</v>
      </c>
      <c r="K649" s="152" t="s">
        <v>3786</v>
      </c>
      <c r="L649" s="152" t="s">
        <v>120</v>
      </c>
      <c r="M649" s="153" t="n">
        <f aca="false">42.9</f>
        <v>42.9</v>
      </c>
      <c r="N649" s="152" t="s">
        <v>1548</v>
      </c>
      <c r="O649" s="152" t="s">
        <v>1549</v>
      </c>
      <c r="P649" s="152" t="s">
        <v>1550</v>
      </c>
      <c r="Q649" s="152" t="s">
        <v>1551</v>
      </c>
      <c r="R649" s="154" t="s">
        <v>4021</v>
      </c>
      <c r="S649" s="154" t="s">
        <v>1593</v>
      </c>
      <c r="T649" s="155" t="s">
        <v>4002</v>
      </c>
      <c r="U649" s="152" t="str">
        <f aca="false">RIGHT(T649,7)</f>
        <v>015/037</v>
      </c>
      <c r="V649" s="152" t="s">
        <v>1555</v>
      </c>
      <c r="W649" s="156" t="n">
        <v>45882</v>
      </c>
      <c r="X649" s="152" t="s">
        <v>1594</v>
      </c>
      <c r="Y649" s="152" t="s">
        <v>2387</v>
      </c>
      <c r="Z649" s="152" t="s">
        <v>1557</v>
      </c>
      <c r="AA649" s="153" t="n">
        <v>2.3</v>
      </c>
      <c r="AB649" s="151" t="s">
        <v>4022</v>
      </c>
      <c r="AC649" s="151" t="s">
        <v>505</v>
      </c>
      <c r="AD649" s="151" t="str">
        <f aca="false">CONCATENATE($C649,$I649,$H649,$N649,$J649,$K649)</f>
        <v>TUBO PEADPEAD160VCAREDESZona06</v>
      </c>
      <c r="AE649" s="153" t="n">
        <f aca="false">IFERROR(INDEX(APOIO_REDES!$A:$W,MATCH($C649&amp;$I649&amp;$H649&amp;$N649&amp;$O649,APOIO_REDES!$W:$W,0),MATCH(AE$5,APOIO_REDES!$5:$5,0)),0)</f>
        <v>1.2</v>
      </c>
      <c r="AF649" s="153" t="n">
        <f aca="false">IFERROR(INDEX(APOIO_REDES!$A:$W,MATCH($C649&amp;$I649&amp;$H649&amp;$N649&amp;$O649,APOIO_REDES!$W:$W,0),MATCH(AF$5,APOIO_REDES!$5:$5,0)),0)</f>
        <v>1.46</v>
      </c>
      <c r="AG649" s="153" t="n">
        <f aca="false">IFERROR(INDEX(APOIO_REDES!$A:$W,MATCH($C649&amp;$I649&amp;$H649&amp;$N649&amp;$O649,APOIO_REDES!$W:$W,0),MATCH(AG$5,APOIO_REDES!$5:$5,0)),0)</f>
        <v>0.75</v>
      </c>
      <c r="AH649" s="153" t="n">
        <f aca="false">IFERROR(INDEX(APOIO_REDES!$A:$W,MATCH($C649&amp;$I649&amp;$H649&amp;$N649&amp;$O649,APOIO_REDES!$W:$W,0),MATCH(AH$5,APOIO_REDES!$5:$5,0)),0)</f>
        <v>0.1</v>
      </c>
      <c r="AI649" s="153" t="n">
        <f aca="false">IFERROR(IF($H649&lt;&gt;"",(((($H649/1000)/2)^2)*PI()*$M649),0),0)</f>
        <v>0.862555678969614</v>
      </c>
      <c r="AJ649" s="153" t="n">
        <f aca="false">IFERROR(IF(AND($H649&lt;&gt;"",$I649="FoFo",OR($N649="MND",$N649="VCA"),$Q649="LINEAR"),0,IF(AND($H649&lt;&gt;"",$I649="PEAD",$N649="VCA",$Q649="LINEAR"),($H649/1000)+0.3,IF(AND($H649&lt;&gt;"",$I649="PEAD",$N649="MND",$Q649="EMBOQUE"),0,IF(AND($H649&lt;&gt;"",$I649="PVC",$N649="VCA",$Q649="LINEAR"),($H649/1000)+0.2,IF(AND($H649&lt;&gt;"",$I649="PVC",$N649="MND",$Q649="EMBOQUE"),0,IF(AND($H649&lt;&gt;"",$I649="PEAD",$N649="VCA",$Q649="PREDIAL"),0,0)))))),0)</f>
        <v>0.46</v>
      </c>
      <c r="AK649" s="153" t="n">
        <f aca="false">IF(AA649&lt;&gt;"",AA649,0)</f>
        <v>2.3</v>
      </c>
      <c r="AL649" s="153" t="n">
        <f aca="false">IF(AND($N649="MND",$Q649="EMBOQUE"),$M649,IF(AND($N649="VCA",$Q649="LINEAR"),$M649,IF(AND($N649="VCA",$Q649="PREDIAL"),0,0)))</f>
        <v>42.9</v>
      </c>
      <c r="AM649" s="153" t="n">
        <f aca="false">IF(AND($N649="MND",$Q649="EMBOQUE"),$M649,IF(AND($N649="VCA",$Q649="LINEAR"),$M649,IF(AND($N649="VCA",$Q649="PREDIAL"),0,0)))</f>
        <v>42.9</v>
      </c>
      <c r="AN649" s="153" t="n">
        <f aca="false">ROUND(IF(AND($N649="VCA",$M649&lt;&gt;"",$Q649="LINEAR"),$M649/100,IF(AND($N649="MND",$M649&gt;100,$Q649="EMBOQUE"),$M649/100,0)),0)</f>
        <v>0</v>
      </c>
      <c r="AO649" s="153" t="n">
        <f aca="false">IF(AND($N649="MND",$Q649="EMBOQUE"),$AN649*2*2,IF(AND($N649="VCA",$Q649="LINEAR"),$M649*2,IF(AND($N649="VCA",$Q649="PREDIAL"),0,0)))</f>
        <v>85.8</v>
      </c>
      <c r="AP649" s="153" t="n">
        <f aca="false">IFERROR($M649*$AF649*$AG649,0)</f>
        <v>46.9755</v>
      </c>
      <c r="AQ649" s="153" t="n">
        <f aca="false">IFERROR(IF(AND($N649="VCA",$AH649&gt;0),$M649*$AG649*$AH649,0),0)</f>
        <v>3.2175</v>
      </c>
      <c r="AR649" s="153" t="n">
        <f aca="false">IFERROR(IF(AND($N649="VCA",$AJ649&gt;0),($M649*$AG649*$AJ649)-$AI649,0),0)</f>
        <v>13.9379443210304</v>
      </c>
      <c r="AS649" s="153" t="n">
        <f aca="false">IFERROR(IF(AND($N649="VCA",$AP649&gt;0),$AP649-$AI649-$AQ649-$AR649,0),0)</f>
        <v>28.9575</v>
      </c>
      <c r="AT649" s="153" t="n">
        <f aca="false">IFERROR(IF($N649="VCA",INDEX(APOIO_REDES!$A:$W,MATCH($C649&amp;$I649&amp;$H649&amp;$N649&amp;$O649,APOIO_REDES!$W:$W,0),MATCH(AT$5,APOIO_REDES!$5:$5,0)),0)*$AP649,0)</f>
        <v>0.51110734403827</v>
      </c>
      <c r="AU649" s="153" t="n">
        <f aca="false">IFERROR(IF($N649="VCA",INDEX(APOIO_REDES!$A:$W,MATCH($C649&amp;$I649&amp;$H649&amp;$N649&amp;$O649,APOIO_REDES!$W:$W,0),MATCH(AU$5,APOIO_REDES!$5:$5,0)),0)*$AP649,0)</f>
        <v>0.408156482406568</v>
      </c>
      <c r="AV649" s="153" t="n">
        <f aca="false">IFERROR(IF($N649="VCA",INDEX(APOIO_REDES!$A:$W,MATCH($C649&amp;$I649&amp;$H649&amp;$N649&amp;$O649,APOIO_REDES!$W:$W,0),MATCH(AV$5,APOIO_REDES!$5:$5,0)),0)*$AP649,0)</f>
        <v>0.0564856530110534</v>
      </c>
      <c r="AW649" s="153" t="n">
        <f aca="false">IFERROR(IF($N649="VCA",INDEX(APOIO_REDES!$A:$W,MATCH($C649&amp;$I649&amp;$H649&amp;$N649&amp;$O649,APOIO_REDES!$W:$W,0),MATCH(AW$5,APOIO_REDES!$5:$5,0)),0)*$AP649,0)</f>
        <v>32.2443471839355</v>
      </c>
      <c r="AX649" s="153" t="n">
        <f aca="false">IFERROR(IF($N649="VCA",INDEX(APOIO_REDES!$A:$W,MATCH($C649&amp;$I649&amp;$H649&amp;$N649&amp;$O649,APOIO_REDES!$W:$W,0),MATCH(AX$5,APOIO_REDES!$5:$5,0)),0)*$AP649,0)</f>
        <v>4.46252580049511</v>
      </c>
      <c r="AY649" s="153" t="n">
        <f aca="false">IFERROR(IF($N649="VCA",INDEX(APOIO_REDES!$A:$W,MATCH($C649&amp;$I649&amp;$H649&amp;$N649&amp;$O649,APOIO_REDES!$W:$W,0),MATCH(AY$5,APOIO_REDES!$5:$5,0)),0)*$AP649,0)</f>
        <v>8.16312467273692</v>
      </c>
      <c r="AZ649" s="153" t="n">
        <f aca="false">IFERROR(IF($N649="VCA",INDEX(APOIO_REDES!$A:$W,MATCH($C649&amp;$I649&amp;$H649&amp;$N649&amp;$O649,APOIO_REDES!$W:$W,0),MATCH(AZ$5,APOIO_REDES!$5:$5,0)),0)*$AP649,0)</f>
        <v>1.12975286337654</v>
      </c>
      <c r="BA649" s="153" t="n">
        <f aca="false">IFERROR(IF(AND($N649="VCA",$Q649="LINEAR"),INDEX(APOIO_REDES!$A:$W,MATCH($C649&amp;$I649&amp;$H649&amp;$N649&amp;$O649,APOIO_REDES!$W:$W,0),MATCH(BA$5,APOIO_REDES!$5:$5,0)),IF(AND($N649="MND",$Q649="EMBOQUE"),INDEX(APOIO_REDES!$A:$W,MATCH($C649&amp;$I649&amp;$H649&amp;$N649&amp;$O649,APOIO_REDES!$W:$W,0),MATCH(BA$5,APOIO_REDES!$5:$5,0)),0))*$M649/10,0)</f>
        <v>3.45763178817257</v>
      </c>
      <c r="BB649" s="153" t="n">
        <f aca="false">IFERROR(IF($N649="VCA",INDEX(APOIO_REDES!$A:$W,MATCH($C649&amp;$I649&amp;$H649&amp;$N649&amp;$O649,APOIO_REDES!$W:$W,0),MATCH(BB$5,APOIO_REDES!$5:$5,0)),0)*($AI649+$AQ649+$AR649),0)</f>
        <v>17.8219588269442</v>
      </c>
      <c r="BC649" s="153" t="n">
        <f aca="false">IFERROR(IF($N649="VCA",INDEX(APOIO_REDES!$A:$W,MATCH($C649&amp;$I649&amp;$H649&amp;$N649&amp;$O649,APOIO_REDES!$W:$W,0),MATCH(BC$5,APOIO_REDES!$5:$5,0)),0)*($AI649+$AQ649+$AR649),0)</f>
        <v>0.196041173055775</v>
      </c>
      <c r="BD649" s="153" t="n">
        <f aca="false">IF(AND($N649="VCA",$AF649&gt;=1.25,$AF649&lt;1.5),$M649*$AF649*2,0)</f>
        <v>125.268</v>
      </c>
      <c r="BE649" s="153" t="n">
        <f aca="false">IF(AND($N649="VCA",$AF649&gt;=1.5,$AF649&lt;3),$M649*$AF649*2,0)</f>
        <v>0</v>
      </c>
      <c r="BF649" s="153" t="n">
        <f aca="false">IF(AND($N649="VCA",$AF649&gt;=3),$M649*$AF649*2,0)</f>
        <v>0</v>
      </c>
      <c r="BG649" s="153" t="n">
        <f aca="false">($BB649+$BC649)*$AK649</f>
        <v>41.4414</v>
      </c>
      <c r="BH649" s="153" t="n">
        <f aca="false">IF(AND($M649&lt;&gt;"",$N649="VCA",$Q649="LINEAR"),($M649*2)/100,IF(AND($M649&lt;&gt;"",$N649="MND",$Q649="EMBOQUE"),($AN649*2)/100,0))</f>
        <v>0.858</v>
      </c>
      <c r="BI649" s="153" t="n">
        <f aca="false">IF(AND($M649&lt;&gt;"",$N649="VCA",$Q649="LINEAR"),$M649,IF(AND($M649&lt;&gt;"",$N649="MND",$Q649="EMBOQUE"),$AN649*2,0))</f>
        <v>42.9</v>
      </c>
      <c r="BJ649" s="153" t="n">
        <f aca="false">IF(AND($M649&lt;&gt;"",$N649="VCA",$Q649="LINEAR"),($M649*6.8)/100,IF(AND($M649&lt;&gt;"",$N649="MND",$Q649="EMBOQUE"),($AN649*2*6.8)/100,0))</f>
        <v>2.9172</v>
      </c>
      <c r="BK649" s="153" t="n">
        <f aca="false">IF(AND($M649&lt;&gt;"",$N649="VCA",$Q649="LINEAR"),($M649*2.5)/50,IF(AND($M649&lt;&gt;"",$N649="MND",$Q649="EMBOQUE"),($AN649*2*2.5)/50,0))</f>
        <v>2.145</v>
      </c>
      <c r="BL649" s="157" t="str">
        <f aca="false">K649&amp;J649</f>
        <v>Zona06REDES</v>
      </c>
      <c r="BM649" s="152" t="s">
        <v>3790</v>
      </c>
      <c r="BN649" s="152" t="s">
        <v>1560</v>
      </c>
      <c r="BO649" s="152" t="s">
        <v>4004</v>
      </c>
      <c r="BP649" s="152" t="s">
        <v>4023</v>
      </c>
      <c r="BQ649" s="152" t="s">
        <v>4017</v>
      </c>
      <c r="BR649" s="152" t="s">
        <v>4024</v>
      </c>
      <c r="BS649" s="152" t="n">
        <v>203624.018</v>
      </c>
      <c r="BT649" s="152" t="n">
        <v>8236863.9</v>
      </c>
      <c r="BU649" s="152" t="n">
        <v>203656.399</v>
      </c>
      <c r="BV649" s="152" t="n">
        <v>8236891.937</v>
      </c>
      <c r="BW649" s="152" t="n">
        <v>-15.9296669</v>
      </c>
      <c r="BX649" s="152" t="n">
        <v>-47.7680533</v>
      </c>
      <c r="BY649" s="152" t="s">
        <v>4023</v>
      </c>
    </row>
    <row r="650" customFormat="false" ht="13.8" hidden="false" customHeight="false" outlineLevel="0" collapsed="false">
      <c r="A650" s="149" t="n">
        <f aca="false">IF(C650&lt;&gt;"",ROW(A645),"")</f>
        <v>645</v>
      </c>
      <c r="B650" s="150" t="str">
        <f aca="false">HYPERLINK("https://www.google.com/maps/dir/-15.917302,-47.760003/-15.9301428,-47.7684760/data=!4m3!4m2!3e0!5i0")</f>
        <v>https://www.google.com/maps/dir/-15.917302,-47.760003/-15.9301428,-47.7684760/data=!4m3!4m2!3e0!5i0</v>
      </c>
      <c r="C650" s="151" t="s">
        <v>117</v>
      </c>
      <c r="D650" s="152" t="s">
        <v>112</v>
      </c>
      <c r="E650" s="152" t="s">
        <v>113</v>
      </c>
      <c r="F650" s="152" t="s">
        <v>117</v>
      </c>
      <c r="G650" s="152" t="s">
        <v>114</v>
      </c>
      <c r="H650" s="152" t="n">
        <v>160</v>
      </c>
      <c r="I650" s="152" t="s">
        <v>115</v>
      </c>
      <c r="J650" s="152" t="s">
        <v>6</v>
      </c>
      <c r="K650" s="152" t="s">
        <v>3786</v>
      </c>
      <c r="L650" s="152" t="s">
        <v>120</v>
      </c>
      <c r="M650" s="153" t="n">
        <f aca="false">47.9+0.42</f>
        <v>48.32</v>
      </c>
      <c r="N650" s="152" t="s">
        <v>1548</v>
      </c>
      <c r="O650" s="152" t="s">
        <v>1549</v>
      </c>
      <c r="P650" s="152" t="s">
        <v>1550</v>
      </c>
      <c r="Q650" s="152" t="s">
        <v>1551</v>
      </c>
      <c r="R650" s="154" t="s">
        <v>4025</v>
      </c>
      <c r="S650" s="154" t="s">
        <v>1593</v>
      </c>
      <c r="T650" s="155" t="s">
        <v>4002</v>
      </c>
      <c r="U650" s="152" t="str">
        <f aca="false">RIGHT(T650,7)</f>
        <v>015/037</v>
      </c>
      <c r="V650" s="152" t="s">
        <v>1555</v>
      </c>
      <c r="W650" s="156" t="n">
        <v>45882</v>
      </c>
      <c r="X650" s="152" t="s">
        <v>1594</v>
      </c>
      <c r="Y650" s="152" t="s">
        <v>2387</v>
      </c>
      <c r="Z650" s="152" t="s">
        <v>1557</v>
      </c>
      <c r="AA650" s="153" t="n">
        <v>2.3</v>
      </c>
      <c r="AB650" s="151" t="s">
        <v>4026</v>
      </c>
      <c r="AC650" s="151" t="s">
        <v>505</v>
      </c>
      <c r="AD650" s="151" t="str">
        <f aca="false">CONCATENATE($C650,$I650,$H650,$N650,$J650,$K650)</f>
        <v>TUBO PEADPEAD160VCAREDESZona06</v>
      </c>
      <c r="AE650" s="153" t="n">
        <f aca="false">IFERROR(INDEX(APOIO_REDES!$A:$W,MATCH($C650&amp;$I650&amp;$H650&amp;$N650&amp;$O650,APOIO_REDES!$W:$W,0),MATCH(AE$5,APOIO_REDES!$5:$5,0)),0)</f>
        <v>1.2</v>
      </c>
      <c r="AF650" s="153" t="n">
        <f aca="false">IFERROR(INDEX(APOIO_REDES!$A:$W,MATCH($C650&amp;$I650&amp;$H650&amp;$N650&amp;$O650,APOIO_REDES!$W:$W,0),MATCH(AF$5,APOIO_REDES!$5:$5,0)),0)</f>
        <v>1.46</v>
      </c>
      <c r="AG650" s="153" t="n">
        <f aca="false">IFERROR(INDEX(APOIO_REDES!$A:$W,MATCH($C650&amp;$I650&amp;$H650&amp;$N650&amp;$O650,APOIO_REDES!$W:$W,0),MATCH(AG$5,APOIO_REDES!$5:$5,0)),0)</f>
        <v>0.75</v>
      </c>
      <c r="AH650" s="153" t="n">
        <f aca="false">IFERROR(INDEX(APOIO_REDES!$A:$W,MATCH($C650&amp;$I650&amp;$H650&amp;$N650&amp;$O650,APOIO_REDES!$W:$W,0),MATCH(AH$5,APOIO_REDES!$5:$5,0)),0)</f>
        <v>0.1</v>
      </c>
      <c r="AI650" s="153" t="n">
        <f aca="false">IFERROR(IF($H650&lt;&gt;"",(((($H650/1000)/2)^2)*PI()*$M650),0),0)</f>
        <v>0.971531244937336</v>
      </c>
      <c r="AJ650" s="153" t="n">
        <f aca="false">IFERROR(IF(AND($H650&lt;&gt;"",$I650="FoFo",OR($N650="MND",$N650="VCA"),$Q650="LINEAR"),0,IF(AND($H650&lt;&gt;"",$I650="PEAD",$N650="VCA",$Q650="LINEAR"),($H650/1000)+0.3,IF(AND($H650&lt;&gt;"",$I650="PEAD",$N650="MND",$Q650="EMBOQUE"),0,IF(AND($H650&lt;&gt;"",$I650="PVC",$N650="VCA",$Q650="LINEAR"),($H650/1000)+0.2,IF(AND($H650&lt;&gt;"",$I650="PVC",$N650="MND",$Q650="EMBOQUE"),0,IF(AND($H650&lt;&gt;"",$I650="PEAD",$N650="VCA",$Q650="PREDIAL"),0,0)))))),0)</f>
        <v>0.46</v>
      </c>
      <c r="AK650" s="153" t="n">
        <f aca="false">IF(AA650&lt;&gt;"",AA650,0)</f>
        <v>2.3</v>
      </c>
      <c r="AL650" s="153" t="n">
        <f aca="false">IF(AND($N650="MND",$Q650="EMBOQUE"),$M650,IF(AND($N650="VCA",$Q650="LINEAR"),$M650,IF(AND($N650="VCA",$Q650="PREDIAL"),0,0)))</f>
        <v>48.32</v>
      </c>
      <c r="AM650" s="153" t="n">
        <f aca="false">IF(AND($N650="MND",$Q650="EMBOQUE"),$M650,IF(AND($N650="VCA",$Q650="LINEAR"),$M650,IF(AND($N650="VCA",$Q650="PREDIAL"),0,0)))</f>
        <v>48.32</v>
      </c>
      <c r="AN650" s="153" t="n">
        <f aca="false">ROUND(IF(AND($N650="VCA",$M650&lt;&gt;"",$Q650="LINEAR"),$M650/100,IF(AND($N650="MND",$M650&gt;100,$Q650="EMBOQUE"),$M650/100,0)),0)</f>
        <v>0</v>
      </c>
      <c r="AO650" s="153" t="n">
        <f aca="false">IF(AND($N650="MND",$Q650="EMBOQUE"),$AN650*2*2,IF(AND($N650="VCA",$Q650="LINEAR"),$M650*2,IF(AND($N650="VCA",$Q650="PREDIAL"),0,0)))</f>
        <v>96.64</v>
      </c>
      <c r="AP650" s="153" t="n">
        <f aca="false">IFERROR($M650*$AF650*$AG650,0)</f>
        <v>52.9104</v>
      </c>
      <c r="AQ650" s="153" t="n">
        <f aca="false">IFERROR(IF(AND($N650="VCA",$AH650&gt;0),$M650*$AG650*$AH650,0),0)</f>
        <v>3.624</v>
      </c>
      <c r="AR650" s="153" t="n">
        <f aca="false">IFERROR(IF(AND($N650="VCA",$AJ650&gt;0),($M650*$AG650*$AJ650)-$AI650,0),0)</f>
        <v>15.6988687550627</v>
      </c>
      <c r="AS650" s="153" t="n">
        <f aca="false">IFERROR(IF(AND($N650="VCA",$AP650&gt;0),$AP650-$AI650-$AQ650-$AR650,0),0)</f>
        <v>32.616</v>
      </c>
      <c r="AT650" s="153" t="n">
        <f aca="false">IFERROR(IF($N650="VCA",INDEX(APOIO_REDES!$A:$W,MATCH($C650&amp;$I650&amp;$H650&amp;$N650&amp;$O650,APOIO_REDES!$W:$W,0),MATCH(AT$5,APOIO_REDES!$5:$5,0)),0)*$AP650,0)</f>
        <v>0.575680812679002</v>
      </c>
      <c r="AU650" s="153" t="n">
        <f aca="false">IFERROR(IF($N650="VCA",INDEX(APOIO_REDES!$A:$W,MATCH($C650&amp;$I650&amp;$H650&amp;$N650&amp;$O650,APOIO_REDES!$W:$W,0),MATCH(AU$5,APOIO_REDES!$5:$5,0)),0)*$AP650,0)</f>
        <v>0.459723105591733</v>
      </c>
      <c r="AV650" s="153" t="n">
        <f aca="false">IFERROR(IF($N650="VCA",INDEX(APOIO_REDES!$A:$W,MATCH($C650&amp;$I650&amp;$H650&amp;$N650&amp;$O650,APOIO_REDES!$W:$W,0),MATCH(AV$5,APOIO_REDES!$5:$5,0)),0)*$AP650,0)</f>
        <v>0.0636220688460163</v>
      </c>
      <c r="AW650" s="153" t="n">
        <f aca="false">IFERROR(IF($N650="VCA",INDEX(APOIO_REDES!$A:$W,MATCH($C650&amp;$I650&amp;$H650&amp;$N650&amp;$O650,APOIO_REDES!$W:$W,0),MATCH(AW$5,APOIO_REDES!$5:$5,0)),0)*$AP650,0)</f>
        <v>36.3181085297847</v>
      </c>
      <c r="AX650" s="153" t="n">
        <f aca="false">IFERROR(IF($N650="VCA",INDEX(APOIO_REDES!$A:$W,MATCH($C650&amp;$I650&amp;$H650&amp;$N650&amp;$O650,APOIO_REDES!$W:$W,0),MATCH(AX$5,APOIO_REDES!$5:$5,0)),0)*$AP650,0)</f>
        <v>5.02632276643179</v>
      </c>
      <c r="AY650" s="153" t="n">
        <f aca="false">IFERROR(IF($N650="VCA",INDEX(APOIO_REDES!$A:$W,MATCH($C650&amp;$I650&amp;$H650&amp;$N650&amp;$O650,APOIO_REDES!$W:$W,0),MATCH(AY$5,APOIO_REDES!$5:$5,0)),0)*$AP650,0)</f>
        <v>9.19445650784727</v>
      </c>
      <c r="AZ650" s="153" t="n">
        <f aca="false">IFERROR(IF($N650="VCA",INDEX(APOIO_REDES!$A:$W,MATCH($C650&amp;$I650&amp;$H650&amp;$N650&amp;$O650,APOIO_REDES!$W:$W,0),MATCH(AZ$5,APOIO_REDES!$5:$5,0)),0)*$AP650,0)</f>
        <v>1.27248620881945</v>
      </c>
      <c r="BA650" s="153" t="n">
        <f aca="false">IFERROR(IF(AND($N650="VCA",$Q650="LINEAR"),INDEX(APOIO_REDES!$A:$W,MATCH($C650&amp;$I650&amp;$H650&amp;$N650&amp;$O650,APOIO_REDES!$W:$W,0),MATCH(BA$5,APOIO_REDES!$5:$5,0)),IF(AND($N650="MND",$Q650="EMBOQUE"),INDEX(APOIO_REDES!$A:$W,MATCH($C650&amp;$I650&amp;$H650&amp;$N650&amp;$O650,APOIO_REDES!$W:$W,0),MATCH(BA$5,APOIO_REDES!$5:$5,0)),0))*$M650/10,0)</f>
        <v>3.89447011665498</v>
      </c>
      <c r="BB650" s="153" t="n">
        <f aca="false">IFERROR(IF($N650="VCA",INDEX(APOIO_REDES!$A:$W,MATCH($C650&amp;$I650&amp;$H650&amp;$N650&amp;$O650,APOIO_REDES!$W:$W,0),MATCH(BB$5,APOIO_REDES!$5:$5,0)),0)*($AI650+$AQ650+$AR650),0)</f>
        <v>20.0735909211642</v>
      </c>
      <c r="BC650" s="153" t="n">
        <f aca="false">IFERROR(IF($N650="VCA",INDEX(APOIO_REDES!$A:$W,MATCH($C650&amp;$I650&amp;$H650&amp;$N650&amp;$O650,APOIO_REDES!$W:$W,0),MATCH(BC$5,APOIO_REDES!$5:$5,0)),0)*($AI650+$AQ650+$AR650),0)</f>
        <v>0.220809078835782</v>
      </c>
      <c r="BD650" s="153" t="n">
        <f aca="false">IF(AND($N650="VCA",$AF650&gt;=1.25,$AF650&lt;1.5),$M650*$AF650*2,0)</f>
        <v>141.0944</v>
      </c>
      <c r="BE650" s="153" t="n">
        <f aca="false">IF(AND($N650="VCA",$AF650&gt;=1.5,$AF650&lt;3),$M650*$AF650*2,0)</f>
        <v>0</v>
      </c>
      <c r="BF650" s="153" t="n">
        <f aca="false">IF(AND($N650="VCA",$AF650&gt;=3),$M650*$AF650*2,0)</f>
        <v>0</v>
      </c>
      <c r="BG650" s="153" t="n">
        <f aca="false">($BB650+$BC650)*$AK650</f>
        <v>46.67712</v>
      </c>
      <c r="BH650" s="153" t="n">
        <f aca="false">IF(AND($M650&lt;&gt;"",$N650="VCA",$Q650="LINEAR"),($M650*2)/100,IF(AND($M650&lt;&gt;"",$N650="MND",$Q650="EMBOQUE"),($AN650*2)/100,0))</f>
        <v>0.9664</v>
      </c>
      <c r="BI650" s="153" t="n">
        <f aca="false">IF(AND($M650&lt;&gt;"",$N650="VCA",$Q650="LINEAR"),$M650,IF(AND($M650&lt;&gt;"",$N650="MND",$Q650="EMBOQUE"),$AN650*2,0))</f>
        <v>48.32</v>
      </c>
      <c r="BJ650" s="153" t="n">
        <f aca="false">IF(AND($M650&lt;&gt;"",$N650="VCA",$Q650="LINEAR"),($M650*6.8)/100,IF(AND($M650&lt;&gt;"",$N650="MND",$Q650="EMBOQUE"),($AN650*2*6.8)/100,0))</f>
        <v>3.28576</v>
      </c>
      <c r="BK650" s="153" t="n">
        <f aca="false">IF(AND($M650&lt;&gt;"",$N650="VCA",$Q650="LINEAR"),($M650*2.5)/50,IF(AND($M650&lt;&gt;"",$N650="MND",$Q650="EMBOQUE"),($AN650*2*2.5)/50,0))</f>
        <v>2.416</v>
      </c>
      <c r="BL650" s="157" t="str">
        <f aca="false">K650&amp;J650</f>
        <v>Zona06REDES</v>
      </c>
      <c r="BM650" s="152" t="s">
        <v>3790</v>
      </c>
      <c r="BN650" s="152" t="s">
        <v>1560</v>
      </c>
      <c r="BO650" s="152" t="s">
        <v>4004</v>
      </c>
      <c r="BP650" s="152" t="s">
        <v>4027</v>
      </c>
      <c r="BQ650" s="152" t="s">
        <v>4023</v>
      </c>
      <c r="BR650" s="152" t="s">
        <v>4028</v>
      </c>
      <c r="BS650" s="152" t="n">
        <v>203595.067</v>
      </c>
      <c r="BT650" s="152" t="n">
        <v>8236825.263</v>
      </c>
      <c r="BU650" s="152" t="n">
        <v>203623.742</v>
      </c>
      <c r="BV650" s="152" t="n">
        <v>8236863.588</v>
      </c>
      <c r="BW650" s="152" t="n">
        <v>-15.9299719</v>
      </c>
      <c r="BX650" s="152" t="n">
        <v>-47.7683394</v>
      </c>
      <c r="BY650" s="152" t="s">
        <v>4027</v>
      </c>
    </row>
    <row r="651" customFormat="false" ht="13.8" hidden="false" customHeight="false" outlineLevel="0" collapsed="false">
      <c r="A651" s="149" t="n">
        <f aca="false">IF(C651&lt;&gt;"",ROW(A646),"")</f>
        <v>646</v>
      </c>
      <c r="B651" s="150" t="str">
        <f aca="false">HYPERLINK("https://www.google.com/maps/dir/-15.917302,-47.760003/-15.9307309,-47.7688714/data=!4m3!4m2!3e0!5i0")</f>
        <v>https://www.google.com/maps/dir/-15.917302,-47.760003/-15.9307309,-47.7688714/data=!4m3!4m2!3e0!5i0</v>
      </c>
      <c r="C651" s="151" t="s">
        <v>117</v>
      </c>
      <c r="D651" s="152" t="s">
        <v>112</v>
      </c>
      <c r="E651" s="152" t="s">
        <v>113</v>
      </c>
      <c r="F651" s="152" t="s">
        <v>117</v>
      </c>
      <c r="G651" s="152" t="s">
        <v>114</v>
      </c>
      <c r="H651" s="152" t="n">
        <v>225</v>
      </c>
      <c r="I651" s="152" t="s">
        <v>115</v>
      </c>
      <c r="J651" s="152" t="s">
        <v>6</v>
      </c>
      <c r="K651" s="152" t="s">
        <v>3786</v>
      </c>
      <c r="L651" s="152" t="s">
        <v>120</v>
      </c>
      <c r="M651" s="153" t="n">
        <f aca="false">198.93</f>
        <v>198.93</v>
      </c>
      <c r="N651" s="152" t="s">
        <v>1548</v>
      </c>
      <c r="O651" s="152" t="s">
        <v>1549</v>
      </c>
      <c r="P651" s="152" t="s">
        <v>1550</v>
      </c>
      <c r="Q651" s="152" t="s">
        <v>1551</v>
      </c>
      <c r="R651" s="154" t="s">
        <v>4029</v>
      </c>
      <c r="S651" s="154" t="s">
        <v>1593</v>
      </c>
      <c r="T651" s="155" t="s">
        <v>4002</v>
      </c>
      <c r="U651" s="152" t="str">
        <f aca="false">RIGHT(T651,7)</f>
        <v>015/037</v>
      </c>
      <c r="V651" s="152" t="s">
        <v>1555</v>
      </c>
      <c r="W651" s="156" t="n">
        <v>45882</v>
      </c>
      <c r="X651" s="152" t="s">
        <v>1594</v>
      </c>
      <c r="Y651" s="152" t="s">
        <v>4030</v>
      </c>
      <c r="Z651" s="152" t="s">
        <v>1557</v>
      </c>
      <c r="AA651" s="153" t="n">
        <v>2.4</v>
      </c>
      <c r="AB651" s="151" t="s">
        <v>4031</v>
      </c>
      <c r="AC651" s="151" t="s">
        <v>508</v>
      </c>
      <c r="AD651" s="151" t="str">
        <f aca="false">CONCATENATE($C651,$I651,$H651,$N651,$J651,$K651)</f>
        <v>TUBO PEADPEAD225VCAREDESZona06</v>
      </c>
      <c r="AE651" s="153" t="n">
        <f aca="false">IFERROR(INDEX(APOIO_REDES!$A:$W,MATCH($C651&amp;$I651&amp;$H651&amp;$N651&amp;$O651,APOIO_REDES!$W:$W,0),MATCH(AE$5,APOIO_REDES!$5:$5,0)),0)</f>
        <v>1.2</v>
      </c>
      <c r="AF651" s="153" t="n">
        <f aca="false">IFERROR(INDEX(APOIO_REDES!$A:$W,MATCH($C651&amp;$I651&amp;$H651&amp;$N651&amp;$O651,APOIO_REDES!$W:$W,0),MATCH(AF$5,APOIO_REDES!$5:$5,0)),0)</f>
        <v>1.525</v>
      </c>
      <c r="AG651" s="153" t="n">
        <f aca="false">IFERROR(INDEX(APOIO_REDES!$A:$W,MATCH($C651&amp;$I651&amp;$H651&amp;$N651&amp;$O651,APOIO_REDES!$W:$W,0),MATCH(AG$5,APOIO_REDES!$5:$5,0)),0)</f>
        <v>0.8</v>
      </c>
      <c r="AH651" s="153" t="n">
        <f aca="false">IFERROR(INDEX(APOIO_REDES!$A:$W,MATCH($C651&amp;$I651&amp;$H651&amp;$N651&amp;$O651,APOIO_REDES!$W:$W,0),MATCH(AH$5,APOIO_REDES!$5:$5,0)),0)</f>
        <v>0.1</v>
      </c>
      <c r="AI651" s="153" t="n">
        <f aca="false">IFERROR(IF($H651&lt;&gt;"",(((($H651/1000)/2)^2)*PI()*$M651),0),0)</f>
        <v>7.90961236763563</v>
      </c>
      <c r="AJ651" s="153" t="n">
        <f aca="false">IFERROR(IF(AND($H651&lt;&gt;"",$I651="FoFo",OR($N651="MND",$N651="VCA"),$Q651="LINEAR"),0,IF(AND($H651&lt;&gt;"",$I651="PEAD",$N651="VCA",$Q651="LINEAR"),($H651/1000)+0.3,IF(AND($H651&lt;&gt;"",$I651="PEAD",$N651="MND",$Q651="EMBOQUE"),0,IF(AND($H651&lt;&gt;"",$I651="PVC",$N651="VCA",$Q651="LINEAR"),($H651/1000)+0.2,IF(AND($H651&lt;&gt;"",$I651="PVC",$N651="MND",$Q651="EMBOQUE"),0,IF(AND($H651&lt;&gt;"",$I651="PEAD",$N651="VCA",$Q651="PREDIAL"),0,0)))))),0)</f>
        <v>0.525</v>
      </c>
      <c r="AK651" s="153" t="n">
        <f aca="false">IF(AA651&lt;&gt;"",AA651,0)</f>
        <v>2.4</v>
      </c>
      <c r="AL651" s="153" t="n">
        <f aca="false">IF(AND($N651="MND",$Q651="EMBOQUE"),$M651,IF(AND($N651="VCA",$Q651="LINEAR"),$M651,IF(AND($N651="VCA",$Q651="PREDIAL"),0,0)))</f>
        <v>198.93</v>
      </c>
      <c r="AM651" s="153" t="n">
        <f aca="false">IF(AND($N651="MND",$Q651="EMBOQUE"),$M651,IF(AND($N651="VCA",$Q651="LINEAR"),$M651,IF(AND($N651="VCA",$Q651="PREDIAL"),0,0)))</f>
        <v>198.93</v>
      </c>
      <c r="AN651" s="153" t="n">
        <f aca="false">ROUND(IF(AND($N651="VCA",$M651&lt;&gt;"",$Q651="LINEAR"),$M651/100,IF(AND($N651="MND",$M651&gt;100,$Q651="EMBOQUE"),$M651/100,0)),0)</f>
        <v>2</v>
      </c>
      <c r="AO651" s="153" t="n">
        <f aca="false">IF(AND($N651="MND",$Q651="EMBOQUE"),$AN651*2*2,IF(AND($N651="VCA",$Q651="LINEAR"),$M651*2,IF(AND($N651="VCA",$Q651="PREDIAL"),0,0)))</f>
        <v>397.86</v>
      </c>
      <c r="AP651" s="153" t="n">
        <f aca="false">IFERROR($M651*$AF651*$AG651,0)</f>
        <v>242.6946</v>
      </c>
      <c r="AQ651" s="153" t="n">
        <f aca="false">IFERROR(IF(AND($N651="VCA",$AH651&gt;0),$M651*$AG651*$AH651,0),0)</f>
        <v>15.9144</v>
      </c>
      <c r="AR651" s="153" t="n">
        <f aca="false">IFERROR(IF(AND($N651="VCA",$AJ651&gt;0),($M651*$AG651*$AJ651)-$AI651,0),0)</f>
        <v>75.6409876323644</v>
      </c>
      <c r="AS651" s="153" t="n">
        <f aca="false">IFERROR(IF(AND($N651="VCA",$AP651&gt;0),$AP651-$AI651-$AQ651-$AR651,0),0)</f>
        <v>143.2296</v>
      </c>
      <c r="AT651" s="153" t="n">
        <f aca="false">IFERROR(IF($N651="VCA",INDEX(APOIO_REDES!$A:$W,MATCH($C651&amp;$I651&amp;$H651&amp;$N651&amp;$O651,APOIO_REDES!$W:$W,0),MATCH(AT$5,APOIO_REDES!$5:$5,0)),0)*$AP651,0)</f>
        <v>2.64058908193485</v>
      </c>
      <c r="AU651" s="153" t="n">
        <f aca="false">IFERROR(IF($N651="VCA",INDEX(APOIO_REDES!$A:$W,MATCH($C651&amp;$I651&amp;$H651&amp;$N651&amp;$O651,APOIO_REDES!$W:$W,0),MATCH(AU$5,APOIO_REDES!$5:$5,0)),0)*$AP651,0)</f>
        <v>2.10870292461111</v>
      </c>
      <c r="AV651" s="153" t="n">
        <f aca="false">IFERROR(IF($N651="VCA",INDEX(APOIO_REDES!$A:$W,MATCH($C651&amp;$I651&amp;$H651&amp;$N651&amp;$O651,APOIO_REDES!$W:$W,0),MATCH(AV$5,APOIO_REDES!$5:$5,0)),0)*$AP651,0)</f>
        <v>0.29182793079917</v>
      </c>
      <c r="AW651" s="153" t="n">
        <f aca="false">IFERROR(IF($N651="VCA",INDEX(APOIO_REDES!$A:$W,MATCH($C651&amp;$I651&amp;$H651&amp;$N651&amp;$O651,APOIO_REDES!$W:$W,0),MATCH(AW$5,APOIO_REDES!$5:$5,0)),0)*$AP651,0)</f>
        <v>166.587453929524</v>
      </c>
      <c r="AX651" s="153" t="n">
        <f aca="false">IFERROR(IF($N651="VCA",INDEX(APOIO_REDES!$A:$W,MATCH($C651&amp;$I651&amp;$H651&amp;$N651&amp;$O651,APOIO_REDES!$W:$W,0),MATCH(AX$5,APOIO_REDES!$5:$5,0)),0)*$AP651,0)</f>
        <v>23.0552290905012</v>
      </c>
      <c r="AY651" s="153" t="n">
        <f aca="false">IFERROR(IF($N651="VCA",INDEX(APOIO_REDES!$A:$W,MATCH($C651&amp;$I651&amp;$H651&amp;$N651&amp;$O651,APOIO_REDES!$W:$W,0),MATCH(AY$5,APOIO_REDES!$5:$5,0)),0)*$AP651,0)</f>
        <v>42.1740327873044</v>
      </c>
      <c r="AZ651" s="153" t="n">
        <f aca="false">IFERROR(IF($N651="VCA",INDEX(APOIO_REDES!$A:$W,MATCH($C651&amp;$I651&amp;$H651&amp;$N651&amp;$O651,APOIO_REDES!$W:$W,0),MATCH(AZ$5,APOIO_REDES!$5:$5,0)),0)*$AP651,0)</f>
        <v>5.8367642553251</v>
      </c>
      <c r="BA651" s="153" t="n">
        <f aca="false">IFERROR(IF(AND($N651="VCA",$Q651="LINEAR"),INDEX(APOIO_REDES!$A:$W,MATCH($C651&amp;$I651&amp;$H651&amp;$N651&amp;$O651,APOIO_REDES!$W:$W,0),MATCH(BA$5,APOIO_REDES!$5:$5,0)),IF(AND($N651="MND",$Q651="EMBOQUE"),INDEX(APOIO_REDES!$A:$W,MATCH($C651&amp;$I651&amp;$H651&amp;$N651&amp;$O651,APOIO_REDES!$W:$W,0),MATCH(BA$5,APOIO_REDES!$5:$5,0)),0))*$M651/10,0)</f>
        <v>16.0332562149457</v>
      </c>
      <c r="BB651" s="153" t="n">
        <f aca="false">IFERROR(IF($N651="VCA",INDEX(APOIO_REDES!$A:$W,MATCH($C651&amp;$I651&amp;$H651&amp;$N651&amp;$O651,APOIO_REDES!$W:$W,0),MATCH(BB$5,APOIO_REDES!$5:$5,0)),0)*($AI651+$AQ651+$AR651),0)</f>
        <v>98.3827913598628</v>
      </c>
      <c r="BC651" s="153" t="n">
        <f aca="false">IFERROR(IF($N651="VCA",INDEX(APOIO_REDES!$A:$W,MATCH($C651&amp;$I651&amp;$H651&amp;$N651&amp;$O651,APOIO_REDES!$W:$W,0),MATCH(BC$5,APOIO_REDES!$5:$5,0)),0)*($AI651+$AQ651+$AR651),0)</f>
        <v>1.08220864013723</v>
      </c>
      <c r="BD651" s="153" t="n">
        <f aca="false">IF(AND($N651="VCA",$AF651&gt;=1.25,$AF651&lt;1.5),$M651*$AF651*2,0)</f>
        <v>0</v>
      </c>
      <c r="BE651" s="153" t="n">
        <f aca="false">IF(AND($N651="VCA",$AF651&gt;=1.5,$AF651&lt;3),$M651*$AF651*2,0)</f>
        <v>606.7365</v>
      </c>
      <c r="BF651" s="153" t="n">
        <f aca="false">IF(AND($N651="VCA",$AF651&gt;=3),$M651*$AF651*2,0)</f>
        <v>0</v>
      </c>
      <c r="BG651" s="153" t="n">
        <f aca="false">($BB651+$BC651)*$AK651</f>
        <v>238.716</v>
      </c>
      <c r="BH651" s="153" t="n">
        <f aca="false">IF(AND($M651&lt;&gt;"",$N651="VCA",$Q651="LINEAR"),($M651*2)/100,IF(AND($M651&lt;&gt;"",$N651="MND",$Q651="EMBOQUE"),($AN651*2)/100,0))</f>
        <v>3.9786</v>
      </c>
      <c r="BI651" s="153" t="n">
        <f aca="false">IF(AND($M651&lt;&gt;"",$N651="VCA",$Q651="LINEAR"),$M651,IF(AND($M651&lt;&gt;"",$N651="MND",$Q651="EMBOQUE"),$AN651*2,0))</f>
        <v>198.93</v>
      </c>
      <c r="BJ651" s="153" t="n">
        <f aca="false">IF(AND($M651&lt;&gt;"",$N651="VCA",$Q651="LINEAR"),($M651*6.8)/100,IF(AND($M651&lt;&gt;"",$N651="MND",$Q651="EMBOQUE"),($AN651*2*6.8)/100,0))</f>
        <v>13.52724</v>
      </c>
      <c r="BK651" s="153" t="n">
        <f aca="false">IF(AND($M651&lt;&gt;"",$N651="VCA",$Q651="LINEAR"),($M651*2.5)/50,IF(AND($M651&lt;&gt;"",$N651="MND",$Q651="EMBOQUE"),($AN651*2*2.5)/50,0))</f>
        <v>9.9465</v>
      </c>
      <c r="BL651" s="157" t="str">
        <f aca="false">K651&amp;J651</f>
        <v>Zona06REDES</v>
      </c>
      <c r="BM651" s="152" t="s">
        <v>3790</v>
      </c>
      <c r="BN651" s="152" t="s">
        <v>1560</v>
      </c>
      <c r="BO651" s="152" t="s">
        <v>4004</v>
      </c>
      <c r="BP651" s="152" t="s">
        <v>2032</v>
      </c>
      <c r="BQ651" s="152" t="s">
        <v>4032</v>
      </c>
      <c r="BR651" s="152" t="s">
        <v>4033</v>
      </c>
      <c r="BS651" s="152" t="n">
        <v>203678.306</v>
      </c>
      <c r="BT651" s="152" t="n">
        <v>8236908.896</v>
      </c>
      <c r="BU651" s="152" t="n">
        <v>203553.599</v>
      </c>
      <c r="BV651" s="152" t="n">
        <v>8236759.565</v>
      </c>
      <c r="BW651" s="152" t="n">
        <v>-15.9300106</v>
      </c>
      <c r="BX651" s="152" t="n">
        <v>-47.768319</v>
      </c>
      <c r="BY651" s="152" t="s">
        <v>4032</v>
      </c>
    </row>
    <row r="652" customFormat="false" ht="13.8" hidden="false" customHeight="false" outlineLevel="0" collapsed="false">
      <c r="A652" s="149" t="n">
        <f aca="false">IF(C652&lt;&gt;"",ROW(A647),"")</f>
        <v>647</v>
      </c>
      <c r="B652" s="150" t="str">
        <f aca="false">HYPERLINK("https://www.google.com/maps/dir/-15.917302,-47.760003/-15.9305540,-47.7669645/data=!4m3!4m2!3e0!5i2")</f>
        <v>https://www.google.com/maps/dir/-15.917302,-47.760003/-15.9305540,-47.7669645/data=!4m3!4m2!3e0!5i2</v>
      </c>
      <c r="C652" s="151" t="s">
        <v>117</v>
      </c>
      <c r="D652" s="152" t="s">
        <v>112</v>
      </c>
      <c r="E652" s="152" t="s">
        <v>113</v>
      </c>
      <c r="F652" s="152" t="s">
        <v>117</v>
      </c>
      <c r="G652" s="152" t="s">
        <v>782</v>
      </c>
      <c r="H652" s="152" t="n">
        <v>63</v>
      </c>
      <c r="I652" s="152" t="s">
        <v>115</v>
      </c>
      <c r="J652" s="152" t="s">
        <v>6</v>
      </c>
      <c r="K652" s="152" t="s">
        <v>3786</v>
      </c>
      <c r="L652" s="152" t="s">
        <v>120</v>
      </c>
      <c r="M652" s="153" t="n">
        <f aca="false">139.28+0.57</f>
        <v>139.85</v>
      </c>
      <c r="N652" s="152" t="s">
        <v>1548</v>
      </c>
      <c r="O652" s="152" t="s">
        <v>1549</v>
      </c>
      <c r="P652" s="152" t="s">
        <v>1550</v>
      </c>
      <c r="Q652" s="152" t="s">
        <v>1551</v>
      </c>
      <c r="R652" s="154" t="s">
        <v>4034</v>
      </c>
      <c r="S652" s="154" t="s">
        <v>1553</v>
      </c>
      <c r="T652" s="155" t="s">
        <v>4002</v>
      </c>
      <c r="U652" s="152" t="str">
        <f aca="false">RIGHT(T652,7)</f>
        <v>015/037</v>
      </c>
      <c r="V652" s="152" t="s">
        <v>1555</v>
      </c>
      <c r="W652" s="156" t="n">
        <v>45882</v>
      </c>
      <c r="X652" s="152" t="s">
        <v>1594</v>
      </c>
      <c r="Y652" s="152" t="s">
        <v>4015</v>
      </c>
      <c r="Z652" s="152" t="s">
        <v>1557</v>
      </c>
      <c r="AA652" s="153" t="n">
        <v>3.9</v>
      </c>
      <c r="AB652" s="151" t="s">
        <v>4035</v>
      </c>
      <c r="AC652" s="151" t="s">
        <v>186</v>
      </c>
      <c r="AD652" s="151" t="str">
        <f aca="false">CONCATENATE($C652,$I652,$H652,$N652,$J652,$K652)</f>
        <v>TUBO PEADPEAD63VCAREDESZona06</v>
      </c>
      <c r="AE652" s="153" t="n">
        <f aca="false">IFERROR(INDEX(APOIO_REDES!$A:$W,MATCH($C652&amp;$I652&amp;$H652&amp;$N652&amp;$O652,APOIO_REDES!$W:$W,0),MATCH(AE$5,APOIO_REDES!$5:$5,0)),0)</f>
        <v>1.2</v>
      </c>
      <c r="AF652" s="153" t="n">
        <f aca="false">IFERROR(INDEX(APOIO_REDES!$A:$W,MATCH($C652&amp;$I652&amp;$H652&amp;$N652&amp;$O652,APOIO_REDES!$W:$W,0),MATCH(AF$5,APOIO_REDES!$5:$5,0)),0)</f>
        <v>1.363</v>
      </c>
      <c r="AG652" s="153" t="n">
        <f aca="false">IFERROR(INDEX(APOIO_REDES!$A:$W,MATCH($C652&amp;$I652&amp;$H652&amp;$N652&amp;$O652,APOIO_REDES!$W:$W,0),MATCH(AG$5,APOIO_REDES!$5:$5,0)),0)</f>
        <v>0.65</v>
      </c>
      <c r="AH652" s="153" t="n">
        <f aca="false">IFERROR(INDEX(APOIO_REDES!$A:$W,MATCH($C652&amp;$I652&amp;$H652&amp;$N652&amp;$O652,APOIO_REDES!$W:$W,0),MATCH(AH$5,APOIO_REDES!$5:$5,0)),0)</f>
        <v>0.1</v>
      </c>
      <c r="AI652" s="153" t="n">
        <f aca="false">IFERROR(IF($H652&lt;&gt;"",(((($H652/1000)/2)^2)*PI()*$M652),0),0)</f>
        <v>0.435946756676847</v>
      </c>
      <c r="AJ652" s="153" t="n">
        <f aca="false">IFERROR(IF(AND($H652&lt;&gt;"",$I652="FoFo",OR($N652="MND",$N652="VCA"),$Q652="LINEAR"),0,IF(AND($H652&lt;&gt;"",$I652="PEAD",$N652="VCA",$Q652="LINEAR"),($H652/1000)+0.3,IF(AND($H652&lt;&gt;"",$I652="PEAD",$N652="MND",$Q652="EMBOQUE"),0,IF(AND($H652&lt;&gt;"",$I652="PVC",$N652="VCA",$Q652="LINEAR"),($H652/1000)+0.2,IF(AND($H652&lt;&gt;"",$I652="PVC",$N652="MND",$Q652="EMBOQUE"),0,IF(AND($H652&lt;&gt;"",$I652="PEAD",$N652="VCA",$Q652="PREDIAL"),0,0)))))),0)</f>
        <v>0.363</v>
      </c>
      <c r="AK652" s="153" t="n">
        <f aca="false">IF(AA652&lt;&gt;"",AA652,0)</f>
        <v>3.9</v>
      </c>
      <c r="AL652" s="153" t="n">
        <f aca="false">IF(AND($N652="MND",$Q652="EMBOQUE"),$M652,IF(AND($N652="VCA",$Q652="LINEAR"),$M652,IF(AND($N652="VCA",$Q652="PREDIAL"),0,0)))</f>
        <v>139.85</v>
      </c>
      <c r="AM652" s="153" t="n">
        <f aca="false">IF(AND($N652="MND",$Q652="EMBOQUE"),$M652,IF(AND($N652="VCA",$Q652="LINEAR"),$M652,IF(AND($N652="VCA",$Q652="PREDIAL"),0,0)))</f>
        <v>139.85</v>
      </c>
      <c r="AN652" s="153" t="n">
        <f aca="false">ROUND(IF(AND($N652="VCA",$M652&lt;&gt;"",$Q652="LINEAR"),$M652/100,IF(AND($N652="MND",$M652&gt;100,$Q652="EMBOQUE"),$M652/100,0)),0)</f>
        <v>1</v>
      </c>
      <c r="AO652" s="153" t="n">
        <f aca="false">IF(AND($N652="MND",$Q652="EMBOQUE"),$AN652*2*2,IF(AND($N652="VCA",$Q652="LINEAR"),$M652*2,IF(AND($N652="VCA",$Q652="PREDIAL"),0,0)))</f>
        <v>279.7</v>
      </c>
      <c r="AP652" s="153" t="n">
        <f aca="false">IFERROR($M652*$AF652*$AG652,0)</f>
        <v>123.9001075</v>
      </c>
      <c r="AQ652" s="153" t="n">
        <f aca="false">IFERROR(IF(AND($N652="VCA",$AH652&gt;0),$M652*$AG652*$AH652,0),0)</f>
        <v>9.09025</v>
      </c>
      <c r="AR652" s="153" t="n">
        <f aca="false">IFERROR(IF(AND($N652="VCA",$AJ652&gt;0),($M652*$AG652*$AJ652)-$AI652,0),0)</f>
        <v>32.5616607433232</v>
      </c>
      <c r="AS652" s="153" t="n">
        <f aca="false">IFERROR(IF(AND($N652="VCA",$AP652&gt;0),$AP652-$AI652-$AQ652-$AR652,0),0)</f>
        <v>81.81225</v>
      </c>
      <c r="AT652" s="153" t="n">
        <f aca="false">IFERROR(IF($N652="VCA",INDEX(APOIO_REDES!$A:$W,MATCH($C652&amp;$I652&amp;$H652&amp;$N652&amp;$O652,APOIO_REDES!$W:$W,0),MATCH(AT$5,APOIO_REDES!$5:$5,0)),0)*$AP652,0)</f>
        <v>1.34806984215987</v>
      </c>
      <c r="AU652" s="153" t="n">
        <f aca="false">IFERROR(IF($N652="VCA",INDEX(APOIO_REDES!$A:$W,MATCH($C652&amp;$I652&amp;$H652&amp;$N652&amp;$O652,APOIO_REDES!$W:$W,0),MATCH(AU$5,APOIO_REDES!$5:$5,0)),0)*$AP652,0)</f>
        <v>1.07653206558729</v>
      </c>
      <c r="AV652" s="153" t="n">
        <f aca="false">IFERROR(IF($N652="VCA",INDEX(APOIO_REDES!$A:$W,MATCH($C652&amp;$I652&amp;$H652&amp;$N652&amp;$O652,APOIO_REDES!$W:$W,0),MATCH(AV$5,APOIO_REDES!$5:$5,0)),0)*$AP652,0)</f>
        <v>0.148983586769214</v>
      </c>
      <c r="AW652" s="153" t="n">
        <f aca="false">IFERROR(IF($N652="VCA",INDEX(APOIO_REDES!$A:$W,MATCH($C652&amp;$I652&amp;$H652&amp;$N652&amp;$O652,APOIO_REDES!$W:$W,0),MATCH(AW$5,APOIO_REDES!$5:$5,0)),0)*$AP652,0)</f>
        <v>85.0459938128798</v>
      </c>
      <c r="AX652" s="153" t="n">
        <f aca="false">IFERROR(IF($N652="VCA",INDEX(APOIO_REDES!$A:$W,MATCH($C652&amp;$I652&amp;$H652&amp;$N652&amp;$O652,APOIO_REDES!$W:$W,0),MATCH(AX$5,APOIO_REDES!$5:$5,0)),0)*$AP652,0)</f>
        <v>11.7701232856035</v>
      </c>
      <c r="AY652" s="153" t="n">
        <f aca="false">IFERROR(IF($N652="VCA",INDEX(APOIO_REDES!$A:$W,MATCH($C652&amp;$I652&amp;$H652&amp;$N652&amp;$O652,APOIO_REDES!$W:$W,0),MATCH(AY$5,APOIO_REDES!$5:$5,0)),0)*$AP652,0)</f>
        <v>21.5306281889071</v>
      </c>
      <c r="AZ652" s="153" t="n">
        <f aca="false">IFERROR(IF($N652="VCA",INDEX(APOIO_REDES!$A:$W,MATCH($C652&amp;$I652&amp;$H652&amp;$N652&amp;$O652,APOIO_REDES!$W:$W,0),MATCH(AZ$5,APOIO_REDES!$5:$5,0)),0)*$AP652,0)</f>
        <v>2.97977671809318</v>
      </c>
      <c r="BA652" s="153" t="n">
        <f aca="false">IFERROR(IF(AND($N652="VCA",$Q652="LINEAR"),INDEX(APOIO_REDES!$A:$W,MATCH($C652&amp;$I652&amp;$H652&amp;$N652&amp;$O652,APOIO_REDES!$W:$W,0),MATCH(BA$5,APOIO_REDES!$5:$5,0)),IF(AND($N652="MND",$Q652="EMBOQUE"),INDEX(APOIO_REDES!$A:$W,MATCH($C652&amp;$I652&amp;$H652&amp;$N652&amp;$O652,APOIO_REDES!$W:$W,0),MATCH(BA$5,APOIO_REDES!$5:$5,0)),0))*$M652/10,0)</f>
        <v>11.2715572395323</v>
      </c>
      <c r="BB652" s="153" t="n">
        <f aca="false">IFERROR(IF($N652="VCA",INDEX(APOIO_REDES!$A:$W,MATCH($C652&amp;$I652&amp;$H652&amp;$N652&amp;$O652,APOIO_REDES!$W:$W,0),MATCH(BB$5,APOIO_REDES!$5:$5,0)),0)*($AI652+$AQ652+$AR652),0)</f>
        <v>41.6299291530301</v>
      </c>
      <c r="BC652" s="153" t="n">
        <f aca="false">IFERROR(IF($N652="VCA",INDEX(APOIO_REDES!$A:$W,MATCH($C652&amp;$I652&amp;$H652&amp;$N652&amp;$O652,APOIO_REDES!$W:$W,0),MATCH(BC$5,APOIO_REDES!$5:$5,0)),0)*($AI652+$AQ652+$AR652),0)</f>
        <v>0.457928346969935</v>
      </c>
      <c r="BD652" s="153" t="n">
        <f aca="false">IF(AND($N652="VCA",$AF652&gt;=1.25,$AF652&lt;1.5),$M652*$AF652*2,0)</f>
        <v>381.2311</v>
      </c>
      <c r="BE652" s="153" t="n">
        <f aca="false">IF(AND($N652="VCA",$AF652&gt;=1.5,$AF652&lt;3),$M652*$AF652*2,0)</f>
        <v>0</v>
      </c>
      <c r="BF652" s="153" t="n">
        <f aca="false">IF(AND($N652="VCA",$AF652&gt;=3),$M652*$AF652*2,0)</f>
        <v>0</v>
      </c>
      <c r="BG652" s="153" t="n">
        <f aca="false">($BB652+$BC652)*$AK652</f>
        <v>164.14264425</v>
      </c>
      <c r="BH652" s="153" t="n">
        <f aca="false">IF(AND($M652&lt;&gt;"",$N652="VCA",$Q652="LINEAR"),($M652*2)/100,IF(AND($M652&lt;&gt;"",$N652="MND",$Q652="EMBOQUE"),($AN652*2)/100,0))</f>
        <v>2.797</v>
      </c>
      <c r="BI652" s="153" t="n">
        <f aca="false">IF(AND($M652&lt;&gt;"",$N652="VCA",$Q652="LINEAR"),$M652,IF(AND($M652&lt;&gt;"",$N652="MND",$Q652="EMBOQUE"),$AN652*2,0))</f>
        <v>139.85</v>
      </c>
      <c r="BJ652" s="153" t="n">
        <f aca="false">IF(AND($M652&lt;&gt;"",$N652="VCA",$Q652="LINEAR"),($M652*6.8)/100,IF(AND($M652&lt;&gt;"",$N652="MND",$Q652="EMBOQUE"),($AN652*2*6.8)/100,0))</f>
        <v>9.5098</v>
      </c>
      <c r="BK652" s="153" t="n">
        <f aca="false">IF(AND($M652&lt;&gt;"",$N652="VCA",$Q652="LINEAR"),($M652*2.5)/50,IF(AND($M652&lt;&gt;"",$N652="MND",$Q652="EMBOQUE"),($AN652*2*2.5)/50,0))</f>
        <v>6.9925</v>
      </c>
      <c r="BL652" s="157" t="str">
        <f aca="false">K652&amp;J652</f>
        <v>Zona06REDES</v>
      </c>
      <c r="BM652" s="152" t="s">
        <v>3790</v>
      </c>
      <c r="BN652" s="152" t="s">
        <v>1560</v>
      </c>
      <c r="BO652" s="152" t="s">
        <v>4004</v>
      </c>
      <c r="BP652" s="152" t="s">
        <v>4036</v>
      </c>
      <c r="BQ652" s="152" t="s">
        <v>4012</v>
      </c>
      <c r="BR652" s="152" t="s">
        <v>4037</v>
      </c>
      <c r="BS652" s="152" t="n">
        <v>203757.612</v>
      </c>
      <c r="BT652" s="152" t="n">
        <v>8236781.883</v>
      </c>
      <c r="BU652" s="152" t="n">
        <v>203663.439</v>
      </c>
      <c r="BV652" s="152" t="n">
        <v>8236884.303</v>
      </c>
      <c r="BW652" s="152" t="n">
        <v>-15.9300791</v>
      </c>
      <c r="BX652" s="152" t="n">
        <v>-47.7673892</v>
      </c>
      <c r="BY652" s="152" t="s">
        <v>4036</v>
      </c>
    </row>
    <row r="653" customFormat="false" ht="13.8" hidden="false" customHeight="false" outlineLevel="0" collapsed="false">
      <c r="A653" s="149" t="n">
        <f aca="false">IF(C653&lt;&gt;"",ROW(A648),"")</f>
        <v>648</v>
      </c>
      <c r="B653" s="150" t="str">
        <f aca="false">HYPERLINK("https://www.google.com/maps/dir/-15.917302,-47.760003/-15.9302937,-47.7685962/data=!4m3!4m2!3e0!5i0")</f>
        <v>https://www.google.com/maps/dir/-15.917302,-47.760003/-15.9302937,-47.7685962/data=!4m3!4m2!3e0!5i0</v>
      </c>
      <c r="C653" s="151" t="s">
        <v>117</v>
      </c>
      <c r="D653" s="152" t="s">
        <v>112</v>
      </c>
      <c r="E653" s="152" t="s">
        <v>113</v>
      </c>
      <c r="F653" s="152" t="s">
        <v>117</v>
      </c>
      <c r="G653" s="152" t="s">
        <v>782</v>
      </c>
      <c r="H653" s="152" t="n">
        <v>63</v>
      </c>
      <c r="I653" s="152" t="s">
        <v>115</v>
      </c>
      <c r="J653" s="152" t="s">
        <v>6</v>
      </c>
      <c r="K653" s="152" t="s">
        <v>3786</v>
      </c>
      <c r="L653" s="152" t="s">
        <v>120</v>
      </c>
      <c r="M653" s="153" t="n">
        <f aca="false">43.56+4</f>
        <v>47.56</v>
      </c>
      <c r="N653" s="152" t="s">
        <v>1548</v>
      </c>
      <c r="O653" s="152" t="s">
        <v>1549</v>
      </c>
      <c r="P653" s="152" t="s">
        <v>1550</v>
      </c>
      <c r="Q653" s="152" t="s">
        <v>1551</v>
      </c>
      <c r="R653" s="154" t="s">
        <v>4038</v>
      </c>
      <c r="S653" s="154" t="s">
        <v>1553</v>
      </c>
      <c r="T653" s="155" t="s">
        <v>4002</v>
      </c>
      <c r="U653" s="152" t="str">
        <f aca="false">RIGHT(T653,7)</f>
        <v>015/037</v>
      </c>
      <c r="V653" s="152" t="s">
        <v>1555</v>
      </c>
      <c r="W653" s="156" t="n">
        <v>45882</v>
      </c>
      <c r="X653" s="152" t="s">
        <v>1594</v>
      </c>
      <c r="Y653" s="152" t="s">
        <v>2387</v>
      </c>
      <c r="Z653" s="152" t="s">
        <v>1557</v>
      </c>
      <c r="AA653" s="153" t="n">
        <v>2.3</v>
      </c>
      <c r="AB653" s="151" t="s">
        <v>4039</v>
      </c>
      <c r="AC653" s="151" t="s">
        <v>186</v>
      </c>
      <c r="AD653" s="151" t="str">
        <f aca="false">CONCATENATE($C653,$I653,$H653,$N653,$J653,$K653)</f>
        <v>TUBO PEADPEAD63VCAREDESZona06</v>
      </c>
      <c r="AE653" s="153" t="n">
        <f aca="false">IFERROR(INDEX(APOIO_REDES!$A:$W,MATCH($C653&amp;$I653&amp;$H653&amp;$N653&amp;$O653,APOIO_REDES!$W:$W,0),MATCH(AE$5,APOIO_REDES!$5:$5,0)),0)</f>
        <v>1.2</v>
      </c>
      <c r="AF653" s="153" t="n">
        <f aca="false">IFERROR(INDEX(APOIO_REDES!$A:$W,MATCH($C653&amp;$I653&amp;$H653&amp;$N653&amp;$O653,APOIO_REDES!$W:$W,0),MATCH(AF$5,APOIO_REDES!$5:$5,0)),0)</f>
        <v>1.363</v>
      </c>
      <c r="AG653" s="153" t="n">
        <f aca="false">IFERROR(INDEX(APOIO_REDES!$A:$W,MATCH($C653&amp;$I653&amp;$H653&amp;$N653&amp;$O653,APOIO_REDES!$W:$W,0),MATCH(AG$5,APOIO_REDES!$5:$5,0)),0)</f>
        <v>0.65</v>
      </c>
      <c r="AH653" s="153" t="n">
        <f aca="false">IFERROR(INDEX(APOIO_REDES!$A:$W,MATCH($C653&amp;$I653&amp;$H653&amp;$N653&amp;$O653,APOIO_REDES!$W:$W,0),MATCH(AH$5,APOIO_REDES!$5:$5,0)),0)</f>
        <v>0.1</v>
      </c>
      <c r="AI653" s="153" t="n">
        <f aca="false">IFERROR(IF($H653&lt;&gt;"",(((($H653/1000)/2)^2)*PI()*$M653),0),0)</f>
        <v>0.148256186968544</v>
      </c>
      <c r="AJ653" s="153" t="n">
        <f aca="false">IFERROR(IF(AND($H653&lt;&gt;"",$I653="FoFo",OR($N653="MND",$N653="VCA"),$Q653="LINEAR"),0,IF(AND($H653&lt;&gt;"",$I653="PEAD",$N653="VCA",$Q653="LINEAR"),($H653/1000)+0.3,IF(AND($H653&lt;&gt;"",$I653="PEAD",$N653="MND",$Q653="EMBOQUE"),0,IF(AND($H653&lt;&gt;"",$I653="PVC",$N653="VCA",$Q653="LINEAR"),($H653/1000)+0.2,IF(AND($H653&lt;&gt;"",$I653="PVC",$N653="MND",$Q653="EMBOQUE"),0,IF(AND($H653&lt;&gt;"",$I653="PEAD",$N653="VCA",$Q653="PREDIAL"),0,0)))))),0)</f>
        <v>0.363</v>
      </c>
      <c r="AK653" s="153" t="n">
        <f aca="false">IF(AA653&lt;&gt;"",AA653,0)</f>
        <v>2.3</v>
      </c>
      <c r="AL653" s="153" t="n">
        <f aca="false">IF(AND($N653="MND",$Q653="EMBOQUE"),$M653,IF(AND($N653="VCA",$Q653="LINEAR"),$M653,IF(AND($N653="VCA",$Q653="PREDIAL"),0,0)))</f>
        <v>47.56</v>
      </c>
      <c r="AM653" s="153" t="n">
        <f aca="false">IF(AND($N653="MND",$Q653="EMBOQUE"),$M653,IF(AND($N653="VCA",$Q653="LINEAR"),$M653,IF(AND($N653="VCA",$Q653="PREDIAL"),0,0)))</f>
        <v>47.56</v>
      </c>
      <c r="AN653" s="153" t="n">
        <f aca="false">ROUND(IF(AND($N653="VCA",$M653&lt;&gt;"",$Q653="LINEAR"),$M653/100,IF(AND($N653="MND",$M653&gt;100,$Q653="EMBOQUE"),$M653/100,0)),0)</f>
        <v>0</v>
      </c>
      <c r="AO653" s="153" t="n">
        <f aca="false">IF(AND($N653="MND",$Q653="EMBOQUE"),$AN653*2*2,IF(AND($N653="VCA",$Q653="LINEAR"),$M653*2,IF(AND($N653="VCA",$Q653="PREDIAL"),0,0)))</f>
        <v>95.12</v>
      </c>
      <c r="AP653" s="153" t="n">
        <f aca="false">IFERROR($M653*$AF653*$AG653,0)</f>
        <v>42.135782</v>
      </c>
      <c r="AQ653" s="153" t="n">
        <f aca="false">IFERROR(IF(AND($N653="VCA",$AH653&gt;0),$M653*$AG653*$AH653,0),0)</f>
        <v>3.0914</v>
      </c>
      <c r="AR653" s="153" t="n">
        <f aca="false">IFERROR(IF(AND($N653="VCA",$AJ653&gt;0),($M653*$AG653*$AJ653)-$AI653,0),0)</f>
        <v>11.0735258130315</v>
      </c>
      <c r="AS653" s="153" t="n">
        <f aca="false">IFERROR(IF(AND($N653="VCA",$AP653&gt;0),$AP653-$AI653-$AQ653-$AR653,0),0)</f>
        <v>27.8226</v>
      </c>
      <c r="AT653" s="153" t="n">
        <f aca="false">IFERROR(IF($N653="VCA",INDEX(APOIO_REDES!$A:$W,MATCH($C653&amp;$I653&amp;$H653&amp;$N653&amp;$O653,APOIO_REDES!$W:$W,0),MATCH(AT$5,APOIO_REDES!$5:$5,0)),0)*$AP653,0)</f>
        <v>0.458449779714863</v>
      </c>
      <c r="AU653" s="153" t="n">
        <f aca="false">IFERROR(IF($N653="VCA",INDEX(APOIO_REDES!$A:$W,MATCH($C653&amp;$I653&amp;$H653&amp;$N653&amp;$O653,APOIO_REDES!$W:$W,0),MATCH(AU$5,APOIO_REDES!$5:$5,0)),0)*$AP653,0)</f>
        <v>0.366105577685602</v>
      </c>
      <c r="AV653" s="153" t="n">
        <f aca="false">IFERROR(IF($N653="VCA",INDEX(APOIO_REDES!$A:$W,MATCH($C653&amp;$I653&amp;$H653&amp;$N653&amp;$O653,APOIO_REDES!$W:$W,0),MATCH(AV$5,APOIO_REDES!$5:$5,0)),0)*$AP653,0)</f>
        <v>0.0506661379102168</v>
      </c>
      <c r="AW653" s="153" t="n">
        <f aca="false">IFERROR(IF($N653="VCA",INDEX(APOIO_REDES!$A:$W,MATCH($C653&amp;$I653&amp;$H653&amp;$N653&amp;$O653,APOIO_REDES!$W:$W,0),MATCH(AW$5,APOIO_REDES!$5:$5,0)),0)*$AP653,0)</f>
        <v>28.9223272487706</v>
      </c>
      <c r="AX653" s="153" t="n">
        <f aca="false">IFERROR(IF($N653="VCA",INDEX(APOIO_REDES!$A:$W,MATCH($C653&amp;$I653&amp;$H653&amp;$N653&amp;$O653,APOIO_REDES!$W:$W,0),MATCH(AX$5,APOIO_REDES!$5:$5,0)),0)*$AP653,0)</f>
        <v>4.00276770442119</v>
      </c>
      <c r="AY653" s="153" t="n">
        <f aca="false">IFERROR(IF($N653="VCA",INDEX(APOIO_REDES!$A:$W,MATCH($C653&amp;$I653&amp;$H653&amp;$N653&amp;$O653,APOIO_REDES!$W:$W,0),MATCH(AY$5,APOIO_REDES!$5:$5,0)),0)*$AP653,0)</f>
        <v>7.32210709091472</v>
      </c>
      <c r="AZ653" s="153" t="n">
        <f aca="false">IFERROR(IF($N653="VCA",INDEX(APOIO_REDES!$A:$W,MATCH($C653&amp;$I653&amp;$H653&amp;$N653&amp;$O653,APOIO_REDES!$W:$W,0),MATCH(AZ$5,APOIO_REDES!$5:$5,0)),0)*$AP653,0)</f>
        <v>1.01335846058285</v>
      </c>
      <c r="BA653" s="153" t="n">
        <f aca="false">IFERROR(IF(AND($N653="VCA",$Q653="LINEAR"),INDEX(APOIO_REDES!$A:$W,MATCH($C653&amp;$I653&amp;$H653&amp;$N653&amp;$O653,APOIO_REDES!$W:$W,0),MATCH(BA$5,APOIO_REDES!$5:$5,0)),IF(AND($N653="MND",$Q653="EMBOQUE"),INDEX(APOIO_REDES!$A:$W,MATCH($C653&amp;$I653&amp;$H653&amp;$N653&amp;$O653,APOIO_REDES!$W:$W,0),MATCH(BA$5,APOIO_REDES!$5:$5,0)),0))*$M653/10,0)</f>
        <v>3.83321603369435</v>
      </c>
      <c r="BB653" s="153" t="n">
        <f aca="false">IFERROR(IF($N653="VCA",INDEX(APOIO_REDES!$A:$W,MATCH($C653&amp;$I653&amp;$H653&amp;$N653&amp;$O653,APOIO_REDES!$W:$W,0),MATCH(BB$5,APOIO_REDES!$5:$5,0)),0)*($AI653+$AQ653+$AR653),0)</f>
        <v>14.1574503433544</v>
      </c>
      <c r="BC653" s="153" t="n">
        <f aca="false">IFERROR(IF($N653="VCA",INDEX(APOIO_REDES!$A:$W,MATCH($C653&amp;$I653&amp;$H653&amp;$N653&amp;$O653,APOIO_REDES!$W:$W,0),MATCH(BC$5,APOIO_REDES!$5:$5,0)),0)*($AI653+$AQ653+$AR653),0)</f>
        <v>0.155731656645621</v>
      </c>
      <c r="BD653" s="153" t="n">
        <f aca="false">IF(AND($N653="VCA",$AF653&gt;=1.25,$AF653&lt;1.5),$M653*$AF653*2,0)</f>
        <v>129.64856</v>
      </c>
      <c r="BE653" s="153" t="n">
        <f aca="false">IF(AND($N653="VCA",$AF653&gt;=1.5,$AF653&lt;3),$M653*$AF653*2,0)</f>
        <v>0</v>
      </c>
      <c r="BF653" s="153" t="n">
        <f aca="false">IF(AND($N653="VCA",$AF653&gt;=3),$M653*$AF653*2,0)</f>
        <v>0</v>
      </c>
      <c r="BG653" s="153" t="n">
        <f aca="false">($BB653+$BC653)*$AK653</f>
        <v>32.9203186</v>
      </c>
      <c r="BH653" s="153" t="n">
        <f aca="false">IF(AND($M653&lt;&gt;"",$N653="VCA",$Q653="LINEAR"),($M653*2)/100,IF(AND($M653&lt;&gt;"",$N653="MND",$Q653="EMBOQUE"),($AN653*2)/100,0))</f>
        <v>0.9512</v>
      </c>
      <c r="BI653" s="153" t="n">
        <f aca="false">IF(AND($M653&lt;&gt;"",$N653="VCA",$Q653="LINEAR"),$M653,IF(AND($M653&lt;&gt;"",$N653="MND",$Q653="EMBOQUE"),$AN653*2,0))</f>
        <v>47.56</v>
      </c>
      <c r="BJ653" s="153" t="n">
        <f aca="false">IF(AND($M653&lt;&gt;"",$N653="VCA",$Q653="LINEAR"),($M653*6.8)/100,IF(AND($M653&lt;&gt;"",$N653="MND",$Q653="EMBOQUE"),($AN653*2*6.8)/100,0))</f>
        <v>3.23408</v>
      </c>
      <c r="BK653" s="153" t="n">
        <f aca="false">IF(AND($M653&lt;&gt;"",$N653="VCA",$Q653="LINEAR"),($M653*2.5)/50,IF(AND($M653&lt;&gt;"",$N653="MND",$Q653="EMBOQUE"),($AN653*2*2.5)/50,0))</f>
        <v>2.378</v>
      </c>
      <c r="BL653" s="157" t="str">
        <f aca="false">K653&amp;J653</f>
        <v>Zona06REDES</v>
      </c>
      <c r="BM653" s="152" t="s">
        <v>3790</v>
      </c>
      <c r="BN653" s="152" t="s">
        <v>1560</v>
      </c>
      <c r="BO653" s="152" t="s">
        <v>4004</v>
      </c>
      <c r="BP653" s="152" t="s">
        <v>4040</v>
      </c>
      <c r="BQ653" s="152" t="s">
        <v>4041</v>
      </c>
      <c r="BR653" s="152" t="s">
        <v>4042</v>
      </c>
      <c r="BS653" s="152" t="n">
        <v>203582.416</v>
      </c>
      <c r="BT653" s="152" t="n">
        <v>8236808.388</v>
      </c>
      <c r="BU653" s="152" t="n">
        <v>203564.331</v>
      </c>
      <c r="BV653" s="152" t="n">
        <v>8236848.007</v>
      </c>
      <c r="BW653" s="152" t="n">
        <v>-15.9301153</v>
      </c>
      <c r="BX653" s="152" t="n">
        <v>-47.7686818</v>
      </c>
      <c r="BY653" s="152" t="s">
        <v>4040</v>
      </c>
    </row>
    <row r="654" customFormat="false" ht="13.8" hidden="false" customHeight="false" outlineLevel="0" collapsed="false">
      <c r="A654" s="149" t="n">
        <f aca="false">IF(C654&lt;&gt;"",ROW(A649),"")</f>
        <v>649</v>
      </c>
      <c r="B654" s="150" t="str">
        <f aca="false">HYPERLINK("https://www.google.com/maps/dir/-15.917302,-47.760003/-15.9301428,-47.7684760/data=!4m3!4m2!3e0!5i0")</f>
        <v>https://www.google.com/maps/dir/-15.917302,-47.760003/-15.9301428,-47.7684760/data=!4m3!4m2!3e0!5i0</v>
      </c>
      <c r="C654" s="151" t="s">
        <v>117</v>
      </c>
      <c r="D654" s="152" t="s">
        <v>112</v>
      </c>
      <c r="E654" s="152" t="s">
        <v>113</v>
      </c>
      <c r="F654" s="152" t="s">
        <v>117</v>
      </c>
      <c r="G654" s="152" t="s">
        <v>782</v>
      </c>
      <c r="H654" s="152" t="n">
        <v>63</v>
      </c>
      <c r="I654" s="152" t="s">
        <v>115</v>
      </c>
      <c r="J654" s="152" t="s">
        <v>6</v>
      </c>
      <c r="K654" s="152" t="s">
        <v>3786</v>
      </c>
      <c r="L654" s="152" t="s">
        <v>120</v>
      </c>
      <c r="M654" s="153" t="n">
        <f aca="false">2.92</f>
        <v>2.92</v>
      </c>
      <c r="N654" s="152" t="s">
        <v>1548</v>
      </c>
      <c r="O654" s="152" t="s">
        <v>1549</v>
      </c>
      <c r="P654" s="152" t="s">
        <v>1550</v>
      </c>
      <c r="Q654" s="152" t="s">
        <v>1551</v>
      </c>
      <c r="R654" s="154" t="s">
        <v>4043</v>
      </c>
      <c r="S654" s="154" t="s">
        <v>1553</v>
      </c>
      <c r="T654" s="155" t="s">
        <v>4002</v>
      </c>
      <c r="U654" s="152" t="str">
        <f aca="false">RIGHT(T654,7)</f>
        <v>015/037</v>
      </c>
      <c r="V654" s="152" t="s">
        <v>1555</v>
      </c>
      <c r="W654" s="156" t="n">
        <v>45882</v>
      </c>
      <c r="X654" s="152" t="s">
        <v>1594</v>
      </c>
      <c r="Y654" s="152" t="s">
        <v>2387</v>
      </c>
      <c r="Z654" s="152" t="s">
        <v>1557</v>
      </c>
      <c r="AA654" s="153" t="n">
        <v>2.3</v>
      </c>
      <c r="AB654" s="151" t="s">
        <v>4044</v>
      </c>
      <c r="AC654" s="151" t="s">
        <v>186</v>
      </c>
      <c r="AD654" s="151" t="str">
        <f aca="false">CONCATENATE($C654,$I654,$H654,$N654,$J654,$K654)</f>
        <v>TUBO PEADPEAD63VCAREDESZona06</v>
      </c>
      <c r="AE654" s="153" t="n">
        <f aca="false">IFERROR(INDEX(APOIO_REDES!$A:$W,MATCH($C654&amp;$I654&amp;$H654&amp;$N654&amp;$O654,APOIO_REDES!$W:$W,0),MATCH(AE$5,APOIO_REDES!$5:$5,0)),0)</f>
        <v>1.2</v>
      </c>
      <c r="AF654" s="153" t="n">
        <f aca="false">IFERROR(INDEX(APOIO_REDES!$A:$W,MATCH($C654&amp;$I654&amp;$H654&amp;$N654&amp;$O654,APOIO_REDES!$W:$W,0),MATCH(AF$5,APOIO_REDES!$5:$5,0)),0)</f>
        <v>1.363</v>
      </c>
      <c r="AG654" s="153" t="n">
        <f aca="false">IFERROR(INDEX(APOIO_REDES!$A:$W,MATCH($C654&amp;$I654&amp;$H654&amp;$N654&amp;$O654,APOIO_REDES!$W:$W,0),MATCH(AG$5,APOIO_REDES!$5:$5,0)),0)</f>
        <v>0.65</v>
      </c>
      <c r="AH654" s="153" t="n">
        <f aca="false">IFERROR(INDEX(APOIO_REDES!$A:$W,MATCH($C654&amp;$I654&amp;$H654&amp;$N654&amp;$O654,APOIO_REDES!$W:$W,0),MATCH(AH$5,APOIO_REDES!$5:$5,0)),0)</f>
        <v>0.1</v>
      </c>
      <c r="AI654" s="153" t="n">
        <f aca="false">IFERROR(IF($H654&lt;&gt;"",(((($H654/1000)/2)^2)*PI()*$M654),0),0)</f>
        <v>0.00910235630673146</v>
      </c>
      <c r="AJ654" s="153" t="n">
        <f aca="false">IFERROR(IF(AND($H654&lt;&gt;"",$I654="FoFo",OR($N654="MND",$N654="VCA"),$Q654="LINEAR"),0,IF(AND($H654&lt;&gt;"",$I654="PEAD",$N654="VCA",$Q654="LINEAR"),($H654/1000)+0.3,IF(AND($H654&lt;&gt;"",$I654="PEAD",$N654="MND",$Q654="EMBOQUE"),0,IF(AND($H654&lt;&gt;"",$I654="PVC",$N654="VCA",$Q654="LINEAR"),($H654/1000)+0.2,IF(AND($H654&lt;&gt;"",$I654="PVC",$N654="MND",$Q654="EMBOQUE"),0,IF(AND($H654&lt;&gt;"",$I654="PEAD",$N654="VCA",$Q654="PREDIAL"),0,0)))))),0)</f>
        <v>0.363</v>
      </c>
      <c r="AK654" s="153" t="n">
        <f aca="false">IF(AA654&lt;&gt;"",AA654,0)</f>
        <v>2.3</v>
      </c>
      <c r="AL654" s="153" t="n">
        <f aca="false">IF(AND($N654="MND",$Q654="EMBOQUE"),$M654,IF(AND($N654="VCA",$Q654="LINEAR"),$M654,IF(AND($N654="VCA",$Q654="PREDIAL"),0,0)))</f>
        <v>2.92</v>
      </c>
      <c r="AM654" s="153" t="n">
        <f aca="false">IF(AND($N654="MND",$Q654="EMBOQUE"),$M654,IF(AND($N654="VCA",$Q654="LINEAR"),$M654,IF(AND($N654="VCA",$Q654="PREDIAL"),0,0)))</f>
        <v>2.92</v>
      </c>
      <c r="AN654" s="153" t="n">
        <f aca="false">ROUND(IF(AND($N654="VCA",$M654&lt;&gt;"",$Q654="LINEAR"),$M654/100,IF(AND($N654="MND",$M654&gt;100,$Q654="EMBOQUE"),$M654/100,0)),0)</f>
        <v>0</v>
      </c>
      <c r="AO654" s="153" t="n">
        <f aca="false">IF(AND($N654="MND",$Q654="EMBOQUE"),$AN654*2*2,IF(AND($N654="VCA",$Q654="LINEAR"),$M654*2,IF(AND($N654="VCA",$Q654="PREDIAL"),0,0)))</f>
        <v>5.84</v>
      </c>
      <c r="AP654" s="153" t="n">
        <f aca="false">IFERROR($M654*$AF654*$AG654,0)</f>
        <v>2.586974</v>
      </c>
      <c r="AQ654" s="153" t="n">
        <f aca="false">IFERROR(IF(AND($N654="VCA",$AH654&gt;0),$M654*$AG654*$AH654,0),0)</f>
        <v>0.1898</v>
      </c>
      <c r="AR654" s="153" t="n">
        <f aca="false">IFERROR(IF(AND($N654="VCA",$AJ654&gt;0),($M654*$AG654*$AJ654)-$AI654,0),0)</f>
        <v>0.679871643693269</v>
      </c>
      <c r="AS654" s="153" t="n">
        <f aca="false">IFERROR(IF(AND($N654="VCA",$AP654&gt;0),$AP654-$AI654-$AQ654-$AR654,0),0)</f>
        <v>1.7082</v>
      </c>
      <c r="AT654" s="153" t="n">
        <f aca="false">IFERROR(IF($N654="VCA",INDEX(APOIO_REDES!$A:$W,MATCH($C654&amp;$I654&amp;$H654&amp;$N654&amp;$O654,APOIO_REDES!$W:$W,0),MATCH(AT$5,APOIO_REDES!$5:$5,0)),0)*$AP654,0)</f>
        <v>0.0281470428252187</v>
      </c>
      <c r="AU654" s="153" t="n">
        <f aca="false">IFERROR(IF($N654="VCA",INDEX(APOIO_REDES!$A:$W,MATCH($C654&amp;$I654&amp;$H654&amp;$N654&amp;$O654,APOIO_REDES!$W:$W,0),MATCH(AU$5,APOIO_REDES!$5:$5,0)),0)*$AP654,0)</f>
        <v>0.0224774660816223</v>
      </c>
      <c r="AV654" s="153" t="n">
        <f aca="false">IFERROR(IF($N654="VCA",INDEX(APOIO_REDES!$A:$W,MATCH($C654&amp;$I654&amp;$H654&amp;$N654&amp;$O654,APOIO_REDES!$W:$W,0),MATCH(AV$5,APOIO_REDES!$5:$5,0)),0)*$AP654,0)</f>
        <v>0.00311070485066932</v>
      </c>
      <c r="AW654" s="153" t="n">
        <f aca="false">IFERROR(IF($N654="VCA",INDEX(APOIO_REDES!$A:$W,MATCH($C654&amp;$I654&amp;$H654&amp;$N654&amp;$O654,APOIO_REDES!$W:$W,0),MATCH(AW$5,APOIO_REDES!$5:$5,0)),0)*$AP654,0)</f>
        <v>1.77571899845269</v>
      </c>
      <c r="AX654" s="153" t="n">
        <f aca="false">IFERROR(IF($N654="VCA",INDEX(APOIO_REDES!$A:$W,MATCH($C654&amp;$I654&amp;$H654&amp;$N654&amp;$O654,APOIO_REDES!$W:$W,0),MATCH(AX$5,APOIO_REDES!$5:$5,0)),0)*$AP654,0)</f>
        <v>0.245754451154539</v>
      </c>
      <c r="AY654" s="153" t="n">
        <f aca="false">IFERROR(IF($N654="VCA",INDEX(APOIO_REDES!$A:$W,MATCH($C654&amp;$I654&amp;$H654&amp;$N654&amp;$O654,APOIO_REDES!$W:$W,0),MATCH(AY$5,APOIO_REDES!$5:$5,0)),0)*$AP654,0)</f>
        <v>0.449549047633956</v>
      </c>
      <c r="AZ654" s="153" t="n">
        <f aca="false">IFERROR(IF($N654="VCA",INDEX(APOIO_REDES!$A:$W,MATCH($C654&amp;$I654&amp;$H654&amp;$N654&amp;$O654,APOIO_REDES!$W:$W,0),MATCH(AZ$5,APOIO_REDES!$5:$5,0)),0)*$AP654,0)</f>
        <v>0.062216289001302</v>
      </c>
      <c r="BA654" s="153" t="n">
        <f aca="false">IFERROR(IF(AND($N654="VCA",$Q654="LINEAR"),INDEX(APOIO_REDES!$A:$W,MATCH($C654&amp;$I654&amp;$H654&amp;$N654&amp;$O654,APOIO_REDES!$W:$W,0),MATCH(BA$5,APOIO_REDES!$5:$5,0)),IF(AND($N654="MND",$Q654="EMBOQUE"),INDEX(APOIO_REDES!$A:$W,MATCH($C654&amp;$I654&amp;$H654&amp;$N654&amp;$O654,APOIO_REDES!$W:$W,0),MATCH(BA$5,APOIO_REDES!$5:$5,0)),0))*$M654/10,0)</f>
        <v>0.235344634532958</v>
      </c>
      <c r="BB654" s="153" t="n">
        <f aca="false">IFERROR(IF($N654="VCA",INDEX(APOIO_REDES!$A:$W,MATCH($C654&amp;$I654&amp;$H654&amp;$N654&amp;$O654,APOIO_REDES!$W:$W,0),MATCH(BB$5,APOIO_REDES!$5:$5,0)),0)*($AI654+$AQ654+$AR654),0)</f>
        <v>0.869212678776173</v>
      </c>
      <c r="BC654" s="153" t="n">
        <f aca="false">IFERROR(IF($N654="VCA",INDEX(APOIO_REDES!$A:$W,MATCH($C654&amp;$I654&amp;$H654&amp;$N654&amp;$O654,APOIO_REDES!$W:$W,0),MATCH(BC$5,APOIO_REDES!$5:$5,0)),0)*($AI654+$AQ654+$AR654),0)</f>
        <v>0.00956132122382703</v>
      </c>
      <c r="BD654" s="153" t="n">
        <f aca="false">IF(AND($N654="VCA",$AF654&gt;=1.25,$AF654&lt;1.5),$M654*$AF654*2,0)</f>
        <v>7.95992</v>
      </c>
      <c r="BE654" s="153" t="n">
        <f aca="false">IF(AND($N654="VCA",$AF654&gt;=1.5,$AF654&lt;3),$M654*$AF654*2,0)</f>
        <v>0</v>
      </c>
      <c r="BF654" s="153" t="n">
        <f aca="false">IF(AND($N654="VCA",$AF654&gt;=3),$M654*$AF654*2,0)</f>
        <v>0</v>
      </c>
      <c r="BG654" s="153" t="n">
        <f aca="false">($BB654+$BC654)*$AK654</f>
        <v>2.0211802</v>
      </c>
      <c r="BH654" s="153" t="n">
        <f aca="false">IF(AND($M654&lt;&gt;"",$N654="VCA",$Q654="LINEAR"),($M654*2)/100,IF(AND($M654&lt;&gt;"",$N654="MND",$Q654="EMBOQUE"),($AN654*2)/100,0))</f>
        <v>0.0584</v>
      </c>
      <c r="BI654" s="153" t="n">
        <f aca="false">IF(AND($M654&lt;&gt;"",$N654="VCA",$Q654="LINEAR"),$M654,IF(AND($M654&lt;&gt;"",$N654="MND",$Q654="EMBOQUE"),$AN654*2,0))</f>
        <v>2.92</v>
      </c>
      <c r="BJ654" s="153" t="n">
        <f aca="false">IF(AND($M654&lt;&gt;"",$N654="VCA",$Q654="LINEAR"),($M654*6.8)/100,IF(AND($M654&lt;&gt;"",$N654="MND",$Q654="EMBOQUE"),($AN654*2*6.8)/100,0))</f>
        <v>0.19856</v>
      </c>
      <c r="BK654" s="153" t="n">
        <f aca="false">IF(AND($M654&lt;&gt;"",$N654="VCA",$Q654="LINEAR"),($M654*2.5)/50,IF(AND($M654&lt;&gt;"",$N654="MND",$Q654="EMBOQUE"),($AN654*2*2.5)/50,0))</f>
        <v>0.146</v>
      </c>
      <c r="BL654" s="157" t="str">
        <f aca="false">K654&amp;J654</f>
        <v>Zona06REDES</v>
      </c>
      <c r="BM654" s="152" t="s">
        <v>3790</v>
      </c>
      <c r="BN654" s="152" t="s">
        <v>1560</v>
      </c>
      <c r="BO654" s="152" t="s">
        <v>4004</v>
      </c>
      <c r="BP654" s="152" t="s">
        <v>4027</v>
      </c>
      <c r="BQ654" s="152" t="s">
        <v>2232</v>
      </c>
      <c r="BR654" s="152" t="s">
        <v>4045</v>
      </c>
      <c r="BS654" s="152" t="n">
        <v>203595.067</v>
      </c>
      <c r="BT654" s="152" t="n">
        <v>8236825.263</v>
      </c>
      <c r="BU654" s="152" t="n">
        <v>203597.176</v>
      </c>
      <c r="BV654" s="152" t="n">
        <v>8236823.25</v>
      </c>
      <c r="BW654" s="152" t="n">
        <v>-15.930152</v>
      </c>
      <c r="BX654" s="152" t="n">
        <v>-47.7684663</v>
      </c>
      <c r="BY654" s="152" t="s">
        <v>4027</v>
      </c>
    </row>
    <row r="655" customFormat="false" ht="13.8" hidden="false" customHeight="false" outlineLevel="0" collapsed="false">
      <c r="A655" s="149" t="n">
        <f aca="false">IF(C655&lt;&gt;"",ROW(A650),"")</f>
        <v>650</v>
      </c>
      <c r="B655" s="150" t="str">
        <f aca="false">HYPERLINK("https://www.google.com/maps/dir/-15.917302,-47.760003/-15.9302937,-47.7685962/data=!4m3!4m2!3e0!5i0")</f>
        <v>https://www.google.com/maps/dir/-15.917302,-47.760003/-15.9302937,-47.7685962/data=!4m3!4m2!3e0!5i0</v>
      </c>
      <c r="C655" s="151" t="s">
        <v>117</v>
      </c>
      <c r="D655" s="152" t="s">
        <v>112</v>
      </c>
      <c r="E655" s="152" t="s">
        <v>113</v>
      </c>
      <c r="F655" s="152" t="s">
        <v>117</v>
      </c>
      <c r="G655" s="152" t="s">
        <v>114</v>
      </c>
      <c r="H655" s="152" t="n">
        <v>160</v>
      </c>
      <c r="I655" s="152" t="s">
        <v>115</v>
      </c>
      <c r="J655" s="152" t="s">
        <v>6</v>
      </c>
      <c r="K655" s="152" t="s">
        <v>3786</v>
      </c>
      <c r="L655" s="152" t="s">
        <v>120</v>
      </c>
      <c r="M655" s="153" t="n">
        <f aca="false">21.09</f>
        <v>21.09</v>
      </c>
      <c r="N655" s="152" t="s">
        <v>1548</v>
      </c>
      <c r="O655" s="152" t="s">
        <v>1549</v>
      </c>
      <c r="P655" s="152" t="s">
        <v>1550</v>
      </c>
      <c r="Q655" s="152" t="s">
        <v>1551</v>
      </c>
      <c r="R655" s="154" t="s">
        <v>4046</v>
      </c>
      <c r="S655" s="154" t="s">
        <v>1593</v>
      </c>
      <c r="T655" s="155" t="s">
        <v>4002</v>
      </c>
      <c r="U655" s="152" t="str">
        <f aca="false">RIGHT(T655,7)</f>
        <v>015/037</v>
      </c>
      <c r="V655" s="152" t="s">
        <v>1555</v>
      </c>
      <c r="W655" s="156" t="n">
        <v>45882</v>
      </c>
      <c r="X655" s="152" t="s">
        <v>1594</v>
      </c>
      <c r="Y655" s="152" t="s">
        <v>2387</v>
      </c>
      <c r="Z655" s="152" t="s">
        <v>1557</v>
      </c>
      <c r="AA655" s="153" t="n">
        <v>2.3</v>
      </c>
      <c r="AB655" s="151" t="s">
        <v>4047</v>
      </c>
      <c r="AC655" s="151" t="s">
        <v>505</v>
      </c>
      <c r="AD655" s="151" t="str">
        <f aca="false">CONCATENATE($C655,$I655,$H655,$N655,$J655,$K655)</f>
        <v>TUBO PEADPEAD160VCAREDESZona06</v>
      </c>
      <c r="AE655" s="153" t="n">
        <f aca="false">IFERROR(INDEX(APOIO_REDES!$A:$W,MATCH($C655&amp;$I655&amp;$H655&amp;$N655&amp;$O655,APOIO_REDES!$W:$W,0),MATCH(AE$5,APOIO_REDES!$5:$5,0)),0)</f>
        <v>1.2</v>
      </c>
      <c r="AF655" s="153" t="n">
        <f aca="false">IFERROR(INDEX(APOIO_REDES!$A:$W,MATCH($C655&amp;$I655&amp;$H655&amp;$N655&amp;$O655,APOIO_REDES!$W:$W,0),MATCH(AF$5,APOIO_REDES!$5:$5,0)),0)</f>
        <v>1.46</v>
      </c>
      <c r="AG655" s="153" t="n">
        <f aca="false">IFERROR(INDEX(APOIO_REDES!$A:$W,MATCH($C655&amp;$I655&amp;$H655&amp;$N655&amp;$O655,APOIO_REDES!$W:$W,0),MATCH(AG$5,APOIO_REDES!$5:$5,0)),0)</f>
        <v>0.75</v>
      </c>
      <c r="AH655" s="153" t="n">
        <f aca="false">IFERROR(INDEX(APOIO_REDES!$A:$W,MATCH($C655&amp;$I655&amp;$H655&amp;$N655&amp;$O655,APOIO_REDES!$W:$W,0),MATCH(AH$5,APOIO_REDES!$5:$5,0)),0)</f>
        <v>0.1</v>
      </c>
      <c r="AI655" s="153" t="n">
        <f aca="false">IFERROR(IF($H655&lt;&gt;"",(((($H655/1000)/2)^2)*PI()*$M655),0),0)</f>
        <v>0.424039610010936</v>
      </c>
      <c r="AJ655" s="153" t="n">
        <f aca="false">IFERROR(IF(AND($H655&lt;&gt;"",$I655="FoFo",OR($N655="MND",$N655="VCA"),$Q655="LINEAR"),0,IF(AND($H655&lt;&gt;"",$I655="PEAD",$N655="VCA",$Q655="LINEAR"),($H655/1000)+0.3,IF(AND($H655&lt;&gt;"",$I655="PEAD",$N655="MND",$Q655="EMBOQUE"),0,IF(AND($H655&lt;&gt;"",$I655="PVC",$N655="VCA",$Q655="LINEAR"),($H655/1000)+0.2,IF(AND($H655&lt;&gt;"",$I655="PVC",$N655="MND",$Q655="EMBOQUE"),0,IF(AND($H655&lt;&gt;"",$I655="PEAD",$N655="VCA",$Q655="PREDIAL"),0,0)))))),0)</f>
        <v>0.46</v>
      </c>
      <c r="AK655" s="153" t="n">
        <f aca="false">IF(AA655&lt;&gt;"",AA655,0)</f>
        <v>2.3</v>
      </c>
      <c r="AL655" s="153" t="n">
        <f aca="false">IF(AND($N655="MND",$Q655="EMBOQUE"),$M655,IF(AND($N655="VCA",$Q655="LINEAR"),$M655,IF(AND($N655="VCA",$Q655="PREDIAL"),0,0)))</f>
        <v>21.09</v>
      </c>
      <c r="AM655" s="153" t="n">
        <f aca="false">IF(AND($N655="MND",$Q655="EMBOQUE"),$M655,IF(AND($N655="VCA",$Q655="LINEAR"),$M655,IF(AND($N655="VCA",$Q655="PREDIAL"),0,0)))</f>
        <v>21.09</v>
      </c>
      <c r="AN655" s="153" t="n">
        <f aca="false">ROUND(IF(AND($N655="VCA",$M655&lt;&gt;"",$Q655="LINEAR"),$M655/100,IF(AND($N655="MND",$M655&gt;100,$Q655="EMBOQUE"),$M655/100,0)),0)</f>
        <v>0</v>
      </c>
      <c r="AO655" s="153" t="n">
        <f aca="false">IF(AND($N655="MND",$Q655="EMBOQUE"),$AN655*2*2,IF(AND($N655="VCA",$Q655="LINEAR"),$M655*2,IF(AND($N655="VCA",$Q655="PREDIAL"),0,0)))</f>
        <v>42.18</v>
      </c>
      <c r="AP655" s="153" t="n">
        <f aca="false">IFERROR($M655*$AF655*$AG655,0)</f>
        <v>23.09355</v>
      </c>
      <c r="AQ655" s="153" t="n">
        <f aca="false">IFERROR(IF(AND($N655="VCA",$AH655&gt;0),$M655*$AG655*$AH655,0),0)</f>
        <v>1.58175</v>
      </c>
      <c r="AR655" s="153" t="n">
        <f aca="false">IFERROR(IF(AND($N655="VCA",$AJ655&gt;0),($M655*$AG655*$AJ655)-$AI655,0),0)</f>
        <v>6.85201038998906</v>
      </c>
      <c r="AS655" s="153" t="n">
        <f aca="false">IFERROR(IF(AND($N655="VCA",$AP655&gt;0),$AP655-$AI655-$AQ655-$AR655,0),0)</f>
        <v>14.23575</v>
      </c>
      <c r="AT655" s="153" t="n">
        <f aca="false">IFERROR(IF($N655="VCA",INDEX(APOIO_REDES!$A:$W,MATCH($C655&amp;$I655&amp;$H655&amp;$N655&amp;$O655,APOIO_REDES!$W:$W,0),MATCH(AT$5,APOIO_REDES!$5:$5,0)),0)*$AP655,0)</f>
        <v>0.251264659341891</v>
      </c>
      <c r="AU655" s="153" t="n">
        <f aca="false">IFERROR(IF($N655="VCA",INDEX(APOIO_REDES!$A:$W,MATCH($C655&amp;$I655&amp;$H655&amp;$N655&amp;$O655,APOIO_REDES!$W:$W,0),MATCH(AU$5,APOIO_REDES!$5:$5,0)),0)*$AP655,0)</f>
        <v>0.200653151840432</v>
      </c>
      <c r="AV655" s="153" t="n">
        <f aca="false">IFERROR(IF($N655="VCA",INDEX(APOIO_REDES!$A:$W,MATCH($C655&amp;$I655&amp;$H655&amp;$N655&amp;$O655,APOIO_REDES!$W:$W,0),MATCH(AV$5,APOIO_REDES!$5:$5,0)),0)*$AP655,0)</f>
        <v>0.0277688210257136</v>
      </c>
      <c r="AW655" s="153" t="n">
        <f aca="false">IFERROR(IF($N655="VCA",INDEX(APOIO_REDES!$A:$W,MATCH($C655&amp;$I655&amp;$H655&amp;$N655&amp;$O655,APOIO_REDES!$W:$W,0),MATCH(AW$5,APOIO_REDES!$5:$5,0)),0)*$AP655,0)</f>
        <v>15.8515916575571</v>
      </c>
      <c r="AX655" s="153" t="n">
        <f aca="false">IFERROR(IF($N655="VCA",INDEX(APOIO_REDES!$A:$W,MATCH($C655&amp;$I655&amp;$H655&amp;$N655&amp;$O655,APOIO_REDES!$W:$W,0),MATCH(AX$5,APOIO_REDES!$5:$5,0)),0)*$AP655,0)</f>
        <v>2.19381513129235</v>
      </c>
      <c r="AY655" s="153" t="n">
        <f aca="false">IFERROR(IF($N655="VCA",INDEX(APOIO_REDES!$A:$W,MATCH($C655&amp;$I655&amp;$H655&amp;$N655&amp;$O655,APOIO_REDES!$W:$W,0),MATCH(AY$5,APOIO_REDES!$5:$5,0)),0)*$AP655,0)</f>
        <v>4.01306059086298</v>
      </c>
      <c r="AZ655" s="153" t="n">
        <f aca="false">IFERROR(IF($N655="VCA",INDEX(APOIO_REDES!$A:$W,MATCH($C655&amp;$I655&amp;$H655&amp;$N655&amp;$O655,APOIO_REDES!$W:$W,0),MATCH(AZ$5,APOIO_REDES!$5:$5,0)),0)*$AP655,0)</f>
        <v>0.555395988079516</v>
      </c>
      <c r="BA655" s="153" t="n">
        <f aca="false">IFERROR(IF(AND($N655="VCA",$Q655="LINEAR"),INDEX(APOIO_REDES!$A:$W,MATCH($C655&amp;$I655&amp;$H655&amp;$N655&amp;$O655,APOIO_REDES!$W:$W,0),MATCH(BA$5,APOIO_REDES!$5:$5,0)),IF(AND($N655="MND",$Q655="EMBOQUE"),INDEX(APOIO_REDES!$A:$W,MATCH($C655&amp;$I655&amp;$H655&amp;$N655&amp;$O655,APOIO_REDES!$W:$W,0),MATCH(BA$5,APOIO_REDES!$5:$5,0)),0))*$M655/10,0)</f>
        <v>1.69980080215757</v>
      </c>
      <c r="BB655" s="153" t="n">
        <f aca="false">IFERROR(IF($N655="VCA",INDEX(APOIO_REDES!$A:$W,MATCH($C655&amp;$I655&amp;$H655&amp;$N655&amp;$O655,APOIO_REDES!$W:$W,0),MATCH(BB$5,APOIO_REDES!$5:$5,0)),0)*($AI655+$AQ655+$AR655),0)</f>
        <v>8.76142451422503</v>
      </c>
      <c r="BC655" s="153" t="n">
        <f aca="false">IFERROR(IF($N655="VCA",INDEX(APOIO_REDES!$A:$W,MATCH($C655&amp;$I655&amp;$H655&amp;$N655&amp;$O655,APOIO_REDES!$W:$W,0),MATCH(BC$5,APOIO_REDES!$5:$5,0)),0)*($AI655+$AQ655+$AR655),0)</f>
        <v>0.0963754857749718</v>
      </c>
      <c r="BD655" s="153" t="n">
        <f aca="false">IF(AND($N655="VCA",$AF655&gt;=1.25,$AF655&lt;1.5),$M655*$AF655*2,0)</f>
        <v>61.5828</v>
      </c>
      <c r="BE655" s="153" t="n">
        <f aca="false">IF(AND($N655="VCA",$AF655&gt;=1.5,$AF655&lt;3),$M655*$AF655*2,0)</f>
        <v>0</v>
      </c>
      <c r="BF655" s="153" t="n">
        <f aca="false">IF(AND($N655="VCA",$AF655&gt;=3),$M655*$AF655*2,0)</f>
        <v>0</v>
      </c>
      <c r="BG655" s="153" t="n">
        <f aca="false">($BB655+$BC655)*$AK655</f>
        <v>20.37294</v>
      </c>
      <c r="BH655" s="153" t="n">
        <f aca="false">IF(AND($M655&lt;&gt;"",$N655="VCA",$Q655="LINEAR"),($M655*2)/100,IF(AND($M655&lt;&gt;"",$N655="MND",$Q655="EMBOQUE"),($AN655*2)/100,0))</f>
        <v>0.4218</v>
      </c>
      <c r="BI655" s="153" t="n">
        <f aca="false">IF(AND($M655&lt;&gt;"",$N655="VCA",$Q655="LINEAR"),$M655,IF(AND($M655&lt;&gt;"",$N655="MND",$Q655="EMBOQUE"),$AN655*2,0))</f>
        <v>21.09</v>
      </c>
      <c r="BJ655" s="153" t="n">
        <f aca="false">IF(AND($M655&lt;&gt;"",$N655="VCA",$Q655="LINEAR"),($M655*6.8)/100,IF(AND($M655&lt;&gt;"",$N655="MND",$Q655="EMBOQUE"),($AN655*2*6.8)/100,0))</f>
        <v>1.43412</v>
      </c>
      <c r="BK655" s="153" t="n">
        <f aca="false">IF(AND($M655&lt;&gt;"",$N655="VCA",$Q655="LINEAR"),($M655*2.5)/50,IF(AND($M655&lt;&gt;"",$N655="MND",$Q655="EMBOQUE"),($AN655*2*2.5)/50,0))</f>
        <v>1.0545</v>
      </c>
      <c r="BL655" s="157" t="str">
        <f aca="false">K655&amp;J655</f>
        <v>Zona06REDES</v>
      </c>
      <c r="BM655" s="152" t="s">
        <v>3790</v>
      </c>
      <c r="BN655" s="152" t="s">
        <v>1560</v>
      </c>
      <c r="BO655" s="152" t="s">
        <v>4004</v>
      </c>
      <c r="BP655" s="152" t="s">
        <v>4040</v>
      </c>
      <c r="BQ655" s="152" t="s">
        <v>4027</v>
      </c>
      <c r="BR655" s="152" t="s">
        <v>4028</v>
      </c>
      <c r="BS655" s="152" t="n">
        <v>203582.416</v>
      </c>
      <c r="BT655" s="152" t="n">
        <v>8236808.388</v>
      </c>
      <c r="BU655" s="152" t="n">
        <v>203595.067</v>
      </c>
      <c r="BV655" s="152" t="n">
        <v>8236825.263</v>
      </c>
      <c r="BW655" s="152" t="n">
        <v>-15.9302182</v>
      </c>
      <c r="BX655" s="152" t="n">
        <v>-47.7685361</v>
      </c>
      <c r="BY655" s="152" t="s">
        <v>4040</v>
      </c>
    </row>
    <row r="656" customFormat="false" ht="13.8" hidden="false" customHeight="false" outlineLevel="0" collapsed="false">
      <c r="A656" s="149" t="n">
        <f aca="false">IF(C656&lt;&gt;"",ROW(A651),"")</f>
        <v>651</v>
      </c>
      <c r="B656" s="150" t="str">
        <f aca="false">HYPERLINK("https://www.google.com/maps/dir/-15.917302,-47.760003/-15.9310230,-47.7690052/data=!4m3!4m2!3e0!5i0")</f>
        <v>https://www.google.com/maps/dir/-15.917302,-47.760003/-15.9310230,-47.7690052/data=!4m3!4m2!3e0!5i0</v>
      </c>
      <c r="C656" s="151" t="s">
        <v>117</v>
      </c>
      <c r="D656" s="152" t="s">
        <v>112</v>
      </c>
      <c r="E656" s="152" t="s">
        <v>113</v>
      </c>
      <c r="F656" s="152" t="s">
        <v>117</v>
      </c>
      <c r="G656" s="152" t="s">
        <v>114</v>
      </c>
      <c r="H656" s="152" t="n">
        <v>160</v>
      </c>
      <c r="I656" s="152" t="s">
        <v>115</v>
      </c>
      <c r="J656" s="152" t="s">
        <v>6</v>
      </c>
      <c r="K656" s="152" t="s">
        <v>3786</v>
      </c>
      <c r="L656" s="152" t="s">
        <v>120</v>
      </c>
      <c r="M656" s="153" t="n">
        <f aca="false">207.09+0.8</f>
        <v>207.89</v>
      </c>
      <c r="N656" s="152" t="s">
        <v>1548</v>
      </c>
      <c r="O656" s="152" t="s">
        <v>1549</v>
      </c>
      <c r="P656" s="152" t="s">
        <v>1550</v>
      </c>
      <c r="Q656" s="152" t="s">
        <v>1551</v>
      </c>
      <c r="R656" s="154" t="s">
        <v>4048</v>
      </c>
      <c r="S656" s="154" t="s">
        <v>1593</v>
      </c>
      <c r="T656" s="155" t="s">
        <v>4002</v>
      </c>
      <c r="U656" s="152" t="str">
        <f aca="false">RIGHT(T656,7)</f>
        <v>015/037</v>
      </c>
      <c r="V656" s="152" t="s">
        <v>1555</v>
      </c>
      <c r="W656" s="156" t="n">
        <v>45882</v>
      </c>
      <c r="X656" s="152" t="s">
        <v>1594</v>
      </c>
      <c r="Y656" s="152" t="s">
        <v>4030</v>
      </c>
      <c r="Z656" s="152" t="s">
        <v>1557</v>
      </c>
      <c r="AA656" s="153" t="n">
        <v>2.4</v>
      </c>
      <c r="AB656" s="151" t="s">
        <v>4049</v>
      </c>
      <c r="AC656" s="151" t="s">
        <v>505</v>
      </c>
      <c r="AD656" s="151" t="str">
        <f aca="false">CONCATENATE($C656,$I656,$H656,$N656,$J656,$K656)</f>
        <v>TUBO PEADPEAD160VCAREDESZona06</v>
      </c>
      <c r="AE656" s="153" t="n">
        <f aca="false">IFERROR(INDEX(APOIO_REDES!$A:$W,MATCH($C656&amp;$I656&amp;$H656&amp;$N656&amp;$O656,APOIO_REDES!$W:$W,0),MATCH(AE$5,APOIO_REDES!$5:$5,0)),0)</f>
        <v>1.2</v>
      </c>
      <c r="AF656" s="153" t="n">
        <f aca="false">IFERROR(INDEX(APOIO_REDES!$A:$W,MATCH($C656&amp;$I656&amp;$H656&amp;$N656&amp;$O656,APOIO_REDES!$W:$W,0),MATCH(AF$5,APOIO_REDES!$5:$5,0)),0)</f>
        <v>1.46</v>
      </c>
      <c r="AG656" s="153" t="n">
        <f aca="false">IFERROR(INDEX(APOIO_REDES!$A:$W,MATCH($C656&amp;$I656&amp;$H656&amp;$N656&amp;$O656,APOIO_REDES!$W:$W,0),MATCH(AG$5,APOIO_REDES!$5:$5,0)),0)</f>
        <v>0.75</v>
      </c>
      <c r="AH656" s="153" t="n">
        <f aca="false">IFERROR(INDEX(APOIO_REDES!$A:$W,MATCH($C656&amp;$I656&amp;$H656&amp;$N656&amp;$O656,APOIO_REDES!$W:$W,0),MATCH(AH$5,APOIO_REDES!$5:$5,0)),0)</f>
        <v>0.1</v>
      </c>
      <c r="AI656" s="153" t="n">
        <f aca="false">IFERROR(IF($H656&lt;&gt;"",(((($H656/1000)/2)^2)*PI()*$M656),0),0)</f>
        <v>4.17987645923061</v>
      </c>
      <c r="AJ656" s="153" t="n">
        <f aca="false">IFERROR(IF(AND($H656&lt;&gt;"",$I656="FoFo",OR($N656="MND",$N656="VCA"),$Q656="LINEAR"),0,IF(AND($H656&lt;&gt;"",$I656="PEAD",$N656="VCA",$Q656="LINEAR"),($H656/1000)+0.3,IF(AND($H656&lt;&gt;"",$I656="PEAD",$N656="MND",$Q656="EMBOQUE"),0,IF(AND($H656&lt;&gt;"",$I656="PVC",$N656="VCA",$Q656="LINEAR"),($H656/1000)+0.2,IF(AND($H656&lt;&gt;"",$I656="PVC",$N656="MND",$Q656="EMBOQUE"),0,IF(AND($H656&lt;&gt;"",$I656="PEAD",$N656="VCA",$Q656="PREDIAL"),0,0)))))),0)</f>
        <v>0.46</v>
      </c>
      <c r="AK656" s="153" t="n">
        <f aca="false">IF(AA656&lt;&gt;"",AA656,0)</f>
        <v>2.4</v>
      </c>
      <c r="AL656" s="153" t="n">
        <f aca="false">IF(AND($N656="MND",$Q656="EMBOQUE"),$M656,IF(AND($N656="VCA",$Q656="LINEAR"),$M656,IF(AND($N656="VCA",$Q656="PREDIAL"),0,0)))</f>
        <v>207.89</v>
      </c>
      <c r="AM656" s="153" t="n">
        <f aca="false">IF(AND($N656="MND",$Q656="EMBOQUE"),$M656,IF(AND($N656="VCA",$Q656="LINEAR"),$M656,IF(AND($N656="VCA",$Q656="PREDIAL"),0,0)))</f>
        <v>207.89</v>
      </c>
      <c r="AN656" s="153" t="n">
        <f aca="false">ROUND(IF(AND($N656="VCA",$M656&lt;&gt;"",$Q656="LINEAR"),$M656/100,IF(AND($N656="MND",$M656&gt;100,$Q656="EMBOQUE"),$M656/100,0)),0)</f>
        <v>2</v>
      </c>
      <c r="AO656" s="153" t="n">
        <f aca="false">IF(AND($N656="MND",$Q656="EMBOQUE"),$AN656*2*2,IF(AND($N656="VCA",$Q656="LINEAR"),$M656*2,IF(AND($N656="VCA",$Q656="PREDIAL"),0,0)))</f>
        <v>415.78</v>
      </c>
      <c r="AP656" s="153" t="n">
        <f aca="false">IFERROR($M656*$AF656*$AG656,0)</f>
        <v>227.63955</v>
      </c>
      <c r="AQ656" s="153" t="n">
        <f aca="false">IFERROR(IF(AND($N656="VCA",$AH656&gt;0),$M656*$AG656*$AH656,0),0)</f>
        <v>15.59175</v>
      </c>
      <c r="AR656" s="153" t="n">
        <f aca="false">IFERROR(IF(AND($N656="VCA",$AJ656&gt;0),($M656*$AG656*$AJ656)-$AI656,0),0)</f>
        <v>67.5421735407694</v>
      </c>
      <c r="AS656" s="153" t="n">
        <f aca="false">IFERROR(IF(AND($N656="VCA",$AP656&gt;0),$AP656-$AI656-$AQ656-$AR656,0),0)</f>
        <v>140.32575</v>
      </c>
      <c r="AT656" s="153" t="n">
        <f aca="false">IFERROR(IF($N656="VCA",INDEX(APOIO_REDES!$A:$W,MATCH($C656&amp;$I656&amp;$H656&amp;$N656&amp;$O656,APOIO_REDES!$W:$W,0),MATCH(AT$5,APOIO_REDES!$5:$5,0)),0)*$AP656,0)</f>
        <v>2.4767856818675</v>
      </c>
      <c r="AU656" s="153" t="n">
        <f aca="false">IFERROR(IF($N656="VCA",INDEX(APOIO_REDES!$A:$W,MATCH($C656&amp;$I656&amp;$H656&amp;$N656&amp;$O656,APOIO_REDES!$W:$W,0),MATCH(AU$5,APOIO_REDES!$5:$5,0)),0)*$AP656,0)</f>
        <v>1.97789396567602</v>
      </c>
      <c r="AV656" s="153" t="n">
        <f aca="false">IFERROR(IF($N656="VCA",INDEX(APOIO_REDES!$A:$W,MATCH($C656&amp;$I656&amp;$H656&amp;$N656&amp;$O656,APOIO_REDES!$W:$W,0),MATCH(AV$5,APOIO_REDES!$5:$5,0)),0)*$AP656,0)</f>
        <v>0.273724997773144</v>
      </c>
      <c r="AW656" s="153" t="n">
        <f aca="false">IFERROR(IF($N656="VCA",INDEX(APOIO_REDES!$A:$W,MATCH($C656&amp;$I656&amp;$H656&amp;$N656&amp;$O656,APOIO_REDES!$W:$W,0),MATCH(AW$5,APOIO_REDES!$5:$5,0)),0)*$AP656,0)</f>
        <v>156.253550957304</v>
      </c>
      <c r="AX656" s="153" t="n">
        <f aca="false">IFERROR(IF($N656="VCA",INDEX(APOIO_REDES!$A:$W,MATCH($C656&amp;$I656&amp;$H656&amp;$N656&amp;$O656,APOIO_REDES!$W:$W,0),MATCH(AX$5,APOIO_REDES!$5:$5,0)),0)*$AP656,0)</f>
        <v>21.6250463558258</v>
      </c>
      <c r="AY656" s="153" t="n">
        <f aca="false">IFERROR(IF($N656="VCA",INDEX(APOIO_REDES!$A:$W,MATCH($C656&amp;$I656&amp;$H656&amp;$N656&amp;$O656,APOIO_REDES!$W:$W,0),MATCH(AY$5,APOIO_REDES!$5:$5,0)),0)*$AP656,0)</f>
        <v>39.5578552031533</v>
      </c>
      <c r="AZ656" s="153" t="n">
        <f aca="false">IFERROR(IF($N656="VCA",INDEX(APOIO_REDES!$A:$W,MATCH($C656&amp;$I656&amp;$H656&amp;$N656&amp;$O656,APOIO_REDES!$W:$W,0),MATCH(AZ$5,APOIO_REDES!$5:$5,0)),0)*$AP656,0)</f>
        <v>5.47469283839974</v>
      </c>
      <c r="BA656" s="153" t="n">
        <f aca="false">IFERROR(IF(AND($N656="VCA",$Q656="LINEAR"),INDEX(APOIO_REDES!$A:$W,MATCH($C656&amp;$I656&amp;$H656&amp;$N656&amp;$O656,APOIO_REDES!$W:$W,0),MATCH(BA$5,APOIO_REDES!$5:$5,0)),IF(AND($N656="MND",$Q656="EMBOQUE"),INDEX(APOIO_REDES!$A:$W,MATCH($C656&amp;$I656&amp;$H656&amp;$N656&amp;$O656,APOIO_REDES!$W:$W,0),MATCH(BA$5,APOIO_REDES!$5:$5,0)),0))*$M656/10,0)</f>
        <v>16.7554096140605</v>
      </c>
      <c r="BB656" s="153" t="n">
        <f aca="false">IFERROR(IF($N656="VCA",INDEX(APOIO_REDES!$A:$W,MATCH($C656&amp;$I656&amp;$H656&amp;$N656&amp;$O656,APOIO_REDES!$W:$W,0),MATCH(BB$5,APOIO_REDES!$5:$5,0)),0)*($AI656+$AQ656+$AR656),0)</f>
        <v>86.3638000124344</v>
      </c>
      <c r="BC656" s="153" t="n">
        <f aca="false">IFERROR(IF($N656="VCA",INDEX(APOIO_REDES!$A:$W,MATCH($C656&amp;$I656&amp;$H656&amp;$N656&amp;$O656,APOIO_REDES!$W:$W,0),MATCH(BC$5,APOIO_REDES!$5:$5,0)),0)*($AI656+$AQ656+$AR656),0)</f>
        <v>0.949999987565618</v>
      </c>
      <c r="BD656" s="153" t="n">
        <f aca="false">IF(AND($N656="VCA",$AF656&gt;=1.25,$AF656&lt;1.5),$M656*$AF656*2,0)</f>
        <v>607.0388</v>
      </c>
      <c r="BE656" s="153" t="n">
        <f aca="false">IF(AND($N656="VCA",$AF656&gt;=1.5,$AF656&lt;3),$M656*$AF656*2,0)</f>
        <v>0</v>
      </c>
      <c r="BF656" s="153" t="n">
        <f aca="false">IF(AND($N656="VCA",$AF656&gt;=3),$M656*$AF656*2,0)</f>
        <v>0</v>
      </c>
      <c r="BG656" s="153" t="n">
        <f aca="false">($BB656+$BC656)*$AK656</f>
        <v>209.55312</v>
      </c>
      <c r="BH656" s="153" t="n">
        <f aca="false">IF(AND($M656&lt;&gt;"",$N656="VCA",$Q656="LINEAR"),($M656*2)/100,IF(AND($M656&lt;&gt;"",$N656="MND",$Q656="EMBOQUE"),($AN656*2)/100,0))</f>
        <v>4.1578</v>
      </c>
      <c r="BI656" s="153" t="n">
        <f aca="false">IF(AND($M656&lt;&gt;"",$N656="VCA",$Q656="LINEAR"),$M656,IF(AND($M656&lt;&gt;"",$N656="MND",$Q656="EMBOQUE"),$AN656*2,0))</f>
        <v>207.89</v>
      </c>
      <c r="BJ656" s="153" t="n">
        <f aca="false">IF(AND($M656&lt;&gt;"",$N656="VCA",$Q656="LINEAR"),($M656*6.8)/100,IF(AND($M656&lt;&gt;"",$N656="MND",$Q656="EMBOQUE"),($AN656*2*6.8)/100,0))</f>
        <v>14.13652</v>
      </c>
      <c r="BK656" s="153" t="n">
        <f aca="false">IF(AND($M656&lt;&gt;"",$N656="VCA",$Q656="LINEAR"),($M656*2.5)/50,IF(AND($M656&lt;&gt;"",$N656="MND",$Q656="EMBOQUE"),($AN656*2*2.5)/50,0))</f>
        <v>10.3945</v>
      </c>
      <c r="BL656" s="157" t="str">
        <f aca="false">K656&amp;J656</f>
        <v>Zona06REDES</v>
      </c>
      <c r="BM656" s="152" t="s">
        <v>3790</v>
      </c>
      <c r="BN656" s="152" t="s">
        <v>1560</v>
      </c>
      <c r="BO656" s="152" t="s">
        <v>4004</v>
      </c>
      <c r="BP656" s="152" t="s">
        <v>4050</v>
      </c>
      <c r="BQ656" s="152" t="s">
        <v>4012</v>
      </c>
      <c r="BR656" s="152" t="s">
        <v>4007</v>
      </c>
      <c r="BS656" s="152" t="n">
        <v>203539.666</v>
      </c>
      <c r="BT656" s="152" t="n">
        <v>8236727.052</v>
      </c>
      <c r="BU656" s="152" t="n">
        <v>203662.613</v>
      </c>
      <c r="BV656" s="152" t="n">
        <v>8236885.223</v>
      </c>
      <c r="BW656" s="152" t="n">
        <v>-15.9302426</v>
      </c>
      <c r="BX656" s="152" t="n">
        <v>-47.7684777</v>
      </c>
      <c r="BY656" s="152" t="s">
        <v>4050</v>
      </c>
    </row>
    <row r="657" customFormat="false" ht="13.8" hidden="false" customHeight="false" outlineLevel="0" collapsed="false">
      <c r="A657" s="149" t="n">
        <f aca="false">IF(C657&lt;&gt;"",ROW(A652),"")</f>
        <v>652</v>
      </c>
      <c r="B657" s="150" t="str">
        <f aca="false">HYPERLINK("https://www.google.com/maps/dir/-15.917302,-47.760003/-15.9297974,-47.7682011/data=!4m3!4m2!3e0!5i0")</f>
        <v>https://www.google.com/maps/dir/-15.917302,-47.760003/-15.9297974,-47.7682011/data=!4m3!4m2!3e0!5i0</v>
      </c>
      <c r="C657" s="151" t="s">
        <v>117</v>
      </c>
      <c r="D657" s="152" t="s">
        <v>112</v>
      </c>
      <c r="E657" s="152" t="s">
        <v>113</v>
      </c>
      <c r="F657" s="152" t="s">
        <v>117</v>
      </c>
      <c r="G657" s="152" t="s">
        <v>782</v>
      </c>
      <c r="H657" s="152" t="n">
        <v>63</v>
      </c>
      <c r="I657" s="152" t="s">
        <v>115</v>
      </c>
      <c r="J657" s="152" t="s">
        <v>6</v>
      </c>
      <c r="K657" s="152" t="s">
        <v>3786</v>
      </c>
      <c r="L657" s="152" t="s">
        <v>120</v>
      </c>
      <c r="M657" s="153" t="n">
        <f aca="false">150.81</f>
        <v>150.81</v>
      </c>
      <c r="N657" s="152" t="s">
        <v>1548</v>
      </c>
      <c r="O657" s="152" t="s">
        <v>1549</v>
      </c>
      <c r="P657" s="152" t="s">
        <v>1550</v>
      </c>
      <c r="Q657" s="152" t="s">
        <v>1551</v>
      </c>
      <c r="R657" s="154" t="s">
        <v>4051</v>
      </c>
      <c r="S657" s="154" t="s">
        <v>1553</v>
      </c>
      <c r="T657" s="155" t="s">
        <v>4002</v>
      </c>
      <c r="U657" s="152" t="str">
        <f aca="false">RIGHT(T657,7)</f>
        <v>015/037</v>
      </c>
      <c r="V657" s="152" t="s">
        <v>1555</v>
      </c>
      <c r="W657" s="156" t="n">
        <v>45882</v>
      </c>
      <c r="X657" s="152" t="s">
        <v>1594</v>
      </c>
      <c r="Y657" s="152" t="s">
        <v>2387</v>
      </c>
      <c r="Z657" s="152" t="s">
        <v>1557</v>
      </c>
      <c r="AA657" s="153" t="n">
        <v>2.3</v>
      </c>
      <c r="AB657" s="151" t="s">
        <v>4052</v>
      </c>
      <c r="AC657" s="151" t="s">
        <v>186</v>
      </c>
      <c r="AD657" s="151" t="str">
        <f aca="false">CONCATENATE($C657,$I657,$H657,$N657,$J657,$K657)</f>
        <v>TUBO PEADPEAD63VCAREDESZona06</v>
      </c>
      <c r="AE657" s="153" t="n">
        <f aca="false">IFERROR(INDEX(APOIO_REDES!$A:$W,MATCH($C657&amp;$I657&amp;$H657&amp;$N657&amp;$O657,APOIO_REDES!$W:$W,0),MATCH(AE$5,APOIO_REDES!$5:$5,0)),0)</f>
        <v>1.2</v>
      </c>
      <c r="AF657" s="153" t="n">
        <f aca="false">IFERROR(INDEX(APOIO_REDES!$A:$W,MATCH($C657&amp;$I657&amp;$H657&amp;$N657&amp;$O657,APOIO_REDES!$W:$W,0),MATCH(AF$5,APOIO_REDES!$5:$5,0)),0)</f>
        <v>1.363</v>
      </c>
      <c r="AG657" s="153" t="n">
        <f aca="false">IFERROR(INDEX(APOIO_REDES!$A:$W,MATCH($C657&amp;$I657&amp;$H657&amp;$N657&amp;$O657,APOIO_REDES!$W:$W,0),MATCH(AG$5,APOIO_REDES!$5:$5,0)),0)</f>
        <v>0.65</v>
      </c>
      <c r="AH657" s="153" t="n">
        <f aca="false">IFERROR(INDEX(APOIO_REDES!$A:$W,MATCH($C657&amp;$I657&amp;$H657&amp;$N657&amp;$O657,APOIO_REDES!$W:$W,0),MATCH(AH$5,APOIO_REDES!$5:$5,0)),0)</f>
        <v>0.1</v>
      </c>
      <c r="AI657" s="153" t="n">
        <f aca="false">IFERROR(IF($H657&lt;&gt;"",(((($H657/1000)/2)^2)*PI()*$M657),0),0)</f>
        <v>0.470111765280196</v>
      </c>
      <c r="AJ657" s="153" t="n">
        <f aca="false">IFERROR(IF(AND($H657&lt;&gt;"",$I657="FoFo",OR($N657="MND",$N657="VCA"),$Q657="LINEAR"),0,IF(AND($H657&lt;&gt;"",$I657="PEAD",$N657="VCA",$Q657="LINEAR"),($H657/1000)+0.3,IF(AND($H657&lt;&gt;"",$I657="PEAD",$N657="MND",$Q657="EMBOQUE"),0,IF(AND($H657&lt;&gt;"",$I657="PVC",$N657="VCA",$Q657="LINEAR"),($H657/1000)+0.2,IF(AND($H657&lt;&gt;"",$I657="PVC",$N657="MND",$Q657="EMBOQUE"),0,IF(AND($H657&lt;&gt;"",$I657="PEAD",$N657="VCA",$Q657="PREDIAL"),0,0)))))),0)</f>
        <v>0.363</v>
      </c>
      <c r="AK657" s="153" t="n">
        <f aca="false">IF(AA657&lt;&gt;"",AA657,0)</f>
        <v>2.3</v>
      </c>
      <c r="AL657" s="153" t="n">
        <f aca="false">IF(AND($N657="MND",$Q657="EMBOQUE"),$M657,IF(AND($N657="VCA",$Q657="LINEAR"),$M657,IF(AND($N657="VCA",$Q657="PREDIAL"),0,0)))</f>
        <v>150.81</v>
      </c>
      <c r="AM657" s="153" t="n">
        <f aca="false">IF(AND($N657="MND",$Q657="EMBOQUE"),$M657,IF(AND($N657="VCA",$Q657="LINEAR"),$M657,IF(AND($N657="VCA",$Q657="PREDIAL"),0,0)))</f>
        <v>150.81</v>
      </c>
      <c r="AN657" s="153" t="n">
        <f aca="false">ROUND(IF(AND($N657="VCA",$M657&lt;&gt;"",$Q657="LINEAR"),$M657/100,IF(AND($N657="MND",$M657&gt;100,$Q657="EMBOQUE"),$M657/100,0)),0)</f>
        <v>2</v>
      </c>
      <c r="AO657" s="153" t="n">
        <f aca="false">IF(AND($N657="MND",$Q657="EMBOQUE"),$AN657*2*2,IF(AND($N657="VCA",$Q657="LINEAR"),$M657*2,IF(AND($N657="VCA",$Q657="PREDIAL"),0,0)))</f>
        <v>301.62</v>
      </c>
      <c r="AP657" s="153" t="n">
        <f aca="false">IFERROR($M657*$AF657*$AG657,0)</f>
        <v>133.6101195</v>
      </c>
      <c r="AQ657" s="153" t="n">
        <f aca="false">IFERROR(IF(AND($N657="VCA",$AH657&gt;0),$M657*$AG657*$AH657,0),0)</f>
        <v>9.80265</v>
      </c>
      <c r="AR657" s="153" t="n">
        <f aca="false">IFERROR(IF(AND($N657="VCA",$AJ657&gt;0),($M657*$AG657*$AJ657)-$AI657,0),0)</f>
        <v>35.1135077347198</v>
      </c>
      <c r="AS657" s="153" t="n">
        <f aca="false">IFERROR(IF(AND($N657="VCA",$AP657&gt;0),$AP657-$AI657-$AQ657-$AR657,0),0)</f>
        <v>88.22385</v>
      </c>
      <c r="AT657" s="153" t="n">
        <f aca="false">IFERROR(IF($N657="VCA",INDEX(APOIO_REDES!$A:$W,MATCH($C657&amp;$I657&amp;$H657&amp;$N657&amp;$O657,APOIO_REDES!$W:$W,0),MATCH(AT$5,APOIO_REDES!$5:$5,0)),0)*$AP657,0)</f>
        <v>1.45371764673672</v>
      </c>
      <c r="AU657" s="153" t="n">
        <f aca="false">IFERROR(IF($N657="VCA",INDEX(APOIO_REDES!$A:$W,MATCH($C657&amp;$I657&amp;$H657&amp;$N657&amp;$O657,APOIO_REDES!$W:$W,0),MATCH(AU$5,APOIO_REDES!$5:$5,0)),0)*$AP657,0)</f>
        <v>1.16089954101694</v>
      </c>
      <c r="AV657" s="153" t="n">
        <f aca="false">IFERROR(IF($N657="VCA",INDEX(APOIO_REDES!$A:$W,MATCH($C657&amp;$I657&amp;$H657&amp;$N657&amp;$O657,APOIO_REDES!$W:$W,0),MATCH(AV$5,APOIO_REDES!$5:$5,0)),0)*$AP657,0)</f>
        <v>0.160659383058028</v>
      </c>
      <c r="AW657" s="153" t="n">
        <f aca="false">IFERROR(IF($N657="VCA",INDEX(APOIO_REDES!$A:$W,MATCH($C657&amp;$I657&amp;$H657&amp;$N657&amp;$O657,APOIO_REDES!$W:$W,0),MATCH(AW$5,APOIO_REDES!$5:$5,0)),0)*$AP657,0)</f>
        <v>91.7110212865242</v>
      </c>
      <c r="AX657" s="153" t="n">
        <f aca="false">IFERROR(IF($N657="VCA",INDEX(APOIO_REDES!$A:$W,MATCH($C657&amp;$I657&amp;$H657&amp;$N657&amp;$O657,APOIO_REDES!$W:$W,0),MATCH(AX$5,APOIO_REDES!$5:$5,0)),0)*$AP657,0)</f>
        <v>12.6925441022658</v>
      </c>
      <c r="AY657" s="153" t="n">
        <f aca="false">IFERROR(IF($N657="VCA",INDEX(APOIO_REDES!$A:$W,MATCH($C657&amp;$I657&amp;$H657&amp;$N657&amp;$O657,APOIO_REDES!$W:$W,0),MATCH(AY$5,APOIO_REDES!$5:$5,0)),0)*$AP657,0)</f>
        <v>23.2179766690675</v>
      </c>
      <c r="AZ657" s="153" t="n">
        <f aca="false">IFERROR(IF($N657="VCA",INDEX(APOIO_REDES!$A:$W,MATCH($C657&amp;$I657&amp;$H657&amp;$N657&amp;$O657,APOIO_REDES!$W:$W,0),MATCH(AZ$5,APOIO_REDES!$5:$5,0)),0)*$AP657,0)</f>
        <v>3.21330087133094</v>
      </c>
      <c r="BA657" s="153" t="n">
        <f aca="false">IFERROR(IF(AND($N657="VCA",$Q657="LINEAR"),INDEX(APOIO_REDES!$A:$W,MATCH($C657&amp;$I657&amp;$H657&amp;$N657&amp;$O657,APOIO_REDES!$W:$W,0),MATCH(BA$5,APOIO_REDES!$5:$5,0)),IF(AND($N657="MND",$Q657="EMBOQUE"),INDEX(APOIO_REDES!$A:$W,MATCH($C657&amp;$I657&amp;$H657&amp;$N657&amp;$O657,APOIO_REDES!$W:$W,0),MATCH(BA$5,APOIO_REDES!$5:$5,0)),0))*$M657/10,0)</f>
        <v>12.1549055938067</v>
      </c>
      <c r="BB657" s="153" t="n">
        <f aca="false">IFERROR(IF($N657="VCA",INDEX(APOIO_REDES!$A:$W,MATCH($C657&amp;$I657&amp;$H657&amp;$N657&amp;$O657,APOIO_REDES!$W:$W,0),MATCH(BB$5,APOIO_REDES!$5:$5,0)),0)*($AI657+$AQ657+$AR657),0)</f>
        <v>44.89245345419</v>
      </c>
      <c r="BC657" s="153" t="n">
        <f aca="false">IFERROR(IF($N657="VCA",INDEX(APOIO_REDES!$A:$W,MATCH($C657&amp;$I657&amp;$H657&amp;$N657&amp;$O657,APOIO_REDES!$W:$W,0),MATCH(BC$5,APOIO_REDES!$5:$5,0)),0)*($AI657+$AQ657+$AR657),0)</f>
        <v>0.493816045810053</v>
      </c>
      <c r="BD657" s="153" t="n">
        <f aca="false">IF(AND($N657="VCA",$AF657&gt;=1.25,$AF657&lt;1.5),$M657*$AF657*2,0)</f>
        <v>411.10806</v>
      </c>
      <c r="BE657" s="153" t="n">
        <f aca="false">IF(AND($N657="VCA",$AF657&gt;=1.5,$AF657&lt;3),$M657*$AF657*2,0)</f>
        <v>0</v>
      </c>
      <c r="BF657" s="153" t="n">
        <f aca="false">IF(AND($N657="VCA",$AF657&gt;=3),$M657*$AF657*2,0)</f>
        <v>0</v>
      </c>
      <c r="BG657" s="153" t="n">
        <f aca="false">($BB657+$BC657)*$AK657</f>
        <v>104.38841985</v>
      </c>
      <c r="BH657" s="153" t="n">
        <f aca="false">IF(AND($M657&lt;&gt;"",$N657="VCA",$Q657="LINEAR"),($M657*2)/100,IF(AND($M657&lt;&gt;"",$N657="MND",$Q657="EMBOQUE"),($AN657*2)/100,0))</f>
        <v>3.0162</v>
      </c>
      <c r="BI657" s="153" t="n">
        <f aca="false">IF(AND($M657&lt;&gt;"",$N657="VCA",$Q657="LINEAR"),$M657,IF(AND($M657&lt;&gt;"",$N657="MND",$Q657="EMBOQUE"),$AN657*2,0))</f>
        <v>150.81</v>
      </c>
      <c r="BJ657" s="153" t="n">
        <f aca="false">IF(AND($M657&lt;&gt;"",$N657="VCA",$Q657="LINEAR"),($M657*6.8)/100,IF(AND($M657&lt;&gt;"",$N657="MND",$Q657="EMBOQUE"),($AN657*2*6.8)/100,0))</f>
        <v>10.25508</v>
      </c>
      <c r="BK657" s="153" t="n">
        <f aca="false">IF(AND($M657&lt;&gt;"",$N657="VCA",$Q657="LINEAR"),($M657*2.5)/50,IF(AND($M657&lt;&gt;"",$N657="MND",$Q657="EMBOQUE"),($AN657*2*2.5)/50,0))</f>
        <v>7.5405</v>
      </c>
      <c r="BL657" s="157" t="str">
        <f aca="false">K657&amp;J657</f>
        <v>Zona06REDES</v>
      </c>
      <c r="BM657" s="152" t="s">
        <v>3790</v>
      </c>
      <c r="BN657" s="152" t="s">
        <v>1560</v>
      </c>
      <c r="BO657" s="152" t="s">
        <v>4004</v>
      </c>
      <c r="BP657" s="152" t="s">
        <v>4023</v>
      </c>
      <c r="BQ657" s="152" t="s">
        <v>4053</v>
      </c>
      <c r="BR657" s="152" t="s">
        <v>4054</v>
      </c>
      <c r="BS657" s="152" t="n">
        <v>203624.018</v>
      </c>
      <c r="BT657" s="152" t="n">
        <v>8236863.9</v>
      </c>
      <c r="BU657" s="152" t="n">
        <v>203723.249</v>
      </c>
      <c r="BV657" s="152" t="n">
        <v>8236752.784</v>
      </c>
      <c r="BW657" s="152" t="n">
        <v>-15.9303054</v>
      </c>
      <c r="BX657" s="152" t="n">
        <v>-47.7677561</v>
      </c>
      <c r="BY657" s="152" t="s">
        <v>4023</v>
      </c>
    </row>
    <row r="658" customFormat="false" ht="13.8" hidden="false" customHeight="false" outlineLevel="0" collapsed="false">
      <c r="A658" s="149" t="n">
        <f aca="false">IF(C658&lt;&gt;"",ROW(A653),"")</f>
        <v>653</v>
      </c>
      <c r="B658" s="150" t="str">
        <f aca="false">HYPERLINK("https://www.google.com/maps/dir/-15.917302,-47.760003/-15.9301428,-47.7684760/data=!4m3!4m2!3e0!5i0")</f>
        <v>https://www.google.com/maps/dir/-15.917302,-47.760003/-15.9301428,-47.7684760/data=!4m3!4m2!3e0!5i0</v>
      </c>
      <c r="C658" s="151" t="s">
        <v>117</v>
      </c>
      <c r="D658" s="152" t="s">
        <v>112</v>
      </c>
      <c r="E658" s="152" t="s">
        <v>113</v>
      </c>
      <c r="F658" s="152" t="s">
        <v>117</v>
      </c>
      <c r="G658" s="152" t="s">
        <v>782</v>
      </c>
      <c r="H658" s="152" t="n">
        <v>63</v>
      </c>
      <c r="I658" s="152" t="s">
        <v>115</v>
      </c>
      <c r="J658" s="152" t="s">
        <v>6</v>
      </c>
      <c r="K658" s="152" t="s">
        <v>3786</v>
      </c>
      <c r="L658" s="152" t="s">
        <v>120</v>
      </c>
      <c r="M658" s="153" t="n">
        <f aca="false">70.42</f>
        <v>70.42</v>
      </c>
      <c r="N658" s="152" t="s">
        <v>1548</v>
      </c>
      <c r="O658" s="152" t="s">
        <v>1549</v>
      </c>
      <c r="P658" s="152" t="s">
        <v>1550</v>
      </c>
      <c r="Q658" s="152" t="s">
        <v>1551</v>
      </c>
      <c r="R658" s="154" t="s">
        <v>4055</v>
      </c>
      <c r="S658" s="154" t="s">
        <v>1553</v>
      </c>
      <c r="T658" s="155" t="s">
        <v>4002</v>
      </c>
      <c r="U658" s="152" t="str">
        <f aca="false">RIGHT(T658,7)</f>
        <v>015/037</v>
      </c>
      <c r="V658" s="152" t="s">
        <v>1555</v>
      </c>
      <c r="W658" s="156" t="n">
        <v>45882</v>
      </c>
      <c r="X658" s="152" t="s">
        <v>1594</v>
      </c>
      <c r="Y658" s="152" t="s">
        <v>2387</v>
      </c>
      <c r="Z658" s="152" t="s">
        <v>1557</v>
      </c>
      <c r="AA658" s="153" t="n">
        <v>2.3</v>
      </c>
      <c r="AB658" s="151" t="s">
        <v>2238</v>
      </c>
      <c r="AC658" s="151" t="s">
        <v>186</v>
      </c>
      <c r="AD658" s="151" t="str">
        <f aca="false">CONCATENATE($C658,$I658,$H658,$N658,$J658,$K658)</f>
        <v>TUBO PEADPEAD63VCAREDESZona06</v>
      </c>
      <c r="AE658" s="153" t="n">
        <f aca="false">IFERROR(INDEX(APOIO_REDES!$A:$W,MATCH($C658&amp;$I658&amp;$H658&amp;$N658&amp;$O658,APOIO_REDES!$W:$W,0),MATCH(AE$5,APOIO_REDES!$5:$5,0)),0)</f>
        <v>1.2</v>
      </c>
      <c r="AF658" s="153" t="n">
        <f aca="false">IFERROR(INDEX(APOIO_REDES!$A:$W,MATCH($C658&amp;$I658&amp;$H658&amp;$N658&amp;$O658,APOIO_REDES!$W:$W,0),MATCH(AF$5,APOIO_REDES!$5:$5,0)),0)</f>
        <v>1.363</v>
      </c>
      <c r="AG658" s="153" t="n">
        <f aca="false">IFERROR(INDEX(APOIO_REDES!$A:$W,MATCH($C658&amp;$I658&amp;$H658&amp;$N658&amp;$O658,APOIO_REDES!$W:$W,0),MATCH(AG$5,APOIO_REDES!$5:$5,0)),0)</f>
        <v>0.65</v>
      </c>
      <c r="AH658" s="153" t="n">
        <f aca="false">IFERROR(INDEX(APOIO_REDES!$A:$W,MATCH($C658&amp;$I658&amp;$H658&amp;$N658&amp;$O658,APOIO_REDES!$W:$W,0),MATCH(AH$5,APOIO_REDES!$5:$5,0)),0)</f>
        <v>0.1</v>
      </c>
      <c r="AI658" s="153" t="n">
        <f aca="false">IFERROR(IF($H658&lt;&gt;"",(((($H658/1000)/2)^2)*PI()*$M658),0),0)</f>
        <v>0.219516414767133</v>
      </c>
      <c r="AJ658" s="153" t="n">
        <f aca="false">IFERROR(IF(AND($H658&lt;&gt;"",$I658="FoFo",OR($N658="MND",$N658="VCA"),$Q658="LINEAR"),0,IF(AND($H658&lt;&gt;"",$I658="PEAD",$N658="VCA",$Q658="LINEAR"),($H658/1000)+0.3,IF(AND($H658&lt;&gt;"",$I658="PEAD",$N658="MND",$Q658="EMBOQUE"),0,IF(AND($H658&lt;&gt;"",$I658="PVC",$N658="VCA",$Q658="LINEAR"),($H658/1000)+0.2,IF(AND($H658&lt;&gt;"",$I658="PVC",$N658="MND",$Q658="EMBOQUE"),0,IF(AND($H658&lt;&gt;"",$I658="PEAD",$N658="VCA",$Q658="PREDIAL"),0,0)))))),0)</f>
        <v>0.363</v>
      </c>
      <c r="AK658" s="153" t="n">
        <f aca="false">IF(AA658&lt;&gt;"",AA658,0)</f>
        <v>2.3</v>
      </c>
      <c r="AL658" s="153" t="n">
        <f aca="false">IF(AND($N658="MND",$Q658="EMBOQUE"),$M658,IF(AND($N658="VCA",$Q658="LINEAR"),$M658,IF(AND($N658="VCA",$Q658="PREDIAL"),0,0)))</f>
        <v>70.42</v>
      </c>
      <c r="AM658" s="153" t="n">
        <f aca="false">IF(AND($N658="MND",$Q658="EMBOQUE"),$M658,IF(AND($N658="VCA",$Q658="LINEAR"),$M658,IF(AND($N658="VCA",$Q658="PREDIAL"),0,0)))</f>
        <v>70.42</v>
      </c>
      <c r="AN658" s="153" t="n">
        <f aca="false">ROUND(IF(AND($N658="VCA",$M658&lt;&gt;"",$Q658="LINEAR"),$M658/100,IF(AND($N658="MND",$M658&gt;100,$Q658="EMBOQUE"),$M658/100,0)),0)</f>
        <v>1</v>
      </c>
      <c r="AO658" s="153" t="n">
        <f aca="false">IF(AND($N658="MND",$Q658="EMBOQUE"),$AN658*2*2,IF(AND($N658="VCA",$Q658="LINEAR"),$M658*2,IF(AND($N658="VCA",$Q658="PREDIAL"),0,0)))</f>
        <v>140.84</v>
      </c>
      <c r="AP658" s="153" t="n">
        <f aca="false">IFERROR($M658*$AF658*$AG658,0)</f>
        <v>62.388599</v>
      </c>
      <c r="AQ658" s="153" t="n">
        <f aca="false">IFERROR(IF(AND($N658="VCA",$AH658&gt;0),$M658*$AG658*$AH658,0),0)</f>
        <v>4.5773</v>
      </c>
      <c r="AR658" s="153" t="n">
        <f aca="false">IFERROR(IF(AND($N658="VCA",$AJ658&gt;0),($M658*$AG658*$AJ658)-$AI658,0),0)</f>
        <v>16.3960825852329</v>
      </c>
      <c r="AS658" s="153" t="n">
        <f aca="false">IFERROR(IF(AND($N658="VCA",$AP658&gt;0),$AP658-$AI658-$AQ658-$AR658,0),0)</f>
        <v>41.1957</v>
      </c>
      <c r="AT658" s="153" t="n">
        <f aca="false">IFERROR(IF($N658="VCA",INDEX(APOIO_REDES!$A:$W,MATCH($C658&amp;$I658&amp;$H658&amp;$N658&amp;$O658,APOIO_REDES!$W:$W,0),MATCH(AT$5,APOIO_REDES!$5:$5,0)),0)*$AP658,0)</f>
        <v>0.678806423202705</v>
      </c>
      <c r="AU658" s="153" t="n">
        <f aca="false">IFERROR(IF($N658="VCA",INDEX(APOIO_REDES!$A:$W,MATCH($C658&amp;$I658&amp;$H658&amp;$N658&amp;$O658,APOIO_REDES!$W:$W,0),MATCH(AU$5,APOIO_REDES!$5:$5,0)),0)*$AP658,0)</f>
        <v>0.54207642516022</v>
      </c>
      <c r="AV658" s="153" t="n">
        <f aca="false">IFERROR(IF($N658="VCA",INDEX(APOIO_REDES!$A:$W,MATCH($C658&amp;$I658&amp;$H658&amp;$N658&amp;$O658,APOIO_REDES!$W:$W,0),MATCH(AV$5,APOIO_REDES!$5:$5,0)),0)*$AP658,0)</f>
        <v>0.0750191217753883</v>
      </c>
      <c r="AW658" s="153" t="n">
        <f aca="false">IFERROR(IF($N658="VCA",INDEX(APOIO_REDES!$A:$W,MATCH($C658&amp;$I658&amp;$H658&amp;$N658&amp;$O658,APOIO_REDES!$W:$W,0),MATCH(AW$5,APOIO_REDES!$5:$5,0)),0)*$AP658,0)</f>
        <v>42.8240177640543</v>
      </c>
      <c r="AX658" s="153" t="n">
        <f aca="false">IFERROR(IF($N658="VCA",INDEX(APOIO_REDES!$A:$W,MATCH($C658&amp;$I658&amp;$H658&amp;$N658&amp;$O658,APOIO_REDES!$W:$W,0),MATCH(AX$5,APOIO_REDES!$5:$5,0)),0)*$AP658,0)</f>
        <v>5.92672207202145</v>
      </c>
      <c r="AY658" s="153" t="n">
        <f aca="false">IFERROR(IF($N658="VCA",INDEX(APOIO_REDES!$A:$W,MATCH($C658&amp;$I658&amp;$H658&amp;$N658&amp;$O658,APOIO_REDES!$W:$W,0),MATCH(AY$5,APOIO_REDES!$5:$5,0)),0)*$AP658,0)</f>
        <v>10.8415218953367</v>
      </c>
      <c r="AZ658" s="153" t="n">
        <f aca="false">IFERROR(IF($N658="VCA",INDEX(APOIO_REDES!$A:$W,MATCH($C658&amp;$I658&amp;$H658&amp;$N658&amp;$O658,APOIO_REDES!$W:$W,0),MATCH(AZ$5,APOIO_REDES!$5:$5,0)),0)*$AP658,0)</f>
        <v>1.50043529844921</v>
      </c>
      <c r="BA658" s="153" t="n">
        <f aca="false">IFERROR(IF(AND($N658="VCA",$Q658="LINEAR"),INDEX(APOIO_REDES!$A:$W,MATCH($C658&amp;$I658&amp;$H658&amp;$N658&amp;$O658,APOIO_REDES!$W:$W,0),MATCH(BA$5,APOIO_REDES!$5:$5,0)),IF(AND($N658="MND",$Q658="EMBOQUE"),INDEX(APOIO_REDES!$A:$W,MATCH($C658&amp;$I658&amp;$H658&amp;$N658&amp;$O658,APOIO_REDES!$W:$W,0),MATCH(BA$5,APOIO_REDES!$5:$5,0)),0))*$M658/10,0)</f>
        <v>5.67567437116813</v>
      </c>
      <c r="BB658" s="153" t="n">
        <f aca="false">IFERROR(IF($N658="VCA",INDEX(APOIO_REDES!$A:$W,MATCH($C658&amp;$I658&amp;$H658&amp;$N658&amp;$O658,APOIO_REDES!$W:$W,0),MATCH(BB$5,APOIO_REDES!$5:$5,0)),0)*($AI658+$AQ658+$AR658),0)</f>
        <v>20.9623139861021</v>
      </c>
      <c r="BC658" s="153" t="n">
        <f aca="false">IFERROR(IF($N658="VCA",INDEX(APOIO_REDES!$A:$W,MATCH($C658&amp;$I658&amp;$H658&amp;$N658&amp;$O658,APOIO_REDES!$W:$W,0),MATCH(BC$5,APOIO_REDES!$5:$5,0)),0)*($AI658+$AQ658+$AR658),0)</f>
        <v>0.230585013897911</v>
      </c>
      <c r="BD658" s="153" t="n">
        <f aca="false">IF(AND($N658="VCA",$AF658&gt;=1.25,$AF658&lt;1.5),$M658*$AF658*2,0)</f>
        <v>191.96492</v>
      </c>
      <c r="BE658" s="153" t="n">
        <f aca="false">IF(AND($N658="VCA",$AF658&gt;=1.5,$AF658&lt;3),$M658*$AF658*2,0)</f>
        <v>0</v>
      </c>
      <c r="BF658" s="153" t="n">
        <f aca="false">IF(AND($N658="VCA",$AF658&gt;=3),$M658*$AF658*2,0)</f>
        <v>0</v>
      </c>
      <c r="BG658" s="153" t="n">
        <f aca="false">($BB658+$BC658)*$AK658</f>
        <v>48.7436677</v>
      </c>
      <c r="BH658" s="153" t="n">
        <f aca="false">IF(AND($M658&lt;&gt;"",$N658="VCA",$Q658="LINEAR"),($M658*2)/100,IF(AND($M658&lt;&gt;"",$N658="MND",$Q658="EMBOQUE"),($AN658*2)/100,0))</f>
        <v>1.4084</v>
      </c>
      <c r="BI658" s="153" t="n">
        <f aca="false">IF(AND($M658&lt;&gt;"",$N658="VCA",$Q658="LINEAR"),$M658,IF(AND($M658&lt;&gt;"",$N658="MND",$Q658="EMBOQUE"),$AN658*2,0))</f>
        <v>70.42</v>
      </c>
      <c r="BJ658" s="153" t="n">
        <f aca="false">IF(AND($M658&lt;&gt;"",$N658="VCA",$Q658="LINEAR"),($M658*6.8)/100,IF(AND($M658&lt;&gt;"",$N658="MND",$Q658="EMBOQUE"),($AN658*2*6.8)/100,0))</f>
        <v>4.78856</v>
      </c>
      <c r="BK658" s="153" t="n">
        <f aca="false">IF(AND($M658&lt;&gt;"",$N658="VCA",$Q658="LINEAR"),($M658*2.5)/50,IF(AND($M658&lt;&gt;"",$N658="MND",$Q658="EMBOQUE"),($AN658*2*2.5)/50,0))</f>
        <v>3.521</v>
      </c>
      <c r="BL658" s="157" t="str">
        <f aca="false">K658&amp;J658</f>
        <v>Zona06REDES</v>
      </c>
      <c r="BM658" s="152" t="s">
        <v>3790</v>
      </c>
      <c r="BN658" s="152" t="s">
        <v>1560</v>
      </c>
      <c r="BO658" s="152" t="s">
        <v>4004</v>
      </c>
      <c r="BP658" s="152" t="s">
        <v>2232</v>
      </c>
      <c r="BQ658" s="152" t="s">
        <v>2232</v>
      </c>
      <c r="BR658" s="152" t="s">
        <v>4056</v>
      </c>
      <c r="BS658" s="152" t="n">
        <v>203597.108</v>
      </c>
      <c r="BT658" s="152" t="n">
        <v>8236823.238</v>
      </c>
      <c r="BU658" s="152" t="n">
        <v>203643.588</v>
      </c>
      <c r="BV658" s="152" t="n">
        <v>8236773.715</v>
      </c>
      <c r="BW658" s="152" t="n">
        <v>-15.9303735</v>
      </c>
      <c r="BX658" s="152" t="n">
        <v>-47.7682444</v>
      </c>
      <c r="BY658" s="152" t="s">
        <v>4027</v>
      </c>
    </row>
    <row r="659" customFormat="false" ht="13.8" hidden="false" customHeight="false" outlineLevel="0" collapsed="false">
      <c r="A659" s="149" t="n">
        <f aca="false">IF(C659&lt;&gt;"",ROW(A654),"")</f>
        <v>654</v>
      </c>
      <c r="B659" s="150" t="str">
        <f aca="false">HYPERLINK("https://www.google.com/maps/dir/-15.917302,-47.760003/-15.9302937,-47.7685962/data=!4m3!4m2!3e0!5i0")</f>
        <v>https://www.google.com/maps/dir/-15.917302,-47.760003/-15.9302937,-47.7685962/data=!4m3!4m2!3e0!5i0</v>
      </c>
      <c r="C659" s="151" t="s">
        <v>117</v>
      </c>
      <c r="D659" s="152" t="s">
        <v>112</v>
      </c>
      <c r="E659" s="152" t="s">
        <v>113</v>
      </c>
      <c r="F659" s="152" t="s">
        <v>117</v>
      </c>
      <c r="G659" s="152" t="s">
        <v>114</v>
      </c>
      <c r="H659" s="152" t="n">
        <v>160</v>
      </c>
      <c r="I659" s="152" t="s">
        <v>115</v>
      </c>
      <c r="J659" s="152" t="s">
        <v>6</v>
      </c>
      <c r="K659" s="152" t="s">
        <v>3786</v>
      </c>
      <c r="L659" s="152" t="s">
        <v>120</v>
      </c>
      <c r="M659" s="153" t="n">
        <f aca="false">79.44</f>
        <v>79.44</v>
      </c>
      <c r="N659" s="152" t="s">
        <v>1548</v>
      </c>
      <c r="O659" s="152" t="s">
        <v>1549</v>
      </c>
      <c r="P659" s="152" t="s">
        <v>1550</v>
      </c>
      <c r="Q659" s="152" t="s">
        <v>1551</v>
      </c>
      <c r="R659" s="154" t="s">
        <v>4057</v>
      </c>
      <c r="S659" s="154" t="s">
        <v>1593</v>
      </c>
      <c r="T659" s="155" t="s">
        <v>4002</v>
      </c>
      <c r="U659" s="152" t="str">
        <f aca="false">RIGHT(T659,7)</f>
        <v>015/037</v>
      </c>
      <c r="V659" s="152" t="s">
        <v>1555</v>
      </c>
      <c r="W659" s="156" t="n">
        <v>45882</v>
      </c>
      <c r="X659" s="152" t="s">
        <v>1594</v>
      </c>
      <c r="Y659" s="152" t="s">
        <v>2387</v>
      </c>
      <c r="Z659" s="152" t="s">
        <v>1557</v>
      </c>
      <c r="AA659" s="153" t="n">
        <v>2.3</v>
      </c>
      <c r="AB659" s="151" t="s">
        <v>4058</v>
      </c>
      <c r="AC659" s="151" t="s">
        <v>505</v>
      </c>
      <c r="AD659" s="151" t="str">
        <f aca="false">CONCATENATE($C659,$I659,$H659,$N659,$J659,$K659)</f>
        <v>TUBO PEADPEAD160VCAREDESZona06</v>
      </c>
      <c r="AE659" s="153" t="n">
        <f aca="false">IFERROR(INDEX(APOIO_REDES!$A:$W,MATCH($C659&amp;$I659&amp;$H659&amp;$N659&amp;$O659,APOIO_REDES!$W:$W,0),MATCH(AE$5,APOIO_REDES!$5:$5,0)),0)</f>
        <v>1.2</v>
      </c>
      <c r="AF659" s="153" t="n">
        <f aca="false">IFERROR(INDEX(APOIO_REDES!$A:$W,MATCH($C659&amp;$I659&amp;$H659&amp;$N659&amp;$O659,APOIO_REDES!$W:$W,0),MATCH(AF$5,APOIO_REDES!$5:$5,0)),0)</f>
        <v>1.46</v>
      </c>
      <c r="AG659" s="153" t="n">
        <f aca="false">IFERROR(INDEX(APOIO_REDES!$A:$W,MATCH($C659&amp;$I659&amp;$H659&amp;$N659&amp;$O659,APOIO_REDES!$W:$W,0),MATCH(AG$5,APOIO_REDES!$5:$5,0)),0)</f>
        <v>0.75</v>
      </c>
      <c r="AH659" s="153" t="n">
        <f aca="false">IFERROR(INDEX(APOIO_REDES!$A:$W,MATCH($C659&amp;$I659&amp;$H659&amp;$N659&amp;$O659,APOIO_REDES!$W:$W,0),MATCH(AH$5,APOIO_REDES!$5:$5,0)),0)</f>
        <v>0.1</v>
      </c>
      <c r="AI659" s="153" t="n">
        <f aca="false">IFERROR(IF($H659&lt;&gt;"",(((($H659/1000)/2)^2)*PI()*$M659),0),0)</f>
        <v>1.59723597056751</v>
      </c>
      <c r="AJ659" s="153" t="n">
        <f aca="false">IFERROR(IF(AND($H659&lt;&gt;"",$I659="FoFo",OR($N659="MND",$N659="VCA"),$Q659="LINEAR"),0,IF(AND($H659&lt;&gt;"",$I659="PEAD",$N659="VCA",$Q659="LINEAR"),($H659/1000)+0.3,IF(AND($H659&lt;&gt;"",$I659="PEAD",$N659="MND",$Q659="EMBOQUE"),0,IF(AND($H659&lt;&gt;"",$I659="PVC",$N659="VCA",$Q659="LINEAR"),($H659/1000)+0.2,IF(AND($H659&lt;&gt;"",$I659="PVC",$N659="MND",$Q659="EMBOQUE"),0,IF(AND($H659&lt;&gt;"",$I659="PEAD",$N659="VCA",$Q659="PREDIAL"),0,0)))))),0)</f>
        <v>0.46</v>
      </c>
      <c r="AK659" s="153" t="n">
        <f aca="false">IF(AA659&lt;&gt;"",AA659,0)</f>
        <v>2.3</v>
      </c>
      <c r="AL659" s="153" t="n">
        <f aca="false">IF(AND($N659="MND",$Q659="EMBOQUE"),$M659,IF(AND($N659="VCA",$Q659="LINEAR"),$M659,IF(AND($N659="VCA",$Q659="PREDIAL"),0,0)))</f>
        <v>79.44</v>
      </c>
      <c r="AM659" s="153" t="n">
        <f aca="false">IF(AND($N659="MND",$Q659="EMBOQUE"),$M659,IF(AND($N659="VCA",$Q659="LINEAR"),$M659,IF(AND($N659="VCA",$Q659="PREDIAL"),0,0)))</f>
        <v>79.44</v>
      </c>
      <c r="AN659" s="153" t="n">
        <f aca="false">ROUND(IF(AND($N659="VCA",$M659&lt;&gt;"",$Q659="LINEAR"),$M659/100,IF(AND($N659="MND",$M659&gt;100,$Q659="EMBOQUE"),$M659/100,0)),0)</f>
        <v>1</v>
      </c>
      <c r="AO659" s="153" t="n">
        <f aca="false">IF(AND($N659="MND",$Q659="EMBOQUE"),$AN659*2*2,IF(AND($N659="VCA",$Q659="LINEAR"),$M659*2,IF(AND($N659="VCA",$Q659="PREDIAL"),0,0)))</f>
        <v>158.88</v>
      </c>
      <c r="AP659" s="153" t="n">
        <f aca="false">IFERROR($M659*$AF659*$AG659,0)</f>
        <v>86.9868</v>
      </c>
      <c r="AQ659" s="153" t="n">
        <f aca="false">IFERROR(IF(AND($N659="VCA",$AH659&gt;0),$M659*$AG659*$AH659,0),0)</f>
        <v>5.958</v>
      </c>
      <c r="AR659" s="153" t="n">
        <f aca="false">IFERROR(IF(AND($N659="VCA",$AJ659&gt;0),($M659*$AG659*$AJ659)-$AI659,0),0)</f>
        <v>25.8095640294325</v>
      </c>
      <c r="AS659" s="153" t="n">
        <f aca="false">IFERROR(IF(AND($N659="VCA",$AP659&gt;0),$AP659-$AI659-$AQ659-$AR659,0),0)</f>
        <v>53.622</v>
      </c>
      <c r="AT659" s="153" t="n">
        <f aca="false">IFERROR(IF($N659="VCA",INDEX(APOIO_REDES!$A:$W,MATCH($C659&amp;$I659&amp;$H659&amp;$N659&amp;$O659,APOIO_REDES!$W:$W,0),MATCH(AT$5,APOIO_REDES!$5:$5,0)),0)*$AP659,0)</f>
        <v>0.946442130778559</v>
      </c>
      <c r="AU659" s="153" t="n">
        <f aca="false">IFERROR(IF($N659="VCA",INDEX(APOIO_REDES!$A:$W,MATCH($C659&amp;$I659&amp;$H659&amp;$N659&amp;$O659,APOIO_REDES!$W:$W,0),MATCH(AU$5,APOIO_REDES!$5:$5,0)),0)*$AP659,0)</f>
        <v>0.755803052736078</v>
      </c>
      <c r="AV659" s="153" t="n">
        <f aca="false">IFERROR(IF($N659="VCA",INDEX(APOIO_REDES!$A:$W,MATCH($C659&amp;$I659&amp;$H659&amp;$N659&amp;$O659,APOIO_REDES!$W:$W,0),MATCH(AV$5,APOIO_REDES!$5:$5,0)),0)*$AP659,0)</f>
        <v>0.104597209212076</v>
      </c>
      <c r="AW659" s="153" t="n">
        <f aca="false">IFERROR(IF($N659="VCA",INDEX(APOIO_REDES!$A:$W,MATCH($C659&amp;$I659&amp;$H659&amp;$N659&amp;$O659,APOIO_REDES!$W:$W,0),MATCH(AW$5,APOIO_REDES!$5:$5,0)),0)*$AP659,0)</f>
        <v>59.7084135266163</v>
      </c>
      <c r="AX659" s="153" t="n">
        <f aca="false">IFERROR(IF($N659="VCA",INDEX(APOIO_REDES!$A:$W,MATCH($C659&amp;$I659&amp;$H659&amp;$N659&amp;$O659,APOIO_REDES!$W:$W,0),MATCH(AX$5,APOIO_REDES!$5:$5,0)),0)*$AP659,0)</f>
        <v>8.26347434944829</v>
      </c>
      <c r="AY659" s="153" t="n">
        <f aca="false">IFERROR(IF($N659="VCA",INDEX(APOIO_REDES!$A:$W,MATCH($C659&amp;$I659&amp;$H659&amp;$N659&amp;$O659,APOIO_REDES!$W:$W,0),MATCH(AY$5,APOIO_REDES!$5:$5,0)),0)*$AP659,0)</f>
        <v>15.1160518415436</v>
      </c>
      <c r="AZ659" s="153" t="n">
        <f aca="false">IFERROR(IF($N659="VCA",INDEX(APOIO_REDES!$A:$W,MATCH($C659&amp;$I659&amp;$H659&amp;$N659&amp;$O659,APOIO_REDES!$W:$W,0),MATCH(AZ$5,APOIO_REDES!$5:$5,0)),0)*$AP659,0)</f>
        <v>2.09201788966509</v>
      </c>
      <c r="BA659" s="153" t="n">
        <f aca="false">IFERROR(IF(AND($N659="VCA",$Q659="LINEAR"),INDEX(APOIO_REDES!$A:$W,MATCH($C659&amp;$I659&amp;$H659&amp;$N659&amp;$O659,APOIO_REDES!$W:$W,0),MATCH(BA$5,APOIO_REDES!$5:$5,0)),IF(AND($N659="MND",$Q659="EMBOQUE"),INDEX(APOIO_REDES!$A:$W,MATCH($C659&amp;$I659&amp;$H659&amp;$N659&amp;$O659,APOIO_REDES!$W:$W,0),MATCH(BA$5,APOIO_REDES!$5:$5,0)),0))*$M659/10,0)</f>
        <v>6.40266361893775</v>
      </c>
      <c r="BB659" s="153" t="n">
        <f aca="false">IFERROR(IF($N659="VCA",INDEX(APOIO_REDES!$A:$W,MATCH($C659&amp;$I659&amp;$H659&amp;$N659&amp;$O659,APOIO_REDES!$W:$W,0),MATCH(BB$5,APOIO_REDES!$5:$5,0)),0)*($AI659+$AQ659+$AR659),0)</f>
        <v>33.0017811005233</v>
      </c>
      <c r="BC659" s="153" t="n">
        <f aca="false">IFERROR(IF($N659="VCA",INDEX(APOIO_REDES!$A:$W,MATCH($C659&amp;$I659&amp;$H659&amp;$N659&amp;$O659,APOIO_REDES!$W:$W,0),MATCH(BC$5,APOIO_REDES!$5:$5,0)),0)*($AI659+$AQ659+$AR659),0)</f>
        <v>0.363018899476707</v>
      </c>
      <c r="BD659" s="153" t="n">
        <f aca="false">IF(AND($N659="VCA",$AF659&gt;=1.25,$AF659&lt;1.5),$M659*$AF659*2,0)</f>
        <v>231.9648</v>
      </c>
      <c r="BE659" s="153" t="n">
        <f aca="false">IF(AND($N659="VCA",$AF659&gt;=1.5,$AF659&lt;3),$M659*$AF659*2,0)</f>
        <v>0</v>
      </c>
      <c r="BF659" s="153" t="n">
        <f aca="false">IF(AND($N659="VCA",$AF659&gt;=3),$M659*$AF659*2,0)</f>
        <v>0</v>
      </c>
      <c r="BG659" s="153" t="n">
        <f aca="false">($BB659+$BC659)*$AK659</f>
        <v>76.73904</v>
      </c>
      <c r="BH659" s="153" t="n">
        <f aca="false">IF(AND($M659&lt;&gt;"",$N659="VCA",$Q659="LINEAR"),($M659*2)/100,IF(AND($M659&lt;&gt;"",$N659="MND",$Q659="EMBOQUE"),($AN659*2)/100,0))</f>
        <v>1.5888</v>
      </c>
      <c r="BI659" s="153" t="n">
        <f aca="false">IF(AND($M659&lt;&gt;"",$N659="VCA",$Q659="LINEAR"),$M659,IF(AND($M659&lt;&gt;"",$N659="MND",$Q659="EMBOQUE"),$AN659*2,0))</f>
        <v>79.44</v>
      </c>
      <c r="BJ659" s="153" t="n">
        <f aca="false">IF(AND($M659&lt;&gt;"",$N659="VCA",$Q659="LINEAR"),($M659*6.8)/100,IF(AND($M659&lt;&gt;"",$N659="MND",$Q659="EMBOQUE"),($AN659*2*6.8)/100,0))</f>
        <v>5.40192</v>
      </c>
      <c r="BK659" s="153" t="n">
        <f aca="false">IF(AND($M659&lt;&gt;"",$N659="VCA",$Q659="LINEAR"),($M659*2.5)/50,IF(AND($M659&lt;&gt;"",$N659="MND",$Q659="EMBOQUE"),($AN659*2*2.5)/50,0))</f>
        <v>3.972</v>
      </c>
      <c r="BL659" s="157" t="str">
        <f aca="false">K659&amp;J659</f>
        <v>Zona06REDES</v>
      </c>
      <c r="BM659" s="152" t="s">
        <v>3790</v>
      </c>
      <c r="BN659" s="152" t="s">
        <v>1560</v>
      </c>
      <c r="BO659" s="152" t="s">
        <v>4004</v>
      </c>
      <c r="BP659" s="152" t="s">
        <v>4040</v>
      </c>
      <c r="BQ659" s="152" t="s">
        <v>4059</v>
      </c>
      <c r="BR659" s="152" t="s">
        <v>4060</v>
      </c>
      <c r="BS659" s="152" t="n">
        <v>203582.416</v>
      </c>
      <c r="BT659" s="152" t="n">
        <v>8236808.388</v>
      </c>
      <c r="BU659" s="152" t="n">
        <v>203538.953</v>
      </c>
      <c r="BV659" s="152" t="n">
        <v>8236742.2</v>
      </c>
      <c r="BW659" s="152" t="n">
        <v>-15.9305761</v>
      </c>
      <c r="BX659" s="152" t="n">
        <v>-47.768824</v>
      </c>
      <c r="BY659" s="152" t="s">
        <v>4040</v>
      </c>
    </row>
    <row r="660" customFormat="false" ht="13.8" hidden="false" customHeight="false" outlineLevel="0" collapsed="false">
      <c r="A660" s="149" t="n">
        <f aca="false">IF(C660&lt;&gt;"",ROW(A655),"")</f>
        <v>655</v>
      </c>
      <c r="B660" s="150" t="str">
        <f aca="false">HYPERLINK("https://www.google.com/maps/dir/-15.917302,-47.760003/-15.9308126,-47.7672888/data=!4m3!4m2!3e0!5i0")</f>
        <v>https://www.google.com/maps/dir/-15.917302,-47.760003/-15.9308126,-47.7672888/data=!4m3!4m2!3e0!5i0</v>
      </c>
      <c r="C660" s="151" t="s">
        <v>117</v>
      </c>
      <c r="D660" s="152" t="s">
        <v>112</v>
      </c>
      <c r="E660" s="152" t="s">
        <v>113</v>
      </c>
      <c r="F660" s="152" t="s">
        <v>117</v>
      </c>
      <c r="G660" s="152" t="s">
        <v>782</v>
      </c>
      <c r="H660" s="152" t="n">
        <v>63</v>
      </c>
      <c r="I660" s="152" t="s">
        <v>115</v>
      </c>
      <c r="J660" s="152" t="s">
        <v>6</v>
      </c>
      <c r="K660" s="152" t="s">
        <v>3786</v>
      </c>
      <c r="L660" s="152" t="s">
        <v>120</v>
      </c>
      <c r="M660" s="153" t="n">
        <f aca="false">45.03</f>
        <v>45.03</v>
      </c>
      <c r="N660" s="152" t="s">
        <v>1548</v>
      </c>
      <c r="O660" s="152" t="s">
        <v>1549</v>
      </c>
      <c r="P660" s="152" t="s">
        <v>1550</v>
      </c>
      <c r="Q660" s="152" t="s">
        <v>1551</v>
      </c>
      <c r="R660" s="154" t="s">
        <v>4061</v>
      </c>
      <c r="S660" s="154" t="s">
        <v>1553</v>
      </c>
      <c r="T660" s="155" t="s">
        <v>4002</v>
      </c>
      <c r="U660" s="152" t="str">
        <f aca="false">RIGHT(T660,7)</f>
        <v>015/037</v>
      </c>
      <c r="V660" s="152" t="s">
        <v>1555</v>
      </c>
      <c r="W660" s="156" t="n">
        <v>45882</v>
      </c>
      <c r="X660" s="152" t="s">
        <v>1594</v>
      </c>
      <c r="Y660" s="152" t="s">
        <v>4062</v>
      </c>
      <c r="Z660" s="152" t="s">
        <v>1557</v>
      </c>
      <c r="AA660" s="153" t="n">
        <v>2.4</v>
      </c>
      <c r="AB660" s="151" t="s">
        <v>4063</v>
      </c>
      <c r="AC660" s="151" t="s">
        <v>186</v>
      </c>
      <c r="AD660" s="151" t="str">
        <f aca="false">CONCATENATE($C660,$I660,$H660,$N660,$J660,$K660)</f>
        <v>TUBO PEADPEAD63VCAREDESZona06</v>
      </c>
      <c r="AE660" s="153" t="n">
        <f aca="false">IFERROR(INDEX(APOIO_REDES!$A:$W,MATCH($C660&amp;$I660&amp;$H660&amp;$N660&amp;$O660,APOIO_REDES!$W:$W,0),MATCH(AE$5,APOIO_REDES!$5:$5,0)),0)</f>
        <v>1.2</v>
      </c>
      <c r="AF660" s="153" t="n">
        <f aca="false">IFERROR(INDEX(APOIO_REDES!$A:$W,MATCH($C660&amp;$I660&amp;$H660&amp;$N660&amp;$O660,APOIO_REDES!$W:$W,0),MATCH(AF$5,APOIO_REDES!$5:$5,0)),0)</f>
        <v>1.363</v>
      </c>
      <c r="AG660" s="153" t="n">
        <f aca="false">IFERROR(INDEX(APOIO_REDES!$A:$W,MATCH($C660&amp;$I660&amp;$H660&amp;$N660&amp;$O660,APOIO_REDES!$W:$W,0),MATCH(AG$5,APOIO_REDES!$5:$5,0)),0)</f>
        <v>0.65</v>
      </c>
      <c r="AH660" s="153" t="n">
        <f aca="false">IFERROR(INDEX(APOIO_REDES!$A:$W,MATCH($C660&amp;$I660&amp;$H660&amp;$N660&amp;$O660,APOIO_REDES!$W:$W,0),MATCH(AH$5,APOIO_REDES!$5:$5,0)),0)</f>
        <v>0.1</v>
      </c>
      <c r="AI660" s="153" t="n">
        <f aca="false">IFERROR(IF($H660&lt;&gt;"",(((($H660/1000)/2)^2)*PI()*$M660),0),0)</f>
        <v>0.140369556332917</v>
      </c>
      <c r="AJ660" s="153" t="n">
        <f aca="false">IFERROR(IF(AND($H660&lt;&gt;"",$I660="FoFo",OR($N660="MND",$N660="VCA"),$Q660="LINEAR"),0,IF(AND($H660&lt;&gt;"",$I660="PEAD",$N660="VCA",$Q660="LINEAR"),($H660/1000)+0.3,IF(AND($H660&lt;&gt;"",$I660="PEAD",$N660="MND",$Q660="EMBOQUE"),0,IF(AND($H660&lt;&gt;"",$I660="PVC",$N660="VCA",$Q660="LINEAR"),($H660/1000)+0.2,IF(AND($H660&lt;&gt;"",$I660="PVC",$N660="MND",$Q660="EMBOQUE"),0,IF(AND($H660&lt;&gt;"",$I660="PEAD",$N660="VCA",$Q660="PREDIAL"),0,0)))))),0)</f>
        <v>0.363</v>
      </c>
      <c r="AK660" s="153" t="n">
        <f aca="false">IF(AA660&lt;&gt;"",AA660,0)</f>
        <v>2.4</v>
      </c>
      <c r="AL660" s="153" t="n">
        <f aca="false">IF(AND($N660="MND",$Q660="EMBOQUE"),$M660,IF(AND($N660="VCA",$Q660="LINEAR"),$M660,IF(AND($N660="VCA",$Q660="PREDIAL"),0,0)))</f>
        <v>45.03</v>
      </c>
      <c r="AM660" s="153" t="n">
        <f aca="false">IF(AND($N660="MND",$Q660="EMBOQUE"),$M660,IF(AND($N660="VCA",$Q660="LINEAR"),$M660,IF(AND($N660="VCA",$Q660="PREDIAL"),0,0)))</f>
        <v>45.03</v>
      </c>
      <c r="AN660" s="153" t="n">
        <f aca="false">ROUND(IF(AND($N660="VCA",$M660&lt;&gt;"",$Q660="LINEAR"),$M660/100,IF(AND($N660="MND",$M660&gt;100,$Q660="EMBOQUE"),$M660/100,0)),0)</f>
        <v>0</v>
      </c>
      <c r="AO660" s="153" t="n">
        <f aca="false">IF(AND($N660="MND",$Q660="EMBOQUE"),$AN660*2*2,IF(AND($N660="VCA",$Q660="LINEAR"),$M660*2,IF(AND($N660="VCA",$Q660="PREDIAL"),0,0)))</f>
        <v>90.06</v>
      </c>
      <c r="AP660" s="153" t="n">
        <f aca="false">IFERROR($M660*$AF660*$AG660,0)</f>
        <v>39.8943285</v>
      </c>
      <c r="AQ660" s="153" t="n">
        <f aca="false">IFERROR(IF(AND($N660="VCA",$AH660&gt;0),$M660*$AG660*$AH660,0),0)</f>
        <v>2.92695</v>
      </c>
      <c r="AR660" s="153" t="n">
        <f aca="false">IFERROR(IF(AND($N660="VCA",$AJ660&gt;0),($M660*$AG660*$AJ660)-$AI660,0),0)</f>
        <v>10.4844589436671</v>
      </c>
      <c r="AS660" s="153" t="n">
        <f aca="false">IFERROR(IF(AND($N660="VCA",$AP660&gt;0),$AP660-$AI660-$AQ660-$AR660,0),0)</f>
        <v>26.34255</v>
      </c>
      <c r="AT660" s="153" t="n">
        <f aca="false">IFERROR(IF($N660="VCA",INDEX(APOIO_REDES!$A:$W,MATCH($C660&amp;$I660&amp;$H660&amp;$N660&amp;$O660,APOIO_REDES!$W:$W,0),MATCH(AT$5,APOIO_REDES!$5:$5,0)),0)*$AP660,0)</f>
        <v>0.434062102198492</v>
      </c>
      <c r="AU660" s="153" t="n">
        <f aca="false">IFERROR(IF($N660="VCA",INDEX(APOIO_REDES!$A:$W,MATCH($C660&amp;$I660&amp;$H660&amp;$N660&amp;$O660,APOIO_REDES!$W:$W,0),MATCH(AU$5,APOIO_REDES!$5:$5,0)),0)*$AP660,0)</f>
        <v>0.3466302389231</v>
      </c>
      <c r="AV660" s="153" t="n">
        <f aca="false">IFERROR(IF($N660="VCA",INDEX(APOIO_REDES!$A:$W,MATCH($C660&amp;$I660&amp;$H660&amp;$N660&amp;$O660,APOIO_REDES!$W:$W,0),MATCH(AV$5,APOIO_REDES!$5:$5,0)),0)*$AP660,0)</f>
        <v>0.0479709039128903</v>
      </c>
      <c r="AW660" s="153" t="n">
        <f aca="false">IFERROR(IF($N660="VCA",INDEX(APOIO_REDES!$A:$W,MATCH($C660&amp;$I660&amp;$H660&amp;$N660&amp;$O660,APOIO_REDES!$W:$W,0),MATCH(AW$5,APOIO_REDES!$5:$5,0)),0)*$AP660,0)</f>
        <v>27.3837761987414</v>
      </c>
      <c r="AX660" s="153" t="n">
        <f aca="false">IFERROR(IF($N660="VCA",INDEX(APOIO_REDES!$A:$W,MATCH($C660&amp;$I660&amp;$H660&amp;$N660&amp;$O660,APOIO_REDES!$W:$W,0),MATCH(AX$5,APOIO_REDES!$5:$5,0)),0)*$AP660,0)</f>
        <v>3.78983662174277</v>
      </c>
      <c r="AY660" s="153" t="n">
        <f aca="false">IFERROR(IF($N660="VCA",INDEX(APOIO_REDES!$A:$W,MATCH($C660&amp;$I660&amp;$H660&amp;$N660&amp;$O660,APOIO_REDES!$W:$W,0),MATCH(AY$5,APOIO_REDES!$5:$5,0)),0)*$AP660,0)</f>
        <v>6.93260055306749</v>
      </c>
      <c r="AZ660" s="153" t="n">
        <f aca="false">IFERROR(IF($N660="VCA",INDEX(APOIO_REDES!$A:$W,MATCH($C660&amp;$I660&amp;$H660&amp;$N660&amp;$O660,APOIO_REDES!$W:$W,0),MATCH(AZ$5,APOIO_REDES!$5:$5,0)),0)*$AP660,0)</f>
        <v>0.959451881413914</v>
      </c>
      <c r="BA660" s="153" t="n">
        <f aca="false">IFERROR(IF(AND($N660="VCA",$Q660="LINEAR"),INDEX(APOIO_REDES!$A:$W,MATCH($C660&amp;$I660&amp;$H660&amp;$N660&amp;$O660,APOIO_REDES!$W:$W,0),MATCH(BA$5,APOIO_REDES!$5:$5,0)),IF(AND($N660="MND",$Q660="EMBOQUE"),INDEX(APOIO_REDES!$A:$W,MATCH($C660&amp;$I660&amp;$H660&amp;$N660&amp;$O660,APOIO_REDES!$W:$W,0),MATCH(BA$5,APOIO_REDES!$5:$5,0)),0))*$M660/10,0)</f>
        <v>3.62930441541751</v>
      </c>
      <c r="BB660" s="153" t="n">
        <f aca="false">IFERROR(IF($N660="VCA",INDEX(APOIO_REDES!$A:$W,MATCH($C660&amp;$I660&amp;$H660&amp;$N660&amp;$O660,APOIO_REDES!$W:$W,0),MATCH(BB$5,APOIO_REDES!$5:$5,0)),0)*($AI660+$AQ660+$AR660),0)</f>
        <v>13.4043311387983</v>
      </c>
      <c r="BC660" s="153" t="n">
        <f aca="false">IFERROR(IF($N660="VCA",INDEX(APOIO_REDES!$A:$W,MATCH($C660&amp;$I660&amp;$H660&amp;$N660&amp;$O660,APOIO_REDES!$W:$W,0),MATCH(BC$5,APOIO_REDES!$5:$5,0)),0)*($AI660+$AQ660+$AR660),0)</f>
        <v>0.147447361201689</v>
      </c>
      <c r="BD660" s="153" t="n">
        <f aca="false">IF(AND($N660="VCA",$AF660&gt;=1.25,$AF660&lt;1.5),$M660*$AF660*2,0)</f>
        <v>122.75178</v>
      </c>
      <c r="BE660" s="153" t="n">
        <f aca="false">IF(AND($N660="VCA",$AF660&gt;=1.5,$AF660&lt;3),$M660*$AF660*2,0)</f>
        <v>0</v>
      </c>
      <c r="BF660" s="153" t="n">
        <f aca="false">IF(AND($N660="VCA",$AF660&gt;=3),$M660*$AF660*2,0)</f>
        <v>0</v>
      </c>
      <c r="BG660" s="153" t="n">
        <f aca="false">($BB660+$BC660)*$AK660</f>
        <v>32.5242684</v>
      </c>
      <c r="BH660" s="153" t="n">
        <f aca="false">IF(AND($M660&lt;&gt;"",$N660="VCA",$Q660="LINEAR"),($M660*2)/100,IF(AND($M660&lt;&gt;"",$N660="MND",$Q660="EMBOQUE"),($AN660*2)/100,0))</f>
        <v>0.9006</v>
      </c>
      <c r="BI660" s="153" t="n">
        <f aca="false">IF(AND($M660&lt;&gt;"",$N660="VCA",$Q660="LINEAR"),$M660,IF(AND($M660&lt;&gt;"",$N660="MND",$Q660="EMBOQUE"),$AN660*2,0))</f>
        <v>45.03</v>
      </c>
      <c r="BJ660" s="153" t="n">
        <f aca="false">IF(AND($M660&lt;&gt;"",$N660="VCA",$Q660="LINEAR"),($M660*6.8)/100,IF(AND($M660&lt;&gt;"",$N660="MND",$Q660="EMBOQUE"),($AN660*2*6.8)/100,0))</f>
        <v>3.06204</v>
      </c>
      <c r="BK660" s="153" t="n">
        <f aca="false">IF(AND($M660&lt;&gt;"",$N660="VCA",$Q660="LINEAR"),($M660*2.5)/50,IF(AND($M660&lt;&gt;"",$N660="MND",$Q660="EMBOQUE"),($AN660*2*2.5)/50,0))</f>
        <v>2.2515</v>
      </c>
      <c r="BL660" s="157" t="str">
        <f aca="false">K660&amp;J660</f>
        <v>Zona06REDES</v>
      </c>
      <c r="BM660" s="152" t="s">
        <v>3790</v>
      </c>
      <c r="BN660" s="152" t="s">
        <v>1560</v>
      </c>
      <c r="BO660" s="152" t="s">
        <v>4004</v>
      </c>
      <c r="BP660" s="152" t="s">
        <v>4053</v>
      </c>
      <c r="BQ660" s="152" t="s">
        <v>4036</v>
      </c>
      <c r="BR660" s="152" t="s">
        <v>4064</v>
      </c>
      <c r="BS660" s="152" t="n">
        <v>203723.249</v>
      </c>
      <c r="BT660" s="152" t="n">
        <v>8236752.784</v>
      </c>
      <c r="BU660" s="152" t="n">
        <v>203757.612</v>
      </c>
      <c r="BV660" s="152" t="n">
        <v>8236781.883</v>
      </c>
      <c r="BW660" s="152" t="n">
        <v>-15.9306833</v>
      </c>
      <c r="BX660" s="152" t="n">
        <v>-47.7671266</v>
      </c>
      <c r="BY660" s="152" t="s">
        <v>4053</v>
      </c>
    </row>
    <row r="661" customFormat="false" ht="13.8" hidden="false" customHeight="false" outlineLevel="0" collapsed="false">
      <c r="A661" s="149" t="n">
        <f aca="false">IF(C661&lt;&gt;"",ROW(A656),"")</f>
        <v>656</v>
      </c>
      <c r="B661" s="150" t="str">
        <f aca="false">HYPERLINK("https://www.google.com/maps/dir/-15.917302,-47.760003/-15.9307309,-47.7688714/data=!4m3!4m2!3e0!5i0")</f>
        <v>https://www.google.com/maps/dir/-15.917302,-47.760003/-15.9307309,-47.7688714/data=!4m3!4m2!3e0!5i0</v>
      </c>
      <c r="C661" s="151" t="s">
        <v>117</v>
      </c>
      <c r="D661" s="152" t="s">
        <v>112</v>
      </c>
      <c r="E661" s="152" t="s">
        <v>113</v>
      </c>
      <c r="F661" s="152" t="s">
        <v>117</v>
      </c>
      <c r="G661" s="152" t="s">
        <v>114</v>
      </c>
      <c r="H661" s="152" t="n">
        <v>225</v>
      </c>
      <c r="I661" s="152" t="s">
        <v>115</v>
      </c>
      <c r="J661" s="152" t="s">
        <v>6</v>
      </c>
      <c r="K661" s="152" t="s">
        <v>3786</v>
      </c>
      <c r="L661" s="152" t="s">
        <v>120</v>
      </c>
      <c r="M661" s="153" t="n">
        <f aca="false">5.34</f>
        <v>5.34</v>
      </c>
      <c r="N661" s="152" t="s">
        <v>1548</v>
      </c>
      <c r="O661" s="152" t="s">
        <v>1549</v>
      </c>
      <c r="P661" s="152" t="s">
        <v>1550</v>
      </c>
      <c r="Q661" s="152" t="s">
        <v>1551</v>
      </c>
      <c r="R661" s="154" t="s">
        <v>4065</v>
      </c>
      <c r="S661" s="154" t="s">
        <v>1593</v>
      </c>
      <c r="T661" s="155" t="s">
        <v>4002</v>
      </c>
      <c r="U661" s="152" t="str">
        <f aca="false">RIGHT(T661,7)</f>
        <v>015/037</v>
      </c>
      <c r="V661" s="152" t="s">
        <v>1555</v>
      </c>
      <c r="W661" s="156" t="n">
        <v>45882</v>
      </c>
      <c r="X661" s="152" t="s">
        <v>1594</v>
      </c>
      <c r="Y661" s="152" t="s">
        <v>4030</v>
      </c>
      <c r="Z661" s="152" t="s">
        <v>1557</v>
      </c>
      <c r="AA661" s="153" t="n">
        <v>2.4</v>
      </c>
      <c r="AB661" s="151" t="s">
        <v>4066</v>
      </c>
      <c r="AC661" s="151" t="s">
        <v>508</v>
      </c>
      <c r="AD661" s="151" t="str">
        <f aca="false">CONCATENATE($C661,$I661,$H661,$N661,$J661,$K661)</f>
        <v>TUBO PEADPEAD225VCAREDESZona06</v>
      </c>
      <c r="AE661" s="153" t="n">
        <f aca="false">IFERROR(INDEX(APOIO_REDES!$A:$W,MATCH($C661&amp;$I661&amp;$H661&amp;$N661&amp;$O661,APOIO_REDES!$W:$W,0),MATCH(AE$5,APOIO_REDES!$5:$5,0)),0)</f>
        <v>1.2</v>
      </c>
      <c r="AF661" s="153" t="n">
        <f aca="false">IFERROR(INDEX(APOIO_REDES!$A:$W,MATCH($C661&amp;$I661&amp;$H661&amp;$N661&amp;$O661,APOIO_REDES!$W:$W,0),MATCH(AF$5,APOIO_REDES!$5:$5,0)),0)</f>
        <v>1.525</v>
      </c>
      <c r="AG661" s="153" t="n">
        <f aca="false">IFERROR(INDEX(APOIO_REDES!$A:$W,MATCH($C661&amp;$I661&amp;$H661&amp;$N661&amp;$O661,APOIO_REDES!$W:$W,0),MATCH(AG$5,APOIO_REDES!$5:$5,0)),0)</f>
        <v>0.8</v>
      </c>
      <c r="AH661" s="153" t="n">
        <f aca="false">IFERROR(INDEX(APOIO_REDES!$A:$W,MATCH($C661&amp;$I661&amp;$H661&amp;$N661&amp;$O661,APOIO_REDES!$W:$W,0),MATCH(AH$5,APOIO_REDES!$5:$5,0)),0)</f>
        <v>0.1</v>
      </c>
      <c r="AI661" s="153" t="n">
        <f aca="false">IFERROR(IF($H661&lt;&gt;"",(((($H661/1000)/2)^2)*PI()*$M661),0),0)</f>
        <v>0.212322575997458</v>
      </c>
      <c r="AJ661" s="153" t="n">
        <f aca="false">IFERROR(IF(AND($H661&lt;&gt;"",$I661="FoFo",OR($N661="MND",$N661="VCA"),$Q661="LINEAR"),0,IF(AND($H661&lt;&gt;"",$I661="PEAD",$N661="VCA",$Q661="LINEAR"),($H661/1000)+0.3,IF(AND($H661&lt;&gt;"",$I661="PEAD",$N661="MND",$Q661="EMBOQUE"),0,IF(AND($H661&lt;&gt;"",$I661="PVC",$N661="VCA",$Q661="LINEAR"),($H661/1000)+0.2,IF(AND($H661&lt;&gt;"",$I661="PVC",$N661="MND",$Q661="EMBOQUE"),0,IF(AND($H661&lt;&gt;"",$I661="PEAD",$N661="VCA",$Q661="PREDIAL"),0,0)))))),0)</f>
        <v>0.525</v>
      </c>
      <c r="AK661" s="153" t="n">
        <f aca="false">IF(AA661&lt;&gt;"",AA661,0)</f>
        <v>2.4</v>
      </c>
      <c r="AL661" s="153" t="n">
        <f aca="false">IF(AND($N661="MND",$Q661="EMBOQUE"),$M661,IF(AND($N661="VCA",$Q661="LINEAR"),$M661,IF(AND($N661="VCA",$Q661="PREDIAL"),0,0)))</f>
        <v>5.34</v>
      </c>
      <c r="AM661" s="153" t="n">
        <f aca="false">IF(AND($N661="MND",$Q661="EMBOQUE"),$M661,IF(AND($N661="VCA",$Q661="LINEAR"),$M661,IF(AND($N661="VCA",$Q661="PREDIAL"),0,0)))</f>
        <v>5.34</v>
      </c>
      <c r="AN661" s="153" t="n">
        <f aca="false">ROUND(IF(AND($N661="VCA",$M661&lt;&gt;"",$Q661="LINEAR"),$M661/100,IF(AND($N661="MND",$M661&gt;100,$Q661="EMBOQUE"),$M661/100,0)),0)</f>
        <v>0</v>
      </c>
      <c r="AO661" s="153" t="n">
        <f aca="false">IF(AND($N661="MND",$Q661="EMBOQUE"),$AN661*2*2,IF(AND($N661="VCA",$Q661="LINEAR"),$M661*2,IF(AND($N661="VCA",$Q661="PREDIAL"),0,0)))</f>
        <v>10.68</v>
      </c>
      <c r="AP661" s="153" t="n">
        <f aca="false">IFERROR($M661*$AF661*$AG661,0)</f>
        <v>6.5148</v>
      </c>
      <c r="AQ661" s="153" t="n">
        <f aca="false">IFERROR(IF(AND($N661="VCA",$AH661&gt;0),$M661*$AG661*$AH661,0),0)</f>
        <v>0.4272</v>
      </c>
      <c r="AR661" s="153" t="n">
        <f aca="false">IFERROR(IF(AND($N661="VCA",$AJ661&gt;0),($M661*$AG661*$AJ661)-$AI661,0),0)</f>
        <v>2.03047742400254</v>
      </c>
      <c r="AS661" s="153" t="n">
        <f aca="false">IFERROR(IF(AND($N661="VCA",$AP661&gt;0),$AP661-$AI661-$AQ661-$AR661,0),0)</f>
        <v>3.8448</v>
      </c>
      <c r="AT661" s="153" t="n">
        <f aca="false">IFERROR(IF($N661="VCA",INDEX(APOIO_REDES!$A:$W,MATCH($C661&amp;$I661&amp;$H661&amp;$N661&amp;$O661,APOIO_REDES!$W:$W,0),MATCH(AT$5,APOIO_REDES!$5:$5,0)),0)*$AP661,0)</f>
        <v>0.0708829522823711</v>
      </c>
      <c r="AU661" s="153" t="n">
        <f aca="false">IFERROR(IF($N661="VCA",INDEX(APOIO_REDES!$A:$W,MATCH($C661&amp;$I661&amp;$H661&amp;$N661&amp;$O661,APOIO_REDES!$W:$W,0),MATCH(AU$5,APOIO_REDES!$5:$5,0)),0)*$AP661,0)</f>
        <v>0.0566052059388896</v>
      </c>
      <c r="AV661" s="153" t="n">
        <f aca="false">IFERROR(IF($N661="VCA",INDEX(APOIO_REDES!$A:$W,MATCH($C661&amp;$I661&amp;$H661&amp;$N661&amp;$O661,APOIO_REDES!$W:$W,0),MATCH(AV$5,APOIO_REDES!$5:$5,0)),0)*$AP661,0)</f>
        <v>0.00783371613365287</v>
      </c>
      <c r="AW661" s="153" t="n">
        <f aca="false">IFERROR(IF($N661="VCA",INDEX(APOIO_REDES!$A:$W,MATCH($C661&amp;$I661&amp;$H661&amp;$N661&amp;$O661,APOIO_REDES!$W:$W,0),MATCH(AW$5,APOIO_REDES!$5:$5,0)),0)*$AP661,0)</f>
        <v>4.47180919913366</v>
      </c>
      <c r="AX661" s="153" t="n">
        <f aca="false">IFERROR(IF($N661="VCA",INDEX(APOIO_REDES!$A:$W,MATCH($C661&amp;$I661&amp;$H661&amp;$N661&amp;$O661,APOIO_REDES!$W:$W,0),MATCH(AX$5,APOIO_REDES!$5:$5,0)),0)*$AP661,0)</f>
        <v>0.618885654970475</v>
      </c>
      <c r="AY661" s="153" t="n">
        <f aca="false">IFERROR(IF($N661="VCA",INDEX(APOIO_REDES!$A:$W,MATCH($C661&amp;$I661&amp;$H661&amp;$N661&amp;$O661,APOIO_REDES!$W:$W,0),MATCH(AY$5,APOIO_REDES!$5:$5,0)),0)*$AP661,0)</f>
        <v>1.13210342876492</v>
      </c>
      <c r="AZ661" s="153" t="n">
        <f aca="false">IFERROR(IF($N661="VCA",INDEX(APOIO_REDES!$A:$W,MATCH($C661&amp;$I661&amp;$H661&amp;$N661&amp;$O661,APOIO_REDES!$W:$W,0),MATCH(AZ$5,APOIO_REDES!$5:$5,0)),0)*$AP661,0)</f>
        <v>0.156679842776032</v>
      </c>
      <c r="BA661" s="153" t="n">
        <f aca="false">IFERROR(IF(AND($N661="VCA",$Q661="LINEAR"),INDEX(APOIO_REDES!$A:$W,MATCH($C661&amp;$I661&amp;$H661&amp;$N661&amp;$O661,APOIO_REDES!$W:$W,0),MATCH(BA$5,APOIO_REDES!$5:$5,0)),IF(AND($N661="MND",$Q661="EMBOQUE"),INDEX(APOIO_REDES!$A:$W,MATCH($C661&amp;$I661&amp;$H661&amp;$N661&amp;$O661,APOIO_REDES!$W:$W,0),MATCH(BA$5,APOIO_REDES!$5:$5,0)),0))*$M661/10,0)</f>
        <v>0.430390530276027</v>
      </c>
      <c r="BB661" s="153" t="n">
        <f aca="false">IFERROR(IF($N661="VCA",INDEX(APOIO_REDES!$A:$W,MATCH($C661&amp;$I661&amp;$H661&amp;$N661&amp;$O661,APOIO_REDES!$W:$W,0),MATCH(BB$5,APOIO_REDES!$5:$5,0)),0)*($AI661+$AQ661+$AR661),0)</f>
        <v>2.64094960972034</v>
      </c>
      <c r="BC661" s="153" t="n">
        <f aca="false">IFERROR(IF($N661="VCA",INDEX(APOIO_REDES!$A:$W,MATCH($C661&amp;$I661&amp;$H661&amp;$N661&amp;$O661,APOIO_REDES!$W:$W,0),MATCH(BC$5,APOIO_REDES!$5:$5,0)),0)*($AI661+$AQ661+$AR661),0)</f>
        <v>0.0290503902796603</v>
      </c>
      <c r="BD661" s="153" t="n">
        <f aca="false">IF(AND($N661="VCA",$AF661&gt;=1.25,$AF661&lt;1.5),$M661*$AF661*2,0)</f>
        <v>0</v>
      </c>
      <c r="BE661" s="153" t="n">
        <f aca="false">IF(AND($N661="VCA",$AF661&gt;=1.5,$AF661&lt;3),$M661*$AF661*2,0)</f>
        <v>16.287</v>
      </c>
      <c r="BF661" s="153" t="n">
        <f aca="false">IF(AND($N661="VCA",$AF661&gt;=3),$M661*$AF661*2,0)</f>
        <v>0</v>
      </c>
      <c r="BG661" s="153" t="n">
        <f aca="false">($BB661+$BC661)*$AK661</f>
        <v>6.408</v>
      </c>
      <c r="BH661" s="153" t="n">
        <f aca="false">IF(AND($M661&lt;&gt;"",$N661="VCA",$Q661="LINEAR"),($M661*2)/100,IF(AND($M661&lt;&gt;"",$N661="MND",$Q661="EMBOQUE"),($AN661*2)/100,0))</f>
        <v>0.1068</v>
      </c>
      <c r="BI661" s="153" t="n">
        <f aca="false">IF(AND($M661&lt;&gt;"",$N661="VCA",$Q661="LINEAR"),$M661,IF(AND($M661&lt;&gt;"",$N661="MND",$Q661="EMBOQUE"),$AN661*2,0))</f>
        <v>5.34</v>
      </c>
      <c r="BJ661" s="153" t="n">
        <f aca="false">IF(AND($M661&lt;&gt;"",$N661="VCA",$Q661="LINEAR"),($M661*6.8)/100,IF(AND($M661&lt;&gt;"",$N661="MND",$Q661="EMBOQUE"),($AN661*2*6.8)/100,0))</f>
        <v>0.36312</v>
      </c>
      <c r="BK661" s="153" t="n">
        <f aca="false">IF(AND($M661&lt;&gt;"",$N661="VCA",$Q661="LINEAR"),($M661*2.5)/50,IF(AND($M661&lt;&gt;"",$N661="MND",$Q661="EMBOQUE"),($AN661*2*2.5)/50,0))</f>
        <v>0.267</v>
      </c>
      <c r="BL661" s="157" t="str">
        <f aca="false">K661&amp;J661</f>
        <v>Zona06REDES</v>
      </c>
      <c r="BM661" s="152" t="s">
        <v>3790</v>
      </c>
      <c r="BN661" s="152" t="s">
        <v>1560</v>
      </c>
      <c r="BO661" s="152" t="s">
        <v>4004</v>
      </c>
      <c r="BP661" s="152" t="s">
        <v>4032</v>
      </c>
      <c r="BQ661" s="152" t="s">
        <v>4067</v>
      </c>
      <c r="BR661" s="152" t="s">
        <v>4068</v>
      </c>
      <c r="BS661" s="152" t="n">
        <v>203553.599</v>
      </c>
      <c r="BT661" s="152" t="n">
        <v>8236759.565</v>
      </c>
      <c r="BU661" s="152" t="n">
        <v>203551.148</v>
      </c>
      <c r="BV661" s="152" t="n">
        <v>8236754.82</v>
      </c>
      <c r="BW661" s="152" t="n">
        <v>-15.9307523</v>
      </c>
      <c r="BX661" s="152" t="n">
        <v>-47.7688829</v>
      </c>
      <c r="BY661" s="152" t="s">
        <v>4032</v>
      </c>
    </row>
    <row r="662" customFormat="false" ht="13.8" hidden="false" customHeight="false" outlineLevel="0" collapsed="false">
      <c r="A662" s="149" t="n">
        <f aca="false">IF(C662&lt;&gt;"",ROW(A657),"")</f>
        <v>657</v>
      </c>
      <c r="B662" s="150" t="str">
        <f aca="false">HYPERLINK("https://www.google.com/maps/dir/-15.917302,-47.760003/-15.9306251,-47.7691549/data=!4m3!4m2!3e0!5i1")</f>
        <v>https://www.google.com/maps/dir/-15.917302,-47.760003/-15.9306251,-47.7691549/data=!4m3!4m2!3e0!5i1</v>
      </c>
      <c r="C662" s="151" t="s">
        <v>117</v>
      </c>
      <c r="D662" s="152" t="s">
        <v>112</v>
      </c>
      <c r="E662" s="152" t="s">
        <v>113</v>
      </c>
      <c r="F662" s="152" t="s">
        <v>117</v>
      </c>
      <c r="G662" s="152" t="s">
        <v>782</v>
      </c>
      <c r="H662" s="152" t="n">
        <v>63</v>
      </c>
      <c r="I662" s="152" t="s">
        <v>115</v>
      </c>
      <c r="J662" s="152" t="s">
        <v>6</v>
      </c>
      <c r="K662" s="152" t="s">
        <v>3786</v>
      </c>
      <c r="L662" s="152" t="s">
        <v>120</v>
      </c>
      <c r="M662" s="153" t="n">
        <f aca="false">32.9+4.02</f>
        <v>36.92</v>
      </c>
      <c r="N662" s="152" t="s">
        <v>1548</v>
      </c>
      <c r="O662" s="152" t="s">
        <v>1549</v>
      </c>
      <c r="P662" s="152" t="s">
        <v>1550</v>
      </c>
      <c r="Q662" s="152" t="s">
        <v>1551</v>
      </c>
      <c r="R662" s="154" t="s">
        <v>4069</v>
      </c>
      <c r="S662" s="154" t="s">
        <v>1553</v>
      </c>
      <c r="T662" s="155" t="s">
        <v>4002</v>
      </c>
      <c r="U662" s="152" t="str">
        <f aca="false">RIGHT(T662,7)</f>
        <v>015/037</v>
      </c>
      <c r="V662" s="152" t="s">
        <v>1555</v>
      </c>
      <c r="W662" s="156" t="n">
        <v>45882</v>
      </c>
      <c r="X662" s="152" t="s">
        <v>1594</v>
      </c>
      <c r="Y662" s="152" t="s">
        <v>2387</v>
      </c>
      <c r="Z662" s="152" t="s">
        <v>1557</v>
      </c>
      <c r="AA662" s="153" t="n">
        <v>4.5</v>
      </c>
      <c r="AB662" s="151" t="s">
        <v>4070</v>
      </c>
      <c r="AC662" s="151" t="s">
        <v>186</v>
      </c>
      <c r="AD662" s="151" t="str">
        <f aca="false">CONCATENATE($C662,$I662,$H662,$N662,$J662,$K662)</f>
        <v>TUBO PEADPEAD63VCAREDESZona06</v>
      </c>
      <c r="AE662" s="153" t="n">
        <f aca="false">IFERROR(INDEX(APOIO_REDES!$A:$W,MATCH($C662&amp;$I662&amp;$H662&amp;$N662&amp;$O662,APOIO_REDES!$W:$W,0),MATCH(AE$5,APOIO_REDES!$5:$5,0)),0)</f>
        <v>1.2</v>
      </c>
      <c r="AF662" s="153" t="n">
        <f aca="false">IFERROR(INDEX(APOIO_REDES!$A:$W,MATCH($C662&amp;$I662&amp;$H662&amp;$N662&amp;$O662,APOIO_REDES!$W:$W,0),MATCH(AF$5,APOIO_REDES!$5:$5,0)),0)</f>
        <v>1.363</v>
      </c>
      <c r="AG662" s="153" t="n">
        <f aca="false">IFERROR(INDEX(APOIO_REDES!$A:$W,MATCH($C662&amp;$I662&amp;$H662&amp;$N662&amp;$O662,APOIO_REDES!$W:$W,0),MATCH(AG$5,APOIO_REDES!$5:$5,0)),0)</f>
        <v>0.65</v>
      </c>
      <c r="AH662" s="153" t="n">
        <f aca="false">IFERROR(INDEX(APOIO_REDES!$A:$W,MATCH($C662&amp;$I662&amp;$H662&amp;$N662&amp;$O662,APOIO_REDES!$W:$W,0),MATCH(AH$5,APOIO_REDES!$5:$5,0)),0)</f>
        <v>0.1</v>
      </c>
      <c r="AI662" s="153" t="n">
        <f aca="false">IFERROR(IF($H662&lt;&gt;"",(((($H662/1000)/2)^2)*PI()*$M662),0),0)</f>
        <v>0.115088696864564</v>
      </c>
      <c r="AJ662" s="153" t="n">
        <f aca="false">IFERROR(IF(AND($H662&lt;&gt;"",$I662="FoFo",OR($N662="MND",$N662="VCA"),$Q662="LINEAR"),0,IF(AND($H662&lt;&gt;"",$I662="PEAD",$N662="VCA",$Q662="LINEAR"),($H662/1000)+0.3,IF(AND($H662&lt;&gt;"",$I662="PEAD",$N662="MND",$Q662="EMBOQUE"),0,IF(AND($H662&lt;&gt;"",$I662="PVC",$N662="VCA",$Q662="LINEAR"),($H662/1000)+0.2,IF(AND($H662&lt;&gt;"",$I662="PVC",$N662="MND",$Q662="EMBOQUE"),0,IF(AND($H662&lt;&gt;"",$I662="PEAD",$N662="VCA",$Q662="PREDIAL"),0,0)))))),0)</f>
        <v>0.363</v>
      </c>
      <c r="AK662" s="153" t="n">
        <f aca="false">IF(AA662&lt;&gt;"",AA662,0)</f>
        <v>4.5</v>
      </c>
      <c r="AL662" s="153" t="n">
        <f aca="false">IF(AND($N662="MND",$Q662="EMBOQUE"),$M662,IF(AND($N662="VCA",$Q662="LINEAR"),$M662,IF(AND($N662="VCA",$Q662="PREDIAL"),0,0)))</f>
        <v>36.92</v>
      </c>
      <c r="AM662" s="153" t="n">
        <f aca="false">IF(AND($N662="MND",$Q662="EMBOQUE"),$M662,IF(AND($N662="VCA",$Q662="LINEAR"),$M662,IF(AND($N662="VCA",$Q662="PREDIAL"),0,0)))</f>
        <v>36.92</v>
      </c>
      <c r="AN662" s="153" t="n">
        <f aca="false">ROUND(IF(AND($N662="VCA",$M662&lt;&gt;"",$Q662="LINEAR"),$M662/100,IF(AND($N662="MND",$M662&gt;100,$Q662="EMBOQUE"),$M662/100,0)),0)</f>
        <v>0</v>
      </c>
      <c r="AO662" s="153" t="n">
        <f aca="false">IF(AND($N662="MND",$Q662="EMBOQUE"),$AN662*2*2,IF(AND($N662="VCA",$Q662="LINEAR"),$M662*2,IF(AND($N662="VCA",$Q662="PREDIAL"),0,0)))</f>
        <v>73.84</v>
      </c>
      <c r="AP662" s="153" t="n">
        <f aca="false">IFERROR($M662*$AF662*$AG662,0)</f>
        <v>32.709274</v>
      </c>
      <c r="AQ662" s="153" t="n">
        <f aca="false">IFERROR(IF(AND($N662="VCA",$AH662&gt;0),$M662*$AG662*$AH662,0),0)</f>
        <v>2.3998</v>
      </c>
      <c r="AR662" s="153" t="n">
        <f aca="false">IFERROR(IF(AND($N662="VCA",$AJ662&gt;0),($M662*$AG662*$AJ662)-$AI662,0),0)</f>
        <v>8.59618530313544</v>
      </c>
      <c r="AS662" s="153" t="n">
        <f aca="false">IFERROR(IF(AND($N662="VCA",$AP662&gt;0),$AP662-$AI662-$AQ662-$AR662,0),0)</f>
        <v>21.5982</v>
      </c>
      <c r="AT662" s="153" t="n">
        <f aca="false">IFERROR(IF($N662="VCA",INDEX(APOIO_REDES!$A:$W,MATCH($C662&amp;$I662&amp;$H662&amp;$N662&amp;$O662,APOIO_REDES!$W:$W,0),MATCH(AT$5,APOIO_REDES!$5:$5,0)),0)*$AP662,0)</f>
        <v>0.355886582570915</v>
      </c>
      <c r="AU662" s="153" t="n">
        <f aca="false">IFERROR(IF($N662="VCA",INDEX(APOIO_REDES!$A:$W,MATCH($C662&amp;$I662&amp;$H662&amp;$N662&amp;$O662,APOIO_REDES!$W:$W,0),MATCH(AU$5,APOIO_REDES!$5:$5,0)),0)*$AP662,0)</f>
        <v>0.284201386210101</v>
      </c>
      <c r="AV662" s="153" t="n">
        <f aca="false">IFERROR(IF($N662="VCA",INDEX(APOIO_REDES!$A:$W,MATCH($C662&amp;$I662&amp;$H662&amp;$N662&amp;$O662,APOIO_REDES!$W:$W,0),MATCH(AV$5,APOIO_REDES!$5:$5,0)),0)*$AP662,0)</f>
        <v>0.0393312407831203</v>
      </c>
      <c r="AW662" s="153" t="n">
        <f aca="false">IFERROR(IF($N662="VCA",INDEX(APOIO_REDES!$A:$W,MATCH($C662&amp;$I662&amp;$H662&amp;$N662&amp;$O662,APOIO_REDES!$W:$W,0),MATCH(AW$5,APOIO_REDES!$5:$5,0)),0)*$AP662,0)</f>
        <v>22.4518991174224</v>
      </c>
      <c r="AX662" s="153" t="n">
        <f aca="false">IFERROR(IF($N662="VCA",INDEX(APOIO_REDES!$A:$W,MATCH($C662&amp;$I662&amp;$H662&amp;$N662&amp;$O662,APOIO_REDES!$W:$W,0),MATCH(AX$5,APOIO_REDES!$5:$5,0)),0)*$AP662,0)</f>
        <v>3.10727888240602</v>
      </c>
      <c r="AY662" s="153" t="n">
        <f aca="false">IFERROR(IF($N662="VCA",INDEX(APOIO_REDES!$A:$W,MATCH($C662&amp;$I662&amp;$H662&amp;$N662&amp;$O662,APOIO_REDES!$W:$W,0),MATCH(AY$5,APOIO_REDES!$5:$5,0)),0)*$AP662,0)</f>
        <v>5.68402425981016</v>
      </c>
      <c r="AZ662" s="153" t="n">
        <f aca="false">IFERROR(IF($N662="VCA",INDEX(APOIO_REDES!$A:$W,MATCH($C662&amp;$I662&amp;$H662&amp;$N662&amp;$O662,APOIO_REDES!$W:$W,0),MATCH(AZ$5,APOIO_REDES!$5:$5,0)),0)*$AP662,0)</f>
        <v>0.786652530797284</v>
      </c>
      <c r="BA662" s="153" t="n">
        <f aca="false">IFERROR(IF(AND($N662="VCA",$Q662="LINEAR"),INDEX(APOIO_REDES!$A:$W,MATCH($C662&amp;$I662&amp;$H662&amp;$N662&amp;$O662,APOIO_REDES!$W:$W,0),MATCH(BA$5,APOIO_REDES!$5:$5,0)),IF(AND($N662="MND",$Q662="EMBOQUE"),INDEX(APOIO_REDES!$A:$W,MATCH($C662&amp;$I662&amp;$H662&amp;$N662&amp;$O662,APOIO_REDES!$W:$W,0),MATCH(BA$5,APOIO_REDES!$5:$5,0)),0))*$M662/10,0)</f>
        <v>2.97565887224549</v>
      </c>
      <c r="BB662" s="153" t="n">
        <f aca="false">IFERROR(IF($N662="VCA",INDEX(APOIO_REDES!$A:$W,MATCH($C662&amp;$I662&amp;$H662&amp;$N662&amp;$O662,APOIO_REDES!$W:$W,0),MATCH(BB$5,APOIO_REDES!$5:$5,0)),0)*($AI662+$AQ662+$AR662),0)</f>
        <v>10.99018222617</v>
      </c>
      <c r="BC662" s="153" t="n">
        <f aca="false">IFERROR(IF($N662="VCA",INDEX(APOIO_REDES!$A:$W,MATCH($C662&amp;$I662&amp;$H662&amp;$N662&amp;$O662,APOIO_REDES!$W:$W,0),MATCH(BC$5,APOIO_REDES!$5:$5,0)),0)*($AI662+$AQ662+$AR662),0)</f>
        <v>0.120891773830032</v>
      </c>
      <c r="BD662" s="153" t="n">
        <f aca="false">IF(AND($N662="VCA",$AF662&gt;=1.25,$AF662&lt;1.5),$M662*$AF662*2,0)</f>
        <v>100.64392</v>
      </c>
      <c r="BE662" s="153" t="n">
        <f aca="false">IF(AND($N662="VCA",$AF662&gt;=1.5,$AF662&lt;3),$M662*$AF662*2,0)</f>
        <v>0</v>
      </c>
      <c r="BF662" s="153" t="n">
        <f aca="false">IF(AND($N662="VCA",$AF662&gt;=3),$M662*$AF662*2,0)</f>
        <v>0</v>
      </c>
      <c r="BG662" s="153" t="n">
        <f aca="false">($BB662+$BC662)*$AK662</f>
        <v>49.999833</v>
      </c>
      <c r="BH662" s="153" t="n">
        <f aca="false">IF(AND($M662&lt;&gt;"",$N662="VCA",$Q662="LINEAR"),($M662*2)/100,IF(AND($M662&lt;&gt;"",$N662="MND",$Q662="EMBOQUE"),($AN662*2)/100,0))</f>
        <v>0.7384</v>
      </c>
      <c r="BI662" s="153" t="n">
        <f aca="false">IF(AND($M662&lt;&gt;"",$N662="VCA",$Q662="LINEAR"),$M662,IF(AND($M662&lt;&gt;"",$N662="MND",$Q662="EMBOQUE"),$AN662*2,0))</f>
        <v>36.92</v>
      </c>
      <c r="BJ662" s="153" t="n">
        <f aca="false">IF(AND($M662&lt;&gt;"",$N662="VCA",$Q662="LINEAR"),($M662*6.8)/100,IF(AND($M662&lt;&gt;"",$N662="MND",$Q662="EMBOQUE"),($AN662*2*6.8)/100,0))</f>
        <v>2.51056</v>
      </c>
      <c r="BK662" s="153" t="n">
        <f aca="false">IF(AND($M662&lt;&gt;"",$N662="VCA",$Q662="LINEAR"),($M662*2.5)/50,IF(AND($M662&lt;&gt;"",$N662="MND",$Q662="EMBOQUE"),($AN662*2*2.5)/50,0))</f>
        <v>1.846</v>
      </c>
      <c r="BL662" s="157" t="str">
        <f aca="false">K662&amp;J662</f>
        <v>Zona06REDES</v>
      </c>
      <c r="BM662" s="152" t="s">
        <v>3790</v>
      </c>
      <c r="BN662" s="152" t="s">
        <v>1560</v>
      </c>
      <c r="BO662" s="152" t="s">
        <v>4004</v>
      </c>
      <c r="BP662" s="152" t="s">
        <v>4071</v>
      </c>
      <c r="BQ662" s="152" t="s">
        <v>4059</v>
      </c>
      <c r="BR662" s="152" t="s">
        <v>4072</v>
      </c>
      <c r="BS662" s="152" t="n">
        <v>203523.046</v>
      </c>
      <c r="BT662" s="152" t="n">
        <v>8236770.886</v>
      </c>
      <c r="BU662" s="152" t="n">
        <v>203538.953</v>
      </c>
      <c r="BV662" s="152" t="n">
        <v>8236742.2</v>
      </c>
      <c r="BW662" s="152" t="n">
        <v>-15.9307602</v>
      </c>
      <c r="BX662" s="152" t="n">
        <v>-47.7690908</v>
      </c>
      <c r="BY662" s="152" t="s">
        <v>4071</v>
      </c>
    </row>
    <row r="663" customFormat="false" ht="13.8" hidden="false" customHeight="false" outlineLevel="0" collapsed="false">
      <c r="A663" s="149" t="n">
        <f aca="false">IF(C663&lt;&gt;"",ROW(A658),"")</f>
        <v>658</v>
      </c>
      <c r="B663" s="150" t="str">
        <f aca="false">HYPERLINK("https://www.google.com/maps/dir/-15.917302,-47.760003/-15.9308861,-47.7690100/data=!4m3!4m2!3e0!5i0")</f>
        <v>https://www.google.com/maps/dir/-15.917302,-47.760003/-15.9308861,-47.7690100/data=!4m3!4m2!3e0!5i0</v>
      </c>
      <c r="C663" s="151" t="s">
        <v>117</v>
      </c>
      <c r="D663" s="152" t="s">
        <v>112</v>
      </c>
      <c r="E663" s="152" t="s">
        <v>113</v>
      </c>
      <c r="F663" s="152" t="s">
        <v>117</v>
      </c>
      <c r="G663" s="152" t="s">
        <v>114</v>
      </c>
      <c r="H663" s="152" t="n">
        <v>160</v>
      </c>
      <c r="I663" s="152" t="s">
        <v>115</v>
      </c>
      <c r="J663" s="152" t="s">
        <v>6</v>
      </c>
      <c r="K663" s="152" t="s">
        <v>3786</v>
      </c>
      <c r="L663" s="152" t="s">
        <v>120</v>
      </c>
      <c r="M663" s="153" t="n">
        <f aca="false">8.22</f>
        <v>8.22</v>
      </c>
      <c r="N663" s="152" t="s">
        <v>1548</v>
      </c>
      <c r="O663" s="152" t="s">
        <v>1549</v>
      </c>
      <c r="P663" s="152" t="s">
        <v>1550</v>
      </c>
      <c r="Q663" s="152" t="s">
        <v>1551</v>
      </c>
      <c r="R663" s="154" t="s">
        <v>4073</v>
      </c>
      <c r="S663" s="154" t="s">
        <v>1593</v>
      </c>
      <c r="T663" s="155" t="s">
        <v>4002</v>
      </c>
      <c r="U663" s="152" t="str">
        <f aca="false">RIGHT(T663,7)</f>
        <v>015/037</v>
      </c>
      <c r="V663" s="152" t="s">
        <v>1555</v>
      </c>
      <c r="W663" s="156" t="n">
        <v>45882</v>
      </c>
      <c r="X663" s="152" t="s">
        <v>1594</v>
      </c>
      <c r="Y663" s="152" t="s">
        <v>2387</v>
      </c>
      <c r="Z663" s="152" t="s">
        <v>1557</v>
      </c>
      <c r="AA663" s="153" t="n">
        <v>2.4</v>
      </c>
      <c r="AB663" s="151" t="s">
        <v>4074</v>
      </c>
      <c r="AC663" s="151" t="s">
        <v>505</v>
      </c>
      <c r="AD663" s="151" t="str">
        <f aca="false">CONCATENATE($C663,$I663,$H663,$N663,$J663,$K663)</f>
        <v>TUBO PEADPEAD160VCAREDESZona06</v>
      </c>
      <c r="AE663" s="153" t="n">
        <f aca="false">IFERROR(INDEX(APOIO_REDES!$A:$W,MATCH($C663&amp;$I663&amp;$H663&amp;$N663&amp;$O663,APOIO_REDES!$W:$W,0),MATCH(AE$5,APOIO_REDES!$5:$5,0)),0)</f>
        <v>1.2</v>
      </c>
      <c r="AF663" s="153" t="n">
        <f aca="false">IFERROR(INDEX(APOIO_REDES!$A:$W,MATCH($C663&amp;$I663&amp;$H663&amp;$N663&amp;$O663,APOIO_REDES!$W:$W,0),MATCH(AF$5,APOIO_REDES!$5:$5,0)),0)</f>
        <v>1.46</v>
      </c>
      <c r="AG663" s="153" t="n">
        <f aca="false">IFERROR(INDEX(APOIO_REDES!$A:$W,MATCH($C663&amp;$I663&amp;$H663&amp;$N663&amp;$O663,APOIO_REDES!$W:$W,0),MATCH(AG$5,APOIO_REDES!$5:$5,0)),0)</f>
        <v>0.75</v>
      </c>
      <c r="AH663" s="153" t="n">
        <f aca="false">IFERROR(INDEX(APOIO_REDES!$A:$W,MATCH($C663&amp;$I663&amp;$H663&amp;$N663&amp;$O663,APOIO_REDES!$W:$W,0),MATCH(AH$5,APOIO_REDES!$5:$5,0)),0)</f>
        <v>0.1</v>
      </c>
      <c r="AI663" s="153" t="n">
        <f aca="false">IFERROR(IF($H663&lt;&gt;"",(((($H663/1000)/2)^2)*PI()*$M663),0),0)</f>
        <v>0.165272906320052</v>
      </c>
      <c r="AJ663" s="153" t="n">
        <f aca="false">IFERROR(IF(AND($H663&lt;&gt;"",$I663="FoFo",OR($N663="MND",$N663="VCA"),$Q663="LINEAR"),0,IF(AND($H663&lt;&gt;"",$I663="PEAD",$N663="VCA",$Q663="LINEAR"),($H663/1000)+0.3,IF(AND($H663&lt;&gt;"",$I663="PEAD",$N663="MND",$Q663="EMBOQUE"),0,IF(AND($H663&lt;&gt;"",$I663="PVC",$N663="VCA",$Q663="LINEAR"),($H663/1000)+0.2,IF(AND($H663&lt;&gt;"",$I663="PVC",$N663="MND",$Q663="EMBOQUE"),0,IF(AND($H663&lt;&gt;"",$I663="PEAD",$N663="VCA",$Q663="PREDIAL"),0,0)))))),0)</f>
        <v>0.46</v>
      </c>
      <c r="AK663" s="153" t="n">
        <f aca="false">IF(AA663&lt;&gt;"",AA663,0)</f>
        <v>2.4</v>
      </c>
      <c r="AL663" s="153" t="n">
        <f aca="false">IF(AND($N663="MND",$Q663="EMBOQUE"),$M663,IF(AND($N663="VCA",$Q663="LINEAR"),$M663,IF(AND($N663="VCA",$Q663="PREDIAL"),0,0)))</f>
        <v>8.22</v>
      </c>
      <c r="AM663" s="153" t="n">
        <f aca="false">IF(AND($N663="MND",$Q663="EMBOQUE"),$M663,IF(AND($N663="VCA",$Q663="LINEAR"),$M663,IF(AND($N663="VCA",$Q663="PREDIAL"),0,0)))</f>
        <v>8.22</v>
      </c>
      <c r="AN663" s="153" t="n">
        <f aca="false">ROUND(IF(AND($N663="VCA",$M663&lt;&gt;"",$Q663="LINEAR"),$M663/100,IF(AND($N663="MND",$M663&gt;100,$Q663="EMBOQUE"),$M663/100,0)),0)</f>
        <v>0</v>
      </c>
      <c r="AO663" s="153" t="n">
        <f aca="false">IF(AND($N663="MND",$Q663="EMBOQUE"),$AN663*2*2,IF(AND($N663="VCA",$Q663="LINEAR"),$M663*2,IF(AND($N663="VCA",$Q663="PREDIAL"),0,0)))</f>
        <v>16.44</v>
      </c>
      <c r="AP663" s="153" t="n">
        <f aca="false">IFERROR($M663*$AF663*$AG663,0)</f>
        <v>9.0009</v>
      </c>
      <c r="AQ663" s="153" t="n">
        <f aca="false">IFERROR(IF(AND($N663="VCA",$AH663&gt;0),$M663*$AG663*$AH663,0),0)</f>
        <v>0.6165</v>
      </c>
      <c r="AR663" s="153" t="n">
        <f aca="false">IFERROR(IF(AND($N663="VCA",$AJ663&gt;0),($M663*$AG663*$AJ663)-$AI663,0),0)</f>
        <v>2.67062709367995</v>
      </c>
      <c r="AS663" s="153" t="n">
        <f aca="false">IFERROR(IF(AND($N663="VCA",$AP663&gt;0),$AP663-$AI663-$AQ663-$AR663,0),0)</f>
        <v>5.5485</v>
      </c>
      <c r="AT663" s="153" t="n">
        <f aca="false">IFERROR(IF($N663="VCA",INDEX(APOIO_REDES!$A:$W,MATCH($C663&amp;$I663&amp;$H663&amp;$N663&amp;$O663,APOIO_REDES!$W:$W,0),MATCH(AT$5,APOIO_REDES!$5:$5,0)),0)*$AP663,0)</f>
        <v>0.0979324561304098</v>
      </c>
      <c r="AU663" s="153" t="n">
        <f aca="false">IFERROR(IF($N663="VCA",INDEX(APOIO_REDES!$A:$W,MATCH($C663&amp;$I663&amp;$H663&amp;$N663&amp;$O663,APOIO_REDES!$W:$W,0),MATCH(AU$5,APOIO_REDES!$5:$5,0)),0)*$AP663,0)</f>
        <v>0.0782062071184612</v>
      </c>
      <c r="AV663" s="153" t="n">
        <f aca="false">IFERROR(IF($N663="VCA",INDEX(APOIO_REDES!$A:$W,MATCH($C663&amp;$I663&amp;$H663&amp;$N663&amp;$O663,APOIO_REDES!$W:$W,0),MATCH(AV$5,APOIO_REDES!$5:$5,0)),0)*$AP663,0)</f>
        <v>0.0108231251223976</v>
      </c>
      <c r="AW663" s="153" t="n">
        <f aca="false">IFERROR(IF($N663="VCA",INDEX(APOIO_REDES!$A:$W,MATCH($C663&amp;$I663&amp;$H663&amp;$N663&amp;$O663,APOIO_REDES!$W:$W,0),MATCH(AW$5,APOIO_REDES!$5:$5,0)),0)*$AP663,0)</f>
        <v>6.17828750237646</v>
      </c>
      <c r="AX663" s="153" t="n">
        <f aca="false">IFERROR(IF($N663="VCA",INDEX(APOIO_REDES!$A:$W,MATCH($C663&amp;$I663&amp;$H663&amp;$N663&amp;$O663,APOIO_REDES!$W:$W,0),MATCH(AX$5,APOIO_REDES!$5:$5,0)),0)*$AP663,0)</f>
        <v>0.855057391143818</v>
      </c>
      <c r="AY663" s="153" t="n">
        <f aca="false">IFERROR(IF($N663="VCA",INDEX(APOIO_REDES!$A:$W,MATCH($C663&amp;$I663&amp;$H663&amp;$N663&amp;$O663,APOIO_REDES!$W:$W,0),MATCH(AY$5,APOIO_REDES!$5:$5,0)),0)*$AP663,0)</f>
        <v>1.5641231890419</v>
      </c>
      <c r="AZ663" s="153" t="n">
        <f aca="false">IFERROR(IF($N663="VCA",INDEX(APOIO_REDES!$A:$W,MATCH($C663&amp;$I663&amp;$H663&amp;$N663&amp;$O663,APOIO_REDES!$W:$W,0),MATCH(AZ$5,APOIO_REDES!$5:$5,0)),0)*$AP663,0)</f>
        <v>0.216470129066554</v>
      </c>
      <c r="BA663" s="153" t="n">
        <f aca="false">IFERROR(IF(AND($N663="VCA",$Q663="LINEAR"),INDEX(APOIO_REDES!$A:$W,MATCH($C663&amp;$I663&amp;$H663&amp;$N663&amp;$O663,APOIO_REDES!$W:$W,0),MATCH(BA$5,APOIO_REDES!$5:$5,0)),IF(AND($N663="MND",$Q663="EMBOQUE"),INDEX(APOIO_REDES!$A:$W,MATCH($C663&amp;$I663&amp;$H663&amp;$N663&amp;$O663,APOIO_REDES!$W:$W,0),MATCH(BA$5,APOIO_REDES!$5:$5,0)),0))*$M663/10,0)</f>
        <v>0.662511265705794</v>
      </c>
      <c r="BB663" s="153" t="n">
        <f aca="false">IFERROR(IF($N663="VCA",INDEX(APOIO_REDES!$A:$W,MATCH($C663&amp;$I663&amp;$H663&amp;$N663&amp;$O663,APOIO_REDES!$W:$W,0),MATCH(BB$5,APOIO_REDES!$5:$5,0)),0)*($AI663+$AQ663+$AR663),0)</f>
        <v>3.41483686614176</v>
      </c>
      <c r="BC663" s="153" t="n">
        <f aca="false">IFERROR(IF($N663="VCA",INDEX(APOIO_REDES!$A:$W,MATCH($C663&amp;$I663&amp;$H663&amp;$N663&amp;$O663,APOIO_REDES!$W:$W,0),MATCH(BC$5,APOIO_REDES!$5:$5,0)),0)*($AI663+$AQ663+$AR663),0)</f>
        <v>0.0375631338582394</v>
      </c>
      <c r="BD663" s="153" t="n">
        <f aca="false">IF(AND($N663="VCA",$AF663&gt;=1.25,$AF663&lt;1.5),$M663*$AF663*2,0)</f>
        <v>24.0024</v>
      </c>
      <c r="BE663" s="153" t="n">
        <f aca="false">IF(AND($N663="VCA",$AF663&gt;=1.5,$AF663&lt;3),$M663*$AF663*2,0)</f>
        <v>0</v>
      </c>
      <c r="BF663" s="153" t="n">
        <f aca="false">IF(AND($N663="VCA",$AF663&gt;=3),$M663*$AF663*2,0)</f>
        <v>0</v>
      </c>
      <c r="BG663" s="153" t="n">
        <f aca="false">($BB663+$BC663)*$AK663</f>
        <v>8.28576</v>
      </c>
      <c r="BH663" s="153" t="n">
        <f aca="false">IF(AND($M663&lt;&gt;"",$N663="VCA",$Q663="LINEAR"),($M663*2)/100,IF(AND($M663&lt;&gt;"",$N663="MND",$Q663="EMBOQUE"),($AN663*2)/100,0))</f>
        <v>0.1644</v>
      </c>
      <c r="BI663" s="153" t="n">
        <f aca="false">IF(AND($M663&lt;&gt;"",$N663="VCA",$Q663="LINEAR"),$M663,IF(AND($M663&lt;&gt;"",$N663="MND",$Q663="EMBOQUE"),$AN663*2,0))</f>
        <v>8.22</v>
      </c>
      <c r="BJ663" s="153" t="n">
        <f aca="false">IF(AND($M663&lt;&gt;"",$N663="VCA",$Q663="LINEAR"),($M663*6.8)/100,IF(AND($M663&lt;&gt;"",$N663="MND",$Q663="EMBOQUE"),($AN663*2*6.8)/100,0))</f>
        <v>0.55896</v>
      </c>
      <c r="BK663" s="153" t="n">
        <f aca="false">IF(AND($M663&lt;&gt;"",$N663="VCA",$Q663="LINEAR"),($M663*2.5)/50,IF(AND($M663&lt;&gt;"",$N663="MND",$Q663="EMBOQUE"),($AN663*2*2.5)/50,0))</f>
        <v>0.411</v>
      </c>
      <c r="BL663" s="157" t="str">
        <f aca="false">K663&amp;J663</f>
        <v>Zona06REDES</v>
      </c>
      <c r="BM663" s="152" t="s">
        <v>3790</v>
      </c>
      <c r="BN663" s="152" t="s">
        <v>1560</v>
      </c>
      <c r="BO663" s="152" t="s">
        <v>4004</v>
      </c>
      <c r="BP663" s="152" t="s">
        <v>4059</v>
      </c>
      <c r="BQ663" s="152" t="s">
        <v>4075</v>
      </c>
      <c r="BR663" s="152" t="s">
        <v>4060</v>
      </c>
      <c r="BS663" s="152" t="n">
        <v>203538.953</v>
      </c>
      <c r="BT663" s="152" t="n">
        <v>8236742.2</v>
      </c>
      <c r="BU663" s="152" t="n">
        <v>203534.269</v>
      </c>
      <c r="BV663" s="152" t="n">
        <v>8236735.451</v>
      </c>
      <c r="BW663" s="152" t="n">
        <v>-15.9309163</v>
      </c>
      <c r="BX663" s="152" t="n">
        <v>-47.7690323</v>
      </c>
      <c r="BY663" s="152" t="s">
        <v>4059</v>
      </c>
    </row>
    <row r="664" customFormat="false" ht="13.8" hidden="false" customHeight="false" outlineLevel="0" collapsed="false">
      <c r="A664" s="149" t="n">
        <f aca="false">IF(C664&lt;&gt;"",ROW(A659),"")</f>
        <v>659</v>
      </c>
      <c r="B664" s="150" t="str">
        <f aca="false">HYPERLINK("https://www.google.com/maps/dir/-15.917302,-47.760003/-15.9307720,-47.7688979/data=!4m3!4m2!3e0!5i0")</f>
        <v>https://www.google.com/maps/dir/-15.917302,-47.760003/-15.9307720,-47.7688979/data=!4m3!4m2!3e0!5i0</v>
      </c>
      <c r="C664" s="151" t="s">
        <v>117</v>
      </c>
      <c r="D664" s="152" t="s">
        <v>112</v>
      </c>
      <c r="E664" s="152" t="s">
        <v>113</v>
      </c>
      <c r="F664" s="152" t="s">
        <v>117</v>
      </c>
      <c r="G664" s="152" t="s">
        <v>114</v>
      </c>
      <c r="H664" s="152" t="n">
        <v>225</v>
      </c>
      <c r="I664" s="152" t="s">
        <v>115</v>
      </c>
      <c r="J664" s="152" t="s">
        <v>6</v>
      </c>
      <c r="K664" s="152" t="s">
        <v>3786</v>
      </c>
      <c r="L664" s="152" t="s">
        <v>120</v>
      </c>
      <c r="M664" s="153" t="n">
        <f aca="false">46.36</f>
        <v>46.36</v>
      </c>
      <c r="N664" s="152" t="s">
        <v>1548</v>
      </c>
      <c r="O664" s="152" t="s">
        <v>1549</v>
      </c>
      <c r="P664" s="152" t="s">
        <v>1550</v>
      </c>
      <c r="Q664" s="152" t="s">
        <v>1551</v>
      </c>
      <c r="R664" s="154" t="s">
        <v>4076</v>
      </c>
      <c r="S664" s="154" t="s">
        <v>1593</v>
      </c>
      <c r="T664" s="155" t="s">
        <v>4002</v>
      </c>
      <c r="U664" s="152" t="str">
        <f aca="false">RIGHT(T664,7)</f>
        <v>015/037</v>
      </c>
      <c r="V664" s="152" t="s">
        <v>1555</v>
      </c>
      <c r="W664" s="156" t="n">
        <v>45882</v>
      </c>
      <c r="X664" s="152" t="s">
        <v>1594</v>
      </c>
      <c r="Y664" s="152" t="s">
        <v>4030</v>
      </c>
      <c r="Z664" s="152" t="s">
        <v>1557</v>
      </c>
      <c r="AA664" s="153" t="n">
        <v>2.4</v>
      </c>
      <c r="AB664" s="151" t="s">
        <v>4077</v>
      </c>
      <c r="AC664" s="151" t="s">
        <v>508</v>
      </c>
      <c r="AD664" s="151" t="str">
        <f aca="false">CONCATENATE($C664,$I664,$H664,$N664,$J664,$K664)</f>
        <v>TUBO PEADPEAD225VCAREDESZona06</v>
      </c>
      <c r="AE664" s="153" t="n">
        <f aca="false">IFERROR(INDEX(APOIO_REDES!$A:$W,MATCH($C664&amp;$I664&amp;$H664&amp;$N664&amp;$O664,APOIO_REDES!$W:$W,0),MATCH(AE$5,APOIO_REDES!$5:$5,0)),0)</f>
        <v>1.2</v>
      </c>
      <c r="AF664" s="153" t="n">
        <f aca="false">IFERROR(INDEX(APOIO_REDES!$A:$W,MATCH($C664&amp;$I664&amp;$H664&amp;$N664&amp;$O664,APOIO_REDES!$W:$W,0),MATCH(AF$5,APOIO_REDES!$5:$5,0)),0)</f>
        <v>1.525</v>
      </c>
      <c r="AG664" s="153" t="n">
        <f aca="false">IFERROR(INDEX(APOIO_REDES!$A:$W,MATCH($C664&amp;$I664&amp;$H664&amp;$N664&amp;$O664,APOIO_REDES!$W:$W,0),MATCH(AG$5,APOIO_REDES!$5:$5,0)),0)</f>
        <v>0.8</v>
      </c>
      <c r="AH664" s="153" t="n">
        <f aca="false">IFERROR(INDEX(APOIO_REDES!$A:$W,MATCH($C664&amp;$I664&amp;$H664&amp;$N664&amp;$O664,APOIO_REDES!$W:$W,0),MATCH(AH$5,APOIO_REDES!$5:$5,0)),0)</f>
        <v>0.1</v>
      </c>
      <c r="AI664" s="153" t="n">
        <f aca="false">IFERROR(IF($H664&lt;&gt;"",(((($H664/1000)/2)^2)*PI()*$M664),0),0)</f>
        <v>1.84330985453973</v>
      </c>
      <c r="AJ664" s="153" t="n">
        <f aca="false">IFERROR(IF(AND($H664&lt;&gt;"",$I664="FoFo",OR($N664="MND",$N664="VCA"),$Q664="LINEAR"),0,IF(AND($H664&lt;&gt;"",$I664="PEAD",$N664="VCA",$Q664="LINEAR"),($H664/1000)+0.3,IF(AND($H664&lt;&gt;"",$I664="PEAD",$N664="MND",$Q664="EMBOQUE"),0,IF(AND($H664&lt;&gt;"",$I664="PVC",$N664="VCA",$Q664="LINEAR"),($H664/1000)+0.2,IF(AND($H664&lt;&gt;"",$I664="PVC",$N664="MND",$Q664="EMBOQUE"),0,IF(AND($H664&lt;&gt;"",$I664="PEAD",$N664="VCA",$Q664="PREDIAL"),0,0)))))),0)</f>
        <v>0.525</v>
      </c>
      <c r="AK664" s="153" t="n">
        <f aca="false">IF(AA664&lt;&gt;"",AA664,0)</f>
        <v>2.4</v>
      </c>
      <c r="AL664" s="153" t="n">
        <f aca="false">IF(AND($N664="MND",$Q664="EMBOQUE"),$M664,IF(AND($N664="VCA",$Q664="LINEAR"),$M664,IF(AND($N664="VCA",$Q664="PREDIAL"),0,0)))</f>
        <v>46.36</v>
      </c>
      <c r="AM664" s="153" t="n">
        <f aca="false">IF(AND($N664="MND",$Q664="EMBOQUE"),$M664,IF(AND($N664="VCA",$Q664="LINEAR"),$M664,IF(AND($N664="VCA",$Q664="PREDIAL"),0,0)))</f>
        <v>46.36</v>
      </c>
      <c r="AN664" s="153" t="n">
        <f aca="false">ROUND(IF(AND($N664="VCA",$M664&lt;&gt;"",$Q664="LINEAR"),$M664/100,IF(AND($N664="MND",$M664&gt;100,$Q664="EMBOQUE"),$M664/100,0)),0)</f>
        <v>0</v>
      </c>
      <c r="AO664" s="153" t="n">
        <f aca="false">IF(AND($N664="MND",$Q664="EMBOQUE"),$AN664*2*2,IF(AND($N664="VCA",$Q664="LINEAR"),$M664*2,IF(AND($N664="VCA",$Q664="PREDIAL"),0,0)))</f>
        <v>92.72</v>
      </c>
      <c r="AP664" s="153" t="n">
        <f aca="false">IFERROR($M664*$AF664*$AG664,0)</f>
        <v>56.5592</v>
      </c>
      <c r="AQ664" s="153" t="n">
        <f aca="false">IFERROR(IF(AND($N664="VCA",$AH664&gt;0),$M664*$AG664*$AH664,0),0)</f>
        <v>3.7088</v>
      </c>
      <c r="AR664" s="153" t="n">
        <f aca="false">IFERROR(IF(AND($N664="VCA",$AJ664&gt;0),($M664*$AG664*$AJ664)-$AI664,0),0)</f>
        <v>17.6278901454603</v>
      </c>
      <c r="AS664" s="153" t="n">
        <f aca="false">IFERROR(IF(AND($N664="VCA",$AP664&gt;0),$AP664-$AI664-$AQ664-$AR664,0),0)</f>
        <v>33.3792</v>
      </c>
      <c r="AT664" s="153" t="n">
        <f aca="false">IFERROR(IF($N664="VCA",INDEX(APOIO_REDES!$A:$W,MATCH($C664&amp;$I664&amp;$H664&amp;$N664&amp;$O664,APOIO_REDES!$W:$W,0),MATCH(AT$5,APOIO_REDES!$5:$5,0)),0)*$AP664,0)</f>
        <v>0.615380836668675</v>
      </c>
      <c r="AU664" s="153" t="n">
        <f aca="false">IFERROR(IF($N664="VCA",INDEX(APOIO_REDES!$A:$W,MATCH($C664&amp;$I664&amp;$H664&amp;$N664&amp;$O664,APOIO_REDES!$W:$W,0),MATCH(AU$5,APOIO_REDES!$5:$5,0)),0)*$AP664,0)</f>
        <v>0.491426469536877</v>
      </c>
      <c r="AV664" s="153" t="n">
        <f aca="false">IFERROR(IF($N664="VCA",INDEX(APOIO_REDES!$A:$W,MATCH($C664&amp;$I664&amp;$H664&amp;$N664&amp;$O664,APOIO_REDES!$W:$W,0),MATCH(AV$5,APOIO_REDES!$5:$5,0)),0)*$AP664,0)</f>
        <v>0.068009565534859</v>
      </c>
      <c r="AW664" s="153" t="n">
        <f aca="false">IFERROR(IF($N664="VCA",INDEX(APOIO_REDES!$A:$W,MATCH($C664&amp;$I664&amp;$H664&amp;$N664&amp;$O664,APOIO_REDES!$W:$W,0),MATCH(AW$5,APOIO_REDES!$5:$5,0)),0)*$AP664,0)</f>
        <v>38.8226731220668</v>
      </c>
      <c r="AX664" s="153" t="n">
        <f aca="false">IFERROR(IF($N664="VCA",INDEX(APOIO_REDES!$A:$W,MATCH($C664&amp;$I664&amp;$H664&amp;$N664&amp;$O664,APOIO_REDES!$W:$W,0),MATCH(AX$5,APOIO_REDES!$5:$5,0)),0)*$AP664,0)</f>
        <v>5.37294737161633</v>
      </c>
      <c r="AY664" s="153" t="n">
        <f aca="false">IFERROR(IF($N664="VCA",INDEX(APOIO_REDES!$A:$W,MATCH($C664&amp;$I664&amp;$H664&amp;$N664&amp;$O664,APOIO_REDES!$W:$W,0),MATCH(AY$5,APOIO_REDES!$5:$5,0)),0)*$AP664,0)</f>
        <v>9.8285234002887</v>
      </c>
      <c r="AZ664" s="153" t="n">
        <f aca="false">IFERROR(IF($N664="VCA",INDEX(APOIO_REDES!$A:$W,MATCH($C664&amp;$I664&amp;$H664&amp;$N664&amp;$O664,APOIO_REDES!$W:$W,0),MATCH(AZ$5,APOIO_REDES!$5:$5,0)),0)*$AP664,0)</f>
        <v>1.3602392342878</v>
      </c>
      <c r="BA664" s="153" t="n">
        <f aca="false">IFERROR(IF(AND($N664="VCA",$Q664="LINEAR"),INDEX(APOIO_REDES!$A:$W,MATCH($C664&amp;$I664&amp;$H664&amp;$N664&amp;$O664,APOIO_REDES!$W:$W,0),MATCH(BA$5,APOIO_REDES!$5:$5,0)),IF(AND($N664="MND",$Q664="EMBOQUE"),INDEX(APOIO_REDES!$A:$W,MATCH($C664&amp;$I664&amp;$H664&amp;$N664&amp;$O664,APOIO_REDES!$W:$W,0),MATCH(BA$5,APOIO_REDES!$5:$5,0)),0))*$M664/10,0)</f>
        <v>3.73649906059861</v>
      </c>
      <c r="BB664" s="153" t="n">
        <f aca="false">IFERROR(IF($N664="VCA",INDEX(APOIO_REDES!$A:$W,MATCH($C664&amp;$I664&amp;$H664&amp;$N664&amp;$O664,APOIO_REDES!$W:$W,0),MATCH(BB$5,APOIO_REDES!$5:$5,0)),0)*($AI664+$AQ664+$AR664),0)</f>
        <v>22.9277947390702</v>
      </c>
      <c r="BC664" s="153" t="n">
        <f aca="false">IFERROR(IF($N664="VCA",INDEX(APOIO_REDES!$A:$W,MATCH($C664&amp;$I664&amp;$H664&amp;$N664&amp;$O664,APOIO_REDES!$W:$W,0),MATCH(BC$5,APOIO_REDES!$5:$5,0)),0)*($AI664+$AQ664+$AR664),0)</f>
        <v>0.252205260929785</v>
      </c>
      <c r="BD664" s="153" t="n">
        <f aca="false">IF(AND($N664="VCA",$AF664&gt;=1.25,$AF664&lt;1.5),$M664*$AF664*2,0)</f>
        <v>0</v>
      </c>
      <c r="BE664" s="153" t="n">
        <f aca="false">IF(AND($N664="VCA",$AF664&gt;=1.5,$AF664&lt;3),$M664*$AF664*2,0)</f>
        <v>141.398</v>
      </c>
      <c r="BF664" s="153" t="n">
        <f aca="false">IF(AND($N664="VCA",$AF664&gt;=3),$M664*$AF664*2,0)</f>
        <v>0</v>
      </c>
      <c r="BG664" s="153" t="n">
        <f aca="false">($BB664+$BC664)*$AK664</f>
        <v>55.632</v>
      </c>
      <c r="BH664" s="153" t="n">
        <f aca="false">IF(AND($M664&lt;&gt;"",$N664="VCA",$Q664="LINEAR"),($M664*2)/100,IF(AND($M664&lt;&gt;"",$N664="MND",$Q664="EMBOQUE"),($AN664*2)/100,0))</f>
        <v>0.9272</v>
      </c>
      <c r="BI664" s="153" t="n">
        <f aca="false">IF(AND($M664&lt;&gt;"",$N664="VCA",$Q664="LINEAR"),$M664,IF(AND($M664&lt;&gt;"",$N664="MND",$Q664="EMBOQUE"),$AN664*2,0))</f>
        <v>46.36</v>
      </c>
      <c r="BJ664" s="153" t="n">
        <f aca="false">IF(AND($M664&lt;&gt;"",$N664="VCA",$Q664="LINEAR"),($M664*6.8)/100,IF(AND($M664&lt;&gt;"",$N664="MND",$Q664="EMBOQUE"),($AN664*2*6.8)/100,0))</f>
        <v>3.15248</v>
      </c>
      <c r="BK664" s="153" t="n">
        <f aca="false">IF(AND($M664&lt;&gt;"",$N664="VCA",$Q664="LINEAR"),($M664*2.5)/50,IF(AND($M664&lt;&gt;"",$N664="MND",$Q664="EMBOQUE"),($AN664*2*2.5)/50,0))</f>
        <v>2.318</v>
      </c>
      <c r="BL664" s="157" t="str">
        <f aca="false">K664&amp;J664</f>
        <v>Zona06REDES</v>
      </c>
      <c r="BM664" s="152" t="s">
        <v>3790</v>
      </c>
      <c r="BN664" s="152" t="s">
        <v>1560</v>
      </c>
      <c r="BO664" s="152" t="s">
        <v>4004</v>
      </c>
      <c r="BP664" s="152" t="s">
        <v>4067</v>
      </c>
      <c r="BQ664" s="152" t="s">
        <v>4078</v>
      </c>
      <c r="BR664" s="152" t="s">
        <v>4068</v>
      </c>
      <c r="BS664" s="152" t="n">
        <v>203551.148</v>
      </c>
      <c r="BT664" s="152" t="n">
        <v>8236754.82</v>
      </c>
      <c r="BU664" s="152" t="n">
        <v>203526.669</v>
      </c>
      <c r="BV664" s="152" t="n">
        <v>8236715.549</v>
      </c>
      <c r="BW664" s="152" t="n">
        <v>-15.9309542</v>
      </c>
      <c r="BX664" s="152" t="n">
        <v>-47.7690034</v>
      </c>
      <c r="BY664" s="152" t="s">
        <v>4067</v>
      </c>
    </row>
    <row r="665" customFormat="false" ht="13.8" hidden="false" customHeight="false" outlineLevel="0" collapsed="false">
      <c r="A665" s="149" t="n">
        <f aca="false">IF(C665&lt;&gt;"",ROW(A660),"")</f>
        <v>660</v>
      </c>
      <c r="B665" s="150" t="str">
        <f aca="false">HYPERLINK("https://www.google.com/maps/dir/-15.917302,-47.760003/-15.9309465,-47.7690545/data=!4m3!4m2!3e0!5i0")</f>
        <v>https://www.google.com/maps/dir/-15.917302,-47.760003/-15.9309465,-47.7690545/data=!4m3!4m2!3e0!5i0</v>
      </c>
      <c r="C665" s="151" t="s">
        <v>117</v>
      </c>
      <c r="D665" s="152" t="s">
        <v>112</v>
      </c>
      <c r="E665" s="152" t="s">
        <v>113</v>
      </c>
      <c r="F665" s="152" t="s">
        <v>117</v>
      </c>
      <c r="G665" s="152" t="s">
        <v>114</v>
      </c>
      <c r="H665" s="152" t="n">
        <v>160</v>
      </c>
      <c r="I665" s="152" t="s">
        <v>115</v>
      </c>
      <c r="J665" s="152" t="s">
        <v>6</v>
      </c>
      <c r="K665" s="152" t="s">
        <v>3786</v>
      </c>
      <c r="L665" s="152" t="s">
        <v>120</v>
      </c>
      <c r="M665" s="153" t="n">
        <f aca="false">3.9</f>
        <v>3.9</v>
      </c>
      <c r="N665" s="152" t="s">
        <v>1548</v>
      </c>
      <c r="O665" s="152" t="s">
        <v>1549</v>
      </c>
      <c r="P665" s="152" t="s">
        <v>1550</v>
      </c>
      <c r="Q665" s="152" t="s">
        <v>1551</v>
      </c>
      <c r="R665" s="154" t="s">
        <v>4079</v>
      </c>
      <c r="S665" s="154" t="s">
        <v>1593</v>
      </c>
      <c r="T665" s="155" t="s">
        <v>4002</v>
      </c>
      <c r="U665" s="152" t="str">
        <f aca="false">RIGHT(T665,7)</f>
        <v>015/037</v>
      </c>
      <c r="V665" s="152" t="s">
        <v>1555</v>
      </c>
      <c r="W665" s="156" t="n">
        <v>45882</v>
      </c>
      <c r="X665" s="152" t="s">
        <v>1594</v>
      </c>
      <c r="Y665" s="152" t="s">
        <v>2387</v>
      </c>
      <c r="Z665" s="152" t="s">
        <v>1557</v>
      </c>
      <c r="AA665" s="153" t="n">
        <v>2.4</v>
      </c>
      <c r="AB665" s="151" t="s">
        <v>4080</v>
      </c>
      <c r="AC665" s="151" t="s">
        <v>505</v>
      </c>
      <c r="AD665" s="151" t="str">
        <f aca="false">CONCATENATE($C665,$I665,$H665,$N665,$J665,$K665)</f>
        <v>TUBO PEADPEAD160VCAREDESZona06</v>
      </c>
      <c r="AE665" s="153" t="n">
        <f aca="false">IFERROR(INDEX(APOIO_REDES!$A:$W,MATCH($C665&amp;$I665&amp;$H665&amp;$N665&amp;$O665,APOIO_REDES!$W:$W,0),MATCH(AE$5,APOIO_REDES!$5:$5,0)),0)</f>
        <v>1.2</v>
      </c>
      <c r="AF665" s="153" t="n">
        <f aca="false">IFERROR(INDEX(APOIO_REDES!$A:$W,MATCH($C665&amp;$I665&amp;$H665&amp;$N665&amp;$O665,APOIO_REDES!$W:$W,0),MATCH(AF$5,APOIO_REDES!$5:$5,0)),0)</f>
        <v>1.46</v>
      </c>
      <c r="AG665" s="153" t="n">
        <f aca="false">IFERROR(INDEX(APOIO_REDES!$A:$W,MATCH($C665&amp;$I665&amp;$H665&amp;$N665&amp;$O665,APOIO_REDES!$W:$W,0),MATCH(AG$5,APOIO_REDES!$5:$5,0)),0)</f>
        <v>0.75</v>
      </c>
      <c r="AH665" s="153" t="n">
        <f aca="false">IFERROR(INDEX(APOIO_REDES!$A:$W,MATCH($C665&amp;$I665&amp;$H665&amp;$N665&amp;$O665,APOIO_REDES!$W:$W,0),MATCH(AH$5,APOIO_REDES!$5:$5,0)),0)</f>
        <v>0.1</v>
      </c>
      <c r="AI665" s="153" t="n">
        <f aca="false">IFERROR(IF($H665&lt;&gt;"",(((($H665/1000)/2)^2)*PI()*$M665),0),0)</f>
        <v>0.0784141526336012</v>
      </c>
      <c r="AJ665" s="153" t="n">
        <f aca="false">IFERROR(IF(AND($H665&lt;&gt;"",$I665="FoFo",OR($N665="MND",$N665="VCA"),$Q665="LINEAR"),0,IF(AND($H665&lt;&gt;"",$I665="PEAD",$N665="VCA",$Q665="LINEAR"),($H665/1000)+0.3,IF(AND($H665&lt;&gt;"",$I665="PEAD",$N665="MND",$Q665="EMBOQUE"),0,IF(AND($H665&lt;&gt;"",$I665="PVC",$N665="VCA",$Q665="LINEAR"),($H665/1000)+0.2,IF(AND($H665&lt;&gt;"",$I665="PVC",$N665="MND",$Q665="EMBOQUE"),0,IF(AND($H665&lt;&gt;"",$I665="PEAD",$N665="VCA",$Q665="PREDIAL"),0,0)))))),0)</f>
        <v>0.46</v>
      </c>
      <c r="AK665" s="153" t="n">
        <f aca="false">IF(AA665&lt;&gt;"",AA665,0)</f>
        <v>2.4</v>
      </c>
      <c r="AL665" s="153" t="n">
        <f aca="false">IF(AND($N665="MND",$Q665="EMBOQUE"),$M665,IF(AND($N665="VCA",$Q665="LINEAR"),$M665,IF(AND($N665="VCA",$Q665="PREDIAL"),0,0)))</f>
        <v>3.9</v>
      </c>
      <c r="AM665" s="153" t="n">
        <f aca="false">IF(AND($N665="MND",$Q665="EMBOQUE"),$M665,IF(AND($N665="VCA",$Q665="LINEAR"),$M665,IF(AND($N665="VCA",$Q665="PREDIAL"),0,0)))</f>
        <v>3.9</v>
      </c>
      <c r="AN665" s="153" t="n">
        <f aca="false">ROUND(IF(AND($N665="VCA",$M665&lt;&gt;"",$Q665="LINEAR"),$M665/100,IF(AND($N665="MND",$M665&gt;100,$Q665="EMBOQUE"),$M665/100,0)),0)</f>
        <v>0</v>
      </c>
      <c r="AO665" s="153" t="n">
        <f aca="false">IF(AND($N665="MND",$Q665="EMBOQUE"),$AN665*2*2,IF(AND($N665="VCA",$Q665="LINEAR"),$M665*2,IF(AND($N665="VCA",$Q665="PREDIAL"),0,0)))</f>
        <v>7.8</v>
      </c>
      <c r="AP665" s="153" t="n">
        <f aca="false">IFERROR($M665*$AF665*$AG665,0)</f>
        <v>4.2705</v>
      </c>
      <c r="AQ665" s="153" t="n">
        <f aca="false">IFERROR(IF(AND($N665="VCA",$AH665&gt;0),$M665*$AG665*$AH665,0),0)</f>
        <v>0.2925</v>
      </c>
      <c r="AR665" s="153" t="n">
        <f aca="false">IFERROR(IF(AND($N665="VCA",$AJ665&gt;0),($M665*$AG665*$AJ665)-$AI665,0),0)</f>
        <v>1.2670858473664</v>
      </c>
      <c r="AS665" s="153" t="n">
        <f aca="false">IFERROR(IF(AND($N665="VCA",$AP665&gt;0),$AP665-$AI665-$AQ665-$AR665,0),0)</f>
        <v>2.6325</v>
      </c>
      <c r="AT665" s="153" t="n">
        <f aca="false">IFERROR(IF($N665="VCA",INDEX(APOIO_REDES!$A:$W,MATCH($C665&amp;$I665&amp;$H665&amp;$N665&amp;$O665,APOIO_REDES!$W:$W,0),MATCH(AT$5,APOIO_REDES!$5:$5,0)),0)*$AP665,0)</f>
        <v>0.0464643040034791</v>
      </c>
      <c r="AU665" s="153" t="n">
        <f aca="false">IFERROR(IF($N665="VCA",INDEX(APOIO_REDES!$A:$W,MATCH($C665&amp;$I665&amp;$H665&amp;$N665&amp;$O665,APOIO_REDES!$W:$W,0),MATCH(AU$5,APOIO_REDES!$5:$5,0)),0)*$AP665,0)</f>
        <v>0.0371051347642334</v>
      </c>
      <c r="AV665" s="153" t="n">
        <f aca="false">IFERROR(IF($N665="VCA",INDEX(APOIO_REDES!$A:$W,MATCH($C665&amp;$I665&amp;$H665&amp;$N665&amp;$O665,APOIO_REDES!$W:$W,0),MATCH(AV$5,APOIO_REDES!$5:$5,0)),0)*$AP665,0)</f>
        <v>0.00513505936464122</v>
      </c>
      <c r="AW665" s="153" t="n">
        <f aca="false">IFERROR(IF($N665="VCA",INDEX(APOIO_REDES!$A:$W,MATCH($C665&amp;$I665&amp;$H665&amp;$N665&amp;$O665,APOIO_REDES!$W:$W,0),MATCH(AW$5,APOIO_REDES!$5:$5,0)),0)*$AP665,0)</f>
        <v>2.93130428944869</v>
      </c>
      <c r="AX665" s="153" t="n">
        <f aca="false">IFERROR(IF($N665="VCA",INDEX(APOIO_REDES!$A:$W,MATCH($C665&amp;$I665&amp;$H665&amp;$N665&amp;$O665,APOIO_REDES!$W:$W,0),MATCH(AX$5,APOIO_REDES!$5:$5,0)),0)*$AP665,0)</f>
        <v>0.405684163681374</v>
      </c>
      <c r="AY665" s="153" t="n">
        <f aca="false">IFERROR(IF($N665="VCA",INDEX(APOIO_REDES!$A:$W,MATCH($C665&amp;$I665&amp;$H665&amp;$N665&amp;$O665,APOIO_REDES!$W:$W,0),MATCH(AY$5,APOIO_REDES!$5:$5,0)),0)*$AP665,0)</f>
        <v>0.742102242976084</v>
      </c>
      <c r="AZ665" s="153" t="n">
        <f aca="false">IFERROR(IF($N665="VCA",INDEX(APOIO_REDES!$A:$W,MATCH($C665&amp;$I665&amp;$H665&amp;$N665&amp;$O665,APOIO_REDES!$W:$W,0),MATCH(AZ$5,APOIO_REDES!$5:$5,0)),0)*$AP665,0)</f>
        <v>0.102704805761504</v>
      </c>
      <c r="BA665" s="153" t="n">
        <f aca="false">IFERROR(IF(AND($N665="VCA",$Q665="LINEAR"),INDEX(APOIO_REDES!$A:$W,MATCH($C665&amp;$I665&amp;$H665&amp;$N665&amp;$O665,APOIO_REDES!$W:$W,0),MATCH(BA$5,APOIO_REDES!$5:$5,0)),IF(AND($N665="MND",$Q665="EMBOQUE"),INDEX(APOIO_REDES!$A:$W,MATCH($C665&amp;$I665&amp;$H665&amp;$N665&amp;$O665,APOIO_REDES!$W:$W,0),MATCH(BA$5,APOIO_REDES!$5:$5,0)),0))*$M665/10,0)</f>
        <v>0.314330162561143</v>
      </c>
      <c r="BB665" s="153" t="n">
        <f aca="false">IFERROR(IF($N665="VCA",INDEX(APOIO_REDES!$A:$W,MATCH($C665&amp;$I665&amp;$H665&amp;$N665&amp;$O665,APOIO_REDES!$W:$W,0),MATCH(BB$5,APOIO_REDES!$5:$5,0)),0)*($AI665+$AQ665+$AR665),0)</f>
        <v>1.62017807517675</v>
      </c>
      <c r="BC665" s="153" t="n">
        <f aca="false">IFERROR(IF($N665="VCA",INDEX(APOIO_REDES!$A:$W,MATCH($C665&amp;$I665&amp;$H665&amp;$N665&amp;$O665,APOIO_REDES!$W:$W,0),MATCH(BC$5,APOIO_REDES!$5:$5,0)),0)*($AI665+$AQ665+$AR665),0)</f>
        <v>0.0178219248232523</v>
      </c>
      <c r="BD665" s="153" t="n">
        <f aca="false">IF(AND($N665="VCA",$AF665&gt;=1.25,$AF665&lt;1.5),$M665*$AF665*2,0)</f>
        <v>11.388</v>
      </c>
      <c r="BE665" s="153" t="n">
        <f aca="false">IF(AND($N665="VCA",$AF665&gt;=1.5,$AF665&lt;3),$M665*$AF665*2,0)</f>
        <v>0</v>
      </c>
      <c r="BF665" s="153" t="n">
        <f aca="false">IF(AND($N665="VCA",$AF665&gt;=3),$M665*$AF665*2,0)</f>
        <v>0</v>
      </c>
      <c r="BG665" s="153" t="n">
        <f aca="false">($BB665+$BC665)*$AK665</f>
        <v>3.9312</v>
      </c>
      <c r="BH665" s="153" t="n">
        <f aca="false">IF(AND($M665&lt;&gt;"",$N665="VCA",$Q665="LINEAR"),($M665*2)/100,IF(AND($M665&lt;&gt;"",$N665="MND",$Q665="EMBOQUE"),($AN665*2)/100,0))</f>
        <v>0.078</v>
      </c>
      <c r="BI665" s="153" t="n">
        <f aca="false">IF(AND($M665&lt;&gt;"",$N665="VCA",$Q665="LINEAR"),$M665,IF(AND($M665&lt;&gt;"",$N665="MND",$Q665="EMBOQUE"),$AN665*2,0))</f>
        <v>3.9</v>
      </c>
      <c r="BJ665" s="153" t="n">
        <f aca="false">IF(AND($M665&lt;&gt;"",$N665="VCA",$Q665="LINEAR"),($M665*6.8)/100,IF(AND($M665&lt;&gt;"",$N665="MND",$Q665="EMBOQUE"),($AN665*2*6.8)/100,0))</f>
        <v>0.2652</v>
      </c>
      <c r="BK665" s="153" t="n">
        <f aca="false">IF(AND($M665&lt;&gt;"",$N665="VCA",$Q665="LINEAR"),($M665*2.5)/50,IF(AND($M665&lt;&gt;"",$N665="MND",$Q665="EMBOQUE"),($AN665*2*2.5)/50,0))</f>
        <v>0.195</v>
      </c>
      <c r="BL665" s="157" t="str">
        <f aca="false">K665&amp;J665</f>
        <v>Zona06REDES</v>
      </c>
      <c r="BM665" s="152" t="s">
        <v>3790</v>
      </c>
      <c r="BN665" s="152" t="s">
        <v>1560</v>
      </c>
      <c r="BO665" s="152" t="s">
        <v>4004</v>
      </c>
      <c r="BP665" s="152" t="s">
        <v>4075</v>
      </c>
      <c r="BQ665" s="152" t="s">
        <v>4081</v>
      </c>
      <c r="BR665" s="152" t="s">
        <v>4060</v>
      </c>
      <c r="BS665" s="152" t="n">
        <v>203534.269</v>
      </c>
      <c r="BT665" s="152" t="n">
        <v>8236735.451</v>
      </c>
      <c r="BU665" s="152" t="n">
        <v>203532.047</v>
      </c>
      <c r="BV665" s="152" t="n">
        <v>8236732.249</v>
      </c>
      <c r="BW665" s="152" t="n">
        <v>-15.9309608</v>
      </c>
      <c r="BX665" s="152" t="n">
        <v>-47.7690651</v>
      </c>
      <c r="BY665" s="152" t="s">
        <v>4075</v>
      </c>
    </row>
    <row r="666" customFormat="false" ht="13.8" hidden="false" customHeight="false" outlineLevel="0" collapsed="false">
      <c r="A666" s="149" t="n">
        <f aca="false">IF(C666&lt;&gt;"",ROW(A661),"")</f>
        <v>661</v>
      </c>
      <c r="B666" s="150" t="str">
        <f aca="false">HYPERLINK("https://www.google.com/maps/dir/-15.917302,-47.760003/-15.9309751,-47.7690757/data=!4m3!4m2!3e0!5i0")</f>
        <v>https://www.google.com/maps/dir/-15.917302,-47.760003/-15.9309751,-47.7690757/data=!4m3!4m2!3e0!5i0</v>
      </c>
      <c r="C666" s="151" t="s">
        <v>117</v>
      </c>
      <c r="D666" s="152" t="s">
        <v>112</v>
      </c>
      <c r="E666" s="152" t="s">
        <v>113</v>
      </c>
      <c r="F666" s="152" t="s">
        <v>117</v>
      </c>
      <c r="G666" s="152" t="s">
        <v>114</v>
      </c>
      <c r="H666" s="152" t="n">
        <v>160</v>
      </c>
      <c r="I666" s="152" t="s">
        <v>115</v>
      </c>
      <c r="J666" s="152" t="s">
        <v>6</v>
      </c>
      <c r="K666" s="152" t="s">
        <v>3786</v>
      </c>
      <c r="L666" s="152" t="s">
        <v>120</v>
      </c>
      <c r="M666" s="153" t="n">
        <f aca="false">10.86</f>
        <v>10.86</v>
      </c>
      <c r="N666" s="152" t="s">
        <v>1548</v>
      </c>
      <c r="O666" s="152" t="s">
        <v>1549</v>
      </c>
      <c r="P666" s="152" t="s">
        <v>1550</v>
      </c>
      <c r="Q666" s="152" t="s">
        <v>1551</v>
      </c>
      <c r="R666" s="154" t="s">
        <v>4082</v>
      </c>
      <c r="S666" s="154" t="s">
        <v>1593</v>
      </c>
      <c r="T666" s="155" t="s">
        <v>4002</v>
      </c>
      <c r="U666" s="152" t="str">
        <f aca="false">RIGHT(T666,7)</f>
        <v>015/037</v>
      </c>
      <c r="V666" s="152" t="s">
        <v>1555</v>
      </c>
      <c r="W666" s="156" t="n">
        <v>45882</v>
      </c>
      <c r="X666" s="152" t="s">
        <v>1594</v>
      </c>
      <c r="Y666" s="152" t="s">
        <v>2387</v>
      </c>
      <c r="Z666" s="152" t="s">
        <v>1557</v>
      </c>
      <c r="AA666" s="153" t="n">
        <v>2.4</v>
      </c>
      <c r="AB666" s="151" t="s">
        <v>4083</v>
      </c>
      <c r="AC666" s="151" t="s">
        <v>505</v>
      </c>
      <c r="AD666" s="151" t="str">
        <f aca="false">CONCATENATE($C666,$I666,$H666,$N666,$J666,$K666)</f>
        <v>TUBO PEADPEAD160VCAREDESZona06</v>
      </c>
      <c r="AE666" s="153" t="n">
        <f aca="false">IFERROR(INDEX(APOIO_REDES!$A:$W,MATCH($C666&amp;$I666&amp;$H666&amp;$N666&amp;$O666,APOIO_REDES!$W:$W,0),MATCH(AE$5,APOIO_REDES!$5:$5,0)),0)</f>
        <v>1.2</v>
      </c>
      <c r="AF666" s="153" t="n">
        <f aca="false">IFERROR(INDEX(APOIO_REDES!$A:$W,MATCH($C666&amp;$I666&amp;$H666&amp;$N666&amp;$O666,APOIO_REDES!$W:$W,0),MATCH(AF$5,APOIO_REDES!$5:$5,0)),0)</f>
        <v>1.46</v>
      </c>
      <c r="AG666" s="153" t="n">
        <f aca="false">IFERROR(INDEX(APOIO_REDES!$A:$W,MATCH($C666&amp;$I666&amp;$H666&amp;$N666&amp;$O666,APOIO_REDES!$W:$W,0),MATCH(AG$5,APOIO_REDES!$5:$5,0)),0)</f>
        <v>0.75</v>
      </c>
      <c r="AH666" s="153" t="n">
        <f aca="false">IFERROR(INDEX(APOIO_REDES!$A:$W,MATCH($C666&amp;$I666&amp;$H666&amp;$N666&amp;$O666,APOIO_REDES!$W:$W,0),MATCH(AH$5,APOIO_REDES!$5:$5,0)),0)</f>
        <v>0.1</v>
      </c>
      <c r="AI666" s="153" t="n">
        <f aca="false">IFERROR(IF($H666&lt;&gt;"",(((($H666/1000)/2)^2)*PI()*$M666),0),0)</f>
        <v>0.218353255795105</v>
      </c>
      <c r="AJ666" s="153" t="n">
        <f aca="false">IFERROR(IF(AND($H666&lt;&gt;"",$I666="FoFo",OR($N666="MND",$N666="VCA"),$Q666="LINEAR"),0,IF(AND($H666&lt;&gt;"",$I666="PEAD",$N666="VCA",$Q666="LINEAR"),($H666/1000)+0.3,IF(AND($H666&lt;&gt;"",$I666="PEAD",$N666="MND",$Q666="EMBOQUE"),0,IF(AND($H666&lt;&gt;"",$I666="PVC",$N666="VCA",$Q666="LINEAR"),($H666/1000)+0.2,IF(AND($H666&lt;&gt;"",$I666="PVC",$N666="MND",$Q666="EMBOQUE"),0,IF(AND($H666&lt;&gt;"",$I666="PEAD",$N666="VCA",$Q666="PREDIAL"),0,0)))))),0)</f>
        <v>0.46</v>
      </c>
      <c r="AK666" s="153" t="n">
        <f aca="false">IF(AA666&lt;&gt;"",AA666,0)</f>
        <v>2.4</v>
      </c>
      <c r="AL666" s="153" t="n">
        <f aca="false">IF(AND($N666="MND",$Q666="EMBOQUE"),$M666,IF(AND($N666="VCA",$Q666="LINEAR"),$M666,IF(AND($N666="VCA",$Q666="PREDIAL"),0,0)))</f>
        <v>10.86</v>
      </c>
      <c r="AM666" s="153" t="n">
        <f aca="false">IF(AND($N666="MND",$Q666="EMBOQUE"),$M666,IF(AND($N666="VCA",$Q666="LINEAR"),$M666,IF(AND($N666="VCA",$Q666="PREDIAL"),0,0)))</f>
        <v>10.86</v>
      </c>
      <c r="AN666" s="153" t="n">
        <f aca="false">ROUND(IF(AND($N666="VCA",$M666&lt;&gt;"",$Q666="LINEAR"),$M666/100,IF(AND($N666="MND",$M666&gt;100,$Q666="EMBOQUE"),$M666/100,0)),0)</f>
        <v>0</v>
      </c>
      <c r="AO666" s="153" t="n">
        <f aca="false">IF(AND($N666="MND",$Q666="EMBOQUE"),$AN666*2*2,IF(AND($N666="VCA",$Q666="LINEAR"),$M666*2,IF(AND($N666="VCA",$Q666="PREDIAL"),0,0)))</f>
        <v>21.72</v>
      </c>
      <c r="AP666" s="153" t="n">
        <f aca="false">IFERROR($M666*$AF666*$AG666,0)</f>
        <v>11.8917</v>
      </c>
      <c r="AQ666" s="153" t="n">
        <f aca="false">IFERROR(IF(AND($N666="VCA",$AH666&gt;0),$M666*$AG666*$AH666,0),0)</f>
        <v>0.8145</v>
      </c>
      <c r="AR666" s="153" t="n">
        <f aca="false">IFERROR(IF(AND($N666="VCA",$AJ666&gt;0),($M666*$AG666*$AJ666)-$AI666,0),0)</f>
        <v>3.52834674420489</v>
      </c>
      <c r="AS666" s="153" t="n">
        <f aca="false">IFERROR(IF(AND($N666="VCA",$AP666&gt;0),$AP666-$AI666-$AQ666-$AR666,0),0)</f>
        <v>7.3305</v>
      </c>
      <c r="AT666" s="153" t="n">
        <f aca="false">IFERROR(IF($N666="VCA",INDEX(APOIO_REDES!$A:$W,MATCH($C666&amp;$I666&amp;$H666&amp;$N666&amp;$O666,APOIO_REDES!$W:$W,0),MATCH(AT$5,APOIO_REDES!$5:$5,0)),0)*$AP666,0)</f>
        <v>0.129385215763534</v>
      </c>
      <c r="AU666" s="153" t="n">
        <f aca="false">IFERROR(IF($N666="VCA",INDEX(APOIO_REDES!$A:$W,MATCH($C666&amp;$I666&amp;$H666&amp;$N666&amp;$O666,APOIO_REDES!$W:$W,0),MATCH(AU$5,APOIO_REDES!$5:$5,0)),0)*$AP666,0)</f>
        <v>0.103323529112712</v>
      </c>
      <c r="AV666" s="153" t="n">
        <f aca="false">IFERROR(IF($N666="VCA",INDEX(APOIO_REDES!$A:$W,MATCH($C666&amp;$I666&amp;$H666&amp;$N666&amp;$O666,APOIO_REDES!$W:$W,0),MATCH(AV$5,APOIO_REDES!$5:$5,0)),0)*$AP666,0)</f>
        <v>0.0142991653076932</v>
      </c>
      <c r="AW666" s="153" t="n">
        <f aca="false">IFERROR(IF($N666="VCA",INDEX(APOIO_REDES!$A:$W,MATCH($C666&amp;$I666&amp;$H666&amp;$N666&amp;$O666,APOIO_REDES!$W:$W,0),MATCH(AW$5,APOIO_REDES!$5:$5,0)),0)*$AP666,0)</f>
        <v>8.16255502138788</v>
      </c>
      <c r="AX666" s="153" t="n">
        <f aca="false">IFERROR(IF($N666="VCA",INDEX(APOIO_REDES!$A:$W,MATCH($C666&amp;$I666&amp;$H666&amp;$N666&amp;$O666,APOIO_REDES!$W:$W,0),MATCH(AX$5,APOIO_REDES!$5:$5,0)),0)*$AP666,0)</f>
        <v>1.12967436348198</v>
      </c>
      <c r="AY666" s="153" t="n">
        <f aca="false">IFERROR(IF($N666="VCA",INDEX(APOIO_REDES!$A:$W,MATCH($C666&amp;$I666&amp;$H666&amp;$N666&amp;$O666,APOIO_REDES!$W:$W,0),MATCH(AY$5,APOIO_REDES!$5:$5,0)),0)*$AP666,0)</f>
        <v>2.06646932274879</v>
      </c>
      <c r="AZ666" s="153" t="n">
        <f aca="false">IFERROR(IF($N666="VCA",INDEX(APOIO_REDES!$A:$W,MATCH($C666&amp;$I666&amp;$H666&amp;$N666&amp;$O666,APOIO_REDES!$W:$W,0),MATCH(AZ$5,APOIO_REDES!$5:$5,0)),0)*$AP666,0)</f>
        <v>0.285993382197418</v>
      </c>
      <c r="BA666" s="153" t="n">
        <f aca="false">IFERROR(IF(AND($N666="VCA",$Q666="LINEAR"),INDEX(APOIO_REDES!$A:$W,MATCH($C666&amp;$I666&amp;$H666&amp;$N666&amp;$O666,APOIO_REDES!$W:$W,0),MATCH(BA$5,APOIO_REDES!$5:$5,0)),IF(AND($N666="MND",$Q666="EMBOQUE"),INDEX(APOIO_REDES!$A:$W,MATCH($C666&amp;$I666&amp;$H666&amp;$N666&amp;$O666,APOIO_REDES!$W:$W,0),MATCH(BA$5,APOIO_REDES!$5:$5,0)),0))*$M666/10,0)</f>
        <v>0.875288606516414</v>
      </c>
      <c r="BB666" s="153" t="n">
        <f aca="false">IFERROR(IF($N666="VCA",INDEX(APOIO_REDES!$A:$W,MATCH($C666&amp;$I666&amp;$H666&amp;$N666&amp;$O666,APOIO_REDES!$W:$W,0),MATCH(BB$5,APOIO_REDES!$5:$5,0)),0)*($AI666+$AQ666+$AR666),0)</f>
        <v>4.51157279395371</v>
      </c>
      <c r="BC666" s="153" t="n">
        <f aca="false">IFERROR(IF($N666="VCA",INDEX(APOIO_REDES!$A:$W,MATCH($C666&amp;$I666&amp;$H666&amp;$N666&amp;$O666,APOIO_REDES!$W:$W,0),MATCH(BC$5,APOIO_REDES!$5:$5,0)),0)*($AI666+$AQ666+$AR666),0)</f>
        <v>0.049627206046287</v>
      </c>
      <c r="BD666" s="153" t="n">
        <f aca="false">IF(AND($N666="VCA",$AF666&gt;=1.25,$AF666&lt;1.5),$M666*$AF666*2,0)</f>
        <v>31.7112</v>
      </c>
      <c r="BE666" s="153" t="n">
        <f aca="false">IF(AND($N666="VCA",$AF666&gt;=1.5,$AF666&lt;3),$M666*$AF666*2,0)</f>
        <v>0</v>
      </c>
      <c r="BF666" s="153" t="n">
        <f aca="false">IF(AND($N666="VCA",$AF666&gt;=3),$M666*$AF666*2,0)</f>
        <v>0</v>
      </c>
      <c r="BG666" s="153" t="n">
        <f aca="false">($BB666+$BC666)*$AK666</f>
        <v>10.94688</v>
      </c>
      <c r="BH666" s="153" t="n">
        <f aca="false">IF(AND($M666&lt;&gt;"",$N666="VCA",$Q666="LINEAR"),($M666*2)/100,IF(AND($M666&lt;&gt;"",$N666="MND",$Q666="EMBOQUE"),($AN666*2)/100,0))</f>
        <v>0.2172</v>
      </c>
      <c r="BI666" s="153" t="n">
        <f aca="false">IF(AND($M666&lt;&gt;"",$N666="VCA",$Q666="LINEAR"),$M666,IF(AND($M666&lt;&gt;"",$N666="MND",$Q666="EMBOQUE"),$AN666*2,0))</f>
        <v>10.86</v>
      </c>
      <c r="BJ666" s="153" t="n">
        <f aca="false">IF(AND($M666&lt;&gt;"",$N666="VCA",$Q666="LINEAR"),($M666*6.8)/100,IF(AND($M666&lt;&gt;"",$N666="MND",$Q666="EMBOQUE"),($AN666*2*6.8)/100,0))</f>
        <v>0.73848</v>
      </c>
      <c r="BK666" s="153" t="n">
        <f aca="false">IF(AND($M666&lt;&gt;"",$N666="VCA",$Q666="LINEAR"),($M666*2.5)/50,IF(AND($M666&lt;&gt;"",$N666="MND",$Q666="EMBOQUE"),($AN666*2*2.5)/50,0))</f>
        <v>0.543</v>
      </c>
      <c r="BL666" s="157" t="str">
        <f aca="false">K666&amp;J666</f>
        <v>Zona06REDES</v>
      </c>
      <c r="BM666" s="152" t="s">
        <v>3790</v>
      </c>
      <c r="BN666" s="152" t="s">
        <v>1560</v>
      </c>
      <c r="BO666" s="152" t="s">
        <v>4004</v>
      </c>
      <c r="BP666" s="152" t="s">
        <v>4081</v>
      </c>
      <c r="BQ666" s="152" t="s">
        <v>4050</v>
      </c>
      <c r="BR666" s="152" t="s">
        <v>4007</v>
      </c>
      <c r="BS666" s="152" t="n">
        <v>203532.047</v>
      </c>
      <c r="BT666" s="152" t="n">
        <v>8236732.249</v>
      </c>
      <c r="BU666" s="152" t="n">
        <v>203539.666</v>
      </c>
      <c r="BV666" s="152" t="n">
        <v>8236727.052</v>
      </c>
      <c r="BW666" s="152" t="n">
        <v>-15.9309879</v>
      </c>
      <c r="BX666" s="152" t="n">
        <v>-47.7690323</v>
      </c>
      <c r="BY666" s="152" t="s">
        <v>4081</v>
      </c>
    </row>
    <row r="667" customFormat="false" ht="13.8" hidden="false" customHeight="false" outlineLevel="0" collapsed="false">
      <c r="A667" s="149" t="n">
        <f aca="false">IF(C667&lt;&gt;"",ROW(A662),"")</f>
        <v>662</v>
      </c>
      <c r="B667" s="150" t="str">
        <f aca="false">HYPERLINK("https://www.google.com/maps/dir/-15.917302,-47.760003/-15.9309751,-47.7690757/data=!4m3!4m2!3e0!5i0")</f>
        <v>https://www.google.com/maps/dir/-15.917302,-47.760003/-15.9309751,-47.7690757/data=!4m3!4m2!3e0!5i0</v>
      </c>
      <c r="C667" s="151" t="s">
        <v>117</v>
      </c>
      <c r="D667" s="152" t="s">
        <v>112</v>
      </c>
      <c r="E667" s="152" t="s">
        <v>113</v>
      </c>
      <c r="F667" s="152" t="s">
        <v>117</v>
      </c>
      <c r="G667" s="152" t="s">
        <v>114</v>
      </c>
      <c r="H667" s="152" t="n">
        <v>160</v>
      </c>
      <c r="I667" s="152" t="s">
        <v>115</v>
      </c>
      <c r="J667" s="152" t="s">
        <v>6</v>
      </c>
      <c r="K667" s="152" t="s">
        <v>3786</v>
      </c>
      <c r="L667" s="152" t="s">
        <v>120</v>
      </c>
      <c r="M667" s="153" t="n">
        <f aca="false">8.3</f>
        <v>8.3</v>
      </c>
      <c r="N667" s="152" t="s">
        <v>1548</v>
      </c>
      <c r="O667" s="152" t="s">
        <v>1549</v>
      </c>
      <c r="P667" s="152" t="s">
        <v>1550</v>
      </c>
      <c r="Q667" s="152" t="s">
        <v>1551</v>
      </c>
      <c r="R667" s="154" t="s">
        <v>4084</v>
      </c>
      <c r="S667" s="154" t="s">
        <v>1593</v>
      </c>
      <c r="T667" s="155" t="s">
        <v>4002</v>
      </c>
      <c r="U667" s="152" t="str">
        <f aca="false">RIGHT(T667,7)</f>
        <v>015/037</v>
      </c>
      <c r="V667" s="152" t="s">
        <v>1555</v>
      </c>
      <c r="W667" s="156" t="n">
        <v>45882</v>
      </c>
      <c r="X667" s="152" t="s">
        <v>1594</v>
      </c>
      <c r="Y667" s="152" t="s">
        <v>2387</v>
      </c>
      <c r="Z667" s="152" t="s">
        <v>1557</v>
      </c>
      <c r="AA667" s="153" t="n">
        <v>2.4</v>
      </c>
      <c r="AB667" s="151" t="s">
        <v>4085</v>
      </c>
      <c r="AC667" s="151" t="s">
        <v>505</v>
      </c>
      <c r="AD667" s="151" t="str">
        <f aca="false">CONCATENATE($C667,$I667,$H667,$N667,$J667,$K667)</f>
        <v>TUBO PEADPEAD160VCAREDESZona06</v>
      </c>
      <c r="AE667" s="153" t="n">
        <f aca="false">IFERROR(INDEX(APOIO_REDES!$A:$W,MATCH($C667&amp;$I667&amp;$H667&amp;$N667&amp;$O667,APOIO_REDES!$W:$W,0),MATCH(AE$5,APOIO_REDES!$5:$5,0)),0)</f>
        <v>1.2</v>
      </c>
      <c r="AF667" s="153" t="n">
        <f aca="false">IFERROR(INDEX(APOIO_REDES!$A:$W,MATCH($C667&amp;$I667&amp;$H667&amp;$N667&amp;$O667,APOIO_REDES!$W:$W,0),MATCH(AF$5,APOIO_REDES!$5:$5,0)),0)</f>
        <v>1.46</v>
      </c>
      <c r="AG667" s="153" t="n">
        <f aca="false">IFERROR(INDEX(APOIO_REDES!$A:$W,MATCH($C667&amp;$I667&amp;$H667&amp;$N667&amp;$O667,APOIO_REDES!$W:$W,0),MATCH(AG$5,APOIO_REDES!$5:$5,0)),0)</f>
        <v>0.75</v>
      </c>
      <c r="AH667" s="153" t="n">
        <f aca="false">IFERROR(INDEX(APOIO_REDES!$A:$W,MATCH($C667&amp;$I667&amp;$H667&amp;$N667&amp;$O667,APOIO_REDES!$W:$W,0),MATCH(AH$5,APOIO_REDES!$5:$5,0)),0)</f>
        <v>0.1</v>
      </c>
      <c r="AI667" s="153" t="n">
        <f aca="false">IFERROR(IF($H667&lt;&gt;"",(((($H667/1000)/2)^2)*PI()*$M667),0),0)</f>
        <v>0.16688140175869</v>
      </c>
      <c r="AJ667" s="153" t="n">
        <f aca="false">IFERROR(IF(AND($H667&lt;&gt;"",$I667="FoFo",OR($N667="MND",$N667="VCA"),$Q667="LINEAR"),0,IF(AND($H667&lt;&gt;"",$I667="PEAD",$N667="VCA",$Q667="LINEAR"),($H667/1000)+0.3,IF(AND($H667&lt;&gt;"",$I667="PEAD",$N667="MND",$Q667="EMBOQUE"),0,IF(AND($H667&lt;&gt;"",$I667="PVC",$N667="VCA",$Q667="LINEAR"),($H667/1000)+0.2,IF(AND($H667&lt;&gt;"",$I667="PVC",$N667="MND",$Q667="EMBOQUE"),0,IF(AND($H667&lt;&gt;"",$I667="PEAD",$N667="VCA",$Q667="PREDIAL"),0,0)))))),0)</f>
        <v>0.46</v>
      </c>
      <c r="AK667" s="153" t="n">
        <f aca="false">IF(AA667&lt;&gt;"",AA667,0)</f>
        <v>2.4</v>
      </c>
      <c r="AL667" s="153" t="n">
        <f aca="false">IF(AND($N667="MND",$Q667="EMBOQUE"),$M667,IF(AND($N667="VCA",$Q667="LINEAR"),$M667,IF(AND($N667="VCA",$Q667="PREDIAL"),0,0)))</f>
        <v>8.3</v>
      </c>
      <c r="AM667" s="153" t="n">
        <f aca="false">IF(AND($N667="MND",$Q667="EMBOQUE"),$M667,IF(AND($N667="VCA",$Q667="LINEAR"),$M667,IF(AND($N667="VCA",$Q667="PREDIAL"),0,0)))</f>
        <v>8.3</v>
      </c>
      <c r="AN667" s="153" t="n">
        <f aca="false">ROUND(IF(AND($N667="VCA",$M667&lt;&gt;"",$Q667="LINEAR"),$M667/100,IF(AND($N667="MND",$M667&gt;100,$Q667="EMBOQUE"),$M667/100,0)),0)</f>
        <v>0</v>
      </c>
      <c r="AO667" s="153" t="n">
        <f aca="false">IF(AND($N667="MND",$Q667="EMBOQUE"),$AN667*2*2,IF(AND($N667="VCA",$Q667="LINEAR"),$M667*2,IF(AND($N667="VCA",$Q667="PREDIAL"),0,0)))</f>
        <v>16.6</v>
      </c>
      <c r="AP667" s="153" t="n">
        <f aca="false">IFERROR($M667*$AF667*$AG667,0)</f>
        <v>9.0885</v>
      </c>
      <c r="AQ667" s="153" t="n">
        <f aca="false">IFERROR(IF(AND($N667="VCA",$AH667&gt;0),$M667*$AG667*$AH667,0),0)</f>
        <v>0.6225</v>
      </c>
      <c r="AR667" s="153" t="n">
        <f aca="false">IFERROR(IF(AND($N667="VCA",$AJ667&gt;0),($M667*$AG667*$AJ667)-$AI667,0),0)</f>
        <v>2.69661859824131</v>
      </c>
      <c r="AS667" s="153" t="n">
        <f aca="false">IFERROR(IF(AND($N667="VCA",$AP667&gt;0),$AP667-$AI667-$AQ667-$AR667,0),0)</f>
        <v>5.6025</v>
      </c>
      <c r="AT667" s="153" t="n">
        <f aca="false">IFERROR(IF($N667="VCA",INDEX(APOIO_REDES!$A:$W,MATCH($C667&amp;$I667&amp;$H667&amp;$N667&amp;$O667,APOIO_REDES!$W:$W,0),MATCH(AT$5,APOIO_REDES!$5:$5,0)),0)*$AP667,0)</f>
        <v>0.0988855700586863</v>
      </c>
      <c r="AU667" s="153" t="n">
        <f aca="false">IFERROR(IF($N667="VCA",INDEX(APOIO_REDES!$A:$W,MATCH($C667&amp;$I667&amp;$H667&amp;$N667&amp;$O667,APOIO_REDES!$W:$W,0),MATCH(AU$5,APOIO_REDES!$5:$5,0)),0)*$AP667,0)</f>
        <v>0.078967338087984</v>
      </c>
      <c r="AV667" s="153" t="n">
        <f aca="false">IFERROR(IF($N667="VCA",INDEX(APOIO_REDES!$A:$W,MATCH($C667&amp;$I667&amp;$H667&amp;$N667&amp;$O667,APOIO_REDES!$W:$W,0),MATCH(AV$5,APOIO_REDES!$5:$5,0)),0)*$AP667,0)</f>
        <v>0.0109284596734672</v>
      </c>
      <c r="AW667" s="153" t="n">
        <f aca="false">IFERROR(IF($N667="VCA",INDEX(APOIO_REDES!$A:$W,MATCH($C667&amp;$I667&amp;$H667&amp;$N667&amp;$O667,APOIO_REDES!$W:$W,0),MATCH(AW$5,APOIO_REDES!$5:$5,0)),0)*$AP667,0)</f>
        <v>6.23841682113438</v>
      </c>
      <c r="AX667" s="153" t="n">
        <f aca="false">IFERROR(IF($N667="VCA",INDEX(APOIO_REDES!$A:$W,MATCH($C667&amp;$I667&amp;$H667&amp;$N667&amp;$O667,APOIO_REDES!$W:$W,0),MATCH(AX$5,APOIO_REDES!$5:$5,0)),0)*$AP667,0)</f>
        <v>0.863379117578308</v>
      </c>
      <c r="AY667" s="153" t="n">
        <f aca="false">IFERROR(IF($N667="VCA",INDEX(APOIO_REDES!$A:$W,MATCH($C667&amp;$I667&amp;$H667&amp;$N667&amp;$O667,APOIO_REDES!$W:$W,0),MATCH(AY$5,APOIO_REDES!$5:$5,0)),0)*$AP667,0)</f>
        <v>1.57934579915423</v>
      </c>
      <c r="AZ667" s="153" t="n">
        <f aca="false">IFERROR(IF($N667="VCA",INDEX(APOIO_REDES!$A:$W,MATCH($C667&amp;$I667&amp;$H667&amp;$N667&amp;$O667,APOIO_REDES!$W:$W,0),MATCH(AZ$5,APOIO_REDES!$5:$5,0)),0)*$AP667,0)</f>
        <v>0.218576894312944</v>
      </c>
      <c r="BA667" s="153" t="n">
        <f aca="false">IFERROR(IF(AND($N667="VCA",$Q667="LINEAR"),INDEX(APOIO_REDES!$A:$W,MATCH($C667&amp;$I667&amp;$H667&amp;$N667&amp;$O667,APOIO_REDES!$W:$W,0),MATCH(BA$5,APOIO_REDES!$5:$5,0)),IF(AND($N667="MND",$Q667="EMBOQUE"),INDEX(APOIO_REDES!$A:$W,MATCH($C667&amp;$I667&amp;$H667&amp;$N667&amp;$O667,APOIO_REDES!$W:$W,0),MATCH(BA$5,APOIO_REDES!$5:$5,0)),0))*$M667/10,0)</f>
        <v>0.668959063912176</v>
      </c>
      <c r="BB667" s="153" t="n">
        <f aca="false">IFERROR(IF($N667="VCA",INDEX(APOIO_REDES!$A:$W,MATCH($C667&amp;$I667&amp;$H667&amp;$N667&amp;$O667,APOIO_REDES!$W:$W,0),MATCH(BB$5,APOIO_REDES!$5:$5,0)),0)*($AI667+$AQ667+$AR667),0)</f>
        <v>3.44807128819667</v>
      </c>
      <c r="BC667" s="153" t="n">
        <f aca="false">IFERROR(IF($N667="VCA",INDEX(APOIO_REDES!$A:$W,MATCH($C667&amp;$I667&amp;$H667&amp;$N667&amp;$O667,APOIO_REDES!$W:$W,0),MATCH(BC$5,APOIO_REDES!$5:$5,0)),0)*($AI667+$AQ667+$AR667),0)</f>
        <v>0.0379287118033317</v>
      </c>
      <c r="BD667" s="153" t="n">
        <f aca="false">IF(AND($N667="VCA",$AF667&gt;=1.25,$AF667&lt;1.5),$M667*$AF667*2,0)</f>
        <v>24.236</v>
      </c>
      <c r="BE667" s="153" t="n">
        <f aca="false">IF(AND($N667="VCA",$AF667&gt;=1.5,$AF667&lt;3),$M667*$AF667*2,0)</f>
        <v>0</v>
      </c>
      <c r="BF667" s="153" t="n">
        <f aca="false">IF(AND($N667="VCA",$AF667&gt;=3),$M667*$AF667*2,0)</f>
        <v>0</v>
      </c>
      <c r="BG667" s="153" t="n">
        <f aca="false">($BB667+$BC667)*$AK667</f>
        <v>8.3664</v>
      </c>
      <c r="BH667" s="153" t="n">
        <f aca="false">IF(AND($M667&lt;&gt;"",$N667="VCA",$Q667="LINEAR"),($M667*2)/100,IF(AND($M667&lt;&gt;"",$N667="MND",$Q667="EMBOQUE"),($AN667*2)/100,0))</f>
        <v>0.166</v>
      </c>
      <c r="BI667" s="153" t="n">
        <f aca="false">IF(AND($M667&lt;&gt;"",$N667="VCA",$Q667="LINEAR"),$M667,IF(AND($M667&lt;&gt;"",$N667="MND",$Q667="EMBOQUE"),$AN667*2,0))</f>
        <v>8.3</v>
      </c>
      <c r="BJ667" s="153" t="n">
        <f aca="false">IF(AND($M667&lt;&gt;"",$N667="VCA",$Q667="LINEAR"),($M667*6.8)/100,IF(AND($M667&lt;&gt;"",$N667="MND",$Q667="EMBOQUE"),($AN667*2*6.8)/100,0))</f>
        <v>0.5644</v>
      </c>
      <c r="BK667" s="153" t="n">
        <f aca="false">IF(AND($M667&lt;&gt;"",$N667="VCA",$Q667="LINEAR"),($M667*2.5)/50,IF(AND($M667&lt;&gt;"",$N667="MND",$Q667="EMBOQUE"),($AN667*2*2.5)/50,0))</f>
        <v>0.415</v>
      </c>
      <c r="BL667" s="157" t="str">
        <f aca="false">K667&amp;J667</f>
        <v>Zona06REDES</v>
      </c>
      <c r="BM667" s="152" t="s">
        <v>3790</v>
      </c>
      <c r="BN667" s="152" t="s">
        <v>1560</v>
      </c>
      <c r="BO667" s="152" t="s">
        <v>4004</v>
      </c>
      <c r="BP667" s="152" t="s">
        <v>4081</v>
      </c>
      <c r="BQ667" s="152" t="s">
        <v>4086</v>
      </c>
      <c r="BR667" s="152" t="s">
        <v>4060</v>
      </c>
      <c r="BS667" s="152" t="n">
        <v>203532.047</v>
      </c>
      <c r="BT667" s="152" t="n">
        <v>8236732.249</v>
      </c>
      <c r="BU667" s="152" t="n">
        <v>203527.318</v>
      </c>
      <c r="BV667" s="152" t="n">
        <v>8236725.434</v>
      </c>
      <c r="BW667" s="152" t="n">
        <v>-15.9310056</v>
      </c>
      <c r="BX667" s="152" t="n">
        <v>-47.7690982</v>
      </c>
      <c r="BY667" s="152" t="s">
        <v>4081</v>
      </c>
    </row>
    <row r="668" customFormat="false" ht="13.8" hidden="false" customHeight="false" outlineLevel="0" collapsed="false">
      <c r="A668" s="149" t="n">
        <f aca="false">IF(C668&lt;&gt;"",ROW(A663),"")</f>
        <v>663</v>
      </c>
      <c r="B668" s="150" t="str">
        <f aca="false">HYPERLINK("https://www.google.com/maps/dir/-15.917302,-47.760003/-15.9310336,-47.7691243/data=!4m3!4m2!3e0!5i2")</f>
        <v>https://www.google.com/maps/dir/-15.917302,-47.760003/-15.9310336,-47.7691243/data=!4m3!4m2!3e0!5i2</v>
      </c>
      <c r="C668" s="151" t="s">
        <v>117</v>
      </c>
      <c r="D668" s="152" t="s">
        <v>112</v>
      </c>
      <c r="E668" s="152" t="s">
        <v>113</v>
      </c>
      <c r="F668" s="152" t="s">
        <v>117</v>
      </c>
      <c r="G668" s="152" t="s">
        <v>114</v>
      </c>
      <c r="H668" s="152" t="n">
        <v>160</v>
      </c>
      <c r="I668" s="152" t="s">
        <v>115</v>
      </c>
      <c r="J668" s="152" t="s">
        <v>6</v>
      </c>
      <c r="K668" s="152" t="s">
        <v>3786</v>
      </c>
      <c r="L668" s="152" t="s">
        <v>120</v>
      </c>
      <c r="M668" s="153" t="n">
        <f aca="false">8.07</f>
        <v>8.07</v>
      </c>
      <c r="N668" s="152" t="s">
        <v>1548</v>
      </c>
      <c r="O668" s="152" t="s">
        <v>1549</v>
      </c>
      <c r="P668" s="152" t="s">
        <v>1550</v>
      </c>
      <c r="Q668" s="152" t="s">
        <v>1551</v>
      </c>
      <c r="R668" s="154" t="s">
        <v>4087</v>
      </c>
      <c r="S668" s="154" t="s">
        <v>1593</v>
      </c>
      <c r="T668" s="155" t="s">
        <v>4002</v>
      </c>
      <c r="U668" s="152" t="str">
        <f aca="false">RIGHT(T668,7)</f>
        <v>015/037</v>
      </c>
      <c r="V668" s="152" t="s">
        <v>1555</v>
      </c>
      <c r="W668" s="156" t="n">
        <v>45882</v>
      </c>
      <c r="X668" s="152" t="s">
        <v>1594</v>
      </c>
      <c r="Y668" s="152" t="s">
        <v>2387</v>
      </c>
      <c r="Z668" s="152" t="s">
        <v>1557</v>
      </c>
      <c r="AA668" s="153" t="n">
        <v>3</v>
      </c>
      <c r="AB668" s="151" t="s">
        <v>4088</v>
      </c>
      <c r="AC668" s="151" t="s">
        <v>505</v>
      </c>
      <c r="AD668" s="151" t="str">
        <f aca="false">CONCATENATE($C668,$I668,$H668,$N668,$J668,$K668)</f>
        <v>TUBO PEADPEAD160VCAREDESZona06</v>
      </c>
      <c r="AE668" s="153" t="n">
        <f aca="false">IFERROR(INDEX(APOIO_REDES!$A:$W,MATCH($C668&amp;$I668&amp;$H668&amp;$N668&amp;$O668,APOIO_REDES!$W:$W,0),MATCH(AE$5,APOIO_REDES!$5:$5,0)),0)</f>
        <v>1.2</v>
      </c>
      <c r="AF668" s="153" t="n">
        <f aca="false">IFERROR(INDEX(APOIO_REDES!$A:$W,MATCH($C668&amp;$I668&amp;$H668&amp;$N668&amp;$O668,APOIO_REDES!$W:$W,0),MATCH(AF$5,APOIO_REDES!$5:$5,0)),0)</f>
        <v>1.46</v>
      </c>
      <c r="AG668" s="153" t="n">
        <f aca="false">IFERROR(INDEX(APOIO_REDES!$A:$W,MATCH($C668&amp;$I668&amp;$H668&amp;$N668&amp;$O668,APOIO_REDES!$W:$W,0),MATCH(AG$5,APOIO_REDES!$5:$5,0)),0)</f>
        <v>0.75</v>
      </c>
      <c r="AH668" s="153" t="n">
        <f aca="false">IFERROR(INDEX(APOIO_REDES!$A:$W,MATCH($C668&amp;$I668&amp;$H668&amp;$N668&amp;$O668,APOIO_REDES!$W:$W,0),MATCH(AH$5,APOIO_REDES!$5:$5,0)),0)</f>
        <v>0.1</v>
      </c>
      <c r="AI668" s="153" t="n">
        <f aca="false">IFERROR(IF($H668&lt;&gt;"",(((($H668/1000)/2)^2)*PI()*$M668),0),0)</f>
        <v>0.162256977372606</v>
      </c>
      <c r="AJ668" s="153" t="n">
        <f aca="false">IFERROR(IF(AND($H668&lt;&gt;"",$I668="FoFo",OR($N668="MND",$N668="VCA"),$Q668="LINEAR"),0,IF(AND($H668&lt;&gt;"",$I668="PEAD",$N668="VCA",$Q668="LINEAR"),($H668/1000)+0.3,IF(AND($H668&lt;&gt;"",$I668="PEAD",$N668="MND",$Q668="EMBOQUE"),0,IF(AND($H668&lt;&gt;"",$I668="PVC",$N668="VCA",$Q668="LINEAR"),($H668/1000)+0.2,IF(AND($H668&lt;&gt;"",$I668="PVC",$N668="MND",$Q668="EMBOQUE"),0,IF(AND($H668&lt;&gt;"",$I668="PEAD",$N668="VCA",$Q668="PREDIAL"),0,0)))))),0)</f>
        <v>0.46</v>
      </c>
      <c r="AK668" s="153" t="n">
        <f aca="false">IF(AA668&lt;&gt;"",AA668,0)</f>
        <v>3</v>
      </c>
      <c r="AL668" s="153" t="n">
        <f aca="false">IF(AND($N668="MND",$Q668="EMBOQUE"),$M668,IF(AND($N668="VCA",$Q668="LINEAR"),$M668,IF(AND($N668="VCA",$Q668="PREDIAL"),0,0)))</f>
        <v>8.07</v>
      </c>
      <c r="AM668" s="153" t="n">
        <f aca="false">IF(AND($N668="MND",$Q668="EMBOQUE"),$M668,IF(AND($N668="VCA",$Q668="LINEAR"),$M668,IF(AND($N668="VCA",$Q668="PREDIAL"),0,0)))</f>
        <v>8.07</v>
      </c>
      <c r="AN668" s="153" t="n">
        <f aca="false">ROUND(IF(AND($N668="VCA",$M668&lt;&gt;"",$Q668="LINEAR"),$M668/100,IF(AND($N668="MND",$M668&gt;100,$Q668="EMBOQUE"),$M668/100,0)),0)</f>
        <v>0</v>
      </c>
      <c r="AO668" s="153" t="n">
        <f aca="false">IF(AND($N668="MND",$Q668="EMBOQUE"),$AN668*2*2,IF(AND($N668="VCA",$Q668="LINEAR"),$M668*2,IF(AND($N668="VCA",$Q668="PREDIAL"),0,0)))</f>
        <v>16.14</v>
      </c>
      <c r="AP668" s="153" t="n">
        <f aca="false">IFERROR($M668*$AF668*$AG668,0)</f>
        <v>8.83665</v>
      </c>
      <c r="AQ668" s="153" t="n">
        <f aca="false">IFERROR(IF(AND($N668="VCA",$AH668&gt;0),$M668*$AG668*$AH668,0),0)</f>
        <v>0.60525</v>
      </c>
      <c r="AR668" s="153" t="n">
        <f aca="false">IFERROR(IF(AND($N668="VCA",$AJ668&gt;0),($M668*$AG668*$AJ668)-$AI668,0),0)</f>
        <v>2.62189302262739</v>
      </c>
      <c r="AS668" s="153" t="n">
        <f aca="false">IFERROR(IF(AND($N668="VCA",$AP668&gt;0),$AP668-$AI668-$AQ668-$AR668,0),0)</f>
        <v>5.44725</v>
      </c>
      <c r="AT668" s="153" t="n">
        <f aca="false">IFERROR(IF($N668="VCA",INDEX(APOIO_REDES!$A:$W,MATCH($C668&amp;$I668&amp;$H668&amp;$N668&amp;$O668,APOIO_REDES!$W:$W,0),MATCH(AT$5,APOIO_REDES!$5:$5,0)),0)*$AP668,0)</f>
        <v>0.0961453675148913</v>
      </c>
      <c r="AU668" s="153" t="n">
        <f aca="false">IFERROR(IF($N668="VCA",INDEX(APOIO_REDES!$A:$W,MATCH($C668&amp;$I668&amp;$H668&amp;$N668&amp;$O668,APOIO_REDES!$W:$W,0),MATCH(AU$5,APOIO_REDES!$5:$5,0)),0)*$AP668,0)</f>
        <v>0.0767790865506061</v>
      </c>
      <c r="AV668" s="153" t="n">
        <f aca="false">IFERROR(IF($N668="VCA",INDEX(APOIO_REDES!$A:$W,MATCH($C668&amp;$I668&amp;$H668&amp;$N668&amp;$O668,APOIO_REDES!$W:$W,0),MATCH(AV$5,APOIO_REDES!$5:$5,0)),0)*$AP668,0)</f>
        <v>0.0106256228391422</v>
      </c>
      <c r="AW668" s="153" t="n">
        <f aca="false">IFERROR(IF($N668="VCA",INDEX(APOIO_REDES!$A:$W,MATCH($C668&amp;$I668&amp;$H668&amp;$N668&amp;$O668,APOIO_REDES!$W:$W,0),MATCH(AW$5,APOIO_REDES!$5:$5,0)),0)*$AP668,0)</f>
        <v>6.06554502970536</v>
      </c>
      <c r="AX668" s="153" t="n">
        <f aca="false">IFERROR(IF($N668="VCA",INDEX(APOIO_REDES!$A:$W,MATCH($C668&amp;$I668&amp;$H668&amp;$N668&amp;$O668,APOIO_REDES!$W:$W,0),MATCH(AX$5,APOIO_REDES!$5:$5,0)),0)*$AP668,0)</f>
        <v>0.83945415407915</v>
      </c>
      <c r="AY668" s="153" t="n">
        <f aca="false">IFERROR(IF($N668="VCA",INDEX(APOIO_REDES!$A:$W,MATCH($C668&amp;$I668&amp;$H668&amp;$N668&amp;$O668,APOIO_REDES!$W:$W,0),MATCH(AY$5,APOIO_REDES!$5:$5,0)),0)*$AP668,0)</f>
        <v>1.53558079508128</v>
      </c>
      <c r="AZ668" s="153" t="n">
        <f aca="false">IFERROR(IF($N668="VCA",INDEX(APOIO_REDES!$A:$W,MATCH($C668&amp;$I668&amp;$H668&amp;$N668&amp;$O668,APOIO_REDES!$W:$W,0),MATCH(AZ$5,APOIO_REDES!$5:$5,0)),0)*$AP668,0)</f>
        <v>0.212519944229573</v>
      </c>
      <c r="BA668" s="153" t="n">
        <f aca="false">IFERROR(IF(AND($N668="VCA",$Q668="LINEAR"),INDEX(APOIO_REDES!$A:$W,MATCH($C668&amp;$I668&amp;$H668&amp;$N668&amp;$O668,APOIO_REDES!$W:$W,0),MATCH(BA$5,APOIO_REDES!$5:$5,0)),IF(AND($N668="MND",$Q668="EMBOQUE"),INDEX(APOIO_REDES!$A:$W,MATCH($C668&amp;$I668&amp;$H668&amp;$N668&amp;$O668,APOIO_REDES!$W:$W,0),MATCH(BA$5,APOIO_REDES!$5:$5,0)),0))*$M668/10,0)</f>
        <v>0.650421644068827</v>
      </c>
      <c r="BB668" s="153" t="n">
        <f aca="false">IFERROR(IF($N668="VCA",INDEX(APOIO_REDES!$A:$W,MATCH($C668&amp;$I668&amp;$H668&amp;$N668&amp;$O668,APOIO_REDES!$W:$W,0),MATCH(BB$5,APOIO_REDES!$5:$5,0)),0)*($AI668+$AQ668+$AR668),0)</f>
        <v>3.35252232478881</v>
      </c>
      <c r="BC668" s="153" t="n">
        <f aca="false">IFERROR(IF($N668="VCA",INDEX(APOIO_REDES!$A:$W,MATCH($C668&amp;$I668&amp;$H668&amp;$N668&amp;$O668,APOIO_REDES!$W:$W,0),MATCH(BC$5,APOIO_REDES!$5:$5,0)),0)*($AI668+$AQ668+$AR668),0)</f>
        <v>0.0368776752111912</v>
      </c>
      <c r="BD668" s="153" t="n">
        <f aca="false">IF(AND($N668="VCA",$AF668&gt;=1.25,$AF668&lt;1.5),$M668*$AF668*2,0)</f>
        <v>23.5644</v>
      </c>
      <c r="BE668" s="153" t="n">
        <f aca="false">IF(AND($N668="VCA",$AF668&gt;=1.5,$AF668&lt;3),$M668*$AF668*2,0)</f>
        <v>0</v>
      </c>
      <c r="BF668" s="153" t="n">
        <f aca="false">IF(AND($N668="VCA",$AF668&gt;=3),$M668*$AF668*2,0)</f>
        <v>0</v>
      </c>
      <c r="BG668" s="153" t="n">
        <f aca="false">($BB668+$BC668)*$AK668</f>
        <v>10.1682</v>
      </c>
      <c r="BH668" s="153" t="n">
        <f aca="false">IF(AND($M668&lt;&gt;"",$N668="VCA",$Q668="LINEAR"),($M668*2)/100,IF(AND($M668&lt;&gt;"",$N668="MND",$Q668="EMBOQUE"),($AN668*2)/100,0))</f>
        <v>0.1614</v>
      </c>
      <c r="BI668" s="153" t="n">
        <f aca="false">IF(AND($M668&lt;&gt;"",$N668="VCA",$Q668="LINEAR"),$M668,IF(AND($M668&lt;&gt;"",$N668="MND",$Q668="EMBOQUE"),$AN668*2,0))</f>
        <v>8.07</v>
      </c>
      <c r="BJ668" s="153" t="n">
        <f aca="false">IF(AND($M668&lt;&gt;"",$N668="VCA",$Q668="LINEAR"),($M668*6.8)/100,IF(AND($M668&lt;&gt;"",$N668="MND",$Q668="EMBOQUE"),($AN668*2*6.8)/100,0))</f>
        <v>0.54876</v>
      </c>
      <c r="BK668" s="153" t="n">
        <f aca="false">IF(AND($M668&lt;&gt;"",$N668="VCA",$Q668="LINEAR"),($M668*2.5)/50,IF(AND($M668&lt;&gt;"",$N668="MND",$Q668="EMBOQUE"),($AN668*2*2.5)/50,0))</f>
        <v>0.4035</v>
      </c>
      <c r="BL668" s="157" t="str">
        <f aca="false">K668&amp;J668</f>
        <v>Zona06REDES</v>
      </c>
      <c r="BM668" s="152" t="s">
        <v>3790</v>
      </c>
      <c r="BN668" s="152" t="s">
        <v>1560</v>
      </c>
      <c r="BO668" s="152" t="s">
        <v>4004</v>
      </c>
      <c r="BP668" s="152" t="s">
        <v>4086</v>
      </c>
      <c r="BQ668" s="152" t="s">
        <v>4089</v>
      </c>
      <c r="BR668" s="152" t="s">
        <v>4060</v>
      </c>
      <c r="BS668" s="152" t="n">
        <v>203527.318</v>
      </c>
      <c r="BT668" s="152" t="n">
        <v>8236725.434</v>
      </c>
      <c r="BU668" s="152" t="n">
        <v>203522.715</v>
      </c>
      <c r="BV668" s="152" t="n">
        <v>8236718.801</v>
      </c>
      <c r="BW668" s="152" t="n">
        <v>-15.9310658</v>
      </c>
      <c r="BX668" s="152" t="n">
        <v>-47.7691426</v>
      </c>
      <c r="BY668" s="152" t="s">
        <v>4086</v>
      </c>
    </row>
    <row r="669" customFormat="false" ht="13.8" hidden="false" customHeight="false" outlineLevel="0" collapsed="false">
      <c r="A669" s="149" t="n">
        <f aca="false">IF(C669&lt;&gt;"",ROW(A664),"")</f>
        <v>664</v>
      </c>
      <c r="B669" s="150" t="str">
        <f aca="false">HYPERLINK("https://www.google.com/maps/dir/-15.917302,-47.760003/-15.9313737,-47.7676400/data=!4m3!4m2!3e0!5i2")</f>
        <v>https://www.google.com/maps/dir/-15.917302,-47.760003/-15.9313737,-47.7676400/data=!4m3!4m2!3e0!5i2</v>
      </c>
      <c r="C669" s="151" t="s">
        <v>117</v>
      </c>
      <c r="D669" s="152" t="s">
        <v>112</v>
      </c>
      <c r="E669" s="152" t="s">
        <v>113</v>
      </c>
      <c r="F669" s="152" t="s">
        <v>117</v>
      </c>
      <c r="G669" s="152" t="s">
        <v>782</v>
      </c>
      <c r="H669" s="152" t="n">
        <v>63</v>
      </c>
      <c r="I669" s="152" t="s">
        <v>115</v>
      </c>
      <c r="J669" s="152" t="s">
        <v>6</v>
      </c>
      <c r="K669" s="152" t="s">
        <v>3786</v>
      </c>
      <c r="L669" s="152" t="s">
        <v>120</v>
      </c>
      <c r="M669" s="153" t="n">
        <f aca="false">182.62</f>
        <v>182.62</v>
      </c>
      <c r="N669" s="152" t="s">
        <v>1548</v>
      </c>
      <c r="O669" s="152" t="s">
        <v>1549</v>
      </c>
      <c r="P669" s="152" t="s">
        <v>1550</v>
      </c>
      <c r="Q669" s="152" t="s">
        <v>1551</v>
      </c>
      <c r="R669" s="154" t="s">
        <v>4090</v>
      </c>
      <c r="S669" s="154" t="s">
        <v>1553</v>
      </c>
      <c r="T669" s="155" t="s">
        <v>4002</v>
      </c>
      <c r="U669" s="152" t="str">
        <f aca="false">RIGHT(T669,7)</f>
        <v>015/037</v>
      </c>
      <c r="V669" s="152" t="s">
        <v>1555</v>
      </c>
      <c r="W669" s="156" t="n">
        <v>45882</v>
      </c>
      <c r="X669" s="152" t="s">
        <v>1594</v>
      </c>
      <c r="Y669" s="152"/>
      <c r="Z669" s="152" t="s">
        <v>1557</v>
      </c>
      <c r="AA669" s="153" t="n">
        <v>4</v>
      </c>
      <c r="AB669" s="151" t="s">
        <v>4091</v>
      </c>
      <c r="AC669" s="151" t="s">
        <v>186</v>
      </c>
      <c r="AD669" s="151" t="str">
        <f aca="false">CONCATENATE($C669,$I669,$H669,$N669,$J669,$K669)</f>
        <v>TUBO PEADPEAD63VCAREDESZona06</v>
      </c>
      <c r="AE669" s="153" t="n">
        <f aca="false">IFERROR(INDEX(APOIO_REDES!$A:$W,MATCH($C669&amp;$I669&amp;$H669&amp;$N669&amp;$O669,APOIO_REDES!$W:$W,0),MATCH(AE$5,APOIO_REDES!$5:$5,0)),0)</f>
        <v>1.2</v>
      </c>
      <c r="AF669" s="153" t="n">
        <f aca="false">IFERROR(INDEX(APOIO_REDES!$A:$W,MATCH($C669&amp;$I669&amp;$H669&amp;$N669&amp;$O669,APOIO_REDES!$W:$W,0),MATCH(AF$5,APOIO_REDES!$5:$5,0)),0)</f>
        <v>1.363</v>
      </c>
      <c r="AG669" s="153" t="n">
        <f aca="false">IFERROR(INDEX(APOIO_REDES!$A:$W,MATCH($C669&amp;$I669&amp;$H669&amp;$N669&amp;$O669,APOIO_REDES!$W:$W,0),MATCH(AG$5,APOIO_REDES!$5:$5,0)),0)</f>
        <v>0.65</v>
      </c>
      <c r="AH669" s="153" t="n">
        <f aca="false">IFERROR(INDEX(APOIO_REDES!$A:$W,MATCH($C669&amp;$I669&amp;$H669&amp;$N669&amp;$O669,APOIO_REDES!$W:$W,0),MATCH(AH$5,APOIO_REDES!$5:$5,0)),0)</f>
        <v>0.1</v>
      </c>
      <c r="AI669" s="153" t="n">
        <f aca="false">IFERROR(IF($H669&lt;&gt;"",(((($H669/1000)/2)^2)*PI()*$M669),0),0)</f>
        <v>0.569271338607979</v>
      </c>
      <c r="AJ669" s="153" t="n">
        <f aca="false">IFERROR(IF(AND($H669&lt;&gt;"",$I669="FoFo",OR($N669="MND",$N669="VCA"),$Q669="LINEAR"),0,IF(AND($H669&lt;&gt;"",$I669="PEAD",$N669="VCA",$Q669="LINEAR"),($H669/1000)+0.3,IF(AND($H669&lt;&gt;"",$I669="PEAD",$N669="MND",$Q669="EMBOQUE"),0,IF(AND($H669&lt;&gt;"",$I669="PVC",$N669="VCA",$Q669="LINEAR"),($H669/1000)+0.2,IF(AND($H669&lt;&gt;"",$I669="PVC",$N669="MND",$Q669="EMBOQUE"),0,IF(AND($H669&lt;&gt;"",$I669="PEAD",$N669="VCA",$Q669="PREDIAL"),0,0)))))),0)</f>
        <v>0.363</v>
      </c>
      <c r="AK669" s="153" t="n">
        <f aca="false">IF(AA669&lt;&gt;"",AA669,0)</f>
        <v>4</v>
      </c>
      <c r="AL669" s="153" t="n">
        <f aca="false">IF(AND($N669="MND",$Q669="EMBOQUE"),$M669,IF(AND($N669="VCA",$Q669="LINEAR"),$M669,IF(AND($N669="VCA",$Q669="PREDIAL"),0,0)))</f>
        <v>182.62</v>
      </c>
      <c r="AM669" s="153" t="n">
        <f aca="false">IF(AND($N669="MND",$Q669="EMBOQUE"),$M669,IF(AND($N669="VCA",$Q669="LINEAR"),$M669,IF(AND($N669="VCA",$Q669="PREDIAL"),0,0)))</f>
        <v>182.62</v>
      </c>
      <c r="AN669" s="153" t="n">
        <f aca="false">ROUND(IF(AND($N669="VCA",$M669&lt;&gt;"",$Q669="LINEAR"),$M669/100,IF(AND($N669="MND",$M669&gt;100,$Q669="EMBOQUE"),$M669/100,0)),0)</f>
        <v>2</v>
      </c>
      <c r="AO669" s="153" t="n">
        <f aca="false">IF(AND($N669="MND",$Q669="EMBOQUE"),$AN669*2*2,IF(AND($N669="VCA",$Q669="LINEAR"),$M669*2,IF(AND($N669="VCA",$Q669="PREDIAL"),0,0)))</f>
        <v>365.24</v>
      </c>
      <c r="AP669" s="153" t="n">
        <f aca="false">IFERROR($M669*$AF669*$AG669,0)</f>
        <v>161.792189</v>
      </c>
      <c r="AQ669" s="153" t="n">
        <f aca="false">IFERROR(IF(AND($N669="VCA",$AH669&gt;0),$M669*$AG669*$AH669,0),0)</f>
        <v>11.8703</v>
      </c>
      <c r="AR669" s="153" t="n">
        <f aca="false">IFERROR(IF(AND($N669="VCA",$AJ669&gt;0),($M669*$AG669*$AJ669)-$AI669,0),0)</f>
        <v>42.519917661392</v>
      </c>
      <c r="AS669" s="153" t="n">
        <f aca="false">IFERROR(IF(AND($N669="VCA",$AP669&gt;0),$AP669-$AI669-$AQ669-$AR669,0),0)</f>
        <v>106.8327</v>
      </c>
      <c r="AT669" s="153" t="n">
        <f aca="false">IFERROR(IF($N669="VCA",INDEX(APOIO_REDES!$A:$W,MATCH($C669&amp;$I669&amp;$H669&amp;$N669&amp;$O669,APOIO_REDES!$W:$W,0),MATCH(AT$5,APOIO_REDES!$5:$5,0)),0)*$AP669,0)</f>
        <v>1.7603469043635</v>
      </c>
      <c r="AU669" s="153" t="n">
        <f aca="false">IFERROR(IF($N669="VCA",INDEX(APOIO_REDES!$A:$W,MATCH($C669&amp;$I669&amp;$H669&amp;$N669&amp;$O669,APOIO_REDES!$W:$W,0),MATCH(AU$5,APOIO_REDES!$5:$5,0)),0)*$AP669,0)</f>
        <v>1.4057653615842</v>
      </c>
      <c r="AV669" s="153" t="n">
        <f aca="false">IFERROR(IF($N669="VCA",INDEX(APOIO_REDES!$A:$W,MATCH($C669&amp;$I669&amp;$H669&amp;$N669&amp;$O669,APOIO_REDES!$W:$W,0),MATCH(AV$5,APOIO_REDES!$5:$5,0)),0)*$AP669,0)</f>
        <v>0.194546890352477</v>
      </c>
      <c r="AW669" s="153" t="n">
        <f aca="false">IFERROR(IF($N669="VCA",INDEX(APOIO_REDES!$A:$W,MATCH($C669&amp;$I669&amp;$H669&amp;$N669&amp;$O669,APOIO_REDES!$W:$W,0),MATCH(AW$5,APOIO_REDES!$5:$5,0)),0)*$AP669,0)</f>
        <v>111.055412156654</v>
      </c>
      <c r="AX669" s="153" t="n">
        <f aca="false">IFERROR(IF($N669="VCA",INDEX(APOIO_REDES!$A:$W,MATCH($C669&amp;$I669&amp;$H669&amp;$N669&amp;$O669,APOIO_REDES!$W:$W,0),MATCH(AX$5,APOIO_REDES!$5:$5,0)),0)*$AP669,0)</f>
        <v>15.3697526951513</v>
      </c>
      <c r="AY669" s="153" t="n">
        <f aca="false">IFERROR(IF($N669="VCA",INDEX(APOIO_REDES!$A:$W,MATCH($C669&amp;$I669&amp;$H669&amp;$N669&amp;$O669,APOIO_REDES!$W:$W,0),MATCH(AY$5,APOIO_REDES!$5:$5,0)),0)*$AP669,0)</f>
        <v>28.1152900955182</v>
      </c>
      <c r="AZ669" s="153" t="n">
        <f aca="false">IFERROR(IF($N669="VCA",INDEX(APOIO_REDES!$A:$W,MATCH($C669&amp;$I669&amp;$H669&amp;$N669&amp;$O669,APOIO_REDES!$W:$W,0),MATCH(AZ$5,APOIO_REDES!$5:$5,0)),0)*$AP669,0)</f>
        <v>3.89107489637595</v>
      </c>
      <c r="BA669" s="153" t="n">
        <f aca="false">IFERROR(IF(AND($N669="VCA",$Q669="LINEAR"),INDEX(APOIO_REDES!$A:$W,MATCH($C669&amp;$I669&amp;$H669&amp;$N669&amp;$O669,APOIO_REDES!$W:$W,0),MATCH(BA$5,APOIO_REDES!$5:$5,0)),IF(AND($N669="MND",$Q669="EMBOQUE"),INDEX(APOIO_REDES!$A:$W,MATCH($C669&amp;$I669&amp;$H669&amp;$N669&amp;$O669,APOIO_REDES!$W:$W,0),MATCH(BA$5,APOIO_REDES!$5:$5,0)),0))*$M669/10,0)</f>
        <v>14.7187113556195</v>
      </c>
      <c r="BB669" s="153" t="n">
        <f aca="false">IFERROR(IF($N669="VCA",INDEX(APOIO_REDES!$A:$W,MATCH($C669&amp;$I669&amp;$H669&amp;$N669&amp;$O669,APOIO_REDES!$W:$W,0),MATCH(BB$5,APOIO_REDES!$5:$5,0)),0)*($AI669+$AQ669+$AR669),0)</f>
        <v>54.3615134925016</v>
      </c>
      <c r="BC669" s="153" t="n">
        <f aca="false">IFERROR(IF($N669="VCA",INDEX(APOIO_REDES!$A:$W,MATCH($C669&amp;$I669&amp;$H669&amp;$N669&amp;$O669,APOIO_REDES!$W:$W,0),MATCH(BC$5,APOIO_REDES!$5:$5,0)),0)*($AI669+$AQ669+$AR669),0)</f>
        <v>0.597975507498388</v>
      </c>
      <c r="BD669" s="153" t="n">
        <f aca="false">IF(AND($N669="VCA",$AF669&gt;=1.25,$AF669&lt;1.5),$M669*$AF669*2,0)</f>
        <v>497.82212</v>
      </c>
      <c r="BE669" s="153" t="n">
        <f aca="false">IF(AND($N669="VCA",$AF669&gt;=1.5,$AF669&lt;3),$M669*$AF669*2,0)</f>
        <v>0</v>
      </c>
      <c r="BF669" s="153" t="n">
        <f aca="false">IF(AND($N669="VCA",$AF669&gt;=3),$M669*$AF669*2,0)</f>
        <v>0</v>
      </c>
      <c r="BG669" s="153" t="n">
        <f aca="false">($BB669+$BC669)*$AK669</f>
        <v>219.837956</v>
      </c>
      <c r="BH669" s="153" t="n">
        <f aca="false">IF(AND($M669&lt;&gt;"",$N669="VCA",$Q669="LINEAR"),($M669*2)/100,IF(AND($M669&lt;&gt;"",$N669="MND",$Q669="EMBOQUE"),($AN669*2)/100,0))</f>
        <v>3.6524</v>
      </c>
      <c r="BI669" s="153" t="n">
        <f aca="false">IF(AND($M669&lt;&gt;"",$N669="VCA",$Q669="LINEAR"),$M669,IF(AND($M669&lt;&gt;"",$N669="MND",$Q669="EMBOQUE"),$AN669*2,0))</f>
        <v>182.62</v>
      </c>
      <c r="BJ669" s="153" t="n">
        <f aca="false">IF(AND($M669&lt;&gt;"",$N669="VCA",$Q669="LINEAR"),($M669*6.8)/100,IF(AND($M669&lt;&gt;"",$N669="MND",$Q669="EMBOQUE"),($AN669*2*6.8)/100,0))</f>
        <v>12.41816</v>
      </c>
      <c r="BK669" s="153" t="n">
        <f aca="false">IF(AND($M669&lt;&gt;"",$N669="VCA",$Q669="LINEAR"),($M669*2.5)/50,IF(AND($M669&lt;&gt;"",$N669="MND",$Q669="EMBOQUE"),($AN669*2*2.5)/50,0))</f>
        <v>9.131</v>
      </c>
      <c r="BL669" s="157" t="str">
        <f aca="false">K669&amp;J669</f>
        <v>Zona06REDES</v>
      </c>
      <c r="BM669" s="152" t="s">
        <v>3790</v>
      </c>
      <c r="BN669" s="152" t="s">
        <v>1560</v>
      </c>
      <c r="BO669" s="152" t="s">
        <v>4004</v>
      </c>
      <c r="BP669" s="152" t="s">
        <v>2232</v>
      </c>
      <c r="BQ669" s="152" t="s">
        <v>2032</v>
      </c>
      <c r="BR669" s="152" t="s">
        <v>4092</v>
      </c>
      <c r="BS669" s="152" t="n">
        <v>203643.605</v>
      </c>
      <c r="BT669" s="152" t="n">
        <v>8236773.696</v>
      </c>
      <c r="BU669" s="152" t="n">
        <v>203768.004</v>
      </c>
      <c r="BV669" s="152" t="n">
        <v>8236641.592</v>
      </c>
      <c r="BW669" s="152" t="n">
        <v>-15.9312323</v>
      </c>
      <c r="BX669" s="152" t="n">
        <v>-47.7674666</v>
      </c>
      <c r="BY669" s="152" t="s">
        <v>4093</v>
      </c>
    </row>
    <row r="670" customFormat="false" ht="13.8" hidden="false" customHeight="false" outlineLevel="0" collapsed="false">
      <c r="A670" s="149" t="n">
        <f aca="false">IF(C670&lt;&gt;"",ROW(A665),"")</f>
        <v>665</v>
      </c>
      <c r="B670" s="150" t="str">
        <f aca="false">HYPERLINK("https://www.google.com/maps/dir/-15.917302,-47.760003/-15.9273860,-47.7642532/data=!4m3!4m2!3e0!5i1")</f>
        <v>https://www.google.com/maps/dir/-15.917302,-47.760003/-15.9273860,-47.7642532/data=!4m3!4m2!3e0!5i1</v>
      </c>
      <c r="C670" s="151" t="s">
        <v>117</v>
      </c>
      <c r="D670" s="152" t="s">
        <v>112</v>
      </c>
      <c r="E670" s="152" t="s">
        <v>113</v>
      </c>
      <c r="F670" s="152" t="s">
        <v>117</v>
      </c>
      <c r="G670" s="152" t="s">
        <v>782</v>
      </c>
      <c r="H670" s="152" t="n">
        <v>63</v>
      </c>
      <c r="I670" s="152" t="s">
        <v>115</v>
      </c>
      <c r="J670" s="152" t="s">
        <v>6</v>
      </c>
      <c r="K670" s="152" t="s">
        <v>3786</v>
      </c>
      <c r="L670" s="152" t="s">
        <v>120</v>
      </c>
      <c r="M670" s="153" t="n">
        <f aca="false">80.86+4</f>
        <v>84.86</v>
      </c>
      <c r="N670" s="152" t="s">
        <v>1548</v>
      </c>
      <c r="O670" s="152" t="s">
        <v>1549</v>
      </c>
      <c r="P670" s="152" t="s">
        <v>1550</v>
      </c>
      <c r="Q670" s="152" t="s">
        <v>1551</v>
      </c>
      <c r="R670" s="154" t="s">
        <v>4094</v>
      </c>
      <c r="S670" s="154" t="s">
        <v>1553</v>
      </c>
      <c r="T670" s="155" t="s">
        <v>4095</v>
      </c>
      <c r="U670" s="152" t="str">
        <f aca="false">RIGHT(T670,7)</f>
        <v>016/037</v>
      </c>
      <c r="V670" s="152" t="s">
        <v>1555</v>
      </c>
      <c r="W670" s="156" t="n">
        <v>45882</v>
      </c>
      <c r="X670" s="152" t="s">
        <v>1594</v>
      </c>
      <c r="Y670" s="152" t="s">
        <v>2553</v>
      </c>
      <c r="Z670" s="152" t="s">
        <v>1557</v>
      </c>
      <c r="AA670" s="153" t="n">
        <v>2.1</v>
      </c>
      <c r="AB670" s="151" t="s">
        <v>4096</v>
      </c>
      <c r="AC670" s="151" t="s">
        <v>186</v>
      </c>
      <c r="AD670" s="151" t="str">
        <f aca="false">CONCATENATE($C670,$I670,$H670,$N670,$J670,$K670)</f>
        <v>TUBO PEADPEAD63VCAREDESZona06</v>
      </c>
      <c r="AE670" s="153" t="n">
        <f aca="false">IFERROR(INDEX(APOIO_REDES!$A:$W,MATCH($C670&amp;$I670&amp;$H670&amp;$N670&amp;$O670,APOIO_REDES!$W:$W,0),MATCH(AE$5,APOIO_REDES!$5:$5,0)),0)</f>
        <v>1.2</v>
      </c>
      <c r="AF670" s="153" t="n">
        <f aca="false">IFERROR(INDEX(APOIO_REDES!$A:$W,MATCH($C670&amp;$I670&amp;$H670&amp;$N670&amp;$O670,APOIO_REDES!$W:$W,0),MATCH(AF$5,APOIO_REDES!$5:$5,0)),0)</f>
        <v>1.363</v>
      </c>
      <c r="AG670" s="153" t="n">
        <f aca="false">IFERROR(INDEX(APOIO_REDES!$A:$W,MATCH($C670&amp;$I670&amp;$H670&amp;$N670&amp;$O670,APOIO_REDES!$W:$W,0),MATCH(AG$5,APOIO_REDES!$5:$5,0)),0)</f>
        <v>0.65</v>
      </c>
      <c r="AH670" s="153" t="n">
        <f aca="false">IFERROR(INDEX(APOIO_REDES!$A:$W,MATCH($C670&amp;$I670&amp;$H670&amp;$N670&amp;$O670,APOIO_REDES!$W:$W,0),MATCH(AH$5,APOIO_REDES!$5:$5,0)),0)</f>
        <v>0.1</v>
      </c>
      <c r="AI670" s="153" t="n">
        <f aca="false">IFERROR(IF($H670&lt;&gt;"",(((($H670/1000)/2)^2)*PI()*$M670),0),0)</f>
        <v>0.264529437051107</v>
      </c>
      <c r="AJ670" s="153" t="n">
        <f aca="false">IFERROR(IF(AND($H670&lt;&gt;"",$I670="FoFo",OR($N670="MND",$N670="VCA"),$Q670="LINEAR"),0,IF(AND($H670&lt;&gt;"",$I670="PEAD",$N670="VCA",$Q670="LINEAR"),($H670/1000)+0.3,IF(AND($H670&lt;&gt;"",$I670="PEAD",$N670="MND",$Q670="EMBOQUE"),0,IF(AND($H670&lt;&gt;"",$I670="PVC",$N670="VCA",$Q670="LINEAR"),($H670/1000)+0.2,IF(AND($H670&lt;&gt;"",$I670="PVC",$N670="MND",$Q670="EMBOQUE"),0,IF(AND($H670&lt;&gt;"",$I670="PEAD",$N670="VCA",$Q670="PREDIAL"),0,0)))))),0)</f>
        <v>0.363</v>
      </c>
      <c r="AK670" s="153" t="n">
        <f aca="false">IF(AA670&lt;&gt;"",AA670,0)</f>
        <v>2.1</v>
      </c>
      <c r="AL670" s="153" t="n">
        <f aca="false">IF(AND($N670="MND",$Q670="EMBOQUE"),$M670,IF(AND($N670="VCA",$Q670="LINEAR"),$M670,IF(AND($N670="VCA",$Q670="PREDIAL"),0,0)))</f>
        <v>84.86</v>
      </c>
      <c r="AM670" s="153" t="n">
        <f aca="false">IF(AND($N670="MND",$Q670="EMBOQUE"),$M670,IF(AND($N670="VCA",$Q670="LINEAR"),$M670,IF(AND($N670="VCA",$Q670="PREDIAL"),0,0)))</f>
        <v>84.86</v>
      </c>
      <c r="AN670" s="153" t="n">
        <f aca="false">ROUND(IF(AND($N670="VCA",$M670&lt;&gt;"",$Q670="LINEAR"),$M670/100,IF(AND($N670="MND",$M670&gt;100,$Q670="EMBOQUE"),$M670/100,0)),0)</f>
        <v>1</v>
      </c>
      <c r="AO670" s="153" t="n">
        <f aca="false">IF(AND($N670="MND",$Q670="EMBOQUE"),$AN670*2*2,IF(AND($N670="VCA",$Q670="LINEAR"),$M670*2,IF(AND($N670="VCA",$Q670="PREDIAL"),0,0)))</f>
        <v>169.72</v>
      </c>
      <c r="AP670" s="153" t="n">
        <f aca="false">IFERROR($M670*$AF670*$AG670,0)</f>
        <v>75.181717</v>
      </c>
      <c r="AQ670" s="153" t="n">
        <f aca="false">IFERROR(IF(AND($N670="VCA",$AH670&gt;0),$M670*$AG670*$AH670,0),0)</f>
        <v>5.5159</v>
      </c>
      <c r="AR670" s="153" t="n">
        <f aca="false">IFERROR(IF(AND($N670="VCA",$AJ670&gt;0),($M670*$AG670*$AJ670)-$AI670,0),0)</f>
        <v>19.7581875629489</v>
      </c>
      <c r="AS670" s="153" t="n">
        <f aca="false">IFERROR(IF(AND($N670="VCA",$AP670&gt;0),$AP670-$AI670-$AQ670-$AR670,0),0)</f>
        <v>49.6431</v>
      </c>
      <c r="AT670" s="153" t="n">
        <f aca="false">IFERROR(IF($N670="VCA",INDEX(APOIO_REDES!$A:$W,MATCH($C670&amp;$I670&amp;$H670&amp;$N670&amp;$O670,APOIO_REDES!$W:$W,0),MATCH(AT$5,APOIO_REDES!$5:$5,0)),0)*$AP670,0)</f>
        <v>0.817999333612348</v>
      </c>
      <c r="AU670" s="153" t="n">
        <f aca="false">IFERROR(IF($N670="VCA",INDEX(APOIO_REDES!$A:$W,MATCH($C670&amp;$I670&amp;$H670&amp;$N670&amp;$O670,APOIO_REDES!$W:$W,0),MATCH(AU$5,APOIO_REDES!$5:$5,0)),0)*$AP670,0)</f>
        <v>0.653232113591256</v>
      </c>
      <c r="AV670" s="153" t="n">
        <f aca="false">IFERROR(IF($N670="VCA",INDEX(APOIO_REDES!$A:$W,MATCH($C670&amp;$I670&amp;$H670&amp;$N670&amp;$O670,APOIO_REDES!$W:$W,0),MATCH(AV$5,APOIO_REDES!$5:$5,0)),0)*$AP670,0)</f>
        <v>0.0904021964478763</v>
      </c>
      <c r="AW670" s="153" t="n">
        <f aca="false">IFERROR(IF($N670="VCA",INDEX(APOIO_REDES!$A:$W,MATCH($C670&amp;$I670&amp;$H670&amp;$N670&amp;$O670,APOIO_REDES!$W:$W,0),MATCH(AW$5,APOIO_REDES!$5:$5,0)),0)*$AP670,0)</f>
        <v>51.6053130851697</v>
      </c>
      <c r="AX670" s="153" t="n">
        <f aca="false">IFERROR(IF($N670="VCA",INDEX(APOIO_REDES!$A:$W,MATCH($C670&amp;$I670&amp;$H670&amp;$N670&amp;$O670,APOIO_REDES!$W:$W,0),MATCH(AX$5,APOIO_REDES!$5:$5,0)),0)*$AP670,0)</f>
        <v>7.1420283304706</v>
      </c>
      <c r="AY670" s="153" t="n">
        <f aca="false">IFERROR(IF($N670="VCA",INDEX(APOIO_REDES!$A:$W,MATCH($C670&amp;$I670&amp;$H670&amp;$N670&amp;$O670,APOIO_REDES!$W:$W,0),MATCH(AY$5,APOIO_REDES!$5:$5,0)),0)*$AP670,0)</f>
        <v>13.0646343089786</v>
      </c>
      <c r="AZ670" s="153" t="n">
        <f aca="false">IFERROR(IF($N670="VCA",INDEX(APOIO_REDES!$A:$W,MATCH($C670&amp;$I670&amp;$H670&amp;$N670&amp;$O670,APOIO_REDES!$W:$W,0),MATCH(AZ$5,APOIO_REDES!$5:$5,0)),0)*$AP670,0)</f>
        <v>1.80810763172962</v>
      </c>
      <c r="BA670" s="153" t="n">
        <f aca="false">IFERROR(IF(AND($N670="VCA",$Q670="LINEAR"),INDEX(APOIO_REDES!$A:$W,MATCH($C670&amp;$I670&amp;$H670&amp;$N670&amp;$O670,APOIO_REDES!$W:$W,0),MATCH(BA$5,APOIO_REDES!$5:$5,0)),IF(AND($N670="MND",$Q670="EMBOQUE"),INDEX(APOIO_REDES!$A:$W,MATCH($C670&amp;$I670&amp;$H670&amp;$N670&amp;$O670,APOIO_REDES!$W:$W,0),MATCH(BA$5,APOIO_REDES!$5:$5,0)),0))*$M670/10,0)</f>
        <v>6.83950194742016</v>
      </c>
      <c r="BB670" s="153" t="n">
        <f aca="false">IFERROR(IF($N670="VCA",INDEX(APOIO_REDES!$A:$W,MATCH($C670&amp;$I670&amp;$H670&amp;$N670&amp;$O670,APOIO_REDES!$W:$W,0),MATCH(BB$5,APOIO_REDES!$5:$5,0)),0)*($AI670+$AQ670+$AR670),0)</f>
        <v>25.2607492879952</v>
      </c>
      <c r="BC670" s="153" t="n">
        <f aca="false">IFERROR(IF($N670="VCA",INDEX(APOIO_REDES!$A:$W,MATCH($C670&amp;$I670&amp;$H670&amp;$N670&amp;$O670,APOIO_REDES!$W:$W,0),MATCH(BC$5,APOIO_REDES!$5:$5,0)),0)*($AI670+$AQ670+$AR670),0)</f>
        <v>0.277867712004781</v>
      </c>
      <c r="BD670" s="153" t="n">
        <f aca="false">IF(AND($N670="VCA",$AF670&gt;=1.25,$AF670&lt;1.5),$M670*$AF670*2,0)</f>
        <v>231.32836</v>
      </c>
      <c r="BE670" s="153" t="n">
        <f aca="false">IF(AND($N670="VCA",$AF670&gt;=1.5,$AF670&lt;3),$M670*$AF670*2,0)</f>
        <v>0</v>
      </c>
      <c r="BF670" s="153" t="n">
        <f aca="false">IF(AND($N670="VCA",$AF670&gt;=3),$M670*$AF670*2,0)</f>
        <v>0</v>
      </c>
      <c r="BG670" s="153" t="n">
        <f aca="false">($BB670+$BC670)*$AK670</f>
        <v>53.6310957</v>
      </c>
      <c r="BH670" s="153" t="n">
        <f aca="false">IF(AND($M670&lt;&gt;"",$N670="VCA",$Q670="LINEAR"),($M670*2)/100,IF(AND($M670&lt;&gt;"",$N670="MND",$Q670="EMBOQUE"),($AN670*2)/100,0))</f>
        <v>1.6972</v>
      </c>
      <c r="BI670" s="153" t="n">
        <f aca="false">IF(AND($M670&lt;&gt;"",$N670="VCA",$Q670="LINEAR"),$M670,IF(AND($M670&lt;&gt;"",$N670="MND",$Q670="EMBOQUE"),$AN670*2,0))</f>
        <v>84.86</v>
      </c>
      <c r="BJ670" s="153" t="n">
        <f aca="false">IF(AND($M670&lt;&gt;"",$N670="VCA",$Q670="LINEAR"),($M670*6.8)/100,IF(AND($M670&lt;&gt;"",$N670="MND",$Q670="EMBOQUE"),($AN670*2*6.8)/100,0))</f>
        <v>5.77048</v>
      </c>
      <c r="BK670" s="153" t="n">
        <f aca="false">IF(AND($M670&lt;&gt;"",$N670="VCA",$Q670="LINEAR"),($M670*2.5)/50,IF(AND($M670&lt;&gt;"",$N670="MND",$Q670="EMBOQUE"),($AN670*2*2.5)/50,0))</f>
        <v>4.243</v>
      </c>
      <c r="BL670" s="157" t="str">
        <f aca="false">K670&amp;J670</f>
        <v>Zona06REDES</v>
      </c>
      <c r="BM670" s="152" t="s">
        <v>3790</v>
      </c>
      <c r="BN670" s="152" t="s">
        <v>1560</v>
      </c>
      <c r="BO670" s="152" t="s">
        <v>4097</v>
      </c>
      <c r="BP670" s="152" t="s">
        <v>4098</v>
      </c>
      <c r="BQ670" s="152" t="s">
        <v>4099</v>
      </c>
      <c r="BR670" s="152" t="s">
        <v>4100</v>
      </c>
      <c r="BS670" s="152" t="n">
        <v>204043.442</v>
      </c>
      <c r="BT670" s="152" t="n">
        <v>8237136.501</v>
      </c>
      <c r="BU670" s="152" t="n">
        <v>204014.911</v>
      </c>
      <c r="BV670" s="152" t="n">
        <v>8237061.405</v>
      </c>
      <c r="BW670" s="152" t="n">
        <v>-15.9277288</v>
      </c>
      <c r="BX670" s="152" t="n">
        <v>-47.7643802</v>
      </c>
      <c r="BY670" s="152" t="s">
        <v>4098</v>
      </c>
    </row>
    <row r="671" customFormat="false" ht="13.8" hidden="false" customHeight="false" outlineLevel="0" collapsed="false">
      <c r="A671" s="149" t="n">
        <f aca="false">IF(C671&lt;&gt;"",ROW(A666),"")</f>
        <v>666</v>
      </c>
      <c r="B671" s="150" t="str">
        <f aca="false">HYPERLINK("https://www.google.com/maps/dir/-15.917302,-47.760003/-15.9272028,-47.7631997/data=!4m3!4m2!3e0!5i1")</f>
        <v>https://www.google.com/maps/dir/-15.917302,-47.760003/-15.9272028,-47.7631997/data=!4m3!4m2!3e0!5i1</v>
      </c>
      <c r="C671" s="151" t="s">
        <v>117</v>
      </c>
      <c r="D671" s="152" t="s">
        <v>112</v>
      </c>
      <c r="E671" s="152" t="s">
        <v>113</v>
      </c>
      <c r="F671" s="152" t="s">
        <v>117</v>
      </c>
      <c r="G671" s="152" t="s">
        <v>782</v>
      </c>
      <c r="H671" s="152" t="n">
        <v>63</v>
      </c>
      <c r="I671" s="152" t="s">
        <v>115</v>
      </c>
      <c r="J671" s="152" t="s">
        <v>6</v>
      </c>
      <c r="K671" s="152" t="s">
        <v>3786</v>
      </c>
      <c r="L671" s="152" t="s">
        <v>120</v>
      </c>
      <c r="M671" s="153" t="n">
        <f aca="false">130.89</f>
        <v>130.89</v>
      </c>
      <c r="N671" s="152" t="s">
        <v>1548</v>
      </c>
      <c r="O671" s="152" t="s">
        <v>1549</v>
      </c>
      <c r="P671" s="152" t="s">
        <v>1550</v>
      </c>
      <c r="Q671" s="152" t="s">
        <v>1551</v>
      </c>
      <c r="R671" s="154" t="s">
        <v>4101</v>
      </c>
      <c r="S671" s="154" t="s">
        <v>1553</v>
      </c>
      <c r="T671" s="155" t="s">
        <v>4095</v>
      </c>
      <c r="U671" s="152" t="str">
        <f aca="false">RIGHT(T671,7)</f>
        <v>016/037</v>
      </c>
      <c r="V671" s="152" t="s">
        <v>1555</v>
      </c>
      <c r="W671" s="156" t="n">
        <v>45882</v>
      </c>
      <c r="X671" s="152" t="s">
        <v>1594</v>
      </c>
      <c r="Y671" s="152" t="s">
        <v>2553</v>
      </c>
      <c r="Z671" s="152" t="s">
        <v>1557</v>
      </c>
      <c r="AA671" s="153" t="n">
        <v>1.9</v>
      </c>
      <c r="AB671" s="151" t="s">
        <v>4102</v>
      </c>
      <c r="AC671" s="151" t="s">
        <v>186</v>
      </c>
      <c r="AD671" s="151" t="str">
        <f aca="false">CONCATENATE($C671,$I671,$H671,$N671,$J671,$K671)</f>
        <v>TUBO PEADPEAD63VCAREDESZona06</v>
      </c>
      <c r="AE671" s="153" t="n">
        <f aca="false">IFERROR(INDEX(APOIO_REDES!$A:$W,MATCH($C671&amp;$I671&amp;$H671&amp;$N671&amp;$O671,APOIO_REDES!$W:$W,0),MATCH(AE$5,APOIO_REDES!$5:$5,0)),0)</f>
        <v>1.2</v>
      </c>
      <c r="AF671" s="153" t="n">
        <f aca="false">IFERROR(INDEX(APOIO_REDES!$A:$W,MATCH($C671&amp;$I671&amp;$H671&amp;$N671&amp;$O671,APOIO_REDES!$W:$W,0),MATCH(AF$5,APOIO_REDES!$5:$5,0)),0)</f>
        <v>1.363</v>
      </c>
      <c r="AG671" s="153" t="n">
        <f aca="false">IFERROR(INDEX(APOIO_REDES!$A:$W,MATCH($C671&amp;$I671&amp;$H671&amp;$N671&amp;$O671,APOIO_REDES!$W:$W,0),MATCH(AG$5,APOIO_REDES!$5:$5,0)),0)</f>
        <v>0.65</v>
      </c>
      <c r="AH671" s="153" t="n">
        <f aca="false">IFERROR(INDEX(APOIO_REDES!$A:$W,MATCH($C671&amp;$I671&amp;$H671&amp;$N671&amp;$O671,APOIO_REDES!$W:$W,0),MATCH(AH$5,APOIO_REDES!$5:$5,0)),0)</f>
        <v>0.1</v>
      </c>
      <c r="AI671" s="153" t="n">
        <f aca="false">IFERROR(IF($H671&lt;&gt;"",(((($H671/1000)/2)^2)*PI()*$M671),0),0)</f>
        <v>0.408016238694548</v>
      </c>
      <c r="AJ671" s="153" t="n">
        <f aca="false">IFERROR(IF(AND($H671&lt;&gt;"",$I671="FoFo",OR($N671="MND",$N671="VCA"),$Q671="LINEAR"),0,IF(AND($H671&lt;&gt;"",$I671="PEAD",$N671="VCA",$Q671="LINEAR"),($H671/1000)+0.3,IF(AND($H671&lt;&gt;"",$I671="PEAD",$N671="MND",$Q671="EMBOQUE"),0,IF(AND($H671&lt;&gt;"",$I671="PVC",$N671="VCA",$Q671="LINEAR"),($H671/1000)+0.2,IF(AND($H671&lt;&gt;"",$I671="PVC",$N671="MND",$Q671="EMBOQUE"),0,IF(AND($H671&lt;&gt;"",$I671="PEAD",$N671="VCA",$Q671="PREDIAL"),0,0)))))),0)</f>
        <v>0.363</v>
      </c>
      <c r="AK671" s="153" t="n">
        <f aca="false">IF(AA671&lt;&gt;"",AA671,0)</f>
        <v>1.9</v>
      </c>
      <c r="AL671" s="153" t="n">
        <f aca="false">IF(AND($N671="MND",$Q671="EMBOQUE"),$M671,IF(AND($N671="VCA",$Q671="LINEAR"),$M671,IF(AND($N671="VCA",$Q671="PREDIAL"),0,0)))</f>
        <v>130.89</v>
      </c>
      <c r="AM671" s="153" t="n">
        <f aca="false">IF(AND($N671="MND",$Q671="EMBOQUE"),$M671,IF(AND($N671="VCA",$Q671="LINEAR"),$M671,IF(AND($N671="VCA",$Q671="PREDIAL"),0,0)))</f>
        <v>130.89</v>
      </c>
      <c r="AN671" s="153" t="n">
        <f aca="false">ROUND(IF(AND($N671="VCA",$M671&lt;&gt;"",$Q671="LINEAR"),$M671/100,IF(AND($N671="MND",$M671&gt;100,$Q671="EMBOQUE"),$M671/100,0)),0)</f>
        <v>1</v>
      </c>
      <c r="AO671" s="153" t="n">
        <f aca="false">IF(AND($N671="MND",$Q671="EMBOQUE"),$AN671*2*2,IF(AND($N671="VCA",$Q671="LINEAR"),$M671*2,IF(AND($N671="VCA",$Q671="PREDIAL"),0,0)))</f>
        <v>261.78</v>
      </c>
      <c r="AP671" s="153" t="n">
        <f aca="false">IFERROR($M671*$AF671*$AG671,0)</f>
        <v>115.9619955</v>
      </c>
      <c r="AQ671" s="153" t="n">
        <f aca="false">IFERROR(IF(AND($N671="VCA",$AH671&gt;0),$M671*$AG671*$AH671,0),0)</f>
        <v>8.50785</v>
      </c>
      <c r="AR671" s="153" t="n">
        <f aca="false">IFERROR(IF(AND($N671="VCA",$AJ671&gt;0),($M671*$AG671*$AJ671)-$AI671,0),0)</f>
        <v>30.4754792613055</v>
      </c>
      <c r="AS671" s="153" t="n">
        <f aca="false">IFERROR(IF(AND($N671="VCA",$AP671&gt;0),$AP671-$AI671-$AQ671-$AR671,0),0)</f>
        <v>76.57065</v>
      </c>
      <c r="AT671" s="153" t="n">
        <f aca="false">IFERROR(IF($N671="VCA",INDEX(APOIO_REDES!$A:$W,MATCH($C671&amp;$I671&amp;$H671&amp;$N671&amp;$O671,APOIO_REDES!$W:$W,0),MATCH(AT$5,APOIO_REDES!$5:$5,0)),0)*$AP671,0)</f>
        <v>1.26170083403865</v>
      </c>
      <c r="AU671" s="153" t="n">
        <f aca="false">IFERROR(IF($N671="VCA",INDEX(APOIO_REDES!$A:$W,MATCH($C671&amp;$I671&amp;$H671&amp;$N671&amp;$O671,APOIO_REDES!$W:$W,0),MATCH(AU$5,APOIO_REDES!$5:$5,0)),0)*$AP671,0)</f>
        <v>1.00756011487108</v>
      </c>
      <c r="AV671" s="153" t="n">
        <f aca="false">IFERROR(IF($N671="VCA",INDEX(APOIO_REDES!$A:$W,MATCH($C671&amp;$I671&amp;$H671&amp;$N671&amp;$O671,APOIO_REDES!$W:$W,0),MATCH(AV$5,APOIO_REDES!$5:$5,0)),0)*$AP671,0)</f>
        <v>0.139438410241133</v>
      </c>
      <c r="AW671" s="153" t="n">
        <f aca="false">IFERROR(IF($N671="VCA",INDEX(APOIO_REDES!$A:$W,MATCH($C671&amp;$I671&amp;$H671&amp;$N671&amp;$O671,APOIO_REDES!$W:$W,0),MATCH(AW$5,APOIO_REDES!$5:$5,0)),0)*$AP671,0)</f>
        <v>79.5972122285866</v>
      </c>
      <c r="AX671" s="153" t="n">
        <f aca="false">IFERROR(IF($N671="VCA",INDEX(APOIO_REDES!$A:$W,MATCH($C671&amp;$I671&amp;$H671&amp;$N671&amp;$O671,APOIO_REDES!$W:$W,0),MATCH(AX$5,APOIO_REDES!$5:$5,0)),0)*$AP671,0)</f>
        <v>11.0160274354855</v>
      </c>
      <c r="AY671" s="153" t="n">
        <f aca="false">IFERROR(IF($N671="VCA",INDEX(APOIO_REDES!$A:$W,MATCH($C671&amp;$I671&amp;$H671&amp;$N671&amp;$O671,APOIO_REDES!$W:$W,0),MATCH(AY$5,APOIO_REDES!$5:$5,0)),0)*$AP671,0)</f>
        <v>20.1511900153454</v>
      </c>
      <c r="AZ671" s="153" t="n">
        <f aca="false">IFERROR(IF($N671="VCA",INDEX(APOIO_REDES!$A:$W,MATCH($C671&amp;$I671&amp;$H671&amp;$N671&amp;$O671,APOIO_REDES!$W:$W,0),MATCH(AZ$5,APOIO_REDES!$5:$5,0)),0)*$AP671,0)</f>
        <v>2.78886646143165</v>
      </c>
      <c r="BA671" s="153" t="n">
        <f aca="false">IFERROR(IF(AND($N671="VCA",$Q671="LINEAR"),INDEX(APOIO_REDES!$A:$W,MATCH($C671&amp;$I671&amp;$H671&amp;$N671&amp;$O671,APOIO_REDES!$W:$W,0),MATCH(BA$5,APOIO_REDES!$5:$5,0)),IF(AND($N671="MND",$Q671="EMBOQUE"),INDEX(APOIO_REDES!$A:$W,MATCH($C671&amp;$I671&amp;$H671&amp;$N671&amp;$O671,APOIO_REDES!$W:$W,0),MATCH(BA$5,APOIO_REDES!$5:$5,0)),0))*$M671/10,0)</f>
        <v>10.5494038404174</v>
      </c>
      <c r="BB671" s="153" t="n">
        <f aca="false">IFERROR(IF($N671="VCA",INDEX(APOIO_REDES!$A:$W,MATCH($C671&amp;$I671&amp;$H671&amp;$N671&amp;$O671,APOIO_REDES!$W:$W,0),MATCH(BB$5,APOIO_REDES!$5:$5,0)),0)*($AI671+$AQ671+$AR671),0)</f>
        <v>38.9627560017169</v>
      </c>
      <c r="BC671" s="153" t="n">
        <f aca="false">IFERROR(IF($N671="VCA",INDEX(APOIO_REDES!$A:$W,MATCH($C671&amp;$I671&amp;$H671&amp;$N671&amp;$O671,APOIO_REDES!$W:$W,0),MATCH(BC$5,APOIO_REDES!$5:$5,0)),0)*($AI671+$AQ671+$AR671),0)</f>
        <v>0.428589498283123</v>
      </c>
      <c r="BD671" s="153" t="n">
        <f aca="false">IF(AND($N671="VCA",$AF671&gt;=1.25,$AF671&lt;1.5),$M671*$AF671*2,0)</f>
        <v>356.80614</v>
      </c>
      <c r="BE671" s="153" t="n">
        <f aca="false">IF(AND($N671="VCA",$AF671&gt;=1.5,$AF671&lt;3),$M671*$AF671*2,0)</f>
        <v>0</v>
      </c>
      <c r="BF671" s="153" t="n">
        <f aca="false">IF(AND($N671="VCA",$AF671&gt;=3),$M671*$AF671*2,0)</f>
        <v>0</v>
      </c>
      <c r="BG671" s="153" t="n">
        <f aca="false">($BB671+$BC671)*$AK671</f>
        <v>74.84355645</v>
      </c>
      <c r="BH671" s="153" t="n">
        <f aca="false">IF(AND($M671&lt;&gt;"",$N671="VCA",$Q671="LINEAR"),($M671*2)/100,IF(AND($M671&lt;&gt;"",$N671="MND",$Q671="EMBOQUE"),($AN671*2)/100,0))</f>
        <v>2.6178</v>
      </c>
      <c r="BI671" s="153" t="n">
        <f aca="false">IF(AND($M671&lt;&gt;"",$N671="VCA",$Q671="LINEAR"),$M671,IF(AND($M671&lt;&gt;"",$N671="MND",$Q671="EMBOQUE"),$AN671*2,0))</f>
        <v>130.89</v>
      </c>
      <c r="BJ671" s="153" t="n">
        <f aca="false">IF(AND($M671&lt;&gt;"",$N671="VCA",$Q671="LINEAR"),($M671*6.8)/100,IF(AND($M671&lt;&gt;"",$N671="MND",$Q671="EMBOQUE"),($AN671*2*6.8)/100,0))</f>
        <v>8.90052</v>
      </c>
      <c r="BK671" s="153" t="n">
        <f aca="false">IF(AND($M671&lt;&gt;"",$N671="VCA",$Q671="LINEAR"),($M671*2.5)/50,IF(AND($M671&lt;&gt;"",$N671="MND",$Q671="EMBOQUE"),($AN671*2*2.5)/50,0))</f>
        <v>6.5445</v>
      </c>
      <c r="BL671" s="157" t="str">
        <f aca="false">K671&amp;J671</f>
        <v>Zona06REDES</v>
      </c>
      <c r="BM671" s="152" t="s">
        <v>3790</v>
      </c>
      <c r="BN671" s="152" t="s">
        <v>1560</v>
      </c>
      <c r="BO671" s="152" t="s">
        <v>4097</v>
      </c>
      <c r="BP671" s="152" t="s">
        <v>3971</v>
      </c>
      <c r="BQ671" s="152" t="s">
        <v>4103</v>
      </c>
      <c r="BR671" s="152" t="s">
        <v>4104</v>
      </c>
      <c r="BS671" s="152" t="n">
        <v>204155.936</v>
      </c>
      <c r="BT671" s="152" t="n">
        <v>8237158.318</v>
      </c>
      <c r="BU671" s="152" t="n">
        <v>204112.751</v>
      </c>
      <c r="BV671" s="152" t="n">
        <v>8237034.779</v>
      </c>
      <c r="BW671" s="152" t="n">
        <v>-15.9277577</v>
      </c>
      <c r="BX671" s="152" t="n">
        <v>-47.7634101</v>
      </c>
      <c r="BY671" s="152" t="s">
        <v>3971</v>
      </c>
    </row>
    <row r="672" customFormat="false" ht="13.8" hidden="false" customHeight="false" outlineLevel="0" collapsed="false">
      <c r="A672" s="149" t="n">
        <f aca="false">IF(C672&lt;&gt;"",ROW(A667),"")</f>
        <v>667</v>
      </c>
      <c r="B672" s="150" t="str">
        <f aca="false">HYPERLINK("https://www.google.com/maps/dir/-15.917302,-47.760003/-15.9280080,-47.7630283/data=!4m3!4m2!3e0!5i2")</f>
        <v>https://www.google.com/maps/dir/-15.917302,-47.760003/-15.9280080,-47.7630283/data=!4m3!4m2!3e0!5i2</v>
      </c>
      <c r="C672" s="151" t="s">
        <v>117</v>
      </c>
      <c r="D672" s="152" t="s">
        <v>112</v>
      </c>
      <c r="E672" s="152" t="s">
        <v>113</v>
      </c>
      <c r="F672" s="152" t="s">
        <v>117</v>
      </c>
      <c r="G672" s="152" t="s">
        <v>782</v>
      </c>
      <c r="H672" s="152" t="n">
        <v>63</v>
      </c>
      <c r="I672" s="152" t="s">
        <v>115</v>
      </c>
      <c r="J672" s="152" t="s">
        <v>6</v>
      </c>
      <c r="K672" s="152" t="s">
        <v>3786</v>
      </c>
      <c r="L672" s="152" t="s">
        <v>120</v>
      </c>
      <c r="M672" s="153" t="n">
        <f aca="false">28.7</f>
        <v>28.7</v>
      </c>
      <c r="N672" s="152" t="s">
        <v>1548</v>
      </c>
      <c r="O672" s="152" t="s">
        <v>1549</v>
      </c>
      <c r="P672" s="152" t="s">
        <v>1550</v>
      </c>
      <c r="Q672" s="152" t="s">
        <v>1551</v>
      </c>
      <c r="R672" s="154" t="s">
        <v>4105</v>
      </c>
      <c r="S672" s="154" t="s">
        <v>1553</v>
      </c>
      <c r="T672" s="155" t="s">
        <v>4095</v>
      </c>
      <c r="U672" s="152" t="str">
        <f aca="false">RIGHT(T672,7)</f>
        <v>016/037</v>
      </c>
      <c r="V672" s="152" t="s">
        <v>1555</v>
      </c>
      <c r="W672" s="156" t="n">
        <v>45882</v>
      </c>
      <c r="X672" s="152" t="s">
        <v>1594</v>
      </c>
      <c r="Y672" s="152" t="s">
        <v>2553</v>
      </c>
      <c r="Z672" s="152" t="s">
        <v>1557</v>
      </c>
      <c r="AA672" s="153" t="n">
        <v>2.1</v>
      </c>
      <c r="AB672" s="151" t="s">
        <v>4106</v>
      </c>
      <c r="AC672" s="151" t="s">
        <v>186</v>
      </c>
      <c r="AD672" s="151" t="str">
        <f aca="false">CONCATENATE($C672,$I672,$H672,$N672,$J672,$K672)</f>
        <v>TUBO PEADPEAD63VCAREDESZona06</v>
      </c>
      <c r="AE672" s="153" t="n">
        <f aca="false">IFERROR(INDEX(APOIO_REDES!$A:$W,MATCH($C672&amp;$I672&amp;$H672&amp;$N672&amp;$O672,APOIO_REDES!$W:$W,0),MATCH(AE$5,APOIO_REDES!$5:$5,0)),0)</f>
        <v>1.2</v>
      </c>
      <c r="AF672" s="153" t="n">
        <f aca="false">IFERROR(INDEX(APOIO_REDES!$A:$W,MATCH($C672&amp;$I672&amp;$H672&amp;$N672&amp;$O672,APOIO_REDES!$W:$W,0),MATCH(AF$5,APOIO_REDES!$5:$5,0)),0)</f>
        <v>1.363</v>
      </c>
      <c r="AG672" s="153" t="n">
        <f aca="false">IFERROR(INDEX(APOIO_REDES!$A:$W,MATCH($C672&amp;$I672&amp;$H672&amp;$N672&amp;$O672,APOIO_REDES!$W:$W,0),MATCH(AG$5,APOIO_REDES!$5:$5,0)),0)</f>
        <v>0.65</v>
      </c>
      <c r="AH672" s="153" t="n">
        <f aca="false">IFERROR(INDEX(APOIO_REDES!$A:$W,MATCH($C672&amp;$I672&amp;$H672&amp;$N672&amp;$O672,APOIO_REDES!$W:$W,0),MATCH(AH$5,APOIO_REDES!$5:$5,0)),0)</f>
        <v>0.1</v>
      </c>
      <c r="AI672" s="153" t="n">
        <f aca="false">IFERROR(IF($H672&lt;&gt;"",(((($H672/1000)/2)^2)*PI()*$M672),0),0)</f>
        <v>0.0894649404120524</v>
      </c>
      <c r="AJ672" s="153" t="n">
        <f aca="false">IFERROR(IF(AND($H672&lt;&gt;"",$I672="FoFo",OR($N672="MND",$N672="VCA"),$Q672="LINEAR"),0,IF(AND($H672&lt;&gt;"",$I672="PEAD",$N672="VCA",$Q672="LINEAR"),($H672/1000)+0.3,IF(AND($H672&lt;&gt;"",$I672="PEAD",$N672="MND",$Q672="EMBOQUE"),0,IF(AND($H672&lt;&gt;"",$I672="PVC",$N672="VCA",$Q672="LINEAR"),($H672/1000)+0.2,IF(AND($H672&lt;&gt;"",$I672="PVC",$N672="MND",$Q672="EMBOQUE"),0,IF(AND($H672&lt;&gt;"",$I672="PEAD",$N672="VCA",$Q672="PREDIAL"),0,0)))))),0)</f>
        <v>0.363</v>
      </c>
      <c r="AK672" s="153" t="n">
        <f aca="false">IF(AA672&lt;&gt;"",AA672,0)</f>
        <v>2.1</v>
      </c>
      <c r="AL672" s="153" t="n">
        <f aca="false">IF(AND($N672="MND",$Q672="EMBOQUE"),$M672,IF(AND($N672="VCA",$Q672="LINEAR"),$M672,IF(AND($N672="VCA",$Q672="PREDIAL"),0,0)))</f>
        <v>28.7</v>
      </c>
      <c r="AM672" s="153" t="n">
        <f aca="false">IF(AND($N672="MND",$Q672="EMBOQUE"),$M672,IF(AND($N672="VCA",$Q672="LINEAR"),$M672,IF(AND($N672="VCA",$Q672="PREDIAL"),0,0)))</f>
        <v>28.7</v>
      </c>
      <c r="AN672" s="153" t="n">
        <f aca="false">ROUND(IF(AND($N672="VCA",$M672&lt;&gt;"",$Q672="LINEAR"),$M672/100,IF(AND($N672="MND",$M672&gt;100,$Q672="EMBOQUE"),$M672/100,0)),0)</f>
        <v>0</v>
      </c>
      <c r="AO672" s="153" t="n">
        <f aca="false">IF(AND($N672="MND",$Q672="EMBOQUE"),$AN672*2*2,IF(AND($N672="VCA",$Q672="LINEAR"),$M672*2,IF(AND($N672="VCA",$Q672="PREDIAL"),0,0)))</f>
        <v>57.4</v>
      </c>
      <c r="AP672" s="153" t="n">
        <f aca="false">IFERROR($M672*$AF672*$AG672,0)</f>
        <v>25.426765</v>
      </c>
      <c r="AQ672" s="153" t="n">
        <f aca="false">IFERROR(IF(AND($N672="VCA",$AH672&gt;0),$M672*$AG672*$AH672,0),0)</f>
        <v>1.8655</v>
      </c>
      <c r="AR672" s="153" t="n">
        <f aca="false">IFERROR(IF(AND($N672="VCA",$AJ672&gt;0),($M672*$AG672*$AJ672)-$AI672,0),0)</f>
        <v>6.68230005958795</v>
      </c>
      <c r="AS672" s="153" t="n">
        <f aca="false">IFERROR(IF(AND($N672="VCA",$AP672&gt;0),$AP672-$AI672-$AQ672-$AR672,0),0)</f>
        <v>16.7895</v>
      </c>
      <c r="AT672" s="153" t="n">
        <f aca="false">IFERROR(IF($N672="VCA",INDEX(APOIO_REDES!$A:$W,MATCH($C672&amp;$I672&amp;$H672&amp;$N672&amp;$O672,APOIO_REDES!$W:$W,0),MATCH(AT$5,APOIO_REDES!$5:$5,0)),0)*$AP672,0)</f>
        <v>0.276650729138279</v>
      </c>
      <c r="AU672" s="153" t="n">
        <f aca="false">IFERROR(IF($N672="VCA",INDEX(APOIO_REDES!$A:$W,MATCH($C672&amp;$I672&amp;$H672&amp;$N672&amp;$O672,APOIO_REDES!$W:$W,0),MATCH(AU$5,APOIO_REDES!$5:$5,0)),0)*$AP672,0)</f>
        <v>0.220925779637863</v>
      </c>
      <c r="AV672" s="153" t="n">
        <f aca="false">IFERROR(IF($N672="VCA",INDEX(APOIO_REDES!$A:$W,MATCH($C672&amp;$I672&amp;$H672&amp;$N672&amp;$O672,APOIO_REDES!$W:$W,0),MATCH(AV$5,APOIO_REDES!$5:$5,0)),0)*$AP672,0)</f>
        <v>0.0305743935665101</v>
      </c>
      <c r="AW672" s="153" t="n">
        <f aca="false">IFERROR(IF($N672="VCA",INDEX(APOIO_REDES!$A:$W,MATCH($C672&amp;$I672&amp;$H672&amp;$N672&amp;$O672,APOIO_REDES!$W:$W,0),MATCH(AW$5,APOIO_REDES!$5:$5,0)),0)*$AP672,0)</f>
        <v>17.4531285121891</v>
      </c>
      <c r="AX672" s="153" t="n">
        <f aca="false">IFERROR(IF($N672="VCA",INDEX(APOIO_REDES!$A:$W,MATCH($C672&amp;$I672&amp;$H672&amp;$N672&amp;$O672,APOIO_REDES!$W:$W,0),MATCH(AX$5,APOIO_REDES!$5:$5,0)),0)*$AP672,0)</f>
        <v>2.41546326990934</v>
      </c>
      <c r="AY672" s="153" t="n">
        <f aca="false">IFERROR(IF($N672="VCA",INDEX(APOIO_REDES!$A:$W,MATCH($C672&amp;$I672&amp;$H672&amp;$N672&amp;$O672,APOIO_REDES!$W:$W,0),MATCH(AY$5,APOIO_REDES!$5:$5,0)),0)*$AP672,0)</f>
        <v>4.41851289968991</v>
      </c>
      <c r="AZ672" s="153" t="n">
        <f aca="false">IFERROR(IF($N672="VCA",INDEX(APOIO_REDES!$A:$W,MATCH($C672&amp;$I672&amp;$H672&amp;$N672&amp;$O672,APOIO_REDES!$W:$W,0),MATCH(AZ$5,APOIO_REDES!$5:$5,0)),0)*$AP672,0)</f>
        <v>0.611509415868962</v>
      </c>
      <c r="BA672" s="153" t="n">
        <f aca="false">IFERROR(IF(AND($N672="VCA",$Q672="LINEAR"),INDEX(APOIO_REDES!$A:$W,MATCH($C672&amp;$I672&amp;$H672&amp;$N672&amp;$O672,APOIO_REDES!$W:$W,0),MATCH(BA$5,APOIO_REDES!$5:$5,0)),IF(AND($N672="MND",$Q672="EMBOQUE"),INDEX(APOIO_REDES!$A:$W,MATCH($C672&amp;$I672&amp;$H672&amp;$N672&amp;$O672,APOIO_REDES!$W:$W,0),MATCH(BA$5,APOIO_REDES!$5:$5,0)),0))*$M672/10,0)</f>
        <v>2.31314760653969</v>
      </c>
      <c r="BB672" s="153" t="n">
        <f aca="false">IFERROR(IF($N672="VCA",INDEX(APOIO_REDES!$A:$W,MATCH($C672&amp;$I672&amp;$H672&amp;$N672&amp;$O672,APOIO_REDES!$W:$W,0),MATCH(BB$5,APOIO_REDES!$5:$5,0)),0)*($AI672+$AQ672+$AR672),0)</f>
        <v>8.54328900030006</v>
      </c>
      <c r="BC672" s="153" t="n">
        <f aca="false">IFERROR(IF($N672="VCA",INDEX(APOIO_REDES!$A:$W,MATCH($C672&amp;$I672&amp;$H672&amp;$N672&amp;$O672,APOIO_REDES!$W:$W,0),MATCH(BC$5,APOIO_REDES!$5:$5,0)),0)*($AI672+$AQ672+$AR672),0)</f>
        <v>0.0939759996999437</v>
      </c>
      <c r="BD672" s="153" t="n">
        <f aca="false">IF(AND($N672="VCA",$AF672&gt;=1.25,$AF672&lt;1.5),$M672*$AF672*2,0)</f>
        <v>78.2362</v>
      </c>
      <c r="BE672" s="153" t="n">
        <f aca="false">IF(AND($N672="VCA",$AF672&gt;=1.5,$AF672&lt;3),$M672*$AF672*2,0)</f>
        <v>0</v>
      </c>
      <c r="BF672" s="153" t="n">
        <f aca="false">IF(AND($N672="VCA",$AF672&gt;=3),$M672*$AF672*2,0)</f>
        <v>0</v>
      </c>
      <c r="BG672" s="153" t="n">
        <f aca="false">($BB672+$BC672)*$AK672</f>
        <v>18.1382565</v>
      </c>
      <c r="BH672" s="153" t="n">
        <f aca="false">IF(AND($M672&lt;&gt;"",$N672="VCA",$Q672="LINEAR"),($M672*2)/100,IF(AND($M672&lt;&gt;"",$N672="MND",$Q672="EMBOQUE"),($AN672*2)/100,0))</f>
        <v>0.574</v>
      </c>
      <c r="BI672" s="153" t="n">
        <f aca="false">IF(AND($M672&lt;&gt;"",$N672="VCA",$Q672="LINEAR"),$M672,IF(AND($M672&lt;&gt;"",$N672="MND",$Q672="EMBOQUE"),$AN672*2,0))</f>
        <v>28.7</v>
      </c>
      <c r="BJ672" s="153" t="n">
        <f aca="false">IF(AND($M672&lt;&gt;"",$N672="VCA",$Q672="LINEAR"),($M672*6.8)/100,IF(AND($M672&lt;&gt;"",$N672="MND",$Q672="EMBOQUE"),($AN672*2*6.8)/100,0))</f>
        <v>1.9516</v>
      </c>
      <c r="BK672" s="153" t="n">
        <f aca="false">IF(AND($M672&lt;&gt;"",$N672="VCA",$Q672="LINEAR"),($M672*2.5)/50,IF(AND($M672&lt;&gt;"",$N672="MND",$Q672="EMBOQUE"),($AN672*2*2.5)/50,0))</f>
        <v>1.435</v>
      </c>
      <c r="BL672" s="157" t="str">
        <f aca="false">K672&amp;J672</f>
        <v>Zona06REDES</v>
      </c>
      <c r="BM672" s="152" t="s">
        <v>3790</v>
      </c>
      <c r="BN672" s="152" t="s">
        <v>1560</v>
      </c>
      <c r="BO672" s="152" t="s">
        <v>4097</v>
      </c>
      <c r="BP672" s="152" t="s">
        <v>4107</v>
      </c>
      <c r="BQ672" s="152" t="s">
        <v>3998</v>
      </c>
      <c r="BR672" s="152" t="s">
        <v>4108</v>
      </c>
      <c r="BS672" s="152" t="n">
        <v>204175.581</v>
      </c>
      <c r="BT672" s="152" t="n">
        <v>8237069.379</v>
      </c>
      <c r="BU672" s="152" t="n">
        <v>204185.945</v>
      </c>
      <c r="BV672" s="152" t="n">
        <v>8237096.131</v>
      </c>
      <c r="BW672" s="152" t="n">
        <v>-15.9278882</v>
      </c>
      <c r="BX672" s="152" t="n">
        <v>-47.762977</v>
      </c>
      <c r="BY672" s="152" t="s">
        <v>4107</v>
      </c>
    </row>
    <row r="673" customFormat="false" ht="13.8" hidden="false" customHeight="false" outlineLevel="0" collapsed="false">
      <c r="A673" s="149" t="n">
        <f aca="false">IF(C673&lt;&gt;"",ROW(A668),"")</f>
        <v>668</v>
      </c>
      <c r="B673" s="150" t="str">
        <f aca="false">HYPERLINK("https://www.google.com/maps/dir/-15.917302,-47.760003/-15.9278794,-47.7650624/data=!4m3!4m2!3e0!5i2")</f>
        <v>https://www.google.com/maps/dir/-15.917302,-47.760003/-15.9278794,-47.7650624/data=!4m3!4m2!3e0!5i2</v>
      </c>
      <c r="C673" s="151" t="s">
        <v>117</v>
      </c>
      <c r="D673" s="152" t="s">
        <v>112</v>
      </c>
      <c r="E673" s="152" t="s">
        <v>113</v>
      </c>
      <c r="F673" s="152" t="s">
        <v>117</v>
      </c>
      <c r="G673" s="152" t="s">
        <v>782</v>
      </c>
      <c r="H673" s="152" t="n">
        <v>110</v>
      </c>
      <c r="I673" s="152" t="s">
        <v>115</v>
      </c>
      <c r="J673" s="152" t="s">
        <v>6</v>
      </c>
      <c r="K673" s="152" t="s">
        <v>3786</v>
      </c>
      <c r="L673" s="152" t="s">
        <v>120</v>
      </c>
      <c r="M673" s="153" t="n">
        <f aca="false">60.61</f>
        <v>60.61</v>
      </c>
      <c r="N673" s="152" t="s">
        <v>1548</v>
      </c>
      <c r="O673" s="152" t="s">
        <v>1549</v>
      </c>
      <c r="P673" s="152" t="s">
        <v>1550</v>
      </c>
      <c r="Q673" s="152" t="s">
        <v>1551</v>
      </c>
      <c r="R673" s="154" t="s">
        <v>4109</v>
      </c>
      <c r="S673" s="154" t="s">
        <v>1593</v>
      </c>
      <c r="T673" s="155" t="s">
        <v>4095</v>
      </c>
      <c r="U673" s="152" t="str">
        <f aca="false">RIGHT(T673,7)</f>
        <v>016/037</v>
      </c>
      <c r="V673" s="152" t="s">
        <v>1555</v>
      </c>
      <c r="W673" s="156" t="n">
        <v>45882</v>
      </c>
      <c r="X673" s="152" t="s">
        <v>1594</v>
      </c>
      <c r="Y673" s="152" t="s">
        <v>2553</v>
      </c>
      <c r="Z673" s="152" t="s">
        <v>1557</v>
      </c>
      <c r="AA673" s="153" t="n">
        <v>2.1</v>
      </c>
      <c r="AB673" s="151" t="s">
        <v>4110</v>
      </c>
      <c r="AC673" s="151" t="s">
        <v>502</v>
      </c>
      <c r="AD673" s="151" t="str">
        <f aca="false">CONCATENATE($C673,$I673,$H673,$N673,$J673,$K673)</f>
        <v>TUBO PEADPEAD110VCAREDESZona06</v>
      </c>
      <c r="AE673" s="153" t="n">
        <f aca="false">IFERROR(INDEX(APOIO_REDES!$A:$W,MATCH($C673&amp;$I673&amp;$H673&amp;$N673&amp;$O673,APOIO_REDES!$W:$W,0),MATCH(AE$5,APOIO_REDES!$5:$5,0)),0)</f>
        <v>1.2</v>
      </c>
      <c r="AF673" s="153" t="n">
        <f aca="false">IFERROR(INDEX(APOIO_REDES!$A:$W,MATCH($C673&amp;$I673&amp;$H673&amp;$N673&amp;$O673,APOIO_REDES!$W:$W,0),MATCH(AF$5,APOIO_REDES!$5:$5,0)),0)</f>
        <v>1.41</v>
      </c>
      <c r="AG673" s="153" t="n">
        <f aca="false">IFERROR(INDEX(APOIO_REDES!$A:$W,MATCH($C673&amp;$I673&amp;$H673&amp;$N673&amp;$O673,APOIO_REDES!$W:$W,0),MATCH(AG$5,APOIO_REDES!$5:$5,0)),0)</f>
        <v>0.75</v>
      </c>
      <c r="AH673" s="153" t="n">
        <f aca="false">IFERROR(INDEX(APOIO_REDES!$A:$W,MATCH($C673&amp;$I673&amp;$H673&amp;$N673&amp;$O673,APOIO_REDES!$W:$W,0),MATCH(AH$5,APOIO_REDES!$5:$5,0)),0)</f>
        <v>0.1</v>
      </c>
      <c r="AI673" s="153" t="n">
        <f aca="false">IFERROR(IF($H673&lt;&gt;"",(((($H673/1000)/2)^2)*PI()*$M673),0),0)</f>
        <v>0.575996090470584</v>
      </c>
      <c r="AJ673" s="153" t="n">
        <f aca="false">IFERROR(IF(AND($H673&lt;&gt;"",$I673="FoFo",OR($N673="MND",$N673="VCA"),$Q673="LINEAR"),0,IF(AND($H673&lt;&gt;"",$I673="PEAD",$N673="VCA",$Q673="LINEAR"),($H673/1000)+0.3,IF(AND($H673&lt;&gt;"",$I673="PEAD",$N673="MND",$Q673="EMBOQUE"),0,IF(AND($H673&lt;&gt;"",$I673="PVC",$N673="VCA",$Q673="LINEAR"),($H673/1000)+0.2,IF(AND($H673&lt;&gt;"",$I673="PVC",$N673="MND",$Q673="EMBOQUE"),0,IF(AND($H673&lt;&gt;"",$I673="PEAD",$N673="VCA",$Q673="PREDIAL"),0,0)))))),0)</f>
        <v>0.41</v>
      </c>
      <c r="AK673" s="153" t="n">
        <f aca="false">IF(AA673&lt;&gt;"",AA673,0)</f>
        <v>2.1</v>
      </c>
      <c r="AL673" s="153" t="n">
        <f aca="false">IF(AND($N673="MND",$Q673="EMBOQUE"),$M673,IF(AND($N673="VCA",$Q673="LINEAR"),$M673,IF(AND($N673="VCA",$Q673="PREDIAL"),0,0)))</f>
        <v>60.61</v>
      </c>
      <c r="AM673" s="153" t="n">
        <f aca="false">IF(AND($N673="MND",$Q673="EMBOQUE"),$M673,IF(AND($N673="VCA",$Q673="LINEAR"),$M673,IF(AND($N673="VCA",$Q673="PREDIAL"),0,0)))</f>
        <v>60.61</v>
      </c>
      <c r="AN673" s="153" t="n">
        <f aca="false">ROUND(IF(AND($N673="VCA",$M673&lt;&gt;"",$Q673="LINEAR"),$M673/100,IF(AND($N673="MND",$M673&gt;100,$Q673="EMBOQUE"),$M673/100,0)),0)</f>
        <v>1</v>
      </c>
      <c r="AO673" s="153" t="n">
        <f aca="false">IF(AND($N673="MND",$Q673="EMBOQUE"),$AN673*2*2,IF(AND($N673="VCA",$Q673="LINEAR"),$M673*2,IF(AND($N673="VCA",$Q673="PREDIAL"),0,0)))</f>
        <v>121.22</v>
      </c>
      <c r="AP673" s="153" t="n">
        <f aca="false">IFERROR($M673*$AF673*$AG673,0)</f>
        <v>64.095075</v>
      </c>
      <c r="AQ673" s="153" t="n">
        <f aca="false">IFERROR(IF(AND($N673="VCA",$AH673&gt;0),$M673*$AG673*$AH673,0),0)</f>
        <v>4.54575</v>
      </c>
      <c r="AR673" s="153" t="n">
        <f aca="false">IFERROR(IF(AND($N673="VCA",$AJ673&gt;0),($M673*$AG673*$AJ673)-$AI673,0),0)</f>
        <v>18.0615789095294</v>
      </c>
      <c r="AS673" s="153" t="n">
        <f aca="false">IFERROR(IF(AND($N673="VCA",$AP673&gt;0),$AP673-$AI673-$AQ673-$AR673,0),0)</f>
        <v>40.91175</v>
      </c>
      <c r="AT673" s="153" t="n">
        <f aca="false">IFERROR(IF($N673="VCA",INDEX(APOIO_REDES!$A:$W,MATCH($C673&amp;$I673&amp;$H673&amp;$N673&amp;$O673,APOIO_REDES!$W:$W,0),MATCH(AT$5,APOIO_REDES!$5:$5,0)),0)*$AP673,0)</f>
        <v>0.697373387173819</v>
      </c>
      <c r="AU673" s="153" t="n">
        <f aca="false">IFERROR(IF($N673="VCA",INDEX(APOIO_REDES!$A:$W,MATCH($C673&amp;$I673&amp;$H673&amp;$N673&amp;$O673,APOIO_REDES!$W:$W,0),MATCH(AU$5,APOIO_REDES!$5:$5,0)),0)*$AP673,0)</f>
        <v>0.556903499730394</v>
      </c>
      <c r="AV673" s="153" t="n">
        <f aca="false">IFERROR(IF($N673="VCA",INDEX(APOIO_REDES!$A:$W,MATCH($C673&amp;$I673&amp;$H673&amp;$N673&amp;$O673,APOIO_REDES!$W:$W,0),MATCH(AV$5,APOIO_REDES!$5:$5,0)),0)*$AP673,0)</f>
        <v>0.0770710724988013</v>
      </c>
      <c r="AW673" s="153" t="n">
        <f aca="false">IFERROR(IF($N673="VCA",INDEX(APOIO_REDES!$A:$W,MATCH($C673&amp;$I673&amp;$H673&amp;$N673&amp;$O673,APOIO_REDES!$W:$W,0),MATCH(AW$5,APOIO_REDES!$5:$5,0)),0)*$AP673,0)</f>
        <v>43.9953561128756</v>
      </c>
      <c r="AX673" s="153" t="n">
        <f aca="false">IFERROR(IF($N673="VCA",INDEX(APOIO_REDES!$A:$W,MATCH($C673&amp;$I673&amp;$H673&amp;$N673&amp;$O673,APOIO_REDES!$W:$W,0),MATCH(AX$5,APOIO_REDES!$5:$5,0)),0)*$AP673,0)</f>
        <v>6.08883196287786</v>
      </c>
      <c r="AY673" s="153" t="n">
        <f aca="false">IFERROR(IF($N673="VCA",INDEX(APOIO_REDES!$A:$W,MATCH($C673&amp;$I673&amp;$H673&amp;$N673&amp;$O673,APOIO_REDES!$W:$W,0),MATCH(AY$5,APOIO_REDES!$5:$5,0)),0)*$AP673,0)</f>
        <v>11.1380632059994</v>
      </c>
      <c r="AZ673" s="153" t="n">
        <f aca="false">IFERROR(IF($N673="VCA",INDEX(APOIO_REDES!$A:$W,MATCH($C673&amp;$I673&amp;$H673&amp;$N673&amp;$O673,APOIO_REDES!$W:$W,0),MATCH(AZ$5,APOIO_REDES!$5:$5,0)),0)*$AP673,0)</f>
        <v>1.54147575884417</v>
      </c>
      <c r="BA673" s="153" t="n">
        <f aca="false">IFERROR(IF(AND($N673="VCA",$Q673="LINEAR"),INDEX(APOIO_REDES!$A:$W,MATCH($C673&amp;$I673&amp;$H673&amp;$N673&amp;$O673,APOIO_REDES!$W:$W,0),MATCH(BA$5,APOIO_REDES!$5:$5,0)),IF(AND($N673="MND",$Q673="EMBOQUE"),INDEX(APOIO_REDES!$A:$W,MATCH($C673&amp;$I673&amp;$H673&amp;$N673&amp;$O673,APOIO_REDES!$W:$W,0),MATCH(BA$5,APOIO_REDES!$5:$5,0)),0))*$M673/10,0)</f>
        <v>4.88501311611048</v>
      </c>
      <c r="BB673" s="153" t="n">
        <f aca="false">IFERROR(IF($N673="VCA",INDEX(APOIO_REDES!$A:$W,MATCH($C673&amp;$I673&amp;$H673&amp;$N673&amp;$O673,APOIO_REDES!$W:$W,0),MATCH(BB$5,APOIO_REDES!$5:$5,0)),0)*($AI673+$AQ673+$AR673),0)</f>
        <v>22.9310835620861</v>
      </c>
      <c r="BC673" s="153" t="n">
        <f aca="false">IFERROR(IF($N673="VCA",INDEX(APOIO_REDES!$A:$W,MATCH($C673&amp;$I673&amp;$H673&amp;$N673&amp;$O673,APOIO_REDES!$W:$W,0),MATCH(BC$5,APOIO_REDES!$5:$5,0)),0)*($AI673+$AQ673+$AR673),0)</f>
        <v>0.252241437913934</v>
      </c>
      <c r="BD673" s="153" t="n">
        <f aca="false">IF(AND($N673="VCA",$AF673&gt;=1.25,$AF673&lt;1.5),$M673*$AF673*2,0)</f>
        <v>170.9202</v>
      </c>
      <c r="BE673" s="153" t="n">
        <f aca="false">IF(AND($N673="VCA",$AF673&gt;=1.5,$AF673&lt;3),$M673*$AF673*2,0)</f>
        <v>0</v>
      </c>
      <c r="BF673" s="153" t="n">
        <f aca="false">IF(AND($N673="VCA",$AF673&gt;=3),$M673*$AF673*2,0)</f>
        <v>0</v>
      </c>
      <c r="BG673" s="153" t="n">
        <f aca="false">($BB673+$BC673)*$AK673</f>
        <v>48.6849825</v>
      </c>
      <c r="BH673" s="153" t="n">
        <f aca="false">IF(AND($M673&lt;&gt;"",$N673="VCA",$Q673="LINEAR"),($M673*2)/100,IF(AND($M673&lt;&gt;"",$N673="MND",$Q673="EMBOQUE"),($AN673*2)/100,0))</f>
        <v>1.2122</v>
      </c>
      <c r="BI673" s="153" t="n">
        <f aca="false">IF(AND($M673&lt;&gt;"",$N673="VCA",$Q673="LINEAR"),$M673,IF(AND($M673&lt;&gt;"",$N673="MND",$Q673="EMBOQUE"),$AN673*2,0))</f>
        <v>60.61</v>
      </c>
      <c r="BJ673" s="153" t="n">
        <f aca="false">IF(AND($M673&lt;&gt;"",$N673="VCA",$Q673="LINEAR"),($M673*6.8)/100,IF(AND($M673&lt;&gt;"",$N673="MND",$Q673="EMBOQUE"),($AN673*2*6.8)/100,0))</f>
        <v>4.12148</v>
      </c>
      <c r="BK673" s="153" t="n">
        <f aca="false">IF(AND($M673&lt;&gt;"",$N673="VCA",$Q673="LINEAR"),($M673*2.5)/50,IF(AND($M673&lt;&gt;"",$N673="MND",$Q673="EMBOQUE"),($AN673*2*2.5)/50,0))</f>
        <v>3.0305</v>
      </c>
      <c r="BL673" s="157" t="str">
        <f aca="false">K673&amp;J673</f>
        <v>Zona06REDES</v>
      </c>
      <c r="BM673" s="152" t="s">
        <v>3790</v>
      </c>
      <c r="BN673" s="152" t="s">
        <v>1560</v>
      </c>
      <c r="BO673" s="152" t="s">
        <v>4097</v>
      </c>
      <c r="BP673" s="152" t="s">
        <v>3984</v>
      </c>
      <c r="BQ673" s="152" t="s">
        <v>4099</v>
      </c>
      <c r="BR673" s="152" t="s">
        <v>4111</v>
      </c>
      <c r="BS673" s="152" t="n">
        <v>203957.464</v>
      </c>
      <c r="BT673" s="152" t="n">
        <v>8237080.722</v>
      </c>
      <c r="BU673" s="152" t="n">
        <v>204014.911</v>
      </c>
      <c r="BV673" s="152" t="n">
        <v>8237061.405</v>
      </c>
      <c r="BW673" s="152" t="n">
        <v>-15.9279705</v>
      </c>
      <c r="BX673" s="152" t="n">
        <v>-47.7647957</v>
      </c>
      <c r="BY673" s="152" t="s">
        <v>3984</v>
      </c>
    </row>
    <row r="674" customFormat="false" ht="13.8" hidden="false" customHeight="false" outlineLevel="0" collapsed="false">
      <c r="A674" s="149" t="n">
        <f aca="false">IF(C674&lt;&gt;"",ROW(A669),"")</f>
        <v>669</v>
      </c>
      <c r="B674" s="150" t="str">
        <f aca="false">HYPERLINK("https://www.google.com/maps/dir/-15.917302,-47.760003/-15.9277676,-47.7629283/data=!4m3!4m2!3e0!5i2")</f>
        <v>https://www.google.com/maps/dir/-15.917302,-47.760003/-15.9277676,-47.7629283/data=!4m3!4m2!3e0!5i2</v>
      </c>
      <c r="C674" s="151" t="s">
        <v>117</v>
      </c>
      <c r="D674" s="152" t="s">
        <v>112</v>
      </c>
      <c r="E674" s="152" t="s">
        <v>113</v>
      </c>
      <c r="F674" s="152" t="s">
        <v>117</v>
      </c>
      <c r="G674" s="152" t="s">
        <v>782</v>
      </c>
      <c r="H674" s="152" t="n">
        <v>63</v>
      </c>
      <c r="I674" s="152" t="s">
        <v>115</v>
      </c>
      <c r="J674" s="152" t="s">
        <v>6</v>
      </c>
      <c r="K674" s="152" t="s">
        <v>3786</v>
      </c>
      <c r="L674" s="152" t="s">
        <v>120</v>
      </c>
      <c r="M674" s="153" t="n">
        <f aca="false">181.46+1.09</f>
        <v>182.55</v>
      </c>
      <c r="N674" s="152" t="s">
        <v>1548</v>
      </c>
      <c r="O674" s="152" t="s">
        <v>1549</v>
      </c>
      <c r="P674" s="152" t="s">
        <v>1550</v>
      </c>
      <c r="Q674" s="152" t="s">
        <v>1551</v>
      </c>
      <c r="R674" s="154" t="s">
        <v>4112</v>
      </c>
      <c r="S674" s="154" t="s">
        <v>1553</v>
      </c>
      <c r="T674" s="155" t="s">
        <v>4095</v>
      </c>
      <c r="U674" s="152" t="str">
        <f aca="false">RIGHT(T674,7)</f>
        <v>016/037</v>
      </c>
      <c r="V674" s="152" t="s">
        <v>1555</v>
      </c>
      <c r="W674" s="156" t="n">
        <v>45882</v>
      </c>
      <c r="X674" s="152" t="s">
        <v>1594</v>
      </c>
      <c r="Y674" s="152" t="s">
        <v>2553</v>
      </c>
      <c r="Z674" s="152" t="s">
        <v>1557</v>
      </c>
      <c r="AA674" s="153" t="n">
        <v>2.2</v>
      </c>
      <c r="AB674" s="151" t="s">
        <v>4113</v>
      </c>
      <c r="AC674" s="151" t="s">
        <v>186</v>
      </c>
      <c r="AD674" s="151" t="str">
        <f aca="false">CONCATENATE($C674,$I674,$H674,$N674,$J674,$K674)</f>
        <v>TUBO PEADPEAD63VCAREDESZona06</v>
      </c>
      <c r="AE674" s="153" t="n">
        <f aca="false">IFERROR(INDEX(APOIO_REDES!$A:$W,MATCH($C674&amp;$I674&amp;$H674&amp;$N674&amp;$O674,APOIO_REDES!$W:$W,0),MATCH(AE$5,APOIO_REDES!$5:$5,0)),0)</f>
        <v>1.2</v>
      </c>
      <c r="AF674" s="153" t="n">
        <f aca="false">IFERROR(INDEX(APOIO_REDES!$A:$W,MATCH($C674&amp;$I674&amp;$H674&amp;$N674&amp;$O674,APOIO_REDES!$W:$W,0),MATCH(AF$5,APOIO_REDES!$5:$5,0)),0)</f>
        <v>1.363</v>
      </c>
      <c r="AG674" s="153" t="n">
        <f aca="false">IFERROR(INDEX(APOIO_REDES!$A:$W,MATCH($C674&amp;$I674&amp;$H674&amp;$N674&amp;$O674,APOIO_REDES!$W:$W,0),MATCH(AG$5,APOIO_REDES!$5:$5,0)),0)</f>
        <v>0.65</v>
      </c>
      <c r="AH674" s="153" t="n">
        <f aca="false">IFERROR(INDEX(APOIO_REDES!$A:$W,MATCH($C674&amp;$I674&amp;$H674&amp;$N674&amp;$O674,APOIO_REDES!$W:$W,0),MATCH(AH$5,APOIO_REDES!$5:$5,0)),0)</f>
        <v>0.1</v>
      </c>
      <c r="AI674" s="153" t="n">
        <f aca="false">IFERROR(IF($H674&lt;&gt;"",(((($H674/1000)/2)^2)*PI()*$M674),0),0)</f>
        <v>0.569053131436243</v>
      </c>
      <c r="AJ674" s="153" t="n">
        <f aca="false">IFERROR(IF(AND($H674&lt;&gt;"",$I674="FoFo",OR($N674="MND",$N674="VCA"),$Q674="LINEAR"),0,IF(AND($H674&lt;&gt;"",$I674="PEAD",$N674="VCA",$Q674="LINEAR"),($H674/1000)+0.3,IF(AND($H674&lt;&gt;"",$I674="PEAD",$N674="MND",$Q674="EMBOQUE"),0,IF(AND($H674&lt;&gt;"",$I674="PVC",$N674="VCA",$Q674="LINEAR"),($H674/1000)+0.2,IF(AND($H674&lt;&gt;"",$I674="PVC",$N674="MND",$Q674="EMBOQUE"),0,IF(AND($H674&lt;&gt;"",$I674="PEAD",$N674="VCA",$Q674="PREDIAL"),0,0)))))),0)</f>
        <v>0.363</v>
      </c>
      <c r="AK674" s="153" t="n">
        <f aca="false">IF(AA674&lt;&gt;"",AA674,0)</f>
        <v>2.2</v>
      </c>
      <c r="AL674" s="153" t="n">
        <f aca="false">IF(AND($N674="MND",$Q674="EMBOQUE"),$M674,IF(AND($N674="VCA",$Q674="LINEAR"),$M674,IF(AND($N674="VCA",$Q674="PREDIAL"),0,0)))</f>
        <v>182.55</v>
      </c>
      <c r="AM674" s="153" t="n">
        <f aca="false">IF(AND($N674="MND",$Q674="EMBOQUE"),$M674,IF(AND($N674="VCA",$Q674="LINEAR"),$M674,IF(AND($N674="VCA",$Q674="PREDIAL"),0,0)))</f>
        <v>182.55</v>
      </c>
      <c r="AN674" s="153" t="n">
        <f aca="false">ROUND(IF(AND($N674="VCA",$M674&lt;&gt;"",$Q674="LINEAR"),$M674/100,IF(AND($N674="MND",$M674&gt;100,$Q674="EMBOQUE"),$M674/100,0)),0)</f>
        <v>2</v>
      </c>
      <c r="AO674" s="153" t="n">
        <f aca="false">IF(AND($N674="MND",$Q674="EMBOQUE"),$AN674*2*2,IF(AND($N674="VCA",$Q674="LINEAR"),$M674*2,IF(AND($N674="VCA",$Q674="PREDIAL"),0,0)))</f>
        <v>365.1</v>
      </c>
      <c r="AP674" s="153" t="n">
        <f aca="false">IFERROR($M674*$AF674*$AG674,0)</f>
        <v>161.7301725</v>
      </c>
      <c r="AQ674" s="153" t="n">
        <f aca="false">IFERROR(IF(AND($N674="VCA",$AH674&gt;0),$M674*$AG674*$AH674,0),0)</f>
        <v>11.86575</v>
      </c>
      <c r="AR674" s="153" t="n">
        <f aca="false">IFERROR(IF(AND($N674="VCA",$AJ674&gt;0),($M674*$AG674*$AJ674)-$AI674,0),0)</f>
        <v>42.5036193685638</v>
      </c>
      <c r="AS674" s="153" t="n">
        <f aca="false">IFERROR(IF(AND($N674="VCA",$AP674&gt;0),$AP674-$AI674-$AQ674-$AR674,0),0)</f>
        <v>106.79175</v>
      </c>
      <c r="AT674" s="153" t="n">
        <f aca="false">IFERROR(IF($N674="VCA",INDEX(APOIO_REDES!$A:$W,MATCH($C674&amp;$I674&amp;$H674&amp;$N674&amp;$O674,APOIO_REDES!$W:$W,0),MATCH(AT$5,APOIO_REDES!$5:$5,0)),0)*$AP674,0)</f>
        <v>1.75967214648756</v>
      </c>
      <c r="AU674" s="153" t="n">
        <f aca="false">IFERROR(IF($N674="VCA",INDEX(APOIO_REDES!$A:$W,MATCH($C674&amp;$I674&amp;$H674&amp;$N674&amp;$O674,APOIO_REDES!$W:$W,0),MATCH(AU$5,APOIO_REDES!$5:$5,0)),0)*$AP674,0)</f>
        <v>1.40522651821923</v>
      </c>
      <c r="AV674" s="153" t="n">
        <f aca="false">IFERROR(IF($N674="VCA",INDEX(APOIO_REDES!$A:$W,MATCH($C674&amp;$I674&amp;$H674&amp;$N674&amp;$O674,APOIO_REDES!$W:$W,0),MATCH(AV$5,APOIO_REDES!$5:$5,0)),0)*$AP674,0)</f>
        <v>0.194472318660851</v>
      </c>
      <c r="AW674" s="153" t="n">
        <f aca="false">IFERROR(IF($N674="VCA",INDEX(APOIO_REDES!$A:$W,MATCH($C674&amp;$I674&amp;$H674&amp;$N674&amp;$O674,APOIO_REDES!$W:$W,0),MATCH(AW$5,APOIO_REDES!$5:$5,0)),0)*$AP674,0)</f>
        <v>111.012843550527</v>
      </c>
      <c r="AX674" s="153" t="n">
        <f aca="false">IFERROR(IF($N674="VCA",INDEX(APOIO_REDES!$A:$W,MATCH($C674&amp;$I674&amp;$H674&amp;$N674&amp;$O674,APOIO_REDES!$W:$W,0),MATCH(AX$5,APOIO_REDES!$5:$5,0)),0)*$AP674,0)</f>
        <v>15.3638613213223</v>
      </c>
      <c r="AY674" s="153" t="n">
        <f aca="false">IFERROR(IF($N674="VCA",INDEX(APOIO_REDES!$A:$W,MATCH($C674&amp;$I674&amp;$H674&amp;$N674&amp;$O674,APOIO_REDES!$W:$W,0),MATCH(AY$5,APOIO_REDES!$5:$5,0)),0)*$AP674,0)</f>
        <v>28.1045132347872</v>
      </c>
      <c r="AZ674" s="153" t="n">
        <f aca="false">IFERROR(IF($N674="VCA",INDEX(APOIO_REDES!$A:$W,MATCH($C674&amp;$I674&amp;$H674&amp;$N674&amp;$O674,APOIO_REDES!$W:$W,0),MATCH(AZ$5,APOIO_REDES!$5:$5,0)),0)*$AP674,0)</f>
        <v>3.88958340999578</v>
      </c>
      <c r="BA674" s="153" t="n">
        <f aca="false">IFERROR(IF(AND($N674="VCA",$Q674="LINEAR"),INDEX(APOIO_REDES!$A:$W,MATCH($C674&amp;$I674&amp;$H674&amp;$N674&amp;$O674,APOIO_REDES!$W:$W,0),MATCH(BA$5,APOIO_REDES!$5:$5,0)),IF(AND($N674="MND",$Q674="EMBOQUE"),INDEX(APOIO_REDES!$A:$W,MATCH($C674&amp;$I674&amp;$H674&amp;$N674&amp;$O674,APOIO_REDES!$W:$W,0),MATCH(BA$5,APOIO_REDES!$5:$5,0)),0))*$M674/10,0)</f>
        <v>14.7130695321889</v>
      </c>
      <c r="BB674" s="153" t="n">
        <f aca="false">IFERROR(IF($N674="VCA",INDEX(APOIO_REDES!$A:$W,MATCH($C674&amp;$I674&amp;$H674&amp;$N674&amp;$O674,APOIO_REDES!$W:$W,0),MATCH(BB$5,APOIO_REDES!$5:$5,0)),0)*($AI674+$AQ674+$AR674),0)</f>
        <v>54.340676202257</v>
      </c>
      <c r="BC674" s="153" t="n">
        <f aca="false">IFERROR(IF($N674="VCA",INDEX(APOIO_REDES!$A:$W,MATCH($C674&amp;$I674&amp;$H674&amp;$N674&amp;$O674,APOIO_REDES!$W:$W,0),MATCH(BC$5,APOIO_REDES!$5:$5,0)),0)*($AI674+$AQ674+$AR674),0)</f>
        <v>0.597746297743022</v>
      </c>
      <c r="BD674" s="153" t="n">
        <f aca="false">IF(AND($N674="VCA",$AF674&gt;=1.25,$AF674&lt;1.5),$M674*$AF674*2,0)</f>
        <v>497.6313</v>
      </c>
      <c r="BE674" s="153" t="n">
        <f aca="false">IF(AND($N674="VCA",$AF674&gt;=1.5,$AF674&lt;3),$M674*$AF674*2,0)</f>
        <v>0</v>
      </c>
      <c r="BF674" s="153" t="n">
        <f aca="false">IF(AND($N674="VCA",$AF674&gt;=3),$M674*$AF674*2,0)</f>
        <v>0</v>
      </c>
      <c r="BG674" s="153" t="n">
        <f aca="false">($BB674+$BC674)*$AK674</f>
        <v>120.8645295</v>
      </c>
      <c r="BH674" s="153" t="n">
        <f aca="false">IF(AND($M674&lt;&gt;"",$N674="VCA",$Q674="LINEAR"),($M674*2)/100,IF(AND($M674&lt;&gt;"",$N674="MND",$Q674="EMBOQUE"),($AN674*2)/100,0))</f>
        <v>3.651</v>
      </c>
      <c r="BI674" s="153" t="n">
        <f aca="false">IF(AND($M674&lt;&gt;"",$N674="VCA",$Q674="LINEAR"),$M674,IF(AND($M674&lt;&gt;"",$N674="MND",$Q674="EMBOQUE"),$AN674*2,0))</f>
        <v>182.55</v>
      </c>
      <c r="BJ674" s="153" t="n">
        <f aca="false">IF(AND($M674&lt;&gt;"",$N674="VCA",$Q674="LINEAR"),($M674*6.8)/100,IF(AND($M674&lt;&gt;"",$N674="MND",$Q674="EMBOQUE"),($AN674*2*6.8)/100,0))</f>
        <v>12.4134</v>
      </c>
      <c r="BK674" s="153" t="n">
        <f aca="false">IF(AND($M674&lt;&gt;"",$N674="VCA",$Q674="LINEAR"),($M674*2.5)/50,IF(AND($M674&lt;&gt;"",$N674="MND",$Q674="EMBOQUE"),($AN674*2*2.5)/50,0))</f>
        <v>9.1275</v>
      </c>
      <c r="BL674" s="157" t="str">
        <f aca="false">K674&amp;J674</f>
        <v>Zona06REDES</v>
      </c>
      <c r="BM674" s="152" t="s">
        <v>3790</v>
      </c>
      <c r="BN674" s="152" t="s">
        <v>1560</v>
      </c>
      <c r="BO674" s="152" t="s">
        <v>4097</v>
      </c>
      <c r="BP674" s="152" t="s">
        <v>3998</v>
      </c>
      <c r="BQ674" s="152" t="s">
        <v>4107</v>
      </c>
      <c r="BR674" s="152" t="s">
        <v>4114</v>
      </c>
      <c r="BS674" s="152" t="n">
        <v>204185.945</v>
      </c>
      <c r="BT674" s="152" t="n">
        <v>8237096.131</v>
      </c>
      <c r="BU674" s="152" t="n">
        <v>204175.587</v>
      </c>
      <c r="BV674" s="152" t="n">
        <v>8237069.377</v>
      </c>
      <c r="BW674" s="152" t="n">
        <v>-15.9281254</v>
      </c>
      <c r="BX674" s="152" t="n">
        <v>-47.7622756</v>
      </c>
      <c r="BY674" s="152" t="s">
        <v>3998</v>
      </c>
    </row>
    <row r="675" customFormat="false" ht="13.8" hidden="false" customHeight="false" outlineLevel="0" collapsed="false">
      <c r="A675" s="149" t="n">
        <f aca="false">IF(C675&lt;&gt;"",ROW(A670),"")</f>
        <v>670</v>
      </c>
      <c r="B675" s="150" t="str">
        <f aca="false">HYPERLINK("https://www.google.com/maps/dir/-15.917302,-47.760003/-15.9280607,-47.7645287/data=!4m3!4m2!3e0!5i1")</f>
        <v>https://www.google.com/maps/dir/-15.917302,-47.760003/-15.9280607,-47.7645287/data=!4m3!4m2!3e0!5i1</v>
      </c>
      <c r="C675" s="151" t="s">
        <v>117</v>
      </c>
      <c r="D675" s="152" t="s">
        <v>112</v>
      </c>
      <c r="E675" s="152" t="s">
        <v>113</v>
      </c>
      <c r="F675" s="152" t="s">
        <v>117</v>
      </c>
      <c r="G675" s="152" t="s">
        <v>782</v>
      </c>
      <c r="H675" s="152" t="n">
        <v>110</v>
      </c>
      <c r="I675" s="152" t="s">
        <v>115</v>
      </c>
      <c r="J675" s="152" t="s">
        <v>6</v>
      </c>
      <c r="K675" s="152" t="s">
        <v>3786</v>
      </c>
      <c r="L675" s="152" t="s">
        <v>120</v>
      </c>
      <c r="M675" s="153" t="n">
        <f aca="false">52.59</f>
        <v>52.59</v>
      </c>
      <c r="N675" s="152" t="s">
        <v>1548</v>
      </c>
      <c r="O675" s="152" t="s">
        <v>1549</v>
      </c>
      <c r="P675" s="152" t="s">
        <v>1550</v>
      </c>
      <c r="Q675" s="152" t="s">
        <v>1551</v>
      </c>
      <c r="R675" s="154" t="s">
        <v>4115</v>
      </c>
      <c r="S675" s="154" t="s">
        <v>1593</v>
      </c>
      <c r="T675" s="155" t="s">
        <v>4095</v>
      </c>
      <c r="U675" s="152" t="str">
        <f aca="false">RIGHT(T675,7)</f>
        <v>016/037</v>
      </c>
      <c r="V675" s="152" t="s">
        <v>1555</v>
      </c>
      <c r="W675" s="156" t="n">
        <v>45882</v>
      </c>
      <c r="X675" s="152" t="s">
        <v>1594</v>
      </c>
      <c r="Y675" s="152"/>
      <c r="Z675" s="152" t="s">
        <v>1557</v>
      </c>
      <c r="AA675" s="153" t="n">
        <v>2</v>
      </c>
      <c r="AB675" s="151" t="s">
        <v>4116</v>
      </c>
      <c r="AC675" s="151" t="s">
        <v>502</v>
      </c>
      <c r="AD675" s="151" t="str">
        <f aca="false">CONCATENATE($C675,$I675,$H675,$N675,$J675,$K675)</f>
        <v>TUBO PEADPEAD110VCAREDESZona06</v>
      </c>
      <c r="AE675" s="153" t="n">
        <f aca="false">IFERROR(INDEX(APOIO_REDES!$A:$W,MATCH($C675&amp;$I675&amp;$H675&amp;$N675&amp;$O675,APOIO_REDES!$W:$W,0),MATCH(AE$5,APOIO_REDES!$5:$5,0)),0)</f>
        <v>1.2</v>
      </c>
      <c r="AF675" s="153" t="n">
        <f aca="false">IFERROR(INDEX(APOIO_REDES!$A:$W,MATCH($C675&amp;$I675&amp;$H675&amp;$N675&amp;$O675,APOIO_REDES!$W:$W,0),MATCH(AF$5,APOIO_REDES!$5:$5,0)),0)</f>
        <v>1.41</v>
      </c>
      <c r="AG675" s="153" t="n">
        <f aca="false">IFERROR(INDEX(APOIO_REDES!$A:$W,MATCH($C675&amp;$I675&amp;$H675&amp;$N675&amp;$O675,APOIO_REDES!$W:$W,0),MATCH(AG$5,APOIO_REDES!$5:$5,0)),0)</f>
        <v>0.75</v>
      </c>
      <c r="AH675" s="153" t="n">
        <f aca="false">IFERROR(INDEX(APOIO_REDES!$A:$W,MATCH($C675&amp;$I675&amp;$H675&amp;$N675&amp;$O675,APOIO_REDES!$W:$W,0),MATCH(AH$5,APOIO_REDES!$5:$5,0)),0)</f>
        <v>0.1</v>
      </c>
      <c r="AI675" s="153" t="n">
        <f aca="false">IFERROR(IF($H675&lt;&gt;"",(((($H675/1000)/2)^2)*PI()*$M675),0),0)</f>
        <v>0.499779481898169</v>
      </c>
      <c r="AJ675" s="153" t="n">
        <f aca="false">IFERROR(IF(AND($H675&lt;&gt;"",$I675="FoFo",OR($N675="MND",$N675="VCA"),$Q675="LINEAR"),0,IF(AND($H675&lt;&gt;"",$I675="PEAD",$N675="VCA",$Q675="LINEAR"),($H675/1000)+0.3,IF(AND($H675&lt;&gt;"",$I675="PEAD",$N675="MND",$Q675="EMBOQUE"),0,IF(AND($H675&lt;&gt;"",$I675="PVC",$N675="VCA",$Q675="LINEAR"),($H675/1000)+0.2,IF(AND($H675&lt;&gt;"",$I675="PVC",$N675="MND",$Q675="EMBOQUE"),0,IF(AND($H675&lt;&gt;"",$I675="PEAD",$N675="VCA",$Q675="PREDIAL"),0,0)))))),0)</f>
        <v>0.41</v>
      </c>
      <c r="AK675" s="153" t="n">
        <f aca="false">IF(AA675&lt;&gt;"",AA675,0)</f>
        <v>2</v>
      </c>
      <c r="AL675" s="153" t="n">
        <f aca="false">IF(AND($N675="MND",$Q675="EMBOQUE"),$M675,IF(AND($N675="VCA",$Q675="LINEAR"),$M675,IF(AND($N675="VCA",$Q675="PREDIAL"),0,0)))</f>
        <v>52.59</v>
      </c>
      <c r="AM675" s="153" t="n">
        <f aca="false">IF(AND($N675="MND",$Q675="EMBOQUE"),$M675,IF(AND($N675="VCA",$Q675="LINEAR"),$M675,IF(AND($N675="VCA",$Q675="PREDIAL"),0,0)))</f>
        <v>52.59</v>
      </c>
      <c r="AN675" s="153" t="n">
        <f aca="false">ROUND(IF(AND($N675="VCA",$M675&lt;&gt;"",$Q675="LINEAR"),$M675/100,IF(AND($N675="MND",$M675&gt;100,$Q675="EMBOQUE"),$M675/100,0)),0)</f>
        <v>1</v>
      </c>
      <c r="AO675" s="153" t="n">
        <f aca="false">IF(AND($N675="MND",$Q675="EMBOQUE"),$AN675*2*2,IF(AND($N675="VCA",$Q675="LINEAR"),$M675*2,IF(AND($N675="VCA",$Q675="PREDIAL"),0,0)))</f>
        <v>105.18</v>
      </c>
      <c r="AP675" s="153" t="n">
        <f aca="false">IFERROR($M675*$AF675*$AG675,0)</f>
        <v>55.613925</v>
      </c>
      <c r="AQ675" s="153" t="n">
        <f aca="false">IFERROR(IF(AND($N675="VCA",$AH675&gt;0),$M675*$AG675*$AH675,0),0)</f>
        <v>3.94425</v>
      </c>
      <c r="AR675" s="153" t="n">
        <f aca="false">IFERROR(IF(AND($N675="VCA",$AJ675&gt;0),($M675*$AG675*$AJ675)-$AI675,0),0)</f>
        <v>15.6716455181018</v>
      </c>
      <c r="AS675" s="153" t="n">
        <f aca="false">IFERROR(IF(AND($N675="VCA",$AP675&gt;0),$AP675-$AI675-$AQ675-$AR675,0),0)</f>
        <v>35.49825</v>
      </c>
      <c r="AT675" s="153" t="n">
        <f aca="false">IFERROR(IF($N675="VCA",INDEX(APOIO_REDES!$A:$W,MATCH($C675&amp;$I675&amp;$H675&amp;$N675&amp;$O675,APOIO_REDES!$W:$W,0),MATCH(AT$5,APOIO_REDES!$5:$5,0)),0)*$AP675,0)</f>
        <v>0.605095964881556</v>
      </c>
      <c r="AU675" s="153" t="n">
        <f aca="false">IFERROR(IF($N675="VCA",INDEX(APOIO_REDES!$A:$W,MATCH($C675&amp;$I675&amp;$H675&amp;$N675&amp;$O675,APOIO_REDES!$W:$W,0),MATCH(AU$5,APOIO_REDES!$5:$5,0)),0)*$AP675,0)</f>
        <v>0.483213249477338</v>
      </c>
      <c r="AV675" s="153" t="n">
        <f aca="false">IFERROR(IF($N675="VCA",INDEX(APOIO_REDES!$A:$W,MATCH($C675&amp;$I675&amp;$H675&amp;$N675&amp;$O675,APOIO_REDES!$W:$W,0),MATCH(AV$5,APOIO_REDES!$5:$5,0)),0)*$AP675,0)</f>
        <v>0.0668729203549243</v>
      </c>
      <c r="AW675" s="153" t="n">
        <f aca="false">IFERROR(IF($N675="VCA",INDEX(APOIO_REDES!$A:$W,MATCH($C675&amp;$I675&amp;$H675&amp;$N675&amp;$O675,APOIO_REDES!$W:$W,0),MATCH(AW$5,APOIO_REDES!$5:$5,0)),0)*$AP675,0)</f>
        <v>38.1738290377187</v>
      </c>
      <c r="AX675" s="153" t="n">
        <f aca="false">IFERROR(IF($N675="VCA",INDEX(APOIO_REDES!$A:$W,MATCH($C675&amp;$I675&amp;$H675&amp;$N675&amp;$O675,APOIO_REDES!$W:$W,0),MATCH(AX$5,APOIO_REDES!$5:$5,0)),0)*$AP675,0)</f>
        <v>5.28314919860991</v>
      </c>
      <c r="AY675" s="153" t="n">
        <f aca="false">IFERROR(IF($N675="VCA",INDEX(APOIO_REDES!$A:$W,MATCH($C675&amp;$I675&amp;$H675&amp;$N675&amp;$O675,APOIO_REDES!$W:$W,0),MATCH(AY$5,APOIO_REDES!$5:$5,0)),0)*$AP675,0)</f>
        <v>9.66425909921641</v>
      </c>
      <c r="AZ675" s="153" t="n">
        <f aca="false">IFERROR(IF($N675="VCA",INDEX(APOIO_REDES!$A:$W,MATCH($C675&amp;$I675&amp;$H675&amp;$N675&amp;$O675,APOIO_REDES!$W:$W,0),MATCH(AZ$5,APOIO_REDES!$5:$5,0)),0)*$AP675,0)</f>
        <v>1.33750552974121</v>
      </c>
      <c r="BA675" s="153" t="n">
        <f aca="false">IFERROR(IF(AND($N675="VCA",$Q675="LINEAR"),INDEX(APOIO_REDES!$A:$W,MATCH($C675&amp;$I675&amp;$H675&amp;$N675&amp;$O675,APOIO_REDES!$W:$W,0),MATCH(BA$5,APOIO_REDES!$5:$5,0)),IF(AND($N675="MND",$Q675="EMBOQUE"),INDEX(APOIO_REDES!$A:$W,MATCH($C675&amp;$I675&amp;$H675&amp;$N675&amp;$O675,APOIO_REDES!$W:$W,0),MATCH(BA$5,APOIO_REDES!$5:$5,0)),0))*$M675/10,0)</f>
        <v>4.23862134592065</v>
      </c>
      <c r="BB675" s="153" t="n">
        <f aca="false">IFERROR(IF($N675="VCA",INDEX(APOIO_REDES!$A:$W,MATCH($C675&amp;$I675&amp;$H675&amp;$N675&amp;$O675,APOIO_REDES!$W:$W,0),MATCH(BB$5,APOIO_REDES!$5:$5,0)),0)*($AI675+$AQ675+$AR675),0)</f>
        <v>19.8968105020641</v>
      </c>
      <c r="BC675" s="153" t="n">
        <f aca="false">IFERROR(IF($N675="VCA",INDEX(APOIO_REDES!$A:$W,MATCH($C675&amp;$I675&amp;$H675&amp;$N675&amp;$O675,APOIO_REDES!$W:$W,0),MATCH(BC$5,APOIO_REDES!$5:$5,0)),0)*($AI675+$AQ675+$AR675),0)</f>
        <v>0.218864497935882</v>
      </c>
      <c r="BD675" s="153" t="n">
        <f aca="false">IF(AND($N675="VCA",$AF675&gt;=1.25,$AF675&lt;1.5),$M675*$AF675*2,0)</f>
        <v>148.3038</v>
      </c>
      <c r="BE675" s="153" t="n">
        <f aca="false">IF(AND($N675="VCA",$AF675&gt;=1.5,$AF675&lt;3),$M675*$AF675*2,0)</f>
        <v>0</v>
      </c>
      <c r="BF675" s="153" t="n">
        <f aca="false">IF(AND($N675="VCA",$AF675&gt;=3),$M675*$AF675*2,0)</f>
        <v>0</v>
      </c>
      <c r="BG675" s="153" t="n">
        <f aca="false">($BB675+$BC675)*$AK675</f>
        <v>40.23135</v>
      </c>
      <c r="BH675" s="153" t="n">
        <f aca="false">IF(AND($M675&lt;&gt;"",$N675="VCA",$Q675="LINEAR"),($M675*2)/100,IF(AND($M675&lt;&gt;"",$N675="MND",$Q675="EMBOQUE"),($AN675*2)/100,0))</f>
        <v>1.0518</v>
      </c>
      <c r="BI675" s="153" t="n">
        <f aca="false">IF(AND($M675&lt;&gt;"",$N675="VCA",$Q675="LINEAR"),$M675,IF(AND($M675&lt;&gt;"",$N675="MND",$Q675="EMBOQUE"),$AN675*2,0))</f>
        <v>52.59</v>
      </c>
      <c r="BJ675" s="153" t="n">
        <f aca="false">IF(AND($M675&lt;&gt;"",$N675="VCA",$Q675="LINEAR"),($M675*6.8)/100,IF(AND($M675&lt;&gt;"",$N675="MND",$Q675="EMBOQUE"),($AN675*2*6.8)/100,0))</f>
        <v>3.57612</v>
      </c>
      <c r="BK675" s="153" t="n">
        <f aca="false">IF(AND($M675&lt;&gt;"",$N675="VCA",$Q675="LINEAR"),($M675*2.5)/50,IF(AND($M675&lt;&gt;"",$N675="MND",$Q675="EMBOQUE"),($AN675*2*2.5)/50,0))</f>
        <v>2.6295</v>
      </c>
      <c r="BL675" s="157" t="str">
        <f aca="false">K675&amp;J675</f>
        <v>Zona06REDES</v>
      </c>
      <c r="BM675" s="152" t="s">
        <v>3790</v>
      </c>
      <c r="BN675" s="152" t="s">
        <v>1560</v>
      </c>
      <c r="BO675" s="152" t="s">
        <v>4097</v>
      </c>
      <c r="BP675" s="152" t="s">
        <v>4099</v>
      </c>
      <c r="BQ675" s="152" t="s">
        <v>3994</v>
      </c>
      <c r="BR675" s="152" t="s">
        <v>4117</v>
      </c>
      <c r="BS675" s="152" t="n">
        <v>204014.911</v>
      </c>
      <c r="BT675" s="152" t="n">
        <v>8237061.405</v>
      </c>
      <c r="BU675" s="152" t="n">
        <v>204065.595</v>
      </c>
      <c r="BV675" s="152" t="n">
        <v>8237047.461</v>
      </c>
      <c r="BW675" s="152" t="n">
        <v>-15.9281317</v>
      </c>
      <c r="BX675" s="152" t="n">
        <v>-47.7642946</v>
      </c>
      <c r="BY675" s="152" t="s">
        <v>4099</v>
      </c>
    </row>
    <row r="676" customFormat="false" ht="13.8" hidden="false" customHeight="false" outlineLevel="0" collapsed="false">
      <c r="A676" s="149" t="n">
        <f aca="false">IF(C676&lt;&gt;"",ROW(A671),"")</f>
        <v>671</v>
      </c>
      <c r="B676" s="150" t="str">
        <f aca="false">HYPERLINK("https://www.google.com/maps/dir/-15.917302,-47.760003/-15.9277138,-47.7618330/data=!4m3!4m2!3e0!5i0")</f>
        <v>https://www.google.com/maps/dir/-15.917302,-47.760003/-15.9277138,-47.7618330/data=!4m3!4m2!3e0!5i0</v>
      </c>
      <c r="C676" s="151" t="s">
        <v>117</v>
      </c>
      <c r="D676" s="152" t="s">
        <v>112</v>
      </c>
      <c r="E676" s="152" t="s">
        <v>113</v>
      </c>
      <c r="F676" s="152" t="s">
        <v>117</v>
      </c>
      <c r="G676" s="152" t="s">
        <v>782</v>
      </c>
      <c r="H676" s="152" t="n">
        <v>110</v>
      </c>
      <c r="I676" s="152" t="s">
        <v>115</v>
      </c>
      <c r="J676" s="152" t="s">
        <v>6</v>
      </c>
      <c r="K676" s="152" t="s">
        <v>3786</v>
      </c>
      <c r="L676" s="152" t="s">
        <v>120</v>
      </c>
      <c r="M676" s="153" t="n">
        <f aca="false">114.44</f>
        <v>114.44</v>
      </c>
      <c r="N676" s="152" t="s">
        <v>1548</v>
      </c>
      <c r="O676" s="152" t="s">
        <v>1549</v>
      </c>
      <c r="P676" s="152" t="s">
        <v>1550</v>
      </c>
      <c r="Q676" s="152" t="s">
        <v>1551</v>
      </c>
      <c r="R676" s="154" t="s">
        <v>4118</v>
      </c>
      <c r="S676" s="154" t="s">
        <v>1593</v>
      </c>
      <c r="T676" s="155" t="s">
        <v>4095</v>
      </c>
      <c r="U676" s="152" t="str">
        <f aca="false">RIGHT(T676,7)</f>
        <v>016/037</v>
      </c>
      <c r="V676" s="152" t="s">
        <v>1555</v>
      </c>
      <c r="W676" s="156" t="n">
        <v>45882</v>
      </c>
      <c r="X676" s="152" t="s">
        <v>1594</v>
      </c>
      <c r="Y676" s="152" t="s">
        <v>2553</v>
      </c>
      <c r="Z676" s="152" t="s">
        <v>1557</v>
      </c>
      <c r="AA676" s="153" t="n">
        <v>1.6</v>
      </c>
      <c r="AB676" s="151" t="s">
        <v>4119</v>
      </c>
      <c r="AC676" s="151" t="s">
        <v>502</v>
      </c>
      <c r="AD676" s="151" t="str">
        <f aca="false">CONCATENATE($C676,$I676,$H676,$N676,$J676,$K676)</f>
        <v>TUBO PEADPEAD110VCAREDESZona06</v>
      </c>
      <c r="AE676" s="153" t="n">
        <f aca="false">IFERROR(INDEX(APOIO_REDES!$A:$W,MATCH($C676&amp;$I676&amp;$H676&amp;$N676&amp;$O676,APOIO_REDES!$W:$W,0),MATCH(AE$5,APOIO_REDES!$5:$5,0)),0)</f>
        <v>1.2</v>
      </c>
      <c r="AF676" s="153" t="n">
        <f aca="false">IFERROR(INDEX(APOIO_REDES!$A:$W,MATCH($C676&amp;$I676&amp;$H676&amp;$N676&amp;$O676,APOIO_REDES!$W:$W,0),MATCH(AF$5,APOIO_REDES!$5:$5,0)),0)</f>
        <v>1.41</v>
      </c>
      <c r="AG676" s="153" t="n">
        <f aca="false">IFERROR(INDEX(APOIO_REDES!$A:$W,MATCH($C676&amp;$I676&amp;$H676&amp;$N676&amp;$O676,APOIO_REDES!$W:$W,0),MATCH(AG$5,APOIO_REDES!$5:$5,0)),0)</f>
        <v>0.75</v>
      </c>
      <c r="AH676" s="153" t="n">
        <f aca="false">IFERROR(INDEX(APOIO_REDES!$A:$W,MATCH($C676&amp;$I676&amp;$H676&amp;$N676&amp;$O676,APOIO_REDES!$W:$W,0),MATCH(AH$5,APOIO_REDES!$5:$5,0)),0)</f>
        <v>0.1</v>
      </c>
      <c r="AI676" s="153" t="n">
        <f aca="false">IFERROR(IF($H676&lt;&gt;"",(((($H676/1000)/2)^2)*PI()*$M676),0),0)</f>
        <v>1.08755968641237</v>
      </c>
      <c r="AJ676" s="153" t="n">
        <f aca="false">IFERROR(IF(AND($H676&lt;&gt;"",$I676="FoFo",OR($N676="MND",$N676="VCA"),$Q676="LINEAR"),0,IF(AND($H676&lt;&gt;"",$I676="PEAD",$N676="VCA",$Q676="LINEAR"),($H676/1000)+0.3,IF(AND($H676&lt;&gt;"",$I676="PEAD",$N676="MND",$Q676="EMBOQUE"),0,IF(AND($H676&lt;&gt;"",$I676="PVC",$N676="VCA",$Q676="LINEAR"),($H676/1000)+0.2,IF(AND($H676&lt;&gt;"",$I676="PVC",$N676="MND",$Q676="EMBOQUE"),0,IF(AND($H676&lt;&gt;"",$I676="PEAD",$N676="VCA",$Q676="PREDIAL"),0,0)))))),0)</f>
        <v>0.41</v>
      </c>
      <c r="AK676" s="153" t="n">
        <f aca="false">IF(AA676&lt;&gt;"",AA676,0)</f>
        <v>1.6</v>
      </c>
      <c r="AL676" s="153" t="n">
        <f aca="false">IF(AND($N676="MND",$Q676="EMBOQUE"),$M676,IF(AND($N676="VCA",$Q676="LINEAR"),$M676,IF(AND($N676="VCA",$Q676="PREDIAL"),0,0)))</f>
        <v>114.44</v>
      </c>
      <c r="AM676" s="153" t="n">
        <f aca="false">IF(AND($N676="MND",$Q676="EMBOQUE"),$M676,IF(AND($N676="VCA",$Q676="LINEAR"),$M676,IF(AND($N676="VCA",$Q676="PREDIAL"),0,0)))</f>
        <v>114.44</v>
      </c>
      <c r="AN676" s="153" t="n">
        <f aca="false">ROUND(IF(AND($N676="VCA",$M676&lt;&gt;"",$Q676="LINEAR"),$M676/100,IF(AND($N676="MND",$M676&gt;100,$Q676="EMBOQUE"),$M676/100,0)),0)</f>
        <v>1</v>
      </c>
      <c r="AO676" s="153" t="n">
        <f aca="false">IF(AND($N676="MND",$Q676="EMBOQUE"),$AN676*2*2,IF(AND($N676="VCA",$Q676="LINEAR"),$M676*2,IF(AND($N676="VCA",$Q676="PREDIAL"),0,0)))</f>
        <v>228.88</v>
      </c>
      <c r="AP676" s="153" t="n">
        <f aca="false">IFERROR($M676*$AF676*$AG676,0)</f>
        <v>121.0203</v>
      </c>
      <c r="AQ676" s="153" t="n">
        <f aca="false">IFERROR(IF(AND($N676="VCA",$AH676&gt;0),$M676*$AG676*$AH676,0),0)</f>
        <v>8.583</v>
      </c>
      <c r="AR676" s="153" t="n">
        <f aca="false">IFERROR(IF(AND($N676="VCA",$AJ676&gt;0),($M676*$AG676*$AJ676)-$AI676,0),0)</f>
        <v>34.1027403135876</v>
      </c>
      <c r="AS676" s="153" t="n">
        <f aca="false">IFERROR(IF(AND($N676="VCA",$AP676&gt;0),$AP676-$AI676-$AQ676-$AR676,0),0)</f>
        <v>77.247</v>
      </c>
      <c r="AT676" s="153" t="n">
        <f aca="false">IFERROR(IF($N676="VCA",INDEX(APOIO_REDES!$A:$W,MATCH($C676&amp;$I676&amp;$H676&amp;$N676&amp;$O676,APOIO_REDES!$W:$W,0),MATCH(AT$5,APOIO_REDES!$5:$5,0)),0)*$AP676,0)</f>
        <v>1.31673668418036</v>
      </c>
      <c r="AU676" s="153" t="n">
        <f aca="false">IFERROR(IF($N676="VCA",INDEX(APOIO_REDES!$A:$W,MATCH($C676&amp;$I676&amp;$H676&amp;$N676&amp;$O676,APOIO_REDES!$W:$W,0),MATCH(AU$5,APOIO_REDES!$5:$5,0)),0)*$AP676,0)</f>
        <v>1.05151025423439</v>
      </c>
      <c r="AV676" s="153" t="n">
        <f aca="false">IFERROR(IF($N676="VCA",INDEX(APOIO_REDES!$A:$W,MATCH($C676&amp;$I676&amp;$H676&amp;$N676&amp;$O676,APOIO_REDES!$W:$W,0),MATCH(AV$5,APOIO_REDES!$5:$5,0)),0)*$AP676,0)</f>
        <v>0.145520764506894</v>
      </c>
      <c r="AW676" s="153" t="n">
        <f aca="false">IFERROR(IF($N676="VCA",INDEX(APOIO_REDES!$A:$W,MATCH($C676&amp;$I676&amp;$H676&amp;$N676&amp;$O676,APOIO_REDES!$W:$W,0),MATCH(AW$5,APOIO_REDES!$5:$5,0)),0)*$AP676,0)</f>
        <v>83.0692716310425</v>
      </c>
      <c r="AX676" s="153" t="n">
        <f aca="false">IFERROR(IF($N676="VCA",INDEX(APOIO_REDES!$A:$W,MATCH($C676&amp;$I676&amp;$H676&amp;$N676&amp;$O676,APOIO_REDES!$W:$W,0),MATCH(AX$5,APOIO_REDES!$5:$5,0)),0)*$AP676,0)</f>
        <v>11.4965505664369</v>
      </c>
      <c r="AY676" s="153" t="n">
        <f aca="false">IFERROR(IF($N676="VCA",INDEX(APOIO_REDES!$A:$W,MATCH($C676&amp;$I676&amp;$H676&amp;$N676&amp;$O676,APOIO_REDES!$W:$W,0),MATCH(AY$5,APOIO_REDES!$5:$5,0)),0)*$AP676,0)</f>
        <v>21.030192266863</v>
      </c>
      <c r="AZ676" s="153" t="n">
        <f aca="false">IFERROR(IF($N676="VCA",INDEX(APOIO_REDES!$A:$W,MATCH($C676&amp;$I676&amp;$H676&amp;$N676&amp;$O676,APOIO_REDES!$W:$W,0),MATCH(AZ$5,APOIO_REDES!$5:$5,0)),0)*$AP676,0)</f>
        <v>2.91051783273596</v>
      </c>
      <c r="BA676" s="153" t="n">
        <f aca="false">IFERROR(IF(AND($N676="VCA",$Q676="LINEAR"),INDEX(APOIO_REDES!$A:$W,MATCH($C676&amp;$I676&amp;$H676&amp;$N676&amp;$O676,APOIO_REDES!$W:$W,0),MATCH(BA$5,APOIO_REDES!$5:$5,0)),IF(AND($N676="MND",$Q676="EMBOQUE"),INDEX(APOIO_REDES!$A:$W,MATCH($C676&amp;$I676&amp;$H676&amp;$N676&amp;$O676,APOIO_REDES!$W:$W,0),MATCH(BA$5,APOIO_REDES!$5:$5,0)),0))*$M676/10,0)</f>
        <v>9.22357533423006</v>
      </c>
      <c r="BB676" s="153" t="n">
        <f aca="false">IFERROR(IF($N676="VCA",INDEX(APOIO_REDES!$A:$W,MATCH($C676&amp;$I676&amp;$H676&amp;$N676&amp;$O676,APOIO_REDES!$W:$W,0),MATCH(BB$5,APOIO_REDES!$5:$5,0)),0)*($AI676+$AQ676+$AR676),0)</f>
        <v>43.2970335397646</v>
      </c>
      <c r="BC676" s="153" t="n">
        <f aca="false">IFERROR(IF($N676="VCA",INDEX(APOIO_REDES!$A:$W,MATCH($C676&amp;$I676&amp;$H676&amp;$N676&amp;$O676,APOIO_REDES!$W:$W,0),MATCH(BC$5,APOIO_REDES!$5:$5,0)),0)*($AI676+$AQ676+$AR676),0)</f>
        <v>0.47626646023545</v>
      </c>
      <c r="BD676" s="153" t="n">
        <f aca="false">IF(AND($N676="VCA",$AF676&gt;=1.25,$AF676&lt;1.5),$M676*$AF676*2,0)</f>
        <v>322.7208</v>
      </c>
      <c r="BE676" s="153" t="n">
        <f aca="false">IF(AND($N676="VCA",$AF676&gt;=1.5,$AF676&lt;3),$M676*$AF676*2,0)</f>
        <v>0</v>
      </c>
      <c r="BF676" s="153" t="n">
        <f aca="false">IF(AND($N676="VCA",$AF676&gt;=3),$M676*$AF676*2,0)</f>
        <v>0</v>
      </c>
      <c r="BG676" s="153" t="n">
        <f aca="false">($BB676+$BC676)*$AK676</f>
        <v>70.03728</v>
      </c>
      <c r="BH676" s="153" t="n">
        <f aca="false">IF(AND($M676&lt;&gt;"",$N676="VCA",$Q676="LINEAR"),($M676*2)/100,IF(AND($M676&lt;&gt;"",$N676="MND",$Q676="EMBOQUE"),($AN676*2)/100,0))</f>
        <v>2.2888</v>
      </c>
      <c r="BI676" s="153" t="n">
        <f aca="false">IF(AND($M676&lt;&gt;"",$N676="VCA",$Q676="LINEAR"),$M676,IF(AND($M676&lt;&gt;"",$N676="MND",$Q676="EMBOQUE"),$AN676*2,0))</f>
        <v>114.44</v>
      </c>
      <c r="BJ676" s="153" t="n">
        <f aca="false">IF(AND($M676&lt;&gt;"",$N676="VCA",$Q676="LINEAR"),($M676*6.8)/100,IF(AND($M676&lt;&gt;"",$N676="MND",$Q676="EMBOQUE"),($AN676*2*6.8)/100,0))</f>
        <v>7.78192</v>
      </c>
      <c r="BK676" s="153" t="n">
        <f aca="false">IF(AND($M676&lt;&gt;"",$N676="VCA",$Q676="LINEAR"),($M676*2.5)/50,IF(AND($M676&lt;&gt;"",$N676="MND",$Q676="EMBOQUE"),($AN676*2*2.5)/50,0))</f>
        <v>5.722</v>
      </c>
      <c r="BL676" s="157" t="str">
        <f aca="false">K676&amp;J676</f>
        <v>Zona06REDES</v>
      </c>
      <c r="BM676" s="152" t="s">
        <v>3790</v>
      </c>
      <c r="BN676" s="152" t="s">
        <v>1560</v>
      </c>
      <c r="BO676" s="152" t="s">
        <v>4097</v>
      </c>
      <c r="BP676" s="152" t="s">
        <v>3988</v>
      </c>
      <c r="BQ676" s="152" t="s">
        <v>4120</v>
      </c>
      <c r="BR676" s="152" t="s">
        <v>4121</v>
      </c>
      <c r="BS676" s="152" t="n">
        <v>204303.208</v>
      </c>
      <c r="BT676" s="152" t="n">
        <v>8237103.65</v>
      </c>
      <c r="BU676" s="152" t="n">
        <v>204277.988</v>
      </c>
      <c r="BV676" s="152" t="n">
        <v>8236992.468</v>
      </c>
      <c r="BW676" s="152" t="n">
        <v>-15.9282058</v>
      </c>
      <c r="BX676" s="152" t="n">
        <v>-47.7619923</v>
      </c>
      <c r="BY676" s="152" t="s">
        <v>3988</v>
      </c>
    </row>
    <row r="677" customFormat="false" ht="13.8" hidden="false" customHeight="false" outlineLevel="0" collapsed="false">
      <c r="A677" s="149" t="n">
        <f aca="false">IF(C677&lt;&gt;"",ROW(A672),"")</f>
        <v>672</v>
      </c>
      <c r="B677" s="150" t="str">
        <f aca="false">HYPERLINK("https://www.google.com/maps/dir/-15.917302,-47.760003/-15.9284330,-47.7631716/data=!4m3!4m2!3e0!5i2")</f>
        <v>https://www.google.com/maps/dir/-15.917302,-47.760003/-15.9284330,-47.7631716/data=!4m3!4m2!3e0!5i2</v>
      </c>
      <c r="C677" s="151" t="s">
        <v>117</v>
      </c>
      <c r="D677" s="152" t="s">
        <v>112</v>
      </c>
      <c r="E677" s="152" t="s">
        <v>113</v>
      </c>
      <c r="F677" s="152" t="s">
        <v>117</v>
      </c>
      <c r="G677" s="152" t="s">
        <v>782</v>
      </c>
      <c r="H677" s="152" t="n">
        <v>63</v>
      </c>
      <c r="I677" s="152" t="s">
        <v>115</v>
      </c>
      <c r="J677" s="152" t="s">
        <v>6</v>
      </c>
      <c r="K677" s="152" t="s">
        <v>3786</v>
      </c>
      <c r="L677" s="152" t="s">
        <v>120</v>
      </c>
      <c r="M677" s="153" t="n">
        <f aca="false">48.44</f>
        <v>48.44</v>
      </c>
      <c r="N677" s="152" t="s">
        <v>1548</v>
      </c>
      <c r="O677" s="152" t="s">
        <v>1549</v>
      </c>
      <c r="P677" s="152" t="s">
        <v>1550</v>
      </c>
      <c r="Q677" s="152" t="s">
        <v>1551</v>
      </c>
      <c r="R677" s="154" t="s">
        <v>4122</v>
      </c>
      <c r="S677" s="154" t="s">
        <v>1553</v>
      </c>
      <c r="T677" s="155" t="s">
        <v>4095</v>
      </c>
      <c r="U677" s="152" t="str">
        <f aca="false">RIGHT(T677,7)</f>
        <v>016/037</v>
      </c>
      <c r="V677" s="152" t="s">
        <v>1555</v>
      </c>
      <c r="W677" s="156" t="n">
        <v>45882</v>
      </c>
      <c r="X677" s="152" t="s">
        <v>3938</v>
      </c>
      <c r="Y677" s="152"/>
      <c r="Z677" s="152" t="s">
        <v>1557</v>
      </c>
      <c r="AA677" s="153" t="n">
        <v>2.1</v>
      </c>
      <c r="AB677" s="151" t="s">
        <v>4123</v>
      </c>
      <c r="AC677" s="151" t="s">
        <v>186</v>
      </c>
      <c r="AD677" s="151" t="str">
        <f aca="false">CONCATENATE($C677,$I677,$H677,$N677,$J677,$K677)</f>
        <v>TUBO PEADPEAD63VCAREDESZona06</v>
      </c>
      <c r="AE677" s="153" t="n">
        <f aca="false">IFERROR(INDEX(APOIO_REDES!$A:$W,MATCH($C677&amp;$I677&amp;$H677&amp;$N677&amp;$O677,APOIO_REDES!$W:$W,0),MATCH(AE$5,APOIO_REDES!$5:$5,0)),0)</f>
        <v>1.2</v>
      </c>
      <c r="AF677" s="153" t="n">
        <f aca="false">IFERROR(INDEX(APOIO_REDES!$A:$W,MATCH($C677&amp;$I677&amp;$H677&amp;$N677&amp;$O677,APOIO_REDES!$W:$W,0),MATCH(AF$5,APOIO_REDES!$5:$5,0)),0)</f>
        <v>1.363</v>
      </c>
      <c r="AG677" s="153" t="n">
        <f aca="false">IFERROR(INDEX(APOIO_REDES!$A:$W,MATCH($C677&amp;$I677&amp;$H677&amp;$N677&amp;$O677,APOIO_REDES!$W:$W,0),MATCH(AG$5,APOIO_REDES!$5:$5,0)),0)</f>
        <v>0.65</v>
      </c>
      <c r="AH677" s="153" t="n">
        <f aca="false">IFERROR(INDEX(APOIO_REDES!$A:$W,MATCH($C677&amp;$I677&amp;$H677&amp;$N677&amp;$O677,APOIO_REDES!$W:$W,0),MATCH(AH$5,APOIO_REDES!$5:$5,0)),0)</f>
        <v>0.1</v>
      </c>
      <c r="AI677" s="153" t="n">
        <f aca="false">IFERROR(IF($H677&lt;&gt;"",(((($H677/1000)/2)^2)*PI()*$M677),0),0)</f>
        <v>0.150999362841805</v>
      </c>
      <c r="AJ677" s="153" t="n">
        <f aca="false">IFERROR(IF(AND($H677&lt;&gt;"",$I677="FoFo",OR($N677="MND",$N677="VCA"),$Q677="LINEAR"),0,IF(AND($H677&lt;&gt;"",$I677="PEAD",$N677="VCA",$Q677="LINEAR"),($H677/1000)+0.3,IF(AND($H677&lt;&gt;"",$I677="PEAD",$N677="MND",$Q677="EMBOQUE"),0,IF(AND($H677&lt;&gt;"",$I677="PVC",$N677="VCA",$Q677="LINEAR"),($H677/1000)+0.2,IF(AND($H677&lt;&gt;"",$I677="PVC",$N677="MND",$Q677="EMBOQUE"),0,IF(AND($H677&lt;&gt;"",$I677="PEAD",$N677="VCA",$Q677="PREDIAL"),0,0)))))),0)</f>
        <v>0.363</v>
      </c>
      <c r="AK677" s="153" t="n">
        <f aca="false">IF(AA677&lt;&gt;"",AA677,0)</f>
        <v>2.1</v>
      </c>
      <c r="AL677" s="153" t="n">
        <f aca="false">IF(AND($N677="MND",$Q677="EMBOQUE"),$M677,IF(AND($N677="VCA",$Q677="LINEAR"),$M677,IF(AND($N677="VCA",$Q677="PREDIAL"),0,0)))</f>
        <v>48.44</v>
      </c>
      <c r="AM677" s="153" t="n">
        <f aca="false">IF(AND($N677="MND",$Q677="EMBOQUE"),$M677,IF(AND($N677="VCA",$Q677="LINEAR"),$M677,IF(AND($N677="VCA",$Q677="PREDIAL"),0,0)))</f>
        <v>48.44</v>
      </c>
      <c r="AN677" s="153" t="n">
        <f aca="false">ROUND(IF(AND($N677="VCA",$M677&lt;&gt;"",$Q677="LINEAR"),$M677/100,IF(AND($N677="MND",$M677&gt;100,$Q677="EMBOQUE"),$M677/100,0)),0)</f>
        <v>0</v>
      </c>
      <c r="AO677" s="153" t="n">
        <f aca="false">IF(AND($N677="MND",$Q677="EMBOQUE"),$AN677*2*2,IF(AND($N677="VCA",$Q677="LINEAR"),$M677*2,IF(AND($N677="VCA",$Q677="PREDIAL"),0,0)))</f>
        <v>96.88</v>
      </c>
      <c r="AP677" s="153" t="n">
        <f aca="false">IFERROR($M677*$AF677*$AG677,0)</f>
        <v>42.915418</v>
      </c>
      <c r="AQ677" s="153" t="n">
        <f aca="false">IFERROR(IF(AND($N677="VCA",$AH677&gt;0),$M677*$AG677*$AH677,0),0)</f>
        <v>3.1486</v>
      </c>
      <c r="AR677" s="153" t="n">
        <f aca="false">IFERROR(IF(AND($N677="VCA",$AJ677&gt;0),($M677*$AG677*$AJ677)-$AI677,0),0)</f>
        <v>11.2784186371582</v>
      </c>
      <c r="AS677" s="153" t="n">
        <f aca="false">IFERROR(IF(AND($N677="VCA",$AP677&gt;0),$AP677-$AI677-$AQ677-$AR677,0),0)</f>
        <v>28.3374</v>
      </c>
      <c r="AT677" s="153" t="n">
        <f aca="false">IFERROR(IF($N677="VCA",INDEX(APOIO_REDES!$A:$W,MATCH($C677&amp;$I677&amp;$H677&amp;$N677&amp;$O677,APOIO_REDES!$W:$W,0),MATCH(AT$5,APOIO_REDES!$5:$5,0)),0)*$AP677,0)</f>
        <v>0.46693245015534</v>
      </c>
      <c r="AU677" s="153" t="n">
        <f aca="false">IFERROR(IF($N677="VCA",INDEX(APOIO_REDES!$A:$W,MATCH($C677&amp;$I677&amp;$H677&amp;$N677&amp;$O677,APOIO_REDES!$W:$W,0),MATCH(AU$5,APOIO_REDES!$5:$5,0)),0)*$AP677,0)</f>
        <v>0.372879608559515</v>
      </c>
      <c r="AV677" s="153" t="n">
        <f aca="false">IFERROR(IF($N677="VCA",INDEX(APOIO_REDES!$A:$W,MATCH($C677&amp;$I677&amp;$H677&amp;$N677&amp;$O677,APOIO_REDES!$W:$W,0),MATCH(AV$5,APOIO_REDES!$5:$5,0)),0)*$AP677,0)</f>
        <v>0.051603610604939</v>
      </c>
      <c r="AW677" s="153" t="n">
        <f aca="false">IFERROR(IF($N677="VCA",INDEX(APOIO_REDES!$A:$W,MATCH($C677&amp;$I677&amp;$H677&amp;$N677&amp;$O677,APOIO_REDES!$W:$W,0),MATCH(AW$5,APOIO_REDES!$5:$5,0)),0)*$AP677,0)</f>
        <v>29.4574754400851</v>
      </c>
      <c r="AX677" s="153" t="n">
        <f aca="false">IFERROR(IF($N677="VCA",INDEX(APOIO_REDES!$A:$W,MATCH($C677&amp;$I677&amp;$H677&amp;$N677&amp;$O677,APOIO_REDES!$W:$W,0),MATCH(AX$5,APOIO_REDES!$5:$5,0)),0)*$AP677,0)</f>
        <v>4.07683068970064</v>
      </c>
      <c r="AY677" s="153" t="n">
        <f aca="false">IFERROR(IF($N677="VCA",INDEX(APOIO_REDES!$A:$W,MATCH($C677&amp;$I677&amp;$H677&amp;$N677&amp;$O677,APOIO_REDES!$W:$W,0),MATCH(AY$5,APOIO_REDES!$5:$5,0)),0)*$AP677,0)</f>
        <v>7.4575876258181</v>
      </c>
      <c r="AZ677" s="153" t="n">
        <f aca="false">IFERROR(IF($N677="VCA",INDEX(APOIO_REDES!$A:$W,MATCH($C677&amp;$I677&amp;$H677&amp;$N677&amp;$O677,APOIO_REDES!$W:$W,0),MATCH(AZ$5,APOIO_REDES!$5:$5,0)),0)*$AP677,0)</f>
        <v>1.03210857507639</v>
      </c>
      <c r="BA677" s="153" t="n">
        <f aca="false">IFERROR(IF(AND($N677="VCA",$Q677="LINEAR"),INDEX(APOIO_REDES!$A:$W,MATCH($C677&amp;$I677&amp;$H677&amp;$N677&amp;$O677,APOIO_REDES!$W:$W,0),MATCH(BA$5,APOIO_REDES!$5:$5,0)),IF(AND($N677="MND",$Q677="EMBOQUE"),INDEX(APOIO_REDES!$A:$W,MATCH($C677&amp;$I677&amp;$H677&amp;$N677&amp;$O677,APOIO_REDES!$W:$W,0),MATCH(BA$5,APOIO_REDES!$5:$5,0)),0))*$M677/10,0)</f>
        <v>3.90414181396456</v>
      </c>
      <c r="BB677" s="153" t="n">
        <f aca="false">IFERROR(IF($N677="VCA",INDEX(APOIO_REDES!$A:$W,MATCH($C677&amp;$I677&amp;$H677&amp;$N677&amp;$O677,APOIO_REDES!$W:$W,0),MATCH(BB$5,APOIO_REDES!$5:$5,0)),0)*($AI677+$AQ677+$AR677),0)</f>
        <v>14.4194048492869</v>
      </c>
      <c r="BC677" s="153" t="n">
        <f aca="false">IFERROR(IF($N677="VCA",INDEX(APOIO_REDES!$A:$W,MATCH($C677&amp;$I677&amp;$H677&amp;$N677&amp;$O677,APOIO_REDES!$W:$W,0),MATCH(BC$5,APOIO_REDES!$5:$5,0)),0)*($AI677+$AQ677+$AR677),0)</f>
        <v>0.158613150713076</v>
      </c>
      <c r="BD677" s="153" t="n">
        <f aca="false">IF(AND($N677="VCA",$AF677&gt;=1.25,$AF677&lt;1.5),$M677*$AF677*2,0)</f>
        <v>132.04744</v>
      </c>
      <c r="BE677" s="153" t="n">
        <f aca="false">IF(AND($N677="VCA",$AF677&gt;=1.5,$AF677&lt;3),$M677*$AF677*2,0)</f>
        <v>0</v>
      </c>
      <c r="BF677" s="153" t="n">
        <f aca="false">IF(AND($N677="VCA",$AF677&gt;=3),$M677*$AF677*2,0)</f>
        <v>0</v>
      </c>
      <c r="BG677" s="153" t="n">
        <f aca="false">($BB677+$BC677)*$AK677</f>
        <v>30.6138378</v>
      </c>
      <c r="BH677" s="153" t="n">
        <f aca="false">IF(AND($M677&lt;&gt;"",$N677="VCA",$Q677="LINEAR"),($M677*2)/100,IF(AND($M677&lt;&gt;"",$N677="MND",$Q677="EMBOQUE"),($AN677*2)/100,0))</f>
        <v>0.9688</v>
      </c>
      <c r="BI677" s="153" t="n">
        <f aca="false">IF(AND($M677&lt;&gt;"",$N677="VCA",$Q677="LINEAR"),$M677,IF(AND($M677&lt;&gt;"",$N677="MND",$Q677="EMBOQUE"),$AN677*2,0))</f>
        <v>48.44</v>
      </c>
      <c r="BJ677" s="153" t="n">
        <f aca="false">IF(AND($M677&lt;&gt;"",$N677="VCA",$Q677="LINEAR"),($M677*6.8)/100,IF(AND($M677&lt;&gt;"",$N677="MND",$Q677="EMBOQUE"),($AN677*2*6.8)/100,0))</f>
        <v>3.29392</v>
      </c>
      <c r="BK677" s="153" t="n">
        <f aca="false">IF(AND($M677&lt;&gt;"",$N677="VCA",$Q677="LINEAR"),($M677*2.5)/50,IF(AND($M677&lt;&gt;"",$N677="MND",$Q677="EMBOQUE"),($AN677*2*2.5)/50,0))</f>
        <v>2.422</v>
      </c>
      <c r="BL677" s="157" t="str">
        <f aca="false">K677&amp;J677</f>
        <v>Zona06REDES</v>
      </c>
      <c r="BM677" s="152" t="s">
        <v>3790</v>
      </c>
      <c r="BN677" s="152" t="s">
        <v>1560</v>
      </c>
      <c r="BO677" s="152" t="s">
        <v>4097</v>
      </c>
      <c r="BP677" s="152" t="s">
        <v>4124</v>
      </c>
      <c r="BQ677" s="152" t="s">
        <v>4107</v>
      </c>
      <c r="BR677" s="152" t="s">
        <v>4125</v>
      </c>
      <c r="BS677" s="152" t="n">
        <v>204160.858</v>
      </c>
      <c r="BT677" s="152" t="n">
        <v>8237022.116</v>
      </c>
      <c r="BU677" s="152" t="n">
        <v>204175.21</v>
      </c>
      <c r="BV677" s="152" t="n">
        <v>8237068.353</v>
      </c>
      <c r="BW677" s="152" t="n">
        <v>-15.9282233</v>
      </c>
      <c r="BX677" s="152" t="n">
        <v>-47.7631073</v>
      </c>
      <c r="BY677" s="152" t="s">
        <v>4124</v>
      </c>
    </row>
    <row r="678" customFormat="false" ht="13.8" hidden="false" customHeight="false" outlineLevel="0" collapsed="false">
      <c r="A678" s="149" t="n">
        <f aca="false">IF(C678&lt;&gt;"",ROW(A673),"")</f>
        <v>673</v>
      </c>
      <c r="B678" s="150" t="str">
        <f aca="false">HYPERLINK("https://www.google.com/maps/dir/-15.917302,-47.760003/-15.9281927,-47.7640574/data=!4m3!4m2!3e0!5i0")</f>
        <v>https://www.google.com/maps/dir/-15.917302,-47.760003/-15.9281927,-47.7640574/data=!4m3!4m2!3e0!5i0</v>
      </c>
      <c r="C678" s="151" t="s">
        <v>117</v>
      </c>
      <c r="D678" s="152" t="s">
        <v>112</v>
      </c>
      <c r="E678" s="152" t="s">
        <v>113</v>
      </c>
      <c r="F678" s="152" t="s">
        <v>117</v>
      </c>
      <c r="G678" s="152" t="s">
        <v>782</v>
      </c>
      <c r="H678" s="152" t="n">
        <v>110</v>
      </c>
      <c r="I678" s="152" t="s">
        <v>115</v>
      </c>
      <c r="J678" s="152" t="s">
        <v>6</v>
      </c>
      <c r="K678" s="152" t="s">
        <v>3786</v>
      </c>
      <c r="L678" s="152" t="s">
        <v>120</v>
      </c>
      <c r="M678" s="153" t="n">
        <f aca="false">48.85</f>
        <v>48.85</v>
      </c>
      <c r="N678" s="152" t="s">
        <v>1548</v>
      </c>
      <c r="O678" s="152" t="s">
        <v>1549</v>
      </c>
      <c r="P678" s="152" t="s">
        <v>1550</v>
      </c>
      <c r="Q678" s="152" t="s">
        <v>1551</v>
      </c>
      <c r="R678" s="154" t="s">
        <v>4126</v>
      </c>
      <c r="S678" s="154" t="s">
        <v>1593</v>
      </c>
      <c r="T678" s="155" t="s">
        <v>4095</v>
      </c>
      <c r="U678" s="152" t="str">
        <f aca="false">RIGHT(T678,7)</f>
        <v>016/037</v>
      </c>
      <c r="V678" s="152" t="s">
        <v>1555</v>
      </c>
      <c r="W678" s="156" t="n">
        <v>45882</v>
      </c>
      <c r="X678" s="152" t="s">
        <v>1594</v>
      </c>
      <c r="Y678" s="152"/>
      <c r="Z678" s="152" t="s">
        <v>1557</v>
      </c>
      <c r="AA678" s="153" t="n">
        <v>2</v>
      </c>
      <c r="AB678" s="151" t="s">
        <v>4127</v>
      </c>
      <c r="AC678" s="151" t="s">
        <v>502</v>
      </c>
      <c r="AD678" s="151" t="str">
        <f aca="false">CONCATENATE($C678,$I678,$H678,$N678,$J678,$K678)</f>
        <v>TUBO PEADPEAD110VCAREDESZona06</v>
      </c>
      <c r="AE678" s="153" t="n">
        <f aca="false">IFERROR(INDEX(APOIO_REDES!$A:$W,MATCH($C678&amp;$I678&amp;$H678&amp;$N678&amp;$O678,APOIO_REDES!$W:$W,0),MATCH(AE$5,APOIO_REDES!$5:$5,0)),0)</f>
        <v>1.2</v>
      </c>
      <c r="AF678" s="153" t="n">
        <f aca="false">IFERROR(INDEX(APOIO_REDES!$A:$W,MATCH($C678&amp;$I678&amp;$H678&amp;$N678&amp;$O678,APOIO_REDES!$W:$W,0),MATCH(AF$5,APOIO_REDES!$5:$5,0)),0)</f>
        <v>1.41</v>
      </c>
      <c r="AG678" s="153" t="n">
        <f aca="false">IFERROR(INDEX(APOIO_REDES!$A:$W,MATCH($C678&amp;$I678&amp;$H678&amp;$N678&amp;$O678,APOIO_REDES!$W:$W,0),MATCH(AG$5,APOIO_REDES!$5:$5,0)),0)</f>
        <v>0.75</v>
      </c>
      <c r="AH678" s="153" t="n">
        <f aca="false">IFERROR(INDEX(APOIO_REDES!$A:$W,MATCH($C678&amp;$I678&amp;$H678&amp;$N678&amp;$O678,APOIO_REDES!$W:$W,0),MATCH(AH$5,APOIO_REDES!$5:$5,0)),0)</f>
        <v>0.1</v>
      </c>
      <c r="AI678" s="153" t="n">
        <f aca="false">IFERROR(IF($H678&lt;&gt;"",(((($H678/1000)/2)^2)*PI()*$M678),0),0)</f>
        <v>0.464237073411781</v>
      </c>
      <c r="AJ678" s="153" t="n">
        <f aca="false">IFERROR(IF(AND($H678&lt;&gt;"",$I678="FoFo",OR($N678="MND",$N678="VCA"),$Q678="LINEAR"),0,IF(AND($H678&lt;&gt;"",$I678="PEAD",$N678="VCA",$Q678="LINEAR"),($H678/1000)+0.3,IF(AND($H678&lt;&gt;"",$I678="PEAD",$N678="MND",$Q678="EMBOQUE"),0,IF(AND($H678&lt;&gt;"",$I678="PVC",$N678="VCA",$Q678="LINEAR"),($H678/1000)+0.2,IF(AND($H678&lt;&gt;"",$I678="PVC",$N678="MND",$Q678="EMBOQUE"),0,IF(AND($H678&lt;&gt;"",$I678="PEAD",$N678="VCA",$Q678="PREDIAL"),0,0)))))),0)</f>
        <v>0.41</v>
      </c>
      <c r="AK678" s="153" t="n">
        <f aca="false">IF(AA678&lt;&gt;"",AA678,0)</f>
        <v>2</v>
      </c>
      <c r="AL678" s="153" t="n">
        <f aca="false">IF(AND($N678="MND",$Q678="EMBOQUE"),$M678,IF(AND($N678="VCA",$Q678="LINEAR"),$M678,IF(AND($N678="VCA",$Q678="PREDIAL"),0,0)))</f>
        <v>48.85</v>
      </c>
      <c r="AM678" s="153" t="n">
        <f aca="false">IF(AND($N678="MND",$Q678="EMBOQUE"),$M678,IF(AND($N678="VCA",$Q678="LINEAR"),$M678,IF(AND($N678="VCA",$Q678="PREDIAL"),0,0)))</f>
        <v>48.85</v>
      </c>
      <c r="AN678" s="153" t="n">
        <f aca="false">ROUND(IF(AND($N678="VCA",$M678&lt;&gt;"",$Q678="LINEAR"),$M678/100,IF(AND($N678="MND",$M678&gt;100,$Q678="EMBOQUE"),$M678/100,0)),0)</f>
        <v>0</v>
      </c>
      <c r="AO678" s="153" t="n">
        <f aca="false">IF(AND($N678="MND",$Q678="EMBOQUE"),$AN678*2*2,IF(AND($N678="VCA",$Q678="LINEAR"),$M678*2,IF(AND($N678="VCA",$Q678="PREDIAL"),0,0)))</f>
        <v>97.7</v>
      </c>
      <c r="AP678" s="153" t="n">
        <f aca="false">IFERROR($M678*$AF678*$AG678,0)</f>
        <v>51.658875</v>
      </c>
      <c r="AQ678" s="153" t="n">
        <f aca="false">IFERROR(IF(AND($N678="VCA",$AH678&gt;0),$M678*$AG678*$AH678,0),0)</f>
        <v>3.66375</v>
      </c>
      <c r="AR678" s="153" t="n">
        <f aca="false">IFERROR(IF(AND($N678="VCA",$AJ678&gt;0),($M678*$AG678*$AJ678)-$AI678,0),0)</f>
        <v>14.5571379265882</v>
      </c>
      <c r="AS678" s="153" t="n">
        <f aca="false">IFERROR(IF(AND($N678="VCA",$AP678&gt;0),$AP678-$AI678-$AQ678-$AR678,0),0)</f>
        <v>32.97375</v>
      </c>
      <c r="AT678" s="153" t="n">
        <f aca="false">IFERROR(IF($N678="VCA",INDEX(APOIO_REDES!$A:$W,MATCH($C678&amp;$I678&amp;$H678&amp;$N678&amp;$O678,APOIO_REDES!$W:$W,0),MATCH(AT$5,APOIO_REDES!$5:$5,0)),0)*$AP678,0)</f>
        <v>0.562063850246511</v>
      </c>
      <c r="AU678" s="153" t="n">
        <f aca="false">IFERROR(IF($N678="VCA",INDEX(APOIO_REDES!$A:$W,MATCH($C678&amp;$I678&amp;$H678&amp;$N678&amp;$O678,APOIO_REDES!$W:$W,0),MATCH(AU$5,APOIO_REDES!$5:$5,0)),0)*$AP678,0)</f>
        <v>0.448848968187259</v>
      </c>
      <c r="AV678" s="153" t="n">
        <f aca="false">IFERROR(IF($N678="VCA",INDEX(APOIO_REDES!$A:$W,MATCH($C678&amp;$I678&amp;$H678&amp;$N678&amp;$O678,APOIO_REDES!$W:$W,0),MATCH(AV$5,APOIO_REDES!$5:$5,0)),0)*$AP678,0)</f>
        <v>0.0621171735945627</v>
      </c>
      <c r="AW678" s="153" t="n">
        <f aca="false">IFERROR(IF($N678="VCA",INDEX(APOIO_REDES!$A:$W,MATCH($C678&amp;$I678&amp;$H678&amp;$N678&amp;$O678,APOIO_REDES!$W:$W,0),MATCH(AW$5,APOIO_REDES!$5:$5,0)),0)*$AP678,0)</f>
        <v>35.4590520724958</v>
      </c>
      <c r="AX678" s="153" t="n">
        <f aca="false">IFERROR(IF($N678="VCA",INDEX(APOIO_REDES!$A:$W,MATCH($C678&amp;$I678&amp;$H678&amp;$N678&amp;$O678,APOIO_REDES!$W:$W,0),MATCH(AX$5,APOIO_REDES!$5:$5,0)),0)*$AP678,0)</f>
        <v>4.90743179981164</v>
      </c>
      <c r="AY678" s="153" t="n">
        <f aca="false">IFERROR(IF($N678="VCA",INDEX(APOIO_REDES!$A:$W,MATCH($C678&amp;$I678&amp;$H678&amp;$N678&amp;$O678,APOIO_REDES!$W:$W,0),MATCH(AY$5,APOIO_REDES!$5:$5,0)),0)*$AP678,0)</f>
        <v>8.97697389231264</v>
      </c>
      <c r="AZ678" s="153" t="n">
        <f aca="false">IFERROR(IF($N678="VCA",INDEX(APOIO_REDES!$A:$W,MATCH($C678&amp;$I678&amp;$H678&amp;$N678&amp;$O678,APOIO_REDES!$W:$W,0),MATCH(AZ$5,APOIO_REDES!$5:$5,0)),0)*$AP678,0)</f>
        <v>1.24238724335155</v>
      </c>
      <c r="BA678" s="153" t="n">
        <f aca="false">IFERROR(IF(AND($N678="VCA",$Q678="LINEAR"),INDEX(APOIO_REDES!$A:$W,MATCH($C678&amp;$I678&amp;$H678&amp;$N678&amp;$O678,APOIO_REDES!$W:$W,0),MATCH(BA$5,APOIO_REDES!$5:$5,0)),IF(AND($N678="MND",$Q678="EMBOQUE"),INDEX(APOIO_REDES!$A:$W,MATCH($C678&amp;$I678&amp;$H678&amp;$N678&amp;$O678,APOIO_REDES!$W:$W,0),MATCH(BA$5,APOIO_REDES!$5:$5,0)),0))*$M678/10,0)</f>
        <v>3.93718677977227</v>
      </c>
      <c r="BB678" s="153" t="n">
        <f aca="false">IFERROR(IF($N678="VCA",INDEX(APOIO_REDES!$A:$W,MATCH($C678&amp;$I678&amp;$H678&amp;$N678&amp;$O678,APOIO_REDES!$W:$W,0),MATCH(BB$5,APOIO_REDES!$5:$5,0)),0)*($AI678+$AQ678+$AR678),0)</f>
        <v>18.4818253094853</v>
      </c>
      <c r="BC678" s="153" t="n">
        <f aca="false">IFERROR(IF($N678="VCA",INDEX(APOIO_REDES!$A:$W,MATCH($C678&amp;$I678&amp;$H678&amp;$N678&amp;$O678,APOIO_REDES!$W:$W,0),MATCH(BC$5,APOIO_REDES!$5:$5,0)),0)*($AI678+$AQ678+$AR678),0)</f>
        <v>0.203299690514695</v>
      </c>
      <c r="BD678" s="153" t="n">
        <f aca="false">IF(AND($N678="VCA",$AF678&gt;=1.25,$AF678&lt;1.5),$M678*$AF678*2,0)</f>
        <v>137.757</v>
      </c>
      <c r="BE678" s="153" t="n">
        <f aca="false">IF(AND($N678="VCA",$AF678&gt;=1.5,$AF678&lt;3),$M678*$AF678*2,0)</f>
        <v>0</v>
      </c>
      <c r="BF678" s="153" t="n">
        <f aca="false">IF(AND($N678="VCA",$AF678&gt;=3),$M678*$AF678*2,0)</f>
        <v>0</v>
      </c>
      <c r="BG678" s="153" t="n">
        <f aca="false">($BB678+$BC678)*$AK678</f>
        <v>37.37025</v>
      </c>
      <c r="BH678" s="153" t="n">
        <f aca="false">IF(AND($M678&lt;&gt;"",$N678="VCA",$Q678="LINEAR"),($M678*2)/100,IF(AND($M678&lt;&gt;"",$N678="MND",$Q678="EMBOQUE"),($AN678*2)/100,0))</f>
        <v>0.977</v>
      </c>
      <c r="BI678" s="153" t="n">
        <f aca="false">IF(AND($M678&lt;&gt;"",$N678="VCA",$Q678="LINEAR"),$M678,IF(AND($M678&lt;&gt;"",$N678="MND",$Q678="EMBOQUE"),$AN678*2,0))</f>
        <v>48.85</v>
      </c>
      <c r="BJ678" s="153" t="n">
        <f aca="false">IF(AND($M678&lt;&gt;"",$N678="VCA",$Q678="LINEAR"),($M678*6.8)/100,IF(AND($M678&lt;&gt;"",$N678="MND",$Q678="EMBOQUE"),($AN678*2*6.8)/100,0))</f>
        <v>3.3218</v>
      </c>
      <c r="BK678" s="153" t="n">
        <f aca="false">IF(AND($M678&lt;&gt;"",$N678="VCA",$Q678="LINEAR"),($M678*2.5)/50,IF(AND($M678&lt;&gt;"",$N678="MND",$Q678="EMBOQUE"),($AN678*2*2.5)/50,0))</f>
        <v>2.4425</v>
      </c>
      <c r="BL678" s="157" t="str">
        <f aca="false">K678&amp;J678</f>
        <v>Zona06REDES</v>
      </c>
      <c r="BM678" s="152" t="s">
        <v>3790</v>
      </c>
      <c r="BN678" s="152" t="s">
        <v>1560</v>
      </c>
      <c r="BO678" s="152" t="s">
        <v>4097</v>
      </c>
      <c r="BP678" s="152" t="s">
        <v>3994</v>
      </c>
      <c r="BQ678" s="152" t="s">
        <v>4103</v>
      </c>
      <c r="BR678" s="152" t="s">
        <v>4128</v>
      </c>
      <c r="BS678" s="152" t="n">
        <v>204065.595</v>
      </c>
      <c r="BT678" s="152" t="n">
        <v>8237047.461</v>
      </c>
      <c r="BU678" s="152" t="n">
        <v>204112.751</v>
      </c>
      <c r="BV678" s="152" t="n">
        <v>8237034.779</v>
      </c>
      <c r="BW678" s="152" t="n">
        <v>-15.9282527</v>
      </c>
      <c r="BX678" s="152" t="n">
        <v>-47.7638381</v>
      </c>
      <c r="BY678" s="152" t="s">
        <v>3994</v>
      </c>
    </row>
    <row r="679" customFormat="false" ht="13.8" hidden="false" customHeight="false" outlineLevel="0" collapsed="false">
      <c r="A679" s="149" t="n">
        <f aca="false">IF(C679&lt;&gt;"",ROW(A674),"")</f>
        <v>674</v>
      </c>
      <c r="B679" s="150" t="str">
        <f aca="false">HYPERLINK("https://www.google.com/maps/dir/-15.917302,-47.760003/-15.9283129,-47.7636189/data=!4m3!4m2!3e0!5i1")</f>
        <v>https://www.google.com/maps/dir/-15.917302,-47.760003/-15.9283129,-47.7636189/data=!4m3!4m2!3e0!5i1</v>
      </c>
      <c r="C679" s="151" t="s">
        <v>117</v>
      </c>
      <c r="D679" s="152" t="s">
        <v>112</v>
      </c>
      <c r="E679" s="152" t="s">
        <v>113</v>
      </c>
      <c r="F679" s="152" t="s">
        <v>117</v>
      </c>
      <c r="G679" s="152" t="s">
        <v>782</v>
      </c>
      <c r="H679" s="152" t="n">
        <v>110</v>
      </c>
      <c r="I679" s="152" t="s">
        <v>115</v>
      </c>
      <c r="J679" s="152" t="s">
        <v>6</v>
      </c>
      <c r="K679" s="152" t="s">
        <v>3786</v>
      </c>
      <c r="L679" s="152" t="s">
        <v>120</v>
      </c>
      <c r="M679" s="153" t="n">
        <f aca="false">49.76</f>
        <v>49.76</v>
      </c>
      <c r="N679" s="152" t="s">
        <v>1548</v>
      </c>
      <c r="O679" s="152" t="s">
        <v>1549</v>
      </c>
      <c r="P679" s="152" t="s">
        <v>1550</v>
      </c>
      <c r="Q679" s="152" t="s">
        <v>1551</v>
      </c>
      <c r="R679" s="154" t="s">
        <v>4129</v>
      </c>
      <c r="S679" s="154" t="s">
        <v>1593</v>
      </c>
      <c r="T679" s="155" t="s">
        <v>4095</v>
      </c>
      <c r="U679" s="152" t="str">
        <f aca="false">RIGHT(T679,7)</f>
        <v>016/037</v>
      </c>
      <c r="V679" s="152" t="s">
        <v>1555</v>
      </c>
      <c r="W679" s="156" t="n">
        <v>45882</v>
      </c>
      <c r="X679" s="152" t="s">
        <v>1594</v>
      </c>
      <c r="Y679" s="152"/>
      <c r="Z679" s="152" t="s">
        <v>1557</v>
      </c>
      <c r="AA679" s="153" t="n">
        <v>2</v>
      </c>
      <c r="AB679" s="151" t="s">
        <v>4130</v>
      </c>
      <c r="AC679" s="151" t="s">
        <v>502</v>
      </c>
      <c r="AD679" s="151" t="str">
        <f aca="false">CONCATENATE($C679,$I679,$H679,$N679,$J679,$K679)</f>
        <v>TUBO PEADPEAD110VCAREDESZona06</v>
      </c>
      <c r="AE679" s="153" t="n">
        <f aca="false">IFERROR(INDEX(APOIO_REDES!$A:$W,MATCH($C679&amp;$I679&amp;$H679&amp;$N679&amp;$O679,APOIO_REDES!$W:$W,0),MATCH(AE$5,APOIO_REDES!$5:$5,0)),0)</f>
        <v>1.2</v>
      </c>
      <c r="AF679" s="153" t="n">
        <f aca="false">IFERROR(INDEX(APOIO_REDES!$A:$W,MATCH($C679&amp;$I679&amp;$H679&amp;$N679&amp;$O679,APOIO_REDES!$W:$W,0),MATCH(AF$5,APOIO_REDES!$5:$5,0)),0)</f>
        <v>1.41</v>
      </c>
      <c r="AG679" s="153" t="n">
        <f aca="false">IFERROR(INDEX(APOIO_REDES!$A:$W,MATCH($C679&amp;$I679&amp;$H679&amp;$N679&amp;$O679,APOIO_REDES!$W:$W,0),MATCH(AG$5,APOIO_REDES!$5:$5,0)),0)</f>
        <v>0.75</v>
      </c>
      <c r="AH679" s="153" t="n">
        <f aca="false">IFERROR(INDEX(APOIO_REDES!$A:$W,MATCH($C679&amp;$I679&amp;$H679&amp;$N679&amp;$O679,APOIO_REDES!$W:$W,0),MATCH(AH$5,APOIO_REDES!$5:$5,0)),0)</f>
        <v>0.1</v>
      </c>
      <c r="AI679" s="153" t="n">
        <f aca="false">IFERROR(IF($H679&lt;&gt;"",(((($H679/1000)/2)^2)*PI()*$M679),0),0)</f>
        <v>0.47288509258895</v>
      </c>
      <c r="AJ679" s="153" t="n">
        <f aca="false">IFERROR(IF(AND($H679&lt;&gt;"",$I679="FoFo",OR($N679="MND",$N679="VCA"),$Q679="LINEAR"),0,IF(AND($H679&lt;&gt;"",$I679="PEAD",$N679="VCA",$Q679="LINEAR"),($H679/1000)+0.3,IF(AND($H679&lt;&gt;"",$I679="PEAD",$N679="MND",$Q679="EMBOQUE"),0,IF(AND($H679&lt;&gt;"",$I679="PVC",$N679="VCA",$Q679="LINEAR"),($H679/1000)+0.2,IF(AND($H679&lt;&gt;"",$I679="PVC",$N679="MND",$Q679="EMBOQUE"),0,IF(AND($H679&lt;&gt;"",$I679="PEAD",$N679="VCA",$Q679="PREDIAL"),0,0)))))),0)</f>
        <v>0.41</v>
      </c>
      <c r="AK679" s="153" t="n">
        <f aca="false">IF(AA679&lt;&gt;"",AA679,0)</f>
        <v>2</v>
      </c>
      <c r="AL679" s="153" t="n">
        <f aca="false">IF(AND($N679="MND",$Q679="EMBOQUE"),$M679,IF(AND($N679="VCA",$Q679="LINEAR"),$M679,IF(AND($N679="VCA",$Q679="PREDIAL"),0,0)))</f>
        <v>49.76</v>
      </c>
      <c r="AM679" s="153" t="n">
        <f aca="false">IF(AND($N679="MND",$Q679="EMBOQUE"),$M679,IF(AND($N679="VCA",$Q679="LINEAR"),$M679,IF(AND($N679="VCA",$Q679="PREDIAL"),0,0)))</f>
        <v>49.76</v>
      </c>
      <c r="AN679" s="153" t="n">
        <f aca="false">ROUND(IF(AND($N679="VCA",$M679&lt;&gt;"",$Q679="LINEAR"),$M679/100,IF(AND($N679="MND",$M679&gt;100,$Q679="EMBOQUE"),$M679/100,0)),0)</f>
        <v>0</v>
      </c>
      <c r="AO679" s="153" t="n">
        <f aca="false">IF(AND($N679="MND",$Q679="EMBOQUE"),$AN679*2*2,IF(AND($N679="VCA",$Q679="LINEAR"),$M679*2,IF(AND($N679="VCA",$Q679="PREDIAL"),0,0)))</f>
        <v>99.52</v>
      </c>
      <c r="AP679" s="153" t="n">
        <f aca="false">IFERROR($M679*$AF679*$AG679,0)</f>
        <v>52.6212</v>
      </c>
      <c r="AQ679" s="153" t="n">
        <f aca="false">IFERROR(IF(AND($N679="VCA",$AH679&gt;0),$M679*$AG679*$AH679,0),0)</f>
        <v>3.732</v>
      </c>
      <c r="AR679" s="153" t="n">
        <f aca="false">IFERROR(IF(AND($N679="VCA",$AJ679&gt;0),($M679*$AG679*$AJ679)-$AI679,0),0)</f>
        <v>14.8283149074111</v>
      </c>
      <c r="AS679" s="153" t="n">
        <f aca="false">IFERROR(IF(AND($N679="VCA",$AP679&gt;0),$AP679-$AI679-$AQ679-$AR679,0),0)</f>
        <v>33.588</v>
      </c>
      <c r="AT679" s="153" t="n">
        <f aca="false">IFERROR(IF($N679="VCA",INDEX(APOIO_REDES!$A:$W,MATCH($C679&amp;$I679&amp;$H679&amp;$N679&amp;$O679,APOIO_REDES!$W:$W,0),MATCH(AT$5,APOIO_REDES!$5:$5,0)),0)*$AP679,0)</f>
        <v>0.572534231080172</v>
      </c>
      <c r="AU679" s="153" t="n">
        <f aca="false">IFERROR(IF($N679="VCA",INDEX(APOIO_REDES!$A:$W,MATCH($C679&amp;$I679&amp;$H679&amp;$N679&amp;$O679,APOIO_REDES!$W:$W,0),MATCH(AU$5,APOIO_REDES!$5:$5,0)),0)*$AP679,0)</f>
        <v>0.457210330747144</v>
      </c>
      <c r="AV679" s="153" t="n">
        <f aca="false">IFERROR(IF($N679="VCA",INDEX(APOIO_REDES!$A:$W,MATCH($C679&amp;$I679&amp;$H679&amp;$N679&amp;$O679,APOIO_REDES!$W:$W,0),MATCH(AV$5,APOIO_REDES!$5:$5,0)),0)*$AP679,0)</f>
        <v>0.0632743205335812</v>
      </c>
      <c r="AW679" s="153" t="n">
        <f aca="false">IFERROR(IF($N679="VCA",INDEX(APOIO_REDES!$A:$W,MATCH($C679&amp;$I679&amp;$H679&amp;$N679&amp;$O679,APOIO_REDES!$W:$W,0),MATCH(AW$5,APOIO_REDES!$5:$5,0)),0)*$AP679,0)</f>
        <v>36.1195994089538</v>
      </c>
      <c r="AX679" s="153" t="n">
        <f aca="false">IFERROR(IF($N679="VCA",INDEX(APOIO_REDES!$A:$W,MATCH($C679&amp;$I679&amp;$H679&amp;$N679&amp;$O679,APOIO_REDES!$W:$W,0),MATCH(AX$5,APOIO_REDES!$5:$5,0)),0)*$AP679,0)</f>
        <v>4.99884966957272</v>
      </c>
      <c r="AY679" s="153" t="n">
        <f aca="false">IFERROR(IF($N679="VCA",INDEX(APOIO_REDES!$A:$W,MATCH($C679&amp;$I679&amp;$H679&amp;$N679&amp;$O679,APOIO_REDES!$W:$W,0),MATCH(AY$5,APOIO_REDES!$5:$5,0)),0)*$AP679,0)</f>
        <v>9.14420104158602</v>
      </c>
      <c r="AZ679" s="153" t="n">
        <f aca="false">IFERROR(IF($N679="VCA",INDEX(APOIO_REDES!$A:$W,MATCH($C679&amp;$I679&amp;$H679&amp;$N679&amp;$O679,APOIO_REDES!$W:$W,0),MATCH(AZ$5,APOIO_REDES!$5:$5,0)),0)*$AP679,0)</f>
        <v>1.26553099752657</v>
      </c>
      <c r="BA679" s="153" t="n">
        <f aca="false">IFERROR(IF(AND($N679="VCA",$Q679="LINEAR"),INDEX(APOIO_REDES!$A:$W,MATCH($C679&amp;$I679&amp;$H679&amp;$N679&amp;$O679,APOIO_REDES!$W:$W,0),MATCH(BA$5,APOIO_REDES!$5:$5,0)),IF(AND($N679="MND",$Q679="EMBOQUE"),INDEX(APOIO_REDES!$A:$W,MATCH($C679&amp;$I679&amp;$H679&amp;$N679&amp;$O679,APOIO_REDES!$W:$W,0),MATCH(BA$5,APOIO_REDES!$5:$5,0)),0))*$M679/10,0)</f>
        <v>4.01053048436987</v>
      </c>
      <c r="BB679" s="153" t="n">
        <f aca="false">IFERROR(IF($N679="VCA",INDEX(APOIO_REDES!$A:$W,MATCH($C679&amp;$I679&amp;$H679&amp;$N679&amp;$O679,APOIO_REDES!$W:$W,0),MATCH(BB$5,APOIO_REDES!$5:$5,0)),0)*($AI679+$AQ679+$AR679),0)</f>
        <v>18.8261131504604</v>
      </c>
      <c r="BC679" s="153" t="n">
        <f aca="false">IFERROR(IF($N679="VCA",INDEX(APOIO_REDES!$A:$W,MATCH($C679&amp;$I679&amp;$H679&amp;$N679&amp;$O679,APOIO_REDES!$W:$W,0),MATCH(BC$5,APOIO_REDES!$5:$5,0)),0)*($AI679+$AQ679+$AR679),0)</f>
        <v>0.207086849539637</v>
      </c>
      <c r="BD679" s="153" t="n">
        <f aca="false">IF(AND($N679="VCA",$AF679&gt;=1.25,$AF679&lt;1.5),$M679*$AF679*2,0)</f>
        <v>140.3232</v>
      </c>
      <c r="BE679" s="153" t="n">
        <f aca="false">IF(AND($N679="VCA",$AF679&gt;=1.5,$AF679&lt;3),$M679*$AF679*2,0)</f>
        <v>0</v>
      </c>
      <c r="BF679" s="153" t="n">
        <f aca="false">IF(AND($N679="VCA",$AF679&gt;=3),$M679*$AF679*2,0)</f>
        <v>0</v>
      </c>
      <c r="BG679" s="153" t="n">
        <f aca="false">($BB679+$BC679)*$AK679</f>
        <v>38.0664</v>
      </c>
      <c r="BH679" s="153" t="n">
        <f aca="false">IF(AND($M679&lt;&gt;"",$N679="VCA",$Q679="LINEAR"),($M679*2)/100,IF(AND($M679&lt;&gt;"",$N679="MND",$Q679="EMBOQUE"),($AN679*2)/100,0))</f>
        <v>0.9952</v>
      </c>
      <c r="BI679" s="153" t="n">
        <f aca="false">IF(AND($M679&lt;&gt;"",$N679="VCA",$Q679="LINEAR"),$M679,IF(AND($M679&lt;&gt;"",$N679="MND",$Q679="EMBOQUE"),$AN679*2,0))</f>
        <v>49.76</v>
      </c>
      <c r="BJ679" s="153" t="n">
        <f aca="false">IF(AND($M679&lt;&gt;"",$N679="VCA",$Q679="LINEAR"),($M679*6.8)/100,IF(AND($M679&lt;&gt;"",$N679="MND",$Q679="EMBOQUE"),($AN679*2*6.8)/100,0))</f>
        <v>3.38368</v>
      </c>
      <c r="BK679" s="153" t="n">
        <f aca="false">IF(AND($M679&lt;&gt;"",$N679="VCA",$Q679="LINEAR"),($M679*2.5)/50,IF(AND($M679&lt;&gt;"",$N679="MND",$Q679="EMBOQUE"),($AN679*2*2.5)/50,0))</f>
        <v>2.488</v>
      </c>
      <c r="BL679" s="157" t="str">
        <f aca="false">K679&amp;J679</f>
        <v>Zona06REDES</v>
      </c>
      <c r="BM679" s="152" t="s">
        <v>3790</v>
      </c>
      <c r="BN679" s="152" t="s">
        <v>1560</v>
      </c>
      <c r="BO679" s="152" t="s">
        <v>4097</v>
      </c>
      <c r="BP679" s="152" t="s">
        <v>4103</v>
      </c>
      <c r="BQ679" s="152" t="s">
        <v>4124</v>
      </c>
      <c r="BR679" s="152" t="s">
        <v>4131</v>
      </c>
      <c r="BS679" s="152" t="n">
        <v>204112.751</v>
      </c>
      <c r="BT679" s="152" t="n">
        <v>8237034.779</v>
      </c>
      <c r="BU679" s="152" t="n">
        <v>204160.858</v>
      </c>
      <c r="BV679" s="152" t="n">
        <v>8237022.116</v>
      </c>
      <c r="BW679" s="152" t="n">
        <v>-15.9283697</v>
      </c>
      <c r="BX679" s="152" t="n">
        <v>-47.7633943</v>
      </c>
      <c r="BY679" s="152" t="s">
        <v>4103</v>
      </c>
    </row>
    <row r="680" customFormat="false" ht="13.8" hidden="false" customHeight="false" outlineLevel="0" collapsed="false">
      <c r="A680" s="149" t="n">
        <f aca="false">IF(C680&lt;&gt;"",ROW(A675),"")</f>
        <v>675</v>
      </c>
      <c r="B680" s="150" t="str">
        <f aca="false">HYPERLINK("https://www.google.com/maps/dir/-15.917302,-47.760003/-15.9278794,-47.7650624/data=!4m3!4m2!3e0!5i2")</f>
        <v>https://www.google.com/maps/dir/-15.917302,-47.760003/-15.9278794,-47.7650624/data=!4m3!4m2!3e0!5i2</v>
      </c>
      <c r="C680" s="151" t="s">
        <v>117</v>
      </c>
      <c r="D680" s="152" t="s">
        <v>112</v>
      </c>
      <c r="E680" s="152" t="s">
        <v>113</v>
      </c>
      <c r="F680" s="152" t="s">
        <v>117</v>
      </c>
      <c r="G680" s="152" t="s">
        <v>782</v>
      </c>
      <c r="H680" s="152" t="n">
        <v>110</v>
      </c>
      <c r="I680" s="152" t="s">
        <v>115</v>
      </c>
      <c r="J680" s="152" t="s">
        <v>6</v>
      </c>
      <c r="K680" s="152" t="s">
        <v>3786</v>
      </c>
      <c r="L680" s="152" t="s">
        <v>120</v>
      </c>
      <c r="M680" s="153" t="n">
        <f aca="false">12.87</f>
        <v>12.87</v>
      </c>
      <c r="N680" s="152" t="s">
        <v>1548</v>
      </c>
      <c r="O680" s="152" t="s">
        <v>1549</v>
      </c>
      <c r="P680" s="152" t="s">
        <v>1550</v>
      </c>
      <c r="Q680" s="152" t="s">
        <v>1551</v>
      </c>
      <c r="R680" s="154" t="s">
        <v>4132</v>
      </c>
      <c r="S680" s="154" t="s">
        <v>1593</v>
      </c>
      <c r="T680" s="155" t="s">
        <v>4095</v>
      </c>
      <c r="U680" s="152" t="str">
        <f aca="false">RIGHT(T680,7)</f>
        <v>016/037</v>
      </c>
      <c r="V680" s="152" t="s">
        <v>1555</v>
      </c>
      <c r="W680" s="156" t="n">
        <v>45882</v>
      </c>
      <c r="X680" s="152" t="s">
        <v>1594</v>
      </c>
      <c r="Y680" s="152" t="s">
        <v>2553</v>
      </c>
      <c r="Z680" s="152" t="s">
        <v>1557</v>
      </c>
      <c r="AA680" s="153" t="n">
        <v>2.1</v>
      </c>
      <c r="AB680" s="151" t="s">
        <v>2238</v>
      </c>
      <c r="AC680" s="151" t="s">
        <v>502</v>
      </c>
      <c r="AD680" s="151" t="str">
        <f aca="false">CONCATENATE($C680,$I680,$H680,$N680,$J680,$K680)</f>
        <v>TUBO PEADPEAD110VCAREDESZona06</v>
      </c>
      <c r="AE680" s="153" t="n">
        <f aca="false">IFERROR(INDEX(APOIO_REDES!$A:$W,MATCH($C680&amp;$I680&amp;$H680&amp;$N680&amp;$O680,APOIO_REDES!$W:$W,0),MATCH(AE$5,APOIO_REDES!$5:$5,0)),0)</f>
        <v>1.2</v>
      </c>
      <c r="AF680" s="153" t="n">
        <f aca="false">IFERROR(INDEX(APOIO_REDES!$A:$W,MATCH($C680&amp;$I680&amp;$H680&amp;$N680&amp;$O680,APOIO_REDES!$W:$W,0),MATCH(AF$5,APOIO_REDES!$5:$5,0)),0)</f>
        <v>1.41</v>
      </c>
      <c r="AG680" s="153" t="n">
        <f aca="false">IFERROR(INDEX(APOIO_REDES!$A:$W,MATCH($C680&amp;$I680&amp;$H680&amp;$N680&amp;$O680,APOIO_REDES!$W:$W,0),MATCH(AG$5,APOIO_REDES!$5:$5,0)),0)</f>
        <v>0.75</v>
      </c>
      <c r="AH680" s="153" t="n">
        <f aca="false">IFERROR(INDEX(APOIO_REDES!$A:$W,MATCH($C680&amp;$I680&amp;$H680&amp;$N680&amp;$O680,APOIO_REDES!$W:$W,0),MATCH(AH$5,APOIO_REDES!$5:$5,0)),0)</f>
        <v>0.1</v>
      </c>
      <c r="AI680" s="153" t="n">
        <f aca="false">IFERROR(IF($H680&lt;&gt;"",(((($H680/1000)/2)^2)*PI()*$M680),0),0)</f>
        <v>0.122307699791394</v>
      </c>
      <c r="AJ680" s="153" t="n">
        <f aca="false">IFERROR(IF(AND($H680&lt;&gt;"",$I680="FoFo",OR($N680="MND",$N680="VCA"),$Q680="LINEAR"),0,IF(AND($H680&lt;&gt;"",$I680="PEAD",$N680="VCA",$Q680="LINEAR"),($H680/1000)+0.3,IF(AND($H680&lt;&gt;"",$I680="PEAD",$N680="MND",$Q680="EMBOQUE"),0,IF(AND($H680&lt;&gt;"",$I680="PVC",$N680="VCA",$Q680="LINEAR"),($H680/1000)+0.2,IF(AND($H680&lt;&gt;"",$I680="PVC",$N680="MND",$Q680="EMBOQUE"),0,IF(AND($H680&lt;&gt;"",$I680="PEAD",$N680="VCA",$Q680="PREDIAL"),0,0)))))),0)</f>
        <v>0.41</v>
      </c>
      <c r="AK680" s="153" t="n">
        <f aca="false">IF(AA680&lt;&gt;"",AA680,0)</f>
        <v>2.1</v>
      </c>
      <c r="AL680" s="153" t="n">
        <f aca="false">IF(AND($N680="MND",$Q680="EMBOQUE"),$M680,IF(AND($N680="VCA",$Q680="LINEAR"),$M680,IF(AND($N680="VCA",$Q680="PREDIAL"),0,0)))</f>
        <v>12.87</v>
      </c>
      <c r="AM680" s="153" t="n">
        <f aca="false">IF(AND($N680="MND",$Q680="EMBOQUE"),$M680,IF(AND($N680="VCA",$Q680="LINEAR"),$M680,IF(AND($N680="VCA",$Q680="PREDIAL"),0,0)))</f>
        <v>12.87</v>
      </c>
      <c r="AN680" s="153" t="n">
        <f aca="false">ROUND(IF(AND($N680="VCA",$M680&lt;&gt;"",$Q680="LINEAR"),$M680/100,IF(AND($N680="MND",$M680&gt;100,$Q680="EMBOQUE"),$M680/100,0)),0)</f>
        <v>0</v>
      </c>
      <c r="AO680" s="153" t="n">
        <f aca="false">IF(AND($N680="MND",$Q680="EMBOQUE"),$AN680*2*2,IF(AND($N680="VCA",$Q680="LINEAR"),$M680*2,IF(AND($N680="VCA",$Q680="PREDIAL"),0,0)))</f>
        <v>25.74</v>
      </c>
      <c r="AP680" s="153" t="n">
        <f aca="false">IFERROR($M680*$AF680*$AG680,0)</f>
        <v>13.610025</v>
      </c>
      <c r="AQ680" s="153" t="n">
        <f aca="false">IFERROR(IF(AND($N680="VCA",$AH680&gt;0),$M680*$AG680*$AH680,0),0)</f>
        <v>0.96525</v>
      </c>
      <c r="AR680" s="153" t="n">
        <f aca="false">IFERROR(IF(AND($N680="VCA",$AJ680&gt;0),($M680*$AG680*$AJ680)-$AI680,0),0)</f>
        <v>3.83521730020861</v>
      </c>
      <c r="AS680" s="153" t="n">
        <f aca="false">IFERROR(IF(AND($N680="VCA",$AP680&gt;0),$AP680-$AI680-$AQ680-$AR680,0),0)</f>
        <v>8.68725</v>
      </c>
      <c r="AT680" s="153" t="n">
        <f aca="false">IFERROR(IF($N680="VCA",INDEX(APOIO_REDES!$A:$W,MATCH($C680&amp;$I680&amp;$H680&amp;$N680&amp;$O680,APOIO_REDES!$W:$W,0),MATCH(AT$5,APOIO_REDES!$5:$5,0)),0)*$AP680,0)</f>
        <v>0.148081100361773</v>
      </c>
      <c r="AU680" s="153" t="n">
        <f aca="false">IFERROR(IF($N680="VCA",INDEX(APOIO_REDES!$A:$W,MATCH($C680&amp;$I680&amp;$H680&amp;$N680&amp;$O680,APOIO_REDES!$W:$W,0),MATCH(AU$5,APOIO_REDES!$5:$5,0)),0)*$AP680,0)</f>
        <v>0.118253556204095</v>
      </c>
      <c r="AV680" s="153" t="n">
        <f aca="false">IFERROR(IF($N680="VCA",INDEX(APOIO_REDES!$A:$W,MATCH($C680&amp;$I680&amp;$H680&amp;$N680&amp;$O680,APOIO_REDES!$W:$W,0),MATCH(AV$5,APOIO_REDES!$5:$5,0)),0)*$AP680,0)</f>
        <v>0.0163653638518326</v>
      </c>
      <c r="AW680" s="153" t="n">
        <f aca="false">IFERROR(IF($N680="VCA",INDEX(APOIO_REDES!$A:$W,MATCH($C680&amp;$I680&amp;$H680&amp;$N680&amp;$O680,APOIO_REDES!$W:$W,0),MATCH(AW$5,APOIO_REDES!$5:$5,0)),0)*$AP680,0)</f>
        <v>9.34202661561968</v>
      </c>
      <c r="AX680" s="153" t="n">
        <f aca="false">IFERROR(IF($N680="VCA",INDEX(APOIO_REDES!$A:$W,MATCH($C680&amp;$I680&amp;$H680&amp;$N680&amp;$O680,APOIO_REDES!$W:$W,0),MATCH(AX$5,APOIO_REDES!$5:$5,0)),0)*$AP680,0)</f>
        <v>1.29290987233523</v>
      </c>
      <c r="AY680" s="153" t="n">
        <f aca="false">IFERROR(IF($N680="VCA",INDEX(APOIO_REDES!$A:$W,MATCH($C680&amp;$I680&amp;$H680&amp;$N680&amp;$O680,APOIO_REDES!$W:$W,0),MATCH(AY$5,APOIO_REDES!$5:$5,0)),0)*$AP680,0)</f>
        <v>2.36506968258063</v>
      </c>
      <c r="AZ680" s="153" t="n">
        <f aca="false">IFERROR(IF($N680="VCA",INDEX(APOIO_REDES!$A:$W,MATCH($C680&amp;$I680&amp;$H680&amp;$N680&amp;$O680,APOIO_REDES!$W:$W,0),MATCH(AZ$5,APOIO_REDES!$5:$5,0)),0)*$AP680,0)</f>
        <v>0.327318809046765</v>
      </c>
      <c r="BA680" s="153" t="n">
        <f aca="false">IFERROR(IF(AND($N680="VCA",$Q680="LINEAR"),INDEX(APOIO_REDES!$A:$W,MATCH($C680&amp;$I680&amp;$H680&amp;$N680&amp;$O680,APOIO_REDES!$W:$W,0),MATCH(BA$5,APOIO_REDES!$5:$5,0)),IF(AND($N680="MND",$Q680="EMBOQUE"),INDEX(APOIO_REDES!$A:$W,MATCH($C680&amp;$I680&amp;$H680&amp;$N680&amp;$O680,APOIO_REDES!$W:$W,0),MATCH(BA$5,APOIO_REDES!$5:$5,0)),0))*$M680/10,0)</f>
        <v>1.03728953645177</v>
      </c>
      <c r="BB680" s="153" t="n">
        <f aca="false">IFERROR(IF($N680="VCA",INDEX(APOIO_REDES!$A:$W,MATCH($C680&amp;$I680&amp;$H680&amp;$N680&amp;$O680,APOIO_REDES!$W:$W,0),MATCH(BB$5,APOIO_REDES!$5:$5,0)),0)*($AI680+$AQ680+$AR680),0)</f>
        <v>4.86921375093298</v>
      </c>
      <c r="BC680" s="153" t="n">
        <f aca="false">IFERROR(IF($N680="VCA",INDEX(APOIO_REDES!$A:$W,MATCH($C680&amp;$I680&amp;$H680&amp;$N680&amp;$O680,APOIO_REDES!$W:$W,0),MATCH(BC$5,APOIO_REDES!$5:$5,0)),0)*($AI680+$AQ680+$AR680),0)</f>
        <v>0.0535612490670242</v>
      </c>
      <c r="BD680" s="153" t="n">
        <f aca="false">IF(AND($N680="VCA",$AF680&gt;=1.25,$AF680&lt;1.5),$M680*$AF680*2,0)</f>
        <v>36.2934</v>
      </c>
      <c r="BE680" s="153" t="n">
        <f aca="false">IF(AND($N680="VCA",$AF680&gt;=1.5,$AF680&lt;3),$M680*$AF680*2,0)</f>
        <v>0</v>
      </c>
      <c r="BF680" s="153" t="n">
        <f aca="false">IF(AND($N680="VCA",$AF680&gt;=3),$M680*$AF680*2,0)</f>
        <v>0</v>
      </c>
      <c r="BG680" s="153" t="n">
        <f aca="false">($BB680+$BC680)*$AK680</f>
        <v>10.3378275</v>
      </c>
      <c r="BH680" s="153" t="n">
        <f aca="false">IF(AND($M680&lt;&gt;"",$N680="VCA",$Q680="LINEAR"),($M680*2)/100,IF(AND($M680&lt;&gt;"",$N680="MND",$Q680="EMBOQUE"),($AN680*2)/100,0))</f>
        <v>0.2574</v>
      </c>
      <c r="BI680" s="153" t="n">
        <f aca="false">IF(AND($M680&lt;&gt;"",$N680="VCA",$Q680="LINEAR"),$M680,IF(AND($M680&lt;&gt;"",$N680="MND",$Q680="EMBOQUE"),$AN680*2,0))</f>
        <v>12.87</v>
      </c>
      <c r="BJ680" s="153" t="n">
        <f aca="false">IF(AND($M680&lt;&gt;"",$N680="VCA",$Q680="LINEAR"),($M680*6.8)/100,IF(AND($M680&lt;&gt;"",$N680="MND",$Q680="EMBOQUE"),($AN680*2*6.8)/100,0))</f>
        <v>0.87516</v>
      </c>
      <c r="BK680" s="153" t="n">
        <f aca="false">IF(AND($M680&lt;&gt;"",$N680="VCA",$Q680="LINEAR"),($M680*2.5)/50,IF(AND($M680&lt;&gt;"",$N680="MND",$Q680="EMBOQUE"),($AN680*2*2.5)/50,0))</f>
        <v>0.6435</v>
      </c>
      <c r="BL680" s="157" t="str">
        <f aca="false">K680&amp;J680</f>
        <v>Zona06REDES</v>
      </c>
      <c r="BM680" s="152" t="s">
        <v>3790</v>
      </c>
      <c r="BN680" s="152" t="s">
        <v>1560</v>
      </c>
      <c r="BO680" s="152" t="s">
        <v>4097</v>
      </c>
      <c r="BP680" s="152" t="s">
        <v>2232</v>
      </c>
      <c r="BQ680" s="152" t="s">
        <v>2232</v>
      </c>
      <c r="BR680" s="152" t="s">
        <v>4133</v>
      </c>
      <c r="BS680" s="152" t="n">
        <v>203871.422</v>
      </c>
      <c r="BT680" s="152" t="n">
        <v>8237014.183</v>
      </c>
      <c r="BU680" s="152" t="n">
        <v>203882.309</v>
      </c>
      <c r="BV680" s="152" t="n">
        <v>8237021.038</v>
      </c>
      <c r="BW680" s="152" t="n">
        <v>-15.9284397</v>
      </c>
      <c r="BX680" s="152" t="n">
        <v>-47.7658224</v>
      </c>
      <c r="BY680" s="152" t="s">
        <v>3984</v>
      </c>
    </row>
    <row r="681" customFormat="false" ht="13.8" hidden="false" customHeight="false" outlineLevel="0" collapsed="false">
      <c r="A681" s="149" t="n">
        <f aca="false">IF(C681&lt;&gt;"",ROW(A676),"")</f>
        <v>676</v>
      </c>
      <c r="B681" s="150" t="str">
        <f aca="false">HYPERLINK("https://www.google.com/maps/dir/-15.917302,-47.760003/-15.9278794,-47.7650624/data=!4m3!4m2!3e0!5i2")</f>
        <v>https://www.google.com/maps/dir/-15.917302,-47.760003/-15.9278794,-47.7650624/data=!4m3!4m2!3e0!5i2</v>
      </c>
      <c r="C681" s="151" t="s">
        <v>117</v>
      </c>
      <c r="D681" s="152" t="s">
        <v>112</v>
      </c>
      <c r="E681" s="152" t="s">
        <v>113</v>
      </c>
      <c r="F681" s="152" t="s">
        <v>117</v>
      </c>
      <c r="G681" s="152" t="s">
        <v>782</v>
      </c>
      <c r="H681" s="152" t="n">
        <v>110</v>
      </c>
      <c r="I681" s="152" t="s">
        <v>115</v>
      </c>
      <c r="J681" s="152" t="s">
        <v>6</v>
      </c>
      <c r="K681" s="152" t="s">
        <v>3786</v>
      </c>
      <c r="L681" s="152" t="s">
        <v>120</v>
      </c>
      <c r="M681" s="153" t="n">
        <f aca="false">213.78</f>
        <v>213.78</v>
      </c>
      <c r="N681" s="152" t="s">
        <v>1548</v>
      </c>
      <c r="O681" s="152" t="s">
        <v>1549</v>
      </c>
      <c r="P681" s="152" t="s">
        <v>1550</v>
      </c>
      <c r="Q681" s="152" t="s">
        <v>1551</v>
      </c>
      <c r="R681" s="154" t="s">
        <v>4134</v>
      </c>
      <c r="S681" s="154" t="s">
        <v>1593</v>
      </c>
      <c r="T681" s="155" t="s">
        <v>4095</v>
      </c>
      <c r="U681" s="152" t="str">
        <f aca="false">RIGHT(T681,7)</f>
        <v>016/037</v>
      </c>
      <c r="V681" s="152" t="s">
        <v>1555</v>
      </c>
      <c r="W681" s="156" t="n">
        <v>45882</v>
      </c>
      <c r="X681" s="152" t="s">
        <v>1594</v>
      </c>
      <c r="Y681" s="152" t="s">
        <v>2553</v>
      </c>
      <c r="Z681" s="152" t="s">
        <v>1557</v>
      </c>
      <c r="AA681" s="153" t="n">
        <v>2.1</v>
      </c>
      <c r="AB681" s="151" t="s">
        <v>4135</v>
      </c>
      <c r="AC681" s="151" t="s">
        <v>502</v>
      </c>
      <c r="AD681" s="151" t="str">
        <f aca="false">CONCATENATE($C681,$I681,$H681,$N681,$J681,$K681)</f>
        <v>TUBO PEADPEAD110VCAREDESZona06</v>
      </c>
      <c r="AE681" s="153" t="n">
        <f aca="false">IFERROR(INDEX(APOIO_REDES!$A:$W,MATCH($C681&amp;$I681&amp;$H681&amp;$N681&amp;$O681,APOIO_REDES!$W:$W,0),MATCH(AE$5,APOIO_REDES!$5:$5,0)),0)</f>
        <v>1.2</v>
      </c>
      <c r="AF681" s="153" t="n">
        <f aca="false">IFERROR(INDEX(APOIO_REDES!$A:$W,MATCH($C681&amp;$I681&amp;$H681&amp;$N681&amp;$O681,APOIO_REDES!$W:$W,0),MATCH(AF$5,APOIO_REDES!$5:$5,0)),0)</f>
        <v>1.41</v>
      </c>
      <c r="AG681" s="153" t="n">
        <f aca="false">IFERROR(INDEX(APOIO_REDES!$A:$W,MATCH($C681&amp;$I681&amp;$H681&amp;$N681&amp;$O681,APOIO_REDES!$W:$W,0),MATCH(AG$5,APOIO_REDES!$5:$5,0)),0)</f>
        <v>0.75</v>
      </c>
      <c r="AH681" s="153" t="n">
        <f aca="false">IFERROR(INDEX(APOIO_REDES!$A:$W,MATCH($C681&amp;$I681&amp;$H681&amp;$N681&amp;$O681,APOIO_REDES!$W:$W,0),MATCH(AH$5,APOIO_REDES!$5:$5,0)),0)</f>
        <v>0.1</v>
      </c>
      <c r="AI681" s="153" t="n">
        <f aca="false">IFERROR(IF($H681&lt;&gt;"",(((($H681/1000)/2)^2)*PI()*$M681),0),0)</f>
        <v>2.03161927439039</v>
      </c>
      <c r="AJ681" s="153" t="n">
        <f aca="false">IFERROR(IF(AND($H681&lt;&gt;"",$I681="FoFo",OR($N681="MND",$N681="VCA"),$Q681="LINEAR"),0,IF(AND($H681&lt;&gt;"",$I681="PEAD",$N681="VCA",$Q681="LINEAR"),($H681/1000)+0.3,IF(AND($H681&lt;&gt;"",$I681="PEAD",$N681="MND",$Q681="EMBOQUE"),0,IF(AND($H681&lt;&gt;"",$I681="PVC",$N681="VCA",$Q681="LINEAR"),($H681/1000)+0.2,IF(AND($H681&lt;&gt;"",$I681="PVC",$N681="MND",$Q681="EMBOQUE"),0,IF(AND($H681&lt;&gt;"",$I681="PEAD",$N681="VCA",$Q681="PREDIAL"),0,0)))))),0)</f>
        <v>0.41</v>
      </c>
      <c r="AK681" s="153" t="n">
        <f aca="false">IF(AA681&lt;&gt;"",AA681,0)</f>
        <v>2.1</v>
      </c>
      <c r="AL681" s="153" t="n">
        <f aca="false">IF(AND($N681="MND",$Q681="EMBOQUE"),$M681,IF(AND($N681="VCA",$Q681="LINEAR"),$M681,IF(AND($N681="VCA",$Q681="PREDIAL"),0,0)))</f>
        <v>213.78</v>
      </c>
      <c r="AM681" s="153" t="n">
        <f aca="false">IF(AND($N681="MND",$Q681="EMBOQUE"),$M681,IF(AND($N681="VCA",$Q681="LINEAR"),$M681,IF(AND($N681="VCA",$Q681="PREDIAL"),0,0)))</f>
        <v>213.78</v>
      </c>
      <c r="AN681" s="153" t="n">
        <f aca="false">ROUND(IF(AND($N681="VCA",$M681&lt;&gt;"",$Q681="LINEAR"),$M681/100,IF(AND($N681="MND",$M681&gt;100,$Q681="EMBOQUE"),$M681/100,0)),0)</f>
        <v>2</v>
      </c>
      <c r="AO681" s="153" t="n">
        <f aca="false">IF(AND($N681="MND",$Q681="EMBOQUE"),$AN681*2*2,IF(AND($N681="VCA",$Q681="LINEAR"),$M681*2,IF(AND($N681="VCA",$Q681="PREDIAL"),0,0)))</f>
        <v>427.56</v>
      </c>
      <c r="AP681" s="153" t="n">
        <f aca="false">IFERROR($M681*$AF681*$AG681,0)</f>
        <v>226.07235</v>
      </c>
      <c r="AQ681" s="153" t="n">
        <f aca="false">IFERROR(IF(AND($N681="VCA",$AH681&gt;0),$M681*$AG681*$AH681,0),0)</f>
        <v>16.0335</v>
      </c>
      <c r="AR681" s="153" t="n">
        <f aca="false">IFERROR(IF(AND($N681="VCA",$AJ681&gt;0),($M681*$AG681*$AJ681)-$AI681,0),0)</f>
        <v>63.7057307256096</v>
      </c>
      <c r="AS681" s="153" t="n">
        <f aca="false">IFERROR(IF(AND($N681="VCA",$AP681&gt;0),$AP681-$AI681-$AQ681-$AR681,0),0)</f>
        <v>144.3015</v>
      </c>
      <c r="AT681" s="153" t="n">
        <f aca="false">IFERROR(IF($N681="VCA",INDEX(APOIO_REDES!$A:$W,MATCH($C681&amp;$I681&amp;$H681&amp;$N681&amp;$O681,APOIO_REDES!$W:$W,0),MATCH(AT$5,APOIO_REDES!$5:$5,0)),0)*$AP681,0)</f>
        <v>2.45973408199998</v>
      </c>
      <c r="AU681" s="153" t="n">
        <f aca="false">IFERROR(IF($N681="VCA",INDEX(APOIO_REDES!$A:$W,MATCH($C681&amp;$I681&amp;$H681&amp;$N681&amp;$O681,APOIO_REDES!$W:$W,0),MATCH(AU$5,APOIO_REDES!$5:$5,0)),0)*$AP681,0)</f>
        <v>1.96427701983771</v>
      </c>
      <c r="AV681" s="153" t="n">
        <f aca="false">IFERROR(IF($N681="VCA",INDEX(APOIO_REDES!$A:$W,MATCH($C681&amp;$I681&amp;$H681&amp;$N681&amp;$O681,APOIO_REDES!$W:$W,0),MATCH(AV$5,APOIO_REDES!$5:$5,0)),0)*$AP681,0)</f>
        <v>0.271840519366338</v>
      </c>
      <c r="AW681" s="153" t="n">
        <f aca="false">IFERROR(IF($N681="VCA",INDEX(APOIO_REDES!$A:$W,MATCH($C681&amp;$I681&amp;$H681&amp;$N681&amp;$O681,APOIO_REDES!$W:$W,0),MATCH(AW$5,APOIO_REDES!$5:$5,0)),0)*$AP681,0)</f>
        <v>155.177812734046</v>
      </c>
      <c r="AX681" s="153" t="n">
        <f aca="false">IFERROR(IF($N681="VCA",INDEX(APOIO_REDES!$A:$W,MATCH($C681&amp;$I681&amp;$H681&amp;$N681&amp;$O681,APOIO_REDES!$W:$W,0),MATCH(AX$5,APOIO_REDES!$5:$5,0)),0)*$AP681,0)</f>
        <v>21.4761672500252</v>
      </c>
      <c r="AY681" s="153" t="n">
        <f aca="false">IFERROR(IF($N681="VCA",INDEX(APOIO_REDES!$A:$W,MATCH($C681&amp;$I681&amp;$H681&amp;$N681&amp;$O681,APOIO_REDES!$W:$W,0),MATCH(AY$5,APOIO_REDES!$5:$5,0)),0)*$AP681,0)</f>
        <v>39.2855164523766</v>
      </c>
      <c r="AZ681" s="153" t="n">
        <f aca="false">IFERROR(IF($N681="VCA",INDEX(APOIO_REDES!$A:$W,MATCH($C681&amp;$I681&amp;$H681&amp;$N681&amp;$O681,APOIO_REDES!$W:$W,0),MATCH(AZ$5,APOIO_REDES!$5:$5,0)),0)*$AP681,0)</f>
        <v>5.43700194234789</v>
      </c>
      <c r="BA681" s="153" t="n">
        <f aca="false">IFERROR(IF(AND($N681="VCA",$Q681="LINEAR"),INDEX(APOIO_REDES!$A:$W,MATCH($C681&amp;$I681&amp;$H681&amp;$N681&amp;$O681,APOIO_REDES!$W:$W,0),MATCH(BA$5,APOIO_REDES!$5:$5,0)),IF(AND($N681="MND",$Q681="EMBOQUE"),INDEX(APOIO_REDES!$A:$W,MATCH($C681&amp;$I681&amp;$H681&amp;$N681&amp;$O681,APOIO_REDES!$W:$W,0),MATCH(BA$5,APOIO_REDES!$5:$5,0)),0))*$M681/10,0)</f>
        <v>17.2301287570054</v>
      </c>
      <c r="BB681" s="153" t="n">
        <f aca="false">IFERROR(IF($N681="VCA",INDEX(APOIO_REDES!$A:$W,MATCH($C681&amp;$I681&amp;$H681&amp;$N681&amp;$O681,APOIO_REDES!$W:$W,0),MATCH(BB$5,APOIO_REDES!$5:$5,0)),0)*($AI681+$AQ681+$AR681),0)</f>
        <v>80.8811589490639</v>
      </c>
      <c r="BC681" s="153" t="n">
        <f aca="false">IFERROR(IF($N681="VCA",INDEX(APOIO_REDES!$A:$W,MATCH($C681&amp;$I681&amp;$H681&amp;$N681&amp;$O681,APOIO_REDES!$W:$W,0),MATCH(BC$5,APOIO_REDES!$5:$5,0)),0)*($AI681+$AQ681+$AR681),0)</f>
        <v>0.889691050936164</v>
      </c>
      <c r="BD681" s="153" t="n">
        <f aca="false">IF(AND($N681="VCA",$AF681&gt;=1.25,$AF681&lt;1.5),$M681*$AF681*2,0)</f>
        <v>602.8596</v>
      </c>
      <c r="BE681" s="153" t="n">
        <f aca="false">IF(AND($N681="VCA",$AF681&gt;=1.5,$AF681&lt;3),$M681*$AF681*2,0)</f>
        <v>0</v>
      </c>
      <c r="BF681" s="153" t="n">
        <f aca="false">IF(AND($N681="VCA",$AF681&gt;=3),$M681*$AF681*2,0)</f>
        <v>0</v>
      </c>
      <c r="BG681" s="153" t="n">
        <f aca="false">($BB681+$BC681)*$AK681</f>
        <v>171.718785</v>
      </c>
      <c r="BH681" s="153" t="n">
        <f aca="false">IF(AND($M681&lt;&gt;"",$N681="VCA",$Q681="LINEAR"),($M681*2)/100,IF(AND($M681&lt;&gt;"",$N681="MND",$Q681="EMBOQUE"),($AN681*2)/100,0))</f>
        <v>4.2756</v>
      </c>
      <c r="BI681" s="153" t="n">
        <f aca="false">IF(AND($M681&lt;&gt;"",$N681="VCA",$Q681="LINEAR"),$M681,IF(AND($M681&lt;&gt;"",$N681="MND",$Q681="EMBOQUE"),$AN681*2,0))</f>
        <v>213.78</v>
      </c>
      <c r="BJ681" s="153" t="n">
        <f aca="false">IF(AND($M681&lt;&gt;"",$N681="VCA",$Q681="LINEAR"),($M681*6.8)/100,IF(AND($M681&lt;&gt;"",$N681="MND",$Q681="EMBOQUE"),($AN681*2*6.8)/100,0))</f>
        <v>14.53704</v>
      </c>
      <c r="BK681" s="153" t="n">
        <f aca="false">IF(AND($M681&lt;&gt;"",$N681="VCA",$Q681="LINEAR"),($M681*2.5)/50,IF(AND($M681&lt;&gt;"",$N681="MND",$Q681="EMBOQUE"),($AN681*2*2.5)/50,0))</f>
        <v>10.689</v>
      </c>
      <c r="BL681" s="157" t="str">
        <f aca="false">K681&amp;J681</f>
        <v>Zona06REDES</v>
      </c>
      <c r="BM681" s="152" t="s">
        <v>3790</v>
      </c>
      <c r="BN681" s="152" t="s">
        <v>1560</v>
      </c>
      <c r="BO681" s="152" t="s">
        <v>4097</v>
      </c>
      <c r="BP681" s="152" t="s">
        <v>3984</v>
      </c>
      <c r="BQ681" s="152" t="s">
        <v>4136</v>
      </c>
      <c r="BR681" s="152" t="s">
        <v>4137</v>
      </c>
      <c r="BS681" s="152" t="n">
        <v>203957.464</v>
      </c>
      <c r="BT681" s="152" t="n">
        <v>8237080.722</v>
      </c>
      <c r="BU681" s="152" t="n">
        <v>203788.452</v>
      </c>
      <c r="BV681" s="152" t="n">
        <v>8236952.135</v>
      </c>
      <c r="BW681" s="152" t="n">
        <v>-15.9285057</v>
      </c>
      <c r="BX681" s="152" t="n">
        <v>-47.7658118</v>
      </c>
      <c r="BY681" s="152" t="s">
        <v>3984</v>
      </c>
    </row>
    <row r="682" customFormat="false" ht="13.8" hidden="false" customHeight="false" outlineLevel="0" collapsed="false">
      <c r="A682" s="149" t="n">
        <f aca="false">IF(C682&lt;&gt;"",ROW(A677),"")</f>
        <v>677</v>
      </c>
      <c r="B682" s="150" t="str">
        <f aca="false">HYPERLINK("https://www.google.com/maps/dir/-15.917302,-47.760003/-15.9284330,-47.7631716/data=!4m3!4m2!3e0!5i2")</f>
        <v>https://www.google.com/maps/dir/-15.917302,-47.760003/-15.9284330,-47.7631716/data=!4m3!4m2!3e0!5i2</v>
      </c>
      <c r="C682" s="151" t="s">
        <v>117</v>
      </c>
      <c r="D682" s="152" t="s">
        <v>112</v>
      </c>
      <c r="E682" s="152" t="s">
        <v>113</v>
      </c>
      <c r="F682" s="152" t="s">
        <v>117</v>
      </c>
      <c r="G682" s="152" t="s">
        <v>782</v>
      </c>
      <c r="H682" s="152" t="n">
        <v>110</v>
      </c>
      <c r="I682" s="152" t="s">
        <v>115</v>
      </c>
      <c r="J682" s="152" t="s">
        <v>6</v>
      </c>
      <c r="K682" s="152" t="s">
        <v>3786</v>
      </c>
      <c r="L682" s="152" t="s">
        <v>120</v>
      </c>
      <c r="M682" s="153" t="n">
        <f aca="false">120.85</f>
        <v>120.85</v>
      </c>
      <c r="N682" s="152" t="s">
        <v>1548</v>
      </c>
      <c r="O682" s="152" t="s">
        <v>1549</v>
      </c>
      <c r="P682" s="152" t="s">
        <v>1550</v>
      </c>
      <c r="Q682" s="152" t="s">
        <v>1551</v>
      </c>
      <c r="R682" s="154" t="s">
        <v>4138</v>
      </c>
      <c r="S682" s="154" t="s">
        <v>1593</v>
      </c>
      <c r="T682" s="155" t="s">
        <v>4095</v>
      </c>
      <c r="U682" s="152" t="str">
        <f aca="false">RIGHT(T682,7)</f>
        <v>016/037</v>
      </c>
      <c r="V682" s="152" t="s">
        <v>1555</v>
      </c>
      <c r="W682" s="156" t="n">
        <v>45882</v>
      </c>
      <c r="X682" s="152" t="s">
        <v>3938</v>
      </c>
      <c r="Y682" s="152"/>
      <c r="Z682" s="152" t="s">
        <v>1557</v>
      </c>
      <c r="AA682" s="153" t="n">
        <v>2.1</v>
      </c>
      <c r="AB682" s="151" t="s">
        <v>4139</v>
      </c>
      <c r="AC682" s="151" t="s">
        <v>502</v>
      </c>
      <c r="AD682" s="151" t="str">
        <f aca="false">CONCATENATE($C682,$I682,$H682,$N682,$J682,$K682)</f>
        <v>TUBO PEADPEAD110VCAREDESZona06</v>
      </c>
      <c r="AE682" s="153" t="n">
        <f aca="false">IFERROR(INDEX(APOIO_REDES!$A:$W,MATCH($C682&amp;$I682&amp;$H682&amp;$N682&amp;$O682,APOIO_REDES!$W:$W,0),MATCH(AE$5,APOIO_REDES!$5:$5,0)),0)</f>
        <v>1.2</v>
      </c>
      <c r="AF682" s="153" t="n">
        <f aca="false">IFERROR(INDEX(APOIO_REDES!$A:$W,MATCH($C682&amp;$I682&amp;$H682&amp;$N682&amp;$O682,APOIO_REDES!$W:$W,0),MATCH(AF$5,APOIO_REDES!$5:$5,0)),0)</f>
        <v>1.41</v>
      </c>
      <c r="AG682" s="153" t="n">
        <f aca="false">IFERROR(INDEX(APOIO_REDES!$A:$W,MATCH($C682&amp;$I682&amp;$H682&amp;$N682&amp;$O682,APOIO_REDES!$W:$W,0),MATCH(AG$5,APOIO_REDES!$5:$5,0)),0)</f>
        <v>0.75</v>
      </c>
      <c r="AH682" s="153" t="n">
        <f aca="false">IFERROR(INDEX(APOIO_REDES!$A:$W,MATCH($C682&amp;$I682&amp;$H682&amp;$N682&amp;$O682,APOIO_REDES!$W:$W,0),MATCH(AH$5,APOIO_REDES!$5:$5,0)),0)</f>
        <v>0.1</v>
      </c>
      <c r="AI682" s="153" t="n">
        <f aca="false">IFERROR(IF($H682&lt;&gt;"",(((($H682/1000)/2)^2)*PI()*$M682),0),0)</f>
        <v>1.14847595336364</v>
      </c>
      <c r="AJ682" s="153" t="n">
        <f aca="false">IFERROR(IF(AND($H682&lt;&gt;"",$I682="FoFo",OR($N682="MND",$N682="VCA"),$Q682="LINEAR"),0,IF(AND($H682&lt;&gt;"",$I682="PEAD",$N682="VCA",$Q682="LINEAR"),($H682/1000)+0.3,IF(AND($H682&lt;&gt;"",$I682="PEAD",$N682="MND",$Q682="EMBOQUE"),0,IF(AND($H682&lt;&gt;"",$I682="PVC",$N682="VCA",$Q682="LINEAR"),($H682/1000)+0.2,IF(AND($H682&lt;&gt;"",$I682="PVC",$N682="MND",$Q682="EMBOQUE"),0,IF(AND($H682&lt;&gt;"",$I682="PEAD",$N682="VCA",$Q682="PREDIAL"),0,0)))))),0)</f>
        <v>0.41</v>
      </c>
      <c r="AK682" s="153" t="n">
        <f aca="false">IF(AA682&lt;&gt;"",AA682,0)</f>
        <v>2.1</v>
      </c>
      <c r="AL682" s="153" t="n">
        <f aca="false">IF(AND($N682="MND",$Q682="EMBOQUE"),$M682,IF(AND($N682="VCA",$Q682="LINEAR"),$M682,IF(AND($N682="VCA",$Q682="PREDIAL"),0,0)))</f>
        <v>120.85</v>
      </c>
      <c r="AM682" s="153" t="n">
        <f aca="false">IF(AND($N682="MND",$Q682="EMBOQUE"),$M682,IF(AND($N682="VCA",$Q682="LINEAR"),$M682,IF(AND($N682="VCA",$Q682="PREDIAL"),0,0)))</f>
        <v>120.85</v>
      </c>
      <c r="AN682" s="153" t="n">
        <f aca="false">ROUND(IF(AND($N682="VCA",$M682&lt;&gt;"",$Q682="LINEAR"),$M682/100,IF(AND($N682="MND",$M682&gt;100,$Q682="EMBOQUE"),$M682/100,0)),0)</f>
        <v>1</v>
      </c>
      <c r="AO682" s="153" t="n">
        <f aca="false">IF(AND($N682="MND",$Q682="EMBOQUE"),$AN682*2*2,IF(AND($N682="VCA",$Q682="LINEAR"),$M682*2,IF(AND($N682="VCA",$Q682="PREDIAL"),0,0)))</f>
        <v>241.7</v>
      </c>
      <c r="AP682" s="153" t="n">
        <f aca="false">IFERROR($M682*$AF682*$AG682,0)</f>
        <v>127.798875</v>
      </c>
      <c r="AQ682" s="153" t="n">
        <f aca="false">IFERROR(IF(AND($N682="VCA",$AH682&gt;0),$M682*$AG682*$AH682,0),0)</f>
        <v>9.06375</v>
      </c>
      <c r="AR682" s="153" t="n">
        <f aca="false">IFERROR(IF(AND($N682="VCA",$AJ682&gt;0),($M682*$AG682*$AJ682)-$AI682,0),0)</f>
        <v>36.0128990466364</v>
      </c>
      <c r="AS682" s="153" t="n">
        <f aca="false">IFERROR(IF(AND($N682="VCA",$AP682&gt;0),$AP682-$AI682-$AQ682-$AR682,0),0)</f>
        <v>81.57375</v>
      </c>
      <c r="AT682" s="153" t="n">
        <f aca="false">IFERROR(IF($N682="VCA",INDEX(APOIO_REDES!$A:$W,MATCH($C682&amp;$I682&amp;$H682&amp;$N682&amp;$O682,APOIO_REDES!$W:$W,0),MATCH(AT$5,APOIO_REDES!$5:$5,0)),0)*$AP682,0)</f>
        <v>1.39048958653615</v>
      </c>
      <c r="AU682" s="153" t="n">
        <f aca="false">IFERROR(IF($N682="VCA",INDEX(APOIO_REDES!$A:$W,MATCH($C682&amp;$I682&amp;$H682&amp;$N682&amp;$O682,APOIO_REDES!$W:$W,0),MATCH(AU$5,APOIO_REDES!$5:$5,0)),0)*$AP682,0)</f>
        <v>1.1104073245738</v>
      </c>
      <c r="AV682" s="153" t="n">
        <f aca="false">IFERROR(IF($N682="VCA",INDEX(APOIO_REDES!$A:$W,MATCH($C682&amp;$I682&amp;$H682&amp;$N682&amp;$O682,APOIO_REDES!$W:$W,0),MATCH(AV$5,APOIO_REDES!$5:$5,0)),0)*$AP682,0)</f>
        <v>0.153671656681738</v>
      </c>
      <c r="AW682" s="153" t="n">
        <f aca="false">IFERROR(IF($N682="VCA",INDEX(APOIO_REDES!$A:$W,MATCH($C682&amp;$I682&amp;$H682&amp;$N682&amp;$O682,APOIO_REDES!$W:$W,0),MATCH(AW$5,APOIO_REDES!$5:$5,0)),0)*$AP682,0)</f>
        <v>87.7221380340045</v>
      </c>
      <c r="AX682" s="153" t="n">
        <f aca="false">IFERROR(IF($N682="VCA",INDEX(APOIO_REDES!$A:$W,MATCH($C682&amp;$I682&amp;$H682&amp;$N682&amp;$O682,APOIO_REDES!$W:$W,0),MATCH(AX$5,APOIO_REDES!$5:$5,0)),0)*$AP682,0)</f>
        <v>12.1404940226661</v>
      </c>
      <c r="AY682" s="153" t="n">
        <f aca="false">IFERROR(IF($N682="VCA",INDEX(APOIO_REDES!$A:$W,MATCH($C682&amp;$I682&amp;$H682&amp;$N682&amp;$O682,APOIO_REDES!$W:$W,0),MATCH(AY$5,APOIO_REDES!$5:$5,0)),0)*$AP682,0)</f>
        <v>22.2081329557008</v>
      </c>
      <c r="AZ682" s="153" t="n">
        <f aca="false">IFERROR(IF($N682="VCA",INDEX(APOIO_REDES!$A:$W,MATCH($C682&amp;$I682&amp;$H682&amp;$N682&amp;$O682,APOIO_REDES!$W:$W,0),MATCH(AZ$5,APOIO_REDES!$5:$5,0)),0)*$AP682,0)</f>
        <v>3.07354141983695</v>
      </c>
      <c r="BA682" s="153" t="n">
        <f aca="false">IFERROR(IF(AND($N682="VCA",$Q682="LINEAR"),INDEX(APOIO_REDES!$A:$W,MATCH($C682&amp;$I682&amp;$H682&amp;$N682&amp;$O682,APOIO_REDES!$W:$W,0),MATCH(BA$5,APOIO_REDES!$5:$5,0)),IF(AND($N682="MND",$Q682="EMBOQUE"),INDEX(APOIO_REDES!$A:$W,MATCH($C682&amp;$I682&amp;$H682&amp;$N682&amp;$O682,APOIO_REDES!$W:$W,0),MATCH(BA$5,APOIO_REDES!$5:$5,0)),0))*$M682/10,0)</f>
        <v>9.74020516551645</v>
      </c>
      <c r="BB682" s="153" t="n">
        <f aca="false">IFERROR(IF($N682="VCA",INDEX(APOIO_REDES!$A:$W,MATCH($C682&amp;$I682&amp;$H682&amp;$N682&amp;$O682,APOIO_REDES!$W:$W,0),MATCH(BB$5,APOIO_REDES!$5:$5,0)),0)*($AI682+$AQ682+$AR682),0)</f>
        <v>45.7221819580614</v>
      </c>
      <c r="BC682" s="153" t="n">
        <f aca="false">IFERROR(IF($N682="VCA",INDEX(APOIO_REDES!$A:$W,MATCH($C682&amp;$I682&amp;$H682&amp;$N682&amp;$O682,APOIO_REDES!$W:$W,0),MATCH(BC$5,APOIO_REDES!$5:$5,0)),0)*($AI682+$AQ682+$AR682),0)</f>
        <v>0.502943041938607</v>
      </c>
      <c r="BD682" s="153" t="n">
        <f aca="false">IF(AND($N682="VCA",$AF682&gt;=1.25,$AF682&lt;1.5),$M682*$AF682*2,0)</f>
        <v>340.797</v>
      </c>
      <c r="BE682" s="153" t="n">
        <f aca="false">IF(AND($N682="VCA",$AF682&gt;=1.5,$AF682&lt;3),$M682*$AF682*2,0)</f>
        <v>0</v>
      </c>
      <c r="BF682" s="153" t="n">
        <f aca="false">IF(AND($N682="VCA",$AF682&gt;=3),$M682*$AF682*2,0)</f>
        <v>0</v>
      </c>
      <c r="BG682" s="153" t="n">
        <f aca="false">($BB682+$BC682)*$AK682</f>
        <v>97.0727625</v>
      </c>
      <c r="BH682" s="153" t="n">
        <f aca="false">IF(AND($M682&lt;&gt;"",$N682="VCA",$Q682="LINEAR"),($M682*2)/100,IF(AND($M682&lt;&gt;"",$N682="MND",$Q682="EMBOQUE"),($AN682*2)/100,0))</f>
        <v>2.417</v>
      </c>
      <c r="BI682" s="153" t="n">
        <f aca="false">IF(AND($M682&lt;&gt;"",$N682="VCA",$Q682="LINEAR"),$M682,IF(AND($M682&lt;&gt;"",$N682="MND",$Q682="EMBOQUE"),$AN682*2,0))</f>
        <v>120.85</v>
      </c>
      <c r="BJ682" s="153" t="n">
        <f aca="false">IF(AND($M682&lt;&gt;"",$N682="VCA",$Q682="LINEAR"),($M682*6.8)/100,IF(AND($M682&lt;&gt;"",$N682="MND",$Q682="EMBOQUE"),($AN682*2*6.8)/100,0))</f>
        <v>8.2178</v>
      </c>
      <c r="BK682" s="153" t="n">
        <f aca="false">IF(AND($M682&lt;&gt;"",$N682="VCA",$Q682="LINEAR"),($M682*2.5)/50,IF(AND($M682&lt;&gt;"",$N682="MND",$Q682="EMBOQUE"),($AN682*2*2.5)/50,0))</f>
        <v>6.0425</v>
      </c>
      <c r="BL682" s="157" t="str">
        <f aca="false">K682&amp;J682</f>
        <v>Zona06REDES</v>
      </c>
      <c r="BM682" s="152" t="s">
        <v>3790</v>
      </c>
      <c r="BN682" s="152" t="s">
        <v>1560</v>
      </c>
      <c r="BO682" s="152" t="s">
        <v>4097</v>
      </c>
      <c r="BP682" s="152" t="s">
        <v>4124</v>
      </c>
      <c r="BQ682" s="152" t="s">
        <v>4120</v>
      </c>
      <c r="BR682" s="152" t="s">
        <v>4140</v>
      </c>
      <c r="BS682" s="152" t="n">
        <v>204160.858</v>
      </c>
      <c r="BT682" s="152" t="n">
        <v>8237022.116</v>
      </c>
      <c r="BU682" s="152" t="n">
        <v>204277.988</v>
      </c>
      <c r="BV682" s="152" t="n">
        <v>8236992.468</v>
      </c>
      <c r="BW682" s="152" t="n">
        <v>-15.9285744</v>
      </c>
      <c r="BX682" s="152" t="n">
        <v>-47.7626271</v>
      </c>
      <c r="BY682" s="152" t="s">
        <v>4124</v>
      </c>
    </row>
    <row r="683" customFormat="false" ht="13.8" hidden="false" customHeight="false" outlineLevel="0" collapsed="false">
      <c r="A683" s="149" t="n">
        <f aca="false">IF(C683&lt;&gt;"",ROW(A678),"")</f>
        <v>678</v>
      </c>
      <c r="B683" s="150" t="str">
        <f aca="false">HYPERLINK("https://www.google.com/maps/dir/-15.917302,-47.760003/-15.9285686,-47.7627531/data=!4m3!4m2!3e0!5i2")</f>
        <v>https://www.google.com/maps/dir/-15.917302,-47.760003/-15.9285686,-47.7627531/data=!4m3!4m2!3e0!5i2</v>
      </c>
      <c r="C683" s="151" t="s">
        <v>117</v>
      </c>
      <c r="D683" s="152" t="s">
        <v>112</v>
      </c>
      <c r="E683" s="152" t="s">
        <v>113</v>
      </c>
      <c r="F683" s="152" t="s">
        <v>117</v>
      </c>
      <c r="G683" s="152" t="s">
        <v>782</v>
      </c>
      <c r="H683" s="152" t="n">
        <v>63</v>
      </c>
      <c r="I683" s="152" t="s">
        <v>115</v>
      </c>
      <c r="J683" s="152" t="s">
        <v>6</v>
      </c>
      <c r="K683" s="152" t="s">
        <v>3786</v>
      </c>
      <c r="L683" s="152" t="s">
        <v>120</v>
      </c>
      <c r="M683" s="153" t="n">
        <f aca="false">21.61</f>
        <v>21.61</v>
      </c>
      <c r="N683" s="152" t="s">
        <v>1548</v>
      </c>
      <c r="O683" s="152" t="s">
        <v>1549</v>
      </c>
      <c r="P683" s="152" t="s">
        <v>1550</v>
      </c>
      <c r="Q683" s="152" t="s">
        <v>1551</v>
      </c>
      <c r="R683" s="154" t="s">
        <v>4141</v>
      </c>
      <c r="S683" s="154" t="s">
        <v>1553</v>
      </c>
      <c r="T683" s="155" t="s">
        <v>4095</v>
      </c>
      <c r="U683" s="152" t="str">
        <f aca="false">RIGHT(T683,7)</f>
        <v>016/037</v>
      </c>
      <c r="V683" s="152" t="s">
        <v>1555</v>
      </c>
      <c r="W683" s="156" t="n">
        <v>45882</v>
      </c>
      <c r="X683" s="152" t="s">
        <v>3938</v>
      </c>
      <c r="Y683" s="152"/>
      <c r="Z683" s="152" t="s">
        <v>1557</v>
      </c>
      <c r="AA683" s="153" t="n">
        <v>2.1</v>
      </c>
      <c r="AB683" s="151" t="s">
        <v>4142</v>
      </c>
      <c r="AC683" s="151" t="s">
        <v>186</v>
      </c>
      <c r="AD683" s="151" t="str">
        <f aca="false">CONCATENATE($C683,$I683,$H683,$N683,$J683,$K683)</f>
        <v>TUBO PEADPEAD63VCAREDESZona06</v>
      </c>
      <c r="AE683" s="153" t="n">
        <f aca="false">IFERROR(INDEX(APOIO_REDES!$A:$W,MATCH($C683&amp;$I683&amp;$H683&amp;$N683&amp;$O683,APOIO_REDES!$W:$W,0),MATCH(AE$5,APOIO_REDES!$5:$5,0)),0)</f>
        <v>1.2</v>
      </c>
      <c r="AF683" s="153" t="n">
        <f aca="false">IFERROR(INDEX(APOIO_REDES!$A:$W,MATCH($C683&amp;$I683&amp;$H683&amp;$N683&amp;$O683,APOIO_REDES!$W:$W,0),MATCH(AF$5,APOIO_REDES!$5:$5,0)),0)</f>
        <v>1.363</v>
      </c>
      <c r="AG683" s="153" t="n">
        <f aca="false">IFERROR(INDEX(APOIO_REDES!$A:$W,MATCH($C683&amp;$I683&amp;$H683&amp;$N683&amp;$O683,APOIO_REDES!$W:$W,0),MATCH(AG$5,APOIO_REDES!$5:$5,0)),0)</f>
        <v>0.65</v>
      </c>
      <c r="AH683" s="153" t="n">
        <f aca="false">IFERROR(INDEX(APOIO_REDES!$A:$W,MATCH($C683&amp;$I683&amp;$H683&amp;$N683&amp;$O683,APOIO_REDES!$W:$W,0),MATCH(AH$5,APOIO_REDES!$5:$5,0)),0)</f>
        <v>0.1</v>
      </c>
      <c r="AI683" s="153" t="n">
        <f aca="false">IFERROR(IF($H683&lt;&gt;"",(((($H683/1000)/2)^2)*PI()*$M683),0),0)</f>
        <v>0.0673636711604339</v>
      </c>
      <c r="AJ683" s="153" t="n">
        <f aca="false">IFERROR(IF(AND($H683&lt;&gt;"",$I683="FoFo",OR($N683="MND",$N683="VCA"),$Q683="LINEAR"),0,IF(AND($H683&lt;&gt;"",$I683="PEAD",$N683="VCA",$Q683="LINEAR"),($H683/1000)+0.3,IF(AND($H683&lt;&gt;"",$I683="PEAD",$N683="MND",$Q683="EMBOQUE"),0,IF(AND($H683&lt;&gt;"",$I683="PVC",$N683="VCA",$Q683="LINEAR"),($H683/1000)+0.2,IF(AND($H683&lt;&gt;"",$I683="PVC",$N683="MND",$Q683="EMBOQUE"),0,IF(AND($H683&lt;&gt;"",$I683="PEAD",$N683="VCA",$Q683="PREDIAL"),0,0)))))),0)</f>
        <v>0.363</v>
      </c>
      <c r="AK683" s="153" t="n">
        <f aca="false">IF(AA683&lt;&gt;"",AA683,0)</f>
        <v>2.1</v>
      </c>
      <c r="AL683" s="153" t="n">
        <f aca="false">IF(AND($N683="MND",$Q683="EMBOQUE"),$M683,IF(AND($N683="VCA",$Q683="LINEAR"),$M683,IF(AND($N683="VCA",$Q683="PREDIAL"),0,0)))</f>
        <v>21.61</v>
      </c>
      <c r="AM683" s="153" t="n">
        <f aca="false">IF(AND($N683="MND",$Q683="EMBOQUE"),$M683,IF(AND($N683="VCA",$Q683="LINEAR"),$M683,IF(AND($N683="VCA",$Q683="PREDIAL"),0,0)))</f>
        <v>21.61</v>
      </c>
      <c r="AN683" s="153" t="n">
        <f aca="false">ROUND(IF(AND($N683="VCA",$M683&lt;&gt;"",$Q683="LINEAR"),$M683/100,IF(AND($N683="MND",$M683&gt;100,$Q683="EMBOQUE"),$M683/100,0)),0)</f>
        <v>0</v>
      </c>
      <c r="AO683" s="153" t="n">
        <f aca="false">IF(AND($N683="MND",$Q683="EMBOQUE"),$AN683*2*2,IF(AND($N683="VCA",$Q683="LINEAR"),$M683*2,IF(AND($N683="VCA",$Q683="PREDIAL"),0,0)))</f>
        <v>43.22</v>
      </c>
      <c r="AP683" s="153" t="n">
        <f aca="false">IFERROR($M683*$AF683*$AG683,0)</f>
        <v>19.1453795</v>
      </c>
      <c r="AQ683" s="153" t="n">
        <f aca="false">IFERROR(IF(AND($N683="VCA",$AH683&gt;0),$M683*$AG683*$AH683,0),0)</f>
        <v>1.40465</v>
      </c>
      <c r="AR683" s="153" t="n">
        <f aca="false">IFERROR(IF(AND($N683="VCA",$AJ683&gt;0),($M683*$AG683*$AJ683)-$AI683,0),0)</f>
        <v>5.03151582883957</v>
      </c>
      <c r="AS683" s="153" t="n">
        <f aca="false">IFERROR(IF(AND($N683="VCA",$AP683&gt;0),$AP683-$AI683-$AQ683-$AR683,0),0)</f>
        <v>12.64185</v>
      </c>
      <c r="AT683" s="153" t="n">
        <f aca="false">IFERROR(IF($N683="VCA",INDEX(APOIO_REDES!$A:$W,MATCH($C683&amp;$I683&amp;$H683&amp;$N683&amp;$O683,APOIO_REDES!$W:$W,0),MATCH(AT$5,APOIO_REDES!$5:$5,0)),0)*$AP683,0)</f>
        <v>0.208307395703074</v>
      </c>
      <c r="AU683" s="153" t="n">
        <f aca="false">IFERROR(IF($N683="VCA",INDEX(APOIO_REDES!$A:$W,MATCH($C683&amp;$I683&amp;$H683&amp;$N683&amp;$O683,APOIO_REDES!$W:$W,0),MATCH(AU$5,APOIO_REDES!$5:$5,0)),0)*$AP683,0)</f>
        <v>0.166348644528718</v>
      </c>
      <c r="AV683" s="153" t="n">
        <f aca="false">IFERROR(IF($N683="VCA",INDEX(APOIO_REDES!$A:$W,MATCH($C683&amp;$I683&amp;$H683&amp;$N683&amp;$O683,APOIO_REDES!$W:$W,0),MATCH(AV$5,APOIO_REDES!$5:$5,0)),0)*$AP683,0)</f>
        <v>0.0230213465147137</v>
      </c>
      <c r="AW683" s="153" t="n">
        <f aca="false">IFERROR(IF($N683="VCA",INDEX(APOIO_REDES!$A:$W,MATCH($C683&amp;$I683&amp;$H683&amp;$N683&amp;$O683,APOIO_REDES!$W:$W,0),MATCH(AW$5,APOIO_REDES!$5:$5,0)),0)*$AP683,0)</f>
        <v>13.1415368344393</v>
      </c>
      <c r="AX683" s="153" t="n">
        <f aca="false">IFERROR(IF($N683="VCA",INDEX(APOIO_REDES!$A:$W,MATCH($C683&amp;$I683&amp;$H683&amp;$N683&amp;$O683,APOIO_REDES!$W:$W,0),MATCH(AX$5,APOIO_REDES!$5:$5,0)),0)*$AP683,0)</f>
        <v>1.81875126351013</v>
      </c>
      <c r="AY683" s="153" t="n">
        <f aca="false">IFERROR(IF($N683="VCA",INDEX(APOIO_REDES!$A:$W,MATCH($C683&amp;$I683&amp;$H683&amp;$N683&amp;$O683,APOIO_REDES!$W:$W,0),MATCH(AY$5,APOIO_REDES!$5:$5,0)),0)*$AP683,0)</f>
        <v>3.32697086279788</v>
      </c>
      <c r="AZ683" s="153" t="n">
        <f aca="false">IFERROR(IF($N683="VCA",INDEX(APOIO_REDES!$A:$W,MATCH($C683&amp;$I683&amp;$H683&amp;$N683&amp;$O683,APOIO_REDES!$W:$W,0),MATCH(AZ$5,APOIO_REDES!$5:$5,0)),0)*$AP683,0)</f>
        <v>0.460443152506211</v>
      </c>
      <c r="BA683" s="153" t="n">
        <f aca="false">IFERROR(IF(AND($N683="VCA",$Q683="LINEAR"),INDEX(APOIO_REDES!$A:$W,MATCH($C683&amp;$I683&amp;$H683&amp;$N683&amp;$O683,APOIO_REDES!$W:$W,0),MATCH(BA$5,APOIO_REDES!$5:$5,0)),IF(AND($N683="MND",$Q683="EMBOQUE"),INDEX(APOIO_REDES!$A:$W,MATCH($C683&amp;$I683&amp;$H683&amp;$N683&amp;$O683,APOIO_REDES!$W:$W,0),MATCH(BA$5,APOIO_REDES!$5:$5,0)),0))*$M683/10,0)</f>
        <v>1.74171149049905</v>
      </c>
      <c r="BB683" s="153" t="n">
        <f aca="false">IFERROR(IF($N683="VCA",INDEX(APOIO_REDES!$A:$W,MATCH($C683&amp;$I683&amp;$H683&amp;$N683&amp;$O683,APOIO_REDES!$W:$W,0),MATCH(BB$5,APOIO_REDES!$5:$5,0)),0)*($AI683+$AQ683+$AR683),0)</f>
        <v>6.43276917409353</v>
      </c>
      <c r="BC683" s="153" t="n">
        <f aca="false">IFERROR(IF($N683="VCA",INDEX(APOIO_REDES!$A:$W,MATCH($C683&amp;$I683&amp;$H683&amp;$N683&amp;$O683,APOIO_REDES!$W:$W,0),MATCH(BC$5,APOIO_REDES!$5:$5,0)),0)*($AI683+$AQ683+$AR683),0)</f>
        <v>0.0707603259064733</v>
      </c>
      <c r="BD683" s="153" t="n">
        <f aca="false">IF(AND($N683="VCA",$AF683&gt;=1.25,$AF683&lt;1.5),$M683*$AF683*2,0)</f>
        <v>58.90886</v>
      </c>
      <c r="BE683" s="153" t="n">
        <f aca="false">IF(AND($N683="VCA",$AF683&gt;=1.5,$AF683&lt;3),$M683*$AF683*2,0)</f>
        <v>0</v>
      </c>
      <c r="BF683" s="153" t="n">
        <f aca="false">IF(AND($N683="VCA",$AF683&gt;=3),$M683*$AF683*2,0)</f>
        <v>0</v>
      </c>
      <c r="BG683" s="153" t="n">
        <f aca="false">($BB683+$BC683)*$AK683</f>
        <v>13.65741195</v>
      </c>
      <c r="BH683" s="153" t="n">
        <f aca="false">IF(AND($M683&lt;&gt;"",$N683="VCA",$Q683="LINEAR"),($M683*2)/100,IF(AND($M683&lt;&gt;"",$N683="MND",$Q683="EMBOQUE"),($AN683*2)/100,0))</f>
        <v>0.4322</v>
      </c>
      <c r="BI683" s="153" t="n">
        <f aca="false">IF(AND($M683&lt;&gt;"",$N683="VCA",$Q683="LINEAR"),$M683,IF(AND($M683&lt;&gt;"",$N683="MND",$Q683="EMBOQUE"),$AN683*2,0))</f>
        <v>21.61</v>
      </c>
      <c r="BJ683" s="153" t="n">
        <f aca="false">IF(AND($M683&lt;&gt;"",$N683="VCA",$Q683="LINEAR"),($M683*6.8)/100,IF(AND($M683&lt;&gt;"",$N683="MND",$Q683="EMBOQUE"),($AN683*2*6.8)/100,0))</f>
        <v>1.46948</v>
      </c>
      <c r="BK683" s="153" t="n">
        <f aca="false">IF(AND($M683&lt;&gt;"",$N683="VCA",$Q683="LINEAR"),($M683*2.5)/50,IF(AND($M683&lt;&gt;"",$N683="MND",$Q683="EMBOQUE"),($AN683*2*2.5)/50,0))</f>
        <v>1.0805</v>
      </c>
      <c r="BL683" s="157" t="str">
        <f aca="false">K683&amp;J683</f>
        <v>Zona06REDES</v>
      </c>
      <c r="BM683" s="152" t="s">
        <v>3790</v>
      </c>
      <c r="BN683" s="152" t="s">
        <v>1560</v>
      </c>
      <c r="BO683" s="152" t="s">
        <v>4097</v>
      </c>
      <c r="BP683" s="152" t="s">
        <v>4143</v>
      </c>
      <c r="BQ683" s="152" t="s">
        <v>2032</v>
      </c>
      <c r="BR683" s="152" t="s">
        <v>4144</v>
      </c>
      <c r="BS683" s="152" t="n">
        <v>204205.883</v>
      </c>
      <c r="BT683" s="152" t="n">
        <v>8237007.689</v>
      </c>
      <c r="BU683" s="152" t="n">
        <v>204226.825</v>
      </c>
      <c r="BV683" s="152" t="n">
        <v>8237002.348</v>
      </c>
      <c r="BW683" s="152" t="n">
        <v>-15.928594</v>
      </c>
      <c r="BX683" s="152" t="n">
        <v>-47.7626558</v>
      </c>
      <c r="BY683" s="152" t="s">
        <v>4143</v>
      </c>
    </row>
    <row r="684" customFormat="false" ht="13.8" hidden="false" customHeight="false" outlineLevel="0" collapsed="false">
      <c r="A684" s="149" t="n">
        <f aca="false">IF(C684&lt;&gt;"",ROW(A679),"")</f>
        <v>679</v>
      </c>
      <c r="B684" s="150" t="str">
        <f aca="false">HYPERLINK("https://www.google.com/maps/dir/-15.917302,-47.760003/-15.9289644,-47.7666908/data=!4m3!4m2!3e0!5i0")</f>
        <v>https://www.google.com/maps/dir/-15.917302,-47.760003/-15.9289644,-47.7666908/data=!4m3!4m2!3e0!5i0</v>
      </c>
      <c r="C684" s="151" t="s">
        <v>117</v>
      </c>
      <c r="D684" s="152" t="s">
        <v>112</v>
      </c>
      <c r="E684" s="152" t="s">
        <v>113</v>
      </c>
      <c r="F684" s="152" t="s">
        <v>117</v>
      </c>
      <c r="G684" s="152" t="s">
        <v>782</v>
      </c>
      <c r="H684" s="152" t="n">
        <v>110</v>
      </c>
      <c r="I684" s="152" t="s">
        <v>115</v>
      </c>
      <c r="J684" s="152" t="s">
        <v>6</v>
      </c>
      <c r="K684" s="152" t="s">
        <v>3786</v>
      </c>
      <c r="L684" s="152" t="s">
        <v>120</v>
      </c>
      <c r="M684" s="153" t="n">
        <f aca="false">103.31</f>
        <v>103.31</v>
      </c>
      <c r="N684" s="152" t="s">
        <v>1548</v>
      </c>
      <c r="O684" s="152" t="s">
        <v>1549</v>
      </c>
      <c r="P684" s="152" t="s">
        <v>1550</v>
      </c>
      <c r="Q684" s="152" t="s">
        <v>1551</v>
      </c>
      <c r="R684" s="154" t="s">
        <v>4145</v>
      </c>
      <c r="S684" s="154" t="s">
        <v>1593</v>
      </c>
      <c r="T684" s="155" t="s">
        <v>4095</v>
      </c>
      <c r="U684" s="152" t="str">
        <f aca="false">RIGHT(T684,7)</f>
        <v>016/037</v>
      </c>
      <c r="V684" s="152" t="s">
        <v>1555</v>
      </c>
      <c r="W684" s="156" t="n">
        <v>45882</v>
      </c>
      <c r="X684" s="152" t="s">
        <v>1594</v>
      </c>
      <c r="Y684" s="152" t="s">
        <v>4146</v>
      </c>
      <c r="Z684" s="152" t="s">
        <v>1557</v>
      </c>
      <c r="AA684" s="153" t="n">
        <v>2.1</v>
      </c>
      <c r="AB684" s="151" t="s">
        <v>4147</v>
      </c>
      <c r="AC684" s="151" t="s">
        <v>502</v>
      </c>
      <c r="AD684" s="151" t="str">
        <f aca="false">CONCATENATE($C684,$I684,$H684,$N684,$J684,$K684)</f>
        <v>TUBO PEADPEAD110VCAREDESZona06</v>
      </c>
      <c r="AE684" s="153" t="n">
        <f aca="false">IFERROR(INDEX(APOIO_REDES!$A:$W,MATCH($C684&amp;$I684&amp;$H684&amp;$N684&amp;$O684,APOIO_REDES!$W:$W,0),MATCH(AE$5,APOIO_REDES!$5:$5,0)),0)</f>
        <v>1.2</v>
      </c>
      <c r="AF684" s="153" t="n">
        <f aca="false">IFERROR(INDEX(APOIO_REDES!$A:$W,MATCH($C684&amp;$I684&amp;$H684&amp;$N684&amp;$O684,APOIO_REDES!$W:$W,0),MATCH(AF$5,APOIO_REDES!$5:$5,0)),0)</f>
        <v>1.41</v>
      </c>
      <c r="AG684" s="153" t="n">
        <f aca="false">IFERROR(INDEX(APOIO_REDES!$A:$W,MATCH($C684&amp;$I684&amp;$H684&amp;$N684&amp;$O684,APOIO_REDES!$W:$W,0),MATCH(AG$5,APOIO_REDES!$5:$5,0)),0)</f>
        <v>0.75</v>
      </c>
      <c r="AH684" s="153" t="n">
        <f aca="false">IFERROR(INDEX(APOIO_REDES!$A:$W,MATCH($C684&amp;$I684&amp;$H684&amp;$N684&amp;$O684,APOIO_REDES!$W:$W,0),MATCH(AH$5,APOIO_REDES!$5:$5,0)),0)</f>
        <v>0.1</v>
      </c>
      <c r="AI684" s="153" t="n">
        <f aca="false">IFERROR(IF($H684&lt;&gt;"",(((($H684/1000)/2)^2)*PI()*$M684),0),0)</f>
        <v>0.981787759553144</v>
      </c>
      <c r="AJ684" s="153" t="n">
        <f aca="false">IFERROR(IF(AND($H684&lt;&gt;"",$I684="FoFo",OR($N684="MND",$N684="VCA"),$Q684="LINEAR"),0,IF(AND($H684&lt;&gt;"",$I684="PEAD",$N684="VCA",$Q684="LINEAR"),($H684/1000)+0.3,IF(AND($H684&lt;&gt;"",$I684="PEAD",$N684="MND",$Q684="EMBOQUE"),0,IF(AND($H684&lt;&gt;"",$I684="PVC",$N684="VCA",$Q684="LINEAR"),($H684/1000)+0.2,IF(AND($H684&lt;&gt;"",$I684="PVC",$N684="MND",$Q684="EMBOQUE"),0,IF(AND($H684&lt;&gt;"",$I684="PEAD",$N684="VCA",$Q684="PREDIAL"),0,0)))))),0)</f>
        <v>0.41</v>
      </c>
      <c r="AK684" s="153" t="n">
        <f aca="false">IF(AA684&lt;&gt;"",AA684,0)</f>
        <v>2.1</v>
      </c>
      <c r="AL684" s="153" t="n">
        <f aca="false">IF(AND($N684="MND",$Q684="EMBOQUE"),$M684,IF(AND($N684="VCA",$Q684="LINEAR"),$M684,IF(AND($N684="VCA",$Q684="PREDIAL"),0,0)))</f>
        <v>103.31</v>
      </c>
      <c r="AM684" s="153" t="n">
        <f aca="false">IF(AND($N684="MND",$Q684="EMBOQUE"),$M684,IF(AND($N684="VCA",$Q684="LINEAR"),$M684,IF(AND($N684="VCA",$Q684="PREDIAL"),0,0)))</f>
        <v>103.31</v>
      </c>
      <c r="AN684" s="153" t="n">
        <f aca="false">ROUND(IF(AND($N684="VCA",$M684&lt;&gt;"",$Q684="LINEAR"),$M684/100,IF(AND($N684="MND",$M684&gt;100,$Q684="EMBOQUE"),$M684/100,0)),0)</f>
        <v>1</v>
      </c>
      <c r="AO684" s="153" t="n">
        <f aca="false">IF(AND($N684="MND",$Q684="EMBOQUE"),$AN684*2*2,IF(AND($N684="VCA",$Q684="LINEAR"),$M684*2,IF(AND($N684="VCA",$Q684="PREDIAL"),0,0)))</f>
        <v>206.62</v>
      </c>
      <c r="AP684" s="153" t="n">
        <f aca="false">IFERROR($M684*$AF684*$AG684,0)</f>
        <v>109.250325</v>
      </c>
      <c r="AQ684" s="153" t="n">
        <f aca="false">IFERROR(IF(AND($N684="VCA",$AH684&gt;0),$M684*$AG684*$AH684,0),0)</f>
        <v>7.74825</v>
      </c>
      <c r="AR684" s="153" t="n">
        <f aca="false">IFERROR(IF(AND($N684="VCA",$AJ684&gt;0),($M684*$AG684*$AJ684)-$AI684,0),0)</f>
        <v>30.7860372404469</v>
      </c>
      <c r="AS684" s="153" t="n">
        <f aca="false">IFERROR(IF(AND($N684="VCA",$AP684&gt;0),$AP684-$AI684-$AQ684-$AR684,0),0)</f>
        <v>69.73425</v>
      </c>
      <c r="AT684" s="153" t="n">
        <f aca="false">IFERROR(IF($N684="VCA",INDEX(APOIO_REDES!$A:$W,MATCH($C684&amp;$I684&amp;$H684&amp;$N684&amp;$O684,APOIO_REDES!$W:$W,0),MATCH(AT$5,APOIO_REDES!$5:$5,0)),0)*$AP684,0)</f>
        <v>1.18867587244559</v>
      </c>
      <c r="AU684" s="153" t="n">
        <f aca="false">IFERROR(IF($N684="VCA",INDEX(APOIO_REDES!$A:$W,MATCH($C684&amp;$I684&amp;$H684&amp;$N684&amp;$O684,APOIO_REDES!$W:$W,0),MATCH(AU$5,APOIO_REDES!$5:$5,0)),0)*$AP684,0)</f>
        <v>0.949244358309636</v>
      </c>
      <c r="AV684" s="153" t="n">
        <f aca="false">IFERROR(IF($N684="VCA",INDEX(APOIO_REDES!$A:$W,MATCH($C684&amp;$I684&amp;$H684&amp;$N684&amp;$O684,APOIO_REDES!$W:$W,0),MATCH(AV$5,APOIO_REDES!$5:$5,0)),0)*$AP684,0)</f>
        <v>0.131367967329668</v>
      </c>
      <c r="AW684" s="153" t="n">
        <f aca="false">IFERROR(IF($N684="VCA",INDEX(APOIO_REDES!$A:$W,MATCH($C684&amp;$I684&amp;$H684&amp;$N684&amp;$O684,APOIO_REDES!$W:$W,0),MATCH(AW$5,APOIO_REDES!$5:$5,0)),0)*$AP684,0)</f>
        <v>74.9902695928259</v>
      </c>
      <c r="AX684" s="153" t="n">
        <f aca="false">IFERROR(IF($N684="VCA",INDEX(APOIO_REDES!$A:$W,MATCH($C684&amp;$I684&amp;$H684&amp;$N684&amp;$O684,APOIO_REDES!$W:$W,0),MATCH(AX$5,APOIO_REDES!$5:$5,0)),0)*$AP684,0)</f>
        <v>10.3784396978207</v>
      </c>
      <c r="AY684" s="153" t="n">
        <f aca="false">IFERROR(IF($N684="VCA",INDEX(APOIO_REDES!$A:$W,MATCH($C684&amp;$I684&amp;$H684&amp;$N684&amp;$O684,APOIO_REDES!$W:$W,0),MATCH(AY$5,APOIO_REDES!$5:$5,0)),0)*$AP684,0)</f>
        <v>18.9848755949809</v>
      </c>
      <c r="AZ684" s="153" t="n">
        <f aca="false">IFERROR(IF($N684="VCA",INDEX(APOIO_REDES!$A:$W,MATCH($C684&amp;$I684&amp;$H684&amp;$N684&amp;$O684,APOIO_REDES!$W:$W,0),MATCH(AZ$5,APOIO_REDES!$5:$5,0)),0)*$AP684,0)</f>
        <v>2.62745191628759</v>
      </c>
      <c r="BA684" s="153" t="n">
        <f aca="false">IFERROR(IF(AND($N684="VCA",$Q684="LINEAR"),INDEX(APOIO_REDES!$A:$W,MATCH($C684&amp;$I684&amp;$H684&amp;$N684&amp;$O684,APOIO_REDES!$W:$W,0),MATCH(BA$5,APOIO_REDES!$5:$5,0)),IF(AND($N684="MND",$Q684="EMBOQUE"),INDEX(APOIO_REDES!$A:$W,MATCH($C684&amp;$I684&amp;$H684&amp;$N684&amp;$O684,APOIO_REDES!$W:$W,0),MATCH(BA$5,APOIO_REDES!$5:$5,0)),0))*$M684/10,0)</f>
        <v>8.3265254087671</v>
      </c>
      <c r="BB684" s="153" t="n">
        <f aca="false">IFERROR(IF($N684="VCA",INDEX(APOIO_REDES!$A:$W,MATCH($C684&amp;$I684&amp;$H684&amp;$N684&amp;$O684,APOIO_REDES!$W:$W,0),MATCH(BB$5,APOIO_REDES!$5:$5,0)),0)*($AI684+$AQ684+$AR684),0)</f>
        <v>39.0861284078388</v>
      </c>
      <c r="BC684" s="153" t="n">
        <f aca="false">IFERROR(IF($N684="VCA",INDEX(APOIO_REDES!$A:$W,MATCH($C684&amp;$I684&amp;$H684&amp;$N684&amp;$O684,APOIO_REDES!$W:$W,0),MATCH(BC$5,APOIO_REDES!$5:$5,0)),0)*($AI684+$AQ684+$AR684),0)</f>
        <v>0.429946592161171</v>
      </c>
      <c r="BD684" s="153" t="n">
        <f aca="false">IF(AND($N684="VCA",$AF684&gt;=1.25,$AF684&lt;1.5),$M684*$AF684*2,0)</f>
        <v>291.3342</v>
      </c>
      <c r="BE684" s="153" t="n">
        <f aca="false">IF(AND($N684="VCA",$AF684&gt;=1.5,$AF684&lt;3),$M684*$AF684*2,0)</f>
        <v>0</v>
      </c>
      <c r="BF684" s="153" t="n">
        <f aca="false">IF(AND($N684="VCA",$AF684&gt;=3),$M684*$AF684*2,0)</f>
        <v>0</v>
      </c>
      <c r="BG684" s="153" t="n">
        <f aca="false">($BB684+$BC684)*$AK684</f>
        <v>82.9837575</v>
      </c>
      <c r="BH684" s="153" t="n">
        <f aca="false">IF(AND($M684&lt;&gt;"",$N684="VCA",$Q684="LINEAR"),($M684*2)/100,IF(AND($M684&lt;&gt;"",$N684="MND",$Q684="EMBOQUE"),($AN684*2)/100,0))</f>
        <v>2.0662</v>
      </c>
      <c r="BI684" s="153" t="n">
        <f aca="false">IF(AND($M684&lt;&gt;"",$N684="VCA",$Q684="LINEAR"),$M684,IF(AND($M684&lt;&gt;"",$N684="MND",$Q684="EMBOQUE"),$AN684*2,0))</f>
        <v>103.31</v>
      </c>
      <c r="BJ684" s="153" t="n">
        <f aca="false">IF(AND($M684&lt;&gt;"",$N684="VCA",$Q684="LINEAR"),($M684*6.8)/100,IF(AND($M684&lt;&gt;"",$N684="MND",$Q684="EMBOQUE"),($AN684*2*6.8)/100,0))</f>
        <v>7.02508</v>
      </c>
      <c r="BK684" s="153" t="n">
        <f aca="false">IF(AND($M684&lt;&gt;"",$N684="VCA",$Q684="LINEAR"),($M684*2.5)/50,IF(AND($M684&lt;&gt;"",$N684="MND",$Q684="EMBOQUE"),($AN684*2*2.5)/50,0))</f>
        <v>5.1655</v>
      </c>
      <c r="BL684" s="157" t="str">
        <f aca="false">K684&amp;J684</f>
        <v>Zona06REDES</v>
      </c>
      <c r="BM684" s="152" t="s">
        <v>3790</v>
      </c>
      <c r="BN684" s="152" t="s">
        <v>1560</v>
      </c>
      <c r="BO684" s="152" t="s">
        <v>4097</v>
      </c>
      <c r="BP684" s="152" t="s">
        <v>4148</v>
      </c>
      <c r="BQ684" s="152" t="s">
        <v>2232</v>
      </c>
      <c r="BR684" s="152" t="s">
        <v>4149</v>
      </c>
      <c r="BS684" s="152" t="n">
        <v>203784.604</v>
      </c>
      <c r="BT684" s="152" t="n">
        <v>8236958.28</v>
      </c>
      <c r="BU684" s="152" t="n">
        <v>203871.446</v>
      </c>
      <c r="BV684" s="152" t="n">
        <v>8237014.198</v>
      </c>
      <c r="BW684" s="152" t="n">
        <v>-15.9287111</v>
      </c>
      <c r="BX684" s="152" t="n">
        <v>-47.7662859</v>
      </c>
      <c r="BY684" s="152" t="s">
        <v>4148</v>
      </c>
    </row>
    <row r="685" customFormat="false" ht="13.8" hidden="false" customHeight="false" outlineLevel="0" collapsed="false">
      <c r="A685" s="149" t="n">
        <f aca="false">IF(C685&lt;&gt;"",ROW(A680),"")</f>
        <v>680</v>
      </c>
      <c r="B685" s="150" t="str">
        <f aca="false">HYPERLINK("https://www.google.com/maps/dir/-15.917302,-47.760003/-15.9289923,-47.7666731/data=!4m3!4m2!3e0!5i0")</f>
        <v>https://www.google.com/maps/dir/-15.917302,-47.760003/-15.9289923,-47.7666731/data=!4m3!4m2!3e0!5i0</v>
      </c>
      <c r="C685" s="151" t="s">
        <v>117</v>
      </c>
      <c r="D685" s="152" t="s">
        <v>112</v>
      </c>
      <c r="E685" s="152" t="s">
        <v>113</v>
      </c>
      <c r="F685" s="152" t="s">
        <v>117</v>
      </c>
      <c r="G685" s="152" t="s">
        <v>782</v>
      </c>
      <c r="H685" s="152" t="n">
        <v>110</v>
      </c>
      <c r="I685" s="152" t="s">
        <v>115</v>
      </c>
      <c r="J685" s="152" t="s">
        <v>6</v>
      </c>
      <c r="K685" s="152" t="s">
        <v>3786</v>
      </c>
      <c r="L685" s="152" t="s">
        <v>120</v>
      </c>
      <c r="M685" s="153" t="n">
        <f aca="false">3.63</f>
        <v>3.63</v>
      </c>
      <c r="N685" s="152" t="s">
        <v>1548</v>
      </c>
      <c r="O685" s="152" t="s">
        <v>1549</v>
      </c>
      <c r="P685" s="152" t="s">
        <v>1550</v>
      </c>
      <c r="Q685" s="152" t="s">
        <v>1551</v>
      </c>
      <c r="R685" s="154" t="s">
        <v>4150</v>
      </c>
      <c r="S685" s="154" t="s">
        <v>1593</v>
      </c>
      <c r="T685" s="155" t="s">
        <v>4095</v>
      </c>
      <c r="U685" s="152" t="str">
        <f aca="false">RIGHT(T685,7)</f>
        <v>016/037</v>
      </c>
      <c r="V685" s="152" t="s">
        <v>1555</v>
      </c>
      <c r="W685" s="156" t="n">
        <v>45882</v>
      </c>
      <c r="X685" s="152" t="s">
        <v>1594</v>
      </c>
      <c r="Y685" s="152" t="s">
        <v>4009</v>
      </c>
      <c r="Z685" s="152" t="s">
        <v>1557</v>
      </c>
      <c r="AA685" s="153" t="n">
        <v>2.1</v>
      </c>
      <c r="AB685" s="151" t="s">
        <v>4151</v>
      </c>
      <c r="AC685" s="151" t="s">
        <v>502</v>
      </c>
      <c r="AD685" s="151" t="str">
        <f aca="false">CONCATENATE($C685,$I685,$H685,$N685,$J685,$K685)</f>
        <v>TUBO PEADPEAD110VCAREDESZona06</v>
      </c>
      <c r="AE685" s="153" t="n">
        <f aca="false">IFERROR(INDEX(APOIO_REDES!$A:$W,MATCH($C685&amp;$I685&amp;$H685&amp;$N685&amp;$O685,APOIO_REDES!$W:$W,0),MATCH(AE$5,APOIO_REDES!$5:$5,0)),0)</f>
        <v>1.2</v>
      </c>
      <c r="AF685" s="153" t="n">
        <f aca="false">IFERROR(INDEX(APOIO_REDES!$A:$W,MATCH($C685&amp;$I685&amp;$H685&amp;$N685&amp;$O685,APOIO_REDES!$W:$W,0),MATCH(AF$5,APOIO_REDES!$5:$5,0)),0)</f>
        <v>1.41</v>
      </c>
      <c r="AG685" s="153" t="n">
        <f aca="false">IFERROR(INDEX(APOIO_REDES!$A:$W,MATCH($C685&amp;$I685&amp;$H685&amp;$N685&amp;$O685,APOIO_REDES!$W:$W,0),MATCH(AG$5,APOIO_REDES!$5:$5,0)),0)</f>
        <v>0.75</v>
      </c>
      <c r="AH685" s="153" t="n">
        <f aca="false">IFERROR(INDEX(APOIO_REDES!$A:$W,MATCH($C685&amp;$I685&amp;$H685&amp;$N685&amp;$O685,APOIO_REDES!$W:$W,0),MATCH(AH$5,APOIO_REDES!$5:$5,0)),0)</f>
        <v>0.1</v>
      </c>
      <c r="AI685" s="153" t="n">
        <f aca="false">IFERROR(IF($H685&lt;&gt;"",(((($H685/1000)/2)^2)*PI()*$M685),0),0)</f>
        <v>0.0344970435309061</v>
      </c>
      <c r="AJ685" s="153" t="n">
        <f aca="false">IFERROR(IF(AND($H685&lt;&gt;"",$I685="FoFo",OR($N685="MND",$N685="VCA"),$Q685="LINEAR"),0,IF(AND($H685&lt;&gt;"",$I685="PEAD",$N685="VCA",$Q685="LINEAR"),($H685/1000)+0.3,IF(AND($H685&lt;&gt;"",$I685="PEAD",$N685="MND",$Q685="EMBOQUE"),0,IF(AND($H685&lt;&gt;"",$I685="PVC",$N685="VCA",$Q685="LINEAR"),($H685/1000)+0.2,IF(AND($H685&lt;&gt;"",$I685="PVC",$N685="MND",$Q685="EMBOQUE"),0,IF(AND($H685&lt;&gt;"",$I685="PEAD",$N685="VCA",$Q685="PREDIAL"),0,0)))))),0)</f>
        <v>0.41</v>
      </c>
      <c r="AK685" s="153" t="n">
        <f aca="false">IF(AA685&lt;&gt;"",AA685,0)</f>
        <v>2.1</v>
      </c>
      <c r="AL685" s="153" t="n">
        <f aca="false">IF(AND($N685="MND",$Q685="EMBOQUE"),$M685,IF(AND($N685="VCA",$Q685="LINEAR"),$M685,IF(AND($N685="VCA",$Q685="PREDIAL"),0,0)))</f>
        <v>3.63</v>
      </c>
      <c r="AM685" s="153" t="n">
        <f aca="false">IF(AND($N685="MND",$Q685="EMBOQUE"),$M685,IF(AND($N685="VCA",$Q685="LINEAR"),$M685,IF(AND($N685="VCA",$Q685="PREDIAL"),0,0)))</f>
        <v>3.63</v>
      </c>
      <c r="AN685" s="153" t="n">
        <f aca="false">ROUND(IF(AND($N685="VCA",$M685&lt;&gt;"",$Q685="LINEAR"),$M685/100,IF(AND($N685="MND",$M685&gt;100,$Q685="EMBOQUE"),$M685/100,0)),0)</f>
        <v>0</v>
      </c>
      <c r="AO685" s="153" t="n">
        <f aca="false">IF(AND($N685="MND",$Q685="EMBOQUE"),$AN685*2*2,IF(AND($N685="VCA",$Q685="LINEAR"),$M685*2,IF(AND($N685="VCA",$Q685="PREDIAL"),0,0)))</f>
        <v>7.26</v>
      </c>
      <c r="AP685" s="153" t="n">
        <f aca="false">IFERROR($M685*$AF685*$AG685,0)</f>
        <v>3.838725</v>
      </c>
      <c r="AQ685" s="153" t="n">
        <f aca="false">IFERROR(IF(AND($N685="VCA",$AH685&gt;0),$M685*$AG685*$AH685,0),0)</f>
        <v>0.27225</v>
      </c>
      <c r="AR685" s="153" t="n">
        <f aca="false">IFERROR(IF(AND($N685="VCA",$AJ685&gt;0),($M685*$AG685*$AJ685)-$AI685,0),0)</f>
        <v>1.08172795646909</v>
      </c>
      <c r="AS685" s="153" t="n">
        <f aca="false">IFERROR(IF(AND($N685="VCA",$AP685&gt;0),$AP685-$AI685-$AQ685-$AR685,0),0)</f>
        <v>2.45025</v>
      </c>
      <c r="AT685" s="153" t="n">
        <f aca="false">IFERROR(IF($N685="VCA",INDEX(APOIO_REDES!$A:$W,MATCH($C685&amp;$I685&amp;$H685&amp;$N685&amp;$O685,APOIO_REDES!$W:$W,0),MATCH(AT$5,APOIO_REDES!$5:$5,0)),0)*$AP685,0)</f>
        <v>0.0417664642046026</v>
      </c>
      <c r="AU685" s="153" t="n">
        <f aca="false">IFERROR(IF($N685="VCA",INDEX(APOIO_REDES!$A:$W,MATCH($C685&amp;$I685&amp;$H685&amp;$N685&amp;$O685,APOIO_REDES!$W:$W,0),MATCH(AU$5,APOIO_REDES!$5:$5,0)),0)*$AP685,0)</f>
        <v>0.0333535671344882</v>
      </c>
      <c r="AV685" s="153" t="n">
        <f aca="false">IFERROR(IF($N685="VCA",INDEX(APOIO_REDES!$A:$W,MATCH($C685&amp;$I685&amp;$H685&amp;$N685&amp;$O685,APOIO_REDES!$W:$W,0),MATCH(AV$5,APOIO_REDES!$5:$5,0)),0)*$AP685,0)</f>
        <v>0.00461587185564509</v>
      </c>
      <c r="AW685" s="153" t="n">
        <f aca="false">IFERROR(IF($N685="VCA",INDEX(APOIO_REDES!$A:$W,MATCH($C685&amp;$I685&amp;$H685&amp;$N685&amp;$O685,APOIO_REDES!$W:$W,0),MATCH(AW$5,APOIO_REDES!$5:$5,0)),0)*$AP685,0)</f>
        <v>2.63493058389273</v>
      </c>
      <c r="AX685" s="153" t="n">
        <f aca="false">IFERROR(IF($N685="VCA",INDEX(APOIO_REDES!$A:$W,MATCH($C685&amp;$I685&amp;$H685&amp;$N685&amp;$O685,APOIO_REDES!$W:$W,0),MATCH(AX$5,APOIO_REDES!$5:$5,0)),0)*$AP685,0)</f>
        <v>0.36466688706891</v>
      </c>
      <c r="AY685" s="153" t="n">
        <f aca="false">IFERROR(IF($N685="VCA",INDEX(APOIO_REDES!$A:$W,MATCH($C685&amp;$I685&amp;$H685&amp;$N685&amp;$O685,APOIO_REDES!$W:$W,0),MATCH(AY$5,APOIO_REDES!$5:$5,0)),0)*$AP685,0)</f>
        <v>0.667070936112485</v>
      </c>
      <c r="AZ685" s="153" t="n">
        <f aca="false">IFERROR(IF($N685="VCA",INDEX(APOIO_REDES!$A:$W,MATCH($C685&amp;$I685&amp;$H685&amp;$N685&amp;$O685,APOIO_REDES!$W:$W,0),MATCH(AZ$5,APOIO_REDES!$5:$5,0)),0)*$AP685,0)</f>
        <v>0.0923206897311388</v>
      </c>
      <c r="BA685" s="153" t="n">
        <f aca="false">IFERROR(IF(AND($N685="VCA",$Q685="LINEAR"),INDEX(APOIO_REDES!$A:$W,MATCH($C685&amp;$I685&amp;$H685&amp;$N685&amp;$O685,APOIO_REDES!$W:$W,0),MATCH(BA$5,APOIO_REDES!$5:$5,0)),IF(AND($N685="MND",$Q685="EMBOQUE"),INDEX(APOIO_REDES!$A:$W,MATCH($C685&amp;$I685&amp;$H685&amp;$N685&amp;$O685,APOIO_REDES!$W:$W,0),MATCH(BA$5,APOIO_REDES!$5:$5,0)),0))*$M685/10,0)</f>
        <v>0.292568843614602</v>
      </c>
      <c r="BB685" s="153" t="n">
        <f aca="false">IFERROR(IF($N685="VCA",INDEX(APOIO_REDES!$A:$W,MATCH($C685&amp;$I685&amp;$H685&amp;$N685&amp;$O685,APOIO_REDES!$W:$W,0),MATCH(BB$5,APOIO_REDES!$5:$5,0)),0)*($AI685+$AQ685+$AR685),0)</f>
        <v>1.37336798103238</v>
      </c>
      <c r="BC685" s="153" t="n">
        <f aca="false">IFERROR(IF($N685="VCA",INDEX(APOIO_REDES!$A:$W,MATCH($C685&amp;$I685&amp;$H685&amp;$N685&amp;$O685,APOIO_REDES!$W:$W,0),MATCH(BC$5,APOIO_REDES!$5:$5,0)),0)*($AI685+$AQ685+$AR685),0)</f>
        <v>0.0151070189676222</v>
      </c>
      <c r="BD685" s="153" t="n">
        <f aca="false">IF(AND($N685="VCA",$AF685&gt;=1.25,$AF685&lt;1.5),$M685*$AF685*2,0)</f>
        <v>10.2366</v>
      </c>
      <c r="BE685" s="153" t="n">
        <f aca="false">IF(AND($N685="VCA",$AF685&gt;=1.5,$AF685&lt;3),$M685*$AF685*2,0)</f>
        <v>0</v>
      </c>
      <c r="BF685" s="153" t="n">
        <f aca="false">IF(AND($N685="VCA",$AF685&gt;=3),$M685*$AF685*2,0)</f>
        <v>0</v>
      </c>
      <c r="BG685" s="153" t="n">
        <f aca="false">($BB685+$BC685)*$AK685</f>
        <v>2.9157975</v>
      </c>
      <c r="BH685" s="153" t="n">
        <f aca="false">IF(AND($M685&lt;&gt;"",$N685="VCA",$Q685="LINEAR"),($M685*2)/100,IF(AND($M685&lt;&gt;"",$N685="MND",$Q685="EMBOQUE"),($AN685*2)/100,0))</f>
        <v>0.0726</v>
      </c>
      <c r="BI685" s="153" t="n">
        <f aca="false">IF(AND($M685&lt;&gt;"",$N685="VCA",$Q685="LINEAR"),$M685,IF(AND($M685&lt;&gt;"",$N685="MND",$Q685="EMBOQUE"),$AN685*2,0))</f>
        <v>3.63</v>
      </c>
      <c r="BJ685" s="153" t="n">
        <f aca="false">IF(AND($M685&lt;&gt;"",$N685="VCA",$Q685="LINEAR"),($M685*6.8)/100,IF(AND($M685&lt;&gt;"",$N685="MND",$Q685="EMBOQUE"),($AN685*2*6.8)/100,0))</f>
        <v>0.24684</v>
      </c>
      <c r="BK685" s="153" t="n">
        <f aca="false">IF(AND($M685&lt;&gt;"",$N685="VCA",$Q685="LINEAR"),($M685*2.5)/50,IF(AND($M685&lt;&gt;"",$N685="MND",$Q685="EMBOQUE"),($AN685*2*2.5)/50,0))</f>
        <v>0.1815</v>
      </c>
      <c r="BL685" s="157" t="str">
        <f aca="false">K685&amp;J685</f>
        <v>Zona06REDES</v>
      </c>
      <c r="BM685" s="152" t="s">
        <v>3790</v>
      </c>
      <c r="BN685" s="152" t="s">
        <v>1560</v>
      </c>
      <c r="BO685" s="152" t="s">
        <v>4097</v>
      </c>
      <c r="BP685" s="152" t="s">
        <v>4152</v>
      </c>
      <c r="BQ685" s="152" t="s">
        <v>4148</v>
      </c>
      <c r="BR685" s="152" t="s">
        <v>4153</v>
      </c>
      <c r="BS685" s="152" t="n">
        <v>203786.528</v>
      </c>
      <c r="BT685" s="152" t="n">
        <v>8236955.207</v>
      </c>
      <c r="BU685" s="152" t="n">
        <v>203784.604</v>
      </c>
      <c r="BV685" s="152" t="n">
        <v>8236958.28</v>
      </c>
      <c r="BW685" s="152" t="n">
        <v>-15.9289784</v>
      </c>
      <c r="BX685" s="152" t="n">
        <v>-47.766682</v>
      </c>
      <c r="BY685" s="152" t="s">
        <v>4152</v>
      </c>
    </row>
    <row r="686" customFormat="false" ht="13.8" hidden="false" customHeight="false" outlineLevel="0" collapsed="false">
      <c r="A686" s="149" t="n">
        <f aca="false">IF(C686&lt;&gt;"",ROW(A681),"")</f>
        <v>681</v>
      </c>
      <c r="B686" s="150" t="str">
        <f aca="false">HYPERLINK("https://www.google.com/maps/dir/-15.917302,-47.760003/-15.9290203,-47.7666556/data=!4m3!4m2!3e0!5i0")</f>
        <v>https://www.google.com/maps/dir/-15.917302,-47.760003/-15.9290203,-47.7666556/data=!4m3!4m2!3e0!5i0</v>
      </c>
      <c r="C686" s="151" t="s">
        <v>117</v>
      </c>
      <c r="D686" s="152" t="s">
        <v>112</v>
      </c>
      <c r="E686" s="152" t="s">
        <v>113</v>
      </c>
      <c r="F686" s="152" t="s">
        <v>117</v>
      </c>
      <c r="G686" s="152" t="s">
        <v>782</v>
      </c>
      <c r="H686" s="152" t="n">
        <v>110</v>
      </c>
      <c r="I686" s="152" t="s">
        <v>115</v>
      </c>
      <c r="J686" s="152" t="s">
        <v>6</v>
      </c>
      <c r="K686" s="152" t="s">
        <v>3786</v>
      </c>
      <c r="L686" s="152" t="s">
        <v>120</v>
      </c>
      <c r="M686" s="153" t="n">
        <f aca="false">3.63</f>
        <v>3.63</v>
      </c>
      <c r="N686" s="152" t="s">
        <v>1548</v>
      </c>
      <c r="O686" s="152" t="s">
        <v>1549</v>
      </c>
      <c r="P686" s="152" t="s">
        <v>1550</v>
      </c>
      <c r="Q686" s="152" t="s">
        <v>1551</v>
      </c>
      <c r="R686" s="154" t="s">
        <v>4154</v>
      </c>
      <c r="S686" s="154" t="s">
        <v>1593</v>
      </c>
      <c r="T686" s="155" t="s">
        <v>4095</v>
      </c>
      <c r="U686" s="152" t="str">
        <f aca="false">RIGHT(T686,7)</f>
        <v>016/037</v>
      </c>
      <c r="V686" s="152" t="s">
        <v>1555</v>
      </c>
      <c r="W686" s="156" t="n">
        <v>45882</v>
      </c>
      <c r="X686" s="152" t="s">
        <v>1594</v>
      </c>
      <c r="Y686" s="152" t="s">
        <v>4009</v>
      </c>
      <c r="Z686" s="152" t="s">
        <v>1557</v>
      </c>
      <c r="AA686" s="153" t="n">
        <v>2.1</v>
      </c>
      <c r="AB686" s="151" t="s">
        <v>4155</v>
      </c>
      <c r="AC686" s="151" t="s">
        <v>502</v>
      </c>
      <c r="AD686" s="151" t="str">
        <f aca="false">CONCATENATE($C686,$I686,$H686,$N686,$J686,$K686)</f>
        <v>TUBO PEADPEAD110VCAREDESZona06</v>
      </c>
      <c r="AE686" s="153" t="n">
        <f aca="false">IFERROR(INDEX(APOIO_REDES!$A:$W,MATCH($C686&amp;$I686&amp;$H686&amp;$N686&amp;$O686,APOIO_REDES!$W:$W,0),MATCH(AE$5,APOIO_REDES!$5:$5,0)),0)</f>
        <v>1.2</v>
      </c>
      <c r="AF686" s="153" t="n">
        <f aca="false">IFERROR(INDEX(APOIO_REDES!$A:$W,MATCH($C686&amp;$I686&amp;$H686&amp;$N686&amp;$O686,APOIO_REDES!$W:$W,0),MATCH(AF$5,APOIO_REDES!$5:$5,0)),0)</f>
        <v>1.41</v>
      </c>
      <c r="AG686" s="153" t="n">
        <f aca="false">IFERROR(INDEX(APOIO_REDES!$A:$W,MATCH($C686&amp;$I686&amp;$H686&amp;$N686&amp;$O686,APOIO_REDES!$W:$W,0),MATCH(AG$5,APOIO_REDES!$5:$5,0)),0)</f>
        <v>0.75</v>
      </c>
      <c r="AH686" s="153" t="n">
        <f aca="false">IFERROR(INDEX(APOIO_REDES!$A:$W,MATCH($C686&amp;$I686&amp;$H686&amp;$N686&amp;$O686,APOIO_REDES!$W:$W,0),MATCH(AH$5,APOIO_REDES!$5:$5,0)),0)</f>
        <v>0.1</v>
      </c>
      <c r="AI686" s="153" t="n">
        <f aca="false">IFERROR(IF($H686&lt;&gt;"",(((($H686/1000)/2)^2)*PI()*$M686),0),0)</f>
        <v>0.0344970435309061</v>
      </c>
      <c r="AJ686" s="153" t="n">
        <f aca="false">IFERROR(IF(AND($H686&lt;&gt;"",$I686="FoFo",OR($N686="MND",$N686="VCA"),$Q686="LINEAR"),0,IF(AND($H686&lt;&gt;"",$I686="PEAD",$N686="VCA",$Q686="LINEAR"),($H686/1000)+0.3,IF(AND($H686&lt;&gt;"",$I686="PEAD",$N686="MND",$Q686="EMBOQUE"),0,IF(AND($H686&lt;&gt;"",$I686="PVC",$N686="VCA",$Q686="LINEAR"),($H686/1000)+0.2,IF(AND($H686&lt;&gt;"",$I686="PVC",$N686="MND",$Q686="EMBOQUE"),0,IF(AND($H686&lt;&gt;"",$I686="PEAD",$N686="VCA",$Q686="PREDIAL"),0,0)))))),0)</f>
        <v>0.41</v>
      </c>
      <c r="AK686" s="153" t="n">
        <f aca="false">IF(AA686&lt;&gt;"",AA686,0)</f>
        <v>2.1</v>
      </c>
      <c r="AL686" s="153" t="n">
        <f aca="false">IF(AND($N686="MND",$Q686="EMBOQUE"),$M686,IF(AND($N686="VCA",$Q686="LINEAR"),$M686,IF(AND($N686="VCA",$Q686="PREDIAL"),0,0)))</f>
        <v>3.63</v>
      </c>
      <c r="AM686" s="153" t="n">
        <f aca="false">IF(AND($N686="MND",$Q686="EMBOQUE"),$M686,IF(AND($N686="VCA",$Q686="LINEAR"),$M686,IF(AND($N686="VCA",$Q686="PREDIAL"),0,0)))</f>
        <v>3.63</v>
      </c>
      <c r="AN686" s="153" t="n">
        <f aca="false">ROUND(IF(AND($N686="VCA",$M686&lt;&gt;"",$Q686="LINEAR"),$M686/100,IF(AND($N686="MND",$M686&gt;100,$Q686="EMBOQUE"),$M686/100,0)),0)</f>
        <v>0</v>
      </c>
      <c r="AO686" s="153" t="n">
        <f aca="false">IF(AND($N686="MND",$Q686="EMBOQUE"),$AN686*2*2,IF(AND($N686="VCA",$Q686="LINEAR"),$M686*2,IF(AND($N686="VCA",$Q686="PREDIAL"),0,0)))</f>
        <v>7.26</v>
      </c>
      <c r="AP686" s="153" t="n">
        <f aca="false">IFERROR($M686*$AF686*$AG686,0)</f>
        <v>3.838725</v>
      </c>
      <c r="AQ686" s="153" t="n">
        <f aca="false">IFERROR(IF(AND($N686="VCA",$AH686&gt;0),$M686*$AG686*$AH686,0),0)</f>
        <v>0.27225</v>
      </c>
      <c r="AR686" s="153" t="n">
        <f aca="false">IFERROR(IF(AND($N686="VCA",$AJ686&gt;0),($M686*$AG686*$AJ686)-$AI686,0),0)</f>
        <v>1.08172795646909</v>
      </c>
      <c r="AS686" s="153" t="n">
        <f aca="false">IFERROR(IF(AND($N686="VCA",$AP686&gt;0),$AP686-$AI686-$AQ686-$AR686,0),0)</f>
        <v>2.45025</v>
      </c>
      <c r="AT686" s="153" t="n">
        <f aca="false">IFERROR(IF($N686="VCA",INDEX(APOIO_REDES!$A:$W,MATCH($C686&amp;$I686&amp;$H686&amp;$N686&amp;$O686,APOIO_REDES!$W:$W,0),MATCH(AT$5,APOIO_REDES!$5:$5,0)),0)*$AP686,0)</f>
        <v>0.0417664642046026</v>
      </c>
      <c r="AU686" s="153" t="n">
        <f aca="false">IFERROR(IF($N686="VCA",INDEX(APOIO_REDES!$A:$W,MATCH($C686&amp;$I686&amp;$H686&amp;$N686&amp;$O686,APOIO_REDES!$W:$W,0),MATCH(AU$5,APOIO_REDES!$5:$5,0)),0)*$AP686,0)</f>
        <v>0.0333535671344882</v>
      </c>
      <c r="AV686" s="153" t="n">
        <f aca="false">IFERROR(IF($N686="VCA",INDEX(APOIO_REDES!$A:$W,MATCH($C686&amp;$I686&amp;$H686&amp;$N686&amp;$O686,APOIO_REDES!$W:$W,0),MATCH(AV$5,APOIO_REDES!$5:$5,0)),0)*$AP686,0)</f>
        <v>0.00461587185564509</v>
      </c>
      <c r="AW686" s="153" t="n">
        <f aca="false">IFERROR(IF($N686="VCA",INDEX(APOIO_REDES!$A:$W,MATCH($C686&amp;$I686&amp;$H686&amp;$N686&amp;$O686,APOIO_REDES!$W:$W,0),MATCH(AW$5,APOIO_REDES!$5:$5,0)),0)*$AP686,0)</f>
        <v>2.63493058389273</v>
      </c>
      <c r="AX686" s="153" t="n">
        <f aca="false">IFERROR(IF($N686="VCA",INDEX(APOIO_REDES!$A:$W,MATCH($C686&amp;$I686&amp;$H686&amp;$N686&amp;$O686,APOIO_REDES!$W:$W,0),MATCH(AX$5,APOIO_REDES!$5:$5,0)),0)*$AP686,0)</f>
        <v>0.36466688706891</v>
      </c>
      <c r="AY686" s="153" t="n">
        <f aca="false">IFERROR(IF($N686="VCA",INDEX(APOIO_REDES!$A:$W,MATCH($C686&amp;$I686&amp;$H686&amp;$N686&amp;$O686,APOIO_REDES!$W:$W,0),MATCH(AY$5,APOIO_REDES!$5:$5,0)),0)*$AP686,0)</f>
        <v>0.667070936112485</v>
      </c>
      <c r="AZ686" s="153" t="n">
        <f aca="false">IFERROR(IF($N686="VCA",INDEX(APOIO_REDES!$A:$W,MATCH($C686&amp;$I686&amp;$H686&amp;$N686&amp;$O686,APOIO_REDES!$W:$W,0),MATCH(AZ$5,APOIO_REDES!$5:$5,0)),0)*$AP686,0)</f>
        <v>0.0923206897311388</v>
      </c>
      <c r="BA686" s="153" t="n">
        <f aca="false">IFERROR(IF(AND($N686="VCA",$Q686="LINEAR"),INDEX(APOIO_REDES!$A:$W,MATCH($C686&amp;$I686&amp;$H686&amp;$N686&amp;$O686,APOIO_REDES!$W:$W,0),MATCH(BA$5,APOIO_REDES!$5:$5,0)),IF(AND($N686="MND",$Q686="EMBOQUE"),INDEX(APOIO_REDES!$A:$W,MATCH($C686&amp;$I686&amp;$H686&amp;$N686&amp;$O686,APOIO_REDES!$W:$W,0),MATCH(BA$5,APOIO_REDES!$5:$5,0)),0))*$M686/10,0)</f>
        <v>0.292568843614602</v>
      </c>
      <c r="BB686" s="153" t="n">
        <f aca="false">IFERROR(IF($N686="VCA",INDEX(APOIO_REDES!$A:$W,MATCH($C686&amp;$I686&amp;$H686&amp;$N686&amp;$O686,APOIO_REDES!$W:$W,0),MATCH(BB$5,APOIO_REDES!$5:$5,0)),0)*($AI686+$AQ686+$AR686),0)</f>
        <v>1.37336798103238</v>
      </c>
      <c r="BC686" s="153" t="n">
        <f aca="false">IFERROR(IF($N686="VCA",INDEX(APOIO_REDES!$A:$W,MATCH($C686&amp;$I686&amp;$H686&amp;$N686&amp;$O686,APOIO_REDES!$W:$W,0),MATCH(BC$5,APOIO_REDES!$5:$5,0)),0)*($AI686+$AQ686+$AR686),0)</f>
        <v>0.0151070189676222</v>
      </c>
      <c r="BD686" s="153" t="n">
        <f aca="false">IF(AND($N686="VCA",$AF686&gt;=1.25,$AF686&lt;1.5),$M686*$AF686*2,0)</f>
        <v>10.2366</v>
      </c>
      <c r="BE686" s="153" t="n">
        <f aca="false">IF(AND($N686="VCA",$AF686&gt;=1.5,$AF686&lt;3),$M686*$AF686*2,0)</f>
        <v>0</v>
      </c>
      <c r="BF686" s="153" t="n">
        <f aca="false">IF(AND($N686="VCA",$AF686&gt;=3),$M686*$AF686*2,0)</f>
        <v>0</v>
      </c>
      <c r="BG686" s="153" t="n">
        <f aca="false">($BB686+$BC686)*$AK686</f>
        <v>2.9157975</v>
      </c>
      <c r="BH686" s="153" t="n">
        <f aca="false">IF(AND($M686&lt;&gt;"",$N686="VCA",$Q686="LINEAR"),($M686*2)/100,IF(AND($M686&lt;&gt;"",$N686="MND",$Q686="EMBOQUE"),($AN686*2)/100,0))</f>
        <v>0.0726</v>
      </c>
      <c r="BI686" s="153" t="n">
        <f aca="false">IF(AND($M686&lt;&gt;"",$N686="VCA",$Q686="LINEAR"),$M686,IF(AND($M686&lt;&gt;"",$N686="MND",$Q686="EMBOQUE"),$AN686*2,0))</f>
        <v>3.63</v>
      </c>
      <c r="BJ686" s="153" t="n">
        <f aca="false">IF(AND($M686&lt;&gt;"",$N686="VCA",$Q686="LINEAR"),($M686*6.8)/100,IF(AND($M686&lt;&gt;"",$N686="MND",$Q686="EMBOQUE"),($AN686*2*6.8)/100,0))</f>
        <v>0.24684</v>
      </c>
      <c r="BK686" s="153" t="n">
        <f aca="false">IF(AND($M686&lt;&gt;"",$N686="VCA",$Q686="LINEAR"),($M686*2.5)/50,IF(AND($M686&lt;&gt;"",$N686="MND",$Q686="EMBOQUE"),($AN686*2*2.5)/50,0))</f>
        <v>0.1815</v>
      </c>
      <c r="BL686" s="157" t="str">
        <f aca="false">K686&amp;J686</f>
        <v>Zona06REDES</v>
      </c>
      <c r="BM686" s="152" t="s">
        <v>3790</v>
      </c>
      <c r="BN686" s="152" t="s">
        <v>1560</v>
      </c>
      <c r="BO686" s="152" t="s">
        <v>4097</v>
      </c>
      <c r="BP686" s="152" t="s">
        <v>4136</v>
      </c>
      <c r="BQ686" s="152" t="s">
        <v>4152</v>
      </c>
      <c r="BR686" s="152" t="s">
        <v>4153</v>
      </c>
      <c r="BS686" s="152" t="n">
        <v>203788.452</v>
      </c>
      <c r="BT686" s="152" t="n">
        <v>8236952.135</v>
      </c>
      <c r="BU686" s="152" t="n">
        <v>203786.528</v>
      </c>
      <c r="BV686" s="152" t="n">
        <v>8236955.207</v>
      </c>
      <c r="BW686" s="152" t="n">
        <v>-15.9290063</v>
      </c>
      <c r="BX686" s="152" t="n">
        <v>-47.7666644</v>
      </c>
      <c r="BY686" s="152" t="s">
        <v>4136</v>
      </c>
    </row>
    <row r="687" customFormat="false" ht="13.8" hidden="false" customHeight="false" outlineLevel="0" collapsed="false">
      <c r="A687" s="149" t="n">
        <f aca="false">IF(C687&lt;&gt;"",ROW(A682),"")</f>
        <v>682</v>
      </c>
      <c r="B687" s="150" t="str">
        <f aca="false">HYPERLINK("https://www.google.com/maps/dir/-15.917302,-47.760003/-15.9290434,-47.7667638/data=!4m3!4m2!3e0!5i0")</f>
        <v>https://www.google.com/maps/dir/-15.917302,-47.760003/-15.9290434,-47.7667638/data=!4m3!4m2!3e0!5i0</v>
      </c>
      <c r="C687" s="151" t="s">
        <v>117</v>
      </c>
      <c r="D687" s="152" t="s">
        <v>112</v>
      </c>
      <c r="E687" s="152" t="s">
        <v>113</v>
      </c>
      <c r="F687" s="152" t="s">
        <v>117</v>
      </c>
      <c r="G687" s="152" t="s">
        <v>114</v>
      </c>
      <c r="H687" s="152" t="n">
        <v>160</v>
      </c>
      <c r="I687" s="152" t="s">
        <v>115</v>
      </c>
      <c r="J687" s="152" t="s">
        <v>6</v>
      </c>
      <c r="K687" s="152" t="s">
        <v>3786</v>
      </c>
      <c r="L687" s="152" t="s">
        <v>120</v>
      </c>
      <c r="M687" s="153" t="n">
        <f aca="false">11.24</f>
        <v>11.24</v>
      </c>
      <c r="N687" s="152" t="s">
        <v>1548</v>
      </c>
      <c r="O687" s="152" t="s">
        <v>1549</v>
      </c>
      <c r="P687" s="152" t="s">
        <v>1550</v>
      </c>
      <c r="Q687" s="152" t="s">
        <v>1551</v>
      </c>
      <c r="R687" s="154" t="s">
        <v>4156</v>
      </c>
      <c r="S687" s="154" t="s">
        <v>1593</v>
      </c>
      <c r="T687" s="155" t="s">
        <v>4095</v>
      </c>
      <c r="U687" s="152" t="str">
        <f aca="false">RIGHT(T687,7)</f>
        <v>016/037</v>
      </c>
      <c r="V687" s="152" t="s">
        <v>1555</v>
      </c>
      <c r="W687" s="156" t="n">
        <v>45882</v>
      </c>
      <c r="X687" s="152" t="s">
        <v>1594</v>
      </c>
      <c r="Y687" s="152" t="s">
        <v>4157</v>
      </c>
      <c r="Z687" s="152" t="s">
        <v>1557</v>
      </c>
      <c r="AA687" s="153" t="n">
        <v>2.1</v>
      </c>
      <c r="AB687" s="151" t="s">
        <v>4158</v>
      </c>
      <c r="AC687" s="151" t="s">
        <v>505</v>
      </c>
      <c r="AD687" s="151" t="str">
        <f aca="false">CONCATENATE($C687,$I687,$H687,$N687,$J687,$K687)</f>
        <v>TUBO PEADPEAD160VCAREDESZona06</v>
      </c>
      <c r="AE687" s="153" t="n">
        <f aca="false">IFERROR(INDEX(APOIO_REDES!$A:$W,MATCH($C687&amp;$I687&amp;$H687&amp;$N687&amp;$O687,APOIO_REDES!$W:$W,0),MATCH(AE$5,APOIO_REDES!$5:$5,0)),0)</f>
        <v>1.2</v>
      </c>
      <c r="AF687" s="153" t="n">
        <f aca="false">IFERROR(INDEX(APOIO_REDES!$A:$W,MATCH($C687&amp;$I687&amp;$H687&amp;$N687&amp;$O687,APOIO_REDES!$W:$W,0),MATCH(AF$5,APOIO_REDES!$5:$5,0)),0)</f>
        <v>1.46</v>
      </c>
      <c r="AG687" s="153" t="n">
        <f aca="false">IFERROR(INDEX(APOIO_REDES!$A:$W,MATCH($C687&amp;$I687&amp;$H687&amp;$N687&amp;$O687,APOIO_REDES!$W:$W,0),MATCH(AG$5,APOIO_REDES!$5:$5,0)),0)</f>
        <v>0.75</v>
      </c>
      <c r="AH687" s="153" t="n">
        <f aca="false">IFERROR(INDEX(APOIO_REDES!$A:$W,MATCH($C687&amp;$I687&amp;$H687&amp;$N687&amp;$O687,APOIO_REDES!$W:$W,0),MATCH(AH$5,APOIO_REDES!$5:$5,0)),0)</f>
        <v>0.1</v>
      </c>
      <c r="AI687" s="153" t="n">
        <f aca="false">IFERROR(IF($H687&lt;&gt;"",(((($H687/1000)/2)^2)*PI()*$M687),0),0)</f>
        <v>0.225993609128635</v>
      </c>
      <c r="AJ687" s="153" t="n">
        <f aca="false">IFERROR(IF(AND($H687&lt;&gt;"",$I687="FoFo",OR($N687="MND",$N687="VCA"),$Q687="LINEAR"),0,IF(AND($H687&lt;&gt;"",$I687="PEAD",$N687="VCA",$Q687="LINEAR"),($H687/1000)+0.3,IF(AND($H687&lt;&gt;"",$I687="PEAD",$N687="MND",$Q687="EMBOQUE"),0,IF(AND($H687&lt;&gt;"",$I687="PVC",$N687="VCA",$Q687="LINEAR"),($H687/1000)+0.2,IF(AND($H687&lt;&gt;"",$I687="PVC",$N687="MND",$Q687="EMBOQUE"),0,IF(AND($H687&lt;&gt;"",$I687="PEAD",$N687="VCA",$Q687="PREDIAL"),0,0)))))),0)</f>
        <v>0.46</v>
      </c>
      <c r="AK687" s="153" t="n">
        <f aca="false">IF(AA687&lt;&gt;"",AA687,0)</f>
        <v>2.1</v>
      </c>
      <c r="AL687" s="153" t="n">
        <f aca="false">IF(AND($N687="MND",$Q687="EMBOQUE"),$M687,IF(AND($N687="VCA",$Q687="LINEAR"),$M687,IF(AND($N687="VCA",$Q687="PREDIAL"),0,0)))</f>
        <v>11.24</v>
      </c>
      <c r="AM687" s="153" t="n">
        <f aca="false">IF(AND($N687="MND",$Q687="EMBOQUE"),$M687,IF(AND($N687="VCA",$Q687="LINEAR"),$M687,IF(AND($N687="VCA",$Q687="PREDIAL"),0,0)))</f>
        <v>11.24</v>
      </c>
      <c r="AN687" s="153" t="n">
        <f aca="false">ROUND(IF(AND($N687="VCA",$M687&lt;&gt;"",$Q687="LINEAR"),$M687/100,IF(AND($N687="MND",$M687&gt;100,$Q687="EMBOQUE"),$M687/100,0)),0)</f>
        <v>0</v>
      </c>
      <c r="AO687" s="153" t="n">
        <f aca="false">IF(AND($N687="MND",$Q687="EMBOQUE"),$AN687*2*2,IF(AND($N687="VCA",$Q687="LINEAR"),$M687*2,IF(AND($N687="VCA",$Q687="PREDIAL"),0,0)))</f>
        <v>22.48</v>
      </c>
      <c r="AP687" s="153" t="n">
        <f aca="false">IFERROR($M687*$AF687*$AG687,0)</f>
        <v>12.3078</v>
      </c>
      <c r="AQ687" s="153" t="n">
        <f aca="false">IFERROR(IF(AND($N687="VCA",$AH687&gt;0),$M687*$AG687*$AH687,0),0)</f>
        <v>0.843</v>
      </c>
      <c r="AR687" s="153" t="n">
        <f aca="false">IFERROR(IF(AND($N687="VCA",$AJ687&gt;0),($M687*$AG687*$AJ687)-$AI687,0),0)</f>
        <v>3.65180639087136</v>
      </c>
      <c r="AS687" s="153" t="n">
        <f aca="false">IFERROR(IF(AND($N687="VCA",$AP687&gt;0),$AP687-$AI687-$AQ687-$AR687,0),0)</f>
        <v>7.587</v>
      </c>
      <c r="AT687" s="153" t="n">
        <f aca="false">IFERROR(IF($N687="VCA",INDEX(APOIO_REDES!$A:$W,MATCH($C687&amp;$I687&amp;$H687&amp;$N687&amp;$O687,APOIO_REDES!$W:$W,0),MATCH(AT$5,APOIO_REDES!$5:$5,0)),0)*$AP687,0)</f>
        <v>0.133912506922847</v>
      </c>
      <c r="AU687" s="153" t="n">
        <f aca="false">IFERROR(IF($N687="VCA",INDEX(APOIO_REDES!$A:$W,MATCH($C687&amp;$I687&amp;$H687&amp;$N687&amp;$O687,APOIO_REDES!$W:$W,0),MATCH(AU$5,APOIO_REDES!$5:$5,0)),0)*$AP687,0)</f>
        <v>0.106938901217945</v>
      </c>
      <c r="AV687" s="153" t="n">
        <f aca="false">IFERROR(IF($N687="VCA",INDEX(APOIO_REDES!$A:$W,MATCH($C687&amp;$I687&amp;$H687&amp;$N687&amp;$O687,APOIO_REDES!$W:$W,0),MATCH(AV$5,APOIO_REDES!$5:$5,0)),0)*$AP687,0)</f>
        <v>0.0147995044252737</v>
      </c>
      <c r="AW687" s="153" t="n">
        <f aca="false">IFERROR(IF($N687="VCA",INDEX(APOIO_REDES!$A:$W,MATCH($C687&amp;$I687&amp;$H687&amp;$N687&amp;$O687,APOIO_REDES!$W:$W,0),MATCH(AW$5,APOIO_REDES!$5:$5,0)),0)*$AP687,0)</f>
        <v>8.44816928548801</v>
      </c>
      <c r="AX687" s="153" t="n">
        <f aca="false">IFERROR(IF($N687="VCA",INDEX(APOIO_REDES!$A:$W,MATCH($C687&amp;$I687&amp;$H687&amp;$N687&amp;$O687,APOIO_REDES!$W:$W,0),MATCH(AX$5,APOIO_REDES!$5:$5,0)),0)*$AP687,0)</f>
        <v>1.1692025640458</v>
      </c>
      <c r="AY687" s="153" t="n">
        <f aca="false">IFERROR(IF($N687="VCA",INDEX(APOIO_REDES!$A:$W,MATCH($C687&amp;$I687&amp;$H687&amp;$N687&amp;$O687,APOIO_REDES!$W:$W,0),MATCH(AY$5,APOIO_REDES!$5:$5,0)),0)*$AP687,0)</f>
        <v>2.13877672078235</v>
      </c>
      <c r="AZ687" s="153" t="n">
        <f aca="false">IFERROR(IF($N687="VCA",INDEX(APOIO_REDES!$A:$W,MATCH($C687&amp;$I687&amp;$H687&amp;$N687&amp;$O687,APOIO_REDES!$W:$W,0),MATCH(AZ$5,APOIO_REDES!$5:$5,0)),0)*$AP687,0)</f>
        <v>0.29600051711777</v>
      </c>
      <c r="BA687" s="153" t="n">
        <f aca="false">IFERROR(IF(AND($N687="VCA",$Q687="LINEAR"),INDEX(APOIO_REDES!$A:$W,MATCH($C687&amp;$I687&amp;$H687&amp;$N687&amp;$O687,APOIO_REDES!$W:$W,0),MATCH(BA$5,APOIO_REDES!$5:$5,0)),IF(AND($N687="MND",$Q687="EMBOQUE"),INDEX(APOIO_REDES!$A:$W,MATCH($C687&amp;$I687&amp;$H687&amp;$N687&amp;$O687,APOIO_REDES!$W:$W,0),MATCH(BA$5,APOIO_REDES!$5:$5,0)),0))*$M687/10,0)</f>
        <v>0.905915647996731</v>
      </c>
      <c r="BB687" s="153" t="n">
        <f aca="false">IFERROR(IF($N687="VCA",INDEX(APOIO_REDES!$A:$W,MATCH($C687&amp;$I687&amp;$H687&amp;$N687&amp;$O687,APOIO_REDES!$W:$W,0),MATCH(BB$5,APOIO_REDES!$5:$5,0)),0)*($AI687+$AQ687+$AR687),0)</f>
        <v>4.66943629871452</v>
      </c>
      <c r="BC687" s="153" t="n">
        <f aca="false">IFERROR(IF($N687="VCA",INDEX(APOIO_REDES!$A:$W,MATCH($C687&amp;$I687&amp;$H687&amp;$N687&amp;$O687,APOIO_REDES!$W:$W,0),MATCH(BC$5,APOIO_REDES!$5:$5,0)),0)*($AI687+$AQ687+$AR687),0)</f>
        <v>0.0513637012854757</v>
      </c>
      <c r="BD687" s="153" t="n">
        <f aca="false">IF(AND($N687="VCA",$AF687&gt;=1.25,$AF687&lt;1.5),$M687*$AF687*2,0)</f>
        <v>32.8208</v>
      </c>
      <c r="BE687" s="153" t="n">
        <f aca="false">IF(AND($N687="VCA",$AF687&gt;=1.5,$AF687&lt;3),$M687*$AF687*2,0)</f>
        <v>0</v>
      </c>
      <c r="BF687" s="153" t="n">
        <f aca="false">IF(AND($N687="VCA",$AF687&gt;=3),$M687*$AF687*2,0)</f>
        <v>0</v>
      </c>
      <c r="BG687" s="153" t="n">
        <f aca="false">($BB687+$BC687)*$AK687</f>
        <v>9.91368</v>
      </c>
      <c r="BH687" s="153" t="n">
        <f aca="false">IF(AND($M687&lt;&gt;"",$N687="VCA",$Q687="LINEAR"),($M687*2)/100,IF(AND($M687&lt;&gt;"",$N687="MND",$Q687="EMBOQUE"),($AN687*2)/100,0))</f>
        <v>0.2248</v>
      </c>
      <c r="BI687" s="153" t="n">
        <f aca="false">IF(AND($M687&lt;&gt;"",$N687="VCA",$Q687="LINEAR"),$M687,IF(AND($M687&lt;&gt;"",$N687="MND",$Q687="EMBOQUE"),$AN687*2,0))</f>
        <v>11.24</v>
      </c>
      <c r="BJ687" s="153" t="n">
        <f aca="false">IF(AND($M687&lt;&gt;"",$N687="VCA",$Q687="LINEAR"),($M687*6.8)/100,IF(AND($M687&lt;&gt;"",$N687="MND",$Q687="EMBOQUE"),($AN687*2*6.8)/100,0))</f>
        <v>0.76432</v>
      </c>
      <c r="BK687" s="153" t="n">
        <f aca="false">IF(AND($M687&lt;&gt;"",$N687="VCA",$Q687="LINEAR"),($M687*2.5)/50,IF(AND($M687&lt;&gt;"",$N687="MND",$Q687="EMBOQUE"),($AN687*2*2.5)/50,0))</f>
        <v>0.562</v>
      </c>
      <c r="BL687" s="157" t="str">
        <f aca="false">K687&amp;J687</f>
        <v>Zona06REDES</v>
      </c>
      <c r="BM687" s="152" t="s">
        <v>3790</v>
      </c>
      <c r="BN687" s="152" t="s">
        <v>1560</v>
      </c>
      <c r="BO687" s="152" t="s">
        <v>4097</v>
      </c>
      <c r="BP687" s="152" t="s">
        <v>4006</v>
      </c>
      <c r="BQ687" s="152" t="s">
        <v>4152</v>
      </c>
      <c r="BR687" s="152" t="s">
        <v>4007</v>
      </c>
      <c r="BS687" s="152" t="n">
        <v>203776.917</v>
      </c>
      <c r="BT687" s="152" t="n">
        <v>8236949.382</v>
      </c>
      <c r="BU687" s="152" t="n">
        <v>203786.528</v>
      </c>
      <c r="BV687" s="152" t="n">
        <v>8236955.207</v>
      </c>
      <c r="BW687" s="152" t="n">
        <v>-15.9290184</v>
      </c>
      <c r="BX687" s="152" t="n">
        <v>-47.7667182</v>
      </c>
      <c r="BY687" s="152" t="s">
        <v>4006</v>
      </c>
    </row>
    <row r="688" customFormat="false" ht="13.8" hidden="false" customHeight="false" outlineLevel="0" collapsed="false">
      <c r="A688" s="149" t="n">
        <f aca="false">IF(C688&lt;&gt;"",ROW(A683),"")</f>
        <v>683</v>
      </c>
      <c r="B688" s="150" t="str">
        <f aca="false">HYPERLINK("https://www.google.com/maps/dir/-15.917302,-47.760003/-15.9292687,-47.7665130/data=!4m3!4m2!3e0!5i0")</f>
        <v>https://www.google.com/maps/dir/-15.917302,-47.760003/-15.9292687,-47.7665130/data=!4m3!4m2!3e0!5i0</v>
      </c>
      <c r="C688" s="151" t="s">
        <v>117</v>
      </c>
      <c r="D688" s="152" t="s">
        <v>112</v>
      </c>
      <c r="E688" s="152" t="s">
        <v>113</v>
      </c>
      <c r="F688" s="152" t="s">
        <v>117</v>
      </c>
      <c r="G688" s="152" t="s">
        <v>782</v>
      </c>
      <c r="H688" s="152" t="n">
        <v>110</v>
      </c>
      <c r="I688" s="152" t="s">
        <v>115</v>
      </c>
      <c r="J688" s="152" t="s">
        <v>6</v>
      </c>
      <c r="K688" s="152" t="s">
        <v>3786</v>
      </c>
      <c r="L688" s="152" t="s">
        <v>120</v>
      </c>
      <c r="M688" s="153" t="n">
        <f aca="false">32.22</f>
        <v>32.22</v>
      </c>
      <c r="N688" s="152" t="s">
        <v>1548</v>
      </c>
      <c r="O688" s="152" t="s">
        <v>1549</v>
      </c>
      <c r="P688" s="152" t="s">
        <v>1550</v>
      </c>
      <c r="Q688" s="152" t="s">
        <v>1551</v>
      </c>
      <c r="R688" s="154" t="s">
        <v>4159</v>
      </c>
      <c r="S688" s="154" t="s">
        <v>1593</v>
      </c>
      <c r="T688" s="155" t="s">
        <v>4095</v>
      </c>
      <c r="U688" s="152" t="str">
        <f aca="false">RIGHT(T688,7)</f>
        <v>016/037</v>
      </c>
      <c r="V688" s="152" t="s">
        <v>1555</v>
      </c>
      <c r="W688" s="156" t="n">
        <v>45882</v>
      </c>
      <c r="X688" s="152" t="s">
        <v>1594</v>
      </c>
      <c r="Y688" s="152" t="s">
        <v>4009</v>
      </c>
      <c r="Z688" s="152" t="s">
        <v>1557</v>
      </c>
      <c r="AA688" s="153" t="n">
        <v>2.1</v>
      </c>
      <c r="AB688" s="151" t="s">
        <v>4160</v>
      </c>
      <c r="AC688" s="151" t="s">
        <v>502</v>
      </c>
      <c r="AD688" s="151" t="str">
        <f aca="false">CONCATENATE($C688,$I688,$H688,$N688,$J688,$K688)</f>
        <v>TUBO PEADPEAD110VCAREDESZona06</v>
      </c>
      <c r="AE688" s="153" t="n">
        <f aca="false">IFERROR(INDEX(APOIO_REDES!$A:$W,MATCH($C688&amp;$I688&amp;$H688&amp;$N688&amp;$O688,APOIO_REDES!$W:$W,0),MATCH(AE$5,APOIO_REDES!$5:$5,0)),0)</f>
        <v>1.2</v>
      </c>
      <c r="AF688" s="153" t="n">
        <f aca="false">IFERROR(INDEX(APOIO_REDES!$A:$W,MATCH($C688&amp;$I688&amp;$H688&amp;$N688&amp;$O688,APOIO_REDES!$W:$W,0),MATCH(AF$5,APOIO_REDES!$5:$5,0)),0)</f>
        <v>1.41</v>
      </c>
      <c r="AG688" s="153" t="n">
        <f aca="false">IFERROR(INDEX(APOIO_REDES!$A:$W,MATCH($C688&amp;$I688&amp;$H688&amp;$N688&amp;$O688,APOIO_REDES!$W:$W,0),MATCH(AG$5,APOIO_REDES!$5:$5,0)),0)</f>
        <v>0.75</v>
      </c>
      <c r="AH688" s="153" t="n">
        <f aca="false">IFERROR(INDEX(APOIO_REDES!$A:$W,MATCH($C688&amp;$I688&amp;$H688&amp;$N688&amp;$O688,APOIO_REDES!$W:$W,0),MATCH(AH$5,APOIO_REDES!$5:$5,0)),0)</f>
        <v>0.1</v>
      </c>
      <c r="AI688" s="153" t="n">
        <f aca="false">IFERROR(IF($H688&lt;&gt;"",(((($H688/1000)/2)^2)*PI()*$M688),0),0)</f>
        <v>0.306196898778456</v>
      </c>
      <c r="AJ688" s="153" t="n">
        <f aca="false">IFERROR(IF(AND($H688&lt;&gt;"",$I688="FoFo",OR($N688="MND",$N688="VCA"),$Q688="LINEAR"),0,IF(AND($H688&lt;&gt;"",$I688="PEAD",$N688="VCA",$Q688="LINEAR"),($H688/1000)+0.3,IF(AND($H688&lt;&gt;"",$I688="PEAD",$N688="MND",$Q688="EMBOQUE"),0,IF(AND($H688&lt;&gt;"",$I688="PVC",$N688="VCA",$Q688="LINEAR"),($H688/1000)+0.2,IF(AND($H688&lt;&gt;"",$I688="PVC",$N688="MND",$Q688="EMBOQUE"),0,IF(AND($H688&lt;&gt;"",$I688="PEAD",$N688="VCA",$Q688="PREDIAL"),0,0)))))),0)</f>
        <v>0.41</v>
      </c>
      <c r="AK688" s="153" t="n">
        <f aca="false">IF(AA688&lt;&gt;"",AA688,0)</f>
        <v>2.1</v>
      </c>
      <c r="AL688" s="153" t="n">
        <f aca="false">IF(AND($N688="MND",$Q688="EMBOQUE"),$M688,IF(AND($N688="VCA",$Q688="LINEAR"),$M688,IF(AND($N688="VCA",$Q688="PREDIAL"),0,0)))</f>
        <v>32.22</v>
      </c>
      <c r="AM688" s="153" t="n">
        <f aca="false">IF(AND($N688="MND",$Q688="EMBOQUE"),$M688,IF(AND($N688="VCA",$Q688="LINEAR"),$M688,IF(AND($N688="VCA",$Q688="PREDIAL"),0,0)))</f>
        <v>32.22</v>
      </c>
      <c r="AN688" s="153" t="n">
        <f aca="false">ROUND(IF(AND($N688="VCA",$M688&lt;&gt;"",$Q688="LINEAR"),$M688/100,IF(AND($N688="MND",$M688&gt;100,$Q688="EMBOQUE"),$M688/100,0)),0)</f>
        <v>0</v>
      </c>
      <c r="AO688" s="153" t="n">
        <f aca="false">IF(AND($N688="MND",$Q688="EMBOQUE"),$AN688*2*2,IF(AND($N688="VCA",$Q688="LINEAR"),$M688*2,IF(AND($N688="VCA",$Q688="PREDIAL"),0,0)))</f>
        <v>64.44</v>
      </c>
      <c r="AP688" s="153" t="n">
        <f aca="false">IFERROR($M688*$AF688*$AG688,0)</f>
        <v>34.07265</v>
      </c>
      <c r="AQ688" s="153" t="n">
        <f aca="false">IFERROR(IF(AND($N688="VCA",$AH688&gt;0),$M688*$AG688*$AH688,0),0)</f>
        <v>2.4165</v>
      </c>
      <c r="AR688" s="153" t="n">
        <f aca="false">IFERROR(IF(AND($N688="VCA",$AJ688&gt;0),($M688*$AG688*$AJ688)-$AI688,0),0)</f>
        <v>9.60145310122154</v>
      </c>
      <c r="AS688" s="153" t="n">
        <f aca="false">IFERROR(IF(AND($N688="VCA",$AP688&gt;0),$AP688-$AI688-$AQ688-$AR688,0),0)</f>
        <v>21.7485</v>
      </c>
      <c r="AT688" s="153" t="n">
        <f aca="false">IFERROR(IF($N688="VCA",INDEX(APOIO_REDES!$A:$W,MATCH($C688&amp;$I688&amp;$H688&amp;$N688&amp;$O688,APOIO_REDES!$W:$W,0),MATCH(AT$5,APOIO_REDES!$5:$5,0)),0)*$AP688,0)</f>
        <v>0.370720516989613</v>
      </c>
      <c r="AU688" s="153" t="n">
        <f aca="false">IFERROR(IF($N688="VCA",INDEX(APOIO_REDES!$A:$W,MATCH($C688&amp;$I688&amp;$H688&amp;$N688&amp;$O688,APOIO_REDES!$W:$W,0),MATCH(AU$5,APOIO_REDES!$5:$5,0)),0)*$AP688,0)</f>
        <v>0.296047364482978</v>
      </c>
      <c r="AV688" s="153" t="n">
        <f aca="false">IFERROR(IF($N688="VCA",INDEX(APOIO_REDES!$A:$W,MATCH($C688&amp;$I688&amp;$H688&amp;$N688&amp;$O688,APOIO_REDES!$W:$W,0),MATCH(AV$5,APOIO_REDES!$5:$5,0)),0)*$AP688,0)</f>
        <v>0.0409706311815109</v>
      </c>
      <c r="AW688" s="153" t="n">
        <f aca="false">IFERROR(IF($N688="VCA",INDEX(APOIO_REDES!$A:$W,MATCH($C688&amp;$I688&amp;$H688&amp;$N688&amp;$O688,APOIO_REDES!$W:$W,0),MATCH(AW$5,APOIO_REDES!$5:$5,0)),0)*$AP688,0)</f>
        <v>23.3877309677752</v>
      </c>
      <c r="AX688" s="153" t="n">
        <f aca="false">IFERROR(IF($N688="VCA",INDEX(APOIO_REDES!$A:$W,MATCH($C688&amp;$I688&amp;$H688&amp;$N688&amp;$O688,APOIO_REDES!$W:$W,0),MATCH(AX$5,APOIO_REDES!$5:$5,0)),0)*$AP688,0)</f>
        <v>3.23679534472735</v>
      </c>
      <c r="AY688" s="153" t="n">
        <f aca="false">IFERROR(IF($N688="VCA",INDEX(APOIO_REDES!$A:$W,MATCH($C688&amp;$I688&amp;$H688&amp;$N688&amp;$O688,APOIO_REDES!$W:$W,0),MATCH(AY$5,APOIO_REDES!$5:$5,0)),0)*$AP688,0)</f>
        <v>5.92094368086619</v>
      </c>
      <c r="AZ688" s="153" t="n">
        <f aca="false">IFERROR(IF($N688="VCA",INDEX(APOIO_REDES!$A:$W,MATCH($C688&amp;$I688&amp;$H688&amp;$N688&amp;$O688,APOIO_REDES!$W:$W,0),MATCH(AZ$5,APOIO_REDES!$5:$5,0)),0)*$AP688,0)</f>
        <v>0.819441493977215</v>
      </c>
      <c r="BA688" s="153" t="n">
        <f aca="false">IFERROR(IF(AND($N688="VCA",$Q688="LINEAR"),INDEX(APOIO_REDES!$A:$W,MATCH($C688&amp;$I688&amp;$H688&amp;$N688&amp;$O688,APOIO_REDES!$W:$W,0),MATCH(BA$5,APOIO_REDES!$5:$5,0)),IF(AND($N688="MND",$Q688="EMBOQUE"),INDEX(APOIO_REDES!$A:$W,MATCH($C688&amp;$I688&amp;$H688&amp;$N688&amp;$O688,APOIO_REDES!$W:$W,0),MATCH(BA$5,APOIO_REDES!$5:$5,0)),0))*$M688/10,0)</f>
        <v>2.59685072762052</v>
      </c>
      <c r="BB688" s="153" t="n">
        <f aca="false">IFERROR(IF($N688="VCA",INDEX(APOIO_REDES!$A:$W,MATCH($C688&amp;$I688&amp;$H688&amp;$N688&amp;$O688,APOIO_REDES!$W:$W,0),MATCH(BB$5,APOIO_REDES!$5:$5,0)),0)*($AI688+$AQ688+$AR688),0)</f>
        <v>12.1900596002378</v>
      </c>
      <c r="BC688" s="153" t="n">
        <f aca="false">IFERROR(IF($N688="VCA",INDEX(APOIO_REDES!$A:$W,MATCH($C688&amp;$I688&amp;$H688&amp;$N688&amp;$O688,APOIO_REDES!$W:$W,0),MATCH(BC$5,APOIO_REDES!$5:$5,0)),0)*($AI688+$AQ688+$AR688),0)</f>
        <v>0.1340903997622</v>
      </c>
      <c r="BD688" s="153" t="n">
        <f aca="false">IF(AND($N688="VCA",$AF688&gt;=1.25,$AF688&lt;1.5),$M688*$AF688*2,0)</f>
        <v>90.8604</v>
      </c>
      <c r="BE688" s="153" t="n">
        <f aca="false">IF(AND($N688="VCA",$AF688&gt;=1.5,$AF688&lt;3),$M688*$AF688*2,0)</f>
        <v>0</v>
      </c>
      <c r="BF688" s="153" t="n">
        <f aca="false">IF(AND($N688="VCA",$AF688&gt;=3),$M688*$AF688*2,0)</f>
        <v>0</v>
      </c>
      <c r="BG688" s="153" t="n">
        <f aca="false">($BB688+$BC688)*$AK688</f>
        <v>25.880715</v>
      </c>
      <c r="BH688" s="153" t="n">
        <f aca="false">IF(AND($M688&lt;&gt;"",$N688="VCA",$Q688="LINEAR"),($M688*2)/100,IF(AND($M688&lt;&gt;"",$N688="MND",$Q688="EMBOQUE"),($AN688*2)/100,0))</f>
        <v>0.6444</v>
      </c>
      <c r="BI688" s="153" t="n">
        <f aca="false">IF(AND($M688&lt;&gt;"",$N688="VCA",$Q688="LINEAR"),$M688,IF(AND($M688&lt;&gt;"",$N688="MND",$Q688="EMBOQUE"),$AN688*2,0))</f>
        <v>32.22</v>
      </c>
      <c r="BJ688" s="153" t="n">
        <f aca="false">IF(AND($M688&lt;&gt;"",$N688="VCA",$Q688="LINEAR"),($M688*6.8)/100,IF(AND($M688&lt;&gt;"",$N688="MND",$Q688="EMBOQUE"),($AN688*2*6.8)/100,0))</f>
        <v>2.19096</v>
      </c>
      <c r="BK688" s="153" t="n">
        <f aca="false">IF(AND($M688&lt;&gt;"",$N688="VCA",$Q688="LINEAR"),($M688*2.5)/50,IF(AND($M688&lt;&gt;"",$N688="MND",$Q688="EMBOQUE"),($AN688*2*2.5)/50,0))</f>
        <v>1.611</v>
      </c>
      <c r="BL688" s="157" t="str">
        <f aca="false">K688&amp;J688</f>
        <v>Zona06REDES</v>
      </c>
      <c r="BM688" s="152" t="s">
        <v>3790</v>
      </c>
      <c r="BN688" s="152" t="s">
        <v>1560</v>
      </c>
      <c r="BO688" s="152" t="s">
        <v>4097</v>
      </c>
      <c r="BP688" s="152" t="s">
        <v>4161</v>
      </c>
      <c r="BQ688" s="152" t="s">
        <v>4011</v>
      </c>
      <c r="BR688" s="152" t="s">
        <v>4162</v>
      </c>
      <c r="BS688" s="152" t="n">
        <v>203804.097</v>
      </c>
      <c r="BT688" s="152" t="n">
        <v>8236924.838</v>
      </c>
      <c r="BU688" s="152" t="n">
        <v>203781.806</v>
      </c>
      <c r="BV688" s="152" t="n">
        <v>8236948.108</v>
      </c>
      <c r="BW688" s="152" t="n">
        <v>-15.9291628</v>
      </c>
      <c r="BX688" s="152" t="n">
        <v>-47.7666161</v>
      </c>
      <c r="BY688" s="152" t="s">
        <v>4161</v>
      </c>
    </row>
    <row r="689" customFormat="false" ht="13.8" hidden="false" customHeight="false" outlineLevel="0" collapsed="false">
      <c r="A689" s="149" t="n">
        <f aca="false">IF(C689&lt;&gt;"",ROW(A684),"")</f>
        <v>684</v>
      </c>
      <c r="B689" s="150" t="str">
        <f aca="false">HYPERLINK("https://www.google.com/maps/dir/-15.917302,-47.760003/-15.9296260,-47.7661800/data=!4m3!4m2!3e0!5i2")</f>
        <v>https://www.google.com/maps/dir/-15.917302,-47.760003/-15.9296260,-47.7661800/data=!4m3!4m2!3e0!5i2</v>
      </c>
      <c r="C689" s="151" t="s">
        <v>117</v>
      </c>
      <c r="D689" s="152" t="s">
        <v>112</v>
      </c>
      <c r="E689" s="152" t="s">
        <v>113</v>
      </c>
      <c r="F689" s="152" t="s">
        <v>117</v>
      </c>
      <c r="G689" s="152" t="s">
        <v>782</v>
      </c>
      <c r="H689" s="152" t="n">
        <v>110</v>
      </c>
      <c r="I689" s="152" t="s">
        <v>115</v>
      </c>
      <c r="J689" s="152" t="s">
        <v>6</v>
      </c>
      <c r="K689" s="152" t="s">
        <v>3786</v>
      </c>
      <c r="L689" s="152" t="s">
        <v>120</v>
      </c>
      <c r="M689" s="153" t="n">
        <f aca="false">53.29</f>
        <v>53.29</v>
      </c>
      <c r="N689" s="152" t="s">
        <v>1548</v>
      </c>
      <c r="O689" s="152" t="s">
        <v>1549</v>
      </c>
      <c r="P689" s="152" t="s">
        <v>1550</v>
      </c>
      <c r="Q689" s="152" t="s">
        <v>1551</v>
      </c>
      <c r="R689" s="154" t="s">
        <v>4163</v>
      </c>
      <c r="S689" s="154" t="s">
        <v>1593</v>
      </c>
      <c r="T689" s="155" t="s">
        <v>4095</v>
      </c>
      <c r="U689" s="152" t="str">
        <f aca="false">RIGHT(T689,7)</f>
        <v>016/037</v>
      </c>
      <c r="V689" s="152" t="s">
        <v>1555</v>
      </c>
      <c r="W689" s="156" t="n">
        <v>45882</v>
      </c>
      <c r="X689" s="152" t="s">
        <v>1594</v>
      </c>
      <c r="Y689" s="152" t="s">
        <v>4009</v>
      </c>
      <c r="Z689" s="152" t="s">
        <v>1557</v>
      </c>
      <c r="AA689" s="153" t="n">
        <v>2.7</v>
      </c>
      <c r="AB689" s="151" t="s">
        <v>4164</v>
      </c>
      <c r="AC689" s="151" t="s">
        <v>502</v>
      </c>
      <c r="AD689" s="151" t="str">
        <f aca="false">CONCATENATE($C689,$I689,$H689,$N689,$J689,$K689)</f>
        <v>TUBO PEADPEAD110VCAREDESZona06</v>
      </c>
      <c r="AE689" s="153" t="n">
        <f aca="false">IFERROR(INDEX(APOIO_REDES!$A:$W,MATCH($C689&amp;$I689&amp;$H689&amp;$N689&amp;$O689,APOIO_REDES!$W:$W,0),MATCH(AE$5,APOIO_REDES!$5:$5,0)),0)</f>
        <v>1.2</v>
      </c>
      <c r="AF689" s="153" t="n">
        <f aca="false">IFERROR(INDEX(APOIO_REDES!$A:$W,MATCH($C689&amp;$I689&amp;$H689&amp;$N689&amp;$O689,APOIO_REDES!$W:$W,0),MATCH(AF$5,APOIO_REDES!$5:$5,0)),0)</f>
        <v>1.41</v>
      </c>
      <c r="AG689" s="153" t="n">
        <f aca="false">IFERROR(INDEX(APOIO_REDES!$A:$W,MATCH($C689&amp;$I689&amp;$H689&amp;$N689&amp;$O689,APOIO_REDES!$W:$W,0),MATCH(AG$5,APOIO_REDES!$5:$5,0)),0)</f>
        <v>0.75</v>
      </c>
      <c r="AH689" s="153" t="n">
        <f aca="false">IFERROR(INDEX(APOIO_REDES!$A:$W,MATCH($C689&amp;$I689&amp;$H689&amp;$N689&amp;$O689,APOIO_REDES!$W:$W,0),MATCH(AH$5,APOIO_REDES!$5:$5,0)),0)</f>
        <v>0.1</v>
      </c>
      <c r="AI689" s="153" t="n">
        <f aca="false">IFERROR(IF($H689&lt;&gt;"",(((($H689/1000)/2)^2)*PI()*$M689),0),0)</f>
        <v>0.506431804342145</v>
      </c>
      <c r="AJ689" s="153" t="n">
        <f aca="false">IFERROR(IF(AND($H689&lt;&gt;"",$I689="FoFo",OR($N689="MND",$N689="VCA"),$Q689="LINEAR"),0,IF(AND($H689&lt;&gt;"",$I689="PEAD",$N689="VCA",$Q689="LINEAR"),($H689/1000)+0.3,IF(AND($H689&lt;&gt;"",$I689="PEAD",$N689="MND",$Q689="EMBOQUE"),0,IF(AND($H689&lt;&gt;"",$I689="PVC",$N689="VCA",$Q689="LINEAR"),($H689/1000)+0.2,IF(AND($H689&lt;&gt;"",$I689="PVC",$N689="MND",$Q689="EMBOQUE"),0,IF(AND($H689&lt;&gt;"",$I689="PEAD",$N689="VCA",$Q689="PREDIAL"),0,0)))))),0)</f>
        <v>0.41</v>
      </c>
      <c r="AK689" s="153" t="n">
        <f aca="false">IF(AA689&lt;&gt;"",AA689,0)</f>
        <v>2.7</v>
      </c>
      <c r="AL689" s="153" t="n">
        <f aca="false">IF(AND($N689="MND",$Q689="EMBOQUE"),$M689,IF(AND($N689="VCA",$Q689="LINEAR"),$M689,IF(AND($N689="VCA",$Q689="PREDIAL"),0,0)))</f>
        <v>53.29</v>
      </c>
      <c r="AM689" s="153" t="n">
        <f aca="false">IF(AND($N689="MND",$Q689="EMBOQUE"),$M689,IF(AND($N689="VCA",$Q689="LINEAR"),$M689,IF(AND($N689="VCA",$Q689="PREDIAL"),0,0)))</f>
        <v>53.29</v>
      </c>
      <c r="AN689" s="153" t="n">
        <f aca="false">ROUND(IF(AND($N689="VCA",$M689&lt;&gt;"",$Q689="LINEAR"),$M689/100,IF(AND($N689="MND",$M689&gt;100,$Q689="EMBOQUE"),$M689/100,0)),0)</f>
        <v>1</v>
      </c>
      <c r="AO689" s="153" t="n">
        <f aca="false">IF(AND($N689="MND",$Q689="EMBOQUE"),$AN689*2*2,IF(AND($N689="VCA",$Q689="LINEAR"),$M689*2,IF(AND($N689="VCA",$Q689="PREDIAL"),0,0)))</f>
        <v>106.58</v>
      </c>
      <c r="AP689" s="153" t="n">
        <f aca="false">IFERROR($M689*$AF689*$AG689,0)</f>
        <v>56.354175</v>
      </c>
      <c r="AQ689" s="153" t="n">
        <f aca="false">IFERROR(IF(AND($N689="VCA",$AH689&gt;0),$M689*$AG689*$AH689,0),0)</f>
        <v>3.99675</v>
      </c>
      <c r="AR689" s="153" t="n">
        <f aca="false">IFERROR(IF(AND($N689="VCA",$AJ689&gt;0),($M689*$AG689*$AJ689)-$AI689,0),0)</f>
        <v>15.8802431956579</v>
      </c>
      <c r="AS689" s="153" t="n">
        <f aca="false">IFERROR(IF(AND($N689="VCA",$AP689&gt;0),$AP689-$AI689-$AQ689-$AR689,0),0)</f>
        <v>35.97075</v>
      </c>
      <c r="AT689" s="153" t="n">
        <f aca="false">IFERROR(IF($N689="VCA",INDEX(APOIO_REDES!$A:$W,MATCH($C689&amp;$I689&amp;$H689&amp;$N689&amp;$O689,APOIO_REDES!$W:$W,0),MATCH(AT$5,APOIO_REDES!$5:$5,0)),0)*$AP689,0)</f>
        <v>0.613150103984372</v>
      </c>
      <c r="AU689" s="153" t="n">
        <f aca="false">IFERROR(IF($N689="VCA",INDEX(APOIO_REDES!$A:$W,MATCH($C689&amp;$I689&amp;$H689&amp;$N689&amp;$O689,APOIO_REDES!$W:$W,0),MATCH(AU$5,APOIO_REDES!$5:$5,0)),0)*$AP689,0)</f>
        <v>0.489645066831096</v>
      </c>
      <c r="AV689" s="153" t="n">
        <f aca="false">IFERROR(IF($N689="VCA",INDEX(APOIO_REDES!$A:$W,MATCH($C689&amp;$I689&amp;$H689&amp;$N689&amp;$O689,APOIO_REDES!$W:$W,0),MATCH(AV$5,APOIO_REDES!$5:$5,0)),0)*$AP689,0)</f>
        <v>0.0677630333849385</v>
      </c>
      <c r="AW689" s="153" t="n">
        <f aca="false">IFERROR(IF($N689="VCA",INDEX(APOIO_REDES!$A:$W,MATCH($C689&amp;$I689&amp;$H689&amp;$N689&amp;$O689,APOIO_REDES!$W:$W,0),MATCH(AW$5,APOIO_REDES!$5:$5,0)),0)*$AP689,0)</f>
        <v>38.6819423734555</v>
      </c>
      <c r="AX689" s="153" t="n">
        <f aca="false">IFERROR(IF($N689="VCA",INDEX(APOIO_REDES!$A:$W,MATCH($C689&amp;$I689&amp;$H689&amp;$N689&amp;$O689,APOIO_REDES!$W:$W,0),MATCH(AX$5,APOIO_REDES!$5:$5,0)),0)*$AP689,0)</f>
        <v>5.35347063688766</v>
      </c>
      <c r="AY689" s="153" t="n">
        <f aca="false">IFERROR(IF($N689="VCA",INDEX(APOIO_REDES!$A:$W,MATCH($C689&amp;$I689&amp;$H689&amp;$N689&amp;$O689,APOIO_REDES!$W:$W,0),MATCH(AY$5,APOIO_REDES!$5:$5,0)),0)*$AP689,0)</f>
        <v>9.79289536788824</v>
      </c>
      <c r="AZ689" s="153" t="n">
        <f aca="false">IFERROR(IF($N689="VCA",INDEX(APOIO_REDES!$A:$W,MATCH($C689&amp;$I689&amp;$H689&amp;$N689&amp;$O689,APOIO_REDES!$W:$W,0),MATCH(AZ$5,APOIO_REDES!$5:$5,0)),0)*$AP689,0)</f>
        <v>1.35530841756815</v>
      </c>
      <c r="BA689" s="153" t="n">
        <f aca="false">IFERROR(IF(AND($N689="VCA",$Q689="LINEAR"),INDEX(APOIO_REDES!$A:$W,MATCH($C689&amp;$I689&amp;$H689&amp;$N689&amp;$O689,APOIO_REDES!$W:$W,0),MATCH(BA$5,APOIO_REDES!$5:$5,0)),IF(AND($N689="MND",$Q689="EMBOQUE"),INDEX(APOIO_REDES!$A:$W,MATCH($C689&amp;$I689&amp;$H689&amp;$N689&amp;$O689,APOIO_REDES!$W:$W,0),MATCH(BA$5,APOIO_REDES!$5:$5,0)),0))*$M689/10,0)</f>
        <v>4.29503958022649</v>
      </c>
      <c r="BB689" s="153" t="n">
        <f aca="false">IFERROR(IF($N689="VCA",INDEX(APOIO_REDES!$A:$W,MATCH($C689&amp;$I689&amp;$H689&amp;$N689&amp;$O689,APOIO_REDES!$W:$W,0),MATCH(BB$5,APOIO_REDES!$5:$5,0)),0)*($AI689+$AQ689+$AR689),0)</f>
        <v>20.1616473028142</v>
      </c>
      <c r="BC689" s="153" t="n">
        <f aca="false">IFERROR(IF($N689="VCA",INDEX(APOIO_REDES!$A:$W,MATCH($C689&amp;$I689&amp;$H689&amp;$N689&amp;$O689,APOIO_REDES!$W:$W,0),MATCH(BC$5,APOIO_REDES!$5:$5,0)),0)*($AI689+$AQ689+$AR689),0)</f>
        <v>0.221777697185837</v>
      </c>
      <c r="BD689" s="153" t="n">
        <f aca="false">IF(AND($N689="VCA",$AF689&gt;=1.25,$AF689&lt;1.5),$M689*$AF689*2,0)</f>
        <v>150.2778</v>
      </c>
      <c r="BE689" s="153" t="n">
        <f aca="false">IF(AND($N689="VCA",$AF689&gt;=1.5,$AF689&lt;3),$M689*$AF689*2,0)</f>
        <v>0</v>
      </c>
      <c r="BF689" s="153" t="n">
        <f aca="false">IF(AND($N689="VCA",$AF689&gt;=3),$M689*$AF689*2,0)</f>
        <v>0</v>
      </c>
      <c r="BG689" s="153" t="n">
        <f aca="false">($BB689+$BC689)*$AK689</f>
        <v>55.0352475</v>
      </c>
      <c r="BH689" s="153" t="n">
        <f aca="false">IF(AND($M689&lt;&gt;"",$N689="VCA",$Q689="LINEAR"),($M689*2)/100,IF(AND($M689&lt;&gt;"",$N689="MND",$Q689="EMBOQUE"),($AN689*2)/100,0))</f>
        <v>1.0658</v>
      </c>
      <c r="BI689" s="153" t="n">
        <f aca="false">IF(AND($M689&lt;&gt;"",$N689="VCA",$Q689="LINEAR"),$M689,IF(AND($M689&lt;&gt;"",$N689="MND",$Q689="EMBOQUE"),$AN689*2,0))</f>
        <v>53.29</v>
      </c>
      <c r="BJ689" s="153" t="n">
        <f aca="false">IF(AND($M689&lt;&gt;"",$N689="VCA",$Q689="LINEAR"),($M689*6.8)/100,IF(AND($M689&lt;&gt;"",$N689="MND",$Q689="EMBOQUE"),($AN689*2*6.8)/100,0))</f>
        <v>3.62372</v>
      </c>
      <c r="BK689" s="153" t="n">
        <f aca="false">IF(AND($M689&lt;&gt;"",$N689="VCA",$Q689="LINEAR"),($M689*2.5)/50,IF(AND($M689&lt;&gt;"",$N689="MND",$Q689="EMBOQUE"),($AN689*2*2.5)/50,0))</f>
        <v>2.6645</v>
      </c>
      <c r="BL689" s="157" t="str">
        <f aca="false">K689&amp;J689</f>
        <v>Zona06REDES</v>
      </c>
      <c r="BM689" s="152" t="s">
        <v>3790</v>
      </c>
      <c r="BN689" s="152" t="s">
        <v>1560</v>
      </c>
      <c r="BO689" s="152" t="s">
        <v>4097</v>
      </c>
      <c r="BP689" s="152" t="s">
        <v>4165</v>
      </c>
      <c r="BQ689" s="152" t="s">
        <v>4161</v>
      </c>
      <c r="BR689" s="152" t="s">
        <v>4166</v>
      </c>
      <c r="BS689" s="152" t="n">
        <v>203840.294</v>
      </c>
      <c r="BT689" s="152" t="n">
        <v>8236885.748</v>
      </c>
      <c r="BU689" s="152" t="n">
        <v>203804.097</v>
      </c>
      <c r="BV689" s="152" t="n">
        <v>8236924.838</v>
      </c>
      <c r="BW689" s="152" t="n">
        <v>-15.9294485</v>
      </c>
      <c r="BX689" s="152" t="n">
        <v>-47.7663478</v>
      </c>
      <c r="BY689" s="152" t="s">
        <v>4165</v>
      </c>
    </row>
    <row r="690" customFormat="false" ht="13.8" hidden="false" customHeight="false" outlineLevel="0" collapsed="false">
      <c r="A690" s="149" t="n">
        <f aca="false">IF(C690&lt;&gt;"",ROW(A685),"")</f>
        <v>685</v>
      </c>
      <c r="B690" s="150" t="str">
        <f aca="false">HYPERLINK("https://www.google.com/maps/dir/-15.917302,-47.760003/-15.9299521,-47.7671968/data=!4m3!4m2!3e0!5i0")</f>
        <v>https://www.google.com/maps/dir/-15.917302,-47.760003/-15.9299521,-47.7671968/data=!4m3!4m2!3e0!5i0</v>
      </c>
      <c r="C690" s="151" t="s">
        <v>117</v>
      </c>
      <c r="D690" s="152" t="s">
        <v>112</v>
      </c>
      <c r="E690" s="152" t="s">
        <v>113</v>
      </c>
      <c r="F690" s="152" t="s">
        <v>117</v>
      </c>
      <c r="G690" s="152" t="s">
        <v>782</v>
      </c>
      <c r="H690" s="152" t="n">
        <v>63</v>
      </c>
      <c r="I690" s="152" t="s">
        <v>115</v>
      </c>
      <c r="J690" s="152" t="s">
        <v>6</v>
      </c>
      <c r="K690" s="152" t="s">
        <v>3786</v>
      </c>
      <c r="L690" s="152" t="s">
        <v>120</v>
      </c>
      <c r="M690" s="153" t="n">
        <f aca="false">107.46+4.14</f>
        <v>111.6</v>
      </c>
      <c r="N690" s="152" t="s">
        <v>1548</v>
      </c>
      <c r="O690" s="152" t="s">
        <v>1549</v>
      </c>
      <c r="P690" s="152" t="s">
        <v>1550</v>
      </c>
      <c r="Q690" s="152" t="s">
        <v>1551</v>
      </c>
      <c r="R690" s="154" t="s">
        <v>4167</v>
      </c>
      <c r="S690" s="154" t="s">
        <v>1553</v>
      </c>
      <c r="T690" s="155" t="s">
        <v>4095</v>
      </c>
      <c r="U690" s="152" t="str">
        <f aca="false">RIGHT(T690,7)</f>
        <v>016/037</v>
      </c>
      <c r="V690" s="152" t="s">
        <v>1555</v>
      </c>
      <c r="W690" s="156" t="n">
        <v>45882</v>
      </c>
      <c r="X690" s="152" t="s">
        <v>1594</v>
      </c>
      <c r="Y690" s="152" t="s">
        <v>4015</v>
      </c>
      <c r="Z690" s="152" t="s">
        <v>1557</v>
      </c>
      <c r="AA690" s="153" t="n">
        <v>2.2</v>
      </c>
      <c r="AB690" s="151" t="s">
        <v>4168</v>
      </c>
      <c r="AC690" s="151" t="s">
        <v>186</v>
      </c>
      <c r="AD690" s="151" t="str">
        <f aca="false">CONCATENATE($C690,$I690,$H690,$N690,$J690,$K690)</f>
        <v>TUBO PEADPEAD63VCAREDESZona06</v>
      </c>
      <c r="AE690" s="153" t="n">
        <f aca="false">IFERROR(INDEX(APOIO_REDES!$A:$W,MATCH($C690&amp;$I690&amp;$H690&amp;$N690&amp;$O690,APOIO_REDES!$W:$W,0),MATCH(AE$5,APOIO_REDES!$5:$5,0)),0)</f>
        <v>1.2</v>
      </c>
      <c r="AF690" s="153" t="n">
        <f aca="false">IFERROR(INDEX(APOIO_REDES!$A:$W,MATCH($C690&amp;$I690&amp;$H690&amp;$N690&amp;$O690,APOIO_REDES!$W:$W,0),MATCH(AF$5,APOIO_REDES!$5:$5,0)),0)</f>
        <v>1.363</v>
      </c>
      <c r="AG690" s="153" t="n">
        <f aca="false">IFERROR(INDEX(APOIO_REDES!$A:$W,MATCH($C690&amp;$I690&amp;$H690&amp;$N690&amp;$O690,APOIO_REDES!$W:$W,0),MATCH(AG$5,APOIO_REDES!$5:$5,0)),0)</f>
        <v>0.65</v>
      </c>
      <c r="AH690" s="153" t="n">
        <f aca="false">IFERROR(INDEX(APOIO_REDES!$A:$W,MATCH($C690&amp;$I690&amp;$H690&amp;$N690&amp;$O690,APOIO_REDES!$W:$W,0),MATCH(AH$5,APOIO_REDES!$5:$5,0)),0)</f>
        <v>0.1</v>
      </c>
      <c r="AI690" s="153" t="n">
        <f aca="false">IFERROR(IF($H690&lt;&gt;"",(((($H690/1000)/2)^2)*PI()*$M690),0),0)</f>
        <v>0.347884576654531</v>
      </c>
      <c r="AJ690" s="153" t="n">
        <f aca="false">IFERROR(IF(AND($H690&lt;&gt;"",$I690="FoFo",OR($N690="MND",$N690="VCA"),$Q690="LINEAR"),0,IF(AND($H690&lt;&gt;"",$I690="PEAD",$N690="VCA",$Q690="LINEAR"),($H690/1000)+0.3,IF(AND($H690&lt;&gt;"",$I690="PEAD",$N690="MND",$Q690="EMBOQUE"),0,IF(AND($H690&lt;&gt;"",$I690="PVC",$N690="VCA",$Q690="LINEAR"),($H690/1000)+0.2,IF(AND($H690&lt;&gt;"",$I690="PVC",$N690="MND",$Q690="EMBOQUE"),0,IF(AND($H690&lt;&gt;"",$I690="PEAD",$N690="VCA",$Q690="PREDIAL"),0,0)))))),0)</f>
        <v>0.363</v>
      </c>
      <c r="AK690" s="153" t="n">
        <f aca="false">IF(AA690&lt;&gt;"",AA690,0)</f>
        <v>2.2</v>
      </c>
      <c r="AL690" s="153" t="n">
        <f aca="false">IF(AND($N690="MND",$Q690="EMBOQUE"),$M690,IF(AND($N690="VCA",$Q690="LINEAR"),$M690,IF(AND($N690="VCA",$Q690="PREDIAL"),0,0)))</f>
        <v>111.6</v>
      </c>
      <c r="AM690" s="153" t="n">
        <f aca="false">IF(AND($N690="MND",$Q690="EMBOQUE"),$M690,IF(AND($N690="VCA",$Q690="LINEAR"),$M690,IF(AND($N690="VCA",$Q690="PREDIAL"),0,0)))</f>
        <v>111.6</v>
      </c>
      <c r="AN690" s="153" t="n">
        <f aca="false">ROUND(IF(AND($N690="VCA",$M690&lt;&gt;"",$Q690="LINEAR"),$M690/100,IF(AND($N690="MND",$M690&gt;100,$Q690="EMBOQUE"),$M690/100,0)),0)</f>
        <v>1</v>
      </c>
      <c r="AO690" s="153" t="n">
        <f aca="false">IF(AND($N690="MND",$Q690="EMBOQUE"),$AN690*2*2,IF(AND($N690="VCA",$Q690="LINEAR"),$M690*2,IF(AND($N690="VCA",$Q690="PREDIAL"),0,0)))</f>
        <v>223.2</v>
      </c>
      <c r="AP690" s="153" t="n">
        <f aca="false">IFERROR($M690*$AF690*$AG690,0)</f>
        <v>98.87202</v>
      </c>
      <c r="AQ690" s="153" t="n">
        <f aca="false">IFERROR(IF(AND($N690="VCA",$AH690&gt;0),$M690*$AG690*$AH690,0),0)</f>
        <v>7.254</v>
      </c>
      <c r="AR690" s="153" t="n">
        <f aca="false">IFERROR(IF(AND($N690="VCA",$AJ690&gt;0),($M690*$AG690*$AJ690)-$AI690,0),0)</f>
        <v>25.9841354233455</v>
      </c>
      <c r="AS690" s="153" t="n">
        <f aca="false">IFERROR(IF(AND($N690="VCA",$AP690&gt;0),$AP690-$AI690-$AQ690-$AR690,0),0)</f>
        <v>65.286</v>
      </c>
      <c r="AT690" s="153" t="n">
        <f aca="false">IFERROR(IF($N690="VCA",INDEX(APOIO_REDES!$A:$W,MATCH($C690&amp;$I690&amp;$H690&amp;$N690&amp;$O690,APOIO_REDES!$W:$W,0),MATCH(AT$5,APOIO_REDES!$5:$5,0)),0)*$AP690,0)</f>
        <v>1.07575684222411</v>
      </c>
      <c r="AU690" s="153" t="n">
        <f aca="false">IFERROR(IF($N690="VCA",INDEX(APOIO_REDES!$A:$W,MATCH($C690&amp;$I690&amp;$H690&amp;$N690&amp;$O690,APOIO_REDES!$W:$W,0),MATCH(AU$5,APOIO_REDES!$5:$5,0)),0)*$AP690,0)</f>
        <v>0.859070279009948</v>
      </c>
      <c r="AV690" s="153" t="n">
        <f aca="false">IFERROR(IF($N690="VCA",INDEX(APOIO_REDES!$A:$W,MATCH($C690&amp;$I690&amp;$H690&amp;$N690&amp;$O690,APOIO_REDES!$W:$W,0),MATCH(AV$5,APOIO_REDES!$5:$5,0)),0)*$AP690,0)</f>
        <v>0.118888582648869</v>
      </c>
      <c r="AW690" s="153" t="n">
        <f aca="false">IFERROR(IF($N690="VCA",INDEX(APOIO_REDES!$A:$W,MATCH($C690&amp;$I690&amp;$H690&amp;$N690&amp;$O690,APOIO_REDES!$W:$W,0),MATCH(AW$5,APOIO_REDES!$5:$5,0)),0)*$AP690,0)</f>
        <v>67.8665206257947</v>
      </c>
      <c r="AX690" s="153" t="n">
        <f aca="false">IFERROR(IF($N690="VCA",INDEX(APOIO_REDES!$A:$W,MATCH($C690&amp;$I690&amp;$H690&amp;$N690&amp;$O690,APOIO_REDES!$W:$W,0),MATCH(AX$5,APOIO_REDES!$5:$5,0)),0)*$AP690,0)</f>
        <v>9.39253313316662</v>
      </c>
      <c r="AY690" s="153" t="n">
        <f aca="false">IFERROR(IF($N690="VCA",INDEX(APOIO_REDES!$A:$W,MATCH($C690&amp;$I690&amp;$H690&amp;$N690&amp;$O690,APOIO_REDES!$W:$W,0),MATCH(AY$5,APOIO_REDES!$5:$5,0)),0)*$AP690,0)</f>
        <v>17.1813951082019</v>
      </c>
      <c r="AZ690" s="153" t="n">
        <f aca="false">IFERROR(IF($N690="VCA",INDEX(APOIO_REDES!$A:$W,MATCH($C690&amp;$I690&amp;$H690&amp;$N690&amp;$O690,APOIO_REDES!$W:$W,0),MATCH(AZ$5,APOIO_REDES!$5:$5,0)),0)*$AP690,0)</f>
        <v>2.37785542895387</v>
      </c>
      <c r="BA690" s="153" t="n">
        <f aca="false">IFERROR(IF(AND($N690="VCA",$Q690="LINEAR"),INDEX(APOIO_REDES!$A:$W,MATCH($C690&amp;$I690&amp;$H690&amp;$N690&amp;$O690,APOIO_REDES!$W:$W,0),MATCH(BA$5,APOIO_REDES!$5:$5,0)),IF(AND($N690="MND",$Q690="EMBOQUE"),INDEX(APOIO_REDES!$A:$W,MATCH($C690&amp;$I690&amp;$H690&amp;$N690&amp;$O690,APOIO_REDES!$W:$W,0),MATCH(BA$5,APOIO_REDES!$5:$5,0)),0))*$M690/10,0)</f>
        <v>8.99467849790348</v>
      </c>
      <c r="BB690" s="153" t="n">
        <f aca="false">IFERROR(IF($N690="VCA",INDEX(APOIO_REDES!$A:$W,MATCH($C690&amp;$I690&amp;$H690&amp;$N690&amp;$O690,APOIO_REDES!$W:$W,0),MATCH(BB$5,APOIO_REDES!$5:$5,0)),0)*($AI690+$AQ690+$AR690),0)</f>
        <v>33.2205941614455</v>
      </c>
      <c r="BC690" s="153" t="n">
        <f aca="false">IFERROR(IF($N690="VCA",INDEX(APOIO_REDES!$A:$W,MATCH($C690&amp;$I690&amp;$H690&amp;$N690&amp;$O690,APOIO_REDES!$W:$W,0),MATCH(BC$5,APOIO_REDES!$5:$5,0)),0)*($AI690+$AQ690+$AR690),0)</f>
        <v>0.365425838554485</v>
      </c>
      <c r="BD690" s="153" t="n">
        <f aca="false">IF(AND($N690="VCA",$AF690&gt;=1.25,$AF690&lt;1.5),$M690*$AF690*2,0)</f>
        <v>304.2216</v>
      </c>
      <c r="BE690" s="153" t="n">
        <f aca="false">IF(AND($N690="VCA",$AF690&gt;=1.5,$AF690&lt;3),$M690*$AF690*2,0)</f>
        <v>0</v>
      </c>
      <c r="BF690" s="153" t="n">
        <f aca="false">IF(AND($N690="VCA",$AF690&gt;=3),$M690*$AF690*2,0)</f>
        <v>0</v>
      </c>
      <c r="BG690" s="153" t="n">
        <f aca="false">($BB690+$BC690)*$AK690</f>
        <v>73.889244</v>
      </c>
      <c r="BH690" s="153" t="n">
        <f aca="false">IF(AND($M690&lt;&gt;"",$N690="VCA",$Q690="LINEAR"),($M690*2)/100,IF(AND($M690&lt;&gt;"",$N690="MND",$Q690="EMBOQUE"),($AN690*2)/100,0))</f>
        <v>2.232</v>
      </c>
      <c r="BI690" s="153" t="n">
        <f aca="false">IF(AND($M690&lt;&gt;"",$N690="VCA",$Q690="LINEAR"),$M690,IF(AND($M690&lt;&gt;"",$N690="MND",$Q690="EMBOQUE"),$AN690*2,0))</f>
        <v>111.6</v>
      </c>
      <c r="BJ690" s="153" t="n">
        <f aca="false">IF(AND($M690&lt;&gt;"",$N690="VCA",$Q690="LINEAR"),($M690*6.8)/100,IF(AND($M690&lt;&gt;"",$N690="MND",$Q690="EMBOQUE"),($AN690*2*6.8)/100,0))</f>
        <v>7.5888</v>
      </c>
      <c r="BK690" s="153" t="n">
        <f aca="false">IF(AND($M690&lt;&gt;"",$N690="VCA",$Q690="LINEAR"),($M690*2.5)/50,IF(AND($M690&lt;&gt;"",$N690="MND",$Q690="EMBOQUE"),($AN690*2*2.5)/50,0))</f>
        <v>5.58</v>
      </c>
      <c r="BL690" s="157" t="str">
        <f aca="false">K690&amp;J690</f>
        <v>Zona06REDES</v>
      </c>
      <c r="BM690" s="152" t="s">
        <v>3790</v>
      </c>
      <c r="BN690" s="152" t="s">
        <v>1560</v>
      </c>
      <c r="BO690" s="152" t="s">
        <v>4097</v>
      </c>
      <c r="BP690" s="152" t="s">
        <v>4169</v>
      </c>
      <c r="BQ690" s="152" t="s">
        <v>4161</v>
      </c>
      <c r="BR690" s="152" t="s">
        <v>4170</v>
      </c>
      <c r="BS690" s="152" t="n">
        <v>203731.843</v>
      </c>
      <c r="BT690" s="152" t="n">
        <v>8236848.196</v>
      </c>
      <c r="BU690" s="152" t="n">
        <v>203804.097</v>
      </c>
      <c r="BV690" s="152" t="n">
        <v>8236924.838</v>
      </c>
      <c r="BW690" s="152" t="n">
        <v>-15.9296344</v>
      </c>
      <c r="BX690" s="152" t="n">
        <v>-47.766818</v>
      </c>
      <c r="BY690" s="152" t="s">
        <v>4169</v>
      </c>
    </row>
    <row r="691" customFormat="false" ht="13.8" hidden="false" customHeight="false" outlineLevel="0" collapsed="false">
      <c r="A691" s="149" t="n">
        <f aca="false">IF(C691&lt;&gt;"",ROW(A686),"")</f>
        <v>686</v>
      </c>
      <c r="B691" s="150" t="str">
        <f aca="false">HYPERLINK("https://www.google.com/maps/dir/-15.917302,-47.760003/-15.9299166,-47.7659055/data=!4m3!4m2!3e0!5i2")</f>
        <v>https://www.google.com/maps/dir/-15.917302,-47.760003/-15.9299166,-47.7659055/data=!4m3!4m2!3e0!5i2</v>
      </c>
      <c r="C691" s="151" t="s">
        <v>117</v>
      </c>
      <c r="D691" s="152" t="s">
        <v>112</v>
      </c>
      <c r="E691" s="152" t="s">
        <v>113</v>
      </c>
      <c r="F691" s="152" t="s">
        <v>117</v>
      </c>
      <c r="G691" s="152" t="s">
        <v>782</v>
      </c>
      <c r="H691" s="152" t="n">
        <v>110</v>
      </c>
      <c r="I691" s="152" t="s">
        <v>115</v>
      </c>
      <c r="J691" s="152" t="s">
        <v>6</v>
      </c>
      <c r="K691" s="152" t="s">
        <v>3786</v>
      </c>
      <c r="L691" s="152" t="s">
        <v>120</v>
      </c>
      <c r="M691" s="153" t="n">
        <f aca="false">43.61</f>
        <v>43.61</v>
      </c>
      <c r="N691" s="152" t="s">
        <v>1548</v>
      </c>
      <c r="O691" s="152" t="s">
        <v>1549</v>
      </c>
      <c r="P691" s="152" t="s">
        <v>1550</v>
      </c>
      <c r="Q691" s="152" t="s">
        <v>1551</v>
      </c>
      <c r="R691" s="154" t="s">
        <v>4171</v>
      </c>
      <c r="S691" s="154" t="s">
        <v>1593</v>
      </c>
      <c r="T691" s="155" t="s">
        <v>4095</v>
      </c>
      <c r="U691" s="152" t="str">
        <f aca="false">RIGHT(T691,7)</f>
        <v>016/037</v>
      </c>
      <c r="V691" s="152" t="s">
        <v>1555</v>
      </c>
      <c r="W691" s="156" t="n">
        <v>45882</v>
      </c>
      <c r="X691" s="152" t="s">
        <v>1594</v>
      </c>
      <c r="Y691" s="152" t="s">
        <v>4009</v>
      </c>
      <c r="Z691" s="152" t="s">
        <v>1557</v>
      </c>
      <c r="AA691" s="153" t="n">
        <v>3.8</v>
      </c>
      <c r="AB691" s="151" t="s">
        <v>4172</v>
      </c>
      <c r="AC691" s="151" t="s">
        <v>502</v>
      </c>
      <c r="AD691" s="151" t="str">
        <f aca="false">CONCATENATE($C691,$I691,$H691,$N691,$J691,$K691)</f>
        <v>TUBO PEADPEAD110VCAREDESZona06</v>
      </c>
      <c r="AE691" s="153" t="n">
        <f aca="false">IFERROR(INDEX(APOIO_REDES!$A:$W,MATCH($C691&amp;$I691&amp;$H691&amp;$N691&amp;$O691,APOIO_REDES!$W:$W,0),MATCH(AE$5,APOIO_REDES!$5:$5,0)),0)</f>
        <v>1.2</v>
      </c>
      <c r="AF691" s="153" t="n">
        <f aca="false">IFERROR(INDEX(APOIO_REDES!$A:$W,MATCH($C691&amp;$I691&amp;$H691&amp;$N691&amp;$O691,APOIO_REDES!$W:$W,0),MATCH(AF$5,APOIO_REDES!$5:$5,0)),0)</f>
        <v>1.41</v>
      </c>
      <c r="AG691" s="153" t="n">
        <f aca="false">IFERROR(INDEX(APOIO_REDES!$A:$W,MATCH($C691&amp;$I691&amp;$H691&amp;$N691&amp;$O691,APOIO_REDES!$W:$W,0),MATCH(AG$5,APOIO_REDES!$5:$5,0)),0)</f>
        <v>0.75</v>
      </c>
      <c r="AH691" s="153" t="n">
        <f aca="false">IFERROR(INDEX(APOIO_REDES!$A:$W,MATCH($C691&amp;$I691&amp;$H691&amp;$N691&amp;$O691,APOIO_REDES!$W:$W,0),MATCH(AH$5,APOIO_REDES!$5:$5,0)),0)</f>
        <v>0.1</v>
      </c>
      <c r="AI691" s="153" t="n">
        <f aca="false">IFERROR(IF($H691&lt;&gt;"",(((($H691/1000)/2)^2)*PI()*$M691),0),0)</f>
        <v>0.414439688259729</v>
      </c>
      <c r="AJ691" s="153" t="n">
        <f aca="false">IFERROR(IF(AND($H691&lt;&gt;"",$I691="FoFo",OR($N691="MND",$N691="VCA"),$Q691="LINEAR"),0,IF(AND($H691&lt;&gt;"",$I691="PEAD",$N691="VCA",$Q691="LINEAR"),($H691/1000)+0.3,IF(AND($H691&lt;&gt;"",$I691="PEAD",$N691="MND",$Q691="EMBOQUE"),0,IF(AND($H691&lt;&gt;"",$I691="PVC",$N691="VCA",$Q691="LINEAR"),($H691/1000)+0.2,IF(AND($H691&lt;&gt;"",$I691="PVC",$N691="MND",$Q691="EMBOQUE"),0,IF(AND($H691&lt;&gt;"",$I691="PEAD",$N691="VCA",$Q691="PREDIAL"),0,0)))))),0)</f>
        <v>0.41</v>
      </c>
      <c r="AK691" s="153" t="n">
        <f aca="false">IF(AA691&lt;&gt;"",AA691,0)</f>
        <v>3.8</v>
      </c>
      <c r="AL691" s="153" t="n">
        <f aca="false">IF(AND($N691="MND",$Q691="EMBOQUE"),$M691,IF(AND($N691="VCA",$Q691="LINEAR"),$M691,IF(AND($N691="VCA",$Q691="PREDIAL"),0,0)))</f>
        <v>43.61</v>
      </c>
      <c r="AM691" s="153" t="n">
        <f aca="false">IF(AND($N691="MND",$Q691="EMBOQUE"),$M691,IF(AND($N691="VCA",$Q691="LINEAR"),$M691,IF(AND($N691="VCA",$Q691="PREDIAL"),0,0)))</f>
        <v>43.61</v>
      </c>
      <c r="AN691" s="153" t="n">
        <f aca="false">ROUND(IF(AND($N691="VCA",$M691&lt;&gt;"",$Q691="LINEAR"),$M691/100,IF(AND($N691="MND",$M691&gt;100,$Q691="EMBOQUE"),$M691/100,0)),0)</f>
        <v>0</v>
      </c>
      <c r="AO691" s="153" t="n">
        <f aca="false">IF(AND($N691="MND",$Q691="EMBOQUE"),$AN691*2*2,IF(AND($N691="VCA",$Q691="LINEAR"),$M691*2,IF(AND($N691="VCA",$Q691="PREDIAL"),0,0)))</f>
        <v>87.22</v>
      </c>
      <c r="AP691" s="153" t="n">
        <f aca="false">IFERROR($M691*$AF691*$AG691,0)</f>
        <v>46.117575</v>
      </c>
      <c r="AQ691" s="153" t="n">
        <f aca="false">IFERROR(IF(AND($N691="VCA",$AH691&gt;0),$M691*$AG691*$AH691,0),0)</f>
        <v>3.27075</v>
      </c>
      <c r="AR691" s="153" t="n">
        <f aca="false">IFERROR(IF(AND($N691="VCA",$AJ691&gt;0),($M691*$AG691*$AJ691)-$AI691,0),0)</f>
        <v>12.9956353117403</v>
      </c>
      <c r="AS691" s="153" t="n">
        <f aca="false">IFERROR(IF(AND($N691="VCA",$AP691&gt;0),$AP691-$AI691-$AQ691-$AR691,0),0)</f>
        <v>29.43675</v>
      </c>
      <c r="AT691" s="153" t="n">
        <f aca="false">IFERROR(IF($N691="VCA",INDEX(APOIO_REDES!$A:$W,MATCH($C691&amp;$I691&amp;$H691&amp;$N691&amp;$O691,APOIO_REDES!$W:$W,0),MATCH(AT$5,APOIO_REDES!$5:$5,0)),0)*$AP691,0)</f>
        <v>0.501772866105432</v>
      </c>
      <c r="AU691" s="153" t="n">
        <f aca="false">IFERROR(IF($N691="VCA",INDEX(APOIO_REDES!$A:$W,MATCH($C691&amp;$I691&amp;$H691&amp;$N691&amp;$O691,APOIO_REDES!$W:$W,0),MATCH(AU$5,APOIO_REDES!$5:$5,0)),0)*$AP691,0)</f>
        <v>0.400702221139127</v>
      </c>
      <c r="AV691" s="153" t="n">
        <f aca="false">IFERROR(IF($N691="VCA",INDEX(APOIO_REDES!$A:$W,MATCH($C691&amp;$I691&amp;$H691&amp;$N691&amp;$O691,APOIO_REDES!$W:$W,0),MATCH(AV$5,APOIO_REDES!$5:$5,0)),0)*$AP691,0)</f>
        <v>0.0554540417698849</v>
      </c>
      <c r="AW691" s="153" t="n">
        <f aca="false">IFERROR(IF($N691="VCA",INDEX(APOIO_REDES!$A:$W,MATCH($C691&amp;$I691&amp;$H691&amp;$N691&amp;$O691,APOIO_REDES!$W:$W,0),MATCH(AW$5,APOIO_REDES!$5:$5,0)),0)*$AP691,0)</f>
        <v>31.6554608164083</v>
      </c>
      <c r="AX691" s="153" t="n">
        <f aca="false">IFERROR(IF($N691="VCA",INDEX(APOIO_REDES!$A:$W,MATCH($C691&amp;$I691&amp;$H691&amp;$N691&amp;$O691,APOIO_REDES!$W:$W,0),MATCH(AX$5,APOIO_REDES!$5:$5,0)),0)*$AP691,0)</f>
        <v>4.3810256047039</v>
      </c>
      <c r="AY691" s="153" t="n">
        <f aca="false">IFERROR(IF($N691="VCA",INDEX(APOIO_REDES!$A:$W,MATCH($C691&amp;$I691&amp;$H691&amp;$N691&amp;$O691,APOIO_REDES!$W:$W,0),MATCH(AY$5,APOIO_REDES!$5:$5,0)),0)*$AP691,0)</f>
        <v>8.01403953825495</v>
      </c>
      <c r="AZ691" s="153" t="n">
        <f aca="false">IFERROR(IF($N691="VCA",INDEX(APOIO_REDES!$A:$W,MATCH($C691&amp;$I691&amp;$H691&amp;$N691&amp;$O691,APOIO_REDES!$W:$W,0),MATCH(AZ$5,APOIO_REDES!$5:$5,0)),0)*$AP691,0)</f>
        <v>1.10911991161845</v>
      </c>
      <c r="BA691" s="153" t="n">
        <f aca="false">IFERROR(IF(AND($N691="VCA",$Q691="LINEAR"),INDEX(APOIO_REDES!$A:$W,MATCH($C691&amp;$I691&amp;$H691&amp;$N691&amp;$O691,APOIO_REDES!$W:$W,0),MATCH(BA$5,APOIO_REDES!$5:$5,0)),IF(AND($N691="MND",$Q691="EMBOQUE"),INDEX(APOIO_REDES!$A:$W,MATCH($C691&amp;$I691&amp;$H691&amp;$N691&amp;$O691,APOIO_REDES!$W:$W,0),MATCH(BA$5,APOIO_REDES!$5:$5,0)),0))*$M691/10,0)</f>
        <v>3.51485599725422</v>
      </c>
      <c r="BB691" s="153" t="n">
        <f aca="false">IFERROR(IF($N691="VCA",INDEX(APOIO_REDES!$A:$W,MATCH($C691&amp;$I691&amp;$H691&amp;$N691&amp;$O691,APOIO_REDES!$W:$W,0),MATCH(BB$5,APOIO_REDES!$5:$5,0)),0)*($AI691+$AQ691+$AR691),0)</f>
        <v>16.4993326867278</v>
      </c>
      <c r="BC691" s="153" t="n">
        <f aca="false">IFERROR(IF($N691="VCA",INDEX(APOIO_REDES!$A:$W,MATCH($C691&amp;$I691&amp;$H691&amp;$N691&amp;$O691,APOIO_REDES!$W:$W,0),MATCH(BC$5,APOIO_REDES!$5:$5,0)),0)*($AI691+$AQ691+$AR691),0)</f>
        <v>0.181492313272178</v>
      </c>
      <c r="BD691" s="153" t="n">
        <f aca="false">IF(AND($N691="VCA",$AF691&gt;=1.25,$AF691&lt;1.5),$M691*$AF691*2,0)</f>
        <v>122.9802</v>
      </c>
      <c r="BE691" s="153" t="n">
        <f aca="false">IF(AND($N691="VCA",$AF691&gt;=1.5,$AF691&lt;3),$M691*$AF691*2,0)</f>
        <v>0</v>
      </c>
      <c r="BF691" s="153" t="n">
        <f aca="false">IF(AND($N691="VCA",$AF691&gt;=3),$M691*$AF691*2,0)</f>
        <v>0</v>
      </c>
      <c r="BG691" s="153" t="n">
        <f aca="false">($BB691+$BC691)*$AK691</f>
        <v>63.387135</v>
      </c>
      <c r="BH691" s="153" t="n">
        <f aca="false">IF(AND($M691&lt;&gt;"",$N691="VCA",$Q691="LINEAR"),($M691*2)/100,IF(AND($M691&lt;&gt;"",$N691="MND",$Q691="EMBOQUE"),($AN691*2)/100,0))</f>
        <v>0.8722</v>
      </c>
      <c r="BI691" s="153" t="n">
        <f aca="false">IF(AND($M691&lt;&gt;"",$N691="VCA",$Q691="LINEAR"),$M691,IF(AND($M691&lt;&gt;"",$N691="MND",$Q691="EMBOQUE"),$AN691*2,0))</f>
        <v>43.61</v>
      </c>
      <c r="BJ691" s="153" t="n">
        <f aca="false">IF(AND($M691&lt;&gt;"",$N691="VCA",$Q691="LINEAR"),($M691*6.8)/100,IF(AND($M691&lt;&gt;"",$N691="MND",$Q691="EMBOQUE"),($AN691*2*6.8)/100,0))</f>
        <v>2.96548</v>
      </c>
      <c r="BK691" s="153" t="n">
        <f aca="false">IF(AND($M691&lt;&gt;"",$N691="VCA",$Q691="LINEAR"),($M691*2.5)/50,IF(AND($M691&lt;&gt;"",$N691="MND",$Q691="EMBOQUE"),($AN691*2*2.5)/50,0))</f>
        <v>2.1805</v>
      </c>
      <c r="BL691" s="157" t="str">
        <f aca="false">K691&amp;J691</f>
        <v>Zona06REDES</v>
      </c>
      <c r="BM691" s="152" t="s">
        <v>3790</v>
      </c>
      <c r="BN691" s="152" t="s">
        <v>1560</v>
      </c>
      <c r="BO691" s="152" t="s">
        <v>4097</v>
      </c>
      <c r="BP691" s="152" t="s">
        <v>4173</v>
      </c>
      <c r="BQ691" s="152" t="s">
        <v>4165</v>
      </c>
      <c r="BR691" s="152" t="s">
        <v>4174</v>
      </c>
      <c r="BS691" s="152" t="n">
        <v>203870.128</v>
      </c>
      <c r="BT691" s="152" t="n">
        <v>8236853.957</v>
      </c>
      <c r="BU691" s="152" t="n">
        <v>203840.294</v>
      </c>
      <c r="BV691" s="152" t="n">
        <v>8236885.748</v>
      </c>
      <c r="BW691" s="152" t="n">
        <v>-15.9297691</v>
      </c>
      <c r="BX691" s="152" t="n">
        <v>-47.7660403</v>
      </c>
      <c r="BY691" s="152" t="s">
        <v>4173</v>
      </c>
    </row>
    <row r="692" customFormat="false" ht="13.8" hidden="false" customHeight="false" outlineLevel="0" collapsed="false">
      <c r="A692" s="149" t="n">
        <f aca="false">IF(C692&lt;&gt;"",ROW(A687),"")</f>
        <v>687</v>
      </c>
      <c r="B692" s="150" t="str">
        <f aca="false">HYPERLINK("https://www.google.com/maps/dir/-15.917302,-47.760003/-15.9296260,-47.7661800/data=!4m3!4m2!3e0!5i2")</f>
        <v>https://www.google.com/maps/dir/-15.917302,-47.760003/-15.9296260,-47.7661800/data=!4m3!4m2!3e0!5i2</v>
      </c>
      <c r="C692" s="151" t="s">
        <v>117</v>
      </c>
      <c r="D692" s="152" t="s">
        <v>112</v>
      </c>
      <c r="E692" s="152" t="s">
        <v>113</v>
      </c>
      <c r="F692" s="152" t="s">
        <v>117</v>
      </c>
      <c r="G692" s="152" t="s">
        <v>782</v>
      </c>
      <c r="H692" s="152" t="n">
        <v>63</v>
      </c>
      <c r="I692" s="152" t="s">
        <v>115</v>
      </c>
      <c r="J692" s="152" t="s">
        <v>6</v>
      </c>
      <c r="K692" s="152" t="s">
        <v>3786</v>
      </c>
      <c r="L692" s="152" t="s">
        <v>120</v>
      </c>
      <c r="M692" s="153" t="n">
        <f aca="false">99.99+4</f>
        <v>103.99</v>
      </c>
      <c r="N692" s="152" t="s">
        <v>1548</v>
      </c>
      <c r="O692" s="152" t="s">
        <v>1549</v>
      </c>
      <c r="P692" s="152" t="s">
        <v>1550</v>
      </c>
      <c r="Q692" s="152" t="s">
        <v>1551</v>
      </c>
      <c r="R692" s="154" t="s">
        <v>4175</v>
      </c>
      <c r="S692" s="154" t="s">
        <v>1553</v>
      </c>
      <c r="T692" s="155" t="s">
        <v>4095</v>
      </c>
      <c r="U692" s="152" t="str">
        <f aca="false">RIGHT(T692,7)</f>
        <v>016/037</v>
      </c>
      <c r="V692" s="152" t="s">
        <v>1555</v>
      </c>
      <c r="W692" s="156" t="n">
        <v>45882</v>
      </c>
      <c r="X692" s="152" t="s">
        <v>1594</v>
      </c>
      <c r="Y692" s="152" t="s">
        <v>4009</v>
      </c>
      <c r="Z692" s="152" t="s">
        <v>1557</v>
      </c>
      <c r="AA692" s="153" t="n">
        <v>2.7</v>
      </c>
      <c r="AB692" s="151" t="s">
        <v>4176</v>
      </c>
      <c r="AC692" s="151" t="s">
        <v>186</v>
      </c>
      <c r="AD692" s="151" t="str">
        <f aca="false">CONCATENATE($C692,$I692,$H692,$N692,$J692,$K692)</f>
        <v>TUBO PEADPEAD63VCAREDESZona06</v>
      </c>
      <c r="AE692" s="153" t="n">
        <f aca="false">IFERROR(INDEX(APOIO_REDES!$A:$W,MATCH($C692&amp;$I692&amp;$H692&amp;$N692&amp;$O692,APOIO_REDES!$W:$W,0),MATCH(AE$5,APOIO_REDES!$5:$5,0)),0)</f>
        <v>1.2</v>
      </c>
      <c r="AF692" s="153" t="n">
        <f aca="false">IFERROR(INDEX(APOIO_REDES!$A:$W,MATCH($C692&amp;$I692&amp;$H692&amp;$N692&amp;$O692,APOIO_REDES!$W:$W,0),MATCH(AF$5,APOIO_REDES!$5:$5,0)),0)</f>
        <v>1.363</v>
      </c>
      <c r="AG692" s="153" t="n">
        <f aca="false">IFERROR(INDEX(APOIO_REDES!$A:$W,MATCH($C692&amp;$I692&amp;$H692&amp;$N692&amp;$O692,APOIO_REDES!$W:$W,0),MATCH(AG$5,APOIO_REDES!$5:$5,0)),0)</f>
        <v>0.65</v>
      </c>
      <c r="AH692" s="153" t="n">
        <f aca="false">IFERROR(INDEX(APOIO_REDES!$A:$W,MATCH($C692&amp;$I692&amp;$H692&amp;$N692&amp;$O692,APOIO_REDES!$W:$W,0),MATCH(AH$5,APOIO_REDES!$5:$5,0)),0)</f>
        <v>0.1</v>
      </c>
      <c r="AI692" s="153" t="n">
        <f aca="false">IFERROR(IF($H692&lt;&gt;"",(((($H692/1000)/2)^2)*PI()*$M692),0),0)</f>
        <v>0.32416233984144</v>
      </c>
      <c r="AJ692" s="153" t="n">
        <f aca="false">IFERROR(IF(AND($H692&lt;&gt;"",$I692="FoFo",OR($N692="MND",$N692="VCA"),$Q692="LINEAR"),0,IF(AND($H692&lt;&gt;"",$I692="PEAD",$N692="VCA",$Q692="LINEAR"),($H692/1000)+0.3,IF(AND($H692&lt;&gt;"",$I692="PEAD",$N692="MND",$Q692="EMBOQUE"),0,IF(AND($H692&lt;&gt;"",$I692="PVC",$N692="VCA",$Q692="LINEAR"),($H692/1000)+0.2,IF(AND($H692&lt;&gt;"",$I692="PVC",$N692="MND",$Q692="EMBOQUE"),0,IF(AND($H692&lt;&gt;"",$I692="PEAD",$N692="VCA",$Q692="PREDIAL"),0,0)))))),0)</f>
        <v>0.363</v>
      </c>
      <c r="AK692" s="153" t="n">
        <f aca="false">IF(AA692&lt;&gt;"",AA692,0)</f>
        <v>2.7</v>
      </c>
      <c r="AL692" s="153" t="n">
        <f aca="false">IF(AND($N692="MND",$Q692="EMBOQUE"),$M692,IF(AND($N692="VCA",$Q692="LINEAR"),$M692,IF(AND($N692="VCA",$Q692="PREDIAL"),0,0)))</f>
        <v>103.99</v>
      </c>
      <c r="AM692" s="153" t="n">
        <f aca="false">IF(AND($N692="MND",$Q692="EMBOQUE"),$M692,IF(AND($N692="VCA",$Q692="LINEAR"),$M692,IF(AND($N692="VCA",$Q692="PREDIAL"),0,0)))</f>
        <v>103.99</v>
      </c>
      <c r="AN692" s="153" t="n">
        <f aca="false">ROUND(IF(AND($N692="VCA",$M692&lt;&gt;"",$Q692="LINEAR"),$M692/100,IF(AND($N692="MND",$M692&gt;100,$Q692="EMBOQUE"),$M692/100,0)),0)</f>
        <v>1</v>
      </c>
      <c r="AO692" s="153" t="n">
        <f aca="false">IF(AND($N692="MND",$Q692="EMBOQUE"),$AN692*2*2,IF(AND($N692="VCA",$Q692="LINEAR"),$M692*2,IF(AND($N692="VCA",$Q692="PREDIAL"),0,0)))</f>
        <v>207.98</v>
      </c>
      <c r="AP692" s="153" t="n">
        <f aca="false">IFERROR($M692*$AF692*$AG692,0)</f>
        <v>92.1299405</v>
      </c>
      <c r="AQ692" s="153" t="n">
        <f aca="false">IFERROR(IF(AND($N692="VCA",$AH692&gt;0),$M692*$AG692*$AH692,0),0)</f>
        <v>6.75935</v>
      </c>
      <c r="AR692" s="153" t="n">
        <f aca="false">IFERROR(IF(AND($N692="VCA",$AJ692&gt;0),($M692*$AG692*$AJ692)-$AI692,0),0)</f>
        <v>24.2122781601586</v>
      </c>
      <c r="AS692" s="153" t="n">
        <f aca="false">IFERROR(IF(AND($N692="VCA",$AP692&gt;0),$AP692-$AI692-$AQ692-$AR692,0),0)</f>
        <v>60.83415</v>
      </c>
      <c r="AT692" s="153" t="n">
        <f aca="false">IFERROR(IF($N692="VCA",INDEX(APOIO_REDES!$A:$W,MATCH($C692&amp;$I692&amp;$H692&amp;$N692&amp;$O692,APOIO_REDES!$W:$W,0),MATCH(AT$5,APOIO_REDES!$5:$5,0)),0)*$AP692,0)</f>
        <v>1.00240102171044</v>
      </c>
      <c r="AU692" s="153" t="n">
        <f aca="false">IFERROR(IF($N692="VCA",INDEX(APOIO_REDES!$A:$W,MATCH($C692&amp;$I692&amp;$H692&amp;$N692&amp;$O692,APOIO_REDES!$W:$W,0),MATCH(AU$5,APOIO_REDES!$5:$5,0)),0)*$AP692,0)</f>
        <v>0.800490307475309</v>
      </c>
      <c r="AV692" s="153" t="n">
        <f aca="false">IFERROR(IF($N692="VCA",INDEX(APOIO_REDES!$A:$W,MATCH($C692&amp;$I692&amp;$H692&amp;$N692&amp;$O692,APOIO_REDES!$W:$W,0),MATCH(AV$5,APOIO_REDES!$5:$5,0)),0)*$AP692,0)</f>
        <v>0.110781574459282</v>
      </c>
      <c r="AW692" s="153" t="n">
        <f aca="false">IFERROR(IF($N692="VCA",INDEX(APOIO_REDES!$A:$W,MATCH($C692&amp;$I692&amp;$H692&amp;$N692&amp;$O692,APOIO_REDES!$W:$W,0),MATCH(AW$5,APOIO_REDES!$5:$5,0)),0)*$AP692,0)</f>
        <v>63.2387050168135</v>
      </c>
      <c r="AX692" s="153" t="n">
        <f aca="false">IFERROR(IF($N692="VCA",INDEX(APOIO_REDES!$A:$W,MATCH($C692&amp;$I692&amp;$H692&amp;$N692&amp;$O692,APOIO_REDES!$W:$W,0),MATCH(AX$5,APOIO_REDES!$5:$5,0)),0)*$AP692,0)</f>
        <v>8.75205663546592</v>
      </c>
      <c r="AY692" s="153" t="n">
        <f aca="false">IFERROR(IF($N692="VCA",INDEX(APOIO_REDES!$A:$W,MATCH($C692&amp;$I692&amp;$H692&amp;$N692&amp;$O692,APOIO_REDES!$W:$W,0),MATCH(AY$5,APOIO_REDES!$5:$5,0)),0)*$AP692,0)</f>
        <v>16.0097963915942</v>
      </c>
      <c r="AZ692" s="153" t="n">
        <f aca="false">IFERROR(IF($N692="VCA",INDEX(APOIO_REDES!$A:$W,MATCH($C692&amp;$I692&amp;$H692&amp;$N692&amp;$O692,APOIO_REDES!$W:$W,0),MATCH(AZ$5,APOIO_REDES!$5:$5,0)),0)*$AP692,0)</f>
        <v>2.2157095524813</v>
      </c>
      <c r="BA692" s="153" t="n">
        <f aca="false">IFERROR(IF(AND($N692="VCA",$Q692="LINEAR"),INDEX(APOIO_REDES!$A:$W,MATCH($C692&amp;$I692&amp;$H692&amp;$N692&amp;$O692,APOIO_REDES!$W:$W,0),MATCH(BA$5,APOIO_REDES!$5:$5,0)),IF(AND($N692="MND",$Q692="EMBOQUE"),INDEX(APOIO_REDES!$A:$W,MATCH($C692&amp;$I692&amp;$H692&amp;$N692&amp;$O692,APOIO_REDES!$W:$W,0),MATCH(BA$5,APOIO_REDES!$5:$5,0)),0))*$M692/10,0)</f>
        <v>8.38133169352135</v>
      </c>
      <c r="BB692" s="153" t="n">
        <f aca="false">IFERROR(IF($N692="VCA",INDEX(APOIO_REDES!$A:$W,MATCH($C692&amp;$I692&amp;$H692&amp;$N692&amp;$O692,APOIO_REDES!$W:$W,0),MATCH(BB$5,APOIO_REDES!$5:$5,0)),0)*($AI692+$AQ692+$AR692),0)</f>
        <v>30.9552830362788</v>
      </c>
      <c r="BC692" s="153" t="n">
        <f aca="false">IFERROR(IF($N692="VCA",INDEX(APOIO_REDES!$A:$W,MATCH($C692&amp;$I692&amp;$H692&amp;$N692&amp;$O692,APOIO_REDES!$W:$W,0),MATCH(BC$5,APOIO_REDES!$5:$5,0)),0)*($AI692+$AQ692+$AR692),0)</f>
        <v>0.340507463721155</v>
      </c>
      <c r="BD692" s="153" t="n">
        <f aca="false">IF(AND($N692="VCA",$AF692&gt;=1.25,$AF692&lt;1.5),$M692*$AF692*2,0)</f>
        <v>283.47674</v>
      </c>
      <c r="BE692" s="153" t="n">
        <f aca="false">IF(AND($N692="VCA",$AF692&gt;=1.5,$AF692&lt;3),$M692*$AF692*2,0)</f>
        <v>0</v>
      </c>
      <c r="BF692" s="153" t="n">
        <f aca="false">IF(AND($N692="VCA",$AF692&gt;=3),$M692*$AF692*2,0)</f>
        <v>0</v>
      </c>
      <c r="BG692" s="153" t="n">
        <f aca="false">($BB692+$BC692)*$AK692</f>
        <v>84.49863435</v>
      </c>
      <c r="BH692" s="153" t="n">
        <f aca="false">IF(AND($M692&lt;&gt;"",$N692="VCA",$Q692="LINEAR"),($M692*2)/100,IF(AND($M692&lt;&gt;"",$N692="MND",$Q692="EMBOQUE"),($AN692*2)/100,0))</f>
        <v>2.0798</v>
      </c>
      <c r="BI692" s="153" t="n">
        <f aca="false">IF(AND($M692&lt;&gt;"",$N692="VCA",$Q692="LINEAR"),$M692,IF(AND($M692&lt;&gt;"",$N692="MND",$Q692="EMBOQUE"),$AN692*2,0))</f>
        <v>103.99</v>
      </c>
      <c r="BJ692" s="153" t="n">
        <f aca="false">IF(AND($M692&lt;&gt;"",$N692="VCA",$Q692="LINEAR"),($M692*6.8)/100,IF(AND($M692&lt;&gt;"",$N692="MND",$Q692="EMBOQUE"),($AN692*2*6.8)/100,0))</f>
        <v>7.07132</v>
      </c>
      <c r="BK692" s="153" t="n">
        <f aca="false">IF(AND($M692&lt;&gt;"",$N692="VCA",$Q692="LINEAR"),($M692*2.5)/50,IF(AND($M692&lt;&gt;"",$N692="MND",$Q692="EMBOQUE"),($AN692*2*2.5)/50,0))</f>
        <v>5.1995</v>
      </c>
      <c r="BL692" s="157" t="str">
        <f aca="false">K692&amp;J692</f>
        <v>Zona06REDES</v>
      </c>
      <c r="BM692" s="152" t="s">
        <v>3790</v>
      </c>
      <c r="BN692" s="152" t="s">
        <v>1560</v>
      </c>
      <c r="BO692" s="152" t="s">
        <v>4097</v>
      </c>
      <c r="BP692" s="152" t="s">
        <v>4165</v>
      </c>
      <c r="BQ692" s="152" t="s">
        <v>4177</v>
      </c>
      <c r="BR692" s="152" t="s">
        <v>4178</v>
      </c>
      <c r="BS692" s="152" t="n">
        <v>203840.294</v>
      </c>
      <c r="BT692" s="152" t="n">
        <v>8236885.748</v>
      </c>
      <c r="BU692" s="152" t="n">
        <v>203764.625</v>
      </c>
      <c r="BV692" s="152" t="n">
        <v>8236820.383</v>
      </c>
      <c r="BW692" s="152" t="n">
        <v>-15.9299166</v>
      </c>
      <c r="BX692" s="152" t="n">
        <v>-47.7665371</v>
      </c>
      <c r="BY692" s="152" t="s">
        <v>4165</v>
      </c>
    </row>
    <row r="693" customFormat="false" ht="13.8" hidden="false" customHeight="false" outlineLevel="0" collapsed="false">
      <c r="A693" s="149" t="n">
        <f aca="false">IF(C693&lt;&gt;"",ROW(A688),"")</f>
        <v>688</v>
      </c>
      <c r="B693" s="150" t="str">
        <f aca="false">HYPERLINK("https://www.google.com/maps/dir/-15.917302,-47.760003/-15.9302199,-47.7656400/data=!4m3!4m2!3e0!5i2")</f>
        <v>https://www.google.com/maps/dir/-15.917302,-47.760003/-15.9302199,-47.7656400/data=!4m3!4m2!3e0!5i2</v>
      </c>
      <c r="C693" s="151" t="s">
        <v>117</v>
      </c>
      <c r="D693" s="152" t="s">
        <v>112</v>
      </c>
      <c r="E693" s="152" t="s">
        <v>113</v>
      </c>
      <c r="F693" s="152" t="s">
        <v>117</v>
      </c>
      <c r="G693" s="152" t="s">
        <v>782</v>
      </c>
      <c r="H693" s="152" t="n">
        <v>110</v>
      </c>
      <c r="I693" s="152" t="s">
        <v>115</v>
      </c>
      <c r="J693" s="152" t="s">
        <v>6</v>
      </c>
      <c r="K693" s="152" t="s">
        <v>3786</v>
      </c>
      <c r="L693" s="152" t="s">
        <v>120</v>
      </c>
      <c r="M693" s="153" t="n">
        <f aca="false">44.02+0.46</f>
        <v>44.48</v>
      </c>
      <c r="N693" s="152" t="s">
        <v>1548</v>
      </c>
      <c r="O693" s="152" t="s">
        <v>1549</v>
      </c>
      <c r="P693" s="152" t="s">
        <v>1550</v>
      </c>
      <c r="Q693" s="152" t="s">
        <v>1551</v>
      </c>
      <c r="R693" s="154" t="s">
        <v>4179</v>
      </c>
      <c r="S693" s="154" t="s">
        <v>1593</v>
      </c>
      <c r="T693" s="155" t="s">
        <v>4095</v>
      </c>
      <c r="U693" s="152" t="str">
        <f aca="false">RIGHT(T693,7)</f>
        <v>016/037</v>
      </c>
      <c r="V693" s="152" t="s">
        <v>1555</v>
      </c>
      <c r="W693" s="156" t="n">
        <v>45882</v>
      </c>
      <c r="X693" s="152" t="s">
        <v>1594</v>
      </c>
      <c r="Y693" s="152" t="s">
        <v>4009</v>
      </c>
      <c r="Z693" s="152" t="s">
        <v>1557</v>
      </c>
      <c r="AA693" s="153" t="n">
        <v>3.7</v>
      </c>
      <c r="AB693" s="151" t="s">
        <v>4180</v>
      </c>
      <c r="AC693" s="151" t="s">
        <v>502</v>
      </c>
      <c r="AD693" s="151" t="str">
        <f aca="false">CONCATENATE($C693,$I693,$H693,$N693,$J693,$K693)</f>
        <v>TUBO PEADPEAD110VCAREDESZona06</v>
      </c>
      <c r="AE693" s="153" t="n">
        <f aca="false">IFERROR(INDEX(APOIO_REDES!$A:$W,MATCH($C693&amp;$I693&amp;$H693&amp;$N693&amp;$O693,APOIO_REDES!$W:$W,0),MATCH(AE$5,APOIO_REDES!$5:$5,0)),0)</f>
        <v>1.2</v>
      </c>
      <c r="AF693" s="153" t="n">
        <f aca="false">IFERROR(INDEX(APOIO_REDES!$A:$W,MATCH($C693&amp;$I693&amp;$H693&amp;$N693&amp;$O693,APOIO_REDES!$W:$W,0),MATCH(AF$5,APOIO_REDES!$5:$5,0)),0)</f>
        <v>1.41</v>
      </c>
      <c r="AG693" s="153" t="n">
        <f aca="false">IFERROR(INDEX(APOIO_REDES!$A:$W,MATCH($C693&amp;$I693&amp;$H693&amp;$N693&amp;$O693,APOIO_REDES!$W:$W,0),MATCH(AG$5,APOIO_REDES!$5:$5,0)),0)</f>
        <v>0.75</v>
      </c>
      <c r="AH693" s="153" t="n">
        <f aca="false">IFERROR(INDEX(APOIO_REDES!$A:$W,MATCH($C693&amp;$I693&amp;$H693&amp;$N693&amp;$O693,APOIO_REDES!$W:$W,0),MATCH(AH$5,APOIO_REDES!$5:$5,0)),0)</f>
        <v>0.1</v>
      </c>
      <c r="AI693" s="153" t="n">
        <f aca="false">IFERROR(IF($H693&lt;&gt;"",(((($H693/1000)/2)^2)*PI()*$M693),0),0)</f>
        <v>0.422707574725814</v>
      </c>
      <c r="AJ693" s="153" t="n">
        <f aca="false">IFERROR(IF(AND($H693&lt;&gt;"",$I693="FoFo",OR($N693="MND",$N693="VCA"),$Q693="LINEAR"),0,IF(AND($H693&lt;&gt;"",$I693="PEAD",$N693="VCA",$Q693="LINEAR"),($H693/1000)+0.3,IF(AND($H693&lt;&gt;"",$I693="PEAD",$N693="MND",$Q693="EMBOQUE"),0,IF(AND($H693&lt;&gt;"",$I693="PVC",$N693="VCA",$Q693="LINEAR"),($H693/1000)+0.2,IF(AND($H693&lt;&gt;"",$I693="PVC",$N693="MND",$Q693="EMBOQUE"),0,IF(AND($H693&lt;&gt;"",$I693="PEAD",$N693="VCA",$Q693="PREDIAL"),0,0)))))),0)</f>
        <v>0.41</v>
      </c>
      <c r="AK693" s="153" t="n">
        <f aca="false">IF(AA693&lt;&gt;"",AA693,0)</f>
        <v>3.7</v>
      </c>
      <c r="AL693" s="153" t="n">
        <f aca="false">IF(AND($N693="MND",$Q693="EMBOQUE"),$M693,IF(AND($N693="VCA",$Q693="LINEAR"),$M693,IF(AND($N693="VCA",$Q693="PREDIAL"),0,0)))</f>
        <v>44.48</v>
      </c>
      <c r="AM693" s="153" t="n">
        <f aca="false">IF(AND($N693="MND",$Q693="EMBOQUE"),$M693,IF(AND($N693="VCA",$Q693="LINEAR"),$M693,IF(AND($N693="VCA",$Q693="PREDIAL"),0,0)))</f>
        <v>44.48</v>
      </c>
      <c r="AN693" s="153" t="n">
        <f aca="false">ROUND(IF(AND($N693="VCA",$M693&lt;&gt;"",$Q693="LINEAR"),$M693/100,IF(AND($N693="MND",$M693&gt;100,$Q693="EMBOQUE"),$M693/100,0)),0)</f>
        <v>0</v>
      </c>
      <c r="AO693" s="153" t="n">
        <f aca="false">IF(AND($N693="MND",$Q693="EMBOQUE"),$AN693*2*2,IF(AND($N693="VCA",$Q693="LINEAR"),$M693*2,IF(AND($N693="VCA",$Q693="PREDIAL"),0,0)))</f>
        <v>88.96</v>
      </c>
      <c r="AP693" s="153" t="n">
        <f aca="false">IFERROR($M693*$AF693*$AG693,0)</f>
        <v>47.0376</v>
      </c>
      <c r="AQ693" s="153" t="n">
        <f aca="false">IFERROR(IF(AND($N693="VCA",$AH693&gt;0),$M693*$AG693*$AH693,0),0)</f>
        <v>3.336</v>
      </c>
      <c r="AR693" s="153" t="n">
        <f aca="false">IFERROR(IF(AND($N693="VCA",$AJ693&gt;0),($M693*$AG693*$AJ693)-$AI693,0),0)</f>
        <v>13.2548924252742</v>
      </c>
      <c r="AS693" s="153" t="n">
        <f aca="false">IFERROR(IF(AND($N693="VCA",$AP693&gt;0),$AP693-$AI693-$AQ693-$AR693,0),0)</f>
        <v>30.024</v>
      </c>
      <c r="AT693" s="153" t="n">
        <f aca="false">IFERROR(IF($N693="VCA",INDEX(APOIO_REDES!$A:$W,MATCH($C693&amp;$I693&amp;$H693&amp;$N693&amp;$O693,APOIO_REDES!$W:$W,0),MATCH(AT$5,APOIO_REDES!$5:$5,0)),0)*$AP693,0)</f>
        <v>0.511783010418932</v>
      </c>
      <c r="AU693" s="153" t="n">
        <f aca="false">IFERROR(IF($N693="VCA",INDEX(APOIO_REDES!$A:$W,MATCH($C693&amp;$I693&amp;$H693&amp;$N693&amp;$O693,APOIO_REDES!$W:$W,0),MATCH(AU$5,APOIO_REDES!$5:$5,0)),0)*$AP693,0)</f>
        <v>0.408696051278798</v>
      </c>
      <c r="AV693" s="153" t="n">
        <f aca="false">IFERROR(IF($N693="VCA",INDEX(APOIO_REDES!$A:$W,MATCH($C693&amp;$I693&amp;$H693&amp;$N693&amp;$O693,APOIO_REDES!$W:$W,0),MATCH(AV$5,APOIO_REDES!$5:$5,0)),0)*$AP693,0)</f>
        <v>0.0565603251071883</v>
      </c>
      <c r="AW693" s="153" t="n">
        <f aca="false">IFERROR(IF($N693="VCA",INDEX(APOIO_REDES!$A:$W,MATCH($C693&amp;$I693&amp;$H693&amp;$N693&amp;$O693,APOIO_REDES!$W:$W,0),MATCH(AW$5,APOIO_REDES!$5:$5,0)),0)*$AP693,0)</f>
        <v>32.2869731051098</v>
      </c>
      <c r="AX693" s="153" t="n">
        <f aca="false">IFERROR(IF($N693="VCA",INDEX(APOIO_REDES!$A:$W,MATCH($C693&amp;$I693&amp;$H693&amp;$N693&amp;$O693,APOIO_REDES!$W:$W,0),MATCH(AX$5,APOIO_REDES!$5:$5,0)),0)*$AP693,0)</f>
        <v>4.4684251065634</v>
      </c>
      <c r="AY693" s="153" t="n">
        <f aca="false">IFERROR(IF($N693="VCA",INDEX(APOIO_REDES!$A:$W,MATCH($C693&amp;$I693&amp;$H693&amp;$N693&amp;$O693,APOIO_REDES!$W:$W,0),MATCH(AY$5,APOIO_REDES!$5:$5,0)),0)*$AP693,0)</f>
        <v>8.17391604360422</v>
      </c>
      <c r="AZ693" s="153" t="n">
        <f aca="false">IFERROR(IF($N693="VCA",INDEX(APOIO_REDES!$A:$W,MATCH($C693&amp;$I693&amp;$H693&amp;$N693&amp;$O693,APOIO_REDES!$W:$W,0),MATCH(AZ$5,APOIO_REDES!$5:$5,0)),0)*$AP693,0)</f>
        <v>1.13124635791765</v>
      </c>
      <c r="BA693" s="153" t="n">
        <f aca="false">IFERROR(IF(AND($N693="VCA",$Q693="LINEAR"),INDEX(APOIO_REDES!$A:$W,MATCH($C693&amp;$I693&amp;$H693&amp;$N693&amp;$O693,APOIO_REDES!$W:$W,0),MATCH(BA$5,APOIO_REDES!$5:$5,0)),IF(AND($N693="MND",$Q693="EMBOQUE"),INDEX(APOIO_REDES!$A:$W,MATCH($C693&amp;$I693&amp;$H693&amp;$N693&amp;$O693,APOIO_REDES!$W:$W,0),MATCH(BA$5,APOIO_REDES!$5:$5,0)),0))*$M693/10,0)</f>
        <v>3.58497580274863</v>
      </c>
      <c r="BB693" s="153" t="n">
        <f aca="false">IFERROR(IF($N693="VCA",INDEX(APOIO_REDES!$A:$W,MATCH($C693&amp;$I693&amp;$H693&amp;$N693&amp;$O693,APOIO_REDES!$W:$W,0),MATCH(BB$5,APOIO_REDES!$5:$5,0)),0)*($AI693+$AQ693+$AR693),0)</f>
        <v>16.8284869962314</v>
      </c>
      <c r="BC693" s="153" t="n">
        <f aca="false">IFERROR(IF($N693="VCA",INDEX(APOIO_REDES!$A:$W,MATCH($C693&amp;$I693&amp;$H693&amp;$N693&amp;$O693,APOIO_REDES!$W:$W,0),MATCH(BC$5,APOIO_REDES!$5:$5,0)),0)*($AI693+$AQ693+$AR693),0)</f>
        <v>0.18511300376855</v>
      </c>
      <c r="BD693" s="153" t="n">
        <f aca="false">IF(AND($N693="VCA",$AF693&gt;=1.25,$AF693&lt;1.5),$M693*$AF693*2,0)</f>
        <v>125.4336</v>
      </c>
      <c r="BE693" s="153" t="n">
        <f aca="false">IF(AND($N693="VCA",$AF693&gt;=1.5,$AF693&lt;3),$M693*$AF693*2,0)</f>
        <v>0</v>
      </c>
      <c r="BF693" s="153" t="n">
        <f aca="false">IF(AND($N693="VCA",$AF693&gt;=3),$M693*$AF693*2,0)</f>
        <v>0</v>
      </c>
      <c r="BG693" s="153" t="n">
        <f aca="false">($BB693+$BC693)*$AK693</f>
        <v>62.95032</v>
      </c>
      <c r="BH693" s="153" t="n">
        <f aca="false">IF(AND($M693&lt;&gt;"",$N693="VCA",$Q693="LINEAR"),($M693*2)/100,IF(AND($M693&lt;&gt;"",$N693="MND",$Q693="EMBOQUE"),($AN693*2)/100,0))</f>
        <v>0.8896</v>
      </c>
      <c r="BI693" s="153" t="n">
        <f aca="false">IF(AND($M693&lt;&gt;"",$N693="VCA",$Q693="LINEAR"),$M693,IF(AND($M693&lt;&gt;"",$N693="MND",$Q693="EMBOQUE"),$AN693*2,0))</f>
        <v>44.48</v>
      </c>
      <c r="BJ693" s="153" t="n">
        <f aca="false">IF(AND($M693&lt;&gt;"",$N693="VCA",$Q693="LINEAR"),($M693*6.8)/100,IF(AND($M693&lt;&gt;"",$N693="MND",$Q693="EMBOQUE"),($AN693*2*6.8)/100,0))</f>
        <v>3.02464</v>
      </c>
      <c r="BK693" s="153" t="n">
        <f aca="false">IF(AND($M693&lt;&gt;"",$N693="VCA",$Q693="LINEAR"),($M693*2.5)/50,IF(AND($M693&lt;&gt;"",$N693="MND",$Q693="EMBOQUE"),($AN693*2*2.5)/50,0))</f>
        <v>2.224</v>
      </c>
      <c r="BL693" s="157" t="str">
        <f aca="false">K693&amp;J693</f>
        <v>Zona06REDES</v>
      </c>
      <c r="BM693" s="152" t="s">
        <v>3790</v>
      </c>
      <c r="BN693" s="152" t="s">
        <v>1560</v>
      </c>
      <c r="BO693" s="152" t="s">
        <v>4097</v>
      </c>
      <c r="BP693" s="152" t="s">
        <v>4181</v>
      </c>
      <c r="BQ693" s="152" t="s">
        <v>4173</v>
      </c>
      <c r="BR693" s="152" t="s">
        <v>4182</v>
      </c>
      <c r="BS693" s="152" t="n">
        <v>203899.027</v>
      </c>
      <c r="BT693" s="152" t="n">
        <v>8236820.76</v>
      </c>
      <c r="BU693" s="152" t="n">
        <v>203870.128</v>
      </c>
      <c r="BV693" s="152" t="n">
        <v>8236853.957</v>
      </c>
      <c r="BW693" s="152" t="n">
        <v>-15.9300667</v>
      </c>
      <c r="BX693" s="152" t="n">
        <v>-47.7657709</v>
      </c>
      <c r="BY693" s="152" t="s">
        <v>4181</v>
      </c>
    </row>
    <row r="694" customFormat="false" ht="13.8" hidden="false" customHeight="false" outlineLevel="0" collapsed="false">
      <c r="A694" s="149" t="n">
        <f aca="false">IF(C694&lt;&gt;"",ROW(A689),"")</f>
        <v>689</v>
      </c>
      <c r="B694" s="150" t="str">
        <f aca="false">HYPERLINK("https://www.google.com/maps/dir/-15.917302,-47.760003/-15.9305015,-47.7666125/data=!4m3!4m2!3e0!5i2")</f>
        <v>https://www.google.com/maps/dir/-15.917302,-47.760003/-15.9305015,-47.7666125/data=!4m3!4m2!3e0!5i2</v>
      </c>
      <c r="C694" s="151" t="s">
        <v>117</v>
      </c>
      <c r="D694" s="152" t="s">
        <v>112</v>
      </c>
      <c r="E694" s="152" t="s">
        <v>113</v>
      </c>
      <c r="F694" s="152" t="s">
        <v>117</v>
      </c>
      <c r="G694" s="152" t="s">
        <v>782</v>
      </c>
      <c r="H694" s="152" t="n">
        <v>63</v>
      </c>
      <c r="I694" s="152" t="s">
        <v>115</v>
      </c>
      <c r="J694" s="152" t="s">
        <v>6</v>
      </c>
      <c r="K694" s="152" t="s">
        <v>3786</v>
      </c>
      <c r="L694" s="152" t="s">
        <v>120</v>
      </c>
      <c r="M694" s="153" t="n">
        <f aca="false">99.67+4</f>
        <v>103.67</v>
      </c>
      <c r="N694" s="152" t="s">
        <v>1548</v>
      </c>
      <c r="O694" s="152" t="s">
        <v>1549</v>
      </c>
      <c r="P694" s="152" t="s">
        <v>1550</v>
      </c>
      <c r="Q694" s="152" t="s">
        <v>1551</v>
      </c>
      <c r="R694" s="154" t="s">
        <v>4183</v>
      </c>
      <c r="S694" s="154" t="s">
        <v>1553</v>
      </c>
      <c r="T694" s="155" t="s">
        <v>4095</v>
      </c>
      <c r="U694" s="152" t="str">
        <f aca="false">RIGHT(T694,7)</f>
        <v>016/037</v>
      </c>
      <c r="V694" s="152" t="s">
        <v>1555</v>
      </c>
      <c r="W694" s="156" t="n">
        <v>45882</v>
      </c>
      <c r="X694" s="152" t="s">
        <v>1594</v>
      </c>
      <c r="Y694" s="152" t="s">
        <v>4184</v>
      </c>
      <c r="Z694" s="152" t="s">
        <v>1557</v>
      </c>
      <c r="AA694" s="153" t="n">
        <v>3.9</v>
      </c>
      <c r="AB694" s="151" t="s">
        <v>4185</v>
      </c>
      <c r="AC694" s="151" t="s">
        <v>186</v>
      </c>
      <c r="AD694" s="151" t="str">
        <f aca="false">CONCATENATE($C694,$I694,$H694,$N694,$J694,$K694)</f>
        <v>TUBO PEADPEAD63VCAREDESZona06</v>
      </c>
      <c r="AE694" s="153" t="n">
        <f aca="false">IFERROR(INDEX(APOIO_REDES!$A:$W,MATCH($C694&amp;$I694&amp;$H694&amp;$N694&amp;$O694,APOIO_REDES!$W:$W,0),MATCH(AE$5,APOIO_REDES!$5:$5,0)),0)</f>
        <v>1.2</v>
      </c>
      <c r="AF694" s="153" t="n">
        <f aca="false">IFERROR(INDEX(APOIO_REDES!$A:$W,MATCH($C694&amp;$I694&amp;$H694&amp;$N694&amp;$O694,APOIO_REDES!$W:$W,0),MATCH(AF$5,APOIO_REDES!$5:$5,0)),0)</f>
        <v>1.363</v>
      </c>
      <c r="AG694" s="153" t="n">
        <f aca="false">IFERROR(INDEX(APOIO_REDES!$A:$W,MATCH($C694&amp;$I694&amp;$H694&amp;$N694&amp;$O694,APOIO_REDES!$W:$W,0),MATCH(AG$5,APOIO_REDES!$5:$5,0)),0)</f>
        <v>0.65</v>
      </c>
      <c r="AH694" s="153" t="n">
        <f aca="false">IFERROR(INDEX(APOIO_REDES!$A:$W,MATCH($C694&amp;$I694&amp;$H694&amp;$N694&amp;$O694,APOIO_REDES!$W:$W,0),MATCH(AH$5,APOIO_REDES!$5:$5,0)),0)</f>
        <v>0.1</v>
      </c>
      <c r="AI694" s="153" t="n">
        <f aca="false">IFERROR(IF($H694&lt;&gt;"",(((($H694/1000)/2)^2)*PI()*$M694),0),0)</f>
        <v>0.323164821342072</v>
      </c>
      <c r="AJ694" s="153" t="n">
        <f aca="false">IFERROR(IF(AND($H694&lt;&gt;"",$I694="FoFo",OR($N694="MND",$N694="VCA"),$Q694="LINEAR"),0,IF(AND($H694&lt;&gt;"",$I694="PEAD",$N694="VCA",$Q694="LINEAR"),($H694/1000)+0.3,IF(AND($H694&lt;&gt;"",$I694="PEAD",$N694="MND",$Q694="EMBOQUE"),0,IF(AND($H694&lt;&gt;"",$I694="PVC",$N694="VCA",$Q694="LINEAR"),($H694/1000)+0.2,IF(AND($H694&lt;&gt;"",$I694="PVC",$N694="MND",$Q694="EMBOQUE"),0,IF(AND($H694&lt;&gt;"",$I694="PEAD",$N694="VCA",$Q694="PREDIAL"),0,0)))))),0)</f>
        <v>0.363</v>
      </c>
      <c r="AK694" s="153" t="n">
        <f aca="false">IF(AA694&lt;&gt;"",AA694,0)</f>
        <v>3.9</v>
      </c>
      <c r="AL694" s="153" t="n">
        <f aca="false">IF(AND($N694="MND",$Q694="EMBOQUE"),$M694,IF(AND($N694="VCA",$Q694="LINEAR"),$M694,IF(AND($N694="VCA",$Q694="PREDIAL"),0,0)))</f>
        <v>103.67</v>
      </c>
      <c r="AM694" s="153" t="n">
        <f aca="false">IF(AND($N694="MND",$Q694="EMBOQUE"),$M694,IF(AND($N694="VCA",$Q694="LINEAR"),$M694,IF(AND($N694="VCA",$Q694="PREDIAL"),0,0)))</f>
        <v>103.67</v>
      </c>
      <c r="AN694" s="153" t="n">
        <f aca="false">ROUND(IF(AND($N694="VCA",$M694&lt;&gt;"",$Q694="LINEAR"),$M694/100,IF(AND($N694="MND",$M694&gt;100,$Q694="EMBOQUE"),$M694/100,0)),0)</f>
        <v>1</v>
      </c>
      <c r="AO694" s="153" t="n">
        <f aca="false">IF(AND($N694="MND",$Q694="EMBOQUE"),$AN694*2*2,IF(AND($N694="VCA",$Q694="LINEAR"),$M694*2,IF(AND($N694="VCA",$Q694="PREDIAL"),0,0)))</f>
        <v>207.34</v>
      </c>
      <c r="AP694" s="153" t="n">
        <f aca="false">IFERROR($M694*$AF694*$AG694,0)</f>
        <v>91.8464365</v>
      </c>
      <c r="AQ694" s="153" t="n">
        <f aca="false">IFERROR(IF(AND($N694="VCA",$AH694&gt;0),$M694*$AG694*$AH694,0),0)</f>
        <v>6.73855</v>
      </c>
      <c r="AR694" s="153" t="n">
        <f aca="false">IFERROR(IF(AND($N694="VCA",$AJ694&gt;0),($M694*$AG694*$AJ694)-$AI694,0),0)</f>
        <v>24.1377716786579</v>
      </c>
      <c r="AS694" s="153" t="n">
        <f aca="false">IFERROR(IF(AND($N694="VCA",$AP694&gt;0),$AP694-$AI694-$AQ694-$AR694,0),0)</f>
        <v>60.64695</v>
      </c>
      <c r="AT694" s="153" t="n">
        <f aca="false">IFERROR(IF($N694="VCA",INDEX(APOIO_REDES!$A:$W,MATCH($C694&amp;$I694&amp;$H694&amp;$N694&amp;$O694,APOIO_REDES!$W:$W,0),MATCH(AT$5,APOIO_REDES!$5:$5,0)),0)*$AP694,0)</f>
        <v>0.999316414277541</v>
      </c>
      <c r="AU694" s="153" t="n">
        <f aca="false">IFERROR(IF($N694="VCA",INDEX(APOIO_REDES!$A:$W,MATCH($C694&amp;$I694&amp;$H694&amp;$N694&amp;$O694,APOIO_REDES!$W:$W,0),MATCH(AU$5,APOIO_REDES!$5:$5,0)),0)*$AP694,0)</f>
        <v>0.798027023521159</v>
      </c>
      <c r="AV694" s="153" t="n">
        <f aca="false">IFERROR(IF($N694="VCA",INDEX(APOIO_REDES!$A:$W,MATCH($C694&amp;$I694&amp;$H694&amp;$N694&amp;$O694,APOIO_REDES!$W:$W,0),MATCH(AV$5,APOIO_REDES!$5:$5,0)),0)*$AP694,0)</f>
        <v>0.110440675297565</v>
      </c>
      <c r="AW694" s="153" t="n">
        <f aca="false">IFERROR(IF($N694="VCA",INDEX(APOIO_REDES!$A:$W,MATCH($C694&amp;$I694&amp;$H694&amp;$N694&amp;$O694,APOIO_REDES!$W:$W,0),MATCH(AW$5,APOIO_REDES!$5:$5,0)),0)*$AP694,0)</f>
        <v>63.0441056745174</v>
      </c>
      <c r="AX694" s="153" t="n">
        <f aca="false">IFERROR(IF($N694="VCA",INDEX(APOIO_REDES!$A:$W,MATCH($C694&amp;$I694&amp;$H694&amp;$N694&amp;$O694,APOIO_REDES!$W:$W,0),MATCH(AX$5,APOIO_REDES!$5:$5,0)),0)*$AP694,0)</f>
        <v>8.72512464081885</v>
      </c>
      <c r="AY694" s="153" t="n">
        <f aca="false">IFERROR(IF($N694="VCA",INDEX(APOIO_REDES!$A:$W,MATCH($C694&amp;$I694&amp;$H694&amp;$N694&amp;$O694,APOIO_REDES!$W:$W,0),MATCH(AY$5,APOIO_REDES!$5:$5,0)),0)*$AP694,0)</f>
        <v>15.9605307425384</v>
      </c>
      <c r="AZ694" s="153" t="n">
        <f aca="false">IFERROR(IF($N694="VCA",INDEX(APOIO_REDES!$A:$W,MATCH($C694&amp;$I694&amp;$H694&amp;$N694&amp;$O694,APOIO_REDES!$W:$W,0),MATCH(AZ$5,APOIO_REDES!$5:$5,0)),0)*$AP694,0)</f>
        <v>2.2088913290291</v>
      </c>
      <c r="BA694" s="153" t="n">
        <f aca="false">IFERROR(IF(AND($N694="VCA",$Q694="LINEAR"),INDEX(APOIO_REDES!$A:$W,MATCH($C694&amp;$I694&amp;$H694&amp;$N694&amp;$O694,APOIO_REDES!$W:$W,0),MATCH(BA$5,APOIO_REDES!$5:$5,0)),IF(AND($N694="MND",$Q694="EMBOQUE"),INDEX(APOIO_REDES!$A:$W,MATCH($C694&amp;$I694&amp;$H694&amp;$N694&amp;$O694,APOIO_REDES!$W:$W,0),MATCH(BA$5,APOIO_REDES!$5:$5,0)),0))*$M694/10,0)</f>
        <v>8.35554050069582</v>
      </c>
      <c r="BB694" s="153" t="n">
        <f aca="false">IFERROR(IF($N694="VCA",INDEX(APOIO_REDES!$A:$W,MATCH($C694&amp;$I694&amp;$H694&amp;$N694&amp;$O694,APOIO_REDES!$W:$W,0),MATCH(BB$5,APOIO_REDES!$5:$5,0)),0)*($AI694+$AQ694+$AR694),0)</f>
        <v>30.8600268523034</v>
      </c>
      <c r="BC694" s="153" t="n">
        <f aca="false">IFERROR(IF($N694="VCA",INDEX(APOIO_REDES!$A:$W,MATCH($C694&amp;$I694&amp;$H694&amp;$N694&amp;$O694,APOIO_REDES!$W:$W,0),MATCH(BC$5,APOIO_REDES!$5:$5,0)),0)*($AI694+$AQ694+$AR694),0)</f>
        <v>0.339459647696626</v>
      </c>
      <c r="BD694" s="153" t="n">
        <f aca="false">IF(AND($N694="VCA",$AF694&gt;=1.25,$AF694&lt;1.5),$M694*$AF694*2,0)</f>
        <v>282.60442</v>
      </c>
      <c r="BE694" s="153" t="n">
        <f aca="false">IF(AND($N694="VCA",$AF694&gt;=1.5,$AF694&lt;3),$M694*$AF694*2,0)</f>
        <v>0</v>
      </c>
      <c r="BF694" s="153" t="n">
        <f aca="false">IF(AND($N694="VCA",$AF694&gt;=3),$M694*$AF694*2,0)</f>
        <v>0</v>
      </c>
      <c r="BG694" s="153" t="n">
        <f aca="false">($BB694+$BC694)*$AK694</f>
        <v>121.67799735</v>
      </c>
      <c r="BH694" s="153" t="n">
        <f aca="false">IF(AND($M694&lt;&gt;"",$N694="VCA",$Q694="LINEAR"),($M694*2)/100,IF(AND($M694&lt;&gt;"",$N694="MND",$Q694="EMBOQUE"),($AN694*2)/100,0))</f>
        <v>2.0734</v>
      </c>
      <c r="BI694" s="153" t="n">
        <f aca="false">IF(AND($M694&lt;&gt;"",$N694="VCA",$Q694="LINEAR"),$M694,IF(AND($M694&lt;&gt;"",$N694="MND",$Q694="EMBOQUE"),$AN694*2,0))</f>
        <v>103.67</v>
      </c>
      <c r="BJ694" s="153" t="n">
        <f aca="false">IF(AND($M694&lt;&gt;"",$N694="VCA",$Q694="LINEAR"),($M694*6.8)/100,IF(AND($M694&lt;&gt;"",$N694="MND",$Q694="EMBOQUE"),($AN694*2*6.8)/100,0))</f>
        <v>7.04956</v>
      </c>
      <c r="BK694" s="153" t="n">
        <f aca="false">IF(AND($M694&lt;&gt;"",$N694="VCA",$Q694="LINEAR"),($M694*2.5)/50,IF(AND($M694&lt;&gt;"",$N694="MND",$Q694="EMBOQUE"),($AN694*2*2.5)/50,0))</f>
        <v>5.1835</v>
      </c>
      <c r="BL694" s="157" t="str">
        <f aca="false">K694&amp;J694</f>
        <v>Zona06REDES</v>
      </c>
      <c r="BM694" s="152" t="s">
        <v>3790</v>
      </c>
      <c r="BN694" s="152" t="s">
        <v>1560</v>
      </c>
      <c r="BO694" s="152" t="s">
        <v>4097</v>
      </c>
      <c r="BP694" s="152" t="s">
        <v>4186</v>
      </c>
      <c r="BQ694" s="152" t="s">
        <v>4173</v>
      </c>
      <c r="BR694" s="152" t="s">
        <v>4187</v>
      </c>
      <c r="BS694" s="152" t="n">
        <v>203795.249</v>
      </c>
      <c r="BT694" s="152" t="n">
        <v>8236788.2</v>
      </c>
      <c r="BU694" s="152" t="n">
        <v>203870.128</v>
      </c>
      <c r="BV694" s="152" t="n">
        <v>8236853.957</v>
      </c>
      <c r="BW694" s="152" t="n">
        <v>-15.9302106</v>
      </c>
      <c r="BX694" s="152" t="n">
        <v>-47.7662575</v>
      </c>
      <c r="BY694" s="152" t="s">
        <v>4186</v>
      </c>
    </row>
    <row r="695" customFormat="false" ht="13.8" hidden="false" customHeight="false" outlineLevel="0" collapsed="false">
      <c r="A695" s="149" t="n">
        <f aca="false">IF(C695&lt;&gt;"",ROW(A690),"")</f>
        <v>690</v>
      </c>
      <c r="B695" s="150" t="str">
        <f aca="false">HYPERLINK("https://www.google.com/maps/dir/-15.917302,-47.760003/-15.9305007,-47.7653801/data=!4m3!4m2!3e0!5i2")</f>
        <v>https://www.google.com/maps/dir/-15.917302,-47.760003/-15.9305007,-47.7653801/data=!4m3!4m2!3e0!5i2</v>
      </c>
      <c r="C695" s="151" t="s">
        <v>117</v>
      </c>
      <c r="D695" s="152" t="s">
        <v>112</v>
      </c>
      <c r="E695" s="152" t="s">
        <v>113</v>
      </c>
      <c r="F695" s="152" t="s">
        <v>117</v>
      </c>
      <c r="G695" s="152" t="s">
        <v>782</v>
      </c>
      <c r="H695" s="152" t="n">
        <v>63</v>
      </c>
      <c r="I695" s="152" t="s">
        <v>115</v>
      </c>
      <c r="J695" s="152" t="s">
        <v>6</v>
      </c>
      <c r="K695" s="152" t="s">
        <v>3786</v>
      </c>
      <c r="L695" s="152" t="s">
        <v>120</v>
      </c>
      <c r="M695" s="153" t="n">
        <f aca="false">41.29</f>
        <v>41.29</v>
      </c>
      <c r="N695" s="152" t="s">
        <v>1548</v>
      </c>
      <c r="O695" s="152" t="s">
        <v>1549</v>
      </c>
      <c r="P695" s="152" t="s">
        <v>1550</v>
      </c>
      <c r="Q695" s="152" t="s">
        <v>1551</v>
      </c>
      <c r="R695" s="154" t="s">
        <v>4188</v>
      </c>
      <c r="S695" s="154" t="s">
        <v>1553</v>
      </c>
      <c r="T695" s="155" t="s">
        <v>4095</v>
      </c>
      <c r="U695" s="152" t="str">
        <f aca="false">RIGHT(T695,7)</f>
        <v>016/037</v>
      </c>
      <c r="V695" s="152" t="s">
        <v>1555</v>
      </c>
      <c r="W695" s="156" t="n">
        <v>45882</v>
      </c>
      <c r="X695" s="152" t="s">
        <v>1594</v>
      </c>
      <c r="Y695" s="152" t="s">
        <v>4009</v>
      </c>
      <c r="Z695" s="152" t="s">
        <v>1557</v>
      </c>
      <c r="AA695" s="153" t="n">
        <v>3.7</v>
      </c>
      <c r="AB695" s="151" t="s">
        <v>4189</v>
      </c>
      <c r="AC695" s="151" t="s">
        <v>186</v>
      </c>
      <c r="AD695" s="151" t="str">
        <f aca="false">CONCATENATE($C695,$I695,$H695,$N695,$J695,$K695)</f>
        <v>TUBO PEADPEAD63VCAREDESZona06</v>
      </c>
      <c r="AE695" s="153" t="n">
        <f aca="false">IFERROR(INDEX(APOIO_REDES!$A:$W,MATCH($C695&amp;$I695&amp;$H695&amp;$N695&amp;$O695,APOIO_REDES!$W:$W,0),MATCH(AE$5,APOIO_REDES!$5:$5,0)),0)</f>
        <v>1.2</v>
      </c>
      <c r="AF695" s="153" t="n">
        <f aca="false">IFERROR(INDEX(APOIO_REDES!$A:$W,MATCH($C695&amp;$I695&amp;$H695&amp;$N695&amp;$O695,APOIO_REDES!$W:$W,0),MATCH(AF$5,APOIO_REDES!$5:$5,0)),0)</f>
        <v>1.363</v>
      </c>
      <c r="AG695" s="153" t="n">
        <f aca="false">IFERROR(INDEX(APOIO_REDES!$A:$W,MATCH($C695&amp;$I695&amp;$H695&amp;$N695&amp;$O695,APOIO_REDES!$W:$W,0),MATCH(AG$5,APOIO_REDES!$5:$5,0)),0)</f>
        <v>0.65</v>
      </c>
      <c r="AH695" s="153" t="n">
        <f aca="false">IFERROR(INDEX(APOIO_REDES!$A:$W,MATCH($C695&amp;$I695&amp;$H695&amp;$N695&amp;$O695,APOIO_REDES!$W:$W,0),MATCH(AH$5,APOIO_REDES!$5:$5,0)),0)</f>
        <v>0.1</v>
      </c>
      <c r="AI695" s="153" t="n">
        <f aca="false">IFERROR(IF($H695&lt;&gt;"",(((($H695/1000)/2)^2)*PI()*$M695),0),0)</f>
        <v>0.128711058871555</v>
      </c>
      <c r="AJ695" s="153" t="n">
        <f aca="false">IFERROR(IF(AND($H695&lt;&gt;"",$I695="FoFo",OR($N695="MND",$N695="VCA"),$Q695="LINEAR"),0,IF(AND($H695&lt;&gt;"",$I695="PEAD",$N695="VCA",$Q695="LINEAR"),($H695/1000)+0.3,IF(AND($H695&lt;&gt;"",$I695="PEAD",$N695="MND",$Q695="EMBOQUE"),0,IF(AND($H695&lt;&gt;"",$I695="PVC",$N695="VCA",$Q695="LINEAR"),($H695/1000)+0.2,IF(AND($H695&lt;&gt;"",$I695="PVC",$N695="MND",$Q695="EMBOQUE"),0,IF(AND($H695&lt;&gt;"",$I695="PEAD",$N695="VCA",$Q695="PREDIAL"),0,0)))))),0)</f>
        <v>0.363</v>
      </c>
      <c r="AK695" s="153" t="n">
        <f aca="false">IF(AA695&lt;&gt;"",AA695,0)</f>
        <v>3.7</v>
      </c>
      <c r="AL695" s="153" t="n">
        <f aca="false">IF(AND($N695="MND",$Q695="EMBOQUE"),$M695,IF(AND($N695="VCA",$Q695="LINEAR"),$M695,IF(AND($N695="VCA",$Q695="PREDIAL"),0,0)))</f>
        <v>41.29</v>
      </c>
      <c r="AM695" s="153" t="n">
        <f aca="false">IF(AND($N695="MND",$Q695="EMBOQUE"),$M695,IF(AND($N695="VCA",$Q695="LINEAR"),$M695,IF(AND($N695="VCA",$Q695="PREDIAL"),0,0)))</f>
        <v>41.29</v>
      </c>
      <c r="AN695" s="153" t="n">
        <f aca="false">ROUND(IF(AND($N695="VCA",$M695&lt;&gt;"",$Q695="LINEAR"),$M695/100,IF(AND($N695="MND",$M695&gt;100,$Q695="EMBOQUE"),$M695/100,0)),0)</f>
        <v>0</v>
      </c>
      <c r="AO695" s="153" t="n">
        <f aca="false">IF(AND($N695="MND",$Q695="EMBOQUE"),$AN695*2*2,IF(AND($N695="VCA",$Q695="LINEAR"),$M695*2,IF(AND($N695="VCA",$Q695="PREDIAL"),0,0)))</f>
        <v>82.58</v>
      </c>
      <c r="AP695" s="153" t="n">
        <f aca="false">IFERROR($M695*$AF695*$AG695,0)</f>
        <v>36.5808755</v>
      </c>
      <c r="AQ695" s="153" t="n">
        <f aca="false">IFERROR(IF(AND($N695="VCA",$AH695&gt;0),$M695*$AG695*$AH695,0),0)</f>
        <v>2.68385</v>
      </c>
      <c r="AR695" s="153" t="n">
        <f aca="false">IFERROR(IF(AND($N695="VCA",$AJ695&gt;0),($M695*$AG695*$AJ695)-$AI695,0),0)</f>
        <v>9.61366444112844</v>
      </c>
      <c r="AS695" s="153" t="n">
        <f aca="false">IFERROR(IF(AND($N695="VCA",$AP695&gt;0),$AP695-$AI695-$AQ695-$AR695,0),0)</f>
        <v>24.15465</v>
      </c>
      <c r="AT695" s="153" t="n">
        <f aca="false">IFERROR(IF($N695="VCA",INDEX(APOIO_REDES!$A:$W,MATCH($C695&amp;$I695&amp;$H695&amp;$N695&amp;$O695,APOIO_REDES!$W:$W,0),MATCH(AT$5,APOIO_REDES!$5:$5,0)),0)*$AP695,0)</f>
        <v>0.398010752826465</v>
      </c>
      <c r="AU695" s="153" t="n">
        <f aca="false">IFERROR(IF($N695="VCA",INDEX(APOIO_REDES!$A:$W,MATCH($C695&amp;$I695&amp;$H695&amp;$N695&amp;$O695,APOIO_REDES!$W:$W,0),MATCH(AU$5,APOIO_REDES!$5:$5,0)),0)*$AP695,0)</f>
        <v>0.317840607708967</v>
      </c>
      <c r="AV695" s="153" t="n">
        <f aca="false">IFERROR(IF($N695="VCA",INDEX(APOIO_REDES!$A:$W,MATCH($C695&amp;$I695&amp;$H695&amp;$N695&amp;$O695,APOIO_REDES!$W:$W,0),MATCH(AV$5,APOIO_REDES!$5:$5,0)),0)*$AP695,0)</f>
        <v>0.0439866449603207</v>
      </c>
      <c r="AW695" s="153" t="n">
        <f aca="false">IFERROR(IF($N695="VCA",INDEX(APOIO_REDES!$A:$W,MATCH($C695&amp;$I695&amp;$H695&amp;$N695&amp;$O695,APOIO_REDES!$W:$W,0),MATCH(AW$5,APOIO_REDES!$5:$5,0)),0)*$AP695,0)</f>
        <v>25.1093963856547</v>
      </c>
      <c r="AX695" s="153" t="n">
        <f aca="false">IFERROR(IF($N695="VCA",INDEX(APOIO_REDES!$A:$W,MATCH($C695&amp;$I695&amp;$H695&amp;$N695&amp;$O695,APOIO_REDES!$W:$W,0),MATCH(AX$5,APOIO_REDES!$5:$5,0)),0)*$AP695,0)</f>
        <v>3.4750689343051</v>
      </c>
      <c r="AY695" s="153" t="n">
        <f aca="false">IFERROR(IF($N695="VCA",INDEX(APOIO_REDES!$A:$W,MATCH($C695&amp;$I695&amp;$H695&amp;$N695&amp;$O695,APOIO_REDES!$W:$W,0),MATCH(AY$5,APOIO_REDES!$5:$5,0)),0)*$AP695,0)</f>
        <v>6.3568082797281</v>
      </c>
      <c r="AZ695" s="153" t="n">
        <f aca="false">IFERROR(IF($N695="VCA",INDEX(APOIO_REDES!$A:$W,MATCH($C695&amp;$I695&amp;$H695&amp;$N695&amp;$O695,APOIO_REDES!$W:$W,0),MATCH(AZ$5,APOIO_REDES!$5:$5,0)),0)*$AP695,0)</f>
        <v>0.879763894816356</v>
      </c>
      <c r="BA695" s="153" t="n">
        <f aca="false">IFERROR(IF(AND($N695="VCA",$Q695="LINEAR"),INDEX(APOIO_REDES!$A:$W,MATCH($C695&amp;$I695&amp;$H695&amp;$N695&amp;$O695,APOIO_REDES!$W:$W,0),MATCH(BA$5,APOIO_REDES!$5:$5,0)),IF(AND($N695="MND",$Q695="EMBOQUE"),INDEX(APOIO_REDES!$A:$W,MATCH($C695&amp;$I695&amp;$H695&amp;$N695&amp;$O695,APOIO_REDES!$W:$W,0),MATCH(BA$5,APOIO_REDES!$5:$5,0)),0))*$M695/10,0)</f>
        <v>3.32786984926913</v>
      </c>
      <c r="BB695" s="153" t="n">
        <f aca="false">IFERROR(IF($N695="VCA",INDEX(APOIO_REDES!$A:$W,MATCH($C695&amp;$I695&amp;$H695&amp;$N695&amp;$O695,APOIO_REDES!$W:$W,0),MATCH(BB$5,APOIO_REDES!$5:$5,0)),0)*($AI695+$AQ695+$AR695),0)</f>
        <v>12.291024488585</v>
      </c>
      <c r="BC695" s="153" t="n">
        <f aca="false">IFERROR(IF($N695="VCA",INDEX(APOIO_REDES!$A:$W,MATCH($C695&amp;$I695&amp;$H695&amp;$N695&amp;$O695,APOIO_REDES!$W:$W,0),MATCH(BC$5,APOIO_REDES!$5:$5,0)),0)*($AI695+$AQ695+$AR695),0)</f>
        <v>0.135201011415006</v>
      </c>
      <c r="BD695" s="153" t="n">
        <f aca="false">IF(AND($N695="VCA",$AF695&gt;=1.25,$AF695&lt;1.5),$M695*$AF695*2,0)</f>
        <v>112.55654</v>
      </c>
      <c r="BE695" s="153" t="n">
        <f aca="false">IF(AND($N695="VCA",$AF695&gt;=1.5,$AF695&lt;3),$M695*$AF695*2,0)</f>
        <v>0</v>
      </c>
      <c r="BF695" s="153" t="n">
        <f aca="false">IF(AND($N695="VCA",$AF695&gt;=3),$M695*$AF695*2,0)</f>
        <v>0</v>
      </c>
      <c r="BG695" s="153" t="n">
        <f aca="false">($BB695+$BC695)*$AK695</f>
        <v>45.97703435</v>
      </c>
      <c r="BH695" s="153" t="n">
        <f aca="false">IF(AND($M695&lt;&gt;"",$N695="VCA",$Q695="LINEAR"),($M695*2)/100,IF(AND($M695&lt;&gt;"",$N695="MND",$Q695="EMBOQUE"),($AN695*2)/100,0))</f>
        <v>0.8258</v>
      </c>
      <c r="BI695" s="153" t="n">
        <f aca="false">IF(AND($M695&lt;&gt;"",$N695="VCA",$Q695="LINEAR"),$M695,IF(AND($M695&lt;&gt;"",$N695="MND",$Q695="EMBOQUE"),$AN695*2,0))</f>
        <v>41.29</v>
      </c>
      <c r="BJ695" s="153" t="n">
        <f aca="false">IF(AND($M695&lt;&gt;"",$N695="VCA",$Q695="LINEAR"),($M695*6.8)/100,IF(AND($M695&lt;&gt;"",$N695="MND",$Q695="EMBOQUE"),($AN695*2*6.8)/100,0))</f>
        <v>2.80772</v>
      </c>
      <c r="BK695" s="153" t="n">
        <f aca="false">IF(AND($M695&lt;&gt;"",$N695="VCA",$Q695="LINEAR"),($M695*2.5)/50,IF(AND($M695&lt;&gt;"",$N695="MND",$Q695="EMBOQUE"),($AN695*2*2.5)/50,0))</f>
        <v>2.0645</v>
      </c>
      <c r="BL695" s="157" t="str">
        <f aca="false">K695&amp;J695</f>
        <v>Zona06REDES</v>
      </c>
      <c r="BM695" s="152" t="s">
        <v>3790</v>
      </c>
      <c r="BN695" s="152" t="s">
        <v>1560</v>
      </c>
      <c r="BO695" s="152" t="s">
        <v>4097</v>
      </c>
      <c r="BP695" s="152" t="s">
        <v>4190</v>
      </c>
      <c r="BQ695" s="152" t="s">
        <v>4181</v>
      </c>
      <c r="BR695" s="152" t="s">
        <v>4191</v>
      </c>
      <c r="BS695" s="152" t="n">
        <v>203927.274</v>
      </c>
      <c r="BT695" s="152" t="n">
        <v>8236790.029</v>
      </c>
      <c r="BU695" s="152" t="n">
        <v>203899.33</v>
      </c>
      <c r="BV695" s="152" t="n">
        <v>8236820.412</v>
      </c>
      <c r="BW695" s="152" t="n">
        <v>-15.9303606</v>
      </c>
      <c r="BX695" s="152" t="n">
        <v>-47.7655072</v>
      </c>
      <c r="BY695" s="152" t="s">
        <v>4190</v>
      </c>
    </row>
    <row r="696" customFormat="false" ht="13.8" hidden="false" customHeight="false" outlineLevel="0" collapsed="false">
      <c r="A696" s="149" t="n">
        <f aca="false">IF(C696&lt;&gt;"",ROW(A691),"")</f>
        <v>691</v>
      </c>
      <c r="B696" s="150" t="str">
        <f aca="false">HYPERLINK("https://www.google.com/maps/dir/-15.917302,-47.760003/-15.9308240,-47.7663670/data=!4m3!4m2!3e0!5i2")</f>
        <v>https://www.google.com/maps/dir/-15.917302,-47.760003/-15.9308240,-47.7663670/data=!4m3!4m2!3e0!5i2</v>
      </c>
      <c r="C696" s="151" t="s">
        <v>117</v>
      </c>
      <c r="D696" s="152" t="s">
        <v>112</v>
      </c>
      <c r="E696" s="152" t="s">
        <v>113</v>
      </c>
      <c r="F696" s="152" t="s">
        <v>117</v>
      </c>
      <c r="G696" s="152" t="s">
        <v>782</v>
      </c>
      <c r="H696" s="152" t="n">
        <v>63</v>
      </c>
      <c r="I696" s="152" t="s">
        <v>115</v>
      </c>
      <c r="J696" s="152" t="s">
        <v>6</v>
      </c>
      <c r="K696" s="152" t="s">
        <v>3786</v>
      </c>
      <c r="L696" s="152" t="s">
        <v>120</v>
      </c>
      <c r="M696" s="153" t="n">
        <f aca="false">102.72+4.07</f>
        <v>106.79</v>
      </c>
      <c r="N696" s="152" t="s">
        <v>1548</v>
      </c>
      <c r="O696" s="152" t="s">
        <v>1549</v>
      </c>
      <c r="P696" s="152" t="s">
        <v>1550</v>
      </c>
      <c r="Q696" s="152" t="s">
        <v>1551</v>
      </c>
      <c r="R696" s="154" t="s">
        <v>4192</v>
      </c>
      <c r="S696" s="154" t="s">
        <v>1553</v>
      </c>
      <c r="T696" s="155" t="s">
        <v>4095</v>
      </c>
      <c r="U696" s="152" t="str">
        <f aca="false">RIGHT(T696,7)</f>
        <v>016/037</v>
      </c>
      <c r="V696" s="152" t="s">
        <v>1555</v>
      </c>
      <c r="W696" s="156" t="n">
        <v>45882</v>
      </c>
      <c r="X696" s="152" t="s">
        <v>1594</v>
      </c>
      <c r="Y696" s="152" t="s">
        <v>4015</v>
      </c>
      <c r="Z696" s="152" t="s">
        <v>1557</v>
      </c>
      <c r="AA696" s="153" t="n">
        <v>3.8</v>
      </c>
      <c r="AB696" s="151" t="s">
        <v>4193</v>
      </c>
      <c r="AC696" s="151" t="s">
        <v>186</v>
      </c>
      <c r="AD696" s="151" t="str">
        <f aca="false">CONCATENATE($C696,$I696,$H696,$N696,$J696,$K696)</f>
        <v>TUBO PEADPEAD63VCAREDESZona06</v>
      </c>
      <c r="AE696" s="153" t="n">
        <f aca="false">IFERROR(INDEX(APOIO_REDES!$A:$W,MATCH($C696&amp;$I696&amp;$H696&amp;$N696&amp;$O696,APOIO_REDES!$W:$W,0),MATCH(AE$5,APOIO_REDES!$5:$5,0)),0)</f>
        <v>1.2</v>
      </c>
      <c r="AF696" s="153" t="n">
        <f aca="false">IFERROR(INDEX(APOIO_REDES!$A:$W,MATCH($C696&amp;$I696&amp;$H696&amp;$N696&amp;$O696,APOIO_REDES!$W:$W,0),MATCH(AF$5,APOIO_REDES!$5:$5,0)),0)</f>
        <v>1.363</v>
      </c>
      <c r="AG696" s="153" t="n">
        <f aca="false">IFERROR(INDEX(APOIO_REDES!$A:$W,MATCH($C696&amp;$I696&amp;$H696&amp;$N696&amp;$O696,APOIO_REDES!$W:$W,0),MATCH(AG$5,APOIO_REDES!$5:$5,0)),0)</f>
        <v>0.65</v>
      </c>
      <c r="AH696" s="153" t="n">
        <f aca="false">IFERROR(INDEX(APOIO_REDES!$A:$W,MATCH($C696&amp;$I696&amp;$H696&amp;$N696&amp;$O696,APOIO_REDES!$W:$W,0),MATCH(AH$5,APOIO_REDES!$5:$5,0)),0)</f>
        <v>0.1</v>
      </c>
      <c r="AI696" s="153" t="n">
        <f aca="false">IFERROR(IF($H696&lt;&gt;"",(((($H696/1000)/2)^2)*PI()*$M696),0),0)</f>
        <v>0.332890626710908</v>
      </c>
      <c r="AJ696" s="153" t="n">
        <f aca="false">IFERROR(IF(AND($H696&lt;&gt;"",$I696="FoFo",OR($N696="MND",$N696="VCA"),$Q696="LINEAR"),0,IF(AND($H696&lt;&gt;"",$I696="PEAD",$N696="VCA",$Q696="LINEAR"),($H696/1000)+0.3,IF(AND($H696&lt;&gt;"",$I696="PEAD",$N696="MND",$Q696="EMBOQUE"),0,IF(AND($H696&lt;&gt;"",$I696="PVC",$N696="VCA",$Q696="LINEAR"),($H696/1000)+0.2,IF(AND($H696&lt;&gt;"",$I696="PVC",$N696="MND",$Q696="EMBOQUE"),0,IF(AND($H696&lt;&gt;"",$I696="PEAD",$N696="VCA",$Q696="PREDIAL"),0,0)))))),0)</f>
        <v>0.363</v>
      </c>
      <c r="AK696" s="153" t="n">
        <f aca="false">IF(AA696&lt;&gt;"",AA696,0)</f>
        <v>3.8</v>
      </c>
      <c r="AL696" s="153" t="n">
        <f aca="false">IF(AND($N696="MND",$Q696="EMBOQUE"),$M696,IF(AND($N696="VCA",$Q696="LINEAR"),$M696,IF(AND($N696="VCA",$Q696="PREDIAL"),0,0)))</f>
        <v>106.79</v>
      </c>
      <c r="AM696" s="153" t="n">
        <f aca="false">IF(AND($N696="MND",$Q696="EMBOQUE"),$M696,IF(AND($N696="VCA",$Q696="LINEAR"),$M696,IF(AND($N696="VCA",$Q696="PREDIAL"),0,0)))</f>
        <v>106.79</v>
      </c>
      <c r="AN696" s="153" t="n">
        <f aca="false">ROUND(IF(AND($N696="VCA",$M696&lt;&gt;"",$Q696="LINEAR"),$M696/100,IF(AND($N696="MND",$M696&gt;100,$Q696="EMBOQUE"),$M696/100,0)),0)</f>
        <v>1</v>
      </c>
      <c r="AO696" s="153" t="n">
        <f aca="false">IF(AND($N696="MND",$Q696="EMBOQUE"),$AN696*2*2,IF(AND($N696="VCA",$Q696="LINEAR"),$M696*2,IF(AND($N696="VCA",$Q696="PREDIAL"),0,0)))</f>
        <v>213.58</v>
      </c>
      <c r="AP696" s="153" t="n">
        <f aca="false">IFERROR($M696*$AF696*$AG696,0)</f>
        <v>94.6106005</v>
      </c>
      <c r="AQ696" s="153" t="n">
        <f aca="false">IFERROR(IF(AND($N696="VCA",$AH696&gt;0),$M696*$AG696*$AH696,0),0)</f>
        <v>6.94135</v>
      </c>
      <c r="AR696" s="153" t="n">
        <f aca="false">IFERROR(IF(AND($N696="VCA",$AJ696&gt;0),($M696*$AG696*$AJ696)-$AI696,0),0)</f>
        <v>24.8642098732891</v>
      </c>
      <c r="AS696" s="153" t="n">
        <f aca="false">IFERROR(IF(AND($N696="VCA",$AP696&gt;0),$AP696-$AI696-$AQ696-$AR696,0),0)</f>
        <v>62.47215</v>
      </c>
      <c r="AT696" s="153" t="n">
        <f aca="false">IFERROR(IF($N696="VCA",INDEX(APOIO_REDES!$A:$W,MATCH($C696&amp;$I696&amp;$H696&amp;$N696&amp;$O696,APOIO_REDES!$W:$W,0),MATCH(AT$5,APOIO_REDES!$5:$5,0)),0)*$AP696,0)</f>
        <v>1.02939133674832</v>
      </c>
      <c r="AU696" s="153" t="n">
        <f aca="false">IFERROR(IF($N696="VCA",INDEX(APOIO_REDES!$A:$W,MATCH($C696&amp;$I696&amp;$H696&amp;$N696&amp;$O696,APOIO_REDES!$W:$W,0),MATCH(AU$5,APOIO_REDES!$5:$5,0)),0)*$AP696,0)</f>
        <v>0.822044042074125</v>
      </c>
      <c r="AV696" s="153" t="n">
        <f aca="false">IFERROR(IF($N696="VCA",INDEX(APOIO_REDES!$A:$W,MATCH($C696&amp;$I696&amp;$H696&amp;$N696&amp;$O696,APOIO_REDES!$W:$W,0),MATCH(AV$5,APOIO_REDES!$5:$5,0)),0)*$AP696,0)</f>
        <v>0.113764442124307</v>
      </c>
      <c r="AW696" s="153" t="n">
        <f aca="false">IFERROR(IF($N696="VCA",INDEX(APOIO_REDES!$A:$W,MATCH($C696&amp;$I696&amp;$H696&amp;$N696&amp;$O696,APOIO_REDES!$W:$W,0),MATCH(AW$5,APOIO_REDES!$5:$5,0)),0)*$AP696,0)</f>
        <v>64.9414492619052</v>
      </c>
      <c r="AX696" s="153" t="n">
        <f aca="false">IFERROR(IF($N696="VCA",INDEX(APOIO_REDES!$A:$W,MATCH($C696&amp;$I696&amp;$H696&amp;$N696&amp;$O696,APOIO_REDES!$W:$W,0),MATCH(AX$5,APOIO_REDES!$5:$5,0)),0)*$AP696,0)</f>
        <v>8.98771158862781</v>
      </c>
      <c r="AY696" s="153" t="n">
        <f aca="false">IFERROR(IF($N696="VCA",INDEX(APOIO_REDES!$A:$W,MATCH($C696&amp;$I696&amp;$H696&amp;$N696&amp;$O696,APOIO_REDES!$W:$W,0),MATCH(AY$5,APOIO_REDES!$5:$5,0)),0)*$AP696,0)</f>
        <v>16.4408708208323</v>
      </c>
      <c r="AZ696" s="153" t="n">
        <f aca="false">IFERROR(IF($N696="VCA",INDEX(APOIO_REDES!$A:$W,MATCH($C696&amp;$I696&amp;$H696&amp;$N696&amp;$O696,APOIO_REDES!$W:$W,0),MATCH(AZ$5,APOIO_REDES!$5:$5,0)),0)*$AP696,0)</f>
        <v>2.27536900768803</v>
      </c>
      <c r="BA696" s="153" t="n">
        <f aca="false">IFERROR(IF(AND($N696="VCA",$Q696="LINEAR"),INDEX(APOIO_REDES!$A:$W,MATCH($C696&amp;$I696&amp;$H696&amp;$N696&amp;$O696,APOIO_REDES!$W:$W,0),MATCH(BA$5,APOIO_REDES!$5:$5,0)),IF(AND($N696="MND",$Q696="EMBOQUE"),INDEX(APOIO_REDES!$A:$W,MATCH($C696&amp;$I696&amp;$H696&amp;$N696&amp;$O696,APOIO_REDES!$W:$W,0),MATCH(BA$5,APOIO_REDES!$5:$5,0)),0))*$M696/10,0)</f>
        <v>8.60700463074474</v>
      </c>
      <c r="BB696" s="153" t="n">
        <f aca="false">IFERROR(IF($N696="VCA",INDEX(APOIO_REDES!$A:$W,MATCH($C696&amp;$I696&amp;$H696&amp;$N696&amp;$O696,APOIO_REDES!$W:$W,0),MATCH(BB$5,APOIO_REDES!$5:$5,0)),0)*($AI696+$AQ696+$AR696),0)</f>
        <v>31.7887746460642</v>
      </c>
      <c r="BC696" s="153" t="n">
        <f aca="false">IFERROR(IF($N696="VCA",INDEX(APOIO_REDES!$A:$W,MATCH($C696&amp;$I696&amp;$H696&amp;$N696&amp;$O696,APOIO_REDES!$W:$W,0),MATCH(BC$5,APOIO_REDES!$5:$5,0)),0)*($AI696+$AQ696+$AR696),0)</f>
        <v>0.349675853935784</v>
      </c>
      <c r="BD696" s="153" t="n">
        <f aca="false">IF(AND($N696="VCA",$AF696&gt;=1.25,$AF696&lt;1.5),$M696*$AF696*2,0)</f>
        <v>291.10954</v>
      </c>
      <c r="BE696" s="153" t="n">
        <f aca="false">IF(AND($N696="VCA",$AF696&gt;=1.5,$AF696&lt;3),$M696*$AF696*2,0)</f>
        <v>0</v>
      </c>
      <c r="BF696" s="153" t="n">
        <f aca="false">IF(AND($N696="VCA",$AF696&gt;=3),$M696*$AF696*2,0)</f>
        <v>0</v>
      </c>
      <c r="BG696" s="153" t="n">
        <f aca="false">($BB696+$BC696)*$AK696</f>
        <v>122.1261119</v>
      </c>
      <c r="BH696" s="153" t="n">
        <f aca="false">IF(AND($M696&lt;&gt;"",$N696="VCA",$Q696="LINEAR"),($M696*2)/100,IF(AND($M696&lt;&gt;"",$N696="MND",$Q696="EMBOQUE"),($AN696*2)/100,0))</f>
        <v>2.1358</v>
      </c>
      <c r="BI696" s="153" t="n">
        <f aca="false">IF(AND($M696&lt;&gt;"",$N696="VCA",$Q696="LINEAR"),$M696,IF(AND($M696&lt;&gt;"",$N696="MND",$Q696="EMBOQUE"),$AN696*2,0))</f>
        <v>106.79</v>
      </c>
      <c r="BJ696" s="153" t="n">
        <f aca="false">IF(AND($M696&lt;&gt;"",$N696="VCA",$Q696="LINEAR"),($M696*6.8)/100,IF(AND($M696&lt;&gt;"",$N696="MND",$Q696="EMBOQUE"),($AN696*2*6.8)/100,0))</f>
        <v>7.26172</v>
      </c>
      <c r="BK696" s="153" t="n">
        <f aca="false">IF(AND($M696&lt;&gt;"",$N696="VCA",$Q696="LINEAR"),($M696*2.5)/50,IF(AND($M696&lt;&gt;"",$N696="MND",$Q696="EMBOQUE"),($AN696*2*2.5)/50,0))</f>
        <v>5.3395</v>
      </c>
      <c r="BL696" s="157" t="str">
        <f aca="false">K696&amp;J696</f>
        <v>Zona06REDES</v>
      </c>
      <c r="BM696" s="152" t="s">
        <v>3790</v>
      </c>
      <c r="BN696" s="152" t="s">
        <v>1560</v>
      </c>
      <c r="BO696" s="152" t="s">
        <v>4097</v>
      </c>
      <c r="BP696" s="152" t="s">
        <v>4194</v>
      </c>
      <c r="BQ696" s="152" t="s">
        <v>4181</v>
      </c>
      <c r="BR696" s="152" t="s">
        <v>4195</v>
      </c>
      <c r="BS696" s="152" t="n">
        <v>203822.022</v>
      </c>
      <c r="BT696" s="152" t="n">
        <v>8236752.83</v>
      </c>
      <c r="BU696" s="152" t="n">
        <v>203899.269</v>
      </c>
      <c r="BV696" s="152" t="n">
        <v>8236820.374</v>
      </c>
      <c r="BW696" s="152" t="n">
        <v>-15.9305153</v>
      </c>
      <c r="BX696" s="152" t="n">
        <v>-47.7660094</v>
      </c>
      <c r="BY696" s="152" t="s">
        <v>4194</v>
      </c>
    </row>
    <row r="697" customFormat="false" ht="13.8" hidden="false" customHeight="false" outlineLevel="0" collapsed="false">
      <c r="A697" s="149" t="n">
        <f aca="false">IF(C697&lt;&gt;"",ROW(A692),"")</f>
        <v>692</v>
      </c>
      <c r="B697" s="150" t="str">
        <f aca="false">HYPERLINK("https://www.google.com/maps/dir/-15.917302,-47.760003/-15.9308133,-47.7651106/data=!4m3!4m2!3e0!5i2")</f>
        <v>https://www.google.com/maps/dir/-15.917302,-47.760003/-15.9308133,-47.7651106/data=!4m3!4m2!3e0!5i2</v>
      </c>
      <c r="C697" s="151" t="s">
        <v>117</v>
      </c>
      <c r="D697" s="152" t="s">
        <v>112</v>
      </c>
      <c r="E697" s="152" t="s">
        <v>113</v>
      </c>
      <c r="F697" s="152" t="s">
        <v>117</v>
      </c>
      <c r="G697" s="152" t="s">
        <v>782</v>
      </c>
      <c r="H697" s="152" t="n">
        <v>63</v>
      </c>
      <c r="I697" s="152" t="s">
        <v>115</v>
      </c>
      <c r="J697" s="152" t="s">
        <v>6</v>
      </c>
      <c r="K697" s="152" t="s">
        <v>3786</v>
      </c>
      <c r="L697" s="152" t="s">
        <v>120</v>
      </c>
      <c r="M697" s="153" t="n">
        <f aca="false">44.69</f>
        <v>44.69</v>
      </c>
      <c r="N697" s="152" t="s">
        <v>1548</v>
      </c>
      <c r="O697" s="152" t="s">
        <v>1549</v>
      </c>
      <c r="P697" s="152" t="s">
        <v>1550</v>
      </c>
      <c r="Q697" s="152" t="s">
        <v>1551</v>
      </c>
      <c r="R697" s="154" t="s">
        <v>4196</v>
      </c>
      <c r="S697" s="154" t="s">
        <v>1553</v>
      </c>
      <c r="T697" s="155" t="s">
        <v>4095</v>
      </c>
      <c r="U697" s="152" t="str">
        <f aca="false">RIGHT(T697,7)</f>
        <v>016/037</v>
      </c>
      <c r="V697" s="152" t="s">
        <v>1555</v>
      </c>
      <c r="W697" s="156" t="n">
        <v>45882</v>
      </c>
      <c r="X697" s="152" t="s">
        <v>1594</v>
      </c>
      <c r="Y697" s="152" t="s">
        <v>4009</v>
      </c>
      <c r="Z697" s="152" t="s">
        <v>1557</v>
      </c>
      <c r="AA697" s="153" t="n">
        <v>3.6</v>
      </c>
      <c r="AB697" s="151" t="s">
        <v>4197</v>
      </c>
      <c r="AC697" s="151" t="s">
        <v>186</v>
      </c>
      <c r="AD697" s="151" t="str">
        <f aca="false">CONCATENATE($C697,$I697,$H697,$N697,$J697,$K697)</f>
        <v>TUBO PEADPEAD63VCAREDESZona06</v>
      </c>
      <c r="AE697" s="153" t="n">
        <f aca="false">IFERROR(INDEX(APOIO_REDES!$A:$W,MATCH($C697&amp;$I697&amp;$H697&amp;$N697&amp;$O697,APOIO_REDES!$W:$W,0),MATCH(AE$5,APOIO_REDES!$5:$5,0)),0)</f>
        <v>1.2</v>
      </c>
      <c r="AF697" s="153" t="n">
        <f aca="false">IFERROR(INDEX(APOIO_REDES!$A:$W,MATCH($C697&amp;$I697&amp;$H697&amp;$N697&amp;$O697,APOIO_REDES!$W:$W,0),MATCH(AF$5,APOIO_REDES!$5:$5,0)),0)</f>
        <v>1.363</v>
      </c>
      <c r="AG697" s="153" t="n">
        <f aca="false">IFERROR(INDEX(APOIO_REDES!$A:$W,MATCH($C697&amp;$I697&amp;$H697&amp;$N697&amp;$O697,APOIO_REDES!$W:$W,0),MATCH(AG$5,APOIO_REDES!$5:$5,0)),0)</f>
        <v>0.65</v>
      </c>
      <c r="AH697" s="153" t="n">
        <f aca="false">IFERROR(INDEX(APOIO_REDES!$A:$W,MATCH($C697&amp;$I697&amp;$H697&amp;$N697&amp;$O697,APOIO_REDES!$W:$W,0),MATCH(AH$5,APOIO_REDES!$5:$5,0)),0)</f>
        <v>0.1</v>
      </c>
      <c r="AI697" s="153" t="n">
        <f aca="false">IFERROR(IF($H697&lt;&gt;"",(((($H697/1000)/2)^2)*PI()*$M697),0),0)</f>
        <v>0.139309692927339</v>
      </c>
      <c r="AJ697" s="153" t="n">
        <f aca="false">IFERROR(IF(AND($H697&lt;&gt;"",$I697="FoFo",OR($N697="MND",$N697="VCA"),$Q697="LINEAR"),0,IF(AND($H697&lt;&gt;"",$I697="PEAD",$N697="VCA",$Q697="LINEAR"),($H697/1000)+0.3,IF(AND($H697&lt;&gt;"",$I697="PEAD",$N697="MND",$Q697="EMBOQUE"),0,IF(AND($H697&lt;&gt;"",$I697="PVC",$N697="VCA",$Q697="LINEAR"),($H697/1000)+0.2,IF(AND($H697&lt;&gt;"",$I697="PVC",$N697="MND",$Q697="EMBOQUE"),0,IF(AND($H697&lt;&gt;"",$I697="PEAD",$N697="VCA",$Q697="PREDIAL"),0,0)))))),0)</f>
        <v>0.363</v>
      </c>
      <c r="AK697" s="153" t="n">
        <f aca="false">IF(AA697&lt;&gt;"",AA697,0)</f>
        <v>3.6</v>
      </c>
      <c r="AL697" s="153" t="n">
        <f aca="false">IF(AND($N697="MND",$Q697="EMBOQUE"),$M697,IF(AND($N697="VCA",$Q697="LINEAR"),$M697,IF(AND($N697="VCA",$Q697="PREDIAL"),0,0)))</f>
        <v>44.69</v>
      </c>
      <c r="AM697" s="153" t="n">
        <f aca="false">IF(AND($N697="MND",$Q697="EMBOQUE"),$M697,IF(AND($N697="VCA",$Q697="LINEAR"),$M697,IF(AND($N697="VCA",$Q697="PREDIAL"),0,0)))</f>
        <v>44.69</v>
      </c>
      <c r="AN697" s="153" t="n">
        <f aca="false">ROUND(IF(AND($N697="VCA",$M697&lt;&gt;"",$Q697="LINEAR"),$M697/100,IF(AND($N697="MND",$M697&gt;100,$Q697="EMBOQUE"),$M697/100,0)),0)</f>
        <v>0</v>
      </c>
      <c r="AO697" s="153" t="n">
        <f aca="false">IF(AND($N697="MND",$Q697="EMBOQUE"),$AN697*2*2,IF(AND($N697="VCA",$Q697="LINEAR"),$M697*2,IF(AND($N697="VCA",$Q697="PREDIAL"),0,0)))</f>
        <v>89.38</v>
      </c>
      <c r="AP697" s="153" t="n">
        <f aca="false">IFERROR($M697*$AF697*$AG697,0)</f>
        <v>39.5931055</v>
      </c>
      <c r="AQ697" s="153" t="n">
        <f aca="false">IFERROR(IF(AND($N697="VCA",$AH697&gt;0),$M697*$AG697*$AH697,0),0)</f>
        <v>2.90485</v>
      </c>
      <c r="AR697" s="153" t="n">
        <f aca="false">IFERROR(IF(AND($N697="VCA",$AJ697&gt;0),($M697*$AG697*$AJ697)-$AI697,0),0)</f>
        <v>10.4052958070727</v>
      </c>
      <c r="AS697" s="153" t="n">
        <f aca="false">IFERROR(IF(AND($N697="VCA",$AP697&gt;0),$AP697-$AI697-$AQ697-$AR697,0),0)</f>
        <v>26.14365</v>
      </c>
      <c r="AT697" s="153" t="n">
        <f aca="false">IFERROR(IF($N697="VCA",INDEX(APOIO_REDES!$A:$W,MATCH($C697&amp;$I697&amp;$H697&amp;$N697&amp;$O697,APOIO_REDES!$W:$W,0),MATCH(AT$5,APOIO_REDES!$5:$5,0)),0)*$AP697,0)</f>
        <v>0.430784706801035</v>
      </c>
      <c r="AU697" s="153" t="n">
        <f aca="false">IFERROR(IF($N697="VCA",INDEX(APOIO_REDES!$A:$W,MATCH($C697&amp;$I697&amp;$H697&amp;$N697&amp;$O697,APOIO_REDES!$W:$W,0),MATCH(AU$5,APOIO_REDES!$5:$5,0)),0)*$AP697,0)</f>
        <v>0.344012999721815</v>
      </c>
      <c r="AV697" s="153" t="n">
        <f aca="false">IFERROR(IF($N697="VCA",INDEX(APOIO_REDES!$A:$W,MATCH($C697&amp;$I697&amp;$H697&amp;$N697&amp;$O697,APOIO_REDES!$W:$W,0),MATCH(AV$5,APOIO_REDES!$5:$5,0)),0)*$AP697,0)</f>
        <v>0.0476086985535658</v>
      </c>
      <c r="AW697" s="153" t="n">
        <f aca="false">IFERROR(IF($N697="VCA",INDEX(APOIO_REDES!$A:$W,MATCH($C697&amp;$I697&amp;$H697&amp;$N697&amp;$O697,APOIO_REDES!$W:$W,0),MATCH(AW$5,APOIO_REDES!$5:$5,0)),0)*$AP697,0)</f>
        <v>27.1770143975517</v>
      </c>
      <c r="AX697" s="153" t="n">
        <f aca="false">IFERROR(IF($N697="VCA",INDEX(APOIO_REDES!$A:$W,MATCH($C697&amp;$I697&amp;$H697&amp;$N697&amp;$O697,APOIO_REDES!$W:$W,0),MATCH(AX$5,APOIO_REDES!$5:$5,0)),0)*$AP697,0)</f>
        <v>3.76122137743025</v>
      </c>
      <c r="AY697" s="153" t="n">
        <f aca="false">IFERROR(IF($N697="VCA",INDEX(APOIO_REDES!$A:$W,MATCH($C697&amp;$I697&amp;$H697&amp;$N697&amp;$O697,APOIO_REDES!$W:$W,0),MATCH(AY$5,APOIO_REDES!$5:$5,0)),0)*$AP697,0)</f>
        <v>6.88025580094572</v>
      </c>
      <c r="AZ697" s="153" t="n">
        <f aca="false">IFERROR(IF($N697="VCA",INDEX(APOIO_REDES!$A:$W,MATCH($C697&amp;$I697&amp;$H697&amp;$N697&amp;$O697,APOIO_REDES!$W:$W,0),MATCH(AZ$5,APOIO_REDES!$5:$5,0)),0)*$AP697,0)</f>
        <v>0.952207518995954</v>
      </c>
      <c r="BA697" s="153" t="n">
        <f aca="false">IFERROR(IF(AND($N697="VCA",$Q697="LINEAR"),INDEX(APOIO_REDES!$A:$W,MATCH($C697&amp;$I697&amp;$H697&amp;$N697&amp;$O697,APOIO_REDES!$W:$W,0),MATCH(BA$5,APOIO_REDES!$5:$5,0)),IF(AND($N697="MND",$Q697="EMBOQUE"),INDEX(APOIO_REDES!$A:$W,MATCH($C697&amp;$I697&amp;$H697&amp;$N697&amp;$O697,APOIO_REDES!$W:$W,0),MATCH(BA$5,APOIO_REDES!$5:$5,0)),0))*$M697/10,0)</f>
        <v>3.60190127304038</v>
      </c>
      <c r="BB697" s="153" t="n">
        <f aca="false">IFERROR(IF($N697="VCA",INDEX(APOIO_REDES!$A:$W,MATCH($C697&amp;$I697&amp;$H697&amp;$N697&amp;$O697,APOIO_REDES!$W:$W,0),MATCH(BB$5,APOIO_REDES!$5:$5,0)),0)*($AI697+$AQ697+$AR697),0)</f>
        <v>13.3031214433244</v>
      </c>
      <c r="BC697" s="153" t="n">
        <f aca="false">IFERROR(IF($N697="VCA",INDEX(APOIO_REDES!$A:$W,MATCH($C697&amp;$I697&amp;$H697&amp;$N697&amp;$O697,APOIO_REDES!$W:$W,0),MATCH(BC$5,APOIO_REDES!$5:$5,0)),0)*($AI697+$AQ697+$AR697),0)</f>
        <v>0.146334056675627</v>
      </c>
      <c r="BD697" s="153" t="n">
        <f aca="false">IF(AND($N697="VCA",$AF697&gt;=1.25,$AF697&lt;1.5),$M697*$AF697*2,0)</f>
        <v>121.82494</v>
      </c>
      <c r="BE697" s="153" t="n">
        <f aca="false">IF(AND($N697="VCA",$AF697&gt;=1.5,$AF697&lt;3),$M697*$AF697*2,0)</f>
        <v>0</v>
      </c>
      <c r="BF697" s="153" t="n">
        <f aca="false">IF(AND($N697="VCA",$AF697&gt;=3),$M697*$AF697*2,0)</f>
        <v>0</v>
      </c>
      <c r="BG697" s="153" t="n">
        <f aca="false">($BB697+$BC697)*$AK697</f>
        <v>48.4180398</v>
      </c>
      <c r="BH697" s="153" t="n">
        <f aca="false">IF(AND($M697&lt;&gt;"",$N697="VCA",$Q697="LINEAR"),($M697*2)/100,IF(AND($M697&lt;&gt;"",$N697="MND",$Q697="EMBOQUE"),($AN697*2)/100,0))</f>
        <v>0.8938</v>
      </c>
      <c r="BI697" s="153" t="n">
        <f aca="false">IF(AND($M697&lt;&gt;"",$N697="VCA",$Q697="LINEAR"),$M697,IF(AND($M697&lt;&gt;"",$N697="MND",$Q697="EMBOQUE"),$AN697*2,0))</f>
        <v>44.69</v>
      </c>
      <c r="BJ697" s="153" t="n">
        <f aca="false">IF(AND($M697&lt;&gt;"",$N697="VCA",$Q697="LINEAR"),($M697*6.8)/100,IF(AND($M697&lt;&gt;"",$N697="MND",$Q697="EMBOQUE"),($AN697*2*6.8)/100,0))</f>
        <v>3.03892</v>
      </c>
      <c r="BK697" s="153" t="n">
        <f aca="false">IF(AND($M697&lt;&gt;"",$N697="VCA",$Q697="LINEAR"),($M697*2.5)/50,IF(AND($M697&lt;&gt;"",$N697="MND",$Q697="EMBOQUE"),($AN697*2*2.5)/50,0))</f>
        <v>2.2345</v>
      </c>
      <c r="BL697" s="157" t="str">
        <f aca="false">K697&amp;J697</f>
        <v>Zona06REDES</v>
      </c>
      <c r="BM697" s="152" t="s">
        <v>3790</v>
      </c>
      <c r="BN697" s="152" t="s">
        <v>1560</v>
      </c>
      <c r="BO697" s="152" t="s">
        <v>4097</v>
      </c>
      <c r="BP697" s="152" t="s">
        <v>4198</v>
      </c>
      <c r="BQ697" s="152" t="s">
        <v>4190</v>
      </c>
      <c r="BR697" s="152" t="s">
        <v>4199</v>
      </c>
      <c r="BS697" s="152" t="n">
        <v>203956.609</v>
      </c>
      <c r="BT697" s="152" t="n">
        <v>8236755.804</v>
      </c>
      <c r="BU697" s="152" t="n">
        <v>203927.532</v>
      </c>
      <c r="BV697" s="152" t="n">
        <v>8236789.727</v>
      </c>
      <c r="BW697" s="152" t="n">
        <v>-15.9306577</v>
      </c>
      <c r="BX697" s="152" t="n">
        <v>-47.7652433</v>
      </c>
      <c r="BY697" s="152" t="s">
        <v>4198</v>
      </c>
    </row>
    <row r="698" customFormat="false" ht="13.8" hidden="false" customHeight="false" outlineLevel="0" collapsed="false">
      <c r="A698" s="149" t="n">
        <f aca="false">IF(C698&lt;&gt;"",ROW(A693),"")</f>
        <v>693</v>
      </c>
      <c r="B698" s="150" t="str">
        <f aca="false">HYPERLINK("https://www.google.com/maps/dir/-15.917302,-47.760003/-15.9311118,-47.7660923/data=!4m3!4m2!3e0!5i2")</f>
        <v>https://www.google.com/maps/dir/-15.917302,-47.760003/-15.9311118,-47.7660923/data=!4m3!4m2!3e0!5i2</v>
      </c>
      <c r="C698" s="151" t="s">
        <v>117</v>
      </c>
      <c r="D698" s="152" t="s">
        <v>112</v>
      </c>
      <c r="E698" s="152" t="s">
        <v>113</v>
      </c>
      <c r="F698" s="152" t="s">
        <v>117</v>
      </c>
      <c r="G698" s="152" t="s">
        <v>782</v>
      </c>
      <c r="H698" s="152" t="n">
        <v>63</v>
      </c>
      <c r="I698" s="152" t="s">
        <v>115</v>
      </c>
      <c r="J698" s="152" t="s">
        <v>6</v>
      </c>
      <c r="K698" s="152" t="s">
        <v>3786</v>
      </c>
      <c r="L698" s="152" t="s">
        <v>120</v>
      </c>
      <c r="M698" s="153" t="n">
        <f aca="false">102+4.42</f>
        <v>106.42</v>
      </c>
      <c r="N698" s="152" t="s">
        <v>1548</v>
      </c>
      <c r="O698" s="152" t="s">
        <v>1549</v>
      </c>
      <c r="P698" s="152" t="s">
        <v>1550</v>
      </c>
      <c r="Q698" s="152" t="s">
        <v>1551</v>
      </c>
      <c r="R698" s="154" t="s">
        <v>4200</v>
      </c>
      <c r="S698" s="154" t="s">
        <v>1553</v>
      </c>
      <c r="T698" s="155" t="s">
        <v>4095</v>
      </c>
      <c r="U698" s="152" t="str">
        <f aca="false">RIGHT(T698,7)</f>
        <v>016/037</v>
      </c>
      <c r="V698" s="152" t="s">
        <v>1555</v>
      </c>
      <c r="W698" s="156" t="n">
        <v>45882</v>
      </c>
      <c r="X698" s="152" t="s">
        <v>1594</v>
      </c>
      <c r="Y698" s="152" t="s">
        <v>4157</v>
      </c>
      <c r="Z698" s="152" t="s">
        <v>1557</v>
      </c>
      <c r="AA698" s="153" t="n">
        <v>3.9</v>
      </c>
      <c r="AB698" s="151" t="s">
        <v>4201</v>
      </c>
      <c r="AC698" s="151" t="s">
        <v>186</v>
      </c>
      <c r="AD698" s="151" t="str">
        <f aca="false">CONCATENATE($C698,$I698,$H698,$N698,$J698,$K698)</f>
        <v>TUBO PEADPEAD63VCAREDESZona06</v>
      </c>
      <c r="AE698" s="153" t="n">
        <f aca="false">IFERROR(INDEX(APOIO_REDES!$A:$W,MATCH($C698&amp;$I698&amp;$H698&amp;$N698&amp;$O698,APOIO_REDES!$W:$W,0),MATCH(AE$5,APOIO_REDES!$5:$5,0)),0)</f>
        <v>1.2</v>
      </c>
      <c r="AF698" s="153" t="n">
        <f aca="false">IFERROR(INDEX(APOIO_REDES!$A:$W,MATCH($C698&amp;$I698&amp;$H698&amp;$N698&amp;$O698,APOIO_REDES!$W:$W,0),MATCH(AF$5,APOIO_REDES!$5:$5,0)),0)</f>
        <v>1.363</v>
      </c>
      <c r="AG698" s="153" t="n">
        <f aca="false">IFERROR(INDEX(APOIO_REDES!$A:$W,MATCH($C698&amp;$I698&amp;$H698&amp;$N698&amp;$O698,APOIO_REDES!$W:$W,0),MATCH(AG$5,APOIO_REDES!$5:$5,0)),0)</f>
        <v>0.65</v>
      </c>
      <c r="AH698" s="153" t="n">
        <f aca="false">IFERROR(INDEX(APOIO_REDES!$A:$W,MATCH($C698&amp;$I698&amp;$H698&amp;$N698&amp;$O698,APOIO_REDES!$W:$W,0),MATCH(AH$5,APOIO_REDES!$5:$5,0)),0)</f>
        <v>0.1</v>
      </c>
      <c r="AI698" s="153" t="n">
        <f aca="false">IFERROR(IF($H698&lt;&gt;"",(((($H698/1000)/2)^2)*PI()*$M698),0),0)</f>
        <v>0.331737245946014</v>
      </c>
      <c r="AJ698" s="153" t="n">
        <f aca="false">IFERROR(IF(AND($H698&lt;&gt;"",$I698="FoFo",OR($N698="MND",$N698="VCA"),$Q698="LINEAR"),0,IF(AND($H698&lt;&gt;"",$I698="PEAD",$N698="VCA",$Q698="LINEAR"),($H698/1000)+0.3,IF(AND($H698&lt;&gt;"",$I698="PEAD",$N698="MND",$Q698="EMBOQUE"),0,IF(AND($H698&lt;&gt;"",$I698="PVC",$N698="VCA",$Q698="LINEAR"),($H698/1000)+0.2,IF(AND($H698&lt;&gt;"",$I698="PVC",$N698="MND",$Q698="EMBOQUE"),0,IF(AND($H698&lt;&gt;"",$I698="PEAD",$N698="VCA",$Q698="PREDIAL"),0,0)))))),0)</f>
        <v>0.363</v>
      </c>
      <c r="AK698" s="153" t="n">
        <f aca="false">IF(AA698&lt;&gt;"",AA698,0)</f>
        <v>3.9</v>
      </c>
      <c r="AL698" s="153" t="n">
        <f aca="false">IF(AND($N698="MND",$Q698="EMBOQUE"),$M698,IF(AND($N698="VCA",$Q698="LINEAR"),$M698,IF(AND($N698="VCA",$Q698="PREDIAL"),0,0)))</f>
        <v>106.42</v>
      </c>
      <c r="AM698" s="153" t="n">
        <f aca="false">IF(AND($N698="MND",$Q698="EMBOQUE"),$M698,IF(AND($N698="VCA",$Q698="LINEAR"),$M698,IF(AND($N698="VCA",$Q698="PREDIAL"),0,0)))</f>
        <v>106.42</v>
      </c>
      <c r="AN698" s="153" t="n">
        <f aca="false">ROUND(IF(AND($N698="VCA",$M698&lt;&gt;"",$Q698="LINEAR"),$M698/100,IF(AND($N698="MND",$M698&gt;100,$Q698="EMBOQUE"),$M698/100,0)),0)</f>
        <v>1</v>
      </c>
      <c r="AO698" s="153" t="n">
        <f aca="false">IF(AND($N698="MND",$Q698="EMBOQUE"),$AN698*2*2,IF(AND($N698="VCA",$Q698="LINEAR"),$M698*2,IF(AND($N698="VCA",$Q698="PREDIAL"),0,0)))</f>
        <v>212.84</v>
      </c>
      <c r="AP698" s="153" t="n">
        <f aca="false">IFERROR($M698*$AF698*$AG698,0)</f>
        <v>94.282799</v>
      </c>
      <c r="AQ698" s="153" t="n">
        <f aca="false">IFERROR(IF(AND($N698="VCA",$AH698&gt;0),$M698*$AG698*$AH698,0),0)</f>
        <v>6.9173</v>
      </c>
      <c r="AR698" s="153" t="n">
        <f aca="false">IFERROR(IF(AND($N698="VCA",$AJ698&gt;0),($M698*$AG698*$AJ698)-$AI698,0),0)</f>
        <v>24.778061754054</v>
      </c>
      <c r="AS698" s="153" t="n">
        <f aca="false">IFERROR(IF(AND($N698="VCA",$AP698&gt;0),$AP698-$AI698-$AQ698-$AR698,0),0)</f>
        <v>62.2557</v>
      </c>
      <c r="AT698" s="153" t="n">
        <f aca="false">IFERROR(IF($N698="VCA",INDEX(APOIO_REDES!$A:$W,MATCH($C698&amp;$I698&amp;$H698&amp;$N698&amp;$O698,APOIO_REDES!$W:$W,0),MATCH(AT$5,APOIO_REDES!$5:$5,0)),0)*$AP698,0)</f>
        <v>1.02582475940403</v>
      </c>
      <c r="AU698" s="153" t="n">
        <f aca="false">IFERROR(IF($N698="VCA",INDEX(APOIO_REDES!$A:$W,MATCH($C698&amp;$I698&amp;$H698&amp;$N698&amp;$O698,APOIO_REDES!$W:$W,0),MATCH(AU$5,APOIO_REDES!$5:$5,0)),0)*$AP698,0)</f>
        <v>0.819195870002139</v>
      </c>
      <c r="AV698" s="153" t="n">
        <f aca="false">IFERROR(IF($N698="VCA",INDEX(APOIO_REDES!$A:$W,MATCH($C698&amp;$I698&amp;$H698&amp;$N698&amp;$O698,APOIO_REDES!$W:$W,0),MATCH(AV$5,APOIO_REDES!$5:$5,0)),0)*$AP698,0)</f>
        <v>0.113370277468572</v>
      </c>
      <c r="AW698" s="153" t="n">
        <f aca="false">IFERROR(IF($N698="VCA",INDEX(APOIO_REDES!$A:$W,MATCH($C698&amp;$I698&amp;$H698&amp;$N698&amp;$O698,APOIO_REDES!$W:$W,0),MATCH(AW$5,APOIO_REDES!$5:$5,0)),0)*$AP698,0)</f>
        <v>64.7164437723752</v>
      </c>
      <c r="AX698" s="153" t="n">
        <f aca="false">IFERROR(IF($N698="VCA",INDEX(APOIO_REDES!$A:$W,MATCH($C698&amp;$I698&amp;$H698&amp;$N698&amp;$O698,APOIO_REDES!$W:$W,0),MATCH(AX$5,APOIO_REDES!$5:$5,0)),0)*$AP698,0)</f>
        <v>8.95657146981713</v>
      </c>
      <c r="AY698" s="153" t="n">
        <f aca="false">IFERROR(IF($N698="VCA",INDEX(APOIO_REDES!$A:$W,MATCH($C698&amp;$I698&amp;$H698&amp;$N698&amp;$O698,APOIO_REDES!$W:$W,0),MATCH(AY$5,APOIO_REDES!$5:$5,0)),0)*$AP698,0)</f>
        <v>16.3839074141115</v>
      </c>
      <c r="AZ698" s="153" t="n">
        <f aca="false">IFERROR(IF($N698="VCA",INDEX(APOIO_REDES!$A:$W,MATCH($C698&amp;$I698&amp;$H698&amp;$N698&amp;$O698,APOIO_REDES!$W:$W,0),MATCH(AZ$5,APOIO_REDES!$5:$5,0)),0)*$AP698,0)</f>
        <v>2.26748543682142</v>
      </c>
      <c r="BA698" s="153" t="n">
        <f aca="false">IFERROR(IF(AND($N698="VCA",$Q698="LINEAR"),INDEX(APOIO_REDES!$A:$W,MATCH($C698&amp;$I698&amp;$H698&amp;$N698&amp;$O698,APOIO_REDES!$W:$W,0),MATCH(BA$5,APOIO_REDES!$5:$5,0)),IF(AND($N698="MND",$Q698="EMBOQUE"),INDEX(APOIO_REDES!$A:$W,MATCH($C698&amp;$I698&amp;$H698&amp;$N698&amp;$O698,APOIO_REDES!$W:$W,0),MATCH(BA$5,APOIO_REDES!$5:$5,0)),0))*$M698/10,0)</f>
        <v>8.57718356404022</v>
      </c>
      <c r="BB698" s="153" t="n">
        <f aca="false">IFERROR(IF($N698="VCA",INDEX(APOIO_REDES!$A:$W,MATCH($C698&amp;$I698&amp;$H698&amp;$N698&amp;$O698,APOIO_REDES!$W:$W,0),MATCH(BB$5,APOIO_REDES!$5:$5,0)),0)*($AI698+$AQ698+$AR698),0)</f>
        <v>31.6786346833426</v>
      </c>
      <c r="BC698" s="153" t="n">
        <f aca="false">IFERROR(IF($N698="VCA",INDEX(APOIO_REDES!$A:$W,MATCH($C698&amp;$I698&amp;$H698&amp;$N698&amp;$O698,APOIO_REDES!$W:$W,0),MATCH(BC$5,APOIO_REDES!$5:$5,0)),0)*($AI698+$AQ698+$AR698),0)</f>
        <v>0.348464316657422</v>
      </c>
      <c r="BD698" s="153" t="n">
        <f aca="false">IF(AND($N698="VCA",$AF698&gt;=1.25,$AF698&lt;1.5),$M698*$AF698*2,0)</f>
        <v>290.10092</v>
      </c>
      <c r="BE698" s="153" t="n">
        <f aca="false">IF(AND($N698="VCA",$AF698&gt;=1.5,$AF698&lt;3),$M698*$AF698*2,0)</f>
        <v>0</v>
      </c>
      <c r="BF698" s="153" t="n">
        <f aca="false">IF(AND($N698="VCA",$AF698&gt;=3),$M698*$AF698*2,0)</f>
        <v>0</v>
      </c>
      <c r="BG698" s="153" t="n">
        <f aca="false">($BB698+$BC698)*$AK698</f>
        <v>124.9056861</v>
      </c>
      <c r="BH698" s="153" t="n">
        <f aca="false">IF(AND($M698&lt;&gt;"",$N698="VCA",$Q698="LINEAR"),($M698*2)/100,IF(AND($M698&lt;&gt;"",$N698="MND",$Q698="EMBOQUE"),($AN698*2)/100,0))</f>
        <v>2.1284</v>
      </c>
      <c r="BI698" s="153" t="n">
        <f aca="false">IF(AND($M698&lt;&gt;"",$N698="VCA",$Q698="LINEAR"),$M698,IF(AND($M698&lt;&gt;"",$N698="MND",$Q698="EMBOQUE"),$AN698*2,0))</f>
        <v>106.42</v>
      </c>
      <c r="BJ698" s="153" t="n">
        <f aca="false">IF(AND($M698&lt;&gt;"",$N698="VCA",$Q698="LINEAR"),($M698*6.8)/100,IF(AND($M698&lt;&gt;"",$N698="MND",$Q698="EMBOQUE"),($AN698*2*6.8)/100,0))</f>
        <v>7.23656</v>
      </c>
      <c r="BK698" s="153" t="n">
        <f aca="false">IF(AND($M698&lt;&gt;"",$N698="VCA",$Q698="LINEAR"),($M698*2.5)/50,IF(AND($M698&lt;&gt;"",$N698="MND",$Q698="EMBOQUE"),($AN698*2*2.5)/50,0))</f>
        <v>5.321</v>
      </c>
      <c r="BL698" s="157" t="str">
        <f aca="false">K698&amp;J698</f>
        <v>Zona06REDES</v>
      </c>
      <c r="BM698" s="152" t="s">
        <v>3790</v>
      </c>
      <c r="BN698" s="152" t="s">
        <v>1560</v>
      </c>
      <c r="BO698" s="152" t="s">
        <v>4097</v>
      </c>
      <c r="BP698" s="152" t="s">
        <v>4202</v>
      </c>
      <c r="BQ698" s="152" t="s">
        <v>4190</v>
      </c>
      <c r="BR698" s="152" t="s">
        <v>4203</v>
      </c>
      <c r="BS698" s="152" t="n">
        <v>203851.905</v>
      </c>
      <c r="BT698" s="152" t="n">
        <v>8236721.323</v>
      </c>
      <c r="BU698" s="152" t="n">
        <v>203927.532</v>
      </c>
      <c r="BV698" s="152" t="n">
        <v>8236789.727</v>
      </c>
      <c r="BW698" s="152" t="n">
        <v>-15.9308144</v>
      </c>
      <c r="BX698" s="152" t="n">
        <v>-47.7657289</v>
      </c>
      <c r="BY698" s="152" t="s">
        <v>4202</v>
      </c>
    </row>
    <row r="699" customFormat="false" ht="13.8" hidden="false" customHeight="false" outlineLevel="0" collapsed="false">
      <c r="A699" s="149" t="n">
        <f aca="false">IF(C699&lt;&gt;"",ROW(A694),"")</f>
        <v>694</v>
      </c>
      <c r="B699" s="150" t="str">
        <f aca="false">HYPERLINK("https://www.google.com/maps/dir/-15.917302,-47.760003/-15.9308133,-47.7651106/data=!4m3!4m2!3e0!5i2")</f>
        <v>https://www.google.com/maps/dir/-15.917302,-47.760003/-15.9308133,-47.7651106/data=!4m3!4m2!3e0!5i2</v>
      </c>
      <c r="C699" s="151" t="s">
        <v>117</v>
      </c>
      <c r="D699" s="152" t="s">
        <v>112</v>
      </c>
      <c r="E699" s="152" t="s">
        <v>113</v>
      </c>
      <c r="F699" s="152" t="s">
        <v>117</v>
      </c>
      <c r="G699" s="152" t="s">
        <v>782</v>
      </c>
      <c r="H699" s="152" t="n">
        <v>63</v>
      </c>
      <c r="I699" s="152" t="s">
        <v>115</v>
      </c>
      <c r="J699" s="152" t="s">
        <v>6</v>
      </c>
      <c r="K699" s="152" t="s">
        <v>3786</v>
      </c>
      <c r="L699" s="152" t="s">
        <v>120</v>
      </c>
      <c r="M699" s="153" t="n">
        <f aca="false">67.76</f>
        <v>67.76</v>
      </c>
      <c r="N699" s="152" t="s">
        <v>1548</v>
      </c>
      <c r="O699" s="152" t="s">
        <v>1549</v>
      </c>
      <c r="P699" s="152" t="s">
        <v>1550</v>
      </c>
      <c r="Q699" s="152" t="s">
        <v>1551</v>
      </c>
      <c r="R699" s="154" t="s">
        <v>4204</v>
      </c>
      <c r="S699" s="154" t="s">
        <v>1553</v>
      </c>
      <c r="T699" s="155" t="s">
        <v>4095</v>
      </c>
      <c r="U699" s="152" t="str">
        <f aca="false">RIGHT(T699,7)</f>
        <v>016/037</v>
      </c>
      <c r="V699" s="152" t="s">
        <v>1555</v>
      </c>
      <c r="W699" s="156" t="n">
        <v>45882</v>
      </c>
      <c r="X699" s="152" t="s">
        <v>1594</v>
      </c>
      <c r="Y699" s="152" t="s">
        <v>4009</v>
      </c>
      <c r="Z699" s="152" t="s">
        <v>1557</v>
      </c>
      <c r="AA699" s="153" t="n">
        <v>3.6</v>
      </c>
      <c r="AB699" s="151" t="s">
        <v>4205</v>
      </c>
      <c r="AC699" s="151" t="s">
        <v>186</v>
      </c>
      <c r="AD699" s="151" t="str">
        <f aca="false">CONCATENATE($C699,$I699,$H699,$N699,$J699,$K699)</f>
        <v>TUBO PEADPEAD63VCAREDESZona06</v>
      </c>
      <c r="AE699" s="153" t="n">
        <f aca="false">IFERROR(INDEX(APOIO_REDES!$A:$W,MATCH($C699&amp;$I699&amp;$H699&amp;$N699&amp;$O699,APOIO_REDES!$W:$W,0),MATCH(AE$5,APOIO_REDES!$5:$5,0)),0)</f>
        <v>1.2</v>
      </c>
      <c r="AF699" s="153" t="n">
        <f aca="false">IFERROR(INDEX(APOIO_REDES!$A:$W,MATCH($C699&amp;$I699&amp;$H699&amp;$N699&amp;$O699,APOIO_REDES!$W:$W,0),MATCH(AF$5,APOIO_REDES!$5:$5,0)),0)</f>
        <v>1.363</v>
      </c>
      <c r="AG699" s="153" t="n">
        <f aca="false">IFERROR(INDEX(APOIO_REDES!$A:$W,MATCH($C699&amp;$I699&amp;$H699&amp;$N699&amp;$O699,APOIO_REDES!$W:$W,0),MATCH(AG$5,APOIO_REDES!$5:$5,0)),0)</f>
        <v>0.65</v>
      </c>
      <c r="AH699" s="153" t="n">
        <f aca="false">IFERROR(INDEX(APOIO_REDES!$A:$W,MATCH($C699&amp;$I699&amp;$H699&amp;$N699&amp;$O699,APOIO_REDES!$W:$W,0),MATCH(AH$5,APOIO_REDES!$5:$5,0)),0)</f>
        <v>0.1</v>
      </c>
      <c r="AI699" s="153" t="n">
        <f aca="false">IFERROR(IF($H699&lt;&gt;"",(((($H699/1000)/2)^2)*PI()*$M699),0),0)</f>
        <v>0.211224542241138</v>
      </c>
      <c r="AJ699" s="153" t="n">
        <f aca="false">IFERROR(IF(AND($H699&lt;&gt;"",$I699="FoFo",OR($N699="MND",$N699="VCA"),$Q699="LINEAR"),0,IF(AND($H699&lt;&gt;"",$I699="PEAD",$N699="VCA",$Q699="LINEAR"),($H699/1000)+0.3,IF(AND($H699&lt;&gt;"",$I699="PEAD",$N699="MND",$Q699="EMBOQUE"),0,IF(AND($H699&lt;&gt;"",$I699="PVC",$N699="VCA",$Q699="LINEAR"),($H699/1000)+0.2,IF(AND($H699&lt;&gt;"",$I699="PVC",$N699="MND",$Q699="EMBOQUE"),0,IF(AND($H699&lt;&gt;"",$I699="PEAD",$N699="VCA",$Q699="PREDIAL"),0,0)))))),0)</f>
        <v>0.363</v>
      </c>
      <c r="AK699" s="153" t="n">
        <f aca="false">IF(AA699&lt;&gt;"",AA699,0)</f>
        <v>3.6</v>
      </c>
      <c r="AL699" s="153" t="n">
        <f aca="false">IF(AND($N699="MND",$Q699="EMBOQUE"),$M699,IF(AND($N699="VCA",$Q699="LINEAR"),$M699,IF(AND($N699="VCA",$Q699="PREDIAL"),0,0)))</f>
        <v>67.76</v>
      </c>
      <c r="AM699" s="153" t="n">
        <f aca="false">IF(AND($N699="MND",$Q699="EMBOQUE"),$M699,IF(AND($N699="VCA",$Q699="LINEAR"),$M699,IF(AND($N699="VCA",$Q699="PREDIAL"),0,0)))</f>
        <v>67.76</v>
      </c>
      <c r="AN699" s="153" t="n">
        <f aca="false">ROUND(IF(AND($N699="VCA",$M699&lt;&gt;"",$Q699="LINEAR"),$M699/100,IF(AND($N699="MND",$M699&gt;100,$Q699="EMBOQUE"),$M699/100,0)),0)</f>
        <v>1</v>
      </c>
      <c r="AO699" s="153" t="n">
        <f aca="false">IF(AND($N699="MND",$Q699="EMBOQUE"),$AN699*2*2,IF(AND($N699="VCA",$Q699="LINEAR"),$M699*2,IF(AND($N699="VCA",$Q699="PREDIAL"),0,0)))</f>
        <v>135.52</v>
      </c>
      <c r="AP699" s="153" t="n">
        <f aca="false">IFERROR($M699*$AF699*$AG699,0)</f>
        <v>60.031972</v>
      </c>
      <c r="AQ699" s="153" t="n">
        <f aca="false">IFERROR(IF(AND($N699="VCA",$AH699&gt;0),$M699*$AG699*$AH699,0),0)</f>
        <v>4.4044</v>
      </c>
      <c r="AR699" s="153" t="n">
        <f aca="false">IFERROR(IF(AND($N699="VCA",$AJ699&gt;0),($M699*$AG699*$AJ699)-$AI699,0),0)</f>
        <v>15.7767474577589</v>
      </c>
      <c r="AS699" s="153" t="n">
        <f aca="false">IFERROR(IF(AND($N699="VCA",$AP699&gt;0),$AP699-$AI699-$AQ699-$AR699,0),0)</f>
        <v>39.6396</v>
      </c>
      <c r="AT699" s="153" t="n">
        <f aca="false">IFERROR(IF($N699="VCA",INDEX(APOIO_REDES!$A:$W,MATCH($C699&amp;$I699&amp;$H699&amp;$N699&amp;$O699,APOIO_REDES!$W:$W,0),MATCH(AT$5,APOIO_REDES!$5:$5,0)),0)*$AP699,0)</f>
        <v>0.653165623916718</v>
      </c>
      <c r="AU699" s="153" t="n">
        <f aca="false">IFERROR(IF($N699="VCA",INDEX(APOIO_REDES!$A:$W,MATCH($C699&amp;$I699&amp;$H699&amp;$N699&amp;$O699,APOIO_REDES!$W:$W,0),MATCH(AU$5,APOIO_REDES!$5:$5,0)),0)*$AP699,0)</f>
        <v>0.521600377291345</v>
      </c>
      <c r="AV699" s="153" t="n">
        <f aca="false">IFERROR(IF($N699="VCA",INDEX(APOIO_REDES!$A:$W,MATCH($C699&amp;$I699&amp;$H699&amp;$N699&amp;$O699,APOIO_REDES!$W:$W,0),MATCH(AV$5,APOIO_REDES!$5:$5,0)),0)*$AP699,0)</f>
        <v>0.0721853974936142</v>
      </c>
      <c r="AW699" s="153" t="n">
        <f aca="false">IFERROR(IF($N699="VCA",INDEX(APOIO_REDES!$A:$W,MATCH($C699&amp;$I699&amp;$H699&amp;$N699&amp;$O699,APOIO_REDES!$W:$W,0),MATCH(AW$5,APOIO_REDES!$5:$5,0)),0)*$AP699,0)</f>
        <v>41.2064107312173</v>
      </c>
      <c r="AX699" s="153" t="n">
        <f aca="false">IFERROR(IF($N699="VCA",INDEX(APOIO_REDES!$A:$W,MATCH($C699&amp;$I699&amp;$H699&amp;$N699&amp;$O699,APOIO_REDES!$W:$W,0),MATCH(AX$5,APOIO_REDES!$5:$5,0)),0)*$AP699,0)</f>
        <v>5.70284986651765</v>
      </c>
      <c r="AY699" s="153" t="n">
        <f aca="false">IFERROR(IF($N699="VCA",INDEX(APOIO_REDES!$A:$W,MATCH($C699&amp;$I699&amp;$H699&amp;$N699&amp;$O699,APOIO_REDES!$W:$W,0),MATCH(AY$5,APOIO_REDES!$5:$5,0)),0)*$AP699,0)</f>
        <v>10.4320011875606</v>
      </c>
      <c r="AZ699" s="153" t="n">
        <f aca="false">IFERROR(IF($N699="VCA",INDEX(APOIO_REDES!$A:$W,MATCH($C699&amp;$I699&amp;$H699&amp;$N699&amp;$O699,APOIO_REDES!$W:$W,0),MATCH(AZ$5,APOIO_REDES!$5:$5,0)),0)*$AP699,0)</f>
        <v>1.44375881600282</v>
      </c>
      <c r="BA699" s="153" t="n">
        <f aca="false">IFERROR(IF(AND($N699="VCA",$Q699="LINEAR"),INDEX(APOIO_REDES!$A:$W,MATCH($C699&amp;$I699&amp;$H699&amp;$N699&amp;$O699,APOIO_REDES!$W:$W,0),MATCH(BA$5,APOIO_REDES!$5:$5,0)),IF(AND($N699="MND",$Q699="EMBOQUE"),INDEX(APOIO_REDES!$A:$W,MATCH($C699&amp;$I699&amp;$H699&amp;$N699&amp;$O699,APOIO_REDES!$W:$W,0),MATCH(BA$5,APOIO_REDES!$5:$5,0)),0))*$M699/10,0)</f>
        <v>5.46128508080591</v>
      </c>
      <c r="BB699" s="153" t="n">
        <f aca="false">IFERROR(IF($N699="VCA",INDEX(APOIO_REDES!$A:$W,MATCH($C699&amp;$I699&amp;$H699&amp;$N699&amp;$O699,APOIO_REDES!$W:$W,0),MATCH(BB$5,APOIO_REDES!$5:$5,0)),0)*($AI699+$AQ699+$AR699),0)</f>
        <v>20.170496956806</v>
      </c>
      <c r="BC699" s="153" t="n">
        <f aca="false">IFERROR(IF($N699="VCA",INDEX(APOIO_REDES!$A:$W,MATCH($C699&amp;$I699&amp;$H699&amp;$N699&amp;$O699,APOIO_REDES!$W:$W,0),MATCH(BC$5,APOIO_REDES!$5:$5,0)),0)*($AI699+$AQ699+$AR699),0)</f>
        <v>0.221875043194014</v>
      </c>
      <c r="BD699" s="153" t="n">
        <f aca="false">IF(AND($N699="VCA",$AF699&gt;=1.25,$AF699&lt;1.5),$M699*$AF699*2,0)</f>
        <v>184.71376</v>
      </c>
      <c r="BE699" s="153" t="n">
        <f aca="false">IF(AND($N699="VCA",$AF699&gt;=1.5,$AF699&lt;3),$M699*$AF699*2,0)</f>
        <v>0</v>
      </c>
      <c r="BF699" s="153" t="n">
        <f aca="false">IF(AND($N699="VCA",$AF699&gt;=3),$M699*$AF699*2,0)</f>
        <v>0</v>
      </c>
      <c r="BG699" s="153" t="n">
        <f aca="false">($BB699+$BC699)*$AK699</f>
        <v>73.4125392</v>
      </c>
      <c r="BH699" s="153" t="n">
        <f aca="false">IF(AND($M699&lt;&gt;"",$N699="VCA",$Q699="LINEAR"),($M699*2)/100,IF(AND($M699&lt;&gt;"",$N699="MND",$Q699="EMBOQUE"),($AN699*2)/100,0))</f>
        <v>1.3552</v>
      </c>
      <c r="BI699" s="153" t="n">
        <f aca="false">IF(AND($M699&lt;&gt;"",$N699="VCA",$Q699="LINEAR"),$M699,IF(AND($M699&lt;&gt;"",$N699="MND",$Q699="EMBOQUE"),$AN699*2,0))</f>
        <v>67.76</v>
      </c>
      <c r="BJ699" s="153" t="n">
        <f aca="false">IF(AND($M699&lt;&gt;"",$N699="VCA",$Q699="LINEAR"),($M699*6.8)/100,IF(AND($M699&lt;&gt;"",$N699="MND",$Q699="EMBOQUE"),($AN699*2*6.8)/100,0))</f>
        <v>4.60768</v>
      </c>
      <c r="BK699" s="153" t="n">
        <f aca="false">IF(AND($M699&lt;&gt;"",$N699="VCA",$Q699="LINEAR"),($M699*2.5)/50,IF(AND($M699&lt;&gt;"",$N699="MND",$Q699="EMBOQUE"),($AN699*2*2.5)/50,0))</f>
        <v>3.388</v>
      </c>
      <c r="BL699" s="157" t="str">
        <f aca="false">K699&amp;J699</f>
        <v>Zona06REDES</v>
      </c>
      <c r="BM699" s="152" t="s">
        <v>3790</v>
      </c>
      <c r="BN699" s="152" t="s">
        <v>1560</v>
      </c>
      <c r="BO699" s="152" t="s">
        <v>4097</v>
      </c>
      <c r="BP699" s="152" t="s">
        <v>2032</v>
      </c>
      <c r="BQ699" s="152" t="s">
        <v>4198</v>
      </c>
      <c r="BR699" s="152" t="s">
        <v>4206</v>
      </c>
      <c r="BS699" s="152" t="n">
        <v>203905.324</v>
      </c>
      <c r="BT699" s="152" t="n">
        <v>8236711.675</v>
      </c>
      <c r="BU699" s="152" t="n">
        <v>203956.609</v>
      </c>
      <c r="BV699" s="152" t="n">
        <v>8236755.804</v>
      </c>
      <c r="BW699" s="152" t="n">
        <v>-15.9309994</v>
      </c>
      <c r="BX699" s="152" t="n">
        <v>-47.7653611</v>
      </c>
      <c r="BY699" s="152" t="s">
        <v>4198</v>
      </c>
    </row>
    <row r="700" customFormat="false" ht="13.8" hidden="false" customHeight="false" outlineLevel="0" collapsed="false">
      <c r="A700" s="149" t="n">
        <f aca="false">IF(C700&lt;&gt;"",ROW(A695),"")</f>
        <v>695</v>
      </c>
      <c r="B700" s="150" t="str">
        <f aca="false">HYPERLINK("https://www.google.com/maps/dir/-15.917302,-47.760003/-15.9315436,-47.7660642/data=!4m3!4m2!3e0!5i2")</f>
        <v>https://www.google.com/maps/dir/-15.917302,-47.760003/-15.9315436,-47.7660642/data=!4m3!4m2!3e0!5i2</v>
      </c>
      <c r="C700" s="151" t="s">
        <v>117</v>
      </c>
      <c r="D700" s="152" t="s">
        <v>112</v>
      </c>
      <c r="E700" s="152" t="s">
        <v>113</v>
      </c>
      <c r="F700" s="152" t="s">
        <v>117</v>
      </c>
      <c r="G700" s="152" t="s">
        <v>782</v>
      </c>
      <c r="H700" s="152" t="n">
        <v>63</v>
      </c>
      <c r="I700" s="152" t="s">
        <v>115</v>
      </c>
      <c r="J700" s="152" t="s">
        <v>6</v>
      </c>
      <c r="K700" s="152" t="s">
        <v>3786</v>
      </c>
      <c r="L700" s="152" t="s">
        <v>120</v>
      </c>
      <c r="M700" s="153" t="n">
        <f aca="false">146.11</f>
        <v>146.11</v>
      </c>
      <c r="N700" s="152" t="s">
        <v>1548</v>
      </c>
      <c r="O700" s="152" t="s">
        <v>1549</v>
      </c>
      <c r="P700" s="152" t="s">
        <v>1550</v>
      </c>
      <c r="Q700" s="152" t="s">
        <v>1551</v>
      </c>
      <c r="R700" s="154" t="s">
        <v>4207</v>
      </c>
      <c r="S700" s="154" t="s">
        <v>1553</v>
      </c>
      <c r="T700" s="155" t="s">
        <v>4095</v>
      </c>
      <c r="U700" s="152" t="str">
        <f aca="false">RIGHT(T700,7)</f>
        <v>016/037</v>
      </c>
      <c r="V700" s="152" t="s">
        <v>1555</v>
      </c>
      <c r="W700" s="156" t="n">
        <v>45882</v>
      </c>
      <c r="X700" s="152" t="s">
        <v>1594</v>
      </c>
      <c r="Y700" s="152" t="s">
        <v>4015</v>
      </c>
      <c r="Z700" s="152" t="s">
        <v>1557</v>
      </c>
      <c r="AA700" s="153" t="n">
        <v>3.8</v>
      </c>
      <c r="AB700" s="151" t="s">
        <v>4208</v>
      </c>
      <c r="AC700" s="151" t="s">
        <v>186</v>
      </c>
      <c r="AD700" s="151" t="str">
        <f aca="false">CONCATENATE($C700,$I700,$H700,$N700,$J700,$K700)</f>
        <v>TUBO PEADPEAD63VCAREDESZona06</v>
      </c>
      <c r="AE700" s="153" t="n">
        <f aca="false">IFERROR(INDEX(APOIO_REDES!$A:$W,MATCH($C700&amp;$I700&amp;$H700&amp;$N700&amp;$O700,APOIO_REDES!$W:$W,0),MATCH(AE$5,APOIO_REDES!$5:$5,0)),0)</f>
        <v>1.2</v>
      </c>
      <c r="AF700" s="153" t="n">
        <f aca="false">IFERROR(INDEX(APOIO_REDES!$A:$W,MATCH($C700&amp;$I700&amp;$H700&amp;$N700&amp;$O700,APOIO_REDES!$W:$W,0),MATCH(AF$5,APOIO_REDES!$5:$5,0)),0)</f>
        <v>1.363</v>
      </c>
      <c r="AG700" s="153" t="n">
        <f aca="false">IFERROR(INDEX(APOIO_REDES!$A:$W,MATCH($C700&amp;$I700&amp;$H700&amp;$N700&amp;$O700,APOIO_REDES!$W:$W,0),MATCH(AG$5,APOIO_REDES!$5:$5,0)),0)</f>
        <v>0.65</v>
      </c>
      <c r="AH700" s="153" t="n">
        <f aca="false">IFERROR(INDEX(APOIO_REDES!$A:$W,MATCH($C700&amp;$I700&amp;$H700&amp;$N700&amp;$O700,APOIO_REDES!$W:$W,0),MATCH(AH$5,APOIO_REDES!$5:$5,0)),0)</f>
        <v>0.1</v>
      </c>
      <c r="AI700" s="153" t="n">
        <f aca="false">IFERROR(IF($H700&lt;&gt;"",(((($H700/1000)/2)^2)*PI()*$M700),0),0)</f>
        <v>0.455460712320731</v>
      </c>
      <c r="AJ700" s="153" t="n">
        <f aca="false">IFERROR(IF(AND($H700&lt;&gt;"",$I700="FoFo",OR($N700="MND",$N700="VCA"),$Q700="LINEAR"),0,IF(AND($H700&lt;&gt;"",$I700="PEAD",$N700="VCA",$Q700="LINEAR"),($H700/1000)+0.3,IF(AND($H700&lt;&gt;"",$I700="PEAD",$N700="MND",$Q700="EMBOQUE"),0,IF(AND($H700&lt;&gt;"",$I700="PVC",$N700="VCA",$Q700="LINEAR"),($H700/1000)+0.2,IF(AND($H700&lt;&gt;"",$I700="PVC",$N700="MND",$Q700="EMBOQUE"),0,IF(AND($H700&lt;&gt;"",$I700="PEAD",$N700="VCA",$Q700="PREDIAL"),0,0)))))),0)</f>
        <v>0.363</v>
      </c>
      <c r="AK700" s="153" t="n">
        <f aca="false">IF(AA700&lt;&gt;"",AA700,0)</f>
        <v>3.8</v>
      </c>
      <c r="AL700" s="153" t="n">
        <f aca="false">IF(AND($N700="MND",$Q700="EMBOQUE"),$M700,IF(AND($N700="VCA",$Q700="LINEAR"),$M700,IF(AND($N700="VCA",$Q700="PREDIAL"),0,0)))</f>
        <v>146.11</v>
      </c>
      <c r="AM700" s="153" t="n">
        <f aca="false">IF(AND($N700="MND",$Q700="EMBOQUE"),$M700,IF(AND($N700="VCA",$Q700="LINEAR"),$M700,IF(AND($N700="VCA",$Q700="PREDIAL"),0,0)))</f>
        <v>146.11</v>
      </c>
      <c r="AN700" s="153" t="n">
        <f aca="false">ROUND(IF(AND($N700="VCA",$M700&lt;&gt;"",$Q700="LINEAR"),$M700/100,IF(AND($N700="MND",$M700&gt;100,$Q700="EMBOQUE"),$M700/100,0)),0)</f>
        <v>1</v>
      </c>
      <c r="AO700" s="153" t="n">
        <f aca="false">IF(AND($N700="MND",$Q700="EMBOQUE"),$AN700*2*2,IF(AND($N700="VCA",$Q700="LINEAR"),$M700*2,IF(AND($N700="VCA",$Q700="PREDIAL"),0,0)))</f>
        <v>292.22</v>
      </c>
      <c r="AP700" s="153" t="n">
        <f aca="false">IFERROR($M700*$AF700*$AG700,0)</f>
        <v>129.4461545</v>
      </c>
      <c r="AQ700" s="153" t="n">
        <f aca="false">IFERROR(IF(AND($N700="VCA",$AH700&gt;0),$M700*$AG700*$AH700,0),0)</f>
        <v>9.49715</v>
      </c>
      <c r="AR700" s="153" t="n">
        <f aca="false">IFERROR(IF(AND($N700="VCA",$AJ700&gt;0),($M700*$AG700*$AJ700)-$AI700,0),0)</f>
        <v>34.0191937876793</v>
      </c>
      <c r="AS700" s="153" t="n">
        <f aca="false">IFERROR(IF(AND($N700="VCA",$AP700&gt;0),$AP700-$AI700-$AQ700-$AR700,0),0)</f>
        <v>85.47435</v>
      </c>
      <c r="AT700" s="153" t="n">
        <f aca="false">IFERROR(IF($N700="VCA",INDEX(APOIO_REDES!$A:$W,MATCH($C700&amp;$I700&amp;$H700&amp;$N700&amp;$O700,APOIO_REDES!$W:$W,0),MATCH(AT$5,APOIO_REDES!$5:$5,0)),0)*$AP700,0)</f>
        <v>1.40841247506599</v>
      </c>
      <c r="AU700" s="153" t="n">
        <f aca="false">IFERROR(IF($N700="VCA",INDEX(APOIO_REDES!$A:$W,MATCH($C700&amp;$I700&amp;$H700&amp;$N700&amp;$O700,APOIO_REDES!$W:$W,0),MATCH(AU$5,APOIO_REDES!$5:$5,0)),0)*$AP700,0)</f>
        <v>1.12472005794035</v>
      </c>
      <c r="AV700" s="153" t="n">
        <f aca="false">IFERROR(IF($N700="VCA",INDEX(APOIO_REDES!$A:$W,MATCH($C700&amp;$I700&amp;$H700&amp;$N700&amp;$O700,APOIO_REDES!$W:$W,0),MATCH(AV$5,APOIO_REDES!$5:$5,0)),0)*$AP700,0)</f>
        <v>0.155652426620306</v>
      </c>
      <c r="AW700" s="153" t="n">
        <f aca="false">IFERROR(IF($N700="VCA",INDEX(APOIO_REDES!$A:$W,MATCH($C700&amp;$I700&amp;$H700&amp;$N700&amp;$O700,APOIO_REDES!$W:$W,0),MATCH(AW$5,APOIO_REDES!$5:$5,0)),0)*$AP700,0)</f>
        <v>88.852843446549</v>
      </c>
      <c r="AX700" s="153" t="n">
        <f aca="false">IFERROR(IF($N700="VCA",INDEX(APOIO_REDES!$A:$W,MATCH($C700&amp;$I700&amp;$H700&amp;$N700&amp;$O700,APOIO_REDES!$W:$W,0),MATCH(AX$5,APOIO_REDES!$5:$5,0)),0)*$AP700,0)</f>
        <v>12.2969804308869</v>
      </c>
      <c r="AY700" s="153" t="n">
        <f aca="false">IFERROR(IF($N700="VCA",INDEX(APOIO_REDES!$A:$W,MATCH($C700&amp;$I700&amp;$H700&amp;$N700&amp;$O700,APOIO_REDES!$W:$W,0),MATCH(AY$5,APOIO_REDES!$5:$5,0)),0)*$AP700,0)</f>
        <v>22.4943874485607</v>
      </c>
      <c r="AZ700" s="153" t="n">
        <f aca="false">IFERROR(IF($N700="VCA",INDEX(APOIO_REDES!$A:$W,MATCH($C700&amp;$I700&amp;$H700&amp;$N700&amp;$O700,APOIO_REDES!$W:$W,0),MATCH(AZ$5,APOIO_REDES!$5:$5,0)),0)*$AP700,0)</f>
        <v>3.11315821437679</v>
      </c>
      <c r="BA700" s="153" t="n">
        <f aca="false">IFERROR(IF(AND($N700="VCA",$Q700="LINEAR"),INDEX(APOIO_REDES!$A:$W,MATCH($C700&amp;$I700&amp;$H700&amp;$N700&amp;$O700,APOIO_REDES!$W:$W,0),MATCH(BA$5,APOIO_REDES!$5:$5,0)),IF(AND($N700="MND",$Q700="EMBOQUE"),INDEX(APOIO_REDES!$A:$W,MATCH($C700&amp;$I700&amp;$H700&amp;$N700&amp;$O700,APOIO_REDES!$W:$W,0),MATCH(BA$5,APOIO_REDES!$5:$5,0)),0))*$M700/10,0)</f>
        <v>11.7760974491817</v>
      </c>
      <c r="BB700" s="153" t="n">
        <f aca="false">IFERROR(IF($N700="VCA",INDEX(APOIO_REDES!$A:$W,MATCH($C700&amp;$I700&amp;$H700&amp;$N700&amp;$O700,APOIO_REDES!$W:$W,0),MATCH(BB$5,APOIO_REDES!$5:$5,0)),0)*($AI700+$AQ700+$AR700),0)</f>
        <v>43.4933782520502</v>
      </c>
      <c r="BC700" s="153" t="n">
        <f aca="false">IFERROR(IF($N700="VCA",INDEX(APOIO_REDES!$A:$W,MATCH($C700&amp;$I700&amp;$H700&amp;$N700&amp;$O700,APOIO_REDES!$W:$W,0),MATCH(BC$5,APOIO_REDES!$5:$5,0)),0)*($AI700+$AQ700+$AR700),0)</f>
        <v>0.478426247949783</v>
      </c>
      <c r="BD700" s="153" t="n">
        <f aca="false">IF(AND($N700="VCA",$AF700&gt;=1.25,$AF700&lt;1.5),$M700*$AF700*2,0)</f>
        <v>398.29586</v>
      </c>
      <c r="BE700" s="153" t="n">
        <f aca="false">IF(AND($N700="VCA",$AF700&gt;=1.5,$AF700&lt;3),$M700*$AF700*2,0)</f>
        <v>0</v>
      </c>
      <c r="BF700" s="153" t="n">
        <f aca="false">IF(AND($N700="VCA",$AF700&gt;=3),$M700*$AF700*2,0)</f>
        <v>0</v>
      </c>
      <c r="BG700" s="153" t="n">
        <f aca="false">($BB700+$BC700)*$AK700</f>
        <v>167.0928571</v>
      </c>
      <c r="BH700" s="153" t="n">
        <f aca="false">IF(AND($M700&lt;&gt;"",$N700="VCA",$Q700="LINEAR"),($M700*2)/100,IF(AND($M700&lt;&gt;"",$N700="MND",$Q700="EMBOQUE"),($AN700*2)/100,0))</f>
        <v>2.9222</v>
      </c>
      <c r="BI700" s="153" t="n">
        <f aca="false">IF(AND($M700&lt;&gt;"",$N700="VCA",$Q700="LINEAR"),$M700,IF(AND($M700&lt;&gt;"",$N700="MND",$Q700="EMBOQUE"),$AN700*2,0))</f>
        <v>146.11</v>
      </c>
      <c r="BJ700" s="153" t="n">
        <f aca="false">IF(AND($M700&lt;&gt;"",$N700="VCA",$Q700="LINEAR"),($M700*6.8)/100,IF(AND($M700&lt;&gt;"",$N700="MND",$Q700="EMBOQUE"),($AN700*2*6.8)/100,0))</f>
        <v>9.93548</v>
      </c>
      <c r="BK700" s="153" t="n">
        <f aca="false">IF(AND($M700&lt;&gt;"",$N700="VCA",$Q700="LINEAR"),($M700*2.5)/50,IF(AND($M700&lt;&gt;"",$N700="MND",$Q700="EMBOQUE"),($AN700*2*2.5)/50,0))</f>
        <v>7.3055</v>
      </c>
      <c r="BL700" s="157" t="str">
        <f aca="false">K700&amp;J700</f>
        <v>Zona06REDES</v>
      </c>
      <c r="BM700" s="152" t="s">
        <v>3790</v>
      </c>
      <c r="BN700" s="152" t="s">
        <v>1560</v>
      </c>
      <c r="BO700" s="152" t="s">
        <v>4097</v>
      </c>
      <c r="BP700" s="152" t="s">
        <v>4209</v>
      </c>
      <c r="BQ700" s="152" t="s">
        <v>4036</v>
      </c>
      <c r="BR700" s="152" t="s">
        <v>4210</v>
      </c>
      <c r="BS700" s="152" t="n">
        <v>203855.518</v>
      </c>
      <c r="BT700" s="152" t="n">
        <v>8236673.59</v>
      </c>
      <c r="BU700" s="152" t="n">
        <v>203757.612</v>
      </c>
      <c r="BV700" s="152" t="n">
        <v>8236781.883</v>
      </c>
      <c r="BW700" s="152" t="n">
        <v>-15.9310435</v>
      </c>
      <c r="BX700" s="152" t="n">
        <v>-47.7665078</v>
      </c>
      <c r="BY700" s="152" t="s">
        <v>4209</v>
      </c>
    </row>
    <row r="701" customFormat="false" ht="13.8" hidden="false" customHeight="false" outlineLevel="0" collapsed="false">
      <c r="A701" s="149" t="n">
        <f aca="false">IF(C701&lt;&gt;"",ROW(A696),"")</f>
        <v>696</v>
      </c>
      <c r="B701" s="150" t="str">
        <f aca="false">HYPERLINK("https://www.google.com/maps/dir/-15.917302,-47.760003/-15.9308126,-47.7672888/data=!4m3!4m2!3e0!5i0")</f>
        <v>https://www.google.com/maps/dir/-15.917302,-47.760003/-15.9308126,-47.7672888/data=!4m3!4m2!3e0!5i0</v>
      </c>
      <c r="C701" s="151" t="s">
        <v>117</v>
      </c>
      <c r="D701" s="152" t="s">
        <v>112</v>
      </c>
      <c r="E701" s="152" t="s">
        <v>113</v>
      </c>
      <c r="F701" s="152" t="s">
        <v>117</v>
      </c>
      <c r="G701" s="152" t="s">
        <v>782</v>
      </c>
      <c r="H701" s="152" t="n">
        <v>63</v>
      </c>
      <c r="I701" s="152" t="s">
        <v>115</v>
      </c>
      <c r="J701" s="152" t="s">
        <v>6</v>
      </c>
      <c r="K701" s="152" t="s">
        <v>3786</v>
      </c>
      <c r="L701" s="152" t="s">
        <v>120</v>
      </c>
      <c r="M701" s="153" t="n">
        <f aca="false">143.87</f>
        <v>143.87</v>
      </c>
      <c r="N701" s="152" t="s">
        <v>1548</v>
      </c>
      <c r="O701" s="152" t="s">
        <v>1549</v>
      </c>
      <c r="P701" s="152" t="s">
        <v>1550</v>
      </c>
      <c r="Q701" s="152" t="s">
        <v>1551</v>
      </c>
      <c r="R701" s="154" t="s">
        <v>4211</v>
      </c>
      <c r="S701" s="154" t="s">
        <v>1553</v>
      </c>
      <c r="T701" s="155" t="s">
        <v>4095</v>
      </c>
      <c r="U701" s="152" t="str">
        <f aca="false">RIGHT(T701,7)</f>
        <v>016/037</v>
      </c>
      <c r="V701" s="152" t="s">
        <v>1555</v>
      </c>
      <c r="W701" s="156" t="n">
        <v>45882</v>
      </c>
      <c r="X701" s="152" t="s">
        <v>1594</v>
      </c>
      <c r="Y701" s="152" t="s">
        <v>4062</v>
      </c>
      <c r="Z701" s="152" t="s">
        <v>1557</v>
      </c>
      <c r="AA701" s="153" t="n">
        <v>2.4</v>
      </c>
      <c r="AB701" s="151" t="s">
        <v>4212</v>
      </c>
      <c r="AC701" s="151" t="s">
        <v>186</v>
      </c>
      <c r="AD701" s="151" t="str">
        <f aca="false">CONCATENATE($C701,$I701,$H701,$N701,$J701,$K701)</f>
        <v>TUBO PEADPEAD63VCAREDESZona06</v>
      </c>
      <c r="AE701" s="153" t="n">
        <f aca="false">IFERROR(INDEX(APOIO_REDES!$A:$W,MATCH($C701&amp;$I701&amp;$H701&amp;$N701&amp;$O701,APOIO_REDES!$W:$W,0),MATCH(AE$5,APOIO_REDES!$5:$5,0)),0)</f>
        <v>1.2</v>
      </c>
      <c r="AF701" s="153" t="n">
        <f aca="false">IFERROR(INDEX(APOIO_REDES!$A:$W,MATCH($C701&amp;$I701&amp;$H701&amp;$N701&amp;$O701,APOIO_REDES!$W:$W,0),MATCH(AF$5,APOIO_REDES!$5:$5,0)),0)</f>
        <v>1.363</v>
      </c>
      <c r="AG701" s="153" t="n">
        <f aca="false">IFERROR(INDEX(APOIO_REDES!$A:$W,MATCH($C701&amp;$I701&amp;$H701&amp;$N701&amp;$O701,APOIO_REDES!$W:$W,0),MATCH(AG$5,APOIO_REDES!$5:$5,0)),0)</f>
        <v>0.65</v>
      </c>
      <c r="AH701" s="153" t="n">
        <f aca="false">IFERROR(INDEX(APOIO_REDES!$A:$W,MATCH($C701&amp;$I701&amp;$H701&amp;$N701&amp;$O701,APOIO_REDES!$W:$W,0),MATCH(AH$5,APOIO_REDES!$5:$5,0)),0)</f>
        <v>0.1</v>
      </c>
      <c r="AI701" s="153" t="n">
        <f aca="false">IFERROR(IF($H701&lt;&gt;"",(((($H701/1000)/2)^2)*PI()*$M701),0),0)</f>
        <v>0.448478082825156</v>
      </c>
      <c r="AJ701" s="153" t="n">
        <f aca="false">IFERROR(IF(AND($H701&lt;&gt;"",$I701="FoFo",OR($N701="MND",$N701="VCA"),$Q701="LINEAR"),0,IF(AND($H701&lt;&gt;"",$I701="PEAD",$N701="VCA",$Q701="LINEAR"),($H701/1000)+0.3,IF(AND($H701&lt;&gt;"",$I701="PEAD",$N701="MND",$Q701="EMBOQUE"),0,IF(AND($H701&lt;&gt;"",$I701="PVC",$N701="VCA",$Q701="LINEAR"),($H701/1000)+0.2,IF(AND($H701&lt;&gt;"",$I701="PVC",$N701="MND",$Q701="EMBOQUE"),0,IF(AND($H701&lt;&gt;"",$I701="PEAD",$N701="VCA",$Q701="PREDIAL"),0,0)))))),0)</f>
        <v>0.363</v>
      </c>
      <c r="AK701" s="153" t="n">
        <f aca="false">IF(AA701&lt;&gt;"",AA701,0)</f>
        <v>2.4</v>
      </c>
      <c r="AL701" s="153" t="n">
        <f aca="false">IF(AND($N701="MND",$Q701="EMBOQUE"),$M701,IF(AND($N701="VCA",$Q701="LINEAR"),$M701,IF(AND($N701="VCA",$Q701="PREDIAL"),0,0)))</f>
        <v>143.87</v>
      </c>
      <c r="AM701" s="153" t="n">
        <f aca="false">IF(AND($N701="MND",$Q701="EMBOQUE"),$M701,IF(AND($N701="VCA",$Q701="LINEAR"),$M701,IF(AND($N701="VCA",$Q701="PREDIAL"),0,0)))</f>
        <v>143.87</v>
      </c>
      <c r="AN701" s="153" t="n">
        <f aca="false">ROUND(IF(AND($N701="VCA",$M701&lt;&gt;"",$Q701="LINEAR"),$M701/100,IF(AND($N701="MND",$M701&gt;100,$Q701="EMBOQUE"),$M701/100,0)),0)</f>
        <v>1</v>
      </c>
      <c r="AO701" s="153" t="n">
        <f aca="false">IF(AND($N701="MND",$Q701="EMBOQUE"),$AN701*2*2,IF(AND($N701="VCA",$Q701="LINEAR"),$M701*2,IF(AND($N701="VCA",$Q701="PREDIAL"),0,0)))</f>
        <v>287.74</v>
      </c>
      <c r="AP701" s="153" t="n">
        <f aca="false">IFERROR($M701*$AF701*$AG701,0)</f>
        <v>127.4616265</v>
      </c>
      <c r="AQ701" s="153" t="n">
        <f aca="false">IFERROR(IF(AND($N701="VCA",$AH701&gt;0),$M701*$AG701*$AH701,0),0)</f>
        <v>9.35155</v>
      </c>
      <c r="AR701" s="153" t="n">
        <f aca="false">IFERROR(IF(AND($N701="VCA",$AJ701&gt;0),($M701*$AG701*$AJ701)-$AI701,0),0)</f>
        <v>33.4976484171748</v>
      </c>
      <c r="AS701" s="153" t="n">
        <f aca="false">IFERROR(IF(AND($N701="VCA",$AP701&gt;0),$AP701-$AI701-$AQ701-$AR701,0),0)</f>
        <v>84.16395</v>
      </c>
      <c r="AT701" s="153" t="n">
        <f aca="false">IFERROR(IF($N701="VCA",INDEX(APOIO_REDES!$A:$W,MATCH($C701&amp;$I701&amp;$H701&amp;$N701&amp;$O701,APOIO_REDES!$W:$W,0),MATCH(AT$5,APOIO_REDES!$5:$5,0)),0)*$AP701,0)</f>
        <v>1.38682022303569</v>
      </c>
      <c r="AU701" s="153" t="n">
        <f aca="false">IFERROR(IF($N701="VCA",INDEX(APOIO_REDES!$A:$W,MATCH($C701&amp;$I701&amp;$H701&amp;$N701&amp;$O701,APOIO_REDES!$W:$W,0),MATCH(AU$5,APOIO_REDES!$5:$5,0)),0)*$AP701,0)</f>
        <v>1.1074770702613</v>
      </c>
      <c r="AV701" s="153" t="n">
        <f aca="false">IFERROR(IF($N701="VCA",INDEX(APOIO_REDES!$A:$W,MATCH($C701&amp;$I701&amp;$H701&amp;$N701&amp;$O701,APOIO_REDES!$W:$W,0),MATCH(AV$5,APOIO_REDES!$5:$5,0)),0)*$AP701,0)</f>
        <v>0.153266132488286</v>
      </c>
      <c r="AW701" s="153" t="n">
        <f aca="false">IFERROR(IF($N701="VCA",INDEX(APOIO_REDES!$A:$W,MATCH($C701&amp;$I701&amp;$H701&amp;$N701&amp;$O701,APOIO_REDES!$W:$W,0),MATCH(AW$5,APOIO_REDES!$5:$5,0)),0)*$AP701,0)</f>
        <v>87.4906480504757</v>
      </c>
      <c r="AX701" s="153" t="n">
        <f aca="false">IFERROR(IF($N701="VCA",INDEX(APOIO_REDES!$A:$W,MATCH($C701&amp;$I701&amp;$H701&amp;$N701&amp;$O701,APOIO_REDES!$W:$W,0),MATCH(AX$5,APOIO_REDES!$5:$5,0)),0)*$AP701,0)</f>
        <v>12.1084564683574</v>
      </c>
      <c r="AY701" s="153" t="n">
        <f aca="false">IFERROR(IF($N701="VCA",INDEX(APOIO_REDES!$A:$W,MATCH($C701&amp;$I701&amp;$H701&amp;$N701&amp;$O701,APOIO_REDES!$W:$W,0),MATCH(AY$5,APOIO_REDES!$5:$5,0)),0)*$AP701,0)</f>
        <v>22.1495279051703</v>
      </c>
      <c r="AZ701" s="153" t="n">
        <f aca="false">IFERROR(IF($N701="VCA",INDEX(APOIO_REDES!$A:$W,MATCH($C701&amp;$I701&amp;$H701&amp;$N701&amp;$O701,APOIO_REDES!$W:$W,0),MATCH(AZ$5,APOIO_REDES!$5:$5,0)),0)*$AP701,0)</f>
        <v>3.06543065021141</v>
      </c>
      <c r="BA701" s="153" t="n">
        <f aca="false">IFERROR(IF(AND($N701="VCA",$Q701="LINEAR"),INDEX(APOIO_REDES!$A:$W,MATCH($C701&amp;$I701&amp;$H701&amp;$N701&amp;$O701,APOIO_REDES!$W:$W,0),MATCH(BA$5,APOIO_REDES!$5:$5,0)),IF(AND($N701="MND",$Q701="EMBOQUE"),INDEX(APOIO_REDES!$A:$W,MATCH($C701&amp;$I701&amp;$H701&amp;$N701&amp;$O701,APOIO_REDES!$W:$W,0),MATCH(BA$5,APOIO_REDES!$5:$5,0)),0))*$M701/10,0)</f>
        <v>11.595559099403</v>
      </c>
      <c r="BB701" s="153" t="n">
        <f aca="false">IFERROR(IF($N701="VCA",INDEX(APOIO_REDES!$A:$W,MATCH($C701&amp;$I701&amp;$H701&amp;$N701&amp;$O701,APOIO_REDES!$W:$W,0),MATCH(BB$5,APOIO_REDES!$5:$5,0)),0)*($AI701+$AQ701+$AR701),0)</f>
        <v>42.8265849642219</v>
      </c>
      <c r="BC701" s="153" t="n">
        <f aca="false">IFERROR(IF($N701="VCA",INDEX(APOIO_REDES!$A:$W,MATCH($C701&amp;$I701&amp;$H701&amp;$N701&amp;$O701,APOIO_REDES!$W:$W,0),MATCH(BC$5,APOIO_REDES!$5:$5,0)),0)*($AI701+$AQ701+$AR701),0)</f>
        <v>0.47109153577808</v>
      </c>
      <c r="BD701" s="153" t="n">
        <f aca="false">IF(AND($N701="VCA",$AF701&gt;=1.25,$AF701&lt;1.5),$M701*$AF701*2,0)</f>
        <v>392.18962</v>
      </c>
      <c r="BE701" s="153" t="n">
        <f aca="false">IF(AND($N701="VCA",$AF701&gt;=1.5,$AF701&lt;3),$M701*$AF701*2,0)</f>
        <v>0</v>
      </c>
      <c r="BF701" s="153" t="n">
        <f aca="false">IF(AND($N701="VCA",$AF701&gt;=3),$M701*$AF701*2,0)</f>
        <v>0</v>
      </c>
      <c r="BG701" s="153" t="n">
        <f aca="false">($BB701+$BC701)*$AK701</f>
        <v>103.9144236</v>
      </c>
      <c r="BH701" s="153" t="n">
        <f aca="false">IF(AND($M701&lt;&gt;"",$N701="VCA",$Q701="LINEAR"),($M701*2)/100,IF(AND($M701&lt;&gt;"",$N701="MND",$Q701="EMBOQUE"),($AN701*2)/100,0))</f>
        <v>2.8774</v>
      </c>
      <c r="BI701" s="153" t="n">
        <f aca="false">IF(AND($M701&lt;&gt;"",$N701="VCA",$Q701="LINEAR"),$M701,IF(AND($M701&lt;&gt;"",$N701="MND",$Q701="EMBOQUE"),$AN701*2,0))</f>
        <v>143.87</v>
      </c>
      <c r="BJ701" s="153" t="n">
        <f aca="false">IF(AND($M701&lt;&gt;"",$N701="VCA",$Q701="LINEAR"),($M701*6.8)/100,IF(AND($M701&lt;&gt;"",$N701="MND",$Q701="EMBOQUE"),($AN701*2*6.8)/100,0))</f>
        <v>9.78316</v>
      </c>
      <c r="BK701" s="153" t="n">
        <f aca="false">IF(AND($M701&lt;&gt;"",$N701="VCA",$Q701="LINEAR"),($M701*2.5)/50,IF(AND($M701&lt;&gt;"",$N701="MND",$Q701="EMBOQUE"),($AN701*2*2.5)/50,0))</f>
        <v>7.1935</v>
      </c>
      <c r="BL701" s="157" t="str">
        <f aca="false">K701&amp;J701</f>
        <v>Zona06REDES</v>
      </c>
      <c r="BM701" s="152" t="s">
        <v>3790</v>
      </c>
      <c r="BN701" s="152" t="s">
        <v>1560</v>
      </c>
      <c r="BO701" s="152" t="s">
        <v>4097</v>
      </c>
      <c r="BP701" s="152" t="s">
        <v>4053</v>
      </c>
      <c r="BQ701" s="152" t="s">
        <v>4213</v>
      </c>
      <c r="BR701" s="152" t="s">
        <v>4214</v>
      </c>
      <c r="BS701" s="152" t="n">
        <v>203723.249</v>
      </c>
      <c r="BT701" s="152" t="n">
        <v>8236752.784</v>
      </c>
      <c r="BU701" s="152" t="n">
        <v>203820.624</v>
      </c>
      <c r="BV701" s="152" t="n">
        <v>8236646.975</v>
      </c>
      <c r="BW701" s="152" t="n">
        <v>-15.9313025</v>
      </c>
      <c r="BX701" s="152" t="n">
        <v>-47.7668479</v>
      </c>
      <c r="BY701" s="152" t="s">
        <v>4053</v>
      </c>
    </row>
    <row r="702" customFormat="false" ht="13.8" hidden="false" customHeight="false" outlineLevel="0" collapsed="false">
      <c r="A702" s="149" t="n">
        <f aca="false">IF(C702&lt;&gt;"",ROW(A697),"")</f>
        <v>697</v>
      </c>
      <c r="B702" s="150" t="str">
        <f aca="false">HYPERLINK("https://www.google.com/maps/dir/-15.917302,-47.760003/-15.9320422,-47.7667359/data=!4m3!4m2!3e0!5i2")</f>
        <v>https://www.google.com/maps/dir/-15.917302,-47.760003/-15.9320422,-47.7667359/data=!4m3!4m2!3e0!5i2</v>
      </c>
      <c r="C702" s="151" t="s">
        <v>117</v>
      </c>
      <c r="D702" s="152" t="s">
        <v>112</v>
      </c>
      <c r="E702" s="152" t="s">
        <v>113</v>
      </c>
      <c r="F702" s="152" t="s">
        <v>117</v>
      </c>
      <c r="G702" s="152" t="s">
        <v>782</v>
      </c>
      <c r="H702" s="152" t="n">
        <v>63</v>
      </c>
      <c r="I702" s="152" t="s">
        <v>115</v>
      </c>
      <c r="J702" s="152" t="s">
        <v>6</v>
      </c>
      <c r="K702" s="152" t="s">
        <v>3786</v>
      </c>
      <c r="L702" s="152" t="s">
        <v>120</v>
      </c>
      <c r="M702" s="153" t="n">
        <f aca="false">28.95</f>
        <v>28.95</v>
      </c>
      <c r="N702" s="152" t="s">
        <v>1548</v>
      </c>
      <c r="O702" s="152" t="s">
        <v>1549</v>
      </c>
      <c r="P702" s="152" t="s">
        <v>1550</v>
      </c>
      <c r="Q702" s="152" t="s">
        <v>1551</v>
      </c>
      <c r="R702" s="154" t="s">
        <v>4215</v>
      </c>
      <c r="S702" s="154" t="s">
        <v>1553</v>
      </c>
      <c r="T702" s="155" t="s">
        <v>4216</v>
      </c>
      <c r="U702" s="152" t="str">
        <f aca="false">RIGHT(T702,7)</f>
        <v>019/037</v>
      </c>
      <c r="V702" s="152" t="s">
        <v>1555</v>
      </c>
      <c r="W702" s="156" t="n">
        <v>45882</v>
      </c>
      <c r="X702" s="152" t="s">
        <v>1594</v>
      </c>
      <c r="Y702" s="152" t="s">
        <v>4015</v>
      </c>
      <c r="Z702" s="152" t="s">
        <v>1557</v>
      </c>
      <c r="AA702" s="153" t="n">
        <v>3.9</v>
      </c>
      <c r="AB702" s="151" t="s">
        <v>4217</v>
      </c>
      <c r="AC702" s="151" t="s">
        <v>186</v>
      </c>
      <c r="AD702" s="151" t="str">
        <f aca="false">CONCATENATE($C702,$I702,$H702,$N702,$J702,$K702)</f>
        <v>TUBO PEADPEAD63VCAREDESZona06</v>
      </c>
      <c r="AE702" s="153" t="n">
        <f aca="false">IFERROR(INDEX(APOIO_REDES!$A:$W,MATCH($C702&amp;$I702&amp;$H702&amp;$N702&amp;$O702,APOIO_REDES!$W:$W,0),MATCH(AE$5,APOIO_REDES!$5:$5,0)),0)</f>
        <v>1.2</v>
      </c>
      <c r="AF702" s="153" t="n">
        <f aca="false">IFERROR(INDEX(APOIO_REDES!$A:$W,MATCH($C702&amp;$I702&amp;$H702&amp;$N702&amp;$O702,APOIO_REDES!$W:$W,0),MATCH(AF$5,APOIO_REDES!$5:$5,0)),0)</f>
        <v>1.363</v>
      </c>
      <c r="AG702" s="153" t="n">
        <f aca="false">IFERROR(INDEX(APOIO_REDES!$A:$W,MATCH($C702&amp;$I702&amp;$H702&amp;$N702&amp;$O702,APOIO_REDES!$W:$W,0),MATCH(AG$5,APOIO_REDES!$5:$5,0)),0)</f>
        <v>0.65</v>
      </c>
      <c r="AH702" s="153" t="n">
        <f aca="false">IFERROR(INDEX(APOIO_REDES!$A:$W,MATCH($C702&amp;$I702&amp;$H702&amp;$N702&amp;$O702,APOIO_REDES!$W:$W,0),MATCH(AH$5,APOIO_REDES!$5:$5,0)),0)</f>
        <v>0.1</v>
      </c>
      <c r="AI702" s="153" t="n">
        <f aca="false">IFERROR(IF($H702&lt;&gt;"",(((($H702/1000)/2)^2)*PI()*$M702),0),0)</f>
        <v>0.0902442517396835</v>
      </c>
      <c r="AJ702" s="153" t="n">
        <f aca="false">IFERROR(IF(AND($H702&lt;&gt;"",$I702="FoFo",OR($N702="MND",$N702="VCA"),$Q702="LINEAR"),0,IF(AND($H702&lt;&gt;"",$I702="PEAD",$N702="VCA",$Q702="LINEAR"),($H702/1000)+0.3,IF(AND($H702&lt;&gt;"",$I702="PEAD",$N702="MND",$Q702="EMBOQUE"),0,IF(AND($H702&lt;&gt;"",$I702="PVC",$N702="VCA",$Q702="LINEAR"),($H702/1000)+0.2,IF(AND($H702&lt;&gt;"",$I702="PVC",$N702="MND",$Q702="EMBOQUE"),0,IF(AND($H702&lt;&gt;"",$I702="PEAD",$N702="VCA",$Q702="PREDIAL"),0,0)))))),0)</f>
        <v>0.363</v>
      </c>
      <c r="AK702" s="153" t="n">
        <f aca="false">IF(AA702&lt;&gt;"",AA702,0)</f>
        <v>3.9</v>
      </c>
      <c r="AL702" s="153" t="n">
        <f aca="false">IF(AND($N702="MND",$Q702="EMBOQUE"),$M702,IF(AND($N702="VCA",$Q702="LINEAR"),$M702,IF(AND($N702="VCA",$Q702="PREDIAL"),0,0)))</f>
        <v>28.95</v>
      </c>
      <c r="AM702" s="153" t="n">
        <f aca="false">IF(AND($N702="MND",$Q702="EMBOQUE"),$M702,IF(AND($N702="VCA",$Q702="LINEAR"),$M702,IF(AND($N702="VCA",$Q702="PREDIAL"),0,0)))</f>
        <v>28.95</v>
      </c>
      <c r="AN702" s="153" t="n">
        <f aca="false">ROUND(IF(AND($N702="VCA",$M702&lt;&gt;"",$Q702="LINEAR"),$M702/100,IF(AND($N702="MND",$M702&gt;100,$Q702="EMBOQUE"),$M702/100,0)),0)</f>
        <v>0</v>
      </c>
      <c r="AO702" s="153" t="n">
        <f aca="false">IF(AND($N702="MND",$Q702="EMBOQUE"),$AN702*2*2,IF(AND($N702="VCA",$Q702="LINEAR"),$M702*2,IF(AND($N702="VCA",$Q702="PREDIAL"),0,0)))</f>
        <v>57.9</v>
      </c>
      <c r="AP702" s="153" t="n">
        <f aca="false">IFERROR($M702*$AF702*$AG702,0)</f>
        <v>25.6482525</v>
      </c>
      <c r="AQ702" s="153" t="n">
        <f aca="false">IFERROR(IF(AND($N702="VCA",$AH702&gt;0),$M702*$AG702*$AH702,0),0)</f>
        <v>1.88175</v>
      </c>
      <c r="AR702" s="153" t="n">
        <f aca="false">IFERROR(IF(AND($N702="VCA",$AJ702&gt;0),($M702*$AG702*$AJ702)-$AI702,0),0)</f>
        <v>6.74050824826032</v>
      </c>
      <c r="AS702" s="153" t="n">
        <f aca="false">IFERROR(IF(AND($N702="VCA",$AP702&gt;0),$AP702-$AI702-$AQ702-$AR702,0),0)</f>
        <v>16.93575</v>
      </c>
      <c r="AT702" s="153" t="n">
        <f aca="false">IFERROR(IF($N702="VCA",INDEX(APOIO_REDES!$A:$W,MATCH($C702&amp;$I702&amp;$H702&amp;$N702&amp;$O702,APOIO_REDES!$W:$W,0),MATCH(AT$5,APOIO_REDES!$5:$5,0)),0)*$AP702,0)</f>
        <v>0.279060578695233</v>
      </c>
      <c r="AU702" s="153" t="n">
        <f aca="false">IFERROR(IF($N702="VCA",INDEX(APOIO_REDES!$A:$W,MATCH($C702&amp;$I702&amp;$H702&amp;$N702&amp;$O702,APOIO_REDES!$W:$W,0),MATCH(AU$5,APOIO_REDES!$5:$5,0)),0)*$AP702,0)</f>
        <v>0.222850220227043</v>
      </c>
      <c r="AV702" s="153" t="n">
        <f aca="false">IFERROR(IF($N702="VCA",INDEX(APOIO_REDES!$A:$W,MATCH($C702&amp;$I702&amp;$H702&amp;$N702&amp;$O702,APOIO_REDES!$W:$W,0),MATCH(AV$5,APOIO_REDES!$5:$5,0)),0)*$AP702,0)</f>
        <v>0.0308407210366017</v>
      </c>
      <c r="AW702" s="153" t="n">
        <f aca="false">IFERROR(IF($N702="VCA",INDEX(APOIO_REDES!$A:$W,MATCH($C702&amp;$I702&amp;$H702&amp;$N702&amp;$O702,APOIO_REDES!$W:$W,0),MATCH(AW$5,APOIO_REDES!$5:$5,0)),0)*$AP702,0)</f>
        <v>17.605159248358</v>
      </c>
      <c r="AX702" s="153" t="n">
        <f aca="false">IFERROR(IF($N702="VCA",INDEX(APOIO_REDES!$A:$W,MATCH($C702&amp;$I702&amp;$H702&amp;$N702&amp;$O702,APOIO_REDES!$W:$W,0),MATCH(AX$5,APOIO_REDES!$5:$5,0)),0)*$AP702,0)</f>
        <v>2.43650389072736</v>
      </c>
      <c r="AY702" s="153" t="n">
        <f aca="false">IFERROR(IF($N702="VCA",INDEX(APOIO_REDES!$A:$W,MATCH($C702&amp;$I702&amp;$H702&amp;$N702&amp;$O702,APOIO_REDES!$W:$W,0),MATCH(AY$5,APOIO_REDES!$5:$5,0)),0)*$AP702,0)</f>
        <v>4.45700168801474</v>
      </c>
      <c r="AZ702" s="153" t="n">
        <f aca="false">IFERROR(IF($N702="VCA",INDEX(APOIO_REDES!$A:$W,MATCH($C702&amp;$I702&amp;$H702&amp;$N702&amp;$O702,APOIO_REDES!$W:$W,0),MATCH(AZ$5,APOIO_REDES!$5:$5,0)),0)*$AP702,0)</f>
        <v>0.616836152940991</v>
      </c>
      <c r="BA702" s="153" t="n">
        <f aca="false">IFERROR(IF(AND($N702="VCA",$Q702="LINEAR"),INDEX(APOIO_REDES!$A:$W,MATCH($C702&amp;$I702&amp;$H702&amp;$N702&amp;$O702,APOIO_REDES!$W:$W,0),MATCH(BA$5,APOIO_REDES!$5:$5,0)),IF(AND($N702="MND",$Q702="EMBOQUE"),INDEX(APOIO_REDES!$A:$W,MATCH($C702&amp;$I702&amp;$H702&amp;$N702&amp;$O702,APOIO_REDES!$W:$W,0),MATCH(BA$5,APOIO_REDES!$5:$5,0)),0))*$M702/10,0)</f>
        <v>2.33329697593464</v>
      </c>
      <c r="BB702" s="153" t="n">
        <f aca="false">IFERROR(IF($N702="VCA",INDEX(APOIO_REDES!$A:$W,MATCH($C702&amp;$I702&amp;$H702&amp;$N702&amp;$O702,APOIO_REDES!$W:$W,0),MATCH(BB$5,APOIO_REDES!$5:$5,0)),0)*($AI702+$AQ702+$AR702),0)</f>
        <v>8.61770789403089</v>
      </c>
      <c r="BC702" s="153" t="n">
        <f aca="false">IFERROR(IF($N702="VCA",INDEX(APOIO_REDES!$A:$W,MATCH($C702&amp;$I702&amp;$H702&amp;$N702&amp;$O702,APOIO_REDES!$W:$W,0),MATCH(BC$5,APOIO_REDES!$5:$5,0)),0)*($AI702+$AQ702+$AR702),0)</f>
        <v>0.094794605969107</v>
      </c>
      <c r="BD702" s="153" t="n">
        <f aca="false">IF(AND($N702="VCA",$AF702&gt;=1.25,$AF702&lt;1.5),$M702*$AF702*2,0)</f>
        <v>78.9177</v>
      </c>
      <c r="BE702" s="153" t="n">
        <f aca="false">IF(AND($N702="VCA",$AF702&gt;=1.5,$AF702&lt;3),$M702*$AF702*2,0)</f>
        <v>0</v>
      </c>
      <c r="BF702" s="153" t="n">
        <f aca="false">IF(AND($N702="VCA",$AF702&gt;=3),$M702*$AF702*2,0)</f>
        <v>0</v>
      </c>
      <c r="BG702" s="153" t="n">
        <f aca="false">($BB702+$BC702)*$AK702</f>
        <v>33.97875975</v>
      </c>
      <c r="BH702" s="153" t="n">
        <f aca="false">IF(AND($M702&lt;&gt;"",$N702="VCA",$Q702="LINEAR"),($M702*2)/100,IF(AND($M702&lt;&gt;"",$N702="MND",$Q702="EMBOQUE"),($AN702*2)/100,0))</f>
        <v>0.579</v>
      </c>
      <c r="BI702" s="153" t="n">
        <f aca="false">IF(AND($M702&lt;&gt;"",$N702="VCA",$Q702="LINEAR"),$M702,IF(AND($M702&lt;&gt;"",$N702="MND",$Q702="EMBOQUE"),$AN702*2,0))</f>
        <v>28.95</v>
      </c>
      <c r="BJ702" s="153" t="n">
        <f aca="false">IF(AND($M702&lt;&gt;"",$N702="VCA",$Q702="LINEAR"),($M702*6.8)/100,IF(AND($M702&lt;&gt;"",$N702="MND",$Q702="EMBOQUE"),($AN702*2*6.8)/100,0))</f>
        <v>1.9686</v>
      </c>
      <c r="BK702" s="153" t="n">
        <f aca="false">IF(AND($M702&lt;&gt;"",$N702="VCA",$Q702="LINEAR"),($M702*2.5)/50,IF(AND($M702&lt;&gt;"",$N702="MND",$Q702="EMBOQUE"),($AN702*2*2.5)/50,0))</f>
        <v>1.4475</v>
      </c>
      <c r="BL702" s="157" t="str">
        <f aca="false">K702&amp;J702</f>
        <v>Zona06REDES</v>
      </c>
      <c r="BM702" s="152" t="s">
        <v>3790</v>
      </c>
      <c r="BN702" s="152" t="s">
        <v>1560</v>
      </c>
      <c r="BO702" s="152" t="s">
        <v>4218</v>
      </c>
      <c r="BP702" s="152" t="s">
        <v>2032</v>
      </c>
      <c r="BQ702" s="152" t="s">
        <v>2032</v>
      </c>
      <c r="BR702" s="152" t="s">
        <v>4219</v>
      </c>
      <c r="BS702" s="152" t="n">
        <v>203770.326</v>
      </c>
      <c r="BT702" s="152" t="n">
        <v>8236639.039</v>
      </c>
      <c r="BU702" s="152" t="n">
        <v>203790.691</v>
      </c>
      <c r="BV702" s="152" t="n">
        <v>8236625.843</v>
      </c>
      <c r="BW702" s="152" t="n">
        <v>-15.9319433</v>
      </c>
      <c r="BX702" s="152" t="n">
        <v>-47.766774</v>
      </c>
      <c r="BY702" s="152" t="s">
        <v>4220</v>
      </c>
    </row>
    <row r="703" customFormat="false" ht="13.8" hidden="false" customHeight="false" outlineLevel="0" collapsed="false">
      <c r="A703" s="149" t="n">
        <f aca="false">IF(C703&lt;&gt;"",ROW(A698),"")</f>
        <v>698</v>
      </c>
      <c r="B703" s="150" t="str">
        <f aca="false">HYPERLINK("https://www.google.com/maps/dir/-15.917302,-47.760003/-15.9310565,-47.7679795/data=!4m3!4m2!3e0!5i2")</f>
        <v>https://www.google.com/maps/dir/-15.917302,-47.760003/-15.9310565,-47.7679795/data=!4m3!4m2!3e0!5i2</v>
      </c>
      <c r="C703" s="151" t="s">
        <v>117</v>
      </c>
      <c r="D703" s="152" t="s">
        <v>112</v>
      </c>
      <c r="E703" s="152" t="s">
        <v>113</v>
      </c>
      <c r="F703" s="152" t="s">
        <v>117</v>
      </c>
      <c r="G703" s="152" t="s">
        <v>782</v>
      </c>
      <c r="H703" s="152" t="n">
        <v>90</v>
      </c>
      <c r="I703" s="152" t="s">
        <v>115</v>
      </c>
      <c r="J703" s="152" t="s">
        <v>6</v>
      </c>
      <c r="K703" s="152" t="s">
        <v>4221</v>
      </c>
      <c r="L703" s="152" t="s">
        <v>120</v>
      </c>
      <c r="M703" s="153" t="n">
        <f aca="false">158.7</f>
        <v>158.7</v>
      </c>
      <c r="N703" s="152" t="s">
        <v>1548</v>
      </c>
      <c r="O703" s="152" t="s">
        <v>1549</v>
      </c>
      <c r="P703" s="152" t="s">
        <v>1550</v>
      </c>
      <c r="Q703" s="152" t="s">
        <v>1551</v>
      </c>
      <c r="R703" s="154" t="s">
        <v>4222</v>
      </c>
      <c r="S703" s="154" t="s">
        <v>1593</v>
      </c>
      <c r="T703" s="155" t="s">
        <v>4002</v>
      </c>
      <c r="U703" s="152" t="str">
        <f aca="false">RIGHT(T703,7)</f>
        <v>015/037</v>
      </c>
      <c r="V703" s="152" t="s">
        <v>1555</v>
      </c>
      <c r="W703" s="156" t="n">
        <v>45882</v>
      </c>
      <c r="X703" s="152" t="s">
        <v>1594</v>
      </c>
      <c r="Y703" s="152" t="s">
        <v>4223</v>
      </c>
      <c r="Z703" s="152" t="s">
        <v>1557</v>
      </c>
      <c r="AA703" s="153" t="n">
        <v>4.1</v>
      </c>
      <c r="AB703" s="151" t="s">
        <v>4224</v>
      </c>
      <c r="AC703" s="151" t="s">
        <v>526</v>
      </c>
      <c r="AD703" s="151" t="str">
        <f aca="false">CONCATENATE($C703,$I703,$H703,$N703,$J703,$K703)</f>
        <v>TUBO PEADPEAD90VCAREDESZona07</v>
      </c>
      <c r="AE703" s="153" t="n">
        <f aca="false">IFERROR(INDEX(APOIO_REDES!$A:$W,MATCH($C703&amp;$I703&amp;$H703&amp;$N703&amp;$O703,APOIO_REDES!$W:$W,0),MATCH(AE$5,APOIO_REDES!$5:$5,0)),0)</f>
        <v>1.2</v>
      </c>
      <c r="AF703" s="153" t="n">
        <f aca="false">IFERROR(INDEX(APOIO_REDES!$A:$W,MATCH($C703&amp;$I703&amp;$H703&amp;$N703&amp;$O703,APOIO_REDES!$W:$W,0),MATCH(AF$5,APOIO_REDES!$5:$5,0)),0)</f>
        <v>1.39</v>
      </c>
      <c r="AG703" s="153" t="n">
        <f aca="false">IFERROR(INDEX(APOIO_REDES!$A:$W,MATCH($C703&amp;$I703&amp;$H703&amp;$N703&amp;$O703,APOIO_REDES!$W:$W,0),MATCH(AG$5,APOIO_REDES!$5:$5,0)),0)</f>
        <v>0.75</v>
      </c>
      <c r="AH703" s="153" t="n">
        <f aca="false">IFERROR(INDEX(APOIO_REDES!$A:$W,MATCH($C703&amp;$I703&amp;$H703&amp;$N703&amp;$O703,APOIO_REDES!$W:$W,0),MATCH(AH$5,APOIO_REDES!$5:$5,0)),0)</f>
        <v>0.1</v>
      </c>
      <c r="AI703" s="153" t="n">
        <f aca="false">IFERROR(IF($H703&lt;&gt;"",(((($H703/1000)/2)^2)*PI()*$M703),0),0)</f>
        <v>1.00960577710252</v>
      </c>
      <c r="AJ703" s="153" t="n">
        <f aca="false">IFERROR(IF(AND($H703&lt;&gt;"",$I703="FoFo",OR($N703="MND",$N703="VCA"),$Q703="LINEAR"),0,IF(AND($H703&lt;&gt;"",$I703="PEAD",$N703="VCA",$Q703="LINEAR"),($H703/1000)+0.3,IF(AND($H703&lt;&gt;"",$I703="PEAD",$N703="MND",$Q703="EMBOQUE"),0,IF(AND($H703&lt;&gt;"",$I703="PVC",$N703="VCA",$Q703="LINEAR"),($H703/1000)+0.2,IF(AND($H703&lt;&gt;"",$I703="PVC",$N703="MND",$Q703="EMBOQUE"),0,IF(AND($H703&lt;&gt;"",$I703="PEAD",$N703="VCA",$Q703="PREDIAL"),0,0)))))),0)</f>
        <v>0.39</v>
      </c>
      <c r="AK703" s="153" t="n">
        <f aca="false">IF(AA703&lt;&gt;"",AA703,0)</f>
        <v>4.1</v>
      </c>
      <c r="AL703" s="153" t="n">
        <f aca="false">IF(AND($N703="MND",$Q703="EMBOQUE"),$M703,IF(AND($N703="VCA",$Q703="LINEAR"),$M703,IF(AND($N703="VCA",$Q703="PREDIAL"),0,0)))</f>
        <v>158.7</v>
      </c>
      <c r="AM703" s="153" t="n">
        <f aca="false">IF(AND($N703="MND",$Q703="EMBOQUE"),$M703,IF(AND($N703="VCA",$Q703="LINEAR"),$M703,IF(AND($N703="VCA",$Q703="PREDIAL"),0,0)))</f>
        <v>158.7</v>
      </c>
      <c r="AN703" s="153" t="n">
        <f aca="false">ROUND(IF(AND($N703="VCA",$M703&lt;&gt;"",$Q703="LINEAR"),$M703/100,IF(AND($N703="MND",$M703&gt;100,$Q703="EMBOQUE"),$M703/100,0)),0)</f>
        <v>2</v>
      </c>
      <c r="AO703" s="153" t="n">
        <f aca="false">IF(AND($N703="MND",$Q703="EMBOQUE"),$AN703*2*2,IF(AND($N703="VCA",$Q703="LINEAR"),$M703*2,IF(AND($N703="VCA",$Q703="PREDIAL"),0,0)))</f>
        <v>317.4</v>
      </c>
      <c r="AP703" s="153" t="n">
        <f aca="false">IFERROR($M703*$AF703*$AG703,0)</f>
        <v>165.44475</v>
      </c>
      <c r="AQ703" s="153" t="n">
        <f aca="false">IFERROR(IF(AND($N703="VCA",$AH703&gt;0),$M703*$AG703*$AH703,0),0)</f>
        <v>11.9025</v>
      </c>
      <c r="AR703" s="153" t="n">
        <f aca="false">IFERROR(IF(AND($N703="VCA",$AJ703&gt;0),($M703*$AG703*$AJ703)-$AI703,0),0)</f>
        <v>45.4101442228975</v>
      </c>
      <c r="AS703" s="153" t="n">
        <f aca="false">IFERROR(IF(AND($N703="VCA",$AP703&gt;0),$AP703-$AI703-$AQ703-$AR703,0),0)</f>
        <v>107.1225</v>
      </c>
      <c r="AT703" s="153" t="n">
        <f aca="false">IFERROR(IF($N703="VCA",INDEX(APOIO_REDES!$A:$W,MATCH($C703&amp;$I703&amp;$H703&amp;$N703&amp;$O703,APOIO_REDES!$W:$W,0),MATCH(AT$5,APOIO_REDES!$5:$5,0)),0)*$AP703,0)</f>
        <v>1.80008784914638</v>
      </c>
      <c r="AU703" s="153" t="n">
        <f aca="false">IFERROR(IF($N703="VCA",INDEX(APOIO_REDES!$A:$W,MATCH($C703&amp;$I703&amp;$H703&amp;$N703&amp;$O703,APOIO_REDES!$W:$W,0),MATCH(AU$5,APOIO_REDES!$5:$5,0)),0)*$AP703,0)</f>
        <v>1.43750140376652</v>
      </c>
      <c r="AV703" s="153" t="n">
        <f aca="false">IFERROR(IF($N703="VCA",INDEX(APOIO_REDES!$A:$W,MATCH($C703&amp;$I703&amp;$H703&amp;$N703&amp;$O703,APOIO_REDES!$W:$W,0),MATCH(AV$5,APOIO_REDES!$5:$5,0)),0)*$AP703,0)</f>
        <v>0.19893890945281</v>
      </c>
      <c r="AW703" s="153" t="n">
        <f aca="false">IFERROR(IF($N703="VCA",INDEX(APOIO_REDES!$A:$W,MATCH($C703&amp;$I703&amp;$H703&amp;$N703&amp;$O703,APOIO_REDES!$W:$W,0),MATCH(AW$5,APOIO_REDES!$5:$5,0)),0)*$AP703,0)</f>
        <v>113.562558328478</v>
      </c>
      <c r="AX703" s="153" t="n">
        <f aca="false">IFERROR(IF($N703="VCA",INDEX(APOIO_REDES!$A:$W,MATCH($C703&amp;$I703&amp;$H703&amp;$N703&amp;$O703,APOIO_REDES!$W:$W,0),MATCH(AX$5,APOIO_REDES!$5:$5,0)),0)*$AP703,0)</f>
        <v>15.7167345835907</v>
      </c>
      <c r="AY703" s="153" t="n">
        <f aca="false">IFERROR(IF($N703="VCA",INDEX(APOIO_REDES!$A:$W,MATCH($C703&amp;$I703&amp;$H703&amp;$N703&amp;$O703,APOIO_REDES!$W:$W,0),MATCH(AY$5,APOIO_REDES!$5:$5,0)),0)*$AP703,0)</f>
        <v>28.7500105523047</v>
      </c>
      <c r="AZ703" s="153" t="n">
        <f aca="false">IFERROR(IF($N703="VCA",INDEX(APOIO_REDES!$A:$W,MATCH($C703&amp;$I703&amp;$H703&amp;$N703&amp;$O703,APOIO_REDES!$W:$W,0),MATCH(AZ$5,APOIO_REDES!$5:$5,0)),0)*$AP703,0)</f>
        <v>3.97891837326087</v>
      </c>
      <c r="BA703" s="153" t="n">
        <f aca="false">IFERROR(IF(AND($N703="VCA",$Q703="LINEAR"),INDEX(APOIO_REDES!$A:$W,MATCH($C703&amp;$I703&amp;$H703&amp;$N703&amp;$O703,APOIO_REDES!$W:$W,0),MATCH(BA$5,APOIO_REDES!$5:$5,0)),IF(AND($N703="MND",$Q703="EMBOQUE"),INDEX(APOIO_REDES!$A:$W,MATCH($C703&amp;$I703&amp;$H703&amp;$N703&amp;$O703,APOIO_REDES!$W:$W,0),MATCH(BA$5,APOIO_REDES!$5:$5,0)),0))*$M703/10,0)</f>
        <v>12.7908196919111</v>
      </c>
      <c r="BB703" s="153" t="n">
        <f aca="false">IFERROR(IF($N703="VCA",INDEX(APOIO_REDES!$A:$W,MATCH($C703&amp;$I703&amp;$H703&amp;$N703&amp;$O703,APOIO_REDES!$W:$W,0),MATCH(BB$5,APOIO_REDES!$5:$5,0)),0)*($AI703+$AQ703+$AR703),0)</f>
        <v>57.6876866574952</v>
      </c>
      <c r="BC703" s="153" t="n">
        <f aca="false">IFERROR(IF($N703="VCA",INDEX(APOIO_REDES!$A:$W,MATCH($C703&amp;$I703&amp;$H703&amp;$N703&amp;$O703,APOIO_REDES!$W:$W,0),MATCH(BC$5,APOIO_REDES!$5:$5,0)),0)*($AI703+$AQ703+$AR703),0)</f>
        <v>0.634563342504837</v>
      </c>
      <c r="BD703" s="153" t="n">
        <f aca="false">IF(AND($N703="VCA",$AF703&gt;=1.25,$AF703&lt;1.5),$M703*$AF703*2,0)</f>
        <v>441.186</v>
      </c>
      <c r="BE703" s="153" t="n">
        <f aca="false">IF(AND($N703="VCA",$AF703&gt;=1.5,$AF703&lt;3),$M703*$AF703*2,0)</f>
        <v>0</v>
      </c>
      <c r="BF703" s="153" t="n">
        <f aca="false">IF(AND($N703="VCA",$AF703&gt;=3),$M703*$AF703*2,0)</f>
        <v>0</v>
      </c>
      <c r="BG703" s="153" t="n">
        <f aca="false">($BB703+$BC703)*$AK703</f>
        <v>239.121225</v>
      </c>
      <c r="BH703" s="153" t="n">
        <f aca="false">IF(AND($M703&lt;&gt;"",$N703="VCA",$Q703="LINEAR"),($M703*2)/100,IF(AND($M703&lt;&gt;"",$N703="MND",$Q703="EMBOQUE"),($AN703*2)/100,0))</f>
        <v>3.174</v>
      </c>
      <c r="BI703" s="153" t="n">
        <f aca="false">IF(AND($M703&lt;&gt;"",$N703="VCA",$Q703="LINEAR"),$M703,IF(AND($M703&lt;&gt;"",$N703="MND",$Q703="EMBOQUE"),$AN703*2,0))</f>
        <v>158.7</v>
      </c>
      <c r="BJ703" s="153" t="n">
        <f aca="false">IF(AND($M703&lt;&gt;"",$N703="VCA",$Q703="LINEAR"),($M703*6.8)/100,IF(AND($M703&lt;&gt;"",$N703="MND",$Q703="EMBOQUE"),($AN703*2*6.8)/100,0))</f>
        <v>10.7916</v>
      </c>
      <c r="BK703" s="153" t="n">
        <f aca="false">IF(AND($M703&lt;&gt;"",$N703="VCA",$Q703="LINEAR"),($M703*2.5)/50,IF(AND($M703&lt;&gt;"",$N703="MND",$Q703="EMBOQUE"),($AN703*2*2.5)/50,0))</f>
        <v>7.935</v>
      </c>
      <c r="BL703" s="157" t="str">
        <f aca="false">K703&amp;J703</f>
        <v>Zona07REDES</v>
      </c>
      <c r="BM703" s="152" t="s">
        <v>4225</v>
      </c>
      <c r="BN703" s="152" t="s">
        <v>1560</v>
      </c>
      <c r="BO703" s="152" t="s">
        <v>4004</v>
      </c>
      <c r="BP703" s="152" t="s">
        <v>4226</v>
      </c>
      <c r="BQ703" s="152" t="s">
        <v>4227</v>
      </c>
      <c r="BR703" s="152" t="s">
        <v>4228</v>
      </c>
      <c r="BS703" s="152" t="n">
        <v>203649.914</v>
      </c>
      <c r="BT703" s="152" t="n">
        <v>8236725.035</v>
      </c>
      <c r="BU703" s="152" t="n">
        <v>203528.422</v>
      </c>
      <c r="BV703" s="152" t="n">
        <v>8236692.718</v>
      </c>
      <c r="BW703" s="152" t="n">
        <v>-15.9308961</v>
      </c>
      <c r="BX703" s="152" t="n">
        <v>-47.7685285</v>
      </c>
      <c r="BY703" s="152" t="s">
        <v>4226</v>
      </c>
    </row>
    <row r="704" customFormat="false" ht="13.8" hidden="false" customHeight="false" outlineLevel="0" collapsed="false">
      <c r="A704" s="149" t="n">
        <f aca="false">IF(C704&lt;&gt;"",ROW(A699),"")</f>
        <v>699</v>
      </c>
      <c r="B704" s="150" t="str">
        <f aca="false">HYPERLINK("https://www.google.com/maps/dir/-15.917302,-47.760003/-15.9313911,-47.7676716/data=!4m3!4m2!3e0!5i2")</f>
        <v>https://www.google.com/maps/dir/-15.917302,-47.760003/-15.9313911,-47.7676716/data=!4m3!4m2!3e0!5i2</v>
      </c>
      <c r="C704" s="151" t="s">
        <v>117</v>
      </c>
      <c r="D704" s="152" t="s">
        <v>112</v>
      </c>
      <c r="E704" s="152" t="s">
        <v>113</v>
      </c>
      <c r="F704" s="152" t="s">
        <v>117</v>
      </c>
      <c r="G704" s="152" t="s">
        <v>782</v>
      </c>
      <c r="H704" s="152" t="n">
        <v>90</v>
      </c>
      <c r="I704" s="152" t="s">
        <v>115</v>
      </c>
      <c r="J704" s="152" t="s">
        <v>6</v>
      </c>
      <c r="K704" s="152" t="s">
        <v>4221</v>
      </c>
      <c r="L704" s="152" t="s">
        <v>120</v>
      </c>
      <c r="M704" s="153" t="n">
        <f aca="false">49.54</f>
        <v>49.54</v>
      </c>
      <c r="N704" s="152" t="s">
        <v>1548</v>
      </c>
      <c r="O704" s="152" t="s">
        <v>1549</v>
      </c>
      <c r="P704" s="152" t="s">
        <v>1550</v>
      </c>
      <c r="Q704" s="152" t="s">
        <v>1551</v>
      </c>
      <c r="R704" s="154" t="s">
        <v>4229</v>
      </c>
      <c r="S704" s="154" t="s">
        <v>1593</v>
      </c>
      <c r="T704" s="155" t="s">
        <v>4002</v>
      </c>
      <c r="U704" s="152" t="str">
        <f aca="false">RIGHT(T704,7)</f>
        <v>015/037</v>
      </c>
      <c r="V704" s="152" t="s">
        <v>1555</v>
      </c>
      <c r="W704" s="156" t="n">
        <v>45882</v>
      </c>
      <c r="X704" s="152" t="s">
        <v>1594</v>
      </c>
      <c r="Y704" s="152" t="s">
        <v>2323</v>
      </c>
      <c r="Z704" s="152" t="s">
        <v>1557</v>
      </c>
      <c r="AA704" s="153" t="n">
        <v>4</v>
      </c>
      <c r="AB704" s="151" t="s">
        <v>4230</v>
      </c>
      <c r="AC704" s="151" t="s">
        <v>526</v>
      </c>
      <c r="AD704" s="151" t="str">
        <f aca="false">CONCATENATE($C704,$I704,$H704,$N704,$J704,$K704)</f>
        <v>TUBO PEADPEAD90VCAREDESZona07</v>
      </c>
      <c r="AE704" s="153" t="n">
        <f aca="false">IFERROR(INDEX(APOIO_REDES!$A:$W,MATCH($C704&amp;$I704&amp;$H704&amp;$N704&amp;$O704,APOIO_REDES!$W:$W,0),MATCH(AE$5,APOIO_REDES!$5:$5,0)),0)</f>
        <v>1.2</v>
      </c>
      <c r="AF704" s="153" t="n">
        <f aca="false">IFERROR(INDEX(APOIO_REDES!$A:$W,MATCH($C704&amp;$I704&amp;$H704&amp;$N704&amp;$O704,APOIO_REDES!$W:$W,0),MATCH(AF$5,APOIO_REDES!$5:$5,0)),0)</f>
        <v>1.39</v>
      </c>
      <c r="AG704" s="153" t="n">
        <f aca="false">IFERROR(INDEX(APOIO_REDES!$A:$W,MATCH($C704&amp;$I704&amp;$H704&amp;$N704&amp;$O704,APOIO_REDES!$W:$W,0),MATCH(AG$5,APOIO_REDES!$5:$5,0)),0)</f>
        <v>0.75</v>
      </c>
      <c r="AH704" s="153" t="n">
        <f aca="false">IFERROR(INDEX(APOIO_REDES!$A:$W,MATCH($C704&amp;$I704&amp;$H704&amp;$N704&amp;$O704,APOIO_REDES!$W:$W,0),MATCH(AH$5,APOIO_REDES!$5:$5,0)),0)</f>
        <v>0.1</v>
      </c>
      <c r="AI704" s="153" t="n">
        <f aca="false">IFERROR(IF($H704&lt;&gt;"",(((($H704/1000)/2)^2)*PI()*$M704),0),0)</f>
        <v>0.315159862619148</v>
      </c>
      <c r="AJ704" s="153" t="n">
        <f aca="false">IFERROR(IF(AND($H704&lt;&gt;"",$I704="FoFo",OR($N704="MND",$N704="VCA"),$Q704="LINEAR"),0,IF(AND($H704&lt;&gt;"",$I704="PEAD",$N704="VCA",$Q704="LINEAR"),($H704/1000)+0.3,IF(AND($H704&lt;&gt;"",$I704="PEAD",$N704="MND",$Q704="EMBOQUE"),0,IF(AND($H704&lt;&gt;"",$I704="PVC",$N704="VCA",$Q704="LINEAR"),($H704/1000)+0.2,IF(AND($H704&lt;&gt;"",$I704="PVC",$N704="MND",$Q704="EMBOQUE"),0,IF(AND($H704&lt;&gt;"",$I704="PEAD",$N704="VCA",$Q704="PREDIAL"),0,0)))))),0)</f>
        <v>0.39</v>
      </c>
      <c r="AK704" s="153" t="n">
        <f aca="false">IF(AA704&lt;&gt;"",AA704,0)</f>
        <v>4</v>
      </c>
      <c r="AL704" s="153" t="n">
        <f aca="false">IF(AND($N704="MND",$Q704="EMBOQUE"),$M704,IF(AND($N704="VCA",$Q704="LINEAR"),$M704,IF(AND($N704="VCA",$Q704="PREDIAL"),0,0)))</f>
        <v>49.54</v>
      </c>
      <c r="AM704" s="153" t="n">
        <f aca="false">IF(AND($N704="MND",$Q704="EMBOQUE"),$M704,IF(AND($N704="VCA",$Q704="LINEAR"),$M704,IF(AND($N704="VCA",$Q704="PREDIAL"),0,0)))</f>
        <v>49.54</v>
      </c>
      <c r="AN704" s="153" t="n">
        <f aca="false">ROUND(IF(AND($N704="VCA",$M704&lt;&gt;"",$Q704="LINEAR"),$M704/100,IF(AND($N704="MND",$M704&gt;100,$Q704="EMBOQUE"),$M704/100,0)),0)</f>
        <v>0</v>
      </c>
      <c r="AO704" s="153" t="n">
        <f aca="false">IF(AND($N704="MND",$Q704="EMBOQUE"),$AN704*2*2,IF(AND($N704="VCA",$Q704="LINEAR"),$M704*2,IF(AND($N704="VCA",$Q704="PREDIAL"),0,0)))</f>
        <v>99.08</v>
      </c>
      <c r="AP704" s="153" t="n">
        <f aca="false">IFERROR($M704*$AF704*$AG704,0)</f>
        <v>51.64545</v>
      </c>
      <c r="AQ704" s="153" t="n">
        <f aca="false">IFERROR(IF(AND($N704="VCA",$AH704&gt;0),$M704*$AG704*$AH704,0),0)</f>
        <v>3.7155</v>
      </c>
      <c r="AR704" s="153" t="n">
        <f aca="false">IFERROR(IF(AND($N704="VCA",$AJ704&gt;0),($M704*$AG704*$AJ704)-$AI704,0),0)</f>
        <v>14.1752901373809</v>
      </c>
      <c r="AS704" s="153" t="n">
        <f aca="false">IFERROR(IF(AND($N704="VCA",$AP704&gt;0),$AP704-$AI704-$AQ704-$AR704,0),0)</f>
        <v>33.4395</v>
      </c>
      <c r="AT704" s="153" t="n">
        <f aca="false">IFERROR(IF($N704="VCA",INDEX(APOIO_REDES!$A:$W,MATCH($C704&amp;$I704&amp;$H704&amp;$N704&amp;$O704,APOIO_REDES!$W:$W,0),MATCH(AT$5,APOIO_REDES!$5:$5,0)),0)*$AP704,0)</f>
        <v>0.561917782272914</v>
      </c>
      <c r="AU704" s="153" t="n">
        <f aca="false">IFERROR(IF($N704="VCA",INDEX(APOIO_REDES!$A:$W,MATCH($C704&amp;$I704&amp;$H704&amp;$N704&amp;$O704,APOIO_REDES!$W:$W,0),MATCH(AU$5,APOIO_REDES!$5:$5,0)),0)*$AP704,0)</f>
        <v>0.448732322259567</v>
      </c>
      <c r="AV704" s="153" t="n">
        <f aca="false">IFERROR(IF($N704="VCA",INDEX(APOIO_REDES!$A:$W,MATCH($C704&amp;$I704&amp;$H704&amp;$N704&amp;$O704,APOIO_REDES!$W:$W,0),MATCH(AV$5,APOIO_REDES!$5:$5,0)),0)*$AP704,0)</f>
        <v>0.0621010307138765</v>
      </c>
      <c r="AW704" s="153" t="n">
        <f aca="false">IFERROR(IF($N704="VCA",INDEX(APOIO_REDES!$A:$W,MATCH($C704&amp;$I704&amp;$H704&amp;$N704&amp;$O704,APOIO_REDES!$W:$W,0),MATCH(AW$5,APOIO_REDES!$5:$5,0)),0)*$AP704,0)</f>
        <v>35.4498370484739</v>
      </c>
      <c r="AX704" s="153" t="n">
        <f aca="false">IFERROR(IF($N704="VCA",INDEX(APOIO_REDES!$A:$W,MATCH($C704&amp;$I704&amp;$H704&amp;$N704&amp;$O704,APOIO_REDES!$W:$W,0),MATCH(AX$5,APOIO_REDES!$5:$5,0)),0)*$AP704,0)</f>
        <v>4.90615646673649</v>
      </c>
      <c r="AY704" s="153" t="n">
        <f aca="false">IFERROR(IF($N704="VCA",INDEX(APOIO_REDES!$A:$W,MATCH($C704&amp;$I704&amp;$H704&amp;$N704&amp;$O704,APOIO_REDES!$W:$W,0),MATCH(AY$5,APOIO_REDES!$5:$5,0)),0)*$AP704,0)</f>
        <v>8.9746409751807</v>
      </c>
      <c r="AZ704" s="153" t="n">
        <f aca="false">IFERROR(IF($N704="VCA",INDEX(APOIO_REDES!$A:$W,MATCH($C704&amp;$I704&amp;$H704&amp;$N704&amp;$O704,APOIO_REDES!$W:$W,0),MATCH(AZ$5,APOIO_REDES!$5:$5,0)),0)*$AP704,0)</f>
        <v>1.24206437436259</v>
      </c>
      <c r="BA704" s="153" t="n">
        <f aca="false">IFERROR(IF(AND($N704="VCA",$Q704="LINEAR"),INDEX(APOIO_REDES!$A:$W,MATCH($C704&amp;$I704&amp;$H704&amp;$N704&amp;$O704,APOIO_REDES!$W:$W,0),MATCH(BA$5,APOIO_REDES!$5:$5,0)),IF(AND($N704="MND",$Q704="EMBOQUE"),INDEX(APOIO_REDES!$A:$W,MATCH($C704&amp;$I704&amp;$H704&amp;$N704&amp;$O704,APOIO_REDES!$W:$W,0),MATCH(BA$5,APOIO_REDES!$5:$5,0)),0))*$M704/10,0)</f>
        <v>3.99279903930232</v>
      </c>
      <c r="BB704" s="153" t="n">
        <f aca="false">IFERROR(IF($N704="VCA",INDEX(APOIO_REDES!$A:$W,MATCH($C704&amp;$I704&amp;$H704&amp;$N704&amp;$O704,APOIO_REDES!$W:$W,0),MATCH(BB$5,APOIO_REDES!$5:$5,0)),0)*($AI704+$AQ704+$AR704),0)</f>
        <v>18.0078638753139</v>
      </c>
      <c r="BC704" s="153" t="n">
        <f aca="false">IFERROR(IF($N704="VCA",INDEX(APOIO_REDES!$A:$W,MATCH($C704&amp;$I704&amp;$H704&amp;$N704&amp;$O704,APOIO_REDES!$W:$W,0),MATCH(BC$5,APOIO_REDES!$5:$5,0)),0)*($AI704+$AQ704+$AR704),0)</f>
        <v>0.198086124686135</v>
      </c>
      <c r="BD704" s="153" t="n">
        <f aca="false">IF(AND($N704="VCA",$AF704&gt;=1.25,$AF704&lt;1.5),$M704*$AF704*2,0)</f>
        <v>137.7212</v>
      </c>
      <c r="BE704" s="153" t="n">
        <f aca="false">IF(AND($N704="VCA",$AF704&gt;=1.5,$AF704&lt;3),$M704*$AF704*2,0)</f>
        <v>0</v>
      </c>
      <c r="BF704" s="153" t="n">
        <f aca="false">IF(AND($N704="VCA",$AF704&gt;=3),$M704*$AF704*2,0)</f>
        <v>0</v>
      </c>
      <c r="BG704" s="153" t="n">
        <f aca="false">($BB704+$BC704)*$AK704</f>
        <v>72.8238</v>
      </c>
      <c r="BH704" s="153" t="n">
        <f aca="false">IF(AND($M704&lt;&gt;"",$N704="VCA",$Q704="LINEAR"),($M704*2)/100,IF(AND($M704&lt;&gt;"",$N704="MND",$Q704="EMBOQUE"),($AN704*2)/100,0))</f>
        <v>0.9908</v>
      </c>
      <c r="BI704" s="153" t="n">
        <f aca="false">IF(AND($M704&lt;&gt;"",$N704="VCA",$Q704="LINEAR"),$M704,IF(AND($M704&lt;&gt;"",$N704="MND",$Q704="EMBOQUE"),$AN704*2,0))</f>
        <v>49.54</v>
      </c>
      <c r="BJ704" s="153" t="n">
        <f aca="false">IF(AND($M704&lt;&gt;"",$N704="VCA",$Q704="LINEAR"),($M704*6.8)/100,IF(AND($M704&lt;&gt;"",$N704="MND",$Q704="EMBOQUE"),($AN704*2*6.8)/100,0))</f>
        <v>3.36872</v>
      </c>
      <c r="BK704" s="153" t="n">
        <f aca="false">IF(AND($M704&lt;&gt;"",$N704="VCA",$Q704="LINEAR"),($M704*2.5)/50,IF(AND($M704&lt;&gt;"",$N704="MND",$Q704="EMBOQUE"),($AN704*2*2.5)/50,0))</f>
        <v>2.477</v>
      </c>
      <c r="BL704" s="157" t="str">
        <f aca="false">K704&amp;J704</f>
        <v>Zona07REDES</v>
      </c>
      <c r="BM704" s="152" t="s">
        <v>4225</v>
      </c>
      <c r="BN704" s="152" t="s">
        <v>1560</v>
      </c>
      <c r="BO704" s="152" t="s">
        <v>4004</v>
      </c>
      <c r="BP704" s="152" t="s">
        <v>4231</v>
      </c>
      <c r="BQ704" s="152" t="s">
        <v>4226</v>
      </c>
      <c r="BR704" s="152" t="s">
        <v>4232</v>
      </c>
      <c r="BS704" s="152" t="n">
        <v>203682.659</v>
      </c>
      <c r="BT704" s="152" t="n">
        <v>8236687.939</v>
      </c>
      <c r="BU704" s="152" t="n">
        <v>203649.914</v>
      </c>
      <c r="BV704" s="152" t="n">
        <v>8236725.035</v>
      </c>
      <c r="BW704" s="152" t="n">
        <v>-15.9312297</v>
      </c>
      <c r="BX704" s="152" t="n">
        <v>-47.7678331</v>
      </c>
      <c r="BY704" s="152" t="s">
        <v>4231</v>
      </c>
    </row>
    <row r="705" customFormat="false" ht="13.8" hidden="false" customHeight="false" outlineLevel="0" collapsed="false">
      <c r="A705" s="149" t="n">
        <f aca="false">IF(C705&lt;&gt;"",ROW(A700),"")</f>
        <v>700</v>
      </c>
      <c r="B705" s="150" t="str">
        <f aca="false">HYPERLINK("https://www.google.com/maps/dir/-15.917302,-47.760003/-15.9312529,-47.7691370/data=!4m3!4m2!3e0!5i1")</f>
        <v>https://www.google.com/maps/dir/-15.917302,-47.760003/-15.9312529,-47.7691370/data=!4m3!4m2!3e0!5i1</v>
      </c>
      <c r="C705" s="151" t="s">
        <v>117</v>
      </c>
      <c r="D705" s="152" t="s">
        <v>112</v>
      </c>
      <c r="E705" s="152" t="s">
        <v>113</v>
      </c>
      <c r="F705" s="152" t="s">
        <v>117</v>
      </c>
      <c r="G705" s="152" t="s">
        <v>114</v>
      </c>
      <c r="H705" s="152" t="n">
        <v>160</v>
      </c>
      <c r="I705" s="152" t="s">
        <v>115</v>
      </c>
      <c r="J705" s="152" t="s">
        <v>6</v>
      </c>
      <c r="K705" s="152" t="s">
        <v>4221</v>
      </c>
      <c r="L705" s="152" t="s">
        <v>120</v>
      </c>
      <c r="M705" s="153" t="n">
        <f aca="false">2.78</f>
        <v>2.78</v>
      </c>
      <c r="N705" s="152" t="s">
        <v>1548</v>
      </c>
      <c r="O705" s="152" t="s">
        <v>1549</v>
      </c>
      <c r="P705" s="152" t="s">
        <v>1550</v>
      </c>
      <c r="Q705" s="152" t="s">
        <v>1551</v>
      </c>
      <c r="R705" s="154" t="s">
        <v>4233</v>
      </c>
      <c r="S705" s="154" t="s">
        <v>1593</v>
      </c>
      <c r="T705" s="155" t="s">
        <v>4002</v>
      </c>
      <c r="U705" s="152" t="str">
        <f aca="false">RIGHT(T705,7)</f>
        <v>015/037</v>
      </c>
      <c r="V705" s="152" t="s">
        <v>1555</v>
      </c>
      <c r="W705" s="156" t="n">
        <v>45882</v>
      </c>
      <c r="X705" s="152" t="s">
        <v>1594</v>
      </c>
      <c r="Y705" s="152" t="s">
        <v>4030</v>
      </c>
      <c r="Z705" s="152" t="s">
        <v>1557</v>
      </c>
      <c r="AA705" s="153" t="n">
        <v>4.5</v>
      </c>
      <c r="AB705" s="151" t="s">
        <v>4234</v>
      </c>
      <c r="AC705" s="151" t="s">
        <v>505</v>
      </c>
      <c r="AD705" s="151" t="str">
        <f aca="false">CONCATENATE($C705,$I705,$H705,$N705,$J705,$K705)</f>
        <v>TUBO PEADPEAD160VCAREDESZona07</v>
      </c>
      <c r="AE705" s="153" t="n">
        <f aca="false">IFERROR(INDEX(APOIO_REDES!$A:$W,MATCH($C705&amp;$I705&amp;$H705&amp;$N705&amp;$O705,APOIO_REDES!$W:$W,0),MATCH(AE$5,APOIO_REDES!$5:$5,0)),0)</f>
        <v>1.2</v>
      </c>
      <c r="AF705" s="153" t="n">
        <f aca="false">IFERROR(INDEX(APOIO_REDES!$A:$W,MATCH($C705&amp;$I705&amp;$H705&amp;$N705&amp;$O705,APOIO_REDES!$W:$W,0),MATCH(AF$5,APOIO_REDES!$5:$5,0)),0)</f>
        <v>1.46</v>
      </c>
      <c r="AG705" s="153" t="n">
        <f aca="false">IFERROR(INDEX(APOIO_REDES!$A:$W,MATCH($C705&amp;$I705&amp;$H705&amp;$N705&amp;$O705,APOIO_REDES!$W:$W,0),MATCH(AG$5,APOIO_REDES!$5:$5,0)),0)</f>
        <v>0.75</v>
      </c>
      <c r="AH705" s="153" t="n">
        <f aca="false">IFERROR(INDEX(APOIO_REDES!$A:$W,MATCH($C705&amp;$I705&amp;$H705&amp;$N705&amp;$O705,APOIO_REDES!$W:$W,0),MATCH(AH$5,APOIO_REDES!$5:$5,0)),0)</f>
        <v>0.1</v>
      </c>
      <c r="AI705" s="153" t="n">
        <f aca="false">IFERROR(IF($H705&lt;&gt;"",(((($H705/1000)/2)^2)*PI()*$M705),0),0)</f>
        <v>0.0558952164926696</v>
      </c>
      <c r="AJ705" s="153" t="n">
        <f aca="false">IFERROR(IF(AND($H705&lt;&gt;"",$I705="FoFo",OR($N705="MND",$N705="VCA"),$Q705="LINEAR"),0,IF(AND($H705&lt;&gt;"",$I705="PEAD",$N705="VCA",$Q705="LINEAR"),($H705/1000)+0.3,IF(AND($H705&lt;&gt;"",$I705="PEAD",$N705="MND",$Q705="EMBOQUE"),0,IF(AND($H705&lt;&gt;"",$I705="PVC",$N705="VCA",$Q705="LINEAR"),($H705/1000)+0.2,IF(AND($H705&lt;&gt;"",$I705="PVC",$N705="MND",$Q705="EMBOQUE"),0,IF(AND($H705&lt;&gt;"",$I705="PEAD",$N705="VCA",$Q705="PREDIAL"),0,0)))))),0)</f>
        <v>0.46</v>
      </c>
      <c r="AK705" s="153" t="n">
        <f aca="false">IF(AA705&lt;&gt;"",AA705,0)</f>
        <v>4.5</v>
      </c>
      <c r="AL705" s="153" t="n">
        <f aca="false">IF(AND($N705="MND",$Q705="EMBOQUE"),$M705,IF(AND($N705="VCA",$Q705="LINEAR"),$M705,IF(AND($N705="VCA",$Q705="PREDIAL"),0,0)))</f>
        <v>2.78</v>
      </c>
      <c r="AM705" s="153" t="n">
        <f aca="false">IF(AND($N705="MND",$Q705="EMBOQUE"),$M705,IF(AND($N705="VCA",$Q705="LINEAR"),$M705,IF(AND($N705="VCA",$Q705="PREDIAL"),0,0)))</f>
        <v>2.78</v>
      </c>
      <c r="AN705" s="153" t="n">
        <f aca="false">ROUND(IF(AND($N705="VCA",$M705&lt;&gt;"",$Q705="LINEAR"),$M705/100,IF(AND($N705="MND",$M705&gt;100,$Q705="EMBOQUE"),$M705/100,0)),0)</f>
        <v>0</v>
      </c>
      <c r="AO705" s="153" t="n">
        <f aca="false">IF(AND($N705="MND",$Q705="EMBOQUE"),$AN705*2*2,IF(AND($N705="VCA",$Q705="LINEAR"),$M705*2,IF(AND($N705="VCA",$Q705="PREDIAL"),0,0)))</f>
        <v>5.56</v>
      </c>
      <c r="AP705" s="153" t="n">
        <f aca="false">IFERROR($M705*$AF705*$AG705,0)</f>
        <v>3.0441</v>
      </c>
      <c r="AQ705" s="153" t="n">
        <f aca="false">IFERROR(IF(AND($N705="VCA",$AH705&gt;0),$M705*$AG705*$AH705,0),0)</f>
        <v>0.2085</v>
      </c>
      <c r="AR705" s="153" t="n">
        <f aca="false">IFERROR(IF(AND($N705="VCA",$AJ705&gt;0),($M705*$AG705*$AJ705)-$AI705,0),0)</f>
        <v>0.90320478350733</v>
      </c>
      <c r="AS705" s="153" t="n">
        <f aca="false">IFERROR(IF(AND($N705="VCA",$AP705&gt;0),$AP705-$AI705-$AQ705-$AR705,0),0)</f>
        <v>1.8765</v>
      </c>
      <c r="AT705" s="153" t="n">
        <f aca="false">IFERROR(IF($N705="VCA",INDEX(APOIO_REDES!$A:$W,MATCH($C705&amp;$I705&amp;$H705&amp;$N705&amp;$O705,APOIO_REDES!$W:$W,0),MATCH(AT$5,APOIO_REDES!$5:$5,0)),0)*$AP705,0)</f>
        <v>0.0331207090076082</v>
      </c>
      <c r="AU705" s="153" t="n">
        <f aca="false">IFERROR(IF($N705="VCA",INDEX(APOIO_REDES!$A:$W,MATCH($C705&amp;$I705&amp;$H705&amp;$N705&amp;$O705,APOIO_REDES!$W:$W,0),MATCH(AU$5,APOIO_REDES!$5:$5,0)),0)*$AP705,0)</f>
        <v>0.0264493011909151</v>
      </c>
      <c r="AV705" s="153" t="n">
        <f aca="false">IFERROR(IF($N705="VCA",INDEX(APOIO_REDES!$A:$W,MATCH($C705&amp;$I705&amp;$H705&amp;$N705&amp;$O705,APOIO_REDES!$W:$W,0),MATCH(AV$5,APOIO_REDES!$5:$5,0)),0)*$AP705,0)</f>
        <v>0.00366037564966733</v>
      </c>
      <c r="AW705" s="153" t="n">
        <f aca="false">IFERROR(IF($N705="VCA",INDEX(APOIO_REDES!$A:$W,MATCH($C705&amp;$I705&amp;$H705&amp;$N705&amp;$O705,APOIO_REDES!$W:$W,0),MATCH(AW$5,APOIO_REDES!$5:$5,0)),0)*$AP705,0)</f>
        <v>2.08949382683778</v>
      </c>
      <c r="AX705" s="153" t="n">
        <f aca="false">IFERROR(IF($N705="VCA",INDEX(APOIO_REDES!$A:$W,MATCH($C705&amp;$I705&amp;$H705&amp;$N705&amp;$O705,APOIO_REDES!$W:$W,0),MATCH(AX$5,APOIO_REDES!$5:$5,0)),0)*$AP705,0)</f>
        <v>0.289179993598518</v>
      </c>
      <c r="AY705" s="153" t="n">
        <f aca="false">IFERROR(IF($N705="VCA",INDEX(APOIO_REDES!$A:$W,MATCH($C705&amp;$I705&amp;$H705&amp;$N705&amp;$O705,APOIO_REDES!$W:$W,0),MATCH(AY$5,APOIO_REDES!$5:$5,0)),0)*$AP705,0)</f>
        <v>0.528985701403465</v>
      </c>
      <c r="AZ705" s="153" t="n">
        <f aca="false">IFERROR(IF($N705="VCA",INDEX(APOIO_REDES!$A:$W,MATCH($C705&amp;$I705&amp;$H705&amp;$N705&amp;$O705,APOIO_REDES!$W:$W,0),MATCH(AZ$5,APOIO_REDES!$5:$5,0)),0)*$AP705,0)</f>
        <v>0.0732100923120462</v>
      </c>
      <c r="BA705" s="153" t="n">
        <f aca="false">IFERROR(IF(AND($N705="VCA",$Q705="LINEAR"),INDEX(APOIO_REDES!$A:$W,MATCH($C705&amp;$I705&amp;$H705&amp;$N705&amp;$O705,APOIO_REDES!$W:$W,0),MATCH(BA$5,APOIO_REDES!$5:$5,0)),IF(AND($N705="MND",$Q705="EMBOQUE"),INDEX(APOIO_REDES!$A:$W,MATCH($C705&amp;$I705&amp;$H705&amp;$N705&amp;$O705,APOIO_REDES!$W:$W,0),MATCH(BA$5,APOIO_REDES!$5:$5,0)),0))*$M705/10,0)</f>
        <v>0.224060987671789</v>
      </c>
      <c r="BB705" s="153" t="n">
        <f aca="false">IFERROR(IF($N705="VCA",INDEX(APOIO_REDES!$A:$W,MATCH($C705&amp;$I705&amp;$H705&amp;$N705&amp;$O705,APOIO_REDES!$W:$W,0),MATCH(BB$5,APOIO_REDES!$5:$5,0)),0)*($AI705+$AQ705+$AR705),0)</f>
        <v>1.15489616640804</v>
      </c>
      <c r="BC705" s="153" t="n">
        <f aca="false">IFERROR(IF($N705="VCA",INDEX(APOIO_REDES!$A:$W,MATCH($C705&amp;$I705&amp;$H705&amp;$N705&amp;$O705,APOIO_REDES!$W:$W,0),MATCH(BC$5,APOIO_REDES!$5:$5,0)),0)*($AI705+$AQ705+$AR705),0)</f>
        <v>0.0127038335919593</v>
      </c>
      <c r="BD705" s="153" t="n">
        <f aca="false">IF(AND($N705="VCA",$AF705&gt;=1.25,$AF705&lt;1.5),$M705*$AF705*2,0)</f>
        <v>8.1176</v>
      </c>
      <c r="BE705" s="153" t="n">
        <f aca="false">IF(AND($N705="VCA",$AF705&gt;=1.5,$AF705&lt;3),$M705*$AF705*2,0)</f>
        <v>0</v>
      </c>
      <c r="BF705" s="153" t="n">
        <f aca="false">IF(AND($N705="VCA",$AF705&gt;=3),$M705*$AF705*2,0)</f>
        <v>0</v>
      </c>
      <c r="BG705" s="153" t="n">
        <f aca="false">($BB705+$BC705)*$AK705</f>
        <v>5.2542</v>
      </c>
      <c r="BH705" s="153" t="n">
        <f aca="false">IF(AND($M705&lt;&gt;"",$N705="VCA",$Q705="LINEAR"),($M705*2)/100,IF(AND($M705&lt;&gt;"",$N705="MND",$Q705="EMBOQUE"),($AN705*2)/100,0))</f>
        <v>0.0556</v>
      </c>
      <c r="BI705" s="153" t="n">
        <f aca="false">IF(AND($M705&lt;&gt;"",$N705="VCA",$Q705="LINEAR"),$M705,IF(AND($M705&lt;&gt;"",$N705="MND",$Q705="EMBOQUE"),$AN705*2,0))</f>
        <v>2.78</v>
      </c>
      <c r="BJ705" s="153" t="n">
        <f aca="false">IF(AND($M705&lt;&gt;"",$N705="VCA",$Q705="LINEAR"),($M705*6.8)/100,IF(AND($M705&lt;&gt;"",$N705="MND",$Q705="EMBOQUE"),($AN705*2*6.8)/100,0))</f>
        <v>0.18904</v>
      </c>
      <c r="BK705" s="153" t="n">
        <f aca="false">IF(AND($M705&lt;&gt;"",$N705="VCA",$Q705="LINEAR"),($M705*2.5)/50,IF(AND($M705&lt;&gt;"",$N705="MND",$Q705="EMBOQUE"),($AN705*2*2.5)/50,0))</f>
        <v>0.139</v>
      </c>
      <c r="BL705" s="157" t="str">
        <f aca="false">K705&amp;J705</f>
        <v>Zona07REDES</v>
      </c>
      <c r="BM705" s="152" t="s">
        <v>4225</v>
      </c>
      <c r="BN705" s="152" t="s">
        <v>1560</v>
      </c>
      <c r="BO705" s="152" t="s">
        <v>4004</v>
      </c>
      <c r="BP705" s="152" t="s">
        <v>4235</v>
      </c>
      <c r="BQ705" s="152" t="s">
        <v>4236</v>
      </c>
      <c r="BR705" s="152" t="s">
        <v>4237</v>
      </c>
      <c r="BS705" s="152" t="n">
        <v>203525.246</v>
      </c>
      <c r="BT705" s="152" t="n">
        <v>8236701.207</v>
      </c>
      <c r="BU705" s="152" t="n">
        <v>203526.195</v>
      </c>
      <c r="BV705" s="152" t="n">
        <v>8236698.593</v>
      </c>
      <c r="BW705" s="152" t="n">
        <v>-15.9312666</v>
      </c>
      <c r="BX705" s="152" t="n">
        <v>-47.7691389</v>
      </c>
      <c r="BY705" s="152" t="s">
        <v>4235</v>
      </c>
    </row>
    <row r="706" customFormat="false" ht="13.8" hidden="false" customHeight="false" outlineLevel="0" collapsed="false">
      <c r="A706" s="149" t="n">
        <f aca="false">IF(C706&lt;&gt;"",ROW(A701),"")</f>
        <v>701</v>
      </c>
      <c r="B706" s="150" t="str">
        <f aca="false">HYPERLINK("https://www.google.com/maps/dir/-15.917302,-47.760003/-15.9312784,-47.7691345/data=!4m3!4m2!3e0!5i1")</f>
        <v>https://www.google.com/maps/dir/-15.917302,-47.760003/-15.9312784,-47.7691345/data=!4m3!4m2!3e0!5i1</v>
      </c>
      <c r="C706" s="151" t="s">
        <v>117</v>
      </c>
      <c r="D706" s="152" t="s">
        <v>112</v>
      </c>
      <c r="E706" s="152" t="s">
        <v>113</v>
      </c>
      <c r="F706" s="152" t="s">
        <v>117</v>
      </c>
      <c r="G706" s="152" t="s">
        <v>114</v>
      </c>
      <c r="H706" s="152" t="n">
        <v>160</v>
      </c>
      <c r="I706" s="152" t="s">
        <v>115</v>
      </c>
      <c r="J706" s="152" t="s">
        <v>6</v>
      </c>
      <c r="K706" s="152" t="s">
        <v>4221</v>
      </c>
      <c r="L706" s="152" t="s">
        <v>120</v>
      </c>
      <c r="M706" s="153" t="n">
        <f aca="false">2.99</f>
        <v>2.99</v>
      </c>
      <c r="N706" s="152" t="s">
        <v>1548</v>
      </c>
      <c r="O706" s="152" t="s">
        <v>1549</v>
      </c>
      <c r="P706" s="152" t="s">
        <v>1550</v>
      </c>
      <c r="Q706" s="152" t="s">
        <v>1551</v>
      </c>
      <c r="R706" s="154" t="s">
        <v>4238</v>
      </c>
      <c r="S706" s="154" t="s">
        <v>1593</v>
      </c>
      <c r="T706" s="155" t="s">
        <v>4002</v>
      </c>
      <c r="U706" s="152" t="str">
        <f aca="false">RIGHT(T706,7)</f>
        <v>015/037</v>
      </c>
      <c r="V706" s="152" t="s">
        <v>1555</v>
      </c>
      <c r="W706" s="156" t="n">
        <v>45882</v>
      </c>
      <c r="X706" s="152" t="s">
        <v>1594</v>
      </c>
      <c r="Y706" s="152" t="s">
        <v>4030</v>
      </c>
      <c r="Z706" s="152" t="s">
        <v>1557</v>
      </c>
      <c r="AA706" s="153" t="n">
        <v>4.5</v>
      </c>
      <c r="AB706" s="151" t="s">
        <v>4239</v>
      </c>
      <c r="AC706" s="151" t="s">
        <v>505</v>
      </c>
      <c r="AD706" s="151" t="str">
        <f aca="false">CONCATENATE($C706,$I706,$H706,$N706,$J706,$K706)</f>
        <v>TUBO PEADPEAD160VCAREDESZona07</v>
      </c>
      <c r="AE706" s="153" t="n">
        <f aca="false">IFERROR(INDEX(APOIO_REDES!$A:$W,MATCH($C706&amp;$I706&amp;$H706&amp;$N706&amp;$O706,APOIO_REDES!$W:$W,0),MATCH(AE$5,APOIO_REDES!$5:$5,0)),0)</f>
        <v>1.2</v>
      </c>
      <c r="AF706" s="153" t="n">
        <f aca="false">IFERROR(INDEX(APOIO_REDES!$A:$W,MATCH($C706&amp;$I706&amp;$H706&amp;$N706&amp;$O706,APOIO_REDES!$W:$W,0),MATCH(AF$5,APOIO_REDES!$5:$5,0)),0)</f>
        <v>1.46</v>
      </c>
      <c r="AG706" s="153" t="n">
        <f aca="false">IFERROR(INDEX(APOIO_REDES!$A:$W,MATCH($C706&amp;$I706&amp;$H706&amp;$N706&amp;$O706,APOIO_REDES!$W:$W,0),MATCH(AG$5,APOIO_REDES!$5:$5,0)),0)</f>
        <v>0.75</v>
      </c>
      <c r="AH706" s="153" t="n">
        <f aca="false">IFERROR(INDEX(APOIO_REDES!$A:$W,MATCH($C706&amp;$I706&amp;$H706&amp;$N706&amp;$O706,APOIO_REDES!$W:$W,0),MATCH(AH$5,APOIO_REDES!$5:$5,0)),0)</f>
        <v>0.1</v>
      </c>
      <c r="AI706" s="153" t="n">
        <f aca="false">IFERROR(IF($H706&lt;&gt;"",(((($H706/1000)/2)^2)*PI()*$M706),0),0)</f>
        <v>0.0601175170190943</v>
      </c>
      <c r="AJ706" s="153" t="n">
        <f aca="false">IFERROR(IF(AND($H706&lt;&gt;"",$I706="FoFo",OR($N706="MND",$N706="VCA"),$Q706="LINEAR"),0,IF(AND($H706&lt;&gt;"",$I706="PEAD",$N706="VCA",$Q706="LINEAR"),($H706/1000)+0.3,IF(AND($H706&lt;&gt;"",$I706="PEAD",$N706="MND",$Q706="EMBOQUE"),0,IF(AND($H706&lt;&gt;"",$I706="PVC",$N706="VCA",$Q706="LINEAR"),($H706/1000)+0.2,IF(AND($H706&lt;&gt;"",$I706="PVC",$N706="MND",$Q706="EMBOQUE"),0,IF(AND($H706&lt;&gt;"",$I706="PEAD",$N706="VCA",$Q706="PREDIAL"),0,0)))))),0)</f>
        <v>0.46</v>
      </c>
      <c r="AK706" s="153" t="n">
        <f aca="false">IF(AA706&lt;&gt;"",AA706,0)</f>
        <v>4.5</v>
      </c>
      <c r="AL706" s="153" t="n">
        <f aca="false">IF(AND($N706="MND",$Q706="EMBOQUE"),$M706,IF(AND($N706="VCA",$Q706="LINEAR"),$M706,IF(AND($N706="VCA",$Q706="PREDIAL"),0,0)))</f>
        <v>2.99</v>
      </c>
      <c r="AM706" s="153" t="n">
        <f aca="false">IF(AND($N706="MND",$Q706="EMBOQUE"),$M706,IF(AND($N706="VCA",$Q706="LINEAR"),$M706,IF(AND($N706="VCA",$Q706="PREDIAL"),0,0)))</f>
        <v>2.99</v>
      </c>
      <c r="AN706" s="153" t="n">
        <f aca="false">ROUND(IF(AND($N706="VCA",$M706&lt;&gt;"",$Q706="LINEAR"),$M706/100,IF(AND($N706="MND",$M706&gt;100,$Q706="EMBOQUE"),$M706/100,0)),0)</f>
        <v>0</v>
      </c>
      <c r="AO706" s="153" t="n">
        <f aca="false">IF(AND($N706="MND",$Q706="EMBOQUE"),$AN706*2*2,IF(AND($N706="VCA",$Q706="LINEAR"),$M706*2,IF(AND($N706="VCA",$Q706="PREDIAL"),0,0)))</f>
        <v>5.98</v>
      </c>
      <c r="AP706" s="153" t="n">
        <f aca="false">IFERROR($M706*$AF706*$AG706,0)</f>
        <v>3.27405</v>
      </c>
      <c r="AQ706" s="153" t="n">
        <f aca="false">IFERROR(IF(AND($N706="VCA",$AH706&gt;0),$M706*$AG706*$AH706,0),0)</f>
        <v>0.22425</v>
      </c>
      <c r="AR706" s="153" t="n">
        <f aca="false">IFERROR(IF(AND($N706="VCA",$AJ706&gt;0),($M706*$AG706*$AJ706)-$AI706,0),0)</f>
        <v>0.971432482980906</v>
      </c>
      <c r="AS706" s="153" t="n">
        <f aca="false">IFERROR(IF(AND($N706="VCA",$AP706&gt;0),$AP706-$AI706-$AQ706-$AR706,0),0)</f>
        <v>2.01825</v>
      </c>
      <c r="AT706" s="153" t="n">
        <f aca="false">IFERROR(IF($N706="VCA",INDEX(APOIO_REDES!$A:$W,MATCH($C706&amp;$I706&amp;$H706&amp;$N706&amp;$O706,APOIO_REDES!$W:$W,0),MATCH(AT$5,APOIO_REDES!$5:$5,0)),0)*$AP706,0)</f>
        <v>0.035622633069334</v>
      </c>
      <c r="AU706" s="153" t="n">
        <f aca="false">IFERROR(IF($N706="VCA",INDEX(APOIO_REDES!$A:$W,MATCH($C706&amp;$I706&amp;$H706&amp;$N706&amp;$O706,APOIO_REDES!$W:$W,0),MATCH(AU$5,APOIO_REDES!$5:$5,0)),0)*$AP706,0)</f>
        <v>0.0284472699859123</v>
      </c>
      <c r="AV706" s="153" t="n">
        <f aca="false">IFERROR(IF($N706="VCA",INDEX(APOIO_REDES!$A:$W,MATCH($C706&amp;$I706&amp;$H706&amp;$N706&amp;$O706,APOIO_REDES!$W:$W,0),MATCH(AV$5,APOIO_REDES!$5:$5,0)),0)*$AP706,0)</f>
        <v>0.00393687884622493</v>
      </c>
      <c r="AW706" s="153" t="n">
        <f aca="false">IFERROR(IF($N706="VCA",INDEX(APOIO_REDES!$A:$W,MATCH($C706&amp;$I706&amp;$H706&amp;$N706&amp;$O706,APOIO_REDES!$W:$W,0),MATCH(AW$5,APOIO_REDES!$5:$5,0)),0)*$AP706,0)</f>
        <v>2.24733328857733</v>
      </c>
      <c r="AX706" s="153" t="n">
        <f aca="false">IFERROR(IF($N706="VCA",INDEX(APOIO_REDES!$A:$W,MATCH($C706&amp;$I706&amp;$H706&amp;$N706&amp;$O706,APOIO_REDES!$W:$W,0),MATCH(AX$5,APOIO_REDES!$5:$5,0)),0)*$AP706,0)</f>
        <v>0.311024525489053</v>
      </c>
      <c r="AY706" s="153" t="n">
        <f aca="false">IFERROR(IF($N706="VCA",INDEX(APOIO_REDES!$A:$W,MATCH($C706&amp;$I706&amp;$H706&amp;$N706&amp;$O706,APOIO_REDES!$W:$W,0),MATCH(AY$5,APOIO_REDES!$5:$5,0)),0)*$AP706,0)</f>
        <v>0.568945052948331</v>
      </c>
      <c r="AZ706" s="153" t="n">
        <f aca="false">IFERROR(IF($N706="VCA",INDEX(APOIO_REDES!$A:$W,MATCH($C706&amp;$I706&amp;$H706&amp;$N706&amp;$O706,APOIO_REDES!$W:$W,0),MATCH(AZ$5,APOIO_REDES!$5:$5,0)),0)*$AP706,0)</f>
        <v>0.0787403510838195</v>
      </c>
      <c r="BA706" s="153" t="n">
        <f aca="false">IFERROR(IF(AND($N706="VCA",$Q706="LINEAR"),INDEX(APOIO_REDES!$A:$W,MATCH($C706&amp;$I706&amp;$H706&amp;$N706&amp;$O706,APOIO_REDES!$W:$W,0),MATCH(BA$5,APOIO_REDES!$5:$5,0)),IF(AND($N706="MND",$Q706="EMBOQUE"),INDEX(APOIO_REDES!$A:$W,MATCH($C706&amp;$I706&amp;$H706&amp;$N706&amp;$O706,APOIO_REDES!$W:$W,0),MATCH(BA$5,APOIO_REDES!$5:$5,0)),0))*$M706/10,0)</f>
        <v>0.240986457963543</v>
      </c>
      <c r="BB706" s="153" t="n">
        <f aca="false">IFERROR(IF($N706="VCA",INDEX(APOIO_REDES!$A:$W,MATCH($C706&amp;$I706&amp;$H706&amp;$N706&amp;$O706,APOIO_REDES!$W:$W,0),MATCH(BB$5,APOIO_REDES!$5:$5,0)),0)*($AI706+$AQ706+$AR706),0)</f>
        <v>1.24213652430217</v>
      </c>
      <c r="BC706" s="153" t="n">
        <f aca="false">IFERROR(IF($N706="VCA",INDEX(APOIO_REDES!$A:$W,MATCH($C706&amp;$I706&amp;$H706&amp;$N706&amp;$O706,APOIO_REDES!$W:$W,0),MATCH(BC$5,APOIO_REDES!$5:$5,0)),0)*($AI706+$AQ706+$AR706),0)</f>
        <v>0.0136634756978267</v>
      </c>
      <c r="BD706" s="153" t="n">
        <f aca="false">IF(AND($N706="VCA",$AF706&gt;=1.25,$AF706&lt;1.5),$M706*$AF706*2,0)</f>
        <v>8.7308</v>
      </c>
      <c r="BE706" s="153" t="n">
        <f aca="false">IF(AND($N706="VCA",$AF706&gt;=1.5,$AF706&lt;3),$M706*$AF706*2,0)</f>
        <v>0</v>
      </c>
      <c r="BF706" s="153" t="n">
        <f aca="false">IF(AND($N706="VCA",$AF706&gt;=3),$M706*$AF706*2,0)</f>
        <v>0</v>
      </c>
      <c r="BG706" s="153" t="n">
        <f aca="false">($BB706+$BC706)*$AK706</f>
        <v>5.6511</v>
      </c>
      <c r="BH706" s="153" t="n">
        <f aca="false">IF(AND($M706&lt;&gt;"",$N706="VCA",$Q706="LINEAR"),($M706*2)/100,IF(AND($M706&lt;&gt;"",$N706="MND",$Q706="EMBOQUE"),($AN706*2)/100,0))</f>
        <v>0.0598</v>
      </c>
      <c r="BI706" s="153" t="n">
        <f aca="false">IF(AND($M706&lt;&gt;"",$N706="VCA",$Q706="LINEAR"),$M706,IF(AND($M706&lt;&gt;"",$N706="MND",$Q706="EMBOQUE"),$AN706*2,0))</f>
        <v>2.99</v>
      </c>
      <c r="BJ706" s="153" t="n">
        <f aca="false">IF(AND($M706&lt;&gt;"",$N706="VCA",$Q706="LINEAR"),($M706*6.8)/100,IF(AND($M706&lt;&gt;"",$N706="MND",$Q706="EMBOQUE"),($AN706*2*6.8)/100,0))</f>
        <v>0.20332</v>
      </c>
      <c r="BK706" s="153" t="n">
        <f aca="false">IF(AND($M706&lt;&gt;"",$N706="VCA",$Q706="LINEAR"),($M706*2.5)/50,IF(AND($M706&lt;&gt;"",$N706="MND",$Q706="EMBOQUE"),($AN706*2*2.5)/50,0))</f>
        <v>0.1495</v>
      </c>
      <c r="BL706" s="157" t="str">
        <f aca="false">K706&amp;J706</f>
        <v>Zona07REDES</v>
      </c>
      <c r="BM706" s="152" t="s">
        <v>4225</v>
      </c>
      <c r="BN706" s="152" t="s">
        <v>1560</v>
      </c>
      <c r="BO706" s="152" t="s">
        <v>4004</v>
      </c>
      <c r="BP706" s="152" t="s">
        <v>4236</v>
      </c>
      <c r="BQ706" s="152" t="s">
        <v>4240</v>
      </c>
      <c r="BR706" s="152" t="s">
        <v>4241</v>
      </c>
      <c r="BS706" s="152" t="n">
        <v>203526.195</v>
      </c>
      <c r="BT706" s="152" t="n">
        <v>8236698.593</v>
      </c>
      <c r="BU706" s="152" t="n">
        <v>203523.446</v>
      </c>
      <c r="BV706" s="152" t="n">
        <v>8236697.429</v>
      </c>
      <c r="BW706" s="152" t="n">
        <v>-15.9312834</v>
      </c>
      <c r="BX706" s="152" t="n">
        <v>-47.7691474</v>
      </c>
      <c r="BY706" s="152" t="s">
        <v>4236</v>
      </c>
    </row>
    <row r="707" customFormat="false" ht="13.8" hidden="false" customHeight="false" outlineLevel="0" collapsed="false">
      <c r="A707" s="149" t="n">
        <f aca="false">IF(C707&lt;&gt;"",ROW(A702),"")</f>
        <v>702</v>
      </c>
      <c r="B707" s="150" t="str">
        <f aca="false">HYPERLINK("https://www.google.com/maps/dir/-15.917302,-47.760003/-15.9312784,-47.7691345/data=!4m3!4m2!3e0!5i1")</f>
        <v>https://www.google.com/maps/dir/-15.917302,-47.760003/-15.9312784,-47.7691345/data=!4m3!4m2!3e0!5i1</v>
      </c>
      <c r="C707" s="151" t="s">
        <v>117</v>
      </c>
      <c r="D707" s="152" t="s">
        <v>112</v>
      </c>
      <c r="E707" s="152" t="s">
        <v>113</v>
      </c>
      <c r="F707" s="152" t="s">
        <v>117</v>
      </c>
      <c r="G707" s="152" t="s">
        <v>114</v>
      </c>
      <c r="H707" s="152" t="n">
        <v>160</v>
      </c>
      <c r="I707" s="152" t="s">
        <v>115</v>
      </c>
      <c r="J707" s="152" t="s">
        <v>6</v>
      </c>
      <c r="K707" s="152" t="s">
        <v>4221</v>
      </c>
      <c r="L707" s="152" t="s">
        <v>120</v>
      </c>
      <c r="M707" s="153" t="n">
        <f aca="false">3.31</f>
        <v>3.31</v>
      </c>
      <c r="N707" s="152" t="s">
        <v>1548</v>
      </c>
      <c r="O707" s="152" t="s">
        <v>1549</v>
      </c>
      <c r="P707" s="152" t="s">
        <v>1550</v>
      </c>
      <c r="Q707" s="152" t="s">
        <v>1551</v>
      </c>
      <c r="R707" s="154" t="s">
        <v>4242</v>
      </c>
      <c r="S707" s="154" t="s">
        <v>1593</v>
      </c>
      <c r="T707" s="155" t="s">
        <v>4002</v>
      </c>
      <c r="U707" s="152" t="str">
        <f aca="false">RIGHT(T707,7)</f>
        <v>015/037</v>
      </c>
      <c r="V707" s="152" t="s">
        <v>1555</v>
      </c>
      <c r="W707" s="156" t="n">
        <v>45882</v>
      </c>
      <c r="X707" s="152" t="s">
        <v>1594</v>
      </c>
      <c r="Y707" s="152" t="s">
        <v>4030</v>
      </c>
      <c r="Z707" s="152" t="s">
        <v>1557</v>
      </c>
      <c r="AA707" s="153" t="n">
        <v>4.5</v>
      </c>
      <c r="AB707" s="151" t="s">
        <v>4243</v>
      </c>
      <c r="AC707" s="151" t="s">
        <v>505</v>
      </c>
      <c r="AD707" s="151" t="str">
        <f aca="false">CONCATENATE($C707,$I707,$H707,$N707,$J707,$K707)</f>
        <v>TUBO PEADPEAD160VCAREDESZona07</v>
      </c>
      <c r="AE707" s="153" t="n">
        <f aca="false">IFERROR(INDEX(APOIO_REDES!$A:$W,MATCH($C707&amp;$I707&amp;$H707&amp;$N707&amp;$O707,APOIO_REDES!$W:$W,0),MATCH(AE$5,APOIO_REDES!$5:$5,0)),0)</f>
        <v>1.2</v>
      </c>
      <c r="AF707" s="153" t="n">
        <f aca="false">IFERROR(INDEX(APOIO_REDES!$A:$W,MATCH($C707&amp;$I707&amp;$H707&amp;$N707&amp;$O707,APOIO_REDES!$W:$W,0),MATCH(AF$5,APOIO_REDES!$5:$5,0)),0)</f>
        <v>1.46</v>
      </c>
      <c r="AG707" s="153" t="n">
        <f aca="false">IFERROR(INDEX(APOIO_REDES!$A:$W,MATCH($C707&amp;$I707&amp;$H707&amp;$N707&amp;$O707,APOIO_REDES!$W:$W,0),MATCH(AG$5,APOIO_REDES!$5:$5,0)),0)</f>
        <v>0.75</v>
      </c>
      <c r="AH707" s="153" t="n">
        <f aca="false">IFERROR(INDEX(APOIO_REDES!$A:$W,MATCH($C707&amp;$I707&amp;$H707&amp;$N707&amp;$O707,APOIO_REDES!$W:$W,0),MATCH(AH$5,APOIO_REDES!$5:$5,0)),0)</f>
        <v>0.1</v>
      </c>
      <c r="AI707" s="153" t="n">
        <f aca="false">IFERROR(IF($H707&lt;&gt;"",(((($H707/1000)/2)^2)*PI()*$M707),0),0)</f>
        <v>0.0665514987736462</v>
      </c>
      <c r="AJ707" s="153" t="n">
        <f aca="false">IFERROR(IF(AND($H707&lt;&gt;"",$I707="FoFo",OR($N707="MND",$N707="VCA"),$Q707="LINEAR"),0,IF(AND($H707&lt;&gt;"",$I707="PEAD",$N707="VCA",$Q707="LINEAR"),($H707/1000)+0.3,IF(AND($H707&lt;&gt;"",$I707="PEAD",$N707="MND",$Q707="EMBOQUE"),0,IF(AND($H707&lt;&gt;"",$I707="PVC",$N707="VCA",$Q707="LINEAR"),($H707/1000)+0.2,IF(AND($H707&lt;&gt;"",$I707="PVC",$N707="MND",$Q707="EMBOQUE"),0,IF(AND($H707&lt;&gt;"",$I707="PEAD",$N707="VCA",$Q707="PREDIAL"),0,0)))))),0)</f>
        <v>0.46</v>
      </c>
      <c r="AK707" s="153" t="n">
        <f aca="false">IF(AA707&lt;&gt;"",AA707,0)</f>
        <v>4.5</v>
      </c>
      <c r="AL707" s="153" t="n">
        <f aca="false">IF(AND($N707="MND",$Q707="EMBOQUE"),$M707,IF(AND($N707="VCA",$Q707="LINEAR"),$M707,IF(AND($N707="VCA",$Q707="PREDIAL"),0,0)))</f>
        <v>3.31</v>
      </c>
      <c r="AM707" s="153" t="n">
        <f aca="false">IF(AND($N707="MND",$Q707="EMBOQUE"),$M707,IF(AND($N707="VCA",$Q707="LINEAR"),$M707,IF(AND($N707="VCA",$Q707="PREDIAL"),0,0)))</f>
        <v>3.31</v>
      </c>
      <c r="AN707" s="153" t="n">
        <f aca="false">ROUND(IF(AND($N707="VCA",$M707&lt;&gt;"",$Q707="LINEAR"),$M707/100,IF(AND($N707="MND",$M707&gt;100,$Q707="EMBOQUE"),$M707/100,0)),0)</f>
        <v>0</v>
      </c>
      <c r="AO707" s="153" t="n">
        <f aca="false">IF(AND($N707="MND",$Q707="EMBOQUE"),$AN707*2*2,IF(AND($N707="VCA",$Q707="LINEAR"),$M707*2,IF(AND($N707="VCA",$Q707="PREDIAL"),0,0)))</f>
        <v>6.62</v>
      </c>
      <c r="AP707" s="153" t="n">
        <f aca="false">IFERROR($M707*$AF707*$AG707,0)</f>
        <v>3.62445</v>
      </c>
      <c r="AQ707" s="153" t="n">
        <f aca="false">IFERROR(IF(AND($N707="VCA",$AH707&gt;0),$M707*$AG707*$AH707,0),0)</f>
        <v>0.24825</v>
      </c>
      <c r="AR707" s="153" t="n">
        <f aca="false">IFERROR(IF(AND($N707="VCA",$AJ707&gt;0),($M707*$AG707*$AJ707)-$AI707,0),0)</f>
        <v>1.07539850122635</v>
      </c>
      <c r="AS707" s="153" t="n">
        <f aca="false">IFERROR(IF(AND($N707="VCA",$AP707&gt;0),$AP707-$AI707-$AQ707-$AR707,0),0)</f>
        <v>2.23425</v>
      </c>
      <c r="AT707" s="153" t="n">
        <f aca="false">IFERROR(IF($N707="VCA",INDEX(APOIO_REDES!$A:$W,MATCH($C707&amp;$I707&amp;$H707&amp;$N707&amp;$O707,APOIO_REDES!$W:$W,0),MATCH(AT$5,APOIO_REDES!$5:$5,0)),0)*$AP707,0)</f>
        <v>0.0394350887824399</v>
      </c>
      <c r="AU707" s="153" t="n">
        <f aca="false">IFERROR(IF($N707="VCA",INDEX(APOIO_REDES!$A:$W,MATCH($C707&amp;$I707&amp;$H707&amp;$N707&amp;$O707,APOIO_REDES!$W:$W,0),MATCH(AU$5,APOIO_REDES!$5:$5,0)),0)*$AP707,0)</f>
        <v>0.0314917938640032</v>
      </c>
      <c r="AV707" s="153" t="n">
        <f aca="false">IFERROR(IF($N707="VCA",INDEX(APOIO_REDES!$A:$W,MATCH($C707&amp;$I707&amp;$H707&amp;$N707&amp;$O707,APOIO_REDES!$W:$W,0),MATCH(AV$5,APOIO_REDES!$5:$5,0)),0)*$AP707,0)</f>
        <v>0.00435821705050319</v>
      </c>
      <c r="AW707" s="153" t="n">
        <f aca="false">IFERROR(IF($N707="VCA",INDEX(APOIO_REDES!$A:$W,MATCH($C707&amp;$I707&amp;$H707&amp;$N707&amp;$O707,APOIO_REDES!$W:$W,0),MATCH(AW$5,APOIO_REDES!$5:$5,0)),0)*$AP707,0)</f>
        <v>2.48785056360901</v>
      </c>
      <c r="AX707" s="153" t="n">
        <f aca="false">IFERROR(IF($N707="VCA",INDEX(APOIO_REDES!$A:$W,MATCH($C707&amp;$I707&amp;$H707&amp;$N707&amp;$O707,APOIO_REDES!$W:$W,0),MATCH(AX$5,APOIO_REDES!$5:$5,0)),0)*$AP707,0)</f>
        <v>0.344311431227012</v>
      </c>
      <c r="AY707" s="153" t="n">
        <f aca="false">IFERROR(IF($N707="VCA",INDEX(APOIO_REDES!$A:$W,MATCH($C707&amp;$I707&amp;$H707&amp;$N707&amp;$O707,APOIO_REDES!$W:$W,0),MATCH(AY$5,APOIO_REDES!$5:$5,0)),0)*$AP707,0)</f>
        <v>0.62983549339765</v>
      </c>
      <c r="AZ707" s="153" t="n">
        <f aca="false">IFERROR(IF($N707="VCA",INDEX(APOIO_REDES!$A:$W,MATCH($C707&amp;$I707&amp;$H707&amp;$N707&amp;$O707,APOIO_REDES!$W:$W,0),MATCH(AZ$5,APOIO_REDES!$5:$5,0)),0)*$AP707,0)</f>
        <v>0.0871674120693788</v>
      </c>
      <c r="BA707" s="153" t="n">
        <f aca="false">IFERROR(IF(AND($N707="VCA",$Q707="LINEAR"),INDEX(APOIO_REDES!$A:$W,MATCH($C707&amp;$I707&amp;$H707&amp;$N707&amp;$O707,APOIO_REDES!$W:$W,0),MATCH(BA$5,APOIO_REDES!$5:$5,0)),IF(AND($N707="MND",$Q707="EMBOQUE"),INDEX(APOIO_REDES!$A:$W,MATCH($C707&amp;$I707&amp;$H707&amp;$N707&amp;$O707,APOIO_REDES!$W:$W,0),MATCH(BA$5,APOIO_REDES!$5:$5,0)),0))*$M707/10,0)</f>
        <v>0.266777650789073</v>
      </c>
      <c r="BB707" s="153" t="n">
        <f aca="false">IFERROR(IF($N707="VCA",INDEX(APOIO_REDES!$A:$W,MATCH($C707&amp;$I707&amp;$H707&amp;$N707&amp;$O707,APOIO_REDES!$W:$W,0),MATCH(BB$5,APOIO_REDES!$5:$5,0)),0)*($AI707+$AQ707+$AR707),0)</f>
        <v>1.3750742125218</v>
      </c>
      <c r="BC707" s="153" t="n">
        <f aca="false">IFERROR(IF($N707="VCA",INDEX(APOIO_REDES!$A:$W,MATCH($C707&amp;$I707&amp;$H707&amp;$N707&amp;$O707,APOIO_REDES!$W:$W,0),MATCH(BC$5,APOIO_REDES!$5:$5,0)),0)*($AI707+$AQ707+$AR707),0)</f>
        <v>0.0151257874781961</v>
      </c>
      <c r="BD707" s="153" t="n">
        <f aca="false">IF(AND($N707="VCA",$AF707&gt;=1.25,$AF707&lt;1.5),$M707*$AF707*2,0)</f>
        <v>9.6652</v>
      </c>
      <c r="BE707" s="153" t="n">
        <f aca="false">IF(AND($N707="VCA",$AF707&gt;=1.5,$AF707&lt;3),$M707*$AF707*2,0)</f>
        <v>0</v>
      </c>
      <c r="BF707" s="153" t="n">
        <f aca="false">IF(AND($N707="VCA",$AF707&gt;=3),$M707*$AF707*2,0)</f>
        <v>0</v>
      </c>
      <c r="BG707" s="153" t="n">
        <f aca="false">($BB707+$BC707)*$AK707</f>
        <v>6.2559</v>
      </c>
      <c r="BH707" s="153" t="n">
        <f aca="false">IF(AND($M707&lt;&gt;"",$N707="VCA",$Q707="LINEAR"),($M707*2)/100,IF(AND($M707&lt;&gt;"",$N707="MND",$Q707="EMBOQUE"),($AN707*2)/100,0))</f>
        <v>0.0662</v>
      </c>
      <c r="BI707" s="153" t="n">
        <f aca="false">IF(AND($M707&lt;&gt;"",$N707="VCA",$Q707="LINEAR"),$M707,IF(AND($M707&lt;&gt;"",$N707="MND",$Q707="EMBOQUE"),$AN707*2,0))</f>
        <v>3.31</v>
      </c>
      <c r="BJ707" s="153" t="n">
        <f aca="false">IF(AND($M707&lt;&gt;"",$N707="VCA",$Q707="LINEAR"),($M707*6.8)/100,IF(AND($M707&lt;&gt;"",$N707="MND",$Q707="EMBOQUE"),($AN707*2*6.8)/100,0))</f>
        <v>0.22508</v>
      </c>
      <c r="BK707" s="153" t="n">
        <f aca="false">IF(AND($M707&lt;&gt;"",$N707="VCA",$Q707="LINEAR"),($M707*2.5)/50,IF(AND($M707&lt;&gt;"",$N707="MND",$Q707="EMBOQUE"),($AN707*2*2.5)/50,0))</f>
        <v>0.1655</v>
      </c>
      <c r="BL707" s="157" t="str">
        <f aca="false">K707&amp;J707</f>
        <v>Zona07REDES</v>
      </c>
      <c r="BM707" s="152" t="s">
        <v>4225</v>
      </c>
      <c r="BN707" s="152" t="s">
        <v>1560</v>
      </c>
      <c r="BO707" s="152" t="s">
        <v>4004</v>
      </c>
      <c r="BP707" s="152" t="s">
        <v>4236</v>
      </c>
      <c r="BQ707" s="152" t="s">
        <v>4244</v>
      </c>
      <c r="BR707" s="152" t="s">
        <v>4237</v>
      </c>
      <c r="BS707" s="152" t="n">
        <v>203526.195</v>
      </c>
      <c r="BT707" s="152" t="n">
        <v>8236698.593</v>
      </c>
      <c r="BU707" s="152" t="n">
        <v>203527.368</v>
      </c>
      <c r="BV707" s="152" t="n">
        <v>8236695.499</v>
      </c>
      <c r="BW707" s="152" t="n">
        <v>-15.9312924</v>
      </c>
      <c r="BX707" s="152" t="n">
        <v>-47.7691292</v>
      </c>
      <c r="BY707" s="152" t="s">
        <v>4236</v>
      </c>
    </row>
    <row r="708" customFormat="false" ht="13.8" hidden="false" customHeight="false" outlineLevel="0" collapsed="false">
      <c r="A708" s="149" t="n">
        <f aca="false">IF(C708&lt;&gt;"",ROW(A703),"")</f>
        <v>703</v>
      </c>
      <c r="B708" s="150" t="str">
        <f aca="false">HYPERLINK("https://www.google.com/maps/dir/-15.917302,-47.760003/-15.9313064,-47.7691239/data=!4m3!4m2!3e0!5i1")</f>
        <v>https://www.google.com/maps/dir/-15.917302,-47.760003/-15.9313064,-47.7691239/data=!4m3!4m2!3e0!5i1</v>
      </c>
      <c r="C708" s="151" t="s">
        <v>117</v>
      </c>
      <c r="D708" s="152" t="s">
        <v>112</v>
      </c>
      <c r="E708" s="152" t="s">
        <v>113</v>
      </c>
      <c r="F708" s="152" t="s">
        <v>117</v>
      </c>
      <c r="G708" s="152" t="s">
        <v>114</v>
      </c>
      <c r="H708" s="152" t="n">
        <v>160</v>
      </c>
      <c r="I708" s="152" t="s">
        <v>115</v>
      </c>
      <c r="J708" s="152" t="s">
        <v>6</v>
      </c>
      <c r="K708" s="152" t="s">
        <v>4221</v>
      </c>
      <c r="L708" s="152" t="s">
        <v>120</v>
      </c>
      <c r="M708" s="153" t="n">
        <f aca="false">2.97</f>
        <v>2.97</v>
      </c>
      <c r="N708" s="152" t="s">
        <v>1548</v>
      </c>
      <c r="O708" s="152" t="s">
        <v>1549</v>
      </c>
      <c r="P708" s="152" t="s">
        <v>1550</v>
      </c>
      <c r="Q708" s="152" t="s">
        <v>1551</v>
      </c>
      <c r="R708" s="154" t="s">
        <v>4245</v>
      </c>
      <c r="S708" s="154" t="s">
        <v>1593</v>
      </c>
      <c r="T708" s="155" t="s">
        <v>4002</v>
      </c>
      <c r="U708" s="152" t="str">
        <f aca="false">RIGHT(T708,7)</f>
        <v>015/037</v>
      </c>
      <c r="V708" s="152" t="s">
        <v>1555</v>
      </c>
      <c r="W708" s="156" t="n">
        <v>45882</v>
      </c>
      <c r="X708" s="152" t="s">
        <v>1594</v>
      </c>
      <c r="Y708" s="152" t="s">
        <v>4030</v>
      </c>
      <c r="Z708" s="152" t="s">
        <v>1557</v>
      </c>
      <c r="AA708" s="153" t="n">
        <v>4.5</v>
      </c>
      <c r="AB708" s="151" t="s">
        <v>4246</v>
      </c>
      <c r="AC708" s="151" t="s">
        <v>505</v>
      </c>
      <c r="AD708" s="151" t="str">
        <f aca="false">CONCATENATE($C708,$I708,$H708,$N708,$J708,$K708)</f>
        <v>TUBO PEADPEAD160VCAREDESZona07</v>
      </c>
      <c r="AE708" s="153" t="n">
        <f aca="false">IFERROR(INDEX(APOIO_REDES!$A:$W,MATCH($C708&amp;$I708&amp;$H708&amp;$N708&amp;$O708,APOIO_REDES!$W:$W,0),MATCH(AE$5,APOIO_REDES!$5:$5,0)),0)</f>
        <v>1.2</v>
      </c>
      <c r="AF708" s="153" t="n">
        <f aca="false">IFERROR(INDEX(APOIO_REDES!$A:$W,MATCH($C708&amp;$I708&amp;$H708&amp;$N708&amp;$O708,APOIO_REDES!$W:$W,0),MATCH(AF$5,APOIO_REDES!$5:$5,0)),0)</f>
        <v>1.46</v>
      </c>
      <c r="AG708" s="153" t="n">
        <f aca="false">IFERROR(INDEX(APOIO_REDES!$A:$W,MATCH($C708&amp;$I708&amp;$H708&amp;$N708&amp;$O708,APOIO_REDES!$W:$W,0),MATCH(AG$5,APOIO_REDES!$5:$5,0)),0)</f>
        <v>0.75</v>
      </c>
      <c r="AH708" s="153" t="n">
        <f aca="false">IFERROR(INDEX(APOIO_REDES!$A:$W,MATCH($C708&amp;$I708&amp;$H708&amp;$N708&amp;$O708,APOIO_REDES!$W:$W,0),MATCH(AH$5,APOIO_REDES!$5:$5,0)),0)</f>
        <v>0.1</v>
      </c>
      <c r="AI708" s="153" t="n">
        <f aca="false">IFERROR(IF($H708&lt;&gt;"",(((($H708/1000)/2)^2)*PI()*$M708),0),0)</f>
        <v>0.0597153931594348</v>
      </c>
      <c r="AJ708" s="153" t="n">
        <f aca="false">IFERROR(IF(AND($H708&lt;&gt;"",$I708="FoFo",OR($N708="MND",$N708="VCA"),$Q708="LINEAR"),0,IF(AND($H708&lt;&gt;"",$I708="PEAD",$N708="VCA",$Q708="LINEAR"),($H708/1000)+0.3,IF(AND($H708&lt;&gt;"",$I708="PEAD",$N708="MND",$Q708="EMBOQUE"),0,IF(AND($H708&lt;&gt;"",$I708="PVC",$N708="VCA",$Q708="LINEAR"),($H708/1000)+0.2,IF(AND($H708&lt;&gt;"",$I708="PVC",$N708="MND",$Q708="EMBOQUE"),0,IF(AND($H708&lt;&gt;"",$I708="PEAD",$N708="VCA",$Q708="PREDIAL"),0,0)))))),0)</f>
        <v>0.46</v>
      </c>
      <c r="AK708" s="153" t="n">
        <f aca="false">IF(AA708&lt;&gt;"",AA708,0)</f>
        <v>4.5</v>
      </c>
      <c r="AL708" s="153" t="n">
        <f aca="false">IF(AND($N708="MND",$Q708="EMBOQUE"),$M708,IF(AND($N708="VCA",$Q708="LINEAR"),$M708,IF(AND($N708="VCA",$Q708="PREDIAL"),0,0)))</f>
        <v>2.97</v>
      </c>
      <c r="AM708" s="153" t="n">
        <f aca="false">IF(AND($N708="MND",$Q708="EMBOQUE"),$M708,IF(AND($N708="VCA",$Q708="LINEAR"),$M708,IF(AND($N708="VCA",$Q708="PREDIAL"),0,0)))</f>
        <v>2.97</v>
      </c>
      <c r="AN708" s="153" t="n">
        <f aca="false">ROUND(IF(AND($N708="VCA",$M708&lt;&gt;"",$Q708="LINEAR"),$M708/100,IF(AND($N708="MND",$M708&gt;100,$Q708="EMBOQUE"),$M708/100,0)),0)</f>
        <v>0</v>
      </c>
      <c r="AO708" s="153" t="n">
        <f aca="false">IF(AND($N708="MND",$Q708="EMBOQUE"),$AN708*2*2,IF(AND($N708="VCA",$Q708="LINEAR"),$M708*2,IF(AND($N708="VCA",$Q708="PREDIAL"),0,0)))</f>
        <v>5.94</v>
      </c>
      <c r="AP708" s="153" t="n">
        <f aca="false">IFERROR($M708*$AF708*$AG708,0)</f>
        <v>3.25215</v>
      </c>
      <c r="AQ708" s="153" t="n">
        <f aca="false">IFERROR(IF(AND($N708="VCA",$AH708&gt;0),$M708*$AG708*$AH708,0),0)</f>
        <v>0.22275</v>
      </c>
      <c r="AR708" s="153" t="n">
        <f aca="false">IFERROR(IF(AND($N708="VCA",$AJ708&gt;0),($M708*$AG708*$AJ708)-$AI708,0),0)</f>
        <v>0.964934606840565</v>
      </c>
      <c r="AS708" s="153" t="n">
        <f aca="false">IFERROR(IF(AND($N708="VCA",$AP708&gt;0),$AP708-$AI708-$AQ708-$AR708,0),0)</f>
        <v>2.00475</v>
      </c>
      <c r="AT708" s="153" t="n">
        <f aca="false">IFERROR(IF($N708="VCA",INDEX(APOIO_REDES!$A:$W,MATCH($C708&amp;$I708&amp;$H708&amp;$N708&amp;$O708,APOIO_REDES!$W:$W,0),MATCH(AT$5,APOIO_REDES!$5:$5,0)),0)*$AP708,0)</f>
        <v>0.0353843545872648</v>
      </c>
      <c r="AU708" s="153" t="n">
        <f aca="false">IFERROR(IF($N708="VCA",INDEX(APOIO_REDES!$A:$W,MATCH($C708&amp;$I708&amp;$H708&amp;$N708&amp;$O708,APOIO_REDES!$W:$W,0),MATCH(AU$5,APOIO_REDES!$5:$5,0)),0)*$AP708,0)</f>
        <v>0.0282569872435316</v>
      </c>
      <c r="AV708" s="153" t="n">
        <f aca="false">IFERROR(IF($N708="VCA",INDEX(APOIO_REDES!$A:$W,MATCH($C708&amp;$I708&amp;$H708&amp;$N708&amp;$O708,APOIO_REDES!$W:$W,0),MATCH(AV$5,APOIO_REDES!$5:$5,0)),0)*$AP708,0)</f>
        <v>0.00391054520845754</v>
      </c>
      <c r="AW708" s="153" t="n">
        <f aca="false">IFERROR(IF($N708="VCA",INDEX(APOIO_REDES!$A:$W,MATCH($C708&amp;$I708&amp;$H708&amp;$N708&amp;$O708,APOIO_REDES!$W:$W,0),MATCH(AW$5,APOIO_REDES!$5:$5,0)),0)*$AP708,0)</f>
        <v>2.23230095888785</v>
      </c>
      <c r="AX708" s="153" t="n">
        <f aca="false">IFERROR(IF($N708="VCA",INDEX(APOIO_REDES!$A:$W,MATCH($C708&amp;$I708&amp;$H708&amp;$N708&amp;$O708,APOIO_REDES!$W:$W,0),MATCH(AX$5,APOIO_REDES!$5:$5,0)),0)*$AP708,0)</f>
        <v>0.308944093880431</v>
      </c>
      <c r="AY708" s="153" t="n">
        <f aca="false">IFERROR(IF($N708="VCA",INDEX(APOIO_REDES!$A:$W,MATCH($C708&amp;$I708&amp;$H708&amp;$N708&amp;$O708,APOIO_REDES!$W:$W,0),MATCH(AY$5,APOIO_REDES!$5:$5,0)),0)*$AP708,0)</f>
        <v>0.565139400420248</v>
      </c>
      <c r="AZ708" s="153" t="n">
        <f aca="false">IFERROR(IF($N708="VCA",INDEX(APOIO_REDES!$A:$W,MATCH($C708&amp;$I708&amp;$H708&amp;$N708&amp;$O708,APOIO_REDES!$W:$W,0),MATCH(AZ$5,APOIO_REDES!$5:$5,0)),0)*$AP708,0)</f>
        <v>0.078213659772222</v>
      </c>
      <c r="BA708" s="153" t="n">
        <f aca="false">IFERROR(IF(AND($N708="VCA",$Q708="LINEAR"),INDEX(APOIO_REDES!$A:$W,MATCH($C708&amp;$I708&amp;$H708&amp;$N708&amp;$O708,APOIO_REDES!$W:$W,0),MATCH(BA$5,APOIO_REDES!$5:$5,0)),IF(AND($N708="MND",$Q708="EMBOQUE"),INDEX(APOIO_REDES!$A:$W,MATCH($C708&amp;$I708&amp;$H708&amp;$N708&amp;$O708,APOIO_REDES!$W:$W,0),MATCH(BA$5,APOIO_REDES!$5:$5,0)),0))*$M708/10,0)</f>
        <v>0.239374508411947</v>
      </c>
      <c r="BB708" s="153" t="n">
        <f aca="false">IFERROR(IF($N708="VCA",INDEX(APOIO_REDES!$A:$W,MATCH($C708&amp;$I708&amp;$H708&amp;$N708&amp;$O708,APOIO_REDES!$W:$W,0),MATCH(BB$5,APOIO_REDES!$5:$5,0)),0)*($AI708+$AQ708+$AR708),0)</f>
        <v>1.23382791878845</v>
      </c>
      <c r="BC708" s="153" t="n">
        <f aca="false">IFERROR(IF($N708="VCA",INDEX(APOIO_REDES!$A:$W,MATCH($C708&amp;$I708&amp;$H708&amp;$N708&amp;$O708,APOIO_REDES!$W:$W,0),MATCH(BC$5,APOIO_REDES!$5:$5,0)),0)*($AI708+$AQ708+$AR708),0)</f>
        <v>0.0135720812115536</v>
      </c>
      <c r="BD708" s="153" t="n">
        <f aca="false">IF(AND($N708="VCA",$AF708&gt;=1.25,$AF708&lt;1.5),$M708*$AF708*2,0)</f>
        <v>8.6724</v>
      </c>
      <c r="BE708" s="153" t="n">
        <f aca="false">IF(AND($N708="VCA",$AF708&gt;=1.5,$AF708&lt;3),$M708*$AF708*2,0)</f>
        <v>0</v>
      </c>
      <c r="BF708" s="153" t="n">
        <f aca="false">IF(AND($N708="VCA",$AF708&gt;=3),$M708*$AF708*2,0)</f>
        <v>0</v>
      </c>
      <c r="BG708" s="153" t="n">
        <f aca="false">($BB708+$BC708)*$AK708</f>
        <v>5.6133</v>
      </c>
      <c r="BH708" s="153" t="n">
        <f aca="false">IF(AND($M708&lt;&gt;"",$N708="VCA",$Q708="LINEAR"),($M708*2)/100,IF(AND($M708&lt;&gt;"",$N708="MND",$Q708="EMBOQUE"),($AN708*2)/100,0))</f>
        <v>0.0594</v>
      </c>
      <c r="BI708" s="153" t="n">
        <f aca="false">IF(AND($M708&lt;&gt;"",$N708="VCA",$Q708="LINEAR"),$M708,IF(AND($M708&lt;&gt;"",$N708="MND",$Q708="EMBOQUE"),$AN708*2,0))</f>
        <v>2.97</v>
      </c>
      <c r="BJ708" s="153" t="n">
        <f aca="false">IF(AND($M708&lt;&gt;"",$N708="VCA",$Q708="LINEAR"),($M708*6.8)/100,IF(AND($M708&lt;&gt;"",$N708="MND",$Q708="EMBOQUE"),($AN708*2*6.8)/100,0))</f>
        <v>0.20196</v>
      </c>
      <c r="BK708" s="153" t="n">
        <f aca="false">IF(AND($M708&lt;&gt;"",$N708="VCA",$Q708="LINEAR"),($M708*2.5)/50,IF(AND($M708&lt;&gt;"",$N708="MND",$Q708="EMBOQUE"),($AN708*2*2.5)/50,0))</f>
        <v>0.1485</v>
      </c>
      <c r="BL708" s="157" t="str">
        <f aca="false">K708&amp;J708</f>
        <v>Zona07REDES</v>
      </c>
      <c r="BM708" s="152" t="s">
        <v>4225</v>
      </c>
      <c r="BN708" s="152" t="s">
        <v>1560</v>
      </c>
      <c r="BO708" s="152" t="s">
        <v>4004</v>
      </c>
      <c r="BP708" s="152" t="s">
        <v>4244</v>
      </c>
      <c r="BQ708" s="152" t="s">
        <v>4227</v>
      </c>
      <c r="BR708" s="152" t="s">
        <v>4237</v>
      </c>
      <c r="BS708" s="152" t="n">
        <v>203527.368</v>
      </c>
      <c r="BT708" s="152" t="n">
        <v>8236695.499</v>
      </c>
      <c r="BU708" s="152" t="n">
        <v>203528.423</v>
      </c>
      <c r="BV708" s="152" t="n">
        <v>8236692.718</v>
      </c>
      <c r="BW708" s="152" t="n">
        <v>-15.9313191</v>
      </c>
      <c r="BX708" s="152" t="n">
        <v>-47.7691192</v>
      </c>
      <c r="BY708" s="152" t="s">
        <v>4244</v>
      </c>
    </row>
    <row r="709" customFormat="false" ht="13.8" hidden="false" customHeight="false" outlineLevel="0" collapsed="false">
      <c r="A709" s="149" t="n">
        <f aca="false">IF(C709&lt;&gt;"",ROW(A704),"")</f>
        <v>704</v>
      </c>
      <c r="B709" s="150" t="str">
        <f aca="false">HYPERLINK("https://www.google.com/maps/dir/-15.917302,-47.760003/-15.9313737,-47.7676400/data=!4m3!4m2!3e0!5i2")</f>
        <v>https://www.google.com/maps/dir/-15.917302,-47.760003/-15.9313737,-47.7676400/data=!4m3!4m2!3e0!5i2</v>
      </c>
      <c r="C709" s="151" t="s">
        <v>117</v>
      </c>
      <c r="D709" s="152" t="s">
        <v>112</v>
      </c>
      <c r="E709" s="152" t="s">
        <v>113</v>
      </c>
      <c r="F709" s="152" t="s">
        <v>117</v>
      </c>
      <c r="G709" s="152" t="s">
        <v>782</v>
      </c>
      <c r="H709" s="152" t="n">
        <v>63</v>
      </c>
      <c r="I709" s="152" t="s">
        <v>115</v>
      </c>
      <c r="J709" s="152" t="s">
        <v>6</v>
      </c>
      <c r="K709" s="152" t="s">
        <v>4221</v>
      </c>
      <c r="L709" s="152" t="s">
        <v>120</v>
      </c>
      <c r="M709" s="153" t="n">
        <f aca="false">3.89+4.47</f>
        <v>8.36</v>
      </c>
      <c r="N709" s="152" t="s">
        <v>1548</v>
      </c>
      <c r="O709" s="152" t="s">
        <v>1549</v>
      </c>
      <c r="P709" s="152" t="s">
        <v>1550</v>
      </c>
      <c r="Q709" s="152" t="s">
        <v>1551</v>
      </c>
      <c r="R709" s="154" t="s">
        <v>4247</v>
      </c>
      <c r="S709" s="154" t="s">
        <v>1553</v>
      </c>
      <c r="T709" s="155" t="s">
        <v>4002</v>
      </c>
      <c r="U709" s="152" t="str">
        <f aca="false">RIGHT(T709,7)</f>
        <v>015/037</v>
      </c>
      <c r="V709" s="152" t="s">
        <v>1555</v>
      </c>
      <c r="W709" s="156" t="n">
        <v>45882</v>
      </c>
      <c r="X709" s="152" t="s">
        <v>1594</v>
      </c>
      <c r="Y709" s="152"/>
      <c r="Z709" s="152" t="s">
        <v>1557</v>
      </c>
      <c r="AA709" s="153" t="n">
        <v>4</v>
      </c>
      <c r="AB709" s="151" t="s">
        <v>4248</v>
      </c>
      <c r="AC709" s="151" t="s">
        <v>186</v>
      </c>
      <c r="AD709" s="151" t="str">
        <f aca="false">CONCATENATE($C709,$I709,$H709,$N709,$J709,$K709)</f>
        <v>TUBO PEADPEAD63VCAREDESZona07</v>
      </c>
      <c r="AE709" s="153" t="n">
        <f aca="false">IFERROR(INDEX(APOIO_REDES!$A:$W,MATCH($C709&amp;$I709&amp;$H709&amp;$N709&amp;$O709,APOIO_REDES!$W:$W,0),MATCH(AE$5,APOIO_REDES!$5:$5,0)),0)</f>
        <v>1.2</v>
      </c>
      <c r="AF709" s="153" t="n">
        <f aca="false">IFERROR(INDEX(APOIO_REDES!$A:$W,MATCH($C709&amp;$I709&amp;$H709&amp;$N709&amp;$O709,APOIO_REDES!$W:$W,0),MATCH(AF$5,APOIO_REDES!$5:$5,0)),0)</f>
        <v>1.363</v>
      </c>
      <c r="AG709" s="153" t="n">
        <f aca="false">IFERROR(INDEX(APOIO_REDES!$A:$W,MATCH($C709&amp;$I709&amp;$H709&amp;$N709&amp;$O709,APOIO_REDES!$W:$W,0),MATCH(AG$5,APOIO_REDES!$5:$5,0)),0)</f>
        <v>0.65</v>
      </c>
      <c r="AH709" s="153" t="n">
        <f aca="false">IFERROR(INDEX(APOIO_REDES!$A:$W,MATCH($C709&amp;$I709&amp;$H709&amp;$N709&amp;$O709,APOIO_REDES!$W:$W,0),MATCH(AH$5,APOIO_REDES!$5:$5,0)),0)</f>
        <v>0.1</v>
      </c>
      <c r="AI709" s="153" t="n">
        <f aca="false">IFERROR(IF($H709&lt;&gt;"",(((($H709/1000)/2)^2)*PI()*$M709),0),0)</f>
        <v>0.0260601707959846</v>
      </c>
      <c r="AJ709" s="153" t="n">
        <f aca="false">IFERROR(IF(AND($H709&lt;&gt;"",$I709="FoFo",OR($N709="MND",$N709="VCA"),$Q709="LINEAR"),0,IF(AND($H709&lt;&gt;"",$I709="PEAD",$N709="VCA",$Q709="LINEAR"),($H709/1000)+0.3,IF(AND($H709&lt;&gt;"",$I709="PEAD",$N709="MND",$Q709="EMBOQUE"),0,IF(AND($H709&lt;&gt;"",$I709="PVC",$N709="VCA",$Q709="LINEAR"),($H709/1000)+0.2,IF(AND($H709&lt;&gt;"",$I709="PVC",$N709="MND",$Q709="EMBOQUE"),0,IF(AND($H709&lt;&gt;"",$I709="PEAD",$N709="VCA",$Q709="PREDIAL"),0,0)))))),0)</f>
        <v>0.363</v>
      </c>
      <c r="AK709" s="153" t="n">
        <f aca="false">IF(AA709&lt;&gt;"",AA709,0)</f>
        <v>4</v>
      </c>
      <c r="AL709" s="153" t="n">
        <f aca="false">IF(AND($N709="MND",$Q709="EMBOQUE"),$M709,IF(AND($N709="VCA",$Q709="LINEAR"),$M709,IF(AND($N709="VCA",$Q709="PREDIAL"),0,0)))</f>
        <v>8.36</v>
      </c>
      <c r="AM709" s="153" t="n">
        <f aca="false">IF(AND($N709="MND",$Q709="EMBOQUE"),$M709,IF(AND($N709="VCA",$Q709="LINEAR"),$M709,IF(AND($N709="VCA",$Q709="PREDIAL"),0,0)))</f>
        <v>8.36</v>
      </c>
      <c r="AN709" s="153" t="n">
        <f aca="false">ROUND(IF(AND($N709="VCA",$M709&lt;&gt;"",$Q709="LINEAR"),$M709/100,IF(AND($N709="MND",$M709&gt;100,$Q709="EMBOQUE"),$M709/100,0)),0)</f>
        <v>0</v>
      </c>
      <c r="AO709" s="153" t="n">
        <f aca="false">IF(AND($N709="MND",$Q709="EMBOQUE"),$AN709*2*2,IF(AND($N709="VCA",$Q709="LINEAR"),$M709*2,IF(AND($N709="VCA",$Q709="PREDIAL"),0,0)))</f>
        <v>16.72</v>
      </c>
      <c r="AP709" s="153" t="n">
        <f aca="false">IFERROR($M709*$AF709*$AG709,0)</f>
        <v>7.406542</v>
      </c>
      <c r="AQ709" s="153" t="n">
        <f aca="false">IFERROR(IF(AND($N709="VCA",$AH709&gt;0),$M709*$AG709*$AH709,0),0)</f>
        <v>0.5434</v>
      </c>
      <c r="AR709" s="153" t="n">
        <f aca="false">IFERROR(IF(AND($N709="VCA",$AJ709&gt;0),($M709*$AG709*$AJ709)-$AI709,0),0)</f>
        <v>1.94648182920402</v>
      </c>
      <c r="AS709" s="153" t="n">
        <f aca="false">IFERROR(IF(AND($N709="VCA",$AP709&gt;0),$AP709-$AI709-$AQ709-$AR709,0),0)</f>
        <v>4.8906</v>
      </c>
      <c r="AT709" s="153" t="n">
        <f aca="false">IFERROR(IF($N709="VCA",INDEX(APOIO_REDES!$A:$W,MATCH($C709&amp;$I709&amp;$H709&amp;$N709&amp;$O709,APOIO_REDES!$W:$W,0),MATCH(AT$5,APOIO_REDES!$5:$5,0)),0)*$AP709,0)</f>
        <v>0.0805853691845302</v>
      </c>
      <c r="AU709" s="153" t="n">
        <f aca="false">IFERROR(IF($N709="VCA",INDEX(APOIO_REDES!$A:$W,MATCH($C709&amp;$I709&amp;$H709&amp;$N709&amp;$O709,APOIO_REDES!$W:$W,0),MATCH(AU$5,APOIO_REDES!$5:$5,0)),0)*$AP709,0)</f>
        <v>0.0643532933021789</v>
      </c>
      <c r="AV709" s="153" t="n">
        <f aca="false">IFERROR(IF($N709="VCA",INDEX(APOIO_REDES!$A:$W,MATCH($C709&amp;$I709&amp;$H709&amp;$N709&amp;$O709,APOIO_REDES!$W:$W,0),MATCH(AV$5,APOIO_REDES!$5:$5,0)),0)*$AP709,0)</f>
        <v>0.00890599059986148</v>
      </c>
      <c r="AW709" s="153" t="n">
        <f aca="false">IFERROR(IF($N709="VCA",INDEX(APOIO_REDES!$A:$W,MATCH($C709&amp;$I709&amp;$H709&amp;$N709&amp;$O709,APOIO_REDES!$W:$W,0),MATCH(AW$5,APOIO_REDES!$5:$5,0)),0)*$AP709,0)</f>
        <v>5.08390781748785</v>
      </c>
      <c r="AX709" s="153" t="n">
        <f aca="false">IFERROR(IF($N709="VCA",INDEX(APOIO_REDES!$A:$W,MATCH($C709&amp;$I709&amp;$H709&amp;$N709&amp;$O709,APOIO_REDES!$W:$W,0),MATCH(AX$5,APOIO_REDES!$5:$5,0)),0)*$AP709,0)</f>
        <v>0.703598360154775</v>
      </c>
      <c r="AY709" s="153" t="n">
        <f aca="false">IFERROR(IF($N709="VCA",INDEX(APOIO_REDES!$A:$W,MATCH($C709&amp;$I709&amp;$H709&amp;$N709&amp;$O709,APOIO_REDES!$W:$W,0),MATCH(AY$5,APOIO_REDES!$5:$5,0)),0)*$AP709,0)</f>
        <v>1.28706508158215</v>
      </c>
      <c r="AZ709" s="153" t="n">
        <f aca="false">IFERROR(IF($N709="VCA",INDEX(APOIO_REDES!$A:$W,MATCH($C709&amp;$I709&amp;$H709&amp;$N709&amp;$O709,APOIO_REDES!$W:$W,0),MATCH(AZ$5,APOIO_REDES!$5:$5,0)),0)*$AP709,0)</f>
        <v>0.178126087688659</v>
      </c>
      <c r="BA709" s="153" t="n">
        <f aca="false">IFERROR(IF(AND($N709="VCA",$Q709="LINEAR"),INDEX(APOIO_REDES!$A:$W,MATCH($C709&amp;$I709&amp;$H709&amp;$N709&amp;$O709,APOIO_REDES!$W:$W,0),MATCH(BA$5,APOIO_REDES!$5:$5,0)),IF(AND($N709="MND",$Q709="EMBOQUE"),INDEX(APOIO_REDES!$A:$W,MATCH($C709&amp;$I709&amp;$H709&amp;$N709&amp;$O709,APOIO_REDES!$W:$W,0),MATCH(BA$5,APOIO_REDES!$5:$5,0)),0))*$M709/10,0)</f>
        <v>0.673794912566963</v>
      </c>
      <c r="BB709" s="153" t="n">
        <f aca="false">IFERROR(IF($N709="VCA",INDEX(APOIO_REDES!$A:$W,MATCH($C709&amp;$I709&amp;$H709&amp;$N709&amp;$O709,APOIO_REDES!$W:$W,0),MATCH(BB$5,APOIO_REDES!$5:$5,0)),0)*($AI709+$AQ709+$AR709),0)</f>
        <v>2.48856780635918</v>
      </c>
      <c r="BC709" s="153" t="n">
        <f aca="false">IFERROR(IF($N709="VCA",INDEX(APOIO_REDES!$A:$W,MATCH($C709&amp;$I709&amp;$H709&amp;$N709&amp;$O709,APOIO_REDES!$W:$W,0),MATCH(BC$5,APOIO_REDES!$5:$5,0)),0)*($AI709+$AQ709+$AR709),0)</f>
        <v>0.0273741936408199</v>
      </c>
      <c r="BD709" s="153" t="n">
        <f aca="false">IF(AND($N709="VCA",$AF709&gt;=1.25,$AF709&lt;1.5),$M709*$AF709*2,0)</f>
        <v>22.78936</v>
      </c>
      <c r="BE709" s="153" t="n">
        <f aca="false">IF(AND($N709="VCA",$AF709&gt;=1.5,$AF709&lt;3),$M709*$AF709*2,0)</f>
        <v>0</v>
      </c>
      <c r="BF709" s="153" t="n">
        <f aca="false">IF(AND($N709="VCA",$AF709&gt;=3),$M709*$AF709*2,0)</f>
        <v>0</v>
      </c>
      <c r="BG709" s="153" t="n">
        <f aca="false">($BB709+$BC709)*$AK709</f>
        <v>10.063768</v>
      </c>
      <c r="BH709" s="153" t="n">
        <f aca="false">IF(AND($M709&lt;&gt;"",$N709="VCA",$Q709="LINEAR"),($M709*2)/100,IF(AND($M709&lt;&gt;"",$N709="MND",$Q709="EMBOQUE"),($AN709*2)/100,0))</f>
        <v>0.1672</v>
      </c>
      <c r="BI709" s="153" t="n">
        <f aca="false">IF(AND($M709&lt;&gt;"",$N709="VCA",$Q709="LINEAR"),$M709,IF(AND($M709&lt;&gt;"",$N709="MND",$Q709="EMBOQUE"),$AN709*2,0))</f>
        <v>8.36</v>
      </c>
      <c r="BJ709" s="153" t="n">
        <f aca="false">IF(AND($M709&lt;&gt;"",$N709="VCA",$Q709="LINEAR"),($M709*6.8)/100,IF(AND($M709&lt;&gt;"",$N709="MND",$Q709="EMBOQUE"),($AN709*2*6.8)/100,0))</f>
        <v>0.56848</v>
      </c>
      <c r="BK709" s="153" t="n">
        <f aca="false">IF(AND($M709&lt;&gt;"",$N709="VCA",$Q709="LINEAR"),($M709*2.5)/50,IF(AND($M709&lt;&gt;"",$N709="MND",$Q709="EMBOQUE"),($AN709*2*2.5)/50,0))</f>
        <v>0.418</v>
      </c>
      <c r="BL709" s="157" t="str">
        <f aca="false">K709&amp;J709</f>
        <v>Zona07REDES</v>
      </c>
      <c r="BM709" s="152" t="s">
        <v>4225</v>
      </c>
      <c r="BN709" s="152" t="s">
        <v>1560</v>
      </c>
      <c r="BO709" s="152" t="s">
        <v>4004</v>
      </c>
      <c r="BP709" s="152" t="s">
        <v>4093</v>
      </c>
      <c r="BQ709" s="152" t="s">
        <v>4231</v>
      </c>
      <c r="BR709" s="152" t="s">
        <v>4249</v>
      </c>
      <c r="BS709" s="152" t="n">
        <v>203686.449</v>
      </c>
      <c r="BT709" s="152" t="n">
        <v>8236690.158</v>
      </c>
      <c r="BU709" s="152" t="n">
        <v>203683.091</v>
      </c>
      <c r="BV709" s="152" t="n">
        <v>8236688.192</v>
      </c>
      <c r="BW709" s="152" t="n">
        <v>-15.9313824</v>
      </c>
      <c r="BX709" s="152" t="n">
        <v>-47.7676558</v>
      </c>
      <c r="BY709" s="152" t="s">
        <v>4093</v>
      </c>
    </row>
    <row r="710" customFormat="false" ht="13.8" hidden="false" customHeight="false" outlineLevel="0" collapsed="false">
      <c r="A710" s="149" t="n">
        <f aca="false">IF(C710&lt;&gt;"",ROW(A705),"")</f>
        <v>705</v>
      </c>
      <c r="B710" s="150" t="str">
        <f aca="false">HYPERLINK("https://www.google.com/maps/dir/-15.917302,-47.760003/-15.9313911,-47.7676716/data=!4m3!4m2!3e0!5i2")</f>
        <v>https://www.google.com/maps/dir/-15.917302,-47.760003/-15.9313911,-47.7676716/data=!4m3!4m2!3e0!5i2</v>
      </c>
      <c r="C710" s="151" t="s">
        <v>117</v>
      </c>
      <c r="D710" s="152" t="s">
        <v>112</v>
      </c>
      <c r="E710" s="152" t="s">
        <v>113</v>
      </c>
      <c r="F710" s="152" t="s">
        <v>117</v>
      </c>
      <c r="G710" s="152" t="s">
        <v>782</v>
      </c>
      <c r="H710" s="152" t="n">
        <v>90</v>
      </c>
      <c r="I710" s="152" t="s">
        <v>115</v>
      </c>
      <c r="J710" s="152" t="s">
        <v>6</v>
      </c>
      <c r="K710" s="152" t="s">
        <v>4221</v>
      </c>
      <c r="L710" s="152" t="s">
        <v>120</v>
      </c>
      <c r="M710" s="153" t="n">
        <f aca="false">6.66</f>
        <v>6.66</v>
      </c>
      <c r="N710" s="152" t="s">
        <v>1548</v>
      </c>
      <c r="O710" s="152" t="s">
        <v>1549</v>
      </c>
      <c r="P710" s="152" t="s">
        <v>1550</v>
      </c>
      <c r="Q710" s="152" t="s">
        <v>1551</v>
      </c>
      <c r="R710" s="154" t="s">
        <v>4250</v>
      </c>
      <c r="S710" s="154" t="s">
        <v>1593</v>
      </c>
      <c r="T710" s="155" t="s">
        <v>4002</v>
      </c>
      <c r="U710" s="152" t="str">
        <f aca="false">RIGHT(T710,7)</f>
        <v>015/037</v>
      </c>
      <c r="V710" s="152" t="s">
        <v>1555</v>
      </c>
      <c r="W710" s="156" t="n">
        <v>45882</v>
      </c>
      <c r="X710" s="152" t="s">
        <v>1594</v>
      </c>
      <c r="Y710" s="152" t="s">
        <v>2323</v>
      </c>
      <c r="Z710" s="152" t="s">
        <v>1557</v>
      </c>
      <c r="AA710" s="153" t="n">
        <v>4</v>
      </c>
      <c r="AB710" s="151" t="s">
        <v>4251</v>
      </c>
      <c r="AC710" s="151" t="s">
        <v>526</v>
      </c>
      <c r="AD710" s="151" t="str">
        <f aca="false">CONCATENATE($C710,$I710,$H710,$N710,$J710,$K710)</f>
        <v>TUBO PEADPEAD90VCAREDESZona07</v>
      </c>
      <c r="AE710" s="153" t="n">
        <f aca="false">IFERROR(INDEX(APOIO_REDES!$A:$W,MATCH($C710&amp;$I710&amp;$H710&amp;$N710&amp;$O710,APOIO_REDES!$W:$W,0),MATCH(AE$5,APOIO_REDES!$5:$5,0)),0)</f>
        <v>1.2</v>
      </c>
      <c r="AF710" s="153" t="n">
        <f aca="false">IFERROR(INDEX(APOIO_REDES!$A:$W,MATCH($C710&amp;$I710&amp;$H710&amp;$N710&amp;$O710,APOIO_REDES!$W:$W,0),MATCH(AF$5,APOIO_REDES!$5:$5,0)),0)</f>
        <v>1.39</v>
      </c>
      <c r="AG710" s="153" t="n">
        <f aca="false">IFERROR(INDEX(APOIO_REDES!$A:$W,MATCH($C710&amp;$I710&amp;$H710&amp;$N710&amp;$O710,APOIO_REDES!$W:$W,0),MATCH(AG$5,APOIO_REDES!$5:$5,0)),0)</f>
        <v>0.75</v>
      </c>
      <c r="AH710" s="153" t="n">
        <f aca="false">IFERROR(INDEX(APOIO_REDES!$A:$W,MATCH($C710&amp;$I710&amp;$H710&amp;$N710&amp;$O710,APOIO_REDES!$W:$W,0),MATCH(AH$5,APOIO_REDES!$5:$5,0)),0)</f>
        <v>0.1</v>
      </c>
      <c r="AI710" s="153" t="n">
        <f aca="false">IFERROR(IF($H710&lt;&gt;"",(((($H710/1000)/2)^2)*PI()*$M710),0),0)</f>
        <v>0.0423690893226387</v>
      </c>
      <c r="AJ710" s="153" t="n">
        <f aca="false">IFERROR(IF(AND($H710&lt;&gt;"",$I710="FoFo",OR($N710="MND",$N710="VCA"),$Q710="LINEAR"),0,IF(AND($H710&lt;&gt;"",$I710="PEAD",$N710="VCA",$Q710="LINEAR"),($H710/1000)+0.3,IF(AND($H710&lt;&gt;"",$I710="PEAD",$N710="MND",$Q710="EMBOQUE"),0,IF(AND($H710&lt;&gt;"",$I710="PVC",$N710="VCA",$Q710="LINEAR"),($H710/1000)+0.2,IF(AND($H710&lt;&gt;"",$I710="PVC",$N710="MND",$Q710="EMBOQUE"),0,IF(AND($H710&lt;&gt;"",$I710="PEAD",$N710="VCA",$Q710="PREDIAL"),0,0)))))),0)</f>
        <v>0.39</v>
      </c>
      <c r="AK710" s="153" t="n">
        <f aca="false">IF(AA710&lt;&gt;"",AA710,0)</f>
        <v>4</v>
      </c>
      <c r="AL710" s="153" t="n">
        <f aca="false">IF(AND($N710="MND",$Q710="EMBOQUE"),$M710,IF(AND($N710="VCA",$Q710="LINEAR"),$M710,IF(AND($N710="VCA",$Q710="PREDIAL"),0,0)))</f>
        <v>6.66</v>
      </c>
      <c r="AM710" s="153" t="n">
        <f aca="false">IF(AND($N710="MND",$Q710="EMBOQUE"),$M710,IF(AND($N710="VCA",$Q710="LINEAR"),$M710,IF(AND($N710="VCA",$Q710="PREDIAL"),0,0)))</f>
        <v>6.66</v>
      </c>
      <c r="AN710" s="153" t="n">
        <f aca="false">ROUND(IF(AND($N710="VCA",$M710&lt;&gt;"",$Q710="LINEAR"),$M710/100,IF(AND($N710="MND",$M710&gt;100,$Q710="EMBOQUE"),$M710/100,0)),0)</f>
        <v>0</v>
      </c>
      <c r="AO710" s="153" t="n">
        <f aca="false">IF(AND($N710="MND",$Q710="EMBOQUE"),$AN710*2*2,IF(AND($N710="VCA",$Q710="LINEAR"),$M710*2,IF(AND($N710="VCA",$Q710="PREDIAL"),0,0)))</f>
        <v>13.32</v>
      </c>
      <c r="AP710" s="153" t="n">
        <f aca="false">IFERROR($M710*$AF710*$AG710,0)</f>
        <v>6.94305</v>
      </c>
      <c r="AQ710" s="153" t="n">
        <f aca="false">IFERROR(IF(AND($N710="VCA",$AH710&gt;0),$M710*$AG710*$AH710,0),0)</f>
        <v>0.4995</v>
      </c>
      <c r="AR710" s="153" t="n">
        <f aca="false">IFERROR(IF(AND($N710="VCA",$AJ710&gt;0),($M710*$AG710*$AJ710)-$AI710,0),0)</f>
        <v>1.90568091067736</v>
      </c>
      <c r="AS710" s="153" t="n">
        <f aca="false">IFERROR(IF(AND($N710="VCA",$AP710&gt;0),$AP710-$AI710-$AQ710-$AR710,0),0)</f>
        <v>4.4955</v>
      </c>
      <c r="AT710" s="153" t="n">
        <f aca="false">IFERROR(IF($N710="VCA",INDEX(APOIO_REDES!$A:$W,MATCH($C710&amp;$I710&amp;$H710&amp;$N710&amp;$O710,APOIO_REDES!$W:$W,0),MATCH(AT$5,APOIO_REDES!$5:$5,0)),0)*$AP710,0)</f>
        <v>0.0755424390379008</v>
      </c>
      <c r="AU710" s="153" t="n">
        <f aca="false">IFERROR(IF($N710="VCA",INDEX(APOIO_REDES!$A:$W,MATCH($C710&amp;$I710&amp;$H710&amp;$N710&amp;$O710,APOIO_REDES!$W:$W,0),MATCH(AU$5,APOIO_REDES!$5:$5,0)),0)*$AP710,0)</f>
        <v>0.0603261458669502</v>
      </c>
      <c r="AV710" s="153" t="n">
        <f aca="false">IFERROR(IF($N710="VCA",INDEX(APOIO_REDES!$A:$W,MATCH($C710&amp;$I710&amp;$H710&amp;$N710&amp;$O710,APOIO_REDES!$W:$W,0),MATCH(AV$5,APOIO_REDES!$5:$5,0)),0)*$AP710,0)</f>
        <v>0.00834866500917274</v>
      </c>
      <c r="AW710" s="153" t="n">
        <f aca="false">IFERROR(IF($N710="VCA",INDEX(APOIO_REDES!$A:$W,MATCH($C710&amp;$I710&amp;$H710&amp;$N710&amp;$O710,APOIO_REDES!$W:$W,0),MATCH(AW$5,APOIO_REDES!$5:$5,0)),0)*$AP710,0)</f>
        <v>4.76576331737658</v>
      </c>
      <c r="AX710" s="153" t="n">
        <f aca="false">IFERROR(IF($N710="VCA",INDEX(APOIO_REDES!$A:$W,MATCH($C710&amp;$I710&amp;$H710&amp;$N710&amp;$O710,APOIO_REDES!$W:$W,0),MATCH(AX$5,APOIO_REDES!$5:$5,0)),0)*$AP710,0)</f>
        <v>0.659568067591139</v>
      </c>
      <c r="AY710" s="153" t="n">
        <f aca="false">IFERROR(IF($N710="VCA",INDEX(APOIO_REDES!$A:$W,MATCH($C710&amp;$I710&amp;$H710&amp;$N710&amp;$O710,APOIO_REDES!$W:$W,0),MATCH(AY$5,APOIO_REDES!$5:$5,0)),0)*$AP710,0)</f>
        <v>1.20652218196818</v>
      </c>
      <c r="AZ710" s="153" t="n">
        <f aca="false">IFERROR(IF($N710="VCA",INDEX(APOIO_REDES!$A:$W,MATCH($C710&amp;$I710&amp;$H710&amp;$N710&amp;$O710,APOIO_REDES!$W:$W,0),MATCH(AZ$5,APOIO_REDES!$5:$5,0)),0)*$AP710,0)</f>
        <v>0.166979183150078</v>
      </c>
      <c r="BA710" s="153" t="n">
        <f aca="false">IFERROR(IF(AND($N710="VCA",$Q710="LINEAR"),INDEX(APOIO_REDES!$A:$W,MATCH($C710&amp;$I710&amp;$H710&amp;$N710&amp;$O710,APOIO_REDES!$W:$W,0),MATCH(BA$5,APOIO_REDES!$5:$5,0)),IF(AND($N710="MND",$Q710="EMBOQUE"),INDEX(APOIO_REDES!$A:$W,MATCH($C710&amp;$I710&amp;$H710&amp;$N710&amp;$O710,APOIO_REDES!$W:$W,0),MATCH(BA$5,APOIO_REDES!$5:$5,0)),0))*$M710/10,0)</f>
        <v>0.536779200681337</v>
      </c>
      <c r="BB710" s="153" t="n">
        <f aca="false">IFERROR(IF($N710="VCA",INDEX(APOIO_REDES!$A:$W,MATCH($C710&amp;$I710&amp;$H710&amp;$N710&amp;$O710,APOIO_REDES!$W:$W,0),MATCH(BB$5,APOIO_REDES!$5:$5,0)),0)*($AI710+$AQ710+$AR710),0)</f>
        <v>2.42091993156218</v>
      </c>
      <c r="BC710" s="153" t="n">
        <f aca="false">IFERROR(IF($N710="VCA",INDEX(APOIO_REDES!$A:$W,MATCH($C710&amp;$I710&amp;$H710&amp;$N710&amp;$O710,APOIO_REDES!$W:$W,0),MATCH(BC$5,APOIO_REDES!$5:$5,0)),0)*($AI710+$AQ710+$AR710),0)</f>
        <v>0.0266300684378212</v>
      </c>
      <c r="BD710" s="153" t="n">
        <f aca="false">IF(AND($N710="VCA",$AF710&gt;=1.25,$AF710&lt;1.5),$M710*$AF710*2,0)</f>
        <v>18.5148</v>
      </c>
      <c r="BE710" s="153" t="n">
        <f aca="false">IF(AND($N710="VCA",$AF710&gt;=1.5,$AF710&lt;3),$M710*$AF710*2,0)</f>
        <v>0</v>
      </c>
      <c r="BF710" s="153" t="n">
        <f aca="false">IF(AND($N710="VCA",$AF710&gt;=3),$M710*$AF710*2,0)</f>
        <v>0</v>
      </c>
      <c r="BG710" s="153" t="n">
        <f aca="false">($BB710+$BC710)*$AK710</f>
        <v>9.7902</v>
      </c>
      <c r="BH710" s="153" t="n">
        <f aca="false">IF(AND($M710&lt;&gt;"",$N710="VCA",$Q710="LINEAR"),($M710*2)/100,IF(AND($M710&lt;&gt;"",$N710="MND",$Q710="EMBOQUE"),($AN710*2)/100,0))</f>
        <v>0.1332</v>
      </c>
      <c r="BI710" s="153" t="n">
        <f aca="false">IF(AND($M710&lt;&gt;"",$N710="VCA",$Q710="LINEAR"),$M710,IF(AND($M710&lt;&gt;"",$N710="MND",$Q710="EMBOQUE"),$AN710*2,0))</f>
        <v>6.66</v>
      </c>
      <c r="BJ710" s="153" t="n">
        <f aca="false">IF(AND($M710&lt;&gt;"",$N710="VCA",$Q710="LINEAR"),($M710*6.8)/100,IF(AND($M710&lt;&gt;"",$N710="MND",$Q710="EMBOQUE"),($AN710*2*6.8)/100,0))</f>
        <v>0.45288</v>
      </c>
      <c r="BK710" s="153" t="n">
        <f aca="false">IF(AND($M710&lt;&gt;"",$N710="VCA",$Q710="LINEAR"),($M710*2.5)/50,IF(AND($M710&lt;&gt;"",$N710="MND",$Q710="EMBOQUE"),($AN710*2*2.5)/50,0))</f>
        <v>0.333</v>
      </c>
      <c r="BL710" s="157" t="str">
        <f aca="false">K710&amp;J710</f>
        <v>Zona07REDES</v>
      </c>
      <c r="BM710" s="152" t="s">
        <v>4225</v>
      </c>
      <c r="BN710" s="152" t="s">
        <v>1560</v>
      </c>
      <c r="BO710" s="152" t="s">
        <v>4004</v>
      </c>
      <c r="BP710" s="152" t="s">
        <v>4231</v>
      </c>
      <c r="BQ710" s="152" t="s">
        <v>2232</v>
      </c>
      <c r="BR710" s="152" t="s">
        <v>4252</v>
      </c>
      <c r="BS710" s="152" t="n">
        <v>203682.659</v>
      </c>
      <c r="BT710" s="152" t="n">
        <v>8236687.939</v>
      </c>
      <c r="BU710" s="152" t="n">
        <v>203676.959</v>
      </c>
      <c r="BV710" s="152" t="n">
        <v>8236684.488</v>
      </c>
      <c r="BW710" s="152" t="n">
        <v>-15.9314085</v>
      </c>
      <c r="BX710" s="152" t="n">
        <v>-47.7677024</v>
      </c>
      <c r="BY710" s="152" t="s">
        <v>4231</v>
      </c>
    </row>
    <row r="711" customFormat="false" ht="13.8" hidden="false" customHeight="false" outlineLevel="0" collapsed="false">
      <c r="A711" s="149" t="n">
        <f aca="false">IF(C711&lt;&gt;"",ROW(A706),"")</f>
        <v>706</v>
      </c>
      <c r="B711" s="150" t="str">
        <f aca="false">HYPERLINK("https://www.google.com/maps/dir/-15.917302,-47.760003/-15.9310565,-47.7679795/data=!4m3!4m2!3e0!5i2")</f>
        <v>https://www.google.com/maps/dir/-15.917302,-47.760003/-15.9310565,-47.7679795/data=!4m3!4m2!3e0!5i2</v>
      </c>
      <c r="C711" s="151" t="s">
        <v>117</v>
      </c>
      <c r="D711" s="152" t="s">
        <v>112</v>
      </c>
      <c r="E711" s="152" t="s">
        <v>113</v>
      </c>
      <c r="F711" s="152" t="s">
        <v>117</v>
      </c>
      <c r="G711" s="152" t="s">
        <v>782</v>
      </c>
      <c r="H711" s="152" t="n">
        <v>63</v>
      </c>
      <c r="I711" s="152" t="s">
        <v>115</v>
      </c>
      <c r="J711" s="152" t="s">
        <v>6</v>
      </c>
      <c r="K711" s="152" t="s">
        <v>4221</v>
      </c>
      <c r="L711" s="152" t="s">
        <v>120</v>
      </c>
      <c r="M711" s="153" t="n">
        <f aca="false">128.34+0.38</f>
        <v>128.72</v>
      </c>
      <c r="N711" s="152" t="s">
        <v>1548</v>
      </c>
      <c r="O711" s="152" t="s">
        <v>1549</v>
      </c>
      <c r="P711" s="152" t="s">
        <v>1550</v>
      </c>
      <c r="Q711" s="152" t="s">
        <v>1551</v>
      </c>
      <c r="R711" s="154" t="s">
        <v>4253</v>
      </c>
      <c r="S711" s="154" t="s">
        <v>1553</v>
      </c>
      <c r="T711" s="155" t="s">
        <v>4002</v>
      </c>
      <c r="U711" s="152" t="str">
        <f aca="false">RIGHT(T711,7)</f>
        <v>015/037</v>
      </c>
      <c r="V711" s="152" t="s">
        <v>1555</v>
      </c>
      <c r="W711" s="156" t="n">
        <v>45882</v>
      </c>
      <c r="X711" s="152" t="s">
        <v>1594</v>
      </c>
      <c r="Y711" s="152" t="s">
        <v>4223</v>
      </c>
      <c r="Z711" s="152" t="s">
        <v>1557</v>
      </c>
      <c r="AA711" s="153" t="n">
        <v>4.1</v>
      </c>
      <c r="AB711" s="151" t="s">
        <v>4254</v>
      </c>
      <c r="AC711" s="151" t="s">
        <v>186</v>
      </c>
      <c r="AD711" s="151" t="str">
        <f aca="false">CONCATENATE($C711,$I711,$H711,$N711,$J711,$K711)</f>
        <v>TUBO PEADPEAD63VCAREDESZona07</v>
      </c>
      <c r="AE711" s="153" t="n">
        <f aca="false">IFERROR(INDEX(APOIO_REDES!$A:$W,MATCH($C711&amp;$I711&amp;$H711&amp;$N711&amp;$O711,APOIO_REDES!$W:$W,0),MATCH(AE$5,APOIO_REDES!$5:$5,0)),0)</f>
        <v>1.2</v>
      </c>
      <c r="AF711" s="153" t="n">
        <f aca="false">IFERROR(INDEX(APOIO_REDES!$A:$W,MATCH($C711&amp;$I711&amp;$H711&amp;$N711&amp;$O711,APOIO_REDES!$W:$W,0),MATCH(AF$5,APOIO_REDES!$5:$5,0)),0)</f>
        <v>1.363</v>
      </c>
      <c r="AG711" s="153" t="n">
        <f aca="false">IFERROR(INDEX(APOIO_REDES!$A:$W,MATCH($C711&amp;$I711&amp;$H711&amp;$N711&amp;$O711,APOIO_REDES!$W:$W,0),MATCH(AG$5,APOIO_REDES!$5:$5,0)),0)</f>
        <v>0.65</v>
      </c>
      <c r="AH711" s="153" t="n">
        <f aca="false">IFERROR(INDEX(APOIO_REDES!$A:$W,MATCH($C711&amp;$I711&amp;$H711&amp;$N711&amp;$O711,APOIO_REDES!$W:$W,0),MATCH(AH$5,APOIO_REDES!$5:$5,0)),0)</f>
        <v>0.1</v>
      </c>
      <c r="AI711" s="153" t="n">
        <f aca="false">IFERROR(IF($H711&lt;&gt;"",(((($H711/1000)/2)^2)*PI()*$M711),0),0)</f>
        <v>0.40125181637071</v>
      </c>
      <c r="AJ711" s="153" t="n">
        <f aca="false">IFERROR(IF(AND($H711&lt;&gt;"",$I711="FoFo",OR($N711="MND",$N711="VCA"),$Q711="LINEAR"),0,IF(AND($H711&lt;&gt;"",$I711="PEAD",$N711="VCA",$Q711="LINEAR"),($H711/1000)+0.3,IF(AND($H711&lt;&gt;"",$I711="PEAD",$N711="MND",$Q711="EMBOQUE"),0,IF(AND($H711&lt;&gt;"",$I711="PVC",$N711="VCA",$Q711="LINEAR"),($H711/1000)+0.2,IF(AND($H711&lt;&gt;"",$I711="PVC",$N711="MND",$Q711="EMBOQUE"),0,IF(AND($H711&lt;&gt;"",$I711="PEAD",$N711="VCA",$Q711="PREDIAL"),0,0)))))),0)</f>
        <v>0.363</v>
      </c>
      <c r="AK711" s="153" t="n">
        <f aca="false">IF(AA711&lt;&gt;"",AA711,0)</f>
        <v>4.1</v>
      </c>
      <c r="AL711" s="153" t="n">
        <f aca="false">IF(AND($N711="MND",$Q711="EMBOQUE"),$M711,IF(AND($N711="VCA",$Q711="LINEAR"),$M711,IF(AND($N711="VCA",$Q711="PREDIAL"),0,0)))</f>
        <v>128.72</v>
      </c>
      <c r="AM711" s="153" t="n">
        <f aca="false">IF(AND($N711="MND",$Q711="EMBOQUE"),$M711,IF(AND($N711="VCA",$Q711="LINEAR"),$M711,IF(AND($N711="VCA",$Q711="PREDIAL"),0,0)))</f>
        <v>128.72</v>
      </c>
      <c r="AN711" s="153" t="n">
        <f aca="false">ROUND(IF(AND($N711="VCA",$M711&lt;&gt;"",$Q711="LINEAR"),$M711/100,IF(AND($N711="MND",$M711&gt;100,$Q711="EMBOQUE"),$M711/100,0)),0)</f>
        <v>1</v>
      </c>
      <c r="AO711" s="153" t="n">
        <f aca="false">IF(AND($N711="MND",$Q711="EMBOQUE"),$AN711*2*2,IF(AND($N711="VCA",$Q711="LINEAR"),$M711*2,IF(AND($N711="VCA",$Q711="PREDIAL"),0,0)))</f>
        <v>257.44</v>
      </c>
      <c r="AP711" s="153" t="n">
        <f aca="false">IFERROR($M711*$AF711*$AG711,0)</f>
        <v>114.039484</v>
      </c>
      <c r="AQ711" s="153" t="n">
        <f aca="false">IFERROR(IF(AND($N711="VCA",$AH711&gt;0),$M711*$AG711*$AH711,0),0)</f>
        <v>8.3668</v>
      </c>
      <c r="AR711" s="153" t="n">
        <f aca="false">IFERROR(IF(AND($N711="VCA",$AJ711&gt;0),($M711*$AG711*$AJ711)-$AI711,0),0)</f>
        <v>29.9702321836293</v>
      </c>
      <c r="AS711" s="153" t="n">
        <f aca="false">IFERROR(IF(AND($N711="VCA",$AP711&gt;0),$AP711-$AI711-$AQ711-$AR711,0),0)</f>
        <v>75.3012</v>
      </c>
      <c r="AT711" s="153" t="n">
        <f aca="false">IFERROR(IF($N711="VCA",INDEX(APOIO_REDES!$A:$W,MATCH($C711&amp;$I711&amp;$H711&amp;$N711&amp;$O711,APOIO_REDES!$W:$W,0),MATCH(AT$5,APOIO_REDES!$5:$5,0)),0)*$AP711,0)</f>
        <v>1.2407833398843</v>
      </c>
      <c r="AU711" s="153" t="n">
        <f aca="false">IFERROR(IF($N711="VCA",INDEX(APOIO_REDES!$A:$W,MATCH($C711&amp;$I711&amp;$H711&amp;$N711&amp;$O711,APOIO_REDES!$W:$W,0),MATCH(AU$5,APOIO_REDES!$5:$5,0)),0)*$AP711,0)</f>
        <v>0.990855970556994</v>
      </c>
      <c r="AV711" s="153" t="n">
        <f aca="false">IFERROR(IF($N711="VCA",INDEX(APOIO_REDES!$A:$W,MATCH($C711&amp;$I711&amp;$H711&amp;$N711&amp;$O711,APOIO_REDES!$W:$W,0),MATCH(AV$5,APOIO_REDES!$5:$5,0)),0)*$AP711,0)</f>
        <v>0.137126687800738</v>
      </c>
      <c r="AW711" s="153" t="n">
        <f aca="false">IFERROR(IF($N711="VCA",INDEX(APOIO_REDES!$A:$W,MATCH($C711&amp;$I711&amp;$H711&amp;$N711&amp;$O711,APOIO_REDES!$W:$W,0),MATCH(AW$5,APOIO_REDES!$5:$5,0)),0)*$AP711,0)</f>
        <v>78.2775854386406</v>
      </c>
      <c r="AX711" s="153" t="n">
        <f aca="false">IFERROR(IF($N711="VCA",INDEX(APOIO_REDES!$A:$W,MATCH($C711&amp;$I711&amp;$H711&amp;$N711&amp;$O711,APOIO_REDES!$W:$W,0),MATCH(AX$5,APOIO_REDES!$5:$5,0)),0)*$AP711,0)</f>
        <v>10.833394846785</v>
      </c>
      <c r="AY711" s="153" t="n">
        <f aca="false">IFERROR(IF($N711="VCA",INDEX(APOIO_REDES!$A:$W,MATCH($C711&amp;$I711&amp;$H711&amp;$N711&amp;$O711,APOIO_REDES!$W:$W,0),MATCH(AY$5,APOIO_REDES!$5:$5,0)),0)*$AP711,0)</f>
        <v>19.8171073326859</v>
      </c>
      <c r="AZ711" s="153" t="n">
        <f aca="false">IFERROR(IF($N711="VCA",INDEX(APOIO_REDES!$A:$W,MATCH($C711&amp;$I711&amp;$H711&amp;$N711&amp;$O711,APOIO_REDES!$W:$W,0),MATCH(AZ$5,APOIO_REDES!$5:$5,0)),0)*$AP711,0)</f>
        <v>2.74263038364644</v>
      </c>
      <c r="BA711" s="153" t="n">
        <f aca="false">IFERROR(IF(AND($N711="VCA",$Q711="LINEAR"),INDEX(APOIO_REDES!$A:$W,MATCH($C711&amp;$I711&amp;$H711&amp;$N711&amp;$O711,APOIO_REDES!$W:$W,0),MATCH(BA$5,APOIO_REDES!$5:$5,0)),IF(AND($N711="MND",$Q711="EMBOQUE"),INDEX(APOIO_REDES!$A:$W,MATCH($C711&amp;$I711&amp;$H711&amp;$N711&amp;$O711,APOIO_REDES!$W:$W,0),MATCH(BA$5,APOIO_REDES!$5:$5,0)),0))*$M711/10,0)</f>
        <v>10.3745073140693</v>
      </c>
      <c r="BB711" s="153" t="n">
        <f aca="false">IFERROR(IF($N711="VCA",INDEX(APOIO_REDES!$A:$W,MATCH($C711&amp;$I711&amp;$H711&amp;$N711&amp;$O711,APOIO_REDES!$W:$W,0),MATCH(BB$5,APOIO_REDES!$5:$5,0)),0)*($AI711+$AQ711+$AR711),0)</f>
        <v>38.3168000041332</v>
      </c>
      <c r="BC711" s="153" t="n">
        <f aca="false">IFERROR(IF($N711="VCA",INDEX(APOIO_REDES!$A:$W,MATCH($C711&amp;$I711&amp;$H711&amp;$N711&amp;$O711,APOIO_REDES!$W:$W,0),MATCH(BC$5,APOIO_REDES!$5:$5,0)),0)*($AI711+$AQ711+$AR711),0)</f>
        <v>0.421483995866786</v>
      </c>
      <c r="BD711" s="153" t="n">
        <f aca="false">IF(AND($N711="VCA",$AF711&gt;=1.25,$AF711&lt;1.5),$M711*$AF711*2,0)</f>
        <v>350.89072</v>
      </c>
      <c r="BE711" s="153" t="n">
        <f aca="false">IF(AND($N711="VCA",$AF711&gt;=1.5,$AF711&lt;3),$M711*$AF711*2,0)</f>
        <v>0</v>
      </c>
      <c r="BF711" s="153" t="n">
        <f aca="false">IF(AND($N711="VCA",$AF711&gt;=3),$M711*$AF711*2,0)</f>
        <v>0</v>
      </c>
      <c r="BG711" s="153" t="n">
        <f aca="false">($BB711+$BC711)*$AK711</f>
        <v>158.8269644</v>
      </c>
      <c r="BH711" s="153" t="n">
        <f aca="false">IF(AND($M711&lt;&gt;"",$N711="VCA",$Q711="LINEAR"),($M711*2)/100,IF(AND($M711&lt;&gt;"",$N711="MND",$Q711="EMBOQUE"),($AN711*2)/100,0))</f>
        <v>2.5744</v>
      </c>
      <c r="BI711" s="153" t="n">
        <f aca="false">IF(AND($M711&lt;&gt;"",$N711="VCA",$Q711="LINEAR"),$M711,IF(AND($M711&lt;&gt;"",$N711="MND",$Q711="EMBOQUE"),$AN711*2,0))</f>
        <v>128.72</v>
      </c>
      <c r="BJ711" s="153" t="n">
        <f aca="false">IF(AND($M711&lt;&gt;"",$N711="VCA",$Q711="LINEAR"),($M711*6.8)/100,IF(AND($M711&lt;&gt;"",$N711="MND",$Q711="EMBOQUE"),($AN711*2*6.8)/100,0))</f>
        <v>8.75296</v>
      </c>
      <c r="BK711" s="153" t="n">
        <f aca="false">IF(AND($M711&lt;&gt;"",$N711="VCA",$Q711="LINEAR"),($M711*2.5)/50,IF(AND($M711&lt;&gt;"",$N711="MND",$Q711="EMBOQUE"),($AN711*2*2.5)/50,0))</f>
        <v>6.436</v>
      </c>
      <c r="BL711" s="157" t="str">
        <f aca="false">K711&amp;J711</f>
        <v>Zona07REDES</v>
      </c>
      <c r="BM711" s="152" t="s">
        <v>4225</v>
      </c>
      <c r="BN711" s="152" t="s">
        <v>1560</v>
      </c>
      <c r="BO711" s="152" t="s">
        <v>4004</v>
      </c>
      <c r="BP711" s="152" t="s">
        <v>4226</v>
      </c>
      <c r="BQ711" s="152" t="s">
        <v>4255</v>
      </c>
      <c r="BR711" s="152" t="s">
        <v>4256</v>
      </c>
      <c r="BS711" s="152" t="n">
        <v>203649.608</v>
      </c>
      <c r="BT711" s="152" t="n">
        <v>8236724.803</v>
      </c>
      <c r="BU711" s="152" t="n">
        <v>203546.16</v>
      </c>
      <c r="BV711" s="152" t="n">
        <v>8236648.895</v>
      </c>
      <c r="BW711" s="152" t="n">
        <v>-15.9313997</v>
      </c>
      <c r="BX711" s="152" t="n">
        <v>-47.7684621</v>
      </c>
      <c r="BY711" s="152" t="s">
        <v>4226</v>
      </c>
    </row>
    <row r="712" customFormat="false" ht="13.8" hidden="false" customHeight="false" outlineLevel="0" collapsed="false">
      <c r="A712" s="149" t="n">
        <f aca="false">IF(C712&lt;&gt;"",ROW(A707),"")</f>
        <v>707</v>
      </c>
      <c r="B712" s="150" t="str">
        <f aca="false">HYPERLINK("https://www.google.com/maps/dir/-15.917302,-47.760003/-15.9313317,-47.7691144/data=!4m3!4m2!3e0!5i1")</f>
        <v>https://www.google.com/maps/dir/-15.917302,-47.760003/-15.9313317,-47.7691144/data=!4m3!4m2!3e0!5i1</v>
      </c>
      <c r="C712" s="151" t="s">
        <v>117</v>
      </c>
      <c r="D712" s="152" t="s">
        <v>112</v>
      </c>
      <c r="E712" s="152" t="s">
        <v>113</v>
      </c>
      <c r="F712" s="152" t="s">
        <v>117</v>
      </c>
      <c r="G712" s="152" t="s">
        <v>114</v>
      </c>
      <c r="H712" s="152" t="n">
        <v>160</v>
      </c>
      <c r="I712" s="152" t="s">
        <v>115</v>
      </c>
      <c r="J712" s="152" t="s">
        <v>6</v>
      </c>
      <c r="K712" s="152" t="s">
        <v>4221</v>
      </c>
      <c r="L712" s="152" t="s">
        <v>120</v>
      </c>
      <c r="M712" s="153" t="n">
        <f aca="false">47.5</f>
        <v>47.5</v>
      </c>
      <c r="N712" s="152" t="s">
        <v>1548</v>
      </c>
      <c r="O712" s="152" t="s">
        <v>1549</v>
      </c>
      <c r="P712" s="152" t="s">
        <v>1550</v>
      </c>
      <c r="Q712" s="152" t="s">
        <v>1551</v>
      </c>
      <c r="R712" s="154" t="s">
        <v>4257</v>
      </c>
      <c r="S712" s="154" t="s">
        <v>1593</v>
      </c>
      <c r="T712" s="155" t="s">
        <v>4002</v>
      </c>
      <c r="U712" s="152" t="str">
        <f aca="false">RIGHT(T712,7)</f>
        <v>015/037</v>
      </c>
      <c r="V712" s="152" t="s">
        <v>1555</v>
      </c>
      <c r="W712" s="156" t="n">
        <v>45882</v>
      </c>
      <c r="X712" s="152" t="s">
        <v>1594</v>
      </c>
      <c r="Y712" s="152" t="s">
        <v>4030</v>
      </c>
      <c r="Z712" s="152" t="s">
        <v>1557</v>
      </c>
      <c r="AA712" s="153" t="n">
        <v>4.5</v>
      </c>
      <c r="AB712" s="151" t="s">
        <v>4258</v>
      </c>
      <c r="AC712" s="151" t="s">
        <v>505</v>
      </c>
      <c r="AD712" s="151" t="str">
        <f aca="false">CONCATENATE($C712,$I712,$H712,$N712,$J712,$K712)</f>
        <v>TUBO PEADPEAD160VCAREDESZona07</v>
      </c>
      <c r="AE712" s="153" t="n">
        <f aca="false">IFERROR(INDEX(APOIO_REDES!$A:$W,MATCH($C712&amp;$I712&amp;$H712&amp;$N712&amp;$O712,APOIO_REDES!$W:$W,0),MATCH(AE$5,APOIO_REDES!$5:$5,0)),0)</f>
        <v>1.2</v>
      </c>
      <c r="AF712" s="153" t="n">
        <f aca="false">IFERROR(INDEX(APOIO_REDES!$A:$W,MATCH($C712&amp;$I712&amp;$H712&amp;$N712&amp;$O712,APOIO_REDES!$W:$W,0),MATCH(AF$5,APOIO_REDES!$5:$5,0)),0)</f>
        <v>1.46</v>
      </c>
      <c r="AG712" s="153" t="n">
        <f aca="false">IFERROR(INDEX(APOIO_REDES!$A:$W,MATCH($C712&amp;$I712&amp;$H712&amp;$N712&amp;$O712,APOIO_REDES!$W:$W,0),MATCH(AG$5,APOIO_REDES!$5:$5,0)),0)</f>
        <v>0.75</v>
      </c>
      <c r="AH712" s="153" t="n">
        <f aca="false">IFERROR(INDEX(APOIO_REDES!$A:$W,MATCH($C712&amp;$I712&amp;$H712&amp;$N712&amp;$O712,APOIO_REDES!$W:$W,0),MATCH(AH$5,APOIO_REDES!$5:$5,0)),0)</f>
        <v>0.1</v>
      </c>
      <c r="AI712" s="153" t="n">
        <f aca="false">IFERROR(IF($H712&lt;&gt;"",(((($H712/1000)/2)^2)*PI()*$M712),0),0)</f>
        <v>0.955044166691297</v>
      </c>
      <c r="AJ712" s="153" t="n">
        <f aca="false">IFERROR(IF(AND($H712&lt;&gt;"",$I712="FoFo",OR($N712="MND",$N712="VCA"),$Q712="LINEAR"),0,IF(AND($H712&lt;&gt;"",$I712="PEAD",$N712="VCA",$Q712="LINEAR"),($H712/1000)+0.3,IF(AND($H712&lt;&gt;"",$I712="PEAD",$N712="MND",$Q712="EMBOQUE"),0,IF(AND($H712&lt;&gt;"",$I712="PVC",$N712="VCA",$Q712="LINEAR"),($H712/1000)+0.2,IF(AND($H712&lt;&gt;"",$I712="PVC",$N712="MND",$Q712="EMBOQUE"),0,IF(AND($H712&lt;&gt;"",$I712="PEAD",$N712="VCA",$Q712="PREDIAL"),0,0)))))),0)</f>
        <v>0.46</v>
      </c>
      <c r="AK712" s="153" t="n">
        <f aca="false">IF(AA712&lt;&gt;"",AA712,0)</f>
        <v>4.5</v>
      </c>
      <c r="AL712" s="153" t="n">
        <f aca="false">IF(AND($N712="MND",$Q712="EMBOQUE"),$M712,IF(AND($N712="VCA",$Q712="LINEAR"),$M712,IF(AND($N712="VCA",$Q712="PREDIAL"),0,0)))</f>
        <v>47.5</v>
      </c>
      <c r="AM712" s="153" t="n">
        <f aca="false">IF(AND($N712="MND",$Q712="EMBOQUE"),$M712,IF(AND($N712="VCA",$Q712="LINEAR"),$M712,IF(AND($N712="VCA",$Q712="PREDIAL"),0,0)))</f>
        <v>47.5</v>
      </c>
      <c r="AN712" s="153" t="n">
        <f aca="false">ROUND(IF(AND($N712="VCA",$M712&lt;&gt;"",$Q712="LINEAR"),$M712/100,IF(AND($N712="MND",$M712&gt;100,$Q712="EMBOQUE"),$M712/100,0)),0)</f>
        <v>0</v>
      </c>
      <c r="AO712" s="153" t="n">
        <f aca="false">IF(AND($N712="MND",$Q712="EMBOQUE"),$AN712*2*2,IF(AND($N712="VCA",$Q712="LINEAR"),$M712*2,IF(AND($N712="VCA",$Q712="PREDIAL"),0,0)))</f>
        <v>95</v>
      </c>
      <c r="AP712" s="153" t="n">
        <f aca="false">IFERROR($M712*$AF712*$AG712,0)</f>
        <v>52.0125</v>
      </c>
      <c r="AQ712" s="153" t="n">
        <f aca="false">IFERROR(IF(AND($N712="VCA",$AH712&gt;0),$M712*$AG712*$AH712,0),0)</f>
        <v>3.5625</v>
      </c>
      <c r="AR712" s="153" t="n">
        <f aca="false">IFERROR(IF(AND($N712="VCA",$AJ712&gt;0),($M712*$AG712*$AJ712)-$AI712,0),0)</f>
        <v>15.4324558333087</v>
      </c>
      <c r="AS712" s="153" t="n">
        <f aca="false">IFERROR(IF(AND($N712="VCA",$AP712&gt;0),$AP712-$AI712-$AQ712-$AR712,0),0)</f>
        <v>32.0625</v>
      </c>
      <c r="AT712" s="153" t="n">
        <f aca="false">IFERROR(IF($N712="VCA",INDEX(APOIO_REDES!$A:$W,MATCH($C712&amp;$I712&amp;$H712&amp;$N712&amp;$O712,APOIO_REDES!$W:$W,0),MATCH(AT$5,APOIO_REDES!$5:$5,0)),0)*$AP712,0)</f>
        <v>0.565911394914168</v>
      </c>
      <c r="AU712" s="153" t="n">
        <f aca="false">IFERROR(IF($N712="VCA",INDEX(APOIO_REDES!$A:$W,MATCH($C712&amp;$I712&amp;$H712&amp;$N712&amp;$O712,APOIO_REDES!$W:$W,0),MATCH(AU$5,APOIO_REDES!$5:$5,0)),0)*$AP712,0)</f>
        <v>0.451921513154125</v>
      </c>
      <c r="AV712" s="153" t="n">
        <f aca="false">IFERROR(IF($N712="VCA",INDEX(APOIO_REDES!$A:$W,MATCH($C712&amp;$I712&amp;$H712&amp;$N712&amp;$O712,APOIO_REDES!$W:$W,0),MATCH(AV$5,APOIO_REDES!$5:$5,0)),0)*$AP712,0)</f>
        <v>0.0625423896975533</v>
      </c>
      <c r="AW712" s="153" t="n">
        <f aca="false">IFERROR(IF($N712="VCA",INDEX(APOIO_REDES!$A:$W,MATCH($C712&amp;$I712&amp;$H712&amp;$N712&amp;$O712,APOIO_REDES!$W:$W,0),MATCH(AW$5,APOIO_REDES!$5:$5,0)),0)*$AP712,0)</f>
        <v>35.701783012516</v>
      </c>
      <c r="AX712" s="153" t="n">
        <f aca="false">IFERROR(IF($N712="VCA",INDEX(APOIO_REDES!$A:$W,MATCH($C712&amp;$I712&amp;$H712&amp;$N712&amp;$O712,APOIO_REDES!$W:$W,0),MATCH(AX$5,APOIO_REDES!$5:$5,0)),0)*$AP712,0)</f>
        <v>4.94102507047827</v>
      </c>
      <c r="AY712" s="153" t="n">
        <f aca="false">IFERROR(IF($N712="VCA",INDEX(APOIO_REDES!$A:$W,MATCH($C712&amp;$I712&amp;$H712&amp;$N712&amp;$O712,APOIO_REDES!$W:$W,0),MATCH(AY$5,APOIO_REDES!$5:$5,0)),0)*$AP712,0)</f>
        <v>9.03842475419589</v>
      </c>
      <c r="AZ712" s="153" t="n">
        <f aca="false">IFERROR(IF($N712="VCA",INDEX(APOIO_REDES!$A:$W,MATCH($C712&amp;$I712&amp;$H712&amp;$N712&amp;$O712,APOIO_REDES!$W:$W,0),MATCH(AZ$5,APOIO_REDES!$5:$5,0)),0)*$AP712,0)</f>
        <v>1.25089186504395</v>
      </c>
      <c r="BA712" s="153" t="n">
        <f aca="false">IFERROR(IF(AND($N712="VCA",$Q712="LINEAR"),INDEX(APOIO_REDES!$A:$W,MATCH($C712&amp;$I712&amp;$H712&amp;$N712&amp;$O712,APOIO_REDES!$W:$W,0),MATCH(BA$5,APOIO_REDES!$5:$5,0)),IF(AND($N712="MND",$Q712="EMBOQUE"),INDEX(APOIO_REDES!$A:$W,MATCH($C712&amp;$I712&amp;$H712&amp;$N712&amp;$O712,APOIO_REDES!$W:$W,0),MATCH(BA$5,APOIO_REDES!$5:$5,0)),0))*$M712/10,0)</f>
        <v>3.82838018503956</v>
      </c>
      <c r="BB712" s="153" t="n">
        <f aca="false">IFERROR(IF($N712="VCA",INDEX(APOIO_REDES!$A:$W,MATCH($C712&amp;$I712&amp;$H712&amp;$N712&amp;$O712,APOIO_REDES!$W:$W,0),MATCH(BB$5,APOIO_REDES!$5:$5,0)),0)*($AI712+$AQ712+$AR712),0)</f>
        <v>19.7329380951014</v>
      </c>
      <c r="BC712" s="153" t="n">
        <f aca="false">IFERROR(IF($N712="VCA",INDEX(APOIO_REDES!$A:$W,MATCH($C712&amp;$I712&amp;$H712&amp;$N712&amp;$O712,APOIO_REDES!$W:$W,0),MATCH(BC$5,APOIO_REDES!$5:$5,0)),0)*($AI712+$AQ712+$AR712),0)</f>
        <v>0.217061904898585</v>
      </c>
      <c r="BD712" s="153" t="n">
        <f aca="false">IF(AND($N712="VCA",$AF712&gt;=1.25,$AF712&lt;1.5),$M712*$AF712*2,0)</f>
        <v>138.7</v>
      </c>
      <c r="BE712" s="153" t="n">
        <f aca="false">IF(AND($N712="VCA",$AF712&gt;=1.5,$AF712&lt;3),$M712*$AF712*2,0)</f>
        <v>0</v>
      </c>
      <c r="BF712" s="153" t="n">
        <f aca="false">IF(AND($N712="VCA",$AF712&gt;=3),$M712*$AF712*2,0)</f>
        <v>0</v>
      </c>
      <c r="BG712" s="153" t="n">
        <f aca="false">($BB712+$BC712)*$AK712</f>
        <v>89.775</v>
      </c>
      <c r="BH712" s="153" t="n">
        <f aca="false">IF(AND($M712&lt;&gt;"",$N712="VCA",$Q712="LINEAR"),($M712*2)/100,IF(AND($M712&lt;&gt;"",$N712="MND",$Q712="EMBOQUE"),($AN712*2)/100,0))</f>
        <v>0.95</v>
      </c>
      <c r="BI712" s="153" t="n">
        <f aca="false">IF(AND($M712&lt;&gt;"",$N712="VCA",$Q712="LINEAR"),$M712,IF(AND($M712&lt;&gt;"",$N712="MND",$Q712="EMBOQUE"),$AN712*2,0))</f>
        <v>47.5</v>
      </c>
      <c r="BJ712" s="153" t="n">
        <f aca="false">IF(AND($M712&lt;&gt;"",$N712="VCA",$Q712="LINEAR"),($M712*6.8)/100,IF(AND($M712&lt;&gt;"",$N712="MND",$Q712="EMBOQUE"),($AN712*2*6.8)/100,0))</f>
        <v>3.23</v>
      </c>
      <c r="BK712" s="153" t="n">
        <f aca="false">IF(AND($M712&lt;&gt;"",$N712="VCA",$Q712="LINEAR"),($M712*2.5)/50,IF(AND($M712&lt;&gt;"",$N712="MND",$Q712="EMBOQUE"),($AN712*2*2.5)/50,0))</f>
        <v>2.375</v>
      </c>
      <c r="BL712" s="157" t="str">
        <f aca="false">K712&amp;J712</f>
        <v>Zona07REDES</v>
      </c>
      <c r="BM712" s="152" t="s">
        <v>4225</v>
      </c>
      <c r="BN712" s="152" t="s">
        <v>1560</v>
      </c>
      <c r="BO712" s="152" t="s">
        <v>4004</v>
      </c>
      <c r="BP712" s="152" t="s">
        <v>4227</v>
      </c>
      <c r="BQ712" s="152" t="s">
        <v>4255</v>
      </c>
      <c r="BR712" s="152" t="s">
        <v>4237</v>
      </c>
      <c r="BS712" s="152" t="n">
        <v>203528.423</v>
      </c>
      <c r="BT712" s="152" t="n">
        <v>8236692.718</v>
      </c>
      <c r="BU712" s="152" t="n">
        <v>203546.137</v>
      </c>
      <c r="BV712" s="152" t="n">
        <v>8236648.954</v>
      </c>
      <c r="BW712" s="152" t="n">
        <v>-15.9315288</v>
      </c>
      <c r="BX712" s="152" t="n">
        <v>-47.7690272</v>
      </c>
      <c r="BY712" s="152" t="s">
        <v>4227</v>
      </c>
    </row>
    <row r="713" customFormat="false" ht="13.8" hidden="false" customHeight="false" outlineLevel="0" collapsed="false">
      <c r="A713" s="149" t="n">
        <f aca="false">IF(C713&lt;&gt;"",ROW(A708),"")</f>
        <v>708</v>
      </c>
      <c r="B713" s="150" t="str">
        <f aca="false">HYPERLINK("https://www.google.com/maps/dir/-15.917302,-47.760003/-15.9313911,-47.7676716/data=!4m3!4m2!3e0!5i2")</f>
        <v>https://www.google.com/maps/dir/-15.917302,-47.760003/-15.9313911,-47.7676716/data=!4m3!4m2!3e0!5i2</v>
      </c>
      <c r="C713" s="151" t="s">
        <v>117</v>
      </c>
      <c r="D713" s="152" t="s">
        <v>112</v>
      </c>
      <c r="E713" s="152" t="s">
        <v>113</v>
      </c>
      <c r="F713" s="152" t="s">
        <v>117</v>
      </c>
      <c r="G713" s="152" t="s">
        <v>782</v>
      </c>
      <c r="H713" s="152" t="n">
        <v>90</v>
      </c>
      <c r="I713" s="152" t="s">
        <v>115</v>
      </c>
      <c r="J713" s="152" t="s">
        <v>6</v>
      </c>
      <c r="K713" s="152" t="s">
        <v>4221</v>
      </c>
      <c r="L713" s="152" t="s">
        <v>120</v>
      </c>
      <c r="M713" s="153" t="n">
        <f aca="false">55.12+0.08</f>
        <v>55.2</v>
      </c>
      <c r="N713" s="152" t="s">
        <v>1548</v>
      </c>
      <c r="O713" s="152" t="s">
        <v>1549</v>
      </c>
      <c r="P713" s="152" t="s">
        <v>1550</v>
      </c>
      <c r="Q713" s="152" t="s">
        <v>1551</v>
      </c>
      <c r="R713" s="154" t="s">
        <v>4259</v>
      </c>
      <c r="S713" s="154" t="s">
        <v>1593</v>
      </c>
      <c r="T713" s="155" t="s">
        <v>4002</v>
      </c>
      <c r="U713" s="152" t="str">
        <f aca="false">RIGHT(T713,7)</f>
        <v>015/037</v>
      </c>
      <c r="V713" s="152" t="s">
        <v>1555</v>
      </c>
      <c r="W713" s="156" t="n">
        <v>45882</v>
      </c>
      <c r="X713" s="152" t="s">
        <v>1594</v>
      </c>
      <c r="Y713" s="152" t="s">
        <v>2323</v>
      </c>
      <c r="Z713" s="152" t="s">
        <v>1557</v>
      </c>
      <c r="AA713" s="153" t="n">
        <v>4</v>
      </c>
      <c r="AB713" s="151" t="s">
        <v>4260</v>
      </c>
      <c r="AC713" s="151" t="s">
        <v>526</v>
      </c>
      <c r="AD713" s="151" t="str">
        <f aca="false">CONCATENATE($C713,$I713,$H713,$N713,$J713,$K713)</f>
        <v>TUBO PEADPEAD90VCAREDESZona07</v>
      </c>
      <c r="AE713" s="153" t="n">
        <f aca="false">IFERROR(INDEX(APOIO_REDES!$A:$W,MATCH($C713&amp;$I713&amp;$H713&amp;$N713&amp;$O713,APOIO_REDES!$W:$W,0),MATCH(AE$5,APOIO_REDES!$5:$5,0)),0)</f>
        <v>1.2</v>
      </c>
      <c r="AF713" s="153" t="n">
        <f aca="false">IFERROR(INDEX(APOIO_REDES!$A:$W,MATCH($C713&amp;$I713&amp;$H713&amp;$N713&amp;$O713,APOIO_REDES!$W:$W,0),MATCH(AF$5,APOIO_REDES!$5:$5,0)),0)</f>
        <v>1.39</v>
      </c>
      <c r="AG713" s="153" t="n">
        <f aca="false">IFERROR(INDEX(APOIO_REDES!$A:$W,MATCH($C713&amp;$I713&amp;$H713&amp;$N713&amp;$O713,APOIO_REDES!$W:$W,0),MATCH(AG$5,APOIO_REDES!$5:$5,0)),0)</f>
        <v>0.75</v>
      </c>
      <c r="AH713" s="153" t="n">
        <f aca="false">IFERROR(INDEX(APOIO_REDES!$A:$W,MATCH($C713&amp;$I713&amp;$H713&amp;$N713&amp;$O713,APOIO_REDES!$W:$W,0),MATCH(AH$5,APOIO_REDES!$5:$5,0)),0)</f>
        <v>0.1</v>
      </c>
      <c r="AI713" s="153" t="n">
        <f aca="false">IFERROR(IF($H713&lt;&gt;"",(((($H713/1000)/2)^2)*PI()*$M713),0),0)</f>
        <v>0.351167226818267</v>
      </c>
      <c r="AJ713" s="153" t="n">
        <f aca="false">IFERROR(IF(AND($H713&lt;&gt;"",$I713="FoFo",OR($N713="MND",$N713="VCA"),$Q713="LINEAR"),0,IF(AND($H713&lt;&gt;"",$I713="PEAD",$N713="VCA",$Q713="LINEAR"),($H713/1000)+0.3,IF(AND($H713&lt;&gt;"",$I713="PEAD",$N713="MND",$Q713="EMBOQUE"),0,IF(AND($H713&lt;&gt;"",$I713="PVC",$N713="VCA",$Q713="LINEAR"),($H713/1000)+0.2,IF(AND($H713&lt;&gt;"",$I713="PVC",$N713="MND",$Q713="EMBOQUE"),0,IF(AND($H713&lt;&gt;"",$I713="PEAD",$N713="VCA",$Q713="PREDIAL"),0,0)))))),0)</f>
        <v>0.39</v>
      </c>
      <c r="AK713" s="153" t="n">
        <f aca="false">IF(AA713&lt;&gt;"",AA713,0)</f>
        <v>4</v>
      </c>
      <c r="AL713" s="153" t="n">
        <f aca="false">IF(AND($N713="MND",$Q713="EMBOQUE"),$M713,IF(AND($N713="VCA",$Q713="LINEAR"),$M713,IF(AND($N713="VCA",$Q713="PREDIAL"),0,0)))</f>
        <v>55.2</v>
      </c>
      <c r="AM713" s="153" t="n">
        <f aca="false">IF(AND($N713="MND",$Q713="EMBOQUE"),$M713,IF(AND($N713="VCA",$Q713="LINEAR"),$M713,IF(AND($N713="VCA",$Q713="PREDIAL"),0,0)))</f>
        <v>55.2</v>
      </c>
      <c r="AN713" s="153" t="n">
        <f aca="false">ROUND(IF(AND($N713="VCA",$M713&lt;&gt;"",$Q713="LINEAR"),$M713/100,IF(AND($N713="MND",$M713&gt;100,$Q713="EMBOQUE"),$M713/100,0)),0)</f>
        <v>1</v>
      </c>
      <c r="AO713" s="153" t="n">
        <f aca="false">IF(AND($N713="MND",$Q713="EMBOQUE"),$AN713*2*2,IF(AND($N713="VCA",$Q713="LINEAR"),$M713*2,IF(AND($N713="VCA",$Q713="PREDIAL"),0,0)))</f>
        <v>110.4</v>
      </c>
      <c r="AP713" s="153" t="n">
        <f aca="false">IFERROR($M713*$AF713*$AG713,0)</f>
        <v>57.546</v>
      </c>
      <c r="AQ713" s="153" t="n">
        <f aca="false">IFERROR(IF(AND($N713="VCA",$AH713&gt;0),$M713*$AG713*$AH713,0),0)</f>
        <v>4.14</v>
      </c>
      <c r="AR713" s="153" t="n">
        <f aca="false">IFERROR(IF(AND($N713="VCA",$AJ713&gt;0),($M713*$AG713*$AJ713)-$AI713,0),0)</f>
        <v>15.7948327731817</v>
      </c>
      <c r="AS713" s="153" t="n">
        <f aca="false">IFERROR(IF(AND($N713="VCA",$AP713&gt;0),$AP713-$AI713-$AQ713-$AR713,0),0)</f>
        <v>37.26</v>
      </c>
      <c r="AT713" s="153" t="n">
        <f aca="false">IFERROR(IF($N713="VCA",INDEX(APOIO_REDES!$A:$W,MATCH($C713&amp;$I713&amp;$H713&amp;$N713&amp;$O713,APOIO_REDES!$W:$W,0),MATCH(AT$5,APOIO_REDES!$5:$5,0)),0)*$AP713,0)</f>
        <v>0.626117512746565</v>
      </c>
      <c r="AU713" s="153" t="n">
        <f aca="false">IFERROR(IF($N713="VCA",INDEX(APOIO_REDES!$A:$W,MATCH($C713&amp;$I713&amp;$H713&amp;$N713&amp;$O713,APOIO_REDES!$W:$W,0),MATCH(AU$5,APOIO_REDES!$5:$5,0)),0)*$AP713,0)</f>
        <v>0.500000488266614</v>
      </c>
      <c r="AV713" s="153" t="n">
        <f aca="false">IFERROR(IF($N713="VCA",INDEX(APOIO_REDES!$A:$W,MATCH($C713&amp;$I713&amp;$H713&amp;$N713&amp;$O713,APOIO_REDES!$W:$W,0),MATCH(AV$5,APOIO_REDES!$5:$5,0)),0)*$AP713,0)</f>
        <v>0.0691961424183687</v>
      </c>
      <c r="AW713" s="153" t="n">
        <f aca="false">IFERROR(IF($N713="VCA",INDEX(APOIO_REDES!$A:$W,MATCH($C713&amp;$I713&amp;$H713&amp;$N713&amp;$O713,APOIO_REDES!$W:$W,0),MATCH(AW$5,APOIO_REDES!$5:$5,0)),0)*$AP713,0)</f>
        <v>39.5000202881663</v>
      </c>
      <c r="AX713" s="153" t="n">
        <f aca="false">IFERROR(IF($N713="VCA",INDEX(APOIO_REDES!$A:$W,MATCH($C713&amp;$I713&amp;$H713&amp;$N713&amp;$O713,APOIO_REDES!$W:$W,0),MATCH(AX$5,APOIO_REDES!$5:$5,0)),0)*$AP713,0)</f>
        <v>5.46669028994458</v>
      </c>
      <c r="AY713" s="153" t="n">
        <f aca="false">IFERROR(IF($N713="VCA",INDEX(APOIO_REDES!$A:$W,MATCH($C713&amp;$I713&amp;$H713&amp;$N713&amp;$O713,APOIO_REDES!$W:$W,0),MATCH(AY$5,APOIO_REDES!$5:$5,0)),0)*$AP713,0)</f>
        <v>10.0000036703669</v>
      </c>
      <c r="AZ713" s="153" t="n">
        <f aca="false">IFERROR(IF($N713="VCA",INDEX(APOIO_REDES!$A:$W,MATCH($C713&amp;$I713&amp;$H713&amp;$N713&amp;$O713,APOIO_REDES!$W:$W,0),MATCH(AZ$5,APOIO_REDES!$5:$5,0)),0)*$AP713,0)</f>
        <v>1.38397160809074</v>
      </c>
      <c r="BA713" s="153" t="n">
        <f aca="false">IFERROR(IF(AND($N713="VCA",$Q713="LINEAR"),INDEX(APOIO_REDES!$A:$W,MATCH($C713&amp;$I713&amp;$H713&amp;$N713&amp;$O713,APOIO_REDES!$W:$W,0),MATCH(BA$5,APOIO_REDES!$5:$5,0)),IF(AND($N713="MND",$Q713="EMBOQUE"),INDEX(APOIO_REDES!$A:$W,MATCH($C713&amp;$I713&amp;$H713&amp;$N713&amp;$O713,APOIO_REDES!$W:$W,0),MATCH(BA$5,APOIO_REDES!$5:$5,0)),0))*$M713/10,0)</f>
        <v>4.44898076240387</v>
      </c>
      <c r="BB713" s="153" t="n">
        <f aca="false">IFERROR(IF($N713="VCA",INDEX(APOIO_REDES!$A:$W,MATCH($C713&amp;$I713&amp;$H713&amp;$N713&amp;$O713,APOIO_REDES!$W:$W,0),MATCH(BB$5,APOIO_REDES!$5:$5,0)),0)*($AI713+$AQ713+$AR713),0)</f>
        <v>20.0652823156505</v>
      </c>
      <c r="BC713" s="153" t="n">
        <f aca="false">IFERROR(IF($N713="VCA",INDEX(APOIO_REDES!$A:$W,MATCH($C713&amp;$I713&amp;$H713&amp;$N713&amp;$O713,APOIO_REDES!$W:$W,0),MATCH(BC$5,APOIO_REDES!$5:$5,0)),0)*($AI713+$AQ713+$AR713),0)</f>
        <v>0.220717684349509</v>
      </c>
      <c r="BD713" s="153" t="n">
        <f aca="false">IF(AND($N713="VCA",$AF713&gt;=1.25,$AF713&lt;1.5),$M713*$AF713*2,0)</f>
        <v>153.456</v>
      </c>
      <c r="BE713" s="153" t="n">
        <f aca="false">IF(AND($N713="VCA",$AF713&gt;=1.5,$AF713&lt;3),$M713*$AF713*2,0)</f>
        <v>0</v>
      </c>
      <c r="BF713" s="153" t="n">
        <f aca="false">IF(AND($N713="VCA",$AF713&gt;=3),$M713*$AF713*2,0)</f>
        <v>0</v>
      </c>
      <c r="BG713" s="153" t="n">
        <f aca="false">($BB713+$BC713)*$AK713</f>
        <v>81.144</v>
      </c>
      <c r="BH713" s="153" t="n">
        <f aca="false">IF(AND($M713&lt;&gt;"",$N713="VCA",$Q713="LINEAR"),($M713*2)/100,IF(AND($M713&lt;&gt;"",$N713="MND",$Q713="EMBOQUE"),($AN713*2)/100,0))</f>
        <v>1.104</v>
      </c>
      <c r="BI713" s="153" t="n">
        <f aca="false">IF(AND($M713&lt;&gt;"",$N713="VCA",$Q713="LINEAR"),$M713,IF(AND($M713&lt;&gt;"",$N713="MND",$Q713="EMBOQUE"),$AN713*2,0))</f>
        <v>55.2</v>
      </c>
      <c r="BJ713" s="153" t="n">
        <f aca="false">IF(AND($M713&lt;&gt;"",$N713="VCA",$Q713="LINEAR"),($M713*6.8)/100,IF(AND($M713&lt;&gt;"",$N713="MND",$Q713="EMBOQUE"),($AN713*2*6.8)/100,0))</f>
        <v>3.7536</v>
      </c>
      <c r="BK713" s="153" t="n">
        <f aca="false">IF(AND($M713&lt;&gt;"",$N713="VCA",$Q713="LINEAR"),($M713*2.5)/50,IF(AND($M713&lt;&gt;"",$N713="MND",$Q713="EMBOQUE"),($AN713*2*2.5)/50,0))</f>
        <v>2.76</v>
      </c>
      <c r="BL713" s="157" t="str">
        <f aca="false">K713&amp;J713</f>
        <v>Zona07REDES</v>
      </c>
      <c r="BM713" s="152" t="s">
        <v>4225</v>
      </c>
      <c r="BN713" s="152" t="s">
        <v>1560</v>
      </c>
      <c r="BO713" s="152" t="s">
        <v>4004</v>
      </c>
      <c r="BP713" s="152" t="s">
        <v>2232</v>
      </c>
      <c r="BQ713" s="152" t="s">
        <v>2232</v>
      </c>
      <c r="BR713" s="152" t="s">
        <v>4252</v>
      </c>
      <c r="BS713" s="152" t="n">
        <v>203632.301</v>
      </c>
      <c r="BT713" s="152" t="n">
        <v>8236652.244</v>
      </c>
      <c r="BU713" s="152" t="n">
        <v>203676.973</v>
      </c>
      <c r="BV713" s="152" t="n">
        <v>8236684.498</v>
      </c>
      <c r="BW713" s="152" t="n">
        <v>-15.9315664</v>
      </c>
      <c r="BX713" s="152" t="n">
        <v>-47.7679397</v>
      </c>
      <c r="BY713" s="152" t="s">
        <v>4231</v>
      </c>
    </row>
    <row r="714" customFormat="false" ht="13.8" hidden="false" customHeight="false" outlineLevel="0" collapsed="false">
      <c r="A714" s="149" t="n">
        <f aca="false">IF(C714&lt;&gt;"",ROW(A709),"")</f>
        <v>709</v>
      </c>
      <c r="B714" s="150" t="str">
        <f aca="false">HYPERLINK("https://www.google.com/maps/dir/-15.917302,-47.760003/-15.9318954,-47.7676762/data=!4m3!4m2!3e0!5i2")</f>
        <v>https://www.google.com/maps/dir/-15.917302,-47.760003/-15.9318954,-47.7676762/data=!4m3!4m2!3e0!5i2</v>
      </c>
      <c r="C714" s="151" t="s">
        <v>117</v>
      </c>
      <c r="D714" s="152" t="s">
        <v>112</v>
      </c>
      <c r="E714" s="152" t="s">
        <v>113</v>
      </c>
      <c r="F714" s="152" t="s">
        <v>117</v>
      </c>
      <c r="G714" s="152" t="s">
        <v>782</v>
      </c>
      <c r="H714" s="152" t="n">
        <v>63</v>
      </c>
      <c r="I714" s="152" t="s">
        <v>115</v>
      </c>
      <c r="J714" s="152" t="s">
        <v>6</v>
      </c>
      <c r="K714" s="152" t="s">
        <v>4221</v>
      </c>
      <c r="L714" s="152" t="s">
        <v>120</v>
      </c>
      <c r="M714" s="153" t="n">
        <f aca="false">40.37+4.01</f>
        <v>44.38</v>
      </c>
      <c r="N714" s="152" t="s">
        <v>1548</v>
      </c>
      <c r="O714" s="152" t="s">
        <v>1549</v>
      </c>
      <c r="P714" s="152" t="s">
        <v>1550</v>
      </c>
      <c r="Q714" s="152" t="s">
        <v>1551</v>
      </c>
      <c r="R714" s="154" t="s">
        <v>4261</v>
      </c>
      <c r="S714" s="154" t="s">
        <v>1553</v>
      </c>
      <c r="T714" s="155" t="s">
        <v>4002</v>
      </c>
      <c r="U714" s="152" t="str">
        <f aca="false">RIGHT(T714,7)</f>
        <v>015/037</v>
      </c>
      <c r="V714" s="152" t="s">
        <v>1555</v>
      </c>
      <c r="W714" s="156" t="n">
        <v>45882</v>
      </c>
      <c r="X714" s="152" t="s">
        <v>1594</v>
      </c>
      <c r="Y714" s="152" t="s">
        <v>4223</v>
      </c>
      <c r="Z714" s="152" t="s">
        <v>1557</v>
      </c>
      <c r="AA714" s="153" t="n">
        <v>4.1</v>
      </c>
      <c r="AB714" s="151" t="s">
        <v>4262</v>
      </c>
      <c r="AC714" s="151" t="s">
        <v>186</v>
      </c>
      <c r="AD714" s="151" t="str">
        <f aca="false">CONCATENATE($C714,$I714,$H714,$N714,$J714,$K714)</f>
        <v>TUBO PEADPEAD63VCAREDESZona07</v>
      </c>
      <c r="AE714" s="153" t="n">
        <f aca="false">IFERROR(INDEX(APOIO_REDES!$A:$W,MATCH($C714&amp;$I714&amp;$H714&amp;$N714&amp;$O714,APOIO_REDES!$W:$W,0),MATCH(AE$5,APOIO_REDES!$5:$5,0)),0)</f>
        <v>1.2</v>
      </c>
      <c r="AF714" s="153" t="n">
        <f aca="false">IFERROR(INDEX(APOIO_REDES!$A:$W,MATCH($C714&amp;$I714&amp;$H714&amp;$N714&amp;$O714,APOIO_REDES!$W:$W,0),MATCH(AF$5,APOIO_REDES!$5:$5,0)),0)</f>
        <v>1.363</v>
      </c>
      <c r="AG714" s="153" t="n">
        <f aca="false">IFERROR(INDEX(APOIO_REDES!$A:$W,MATCH($C714&amp;$I714&amp;$H714&amp;$N714&amp;$O714,APOIO_REDES!$W:$W,0),MATCH(AG$5,APOIO_REDES!$5:$5,0)),0)</f>
        <v>0.65</v>
      </c>
      <c r="AH714" s="153" t="n">
        <f aca="false">IFERROR(INDEX(APOIO_REDES!$A:$W,MATCH($C714&amp;$I714&amp;$H714&amp;$N714&amp;$O714,APOIO_REDES!$W:$W,0),MATCH(AH$5,APOIO_REDES!$5:$5,0)),0)</f>
        <v>0.1</v>
      </c>
      <c r="AI714" s="153" t="n">
        <f aca="false">IFERROR(IF($H714&lt;&gt;"",(((($H714/1000)/2)^2)*PI()*$M714),0),0)</f>
        <v>0.138343346881076</v>
      </c>
      <c r="AJ714" s="153" t="n">
        <f aca="false">IFERROR(IF(AND($H714&lt;&gt;"",$I714="FoFo",OR($N714="MND",$N714="VCA"),$Q714="LINEAR"),0,IF(AND($H714&lt;&gt;"",$I714="PEAD",$N714="VCA",$Q714="LINEAR"),($H714/1000)+0.3,IF(AND($H714&lt;&gt;"",$I714="PEAD",$N714="MND",$Q714="EMBOQUE"),0,IF(AND($H714&lt;&gt;"",$I714="PVC",$N714="VCA",$Q714="LINEAR"),($H714/1000)+0.2,IF(AND($H714&lt;&gt;"",$I714="PVC",$N714="MND",$Q714="EMBOQUE"),0,IF(AND($H714&lt;&gt;"",$I714="PEAD",$N714="VCA",$Q714="PREDIAL"),0,0)))))),0)</f>
        <v>0.363</v>
      </c>
      <c r="AK714" s="153" t="n">
        <f aca="false">IF(AA714&lt;&gt;"",AA714,0)</f>
        <v>4.1</v>
      </c>
      <c r="AL714" s="153" t="n">
        <f aca="false">IF(AND($N714="MND",$Q714="EMBOQUE"),$M714,IF(AND($N714="VCA",$Q714="LINEAR"),$M714,IF(AND($N714="VCA",$Q714="PREDIAL"),0,0)))</f>
        <v>44.38</v>
      </c>
      <c r="AM714" s="153" t="n">
        <f aca="false">IF(AND($N714="MND",$Q714="EMBOQUE"),$M714,IF(AND($N714="VCA",$Q714="LINEAR"),$M714,IF(AND($N714="VCA",$Q714="PREDIAL"),0,0)))</f>
        <v>44.38</v>
      </c>
      <c r="AN714" s="153" t="n">
        <f aca="false">ROUND(IF(AND($N714="VCA",$M714&lt;&gt;"",$Q714="LINEAR"),$M714/100,IF(AND($N714="MND",$M714&gt;100,$Q714="EMBOQUE"),$M714/100,0)),0)</f>
        <v>0</v>
      </c>
      <c r="AO714" s="153" t="n">
        <f aca="false">IF(AND($N714="MND",$Q714="EMBOQUE"),$AN714*2*2,IF(AND($N714="VCA",$Q714="LINEAR"),$M714*2,IF(AND($N714="VCA",$Q714="PREDIAL"),0,0)))</f>
        <v>88.76</v>
      </c>
      <c r="AP714" s="153" t="n">
        <f aca="false">IFERROR($M714*$AF714*$AG714,0)</f>
        <v>39.318461</v>
      </c>
      <c r="AQ714" s="153" t="n">
        <f aca="false">IFERROR(IF(AND($N714="VCA",$AH714&gt;0),$M714*$AG714*$AH714,0),0)</f>
        <v>2.8847</v>
      </c>
      <c r="AR714" s="153" t="n">
        <f aca="false">IFERROR(IF(AND($N714="VCA",$AJ714&gt;0),($M714*$AG714*$AJ714)-$AI714,0),0)</f>
        <v>10.3331176531189</v>
      </c>
      <c r="AS714" s="153" t="n">
        <f aca="false">IFERROR(IF(AND($N714="VCA",$AP714&gt;0),$AP714-$AI714-$AQ714-$AR714,0),0)</f>
        <v>25.9623</v>
      </c>
      <c r="AT714" s="153" t="n">
        <f aca="false">IFERROR(IF($N714="VCA",INDEX(APOIO_REDES!$A:$W,MATCH($C714&amp;$I714&amp;$H714&amp;$N714&amp;$O714,APOIO_REDES!$W:$W,0),MATCH(AT$5,APOIO_REDES!$5:$5,0)),0)*$AP714,0)</f>
        <v>0.427796493350412</v>
      </c>
      <c r="AU714" s="153" t="n">
        <f aca="false">IFERROR(IF($N714="VCA",INDEX(APOIO_REDES!$A:$W,MATCH($C714&amp;$I714&amp;$H714&amp;$N714&amp;$O714,APOIO_REDES!$W:$W,0),MATCH(AU$5,APOIO_REDES!$5:$5,0)),0)*$AP714,0)</f>
        <v>0.341626693391232</v>
      </c>
      <c r="AV714" s="153" t="n">
        <f aca="false">IFERROR(IF($N714="VCA",INDEX(APOIO_REDES!$A:$W,MATCH($C714&amp;$I714&amp;$H714&amp;$N714&amp;$O714,APOIO_REDES!$W:$W,0),MATCH(AV$5,APOIO_REDES!$5:$5,0)),0)*$AP714,0)</f>
        <v>0.0472784524906522</v>
      </c>
      <c r="AW714" s="153" t="n">
        <f aca="false">IFERROR(IF($N714="VCA",INDEX(APOIO_REDES!$A:$W,MATCH($C714&amp;$I714&amp;$H714&amp;$N714&amp;$O714,APOIO_REDES!$W:$W,0),MATCH(AW$5,APOIO_REDES!$5:$5,0)),0)*$AP714,0)</f>
        <v>26.9884962847022</v>
      </c>
      <c r="AX714" s="153" t="n">
        <f aca="false">IFERROR(IF($N714="VCA",INDEX(APOIO_REDES!$A:$W,MATCH($C714&amp;$I714&amp;$H714&amp;$N714&amp;$O714,APOIO_REDES!$W:$W,0),MATCH(AX$5,APOIO_REDES!$5:$5,0)),0)*$AP714,0)</f>
        <v>3.7351310076159</v>
      </c>
      <c r="AY714" s="153" t="n">
        <f aca="false">IFERROR(IF($N714="VCA",INDEX(APOIO_REDES!$A:$W,MATCH($C714&amp;$I714&amp;$H714&amp;$N714&amp;$O714,APOIO_REDES!$W:$W,0),MATCH(AY$5,APOIO_REDES!$5:$5,0)),0)*$AP714,0)</f>
        <v>6.83252970342294</v>
      </c>
      <c r="AZ714" s="153" t="n">
        <f aca="false">IFERROR(IF($N714="VCA",INDEX(APOIO_REDES!$A:$W,MATCH($C714&amp;$I714&amp;$H714&amp;$N714&amp;$O714,APOIO_REDES!$W:$W,0),MATCH(AZ$5,APOIO_REDES!$5:$5,0)),0)*$AP714,0)</f>
        <v>0.945602365026638</v>
      </c>
      <c r="BA714" s="153" t="n">
        <f aca="false">IFERROR(IF(AND($N714="VCA",$Q714="LINEAR"),INDEX(APOIO_REDES!$A:$W,MATCH($C714&amp;$I714&amp;$H714&amp;$N714&amp;$O714,APOIO_REDES!$W:$W,0),MATCH(BA$5,APOIO_REDES!$5:$5,0)),IF(AND($N714="MND",$Q714="EMBOQUE"),INDEX(APOIO_REDES!$A:$W,MATCH($C714&amp;$I714&amp;$H714&amp;$N714&amp;$O714,APOIO_REDES!$W:$W,0),MATCH(BA$5,APOIO_REDES!$5:$5,0)),0))*$M714/10,0)</f>
        <v>3.57691605499065</v>
      </c>
      <c r="BB714" s="153" t="n">
        <f aca="false">IFERROR(IF($N714="VCA",INDEX(APOIO_REDES!$A:$W,MATCH($C714&amp;$I714&amp;$H714&amp;$N714&amp;$O714,APOIO_REDES!$W:$W,0),MATCH(BB$5,APOIO_REDES!$5:$5,0)),0)*($AI714+$AQ714+$AR714),0)</f>
        <v>13.2108420150981</v>
      </c>
      <c r="BC714" s="153" t="n">
        <f aca="false">IFERROR(IF($N714="VCA",INDEX(APOIO_REDES!$A:$W,MATCH($C714&amp;$I714&amp;$H714&amp;$N714&amp;$O714,APOIO_REDES!$W:$W,0),MATCH(BC$5,APOIO_REDES!$5:$5,0)),0)*($AI714+$AQ714+$AR714),0)</f>
        <v>0.145318984901864</v>
      </c>
      <c r="BD714" s="153" t="n">
        <f aca="false">IF(AND($N714="VCA",$AF714&gt;=1.25,$AF714&lt;1.5),$M714*$AF714*2,0)</f>
        <v>120.97988</v>
      </c>
      <c r="BE714" s="153" t="n">
        <f aca="false">IF(AND($N714="VCA",$AF714&gt;=1.5,$AF714&lt;3),$M714*$AF714*2,0)</f>
        <v>0</v>
      </c>
      <c r="BF714" s="153" t="n">
        <f aca="false">IF(AND($N714="VCA",$AF714&gt;=3),$M714*$AF714*2,0)</f>
        <v>0</v>
      </c>
      <c r="BG714" s="153" t="n">
        <f aca="false">($BB714+$BC714)*$AK714</f>
        <v>54.7602601</v>
      </c>
      <c r="BH714" s="153" t="n">
        <f aca="false">IF(AND($M714&lt;&gt;"",$N714="VCA",$Q714="LINEAR"),($M714*2)/100,IF(AND($M714&lt;&gt;"",$N714="MND",$Q714="EMBOQUE"),($AN714*2)/100,0))</f>
        <v>0.8876</v>
      </c>
      <c r="BI714" s="153" t="n">
        <f aca="false">IF(AND($M714&lt;&gt;"",$N714="VCA",$Q714="LINEAR"),$M714,IF(AND($M714&lt;&gt;"",$N714="MND",$Q714="EMBOQUE"),$AN714*2,0))</f>
        <v>44.38</v>
      </c>
      <c r="BJ714" s="153" t="n">
        <f aca="false">IF(AND($M714&lt;&gt;"",$N714="VCA",$Q714="LINEAR"),($M714*6.8)/100,IF(AND($M714&lt;&gt;"",$N714="MND",$Q714="EMBOQUE"),($AN714*2*6.8)/100,0))</f>
        <v>3.01784</v>
      </c>
      <c r="BK714" s="153" t="n">
        <f aca="false">IF(AND($M714&lt;&gt;"",$N714="VCA",$Q714="LINEAR"),($M714*2.5)/50,IF(AND($M714&lt;&gt;"",$N714="MND",$Q714="EMBOQUE"),($AN714*2*2.5)/50,0))</f>
        <v>2.219</v>
      </c>
      <c r="BL714" s="157" t="str">
        <f aca="false">K714&amp;J714</f>
        <v>Zona07REDES</v>
      </c>
      <c r="BM714" s="152" t="s">
        <v>4225</v>
      </c>
      <c r="BN714" s="152" t="s">
        <v>1560</v>
      </c>
      <c r="BO714" s="152" t="s">
        <v>4004</v>
      </c>
      <c r="BP714" s="152" t="s">
        <v>4263</v>
      </c>
      <c r="BQ714" s="152" t="s">
        <v>4264</v>
      </c>
      <c r="BR714" s="152" t="s">
        <v>4265</v>
      </c>
      <c r="BS714" s="152" t="n">
        <v>203683.334</v>
      </c>
      <c r="BT714" s="152" t="n">
        <v>8236632.341</v>
      </c>
      <c r="BU714" s="152" t="n">
        <v>203714.758</v>
      </c>
      <c r="BV714" s="152" t="n">
        <v>8236657.676</v>
      </c>
      <c r="BW714" s="152" t="n">
        <v>-15.9317817</v>
      </c>
      <c r="BX714" s="152" t="n">
        <v>-47.767529</v>
      </c>
      <c r="BY714" s="152" t="s">
        <v>4263</v>
      </c>
    </row>
    <row r="715" customFormat="false" ht="13.8" hidden="false" customHeight="false" outlineLevel="0" collapsed="false">
      <c r="A715" s="149" t="n">
        <f aca="false">IF(C715&lt;&gt;"",ROW(A710),"")</f>
        <v>710</v>
      </c>
      <c r="B715" s="150" t="str">
        <f aca="false">HYPERLINK("https://www.google.com/maps/dir/-15.917302,-47.760003/-15.9321372,-47.7687947/data=!4m3!4m2!3e0!5i2")</f>
        <v>https://www.google.com/maps/dir/-15.917302,-47.760003/-15.9321372,-47.7687947/data=!4m3!4m2!3e0!5i2</v>
      </c>
      <c r="C715" s="151" t="s">
        <v>117</v>
      </c>
      <c r="D715" s="152" t="s">
        <v>112</v>
      </c>
      <c r="E715" s="152" t="s">
        <v>113</v>
      </c>
      <c r="F715" s="152" t="s">
        <v>117</v>
      </c>
      <c r="G715" s="152" t="s">
        <v>782</v>
      </c>
      <c r="H715" s="152" t="n">
        <v>90</v>
      </c>
      <c r="I715" s="152" t="s">
        <v>115</v>
      </c>
      <c r="J715" s="152" t="s">
        <v>6</v>
      </c>
      <c r="K715" s="152" t="s">
        <v>4221</v>
      </c>
      <c r="L715" s="152" t="s">
        <v>120</v>
      </c>
      <c r="M715" s="153" t="n">
        <f aca="false">83.86</f>
        <v>83.86</v>
      </c>
      <c r="N715" s="152" t="s">
        <v>1548</v>
      </c>
      <c r="O715" s="152" t="s">
        <v>1549</v>
      </c>
      <c r="P715" s="152" t="s">
        <v>1550</v>
      </c>
      <c r="Q715" s="152" t="s">
        <v>1551</v>
      </c>
      <c r="R715" s="154" t="s">
        <v>4266</v>
      </c>
      <c r="S715" s="154" t="s">
        <v>1593</v>
      </c>
      <c r="T715" s="155" t="s">
        <v>4002</v>
      </c>
      <c r="U715" s="152" t="str">
        <f aca="false">RIGHT(T715,7)</f>
        <v>015/037</v>
      </c>
      <c r="V715" s="152" t="s">
        <v>1555</v>
      </c>
      <c r="W715" s="156" t="n">
        <v>45882</v>
      </c>
      <c r="X715" s="152" t="s">
        <v>1594</v>
      </c>
      <c r="Y715" s="152" t="s">
        <v>4223</v>
      </c>
      <c r="Z715" s="152" t="s">
        <v>1557</v>
      </c>
      <c r="AA715" s="153" t="n">
        <v>4.6</v>
      </c>
      <c r="AB715" s="151" t="s">
        <v>4267</v>
      </c>
      <c r="AC715" s="151" t="s">
        <v>526</v>
      </c>
      <c r="AD715" s="151" t="str">
        <f aca="false">CONCATENATE($C715,$I715,$H715,$N715,$J715,$K715)</f>
        <v>TUBO PEADPEAD90VCAREDESZona07</v>
      </c>
      <c r="AE715" s="153" t="n">
        <f aca="false">IFERROR(INDEX(APOIO_REDES!$A:$W,MATCH($C715&amp;$I715&amp;$H715&amp;$N715&amp;$O715,APOIO_REDES!$W:$W,0),MATCH(AE$5,APOIO_REDES!$5:$5,0)),0)</f>
        <v>1.2</v>
      </c>
      <c r="AF715" s="153" t="n">
        <f aca="false">IFERROR(INDEX(APOIO_REDES!$A:$W,MATCH($C715&amp;$I715&amp;$H715&amp;$N715&amp;$O715,APOIO_REDES!$W:$W,0),MATCH(AF$5,APOIO_REDES!$5:$5,0)),0)</f>
        <v>1.39</v>
      </c>
      <c r="AG715" s="153" t="n">
        <f aca="false">IFERROR(INDEX(APOIO_REDES!$A:$W,MATCH($C715&amp;$I715&amp;$H715&amp;$N715&amp;$O715,APOIO_REDES!$W:$W,0),MATCH(AG$5,APOIO_REDES!$5:$5,0)),0)</f>
        <v>0.75</v>
      </c>
      <c r="AH715" s="153" t="n">
        <f aca="false">IFERROR(INDEX(APOIO_REDES!$A:$W,MATCH($C715&amp;$I715&amp;$H715&amp;$N715&amp;$O715,APOIO_REDES!$W:$W,0),MATCH(AH$5,APOIO_REDES!$5:$5,0)),0)</f>
        <v>0.1</v>
      </c>
      <c r="AI715" s="153" t="n">
        <f aca="false">IFERROR(IF($H715&lt;&gt;"",(((($H715/1000)/2)^2)*PI()*$M715),0),0)</f>
        <v>0.533494268858331</v>
      </c>
      <c r="AJ715" s="153" t="n">
        <f aca="false">IFERROR(IF(AND($H715&lt;&gt;"",$I715="FoFo",OR($N715="MND",$N715="VCA"),$Q715="LINEAR"),0,IF(AND($H715&lt;&gt;"",$I715="PEAD",$N715="VCA",$Q715="LINEAR"),($H715/1000)+0.3,IF(AND($H715&lt;&gt;"",$I715="PEAD",$N715="MND",$Q715="EMBOQUE"),0,IF(AND($H715&lt;&gt;"",$I715="PVC",$N715="VCA",$Q715="LINEAR"),($H715/1000)+0.2,IF(AND($H715&lt;&gt;"",$I715="PVC",$N715="MND",$Q715="EMBOQUE"),0,IF(AND($H715&lt;&gt;"",$I715="PEAD",$N715="VCA",$Q715="PREDIAL"),0,0)))))),0)</f>
        <v>0.39</v>
      </c>
      <c r="AK715" s="153" t="n">
        <f aca="false">IF(AA715&lt;&gt;"",AA715,0)</f>
        <v>4.6</v>
      </c>
      <c r="AL715" s="153" t="n">
        <f aca="false">IF(AND($N715="MND",$Q715="EMBOQUE"),$M715,IF(AND($N715="VCA",$Q715="LINEAR"),$M715,IF(AND($N715="VCA",$Q715="PREDIAL"),0,0)))</f>
        <v>83.86</v>
      </c>
      <c r="AM715" s="153" t="n">
        <f aca="false">IF(AND($N715="MND",$Q715="EMBOQUE"),$M715,IF(AND($N715="VCA",$Q715="LINEAR"),$M715,IF(AND($N715="VCA",$Q715="PREDIAL"),0,0)))</f>
        <v>83.86</v>
      </c>
      <c r="AN715" s="153" t="n">
        <f aca="false">ROUND(IF(AND($N715="VCA",$M715&lt;&gt;"",$Q715="LINEAR"),$M715/100,IF(AND($N715="MND",$M715&gt;100,$Q715="EMBOQUE"),$M715/100,0)),0)</f>
        <v>1</v>
      </c>
      <c r="AO715" s="153" t="n">
        <f aca="false">IF(AND($N715="MND",$Q715="EMBOQUE"),$AN715*2*2,IF(AND($N715="VCA",$Q715="LINEAR"),$M715*2,IF(AND($N715="VCA",$Q715="PREDIAL"),0,0)))</f>
        <v>167.72</v>
      </c>
      <c r="AP715" s="153" t="n">
        <f aca="false">IFERROR($M715*$AF715*$AG715,0)</f>
        <v>87.42405</v>
      </c>
      <c r="AQ715" s="153" t="n">
        <f aca="false">IFERROR(IF(AND($N715="VCA",$AH715&gt;0),$M715*$AG715*$AH715,0),0)</f>
        <v>6.2895</v>
      </c>
      <c r="AR715" s="153" t="n">
        <f aca="false">IFERROR(IF(AND($N715="VCA",$AJ715&gt;0),($M715*$AG715*$AJ715)-$AI715,0),0)</f>
        <v>23.9955557311417</v>
      </c>
      <c r="AS715" s="153" t="n">
        <f aca="false">IFERROR(IF(AND($N715="VCA",$AP715&gt;0),$AP715-$AI715-$AQ715-$AR715,0),0)</f>
        <v>56.6055</v>
      </c>
      <c r="AT715" s="153" t="n">
        <f aca="false">IFERROR(IF($N715="VCA",INDEX(APOIO_REDES!$A:$W,MATCH($C715&amp;$I715&amp;$H715&amp;$N715&amp;$O715,APOIO_REDES!$W:$W,0),MATCH(AT$5,APOIO_REDES!$5:$5,0)),0)*$AP715,0)</f>
        <v>0.951199540197953</v>
      </c>
      <c r="AU715" s="153" t="n">
        <f aca="false">IFERROR(IF($N715="VCA",INDEX(APOIO_REDES!$A:$W,MATCH($C715&amp;$I715&amp;$H715&amp;$N715&amp;$O715,APOIO_REDES!$W:$W,0),MATCH(AU$5,APOIO_REDES!$5:$5,0)),0)*$AP715,0)</f>
        <v>0.759602191051418</v>
      </c>
      <c r="AV715" s="153" t="n">
        <f aca="false">IFERROR(IF($N715="VCA",INDEX(APOIO_REDES!$A:$W,MATCH($C715&amp;$I715&amp;$H715&amp;$N715&amp;$O715,APOIO_REDES!$W:$W,0),MATCH(AV$5,APOIO_REDES!$5:$5,0)),0)*$AP715,0)</f>
        <v>0.105122980130514</v>
      </c>
      <c r="AW715" s="153" t="n">
        <f aca="false">IFERROR(IF($N715="VCA",INDEX(APOIO_REDES!$A:$W,MATCH($C715&amp;$I715&amp;$H715&amp;$N715&amp;$O715,APOIO_REDES!$W:$W,0),MATCH(AW$5,APOIO_REDES!$5:$5,0)),0)*$AP715,0)</f>
        <v>60.0085453145946</v>
      </c>
      <c r="AX715" s="153" t="n">
        <f aca="false">IFERROR(IF($N715="VCA",INDEX(APOIO_REDES!$A:$W,MATCH($C715&amp;$I715&amp;$H715&amp;$N715&amp;$O715,APOIO_REDES!$W:$W,0),MATCH(AX$5,APOIO_REDES!$5:$5,0)),0)*$AP715,0)</f>
        <v>8.30501173396291</v>
      </c>
      <c r="AY715" s="153" t="n">
        <f aca="false">IFERROR(IF($N715="VCA",INDEX(APOIO_REDES!$A:$W,MATCH($C715&amp;$I715&amp;$H715&amp;$N715&amp;$O715,APOIO_REDES!$W:$W,0),MATCH(AY$5,APOIO_REDES!$5:$5,0)),0)*$AP715,0)</f>
        <v>15.1920345615392</v>
      </c>
      <c r="AZ715" s="153" t="n">
        <f aca="false">IFERROR(IF($N715="VCA",INDEX(APOIO_REDES!$A:$W,MATCH($C715&amp;$I715&amp;$H715&amp;$N715&amp;$O715,APOIO_REDES!$W:$W,0),MATCH(AZ$5,APOIO_REDES!$5:$5,0)),0)*$AP715,0)</f>
        <v>2.10253367852335</v>
      </c>
      <c r="BA715" s="153" t="n">
        <f aca="false">IFERROR(IF(AND($N715="VCA",$Q715="LINEAR"),INDEX(APOIO_REDES!$A:$W,MATCH($C715&amp;$I715&amp;$H715&amp;$N715&amp;$O715,APOIO_REDES!$W:$W,0),MATCH(BA$5,APOIO_REDES!$5:$5,0)),IF(AND($N715="MND",$Q715="EMBOQUE"),INDEX(APOIO_REDES!$A:$W,MATCH($C715&amp;$I715&amp;$H715&amp;$N715&amp;$O715,APOIO_REDES!$W:$W,0),MATCH(BA$5,APOIO_REDES!$5:$5,0)),0))*$M715/10,0)</f>
        <v>6.75890446984038</v>
      </c>
      <c r="BB715" s="153" t="n">
        <f aca="false">IFERROR(IF($N715="VCA",INDEX(APOIO_REDES!$A:$W,MATCH($C715&amp;$I715&amp;$H715&amp;$N715&amp;$O715,APOIO_REDES!$W:$W,0),MATCH(BB$5,APOIO_REDES!$5:$5,0)),0)*($AI715+$AQ715+$AR715),0)</f>
        <v>30.4832350541748</v>
      </c>
      <c r="BC715" s="153" t="n">
        <f aca="false">IFERROR(IF($N715="VCA",INDEX(APOIO_REDES!$A:$W,MATCH($C715&amp;$I715&amp;$H715&amp;$N715&amp;$O715,APOIO_REDES!$W:$W,0),MATCH(BC$5,APOIO_REDES!$5:$5,0)),0)*($AI715+$AQ715+$AR715),0)</f>
        <v>0.335314945825177</v>
      </c>
      <c r="BD715" s="153" t="n">
        <f aca="false">IF(AND($N715="VCA",$AF715&gt;=1.25,$AF715&lt;1.5),$M715*$AF715*2,0)</f>
        <v>233.1308</v>
      </c>
      <c r="BE715" s="153" t="n">
        <f aca="false">IF(AND($N715="VCA",$AF715&gt;=1.5,$AF715&lt;3),$M715*$AF715*2,0)</f>
        <v>0</v>
      </c>
      <c r="BF715" s="153" t="n">
        <f aca="false">IF(AND($N715="VCA",$AF715&gt;=3),$M715*$AF715*2,0)</f>
        <v>0</v>
      </c>
      <c r="BG715" s="153" t="n">
        <f aca="false">($BB715+$BC715)*$AK715</f>
        <v>141.76533</v>
      </c>
      <c r="BH715" s="153" t="n">
        <f aca="false">IF(AND($M715&lt;&gt;"",$N715="VCA",$Q715="LINEAR"),($M715*2)/100,IF(AND($M715&lt;&gt;"",$N715="MND",$Q715="EMBOQUE"),($AN715*2)/100,0))</f>
        <v>1.6772</v>
      </c>
      <c r="BI715" s="153" t="n">
        <f aca="false">IF(AND($M715&lt;&gt;"",$N715="VCA",$Q715="LINEAR"),$M715,IF(AND($M715&lt;&gt;"",$N715="MND",$Q715="EMBOQUE"),$AN715*2,0))</f>
        <v>83.86</v>
      </c>
      <c r="BJ715" s="153" t="n">
        <f aca="false">IF(AND($M715&lt;&gt;"",$N715="VCA",$Q715="LINEAR"),($M715*6.8)/100,IF(AND($M715&lt;&gt;"",$N715="MND",$Q715="EMBOQUE"),($AN715*2*6.8)/100,0))</f>
        <v>5.70248</v>
      </c>
      <c r="BK715" s="153" t="n">
        <f aca="false">IF(AND($M715&lt;&gt;"",$N715="VCA",$Q715="LINEAR"),($M715*2.5)/50,IF(AND($M715&lt;&gt;"",$N715="MND",$Q715="EMBOQUE"),($AN715*2*2.5)/50,0))</f>
        <v>4.193</v>
      </c>
      <c r="BL715" s="157" t="str">
        <f aca="false">K715&amp;J715</f>
        <v>Zona07REDES</v>
      </c>
      <c r="BM715" s="152" t="s">
        <v>4225</v>
      </c>
      <c r="BN715" s="152" t="s">
        <v>1560</v>
      </c>
      <c r="BO715" s="152" t="s">
        <v>4004</v>
      </c>
      <c r="BP715" s="152" t="s">
        <v>2232</v>
      </c>
      <c r="BQ715" s="152" t="s">
        <v>4268</v>
      </c>
      <c r="BR715" s="152" t="s">
        <v>4269</v>
      </c>
      <c r="BS715" s="152" t="n">
        <v>203632.31</v>
      </c>
      <c r="BT715" s="152" t="n">
        <v>8236652.246</v>
      </c>
      <c r="BU715" s="152" t="n">
        <v>203563.904</v>
      </c>
      <c r="BV715" s="152" t="n">
        <v>8236603.934</v>
      </c>
      <c r="BW715" s="152" t="n">
        <v>-15.931927</v>
      </c>
      <c r="BX715" s="152" t="n">
        <v>-47.7684701</v>
      </c>
      <c r="BY715" s="152" t="s">
        <v>4268</v>
      </c>
    </row>
    <row r="716" customFormat="false" ht="13.8" hidden="false" customHeight="false" outlineLevel="0" collapsed="false">
      <c r="A716" s="149" t="n">
        <f aca="false">IF(C716&lt;&gt;"",ROW(A711),"")</f>
        <v>711</v>
      </c>
      <c r="B716" s="150" t="str">
        <f aca="false">HYPERLINK("https://www.google.com/maps/dir/-15.917302,-47.760003/-15.9317290,-47.7689547/data=!4m3!4m2!3e0!5i2")</f>
        <v>https://www.google.com/maps/dir/-15.917302,-47.760003/-15.9317290,-47.7689547/data=!4m3!4m2!3e0!5i2</v>
      </c>
      <c r="C716" s="151" t="s">
        <v>117</v>
      </c>
      <c r="D716" s="152" t="s">
        <v>112</v>
      </c>
      <c r="E716" s="152" t="s">
        <v>113</v>
      </c>
      <c r="F716" s="152" t="s">
        <v>117</v>
      </c>
      <c r="G716" s="152" t="s">
        <v>114</v>
      </c>
      <c r="H716" s="152" t="n">
        <v>160</v>
      </c>
      <c r="I716" s="152" t="s">
        <v>115</v>
      </c>
      <c r="J716" s="152" t="s">
        <v>6</v>
      </c>
      <c r="K716" s="152" t="s">
        <v>4221</v>
      </c>
      <c r="L716" s="152" t="s">
        <v>120</v>
      </c>
      <c r="M716" s="153" t="n">
        <f aca="false">48.28+0.06</f>
        <v>48.34</v>
      </c>
      <c r="N716" s="152" t="s">
        <v>1548</v>
      </c>
      <c r="O716" s="152" t="s">
        <v>1549</v>
      </c>
      <c r="P716" s="152" t="s">
        <v>1550</v>
      </c>
      <c r="Q716" s="152" t="s">
        <v>1551</v>
      </c>
      <c r="R716" s="154" t="s">
        <v>4270</v>
      </c>
      <c r="S716" s="154" t="s">
        <v>1593</v>
      </c>
      <c r="T716" s="155" t="s">
        <v>4002</v>
      </c>
      <c r="U716" s="152" t="str">
        <f aca="false">RIGHT(T716,7)</f>
        <v>015/037</v>
      </c>
      <c r="V716" s="152" t="s">
        <v>1555</v>
      </c>
      <c r="W716" s="156" t="n">
        <v>45882</v>
      </c>
      <c r="X716" s="152" t="s">
        <v>1594</v>
      </c>
      <c r="Y716" s="152" t="s">
        <v>4030</v>
      </c>
      <c r="Z716" s="152" t="s">
        <v>1557</v>
      </c>
      <c r="AA716" s="153" t="n">
        <v>4.6</v>
      </c>
      <c r="AB716" s="151" t="s">
        <v>4271</v>
      </c>
      <c r="AC716" s="151" t="s">
        <v>505</v>
      </c>
      <c r="AD716" s="151" t="str">
        <f aca="false">CONCATENATE($C716,$I716,$H716,$N716,$J716,$K716)</f>
        <v>TUBO PEADPEAD160VCAREDESZona07</v>
      </c>
      <c r="AE716" s="153" t="n">
        <f aca="false">IFERROR(INDEX(APOIO_REDES!$A:$W,MATCH($C716&amp;$I716&amp;$H716&amp;$N716&amp;$O716,APOIO_REDES!$W:$W,0),MATCH(AE$5,APOIO_REDES!$5:$5,0)),0)</f>
        <v>1.2</v>
      </c>
      <c r="AF716" s="153" t="n">
        <f aca="false">IFERROR(INDEX(APOIO_REDES!$A:$W,MATCH($C716&amp;$I716&amp;$H716&amp;$N716&amp;$O716,APOIO_REDES!$W:$W,0),MATCH(AF$5,APOIO_REDES!$5:$5,0)),0)</f>
        <v>1.46</v>
      </c>
      <c r="AG716" s="153" t="n">
        <f aca="false">IFERROR(INDEX(APOIO_REDES!$A:$W,MATCH($C716&amp;$I716&amp;$H716&amp;$N716&amp;$O716,APOIO_REDES!$W:$W,0),MATCH(AG$5,APOIO_REDES!$5:$5,0)),0)</f>
        <v>0.75</v>
      </c>
      <c r="AH716" s="153" t="n">
        <f aca="false">IFERROR(INDEX(APOIO_REDES!$A:$W,MATCH($C716&amp;$I716&amp;$H716&amp;$N716&amp;$O716,APOIO_REDES!$W:$W,0),MATCH(AH$5,APOIO_REDES!$5:$5,0)),0)</f>
        <v>0.1</v>
      </c>
      <c r="AI716" s="153" t="n">
        <f aca="false">IFERROR(IF($H716&lt;&gt;"",(((($H716/1000)/2)^2)*PI()*$M716),0),0)</f>
        <v>0.971933368796996</v>
      </c>
      <c r="AJ716" s="153" t="n">
        <f aca="false">IFERROR(IF(AND($H716&lt;&gt;"",$I716="FoFo",OR($N716="MND",$N716="VCA"),$Q716="LINEAR"),0,IF(AND($H716&lt;&gt;"",$I716="PEAD",$N716="VCA",$Q716="LINEAR"),($H716/1000)+0.3,IF(AND($H716&lt;&gt;"",$I716="PEAD",$N716="MND",$Q716="EMBOQUE"),0,IF(AND($H716&lt;&gt;"",$I716="PVC",$N716="VCA",$Q716="LINEAR"),($H716/1000)+0.2,IF(AND($H716&lt;&gt;"",$I716="PVC",$N716="MND",$Q716="EMBOQUE"),0,IF(AND($H716&lt;&gt;"",$I716="PEAD",$N716="VCA",$Q716="PREDIAL"),0,0)))))),0)</f>
        <v>0.46</v>
      </c>
      <c r="AK716" s="153" t="n">
        <f aca="false">IF(AA716&lt;&gt;"",AA716,0)</f>
        <v>4.6</v>
      </c>
      <c r="AL716" s="153" t="n">
        <f aca="false">IF(AND($N716="MND",$Q716="EMBOQUE"),$M716,IF(AND($N716="VCA",$Q716="LINEAR"),$M716,IF(AND($N716="VCA",$Q716="PREDIAL"),0,0)))</f>
        <v>48.34</v>
      </c>
      <c r="AM716" s="153" t="n">
        <f aca="false">IF(AND($N716="MND",$Q716="EMBOQUE"),$M716,IF(AND($N716="VCA",$Q716="LINEAR"),$M716,IF(AND($N716="VCA",$Q716="PREDIAL"),0,0)))</f>
        <v>48.34</v>
      </c>
      <c r="AN716" s="153" t="n">
        <f aca="false">ROUND(IF(AND($N716="VCA",$M716&lt;&gt;"",$Q716="LINEAR"),$M716/100,IF(AND($N716="MND",$M716&gt;100,$Q716="EMBOQUE"),$M716/100,0)),0)</f>
        <v>0</v>
      </c>
      <c r="AO716" s="153" t="n">
        <f aca="false">IF(AND($N716="MND",$Q716="EMBOQUE"),$AN716*2*2,IF(AND($N716="VCA",$Q716="LINEAR"),$M716*2,IF(AND($N716="VCA",$Q716="PREDIAL"),0,0)))</f>
        <v>96.68</v>
      </c>
      <c r="AP716" s="153" t="n">
        <f aca="false">IFERROR($M716*$AF716*$AG716,0)</f>
        <v>52.9323</v>
      </c>
      <c r="AQ716" s="153" t="n">
        <f aca="false">IFERROR(IF(AND($N716="VCA",$AH716&gt;0),$M716*$AG716*$AH716,0),0)</f>
        <v>3.6255</v>
      </c>
      <c r="AR716" s="153" t="n">
        <f aca="false">IFERROR(IF(AND($N716="VCA",$AJ716&gt;0),($M716*$AG716*$AJ716)-$AI716,0),0)</f>
        <v>15.705366631203</v>
      </c>
      <c r="AS716" s="153" t="n">
        <f aca="false">IFERROR(IF(AND($N716="VCA",$AP716&gt;0),$AP716-$AI716-$AQ716-$AR716,0),0)</f>
        <v>32.6295</v>
      </c>
      <c r="AT716" s="153" t="n">
        <f aca="false">IFERROR(IF($N716="VCA",INDEX(APOIO_REDES!$A:$W,MATCH($C716&amp;$I716&amp;$H716&amp;$N716&amp;$O716,APOIO_REDES!$W:$W,0),MATCH(AT$5,APOIO_REDES!$5:$5,0)),0)*$AP716,0)</f>
        <v>0.575919091161072</v>
      </c>
      <c r="AU716" s="153" t="n">
        <f aca="false">IFERROR(IF($N716="VCA",INDEX(APOIO_REDES!$A:$W,MATCH($C716&amp;$I716&amp;$H716&amp;$N716&amp;$O716,APOIO_REDES!$W:$W,0),MATCH(AU$5,APOIO_REDES!$5:$5,0)),0)*$AP716,0)</f>
        <v>0.459913388334114</v>
      </c>
      <c r="AV716" s="153" t="n">
        <f aca="false">IFERROR(IF($N716="VCA",INDEX(APOIO_REDES!$A:$W,MATCH($C716&amp;$I716&amp;$H716&amp;$N716&amp;$O716,APOIO_REDES!$W:$W,0),MATCH(AV$5,APOIO_REDES!$5:$5,0)),0)*$AP716,0)</f>
        <v>0.0636484024837837</v>
      </c>
      <c r="AW716" s="153" t="n">
        <f aca="false">IFERROR(IF($N716="VCA",INDEX(APOIO_REDES!$A:$W,MATCH($C716&amp;$I716&amp;$H716&amp;$N716&amp;$O716,APOIO_REDES!$W:$W,0),MATCH(AW$5,APOIO_REDES!$5:$5,0)),0)*$AP716,0)</f>
        <v>36.3331408594742</v>
      </c>
      <c r="AX716" s="153" t="n">
        <f aca="false">IFERROR(IF($N716="VCA",INDEX(APOIO_REDES!$A:$W,MATCH($C716&amp;$I716&amp;$H716&amp;$N716&amp;$O716,APOIO_REDES!$W:$W,0),MATCH(AX$5,APOIO_REDES!$5:$5,0)),0)*$AP716,0)</f>
        <v>5.02840319804041</v>
      </c>
      <c r="AY716" s="153" t="n">
        <f aca="false">IFERROR(IF($N716="VCA",INDEX(APOIO_REDES!$A:$W,MATCH($C716&amp;$I716&amp;$H716&amp;$N716&amp;$O716,APOIO_REDES!$W:$W,0),MATCH(AY$5,APOIO_REDES!$5:$5,0)),0)*$AP716,0)</f>
        <v>9.19826216037535</v>
      </c>
      <c r="AZ716" s="153" t="n">
        <f aca="false">IFERROR(IF($N716="VCA",INDEX(APOIO_REDES!$A:$W,MATCH($C716&amp;$I716&amp;$H716&amp;$N716&amp;$O716,APOIO_REDES!$W:$W,0),MATCH(AZ$5,APOIO_REDES!$5:$5,0)),0)*$AP716,0)</f>
        <v>1.27301290013105</v>
      </c>
      <c r="BA716" s="153" t="n">
        <f aca="false">IFERROR(IF(AND($N716="VCA",$Q716="LINEAR"),INDEX(APOIO_REDES!$A:$W,MATCH($C716&amp;$I716&amp;$H716&amp;$N716&amp;$O716,APOIO_REDES!$W:$W,0),MATCH(BA$5,APOIO_REDES!$5:$5,0)),IF(AND($N716="MND",$Q716="EMBOQUE"),INDEX(APOIO_REDES!$A:$W,MATCH($C716&amp;$I716&amp;$H716&amp;$N716&amp;$O716,APOIO_REDES!$W:$W,0),MATCH(BA$5,APOIO_REDES!$5:$5,0)),0))*$M716/10,0)</f>
        <v>3.89608206620658</v>
      </c>
      <c r="BB716" s="153" t="n">
        <f aca="false">IFERROR(IF($N716="VCA",INDEX(APOIO_REDES!$A:$W,MATCH($C716&amp;$I716&amp;$H716&amp;$N716&amp;$O716,APOIO_REDES!$W:$W,0),MATCH(BB$5,APOIO_REDES!$5:$5,0)),0)*($AI716+$AQ716+$AR716),0)</f>
        <v>20.0818995266779</v>
      </c>
      <c r="BC716" s="153" t="n">
        <f aca="false">IFERROR(IF($N716="VCA",INDEX(APOIO_REDES!$A:$W,MATCH($C716&amp;$I716&amp;$H716&amp;$N716&amp;$O716,APOIO_REDES!$W:$W,0),MATCH(BC$5,APOIO_REDES!$5:$5,0)),0)*($AI716+$AQ716+$AR716),0)</f>
        <v>0.220900473322055</v>
      </c>
      <c r="BD716" s="153" t="n">
        <f aca="false">IF(AND($N716="VCA",$AF716&gt;=1.25,$AF716&lt;1.5),$M716*$AF716*2,0)</f>
        <v>141.1528</v>
      </c>
      <c r="BE716" s="153" t="n">
        <f aca="false">IF(AND($N716="VCA",$AF716&gt;=1.5,$AF716&lt;3),$M716*$AF716*2,0)</f>
        <v>0</v>
      </c>
      <c r="BF716" s="153" t="n">
        <f aca="false">IF(AND($N716="VCA",$AF716&gt;=3),$M716*$AF716*2,0)</f>
        <v>0</v>
      </c>
      <c r="BG716" s="153" t="n">
        <f aca="false">($BB716+$BC716)*$AK716</f>
        <v>93.39288</v>
      </c>
      <c r="BH716" s="153" t="n">
        <f aca="false">IF(AND($M716&lt;&gt;"",$N716="VCA",$Q716="LINEAR"),($M716*2)/100,IF(AND($M716&lt;&gt;"",$N716="MND",$Q716="EMBOQUE"),($AN716*2)/100,0))</f>
        <v>0.9668</v>
      </c>
      <c r="BI716" s="153" t="n">
        <f aca="false">IF(AND($M716&lt;&gt;"",$N716="VCA",$Q716="LINEAR"),$M716,IF(AND($M716&lt;&gt;"",$N716="MND",$Q716="EMBOQUE"),$AN716*2,0))</f>
        <v>48.34</v>
      </c>
      <c r="BJ716" s="153" t="n">
        <f aca="false">IF(AND($M716&lt;&gt;"",$N716="VCA",$Q716="LINEAR"),($M716*6.8)/100,IF(AND($M716&lt;&gt;"",$N716="MND",$Q716="EMBOQUE"),($AN716*2*6.8)/100,0))</f>
        <v>3.28712</v>
      </c>
      <c r="BK716" s="153" t="n">
        <f aca="false">IF(AND($M716&lt;&gt;"",$N716="VCA",$Q716="LINEAR"),($M716*2.5)/50,IF(AND($M716&lt;&gt;"",$N716="MND",$Q716="EMBOQUE"),($AN716*2*2.5)/50,0))</f>
        <v>2.417</v>
      </c>
      <c r="BL716" s="157" t="str">
        <f aca="false">K716&amp;J716</f>
        <v>Zona07REDES</v>
      </c>
      <c r="BM716" s="152" t="s">
        <v>4225</v>
      </c>
      <c r="BN716" s="152" t="s">
        <v>1560</v>
      </c>
      <c r="BO716" s="152" t="s">
        <v>4004</v>
      </c>
      <c r="BP716" s="152" t="s">
        <v>4255</v>
      </c>
      <c r="BQ716" s="152" t="s">
        <v>4268</v>
      </c>
      <c r="BR716" s="152" t="s">
        <v>4272</v>
      </c>
      <c r="BS716" s="152" t="n">
        <v>203546.16</v>
      </c>
      <c r="BT716" s="152" t="n">
        <v>8236648.895</v>
      </c>
      <c r="BU716" s="152" t="n">
        <v>203563.879</v>
      </c>
      <c r="BV716" s="152" t="n">
        <v>8236603.993</v>
      </c>
      <c r="BW716" s="152" t="n">
        <v>-15.9319337</v>
      </c>
      <c r="BX716" s="152" t="n">
        <v>-47.7688754</v>
      </c>
      <c r="BY716" s="152" t="s">
        <v>4255</v>
      </c>
    </row>
    <row r="717" customFormat="false" ht="13.8" hidden="false" customHeight="false" outlineLevel="0" collapsed="false">
      <c r="A717" s="149" t="n">
        <f aca="false">IF(C717&lt;&gt;"",ROW(A712),"")</f>
        <v>712</v>
      </c>
      <c r="B717" s="150" t="str">
        <f aca="false">HYPERLINK("https://www.google.com/maps/dir/-15.917302,-47.760003/-15.9321230,-47.7679965/data=!4m3!4m2!3e0!5i2")</f>
        <v>https://www.google.com/maps/dir/-15.917302,-47.760003/-15.9321230,-47.7679965/data=!4m3!4m2!3e0!5i2</v>
      </c>
      <c r="C717" s="151" t="s">
        <v>117</v>
      </c>
      <c r="D717" s="152" t="s">
        <v>112</v>
      </c>
      <c r="E717" s="152" t="s">
        <v>113</v>
      </c>
      <c r="F717" s="152" t="s">
        <v>117</v>
      </c>
      <c r="G717" s="152" t="s">
        <v>782</v>
      </c>
      <c r="H717" s="152" t="n">
        <v>110</v>
      </c>
      <c r="I717" s="152" t="s">
        <v>115</v>
      </c>
      <c r="J717" s="152" t="s">
        <v>6</v>
      </c>
      <c r="K717" s="152" t="s">
        <v>4221</v>
      </c>
      <c r="L717" s="152" t="s">
        <v>120</v>
      </c>
      <c r="M717" s="153" t="n">
        <f aca="false">42.58</f>
        <v>42.58</v>
      </c>
      <c r="N717" s="152" t="s">
        <v>1548</v>
      </c>
      <c r="O717" s="152" t="s">
        <v>1549</v>
      </c>
      <c r="P717" s="152" t="s">
        <v>1550</v>
      </c>
      <c r="Q717" s="152" t="s">
        <v>1551</v>
      </c>
      <c r="R717" s="154" t="s">
        <v>4273</v>
      </c>
      <c r="S717" s="154" t="s">
        <v>1593</v>
      </c>
      <c r="T717" s="155" t="s">
        <v>4002</v>
      </c>
      <c r="U717" s="152" t="str">
        <f aca="false">RIGHT(T717,7)</f>
        <v>015/037</v>
      </c>
      <c r="V717" s="152" t="s">
        <v>1555</v>
      </c>
      <c r="W717" s="156" t="n">
        <v>45882</v>
      </c>
      <c r="X717" s="152" t="s">
        <v>1594</v>
      </c>
      <c r="Y717" s="152" t="s">
        <v>4223</v>
      </c>
      <c r="Z717" s="152" t="s">
        <v>1557</v>
      </c>
      <c r="AA717" s="153" t="n">
        <v>4.8</v>
      </c>
      <c r="AB717" s="151" t="s">
        <v>4274</v>
      </c>
      <c r="AC717" s="151" t="s">
        <v>502</v>
      </c>
      <c r="AD717" s="151" t="str">
        <f aca="false">CONCATENATE($C717,$I717,$H717,$N717,$J717,$K717)</f>
        <v>TUBO PEADPEAD110VCAREDESZona07</v>
      </c>
      <c r="AE717" s="153" t="n">
        <f aca="false">IFERROR(INDEX(APOIO_REDES!$A:$W,MATCH($C717&amp;$I717&amp;$H717&amp;$N717&amp;$O717,APOIO_REDES!$W:$W,0),MATCH(AE$5,APOIO_REDES!$5:$5,0)),0)</f>
        <v>1.2</v>
      </c>
      <c r="AF717" s="153" t="n">
        <f aca="false">IFERROR(INDEX(APOIO_REDES!$A:$W,MATCH($C717&amp;$I717&amp;$H717&amp;$N717&amp;$O717,APOIO_REDES!$W:$W,0),MATCH(AF$5,APOIO_REDES!$5:$5,0)),0)</f>
        <v>1.41</v>
      </c>
      <c r="AG717" s="153" t="n">
        <f aca="false">IFERROR(INDEX(APOIO_REDES!$A:$W,MATCH($C717&amp;$I717&amp;$H717&amp;$N717&amp;$O717,APOIO_REDES!$W:$W,0),MATCH(AG$5,APOIO_REDES!$5:$5,0)),0)</f>
        <v>0.75</v>
      </c>
      <c r="AH717" s="153" t="n">
        <f aca="false">IFERROR(INDEX(APOIO_REDES!$A:$W,MATCH($C717&amp;$I717&amp;$H717&amp;$N717&amp;$O717,APOIO_REDES!$W:$W,0),MATCH(AH$5,APOIO_REDES!$5:$5,0)),0)</f>
        <v>0.1</v>
      </c>
      <c r="AI717" s="153" t="n">
        <f aca="false">IFERROR(IF($H717&lt;&gt;"",(((($H717/1000)/2)^2)*PI()*$M717),0),0)</f>
        <v>0.404651270949307</v>
      </c>
      <c r="AJ717" s="153" t="n">
        <f aca="false">IFERROR(IF(AND($H717&lt;&gt;"",$I717="FoFo",OR($N717="MND",$N717="VCA"),$Q717="LINEAR"),0,IF(AND($H717&lt;&gt;"",$I717="PEAD",$N717="VCA",$Q717="LINEAR"),($H717/1000)+0.3,IF(AND($H717&lt;&gt;"",$I717="PEAD",$N717="MND",$Q717="EMBOQUE"),0,IF(AND($H717&lt;&gt;"",$I717="PVC",$N717="VCA",$Q717="LINEAR"),($H717/1000)+0.2,IF(AND($H717&lt;&gt;"",$I717="PVC",$N717="MND",$Q717="EMBOQUE"),0,IF(AND($H717&lt;&gt;"",$I717="PEAD",$N717="VCA",$Q717="PREDIAL"),0,0)))))),0)</f>
        <v>0.41</v>
      </c>
      <c r="AK717" s="153" t="n">
        <f aca="false">IF(AA717&lt;&gt;"",AA717,0)</f>
        <v>4.8</v>
      </c>
      <c r="AL717" s="153" t="n">
        <f aca="false">IF(AND($N717="MND",$Q717="EMBOQUE"),$M717,IF(AND($N717="VCA",$Q717="LINEAR"),$M717,IF(AND($N717="VCA",$Q717="PREDIAL"),0,0)))</f>
        <v>42.58</v>
      </c>
      <c r="AM717" s="153" t="n">
        <f aca="false">IF(AND($N717="MND",$Q717="EMBOQUE"),$M717,IF(AND($N717="VCA",$Q717="LINEAR"),$M717,IF(AND($N717="VCA",$Q717="PREDIAL"),0,0)))</f>
        <v>42.58</v>
      </c>
      <c r="AN717" s="153" t="n">
        <f aca="false">ROUND(IF(AND($N717="VCA",$M717&lt;&gt;"",$Q717="LINEAR"),$M717/100,IF(AND($N717="MND",$M717&gt;100,$Q717="EMBOQUE"),$M717/100,0)),0)</f>
        <v>0</v>
      </c>
      <c r="AO717" s="153" t="n">
        <f aca="false">IF(AND($N717="MND",$Q717="EMBOQUE"),$AN717*2*2,IF(AND($N717="VCA",$Q717="LINEAR"),$M717*2,IF(AND($N717="VCA",$Q717="PREDIAL"),0,0)))</f>
        <v>85.16</v>
      </c>
      <c r="AP717" s="153" t="n">
        <f aca="false">IFERROR($M717*$AF717*$AG717,0)</f>
        <v>45.02835</v>
      </c>
      <c r="AQ717" s="153" t="n">
        <f aca="false">IFERROR(IF(AND($N717="VCA",$AH717&gt;0),$M717*$AG717*$AH717,0),0)</f>
        <v>3.1935</v>
      </c>
      <c r="AR717" s="153" t="n">
        <f aca="false">IFERROR(IF(AND($N717="VCA",$AJ717&gt;0),($M717*$AG717*$AJ717)-$AI717,0),0)</f>
        <v>12.6886987290507</v>
      </c>
      <c r="AS717" s="153" t="n">
        <f aca="false">IFERROR(IF(AND($N717="VCA",$AP717&gt;0),$AP717-$AI717-$AQ717-$AR717,0),0)</f>
        <v>28.7415</v>
      </c>
      <c r="AT717" s="153" t="n">
        <f aca="false">IFERROR(IF($N717="VCA",INDEX(APOIO_REDES!$A:$W,MATCH($C717&amp;$I717&amp;$H717&amp;$N717&amp;$O717,APOIO_REDES!$W:$W,0),MATCH(AT$5,APOIO_REDES!$5:$5,0)),0)*$AP717,0)</f>
        <v>0.489921775711289</v>
      </c>
      <c r="AU717" s="153" t="n">
        <f aca="false">IFERROR(IF($N717="VCA",INDEX(APOIO_REDES!$A:$W,MATCH($C717&amp;$I717&amp;$H717&amp;$N717&amp;$O717,APOIO_REDES!$W:$W,0),MATCH(AU$5,APOIO_REDES!$5:$5,0)),0)*$AP717,0)</f>
        <v>0.391238261318597</v>
      </c>
      <c r="AV717" s="153" t="n">
        <f aca="false">IFERROR(IF($N717="VCA",INDEX(APOIO_REDES!$A:$W,MATCH($C717&amp;$I717&amp;$H717&amp;$N717&amp;$O717,APOIO_REDES!$W:$W,0),MATCH(AV$5,APOIO_REDES!$5:$5,0)),0)*$AP717,0)</f>
        <v>0.0541443040257212</v>
      </c>
      <c r="AW717" s="153" t="n">
        <f aca="false">IFERROR(IF($N717="VCA",INDEX(APOIO_REDES!$A:$W,MATCH($C717&amp;$I717&amp;$H717&amp;$N717&amp;$O717,APOIO_REDES!$W:$W,0),MATCH(AW$5,APOIO_REDES!$5:$5,0)),0)*$AP717,0)</f>
        <v>30.9078083366811</v>
      </c>
      <c r="AX717" s="153" t="n">
        <f aca="false">IFERROR(IF($N717="VCA",INDEX(APOIO_REDES!$A:$W,MATCH($C717&amp;$I717&amp;$H717&amp;$N717&amp;$O717,APOIO_REDES!$W:$W,0),MATCH(AX$5,APOIO_REDES!$5:$5,0)),0)*$AP717,0)</f>
        <v>4.27755263123807</v>
      </c>
      <c r="AY717" s="153" t="n">
        <f aca="false">IFERROR(IF($N717="VCA",INDEX(APOIO_REDES!$A:$W,MATCH($C717&amp;$I717&amp;$H717&amp;$N717&amp;$O717,APOIO_REDES!$W:$W,0),MATCH(AY$5,APOIO_REDES!$5:$5,0)),0)*$AP717,0)</f>
        <v>7.82476045720926</v>
      </c>
      <c r="AZ717" s="153" t="n">
        <f aca="false">IFERROR(IF($N717="VCA",INDEX(APOIO_REDES!$A:$W,MATCH($C717&amp;$I717&amp;$H717&amp;$N717&amp;$O717,APOIO_REDES!$W:$W,0),MATCH(AZ$5,APOIO_REDES!$5:$5,0)),0)*$AP717,0)</f>
        <v>1.08292423381595</v>
      </c>
      <c r="BA717" s="153" t="n">
        <f aca="false">IFERROR(IF(AND($N717="VCA",$Q717="LINEAR"),INDEX(APOIO_REDES!$A:$W,MATCH($C717&amp;$I717&amp;$H717&amp;$N717&amp;$O717,APOIO_REDES!$W:$W,0),MATCH(BA$5,APOIO_REDES!$5:$5,0)),IF(AND($N717="MND",$Q717="EMBOQUE"),INDEX(APOIO_REDES!$A:$W,MATCH($C717&amp;$I717&amp;$H717&amp;$N717&amp;$O717,APOIO_REDES!$W:$W,0),MATCH(BA$5,APOIO_REDES!$5:$5,0)),0))*$M717/10,0)</f>
        <v>3.43184059534704</v>
      </c>
      <c r="BB717" s="153" t="n">
        <f aca="false">IFERROR(IF($N717="VCA",INDEX(APOIO_REDES!$A:$W,MATCH($C717&amp;$I717&amp;$H717&amp;$N717&amp;$O717,APOIO_REDES!$W:$W,0),MATCH(BB$5,APOIO_REDES!$5:$5,0)),0)*($AI717+$AQ717+$AR717),0)</f>
        <v>16.1096442513385</v>
      </c>
      <c r="BC717" s="153" t="n">
        <f aca="false">IFERROR(IF($N717="VCA",INDEX(APOIO_REDES!$A:$W,MATCH($C717&amp;$I717&amp;$H717&amp;$N717&amp;$O717,APOIO_REDES!$W:$W,0),MATCH(BC$5,APOIO_REDES!$5:$5,0)),0)*($AI717+$AQ717+$AR717),0)</f>
        <v>0.17720574866153</v>
      </c>
      <c r="BD717" s="153" t="n">
        <f aca="false">IF(AND($N717="VCA",$AF717&gt;=1.25,$AF717&lt;1.5),$M717*$AF717*2,0)</f>
        <v>120.0756</v>
      </c>
      <c r="BE717" s="153" t="n">
        <f aca="false">IF(AND($N717="VCA",$AF717&gt;=1.5,$AF717&lt;3),$M717*$AF717*2,0)</f>
        <v>0</v>
      </c>
      <c r="BF717" s="153" t="n">
        <f aca="false">IF(AND($N717="VCA",$AF717&gt;=3),$M717*$AF717*2,0)</f>
        <v>0</v>
      </c>
      <c r="BG717" s="153" t="n">
        <f aca="false">($BB717+$BC717)*$AK717</f>
        <v>78.17688</v>
      </c>
      <c r="BH717" s="153" t="n">
        <f aca="false">IF(AND($M717&lt;&gt;"",$N717="VCA",$Q717="LINEAR"),($M717*2)/100,IF(AND($M717&lt;&gt;"",$N717="MND",$Q717="EMBOQUE"),($AN717*2)/100,0))</f>
        <v>0.8516</v>
      </c>
      <c r="BI717" s="153" t="n">
        <f aca="false">IF(AND($M717&lt;&gt;"",$N717="VCA",$Q717="LINEAR"),$M717,IF(AND($M717&lt;&gt;"",$N717="MND",$Q717="EMBOQUE"),$AN717*2,0))</f>
        <v>42.58</v>
      </c>
      <c r="BJ717" s="153" t="n">
        <f aca="false">IF(AND($M717&lt;&gt;"",$N717="VCA",$Q717="LINEAR"),($M717*6.8)/100,IF(AND($M717&lt;&gt;"",$N717="MND",$Q717="EMBOQUE"),($AN717*2*6.8)/100,0))</f>
        <v>2.89544</v>
      </c>
      <c r="BK717" s="153" t="n">
        <f aca="false">IF(AND($M717&lt;&gt;"",$N717="VCA",$Q717="LINEAR"),($M717*2.5)/50,IF(AND($M717&lt;&gt;"",$N717="MND",$Q717="EMBOQUE"),($AN717*2*2.5)/50,0))</f>
        <v>2.129</v>
      </c>
      <c r="BL717" s="157" t="str">
        <f aca="false">K717&amp;J717</f>
        <v>Zona07REDES</v>
      </c>
      <c r="BM717" s="152" t="s">
        <v>4225</v>
      </c>
      <c r="BN717" s="152" t="s">
        <v>1560</v>
      </c>
      <c r="BO717" s="152" t="s">
        <v>4004</v>
      </c>
      <c r="BP717" s="152" t="s">
        <v>4275</v>
      </c>
      <c r="BQ717" s="152" t="s">
        <v>4263</v>
      </c>
      <c r="BR717" s="152" t="s">
        <v>4276</v>
      </c>
      <c r="BS717" s="152" t="n">
        <v>203649.355</v>
      </c>
      <c r="BT717" s="152" t="n">
        <v>8236606.692</v>
      </c>
      <c r="BU717" s="152" t="n">
        <v>203683.334</v>
      </c>
      <c r="BV717" s="152" t="n">
        <v>8236632.341</v>
      </c>
      <c r="BW717" s="152" t="n">
        <v>-15.9320111</v>
      </c>
      <c r="BX717" s="152" t="n">
        <v>-47.7678349</v>
      </c>
      <c r="BY717" s="152" t="s">
        <v>4275</v>
      </c>
    </row>
    <row r="718" customFormat="false" ht="13.8" hidden="false" customHeight="false" outlineLevel="0" collapsed="false">
      <c r="A718" s="149" t="n">
        <f aca="false">IF(C718&lt;&gt;"",ROW(A713),"")</f>
        <v>713</v>
      </c>
      <c r="B718" s="150" t="str">
        <f aca="false">HYPERLINK("https://www.google.com/maps/dir/-15.917302,-47.760003/-15.9323200,-47.7673750/data=!4m3!4m2!3e0!5i2")</f>
        <v>https://www.google.com/maps/dir/-15.917302,-47.760003/-15.9323200,-47.7673750/data=!4m3!4m2!3e0!5i2</v>
      </c>
      <c r="C718" s="151" t="s">
        <v>117</v>
      </c>
      <c r="D718" s="152" t="s">
        <v>112</v>
      </c>
      <c r="E718" s="152" t="s">
        <v>113</v>
      </c>
      <c r="F718" s="152" t="s">
        <v>117</v>
      </c>
      <c r="G718" s="152" t="s">
        <v>782</v>
      </c>
      <c r="H718" s="152" t="n">
        <v>110</v>
      </c>
      <c r="I718" s="152" t="s">
        <v>115</v>
      </c>
      <c r="J718" s="152" t="s">
        <v>6</v>
      </c>
      <c r="K718" s="152" t="s">
        <v>4221</v>
      </c>
      <c r="L718" s="152" t="s">
        <v>120</v>
      </c>
      <c r="M718" s="153" t="n">
        <f aca="false">72.58</f>
        <v>72.58</v>
      </c>
      <c r="N718" s="152" t="s">
        <v>1548</v>
      </c>
      <c r="O718" s="152" t="s">
        <v>1549</v>
      </c>
      <c r="P718" s="152" t="s">
        <v>1550</v>
      </c>
      <c r="Q718" s="152" t="s">
        <v>1551</v>
      </c>
      <c r="R718" s="154" t="s">
        <v>4277</v>
      </c>
      <c r="S718" s="154" t="s">
        <v>1593</v>
      </c>
      <c r="T718" s="155" t="s">
        <v>4002</v>
      </c>
      <c r="U718" s="152" t="str">
        <f aca="false">RIGHT(T718,7)</f>
        <v>015/037</v>
      </c>
      <c r="V718" s="152" t="s">
        <v>1555</v>
      </c>
      <c r="W718" s="156" t="n">
        <v>45882</v>
      </c>
      <c r="X718" s="152" t="s">
        <v>1594</v>
      </c>
      <c r="Y718" s="152" t="s">
        <v>4278</v>
      </c>
      <c r="Z718" s="152" t="s">
        <v>1557</v>
      </c>
      <c r="AA718" s="153" t="n">
        <v>4</v>
      </c>
      <c r="AB718" s="151" t="s">
        <v>4279</v>
      </c>
      <c r="AC718" s="151" t="s">
        <v>502</v>
      </c>
      <c r="AD718" s="151" t="str">
        <f aca="false">CONCATENATE($C718,$I718,$H718,$N718,$J718,$K718)</f>
        <v>TUBO PEADPEAD110VCAREDESZona07</v>
      </c>
      <c r="AE718" s="153" t="n">
        <f aca="false">IFERROR(INDEX(APOIO_REDES!$A:$W,MATCH($C718&amp;$I718&amp;$H718&amp;$N718&amp;$O718,APOIO_REDES!$W:$W,0),MATCH(AE$5,APOIO_REDES!$5:$5,0)),0)</f>
        <v>1.2</v>
      </c>
      <c r="AF718" s="153" t="n">
        <f aca="false">IFERROR(INDEX(APOIO_REDES!$A:$W,MATCH($C718&amp;$I718&amp;$H718&amp;$N718&amp;$O718,APOIO_REDES!$W:$W,0),MATCH(AF$5,APOIO_REDES!$5:$5,0)),0)</f>
        <v>1.41</v>
      </c>
      <c r="AG718" s="153" t="n">
        <f aca="false">IFERROR(INDEX(APOIO_REDES!$A:$W,MATCH($C718&amp;$I718&amp;$H718&amp;$N718&amp;$O718,APOIO_REDES!$W:$W,0),MATCH(AG$5,APOIO_REDES!$5:$5,0)),0)</f>
        <v>0.75</v>
      </c>
      <c r="AH718" s="153" t="n">
        <f aca="false">IFERROR(INDEX(APOIO_REDES!$A:$W,MATCH($C718&amp;$I718&amp;$H718&amp;$N718&amp;$O718,APOIO_REDES!$W:$W,0),MATCH(AH$5,APOIO_REDES!$5:$5,0)),0)</f>
        <v>0.1</v>
      </c>
      <c r="AI718" s="153" t="n">
        <f aca="false">IFERROR(IF($H718&lt;&gt;"",(((($H718/1000)/2)^2)*PI()*$M718),0),0)</f>
        <v>0.68975080426258</v>
      </c>
      <c r="AJ718" s="153" t="n">
        <f aca="false">IFERROR(IF(AND($H718&lt;&gt;"",$I718="FoFo",OR($N718="MND",$N718="VCA"),$Q718="LINEAR"),0,IF(AND($H718&lt;&gt;"",$I718="PEAD",$N718="VCA",$Q718="LINEAR"),($H718/1000)+0.3,IF(AND($H718&lt;&gt;"",$I718="PEAD",$N718="MND",$Q718="EMBOQUE"),0,IF(AND($H718&lt;&gt;"",$I718="PVC",$N718="VCA",$Q718="LINEAR"),($H718/1000)+0.2,IF(AND($H718&lt;&gt;"",$I718="PVC",$N718="MND",$Q718="EMBOQUE"),0,IF(AND($H718&lt;&gt;"",$I718="PEAD",$N718="VCA",$Q718="PREDIAL"),0,0)))))),0)</f>
        <v>0.41</v>
      </c>
      <c r="AK718" s="153" t="n">
        <f aca="false">IF(AA718&lt;&gt;"",AA718,0)</f>
        <v>4</v>
      </c>
      <c r="AL718" s="153" t="n">
        <f aca="false">IF(AND($N718="MND",$Q718="EMBOQUE"),$M718,IF(AND($N718="VCA",$Q718="LINEAR"),$M718,IF(AND($N718="VCA",$Q718="PREDIAL"),0,0)))</f>
        <v>72.58</v>
      </c>
      <c r="AM718" s="153" t="n">
        <f aca="false">IF(AND($N718="MND",$Q718="EMBOQUE"),$M718,IF(AND($N718="VCA",$Q718="LINEAR"),$M718,IF(AND($N718="VCA",$Q718="PREDIAL"),0,0)))</f>
        <v>72.58</v>
      </c>
      <c r="AN718" s="153" t="n">
        <f aca="false">ROUND(IF(AND($N718="VCA",$M718&lt;&gt;"",$Q718="LINEAR"),$M718/100,IF(AND($N718="MND",$M718&gt;100,$Q718="EMBOQUE"),$M718/100,0)),0)</f>
        <v>1</v>
      </c>
      <c r="AO718" s="153" t="n">
        <f aca="false">IF(AND($N718="MND",$Q718="EMBOQUE"),$AN718*2*2,IF(AND($N718="VCA",$Q718="LINEAR"),$M718*2,IF(AND($N718="VCA",$Q718="PREDIAL"),0,0)))</f>
        <v>145.16</v>
      </c>
      <c r="AP718" s="153" t="n">
        <f aca="false">IFERROR($M718*$AF718*$AG718,0)</f>
        <v>76.75335</v>
      </c>
      <c r="AQ718" s="153" t="n">
        <f aca="false">IFERROR(IF(AND($N718="VCA",$AH718&gt;0),$M718*$AG718*$AH718,0),0)</f>
        <v>5.4435</v>
      </c>
      <c r="AR718" s="153" t="n">
        <f aca="false">IFERROR(IF(AND($N718="VCA",$AJ718&gt;0),($M718*$AG718*$AJ718)-$AI718,0),0)</f>
        <v>21.6285991957374</v>
      </c>
      <c r="AS718" s="153" t="n">
        <f aca="false">IFERROR(IF(AND($N718="VCA",$AP718&gt;0),$AP718-$AI718-$AQ718-$AR718,0),0)</f>
        <v>48.9915</v>
      </c>
      <c r="AT718" s="153" t="n">
        <f aca="false">IFERROR(IF($N718="VCA",INDEX(APOIO_REDES!$A:$W,MATCH($C718&amp;$I718&amp;$H718&amp;$N718&amp;$O718,APOIO_REDES!$W:$W,0),MATCH(AT$5,APOIO_REDES!$5:$5,0)),0)*$AP718,0)</f>
        <v>0.835099165831971</v>
      </c>
      <c r="AU718" s="153" t="n">
        <f aca="false">IFERROR(IF($N718="VCA",INDEX(APOIO_REDES!$A:$W,MATCH($C718&amp;$I718&amp;$H718&amp;$N718&amp;$O718,APOIO_REDES!$W:$W,0),MATCH(AU$5,APOIO_REDES!$5:$5,0)),0)*$AP718,0)</f>
        <v>0.666887576479657</v>
      </c>
      <c r="AV718" s="153" t="n">
        <f aca="false">IFERROR(IF($N718="VCA",INDEX(APOIO_REDES!$A:$W,MATCH($C718&amp;$I718&amp;$H718&amp;$N718&amp;$O718,APOIO_REDES!$W:$W,0),MATCH(AV$5,APOIO_REDES!$5:$5,0)),0)*$AP718,0)</f>
        <v>0.0922920053120442</v>
      </c>
      <c r="AW718" s="153" t="n">
        <f aca="false">IFERROR(IF($N718="VCA",INDEX(APOIO_REDES!$A:$W,MATCH($C718&amp;$I718&amp;$H718&amp;$N718&amp;$O718,APOIO_REDES!$W:$W,0),MATCH(AW$5,APOIO_REDES!$5:$5,0)),0)*$AP718,0)</f>
        <v>52.6840941539764</v>
      </c>
      <c r="AX718" s="153" t="n">
        <f aca="false">IFERROR(IF($N718="VCA",INDEX(APOIO_REDES!$A:$W,MATCH($C718&amp;$I718&amp;$H718&amp;$N718&amp;$O718,APOIO_REDES!$W:$W,0),MATCH(AX$5,APOIO_REDES!$5:$5,0)),0)*$AP718,0)</f>
        <v>7.29132855742741</v>
      </c>
      <c r="AY718" s="153" t="n">
        <f aca="false">IFERROR(IF($N718="VCA",INDEX(APOIO_REDES!$A:$W,MATCH($C718&amp;$I718&amp;$H718&amp;$N718&amp;$O718,APOIO_REDES!$W:$W,0),MATCH(AY$5,APOIO_REDES!$5:$5,0)),0)*$AP718,0)</f>
        <v>13.3377434002876</v>
      </c>
      <c r="AZ718" s="153" t="n">
        <f aca="false">IFERROR(IF($N718="VCA",INDEX(APOIO_REDES!$A:$W,MATCH($C718&amp;$I718&amp;$H718&amp;$N718&amp;$O718,APOIO_REDES!$W:$W,0),MATCH(AZ$5,APOIO_REDES!$5:$5,0)),0)*$AP718,0)</f>
        <v>1.84590514068486</v>
      </c>
      <c r="BA718" s="153" t="n">
        <f aca="false">IFERROR(IF(AND($N718="VCA",$Q718="LINEAR"),INDEX(APOIO_REDES!$A:$W,MATCH($C718&amp;$I718&amp;$H718&amp;$N718&amp;$O718,APOIO_REDES!$W:$W,0),MATCH(BA$5,APOIO_REDES!$5:$5,0)),IF(AND($N718="MND",$Q718="EMBOQUE"),INDEX(APOIO_REDES!$A:$W,MATCH($C718&amp;$I718&amp;$H718&amp;$N718&amp;$O718,APOIO_REDES!$W:$W,0),MATCH(BA$5,APOIO_REDES!$5:$5,0)),0))*$M718/10,0)</f>
        <v>5.84976492274045</v>
      </c>
      <c r="BB718" s="153" t="n">
        <f aca="false">IFERROR(IF($N718="VCA",INDEX(APOIO_REDES!$A:$W,MATCH($C718&amp;$I718&amp;$H718&amp;$N718&amp;$O718,APOIO_REDES!$W:$W,0),MATCH(BB$5,APOIO_REDES!$5:$5,0)),0)*($AI718+$AQ718+$AR718),0)</f>
        <v>27.4597928549118</v>
      </c>
      <c r="BC718" s="153" t="n">
        <f aca="false">IFERROR(IF($N718="VCA",INDEX(APOIO_REDES!$A:$W,MATCH($C718&amp;$I718&amp;$H718&amp;$N718&amp;$O718,APOIO_REDES!$W:$W,0),MATCH(BC$5,APOIO_REDES!$5:$5,0)),0)*($AI718+$AQ718+$AR718),0)</f>
        <v>0.30205714508816</v>
      </c>
      <c r="BD718" s="153" t="n">
        <f aca="false">IF(AND($N718="VCA",$AF718&gt;=1.25,$AF718&lt;1.5),$M718*$AF718*2,0)</f>
        <v>204.6756</v>
      </c>
      <c r="BE718" s="153" t="n">
        <f aca="false">IF(AND($N718="VCA",$AF718&gt;=1.5,$AF718&lt;3),$M718*$AF718*2,0)</f>
        <v>0</v>
      </c>
      <c r="BF718" s="153" t="n">
        <f aca="false">IF(AND($N718="VCA",$AF718&gt;=3),$M718*$AF718*2,0)</f>
        <v>0</v>
      </c>
      <c r="BG718" s="153" t="n">
        <f aca="false">($BB718+$BC718)*$AK718</f>
        <v>111.0474</v>
      </c>
      <c r="BH718" s="153" t="n">
        <f aca="false">IF(AND($M718&lt;&gt;"",$N718="VCA",$Q718="LINEAR"),($M718*2)/100,IF(AND($M718&lt;&gt;"",$N718="MND",$Q718="EMBOQUE"),($AN718*2)/100,0))</f>
        <v>1.4516</v>
      </c>
      <c r="BI718" s="153" t="n">
        <f aca="false">IF(AND($M718&lt;&gt;"",$N718="VCA",$Q718="LINEAR"),$M718,IF(AND($M718&lt;&gt;"",$N718="MND",$Q718="EMBOQUE"),$AN718*2,0))</f>
        <v>72.58</v>
      </c>
      <c r="BJ718" s="153" t="n">
        <f aca="false">IF(AND($M718&lt;&gt;"",$N718="VCA",$Q718="LINEAR"),($M718*6.8)/100,IF(AND($M718&lt;&gt;"",$N718="MND",$Q718="EMBOQUE"),($AN718*2*6.8)/100,0))</f>
        <v>4.93544</v>
      </c>
      <c r="BK718" s="153" t="n">
        <f aca="false">IF(AND($M718&lt;&gt;"",$N718="VCA",$Q718="LINEAR"),($M718*2.5)/50,IF(AND($M718&lt;&gt;"",$N718="MND",$Q718="EMBOQUE"),($AN718*2*2.5)/50,0))</f>
        <v>3.629</v>
      </c>
      <c r="BL718" s="157" t="str">
        <f aca="false">K718&amp;J718</f>
        <v>Zona07REDES</v>
      </c>
      <c r="BM718" s="152" t="s">
        <v>4225</v>
      </c>
      <c r="BN718" s="152" t="s">
        <v>1560</v>
      </c>
      <c r="BO718" s="152" t="s">
        <v>4004</v>
      </c>
      <c r="BP718" s="152" t="s">
        <v>4280</v>
      </c>
      <c r="BQ718" s="152" t="s">
        <v>4281</v>
      </c>
      <c r="BR718" s="152" t="s">
        <v>4282</v>
      </c>
      <c r="BS718" s="152" t="n">
        <v>203716.224</v>
      </c>
      <c r="BT718" s="152" t="n">
        <v>8236585.761</v>
      </c>
      <c r="BU718" s="152" t="n">
        <v>203764.923</v>
      </c>
      <c r="BV718" s="152" t="n">
        <v>8236639.387</v>
      </c>
      <c r="BW718" s="152" t="n">
        <v>-15.9320764</v>
      </c>
      <c r="BX718" s="152" t="n">
        <v>-47.7671485</v>
      </c>
      <c r="BY718" s="152" t="s">
        <v>4280</v>
      </c>
    </row>
    <row r="719" customFormat="false" ht="13.8" hidden="false" customHeight="false" outlineLevel="0" collapsed="false">
      <c r="A719" s="149" t="n">
        <f aca="false">IF(C719&lt;&gt;"",ROW(A714),"")</f>
        <v>714</v>
      </c>
      <c r="B719" s="150" t="str">
        <f aca="false">HYPERLINK("https://www.google.com/maps/dir/-15.917302,-47.760003/-15.9318954,-47.7676762/data=!4m3!4m2!3e0!5i2")</f>
        <v>https://www.google.com/maps/dir/-15.917302,-47.760003/-15.9318954,-47.7676762/data=!4m3!4m2!3e0!5i2</v>
      </c>
      <c r="C719" s="151" t="s">
        <v>117</v>
      </c>
      <c r="D719" s="152" t="s">
        <v>112</v>
      </c>
      <c r="E719" s="152" t="s">
        <v>113</v>
      </c>
      <c r="F719" s="152" t="s">
        <v>117</v>
      </c>
      <c r="G719" s="152" t="s">
        <v>782</v>
      </c>
      <c r="H719" s="152" t="n">
        <v>110</v>
      </c>
      <c r="I719" s="152" t="s">
        <v>115</v>
      </c>
      <c r="J719" s="152" t="s">
        <v>6</v>
      </c>
      <c r="K719" s="152" t="s">
        <v>4221</v>
      </c>
      <c r="L719" s="152" t="s">
        <v>120</v>
      </c>
      <c r="M719" s="153" t="n">
        <f aca="false">57.04</f>
        <v>57.04</v>
      </c>
      <c r="N719" s="152" t="s">
        <v>1548</v>
      </c>
      <c r="O719" s="152" t="s">
        <v>1549</v>
      </c>
      <c r="P719" s="152" t="s">
        <v>1550</v>
      </c>
      <c r="Q719" s="152" t="s">
        <v>1551</v>
      </c>
      <c r="R719" s="154" t="s">
        <v>4283</v>
      </c>
      <c r="S719" s="154" t="s">
        <v>1593</v>
      </c>
      <c r="T719" s="155" t="s">
        <v>4002</v>
      </c>
      <c r="U719" s="152" t="str">
        <f aca="false">RIGHT(T719,7)</f>
        <v>015/037</v>
      </c>
      <c r="V719" s="152" t="s">
        <v>1555</v>
      </c>
      <c r="W719" s="156" t="n">
        <v>45882</v>
      </c>
      <c r="X719" s="152" t="s">
        <v>1594</v>
      </c>
      <c r="Y719" s="152" t="s">
        <v>4223</v>
      </c>
      <c r="Z719" s="152" t="s">
        <v>1557</v>
      </c>
      <c r="AA719" s="153" t="n">
        <v>4.1</v>
      </c>
      <c r="AB719" s="151" t="s">
        <v>4284</v>
      </c>
      <c r="AC719" s="151" t="s">
        <v>502</v>
      </c>
      <c r="AD719" s="151" t="str">
        <f aca="false">CONCATENATE($C719,$I719,$H719,$N719,$J719,$K719)</f>
        <v>TUBO PEADPEAD110VCAREDESZona07</v>
      </c>
      <c r="AE719" s="153" t="n">
        <f aca="false">IFERROR(INDEX(APOIO_REDES!$A:$W,MATCH($C719&amp;$I719&amp;$H719&amp;$N719&amp;$O719,APOIO_REDES!$W:$W,0),MATCH(AE$5,APOIO_REDES!$5:$5,0)),0)</f>
        <v>1.2</v>
      </c>
      <c r="AF719" s="153" t="n">
        <f aca="false">IFERROR(INDEX(APOIO_REDES!$A:$W,MATCH($C719&amp;$I719&amp;$H719&amp;$N719&amp;$O719,APOIO_REDES!$W:$W,0),MATCH(AF$5,APOIO_REDES!$5:$5,0)),0)</f>
        <v>1.41</v>
      </c>
      <c r="AG719" s="153" t="n">
        <f aca="false">IFERROR(INDEX(APOIO_REDES!$A:$W,MATCH($C719&amp;$I719&amp;$H719&amp;$N719&amp;$O719,APOIO_REDES!$W:$W,0),MATCH(AG$5,APOIO_REDES!$5:$5,0)),0)</f>
        <v>0.75</v>
      </c>
      <c r="AH719" s="153" t="n">
        <f aca="false">IFERROR(INDEX(APOIO_REDES!$A:$W,MATCH($C719&amp;$I719&amp;$H719&amp;$N719&amp;$O719,APOIO_REDES!$W:$W,0),MATCH(AH$5,APOIO_REDES!$5:$5,0)),0)</f>
        <v>0.1</v>
      </c>
      <c r="AI719" s="153" t="n">
        <f aca="false">IFERROR(IF($H719&lt;&gt;"",(((($H719/1000)/2)^2)*PI()*$M719),0),0)</f>
        <v>0.542069246006305</v>
      </c>
      <c r="AJ719" s="153" t="n">
        <f aca="false">IFERROR(IF(AND($H719&lt;&gt;"",$I719="FoFo",OR($N719="MND",$N719="VCA"),$Q719="LINEAR"),0,IF(AND($H719&lt;&gt;"",$I719="PEAD",$N719="VCA",$Q719="LINEAR"),($H719/1000)+0.3,IF(AND($H719&lt;&gt;"",$I719="PEAD",$N719="MND",$Q719="EMBOQUE"),0,IF(AND($H719&lt;&gt;"",$I719="PVC",$N719="VCA",$Q719="LINEAR"),($H719/1000)+0.2,IF(AND($H719&lt;&gt;"",$I719="PVC",$N719="MND",$Q719="EMBOQUE"),0,IF(AND($H719&lt;&gt;"",$I719="PEAD",$N719="VCA",$Q719="PREDIAL"),0,0)))))),0)</f>
        <v>0.41</v>
      </c>
      <c r="AK719" s="153" t="n">
        <f aca="false">IF(AA719&lt;&gt;"",AA719,0)</f>
        <v>4.1</v>
      </c>
      <c r="AL719" s="153" t="n">
        <f aca="false">IF(AND($N719="MND",$Q719="EMBOQUE"),$M719,IF(AND($N719="VCA",$Q719="LINEAR"),$M719,IF(AND($N719="VCA",$Q719="PREDIAL"),0,0)))</f>
        <v>57.04</v>
      </c>
      <c r="AM719" s="153" t="n">
        <f aca="false">IF(AND($N719="MND",$Q719="EMBOQUE"),$M719,IF(AND($N719="VCA",$Q719="LINEAR"),$M719,IF(AND($N719="VCA",$Q719="PREDIAL"),0,0)))</f>
        <v>57.04</v>
      </c>
      <c r="AN719" s="153" t="n">
        <f aca="false">ROUND(IF(AND($N719="VCA",$M719&lt;&gt;"",$Q719="LINEAR"),$M719/100,IF(AND($N719="MND",$M719&gt;100,$Q719="EMBOQUE"),$M719/100,0)),0)</f>
        <v>1</v>
      </c>
      <c r="AO719" s="153" t="n">
        <f aca="false">IF(AND($N719="MND",$Q719="EMBOQUE"),$AN719*2*2,IF(AND($N719="VCA",$Q719="LINEAR"),$M719*2,IF(AND($N719="VCA",$Q719="PREDIAL"),0,0)))</f>
        <v>114.08</v>
      </c>
      <c r="AP719" s="153" t="n">
        <f aca="false">IFERROR($M719*$AF719*$AG719,0)</f>
        <v>60.3198</v>
      </c>
      <c r="AQ719" s="153" t="n">
        <f aca="false">IFERROR(IF(AND($N719="VCA",$AH719&gt;0),$M719*$AG719*$AH719,0),0)</f>
        <v>4.278</v>
      </c>
      <c r="AR719" s="153" t="n">
        <f aca="false">IFERROR(IF(AND($N719="VCA",$AJ719&gt;0),($M719*$AG719*$AJ719)-$AI719,0),0)</f>
        <v>16.9977307539937</v>
      </c>
      <c r="AS719" s="153" t="n">
        <f aca="false">IFERROR(IF(AND($N719="VCA",$AP719&gt;0),$AP719-$AI719-$AQ719-$AR719,0),0)</f>
        <v>38.502</v>
      </c>
      <c r="AT719" s="153" t="n">
        <f aca="false">IFERROR(IF($N719="VCA",INDEX(APOIO_REDES!$A:$W,MATCH($C719&amp;$I719&amp;$H719&amp;$N719&amp;$O719,APOIO_REDES!$W:$W,0),MATCH(AT$5,APOIO_REDES!$5:$5,0)),0)*$AP719,0)</f>
        <v>0.656297277749457</v>
      </c>
      <c r="AU719" s="153" t="n">
        <f aca="false">IFERROR(IF($N719="VCA",INDEX(APOIO_REDES!$A:$W,MATCH($C719&amp;$I719&amp;$H719&amp;$N719&amp;$O719,APOIO_REDES!$W:$W,0),MATCH(AU$5,APOIO_REDES!$5:$5,0)),0)*$AP719,0)</f>
        <v>0.524101231226228</v>
      </c>
      <c r="AV719" s="153" t="n">
        <f aca="false">IFERROR(IF($N719="VCA",INDEX(APOIO_REDES!$A:$W,MATCH($C719&amp;$I719&amp;$H719&amp;$N719&amp;$O719,APOIO_REDES!$W:$W,0),MATCH(AV$5,APOIO_REDES!$5:$5,0)),0)*$AP719,0)</f>
        <v>0.0725314960457289</v>
      </c>
      <c r="AW719" s="153" t="n">
        <f aca="false">IFERROR(IF($N719="VCA",INDEX(APOIO_REDES!$A:$W,MATCH($C719&amp;$I719&amp;$H719&amp;$N719&amp;$O719,APOIO_REDES!$W:$W,0),MATCH(AW$5,APOIO_REDES!$5:$5,0)),0)*$AP719,0)</f>
        <v>41.4039781006175</v>
      </c>
      <c r="AX719" s="153" t="n">
        <f aca="false">IFERROR(IF($N719="VCA",INDEX(APOIO_REDES!$A:$W,MATCH($C719&amp;$I719&amp;$H719&amp;$N719&amp;$O719,APOIO_REDES!$W:$W,0),MATCH(AX$5,APOIO_REDES!$5:$5,0)),0)*$AP719,0)</f>
        <v>5.73019262766133</v>
      </c>
      <c r="AY719" s="153" t="n">
        <f aca="false">IFERROR(IF($N719="VCA",INDEX(APOIO_REDES!$A:$W,MATCH($C719&amp;$I719&amp;$H719&amp;$N719&amp;$O719,APOIO_REDES!$W:$W,0),MATCH(AY$5,APOIO_REDES!$5:$5,0)),0)*$AP719,0)</f>
        <v>10.482018235773</v>
      </c>
      <c r="AZ719" s="153" t="n">
        <f aca="false">IFERROR(IF($N719="VCA",INDEX(APOIO_REDES!$A:$W,MATCH($C719&amp;$I719&amp;$H719&amp;$N719&amp;$O719,APOIO_REDES!$W:$W,0),MATCH(AZ$5,APOIO_REDES!$5:$5,0)),0)*$AP719,0)</f>
        <v>1.45068103092676</v>
      </c>
      <c r="BA719" s="153" t="n">
        <f aca="false">IFERROR(IF(AND($N719="VCA",$Q719="LINEAR"),INDEX(APOIO_REDES!$A:$W,MATCH($C719&amp;$I719&amp;$H719&amp;$N719&amp;$O719,APOIO_REDES!$W:$W,0),MATCH(BA$5,APOIO_REDES!$5:$5,0)),IF(AND($N719="MND",$Q719="EMBOQUE"),INDEX(APOIO_REDES!$A:$W,MATCH($C719&amp;$I719&amp;$H719&amp;$N719&amp;$O719,APOIO_REDES!$W:$W,0),MATCH(BA$5,APOIO_REDES!$5:$5,0)),0))*$M719/10,0)</f>
        <v>4.59728012115067</v>
      </c>
      <c r="BB719" s="153" t="n">
        <f aca="false">IFERROR(IF($N719="VCA",INDEX(APOIO_REDES!$A:$W,MATCH($C719&amp;$I719&amp;$H719&amp;$N719&amp;$O719,APOIO_REDES!$W:$W,0),MATCH(BB$5,APOIO_REDES!$5:$5,0)),0)*($AI719+$AQ719+$AR719),0)</f>
        <v>21.5804158782608</v>
      </c>
      <c r="BC719" s="153" t="n">
        <f aca="false">IFERROR(IF($N719="VCA",INDEX(APOIO_REDES!$A:$W,MATCH($C719&amp;$I719&amp;$H719&amp;$N719&amp;$O719,APOIO_REDES!$W:$W,0),MATCH(BC$5,APOIO_REDES!$5:$5,0)),0)*($AI719+$AQ719+$AR719),0)</f>
        <v>0.237384121739165</v>
      </c>
      <c r="BD719" s="153" t="n">
        <f aca="false">IF(AND($N719="VCA",$AF719&gt;=1.25,$AF719&lt;1.5),$M719*$AF719*2,0)</f>
        <v>160.8528</v>
      </c>
      <c r="BE719" s="153" t="n">
        <f aca="false">IF(AND($N719="VCA",$AF719&gt;=1.5,$AF719&lt;3),$M719*$AF719*2,0)</f>
        <v>0</v>
      </c>
      <c r="BF719" s="153" t="n">
        <f aca="false">IF(AND($N719="VCA",$AF719&gt;=3),$M719*$AF719*2,0)</f>
        <v>0</v>
      </c>
      <c r="BG719" s="153" t="n">
        <f aca="false">($BB719+$BC719)*$AK719</f>
        <v>89.45298</v>
      </c>
      <c r="BH719" s="153" t="n">
        <f aca="false">IF(AND($M719&lt;&gt;"",$N719="VCA",$Q719="LINEAR"),($M719*2)/100,IF(AND($M719&lt;&gt;"",$N719="MND",$Q719="EMBOQUE"),($AN719*2)/100,0))</f>
        <v>1.1408</v>
      </c>
      <c r="BI719" s="153" t="n">
        <f aca="false">IF(AND($M719&lt;&gt;"",$N719="VCA",$Q719="LINEAR"),$M719,IF(AND($M719&lt;&gt;"",$N719="MND",$Q719="EMBOQUE"),$AN719*2,0))</f>
        <v>57.04</v>
      </c>
      <c r="BJ719" s="153" t="n">
        <f aca="false">IF(AND($M719&lt;&gt;"",$N719="VCA",$Q719="LINEAR"),($M719*6.8)/100,IF(AND($M719&lt;&gt;"",$N719="MND",$Q719="EMBOQUE"),($AN719*2*6.8)/100,0))</f>
        <v>3.87872</v>
      </c>
      <c r="BK719" s="153" t="n">
        <f aca="false">IF(AND($M719&lt;&gt;"",$N719="VCA",$Q719="LINEAR"),($M719*2.5)/50,IF(AND($M719&lt;&gt;"",$N719="MND",$Q719="EMBOQUE"),($AN719*2*2.5)/50,0))</f>
        <v>2.852</v>
      </c>
      <c r="BL719" s="157" t="str">
        <f aca="false">K719&amp;J719</f>
        <v>Zona07REDES</v>
      </c>
      <c r="BM719" s="152" t="s">
        <v>4225</v>
      </c>
      <c r="BN719" s="152" t="s">
        <v>1560</v>
      </c>
      <c r="BO719" s="152" t="s">
        <v>4004</v>
      </c>
      <c r="BP719" s="152" t="s">
        <v>4263</v>
      </c>
      <c r="BQ719" s="152" t="s">
        <v>4280</v>
      </c>
      <c r="BR719" s="152" t="s">
        <v>4285</v>
      </c>
      <c r="BS719" s="152" t="n">
        <v>203683.334</v>
      </c>
      <c r="BT719" s="152" t="n">
        <v>8236632.341</v>
      </c>
      <c r="BU719" s="152" t="n">
        <v>203716.224</v>
      </c>
      <c r="BV719" s="152" t="n">
        <v>8236585.761</v>
      </c>
      <c r="BW719" s="152" t="n">
        <v>-15.932107</v>
      </c>
      <c r="BX719" s="152" t="n">
        <v>-47.7675244</v>
      </c>
      <c r="BY719" s="152" t="s">
        <v>4263</v>
      </c>
    </row>
    <row r="720" customFormat="false" ht="13.8" hidden="false" customHeight="false" outlineLevel="0" collapsed="false">
      <c r="A720" s="149" t="n">
        <f aca="false">IF(C720&lt;&gt;"",ROW(A715),"")</f>
        <v>715</v>
      </c>
      <c r="B720" s="150" t="str">
        <f aca="false">HYPERLINK("https://www.google.com/maps/dir/-15.917302,-47.760003/-15.9323429,-47.7683223/data=!4m3!4m2!3e0!5i2")</f>
        <v>https://www.google.com/maps/dir/-15.917302,-47.760003/-15.9323429,-47.7683223/data=!4m3!4m2!3e0!5i2</v>
      </c>
      <c r="C720" s="151" t="s">
        <v>117</v>
      </c>
      <c r="D720" s="152" t="s">
        <v>112</v>
      </c>
      <c r="E720" s="152" t="s">
        <v>113</v>
      </c>
      <c r="F720" s="152" t="s">
        <v>117</v>
      </c>
      <c r="G720" s="152" t="s">
        <v>782</v>
      </c>
      <c r="H720" s="152" t="n">
        <v>110</v>
      </c>
      <c r="I720" s="152" t="s">
        <v>115</v>
      </c>
      <c r="J720" s="152" t="s">
        <v>6</v>
      </c>
      <c r="K720" s="152" t="s">
        <v>4221</v>
      </c>
      <c r="L720" s="152" t="s">
        <v>120</v>
      </c>
      <c r="M720" s="153" t="n">
        <f aca="false">42.56</f>
        <v>42.56</v>
      </c>
      <c r="N720" s="152" t="s">
        <v>1548</v>
      </c>
      <c r="O720" s="152" t="s">
        <v>1549</v>
      </c>
      <c r="P720" s="152" t="s">
        <v>1550</v>
      </c>
      <c r="Q720" s="152" t="s">
        <v>1551</v>
      </c>
      <c r="R720" s="154" t="s">
        <v>4286</v>
      </c>
      <c r="S720" s="154" t="s">
        <v>1593</v>
      </c>
      <c r="T720" s="155" t="s">
        <v>4002</v>
      </c>
      <c r="U720" s="152" t="str">
        <f aca="false">RIGHT(T720,7)</f>
        <v>015/037</v>
      </c>
      <c r="V720" s="152" t="s">
        <v>1555</v>
      </c>
      <c r="W720" s="156" t="n">
        <v>45882</v>
      </c>
      <c r="X720" s="152" t="s">
        <v>1594</v>
      </c>
      <c r="Y720" s="152" t="s">
        <v>4223</v>
      </c>
      <c r="Z720" s="152" t="s">
        <v>1557</v>
      </c>
      <c r="AA720" s="153" t="n">
        <v>4.2</v>
      </c>
      <c r="AB720" s="151" t="s">
        <v>4287</v>
      </c>
      <c r="AC720" s="151" t="s">
        <v>502</v>
      </c>
      <c r="AD720" s="151" t="str">
        <f aca="false">CONCATENATE($C720,$I720,$H720,$N720,$J720,$K720)</f>
        <v>TUBO PEADPEAD110VCAREDESZona07</v>
      </c>
      <c r="AE720" s="153" t="n">
        <f aca="false">IFERROR(INDEX(APOIO_REDES!$A:$W,MATCH($C720&amp;$I720&amp;$H720&amp;$N720&amp;$O720,APOIO_REDES!$W:$W,0),MATCH(AE$5,APOIO_REDES!$5:$5,0)),0)</f>
        <v>1.2</v>
      </c>
      <c r="AF720" s="153" t="n">
        <f aca="false">IFERROR(INDEX(APOIO_REDES!$A:$W,MATCH($C720&amp;$I720&amp;$H720&amp;$N720&amp;$O720,APOIO_REDES!$W:$W,0),MATCH(AF$5,APOIO_REDES!$5:$5,0)),0)</f>
        <v>1.41</v>
      </c>
      <c r="AG720" s="153" t="n">
        <f aca="false">IFERROR(INDEX(APOIO_REDES!$A:$W,MATCH($C720&amp;$I720&amp;$H720&amp;$N720&amp;$O720,APOIO_REDES!$W:$W,0),MATCH(AG$5,APOIO_REDES!$5:$5,0)),0)</f>
        <v>0.75</v>
      </c>
      <c r="AH720" s="153" t="n">
        <f aca="false">IFERROR(INDEX(APOIO_REDES!$A:$W,MATCH($C720&amp;$I720&amp;$H720&amp;$N720&amp;$O720,APOIO_REDES!$W:$W,0),MATCH(AH$5,APOIO_REDES!$5:$5,0)),0)</f>
        <v>0.1</v>
      </c>
      <c r="AI720" s="153" t="n">
        <f aca="false">IFERROR(IF($H720&lt;&gt;"",(((($H720/1000)/2)^2)*PI()*$M720),0),0)</f>
        <v>0.404461204593764</v>
      </c>
      <c r="AJ720" s="153" t="n">
        <f aca="false">IFERROR(IF(AND($H720&lt;&gt;"",$I720="FoFo",OR($N720="MND",$N720="VCA"),$Q720="LINEAR"),0,IF(AND($H720&lt;&gt;"",$I720="PEAD",$N720="VCA",$Q720="LINEAR"),($H720/1000)+0.3,IF(AND($H720&lt;&gt;"",$I720="PEAD",$N720="MND",$Q720="EMBOQUE"),0,IF(AND($H720&lt;&gt;"",$I720="PVC",$N720="VCA",$Q720="LINEAR"),($H720/1000)+0.2,IF(AND($H720&lt;&gt;"",$I720="PVC",$N720="MND",$Q720="EMBOQUE"),0,IF(AND($H720&lt;&gt;"",$I720="PEAD",$N720="VCA",$Q720="PREDIAL"),0,0)))))),0)</f>
        <v>0.41</v>
      </c>
      <c r="AK720" s="153" t="n">
        <f aca="false">IF(AA720&lt;&gt;"",AA720,0)</f>
        <v>4.2</v>
      </c>
      <c r="AL720" s="153" t="n">
        <f aca="false">IF(AND($N720="MND",$Q720="EMBOQUE"),$M720,IF(AND($N720="VCA",$Q720="LINEAR"),$M720,IF(AND($N720="VCA",$Q720="PREDIAL"),0,0)))</f>
        <v>42.56</v>
      </c>
      <c r="AM720" s="153" t="n">
        <f aca="false">IF(AND($N720="MND",$Q720="EMBOQUE"),$M720,IF(AND($N720="VCA",$Q720="LINEAR"),$M720,IF(AND($N720="VCA",$Q720="PREDIAL"),0,0)))</f>
        <v>42.56</v>
      </c>
      <c r="AN720" s="153" t="n">
        <f aca="false">ROUND(IF(AND($N720="VCA",$M720&lt;&gt;"",$Q720="LINEAR"),$M720/100,IF(AND($N720="MND",$M720&gt;100,$Q720="EMBOQUE"),$M720/100,0)),0)</f>
        <v>0</v>
      </c>
      <c r="AO720" s="153" t="n">
        <f aca="false">IF(AND($N720="MND",$Q720="EMBOQUE"),$AN720*2*2,IF(AND($N720="VCA",$Q720="LINEAR"),$M720*2,IF(AND($N720="VCA",$Q720="PREDIAL"),0,0)))</f>
        <v>85.12</v>
      </c>
      <c r="AP720" s="153" t="n">
        <f aca="false">IFERROR($M720*$AF720*$AG720,0)</f>
        <v>45.0072</v>
      </c>
      <c r="AQ720" s="153" t="n">
        <f aca="false">IFERROR(IF(AND($N720="VCA",$AH720&gt;0),$M720*$AG720*$AH720,0),0)</f>
        <v>3.192</v>
      </c>
      <c r="AR720" s="153" t="n">
        <f aca="false">IFERROR(IF(AND($N720="VCA",$AJ720&gt;0),($M720*$AG720*$AJ720)-$AI720,0),0)</f>
        <v>12.6827387954062</v>
      </c>
      <c r="AS720" s="153" t="n">
        <f aca="false">IFERROR(IF(AND($N720="VCA",$AP720&gt;0),$AP720-$AI720-$AQ720-$AR720,0),0)</f>
        <v>28.728</v>
      </c>
      <c r="AT720" s="153" t="n">
        <f aca="false">IFERROR(IF($N720="VCA",INDEX(APOIO_REDES!$A:$W,MATCH($C720&amp;$I720&amp;$H720&amp;$N720&amp;$O720,APOIO_REDES!$W:$W,0),MATCH(AT$5,APOIO_REDES!$5:$5,0)),0)*$AP720,0)</f>
        <v>0.489691657451208</v>
      </c>
      <c r="AU720" s="153" t="n">
        <f aca="false">IFERROR(IF($N720="VCA",INDEX(APOIO_REDES!$A:$W,MATCH($C720&amp;$I720&amp;$H720&amp;$N720&amp;$O720,APOIO_REDES!$W:$W,0),MATCH(AU$5,APOIO_REDES!$5:$5,0)),0)*$AP720,0)</f>
        <v>0.39105449510849</v>
      </c>
      <c r="AV720" s="153" t="n">
        <f aca="false">IFERROR(IF($N720="VCA",INDEX(APOIO_REDES!$A:$W,MATCH($C720&amp;$I720&amp;$H720&amp;$N720&amp;$O720,APOIO_REDES!$W:$W,0),MATCH(AV$5,APOIO_REDES!$5:$5,0)),0)*$AP720,0)</f>
        <v>0.0541188722248636</v>
      </c>
      <c r="AW720" s="153" t="n">
        <f aca="false">IFERROR(IF($N720="VCA",INDEX(APOIO_REDES!$A:$W,MATCH($C720&amp;$I720&amp;$H720&amp;$N720&amp;$O720,APOIO_REDES!$W:$W,0),MATCH(AW$5,APOIO_REDES!$5:$5,0)),0)*$AP720,0)</f>
        <v>30.8932908128029</v>
      </c>
      <c r="AX720" s="153" t="n">
        <f aca="false">IFERROR(IF($N720="VCA",INDEX(APOIO_REDES!$A:$W,MATCH($C720&amp;$I720&amp;$H720&amp;$N720&amp;$O720,APOIO_REDES!$W:$W,0),MATCH(AX$5,APOIO_REDES!$5:$5,0)),0)*$AP720,0)</f>
        <v>4.27554344728728</v>
      </c>
      <c r="AY720" s="153" t="n">
        <f aca="false">IFERROR(IF($N720="VCA",INDEX(APOIO_REDES!$A:$W,MATCH($C720&amp;$I720&amp;$H720&amp;$N720&amp;$O720,APOIO_REDES!$W:$W,0),MATCH(AY$5,APOIO_REDES!$5:$5,0)),0)*$AP720,0)</f>
        <v>7.82108513524721</v>
      </c>
      <c r="AZ720" s="153" t="n">
        <f aca="false">IFERROR(IF($N720="VCA",INDEX(APOIO_REDES!$A:$W,MATCH($C720&amp;$I720&amp;$H720&amp;$N720&amp;$O720,APOIO_REDES!$W:$W,0),MATCH(AZ$5,APOIO_REDES!$5:$5,0)),0)*$AP720,0)</f>
        <v>1.08241557987804</v>
      </c>
      <c r="BA720" s="153" t="n">
        <f aca="false">IFERROR(IF(AND($N720="VCA",$Q720="LINEAR"),INDEX(APOIO_REDES!$A:$W,MATCH($C720&amp;$I720&amp;$H720&amp;$N720&amp;$O720,APOIO_REDES!$W:$W,0),MATCH(BA$5,APOIO_REDES!$5:$5,0)),IF(AND($N720="MND",$Q720="EMBOQUE"),INDEX(APOIO_REDES!$A:$W,MATCH($C720&amp;$I720&amp;$H720&amp;$N720&amp;$O720,APOIO_REDES!$W:$W,0),MATCH(BA$5,APOIO_REDES!$5:$5,0)),0))*$M720/10,0)</f>
        <v>3.43022864579545</v>
      </c>
      <c r="BB720" s="153" t="n">
        <f aca="false">IFERROR(IF($N720="VCA",INDEX(APOIO_REDES!$A:$W,MATCH($C720&amp;$I720&amp;$H720&amp;$N720&amp;$O720,APOIO_REDES!$W:$W,0),MATCH(BB$5,APOIO_REDES!$5:$5,0)),0)*($AI720+$AQ720+$AR720),0)</f>
        <v>16.1020774856028</v>
      </c>
      <c r="BC720" s="153" t="n">
        <f aca="false">IFERROR(IF($N720="VCA",INDEX(APOIO_REDES!$A:$W,MATCH($C720&amp;$I720&amp;$H720&amp;$N720&amp;$O720,APOIO_REDES!$W:$W,0),MATCH(BC$5,APOIO_REDES!$5:$5,0)),0)*($AI720+$AQ720+$AR720),0)</f>
        <v>0.177122514397245</v>
      </c>
      <c r="BD720" s="153" t="n">
        <f aca="false">IF(AND($N720="VCA",$AF720&gt;=1.25,$AF720&lt;1.5),$M720*$AF720*2,0)</f>
        <v>120.0192</v>
      </c>
      <c r="BE720" s="153" t="n">
        <f aca="false">IF(AND($N720="VCA",$AF720&gt;=1.5,$AF720&lt;3),$M720*$AF720*2,0)</f>
        <v>0</v>
      </c>
      <c r="BF720" s="153" t="n">
        <f aca="false">IF(AND($N720="VCA",$AF720&gt;=3),$M720*$AF720*2,0)</f>
        <v>0</v>
      </c>
      <c r="BG720" s="153" t="n">
        <f aca="false">($BB720+$BC720)*$AK720</f>
        <v>68.37264</v>
      </c>
      <c r="BH720" s="153" t="n">
        <f aca="false">IF(AND($M720&lt;&gt;"",$N720="VCA",$Q720="LINEAR"),($M720*2)/100,IF(AND($M720&lt;&gt;"",$N720="MND",$Q720="EMBOQUE"),($AN720*2)/100,0))</f>
        <v>0.8512</v>
      </c>
      <c r="BI720" s="153" t="n">
        <f aca="false">IF(AND($M720&lt;&gt;"",$N720="VCA",$Q720="LINEAR"),$M720,IF(AND($M720&lt;&gt;"",$N720="MND",$Q720="EMBOQUE"),$AN720*2,0))</f>
        <v>42.56</v>
      </c>
      <c r="BJ720" s="153" t="n">
        <f aca="false">IF(AND($M720&lt;&gt;"",$N720="VCA",$Q720="LINEAR"),($M720*6.8)/100,IF(AND($M720&lt;&gt;"",$N720="MND",$Q720="EMBOQUE"),($AN720*2*6.8)/100,0))</f>
        <v>2.89408</v>
      </c>
      <c r="BK720" s="153" t="n">
        <f aca="false">IF(AND($M720&lt;&gt;"",$N720="VCA",$Q720="LINEAR"),($M720*2.5)/50,IF(AND($M720&lt;&gt;"",$N720="MND",$Q720="EMBOQUE"),($AN720*2*2.5)/50,0))</f>
        <v>2.128</v>
      </c>
      <c r="BL720" s="157" t="str">
        <f aca="false">K720&amp;J720</f>
        <v>Zona07REDES</v>
      </c>
      <c r="BM720" s="152" t="s">
        <v>4225</v>
      </c>
      <c r="BN720" s="152" t="s">
        <v>1560</v>
      </c>
      <c r="BO720" s="152" t="s">
        <v>4004</v>
      </c>
      <c r="BP720" s="152" t="s">
        <v>4288</v>
      </c>
      <c r="BQ720" s="152" t="s">
        <v>4275</v>
      </c>
      <c r="BR720" s="152" t="s">
        <v>4289</v>
      </c>
      <c r="BS720" s="152" t="n">
        <v>203614.774</v>
      </c>
      <c r="BT720" s="152" t="n">
        <v>8236581.879</v>
      </c>
      <c r="BU720" s="152" t="n">
        <v>203649.355</v>
      </c>
      <c r="BV720" s="152" t="n">
        <v>8236606.692</v>
      </c>
      <c r="BW720" s="152" t="n">
        <v>-15.932233</v>
      </c>
      <c r="BX720" s="152" t="n">
        <v>-47.7681593</v>
      </c>
      <c r="BY720" s="152" t="s">
        <v>4288</v>
      </c>
    </row>
    <row r="721" customFormat="false" ht="13.8" hidden="false" customHeight="false" outlineLevel="0" collapsed="false">
      <c r="A721" s="149" t="n">
        <f aca="false">IF(C721&lt;&gt;"",ROW(A716),"")</f>
        <v>716</v>
      </c>
      <c r="B721" s="150" t="str">
        <f aca="false">HYPERLINK("https://www.google.com/maps/dir/-15.917302,-47.760003/-15.9313264,-47.7627094/data=!4m3!4m2!3e0!5i2")</f>
        <v>https://www.google.com/maps/dir/-15.917302,-47.760003/-15.9313264,-47.7627094/data=!4m3!4m2!3e0!5i2</v>
      </c>
      <c r="C721" s="151" t="s">
        <v>117</v>
      </c>
      <c r="D721" s="152" t="s">
        <v>112</v>
      </c>
      <c r="E721" s="152" t="s">
        <v>113</v>
      </c>
      <c r="F721" s="152" t="s">
        <v>117</v>
      </c>
      <c r="G721" s="152" t="s">
        <v>114</v>
      </c>
      <c r="H721" s="152" t="n">
        <v>315</v>
      </c>
      <c r="I721" s="152" t="s">
        <v>115</v>
      </c>
      <c r="J721" s="152" t="s">
        <v>6</v>
      </c>
      <c r="K721" s="152" t="s">
        <v>2224</v>
      </c>
      <c r="L721" s="152" t="s">
        <v>120</v>
      </c>
      <c r="M721" s="153" t="n">
        <f aca="false">296.99</f>
        <v>296.99</v>
      </c>
      <c r="N721" s="152" t="s">
        <v>1548</v>
      </c>
      <c r="O721" s="152" t="s">
        <v>1549</v>
      </c>
      <c r="P721" s="152" t="s">
        <v>1550</v>
      </c>
      <c r="Q721" s="152" t="s">
        <v>1551</v>
      </c>
      <c r="R721" s="154" t="s">
        <v>4290</v>
      </c>
      <c r="S721" s="154" t="s">
        <v>2226</v>
      </c>
      <c r="T721" s="155" t="s">
        <v>4095</v>
      </c>
      <c r="U721" s="152" t="str">
        <f aca="false">RIGHT(T721,7)</f>
        <v>016/037</v>
      </c>
      <c r="V721" s="152" t="s">
        <v>1555</v>
      </c>
      <c r="W721" s="156" t="n">
        <v>45882</v>
      </c>
      <c r="X721" s="152" t="s">
        <v>3938</v>
      </c>
      <c r="Y721" s="152" t="s">
        <v>2117</v>
      </c>
      <c r="Z721" s="152" t="s">
        <v>1557</v>
      </c>
      <c r="AA721" s="153" t="n">
        <v>3.4</v>
      </c>
      <c r="AB721" s="151" t="s">
        <v>4291</v>
      </c>
      <c r="AC721" s="151" t="s">
        <v>514</v>
      </c>
      <c r="AD721" s="151" t="str">
        <f aca="false">CONCATENATE($C721,$I721,$H721,$N721,$J721,$K721)</f>
        <v>TUBO PEADPEAD315VCAREDESADUTORA</v>
      </c>
      <c r="AE721" s="153" t="n">
        <f aca="false">IFERROR(INDEX(APOIO_REDES!$A:$W,MATCH($C721&amp;$I721&amp;$H721&amp;$N721&amp;$O721,APOIO_REDES!$W:$W,0),MATCH(AE$5,APOIO_REDES!$5:$5,0)),0)</f>
        <v>1.2</v>
      </c>
      <c r="AF721" s="153" t="n">
        <f aca="false">IFERROR(INDEX(APOIO_REDES!$A:$W,MATCH($C721&amp;$I721&amp;$H721&amp;$N721&amp;$O721,APOIO_REDES!$W:$W,0),MATCH(AF$5,APOIO_REDES!$5:$5,0)),0)</f>
        <v>1.615</v>
      </c>
      <c r="AG721" s="153" t="n">
        <f aca="false">IFERROR(INDEX(APOIO_REDES!$A:$W,MATCH($C721&amp;$I721&amp;$H721&amp;$N721&amp;$O721,APOIO_REDES!$W:$W,0),MATCH(AG$5,APOIO_REDES!$5:$5,0)),0)</f>
        <v>0.9</v>
      </c>
      <c r="AH721" s="153" t="n">
        <f aca="false">IFERROR(INDEX(APOIO_REDES!$A:$W,MATCH($C721&amp;$I721&amp;$H721&amp;$N721&amp;$O721,APOIO_REDES!$W:$W,0),MATCH(AH$5,APOIO_REDES!$5:$5,0)),0)</f>
        <v>0.1</v>
      </c>
      <c r="AI721" s="153" t="n">
        <f aca="false">IFERROR(IF($H721&lt;&gt;"",(((($H721/1000)/2)^2)*PI()*$M721),0),0)</f>
        <v>23.1447671193166</v>
      </c>
      <c r="AJ721" s="153" t="n">
        <f aca="false">IFERROR(IF(AND($H721&lt;&gt;"",$I721="FoFo",OR($N721="MND",$N721="VCA"),$Q721="LINEAR"),0,IF(AND($H721&lt;&gt;"",$I721="PEAD",$N721="VCA",$Q721="LINEAR"),($H721/1000)+0.3,IF(AND($H721&lt;&gt;"",$I721="PEAD",$N721="MND",$Q721="EMBOQUE"),0,IF(AND($H721&lt;&gt;"",$I721="PVC",$N721="VCA",$Q721="LINEAR"),($H721/1000)+0.2,IF(AND($H721&lt;&gt;"",$I721="PVC",$N721="MND",$Q721="EMBOQUE"),0,IF(AND($H721&lt;&gt;"",$I721="PEAD",$N721="VCA",$Q721="PREDIAL"),0,0)))))),0)</f>
        <v>0.615</v>
      </c>
      <c r="AK721" s="153" t="n">
        <f aca="false">IF(AA721&lt;&gt;"",AA721,0)</f>
        <v>3.4</v>
      </c>
      <c r="AL721" s="153" t="n">
        <f aca="false">IF(AND($N721="MND",$Q721="EMBOQUE"),$M721,IF(AND($N721="VCA",$Q721="LINEAR"),$M721,IF(AND($N721="VCA",$Q721="PREDIAL"),0,0)))</f>
        <v>296.99</v>
      </c>
      <c r="AM721" s="153" t="n">
        <f aca="false">IF(AND($N721="MND",$Q721="EMBOQUE"),$M721,IF(AND($N721="VCA",$Q721="LINEAR"),$M721,IF(AND($N721="VCA",$Q721="PREDIAL"),0,0)))</f>
        <v>296.99</v>
      </c>
      <c r="AN721" s="153" t="n">
        <f aca="false">ROUND(IF(AND($N721="VCA",$M721&lt;&gt;"",$Q721="LINEAR"),$M721/100,IF(AND($N721="MND",$M721&gt;100,$Q721="EMBOQUE"),$M721/100,0)),0)</f>
        <v>3</v>
      </c>
      <c r="AO721" s="153" t="n">
        <f aca="false">IF(AND($N721="MND",$Q721="EMBOQUE"),$AN721*2*2,IF(AND($N721="VCA",$Q721="LINEAR"),$M721*2,IF(AND($N721="VCA",$Q721="PREDIAL"),0,0)))</f>
        <v>593.98</v>
      </c>
      <c r="AP721" s="153" t="n">
        <f aca="false">IFERROR($M721*$AF721*$AG721,0)</f>
        <v>431.674965</v>
      </c>
      <c r="AQ721" s="153" t="n">
        <f aca="false">IFERROR(IF(AND($N721="VCA",$AH721&gt;0),$M721*$AG721*$AH721,0),0)</f>
        <v>26.7291</v>
      </c>
      <c r="AR721" s="153" t="n">
        <f aca="false">IFERROR(IF(AND($N721="VCA",$AJ721&gt;0),($M721*$AG721*$AJ721)-$AI721,0),0)</f>
        <v>141.239197880683</v>
      </c>
      <c r="AS721" s="153" t="n">
        <f aca="false">IFERROR(IF(AND($N721="VCA",$AP721&gt;0),$AP721-$AI721-$AQ721-$AR721,0),0)</f>
        <v>240.5619</v>
      </c>
      <c r="AT721" s="153" t="n">
        <f aca="false">IFERROR(IF($N721="VCA",INDEX(APOIO_REDES!$A:$W,MATCH($C721&amp;$I721&amp;$H721&amp;$N721&amp;$O721,APOIO_REDES!$W:$W,0),MATCH(AT$5,APOIO_REDES!$5:$5,0)),0)*$AP721,0)</f>
        <v>4.69675138846767</v>
      </c>
      <c r="AU721" s="153" t="n">
        <f aca="false">IFERROR(IF($N721="VCA",INDEX(APOIO_REDES!$A:$W,MATCH($C721&amp;$I721&amp;$H721&amp;$N721&amp;$O721,APOIO_REDES!$W:$W,0),MATCH(AU$5,APOIO_REDES!$5:$5,0)),0)*$AP721,0)</f>
        <v>3.75069845467059</v>
      </c>
      <c r="AV721" s="153" t="n">
        <f aca="false">IFERROR(IF($N721="VCA",INDEX(APOIO_REDES!$A:$W,MATCH($C721&amp;$I721&amp;$H721&amp;$N721&amp;$O721,APOIO_REDES!$W:$W,0),MATCH(AV$5,APOIO_REDES!$5:$5,0)),0)*$AP721,0)</f>
        <v>0.519067221989092</v>
      </c>
      <c r="AW721" s="153" t="n">
        <f aca="false">IFERROR(IF($N721="VCA",INDEX(APOIO_REDES!$A:$W,MATCH($C721&amp;$I721&amp;$H721&amp;$N721&amp;$O721,APOIO_REDES!$W:$W,0),MATCH(AW$5,APOIO_REDES!$5:$5,0)),0)*$AP721,0)</f>
        <v>296.305040756846</v>
      </c>
      <c r="AX721" s="153" t="n">
        <f aca="false">IFERROR(IF($N721="VCA",INDEX(APOIO_REDES!$A:$W,MATCH($C721&amp;$I721&amp;$H721&amp;$N721&amp;$O721,APOIO_REDES!$W:$W,0),MATCH(AX$5,APOIO_REDES!$5:$5,0)),0)*$AP721,0)</f>
        <v>41.0077735998621</v>
      </c>
      <c r="AY721" s="153" t="n">
        <f aca="false">IFERROR(IF($N721="VCA",INDEX(APOIO_REDES!$A:$W,MATCH($C721&amp;$I721&amp;$H721&amp;$N721&amp;$O721,APOIO_REDES!$W:$W,0),MATCH(AY$5,APOIO_REDES!$5:$5,0)),0)*$AP721,0)</f>
        <v>75.0139233727016</v>
      </c>
      <c r="AZ721" s="153" t="n">
        <f aca="false">IFERROR(IF($N721="VCA",INDEX(APOIO_REDES!$A:$W,MATCH($C721&amp;$I721&amp;$H721&amp;$N721&amp;$O721,APOIO_REDES!$W:$W,0),MATCH(AZ$5,APOIO_REDES!$5:$5,0)),0)*$AP721,0)</f>
        <v>10.3817102054628</v>
      </c>
      <c r="BA721" s="153" t="n">
        <f aca="false">IFERROR(IF(AND($N721="VCA",$Q721="LINEAR"),INDEX(APOIO_REDES!$A:$W,MATCH($C721&amp;$I721&amp;$H721&amp;$N721&amp;$O721,APOIO_REDES!$W:$W,0),MATCH(BA$5,APOIO_REDES!$5:$5,0)),IF(AND($N721="MND",$Q721="EMBOQUE"),INDEX(APOIO_REDES!$A:$W,MATCH($C721&amp;$I721&amp;$H721&amp;$N721&amp;$O721,APOIO_REDES!$W:$W,0),MATCH(BA$5,APOIO_REDES!$5:$5,0)),0))*$M721/10,0)</f>
        <v>23.936644866419</v>
      </c>
      <c r="BB721" s="153" t="n">
        <f aca="false">IFERROR(IF($N721="VCA",INDEX(APOIO_REDES!$A:$W,MATCH($C721&amp;$I721&amp;$H721&amp;$N721&amp;$O721,APOIO_REDES!$W:$W,0),MATCH(BB$5,APOIO_REDES!$5:$5,0)),0)*($AI721+$AQ721+$AR721),0)</f>
        <v>189.03369828622</v>
      </c>
      <c r="BC721" s="153" t="n">
        <f aca="false">IFERROR(IF($N721="VCA",INDEX(APOIO_REDES!$A:$W,MATCH($C721&amp;$I721&amp;$H721&amp;$N721&amp;$O721,APOIO_REDES!$W:$W,0),MATCH(BC$5,APOIO_REDES!$5:$5,0)),0)*($AI721+$AQ721+$AR721),0)</f>
        <v>2.07936671377981</v>
      </c>
      <c r="BD721" s="153" t="n">
        <f aca="false">IF(AND($N721="VCA",$AF721&gt;=1.25,$AF721&lt;1.5),$M721*$AF721*2,0)</f>
        <v>0</v>
      </c>
      <c r="BE721" s="153" t="n">
        <f aca="false">IF(AND($N721="VCA",$AF721&gt;=1.5,$AF721&lt;3),$M721*$AF721*2,0)</f>
        <v>959.2777</v>
      </c>
      <c r="BF721" s="153" t="n">
        <f aca="false">IF(AND($N721="VCA",$AF721&gt;=3),$M721*$AF721*2,0)</f>
        <v>0</v>
      </c>
      <c r="BG721" s="153" t="n">
        <f aca="false">($BB721+$BC721)*$AK721</f>
        <v>649.784421</v>
      </c>
      <c r="BH721" s="153" t="n">
        <f aca="false">IF(AND($M721&lt;&gt;"",$N721="VCA",$Q721="LINEAR"),($M721*2)/100,IF(AND($M721&lt;&gt;"",$N721="MND",$Q721="EMBOQUE"),($AN721*2)/100,0))</f>
        <v>5.9398</v>
      </c>
      <c r="BI721" s="153" t="n">
        <f aca="false">IF(AND($M721&lt;&gt;"",$N721="VCA",$Q721="LINEAR"),$M721,IF(AND($M721&lt;&gt;"",$N721="MND",$Q721="EMBOQUE"),$AN721*2,0))</f>
        <v>296.99</v>
      </c>
      <c r="BJ721" s="153" t="n">
        <f aca="false">IF(AND($M721&lt;&gt;"",$N721="VCA",$Q721="LINEAR"),($M721*6.8)/100,IF(AND($M721&lt;&gt;"",$N721="MND",$Q721="EMBOQUE"),($AN721*2*6.8)/100,0))</f>
        <v>20.19532</v>
      </c>
      <c r="BK721" s="153" t="n">
        <f aca="false">IF(AND($M721&lt;&gt;"",$N721="VCA",$Q721="LINEAR"),($M721*2.5)/50,IF(AND($M721&lt;&gt;"",$N721="MND",$Q721="EMBOQUE"),($AN721*2*2.5)/50,0))</f>
        <v>14.8495</v>
      </c>
      <c r="BL721" s="157" t="str">
        <f aca="false">K721&amp;J721</f>
        <v>ADUTORAREDES</v>
      </c>
      <c r="BM721" s="152" t="s">
        <v>2229</v>
      </c>
      <c r="BN721" s="152" t="s">
        <v>2230</v>
      </c>
      <c r="BO721" s="152" t="s">
        <v>4097</v>
      </c>
      <c r="BP721" s="152" t="s">
        <v>4292</v>
      </c>
      <c r="BQ721" s="152" t="s">
        <v>2032</v>
      </c>
      <c r="BR721" s="152" t="s">
        <v>4293</v>
      </c>
      <c r="BS721" s="152" t="n">
        <v>204214.619</v>
      </c>
      <c r="BT721" s="152" t="n">
        <v>8236702.403</v>
      </c>
      <c r="BU721" s="152" t="n">
        <v>204289.896</v>
      </c>
      <c r="BV721" s="152" t="n">
        <v>8236989.623</v>
      </c>
      <c r="BW721" s="152" t="n">
        <v>-15.9300354</v>
      </c>
      <c r="BX721" s="152" t="n">
        <v>-47.7623343</v>
      </c>
      <c r="BY721" s="152" t="s">
        <v>4292</v>
      </c>
    </row>
    <row r="722" customFormat="false" ht="13.8" hidden="false" customHeight="false" outlineLevel="0" collapsed="false">
      <c r="A722" s="149" t="n">
        <f aca="false">IF(C722&lt;&gt;"",ROW(A717),"")</f>
        <v>717</v>
      </c>
      <c r="B722" s="150" t="str">
        <f aca="false">HYPERLINK("https://www.google.com/maps/dir/-15.917302,-47.760003/-15.9287848,-47.7628114/data=!4m3!4m2!3e0!5i2")</f>
        <v>https://www.google.com/maps/dir/-15.917302,-47.760003/-15.9287848,-47.7628114/data=!4m3!4m2!3e0!5i2</v>
      </c>
      <c r="C722" s="151" t="s">
        <v>117</v>
      </c>
      <c r="D722" s="152" t="s">
        <v>112</v>
      </c>
      <c r="E722" s="152" t="s">
        <v>113</v>
      </c>
      <c r="F722" s="152" t="s">
        <v>117</v>
      </c>
      <c r="G722" s="152" t="s">
        <v>782</v>
      </c>
      <c r="H722" s="152" t="n">
        <v>63</v>
      </c>
      <c r="I722" s="152" t="s">
        <v>115</v>
      </c>
      <c r="J722" s="152" t="s">
        <v>6</v>
      </c>
      <c r="K722" s="152" t="s">
        <v>4221</v>
      </c>
      <c r="L722" s="152" t="s">
        <v>120</v>
      </c>
      <c r="M722" s="153" t="n">
        <f aca="false">24.74</f>
        <v>24.74</v>
      </c>
      <c r="N722" s="152" t="s">
        <v>1548</v>
      </c>
      <c r="O722" s="152" t="s">
        <v>1549</v>
      </c>
      <c r="P722" s="152" t="s">
        <v>1550</v>
      </c>
      <c r="Q722" s="152" t="s">
        <v>1551</v>
      </c>
      <c r="R722" s="154" t="s">
        <v>4294</v>
      </c>
      <c r="S722" s="154" t="s">
        <v>1553</v>
      </c>
      <c r="T722" s="155" t="s">
        <v>4095</v>
      </c>
      <c r="U722" s="152" t="str">
        <f aca="false">RIGHT(T722,7)</f>
        <v>016/037</v>
      </c>
      <c r="V722" s="152" t="s">
        <v>1555</v>
      </c>
      <c r="W722" s="156" t="n">
        <v>45882</v>
      </c>
      <c r="X722" s="152" t="s">
        <v>3938</v>
      </c>
      <c r="Y722" s="152"/>
      <c r="Z722" s="152" t="s">
        <v>1557</v>
      </c>
      <c r="AA722" s="153" t="n">
        <v>2.2</v>
      </c>
      <c r="AB722" s="151" t="s">
        <v>4295</v>
      </c>
      <c r="AC722" s="151" t="s">
        <v>186</v>
      </c>
      <c r="AD722" s="151" t="str">
        <f aca="false">CONCATENATE($C722,$I722,$H722,$N722,$J722,$K722)</f>
        <v>TUBO PEADPEAD63VCAREDESZona07</v>
      </c>
      <c r="AE722" s="153" t="n">
        <f aca="false">IFERROR(INDEX(APOIO_REDES!$A:$W,MATCH($C722&amp;$I722&amp;$H722&amp;$N722&amp;$O722,APOIO_REDES!$W:$W,0),MATCH(AE$5,APOIO_REDES!$5:$5,0)),0)</f>
        <v>1.2</v>
      </c>
      <c r="AF722" s="153" t="n">
        <f aca="false">IFERROR(INDEX(APOIO_REDES!$A:$W,MATCH($C722&amp;$I722&amp;$H722&amp;$N722&amp;$O722,APOIO_REDES!$W:$W,0),MATCH(AF$5,APOIO_REDES!$5:$5,0)),0)</f>
        <v>1.363</v>
      </c>
      <c r="AG722" s="153" t="n">
        <f aca="false">IFERROR(INDEX(APOIO_REDES!$A:$W,MATCH($C722&amp;$I722&amp;$H722&amp;$N722&amp;$O722,APOIO_REDES!$W:$W,0),MATCH(AG$5,APOIO_REDES!$5:$5,0)),0)</f>
        <v>0.65</v>
      </c>
      <c r="AH722" s="153" t="n">
        <f aca="false">IFERROR(INDEX(APOIO_REDES!$A:$W,MATCH($C722&amp;$I722&amp;$H722&amp;$N722&amp;$O722,APOIO_REDES!$W:$W,0),MATCH(AH$5,APOIO_REDES!$5:$5,0)),0)</f>
        <v>0.1</v>
      </c>
      <c r="AI722" s="153" t="n">
        <f aca="false">IFERROR(IF($H722&lt;&gt;"",(((($H722/1000)/2)^2)*PI()*$M722),0),0)</f>
        <v>0.0771206489823754</v>
      </c>
      <c r="AJ722" s="153" t="n">
        <f aca="false">IFERROR(IF(AND($H722&lt;&gt;"",$I722="FoFo",OR($N722="MND",$N722="VCA"),$Q722="LINEAR"),0,IF(AND($H722&lt;&gt;"",$I722="PEAD",$N722="VCA",$Q722="LINEAR"),($H722/1000)+0.3,IF(AND($H722&lt;&gt;"",$I722="PEAD",$N722="MND",$Q722="EMBOQUE"),0,IF(AND($H722&lt;&gt;"",$I722="PVC",$N722="VCA",$Q722="LINEAR"),($H722/1000)+0.2,IF(AND($H722&lt;&gt;"",$I722="PVC",$N722="MND",$Q722="EMBOQUE"),0,IF(AND($H722&lt;&gt;"",$I722="PEAD",$N722="VCA",$Q722="PREDIAL"),0,0)))))),0)</f>
        <v>0.363</v>
      </c>
      <c r="AK722" s="153" t="n">
        <f aca="false">IF(AA722&lt;&gt;"",AA722,0)</f>
        <v>2.2</v>
      </c>
      <c r="AL722" s="153" t="n">
        <f aca="false">IF(AND($N722="MND",$Q722="EMBOQUE"),$M722,IF(AND($N722="VCA",$Q722="LINEAR"),$M722,IF(AND($N722="VCA",$Q722="PREDIAL"),0,0)))</f>
        <v>24.74</v>
      </c>
      <c r="AM722" s="153" t="n">
        <f aca="false">IF(AND($N722="MND",$Q722="EMBOQUE"),$M722,IF(AND($N722="VCA",$Q722="LINEAR"),$M722,IF(AND($N722="VCA",$Q722="PREDIAL"),0,0)))</f>
        <v>24.74</v>
      </c>
      <c r="AN722" s="153" t="n">
        <f aca="false">ROUND(IF(AND($N722="VCA",$M722&lt;&gt;"",$Q722="LINEAR"),$M722/100,IF(AND($N722="MND",$M722&gt;100,$Q722="EMBOQUE"),$M722/100,0)),0)</f>
        <v>0</v>
      </c>
      <c r="AO722" s="153" t="n">
        <f aca="false">IF(AND($N722="MND",$Q722="EMBOQUE"),$AN722*2*2,IF(AND($N722="VCA",$Q722="LINEAR"),$M722*2,IF(AND($N722="VCA",$Q722="PREDIAL"),0,0)))</f>
        <v>49.48</v>
      </c>
      <c r="AP722" s="153" t="n">
        <f aca="false">IFERROR($M722*$AF722*$AG722,0)</f>
        <v>21.918403</v>
      </c>
      <c r="AQ722" s="153" t="n">
        <f aca="false">IFERROR(IF(AND($N722="VCA",$AH722&gt;0),$M722*$AG722*$AH722,0),0)</f>
        <v>1.6081</v>
      </c>
      <c r="AR722" s="153" t="n">
        <f aca="false">IFERROR(IF(AND($N722="VCA",$AJ722&gt;0),($M722*$AG722*$AJ722)-$AI722,0),0)</f>
        <v>5.76028235101762</v>
      </c>
      <c r="AS722" s="153" t="n">
        <f aca="false">IFERROR(IF(AND($N722="VCA",$AP722&gt;0),$AP722-$AI722-$AQ722-$AR722,0),0)</f>
        <v>14.4729</v>
      </c>
      <c r="AT722" s="153" t="n">
        <f aca="false">IFERROR(IF($N722="VCA",INDEX(APOIO_REDES!$A:$W,MATCH($C722&amp;$I722&amp;$H722&amp;$N722&amp;$O722,APOIO_REDES!$W:$W,0),MATCH(AT$5,APOIO_REDES!$5:$5,0)),0)*$AP722,0)</f>
        <v>0.238478712156133</v>
      </c>
      <c r="AU722" s="153" t="n">
        <f aca="false">IFERROR(IF($N722="VCA",INDEX(APOIO_REDES!$A:$W,MATCH($C722&amp;$I722&amp;$H722&amp;$N722&amp;$O722,APOIO_REDES!$W:$W,0),MATCH(AU$5,APOIO_REDES!$5:$5,0)),0)*$AP722,0)</f>
        <v>0.190442640705252</v>
      </c>
      <c r="AV722" s="153" t="n">
        <f aca="false">IFERROR(IF($N722="VCA",INDEX(APOIO_REDES!$A:$W,MATCH($C722&amp;$I722&amp;$H722&amp;$N722&amp;$O722,APOIO_REDES!$W:$W,0),MATCH(AV$5,APOIO_REDES!$5:$5,0)),0)*$AP722,0)</f>
        <v>0.0263557664402599</v>
      </c>
      <c r="AW722" s="153" t="n">
        <f aca="false">IFERROR(IF($N722="VCA",INDEX(APOIO_REDES!$A:$W,MATCH($C722&amp;$I722&amp;$H722&amp;$N722&amp;$O722,APOIO_REDES!$W:$W,0),MATCH(AW$5,APOIO_REDES!$5:$5,0)),0)*$AP722,0)</f>
        <v>15.0449616512738</v>
      </c>
      <c r="AX722" s="153" t="n">
        <f aca="false">IFERROR(IF($N722="VCA",INDEX(APOIO_REDES!$A:$W,MATCH($C722&amp;$I722&amp;$H722&amp;$N722&amp;$O722,APOIO_REDES!$W:$W,0),MATCH(AX$5,APOIO_REDES!$5:$5,0)),0)*$AP722,0)</f>
        <v>2.08217983615181</v>
      </c>
      <c r="AY722" s="153" t="n">
        <f aca="false">IFERROR(IF($N722="VCA",INDEX(APOIO_REDES!$A:$W,MATCH($C722&amp;$I722&amp;$H722&amp;$N722&amp;$O722,APOIO_REDES!$W:$W,0),MATCH(AY$5,APOIO_REDES!$5:$5,0)),0)*$AP722,0)</f>
        <v>3.80885049262468</v>
      </c>
      <c r="AZ722" s="153" t="n">
        <f aca="false">IFERROR(IF($N722="VCA",INDEX(APOIO_REDES!$A:$W,MATCH($C722&amp;$I722&amp;$H722&amp;$N722&amp;$O722,APOIO_REDES!$W:$W,0),MATCH(AZ$5,APOIO_REDES!$5:$5,0)),0)*$AP722,0)</f>
        <v>0.527133900648018</v>
      </c>
      <c r="BA722" s="153" t="n">
        <f aca="false">IFERROR(IF(AND($N722="VCA",$Q722="LINEAR"),INDEX(APOIO_REDES!$A:$W,MATCH($C722&amp;$I722&amp;$H722&amp;$N722&amp;$O722,APOIO_REDES!$W:$W,0),MATCH(BA$5,APOIO_REDES!$5:$5,0)),IF(AND($N722="MND",$Q722="EMBOQUE"),INDEX(APOIO_REDES!$A:$W,MATCH($C722&amp;$I722&amp;$H722&amp;$N722&amp;$O722,APOIO_REDES!$W:$W,0),MATCH(BA$5,APOIO_REDES!$5:$5,0)),0))*$M722/10,0)</f>
        <v>1.99398159532376</v>
      </c>
      <c r="BB722" s="153" t="n">
        <f aca="false">IFERROR(IF($N722="VCA",INDEX(APOIO_REDES!$A:$W,MATCH($C722&amp;$I722&amp;$H722&amp;$N722&amp;$O722,APOIO_REDES!$W:$W,0),MATCH(BB$5,APOIO_REDES!$5:$5,0)),0)*($AI722+$AQ722+$AR722),0)</f>
        <v>7.3644937236036</v>
      </c>
      <c r="BC722" s="153" t="n">
        <f aca="false">IFERROR(IF($N722="VCA",INDEX(APOIO_REDES!$A:$W,MATCH($C722&amp;$I722&amp;$H722&amp;$N722&amp;$O722,APOIO_REDES!$W:$W,0),MATCH(BC$5,APOIO_REDES!$5:$5,0)),0)*($AI722+$AQ722+$AR722),0)</f>
        <v>0.0810092763963975</v>
      </c>
      <c r="BD722" s="153" t="n">
        <f aca="false">IF(AND($N722="VCA",$AF722&gt;=1.25,$AF722&lt;1.5),$M722*$AF722*2,0)</f>
        <v>67.44124</v>
      </c>
      <c r="BE722" s="153" t="n">
        <f aca="false">IF(AND($N722="VCA",$AF722&gt;=1.5,$AF722&lt;3),$M722*$AF722*2,0)</f>
        <v>0</v>
      </c>
      <c r="BF722" s="153" t="n">
        <f aca="false">IF(AND($N722="VCA",$AF722&gt;=3),$M722*$AF722*2,0)</f>
        <v>0</v>
      </c>
      <c r="BG722" s="153" t="n">
        <f aca="false">($BB722+$BC722)*$AK722</f>
        <v>16.3801066</v>
      </c>
      <c r="BH722" s="153" t="n">
        <f aca="false">IF(AND($M722&lt;&gt;"",$N722="VCA",$Q722="LINEAR"),($M722*2)/100,IF(AND($M722&lt;&gt;"",$N722="MND",$Q722="EMBOQUE"),($AN722*2)/100,0))</f>
        <v>0.4948</v>
      </c>
      <c r="BI722" s="153" t="n">
        <f aca="false">IF(AND($M722&lt;&gt;"",$N722="VCA",$Q722="LINEAR"),$M722,IF(AND($M722&lt;&gt;"",$N722="MND",$Q722="EMBOQUE"),$AN722*2,0))</f>
        <v>24.74</v>
      </c>
      <c r="BJ722" s="153" t="n">
        <f aca="false">IF(AND($M722&lt;&gt;"",$N722="VCA",$Q722="LINEAR"),($M722*6.8)/100,IF(AND($M722&lt;&gt;"",$N722="MND",$Q722="EMBOQUE"),($AN722*2*6.8)/100,0))</f>
        <v>1.68232</v>
      </c>
      <c r="BK722" s="153" t="n">
        <f aca="false">IF(AND($M722&lt;&gt;"",$N722="VCA",$Q722="LINEAR"),($M722*2.5)/50,IF(AND($M722&lt;&gt;"",$N722="MND",$Q722="EMBOQUE"),($AN722*2*2.5)/50,0))</f>
        <v>1.237</v>
      </c>
      <c r="BL722" s="157" t="str">
        <f aca="false">K722&amp;J722</f>
        <v>Zona07REDES</v>
      </c>
      <c r="BM722" s="152" t="s">
        <v>4225</v>
      </c>
      <c r="BN722" s="152" t="s">
        <v>1560</v>
      </c>
      <c r="BO722" s="152" t="s">
        <v>4097</v>
      </c>
      <c r="BP722" s="152" t="s">
        <v>4296</v>
      </c>
      <c r="BQ722" s="152" t="s">
        <v>4143</v>
      </c>
      <c r="BR722" s="152" t="s">
        <v>4144</v>
      </c>
      <c r="BS722" s="152" t="n">
        <v>204199.954</v>
      </c>
      <c r="BT722" s="152" t="n">
        <v>8236983.675</v>
      </c>
      <c r="BU722" s="152" t="n">
        <v>204205.883</v>
      </c>
      <c r="BV722" s="152" t="n">
        <v>8237007.689</v>
      </c>
      <c r="BW722" s="152" t="n">
        <v>-15.9286767</v>
      </c>
      <c r="BX722" s="152" t="n">
        <v>-47.7627823</v>
      </c>
      <c r="BY722" s="152" t="s">
        <v>4296</v>
      </c>
    </row>
    <row r="723" customFormat="false" ht="13.8" hidden="false" customHeight="false" outlineLevel="0" collapsed="false">
      <c r="A723" s="149" t="n">
        <f aca="false">IF(C723&lt;&gt;"",ROW(A718),"")</f>
        <v>718</v>
      </c>
      <c r="B723" s="150" t="str">
        <f aca="false">HYPERLINK("https://www.google.com/maps/dir/-15.917302,-47.760003/-15.9287147,-47.7620821/data=!4m3!4m2!3e0!5i2")</f>
        <v>https://www.google.com/maps/dir/-15.917302,-47.760003/-15.9287147,-47.7620821/data=!4m3!4m2!3e0!5i2</v>
      </c>
      <c r="C723" s="151" t="s">
        <v>117</v>
      </c>
      <c r="D723" s="152" t="s">
        <v>112</v>
      </c>
      <c r="E723" s="152" t="s">
        <v>113</v>
      </c>
      <c r="F723" s="152" t="s">
        <v>117</v>
      </c>
      <c r="G723" s="152" t="s">
        <v>782</v>
      </c>
      <c r="H723" s="152" t="n">
        <v>63</v>
      </c>
      <c r="I723" s="152" t="s">
        <v>115</v>
      </c>
      <c r="J723" s="152" t="s">
        <v>6</v>
      </c>
      <c r="K723" s="152" t="s">
        <v>4221</v>
      </c>
      <c r="L723" s="152" t="s">
        <v>120</v>
      </c>
      <c r="M723" s="153" t="n">
        <f aca="false">56.33</f>
        <v>56.33</v>
      </c>
      <c r="N723" s="152" t="s">
        <v>1548</v>
      </c>
      <c r="O723" s="152" t="s">
        <v>1549</v>
      </c>
      <c r="P723" s="152" t="s">
        <v>1550</v>
      </c>
      <c r="Q723" s="152" t="s">
        <v>1551</v>
      </c>
      <c r="R723" s="154" t="s">
        <v>4297</v>
      </c>
      <c r="S723" s="154" t="s">
        <v>1553</v>
      </c>
      <c r="T723" s="155" t="s">
        <v>4095</v>
      </c>
      <c r="U723" s="152" t="str">
        <f aca="false">RIGHT(T723,7)</f>
        <v>016/037</v>
      </c>
      <c r="V723" s="152" t="s">
        <v>1555</v>
      </c>
      <c r="W723" s="156" t="n">
        <v>45882</v>
      </c>
      <c r="X723" s="152" t="s">
        <v>3938</v>
      </c>
      <c r="Y723" s="152" t="s">
        <v>2630</v>
      </c>
      <c r="Z723" s="152" t="s">
        <v>1557</v>
      </c>
      <c r="AA723" s="153" t="n">
        <v>2.2</v>
      </c>
      <c r="AB723" s="151" t="s">
        <v>4298</v>
      </c>
      <c r="AC723" s="151" t="s">
        <v>186</v>
      </c>
      <c r="AD723" s="151" t="str">
        <f aca="false">CONCATENATE($C723,$I723,$H723,$N723,$J723,$K723)</f>
        <v>TUBO PEADPEAD63VCAREDESZona07</v>
      </c>
      <c r="AE723" s="153" t="n">
        <f aca="false">IFERROR(INDEX(APOIO_REDES!$A:$W,MATCH($C723&amp;$I723&amp;$H723&amp;$N723&amp;$O723,APOIO_REDES!$W:$W,0),MATCH(AE$5,APOIO_REDES!$5:$5,0)),0)</f>
        <v>1.2</v>
      </c>
      <c r="AF723" s="153" t="n">
        <f aca="false">IFERROR(INDEX(APOIO_REDES!$A:$W,MATCH($C723&amp;$I723&amp;$H723&amp;$N723&amp;$O723,APOIO_REDES!$W:$W,0),MATCH(AF$5,APOIO_REDES!$5:$5,0)),0)</f>
        <v>1.363</v>
      </c>
      <c r="AG723" s="153" t="n">
        <f aca="false">IFERROR(INDEX(APOIO_REDES!$A:$W,MATCH($C723&amp;$I723&amp;$H723&amp;$N723&amp;$O723,APOIO_REDES!$W:$W,0),MATCH(AG$5,APOIO_REDES!$5:$5,0)),0)</f>
        <v>0.65</v>
      </c>
      <c r="AH723" s="153" t="n">
        <f aca="false">IFERROR(INDEX(APOIO_REDES!$A:$W,MATCH($C723&amp;$I723&amp;$H723&amp;$N723&amp;$O723,APOIO_REDES!$W:$W,0),MATCH(AH$5,APOIO_REDES!$5:$5,0)),0)</f>
        <v>0.1</v>
      </c>
      <c r="AI723" s="153" t="n">
        <f aca="false">IFERROR(IF($H723&lt;&gt;"",(((($H723/1000)/2)^2)*PI()*$M723),0),0)</f>
        <v>0.175594428341844</v>
      </c>
      <c r="AJ723" s="153" t="n">
        <f aca="false">IFERROR(IF(AND($H723&lt;&gt;"",$I723="FoFo",OR($N723="MND",$N723="VCA"),$Q723="LINEAR"),0,IF(AND($H723&lt;&gt;"",$I723="PEAD",$N723="VCA",$Q723="LINEAR"),($H723/1000)+0.3,IF(AND($H723&lt;&gt;"",$I723="PEAD",$N723="MND",$Q723="EMBOQUE"),0,IF(AND($H723&lt;&gt;"",$I723="PVC",$N723="VCA",$Q723="LINEAR"),($H723/1000)+0.2,IF(AND($H723&lt;&gt;"",$I723="PVC",$N723="MND",$Q723="EMBOQUE"),0,IF(AND($H723&lt;&gt;"",$I723="PEAD",$N723="VCA",$Q723="PREDIAL"),0,0)))))),0)</f>
        <v>0.363</v>
      </c>
      <c r="AK723" s="153" t="n">
        <f aca="false">IF(AA723&lt;&gt;"",AA723,0)</f>
        <v>2.2</v>
      </c>
      <c r="AL723" s="153" t="n">
        <f aca="false">IF(AND($N723="MND",$Q723="EMBOQUE"),$M723,IF(AND($N723="VCA",$Q723="LINEAR"),$M723,IF(AND($N723="VCA",$Q723="PREDIAL"),0,0)))</f>
        <v>56.33</v>
      </c>
      <c r="AM723" s="153" t="n">
        <f aca="false">IF(AND($N723="MND",$Q723="EMBOQUE"),$M723,IF(AND($N723="VCA",$Q723="LINEAR"),$M723,IF(AND($N723="VCA",$Q723="PREDIAL"),0,0)))</f>
        <v>56.33</v>
      </c>
      <c r="AN723" s="153" t="n">
        <f aca="false">ROUND(IF(AND($N723="VCA",$M723&lt;&gt;"",$Q723="LINEAR"),$M723/100,IF(AND($N723="MND",$M723&gt;100,$Q723="EMBOQUE"),$M723/100,0)),0)</f>
        <v>1</v>
      </c>
      <c r="AO723" s="153" t="n">
        <f aca="false">IF(AND($N723="MND",$Q723="EMBOQUE"),$AN723*2*2,IF(AND($N723="VCA",$Q723="LINEAR"),$M723*2,IF(AND($N723="VCA",$Q723="PREDIAL"),0,0)))</f>
        <v>112.66</v>
      </c>
      <c r="AP723" s="153" t="n">
        <f aca="false">IFERROR($M723*$AF723*$AG723,0)</f>
        <v>49.9055635</v>
      </c>
      <c r="AQ723" s="153" t="n">
        <f aca="false">IFERROR(IF(AND($N723="VCA",$AH723&gt;0),$M723*$AG723*$AH723,0),0)</f>
        <v>3.66145</v>
      </c>
      <c r="AR723" s="153" t="n">
        <f aca="false">IFERROR(IF(AND($N723="VCA",$AJ723&gt;0),($M723*$AG723*$AJ723)-$AI723,0),0)</f>
        <v>13.1154690716582</v>
      </c>
      <c r="AS723" s="153" t="n">
        <f aca="false">IFERROR(IF(AND($N723="VCA",$AP723&gt;0),$AP723-$AI723-$AQ723-$AR723,0),0)</f>
        <v>32.95305</v>
      </c>
      <c r="AT723" s="153" t="n">
        <f aca="false">IFERROR(IF($N723="VCA",INDEX(APOIO_REDES!$A:$W,MATCH($C723&amp;$I723&amp;$H723&amp;$N723&amp;$O723,APOIO_REDES!$W:$W,0),MATCH(AT$5,APOIO_REDES!$5:$5,0)),0)*$AP723,0)</f>
        <v>0.542987302172797</v>
      </c>
      <c r="AU723" s="153" t="n">
        <f aca="false">IFERROR(IF($N723="VCA",INDEX(APOIO_REDES!$A:$W,MATCH($C723&amp;$I723&amp;$H723&amp;$N723&amp;$O723,APOIO_REDES!$W:$W,0),MATCH(AU$5,APOIO_REDES!$5:$5,0)),0)*$AP723,0)</f>
        <v>0.433614953554036</v>
      </c>
      <c r="AV723" s="153" t="n">
        <f aca="false">IFERROR(IF($N723="VCA",INDEX(APOIO_REDES!$A:$W,MATCH($C723&amp;$I723&amp;$H723&amp;$N723&amp;$O723,APOIO_REDES!$W:$W,0),MATCH(AV$5,APOIO_REDES!$5:$5,0)),0)*$AP723,0)</f>
        <v>0.0600089055610284</v>
      </c>
      <c r="AW723" s="153" t="n">
        <f aca="false">IFERROR(IF($N723="VCA",INDEX(APOIO_REDES!$A:$W,MATCH($C723&amp;$I723&amp;$H723&amp;$N723&amp;$O723,APOIO_REDES!$W:$W,0),MATCH(AW$5,APOIO_REDES!$5:$5,0)),0)*$AP723,0)</f>
        <v>34.2555654735754</v>
      </c>
      <c r="AX723" s="153" t="n">
        <f aca="false">IFERROR(IF($N723="VCA",INDEX(APOIO_REDES!$A:$W,MATCH($C723&amp;$I723&amp;$H723&amp;$N723&amp;$O723,APOIO_REDES!$W:$W,0),MATCH(AX$5,APOIO_REDES!$5:$5,0)),0)*$AP723,0)</f>
        <v>4.74087268271752</v>
      </c>
      <c r="AY723" s="153" t="n">
        <f aca="false">IFERROR(IF($N723="VCA",INDEX(APOIO_REDES!$A:$W,MATCH($C723&amp;$I723&amp;$H723&amp;$N723&amp;$O723,APOIO_REDES!$W:$W,0),MATCH(AY$5,APOIO_REDES!$5:$5,0)),0)*$AP723,0)</f>
        <v>8.67229378534958</v>
      </c>
      <c r="AZ723" s="153" t="n">
        <f aca="false">IFERROR(IF($N723="VCA",INDEX(APOIO_REDES!$A:$W,MATCH($C723&amp;$I723&amp;$H723&amp;$N723&amp;$O723,APOIO_REDES!$W:$W,0),MATCH(AZ$5,APOIO_REDES!$5:$5,0)),0)*$AP723,0)</f>
        <v>1.20022039706964</v>
      </c>
      <c r="BA723" s="153" t="n">
        <f aca="false">IFERROR(IF(AND($N723="VCA",$Q723="LINEAR"),INDEX(APOIO_REDES!$A:$W,MATCH($C723&amp;$I723&amp;$H723&amp;$N723&amp;$O723,APOIO_REDES!$W:$W,0),MATCH(BA$5,APOIO_REDES!$5:$5,0)),IF(AND($N723="MND",$Q723="EMBOQUE"),INDEX(APOIO_REDES!$A:$W,MATCH($C723&amp;$I723&amp;$H723&amp;$N723&amp;$O723,APOIO_REDES!$W:$W,0),MATCH(BA$5,APOIO_REDES!$5:$5,0)),0))*$M723/10,0)</f>
        <v>4.54005591206902</v>
      </c>
      <c r="BB723" s="153" t="n">
        <f aca="false">IFERROR(IF($N723="VCA",INDEX(APOIO_REDES!$A:$W,MATCH($C723&amp;$I723&amp;$H723&amp;$N723&amp;$O723,APOIO_REDES!$W:$W,0),MATCH(BB$5,APOIO_REDES!$5:$5,0)),0)*($AI723+$AQ723+$AR723),0)</f>
        <v>16.7680651354321</v>
      </c>
      <c r="BC723" s="153" t="n">
        <f aca="false">IFERROR(IF($N723="VCA",INDEX(APOIO_REDES!$A:$W,MATCH($C723&amp;$I723&amp;$H723&amp;$N723&amp;$O723,APOIO_REDES!$W:$W,0),MATCH(BC$5,APOIO_REDES!$5:$5,0)),0)*($AI723+$AQ723+$AR723),0)</f>
        <v>0.184448364567869</v>
      </c>
      <c r="BD723" s="153" t="n">
        <f aca="false">IF(AND($N723="VCA",$AF723&gt;=1.25,$AF723&lt;1.5),$M723*$AF723*2,0)</f>
        <v>153.55558</v>
      </c>
      <c r="BE723" s="153" t="n">
        <f aca="false">IF(AND($N723="VCA",$AF723&gt;=1.5,$AF723&lt;3),$M723*$AF723*2,0)</f>
        <v>0</v>
      </c>
      <c r="BF723" s="153" t="n">
        <f aca="false">IF(AND($N723="VCA",$AF723&gt;=3),$M723*$AF723*2,0)</f>
        <v>0</v>
      </c>
      <c r="BG723" s="153" t="n">
        <f aca="false">($BB723+$BC723)*$AK723</f>
        <v>37.2955297</v>
      </c>
      <c r="BH723" s="153" t="n">
        <f aca="false">IF(AND($M723&lt;&gt;"",$N723="VCA",$Q723="LINEAR"),($M723*2)/100,IF(AND($M723&lt;&gt;"",$N723="MND",$Q723="EMBOQUE"),($AN723*2)/100,0))</f>
        <v>1.1266</v>
      </c>
      <c r="BI723" s="153" t="n">
        <f aca="false">IF(AND($M723&lt;&gt;"",$N723="VCA",$Q723="LINEAR"),$M723,IF(AND($M723&lt;&gt;"",$N723="MND",$Q723="EMBOQUE"),$AN723*2,0))</f>
        <v>56.33</v>
      </c>
      <c r="BJ723" s="153" t="n">
        <f aca="false">IF(AND($M723&lt;&gt;"",$N723="VCA",$Q723="LINEAR"),($M723*6.8)/100,IF(AND($M723&lt;&gt;"",$N723="MND",$Q723="EMBOQUE"),($AN723*2*6.8)/100,0))</f>
        <v>3.83044</v>
      </c>
      <c r="BK723" s="153" t="n">
        <f aca="false">IF(AND($M723&lt;&gt;"",$N723="VCA",$Q723="LINEAR"),($M723*2.5)/50,IF(AND($M723&lt;&gt;"",$N723="MND",$Q723="EMBOQUE"),($AN723*2*2.5)/50,0))</f>
        <v>2.8165</v>
      </c>
      <c r="BL723" s="157" t="str">
        <f aca="false">K723&amp;J723</f>
        <v>Zona07REDES</v>
      </c>
      <c r="BM723" s="152" t="s">
        <v>4225</v>
      </c>
      <c r="BN723" s="152" t="s">
        <v>1560</v>
      </c>
      <c r="BO723" s="152" t="s">
        <v>4097</v>
      </c>
      <c r="BP723" s="152" t="s">
        <v>2032</v>
      </c>
      <c r="BQ723" s="152" t="s">
        <v>2232</v>
      </c>
      <c r="BR723" s="152" t="s">
        <v>4144</v>
      </c>
      <c r="BS723" s="152" t="n">
        <v>204226.825</v>
      </c>
      <c r="BT723" s="152" t="n">
        <v>8237002.348</v>
      </c>
      <c r="BU723" s="152" t="n">
        <v>204281.362</v>
      </c>
      <c r="BV723" s="152" t="n">
        <v>8236988.263</v>
      </c>
      <c r="BW723" s="152" t="n">
        <v>-15.9286859</v>
      </c>
      <c r="BX723" s="152" t="n">
        <v>-47.7623047</v>
      </c>
      <c r="BY723" s="152" t="s">
        <v>4120</v>
      </c>
    </row>
    <row r="724" customFormat="false" ht="13.8" hidden="false" customHeight="false" outlineLevel="0" collapsed="false">
      <c r="A724" s="149" t="n">
        <f aca="false">IF(C724&lt;&gt;"",ROW(A719),"")</f>
        <v>719</v>
      </c>
      <c r="B724" s="150" t="str">
        <f aca="false">HYPERLINK("https://www.google.com/maps/dir/-15.917302,-47.760003/-15.9286800,-47.7632305/data=!4m3!4m2!3e0!5i2")</f>
        <v>https://www.google.com/maps/dir/-15.917302,-47.760003/-15.9286800,-47.7632305/data=!4m3!4m2!3e0!5i2</v>
      </c>
      <c r="C724" s="151" t="s">
        <v>117</v>
      </c>
      <c r="D724" s="152" t="s">
        <v>112</v>
      </c>
      <c r="E724" s="152" t="s">
        <v>113</v>
      </c>
      <c r="F724" s="152" t="s">
        <v>117</v>
      </c>
      <c r="G724" s="152" t="s">
        <v>782</v>
      </c>
      <c r="H724" s="152" t="n">
        <v>63</v>
      </c>
      <c r="I724" s="152" t="s">
        <v>115</v>
      </c>
      <c r="J724" s="152" t="s">
        <v>6</v>
      </c>
      <c r="K724" s="152" t="s">
        <v>4221</v>
      </c>
      <c r="L724" s="152" t="s">
        <v>120</v>
      </c>
      <c r="M724" s="153" t="n">
        <f aca="false">46.37+4</f>
        <v>50.37</v>
      </c>
      <c r="N724" s="152" t="s">
        <v>1548</v>
      </c>
      <c r="O724" s="152" t="s">
        <v>1549</v>
      </c>
      <c r="P724" s="152" t="s">
        <v>1550</v>
      </c>
      <c r="Q724" s="152" t="s">
        <v>1551</v>
      </c>
      <c r="R724" s="154" t="s">
        <v>4299</v>
      </c>
      <c r="S724" s="154" t="s">
        <v>1553</v>
      </c>
      <c r="T724" s="155" t="s">
        <v>4095</v>
      </c>
      <c r="U724" s="152" t="str">
        <f aca="false">RIGHT(T724,7)</f>
        <v>016/037</v>
      </c>
      <c r="V724" s="152" t="s">
        <v>1555</v>
      </c>
      <c r="W724" s="156" t="n">
        <v>45882</v>
      </c>
      <c r="X724" s="152" t="s">
        <v>3938</v>
      </c>
      <c r="Y724" s="152"/>
      <c r="Z724" s="152" t="s">
        <v>1557</v>
      </c>
      <c r="AA724" s="153" t="n">
        <v>2.1</v>
      </c>
      <c r="AB724" s="151" t="s">
        <v>4300</v>
      </c>
      <c r="AC724" s="151" t="s">
        <v>186</v>
      </c>
      <c r="AD724" s="151" t="str">
        <f aca="false">CONCATENATE($C724,$I724,$H724,$N724,$J724,$K724)</f>
        <v>TUBO PEADPEAD63VCAREDESZona07</v>
      </c>
      <c r="AE724" s="153" t="n">
        <f aca="false">IFERROR(INDEX(APOIO_REDES!$A:$W,MATCH($C724&amp;$I724&amp;$H724&amp;$N724&amp;$O724,APOIO_REDES!$W:$W,0),MATCH(AE$5,APOIO_REDES!$5:$5,0)),0)</f>
        <v>1.2</v>
      </c>
      <c r="AF724" s="153" t="n">
        <f aca="false">IFERROR(INDEX(APOIO_REDES!$A:$W,MATCH($C724&amp;$I724&amp;$H724&amp;$N724&amp;$O724,APOIO_REDES!$W:$W,0),MATCH(AF$5,APOIO_REDES!$5:$5,0)),0)</f>
        <v>1.363</v>
      </c>
      <c r="AG724" s="153" t="n">
        <f aca="false">IFERROR(INDEX(APOIO_REDES!$A:$W,MATCH($C724&amp;$I724&amp;$H724&amp;$N724&amp;$O724,APOIO_REDES!$W:$W,0),MATCH(AG$5,APOIO_REDES!$5:$5,0)),0)</f>
        <v>0.65</v>
      </c>
      <c r="AH724" s="153" t="n">
        <f aca="false">IFERROR(INDEX(APOIO_REDES!$A:$W,MATCH($C724&amp;$I724&amp;$H724&amp;$N724&amp;$O724,APOIO_REDES!$W:$W,0),MATCH(AH$5,APOIO_REDES!$5:$5,0)),0)</f>
        <v>0.1</v>
      </c>
      <c r="AI724" s="153" t="n">
        <f aca="false">IFERROR(IF($H724&lt;&gt;"",(((($H724/1000)/2)^2)*PI()*$M724),0),0)</f>
        <v>0.157015646291118</v>
      </c>
      <c r="AJ724" s="153" t="n">
        <f aca="false">IFERROR(IF(AND($H724&lt;&gt;"",$I724="FoFo",OR($N724="MND",$N724="VCA"),$Q724="LINEAR"),0,IF(AND($H724&lt;&gt;"",$I724="PEAD",$N724="VCA",$Q724="LINEAR"),($H724/1000)+0.3,IF(AND($H724&lt;&gt;"",$I724="PEAD",$N724="MND",$Q724="EMBOQUE"),0,IF(AND($H724&lt;&gt;"",$I724="PVC",$N724="VCA",$Q724="LINEAR"),($H724/1000)+0.2,IF(AND($H724&lt;&gt;"",$I724="PVC",$N724="MND",$Q724="EMBOQUE"),0,IF(AND($H724&lt;&gt;"",$I724="PEAD",$N724="VCA",$Q724="PREDIAL"),0,0)))))),0)</f>
        <v>0.363</v>
      </c>
      <c r="AK724" s="153" t="n">
        <f aca="false">IF(AA724&lt;&gt;"",AA724,0)</f>
        <v>2.1</v>
      </c>
      <c r="AL724" s="153" t="n">
        <f aca="false">IF(AND($N724="MND",$Q724="EMBOQUE"),$M724,IF(AND($N724="VCA",$Q724="LINEAR"),$M724,IF(AND($N724="VCA",$Q724="PREDIAL"),0,0)))</f>
        <v>50.37</v>
      </c>
      <c r="AM724" s="153" t="n">
        <f aca="false">IF(AND($N724="MND",$Q724="EMBOQUE"),$M724,IF(AND($N724="VCA",$Q724="LINEAR"),$M724,IF(AND($N724="VCA",$Q724="PREDIAL"),0,0)))</f>
        <v>50.37</v>
      </c>
      <c r="AN724" s="153" t="n">
        <f aca="false">ROUND(IF(AND($N724="VCA",$M724&lt;&gt;"",$Q724="LINEAR"),$M724/100,IF(AND($N724="MND",$M724&gt;100,$Q724="EMBOQUE"),$M724/100,0)),0)</f>
        <v>1</v>
      </c>
      <c r="AO724" s="153" t="n">
        <f aca="false">IF(AND($N724="MND",$Q724="EMBOQUE"),$AN724*2*2,IF(AND($N724="VCA",$Q724="LINEAR"),$M724*2,IF(AND($N724="VCA",$Q724="PREDIAL"),0,0)))</f>
        <v>100.74</v>
      </c>
      <c r="AP724" s="153" t="n">
        <f aca="false">IFERROR($M724*$AF724*$AG724,0)</f>
        <v>44.6253015</v>
      </c>
      <c r="AQ724" s="153" t="n">
        <f aca="false">IFERROR(IF(AND($N724="VCA",$AH724&gt;0),$M724*$AG724*$AH724,0),0)</f>
        <v>3.27405</v>
      </c>
      <c r="AR724" s="153" t="n">
        <f aca="false">IFERROR(IF(AND($N724="VCA",$AJ724&gt;0),($M724*$AG724*$AJ724)-$AI724,0),0)</f>
        <v>11.7277858537089</v>
      </c>
      <c r="AS724" s="153" t="n">
        <f aca="false">IFERROR(IF(AND($N724="VCA",$AP724&gt;0),$AP724-$AI724-$AQ724-$AR724,0),0)</f>
        <v>29.46645</v>
      </c>
      <c r="AT724" s="153" t="n">
        <f aca="false">IFERROR(IF($N724="VCA",INDEX(APOIO_REDES!$A:$W,MATCH($C724&amp;$I724&amp;$H724&amp;$N724&amp;$O724,APOIO_REDES!$W:$W,0),MATCH(AT$5,APOIO_REDES!$5:$5,0)),0)*$AP724,0)</f>
        <v>0.485536488735022</v>
      </c>
      <c r="AU724" s="153" t="n">
        <f aca="false">IFERROR(IF($N724="VCA",INDEX(APOIO_REDES!$A:$W,MATCH($C724&amp;$I724&amp;$H724&amp;$N724&amp;$O724,APOIO_REDES!$W:$W,0),MATCH(AU$5,APOIO_REDES!$5:$5,0)),0)*$AP724,0)</f>
        <v>0.387736289907985</v>
      </c>
      <c r="AV724" s="153" t="n">
        <f aca="false">IFERROR(IF($N724="VCA",INDEX(APOIO_REDES!$A:$W,MATCH($C724&amp;$I724&amp;$H724&amp;$N724&amp;$O724,APOIO_REDES!$W:$W,0),MATCH(AV$5,APOIO_REDES!$5:$5,0)),0)*$AP724,0)</f>
        <v>0.0536596586740458</v>
      </c>
      <c r="AW724" s="153" t="n">
        <f aca="false">IFERROR(IF($N724="VCA",INDEX(APOIO_REDES!$A:$W,MATCH($C724&amp;$I724&amp;$H724&amp;$N724&amp;$O724,APOIO_REDES!$W:$W,0),MATCH(AW$5,APOIO_REDES!$5:$5,0)),0)*$AP724,0)</f>
        <v>30.6311527233089</v>
      </c>
      <c r="AX724" s="153" t="n">
        <f aca="false">IFERROR(IF($N724="VCA",INDEX(APOIO_REDES!$A:$W,MATCH($C724&amp;$I724&amp;$H724&amp;$N724&amp;$O724,APOIO_REDES!$W:$W,0),MATCH(AX$5,APOIO_REDES!$5:$5,0)),0)*$AP724,0)</f>
        <v>4.23926428241579</v>
      </c>
      <c r="AY724" s="153" t="n">
        <f aca="false">IFERROR(IF($N724="VCA",INDEX(APOIO_REDES!$A:$W,MATCH($C724&amp;$I724&amp;$H724&amp;$N724&amp;$O724,APOIO_REDES!$W:$W,0),MATCH(AY$5,APOIO_REDES!$5:$5,0)),0)*$AP724,0)</f>
        <v>7.75472107168575</v>
      </c>
      <c r="AZ724" s="153" t="n">
        <f aca="false">IFERROR(IF($N724="VCA",INDEX(APOIO_REDES!$A:$W,MATCH($C724&amp;$I724&amp;$H724&amp;$N724&amp;$O724,APOIO_REDES!$W:$W,0),MATCH(AZ$5,APOIO_REDES!$5:$5,0)),0)*$AP724,0)</f>
        <v>1.07323098527246</v>
      </c>
      <c r="BA724" s="153" t="n">
        <f aca="false">IFERROR(IF(AND($N724="VCA",$Q724="LINEAR"),INDEX(APOIO_REDES!$A:$W,MATCH($C724&amp;$I724&amp;$H724&amp;$N724&amp;$O724,APOIO_REDES!$W:$W,0),MATCH(BA$5,APOIO_REDES!$5:$5,0)),IF(AND($N724="MND",$Q724="EMBOQUE"),INDEX(APOIO_REDES!$A:$W,MATCH($C724&amp;$I724&amp;$H724&amp;$N724&amp;$O724,APOIO_REDES!$W:$W,0),MATCH(BA$5,APOIO_REDES!$5:$5,0)),0))*$M724/10,0)</f>
        <v>4.05969494569353</v>
      </c>
      <c r="BB724" s="153" t="n">
        <f aca="false">IFERROR(IF($N724="VCA",INDEX(APOIO_REDES!$A:$W,MATCH($C724&amp;$I724&amp;$H724&amp;$N724&amp;$O724,APOIO_REDES!$W:$W,0),MATCH(BB$5,APOIO_REDES!$5:$5,0)),0)*($AI724+$AQ724+$AR724),0)</f>
        <v>14.993918708889</v>
      </c>
      <c r="BC724" s="153" t="n">
        <f aca="false">IFERROR(IF($N724="VCA",INDEX(APOIO_REDES!$A:$W,MATCH($C724&amp;$I724&amp;$H724&amp;$N724&amp;$O724,APOIO_REDES!$W:$W,0),MATCH(BC$5,APOIO_REDES!$5:$5,0)),0)*($AI724+$AQ724+$AR724),0)</f>
        <v>0.164932791111016</v>
      </c>
      <c r="BD724" s="153" t="n">
        <f aca="false">IF(AND($N724="VCA",$AF724&gt;=1.25,$AF724&lt;1.5),$M724*$AF724*2,0)</f>
        <v>137.30862</v>
      </c>
      <c r="BE724" s="153" t="n">
        <f aca="false">IF(AND($N724="VCA",$AF724&gt;=1.5,$AF724&lt;3),$M724*$AF724*2,0)</f>
        <v>0</v>
      </c>
      <c r="BF724" s="153" t="n">
        <f aca="false">IF(AND($N724="VCA",$AF724&gt;=3),$M724*$AF724*2,0)</f>
        <v>0</v>
      </c>
      <c r="BG724" s="153" t="n">
        <f aca="false">($BB724+$BC724)*$AK724</f>
        <v>31.83358815</v>
      </c>
      <c r="BH724" s="153" t="n">
        <f aca="false">IF(AND($M724&lt;&gt;"",$N724="VCA",$Q724="LINEAR"),($M724*2)/100,IF(AND($M724&lt;&gt;"",$N724="MND",$Q724="EMBOQUE"),($AN724*2)/100,0))</f>
        <v>1.0074</v>
      </c>
      <c r="BI724" s="153" t="n">
        <f aca="false">IF(AND($M724&lt;&gt;"",$N724="VCA",$Q724="LINEAR"),$M724,IF(AND($M724&lt;&gt;"",$N724="MND",$Q724="EMBOQUE"),$AN724*2,0))</f>
        <v>50.37</v>
      </c>
      <c r="BJ724" s="153" t="n">
        <f aca="false">IF(AND($M724&lt;&gt;"",$N724="VCA",$Q724="LINEAR"),($M724*6.8)/100,IF(AND($M724&lt;&gt;"",$N724="MND",$Q724="EMBOQUE"),($AN724*2*6.8)/100,0))</f>
        <v>3.42516</v>
      </c>
      <c r="BK724" s="153" t="n">
        <f aca="false">IF(AND($M724&lt;&gt;"",$N724="VCA",$Q724="LINEAR"),($M724*2.5)/50,IF(AND($M724&lt;&gt;"",$N724="MND",$Q724="EMBOQUE"),($AN724*2*2.5)/50,0))</f>
        <v>2.5185</v>
      </c>
      <c r="BL724" s="157" t="str">
        <f aca="false">K724&amp;J724</f>
        <v>Zona07REDES</v>
      </c>
      <c r="BM724" s="152" t="s">
        <v>4225</v>
      </c>
      <c r="BN724" s="152" t="s">
        <v>1560</v>
      </c>
      <c r="BO724" s="152" t="s">
        <v>4097</v>
      </c>
      <c r="BP724" s="152" t="s">
        <v>4301</v>
      </c>
      <c r="BQ724" s="152" t="s">
        <v>4296</v>
      </c>
      <c r="BR724" s="152" t="s">
        <v>4302</v>
      </c>
      <c r="BS724" s="152" t="n">
        <v>204154.91</v>
      </c>
      <c r="BT724" s="152" t="n">
        <v>8236994.676</v>
      </c>
      <c r="BU724" s="152" t="n">
        <v>204199.954</v>
      </c>
      <c r="BV724" s="152" t="n">
        <v>8236983.675</v>
      </c>
      <c r="BW724" s="152" t="n">
        <v>-15.9287323</v>
      </c>
      <c r="BX724" s="152" t="n">
        <v>-47.7630209</v>
      </c>
      <c r="BY724" s="152" t="s">
        <v>4301</v>
      </c>
    </row>
    <row r="725" customFormat="false" ht="13.8" hidden="false" customHeight="false" outlineLevel="0" collapsed="false">
      <c r="A725" s="149" t="n">
        <f aca="false">IF(C725&lt;&gt;"",ROW(A720),"")</f>
        <v>720</v>
      </c>
      <c r="B725" s="150" t="str">
        <f aca="false">HYPERLINK("https://www.google.com/maps/dir/-15.917302,-47.760003/-15.9287765,-47.7620222/data=!4m3!4m2!3e0!5i0")</f>
        <v>https://www.google.com/maps/dir/-15.917302,-47.760003/-15.9287765,-47.7620222/data=!4m3!4m2!3e0!5i0</v>
      </c>
      <c r="C725" s="151" t="s">
        <v>117</v>
      </c>
      <c r="D725" s="152" t="s">
        <v>112</v>
      </c>
      <c r="E725" s="152" t="s">
        <v>113</v>
      </c>
      <c r="F725" s="152" t="s">
        <v>117</v>
      </c>
      <c r="G725" s="152" t="s">
        <v>782</v>
      </c>
      <c r="H725" s="152" t="n">
        <v>63</v>
      </c>
      <c r="I725" s="152" t="s">
        <v>115</v>
      </c>
      <c r="J725" s="152" t="s">
        <v>6</v>
      </c>
      <c r="K725" s="152" t="s">
        <v>4221</v>
      </c>
      <c r="L725" s="152" t="s">
        <v>120</v>
      </c>
      <c r="M725" s="153" t="n">
        <f aca="false">4.05</f>
        <v>4.05</v>
      </c>
      <c r="N725" s="152" t="s">
        <v>1548</v>
      </c>
      <c r="O725" s="152" t="s">
        <v>1549</v>
      </c>
      <c r="P725" s="152" t="s">
        <v>1550</v>
      </c>
      <c r="Q725" s="152" t="s">
        <v>1551</v>
      </c>
      <c r="R725" s="154" t="s">
        <v>4303</v>
      </c>
      <c r="S725" s="154" t="s">
        <v>1553</v>
      </c>
      <c r="T725" s="155" t="s">
        <v>4095</v>
      </c>
      <c r="U725" s="152" t="str">
        <f aca="false">RIGHT(T725,7)</f>
        <v>016/037</v>
      </c>
      <c r="V725" s="152" t="s">
        <v>1555</v>
      </c>
      <c r="W725" s="156" t="n">
        <v>45882</v>
      </c>
      <c r="X725" s="152" t="s">
        <v>3938</v>
      </c>
      <c r="Y725" s="152" t="s">
        <v>2630</v>
      </c>
      <c r="Z725" s="152" t="s">
        <v>1557</v>
      </c>
      <c r="AA725" s="153" t="n">
        <v>1.7</v>
      </c>
      <c r="AB725" s="151" t="s">
        <v>4304</v>
      </c>
      <c r="AC725" s="151" t="s">
        <v>186</v>
      </c>
      <c r="AD725" s="151" t="str">
        <f aca="false">CONCATENATE($C725,$I725,$H725,$N725,$J725,$K725)</f>
        <v>TUBO PEADPEAD63VCAREDESZona07</v>
      </c>
      <c r="AE725" s="153" t="n">
        <f aca="false">IFERROR(INDEX(APOIO_REDES!$A:$W,MATCH($C725&amp;$I725&amp;$H725&amp;$N725&amp;$O725,APOIO_REDES!$W:$W,0),MATCH(AE$5,APOIO_REDES!$5:$5,0)),0)</f>
        <v>1.2</v>
      </c>
      <c r="AF725" s="153" t="n">
        <f aca="false">IFERROR(INDEX(APOIO_REDES!$A:$W,MATCH($C725&amp;$I725&amp;$H725&amp;$N725&amp;$O725,APOIO_REDES!$W:$W,0),MATCH(AF$5,APOIO_REDES!$5:$5,0)),0)</f>
        <v>1.363</v>
      </c>
      <c r="AG725" s="153" t="n">
        <f aca="false">IFERROR(INDEX(APOIO_REDES!$A:$W,MATCH($C725&amp;$I725&amp;$H725&amp;$N725&amp;$O725,APOIO_REDES!$W:$W,0),MATCH(AG$5,APOIO_REDES!$5:$5,0)),0)</f>
        <v>0.65</v>
      </c>
      <c r="AH725" s="153" t="n">
        <f aca="false">IFERROR(INDEX(APOIO_REDES!$A:$W,MATCH($C725&amp;$I725&amp;$H725&amp;$N725&amp;$O725,APOIO_REDES!$W:$W,0),MATCH(AH$5,APOIO_REDES!$5:$5,0)),0)</f>
        <v>0.1</v>
      </c>
      <c r="AI725" s="153" t="n">
        <f aca="false">IFERROR(IF($H725&lt;&gt;"",(((($H725/1000)/2)^2)*PI()*$M725),0),0)</f>
        <v>0.0126248435076241</v>
      </c>
      <c r="AJ725" s="153" t="n">
        <f aca="false">IFERROR(IF(AND($H725&lt;&gt;"",$I725="FoFo",OR($N725="MND",$N725="VCA"),$Q725="LINEAR"),0,IF(AND($H725&lt;&gt;"",$I725="PEAD",$N725="VCA",$Q725="LINEAR"),($H725/1000)+0.3,IF(AND($H725&lt;&gt;"",$I725="PEAD",$N725="MND",$Q725="EMBOQUE"),0,IF(AND($H725&lt;&gt;"",$I725="PVC",$N725="VCA",$Q725="LINEAR"),($H725/1000)+0.2,IF(AND($H725&lt;&gt;"",$I725="PVC",$N725="MND",$Q725="EMBOQUE"),0,IF(AND($H725&lt;&gt;"",$I725="PEAD",$N725="VCA",$Q725="PREDIAL"),0,0)))))),0)</f>
        <v>0.363</v>
      </c>
      <c r="AK725" s="153" t="n">
        <f aca="false">IF(AA725&lt;&gt;"",AA725,0)</f>
        <v>1.7</v>
      </c>
      <c r="AL725" s="153" t="n">
        <f aca="false">IF(AND($N725="MND",$Q725="EMBOQUE"),$M725,IF(AND($N725="VCA",$Q725="LINEAR"),$M725,IF(AND($N725="VCA",$Q725="PREDIAL"),0,0)))</f>
        <v>4.05</v>
      </c>
      <c r="AM725" s="153" t="n">
        <f aca="false">IF(AND($N725="MND",$Q725="EMBOQUE"),$M725,IF(AND($N725="VCA",$Q725="LINEAR"),$M725,IF(AND($N725="VCA",$Q725="PREDIAL"),0,0)))</f>
        <v>4.05</v>
      </c>
      <c r="AN725" s="153" t="n">
        <f aca="false">ROUND(IF(AND($N725="VCA",$M725&lt;&gt;"",$Q725="LINEAR"),$M725/100,IF(AND($N725="MND",$M725&gt;100,$Q725="EMBOQUE"),$M725/100,0)),0)</f>
        <v>0</v>
      </c>
      <c r="AO725" s="153" t="n">
        <f aca="false">IF(AND($N725="MND",$Q725="EMBOQUE"),$AN725*2*2,IF(AND($N725="VCA",$Q725="LINEAR"),$M725*2,IF(AND($N725="VCA",$Q725="PREDIAL"),0,0)))</f>
        <v>8.1</v>
      </c>
      <c r="AP725" s="153" t="n">
        <f aca="false">IFERROR($M725*$AF725*$AG725,0)</f>
        <v>3.5880975</v>
      </c>
      <c r="AQ725" s="153" t="n">
        <f aca="false">IFERROR(IF(AND($N725="VCA",$AH725&gt;0),$M725*$AG725*$AH725,0),0)</f>
        <v>0.26325</v>
      </c>
      <c r="AR725" s="153" t="n">
        <f aca="false">IFERROR(IF(AND($N725="VCA",$AJ725&gt;0),($M725*$AG725*$AJ725)-$AI725,0),0)</f>
        <v>0.942972656492376</v>
      </c>
      <c r="AS725" s="153" t="n">
        <f aca="false">IFERROR(IF(AND($N725="VCA",$AP725&gt;0),$AP725-$AI725-$AQ725-$AR725,0),0)</f>
        <v>2.36925</v>
      </c>
      <c r="AT725" s="153" t="n">
        <f aca="false">IFERROR(IF($N725="VCA",INDEX(APOIO_REDES!$A:$W,MATCH($C725&amp;$I725&amp;$H725&amp;$N725&amp;$O725,APOIO_REDES!$W:$W,0),MATCH(AT$5,APOIO_REDES!$5:$5,0)),0)*$AP725,0)</f>
        <v>0.0390395628226492</v>
      </c>
      <c r="AU725" s="153" t="n">
        <f aca="false">IFERROR(IF($N725="VCA",INDEX(APOIO_REDES!$A:$W,MATCH($C725&amp;$I725&amp;$H725&amp;$N725&amp;$O725,APOIO_REDES!$W:$W,0),MATCH(AU$5,APOIO_REDES!$5:$5,0)),0)*$AP725,0)</f>
        <v>0.0311759375447159</v>
      </c>
      <c r="AV725" s="153" t="n">
        <f aca="false">IFERROR(IF($N725="VCA",INDEX(APOIO_REDES!$A:$W,MATCH($C725&amp;$I725&amp;$H725&amp;$N725&amp;$O725,APOIO_REDES!$W:$W,0),MATCH(AV$5,APOIO_REDES!$5:$5,0)),0)*$AP725,0)</f>
        <v>0.00431450501548314</v>
      </c>
      <c r="AW725" s="153" t="n">
        <f aca="false">IFERROR(IF($N725="VCA",INDEX(APOIO_REDES!$A:$W,MATCH($C725&amp;$I725&amp;$H725&amp;$N725&amp;$O725,APOIO_REDES!$W:$W,0),MATCH(AW$5,APOIO_REDES!$5:$5,0)),0)*$AP725,0)</f>
        <v>2.4628979259361</v>
      </c>
      <c r="AX725" s="153" t="n">
        <f aca="false">IFERROR(IF($N725="VCA",INDEX(APOIO_REDES!$A:$W,MATCH($C725&amp;$I725&amp;$H725&amp;$N725&amp;$O725,APOIO_REDES!$W:$W,0),MATCH(AX$5,APOIO_REDES!$5:$5,0)),0)*$AP725,0)</f>
        <v>0.340858057252014</v>
      </c>
      <c r="AY725" s="153" t="n">
        <f aca="false">IFERROR(IF($N725="VCA",INDEX(APOIO_REDES!$A:$W,MATCH($C725&amp;$I725&amp;$H725&amp;$N725&amp;$O725,APOIO_REDES!$W:$W,0),MATCH(AY$5,APOIO_REDES!$5:$5,0)),0)*$AP725,0)</f>
        <v>0.623518370862166</v>
      </c>
      <c r="AZ725" s="153" t="n">
        <f aca="false">IFERROR(IF($N725="VCA",INDEX(APOIO_REDES!$A:$W,MATCH($C725&amp;$I725&amp;$H725&amp;$N725&amp;$O725,APOIO_REDES!$W:$W,0),MATCH(AZ$5,APOIO_REDES!$5:$5,0)),0)*$AP725,0)</f>
        <v>0.0862931405668744</v>
      </c>
      <c r="BA725" s="153" t="n">
        <f aca="false">IFERROR(IF(AND($N725="VCA",$Q725="LINEAR"),INDEX(APOIO_REDES!$A:$W,MATCH($C725&amp;$I725&amp;$H725&amp;$N725&amp;$O725,APOIO_REDES!$W:$W,0),MATCH(BA$5,APOIO_REDES!$5:$5,0)),IF(AND($N725="MND",$Q725="EMBOQUE"),INDEX(APOIO_REDES!$A:$W,MATCH($C725&amp;$I725&amp;$H725&amp;$N725&amp;$O725,APOIO_REDES!$W:$W,0),MATCH(BA$5,APOIO_REDES!$5:$5,0)),0))*$M725/10,0)</f>
        <v>0.32641978419811</v>
      </c>
      <c r="BB725" s="153" t="n">
        <f aca="false">IFERROR(IF($N725="VCA",INDEX(APOIO_REDES!$A:$W,MATCH($C725&amp;$I725&amp;$H725&amp;$N725&amp;$O725,APOIO_REDES!$W:$W,0),MATCH(BB$5,APOIO_REDES!$5:$5,0)),0)*($AI725+$AQ725+$AR725),0)</f>
        <v>1.20558607843956</v>
      </c>
      <c r="BC725" s="153" t="n">
        <f aca="false">IFERROR(IF($N725="VCA",INDEX(APOIO_REDES!$A:$W,MATCH($C725&amp;$I725&amp;$H725&amp;$N725&amp;$O725,APOIO_REDES!$W:$W,0),MATCH(BC$5,APOIO_REDES!$5:$5,0)),0)*($AI725+$AQ725+$AR725),0)</f>
        <v>0.013261421560445</v>
      </c>
      <c r="BD725" s="153" t="n">
        <f aca="false">IF(AND($N725="VCA",$AF725&gt;=1.25,$AF725&lt;1.5),$M725*$AF725*2,0)</f>
        <v>11.0403</v>
      </c>
      <c r="BE725" s="153" t="n">
        <f aca="false">IF(AND($N725="VCA",$AF725&gt;=1.5,$AF725&lt;3),$M725*$AF725*2,0)</f>
        <v>0</v>
      </c>
      <c r="BF725" s="153" t="n">
        <f aca="false">IF(AND($N725="VCA",$AF725&gt;=3),$M725*$AF725*2,0)</f>
        <v>0</v>
      </c>
      <c r="BG725" s="153" t="n">
        <f aca="false">($BB725+$BC725)*$AK725</f>
        <v>2.07204075</v>
      </c>
      <c r="BH725" s="153" t="n">
        <f aca="false">IF(AND($M725&lt;&gt;"",$N725="VCA",$Q725="LINEAR"),($M725*2)/100,IF(AND($M725&lt;&gt;"",$N725="MND",$Q725="EMBOQUE"),($AN725*2)/100,0))</f>
        <v>0.081</v>
      </c>
      <c r="BI725" s="153" t="n">
        <f aca="false">IF(AND($M725&lt;&gt;"",$N725="VCA",$Q725="LINEAR"),$M725,IF(AND($M725&lt;&gt;"",$N725="MND",$Q725="EMBOQUE"),$AN725*2,0))</f>
        <v>4.05</v>
      </c>
      <c r="BJ725" s="153" t="n">
        <f aca="false">IF(AND($M725&lt;&gt;"",$N725="VCA",$Q725="LINEAR"),($M725*6.8)/100,IF(AND($M725&lt;&gt;"",$N725="MND",$Q725="EMBOQUE"),($AN725*2*6.8)/100,0))</f>
        <v>0.2754</v>
      </c>
      <c r="BK725" s="153" t="n">
        <f aca="false">IF(AND($M725&lt;&gt;"",$N725="VCA",$Q725="LINEAR"),($M725*2.5)/50,IF(AND($M725&lt;&gt;"",$N725="MND",$Q725="EMBOQUE"),($AN725*2*2.5)/50,0))</f>
        <v>0.2025</v>
      </c>
      <c r="BL725" s="157" t="str">
        <f aca="false">K725&amp;J725</f>
        <v>Zona07REDES</v>
      </c>
      <c r="BM725" s="152" t="s">
        <v>4225</v>
      </c>
      <c r="BN725" s="152" t="s">
        <v>1560</v>
      </c>
      <c r="BO725" s="152" t="s">
        <v>4097</v>
      </c>
      <c r="BP725" s="152" t="s">
        <v>4305</v>
      </c>
      <c r="BQ725" s="152" t="s">
        <v>2232</v>
      </c>
      <c r="BR725" s="152" t="s">
        <v>4306</v>
      </c>
      <c r="BS725" s="152" t="n">
        <v>204284.139</v>
      </c>
      <c r="BT725" s="152" t="n">
        <v>8236985.322</v>
      </c>
      <c r="BU725" s="152" t="n">
        <v>204281.328</v>
      </c>
      <c r="BV725" s="152" t="n">
        <v>8236988.232</v>
      </c>
      <c r="BW725" s="152" t="n">
        <v>-15.9287669</v>
      </c>
      <c r="BX725" s="152" t="n">
        <v>-47.7620388</v>
      </c>
      <c r="BY725" s="152" t="s">
        <v>4305</v>
      </c>
    </row>
    <row r="726" customFormat="false" ht="13.8" hidden="false" customHeight="false" outlineLevel="0" collapsed="false">
      <c r="A726" s="149" t="n">
        <f aca="false">IF(C726&lt;&gt;"",ROW(A721),"")</f>
        <v>721</v>
      </c>
      <c r="B726" s="150" t="str">
        <f aca="false">HYPERLINK("https://www.google.com/maps/dir/-15.917302,-47.760003/-15.9289773,-47.7620701/data=!4m3!4m2!3e0!5i0")</f>
        <v>https://www.google.com/maps/dir/-15.917302,-47.760003/-15.9289773,-47.7620701/data=!4m3!4m2!3e0!5i0</v>
      </c>
      <c r="C726" s="151" t="s">
        <v>117</v>
      </c>
      <c r="D726" s="152" t="s">
        <v>112</v>
      </c>
      <c r="E726" s="152" t="s">
        <v>113</v>
      </c>
      <c r="F726" s="152" t="s">
        <v>117</v>
      </c>
      <c r="G726" s="152" t="s">
        <v>782</v>
      </c>
      <c r="H726" s="152" t="n">
        <v>63</v>
      </c>
      <c r="I726" s="152" t="s">
        <v>115</v>
      </c>
      <c r="J726" s="152" t="s">
        <v>6</v>
      </c>
      <c r="K726" s="152" t="s">
        <v>4221</v>
      </c>
      <c r="L726" s="152" t="s">
        <v>120</v>
      </c>
      <c r="M726" s="153" t="n">
        <f aca="false">21.64+1.1</f>
        <v>22.74</v>
      </c>
      <c r="N726" s="152" t="s">
        <v>1548</v>
      </c>
      <c r="O726" s="152" t="s">
        <v>1549</v>
      </c>
      <c r="P726" s="152" t="s">
        <v>1550</v>
      </c>
      <c r="Q726" s="152" t="s">
        <v>1551</v>
      </c>
      <c r="R726" s="154" t="s">
        <v>4307</v>
      </c>
      <c r="S726" s="154" t="s">
        <v>1553</v>
      </c>
      <c r="T726" s="155" t="s">
        <v>4095</v>
      </c>
      <c r="U726" s="152" t="str">
        <f aca="false">RIGHT(T726,7)</f>
        <v>016/037</v>
      </c>
      <c r="V726" s="152" t="s">
        <v>1555</v>
      </c>
      <c r="W726" s="156" t="n">
        <v>45882</v>
      </c>
      <c r="X726" s="152" t="s">
        <v>1594</v>
      </c>
      <c r="Y726" s="152" t="s">
        <v>2630</v>
      </c>
      <c r="Z726" s="152" t="s">
        <v>1557</v>
      </c>
      <c r="AA726" s="153" t="n">
        <v>1.8</v>
      </c>
      <c r="AB726" s="151" t="s">
        <v>4308</v>
      </c>
      <c r="AC726" s="151" t="s">
        <v>186</v>
      </c>
      <c r="AD726" s="151" t="str">
        <f aca="false">CONCATENATE($C726,$I726,$H726,$N726,$J726,$K726)</f>
        <v>TUBO PEADPEAD63VCAREDESZona07</v>
      </c>
      <c r="AE726" s="153" t="n">
        <f aca="false">IFERROR(INDEX(APOIO_REDES!$A:$W,MATCH($C726&amp;$I726&amp;$H726&amp;$N726&amp;$O726,APOIO_REDES!$W:$W,0),MATCH(AE$5,APOIO_REDES!$5:$5,0)),0)</f>
        <v>1.2</v>
      </c>
      <c r="AF726" s="153" t="n">
        <f aca="false">IFERROR(INDEX(APOIO_REDES!$A:$W,MATCH($C726&amp;$I726&amp;$H726&amp;$N726&amp;$O726,APOIO_REDES!$W:$W,0),MATCH(AF$5,APOIO_REDES!$5:$5,0)),0)</f>
        <v>1.363</v>
      </c>
      <c r="AG726" s="153" t="n">
        <f aca="false">IFERROR(INDEX(APOIO_REDES!$A:$W,MATCH($C726&amp;$I726&amp;$H726&amp;$N726&amp;$O726,APOIO_REDES!$W:$W,0),MATCH(AG$5,APOIO_REDES!$5:$5,0)),0)</f>
        <v>0.65</v>
      </c>
      <c r="AH726" s="153" t="n">
        <f aca="false">IFERROR(INDEX(APOIO_REDES!$A:$W,MATCH($C726&amp;$I726&amp;$H726&amp;$N726&amp;$O726,APOIO_REDES!$W:$W,0),MATCH(AH$5,APOIO_REDES!$5:$5,0)),0)</f>
        <v>0.1</v>
      </c>
      <c r="AI726" s="153" t="n">
        <f aca="false">IFERROR(IF($H726&lt;&gt;"",(((($H726/1000)/2)^2)*PI()*$M726),0),0)</f>
        <v>0.0708861583613265</v>
      </c>
      <c r="AJ726" s="153" t="n">
        <f aca="false">IFERROR(IF(AND($H726&lt;&gt;"",$I726="FoFo",OR($N726="MND",$N726="VCA"),$Q726="LINEAR"),0,IF(AND($H726&lt;&gt;"",$I726="PEAD",$N726="VCA",$Q726="LINEAR"),($H726/1000)+0.3,IF(AND($H726&lt;&gt;"",$I726="PEAD",$N726="MND",$Q726="EMBOQUE"),0,IF(AND($H726&lt;&gt;"",$I726="PVC",$N726="VCA",$Q726="LINEAR"),($H726/1000)+0.2,IF(AND($H726&lt;&gt;"",$I726="PVC",$N726="MND",$Q726="EMBOQUE"),0,IF(AND($H726&lt;&gt;"",$I726="PEAD",$N726="VCA",$Q726="PREDIAL"),0,0)))))),0)</f>
        <v>0.363</v>
      </c>
      <c r="AK726" s="153" t="n">
        <f aca="false">IF(AA726&lt;&gt;"",AA726,0)</f>
        <v>1.8</v>
      </c>
      <c r="AL726" s="153" t="n">
        <f aca="false">IF(AND($N726="MND",$Q726="EMBOQUE"),$M726,IF(AND($N726="VCA",$Q726="LINEAR"),$M726,IF(AND($N726="VCA",$Q726="PREDIAL"),0,0)))</f>
        <v>22.74</v>
      </c>
      <c r="AM726" s="153" t="n">
        <f aca="false">IF(AND($N726="MND",$Q726="EMBOQUE"),$M726,IF(AND($N726="VCA",$Q726="LINEAR"),$M726,IF(AND($N726="VCA",$Q726="PREDIAL"),0,0)))</f>
        <v>22.74</v>
      </c>
      <c r="AN726" s="153" t="n">
        <f aca="false">ROUND(IF(AND($N726="VCA",$M726&lt;&gt;"",$Q726="LINEAR"),$M726/100,IF(AND($N726="MND",$M726&gt;100,$Q726="EMBOQUE"),$M726/100,0)),0)</f>
        <v>0</v>
      </c>
      <c r="AO726" s="153" t="n">
        <f aca="false">IF(AND($N726="MND",$Q726="EMBOQUE"),$AN726*2*2,IF(AND($N726="VCA",$Q726="LINEAR"),$M726*2,IF(AND($N726="VCA",$Q726="PREDIAL"),0,0)))</f>
        <v>45.48</v>
      </c>
      <c r="AP726" s="153" t="n">
        <f aca="false">IFERROR($M726*$AF726*$AG726,0)</f>
        <v>20.146503</v>
      </c>
      <c r="AQ726" s="153" t="n">
        <f aca="false">IFERROR(IF(AND($N726="VCA",$AH726&gt;0),$M726*$AG726*$AH726,0),0)</f>
        <v>1.4781</v>
      </c>
      <c r="AR726" s="153" t="n">
        <f aca="false">IFERROR(IF(AND($N726="VCA",$AJ726&gt;0),($M726*$AG726*$AJ726)-$AI726,0),0)</f>
        <v>5.29461684163867</v>
      </c>
      <c r="AS726" s="153" t="n">
        <f aca="false">IFERROR(IF(AND($N726="VCA",$AP726&gt;0),$AP726-$AI726-$AQ726-$AR726,0),0)</f>
        <v>13.3029</v>
      </c>
      <c r="AT726" s="153" t="n">
        <f aca="false">IFERROR(IF($N726="VCA",INDEX(APOIO_REDES!$A:$W,MATCH($C726&amp;$I726&amp;$H726&amp;$N726&amp;$O726,APOIO_REDES!$W:$W,0),MATCH(AT$5,APOIO_REDES!$5:$5,0)),0)*$AP726,0)</f>
        <v>0.219199915700504</v>
      </c>
      <c r="AU726" s="153" t="n">
        <f aca="false">IFERROR(IF($N726="VCA",INDEX(APOIO_REDES!$A:$W,MATCH($C726&amp;$I726&amp;$H726&amp;$N726&amp;$O726,APOIO_REDES!$W:$W,0),MATCH(AU$5,APOIO_REDES!$5:$5,0)),0)*$AP726,0)</f>
        <v>0.175047115991812</v>
      </c>
      <c r="AV726" s="153" t="n">
        <f aca="false">IFERROR(IF($N726="VCA",INDEX(APOIO_REDES!$A:$W,MATCH($C726&amp;$I726&amp;$H726&amp;$N726&amp;$O726,APOIO_REDES!$W:$W,0),MATCH(AV$5,APOIO_REDES!$5:$5,0)),0)*$AP726,0)</f>
        <v>0.0242251466795275</v>
      </c>
      <c r="AW726" s="153" t="n">
        <f aca="false">IFERROR(IF($N726="VCA",INDEX(APOIO_REDES!$A:$W,MATCH($C726&amp;$I726&amp;$H726&amp;$N726&amp;$O726,APOIO_REDES!$W:$W,0),MATCH(AW$5,APOIO_REDES!$5:$5,0)),0)*$AP726,0)</f>
        <v>13.8287157619227</v>
      </c>
      <c r="AX726" s="153" t="n">
        <f aca="false">IFERROR(IF($N726="VCA",INDEX(APOIO_REDES!$A:$W,MATCH($C726&amp;$I726&amp;$H726&amp;$N726&amp;$O726,APOIO_REDES!$W:$W,0),MATCH(AX$5,APOIO_REDES!$5:$5,0)),0)*$AP726,0)</f>
        <v>1.91385486960761</v>
      </c>
      <c r="AY726" s="153" t="n">
        <f aca="false">IFERROR(IF($N726="VCA",INDEX(APOIO_REDES!$A:$W,MATCH($C726&amp;$I726&amp;$H726&amp;$N726&amp;$O726,APOIO_REDES!$W:$W,0),MATCH(AY$5,APOIO_REDES!$5:$5,0)),0)*$AP726,0)</f>
        <v>3.50094018602609</v>
      </c>
      <c r="AZ726" s="153" t="n">
        <f aca="false">IFERROR(IF($N726="VCA",INDEX(APOIO_REDES!$A:$W,MATCH($C726&amp;$I726&amp;$H726&amp;$N726&amp;$O726,APOIO_REDES!$W:$W,0),MATCH(AZ$5,APOIO_REDES!$5:$5,0)),0)*$AP726,0)</f>
        <v>0.484520004071783</v>
      </c>
      <c r="BA726" s="153" t="n">
        <f aca="false">IFERROR(IF(AND($N726="VCA",$Q726="LINEAR"),INDEX(APOIO_REDES!$A:$W,MATCH($C726&amp;$I726&amp;$H726&amp;$N726&amp;$O726,APOIO_REDES!$W:$W,0),MATCH(BA$5,APOIO_REDES!$5:$5,0)),IF(AND($N726="MND",$Q726="EMBOQUE"),INDEX(APOIO_REDES!$A:$W,MATCH($C726&amp;$I726&amp;$H726&amp;$N726&amp;$O726,APOIO_REDES!$W:$W,0),MATCH(BA$5,APOIO_REDES!$5:$5,0)),0))*$M726/10,0)</f>
        <v>1.8327866401642</v>
      </c>
      <c r="BB726" s="153" t="n">
        <f aca="false">IFERROR(IF($N726="VCA",INDEX(APOIO_REDES!$A:$W,MATCH($C726&amp;$I726&amp;$H726&amp;$N726&amp;$O726,APOIO_REDES!$W:$W,0),MATCH(BB$5,APOIO_REDES!$5:$5,0)),0)*($AI726+$AQ726+$AR726),0)</f>
        <v>6.76914257375691</v>
      </c>
      <c r="BC726" s="153" t="n">
        <f aca="false">IFERROR(IF($N726="VCA",INDEX(APOIO_REDES!$A:$W,MATCH($C726&amp;$I726&amp;$H726&amp;$N726&amp;$O726,APOIO_REDES!$W:$W,0),MATCH(BC$5,APOIO_REDES!$5:$5,0)),0)*($AI726+$AQ726+$AR726),0)</f>
        <v>0.0744604262430913</v>
      </c>
      <c r="BD726" s="153" t="n">
        <f aca="false">IF(AND($N726="VCA",$AF726&gt;=1.25,$AF726&lt;1.5),$M726*$AF726*2,0)</f>
        <v>61.98924</v>
      </c>
      <c r="BE726" s="153" t="n">
        <f aca="false">IF(AND($N726="VCA",$AF726&gt;=1.5,$AF726&lt;3),$M726*$AF726*2,0)</f>
        <v>0</v>
      </c>
      <c r="BF726" s="153" t="n">
        <f aca="false">IF(AND($N726="VCA",$AF726&gt;=3),$M726*$AF726*2,0)</f>
        <v>0</v>
      </c>
      <c r="BG726" s="153" t="n">
        <f aca="false">($BB726+$BC726)*$AK726</f>
        <v>12.3184854</v>
      </c>
      <c r="BH726" s="153" t="n">
        <f aca="false">IF(AND($M726&lt;&gt;"",$N726="VCA",$Q726="LINEAR"),($M726*2)/100,IF(AND($M726&lt;&gt;"",$N726="MND",$Q726="EMBOQUE"),($AN726*2)/100,0))</f>
        <v>0.4548</v>
      </c>
      <c r="BI726" s="153" t="n">
        <f aca="false">IF(AND($M726&lt;&gt;"",$N726="VCA",$Q726="LINEAR"),$M726,IF(AND($M726&lt;&gt;"",$N726="MND",$Q726="EMBOQUE"),$AN726*2,0))</f>
        <v>22.74</v>
      </c>
      <c r="BJ726" s="153" t="n">
        <f aca="false">IF(AND($M726&lt;&gt;"",$N726="VCA",$Q726="LINEAR"),($M726*6.8)/100,IF(AND($M726&lt;&gt;"",$N726="MND",$Q726="EMBOQUE"),($AN726*2*6.8)/100,0))</f>
        <v>1.54632</v>
      </c>
      <c r="BK726" s="153" t="n">
        <f aca="false">IF(AND($M726&lt;&gt;"",$N726="VCA",$Q726="LINEAR"),($M726*2.5)/50,IF(AND($M726&lt;&gt;"",$N726="MND",$Q726="EMBOQUE"),($AN726*2*2.5)/50,0))</f>
        <v>1.137</v>
      </c>
      <c r="BL726" s="157" t="str">
        <f aca="false">K726&amp;J726</f>
        <v>Zona07REDES</v>
      </c>
      <c r="BM726" s="152" t="s">
        <v>4225</v>
      </c>
      <c r="BN726" s="152" t="s">
        <v>1560</v>
      </c>
      <c r="BO726" s="152" t="s">
        <v>4097</v>
      </c>
      <c r="BP726" s="152" t="s">
        <v>4309</v>
      </c>
      <c r="BQ726" s="152" t="s">
        <v>4305</v>
      </c>
      <c r="BR726" s="152" t="s">
        <v>4310</v>
      </c>
      <c r="BS726" s="152" t="n">
        <v>204279.657</v>
      </c>
      <c r="BT726" s="152" t="n">
        <v>8236963.405</v>
      </c>
      <c r="BU726" s="152" t="n">
        <v>204284.713</v>
      </c>
      <c r="BV726" s="152" t="n">
        <v>8236984.418</v>
      </c>
      <c r="BW726" s="152" t="n">
        <v>-15.9288836</v>
      </c>
      <c r="BX726" s="152" t="n">
        <v>-47.762042</v>
      </c>
      <c r="BY726" s="152" t="s">
        <v>4309</v>
      </c>
    </row>
    <row r="727" customFormat="false" ht="13.8" hidden="false" customHeight="false" outlineLevel="0" collapsed="false">
      <c r="A727" s="149" t="n">
        <f aca="false">IF(C727&lt;&gt;"",ROW(A722),"")</f>
        <v>722</v>
      </c>
      <c r="B727" s="150" t="str">
        <f aca="false">HYPERLINK("https://www.google.com/maps/dir/-15.917302,-47.760003/-15.9287848,-47.7628114/data=!4m3!4m2!3e0!5i2")</f>
        <v>https://www.google.com/maps/dir/-15.917302,-47.760003/-15.9287848,-47.7628114/data=!4m3!4m2!3e0!5i2</v>
      </c>
      <c r="C727" s="151" t="s">
        <v>117</v>
      </c>
      <c r="D727" s="152" t="s">
        <v>112</v>
      </c>
      <c r="E727" s="152" t="s">
        <v>113</v>
      </c>
      <c r="F727" s="152" t="s">
        <v>117</v>
      </c>
      <c r="G727" s="152" t="s">
        <v>782</v>
      </c>
      <c r="H727" s="152" t="n">
        <v>63</v>
      </c>
      <c r="I727" s="152" t="s">
        <v>115</v>
      </c>
      <c r="J727" s="152" t="s">
        <v>6</v>
      </c>
      <c r="K727" s="152" t="s">
        <v>4221</v>
      </c>
      <c r="L727" s="152" t="s">
        <v>120</v>
      </c>
      <c r="M727" s="153" t="n">
        <f aca="false">82.48</f>
        <v>82.48</v>
      </c>
      <c r="N727" s="152" t="s">
        <v>1548</v>
      </c>
      <c r="O727" s="152" t="s">
        <v>1549</v>
      </c>
      <c r="P727" s="152" t="s">
        <v>1550</v>
      </c>
      <c r="Q727" s="152" t="s">
        <v>1551</v>
      </c>
      <c r="R727" s="154" t="s">
        <v>4311</v>
      </c>
      <c r="S727" s="154" t="s">
        <v>1553</v>
      </c>
      <c r="T727" s="155" t="s">
        <v>4095</v>
      </c>
      <c r="U727" s="152" t="str">
        <f aca="false">RIGHT(T727,7)</f>
        <v>016/037</v>
      </c>
      <c r="V727" s="152" t="s">
        <v>1555</v>
      </c>
      <c r="W727" s="156" t="n">
        <v>45882</v>
      </c>
      <c r="X727" s="152" t="s">
        <v>3938</v>
      </c>
      <c r="Y727" s="152"/>
      <c r="Z727" s="152" t="s">
        <v>1557</v>
      </c>
      <c r="AA727" s="153" t="n">
        <v>2.2</v>
      </c>
      <c r="AB727" s="151" t="s">
        <v>4312</v>
      </c>
      <c r="AC727" s="151" t="s">
        <v>186</v>
      </c>
      <c r="AD727" s="151" t="str">
        <f aca="false">CONCATENATE($C727,$I727,$H727,$N727,$J727,$K727)</f>
        <v>TUBO PEADPEAD63VCAREDESZona07</v>
      </c>
      <c r="AE727" s="153" t="n">
        <f aca="false">IFERROR(INDEX(APOIO_REDES!$A:$W,MATCH($C727&amp;$I727&amp;$H727&amp;$N727&amp;$O727,APOIO_REDES!$W:$W,0),MATCH(AE$5,APOIO_REDES!$5:$5,0)),0)</f>
        <v>1.2</v>
      </c>
      <c r="AF727" s="153" t="n">
        <f aca="false">IFERROR(INDEX(APOIO_REDES!$A:$W,MATCH($C727&amp;$I727&amp;$H727&amp;$N727&amp;$O727,APOIO_REDES!$W:$W,0),MATCH(AF$5,APOIO_REDES!$5:$5,0)),0)</f>
        <v>1.363</v>
      </c>
      <c r="AG727" s="153" t="n">
        <f aca="false">IFERROR(INDEX(APOIO_REDES!$A:$W,MATCH($C727&amp;$I727&amp;$H727&amp;$N727&amp;$O727,APOIO_REDES!$W:$W,0),MATCH(AG$5,APOIO_REDES!$5:$5,0)),0)</f>
        <v>0.65</v>
      </c>
      <c r="AH727" s="153" t="n">
        <f aca="false">IFERROR(INDEX(APOIO_REDES!$A:$W,MATCH($C727&amp;$I727&amp;$H727&amp;$N727&amp;$O727,APOIO_REDES!$W:$W,0),MATCH(AH$5,APOIO_REDES!$5:$5,0)),0)</f>
        <v>0.1</v>
      </c>
      <c r="AI727" s="153" t="n">
        <f aca="false">IFERROR(IF($H727&lt;&gt;"",(((($H727/1000)/2)^2)*PI()*$M727),0),0)</f>
        <v>0.257110393212059</v>
      </c>
      <c r="AJ727" s="153" t="n">
        <f aca="false">IFERROR(IF(AND($H727&lt;&gt;"",$I727="FoFo",OR($N727="MND",$N727="VCA"),$Q727="LINEAR"),0,IF(AND($H727&lt;&gt;"",$I727="PEAD",$N727="VCA",$Q727="LINEAR"),($H727/1000)+0.3,IF(AND($H727&lt;&gt;"",$I727="PEAD",$N727="MND",$Q727="EMBOQUE"),0,IF(AND($H727&lt;&gt;"",$I727="PVC",$N727="VCA",$Q727="LINEAR"),($H727/1000)+0.2,IF(AND($H727&lt;&gt;"",$I727="PVC",$N727="MND",$Q727="EMBOQUE"),0,IF(AND($H727&lt;&gt;"",$I727="PEAD",$N727="VCA",$Q727="PREDIAL"),0,0)))))),0)</f>
        <v>0.363</v>
      </c>
      <c r="AK727" s="153" t="n">
        <f aca="false">IF(AA727&lt;&gt;"",AA727,0)</f>
        <v>2.2</v>
      </c>
      <c r="AL727" s="153" t="n">
        <f aca="false">IF(AND($N727="MND",$Q727="EMBOQUE"),$M727,IF(AND($N727="VCA",$Q727="LINEAR"),$M727,IF(AND($N727="VCA",$Q727="PREDIAL"),0,0)))</f>
        <v>82.48</v>
      </c>
      <c r="AM727" s="153" t="n">
        <f aca="false">IF(AND($N727="MND",$Q727="EMBOQUE"),$M727,IF(AND($N727="VCA",$Q727="LINEAR"),$M727,IF(AND($N727="VCA",$Q727="PREDIAL"),0,0)))</f>
        <v>82.48</v>
      </c>
      <c r="AN727" s="153" t="n">
        <f aca="false">ROUND(IF(AND($N727="VCA",$M727&lt;&gt;"",$Q727="LINEAR"),$M727/100,IF(AND($N727="MND",$M727&gt;100,$Q727="EMBOQUE"),$M727/100,0)),0)</f>
        <v>1</v>
      </c>
      <c r="AO727" s="153" t="n">
        <f aca="false">IF(AND($N727="MND",$Q727="EMBOQUE"),$AN727*2*2,IF(AND($N727="VCA",$Q727="LINEAR"),$M727*2,IF(AND($N727="VCA",$Q727="PREDIAL"),0,0)))</f>
        <v>164.96</v>
      </c>
      <c r="AP727" s="153" t="n">
        <f aca="false">IFERROR($M727*$AF727*$AG727,0)</f>
        <v>73.073156</v>
      </c>
      <c r="AQ727" s="153" t="n">
        <f aca="false">IFERROR(IF(AND($N727="VCA",$AH727&gt;0),$M727*$AG727*$AH727,0),0)</f>
        <v>5.3612</v>
      </c>
      <c r="AR727" s="153" t="n">
        <f aca="false">IFERROR(IF(AND($N727="VCA",$AJ727&gt;0),($M727*$AG727*$AJ727)-$AI727,0),0)</f>
        <v>19.2040456067879</v>
      </c>
      <c r="AS727" s="153" t="n">
        <f aca="false">IFERROR(IF(AND($N727="VCA",$AP727&gt;0),$AP727-$AI727-$AQ727-$AR727,0),0)</f>
        <v>48.2508</v>
      </c>
      <c r="AT727" s="153" t="n">
        <f aca="false">IFERROR(IF($N727="VCA",INDEX(APOIO_REDES!$A:$W,MATCH($C727&amp;$I727&amp;$H727&amp;$N727&amp;$O727,APOIO_REDES!$W:$W,0),MATCH(AT$5,APOIO_REDES!$5:$5,0)),0)*$AP727,0)</f>
        <v>0.795057565830149</v>
      </c>
      <c r="AU727" s="153" t="n">
        <f aca="false">IFERROR(IF($N727="VCA",INDEX(APOIO_REDES!$A:$W,MATCH($C727&amp;$I727&amp;$H727&amp;$N727&amp;$O727,APOIO_REDES!$W:$W,0),MATCH(AU$5,APOIO_REDES!$5:$5,0)),0)*$AP727,0)</f>
        <v>0.634911439182263</v>
      </c>
      <c r="AV727" s="153" t="n">
        <f aca="false">IFERROR(IF($N727="VCA",INDEX(APOIO_REDES!$A:$W,MATCH($C727&amp;$I727&amp;$H727&amp;$N727&amp;$O727,APOIO_REDES!$W:$W,0),MATCH(AV$5,APOIO_REDES!$5:$5,0)),0)*$AP727,0)</f>
        <v>0.0878667589326047</v>
      </c>
      <c r="AW727" s="153" t="n">
        <f aca="false">IFERROR(IF($N727="VCA",INDEX(APOIO_REDES!$A:$W,MATCH($C727&amp;$I727&amp;$H727&amp;$N727&amp;$O727,APOIO_REDES!$W:$W,0),MATCH(AW$5,APOIO_REDES!$5:$5,0)),0)*$AP727,0)</f>
        <v>50.1579804768418</v>
      </c>
      <c r="AX727" s="153" t="n">
        <f aca="false">IFERROR(IF($N727="VCA",INDEX(APOIO_REDES!$A:$W,MATCH($C727&amp;$I727&amp;$H727&amp;$N727&amp;$O727,APOIO_REDES!$W:$W,0),MATCH(AX$5,APOIO_REDES!$5:$5,0)),0)*$AP727,0)</f>
        <v>6.941721620283</v>
      </c>
      <c r="AY727" s="153" t="n">
        <f aca="false">IFERROR(IF($N727="VCA",INDEX(APOIO_REDES!$A:$W,MATCH($C727&amp;$I727&amp;$H727&amp;$N727&amp;$O727,APOIO_REDES!$W:$W,0),MATCH(AY$5,APOIO_REDES!$5:$5,0)),0)*$AP727,0)</f>
        <v>12.6982210441263</v>
      </c>
      <c r="AZ727" s="153" t="n">
        <f aca="false">IFERROR(IF($N727="VCA",INDEX(APOIO_REDES!$A:$W,MATCH($C727&amp;$I727&amp;$H727&amp;$N727&amp;$O727,APOIO_REDES!$W:$W,0),MATCH(AZ$5,APOIO_REDES!$5:$5,0)),0)*$AP727,0)</f>
        <v>1.7573970948039</v>
      </c>
      <c r="BA727" s="153" t="n">
        <f aca="false">IFERROR(IF(AND($N727="VCA",$Q727="LINEAR"),INDEX(APOIO_REDES!$A:$W,MATCH($C727&amp;$I727&amp;$H727&amp;$N727&amp;$O727,APOIO_REDES!$W:$W,0),MATCH(BA$5,APOIO_REDES!$5:$5,0)),IF(AND($N727="MND",$Q727="EMBOQUE"),INDEX(APOIO_REDES!$A:$W,MATCH($C727&amp;$I727&amp;$H727&amp;$N727&amp;$O727,APOIO_REDES!$W:$W,0),MATCH(BA$5,APOIO_REDES!$5:$5,0)),0))*$M727/10,0)</f>
        <v>6.64767995078028</v>
      </c>
      <c r="BB727" s="153" t="n">
        <f aca="false">IFERROR(IF($N727="VCA",INDEX(APOIO_REDES!$A:$W,MATCH($C727&amp;$I727&amp;$H727&amp;$N727&amp;$O727,APOIO_REDES!$W:$W,0),MATCH(BB$5,APOIO_REDES!$5:$5,0)),0)*($AI727+$AQ727+$AR727),0)</f>
        <v>24.5522814196777</v>
      </c>
      <c r="BC727" s="153" t="n">
        <f aca="false">IFERROR(IF($N727="VCA",INDEX(APOIO_REDES!$A:$W,MATCH($C727&amp;$I727&amp;$H727&amp;$N727&amp;$O727,APOIO_REDES!$W:$W,0),MATCH(BC$5,APOIO_REDES!$5:$5,0)),0)*($AI727+$AQ727+$AR727),0)</f>
        <v>0.270074580322347</v>
      </c>
      <c r="BD727" s="153" t="n">
        <f aca="false">IF(AND($N727="VCA",$AF727&gt;=1.25,$AF727&lt;1.5),$M727*$AF727*2,0)</f>
        <v>224.84048</v>
      </c>
      <c r="BE727" s="153" t="n">
        <f aca="false">IF(AND($N727="VCA",$AF727&gt;=1.5,$AF727&lt;3),$M727*$AF727*2,0)</f>
        <v>0</v>
      </c>
      <c r="BF727" s="153" t="n">
        <f aca="false">IF(AND($N727="VCA",$AF727&gt;=3),$M727*$AF727*2,0)</f>
        <v>0</v>
      </c>
      <c r="BG727" s="153" t="n">
        <f aca="false">($BB727+$BC727)*$AK727</f>
        <v>54.6091832</v>
      </c>
      <c r="BH727" s="153" t="n">
        <f aca="false">IF(AND($M727&lt;&gt;"",$N727="VCA",$Q727="LINEAR"),($M727*2)/100,IF(AND($M727&lt;&gt;"",$N727="MND",$Q727="EMBOQUE"),($AN727*2)/100,0))</f>
        <v>1.6496</v>
      </c>
      <c r="BI727" s="153" t="n">
        <f aca="false">IF(AND($M727&lt;&gt;"",$N727="VCA",$Q727="LINEAR"),$M727,IF(AND($M727&lt;&gt;"",$N727="MND",$Q727="EMBOQUE"),$AN727*2,0))</f>
        <v>82.48</v>
      </c>
      <c r="BJ727" s="153" t="n">
        <f aca="false">IF(AND($M727&lt;&gt;"",$N727="VCA",$Q727="LINEAR"),($M727*6.8)/100,IF(AND($M727&lt;&gt;"",$N727="MND",$Q727="EMBOQUE"),($AN727*2*6.8)/100,0))</f>
        <v>5.60864</v>
      </c>
      <c r="BK727" s="153" t="n">
        <f aca="false">IF(AND($M727&lt;&gt;"",$N727="VCA",$Q727="LINEAR"),($M727*2.5)/50,IF(AND($M727&lt;&gt;"",$N727="MND",$Q727="EMBOQUE"),($AN727*2*2.5)/50,0))</f>
        <v>4.124</v>
      </c>
      <c r="BL727" s="157" t="str">
        <f aca="false">K727&amp;J727</f>
        <v>Zona07REDES</v>
      </c>
      <c r="BM727" s="152" t="s">
        <v>4225</v>
      </c>
      <c r="BN727" s="152" t="s">
        <v>1560</v>
      </c>
      <c r="BO727" s="152" t="s">
        <v>4097</v>
      </c>
      <c r="BP727" s="152" t="s">
        <v>4296</v>
      </c>
      <c r="BQ727" s="152" t="s">
        <v>4309</v>
      </c>
      <c r="BR727" s="152" t="s">
        <v>4302</v>
      </c>
      <c r="BS727" s="152" t="n">
        <v>204199.954</v>
      </c>
      <c r="BT727" s="152" t="n">
        <v>8236983.675</v>
      </c>
      <c r="BU727" s="152" t="n">
        <v>204279.657</v>
      </c>
      <c r="BV727" s="152" t="n">
        <v>8236963.405</v>
      </c>
      <c r="BW727" s="152" t="n">
        <v>-15.9288977</v>
      </c>
      <c r="BX727" s="152" t="n">
        <v>-47.7624448</v>
      </c>
      <c r="BY727" s="152" t="s">
        <v>4296</v>
      </c>
    </row>
    <row r="728" customFormat="false" ht="13.8" hidden="false" customHeight="false" outlineLevel="0" collapsed="false">
      <c r="A728" s="149" t="n">
        <f aca="false">IF(C728&lt;&gt;"",ROW(A723),"")</f>
        <v>723</v>
      </c>
      <c r="B728" s="150" t="str">
        <f aca="false">HYPERLINK("https://www.google.com/maps/dir/-15.917302,-47.760003/-15.9289773,-47.7620701/data=!4m3!4m2!3e0!5i0")</f>
        <v>https://www.google.com/maps/dir/-15.917302,-47.760003/-15.9289773,-47.7620701/data=!4m3!4m2!3e0!5i0</v>
      </c>
      <c r="C728" s="151" t="s">
        <v>117</v>
      </c>
      <c r="D728" s="152" t="s">
        <v>112</v>
      </c>
      <c r="E728" s="152" t="s">
        <v>113</v>
      </c>
      <c r="F728" s="152" t="s">
        <v>117</v>
      </c>
      <c r="G728" s="152" t="s">
        <v>782</v>
      </c>
      <c r="H728" s="152" t="n">
        <v>63</v>
      </c>
      <c r="I728" s="152" t="s">
        <v>115</v>
      </c>
      <c r="J728" s="152" t="s">
        <v>6</v>
      </c>
      <c r="K728" s="152" t="s">
        <v>4221</v>
      </c>
      <c r="L728" s="152" t="s">
        <v>120</v>
      </c>
      <c r="M728" s="153" t="n">
        <f aca="false">49.77</f>
        <v>49.77</v>
      </c>
      <c r="N728" s="152" t="s">
        <v>1548</v>
      </c>
      <c r="O728" s="152" t="s">
        <v>1549</v>
      </c>
      <c r="P728" s="152" t="s">
        <v>1550</v>
      </c>
      <c r="Q728" s="152" t="s">
        <v>1551</v>
      </c>
      <c r="R728" s="154" t="s">
        <v>4313</v>
      </c>
      <c r="S728" s="154" t="s">
        <v>1553</v>
      </c>
      <c r="T728" s="155" t="s">
        <v>4095</v>
      </c>
      <c r="U728" s="152" t="str">
        <f aca="false">RIGHT(T728,7)</f>
        <v>016/037</v>
      </c>
      <c r="V728" s="152" t="s">
        <v>1555</v>
      </c>
      <c r="W728" s="156" t="n">
        <v>45882</v>
      </c>
      <c r="X728" s="152" t="s">
        <v>1594</v>
      </c>
      <c r="Y728" s="152" t="s">
        <v>2630</v>
      </c>
      <c r="Z728" s="152" t="s">
        <v>1557</v>
      </c>
      <c r="AA728" s="153" t="n">
        <v>1.8</v>
      </c>
      <c r="AB728" s="151" t="s">
        <v>4314</v>
      </c>
      <c r="AC728" s="151" t="s">
        <v>186</v>
      </c>
      <c r="AD728" s="151" t="str">
        <f aca="false">CONCATENATE($C728,$I728,$H728,$N728,$J728,$K728)</f>
        <v>TUBO PEADPEAD63VCAREDESZona07</v>
      </c>
      <c r="AE728" s="153" t="n">
        <f aca="false">IFERROR(INDEX(APOIO_REDES!$A:$W,MATCH($C728&amp;$I728&amp;$H728&amp;$N728&amp;$O728,APOIO_REDES!$W:$W,0),MATCH(AE$5,APOIO_REDES!$5:$5,0)),0)</f>
        <v>1.2</v>
      </c>
      <c r="AF728" s="153" t="n">
        <f aca="false">IFERROR(INDEX(APOIO_REDES!$A:$W,MATCH($C728&amp;$I728&amp;$H728&amp;$N728&amp;$O728,APOIO_REDES!$W:$W,0),MATCH(AF$5,APOIO_REDES!$5:$5,0)),0)</f>
        <v>1.363</v>
      </c>
      <c r="AG728" s="153" t="n">
        <f aca="false">IFERROR(INDEX(APOIO_REDES!$A:$W,MATCH($C728&amp;$I728&amp;$H728&amp;$N728&amp;$O728,APOIO_REDES!$W:$W,0),MATCH(AG$5,APOIO_REDES!$5:$5,0)),0)</f>
        <v>0.65</v>
      </c>
      <c r="AH728" s="153" t="n">
        <f aca="false">IFERROR(INDEX(APOIO_REDES!$A:$W,MATCH($C728&amp;$I728&amp;$H728&amp;$N728&amp;$O728,APOIO_REDES!$W:$W,0),MATCH(AH$5,APOIO_REDES!$5:$5,0)),0)</f>
        <v>0.1</v>
      </c>
      <c r="AI728" s="153" t="n">
        <f aca="false">IFERROR(IF($H728&lt;&gt;"",(((($H728/1000)/2)^2)*PI()*$M728),0),0)</f>
        <v>0.155145299104803</v>
      </c>
      <c r="AJ728" s="153" t="n">
        <f aca="false">IFERROR(IF(AND($H728&lt;&gt;"",$I728="FoFo",OR($N728="MND",$N728="VCA"),$Q728="LINEAR"),0,IF(AND($H728&lt;&gt;"",$I728="PEAD",$N728="VCA",$Q728="LINEAR"),($H728/1000)+0.3,IF(AND($H728&lt;&gt;"",$I728="PEAD",$N728="MND",$Q728="EMBOQUE"),0,IF(AND($H728&lt;&gt;"",$I728="PVC",$N728="VCA",$Q728="LINEAR"),($H728/1000)+0.2,IF(AND($H728&lt;&gt;"",$I728="PVC",$N728="MND",$Q728="EMBOQUE"),0,IF(AND($H728&lt;&gt;"",$I728="PEAD",$N728="VCA",$Q728="PREDIAL"),0,0)))))),0)</f>
        <v>0.363</v>
      </c>
      <c r="AK728" s="153" t="n">
        <f aca="false">IF(AA728&lt;&gt;"",AA728,0)</f>
        <v>1.8</v>
      </c>
      <c r="AL728" s="153" t="n">
        <f aca="false">IF(AND($N728="MND",$Q728="EMBOQUE"),$M728,IF(AND($N728="VCA",$Q728="LINEAR"),$M728,IF(AND($N728="VCA",$Q728="PREDIAL"),0,0)))</f>
        <v>49.77</v>
      </c>
      <c r="AM728" s="153" t="n">
        <f aca="false">IF(AND($N728="MND",$Q728="EMBOQUE"),$M728,IF(AND($N728="VCA",$Q728="LINEAR"),$M728,IF(AND($N728="VCA",$Q728="PREDIAL"),0,0)))</f>
        <v>49.77</v>
      </c>
      <c r="AN728" s="153" t="n">
        <f aca="false">ROUND(IF(AND($N728="VCA",$M728&lt;&gt;"",$Q728="LINEAR"),$M728/100,IF(AND($N728="MND",$M728&gt;100,$Q728="EMBOQUE"),$M728/100,0)),0)</f>
        <v>0</v>
      </c>
      <c r="AO728" s="153" t="n">
        <f aca="false">IF(AND($N728="MND",$Q728="EMBOQUE"),$AN728*2*2,IF(AND($N728="VCA",$Q728="LINEAR"),$M728*2,IF(AND($N728="VCA",$Q728="PREDIAL"),0,0)))</f>
        <v>99.54</v>
      </c>
      <c r="AP728" s="153" t="n">
        <f aca="false">IFERROR($M728*$AF728*$AG728,0)</f>
        <v>44.0937315</v>
      </c>
      <c r="AQ728" s="153" t="n">
        <f aca="false">IFERROR(IF(AND($N728="VCA",$AH728&gt;0),$M728*$AG728*$AH728,0),0)</f>
        <v>3.23505</v>
      </c>
      <c r="AR728" s="153" t="n">
        <f aca="false">IFERROR(IF(AND($N728="VCA",$AJ728&gt;0),($M728*$AG728*$AJ728)-$AI728,0),0)</f>
        <v>11.5880862008952</v>
      </c>
      <c r="AS728" s="153" t="n">
        <f aca="false">IFERROR(IF(AND($N728="VCA",$AP728&gt;0),$AP728-$AI728-$AQ728-$AR728,0),0)</f>
        <v>29.11545</v>
      </c>
      <c r="AT728" s="153" t="n">
        <f aca="false">IFERROR(IF($N728="VCA",INDEX(APOIO_REDES!$A:$W,MATCH($C728&amp;$I728&amp;$H728&amp;$N728&amp;$O728,APOIO_REDES!$W:$W,0),MATCH(AT$5,APOIO_REDES!$5:$5,0)),0)*$AP728,0)</f>
        <v>0.479752849798333</v>
      </c>
      <c r="AU728" s="153" t="n">
        <f aca="false">IFERROR(IF($N728="VCA",INDEX(APOIO_REDES!$A:$W,MATCH($C728&amp;$I728&amp;$H728&amp;$N728&amp;$O728,APOIO_REDES!$W:$W,0),MATCH(AU$5,APOIO_REDES!$5:$5,0)),0)*$AP728,0)</f>
        <v>0.383117632493953</v>
      </c>
      <c r="AV728" s="153" t="n">
        <f aca="false">IFERROR(IF($N728="VCA",INDEX(APOIO_REDES!$A:$W,MATCH($C728&amp;$I728&amp;$H728&amp;$N728&amp;$O728,APOIO_REDES!$W:$W,0),MATCH(AV$5,APOIO_REDES!$5:$5,0)),0)*$AP728,0)</f>
        <v>0.0530204727458261</v>
      </c>
      <c r="AW728" s="153" t="n">
        <f aca="false">IFERROR(IF($N728="VCA",INDEX(APOIO_REDES!$A:$W,MATCH($C728&amp;$I728&amp;$H728&amp;$N728&amp;$O728,APOIO_REDES!$W:$W,0),MATCH(AW$5,APOIO_REDES!$5:$5,0)),0)*$AP728,0)</f>
        <v>30.2662789565036</v>
      </c>
      <c r="AX728" s="153" t="n">
        <f aca="false">IFERROR(IF($N728="VCA",INDEX(APOIO_REDES!$A:$W,MATCH($C728&amp;$I728&amp;$H728&amp;$N728&amp;$O728,APOIO_REDES!$W:$W,0),MATCH(AX$5,APOIO_REDES!$5:$5,0)),0)*$AP728,0)</f>
        <v>4.18876679245253</v>
      </c>
      <c r="AY728" s="153" t="n">
        <f aca="false">IFERROR(IF($N728="VCA",INDEX(APOIO_REDES!$A:$W,MATCH($C728&amp;$I728&amp;$H728&amp;$N728&amp;$O728,APOIO_REDES!$W:$W,0),MATCH(AY$5,APOIO_REDES!$5:$5,0)),0)*$AP728,0)</f>
        <v>7.66234797970617</v>
      </c>
      <c r="AZ728" s="153" t="n">
        <f aca="false">IFERROR(IF($N728="VCA",INDEX(APOIO_REDES!$A:$W,MATCH($C728&amp;$I728&amp;$H728&amp;$N728&amp;$O728,APOIO_REDES!$W:$W,0),MATCH(AZ$5,APOIO_REDES!$5:$5,0)),0)*$AP728,0)</f>
        <v>1.06044681629959</v>
      </c>
      <c r="BA728" s="153" t="n">
        <f aca="false">IFERROR(IF(AND($N728="VCA",$Q728="LINEAR"),INDEX(APOIO_REDES!$A:$W,MATCH($C728&amp;$I728&amp;$H728&amp;$N728&amp;$O728,APOIO_REDES!$W:$W,0),MATCH(BA$5,APOIO_REDES!$5:$5,0)),IF(AND($N728="MND",$Q728="EMBOQUE"),INDEX(APOIO_REDES!$A:$W,MATCH($C728&amp;$I728&amp;$H728&amp;$N728&amp;$O728,APOIO_REDES!$W:$W,0),MATCH(BA$5,APOIO_REDES!$5:$5,0)),0))*$M728/10,0)</f>
        <v>4.01133645914567</v>
      </c>
      <c r="BB728" s="153" t="n">
        <f aca="false">IFERROR(IF($N728="VCA",INDEX(APOIO_REDES!$A:$W,MATCH($C728&amp;$I728&amp;$H728&amp;$N728&amp;$O728,APOIO_REDES!$W:$W,0),MATCH(BB$5,APOIO_REDES!$5:$5,0)),0)*($AI728+$AQ728+$AR728),0)</f>
        <v>14.815313363935</v>
      </c>
      <c r="BC728" s="153" t="n">
        <f aca="false">IFERROR(IF($N728="VCA",INDEX(APOIO_REDES!$A:$W,MATCH($C728&amp;$I728&amp;$H728&amp;$N728&amp;$O728,APOIO_REDES!$W:$W,0),MATCH(BC$5,APOIO_REDES!$5:$5,0)),0)*($AI728+$AQ728+$AR728),0)</f>
        <v>0.162968136065024</v>
      </c>
      <c r="BD728" s="153" t="n">
        <f aca="false">IF(AND($N728="VCA",$AF728&gt;=1.25,$AF728&lt;1.5),$M728*$AF728*2,0)</f>
        <v>135.67302</v>
      </c>
      <c r="BE728" s="153" t="n">
        <f aca="false">IF(AND($N728="VCA",$AF728&gt;=1.5,$AF728&lt;3),$M728*$AF728*2,0)</f>
        <v>0</v>
      </c>
      <c r="BF728" s="153" t="n">
        <f aca="false">IF(AND($N728="VCA",$AF728&gt;=3),$M728*$AF728*2,0)</f>
        <v>0</v>
      </c>
      <c r="BG728" s="153" t="n">
        <f aca="false">($BB728+$BC728)*$AK728</f>
        <v>26.9609067</v>
      </c>
      <c r="BH728" s="153" t="n">
        <f aca="false">IF(AND($M728&lt;&gt;"",$N728="VCA",$Q728="LINEAR"),($M728*2)/100,IF(AND($M728&lt;&gt;"",$N728="MND",$Q728="EMBOQUE"),($AN728*2)/100,0))</f>
        <v>0.9954</v>
      </c>
      <c r="BI728" s="153" t="n">
        <f aca="false">IF(AND($M728&lt;&gt;"",$N728="VCA",$Q728="LINEAR"),$M728,IF(AND($M728&lt;&gt;"",$N728="MND",$Q728="EMBOQUE"),$AN728*2,0))</f>
        <v>49.77</v>
      </c>
      <c r="BJ728" s="153" t="n">
        <f aca="false">IF(AND($M728&lt;&gt;"",$N728="VCA",$Q728="LINEAR"),($M728*6.8)/100,IF(AND($M728&lt;&gt;"",$N728="MND",$Q728="EMBOQUE"),($AN728*2*6.8)/100,0))</f>
        <v>3.38436</v>
      </c>
      <c r="BK728" s="153" t="n">
        <f aca="false">IF(AND($M728&lt;&gt;"",$N728="VCA",$Q728="LINEAR"),($M728*2.5)/50,IF(AND($M728&lt;&gt;"",$N728="MND",$Q728="EMBOQUE"),($AN728*2*2.5)/50,0))</f>
        <v>2.4885</v>
      </c>
      <c r="BL728" s="157" t="str">
        <f aca="false">K728&amp;J728</f>
        <v>Zona07REDES</v>
      </c>
      <c r="BM728" s="152" t="s">
        <v>4225</v>
      </c>
      <c r="BN728" s="152" t="s">
        <v>1560</v>
      </c>
      <c r="BO728" s="152" t="s">
        <v>4097</v>
      </c>
      <c r="BP728" s="152" t="s">
        <v>4309</v>
      </c>
      <c r="BQ728" s="152" t="s">
        <v>4315</v>
      </c>
      <c r="BR728" s="152" t="s">
        <v>4316</v>
      </c>
      <c r="BS728" s="152" t="n">
        <v>204279.657</v>
      </c>
      <c r="BT728" s="152" t="n">
        <v>8236963.405</v>
      </c>
      <c r="BU728" s="152" t="n">
        <v>204264.807</v>
      </c>
      <c r="BV728" s="152" t="n">
        <v>8236916.354</v>
      </c>
      <c r="BW728" s="152" t="n">
        <v>-15.9291839</v>
      </c>
      <c r="BX728" s="152" t="n">
        <v>-47.7621525</v>
      </c>
      <c r="BY728" s="152" t="s">
        <v>4309</v>
      </c>
    </row>
    <row r="729" customFormat="false" ht="13.8" hidden="false" customHeight="false" outlineLevel="0" collapsed="false">
      <c r="A729" s="149" t="n">
        <f aca="false">IF(C729&lt;&gt;"",ROW(A724),"")</f>
        <v>724</v>
      </c>
      <c r="B729" s="150" t="str">
        <f aca="false">HYPERLINK("https://www.google.com/maps/dir/-15.917302,-47.760003/-15.9290469,-47.7634781/data=!4m3!4m2!3e0!5i0")</f>
        <v>https://www.google.com/maps/dir/-15.917302,-47.760003/-15.9290469,-47.7634781/data=!4m3!4m2!3e0!5i0</v>
      </c>
      <c r="C729" s="151" t="s">
        <v>117</v>
      </c>
      <c r="D729" s="152" t="s">
        <v>112</v>
      </c>
      <c r="E729" s="152" t="s">
        <v>113</v>
      </c>
      <c r="F729" s="152" t="s">
        <v>117</v>
      </c>
      <c r="G729" s="152" t="s">
        <v>782</v>
      </c>
      <c r="H729" s="152" t="n">
        <v>63</v>
      </c>
      <c r="I729" s="152" t="s">
        <v>115</v>
      </c>
      <c r="J729" s="152" t="s">
        <v>6</v>
      </c>
      <c r="K729" s="152" t="s">
        <v>4221</v>
      </c>
      <c r="L729" s="152" t="s">
        <v>120</v>
      </c>
      <c r="M729" s="153" t="n">
        <f aca="false">141.02+4</f>
        <v>145.02</v>
      </c>
      <c r="N729" s="152" t="s">
        <v>1548</v>
      </c>
      <c r="O729" s="152" t="s">
        <v>1549</v>
      </c>
      <c r="P729" s="152" t="s">
        <v>1550</v>
      </c>
      <c r="Q729" s="152" t="s">
        <v>1551</v>
      </c>
      <c r="R729" s="154" t="s">
        <v>4317</v>
      </c>
      <c r="S729" s="154" t="s">
        <v>1553</v>
      </c>
      <c r="T729" s="155" t="s">
        <v>4095</v>
      </c>
      <c r="U729" s="152" t="str">
        <f aca="false">RIGHT(T729,7)</f>
        <v>016/037</v>
      </c>
      <c r="V729" s="152" t="s">
        <v>1555</v>
      </c>
      <c r="W729" s="156" t="n">
        <v>45882</v>
      </c>
      <c r="X729" s="152" t="s">
        <v>3938</v>
      </c>
      <c r="Y729" s="152" t="s">
        <v>2630</v>
      </c>
      <c r="Z729" s="152" t="s">
        <v>1557</v>
      </c>
      <c r="AA729" s="153" t="n">
        <v>1.9</v>
      </c>
      <c r="AB729" s="151" t="s">
        <v>4318</v>
      </c>
      <c r="AC729" s="151" t="s">
        <v>186</v>
      </c>
      <c r="AD729" s="151" t="str">
        <f aca="false">CONCATENATE($C729,$I729,$H729,$N729,$J729,$K729)</f>
        <v>TUBO PEADPEAD63VCAREDESZona07</v>
      </c>
      <c r="AE729" s="153" t="n">
        <f aca="false">IFERROR(INDEX(APOIO_REDES!$A:$W,MATCH($C729&amp;$I729&amp;$H729&amp;$N729&amp;$O729,APOIO_REDES!$W:$W,0),MATCH(AE$5,APOIO_REDES!$5:$5,0)),0)</f>
        <v>1.2</v>
      </c>
      <c r="AF729" s="153" t="n">
        <f aca="false">IFERROR(INDEX(APOIO_REDES!$A:$W,MATCH($C729&amp;$I729&amp;$H729&amp;$N729&amp;$O729,APOIO_REDES!$W:$W,0),MATCH(AF$5,APOIO_REDES!$5:$5,0)),0)</f>
        <v>1.363</v>
      </c>
      <c r="AG729" s="153" t="n">
        <f aca="false">IFERROR(INDEX(APOIO_REDES!$A:$W,MATCH($C729&amp;$I729&amp;$H729&amp;$N729&amp;$O729,APOIO_REDES!$W:$W,0),MATCH(AG$5,APOIO_REDES!$5:$5,0)),0)</f>
        <v>0.65</v>
      </c>
      <c r="AH729" s="153" t="n">
        <f aca="false">IFERROR(INDEX(APOIO_REDES!$A:$W,MATCH($C729&amp;$I729&amp;$H729&amp;$N729&amp;$O729,APOIO_REDES!$W:$W,0),MATCH(AH$5,APOIO_REDES!$5:$5,0)),0)</f>
        <v>0.1</v>
      </c>
      <c r="AI729" s="153" t="n">
        <f aca="false">IFERROR(IF($H729&lt;&gt;"",(((($H729/1000)/2)^2)*PI()*$M729),0),0)</f>
        <v>0.452062914932259</v>
      </c>
      <c r="AJ729" s="153" t="n">
        <f aca="false">IFERROR(IF(AND($H729&lt;&gt;"",$I729="FoFo",OR($N729="MND",$N729="VCA"),$Q729="LINEAR"),0,IF(AND($H729&lt;&gt;"",$I729="PEAD",$N729="VCA",$Q729="LINEAR"),($H729/1000)+0.3,IF(AND($H729&lt;&gt;"",$I729="PEAD",$N729="MND",$Q729="EMBOQUE"),0,IF(AND($H729&lt;&gt;"",$I729="PVC",$N729="VCA",$Q729="LINEAR"),($H729/1000)+0.2,IF(AND($H729&lt;&gt;"",$I729="PVC",$N729="MND",$Q729="EMBOQUE"),0,IF(AND($H729&lt;&gt;"",$I729="PEAD",$N729="VCA",$Q729="PREDIAL"),0,0)))))),0)</f>
        <v>0.363</v>
      </c>
      <c r="AK729" s="153" t="n">
        <f aca="false">IF(AA729&lt;&gt;"",AA729,0)</f>
        <v>1.9</v>
      </c>
      <c r="AL729" s="153" t="n">
        <f aca="false">IF(AND($N729="MND",$Q729="EMBOQUE"),$M729,IF(AND($N729="VCA",$Q729="LINEAR"),$M729,IF(AND($N729="VCA",$Q729="PREDIAL"),0,0)))</f>
        <v>145.02</v>
      </c>
      <c r="AM729" s="153" t="n">
        <f aca="false">IF(AND($N729="MND",$Q729="EMBOQUE"),$M729,IF(AND($N729="VCA",$Q729="LINEAR"),$M729,IF(AND($N729="VCA",$Q729="PREDIAL"),0,0)))</f>
        <v>145.02</v>
      </c>
      <c r="AN729" s="153" t="n">
        <f aca="false">ROUND(IF(AND($N729="VCA",$M729&lt;&gt;"",$Q729="LINEAR"),$M729/100,IF(AND($N729="MND",$M729&gt;100,$Q729="EMBOQUE"),$M729/100,0)),0)</f>
        <v>1</v>
      </c>
      <c r="AO729" s="153" t="n">
        <f aca="false">IF(AND($N729="MND",$Q729="EMBOQUE"),$AN729*2*2,IF(AND($N729="VCA",$Q729="LINEAR"),$M729*2,IF(AND($N729="VCA",$Q729="PREDIAL"),0,0)))</f>
        <v>290.04</v>
      </c>
      <c r="AP729" s="153" t="n">
        <f aca="false">IFERROR($M729*$AF729*$AG729,0)</f>
        <v>128.480469</v>
      </c>
      <c r="AQ729" s="153" t="n">
        <f aca="false">IFERROR(IF(AND($N729="VCA",$AH729&gt;0),$M729*$AG729*$AH729,0),0)</f>
        <v>9.4263</v>
      </c>
      <c r="AR729" s="153" t="n">
        <f aca="false">IFERROR(IF(AND($N729="VCA",$AJ729&gt;0),($M729*$AG729*$AJ729)-$AI729,0),0)</f>
        <v>33.7654060850677</v>
      </c>
      <c r="AS729" s="153" t="n">
        <f aca="false">IFERROR(IF(AND($N729="VCA",$AP729&gt;0),$AP729-$AI729-$AQ729-$AR729,0),0)</f>
        <v>84.8367</v>
      </c>
      <c r="AT729" s="153" t="n">
        <f aca="false">IFERROR(IF($N729="VCA",INDEX(APOIO_REDES!$A:$W,MATCH($C729&amp;$I729&amp;$H729&amp;$N729&amp;$O729,APOIO_REDES!$W:$W,0),MATCH(AT$5,APOIO_REDES!$5:$5,0)),0)*$AP729,0)</f>
        <v>1.39790553099768</v>
      </c>
      <c r="AU729" s="153" t="n">
        <f aca="false">IFERROR(IF($N729="VCA",INDEX(APOIO_REDES!$A:$W,MATCH($C729&amp;$I729&amp;$H729&amp;$N729&amp;$O729,APOIO_REDES!$W:$W,0),MATCH(AU$5,APOIO_REDES!$5:$5,0)),0)*$AP729,0)</f>
        <v>1.11632949697153</v>
      </c>
      <c r="AV729" s="153" t="n">
        <f aca="false">IFERROR(IF($N729="VCA",INDEX(APOIO_REDES!$A:$W,MATCH($C729&amp;$I729&amp;$H729&amp;$N729&amp;$O729,APOIO_REDES!$W:$W,0),MATCH(AV$5,APOIO_REDES!$5:$5,0)),0)*$AP729,0)</f>
        <v>0.154491238850707</v>
      </c>
      <c r="AW729" s="153" t="n">
        <f aca="false">IFERROR(IF($N729="VCA",INDEX(APOIO_REDES!$A:$W,MATCH($C729&amp;$I729&amp;$H729&amp;$N729&amp;$O729,APOIO_REDES!$W:$W,0),MATCH(AW$5,APOIO_REDES!$5:$5,0)),0)*$AP729,0)</f>
        <v>88.1899894368526</v>
      </c>
      <c r="AX729" s="153" t="n">
        <f aca="false">IFERROR(IF($N729="VCA",INDEX(APOIO_REDES!$A:$W,MATCH($C729&amp;$I729&amp;$H729&amp;$N729&amp;$O729,APOIO_REDES!$W:$W,0),MATCH(AX$5,APOIO_REDES!$5:$5,0)),0)*$AP729,0)</f>
        <v>12.2052433241203</v>
      </c>
      <c r="AY729" s="153" t="n">
        <f aca="false">IFERROR(IF($N729="VCA",INDEX(APOIO_REDES!$A:$W,MATCH($C729&amp;$I729&amp;$H729&amp;$N729&amp;$O729,APOIO_REDES!$W:$W,0),MATCH(AY$5,APOIO_REDES!$5:$5,0)),0)*$AP729,0)</f>
        <v>22.3265763314645</v>
      </c>
      <c r="AZ729" s="153" t="n">
        <f aca="false">IFERROR(IF($N729="VCA",INDEX(APOIO_REDES!$A:$W,MATCH($C729&amp;$I729&amp;$H729&amp;$N729&amp;$O729,APOIO_REDES!$W:$W,0),MATCH(AZ$5,APOIO_REDES!$5:$5,0)),0)*$AP729,0)</f>
        <v>3.08993364074275</v>
      </c>
      <c r="BA729" s="153" t="n">
        <f aca="false">IFERROR(IF(AND($N729="VCA",$Q729="LINEAR"),INDEX(APOIO_REDES!$A:$W,MATCH($C729&amp;$I729&amp;$H729&amp;$N729&amp;$O729,APOIO_REDES!$W:$W,0),MATCH(BA$5,APOIO_REDES!$5:$5,0)),IF(AND($N729="MND",$Q729="EMBOQUE"),INDEX(APOIO_REDES!$A:$W,MATCH($C729&amp;$I729&amp;$H729&amp;$N729&amp;$O729,APOIO_REDES!$W:$W,0),MATCH(BA$5,APOIO_REDES!$5:$5,0)),0))*$M729/10,0)</f>
        <v>11.6882461986197</v>
      </c>
      <c r="BB729" s="153" t="n">
        <f aca="false">IFERROR(IF($N729="VCA",INDEX(APOIO_REDES!$A:$W,MATCH($C729&amp;$I729&amp;$H729&amp;$N729&amp;$O729,APOIO_REDES!$W:$W,0),MATCH(BB$5,APOIO_REDES!$5:$5,0)),0)*($AI729+$AQ729+$AR729),0)</f>
        <v>43.1689118753838</v>
      </c>
      <c r="BC729" s="153" t="n">
        <f aca="false">IFERROR(IF($N729="VCA",INDEX(APOIO_REDES!$A:$W,MATCH($C729&amp;$I729&amp;$H729&amp;$N729&amp;$O729,APOIO_REDES!$W:$W,0),MATCH(BC$5,APOIO_REDES!$5:$5,0)),0)*($AI729+$AQ729+$AR729),0)</f>
        <v>0.474857124616232</v>
      </c>
      <c r="BD729" s="153" t="n">
        <f aca="false">IF(AND($N729="VCA",$AF729&gt;=1.25,$AF729&lt;1.5),$M729*$AF729*2,0)</f>
        <v>395.32452</v>
      </c>
      <c r="BE729" s="153" t="n">
        <f aca="false">IF(AND($N729="VCA",$AF729&gt;=1.5,$AF729&lt;3),$M729*$AF729*2,0)</f>
        <v>0</v>
      </c>
      <c r="BF729" s="153" t="n">
        <f aca="false">IF(AND($N729="VCA",$AF729&gt;=3),$M729*$AF729*2,0)</f>
        <v>0</v>
      </c>
      <c r="BG729" s="153" t="n">
        <f aca="false">($BB729+$BC729)*$AK729</f>
        <v>82.9231611</v>
      </c>
      <c r="BH729" s="153" t="n">
        <f aca="false">IF(AND($M729&lt;&gt;"",$N729="VCA",$Q729="LINEAR"),($M729*2)/100,IF(AND($M729&lt;&gt;"",$N729="MND",$Q729="EMBOQUE"),($AN729*2)/100,0))</f>
        <v>2.9004</v>
      </c>
      <c r="BI729" s="153" t="n">
        <f aca="false">IF(AND($M729&lt;&gt;"",$N729="VCA",$Q729="LINEAR"),$M729,IF(AND($M729&lt;&gt;"",$N729="MND",$Q729="EMBOQUE"),$AN729*2,0))</f>
        <v>145.02</v>
      </c>
      <c r="BJ729" s="153" t="n">
        <f aca="false">IF(AND($M729&lt;&gt;"",$N729="VCA",$Q729="LINEAR"),($M729*6.8)/100,IF(AND($M729&lt;&gt;"",$N729="MND",$Q729="EMBOQUE"),($AN729*2*6.8)/100,0))</f>
        <v>9.86136</v>
      </c>
      <c r="BK729" s="153" t="n">
        <f aca="false">IF(AND($M729&lt;&gt;"",$N729="VCA",$Q729="LINEAR"),($M729*2.5)/50,IF(AND($M729&lt;&gt;"",$N729="MND",$Q729="EMBOQUE"),($AN729*2*2.5)/50,0))</f>
        <v>7.251</v>
      </c>
      <c r="BL729" s="157" t="str">
        <f aca="false">K729&amp;J729</f>
        <v>Zona07REDES</v>
      </c>
      <c r="BM729" s="152" t="s">
        <v>4225</v>
      </c>
      <c r="BN729" s="152" t="s">
        <v>1560</v>
      </c>
      <c r="BO729" s="152" t="s">
        <v>4097</v>
      </c>
      <c r="BP729" s="152" t="s">
        <v>4319</v>
      </c>
      <c r="BQ729" s="152" t="s">
        <v>4315</v>
      </c>
      <c r="BR729" s="152" t="s">
        <v>4320</v>
      </c>
      <c r="BS729" s="152" t="n">
        <v>204128.921</v>
      </c>
      <c r="BT729" s="152" t="n">
        <v>8236953.704</v>
      </c>
      <c r="BU729" s="152" t="n">
        <v>204264.807</v>
      </c>
      <c r="BV729" s="152" t="n">
        <v>8236916.354</v>
      </c>
      <c r="BW729" s="152" t="n">
        <v>-15.9292208</v>
      </c>
      <c r="BX729" s="152" t="n">
        <v>-47.7628452</v>
      </c>
      <c r="BY729" s="152" t="s">
        <v>4319</v>
      </c>
    </row>
    <row r="730" customFormat="false" ht="13.8" hidden="false" customHeight="false" outlineLevel="0" collapsed="false">
      <c r="A730" s="149" t="n">
        <f aca="false">IF(C730&lt;&gt;"",ROW(A725),"")</f>
        <v>725</v>
      </c>
      <c r="B730" s="150" t="str">
        <f aca="false">HYPERLINK("https://www.google.com/maps/dir/-15.917302,-47.760003/-15.9294004,-47.7622145/data=!4m3!4m2!3e0!5i0")</f>
        <v>https://www.google.com/maps/dir/-15.917302,-47.760003/-15.9294004,-47.7622145/data=!4m3!4m2!3e0!5i0</v>
      </c>
      <c r="C730" s="151" t="s">
        <v>117</v>
      </c>
      <c r="D730" s="152" t="s">
        <v>112</v>
      </c>
      <c r="E730" s="152" t="s">
        <v>113</v>
      </c>
      <c r="F730" s="152" t="s">
        <v>117</v>
      </c>
      <c r="G730" s="152" t="s">
        <v>782</v>
      </c>
      <c r="H730" s="152" t="n">
        <v>63</v>
      </c>
      <c r="I730" s="152" t="s">
        <v>115</v>
      </c>
      <c r="J730" s="152" t="s">
        <v>6</v>
      </c>
      <c r="K730" s="152" t="s">
        <v>4221</v>
      </c>
      <c r="L730" s="152" t="s">
        <v>120</v>
      </c>
      <c r="M730" s="153" t="n">
        <f aca="false">49</f>
        <v>49</v>
      </c>
      <c r="N730" s="152" t="s">
        <v>1548</v>
      </c>
      <c r="O730" s="152" t="s">
        <v>1549</v>
      </c>
      <c r="P730" s="152" t="s">
        <v>1550</v>
      </c>
      <c r="Q730" s="152" t="s">
        <v>1551</v>
      </c>
      <c r="R730" s="154" t="s">
        <v>4321</v>
      </c>
      <c r="S730" s="154" t="s">
        <v>1553</v>
      </c>
      <c r="T730" s="155" t="s">
        <v>4095</v>
      </c>
      <c r="U730" s="152" t="str">
        <f aca="false">RIGHT(T730,7)</f>
        <v>016/037</v>
      </c>
      <c r="V730" s="152" t="s">
        <v>1555</v>
      </c>
      <c r="W730" s="156" t="n">
        <v>45882</v>
      </c>
      <c r="X730" s="152" t="s">
        <v>3938</v>
      </c>
      <c r="Y730" s="152" t="s">
        <v>2630</v>
      </c>
      <c r="Z730" s="152" t="s">
        <v>1557</v>
      </c>
      <c r="AA730" s="153" t="n">
        <v>1.8</v>
      </c>
      <c r="AB730" s="151" t="s">
        <v>4322</v>
      </c>
      <c r="AC730" s="151" t="s">
        <v>186</v>
      </c>
      <c r="AD730" s="151" t="str">
        <f aca="false">CONCATENATE($C730,$I730,$H730,$N730,$J730,$K730)</f>
        <v>TUBO PEADPEAD63VCAREDESZona07</v>
      </c>
      <c r="AE730" s="153" t="n">
        <f aca="false">IFERROR(INDEX(APOIO_REDES!$A:$W,MATCH($C730&amp;$I730&amp;$H730&amp;$N730&amp;$O730,APOIO_REDES!$W:$W,0),MATCH(AE$5,APOIO_REDES!$5:$5,0)),0)</f>
        <v>1.2</v>
      </c>
      <c r="AF730" s="153" t="n">
        <f aca="false">IFERROR(INDEX(APOIO_REDES!$A:$W,MATCH($C730&amp;$I730&amp;$H730&amp;$N730&amp;$O730,APOIO_REDES!$W:$W,0),MATCH(AF$5,APOIO_REDES!$5:$5,0)),0)</f>
        <v>1.363</v>
      </c>
      <c r="AG730" s="153" t="n">
        <f aca="false">IFERROR(INDEX(APOIO_REDES!$A:$W,MATCH($C730&amp;$I730&amp;$H730&amp;$N730&amp;$O730,APOIO_REDES!$W:$W,0),MATCH(AG$5,APOIO_REDES!$5:$5,0)),0)</f>
        <v>0.65</v>
      </c>
      <c r="AH730" s="153" t="n">
        <f aca="false">IFERROR(INDEX(APOIO_REDES!$A:$W,MATCH($C730&amp;$I730&amp;$H730&amp;$N730&amp;$O730,APOIO_REDES!$W:$W,0),MATCH(AH$5,APOIO_REDES!$5:$5,0)),0)</f>
        <v>0.1</v>
      </c>
      <c r="AI730" s="153" t="n">
        <f aca="false">IFERROR(IF($H730&lt;&gt;"",(((($H730/1000)/2)^2)*PI()*$M730),0),0)</f>
        <v>0.152745020215699</v>
      </c>
      <c r="AJ730" s="153" t="n">
        <f aca="false">IFERROR(IF(AND($H730&lt;&gt;"",$I730="FoFo",OR($N730="MND",$N730="VCA"),$Q730="LINEAR"),0,IF(AND($H730&lt;&gt;"",$I730="PEAD",$N730="VCA",$Q730="LINEAR"),($H730/1000)+0.3,IF(AND($H730&lt;&gt;"",$I730="PEAD",$N730="MND",$Q730="EMBOQUE"),0,IF(AND($H730&lt;&gt;"",$I730="PVC",$N730="VCA",$Q730="LINEAR"),($H730/1000)+0.2,IF(AND($H730&lt;&gt;"",$I730="PVC",$N730="MND",$Q730="EMBOQUE"),0,IF(AND($H730&lt;&gt;"",$I730="PEAD",$N730="VCA",$Q730="PREDIAL"),0,0)))))),0)</f>
        <v>0.363</v>
      </c>
      <c r="AK730" s="153" t="n">
        <f aca="false">IF(AA730&lt;&gt;"",AA730,0)</f>
        <v>1.8</v>
      </c>
      <c r="AL730" s="153" t="n">
        <f aca="false">IF(AND($N730="MND",$Q730="EMBOQUE"),$M730,IF(AND($N730="VCA",$Q730="LINEAR"),$M730,IF(AND($N730="VCA",$Q730="PREDIAL"),0,0)))</f>
        <v>49</v>
      </c>
      <c r="AM730" s="153" t="n">
        <f aca="false">IF(AND($N730="MND",$Q730="EMBOQUE"),$M730,IF(AND($N730="VCA",$Q730="LINEAR"),$M730,IF(AND($N730="VCA",$Q730="PREDIAL"),0,0)))</f>
        <v>49</v>
      </c>
      <c r="AN730" s="153" t="n">
        <f aca="false">ROUND(IF(AND($N730="VCA",$M730&lt;&gt;"",$Q730="LINEAR"),$M730/100,IF(AND($N730="MND",$M730&gt;100,$Q730="EMBOQUE"),$M730/100,0)),0)</f>
        <v>0</v>
      </c>
      <c r="AO730" s="153" t="n">
        <f aca="false">IF(AND($N730="MND",$Q730="EMBOQUE"),$AN730*2*2,IF(AND($N730="VCA",$Q730="LINEAR"),$M730*2,IF(AND($N730="VCA",$Q730="PREDIAL"),0,0)))</f>
        <v>98</v>
      </c>
      <c r="AP730" s="153" t="n">
        <f aca="false">IFERROR($M730*$AF730*$AG730,0)</f>
        <v>43.41155</v>
      </c>
      <c r="AQ730" s="153" t="n">
        <f aca="false">IFERROR(IF(AND($N730="VCA",$AH730&gt;0),$M730*$AG730*$AH730,0),0)</f>
        <v>3.185</v>
      </c>
      <c r="AR730" s="153" t="n">
        <f aca="false">IFERROR(IF(AND($N730="VCA",$AJ730&gt;0),($M730*$AG730*$AJ730)-$AI730,0),0)</f>
        <v>11.4088049797843</v>
      </c>
      <c r="AS730" s="153" t="n">
        <f aca="false">IFERROR(IF(AND($N730="VCA",$AP730&gt;0),$AP730-$AI730-$AQ730-$AR730,0),0)</f>
        <v>28.665</v>
      </c>
      <c r="AT730" s="153" t="n">
        <f aca="false">IFERROR(IF($N730="VCA",INDEX(APOIO_REDES!$A:$W,MATCH($C730&amp;$I730&amp;$H730&amp;$N730&amp;$O730,APOIO_REDES!$W:$W,0),MATCH(AT$5,APOIO_REDES!$5:$5,0)),0)*$AP730,0)</f>
        <v>0.472330513162916</v>
      </c>
      <c r="AU730" s="153" t="n">
        <f aca="false">IFERROR(IF($N730="VCA",INDEX(APOIO_REDES!$A:$W,MATCH($C730&amp;$I730&amp;$H730&amp;$N730&amp;$O730,APOIO_REDES!$W:$W,0),MATCH(AU$5,APOIO_REDES!$5:$5,0)),0)*$AP730,0)</f>
        <v>0.377190355479278</v>
      </c>
      <c r="AV730" s="153" t="n">
        <f aca="false">IFERROR(IF($N730="VCA",INDEX(APOIO_REDES!$A:$W,MATCH($C730&amp;$I730&amp;$H730&amp;$N730&amp;$O730,APOIO_REDES!$W:$W,0),MATCH(AV$5,APOIO_REDES!$5:$5,0)),0)*$AP730,0)</f>
        <v>0.0522001841379441</v>
      </c>
      <c r="AW730" s="153" t="n">
        <f aca="false">IFERROR(IF($N730="VCA",INDEX(APOIO_REDES!$A:$W,MATCH($C730&amp;$I730&amp;$H730&amp;$N730&amp;$O730,APOIO_REDES!$W:$W,0),MATCH(AW$5,APOIO_REDES!$5:$5,0)),0)*$AP730,0)</f>
        <v>29.7980242891034</v>
      </c>
      <c r="AX730" s="153" t="n">
        <f aca="false">IFERROR(IF($N730="VCA",INDEX(APOIO_REDES!$A:$W,MATCH($C730&amp;$I730&amp;$H730&amp;$N730&amp;$O730,APOIO_REDES!$W:$W,0),MATCH(AX$5,APOIO_REDES!$5:$5,0)),0)*$AP730,0)</f>
        <v>4.12396168033301</v>
      </c>
      <c r="AY730" s="153" t="n">
        <f aca="false">IFERROR(IF($N730="VCA",INDEX(APOIO_REDES!$A:$W,MATCH($C730&amp;$I730&amp;$H730&amp;$N730&amp;$O730,APOIO_REDES!$W:$W,0),MATCH(AY$5,APOIO_REDES!$5:$5,0)),0)*$AP730,0)</f>
        <v>7.54380251166571</v>
      </c>
      <c r="AZ730" s="153" t="n">
        <f aca="false">IFERROR(IF($N730="VCA",INDEX(APOIO_REDES!$A:$W,MATCH($C730&amp;$I730&amp;$H730&amp;$N730&amp;$O730,APOIO_REDES!$W:$W,0),MATCH(AZ$5,APOIO_REDES!$5:$5,0)),0)*$AP730,0)</f>
        <v>1.04404046611774</v>
      </c>
      <c r="BA730" s="153" t="n">
        <f aca="false">IFERROR(IF(AND($N730="VCA",$Q730="LINEAR"),INDEX(APOIO_REDES!$A:$W,MATCH($C730&amp;$I730&amp;$H730&amp;$N730&amp;$O730,APOIO_REDES!$W:$W,0),MATCH(BA$5,APOIO_REDES!$5:$5,0)),IF(AND($N730="MND",$Q730="EMBOQUE"),INDEX(APOIO_REDES!$A:$W,MATCH($C730&amp;$I730&amp;$H730&amp;$N730&amp;$O730,APOIO_REDES!$W:$W,0),MATCH(BA$5,APOIO_REDES!$5:$5,0)),0))*$M730/10,0)</f>
        <v>3.94927640140923</v>
      </c>
      <c r="BB730" s="153" t="n">
        <f aca="false">IFERROR(IF($N730="VCA",INDEX(APOIO_REDES!$A:$W,MATCH($C730&amp;$I730&amp;$H730&amp;$N730&amp;$O730,APOIO_REDES!$W:$W,0),MATCH(BB$5,APOIO_REDES!$5:$5,0)),0)*($AI730+$AQ730+$AR730),0)</f>
        <v>14.586103171244</v>
      </c>
      <c r="BC730" s="153" t="n">
        <f aca="false">IFERROR(IF($N730="VCA",INDEX(APOIO_REDES!$A:$W,MATCH($C730&amp;$I730&amp;$H730&amp;$N730&amp;$O730,APOIO_REDES!$W:$W,0),MATCH(BC$5,APOIO_REDES!$5:$5,0)),0)*($AI730+$AQ730+$AR730),0)</f>
        <v>0.160446828756002</v>
      </c>
      <c r="BD730" s="153" t="n">
        <f aca="false">IF(AND($N730="VCA",$AF730&gt;=1.25,$AF730&lt;1.5),$M730*$AF730*2,0)</f>
        <v>133.574</v>
      </c>
      <c r="BE730" s="153" t="n">
        <f aca="false">IF(AND($N730="VCA",$AF730&gt;=1.5,$AF730&lt;3),$M730*$AF730*2,0)</f>
        <v>0</v>
      </c>
      <c r="BF730" s="153" t="n">
        <f aca="false">IF(AND($N730="VCA",$AF730&gt;=3),$M730*$AF730*2,0)</f>
        <v>0</v>
      </c>
      <c r="BG730" s="153" t="n">
        <f aca="false">($BB730+$BC730)*$AK730</f>
        <v>26.54379</v>
      </c>
      <c r="BH730" s="153" t="n">
        <f aca="false">IF(AND($M730&lt;&gt;"",$N730="VCA",$Q730="LINEAR"),($M730*2)/100,IF(AND($M730&lt;&gt;"",$N730="MND",$Q730="EMBOQUE"),($AN730*2)/100,0))</f>
        <v>0.98</v>
      </c>
      <c r="BI730" s="153" t="n">
        <f aca="false">IF(AND($M730&lt;&gt;"",$N730="VCA",$Q730="LINEAR"),$M730,IF(AND($M730&lt;&gt;"",$N730="MND",$Q730="EMBOQUE"),$AN730*2,0))</f>
        <v>49</v>
      </c>
      <c r="BJ730" s="153" t="n">
        <f aca="false">IF(AND($M730&lt;&gt;"",$N730="VCA",$Q730="LINEAR"),($M730*6.8)/100,IF(AND($M730&lt;&gt;"",$N730="MND",$Q730="EMBOQUE"),($AN730*2*6.8)/100,0))</f>
        <v>3.332</v>
      </c>
      <c r="BK730" s="153" t="n">
        <f aca="false">IF(AND($M730&lt;&gt;"",$N730="VCA",$Q730="LINEAR"),($M730*2.5)/50,IF(AND($M730&lt;&gt;"",$N730="MND",$Q730="EMBOQUE"),($AN730*2*2.5)/50,0))</f>
        <v>2.45</v>
      </c>
      <c r="BL730" s="157" t="str">
        <f aca="false">K730&amp;J730</f>
        <v>Zona07REDES</v>
      </c>
      <c r="BM730" s="152" t="s">
        <v>4225</v>
      </c>
      <c r="BN730" s="152" t="s">
        <v>1560</v>
      </c>
      <c r="BO730" s="152" t="s">
        <v>4097</v>
      </c>
      <c r="BP730" s="152" t="s">
        <v>4315</v>
      </c>
      <c r="BQ730" s="152" t="s">
        <v>4323</v>
      </c>
      <c r="BR730" s="152" t="s">
        <v>4316</v>
      </c>
      <c r="BS730" s="152" t="n">
        <v>204264.807</v>
      </c>
      <c r="BT730" s="152" t="n">
        <v>8236916.354</v>
      </c>
      <c r="BU730" s="152" t="n">
        <v>204252.381</v>
      </c>
      <c r="BV730" s="152" t="n">
        <v>8236868.955</v>
      </c>
      <c r="BW730" s="152" t="n">
        <v>-15.929614</v>
      </c>
      <c r="BX730" s="152" t="n">
        <v>-47.7622741</v>
      </c>
      <c r="BY730" s="152" t="s">
        <v>4315</v>
      </c>
    </row>
    <row r="731" customFormat="false" ht="13.8" hidden="false" customHeight="false" outlineLevel="0" collapsed="false">
      <c r="A731" s="149" t="n">
        <f aca="false">IF(C731&lt;&gt;"",ROW(A726),"")</f>
        <v>726</v>
      </c>
      <c r="B731" s="150" t="str">
        <f aca="false">HYPERLINK("https://www.google.com/maps/dir/-15.917302,-47.760003/-15.9294637,-47.7635690/data=!4m3!4m2!3e0!5i0")</f>
        <v>https://www.google.com/maps/dir/-15.917302,-47.760003/-15.9294637,-47.7635690/data=!4m3!4m2!3e0!5i0</v>
      </c>
      <c r="C731" s="151" t="s">
        <v>117</v>
      </c>
      <c r="D731" s="152" t="s">
        <v>112</v>
      </c>
      <c r="E731" s="152" t="s">
        <v>113</v>
      </c>
      <c r="F731" s="152" t="s">
        <v>117</v>
      </c>
      <c r="G731" s="152" t="s">
        <v>782</v>
      </c>
      <c r="H731" s="152" t="n">
        <v>63</v>
      </c>
      <c r="I731" s="152" t="s">
        <v>115</v>
      </c>
      <c r="J731" s="152" t="s">
        <v>6</v>
      </c>
      <c r="K731" s="152" t="s">
        <v>4221</v>
      </c>
      <c r="L731" s="152" t="s">
        <v>120</v>
      </c>
      <c r="M731" s="153" t="n">
        <f aca="false">138.14+4.06</f>
        <v>142.2</v>
      </c>
      <c r="N731" s="152" t="s">
        <v>1548</v>
      </c>
      <c r="O731" s="152" t="s">
        <v>1549</v>
      </c>
      <c r="P731" s="152" t="s">
        <v>1550</v>
      </c>
      <c r="Q731" s="152" t="s">
        <v>1551</v>
      </c>
      <c r="R731" s="154" t="s">
        <v>4324</v>
      </c>
      <c r="S731" s="154" t="s">
        <v>1553</v>
      </c>
      <c r="T731" s="155" t="s">
        <v>4095</v>
      </c>
      <c r="U731" s="152" t="str">
        <f aca="false">RIGHT(T731,7)</f>
        <v>016/037</v>
      </c>
      <c r="V731" s="152" t="s">
        <v>1555</v>
      </c>
      <c r="W731" s="156" t="n">
        <v>45882</v>
      </c>
      <c r="X731" s="152" t="s">
        <v>3938</v>
      </c>
      <c r="Y731" s="152" t="s">
        <v>2630</v>
      </c>
      <c r="Z731" s="152" t="s">
        <v>1557</v>
      </c>
      <c r="AA731" s="153" t="n">
        <v>2</v>
      </c>
      <c r="AB731" s="151" t="s">
        <v>4325</v>
      </c>
      <c r="AC731" s="151" t="s">
        <v>186</v>
      </c>
      <c r="AD731" s="151" t="str">
        <f aca="false">CONCATENATE($C731,$I731,$H731,$N731,$J731,$K731)</f>
        <v>TUBO PEADPEAD63VCAREDESZona07</v>
      </c>
      <c r="AE731" s="153" t="n">
        <f aca="false">IFERROR(INDEX(APOIO_REDES!$A:$W,MATCH($C731&amp;$I731&amp;$H731&amp;$N731&amp;$O731,APOIO_REDES!$W:$W,0),MATCH(AE$5,APOIO_REDES!$5:$5,0)),0)</f>
        <v>1.2</v>
      </c>
      <c r="AF731" s="153" t="n">
        <f aca="false">IFERROR(INDEX(APOIO_REDES!$A:$W,MATCH($C731&amp;$I731&amp;$H731&amp;$N731&amp;$O731,APOIO_REDES!$W:$W,0),MATCH(AF$5,APOIO_REDES!$5:$5,0)),0)</f>
        <v>1.363</v>
      </c>
      <c r="AG731" s="153" t="n">
        <f aca="false">IFERROR(INDEX(APOIO_REDES!$A:$W,MATCH($C731&amp;$I731&amp;$H731&amp;$N731&amp;$O731,APOIO_REDES!$W:$W,0),MATCH(AG$5,APOIO_REDES!$5:$5,0)),0)</f>
        <v>0.65</v>
      </c>
      <c r="AH731" s="153" t="n">
        <f aca="false">IFERROR(INDEX(APOIO_REDES!$A:$W,MATCH($C731&amp;$I731&amp;$H731&amp;$N731&amp;$O731,APOIO_REDES!$W:$W,0),MATCH(AH$5,APOIO_REDES!$5:$5,0)),0)</f>
        <v>0.1</v>
      </c>
      <c r="AI731" s="153" t="n">
        <f aca="false">IFERROR(IF($H731&lt;&gt;"",(((($H731/1000)/2)^2)*PI()*$M731),0),0)</f>
        <v>0.44327228315658</v>
      </c>
      <c r="AJ731" s="153" t="n">
        <f aca="false">IFERROR(IF(AND($H731&lt;&gt;"",$I731="FoFo",OR($N731="MND",$N731="VCA"),$Q731="LINEAR"),0,IF(AND($H731&lt;&gt;"",$I731="PEAD",$N731="VCA",$Q731="LINEAR"),($H731/1000)+0.3,IF(AND($H731&lt;&gt;"",$I731="PEAD",$N731="MND",$Q731="EMBOQUE"),0,IF(AND($H731&lt;&gt;"",$I731="PVC",$N731="VCA",$Q731="LINEAR"),($H731/1000)+0.2,IF(AND($H731&lt;&gt;"",$I731="PVC",$N731="MND",$Q731="EMBOQUE"),0,IF(AND($H731&lt;&gt;"",$I731="PEAD",$N731="VCA",$Q731="PREDIAL"),0,0)))))),0)</f>
        <v>0.363</v>
      </c>
      <c r="AK731" s="153" t="n">
        <f aca="false">IF(AA731&lt;&gt;"",AA731,0)</f>
        <v>2</v>
      </c>
      <c r="AL731" s="153" t="n">
        <f aca="false">IF(AND($N731="MND",$Q731="EMBOQUE"),$M731,IF(AND($N731="VCA",$Q731="LINEAR"),$M731,IF(AND($N731="VCA",$Q731="PREDIAL"),0,0)))</f>
        <v>142.2</v>
      </c>
      <c r="AM731" s="153" t="n">
        <f aca="false">IF(AND($N731="MND",$Q731="EMBOQUE"),$M731,IF(AND($N731="VCA",$Q731="LINEAR"),$M731,IF(AND($N731="VCA",$Q731="PREDIAL"),0,0)))</f>
        <v>142.2</v>
      </c>
      <c r="AN731" s="153" t="n">
        <f aca="false">ROUND(IF(AND($N731="VCA",$M731&lt;&gt;"",$Q731="LINEAR"),$M731/100,IF(AND($N731="MND",$M731&gt;100,$Q731="EMBOQUE"),$M731/100,0)),0)</f>
        <v>1</v>
      </c>
      <c r="AO731" s="153" t="n">
        <f aca="false">IF(AND($N731="MND",$Q731="EMBOQUE"),$AN731*2*2,IF(AND($N731="VCA",$Q731="LINEAR"),$M731*2,IF(AND($N731="VCA",$Q731="PREDIAL"),0,0)))</f>
        <v>284.4</v>
      </c>
      <c r="AP731" s="153" t="n">
        <f aca="false">IFERROR($M731*$AF731*$AG731,0)</f>
        <v>125.98209</v>
      </c>
      <c r="AQ731" s="153" t="n">
        <f aca="false">IFERROR(IF(AND($N731="VCA",$AH731&gt;0),$M731*$AG731*$AH731,0),0)</f>
        <v>9.243</v>
      </c>
      <c r="AR731" s="153" t="n">
        <f aca="false">IFERROR(IF(AND($N731="VCA",$AJ731&gt;0),($M731*$AG731*$AJ731)-$AI731,0),0)</f>
        <v>33.1088177168434</v>
      </c>
      <c r="AS731" s="153" t="n">
        <f aca="false">IFERROR(IF(AND($N731="VCA",$AP731&gt;0),$AP731-$AI731-$AQ731-$AR731,0),0)</f>
        <v>83.187</v>
      </c>
      <c r="AT731" s="153" t="n">
        <f aca="false">IFERROR(IF($N731="VCA",INDEX(APOIO_REDES!$A:$W,MATCH($C731&amp;$I731&amp;$H731&amp;$N731&amp;$O731,APOIO_REDES!$W:$W,0),MATCH(AT$5,APOIO_REDES!$5:$5,0)),0)*$AP731,0)</f>
        <v>1.37072242799524</v>
      </c>
      <c r="AU731" s="153" t="n">
        <f aca="false">IFERROR(IF($N731="VCA",INDEX(APOIO_REDES!$A:$W,MATCH($C731&amp;$I731&amp;$H731&amp;$N731&amp;$O731,APOIO_REDES!$W:$W,0),MATCH(AU$5,APOIO_REDES!$5:$5,0)),0)*$AP731,0)</f>
        <v>1.09462180712558</v>
      </c>
      <c r="AV731" s="153" t="n">
        <f aca="false">IFERROR(IF($N731="VCA",INDEX(APOIO_REDES!$A:$W,MATCH($C731&amp;$I731&amp;$H731&amp;$N731&amp;$O731,APOIO_REDES!$W:$W,0),MATCH(AV$5,APOIO_REDES!$5:$5,0)),0)*$AP731,0)</f>
        <v>0.151487064988075</v>
      </c>
      <c r="AW731" s="153" t="n">
        <f aca="false">IFERROR(IF($N731="VCA",INDEX(APOIO_REDES!$A:$W,MATCH($C731&amp;$I731&amp;$H731&amp;$N731&amp;$O731,APOIO_REDES!$W:$W,0),MATCH(AW$5,APOIO_REDES!$5:$5,0)),0)*$AP731,0)</f>
        <v>86.4750827328674</v>
      </c>
      <c r="AX731" s="153" t="n">
        <f aca="false">IFERROR(IF($N731="VCA",INDEX(APOIO_REDES!$A:$W,MATCH($C731&amp;$I731&amp;$H731&amp;$N731&amp;$O731,APOIO_REDES!$W:$W,0),MATCH(AX$5,APOIO_REDES!$5:$5,0)),0)*$AP731,0)</f>
        <v>11.9679051212929</v>
      </c>
      <c r="AY731" s="153" t="n">
        <f aca="false">IFERROR(IF($N731="VCA",INDEX(APOIO_REDES!$A:$W,MATCH($C731&amp;$I731&amp;$H731&amp;$N731&amp;$O731,APOIO_REDES!$W:$W,0),MATCH(AY$5,APOIO_REDES!$5:$5,0)),0)*$AP731,0)</f>
        <v>21.8924227991605</v>
      </c>
      <c r="AZ731" s="153" t="n">
        <f aca="false">IFERROR(IF($N731="VCA",INDEX(APOIO_REDES!$A:$W,MATCH($C731&amp;$I731&amp;$H731&amp;$N731&amp;$O731,APOIO_REDES!$W:$W,0),MATCH(AZ$5,APOIO_REDES!$5:$5,0)),0)*$AP731,0)</f>
        <v>3.02984804657025</v>
      </c>
      <c r="BA731" s="153" t="n">
        <f aca="false">IFERROR(IF(AND($N731="VCA",$Q731="LINEAR"),INDEX(APOIO_REDES!$A:$W,MATCH($C731&amp;$I731&amp;$H731&amp;$N731&amp;$O731,APOIO_REDES!$W:$W,0),MATCH(BA$5,APOIO_REDES!$5:$5,0)),IF(AND($N731="MND",$Q731="EMBOQUE"),INDEX(APOIO_REDES!$A:$W,MATCH($C731&amp;$I731&amp;$H731&amp;$N731&amp;$O731,APOIO_REDES!$W:$W,0),MATCH(BA$5,APOIO_REDES!$5:$5,0)),0))*$M731/10,0)</f>
        <v>11.4609613118448</v>
      </c>
      <c r="BB731" s="153" t="n">
        <f aca="false">IFERROR(IF($N731="VCA",INDEX(APOIO_REDES!$A:$W,MATCH($C731&amp;$I731&amp;$H731&amp;$N731&amp;$O731,APOIO_REDES!$W:$W,0),MATCH(BB$5,APOIO_REDES!$5:$5,0)),0)*($AI731+$AQ731+$AR731),0)</f>
        <v>42.3294667540999</v>
      </c>
      <c r="BC731" s="153" t="n">
        <f aca="false">IFERROR(IF($N731="VCA",INDEX(APOIO_REDES!$A:$W,MATCH($C731&amp;$I731&amp;$H731&amp;$N731&amp;$O731,APOIO_REDES!$W:$W,0),MATCH(BC$5,APOIO_REDES!$5:$5,0)),0)*($AI731+$AQ731+$AR731),0)</f>
        <v>0.46562324590007</v>
      </c>
      <c r="BD731" s="153" t="n">
        <f aca="false">IF(AND($N731="VCA",$AF731&gt;=1.25,$AF731&lt;1.5),$M731*$AF731*2,0)</f>
        <v>387.6372</v>
      </c>
      <c r="BE731" s="153" t="n">
        <f aca="false">IF(AND($N731="VCA",$AF731&gt;=1.5,$AF731&lt;3),$M731*$AF731*2,0)</f>
        <v>0</v>
      </c>
      <c r="BF731" s="153" t="n">
        <f aca="false">IF(AND($N731="VCA",$AF731&gt;=3),$M731*$AF731*2,0)</f>
        <v>0</v>
      </c>
      <c r="BG731" s="153" t="n">
        <f aca="false">($BB731+$BC731)*$AK731</f>
        <v>85.59018</v>
      </c>
      <c r="BH731" s="153" t="n">
        <f aca="false">IF(AND($M731&lt;&gt;"",$N731="VCA",$Q731="LINEAR"),($M731*2)/100,IF(AND($M731&lt;&gt;"",$N731="MND",$Q731="EMBOQUE"),($AN731*2)/100,0))</f>
        <v>2.844</v>
      </c>
      <c r="BI731" s="153" t="n">
        <f aca="false">IF(AND($M731&lt;&gt;"",$N731="VCA",$Q731="LINEAR"),$M731,IF(AND($M731&lt;&gt;"",$N731="MND",$Q731="EMBOQUE"),$AN731*2,0))</f>
        <v>142.2</v>
      </c>
      <c r="BJ731" s="153" t="n">
        <f aca="false">IF(AND($M731&lt;&gt;"",$N731="VCA",$Q731="LINEAR"),($M731*6.8)/100,IF(AND($M731&lt;&gt;"",$N731="MND",$Q731="EMBOQUE"),($AN731*2*6.8)/100,0))</f>
        <v>9.6696</v>
      </c>
      <c r="BK731" s="153" t="n">
        <f aca="false">IF(AND($M731&lt;&gt;"",$N731="VCA",$Q731="LINEAR"),($M731*2.5)/50,IF(AND($M731&lt;&gt;"",$N731="MND",$Q731="EMBOQUE"),($AN731*2*2.5)/50,0))</f>
        <v>7.11</v>
      </c>
      <c r="BL731" s="157" t="str">
        <f aca="false">K731&amp;J731</f>
        <v>Zona07REDES</v>
      </c>
      <c r="BM731" s="152" t="s">
        <v>4225</v>
      </c>
      <c r="BN731" s="152" t="s">
        <v>1560</v>
      </c>
      <c r="BO731" s="152" t="s">
        <v>4097</v>
      </c>
      <c r="BP731" s="152" t="s">
        <v>4326</v>
      </c>
      <c r="BQ731" s="152" t="s">
        <v>4323</v>
      </c>
      <c r="BR731" s="152" t="s">
        <v>4327</v>
      </c>
      <c r="BS731" s="152" t="n">
        <v>204119.789</v>
      </c>
      <c r="BT731" s="152" t="n">
        <v>8236907.431</v>
      </c>
      <c r="BU731" s="152" t="n">
        <v>204252.381</v>
      </c>
      <c r="BV731" s="152" t="n">
        <v>8236868.955</v>
      </c>
      <c r="BW731" s="152" t="n">
        <v>-15.9296549</v>
      </c>
      <c r="BX731" s="152" t="n">
        <v>-47.7629556</v>
      </c>
      <c r="BY731" s="152" t="s">
        <v>4326</v>
      </c>
    </row>
    <row r="732" customFormat="false" ht="13.8" hidden="false" customHeight="false" outlineLevel="0" collapsed="false">
      <c r="A732" s="149" t="n">
        <f aca="false">IF(C732&lt;&gt;"",ROW(A727),"")</f>
        <v>727</v>
      </c>
      <c r="B732" s="150" t="str">
        <f aca="false">HYPERLINK("https://www.google.com/maps/dir/-15.917302,-47.760003/-15.9298270,-47.7623364/data=!4m3!4m2!3e0!5i0")</f>
        <v>https://www.google.com/maps/dir/-15.917302,-47.760003/-15.9298270,-47.7623364/data=!4m3!4m2!3e0!5i0</v>
      </c>
      <c r="C732" s="151" t="s">
        <v>117</v>
      </c>
      <c r="D732" s="152" t="s">
        <v>112</v>
      </c>
      <c r="E732" s="152" t="s">
        <v>113</v>
      </c>
      <c r="F732" s="152" t="s">
        <v>117</v>
      </c>
      <c r="G732" s="152" t="s">
        <v>782</v>
      </c>
      <c r="H732" s="152" t="n">
        <v>90</v>
      </c>
      <c r="I732" s="152" t="s">
        <v>115</v>
      </c>
      <c r="J732" s="152" t="s">
        <v>6</v>
      </c>
      <c r="K732" s="152" t="s">
        <v>4221</v>
      </c>
      <c r="L732" s="152" t="s">
        <v>120</v>
      </c>
      <c r="M732" s="153" t="n">
        <f aca="false">46.17</f>
        <v>46.17</v>
      </c>
      <c r="N732" s="152" t="s">
        <v>1548</v>
      </c>
      <c r="O732" s="152" t="s">
        <v>1549</v>
      </c>
      <c r="P732" s="152" t="s">
        <v>1550</v>
      </c>
      <c r="Q732" s="152" t="s">
        <v>1551</v>
      </c>
      <c r="R732" s="154" t="s">
        <v>4328</v>
      </c>
      <c r="S732" s="154" t="s">
        <v>1593</v>
      </c>
      <c r="T732" s="155" t="s">
        <v>4095</v>
      </c>
      <c r="U732" s="152" t="str">
        <f aca="false">RIGHT(T732,7)</f>
        <v>016/037</v>
      </c>
      <c r="V732" s="152" t="s">
        <v>1555</v>
      </c>
      <c r="W732" s="156" t="n">
        <v>45882</v>
      </c>
      <c r="X732" s="152" t="s">
        <v>3938</v>
      </c>
      <c r="Y732" s="152" t="s">
        <v>4329</v>
      </c>
      <c r="Z732" s="152" t="s">
        <v>1557</v>
      </c>
      <c r="AA732" s="153" t="n">
        <v>1.9</v>
      </c>
      <c r="AB732" s="151" t="s">
        <v>4330</v>
      </c>
      <c r="AC732" s="151" t="s">
        <v>526</v>
      </c>
      <c r="AD732" s="151" t="str">
        <f aca="false">CONCATENATE($C732,$I732,$H732,$N732,$J732,$K732)</f>
        <v>TUBO PEADPEAD90VCAREDESZona07</v>
      </c>
      <c r="AE732" s="153" t="n">
        <f aca="false">IFERROR(INDEX(APOIO_REDES!$A:$W,MATCH($C732&amp;$I732&amp;$H732&amp;$N732&amp;$O732,APOIO_REDES!$W:$W,0),MATCH(AE$5,APOIO_REDES!$5:$5,0)),0)</f>
        <v>1.2</v>
      </c>
      <c r="AF732" s="153" t="n">
        <f aca="false">IFERROR(INDEX(APOIO_REDES!$A:$W,MATCH($C732&amp;$I732&amp;$H732&amp;$N732&amp;$O732,APOIO_REDES!$W:$W,0),MATCH(AF$5,APOIO_REDES!$5:$5,0)),0)</f>
        <v>1.39</v>
      </c>
      <c r="AG732" s="153" t="n">
        <f aca="false">IFERROR(INDEX(APOIO_REDES!$A:$W,MATCH($C732&amp;$I732&amp;$H732&amp;$N732&amp;$O732,APOIO_REDES!$W:$W,0),MATCH(AG$5,APOIO_REDES!$5:$5,0)),0)</f>
        <v>0.75</v>
      </c>
      <c r="AH732" s="153" t="n">
        <f aca="false">IFERROR(INDEX(APOIO_REDES!$A:$W,MATCH($C732&amp;$I732&amp;$H732&amp;$N732&amp;$O732,APOIO_REDES!$W:$W,0),MATCH(AH$5,APOIO_REDES!$5:$5,0)),0)</f>
        <v>0.1</v>
      </c>
      <c r="AI732" s="153" t="n">
        <f aca="false">IFERROR(IF($H732&lt;&gt;"",(((($H732/1000)/2)^2)*PI()*$M732),0),0)</f>
        <v>0.293720848952888</v>
      </c>
      <c r="AJ732" s="153" t="n">
        <f aca="false">IFERROR(IF(AND($H732&lt;&gt;"",$I732="FoFo",OR($N732="MND",$N732="VCA"),$Q732="LINEAR"),0,IF(AND($H732&lt;&gt;"",$I732="PEAD",$N732="VCA",$Q732="LINEAR"),($H732/1000)+0.3,IF(AND($H732&lt;&gt;"",$I732="PEAD",$N732="MND",$Q732="EMBOQUE"),0,IF(AND($H732&lt;&gt;"",$I732="PVC",$N732="VCA",$Q732="LINEAR"),($H732/1000)+0.2,IF(AND($H732&lt;&gt;"",$I732="PVC",$N732="MND",$Q732="EMBOQUE"),0,IF(AND($H732&lt;&gt;"",$I732="PEAD",$N732="VCA",$Q732="PREDIAL"),0,0)))))),0)</f>
        <v>0.39</v>
      </c>
      <c r="AK732" s="153" t="n">
        <f aca="false">IF(AA732&lt;&gt;"",AA732,0)</f>
        <v>1.9</v>
      </c>
      <c r="AL732" s="153" t="n">
        <f aca="false">IF(AND($N732="MND",$Q732="EMBOQUE"),$M732,IF(AND($N732="VCA",$Q732="LINEAR"),$M732,IF(AND($N732="VCA",$Q732="PREDIAL"),0,0)))</f>
        <v>46.17</v>
      </c>
      <c r="AM732" s="153" t="n">
        <f aca="false">IF(AND($N732="MND",$Q732="EMBOQUE"),$M732,IF(AND($N732="VCA",$Q732="LINEAR"),$M732,IF(AND($N732="VCA",$Q732="PREDIAL"),0,0)))</f>
        <v>46.17</v>
      </c>
      <c r="AN732" s="153" t="n">
        <f aca="false">ROUND(IF(AND($N732="VCA",$M732&lt;&gt;"",$Q732="LINEAR"),$M732/100,IF(AND($N732="MND",$M732&gt;100,$Q732="EMBOQUE"),$M732/100,0)),0)</f>
        <v>0</v>
      </c>
      <c r="AO732" s="153" t="n">
        <f aca="false">IF(AND($N732="MND",$Q732="EMBOQUE"),$AN732*2*2,IF(AND($N732="VCA",$Q732="LINEAR"),$M732*2,IF(AND($N732="VCA",$Q732="PREDIAL"),0,0)))</f>
        <v>92.34</v>
      </c>
      <c r="AP732" s="153" t="n">
        <f aca="false">IFERROR($M732*$AF732*$AG732,0)</f>
        <v>48.132225</v>
      </c>
      <c r="AQ732" s="153" t="n">
        <f aca="false">IFERROR(IF(AND($N732="VCA",$AH732&gt;0),$M732*$AG732*$AH732,0),0)</f>
        <v>3.46275</v>
      </c>
      <c r="AR732" s="153" t="n">
        <f aca="false">IFERROR(IF(AND($N732="VCA",$AJ732&gt;0),($M732*$AG732*$AJ732)-$AI732,0),0)</f>
        <v>13.2110041510471</v>
      </c>
      <c r="AS732" s="153" t="n">
        <f aca="false">IFERROR(IF(AND($N732="VCA",$AP732&gt;0),$AP732-$AI732-$AQ732-$AR732,0),0)</f>
        <v>31.16475</v>
      </c>
      <c r="AT732" s="153" t="n">
        <f aca="false">IFERROR(IF($N732="VCA",INDEX(APOIO_REDES!$A:$W,MATCH($C732&amp;$I732&amp;$H732&amp;$N732&amp;$O732,APOIO_REDES!$W:$W,0),MATCH(AT$5,APOIO_REDES!$5:$5,0)),0)*$AP732,0)</f>
        <v>0.523692854411394</v>
      </c>
      <c r="AU732" s="153" t="n">
        <f aca="false">IFERROR(IF($N732="VCA",INDEX(APOIO_REDES!$A:$W,MATCH($C732&amp;$I732&amp;$H732&amp;$N732&amp;$O732,APOIO_REDES!$W:$W,0),MATCH(AU$5,APOIO_REDES!$5:$5,0)),0)*$AP732,0)</f>
        <v>0.418206930131695</v>
      </c>
      <c r="AV732" s="153" t="n">
        <f aca="false">IFERROR(IF($N732="VCA",INDEX(APOIO_REDES!$A:$W,MATCH($C732&amp;$I732&amp;$H732&amp;$N732&amp;$O732,APOIO_REDES!$W:$W,0),MATCH(AV$5,APOIO_REDES!$5:$5,0)),0)*$AP732,0)</f>
        <v>0.0578765560771029</v>
      </c>
      <c r="AW732" s="153" t="n">
        <f aca="false">IFERROR(IF($N732="VCA",INDEX(APOIO_REDES!$A:$W,MATCH($C732&amp;$I732&amp;$H732&amp;$N732&amp;$O732,APOIO_REDES!$W:$W,0),MATCH(AW$5,APOIO_REDES!$5:$5,0)),0)*$AP732,0)</f>
        <v>33.0383321866782</v>
      </c>
      <c r="AX732" s="153" t="n">
        <f aca="false">IFERROR(IF($N732="VCA",INDEX(APOIO_REDES!$A:$W,MATCH($C732&amp;$I732&amp;$H732&amp;$N732&amp;$O732,APOIO_REDES!$W:$W,0),MATCH(AX$5,APOIO_REDES!$5:$5,0)),0)*$AP732,0)</f>
        <v>4.5724110631656</v>
      </c>
      <c r="AY732" s="153" t="n">
        <f aca="false">IFERROR(IF($N732="VCA",INDEX(APOIO_REDES!$A:$W,MATCH($C732&amp;$I732&amp;$H732&amp;$N732&amp;$O732,APOIO_REDES!$W:$W,0),MATCH(AY$5,APOIO_REDES!$5:$5,0)),0)*$AP732,0)</f>
        <v>8.36413350472533</v>
      </c>
      <c r="AZ732" s="153" t="n">
        <f aca="false">IFERROR(IF($N732="VCA",INDEX(APOIO_REDES!$A:$W,MATCH($C732&amp;$I732&amp;$H732&amp;$N732&amp;$O732,APOIO_REDES!$W:$W,0),MATCH(AZ$5,APOIO_REDES!$5:$5,0)),0)*$AP732,0)</f>
        <v>1.15757190481068</v>
      </c>
      <c r="BA732" s="153" t="n">
        <f aca="false">IFERROR(IF(AND($N732="VCA",$Q732="LINEAR"),INDEX(APOIO_REDES!$A:$W,MATCH($C732&amp;$I732&amp;$H732&amp;$N732&amp;$O732,APOIO_REDES!$W:$W,0),MATCH(BA$5,APOIO_REDES!$5:$5,0)),IF(AND($N732="MND",$Q732="EMBOQUE"),INDEX(APOIO_REDES!$A:$W,MATCH($C732&amp;$I732&amp;$H732&amp;$N732&amp;$O732,APOIO_REDES!$W:$W,0),MATCH(BA$5,APOIO_REDES!$5:$5,0)),0))*$M732/10,0)</f>
        <v>3.72118553985846</v>
      </c>
      <c r="BB732" s="153" t="n">
        <f aca="false">IFERROR(IF($N732="VCA",INDEX(APOIO_REDES!$A:$W,MATCH($C732&amp;$I732&amp;$H732&amp;$N732&amp;$O732,APOIO_REDES!$W:$W,0),MATCH(BB$5,APOIO_REDES!$5:$5,0)),0)*($AI732+$AQ732+$AR732),0)</f>
        <v>16.7828638498838</v>
      </c>
      <c r="BC732" s="153" t="n">
        <f aca="false">IFERROR(IF($N732="VCA",INDEX(APOIO_REDES!$A:$W,MATCH($C732&amp;$I732&amp;$H732&amp;$N732&amp;$O732,APOIO_REDES!$W:$W,0),MATCH(BC$5,APOIO_REDES!$5:$5,0)),0)*($AI732+$AQ732+$AR732),0)</f>
        <v>0.184611150116247</v>
      </c>
      <c r="BD732" s="153" t="n">
        <f aca="false">IF(AND($N732="VCA",$AF732&gt;=1.25,$AF732&lt;1.5),$M732*$AF732*2,0)</f>
        <v>128.3526</v>
      </c>
      <c r="BE732" s="153" t="n">
        <f aca="false">IF(AND($N732="VCA",$AF732&gt;=1.5,$AF732&lt;3),$M732*$AF732*2,0)</f>
        <v>0</v>
      </c>
      <c r="BF732" s="153" t="n">
        <f aca="false">IF(AND($N732="VCA",$AF732&gt;=3),$M732*$AF732*2,0)</f>
        <v>0</v>
      </c>
      <c r="BG732" s="153" t="n">
        <f aca="false">($BB732+$BC732)*$AK732</f>
        <v>32.2382025</v>
      </c>
      <c r="BH732" s="153" t="n">
        <f aca="false">IF(AND($M732&lt;&gt;"",$N732="VCA",$Q732="LINEAR"),($M732*2)/100,IF(AND($M732&lt;&gt;"",$N732="MND",$Q732="EMBOQUE"),($AN732*2)/100,0))</f>
        <v>0.9234</v>
      </c>
      <c r="BI732" s="153" t="n">
        <f aca="false">IF(AND($M732&lt;&gt;"",$N732="VCA",$Q732="LINEAR"),$M732,IF(AND($M732&lt;&gt;"",$N732="MND",$Q732="EMBOQUE"),$AN732*2,0))</f>
        <v>46.17</v>
      </c>
      <c r="BJ732" s="153" t="n">
        <f aca="false">IF(AND($M732&lt;&gt;"",$N732="VCA",$Q732="LINEAR"),($M732*6.8)/100,IF(AND($M732&lt;&gt;"",$N732="MND",$Q732="EMBOQUE"),($AN732*2*6.8)/100,0))</f>
        <v>3.13956</v>
      </c>
      <c r="BK732" s="153" t="n">
        <f aca="false">IF(AND($M732&lt;&gt;"",$N732="VCA",$Q732="LINEAR"),($M732*2.5)/50,IF(AND($M732&lt;&gt;"",$N732="MND",$Q732="EMBOQUE"),($AN732*2*2.5)/50,0))</f>
        <v>2.3085</v>
      </c>
      <c r="BL732" s="157" t="str">
        <f aca="false">K732&amp;J732</f>
        <v>Zona07REDES</v>
      </c>
      <c r="BM732" s="152" t="s">
        <v>4225</v>
      </c>
      <c r="BN732" s="152" t="s">
        <v>1560</v>
      </c>
      <c r="BO732" s="152" t="s">
        <v>4097</v>
      </c>
      <c r="BP732" s="152" t="s">
        <v>4323</v>
      </c>
      <c r="BQ732" s="152" t="s">
        <v>4331</v>
      </c>
      <c r="BR732" s="152" t="s">
        <v>4332</v>
      </c>
      <c r="BS732" s="152" t="n">
        <v>204252.366</v>
      </c>
      <c r="BT732" s="152" t="n">
        <v>8236868.896</v>
      </c>
      <c r="BU732" s="152" t="n">
        <v>204240.485</v>
      </c>
      <c r="BV732" s="152" t="n">
        <v>8236824.282</v>
      </c>
      <c r="BW732" s="152" t="n">
        <v>-15.9300282</v>
      </c>
      <c r="BX732" s="152" t="n">
        <v>-47.7623947</v>
      </c>
      <c r="BY732" s="152" t="s">
        <v>4323</v>
      </c>
    </row>
    <row r="733" customFormat="false" ht="13.8" hidden="false" customHeight="false" outlineLevel="0" collapsed="false">
      <c r="A733" s="149" t="n">
        <f aca="false">IF(C733&lt;&gt;"",ROW(A728),"")</f>
        <v>728</v>
      </c>
      <c r="B733" s="150" t="str">
        <f aca="false">HYPERLINK("https://www.google.com/maps/dir/-15.917302,-47.760003/-15.9299318,-47.7635691/data=!4m3!4m2!3e0!5i2")</f>
        <v>https://www.google.com/maps/dir/-15.917302,-47.760003/-15.9299318,-47.7635691/data=!4m3!4m2!3e0!5i2</v>
      </c>
      <c r="C733" s="151" t="s">
        <v>117</v>
      </c>
      <c r="D733" s="152" t="s">
        <v>112</v>
      </c>
      <c r="E733" s="152" t="s">
        <v>113</v>
      </c>
      <c r="F733" s="152" t="s">
        <v>117</v>
      </c>
      <c r="G733" s="152" t="s">
        <v>782</v>
      </c>
      <c r="H733" s="152" t="n">
        <v>63</v>
      </c>
      <c r="I733" s="152" t="s">
        <v>115</v>
      </c>
      <c r="J733" s="152" t="s">
        <v>6</v>
      </c>
      <c r="K733" s="152" t="s">
        <v>4221</v>
      </c>
      <c r="L733" s="152" t="s">
        <v>120</v>
      </c>
      <c r="M733" s="153" t="n">
        <f aca="false">123.58+4.48</f>
        <v>128.06</v>
      </c>
      <c r="N733" s="152" t="s">
        <v>1548</v>
      </c>
      <c r="O733" s="152" t="s">
        <v>1549</v>
      </c>
      <c r="P733" s="152" t="s">
        <v>1550</v>
      </c>
      <c r="Q733" s="152" t="s">
        <v>1551</v>
      </c>
      <c r="R733" s="154" t="s">
        <v>4333</v>
      </c>
      <c r="S733" s="154" t="s">
        <v>1553</v>
      </c>
      <c r="T733" s="155" t="s">
        <v>4095</v>
      </c>
      <c r="U733" s="152" t="str">
        <f aca="false">RIGHT(T733,7)</f>
        <v>016/037</v>
      </c>
      <c r="V733" s="152" t="s">
        <v>1555</v>
      </c>
      <c r="W733" s="156" t="n">
        <v>45882</v>
      </c>
      <c r="X733" s="152" t="s">
        <v>3938</v>
      </c>
      <c r="Y733" s="152" t="s">
        <v>2630</v>
      </c>
      <c r="Z733" s="152" t="s">
        <v>1557</v>
      </c>
      <c r="AA733" s="153" t="n">
        <v>3.5</v>
      </c>
      <c r="AB733" s="151" t="s">
        <v>4334</v>
      </c>
      <c r="AC733" s="151" t="s">
        <v>186</v>
      </c>
      <c r="AD733" s="151" t="str">
        <f aca="false">CONCATENATE($C733,$I733,$H733,$N733,$J733,$K733)</f>
        <v>TUBO PEADPEAD63VCAREDESZona07</v>
      </c>
      <c r="AE733" s="153" t="n">
        <f aca="false">IFERROR(INDEX(APOIO_REDES!$A:$W,MATCH($C733&amp;$I733&amp;$H733&amp;$N733&amp;$O733,APOIO_REDES!$W:$W,0),MATCH(AE$5,APOIO_REDES!$5:$5,0)),0)</f>
        <v>1.2</v>
      </c>
      <c r="AF733" s="153" t="n">
        <f aca="false">IFERROR(INDEX(APOIO_REDES!$A:$W,MATCH($C733&amp;$I733&amp;$H733&amp;$N733&amp;$O733,APOIO_REDES!$W:$W,0),MATCH(AF$5,APOIO_REDES!$5:$5,0)),0)</f>
        <v>1.363</v>
      </c>
      <c r="AG733" s="153" t="n">
        <f aca="false">IFERROR(INDEX(APOIO_REDES!$A:$W,MATCH($C733&amp;$I733&amp;$H733&amp;$N733&amp;$O733,APOIO_REDES!$W:$W,0),MATCH(AG$5,APOIO_REDES!$5:$5,0)),0)</f>
        <v>0.65</v>
      </c>
      <c r="AH733" s="153" t="n">
        <f aca="false">IFERROR(INDEX(APOIO_REDES!$A:$W,MATCH($C733&amp;$I733&amp;$H733&amp;$N733&amp;$O733,APOIO_REDES!$W:$W,0),MATCH(AH$5,APOIO_REDES!$5:$5,0)),0)</f>
        <v>0.1</v>
      </c>
      <c r="AI733" s="153" t="n">
        <f aca="false">IFERROR(IF($H733&lt;&gt;"",(((($H733/1000)/2)^2)*PI()*$M733),0),0)</f>
        <v>0.399194434465764</v>
      </c>
      <c r="AJ733" s="153" t="n">
        <f aca="false">IFERROR(IF(AND($H733&lt;&gt;"",$I733="FoFo",OR($N733="MND",$N733="VCA"),$Q733="LINEAR"),0,IF(AND($H733&lt;&gt;"",$I733="PEAD",$N733="VCA",$Q733="LINEAR"),($H733/1000)+0.3,IF(AND($H733&lt;&gt;"",$I733="PEAD",$N733="MND",$Q733="EMBOQUE"),0,IF(AND($H733&lt;&gt;"",$I733="PVC",$N733="VCA",$Q733="LINEAR"),($H733/1000)+0.2,IF(AND($H733&lt;&gt;"",$I733="PVC",$N733="MND",$Q733="EMBOQUE"),0,IF(AND($H733&lt;&gt;"",$I733="PEAD",$N733="VCA",$Q733="PREDIAL"),0,0)))))),0)</f>
        <v>0.363</v>
      </c>
      <c r="AK733" s="153" t="n">
        <f aca="false">IF(AA733&lt;&gt;"",AA733,0)</f>
        <v>3.5</v>
      </c>
      <c r="AL733" s="153" t="n">
        <f aca="false">IF(AND($N733="MND",$Q733="EMBOQUE"),$M733,IF(AND($N733="VCA",$Q733="LINEAR"),$M733,IF(AND($N733="VCA",$Q733="PREDIAL"),0,0)))</f>
        <v>128.06</v>
      </c>
      <c r="AM733" s="153" t="n">
        <f aca="false">IF(AND($N733="MND",$Q733="EMBOQUE"),$M733,IF(AND($N733="VCA",$Q733="LINEAR"),$M733,IF(AND($N733="VCA",$Q733="PREDIAL"),0,0)))</f>
        <v>128.06</v>
      </c>
      <c r="AN733" s="153" t="n">
        <f aca="false">ROUND(IF(AND($N733="VCA",$M733&lt;&gt;"",$Q733="LINEAR"),$M733/100,IF(AND($N733="MND",$M733&gt;100,$Q733="EMBOQUE"),$M733/100,0)),0)</f>
        <v>1</v>
      </c>
      <c r="AO733" s="153" t="n">
        <f aca="false">IF(AND($N733="MND",$Q733="EMBOQUE"),$AN733*2*2,IF(AND($N733="VCA",$Q733="LINEAR"),$M733*2,IF(AND($N733="VCA",$Q733="PREDIAL"),0,0)))</f>
        <v>256.12</v>
      </c>
      <c r="AP733" s="153" t="n">
        <f aca="false">IFERROR($M733*$AF733*$AG733,0)</f>
        <v>113.454757</v>
      </c>
      <c r="AQ733" s="153" t="n">
        <f aca="false">IFERROR(IF(AND($N733="VCA",$AH733&gt;0),$M733*$AG733*$AH733,0),0)</f>
        <v>8.3239</v>
      </c>
      <c r="AR733" s="153" t="n">
        <f aca="false">IFERROR(IF(AND($N733="VCA",$AJ733&gt;0),($M733*$AG733*$AJ733)-$AI733,0),0)</f>
        <v>29.8165625655342</v>
      </c>
      <c r="AS733" s="153" t="n">
        <f aca="false">IFERROR(IF(AND($N733="VCA",$AP733&gt;0),$AP733-$AI733-$AQ733-$AR733,0),0)</f>
        <v>74.9151</v>
      </c>
      <c r="AT733" s="153" t="n">
        <f aca="false">IFERROR(IF($N733="VCA",INDEX(APOIO_REDES!$A:$W,MATCH($C733&amp;$I733&amp;$H733&amp;$N733&amp;$O733,APOIO_REDES!$W:$W,0),MATCH(AT$5,APOIO_REDES!$5:$5,0)),0)*$AP733,0)</f>
        <v>1.23442133705394</v>
      </c>
      <c r="AU733" s="153" t="n">
        <f aca="false">IFERROR(IF($N733="VCA",INDEX(APOIO_REDES!$A:$W,MATCH($C733&amp;$I733&amp;$H733&amp;$N733&amp;$O733,APOIO_REDES!$W:$W,0),MATCH(AU$5,APOIO_REDES!$5:$5,0)),0)*$AP733,0)</f>
        <v>0.985775447401559</v>
      </c>
      <c r="AV733" s="153" t="n">
        <f aca="false">IFERROR(IF($N733="VCA",INDEX(APOIO_REDES!$A:$W,MATCH($C733&amp;$I733&amp;$H733&amp;$N733&amp;$O733,APOIO_REDES!$W:$W,0),MATCH(AV$5,APOIO_REDES!$5:$5,0)),0)*$AP733,0)</f>
        <v>0.136423583279696</v>
      </c>
      <c r="AW733" s="153" t="n">
        <f aca="false">IFERROR(IF($N733="VCA",INDEX(APOIO_REDES!$A:$W,MATCH($C733&amp;$I733&amp;$H733&amp;$N733&amp;$O733,APOIO_REDES!$W:$W,0),MATCH(AW$5,APOIO_REDES!$5:$5,0)),0)*$AP733,0)</f>
        <v>77.8762242951547</v>
      </c>
      <c r="AX733" s="153" t="n">
        <f aca="false">IFERROR(IF($N733="VCA",INDEX(APOIO_REDES!$A:$W,MATCH($C733&amp;$I733&amp;$H733&amp;$N733&amp;$O733,APOIO_REDES!$W:$W,0),MATCH(AX$5,APOIO_REDES!$5:$5,0)),0)*$AP733,0)</f>
        <v>10.7778476078254</v>
      </c>
      <c r="AY733" s="153" t="n">
        <f aca="false">IFERROR(IF($N733="VCA",INDEX(APOIO_REDES!$A:$W,MATCH($C733&amp;$I733&amp;$H733&amp;$N733&amp;$O733,APOIO_REDES!$W:$W,0),MATCH(AY$5,APOIO_REDES!$5:$5,0)),0)*$AP733,0)</f>
        <v>19.7154969315084</v>
      </c>
      <c r="AZ733" s="153" t="n">
        <f aca="false">IFERROR(IF($N733="VCA",INDEX(APOIO_REDES!$A:$W,MATCH($C733&amp;$I733&amp;$H733&amp;$N733&amp;$O733,APOIO_REDES!$W:$W,0),MATCH(AZ$5,APOIO_REDES!$5:$5,0)),0)*$AP733,0)</f>
        <v>2.72856779777628</v>
      </c>
      <c r="BA733" s="153" t="n">
        <f aca="false">IFERROR(IF(AND($N733="VCA",$Q733="LINEAR"),INDEX(APOIO_REDES!$A:$W,MATCH($C733&amp;$I733&amp;$H733&amp;$N733&amp;$O733,APOIO_REDES!$W:$W,0),MATCH(BA$5,APOIO_REDES!$5:$5,0)),IF(AND($N733="MND",$Q733="EMBOQUE"),INDEX(APOIO_REDES!$A:$W,MATCH($C733&amp;$I733&amp;$H733&amp;$N733&amp;$O733,APOIO_REDES!$W:$W,0),MATCH(BA$5,APOIO_REDES!$5:$5,0)),0))*$M733/10,0)</f>
        <v>10.3213129788667</v>
      </c>
      <c r="BB733" s="153" t="n">
        <f aca="false">IFERROR(IF($N733="VCA",INDEX(APOIO_REDES!$A:$W,MATCH($C733&amp;$I733&amp;$H733&amp;$N733&amp;$O733,APOIO_REDES!$W:$W,0),MATCH(BB$5,APOIO_REDES!$5:$5,0)),0)*($AI733+$AQ733+$AR733),0)</f>
        <v>38.1203341246838</v>
      </c>
      <c r="BC733" s="153" t="n">
        <f aca="false">IFERROR(IF($N733="VCA",INDEX(APOIO_REDES!$A:$W,MATCH($C733&amp;$I733&amp;$H733&amp;$N733&amp;$O733,APOIO_REDES!$W:$W,0),MATCH(BC$5,APOIO_REDES!$5:$5,0)),0)*($AI733+$AQ733+$AR733),0)</f>
        <v>0.419322875316195</v>
      </c>
      <c r="BD733" s="153" t="n">
        <f aca="false">IF(AND($N733="VCA",$AF733&gt;=1.25,$AF733&lt;1.5),$M733*$AF733*2,0)</f>
        <v>349.09156</v>
      </c>
      <c r="BE733" s="153" t="n">
        <f aca="false">IF(AND($N733="VCA",$AF733&gt;=1.5,$AF733&lt;3),$M733*$AF733*2,0)</f>
        <v>0</v>
      </c>
      <c r="BF733" s="153" t="n">
        <f aca="false">IF(AND($N733="VCA",$AF733&gt;=3),$M733*$AF733*2,0)</f>
        <v>0</v>
      </c>
      <c r="BG733" s="153" t="n">
        <f aca="false">($BB733+$BC733)*$AK733</f>
        <v>134.8887995</v>
      </c>
      <c r="BH733" s="153" t="n">
        <f aca="false">IF(AND($M733&lt;&gt;"",$N733="VCA",$Q733="LINEAR"),($M733*2)/100,IF(AND($M733&lt;&gt;"",$N733="MND",$Q733="EMBOQUE"),($AN733*2)/100,0))</f>
        <v>2.5612</v>
      </c>
      <c r="BI733" s="153" t="n">
        <f aca="false">IF(AND($M733&lt;&gt;"",$N733="VCA",$Q733="LINEAR"),$M733,IF(AND($M733&lt;&gt;"",$N733="MND",$Q733="EMBOQUE"),$AN733*2,0))</f>
        <v>128.06</v>
      </c>
      <c r="BJ733" s="153" t="n">
        <f aca="false">IF(AND($M733&lt;&gt;"",$N733="VCA",$Q733="LINEAR"),($M733*6.8)/100,IF(AND($M733&lt;&gt;"",$N733="MND",$Q733="EMBOQUE"),($AN733*2*6.8)/100,0))</f>
        <v>8.70808</v>
      </c>
      <c r="BK733" s="153" t="n">
        <f aca="false">IF(AND($M733&lt;&gt;"",$N733="VCA",$Q733="LINEAR"),($M733*2.5)/50,IF(AND($M733&lt;&gt;"",$N733="MND",$Q733="EMBOQUE"),($AN733*2*2.5)/50,0))</f>
        <v>6.403</v>
      </c>
      <c r="BL733" s="157" t="str">
        <f aca="false">K733&amp;J733</f>
        <v>Zona07REDES</v>
      </c>
      <c r="BM733" s="152" t="s">
        <v>4225</v>
      </c>
      <c r="BN733" s="152" t="s">
        <v>1560</v>
      </c>
      <c r="BO733" s="152" t="s">
        <v>4097</v>
      </c>
      <c r="BP733" s="152" t="s">
        <v>4335</v>
      </c>
      <c r="BQ733" s="152" t="s">
        <v>4331</v>
      </c>
      <c r="BR733" s="152" t="s">
        <v>4336</v>
      </c>
      <c r="BS733" s="152" t="n">
        <v>204120.463</v>
      </c>
      <c r="BT733" s="152" t="n">
        <v>8236855.6</v>
      </c>
      <c r="BU733" s="152" t="n">
        <v>204240.027</v>
      </c>
      <c r="BV733" s="152" t="n">
        <v>8236824.424</v>
      </c>
      <c r="BW733" s="152" t="n">
        <v>-15.9300842</v>
      </c>
      <c r="BX733" s="152" t="n">
        <v>-47.7630144</v>
      </c>
      <c r="BY733" s="152" t="s">
        <v>4335</v>
      </c>
    </row>
    <row r="734" customFormat="false" ht="13.8" hidden="false" customHeight="false" outlineLevel="0" collapsed="false">
      <c r="A734" s="149" t="n">
        <f aca="false">IF(C734&lt;&gt;"",ROW(A729),"")</f>
        <v>729</v>
      </c>
      <c r="B734" s="150" t="str">
        <f aca="false">HYPERLINK("https://www.google.com/maps/dir/-15.917302,-47.760003/-15.9303549,-47.7635274/data=!4m3!4m2!3e0!5i2")</f>
        <v>https://www.google.com/maps/dir/-15.917302,-47.760003/-15.9303549,-47.7635274/data=!4m3!4m2!3e0!5i2</v>
      </c>
      <c r="C734" s="151" t="s">
        <v>117</v>
      </c>
      <c r="D734" s="152" t="s">
        <v>112</v>
      </c>
      <c r="E734" s="152" t="s">
        <v>113</v>
      </c>
      <c r="F734" s="152" t="s">
        <v>117</v>
      </c>
      <c r="G734" s="152" t="s">
        <v>782</v>
      </c>
      <c r="H734" s="152" t="n">
        <v>63</v>
      </c>
      <c r="I734" s="152" t="s">
        <v>115</v>
      </c>
      <c r="J734" s="152" t="s">
        <v>6</v>
      </c>
      <c r="K734" s="152" t="s">
        <v>4221</v>
      </c>
      <c r="L734" s="152" t="s">
        <v>120</v>
      </c>
      <c r="M734" s="153" t="n">
        <f aca="false">87.9</f>
        <v>87.9</v>
      </c>
      <c r="N734" s="152" t="s">
        <v>1548</v>
      </c>
      <c r="O734" s="152" t="s">
        <v>1549</v>
      </c>
      <c r="P734" s="152" t="s">
        <v>1550</v>
      </c>
      <c r="Q734" s="152" t="s">
        <v>1551</v>
      </c>
      <c r="R734" s="154" t="s">
        <v>4337</v>
      </c>
      <c r="S734" s="154" t="s">
        <v>1553</v>
      </c>
      <c r="T734" s="155" t="s">
        <v>4095</v>
      </c>
      <c r="U734" s="152" t="str">
        <f aca="false">RIGHT(T734,7)</f>
        <v>016/037</v>
      </c>
      <c r="V734" s="152" t="s">
        <v>1555</v>
      </c>
      <c r="W734" s="156" t="n">
        <v>45882</v>
      </c>
      <c r="X734" s="152" t="s">
        <v>3938</v>
      </c>
      <c r="Y734" s="152" t="s">
        <v>2630</v>
      </c>
      <c r="Z734" s="152" t="s">
        <v>1557</v>
      </c>
      <c r="AA734" s="153" t="n">
        <v>3.4</v>
      </c>
      <c r="AB734" s="151" t="s">
        <v>4338</v>
      </c>
      <c r="AC734" s="151" t="s">
        <v>186</v>
      </c>
      <c r="AD734" s="151" t="str">
        <f aca="false">CONCATENATE($C734,$I734,$H734,$N734,$J734,$K734)</f>
        <v>TUBO PEADPEAD63VCAREDESZona07</v>
      </c>
      <c r="AE734" s="153" t="n">
        <f aca="false">IFERROR(INDEX(APOIO_REDES!$A:$W,MATCH($C734&amp;$I734&amp;$H734&amp;$N734&amp;$O734,APOIO_REDES!$W:$W,0),MATCH(AE$5,APOIO_REDES!$5:$5,0)),0)</f>
        <v>1.2</v>
      </c>
      <c r="AF734" s="153" t="n">
        <f aca="false">IFERROR(INDEX(APOIO_REDES!$A:$W,MATCH($C734&amp;$I734&amp;$H734&amp;$N734&amp;$O734,APOIO_REDES!$W:$W,0),MATCH(AF$5,APOIO_REDES!$5:$5,0)),0)</f>
        <v>1.363</v>
      </c>
      <c r="AG734" s="153" t="n">
        <f aca="false">IFERROR(INDEX(APOIO_REDES!$A:$W,MATCH($C734&amp;$I734&amp;$H734&amp;$N734&amp;$O734,APOIO_REDES!$W:$W,0),MATCH(AG$5,APOIO_REDES!$5:$5,0)),0)</f>
        <v>0.65</v>
      </c>
      <c r="AH734" s="153" t="n">
        <f aca="false">IFERROR(INDEX(APOIO_REDES!$A:$W,MATCH($C734&amp;$I734&amp;$H734&amp;$N734&amp;$O734,APOIO_REDES!$W:$W,0),MATCH(AH$5,APOIO_REDES!$5:$5,0)),0)</f>
        <v>0.1</v>
      </c>
      <c r="AI734" s="153" t="n">
        <f aca="false">IFERROR(IF($H734&lt;&gt;"",(((($H734/1000)/2)^2)*PI()*$M734),0),0)</f>
        <v>0.274005862795101</v>
      </c>
      <c r="AJ734" s="153" t="n">
        <f aca="false">IFERROR(IF(AND($H734&lt;&gt;"",$I734="FoFo",OR($N734="MND",$N734="VCA"),$Q734="LINEAR"),0,IF(AND($H734&lt;&gt;"",$I734="PEAD",$N734="VCA",$Q734="LINEAR"),($H734/1000)+0.3,IF(AND($H734&lt;&gt;"",$I734="PEAD",$N734="MND",$Q734="EMBOQUE"),0,IF(AND($H734&lt;&gt;"",$I734="PVC",$N734="VCA",$Q734="LINEAR"),($H734/1000)+0.2,IF(AND($H734&lt;&gt;"",$I734="PVC",$N734="MND",$Q734="EMBOQUE"),0,IF(AND($H734&lt;&gt;"",$I734="PEAD",$N734="VCA",$Q734="PREDIAL"),0,0)))))),0)</f>
        <v>0.363</v>
      </c>
      <c r="AK734" s="153" t="n">
        <f aca="false">IF(AA734&lt;&gt;"",AA734,0)</f>
        <v>3.4</v>
      </c>
      <c r="AL734" s="153" t="n">
        <f aca="false">IF(AND($N734="MND",$Q734="EMBOQUE"),$M734,IF(AND($N734="VCA",$Q734="LINEAR"),$M734,IF(AND($N734="VCA",$Q734="PREDIAL"),0,0)))</f>
        <v>87.9</v>
      </c>
      <c r="AM734" s="153" t="n">
        <f aca="false">IF(AND($N734="MND",$Q734="EMBOQUE"),$M734,IF(AND($N734="VCA",$Q734="LINEAR"),$M734,IF(AND($N734="VCA",$Q734="PREDIAL"),0,0)))</f>
        <v>87.9</v>
      </c>
      <c r="AN734" s="153" t="n">
        <f aca="false">ROUND(IF(AND($N734="VCA",$M734&lt;&gt;"",$Q734="LINEAR"),$M734/100,IF(AND($N734="MND",$M734&gt;100,$Q734="EMBOQUE"),$M734/100,0)),0)</f>
        <v>1</v>
      </c>
      <c r="AO734" s="153" t="n">
        <f aca="false">IF(AND($N734="MND",$Q734="EMBOQUE"),$AN734*2*2,IF(AND($N734="VCA",$Q734="LINEAR"),$M734*2,IF(AND($N734="VCA",$Q734="PREDIAL"),0,0)))</f>
        <v>175.8</v>
      </c>
      <c r="AP734" s="153" t="n">
        <f aca="false">IFERROR($M734*$AF734*$AG734,0)</f>
        <v>77.875005</v>
      </c>
      <c r="AQ734" s="153" t="n">
        <f aca="false">IFERROR(IF(AND($N734="VCA",$AH734&gt;0),$M734*$AG734*$AH734,0),0)</f>
        <v>5.7135</v>
      </c>
      <c r="AR734" s="153" t="n">
        <f aca="false">IFERROR(IF(AND($N734="VCA",$AJ734&gt;0),($M734*$AG734*$AJ734)-$AI734,0),0)</f>
        <v>20.4659991372049</v>
      </c>
      <c r="AS734" s="153" t="n">
        <f aca="false">IFERROR(IF(AND($N734="VCA",$AP734&gt;0),$AP734-$AI734-$AQ734-$AR734,0),0)</f>
        <v>51.4215</v>
      </c>
      <c r="AT734" s="153" t="n">
        <f aca="false">IFERROR(IF($N734="VCA",INDEX(APOIO_REDES!$A:$W,MATCH($C734&amp;$I734&amp;$H734&amp;$N734&amp;$O734,APOIO_REDES!$W:$W,0),MATCH(AT$5,APOIO_REDES!$5:$5,0)),0)*$AP734,0)</f>
        <v>0.847303104224904</v>
      </c>
      <c r="AU734" s="153" t="n">
        <f aca="false">IFERROR(IF($N734="VCA",INDEX(APOIO_REDES!$A:$W,MATCH($C734&amp;$I734&amp;$H734&amp;$N734&amp;$O734,APOIO_REDES!$W:$W,0),MATCH(AU$5,APOIO_REDES!$5:$5,0)),0)*$AP734,0)</f>
        <v>0.676633311155685</v>
      </c>
      <c r="AV734" s="153" t="n">
        <f aca="false">IFERROR(IF($N734="VCA",INDEX(APOIO_REDES!$A:$W,MATCH($C734&amp;$I734&amp;$H734&amp;$N734&amp;$O734,APOIO_REDES!$W:$W,0),MATCH(AV$5,APOIO_REDES!$5:$5,0)),0)*$AP734,0)</f>
        <v>0.0936407384841896</v>
      </c>
      <c r="AW734" s="153" t="n">
        <f aca="false">IFERROR(IF($N734="VCA",INDEX(APOIO_REDES!$A:$W,MATCH($C734&amp;$I734&amp;$H734&amp;$N734&amp;$O734,APOIO_REDES!$W:$W,0),MATCH(AW$5,APOIO_REDES!$5:$5,0)),0)*$AP734,0)</f>
        <v>53.4540068369835</v>
      </c>
      <c r="AX734" s="153" t="n">
        <f aca="false">IFERROR(IF($N734="VCA",INDEX(APOIO_REDES!$A:$W,MATCH($C734&amp;$I734&amp;$H734&amp;$N734&amp;$O734,APOIO_REDES!$W:$W,0),MATCH(AX$5,APOIO_REDES!$5:$5,0)),0)*$AP734,0)</f>
        <v>7.39788227961779</v>
      </c>
      <c r="AY734" s="153" t="n">
        <f aca="false">IFERROR(IF($N734="VCA",INDEX(APOIO_REDES!$A:$W,MATCH($C734&amp;$I734&amp;$H734&amp;$N734&amp;$O734,APOIO_REDES!$W:$W,0),MATCH(AY$5,APOIO_REDES!$5:$5,0)),0)*$AP734,0)</f>
        <v>13.5326579750085</v>
      </c>
      <c r="AZ734" s="153" t="n">
        <f aca="false">IFERROR(IF($N734="VCA",INDEX(APOIO_REDES!$A:$W,MATCH($C734&amp;$I734&amp;$H734&amp;$N734&amp;$O734,APOIO_REDES!$W:$W,0),MATCH(AZ$5,APOIO_REDES!$5:$5,0)),0)*$AP734,0)</f>
        <v>1.8728807545255</v>
      </c>
      <c r="BA734" s="153" t="n">
        <f aca="false">IFERROR(IF(AND($N734="VCA",$Q734="LINEAR"),INDEX(APOIO_REDES!$A:$W,MATCH($C734&amp;$I734&amp;$H734&amp;$N734&amp;$O734,APOIO_REDES!$W:$W,0),MATCH(BA$5,APOIO_REDES!$5:$5,0)),IF(AND($N734="MND",$Q734="EMBOQUE"),INDEX(APOIO_REDES!$A:$W,MATCH($C734&amp;$I734&amp;$H734&amp;$N734&amp;$O734,APOIO_REDES!$W:$W,0),MATCH(BA$5,APOIO_REDES!$5:$5,0)),0))*$M734/10,0)</f>
        <v>7.08451827926269</v>
      </c>
      <c r="BB734" s="153" t="n">
        <f aca="false">IFERROR(IF($N734="VCA",INDEX(APOIO_REDES!$A:$W,MATCH($C734&amp;$I734&amp;$H734&amp;$N734&amp;$O734,APOIO_REDES!$W:$W,0),MATCH(BB$5,APOIO_REDES!$5:$5,0)),0)*($AI734+$AQ734+$AR734),0)</f>
        <v>26.1656830357622</v>
      </c>
      <c r="BC734" s="153" t="n">
        <f aca="false">IFERROR(IF($N734="VCA",INDEX(APOIO_REDES!$A:$W,MATCH($C734&amp;$I734&amp;$H734&amp;$N734&amp;$O734,APOIO_REDES!$W:$W,0),MATCH(BC$5,APOIO_REDES!$5:$5,0)),0)*($AI734+$AQ734+$AR734),0)</f>
        <v>0.287821964237807</v>
      </c>
      <c r="BD734" s="153" t="n">
        <f aca="false">IF(AND($N734="VCA",$AF734&gt;=1.25,$AF734&lt;1.5),$M734*$AF734*2,0)</f>
        <v>239.6154</v>
      </c>
      <c r="BE734" s="153" t="n">
        <f aca="false">IF(AND($N734="VCA",$AF734&gt;=1.5,$AF734&lt;3),$M734*$AF734*2,0)</f>
        <v>0</v>
      </c>
      <c r="BF734" s="153" t="n">
        <f aca="false">IF(AND($N734="VCA",$AF734&gt;=3),$M734*$AF734*2,0)</f>
        <v>0</v>
      </c>
      <c r="BG734" s="153" t="n">
        <f aca="false">($BB734+$BC734)*$AK734</f>
        <v>89.941917</v>
      </c>
      <c r="BH734" s="153" t="n">
        <f aca="false">IF(AND($M734&lt;&gt;"",$N734="VCA",$Q734="LINEAR"),($M734*2)/100,IF(AND($M734&lt;&gt;"",$N734="MND",$Q734="EMBOQUE"),($AN734*2)/100,0))</f>
        <v>1.758</v>
      </c>
      <c r="BI734" s="153" t="n">
        <f aca="false">IF(AND($M734&lt;&gt;"",$N734="VCA",$Q734="LINEAR"),$M734,IF(AND($M734&lt;&gt;"",$N734="MND",$Q734="EMBOQUE"),$AN734*2,0))</f>
        <v>87.9</v>
      </c>
      <c r="BJ734" s="153" t="n">
        <f aca="false">IF(AND($M734&lt;&gt;"",$N734="VCA",$Q734="LINEAR"),($M734*6.8)/100,IF(AND($M734&lt;&gt;"",$N734="MND",$Q734="EMBOQUE"),($AN734*2*6.8)/100,0))</f>
        <v>5.9772</v>
      </c>
      <c r="BK734" s="153" t="n">
        <f aca="false">IF(AND($M734&lt;&gt;"",$N734="VCA",$Q734="LINEAR"),($M734*2.5)/50,IF(AND($M734&lt;&gt;"",$N734="MND",$Q734="EMBOQUE"),($AN734*2*2.5)/50,0))</f>
        <v>4.395</v>
      </c>
      <c r="BL734" s="157" t="str">
        <f aca="false">K734&amp;J734</f>
        <v>Zona07REDES</v>
      </c>
      <c r="BM734" s="152" t="s">
        <v>4225</v>
      </c>
      <c r="BN734" s="152" t="s">
        <v>1560</v>
      </c>
      <c r="BO734" s="152" t="s">
        <v>4097</v>
      </c>
      <c r="BP734" s="152" t="s">
        <v>4339</v>
      </c>
      <c r="BQ734" s="152" t="s">
        <v>4340</v>
      </c>
      <c r="BR734" s="152" t="s">
        <v>4341</v>
      </c>
      <c r="BS734" s="152" t="n">
        <v>204125.559</v>
      </c>
      <c r="BT734" s="152" t="n">
        <v>8236808.809</v>
      </c>
      <c r="BU734" s="152" t="n">
        <v>204061.873</v>
      </c>
      <c r="BV734" s="152" t="n">
        <v>8236806.546</v>
      </c>
      <c r="BW734" s="152" t="n">
        <v>-15.9301055</v>
      </c>
      <c r="BX734" s="152" t="n">
        <v>-47.7638304</v>
      </c>
      <c r="BY734" s="152" t="s">
        <v>4339</v>
      </c>
    </row>
    <row r="735" customFormat="false" ht="13.8" hidden="false" customHeight="false" outlineLevel="0" collapsed="false">
      <c r="A735" s="149" t="n">
        <f aca="false">IF(C735&lt;&gt;"",ROW(A730),"")</f>
        <v>730</v>
      </c>
      <c r="B735" s="150" t="str">
        <f aca="false">HYPERLINK("https://www.google.com/maps/dir/-15.917302,-47.760003/-15.9302278,-47.7624572/data=!4m3!4m2!3e0!5i2")</f>
        <v>https://www.google.com/maps/dir/-15.917302,-47.760003/-15.9302278,-47.7624572/data=!4m3!4m2!3e0!5i2</v>
      </c>
      <c r="C735" s="151" t="s">
        <v>117</v>
      </c>
      <c r="D735" s="152" t="s">
        <v>112</v>
      </c>
      <c r="E735" s="152" t="s">
        <v>113</v>
      </c>
      <c r="F735" s="152" t="s">
        <v>117</v>
      </c>
      <c r="G735" s="152" t="s">
        <v>782</v>
      </c>
      <c r="H735" s="152" t="n">
        <v>90</v>
      </c>
      <c r="I735" s="152" t="s">
        <v>115</v>
      </c>
      <c r="J735" s="152" t="s">
        <v>6</v>
      </c>
      <c r="K735" s="152" t="s">
        <v>4221</v>
      </c>
      <c r="L735" s="152" t="s">
        <v>120</v>
      </c>
      <c r="M735" s="153" t="n">
        <f aca="false">31.52</f>
        <v>31.52</v>
      </c>
      <c r="N735" s="152" t="s">
        <v>1548</v>
      </c>
      <c r="O735" s="152" t="s">
        <v>1549</v>
      </c>
      <c r="P735" s="152" t="s">
        <v>1550</v>
      </c>
      <c r="Q735" s="152" t="s">
        <v>1551</v>
      </c>
      <c r="R735" s="154" t="s">
        <v>4342</v>
      </c>
      <c r="S735" s="154" t="s">
        <v>1593</v>
      </c>
      <c r="T735" s="155" t="s">
        <v>4095</v>
      </c>
      <c r="U735" s="152" t="str">
        <f aca="false">RIGHT(T735,7)</f>
        <v>016/037</v>
      </c>
      <c r="V735" s="152" t="s">
        <v>1555</v>
      </c>
      <c r="W735" s="156" t="n">
        <v>45882</v>
      </c>
      <c r="X735" s="152" t="s">
        <v>4343</v>
      </c>
      <c r="Y735" s="152" t="s">
        <v>4344</v>
      </c>
      <c r="Z735" s="152" t="s">
        <v>1557</v>
      </c>
      <c r="AA735" s="153" t="n">
        <v>3.4</v>
      </c>
      <c r="AB735" s="151" t="s">
        <v>4345</v>
      </c>
      <c r="AC735" s="151" t="s">
        <v>526</v>
      </c>
      <c r="AD735" s="151" t="str">
        <f aca="false">CONCATENATE($C735,$I735,$H735,$N735,$J735,$K735)</f>
        <v>TUBO PEADPEAD90VCAREDESZona07</v>
      </c>
      <c r="AE735" s="153" t="n">
        <f aca="false">IFERROR(INDEX(APOIO_REDES!$A:$W,MATCH($C735&amp;$I735&amp;$H735&amp;$N735&amp;$O735,APOIO_REDES!$W:$W,0),MATCH(AE$5,APOIO_REDES!$5:$5,0)),0)</f>
        <v>1.2</v>
      </c>
      <c r="AF735" s="153" t="n">
        <f aca="false">IFERROR(INDEX(APOIO_REDES!$A:$W,MATCH($C735&amp;$I735&amp;$H735&amp;$N735&amp;$O735,APOIO_REDES!$W:$W,0),MATCH(AF$5,APOIO_REDES!$5:$5,0)),0)</f>
        <v>1.39</v>
      </c>
      <c r="AG735" s="153" t="n">
        <f aca="false">IFERROR(INDEX(APOIO_REDES!$A:$W,MATCH($C735&amp;$I735&amp;$H735&amp;$N735&amp;$O735,APOIO_REDES!$W:$W,0),MATCH(AG$5,APOIO_REDES!$5:$5,0)),0)</f>
        <v>0.75</v>
      </c>
      <c r="AH735" s="153" t="n">
        <f aca="false">IFERROR(INDEX(APOIO_REDES!$A:$W,MATCH($C735&amp;$I735&amp;$H735&amp;$N735&amp;$O735,APOIO_REDES!$W:$W,0),MATCH(AH$5,APOIO_REDES!$5:$5,0)),0)</f>
        <v>0.1</v>
      </c>
      <c r="AI735" s="153" t="n">
        <f aca="false">IFERROR(IF($H735&lt;&gt;"",(((($H735/1000)/2)^2)*PI()*$M735),0),0)</f>
        <v>0.200521575893329</v>
      </c>
      <c r="AJ735" s="153" t="n">
        <f aca="false">IFERROR(IF(AND($H735&lt;&gt;"",$I735="FoFo",OR($N735="MND",$N735="VCA"),$Q735="LINEAR"),0,IF(AND($H735&lt;&gt;"",$I735="PEAD",$N735="VCA",$Q735="LINEAR"),($H735/1000)+0.3,IF(AND($H735&lt;&gt;"",$I735="PEAD",$N735="MND",$Q735="EMBOQUE"),0,IF(AND($H735&lt;&gt;"",$I735="PVC",$N735="VCA",$Q735="LINEAR"),($H735/1000)+0.2,IF(AND($H735&lt;&gt;"",$I735="PVC",$N735="MND",$Q735="EMBOQUE"),0,IF(AND($H735&lt;&gt;"",$I735="PEAD",$N735="VCA",$Q735="PREDIAL"),0,0)))))),0)</f>
        <v>0.39</v>
      </c>
      <c r="AK735" s="153" t="n">
        <f aca="false">IF(AA735&lt;&gt;"",AA735,0)</f>
        <v>3.4</v>
      </c>
      <c r="AL735" s="153" t="n">
        <f aca="false">IF(AND($N735="MND",$Q735="EMBOQUE"),$M735,IF(AND($N735="VCA",$Q735="LINEAR"),$M735,IF(AND($N735="VCA",$Q735="PREDIAL"),0,0)))</f>
        <v>31.52</v>
      </c>
      <c r="AM735" s="153" t="n">
        <f aca="false">IF(AND($N735="MND",$Q735="EMBOQUE"),$M735,IF(AND($N735="VCA",$Q735="LINEAR"),$M735,IF(AND($N735="VCA",$Q735="PREDIAL"),0,0)))</f>
        <v>31.52</v>
      </c>
      <c r="AN735" s="153" t="n">
        <f aca="false">ROUND(IF(AND($N735="VCA",$M735&lt;&gt;"",$Q735="LINEAR"),$M735/100,IF(AND($N735="MND",$M735&gt;100,$Q735="EMBOQUE"),$M735/100,0)),0)</f>
        <v>0</v>
      </c>
      <c r="AO735" s="153" t="n">
        <f aca="false">IF(AND($N735="MND",$Q735="EMBOQUE"),$AN735*2*2,IF(AND($N735="VCA",$Q735="LINEAR"),$M735*2,IF(AND($N735="VCA",$Q735="PREDIAL"),0,0)))</f>
        <v>63.04</v>
      </c>
      <c r="AP735" s="153" t="n">
        <f aca="false">IFERROR($M735*$AF735*$AG735,0)</f>
        <v>32.8596</v>
      </c>
      <c r="AQ735" s="153" t="n">
        <f aca="false">IFERROR(IF(AND($N735="VCA",$AH735&gt;0),$M735*$AG735*$AH735,0),0)</f>
        <v>2.364</v>
      </c>
      <c r="AR735" s="153" t="n">
        <f aca="false">IFERROR(IF(AND($N735="VCA",$AJ735&gt;0),($M735*$AG735*$AJ735)-$AI735,0),0)</f>
        <v>9.01907842410667</v>
      </c>
      <c r="AS735" s="153" t="n">
        <f aca="false">IFERROR(IF(AND($N735="VCA",$AP735&gt;0),$AP735-$AI735-$AQ735-$AR735,0),0)</f>
        <v>21.276</v>
      </c>
      <c r="AT735" s="153" t="n">
        <f aca="false">IFERROR(IF($N735="VCA",INDEX(APOIO_REDES!$A:$W,MATCH($C735&amp;$I735&amp;$H735&amp;$N735&amp;$O735,APOIO_REDES!$W:$W,0),MATCH(AT$5,APOIO_REDES!$5:$5,0)),0)*$AP735,0)</f>
        <v>0.35752217394514</v>
      </c>
      <c r="AU735" s="153" t="n">
        <f aca="false">IFERROR(IF($N735="VCA",INDEX(APOIO_REDES!$A:$W,MATCH($C735&amp;$I735&amp;$H735&amp;$N735&amp;$O735,APOIO_REDES!$W:$W,0),MATCH(AU$5,APOIO_REDES!$5:$5,0)),0)*$AP735,0)</f>
        <v>0.285507525184125</v>
      </c>
      <c r="AV735" s="153" t="n">
        <f aca="false">IFERROR(IF($N735="VCA",INDEX(APOIO_REDES!$A:$W,MATCH($C735&amp;$I735&amp;$H735&amp;$N735&amp;$O735,APOIO_REDES!$W:$W,0),MATCH(AV$5,APOIO_REDES!$5:$5,0)),0)*$AP735,0)</f>
        <v>0.0395120001635323</v>
      </c>
      <c r="AW735" s="153" t="n">
        <f aca="false">IFERROR(IF($N735="VCA",INDEX(APOIO_REDES!$A:$W,MATCH($C735&amp;$I735&amp;$H735&amp;$N735&amp;$O735,APOIO_REDES!$W:$W,0),MATCH(AW$5,APOIO_REDES!$5:$5,0)),0)*$AP735,0)</f>
        <v>22.5550840486051</v>
      </c>
      <c r="AX735" s="153" t="n">
        <f aca="false">IFERROR(IF($N735="VCA",INDEX(APOIO_REDES!$A:$W,MATCH($C735&amp;$I735&amp;$H735&amp;$N735&amp;$O735,APOIO_REDES!$W:$W,0),MATCH(AX$5,APOIO_REDES!$5:$5,0)),0)*$AP735,0)</f>
        <v>3.12155938295386</v>
      </c>
      <c r="AY735" s="153" t="n">
        <f aca="false">IFERROR(IF($N735="VCA",INDEX(APOIO_REDES!$A:$W,MATCH($C735&amp;$I735&amp;$H735&amp;$N735&amp;$O735,APOIO_REDES!$W:$W,0),MATCH(AY$5,APOIO_REDES!$5:$5,0)),0)*$AP735,0)</f>
        <v>5.71014702336891</v>
      </c>
      <c r="AZ735" s="153" t="n">
        <f aca="false">IFERROR(IF($N735="VCA",INDEX(APOIO_REDES!$A:$W,MATCH($C735&amp;$I735&amp;$H735&amp;$N735&amp;$O735,APOIO_REDES!$W:$W,0),MATCH(AZ$5,APOIO_REDES!$5:$5,0)),0)*$AP735,0)</f>
        <v>0.790267845779348</v>
      </c>
      <c r="BA735" s="153" t="n">
        <f aca="false">IFERROR(IF(AND($N735="VCA",$Q735="LINEAR"),INDEX(APOIO_REDES!$A:$W,MATCH($C735&amp;$I735&amp;$H735&amp;$N735&amp;$O735,APOIO_REDES!$W:$W,0),MATCH(BA$5,APOIO_REDES!$5:$5,0)),IF(AND($N735="MND",$Q735="EMBOQUE"),INDEX(APOIO_REDES!$A:$W,MATCH($C735&amp;$I735&amp;$H735&amp;$N735&amp;$O735,APOIO_REDES!$W:$W,0),MATCH(BA$5,APOIO_REDES!$5:$5,0)),0))*$M735/10,0)</f>
        <v>2.54043249331467</v>
      </c>
      <c r="BB735" s="153" t="n">
        <f aca="false">IFERROR(IF($N735="VCA",INDEX(APOIO_REDES!$A:$W,MATCH($C735&amp;$I735&amp;$H735&amp;$N735&amp;$O735,APOIO_REDES!$W:$W,0),MATCH(BB$5,APOIO_REDES!$5:$5,0)),0)*($AI735+$AQ735+$AR735),0)</f>
        <v>11.4575670034294</v>
      </c>
      <c r="BC735" s="153" t="n">
        <f aca="false">IFERROR(IF($N735="VCA",INDEX(APOIO_REDES!$A:$W,MATCH($C735&amp;$I735&amp;$H735&amp;$N735&amp;$O735,APOIO_REDES!$W:$W,0),MATCH(BC$5,APOIO_REDES!$5:$5,0)),0)*($AI735+$AQ735+$AR735),0)</f>
        <v>0.126032996570589</v>
      </c>
      <c r="BD735" s="153" t="n">
        <f aca="false">IF(AND($N735="VCA",$AF735&gt;=1.25,$AF735&lt;1.5),$M735*$AF735*2,0)</f>
        <v>87.6256</v>
      </c>
      <c r="BE735" s="153" t="n">
        <f aca="false">IF(AND($N735="VCA",$AF735&gt;=1.5,$AF735&lt;3),$M735*$AF735*2,0)</f>
        <v>0</v>
      </c>
      <c r="BF735" s="153" t="n">
        <f aca="false">IF(AND($N735="VCA",$AF735&gt;=3),$M735*$AF735*2,0)</f>
        <v>0</v>
      </c>
      <c r="BG735" s="153" t="n">
        <f aca="false">($BB735+$BC735)*$AK735</f>
        <v>39.38424</v>
      </c>
      <c r="BH735" s="153" t="n">
        <f aca="false">IF(AND($M735&lt;&gt;"",$N735="VCA",$Q735="LINEAR"),($M735*2)/100,IF(AND($M735&lt;&gt;"",$N735="MND",$Q735="EMBOQUE"),($AN735*2)/100,0))</f>
        <v>0.6304</v>
      </c>
      <c r="BI735" s="153" t="n">
        <f aca="false">IF(AND($M735&lt;&gt;"",$N735="VCA",$Q735="LINEAR"),$M735,IF(AND($M735&lt;&gt;"",$N735="MND",$Q735="EMBOQUE"),$AN735*2,0))</f>
        <v>31.52</v>
      </c>
      <c r="BJ735" s="153" t="n">
        <f aca="false">IF(AND($M735&lt;&gt;"",$N735="VCA",$Q735="LINEAR"),($M735*6.8)/100,IF(AND($M735&lt;&gt;"",$N735="MND",$Q735="EMBOQUE"),($AN735*2*6.8)/100,0))</f>
        <v>2.14336</v>
      </c>
      <c r="BK735" s="153" t="n">
        <f aca="false">IF(AND($M735&lt;&gt;"",$N735="VCA",$Q735="LINEAR"),($M735*2.5)/50,IF(AND($M735&lt;&gt;"",$N735="MND",$Q735="EMBOQUE"),($AN735*2*2.5)/50,0))</f>
        <v>1.576</v>
      </c>
      <c r="BL735" s="157" t="str">
        <f aca="false">K735&amp;J735</f>
        <v>Zona07REDES</v>
      </c>
      <c r="BM735" s="152" t="s">
        <v>4225</v>
      </c>
      <c r="BN735" s="152" t="s">
        <v>1560</v>
      </c>
      <c r="BO735" s="152" t="s">
        <v>4097</v>
      </c>
      <c r="BP735" s="152" t="s">
        <v>4331</v>
      </c>
      <c r="BQ735" s="152" t="s">
        <v>4346</v>
      </c>
      <c r="BR735" s="152" t="s">
        <v>4347</v>
      </c>
      <c r="BS735" s="152" t="n">
        <v>204240.485</v>
      </c>
      <c r="BT735" s="152" t="n">
        <v>8236824.282</v>
      </c>
      <c r="BU735" s="152" t="n">
        <v>204231.618</v>
      </c>
      <c r="BV735" s="152" t="n">
        <v>8236794.045</v>
      </c>
      <c r="BW735" s="152" t="n">
        <v>-15.930366</v>
      </c>
      <c r="BX735" s="152" t="n">
        <v>-47.7624926</v>
      </c>
      <c r="BY735" s="152" t="s">
        <v>4331</v>
      </c>
    </row>
    <row r="736" customFormat="false" ht="13.8" hidden="false" customHeight="false" outlineLevel="0" collapsed="false">
      <c r="A736" s="149" t="n">
        <f aca="false">IF(C736&lt;&gt;"",ROW(A731),"")</f>
        <v>731</v>
      </c>
      <c r="B736" s="150" t="str">
        <f aca="false">HYPERLINK("https://www.google.com/maps/dir/-15.917302,-47.760003/-15.9304995,-47.7625436/data=!4m3!4m2!3e0!5i2")</f>
        <v>https://www.google.com/maps/dir/-15.917302,-47.760003/-15.9304995,-47.7625436/data=!4m3!4m2!3e0!5i2</v>
      </c>
      <c r="C736" s="151" t="s">
        <v>117</v>
      </c>
      <c r="D736" s="152" t="s">
        <v>112</v>
      </c>
      <c r="E736" s="152" t="s">
        <v>113</v>
      </c>
      <c r="F736" s="152" t="s">
        <v>117</v>
      </c>
      <c r="G736" s="152" t="s">
        <v>782</v>
      </c>
      <c r="H736" s="152" t="n">
        <v>63</v>
      </c>
      <c r="I736" s="152" t="s">
        <v>115</v>
      </c>
      <c r="J736" s="152" t="s">
        <v>6</v>
      </c>
      <c r="K736" s="152" t="s">
        <v>4221</v>
      </c>
      <c r="L736" s="152" t="s">
        <v>120</v>
      </c>
      <c r="M736" s="153" t="n">
        <f aca="false">94.43+4.48</f>
        <v>98.91</v>
      </c>
      <c r="N736" s="152" t="s">
        <v>1548</v>
      </c>
      <c r="O736" s="152" t="s">
        <v>1549</v>
      </c>
      <c r="P736" s="152" t="s">
        <v>1550</v>
      </c>
      <c r="Q736" s="152" t="s">
        <v>1551</v>
      </c>
      <c r="R736" s="154" t="s">
        <v>4348</v>
      </c>
      <c r="S736" s="154" t="s">
        <v>1553</v>
      </c>
      <c r="T736" s="155" t="s">
        <v>4095</v>
      </c>
      <c r="U736" s="152" t="str">
        <f aca="false">RIGHT(T736,7)</f>
        <v>016/037</v>
      </c>
      <c r="V736" s="152" t="s">
        <v>1555</v>
      </c>
      <c r="W736" s="156" t="n">
        <v>45882</v>
      </c>
      <c r="X736" s="152" t="s">
        <v>4343</v>
      </c>
      <c r="Y736" s="152" t="s">
        <v>4344</v>
      </c>
      <c r="Z736" s="152" t="s">
        <v>1557</v>
      </c>
      <c r="AA736" s="153" t="n">
        <v>3.4</v>
      </c>
      <c r="AB736" s="151" t="s">
        <v>4349</v>
      </c>
      <c r="AC736" s="151" t="s">
        <v>186</v>
      </c>
      <c r="AD736" s="151" t="str">
        <f aca="false">CONCATENATE($C736,$I736,$H736,$N736,$J736,$K736)</f>
        <v>TUBO PEADPEAD63VCAREDESZona07</v>
      </c>
      <c r="AE736" s="153" t="n">
        <f aca="false">IFERROR(INDEX(APOIO_REDES!$A:$W,MATCH($C736&amp;$I736&amp;$H736&amp;$N736&amp;$O736,APOIO_REDES!$W:$W,0),MATCH(AE$5,APOIO_REDES!$5:$5,0)),0)</f>
        <v>1.2</v>
      </c>
      <c r="AF736" s="153" t="n">
        <f aca="false">IFERROR(INDEX(APOIO_REDES!$A:$W,MATCH($C736&amp;$I736&amp;$H736&amp;$N736&amp;$O736,APOIO_REDES!$W:$W,0),MATCH(AF$5,APOIO_REDES!$5:$5,0)),0)</f>
        <v>1.363</v>
      </c>
      <c r="AG736" s="153" t="n">
        <f aca="false">IFERROR(INDEX(APOIO_REDES!$A:$W,MATCH($C736&amp;$I736&amp;$H736&amp;$N736&amp;$O736,APOIO_REDES!$W:$W,0),MATCH(AG$5,APOIO_REDES!$5:$5,0)),0)</f>
        <v>0.65</v>
      </c>
      <c r="AH736" s="153" t="n">
        <f aca="false">IFERROR(INDEX(APOIO_REDES!$A:$W,MATCH($C736&amp;$I736&amp;$H736&amp;$N736&amp;$O736,APOIO_REDES!$W:$W,0),MATCH(AH$5,APOIO_REDES!$5:$5,0)),0)</f>
        <v>0.1</v>
      </c>
      <c r="AI736" s="153" t="n">
        <f aca="false">IFERROR(IF($H736&lt;&gt;"",(((($H736/1000)/2)^2)*PI()*$M736),0),0)</f>
        <v>0.308326733663976</v>
      </c>
      <c r="AJ736" s="153" t="n">
        <f aca="false">IFERROR(IF(AND($H736&lt;&gt;"",$I736="FoFo",OR($N736="MND",$N736="VCA"),$Q736="LINEAR"),0,IF(AND($H736&lt;&gt;"",$I736="PEAD",$N736="VCA",$Q736="LINEAR"),($H736/1000)+0.3,IF(AND($H736&lt;&gt;"",$I736="PEAD",$N736="MND",$Q736="EMBOQUE"),0,IF(AND($H736&lt;&gt;"",$I736="PVC",$N736="VCA",$Q736="LINEAR"),($H736/1000)+0.2,IF(AND($H736&lt;&gt;"",$I736="PVC",$N736="MND",$Q736="EMBOQUE"),0,IF(AND($H736&lt;&gt;"",$I736="PEAD",$N736="VCA",$Q736="PREDIAL"),0,0)))))),0)</f>
        <v>0.363</v>
      </c>
      <c r="AK736" s="153" t="n">
        <f aca="false">IF(AA736&lt;&gt;"",AA736,0)</f>
        <v>3.4</v>
      </c>
      <c r="AL736" s="153" t="n">
        <f aca="false">IF(AND($N736="MND",$Q736="EMBOQUE"),$M736,IF(AND($N736="VCA",$Q736="LINEAR"),$M736,IF(AND($N736="VCA",$Q736="PREDIAL"),0,0)))</f>
        <v>98.91</v>
      </c>
      <c r="AM736" s="153" t="n">
        <f aca="false">IF(AND($N736="MND",$Q736="EMBOQUE"),$M736,IF(AND($N736="VCA",$Q736="LINEAR"),$M736,IF(AND($N736="VCA",$Q736="PREDIAL"),0,0)))</f>
        <v>98.91</v>
      </c>
      <c r="AN736" s="153" t="n">
        <f aca="false">ROUND(IF(AND($N736="VCA",$M736&lt;&gt;"",$Q736="LINEAR"),$M736/100,IF(AND($N736="MND",$M736&gt;100,$Q736="EMBOQUE"),$M736/100,0)),0)</f>
        <v>1</v>
      </c>
      <c r="AO736" s="153" t="n">
        <f aca="false">IF(AND($N736="MND",$Q736="EMBOQUE"),$AN736*2*2,IF(AND($N736="VCA",$Q736="LINEAR"),$M736*2,IF(AND($N736="VCA",$Q736="PREDIAL"),0,0)))</f>
        <v>197.82</v>
      </c>
      <c r="AP736" s="153" t="n">
        <f aca="false">IFERROR($M736*$AF736*$AG736,0)</f>
        <v>87.6293145</v>
      </c>
      <c r="AQ736" s="153" t="n">
        <f aca="false">IFERROR(IF(AND($N736="VCA",$AH736&gt;0),$M736*$AG736*$AH736,0),0)</f>
        <v>6.42915</v>
      </c>
      <c r="AR736" s="153" t="n">
        <f aca="false">IFERROR(IF(AND($N736="VCA",$AJ736&gt;0),($M736*$AG736*$AJ736)-$AI736,0),0)</f>
        <v>23.029487766336</v>
      </c>
      <c r="AS736" s="153" t="n">
        <f aca="false">IFERROR(IF(AND($N736="VCA",$AP736&gt;0),$AP736-$AI736-$AQ736-$AR736,0),0)</f>
        <v>57.86235</v>
      </c>
      <c r="AT736" s="153" t="n">
        <f aca="false">IFERROR(IF($N736="VCA",INDEX(APOIO_REDES!$A:$W,MATCH($C736&amp;$I736&amp;$H736&amp;$N736&amp;$O736,APOIO_REDES!$W:$W,0),MATCH(AT$5,APOIO_REDES!$5:$5,0)),0)*$AP736,0)</f>
        <v>0.953432878713143</v>
      </c>
      <c r="AU736" s="153" t="n">
        <f aca="false">IFERROR(IF($N736="VCA",INDEX(APOIO_REDES!$A:$W,MATCH($C736&amp;$I736&amp;$H736&amp;$N736&amp;$O736,APOIO_REDES!$W:$W,0),MATCH(AU$5,APOIO_REDES!$5:$5,0)),0)*$AP736,0)</f>
        <v>0.761385674703172</v>
      </c>
      <c r="AV736" s="153" t="n">
        <f aca="false">IFERROR(IF($N736="VCA",INDEX(APOIO_REDES!$A:$W,MATCH($C736&amp;$I736&amp;$H736&amp;$N736&amp;$O736,APOIO_REDES!$W:$W,0),MATCH(AV$5,APOIO_REDES!$5:$5,0)),0)*$AP736,0)</f>
        <v>0.105369800267021</v>
      </c>
      <c r="AW736" s="153" t="n">
        <f aca="false">IFERROR(IF($N736="VCA",INDEX(APOIO_REDES!$A:$W,MATCH($C736&amp;$I736&amp;$H736&amp;$N736&amp;$O736,APOIO_REDES!$W:$W,0),MATCH(AW$5,APOIO_REDES!$5:$5,0)),0)*$AP736,0)</f>
        <v>60.1494404578616</v>
      </c>
      <c r="AX736" s="153" t="n">
        <f aca="false">IFERROR(IF($N736="VCA",INDEX(APOIO_REDES!$A:$W,MATCH($C736&amp;$I736&amp;$H736&amp;$N736&amp;$O736,APOIO_REDES!$W:$W,0),MATCH(AX$5,APOIO_REDES!$5:$5,0)),0)*$AP736,0)</f>
        <v>8.32451122044364</v>
      </c>
      <c r="AY736" s="153" t="n">
        <f aca="false">IFERROR(IF($N736="VCA",INDEX(APOIO_REDES!$A:$W,MATCH($C736&amp;$I736&amp;$H736&amp;$N736&amp;$O736,APOIO_REDES!$W:$W,0),MATCH(AY$5,APOIO_REDES!$5:$5,0)),0)*$AP736,0)</f>
        <v>15.2277042128338</v>
      </c>
      <c r="AZ736" s="153" t="n">
        <f aca="false">IFERROR(IF($N736="VCA",INDEX(APOIO_REDES!$A:$W,MATCH($C736&amp;$I736&amp;$H736&amp;$N736&amp;$O736,APOIO_REDES!$W:$W,0),MATCH(AZ$5,APOIO_REDES!$5:$5,0)),0)*$AP736,0)</f>
        <v>2.10747025517767</v>
      </c>
      <c r="BA736" s="153" t="n">
        <f aca="false">IFERROR(IF(AND($N736="VCA",$Q736="LINEAR"),INDEX(APOIO_REDES!$A:$W,MATCH($C736&amp;$I736&amp;$H736&amp;$N736&amp;$O736,APOIO_REDES!$W:$W,0),MATCH(BA$5,APOIO_REDES!$5:$5,0)),IF(AND($N736="MND",$Q736="EMBOQUE"),INDEX(APOIO_REDES!$A:$W,MATCH($C736&amp;$I736&amp;$H736&amp;$N736&amp;$O736,APOIO_REDES!$W:$W,0),MATCH(BA$5,APOIO_REDES!$5:$5,0)),0))*$M736/10,0)</f>
        <v>7.97189650741607</v>
      </c>
      <c r="BB736" s="153" t="n">
        <f aca="false">IFERROR(IF($N736="VCA",INDEX(APOIO_REDES!$A:$W,MATCH($C736&amp;$I736&amp;$H736&amp;$N736&amp;$O736,APOIO_REDES!$W:$W,0),MATCH(BB$5,APOIO_REDES!$5:$5,0)),0)*($AI736+$AQ736+$AR736),0)</f>
        <v>29.4430911156683</v>
      </c>
      <c r="BC736" s="153" t="n">
        <f aca="false">IFERROR(IF($N736="VCA",INDEX(APOIO_REDES!$A:$W,MATCH($C736&amp;$I736&amp;$H736&amp;$N736&amp;$O736,APOIO_REDES!$W:$W,0),MATCH(BC$5,APOIO_REDES!$5:$5,0)),0)*($AI736+$AQ736+$AR736),0)</f>
        <v>0.323873384331757</v>
      </c>
      <c r="BD736" s="153" t="n">
        <f aca="false">IF(AND($N736="VCA",$AF736&gt;=1.25,$AF736&lt;1.5),$M736*$AF736*2,0)</f>
        <v>269.62866</v>
      </c>
      <c r="BE736" s="153" t="n">
        <f aca="false">IF(AND($N736="VCA",$AF736&gt;=1.5,$AF736&lt;3),$M736*$AF736*2,0)</f>
        <v>0</v>
      </c>
      <c r="BF736" s="153" t="n">
        <f aca="false">IF(AND($N736="VCA",$AF736&gt;=3),$M736*$AF736*2,0)</f>
        <v>0</v>
      </c>
      <c r="BG736" s="153" t="n">
        <f aca="false">($BB736+$BC736)*$AK736</f>
        <v>101.2076793</v>
      </c>
      <c r="BH736" s="153" t="n">
        <f aca="false">IF(AND($M736&lt;&gt;"",$N736="VCA",$Q736="LINEAR"),($M736*2)/100,IF(AND($M736&lt;&gt;"",$N736="MND",$Q736="EMBOQUE"),($AN736*2)/100,0))</f>
        <v>1.9782</v>
      </c>
      <c r="BI736" s="153" t="n">
        <f aca="false">IF(AND($M736&lt;&gt;"",$N736="VCA",$Q736="LINEAR"),$M736,IF(AND($M736&lt;&gt;"",$N736="MND",$Q736="EMBOQUE"),$AN736*2,0))</f>
        <v>98.91</v>
      </c>
      <c r="BJ736" s="153" t="n">
        <f aca="false">IF(AND($M736&lt;&gt;"",$N736="VCA",$Q736="LINEAR"),($M736*6.8)/100,IF(AND($M736&lt;&gt;"",$N736="MND",$Q736="EMBOQUE"),($AN736*2*6.8)/100,0))</f>
        <v>6.72588</v>
      </c>
      <c r="BK736" s="153" t="n">
        <f aca="false">IF(AND($M736&lt;&gt;"",$N736="VCA",$Q736="LINEAR"),($M736*2.5)/50,IF(AND($M736&lt;&gt;"",$N736="MND",$Q736="EMBOQUE"),($AN736*2*2.5)/50,0))</f>
        <v>4.9455</v>
      </c>
      <c r="BL736" s="157" t="str">
        <f aca="false">K736&amp;J736</f>
        <v>Zona07REDES</v>
      </c>
      <c r="BM736" s="152" t="s">
        <v>4225</v>
      </c>
      <c r="BN736" s="152" t="s">
        <v>1560</v>
      </c>
      <c r="BO736" s="152" t="s">
        <v>4097</v>
      </c>
      <c r="BP736" s="152" t="s">
        <v>4346</v>
      </c>
      <c r="BQ736" s="152" t="s">
        <v>4350</v>
      </c>
      <c r="BR736" s="152" t="s">
        <v>4351</v>
      </c>
      <c r="BS736" s="152" t="n">
        <v>204231.164</v>
      </c>
      <c r="BT736" s="152" t="n">
        <v>8236794.192</v>
      </c>
      <c r="BU736" s="152" t="n">
        <v>204139.203</v>
      </c>
      <c r="BV736" s="152" t="n">
        <v>8236815.519</v>
      </c>
      <c r="BW736" s="152" t="n">
        <v>-15.9303939</v>
      </c>
      <c r="BX736" s="152" t="n">
        <v>-47.7629705</v>
      </c>
      <c r="BY736" s="152" t="s">
        <v>4346</v>
      </c>
    </row>
    <row r="737" customFormat="false" ht="13.8" hidden="false" customHeight="false" outlineLevel="0" collapsed="false">
      <c r="A737" s="149" t="n">
        <f aca="false">IF(C737&lt;&gt;"",ROW(A732),"")</f>
        <v>732</v>
      </c>
      <c r="B737" s="150" t="str">
        <f aca="false">HYPERLINK("https://www.google.com/maps/dir/-15.917302,-47.760003/-15.9306568,-47.7632652/data=!4m3!4m2!3e0!5i2")</f>
        <v>https://www.google.com/maps/dir/-15.917302,-47.760003/-15.9306568,-47.7632652/data=!4m3!4m2!3e0!5i2</v>
      </c>
      <c r="C737" s="151" t="s">
        <v>117</v>
      </c>
      <c r="D737" s="152" t="s">
        <v>112</v>
      </c>
      <c r="E737" s="152" t="s">
        <v>113</v>
      </c>
      <c r="F737" s="152" t="s">
        <v>117</v>
      </c>
      <c r="G737" s="152" t="s">
        <v>782</v>
      </c>
      <c r="H737" s="152" t="n">
        <v>63</v>
      </c>
      <c r="I737" s="152" t="s">
        <v>115</v>
      </c>
      <c r="J737" s="152" t="s">
        <v>6</v>
      </c>
      <c r="K737" s="152" t="s">
        <v>4221</v>
      </c>
      <c r="L737" s="152" t="s">
        <v>120</v>
      </c>
      <c r="M737" s="153" t="n">
        <f aca="false">43.68</f>
        <v>43.68</v>
      </c>
      <c r="N737" s="152" t="s">
        <v>1548</v>
      </c>
      <c r="O737" s="152" t="s">
        <v>1549</v>
      </c>
      <c r="P737" s="152" t="s">
        <v>1550</v>
      </c>
      <c r="Q737" s="152" t="s">
        <v>1551</v>
      </c>
      <c r="R737" s="154" t="s">
        <v>4352</v>
      </c>
      <c r="S737" s="154" t="s">
        <v>1553</v>
      </c>
      <c r="T737" s="155" t="s">
        <v>4095</v>
      </c>
      <c r="U737" s="152" t="str">
        <f aca="false">RIGHT(T737,7)</f>
        <v>016/037</v>
      </c>
      <c r="V737" s="152" t="s">
        <v>1555</v>
      </c>
      <c r="W737" s="156" t="n">
        <v>45882</v>
      </c>
      <c r="X737" s="152" t="s">
        <v>3938</v>
      </c>
      <c r="Y737" s="152" t="s">
        <v>2630</v>
      </c>
      <c r="Z737" s="152" t="s">
        <v>1557</v>
      </c>
      <c r="AA737" s="153" t="n">
        <v>3.4</v>
      </c>
      <c r="AB737" s="151" t="s">
        <v>4353</v>
      </c>
      <c r="AC737" s="151" t="s">
        <v>186</v>
      </c>
      <c r="AD737" s="151" t="str">
        <f aca="false">CONCATENATE($C737,$I737,$H737,$N737,$J737,$K737)</f>
        <v>TUBO PEADPEAD63VCAREDESZona07</v>
      </c>
      <c r="AE737" s="153" t="n">
        <f aca="false">IFERROR(INDEX(APOIO_REDES!$A:$W,MATCH($C737&amp;$I737&amp;$H737&amp;$N737&amp;$O737,APOIO_REDES!$W:$W,0),MATCH(AE$5,APOIO_REDES!$5:$5,0)),0)</f>
        <v>1.2</v>
      </c>
      <c r="AF737" s="153" t="n">
        <f aca="false">IFERROR(INDEX(APOIO_REDES!$A:$W,MATCH($C737&amp;$I737&amp;$H737&amp;$N737&amp;$O737,APOIO_REDES!$W:$W,0),MATCH(AF$5,APOIO_REDES!$5:$5,0)),0)</f>
        <v>1.363</v>
      </c>
      <c r="AG737" s="153" t="n">
        <f aca="false">IFERROR(INDEX(APOIO_REDES!$A:$W,MATCH($C737&amp;$I737&amp;$H737&amp;$N737&amp;$O737,APOIO_REDES!$W:$W,0),MATCH(AG$5,APOIO_REDES!$5:$5,0)),0)</f>
        <v>0.65</v>
      </c>
      <c r="AH737" s="153" t="n">
        <f aca="false">IFERROR(INDEX(APOIO_REDES!$A:$W,MATCH($C737&amp;$I737&amp;$H737&amp;$N737&amp;$O737,APOIO_REDES!$W:$W,0),MATCH(AH$5,APOIO_REDES!$5:$5,0)),0)</f>
        <v>0.1</v>
      </c>
      <c r="AI737" s="153" t="n">
        <f aca="false">IFERROR(IF($H737&lt;&gt;"",(((($H737/1000)/2)^2)*PI()*$M737),0),0)</f>
        <v>0.136161275163709</v>
      </c>
      <c r="AJ737" s="153" t="n">
        <f aca="false">IFERROR(IF(AND($H737&lt;&gt;"",$I737="FoFo",OR($N737="MND",$N737="VCA"),$Q737="LINEAR"),0,IF(AND($H737&lt;&gt;"",$I737="PEAD",$N737="VCA",$Q737="LINEAR"),($H737/1000)+0.3,IF(AND($H737&lt;&gt;"",$I737="PEAD",$N737="MND",$Q737="EMBOQUE"),0,IF(AND($H737&lt;&gt;"",$I737="PVC",$N737="VCA",$Q737="LINEAR"),($H737/1000)+0.2,IF(AND($H737&lt;&gt;"",$I737="PVC",$N737="MND",$Q737="EMBOQUE"),0,IF(AND($H737&lt;&gt;"",$I737="PEAD",$N737="VCA",$Q737="PREDIAL"),0,0)))))),0)</f>
        <v>0.363</v>
      </c>
      <c r="AK737" s="153" t="n">
        <f aca="false">IF(AA737&lt;&gt;"",AA737,0)</f>
        <v>3.4</v>
      </c>
      <c r="AL737" s="153" t="n">
        <f aca="false">IF(AND($N737="MND",$Q737="EMBOQUE"),$M737,IF(AND($N737="VCA",$Q737="LINEAR"),$M737,IF(AND($N737="VCA",$Q737="PREDIAL"),0,0)))</f>
        <v>43.68</v>
      </c>
      <c r="AM737" s="153" t="n">
        <f aca="false">IF(AND($N737="MND",$Q737="EMBOQUE"),$M737,IF(AND($N737="VCA",$Q737="LINEAR"),$M737,IF(AND($N737="VCA",$Q737="PREDIAL"),0,0)))</f>
        <v>43.68</v>
      </c>
      <c r="AN737" s="153" t="n">
        <f aca="false">ROUND(IF(AND($N737="VCA",$M737&lt;&gt;"",$Q737="LINEAR"),$M737/100,IF(AND($N737="MND",$M737&gt;100,$Q737="EMBOQUE"),$M737/100,0)),0)</f>
        <v>0</v>
      </c>
      <c r="AO737" s="153" t="n">
        <f aca="false">IF(AND($N737="MND",$Q737="EMBOQUE"),$AN737*2*2,IF(AND($N737="VCA",$Q737="LINEAR"),$M737*2,IF(AND($N737="VCA",$Q737="PREDIAL"),0,0)))</f>
        <v>87.36</v>
      </c>
      <c r="AP737" s="153" t="n">
        <f aca="false">IFERROR($M737*$AF737*$AG737,0)</f>
        <v>38.698296</v>
      </c>
      <c r="AQ737" s="153" t="n">
        <f aca="false">IFERROR(IF(AND($N737="VCA",$AH737&gt;0),$M737*$AG737*$AH737,0),0)</f>
        <v>2.8392</v>
      </c>
      <c r="AR737" s="153" t="n">
        <f aca="false">IFERROR(IF(AND($N737="VCA",$AJ737&gt;0),($M737*$AG737*$AJ737)-$AI737,0),0)</f>
        <v>10.1701347248363</v>
      </c>
      <c r="AS737" s="153" t="n">
        <f aca="false">IFERROR(IF(AND($N737="VCA",$AP737&gt;0),$AP737-$AI737-$AQ737-$AR737,0),0)</f>
        <v>25.5528</v>
      </c>
      <c r="AT737" s="153" t="n">
        <f aca="false">IFERROR(IF($N737="VCA",INDEX(APOIO_REDES!$A:$W,MATCH($C737&amp;$I737&amp;$H737&amp;$N737&amp;$O737,APOIO_REDES!$W:$W,0),MATCH(AT$5,APOIO_REDES!$5:$5,0)),0)*$AP737,0)</f>
        <v>0.421048914590942</v>
      </c>
      <c r="AU737" s="153" t="n">
        <f aca="false">IFERROR(IF($N737="VCA",INDEX(APOIO_REDES!$A:$W,MATCH($C737&amp;$I737&amp;$H737&amp;$N737&amp;$O737,APOIO_REDES!$W:$W,0),MATCH(AU$5,APOIO_REDES!$5:$5,0)),0)*$AP737,0)</f>
        <v>0.336238259741528</v>
      </c>
      <c r="AV737" s="153" t="n">
        <f aca="false">IFERROR(IF($N737="VCA",INDEX(APOIO_REDES!$A:$W,MATCH($C737&amp;$I737&amp;$H737&amp;$N737&amp;$O737,APOIO_REDES!$W:$W,0),MATCH(AV$5,APOIO_REDES!$5:$5,0)),0)*$AP737,0)</f>
        <v>0.0465327355743959</v>
      </c>
      <c r="AW737" s="153" t="n">
        <f aca="false">IFERROR(IF($N737="VCA",INDEX(APOIO_REDES!$A:$W,MATCH($C737&amp;$I737&amp;$H737&amp;$N737&amp;$O737,APOIO_REDES!$W:$W,0),MATCH(AW$5,APOIO_REDES!$5:$5,0)),0)*$AP737,0)</f>
        <v>26.5628102234293</v>
      </c>
      <c r="AX737" s="153" t="n">
        <f aca="false">IFERROR(IF($N737="VCA",INDEX(APOIO_REDES!$A:$W,MATCH($C737&amp;$I737&amp;$H737&amp;$N737&amp;$O737,APOIO_REDES!$W:$W,0),MATCH(AX$5,APOIO_REDES!$5:$5,0)),0)*$AP737,0)</f>
        <v>3.67621726932543</v>
      </c>
      <c r="AY737" s="153" t="n">
        <f aca="false">IFERROR(IF($N737="VCA",INDEX(APOIO_REDES!$A:$W,MATCH($C737&amp;$I737&amp;$H737&amp;$N737&amp;$O737,APOIO_REDES!$W:$W,0),MATCH(AY$5,APOIO_REDES!$5:$5,0)),0)*$AP737,0)</f>
        <v>6.72476109611343</v>
      </c>
      <c r="AZ737" s="153" t="n">
        <f aca="false">IFERROR(IF($N737="VCA",INDEX(APOIO_REDES!$A:$W,MATCH($C737&amp;$I737&amp;$H737&amp;$N737&amp;$O737,APOIO_REDES!$W:$W,0),MATCH(AZ$5,APOIO_REDES!$5:$5,0)),0)*$AP737,0)</f>
        <v>0.930687501224956</v>
      </c>
      <c r="BA737" s="153" t="n">
        <f aca="false">IFERROR(IF(AND($N737="VCA",$Q737="LINEAR"),INDEX(APOIO_REDES!$A:$W,MATCH($C737&amp;$I737&amp;$H737&amp;$N737&amp;$O737,APOIO_REDES!$W:$W,0),MATCH(BA$5,APOIO_REDES!$5:$5,0)),IF(AND($N737="MND",$Q737="EMBOQUE"),INDEX(APOIO_REDES!$A:$W,MATCH($C737&amp;$I737&amp;$H737&amp;$N737&amp;$O737,APOIO_REDES!$W:$W,0),MATCH(BA$5,APOIO_REDES!$5:$5,0)),0))*$M737/10,0)</f>
        <v>3.5204978206848</v>
      </c>
      <c r="BB737" s="153" t="n">
        <f aca="false">IFERROR(IF($N737="VCA",INDEX(APOIO_REDES!$A:$W,MATCH($C737&amp;$I737&amp;$H737&amp;$N737&amp;$O737,APOIO_REDES!$W:$W,0),MATCH(BB$5,APOIO_REDES!$5:$5,0)),0)*($AI737+$AQ737+$AR737),0)</f>
        <v>13.0024691126518</v>
      </c>
      <c r="BC737" s="153" t="n">
        <f aca="false">IFERROR(IF($N737="VCA",INDEX(APOIO_REDES!$A:$W,MATCH($C737&amp;$I737&amp;$H737&amp;$N737&amp;$O737,APOIO_REDES!$W:$W,0),MATCH(BC$5,APOIO_REDES!$5:$5,0)),0)*($AI737+$AQ737+$AR737),0)</f>
        <v>0.143026887348207</v>
      </c>
      <c r="BD737" s="153" t="n">
        <f aca="false">IF(AND($N737="VCA",$AF737&gt;=1.25,$AF737&lt;1.5),$M737*$AF737*2,0)</f>
        <v>119.07168</v>
      </c>
      <c r="BE737" s="153" t="n">
        <f aca="false">IF(AND($N737="VCA",$AF737&gt;=1.5,$AF737&lt;3),$M737*$AF737*2,0)</f>
        <v>0</v>
      </c>
      <c r="BF737" s="153" t="n">
        <f aca="false">IF(AND($N737="VCA",$AF737&gt;=3),$M737*$AF737*2,0)</f>
        <v>0</v>
      </c>
      <c r="BG737" s="153" t="n">
        <f aca="false">($BB737+$BC737)*$AK737</f>
        <v>44.6946864</v>
      </c>
      <c r="BH737" s="153" t="n">
        <f aca="false">IF(AND($M737&lt;&gt;"",$N737="VCA",$Q737="LINEAR"),($M737*2)/100,IF(AND($M737&lt;&gt;"",$N737="MND",$Q737="EMBOQUE"),($AN737*2)/100,0))</f>
        <v>0.8736</v>
      </c>
      <c r="BI737" s="153" t="n">
        <f aca="false">IF(AND($M737&lt;&gt;"",$N737="VCA",$Q737="LINEAR"),$M737,IF(AND($M737&lt;&gt;"",$N737="MND",$Q737="EMBOQUE"),$AN737*2,0))</f>
        <v>43.68</v>
      </c>
      <c r="BJ737" s="153" t="n">
        <f aca="false">IF(AND($M737&lt;&gt;"",$N737="VCA",$Q737="LINEAR"),($M737*6.8)/100,IF(AND($M737&lt;&gt;"",$N737="MND",$Q737="EMBOQUE"),($AN737*2*6.8)/100,0))</f>
        <v>2.97024</v>
      </c>
      <c r="BK737" s="153" t="n">
        <f aca="false">IF(AND($M737&lt;&gt;"",$N737="VCA",$Q737="LINEAR"),($M737*2.5)/50,IF(AND($M737&lt;&gt;"",$N737="MND",$Q737="EMBOQUE"),($AN737*2*2.5)/50,0))</f>
        <v>2.184</v>
      </c>
      <c r="BL737" s="157" t="str">
        <f aca="false">K737&amp;J737</f>
        <v>Zona07REDES</v>
      </c>
      <c r="BM737" s="152" t="s">
        <v>4225</v>
      </c>
      <c r="BN737" s="152" t="s">
        <v>1560</v>
      </c>
      <c r="BO737" s="152" t="s">
        <v>4097</v>
      </c>
      <c r="BP737" s="152" t="s">
        <v>4354</v>
      </c>
      <c r="BQ737" s="152" t="s">
        <v>4339</v>
      </c>
      <c r="BR737" s="152" t="s">
        <v>4355</v>
      </c>
      <c r="BS737" s="152" t="n">
        <v>204154.086</v>
      </c>
      <c r="BT737" s="152" t="n">
        <v>8236775.75</v>
      </c>
      <c r="BU737" s="152" t="n">
        <v>204125.559</v>
      </c>
      <c r="BV737" s="152" t="n">
        <v>8236808.809</v>
      </c>
      <c r="BW737" s="152" t="n">
        <v>-15.9305035</v>
      </c>
      <c r="BX737" s="152" t="n">
        <v>-47.7633933</v>
      </c>
      <c r="BY737" s="152" t="s">
        <v>4354</v>
      </c>
    </row>
    <row r="738" customFormat="false" ht="13.8" hidden="false" customHeight="false" outlineLevel="0" collapsed="false">
      <c r="A738" s="149" t="n">
        <f aca="false">IF(C738&lt;&gt;"",ROW(A733),"")</f>
        <v>733</v>
      </c>
      <c r="B738" s="150" t="str">
        <f aca="false">HYPERLINK("https://www.google.com/maps/dir/-15.917302,-47.760003/-15.9305393,-47.7625517/data=!4m3!4m2!3e0!5i2")</f>
        <v>https://www.google.com/maps/dir/-15.917302,-47.760003/-15.9305393,-47.7625517/data=!4m3!4m2!3e0!5i2</v>
      </c>
      <c r="C738" s="151" t="s">
        <v>117</v>
      </c>
      <c r="D738" s="152" t="s">
        <v>112</v>
      </c>
      <c r="E738" s="152" t="s">
        <v>113</v>
      </c>
      <c r="F738" s="152" t="s">
        <v>117</v>
      </c>
      <c r="G738" s="152" t="s">
        <v>782</v>
      </c>
      <c r="H738" s="152" t="n">
        <v>90</v>
      </c>
      <c r="I738" s="152" t="s">
        <v>115</v>
      </c>
      <c r="J738" s="152" t="s">
        <v>6</v>
      </c>
      <c r="K738" s="152" t="s">
        <v>4221</v>
      </c>
      <c r="L738" s="152" t="s">
        <v>120</v>
      </c>
      <c r="M738" s="153" t="n">
        <f aca="false">4.45</f>
        <v>4.45</v>
      </c>
      <c r="N738" s="152" t="s">
        <v>1548</v>
      </c>
      <c r="O738" s="152" t="s">
        <v>1549</v>
      </c>
      <c r="P738" s="152" t="s">
        <v>1550</v>
      </c>
      <c r="Q738" s="152" t="s">
        <v>1551</v>
      </c>
      <c r="R738" s="154" t="s">
        <v>4356</v>
      </c>
      <c r="S738" s="154" t="s">
        <v>1593</v>
      </c>
      <c r="T738" s="155" t="s">
        <v>4095</v>
      </c>
      <c r="U738" s="152" t="str">
        <f aca="false">RIGHT(T738,7)</f>
        <v>016/037</v>
      </c>
      <c r="V738" s="152" t="s">
        <v>1555</v>
      </c>
      <c r="W738" s="156" t="n">
        <v>45882</v>
      </c>
      <c r="X738" s="152" t="s">
        <v>1594</v>
      </c>
      <c r="Y738" s="152" t="s">
        <v>4357</v>
      </c>
      <c r="Z738" s="152" t="s">
        <v>1557</v>
      </c>
      <c r="AA738" s="153" t="n">
        <v>3.4</v>
      </c>
      <c r="AB738" s="151" t="s">
        <v>4358</v>
      </c>
      <c r="AC738" s="151" t="s">
        <v>526</v>
      </c>
      <c r="AD738" s="151" t="str">
        <f aca="false">CONCATENATE($C738,$I738,$H738,$N738,$J738,$K738)</f>
        <v>TUBO PEADPEAD90VCAREDESZona07</v>
      </c>
      <c r="AE738" s="153" t="n">
        <f aca="false">IFERROR(INDEX(APOIO_REDES!$A:$W,MATCH($C738&amp;$I738&amp;$H738&amp;$N738&amp;$O738,APOIO_REDES!$W:$W,0),MATCH(AE$5,APOIO_REDES!$5:$5,0)),0)</f>
        <v>1.2</v>
      </c>
      <c r="AF738" s="153" t="n">
        <f aca="false">IFERROR(INDEX(APOIO_REDES!$A:$W,MATCH($C738&amp;$I738&amp;$H738&amp;$N738&amp;$O738,APOIO_REDES!$W:$W,0),MATCH(AF$5,APOIO_REDES!$5:$5,0)),0)</f>
        <v>1.39</v>
      </c>
      <c r="AG738" s="153" t="n">
        <f aca="false">IFERROR(INDEX(APOIO_REDES!$A:$W,MATCH($C738&amp;$I738&amp;$H738&amp;$N738&amp;$O738,APOIO_REDES!$W:$W,0),MATCH(AG$5,APOIO_REDES!$5:$5,0)),0)</f>
        <v>0.75</v>
      </c>
      <c r="AH738" s="153" t="n">
        <f aca="false">IFERROR(INDEX(APOIO_REDES!$A:$W,MATCH($C738&amp;$I738&amp;$H738&amp;$N738&amp;$O738,APOIO_REDES!$W:$W,0),MATCH(AH$5,APOIO_REDES!$5:$5,0)),0)</f>
        <v>0.1</v>
      </c>
      <c r="AI738" s="153" t="n">
        <f aca="false">IFERROR(IF($H738&lt;&gt;"",(((($H738/1000)/2)^2)*PI()*$M738),0),0)</f>
        <v>0.028309676799661</v>
      </c>
      <c r="AJ738" s="153" t="n">
        <f aca="false">IFERROR(IF(AND($H738&lt;&gt;"",$I738="FoFo",OR($N738="MND",$N738="VCA"),$Q738="LINEAR"),0,IF(AND($H738&lt;&gt;"",$I738="PEAD",$N738="VCA",$Q738="LINEAR"),($H738/1000)+0.3,IF(AND($H738&lt;&gt;"",$I738="PEAD",$N738="MND",$Q738="EMBOQUE"),0,IF(AND($H738&lt;&gt;"",$I738="PVC",$N738="VCA",$Q738="LINEAR"),($H738/1000)+0.2,IF(AND($H738&lt;&gt;"",$I738="PVC",$N738="MND",$Q738="EMBOQUE"),0,IF(AND($H738&lt;&gt;"",$I738="PEAD",$N738="VCA",$Q738="PREDIAL"),0,0)))))),0)</f>
        <v>0.39</v>
      </c>
      <c r="AK738" s="153" t="n">
        <f aca="false">IF(AA738&lt;&gt;"",AA738,0)</f>
        <v>3.4</v>
      </c>
      <c r="AL738" s="153" t="n">
        <f aca="false">IF(AND($N738="MND",$Q738="EMBOQUE"),$M738,IF(AND($N738="VCA",$Q738="LINEAR"),$M738,IF(AND($N738="VCA",$Q738="PREDIAL"),0,0)))</f>
        <v>4.45</v>
      </c>
      <c r="AM738" s="153" t="n">
        <f aca="false">IF(AND($N738="MND",$Q738="EMBOQUE"),$M738,IF(AND($N738="VCA",$Q738="LINEAR"),$M738,IF(AND($N738="VCA",$Q738="PREDIAL"),0,0)))</f>
        <v>4.45</v>
      </c>
      <c r="AN738" s="153" t="n">
        <f aca="false">ROUND(IF(AND($N738="VCA",$M738&lt;&gt;"",$Q738="LINEAR"),$M738/100,IF(AND($N738="MND",$M738&gt;100,$Q738="EMBOQUE"),$M738/100,0)),0)</f>
        <v>0</v>
      </c>
      <c r="AO738" s="153" t="n">
        <f aca="false">IF(AND($N738="MND",$Q738="EMBOQUE"),$AN738*2*2,IF(AND($N738="VCA",$Q738="LINEAR"),$M738*2,IF(AND($N738="VCA",$Q738="PREDIAL"),0,0)))</f>
        <v>8.9</v>
      </c>
      <c r="AP738" s="153" t="n">
        <f aca="false">IFERROR($M738*$AF738*$AG738,0)</f>
        <v>4.639125</v>
      </c>
      <c r="AQ738" s="153" t="n">
        <f aca="false">IFERROR(IF(AND($N738="VCA",$AH738&gt;0),$M738*$AG738*$AH738,0),0)</f>
        <v>0.33375</v>
      </c>
      <c r="AR738" s="153" t="n">
        <f aca="false">IFERROR(IF(AND($N738="VCA",$AJ738&gt;0),($M738*$AG738*$AJ738)-$AI738,0),0)</f>
        <v>1.27331532320034</v>
      </c>
      <c r="AS738" s="153" t="n">
        <f aca="false">IFERROR(IF(AND($N738="VCA",$AP738&gt;0),$AP738-$AI738-$AQ738-$AR738,0),0)</f>
        <v>3.00375</v>
      </c>
      <c r="AT738" s="153" t="n">
        <f aca="false">IFERROR(IF($N738="VCA",INDEX(APOIO_REDES!$A:$W,MATCH($C738&amp;$I738&amp;$H738&amp;$N738&amp;$O738,APOIO_REDES!$W:$W,0),MATCH(AT$5,APOIO_REDES!$5:$5,0)),0)*$AP738,0)</f>
        <v>0.0504750531109097</v>
      </c>
      <c r="AU738" s="153" t="n">
        <f aca="false">IFERROR(IF($N738="VCA",INDEX(APOIO_REDES!$A:$W,MATCH($C738&amp;$I738&amp;$H738&amp;$N738&amp;$O738,APOIO_REDES!$W:$W,0),MATCH(AU$5,APOIO_REDES!$5:$5,0)),0)*$AP738,0)</f>
        <v>0.0403080103765658</v>
      </c>
      <c r="AV738" s="153" t="n">
        <f aca="false">IFERROR(IF($N738="VCA",INDEX(APOIO_REDES!$A:$W,MATCH($C738&amp;$I738&amp;$H738&amp;$N738&amp;$O738,APOIO_REDES!$W:$W,0),MATCH(AV$5,APOIO_REDES!$5:$5,0)),0)*$AP738,0)</f>
        <v>0.00557831220582863</v>
      </c>
      <c r="AW738" s="153" t="n">
        <f aca="false">IFERROR(IF($N738="VCA",INDEX(APOIO_REDES!$A:$W,MATCH($C738&amp;$I738&amp;$H738&amp;$N738&amp;$O738,APOIO_REDES!$W:$W,0),MATCH(AW$5,APOIO_REDES!$5:$5,0)),0)*$AP738,0)</f>
        <v>3.18433134569456</v>
      </c>
      <c r="AX738" s="153" t="n">
        <f aca="false">IFERROR(IF($N738="VCA",INDEX(APOIO_REDES!$A:$W,MATCH($C738&amp;$I738&amp;$H738&amp;$N738&amp;$O738,APOIO_REDES!$W:$W,0),MATCH(AX$5,APOIO_REDES!$5:$5,0)),0)*$AP738,0)</f>
        <v>0.44070238750459</v>
      </c>
      <c r="AY738" s="153" t="n">
        <f aca="false">IFERROR(IF($N738="VCA",INDEX(APOIO_REDES!$A:$W,MATCH($C738&amp;$I738&amp;$H738&amp;$N738&amp;$O738,APOIO_REDES!$W:$W,0),MATCH(AY$5,APOIO_REDES!$5:$5,0)),0)*$AP738,0)</f>
        <v>0.806159716179938</v>
      </c>
      <c r="AZ738" s="153" t="n">
        <f aca="false">IFERROR(IF($N738="VCA",INDEX(APOIO_REDES!$A:$W,MATCH($C738&amp;$I738&amp;$H738&amp;$N738&amp;$O738,APOIO_REDES!$W:$W,0),MATCH(AZ$5,APOIO_REDES!$5:$5,0)),0)*$AP738,0)</f>
        <v>0.111570174927605</v>
      </c>
      <c r="BA738" s="153" t="n">
        <f aca="false">IFERROR(IF(AND($N738="VCA",$Q738="LINEAR"),INDEX(APOIO_REDES!$A:$W,MATCH($C738&amp;$I738&amp;$H738&amp;$N738&amp;$O738,APOIO_REDES!$W:$W,0),MATCH(BA$5,APOIO_REDES!$5:$5,0)),IF(AND($N738="MND",$Q738="EMBOQUE"),INDEX(APOIO_REDES!$A:$W,MATCH($C738&amp;$I738&amp;$H738&amp;$N738&amp;$O738,APOIO_REDES!$W:$W,0),MATCH(BA$5,APOIO_REDES!$5:$5,0)),0))*$M738/10,0)</f>
        <v>0.358658775230022</v>
      </c>
      <c r="BB738" s="153" t="n">
        <f aca="false">IFERROR(IF($N738="VCA",INDEX(APOIO_REDES!$A:$W,MATCH($C738&amp;$I738&amp;$H738&amp;$N738&amp;$O738,APOIO_REDES!$W:$W,0),MATCH(BB$5,APOIO_REDES!$5:$5,0)),0)*($AI738+$AQ738+$AR738),0)</f>
        <v>1.61758163595371</v>
      </c>
      <c r="BC738" s="153" t="n">
        <f aca="false">IFERROR(IF($N738="VCA",INDEX(APOIO_REDES!$A:$W,MATCH($C738&amp;$I738&amp;$H738&amp;$N738&amp;$O738,APOIO_REDES!$W:$W,0),MATCH(BC$5,APOIO_REDES!$5:$5,0)),0)*($AI738+$AQ738+$AR738),0)</f>
        <v>0.0177933640462919</v>
      </c>
      <c r="BD738" s="153" t="n">
        <f aca="false">IF(AND($N738="VCA",$AF738&gt;=1.25,$AF738&lt;1.5),$M738*$AF738*2,0)</f>
        <v>12.371</v>
      </c>
      <c r="BE738" s="153" t="n">
        <f aca="false">IF(AND($N738="VCA",$AF738&gt;=1.5,$AF738&lt;3),$M738*$AF738*2,0)</f>
        <v>0</v>
      </c>
      <c r="BF738" s="153" t="n">
        <f aca="false">IF(AND($N738="VCA",$AF738&gt;=3),$M738*$AF738*2,0)</f>
        <v>0</v>
      </c>
      <c r="BG738" s="153" t="n">
        <f aca="false">($BB738+$BC738)*$AK738</f>
        <v>5.560275</v>
      </c>
      <c r="BH738" s="153" t="n">
        <f aca="false">IF(AND($M738&lt;&gt;"",$N738="VCA",$Q738="LINEAR"),($M738*2)/100,IF(AND($M738&lt;&gt;"",$N738="MND",$Q738="EMBOQUE"),($AN738*2)/100,0))</f>
        <v>0.089</v>
      </c>
      <c r="BI738" s="153" t="n">
        <f aca="false">IF(AND($M738&lt;&gt;"",$N738="VCA",$Q738="LINEAR"),$M738,IF(AND($M738&lt;&gt;"",$N738="MND",$Q738="EMBOQUE"),$AN738*2,0))</f>
        <v>4.45</v>
      </c>
      <c r="BJ738" s="153" t="n">
        <f aca="false">IF(AND($M738&lt;&gt;"",$N738="VCA",$Q738="LINEAR"),($M738*6.8)/100,IF(AND($M738&lt;&gt;"",$N738="MND",$Q738="EMBOQUE"),($AN738*2*6.8)/100,0))</f>
        <v>0.3026</v>
      </c>
      <c r="BK738" s="153" t="n">
        <f aca="false">IF(AND($M738&lt;&gt;"",$N738="VCA",$Q738="LINEAR"),($M738*2.5)/50,IF(AND($M738&lt;&gt;"",$N738="MND",$Q738="EMBOQUE"),($AN738*2*2.5)/50,0))</f>
        <v>0.2225</v>
      </c>
      <c r="BL738" s="157" t="str">
        <f aca="false">K738&amp;J738</f>
        <v>Zona07REDES</v>
      </c>
      <c r="BM738" s="152" t="s">
        <v>4225</v>
      </c>
      <c r="BN738" s="152" t="s">
        <v>1560</v>
      </c>
      <c r="BO738" s="152" t="s">
        <v>4097</v>
      </c>
      <c r="BP738" s="152" t="s">
        <v>4359</v>
      </c>
      <c r="BQ738" s="152" t="s">
        <v>4346</v>
      </c>
      <c r="BR738" s="152" t="s">
        <v>4360</v>
      </c>
      <c r="BS738" s="152" t="n">
        <v>204230.344</v>
      </c>
      <c r="BT738" s="152" t="n">
        <v>8236789.782</v>
      </c>
      <c r="BU738" s="152" t="n">
        <v>204231.618</v>
      </c>
      <c r="BV738" s="152" t="n">
        <v>8236794.045</v>
      </c>
      <c r="BW738" s="152" t="n">
        <v>-15.9305199</v>
      </c>
      <c r="BX738" s="152" t="n">
        <v>-47.762546</v>
      </c>
      <c r="BY738" s="152" t="s">
        <v>4359</v>
      </c>
    </row>
    <row r="739" customFormat="false" ht="13.8" hidden="false" customHeight="false" outlineLevel="0" collapsed="false">
      <c r="A739" s="149" t="n">
        <f aca="false">IF(C739&lt;&gt;"",ROW(A734),"")</f>
        <v>734</v>
      </c>
      <c r="B739" s="150" t="str">
        <f aca="false">HYPERLINK("https://www.google.com/maps/dir/-15.917302,-47.760003/-15.9303624,-47.7641277/data=!4m3!4m2!3e0!5i2")</f>
        <v>https://www.google.com/maps/dir/-15.917302,-47.760003/-15.9303624,-47.7641277/data=!4m3!4m2!3e0!5i2</v>
      </c>
      <c r="C739" s="151" t="s">
        <v>117</v>
      </c>
      <c r="D739" s="152" t="s">
        <v>112</v>
      </c>
      <c r="E739" s="152" t="s">
        <v>113</v>
      </c>
      <c r="F739" s="152" t="s">
        <v>117</v>
      </c>
      <c r="G739" s="152" t="s">
        <v>782</v>
      </c>
      <c r="H739" s="152" t="n">
        <v>63</v>
      </c>
      <c r="I739" s="152" t="s">
        <v>115</v>
      </c>
      <c r="J739" s="152" t="s">
        <v>6</v>
      </c>
      <c r="K739" s="152" t="s">
        <v>4221</v>
      </c>
      <c r="L739" s="152" t="s">
        <v>120</v>
      </c>
      <c r="M739" s="153" t="n">
        <f aca="false">78.22+4</f>
        <v>82.22</v>
      </c>
      <c r="N739" s="152" t="s">
        <v>1548</v>
      </c>
      <c r="O739" s="152" t="s">
        <v>1549</v>
      </c>
      <c r="P739" s="152" t="s">
        <v>1550</v>
      </c>
      <c r="Q739" s="152" t="s">
        <v>1551</v>
      </c>
      <c r="R739" s="154" t="s">
        <v>4361</v>
      </c>
      <c r="S739" s="154" t="s">
        <v>1553</v>
      </c>
      <c r="T739" s="155" t="s">
        <v>4095</v>
      </c>
      <c r="U739" s="152" t="str">
        <f aca="false">RIGHT(T739,7)</f>
        <v>016/037</v>
      </c>
      <c r="V739" s="152" t="s">
        <v>1555</v>
      </c>
      <c r="W739" s="156" t="n">
        <v>45882</v>
      </c>
      <c r="X739" s="152" t="s">
        <v>3938</v>
      </c>
      <c r="Y739" s="152" t="s">
        <v>2754</v>
      </c>
      <c r="Z739" s="152" t="s">
        <v>1557</v>
      </c>
      <c r="AA739" s="153" t="n">
        <v>3.5</v>
      </c>
      <c r="AB739" s="151" t="s">
        <v>4362</v>
      </c>
      <c r="AC739" s="151" t="s">
        <v>186</v>
      </c>
      <c r="AD739" s="151" t="str">
        <f aca="false">CONCATENATE($C739,$I739,$H739,$N739,$J739,$K739)</f>
        <v>TUBO PEADPEAD63VCAREDESZona07</v>
      </c>
      <c r="AE739" s="153" t="n">
        <f aca="false">IFERROR(INDEX(APOIO_REDES!$A:$W,MATCH($C739&amp;$I739&amp;$H739&amp;$N739&amp;$O739,APOIO_REDES!$W:$W,0),MATCH(AE$5,APOIO_REDES!$5:$5,0)),0)</f>
        <v>1.2</v>
      </c>
      <c r="AF739" s="153" t="n">
        <f aca="false">IFERROR(INDEX(APOIO_REDES!$A:$W,MATCH($C739&amp;$I739&amp;$H739&amp;$N739&amp;$O739,APOIO_REDES!$W:$W,0),MATCH(AF$5,APOIO_REDES!$5:$5,0)),0)</f>
        <v>1.363</v>
      </c>
      <c r="AG739" s="153" t="n">
        <f aca="false">IFERROR(INDEX(APOIO_REDES!$A:$W,MATCH($C739&amp;$I739&amp;$H739&amp;$N739&amp;$O739,APOIO_REDES!$W:$W,0),MATCH(AG$5,APOIO_REDES!$5:$5,0)),0)</f>
        <v>0.65</v>
      </c>
      <c r="AH739" s="153" t="n">
        <f aca="false">IFERROR(INDEX(APOIO_REDES!$A:$W,MATCH($C739&amp;$I739&amp;$H739&amp;$N739&amp;$O739,APOIO_REDES!$W:$W,0),MATCH(AH$5,APOIO_REDES!$5:$5,0)),0)</f>
        <v>0.1</v>
      </c>
      <c r="AI739" s="153" t="n">
        <f aca="false">IFERROR(IF($H739&lt;&gt;"",(((($H739/1000)/2)^2)*PI()*$M739),0),0)</f>
        <v>0.256299909431322</v>
      </c>
      <c r="AJ739" s="153" t="n">
        <f aca="false">IFERROR(IF(AND($H739&lt;&gt;"",$I739="FoFo",OR($N739="MND",$N739="VCA"),$Q739="LINEAR"),0,IF(AND($H739&lt;&gt;"",$I739="PEAD",$N739="VCA",$Q739="LINEAR"),($H739/1000)+0.3,IF(AND($H739&lt;&gt;"",$I739="PEAD",$N739="MND",$Q739="EMBOQUE"),0,IF(AND($H739&lt;&gt;"",$I739="PVC",$N739="VCA",$Q739="LINEAR"),($H739/1000)+0.2,IF(AND($H739&lt;&gt;"",$I739="PVC",$N739="MND",$Q739="EMBOQUE"),0,IF(AND($H739&lt;&gt;"",$I739="PEAD",$N739="VCA",$Q739="PREDIAL"),0,0)))))),0)</f>
        <v>0.363</v>
      </c>
      <c r="AK739" s="153" t="n">
        <f aca="false">IF(AA739&lt;&gt;"",AA739,0)</f>
        <v>3.5</v>
      </c>
      <c r="AL739" s="153" t="n">
        <f aca="false">IF(AND($N739="MND",$Q739="EMBOQUE"),$M739,IF(AND($N739="VCA",$Q739="LINEAR"),$M739,IF(AND($N739="VCA",$Q739="PREDIAL"),0,0)))</f>
        <v>82.22</v>
      </c>
      <c r="AM739" s="153" t="n">
        <f aca="false">IF(AND($N739="MND",$Q739="EMBOQUE"),$M739,IF(AND($N739="VCA",$Q739="LINEAR"),$M739,IF(AND($N739="VCA",$Q739="PREDIAL"),0,0)))</f>
        <v>82.22</v>
      </c>
      <c r="AN739" s="153" t="n">
        <f aca="false">ROUND(IF(AND($N739="VCA",$M739&lt;&gt;"",$Q739="LINEAR"),$M739/100,IF(AND($N739="MND",$M739&gt;100,$Q739="EMBOQUE"),$M739/100,0)),0)</f>
        <v>1</v>
      </c>
      <c r="AO739" s="153" t="n">
        <f aca="false">IF(AND($N739="MND",$Q739="EMBOQUE"),$AN739*2*2,IF(AND($N739="VCA",$Q739="LINEAR"),$M739*2,IF(AND($N739="VCA",$Q739="PREDIAL"),0,0)))</f>
        <v>164.44</v>
      </c>
      <c r="AP739" s="153" t="n">
        <f aca="false">IFERROR($M739*$AF739*$AG739,0)</f>
        <v>72.842809</v>
      </c>
      <c r="AQ739" s="153" t="n">
        <f aca="false">IFERROR(IF(AND($N739="VCA",$AH739&gt;0),$M739*$AG739*$AH739,0),0)</f>
        <v>5.3443</v>
      </c>
      <c r="AR739" s="153" t="n">
        <f aca="false">IFERROR(IF(AND($N739="VCA",$AJ739&gt;0),($M739*$AG739*$AJ739)-$AI739,0),0)</f>
        <v>19.1435090905687</v>
      </c>
      <c r="AS739" s="153" t="n">
        <f aca="false">IFERROR(IF(AND($N739="VCA",$AP739&gt;0),$AP739-$AI739-$AQ739-$AR739,0),0)</f>
        <v>48.0987</v>
      </c>
      <c r="AT739" s="153" t="n">
        <f aca="false">IFERROR(IF($N739="VCA",INDEX(APOIO_REDES!$A:$W,MATCH($C739&amp;$I739&amp;$H739&amp;$N739&amp;$O739,APOIO_REDES!$W:$W,0),MATCH(AT$5,APOIO_REDES!$5:$5,0)),0)*$AP739,0)</f>
        <v>0.792551322290917</v>
      </c>
      <c r="AU739" s="153" t="n">
        <f aca="false">IFERROR(IF($N739="VCA",INDEX(APOIO_REDES!$A:$W,MATCH($C739&amp;$I739&amp;$H739&amp;$N739&amp;$O739,APOIO_REDES!$W:$W,0),MATCH(AU$5,APOIO_REDES!$5:$5,0)),0)*$AP739,0)</f>
        <v>0.632910020969515</v>
      </c>
      <c r="AV739" s="153" t="n">
        <f aca="false">IFERROR(IF($N739="VCA",INDEX(APOIO_REDES!$A:$W,MATCH($C739&amp;$I739&amp;$H739&amp;$N739&amp;$O739,APOIO_REDES!$W:$W,0),MATCH(AV$5,APOIO_REDES!$5:$5,0)),0)*$AP739,0)</f>
        <v>0.0875897783637095</v>
      </c>
      <c r="AW739" s="153" t="n">
        <f aca="false">IFERROR(IF($N739="VCA",INDEX(APOIO_REDES!$A:$W,MATCH($C739&amp;$I739&amp;$H739&amp;$N739&amp;$O739,APOIO_REDES!$W:$W,0),MATCH(AW$5,APOIO_REDES!$5:$5,0)),0)*$AP739,0)</f>
        <v>49.9998685112262</v>
      </c>
      <c r="AX739" s="153" t="n">
        <f aca="false">IFERROR(IF($N739="VCA",INDEX(APOIO_REDES!$A:$W,MATCH($C739&amp;$I739&amp;$H739&amp;$N739&amp;$O739,APOIO_REDES!$W:$W,0),MATCH(AX$5,APOIO_REDES!$5:$5,0)),0)*$AP739,0)</f>
        <v>6.91983937463225</v>
      </c>
      <c r="AY739" s="153" t="n">
        <f aca="false">IFERROR(IF($N739="VCA",INDEX(APOIO_REDES!$A:$W,MATCH($C739&amp;$I739&amp;$H739&amp;$N739&amp;$O739,APOIO_REDES!$W:$W,0),MATCH(AY$5,APOIO_REDES!$5:$5,0)),0)*$AP739,0)</f>
        <v>12.6581927042685</v>
      </c>
      <c r="AZ739" s="153" t="n">
        <f aca="false">IFERROR(IF($N739="VCA",INDEX(APOIO_REDES!$A:$W,MATCH($C739&amp;$I739&amp;$H739&amp;$N739&amp;$O739,APOIO_REDES!$W:$W,0),MATCH(AZ$5,APOIO_REDES!$5:$5,0)),0)*$AP739,0)</f>
        <v>1.75185728824899</v>
      </c>
      <c r="BA739" s="153" t="n">
        <f aca="false">IFERROR(IF(AND($N739="VCA",$Q739="LINEAR"),INDEX(APOIO_REDES!$A:$W,MATCH($C739&amp;$I739&amp;$H739&amp;$N739&amp;$O739,APOIO_REDES!$W:$W,0),MATCH(BA$5,APOIO_REDES!$5:$5,0)),IF(AND($N739="MND",$Q739="EMBOQUE"),INDEX(APOIO_REDES!$A:$W,MATCH($C739&amp;$I739&amp;$H739&amp;$N739&amp;$O739,APOIO_REDES!$W:$W,0),MATCH(BA$5,APOIO_REDES!$5:$5,0)),0))*$M739/10,0)</f>
        <v>6.62672460660954</v>
      </c>
      <c r="BB739" s="153" t="n">
        <f aca="false">IFERROR(IF($N739="VCA",INDEX(APOIO_REDES!$A:$W,MATCH($C739&amp;$I739&amp;$H739&amp;$N739&amp;$O739,APOIO_REDES!$W:$W,0),MATCH(BB$5,APOIO_REDES!$5:$5,0)),0)*($AI739+$AQ739+$AR739),0)</f>
        <v>24.4748857701976</v>
      </c>
      <c r="BC739" s="153" t="n">
        <f aca="false">IFERROR(IF($N739="VCA",INDEX(APOIO_REDES!$A:$W,MATCH($C739&amp;$I739&amp;$H739&amp;$N739&amp;$O739,APOIO_REDES!$W:$W,0),MATCH(BC$5,APOIO_REDES!$5:$5,0)),0)*($AI739+$AQ739+$AR739),0)</f>
        <v>0.269223229802417</v>
      </c>
      <c r="BD739" s="153" t="n">
        <f aca="false">IF(AND($N739="VCA",$AF739&gt;=1.25,$AF739&lt;1.5),$M739*$AF739*2,0)</f>
        <v>224.13172</v>
      </c>
      <c r="BE739" s="153" t="n">
        <f aca="false">IF(AND($N739="VCA",$AF739&gt;=1.5,$AF739&lt;3),$M739*$AF739*2,0)</f>
        <v>0</v>
      </c>
      <c r="BF739" s="153" t="n">
        <f aca="false">IF(AND($N739="VCA",$AF739&gt;=3),$M739*$AF739*2,0)</f>
        <v>0</v>
      </c>
      <c r="BG739" s="153" t="n">
        <f aca="false">($BB739+$BC739)*$AK739</f>
        <v>86.6043815</v>
      </c>
      <c r="BH739" s="153" t="n">
        <f aca="false">IF(AND($M739&lt;&gt;"",$N739="VCA",$Q739="LINEAR"),($M739*2)/100,IF(AND($M739&lt;&gt;"",$N739="MND",$Q739="EMBOQUE"),($AN739*2)/100,0))</f>
        <v>1.6444</v>
      </c>
      <c r="BI739" s="153" t="n">
        <f aca="false">IF(AND($M739&lt;&gt;"",$N739="VCA",$Q739="LINEAR"),$M739,IF(AND($M739&lt;&gt;"",$N739="MND",$Q739="EMBOQUE"),$AN739*2,0))</f>
        <v>82.22</v>
      </c>
      <c r="BJ739" s="153" t="n">
        <f aca="false">IF(AND($M739&lt;&gt;"",$N739="VCA",$Q739="LINEAR"),($M739*6.8)/100,IF(AND($M739&lt;&gt;"",$N739="MND",$Q739="EMBOQUE"),($AN739*2*6.8)/100,0))</f>
        <v>5.59096</v>
      </c>
      <c r="BK739" s="153" t="n">
        <f aca="false">IF(AND($M739&lt;&gt;"",$N739="VCA",$Q739="LINEAR"),($M739*2.5)/50,IF(AND($M739&lt;&gt;"",$N739="MND",$Q739="EMBOQUE"),($AN739*2*2.5)/50,0))</f>
        <v>4.111</v>
      </c>
      <c r="BL739" s="157" t="str">
        <f aca="false">K739&amp;J739</f>
        <v>Zona07REDES</v>
      </c>
      <c r="BM739" s="152" t="s">
        <v>4225</v>
      </c>
      <c r="BN739" s="152" t="s">
        <v>1560</v>
      </c>
      <c r="BO739" s="152" t="s">
        <v>4097</v>
      </c>
      <c r="BP739" s="152" t="s">
        <v>4340</v>
      </c>
      <c r="BQ739" s="152" t="s">
        <v>4363</v>
      </c>
      <c r="BR739" s="152" t="s">
        <v>4341</v>
      </c>
      <c r="BS739" s="152" t="n">
        <v>204061.873</v>
      </c>
      <c r="BT739" s="152" t="n">
        <v>8236806.546</v>
      </c>
      <c r="BU739" s="152" t="n">
        <v>204007.487</v>
      </c>
      <c r="BV739" s="152" t="n">
        <v>8236750.358</v>
      </c>
      <c r="BW739" s="152" t="n">
        <v>-15.9306227</v>
      </c>
      <c r="BX739" s="152" t="n">
        <v>-47.7643745</v>
      </c>
      <c r="BY739" s="152" t="s">
        <v>4340</v>
      </c>
    </row>
    <row r="740" customFormat="false" ht="13.8" hidden="false" customHeight="false" outlineLevel="0" collapsed="false">
      <c r="A740" s="149" t="n">
        <f aca="false">IF(C740&lt;&gt;"",ROW(A735),"")</f>
        <v>735</v>
      </c>
      <c r="B740" s="150" t="str">
        <f aca="false">HYPERLINK("https://www.google.com/maps/dir/-15.917302,-47.760003/-15.9303549,-47.7635274/data=!4m3!4m2!3e0!5i2")</f>
        <v>https://www.google.com/maps/dir/-15.917302,-47.760003/-15.9303549,-47.7635274/data=!4m3!4m2!3e0!5i2</v>
      </c>
      <c r="C740" s="151" t="s">
        <v>117</v>
      </c>
      <c r="D740" s="152" t="s">
        <v>112</v>
      </c>
      <c r="E740" s="152" t="s">
        <v>113</v>
      </c>
      <c r="F740" s="152" t="s">
        <v>117</v>
      </c>
      <c r="G740" s="152" t="s">
        <v>782</v>
      </c>
      <c r="H740" s="152" t="n">
        <v>63</v>
      </c>
      <c r="I740" s="152" t="s">
        <v>115</v>
      </c>
      <c r="J740" s="152" t="s">
        <v>6</v>
      </c>
      <c r="K740" s="152" t="s">
        <v>4221</v>
      </c>
      <c r="L740" s="152" t="s">
        <v>120</v>
      </c>
      <c r="M740" s="153" t="n">
        <f aca="false">121.81</f>
        <v>121.81</v>
      </c>
      <c r="N740" s="152" t="s">
        <v>1548</v>
      </c>
      <c r="O740" s="152" t="s">
        <v>1549</v>
      </c>
      <c r="P740" s="152" t="s">
        <v>1550</v>
      </c>
      <c r="Q740" s="152" t="s">
        <v>1551</v>
      </c>
      <c r="R740" s="154" t="s">
        <v>4364</v>
      </c>
      <c r="S740" s="154" t="s">
        <v>1553</v>
      </c>
      <c r="T740" s="155" t="s">
        <v>4095</v>
      </c>
      <c r="U740" s="152" t="str">
        <f aca="false">RIGHT(T740,7)</f>
        <v>016/037</v>
      </c>
      <c r="V740" s="152" t="s">
        <v>1555</v>
      </c>
      <c r="W740" s="156" t="n">
        <v>45882</v>
      </c>
      <c r="X740" s="152" t="s">
        <v>3938</v>
      </c>
      <c r="Y740" s="152" t="s">
        <v>2630</v>
      </c>
      <c r="Z740" s="152" t="s">
        <v>1557</v>
      </c>
      <c r="AA740" s="153" t="n">
        <v>3.4</v>
      </c>
      <c r="AB740" s="151" t="s">
        <v>4365</v>
      </c>
      <c r="AC740" s="151" t="s">
        <v>186</v>
      </c>
      <c r="AD740" s="151" t="str">
        <f aca="false">CONCATENATE($C740,$I740,$H740,$N740,$J740,$K740)</f>
        <v>TUBO PEADPEAD63VCAREDESZona07</v>
      </c>
      <c r="AE740" s="153" t="n">
        <f aca="false">IFERROR(INDEX(APOIO_REDES!$A:$W,MATCH($C740&amp;$I740&amp;$H740&amp;$N740&amp;$O740,APOIO_REDES!$W:$W,0),MATCH(AE$5,APOIO_REDES!$5:$5,0)),0)</f>
        <v>1.2</v>
      </c>
      <c r="AF740" s="153" t="n">
        <f aca="false">IFERROR(INDEX(APOIO_REDES!$A:$W,MATCH($C740&amp;$I740&amp;$H740&amp;$N740&amp;$O740,APOIO_REDES!$W:$W,0),MATCH(AF$5,APOIO_REDES!$5:$5,0)),0)</f>
        <v>1.363</v>
      </c>
      <c r="AG740" s="153" t="n">
        <f aca="false">IFERROR(INDEX(APOIO_REDES!$A:$W,MATCH($C740&amp;$I740&amp;$H740&amp;$N740&amp;$O740,APOIO_REDES!$W:$W,0),MATCH(AG$5,APOIO_REDES!$5:$5,0)),0)</f>
        <v>0.65</v>
      </c>
      <c r="AH740" s="153" t="n">
        <f aca="false">IFERROR(INDEX(APOIO_REDES!$A:$W,MATCH($C740&amp;$I740&amp;$H740&amp;$N740&amp;$O740,APOIO_REDES!$W:$W,0),MATCH(AH$5,APOIO_REDES!$5:$5,0)),0)</f>
        <v>0.1</v>
      </c>
      <c r="AI740" s="153" t="n">
        <f aca="false">IFERROR(IF($H740&lt;&gt;"",(((($H740/1000)/2)^2)*PI()*$M740),0),0)</f>
        <v>0.379711651274986</v>
      </c>
      <c r="AJ740" s="153" t="n">
        <f aca="false">IFERROR(IF(AND($H740&lt;&gt;"",$I740="FoFo",OR($N740="MND",$N740="VCA"),$Q740="LINEAR"),0,IF(AND($H740&lt;&gt;"",$I740="PEAD",$N740="VCA",$Q740="LINEAR"),($H740/1000)+0.3,IF(AND($H740&lt;&gt;"",$I740="PEAD",$N740="MND",$Q740="EMBOQUE"),0,IF(AND($H740&lt;&gt;"",$I740="PVC",$N740="VCA",$Q740="LINEAR"),($H740/1000)+0.2,IF(AND($H740&lt;&gt;"",$I740="PVC",$N740="MND",$Q740="EMBOQUE"),0,IF(AND($H740&lt;&gt;"",$I740="PEAD",$N740="VCA",$Q740="PREDIAL"),0,0)))))),0)</f>
        <v>0.363</v>
      </c>
      <c r="AK740" s="153" t="n">
        <f aca="false">IF(AA740&lt;&gt;"",AA740,0)</f>
        <v>3.4</v>
      </c>
      <c r="AL740" s="153" t="n">
        <f aca="false">IF(AND($N740="MND",$Q740="EMBOQUE"),$M740,IF(AND($N740="VCA",$Q740="LINEAR"),$M740,IF(AND($N740="VCA",$Q740="PREDIAL"),0,0)))</f>
        <v>121.81</v>
      </c>
      <c r="AM740" s="153" t="n">
        <f aca="false">IF(AND($N740="MND",$Q740="EMBOQUE"),$M740,IF(AND($N740="VCA",$Q740="LINEAR"),$M740,IF(AND($N740="VCA",$Q740="PREDIAL"),0,0)))</f>
        <v>121.81</v>
      </c>
      <c r="AN740" s="153" t="n">
        <f aca="false">ROUND(IF(AND($N740="VCA",$M740&lt;&gt;"",$Q740="LINEAR"),$M740/100,IF(AND($N740="MND",$M740&gt;100,$Q740="EMBOQUE"),$M740/100,0)),0)</f>
        <v>1</v>
      </c>
      <c r="AO740" s="153" t="n">
        <f aca="false">IF(AND($N740="MND",$Q740="EMBOQUE"),$AN740*2*2,IF(AND($N740="VCA",$Q740="LINEAR"),$M740*2,IF(AND($N740="VCA",$Q740="PREDIAL"),0,0)))</f>
        <v>243.62</v>
      </c>
      <c r="AP740" s="153" t="n">
        <f aca="false">IFERROR($M740*$AF740*$AG740,0)</f>
        <v>107.9175695</v>
      </c>
      <c r="AQ740" s="153" t="n">
        <f aca="false">IFERROR(IF(AND($N740="VCA",$AH740&gt;0),$M740*$AG740*$AH740,0),0)</f>
        <v>7.91765</v>
      </c>
      <c r="AR740" s="153" t="n">
        <f aca="false">IFERROR(IF(AND($N740="VCA",$AJ740&gt;0),($M740*$AG740*$AJ740)-$AI740,0),0)</f>
        <v>28.361357848725</v>
      </c>
      <c r="AS740" s="153" t="n">
        <f aca="false">IFERROR(IF(AND($N740="VCA",$AP740&gt;0),$AP740-$AI740-$AQ740-$AR740,0),0)</f>
        <v>71.25885</v>
      </c>
      <c r="AT740" s="153" t="n">
        <f aca="false">IFERROR(IF($N740="VCA",INDEX(APOIO_REDES!$A:$W,MATCH($C740&amp;$I740&amp;$H740&amp;$N740&amp;$O740,APOIO_REDES!$W:$W,0),MATCH(AT$5,APOIO_REDES!$5:$5,0)),0)*$AP740,0)</f>
        <v>1.1741750981301</v>
      </c>
      <c r="AU740" s="153" t="n">
        <f aca="false">IFERROR(IF($N740="VCA",INDEX(APOIO_REDES!$A:$W,MATCH($C740&amp;$I740&amp;$H740&amp;$N740&amp;$O740,APOIO_REDES!$W:$W,0),MATCH(AU$5,APOIO_REDES!$5:$5,0)),0)*$AP740,0)</f>
        <v>0.937664432672059</v>
      </c>
      <c r="AV740" s="153" t="n">
        <f aca="false">IFERROR(IF($N740="VCA",INDEX(APOIO_REDES!$A:$W,MATCH($C740&amp;$I740&amp;$H740&amp;$N740&amp;$O740,APOIO_REDES!$W:$W,0),MATCH(AV$5,APOIO_REDES!$5:$5,0)),0)*$AP740,0)</f>
        <v>0.129765396527408</v>
      </c>
      <c r="AW740" s="153" t="n">
        <f aca="false">IFERROR(IF($N740="VCA",INDEX(APOIO_REDES!$A:$W,MATCH($C740&amp;$I740&amp;$H740&amp;$N740&amp;$O740,APOIO_REDES!$W:$W,0),MATCH(AW$5,APOIO_REDES!$5:$5,0)),0)*$AP740,0)</f>
        <v>74.0754558909324</v>
      </c>
      <c r="AX740" s="153" t="n">
        <f aca="false">IFERROR(IF($N740="VCA",INDEX(APOIO_REDES!$A:$W,MATCH($C740&amp;$I740&amp;$H740&amp;$N740&amp;$O740,APOIO_REDES!$W:$W,0),MATCH(AX$5,APOIO_REDES!$5:$5,0)),0)*$AP740,0)</f>
        <v>10.2518320873748</v>
      </c>
      <c r="AY740" s="153" t="n">
        <f aca="false">IFERROR(IF($N740="VCA",INDEX(APOIO_REDES!$A:$W,MATCH($C740&amp;$I740&amp;$H740&amp;$N740&amp;$O740,APOIO_REDES!$W:$W,0),MATCH(AY$5,APOIO_REDES!$5:$5,0)),0)*$AP740,0)</f>
        <v>18.7532772233877</v>
      </c>
      <c r="AZ740" s="153" t="n">
        <f aca="false">IFERROR(IF($N740="VCA",INDEX(APOIO_REDES!$A:$W,MATCH($C740&amp;$I740&amp;$H740&amp;$N740&amp;$O740,APOIO_REDES!$W:$W,0),MATCH(AZ$5,APOIO_REDES!$5:$5,0)),0)*$AP740,0)</f>
        <v>2.59539937097555</v>
      </c>
      <c r="BA740" s="153" t="n">
        <f aca="false">IFERROR(IF(AND($N740="VCA",$Q740="LINEAR"),INDEX(APOIO_REDES!$A:$W,MATCH($C740&amp;$I740&amp;$H740&amp;$N740&amp;$O740,APOIO_REDES!$W:$W,0),MATCH(BA$5,APOIO_REDES!$5:$5,0)),IF(AND($N740="MND",$Q740="EMBOQUE"),INDEX(APOIO_REDES!$A:$W,MATCH($C740&amp;$I740&amp;$H740&amp;$N740&amp;$O740,APOIO_REDES!$W:$W,0),MATCH(BA$5,APOIO_REDES!$5:$5,0)),0))*$M740/10,0)</f>
        <v>9.81757874399304</v>
      </c>
      <c r="BB740" s="153" t="n">
        <f aca="false">IFERROR(IF($N740="VCA",INDEX(APOIO_REDES!$A:$W,MATCH($C740&amp;$I740&amp;$H740&amp;$N740&amp;$O740,APOIO_REDES!$W:$W,0),MATCH(BB$5,APOIO_REDES!$5:$5,0)),0)*($AI740+$AQ740+$AR740),0)</f>
        <v>36.2598617814129</v>
      </c>
      <c r="BC740" s="153" t="n">
        <f aca="false">IFERROR(IF($N740="VCA",INDEX(APOIO_REDES!$A:$W,MATCH($C740&amp;$I740&amp;$H740&amp;$N740&amp;$O740,APOIO_REDES!$W:$W,0),MATCH(BC$5,APOIO_REDES!$5:$5,0)),0)*($AI740+$AQ740+$AR740),0)</f>
        <v>0.398857718587113</v>
      </c>
      <c r="BD740" s="153" t="n">
        <f aca="false">IF(AND($N740="VCA",$AF740&gt;=1.25,$AF740&lt;1.5),$M740*$AF740*2,0)</f>
        <v>332.05406</v>
      </c>
      <c r="BE740" s="153" t="n">
        <f aca="false">IF(AND($N740="VCA",$AF740&gt;=1.5,$AF740&lt;3),$M740*$AF740*2,0)</f>
        <v>0</v>
      </c>
      <c r="BF740" s="153" t="n">
        <f aca="false">IF(AND($N740="VCA",$AF740&gt;=3),$M740*$AF740*2,0)</f>
        <v>0</v>
      </c>
      <c r="BG740" s="153" t="n">
        <f aca="false">($BB740+$BC740)*$AK740</f>
        <v>124.6396463</v>
      </c>
      <c r="BH740" s="153" t="n">
        <f aca="false">IF(AND($M740&lt;&gt;"",$N740="VCA",$Q740="LINEAR"),($M740*2)/100,IF(AND($M740&lt;&gt;"",$N740="MND",$Q740="EMBOQUE"),($AN740*2)/100,0))</f>
        <v>2.4362</v>
      </c>
      <c r="BI740" s="153" t="n">
        <f aca="false">IF(AND($M740&lt;&gt;"",$N740="VCA",$Q740="LINEAR"),$M740,IF(AND($M740&lt;&gt;"",$N740="MND",$Q740="EMBOQUE"),$AN740*2,0))</f>
        <v>121.81</v>
      </c>
      <c r="BJ740" s="153" t="n">
        <f aca="false">IF(AND($M740&lt;&gt;"",$N740="VCA",$Q740="LINEAR"),($M740*6.8)/100,IF(AND($M740&lt;&gt;"",$N740="MND",$Q740="EMBOQUE"),($AN740*2*6.8)/100,0))</f>
        <v>8.28308</v>
      </c>
      <c r="BK740" s="153" t="n">
        <f aca="false">IF(AND($M740&lt;&gt;"",$N740="VCA",$Q740="LINEAR"),($M740*2.5)/50,IF(AND($M740&lt;&gt;"",$N740="MND",$Q740="EMBOQUE"),($AN740*2*2.5)/50,0))</f>
        <v>6.0905</v>
      </c>
      <c r="BL740" s="157" t="str">
        <f aca="false">K740&amp;J740</f>
        <v>Zona07REDES</v>
      </c>
      <c r="BM740" s="152" t="s">
        <v>4225</v>
      </c>
      <c r="BN740" s="152" t="s">
        <v>1560</v>
      </c>
      <c r="BO740" s="152" t="s">
        <v>4097</v>
      </c>
      <c r="BP740" s="152" t="s">
        <v>4339</v>
      </c>
      <c r="BQ740" s="152" t="s">
        <v>2232</v>
      </c>
      <c r="BR740" s="152" t="s">
        <v>4366</v>
      </c>
      <c r="BS740" s="152" t="n">
        <v>204125.559</v>
      </c>
      <c r="BT740" s="152" t="n">
        <v>8236808.809</v>
      </c>
      <c r="BU740" s="152" t="n">
        <v>204041.632</v>
      </c>
      <c r="BV740" s="152" t="n">
        <v>8236721.763</v>
      </c>
      <c r="BW740" s="152" t="n">
        <v>-15.9307347</v>
      </c>
      <c r="BX740" s="152" t="n">
        <v>-47.7639274</v>
      </c>
      <c r="BY740" s="152" t="s">
        <v>4339</v>
      </c>
    </row>
    <row r="741" customFormat="false" ht="13.8" hidden="false" customHeight="false" outlineLevel="0" collapsed="false">
      <c r="A741" s="149" t="n">
        <f aca="false">IF(C741&lt;&gt;"",ROW(A736),"")</f>
        <v>736</v>
      </c>
      <c r="B741" s="150" t="str">
        <f aca="false">HYPERLINK("https://www.google.com/maps/dir/-15.917302,-47.760003/-15.9309752,-47.7630063/data=!4m3!4m2!3e0!5i2")</f>
        <v>https://www.google.com/maps/dir/-15.917302,-47.760003/-15.9309752,-47.7630063/data=!4m3!4m2!3e0!5i2</v>
      </c>
      <c r="C741" s="151" t="s">
        <v>117</v>
      </c>
      <c r="D741" s="152" t="s">
        <v>112</v>
      </c>
      <c r="E741" s="152" t="s">
        <v>113</v>
      </c>
      <c r="F741" s="152" t="s">
        <v>117</v>
      </c>
      <c r="G741" s="152" t="s">
        <v>782</v>
      </c>
      <c r="H741" s="152" t="n">
        <v>90</v>
      </c>
      <c r="I741" s="152" t="s">
        <v>115</v>
      </c>
      <c r="J741" s="152" t="s">
        <v>6</v>
      </c>
      <c r="K741" s="152" t="s">
        <v>4221</v>
      </c>
      <c r="L741" s="152" t="s">
        <v>120</v>
      </c>
      <c r="M741" s="153" t="n">
        <f aca="false">44.86</f>
        <v>44.86</v>
      </c>
      <c r="N741" s="152" t="s">
        <v>1548</v>
      </c>
      <c r="O741" s="152" t="s">
        <v>1549</v>
      </c>
      <c r="P741" s="152" t="s">
        <v>1550</v>
      </c>
      <c r="Q741" s="152" t="s">
        <v>1551</v>
      </c>
      <c r="R741" s="154" t="s">
        <v>4367</v>
      </c>
      <c r="S741" s="154" t="s">
        <v>1593</v>
      </c>
      <c r="T741" s="155" t="s">
        <v>4095</v>
      </c>
      <c r="U741" s="152" t="str">
        <f aca="false">RIGHT(T741,7)</f>
        <v>016/037</v>
      </c>
      <c r="V741" s="152" t="s">
        <v>1555</v>
      </c>
      <c r="W741" s="156" t="n">
        <v>45882</v>
      </c>
      <c r="X741" s="152" t="s">
        <v>3938</v>
      </c>
      <c r="Y741" s="152" t="s">
        <v>4009</v>
      </c>
      <c r="Z741" s="152" t="s">
        <v>1557</v>
      </c>
      <c r="AA741" s="153" t="n">
        <v>3.3</v>
      </c>
      <c r="AB741" s="151" t="s">
        <v>4368</v>
      </c>
      <c r="AC741" s="151" t="s">
        <v>526</v>
      </c>
      <c r="AD741" s="151" t="str">
        <f aca="false">CONCATENATE($C741,$I741,$H741,$N741,$J741,$K741)</f>
        <v>TUBO PEADPEAD90VCAREDESZona07</v>
      </c>
      <c r="AE741" s="153" t="n">
        <f aca="false">IFERROR(INDEX(APOIO_REDES!$A:$W,MATCH($C741&amp;$I741&amp;$H741&amp;$N741&amp;$O741,APOIO_REDES!$W:$W,0),MATCH(AE$5,APOIO_REDES!$5:$5,0)),0)</f>
        <v>1.2</v>
      </c>
      <c r="AF741" s="153" t="n">
        <f aca="false">IFERROR(INDEX(APOIO_REDES!$A:$W,MATCH($C741&amp;$I741&amp;$H741&amp;$N741&amp;$O741,APOIO_REDES!$W:$W,0),MATCH(AF$5,APOIO_REDES!$5:$5,0)),0)</f>
        <v>1.39</v>
      </c>
      <c r="AG741" s="153" t="n">
        <f aca="false">IFERROR(INDEX(APOIO_REDES!$A:$W,MATCH($C741&amp;$I741&amp;$H741&amp;$N741&amp;$O741,APOIO_REDES!$W:$W,0),MATCH(AG$5,APOIO_REDES!$5:$5,0)),0)</f>
        <v>0.75</v>
      </c>
      <c r="AH741" s="153" t="n">
        <f aca="false">IFERROR(INDEX(APOIO_REDES!$A:$W,MATCH($C741&amp;$I741&amp;$H741&amp;$N741&amp;$O741,APOIO_REDES!$W:$W,0),MATCH(AH$5,APOIO_REDES!$5:$5,0)),0)</f>
        <v>0.1</v>
      </c>
      <c r="AI741" s="153" t="n">
        <f aca="false">IFERROR(IF($H741&lt;&gt;"",(((($H741/1000)/2)^2)*PI()*$M741),0),0)</f>
        <v>0.285386989041077</v>
      </c>
      <c r="AJ741" s="153" t="n">
        <f aca="false">IFERROR(IF(AND($H741&lt;&gt;"",$I741="FoFo",OR($N741="MND",$N741="VCA"),$Q741="LINEAR"),0,IF(AND($H741&lt;&gt;"",$I741="PEAD",$N741="VCA",$Q741="LINEAR"),($H741/1000)+0.3,IF(AND($H741&lt;&gt;"",$I741="PEAD",$N741="MND",$Q741="EMBOQUE"),0,IF(AND($H741&lt;&gt;"",$I741="PVC",$N741="VCA",$Q741="LINEAR"),($H741/1000)+0.2,IF(AND($H741&lt;&gt;"",$I741="PVC",$N741="MND",$Q741="EMBOQUE"),0,IF(AND($H741&lt;&gt;"",$I741="PEAD",$N741="VCA",$Q741="PREDIAL"),0,0)))))),0)</f>
        <v>0.39</v>
      </c>
      <c r="AK741" s="153" t="n">
        <f aca="false">IF(AA741&lt;&gt;"",AA741,0)</f>
        <v>3.3</v>
      </c>
      <c r="AL741" s="153" t="n">
        <f aca="false">IF(AND($N741="MND",$Q741="EMBOQUE"),$M741,IF(AND($N741="VCA",$Q741="LINEAR"),$M741,IF(AND($N741="VCA",$Q741="PREDIAL"),0,0)))</f>
        <v>44.86</v>
      </c>
      <c r="AM741" s="153" t="n">
        <f aca="false">IF(AND($N741="MND",$Q741="EMBOQUE"),$M741,IF(AND($N741="VCA",$Q741="LINEAR"),$M741,IF(AND($N741="VCA",$Q741="PREDIAL"),0,0)))</f>
        <v>44.86</v>
      </c>
      <c r="AN741" s="153" t="n">
        <f aca="false">ROUND(IF(AND($N741="VCA",$M741&lt;&gt;"",$Q741="LINEAR"),$M741/100,IF(AND($N741="MND",$M741&gt;100,$Q741="EMBOQUE"),$M741/100,0)),0)</f>
        <v>0</v>
      </c>
      <c r="AO741" s="153" t="n">
        <f aca="false">IF(AND($N741="MND",$Q741="EMBOQUE"),$AN741*2*2,IF(AND($N741="VCA",$Q741="LINEAR"),$M741*2,IF(AND($N741="VCA",$Q741="PREDIAL"),0,0)))</f>
        <v>89.72</v>
      </c>
      <c r="AP741" s="153" t="n">
        <f aca="false">IFERROR($M741*$AF741*$AG741,0)</f>
        <v>46.76655</v>
      </c>
      <c r="AQ741" s="153" t="n">
        <f aca="false">IFERROR(IF(AND($N741="VCA",$AH741&gt;0),$M741*$AG741*$AH741,0),0)</f>
        <v>3.3645</v>
      </c>
      <c r="AR741" s="153" t="n">
        <f aca="false">IFERROR(IF(AND($N741="VCA",$AJ741&gt;0),($M741*$AG741*$AJ741)-$AI741,0),0)</f>
        <v>12.8361630109589</v>
      </c>
      <c r="AS741" s="153" t="n">
        <f aca="false">IFERROR(IF(AND($N741="VCA",$AP741&gt;0),$AP741-$AI741-$AQ741-$AR741,0),0)</f>
        <v>30.2805</v>
      </c>
      <c r="AT741" s="153" t="n">
        <f aca="false">IFERROR(IF($N741="VCA",INDEX(APOIO_REDES!$A:$W,MATCH($C741&amp;$I741&amp;$H741&amp;$N741&amp;$O741,APOIO_REDES!$W:$W,0),MATCH(AT$5,APOIO_REDES!$5:$5,0)),0)*$AP741,0)</f>
        <v>0.508833906192227</v>
      </c>
      <c r="AU741" s="153" t="n">
        <f aca="false">IFERROR(IF($N741="VCA",INDEX(APOIO_REDES!$A:$W,MATCH($C741&amp;$I741&amp;$H741&amp;$N741&amp;$O741,APOIO_REDES!$W:$W,0),MATCH(AU$5,APOIO_REDES!$5:$5,0)),0)*$AP741,0)</f>
        <v>0.406340976515223</v>
      </c>
      <c r="AV741" s="153" t="n">
        <f aca="false">IFERROR(IF($N741="VCA",INDEX(APOIO_REDES!$A:$W,MATCH($C741&amp;$I741&amp;$H741&amp;$N741&amp;$O741,APOIO_REDES!$W:$W,0),MATCH(AV$5,APOIO_REDES!$5:$5,0)),0)*$AP741,0)</f>
        <v>0.0562344012479713</v>
      </c>
      <c r="AW741" s="153" t="n">
        <f aca="false">IFERROR(IF($N741="VCA",INDEX(APOIO_REDES!$A:$W,MATCH($C741&amp;$I741&amp;$H741&amp;$N741&amp;$O741,APOIO_REDES!$W:$W,0),MATCH(AW$5,APOIO_REDES!$5:$5,0)),0)*$AP741,0)</f>
        <v>32.1009222849119</v>
      </c>
      <c r="AX741" s="153" t="n">
        <f aca="false">IFERROR(IF($N741="VCA",INDEX(APOIO_REDES!$A:$W,MATCH($C741&amp;$I741&amp;$H741&amp;$N741&amp;$O741,APOIO_REDES!$W:$W,0),MATCH(AX$5,APOIO_REDES!$5:$5,0)),0)*$AP741,0)</f>
        <v>4.4426762030238</v>
      </c>
      <c r="AY741" s="153" t="n">
        <f aca="false">IFERROR(IF($N741="VCA",INDEX(APOIO_REDES!$A:$W,MATCH($C741&amp;$I741&amp;$H741&amp;$N741&amp;$O741,APOIO_REDES!$W:$W,0),MATCH(AY$5,APOIO_REDES!$5:$5,0)),0)*$AP741,0)</f>
        <v>8.1268145770409</v>
      </c>
      <c r="AZ741" s="153" t="n">
        <f aca="false">IFERROR(IF($N741="VCA",INDEX(APOIO_REDES!$A:$W,MATCH($C741&amp;$I741&amp;$H741&amp;$N741&amp;$O741,APOIO_REDES!$W:$W,0),MATCH(AZ$5,APOIO_REDES!$5:$5,0)),0)*$AP741,0)</f>
        <v>1.12472765106794</v>
      </c>
      <c r="BA741" s="153" t="n">
        <f aca="false">IFERROR(IF(AND($N741="VCA",$Q741="LINEAR"),INDEX(APOIO_REDES!$A:$W,MATCH($C741&amp;$I741&amp;$H741&amp;$N741&amp;$O741,APOIO_REDES!$W:$W,0),MATCH(BA$5,APOIO_REDES!$5:$5,0)),IF(AND($N741="MND",$Q741="EMBOQUE"),INDEX(APOIO_REDES!$A:$W,MATCH($C741&amp;$I741&amp;$H741&amp;$N741&amp;$O741,APOIO_REDES!$W:$W,0),MATCH(BA$5,APOIO_REDES!$5:$5,0)),0))*$M741/10,0)</f>
        <v>3.61560284422894</v>
      </c>
      <c r="BB741" s="153" t="n">
        <f aca="false">IFERROR(IF($N741="VCA",INDEX(APOIO_REDES!$A:$W,MATCH($C741&amp;$I741&amp;$H741&amp;$N741&amp;$O741,APOIO_REDES!$W:$W,0),MATCH(BB$5,APOIO_REDES!$5:$5,0)),0)*($AI741+$AQ741+$AR741),0)</f>
        <v>16.3066768963783</v>
      </c>
      <c r="BC741" s="153" t="n">
        <f aca="false">IFERROR(IF($N741="VCA",INDEX(APOIO_REDES!$A:$W,MATCH($C741&amp;$I741&amp;$H741&amp;$N741&amp;$O741,APOIO_REDES!$W:$W,0),MATCH(BC$5,APOIO_REDES!$5:$5,0)),0)*($AI741+$AQ741+$AR741),0)</f>
        <v>0.17937310362172</v>
      </c>
      <c r="BD741" s="153" t="n">
        <f aca="false">IF(AND($N741="VCA",$AF741&gt;=1.25,$AF741&lt;1.5),$M741*$AF741*2,0)</f>
        <v>124.7108</v>
      </c>
      <c r="BE741" s="153" t="n">
        <f aca="false">IF(AND($N741="VCA",$AF741&gt;=1.5,$AF741&lt;3),$M741*$AF741*2,0)</f>
        <v>0</v>
      </c>
      <c r="BF741" s="153" t="n">
        <f aca="false">IF(AND($N741="VCA",$AF741&gt;=3),$M741*$AF741*2,0)</f>
        <v>0</v>
      </c>
      <c r="BG741" s="153" t="n">
        <f aca="false">($BB741+$BC741)*$AK741</f>
        <v>54.403965</v>
      </c>
      <c r="BH741" s="153" t="n">
        <f aca="false">IF(AND($M741&lt;&gt;"",$N741="VCA",$Q741="LINEAR"),($M741*2)/100,IF(AND($M741&lt;&gt;"",$N741="MND",$Q741="EMBOQUE"),($AN741*2)/100,0))</f>
        <v>0.8972</v>
      </c>
      <c r="BI741" s="153" t="n">
        <f aca="false">IF(AND($M741&lt;&gt;"",$N741="VCA",$Q741="LINEAR"),$M741,IF(AND($M741&lt;&gt;"",$N741="MND",$Q741="EMBOQUE"),$AN741*2,0))</f>
        <v>44.86</v>
      </c>
      <c r="BJ741" s="153" t="n">
        <f aca="false">IF(AND($M741&lt;&gt;"",$N741="VCA",$Q741="LINEAR"),($M741*6.8)/100,IF(AND($M741&lt;&gt;"",$N741="MND",$Q741="EMBOQUE"),($AN741*2*6.8)/100,0))</f>
        <v>3.05048</v>
      </c>
      <c r="BK741" s="153" t="n">
        <f aca="false">IF(AND($M741&lt;&gt;"",$N741="VCA",$Q741="LINEAR"),($M741*2.5)/50,IF(AND($M741&lt;&gt;"",$N741="MND",$Q741="EMBOQUE"),($AN741*2*2.5)/50,0))</f>
        <v>2.243</v>
      </c>
      <c r="BL741" s="157" t="str">
        <f aca="false">K741&amp;J741</f>
        <v>Zona07REDES</v>
      </c>
      <c r="BM741" s="152" t="s">
        <v>4225</v>
      </c>
      <c r="BN741" s="152" t="s">
        <v>1560</v>
      </c>
      <c r="BO741" s="152" t="s">
        <v>4097</v>
      </c>
      <c r="BP741" s="152" t="s">
        <v>4369</v>
      </c>
      <c r="BQ741" s="152" t="s">
        <v>4354</v>
      </c>
      <c r="BR741" s="152" t="s">
        <v>4370</v>
      </c>
      <c r="BS741" s="152" t="n">
        <v>204182.589</v>
      </c>
      <c r="BT741" s="152" t="n">
        <v>8236741.132</v>
      </c>
      <c r="BU741" s="152" t="n">
        <v>204154.086</v>
      </c>
      <c r="BV741" s="152" t="n">
        <v>8236775.75</v>
      </c>
      <c r="BW741" s="152" t="n">
        <v>-15.9308173</v>
      </c>
      <c r="BX741" s="152" t="n">
        <v>-47.7631375</v>
      </c>
      <c r="BY741" s="152" t="s">
        <v>4369</v>
      </c>
    </row>
    <row r="742" customFormat="false" ht="13.8" hidden="false" customHeight="false" outlineLevel="0" collapsed="false">
      <c r="A742" s="149" t="n">
        <f aca="false">IF(C742&lt;&gt;"",ROW(A737),"")</f>
        <v>737</v>
      </c>
      <c r="B742" s="150" t="str">
        <f aca="false">HYPERLINK("https://www.google.com/maps/dir/-15.917302,-47.760003/-15.9308558,-47.7650843/data=!4m3!4m2!3e0!5i2")</f>
        <v>https://www.google.com/maps/dir/-15.917302,-47.760003/-15.9308558,-47.7650843/data=!4m3!4m2!3e0!5i2</v>
      </c>
      <c r="C742" s="151" t="s">
        <v>117</v>
      </c>
      <c r="D742" s="152" t="s">
        <v>112</v>
      </c>
      <c r="E742" s="152" t="s">
        <v>113</v>
      </c>
      <c r="F742" s="152" t="s">
        <v>117</v>
      </c>
      <c r="G742" s="152" t="s">
        <v>782</v>
      </c>
      <c r="H742" s="152" t="n">
        <v>90</v>
      </c>
      <c r="I742" s="152" t="s">
        <v>115</v>
      </c>
      <c r="J742" s="152" t="s">
        <v>6</v>
      </c>
      <c r="K742" s="152" t="s">
        <v>4221</v>
      </c>
      <c r="L742" s="152" t="s">
        <v>120</v>
      </c>
      <c r="M742" s="153" t="n">
        <f aca="false">1.14</f>
        <v>1.14</v>
      </c>
      <c r="N742" s="152" t="s">
        <v>1548</v>
      </c>
      <c r="O742" s="152" t="s">
        <v>1549</v>
      </c>
      <c r="P742" s="152" t="s">
        <v>1550</v>
      </c>
      <c r="Q742" s="152" t="s">
        <v>1551</v>
      </c>
      <c r="R742" s="154" t="s">
        <v>4371</v>
      </c>
      <c r="S742" s="154" t="s">
        <v>1593</v>
      </c>
      <c r="T742" s="155" t="s">
        <v>4095</v>
      </c>
      <c r="U742" s="152" t="str">
        <f aca="false">RIGHT(T742,7)</f>
        <v>016/037</v>
      </c>
      <c r="V742" s="152" t="s">
        <v>1555</v>
      </c>
      <c r="W742" s="156" t="n">
        <v>45882</v>
      </c>
      <c r="X742" s="152" t="s">
        <v>1594</v>
      </c>
      <c r="Y742" s="152" t="s">
        <v>4009</v>
      </c>
      <c r="Z742" s="152" t="s">
        <v>1557</v>
      </c>
      <c r="AA742" s="153" t="n">
        <v>3.6</v>
      </c>
      <c r="AB742" s="151" t="s">
        <v>4372</v>
      </c>
      <c r="AC742" s="151" t="s">
        <v>526</v>
      </c>
      <c r="AD742" s="151" t="str">
        <f aca="false">CONCATENATE($C742,$I742,$H742,$N742,$J742,$K742)</f>
        <v>TUBO PEADPEAD90VCAREDESZona07</v>
      </c>
      <c r="AE742" s="153" t="n">
        <f aca="false">IFERROR(INDEX(APOIO_REDES!$A:$W,MATCH($C742&amp;$I742&amp;$H742&amp;$N742&amp;$O742,APOIO_REDES!$W:$W,0),MATCH(AE$5,APOIO_REDES!$5:$5,0)),0)</f>
        <v>1.2</v>
      </c>
      <c r="AF742" s="153" t="n">
        <f aca="false">IFERROR(INDEX(APOIO_REDES!$A:$W,MATCH($C742&amp;$I742&amp;$H742&amp;$N742&amp;$O742,APOIO_REDES!$W:$W,0),MATCH(AF$5,APOIO_REDES!$5:$5,0)),0)</f>
        <v>1.39</v>
      </c>
      <c r="AG742" s="153" t="n">
        <f aca="false">IFERROR(INDEX(APOIO_REDES!$A:$W,MATCH($C742&amp;$I742&amp;$H742&amp;$N742&amp;$O742,APOIO_REDES!$W:$W,0),MATCH(AG$5,APOIO_REDES!$5:$5,0)),0)</f>
        <v>0.75</v>
      </c>
      <c r="AH742" s="153" t="n">
        <f aca="false">IFERROR(INDEX(APOIO_REDES!$A:$W,MATCH($C742&amp;$I742&amp;$H742&amp;$N742&amp;$O742,APOIO_REDES!$W:$W,0),MATCH(AH$5,APOIO_REDES!$5:$5,0)),0)</f>
        <v>0.1</v>
      </c>
      <c r="AI742" s="153" t="n">
        <f aca="false">IFERROR(IF($H742&lt;&gt;"",(((($H742/1000)/2)^2)*PI()*$M742),0),0)</f>
        <v>0.00725236664081204</v>
      </c>
      <c r="AJ742" s="153" t="n">
        <f aca="false">IFERROR(IF(AND($H742&lt;&gt;"",$I742="FoFo",OR($N742="MND",$N742="VCA"),$Q742="LINEAR"),0,IF(AND($H742&lt;&gt;"",$I742="PEAD",$N742="VCA",$Q742="LINEAR"),($H742/1000)+0.3,IF(AND($H742&lt;&gt;"",$I742="PEAD",$N742="MND",$Q742="EMBOQUE"),0,IF(AND($H742&lt;&gt;"",$I742="PVC",$N742="VCA",$Q742="LINEAR"),($H742/1000)+0.2,IF(AND($H742&lt;&gt;"",$I742="PVC",$N742="MND",$Q742="EMBOQUE"),0,IF(AND($H742&lt;&gt;"",$I742="PEAD",$N742="VCA",$Q742="PREDIAL"),0,0)))))),0)</f>
        <v>0.39</v>
      </c>
      <c r="AK742" s="153" t="n">
        <f aca="false">IF(AA742&lt;&gt;"",AA742,0)</f>
        <v>3.6</v>
      </c>
      <c r="AL742" s="153" t="n">
        <f aca="false">IF(AND($N742="MND",$Q742="EMBOQUE"),$M742,IF(AND($N742="VCA",$Q742="LINEAR"),$M742,IF(AND($N742="VCA",$Q742="PREDIAL"),0,0)))</f>
        <v>1.14</v>
      </c>
      <c r="AM742" s="153" t="n">
        <f aca="false">IF(AND($N742="MND",$Q742="EMBOQUE"),$M742,IF(AND($N742="VCA",$Q742="LINEAR"),$M742,IF(AND($N742="VCA",$Q742="PREDIAL"),0,0)))</f>
        <v>1.14</v>
      </c>
      <c r="AN742" s="153" t="n">
        <f aca="false">ROUND(IF(AND($N742="VCA",$M742&lt;&gt;"",$Q742="LINEAR"),$M742/100,IF(AND($N742="MND",$M742&gt;100,$Q742="EMBOQUE"),$M742/100,0)),0)</f>
        <v>0</v>
      </c>
      <c r="AO742" s="153" t="n">
        <f aca="false">IF(AND($N742="MND",$Q742="EMBOQUE"),$AN742*2*2,IF(AND($N742="VCA",$Q742="LINEAR"),$M742*2,IF(AND($N742="VCA",$Q742="PREDIAL"),0,0)))</f>
        <v>2.28</v>
      </c>
      <c r="AP742" s="153" t="n">
        <f aca="false">IFERROR($M742*$AF742*$AG742,0)</f>
        <v>1.18845</v>
      </c>
      <c r="AQ742" s="153" t="n">
        <f aca="false">IFERROR(IF(AND($N742="VCA",$AH742&gt;0),$M742*$AG742*$AH742,0),0)</f>
        <v>0.0855</v>
      </c>
      <c r="AR742" s="153" t="n">
        <f aca="false">IFERROR(IF(AND($N742="VCA",$AJ742&gt;0),($M742*$AG742*$AJ742)-$AI742,0),0)</f>
        <v>0.326197633359188</v>
      </c>
      <c r="AS742" s="153" t="n">
        <f aca="false">IFERROR(IF(AND($N742="VCA",$AP742&gt;0),$AP742-$AI742-$AQ742-$AR742,0),0)</f>
        <v>0.7695</v>
      </c>
      <c r="AT742" s="153" t="n">
        <f aca="false">IFERROR(IF($N742="VCA",INDEX(APOIO_REDES!$A:$W,MATCH($C742&amp;$I742&amp;$H742&amp;$N742&amp;$O742,APOIO_REDES!$W:$W,0),MATCH(AT$5,APOIO_REDES!$5:$5,0)),0)*$AP742,0)</f>
        <v>0.0129306877632443</v>
      </c>
      <c r="AU742" s="153" t="n">
        <f aca="false">IFERROR(IF($N742="VCA",INDEX(APOIO_REDES!$A:$W,MATCH($C742&amp;$I742&amp;$H742&amp;$N742&amp;$O742,APOIO_REDES!$W:$W,0),MATCH(AU$5,APOIO_REDES!$5:$5,0)),0)*$AP742,0)</f>
        <v>0.0103260970402888</v>
      </c>
      <c r="AV742" s="153" t="n">
        <f aca="false">IFERROR(IF($N742="VCA",INDEX(APOIO_REDES!$A:$W,MATCH($C742&amp;$I742&amp;$H742&amp;$N742&amp;$O742,APOIO_REDES!$W:$W,0),MATCH(AV$5,APOIO_REDES!$5:$5,0)),0)*$AP742,0)</f>
        <v>0.00142905076733587</v>
      </c>
      <c r="AW742" s="153" t="n">
        <f aca="false">IFERROR(IF($N742="VCA",INDEX(APOIO_REDES!$A:$W,MATCH($C742&amp;$I742&amp;$H742&amp;$N742&amp;$O742,APOIO_REDES!$W:$W,0),MATCH(AW$5,APOIO_REDES!$5:$5,0)),0)*$AP742,0)</f>
        <v>0.815761288559956</v>
      </c>
      <c r="AX742" s="153" t="n">
        <f aca="false">IFERROR(IF($N742="VCA",INDEX(APOIO_REDES!$A:$W,MATCH($C742&amp;$I742&amp;$H742&amp;$N742&amp;$O742,APOIO_REDES!$W:$W,0),MATCH(AX$5,APOIO_REDES!$5:$5,0)),0)*$AP742,0)</f>
        <v>0.112899038596682</v>
      </c>
      <c r="AY742" s="153" t="n">
        <f aca="false">IFERROR(IF($N742="VCA",INDEX(APOIO_REDES!$A:$W,MATCH($C742&amp;$I742&amp;$H742&amp;$N742&amp;$O742,APOIO_REDES!$W:$W,0),MATCH(AY$5,APOIO_REDES!$5:$5,0)),0)*$AP742,0)</f>
        <v>0.20652181493149</v>
      </c>
      <c r="AZ742" s="153" t="n">
        <f aca="false">IFERROR(IF($N742="VCA",INDEX(APOIO_REDES!$A:$W,MATCH($C742&amp;$I742&amp;$H742&amp;$N742&amp;$O742,APOIO_REDES!$W:$W,0),MATCH(AZ$5,APOIO_REDES!$5:$5,0)),0)*$AP742,0)</f>
        <v>0.0285820223410043</v>
      </c>
      <c r="BA742" s="153" t="n">
        <f aca="false">IFERROR(IF(AND($N742="VCA",$Q742="LINEAR"),INDEX(APOIO_REDES!$A:$W,MATCH($C742&amp;$I742&amp;$H742&amp;$N742&amp;$O742,APOIO_REDES!$W:$W,0),MATCH(BA$5,APOIO_REDES!$5:$5,0)),IF(AND($N742="MND",$Q742="EMBOQUE"),INDEX(APOIO_REDES!$A:$W,MATCH($C742&amp;$I742&amp;$H742&amp;$N742&amp;$O742,APOIO_REDES!$W:$W,0),MATCH(BA$5,APOIO_REDES!$5:$5,0)),0))*$M742/10,0)</f>
        <v>0.0918811244409495</v>
      </c>
      <c r="BB742" s="153" t="n">
        <f aca="false">IFERROR(IF($N742="VCA",INDEX(APOIO_REDES!$A:$W,MATCH($C742&amp;$I742&amp;$H742&amp;$N742&amp;$O742,APOIO_REDES!$W:$W,0),MATCH(BB$5,APOIO_REDES!$5:$5,0)),0)*($AI742+$AQ742+$AR742),0)</f>
        <v>0.41439169999713</v>
      </c>
      <c r="BC742" s="153" t="n">
        <f aca="false">IFERROR(IF($N742="VCA",INDEX(APOIO_REDES!$A:$W,MATCH($C742&amp;$I742&amp;$H742&amp;$N742&amp;$O742,APOIO_REDES!$W:$W,0),MATCH(BC$5,APOIO_REDES!$5:$5,0)),0)*($AI742+$AQ742+$AR742),0)</f>
        <v>0.00455830000287029</v>
      </c>
      <c r="BD742" s="153" t="n">
        <f aca="false">IF(AND($N742="VCA",$AF742&gt;=1.25,$AF742&lt;1.5),$M742*$AF742*2,0)</f>
        <v>3.1692</v>
      </c>
      <c r="BE742" s="153" t="n">
        <f aca="false">IF(AND($N742="VCA",$AF742&gt;=1.5,$AF742&lt;3),$M742*$AF742*2,0)</f>
        <v>0</v>
      </c>
      <c r="BF742" s="153" t="n">
        <f aca="false">IF(AND($N742="VCA",$AF742&gt;=3),$M742*$AF742*2,0)</f>
        <v>0</v>
      </c>
      <c r="BG742" s="153" t="n">
        <f aca="false">($BB742+$BC742)*$AK742</f>
        <v>1.50822</v>
      </c>
      <c r="BH742" s="153" t="n">
        <f aca="false">IF(AND($M742&lt;&gt;"",$N742="VCA",$Q742="LINEAR"),($M742*2)/100,IF(AND($M742&lt;&gt;"",$N742="MND",$Q742="EMBOQUE"),($AN742*2)/100,0))</f>
        <v>0.0228</v>
      </c>
      <c r="BI742" s="153" t="n">
        <f aca="false">IF(AND($M742&lt;&gt;"",$N742="VCA",$Q742="LINEAR"),$M742,IF(AND($M742&lt;&gt;"",$N742="MND",$Q742="EMBOQUE"),$AN742*2,0))</f>
        <v>1.14</v>
      </c>
      <c r="BJ742" s="153" t="n">
        <f aca="false">IF(AND($M742&lt;&gt;"",$N742="VCA",$Q742="LINEAR"),($M742*6.8)/100,IF(AND($M742&lt;&gt;"",$N742="MND",$Q742="EMBOQUE"),($AN742*2*6.8)/100,0))</f>
        <v>0.07752</v>
      </c>
      <c r="BK742" s="153" t="n">
        <f aca="false">IF(AND($M742&lt;&gt;"",$N742="VCA",$Q742="LINEAR"),($M742*2.5)/50,IF(AND($M742&lt;&gt;"",$N742="MND",$Q742="EMBOQUE"),($AN742*2*2.5)/50,0))</f>
        <v>0.057</v>
      </c>
      <c r="BL742" s="157" t="str">
        <f aca="false">K742&amp;J742</f>
        <v>Zona07REDES</v>
      </c>
      <c r="BM742" s="152" t="s">
        <v>4225</v>
      </c>
      <c r="BN742" s="152" t="s">
        <v>1560</v>
      </c>
      <c r="BO742" s="152" t="s">
        <v>4097</v>
      </c>
      <c r="BP742" s="152" t="s">
        <v>4373</v>
      </c>
      <c r="BQ742" s="152" t="s">
        <v>4374</v>
      </c>
      <c r="BR742" s="152" t="s">
        <v>4375</v>
      </c>
      <c r="BS742" s="152" t="n">
        <v>203959.854</v>
      </c>
      <c r="BT742" s="152" t="n">
        <v>8236750.654</v>
      </c>
      <c r="BU742" s="152" t="n">
        <v>203960.768</v>
      </c>
      <c r="BV742" s="152" t="n">
        <v>8236751.338</v>
      </c>
      <c r="BW742" s="152" t="n">
        <v>-15.9308572</v>
      </c>
      <c r="BX742" s="152" t="n">
        <v>-47.7650767</v>
      </c>
      <c r="BY742" s="152" t="s">
        <v>4373</v>
      </c>
    </row>
    <row r="743" customFormat="false" ht="13.8" hidden="false" customHeight="false" outlineLevel="0" collapsed="false">
      <c r="A743" s="149" t="n">
        <f aca="false">IF(C743&lt;&gt;"",ROW(A738),"")</f>
        <v>738</v>
      </c>
      <c r="B743" s="150" t="str">
        <f aca="false">HYPERLINK("https://www.google.com/maps/dir/-15.917302,-47.760003/-15.9312465,-47.7627519/data=!4m3!4m2!3e0!5i2")</f>
        <v>https://www.google.com/maps/dir/-15.917302,-47.760003/-15.9312465,-47.7627519/data=!4m3!4m2!3e0!5i2</v>
      </c>
      <c r="C743" s="151" t="s">
        <v>117</v>
      </c>
      <c r="D743" s="152" t="s">
        <v>112</v>
      </c>
      <c r="E743" s="152" t="s">
        <v>113</v>
      </c>
      <c r="F743" s="152" t="s">
        <v>117</v>
      </c>
      <c r="G743" s="152" t="s">
        <v>782</v>
      </c>
      <c r="H743" s="152" t="n">
        <v>90</v>
      </c>
      <c r="I743" s="152" t="s">
        <v>115</v>
      </c>
      <c r="J743" s="152" t="s">
        <v>6</v>
      </c>
      <c r="K743" s="152" t="s">
        <v>4221</v>
      </c>
      <c r="L743" s="152" t="s">
        <v>120</v>
      </c>
      <c r="M743" s="153" t="n">
        <f aca="false">81.2</f>
        <v>81.2</v>
      </c>
      <c r="N743" s="152" t="s">
        <v>1548</v>
      </c>
      <c r="O743" s="152" t="s">
        <v>1549</v>
      </c>
      <c r="P743" s="152" t="s">
        <v>1550</v>
      </c>
      <c r="Q743" s="152" t="s">
        <v>1551</v>
      </c>
      <c r="R743" s="154" t="s">
        <v>4376</v>
      </c>
      <c r="S743" s="154" t="s">
        <v>1593</v>
      </c>
      <c r="T743" s="155" t="s">
        <v>4095</v>
      </c>
      <c r="U743" s="152" t="str">
        <f aca="false">RIGHT(T743,7)</f>
        <v>016/037</v>
      </c>
      <c r="V743" s="152" t="s">
        <v>1555</v>
      </c>
      <c r="W743" s="156" t="n">
        <v>45882</v>
      </c>
      <c r="X743" s="152" t="s">
        <v>1594</v>
      </c>
      <c r="Y743" s="152" t="s">
        <v>4377</v>
      </c>
      <c r="Z743" s="152" t="s">
        <v>1557</v>
      </c>
      <c r="AA743" s="153" t="n">
        <v>3.4</v>
      </c>
      <c r="AB743" s="151" t="s">
        <v>4378</v>
      </c>
      <c r="AC743" s="151" t="s">
        <v>526</v>
      </c>
      <c r="AD743" s="151" t="str">
        <f aca="false">CONCATENATE($C743,$I743,$H743,$N743,$J743,$K743)</f>
        <v>TUBO PEADPEAD90VCAREDESZona07</v>
      </c>
      <c r="AE743" s="153" t="n">
        <f aca="false">IFERROR(INDEX(APOIO_REDES!$A:$W,MATCH($C743&amp;$I743&amp;$H743&amp;$N743&amp;$O743,APOIO_REDES!$W:$W,0),MATCH(AE$5,APOIO_REDES!$5:$5,0)),0)</f>
        <v>1.2</v>
      </c>
      <c r="AF743" s="153" t="n">
        <f aca="false">IFERROR(INDEX(APOIO_REDES!$A:$W,MATCH($C743&amp;$I743&amp;$H743&amp;$N743&amp;$O743,APOIO_REDES!$W:$W,0),MATCH(AF$5,APOIO_REDES!$5:$5,0)),0)</f>
        <v>1.39</v>
      </c>
      <c r="AG743" s="153" t="n">
        <f aca="false">IFERROR(INDEX(APOIO_REDES!$A:$W,MATCH($C743&amp;$I743&amp;$H743&amp;$N743&amp;$O743,APOIO_REDES!$W:$W,0),MATCH(AG$5,APOIO_REDES!$5:$5,0)),0)</f>
        <v>0.75</v>
      </c>
      <c r="AH743" s="153" t="n">
        <f aca="false">IFERROR(INDEX(APOIO_REDES!$A:$W,MATCH($C743&amp;$I743&amp;$H743&amp;$N743&amp;$O743,APOIO_REDES!$W:$W,0),MATCH(AH$5,APOIO_REDES!$5:$5,0)),0)</f>
        <v>0.1</v>
      </c>
      <c r="AI743" s="153" t="n">
        <f aca="false">IFERROR(IF($H743&lt;&gt;"",(((($H743/1000)/2)^2)*PI()*$M743),0),0)</f>
        <v>0.51657208002977</v>
      </c>
      <c r="AJ743" s="153" t="n">
        <f aca="false">IFERROR(IF(AND($H743&lt;&gt;"",$I743="FoFo",OR($N743="MND",$N743="VCA"),$Q743="LINEAR"),0,IF(AND($H743&lt;&gt;"",$I743="PEAD",$N743="VCA",$Q743="LINEAR"),($H743/1000)+0.3,IF(AND($H743&lt;&gt;"",$I743="PEAD",$N743="MND",$Q743="EMBOQUE"),0,IF(AND($H743&lt;&gt;"",$I743="PVC",$N743="VCA",$Q743="LINEAR"),($H743/1000)+0.2,IF(AND($H743&lt;&gt;"",$I743="PVC",$N743="MND",$Q743="EMBOQUE"),0,IF(AND($H743&lt;&gt;"",$I743="PEAD",$N743="VCA",$Q743="PREDIAL"),0,0)))))),0)</f>
        <v>0.39</v>
      </c>
      <c r="AK743" s="153" t="n">
        <f aca="false">IF(AA743&lt;&gt;"",AA743,0)</f>
        <v>3.4</v>
      </c>
      <c r="AL743" s="153" t="n">
        <f aca="false">IF(AND($N743="MND",$Q743="EMBOQUE"),$M743,IF(AND($N743="VCA",$Q743="LINEAR"),$M743,IF(AND($N743="VCA",$Q743="PREDIAL"),0,0)))</f>
        <v>81.2</v>
      </c>
      <c r="AM743" s="153" t="n">
        <f aca="false">IF(AND($N743="MND",$Q743="EMBOQUE"),$M743,IF(AND($N743="VCA",$Q743="LINEAR"),$M743,IF(AND($N743="VCA",$Q743="PREDIAL"),0,0)))</f>
        <v>81.2</v>
      </c>
      <c r="AN743" s="153" t="n">
        <f aca="false">ROUND(IF(AND($N743="VCA",$M743&lt;&gt;"",$Q743="LINEAR"),$M743/100,IF(AND($N743="MND",$M743&gt;100,$Q743="EMBOQUE"),$M743/100,0)),0)</f>
        <v>1</v>
      </c>
      <c r="AO743" s="153" t="n">
        <f aca="false">IF(AND($N743="MND",$Q743="EMBOQUE"),$AN743*2*2,IF(AND($N743="VCA",$Q743="LINEAR"),$M743*2,IF(AND($N743="VCA",$Q743="PREDIAL"),0,0)))</f>
        <v>162.4</v>
      </c>
      <c r="AP743" s="153" t="n">
        <f aca="false">IFERROR($M743*$AF743*$AG743,0)</f>
        <v>84.651</v>
      </c>
      <c r="AQ743" s="153" t="n">
        <f aca="false">IFERROR(IF(AND($N743="VCA",$AH743&gt;0),$M743*$AG743*$AH743,0),0)</f>
        <v>6.09</v>
      </c>
      <c r="AR743" s="153" t="n">
        <f aca="false">IFERROR(IF(AND($N743="VCA",$AJ743&gt;0),($M743*$AG743*$AJ743)-$AI743,0),0)</f>
        <v>23.2344279199702</v>
      </c>
      <c r="AS743" s="153" t="n">
        <f aca="false">IFERROR(IF(AND($N743="VCA",$AP743&gt;0),$AP743-$AI743-$AQ743-$AR743,0),0)</f>
        <v>54.81</v>
      </c>
      <c r="AT743" s="153" t="n">
        <f aca="false">IFERROR(IF($N743="VCA",INDEX(APOIO_REDES!$A:$W,MATCH($C743&amp;$I743&amp;$H743&amp;$N743&amp;$O743,APOIO_REDES!$W:$W,0),MATCH(AT$5,APOIO_REDES!$5:$5,0)),0)*$AP743,0)</f>
        <v>0.921027935417049</v>
      </c>
      <c r="AU743" s="153" t="n">
        <f aca="false">IFERROR(IF($N743="VCA",INDEX(APOIO_REDES!$A:$W,MATCH($C743&amp;$I743&amp;$H743&amp;$N743&amp;$O743,APOIO_REDES!$W:$W,0),MATCH(AU$5,APOIO_REDES!$5:$5,0)),0)*$AP743,0)</f>
        <v>0.735507964624078</v>
      </c>
      <c r="AV743" s="153" t="n">
        <f aca="false">IFERROR(IF($N743="VCA",INDEX(APOIO_REDES!$A:$W,MATCH($C743&amp;$I743&amp;$H743&amp;$N743&amp;$O743,APOIO_REDES!$W:$W,0),MATCH(AV$5,APOIO_REDES!$5:$5,0)),0)*$AP743,0)</f>
        <v>0.101788528340064</v>
      </c>
      <c r="AW743" s="153" t="n">
        <f aca="false">IFERROR(IF($N743="VCA",INDEX(APOIO_REDES!$A:$W,MATCH($C743&amp;$I743&amp;$H743&amp;$N743&amp;$O743,APOIO_REDES!$W:$W,0),MATCH(AW$5,APOIO_REDES!$5:$5,0)),0)*$AP743,0)</f>
        <v>58.1051023079547</v>
      </c>
      <c r="AX743" s="153" t="n">
        <f aca="false">IFERROR(IF($N743="VCA",INDEX(APOIO_REDES!$A:$W,MATCH($C743&amp;$I743&amp;$H743&amp;$N743&amp;$O743,APOIO_REDES!$W:$W,0),MATCH(AX$5,APOIO_REDES!$5:$5,0)),0)*$AP743,0)</f>
        <v>8.04158064390398</v>
      </c>
      <c r="AY743" s="153" t="n">
        <f aca="false">IFERROR(IF($N743="VCA",INDEX(APOIO_REDES!$A:$W,MATCH($C743&amp;$I743&amp;$H743&amp;$N743&amp;$O743,APOIO_REDES!$W:$W,0),MATCH(AY$5,APOIO_REDES!$5:$5,0)),0)*$AP743,0)</f>
        <v>14.7101503266991</v>
      </c>
      <c r="AZ743" s="153" t="n">
        <f aca="false">IFERROR(IF($N743="VCA",INDEX(APOIO_REDES!$A:$W,MATCH($C743&amp;$I743&amp;$H743&amp;$N743&amp;$O743,APOIO_REDES!$W:$W,0),MATCH(AZ$5,APOIO_REDES!$5:$5,0)),0)*$AP743,0)</f>
        <v>2.03584229306101</v>
      </c>
      <c r="BA743" s="153" t="n">
        <f aca="false">IFERROR(IF(AND($N743="VCA",$Q743="LINEAR"),INDEX(APOIO_REDES!$A:$W,MATCH($C743&amp;$I743&amp;$H743&amp;$N743&amp;$O743,APOIO_REDES!$W:$W,0),MATCH(BA$5,APOIO_REDES!$5:$5,0)),IF(AND($N743="MND",$Q743="EMBOQUE"),INDEX(APOIO_REDES!$A:$W,MATCH($C743&amp;$I743&amp;$H743&amp;$N743&amp;$O743,APOIO_REDES!$W:$W,0),MATCH(BA$5,APOIO_REDES!$5:$5,0)),0))*$M743/10,0)</f>
        <v>6.54451517947816</v>
      </c>
      <c r="BB743" s="153" t="n">
        <f aca="false">IFERROR(IF($N743="VCA",INDEX(APOIO_REDES!$A:$W,MATCH($C743&amp;$I743&amp;$H743&amp;$N743&amp;$O743,APOIO_REDES!$W:$W,0),MATCH(BB$5,APOIO_REDES!$5:$5,0)),0)*($AI743+$AQ743+$AR743),0)</f>
        <v>29.5163210875149</v>
      </c>
      <c r="BC743" s="153" t="n">
        <f aca="false">IFERROR(IF($N743="VCA",INDEX(APOIO_REDES!$A:$W,MATCH($C743&amp;$I743&amp;$H743&amp;$N743&amp;$O743,APOIO_REDES!$W:$W,0),MATCH(BC$5,APOIO_REDES!$5:$5,0)),0)*($AI743+$AQ743+$AR743),0)</f>
        <v>0.324678912485147</v>
      </c>
      <c r="BD743" s="153" t="n">
        <f aca="false">IF(AND($N743="VCA",$AF743&gt;=1.25,$AF743&lt;1.5),$M743*$AF743*2,0)</f>
        <v>225.736</v>
      </c>
      <c r="BE743" s="153" t="n">
        <f aca="false">IF(AND($N743="VCA",$AF743&gt;=1.5,$AF743&lt;3),$M743*$AF743*2,0)</f>
        <v>0</v>
      </c>
      <c r="BF743" s="153" t="n">
        <f aca="false">IF(AND($N743="VCA",$AF743&gt;=3),$M743*$AF743*2,0)</f>
        <v>0</v>
      </c>
      <c r="BG743" s="153" t="n">
        <f aca="false">($BB743+$BC743)*$AK743</f>
        <v>101.4594</v>
      </c>
      <c r="BH743" s="153" t="n">
        <f aca="false">IF(AND($M743&lt;&gt;"",$N743="VCA",$Q743="LINEAR"),($M743*2)/100,IF(AND($M743&lt;&gt;"",$N743="MND",$Q743="EMBOQUE"),($AN743*2)/100,0))</f>
        <v>1.624</v>
      </c>
      <c r="BI743" s="153" t="n">
        <f aca="false">IF(AND($M743&lt;&gt;"",$N743="VCA",$Q743="LINEAR"),$M743,IF(AND($M743&lt;&gt;"",$N743="MND",$Q743="EMBOQUE"),$AN743*2,0))</f>
        <v>81.2</v>
      </c>
      <c r="BJ743" s="153" t="n">
        <f aca="false">IF(AND($M743&lt;&gt;"",$N743="VCA",$Q743="LINEAR"),($M743*6.8)/100,IF(AND($M743&lt;&gt;"",$N743="MND",$Q743="EMBOQUE"),($AN743*2*6.8)/100,0))</f>
        <v>5.5216</v>
      </c>
      <c r="BK743" s="153" t="n">
        <f aca="false">IF(AND($M743&lt;&gt;"",$N743="VCA",$Q743="LINEAR"),($M743*2.5)/50,IF(AND($M743&lt;&gt;"",$N743="MND",$Q743="EMBOQUE"),($AN743*2*2.5)/50,0))</f>
        <v>4.06</v>
      </c>
      <c r="BL743" s="157" t="str">
        <f aca="false">K743&amp;J743</f>
        <v>Zona07REDES</v>
      </c>
      <c r="BM743" s="152" t="s">
        <v>4225</v>
      </c>
      <c r="BN743" s="152" t="s">
        <v>1560</v>
      </c>
      <c r="BO743" s="152" t="s">
        <v>4097</v>
      </c>
      <c r="BP743" s="152" t="s">
        <v>4379</v>
      </c>
      <c r="BQ743" s="152" t="s">
        <v>4359</v>
      </c>
      <c r="BR743" s="152" t="s">
        <v>4380</v>
      </c>
      <c r="BS743" s="152" t="n">
        <v>204209.941</v>
      </c>
      <c r="BT743" s="152" t="n">
        <v>8236711.188</v>
      </c>
      <c r="BU743" s="152" t="n">
        <v>204230.344</v>
      </c>
      <c r="BV743" s="152" t="n">
        <v>8236789.782</v>
      </c>
      <c r="BW743" s="152" t="n">
        <v>-15.9308929</v>
      </c>
      <c r="BX743" s="152" t="n">
        <v>-47.7626519</v>
      </c>
      <c r="BY743" s="152" t="s">
        <v>4379</v>
      </c>
    </row>
    <row r="744" customFormat="false" ht="13.8" hidden="false" customHeight="false" outlineLevel="0" collapsed="false">
      <c r="A744" s="149" t="n">
        <f aca="false">IF(C744&lt;&gt;"",ROW(A739),"")</f>
        <v>739</v>
      </c>
      <c r="B744" s="150" t="str">
        <f aca="false">HYPERLINK("https://www.google.com/maps/dir/-15.917302,-47.760003/-15.9311671,-47.7647902/data=!4m3!4m2!3e0!5i2")</f>
        <v>https://www.google.com/maps/dir/-15.917302,-47.760003/-15.9311671,-47.7647902/data=!4m3!4m2!3e0!5i2</v>
      </c>
      <c r="C744" s="151" t="s">
        <v>117</v>
      </c>
      <c r="D744" s="152" t="s">
        <v>112</v>
      </c>
      <c r="E744" s="152" t="s">
        <v>113</v>
      </c>
      <c r="F744" s="152" t="s">
        <v>117</v>
      </c>
      <c r="G744" s="152" t="s">
        <v>782</v>
      </c>
      <c r="H744" s="152" t="n">
        <v>90</v>
      </c>
      <c r="I744" s="152" t="s">
        <v>115</v>
      </c>
      <c r="J744" s="152" t="s">
        <v>6</v>
      </c>
      <c r="K744" s="152" t="s">
        <v>4221</v>
      </c>
      <c r="L744" s="152" t="s">
        <v>120</v>
      </c>
      <c r="M744" s="153" t="n">
        <f aca="false">46</f>
        <v>46</v>
      </c>
      <c r="N744" s="152" t="s">
        <v>1548</v>
      </c>
      <c r="O744" s="152" t="s">
        <v>1549</v>
      </c>
      <c r="P744" s="152" t="s">
        <v>1550</v>
      </c>
      <c r="Q744" s="152" t="s">
        <v>1551</v>
      </c>
      <c r="R744" s="154" t="s">
        <v>4381</v>
      </c>
      <c r="S744" s="154" t="s">
        <v>1593</v>
      </c>
      <c r="T744" s="155" t="s">
        <v>4095</v>
      </c>
      <c r="U744" s="152" t="str">
        <f aca="false">RIGHT(T744,7)</f>
        <v>016/037</v>
      </c>
      <c r="V744" s="152" t="s">
        <v>1555</v>
      </c>
      <c r="W744" s="156" t="n">
        <v>45882</v>
      </c>
      <c r="X744" s="152" t="s">
        <v>3938</v>
      </c>
      <c r="Y744" s="152" t="s">
        <v>4009</v>
      </c>
      <c r="Z744" s="152" t="s">
        <v>1557</v>
      </c>
      <c r="AA744" s="153" t="n">
        <v>3.6</v>
      </c>
      <c r="AB744" s="151" t="s">
        <v>4382</v>
      </c>
      <c r="AC744" s="151" t="s">
        <v>526</v>
      </c>
      <c r="AD744" s="151" t="str">
        <f aca="false">CONCATENATE($C744,$I744,$H744,$N744,$J744,$K744)</f>
        <v>TUBO PEADPEAD90VCAREDESZona07</v>
      </c>
      <c r="AE744" s="153" t="n">
        <f aca="false">IFERROR(INDEX(APOIO_REDES!$A:$W,MATCH($C744&amp;$I744&amp;$H744&amp;$N744&amp;$O744,APOIO_REDES!$W:$W,0),MATCH(AE$5,APOIO_REDES!$5:$5,0)),0)</f>
        <v>1.2</v>
      </c>
      <c r="AF744" s="153" t="n">
        <f aca="false">IFERROR(INDEX(APOIO_REDES!$A:$W,MATCH($C744&amp;$I744&amp;$H744&amp;$N744&amp;$O744,APOIO_REDES!$W:$W,0),MATCH(AF$5,APOIO_REDES!$5:$5,0)),0)</f>
        <v>1.39</v>
      </c>
      <c r="AG744" s="153" t="n">
        <f aca="false">IFERROR(INDEX(APOIO_REDES!$A:$W,MATCH($C744&amp;$I744&amp;$H744&amp;$N744&amp;$O744,APOIO_REDES!$W:$W,0),MATCH(AG$5,APOIO_REDES!$5:$5,0)),0)</f>
        <v>0.75</v>
      </c>
      <c r="AH744" s="153" t="n">
        <f aca="false">IFERROR(INDEX(APOIO_REDES!$A:$W,MATCH($C744&amp;$I744&amp;$H744&amp;$N744&amp;$O744,APOIO_REDES!$W:$W,0),MATCH(AH$5,APOIO_REDES!$5:$5,0)),0)</f>
        <v>0.1</v>
      </c>
      <c r="AI744" s="153" t="n">
        <f aca="false">IFERROR(IF($H744&lt;&gt;"",(((($H744/1000)/2)^2)*PI()*$M744),0),0)</f>
        <v>0.292639355681889</v>
      </c>
      <c r="AJ744" s="153" t="n">
        <f aca="false">IFERROR(IF(AND($H744&lt;&gt;"",$I744="FoFo",OR($N744="MND",$N744="VCA"),$Q744="LINEAR"),0,IF(AND($H744&lt;&gt;"",$I744="PEAD",$N744="VCA",$Q744="LINEAR"),($H744/1000)+0.3,IF(AND($H744&lt;&gt;"",$I744="PEAD",$N744="MND",$Q744="EMBOQUE"),0,IF(AND($H744&lt;&gt;"",$I744="PVC",$N744="VCA",$Q744="LINEAR"),($H744/1000)+0.2,IF(AND($H744&lt;&gt;"",$I744="PVC",$N744="MND",$Q744="EMBOQUE"),0,IF(AND($H744&lt;&gt;"",$I744="PEAD",$N744="VCA",$Q744="PREDIAL"),0,0)))))),0)</f>
        <v>0.39</v>
      </c>
      <c r="AK744" s="153" t="n">
        <f aca="false">IF(AA744&lt;&gt;"",AA744,0)</f>
        <v>3.6</v>
      </c>
      <c r="AL744" s="153" t="n">
        <f aca="false">IF(AND($N744="MND",$Q744="EMBOQUE"),$M744,IF(AND($N744="VCA",$Q744="LINEAR"),$M744,IF(AND($N744="VCA",$Q744="PREDIAL"),0,0)))</f>
        <v>46</v>
      </c>
      <c r="AM744" s="153" t="n">
        <f aca="false">IF(AND($N744="MND",$Q744="EMBOQUE"),$M744,IF(AND($N744="VCA",$Q744="LINEAR"),$M744,IF(AND($N744="VCA",$Q744="PREDIAL"),0,0)))</f>
        <v>46</v>
      </c>
      <c r="AN744" s="153" t="n">
        <f aca="false">ROUND(IF(AND($N744="VCA",$M744&lt;&gt;"",$Q744="LINEAR"),$M744/100,IF(AND($N744="MND",$M744&gt;100,$Q744="EMBOQUE"),$M744/100,0)),0)</f>
        <v>0</v>
      </c>
      <c r="AO744" s="153" t="n">
        <f aca="false">IF(AND($N744="MND",$Q744="EMBOQUE"),$AN744*2*2,IF(AND($N744="VCA",$Q744="LINEAR"),$M744*2,IF(AND($N744="VCA",$Q744="PREDIAL"),0,0)))</f>
        <v>92</v>
      </c>
      <c r="AP744" s="153" t="n">
        <f aca="false">IFERROR($M744*$AF744*$AG744,0)</f>
        <v>47.955</v>
      </c>
      <c r="AQ744" s="153" t="n">
        <f aca="false">IFERROR(IF(AND($N744="VCA",$AH744&gt;0),$M744*$AG744*$AH744,0),0)</f>
        <v>3.45</v>
      </c>
      <c r="AR744" s="153" t="n">
        <f aca="false">IFERROR(IF(AND($N744="VCA",$AJ744&gt;0),($M744*$AG744*$AJ744)-$AI744,0),0)</f>
        <v>13.1623606443181</v>
      </c>
      <c r="AS744" s="153" t="n">
        <f aca="false">IFERROR(IF(AND($N744="VCA",$AP744&gt;0),$AP744-$AI744-$AQ744-$AR744,0),0)</f>
        <v>31.05</v>
      </c>
      <c r="AT744" s="153" t="n">
        <f aca="false">IFERROR(IF($N744="VCA",INDEX(APOIO_REDES!$A:$W,MATCH($C744&amp;$I744&amp;$H744&amp;$N744&amp;$O744,APOIO_REDES!$W:$W,0),MATCH(AT$5,APOIO_REDES!$5:$5,0)),0)*$AP744,0)</f>
        <v>0.521764593955471</v>
      </c>
      <c r="AU744" s="153" t="n">
        <f aca="false">IFERROR(IF($N744="VCA",INDEX(APOIO_REDES!$A:$W,MATCH($C744&amp;$I744&amp;$H744&amp;$N744&amp;$O744,APOIO_REDES!$W:$W,0),MATCH(AU$5,APOIO_REDES!$5:$5,0)),0)*$AP744,0)</f>
        <v>0.416667073555512</v>
      </c>
      <c r="AV744" s="153" t="n">
        <f aca="false">IFERROR(IF($N744="VCA",INDEX(APOIO_REDES!$A:$W,MATCH($C744&amp;$I744&amp;$H744&amp;$N744&amp;$O744,APOIO_REDES!$W:$W,0),MATCH(AV$5,APOIO_REDES!$5:$5,0)),0)*$AP744,0)</f>
        <v>0.0576634520153072</v>
      </c>
      <c r="AW744" s="153" t="n">
        <f aca="false">IFERROR(IF($N744="VCA",INDEX(APOIO_REDES!$A:$W,MATCH($C744&amp;$I744&amp;$H744&amp;$N744&amp;$O744,APOIO_REDES!$W:$W,0),MATCH(AW$5,APOIO_REDES!$5:$5,0)),0)*$AP744,0)</f>
        <v>32.9166835734719</v>
      </c>
      <c r="AX744" s="153" t="n">
        <f aca="false">IFERROR(IF($N744="VCA",INDEX(APOIO_REDES!$A:$W,MATCH($C744&amp;$I744&amp;$H744&amp;$N744&amp;$O744,APOIO_REDES!$W:$W,0),MATCH(AX$5,APOIO_REDES!$5:$5,0)),0)*$AP744,0)</f>
        <v>4.55557524162048</v>
      </c>
      <c r="AY744" s="153" t="n">
        <f aca="false">IFERROR(IF($N744="VCA",INDEX(APOIO_REDES!$A:$W,MATCH($C744&amp;$I744&amp;$H744&amp;$N744&amp;$O744,APOIO_REDES!$W:$W,0),MATCH(AY$5,APOIO_REDES!$5:$5,0)),0)*$AP744,0)</f>
        <v>8.33333639197239</v>
      </c>
      <c r="AZ744" s="153" t="n">
        <f aca="false">IFERROR(IF($N744="VCA",INDEX(APOIO_REDES!$A:$W,MATCH($C744&amp;$I744&amp;$H744&amp;$N744&amp;$O744,APOIO_REDES!$W:$W,0),MATCH(AZ$5,APOIO_REDES!$5:$5,0)),0)*$AP744,0)</f>
        <v>1.15330967340895</v>
      </c>
      <c r="BA744" s="153" t="n">
        <f aca="false">IFERROR(IF(AND($N744="VCA",$Q744="LINEAR"),INDEX(APOIO_REDES!$A:$W,MATCH($C744&amp;$I744&amp;$H744&amp;$N744&amp;$O744,APOIO_REDES!$W:$W,0),MATCH(BA$5,APOIO_REDES!$5:$5,0)),IF(AND($N744="MND",$Q744="EMBOQUE"),INDEX(APOIO_REDES!$A:$W,MATCH($C744&amp;$I744&amp;$H744&amp;$N744&amp;$O744,APOIO_REDES!$W:$W,0),MATCH(BA$5,APOIO_REDES!$5:$5,0)),0))*$M744/10,0)</f>
        <v>3.70748396866989</v>
      </c>
      <c r="BB744" s="153" t="n">
        <f aca="false">IFERROR(IF($N744="VCA",INDEX(APOIO_REDES!$A:$W,MATCH($C744&amp;$I744&amp;$H744&amp;$N744&amp;$O744,APOIO_REDES!$W:$W,0),MATCH(BB$5,APOIO_REDES!$5:$5,0)),0)*($AI744+$AQ744+$AR744),0)</f>
        <v>16.7210685963754</v>
      </c>
      <c r="BC744" s="153" t="n">
        <f aca="false">IFERROR(IF($N744="VCA",INDEX(APOIO_REDES!$A:$W,MATCH($C744&amp;$I744&amp;$H744&amp;$N744&amp;$O744,APOIO_REDES!$W:$W,0),MATCH(BC$5,APOIO_REDES!$5:$5,0)),0)*($AI744+$AQ744+$AR744),0)</f>
        <v>0.183931403624591</v>
      </c>
      <c r="BD744" s="153" t="n">
        <f aca="false">IF(AND($N744="VCA",$AF744&gt;=1.25,$AF744&lt;1.5),$M744*$AF744*2,0)</f>
        <v>127.88</v>
      </c>
      <c r="BE744" s="153" t="n">
        <f aca="false">IF(AND($N744="VCA",$AF744&gt;=1.5,$AF744&lt;3),$M744*$AF744*2,0)</f>
        <v>0</v>
      </c>
      <c r="BF744" s="153" t="n">
        <f aca="false">IF(AND($N744="VCA",$AF744&gt;=3),$M744*$AF744*2,0)</f>
        <v>0</v>
      </c>
      <c r="BG744" s="153" t="n">
        <f aca="false">($BB744+$BC744)*$AK744</f>
        <v>60.858</v>
      </c>
      <c r="BH744" s="153" t="n">
        <f aca="false">IF(AND($M744&lt;&gt;"",$N744="VCA",$Q744="LINEAR"),($M744*2)/100,IF(AND($M744&lt;&gt;"",$N744="MND",$Q744="EMBOQUE"),($AN744*2)/100,0))</f>
        <v>0.92</v>
      </c>
      <c r="BI744" s="153" t="n">
        <f aca="false">IF(AND($M744&lt;&gt;"",$N744="VCA",$Q744="LINEAR"),$M744,IF(AND($M744&lt;&gt;"",$N744="MND",$Q744="EMBOQUE"),$AN744*2,0))</f>
        <v>46</v>
      </c>
      <c r="BJ744" s="153" t="n">
        <f aca="false">IF(AND($M744&lt;&gt;"",$N744="VCA",$Q744="LINEAR"),($M744*6.8)/100,IF(AND($M744&lt;&gt;"",$N744="MND",$Q744="EMBOQUE"),($AN744*2*6.8)/100,0))</f>
        <v>3.128</v>
      </c>
      <c r="BK744" s="153" t="n">
        <f aca="false">IF(AND($M744&lt;&gt;"",$N744="VCA",$Q744="LINEAR"),($M744*2.5)/50,IF(AND($M744&lt;&gt;"",$N744="MND",$Q744="EMBOQUE"),($AN744*2*2.5)/50,0))</f>
        <v>2.3</v>
      </c>
      <c r="BL744" s="157" t="str">
        <f aca="false">K744&amp;J744</f>
        <v>Zona07REDES</v>
      </c>
      <c r="BM744" s="152" t="s">
        <v>4225</v>
      </c>
      <c r="BN744" s="152" t="s">
        <v>1560</v>
      </c>
      <c r="BO744" s="152" t="s">
        <v>4097</v>
      </c>
      <c r="BP744" s="152" t="s">
        <v>4383</v>
      </c>
      <c r="BQ744" s="152" t="s">
        <v>4374</v>
      </c>
      <c r="BR744" s="152" t="s">
        <v>4384</v>
      </c>
      <c r="BS744" s="152" t="n">
        <v>203991.783</v>
      </c>
      <c r="BT744" s="152" t="n">
        <v>8236717.371</v>
      </c>
      <c r="BU744" s="152" t="n">
        <v>203960.768</v>
      </c>
      <c r="BV744" s="152" t="n">
        <v>8236751.338</v>
      </c>
      <c r="BW744" s="152" t="n">
        <v>-15.9310094</v>
      </c>
      <c r="BX744" s="152" t="n">
        <v>-47.7649298</v>
      </c>
      <c r="BY744" s="152" t="s">
        <v>4383</v>
      </c>
    </row>
    <row r="745" customFormat="false" ht="13.8" hidden="false" customHeight="false" outlineLevel="0" collapsed="false">
      <c r="A745" s="149" t="n">
        <f aca="false">IF(C745&lt;&gt;"",ROW(A740),"")</f>
        <v>740</v>
      </c>
      <c r="B745" s="150" t="str">
        <f aca="false">HYPERLINK("https://www.google.com/maps/dir/-15.917302,-47.760003/-15.9314928,-47.7641195/data=!4m3!4m2!3e0!5i2")</f>
        <v>https://www.google.com/maps/dir/-15.917302,-47.760003/-15.9314928,-47.7641195/data=!4m3!4m2!3e0!5i2</v>
      </c>
      <c r="C745" s="151" t="s">
        <v>117</v>
      </c>
      <c r="D745" s="152" t="s">
        <v>112</v>
      </c>
      <c r="E745" s="152" t="s">
        <v>113</v>
      </c>
      <c r="F745" s="152" t="s">
        <v>117</v>
      </c>
      <c r="G745" s="152" t="s">
        <v>782</v>
      </c>
      <c r="H745" s="152" t="n">
        <v>63</v>
      </c>
      <c r="I745" s="152" t="s">
        <v>115</v>
      </c>
      <c r="J745" s="152" t="s">
        <v>6</v>
      </c>
      <c r="K745" s="152" t="s">
        <v>4221</v>
      </c>
      <c r="L745" s="152" t="s">
        <v>120</v>
      </c>
      <c r="M745" s="153" t="n">
        <f aca="false">130.33</f>
        <v>130.33</v>
      </c>
      <c r="N745" s="152" t="s">
        <v>1548</v>
      </c>
      <c r="O745" s="152" t="s">
        <v>1549</v>
      </c>
      <c r="P745" s="152" t="s">
        <v>1550</v>
      </c>
      <c r="Q745" s="152" t="s">
        <v>1551</v>
      </c>
      <c r="R745" s="154" t="s">
        <v>4385</v>
      </c>
      <c r="S745" s="154" t="s">
        <v>1553</v>
      </c>
      <c r="T745" s="155" t="s">
        <v>4095</v>
      </c>
      <c r="U745" s="152" t="str">
        <f aca="false">RIGHT(T745,7)</f>
        <v>016/037</v>
      </c>
      <c r="V745" s="152" t="s">
        <v>1555</v>
      </c>
      <c r="W745" s="156" t="n">
        <v>45882</v>
      </c>
      <c r="X745" s="152" t="s">
        <v>3938</v>
      </c>
      <c r="Y745" s="152" t="s">
        <v>4009</v>
      </c>
      <c r="Z745" s="152" t="s">
        <v>1557</v>
      </c>
      <c r="AA745" s="153" t="n">
        <v>3.5</v>
      </c>
      <c r="AB745" s="151" t="s">
        <v>4386</v>
      </c>
      <c r="AC745" s="151" t="s">
        <v>186</v>
      </c>
      <c r="AD745" s="151" t="str">
        <f aca="false">CONCATENATE($C745,$I745,$H745,$N745,$J745,$K745)</f>
        <v>TUBO PEADPEAD63VCAREDESZona07</v>
      </c>
      <c r="AE745" s="153" t="n">
        <f aca="false">IFERROR(INDEX(APOIO_REDES!$A:$W,MATCH($C745&amp;$I745&amp;$H745&amp;$N745&amp;$O745,APOIO_REDES!$W:$W,0),MATCH(AE$5,APOIO_REDES!$5:$5,0)),0)</f>
        <v>1.2</v>
      </c>
      <c r="AF745" s="153" t="n">
        <f aca="false">IFERROR(INDEX(APOIO_REDES!$A:$W,MATCH($C745&amp;$I745&amp;$H745&amp;$N745&amp;$O745,APOIO_REDES!$W:$W,0),MATCH(AF$5,APOIO_REDES!$5:$5,0)),0)</f>
        <v>1.363</v>
      </c>
      <c r="AG745" s="153" t="n">
        <f aca="false">IFERROR(INDEX(APOIO_REDES!$A:$W,MATCH($C745&amp;$I745&amp;$H745&amp;$N745&amp;$O745,APOIO_REDES!$W:$W,0),MATCH(AG$5,APOIO_REDES!$5:$5,0)),0)</f>
        <v>0.65</v>
      </c>
      <c r="AH745" s="153" t="n">
        <f aca="false">IFERROR(INDEX(APOIO_REDES!$A:$W,MATCH($C745&amp;$I745&amp;$H745&amp;$N745&amp;$O745,APOIO_REDES!$W:$W,0),MATCH(AH$5,APOIO_REDES!$5:$5,0)),0)</f>
        <v>0.1</v>
      </c>
      <c r="AI745" s="153" t="n">
        <f aca="false">IFERROR(IF($H745&lt;&gt;"",(((($H745/1000)/2)^2)*PI()*$M745),0),0)</f>
        <v>0.406270581320655</v>
      </c>
      <c r="AJ745" s="153" t="n">
        <f aca="false">IFERROR(IF(AND($H745&lt;&gt;"",$I745="FoFo",OR($N745="MND",$N745="VCA"),$Q745="LINEAR"),0,IF(AND($H745&lt;&gt;"",$I745="PEAD",$N745="VCA",$Q745="LINEAR"),($H745/1000)+0.3,IF(AND($H745&lt;&gt;"",$I745="PEAD",$N745="MND",$Q745="EMBOQUE"),0,IF(AND($H745&lt;&gt;"",$I745="PVC",$N745="VCA",$Q745="LINEAR"),($H745/1000)+0.2,IF(AND($H745&lt;&gt;"",$I745="PVC",$N745="MND",$Q745="EMBOQUE"),0,IF(AND($H745&lt;&gt;"",$I745="PEAD",$N745="VCA",$Q745="PREDIAL"),0,0)))))),0)</f>
        <v>0.363</v>
      </c>
      <c r="AK745" s="153" t="n">
        <f aca="false">IF(AA745&lt;&gt;"",AA745,0)</f>
        <v>3.5</v>
      </c>
      <c r="AL745" s="153" t="n">
        <f aca="false">IF(AND($N745="MND",$Q745="EMBOQUE"),$M745,IF(AND($N745="VCA",$Q745="LINEAR"),$M745,IF(AND($N745="VCA",$Q745="PREDIAL"),0,0)))</f>
        <v>130.33</v>
      </c>
      <c r="AM745" s="153" t="n">
        <f aca="false">IF(AND($N745="MND",$Q745="EMBOQUE"),$M745,IF(AND($N745="VCA",$Q745="LINEAR"),$M745,IF(AND($N745="VCA",$Q745="PREDIAL"),0,0)))</f>
        <v>130.33</v>
      </c>
      <c r="AN745" s="153" t="n">
        <f aca="false">ROUND(IF(AND($N745="VCA",$M745&lt;&gt;"",$Q745="LINEAR"),$M745/100,IF(AND($N745="MND",$M745&gt;100,$Q745="EMBOQUE"),$M745/100,0)),0)</f>
        <v>1</v>
      </c>
      <c r="AO745" s="153" t="n">
        <f aca="false">IF(AND($N745="MND",$Q745="EMBOQUE"),$AN745*2*2,IF(AND($N745="VCA",$Q745="LINEAR"),$M745*2,IF(AND($N745="VCA",$Q745="PREDIAL"),0,0)))</f>
        <v>260.66</v>
      </c>
      <c r="AP745" s="153" t="n">
        <f aca="false">IFERROR($M745*$AF745*$AG745,0)</f>
        <v>115.4658635</v>
      </c>
      <c r="AQ745" s="153" t="n">
        <f aca="false">IFERROR(IF(AND($N745="VCA",$AH745&gt;0),$M745*$AG745*$AH745,0),0)</f>
        <v>8.47145</v>
      </c>
      <c r="AR745" s="153" t="n">
        <f aca="false">IFERROR(IF(AND($N745="VCA",$AJ745&gt;0),($M745*$AG745*$AJ745)-$AI745,0),0)</f>
        <v>30.3450929186794</v>
      </c>
      <c r="AS745" s="153" t="n">
        <f aca="false">IFERROR(IF(AND($N745="VCA",$AP745&gt;0),$AP745-$AI745-$AQ745-$AR745,0),0)</f>
        <v>76.24305</v>
      </c>
      <c r="AT745" s="153" t="n">
        <f aca="false">IFERROR(IF($N745="VCA",INDEX(APOIO_REDES!$A:$W,MATCH($C745&amp;$I745&amp;$H745&amp;$N745&amp;$O745,APOIO_REDES!$W:$W,0),MATCH(AT$5,APOIO_REDES!$5:$5,0)),0)*$AP745,0)</f>
        <v>1.25630277103108</v>
      </c>
      <c r="AU745" s="153" t="n">
        <f aca="false">IFERROR(IF($N745="VCA",INDEX(APOIO_REDES!$A:$W,MATCH($C745&amp;$I745&amp;$H745&amp;$N745&amp;$O745,APOIO_REDES!$W:$W,0),MATCH(AU$5,APOIO_REDES!$5:$5,0)),0)*$AP745,0)</f>
        <v>1.00324936795131</v>
      </c>
      <c r="AV745" s="153" t="n">
        <f aca="false">IFERROR(IF($N745="VCA",INDEX(APOIO_REDES!$A:$W,MATCH($C745&amp;$I745&amp;$H745&amp;$N745&amp;$O745,APOIO_REDES!$W:$W,0),MATCH(AV$5,APOIO_REDES!$5:$5,0)),0)*$AP745,0)</f>
        <v>0.138841836708128</v>
      </c>
      <c r="AW745" s="153" t="n">
        <f aca="false">IFERROR(IF($N745="VCA",INDEX(APOIO_REDES!$A:$W,MATCH($C745&amp;$I745&amp;$H745&amp;$N745&amp;$O745,APOIO_REDES!$W:$W,0),MATCH(AW$5,APOIO_REDES!$5:$5,0)),0)*$AP745,0)</f>
        <v>79.2566633795683</v>
      </c>
      <c r="AX745" s="153" t="n">
        <f aca="false">IFERROR(IF($N745="VCA",INDEX(APOIO_REDES!$A:$W,MATCH($C745&amp;$I745&amp;$H745&amp;$N745&amp;$O745,APOIO_REDES!$W:$W,0),MATCH(AX$5,APOIO_REDES!$5:$5,0)),0)*$AP745,0)</f>
        <v>10.9688964448531</v>
      </c>
      <c r="AY745" s="153" t="n">
        <f aca="false">IFERROR(IF($N745="VCA",INDEX(APOIO_REDES!$A:$W,MATCH($C745&amp;$I745&amp;$H745&amp;$N745&amp;$O745,APOIO_REDES!$W:$W,0),MATCH(AY$5,APOIO_REDES!$5:$5,0)),0)*$AP745,0)</f>
        <v>20.0649751294978</v>
      </c>
      <c r="AZ745" s="153" t="n">
        <f aca="false">IFERROR(IF($N745="VCA",INDEX(APOIO_REDES!$A:$W,MATCH($C745&amp;$I745&amp;$H745&amp;$N745&amp;$O745,APOIO_REDES!$W:$W,0),MATCH(AZ$5,APOIO_REDES!$5:$5,0)),0)*$AP745,0)</f>
        <v>2.77693457039031</v>
      </c>
      <c r="BA745" s="153" t="n">
        <f aca="false">IFERROR(IF(AND($N745="VCA",$Q745="LINEAR"),INDEX(APOIO_REDES!$A:$W,MATCH($C745&amp;$I745&amp;$H745&amp;$N745&amp;$O745,APOIO_REDES!$W:$W,0),MATCH(BA$5,APOIO_REDES!$5:$5,0)),IF(AND($N745="MND",$Q745="EMBOQUE"),INDEX(APOIO_REDES!$A:$W,MATCH($C745&amp;$I745&amp;$H745&amp;$N745&amp;$O745,APOIO_REDES!$W:$W,0),MATCH(BA$5,APOIO_REDES!$5:$5,0)),0))*$M745/10,0)</f>
        <v>10.5042692529728</v>
      </c>
      <c r="BB745" s="153" t="n">
        <f aca="false">IFERROR(IF($N745="VCA",INDEX(APOIO_REDES!$A:$W,MATCH($C745&amp;$I745&amp;$H745&amp;$N745&amp;$O745,APOIO_REDES!$W:$W,0),MATCH(BB$5,APOIO_REDES!$5:$5,0)),0)*($AI745+$AQ745+$AR745),0)</f>
        <v>38.7960576797598</v>
      </c>
      <c r="BC745" s="153" t="n">
        <f aca="false">IFERROR(IF($N745="VCA",INDEX(APOIO_REDES!$A:$W,MATCH($C745&amp;$I745&amp;$H745&amp;$N745&amp;$O745,APOIO_REDES!$W:$W,0),MATCH(BC$5,APOIO_REDES!$5:$5,0)),0)*($AI745+$AQ745+$AR745),0)</f>
        <v>0.426755820240198</v>
      </c>
      <c r="BD745" s="153" t="n">
        <f aca="false">IF(AND($N745="VCA",$AF745&gt;=1.25,$AF745&lt;1.5),$M745*$AF745*2,0)</f>
        <v>355.27958</v>
      </c>
      <c r="BE745" s="153" t="n">
        <f aca="false">IF(AND($N745="VCA",$AF745&gt;=1.5,$AF745&lt;3),$M745*$AF745*2,0)</f>
        <v>0</v>
      </c>
      <c r="BF745" s="153" t="n">
        <f aca="false">IF(AND($N745="VCA",$AF745&gt;=3),$M745*$AF745*2,0)</f>
        <v>0</v>
      </c>
      <c r="BG745" s="153" t="n">
        <f aca="false">($BB745+$BC745)*$AK745</f>
        <v>137.27984725</v>
      </c>
      <c r="BH745" s="153" t="n">
        <f aca="false">IF(AND($M745&lt;&gt;"",$N745="VCA",$Q745="LINEAR"),($M745*2)/100,IF(AND($M745&lt;&gt;"",$N745="MND",$Q745="EMBOQUE"),($AN745*2)/100,0))</f>
        <v>2.6066</v>
      </c>
      <c r="BI745" s="153" t="n">
        <f aca="false">IF(AND($M745&lt;&gt;"",$N745="VCA",$Q745="LINEAR"),$M745,IF(AND($M745&lt;&gt;"",$N745="MND",$Q745="EMBOQUE"),$AN745*2,0))</f>
        <v>130.33</v>
      </c>
      <c r="BJ745" s="153" t="n">
        <f aca="false">IF(AND($M745&lt;&gt;"",$N745="VCA",$Q745="LINEAR"),($M745*6.8)/100,IF(AND($M745&lt;&gt;"",$N745="MND",$Q745="EMBOQUE"),($AN745*2*6.8)/100,0))</f>
        <v>8.86244</v>
      </c>
      <c r="BK745" s="153" t="n">
        <f aca="false">IF(AND($M745&lt;&gt;"",$N745="VCA",$Q745="LINEAR"),($M745*2.5)/50,IF(AND($M745&lt;&gt;"",$N745="MND",$Q745="EMBOQUE"),($AN745*2*2.5)/50,0))</f>
        <v>6.5165</v>
      </c>
      <c r="BL745" s="157" t="str">
        <f aca="false">K745&amp;J745</f>
        <v>Zona07REDES</v>
      </c>
      <c r="BM745" s="152" t="s">
        <v>4225</v>
      </c>
      <c r="BN745" s="152" t="s">
        <v>1560</v>
      </c>
      <c r="BO745" s="152" t="s">
        <v>4097</v>
      </c>
      <c r="BP745" s="152" t="s">
        <v>4387</v>
      </c>
      <c r="BQ745" s="152" t="s">
        <v>4354</v>
      </c>
      <c r="BR745" s="152" t="s">
        <v>4388</v>
      </c>
      <c r="BS745" s="152" t="n">
        <v>204063.787</v>
      </c>
      <c r="BT745" s="152" t="n">
        <v>8236681.972</v>
      </c>
      <c r="BU745" s="152" t="n">
        <v>204154.086</v>
      </c>
      <c r="BV745" s="152" t="n">
        <v>8236775.75</v>
      </c>
      <c r="BW745" s="152" t="n">
        <v>-15.9310673</v>
      </c>
      <c r="BX745" s="152" t="n">
        <v>-47.7636994</v>
      </c>
      <c r="BY745" s="152" t="s">
        <v>4387</v>
      </c>
    </row>
    <row r="746" customFormat="false" ht="13.8" hidden="false" customHeight="false" outlineLevel="0" collapsed="false">
      <c r="A746" s="149" t="n">
        <f aca="false">IF(C746&lt;&gt;"",ROW(A741),"")</f>
        <v>741</v>
      </c>
      <c r="B746" s="150" t="str">
        <f aca="false">HYPERLINK("https://www.google.com/maps/dir/-15.917302,-47.760003/-15.9309752,-47.7630063/data=!4m3!4m2!3e0!5i2")</f>
        <v>https://www.google.com/maps/dir/-15.917302,-47.760003/-15.9309752,-47.7630063/data=!4m3!4m2!3e0!5i2</v>
      </c>
      <c r="C746" s="151" t="s">
        <v>117</v>
      </c>
      <c r="D746" s="152" t="s">
        <v>112</v>
      </c>
      <c r="E746" s="152" t="s">
        <v>113</v>
      </c>
      <c r="F746" s="152" t="s">
        <v>117</v>
      </c>
      <c r="G746" s="152" t="s">
        <v>782</v>
      </c>
      <c r="H746" s="152" t="n">
        <v>90</v>
      </c>
      <c r="I746" s="152" t="s">
        <v>115</v>
      </c>
      <c r="J746" s="152" t="s">
        <v>6</v>
      </c>
      <c r="K746" s="152" t="s">
        <v>4221</v>
      </c>
      <c r="L746" s="152" t="s">
        <v>120</v>
      </c>
      <c r="M746" s="153" t="n">
        <f aca="false">40.67</f>
        <v>40.67</v>
      </c>
      <c r="N746" s="152" t="s">
        <v>1548</v>
      </c>
      <c r="O746" s="152" t="s">
        <v>1549</v>
      </c>
      <c r="P746" s="152" t="s">
        <v>1550</v>
      </c>
      <c r="Q746" s="152" t="s">
        <v>1551</v>
      </c>
      <c r="R746" s="154" t="s">
        <v>4389</v>
      </c>
      <c r="S746" s="154" t="s">
        <v>1593</v>
      </c>
      <c r="T746" s="155" t="s">
        <v>4095</v>
      </c>
      <c r="U746" s="152" t="str">
        <f aca="false">RIGHT(T746,7)</f>
        <v>016/037</v>
      </c>
      <c r="V746" s="152" t="s">
        <v>1555</v>
      </c>
      <c r="W746" s="156" t="n">
        <v>45882</v>
      </c>
      <c r="X746" s="152" t="s">
        <v>3938</v>
      </c>
      <c r="Y746" s="152" t="s">
        <v>4009</v>
      </c>
      <c r="Z746" s="152" t="s">
        <v>1557</v>
      </c>
      <c r="AA746" s="153" t="n">
        <v>3.3</v>
      </c>
      <c r="AB746" s="151" t="s">
        <v>4390</v>
      </c>
      <c r="AC746" s="151" t="s">
        <v>526</v>
      </c>
      <c r="AD746" s="151" t="str">
        <f aca="false">CONCATENATE($C746,$I746,$H746,$N746,$J746,$K746)</f>
        <v>TUBO PEADPEAD90VCAREDESZona07</v>
      </c>
      <c r="AE746" s="153" t="n">
        <f aca="false">IFERROR(INDEX(APOIO_REDES!$A:$W,MATCH($C746&amp;$I746&amp;$H746&amp;$N746&amp;$O746,APOIO_REDES!$W:$W,0),MATCH(AE$5,APOIO_REDES!$5:$5,0)),0)</f>
        <v>1.2</v>
      </c>
      <c r="AF746" s="153" t="n">
        <f aca="false">IFERROR(INDEX(APOIO_REDES!$A:$W,MATCH($C746&amp;$I746&amp;$H746&amp;$N746&amp;$O746,APOIO_REDES!$W:$W,0),MATCH(AF$5,APOIO_REDES!$5:$5,0)),0)</f>
        <v>1.39</v>
      </c>
      <c r="AG746" s="153" t="n">
        <f aca="false">IFERROR(INDEX(APOIO_REDES!$A:$W,MATCH($C746&amp;$I746&amp;$H746&amp;$N746&amp;$O746,APOIO_REDES!$W:$W,0),MATCH(AG$5,APOIO_REDES!$5:$5,0)),0)</f>
        <v>0.75</v>
      </c>
      <c r="AH746" s="153" t="n">
        <f aca="false">IFERROR(INDEX(APOIO_REDES!$A:$W,MATCH($C746&amp;$I746&amp;$H746&amp;$N746&amp;$O746,APOIO_REDES!$W:$W,0),MATCH(AH$5,APOIO_REDES!$5:$5,0)),0)</f>
        <v>0.1</v>
      </c>
      <c r="AI746" s="153" t="n">
        <f aca="false">IFERROR(IF($H746&lt;&gt;"",(((($H746/1000)/2)^2)*PI()*$M746),0),0)</f>
        <v>0.258731360773531</v>
      </c>
      <c r="AJ746" s="153" t="n">
        <f aca="false">IFERROR(IF(AND($H746&lt;&gt;"",$I746="FoFo",OR($N746="MND",$N746="VCA"),$Q746="LINEAR"),0,IF(AND($H746&lt;&gt;"",$I746="PEAD",$N746="VCA",$Q746="LINEAR"),($H746/1000)+0.3,IF(AND($H746&lt;&gt;"",$I746="PEAD",$N746="MND",$Q746="EMBOQUE"),0,IF(AND($H746&lt;&gt;"",$I746="PVC",$N746="VCA",$Q746="LINEAR"),($H746/1000)+0.2,IF(AND($H746&lt;&gt;"",$I746="PVC",$N746="MND",$Q746="EMBOQUE"),0,IF(AND($H746&lt;&gt;"",$I746="PEAD",$N746="VCA",$Q746="PREDIAL"),0,0)))))),0)</f>
        <v>0.39</v>
      </c>
      <c r="AK746" s="153" t="n">
        <f aca="false">IF(AA746&lt;&gt;"",AA746,0)</f>
        <v>3.3</v>
      </c>
      <c r="AL746" s="153" t="n">
        <f aca="false">IF(AND($N746="MND",$Q746="EMBOQUE"),$M746,IF(AND($N746="VCA",$Q746="LINEAR"),$M746,IF(AND($N746="VCA",$Q746="PREDIAL"),0,0)))</f>
        <v>40.67</v>
      </c>
      <c r="AM746" s="153" t="n">
        <f aca="false">IF(AND($N746="MND",$Q746="EMBOQUE"),$M746,IF(AND($N746="VCA",$Q746="LINEAR"),$M746,IF(AND($N746="VCA",$Q746="PREDIAL"),0,0)))</f>
        <v>40.67</v>
      </c>
      <c r="AN746" s="153" t="n">
        <f aca="false">ROUND(IF(AND($N746="VCA",$M746&lt;&gt;"",$Q746="LINEAR"),$M746/100,IF(AND($N746="MND",$M746&gt;100,$Q746="EMBOQUE"),$M746/100,0)),0)</f>
        <v>0</v>
      </c>
      <c r="AO746" s="153" t="n">
        <f aca="false">IF(AND($N746="MND",$Q746="EMBOQUE"),$AN746*2*2,IF(AND($N746="VCA",$Q746="LINEAR"),$M746*2,IF(AND($N746="VCA",$Q746="PREDIAL"),0,0)))</f>
        <v>81.34</v>
      </c>
      <c r="AP746" s="153" t="n">
        <f aca="false">IFERROR($M746*$AF746*$AG746,0)</f>
        <v>42.398475</v>
      </c>
      <c r="AQ746" s="153" t="n">
        <f aca="false">IFERROR(IF(AND($N746="VCA",$AH746&gt;0),$M746*$AG746*$AH746,0),0)</f>
        <v>3.05025</v>
      </c>
      <c r="AR746" s="153" t="n">
        <f aca="false">IFERROR(IF(AND($N746="VCA",$AJ746&gt;0),($M746*$AG746*$AJ746)-$AI746,0),0)</f>
        <v>11.6372436392265</v>
      </c>
      <c r="AS746" s="153" t="n">
        <f aca="false">IFERROR(IF(AND($N746="VCA",$AP746&gt;0),$AP746-$AI746-$AQ746-$AR746,0),0)</f>
        <v>27.45225</v>
      </c>
      <c r="AT746" s="153" t="n">
        <f aca="false">IFERROR(IF($N746="VCA",INDEX(APOIO_REDES!$A:$W,MATCH($C746&amp;$I746&amp;$H746&amp;$N746&amp;$O746,APOIO_REDES!$W:$W,0),MATCH(AT$5,APOIO_REDES!$5:$5,0)),0)*$AP746,0)</f>
        <v>0.461307957308022</v>
      </c>
      <c r="AU746" s="153" t="n">
        <f aca="false">IFERROR(IF($N746="VCA",INDEX(APOIO_REDES!$A:$W,MATCH($C746&amp;$I746&amp;$H746&amp;$N746&amp;$O746,APOIO_REDES!$W:$W,0),MATCH(AU$5,APOIO_REDES!$5:$5,0)),0)*$AP746,0)</f>
        <v>0.368388040902232</v>
      </c>
      <c r="AV746" s="153" t="n">
        <f aca="false">IFERROR(IF($N746="VCA",INDEX(APOIO_REDES!$A:$W,MATCH($C746&amp;$I746&amp;$H746&amp;$N746&amp;$O746,APOIO_REDES!$W:$W,0),MATCH(AV$5,APOIO_REDES!$5:$5,0)),0)*$AP746,0)</f>
        <v>0.0509820129013597</v>
      </c>
      <c r="AW746" s="153" t="n">
        <f aca="false">IFERROR(IF($N746="VCA",INDEX(APOIO_REDES!$A:$W,MATCH($C746&amp;$I746&amp;$H746&amp;$N746&amp;$O746,APOIO_REDES!$W:$W,0),MATCH(AW$5,APOIO_REDES!$5:$5,0)),0)*$AP746,0)</f>
        <v>29.1026417594153</v>
      </c>
      <c r="AX746" s="153" t="n">
        <f aca="false">IFERROR(IF($N746="VCA",INDEX(APOIO_REDES!$A:$W,MATCH($C746&amp;$I746&amp;$H746&amp;$N746&amp;$O746,APOIO_REDES!$W:$W,0),MATCH(AX$5,APOIO_REDES!$5:$5,0)),0)*$AP746,0)</f>
        <v>4.0277227190588</v>
      </c>
      <c r="AY746" s="153" t="n">
        <f aca="false">IFERROR(IF($N746="VCA",INDEX(APOIO_REDES!$A:$W,MATCH($C746&amp;$I746&amp;$H746&amp;$N746&amp;$O746,APOIO_REDES!$W:$W,0),MATCH(AY$5,APOIO_REDES!$5:$5,0)),0)*$AP746,0)</f>
        <v>7.36775632742428</v>
      </c>
      <c r="AZ746" s="153" t="n">
        <f aca="false">IFERROR(IF($N746="VCA",INDEX(APOIO_REDES!$A:$W,MATCH($C746&amp;$I746&amp;$H746&amp;$N746&amp;$O746,APOIO_REDES!$W:$W,0),MATCH(AZ$5,APOIO_REDES!$5:$5,0)),0)*$AP746,0)</f>
        <v>1.01967618299004</v>
      </c>
      <c r="BA746" s="153" t="n">
        <f aca="false">IFERROR(IF(AND($N746="VCA",$Q746="LINEAR"),INDEX(APOIO_REDES!$A:$W,MATCH($C746&amp;$I746&amp;$H746&amp;$N746&amp;$O746,APOIO_REDES!$W:$W,0),MATCH(BA$5,APOIO_REDES!$5:$5,0)),IF(AND($N746="MND",$Q746="EMBOQUE"),INDEX(APOIO_REDES!$A:$W,MATCH($C746&amp;$I746&amp;$H746&amp;$N746&amp;$O746,APOIO_REDES!$W:$W,0),MATCH(BA$5,APOIO_REDES!$5:$5,0)),0))*$M746/10,0)</f>
        <v>3.27789941316966</v>
      </c>
      <c r="BB746" s="153" t="n">
        <f aca="false">IFERROR(IF($N746="VCA",INDEX(APOIO_REDES!$A:$W,MATCH($C746&amp;$I746&amp;$H746&amp;$N746&amp;$O746,APOIO_REDES!$W:$W,0),MATCH(BB$5,APOIO_REDES!$5:$5,0)),0)*($AI746+$AQ746+$AR746),0)</f>
        <v>14.7836056481432</v>
      </c>
      <c r="BC746" s="153" t="n">
        <f aca="false">IFERROR(IF($N746="VCA",INDEX(APOIO_REDES!$A:$W,MATCH($C746&amp;$I746&amp;$H746&amp;$N746&amp;$O746,APOIO_REDES!$W:$W,0),MATCH(BC$5,APOIO_REDES!$5:$5,0)),0)*($AI746+$AQ746+$AR746),0)</f>
        <v>0.162619351856785</v>
      </c>
      <c r="BD746" s="153" t="n">
        <f aca="false">IF(AND($N746="VCA",$AF746&gt;=1.25,$AF746&lt;1.5),$M746*$AF746*2,0)</f>
        <v>113.0626</v>
      </c>
      <c r="BE746" s="153" t="n">
        <f aca="false">IF(AND($N746="VCA",$AF746&gt;=1.5,$AF746&lt;3),$M746*$AF746*2,0)</f>
        <v>0</v>
      </c>
      <c r="BF746" s="153" t="n">
        <f aca="false">IF(AND($N746="VCA",$AF746&gt;=3),$M746*$AF746*2,0)</f>
        <v>0</v>
      </c>
      <c r="BG746" s="153" t="n">
        <f aca="false">($BB746+$BC746)*$AK746</f>
        <v>49.3225425</v>
      </c>
      <c r="BH746" s="153" t="n">
        <f aca="false">IF(AND($M746&lt;&gt;"",$N746="VCA",$Q746="LINEAR"),($M746*2)/100,IF(AND($M746&lt;&gt;"",$N746="MND",$Q746="EMBOQUE"),($AN746*2)/100,0))</f>
        <v>0.8134</v>
      </c>
      <c r="BI746" s="153" t="n">
        <f aca="false">IF(AND($M746&lt;&gt;"",$N746="VCA",$Q746="LINEAR"),$M746,IF(AND($M746&lt;&gt;"",$N746="MND",$Q746="EMBOQUE"),$AN746*2,0))</f>
        <v>40.67</v>
      </c>
      <c r="BJ746" s="153" t="n">
        <f aca="false">IF(AND($M746&lt;&gt;"",$N746="VCA",$Q746="LINEAR"),($M746*6.8)/100,IF(AND($M746&lt;&gt;"",$N746="MND",$Q746="EMBOQUE"),($AN746*2*6.8)/100,0))</f>
        <v>2.76556</v>
      </c>
      <c r="BK746" s="153" t="n">
        <f aca="false">IF(AND($M746&lt;&gt;"",$N746="VCA",$Q746="LINEAR"),($M746*2.5)/50,IF(AND($M746&lt;&gt;"",$N746="MND",$Q746="EMBOQUE"),($AN746*2*2.5)/50,0))</f>
        <v>2.0335</v>
      </c>
      <c r="BL746" s="157" t="str">
        <f aca="false">K746&amp;J746</f>
        <v>Zona07REDES</v>
      </c>
      <c r="BM746" s="152" t="s">
        <v>4225</v>
      </c>
      <c r="BN746" s="152" t="s">
        <v>1560</v>
      </c>
      <c r="BO746" s="152" t="s">
        <v>4097</v>
      </c>
      <c r="BP746" s="152" t="s">
        <v>4369</v>
      </c>
      <c r="BQ746" s="152" t="s">
        <v>4379</v>
      </c>
      <c r="BR746" s="152" t="s">
        <v>4391</v>
      </c>
      <c r="BS746" s="152" t="n">
        <v>204182.589</v>
      </c>
      <c r="BT746" s="152" t="n">
        <v>8236741.132</v>
      </c>
      <c r="BU746" s="152" t="n">
        <v>204209.941</v>
      </c>
      <c r="BV746" s="152" t="n">
        <v>8236711.188</v>
      </c>
      <c r="BW746" s="152" t="n">
        <v>-15.9311062</v>
      </c>
      <c r="BX746" s="152" t="n">
        <v>-47.7628732</v>
      </c>
      <c r="BY746" s="152" t="s">
        <v>4369</v>
      </c>
    </row>
    <row r="747" customFormat="false" ht="13.8" hidden="false" customHeight="false" outlineLevel="0" collapsed="false">
      <c r="A747" s="149" t="n">
        <f aca="false">IF(C747&lt;&gt;"",ROW(A742),"")</f>
        <v>742</v>
      </c>
      <c r="B747" s="150" t="str">
        <f aca="false">HYPERLINK("https://www.google.com/maps/dir/-15.917302,-47.760003/-15.9311976,-47.7643934/data=!4m3!4m2!3e0!5i1")</f>
        <v>https://www.google.com/maps/dir/-15.917302,-47.760003/-15.9311976,-47.7643934/data=!4m3!4m2!3e0!5i1</v>
      </c>
      <c r="C747" s="151" t="s">
        <v>117</v>
      </c>
      <c r="D747" s="152" t="s">
        <v>112</v>
      </c>
      <c r="E747" s="152" t="s">
        <v>113</v>
      </c>
      <c r="F747" s="152" t="s">
        <v>117</v>
      </c>
      <c r="G747" s="152" t="s">
        <v>782</v>
      </c>
      <c r="H747" s="152" t="n">
        <v>63</v>
      </c>
      <c r="I747" s="152" t="s">
        <v>115</v>
      </c>
      <c r="J747" s="152" t="s">
        <v>6</v>
      </c>
      <c r="K747" s="152" t="s">
        <v>4221</v>
      </c>
      <c r="L747" s="152" t="s">
        <v>120</v>
      </c>
      <c r="M747" s="153" t="n">
        <f aca="false">10.69</f>
        <v>10.69</v>
      </c>
      <c r="N747" s="152" t="s">
        <v>1548</v>
      </c>
      <c r="O747" s="152" t="s">
        <v>1549</v>
      </c>
      <c r="P747" s="152" t="s">
        <v>1550</v>
      </c>
      <c r="Q747" s="152" t="s">
        <v>1551</v>
      </c>
      <c r="R747" s="154" t="s">
        <v>4392</v>
      </c>
      <c r="S747" s="154" t="s">
        <v>1553</v>
      </c>
      <c r="T747" s="155" t="s">
        <v>4095</v>
      </c>
      <c r="U747" s="152" t="str">
        <f aca="false">RIGHT(T747,7)</f>
        <v>016/037</v>
      </c>
      <c r="V747" s="152" t="s">
        <v>1555</v>
      </c>
      <c r="W747" s="156" t="n">
        <v>45882</v>
      </c>
      <c r="X747" s="152" t="s">
        <v>1594</v>
      </c>
      <c r="Y747" s="152"/>
      <c r="Z747" s="152" t="s">
        <v>1557</v>
      </c>
      <c r="AA747" s="153" t="n">
        <v>3.6</v>
      </c>
      <c r="AB747" s="151" t="s">
        <v>4393</v>
      </c>
      <c r="AC747" s="151" t="s">
        <v>186</v>
      </c>
      <c r="AD747" s="151" t="str">
        <f aca="false">CONCATENATE($C747,$I747,$H747,$N747,$J747,$K747)</f>
        <v>TUBO PEADPEAD63VCAREDESZona07</v>
      </c>
      <c r="AE747" s="153" t="n">
        <f aca="false">IFERROR(INDEX(APOIO_REDES!$A:$W,MATCH($C747&amp;$I747&amp;$H747&amp;$N747&amp;$O747,APOIO_REDES!$W:$W,0),MATCH(AE$5,APOIO_REDES!$5:$5,0)),0)</f>
        <v>1.2</v>
      </c>
      <c r="AF747" s="153" t="n">
        <f aca="false">IFERROR(INDEX(APOIO_REDES!$A:$W,MATCH($C747&amp;$I747&amp;$H747&amp;$N747&amp;$O747,APOIO_REDES!$W:$W,0),MATCH(AF$5,APOIO_REDES!$5:$5,0)),0)</f>
        <v>1.363</v>
      </c>
      <c r="AG747" s="153" t="n">
        <f aca="false">IFERROR(INDEX(APOIO_REDES!$A:$W,MATCH($C747&amp;$I747&amp;$H747&amp;$N747&amp;$O747,APOIO_REDES!$W:$W,0),MATCH(AG$5,APOIO_REDES!$5:$5,0)),0)</f>
        <v>0.65</v>
      </c>
      <c r="AH747" s="153" t="n">
        <f aca="false">IFERROR(INDEX(APOIO_REDES!$A:$W,MATCH($C747&amp;$I747&amp;$H747&amp;$N747&amp;$O747,APOIO_REDES!$W:$W,0),MATCH(AH$5,APOIO_REDES!$5:$5,0)),0)</f>
        <v>0.1</v>
      </c>
      <c r="AI747" s="153" t="n">
        <f aca="false">IFERROR(IF($H747&lt;&gt;"",(((($H747/1000)/2)^2)*PI()*$M747),0),0)</f>
        <v>0.0333233523695066</v>
      </c>
      <c r="AJ747" s="153" t="n">
        <f aca="false">IFERROR(IF(AND($H747&lt;&gt;"",$I747="FoFo",OR($N747="MND",$N747="VCA"),$Q747="LINEAR"),0,IF(AND($H747&lt;&gt;"",$I747="PEAD",$N747="VCA",$Q747="LINEAR"),($H747/1000)+0.3,IF(AND($H747&lt;&gt;"",$I747="PEAD",$N747="MND",$Q747="EMBOQUE"),0,IF(AND($H747&lt;&gt;"",$I747="PVC",$N747="VCA",$Q747="LINEAR"),($H747/1000)+0.2,IF(AND($H747&lt;&gt;"",$I747="PVC",$N747="MND",$Q747="EMBOQUE"),0,IF(AND($H747&lt;&gt;"",$I747="PEAD",$N747="VCA",$Q747="PREDIAL"),0,0)))))),0)</f>
        <v>0.363</v>
      </c>
      <c r="AK747" s="153" t="n">
        <f aca="false">IF(AA747&lt;&gt;"",AA747,0)</f>
        <v>3.6</v>
      </c>
      <c r="AL747" s="153" t="n">
        <f aca="false">IF(AND($N747="MND",$Q747="EMBOQUE"),$M747,IF(AND($N747="VCA",$Q747="LINEAR"),$M747,IF(AND($N747="VCA",$Q747="PREDIAL"),0,0)))</f>
        <v>10.69</v>
      </c>
      <c r="AM747" s="153" t="n">
        <f aca="false">IF(AND($N747="MND",$Q747="EMBOQUE"),$M747,IF(AND($N747="VCA",$Q747="LINEAR"),$M747,IF(AND($N747="VCA",$Q747="PREDIAL"),0,0)))</f>
        <v>10.69</v>
      </c>
      <c r="AN747" s="153" t="n">
        <f aca="false">ROUND(IF(AND($N747="VCA",$M747&lt;&gt;"",$Q747="LINEAR"),$M747/100,IF(AND($N747="MND",$M747&gt;100,$Q747="EMBOQUE"),$M747/100,0)),0)</f>
        <v>0</v>
      </c>
      <c r="AO747" s="153" t="n">
        <f aca="false">IF(AND($N747="MND",$Q747="EMBOQUE"),$AN747*2*2,IF(AND($N747="VCA",$Q747="LINEAR"),$M747*2,IF(AND($N747="VCA",$Q747="PREDIAL"),0,0)))</f>
        <v>21.38</v>
      </c>
      <c r="AP747" s="153" t="n">
        <f aca="false">IFERROR($M747*$AF747*$AG747,0)</f>
        <v>9.4708055</v>
      </c>
      <c r="AQ747" s="153" t="n">
        <f aca="false">IFERROR(IF(AND($N747="VCA",$AH747&gt;0),$M747*$AG747*$AH747,0),0)</f>
        <v>0.69485</v>
      </c>
      <c r="AR747" s="153" t="n">
        <f aca="false">IFERROR(IF(AND($N747="VCA",$AJ747&gt;0),($M747*$AG747*$AJ747)-$AI747,0),0)</f>
        <v>2.48898214763049</v>
      </c>
      <c r="AS747" s="153" t="n">
        <f aca="false">IFERROR(IF(AND($N747="VCA",$AP747&gt;0),$AP747-$AI747-$AQ747-$AR747,0),0)</f>
        <v>6.25365</v>
      </c>
      <c r="AT747" s="153" t="n">
        <f aca="false">IFERROR(IF($N747="VCA",INDEX(APOIO_REDES!$A:$W,MATCH($C747&amp;$I747&amp;$H747&amp;$N747&amp;$O747,APOIO_REDES!$W:$W,0),MATCH(AT$5,APOIO_REDES!$5:$5,0)),0)*$AP747,0)</f>
        <v>0.103045167055338</v>
      </c>
      <c r="AU747" s="153" t="n">
        <f aca="false">IFERROR(IF($N747="VCA",INDEX(APOIO_REDES!$A:$W,MATCH($C747&amp;$I747&amp;$H747&amp;$N747&amp;$O747,APOIO_REDES!$W:$W,0),MATCH(AU$5,APOIO_REDES!$5:$5,0)),0)*$AP747,0)</f>
        <v>0.0822890795933364</v>
      </c>
      <c r="AV747" s="153" t="n">
        <f aca="false">IFERROR(IF($N747="VCA",INDEX(APOIO_REDES!$A:$W,MATCH($C747&amp;$I747&amp;$H747&amp;$N747&amp;$O747,APOIO_REDES!$W:$W,0),MATCH(AV$5,APOIO_REDES!$5:$5,0)),0)*$AP747,0)</f>
        <v>0.0113881626211147</v>
      </c>
      <c r="AW747" s="153" t="n">
        <f aca="false">IFERROR(IF($N747="VCA",INDEX(APOIO_REDES!$A:$W,MATCH($C747&amp;$I747&amp;$H747&amp;$N747&amp;$O747,APOIO_REDES!$W:$W,0),MATCH(AW$5,APOIO_REDES!$5:$5,0)),0)*$AP747,0)</f>
        <v>6.50083427858195</v>
      </c>
      <c r="AX747" s="153" t="n">
        <f aca="false">IFERROR(IF($N747="VCA",INDEX(APOIO_REDES!$A:$W,MATCH($C747&amp;$I747&amp;$H747&amp;$N747&amp;$O747,APOIO_REDES!$W:$W,0),MATCH(AX$5,APOIO_REDES!$5:$5,0)),0)*$AP747,0)</f>
        <v>0.899696946178774</v>
      </c>
      <c r="AY747" s="153" t="n">
        <f aca="false">IFERROR(IF($N747="VCA",INDEX(APOIO_REDES!$A:$W,MATCH($C747&amp;$I747&amp;$H747&amp;$N747&amp;$O747,APOIO_REDES!$W:$W,0),MATCH(AY$5,APOIO_REDES!$5:$5,0)),0)*$AP747,0)</f>
        <v>1.64578058876952</v>
      </c>
      <c r="AZ747" s="153" t="n">
        <f aca="false">IFERROR(IF($N747="VCA",INDEX(APOIO_REDES!$A:$W,MATCH($C747&amp;$I747&amp;$H747&amp;$N747&amp;$O747,APOIO_REDES!$W:$W,0),MATCH(AZ$5,APOIO_REDES!$5:$5,0)),0)*$AP747,0)</f>
        <v>0.227771277199972</v>
      </c>
      <c r="BA747" s="153" t="n">
        <f aca="false">IFERROR(IF(AND($N747="VCA",$Q747="LINEAR"),INDEX(APOIO_REDES!$A:$W,MATCH($C747&amp;$I747&amp;$H747&amp;$N747&amp;$O747,APOIO_REDES!$W:$W,0),MATCH(BA$5,APOIO_REDES!$5:$5,0)),IF(AND($N747="MND",$Q747="EMBOQUE"),INDEX(APOIO_REDES!$A:$W,MATCH($C747&amp;$I747&amp;$H747&amp;$N747&amp;$O747,APOIO_REDES!$W:$W,0),MATCH(BA$5,APOIO_REDES!$5:$5,0)),0))*$M747/10,0)</f>
        <v>0.861587035327851</v>
      </c>
      <c r="BB747" s="153" t="n">
        <f aca="false">IFERROR(IF($N747="VCA",INDEX(APOIO_REDES!$A:$W,MATCH($C747&amp;$I747&amp;$H747&amp;$N747&amp;$O747,APOIO_REDES!$W:$W,0),MATCH(BB$5,APOIO_REDES!$5:$5,0)),0)*($AI747+$AQ747+$AR747),0)</f>
        <v>3.18215189593058</v>
      </c>
      <c r="BC747" s="153" t="n">
        <f aca="false">IFERROR(IF($N747="VCA",INDEX(APOIO_REDES!$A:$W,MATCH($C747&amp;$I747&amp;$H747&amp;$N747&amp;$O747,APOIO_REDES!$W:$W,0),MATCH(BC$5,APOIO_REDES!$5:$5,0)),0)*($AI747+$AQ747+$AR747),0)</f>
        <v>0.0350036040694216</v>
      </c>
      <c r="BD747" s="153" t="n">
        <f aca="false">IF(AND($N747="VCA",$AF747&gt;=1.25,$AF747&lt;1.5),$M747*$AF747*2,0)</f>
        <v>29.14094</v>
      </c>
      <c r="BE747" s="153" t="n">
        <f aca="false">IF(AND($N747="VCA",$AF747&gt;=1.5,$AF747&lt;3),$M747*$AF747*2,0)</f>
        <v>0</v>
      </c>
      <c r="BF747" s="153" t="n">
        <f aca="false">IF(AND($N747="VCA",$AF747&gt;=3),$M747*$AF747*2,0)</f>
        <v>0</v>
      </c>
      <c r="BG747" s="153" t="n">
        <f aca="false">($BB747+$BC747)*$AK747</f>
        <v>11.5817598</v>
      </c>
      <c r="BH747" s="153" t="n">
        <f aca="false">IF(AND($M747&lt;&gt;"",$N747="VCA",$Q747="LINEAR"),($M747*2)/100,IF(AND($M747&lt;&gt;"",$N747="MND",$Q747="EMBOQUE"),($AN747*2)/100,0))</f>
        <v>0.2138</v>
      </c>
      <c r="BI747" s="153" t="n">
        <f aca="false">IF(AND($M747&lt;&gt;"",$N747="VCA",$Q747="LINEAR"),$M747,IF(AND($M747&lt;&gt;"",$N747="MND",$Q747="EMBOQUE"),$AN747*2,0))</f>
        <v>10.69</v>
      </c>
      <c r="BJ747" s="153" t="n">
        <f aca="false">IF(AND($M747&lt;&gt;"",$N747="VCA",$Q747="LINEAR"),($M747*6.8)/100,IF(AND($M747&lt;&gt;"",$N747="MND",$Q747="EMBOQUE"),($AN747*2*6.8)/100,0))</f>
        <v>0.72692</v>
      </c>
      <c r="BK747" s="153" t="n">
        <f aca="false">IF(AND($M747&lt;&gt;"",$N747="VCA",$Q747="LINEAR"),($M747*2.5)/50,IF(AND($M747&lt;&gt;"",$N747="MND",$Q747="EMBOQUE"),($AN747*2*2.5)/50,0))</f>
        <v>0.5345</v>
      </c>
      <c r="BL747" s="157" t="str">
        <f aca="false">K747&amp;J747</f>
        <v>Zona07REDES</v>
      </c>
      <c r="BM747" s="152" t="s">
        <v>4225</v>
      </c>
      <c r="BN747" s="152" t="s">
        <v>1560</v>
      </c>
      <c r="BO747" s="152" t="s">
        <v>4097</v>
      </c>
      <c r="BP747" s="152" t="s">
        <v>2232</v>
      </c>
      <c r="BQ747" s="152" t="s">
        <v>4394</v>
      </c>
      <c r="BR747" s="152" t="s">
        <v>4395</v>
      </c>
      <c r="BS747" s="152" t="n">
        <v>204041.645</v>
      </c>
      <c r="BT747" s="152" t="n">
        <v>8236721.749</v>
      </c>
      <c r="BU747" s="152" t="n">
        <v>204034.012</v>
      </c>
      <c r="BV747" s="152" t="n">
        <v>8236714.27</v>
      </c>
      <c r="BW747" s="152" t="n">
        <v>-15.9311643</v>
      </c>
      <c r="BX747" s="152" t="n">
        <v>-47.7643573</v>
      </c>
      <c r="BY747" s="152" t="s">
        <v>4394</v>
      </c>
    </row>
    <row r="748" customFormat="false" ht="13.8" hidden="false" customHeight="false" outlineLevel="0" collapsed="false">
      <c r="A748" s="149" t="n">
        <f aca="false">IF(C748&lt;&gt;"",ROW(A743),"")</f>
        <v>743</v>
      </c>
      <c r="B748" s="150" t="str">
        <f aca="false">HYPERLINK("https://www.google.com/maps/dir/-15.917302,-47.760003/-15.9315645,-47.7660209/data=!4m3!4m2!3e0!5i2")</f>
        <v>https://www.google.com/maps/dir/-15.917302,-47.760003/-15.9315645,-47.7660209/data=!4m3!4m2!3e0!5i2</v>
      </c>
      <c r="C748" s="151" t="s">
        <v>117</v>
      </c>
      <c r="D748" s="152" t="s">
        <v>112</v>
      </c>
      <c r="E748" s="152" t="s">
        <v>113</v>
      </c>
      <c r="F748" s="152" t="s">
        <v>117</v>
      </c>
      <c r="G748" s="152" t="s">
        <v>782</v>
      </c>
      <c r="H748" s="152" t="n">
        <v>90</v>
      </c>
      <c r="I748" s="152" t="s">
        <v>115</v>
      </c>
      <c r="J748" s="152" t="s">
        <v>6</v>
      </c>
      <c r="K748" s="152" t="s">
        <v>4221</v>
      </c>
      <c r="L748" s="152" t="s">
        <v>120</v>
      </c>
      <c r="M748" s="153" t="n">
        <f aca="false">127.42</f>
        <v>127.42</v>
      </c>
      <c r="N748" s="152" t="s">
        <v>1548</v>
      </c>
      <c r="O748" s="152" t="s">
        <v>1549</v>
      </c>
      <c r="P748" s="152" t="s">
        <v>1550</v>
      </c>
      <c r="Q748" s="152" t="s">
        <v>1551</v>
      </c>
      <c r="R748" s="154" t="s">
        <v>4396</v>
      </c>
      <c r="S748" s="154" t="s">
        <v>1593</v>
      </c>
      <c r="T748" s="155" t="s">
        <v>4095</v>
      </c>
      <c r="U748" s="152" t="str">
        <f aca="false">RIGHT(T748,7)</f>
        <v>016/037</v>
      </c>
      <c r="V748" s="152" t="s">
        <v>1555</v>
      </c>
      <c r="W748" s="156" t="n">
        <v>45882</v>
      </c>
      <c r="X748" s="152" t="s">
        <v>3938</v>
      </c>
      <c r="Y748" s="152" t="s">
        <v>4015</v>
      </c>
      <c r="Z748" s="152" t="s">
        <v>1557</v>
      </c>
      <c r="AA748" s="153" t="n">
        <v>3.8</v>
      </c>
      <c r="AB748" s="151" t="s">
        <v>4397</v>
      </c>
      <c r="AC748" s="151" t="s">
        <v>526</v>
      </c>
      <c r="AD748" s="151" t="str">
        <f aca="false">CONCATENATE($C748,$I748,$H748,$N748,$J748,$K748)</f>
        <v>TUBO PEADPEAD90VCAREDESZona07</v>
      </c>
      <c r="AE748" s="153" t="n">
        <f aca="false">IFERROR(INDEX(APOIO_REDES!$A:$W,MATCH($C748&amp;$I748&amp;$H748&amp;$N748&amp;$O748,APOIO_REDES!$W:$W,0),MATCH(AE$5,APOIO_REDES!$5:$5,0)),0)</f>
        <v>1.2</v>
      </c>
      <c r="AF748" s="153" t="n">
        <f aca="false">IFERROR(INDEX(APOIO_REDES!$A:$W,MATCH($C748&amp;$I748&amp;$H748&amp;$N748&amp;$O748,APOIO_REDES!$W:$W,0),MATCH(AF$5,APOIO_REDES!$5:$5,0)),0)</f>
        <v>1.39</v>
      </c>
      <c r="AG748" s="153" t="n">
        <f aca="false">IFERROR(INDEX(APOIO_REDES!$A:$W,MATCH($C748&amp;$I748&amp;$H748&amp;$N748&amp;$O748,APOIO_REDES!$W:$W,0),MATCH(AG$5,APOIO_REDES!$5:$5,0)),0)</f>
        <v>0.75</v>
      </c>
      <c r="AH748" s="153" t="n">
        <f aca="false">IFERROR(INDEX(APOIO_REDES!$A:$W,MATCH($C748&amp;$I748&amp;$H748&amp;$N748&amp;$O748,APOIO_REDES!$W:$W,0),MATCH(AH$5,APOIO_REDES!$5:$5,0)),0)</f>
        <v>0.1</v>
      </c>
      <c r="AI748" s="153" t="n">
        <f aca="false">IFERROR(IF($H748&lt;&gt;"",(((($H748/1000)/2)^2)*PI()*$M748),0),0)</f>
        <v>0.810611015238833</v>
      </c>
      <c r="AJ748" s="153" t="n">
        <f aca="false">IFERROR(IF(AND($H748&lt;&gt;"",$I748="FoFo",OR($N748="MND",$N748="VCA"),$Q748="LINEAR"),0,IF(AND($H748&lt;&gt;"",$I748="PEAD",$N748="VCA",$Q748="LINEAR"),($H748/1000)+0.3,IF(AND($H748&lt;&gt;"",$I748="PEAD",$N748="MND",$Q748="EMBOQUE"),0,IF(AND($H748&lt;&gt;"",$I748="PVC",$N748="VCA",$Q748="LINEAR"),($H748/1000)+0.2,IF(AND($H748&lt;&gt;"",$I748="PVC",$N748="MND",$Q748="EMBOQUE"),0,IF(AND($H748&lt;&gt;"",$I748="PEAD",$N748="VCA",$Q748="PREDIAL"),0,0)))))),0)</f>
        <v>0.39</v>
      </c>
      <c r="AK748" s="153" t="n">
        <f aca="false">IF(AA748&lt;&gt;"",AA748,0)</f>
        <v>3.8</v>
      </c>
      <c r="AL748" s="153" t="n">
        <f aca="false">IF(AND($N748="MND",$Q748="EMBOQUE"),$M748,IF(AND($N748="VCA",$Q748="LINEAR"),$M748,IF(AND($N748="VCA",$Q748="PREDIAL"),0,0)))</f>
        <v>127.42</v>
      </c>
      <c r="AM748" s="153" t="n">
        <f aca="false">IF(AND($N748="MND",$Q748="EMBOQUE"),$M748,IF(AND($N748="VCA",$Q748="LINEAR"),$M748,IF(AND($N748="VCA",$Q748="PREDIAL"),0,0)))</f>
        <v>127.42</v>
      </c>
      <c r="AN748" s="153" t="n">
        <f aca="false">ROUND(IF(AND($N748="VCA",$M748&lt;&gt;"",$Q748="LINEAR"),$M748/100,IF(AND($N748="MND",$M748&gt;100,$Q748="EMBOQUE"),$M748/100,0)),0)</f>
        <v>1</v>
      </c>
      <c r="AO748" s="153" t="n">
        <f aca="false">IF(AND($N748="MND",$Q748="EMBOQUE"),$AN748*2*2,IF(AND($N748="VCA",$Q748="LINEAR"),$M748*2,IF(AND($N748="VCA",$Q748="PREDIAL"),0,0)))</f>
        <v>254.84</v>
      </c>
      <c r="AP748" s="153" t="n">
        <f aca="false">IFERROR($M748*$AF748*$AG748,0)</f>
        <v>132.83535</v>
      </c>
      <c r="AQ748" s="153" t="n">
        <f aca="false">IFERROR(IF(AND($N748="VCA",$AH748&gt;0),$M748*$AG748*$AH748,0),0)</f>
        <v>9.5565</v>
      </c>
      <c r="AR748" s="153" t="n">
        <f aca="false">IFERROR(IF(AND($N748="VCA",$AJ748&gt;0),($M748*$AG748*$AJ748)-$AI748,0),0)</f>
        <v>36.4597389847612</v>
      </c>
      <c r="AS748" s="153" t="n">
        <f aca="false">IFERROR(IF(AND($N748="VCA",$AP748&gt;0),$AP748-$AI748-$AQ748-$AR748,0),0)</f>
        <v>86.0085</v>
      </c>
      <c r="AT748" s="153" t="n">
        <f aca="false">IFERROR(IF($N748="VCA",INDEX(APOIO_REDES!$A:$W,MATCH($C748&amp;$I748&amp;$H748&amp;$N748&amp;$O748,APOIO_REDES!$W:$W,0),MATCH(AT$5,APOIO_REDES!$5:$5,0)),0)*$AP748,0)</f>
        <v>1.44528792525666</v>
      </c>
      <c r="AU748" s="153" t="n">
        <f aca="false">IFERROR(IF($N748="VCA",INDEX(APOIO_REDES!$A:$W,MATCH($C748&amp;$I748&amp;$H748&amp;$N748&amp;$O748,APOIO_REDES!$W:$W,0),MATCH(AU$5,APOIO_REDES!$5:$5,0)),0)*$AP748,0)</f>
        <v>1.15416779374877</v>
      </c>
      <c r="AV748" s="153" t="n">
        <f aca="false">IFERROR(IF($N748="VCA",INDEX(APOIO_REDES!$A:$W,MATCH($C748&amp;$I748&amp;$H748&amp;$N748&amp;$O748,APOIO_REDES!$W:$W,0),MATCH(AV$5,APOIO_REDES!$5:$5,0)),0)*$AP748,0)</f>
        <v>0.159727762082401</v>
      </c>
      <c r="AW748" s="153" t="n">
        <f aca="false">IFERROR(IF($N748="VCA",INDEX(APOIO_REDES!$A:$W,MATCH($C748&amp;$I748&amp;$H748&amp;$N748&amp;$O748,APOIO_REDES!$W:$W,0),MATCH(AW$5,APOIO_REDES!$5:$5,0)),0)*$AP748,0)</f>
        <v>91.1792134985171</v>
      </c>
      <c r="AX748" s="153" t="n">
        <f aca="false">IFERROR(IF($N748="VCA",INDEX(APOIO_REDES!$A:$W,MATCH($C748&amp;$I748&amp;$H748&amp;$N748&amp;$O748,APOIO_REDES!$W:$W,0),MATCH(AX$5,APOIO_REDES!$5:$5,0)),0)*$AP748,0)</f>
        <v>12.6189434192887</v>
      </c>
      <c r="AY748" s="153" t="n">
        <f aca="false">IFERROR(IF($N748="VCA",INDEX(APOIO_REDES!$A:$W,MATCH($C748&amp;$I748&amp;$H748&amp;$N748&amp;$O748,APOIO_REDES!$W:$W,0),MATCH(AY$5,APOIO_REDES!$5:$5,0)),0)*$AP748,0)</f>
        <v>23.0833418057635</v>
      </c>
      <c r="AZ748" s="153" t="n">
        <f aca="false">IFERROR(IF($N748="VCA",INDEX(APOIO_REDES!$A:$W,MATCH($C748&amp;$I748&amp;$H748&amp;$N748&amp;$O748,APOIO_REDES!$W:$W,0),MATCH(AZ$5,APOIO_REDES!$5:$5,0)),0)*$AP748,0)</f>
        <v>3.19466779534278</v>
      </c>
      <c r="BA748" s="153" t="n">
        <f aca="false">IFERROR(IF(AND($N748="VCA",$Q748="LINEAR"),INDEX(APOIO_REDES!$A:$W,MATCH($C748&amp;$I748&amp;$H748&amp;$N748&amp;$O748,APOIO_REDES!$W:$W,0),MATCH(BA$5,APOIO_REDES!$5:$5,0)),IF(AND($N748="MND",$Q748="EMBOQUE"),INDEX(APOIO_REDES!$A:$W,MATCH($C748&amp;$I748&amp;$H748&amp;$N748&amp;$O748,APOIO_REDES!$W:$W,0),MATCH(BA$5,APOIO_REDES!$5:$5,0)),0))*$M748/10,0)</f>
        <v>10.2697305932156</v>
      </c>
      <c r="BB748" s="153" t="n">
        <f aca="false">IFERROR(IF($N748="VCA",INDEX(APOIO_REDES!$A:$W,MATCH($C748&amp;$I748&amp;$H748&amp;$N748&amp;$O748,APOIO_REDES!$W:$W,0),MATCH(BB$5,APOIO_REDES!$5:$5,0)),0)*($AI748+$AQ748+$AR748),0)</f>
        <v>46.3173600119599</v>
      </c>
      <c r="BC748" s="153" t="n">
        <f aca="false">IFERROR(IF($N748="VCA",INDEX(APOIO_REDES!$A:$W,MATCH($C748&amp;$I748&amp;$H748&amp;$N748&amp;$O748,APOIO_REDES!$W:$W,0),MATCH(BC$5,APOIO_REDES!$5:$5,0)),0)*($AI748+$AQ748+$AR748),0)</f>
        <v>0.509489988040116</v>
      </c>
      <c r="BD748" s="153" t="n">
        <f aca="false">IF(AND($N748="VCA",$AF748&gt;=1.25,$AF748&lt;1.5),$M748*$AF748*2,0)</f>
        <v>354.2276</v>
      </c>
      <c r="BE748" s="153" t="n">
        <f aca="false">IF(AND($N748="VCA",$AF748&gt;=1.5,$AF748&lt;3),$M748*$AF748*2,0)</f>
        <v>0</v>
      </c>
      <c r="BF748" s="153" t="n">
        <f aca="false">IF(AND($N748="VCA",$AF748&gt;=3),$M748*$AF748*2,0)</f>
        <v>0</v>
      </c>
      <c r="BG748" s="153" t="n">
        <f aca="false">($BB748+$BC748)*$AK748</f>
        <v>177.94203</v>
      </c>
      <c r="BH748" s="153" t="n">
        <f aca="false">IF(AND($M748&lt;&gt;"",$N748="VCA",$Q748="LINEAR"),($M748*2)/100,IF(AND($M748&lt;&gt;"",$N748="MND",$Q748="EMBOQUE"),($AN748*2)/100,0))</f>
        <v>2.5484</v>
      </c>
      <c r="BI748" s="153" t="n">
        <f aca="false">IF(AND($M748&lt;&gt;"",$N748="VCA",$Q748="LINEAR"),$M748,IF(AND($M748&lt;&gt;"",$N748="MND",$Q748="EMBOQUE"),$AN748*2,0))</f>
        <v>127.42</v>
      </c>
      <c r="BJ748" s="153" t="n">
        <f aca="false">IF(AND($M748&lt;&gt;"",$N748="VCA",$Q748="LINEAR"),($M748*6.8)/100,IF(AND($M748&lt;&gt;"",$N748="MND",$Q748="EMBOQUE"),($AN748*2*6.8)/100,0))</f>
        <v>8.66456</v>
      </c>
      <c r="BK748" s="153" t="n">
        <f aca="false">IF(AND($M748&lt;&gt;"",$N748="VCA",$Q748="LINEAR"),($M748*2.5)/50,IF(AND($M748&lt;&gt;"",$N748="MND",$Q748="EMBOQUE"),($AN748*2*2.5)/50,0))</f>
        <v>6.371</v>
      </c>
      <c r="BL748" s="157" t="str">
        <f aca="false">K748&amp;J748</f>
        <v>Zona07REDES</v>
      </c>
      <c r="BM748" s="152" t="s">
        <v>4225</v>
      </c>
      <c r="BN748" s="152" t="s">
        <v>1560</v>
      </c>
      <c r="BO748" s="152" t="s">
        <v>4097</v>
      </c>
      <c r="BP748" s="152" t="s">
        <v>4398</v>
      </c>
      <c r="BQ748" s="152" t="s">
        <v>4373</v>
      </c>
      <c r="BR748" s="152" t="s">
        <v>4375</v>
      </c>
      <c r="BS748" s="152" t="n">
        <v>203859.977</v>
      </c>
      <c r="BT748" s="152" t="n">
        <v>8236671.626</v>
      </c>
      <c r="BU748" s="152" t="n">
        <v>203959.854</v>
      </c>
      <c r="BV748" s="152" t="n">
        <v>8236750.654</v>
      </c>
      <c r="BW748" s="152" t="n">
        <v>-15.9312166</v>
      </c>
      <c r="BX748" s="152" t="n">
        <v>-47.7655475</v>
      </c>
      <c r="BY748" s="152" t="s">
        <v>4398</v>
      </c>
    </row>
    <row r="749" customFormat="false" ht="13.8" hidden="false" customHeight="false" outlineLevel="0" collapsed="false">
      <c r="A749" s="149" t="n">
        <f aca="false">IF(C749&lt;&gt;"",ROW(A744),"")</f>
        <v>744</v>
      </c>
      <c r="B749" s="150" t="str">
        <f aca="false">HYPERLINK("https://www.google.com/maps/dir/-15.917302,-47.760003/-15.9313605,-47.7628309/data=!4m3!4m2!3e0!5i2")</f>
        <v>https://www.google.com/maps/dir/-15.917302,-47.760003/-15.9313605,-47.7628309/data=!4m3!4m2!3e0!5i2</v>
      </c>
      <c r="C749" s="151" t="s">
        <v>117</v>
      </c>
      <c r="D749" s="152" t="s">
        <v>112</v>
      </c>
      <c r="E749" s="152" t="s">
        <v>113</v>
      </c>
      <c r="F749" s="152" t="s">
        <v>117</v>
      </c>
      <c r="G749" s="152" t="s">
        <v>782</v>
      </c>
      <c r="H749" s="152" t="n">
        <v>90</v>
      </c>
      <c r="I749" s="152" t="s">
        <v>115</v>
      </c>
      <c r="J749" s="152" t="s">
        <v>6</v>
      </c>
      <c r="K749" s="152" t="s">
        <v>4221</v>
      </c>
      <c r="L749" s="152" t="s">
        <v>120</v>
      </c>
      <c r="M749" s="153" t="n">
        <f aca="false">15.45+0.53</f>
        <v>15.98</v>
      </c>
      <c r="N749" s="152" t="s">
        <v>1548</v>
      </c>
      <c r="O749" s="152" t="s">
        <v>1549</v>
      </c>
      <c r="P749" s="152" t="s">
        <v>1550</v>
      </c>
      <c r="Q749" s="152" t="s">
        <v>1551</v>
      </c>
      <c r="R749" s="154" t="s">
        <v>4399</v>
      </c>
      <c r="S749" s="154" t="s">
        <v>1593</v>
      </c>
      <c r="T749" s="155" t="s">
        <v>4095</v>
      </c>
      <c r="U749" s="152" t="str">
        <f aca="false">RIGHT(T749,7)</f>
        <v>016/037</v>
      </c>
      <c r="V749" s="152" t="s">
        <v>1555</v>
      </c>
      <c r="W749" s="156" t="n">
        <v>45882</v>
      </c>
      <c r="X749" s="152" t="s">
        <v>3938</v>
      </c>
      <c r="Y749" s="152" t="s">
        <v>2117</v>
      </c>
      <c r="Z749" s="152" t="s">
        <v>1557</v>
      </c>
      <c r="AA749" s="153" t="n">
        <v>3.4</v>
      </c>
      <c r="AB749" s="151" t="s">
        <v>4400</v>
      </c>
      <c r="AC749" s="151" t="s">
        <v>526</v>
      </c>
      <c r="AD749" s="151" t="str">
        <f aca="false">CONCATENATE($C749,$I749,$H749,$N749,$J749,$K749)</f>
        <v>TUBO PEADPEAD90VCAREDESZona07</v>
      </c>
      <c r="AE749" s="153" t="n">
        <f aca="false">IFERROR(INDEX(APOIO_REDES!$A:$W,MATCH($C749&amp;$I749&amp;$H749&amp;$N749&amp;$O749,APOIO_REDES!$W:$W,0),MATCH(AE$5,APOIO_REDES!$5:$5,0)),0)</f>
        <v>1.2</v>
      </c>
      <c r="AF749" s="153" t="n">
        <f aca="false">IFERROR(INDEX(APOIO_REDES!$A:$W,MATCH($C749&amp;$I749&amp;$H749&amp;$N749&amp;$O749,APOIO_REDES!$W:$W,0),MATCH(AF$5,APOIO_REDES!$5:$5,0)),0)</f>
        <v>1.39</v>
      </c>
      <c r="AG749" s="153" t="n">
        <f aca="false">IFERROR(INDEX(APOIO_REDES!$A:$W,MATCH($C749&amp;$I749&amp;$H749&amp;$N749&amp;$O749,APOIO_REDES!$W:$W,0),MATCH(AG$5,APOIO_REDES!$5:$5,0)),0)</f>
        <v>0.75</v>
      </c>
      <c r="AH749" s="153" t="n">
        <f aca="false">IFERROR(INDEX(APOIO_REDES!$A:$W,MATCH($C749&amp;$I749&amp;$H749&amp;$N749&amp;$O749,APOIO_REDES!$W:$W,0),MATCH(AH$5,APOIO_REDES!$5:$5,0)),0)</f>
        <v>0.1</v>
      </c>
      <c r="AI749" s="153" t="n">
        <f aca="false">IFERROR(IF($H749&lt;&gt;"",(((($H749/1000)/2)^2)*PI()*$M749),0),0)</f>
        <v>0.101660367473839</v>
      </c>
      <c r="AJ749" s="153" t="n">
        <f aca="false">IFERROR(IF(AND($H749&lt;&gt;"",$I749="FoFo",OR($N749="MND",$N749="VCA"),$Q749="LINEAR"),0,IF(AND($H749&lt;&gt;"",$I749="PEAD",$N749="VCA",$Q749="LINEAR"),($H749/1000)+0.3,IF(AND($H749&lt;&gt;"",$I749="PEAD",$N749="MND",$Q749="EMBOQUE"),0,IF(AND($H749&lt;&gt;"",$I749="PVC",$N749="VCA",$Q749="LINEAR"),($H749/1000)+0.2,IF(AND($H749&lt;&gt;"",$I749="PVC",$N749="MND",$Q749="EMBOQUE"),0,IF(AND($H749&lt;&gt;"",$I749="PEAD",$N749="VCA",$Q749="PREDIAL"),0,0)))))),0)</f>
        <v>0.39</v>
      </c>
      <c r="AK749" s="153" t="n">
        <f aca="false">IF(AA749&lt;&gt;"",AA749,0)</f>
        <v>3.4</v>
      </c>
      <c r="AL749" s="153" t="n">
        <f aca="false">IF(AND($N749="MND",$Q749="EMBOQUE"),$M749,IF(AND($N749="VCA",$Q749="LINEAR"),$M749,IF(AND($N749="VCA",$Q749="PREDIAL"),0,0)))</f>
        <v>15.98</v>
      </c>
      <c r="AM749" s="153" t="n">
        <f aca="false">IF(AND($N749="MND",$Q749="EMBOQUE"),$M749,IF(AND($N749="VCA",$Q749="LINEAR"),$M749,IF(AND($N749="VCA",$Q749="PREDIAL"),0,0)))</f>
        <v>15.98</v>
      </c>
      <c r="AN749" s="153" t="n">
        <f aca="false">ROUND(IF(AND($N749="VCA",$M749&lt;&gt;"",$Q749="LINEAR"),$M749/100,IF(AND($N749="MND",$M749&gt;100,$Q749="EMBOQUE"),$M749/100,0)),0)</f>
        <v>0</v>
      </c>
      <c r="AO749" s="153" t="n">
        <f aca="false">IF(AND($N749="MND",$Q749="EMBOQUE"),$AN749*2*2,IF(AND($N749="VCA",$Q749="LINEAR"),$M749*2,IF(AND($N749="VCA",$Q749="PREDIAL"),0,0)))</f>
        <v>31.96</v>
      </c>
      <c r="AP749" s="153" t="n">
        <f aca="false">IFERROR($M749*$AF749*$AG749,0)</f>
        <v>16.65915</v>
      </c>
      <c r="AQ749" s="153" t="n">
        <f aca="false">IFERROR(IF(AND($N749="VCA",$AH749&gt;0),$M749*$AG749*$AH749,0),0)</f>
        <v>1.1985</v>
      </c>
      <c r="AR749" s="153" t="n">
        <f aca="false">IFERROR(IF(AND($N749="VCA",$AJ749&gt;0),($M749*$AG749*$AJ749)-$AI749,0),0)</f>
        <v>4.57248963252616</v>
      </c>
      <c r="AS749" s="153" t="n">
        <f aca="false">IFERROR(IF(AND($N749="VCA",$AP749&gt;0),$AP749-$AI749-$AQ749-$AR749,0),0)</f>
        <v>10.7865</v>
      </c>
      <c r="AT749" s="153" t="n">
        <f aca="false">IFERROR(IF($N749="VCA",INDEX(APOIO_REDES!$A:$W,MATCH($C749&amp;$I749&amp;$H749&amp;$N749&amp;$O749,APOIO_REDES!$W:$W,0),MATCH(AT$5,APOIO_REDES!$5:$5,0)),0)*$AP749,0)</f>
        <v>0.181256482856705</v>
      </c>
      <c r="AU749" s="153" t="n">
        <f aca="false">IFERROR(IF($N749="VCA",INDEX(APOIO_REDES!$A:$W,MATCH($C749&amp;$I749&amp;$H749&amp;$N749&amp;$O749,APOIO_REDES!$W:$W,0),MATCH(AU$5,APOIO_REDES!$5:$5,0)),0)*$AP749,0)</f>
        <v>0.144746518161241</v>
      </c>
      <c r="AV749" s="153" t="n">
        <f aca="false">IFERROR(IF($N749="VCA",INDEX(APOIO_REDES!$A:$W,MATCH($C749&amp;$I749&amp;$H749&amp;$N749&amp;$O749,APOIO_REDES!$W:$W,0),MATCH(AV$5,APOIO_REDES!$5:$5,0)),0)*$AP749,0)</f>
        <v>0.0200317818087959</v>
      </c>
      <c r="AW749" s="153" t="n">
        <f aca="false">IFERROR(IF($N749="VCA",INDEX(APOIO_REDES!$A:$W,MATCH($C749&amp;$I749&amp;$H749&amp;$N749&amp;$O749,APOIO_REDES!$W:$W,0),MATCH(AW$5,APOIO_REDES!$5:$5,0)),0)*$AP749,0)</f>
        <v>11.4349696413931</v>
      </c>
      <c r="AX749" s="153" t="n">
        <f aca="false">IFERROR(IF($N749="VCA",INDEX(APOIO_REDES!$A:$W,MATCH($C749&amp;$I749&amp;$H749&amp;$N749&amp;$O749,APOIO_REDES!$W:$W,0),MATCH(AX$5,APOIO_REDES!$5:$5,0)),0)*$AP749,0)</f>
        <v>1.5825672252412</v>
      </c>
      <c r="AY749" s="153" t="n">
        <f aca="false">IFERROR(IF($N749="VCA",INDEX(APOIO_REDES!$A:$W,MATCH($C749&amp;$I749&amp;$H749&amp;$N749&amp;$O749,APOIO_REDES!$W:$W,0),MATCH(AY$5,APOIO_REDES!$5:$5,0)),0)*$AP749,0)</f>
        <v>2.8949285987765</v>
      </c>
      <c r="AZ749" s="153" t="n">
        <f aca="false">IFERROR(IF($N749="VCA",INDEX(APOIO_REDES!$A:$W,MATCH($C749&amp;$I749&amp;$H749&amp;$N749&amp;$O749,APOIO_REDES!$W:$W,0),MATCH(AZ$5,APOIO_REDES!$5:$5,0)),0)*$AP749,0)</f>
        <v>0.400649751762499</v>
      </c>
      <c r="BA749" s="153" t="n">
        <f aca="false">IFERROR(IF(AND($N749="VCA",$Q749="LINEAR"),INDEX(APOIO_REDES!$A:$W,MATCH($C749&amp;$I749&amp;$H749&amp;$N749&amp;$O749,APOIO_REDES!$W:$W,0),MATCH(BA$5,APOIO_REDES!$5:$5,0)),IF(AND($N749="MND",$Q749="EMBOQUE"),INDEX(APOIO_REDES!$A:$W,MATCH($C749&amp;$I749&amp;$H749&amp;$N749&amp;$O749,APOIO_REDES!$W:$W,0),MATCH(BA$5,APOIO_REDES!$5:$5,0)),0))*$M749/10,0)</f>
        <v>1.28794769172489</v>
      </c>
      <c r="BB749" s="153" t="n">
        <f aca="false">IFERROR(IF($N749="VCA",INDEX(APOIO_REDES!$A:$W,MATCH($C749&amp;$I749&amp;$H749&amp;$N749&amp;$O749,APOIO_REDES!$W:$W,0),MATCH(BB$5,APOIO_REDES!$5:$5,0)),0)*($AI749+$AQ749+$AR749),0)</f>
        <v>5.80875382978433</v>
      </c>
      <c r="BC749" s="153" t="n">
        <f aca="false">IFERROR(IF($N749="VCA",INDEX(APOIO_REDES!$A:$W,MATCH($C749&amp;$I749&amp;$H749&amp;$N749&amp;$O749,APOIO_REDES!$W:$W,0),MATCH(BC$5,APOIO_REDES!$5:$5,0)),0)*($AI749+$AQ749+$AR749),0)</f>
        <v>0.063896170215673</v>
      </c>
      <c r="BD749" s="153" t="n">
        <f aca="false">IF(AND($N749="VCA",$AF749&gt;=1.25,$AF749&lt;1.5),$M749*$AF749*2,0)</f>
        <v>44.4244</v>
      </c>
      <c r="BE749" s="153" t="n">
        <f aca="false">IF(AND($N749="VCA",$AF749&gt;=1.5,$AF749&lt;3),$M749*$AF749*2,0)</f>
        <v>0</v>
      </c>
      <c r="BF749" s="153" t="n">
        <f aca="false">IF(AND($N749="VCA",$AF749&gt;=3),$M749*$AF749*2,0)</f>
        <v>0</v>
      </c>
      <c r="BG749" s="153" t="n">
        <f aca="false">($BB749+$BC749)*$AK749</f>
        <v>19.96701</v>
      </c>
      <c r="BH749" s="153" t="n">
        <f aca="false">IF(AND($M749&lt;&gt;"",$N749="VCA",$Q749="LINEAR"),($M749*2)/100,IF(AND($M749&lt;&gt;"",$N749="MND",$Q749="EMBOQUE"),($AN749*2)/100,0))</f>
        <v>0.3196</v>
      </c>
      <c r="BI749" s="153" t="n">
        <f aca="false">IF(AND($M749&lt;&gt;"",$N749="VCA",$Q749="LINEAR"),$M749,IF(AND($M749&lt;&gt;"",$N749="MND",$Q749="EMBOQUE"),$AN749*2,0))</f>
        <v>15.98</v>
      </c>
      <c r="BJ749" s="153" t="n">
        <f aca="false">IF(AND($M749&lt;&gt;"",$N749="VCA",$Q749="LINEAR"),($M749*6.8)/100,IF(AND($M749&lt;&gt;"",$N749="MND",$Q749="EMBOQUE"),($AN749*2*6.8)/100,0))</f>
        <v>1.08664</v>
      </c>
      <c r="BK749" s="153" t="n">
        <f aca="false">IF(AND($M749&lt;&gt;"",$N749="VCA",$Q749="LINEAR"),($M749*2.5)/50,IF(AND($M749&lt;&gt;"",$N749="MND",$Q749="EMBOQUE"),($AN749*2*2.5)/50,0))</f>
        <v>0.799</v>
      </c>
      <c r="BL749" s="157" t="str">
        <f aca="false">K749&amp;J749</f>
        <v>Zona07REDES</v>
      </c>
      <c r="BM749" s="152" t="s">
        <v>4225</v>
      </c>
      <c r="BN749" s="152" t="s">
        <v>1560</v>
      </c>
      <c r="BO749" s="152" t="s">
        <v>4097</v>
      </c>
      <c r="BP749" s="152" t="s">
        <v>4401</v>
      </c>
      <c r="BQ749" s="152" t="s">
        <v>4379</v>
      </c>
      <c r="BR749" s="152" t="s">
        <v>4380</v>
      </c>
      <c r="BS749" s="152" t="n">
        <v>204201.65</v>
      </c>
      <c r="BT749" s="152" t="n">
        <v>8236698.451</v>
      </c>
      <c r="BU749" s="152" t="n">
        <v>204209.941</v>
      </c>
      <c r="BV749" s="152" t="n">
        <v>8236711.188</v>
      </c>
      <c r="BW749" s="152" t="n">
        <v>-15.9313001</v>
      </c>
      <c r="BX749" s="152" t="n">
        <v>-47.7627949</v>
      </c>
      <c r="BY749" s="152" t="s">
        <v>4401</v>
      </c>
    </row>
    <row r="750" customFormat="false" ht="13.8" hidden="false" customHeight="false" outlineLevel="0" collapsed="false">
      <c r="A750" s="149" t="n">
        <f aca="false">IF(C750&lt;&gt;"",ROW(A745),"")</f>
        <v>745</v>
      </c>
      <c r="B750" s="150" t="str">
        <f aca="false">HYPERLINK("https://www.google.com/maps/dir/-15.917302,-47.760003/-15.9314487,-47.7645331/data=!4m3!4m2!3e0!5i1")</f>
        <v>https://www.google.com/maps/dir/-15.917302,-47.760003/-15.9314487,-47.7645331/data=!4m3!4m2!3e0!5i1</v>
      </c>
      <c r="C750" s="151" t="s">
        <v>117</v>
      </c>
      <c r="D750" s="152" t="s">
        <v>112</v>
      </c>
      <c r="E750" s="152" t="s">
        <v>113</v>
      </c>
      <c r="F750" s="152" t="s">
        <v>117</v>
      </c>
      <c r="G750" s="152" t="s">
        <v>782</v>
      </c>
      <c r="H750" s="152" t="n">
        <v>90</v>
      </c>
      <c r="I750" s="152" t="s">
        <v>115</v>
      </c>
      <c r="J750" s="152" t="s">
        <v>6</v>
      </c>
      <c r="K750" s="152" t="s">
        <v>4221</v>
      </c>
      <c r="L750" s="152" t="s">
        <v>120</v>
      </c>
      <c r="M750" s="153" t="n">
        <f aca="false">41.6</f>
        <v>41.6</v>
      </c>
      <c r="N750" s="152" t="s">
        <v>1548</v>
      </c>
      <c r="O750" s="152" t="s">
        <v>1549</v>
      </c>
      <c r="P750" s="152" t="s">
        <v>1550</v>
      </c>
      <c r="Q750" s="152" t="s">
        <v>1551</v>
      </c>
      <c r="R750" s="154" t="s">
        <v>4402</v>
      </c>
      <c r="S750" s="154" t="s">
        <v>1593</v>
      </c>
      <c r="T750" s="155" t="s">
        <v>4095</v>
      </c>
      <c r="U750" s="152" t="str">
        <f aca="false">RIGHT(T750,7)</f>
        <v>016/037</v>
      </c>
      <c r="V750" s="152" t="s">
        <v>1555</v>
      </c>
      <c r="W750" s="156" t="n">
        <v>45882</v>
      </c>
      <c r="X750" s="152" t="s">
        <v>1594</v>
      </c>
      <c r="Y750" s="152" t="s">
        <v>2885</v>
      </c>
      <c r="Z750" s="152" t="s">
        <v>1557</v>
      </c>
      <c r="AA750" s="153" t="n">
        <v>3.6</v>
      </c>
      <c r="AB750" s="151" t="s">
        <v>4403</v>
      </c>
      <c r="AC750" s="151" t="s">
        <v>526</v>
      </c>
      <c r="AD750" s="151" t="str">
        <f aca="false">CONCATENATE($C750,$I750,$H750,$N750,$J750,$K750)</f>
        <v>TUBO PEADPEAD90VCAREDESZona07</v>
      </c>
      <c r="AE750" s="153" t="n">
        <f aca="false">IFERROR(INDEX(APOIO_REDES!$A:$W,MATCH($C750&amp;$I750&amp;$H750&amp;$N750&amp;$O750,APOIO_REDES!$W:$W,0),MATCH(AE$5,APOIO_REDES!$5:$5,0)),0)</f>
        <v>1.2</v>
      </c>
      <c r="AF750" s="153" t="n">
        <f aca="false">IFERROR(INDEX(APOIO_REDES!$A:$W,MATCH($C750&amp;$I750&amp;$H750&amp;$N750&amp;$O750,APOIO_REDES!$W:$W,0),MATCH(AF$5,APOIO_REDES!$5:$5,0)),0)</f>
        <v>1.39</v>
      </c>
      <c r="AG750" s="153" t="n">
        <f aca="false">IFERROR(INDEX(APOIO_REDES!$A:$W,MATCH($C750&amp;$I750&amp;$H750&amp;$N750&amp;$O750,APOIO_REDES!$W:$W,0),MATCH(AG$5,APOIO_REDES!$5:$5,0)),0)</f>
        <v>0.75</v>
      </c>
      <c r="AH750" s="153" t="n">
        <f aca="false">IFERROR(INDEX(APOIO_REDES!$A:$W,MATCH($C750&amp;$I750&amp;$H750&amp;$N750&amp;$O750,APOIO_REDES!$W:$W,0),MATCH(AH$5,APOIO_REDES!$5:$5,0)),0)</f>
        <v>0.1</v>
      </c>
      <c r="AI750" s="153" t="n">
        <f aca="false">IFERROR(IF($H750&lt;&gt;"",(((($H750/1000)/2)^2)*PI()*$M750),0),0)</f>
        <v>0.264647765138404</v>
      </c>
      <c r="AJ750" s="153" t="n">
        <f aca="false">IFERROR(IF(AND($H750&lt;&gt;"",$I750="FoFo",OR($N750="MND",$N750="VCA"),$Q750="LINEAR"),0,IF(AND($H750&lt;&gt;"",$I750="PEAD",$N750="VCA",$Q750="LINEAR"),($H750/1000)+0.3,IF(AND($H750&lt;&gt;"",$I750="PEAD",$N750="MND",$Q750="EMBOQUE"),0,IF(AND($H750&lt;&gt;"",$I750="PVC",$N750="VCA",$Q750="LINEAR"),($H750/1000)+0.2,IF(AND($H750&lt;&gt;"",$I750="PVC",$N750="MND",$Q750="EMBOQUE"),0,IF(AND($H750&lt;&gt;"",$I750="PEAD",$N750="VCA",$Q750="PREDIAL"),0,0)))))),0)</f>
        <v>0.39</v>
      </c>
      <c r="AK750" s="153" t="n">
        <f aca="false">IF(AA750&lt;&gt;"",AA750,0)</f>
        <v>3.6</v>
      </c>
      <c r="AL750" s="153" t="n">
        <f aca="false">IF(AND($N750="MND",$Q750="EMBOQUE"),$M750,IF(AND($N750="VCA",$Q750="LINEAR"),$M750,IF(AND($N750="VCA",$Q750="PREDIAL"),0,0)))</f>
        <v>41.6</v>
      </c>
      <c r="AM750" s="153" t="n">
        <f aca="false">IF(AND($N750="MND",$Q750="EMBOQUE"),$M750,IF(AND($N750="VCA",$Q750="LINEAR"),$M750,IF(AND($N750="VCA",$Q750="PREDIAL"),0,0)))</f>
        <v>41.6</v>
      </c>
      <c r="AN750" s="153" t="n">
        <f aca="false">ROUND(IF(AND($N750="VCA",$M750&lt;&gt;"",$Q750="LINEAR"),$M750/100,IF(AND($N750="MND",$M750&gt;100,$Q750="EMBOQUE"),$M750/100,0)),0)</f>
        <v>0</v>
      </c>
      <c r="AO750" s="153" t="n">
        <f aca="false">IF(AND($N750="MND",$Q750="EMBOQUE"),$AN750*2*2,IF(AND($N750="VCA",$Q750="LINEAR"),$M750*2,IF(AND($N750="VCA",$Q750="PREDIAL"),0,0)))</f>
        <v>83.2</v>
      </c>
      <c r="AP750" s="153" t="n">
        <f aca="false">IFERROR($M750*$AF750*$AG750,0)</f>
        <v>43.368</v>
      </c>
      <c r="AQ750" s="153" t="n">
        <f aca="false">IFERROR(IF(AND($N750="VCA",$AH750&gt;0),$M750*$AG750*$AH750,0),0)</f>
        <v>3.12</v>
      </c>
      <c r="AR750" s="153" t="n">
        <f aca="false">IFERROR(IF(AND($N750="VCA",$AJ750&gt;0),($M750*$AG750*$AJ750)-$AI750,0),0)</f>
        <v>11.9033522348616</v>
      </c>
      <c r="AS750" s="153" t="n">
        <f aca="false">IFERROR(IF(AND($N750="VCA",$AP750&gt;0),$AP750-$AI750-$AQ750-$AR750,0),0)</f>
        <v>28.08</v>
      </c>
      <c r="AT750" s="153" t="n">
        <f aca="false">IFERROR(IF($N750="VCA",INDEX(APOIO_REDES!$A:$W,MATCH($C750&amp;$I750&amp;$H750&amp;$N750&amp;$O750,APOIO_REDES!$W:$W,0),MATCH(AT$5,APOIO_REDES!$5:$5,0)),0)*$AP750,0)</f>
        <v>0.471856676272774</v>
      </c>
      <c r="AU750" s="153" t="n">
        <f aca="false">IFERROR(IF($N750="VCA",INDEX(APOIO_REDES!$A:$W,MATCH($C750&amp;$I750&amp;$H750&amp;$N750&amp;$O750,APOIO_REDES!$W:$W,0),MATCH(AU$5,APOIO_REDES!$5:$5,0)),0)*$AP750,0)</f>
        <v>0.376811962171941</v>
      </c>
      <c r="AV750" s="153" t="n">
        <f aca="false">IFERROR(IF($N750="VCA",INDEX(APOIO_REDES!$A:$W,MATCH($C750&amp;$I750&amp;$H750&amp;$N750&amp;$O750,APOIO_REDES!$W:$W,0),MATCH(AV$5,APOIO_REDES!$5:$5,0)),0)*$AP750,0)</f>
        <v>0.0521478174747126</v>
      </c>
      <c r="AW750" s="153" t="n">
        <f aca="false">IFERROR(IF($N750="VCA",INDEX(APOIO_REDES!$A:$W,MATCH($C750&amp;$I750&amp;$H750&amp;$N750&amp;$O750,APOIO_REDES!$W:$W,0),MATCH(AW$5,APOIO_REDES!$5:$5,0)),0)*$AP750,0)</f>
        <v>29.7681312316615</v>
      </c>
      <c r="AX750" s="153" t="n">
        <f aca="false">IFERROR(IF($N750="VCA",INDEX(APOIO_REDES!$A:$W,MATCH($C750&amp;$I750&amp;$H750&amp;$N750&amp;$O750,APOIO_REDES!$W:$W,0),MATCH(AX$5,APOIO_REDES!$5:$5,0)),0)*$AP750,0)</f>
        <v>4.11982456633505</v>
      </c>
      <c r="AY750" s="153" t="n">
        <f aca="false">IFERROR(IF($N750="VCA",INDEX(APOIO_REDES!$A:$W,MATCH($C750&amp;$I750&amp;$H750&amp;$N750&amp;$O750,APOIO_REDES!$W:$W,0),MATCH(AY$5,APOIO_REDES!$5:$5,0)),0)*$AP750,0)</f>
        <v>7.53623465013155</v>
      </c>
      <c r="AZ750" s="153" t="n">
        <f aca="false">IFERROR(IF($N750="VCA",INDEX(APOIO_REDES!$A:$W,MATCH($C750&amp;$I750&amp;$H750&amp;$N750&amp;$O750,APOIO_REDES!$W:$W,0),MATCH(AZ$5,APOIO_REDES!$5:$5,0)),0)*$AP750,0)</f>
        <v>1.04299309595244</v>
      </c>
      <c r="BA750" s="153" t="n">
        <f aca="false">IFERROR(IF(AND($N750="VCA",$Q750="LINEAR"),INDEX(APOIO_REDES!$A:$W,MATCH($C750&amp;$I750&amp;$H750&amp;$N750&amp;$O750,APOIO_REDES!$W:$W,0),MATCH(BA$5,APOIO_REDES!$5:$5,0)),IF(AND($N750="MND",$Q750="EMBOQUE"),INDEX(APOIO_REDES!$A:$W,MATCH($C750&amp;$I750&amp;$H750&amp;$N750&amp;$O750,APOIO_REDES!$W:$W,0),MATCH(BA$5,APOIO_REDES!$5:$5,0)),0))*$M750/10,0)</f>
        <v>3.35285506731886</v>
      </c>
      <c r="BB750" s="153" t="n">
        <f aca="false">IFERROR(IF($N750="VCA",INDEX(APOIO_REDES!$A:$W,MATCH($C750&amp;$I750&amp;$H750&amp;$N750&amp;$O750,APOIO_REDES!$W:$W,0),MATCH(BB$5,APOIO_REDES!$5:$5,0)),0)*($AI750+$AQ750+$AR750),0)</f>
        <v>15.121662034983</v>
      </c>
      <c r="BC750" s="153" t="n">
        <f aca="false">IFERROR(IF($N750="VCA",INDEX(APOIO_REDES!$A:$W,MATCH($C750&amp;$I750&amp;$H750&amp;$N750&amp;$O750,APOIO_REDES!$W:$W,0),MATCH(BC$5,APOIO_REDES!$5:$5,0)),0)*($AI750+$AQ750+$AR750),0)</f>
        <v>0.166337965017021</v>
      </c>
      <c r="BD750" s="153" t="n">
        <f aca="false">IF(AND($N750="VCA",$AF750&gt;=1.25,$AF750&lt;1.5),$M750*$AF750*2,0)</f>
        <v>115.648</v>
      </c>
      <c r="BE750" s="153" t="n">
        <f aca="false">IF(AND($N750="VCA",$AF750&gt;=1.5,$AF750&lt;3),$M750*$AF750*2,0)</f>
        <v>0</v>
      </c>
      <c r="BF750" s="153" t="n">
        <f aca="false">IF(AND($N750="VCA",$AF750&gt;=3),$M750*$AF750*2,0)</f>
        <v>0</v>
      </c>
      <c r="BG750" s="153" t="n">
        <f aca="false">($BB750+$BC750)*$AK750</f>
        <v>55.0368</v>
      </c>
      <c r="BH750" s="153" t="n">
        <f aca="false">IF(AND($M750&lt;&gt;"",$N750="VCA",$Q750="LINEAR"),($M750*2)/100,IF(AND($M750&lt;&gt;"",$N750="MND",$Q750="EMBOQUE"),($AN750*2)/100,0))</f>
        <v>0.832</v>
      </c>
      <c r="BI750" s="153" t="n">
        <f aca="false">IF(AND($M750&lt;&gt;"",$N750="VCA",$Q750="LINEAR"),$M750,IF(AND($M750&lt;&gt;"",$N750="MND",$Q750="EMBOQUE"),$AN750*2,0))</f>
        <v>41.6</v>
      </c>
      <c r="BJ750" s="153" t="n">
        <f aca="false">IF(AND($M750&lt;&gt;"",$N750="VCA",$Q750="LINEAR"),($M750*6.8)/100,IF(AND($M750&lt;&gt;"",$N750="MND",$Q750="EMBOQUE"),($AN750*2*6.8)/100,0))</f>
        <v>2.8288</v>
      </c>
      <c r="BK750" s="153" t="n">
        <f aca="false">IF(AND($M750&lt;&gt;"",$N750="VCA",$Q750="LINEAR"),($M750*2.5)/50,IF(AND($M750&lt;&gt;"",$N750="MND",$Q750="EMBOQUE"),($AN750*2*2.5)/50,0))</f>
        <v>2.08</v>
      </c>
      <c r="BL750" s="157" t="str">
        <f aca="false">K750&amp;J750</f>
        <v>Zona07REDES</v>
      </c>
      <c r="BM750" s="152" t="s">
        <v>4225</v>
      </c>
      <c r="BN750" s="152" t="s">
        <v>1560</v>
      </c>
      <c r="BO750" s="152" t="s">
        <v>4097</v>
      </c>
      <c r="BP750" s="152" t="s">
        <v>4404</v>
      </c>
      <c r="BQ750" s="152" t="s">
        <v>4383</v>
      </c>
      <c r="BR750" s="152" t="s">
        <v>4405</v>
      </c>
      <c r="BS750" s="152" t="n">
        <v>204019.754</v>
      </c>
      <c r="BT750" s="152" t="n">
        <v>8236686.592</v>
      </c>
      <c r="BU750" s="152" t="n">
        <v>203991.783</v>
      </c>
      <c r="BV750" s="152" t="n">
        <v>8236717.371</v>
      </c>
      <c r="BW750" s="152" t="n">
        <v>-15.9313071</v>
      </c>
      <c r="BX750" s="152" t="n">
        <v>-47.7646607</v>
      </c>
      <c r="BY750" s="152" t="s">
        <v>4404</v>
      </c>
    </row>
    <row r="751" customFormat="false" ht="13.8" hidden="false" customHeight="false" outlineLevel="0" collapsed="false">
      <c r="A751" s="149" t="n">
        <f aca="false">IF(C751&lt;&gt;"",ROW(A746),"")</f>
        <v>746</v>
      </c>
      <c r="B751" s="150" t="str">
        <f aca="false">HYPERLINK("https://www.google.com/maps/dir/-15.917302,-47.760003/-15.9311976,-47.7643934/data=!4m3!4m2!3e0!5i1")</f>
        <v>https://www.google.com/maps/dir/-15.917302,-47.760003/-15.9311976,-47.7643934/data=!4m3!4m2!3e0!5i1</v>
      </c>
      <c r="C751" s="151" t="s">
        <v>117</v>
      </c>
      <c r="D751" s="152" t="s">
        <v>112</v>
      </c>
      <c r="E751" s="152" t="s">
        <v>113</v>
      </c>
      <c r="F751" s="152" t="s">
        <v>117</v>
      </c>
      <c r="G751" s="152" t="s">
        <v>782</v>
      </c>
      <c r="H751" s="152" t="n">
        <v>63</v>
      </c>
      <c r="I751" s="152" t="s">
        <v>115</v>
      </c>
      <c r="J751" s="152" t="s">
        <v>6</v>
      </c>
      <c r="K751" s="152" t="s">
        <v>4221</v>
      </c>
      <c r="L751" s="152" t="s">
        <v>120</v>
      </c>
      <c r="M751" s="153" t="n">
        <f aca="false">43.93</f>
        <v>43.93</v>
      </c>
      <c r="N751" s="152" t="s">
        <v>1548</v>
      </c>
      <c r="O751" s="152" t="s">
        <v>1549</v>
      </c>
      <c r="P751" s="152" t="s">
        <v>1550</v>
      </c>
      <c r="Q751" s="152" t="s">
        <v>1551</v>
      </c>
      <c r="R751" s="154" t="s">
        <v>4406</v>
      </c>
      <c r="S751" s="154" t="s">
        <v>1553</v>
      </c>
      <c r="T751" s="155" t="s">
        <v>4095</v>
      </c>
      <c r="U751" s="152" t="str">
        <f aca="false">RIGHT(T751,7)</f>
        <v>016/037</v>
      </c>
      <c r="V751" s="152" t="s">
        <v>1555</v>
      </c>
      <c r="W751" s="156" t="n">
        <v>45882</v>
      </c>
      <c r="X751" s="152" t="s">
        <v>1594</v>
      </c>
      <c r="Y751" s="152"/>
      <c r="Z751" s="152" t="s">
        <v>1557</v>
      </c>
      <c r="AA751" s="153" t="n">
        <v>3.6</v>
      </c>
      <c r="AB751" s="151" t="s">
        <v>4407</v>
      </c>
      <c r="AC751" s="151" t="s">
        <v>186</v>
      </c>
      <c r="AD751" s="151" t="str">
        <f aca="false">CONCATENATE($C751,$I751,$H751,$N751,$J751,$K751)</f>
        <v>TUBO PEADPEAD63VCAREDESZona07</v>
      </c>
      <c r="AE751" s="153" t="n">
        <f aca="false">IFERROR(INDEX(APOIO_REDES!$A:$W,MATCH($C751&amp;$I751&amp;$H751&amp;$N751&amp;$O751,APOIO_REDES!$W:$W,0),MATCH(AE$5,APOIO_REDES!$5:$5,0)),0)</f>
        <v>1.2</v>
      </c>
      <c r="AF751" s="153" t="n">
        <f aca="false">IFERROR(INDEX(APOIO_REDES!$A:$W,MATCH($C751&amp;$I751&amp;$H751&amp;$N751&amp;$O751,APOIO_REDES!$W:$W,0),MATCH(AF$5,APOIO_REDES!$5:$5,0)),0)</f>
        <v>1.363</v>
      </c>
      <c r="AG751" s="153" t="n">
        <f aca="false">IFERROR(INDEX(APOIO_REDES!$A:$W,MATCH($C751&amp;$I751&amp;$H751&amp;$N751&amp;$O751,APOIO_REDES!$W:$W,0),MATCH(AG$5,APOIO_REDES!$5:$5,0)),0)</f>
        <v>0.65</v>
      </c>
      <c r="AH751" s="153" t="n">
        <f aca="false">IFERROR(INDEX(APOIO_REDES!$A:$W,MATCH($C751&amp;$I751&amp;$H751&amp;$N751&amp;$O751,APOIO_REDES!$W:$W,0),MATCH(AH$5,APOIO_REDES!$5:$5,0)),0)</f>
        <v>0.1</v>
      </c>
      <c r="AI751" s="153" t="n">
        <f aca="false">IFERROR(IF($H751&lt;&gt;"",(((($H751/1000)/2)^2)*PI()*$M751),0),0)</f>
        <v>0.13694058649134</v>
      </c>
      <c r="AJ751" s="153" t="n">
        <f aca="false">IFERROR(IF(AND($H751&lt;&gt;"",$I751="FoFo",OR($N751="MND",$N751="VCA"),$Q751="LINEAR"),0,IF(AND($H751&lt;&gt;"",$I751="PEAD",$N751="VCA",$Q751="LINEAR"),($H751/1000)+0.3,IF(AND($H751&lt;&gt;"",$I751="PEAD",$N751="MND",$Q751="EMBOQUE"),0,IF(AND($H751&lt;&gt;"",$I751="PVC",$N751="VCA",$Q751="LINEAR"),($H751/1000)+0.2,IF(AND($H751&lt;&gt;"",$I751="PVC",$N751="MND",$Q751="EMBOQUE"),0,IF(AND($H751&lt;&gt;"",$I751="PEAD",$N751="VCA",$Q751="PREDIAL"),0,0)))))),0)</f>
        <v>0.363</v>
      </c>
      <c r="AK751" s="153" t="n">
        <f aca="false">IF(AA751&lt;&gt;"",AA751,0)</f>
        <v>3.6</v>
      </c>
      <c r="AL751" s="153" t="n">
        <f aca="false">IF(AND($N751="MND",$Q751="EMBOQUE"),$M751,IF(AND($N751="VCA",$Q751="LINEAR"),$M751,IF(AND($N751="VCA",$Q751="PREDIAL"),0,0)))</f>
        <v>43.93</v>
      </c>
      <c r="AM751" s="153" t="n">
        <f aca="false">IF(AND($N751="MND",$Q751="EMBOQUE"),$M751,IF(AND($N751="VCA",$Q751="LINEAR"),$M751,IF(AND($N751="VCA",$Q751="PREDIAL"),0,0)))</f>
        <v>43.93</v>
      </c>
      <c r="AN751" s="153" t="n">
        <f aca="false">ROUND(IF(AND($N751="VCA",$M751&lt;&gt;"",$Q751="LINEAR"),$M751/100,IF(AND($N751="MND",$M751&gt;100,$Q751="EMBOQUE"),$M751/100,0)),0)</f>
        <v>0</v>
      </c>
      <c r="AO751" s="153" t="n">
        <f aca="false">IF(AND($N751="MND",$Q751="EMBOQUE"),$AN751*2*2,IF(AND($N751="VCA",$Q751="LINEAR"),$M751*2,IF(AND($N751="VCA",$Q751="PREDIAL"),0,0)))</f>
        <v>87.86</v>
      </c>
      <c r="AP751" s="153" t="n">
        <f aca="false">IFERROR($M751*$AF751*$AG751,0)</f>
        <v>38.9197835</v>
      </c>
      <c r="AQ751" s="153" t="n">
        <f aca="false">IFERROR(IF(AND($N751="VCA",$AH751&gt;0),$M751*$AG751*$AH751,0),0)</f>
        <v>2.85545</v>
      </c>
      <c r="AR751" s="153" t="n">
        <f aca="false">IFERROR(IF(AND($N751="VCA",$AJ751&gt;0),($M751*$AG751*$AJ751)-$AI751,0),0)</f>
        <v>10.2283429135087</v>
      </c>
      <c r="AS751" s="153" t="n">
        <f aca="false">IFERROR(IF(AND($N751="VCA",$AP751&gt;0),$AP751-$AI751-$AQ751-$AR751,0),0)</f>
        <v>25.69905</v>
      </c>
      <c r="AT751" s="153" t="n">
        <f aca="false">IFERROR(IF($N751="VCA",INDEX(APOIO_REDES!$A:$W,MATCH($C751&amp;$I751&amp;$H751&amp;$N751&amp;$O751,APOIO_REDES!$W:$W,0),MATCH(AT$5,APOIO_REDES!$5:$5,0)),0)*$AP751,0)</f>
        <v>0.423458764147896</v>
      </c>
      <c r="AU751" s="153" t="n">
        <f aca="false">IFERROR(IF($N751="VCA",INDEX(APOIO_REDES!$A:$W,MATCH($C751&amp;$I751&amp;$H751&amp;$N751&amp;$O751,APOIO_REDES!$W:$W,0),MATCH(AU$5,APOIO_REDES!$5:$5,0)),0)*$AP751,0)</f>
        <v>0.338162700330708</v>
      </c>
      <c r="AV751" s="153" t="n">
        <f aca="false">IFERROR(IF($N751="VCA",INDEX(APOIO_REDES!$A:$W,MATCH($C751&amp;$I751&amp;$H751&amp;$N751&amp;$O751,APOIO_REDES!$W:$W,0),MATCH(AV$5,APOIO_REDES!$5:$5,0)),0)*$AP751,0)</f>
        <v>0.0467990630444874</v>
      </c>
      <c r="AW751" s="153" t="n">
        <f aca="false">IFERROR(IF($N751="VCA",INDEX(APOIO_REDES!$A:$W,MATCH($C751&amp;$I751&amp;$H751&amp;$N751&amp;$O751,APOIO_REDES!$W:$W,0),MATCH(AW$5,APOIO_REDES!$5:$5,0)),0)*$AP751,0)</f>
        <v>26.7148409595982</v>
      </c>
      <c r="AX751" s="153" t="n">
        <f aca="false">IFERROR(IF($N751="VCA",INDEX(APOIO_REDES!$A:$W,MATCH($C751&amp;$I751&amp;$H751&amp;$N751&amp;$O751,APOIO_REDES!$W:$W,0),MATCH(AX$5,APOIO_REDES!$5:$5,0)),0)*$AP751,0)</f>
        <v>3.69725789014345</v>
      </c>
      <c r="AY751" s="153" t="n">
        <f aca="false">IFERROR(IF($N751="VCA",INDEX(APOIO_REDES!$A:$W,MATCH($C751&amp;$I751&amp;$H751&amp;$N751&amp;$O751,APOIO_REDES!$W:$W,0),MATCH(AY$5,APOIO_REDES!$5:$5,0)),0)*$AP751,0)</f>
        <v>6.76324988443826</v>
      </c>
      <c r="AZ751" s="153" t="n">
        <f aca="false">IFERROR(IF($N751="VCA",INDEX(APOIO_REDES!$A:$W,MATCH($C751&amp;$I751&amp;$H751&amp;$N751&amp;$O751,APOIO_REDES!$W:$W,0),MATCH(AZ$5,APOIO_REDES!$5:$5,0)),0)*$AP751,0)</f>
        <v>0.936014238296985</v>
      </c>
      <c r="BA751" s="153" t="n">
        <f aca="false">IFERROR(IF(AND($N751="VCA",$Q751="LINEAR"),INDEX(APOIO_REDES!$A:$W,MATCH($C751&amp;$I751&amp;$H751&amp;$N751&amp;$O751,APOIO_REDES!$W:$W,0),MATCH(BA$5,APOIO_REDES!$5:$5,0)),IF(AND($N751="MND",$Q751="EMBOQUE"),INDEX(APOIO_REDES!$A:$W,MATCH($C751&amp;$I751&amp;$H751&amp;$N751&amp;$O751,APOIO_REDES!$W:$W,0),MATCH(BA$5,APOIO_REDES!$5:$5,0)),0))*$M751/10,0)</f>
        <v>3.54064719007975</v>
      </c>
      <c r="BB751" s="153" t="n">
        <f aca="false">IFERROR(IF($N751="VCA",INDEX(APOIO_REDES!$A:$W,MATCH($C751&amp;$I751&amp;$H751&amp;$N751&amp;$O751,APOIO_REDES!$W:$W,0),MATCH(BB$5,APOIO_REDES!$5:$5,0)),0)*($AI751+$AQ751+$AR751),0)</f>
        <v>13.0768880063826</v>
      </c>
      <c r="BC751" s="153" t="n">
        <f aca="false">IFERROR(IF($N751="VCA",INDEX(APOIO_REDES!$A:$W,MATCH($C751&amp;$I751&amp;$H751&amp;$N751&amp;$O751,APOIO_REDES!$W:$W,0),MATCH(BC$5,APOIO_REDES!$5:$5,0)),0)*($AI751+$AQ751+$AR751),0)</f>
        <v>0.14384549361737</v>
      </c>
      <c r="BD751" s="153" t="n">
        <f aca="false">IF(AND($N751="VCA",$AF751&gt;=1.25,$AF751&lt;1.5),$M751*$AF751*2,0)</f>
        <v>119.75318</v>
      </c>
      <c r="BE751" s="153" t="n">
        <f aca="false">IF(AND($N751="VCA",$AF751&gt;=1.5,$AF751&lt;3),$M751*$AF751*2,0)</f>
        <v>0</v>
      </c>
      <c r="BF751" s="153" t="n">
        <f aca="false">IF(AND($N751="VCA",$AF751&gt;=3),$M751*$AF751*2,0)</f>
        <v>0</v>
      </c>
      <c r="BG751" s="153" t="n">
        <f aca="false">($BB751+$BC751)*$AK751</f>
        <v>47.5946406</v>
      </c>
      <c r="BH751" s="153" t="n">
        <f aca="false">IF(AND($M751&lt;&gt;"",$N751="VCA",$Q751="LINEAR"),($M751*2)/100,IF(AND($M751&lt;&gt;"",$N751="MND",$Q751="EMBOQUE"),($AN751*2)/100,0))</f>
        <v>0.8786</v>
      </c>
      <c r="BI751" s="153" t="n">
        <f aca="false">IF(AND($M751&lt;&gt;"",$N751="VCA",$Q751="LINEAR"),$M751,IF(AND($M751&lt;&gt;"",$N751="MND",$Q751="EMBOQUE"),$AN751*2,0))</f>
        <v>43.93</v>
      </c>
      <c r="BJ751" s="153" t="n">
        <f aca="false">IF(AND($M751&lt;&gt;"",$N751="VCA",$Q751="LINEAR"),($M751*6.8)/100,IF(AND($M751&lt;&gt;"",$N751="MND",$Q751="EMBOQUE"),($AN751*2*6.8)/100,0))</f>
        <v>2.98724</v>
      </c>
      <c r="BK751" s="153" t="n">
        <f aca="false">IF(AND($M751&lt;&gt;"",$N751="VCA",$Q751="LINEAR"),($M751*2.5)/50,IF(AND($M751&lt;&gt;"",$N751="MND",$Q751="EMBOQUE"),($AN751*2*2.5)/50,0))</f>
        <v>2.1965</v>
      </c>
      <c r="BL751" s="157" t="str">
        <f aca="false">K751&amp;J751</f>
        <v>Zona07REDES</v>
      </c>
      <c r="BM751" s="152" t="s">
        <v>4225</v>
      </c>
      <c r="BN751" s="152" t="s">
        <v>1560</v>
      </c>
      <c r="BO751" s="152" t="s">
        <v>4097</v>
      </c>
      <c r="BP751" s="152" t="s">
        <v>4394</v>
      </c>
      <c r="BQ751" s="152" t="s">
        <v>4387</v>
      </c>
      <c r="BR751" s="152" t="s">
        <v>4395</v>
      </c>
      <c r="BS751" s="152" t="n">
        <v>204034.012</v>
      </c>
      <c r="BT751" s="152" t="n">
        <v>8236714.27</v>
      </c>
      <c r="BU751" s="152" t="n">
        <v>204063.787</v>
      </c>
      <c r="BV751" s="152" t="n">
        <v>8236681.972</v>
      </c>
      <c r="BW751" s="152" t="n">
        <v>-15.9313452</v>
      </c>
      <c r="BX751" s="152" t="n">
        <v>-47.7642565</v>
      </c>
      <c r="BY751" s="152" t="s">
        <v>4394</v>
      </c>
    </row>
    <row r="752" customFormat="false" ht="13.8" hidden="false" customHeight="false" outlineLevel="0" collapsed="false">
      <c r="A752" s="149" t="n">
        <f aca="false">IF(C752&lt;&gt;"",ROW(A747),"")</f>
        <v>747</v>
      </c>
      <c r="B752" s="150" t="str">
        <f aca="false">HYPERLINK("https://www.google.com/maps/dir/-15.917302,-47.760003/-15.9313605,-47.7628309/data=!4m3!4m2!3e0!5i2")</f>
        <v>https://www.google.com/maps/dir/-15.917302,-47.760003/-15.9313605,-47.7628309/data=!4m3!4m2!3e0!5i2</v>
      </c>
      <c r="C752" s="151" t="s">
        <v>117</v>
      </c>
      <c r="D752" s="152" t="s">
        <v>112</v>
      </c>
      <c r="E752" s="152" t="s">
        <v>113</v>
      </c>
      <c r="F752" s="152" t="s">
        <v>117</v>
      </c>
      <c r="G752" s="152" t="s">
        <v>114</v>
      </c>
      <c r="H752" s="152" t="n">
        <v>160</v>
      </c>
      <c r="I752" s="152" t="s">
        <v>115</v>
      </c>
      <c r="J752" s="152" t="s">
        <v>6</v>
      </c>
      <c r="K752" s="152" t="s">
        <v>4221</v>
      </c>
      <c r="L752" s="152" t="s">
        <v>120</v>
      </c>
      <c r="M752" s="153" t="n">
        <f aca="false">17.57</f>
        <v>17.57</v>
      </c>
      <c r="N752" s="152" t="s">
        <v>1548</v>
      </c>
      <c r="O752" s="152" t="s">
        <v>1549</v>
      </c>
      <c r="P752" s="152" t="s">
        <v>1550</v>
      </c>
      <c r="Q752" s="152" t="s">
        <v>1551</v>
      </c>
      <c r="R752" s="154" t="s">
        <v>4408</v>
      </c>
      <c r="S752" s="154" t="s">
        <v>1593</v>
      </c>
      <c r="T752" s="155" t="s">
        <v>4095</v>
      </c>
      <c r="U752" s="152" t="str">
        <f aca="false">RIGHT(T752,7)</f>
        <v>016/037</v>
      </c>
      <c r="V752" s="152" t="s">
        <v>1555</v>
      </c>
      <c r="W752" s="156" t="n">
        <v>45882</v>
      </c>
      <c r="X752" s="152" t="s">
        <v>3938</v>
      </c>
      <c r="Y752" s="152" t="s">
        <v>2117</v>
      </c>
      <c r="Z752" s="152" t="s">
        <v>1557</v>
      </c>
      <c r="AA752" s="153" t="n">
        <v>3.4</v>
      </c>
      <c r="AB752" s="151" t="s">
        <v>4409</v>
      </c>
      <c r="AC752" s="151" t="s">
        <v>505</v>
      </c>
      <c r="AD752" s="151" t="str">
        <f aca="false">CONCATENATE($C752,$I752,$H752,$N752,$J752,$K752)</f>
        <v>TUBO PEADPEAD160VCAREDESZona07</v>
      </c>
      <c r="AE752" s="153" t="n">
        <f aca="false">IFERROR(INDEX(APOIO_REDES!$A:$W,MATCH($C752&amp;$I752&amp;$H752&amp;$N752&amp;$O752,APOIO_REDES!$W:$W,0),MATCH(AE$5,APOIO_REDES!$5:$5,0)),0)</f>
        <v>1.2</v>
      </c>
      <c r="AF752" s="153" t="n">
        <f aca="false">IFERROR(INDEX(APOIO_REDES!$A:$W,MATCH($C752&amp;$I752&amp;$H752&amp;$N752&amp;$O752,APOIO_REDES!$W:$W,0),MATCH(AF$5,APOIO_REDES!$5:$5,0)),0)</f>
        <v>1.46</v>
      </c>
      <c r="AG752" s="153" t="n">
        <f aca="false">IFERROR(INDEX(APOIO_REDES!$A:$W,MATCH($C752&amp;$I752&amp;$H752&amp;$N752&amp;$O752,APOIO_REDES!$W:$W,0),MATCH(AG$5,APOIO_REDES!$5:$5,0)),0)</f>
        <v>0.75</v>
      </c>
      <c r="AH752" s="153" t="n">
        <f aca="false">IFERROR(INDEX(APOIO_REDES!$A:$W,MATCH($C752&amp;$I752&amp;$H752&amp;$N752&amp;$O752,APOIO_REDES!$W:$W,0),MATCH(AH$5,APOIO_REDES!$5:$5,0)),0)</f>
        <v>0.1</v>
      </c>
      <c r="AI752" s="153" t="n">
        <f aca="false">IFERROR(IF($H752&lt;&gt;"",(((($H752/1000)/2)^2)*PI()*$M752),0),0)</f>
        <v>0.353265810710865</v>
      </c>
      <c r="AJ752" s="153" t="n">
        <f aca="false">IFERROR(IF(AND($H752&lt;&gt;"",$I752="FoFo",OR($N752="MND",$N752="VCA"),$Q752="LINEAR"),0,IF(AND($H752&lt;&gt;"",$I752="PEAD",$N752="VCA",$Q752="LINEAR"),($H752/1000)+0.3,IF(AND($H752&lt;&gt;"",$I752="PEAD",$N752="MND",$Q752="EMBOQUE"),0,IF(AND($H752&lt;&gt;"",$I752="PVC",$N752="VCA",$Q752="LINEAR"),($H752/1000)+0.2,IF(AND($H752&lt;&gt;"",$I752="PVC",$N752="MND",$Q752="EMBOQUE"),0,IF(AND($H752&lt;&gt;"",$I752="PEAD",$N752="VCA",$Q752="PREDIAL"),0,0)))))),0)</f>
        <v>0.46</v>
      </c>
      <c r="AK752" s="153" t="n">
        <f aca="false">IF(AA752&lt;&gt;"",AA752,0)</f>
        <v>3.4</v>
      </c>
      <c r="AL752" s="153" t="n">
        <f aca="false">IF(AND($N752="MND",$Q752="EMBOQUE"),$M752,IF(AND($N752="VCA",$Q752="LINEAR"),$M752,IF(AND($N752="VCA",$Q752="PREDIAL"),0,0)))</f>
        <v>17.57</v>
      </c>
      <c r="AM752" s="153" t="n">
        <f aca="false">IF(AND($N752="MND",$Q752="EMBOQUE"),$M752,IF(AND($N752="VCA",$Q752="LINEAR"),$M752,IF(AND($N752="VCA",$Q752="PREDIAL"),0,0)))</f>
        <v>17.57</v>
      </c>
      <c r="AN752" s="153" t="n">
        <f aca="false">ROUND(IF(AND($N752="VCA",$M752&lt;&gt;"",$Q752="LINEAR"),$M752/100,IF(AND($N752="MND",$M752&gt;100,$Q752="EMBOQUE"),$M752/100,0)),0)</f>
        <v>0</v>
      </c>
      <c r="AO752" s="153" t="n">
        <f aca="false">IF(AND($N752="MND",$Q752="EMBOQUE"),$AN752*2*2,IF(AND($N752="VCA",$Q752="LINEAR"),$M752*2,IF(AND($N752="VCA",$Q752="PREDIAL"),0,0)))</f>
        <v>35.14</v>
      </c>
      <c r="AP752" s="153" t="n">
        <f aca="false">IFERROR($M752*$AF752*$AG752,0)</f>
        <v>19.23915</v>
      </c>
      <c r="AQ752" s="153" t="n">
        <f aca="false">IFERROR(IF(AND($N752="VCA",$AH752&gt;0),$M752*$AG752*$AH752,0),0)</f>
        <v>1.31775</v>
      </c>
      <c r="AR752" s="153" t="n">
        <f aca="false">IFERROR(IF(AND($N752="VCA",$AJ752&gt;0),($M752*$AG752*$AJ752)-$AI752,0),0)</f>
        <v>5.70838418928913</v>
      </c>
      <c r="AS752" s="153" t="n">
        <f aca="false">IFERROR(IF(AND($N752="VCA",$AP752&gt;0),$AP752-$AI752-$AQ752-$AR752,0),0)</f>
        <v>11.85975</v>
      </c>
      <c r="AT752" s="153" t="n">
        <f aca="false">IFERROR(IF($N752="VCA",INDEX(APOIO_REDES!$A:$W,MATCH($C752&amp;$I752&amp;$H752&amp;$N752&amp;$O752,APOIO_REDES!$W:$W,0),MATCH(AT$5,APOIO_REDES!$5:$5,0)),0)*$AP752,0)</f>
        <v>0.209327646497725</v>
      </c>
      <c r="AU752" s="153" t="n">
        <f aca="false">IFERROR(IF($N752="VCA",INDEX(APOIO_REDES!$A:$W,MATCH($C752&amp;$I752&amp;$H752&amp;$N752&amp;$O752,APOIO_REDES!$W:$W,0),MATCH(AU$5,APOIO_REDES!$5:$5,0)),0)*$AP752,0)</f>
        <v>0.167163389181431</v>
      </c>
      <c r="AV752" s="153" t="n">
        <f aca="false">IFERROR(IF($N752="VCA",INDEX(APOIO_REDES!$A:$W,MATCH($C752&amp;$I752&amp;$H752&amp;$N752&amp;$O752,APOIO_REDES!$W:$W,0),MATCH(AV$5,APOIO_REDES!$5:$5,0)),0)*$AP752,0)</f>
        <v>0.0231341007786529</v>
      </c>
      <c r="AW752" s="153" t="n">
        <f aca="false">IFERROR(IF($N752="VCA",INDEX(APOIO_REDES!$A:$W,MATCH($C752&amp;$I752&amp;$H752&amp;$N752&amp;$O752,APOIO_REDES!$W:$W,0),MATCH(AW$5,APOIO_REDES!$5:$5,0)),0)*$AP752,0)</f>
        <v>13.2059016322086</v>
      </c>
      <c r="AX752" s="153" t="n">
        <f aca="false">IFERROR(IF($N752="VCA",INDEX(APOIO_REDES!$A:$W,MATCH($C752&amp;$I752&amp;$H752&amp;$N752&amp;$O752,APOIO_REDES!$W:$W,0),MATCH(AX$5,APOIO_REDES!$5:$5,0)),0)*$AP752,0)</f>
        <v>1.8276591681748</v>
      </c>
      <c r="AY752" s="153" t="n">
        <f aca="false">IFERROR(IF($N752="VCA",INDEX(APOIO_REDES!$A:$W,MATCH($C752&amp;$I752&amp;$H752&amp;$N752&amp;$O752,APOIO_REDES!$W:$W,0),MATCH(AY$5,APOIO_REDES!$5:$5,0)),0)*$AP752,0)</f>
        <v>3.34326574592046</v>
      </c>
      <c r="AZ752" s="153" t="n">
        <f aca="false">IFERROR(IF($N752="VCA",INDEX(APOIO_REDES!$A:$W,MATCH($C752&amp;$I752&amp;$H752&amp;$N752&amp;$O752,APOIO_REDES!$W:$W,0),MATCH(AZ$5,APOIO_REDES!$5:$5,0)),0)*$AP752,0)</f>
        <v>0.462698317238364</v>
      </c>
      <c r="BA752" s="153" t="n">
        <f aca="false">IFERROR(IF(AND($N752="VCA",$Q752="LINEAR"),INDEX(APOIO_REDES!$A:$W,MATCH($C752&amp;$I752&amp;$H752&amp;$N752&amp;$O752,APOIO_REDES!$W:$W,0),MATCH(BA$5,APOIO_REDES!$5:$5,0)),IF(AND($N752="MND",$Q752="EMBOQUE"),INDEX(APOIO_REDES!$A:$W,MATCH($C752&amp;$I752&amp;$H752&amp;$N752&amp;$O752,APOIO_REDES!$W:$W,0),MATCH(BA$5,APOIO_REDES!$5:$5,0)),0))*$M752/10,0)</f>
        <v>1.41609768107674</v>
      </c>
      <c r="BB752" s="153" t="n">
        <f aca="false">IFERROR(IF($N752="VCA",INDEX(APOIO_REDES!$A:$W,MATCH($C752&amp;$I752&amp;$H752&amp;$N752&amp;$O752,APOIO_REDES!$W:$W,0),MATCH(BB$5,APOIO_REDES!$5:$5,0)),0)*($AI752+$AQ752+$AR752),0)</f>
        <v>7.29910994380909</v>
      </c>
      <c r="BC752" s="153" t="n">
        <f aca="false">IFERROR(IF($N752="VCA",INDEX(APOIO_REDES!$A:$W,MATCH($C752&amp;$I752&amp;$H752&amp;$N752&amp;$O752,APOIO_REDES!$W:$W,0),MATCH(BC$5,APOIO_REDES!$5:$5,0)),0)*($AI752+$AQ752+$AR752),0)</f>
        <v>0.0802900561909082</v>
      </c>
      <c r="BD752" s="153" t="n">
        <f aca="false">IF(AND($N752="VCA",$AF752&gt;=1.25,$AF752&lt;1.5),$M752*$AF752*2,0)</f>
        <v>51.3044</v>
      </c>
      <c r="BE752" s="153" t="n">
        <f aca="false">IF(AND($N752="VCA",$AF752&gt;=1.5,$AF752&lt;3),$M752*$AF752*2,0)</f>
        <v>0</v>
      </c>
      <c r="BF752" s="153" t="n">
        <f aca="false">IF(AND($N752="VCA",$AF752&gt;=3),$M752*$AF752*2,0)</f>
        <v>0</v>
      </c>
      <c r="BG752" s="153" t="n">
        <f aca="false">($BB752+$BC752)*$AK752</f>
        <v>25.08996</v>
      </c>
      <c r="BH752" s="153" t="n">
        <f aca="false">IF(AND($M752&lt;&gt;"",$N752="VCA",$Q752="LINEAR"),($M752*2)/100,IF(AND($M752&lt;&gt;"",$N752="MND",$Q752="EMBOQUE"),($AN752*2)/100,0))</f>
        <v>0.3514</v>
      </c>
      <c r="BI752" s="153" t="n">
        <f aca="false">IF(AND($M752&lt;&gt;"",$N752="VCA",$Q752="LINEAR"),$M752,IF(AND($M752&lt;&gt;"",$N752="MND",$Q752="EMBOQUE"),$AN752*2,0))</f>
        <v>17.57</v>
      </c>
      <c r="BJ752" s="153" t="n">
        <f aca="false">IF(AND($M752&lt;&gt;"",$N752="VCA",$Q752="LINEAR"),($M752*6.8)/100,IF(AND($M752&lt;&gt;"",$N752="MND",$Q752="EMBOQUE"),($AN752*2*6.8)/100,0))</f>
        <v>1.19476</v>
      </c>
      <c r="BK752" s="153" t="n">
        <f aca="false">IF(AND($M752&lt;&gt;"",$N752="VCA",$Q752="LINEAR"),($M752*2.5)/50,IF(AND($M752&lt;&gt;"",$N752="MND",$Q752="EMBOQUE"),($AN752*2*2.5)/50,0))</f>
        <v>0.8785</v>
      </c>
      <c r="BL752" s="157" t="str">
        <f aca="false">K752&amp;J752</f>
        <v>Zona07REDES</v>
      </c>
      <c r="BM752" s="152" t="s">
        <v>4225</v>
      </c>
      <c r="BN752" s="152" t="s">
        <v>1560</v>
      </c>
      <c r="BO752" s="152" t="s">
        <v>4097</v>
      </c>
      <c r="BP752" s="152" t="s">
        <v>4401</v>
      </c>
      <c r="BQ752" s="152" t="s">
        <v>4410</v>
      </c>
      <c r="BR752" s="152" t="s">
        <v>4411</v>
      </c>
      <c r="BS752" s="152" t="n">
        <v>204201.629</v>
      </c>
      <c r="BT752" s="152" t="n">
        <v>8236697.98</v>
      </c>
      <c r="BU752" s="152" t="n">
        <v>204219.181</v>
      </c>
      <c r="BV752" s="152" t="n">
        <v>8236697.2</v>
      </c>
      <c r="BW752" s="152" t="n">
        <v>-15.9313693</v>
      </c>
      <c r="BX752" s="152" t="n">
        <v>-47.7627493</v>
      </c>
      <c r="BY752" s="152" t="s">
        <v>4401</v>
      </c>
    </row>
    <row r="753" customFormat="false" ht="13.8" hidden="false" customHeight="false" outlineLevel="0" collapsed="false">
      <c r="A753" s="149" t="n">
        <f aca="false">IF(C753&lt;&gt;"",ROW(A748),"")</f>
        <v>748</v>
      </c>
      <c r="B753" s="150" t="str">
        <f aca="false">HYPERLINK("https://www.google.com/maps/dir/-15.917302,-47.760003/-15.9313922,-47.7613642/data=!4m3!4m2!3e0!5i1")</f>
        <v>https://www.google.com/maps/dir/-15.917302,-47.760003/-15.9313922,-47.7613642/data=!4m3!4m2!3e0!5i1</v>
      </c>
      <c r="C753" s="151" t="s">
        <v>117</v>
      </c>
      <c r="D753" s="152" t="s">
        <v>112</v>
      </c>
      <c r="E753" s="152" t="s">
        <v>113</v>
      </c>
      <c r="F753" s="152" t="s">
        <v>117</v>
      </c>
      <c r="G753" s="152" t="s">
        <v>114</v>
      </c>
      <c r="H753" s="152" t="n">
        <v>160</v>
      </c>
      <c r="I753" s="152" t="s">
        <v>115</v>
      </c>
      <c r="J753" s="152" t="s">
        <v>6</v>
      </c>
      <c r="K753" s="152" t="s">
        <v>4221</v>
      </c>
      <c r="L753" s="152" t="s">
        <v>120</v>
      </c>
      <c r="M753" s="153" t="n">
        <f aca="false">59.78</f>
        <v>59.78</v>
      </c>
      <c r="N753" s="152" t="s">
        <v>1548</v>
      </c>
      <c r="O753" s="152" t="s">
        <v>1549</v>
      </c>
      <c r="P753" s="152" t="s">
        <v>1550</v>
      </c>
      <c r="Q753" s="152" t="s">
        <v>1551</v>
      </c>
      <c r="R753" s="154" t="s">
        <v>4412</v>
      </c>
      <c r="S753" s="154" t="s">
        <v>1593</v>
      </c>
      <c r="T753" s="155" t="s">
        <v>4095</v>
      </c>
      <c r="U753" s="152" t="str">
        <f aca="false">RIGHT(T753,7)</f>
        <v>016/037</v>
      </c>
      <c r="V753" s="152" t="s">
        <v>1555</v>
      </c>
      <c r="W753" s="156" t="n">
        <v>45882</v>
      </c>
      <c r="X753" s="152" t="s">
        <v>3938</v>
      </c>
      <c r="Y753" s="152" t="s">
        <v>2117</v>
      </c>
      <c r="Z753" s="152" t="s">
        <v>1557</v>
      </c>
      <c r="AA753" s="153" t="n">
        <v>3.2</v>
      </c>
      <c r="AB753" s="151" t="s">
        <v>4413</v>
      </c>
      <c r="AC753" s="151" t="s">
        <v>505</v>
      </c>
      <c r="AD753" s="151" t="str">
        <f aca="false">CONCATENATE($C753,$I753,$H753,$N753,$J753,$K753)</f>
        <v>TUBO PEADPEAD160VCAREDESZona07</v>
      </c>
      <c r="AE753" s="153" t="n">
        <f aca="false">IFERROR(INDEX(APOIO_REDES!$A:$W,MATCH($C753&amp;$I753&amp;$H753&amp;$N753&amp;$O753,APOIO_REDES!$W:$W,0),MATCH(AE$5,APOIO_REDES!$5:$5,0)),0)</f>
        <v>1.2</v>
      </c>
      <c r="AF753" s="153" t="n">
        <f aca="false">IFERROR(INDEX(APOIO_REDES!$A:$W,MATCH($C753&amp;$I753&amp;$H753&amp;$N753&amp;$O753,APOIO_REDES!$W:$W,0),MATCH(AF$5,APOIO_REDES!$5:$5,0)),0)</f>
        <v>1.46</v>
      </c>
      <c r="AG753" s="153" t="n">
        <f aca="false">IFERROR(INDEX(APOIO_REDES!$A:$W,MATCH($C753&amp;$I753&amp;$H753&amp;$N753&amp;$O753,APOIO_REDES!$W:$W,0),MATCH(AG$5,APOIO_REDES!$5:$5,0)),0)</f>
        <v>0.75</v>
      </c>
      <c r="AH753" s="153" t="n">
        <f aca="false">IFERROR(INDEX(APOIO_REDES!$A:$W,MATCH($C753&amp;$I753&amp;$H753&amp;$N753&amp;$O753,APOIO_REDES!$W:$W,0),MATCH(AH$5,APOIO_REDES!$5:$5,0)),0)</f>
        <v>0.1</v>
      </c>
      <c r="AI753" s="153" t="n">
        <f aca="false">IFERROR(IF($H753&lt;&gt;"",(((($H753/1000)/2)^2)*PI()*$M753),0),0)</f>
        <v>1.20194821652223</v>
      </c>
      <c r="AJ753" s="153" t="n">
        <f aca="false">IFERROR(IF(AND($H753&lt;&gt;"",$I753="FoFo",OR($N753="MND",$N753="VCA"),$Q753="LINEAR"),0,IF(AND($H753&lt;&gt;"",$I753="PEAD",$N753="VCA",$Q753="LINEAR"),($H753/1000)+0.3,IF(AND($H753&lt;&gt;"",$I753="PEAD",$N753="MND",$Q753="EMBOQUE"),0,IF(AND($H753&lt;&gt;"",$I753="PVC",$N753="VCA",$Q753="LINEAR"),($H753/1000)+0.2,IF(AND($H753&lt;&gt;"",$I753="PVC",$N753="MND",$Q753="EMBOQUE"),0,IF(AND($H753&lt;&gt;"",$I753="PEAD",$N753="VCA",$Q753="PREDIAL"),0,0)))))),0)</f>
        <v>0.46</v>
      </c>
      <c r="AK753" s="153" t="n">
        <f aca="false">IF(AA753&lt;&gt;"",AA753,0)</f>
        <v>3.2</v>
      </c>
      <c r="AL753" s="153" t="n">
        <f aca="false">IF(AND($N753="MND",$Q753="EMBOQUE"),$M753,IF(AND($N753="VCA",$Q753="LINEAR"),$M753,IF(AND($N753="VCA",$Q753="PREDIAL"),0,0)))</f>
        <v>59.78</v>
      </c>
      <c r="AM753" s="153" t="n">
        <f aca="false">IF(AND($N753="MND",$Q753="EMBOQUE"),$M753,IF(AND($N753="VCA",$Q753="LINEAR"),$M753,IF(AND($N753="VCA",$Q753="PREDIAL"),0,0)))</f>
        <v>59.78</v>
      </c>
      <c r="AN753" s="153" t="n">
        <f aca="false">ROUND(IF(AND($N753="VCA",$M753&lt;&gt;"",$Q753="LINEAR"),$M753/100,IF(AND($N753="MND",$M753&gt;100,$Q753="EMBOQUE"),$M753/100,0)),0)</f>
        <v>1</v>
      </c>
      <c r="AO753" s="153" t="n">
        <f aca="false">IF(AND($N753="MND",$Q753="EMBOQUE"),$AN753*2*2,IF(AND($N753="VCA",$Q753="LINEAR"),$M753*2,IF(AND($N753="VCA",$Q753="PREDIAL"),0,0)))</f>
        <v>119.56</v>
      </c>
      <c r="AP753" s="153" t="n">
        <f aca="false">IFERROR($M753*$AF753*$AG753,0)</f>
        <v>65.4591</v>
      </c>
      <c r="AQ753" s="153" t="n">
        <f aca="false">IFERROR(IF(AND($N753="VCA",$AH753&gt;0),$M753*$AG753*$AH753,0),0)</f>
        <v>4.4835</v>
      </c>
      <c r="AR753" s="153" t="n">
        <f aca="false">IFERROR(IF(AND($N753="VCA",$AJ753&gt;0),($M753*$AG753*$AJ753)-$AI753,0),0)</f>
        <v>19.4221517834778</v>
      </c>
      <c r="AS753" s="153" t="n">
        <f aca="false">IFERROR(IF(AND($N753="VCA",$AP753&gt;0),$AP753-$AI753-$AQ753-$AR753,0),0)</f>
        <v>40.3515</v>
      </c>
      <c r="AT753" s="153" t="n">
        <f aca="false">IFERROR(IF($N753="VCA",INDEX(APOIO_REDES!$A:$W,MATCH($C753&amp;$I753&amp;$H753&amp;$N753&amp;$O753,APOIO_REDES!$W:$W,0),MATCH(AT$5,APOIO_REDES!$5:$5,0)),0)*$AP753,0)</f>
        <v>0.71221438290461</v>
      </c>
      <c r="AU753" s="153" t="n">
        <f aca="false">IFERROR(IF($N753="VCA",INDEX(APOIO_REDES!$A:$W,MATCH($C753&amp;$I753&amp;$H753&amp;$N753&amp;$O753,APOIO_REDES!$W:$W,0),MATCH(AU$5,APOIO_REDES!$5:$5,0)),0)*$AP753,0)</f>
        <v>0.568755116975865</v>
      </c>
      <c r="AV753" s="153" t="n">
        <f aca="false">IFERROR(IF($N753="VCA",INDEX(APOIO_REDES!$A:$W,MATCH($C753&amp;$I753&amp;$H753&amp;$N753&amp;$O753,APOIO_REDES!$W:$W,0),MATCH(AV$5,APOIO_REDES!$5:$5,0)),0)*$AP753,0)</f>
        <v>0.0787112432867312</v>
      </c>
      <c r="AW753" s="153" t="n">
        <f aca="false">IFERROR(IF($N753="VCA",INDEX(APOIO_REDES!$A:$W,MATCH($C753&amp;$I753&amp;$H753&amp;$N753&amp;$O753,APOIO_REDES!$W:$W,0),MATCH(AW$5,APOIO_REDES!$5:$5,0)),0)*$AP753,0)</f>
        <v>44.931633441857</v>
      </c>
      <c r="AX753" s="153" t="n">
        <f aca="false">IFERROR(IF($N753="VCA",INDEX(APOIO_REDES!$A:$W,MATCH($C753&amp;$I753&amp;$H753&amp;$N753&amp;$O753,APOIO_REDES!$W:$W,0),MATCH(AX$5,APOIO_REDES!$5:$5,0)),0)*$AP753,0)</f>
        <v>6.21841007817244</v>
      </c>
      <c r="AY753" s="153" t="n">
        <f aca="false">IFERROR(IF($N753="VCA",INDEX(APOIO_REDES!$A:$W,MATCH($C753&amp;$I753&amp;$H753&amp;$N753&amp;$O753,APOIO_REDES!$W:$W,0),MATCH(AY$5,APOIO_REDES!$5:$5,0)),0)*$AP753,0)</f>
        <v>11.3750954064385</v>
      </c>
      <c r="AZ753" s="153" t="n">
        <f aca="false">IFERROR(IF($N753="VCA",INDEX(APOIO_REDES!$A:$W,MATCH($C753&amp;$I753&amp;$H753&amp;$N753&amp;$O753,APOIO_REDES!$W:$W,0),MATCH(AZ$5,APOIO_REDES!$5:$5,0)),0)*$AP753,0)</f>
        <v>1.57428033036479</v>
      </c>
      <c r="BA753" s="153" t="n">
        <f aca="false">IFERROR(IF(AND($N753="VCA",$Q753="LINEAR"),INDEX(APOIO_REDES!$A:$W,MATCH($C753&amp;$I753&amp;$H753&amp;$N753&amp;$O753,APOIO_REDES!$W:$W,0),MATCH(BA$5,APOIO_REDES!$5:$5,0)),IF(AND($N753="MND",$Q753="EMBOQUE"),INDEX(APOIO_REDES!$A:$W,MATCH($C753&amp;$I753&amp;$H753&amp;$N753&amp;$O753,APOIO_REDES!$W:$W,0),MATCH(BA$5,APOIO_REDES!$5:$5,0)),0))*$M753/10,0)</f>
        <v>4.81811720971927</v>
      </c>
      <c r="BB753" s="153" t="n">
        <f aca="false">IFERROR(IF($N753="VCA",INDEX(APOIO_REDES!$A:$W,MATCH($C753&amp;$I753&amp;$H753&amp;$N753&amp;$O753,APOIO_REDES!$W:$W,0),MATCH(BB$5,APOIO_REDES!$5:$5,0)),0)*($AI753+$AQ753+$AR753),0)</f>
        <v>24.8344218805297</v>
      </c>
      <c r="BC753" s="153" t="n">
        <f aca="false">IFERROR(IF($N753="VCA",INDEX(APOIO_REDES!$A:$W,MATCH($C753&amp;$I753&amp;$H753&amp;$N753&amp;$O753,APOIO_REDES!$W:$W,0),MATCH(BC$5,APOIO_REDES!$5:$5,0)),0)*($AI753+$AQ753+$AR753),0)</f>
        <v>0.273178119470261</v>
      </c>
      <c r="BD753" s="153" t="n">
        <f aca="false">IF(AND($N753="VCA",$AF753&gt;=1.25,$AF753&lt;1.5),$M753*$AF753*2,0)</f>
        <v>174.5576</v>
      </c>
      <c r="BE753" s="153" t="n">
        <f aca="false">IF(AND($N753="VCA",$AF753&gt;=1.5,$AF753&lt;3),$M753*$AF753*2,0)</f>
        <v>0</v>
      </c>
      <c r="BF753" s="153" t="n">
        <f aca="false">IF(AND($N753="VCA",$AF753&gt;=3),$M753*$AF753*2,0)</f>
        <v>0</v>
      </c>
      <c r="BG753" s="153" t="n">
        <f aca="false">($BB753+$BC753)*$AK753</f>
        <v>80.34432</v>
      </c>
      <c r="BH753" s="153" t="n">
        <f aca="false">IF(AND($M753&lt;&gt;"",$N753="VCA",$Q753="LINEAR"),($M753*2)/100,IF(AND($M753&lt;&gt;"",$N753="MND",$Q753="EMBOQUE"),($AN753*2)/100,0))</f>
        <v>1.1956</v>
      </c>
      <c r="BI753" s="153" t="n">
        <f aca="false">IF(AND($M753&lt;&gt;"",$N753="VCA",$Q753="LINEAR"),$M753,IF(AND($M753&lt;&gt;"",$N753="MND",$Q753="EMBOQUE"),$AN753*2,0))</f>
        <v>59.78</v>
      </c>
      <c r="BJ753" s="153" t="n">
        <f aca="false">IF(AND($M753&lt;&gt;"",$N753="VCA",$Q753="LINEAR"),($M753*6.8)/100,IF(AND($M753&lt;&gt;"",$N753="MND",$Q753="EMBOQUE"),($AN753*2*6.8)/100,0))</f>
        <v>4.06504</v>
      </c>
      <c r="BK753" s="153" t="n">
        <f aca="false">IF(AND($M753&lt;&gt;"",$N753="VCA",$Q753="LINEAR"),($M753*2.5)/50,IF(AND($M753&lt;&gt;"",$N753="MND",$Q753="EMBOQUE"),($AN753*2*2.5)/50,0))</f>
        <v>2.989</v>
      </c>
      <c r="BL753" s="157" t="str">
        <f aca="false">K753&amp;J753</f>
        <v>Zona07REDES</v>
      </c>
      <c r="BM753" s="152" t="s">
        <v>4225</v>
      </c>
      <c r="BN753" s="152" t="s">
        <v>1560</v>
      </c>
      <c r="BO753" s="152" t="s">
        <v>4097</v>
      </c>
      <c r="BP753" s="152" t="s">
        <v>4414</v>
      </c>
      <c r="BQ753" s="152" t="s">
        <v>4415</v>
      </c>
      <c r="BR753" s="152" t="s">
        <v>4416</v>
      </c>
      <c r="BS753" s="152" t="n">
        <v>204358.833</v>
      </c>
      <c r="BT753" s="152" t="n">
        <v>8236697.028</v>
      </c>
      <c r="BU753" s="152" t="n">
        <v>204418.513</v>
      </c>
      <c r="BV753" s="152" t="n">
        <v>8236697.807</v>
      </c>
      <c r="BW753" s="152" t="n">
        <v>-15.9314041</v>
      </c>
      <c r="BX753" s="152" t="n">
        <v>-47.7610856</v>
      </c>
      <c r="BY753" s="152" t="s">
        <v>4414</v>
      </c>
    </row>
    <row r="754" customFormat="false" ht="13.8" hidden="false" customHeight="false" outlineLevel="0" collapsed="false">
      <c r="A754" s="149" t="n">
        <f aca="false">IF(C754&lt;&gt;"",ROW(A749),"")</f>
        <v>749</v>
      </c>
      <c r="B754" s="150" t="str">
        <f aca="false">HYPERLINK("https://www.google.com/maps/dir/-15.917302,-47.760003/-15.9317707,-47.7638637/data=!4m3!4m2!3e0!5i1")</f>
        <v>https://www.google.com/maps/dir/-15.917302,-47.760003/-15.9317707,-47.7638637/data=!4m3!4m2!3e0!5i1</v>
      </c>
      <c r="C754" s="151" t="s">
        <v>117</v>
      </c>
      <c r="D754" s="152" t="s">
        <v>112</v>
      </c>
      <c r="E754" s="152" t="s">
        <v>113</v>
      </c>
      <c r="F754" s="152" t="s">
        <v>117</v>
      </c>
      <c r="G754" s="152" t="s">
        <v>782</v>
      </c>
      <c r="H754" s="152" t="n">
        <v>63</v>
      </c>
      <c r="I754" s="152" t="s">
        <v>115</v>
      </c>
      <c r="J754" s="152" t="s">
        <v>6</v>
      </c>
      <c r="K754" s="152" t="s">
        <v>4221</v>
      </c>
      <c r="L754" s="152" t="s">
        <v>120</v>
      </c>
      <c r="M754" s="153" t="n">
        <f aca="false">125.79+5.89</f>
        <v>131.68</v>
      </c>
      <c r="N754" s="152" t="s">
        <v>1548</v>
      </c>
      <c r="O754" s="152" t="s">
        <v>1549</v>
      </c>
      <c r="P754" s="152" t="s">
        <v>1550</v>
      </c>
      <c r="Q754" s="152" t="s">
        <v>1551</v>
      </c>
      <c r="R754" s="154" t="s">
        <v>4417</v>
      </c>
      <c r="S754" s="154" t="s">
        <v>1553</v>
      </c>
      <c r="T754" s="155" t="s">
        <v>4095</v>
      </c>
      <c r="U754" s="152" t="str">
        <f aca="false">RIGHT(T754,7)</f>
        <v>016/037</v>
      </c>
      <c r="V754" s="152" t="s">
        <v>1555</v>
      </c>
      <c r="W754" s="156" t="n">
        <v>45882</v>
      </c>
      <c r="X754" s="152" t="s">
        <v>3938</v>
      </c>
      <c r="Y754" s="152" t="s">
        <v>4009</v>
      </c>
      <c r="Z754" s="152" t="s">
        <v>1557</v>
      </c>
      <c r="AA754" s="153" t="n">
        <v>3.5</v>
      </c>
      <c r="AB754" s="151" t="s">
        <v>4418</v>
      </c>
      <c r="AC754" s="151" t="s">
        <v>186</v>
      </c>
      <c r="AD754" s="151" t="str">
        <f aca="false">CONCATENATE($C754,$I754,$H754,$N754,$J754,$K754)</f>
        <v>TUBO PEADPEAD63VCAREDESZona07</v>
      </c>
      <c r="AE754" s="153" t="n">
        <f aca="false">IFERROR(INDEX(APOIO_REDES!$A:$W,MATCH($C754&amp;$I754&amp;$H754&amp;$N754&amp;$O754,APOIO_REDES!$W:$W,0),MATCH(AE$5,APOIO_REDES!$5:$5,0)),0)</f>
        <v>1.2</v>
      </c>
      <c r="AF754" s="153" t="n">
        <f aca="false">IFERROR(INDEX(APOIO_REDES!$A:$W,MATCH($C754&amp;$I754&amp;$H754&amp;$N754&amp;$O754,APOIO_REDES!$W:$W,0),MATCH(AF$5,APOIO_REDES!$5:$5,0)),0)</f>
        <v>1.363</v>
      </c>
      <c r="AG754" s="153" t="n">
        <f aca="false">IFERROR(INDEX(APOIO_REDES!$A:$W,MATCH($C754&amp;$I754&amp;$H754&amp;$N754&amp;$O754,APOIO_REDES!$W:$W,0),MATCH(AG$5,APOIO_REDES!$5:$5,0)),0)</f>
        <v>0.65</v>
      </c>
      <c r="AH754" s="153" t="n">
        <f aca="false">IFERROR(INDEX(APOIO_REDES!$A:$W,MATCH($C754&amp;$I754&amp;$H754&amp;$N754&amp;$O754,APOIO_REDES!$W:$W,0),MATCH(AH$5,APOIO_REDES!$5:$5,0)),0)</f>
        <v>0.1</v>
      </c>
      <c r="AI754" s="153" t="n">
        <f aca="false">IFERROR(IF($H754&lt;&gt;"",(((($H754/1000)/2)^2)*PI()*$M754),0),0)</f>
        <v>0.410478862489863</v>
      </c>
      <c r="AJ754" s="153" t="n">
        <f aca="false">IFERROR(IF(AND($H754&lt;&gt;"",$I754="FoFo",OR($N754="MND",$N754="VCA"),$Q754="LINEAR"),0,IF(AND($H754&lt;&gt;"",$I754="PEAD",$N754="VCA",$Q754="LINEAR"),($H754/1000)+0.3,IF(AND($H754&lt;&gt;"",$I754="PEAD",$N754="MND",$Q754="EMBOQUE"),0,IF(AND($H754&lt;&gt;"",$I754="PVC",$N754="VCA",$Q754="LINEAR"),($H754/1000)+0.2,IF(AND($H754&lt;&gt;"",$I754="PVC",$N754="MND",$Q754="EMBOQUE"),0,IF(AND($H754&lt;&gt;"",$I754="PEAD",$N754="VCA",$Q754="PREDIAL"),0,0)))))),0)</f>
        <v>0.363</v>
      </c>
      <c r="AK754" s="153" t="n">
        <f aca="false">IF(AA754&lt;&gt;"",AA754,0)</f>
        <v>3.5</v>
      </c>
      <c r="AL754" s="153" t="n">
        <f aca="false">IF(AND($N754="MND",$Q754="EMBOQUE"),$M754,IF(AND($N754="VCA",$Q754="LINEAR"),$M754,IF(AND($N754="VCA",$Q754="PREDIAL"),0,0)))</f>
        <v>131.68</v>
      </c>
      <c r="AM754" s="153" t="n">
        <f aca="false">IF(AND($N754="MND",$Q754="EMBOQUE"),$M754,IF(AND($N754="VCA",$Q754="LINEAR"),$M754,IF(AND($N754="VCA",$Q754="PREDIAL"),0,0)))</f>
        <v>131.68</v>
      </c>
      <c r="AN754" s="153" t="n">
        <f aca="false">ROUND(IF(AND($N754="VCA",$M754&lt;&gt;"",$Q754="LINEAR"),$M754/100,IF(AND($N754="MND",$M754&gt;100,$Q754="EMBOQUE"),$M754/100,0)),0)</f>
        <v>1</v>
      </c>
      <c r="AO754" s="153" t="n">
        <f aca="false">IF(AND($N754="MND",$Q754="EMBOQUE"),$AN754*2*2,IF(AND($N754="VCA",$Q754="LINEAR"),$M754*2,IF(AND($N754="VCA",$Q754="PREDIAL"),0,0)))</f>
        <v>263.36</v>
      </c>
      <c r="AP754" s="153" t="n">
        <f aca="false">IFERROR($M754*$AF754*$AG754,0)</f>
        <v>116.661896</v>
      </c>
      <c r="AQ754" s="153" t="n">
        <f aca="false">IFERROR(IF(AND($N754="VCA",$AH754&gt;0),$M754*$AG754*$AH754,0),0)</f>
        <v>8.5592</v>
      </c>
      <c r="AR754" s="153" t="n">
        <f aca="false">IFERROR(IF(AND($N754="VCA",$AJ754&gt;0),($M754*$AG754*$AJ754)-$AI754,0),0)</f>
        <v>30.6594171375101</v>
      </c>
      <c r="AS754" s="153" t="n">
        <f aca="false">IFERROR(IF(AND($N754="VCA",$AP754&gt;0),$AP754-$AI754-$AQ754-$AR754,0),0)</f>
        <v>77.0328</v>
      </c>
      <c r="AT754" s="153" t="n">
        <f aca="false">IFERROR(IF($N754="VCA",INDEX(APOIO_REDES!$A:$W,MATCH($C754&amp;$I754&amp;$H754&amp;$N754&amp;$O754,APOIO_REDES!$W:$W,0),MATCH(AT$5,APOIO_REDES!$5:$5,0)),0)*$AP754,0)</f>
        <v>1.26931595863863</v>
      </c>
      <c r="AU754" s="153" t="n">
        <f aca="false">IFERROR(IF($N754="VCA",INDEX(APOIO_REDES!$A:$W,MATCH($C754&amp;$I754&amp;$H754&amp;$N754&amp;$O754,APOIO_REDES!$W:$W,0),MATCH(AU$5,APOIO_REDES!$5:$5,0)),0)*$AP754,0)</f>
        <v>1.01364134713288</v>
      </c>
      <c r="AV754" s="153" t="n">
        <f aca="false">IFERROR(IF($N754="VCA",INDEX(APOIO_REDES!$A:$W,MATCH($C754&amp;$I754&amp;$H754&amp;$N754&amp;$O754,APOIO_REDES!$W:$W,0),MATCH(AV$5,APOIO_REDES!$5:$5,0)),0)*$AP754,0)</f>
        <v>0.140280005046622</v>
      </c>
      <c r="AW754" s="153" t="n">
        <f aca="false">IFERROR(IF($N754="VCA",INDEX(APOIO_REDES!$A:$W,MATCH($C754&amp;$I754&amp;$H754&amp;$N754&amp;$O754,APOIO_REDES!$W:$W,0),MATCH(AW$5,APOIO_REDES!$5:$5,0)),0)*$AP754,0)</f>
        <v>80.0776293548803</v>
      </c>
      <c r="AX754" s="153" t="n">
        <f aca="false">IFERROR(IF($N754="VCA",INDEX(APOIO_REDES!$A:$W,MATCH($C754&amp;$I754&amp;$H754&amp;$N754&amp;$O754,APOIO_REDES!$W:$W,0),MATCH(AX$5,APOIO_REDES!$5:$5,0)),0)*$AP754,0)</f>
        <v>11.0825157972704</v>
      </c>
      <c r="AY754" s="153" t="n">
        <f aca="false">IFERROR(IF($N754="VCA",INDEX(APOIO_REDES!$A:$W,MATCH($C754&amp;$I754&amp;$H754&amp;$N754&amp;$O754,APOIO_REDES!$W:$W,0),MATCH(AY$5,APOIO_REDES!$5:$5,0)),0)*$AP754,0)</f>
        <v>20.2728145864518</v>
      </c>
      <c r="AZ754" s="153" t="n">
        <f aca="false">IFERROR(IF($N754="VCA",INDEX(APOIO_REDES!$A:$W,MATCH($C754&amp;$I754&amp;$H754&amp;$N754&amp;$O754,APOIO_REDES!$W:$W,0),MATCH(AZ$5,APOIO_REDES!$5:$5,0)),0)*$AP754,0)</f>
        <v>2.80569895057926</v>
      </c>
      <c r="BA754" s="153" t="n">
        <f aca="false">IFERROR(IF(AND($N754="VCA",$Q754="LINEAR"),INDEX(APOIO_REDES!$A:$W,MATCH($C754&amp;$I754&amp;$H754&amp;$N754&amp;$O754,APOIO_REDES!$W:$W,0),MATCH(BA$5,APOIO_REDES!$5:$5,0)),IF(AND($N754="MND",$Q754="EMBOQUE"),INDEX(APOIO_REDES!$A:$W,MATCH($C754&amp;$I754&amp;$H754&amp;$N754&amp;$O754,APOIO_REDES!$W:$W,0),MATCH(BA$5,APOIO_REDES!$5:$5,0)),0))*$M754/10,0)</f>
        <v>10.6130758477055</v>
      </c>
      <c r="BB754" s="153" t="n">
        <f aca="false">IFERROR(IF($N754="VCA",INDEX(APOIO_REDES!$A:$W,MATCH($C754&amp;$I754&amp;$H754&amp;$N754&amp;$O754,APOIO_REDES!$W:$W,0),MATCH(BB$5,APOIO_REDES!$5:$5,0)),0)*($AI754+$AQ754+$AR754),0)</f>
        <v>39.1979197059063</v>
      </c>
      <c r="BC754" s="153" t="n">
        <f aca="false">IFERROR(IF($N754="VCA",INDEX(APOIO_REDES!$A:$W,MATCH($C754&amp;$I754&amp;$H754&amp;$N754&amp;$O754,APOIO_REDES!$W:$W,0),MATCH(BC$5,APOIO_REDES!$5:$5,0)),0)*($AI754+$AQ754+$AR754),0)</f>
        <v>0.431176294093679</v>
      </c>
      <c r="BD754" s="153" t="n">
        <f aca="false">IF(AND($N754="VCA",$AF754&gt;=1.25,$AF754&lt;1.5),$M754*$AF754*2,0)</f>
        <v>358.95968</v>
      </c>
      <c r="BE754" s="153" t="n">
        <f aca="false">IF(AND($N754="VCA",$AF754&gt;=1.5,$AF754&lt;3),$M754*$AF754*2,0)</f>
        <v>0</v>
      </c>
      <c r="BF754" s="153" t="n">
        <f aca="false">IF(AND($N754="VCA",$AF754&gt;=3),$M754*$AF754*2,0)</f>
        <v>0</v>
      </c>
      <c r="BG754" s="153" t="n">
        <f aca="false">($BB754+$BC754)*$AK754</f>
        <v>138.701836</v>
      </c>
      <c r="BH754" s="153" t="n">
        <f aca="false">IF(AND($M754&lt;&gt;"",$N754="VCA",$Q754="LINEAR"),($M754*2)/100,IF(AND($M754&lt;&gt;"",$N754="MND",$Q754="EMBOQUE"),($AN754*2)/100,0))</f>
        <v>2.6336</v>
      </c>
      <c r="BI754" s="153" t="n">
        <f aca="false">IF(AND($M754&lt;&gt;"",$N754="VCA",$Q754="LINEAR"),$M754,IF(AND($M754&lt;&gt;"",$N754="MND",$Q754="EMBOQUE"),$AN754*2,0))</f>
        <v>131.68</v>
      </c>
      <c r="BJ754" s="153" t="n">
        <f aca="false">IF(AND($M754&lt;&gt;"",$N754="VCA",$Q754="LINEAR"),($M754*6.8)/100,IF(AND($M754&lt;&gt;"",$N754="MND",$Q754="EMBOQUE"),($AN754*2*6.8)/100,0))</f>
        <v>8.95424</v>
      </c>
      <c r="BK754" s="153" t="n">
        <f aca="false">IF(AND($M754&lt;&gt;"",$N754="VCA",$Q754="LINEAR"),($M754*2.5)/50,IF(AND($M754&lt;&gt;"",$N754="MND",$Q754="EMBOQUE"),($AN754*2*2.5)/50,0))</f>
        <v>6.584</v>
      </c>
      <c r="BL754" s="157" t="str">
        <f aca="false">K754&amp;J754</f>
        <v>Zona07REDES</v>
      </c>
      <c r="BM754" s="152" t="s">
        <v>4225</v>
      </c>
      <c r="BN754" s="152" t="s">
        <v>1560</v>
      </c>
      <c r="BO754" s="152" t="s">
        <v>4097</v>
      </c>
      <c r="BP754" s="152" t="s">
        <v>4419</v>
      </c>
      <c r="BQ754" s="152" t="s">
        <v>4369</v>
      </c>
      <c r="BR754" s="152" t="s">
        <v>4420</v>
      </c>
      <c r="BS754" s="152" t="n">
        <v>204091.597</v>
      </c>
      <c r="BT754" s="152" t="n">
        <v>8236651.567</v>
      </c>
      <c r="BU754" s="152" t="n">
        <v>204181.172</v>
      </c>
      <c r="BV754" s="152" t="n">
        <v>8236739.88</v>
      </c>
      <c r="BW754" s="152" t="n">
        <v>-15.9313773</v>
      </c>
      <c r="BX754" s="152" t="n">
        <v>-47.7634403</v>
      </c>
      <c r="BY754" s="152" t="s">
        <v>4419</v>
      </c>
    </row>
    <row r="755" customFormat="false" ht="13.8" hidden="false" customHeight="false" outlineLevel="0" collapsed="false">
      <c r="A755" s="149" t="n">
        <f aca="false">IF(C755&lt;&gt;"",ROW(A750),"")</f>
        <v>750</v>
      </c>
      <c r="B755" s="150" t="str">
        <f aca="false">HYPERLINK("https://www.google.com/maps/dir/-15.917302,-47.760003/-15.9313739,-47.7626674/data=!4m3!4m2!3e0!5i2")</f>
        <v>https://www.google.com/maps/dir/-15.917302,-47.760003/-15.9313739,-47.7626674/data=!4m3!4m2!3e0!5i2</v>
      </c>
      <c r="C755" s="151" t="s">
        <v>117</v>
      </c>
      <c r="D755" s="152" t="s">
        <v>112</v>
      </c>
      <c r="E755" s="152" t="s">
        <v>113</v>
      </c>
      <c r="F755" s="152" t="s">
        <v>117</v>
      </c>
      <c r="G755" s="152" t="s">
        <v>114</v>
      </c>
      <c r="H755" s="152" t="n">
        <v>160</v>
      </c>
      <c r="I755" s="152" t="s">
        <v>115</v>
      </c>
      <c r="J755" s="152" t="s">
        <v>6</v>
      </c>
      <c r="K755" s="152" t="s">
        <v>4221</v>
      </c>
      <c r="L755" s="152" t="s">
        <v>120</v>
      </c>
      <c r="M755" s="153" t="n">
        <f aca="false">4.88</f>
        <v>4.88</v>
      </c>
      <c r="N755" s="152" t="s">
        <v>1548</v>
      </c>
      <c r="O755" s="152" t="s">
        <v>1549</v>
      </c>
      <c r="P755" s="152" t="s">
        <v>1550</v>
      </c>
      <c r="Q755" s="152" t="s">
        <v>1551</v>
      </c>
      <c r="R755" s="154" t="s">
        <v>4421</v>
      </c>
      <c r="S755" s="154" t="s">
        <v>1593</v>
      </c>
      <c r="T755" s="155" t="s">
        <v>4095</v>
      </c>
      <c r="U755" s="152" t="str">
        <f aca="false">RIGHT(T755,7)</f>
        <v>016/037</v>
      </c>
      <c r="V755" s="152" t="s">
        <v>1555</v>
      </c>
      <c r="W755" s="156" t="n">
        <v>45882</v>
      </c>
      <c r="X755" s="152" t="s">
        <v>3938</v>
      </c>
      <c r="Y755" s="152" t="s">
        <v>2117</v>
      </c>
      <c r="Z755" s="152" t="s">
        <v>1557</v>
      </c>
      <c r="AA755" s="153" t="n">
        <v>3.4</v>
      </c>
      <c r="AB755" s="151" t="s">
        <v>4422</v>
      </c>
      <c r="AC755" s="151" t="s">
        <v>505</v>
      </c>
      <c r="AD755" s="151" t="str">
        <f aca="false">CONCATENATE($C755,$I755,$H755,$N755,$J755,$K755)</f>
        <v>TUBO PEADPEAD160VCAREDESZona07</v>
      </c>
      <c r="AE755" s="153" t="n">
        <f aca="false">IFERROR(INDEX(APOIO_REDES!$A:$W,MATCH($C755&amp;$I755&amp;$H755&amp;$N755&amp;$O755,APOIO_REDES!$W:$W,0),MATCH(AE$5,APOIO_REDES!$5:$5,0)),0)</f>
        <v>1.2</v>
      </c>
      <c r="AF755" s="153" t="n">
        <f aca="false">IFERROR(INDEX(APOIO_REDES!$A:$W,MATCH($C755&amp;$I755&amp;$H755&amp;$N755&amp;$O755,APOIO_REDES!$W:$W,0),MATCH(AF$5,APOIO_REDES!$5:$5,0)),0)</f>
        <v>1.46</v>
      </c>
      <c r="AG755" s="153" t="n">
        <f aca="false">IFERROR(INDEX(APOIO_REDES!$A:$W,MATCH($C755&amp;$I755&amp;$H755&amp;$N755&amp;$O755,APOIO_REDES!$W:$W,0),MATCH(AG$5,APOIO_REDES!$5:$5,0)),0)</f>
        <v>0.75</v>
      </c>
      <c r="AH755" s="153" t="n">
        <f aca="false">IFERROR(INDEX(APOIO_REDES!$A:$W,MATCH($C755&amp;$I755&amp;$H755&amp;$N755&amp;$O755,APOIO_REDES!$W:$W,0),MATCH(AH$5,APOIO_REDES!$5:$5,0)),0)</f>
        <v>0.1</v>
      </c>
      <c r="AI755" s="153" t="n">
        <f aca="false">IFERROR(IF($H755&lt;&gt;"",(((($H755/1000)/2)^2)*PI()*$M755),0),0)</f>
        <v>0.0981182217569164</v>
      </c>
      <c r="AJ755" s="153" t="n">
        <f aca="false">IFERROR(IF(AND($H755&lt;&gt;"",$I755="FoFo",OR($N755="MND",$N755="VCA"),$Q755="LINEAR"),0,IF(AND($H755&lt;&gt;"",$I755="PEAD",$N755="VCA",$Q755="LINEAR"),($H755/1000)+0.3,IF(AND($H755&lt;&gt;"",$I755="PEAD",$N755="MND",$Q755="EMBOQUE"),0,IF(AND($H755&lt;&gt;"",$I755="PVC",$N755="VCA",$Q755="LINEAR"),($H755/1000)+0.2,IF(AND($H755&lt;&gt;"",$I755="PVC",$N755="MND",$Q755="EMBOQUE"),0,IF(AND($H755&lt;&gt;"",$I755="PEAD",$N755="VCA",$Q755="PREDIAL"),0,0)))))),0)</f>
        <v>0.46</v>
      </c>
      <c r="AK755" s="153" t="n">
        <f aca="false">IF(AA755&lt;&gt;"",AA755,0)</f>
        <v>3.4</v>
      </c>
      <c r="AL755" s="153" t="n">
        <f aca="false">IF(AND($N755="MND",$Q755="EMBOQUE"),$M755,IF(AND($N755="VCA",$Q755="LINEAR"),$M755,IF(AND($N755="VCA",$Q755="PREDIAL"),0,0)))</f>
        <v>4.88</v>
      </c>
      <c r="AM755" s="153" t="n">
        <f aca="false">IF(AND($N755="MND",$Q755="EMBOQUE"),$M755,IF(AND($N755="VCA",$Q755="LINEAR"),$M755,IF(AND($N755="VCA",$Q755="PREDIAL"),0,0)))</f>
        <v>4.88</v>
      </c>
      <c r="AN755" s="153" t="n">
        <f aca="false">ROUND(IF(AND($N755="VCA",$M755&lt;&gt;"",$Q755="LINEAR"),$M755/100,IF(AND($N755="MND",$M755&gt;100,$Q755="EMBOQUE"),$M755/100,0)),0)</f>
        <v>0</v>
      </c>
      <c r="AO755" s="153" t="n">
        <f aca="false">IF(AND($N755="MND",$Q755="EMBOQUE"),$AN755*2*2,IF(AND($N755="VCA",$Q755="LINEAR"),$M755*2,IF(AND($N755="VCA",$Q755="PREDIAL"),0,0)))</f>
        <v>9.76</v>
      </c>
      <c r="AP755" s="153" t="n">
        <f aca="false">IFERROR($M755*$AF755*$AG755,0)</f>
        <v>5.3436</v>
      </c>
      <c r="AQ755" s="153" t="n">
        <f aca="false">IFERROR(IF(AND($N755="VCA",$AH755&gt;0),$M755*$AG755*$AH755,0),0)</f>
        <v>0.366</v>
      </c>
      <c r="AR755" s="153" t="n">
        <f aca="false">IFERROR(IF(AND($N755="VCA",$AJ755&gt;0),($M755*$AG755*$AJ755)-$AI755,0),0)</f>
        <v>1.58548177824308</v>
      </c>
      <c r="AS755" s="153" t="n">
        <f aca="false">IFERROR(IF(AND($N755="VCA",$AP755&gt;0),$AP755-$AI755-$AQ755-$AR755,0),0)</f>
        <v>3.294</v>
      </c>
      <c r="AT755" s="153" t="n">
        <f aca="false">IFERROR(IF($N755="VCA",INDEX(APOIO_REDES!$A:$W,MATCH($C755&amp;$I755&amp;$H755&amp;$N755&amp;$O755,APOIO_REDES!$W:$W,0),MATCH(AT$5,APOIO_REDES!$5:$5,0)),0)*$AP755,0)</f>
        <v>0.0581399496248661</v>
      </c>
      <c r="AU755" s="153" t="n">
        <f aca="false">IFERROR(IF($N755="VCA",INDEX(APOIO_REDES!$A:$W,MATCH($C755&amp;$I755&amp;$H755&amp;$N755&amp;$O755,APOIO_REDES!$W:$W,0),MATCH(AU$5,APOIO_REDES!$5:$5,0)),0)*$AP755,0)</f>
        <v>0.0464289891408869</v>
      </c>
      <c r="AV755" s="153" t="n">
        <f aca="false">IFERROR(IF($N755="VCA",INDEX(APOIO_REDES!$A:$W,MATCH($C755&amp;$I755&amp;$H755&amp;$N755&amp;$O755,APOIO_REDES!$W:$W,0),MATCH(AV$5,APOIO_REDES!$5:$5,0)),0)*$AP755,0)</f>
        <v>0.00642540761524337</v>
      </c>
      <c r="AW755" s="153" t="n">
        <f aca="false">IFERROR(IF($N755="VCA",INDEX(APOIO_REDES!$A:$W,MATCH($C755&amp;$I755&amp;$H755&amp;$N755&amp;$O755,APOIO_REDES!$W:$W,0),MATCH(AW$5,APOIO_REDES!$5:$5,0)),0)*$AP755,0)</f>
        <v>3.66788844423323</v>
      </c>
      <c r="AX755" s="153" t="n">
        <f aca="false">IFERROR(IF($N755="VCA",INDEX(APOIO_REDES!$A:$W,MATCH($C755&amp;$I755&amp;$H755&amp;$N755&amp;$O755,APOIO_REDES!$W:$W,0),MATCH(AX$5,APOIO_REDES!$5:$5,0)),0)*$AP755,0)</f>
        <v>0.507625312503872</v>
      </c>
      <c r="AY755" s="153" t="n">
        <f aca="false">IFERROR(IF($N755="VCA",INDEX(APOIO_REDES!$A:$W,MATCH($C755&amp;$I755&amp;$H755&amp;$N755&amp;$O755,APOIO_REDES!$W:$W,0),MATCH(AY$5,APOIO_REDES!$5:$5,0)),0)*$AP755,0)</f>
        <v>0.928579216852125</v>
      </c>
      <c r="AZ755" s="153" t="n">
        <f aca="false">IFERROR(IF($N755="VCA",INDEX(APOIO_REDES!$A:$W,MATCH($C755&amp;$I755&amp;$H755&amp;$N755&amp;$O755,APOIO_REDES!$W:$W,0),MATCH(AZ$5,APOIO_REDES!$5:$5,0)),0)*$AP755,0)</f>
        <v>0.128512680029779</v>
      </c>
      <c r="BA755" s="153" t="n">
        <f aca="false">IFERROR(IF(AND($N755="VCA",$Q755="LINEAR"),INDEX(APOIO_REDES!$A:$W,MATCH($C755&amp;$I755&amp;$H755&amp;$N755&amp;$O755,APOIO_REDES!$W:$W,0),MATCH(BA$5,APOIO_REDES!$5:$5,0)),IF(AND($N755="MND",$Q755="EMBOQUE"),INDEX(APOIO_REDES!$A:$W,MATCH($C755&amp;$I755&amp;$H755&amp;$N755&amp;$O755,APOIO_REDES!$W:$W,0),MATCH(BA$5,APOIO_REDES!$5:$5,0)),0))*$M755/10,0)</f>
        <v>0.393315690589328</v>
      </c>
      <c r="BB755" s="153" t="n">
        <f aca="false">IFERROR(IF($N755="VCA",INDEX(APOIO_REDES!$A:$W,MATCH($C755&amp;$I755&amp;$H755&amp;$N755&amp;$O755,APOIO_REDES!$W:$W,0),MATCH(BB$5,APOIO_REDES!$5:$5,0)),0)*($AI755+$AQ755+$AR755),0)</f>
        <v>2.02729974534937</v>
      </c>
      <c r="BC755" s="153" t="n">
        <f aca="false">IFERROR(IF($N755="VCA",INDEX(APOIO_REDES!$A:$W,MATCH($C755&amp;$I755&amp;$H755&amp;$N755&amp;$O755,APOIO_REDES!$W:$W,0),MATCH(BC$5,APOIO_REDES!$5:$5,0)),0)*($AI755+$AQ755+$AR755),0)</f>
        <v>0.0223002546506336</v>
      </c>
      <c r="BD755" s="153" t="n">
        <f aca="false">IF(AND($N755="VCA",$AF755&gt;=1.25,$AF755&lt;1.5),$M755*$AF755*2,0)</f>
        <v>14.2496</v>
      </c>
      <c r="BE755" s="153" t="n">
        <f aca="false">IF(AND($N755="VCA",$AF755&gt;=1.5,$AF755&lt;3),$M755*$AF755*2,0)</f>
        <v>0</v>
      </c>
      <c r="BF755" s="153" t="n">
        <f aca="false">IF(AND($N755="VCA",$AF755&gt;=3),$M755*$AF755*2,0)</f>
        <v>0</v>
      </c>
      <c r="BG755" s="153" t="n">
        <f aca="false">($BB755+$BC755)*$AK755</f>
        <v>6.96864</v>
      </c>
      <c r="BH755" s="153" t="n">
        <f aca="false">IF(AND($M755&lt;&gt;"",$N755="VCA",$Q755="LINEAR"),($M755*2)/100,IF(AND($M755&lt;&gt;"",$N755="MND",$Q755="EMBOQUE"),($AN755*2)/100,0))</f>
        <v>0.0976</v>
      </c>
      <c r="BI755" s="153" t="n">
        <f aca="false">IF(AND($M755&lt;&gt;"",$N755="VCA",$Q755="LINEAR"),$M755,IF(AND($M755&lt;&gt;"",$N755="MND",$Q755="EMBOQUE"),$AN755*2,0))</f>
        <v>4.88</v>
      </c>
      <c r="BJ755" s="153" t="n">
        <f aca="false">IF(AND($M755&lt;&gt;"",$N755="VCA",$Q755="LINEAR"),($M755*6.8)/100,IF(AND($M755&lt;&gt;"",$N755="MND",$Q755="EMBOQUE"),($AN755*2*6.8)/100,0))</f>
        <v>0.33184</v>
      </c>
      <c r="BK755" s="153" t="n">
        <f aca="false">IF(AND($M755&lt;&gt;"",$N755="VCA",$Q755="LINEAR"),($M755*2.5)/50,IF(AND($M755&lt;&gt;"",$N755="MND",$Q755="EMBOQUE"),($AN755*2*2.5)/50,0))</f>
        <v>0.244</v>
      </c>
      <c r="BL755" s="157" t="str">
        <f aca="false">K755&amp;J755</f>
        <v>Zona07REDES</v>
      </c>
      <c r="BM755" s="152" t="s">
        <v>4225</v>
      </c>
      <c r="BN755" s="152" t="s">
        <v>1560</v>
      </c>
      <c r="BO755" s="152" t="s">
        <v>4097</v>
      </c>
      <c r="BP755" s="152" t="s">
        <v>4410</v>
      </c>
      <c r="BQ755" s="152" t="s">
        <v>4423</v>
      </c>
      <c r="BR755" s="152" t="s">
        <v>4424</v>
      </c>
      <c r="BS755" s="152" t="n">
        <v>204219.181</v>
      </c>
      <c r="BT755" s="152" t="n">
        <v>8236697.2</v>
      </c>
      <c r="BU755" s="152" t="n">
        <v>204219.013</v>
      </c>
      <c r="BV755" s="152" t="n">
        <v>8236692.321</v>
      </c>
      <c r="BW755" s="152" t="n">
        <v>-15.9313959</v>
      </c>
      <c r="BX755" s="152" t="n">
        <v>-47.7626685</v>
      </c>
      <c r="BY755" s="152" t="s">
        <v>4410</v>
      </c>
    </row>
    <row r="756" customFormat="false" ht="13.8" hidden="false" customHeight="false" outlineLevel="0" collapsed="false">
      <c r="A756" s="149" t="n">
        <f aca="false">IF(C756&lt;&gt;"",ROW(A751),"")</f>
        <v>751</v>
      </c>
      <c r="B756" s="150" t="str">
        <f aca="false">HYPERLINK("https://www.google.com/maps/dir/-15.917302,-47.760003/-15.9314180,-47.7626676/data=!4m3!4m2!3e0!5i2")</f>
        <v>https://www.google.com/maps/dir/-15.917302,-47.760003/-15.9314180,-47.7626676/data=!4m3!4m2!3e0!5i2</v>
      </c>
      <c r="C756" s="151" t="s">
        <v>117</v>
      </c>
      <c r="D756" s="152" t="s">
        <v>112</v>
      </c>
      <c r="E756" s="152" t="s">
        <v>113</v>
      </c>
      <c r="F756" s="152" t="s">
        <v>117</v>
      </c>
      <c r="G756" s="152" t="s">
        <v>114</v>
      </c>
      <c r="H756" s="152" t="n">
        <v>160</v>
      </c>
      <c r="I756" s="152" t="s">
        <v>115</v>
      </c>
      <c r="J756" s="152" t="s">
        <v>6</v>
      </c>
      <c r="K756" s="152" t="s">
        <v>4221</v>
      </c>
      <c r="L756" s="152" t="s">
        <v>120</v>
      </c>
      <c r="M756" s="153" t="n">
        <f aca="false">139.74+0.22</f>
        <v>139.96</v>
      </c>
      <c r="N756" s="152" t="s">
        <v>1548</v>
      </c>
      <c r="O756" s="152" t="s">
        <v>1549</v>
      </c>
      <c r="P756" s="152" t="s">
        <v>1550</v>
      </c>
      <c r="Q756" s="152" t="s">
        <v>1551</v>
      </c>
      <c r="R756" s="154" t="s">
        <v>4425</v>
      </c>
      <c r="S756" s="154" t="s">
        <v>1593</v>
      </c>
      <c r="T756" s="155" t="s">
        <v>4095</v>
      </c>
      <c r="U756" s="152" t="str">
        <f aca="false">RIGHT(T756,7)</f>
        <v>016/037</v>
      </c>
      <c r="V756" s="152" t="s">
        <v>1555</v>
      </c>
      <c r="W756" s="156" t="n">
        <v>45882</v>
      </c>
      <c r="X756" s="152" t="s">
        <v>3938</v>
      </c>
      <c r="Y756" s="152" t="s">
        <v>2117</v>
      </c>
      <c r="Z756" s="152" t="s">
        <v>1557</v>
      </c>
      <c r="AA756" s="153" t="n">
        <v>3.4</v>
      </c>
      <c r="AB756" s="151" t="s">
        <v>4426</v>
      </c>
      <c r="AC756" s="151" t="s">
        <v>505</v>
      </c>
      <c r="AD756" s="151" t="str">
        <f aca="false">CONCATENATE($C756,$I756,$H756,$N756,$J756,$K756)</f>
        <v>TUBO PEADPEAD160VCAREDESZona07</v>
      </c>
      <c r="AE756" s="153" t="n">
        <f aca="false">IFERROR(INDEX(APOIO_REDES!$A:$W,MATCH($C756&amp;$I756&amp;$H756&amp;$N756&amp;$O756,APOIO_REDES!$W:$W,0),MATCH(AE$5,APOIO_REDES!$5:$5,0)),0)</f>
        <v>1.2</v>
      </c>
      <c r="AF756" s="153" t="n">
        <f aca="false">IFERROR(INDEX(APOIO_REDES!$A:$W,MATCH($C756&amp;$I756&amp;$H756&amp;$N756&amp;$O756,APOIO_REDES!$W:$W,0),MATCH(AF$5,APOIO_REDES!$5:$5,0)),0)</f>
        <v>1.46</v>
      </c>
      <c r="AG756" s="153" t="n">
        <f aca="false">IFERROR(INDEX(APOIO_REDES!$A:$W,MATCH($C756&amp;$I756&amp;$H756&amp;$N756&amp;$O756,APOIO_REDES!$W:$W,0),MATCH(AG$5,APOIO_REDES!$5:$5,0)),0)</f>
        <v>0.75</v>
      </c>
      <c r="AH756" s="153" t="n">
        <f aca="false">IFERROR(INDEX(APOIO_REDES!$A:$W,MATCH($C756&amp;$I756&amp;$H756&amp;$N756&amp;$O756,APOIO_REDES!$W:$W,0),MATCH(AH$5,APOIO_REDES!$5:$5,0)),0)</f>
        <v>0.1</v>
      </c>
      <c r="AI756" s="153" t="n">
        <f aca="false">IFERROR(IF($H756&lt;&gt;"",(((($H756/1000)/2)^2)*PI()*$M756),0),0)</f>
        <v>2.81406276989714</v>
      </c>
      <c r="AJ756" s="153" t="n">
        <f aca="false">IFERROR(IF(AND($H756&lt;&gt;"",$I756="FoFo",OR($N756="MND",$N756="VCA"),$Q756="LINEAR"),0,IF(AND($H756&lt;&gt;"",$I756="PEAD",$N756="VCA",$Q756="LINEAR"),($H756/1000)+0.3,IF(AND($H756&lt;&gt;"",$I756="PEAD",$N756="MND",$Q756="EMBOQUE"),0,IF(AND($H756&lt;&gt;"",$I756="PVC",$N756="VCA",$Q756="LINEAR"),($H756/1000)+0.2,IF(AND($H756&lt;&gt;"",$I756="PVC",$N756="MND",$Q756="EMBOQUE"),0,IF(AND($H756&lt;&gt;"",$I756="PEAD",$N756="VCA",$Q756="PREDIAL"),0,0)))))),0)</f>
        <v>0.46</v>
      </c>
      <c r="AK756" s="153" t="n">
        <f aca="false">IF(AA756&lt;&gt;"",AA756,0)</f>
        <v>3.4</v>
      </c>
      <c r="AL756" s="153" t="n">
        <f aca="false">IF(AND($N756="MND",$Q756="EMBOQUE"),$M756,IF(AND($N756="VCA",$Q756="LINEAR"),$M756,IF(AND($N756="VCA",$Q756="PREDIAL"),0,0)))</f>
        <v>139.96</v>
      </c>
      <c r="AM756" s="153" t="n">
        <f aca="false">IF(AND($N756="MND",$Q756="EMBOQUE"),$M756,IF(AND($N756="VCA",$Q756="LINEAR"),$M756,IF(AND($N756="VCA",$Q756="PREDIAL"),0,0)))</f>
        <v>139.96</v>
      </c>
      <c r="AN756" s="153" t="n">
        <f aca="false">ROUND(IF(AND($N756="VCA",$M756&lt;&gt;"",$Q756="LINEAR"),$M756/100,IF(AND($N756="MND",$M756&gt;100,$Q756="EMBOQUE"),$M756/100,0)),0)</f>
        <v>1</v>
      </c>
      <c r="AO756" s="153" t="n">
        <f aca="false">IF(AND($N756="MND",$Q756="EMBOQUE"),$AN756*2*2,IF(AND($N756="VCA",$Q756="LINEAR"),$M756*2,IF(AND($N756="VCA",$Q756="PREDIAL"),0,0)))</f>
        <v>279.92</v>
      </c>
      <c r="AP756" s="153" t="n">
        <f aca="false">IFERROR($M756*$AF756*$AG756,0)</f>
        <v>153.2562</v>
      </c>
      <c r="AQ756" s="153" t="n">
        <f aca="false">IFERROR(IF(AND($N756="VCA",$AH756&gt;0),$M756*$AG756*$AH756,0),0)</f>
        <v>10.497</v>
      </c>
      <c r="AR756" s="153" t="n">
        <f aca="false">IFERROR(IF(AND($N756="VCA",$AJ756&gt;0),($M756*$AG756*$AJ756)-$AI756,0),0)</f>
        <v>45.4721372301029</v>
      </c>
      <c r="AS756" s="153" t="n">
        <f aca="false">IFERROR(IF(AND($N756="VCA",$AP756&gt;0),$AP756-$AI756-$AQ756-$AR756,0),0)</f>
        <v>94.473</v>
      </c>
      <c r="AT756" s="153" t="n">
        <f aca="false">IFERROR(IF($N756="VCA",INDEX(APOIO_REDES!$A:$W,MATCH($C756&amp;$I756&amp;$H756&amp;$N756&amp;$O756,APOIO_REDES!$W:$W,0),MATCH(AT$5,APOIO_REDES!$5:$5,0)),0)*$AP756,0)</f>
        <v>1.66747281751973</v>
      </c>
      <c r="AU756" s="153" t="n">
        <f aca="false">IFERROR(IF($N756="VCA",INDEX(APOIO_REDES!$A:$W,MATCH($C756&amp;$I756&amp;$H756&amp;$N756&amp;$O756,APOIO_REDES!$W:$W,0),MATCH(AU$5,APOIO_REDES!$5:$5,0)),0)*$AP756,0)</f>
        <v>1.33159863118003</v>
      </c>
      <c r="AV756" s="153" t="n">
        <f aca="false">IFERROR(IF($N756="VCA",INDEX(APOIO_REDES!$A:$W,MATCH($C756&amp;$I756&amp;$H756&amp;$N756&amp;$O756,APOIO_REDES!$W:$W,0),MATCH(AV$5,APOIO_REDES!$5:$5,0)),0)*$AP756,0)</f>
        <v>0.184282797096201</v>
      </c>
      <c r="AW756" s="153" t="n">
        <f aca="false">IFERROR(IF($N756="VCA",INDEX(APOIO_REDES!$A:$W,MATCH($C756&amp;$I756&amp;$H756&amp;$N756&amp;$O756,APOIO_REDES!$W:$W,0),MATCH(AW$5,APOIO_REDES!$5:$5,0)),0)*$AP756,0)</f>
        <v>105.196243166984</v>
      </c>
      <c r="AX756" s="153" t="n">
        <f aca="false">IFERROR(IF($N756="VCA",INDEX(APOIO_REDES!$A:$W,MATCH($C756&amp;$I756&amp;$H756&amp;$N756&amp;$O756,APOIO_REDES!$W:$W,0),MATCH(AX$5,APOIO_REDES!$5:$5,0)),0)*$AP756,0)</f>
        <v>14.5588603971398</v>
      </c>
      <c r="AY756" s="153" t="n">
        <f aca="false">IFERROR(IF($N756="VCA",INDEX(APOIO_REDES!$A:$W,MATCH($C756&amp;$I756&amp;$H756&amp;$N756&amp;$O756,APOIO_REDES!$W:$W,0),MATCH(AY$5,APOIO_REDES!$5:$5,0)),0)*$AP756,0)</f>
        <v>26.6319563915212</v>
      </c>
      <c r="AZ756" s="153" t="n">
        <f aca="false">IFERROR(IF($N756="VCA",INDEX(APOIO_REDES!$A:$W,MATCH($C756&amp;$I756&amp;$H756&amp;$N756&amp;$O756,APOIO_REDES!$W:$W,0),MATCH(AZ$5,APOIO_REDES!$5:$5,0)),0)*$AP756,0)</f>
        <v>3.68578579855899</v>
      </c>
      <c r="BA756" s="153" t="n">
        <f aca="false">IFERROR(IF(AND($N756="VCA",$Q756="LINEAR"),INDEX(APOIO_REDES!$A:$W,MATCH($C756&amp;$I756&amp;$H756&amp;$N756&amp;$O756,APOIO_REDES!$W:$W,0),MATCH(BA$5,APOIO_REDES!$5:$5,0)),IF(AND($N756="MND",$Q756="EMBOQUE"),INDEX(APOIO_REDES!$A:$W,MATCH($C756&amp;$I756&amp;$H756&amp;$N756&amp;$O756,APOIO_REDES!$W:$W,0),MATCH(BA$5,APOIO_REDES!$5:$5,0)),0))*$M756/10,0)</f>
        <v>11.2804229620661</v>
      </c>
      <c r="BB756" s="153" t="n">
        <f aca="false">IFERROR(IF($N756="VCA",INDEX(APOIO_REDES!$A:$W,MATCH($C756&amp;$I756&amp;$H756&amp;$N756&amp;$O756,APOIO_REDES!$W:$W,0),MATCH(BB$5,APOIO_REDES!$5:$5,0)),0)*($AI756+$AQ756+$AR756),0)</f>
        <v>58.1436213850609</v>
      </c>
      <c r="BC756" s="153" t="n">
        <f aca="false">IFERROR(IF($N756="VCA",INDEX(APOIO_REDES!$A:$W,MATCH($C756&amp;$I756&amp;$H756&amp;$N756&amp;$O756,APOIO_REDES!$W:$W,0),MATCH(BC$5,APOIO_REDES!$5:$5,0)),0)*($AI756+$AQ756+$AR756),0)</f>
        <v>0.639578614939073</v>
      </c>
      <c r="BD756" s="153" t="n">
        <f aca="false">IF(AND($N756="VCA",$AF756&gt;=1.25,$AF756&lt;1.5),$M756*$AF756*2,0)</f>
        <v>408.6832</v>
      </c>
      <c r="BE756" s="153" t="n">
        <f aca="false">IF(AND($N756="VCA",$AF756&gt;=1.5,$AF756&lt;3),$M756*$AF756*2,0)</f>
        <v>0</v>
      </c>
      <c r="BF756" s="153" t="n">
        <f aca="false">IF(AND($N756="VCA",$AF756&gt;=3),$M756*$AF756*2,0)</f>
        <v>0</v>
      </c>
      <c r="BG756" s="153" t="n">
        <f aca="false">($BB756+$BC756)*$AK756</f>
        <v>199.86288</v>
      </c>
      <c r="BH756" s="153" t="n">
        <f aca="false">IF(AND($M756&lt;&gt;"",$N756="VCA",$Q756="LINEAR"),($M756*2)/100,IF(AND($M756&lt;&gt;"",$N756="MND",$Q756="EMBOQUE"),($AN756*2)/100,0))</f>
        <v>2.7992</v>
      </c>
      <c r="BI756" s="153" t="n">
        <f aca="false">IF(AND($M756&lt;&gt;"",$N756="VCA",$Q756="LINEAR"),$M756,IF(AND($M756&lt;&gt;"",$N756="MND",$Q756="EMBOQUE"),$AN756*2,0))</f>
        <v>139.96</v>
      </c>
      <c r="BJ756" s="153" t="n">
        <f aca="false">IF(AND($M756&lt;&gt;"",$N756="VCA",$Q756="LINEAR"),($M756*6.8)/100,IF(AND($M756&lt;&gt;"",$N756="MND",$Q756="EMBOQUE"),($AN756*2*6.8)/100,0))</f>
        <v>9.51728</v>
      </c>
      <c r="BK756" s="153" t="n">
        <f aca="false">IF(AND($M756&lt;&gt;"",$N756="VCA",$Q756="LINEAR"),($M756*2.5)/50,IF(AND($M756&lt;&gt;"",$N756="MND",$Q756="EMBOQUE"),($AN756*2*2.5)/50,0))</f>
        <v>6.998</v>
      </c>
      <c r="BL756" s="157" t="str">
        <f aca="false">K756&amp;J756</f>
        <v>Zona07REDES</v>
      </c>
      <c r="BM756" s="152" t="s">
        <v>4225</v>
      </c>
      <c r="BN756" s="152" t="s">
        <v>1560</v>
      </c>
      <c r="BO756" s="152" t="s">
        <v>4097</v>
      </c>
      <c r="BP756" s="152" t="s">
        <v>4423</v>
      </c>
      <c r="BQ756" s="152" t="s">
        <v>4414</v>
      </c>
      <c r="BR756" s="152" t="s">
        <v>4427</v>
      </c>
      <c r="BS756" s="152" t="n">
        <v>204219.231</v>
      </c>
      <c r="BT756" s="152" t="n">
        <v>8236692.321</v>
      </c>
      <c r="BU756" s="152" t="n">
        <v>204358.833</v>
      </c>
      <c r="BV756" s="152" t="n">
        <v>8236697.028</v>
      </c>
      <c r="BW756" s="152" t="n">
        <v>-15.931416</v>
      </c>
      <c r="BX756" s="152" t="n">
        <v>-47.7620155</v>
      </c>
      <c r="BY756" s="152" t="s">
        <v>4423</v>
      </c>
    </row>
    <row r="757" customFormat="false" ht="13.8" hidden="false" customHeight="false" outlineLevel="0" collapsed="false">
      <c r="A757" s="149" t="n">
        <f aca="false">IF(C757&lt;&gt;"",ROW(A752),"")</f>
        <v>752</v>
      </c>
      <c r="B757" s="150" t="str">
        <f aca="false">HYPERLINK("https://www.google.com/maps/dir/-15.917302,-47.760003/-15.9314178,-47.7626773/data=!4m3!4m2!3e0!5i2")</f>
        <v>https://www.google.com/maps/dir/-15.917302,-47.760003/-15.9314178,-47.7626773/data=!4m3!4m2!3e0!5i2</v>
      </c>
      <c r="C757" s="151" t="s">
        <v>117</v>
      </c>
      <c r="D757" s="152" t="s">
        <v>112</v>
      </c>
      <c r="E757" s="152" t="s">
        <v>113</v>
      </c>
      <c r="F757" s="152" t="s">
        <v>117</v>
      </c>
      <c r="G757" s="152" t="s">
        <v>782</v>
      </c>
      <c r="H757" s="152" t="n">
        <v>63</v>
      </c>
      <c r="I757" s="152" t="s">
        <v>115</v>
      </c>
      <c r="J757" s="152" t="s">
        <v>6</v>
      </c>
      <c r="K757" s="152" t="s">
        <v>4221</v>
      </c>
      <c r="L757" s="152" t="s">
        <v>120</v>
      </c>
      <c r="M757" s="153" t="n">
        <f aca="false">0.73</f>
        <v>0.73</v>
      </c>
      <c r="N757" s="152" t="s">
        <v>1548</v>
      </c>
      <c r="O757" s="152" t="s">
        <v>1549</v>
      </c>
      <c r="P757" s="152" t="s">
        <v>1550</v>
      </c>
      <c r="Q757" s="152" t="s">
        <v>1551</v>
      </c>
      <c r="R757" s="154" t="s">
        <v>4428</v>
      </c>
      <c r="S757" s="154" t="s">
        <v>1553</v>
      </c>
      <c r="T757" s="155" t="s">
        <v>4095</v>
      </c>
      <c r="U757" s="152" t="str">
        <f aca="false">RIGHT(T757,7)</f>
        <v>016/037</v>
      </c>
      <c r="V757" s="152" t="s">
        <v>1555</v>
      </c>
      <c r="W757" s="156" t="n">
        <v>45882</v>
      </c>
      <c r="X757" s="152" t="s">
        <v>3938</v>
      </c>
      <c r="Y757" s="152" t="s">
        <v>2117</v>
      </c>
      <c r="Z757" s="152" t="s">
        <v>1557</v>
      </c>
      <c r="AA757" s="153" t="n">
        <v>3.4</v>
      </c>
      <c r="AB757" s="151" t="s">
        <v>4429</v>
      </c>
      <c r="AC757" s="151" t="s">
        <v>186</v>
      </c>
      <c r="AD757" s="151" t="str">
        <f aca="false">CONCATENATE($C757,$I757,$H757,$N757,$J757,$K757)</f>
        <v>TUBO PEADPEAD63VCAREDESZona07</v>
      </c>
      <c r="AE757" s="153" t="n">
        <f aca="false">IFERROR(INDEX(APOIO_REDES!$A:$W,MATCH($C757&amp;$I757&amp;$H757&amp;$N757&amp;$O757,APOIO_REDES!$W:$W,0),MATCH(AE$5,APOIO_REDES!$5:$5,0)),0)</f>
        <v>1.2</v>
      </c>
      <c r="AF757" s="153" t="n">
        <f aca="false">IFERROR(INDEX(APOIO_REDES!$A:$W,MATCH($C757&amp;$I757&amp;$H757&amp;$N757&amp;$O757,APOIO_REDES!$W:$W,0),MATCH(AF$5,APOIO_REDES!$5:$5,0)),0)</f>
        <v>1.363</v>
      </c>
      <c r="AG757" s="153" t="n">
        <f aca="false">IFERROR(INDEX(APOIO_REDES!$A:$W,MATCH($C757&amp;$I757&amp;$H757&amp;$N757&amp;$O757,APOIO_REDES!$W:$W,0),MATCH(AG$5,APOIO_REDES!$5:$5,0)),0)</f>
        <v>0.65</v>
      </c>
      <c r="AH757" s="153" t="n">
        <f aca="false">IFERROR(INDEX(APOIO_REDES!$A:$W,MATCH($C757&amp;$I757&amp;$H757&amp;$N757&amp;$O757,APOIO_REDES!$W:$W,0),MATCH(AH$5,APOIO_REDES!$5:$5,0)),0)</f>
        <v>0.1</v>
      </c>
      <c r="AI757" s="153" t="n">
        <f aca="false">IFERROR(IF($H757&lt;&gt;"",(((($H757/1000)/2)^2)*PI()*$M757),0),0)</f>
        <v>0.00227558907668286</v>
      </c>
      <c r="AJ757" s="153" t="n">
        <f aca="false">IFERROR(IF(AND($H757&lt;&gt;"",$I757="FoFo",OR($N757="MND",$N757="VCA"),$Q757="LINEAR"),0,IF(AND($H757&lt;&gt;"",$I757="PEAD",$N757="VCA",$Q757="LINEAR"),($H757/1000)+0.3,IF(AND($H757&lt;&gt;"",$I757="PEAD",$N757="MND",$Q757="EMBOQUE"),0,IF(AND($H757&lt;&gt;"",$I757="PVC",$N757="VCA",$Q757="LINEAR"),($H757/1000)+0.2,IF(AND($H757&lt;&gt;"",$I757="PVC",$N757="MND",$Q757="EMBOQUE"),0,IF(AND($H757&lt;&gt;"",$I757="PEAD",$N757="VCA",$Q757="PREDIAL"),0,0)))))),0)</f>
        <v>0.363</v>
      </c>
      <c r="AK757" s="153" t="n">
        <f aca="false">IF(AA757&lt;&gt;"",AA757,0)</f>
        <v>3.4</v>
      </c>
      <c r="AL757" s="153" t="n">
        <f aca="false">IF(AND($N757="MND",$Q757="EMBOQUE"),$M757,IF(AND($N757="VCA",$Q757="LINEAR"),$M757,IF(AND($N757="VCA",$Q757="PREDIAL"),0,0)))</f>
        <v>0.73</v>
      </c>
      <c r="AM757" s="153" t="n">
        <f aca="false">IF(AND($N757="MND",$Q757="EMBOQUE"),$M757,IF(AND($N757="VCA",$Q757="LINEAR"),$M757,IF(AND($N757="VCA",$Q757="PREDIAL"),0,0)))</f>
        <v>0.73</v>
      </c>
      <c r="AN757" s="153" t="n">
        <f aca="false">ROUND(IF(AND($N757="VCA",$M757&lt;&gt;"",$Q757="LINEAR"),$M757/100,IF(AND($N757="MND",$M757&gt;100,$Q757="EMBOQUE"),$M757/100,0)),0)</f>
        <v>0</v>
      </c>
      <c r="AO757" s="153" t="n">
        <f aca="false">IF(AND($N757="MND",$Q757="EMBOQUE"),$AN757*2*2,IF(AND($N757="VCA",$Q757="LINEAR"),$M757*2,IF(AND($N757="VCA",$Q757="PREDIAL"),0,0)))</f>
        <v>1.46</v>
      </c>
      <c r="AP757" s="153" t="n">
        <f aca="false">IFERROR($M757*$AF757*$AG757,0)</f>
        <v>0.6467435</v>
      </c>
      <c r="AQ757" s="153" t="n">
        <f aca="false">IFERROR(IF(AND($N757="VCA",$AH757&gt;0),$M757*$AG757*$AH757,0),0)</f>
        <v>0.04745</v>
      </c>
      <c r="AR757" s="153" t="n">
        <f aca="false">IFERROR(IF(AND($N757="VCA",$AJ757&gt;0),($M757*$AG757*$AJ757)-$AI757,0),0)</f>
        <v>0.169967910923317</v>
      </c>
      <c r="AS757" s="153" t="n">
        <f aca="false">IFERROR(IF(AND($N757="VCA",$AP757&gt;0),$AP757-$AI757-$AQ757-$AR757,0),0)</f>
        <v>0.42705</v>
      </c>
      <c r="AT757" s="153" t="n">
        <f aca="false">IFERROR(IF($N757="VCA",INDEX(APOIO_REDES!$A:$W,MATCH($C757&amp;$I757&amp;$H757&amp;$N757&amp;$O757,APOIO_REDES!$W:$W,0),MATCH(AT$5,APOIO_REDES!$5:$5,0)),0)*$AP757,0)</f>
        <v>0.00703676070630467</v>
      </c>
      <c r="AU757" s="153" t="n">
        <f aca="false">IFERROR(IF($N757="VCA",INDEX(APOIO_REDES!$A:$W,MATCH($C757&amp;$I757&amp;$H757&amp;$N757&amp;$O757,APOIO_REDES!$W:$W,0),MATCH(AU$5,APOIO_REDES!$5:$5,0)),0)*$AP757,0)</f>
        <v>0.00561936652040557</v>
      </c>
      <c r="AV757" s="153" t="n">
        <f aca="false">IFERROR(IF($N757="VCA",INDEX(APOIO_REDES!$A:$W,MATCH($C757&amp;$I757&amp;$H757&amp;$N757&amp;$O757,APOIO_REDES!$W:$W,0),MATCH(AV$5,APOIO_REDES!$5:$5,0)),0)*$AP757,0)</f>
        <v>0.000777676212667331</v>
      </c>
      <c r="AW757" s="153" t="n">
        <f aca="false">IFERROR(IF($N757="VCA",INDEX(APOIO_REDES!$A:$W,MATCH($C757&amp;$I757&amp;$H757&amp;$N757&amp;$O757,APOIO_REDES!$W:$W,0),MATCH(AW$5,APOIO_REDES!$5:$5,0)),0)*$AP757,0)</f>
        <v>0.443929749613173</v>
      </c>
      <c r="AX757" s="153" t="n">
        <f aca="false">IFERROR(IF($N757="VCA",INDEX(APOIO_REDES!$A:$W,MATCH($C757&amp;$I757&amp;$H757&amp;$N757&amp;$O757,APOIO_REDES!$W:$W,0),MATCH(AX$5,APOIO_REDES!$5:$5,0)),0)*$AP757,0)</f>
        <v>0.0614386127886347</v>
      </c>
      <c r="AY757" s="153" t="n">
        <f aca="false">IFERROR(IF($N757="VCA",INDEX(APOIO_REDES!$A:$W,MATCH($C757&amp;$I757&amp;$H757&amp;$N757&amp;$O757,APOIO_REDES!$W:$W,0),MATCH(AY$5,APOIO_REDES!$5:$5,0)),0)*$AP757,0)</f>
        <v>0.112387261908489</v>
      </c>
      <c r="AZ757" s="153" t="n">
        <f aca="false">IFERROR(IF($N757="VCA",INDEX(APOIO_REDES!$A:$W,MATCH($C757&amp;$I757&amp;$H757&amp;$N757&amp;$O757,APOIO_REDES!$W:$W,0),MATCH(AZ$5,APOIO_REDES!$5:$5,0)),0)*$AP757,0)</f>
        <v>0.0155540722503255</v>
      </c>
      <c r="BA757" s="153" t="n">
        <f aca="false">IFERROR(IF(AND($N757="VCA",$Q757="LINEAR"),INDEX(APOIO_REDES!$A:$W,MATCH($C757&amp;$I757&amp;$H757&amp;$N757&amp;$O757,APOIO_REDES!$W:$W,0),MATCH(BA$5,APOIO_REDES!$5:$5,0)),IF(AND($N757="MND",$Q757="EMBOQUE"),INDEX(APOIO_REDES!$A:$W,MATCH($C757&amp;$I757&amp;$H757&amp;$N757&amp;$O757,APOIO_REDES!$W:$W,0),MATCH(BA$5,APOIO_REDES!$5:$5,0)),0))*$M757/10,0)</f>
        <v>0.0588361586332396</v>
      </c>
      <c r="BB757" s="153" t="n">
        <f aca="false">IFERROR(IF($N757="VCA",INDEX(APOIO_REDES!$A:$W,MATCH($C757&amp;$I757&amp;$H757&amp;$N757&amp;$O757,APOIO_REDES!$W:$W,0),MATCH(BB$5,APOIO_REDES!$5:$5,0)),0)*($AI757+$AQ757+$AR757),0)</f>
        <v>0.217303169694043</v>
      </c>
      <c r="BC757" s="153" t="n">
        <f aca="false">IFERROR(IF($N757="VCA",INDEX(APOIO_REDES!$A:$W,MATCH($C757&amp;$I757&amp;$H757&amp;$N757&amp;$O757,APOIO_REDES!$W:$W,0),MATCH(BC$5,APOIO_REDES!$5:$5,0)),0)*($AI757+$AQ757+$AR757),0)</f>
        <v>0.00239033030595676</v>
      </c>
      <c r="BD757" s="153" t="n">
        <f aca="false">IF(AND($N757="VCA",$AF757&gt;=1.25,$AF757&lt;1.5),$M757*$AF757*2,0)</f>
        <v>1.98998</v>
      </c>
      <c r="BE757" s="153" t="n">
        <f aca="false">IF(AND($N757="VCA",$AF757&gt;=1.5,$AF757&lt;3),$M757*$AF757*2,0)</f>
        <v>0</v>
      </c>
      <c r="BF757" s="153" t="n">
        <f aca="false">IF(AND($N757="VCA",$AF757&gt;=3),$M757*$AF757*2,0)</f>
        <v>0</v>
      </c>
      <c r="BG757" s="153" t="n">
        <f aca="false">($BB757+$BC757)*$AK757</f>
        <v>0.7469579</v>
      </c>
      <c r="BH757" s="153" t="n">
        <f aca="false">IF(AND($M757&lt;&gt;"",$N757="VCA",$Q757="LINEAR"),($M757*2)/100,IF(AND($M757&lt;&gt;"",$N757="MND",$Q757="EMBOQUE"),($AN757*2)/100,0))</f>
        <v>0.0146</v>
      </c>
      <c r="BI757" s="153" t="n">
        <f aca="false">IF(AND($M757&lt;&gt;"",$N757="VCA",$Q757="LINEAR"),$M757,IF(AND($M757&lt;&gt;"",$N757="MND",$Q757="EMBOQUE"),$AN757*2,0))</f>
        <v>0.73</v>
      </c>
      <c r="BJ757" s="153" t="n">
        <f aca="false">IF(AND($M757&lt;&gt;"",$N757="VCA",$Q757="LINEAR"),($M757*6.8)/100,IF(AND($M757&lt;&gt;"",$N757="MND",$Q757="EMBOQUE"),($AN757*2*6.8)/100,0))</f>
        <v>0.04964</v>
      </c>
      <c r="BK757" s="153" t="n">
        <f aca="false">IF(AND($M757&lt;&gt;"",$N757="VCA",$Q757="LINEAR"),($M757*2.5)/50,IF(AND($M757&lt;&gt;"",$N757="MND",$Q757="EMBOQUE"),($AN757*2*2.5)/50,0))</f>
        <v>0.0365</v>
      </c>
      <c r="BL757" s="157" t="str">
        <f aca="false">K757&amp;J757</f>
        <v>Zona07REDES</v>
      </c>
      <c r="BM757" s="152" t="s">
        <v>4225</v>
      </c>
      <c r="BN757" s="152" t="s">
        <v>1560</v>
      </c>
      <c r="BO757" s="152" t="s">
        <v>4097</v>
      </c>
      <c r="BP757" s="152" t="s">
        <v>4430</v>
      </c>
      <c r="BQ757" s="152" t="s">
        <v>4423</v>
      </c>
      <c r="BR757" s="152" t="s">
        <v>4431</v>
      </c>
      <c r="BS757" s="152" t="n">
        <v>204218.279</v>
      </c>
      <c r="BT757" s="152" t="n">
        <v>8236692.321</v>
      </c>
      <c r="BU757" s="152" t="n">
        <v>204219.013</v>
      </c>
      <c r="BV757" s="152" t="n">
        <v>8236692.321</v>
      </c>
      <c r="BW757" s="152" t="n">
        <v>-15.9314179</v>
      </c>
      <c r="BX757" s="152" t="n">
        <v>-47.762673</v>
      </c>
      <c r="BY757" s="152" t="s">
        <v>4430</v>
      </c>
    </row>
    <row r="758" customFormat="false" ht="13.8" hidden="false" customHeight="false" outlineLevel="0" collapsed="false">
      <c r="A758" s="149" t="n">
        <f aca="false">IF(C758&lt;&gt;"",ROW(A753),"")</f>
        <v>753</v>
      </c>
      <c r="B758" s="150" t="str">
        <f aca="false">HYPERLINK("https://www.google.com/maps/dir/-15.917302,-47.760003/-15.9315436,-47.7660642/data=!4m3!4m2!3e0!5i2")</f>
        <v>https://www.google.com/maps/dir/-15.917302,-47.760003/-15.9315436,-47.7660642/data=!4m3!4m2!3e0!5i2</v>
      </c>
      <c r="C758" s="151" t="s">
        <v>117</v>
      </c>
      <c r="D758" s="152" t="s">
        <v>112</v>
      </c>
      <c r="E758" s="152" t="s">
        <v>113</v>
      </c>
      <c r="F758" s="152" t="s">
        <v>117</v>
      </c>
      <c r="G758" s="152" t="s">
        <v>782</v>
      </c>
      <c r="H758" s="152" t="n">
        <v>63</v>
      </c>
      <c r="I758" s="152" t="s">
        <v>115</v>
      </c>
      <c r="J758" s="152" t="s">
        <v>6</v>
      </c>
      <c r="K758" s="152" t="s">
        <v>4221</v>
      </c>
      <c r="L758" s="152" t="s">
        <v>120</v>
      </c>
      <c r="M758" s="153" t="n">
        <f aca="false">62.84</f>
        <v>62.84</v>
      </c>
      <c r="N758" s="152" t="s">
        <v>1548</v>
      </c>
      <c r="O758" s="152" t="s">
        <v>1549</v>
      </c>
      <c r="P758" s="152" t="s">
        <v>1550</v>
      </c>
      <c r="Q758" s="152" t="s">
        <v>1551</v>
      </c>
      <c r="R758" s="154" t="s">
        <v>4432</v>
      </c>
      <c r="S758" s="154" t="s">
        <v>1553</v>
      </c>
      <c r="T758" s="155" t="s">
        <v>4095</v>
      </c>
      <c r="U758" s="152" t="str">
        <f aca="false">RIGHT(T758,7)</f>
        <v>016/037</v>
      </c>
      <c r="V758" s="152" t="s">
        <v>1555</v>
      </c>
      <c r="W758" s="156" t="n">
        <v>45882</v>
      </c>
      <c r="X758" s="152" t="s">
        <v>1594</v>
      </c>
      <c r="Y758" s="152" t="s">
        <v>4015</v>
      </c>
      <c r="Z758" s="152" t="s">
        <v>1557</v>
      </c>
      <c r="AA758" s="153" t="n">
        <v>3.8</v>
      </c>
      <c r="AB758" s="151" t="s">
        <v>4433</v>
      </c>
      <c r="AC758" s="151" t="s">
        <v>186</v>
      </c>
      <c r="AD758" s="151" t="str">
        <f aca="false">CONCATENATE($C758,$I758,$H758,$N758,$J758,$K758)</f>
        <v>TUBO PEADPEAD63VCAREDESZona07</v>
      </c>
      <c r="AE758" s="153" t="n">
        <f aca="false">IFERROR(INDEX(APOIO_REDES!$A:$W,MATCH($C758&amp;$I758&amp;$H758&amp;$N758&amp;$O758,APOIO_REDES!$W:$W,0),MATCH(AE$5,APOIO_REDES!$5:$5,0)),0)</f>
        <v>1.2</v>
      </c>
      <c r="AF758" s="153" t="n">
        <f aca="false">IFERROR(INDEX(APOIO_REDES!$A:$W,MATCH($C758&amp;$I758&amp;$H758&amp;$N758&amp;$O758,APOIO_REDES!$W:$W,0),MATCH(AF$5,APOIO_REDES!$5:$5,0)),0)</f>
        <v>1.363</v>
      </c>
      <c r="AG758" s="153" t="n">
        <f aca="false">IFERROR(INDEX(APOIO_REDES!$A:$W,MATCH($C758&amp;$I758&amp;$H758&amp;$N758&amp;$O758,APOIO_REDES!$W:$W,0),MATCH(AG$5,APOIO_REDES!$5:$5,0)),0)</f>
        <v>0.65</v>
      </c>
      <c r="AH758" s="153" t="n">
        <f aca="false">IFERROR(INDEX(APOIO_REDES!$A:$W,MATCH($C758&amp;$I758&amp;$H758&amp;$N758&amp;$O758,APOIO_REDES!$W:$W,0),MATCH(AH$5,APOIO_REDES!$5:$5,0)),0)</f>
        <v>0.1</v>
      </c>
      <c r="AI758" s="153" t="n">
        <f aca="false">IFERROR(IF($H758&lt;&gt;"",(((($H758/1000)/2)^2)*PI()*$M758),0),0)</f>
        <v>0.195887695313358</v>
      </c>
      <c r="AJ758" s="153" t="n">
        <f aca="false">IFERROR(IF(AND($H758&lt;&gt;"",$I758="FoFo",OR($N758="MND",$N758="VCA"),$Q758="LINEAR"),0,IF(AND($H758&lt;&gt;"",$I758="PEAD",$N758="VCA",$Q758="LINEAR"),($H758/1000)+0.3,IF(AND($H758&lt;&gt;"",$I758="PEAD",$N758="MND",$Q758="EMBOQUE"),0,IF(AND($H758&lt;&gt;"",$I758="PVC",$N758="VCA",$Q758="LINEAR"),($H758/1000)+0.2,IF(AND($H758&lt;&gt;"",$I758="PVC",$N758="MND",$Q758="EMBOQUE"),0,IF(AND($H758&lt;&gt;"",$I758="PEAD",$N758="VCA",$Q758="PREDIAL"),0,0)))))),0)</f>
        <v>0.363</v>
      </c>
      <c r="AK758" s="153" t="n">
        <f aca="false">IF(AA758&lt;&gt;"",AA758,0)</f>
        <v>3.8</v>
      </c>
      <c r="AL758" s="153" t="n">
        <f aca="false">IF(AND($N758="MND",$Q758="EMBOQUE"),$M758,IF(AND($N758="VCA",$Q758="LINEAR"),$M758,IF(AND($N758="VCA",$Q758="PREDIAL"),0,0)))</f>
        <v>62.84</v>
      </c>
      <c r="AM758" s="153" t="n">
        <f aca="false">IF(AND($N758="MND",$Q758="EMBOQUE"),$M758,IF(AND($N758="VCA",$Q758="LINEAR"),$M758,IF(AND($N758="VCA",$Q758="PREDIAL"),0,0)))</f>
        <v>62.84</v>
      </c>
      <c r="AN758" s="153" t="n">
        <f aca="false">ROUND(IF(AND($N758="VCA",$M758&lt;&gt;"",$Q758="LINEAR"),$M758/100,IF(AND($N758="MND",$M758&gt;100,$Q758="EMBOQUE"),$M758/100,0)),0)</f>
        <v>1</v>
      </c>
      <c r="AO758" s="153" t="n">
        <f aca="false">IF(AND($N758="MND",$Q758="EMBOQUE"),$AN758*2*2,IF(AND($N758="VCA",$Q758="LINEAR"),$M758*2,IF(AND($N758="VCA",$Q758="PREDIAL"),0,0)))</f>
        <v>125.68</v>
      </c>
      <c r="AP758" s="153" t="n">
        <f aca="false">IFERROR($M758*$AF758*$AG758,0)</f>
        <v>55.673098</v>
      </c>
      <c r="AQ758" s="153" t="n">
        <f aca="false">IFERROR(IF(AND($N758="VCA",$AH758&gt;0),$M758*$AG758*$AH758,0),0)</f>
        <v>4.0846</v>
      </c>
      <c r="AR758" s="153" t="n">
        <f aca="false">IFERROR(IF(AND($N758="VCA",$AJ758&gt;0),($M758*$AG758*$AJ758)-$AI758,0),0)</f>
        <v>14.6312103046866</v>
      </c>
      <c r="AS758" s="153" t="n">
        <f aca="false">IFERROR(IF(AND($N758="VCA",$AP758&gt;0),$AP758-$AI758-$AQ758-$AR758,0),0)</f>
        <v>36.7614</v>
      </c>
      <c r="AT758" s="153" t="n">
        <f aca="false">IFERROR(IF($N758="VCA",INDEX(APOIO_REDES!$A:$W,MATCH($C758&amp;$I758&amp;$H758&amp;$N758&amp;$O758,APOIO_REDES!$W:$W,0),MATCH(AT$5,APOIO_REDES!$5:$5,0)),0)*$AP758,0)</f>
        <v>0.60573978463587</v>
      </c>
      <c r="AU758" s="153" t="n">
        <f aca="false">IFERROR(IF($N758="VCA",INDEX(APOIO_REDES!$A:$W,MATCH($C758&amp;$I758&amp;$H758&amp;$N758&amp;$O758,APOIO_REDES!$W:$W,0),MATCH(AU$5,APOIO_REDES!$5:$5,0)),0)*$AP758,0)</f>
        <v>0.483727386496283</v>
      </c>
      <c r="AV758" s="153" t="n">
        <f aca="false">IFERROR(IF($N758="VCA",INDEX(APOIO_REDES!$A:$W,MATCH($C758&amp;$I758&amp;$H758&amp;$N758&amp;$O758,APOIO_REDES!$W:$W,0),MATCH(AV$5,APOIO_REDES!$5:$5,0)),0)*$AP758,0)</f>
        <v>0.0669440728822124</v>
      </c>
      <c r="AW758" s="153" t="n">
        <f aca="false">IFERROR(IF($N758="VCA",INDEX(APOIO_REDES!$A:$W,MATCH($C758&amp;$I758&amp;$H758&amp;$N758&amp;$O758,APOIO_REDES!$W:$W,0),MATCH(AW$5,APOIO_REDES!$5:$5,0)),0)*$AP758,0)</f>
        <v>38.2144458434134</v>
      </c>
      <c r="AX758" s="153" t="n">
        <f aca="false">IFERROR(IF($N758="VCA",INDEX(APOIO_REDES!$A:$W,MATCH($C758&amp;$I758&amp;$H758&amp;$N758&amp;$O758,APOIO_REDES!$W:$W,0),MATCH(AX$5,APOIO_REDES!$5:$5,0)),0)*$AP758,0)</f>
        <v>5.28877044881891</v>
      </c>
      <c r="AY758" s="153" t="n">
        <f aca="false">IFERROR(IF($N758="VCA",INDEX(APOIO_REDES!$A:$W,MATCH($C758&amp;$I758&amp;$H758&amp;$N758&amp;$O758,APOIO_REDES!$W:$W,0),MATCH(AY$5,APOIO_REDES!$5:$5,0)),0)*$AP758,0)</f>
        <v>9.67454183332802</v>
      </c>
      <c r="AZ758" s="153" t="n">
        <f aca="false">IFERROR(IF($N758="VCA",INDEX(APOIO_REDES!$A:$W,MATCH($C758&amp;$I758&amp;$H758&amp;$N758&amp;$O758,APOIO_REDES!$W:$W,0),MATCH(AZ$5,APOIO_REDES!$5:$5,0)),0)*$AP758,0)</f>
        <v>1.33892863042528</v>
      </c>
      <c r="BA758" s="153" t="n">
        <f aca="false">IFERROR(IF(AND($N758="VCA",$Q758="LINEAR"),INDEX(APOIO_REDES!$A:$W,MATCH($C758&amp;$I758&amp;$H758&amp;$N758&amp;$O758,APOIO_REDES!$W:$W,0),MATCH(BA$5,APOIO_REDES!$5:$5,0)),IF(AND($N758="MND",$Q758="EMBOQUE"),INDEX(APOIO_REDES!$A:$W,MATCH($C758&amp;$I758&amp;$H758&amp;$N758&amp;$O758,APOIO_REDES!$W:$W,0),MATCH(BA$5,APOIO_REDES!$5:$5,0)),0))*$M758/10,0)</f>
        <v>5.06474549111339</v>
      </c>
      <c r="BB758" s="153" t="n">
        <f aca="false">IFERROR(IF($N758="VCA",INDEX(APOIO_REDES!$A:$W,MATCH($C758&amp;$I758&amp;$H758&amp;$N758&amp;$O758,APOIO_REDES!$W:$W,0),MATCH(BB$5,APOIO_REDES!$5:$5,0)),0)*($AI758+$AQ758+$AR758),0)</f>
        <v>18.7059331281831</v>
      </c>
      <c r="BC758" s="153" t="n">
        <f aca="false">IFERROR(IF($N758="VCA",INDEX(APOIO_REDES!$A:$W,MATCH($C758&amp;$I758&amp;$H758&amp;$N758&amp;$O758,APOIO_REDES!$W:$W,0),MATCH(BC$5,APOIO_REDES!$5:$5,0)),0)*($AI758+$AQ758+$AR758),0)</f>
        <v>0.20576487181688</v>
      </c>
      <c r="BD758" s="153" t="n">
        <f aca="false">IF(AND($N758="VCA",$AF758&gt;=1.25,$AF758&lt;1.5),$M758*$AF758*2,0)</f>
        <v>171.30184</v>
      </c>
      <c r="BE758" s="153" t="n">
        <f aca="false">IF(AND($N758="VCA",$AF758&gt;=1.5,$AF758&lt;3),$M758*$AF758*2,0)</f>
        <v>0</v>
      </c>
      <c r="BF758" s="153" t="n">
        <f aca="false">IF(AND($N758="VCA",$AF758&gt;=3),$M758*$AF758*2,0)</f>
        <v>0</v>
      </c>
      <c r="BG758" s="153" t="n">
        <f aca="false">($BB758+$BC758)*$AK758</f>
        <v>71.8644524</v>
      </c>
      <c r="BH758" s="153" t="n">
        <f aca="false">IF(AND($M758&lt;&gt;"",$N758="VCA",$Q758="LINEAR"),($M758*2)/100,IF(AND($M758&lt;&gt;"",$N758="MND",$Q758="EMBOQUE"),($AN758*2)/100,0))</f>
        <v>1.2568</v>
      </c>
      <c r="BI758" s="153" t="n">
        <f aca="false">IF(AND($M758&lt;&gt;"",$N758="VCA",$Q758="LINEAR"),$M758,IF(AND($M758&lt;&gt;"",$N758="MND",$Q758="EMBOQUE"),$AN758*2,0))</f>
        <v>62.84</v>
      </c>
      <c r="BJ758" s="153" t="n">
        <f aca="false">IF(AND($M758&lt;&gt;"",$N758="VCA",$Q758="LINEAR"),($M758*6.8)/100,IF(AND($M758&lt;&gt;"",$N758="MND",$Q758="EMBOQUE"),($AN758*2*6.8)/100,0))</f>
        <v>4.27312</v>
      </c>
      <c r="BK758" s="153" t="n">
        <f aca="false">IF(AND($M758&lt;&gt;"",$N758="VCA",$Q758="LINEAR"),($M758*2.5)/50,IF(AND($M758&lt;&gt;"",$N758="MND",$Q758="EMBOQUE"),($AN758*2*2.5)/50,0))</f>
        <v>3.142</v>
      </c>
      <c r="BL758" s="157" t="str">
        <f aca="false">K758&amp;J758</f>
        <v>Zona07REDES</v>
      </c>
      <c r="BM758" s="152" t="s">
        <v>4225</v>
      </c>
      <c r="BN758" s="152" t="s">
        <v>1560</v>
      </c>
      <c r="BO758" s="152" t="s">
        <v>4097</v>
      </c>
      <c r="BP758" s="152" t="s">
        <v>4209</v>
      </c>
      <c r="BQ758" s="152" t="s">
        <v>2032</v>
      </c>
      <c r="BR758" s="152" t="s">
        <v>4206</v>
      </c>
      <c r="BS758" s="152" t="n">
        <v>203855.518</v>
      </c>
      <c r="BT758" s="152" t="n">
        <v>8236673.59</v>
      </c>
      <c r="BU758" s="152" t="n">
        <v>203905.324</v>
      </c>
      <c r="BV758" s="152" t="n">
        <v>8236711.675</v>
      </c>
      <c r="BW758" s="152" t="n">
        <v>-15.9313874</v>
      </c>
      <c r="BX758" s="152" t="n">
        <v>-47.7658197</v>
      </c>
      <c r="BY758" s="152" t="s">
        <v>4209</v>
      </c>
    </row>
    <row r="759" customFormat="false" ht="13.8" hidden="false" customHeight="false" outlineLevel="0" collapsed="false">
      <c r="A759" s="149" t="n">
        <f aca="false">IF(C759&lt;&gt;"",ROW(A754),"")</f>
        <v>754</v>
      </c>
      <c r="B759" s="150" t="str">
        <f aca="false">HYPERLINK("https://www.google.com/maps/dir/-15.917302,-47.760003/-15.9316722,-47.7654070/data=!4m3!4m2!3e0!5i2")</f>
        <v>https://www.google.com/maps/dir/-15.917302,-47.760003/-15.9316722,-47.7654070/data=!4m3!4m2!3e0!5i2</v>
      </c>
      <c r="C759" s="151" t="s">
        <v>117</v>
      </c>
      <c r="D759" s="152" t="s">
        <v>112</v>
      </c>
      <c r="E759" s="152" t="s">
        <v>113</v>
      </c>
      <c r="F759" s="152" t="s">
        <v>117</v>
      </c>
      <c r="G759" s="152" t="s">
        <v>782</v>
      </c>
      <c r="H759" s="152" t="n">
        <v>63</v>
      </c>
      <c r="I759" s="152" t="s">
        <v>115</v>
      </c>
      <c r="J759" s="152" t="s">
        <v>6</v>
      </c>
      <c r="K759" s="152" t="s">
        <v>4221</v>
      </c>
      <c r="L759" s="152" t="s">
        <v>120</v>
      </c>
      <c r="M759" s="153" t="n">
        <f aca="false">86.68+4.48</f>
        <v>91.16</v>
      </c>
      <c r="N759" s="152" t="s">
        <v>1548</v>
      </c>
      <c r="O759" s="152" t="s">
        <v>1549</v>
      </c>
      <c r="P759" s="152" t="s">
        <v>1550</v>
      </c>
      <c r="Q759" s="152" t="s">
        <v>1551</v>
      </c>
      <c r="R759" s="154" t="s">
        <v>4434</v>
      </c>
      <c r="S759" s="154" t="s">
        <v>1553</v>
      </c>
      <c r="T759" s="155" t="s">
        <v>4095</v>
      </c>
      <c r="U759" s="152" t="str">
        <f aca="false">RIGHT(T759,7)</f>
        <v>016/037</v>
      </c>
      <c r="V759" s="152" t="s">
        <v>1555</v>
      </c>
      <c r="W759" s="156" t="n">
        <v>45882</v>
      </c>
      <c r="X759" s="152" t="s">
        <v>1594</v>
      </c>
      <c r="Y759" s="152" t="s">
        <v>4435</v>
      </c>
      <c r="Z759" s="152" t="s">
        <v>1557</v>
      </c>
      <c r="AA759" s="153" t="n">
        <v>3.7</v>
      </c>
      <c r="AB759" s="151" t="s">
        <v>4436</v>
      </c>
      <c r="AC759" s="151" t="s">
        <v>186</v>
      </c>
      <c r="AD759" s="151" t="str">
        <f aca="false">CONCATENATE($C759,$I759,$H759,$N759,$J759,$K759)</f>
        <v>TUBO PEADPEAD63VCAREDESZona07</v>
      </c>
      <c r="AE759" s="153" t="n">
        <f aca="false">IFERROR(INDEX(APOIO_REDES!$A:$W,MATCH($C759&amp;$I759&amp;$H759&amp;$N759&amp;$O759,APOIO_REDES!$W:$W,0),MATCH(AE$5,APOIO_REDES!$5:$5,0)),0)</f>
        <v>1.2</v>
      </c>
      <c r="AF759" s="153" t="n">
        <f aca="false">IFERROR(INDEX(APOIO_REDES!$A:$W,MATCH($C759&amp;$I759&amp;$H759&amp;$N759&amp;$O759,APOIO_REDES!$W:$W,0),MATCH(AF$5,APOIO_REDES!$5:$5,0)),0)</f>
        <v>1.363</v>
      </c>
      <c r="AG759" s="153" t="n">
        <f aca="false">IFERROR(INDEX(APOIO_REDES!$A:$W,MATCH($C759&amp;$I759&amp;$H759&amp;$N759&amp;$O759,APOIO_REDES!$W:$W,0),MATCH(AG$5,APOIO_REDES!$5:$5,0)),0)</f>
        <v>0.65</v>
      </c>
      <c r="AH759" s="153" t="n">
        <f aca="false">IFERROR(INDEX(APOIO_REDES!$A:$W,MATCH($C759&amp;$I759&amp;$H759&amp;$N759&amp;$O759,APOIO_REDES!$W:$W,0),MATCH(AH$5,APOIO_REDES!$5:$5,0)),0)</f>
        <v>0.1</v>
      </c>
      <c r="AI759" s="153" t="n">
        <f aca="false">IFERROR(IF($H759&lt;&gt;"",(((($H759/1000)/2)^2)*PI()*$M759),0),0)</f>
        <v>0.284168082507411</v>
      </c>
      <c r="AJ759" s="153" t="n">
        <f aca="false">IFERROR(IF(AND($H759&lt;&gt;"",$I759="FoFo",OR($N759="MND",$N759="VCA"),$Q759="LINEAR"),0,IF(AND($H759&lt;&gt;"",$I759="PEAD",$N759="VCA",$Q759="LINEAR"),($H759/1000)+0.3,IF(AND($H759&lt;&gt;"",$I759="PEAD",$N759="MND",$Q759="EMBOQUE"),0,IF(AND($H759&lt;&gt;"",$I759="PVC",$N759="VCA",$Q759="LINEAR"),($H759/1000)+0.2,IF(AND($H759&lt;&gt;"",$I759="PVC",$N759="MND",$Q759="EMBOQUE"),0,IF(AND($H759&lt;&gt;"",$I759="PEAD",$N759="VCA",$Q759="PREDIAL"),0,0)))))),0)</f>
        <v>0.363</v>
      </c>
      <c r="AK759" s="153" t="n">
        <f aca="false">IF(AA759&lt;&gt;"",AA759,0)</f>
        <v>3.7</v>
      </c>
      <c r="AL759" s="153" t="n">
        <f aca="false">IF(AND($N759="MND",$Q759="EMBOQUE"),$M759,IF(AND($N759="VCA",$Q759="LINEAR"),$M759,IF(AND($N759="VCA",$Q759="PREDIAL"),0,0)))</f>
        <v>91.16</v>
      </c>
      <c r="AM759" s="153" t="n">
        <f aca="false">IF(AND($N759="MND",$Q759="EMBOQUE"),$M759,IF(AND($N759="VCA",$Q759="LINEAR"),$M759,IF(AND($N759="VCA",$Q759="PREDIAL"),0,0)))</f>
        <v>91.16</v>
      </c>
      <c r="AN759" s="153" t="n">
        <f aca="false">ROUND(IF(AND($N759="VCA",$M759&lt;&gt;"",$Q759="LINEAR"),$M759/100,IF(AND($N759="MND",$M759&gt;100,$Q759="EMBOQUE"),$M759/100,0)),0)</f>
        <v>1</v>
      </c>
      <c r="AO759" s="153" t="n">
        <f aca="false">IF(AND($N759="MND",$Q759="EMBOQUE"),$AN759*2*2,IF(AND($N759="VCA",$Q759="LINEAR"),$M759*2,IF(AND($N759="VCA",$Q759="PREDIAL"),0,0)))</f>
        <v>182.32</v>
      </c>
      <c r="AP759" s="153" t="n">
        <f aca="false">IFERROR($M759*$AF759*$AG759,0)</f>
        <v>80.763202</v>
      </c>
      <c r="AQ759" s="153" t="n">
        <f aca="false">IFERROR(IF(AND($N759="VCA",$AH759&gt;0),$M759*$AG759*$AH759,0),0)</f>
        <v>5.9254</v>
      </c>
      <c r="AR759" s="153" t="n">
        <f aca="false">IFERROR(IF(AND($N759="VCA",$AJ759&gt;0),($M759*$AG759*$AJ759)-$AI759,0),0)</f>
        <v>21.2250339174926</v>
      </c>
      <c r="AS759" s="153" t="n">
        <f aca="false">IFERROR(IF(AND($N759="VCA",$AP759&gt;0),$AP759-$AI759-$AQ759-$AR759,0),0)</f>
        <v>53.3286</v>
      </c>
      <c r="AT759" s="153" t="n">
        <f aca="false">IFERROR(IF($N759="VCA",INDEX(APOIO_REDES!$A:$W,MATCH($C759&amp;$I759&amp;$H759&amp;$N759&amp;$O759,APOIO_REDES!$W:$W,0),MATCH(AT$5,APOIO_REDES!$5:$5,0)),0)*$AP759,0)</f>
        <v>0.87872754244758</v>
      </c>
      <c r="AU759" s="153" t="n">
        <f aca="false">IFERROR(IF($N759="VCA",INDEX(APOIO_REDES!$A:$W,MATCH($C759&amp;$I759&amp;$H759&amp;$N759&amp;$O759,APOIO_REDES!$W:$W,0),MATCH(AU$5,APOIO_REDES!$5:$5,0)),0)*$AP759,0)</f>
        <v>0.701728016438592</v>
      </c>
      <c r="AV759" s="153" t="n">
        <f aca="false">IFERROR(IF($N759="VCA",INDEX(APOIO_REDES!$A:$W,MATCH($C759&amp;$I759&amp;$H759&amp;$N759&amp;$O759,APOIO_REDES!$W:$W,0),MATCH(AV$5,APOIO_REDES!$5:$5,0)),0)*$AP759,0)</f>
        <v>0.0971136486941834</v>
      </c>
      <c r="AW759" s="153" t="n">
        <f aca="false">IFERROR(IF($N759="VCA",INDEX(APOIO_REDES!$A:$W,MATCH($C759&amp;$I759&amp;$H759&amp;$N759&amp;$O759,APOIO_REDES!$W:$W,0),MATCH(AW$5,APOIO_REDES!$5:$5,0)),0)*$AP759,0)</f>
        <v>55.4364876366259</v>
      </c>
      <c r="AX759" s="153" t="n">
        <f aca="false">IFERROR(IF($N759="VCA",INDEX(APOIO_REDES!$A:$W,MATCH($C759&amp;$I759&amp;$H759&amp;$N759&amp;$O759,APOIO_REDES!$W:$W,0),MATCH(AX$5,APOIO_REDES!$5:$5,0)),0)*$AP759,0)</f>
        <v>7.67225197508485</v>
      </c>
      <c r="AY759" s="153" t="n">
        <f aca="false">IFERROR(IF($N759="VCA",INDEX(APOIO_REDES!$A:$W,MATCH($C759&amp;$I759&amp;$H759&amp;$N759&amp;$O759,APOIO_REDES!$W:$W,0),MATCH(AY$5,APOIO_REDES!$5:$5,0)),0)*$AP759,0)</f>
        <v>14.0345517747642</v>
      </c>
      <c r="AZ759" s="153" t="n">
        <f aca="false">IFERROR(IF($N759="VCA",INDEX(APOIO_REDES!$A:$W,MATCH($C759&amp;$I759&amp;$H759&amp;$N759&amp;$O759,APOIO_REDES!$W:$W,0),MATCH(AZ$5,APOIO_REDES!$5:$5,0)),0)*$AP759,0)</f>
        <v>1.94234140594476</v>
      </c>
      <c r="BA759" s="153" t="n">
        <f aca="false">IFERROR(IF(AND($N759="VCA",$Q759="LINEAR"),INDEX(APOIO_REDES!$A:$W,MATCH($C759&amp;$I759&amp;$H759&amp;$N759&amp;$O759,APOIO_REDES!$W:$W,0),MATCH(BA$5,APOIO_REDES!$5:$5,0)),IF(AND($N759="MND",$Q759="EMBOQUE"),INDEX(APOIO_REDES!$A:$W,MATCH($C759&amp;$I759&amp;$H759&amp;$N759&amp;$O759,APOIO_REDES!$W:$W,0),MATCH(BA$5,APOIO_REDES!$5:$5,0)),0))*$M759/10,0)</f>
        <v>7.34726605617277</v>
      </c>
      <c r="BB759" s="153" t="n">
        <f aca="false">IFERROR(IF($N759="VCA",INDEX(APOIO_REDES!$A:$W,MATCH($C759&amp;$I759&amp;$H759&amp;$N759&amp;$O759,APOIO_REDES!$W:$W,0),MATCH(BB$5,APOIO_REDES!$5:$5,0)),0)*($AI759+$AQ759+$AR759),0)</f>
        <v>27.1361054100123</v>
      </c>
      <c r="BC759" s="153" t="n">
        <f aca="false">IFERROR(IF($N759="VCA",INDEX(APOIO_REDES!$A:$W,MATCH($C759&amp;$I759&amp;$H759&amp;$N759&amp;$O759,APOIO_REDES!$W:$W,0),MATCH(BC$5,APOIO_REDES!$5:$5,0)),0)*($AI759+$AQ759+$AR759),0)</f>
        <v>0.298496589987696</v>
      </c>
      <c r="BD759" s="153" t="n">
        <f aca="false">IF(AND($N759="VCA",$AF759&gt;=1.25,$AF759&lt;1.5),$M759*$AF759*2,0)</f>
        <v>248.50216</v>
      </c>
      <c r="BE759" s="153" t="n">
        <f aca="false">IF(AND($N759="VCA",$AF759&gt;=1.5,$AF759&lt;3),$M759*$AF759*2,0)</f>
        <v>0</v>
      </c>
      <c r="BF759" s="153" t="n">
        <f aca="false">IF(AND($N759="VCA",$AF759&gt;=3),$M759*$AF759*2,0)</f>
        <v>0</v>
      </c>
      <c r="BG759" s="153" t="n">
        <f aca="false">($BB759+$BC759)*$AK759</f>
        <v>101.5080274</v>
      </c>
      <c r="BH759" s="153" t="n">
        <f aca="false">IF(AND($M759&lt;&gt;"",$N759="VCA",$Q759="LINEAR"),($M759*2)/100,IF(AND($M759&lt;&gt;"",$N759="MND",$Q759="EMBOQUE"),($AN759*2)/100,0))</f>
        <v>1.8232</v>
      </c>
      <c r="BI759" s="153" t="n">
        <f aca="false">IF(AND($M759&lt;&gt;"",$N759="VCA",$Q759="LINEAR"),$M759,IF(AND($M759&lt;&gt;"",$N759="MND",$Q759="EMBOQUE"),$AN759*2,0))</f>
        <v>91.16</v>
      </c>
      <c r="BJ759" s="153" t="n">
        <f aca="false">IF(AND($M759&lt;&gt;"",$N759="VCA",$Q759="LINEAR"),($M759*6.8)/100,IF(AND($M759&lt;&gt;"",$N759="MND",$Q759="EMBOQUE"),($AN759*2*6.8)/100,0))</f>
        <v>6.19888</v>
      </c>
      <c r="BK759" s="153" t="n">
        <f aca="false">IF(AND($M759&lt;&gt;"",$N759="VCA",$Q759="LINEAR"),($M759*2.5)/50,IF(AND($M759&lt;&gt;"",$N759="MND",$Q759="EMBOQUE"),($AN759*2*2.5)/50,0))</f>
        <v>4.558</v>
      </c>
      <c r="BL759" s="157" t="str">
        <f aca="false">K759&amp;J759</f>
        <v>Zona07REDES</v>
      </c>
      <c r="BM759" s="152" t="s">
        <v>4225</v>
      </c>
      <c r="BN759" s="152" t="s">
        <v>1560</v>
      </c>
      <c r="BO759" s="152" t="s">
        <v>4097</v>
      </c>
      <c r="BP759" s="152" t="s">
        <v>4437</v>
      </c>
      <c r="BQ759" s="152" t="s">
        <v>4383</v>
      </c>
      <c r="BR759" s="152" t="s">
        <v>4438</v>
      </c>
      <c r="BS759" s="152" t="n">
        <v>203926.113</v>
      </c>
      <c r="BT759" s="152" t="n">
        <v>8236660.28</v>
      </c>
      <c r="BU759" s="152" t="n">
        <v>203991.456</v>
      </c>
      <c r="BV759" s="152" t="n">
        <v>8236717.083</v>
      </c>
      <c r="BW759" s="152" t="n">
        <v>-15.931409</v>
      </c>
      <c r="BX759" s="152" t="n">
        <v>-47.7651077</v>
      </c>
      <c r="BY759" s="152" t="s">
        <v>4437</v>
      </c>
    </row>
    <row r="760" customFormat="false" ht="13.8" hidden="false" customHeight="false" outlineLevel="0" collapsed="false">
      <c r="A760" s="149" t="n">
        <f aca="false">IF(C760&lt;&gt;"",ROW(A755),"")</f>
        <v>755</v>
      </c>
      <c r="B760" s="150" t="str">
        <f aca="false">HYPERLINK("https://www.google.com/maps/dir/-15.917302,-47.760003/-15.9314178,-47.7626773/data=!4m3!4m2!3e0!5i2")</f>
        <v>https://www.google.com/maps/dir/-15.917302,-47.760003/-15.9314178,-47.7626773/data=!4m3!4m2!3e0!5i2</v>
      </c>
      <c r="C760" s="151" t="s">
        <v>117</v>
      </c>
      <c r="D760" s="152" t="s">
        <v>112</v>
      </c>
      <c r="E760" s="152" t="s">
        <v>113</v>
      </c>
      <c r="F760" s="152" t="s">
        <v>117</v>
      </c>
      <c r="G760" s="152" t="s">
        <v>782</v>
      </c>
      <c r="H760" s="152" t="n">
        <v>63</v>
      </c>
      <c r="I760" s="152" t="s">
        <v>115</v>
      </c>
      <c r="J760" s="152" t="s">
        <v>6</v>
      </c>
      <c r="K760" s="152" t="s">
        <v>4221</v>
      </c>
      <c r="L760" s="152" t="s">
        <v>120</v>
      </c>
      <c r="M760" s="153" t="n">
        <f aca="false">10.12+4.37</f>
        <v>14.49</v>
      </c>
      <c r="N760" s="152" t="s">
        <v>1548</v>
      </c>
      <c r="O760" s="152" t="s">
        <v>1549</v>
      </c>
      <c r="P760" s="152" t="s">
        <v>1550</v>
      </c>
      <c r="Q760" s="152" t="s">
        <v>1551</v>
      </c>
      <c r="R760" s="154" t="s">
        <v>4439</v>
      </c>
      <c r="S760" s="154" t="s">
        <v>1553</v>
      </c>
      <c r="T760" s="155" t="s">
        <v>4095</v>
      </c>
      <c r="U760" s="152" t="str">
        <f aca="false">RIGHT(T760,7)</f>
        <v>016/037</v>
      </c>
      <c r="V760" s="152" t="s">
        <v>1555</v>
      </c>
      <c r="W760" s="156" t="n">
        <v>45882</v>
      </c>
      <c r="X760" s="152" t="s">
        <v>3938</v>
      </c>
      <c r="Y760" s="152" t="s">
        <v>2117</v>
      </c>
      <c r="Z760" s="152" t="s">
        <v>1557</v>
      </c>
      <c r="AA760" s="153" t="n">
        <v>3.4</v>
      </c>
      <c r="AB760" s="151" t="s">
        <v>4440</v>
      </c>
      <c r="AC760" s="151" t="s">
        <v>186</v>
      </c>
      <c r="AD760" s="151" t="str">
        <f aca="false">CONCATENATE($C760,$I760,$H760,$N760,$J760,$K760)</f>
        <v>TUBO PEADPEAD63VCAREDESZona07</v>
      </c>
      <c r="AE760" s="153" t="n">
        <f aca="false">IFERROR(INDEX(APOIO_REDES!$A:$W,MATCH($C760&amp;$I760&amp;$H760&amp;$N760&amp;$O760,APOIO_REDES!$W:$W,0),MATCH(AE$5,APOIO_REDES!$5:$5,0)),0)</f>
        <v>1.2</v>
      </c>
      <c r="AF760" s="153" t="n">
        <f aca="false">IFERROR(INDEX(APOIO_REDES!$A:$W,MATCH($C760&amp;$I760&amp;$H760&amp;$N760&amp;$O760,APOIO_REDES!$W:$W,0),MATCH(AF$5,APOIO_REDES!$5:$5,0)),0)</f>
        <v>1.363</v>
      </c>
      <c r="AG760" s="153" t="n">
        <f aca="false">IFERROR(INDEX(APOIO_REDES!$A:$W,MATCH($C760&amp;$I760&amp;$H760&amp;$N760&amp;$O760,APOIO_REDES!$W:$W,0),MATCH(AG$5,APOIO_REDES!$5:$5,0)),0)</f>
        <v>0.65</v>
      </c>
      <c r="AH760" s="153" t="n">
        <f aca="false">IFERROR(INDEX(APOIO_REDES!$A:$W,MATCH($C760&amp;$I760&amp;$H760&amp;$N760&amp;$O760,APOIO_REDES!$W:$W,0),MATCH(AH$5,APOIO_REDES!$5:$5,0)),0)</f>
        <v>0.1</v>
      </c>
      <c r="AI760" s="153" t="n">
        <f aca="false">IFERROR(IF($H760&lt;&gt;"",(((($H760/1000)/2)^2)*PI()*$M760),0),0)</f>
        <v>0.0451688845494996</v>
      </c>
      <c r="AJ760" s="153" t="n">
        <f aca="false">IFERROR(IF(AND($H760&lt;&gt;"",$I760="FoFo",OR($N760="MND",$N760="VCA"),$Q760="LINEAR"),0,IF(AND($H760&lt;&gt;"",$I760="PEAD",$N760="VCA",$Q760="LINEAR"),($H760/1000)+0.3,IF(AND($H760&lt;&gt;"",$I760="PEAD",$N760="MND",$Q760="EMBOQUE"),0,IF(AND($H760&lt;&gt;"",$I760="PVC",$N760="VCA",$Q760="LINEAR"),($H760/1000)+0.2,IF(AND($H760&lt;&gt;"",$I760="PVC",$N760="MND",$Q760="EMBOQUE"),0,IF(AND($H760&lt;&gt;"",$I760="PEAD",$N760="VCA",$Q760="PREDIAL"),0,0)))))),0)</f>
        <v>0.363</v>
      </c>
      <c r="AK760" s="153" t="n">
        <f aca="false">IF(AA760&lt;&gt;"",AA760,0)</f>
        <v>3.4</v>
      </c>
      <c r="AL760" s="153" t="n">
        <f aca="false">IF(AND($N760="MND",$Q760="EMBOQUE"),$M760,IF(AND($N760="VCA",$Q760="LINEAR"),$M760,IF(AND($N760="VCA",$Q760="PREDIAL"),0,0)))</f>
        <v>14.49</v>
      </c>
      <c r="AM760" s="153" t="n">
        <f aca="false">IF(AND($N760="MND",$Q760="EMBOQUE"),$M760,IF(AND($N760="VCA",$Q760="LINEAR"),$M760,IF(AND($N760="VCA",$Q760="PREDIAL"),0,0)))</f>
        <v>14.49</v>
      </c>
      <c r="AN760" s="153" t="n">
        <f aca="false">ROUND(IF(AND($N760="VCA",$M760&lt;&gt;"",$Q760="LINEAR"),$M760/100,IF(AND($N760="MND",$M760&gt;100,$Q760="EMBOQUE"),$M760/100,0)),0)</f>
        <v>0</v>
      </c>
      <c r="AO760" s="153" t="n">
        <f aca="false">IF(AND($N760="MND",$Q760="EMBOQUE"),$AN760*2*2,IF(AND($N760="VCA",$Q760="LINEAR"),$M760*2,IF(AND($N760="VCA",$Q760="PREDIAL"),0,0)))</f>
        <v>28.98</v>
      </c>
      <c r="AP760" s="153" t="n">
        <f aca="false">IFERROR($M760*$AF760*$AG760,0)</f>
        <v>12.8374155</v>
      </c>
      <c r="AQ760" s="153" t="n">
        <f aca="false">IFERROR(IF(AND($N760="VCA",$AH760&gt;0),$M760*$AG760*$AH760,0),0)</f>
        <v>0.94185</v>
      </c>
      <c r="AR760" s="153" t="n">
        <f aca="false">IFERROR(IF(AND($N760="VCA",$AJ760&gt;0),($M760*$AG760*$AJ760)-$AI760,0),0)</f>
        <v>3.3737466154505</v>
      </c>
      <c r="AS760" s="153" t="n">
        <f aca="false">IFERROR(IF(AND($N760="VCA",$AP760&gt;0),$AP760-$AI760-$AQ760-$AR760,0),0)</f>
        <v>8.47665</v>
      </c>
      <c r="AT760" s="153" t="n">
        <f aca="false">IFERROR(IF($N760="VCA",INDEX(APOIO_REDES!$A:$W,MATCH($C760&amp;$I760&amp;$H760&amp;$N760&amp;$O760,APOIO_REDES!$W:$W,0),MATCH(AT$5,APOIO_REDES!$5:$5,0)),0)*$AP760,0)</f>
        <v>0.139674880321034</v>
      </c>
      <c r="AU760" s="153" t="n">
        <f aca="false">IFERROR(IF($N760="VCA",INDEX(APOIO_REDES!$A:$W,MATCH($C760&amp;$I760&amp;$H760&amp;$N760&amp;$O760,APOIO_REDES!$W:$W,0),MATCH(AU$5,APOIO_REDES!$5:$5,0)),0)*$AP760,0)</f>
        <v>0.111540576548872</v>
      </c>
      <c r="AV760" s="153" t="n">
        <f aca="false">IFERROR(IF($N760="VCA",INDEX(APOIO_REDES!$A:$W,MATCH($C760&amp;$I760&amp;$H760&amp;$N760&amp;$O760,APOIO_REDES!$W:$W,0),MATCH(AV$5,APOIO_REDES!$5:$5,0)),0)*$AP760,0)</f>
        <v>0.0154363401665063</v>
      </c>
      <c r="AW760" s="153" t="n">
        <f aca="false">IFERROR(IF($N760="VCA",INDEX(APOIO_REDES!$A:$W,MATCH($C760&amp;$I760&amp;$H760&amp;$N760&amp;$O760,APOIO_REDES!$W:$W,0),MATCH(AW$5,APOIO_REDES!$5:$5,0)),0)*$AP760,0)</f>
        <v>8.81170146834915</v>
      </c>
      <c r="AX760" s="153" t="n">
        <f aca="false">IFERROR(IF($N760="VCA",INDEX(APOIO_REDES!$A:$W,MATCH($C760&amp;$I760&amp;$H760&amp;$N760&amp;$O760,APOIO_REDES!$W:$W,0),MATCH(AX$5,APOIO_REDES!$5:$5,0)),0)*$AP760,0)</f>
        <v>1.21951438261276</v>
      </c>
      <c r="AY760" s="153" t="n">
        <f aca="false">IFERROR(IF($N760="VCA",INDEX(APOIO_REDES!$A:$W,MATCH($C760&amp;$I760&amp;$H760&amp;$N760&amp;$O760,APOIO_REDES!$W:$W,0),MATCH(AY$5,APOIO_REDES!$5:$5,0)),0)*$AP760,0)</f>
        <v>2.23081017130686</v>
      </c>
      <c r="AZ760" s="153" t="n">
        <f aca="false">IFERROR(IF($N760="VCA",INDEX(APOIO_REDES!$A:$W,MATCH($C760&amp;$I760&amp;$H760&amp;$N760&amp;$O760,APOIO_REDES!$W:$W,0),MATCH(AZ$5,APOIO_REDES!$5:$5,0)),0)*$AP760,0)</f>
        <v>0.308737680694817</v>
      </c>
      <c r="BA760" s="153" t="n">
        <f aca="false">IFERROR(IF(AND($N760="VCA",$Q760="LINEAR"),INDEX(APOIO_REDES!$A:$W,MATCH($C760&amp;$I760&amp;$H760&amp;$N760&amp;$O760,APOIO_REDES!$W:$W,0),MATCH(BA$5,APOIO_REDES!$5:$5,0)),IF(AND($N760="MND",$Q760="EMBOQUE"),INDEX(APOIO_REDES!$A:$W,MATCH($C760&amp;$I760&amp;$H760&amp;$N760&amp;$O760,APOIO_REDES!$W:$W,0),MATCH(BA$5,APOIO_REDES!$5:$5,0)),0))*$M760/10,0)</f>
        <v>1.16785745013102</v>
      </c>
      <c r="BB760" s="153" t="n">
        <f aca="false">IFERROR(IF($N760="VCA",INDEX(APOIO_REDES!$A:$W,MATCH($C760&amp;$I760&amp;$H760&amp;$N760&amp;$O760,APOIO_REDES!$W:$W,0),MATCH(BB$5,APOIO_REDES!$5:$5,0)),0)*($AI760+$AQ760+$AR760),0)</f>
        <v>4.3133190806393</v>
      </c>
      <c r="BC760" s="153" t="n">
        <f aca="false">IFERROR(IF($N760="VCA",INDEX(APOIO_REDES!$A:$W,MATCH($C760&amp;$I760&amp;$H760&amp;$N760&amp;$O760,APOIO_REDES!$W:$W,0),MATCH(BC$5,APOIO_REDES!$5:$5,0)),0)*($AI760+$AQ760+$AR760),0)</f>
        <v>0.0474464193607033</v>
      </c>
      <c r="BD760" s="153" t="n">
        <f aca="false">IF(AND($N760="VCA",$AF760&gt;=1.25,$AF760&lt;1.5),$M760*$AF760*2,0)</f>
        <v>39.49974</v>
      </c>
      <c r="BE760" s="153" t="n">
        <f aca="false">IF(AND($N760="VCA",$AF760&gt;=1.5,$AF760&lt;3),$M760*$AF760*2,0)</f>
        <v>0</v>
      </c>
      <c r="BF760" s="153" t="n">
        <f aca="false">IF(AND($N760="VCA",$AF760&gt;=3),$M760*$AF760*2,0)</f>
        <v>0</v>
      </c>
      <c r="BG760" s="153" t="n">
        <f aca="false">($BB760+$BC760)*$AK760</f>
        <v>14.8266027</v>
      </c>
      <c r="BH760" s="153" t="n">
        <f aca="false">IF(AND($M760&lt;&gt;"",$N760="VCA",$Q760="LINEAR"),($M760*2)/100,IF(AND($M760&lt;&gt;"",$N760="MND",$Q760="EMBOQUE"),($AN760*2)/100,0))</f>
        <v>0.2898</v>
      </c>
      <c r="BI760" s="153" t="n">
        <f aca="false">IF(AND($M760&lt;&gt;"",$N760="VCA",$Q760="LINEAR"),$M760,IF(AND($M760&lt;&gt;"",$N760="MND",$Q760="EMBOQUE"),$AN760*2,0))</f>
        <v>14.49</v>
      </c>
      <c r="BJ760" s="153" t="n">
        <f aca="false">IF(AND($M760&lt;&gt;"",$N760="VCA",$Q760="LINEAR"),($M760*6.8)/100,IF(AND($M760&lt;&gt;"",$N760="MND",$Q760="EMBOQUE"),($AN760*2*6.8)/100,0))</f>
        <v>0.98532</v>
      </c>
      <c r="BK760" s="153" t="n">
        <f aca="false">IF(AND($M760&lt;&gt;"",$N760="VCA",$Q760="LINEAR"),($M760*2.5)/50,IF(AND($M760&lt;&gt;"",$N760="MND",$Q760="EMBOQUE"),($AN760*2*2.5)/50,0))</f>
        <v>0.7245</v>
      </c>
      <c r="BL760" s="157" t="str">
        <f aca="false">K760&amp;J760</f>
        <v>Zona07REDES</v>
      </c>
      <c r="BM760" s="152" t="s">
        <v>4225</v>
      </c>
      <c r="BN760" s="152" t="s">
        <v>1560</v>
      </c>
      <c r="BO760" s="152" t="s">
        <v>4097</v>
      </c>
      <c r="BP760" s="152" t="s">
        <v>4430</v>
      </c>
      <c r="BQ760" s="152" t="s">
        <v>4441</v>
      </c>
      <c r="BR760" s="152" t="s">
        <v>4442</v>
      </c>
      <c r="BS760" s="152" t="n">
        <v>204218.383</v>
      </c>
      <c r="BT760" s="152" t="n">
        <v>8236692.023</v>
      </c>
      <c r="BU760" s="152" t="n">
        <v>204221.727</v>
      </c>
      <c r="BV760" s="152" t="n">
        <v>8236682.473</v>
      </c>
      <c r="BW760" s="152" t="n">
        <v>-15.9314639</v>
      </c>
      <c r="BX760" s="152" t="n">
        <v>-47.7626605</v>
      </c>
      <c r="BY760" s="152" t="s">
        <v>4430</v>
      </c>
    </row>
    <row r="761" customFormat="false" ht="13.8" hidden="false" customHeight="false" outlineLevel="0" collapsed="false">
      <c r="A761" s="149" t="n">
        <f aca="false">IF(C761&lt;&gt;"",ROW(A756),"")</f>
        <v>756</v>
      </c>
      <c r="B761" s="150" t="str">
        <f aca="false">HYPERLINK("https://www.google.com/maps/dir/-15.917302,-47.760003/-15.9317274,-47.7642719/data=!4m3!4m2!3e0!5i1")</f>
        <v>https://www.google.com/maps/dir/-15.917302,-47.760003/-15.9317274,-47.7642719/data=!4m3!4m2!3e0!5i1</v>
      </c>
      <c r="C761" s="151" t="s">
        <v>117</v>
      </c>
      <c r="D761" s="152" t="s">
        <v>112</v>
      </c>
      <c r="E761" s="152" t="s">
        <v>113</v>
      </c>
      <c r="F761" s="152" t="s">
        <v>117</v>
      </c>
      <c r="G761" s="152" t="s">
        <v>782</v>
      </c>
      <c r="H761" s="152" t="n">
        <v>90</v>
      </c>
      <c r="I761" s="152" t="s">
        <v>115</v>
      </c>
      <c r="J761" s="152" t="s">
        <v>6</v>
      </c>
      <c r="K761" s="152" t="s">
        <v>4221</v>
      </c>
      <c r="L761" s="152" t="s">
        <v>120</v>
      </c>
      <c r="M761" s="153" t="n">
        <f aca="false">41.67</f>
        <v>41.67</v>
      </c>
      <c r="N761" s="152" t="s">
        <v>1548</v>
      </c>
      <c r="O761" s="152" t="s">
        <v>1549</v>
      </c>
      <c r="P761" s="152" t="s">
        <v>1550</v>
      </c>
      <c r="Q761" s="152" t="s">
        <v>1551</v>
      </c>
      <c r="R761" s="154" t="s">
        <v>4443</v>
      </c>
      <c r="S761" s="154" t="s">
        <v>1593</v>
      </c>
      <c r="T761" s="155" t="s">
        <v>4095</v>
      </c>
      <c r="U761" s="152" t="str">
        <f aca="false">RIGHT(T761,7)</f>
        <v>016/037</v>
      </c>
      <c r="V761" s="152" t="s">
        <v>1555</v>
      </c>
      <c r="W761" s="156" t="n">
        <v>45882</v>
      </c>
      <c r="X761" s="152" t="s">
        <v>3938</v>
      </c>
      <c r="Y761" s="152" t="s">
        <v>4009</v>
      </c>
      <c r="Z761" s="152" t="s">
        <v>1557</v>
      </c>
      <c r="AA761" s="153" t="n">
        <v>3.5</v>
      </c>
      <c r="AB761" s="151" t="s">
        <v>4444</v>
      </c>
      <c r="AC761" s="151" t="s">
        <v>526</v>
      </c>
      <c r="AD761" s="151" t="str">
        <f aca="false">CONCATENATE($C761,$I761,$H761,$N761,$J761,$K761)</f>
        <v>TUBO PEADPEAD90VCAREDESZona07</v>
      </c>
      <c r="AE761" s="153" t="n">
        <f aca="false">IFERROR(INDEX(APOIO_REDES!$A:$W,MATCH($C761&amp;$I761&amp;$H761&amp;$N761&amp;$O761,APOIO_REDES!$W:$W,0),MATCH(AE$5,APOIO_REDES!$5:$5,0)),0)</f>
        <v>1.2</v>
      </c>
      <c r="AF761" s="153" t="n">
        <f aca="false">IFERROR(INDEX(APOIO_REDES!$A:$W,MATCH($C761&amp;$I761&amp;$H761&amp;$N761&amp;$O761,APOIO_REDES!$W:$W,0),MATCH(AF$5,APOIO_REDES!$5:$5,0)),0)</f>
        <v>1.39</v>
      </c>
      <c r="AG761" s="153" t="n">
        <f aca="false">IFERROR(INDEX(APOIO_REDES!$A:$W,MATCH($C761&amp;$I761&amp;$H761&amp;$N761&amp;$O761,APOIO_REDES!$W:$W,0),MATCH(AG$5,APOIO_REDES!$5:$5,0)),0)</f>
        <v>0.75</v>
      </c>
      <c r="AH761" s="153" t="n">
        <f aca="false">IFERROR(INDEX(APOIO_REDES!$A:$W,MATCH($C761&amp;$I761&amp;$H761&amp;$N761&amp;$O761,APOIO_REDES!$W:$W,0),MATCH(AH$5,APOIO_REDES!$5:$5,0)),0)</f>
        <v>0.1</v>
      </c>
      <c r="AI761" s="153" t="n">
        <f aca="false">IFERROR(IF($H761&lt;&gt;"",(((($H761/1000)/2)^2)*PI()*$M761),0),0)</f>
        <v>0.265093085897051</v>
      </c>
      <c r="AJ761" s="153" t="n">
        <f aca="false">IFERROR(IF(AND($H761&lt;&gt;"",$I761="FoFo",OR($N761="MND",$N761="VCA"),$Q761="LINEAR"),0,IF(AND($H761&lt;&gt;"",$I761="PEAD",$N761="VCA",$Q761="LINEAR"),($H761/1000)+0.3,IF(AND($H761&lt;&gt;"",$I761="PEAD",$N761="MND",$Q761="EMBOQUE"),0,IF(AND($H761&lt;&gt;"",$I761="PVC",$N761="VCA",$Q761="LINEAR"),($H761/1000)+0.2,IF(AND($H761&lt;&gt;"",$I761="PVC",$N761="MND",$Q761="EMBOQUE"),0,IF(AND($H761&lt;&gt;"",$I761="PEAD",$N761="VCA",$Q761="PREDIAL"),0,0)))))),0)</f>
        <v>0.39</v>
      </c>
      <c r="AK761" s="153" t="n">
        <f aca="false">IF(AA761&lt;&gt;"",AA761,0)</f>
        <v>3.5</v>
      </c>
      <c r="AL761" s="153" t="n">
        <f aca="false">IF(AND($N761="MND",$Q761="EMBOQUE"),$M761,IF(AND($N761="VCA",$Q761="LINEAR"),$M761,IF(AND($N761="VCA",$Q761="PREDIAL"),0,0)))</f>
        <v>41.67</v>
      </c>
      <c r="AM761" s="153" t="n">
        <f aca="false">IF(AND($N761="MND",$Q761="EMBOQUE"),$M761,IF(AND($N761="VCA",$Q761="LINEAR"),$M761,IF(AND($N761="VCA",$Q761="PREDIAL"),0,0)))</f>
        <v>41.67</v>
      </c>
      <c r="AN761" s="153" t="n">
        <f aca="false">ROUND(IF(AND($N761="VCA",$M761&lt;&gt;"",$Q761="LINEAR"),$M761/100,IF(AND($N761="MND",$M761&gt;100,$Q761="EMBOQUE"),$M761/100,0)),0)</f>
        <v>0</v>
      </c>
      <c r="AO761" s="153" t="n">
        <f aca="false">IF(AND($N761="MND",$Q761="EMBOQUE"),$AN761*2*2,IF(AND($N761="VCA",$Q761="LINEAR"),$M761*2,IF(AND($N761="VCA",$Q761="PREDIAL"),0,0)))</f>
        <v>83.34</v>
      </c>
      <c r="AP761" s="153" t="n">
        <f aca="false">IFERROR($M761*$AF761*$AG761,0)</f>
        <v>43.440975</v>
      </c>
      <c r="AQ761" s="153" t="n">
        <f aca="false">IFERROR(IF(AND($N761="VCA",$AH761&gt;0),$M761*$AG761*$AH761,0),0)</f>
        <v>3.12525</v>
      </c>
      <c r="AR761" s="153" t="n">
        <f aca="false">IFERROR(IF(AND($N761="VCA",$AJ761&gt;0),($M761*$AG761*$AJ761)-$AI761,0),0)</f>
        <v>11.923381914103</v>
      </c>
      <c r="AS761" s="153" t="n">
        <f aca="false">IFERROR(IF(AND($N761="VCA",$AP761&gt;0),$AP761-$AI761-$AQ761-$AR761,0),0)</f>
        <v>28.12725</v>
      </c>
      <c r="AT761" s="153" t="n">
        <f aca="false">IFERROR(IF($N761="VCA",INDEX(APOIO_REDES!$A:$W,MATCH($C761&amp;$I761&amp;$H761&amp;$N761&amp;$O761,APOIO_REDES!$W:$W,0),MATCH(AT$5,APOIO_REDES!$5:$5,0)),0)*$AP761,0)</f>
        <v>0.472650665872271</v>
      </c>
      <c r="AU761" s="153" t="n">
        <f aca="false">IFERROR(IF($N761="VCA",INDEX(APOIO_REDES!$A:$W,MATCH($C761&amp;$I761&amp;$H761&amp;$N761&amp;$O761,APOIO_REDES!$W:$W,0),MATCH(AU$5,APOIO_REDES!$5:$5,0)),0)*$AP761,0)</f>
        <v>0.377446020762135</v>
      </c>
      <c r="AV761" s="153" t="n">
        <f aca="false">IFERROR(IF($N761="VCA",INDEX(APOIO_REDES!$A:$W,MATCH($C761&amp;$I761&amp;$H761&amp;$N761&amp;$O761,APOIO_REDES!$W:$W,0),MATCH(AV$5,APOIO_REDES!$5:$5,0)),0)*$AP761,0)</f>
        <v>0.0522355662060403</v>
      </c>
      <c r="AW761" s="153" t="n">
        <f aca="false">IFERROR(IF($N761="VCA",INDEX(APOIO_REDES!$A:$W,MATCH($C761&amp;$I761&amp;$H761&amp;$N761&amp;$O761,APOIO_REDES!$W:$W,0),MATCH(AW$5,APOIO_REDES!$5:$5,0)),0)*$AP761,0)</f>
        <v>29.8182218370994</v>
      </c>
      <c r="AX761" s="153" t="n">
        <f aca="false">IFERROR(IF($N761="VCA",INDEX(APOIO_REDES!$A:$W,MATCH($C761&amp;$I761&amp;$H761&amp;$N761&amp;$O761,APOIO_REDES!$W:$W,0),MATCH(AX$5,APOIO_REDES!$5:$5,0)),0)*$AP761,0)</f>
        <v>4.12675696344186</v>
      </c>
      <c r="AY761" s="153" t="n">
        <f aca="false">IFERROR(IF($N761="VCA",INDEX(APOIO_REDES!$A:$W,MATCH($C761&amp;$I761&amp;$H761&amp;$N761&amp;$O761,APOIO_REDES!$W:$W,0),MATCH(AY$5,APOIO_REDES!$5:$5,0)),0)*$AP761,0)</f>
        <v>7.54891581420629</v>
      </c>
      <c r="AZ761" s="153" t="n">
        <f aca="false">IFERROR(IF($N761="VCA",INDEX(APOIO_REDES!$A:$W,MATCH($C761&amp;$I761&amp;$H761&amp;$N761&amp;$O761,APOIO_REDES!$W:$W,0),MATCH(AZ$5,APOIO_REDES!$5:$5,0)),0)*$AP761,0)</f>
        <v>1.04474813241197</v>
      </c>
      <c r="BA761" s="153" t="n">
        <f aca="false">IFERROR(IF(AND($N761="VCA",$Q761="LINEAR"),INDEX(APOIO_REDES!$A:$W,MATCH($C761&amp;$I761&amp;$H761&amp;$N761&amp;$O761,APOIO_REDES!$W:$W,0),MATCH(BA$5,APOIO_REDES!$5:$5,0)),IF(AND($N761="MND",$Q761="EMBOQUE"),INDEX(APOIO_REDES!$A:$W,MATCH($C761&amp;$I761&amp;$H761&amp;$N761&amp;$O761,APOIO_REDES!$W:$W,0),MATCH(BA$5,APOIO_REDES!$5:$5,0)),0))*$M761/10,0)</f>
        <v>3.35849689074945</v>
      </c>
      <c r="BB761" s="153" t="n">
        <f aca="false">IFERROR(IF($N761="VCA",INDEX(APOIO_REDES!$A:$W,MATCH($C761&amp;$I761&amp;$H761&amp;$N761&amp;$O761,APOIO_REDES!$W:$W,0),MATCH(BB$5,APOIO_REDES!$5:$5,0)),0)*($AI761+$AQ761+$AR761),0)</f>
        <v>15.1471071393688</v>
      </c>
      <c r="BC761" s="153" t="n">
        <f aca="false">IFERROR(IF($N761="VCA",INDEX(APOIO_REDES!$A:$W,MATCH($C761&amp;$I761&amp;$H761&amp;$N761&amp;$O761,APOIO_REDES!$W:$W,0),MATCH(BC$5,APOIO_REDES!$5:$5,0)),0)*($AI761+$AQ761+$AR761),0)</f>
        <v>0.166617860631232</v>
      </c>
      <c r="BD761" s="153" t="n">
        <f aca="false">IF(AND($N761="VCA",$AF761&gt;=1.25,$AF761&lt;1.5),$M761*$AF761*2,0)</f>
        <v>115.8426</v>
      </c>
      <c r="BE761" s="153" t="n">
        <f aca="false">IF(AND($N761="VCA",$AF761&gt;=1.5,$AF761&lt;3),$M761*$AF761*2,0)</f>
        <v>0</v>
      </c>
      <c r="BF761" s="153" t="n">
        <f aca="false">IF(AND($N761="VCA",$AF761&gt;=3),$M761*$AF761*2,0)</f>
        <v>0</v>
      </c>
      <c r="BG761" s="153" t="n">
        <f aca="false">($BB761+$BC761)*$AK761</f>
        <v>53.5980375</v>
      </c>
      <c r="BH761" s="153" t="n">
        <f aca="false">IF(AND($M761&lt;&gt;"",$N761="VCA",$Q761="LINEAR"),($M761*2)/100,IF(AND($M761&lt;&gt;"",$N761="MND",$Q761="EMBOQUE"),($AN761*2)/100,0))</f>
        <v>0.8334</v>
      </c>
      <c r="BI761" s="153" t="n">
        <f aca="false">IF(AND($M761&lt;&gt;"",$N761="VCA",$Q761="LINEAR"),$M761,IF(AND($M761&lt;&gt;"",$N761="MND",$Q761="EMBOQUE"),$AN761*2,0))</f>
        <v>41.67</v>
      </c>
      <c r="BJ761" s="153" t="n">
        <f aca="false">IF(AND($M761&lt;&gt;"",$N761="VCA",$Q761="LINEAR"),($M761*6.8)/100,IF(AND($M761&lt;&gt;"",$N761="MND",$Q761="EMBOQUE"),($AN761*2*6.8)/100,0))</f>
        <v>2.83356</v>
      </c>
      <c r="BK761" s="153" t="n">
        <f aca="false">IF(AND($M761&lt;&gt;"",$N761="VCA",$Q761="LINEAR"),($M761*2.5)/50,IF(AND($M761&lt;&gt;"",$N761="MND",$Q761="EMBOQUE"),($AN761*2*2.5)/50,0))</f>
        <v>2.0835</v>
      </c>
      <c r="BL761" s="157" t="str">
        <f aca="false">K761&amp;J761</f>
        <v>Zona07REDES</v>
      </c>
      <c r="BM761" s="152" t="s">
        <v>4225</v>
      </c>
      <c r="BN761" s="152" t="s">
        <v>1560</v>
      </c>
      <c r="BO761" s="152" t="s">
        <v>4097</v>
      </c>
      <c r="BP761" s="152" t="s">
        <v>4445</v>
      </c>
      <c r="BQ761" s="152" t="s">
        <v>4404</v>
      </c>
      <c r="BR761" s="152" t="s">
        <v>4446</v>
      </c>
      <c r="BS761" s="152" t="n">
        <v>204047.801</v>
      </c>
      <c r="BT761" s="152" t="n">
        <v>8236655.778</v>
      </c>
      <c r="BU761" s="152" t="n">
        <v>204019.754</v>
      </c>
      <c r="BV761" s="152" t="n">
        <v>8236686.592</v>
      </c>
      <c r="BW761" s="152" t="n">
        <v>-15.931585</v>
      </c>
      <c r="BX761" s="152" t="n">
        <v>-47.764399</v>
      </c>
      <c r="BY761" s="152" t="s">
        <v>4445</v>
      </c>
    </row>
    <row r="762" customFormat="false" ht="13.8" hidden="false" customHeight="false" outlineLevel="0" collapsed="false">
      <c r="A762" s="149" t="n">
        <f aca="false">IF(C762&lt;&gt;"",ROW(A757),"")</f>
        <v>757</v>
      </c>
      <c r="B762" s="150" t="str">
        <f aca="false">HYPERLINK("https://www.google.com/maps/dir/-15.917302,-47.760003/-15.9318736,-47.7632295/data=!4m3!4m2!3e0!5i2")</f>
        <v>https://www.google.com/maps/dir/-15.917302,-47.760003/-15.9318736,-47.7632295/data=!4m3!4m2!3e0!5i2</v>
      </c>
      <c r="C762" s="151" t="s">
        <v>117</v>
      </c>
      <c r="D762" s="152" t="s">
        <v>112</v>
      </c>
      <c r="E762" s="152" t="s">
        <v>113</v>
      </c>
      <c r="F762" s="152" t="s">
        <v>117</v>
      </c>
      <c r="G762" s="152" t="s">
        <v>782</v>
      </c>
      <c r="H762" s="152" t="n">
        <v>63</v>
      </c>
      <c r="I762" s="152" t="s">
        <v>115</v>
      </c>
      <c r="J762" s="152" t="s">
        <v>6</v>
      </c>
      <c r="K762" s="152" t="s">
        <v>4221</v>
      </c>
      <c r="L762" s="152" t="s">
        <v>120</v>
      </c>
      <c r="M762" s="153" t="n">
        <f aca="false">81.19+0.49</f>
        <v>81.68</v>
      </c>
      <c r="N762" s="152" t="s">
        <v>1548</v>
      </c>
      <c r="O762" s="152" t="s">
        <v>1549</v>
      </c>
      <c r="P762" s="152" t="s">
        <v>1550</v>
      </c>
      <c r="Q762" s="152" t="s">
        <v>1551</v>
      </c>
      <c r="R762" s="154" t="s">
        <v>4447</v>
      </c>
      <c r="S762" s="154" t="s">
        <v>1553</v>
      </c>
      <c r="T762" s="155" t="s">
        <v>4095</v>
      </c>
      <c r="U762" s="152" t="str">
        <f aca="false">RIGHT(T762,7)</f>
        <v>016/037</v>
      </c>
      <c r="V762" s="152" t="s">
        <v>1555</v>
      </c>
      <c r="W762" s="156" t="n">
        <v>45882</v>
      </c>
      <c r="X762" s="152" t="s">
        <v>1594</v>
      </c>
      <c r="Y762" s="152" t="s">
        <v>4435</v>
      </c>
      <c r="Z762" s="152" t="s">
        <v>1557</v>
      </c>
      <c r="AA762" s="153" t="n">
        <v>3.4</v>
      </c>
      <c r="AB762" s="151" t="s">
        <v>4448</v>
      </c>
      <c r="AC762" s="151" t="s">
        <v>186</v>
      </c>
      <c r="AD762" s="151" t="str">
        <f aca="false">CONCATENATE($C762,$I762,$H762,$N762,$J762,$K762)</f>
        <v>TUBO PEADPEAD63VCAREDESZona07</v>
      </c>
      <c r="AE762" s="153" t="n">
        <f aca="false">IFERROR(INDEX(APOIO_REDES!$A:$W,MATCH($C762&amp;$I762&amp;$H762&amp;$N762&amp;$O762,APOIO_REDES!$W:$W,0),MATCH(AE$5,APOIO_REDES!$5:$5,0)),0)</f>
        <v>1.2</v>
      </c>
      <c r="AF762" s="153" t="n">
        <f aca="false">IFERROR(INDEX(APOIO_REDES!$A:$W,MATCH($C762&amp;$I762&amp;$H762&amp;$N762&amp;$O762,APOIO_REDES!$W:$W,0),MATCH(AF$5,APOIO_REDES!$5:$5,0)),0)</f>
        <v>1.363</v>
      </c>
      <c r="AG762" s="153" t="n">
        <f aca="false">IFERROR(INDEX(APOIO_REDES!$A:$W,MATCH($C762&amp;$I762&amp;$H762&amp;$N762&amp;$O762,APOIO_REDES!$W:$W,0),MATCH(AG$5,APOIO_REDES!$5:$5,0)),0)</f>
        <v>0.65</v>
      </c>
      <c r="AH762" s="153" t="n">
        <f aca="false">IFERROR(INDEX(APOIO_REDES!$A:$W,MATCH($C762&amp;$I762&amp;$H762&amp;$N762&amp;$O762,APOIO_REDES!$W:$W,0),MATCH(AH$5,APOIO_REDES!$5:$5,0)),0)</f>
        <v>0.1</v>
      </c>
      <c r="AI762" s="153" t="n">
        <f aca="false">IFERROR(IF($H762&lt;&gt;"",(((($H762/1000)/2)^2)*PI()*$M762),0),0)</f>
        <v>0.254616596963639</v>
      </c>
      <c r="AJ762" s="153" t="n">
        <f aca="false">IFERROR(IF(AND($H762&lt;&gt;"",$I762="FoFo",OR($N762="MND",$N762="VCA"),$Q762="LINEAR"),0,IF(AND($H762&lt;&gt;"",$I762="PEAD",$N762="VCA",$Q762="LINEAR"),($H762/1000)+0.3,IF(AND($H762&lt;&gt;"",$I762="PEAD",$N762="MND",$Q762="EMBOQUE"),0,IF(AND($H762&lt;&gt;"",$I762="PVC",$N762="VCA",$Q762="LINEAR"),($H762/1000)+0.2,IF(AND($H762&lt;&gt;"",$I762="PVC",$N762="MND",$Q762="EMBOQUE"),0,IF(AND($H762&lt;&gt;"",$I762="PEAD",$N762="VCA",$Q762="PREDIAL"),0,0)))))),0)</f>
        <v>0.363</v>
      </c>
      <c r="AK762" s="153" t="n">
        <f aca="false">IF(AA762&lt;&gt;"",AA762,0)</f>
        <v>3.4</v>
      </c>
      <c r="AL762" s="153" t="n">
        <f aca="false">IF(AND($N762="MND",$Q762="EMBOQUE"),$M762,IF(AND($N762="VCA",$Q762="LINEAR"),$M762,IF(AND($N762="VCA",$Q762="PREDIAL"),0,0)))</f>
        <v>81.68</v>
      </c>
      <c r="AM762" s="153" t="n">
        <f aca="false">IF(AND($N762="MND",$Q762="EMBOQUE"),$M762,IF(AND($N762="VCA",$Q762="LINEAR"),$M762,IF(AND($N762="VCA",$Q762="PREDIAL"),0,0)))</f>
        <v>81.68</v>
      </c>
      <c r="AN762" s="153" t="n">
        <f aca="false">ROUND(IF(AND($N762="VCA",$M762&lt;&gt;"",$Q762="LINEAR"),$M762/100,IF(AND($N762="MND",$M762&gt;100,$Q762="EMBOQUE"),$M762/100,0)),0)</f>
        <v>1</v>
      </c>
      <c r="AO762" s="153" t="n">
        <f aca="false">IF(AND($N762="MND",$Q762="EMBOQUE"),$AN762*2*2,IF(AND($N762="VCA",$Q762="LINEAR"),$M762*2,IF(AND($N762="VCA",$Q762="PREDIAL"),0,0)))</f>
        <v>163.36</v>
      </c>
      <c r="AP762" s="153" t="n">
        <f aca="false">IFERROR($M762*$AF762*$AG762,0)</f>
        <v>72.364396</v>
      </c>
      <c r="AQ762" s="153" t="n">
        <f aca="false">IFERROR(IF(AND($N762="VCA",$AH762&gt;0),$M762*$AG762*$AH762,0),0)</f>
        <v>5.3092</v>
      </c>
      <c r="AR762" s="153" t="n">
        <f aca="false">IFERROR(IF(AND($N762="VCA",$AJ762&gt;0),($M762*$AG762*$AJ762)-$AI762,0),0)</f>
        <v>19.0177794030364</v>
      </c>
      <c r="AS762" s="153" t="n">
        <f aca="false">IFERROR(IF(AND($N762="VCA",$AP762&gt;0),$AP762-$AI762-$AQ762-$AR762,0),0)</f>
        <v>47.7828</v>
      </c>
      <c r="AT762" s="153" t="n">
        <f aca="false">IFERROR(IF($N762="VCA",INDEX(APOIO_REDES!$A:$W,MATCH($C762&amp;$I762&amp;$H762&amp;$N762&amp;$O762,APOIO_REDES!$W:$W,0),MATCH(AT$5,APOIO_REDES!$5:$5,0)),0)*$AP762,0)</f>
        <v>0.787346047247897</v>
      </c>
      <c r="AU762" s="153" t="n">
        <f aca="false">IFERROR(IF($N762="VCA",INDEX(APOIO_REDES!$A:$W,MATCH($C762&amp;$I762&amp;$H762&amp;$N762&amp;$O762,APOIO_REDES!$W:$W,0),MATCH(AU$5,APOIO_REDES!$5:$5,0)),0)*$AP762,0)</f>
        <v>0.628753229296887</v>
      </c>
      <c r="AV762" s="153" t="n">
        <f aca="false">IFERROR(IF($N762="VCA",INDEX(APOIO_REDES!$A:$W,MATCH($C762&amp;$I762&amp;$H762&amp;$N762&amp;$O762,APOIO_REDES!$W:$W,0),MATCH(AV$5,APOIO_REDES!$5:$5,0)),0)*$AP762,0)</f>
        <v>0.0870145110283117</v>
      </c>
      <c r="AW762" s="153" t="n">
        <f aca="false">IFERROR(IF($N762="VCA",INDEX(APOIO_REDES!$A:$W,MATCH($C762&amp;$I762&amp;$H762&amp;$N762&amp;$O762,APOIO_REDES!$W:$W,0),MATCH(AW$5,APOIO_REDES!$5:$5,0)),0)*$AP762,0)</f>
        <v>49.6714821211014</v>
      </c>
      <c r="AX762" s="153" t="n">
        <f aca="false">IFERROR(IF($N762="VCA",INDEX(APOIO_REDES!$A:$W,MATCH($C762&amp;$I762&amp;$H762&amp;$N762&amp;$O762,APOIO_REDES!$W:$W,0),MATCH(AX$5,APOIO_REDES!$5:$5,0)),0)*$AP762,0)</f>
        <v>6.87439163366532</v>
      </c>
      <c r="AY762" s="153" t="n">
        <f aca="false">IFERROR(IF($N762="VCA",INDEX(APOIO_REDES!$A:$W,MATCH($C762&amp;$I762&amp;$H762&amp;$N762&amp;$O762,APOIO_REDES!$W:$W,0),MATCH(AY$5,APOIO_REDES!$5:$5,0)),0)*$AP762,0)</f>
        <v>12.5750569214868</v>
      </c>
      <c r="AZ762" s="153" t="n">
        <f aca="false">IFERROR(IF($N762="VCA",INDEX(APOIO_REDES!$A:$W,MATCH($C762&amp;$I762&amp;$H762&amp;$N762&amp;$O762,APOIO_REDES!$W:$W,0),MATCH(AZ$5,APOIO_REDES!$5:$5,0)),0)*$AP762,0)</f>
        <v>1.74035153617341</v>
      </c>
      <c r="BA762" s="153" t="n">
        <f aca="false">IFERROR(IF(AND($N762="VCA",$Q762="LINEAR"),INDEX(APOIO_REDES!$A:$W,MATCH($C762&amp;$I762&amp;$H762&amp;$N762&amp;$O762,APOIO_REDES!$W:$W,0),MATCH(BA$5,APOIO_REDES!$5:$5,0)),IF(AND($N762="MND",$Q762="EMBOQUE"),INDEX(APOIO_REDES!$A:$W,MATCH($C762&amp;$I762&amp;$H762&amp;$N762&amp;$O762,APOIO_REDES!$W:$W,0),MATCH(BA$5,APOIO_REDES!$5:$5,0)),0))*$M762/10,0)</f>
        <v>6.58320196871645</v>
      </c>
      <c r="BB762" s="153" t="n">
        <f aca="false">IFERROR(IF($N762="VCA",INDEX(APOIO_REDES!$A:$W,MATCH($C762&amp;$I762&amp;$H762&amp;$N762&amp;$O762,APOIO_REDES!$W:$W,0),MATCH(BB$5,APOIO_REDES!$5:$5,0)),0)*($AI762+$AQ762+$AR762),0)</f>
        <v>24.314140959739</v>
      </c>
      <c r="BC762" s="153" t="n">
        <f aca="false">IFERROR(IF($N762="VCA",INDEX(APOIO_REDES!$A:$W,MATCH($C762&amp;$I762&amp;$H762&amp;$N762&amp;$O762,APOIO_REDES!$W:$W,0),MATCH(BC$5,APOIO_REDES!$5:$5,0)),0)*($AI762+$AQ762+$AR762),0)</f>
        <v>0.267455040261025</v>
      </c>
      <c r="BD762" s="153" t="n">
        <f aca="false">IF(AND($N762="VCA",$AF762&gt;=1.25,$AF762&lt;1.5),$M762*$AF762*2,0)</f>
        <v>222.65968</v>
      </c>
      <c r="BE762" s="153" t="n">
        <f aca="false">IF(AND($N762="VCA",$AF762&gt;=1.5,$AF762&lt;3),$M762*$AF762*2,0)</f>
        <v>0</v>
      </c>
      <c r="BF762" s="153" t="n">
        <f aca="false">IF(AND($N762="VCA",$AF762&gt;=3),$M762*$AF762*2,0)</f>
        <v>0</v>
      </c>
      <c r="BG762" s="153" t="n">
        <f aca="false">($BB762+$BC762)*$AK762</f>
        <v>83.5774264</v>
      </c>
      <c r="BH762" s="153" t="n">
        <f aca="false">IF(AND($M762&lt;&gt;"",$N762="VCA",$Q762="LINEAR"),($M762*2)/100,IF(AND($M762&lt;&gt;"",$N762="MND",$Q762="EMBOQUE"),($AN762*2)/100,0))</f>
        <v>1.6336</v>
      </c>
      <c r="BI762" s="153" t="n">
        <f aca="false">IF(AND($M762&lt;&gt;"",$N762="VCA",$Q762="LINEAR"),$M762,IF(AND($M762&lt;&gt;"",$N762="MND",$Q762="EMBOQUE"),$AN762*2,0))</f>
        <v>81.68</v>
      </c>
      <c r="BJ762" s="153" t="n">
        <f aca="false">IF(AND($M762&lt;&gt;"",$N762="VCA",$Q762="LINEAR"),($M762*6.8)/100,IF(AND($M762&lt;&gt;"",$N762="MND",$Q762="EMBOQUE"),($AN762*2*6.8)/100,0))</f>
        <v>5.55424</v>
      </c>
      <c r="BK762" s="153" t="n">
        <f aca="false">IF(AND($M762&lt;&gt;"",$N762="VCA",$Q762="LINEAR"),($M762*2.5)/50,IF(AND($M762&lt;&gt;"",$N762="MND",$Q762="EMBOQUE"),($AN762*2*2.5)/50,0))</f>
        <v>4.084</v>
      </c>
      <c r="BL762" s="157" t="str">
        <f aca="false">K762&amp;J762</f>
        <v>Zona07REDES</v>
      </c>
      <c r="BM762" s="152" t="s">
        <v>4225</v>
      </c>
      <c r="BN762" s="152" t="s">
        <v>1560</v>
      </c>
      <c r="BO762" s="152" t="s">
        <v>4097</v>
      </c>
      <c r="BP762" s="152" t="s">
        <v>4449</v>
      </c>
      <c r="BQ762" s="152" t="s">
        <v>4430</v>
      </c>
      <c r="BR762" s="152" t="s">
        <v>4431</v>
      </c>
      <c r="BS762" s="152" t="n">
        <v>204159.695</v>
      </c>
      <c r="BT762" s="152" t="n">
        <v>8236641.073</v>
      </c>
      <c r="BU762" s="152" t="n">
        <v>204218.183</v>
      </c>
      <c r="BV762" s="152" t="n">
        <v>8236692.321</v>
      </c>
      <c r="BW762" s="152" t="n">
        <v>-15.9316064</v>
      </c>
      <c r="BX762" s="152" t="n">
        <v>-47.7629705</v>
      </c>
      <c r="BY762" s="152" t="s">
        <v>4449</v>
      </c>
    </row>
    <row r="763" customFormat="false" ht="13.8" hidden="false" customHeight="false" outlineLevel="0" collapsed="false">
      <c r="A763" s="149" t="n">
        <f aca="false">IF(C763&lt;&gt;"",ROW(A758),"")</f>
        <v>758</v>
      </c>
      <c r="B763" s="150" t="str">
        <f aca="false">HYPERLINK("https://www.google.com/maps/dir/-15.917302,-47.760003/-15.9332313,-47.7682073/data=!4m3!4m2!3e0!5i2")</f>
        <v>https://www.google.com/maps/dir/-15.917302,-47.760003/-15.9332313,-47.7682073/data=!4m3!4m2!3e0!5i2</v>
      </c>
      <c r="C763" s="151" t="s">
        <v>117</v>
      </c>
      <c r="D763" s="152" t="s">
        <v>112</v>
      </c>
      <c r="E763" s="152" t="s">
        <v>113</v>
      </c>
      <c r="F763" s="152" t="s">
        <v>117</v>
      </c>
      <c r="G763" s="152" t="s">
        <v>114</v>
      </c>
      <c r="H763" s="152" t="n">
        <v>500</v>
      </c>
      <c r="I763" s="152" t="s">
        <v>115</v>
      </c>
      <c r="J763" s="152" t="s">
        <v>6</v>
      </c>
      <c r="K763" s="152" t="s">
        <v>2224</v>
      </c>
      <c r="L763" s="152" t="s">
        <v>120</v>
      </c>
      <c r="M763" s="153" t="n">
        <f aca="false">539.54</f>
        <v>539.54</v>
      </c>
      <c r="N763" s="152" t="s">
        <v>1548</v>
      </c>
      <c r="O763" s="152" t="s">
        <v>1549</v>
      </c>
      <c r="P763" s="152" t="s">
        <v>1550</v>
      </c>
      <c r="Q763" s="152" t="s">
        <v>1551</v>
      </c>
      <c r="R763" s="154" t="s">
        <v>4450</v>
      </c>
      <c r="S763" s="154" t="s">
        <v>2226</v>
      </c>
      <c r="T763" s="155" t="s">
        <v>4451</v>
      </c>
      <c r="U763" s="152" t="str">
        <f aca="false">RIGHT(T763,7)</f>
        <v>018/037</v>
      </c>
      <c r="V763" s="152" t="s">
        <v>1555</v>
      </c>
      <c r="W763" s="156" t="n">
        <v>45882</v>
      </c>
      <c r="X763" s="152" t="s">
        <v>1594</v>
      </c>
      <c r="Y763" s="152" t="s">
        <v>4452</v>
      </c>
      <c r="Z763" s="152" t="s">
        <v>1557</v>
      </c>
      <c r="AA763" s="153" t="n">
        <v>4.1</v>
      </c>
      <c r="AB763" s="151" t="s">
        <v>4453</v>
      </c>
      <c r="AC763" s="151" t="s">
        <v>523</v>
      </c>
      <c r="AD763" s="151" t="str">
        <f aca="false">CONCATENATE($C763,$I763,$H763,$N763,$J763,$K763)</f>
        <v>TUBO PEADPEAD500VCAREDESADUTORA</v>
      </c>
      <c r="AE763" s="153" t="n">
        <f aca="false">IFERROR(INDEX(APOIO_REDES!$A:$W,MATCH($C763&amp;$I763&amp;$H763&amp;$N763&amp;$O763,APOIO_REDES!$W:$W,0),MATCH(AE$5,APOIO_REDES!$5:$5,0)),0)</f>
        <v>1.2</v>
      </c>
      <c r="AF763" s="153" t="n">
        <f aca="false">IFERROR(INDEX(APOIO_REDES!$A:$W,MATCH($C763&amp;$I763&amp;$H763&amp;$N763&amp;$O763,APOIO_REDES!$W:$W,0),MATCH(AF$5,APOIO_REDES!$5:$5,0)),0)</f>
        <v>1.8</v>
      </c>
      <c r="AG763" s="153" t="n">
        <f aca="false">IFERROR(INDEX(APOIO_REDES!$A:$W,MATCH($C763&amp;$I763&amp;$H763&amp;$N763&amp;$O763,APOIO_REDES!$W:$W,0),MATCH(AG$5,APOIO_REDES!$5:$5,0)),0)</f>
        <v>1.2</v>
      </c>
      <c r="AH763" s="153" t="n">
        <f aca="false">IFERROR(INDEX(APOIO_REDES!$A:$W,MATCH($C763&amp;$I763&amp;$H763&amp;$N763&amp;$O763,APOIO_REDES!$W:$W,0),MATCH(AH$5,APOIO_REDES!$5:$5,0)),0)</f>
        <v>0.1</v>
      </c>
      <c r="AI763" s="153" t="n">
        <f aca="false">IFERROR(IF($H763&lt;&gt;"",(((($H763/1000)/2)^2)*PI()*$M763),0),0)</f>
        <v>105.938431269865</v>
      </c>
      <c r="AJ763" s="153" t="n">
        <f aca="false">IFERROR(IF(AND($H763&lt;&gt;"",$I763="FoFo",OR($N763="MND",$N763="VCA"),$Q763="LINEAR"),0,IF(AND($H763&lt;&gt;"",$I763="PEAD",$N763="VCA",$Q763="LINEAR"),($H763/1000)+0.3,IF(AND($H763&lt;&gt;"",$I763="PEAD",$N763="MND",$Q763="EMBOQUE"),0,IF(AND($H763&lt;&gt;"",$I763="PVC",$N763="VCA",$Q763="LINEAR"),($H763/1000)+0.2,IF(AND($H763&lt;&gt;"",$I763="PVC",$N763="MND",$Q763="EMBOQUE"),0,IF(AND($H763&lt;&gt;"",$I763="PEAD",$N763="VCA",$Q763="PREDIAL"),0,0)))))),0)</f>
        <v>0.8</v>
      </c>
      <c r="AK763" s="153" t="n">
        <f aca="false">IF(AA763&lt;&gt;"",AA763,0)</f>
        <v>4.1</v>
      </c>
      <c r="AL763" s="153" t="n">
        <f aca="false">IF(AND($N763="MND",$Q763="EMBOQUE"),$M763,IF(AND($N763="VCA",$Q763="LINEAR"),$M763,IF(AND($N763="VCA",$Q763="PREDIAL"),0,0)))</f>
        <v>539.54</v>
      </c>
      <c r="AM763" s="153" t="n">
        <f aca="false">IF(AND($N763="MND",$Q763="EMBOQUE"),$M763,IF(AND($N763="VCA",$Q763="LINEAR"),$M763,IF(AND($N763="VCA",$Q763="PREDIAL"),0,0)))</f>
        <v>539.54</v>
      </c>
      <c r="AN763" s="153" t="n">
        <f aca="false">ROUND(IF(AND($N763="VCA",$M763&lt;&gt;"",$Q763="LINEAR"),$M763/100,IF(AND($N763="MND",$M763&gt;100,$Q763="EMBOQUE"),$M763/100,0)),0)</f>
        <v>5</v>
      </c>
      <c r="AO763" s="153" t="n">
        <f aca="false">IF(AND($N763="MND",$Q763="EMBOQUE"),$AN763*2*2,IF(AND($N763="VCA",$Q763="LINEAR"),$M763*2,IF(AND($N763="VCA",$Q763="PREDIAL"),0,0)))</f>
        <v>1079.08</v>
      </c>
      <c r="AP763" s="153" t="n">
        <f aca="false">IFERROR($M763*$AF763*$AG763,0)</f>
        <v>1165.4064</v>
      </c>
      <c r="AQ763" s="153" t="n">
        <f aca="false">IFERROR(IF(AND($N763="VCA",$AH763&gt;0),$M763*$AG763*$AH763,0),0)</f>
        <v>64.7448</v>
      </c>
      <c r="AR763" s="153" t="n">
        <f aca="false">IFERROR(IF(AND($N763="VCA",$AJ763&gt;0),($M763*$AG763*$AJ763)-$AI763,0),0)</f>
        <v>412.019968730135</v>
      </c>
      <c r="AS763" s="153" t="n">
        <f aca="false">IFERROR(IF(AND($N763="VCA",$AP763&gt;0),$AP763-$AI763-$AQ763-$AR763,0),0)</f>
        <v>582.7032</v>
      </c>
      <c r="AT763" s="153" t="n">
        <f aca="false">IFERROR(IF($N763="VCA",INDEX(APOIO_REDES!$A:$W,MATCH($C763&amp;$I763&amp;$H763&amp;$N763&amp;$O763,APOIO_REDES!$W:$W,0),MATCH(AT$5,APOIO_REDES!$5:$5,0)),0)*$AP763,0)</f>
        <v>12.6799665746868</v>
      </c>
      <c r="AU763" s="153" t="n">
        <f aca="false">IFERROR(IF($N763="VCA",INDEX(APOIO_REDES!$A:$W,MATCH($C763&amp;$I763&amp;$H763&amp;$N763&amp;$O763,APOIO_REDES!$W:$W,0),MATCH(AU$5,APOIO_REDES!$5:$5,0)),0)*$AP763,0)</f>
        <v>10.1258778894977</v>
      </c>
      <c r="AV763" s="153" t="n">
        <f aca="false">IFERROR(IF($N763="VCA",INDEX(APOIO_REDES!$A:$W,MATCH($C763&amp;$I763&amp;$H763&amp;$N763&amp;$O763,APOIO_REDES!$W:$W,0),MATCH(AV$5,APOIO_REDES!$5:$5,0)),0)*$AP763,0)</f>
        <v>1.40134200864836</v>
      </c>
      <c r="AW763" s="153" t="n">
        <f aca="false">IFERROR(IF($N763="VCA",INDEX(APOIO_REDES!$A:$W,MATCH($C763&amp;$I763&amp;$H763&amp;$N763&amp;$O763,APOIO_REDES!$W:$W,0),MATCH(AW$5,APOIO_REDES!$5:$5,0)),0)*$AP763,0)</f>
        <v>799.94398296943</v>
      </c>
      <c r="AX763" s="153" t="n">
        <f aca="false">IFERROR(IF($N763="VCA",INDEX(APOIO_REDES!$A:$W,MATCH($C763&amp;$I763&amp;$H763&amp;$N763&amp;$O763,APOIO_REDES!$W:$W,0),MATCH(AX$5,APOIO_REDES!$5:$5,0)),0)*$AP763,0)</f>
        <v>110.709968559401</v>
      </c>
      <c r="AY763" s="153" t="n">
        <f aca="false">IFERROR(IF($N763="VCA",INDEX(APOIO_REDES!$A:$W,MATCH($C763&amp;$I763&amp;$H763&amp;$N763&amp;$O763,APOIO_REDES!$W:$W,0),MATCH(AY$5,APOIO_REDES!$5:$5,0)),0)*$AP763,0)</f>
        <v>202.517434356324</v>
      </c>
      <c r="AZ763" s="153" t="n">
        <f aca="false">IFERROR(IF($N763="VCA",INDEX(APOIO_REDES!$A:$W,MATCH($C763&amp;$I763&amp;$H763&amp;$N763&amp;$O763,APOIO_REDES!$W:$W,0),MATCH(AZ$5,APOIO_REDES!$5:$5,0)),0)*$AP763,0)</f>
        <v>28.0278276420122</v>
      </c>
      <c r="BA763" s="153" t="n">
        <f aca="false">IFERROR(IF(AND($N763="VCA",$Q763="LINEAR"),INDEX(APOIO_REDES!$A:$W,MATCH($C763&amp;$I763&amp;$H763&amp;$N763&amp;$O763,APOIO_REDES!$W:$W,0),MATCH(BA$5,APOIO_REDES!$5:$5,0)),IF(AND($N763="MND",$Q763="EMBOQUE"),INDEX(APOIO_REDES!$A:$W,MATCH($C763&amp;$I763&amp;$H763&amp;$N763&amp;$O763,APOIO_REDES!$W:$W,0),MATCH(BA$5,APOIO_REDES!$5:$5,0)),0))*$M763/10,0)</f>
        <v>43.4855630533947</v>
      </c>
      <c r="BB763" s="153" t="n">
        <f aca="false">IFERROR(IF($N763="VCA",INDEX(APOIO_REDES!$A:$W,MATCH($C763&amp;$I763&amp;$H763&amp;$N763&amp;$O763,APOIO_REDES!$W:$W,0),MATCH(BB$5,APOIO_REDES!$5:$5,0)),0)*($AI763+$AQ763+$AR763),0)</f>
        <v>576.363216712657</v>
      </c>
      <c r="BC763" s="153" t="n">
        <f aca="false">IFERROR(IF($N763="VCA",INDEX(APOIO_REDES!$A:$W,MATCH($C763&amp;$I763&amp;$H763&amp;$N763&amp;$O763,APOIO_REDES!$W:$W,0),MATCH(BC$5,APOIO_REDES!$5:$5,0)),0)*($AI763+$AQ763+$AR763),0)</f>
        <v>6.33998328734342</v>
      </c>
      <c r="BD763" s="153" t="n">
        <f aca="false">IF(AND($N763="VCA",$AF763&gt;=1.25,$AF763&lt;1.5),$M763*$AF763*2,0)</f>
        <v>0</v>
      </c>
      <c r="BE763" s="153" t="n">
        <f aca="false">IF(AND($N763="VCA",$AF763&gt;=1.5,$AF763&lt;3),$M763*$AF763*2,0)</f>
        <v>1942.344</v>
      </c>
      <c r="BF763" s="153" t="n">
        <f aca="false">IF(AND($N763="VCA",$AF763&gt;=3),$M763*$AF763*2,0)</f>
        <v>0</v>
      </c>
      <c r="BG763" s="153" t="n">
        <f aca="false">($BB763+$BC763)*$AK763</f>
        <v>2389.08312</v>
      </c>
      <c r="BH763" s="153" t="n">
        <f aca="false">IF(AND($M763&lt;&gt;"",$N763="VCA",$Q763="LINEAR"),($M763*2)/100,IF(AND($M763&lt;&gt;"",$N763="MND",$Q763="EMBOQUE"),($AN763*2)/100,0))</f>
        <v>10.7908</v>
      </c>
      <c r="BI763" s="153" t="n">
        <f aca="false">IF(AND($M763&lt;&gt;"",$N763="VCA",$Q763="LINEAR"),$M763,IF(AND($M763&lt;&gt;"",$N763="MND",$Q763="EMBOQUE"),$AN763*2,0))</f>
        <v>539.54</v>
      </c>
      <c r="BJ763" s="153" t="n">
        <f aca="false">IF(AND($M763&lt;&gt;"",$N763="VCA",$Q763="LINEAR"),($M763*6.8)/100,IF(AND($M763&lt;&gt;"",$N763="MND",$Q763="EMBOQUE"),($AN763*2*6.8)/100,0))</f>
        <v>36.68872</v>
      </c>
      <c r="BK763" s="153" t="n">
        <f aca="false">IF(AND($M763&lt;&gt;"",$N763="VCA",$Q763="LINEAR"),($M763*2.5)/50,IF(AND($M763&lt;&gt;"",$N763="MND",$Q763="EMBOQUE"),($AN763*2*2.5)/50,0))</f>
        <v>26.977</v>
      </c>
      <c r="BL763" s="157" t="str">
        <f aca="false">K763&amp;J763</f>
        <v>ADUTORAREDES</v>
      </c>
      <c r="BM763" s="152" t="s">
        <v>2229</v>
      </c>
      <c r="BN763" s="152" t="s">
        <v>2230</v>
      </c>
      <c r="BO763" s="152" t="s">
        <v>4454</v>
      </c>
      <c r="BP763" s="152" t="s">
        <v>2032</v>
      </c>
      <c r="BQ763" s="152" t="s">
        <v>2032</v>
      </c>
      <c r="BR763" s="152" t="s">
        <v>4455</v>
      </c>
      <c r="BS763" s="152" t="n">
        <v>203521.453</v>
      </c>
      <c r="BT763" s="152" t="n">
        <v>8236693.335</v>
      </c>
      <c r="BU763" s="152" t="n">
        <v>203797.961</v>
      </c>
      <c r="BV763" s="152" t="n">
        <v>8236281.073</v>
      </c>
      <c r="BW763" s="152" t="n">
        <v>-15.9335051</v>
      </c>
      <c r="BX763" s="152" t="n">
        <v>-47.7680885</v>
      </c>
      <c r="BY763" s="152" t="s">
        <v>4456</v>
      </c>
    </row>
    <row r="764" customFormat="false" ht="13.8" hidden="false" customHeight="false" outlineLevel="0" collapsed="false">
      <c r="A764" s="149" t="n">
        <f aca="false">IF(C764&lt;&gt;"",ROW(A759),"")</f>
        <v>759</v>
      </c>
      <c r="B764" s="150" t="str">
        <f aca="false">HYPERLINK("https://www.google.com/maps/dir/-15.917302,-47.760003/-15.9321230,-47.7679965/data=!4m3!4m2!3e0!5i2")</f>
        <v>https://www.google.com/maps/dir/-15.917302,-47.760003/-15.9321230,-47.7679965/data=!4m3!4m2!3e0!5i2</v>
      </c>
      <c r="C764" s="151" t="s">
        <v>117</v>
      </c>
      <c r="D764" s="152" t="s">
        <v>112</v>
      </c>
      <c r="E764" s="152" t="s">
        <v>113</v>
      </c>
      <c r="F764" s="152" t="s">
        <v>117</v>
      </c>
      <c r="G764" s="152" t="s">
        <v>782</v>
      </c>
      <c r="H764" s="152" t="n">
        <v>63</v>
      </c>
      <c r="I764" s="152" t="s">
        <v>115</v>
      </c>
      <c r="J764" s="152" t="s">
        <v>6</v>
      </c>
      <c r="K764" s="152" t="s">
        <v>4221</v>
      </c>
      <c r="L764" s="152" t="s">
        <v>120</v>
      </c>
      <c r="M764" s="153" t="n">
        <f aca="false">32.81</f>
        <v>32.81</v>
      </c>
      <c r="N764" s="152" t="s">
        <v>1548</v>
      </c>
      <c r="O764" s="152" t="s">
        <v>1549</v>
      </c>
      <c r="P764" s="152" t="s">
        <v>1550</v>
      </c>
      <c r="Q764" s="152" t="s">
        <v>1551</v>
      </c>
      <c r="R764" s="154" t="s">
        <v>4457</v>
      </c>
      <c r="S764" s="154" t="s">
        <v>1553</v>
      </c>
      <c r="T764" s="155" t="s">
        <v>4451</v>
      </c>
      <c r="U764" s="152" t="str">
        <f aca="false">RIGHT(T764,7)</f>
        <v>018/037</v>
      </c>
      <c r="V764" s="152" t="s">
        <v>1555</v>
      </c>
      <c r="W764" s="156" t="n">
        <v>45882</v>
      </c>
      <c r="X764" s="152" t="s">
        <v>1594</v>
      </c>
      <c r="Y764" s="152" t="s">
        <v>4223</v>
      </c>
      <c r="Z764" s="152" t="s">
        <v>1557</v>
      </c>
      <c r="AA764" s="153" t="n">
        <v>4.8</v>
      </c>
      <c r="AB764" s="151" t="s">
        <v>4458</v>
      </c>
      <c r="AC764" s="151" t="s">
        <v>186</v>
      </c>
      <c r="AD764" s="151" t="str">
        <f aca="false">CONCATENATE($C764,$I764,$H764,$N764,$J764,$K764)</f>
        <v>TUBO PEADPEAD63VCAREDESZona07</v>
      </c>
      <c r="AE764" s="153" t="n">
        <f aca="false">IFERROR(INDEX(APOIO_REDES!$A:$W,MATCH($C764&amp;$I764&amp;$H764&amp;$N764&amp;$O764,APOIO_REDES!$W:$W,0),MATCH(AE$5,APOIO_REDES!$5:$5,0)),0)</f>
        <v>1.2</v>
      </c>
      <c r="AF764" s="153" t="n">
        <f aca="false">IFERROR(INDEX(APOIO_REDES!$A:$W,MATCH($C764&amp;$I764&amp;$H764&amp;$N764&amp;$O764,APOIO_REDES!$W:$W,0),MATCH(AF$5,APOIO_REDES!$5:$5,0)),0)</f>
        <v>1.363</v>
      </c>
      <c r="AG764" s="153" t="n">
        <f aca="false">IFERROR(INDEX(APOIO_REDES!$A:$W,MATCH($C764&amp;$I764&amp;$H764&amp;$N764&amp;$O764,APOIO_REDES!$W:$W,0),MATCH(AG$5,APOIO_REDES!$5:$5,0)),0)</f>
        <v>0.65</v>
      </c>
      <c r="AH764" s="153" t="n">
        <f aca="false">IFERROR(INDEX(APOIO_REDES!$A:$W,MATCH($C764&amp;$I764&amp;$H764&amp;$N764&amp;$O764,APOIO_REDES!$W:$W,0),MATCH(AH$5,APOIO_REDES!$5:$5,0)),0)</f>
        <v>0.1</v>
      </c>
      <c r="AI764" s="153" t="n">
        <f aca="false">IFERROR(IF($H764&lt;&gt;"",(((($H764/1000)/2)^2)*PI()*$M764),0),0)</f>
        <v>0.102276818638308</v>
      </c>
      <c r="AJ764" s="153" t="n">
        <f aca="false">IFERROR(IF(AND($H764&lt;&gt;"",$I764="FoFo",OR($N764="MND",$N764="VCA"),$Q764="LINEAR"),0,IF(AND($H764&lt;&gt;"",$I764="PEAD",$N764="VCA",$Q764="LINEAR"),($H764/1000)+0.3,IF(AND($H764&lt;&gt;"",$I764="PEAD",$N764="MND",$Q764="EMBOQUE"),0,IF(AND($H764&lt;&gt;"",$I764="PVC",$N764="VCA",$Q764="LINEAR"),($H764/1000)+0.2,IF(AND($H764&lt;&gt;"",$I764="PVC",$N764="MND",$Q764="EMBOQUE"),0,IF(AND($H764&lt;&gt;"",$I764="PEAD",$N764="VCA",$Q764="PREDIAL"),0,0)))))),0)</f>
        <v>0.363</v>
      </c>
      <c r="AK764" s="153" t="n">
        <f aca="false">IF(AA764&lt;&gt;"",AA764,0)</f>
        <v>4.8</v>
      </c>
      <c r="AL764" s="153" t="n">
        <f aca="false">IF(AND($N764="MND",$Q764="EMBOQUE"),$M764,IF(AND($N764="VCA",$Q764="LINEAR"),$M764,IF(AND($N764="VCA",$Q764="PREDIAL"),0,0)))</f>
        <v>32.81</v>
      </c>
      <c r="AM764" s="153" t="n">
        <f aca="false">IF(AND($N764="MND",$Q764="EMBOQUE"),$M764,IF(AND($N764="VCA",$Q764="LINEAR"),$M764,IF(AND($N764="VCA",$Q764="PREDIAL"),0,0)))</f>
        <v>32.81</v>
      </c>
      <c r="AN764" s="153" t="n">
        <f aca="false">ROUND(IF(AND($N764="VCA",$M764&lt;&gt;"",$Q764="LINEAR"),$M764/100,IF(AND($N764="MND",$M764&gt;100,$Q764="EMBOQUE"),$M764/100,0)),0)</f>
        <v>0</v>
      </c>
      <c r="AO764" s="153" t="n">
        <f aca="false">IF(AND($N764="MND",$Q764="EMBOQUE"),$AN764*2*2,IF(AND($N764="VCA",$Q764="LINEAR"),$M764*2,IF(AND($N764="VCA",$Q764="PREDIAL"),0,0)))</f>
        <v>65.62</v>
      </c>
      <c r="AP764" s="153" t="n">
        <f aca="false">IFERROR($M764*$AF764*$AG764,0)</f>
        <v>29.0680195</v>
      </c>
      <c r="AQ764" s="153" t="n">
        <f aca="false">IFERROR(IF(AND($N764="VCA",$AH764&gt;0),$M764*$AG764*$AH764,0),0)</f>
        <v>2.13265</v>
      </c>
      <c r="AR764" s="153" t="n">
        <f aca="false">IFERROR(IF(AND($N764="VCA",$AJ764&gt;0),($M764*$AG764*$AJ764)-$AI764,0),0)</f>
        <v>7.63924268136169</v>
      </c>
      <c r="AS764" s="153" t="n">
        <f aca="false">IFERROR(IF(AND($N764="VCA",$AP764&gt;0),$AP764-$AI764-$AQ764-$AR764,0),0)</f>
        <v>19.19385</v>
      </c>
      <c r="AT764" s="153" t="n">
        <f aca="false">IFERROR(IF($N764="VCA",INDEX(APOIO_REDES!$A:$W,MATCH($C764&amp;$I764&amp;$H764&amp;$N764&amp;$O764,APOIO_REDES!$W:$W,0),MATCH(AT$5,APOIO_REDES!$5:$5,0)),0)*$AP764,0)</f>
        <v>0.316268655854597</v>
      </c>
      <c r="AU764" s="153" t="n">
        <f aca="false">IFERROR(IF($N764="VCA",INDEX(APOIO_REDES!$A:$W,MATCH($C764&amp;$I764&amp;$H764&amp;$N764&amp;$O764,APOIO_REDES!$W:$W,0),MATCH(AU$5,APOIO_REDES!$5:$5,0)),0)*$AP764,0)</f>
        <v>0.252563582923982</v>
      </c>
      <c r="AV764" s="153" t="n">
        <f aca="false">IFERROR(IF($N764="VCA",INDEX(APOIO_REDES!$A:$W,MATCH($C764&amp;$I764&amp;$H764&amp;$N764&amp;$O764,APOIO_REDES!$W:$W,0),MATCH(AV$5,APOIO_REDES!$5:$5,0)),0)*$AP764,0)</f>
        <v>0.0349528171748152</v>
      </c>
      <c r="AW764" s="153" t="n">
        <f aca="false">IFERROR(IF($N764="VCA",INDEX(APOIO_REDES!$A:$W,MATCH($C764&amp;$I764&amp;$H764&amp;$N764&amp;$O764,APOIO_REDES!$W:$W,0),MATCH(AW$5,APOIO_REDES!$5:$5,0)),0)*$AP764,0)</f>
        <v>19.9525138148058</v>
      </c>
      <c r="AX764" s="153" t="n">
        <f aca="false">IFERROR(IF($N764="VCA",INDEX(APOIO_REDES!$A:$W,MATCH($C764&amp;$I764&amp;$H764&amp;$N764&amp;$O764,APOIO_REDES!$W:$W,0),MATCH(AX$5,APOIO_REDES!$5:$5,0)),0)*$AP764,0)</f>
        <v>2.76137107615768</v>
      </c>
      <c r="AY764" s="153" t="n">
        <f aca="false">IFERROR(IF($N764="VCA",INDEX(APOIO_REDES!$A:$W,MATCH($C764&amp;$I764&amp;$H764&amp;$N764&amp;$O764,APOIO_REDES!$W:$W,0),MATCH(AY$5,APOIO_REDES!$5:$5,0)),0)*$AP764,0)</f>
        <v>5.05126857975004</v>
      </c>
      <c r="AZ764" s="153" t="n">
        <f aca="false">IFERROR(IF($N764="VCA",INDEX(APOIO_REDES!$A:$W,MATCH($C764&amp;$I764&amp;$H764&amp;$N764&amp;$O764,APOIO_REDES!$W:$W,0),MATCH(AZ$5,APOIO_REDES!$5:$5,0)),0)*$AP764,0)</f>
        <v>0.699080973333123</v>
      </c>
      <c r="BA764" s="153" t="n">
        <f aca="false">IFERROR(IF(AND($N764="VCA",$Q764="LINEAR"),INDEX(APOIO_REDES!$A:$W,MATCH($C764&amp;$I764&amp;$H764&amp;$N764&amp;$O764,APOIO_REDES!$W:$W,0),MATCH(BA$5,APOIO_REDES!$5:$5,0)),IF(AND($N764="MND",$Q764="EMBOQUE"),INDEX(APOIO_REDES!$A:$W,MATCH($C764&amp;$I764&amp;$H764&amp;$N764&amp;$O764,APOIO_REDES!$W:$W,0),MATCH(BA$5,APOIO_REDES!$5:$5,0)),0))*$M764/10,0)</f>
        <v>2.64440323939259</v>
      </c>
      <c r="BB764" s="153" t="n">
        <f aca="false">IFERROR(IF($N764="VCA",INDEX(APOIO_REDES!$A:$W,MATCH($C764&amp;$I764&amp;$H764&amp;$N764&amp;$O764,APOIO_REDES!$W:$W,0),MATCH(BB$5,APOIO_REDES!$5:$5,0)),0)*($AI764+$AQ764+$AR764),0)</f>
        <v>9.76673561323501</v>
      </c>
      <c r="BC764" s="153" t="n">
        <f aca="false">IFERROR(IF($N764="VCA",INDEX(APOIO_REDES!$A:$W,MATCH($C764&amp;$I764&amp;$H764&amp;$N764&amp;$O764,APOIO_REDES!$W:$W,0),MATCH(BC$5,APOIO_REDES!$5:$5,0)),0)*($AI764+$AQ764+$AR764),0)</f>
        <v>0.107433886764988</v>
      </c>
      <c r="BD764" s="153" t="n">
        <f aca="false">IF(AND($N764="VCA",$AF764&gt;=1.25,$AF764&lt;1.5),$M764*$AF764*2,0)</f>
        <v>89.44006</v>
      </c>
      <c r="BE764" s="153" t="n">
        <f aca="false">IF(AND($N764="VCA",$AF764&gt;=1.5,$AF764&lt;3),$M764*$AF764*2,0)</f>
        <v>0</v>
      </c>
      <c r="BF764" s="153" t="n">
        <f aca="false">IF(AND($N764="VCA",$AF764&gt;=3),$M764*$AF764*2,0)</f>
        <v>0</v>
      </c>
      <c r="BG764" s="153" t="n">
        <f aca="false">($BB764+$BC764)*$AK764</f>
        <v>47.3960136</v>
      </c>
      <c r="BH764" s="153" t="n">
        <f aca="false">IF(AND($M764&lt;&gt;"",$N764="VCA",$Q764="LINEAR"),($M764*2)/100,IF(AND($M764&lt;&gt;"",$N764="MND",$Q764="EMBOQUE"),($AN764*2)/100,0))</f>
        <v>0.6562</v>
      </c>
      <c r="BI764" s="153" t="n">
        <f aca="false">IF(AND($M764&lt;&gt;"",$N764="VCA",$Q764="LINEAR"),$M764,IF(AND($M764&lt;&gt;"",$N764="MND",$Q764="EMBOQUE"),$AN764*2,0))</f>
        <v>32.81</v>
      </c>
      <c r="BJ764" s="153" t="n">
        <f aca="false">IF(AND($M764&lt;&gt;"",$N764="VCA",$Q764="LINEAR"),($M764*6.8)/100,IF(AND($M764&lt;&gt;"",$N764="MND",$Q764="EMBOQUE"),($AN764*2*6.8)/100,0))</f>
        <v>2.23108</v>
      </c>
      <c r="BK764" s="153" t="n">
        <f aca="false">IF(AND($M764&lt;&gt;"",$N764="VCA",$Q764="LINEAR"),($M764*2.5)/50,IF(AND($M764&lt;&gt;"",$N764="MND",$Q764="EMBOQUE"),($AN764*2*2.5)/50,0))</f>
        <v>1.6405</v>
      </c>
      <c r="BL764" s="157" t="str">
        <f aca="false">K764&amp;J764</f>
        <v>Zona07REDES</v>
      </c>
      <c r="BM764" s="152" t="s">
        <v>4225</v>
      </c>
      <c r="BN764" s="152" t="s">
        <v>1560</v>
      </c>
      <c r="BO764" s="152" t="s">
        <v>4454</v>
      </c>
      <c r="BP764" s="152" t="s">
        <v>2232</v>
      </c>
      <c r="BQ764" s="152" t="s">
        <v>4275</v>
      </c>
      <c r="BR764" s="152" t="s">
        <v>4459</v>
      </c>
      <c r="BS764" s="152" t="n">
        <v>203669.31</v>
      </c>
      <c r="BT764" s="152" t="n">
        <v>8236580.694</v>
      </c>
      <c r="BU764" s="152" t="n">
        <v>203649.355</v>
      </c>
      <c r="BV764" s="152" t="n">
        <v>8236606.692</v>
      </c>
      <c r="BW764" s="152" t="n">
        <v>-15.9322458</v>
      </c>
      <c r="BX764" s="152" t="n">
        <v>-47.7679108</v>
      </c>
      <c r="BY764" s="152" t="s">
        <v>4275</v>
      </c>
    </row>
    <row r="765" customFormat="false" ht="13.8" hidden="false" customHeight="false" outlineLevel="0" collapsed="false">
      <c r="A765" s="149" t="n">
        <f aca="false">IF(C765&lt;&gt;"",ROW(A760),"")</f>
        <v>760</v>
      </c>
      <c r="B765" s="150" t="str">
        <f aca="false">HYPERLINK("https://www.google.com/maps/dir/-15.917302,-47.760003/-15.9321372,-47.7687947/data=!4m3!4m2!3e0!5i2")</f>
        <v>https://www.google.com/maps/dir/-15.917302,-47.760003/-15.9321372,-47.7687947/data=!4m3!4m2!3e0!5i2</v>
      </c>
      <c r="C765" s="151" t="s">
        <v>117</v>
      </c>
      <c r="D765" s="152" t="s">
        <v>112</v>
      </c>
      <c r="E765" s="152" t="s">
        <v>113</v>
      </c>
      <c r="F765" s="152" t="s">
        <v>117</v>
      </c>
      <c r="G765" s="152" t="s">
        <v>114</v>
      </c>
      <c r="H765" s="152" t="n">
        <v>160</v>
      </c>
      <c r="I765" s="152" t="s">
        <v>115</v>
      </c>
      <c r="J765" s="152" t="s">
        <v>6</v>
      </c>
      <c r="K765" s="152" t="s">
        <v>4221</v>
      </c>
      <c r="L765" s="152" t="s">
        <v>120</v>
      </c>
      <c r="M765" s="153" t="n">
        <f aca="false">48.61+0.06</f>
        <v>48.67</v>
      </c>
      <c r="N765" s="152" t="s">
        <v>1548</v>
      </c>
      <c r="O765" s="152" t="s">
        <v>1549</v>
      </c>
      <c r="P765" s="152" t="s">
        <v>1550</v>
      </c>
      <c r="Q765" s="152" t="s">
        <v>1551</v>
      </c>
      <c r="R765" s="154" t="s">
        <v>4460</v>
      </c>
      <c r="S765" s="154" t="s">
        <v>1593</v>
      </c>
      <c r="T765" s="155" t="s">
        <v>4451</v>
      </c>
      <c r="U765" s="152" t="str">
        <f aca="false">RIGHT(T765,7)</f>
        <v>018/037</v>
      </c>
      <c r="V765" s="152" t="s">
        <v>1555</v>
      </c>
      <c r="W765" s="156" t="n">
        <v>45882</v>
      </c>
      <c r="X765" s="152" t="s">
        <v>1594</v>
      </c>
      <c r="Y765" s="152" t="s">
        <v>4223</v>
      </c>
      <c r="Z765" s="152" t="s">
        <v>1557</v>
      </c>
      <c r="AA765" s="153" t="n">
        <v>4.6</v>
      </c>
      <c r="AB765" s="151" t="s">
        <v>4461</v>
      </c>
      <c r="AC765" s="151" t="s">
        <v>505</v>
      </c>
      <c r="AD765" s="151" t="str">
        <f aca="false">CONCATENATE($C765,$I765,$H765,$N765,$J765,$K765)</f>
        <v>TUBO PEADPEAD160VCAREDESZona07</v>
      </c>
      <c r="AE765" s="153" t="n">
        <f aca="false">IFERROR(INDEX(APOIO_REDES!$A:$W,MATCH($C765&amp;$I765&amp;$H765&amp;$N765&amp;$O765,APOIO_REDES!$W:$W,0),MATCH(AE$5,APOIO_REDES!$5:$5,0)),0)</f>
        <v>1.2</v>
      </c>
      <c r="AF765" s="153" t="n">
        <f aca="false">IFERROR(INDEX(APOIO_REDES!$A:$W,MATCH($C765&amp;$I765&amp;$H765&amp;$N765&amp;$O765,APOIO_REDES!$W:$W,0),MATCH(AF$5,APOIO_REDES!$5:$5,0)),0)</f>
        <v>1.46</v>
      </c>
      <c r="AG765" s="153" t="n">
        <f aca="false">IFERROR(INDEX(APOIO_REDES!$A:$W,MATCH($C765&amp;$I765&amp;$H765&amp;$N765&amp;$O765,APOIO_REDES!$W:$W,0),MATCH(AG$5,APOIO_REDES!$5:$5,0)),0)</f>
        <v>0.75</v>
      </c>
      <c r="AH765" s="153" t="n">
        <f aca="false">IFERROR(INDEX(APOIO_REDES!$A:$W,MATCH($C765&amp;$I765&amp;$H765&amp;$N765&amp;$O765,APOIO_REDES!$W:$W,0),MATCH(AH$5,APOIO_REDES!$5:$5,0)),0)</f>
        <v>0.1</v>
      </c>
      <c r="AI765" s="153" t="n">
        <f aca="false">IFERROR(IF($H765&lt;&gt;"",(((($H765/1000)/2)^2)*PI()*$M765),0),0)</f>
        <v>0.978568412481378</v>
      </c>
      <c r="AJ765" s="153" t="n">
        <f aca="false">IFERROR(IF(AND($H765&lt;&gt;"",$I765="FoFo",OR($N765="MND",$N765="VCA"),$Q765="LINEAR"),0,IF(AND($H765&lt;&gt;"",$I765="PEAD",$N765="VCA",$Q765="LINEAR"),($H765/1000)+0.3,IF(AND($H765&lt;&gt;"",$I765="PEAD",$N765="MND",$Q765="EMBOQUE"),0,IF(AND($H765&lt;&gt;"",$I765="PVC",$N765="VCA",$Q765="LINEAR"),($H765/1000)+0.2,IF(AND($H765&lt;&gt;"",$I765="PVC",$N765="MND",$Q765="EMBOQUE"),0,IF(AND($H765&lt;&gt;"",$I765="PEAD",$N765="VCA",$Q765="PREDIAL"),0,0)))))),0)</f>
        <v>0.46</v>
      </c>
      <c r="AK765" s="153" t="n">
        <f aca="false">IF(AA765&lt;&gt;"",AA765,0)</f>
        <v>4.6</v>
      </c>
      <c r="AL765" s="153" t="n">
        <f aca="false">IF(AND($N765="MND",$Q765="EMBOQUE"),$M765,IF(AND($N765="VCA",$Q765="LINEAR"),$M765,IF(AND($N765="VCA",$Q765="PREDIAL"),0,0)))</f>
        <v>48.67</v>
      </c>
      <c r="AM765" s="153" t="n">
        <f aca="false">IF(AND($N765="MND",$Q765="EMBOQUE"),$M765,IF(AND($N765="VCA",$Q765="LINEAR"),$M765,IF(AND($N765="VCA",$Q765="PREDIAL"),0,0)))</f>
        <v>48.67</v>
      </c>
      <c r="AN765" s="153" t="n">
        <f aca="false">ROUND(IF(AND($N765="VCA",$M765&lt;&gt;"",$Q765="LINEAR"),$M765/100,IF(AND($N765="MND",$M765&gt;100,$Q765="EMBOQUE"),$M765/100,0)),0)</f>
        <v>0</v>
      </c>
      <c r="AO765" s="153" t="n">
        <f aca="false">IF(AND($N765="MND",$Q765="EMBOQUE"),$AN765*2*2,IF(AND($N765="VCA",$Q765="LINEAR"),$M765*2,IF(AND($N765="VCA",$Q765="PREDIAL"),0,0)))</f>
        <v>97.34</v>
      </c>
      <c r="AP765" s="153" t="n">
        <f aca="false">IFERROR($M765*$AF765*$AG765,0)</f>
        <v>53.29365</v>
      </c>
      <c r="AQ765" s="153" t="n">
        <f aca="false">IFERROR(IF(AND($N765="VCA",$AH765&gt;0),$M765*$AG765*$AH765,0),0)</f>
        <v>3.65025</v>
      </c>
      <c r="AR765" s="153" t="n">
        <f aca="false">IFERROR(IF(AND($N765="VCA",$AJ765&gt;0),($M765*$AG765*$AJ765)-$AI765,0),0)</f>
        <v>15.8125815875186</v>
      </c>
      <c r="AS765" s="153" t="n">
        <f aca="false">IFERROR(IF(AND($N765="VCA",$AP765&gt;0),$AP765-$AI765-$AQ765-$AR765,0),0)</f>
        <v>32.85225</v>
      </c>
      <c r="AT765" s="153" t="n">
        <f aca="false">IFERROR(IF($N765="VCA",INDEX(APOIO_REDES!$A:$W,MATCH($C765&amp;$I765&amp;$H765&amp;$N765&amp;$O765,APOIO_REDES!$W:$W,0),MATCH(AT$5,APOIO_REDES!$5:$5,0)),0)*$AP765,0)</f>
        <v>0.579850686115212</v>
      </c>
      <c r="AU765" s="153" t="n">
        <f aca="false">IFERROR(IF($N765="VCA",INDEX(APOIO_REDES!$A:$W,MATCH($C765&amp;$I765&amp;$H765&amp;$N765&amp;$O765,APOIO_REDES!$W:$W,0),MATCH(AU$5,APOIO_REDES!$5:$5,0)),0)*$AP765,0)</f>
        <v>0.463053053583395</v>
      </c>
      <c r="AV765" s="153" t="n">
        <f aca="false">IFERROR(IF($N765="VCA",INDEX(APOIO_REDES!$A:$W,MATCH($C765&amp;$I765&amp;$H765&amp;$N765&amp;$O765,APOIO_REDES!$W:$W,0),MATCH(AV$5,APOIO_REDES!$5:$5,0)),0)*$AP765,0)</f>
        <v>0.0640829075069456</v>
      </c>
      <c r="AW765" s="153" t="n">
        <f aca="false">IFERROR(IF($N765="VCA",INDEX(APOIO_REDES!$A:$W,MATCH($C765&amp;$I765&amp;$H765&amp;$N765&amp;$O765,APOIO_REDES!$W:$W,0),MATCH(AW$5,APOIO_REDES!$5:$5,0)),0)*$AP765,0)</f>
        <v>36.5811742993507</v>
      </c>
      <c r="AX765" s="153" t="n">
        <f aca="false">IFERROR(IF($N765="VCA",INDEX(APOIO_REDES!$A:$W,MATCH($C765&amp;$I765&amp;$H765&amp;$N765&amp;$O765,APOIO_REDES!$W:$W,0),MATCH(AX$5,APOIO_REDES!$5:$5,0)),0)*$AP765,0)</f>
        <v>5.06273031958268</v>
      </c>
      <c r="AY765" s="153" t="n">
        <f aca="false">IFERROR(IF($N765="VCA",INDEX(APOIO_REDES!$A:$W,MATCH($C765&amp;$I765&amp;$H765&amp;$N765&amp;$O765,APOIO_REDES!$W:$W,0),MATCH(AY$5,APOIO_REDES!$5:$5,0)),0)*$AP765,0)</f>
        <v>9.26105542708871</v>
      </c>
      <c r="AZ765" s="153" t="n">
        <f aca="false">IFERROR(IF($N765="VCA",INDEX(APOIO_REDES!$A:$W,MATCH($C765&amp;$I765&amp;$H765&amp;$N765&amp;$O765,APOIO_REDES!$W:$W,0),MATCH(AZ$5,APOIO_REDES!$5:$5,0)),0)*$AP765,0)</f>
        <v>1.28170330677241</v>
      </c>
      <c r="BA765" s="153" t="n">
        <f aca="false">IFERROR(IF(AND($N765="VCA",$Q765="LINEAR"),INDEX(APOIO_REDES!$A:$W,MATCH($C765&amp;$I765&amp;$H765&amp;$N765&amp;$O765,APOIO_REDES!$W:$W,0),MATCH(BA$5,APOIO_REDES!$5:$5,0)),IF(AND($N765="MND",$Q765="EMBOQUE"),INDEX(APOIO_REDES!$A:$W,MATCH($C765&amp;$I765&amp;$H765&amp;$N765&amp;$O765,APOIO_REDES!$W:$W,0),MATCH(BA$5,APOIO_REDES!$5:$5,0)),0))*$M765/10,0)</f>
        <v>3.92267923380791</v>
      </c>
      <c r="BB765" s="153" t="n">
        <f aca="false">IFERROR(IF($N765="VCA",INDEX(APOIO_REDES!$A:$W,MATCH($C765&amp;$I765&amp;$H765&amp;$N765&amp;$O765,APOIO_REDES!$W:$W,0),MATCH(BB$5,APOIO_REDES!$5:$5,0)),0)*($AI765+$AQ765+$AR765),0)</f>
        <v>20.2189915176544</v>
      </c>
      <c r="BC765" s="153" t="n">
        <f aca="false">IFERROR(IF($N765="VCA",INDEX(APOIO_REDES!$A:$W,MATCH($C765&amp;$I765&amp;$H765&amp;$N765&amp;$O765,APOIO_REDES!$W:$W,0),MATCH(BC$5,APOIO_REDES!$5:$5,0)),0)*($AI765+$AQ765+$AR765),0)</f>
        <v>0.222408482345561</v>
      </c>
      <c r="BD765" s="153" t="n">
        <f aca="false">IF(AND($N765="VCA",$AF765&gt;=1.25,$AF765&lt;1.5),$M765*$AF765*2,0)</f>
        <v>142.1164</v>
      </c>
      <c r="BE765" s="153" t="n">
        <f aca="false">IF(AND($N765="VCA",$AF765&gt;=1.5,$AF765&lt;3),$M765*$AF765*2,0)</f>
        <v>0</v>
      </c>
      <c r="BF765" s="153" t="n">
        <f aca="false">IF(AND($N765="VCA",$AF765&gt;=3),$M765*$AF765*2,0)</f>
        <v>0</v>
      </c>
      <c r="BG765" s="153" t="n">
        <f aca="false">($BB765+$BC765)*$AK765</f>
        <v>94.03044</v>
      </c>
      <c r="BH765" s="153" t="n">
        <f aca="false">IF(AND($M765&lt;&gt;"",$N765="VCA",$Q765="LINEAR"),($M765*2)/100,IF(AND($M765&lt;&gt;"",$N765="MND",$Q765="EMBOQUE"),($AN765*2)/100,0))</f>
        <v>0.9734</v>
      </c>
      <c r="BI765" s="153" t="n">
        <f aca="false">IF(AND($M765&lt;&gt;"",$N765="VCA",$Q765="LINEAR"),$M765,IF(AND($M765&lt;&gt;"",$N765="MND",$Q765="EMBOQUE"),$AN765*2,0))</f>
        <v>48.67</v>
      </c>
      <c r="BJ765" s="153" t="n">
        <f aca="false">IF(AND($M765&lt;&gt;"",$N765="VCA",$Q765="LINEAR"),($M765*6.8)/100,IF(AND($M765&lt;&gt;"",$N765="MND",$Q765="EMBOQUE"),($AN765*2*6.8)/100,0))</f>
        <v>3.30956</v>
      </c>
      <c r="BK765" s="153" t="n">
        <f aca="false">IF(AND($M765&lt;&gt;"",$N765="VCA",$Q765="LINEAR"),($M765*2.5)/50,IF(AND($M765&lt;&gt;"",$N765="MND",$Q765="EMBOQUE"),($AN765*2*2.5)/50,0))</f>
        <v>2.4335</v>
      </c>
      <c r="BL765" s="157" t="str">
        <f aca="false">K765&amp;J765</f>
        <v>Zona07REDES</v>
      </c>
      <c r="BM765" s="152" t="s">
        <v>4225</v>
      </c>
      <c r="BN765" s="152" t="s">
        <v>1560</v>
      </c>
      <c r="BO765" s="152" t="s">
        <v>4454</v>
      </c>
      <c r="BP765" s="152" t="s">
        <v>4268</v>
      </c>
      <c r="BQ765" s="152" t="s">
        <v>4462</v>
      </c>
      <c r="BR765" s="152" t="s">
        <v>4463</v>
      </c>
      <c r="BS765" s="152" t="n">
        <v>203563.904</v>
      </c>
      <c r="BT765" s="152" t="n">
        <v>8236603.934</v>
      </c>
      <c r="BU765" s="152" t="n">
        <v>203583.177</v>
      </c>
      <c r="BV765" s="152" t="n">
        <v>8236559.308</v>
      </c>
      <c r="BW765" s="152" t="n">
        <v>-15.9323403</v>
      </c>
      <c r="BX765" s="152" t="n">
        <v>-47.7687071</v>
      </c>
      <c r="BY765" s="152" t="s">
        <v>4268</v>
      </c>
    </row>
    <row r="766" customFormat="false" ht="13.8" hidden="false" customHeight="false" outlineLevel="0" collapsed="false">
      <c r="A766" s="149" t="n">
        <f aca="false">IF(C766&lt;&gt;"",ROW(A761),"")</f>
        <v>761</v>
      </c>
      <c r="B766" s="150" t="str">
        <f aca="false">HYPERLINK("https://www.google.com/maps/dir/-15.917302,-47.760003/-15.9325430,-47.7686201/data=!4m3!4m2!3e0!5i2")</f>
        <v>https://www.google.com/maps/dir/-15.917302,-47.760003/-15.9325430,-47.7686201/data=!4m3!4m2!3e0!5i2</v>
      </c>
      <c r="C766" s="151" t="s">
        <v>117</v>
      </c>
      <c r="D766" s="152" t="s">
        <v>112</v>
      </c>
      <c r="E766" s="152" t="s">
        <v>113</v>
      </c>
      <c r="F766" s="152" t="s">
        <v>117</v>
      </c>
      <c r="G766" s="152" t="s">
        <v>114</v>
      </c>
      <c r="H766" s="152" t="n">
        <v>125</v>
      </c>
      <c r="I766" s="152" t="s">
        <v>115</v>
      </c>
      <c r="J766" s="152" t="s">
        <v>6</v>
      </c>
      <c r="K766" s="152" t="s">
        <v>4221</v>
      </c>
      <c r="L766" s="152" t="s">
        <v>120</v>
      </c>
      <c r="M766" s="153" t="n">
        <f aca="false">38.84</f>
        <v>38.84</v>
      </c>
      <c r="N766" s="152" t="s">
        <v>1548</v>
      </c>
      <c r="O766" s="152" t="s">
        <v>1549</v>
      </c>
      <c r="P766" s="152" t="s">
        <v>1550</v>
      </c>
      <c r="Q766" s="152" t="s">
        <v>1551</v>
      </c>
      <c r="R766" s="154" t="s">
        <v>4464</v>
      </c>
      <c r="S766" s="154" t="s">
        <v>1593</v>
      </c>
      <c r="T766" s="155" t="s">
        <v>4451</v>
      </c>
      <c r="U766" s="152" t="str">
        <f aca="false">RIGHT(T766,7)</f>
        <v>018/037</v>
      </c>
      <c r="V766" s="152" t="s">
        <v>1555</v>
      </c>
      <c r="W766" s="156" t="n">
        <v>45882</v>
      </c>
      <c r="X766" s="152" t="s">
        <v>1594</v>
      </c>
      <c r="Y766" s="152" t="s">
        <v>4223</v>
      </c>
      <c r="Z766" s="152" t="s">
        <v>1557</v>
      </c>
      <c r="AA766" s="153" t="n">
        <v>4.2</v>
      </c>
      <c r="AB766" s="151" t="s">
        <v>4465</v>
      </c>
      <c r="AC766" s="151" t="s">
        <v>505</v>
      </c>
      <c r="AD766" s="151" t="str">
        <f aca="false">CONCATENATE($C766,$I766,$H766,$N766,$J766,$K766)</f>
        <v>TUBO PEADPEAD125VCAREDESZona07</v>
      </c>
      <c r="AE766" s="153" t="n">
        <f aca="false">IFERROR(INDEX(APOIO_REDES!$A:$W,MATCH($C766&amp;$I766&amp;$H766&amp;$N766&amp;$O766,APOIO_REDES!$W:$W,0),MATCH(AE$5,APOIO_REDES!$5:$5,0)),0)</f>
        <v>1.2</v>
      </c>
      <c r="AF766" s="153" t="n">
        <f aca="false">IFERROR(INDEX(APOIO_REDES!$A:$W,MATCH($C766&amp;$I766&amp;$H766&amp;$N766&amp;$O766,APOIO_REDES!$W:$W,0),MATCH(AF$5,APOIO_REDES!$5:$5,0)),0)</f>
        <v>1.425</v>
      </c>
      <c r="AG766" s="153" t="n">
        <f aca="false">IFERROR(INDEX(APOIO_REDES!$A:$W,MATCH($C766&amp;$I766&amp;$H766&amp;$N766&amp;$O766,APOIO_REDES!$W:$W,0),MATCH(AG$5,APOIO_REDES!$5:$5,0)),0)</f>
        <v>0.75</v>
      </c>
      <c r="AH766" s="153" t="n">
        <f aca="false">IFERROR(INDEX(APOIO_REDES!$A:$W,MATCH($C766&amp;$I766&amp;$H766&amp;$N766&amp;$O766,APOIO_REDES!$W:$W,0),MATCH(AH$5,APOIO_REDES!$5:$5,0)),0)</f>
        <v>0.1</v>
      </c>
      <c r="AI766" s="153" t="n">
        <f aca="false">IFERROR(IF($H766&lt;&gt;"",(((($H766/1000)/2)^2)*PI()*$M766),0),0)</f>
        <v>0.476638510411827</v>
      </c>
      <c r="AJ766" s="153" t="n">
        <f aca="false">IFERROR(IF(AND($H766&lt;&gt;"",$I766="FoFo",OR($N766="MND",$N766="VCA"),$Q766="LINEAR"),0,IF(AND($H766&lt;&gt;"",$I766="PEAD",$N766="VCA",$Q766="LINEAR"),($H766/1000)+0.3,IF(AND($H766&lt;&gt;"",$I766="PEAD",$N766="MND",$Q766="EMBOQUE"),0,IF(AND($H766&lt;&gt;"",$I766="PVC",$N766="VCA",$Q766="LINEAR"),($H766/1000)+0.2,IF(AND($H766&lt;&gt;"",$I766="PVC",$N766="MND",$Q766="EMBOQUE"),0,IF(AND($H766&lt;&gt;"",$I766="PEAD",$N766="VCA",$Q766="PREDIAL"),0,0)))))),0)</f>
        <v>0.425</v>
      </c>
      <c r="AK766" s="153" t="n">
        <f aca="false">IF(AA766&lt;&gt;"",AA766,0)</f>
        <v>4.2</v>
      </c>
      <c r="AL766" s="153" t="n">
        <f aca="false">IF(AND($N766="MND",$Q766="EMBOQUE"),$M766,IF(AND($N766="VCA",$Q766="LINEAR"),$M766,IF(AND($N766="VCA",$Q766="PREDIAL"),0,0)))</f>
        <v>38.84</v>
      </c>
      <c r="AM766" s="153" t="n">
        <f aca="false">IF(AND($N766="MND",$Q766="EMBOQUE"),$M766,IF(AND($N766="VCA",$Q766="LINEAR"),$M766,IF(AND($N766="VCA",$Q766="PREDIAL"),0,0)))</f>
        <v>38.84</v>
      </c>
      <c r="AN766" s="153" t="n">
        <f aca="false">ROUND(IF(AND($N766="VCA",$M766&lt;&gt;"",$Q766="LINEAR"),$M766/100,IF(AND($N766="MND",$M766&gt;100,$Q766="EMBOQUE"),$M766/100,0)),0)</f>
        <v>0</v>
      </c>
      <c r="AO766" s="153" t="n">
        <f aca="false">IF(AND($N766="MND",$Q766="EMBOQUE"),$AN766*2*2,IF(AND($N766="VCA",$Q766="LINEAR"),$M766*2,IF(AND($N766="VCA",$Q766="PREDIAL"),0,0)))</f>
        <v>77.68</v>
      </c>
      <c r="AP766" s="153" t="n">
        <f aca="false">IFERROR($M766*$AF766*$AG766,0)</f>
        <v>41.51025</v>
      </c>
      <c r="AQ766" s="153" t="n">
        <f aca="false">IFERROR(IF(AND($N766="VCA",$AH766&gt;0),$M766*$AG766*$AH766,0),0)</f>
        <v>2.913</v>
      </c>
      <c r="AR766" s="153" t="n">
        <f aca="false">IFERROR(IF(AND($N766="VCA",$AJ766&gt;0),($M766*$AG766*$AJ766)-$AI766,0),0)</f>
        <v>11.9036114895882</v>
      </c>
      <c r="AS766" s="153" t="n">
        <f aca="false">IFERROR(IF(AND($N766="VCA",$AP766&gt;0),$AP766-$AI766-$AQ766-$AR766,0),0)</f>
        <v>26.217</v>
      </c>
      <c r="AT766" s="153" t="n">
        <f aca="false">IFERROR(IF($N766="VCA",INDEX(APOIO_REDES!$A:$W,MATCH($C766&amp;$I766&amp;$H766&amp;$N766&amp;$O766,APOIO_REDES!$W:$W,0),MATCH(AT$5,APOIO_REDES!$5:$5,0)),0)*$AP766,0)</f>
        <v>0.451643806406842</v>
      </c>
      <c r="AU766" s="153" t="n">
        <f aca="false">IFERROR(IF($N766="VCA",INDEX(APOIO_REDES!$A:$W,MATCH($C766&amp;$I766&amp;$H766&amp;$N766&amp;$O766,APOIO_REDES!$W:$W,0),MATCH(AU$5,APOIO_REDES!$5:$5,0)),0)*$AP766,0)</f>
        <v>0.36067051173095</v>
      </c>
      <c r="AV766" s="153" t="n">
        <f aca="false">IFERROR(IF($N766="VCA",INDEX(APOIO_REDES!$A:$W,MATCH($C766&amp;$I766&amp;$H766&amp;$N766&amp;$O766,APOIO_REDES!$W:$W,0),MATCH(AV$5,APOIO_REDES!$5:$5,0)),0)*$AP766,0)</f>
        <v>0.0499139674490336</v>
      </c>
      <c r="AW766" s="153" t="n">
        <f aca="false">IFERROR(IF($N766="VCA",INDEX(APOIO_REDES!$A:$W,MATCH($C766&amp;$I766&amp;$H766&amp;$N766&amp;$O766,APOIO_REDES!$W:$W,0),MATCH(AW$5,APOIO_REDES!$5:$5,0)),0)*$AP766,0)</f>
        <v>28.4929572371121</v>
      </c>
      <c r="AX766" s="153" t="n">
        <f aca="false">IFERROR(IF($N766="VCA",INDEX(APOIO_REDES!$A:$W,MATCH($C766&amp;$I766&amp;$H766&amp;$N766&amp;$O766,APOIO_REDES!$W:$W,0),MATCH(AX$5,APOIO_REDES!$5:$5,0)),0)*$AP766,0)</f>
        <v>3.94334411789129</v>
      </c>
      <c r="AY766" s="153" t="n">
        <f aca="false">IFERROR(IF($N766="VCA",INDEX(APOIO_REDES!$A:$W,MATCH($C766&amp;$I766&amp;$H766&amp;$N766&amp;$O766,APOIO_REDES!$W:$W,0),MATCH(AY$5,APOIO_REDES!$5:$5,0)),0)*$AP766,0)</f>
        <v>7.21340583807469</v>
      </c>
      <c r="AZ766" s="153" t="n">
        <f aca="false">IFERROR(IF($N766="VCA",INDEX(APOIO_REDES!$A:$W,MATCH($C766&amp;$I766&amp;$H766&amp;$N766&amp;$O766,APOIO_REDES!$W:$W,0),MATCH(AZ$5,APOIO_REDES!$5:$5,0)),0)*$AP766,0)</f>
        <v>0.99831452133508</v>
      </c>
      <c r="BA766" s="153" t="n">
        <f aca="false">IFERROR(IF(AND($N766="VCA",$Q766="LINEAR"),INDEX(APOIO_REDES!$A:$W,MATCH($C766&amp;$I766&amp;$H766&amp;$N766&amp;$O766,APOIO_REDES!$W:$W,0),MATCH(BA$5,APOIO_REDES!$5:$5,0)),IF(AND($N766="MND",$Q766="EMBOQUE"),INDEX(APOIO_REDES!$A:$W,MATCH($C766&amp;$I766&amp;$H766&amp;$N766&amp;$O766,APOIO_REDES!$W:$W,0),MATCH(BA$5,APOIO_REDES!$5:$5,0)),0))*$M766/10,0)</f>
        <v>3.13040602919867</v>
      </c>
      <c r="BB766" s="153" t="n">
        <f aca="false">IFERROR(IF($N766="VCA",INDEX(APOIO_REDES!$A:$W,MATCH($C766&amp;$I766&amp;$H766&amp;$N766&amp;$O766,APOIO_REDES!$W:$W,0),MATCH(BB$5,APOIO_REDES!$5:$5,0)),0)*($AI766+$AQ766+$AR766),0)</f>
        <v>15.1268549134291</v>
      </c>
      <c r="BC766" s="153" t="n">
        <f aca="false">IFERROR(IF($N766="VCA",INDEX(APOIO_REDES!$A:$W,MATCH($C766&amp;$I766&amp;$H766&amp;$N766&amp;$O766,APOIO_REDES!$W:$W,0),MATCH(BC$5,APOIO_REDES!$5:$5,0)),0)*($AI766+$AQ766+$AR766),0)</f>
        <v>0.166395086570942</v>
      </c>
      <c r="BD766" s="153" t="n">
        <f aca="false">IF(AND($N766="VCA",$AF766&gt;=1.25,$AF766&lt;1.5),$M766*$AF766*2,0)</f>
        <v>110.694</v>
      </c>
      <c r="BE766" s="153" t="n">
        <f aca="false">IF(AND($N766="VCA",$AF766&gt;=1.5,$AF766&lt;3),$M766*$AF766*2,0)</f>
        <v>0</v>
      </c>
      <c r="BF766" s="153" t="n">
        <f aca="false">IF(AND($N766="VCA",$AF766&gt;=3),$M766*$AF766*2,0)</f>
        <v>0</v>
      </c>
      <c r="BG766" s="153" t="n">
        <f aca="false">($BB766+$BC766)*$AK766</f>
        <v>64.23165</v>
      </c>
      <c r="BH766" s="153" t="n">
        <f aca="false">IF(AND($M766&lt;&gt;"",$N766="VCA",$Q766="LINEAR"),($M766*2)/100,IF(AND($M766&lt;&gt;"",$N766="MND",$Q766="EMBOQUE"),($AN766*2)/100,0))</f>
        <v>0.7768</v>
      </c>
      <c r="BI766" s="153" t="n">
        <f aca="false">IF(AND($M766&lt;&gt;"",$N766="VCA",$Q766="LINEAR"),$M766,IF(AND($M766&lt;&gt;"",$N766="MND",$Q766="EMBOQUE"),$AN766*2,0))</f>
        <v>38.84</v>
      </c>
      <c r="BJ766" s="153" t="n">
        <f aca="false">IF(AND($M766&lt;&gt;"",$N766="VCA",$Q766="LINEAR"),($M766*6.8)/100,IF(AND($M766&lt;&gt;"",$N766="MND",$Q766="EMBOQUE"),($AN766*2*6.8)/100,0))</f>
        <v>2.64112</v>
      </c>
      <c r="BK766" s="153" t="n">
        <f aca="false">IF(AND($M766&lt;&gt;"",$N766="VCA",$Q766="LINEAR"),($M766*2.5)/50,IF(AND($M766&lt;&gt;"",$N766="MND",$Q766="EMBOQUE"),($AN766*2*2.5)/50,0))</f>
        <v>1.942</v>
      </c>
      <c r="BL766" s="157" t="str">
        <f aca="false">K766&amp;J766</f>
        <v>Zona07REDES</v>
      </c>
      <c r="BM766" s="152" t="s">
        <v>4225</v>
      </c>
      <c r="BN766" s="152" t="s">
        <v>1560</v>
      </c>
      <c r="BO766" s="152" t="s">
        <v>4454</v>
      </c>
      <c r="BP766" s="152" t="s">
        <v>4462</v>
      </c>
      <c r="BQ766" s="152" t="s">
        <v>4288</v>
      </c>
      <c r="BR766" s="152" t="s">
        <v>4466</v>
      </c>
      <c r="BS766" s="152" t="n">
        <v>203583.202</v>
      </c>
      <c r="BT766" s="152" t="n">
        <v>8236559.249</v>
      </c>
      <c r="BU766" s="152" t="n">
        <v>203614.774</v>
      </c>
      <c r="BV766" s="152" t="n">
        <v>8236581.879</v>
      </c>
      <c r="BW766" s="152" t="n">
        <v>-15.9324432</v>
      </c>
      <c r="BX766" s="152" t="n">
        <v>-47.768471</v>
      </c>
      <c r="BY766" s="152" t="s">
        <v>4462</v>
      </c>
    </row>
    <row r="767" customFormat="false" ht="13.8" hidden="false" customHeight="false" outlineLevel="0" collapsed="false">
      <c r="A767" s="149" t="n">
        <f aca="false">IF(C767&lt;&gt;"",ROW(A762),"")</f>
        <v>762</v>
      </c>
      <c r="B767" s="150" t="str">
        <f aca="false">HYPERLINK("https://www.google.com/maps/dir/-15.917302,-47.760003/-15.9326037,-47.7676280/data=!4m3!4m2!3e0!5i2")</f>
        <v>https://www.google.com/maps/dir/-15.917302,-47.760003/-15.9326037,-47.7676280/data=!4m3!4m2!3e0!5i2</v>
      </c>
      <c r="C767" s="151" t="s">
        <v>117</v>
      </c>
      <c r="D767" s="152" t="s">
        <v>112</v>
      </c>
      <c r="E767" s="152" t="s">
        <v>113</v>
      </c>
      <c r="F767" s="152" t="s">
        <v>117</v>
      </c>
      <c r="G767" s="152" t="s">
        <v>782</v>
      </c>
      <c r="H767" s="152" t="n">
        <v>110</v>
      </c>
      <c r="I767" s="152" t="s">
        <v>115</v>
      </c>
      <c r="J767" s="152" t="s">
        <v>6</v>
      </c>
      <c r="K767" s="152" t="s">
        <v>4221</v>
      </c>
      <c r="L767" s="152" t="s">
        <v>120</v>
      </c>
      <c r="M767" s="153" t="n">
        <f aca="false">41.5</f>
        <v>41.5</v>
      </c>
      <c r="N767" s="152" t="s">
        <v>1548</v>
      </c>
      <c r="O767" s="152" t="s">
        <v>1549</v>
      </c>
      <c r="P767" s="152" t="s">
        <v>1550</v>
      </c>
      <c r="Q767" s="152" t="s">
        <v>1551</v>
      </c>
      <c r="R767" s="154" t="s">
        <v>4467</v>
      </c>
      <c r="S767" s="154" t="s">
        <v>1593</v>
      </c>
      <c r="T767" s="155" t="s">
        <v>4451</v>
      </c>
      <c r="U767" s="152" t="str">
        <f aca="false">RIGHT(T767,7)</f>
        <v>018/037</v>
      </c>
      <c r="V767" s="152" t="s">
        <v>1555</v>
      </c>
      <c r="W767" s="156" t="n">
        <v>45882</v>
      </c>
      <c r="X767" s="152" t="s">
        <v>1594</v>
      </c>
      <c r="Y767" s="152" t="s">
        <v>4278</v>
      </c>
      <c r="Z767" s="152" t="s">
        <v>1557</v>
      </c>
      <c r="AA767" s="153" t="n">
        <v>4</v>
      </c>
      <c r="AB767" s="151" t="s">
        <v>4468</v>
      </c>
      <c r="AC767" s="151" t="s">
        <v>502</v>
      </c>
      <c r="AD767" s="151" t="str">
        <f aca="false">CONCATENATE($C767,$I767,$H767,$N767,$J767,$K767)</f>
        <v>TUBO PEADPEAD110VCAREDESZona07</v>
      </c>
      <c r="AE767" s="153" t="n">
        <f aca="false">IFERROR(INDEX(APOIO_REDES!$A:$W,MATCH($C767&amp;$I767&amp;$H767&amp;$N767&amp;$O767,APOIO_REDES!$W:$W,0),MATCH(AE$5,APOIO_REDES!$5:$5,0)),0)</f>
        <v>1.2</v>
      </c>
      <c r="AF767" s="153" t="n">
        <f aca="false">IFERROR(INDEX(APOIO_REDES!$A:$W,MATCH($C767&amp;$I767&amp;$H767&amp;$N767&amp;$O767,APOIO_REDES!$W:$W,0),MATCH(AF$5,APOIO_REDES!$5:$5,0)),0)</f>
        <v>1.41</v>
      </c>
      <c r="AG767" s="153" t="n">
        <f aca="false">IFERROR(INDEX(APOIO_REDES!$A:$W,MATCH($C767&amp;$I767&amp;$H767&amp;$N767&amp;$O767,APOIO_REDES!$W:$W,0),MATCH(AG$5,APOIO_REDES!$5:$5,0)),0)</f>
        <v>0.75</v>
      </c>
      <c r="AH767" s="153" t="n">
        <f aca="false">IFERROR(INDEX(APOIO_REDES!$A:$W,MATCH($C767&amp;$I767&amp;$H767&amp;$N767&amp;$O767,APOIO_REDES!$W:$W,0),MATCH(AH$5,APOIO_REDES!$5:$5,0)),0)</f>
        <v>0.1</v>
      </c>
      <c r="AI767" s="153" t="n">
        <f aca="false">IFERROR(IF($H767&lt;&gt;"",(((($H767/1000)/2)^2)*PI()*$M767),0),0)</f>
        <v>0.394387687750029</v>
      </c>
      <c r="AJ767" s="153" t="n">
        <f aca="false">IFERROR(IF(AND($H767&lt;&gt;"",$I767="FoFo",OR($N767="MND",$N767="VCA"),$Q767="LINEAR"),0,IF(AND($H767&lt;&gt;"",$I767="PEAD",$N767="VCA",$Q767="LINEAR"),($H767/1000)+0.3,IF(AND($H767&lt;&gt;"",$I767="PEAD",$N767="MND",$Q767="EMBOQUE"),0,IF(AND($H767&lt;&gt;"",$I767="PVC",$N767="VCA",$Q767="LINEAR"),($H767/1000)+0.2,IF(AND($H767&lt;&gt;"",$I767="PVC",$N767="MND",$Q767="EMBOQUE"),0,IF(AND($H767&lt;&gt;"",$I767="PEAD",$N767="VCA",$Q767="PREDIAL"),0,0)))))),0)</f>
        <v>0.41</v>
      </c>
      <c r="AK767" s="153" t="n">
        <f aca="false">IF(AA767&lt;&gt;"",AA767,0)</f>
        <v>4</v>
      </c>
      <c r="AL767" s="153" t="n">
        <f aca="false">IF(AND($N767="MND",$Q767="EMBOQUE"),$M767,IF(AND($N767="VCA",$Q767="LINEAR"),$M767,IF(AND($N767="VCA",$Q767="PREDIAL"),0,0)))</f>
        <v>41.5</v>
      </c>
      <c r="AM767" s="153" t="n">
        <f aca="false">IF(AND($N767="MND",$Q767="EMBOQUE"),$M767,IF(AND($N767="VCA",$Q767="LINEAR"),$M767,IF(AND($N767="VCA",$Q767="PREDIAL"),0,0)))</f>
        <v>41.5</v>
      </c>
      <c r="AN767" s="153" t="n">
        <f aca="false">ROUND(IF(AND($N767="VCA",$M767&lt;&gt;"",$Q767="LINEAR"),$M767/100,IF(AND($N767="MND",$M767&gt;100,$Q767="EMBOQUE"),$M767/100,0)),0)</f>
        <v>0</v>
      </c>
      <c r="AO767" s="153" t="n">
        <f aca="false">IF(AND($N767="MND",$Q767="EMBOQUE"),$AN767*2*2,IF(AND($N767="VCA",$Q767="LINEAR"),$M767*2,IF(AND($N767="VCA",$Q767="PREDIAL"),0,0)))</f>
        <v>83</v>
      </c>
      <c r="AP767" s="153" t="n">
        <f aca="false">IFERROR($M767*$AF767*$AG767,0)</f>
        <v>43.88625</v>
      </c>
      <c r="AQ767" s="153" t="n">
        <f aca="false">IFERROR(IF(AND($N767="VCA",$AH767&gt;0),$M767*$AG767*$AH767,0),0)</f>
        <v>3.1125</v>
      </c>
      <c r="AR767" s="153" t="n">
        <f aca="false">IFERROR(IF(AND($N767="VCA",$AJ767&gt;0),($M767*$AG767*$AJ767)-$AI767,0),0)</f>
        <v>12.36686231225</v>
      </c>
      <c r="AS767" s="153" t="n">
        <f aca="false">IFERROR(IF(AND($N767="VCA",$AP767&gt;0),$AP767-$AI767-$AQ767-$AR767,0),0)</f>
        <v>28.0125</v>
      </c>
      <c r="AT767" s="153" t="n">
        <f aca="false">IFERROR(IF($N767="VCA",INDEX(APOIO_REDES!$A:$W,MATCH($C767&amp;$I767&amp;$H767&amp;$N767&amp;$O767,APOIO_REDES!$W:$W,0),MATCH(AT$5,APOIO_REDES!$5:$5,0)),0)*$AP767,0)</f>
        <v>0.477495389666944</v>
      </c>
      <c r="AU767" s="153" t="n">
        <f aca="false">IFERROR(IF($N767="VCA",INDEX(APOIO_REDES!$A:$W,MATCH($C767&amp;$I767&amp;$H767&amp;$N767&amp;$O767,APOIO_REDES!$W:$W,0),MATCH(AU$5,APOIO_REDES!$5:$5,0)),0)*$AP767,0)</f>
        <v>0.381314885972799</v>
      </c>
      <c r="AV767" s="153" t="n">
        <f aca="false">IFERROR(IF($N767="VCA",INDEX(APOIO_REDES!$A:$W,MATCH($C767&amp;$I767&amp;$H767&amp;$N767&amp;$O767,APOIO_REDES!$W:$W,0),MATCH(AV$5,APOIO_REDES!$5:$5,0)),0)*$AP767,0)</f>
        <v>0.0527709867794135</v>
      </c>
      <c r="AW767" s="153" t="n">
        <f aca="false">IFERROR(IF($N767="VCA",INDEX(APOIO_REDES!$A:$W,MATCH($C767&amp;$I767&amp;$H767&amp;$N767&amp;$O767,APOIO_REDES!$W:$W,0),MATCH(AW$5,APOIO_REDES!$5:$5,0)),0)*$AP767,0)</f>
        <v>30.1238620472585</v>
      </c>
      <c r="AX767" s="153" t="n">
        <f aca="false">IFERROR(IF($N767="VCA",INDEX(APOIO_REDES!$A:$W,MATCH($C767&amp;$I767&amp;$H767&amp;$N767&amp;$O767,APOIO_REDES!$W:$W,0),MATCH(AX$5,APOIO_REDES!$5:$5,0)),0)*$AP767,0)</f>
        <v>4.16905669789525</v>
      </c>
      <c r="AY767" s="153" t="n">
        <f aca="false">IFERROR(IF($N767="VCA",INDEX(APOIO_REDES!$A:$W,MATCH($C767&amp;$I767&amp;$H767&amp;$N767&amp;$O767,APOIO_REDES!$W:$W,0),MATCH(AY$5,APOIO_REDES!$5:$5,0)),0)*$AP767,0)</f>
        <v>7.62629307125844</v>
      </c>
      <c r="AZ767" s="153" t="n">
        <f aca="false">IFERROR(IF($N767="VCA",INDEX(APOIO_REDES!$A:$W,MATCH($C767&amp;$I767&amp;$H767&amp;$N767&amp;$O767,APOIO_REDES!$W:$W,0),MATCH(AZ$5,APOIO_REDES!$5:$5,0)),0)*$AP767,0)</f>
        <v>1.05545692116867</v>
      </c>
      <c r="BA767" s="153" t="n">
        <f aca="false">IFERROR(IF(AND($N767="VCA",$Q767="LINEAR"),INDEX(APOIO_REDES!$A:$W,MATCH($C767&amp;$I767&amp;$H767&amp;$N767&amp;$O767,APOIO_REDES!$W:$W,0),MATCH(BA$5,APOIO_REDES!$5:$5,0)),IF(AND($N767="MND",$Q767="EMBOQUE"),INDEX(APOIO_REDES!$A:$W,MATCH($C767&amp;$I767&amp;$H767&amp;$N767&amp;$O767,APOIO_REDES!$W:$W,0),MATCH(BA$5,APOIO_REDES!$5:$5,0)),0))*$M767/10,0)</f>
        <v>3.34479531956088</v>
      </c>
      <c r="BB767" s="153" t="n">
        <f aca="false">IFERROR(IF($N767="VCA",INDEX(APOIO_REDES!$A:$W,MATCH($C767&amp;$I767&amp;$H767&amp;$N767&amp;$O767,APOIO_REDES!$W:$W,0),MATCH(BB$5,APOIO_REDES!$5:$5,0)),0)*($AI767+$AQ767+$AR767),0)</f>
        <v>15.7010389016098</v>
      </c>
      <c r="BC767" s="153" t="n">
        <f aca="false">IFERROR(IF($N767="VCA",INDEX(APOIO_REDES!$A:$W,MATCH($C767&amp;$I767&amp;$H767&amp;$N767&amp;$O767,APOIO_REDES!$W:$W,0),MATCH(BC$5,APOIO_REDES!$5:$5,0)),0)*($AI767+$AQ767+$AR767),0)</f>
        <v>0.172711098390171</v>
      </c>
      <c r="BD767" s="153" t="n">
        <f aca="false">IF(AND($N767="VCA",$AF767&gt;=1.25,$AF767&lt;1.5),$M767*$AF767*2,0)</f>
        <v>117.03</v>
      </c>
      <c r="BE767" s="153" t="n">
        <f aca="false">IF(AND($N767="VCA",$AF767&gt;=1.5,$AF767&lt;3),$M767*$AF767*2,0)</f>
        <v>0</v>
      </c>
      <c r="BF767" s="153" t="n">
        <f aca="false">IF(AND($N767="VCA",$AF767&gt;=3),$M767*$AF767*2,0)</f>
        <v>0</v>
      </c>
      <c r="BG767" s="153" t="n">
        <f aca="false">($BB767+$BC767)*$AK767</f>
        <v>63.495</v>
      </c>
      <c r="BH767" s="153" t="n">
        <f aca="false">IF(AND($M767&lt;&gt;"",$N767="VCA",$Q767="LINEAR"),($M767*2)/100,IF(AND($M767&lt;&gt;"",$N767="MND",$Q767="EMBOQUE"),($AN767*2)/100,0))</f>
        <v>0.83</v>
      </c>
      <c r="BI767" s="153" t="n">
        <f aca="false">IF(AND($M767&lt;&gt;"",$N767="VCA",$Q767="LINEAR"),$M767,IF(AND($M767&lt;&gt;"",$N767="MND",$Q767="EMBOQUE"),$AN767*2,0))</f>
        <v>41.5</v>
      </c>
      <c r="BJ767" s="153" t="n">
        <f aca="false">IF(AND($M767&lt;&gt;"",$N767="VCA",$Q767="LINEAR"),($M767*6.8)/100,IF(AND($M767&lt;&gt;"",$N767="MND",$Q767="EMBOQUE"),($AN767*2*6.8)/100,0))</f>
        <v>2.822</v>
      </c>
      <c r="BK767" s="153" t="n">
        <f aca="false">IF(AND($M767&lt;&gt;"",$N767="VCA",$Q767="LINEAR"),($M767*2.5)/50,IF(AND($M767&lt;&gt;"",$N767="MND",$Q767="EMBOQUE"),($AN767*2*2.5)/50,0))</f>
        <v>2.075</v>
      </c>
      <c r="BL767" s="157" t="str">
        <f aca="false">K767&amp;J767</f>
        <v>Zona07REDES</v>
      </c>
      <c r="BM767" s="152" t="s">
        <v>4225</v>
      </c>
      <c r="BN767" s="152" t="s">
        <v>1560</v>
      </c>
      <c r="BO767" s="152" t="s">
        <v>4454</v>
      </c>
      <c r="BP767" s="152" t="s">
        <v>4469</v>
      </c>
      <c r="BQ767" s="152" t="s">
        <v>4280</v>
      </c>
      <c r="BR767" s="152" t="s">
        <v>4470</v>
      </c>
      <c r="BS767" s="152" t="n">
        <v>203689.537</v>
      </c>
      <c r="BT767" s="152" t="n">
        <v>8236553.989</v>
      </c>
      <c r="BU767" s="152" t="n">
        <v>203716.224</v>
      </c>
      <c r="BV767" s="152" t="n">
        <v>8236585.761</v>
      </c>
      <c r="BW767" s="152" t="n">
        <v>-15.9324631</v>
      </c>
      <c r="BX767" s="152" t="n">
        <v>-47.7675</v>
      </c>
      <c r="BY767" s="152" t="s">
        <v>4469</v>
      </c>
    </row>
    <row r="768" customFormat="false" ht="13.8" hidden="false" customHeight="false" outlineLevel="0" collapsed="false">
      <c r="A768" s="149" t="n">
        <f aca="false">IF(C768&lt;&gt;"",ROW(A763),"")</f>
        <v>763</v>
      </c>
      <c r="B768" s="150" t="str">
        <f aca="false">HYPERLINK("https://www.google.com/maps/dir/-15.917302,-47.760003/-15.9326037,-47.7676280/data=!4m3!4m2!3e0!5i2")</f>
        <v>https://www.google.com/maps/dir/-15.917302,-47.760003/-15.9326037,-47.7676280/data=!4m3!4m2!3e0!5i2</v>
      </c>
      <c r="C768" s="151" t="s">
        <v>117</v>
      </c>
      <c r="D768" s="152" t="s">
        <v>112</v>
      </c>
      <c r="E768" s="152" t="s">
        <v>113</v>
      </c>
      <c r="F768" s="152" t="s">
        <v>117</v>
      </c>
      <c r="G768" s="152" t="s">
        <v>782</v>
      </c>
      <c r="H768" s="152" t="n">
        <v>63</v>
      </c>
      <c r="I768" s="152" t="s">
        <v>115</v>
      </c>
      <c r="J768" s="152" t="s">
        <v>6</v>
      </c>
      <c r="K768" s="152" t="s">
        <v>4221</v>
      </c>
      <c r="L768" s="152" t="s">
        <v>120</v>
      </c>
      <c r="M768" s="153" t="n">
        <f aca="false">33.65</f>
        <v>33.65</v>
      </c>
      <c r="N768" s="152" t="s">
        <v>1548</v>
      </c>
      <c r="O768" s="152" t="s">
        <v>1549</v>
      </c>
      <c r="P768" s="152" t="s">
        <v>1550</v>
      </c>
      <c r="Q768" s="152" t="s">
        <v>1551</v>
      </c>
      <c r="R768" s="154" t="s">
        <v>4471</v>
      </c>
      <c r="S768" s="154" t="s">
        <v>1553</v>
      </c>
      <c r="T768" s="155" t="s">
        <v>4451</v>
      </c>
      <c r="U768" s="152" t="str">
        <f aca="false">RIGHT(T768,7)</f>
        <v>018/037</v>
      </c>
      <c r="V768" s="152" t="s">
        <v>1555</v>
      </c>
      <c r="W768" s="156" t="n">
        <v>45882</v>
      </c>
      <c r="X768" s="152" t="s">
        <v>1594</v>
      </c>
      <c r="Y768" s="152" t="s">
        <v>4278</v>
      </c>
      <c r="Z768" s="152" t="s">
        <v>1557</v>
      </c>
      <c r="AA768" s="153" t="n">
        <v>4</v>
      </c>
      <c r="AB768" s="151" t="s">
        <v>4472</v>
      </c>
      <c r="AC768" s="151" t="s">
        <v>186</v>
      </c>
      <c r="AD768" s="151" t="str">
        <f aca="false">CONCATENATE($C768,$I768,$H768,$N768,$J768,$K768)</f>
        <v>TUBO PEADPEAD63VCAREDESZona07</v>
      </c>
      <c r="AE768" s="153" t="n">
        <f aca="false">IFERROR(INDEX(APOIO_REDES!$A:$W,MATCH($C768&amp;$I768&amp;$H768&amp;$N768&amp;$O768,APOIO_REDES!$W:$W,0),MATCH(AE$5,APOIO_REDES!$5:$5,0)),0)</f>
        <v>1.2</v>
      </c>
      <c r="AF768" s="153" t="n">
        <f aca="false">IFERROR(INDEX(APOIO_REDES!$A:$W,MATCH($C768&amp;$I768&amp;$H768&amp;$N768&amp;$O768,APOIO_REDES!$W:$W,0),MATCH(AF$5,APOIO_REDES!$5:$5,0)),0)</f>
        <v>1.363</v>
      </c>
      <c r="AG768" s="153" t="n">
        <f aca="false">IFERROR(INDEX(APOIO_REDES!$A:$W,MATCH($C768&amp;$I768&amp;$H768&amp;$N768&amp;$O768,APOIO_REDES!$W:$W,0),MATCH(AG$5,APOIO_REDES!$5:$5,0)),0)</f>
        <v>0.65</v>
      </c>
      <c r="AH768" s="153" t="n">
        <f aca="false">IFERROR(INDEX(APOIO_REDES!$A:$W,MATCH($C768&amp;$I768&amp;$H768&amp;$N768&amp;$O768,APOIO_REDES!$W:$W,0),MATCH(AH$5,APOIO_REDES!$5:$5,0)),0)</f>
        <v>0.1</v>
      </c>
      <c r="AI768" s="153" t="n">
        <f aca="false">IFERROR(IF($H768&lt;&gt;"",(((($H768/1000)/2)^2)*PI()*$M768),0),0)</f>
        <v>0.104895304699148</v>
      </c>
      <c r="AJ768" s="153" t="n">
        <f aca="false">IFERROR(IF(AND($H768&lt;&gt;"",$I768="FoFo",OR($N768="MND",$N768="VCA"),$Q768="LINEAR"),0,IF(AND($H768&lt;&gt;"",$I768="PEAD",$N768="VCA",$Q768="LINEAR"),($H768/1000)+0.3,IF(AND($H768&lt;&gt;"",$I768="PEAD",$N768="MND",$Q768="EMBOQUE"),0,IF(AND($H768&lt;&gt;"",$I768="PVC",$N768="VCA",$Q768="LINEAR"),($H768/1000)+0.2,IF(AND($H768&lt;&gt;"",$I768="PVC",$N768="MND",$Q768="EMBOQUE"),0,IF(AND($H768&lt;&gt;"",$I768="PEAD",$N768="VCA",$Q768="PREDIAL"),0,0)))))),0)</f>
        <v>0.363</v>
      </c>
      <c r="AK768" s="153" t="n">
        <f aca="false">IF(AA768&lt;&gt;"",AA768,0)</f>
        <v>4</v>
      </c>
      <c r="AL768" s="153" t="n">
        <f aca="false">IF(AND($N768="MND",$Q768="EMBOQUE"),$M768,IF(AND($N768="VCA",$Q768="LINEAR"),$M768,IF(AND($N768="VCA",$Q768="PREDIAL"),0,0)))</f>
        <v>33.65</v>
      </c>
      <c r="AM768" s="153" t="n">
        <f aca="false">IF(AND($N768="MND",$Q768="EMBOQUE"),$M768,IF(AND($N768="VCA",$Q768="LINEAR"),$M768,IF(AND($N768="VCA",$Q768="PREDIAL"),0,0)))</f>
        <v>33.65</v>
      </c>
      <c r="AN768" s="153" t="n">
        <f aca="false">ROUND(IF(AND($N768="VCA",$M768&lt;&gt;"",$Q768="LINEAR"),$M768/100,IF(AND($N768="MND",$M768&gt;100,$Q768="EMBOQUE"),$M768/100,0)),0)</f>
        <v>0</v>
      </c>
      <c r="AO768" s="153" t="n">
        <f aca="false">IF(AND($N768="MND",$Q768="EMBOQUE"),$AN768*2*2,IF(AND($N768="VCA",$Q768="LINEAR"),$M768*2,IF(AND($N768="VCA",$Q768="PREDIAL"),0,0)))</f>
        <v>67.3</v>
      </c>
      <c r="AP768" s="153" t="n">
        <f aca="false">IFERROR($M768*$AF768*$AG768,0)</f>
        <v>29.8122175</v>
      </c>
      <c r="AQ768" s="153" t="n">
        <f aca="false">IFERROR(IF(AND($N768="VCA",$AH768&gt;0),$M768*$AG768*$AH768,0),0)</f>
        <v>2.18725</v>
      </c>
      <c r="AR768" s="153" t="n">
        <f aca="false">IFERROR(IF(AND($N768="VCA",$AJ768&gt;0),($M768*$AG768*$AJ768)-$AI768,0),0)</f>
        <v>7.83482219530085</v>
      </c>
      <c r="AS768" s="153" t="n">
        <f aca="false">IFERROR(IF(AND($N768="VCA",$AP768&gt;0),$AP768-$AI768-$AQ768-$AR768,0),0)</f>
        <v>19.68525</v>
      </c>
      <c r="AT768" s="153" t="n">
        <f aca="false">IFERROR(IF($N768="VCA",INDEX(APOIO_REDES!$A:$W,MATCH($C768&amp;$I768&amp;$H768&amp;$N768&amp;$O768,APOIO_REDES!$W:$W,0),MATCH(AT$5,APOIO_REDES!$5:$5,0)),0)*$AP768,0)</f>
        <v>0.324365750365962</v>
      </c>
      <c r="AU768" s="153" t="n">
        <f aca="false">IFERROR(IF($N768="VCA",INDEX(APOIO_REDES!$A:$W,MATCH($C768&amp;$I768&amp;$H768&amp;$N768&amp;$O768,APOIO_REDES!$W:$W,0),MATCH(AU$5,APOIO_REDES!$5:$5,0)),0)*$AP768,0)</f>
        <v>0.259029703303627</v>
      </c>
      <c r="AV768" s="153" t="n">
        <f aca="false">IFERROR(IF($N768="VCA",INDEX(APOIO_REDES!$A:$W,MATCH($C768&amp;$I768&amp;$H768&amp;$N768&amp;$O768,APOIO_REDES!$W:$W,0),MATCH(AV$5,APOIO_REDES!$5:$5,0)),0)*$AP768,0)</f>
        <v>0.0358476774743228</v>
      </c>
      <c r="AW768" s="153" t="n">
        <f aca="false">IFERROR(IF($N768="VCA",INDEX(APOIO_REDES!$A:$W,MATCH($C768&amp;$I768&amp;$H768&amp;$N768&amp;$O768,APOIO_REDES!$W:$W,0),MATCH(AW$5,APOIO_REDES!$5:$5,0)),0)*$AP768,0)</f>
        <v>20.4633370883333</v>
      </c>
      <c r="AX768" s="153" t="n">
        <f aca="false">IFERROR(IF($N768="VCA",INDEX(APOIO_REDES!$A:$W,MATCH($C768&amp;$I768&amp;$H768&amp;$N768&amp;$O768,APOIO_REDES!$W:$W,0),MATCH(AX$5,APOIO_REDES!$5:$5,0)),0)*$AP768,0)</f>
        <v>2.83206756210624</v>
      </c>
      <c r="AY768" s="153" t="n">
        <f aca="false">IFERROR(IF($N768="VCA",INDEX(APOIO_REDES!$A:$W,MATCH($C768&amp;$I768&amp;$H768&amp;$N768&amp;$O768,APOIO_REDES!$W:$W,0),MATCH(AY$5,APOIO_REDES!$5:$5,0)),0)*$AP768,0)</f>
        <v>5.18059090852145</v>
      </c>
      <c r="AZ768" s="153" t="n">
        <f aca="false">IFERROR(IF($N768="VCA",INDEX(APOIO_REDES!$A:$W,MATCH($C768&amp;$I768&amp;$H768&amp;$N768&amp;$O768,APOIO_REDES!$W:$W,0),MATCH(AZ$5,APOIO_REDES!$5:$5,0)),0)*$AP768,0)</f>
        <v>0.716978809895141</v>
      </c>
      <c r="BA768" s="153" t="n">
        <f aca="false">IFERROR(IF(AND($N768="VCA",$Q768="LINEAR"),INDEX(APOIO_REDES!$A:$W,MATCH($C768&amp;$I768&amp;$H768&amp;$N768&amp;$O768,APOIO_REDES!$W:$W,0),MATCH(BA$5,APOIO_REDES!$5:$5,0)),IF(AND($N768="MND",$Q768="EMBOQUE"),INDEX(APOIO_REDES!$A:$W,MATCH($C768&amp;$I768&amp;$H768&amp;$N768&amp;$O768,APOIO_REDES!$W:$W,0),MATCH(BA$5,APOIO_REDES!$5:$5,0)),0))*$M768/10,0)</f>
        <v>2.71210512055961</v>
      </c>
      <c r="BB768" s="153" t="n">
        <f aca="false">IFERROR(IF($N768="VCA",INDEX(APOIO_REDES!$A:$W,MATCH($C768&amp;$I768&amp;$H768&amp;$N768&amp;$O768,APOIO_REDES!$W:$W,0),MATCH(BB$5,APOIO_REDES!$5:$5,0)),0)*($AI768+$AQ768+$AR768),0)</f>
        <v>10.0167830961706</v>
      </c>
      <c r="BC768" s="153" t="n">
        <f aca="false">IFERROR(IF($N768="VCA",INDEX(APOIO_REDES!$A:$W,MATCH($C768&amp;$I768&amp;$H768&amp;$N768&amp;$O768,APOIO_REDES!$W:$W,0),MATCH(BC$5,APOIO_REDES!$5:$5,0)),0)*($AI768+$AQ768+$AR768),0)</f>
        <v>0.110184403829377</v>
      </c>
      <c r="BD768" s="153" t="n">
        <f aca="false">IF(AND($N768="VCA",$AF768&gt;=1.25,$AF768&lt;1.5),$M768*$AF768*2,0)</f>
        <v>91.7299</v>
      </c>
      <c r="BE768" s="153" t="n">
        <f aca="false">IF(AND($N768="VCA",$AF768&gt;=1.5,$AF768&lt;3),$M768*$AF768*2,0)</f>
        <v>0</v>
      </c>
      <c r="BF768" s="153" t="n">
        <f aca="false">IF(AND($N768="VCA",$AF768&gt;=3),$M768*$AF768*2,0)</f>
        <v>0</v>
      </c>
      <c r="BG768" s="153" t="n">
        <f aca="false">($BB768+$BC768)*$AK768</f>
        <v>40.50787</v>
      </c>
      <c r="BH768" s="153" t="n">
        <f aca="false">IF(AND($M768&lt;&gt;"",$N768="VCA",$Q768="LINEAR"),($M768*2)/100,IF(AND($M768&lt;&gt;"",$N768="MND",$Q768="EMBOQUE"),($AN768*2)/100,0))</f>
        <v>0.673</v>
      </c>
      <c r="BI768" s="153" t="n">
        <f aca="false">IF(AND($M768&lt;&gt;"",$N768="VCA",$Q768="LINEAR"),$M768,IF(AND($M768&lt;&gt;"",$N768="MND",$Q768="EMBOQUE"),$AN768*2,0))</f>
        <v>33.65</v>
      </c>
      <c r="BJ768" s="153" t="n">
        <f aca="false">IF(AND($M768&lt;&gt;"",$N768="VCA",$Q768="LINEAR"),($M768*6.8)/100,IF(AND($M768&lt;&gt;"",$N768="MND",$Q768="EMBOQUE"),($AN768*2*6.8)/100,0))</f>
        <v>2.2882</v>
      </c>
      <c r="BK768" s="153" t="n">
        <f aca="false">IF(AND($M768&lt;&gt;"",$N768="VCA",$Q768="LINEAR"),($M768*2.5)/50,IF(AND($M768&lt;&gt;"",$N768="MND",$Q768="EMBOQUE"),($AN768*2*2.5)/50,0))</f>
        <v>1.6825</v>
      </c>
      <c r="BL768" s="157" t="str">
        <f aca="false">K768&amp;J768</f>
        <v>Zona07REDES</v>
      </c>
      <c r="BM768" s="152" t="s">
        <v>4225</v>
      </c>
      <c r="BN768" s="152" t="s">
        <v>1560</v>
      </c>
      <c r="BO768" s="152" t="s">
        <v>4454</v>
      </c>
      <c r="BP768" s="152" t="s">
        <v>2232</v>
      </c>
      <c r="BQ768" s="152" t="s">
        <v>4469</v>
      </c>
      <c r="BR768" s="152" t="s">
        <v>4473</v>
      </c>
      <c r="BS768" s="152" t="n">
        <v>203669.227</v>
      </c>
      <c r="BT768" s="152" t="n">
        <v>8236580.799</v>
      </c>
      <c r="BU768" s="152" t="n">
        <v>203689.537</v>
      </c>
      <c r="BV768" s="152" t="n">
        <v>8236553.989</v>
      </c>
      <c r="BW768" s="152" t="n">
        <v>-15.9324842</v>
      </c>
      <c r="BX768" s="152" t="n">
        <v>-47.767725</v>
      </c>
      <c r="BY768" s="152" t="s">
        <v>4469</v>
      </c>
    </row>
    <row r="769" customFormat="false" ht="13.8" hidden="false" customHeight="false" outlineLevel="0" collapsed="false">
      <c r="A769" s="149" t="n">
        <f aca="false">IF(C769&lt;&gt;"",ROW(A764),"")</f>
        <v>764</v>
      </c>
      <c r="B769" s="150" t="str">
        <f aca="false">HYPERLINK("https://www.google.com/maps/dir/-15.917302,-47.760003/-15.9323429,-47.7683223/data=!4m3!4m2!3e0!5i2")</f>
        <v>https://www.google.com/maps/dir/-15.917302,-47.760003/-15.9323429,-47.7683223/data=!4m3!4m2!3e0!5i2</v>
      </c>
      <c r="C769" s="151" t="s">
        <v>117</v>
      </c>
      <c r="D769" s="152" t="s">
        <v>112</v>
      </c>
      <c r="E769" s="152" t="s">
        <v>113</v>
      </c>
      <c r="F769" s="152" t="s">
        <v>117</v>
      </c>
      <c r="G769" s="152" t="s">
        <v>782</v>
      </c>
      <c r="H769" s="152" t="n">
        <v>110</v>
      </c>
      <c r="I769" s="152" t="s">
        <v>115</v>
      </c>
      <c r="J769" s="152" t="s">
        <v>6</v>
      </c>
      <c r="K769" s="152" t="s">
        <v>4221</v>
      </c>
      <c r="L769" s="152" t="s">
        <v>120</v>
      </c>
      <c r="M769" s="153" t="n">
        <f aca="false">76.5</f>
        <v>76.5</v>
      </c>
      <c r="N769" s="152" t="s">
        <v>1548</v>
      </c>
      <c r="O769" s="152" t="s">
        <v>1549</v>
      </c>
      <c r="P769" s="152" t="s">
        <v>1550</v>
      </c>
      <c r="Q769" s="152" t="s">
        <v>1551</v>
      </c>
      <c r="R769" s="154" t="s">
        <v>4474</v>
      </c>
      <c r="S769" s="154" t="s">
        <v>1593</v>
      </c>
      <c r="T769" s="155" t="s">
        <v>4451</v>
      </c>
      <c r="U769" s="152" t="str">
        <f aca="false">RIGHT(T769,7)</f>
        <v>018/037</v>
      </c>
      <c r="V769" s="152" t="s">
        <v>1555</v>
      </c>
      <c r="W769" s="156" t="n">
        <v>45882</v>
      </c>
      <c r="X769" s="152" t="s">
        <v>1594</v>
      </c>
      <c r="Y769" s="152" t="s">
        <v>4223</v>
      </c>
      <c r="Z769" s="152" t="s">
        <v>1557</v>
      </c>
      <c r="AA769" s="153" t="n">
        <v>4.2</v>
      </c>
      <c r="AB769" s="151" t="s">
        <v>4475</v>
      </c>
      <c r="AC769" s="151" t="s">
        <v>502</v>
      </c>
      <c r="AD769" s="151" t="str">
        <f aca="false">CONCATENATE($C769,$I769,$H769,$N769,$J769,$K769)</f>
        <v>TUBO PEADPEAD110VCAREDESZona07</v>
      </c>
      <c r="AE769" s="153" t="n">
        <f aca="false">IFERROR(INDEX(APOIO_REDES!$A:$W,MATCH($C769&amp;$I769&amp;$H769&amp;$N769&amp;$O769,APOIO_REDES!$W:$W,0),MATCH(AE$5,APOIO_REDES!$5:$5,0)),0)</f>
        <v>1.2</v>
      </c>
      <c r="AF769" s="153" t="n">
        <f aca="false">IFERROR(INDEX(APOIO_REDES!$A:$W,MATCH($C769&amp;$I769&amp;$H769&amp;$N769&amp;$O769,APOIO_REDES!$W:$W,0),MATCH(AF$5,APOIO_REDES!$5:$5,0)),0)</f>
        <v>1.41</v>
      </c>
      <c r="AG769" s="153" t="n">
        <f aca="false">IFERROR(INDEX(APOIO_REDES!$A:$W,MATCH($C769&amp;$I769&amp;$H769&amp;$N769&amp;$O769,APOIO_REDES!$W:$W,0),MATCH(AG$5,APOIO_REDES!$5:$5,0)),0)</f>
        <v>0.75</v>
      </c>
      <c r="AH769" s="153" t="n">
        <f aca="false">IFERROR(INDEX(APOIO_REDES!$A:$W,MATCH($C769&amp;$I769&amp;$H769&amp;$N769&amp;$O769,APOIO_REDES!$W:$W,0),MATCH(AH$5,APOIO_REDES!$5:$5,0)),0)</f>
        <v>0.1</v>
      </c>
      <c r="AI769" s="153" t="n">
        <f aca="false">IFERROR(IF($H769&lt;&gt;"",(((($H769/1000)/2)^2)*PI()*$M769),0),0)</f>
        <v>0.727003809948848</v>
      </c>
      <c r="AJ769" s="153" t="n">
        <f aca="false">IFERROR(IF(AND($H769&lt;&gt;"",$I769="FoFo",OR($N769="MND",$N769="VCA"),$Q769="LINEAR"),0,IF(AND($H769&lt;&gt;"",$I769="PEAD",$N769="VCA",$Q769="LINEAR"),($H769/1000)+0.3,IF(AND($H769&lt;&gt;"",$I769="PEAD",$N769="MND",$Q769="EMBOQUE"),0,IF(AND($H769&lt;&gt;"",$I769="PVC",$N769="VCA",$Q769="LINEAR"),($H769/1000)+0.2,IF(AND($H769&lt;&gt;"",$I769="PVC",$N769="MND",$Q769="EMBOQUE"),0,IF(AND($H769&lt;&gt;"",$I769="PEAD",$N769="VCA",$Q769="PREDIAL"),0,0)))))),0)</f>
        <v>0.41</v>
      </c>
      <c r="AK769" s="153" t="n">
        <f aca="false">IF(AA769&lt;&gt;"",AA769,0)</f>
        <v>4.2</v>
      </c>
      <c r="AL769" s="153" t="n">
        <f aca="false">IF(AND($N769="MND",$Q769="EMBOQUE"),$M769,IF(AND($N769="VCA",$Q769="LINEAR"),$M769,IF(AND($N769="VCA",$Q769="PREDIAL"),0,0)))</f>
        <v>76.5</v>
      </c>
      <c r="AM769" s="153" t="n">
        <f aca="false">IF(AND($N769="MND",$Q769="EMBOQUE"),$M769,IF(AND($N769="VCA",$Q769="LINEAR"),$M769,IF(AND($N769="VCA",$Q769="PREDIAL"),0,0)))</f>
        <v>76.5</v>
      </c>
      <c r="AN769" s="153" t="n">
        <f aca="false">ROUND(IF(AND($N769="VCA",$M769&lt;&gt;"",$Q769="LINEAR"),$M769/100,IF(AND($N769="MND",$M769&gt;100,$Q769="EMBOQUE"),$M769/100,0)),0)</f>
        <v>1</v>
      </c>
      <c r="AO769" s="153" t="n">
        <f aca="false">IF(AND($N769="MND",$Q769="EMBOQUE"),$AN769*2*2,IF(AND($N769="VCA",$Q769="LINEAR"),$M769*2,IF(AND($N769="VCA",$Q769="PREDIAL"),0,0)))</f>
        <v>153</v>
      </c>
      <c r="AP769" s="153" t="n">
        <f aca="false">IFERROR($M769*$AF769*$AG769,0)</f>
        <v>80.89875</v>
      </c>
      <c r="AQ769" s="153" t="n">
        <f aca="false">IFERROR(IF(AND($N769="VCA",$AH769&gt;0),$M769*$AG769*$AH769,0),0)</f>
        <v>5.7375</v>
      </c>
      <c r="AR769" s="153" t="n">
        <f aca="false">IFERROR(IF(AND($N769="VCA",$AJ769&gt;0),($M769*$AG769*$AJ769)-$AI769,0),0)</f>
        <v>22.7967461900512</v>
      </c>
      <c r="AS769" s="153" t="n">
        <f aca="false">IFERROR(IF(AND($N769="VCA",$AP769&gt;0),$AP769-$AI769-$AQ769-$AR769,0),0)</f>
        <v>51.6375</v>
      </c>
      <c r="AT769" s="153" t="n">
        <f aca="false">IFERROR(IF($N769="VCA",INDEX(APOIO_REDES!$A:$W,MATCH($C769&amp;$I769&amp;$H769&amp;$N769&amp;$O769,APOIO_REDES!$W:$W,0),MATCH(AT$5,APOIO_REDES!$5:$5,0)),0)*$AP769,0)</f>
        <v>0.88020234480774</v>
      </c>
      <c r="AU769" s="153" t="n">
        <f aca="false">IFERROR(IF($N769="VCA",INDEX(APOIO_REDES!$A:$W,MATCH($C769&amp;$I769&amp;$H769&amp;$N769&amp;$O769,APOIO_REDES!$W:$W,0),MATCH(AU$5,APOIO_REDES!$5:$5,0)),0)*$AP769,0)</f>
        <v>0.702905753660702</v>
      </c>
      <c r="AV769" s="153" t="n">
        <f aca="false">IFERROR(IF($N769="VCA",INDEX(APOIO_REDES!$A:$W,MATCH($C769&amp;$I769&amp;$H769&amp;$N769&amp;$O769,APOIO_REDES!$W:$W,0),MATCH(AV$5,APOIO_REDES!$5:$5,0)),0)*$AP769,0)</f>
        <v>0.0972766382801238</v>
      </c>
      <c r="AW769" s="153" t="n">
        <f aca="false">IFERROR(IF($N769="VCA",INDEX(APOIO_REDES!$A:$W,MATCH($C769&amp;$I769&amp;$H769&amp;$N769&amp;$O769,APOIO_REDES!$W:$W,0),MATCH(AW$5,APOIO_REDES!$5:$5,0)),0)*$AP769,0)</f>
        <v>55.529528834103</v>
      </c>
      <c r="AX769" s="153" t="n">
        <f aca="false">IFERROR(IF($N769="VCA",INDEX(APOIO_REDES!$A:$W,MATCH($C769&amp;$I769&amp;$H769&amp;$N769&amp;$O769,APOIO_REDES!$W:$W,0),MATCH(AX$5,APOIO_REDES!$5:$5,0)),0)*$AP769,0)</f>
        <v>7.68512861178282</v>
      </c>
      <c r="AY769" s="153" t="n">
        <f aca="false">IFERROR(IF($N769="VCA",INDEX(APOIO_REDES!$A:$W,MATCH($C769&amp;$I769&amp;$H769&amp;$N769&amp;$O769,APOIO_REDES!$W:$W,0),MATCH(AY$5,APOIO_REDES!$5:$5,0)),0)*$AP769,0)</f>
        <v>14.0581065048499</v>
      </c>
      <c r="AZ769" s="153" t="n">
        <f aca="false">IFERROR(IF($N769="VCA",INDEX(APOIO_REDES!$A:$W,MATCH($C769&amp;$I769&amp;$H769&amp;$N769&amp;$O769,APOIO_REDES!$W:$W,0),MATCH(AZ$5,APOIO_REDES!$5:$5,0)),0)*$AP769,0)</f>
        <v>1.94560131251574</v>
      </c>
      <c r="BA769" s="153" t="n">
        <f aca="false">IFERROR(IF(AND($N769="VCA",$Q769="LINEAR"),INDEX(APOIO_REDES!$A:$W,MATCH($C769&amp;$I769&amp;$H769&amp;$N769&amp;$O769,APOIO_REDES!$W:$W,0),MATCH(BA$5,APOIO_REDES!$5:$5,0)),IF(AND($N769="MND",$Q769="EMBOQUE"),INDEX(APOIO_REDES!$A:$W,MATCH($C769&amp;$I769&amp;$H769&amp;$N769&amp;$O769,APOIO_REDES!$W:$W,0),MATCH(BA$5,APOIO_REDES!$5:$5,0)),0))*$M769/10,0)</f>
        <v>6.16570703485319</v>
      </c>
      <c r="BB769" s="153" t="n">
        <f aca="false">IFERROR(IF($N769="VCA",INDEX(APOIO_REDES!$A:$W,MATCH($C769&amp;$I769&amp;$H769&amp;$N769&amp;$O769,APOIO_REDES!$W:$W,0),MATCH(BB$5,APOIO_REDES!$5:$5,0)),0)*($AI769+$AQ769+$AR769),0)</f>
        <v>28.9428789391121</v>
      </c>
      <c r="BC769" s="153" t="n">
        <f aca="false">IFERROR(IF($N769="VCA",INDEX(APOIO_REDES!$A:$W,MATCH($C769&amp;$I769&amp;$H769&amp;$N769&amp;$O769,APOIO_REDES!$W:$W,0),MATCH(BC$5,APOIO_REDES!$5:$5,0)),0)*($AI769+$AQ769+$AR769),0)</f>
        <v>0.318371060887906</v>
      </c>
      <c r="BD769" s="153" t="n">
        <f aca="false">IF(AND($N769="VCA",$AF769&gt;=1.25,$AF769&lt;1.5),$M769*$AF769*2,0)</f>
        <v>215.73</v>
      </c>
      <c r="BE769" s="153" t="n">
        <f aca="false">IF(AND($N769="VCA",$AF769&gt;=1.5,$AF769&lt;3),$M769*$AF769*2,0)</f>
        <v>0</v>
      </c>
      <c r="BF769" s="153" t="n">
        <f aca="false">IF(AND($N769="VCA",$AF769&gt;=3),$M769*$AF769*2,0)</f>
        <v>0</v>
      </c>
      <c r="BG769" s="153" t="n">
        <f aca="false">($BB769+$BC769)*$AK769</f>
        <v>122.89725</v>
      </c>
      <c r="BH769" s="153" t="n">
        <f aca="false">IF(AND($M769&lt;&gt;"",$N769="VCA",$Q769="LINEAR"),($M769*2)/100,IF(AND($M769&lt;&gt;"",$N769="MND",$Q769="EMBOQUE"),($AN769*2)/100,0))</f>
        <v>1.53</v>
      </c>
      <c r="BI769" s="153" t="n">
        <f aca="false">IF(AND($M769&lt;&gt;"",$N769="VCA",$Q769="LINEAR"),$M769,IF(AND($M769&lt;&gt;"",$N769="MND",$Q769="EMBOQUE"),$AN769*2,0))</f>
        <v>76.5</v>
      </c>
      <c r="BJ769" s="153" t="n">
        <f aca="false">IF(AND($M769&lt;&gt;"",$N769="VCA",$Q769="LINEAR"),($M769*6.8)/100,IF(AND($M769&lt;&gt;"",$N769="MND",$Q769="EMBOQUE"),($AN769*2*6.8)/100,0))</f>
        <v>5.202</v>
      </c>
      <c r="BK769" s="153" t="n">
        <f aca="false">IF(AND($M769&lt;&gt;"",$N769="VCA",$Q769="LINEAR"),($M769*2.5)/50,IF(AND($M769&lt;&gt;"",$N769="MND",$Q769="EMBOQUE"),($AN769*2*2.5)/50,0))</f>
        <v>3.825</v>
      </c>
      <c r="BL769" s="157" t="str">
        <f aca="false">K769&amp;J769</f>
        <v>Zona07REDES</v>
      </c>
      <c r="BM769" s="152" t="s">
        <v>4225</v>
      </c>
      <c r="BN769" s="152" t="s">
        <v>1560</v>
      </c>
      <c r="BO769" s="152" t="s">
        <v>4454</v>
      </c>
      <c r="BP769" s="152" t="s">
        <v>4288</v>
      </c>
      <c r="BQ769" s="152" t="s">
        <v>4476</v>
      </c>
      <c r="BR769" s="152" t="s">
        <v>4477</v>
      </c>
      <c r="BS769" s="152" t="n">
        <v>203614.774</v>
      </c>
      <c r="BT769" s="152" t="n">
        <v>8236581.879</v>
      </c>
      <c r="BU769" s="152" t="n">
        <v>203661.155</v>
      </c>
      <c r="BV769" s="152" t="n">
        <v>8236521.087</v>
      </c>
      <c r="BW769" s="152" t="n">
        <v>-15.932615</v>
      </c>
      <c r="BX769" s="152" t="n">
        <v>-47.7681023</v>
      </c>
      <c r="BY769" s="152" t="s">
        <v>4288</v>
      </c>
    </row>
    <row r="770" customFormat="false" ht="13.8" hidden="false" customHeight="false" outlineLevel="0" collapsed="false">
      <c r="A770" s="149" t="n">
        <f aca="false">IF(C770&lt;&gt;"",ROW(A765),"")</f>
        <v>765</v>
      </c>
      <c r="B770" s="150" t="str">
        <f aca="false">HYPERLINK("https://www.google.com/maps/dir/-15.917302,-47.760003/-15.9328974,-47.7678970/data=!4m3!4m2!3e0!5i2")</f>
        <v>https://www.google.com/maps/dir/-15.917302,-47.760003/-15.9328974,-47.7678970/data=!4m3!4m2!3e0!5i2</v>
      </c>
      <c r="C770" s="151" t="s">
        <v>117</v>
      </c>
      <c r="D770" s="152" t="s">
        <v>112</v>
      </c>
      <c r="E770" s="152" t="s">
        <v>113</v>
      </c>
      <c r="F770" s="152" t="s">
        <v>117</v>
      </c>
      <c r="G770" s="152" t="s">
        <v>782</v>
      </c>
      <c r="H770" s="152" t="n">
        <v>110</v>
      </c>
      <c r="I770" s="152" t="s">
        <v>115</v>
      </c>
      <c r="J770" s="152" t="s">
        <v>6</v>
      </c>
      <c r="K770" s="152" t="s">
        <v>4221</v>
      </c>
      <c r="L770" s="152" t="s">
        <v>120</v>
      </c>
      <c r="M770" s="153" t="n">
        <f aca="false">43.47</f>
        <v>43.47</v>
      </c>
      <c r="N770" s="152" t="s">
        <v>1548</v>
      </c>
      <c r="O770" s="152" t="s">
        <v>1549</v>
      </c>
      <c r="P770" s="152" t="s">
        <v>1550</v>
      </c>
      <c r="Q770" s="152" t="s">
        <v>1551</v>
      </c>
      <c r="R770" s="154" t="s">
        <v>4478</v>
      </c>
      <c r="S770" s="154" t="s">
        <v>1593</v>
      </c>
      <c r="T770" s="155" t="s">
        <v>4451</v>
      </c>
      <c r="U770" s="152" t="str">
        <f aca="false">RIGHT(T770,7)</f>
        <v>018/037</v>
      </c>
      <c r="V770" s="152" t="s">
        <v>1555</v>
      </c>
      <c r="W770" s="156" t="n">
        <v>45882</v>
      </c>
      <c r="X770" s="152" t="s">
        <v>1594</v>
      </c>
      <c r="Y770" s="152"/>
      <c r="Z770" s="152" t="s">
        <v>1557</v>
      </c>
      <c r="AA770" s="153" t="n">
        <v>4.1</v>
      </c>
      <c r="AB770" s="151" t="s">
        <v>4479</v>
      </c>
      <c r="AC770" s="151" t="s">
        <v>502</v>
      </c>
      <c r="AD770" s="151" t="str">
        <f aca="false">CONCATENATE($C770,$I770,$H770,$N770,$J770,$K770)</f>
        <v>TUBO PEADPEAD110VCAREDESZona07</v>
      </c>
      <c r="AE770" s="153" t="n">
        <f aca="false">IFERROR(INDEX(APOIO_REDES!$A:$W,MATCH($C770&amp;$I770&amp;$H770&amp;$N770&amp;$O770,APOIO_REDES!$W:$W,0),MATCH(AE$5,APOIO_REDES!$5:$5,0)),0)</f>
        <v>1.2</v>
      </c>
      <c r="AF770" s="153" t="n">
        <f aca="false">IFERROR(INDEX(APOIO_REDES!$A:$W,MATCH($C770&amp;$I770&amp;$H770&amp;$N770&amp;$O770,APOIO_REDES!$W:$W,0),MATCH(AF$5,APOIO_REDES!$5:$5,0)),0)</f>
        <v>1.41</v>
      </c>
      <c r="AG770" s="153" t="n">
        <f aca="false">IFERROR(INDEX(APOIO_REDES!$A:$W,MATCH($C770&amp;$I770&amp;$H770&amp;$N770&amp;$O770,APOIO_REDES!$W:$W,0),MATCH(AG$5,APOIO_REDES!$5:$5,0)),0)</f>
        <v>0.75</v>
      </c>
      <c r="AH770" s="153" t="n">
        <f aca="false">IFERROR(INDEX(APOIO_REDES!$A:$W,MATCH($C770&amp;$I770&amp;$H770&amp;$N770&amp;$O770,APOIO_REDES!$W:$W,0),MATCH(AH$5,APOIO_REDES!$5:$5,0)),0)</f>
        <v>0.1</v>
      </c>
      <c r="AI770" s="153" t="n">
        <f aca="false">IFERROR(IF($H770&lt;&gt;"",(((($H770/1000)/2)^2)*PI()*$M770),0),0)</f>
        <v>0.413109223770934</v>
      </c>
      <c r="AJ770" s="153" t="n">
        <f aca="false">IFERROR(IF(AND($H770&lt;&gt;"",$I770="FoFo",OR($N770="MND",$N770="VCA"),$Q770="LINEAR"),0,IF(AND($H770&lt;&gt;"",$I770="PEAD",$N770="VCA",$Q770="LINEAR"),($H770/1000)+0.3,IF(AND($H770&lt;&gt;"",$I770="PEAD",$N770="MND",$Q770="EMBOQUE"),0,IF(AND($H770&lt;&gt;"",$I770="PVC",$N770="VCA",$Q770="LINEAR"),($H770/1000)+0.2,IF(AND($H770&lt;&gt;"",$I770="PVC",$N770="MND",$Q770="EMBOQUE"),0,IF(AND($H770&lt;&gt;"",$I770="PEAD",$N770="VCA",$Q770="PREDIAL"),0,0)))))),0)</f>
        <v>0.41</v>
      </c>
      <c r="AK770" s="153" t="n">
        <f aca="false">IF(AA770&lt;&gt;"",AA770,0)</f>
        <v>4.1</v>
      </c>
      <c r="AL770" s="153" t="n">
        <f aca="false">IF(AND($N770="MND",$Q770="EMBOQUE"),$M770,IF(AND($N770="VCA",$Q770="LINEAR"),$M770,IF(AND($N770="VCA",$Q770="PREDIAL"),0,0)))</f>
        <v>43.47</v>
      </c>
      <c r="AM770" s="153" t="n">
        <f aca="false">IF(AND($N770="MND",$Q770="EMBOQUE"),$M770,IF(AND($N770="VCA",$Q770="LINEAR"),$M770,IF(AND($N770="VCA",$Q770="PREDIAL"),0,0)))</f>
        <v>43.47</v>
      </c>
      <c r="AN770" s="153" t="n">
        <f aca="false">ROUND(IF(AND($N770="VCA",$M770&lt;&gt;"",$Q770="LINEAR"),$M770/100,IF(AND($N770="MND",$M770&gt;100,$Q770="EMBOQUE"),$M770/100,0)),0)</f>
        <v>0</v>
      </c>
      <c r="AO770" s="153" t="n">
        <f aca="false">IF(AND($N770="MND",$Q770="EMBOQUE"),$AN770*2*2,IF(AND($N770="VCA",$Q770="LINEAR"),$M770*2,IF(AND($N770="VCA",$Q770="PREDIAL"),0,0)))</f>
        <v>86.94</v>
      </c>
      <c r="AP770" s="153" t="n">
        <f aca="false">IFERROR($M770*$AF770*$AG770,0)</f>
        <v>45.969525</v>
      </c>
      <c r="AQ770" s="153" t="n">
        <f aca="false">IFERROR(IF(AND($N770="VCA",$AH770&gt;0),$M770*$AG770*$AH770,0),0)</f>
        <v>3.26025</v>
      </c>
      <c r="AR770" s="153" t="n">
        <f aca="false">IFERROR(IF(AND($N770="VCA",$AJ770&gt;0),($M770*$AG770*$AJ770)-$AI770,0),0)</f>
        <v>12.9539157762291</v>
      </c>
      <c r="AS770" s="153" t="n">
        <f aca="false">IFERROR(IF(AND($N770="VCA",$AP770&gt;0),$AP770-$AI770-$AQ770-$AR770,0),0)</f>
        <v>29.34225</v>
      </c>
      <c r="AT770" s="153" t="n">
        <f aca="false">IFERROR(IF($N770="VCA",INDEX(APOIO_REDES!$A:$W,MATCH($C770&amp;$I770&amp;$H770&amp;$N770&amp;$O770,APOIO_REDES!$W:$W,0),MATCH(AT$5,APOIO_REDES!$5:$5,0)),0)*$AP770,0)</f>
        <v>0.500162038284869</v>
      </c>
      <c r="AU770" s="153" t="n">
        <f aca="false">IFERROR(IF($N770="VCA",INDEX(APOIO_REDES!$A:$W,MATCH($C770&amp;$I770&amp;$H770&amp;$N770&amp;$O770,APOIO_REDES!$W:$W,0),MATCH(AU$5,APOIO_REDES!$5:$5,0)),0)*$AP770,0)</f>
        <v>0.399415857668376</v>
      </c>
      <c r="AV770" s="153" t="n">
        <f aca="false">IFERROR(IF($N770="VCA",INDEX(APOIO_REDES!$A:$W,MATCH($C770&amp;$I770&amp;$H770&amp;$N770&amp;$O770,APOIO_REDES!$W:$W,0),MATCH(AV$5,APOIO_REDES!$5:$5,0)),0)*$AP770,0)</f>
        <v>0.0552760191638821</v>
      </c>
      <c r="AW770" s="153" t="n">
        <f aca="false">IFERROR(IF($N770="VCA",INDEX(APOIO_REDES!$A:$W,MATCH($C770&amp;$I770&amp;$H770&amp;$N770&amp;$O770,APOIO_REDES!$W:$W,0),MATCH(AW$5,APOIO_REDES!$5:$5,0)),0)*$AP770,0)</f>
        <v>31.5538381492609</v>
      </c>
      <c r="AX770" s="153" t="n">
        <f aca="false">IFERROR(IF($N770="VCA",INDEX(APOIO_REDES!$A:$W,MATCH($C770&amp;$I770&amp;$H770&amp;$N770&amp;$O770,APOIO_REDES!$W:$W,0),MATCH(AX$5,APOIO_REDES!$5:$5,0)),0)*$AP770,0)</f>
        <v>4.36696131704835</v>
      </c>
      <c r="AY770" s="153" t="n">
        <f aca="false">IFERROR(IF($N770="VCA",INDEX(APOIO_REDES!$A:$W,MATCH($C770&amp;$I770&amp;$H770&amp;$N770&amp;$O770,APOIO_REDES!$W:$W,0),MATCH(AY$5,APOIO_REDES!$5:$5,0)),0)*$AP770,0)</f>
        <v>7.98831228452058</v>
      </c>
      <c r="AZ770" s="153" t="n">
        <f aca="false">IFERROR(IF($N770="VCA",INDEX(APOIO_REDES!$A:$W,MATCH($C770&amp;$I770&amp;$H770&amp;$N770&amp;$O770,APOIO_REDES!$W:$W,0),MATCH(AZ$5,APOIO_REDES!$5:$5,0)),0)*$AP770,0)</f>
        <v>1.10555933405306</v>
      </c>
      <c r="BA770" s="153" t="n">
        <f aca="false">IFERROR(IF(AND($N770="VCA",$Q770="LINEAR"),INDEX(APOIO_REDES!$A:$W,MATCH($C770&amp;$I770&amp;$H770&amp;$N770&amp;$O770,APOIO_REDES!$W:$W,0),MATCH(BA$5,APOIO_REDES!$5:$5,0)),IF(AND($N770="MND",$Q770="EMBOQUE"),INDEX(APOIO_REDES!$A:$W,MATCH($C770&amp;$I770&amp;$H770&amp;$N770&amp;$O770,APOIO_REDES!$W:$W,0),MATCH(BA$5,APOIO_REDES!$5:$5,0)),0))*$M770/10,0)</f>
        <v>3.50357235039305</v>
      </c>
      <c r="BB770" s="153" t="n">
        <f aca="false">IFERROR(IF($N770="VCA",INDEX(APOIO_REDES!$A:$W,MATCH($C770&amp;$I770&amp;$H770&amp;$N770&amp;$O770,APOIO_REDES!$W:$W,0),MATCH(BB$5,APOIO_REDES!$5:$5,0)),0)*($AI770+$AQ770+$AR770),0)</f>
        <v>16.4463653265778</v>
      </c>
      <c r="BC770" s="153" t="n">
        <f aca="false">IFERROR(IF($N770="VCA",INDEX(APOIO_REDES!$A:$W,MATCH($C770&amp;$I770&amp;$H770&amp;$N770&amp;$O770,APOIO_REDES!$W:$W,0),MATCH(BC$5,APOIO_REDES!$5:$5,0)),0)*($AI770+$AQ770+$AR770),0)</f>
        <v>0.180909673422187</v>
      </c>
      <c r="BD770" s="153" t="n">
        <f aca="false">IF(AND($N770="VCA",$AF770&gt;=1.25,$AF770&lt;1.5),$M770*$AF770*2,0)</f>
        <v>122.5854</v>
      </c>
      <c r="BE770" s="153" t="n">
        <f aca="false">IF(AND($N770="VCA",$AF770&gt;=1.5,$AF770&lt;3),$M770*$AF770*2,0)</f>
        <v>0</v>
      </c>
      <c r="BF770" s="153" t="n">
        <f aca="false">IF(AND($N770="VCA",$AF770&gt;=3),$M770*$AF770*2,0)</f>
        <v>0</v>
      </c>
      <c r="BG770" s="153" t="n">
        <f aca="false">($BB770+$BC770)*$AK770</f>
        <v>68.1718275</v>
      </c>
      <c r="BH770" s="153" t="n">
        <f aca="false">IF(AND($M770&lt;&gt;"",$N770="VCA",$Q770="LINEAR"),($M770*2)/100,IF(AND($M770&lt;&gt;"",$N770="MND",$Q770="EMBOQUE"),($AN770*2)/100,0))</f>
        <v>0.8694</v>
      </c>
      <c r="BI770" s="153" t="n">
        <f aca="false">IF(AND($M770&lt;&gt;"",$N770="VCA",$Q770="LINEAR"),$M770,IF(AND($M770&lt;&gt;"",$N770="MND",$Q770="EMBOQUE"),$AN770*2,0))</f>
        <v>43.47</v>
      </c>
      <c r="BJ770" s="153" t="n">
        <f aca="false">IF(AND($M770&lt;&gt;"",$N770="VCA",$Q770="LINEAR"),($M770*6.8)/100,IF(AND($M770&lt;&gt;"",$N770="MND",$Q770="EMBOQUE"),($AN770*2*6.8)/100,0))</f>
        <v>2.95596</v>
      </c>
      <c r="BK770" s="153" t="n">
        <f aca="false">IF(AND($M770&lt;&gt;"",$N770="VCA",$Q770="LINEAR"),($M770*2.5)/50,IF(AND($M770&lt;&gt;"",$N770="MND",$Q770="EMBOQUE"),($AN770*2*2.5)/50,0))</f>
        <v>2.1735</v>
      </c>
      <c r="BL770" s="157" t="str">
        <f aca="false">K770&amp;J770</f>
        <v>Zona07REDES</v>
      </c>
      <c r="BM770" s="152" t="s">
        <v>4225</v>
      </c>
      <c r="BN770" s="152" t="s">
        <v>1560</v>
      </c>
      <c r="BO770" s="152" t="s">
        <v>4454</v>
      </c>
      <c r="BP770" s="152" t="s">
        <v>4476</v>
      </c>
      <c r="BQ770" s="152" t="s">
        <v>4469</v>
      </c>
      <c r="BR770" s="152" t="s">
        <v>4480</v>
      </c>
      <c r="BS770" s="152" t="n">
        <v>203661.155</v>
      </c>
      <c r="BT770" s="152" t="n">
        <v>8236521.087</v>
      </c>
      <c r="BU770" s="152" t="n">
        <v>203689.537</v>
      </c>
      <c r="BV770" s="152" t="n">
        <v>8236553.989</v>
      </c>
      <c r="BW770" s="152" t="n">
        <v>-15.9327502</v>
      </c>
      <c r="BX770" s="152" t="n">
        <v>-47.767763</v>
      </c>
      <c r="BY770" s="152" t="s">
        <v>4476</v>
      </c>
    </row>
    <row r="771" customFormat="false" ht="13.8" hidden="false" customHeight="false" outlineLevel="0" collapsed="false">
      <c r="A771" s="149" t="n">
        <f aca="false">IF(C771&lt;&gt;"",ROW(A766),"")</f>
        <v>766</v>
      </c>
      <c r="B771" s="150" t="str">
        <f aca="false">HYPERLINK("https://www.google.com/maps/dir/-15.917302,-47.760003/-15.9325430,-47.7686201/data=!4m3!4m2!3e0!5i2")</f>
        <v>https://www.google.com/maps/dir/-15.917302,-47.760003/-15.9325430,-47.7686201/data=!4m3!4m2!3e0!5i2</v>
      </c>
      <c r="C771" s="151" t="s">
        <v>117</v>
      </c>
      <c r="D771" s="152" t="s">
        <v>112</v>
      </c>
      <c r="E771" s="152" t="s">
        <v>113</v>
      </c>
      <c r="F771" s="152" t="s">
        <v>117</v>
      </c>
      <c r="G771" s="152" t="s">
        <v>114</v>
      </c>
      <c r="H771" s="152" t="n">
        <v>160</v>
      </c>
      <c r="I771" s="152" t="s">
        <v>115</v>
      </c>
      <c r="J771" s="152" t="s">
        <v>6</v>
      </c>
      <c r="K771" s="152" t="s">
        <v>4221</v>
      </c>
      <c r="L771" s="152" t="s">
        <v>120</v>
      </c>
      <c r="M771" s="153" t="n">
        <f aca="false">88.36+0.06</f>
        <v>88.42</v>
      </c>
      <c r="N771" s="152" t="s">
        <v>1548</v>
      </c>
      <c r="O771" s="152" t="s">
        <v>1549</v>
      </c>
      <c r="P771" s="152" t="s">
        <v>1550</v>
      </c>
      <c r="Q771" s="152" t="s">
        <v>1551</v>
      </c>
      <c r="R771" s="154" t="s">
        <v>4481</v>
      </c>
      <c r="S771" s="154" t="s">
        <v>1593</v>
      </c>
      <c r="T771" s="155" t="s">
        <v>4451</v>
      </c>
      <c r="U771" s="152" t="str">
        <f aca="false">RIGHT(T771,7)</f>
        <v>018/037</v>
      </c>
      <c r="V771" s="152" t="s">
        <v>1555</v>
      </c>
      <c r="W771" s="156" t="n">
        <v>45882</v>
      </c>
      <c r="X771" s="152" t="s">
        <v>1594</v>
      </c>
      <c r="Y771" s="152" t="s">
        <v>4223</v>
      </c>
      <c r="Z771" s="152" t="s">
        <v>1557</v>
      </c>
      <c r="AA771" s="153" t="n">
        <v>4.2</v>
      </c>
      <c r="AB771" s="151" t="s">
        <v>4482</v>
      </c>
      <c r="AC771" s="151" t="s">
        <v>505</v>
      </c>
      <c r="AD771" s="151" t="str">
        <f aca="false">CONCATENATE($C771,$I771,$H771,$N771,$J771,$K771)</f>
        <v>TUBO PEADPEAD160VCAREDESZona07</v>
      </c>
      <c r="AE771" s="153" t="n">
        <f aca="false">IFERROR(INDEX(APOIO_REDES!$A:$W,MATCH($C771&amp;$I771&amp;$H771&amp;$N771&amp;$O771,APOIO_REDES!$W:$W,0),MATCH(AE$5,APOIO_REDES!$5:$5,0)),0)</f>
        <v>1.2</v>
      </c>
      <c r="AF771" s="153" t="n">
        <f aca="false">IFERROR(INDEX(APOIO_REDES!$A:$W,MATCH($C771&amp;$I771&amp;$H771&amp;$N771&amp;$O771,APOIO_REDES!$W:$W,0),MATCH(AF$5,APOIO_REDES!$5:$5,0)),0)</f>
        <v>1.46</v>
      </c>
      <c r="AG771" s="153" t="n">
        <f aca="false">IFERROR(INDEX(APOIO_REDES!$A:$W,MATCH($C771&amp;$I771&amp;$H771&amp;$N771&amp;$O771,APOIO_REDES!$W:$W,0),MATCH(AG$5,APOIO_REDES!$5:$5,0)),0)</f>
        <v>0.75</v>
      </c>
      <c r="AH771" s="153" t="n">
        <f aca="false">IFERROR(INDEX(APOIO_REDES!$A:$W,MATCH($C771&amp;$I771&amp;$H771&amp;$N771&amp;$O771,APOIO_REDES!$W:$W,0),MATCH(AH$5,APOIO_REDES!$5:$5,0)),0)</f>
        <v>0.1</v>
      </c>
      <c r="AI771" s="153" t="n">
        <f aca="false">IFERROR(IF($H771&lt;&gt;"",(((($H771/1000)/2)^2)*PI()*$M771),0),0)</f>
        <v>1.77778958355462</v>
      </c>
      <c r="AJ771" s="153" t="n">
        <f aca="false">IFERROR(IF(AND($H771&lt;&gt;"",$I771="FoFo",OR($N771="MND",$N771="VCA"),$Q771="LINEAR"),0,IF(AND($H771&lt;&gt;"",$I771="PEAD",$N771="VCA",$Q771="LINEAR"),($H771/1000)+0.3,IF(AND($H771&lt;&gt;"",$I771="PEAD",$N771="MND",$Q771="EMBOQUE"),0,IF(AND($H771&lt;&gt;"",$I771="PVC",$N771="VCA",$Q771="LINEAR"),($H771/1000)+0.2,IF(AND($H771&lt;&gt;"",$I771="PVC",$N771="MND",$Q771="EMBOQUE"),0,IF(AND($H771&lt;&gt;"",$I771="PEAD",$N771="VCA",$Q771="PREDIAL"),0,0)))))),0)</f>
        <v>0.46</v>
      </c>
      <c r="AK771" s="153" t="n">
        <f aca="false">IF(AA771&lt;&gt;"",AA771,0)</f>
        <v>4.2</v>
      </c>
      <c r="AL771" s="153" t="n">
        <f aca="false">IF(AND($N771="MND",$Q771="EMBOQUE"),$M771,IF(AND($N771="VCA",$Q771="LINEAR"),$M771,IF(AND($N771="VCA",$Q771="PREDIAL"),0,0)))</f>
        <v>88.42</v>
      </c>
      <c r="AM771" s="153" t="n">
        <f aca="false">IF(AND($N771="MND",$Q771="EMBOQUE"),$M771,IF(AND($N771="VCA",$Q771="LINEAR"),$M771,IF(AND($N771="VCA",$Q771="PREDIAL"),0,0)))</f>
        <v>88.42</v>
      </c>
      <c r="AN771" s="153" t="n">
        <f aca="false">ROUND(IF(AND($N771="VCA",$M771&lt;&gt;"",$Q771="LINEAR"),$M771/100,IF(AND($N771="MND",$M771&gt;100,$Q771="EMBOQUE"),$M771/100,0)),0)</f>
        <v>1</v>
      </c>
      <c r="AO771" s="153" t="n">
        <f aca="false">IF(AND($N771="MND",$Q771="EMBOQUE"),$AN771*2*2,IF(AND($N771="VCA",$Q771="LINEAR"),$M771*2,IF(AND($N771="VCA",$Q771="PREDIAL"),0,0)))</f>
        <v>176.84</v>
      </c>
      <c r="AP771" s="153" t="n">
        <f aca="false">IFERROR($M771*$AF771*$AG771,0)</f>
        <v>96.8199</v>
      </c>
      <c r="AQ771" s="153" t="n">
        <f aca="false">IFERROR(IF(AND($N771="VCA",$AH771&gt;0),$M771*$AG771*$AH771,0),0)</f>
        <v>6.6315</v>
      </c>
      <c r="AR771" s="153" t="n">
        <f aca="false">IFERROR(IF(AND($N771="VCA",$AJ771&gt;0),($M771*$AG771*$AJ771)-$AI771,0),0)</f>
        <v>28.7271104164454</v>
      </c>
      <c r="AS771" s="153" t="n">
        <f aca="false">IFERROR(IF(AND($N771="VCA",$AP771&gt;0),$AP771-$AI771-$AQ771-$AR771,0),0)</f>
        <v>59.6835</v>
      </c>
      <c r="AT771" s="153" t="n">
        <f aca="false">IFERROR(IF($N771="VCA",INDEX(APOIO_REDES!$A:$W,MATCH($C771&amp;$I771&amp;$H771&amp;$N771&amp;$O771,APOIO_REDES!$W:$W,0),MATCH(AT$5,APOIO_REDES!$5:$5,0)),0)*$AP771,0)</f>
        <v>1.0534291692276</v>
      </c>
      <c r="AU771" s="153" t="n">
        <f aca="false">IFERROR(IF($N771="VCA",INDEX(APOIO_REDES!$A:$W,MATCH($C771&amp;$I771&amp;$H771&amp;$N771&amp;$O771,APOIO_REDES!$W:$W,0),MATCH(AU$5,APOIO_REDES!$5:$5,0)),0)*$AP771,0)</f>
        <v>0.841240004065005</v>
      </c>
      <c r="AV771" s="153" t="n">
        <f aca="false">IFERROR(IF($N771="VCA",INDEX(APOIO_REDES!$A:$W,MATCH($C771&amp;$I771&amp;$H771&amp;$N771&amp;$O771,APOIO_REDES!$W:$W,0),MATCH(AV$5,APOIO_REDES!$5:$5,0)),0)*$AP771,0)</f>
        <v>0.116421012569635</v>
      </c>
      <c r="AW771" s="153" t="n">
        <f aca="false">IFERROR(IF($N771="VCA",INDEX(APOIO_REDES!$A:$W,MATCH($C771&amp;$I771&amp;$H771&amp;$N771&amp;$O771,APOIO_REDES!$W:$W,0),MATCH(AW$5,APOIO_REDES!$5:$5,0)),0)*$AP771,0)</f>
        <v>66.457929557193</v>
      </c>
      <c r="AX771" s="153" t="n">
        <f aca="false">IFERROR(IF($N771="VCA",INDEX(APOIO_REDES!$A:$W,MATCH($C771&amp;$I771&amp;$H771&amp;$N771&amp;$O771,APOIO_REDES!$W:$W,0),MATCH(AX$5,APOIO_REDES!$5:$5,0)),0)*$AP771,0)</f>
        <v>9.19758814171976</v>
      </c>
      <c r="AY771" s="153" t="n">
        <f aca="false">IFERROR(IF($N771="VCA",INDEX(APOIO_REDES!$A:$W,MATCH($C771&amp;$I771&amp;$H771&amp;$N771&amp;$O771,APOIO_REDES!$W:$W,0),MATCH(AY$5,APOIO_REDES!$5:$5,0)),0)*$AP771,0)</f>
        <v>16.8247898266526</v>
      </c>
      <c r="AZ771" s="153" t="n">
        <f aca="false">IFERROR(IF($N771="VCA",INDEX(APOIO_REDES!$A:$W,MATCH($C771&amp;$I771&amp;$H771&amp;$N771&amp;$O771,APOIO_REDES!$W:$W,0),MATCH(AZ$5,APOIO_REDES!$5:$5,0)),0)*$AP771,0)</f>
        <v>2.32850228857235</v>
      </c>
      <c r="BA771" s="153" t="n">
        <f aca="false">IFERROR(IF(AND($N771="VCA",$Q771="LINEAR"),INDEX(APOIO_REDES!$A:$W,MATCH($C771&amp;$I771&amp;$H771&amp;$N771&amp;$O771,APOIO_REDES!$W:$W,0),MATCH(BA$5,APOIO_REDES!$5:$5,0)),IF(AND($N771="MND",$Q771="EMBOQUE"),INDEX(APOIO_REDES!$A:$W,MATCH($C771&amp;$I771&amp;$H771&amp;$N771&amp;$O771,APOIO_REDES!$W:$W,0),MATCH(BA$5,APOIO_REDES!$5:$5,0)),0))*$M771/10,0)</f>
        <v>7.12642896760417</v>
      </c>
      <c r="BB771" s="153" t="n">
        <f aca="false">IFERROR(IF($N771="VCA",INDEX(APOIO_REDES!$A:$W,MATCH($C771&amp;$I771&amp;$H771&amp;$N771&amp;$O771,APOIO_REDES!$W:$W,0),MATCH(BB$5,APOIO_REDES!$5:$5,0)),0)*($AI771+$AQ771+$AR771),0)</f>
        <v>36.7323449761867</v>
      </c>
      <c r="BC771" s="153" t="n">
        <f aca="false">IFERROR(IF($N771="VCA",INDEX(APOIO_REDES!$A:$W,MATCH($C771&amp;$I771&amp;$H771&amp;$N771&amp;$O771,APOIO_REDES!$W:$W,0),MATCH(BC$5,APOIO_REDES!$5:$5,0)),0)*($AI771+$AQ771+$AR771),0)</f>
        <v>0.404055023813324</v>
      </c>
      <c r="BD771" s="153" t="n">
        <f aca="false">IF(AND($N771="VCA",$AF771&gt;=1.25,$AF771&lt;1.5),$M771*$AF771*2,0)</f>
        <v>258.1864</v>
      </c>
      <c r="BE771" s="153" t="n">
        <f aca="false">IF(AND($N771="VCA",$AF771&gt;=1.5,$AF771&lt;3),$M771*$AF771*2,0)</f>
        <v>0</v>
      </c>
      <c r="BF771" s="153" t="n">
        <f aca="false">IF(AND($N771="VCA",$AF771&gt;=3),$M771*$AF771*2,0)</f>
        <v>0</v>
      </c>
      <c r="BG771" s="153" t="n">
        <f aca="false">($BB771+$BC771)*$AK771</f>
        <v>155.97288</v>
      </c>
      <c r="BH771" s="153" t="n">
        <f aca="false">IF(AND($M771&lt;&gt;"",$N771="VCA",$Q771="LINEAR"),($M771*2)/100,IF(AND($M771&lt;&gt;"",$N771="MND",$Q771="EMBOQUE"),($AN771*2)/100,0))</f>
        <v>1.7684</v>
      </c>
      <c r="BI771" s="153" t="n">
        <f aca="false">IF(AND($M771&lt;&gt;"",$N771="VCA",$Q771="LINEAR"),$M771,IF(AND($M771&lt;&gt;"",$N771="MND",$Q771="EMBOQUE"),$AN771*2,0))</f>
        <v>88.42</v>
      </c>
      <c r="BJ771" s="153" t="n">
        <f aca="false">IF(AND($M771&lt;&gt;"",$N771="VCA",$Q771="LINEAR"),($M771*6.8)/100,IF(AND($M771&lt;&gt;"",$N771="MND",$Q771="EMBOQUE"),($AN771*2*6.8)/100,0))</f>
        <v>6.01256</v>
      </c>
      <c r="BK771" s="153" t="n">
        <f aca="false">IF(AND($M771&lt;&gt;"",$N771="VCA",$Q771="LINEAR"),($M771*2.5)/50,IF(AND($M771&lt;&gt;"",$N771="MND",$Q771="EMBOQUE"),($AN771*2*2.5)/50,0))</f>
        <v>4.421</v>
      </c>
      <c r="BL771" s="157" t="str">
        <f aca="false">K771&amp;J771</f>
        <v>Zona07REDES</v>
      </c>
      <c r="BM771" s="152" t="s">
        <v>4225</v>
      </c>
      <c r="BN771" s="152" t="s">
        <v>1560</v>
      </c>
      <c r="BO771" s="152" t="s">
        <v>4454</v>
      </c>
      <c r="BP771" s="152" t="s">
        <v>4462</v>
      </c>
      <c r="BQ771" s="152" t="s">
        <v>4456</v>
      </c>
      <c r="BR771" s="152" t="s">
        <v>4483</v>
      </c>
      <c r="BS771" s="152" t="n">
        <v>203583.202</v>
      </c>
      <c r="BT771" s="152" t="n">
        <v>8236559.249</v>
      </c>
      <c r="BU771" s="152" t="n">
        <v>203628.402</v>
      </c>
      <c r="BV771" s="152" t="n">
        <v>8236483.681</v>
      </c>
      <c r="BW771" s="152" t="n">
        <v>-15.9328997</v>
      </c>
      <c r="BX771" s="152" t="n">
        <v>-47.7684343</v>
      </c>
      <c r="BY771" s="152" t="s">
        <v>4462</v>
      </c>
    </row>
    <row r="772" customFormat="false" ht="13.8" hidden="false" customHeight="false" outlineLevel="0" collapsed="false">
      <c r="A772" s="149" t="n">
        <f aca="false">IF(C772&lt;&gt;"",ROW(A767),"")</f>
        <v>767</v>
      </c>
      <c r="B772" s="150" t="str">
        <f aca="false">HYPERLINK("https://www.google.com/maps/dir/-15.917302,-47.760003/-15.9325782,-47.7670570/data=!4m3!4m2!3e0!5i2")</f>
        <v>https://www.google.com/maps/dir/-15.917302,-47.760003/-15.9325782,-47.7670570/data=!4m3!4m2!3e0!5i2</v>
      </c>
      <c r="C772" s="151" t="s">
        <v>117</v>
      </c>
      <c r="D772" s="152" t="s">
        <v>112</v>
      </c>
      <c r="E772" s="152" t="s">
        <v>113</v>
      </c>
      <c r="F772" s="152" t="s">
        <v>117</v>
      </c>
      <c r="G772" s="152" t="s">
        <v>782</v>
      </c>
      <c r="H772" s="152" t="n">
        <v>63</v>
      </c>
      <c r="I772" s="152" t="s">
        <v>115</v>
      </c>
      <c r="J772" s="152" t="s">
        <v>6</v>
      </c>
      <c r="K772" s="152" t="s">
        <v>4221</v>
      </c>
      <c r="L772" s="152" t="s">
        <v>120</v>
      </c>
      <c r="M772" s="153" t="n">
        <f aca="false">98.96+4</f>
        <v>102.96</v>
      </c>
      <c r="N772" s="152" t="s">
        <v>1548</v>
      </c>
      <c r="O772" s="152" t="s">
        <v>1549</v>
      </c>
      <c r="P772" s="152" t="s">
        <v>1550</v>
      </c>
      <c r="Q772" s="152" t="s">
        <v>1551</v>
      </c>
      <c r="R772" s="154" t="s">
        <v>4484</v>
      </c>
      <c r="S772" s="154" t="s">
        <v>1553</v>
      </c>
      <c r="T772" s="155" t="s">
        <v>4451</v>
      </c>
      <c r="U772" s="152" t="str">
        <f aca="false">RIGHT(T772,7)</f>
        <v>018/037</v>
      </c>
      <c r="V772" s="152" t="s">
        <v>1555</v>
      </c>
      <c r="W772" s="156" t="n">
        <v>45882</v>
      </c>
      <c r="X772" s="152" t="s">
        <v>1594</v>
      </c>
      <c r="Y772" s="152" t="s">
        <v>4278</v>
      </c>
      <c r="Z772" s="152" t="s">
        <v>1557</v>
      </c>
      <c r="AA772" s="153" t="n">
        <v>4.2</v>
      </c>
      <c r="AB772" s="151" t="s">
        <v>4485</v>
      </c>
      <c r="AC772" s="151" t="s">
        <v>186</v>
      </c>
      <c r="AD772" s="151" t="str">
        <f aca="false">CONCATENATE($C772,$I772,$H772,$N772,$J772,$K772)</f>
        <v>TUBO PEADPEAD63VCAREDESZona07</v>
      </c>
      <c r="AE772" s="153" t="n">
        <f aca="false">IFERROR(INDEX(APOIO_REDES!$A:$W,MATCH($C772&amp;$I772&amp;$H772&amp;$N772&amp;$O772,APOIO_REDES!$W:$W,0),MATCH(AE$5,APOIO_REDES!$5:$5,0)),0)</f>
        <v>1.2</v>
      </c>
      <c r="AF772" s="153" t="n">
        <f aca="false">IFERROR(INDEX(APOIO_REDES!$A:$W,MATCH($C772&amp;$I772&amp;$H772&amp;$N772&amp;$O772,APOIO_REDES!$W:$W,0),MATCH(AF$5,APOIO_REDES!$5:$5,0)),0)</f>
        <v>1.363</v>
      </c>
      <c r="AG772" s="153" t="n">
        <f aca="false">IFERROR(INDEX(APOIO_REDES!$A:$W,MATCH($C772&amp;$I772&amp;$H772&amp;$N772&amp;$O772,APOIO_REDES!$W:$W,0),MATCH(AG$5,APOIO_REDES!$5:$5,0)),0)</f>
        <v>0.65</v>
      </c>
      <c r="AH772" s="153" t="n">
        <f aca="false">IFERROR(INDEX(APOIO_REDES!$A:$W,MATCH($C772&amp;$I772&amp;$H772&amp;$N772&amp;$O772,APOIO_REDES!$W:$W,0),MATCH(AH$5,APOIO_REDES!$5:$5,0)),0)</f>
        <v>0.1</v>
      </c>
      <c r="AI772" s="153" t="n">
        <f aca="false">IFERROR(IF($H772&lt;&gt;"",(((($H772/1000)/2)^2)*PI()*$M772),0),0)</f>
        <v>0.3209515771716</v>
      </c>
      <c r="AJ772" s="153" t="n">
        <f aca="false">IFERROR(IF(AND($H772&lt;&gt;"",$I772="FoFo",OR($N772="MND",$N772="VCA"),$Q772="LINEAR"),0,IF(AND($H772&lt;&gt;"",$I772="PEAD",$N772="VCA",$Q772="LINEAR"),($H772/1000)+0.3,IF(AND($H772&lt;&gt;"",$I772="PEAD",$N772="MND",$Q772="EMBOQUE"),0,IF(AND($H772&lt;&gt;"",$I772="PVC",$N772="VCA",$Q772="LINEAR"),($H772/1000)+0.2,IF(AND($H772&lt;&gt;"",$I772="PVC",$N772="MND",$Q772="EMBOQUE"),0,IF(AND($H772&lt;&gt;"",$I772="PEAD",$N772="VCA",$Q772="PREDIAL"),0,0)))))),0)</f>
        <v>0.363</v>
      </c>
      <c r="AK772" s="153" t="n">
        <f aca="false">IF(AA772&lt;&gt;"",AA772,0)</f>
        <v>4.2</v>
      </c>
      <c r="AL772" s="153" t="n">
        <f aca="false">IF(AND($N772="MND",$Q772="EMBOQUE"),$M772,IF(AND($N772="VCA",$Q772="LINEAR"),$M772,IF(AND($N772="VCA",$Q772="PREDIAL"),0,0)))</f>
        <v>102.96</v>
      </c>
      <c r="AM772" s="153" t="n">
        <f aca="false">IF(AND($N772="MND",$Q772="EMBOQUE"),$M772,IF(AND($N772="VCA",$Q772="LINEAR"),$M772,IF(AND($N772="VCA",$Q772="PREDIAL"),0,0)))</f>
        <v>102.96</v>
      </c>
      <c r="AN772" s="153" t="n">
        <f aca="false">ROUND(IF(AND($N772="VCA",$M772&lt;&gt;"",$Q772="LINEAR"),$M772/100,IF(AND($N772="MND",$M772&gt;100,$Q772="EMBOQUE"),$M772/100,0)),0)</f>
        <v>1</v>
      </c>
      <c r="AO772" s="153" t="n">
        <f aca="false">IF(AND($N772="MND",$Q772="EMBOQUE"),$AN772*2*2,IF(AND($N772="VCA",$Q772="LINEAR"),$M772*2,IF(AND($N772="VCA",$Q772="PREDIAL"),0,0)))</f>
        <v>205.92</v>
      </c>
      <c r="AP772" s="153" t="n">
        <f aca="false">IFERROR($M772*$AF772*$AG772,0)</f>
        <v>91.217412</v>
      </c>
      <c r="AQ772" s="153" t="n">
        <f aca="false">IFERROR(IF(AND($N772="VCA",$AH772&gt;0),$M772*$AG772*$AH772,0),0)</f>
        <v>6.6924</v>
      </c>
      <c r="AR772" s="153" t="n">
        <f aca="false">IFERROR(IF(AND($N772="VCA",$AJ772&gt;0),($M772*$AG772*$AJ772)-$AI772,0),0)</f>
        <v>23.9724604228284</v>
      </c>
      <c r="AS772" s="153" t="n">
        <f aca="false">IFERROR(IF(AND($N772="VCA",$AP772&gt;0),$AP772-$AI772-$AQ772-$AR772,0),0)</f>
        <v>60.2316</v>
      </c>
      <c r="AT772" s="153" t="n">
        <f aca="false">IFERROR(IF($N772="VCA",INDEX(APOIO_REDES!$A:$W,MATCH($C772&amp;$I772&amp;$H772&amp;$N772&amp;$O772,APOIO_REDES!$W:$W,0),MATCH(AT$5,APOIO_REDES!$5:$5,0)),0)*$AP772,0)</f>
        <v>0.992472441535792</v>
      </c>
      <c r="AU772" s="153" t="n">
        <f aca="false">IFERROR(IF($N772="VCA",INDEX(APOIO_REDES!$A:$W,MATCH($C772&amp;$I772&amp;$H772&amp;$N772&amp;$O772,APOIO_REDES!$W:$W,0),MATCH(AU$5,APOIO_REDES!$5:$5,0)),0)*$AP772,0)</f>
        <v>0.792561612247887</v>
      </c>
      <c r="AV772" s="153" t="n">
        <f aca="false">IFERROR(IF($N772="VCA",INDEX(APOIO_REDES!$A:$W,MATCH($C772&amp;$I772&amp;$H772&amp;$N772&amp;$O772,APOIO_REDES!$W:$W,0),MATCH(AV$5,APOIO_REDES!$5:$5,0)),0)*$AP772,0)</f>
        <v>0.109684305282505</v>
      </c>
      <c r="AW772" s="153" t="n">
        <f aca="false">IFERROR(IF($N772="VCA",INDEX(APOIO_REDES!$A:$W,MATCH($C772&amp;$I772&amp;$H772&amp;$N772&amp;$O772,APOIO_REDES!$W:$W,0),MATCH(AW$5,APOIO_REDES!$5:$5,0)),0)*$AP772,0)</f>
        <v>62.6123383837977</v>
      </c>
      <c r="AX772" s="153" t="n">
        <f aca="false">IFERROR(IF($N772="VCA",INDEX(APOIO_REDES!$A:$W,MATCH($C772&amp;$I772&amp;$H772&amp;$N772&amp;$O772,APOIO_REDES!$W:$W,0),MATCH(AX$5,APOIO_REDES!$5:$5,0)),0)*$AP772,0)</f>
        <v>8.66536927769565</v>
      </c>
      <c r="AY772" s="153" t="n">
        <f aca="false">IFERROR(IF($N772="VCA",INDEX(APOIO_REDES!$A:$W,MATCH($C772&amp;$I772&amp;$H772&amp;$N772&amp;$O772,APOIO_REDES!$W:$W,0),MATCH(AY$5,APOIO_REDES!$5:$5,0)),0)*$AP772,0)</f>
        <v>15.8512225836959</v>
      </c>
      <c r="AZ772" s="153" t="n">
        <f aca="false">IFERROR(IF($N772="VCA",INDEX(APOIO_REDES!$A:$W,MATCH($C772&amp;$I772&amp;$H772&amp;$N772&amp;$O772,APOIO_REDES!$W:$W,0),MATCH(AZ$5,APOIO_REDES!$5:$5,0)),0)*$AP772,0)</f>
        <v>2.19376339574454</v>
      </c>
      <c r="BA772" s="153" t="n">
        <f aca="false">IFERROR(IF(AND($N772="VCA",$Q772="LINEAR"),INDEX(APOIO_REDES!$A:$W,MATCH($C772&amp;$I772&amp;$H772&amp;$N772&amp;$O772,APOIO_REDES!$W:$W,0),MATCH(BA$5,APOIO_REDES!$5:$5,0)),IF(AND($N772="MND",$Q772="EMBOQUE"),INDEX(APOIO_REDES!$A:$W,MATCH($C772&amp;$I772&amp;$H772&amp;$N772&amp;$O772,APOIO_REDES!$W:$W,0),MATCH(BA$5,APOIO_REDES!$5:$5,0)),0))*$M772/10,0)</f>
        <v>8.29831629161418</v>
      </c>
      <c r="BB772" s="153" t="n">
        <f aca="false">IFERROR(IF($N772="VCA",INDEX(APOIO_REDES!$A:$W,MATCH($C772&amp;$I772&amp;$H772&amp;$N772&amp;$O772,APOIO_REDES!$W:$W,0),MATCH(BB$5,APOIO_REDES!$5:$5,0)),0)*($AI772+$AQ772+$AR772),0)</f>
        <v>30.6486771941078</v>
      </c>
      <c r="BC772" s="153" t="n">
        <f aca="false">IFERROR(IF($N772="VCA",INDEX(APOIO_REDES!$A:$W,MATCH($C772&amp;$I772&amp;$H772&amp;$N772&amp;$O772,APOIO_REDES!$W:$W,0),MATCH(BC$5,APOIO_REDES!$5:$5,0)),0)*($AI772+$AQ772+$AR772),0)</f>
        <v>0.337134805892202</v>
      </c>
      <c r="BD772" s="153" t="n">
        <f aca="false">IF(AND($N772="VCA",$AF772&gt;=1.25,$AF772&lt;1.5),$M772*$AF772*2,0)</f>
        <v>280.66896</v>
      </c>
      <c r="BE772" s="153" t="n">
        <f aca="false">IF(AND($N772="VCA",$AF772&gt;=1.5,$AF772&lt;3),$M772*$AF772*2,0)</f>
        <v>0</v>
      </c>
      <c r="BF772" s="153" t="n">
        <f aca="false">IF(AND($N772="VCA",$AF772&gt;=3),$M772*$AF772*2,0)</f>
        <v>0</v>
      </c>
      <c r="BG772" s="153" t="n">
        <f aca="false">($BB772+$BC772)*$AK772</f>
        <v>130.1404104</v>
      </c>
      <c r="BH772" s="153" t="n">
        <f aca="false">IF(AND($M772&lt;&gt;"",$N772="VCA",$Q772="LINEAR"),($M772*2)/100,IF(AND($M772&lt;&gt;"",$N772="MND",$Q772="EMBOQUE"),($AN772*2)/100,0))</f>
        <v>2.0592</v>
      </c>
      <c r="BI772" s="153" t="n">
        <f aca="false">IF(AND($M772&lt;&gt;"",$N772="VCA",$Q772="LINEAR"),$M772,IF(AND($M772&lt;&gt;"",$N772="MND",$Q772="EMBOQUE"),$AN772*2,0))</f>
        <v>102.96</v>
      </c>
      <c r="BJ772" s="153" t="n">
        <f aca="false">IF(AND($M772&lt;&gt;"",$N772="VCA",$Q772="LINEAR"),($M772*6.8)/100,IF(AND($M772&lt;&gt;"",$N772="MND",$Q772="EMBOQUE"),($AN772*2*6.8)/100,0))</f>
        <v>7.00128</v>
      </c>
      <c r="BK772" s="153" t="n">
        <f aca="false">IF(AND($M772&lt;&gt;"",$N772="VCA",$Q772="LINEAR"),($M772*2.5)/50,IF(AND($M772&lt;&gt;"",$N772="MND",$Q772="EMBOQUE"),($AN772*2*2.5)/50,0))</f>
        <v>5.148</v>
      </c>
      <c r="BL772" s="157" t="str">
        <f aca="false">K772&amp;J772</f>
        <v>Zona07REDES</v>
      </c>
      <c r="BM772" s="152" t="s">
        <v>4225</v>
      </c>
      <c r="BN772" s="152" t="s">
        <v>1560</v>
      </c>
      <c r="BO772" s="152" t="s">
        <v>4454</v>
      </c>
      <c r="BP772" s="152" t="s">
        <v>4486</v>
      </c>
      <c r="BQ772" s="152" t="s">
        <v>4487</v>
      </c>
      <c r="BR772" s="152" t="s">
        <v>4488</v>
      </c>
      <c r="BS772" s="152" t="n">
        <v>203750.67</v>
      </c>
      <c r="BT772" s="152" t="n">
        <v>8236557.622</v>
      </c>
      <c r="BU772" s="152" t="n">
        <v>203818.002</v>
      </c>
      <c r="BV772" s="152" t="n">
        <v>8236485.79</v>
      </c>
      <c r="BW772" s="152" t="n">
        <v>-15.932923</v>
      </c>
      <c r="BX772" s="152" t="n">
        <v>-47.766768</v>
      </c>
      <c r="BY772" s="152" t="s">
        <v>4486</v>
      </c>
    </row>
    <row r="773" customFormat="false" ht="13.8" hidden="false" customHeight="false" outlineLevel="0" collapsed="false">
      <c r="A773" s="149" t="n">
        <f aca="false">IF(C773&lt;&gt;"",ROW(A768),"")</f>
        <v>768</v>
      </c>
      <c r="B773" s="150" t="str">
        <f aca="false">HYPERLINK("https://www.google.com/maps/dir/-15.917302,-47.760003/-15.9328974,-47.7678970/data=!4m3!4m2!3e0!5i2")</f>
        <v>https://www.google.com/maps/dir/-15.917302,-47.760003/-15.9328974,-47.7678970/data=!4m3!4m2!3e0!5i2</v>
      </c>
      <c r="C773" s="151" t="s">
        <v>117</v>
      </c>
      <c r="D773" s="152" t="s">
        <v>112</v>
      </c>
      <c r="E773" s="152" t="s">
        <v>113</v>
      </c>
      <c r="F773" s="152" t="s">
        <v>117</v>
      </c>
      <c r="G773" s="152" t="s">
        <v>782</v>
      </c>
      <c r="H773" s="152" t="n">
        <v>110</v>
      </c>
      <c r="I773" s="152" t="s">
        <v>115</v>
      </c>
      <c r="J773" s="152" t="s">
        <v>6</v>
      </c>
      <c r="K773" s="152" t="s">
        <v>4221</v>
      </c>
      <c r="L773" s="152" t="s">
        <v>120</v>
      </c>
      <c r="M773" s="153" t="n">
        <f aca="false">6.05</f>
        <v>6.05</v>
      </c>
      <c r="N773" s="152" t="s">
        <v>1548</v>
      </c>
      <c r="O773" s="152" t="s">
        <v>1549</v>
      </c>
      <c r="P773" s="152" t="s">
        <v>1550</v>
      </c>
      <c r="Q773" s="152" t="s">
        <v>1551</v>
      </c>
      <c r="R773" s="154" t="s">
        <v>4489</v>
      </c>
      <c r="S773" s="154" t="s">
        <v>1593</v>
      </c>
      <c r="T773" s="155" t="s">
        <v>4451</v>
      </c>
      <c r="U773" s="152" t="str">
        <f aca="false">RIGHT(T773,7)</f>
        <v>018/037</v>
      </c>
      <c r="V773" s="152" t="s">
        <v>1555</v>
      </c>
      <c r="W773" s="156" t="n">
        <v>45882</v>
      </c>
      <c r="X773" s="152" t="s">
        <v>1594</v>
      </c>
      <c r="Y773" s="152"/>
      <c r="Z773" s="152" t="s">
        <v>1557</v>
      </c>
      <c r="AA773" s="153" t="n">
        <v>4.1</v>
      </c>
      <c r="AB773" s="151" t="s">
        <v>4490</v>
      </c>
      <c r="AC773" s="151" t="s">
        <v>502</v>
      </c>
      <c r="AD773" s="151" t="str">
        <f aca="false">CONCATENATE($C773,$I773,$H773,$N773,$J773,$K773)</f>
        <v>TUBO PEADPEAD110VCAREDESZona07</v>
      </c>
      <c r="AE773" s="153" t="n">
        <f aca="false">IFERROR(INDEX(APOIO_REDES!$A:$W,MATCH($C773&amp;$I773&amp;$H773&amp;$N773&amp;$O773,APOIO_REDES!$W:$W,0),MATCH(AE$5,APOIO_REDES!$5:$5,0)),0)</f>
        <v>1.2</v>
      </c>
      <c r="AF773" s="153" t="n">
        <f aca="false">IFERROR(INDEX(APOIO_REDES!$A:$W,MATCH($C773&amp;$I773&amp;$H773&amp;$N773&amp;$O773,APOIO_REDES!$W:$W,0),MATCH(AF$5,APOIO_REDES!$5:$5,0)),0)</f>
        <v>1.41</v>
      </c>
      <c r="AG773" s="153" t="n">
        <f aca="false">IFERROR(INDEX(APOIO_REDES!$A:$W,MATCH($C773&amp;$I773&amp;$H773&amp;$N773&amp;$O773,APOIO_REDES!$W:$W,0),MATCH(AG$5,APOIO_REDES!$5:$5,0)),0)</f>
        <v>0.75</v>
      </c>
      <c r="AH773" s="153" t="n">
        <f aca="false">IFERROR(INDEX(APOIO_REDES!$A:$W,MATCH($C773&amp;$I773&amp;$H773&amp;$N773&amp;$O773,APOIO_REDES!$W:$W,0),MATCH(AH$5,APOIO_REDES!$5:$5,0)),0)</f>
        <v>0.1</v>
      </c>
      <c r="AI773" s="153" t="n">
        <f aca="false">IFERROR(IF($H773&lt;&gt;"",(((($H773/1000)/2)^2)*PI()*$M773),0),0)</f>
        <v>0.0574950725515102</v>
      </c>
      <c r="AJ773" s="153" t="n">
        <f aca="false">IFERROR(IF(AND($H773&lt;&gt;"",$I773="FoFo",OR($N773="MND",$N773="VCA"),$Q773="LINEAR"),0,IF(AND($H773&lt;&gt;"",$I773="PEAD",$N773="VCA",$Q773="LINEAR"),($H773/1000)+0.3,IF(AND($H773&lt;&gt;"",$I773="PEAD",$N773="MND",$Q773="EMBOQUE"),0,IF(AND($H773&lt;&gt;"",$I773="PVC",$N773="VCA",$Q773="LINEAR"),($H773/1000)+0.2,IF(AND($H773&lt;&gt;"",$I773="PVC",$N773="MND",$Q773="EMBOQUE"),0,IF(AND($H773&lt;&gt;"",$I773="PEAD",$N773="VCA",$Q773="PREDIAL"),0,0)))))),0)</f>
        <v>0.41</v>
      </c>
      <c r="AK773" s="153" t="n">
        <f aca="false">IF(AA773&lt;&gt;"",AA773,0)</f>
        <v>4.1</v>
      </c>
      <c r="AL773" s="153" t="n">
        <f aca="false">IF(AND($N773="MND",$Q773="EMBOQUE"),$M773,IF(AND($N773="VCA",$Q773="LINEAR"),$M773,IF(AND($N773="VCA",$Q773="PREDIAL"),0,0)))</f>
        <v>6.05</v>
      </c>
      <c r="AM773" s="153" t="n">
        <f aca="false">IF(AND($N773="MND",$Q773="EMBOQUE"),$M773,IF(AND($N773="VCA",$Q773="LINEAR"),$M773,IF(AND($N773="VCA",$Q773="PREDIAL"),0,0)))</f>
        <v>6.05</v>
      </c>
      <c r="AN773" s="153" t="n">
        <f aca="false">ROUND(IF(AND($N773="VCA",$M773&lt;&gt;"",$Q773="LINEAR"),$M773/100,IF(AND($N773="MND",$M773&gt;100,$Q773="EMBOQUE"),$M773/100,0)),0)</f>
        <v>0</v>
      </c>
      <c r="AO773" s="153" t="n">
        <f aca="false">IF(AND($N773="MND",$Q773="EMBOQUE"),$AN773*2*2,IF(AND($N773="VCA",$Q773="LINEAR"),$M773*2,IF(AND($N773="VCA",$Q773="PREDIAL"),0,0)))</f>
        <v>12.1</v>
      </c>
      <c r="AP773" s="153" t="n">
        <f aca="false">IFERROR($M773*$AF773*$AG773,0)</f>
        <v>6.397875</v>
      </c>
      <c r="AQ773" s="153" t="n">
        <f aca="false">IFERROR(IF(AND($N773="VCA",$AH773&gt;0),$M773*$AG773*$AH773,0),0)</f>
        <v>0.45375</v>
      </c>
      <c r="AR773" s="153" t="n">
        <f aca="false">IFERROR(IF(AND($N773="VCA",$AJ773&gt;0),($M773*$AG773*$AJ773)-$AI773,0),0)</f>
        <v>1.80287992744849</v>
      </c>
      <c r="AS773" s="153" t="n">
        <f aca="false">IFERROR(IF(AND($N773="VCA",$AP773&gt;0),$AP773-$AI773-$AQ773-$AR773,0),0)</f>
        <v>4.08375</v>
      </c>
      <c r="AT773" s="153" t="n">
        <f aca="false">IFERROR(IF($N773="VCA",INDEX(APOIO_REDES!$A:$W,MATCH($C773&amp;$I773&amp;$H773&amp;$N773&amp;$O773,APOIO_REDES!$W:$W,0),MATCH(AT$5,APOIO_REDES!$5:$5,0)),0)*$AP773,0)</f>
        <v>0.0696107736743376</v>
      </c>
      <c r="AU773" s="153" t="n">
        <f aca="false">IFERROR(IF($N773="VCA",INDEX(APOIO_REDES!$A:$W,MATCH($C773&amp;$I773&amp;$H773&amp;$N773&amp;$O773,APOIO_REDES!$W:$W,0),MATCH(AU$5,APOIO_REDES!$5:$5,0)),0)*$AP773,0)</f>
        <v>0.0555892785574804</v>
      </c>
      <c r="AV773" s="153" t="n">
        <f aca="false">IFERROR(IF($N773="VCA",INDEX(APOIO_REDES!$A:$W,MATCH($C773&amp;$I773&amp;$H773&amp;$N773&amp;$O773,APOIO_REDES!$W:$W,0),MATCH(AV$5,APOIO_REDES!$5:$5,0)),0)*$AP773,0)</f>
        <v>0.00769311975940848</v>
      </c>
      <c r="AW773" s="153" t="n">
        <f aca="false">IFERROR(IF($N773="VCA",INDEX(APOIO_REDES!$A:$W,MATCH($C773&amp;$I773&amp;$H773&amp;$N773&amp;$O773,APOIO_REDES!$W:$W,0),MATCH(AW$5,APOIO_REDES!$5:$5,0)),0)*$AP773,0)</f>
        <v>4.39155097315455</v>
      </c>
      <c r="AX773" s="153" t="n">
        <f aca="false">IFERROR(IF($N773="VCA",INDEX(APOIO_REDES!$A:$W,MATCH($C773&amp;$I773&amp;$H773&amp;$N773&amp;$O773,APOIO_REDES!$W:$W,0),MATCH(AX$5,APOIO_REDES!$5:$5,0)),0)*$AP773,0)</f>
        <v>0.60777814511485</v>
      </c>
      <c r="AY773" s="153" t="n">
        <f aca="false">IFERROR(IF($N773="VCA",INDEX(APOIO_REDES!$A:$W,MATCH($C773&amp;$I773&amp;$H773&amp;$N773&amp;$O773,APOIO_REDES!$W:$W,0),MATCH(AY$5,APOIO_REDES!$5:$5,0)),0)*$AP773,0)</f>
        <v>1.11178489352081</v>
      </c>
      <c r="AZ773" s="153" t="n">
        <f aca="false">IFERROR(IF($N773="VCA",INDEX(APOIO_REDES!$A:$W,MATCH($C773&amp;$I773&amp;$H773&amp;$N773&amp;$O773,APOIO_REDES!$W:$W,0),MATCH(AZ$5,APOIO_REDES!$5:$5,0)),0)*$AP773,0)</f>
        <v>0.153867816218565</v>
      </c>
      <c r="BA773" s="153" t="n">
        <f aca="false">IFERROR(IF(AND($N773="VCA",$Q773="LINEAR"),INDEX(APOIO_REDES!$A:$W,MATCH($C773&amp;$I773&amp;$H773&amp;$N773&amp;$O773,APOIO_REDES!$W:$W,0),MATCH(BA$5,APOIO_REDES!$5:$5,0)),IF(AND($N773="MND",$Q773="EMBOQUE"),INDEX(APOIO_REDES!$A:$W,MATCH($C773&amp;$I773&amp;$H773&amp;$N773&amp;$O773,APOIO_REDES!$W:$W,0),MATCH(BA$5,APOIO_REDES!$5:$5,0)),0))*$M773/10,0)</f>
        <v>0.487614739357671</v>
      </c>
      <c r="BB773" s="153" t="n">
        <f aca="false">IFERROR(IF($N773="VCA",INDEX(APOIO_REDES!$A:$W,MATCH($C773&amp;$I773&amp;$H773&amp;$N773&amp;$O773,APOIO_REDES!$W:$W,0),MATCH(BB$5,APOIO_REDES!$5:$5,0)),0)*($AI773+$AQ773+$AR773),0)</f>
        <v>2.28894663505396</v>
      </c>
      <c r="BC773" s="153" t="n">
        <f aca="false">IFERROR(IF($N773="VCA",INDEX(APOIO_REDES!$A:$W,MATCH($C773&amp;$I773&amp;$H773&amp;$N773&amp;$O773,APOIO_REDES!$W:$W,0),MATCH(BC$5,APOIO_REDES!$5:$5,0)),0)*($AI773+$AQ773+$AR773),0)</f>
        <v>0.025178364946037</v>
      </c>
      <c r="BD773" s="153" t="n">
        <f aca="false">IF(AND($N773="VCA",$AF773&gt;=1.25,$AF773&lt;1.5),$M773*$AF773*2,0)</f>
        <v>17.061</v>
      </c>
      <c r="BE773" s="153" t="n">
        <f aca="false">IF(AND($N773="VCA",$AF773&gt;=1.5,$AF773&lt;3),$M773*$AF773*2,0)</f>
        <v>0</v>
      </c>
      <c r="BF773" s="153" t="n">
        <f aca="false">IF(AND($N773="VCA",$AF773&gt;=3),$M773*$AF773*2,0)</f>
        <v>0</v>
      </c>
      <c r="BG773" s="153" t="n">
        <f aca="false">($BB773+$BC773)*$AK773</f>
        <v>9.4879125</v>
      </c>
      <c r="BH773" s="153" t="n">
        <f aca="false">IF(AND($M773&lt;&gt;"",$N773="VCA",$Q773="LINEAR"),($M773*2)/100,IF(AND($M773&lt;&gt;"",$N773="MND",$Q773="EMBOQUE"),($AN773*2)/100,0))</f>
        <v>0.121</v>
      </c>
      <c r="BI773" s="153" t="n">
        <f aca="false">IF(AND($M773&lt;&gt;"",$N773="VCA",$Q773="LINEAR"),$M773,IF(AND($M773&lt;&gt;"",$N773="MND",$Q773="EMBOQUE"),$AN773*2,0))</f>
        <v>6.05</v>
      </c>
      <c r="BJ773" s="153" t="n">
        <f aca="false">IF(AND($M773&lt;&gt;"",$N773="VCA",$Q773="LINEAR"),($M773*6.8)/100,IF(AND($M773&lt;&gt;"",$N773="MND",$Q773="EMBOQUE"),($AN773*2*6.8)/100,0))</f>
        <v>0.4114</v>
      </c>
      <c r="BK773" s="153" t="n">
        <f aca="false">IF(AND($M773&lt;&gt;"",$N773="VCA",$Q773="LINEAR"),($M773*2.5)/50,IF(AND($M773&lt;&gt;"",$N773="MND",$Q773="EMBOQUE"),($AN773*2*2.5)/50,0))</f>
        <v>0.3025</v>
      </c>
      <c r="BL773" s="157" t="str">
        <f aca="false">K773&amp;J773</f>
        <v>Zona07REDES</v>
      </c>
      <c r="BM773" s="152" t="s">
        <v>4225</v>
      </c>
      <c r="BN773" s="152" t="s">
        <v>1560</v>
      </c>
      <c r="BO773" s="152" t="s">
        <v>4454</v>
      </c>
      <c r="BP773" s="152" t="s">
        <v>4476</v>
      </c>
      <c r="BQ773" s="152" t="s">
        <v>4491</v>
      </c>
      <c r="BR773" s="152" t="s">
        <v>4492</v>
      </c>
      <c r="BS773" s="152" t="n">
        <v>203661.155</v>
      </c>
      <c r="BT773" s="152" t="n">
        <v>8236521.087</v>
      </c>
      <c r="BU773" s="152" t="n">
        <v>203657.615</v>
      </c>
      <c r="BV773" s="152" t="n">
        <v>8236516.189</v>
      </c>
      <c r="BW773" s="152" t="n">
        <v>-15.9329198</v>
      </c>
      <c r="BX773" s="152" t="n">
        <v>-47.7679131</v>
      </c>
      <c r="BY773" s="152" t="s">
        <v>4476</v>
      </c>
    </row>
    <row r="774" customFormat="false" ht="13.8" hidden="false" customHeight="false" outlineLevel="0" collapsed="false">
      <c r="A774" s="149" t="n">
        <f aca="false">IF(C774&lt;&gt;"",ROW(A769),"")</f>
        <v>769</v>
      </c>
      <c r="B774" s="150" t="str">
        <f aca="false">HYPERLINK("https://www.google.com/maps/dir/-15.917302,-47.760003/-15.9332313,-47.7682073/data=!4m3!4m2!3e0!5i2")</f>
        <v>https://www.google.com/maps/dir/-15.917302,-47.760003/-15.9332313,-47.7682073/data=!4m3!4m2!3e0!5i2</v>
      </c>
      <c r="C774" s="151" t="s">
        <v>117</v>
      </c>
      <c r="D774" s="152" t="s">
        <v>112</v>
      </c>
      <c r="E774" s="152" t="s">
        <v>113</v>
      </c>
      <c r="F774" s="152" t="s">
        <v>117</v>
      </c>
      <c r="G774" s="152" t="s">
        <v>782</v>
      </c>
      <c r="H774" s="152" t="n">
        <v>110</v>
      </c>
      <c r="I774" s="152" t="s">
        <v>115</v>
      </c>
      <c r="J774" s="152" t="s">
        <v>6</v>
      </c>
      <c r="K774" s="152" t="s">
        <v>4221</v>
      </c>
      <c r="L774" s="152" t="s">
        <v>120</v>
      </c>
      <c r="M774" s="153" t="n">
        <f aca="false">42.39</f>
        <v>42.39</v>
      </c>
      <c r="N774" s="152" t="s">
        <v>1548</v>
      </c>
      <c r="O774" s="152" t="s">
        <v>1549</v>
      </c>
      <c r="P774" s="152" t="s">
        <v>1550</v>
      </c>
      <c r="Q774" s="152" t="s">
        <v>1551</v>
      </c>
      <c r="R774" s="154" t="s">
        <v>4493</v>
      </c>
      <c r="S774" s="154" t="s">
        <v>1593</v>
      </c>
      <c r="T774" s="155" t="s">
        <v>4451</v>
      </c>
      <c r="U774" s="152" t="str">
        <f aca="false">RIGHT(T774,7)</f>
        <v>018/037</v>
      </c>
      <c r="V774" s="152" t="s">
        <v>1555</v>
      </c>
      <c r="W774" s="156" t="n">
        <v>45882</v>
      </c>
      <c r="X774" s="152" t="s">
        <v>1594</v>
      </c>
      <c r="Y774" s="152" t="s">
        <v>4452</v>
      </c>
      <c r="Z774" s="152" t="s">
        <v>1557</v>
      </c>
      <c r="AA774" s="153" t="n">
        <v>4.1</v>
      </c>
      <c r="AB774" s="151" t="s">
        <v>4494</v>
      </c>
      <c r="AC774" s="151" t="s">
        <v>502</v>
      </c>
      <c r="AD774" s="151" t="str">
        <f aca="false">CONCATENATE($C774,$I774,$H774,$N774,$J774,$K774)</f>
        <v>TUBO PEADPEAD110VCAREDESZona07</v>
      </c>
      <c r="AE774" s="153" t="n">
        <f aca="false">IFERROR(INDEX(APOIO_REDES!$A:$W,MATCH($C774&amp;$I774&amp;$H774&amp;$N774&amp;$O774,APOIO_REDES!$W:$W,0),MATCH(AE$5,APOIO_REDES!$5:$5,0)),0)</f>
        <v>1.2</v>
      </c>
      <c r="AF774" s="153" t="n">
        <f aca="false">IFERROR(INDEX(APOIO_REDES!$A:$W,MATCH($C774&amp;$I774&amp;$H774&amp;$N774&amp;$O774,APOIO_REDES!$W:$W,0),MATCH(AF$5,APOIO_REDES!$5:$5,0)),0)</f>
        <v>1.41</v>
      </c>
      <c r="AG774" s="153" t="n">
        <f aca="false">IFERROR(INDEX(APOIO_REDES!$A:$W,MATCH($C774&amp;$I774&amp;$H774&amp;$N774&amp;$O774,APOIO_REDES!$W:$W,0),MATCH(AG$5,APOIO_REDES!$5:$5,0)),0)</f>
        <v>0.75</v>
      </c>
      <c r="AH774" s="153" t="n">
        <f aca="false">IFERROR(INDEX(APOIO_REDES!$A:$W,MATCH($C774&amp;$I774&amp;$H774&amp;$N774&amp;$O774,APOIO_REDES!$W:$W,0),MATCH(AH$5,APOIO_REDES!$5:$5,0)),0)</f>
        <v>0.1</v>
      </c>
      <c r="AI774" s="153" t="n">
        <f aca="false">IFERROR(IF($H774&lt;&gt;"",(((($H774/1000)/2)^2)*PI()*$M774),0),0)</f>
        <v>0.402845640571656</v>
      </c>
      <c r="AJ774" s="153" t="n">
        <f aca="false">IFERROR(IF(AND($H774&lt;&gt;"",$I774="FoFo",OR($N774="MND",$N774="VCA"),$Q774="LINEAR"),0,IF(AND($H774&lt;&gt;"",$I774="PEAD",$N774="VCA",$Q774="LINEAR"),($H774/1000)+0.3,IF(AND($H774&lt;&gt;"",$I774="PEAD",$N774="MND",$Q774="EMBOQUE"),0,IF(AND($H774&lt;&gt;"",$I774="PVC",$N774="VCA",$Q774="LINEAR"),($H774/1000)+0.2,IF(AND($H774&lt;&gt;"",$I774="PVC",$N774="MND",$Q774="EMBOQUE"),0,IF(AND($H774&lt;&gt;"",$I774="PEAD",$N774="VCA",$Q774="PREDIAL"),0,0)))))),0)</f>
        <v>0.41</v>
      </c>
      <c r="AK774" s="153" t="n">
        <f aca="false">IF(AA774&lt;&gt;"",AA774,0)</f>
        <v>4.1</v>
      </c>
      <c r="AL774" s="153" t="n">
        <f aca="false">IF(AND($N774="MND",$Q774="EMBOQUE"),$M774,IF(AND($N774="VCA",$Q774="LINEAR"),$M774,IF(AND($N774="VCA",$Q774="PREDIAL"),0,0)))</f>
        <v>42.39</v>
      </c>
      <c r="AM774" s="153" t="n">
        <f aca="false">IF(AND($N774="MND",$Q774="EMBOQUE"),$M774,IF(AND($N774="VCA",$Q774="LINEAR"),$M774,IF(AND($N774="VCA",$Q774="PREDIAL"),0,0)))</f>
        <v>42.39</v>
      </c>
      <c r="AN774" s="153" t="n">
        <f aca="false">ROUND(IF(AND($N774="VCA",$M774&lt;&gt;"",$Q774="LINEAR"),$M774/100,IF(AND($N774="MND",$M774&gt;100,$Q774="EMBOQUE"),$M774/100,0)),0)</f>
        <v>0</v>
      </c>
      <c r="AO774" s="153" t="n">
        <f aca="false">IF(AND($N774="MND",$Q774="EMBOQUE"),$AN774*2*2,IF(AND($N774="VCA",$Q774="LINEAR"),$M774*2,IF(AND($N774="VCA",$Q774="PREDIAL"),0,0)))</f>
        <v>84.78</v>
      </c>
      <c r="AP774" s="153" t="n">
        <f aca="false">IFERROR($M774*$AF774*$AG774,0)</f>
        <v>44.827425</v>
      </c>
      <c r="AQ774" s="153" t="n">
        <f aca="false">IFERROR(IF(AND($N774="VCA",$AH774&gt;0),$M774*$AG774*$AH774,0),0)</f>
        <v>3.17925</v>
      </c>
      <c r="AR774" s="153" t="n">
        <f aca="false">IFERROR(IF(AND($N774="VCA",$AJ774&gt;0),($M774*$AG774*$AJ774)-$AI774,0),0)</f>
        <v>12.6320793594283</v>
      </c>
      <c r="AS774" s="153" t="n">
        <f aca="false">IFERROR(IF(AND($N774="VCA",$AP774&gt;0),$AP774-$AI774-$AQ774-$AR774,0),0)</f>
        <v>28.61325</v>
      </c>
      <c r="AT774" s="153" t="n">
        <f aca="false">IFERROR(IF($N774="VCA",INDEX(APOIO_REDES!$A:$W,MATCH($C774&amp;$I774&amp;$H774&amp;$N774&amp;$O774,APOIO_REDES!$W:$W,0),MATCH(AT$5,APOIO_REDES!$5:$5,0)),0)*$AP774,0)</f>
        <v>0.487735652240524</v>
      </c>
      <c r="AU774" s="153" t="n">
        <f aca="false">IFERROR(IF($N774="VCA",INDEX(APOIO_REDES!$A:$W,MATCH($C774&amp;$I774&amp;$H774&amp;$N774&amp;$O774,APOIO_REDES!$W:$W,0),MATCH(AU$5,APOIO_REDES!$5:$5,0)),0)*$AP774,0)</f>
        <v>0.389492482322577</v>
      </c>
      <c r="AV774" s="153" t="n">
        <f aca="false">IFERROR(IF($N774="VCA",INDEX(APOIO_REDES!$A:$W,MATCH($C774&amp;$I774&amp;$H774&amp;$N774&amp;$O774,APOIO_REDES!$W:$W,0),MATCH(AV$5,APOIO_REDES!$5:$5,0)),0)*$AP774,0)</f>
        <v>0.0539027019175745</v>
      </c>
      <c r="AW774" s="153" t="n">
        <f aca="false">IFERROR(IF($N774="VCA",INDEX(APOIO_REDES!$A:$W,MATCH($C774&amp;$I774&amp;$H774&amp;$N774&amp;$O774,APOIO_REDES!$W:$W,0),MATCH(AW$5,APOIO_REDES!$5:$5,0)),0)*$AP774,0)</f>
        <v>30.7698918598383</v>
      </c>
      <c r="AX774" s="153" t="n">
        <f aca="false">IFERROR(IF($N774="VCA",INDEX(APOIO_REDES!$A:$W,MATCH($C774&amp;$I774&amp;$H774&amp;$N774&amp;$O774,APOIO_REDES!$W:$W,0),MATCH(AX$5,APOIO_REDES!$5:$5,0)),0)*$AP774,0)</f>
        <v>4.25846538370554</v>
      </c>
      <c r="AY774" s="153" t="n">
        <f aca="false">IFERROR(IF($N774="VCA",INDEX(APOIO_REDES!$A:$W,MATCH($C774&amp;$I774&amp;$H774&amp;$N774&amp;$O774,APOIO_REDES!$W:$W,0),MATCH(AY$5,APOIO_REDES!$5:$5,0)),0)*$AP774,0)</f>
        <v>7.78984489856976</v>
      </c>
      <c r="AZ774" s="153" t="n">
        <f aca="false">IFERROR(IF($N774="VCA",INDEX(APOIO_REDES!$A:$W,MATCH($C774&amp;$I774&amp;$H774&amp;$N774&amp;$O774,APOIO_REDES!$W:$W,0),MATCH(AZ$5,APOIO_REDES!$5:$5,0)),0)*$AP774,0)</f>
        <v>1.07809202140578</v>
      </c>
      <c r="BA774" s="153" t="n">
        <f aca="false">IFERROR(IF(AND($N774="VCA",$Q774="LINEAR"),INDEX(APOIO_REDES!$A:$W,MATCH($C774&amp;$I774&amp;$H774&amp;$N774&amp;$O774,APOIO_REDES!$W:$W,0),MATCH(BA$5,APOIO_REDES!$5:$5,0)),IF(AND($N774="MND",$Q774="EMBOQUE"),INDEX(APOIO_REDES!$A:$W,MATCH($C774&amp;$I774&amp;$H774&amp;$N774&amp;$O774,APOIO_REDES!$W:$W,0),MATCH(BA$5,APOIO_REDES!$5:$5,0)),0))*$M774/10,0)</f>
        <v>3.41652707460689</v>
      </c>
      <c r="BB774" s="153" t="n">
        <f aca="false">IFERROR(IF($N774="VCA",INDEX(APOIO_REDES!$A:$W,MATCH($C774&amp;$I774&amp;$H774&amp;$N774&amp;$O774,APOIO_REDES!$W:$W,0),MATCH(BB$5,APOIO_REDES!$5:$5,0)),0)*($AI774+$AQ774+$AR774),0)</f>
        <v>16.0377599768492</v>
      </c>
      <c r="BC774" s="153" t="n">
        <f aca="false">IFERROR(IF($N774="VCA",INDEX(APOIO_REDES!$A:$W,MATCH($C774&amp;$I774&amp;$H774&amp;$N774&amp;$O774,APOIO_REDES!$W:$W,0),MATCH(BC$5,APOIO_REDES!$5:$5,0)),0)*($AI774+$AQ774+$AR774),0)</f>
        <v>0.176415023150828</v>
      </c>
      <c r="BD774" s="153" t="n">
        <f aca="false">IF(AND($N774="VCA",$AF774&gt;=1.25,$AF774&lt;1.5),$M774*$AF774*2,0)</f>
        <v>119.5398</v>
      </c>
      <c r="BE774" s="153" t="n">
        <f aca="false">IF(AND($N774="VCA",$AF774&gt;=1.5,$AF774&lt;3),$M774*$AF774*2,0)</f>
        <v>0</v>
      </c>
      <c r="BF774" s="153" t="n">
        <f aca="false">IF(AND($N774="VCA",$AF774&gt;=3),$M774*$AF774*2,0)</f>
        <v>0</v>
      </c>
      <c r="BG774" s="153" t="n">
        <f aca="false">($BB774+$BC774)*$AK774</f>
        <v>66.4781175</v>
      </c>
      <c r="BH774" s="153" t="n">
        <f aca="false">IF(AND($M774&lt;&gt;"",$N774="VCA",$Q774="LINEAR"),($M774*2)/100,IF(AND($M774&lt;&gt;"",$N774="MND",$Q774="EMBOQUE"),($AN774*2)/100,0))</f>
        <v>0.8478</v>
      </c>
      <c r="BI774" s="153" t="n">
        <f aca="false">IF(AND($M774&lt;&gt;"",$N774="VCA",$Q774="LINEAR"),$M774,IF(AND($M774&lt;&gt;"",$N774="MND",$Q774="EMBOQUE"),$AN774*2,0))</f>
        <v>42.39</v>
      </c>
      <c r="BJ774" s="153" t="n">
        <f aca="false">IF(AND($M774&lt;&gt;"",$N774="VCA",$Q774="LINEAR"),($M774*6.8)/100,IF(AND($M774&lt;&gt;"",$N774="MND",$Q774="EMBOQUE"),($AN774*2*6.8)/100,0))</f>
        <v>2.88252</v>
      </c>
      <c r="BK774" s="153" t="n">
        <f aca="false">IF(AND($M774&lt;&gt;"",$N774="VCA",$Q774="LINEAR"),($M774*2.5)/50,IF(AND($M774&lt;&gt;"",$N774="MND",$Q774="EMBOQUE"),($AN774*2*2.5)/50,0))</f>
        <v>2.1195</v>
      </c>
      <c r="BL774" s="157" t="str">
        <f aca="false">K774&amp;J774</f>
        <v>Zona07REDES</v>
      </c>
      <c r="BM774" s="152" t="s">
        <v>4225</v>
      </c>
      <c r="BN774" s="152" t="s">
        <v>1560</v>
      </c>
      <c r="BO774" s="152" t="s">
        <v>4454</v>
      </c>
      <c r="BP774" s="152" t="s">
        <v>4456</v>
      </c>
      <c r="BQ774" s="152" t="s">
        <v>4491</v>
      </c>
      <c r="BR774" s="152" t="s">
        <v>4495</v>
      </c>
      <c r="BS774" s="152" t="n">
        <v>203628.44</v>
      </c>
      <c r="BT774" s="152" t="n">
        <v>8236483.626</v>
      </c>
      <c r="BU774" s="152" t="n">
        <v>203656.736</v>
      </c>
      <c r="BV774" s="152" t="n">
        <v>8236515.145</v>
      </c>
      <c r="BW774" s="152" t="n">
        <v>-15.9330943</v>
      </c>
      <c r="BX774" s="152" t="n">
        <v>-47.7680694</v>
      </c>
      <c r="BY774" s="152" t="s">
        <v>4456</v>
      </c>
    </row>
    <row r="775" customFormat="false" ht="13.8" hidden="false" customHeight="false" outlineLevel="0" collapsed="false">
      <c r="A775" s="149" t="n">
        <f aca="false">IF(C775&lt;&gt;"",ROW(A770),"")</f>
        <v>770</v>
      </c>
      <c r="B775" s="150" t="str">
        <f aca="false">HYPERLINK("https://www.google.com/maps/dir/-15.917302,-47.760003/-15.9336123,-47.7667991/data=!4m3!4m2!3e0!5i2")</f>
        <v>https://www.google.com/maps/dir/-15.917302,-47.760003/-15.9336123,-47.7667991/data=!4m3!4m2!3e0!5i2</v>
      </c>
      <c r="C775" s="151" t="s">
        <v>117</v>
      </c>
      <c r="D775" s="152" t="s">
        <v>112</v>
      </c>
      <c r="E775" s="152" t="s">
        <v>113</v>
      </c>
      <c r="F775" s="152" t="s">
        <v>117</v>
      </c>
      <c r="G775" s="152" t="s">
        <v>782</v>
      </c>
      <c r="H775" s="152" t="n">
        <v>63</v>
      </c>
      <c r="I775" s="152" t="s">
        <v>115</v>
      </c>
      <c r="J775" s="152" t="s">
        <v>6</v>
      </c>
      <c r="K775" s="152" t="s">
        <v>4221</v>
      </c>
      <c r="L775" s="152" t="s">
        <v>120</v>
      </c>
      <c r="M775" s="153" t="n">
        <f aca="false">117.59+4</f>
        <v>121.59</v>
      </c>
      <c r="N775" s="152" t="s">
        <v>1548</v>
      </c>
      <c r="O775" s="152" t="s">
        <v>1549</v>
      </c>
      <c r="P775" s="152" t="s">
        <v>1550</v>
      </c>
      <c r="Q775" s="152" t="s">
        <v>1551</v>
      </c>
      <c r="R775" s="154" t="s">
        <v>4496</v>
      </c>
      <c r="S775" s="154" t="s">
        <v>1553</v>
      </c>
      <c r="T775" s="155" t="s">
        <v>4451</v>
      </c>
      <c r="U775" s="152" t="str">
        <f aca="false">RIGHT(T775,7)</f>
        <v>018/037</v>
      </c>
      <c r="V775" s="152" t="s">
        <v>1555</v>
      </c>
      <c r="W775" s="156" t="n">
        <v>45882</v>
      </c>
      <c r="X775" s="152" t="s">
        <v>1594</v>
      </c>
      <c r="Y775" s="152" t="s">
        <v>4278</v>
      </c>
      <c r="Z775" s="152" t="s">
        <v>1557</v>
      </c>
      <c r="AA775" s="153" t="n">
        <v>4</v>
      </c>
      <c r="AB775" s="151" t="s">
        <v>4497</v>
      </c>
      <c r="AC775" s="151" t="s">
        <v>186</v>
      </c>
      <c r="AD775" s="151" t="str">
        <f aca="false">CONCATENATE($C775,$I775,$H775,$N775,$J775,$K775)</f>
        <v>TUBO PEADPEAD63VCAREDESZona07</v>
      </c>
      <c r="AE775" s="153" t="n">
        <f aca="false">IFERROR(INDEX(APOIO_REDES!$A:$W,MATCH($C775&amp;$I775&amp;$H775&amp;$N775&amp;$O775,APOIO_REDES!$W:$W,0),MATCH(AE$5,APOIO_REDES!$5:$5,0)),0)</f>
        <v>1.2</v>
      </c>
      <c r="AF775" s="153" t="n">
        <f aca="false">IFERROR(INDEX(APOIO_REDES!$A:$W,MATCH($C775&amp;$I775&amp;$H775&amp;$N775&amp;$O775,APOIO_REDES!$W:$W,0),MATCH(AF$5,APOIO_REDES!$5:$5,0)),0)</f>
        <v>1.363</v>
      </c>
      <c r="AG775" s="153" t="n">
        <f aca="false">IFERROR(INDEX(APOIO_REDES!$A:$W,MATCH($C775&amp;$I775&amp;$H775&amp;$N775&amp;$O775,APOIO_REDES!$W:$W,0),MATCH(AG$5,APOIO_REDES!$5:$5,0)),0)</f>
        <v>0.65</v>
      </c>
      <c r="AH775" s="153" t="n">
        <f aca="false">IFERROR(INDEX(APOIO_REDES!$A:$W,MATCH($C775&amp;$I775&amp;$H775&amp;$N775&amp;$O775,APOIO_REDES!$W:$W,0),MATCH(AH$5,APOIO_REDES!$5:$5,0)),0)</f>
        <v>0.1</v>
      </c>
      <c r="AI775" s="153" t="n">
        <f aca="false">IFERROR(IF($H775&lt;&gt;"",(((($H775/1000)/2)^2)*PI()*$M775),0),0)</f>
        <v>0.379025857306671</v>
      </c>
      <c r="AJ775" s="153" t="n">
        <f aca="false">IFERROR(IF(AND($H775&lt;&gt;"",$I775="FoFo",OR($N775="MND",$N775="VCA"),$Q775="LINEAR"),0,IF(AND($H775&lt;&gt;"",$I775="PEAD",$N775="VCA",$Q775="LINEAR"),($H775/1000)+0.3,IF(AND($H775&lt;&gt;"",$I775="PEAD",$N775="MND",$Q775="EMBOQUE"),0,IF(AND($H775&lt;&gt;"",$I775="PVC",$N775="VCA",$Q775="LINEAR"),($H775/1000)+0.2,IF(AND($H775&lt;&gt;"",$I775="PVC",$N775="MND",$Q775="EMBOQUE"),0,IF(AND($H775&lt;&gt;"",$I775="PEAD",$N775="VCA",$Q775="PREDIAL"),0,0)))))),0)</f>
        <v>0.363</v>
      </c>
      <c r="AK775" s="153" t="n">
        <f aca="false">IF(AA775&lt;&gt;"",AA775,0)</f>
        <v>4</v>
      </c>
      <c r="AL775" s="153" t="n">
        <f aca="false">IF(AND($N775="MND",$Q775="EMBOQUE"),$M775,IF(AND($N775="VCA",$Q775="LINEAR"),$M775,IF(AND($N775="VCA",$Q775="PREDIAL"),0,0)))</f>
        <v>121.59</v>
      </c>
      <c r="AM775" s="153" t="n">
        <f aca="false">IF(AND($N775="MND",$Q775="EMBOQUE"),$M775,IF(AND($N775="VCA",$Q775="LINEAR"),$M775,IF(AND($N775="VCA",$Q775="PREDIAL"),0,0)))</f>
        <v>121.59</v>
      </c>
      <c r="AN775" s="153" t="n">
        <f aca="false">ROUND(IF(AND($N775="VCA",$M775&lt;&gt;"",$Q775="LINEAR"),$M775/100,IF(AND($N775="MND",$M775&gt;100,$Q775="EMBOQUE"),$M775/100,0)),0)</f>
        <v>1</v>
      </c>
      <c r="AO775" s="153" t="n">
        <f aca="false">IF(AND($N775="MND",$Q775="EMBOQUE"),$AN775*2*2,IF(AND($N775="VCA",$Q775="LINEAR"),$M775*2,IF(AND($N775="VCA",$Q775="PREDIAL"),0,0)))</f>
        <v>243.18</v>
      </c>
      <c r="AP775" s="153" t="n">
        <f aca="false">IFERROR($M775*$AF775*$AG775,0)</f>
        <v>107.7226605</v>
      </c>
      <c r="AQ775" s="153" t="n">
        <f aca="false">IFERROR(IF(AND($N775="VCA",$AH775&gt;0),$M775*$AG775*$AH775,0),0)</f>
        <v>7.90335</v>
      </c>
      <c r="AR775" s="153" t="n">
        <f aca="false">IFERROR(IF(AND($N775="VCA",$AJ775&gt;0),($M775*$AG775*$AJ775)-$AI775,0),0)</f>
        <v>28.3101346426933</v>
      </c>
      <c r="AS775" s="153" t="n">
        <f aca="false">IFERROR(IF(AND($N775="VCA",$AP775&gt;0),$AP775-$AI775-$AQ775-$AR775,0),0)</f>
        <v>71.13015</v>
      </c>
      <c r="AT775" s="153" t="n">
        <f aca="false">IFERROR(IF($N775="VCA",INDEX(APOIO_REDES!$A:$W,MATCH($C775&amp;$I775&amp;$H775&amp;$N775&amp;$O775,APOIO_REDES!$W:$W,0),MATCH(AT$5,APOIO_REDES!$5:$5,0)),0)*$AP775,0)</f>
        <v>1.17205443051998</v>
      </c>
      <c r="AU775" s="153" t="n">
        <f aca="false">IFERROR(IF($N775="VCA",INDEX(APOIO_REDES!$A:$W,MATCH($C775&amp;$I775&amp;$H775&amp;$N775&amp;$O775,APOIO_REDES!$W:$W,0),MATCH(AU$5,APOIO_REDES!$5:$5,0)),0)*$AP775,0)</f>
        <v>0.93597092495358</v>
      </c>
      <c r="AV775" s="153" t="n">
        <f aca="false">IFERROR(IF($N775="VCA",INDEX(APOIO_REDES!$A:$W,MATCH($C775&amp;$I775&amp;$H775&amp;$N775&amp;$O775,APOIO_REDES!$W:$W,0),MATCH(AV$5,APOIO_REDES!$5:$5,0)),0)*$AP775,0)</f>
        <v>0.129531028353727</v>
      </c>
      <c r="AW775" s="153" t="n">
        <f aca="false">IFERROR(IF($N775="VCA",INDEX(APOIO_REDES!$A:$W,MATCH($C775&amp;$I775&amp;$H775&amp;$N775&amp;$O775,APOIO_REDES!$W:$W,0),MATCH(AW$5,APOIO_REDES!$5:$5,0)),0)*$AP775,0)</f>
        <v>73.9416688431037</v>
      </c>
      <c r="AX775" s="153" t="n">
        <f aca="false">IFERROR(IF($N775="VCA",INDEX(APOIO_REDES!$A:$W,MATCH($C775&amp;$I775&amp;$H775&amp;$N775&amp;$O775,APOIO_REDES!$W:$W,0),MATCH(AX$5,APOIO_REDES!$5:$5,0)),0)*$AP775,0)</f>
        <v>10.2333163410549</v>
      </c>
      <c r="AY775" s="153" t="n">
        <f aca="false">IFERROR(IF($N775="VCA",INDEX(APOIO_REDES!$A:$W,MATCH($C775&amp;$I775&amp;$H775&amp;$N775&amp;$O775,APOIO_REDES!$W:$W,0),MATCH(AY$5,APOIO_REDES!$5:$5,0)),0)*$AP775,0)</f>
        <v>18.7194070896619</v>
      </c>
      <c r="AZ775" s="153" t="n">
        <f aca="false">IFERROR(IF($N775="VCA",INDEX(APOIO_REDES!$A:$W,MATCH($C775&amp;$I775&amp;$H775&amp;$N775&amp;$O775,APOIO_REDES!$W:$W,0),MATCH(AZ$5,APOIO_REDES!$5:$5,0)),0)*$AP775,0)</f>
        <v>2.59071184235216</v>
      </c>
      <c r="BA775" s="153" t="n">
        <f aca="false">IFERROR(IF(AND($N775="VCA",$Q775="LINEAR"),INDEX(APOIO_REDES!$A:$W,MATCH($C775&amp;$I775&amp;$H775&amp;$N775&amp;$O775,APOIO_REDES!$W:$W,0),MATCH(BA$5,APOIO_REDES!$5:$5,0)),IF(AND($N775="MND",$Q775="EMBOQUE"),INDEX(APOIO_REDES!$A:$W,MATCH($C775&amp;$I775&amp;$H775&amp;$N775&amp;$O775,APOIO_REDES!$W:$W,0),MATCH(BA$5,APOIO_REDES!$5:$5,0)),0))*$M775/10,0)</f>
        <v>9.79984729892549</v>
      </c>
      <c r="BB775" s="153" t="n">
        <f aca="false">IFERROR(IF($N775="VCA",INDEX(APOIO_REDES!$A:$W,MATCH($C775&amp;$I775&amp;$H775&amp;$N775&amp;$O775,APOIO_REDES!$W:$W,0),MATCH(BB$5,APOIO_REDES!$5:$5,0)),0)*($AI775+$AQ775+$AR775),0)</f>
        <v>36.1943731549298</v>
      </c>
      <c r="BC775" s="153" t="n">
        <f aca="false">IFERROR(IF($N775="VCA",INDEX(APOIO_REDES!$A:$W,MATCH($C775&amp;$I775&amp;$H775&amp;$N775&amp;$O775,APOIO_REDES!$W:$W,0),MATCH(BC$5,APOIO_REDES!$5:$5,0)),0)*($AI775+$AQ775+$AR775),0)</f>
        <v>0.39813734507025</v>
      </c>
      <c r="BD775" s="153" t="n">
        <f aca="false">IF(AND($N775="VCA",$AF775&gt;=1.25,$AF775&lt;1.5),$M775*$AF775*2,0)</f>
        <v>331.45434</v>
      </c>
      <c r="BE775" s="153" t="n">
        <f aca="false">IF(AND($N775="VCA",$AF775&gt;=1.5,$AF775&lt;3),$M775*$AF775*2,0)</f>
        <v>0</v>
      </c>
      <c r="BF775" s="153" t="n">
        <f aca="false">IF(AND($N775="VCA",$AF775&gt;=3),$M775*$AF775*2,0)</f>
        <v>0</v>
      </c>
      <c r="BG775" s="153" t="n">
        <f aca="false">($BB775+$BC775)*$AK775</f>
        <v>146.370042</v>
      </c>
      <c r="BH775" s="153" t="n">
        <f aca="false">IF(AND($M775&lt;&gt;"",$N775="VCA",$Q775="LINEAR"),($M775*2)/100,IF(AND($M775&lt;&gt;"",$N775="MND",$Q775="EMBOQUE"),($AN775*2)/100,0))</f>
        <v>2.4318</v>
      </c>
      <c r="BI775" s="153" t="n">
        <f aca="false">IF(AND($M775&lt;&gt;"",$N775="VCA",$Q775="LINEAR"),$M775,IF(AND($M775&lt;&gt;"",$N775="MND",$Q775="EMBOQUE"),$AN775*2,0))</f>
        <v>121.59</v>
      </c>
      <c r="BJ775" s="153" t="n">
        <f aca="false">IF(AND($M775&lt;&gt;"",$N775="VCA",$Q775="LINEAR"),($M775*6.8)/100,IF(AND($M775&lt;&gt;"",$N775="MND",$Q775="EMBOQUE"),($AN775*2*6.8)/100,0))</f>
        <v>8.26812</v>
      </c>
      <c r="BK775" s="153" t="n">
        <f aca="false">IF(AND($M775&lt;&gt;"",$N775="VCA",$Q775="LINEAR"),($M775*2.5)/50,IF(AND($M775&lt;&gt;"",$N775="MND",$Q775="EMBOQUE"),($AN775*2*2.5)/50,0))</f>
        <v>6.0795</v>
      </c>
      <c r="BL775" s="157" t="str">
        <f aca="false">K775&amp;J775</f>
        <v>Zona07REDES</v>
      </c>
      <c r="BM775" s="152" t="s">
        <v>4225</v>
      </c>
      <c r="BN775" s="152" t="s">
        <v>1560</v>
      </c>
      <c r="BO775" s="152" t="s">
        <v>4454</v>
      </c>
      <c r="BP775" s="152" t="s">
        <v>4498</v>
      </c>
      <c r="BQ775" s="152" t="s">
        <v>4499</v>
      </c>
      <c r="BR775" s="152" t="s">
        <v>4500</v>
      </c>
      <c r="BS775" s="152" t="n">
        <v>203779.828</v>
      </c>
      <c r="BT775" s="152" t="n">
        <v>8236443.493</v>
      </c>
      <c r="BU775" s="152" t="n">
        <v>203705.526</v>
      </c>
      <c r="BV775" s="152" t="n">
        <v>8236534.512</v>
      </c>
      <c r="BW775" s="152" t="n">
        <v>-15.933207</v>
      </c>
      <c r="BX775" s="152" t="n">
        <v>-47.7671535</v>
      </c>
      <c r="BY775" s="152" t="s">
        <v>4498</v>
      </c>
    </row>
    <row r="776" customFormat="false" ht="13.8" hidden="false" customHeight="false" outlineLevel="0" collapsed="false">
      <c r="A776" s="149" t="n">
        <f aca="false">IF(C776&lt;&gt;"",ROW(A771),"")</f>
        <v>771</v>
      </c>
      <c r="B776" s="150" t="str">
        <f aca="false">HYPERLINK("https://www.google.com/maps/dir/-15.917302,-47.760003/-15.9336123,-47.7667991/data=!4m3!4m2!3e0!5i2")</f>
        <v>https://www.google.com/maps/dir/-15.917302,-47.760003/-15.9336123,-47.7667991/data=!4m3!4m2!3e0!5i2</v>
      </c>
      <c r="C776" s="151" t="s">
        <v>117</v>
      </c>
      <c r="D776" s="152" t="s">
        <v>112</v>
      </c>
      <c r="E776" s="152" t="s">
        <v>113</v>
      </c>
      <c r="F776" s="152" t="s">
        <v>117</v>
      </c>
      <c r="G776" s="152" t="s">
        <v>782</v>
      </c>
      <c r="H776" s="152" t="n">
        <v>63</v>
      </c>
      <c r="I776" s="152" t="s">
        <v>115</v>
      </c>
      <c r="J776" s="152" t="s">
        <v>6</v>
      </c>
      <c r="K776" s="152" t="s">
        <v>4221</v>
      </c>
      <c r="L776" s="152" t="s">
        <v>120</v>
      </c>
      <c r="M776" s="153" t="n">
        <f aca="false">57.02</f>
        <v>57.02</v>
      </c>
      <c r="N776" s="152" t="s">
        <v>1548</v>
      </c>
      <c r="O776" s="152" t="s">
        <v>1549</v>
      </c>
      <c r="P776" s="152" t="s">
        <v>1550</v>
      </c>
      <c r="Q776" s="152" t="s">
        <v>1551</v>
      </c>
      <c r="R776" s="154" t="s">
        <v>4501</v>
      </c>
      <c r="S776" s="154" t="s">
        <v>1553</v>
      </c>
      <c r="T776" s="155" t="s">
        <v>4451</v>
      </c>
      <c r="U776" s="152" t="str">
        <f aca="false">RIGHT(T776,7)</f>
        <v>018/037</v>
      </c>
      <c r="V776" s="152" t="s">
        <v>1555</v>
      </c>
      <c r="W776" s="156" t="n">
        <v>45882</v>
      </c>
      <c r="X776" s="152" t="s">
        <v>1594</v>
      </c>
      <c r="Y776" s="152" t="s">
        <v>4278</v>
      </c>
      <c r="Z776" s="152" t="s">
        <v>1557</v>
      </c>
      <c r="AA776" s="153" t="n">
        <v>4</v>
      </c>
      <c r="AB776" s="151" t="s">
        <v>4502</v>
      </c>
      <c r="AC776" s="151" t="s">
        <v>186</v>
      </c>
      <c r="AD776" s="151" t="str">
        <f aca="false">CONCATENATE($C776,$I776,$H776,$N776,$J776,$K776)</f>
        <v>TUBO PEADPEAD63VCAREDESZona07</v>
      </c>
      <c r="AE776" s="153" t="n">
        <f aca="false">IFERROR(INDEX(APOIO_REDES!$A:$W,MATCH($C776&amp;$I776&amp;$H776&amp;$N776&amp;$O776,APOIO_REDES!$W:$W,0),MATCH(AE$5,APOIO_REDES!$5:$5,0)),0)</f>
        <v>1.2</v>
      </c>
      <c r="AF776" s="153" t="n">
        <f aca="false">IFERROR(INDEX(APOIO_REDES!$A:$W,MATCH($C776&amp;$I776&amp;$H776&amp;$N776&amp;$O776,APOIO_REDES!$W:$W,0),MATCH(AF$5,APOIO_REDES!$5:$5,0)),0)</f>
        <v>1.363</v>
      </c>
      <c r="AG776" s="153" t="n">
        <f aca="false">IFERROR(INDEX(APOIO_REDES!$A:$W,MATCH($C776&amp;$I776&amp;$H776&amp;$N776&amp;$O776,APOIO_REDES!$W:$W,0),MATCH(AG$5,APOIO_REDES!$5:$5,0)),0)</f>
        <v>0.65</v>
      </c>
      <c r="AH776" s="153" t="n">
        <f aca="false">IFERROR(INDEX(APOIO_REDES!$A:$W,MATCH($C776&amp;$I776&amp;$H776&amp;$N776&amp;$O776,APOIO_REDES!$W:$W,0),MATCH(AH$5,APOIO_REDES!$5:$5,0)),0)</f>
        <v>0.1</v>
      </c>
      <c r="AI776" s="153" t="n">
        <f aca="false">IFERROR(IF($H776&lt;&gt;"",(((($H776/1000)/2)^2)*PI()*$M776),0),0)</f>
        <v>0.177745327606105</v>
      </c>
      <c r="AJ776" s="153" t="n">
        <f aca="false">IFERROR(IF(AND($H776&lt;&gt;"",$I776="FoFo",OR($N776="MND",$N776="VCA"),$Q776="LINEAR"),0,IF(AND($H776&lt;&gt;"",$I776="PEAD",$N776="VCA",$Q776="LINEAR"),($H776/1000)+0.3,IF(AND($H776&lt;&gt;"",$I776="PEAD",$N776="MND",$Q776="EMBOQUE"),0,IF(AND($H776&lt;&gt;"",$I776="PVC",$N776="VCA",$Q776="LINEAR"),($H776/1000)+0.2,IF(AND($H776&lt;&gt;"",$I776="PVC",$N776="MND",$Q776="EMBOQUE"),0,IF(AND($H776&lt;&gt;"",$I776="PEAD",$N776="VCA",$Q776="PREDIAL"),0,0)))))),0)</f>
        <v>0.363</v>
      </c>
      <c r="AK776" s="153" t="n">
        <f aca="false">IF(AA776&lt;&gt;"",AA776,0)</f>
        <v>4</v>
      </c>
      <c r="AL776" s="153" t="n">
        <f aca="false">IF(AND($N776="MND",$Q776="EMBOQUE"),$M776,IF(AND($N776="VCA",$Q776="LINEAR"),$M776,IF(AND($N776="VCA",$Q776="PREDIAL"),0,0)))</f>
        <v>57.02</v>
      </c>
      <c r="AM776" s="153" t="n">
        <f aca="false">IF(AND($N776="MND",$Q776="EMBOQUE"),$M776,IF(AND($N776="VCA",$Q776="LINEAR"),$M776,IF(AND($N776="VCA",$Q776="PREDIAL"),0,0)))</f>
        <v>57.02</v>
      </c>
      <c r="AN776" s="153" t="n">
        <f aca="false">ROUND(IF(AND($N776="VCA",$M776&lt;&gt;"",$Q776="LINEAR"),$M776/100,IF(AND($N776="MND",$M776&gt;100,$Q776="EMBOQUE"),$M776/100,0)),0)</f>
        <v>1</v>
      </c>
      <c r="AO776" s="153" t="n">
        <f aca="false">IF(AND($N776="MND",$Q776="EMBOQUE"),$AN776*2*2,IF(AND($N776="VCA",$Q776="LINEAR"),$M776*2,IF(AND($N776="VCA",$Q776="PREDIAL"),0,0)))</f>
        <v>114.04</v>
      </c>
      <c r="AP776" s="153" t="n">
        <f aca="false">IFERROR($M776*$AF776*$AG776,0)</f>
        <v>50.516869</v>
      </c>
      <c r="AQ776" s="153" t="n">
        <f aca="false">IFERROR(IF(AND($N776="VCA",$AH776&gt;0),$M776*$AG776*$AH776,0),0)</f>
        <v>3.7063</v>
      </c>
      <c r="AR776" s="153" t="n">
        <f aca="false">IFERROR(IF(AND($N776="VCA",$AJ776&gt;0),($M776*$AG776*$AJ776)-$AI776,0),0)</f>
        <v>13.2761236723939</v>
      </c>
      <c r="AS776" s="153" t="n">
        <f aca="false">IFERROR(IF(AND($N776="VCA",$AP776&gt;0),$AP776-$AI776-$AQ776-$AR776,0),0)</f>
        <v>33.3567</v>
      </c>
      <c r="AT776" s="153" t="n">
        <f aca="false">IFERROR(IF($N776="VCA",INDEX(APOIO_REDES!$A:$W,MATCH($C776&amp;$I776&amp;$H776&amp;$N776&amp;$O776,APOIO_REDES!$W:$W,0),MATCH(AT$5,APOIO_REDES!$5:$5,0)),0)*$AP776,0)</f>
        <v>0.549638486949989</v>
      </c>
      <c r="AU776" s="153" t="n">
        <f aca="false">IFERROR(IF($N776="VCA",INDEX(APOIO_REDES!$A:$W,MATCH($C776&amp;$I776&amp;$H776&amp;$N776&amp;$O776,APOIO_REDES!$W:$W,0),MATCH(AU$5,APOIO_REDES!$5:$5,0)),0)*$AP776,0)</f>
        <v>0.438926409580172</v>
      </c>
      <c r="AV776" s="153" t="n">
        <f aca="false">IFERROR(IF($N776="VCA",INDEX(APOIO_REDES!$A:$W,MATCH($C776&amp;$I776&amp;$H776&amp;$N776&amp;$O776,APOIO_REDES!$W:$W,0),MATCH(AV$5,APOIO_REDES!$5:$5,0)),0)*$AP776,0)</f>
        <v>0.0607439693784811</v>
      </c>
      <c r="AW776" s="153" t="n">
        <f aca="false">IFERROR(IF($N776="VCA",INDEX(APOIO_REDES!$A:$W,MATCH($C776&amp;$I776&amp;$H776&amp;$N776&amp;$O776,APOIO_REDES!$W:$W,0),MATCH(AW$5,APOIO_REDES!$5:$5,0)),0)*$AP776,0)</f>
        <v>34.6751703054016</v>
      </c>
      <c r="AX776" s="153" t="n">
        <f aca="false">IFERROR(IF($N776="VCA",INDEX(APOIO_REDES!$A:$W,MATCH($C776&amp;$I776&amp;$H776&amp;$N776&amp;$O776,APOIO_REDES!$W:$W,0),MATCH(AX$5,APOIO_REDES!$5:$5,0)),0)*$AP776,0)</f>
        <v>4.79894479617527</v>
      </c>
      <c r="AY776" s="153" t="n">
        <f aca="false">IFERROR(IF($N776="VCA",INDEX(APOIO_REDES!$A:$W,MATCH($C776&amp;$I776&amp;$H776&amp;$N776&amp;$O776,APOIO_REDES!$W:$W,0),MATCH(AY$5,APOIO_REDES!$5:$5,0)),0)*$AP776,0)</f>
        <v>8.77852284112609</v>
      </c>
      <c r="AZ776" s="153" t="n">
        <f aca="false">IFERROR(IF($N776="VCA",INDEX(APOIO_REDES!$A:$W,MATCH($C776&amp;$I776&amp;$H776&amp;$N776&amp;$O776,APOIO_REDES!$W:$W,0),MATCH(AZ$5,APOIO_REDES!$5:$5,0)),0)*$AP776,0)</f>
        <v>1.21492219138844</v>
      </c>
      <c r="BA776" s="153" t="n">
        <f aca="false">IFERROR(IF(AND($N776="VCA",$Q776="LINEAR"),INDEX(APOIO_REDES!$A:$W,MATCH($C776&amp;$I776&amp;$H776&amp;$N776&amp;$O776,APOIO_REDES!$W:$W,0),MATCH(BA$5,APOIO_REDES!$5:$5,0)),IF(AND($N776="MND",$Q776="EMBOQUE"),INDEX(APOIO_REDES!$A:$W,MATCH($C776&amp;$I776&amp;$H776&amp;$N776&amp;$O776,APOIO_REDES!$W:$W,0),MATCH(BA$5,APOIO_REDES!$5:$5,0)),0))*$M776/10,0)</f>
        <v>4.59566817159907</v>
      </c>
      <c r="BB776" s="153" t="n">
        <f aca="false">IFERROR(IF($N776="VCA",INDEX(APOIO_REDES!$A:$W,MATCH($C776&amp;$I776&amp;$H776&amp;$N776&amp;$O776,APOIO_REDES!$W:$W,0),MATCH(BB$5,APOIO_REDES!$5:$5,0)),0)*($AI776+$AQ776+$AR776),0)</f>
        <v>16.9734612821292</v>
      </c>
      <c r="BC776" s="153" t="n">
        <f aca="false">IFERROR(IF($N776="VCA",INDEX(APOIO_REDES!$A:$W,MATCH($C776&amp;$I776&amp;$H776&amp;$N776&amp;$O776,APOIO_REDES!$W:$W,0),MATCH(BC$5,APOIO_REDES!$5:$5,0)),0)*($AI776+$AQ776+$AR776),0)</f>
        <v>0.186707717870759</v>
      </c>
      <c r="BD776" s="153" t="n">
        <f aca="false">IF(AND($N776="VCA",$AF776&gt;=1.25,$AF776&lt;1.5),$M776*$AF776*2,0)</f>
        <v>155.43652</v>
      </c>
      <c r="BE776" s="153" t="n">
        <f aca="false">IF(AND($N776="VCA",$AF776&gt;=1.5,$AF776&lt;3),$M776*$AF776*2,0)</f>
        <v>0</v>
      </c>
      <c r="BF776" s="153" t="n">
        <f aca="false">IF(AND($N776="VCA",$AF776&gt;=3),$M776*$AF776*2,0)</f>
        <v>0</v>
      </c>
      <c r="BG776" s="153" t="n">
        <f aca="false">($BB776+$BC776)*$AK776</f>
        <v>68.640676</v>
      </c>
      <c r="BH776" s="153" t="n">
        <f aca="false">IF(AND($M776&lt;&gt;"",$N776="VCA",$Q776="LINEAR"),($M776*2)/100,IF(AND($M776&lt;&gt;"",$N776="MND",$Q776="EMBOQUE"),($AN776*2)/100,0))</f>
        <v>1.1404</v>
      </c>
      <c r="BI776" s="153" t="n">
        <f aca="false">IF(AND($M776&lt;&gt;"",$N776="VCA",$Q776="LINEAR"),$M776,IF(AND($M776&lt;&gt;"",$N776="MND",$Q776="EMBOQUE"),$AN776*2,0))</f>
        <v>57.02</v>
      </c>
      <c r="BJ776" s="153" t="n">
        <f aca="false">IF(AND($M776&lt;&gt;"",$N776="VCA",$Q776="LINEAR"),($M776*6.8)/100,IF(AND($M776&lt;&gt;"",$N776="MND",$Q776="EMBOQUE"),($AN776*2*6.8)/100,0))</f>
        <v>3.87736</v>
      </c>
      <c r="BK776" s="153" t="n">
        <f aca="false">IF(AND($M776&lt;&gt;"",$N776="VCA",$Q776="LINEAR"),($M776*2.5)/50,IF(AND($M776&lt;&gt;"",$N776="MND",$Q776="EMBOQUE"),($AN776*2*2.5)/50,0))</f>
        <v>2.851</v>
      </c>
      <c r="BL776" s="157" t="str">
        <f aca="false">K776&amp;J776</f>
        <v>Zona07REDES</v>
      </c>
      <c r="BM776" s="152" t="s">
        <v>4225</v>
      </c>
      <c r="BN776" s="152" t="s">
        <v>1560</v>
      </c>
      <c r="BO776" s="152" t="s">
        <v>4454</v>
      </c>
      <c r="BP776" s="152" t="s">
        <v>4498</v>
      </c>
      <c r="BQ776" s="152" t="s">
        <v>4487</v>
      </c>
      <c r="BR776" s="152" t="s">
        <v>4503</v>
      </c>
      <c r="BS776" s="152" t="n">
        <v>203779.828</v>
      </c>
      <c r="BT776" s="152" t="n">
        <v>8236443.493</v>
      </c>
      <c r="BU776" s="152" t="n">
        <v>203818.151</v>
      </c>
      <c r="BV776" s="152" t="n">
        <v>8236485.644</v>
      </c>
      <c r="BW776" s="152" t="n">
        <v>-15.9334188</v>
      </c>
      <c r="BX776" s="152" t="n">
        <v>-47.7666237</v>
      </c>
      <c r="BY776" s="152" t="s">
        <v>4498</v>
      </c>
    </row>
    <row r="777" customFormat="false" ht="13.8" hidden="false" customHeight="false" outlineLevel="0" collapsed="false">
      <c r="A777" s="149" t="n">
        <f aca="false">IF(C777&lt;&gt;"",ROW(A772),"")</f>
        <v>772</v>
      </c>
      <c r="B777" s="150" t="str">
        <f aca="false">HYPERLINK("https://www.google.com/maps/dir/-15.917302,-47.760003/-15.9339322,-47.7670903/data=!4m3!4m2!3e0!5i1")</f>
        <v>https://www.google.com/maps/dir/-15.917302,-47.760003/-15.9339322,-47.7670903/data=!4m3!4m2!3e0!5i1</v>
      </c>
      <c r="C777" s="151" t="s">
        <v>117</v>
      </c>
      <c r="D777" s="152" t="s">
        <v>112</v>
      </c>
      <c r="E777" s="152" t="s">
        <v>113</v>
      </c>
      <c r="F777" s="152" t="s">
        <v>117</v>
      </c>
      <c r="G777" s="152" t="s">
        <v>782</v>
      </c>
      <c r="H777" s="152" t="n">
        <v>110</v>
      </c>
      <c r="I777" s="152" t="s">
        <v>115</v>
      </c>
      <c r="J777" s="152" t="s">
        <v>6</v>
      </c>
      <c r="K777" s="152" t="s">
        <v>4221</v>
      </c>
      <c r="L777" s="152" t="s">
        <v>120</v>
      </c>
      <c r="M777" s="153" t="n">
        <f aca="false">142.61+1.47</f>
        <v>144.08</v>
      </c>
      <c r="N777" s="152" t="s">
        <v>1548</v>
      </c>
      <c r="O777" s="152" t="s">
        <v>1549</v>
      </c>
      <c r="P777" s="152" t="s">
        <v>1550</v>
      </c>
      <c r="Q777" s="152" t="s">
        <v>1551</v>
      </c>
      <c r="R777" s="154" t="s">
        <v>4504</v>
      </c>
      <c r="S777" s="154" t="s">
        <v>1593</v>
      </c>
      <c r="T777" s="155" t="s">
        <v>4451</v>
      </c>
      <c r="U777" s="152" t="str">
        <f aca="false">RIGHT(T777,7)</f>
        <v>018/037</v>
      </c>
      <c r="V777" s="152" t="s">
        <v>1555</v>
      </c>
      <c r="W777" s="156" t="n">
        <v>45882</v>
      </c>
      <c r="X777" s="152" t="s">
        <v>1594</v>
      </c>
      <c r="Y777" s="152"/>
      <c r="Z777" s="152" t="s">
        <v>1557</v>
      </c>
      <c r="AA777" s="153" t="n">
        <v>3.9</v>
      </c>
      <c r="AB777" s="151" t="s">
        <v>4505</v>
      </c>
      <c r="AC777" s="151" t="s">
        <v>502</v>
      </c>
      <c r="AD777" s="151" t="str">
        <f aca="false">CONCATENATE($C777,$I777,$H777,$N777,$J777,$K777)</f>
        <v>TUBO PEADPEAD110VCAREDESZona07</v>
      </c>
      <c r="AE777" s="153" t="n">
        <f aca="false">IFERROR(INDEX(APOIO_REDES!$A:$W,MATCH($C777&amp;$I777&amp;$H777&amp;$N777&amp;$O777,APOIO_REDES!$W:$W,0),MATCH(AE$5,APOIO_REDES!$5:$5,0)),0)</f>
        <v>1.2</v>
      </c>
      <c r="AF777" s="153" t="n">
        <f aca="false">IFERROR(INDEX(APOIO_REDES!$A:$W,MATCH($C777&amp;$I777&amp;$H777&amp;$N777&amp;$O777,APOIO_REDES!$W:$W,0),MATCH(AF$5,APOIO_REDES!$5:$5,0)),0)</f>
        <v>1.41</v>
      </c>
      <c r="AG777" s="153" t="n">
        <f aca="false">IFERROR(INDEX(APOIO_REDES!$A:$W,MATCH($C777&amp;$I777&amp;$H777&amp;$N777&amp;$O777,APOIO_REDES!$W:$W,0),MATCH(AG$5,APOIO_REDES!$5:$5,0)),0)</f>
        <v>0.75</v>
      </c>
      <c r="AH777" s="153" t="n">
        <f aca="false">IFERROR(INDEX(APOIO_REDES!$A:$W,MATCH($C777&amp;$I777&amp;$H777&amp;$N777&amp;$O777,APOIO_REDES!$W:$W,0),MATCH(AH$5,APOIO_REDES!$5:$5,0)),0)</f>
        <v>0.1</v>
      </c>
      <c r="AI777" s="153" t="n">
        <f aca="false">IFERROR(IF($H777&lt;&gt;"",(((($H777/1000)/2)^2)*PI()*$M777),0),0)</f>
        <v>1.36923802532588</v>
      </c>
      <c r="AJ777" s="153" t="n">
        <f aca="false">IFERROR(IF(AND($H777&lt;&gt;"",$I777="FoFo",OR($N777="MND",$N777="VCA"),$Q777="LINEAR"),0,IF(AND($H777&lt;&gt;"",$I777="PEAD",$N777="VCA",$Q777="LINEAR"),($H777/1000)+0.3,IF(AND($H777&lt;&gt;"",$I777="PEAD",$N777="MND",$Q777="EMBOQUE"),0,IF(AND($H777&lt;&gt;"",$I777="PVC",$N777="VCA",$Q777="LINEAR"),($H777/1000)+0.2,IF(AND($H777&lt;&gt;"",$I777="PVC",$N777="MND",$Q777="EMBOQUE"),0,IF(AND($H777&lt;&gt;"",$I777="PEAD",$N777="VCA",$Q777="PREDIAL"),0,0)))))),0)</f>
        <v>0.41</v>
      </c>
      <c r="AK777" s="153" t="n">
        <f aca="false">IF(AA777&lt;&gt;"",AA777,0)</f>
        <v>3.9</v>
      </c>
      <c r="AL777" s="153" t="n">
        <f aca="false">IF(AND($N777="MND",$Q777="EMBOQUE"),$M777,IF(AND($N777="VCA",$Q777="LINEAR"),$M777,IF(AND($N777="VCA",$Q777="PREDIAL"),0,0)))</f>
        <v>144.08</v>
      </c>
      <c r="AM777" s="153" t="n">
        <f aca="false">IF(AND($N777="MND",$Q777="EMBOQUE"),$M777,IF(AND($N777="VCA",$Q777="LINEAR"),$M777,IF(AND($N777="VCA",$Q777="PREDIAL"),0,0)))</f>
        <v>144.08</v>
      </c>
      <c r="AN777" s="153" t="n">
        <f aca="false">ROUND(IF(AND($N777="VCA",$M777&lt;&gt;"",$Q777="LINEAR"),$M777/100,IF(AND($N777="MND",$M777&gt;100,$Q777="EMBOQUE"),$M777/100,0)),0)</f>
        <v>1</v>
      </c>
      <c r="AO777" s="153" t="n">
        <f aca="false">IF(AND($N777="MND",$Q777="EMBOQUE"),$AN777*2*2,IF(AND($N777="VCA",$Q777="LINEAR"),$M777*2,IF(AND($N777="VCA",$Q777="PREDIAL"),0,0)))</f>
        <v>288.16</v>
      </c>
      <c r="AP777" s="153" t="n">
        <f aca="false">IFERROR($M777*$AF777*$AG777,0)</f>
        <v>152.3646</v>
      </c>
      <c r="AQ777" s="153" t="n">
        <f aca="false">IFERROR(IF(AND($N777="VCA",$AH777&gt;0),$M777*$AG777*$AH777,0),0)</f>
        <v>10.806</v>
      </c>
      <c r="AR777" s="153" t="n">
        <f aca="false">IFERROR(IF(AND($N777="VCA",$AJ777&gt;0),($M777*$AG777*$AJ777)-$AI777,0),0)</f>
        <v>42.9353619746741</v>
      </c>
      <c r="AS777" s="153" t="n">
        <f aca="false">IFERROR(IF(AND($N777="VCA",$AP777&gt;0),$AP777-$AI777-$AQ777-$AR777,0),0)</f>
        <v>97.254</v>
      </c>
      <c r="AT777" s="153" t="n">
        <f aca="false">IFERROR(IF($N777="VCA",INDEX(APOIO_REDES!$A:$W,MATCH($C777&amp;$I777&amp;$H777&amp;$N777&amp;$O777,APOIO_REDES!$W:$W,0),MATCH(AT$5,APOIO_REDES!$5:$5,0)),0)*$AP777,0)</f>
        <v>1.6577719456196</v>
      </c>
      <c r="AU777" s="153" t="n">
        <f aca="false">IFERROR(IF($N777="VCA",INDEX(APOIO_REDES!$A:$W,MATCH($C777&amp;$I777&amp;$H777&amp;$N777&amp;$O777,APOIO_REDES!$W:$W,0),MATCH(AU$5,APOIO_REDES!$5:$5,0)),0)*$AP777,0)</f>
        <v>1.32385177761352</v>
      </c>
      <c r="AV777" s="153" t="n">
        <f aca="false">IFERROR(IF($N777="VCA",INDEX(APOIO_REDES!$A:$W,MATCH($C777&amp;$I777&amp;$H777&amp;$N777&amp;$O777,APOIO_REDES!$W:$W,0),MATCH(AV$5,APOIO_REDES!$5:$5,0)),0)*$AP777,0)</f>
        <v>0.183210693377781</v>
      </c>
      <c r="AW777" s="153" t="n">
        <f aca="false">IFERROR(IF($N777="VCA",INDEX(APOIO_REDES!$A:$W,MATCH($C777&amp;$I777&amp;$H777&amp;$N777&amp;$O777,APOIO_REDES!$W:$W,0),MATCH(AW$5,APOIO_REDES!$5:$5,0)),0)*$AP777,0)</f>
        <v>104.58424201853</v>
      </c>
      <c r="AX777" s="153" t="n">
        <f aca="false">IFERROR(IF($N777="VCA",INDEX(APOIO_REDES!$A:$W,MATCH($C777&amp;$I777&amp;$H777&amp;$N777&amp;$O777,APOIO_REDES!$W:$W,0),MATCH(AX$5,APOIO_REDES!$5:$5,0)),0)*$AP777,0)</f>
        <v>14.474161181512</v>
      </c>
      <c r="AY777" s="153" t="n">
        <f aca="false">IFERROR(IF($N777="VCA",INDEX(APOIO_REDES!$A:$W,MATCH($C777&amp;$I777&amp;$H777&amp;$N777&amp;$O777,APOIO_REDES!$W:$W,0),MATCH(AY$5,APOIO_REDES!$5:$5,0)),0)*$AP777,0)</f>
        <v>26.4770194146245</v>
      </c>
      <c r="AZ777" s="153" t="n">
        <f aca="false">IFERROR(IF($N777="VCA",INDEX(APOIO_REDES!$A:$W,MATCH($C777&amp;$I777&amp;$H777&amp;$N777&amp;$O777,APOIO_REDES!$W:$W,0),MATCH(AZ$5,APOIO_REDES!$5:$5,0)),0)*$AP777,0)</f>
        <v>3.66434296872245</v>
      </c>
      <c r="BA777" s="153" t="n">
        <f aca="false">IFERROR(IF(AND($N777="VCA",$Q777="LINEAR"),INDEX(APOIO_REDES!$A:$W,MATCH($C777&amp;$I777&amp;$H777&amp;$N777&amp;$O777,APOIO_REDES!$W:$W,0),MATCH(BA$5,APOIO_REDES!$5:$5,0)),IF(AND($N777="MND",$Q777="EMBOQUE"),INDEX(APOIO_REDES!$A:$W,MATCH($C777&amp;$I777&amp;$H777&amp;$N777&amp;$O777,APOIO_REDES!$W:$W,0),MATCH(BA$5,APOIO_REDES!$5:$5,0)),0))*$M777/10,0)</f>
        <v>11.6124845696947</v>
      </c>
      <c r="BB777" s="153" t="n">
        <f aca="false">IFERROR(IF($N777="VCA",INDEX(APOIO_REDES!$A:$W,MATCH($C777&amp;$I777&amp;$H777&amp;$N777&amp;$O777,APOIO_REDES!$W:$W,0),MATCH(BB$5,APOIO_REDES!$5:$5,0)),0)*($AI777+$AQ777+$AR777),0)</f>
        <v>54.510980360095</v>
      </c>
      <c r="BC777" s="153" t="n">
        <f aca="false">IFERROR(IF($N777="VCA",INDEX(APOIO_REDES!$A:$W,MATCH($C777&amp;$I777&amp;$H777&amp;$N777&amp;$O777,APOIO_REDES!$W:$W,0),MATCH(BC$5,APOIO_REDES!$5:$5,0)),0)*($AI777+$AQ777+$AR777),0)</f>
        <v>0.599619639904961</v>
      </c>
      <c r="BD777" s="153" t="n">
        <f aca="false">IF(AND($N777="VCA",$AF777&gt;=1.25,$AF777&lt;1.5),$M777*$AF777*2,0)</f>
        <v>406.3056</v>
      </c>
      <c r="BE777" s="153" t="n">
        <f aca="false">IF(AND($N777="VCA",$AF777&gt;=1.5,$AF777&lt;3),$M777*$AF777*2,0)</f>
        <v>0</v>
      </c>
      <c r="BF777" s="153" t="n">
        <f aca="false">IF(AND($N777="VCA",$AF777&gt;=3),$M777*$AF777*2,0)</f>
        <v>0</v>
      </c>
      <c r="BG777" s="153" t="n">
        <f aca="false">($BB777+$BC777)*$AK777</f>
        <v>214.93134</v>
      </c>
      <c r="BH777" s="153" t="n">
        <f aca="false">IF(AND($M777&lt;&gt;"",$N777="VCA",$Q777="LINEAR"),($M777*2)/100,IF(AND($M777&lt;&gt;"",$N777="MND",$Q777="EMBOQUE"),($AN777*2)/100,0))</f>
        <v>2.8816</v>
      </c>
      <c r="BI777" s="153" t="n">
        <f aca="false">IF(AND($M777&lt;&gt;"",$N777="VCA",$Q777="LINEAR"),$M777,IF(AND($M777&lt;&gt;"",$N777="MND",$Q777="EMBOQUE"),$AN777*2,0))</f>
        <v>144.08</v>
      </c>
      <c r="BJ777" s="153" t="n">
        <f aca="false">IF(AND($M777&lt;&gt;"",$N777="VCA",$Q777="LINEAR"),($M777*6.8)/100,IF(AND($M777&lt;&gt;"",$N777="MND",$Q777="EMBOQUE"),($AN777*2*6.8)/100,0))</f>
        <v>9.79744</v>
      </c>
      <c r="BK777" s="153" t="n">
        <f aca="false">IF(AND($M777&lt;&gt;"",$N777="VCA",$Q777="LINEAR"),($M777*2.5)/50,IF(AND($M777&lt;&gt;"",$N777="MND",$Q777="EMBOQUE"),($AN777*2*2.5)/50,0))</f>
        <v>7.204</v>
      </c>
      <c r="BL777" s="157" t="str">
        <f aca="false">K777&amp;J777</f>
        <v>Zona07REDES</v>
      </c>
      <c r="BM777" s="152" t="s">
        <v>4225</v>
      </c>
      <c r="BN777" s="152" t="s">
        <v>1560</v>
      </c>
      <c r="BO777" s="152" t="s">
        <v>4454</v>
      </c>
      <c r="BP777" s="152" t="s">
        <v>4506</v>
      </c>
      <c r="BQ777" s="152" t="s">
        <v>4491</v>
      </c>
      <c r="BR777" s="152" t="s">
        <v>4507</v>
      </c>
      <c r="BS777" s="152" t="n">
        <v>203749.001</v>
      </c>
      <c r="BT777" s="152" t="n">
        <v>8236407.691</v>
      </c>
      <c r="BU777" s="152" t="n">
        <v>203656.736</v>
      </c>
      <c r="BV777" s="152" t="n">
        <v>8236515.145</v>
      </c>
      <c r="BW777" s="152" t="n">
        <v>-15.9334447</v>
      </c>
      <c r="BX777" s="152" t="n">
        <v>-47.7675139</v>
      </c>
      <c r="BY777" s="152" t="s">
        <v>4506</v>
      </c>
    </row>
    <row r="778" customFormat="false" ht="13.8" hidden="false" customHeight="false" outlineLevel="0" collapsed="false">
      <c r="A778" s="149" t="n">
        <f aca="false">IF(C778&lt;&gt;"",ROW(A773),"")</f>
        <v>773</v>
      </c>
      <c r="B778" s="150" t="str">
        <f aca="false">HYPERLINK("https://www.google.com/maps/dir/-15.917302,-47.760003/-15.9332313,-47.7682073/data=!4m3!4m2!3e0!5i2")</f>
        <v>https://www.google.com/maps/dir/-15.917302,-47.760003/-15.9332313,-47.7682073/data=!4m3!4m2!3e0!5i2</v>
      </c>
      <c r="C778" s="151" t="s">
        <v>117</v>
      </c>
      <c r="D778" s="152" t="s">
        <v>112</v>
      </c>
      <c r="E778" s="152" t="s">
        <v>113</v>
      </c>
      <c r="F778" s="152" t="s">
        <v>117</v>
      </c>
      <c r="G778" s="152" t="s">
        <v>114</v>
      </c>
      <c r="H778" s="152" t="n">
        <v>160</v>
      </c>
      <c r="I778" s="152" t="s">
        <v>115</v>
      </c>
      <c r="J778" s="152" t="s">
        <v>6</v>
      </c>
      <c r="K778" s="152" t="s">
        <v>4221</v>
      </c>
      <c r="L778" s="152" t="s">
        <v>120</v>
      </c>
      <c r="M778" s="153" t="n">
        <f aca="false">108.8+0.07</f>
        <v>108.87</v>
      </c>
      <c r="N778" s="152" t="s">
        <v>1548</v>
      </c>
      <c r="O778" s="152" t="s">
        <v>1549</v>
      </c>
      <c r="P778" s="152" t="s">
        <v>1550</v>
      </c>
      <c r="Q778" s="152" t="s">
        <v>1551</v>
      </c>
      <c r="R778" s="154" t="s">
        <v>4508</v>
      </c>
      <c r="S778" s="154" t="s">
        <v>1593</v>
      </c>
      <c r="T778" s="155" t="s">
        <v>4451</v>
      </c>
      <c r="U778" s="152" t="str">
        <f aca="false">RIGHT(T778,7)</f>
        <v>018/037</v>
      </c>
      <c r="V778" s="152" t="s">
        <v>1555</v>
      </c>
      <c r="W778" s="156" t="n">
        <v>45882</v>
      </c>
      <c r="X778" s="152" t="s">
        <v>1594</v>
      </c>
      <c r="Y778" s="152" t="s">
        <v>4452</v>
      </c>
      <c r="Z778" s="152" t="s">
        <v>1557</v>
      </c>
      <c r="AA778" s="153" t="n">
        <v>4.1</v>
      </c>
      <c r="AB778" s="151" t="s">
        <v>4509</v>
      </c>
      <c r="AC778" s="151" t="s">
        <v>505</v>
      </c>
      <c r="AD778" s="151" t="str">
        <f aca="false">CONCATENATE($C778,$I778,$H778,$N778,$J778,$K778)</f>
        <v>TUBO PEADPEAD160VCAREDESZona07</v>
      </c>
      <c r="AE778" s="153" t="n">
        <f aca="false">IFERROR(INDEX(APOIO_REDES!$A:$W,MATCH($C778&amp;$I778&amp;$H778&amp;$N778&amp;$O778,APOIO_REDES!$W:$W,0),MATCH(AE$5,APOIO_REDES!$5:$5,0)),0)</f>
        <v>1.2</v>
      </c>
      <c r="AF778" s="153" t="n">
        <f aca="false">IFERROR(INDEX(APOIO_REDES!$A:$W,MATCH($C778&amp;$I778&amp;$H778&amp;$N778&amp;$O778,APOIO_REDES!$W:$W,0),MATCH(AF$5,APOIO_REDES!$5:$5,0)),0)</f>
        <v>1.46</v>
      </c>
      <c r="AG778" s="153" t="n">
        <f aca="false">IFERROR(INDEX(APOIO_REDES!$A:$W,MATCH($C778&amp;$I778&amp;$H778&amp;$N778&amp;$O778,APOIO_REDES!$W:$W,0),MATCH(AG$5,APOIO_REDES!$5:$5,0)),0)</f>
        <v>0.75</v>
      </c>
      <c r="AH778" s="153" t="n">
        <f aca="false">IFERROR(INDEX(APOIO_REDES!$A:$W,MATCH($C778&amp;$I778&amp;$H778&amp;$N778&amp;$O778,APOIO_REDES!$W:$W,0),MATCH(AH$5,APOIO_REDES!$5:$5,0)),0)</f>
        <v>0.1</v>
      </c>
      <c r="AI778" s="153" t="n">
        <f aca="false">IFERROR(IF($H778&lt;&gt;"",(((($H778/1000)/2)^2)*PI()*$M778),0),0)</f>
        <v>2.18896123005645</v>
      </c>
      <c r="AJ778" s="153" t="n">
        <f aca="false">IFERROR(IF(AND($H778&lt;&gt;"",$I778="FoFo",OR($N778="MND",$N778="VCA"),$Q778="LINEAR"),0,IF(AND($H778&lt;&gt;"",$I778="PEAD",$N778="VCA",$Q778="LINEAR"),($H778/1000)+0.3,IF(AND($H778&lt;&gt;"",$I778="PEAD",$N778="MND",$Q778="EMBOQUE"),0,IF(AND($H778&lt;&gt;"",$I778="PVC",$N778="VCA",$Q778="LINEAR"),($H778/1000)+0.2,IF(AND($H778&lt;&gt;"",$I778="PVC",$N778="MND",$Q778="EMBOQUE"),0,IF(AND($H778&lt;&gt;"",$I778="PEAD",$N778="VCA",$Q778="PREDIAL"),0,0)))))),0)</f>
        <v>0.46</v>
      </c>
      <c r="AK778" s="153" t="n">
        <f aca="false">IF(AA778&lt;&gt;"",AA778,0)</f>
        <v>4.1</v>
      </c>
      <c r="AL778" s="153" t="n">
        <f aca="false">IF(AND($N778="MND",$Q778="EMBOQUE"),$M778,IF(AND($N778="VCA",$Q778="LINEAR"),$M778,IF(AND($N778="VCA",$Q778="PREDIAL"),0,0)))</f>
        <v>108.87</v>
      </c>
      <c r="AM778" s="153" t="n">
        <f aca="false">IF(AND($N778="MND",$Q778="EMBOQUE"),$M778,IF(AND($N778="VCA",$Q778="LINEAR"),$M778,IF(AND($N778="VCA",$Q778="PREDIAL"),0,0)))</f>
        <v>108.87</v>
      </c>
      <c r="AN778" s="153" t="n">
        <f aca="false">ROUND(IF(AND($N778="VCA",$M778&lt;&gt;"",$Q778="LINEAR"),$M778/100,IF(AND($N778="MND",$M778&gt;100,$Q778="EMBOQUE"),$M778/100,0)),0)</f>
        <v>1</v>
      </c>
      <c r="AO778" s="153" t="n">
        <f aca="false">IF(AND($N778="MND",$Q778="EMBOQUE"),$AN778*2*2,IF(AND($N778="VCA",$Q778="LINEAR"),$M778*2,IF(AND($N778="VCA",$Q778="PREDIAL"),0,0)))</f>
        <v>217.74</v>
      </c>
      <c r="AP778" s="153" t="n">
        <f aca="false">IFERROR($M778*$AF778*$AG778,0)</f>
        <v>119.21265</v>
      </c>
      <c r="AQ778" s="153" t="n">
        <f aca="false">IFERROR(IF(AND($N778="VCA",$AH778&gt;0),$M778*$AG778*$AH778,0),0)</f>
        <v>8.16525</v>
      </c>
      <c r="AR778" s="153" t="n">
        <f aca="false">IFERROR(IF(AND($N778="VCA",$AJ778&gt;0),($M778*$AG778*$AJ778)-$AI778,0),0)</f>
        <v>35.3711887699435</v>
      </c>
      <c r="AS778" s="153" t="n">
        <f aca="false">IFERROR(IF(AND($N778="VCA",$AP778&gt;0),$AP778-$AI778-$AQ778-$AR778,0),0)</f>
        <v>73.48725</v>
      </c>
      <c r="AT778" s="153" t="n">
        <f aca="false">IFERROR(IF($N778="VCA",INDEX(APOIO_REDES!$A:$W,MATCH($C778&amp;$I778&amp;$H778&amp;$N778&amp;$O778,APOIO_REDES!$W:$W,0),MATCH(AT$5,APOIO_REDES!$5:$5,0)),0)*$AP778,0)</f>
        <v>1.29706891714327</v>
      </c>
      <c r="AU778" s="153" t="n">
        <f aca="false">IFERROR(IF($N778="VCA",INDEX(APOIO_REDES!$A:$W,MATCH($C778&amp;$I778&amp;$H778&amp;$N778&amp;$O778,APOIO_REDES!$W:$W,0),MATCH(AU$5,APOIO_REDES!$5:$5,0)),0)*$AP778,0)</f>
        <v>1.03580410814925</v>
      </c>
      <c r="AV778" s="153" t="n">
        <f aca="false">IFERROR(IF($N778="VCA",INDEX(APOIO_REDES!$A:$W,MATCH($C778&amp;$I778&amp;$H778&amp;$N778&amp;$O778,APOIO_REDES!$W:$W,0),MATCH(AV$5,APOIO_REDES!$5:$5,0)),0)*$AP778,0)</f>
        <v>0.143347157186792</v>
      </c>
      <c r="AW778" s="153" t="n">
        <f aca="false">IFERROR(IF($N778="VCA",INDEX(APOIO_REDES!$A:$W,MATCH($C778&amp;$I778&amp;$H778&amp;$N778&amp;$O778,APOIO_REDES!$W:$W,0),MATCH(AW$5,APOIO_REDES!$5:$5,0)),0)*$AP778,0)</f>
        <v>81.8284866646868</v>
      </c>
      <c r="AX778" s="153" t="n">
        <f aca="false">IFERROR(IF($N778="VCA",INDEX(APOIO_REDES!$A:$W,MATCH($C778&amp;$I778&amp;$H778&amp;$N778&amp;$O778,APOIO_REDES!$W:$W,0),MATCH(AX$5,APOIO_REDES!$5:$5,0)),0)*$AP778,0)</f>
        <v>11.3248294615362</v>
      </c>
      <c r="AY778" s="153" t="n">
        <f aca="false">IFERROR(IF($N778="VCA",INDEX(APOIO_REDES!$A:$W,MATCH($C778&amp;$I778&amp;$H778&amp;$N778&amp;$O778,APOIO_REDES!$W:$W,0),MATCH(AY$5,APOIO_REDES!$5:$5,0)),0)*$AP778,0)</f>
        <v>20.716069536617</v>
      </c>
      <c r="AZ778" s="153" t="n">
        <f aca="false">IFERROR(IF($N778="VCA",INDEX(APOIO_REDES!$A:$W,MATCH($C778&amp;$I778&amp;$H778&amp;$N778&amp;$O778,APOIO_REDES!$W:$W,0),MATCH(AZ$5,APOIO_REDES!$5:$5,0)),0)*$AP778,0)</f>
        <v>2.86704415468075</v>
      </c>
      <c r="BA778" s="153" t="n">
        <f aca="false">IFERROR(IF(AND($N778="VCA",$Q778="LINEAR"),INDEX(APOIO_REDES!$A:$W,MATCH($C778&amp;$I778&amp;$H778&amp;$N778&amp;$O778,APOIO_REDES!$W:$W,0),MATCH(BA$5,APOIO_REDES!$5:$5,0)),IF(AND($N778="MND",$Q778="EMBOQUE"),INDEX(APOIO_REDES!$A:$W,MATCH($C778&amp;$I778&amp;$H778&amp;$N778&amp;$O778,APOIO_REDES!$W:$W,0),MATCH(BA$5,APOIO_REDES!$5:$5,0)),0))*$M778/10,0)</f>
        <v>8.77464738411068</v>
      </c>
      <c r="BB778" s="153" t="n">
        <f aca="false">IFERROR(IF($N778="VCA",INDEX(APOIO_REDES!$A:$W,MATCH($C778&amp;$I778&amp;$H778&amp;$N778&amp;$O778,APOIO_REDES!$W:$W,0),MATCH(BB$5,APOIO_REDES!$5:$5,0)),0)*($AI778+$AQ778+$AR778),0)</f>
        <v>45.2278941139724</v>
      </c>
      <c r="BC778" s="153" t="n">
        <f aca="false">IFERROR(IF($N778="VCA",INDEX(APOIO_REDES!$A:$W,MATCH($C778&amp;$I778&amp;$H778&amp;$N778&amp;$O778,APOIO_REDES!$W:$W,0),MATCH(BC$5,APOIO_REDES!$5:$5,0)),0)*($AI778+$AQ778+$AR778),0)</f>
        <v>0.497505886027557</v>
      </c>
      <c r="BD778" s="153" t="n">
        <f aca="false">IF(AND($N778="VCA",$AF778&gt;=1.25,$AF778&lt;1.5),$M778*$AF778*2,0)</f>
        <v>317.9004</v>
      </c>
      <c r="BE778" s="153" t="n">
        <f aca="false">IF(AND($N778="VCA",$AF778&gt;=1.5,$AF778&lt;3),$M778*$AF778*2,0)</f>
        <v>0</v>
      </c>
      <c r="BF778" s="153" t="n">
        <f aca="false">IF(AND($N778="VCA",$AF778&gt;=3),$M778*$AF778*2,0)</f>
        <v>0</v>
      </c>
      <c r="BG778" s="153" t="n">
        <f aca="false">($BB778+$BC778)*$AK778</f>
        <v>187.47414</v>
      </c>
      <c r="BH778" s="153" t="n">
        <f aca="false">IF(AND($M778&lt;&gt;"",$N778="VCA",$Q778="LINEAR"),($M778*2)/100,IF(AND($M778&lt;&gt;"",$N778="MND",$Q778="EMBOQUE"),($AN778*2)/100,0))</f>
        <v>2.1774</v>
      </c>
      <c r="BI778" s="153" t="n">
        <f aca="false">IF(AND($M778&lt;&gt;"",$N778="VCA",$Q778="LINEAR"),$M778,IF(AND($M778&lt;&gt;"",$N778="MND",$Q778="EMBOQUE"),$AN778*2,0))</f>
        <v>108.87</v>
      </c>
      <c r="BJ778" s="153" t="n">
        <f aca="false">IF(AND($M778&lt;&gt;"",$N778="VCA",$Q778="LINEAR"),($M778*6.8)/100,IF(AND($M778&lt;&gt;"",$N778="MND",$Q778="EMBOQUE"),($AN778*2*6.8)/100,0))</f>
        <v>7.40316</v>
      </c>
      <c r="BK778" s="153" t="n">
        <f aca="false">IF(AND($M778&lt;&gt;"",$N778="VCA",$Q778="LINEAR"),($M778*2.5)/50,IF(AND($M778&lt;&gt;"",$N778="MND",$Q778="EMBOQUE"),($AN778*2*2.5)/50,0))</f>
        <v>5.4435</v>
      </c>
      <c r="BL778" s="157" t="str">
        <f aca="false">K778&amp;J778</f>
        <v>Zona07REDES</v>
      </c>
      <c r="BM778" s="152" t="s">
        <v>4225</v>
      </c>
      <c r="BN778" s="152" t="s">
        <v>1560</v>
      </c>
      <c r="BO778" s="152" t="s">
        <v>4454</v>
      </c>
      <c r="BP778" s="152" t="s">
        <v>2232</v>
      </c>
      <c r="BQ778" s="152" t="s">
        <v>4456</v>
      </c>
      <c r="BR778" s="152" t="s">
        <v>4510</v>
      </c>
      <c r="BS778" s="152" t="n">
        <v>203713.674</v>
      </c>
      <c r="BT778" s="152" t="n">
        <v>8236421.888</v>
      </c>
      <c r="BU778" s="152" t="n">
        <v>203628.44</v>
      </c>
      <c r="BV778" s="152" t="n">
        <v>8236483.626</v>
      </c>
      <c r="BW778" s="152" t="n">
        <v>-15.9336081</v>
      </c>
      <c r="BX778" s="152" t="n">
        <v>-47.7678857</v>
      </c>
      <c r="BY778" s="152" t="s">
        <v>4456</v>
      </c>
    </row>
    <row r="779" customFormat="false" ht="13.8" hidden="false" customHeight="false" outlineLevel="0" collapsed="false">
      <c r="A779" s="149" t="n">
        <f aca="false">IF(C779&lt;&gt;"",ROW(A774),"")</f>
        <v>774</v>
      </c>
      <c r="B779" s="150" t="str">
        <f aca="false">HYPERLINK("https://www.google.com/maps/dir/-15.917302,-47.760003/-15.9339322,-47.7670903/data=!4m3!4m2!3e0!5i1")</f>
        <v>https://www.google.com/maps/dir/-15.917302,-47.760003/-15.9339322,-47.7670903/data=!4m3!4m2!3e0!5i1</v>
      </c>
      <c r="C779" s="151" t="s">
        <v>117</v>
      </c>
      <c r="D779" s="152" t="s">
        <v>112</v>
      </c>
      <c r="E779" s="152" t="s">
        <v>113</v>
      </c>
      <c r="F779" s="152" t="s">
        <v>117</v>
      </c>
      <c r="G779" s="152" t="s">
        <v>782</v>
      </c>
      <c r="H779" s="152" t="n">
        <v>63</v>
      </c>
      <c r="I779" s="152" t="s">
        <v>115</v>
      </c>
      <c r="J779" s="152" t="s">
        <v>6</v>
      </c>
      <c r="K779" s="152" t="s">
        <v>4221</v>
      </c>
      <c r="L779" s="152" t="s">
        <v>120</v>
      </c>
      <c r="M779" s="153" t="n">
        <f aca="false">47.3</f>
        <v>47.3</v>
      </c>
      <c r="N779" s="152" t="s">
        <v>1548</v>
      </c>
      <c r="O779" s="152" t="s">
        <v>1549</v>
      </c>
      <c r="P779" s="152" t="s">
        <v>1550</v>
      </c>
      <c r="Q779" s="152" t="s">
        <v>1551</v>
      </c>
      <c r="R779" s="154" t="s">
        <v>4511</v>
      </c>
      <c r="S779" s="154" t="s">
        <v>1553</v>
      </c>
      <c r="T779" s="155" t="s">
        <v>4451</v>
      </c>
      <c r="U779" s="152" t="str">
        <f aca="false">RIGHT(T779,7)</f>
        <v>018/037</v>
      </c>
      <c r="V779" s="152" t="s">
        <v>1555</v>
      </c>
      <c r="W779" s="156" t="n">
        <v>45882</v>
      </c>
      <c r="X779" s="152" t="s">
        <v>1594</v>
      </c>
      <c r="Y779" s="152"/>
      <c r="Z779" s="152" t="s">
        <v>1557</v>
      </c>
      <c r="AA779" s="153" t="n">
        <v>3.9</v>
      </c>
      <c r="AB779" s="151" t="s">
        <v>4512</v>
      </c>
      <c r="AC779" s="151" t="s">
        <v>186</v>
      </c>
      <c r="AD779" s="151" t="str">
        <f aca="false">CONCATENATE($C779,$I779,$H779,$N779,$J779,$K779)</f>
        <v>TUBO PEADPEAD63VCAREDESZona07</v>
      </c>
      <c r="AE779" s="153" t="n">
        <f aca="false">IFERROR(INDEX(APOIO_REDES!$A:$W,MATCH($C779&amp;$I779&amp;$H779&amp;$N779&amp;$O779,APOIO_REDES!$W:$W,0),MATCH(AE$5,APOIO_REDES!$5:$5,0)),0)</f>
        <v>1.2</v>
      </c>
      <c r="AF779" s="153" t="n">
        <f aca="false">IFERROR(INDEX(APOIO_REDES!$A:$W,MATCH($C779&amp;$I779&amp;$H779&amp;$N779&amp;$O779,APOIO_REDES!$W:$W,0),MATCH(AF$5,APOIO_REDES!$5:$5,0)),0)</f>
        <v>1.363</v>
      </c>
      <c r="AG779" s="153" t="n">
        <f aca="false">IFERROR(INDEX(APOIO_REDES!$A:$W,MATCH($C779&amp;$I779&amp;$H779&amp;$N779&amp;$O779,APOIO_REDES!$W:$W,0),MATCH(AG$5,APOIO_REDES!$5:$5,0)),0)</f>
        <v>0.65</v>
      </c>
      <c r="AH779" s="153" t="n">
        <f aca="false">IFERROR(INDEX(APOIO_REDES!$A:$W,MATCH($C779&amp;$I779&amp;$H779&amp;$N779&amp;$O779,APOIO_REDES!$W:$W,0),MATCH(AH$5,APOIO_REDES!$5:$5,0)),0)</f>
        <v>0.1</v>
      </c>
      <c r="AI779" s="153" t="n">
        <f aca="false">IFERROR(IF($H779&lt;&gt;"",(((($H779/1000)/2)^2)*PI()*$M779),0),0)</f>
        <v>0.147445703187808</v>
      </c>
      <c r="AJ779" s="153" t="n">
        <f aca="false">IFERROR(IF(AND($H779&lt;&gt;"",$I779="FoFo",OR($N779="MND",$N779="VCA"),$Q779="LINEAR"),0,IF(AND($H779&lt;&gt;"",$I779="PEAD",$N779="VCA",$Q779="LINEAR"),($H779/1000)+0.3,IF(AND($H779&lt;&gt;"",$I779="PEAD",$N779="MND",$Q779="EMBOQUE"),0,IF(AND($H779&lt;&gt;"",$I779="PVC",$N779="VCA",$Q779="LINEAR"),($H779/1000)+0.2,IF(AND($H779&lt;&gt;"",$I779="PVC",$N779="MND",$Q779="EMBOQUE"),0,IF(AND($H779&lt;&gt;"",$I779="PEAD",$N779="VCA",$Q779="PREDIAL"),0,0)))))),0)</f>
        <v>0.363</v>
      </c>
      <c r="AK779" s="153" t="n">
        <f aca="false">IF(AA779&lt;&gt;"",AA779,0)</f>
        <v>3.9</v>
      </c>
      <c r="AL779" s="153" t="n">
        <f aca="false">IF(AND($N779="MND",$Q779="EMBOQUE"),$M779,IF(AND($N779="VCA",$Q779="LINEAR"),$M779,IF(AND($N779="VCA",$Q779="PREDIAL"),0,0)))</f>
        <v>47.3</v>
      </c>
      <c r="AM779" s="153" t="n">
        <f aca="false">IF(AND($N779="MND",$Q779="EMBOQUE"),$M779,IF(AND($N779="VCA",$Q779="LINEAR"),$M779,IF(AND($N779="VCA",$Q779="PREDIAL"),0,0)))</f>
        <v>47.3</v>
      </c>
      <c r="AN779" s="153" t="n">
        <f aca="false">ROUND(IF(AND($N779="VCA",$M779&lt;&gt;"",$Q779="LINEAR"),$M779/100,IF(AND($N779="MND",$M779&gt;100,$Q779="EMBOQUE"),$M779/100,0)),0)</f>
        <v>0</v>
      </c>
      <c r="AO779" s="153" t="n">
        <f aca="false">IF(AND($N779="MND",$Q779="EMBOQUE"),$AN779*2*2,IF(AND($N779="VCA",$Q779="LINEAR"),$M779*2,IF(AND($N779="VCA",$Q779="PREDIAL"),0,0)))</f>
        <v>94.6</v>
      </c>
      <c r="AP779" s="153" t="n">
        <f aca="false">IFERROR($M779*$AF779*$AG779,0)</f>
        <v>41.905435</v>
      </c>
      <c r="AQ779" s="153" t="n">
        <f aca="false">IFERROR(IF(AND($N779="VCA",$AH779&gt;0),$M779*$AG779*$AH779,0),0)</f>
        <v>3.0745</v>
      </c>
      <c r="AR779" s="153" t="n">
        <f aca="false">IFERROR(IF(AND($N779="VCA",$AJ779&gt;0),($M779*$AG779*$AJ779)-$AI779,0),0)</f>
        <v>11.0129892968122</v>
      </c>
      <c r="AS779" s="153" t="n">
        <f aca="false">IFERROR(IF(AND($N779="VCA",$AP779&gt;0),$AP779-$AI779-$AQ779-$AR779,0),0)</f>
        <v>27.6705</v>
      </c>
      <c r="AT779" s="153" t="n">
        <f aca="false">IFERROR(IF($N779="VCA",INDEX(APOIO_REDES!$A:$W,MATCH($C779&amp;$I779&amp;$H779&amp;$N779&amp;$O779,APOIO_REDES!$W:$W,0),MATCH(AT$5,APOIO_REDES!$5:$5,0)),0)*$AP779,0)</f>
        <v>0.455943536175631</v>
      </c>
      <c r="AU779" s="153" t="n">
        <f aca="false">IFERROR(IF($N779="VCA",INDEX(APOIO_REDES!$A:$W,MATCH($C779&amp;$I779&amp;$H779&amp;$N779&amp;$O779,APOIO_REDES!$W:$W,0),MATCH(AU$5,APOIO_REDES!$5:$5,0)),0)*$AP779,0)</f>
        <v>0.364104159472854</v>
      </c>
      <c r="AV779" s="153" t="n">
        <f aca="false">IFERROR(IF($N779="VCA",INDEX(APOIO_REDES!$A:$W,MATCH($C779&amp;$I779&amp;$H779&amp;$N779&amp;$O779,APOIO_REDES!$W:$W,0),MATCH(AV$5,APOIO_REDES!$5:$5,0)),0)*$AP779,0)</f>
        <v>0.0503891573413216</v>
      </c>
      <c r="AW779" s="153" t="n">
        <f aca="false">IFERROR(IF($N779="VCA",INDEX(APOIO_REDES!$A:$W,MATCH($C779&amp;$I779&amp;$H779&amp;$N779&amp;$O779,APOIO_REDES!$W:$W,0),MATCH(AW$5,APOIO_REDES!$5:$5,0)),0)*$AP779,0)</f>
        <v>28.7642152831549</v>
      </c>
      <c r="AX779" s="153" t="n">
        <f aca="false">IFERROR(IF($N779="VCA",INDEX(APOIO_REDES!$A:$W,MATCH($C779&amp;$I779&amp;$H779&amp;$N779&amp;$O779,APOIO_REDES!$W:$W,0),MATCH(AX$5,APOIO_REDES!$5:$5,0)),0)*$AP779,0)</f>
        <v>3.98088545877044</v>
      </c>
      <c r="AY779" s="153" t="n">
        <f aca="false">IFERROR(IF($N779="VCA",INDEX(APOIO_REDES!$A:$W,MATCH($C779&amp;$I779&amp;$H779&amp;$N779&amp;$O779,APOIO_REDES!$W:$W,0),MATCH(AY$5,APOIO_REDES!$5:$5,0)),0)*$AP779,0)</f>
        <v>7.2820787510569</v>
      </c>
      <c r="AZ779" s="153" t="n">
        <f aca="false">IFERROR(IF($N779="VCA",INDEX(APOIO_REDES!$A:$W,MATCH($C779&amp;$I779&amp;$H779&amp;$N779&amp;$O779,APOIO_REDES!$W:$W,0),MATCH(AZ$5,APOIO_REDES!$5:$5,0)),0)*$AP779,0)</f>
        <v>1.00781865402794</v>
      </c>
      <c r="BA779" s="153" t="n">
        <f aca="false">IFERROR(IF(AND($N779="VCA",$Q779="LINEAR"),INDEX(APOIO_REDES!$A:$W,MATCH($C779&amp;$I779&amp;$H779&amp;$N779&amp;$O779,APOIO_REDES!$W:$W,0),MATCH(BA$5,APOIO_REDES!$5:$5,0)),IF(AND($N779="MND",$Q779="EMBOQUE"),INDEX(APOIO_REDES!$A:$W,MATCH($C779&amp;$I779&amp;$H779&amp;$N779&amp;$O779,APOIO_REDES!$W:$W,0),MATCH(BA$5,APOIO_REDES!$5:$5,0)),0))*$M779/10,0)</f>
        <v>3.81226068952361</v>
      </c>
      <c r="BB779" s="153" t="n">
        <f aca="false">IFERROR(IF($N779="VCA",INDEX(APOIO_REDES!$A:$W,MATCH($C779&amp;$I779&amp;$H779&amp;$N779&amp;$O779,APOIO_REDES!$W:$W,0),MATCH(BB$5,APOIO_REDES!$5:$5,0)),0)*($AI779+$AQ779+$AR779),0)</f>
        <v>14.0800546938743</v>
      </c>
      <c r="BC779" s="153" t="n">
        <f aca="false">IFERROR(IF($N779="VCA",INDEX(APOIO_REDES!$A:$W,MATCH($C779&amp;$I779&amp;$H779&amp;$N779&amp;$O779,APOIO_REDES!$W:$W,0),MATCH(BC$5,APOIO_REDES!$5:$5,0)),0)*($AI779+$AQ779+$AR779),0)</f>
        <v>0.154880306125691</v>
      </c>
      <c r="BD779" s="153" t="n">
        <f aca="false">IF(AND($N779="VCA",$AF779&gt;=1.25,$AF779&lt;1.5),$M779*$AF779*2,0)</f>
        <v>128.9398</v>
      </c>
      <c r="BE779" s="153" t="n">
        <f aca="false">IF(AND($N779="VCA",$AF779&gt;=1.5,$AF779&lt;3),$M779*$AF779*2,0)</f>
        <v>0</v>
      </c>
      <c r="BF779" s="153" t="n">
        <f aca="false">IF(AND($N779="VCA",$AF779&gt;=3),$M779*$AF779*2,0)</f>
        <v>0</v>
      </c>
      <c r="BG779" s="153" t="n">
        <f aca="false">($BB779+$BC779)*$AK779</f>
        <v>55.5162465</v>
      </c>
      <c r="BH779" s="153" t="n">
        <f aca="false">IF(AND($M779&lt;&gt;"",$N779="VCA",$Q779="LINEAR"),($M779*2)/100,IF(AND($M779&lt;&gt;"",$N779="MND",$Q779="EMBOQUE"),($AN779*2)/100,0))</f>
        <v>0.946</v>
      </c>
      <c r="BI779" s="153" t="n">
        <f aca="false">IF(AND($M779&lt;&gt;"",$N779="VCA",$Q779="LINEAR"),$M779,IF(AND($M779&lt;&gt;"",$N779="MND",$Q779="EMBOQUE"),$AN779*2,0))</f>
        <v>47.3</v>
      </c>
      <c r="BJ779" s="153" t="n">
        <f aca="false">IF(AND($M779&lt;&gt;"",$N779="VCA",$Q779="LINEAR"),($M779*6.8)/100,IF(AND($M779&lt;&gt;"",$N779="MND",$Q779="EMBOQUE"),($AN779*2*6.8)/100,0))</f>
        <v>3.2164</v>
      </c>
      <c r="BK779" s="153" t="n">
        <f aca="false">IF(AND($M779&lt;&gt;"",$N779="VCA",$Q779="LINEAR"),($M779*2.5)/50,IF(AND($M779&lt;&gt;"",$N779="MND",$Q779="EMBOQUE"),($AN779*2*2.5)/50,0))</f>
        <v>2.365</v>
      </c>
      <c r="BL779" s="157" t="str">
        <f aca="false">K779&amp;J779</f>
        <v>Zona07REDES</v>
      </c>
      <c r="BM779" s="152" t="s">
        <v>4225</v>
      </c>
      <c r="BN779" s="152" t="s">
        <v>1560</v>
      </c>
      <c r="BO779" s="152" t="s">
        <v>4454</v>
      </c>
      <c r="BP779" s="152" t="s">
        <v>4506</v>
      </c>
      <c r="BQ779" s="152" t="s">
        <v>4498</v>
      </c>
      <c r="BR779" s="152" t="s">
        <v>4513</v>
      </c>
      <c r="BS779" s="152" t="n">
        <v>203749.098</v>
      </c>
      <c r="BT779" s="152" t="n">
        <v>8236407.65</v>
      </c>
      <c r="BU779" s="152" t="n">
        <v>203779.828</v>
      </c>
      <c r="BV779" s="152" t="n">
        <v>8236443.493</v>
      </c>
      <c r="BW779" s="152" t="n">
        <v>-15.9337692</v>
      </c>
      <c r="BX779" s="152" t="n">
        <v>-47.7669488</v>
      </c>
      <c r="BY779" s="152" t="s">
        <v>4506</v>
      </c>
    </row>
    <row r="780" customFormat="false" ht="13.8" hidden="false" customHeight="false" outlineLevel="0" collapsed="false">
      <c r="A780" s="149" t="n">
        <f aca="false">IF(C780&lt;&gt;"",ROW(A775),"")</f>
        <v>775</v>
      </c>
      <c r="B780" s="150" t="str">
        <f aca="false">HYPERLINK("https://www.google.com/maps/dir/-15.917302,-47.760003/-15.9339445,-47.7670969/data=!4m3!4m2!3e0!5i1")</f>
        <v>https://www.google.com/maps/dir/-15.917302,-47.760003/-15.9339445,-47.7670969/data=!4m3!4m2!3e0!5i1</v>
      </c>
      <c r="C780" s="151" t="s">
        <v>117</v>
      </c>
      <c r="D780" s="152" t="s">
        <v>112</v>
      </c>
      <c r="E780" s="152" t="s">
        <v>113</v>
      </c>
      <c r="F780" s="152" t="s">
        <v>117</v>
      </c>
      <c r="G780" s="152" t="s">
        <v>114</v>
      </c>
      <c r="H780" s="152" t="n">
        <v>160</v>
      </c>
      <c r="I780" s="152" t="s">
        <v>115</v>
      </c>
      <c r="J780" s="152" t="s">
        <v>6</v>
      </c>
      <c r="K780" s="152" t="s">
        <v>4221</v>
      </c>
      <c r="L780" s="152" t="s">
        <v>120</v>
      </c>
      <c r="M780" s="153" t="n">
        <f aca="false">38.12+0.15</f>
        <v>38.27</v>
      </c>
      <c r="N780" s="152" t="s">
        <v>1548</v>
      </c>
      <c r="O780" s="152" t="s">
        <v>1549</v>
      </c>
      <c r="P780" s="152" t="s">
        <v>1550</v>
      </c>
      <c r="Q780" s="152" t="s">
        <v>1551</v>
      </c>
      <c r="R780" s="154" t="s">
        <v>4514</v>
      </c>
      <c r="S780" s="154" t="s">
        <v>1593</v>
      </c>
      <c r="T780" s="155" t="s">
        <v>4451</v>
      </c>
      <c r="U780" s="152" t="str">
        <f aca="false">RIGHT(T780,7)</f>
        <v>018/037</v>
      </c>
      <c r="V780" s="152" t="s">
        <v>1555</v>
      </c>
      <c r="W780" s="156" t="n">
        <v>45882</v>
      </c>
      <c r="X780" s="152" t="s">
        <v>1594</v>
      </c>
      <c r="Y780" s="152"/>
      <c r="Z780" s="152" t="s">
        <v>1557</v>
      </c>
      <c r="AA780" s="153" t="n">
        <v>3.9</v>
      </c>
      <c r="AB780" s="151" t="s">
        <v>4515</v>
      </c>
      <c r="AC780" s="151" t="s">
        <v>505</v>
      </c>
      <c r="AD780" s="151" t="str">
        <f aca="false">CONCATENATE($C780,$I780,$H780,$N780,$J780,$K780)</f>
        <v>TUBO PEADPEAD160VCAREDESZona07</v>
      </c>
      <c r="AE780" s="153" t="n">
        <f aca="false">IFERROR(INDEX(APOIO_REDES!$A:$W,MATCH($C780&amp;$I780&amp;$H780&amp;$N780&amp;$O780,APOIO_REDES!$W:$W,0),MATCH(AE$5,APOIO_REDES!$5:$5,0)),0)</f>
        <v>1.2</v>
      </c>
      <c r="AF780" s="153" t="n">
        <f aca="false">IFERROR(INDEX(APOIO_REDES!$A:$W,MATCH($C780&amp;$I780&amp;$H780&amp;$N780&amp;$O780,APOIO_REDES!$W:$W,0),MATCH(AF$5,APOIO_REDES!$5:$5,0)),0)</f>
        <v>1.46</v>
      </c>
      <c r="AG780" s="153" t="n">
        <f aca="false">IFERROR(INDEX(APOIO_REDES!$A:$W,MATCH($C780&amp;$I780&amp;$H780&amp;$N780&amp;$O780,APOIO_REDES!$W:$W,0),MATCH(AG$5,APOIO_REDES!$5:$5,0)),0)</f>
        <v>0.75</v>
      </c>
      <c r="AH780" s="153" t="n">
        <f aca="false">IFERROR(INDEX(APOIO_REDES!$A:$W,MATCH($C780&amp;$I780&amp;$H780&amp;$N780&amp;$O780,APOIO_REDES!$W:$W,0),MATCH(AH$5,APOIO_REDES!$5:$5,0)),0)</f>
        <v>0.1</v>
      </c>
      <c r="AI780" s="153" t="n">
        <f aca="false">IFERROR(IF($H780&lt;&gt;"",(((($H780/1000)/2)^2)*PI()*$M780),0),0)</f>
        <v>0.769464005458441</v>
      </c>
      <c r="AJ780" s="153" t="n">
        <f aca="false">IFERROR(IF(AND($H780&lt;&gt;"",$I780="FoFo",OR($N780="MND",$N780="VCA"),$Q780="LINEAR"),0,IF(AND($H780&lt;&gt;"",$I780="PEAD",$N780="VCA",$Q780="LINEAR"),($H780/1000)+0.3,IF(AND($H780&lt;&gt;"",$I780="PEAD",$N780="MND",$Q780="EMBOQUE"),0,IF(AND($H780&lt;&gt;"",$I780="PVC",$N780="VCA",$Q780="LINEAR"),($H780/1000)+0.2,IF(AND($H780&lt;&gt;"",$I780="PVC",$N780="MND",$Q780="EMBOQUE"),0,IF(AND($H780&lt;&gt;"",$I780="PEAD",$N780="VCA",$Q780="PREDIAL"),0,0)))))),0)</f>
        <v>0.46</v>
      </c>
      <c r="AK780" s="153" t="n">
        <f aca="false">IF(AA780&lt;&gt;"",AA780,0)</f>
        <v>3.9</v>
      </c>
      <c r="AL780" s="153" t="n">
        <f aca="false">IF(AND($N780="MND",$Q780="EMBOQUE"),$M780,IF(AND($N780="VCA",$Q780="LINEAR"),$M780,IF(AND($N780="VCA",$Q780="PREDIAL"),0,0)))</f>
        <v>38.27</v>
      </c>
      <c r="AM780" s="153" t="n">
        <f aca="false">IF(AND($N780="MND",$Q780="EMBOQUE"),$M780,IF(AND($N780="VCA",$Q780="LINEAR"),$M780,IF(AND($N780="VCA",$Q780="PREDIAL"),0,0)))</f>
        <v>38.27</v>
      </c>
      <c r="AN780" s="153" t="n">
        <f aca="false">ROUND(IF(AND($N780="VCA",$M780&lt;&gt;"",$Q780="LINEAR"),$M780/100,IF(AND($N780="MND",$M780&gt;100,$Q780="EMBOQUE"),$M780/100,0)),0)</f>
        <v>0</v>
      </c>
      <c r="AO780" s="153" t="n">
        <f aca="false">IF(AND($N780="MND",$Q780="EMBOQUE"),$AN780*2*2,IF(AND($N780="VCA",$Q780="LINEAR"),$M780*2,IF(AND($N780="VCA",$Q780="PREDIAL"),0,0)))</f>
        <v>76.54</v>
      </c>
      <c r="AP780" s="153" t="n">
        <f aca="false">IFERROR($M780*$AF780*$AG780,0)</f>
        <v>41.90565</v>
      </c>
      <c r="AQ780" s="153" t="n">
        <f aca="false">IFERROR(IF(AND($N780="VCA",$AH780&gt;0),$M780*$AG780*$AH780,0),0)</f>
        <v>2.87025</v>
      </c>
      <c r="AR780" s="153" t="n">
        <f aca="false">IFERROR(IF(AND($N780="VCA",$AJ780&gt;0),($M780*$AG780*$AJ780)-$AI780,0),0)</f>
        <v>12.4336859945416</v>
      </c>
      <c r="AS780" s="153" t="n">
        <f aca="false">IFERROR(IF(AND($N780="VCA",$AP780&gt;0),$AP780-$AI780-$AQ780-$AR780,0),0)</f>
        <v>25.83225</v>
      </c>
      <c r="AT780" s="153" t="n">
        <f aca="false">IFERROR(IF($N780="VCA",INDEX(APOIO_REDES!$A:$W,MATCH($C780&amp;$I780&amp;$H780&amp;$N780&amp;$O780,APOIO_REDES!$W:$W,0),MATCH(AT$5,APOIO_REDES!$5:$5,0)),0)*$AP780,0)</f>
        <v>0.455945875439268</v>
      </c>
      <c r="AU780" s="153" t="n">
        <f aca="false">IFERROR(IF($N780="VCA",INDEX(APOIO_REDES!$A:$W,MATCH($C780&amp;$I780&amp;$H780&amp;$N780&amp;$O780,APOIO_REDES!$W:$W,0),MATCH(AU$5,APOIO_REDES!$5:$5,0)),0)*$AP780,0)</f>
        <v>0.364106027545439</v>
      </c>
      <c r="AV780" s="153" t="n">
        <f aca="false">IFERROR(IF($N780="VCA",INDEX(APOIO_REDES!$A:$W,MATCH($C780&amp;$I780&amp;$H780&amp;$N780&amp;$O780,APOIO_REDES!$W:$W,0),MATCH(AV$5,APOIO_REDES!$5:$5,0)),0)*$AP780,0)</f>
        <v>0.0503894158679024</v>
      </c>
      <c r="AW780" s="153" t="n">
        <f aca="false">IFERROR(IF($N780="VCA",INDEX(APOIO_REDES!$A:$W,MATCH($C780&amp;$I780&amp;$H780&amp;$N780&amp;$O780,APOIO_REDES!$W:$W,0),MATCH(AW$5,APOIO_REDES!$5:$5,0)),0)*$AP780,0)</f>
        <v>28.7643628608208</v>
      </c>
      <c r="AX780" s="153" t="n">
        <f aca="false">IFERROR(IF($N780="VCA",INDEX(APOIO_REDES!$A:$W,MATCH($C780&amp;$I780&amp;$H780&amp;$N780&amp;$O780,APOIO_REDES!$W:$W,0),MATCH(AX$5,APOIO_REDES!$5:$5,0)),0)*$AP780,0)</f>
        <v>3.98090588309902</v>
      </c>
      <c r="AY780" s="153" t="n">
        <f aca="false">IFERROR(IF($N780="VCA",INDEX(APOIO_REDES!$A:$W,MATCH($C780&amp;$I780&amp;$H780&amp;$N780&amp;$O780,APOIO_REDES!$W:$W,0),MATCH(AY$5,APOIO_REDES!$5:$5,0)),0)*$AP780,0)</f>
        <v>7.28211611248582</v>
      </c>
      <c r="AZ780" s="153" t="n">
        <f aca="false">IFERROR(IF($N780="VCA",INDEX(APOIO_REDES!$A:$W,MATCH($C780&amp;$I780&amp;$H780&amp;$N780&amp;$O780,APOIO_REDES!$W:$W,0),MATCH(AZ$5,APOIO_REDES!$5:$5,0)),0)*$AP780,0)</f>
        <v>1.00782382474173</v>
      </c>
      <c r="BA780" s="153" t="n">
        <f aca="false">IFERROR(IF(AND($N780="VCA",$Q780="LINEAR"),INDEX(APOIO_REDES!$A:$W,MATCH($C780&amp;$I780&amp;$H780&amp;$N780&amp;$O780,APOIO_REDES!$W:$W,0),MATCH(BA$5,APOIO_REDES!$5:$5,0)),IF(AND($N780="MND",$Q780="EMBOQUE"),INDEX(APOIO_REDES!$A:$W,MATCH($C780&amp;$I780&amp;$H780&amp;$N780&amp;$O780,APOIO_REDES!$W:$W,0),MATCH(BA$5,APOIO_REDES!$5:$5,0)),0))*$M780/10,0)</f>
        <v>3.08446546697819</v>
      </c>
      <c r="BB780" s="153" t="n">
        <f aca="false">IFERROR(IF($N780="VCA",INDEX(APOIO_REDES!$A:$W,MATCH($C780&amp;$I780&amp;$H780&amp;$N780&amp;$O780,APOIO_REDES!$W:$W,0),MATCH(BB$5,APOIO_REDES!$5:$5,0)),0)*($AI780+$AQ780+$AR780),0)</f>
        <v>15.8985166505164</v>
      </c>
      <c r="BC780" s="153" t="n">
        <f aca="false">IFERROR(IF($N780="VCA",INDEX(APOIO_REDES!$A:$W,MATCH($C780&amp;$I780&amp;$H780&amp;$N780&amp;$O780,APOIO_REDES!$W:$W,0),MATCH(BC$5,APOIO_REDES!$5:$5,0)),0)*($AI780+$AQ780+$AR780),0)</f>
        <v>0.174883349483555</v>
      </c>
      <c r="BD780" s="153" t="n">
        <f aca="false">IF(AND($N780="VCA",$AF780&gt;=1.25,$AF780&lt;1.5),$M780*$AF780*2,0)</f>
        <v>111.7484</v>
      </c>
      <c r="BE780" s="153" t="n">
        <f aca="false">IF(AND($N780="VCA",$AF780&gt;=1.5,$AF780&lt;3),$M780*$AF780*2,0)</f>
        <v>0</v>
      </c>
      <c r="BF780" s="153" t="n">
        <f aca="false">IF(AND($N780="VCA",$AF780&gt;=3),$M780*$AF780*2,0)</f>
        <v>0</v>
      </c>
      <c r="BG780" s="153" t="n">
        <f aca="false">($BB780+$BC780)*$AK780</f>
        <v>62.68626</v>
      </c>
      <c r="BH780" s="153" t="n">
        <f aca="false">IF(AND($M780&lt;&gt;"",$N780="VCA",$Q780="LINEAR"),($M780*2)/100,IF(AND($M780&lt;&gt;"",$N780="MND",$Q780="EMBOQUE"),($AN780*2)/100,0))</f>
        <v>0.7654</v>
      </c>
      <c r="BI780" s="153" t="n">
        <f aca="false">IF(AND($M780&lt;&gt;"",$N780="VCA",$Q780="LINEAR"),$M780,IF(AND($M780&lt;&gt;"",$N780="MND",$Q780="EMBOQUE"),$AN780*2,0))</f>
        <v>38.27</v>
      </c>
      <c r="BJ780" s="153" t="n">
        <f aca="false">IF(AND($M780&lt;&gt;"",$N780="VCA",$Q780="LINEAR"),($M780*6.8)/100,IF(AND($M780&lt;&gt;"",$N780="MND",$Q780="EMBOQUE"),($AN780*2*6.8)/100,0))</f>
        <v>2.60236</v>
      </c>
      <c r="BK780" s="153" t="n">
        <f aca="false">IF(AND($M780&lt;&gt;"",$N780="VCA",$Q780="LINEAR"),($M780*2.5)/50,IF(AND($M780&lt;&gt;"",$N780="MND",$Q780="EMBOQUE"),($AN780*2*2.5)/50,0))</f>
        <v>1.9135</v>
      </c>
      <c r="BL780" s="157" t="str">
        <f aca="false">K780&amp;J780</f>
        <v>Zona07REDES</v>
      </c>
      <c r="BM780" s="152" t="s">
        <v>4225</v>
      </c>
      <c r="BN780" s="152" t="s">
        <v>1560</v>
      </c>
      <c r="BO780" s="152" t="s">
        <v>4454</v>
      </c>
      <c r="BP780" s="152" t="s">
        <v>2232</v>
      </c>
      <c r="BQ780" s="152" t="s">
        <v>4516</v>
      </c>
      <c r="BR780" s="152" t="s">
        <v>4517</v>
      </c>
      <c r="BS780" s="152" t="n">
        <v>203713.586</v>
      </c>
      <c r="BT780" s="152" t="n">
        <v>8236421.947</v>
      </c>
      <c r="BU780" s="152" t="n">
        <v>203748.408</v>
      </c>
      <c r="BV780" s="152" t="n">
        <v>8236406.43</v>
      </c>
      <c r="BW780" s="152" t="n">
        <v>-15.933871</v>
      </c>
      <c r="BX780" s="152" t="n">
        <v>-47.7672584</v>
      </c>
      <c r="BY780" s="152" t="s">
        <v>4516</v>
      </c>
    </row>
    <row r="781" customFormat="false" ht="13.8" hidden="false" customHeight="false" outlineLevel="0" collapsed="false">
      <c r="A781" s="149" t="n">
        <f aca="false">IF(C781&lt;&gt;"",ROW(A776),"")</f>
        <v>776</v>
      </c>
      <c r="B781" s="150" t="str">
        <f aca="false">HYPERLINK("https://www.google.com/maps/dir/-15.917302,-47.760003/-15.9340800,-47.7668675/data=!4m3!4m2!3e0!5i2")</f>
        <v>https://www.google.com/maps/dir/-15.917302,-47.760003/-15.9340800,-47.7668675/data=!4m3!4m2!3e0!5i2</v>
      </c>
      <c r="C781" s="151" t="s">
        <v>117</v>
      </c>
      <c r="D781" s="152" t="s">
        <v>112</v>
      </c>
      <c r="E781" s="152" t="s">
        <v>113</v>
      </c>
      <c r="F781" s="152" t="s">
        <v>117</v>
      </c>
      <c r="G781" s="152" t="s">
        <v>782</v>
      </c>
      <c r="H781" s="152" t="n">
        <v>63</v>
      </c>
      <c r="I781" s="152" t="s">
        <v>115</v>
      </c>
      <c r="J781" s="152" t="s">
        <v>6</v>
      </c>
      <c r="K781" s="152" t="s">
        <v>4221</v>
      </c>
      <c r="L781" s="152" t="s">
        <v>120</v>
      </c>
      <c r="M781" s="153" t="n">
        <f aca="false">57.13+0.51</f>
        <v>57.64</v>
      </c>
      <c r="N781" s="152" t="s">
        <v>1548</v>
      </c>
      <c r="O781" s="152" t="s">
        <v>1549</v>
      </c>
      <c r="P781" s="152" t="s">
        <v>1550</v>
      </c>
      <c r="Q781" s="152" t="s">
        <v>1551</v>
      </c>
      <c r="R781" s="154" t="s">
        <v>4518</v>
      </c>
      <c r="S781" s="154" t="s">
        <v>1553</v>
      </c>
      <c r="T781" s="155" t="s">
        <v>4451</v>
      </c>
      <c r="U781" s="152" t="str">
        <f aca="false">RIGHT(T781,7)</f>
        <v>018/037</v>
      </c>
      <c r="V781" s="152" t="s">
        <v>1555</v>
      </c>
      <c r="W781" s="156" t="n">
        <v>45882</v>
      </c>
      <c r="X781" s="152" t="s">
        <v>1594</v>
      </c>
      <c r="Y781" s="152"/>
      <c r="Z781" s="152" t="s">
        <v>1557</v>
      </c>
      <c r="AA781" s="153" t="n">
        <v>5.9</v>
      </c>
      <c r="AB781" s="151" t="s">
        <v>4519</v>
      </c>
      <c r="AC781" s="151" t="s">
        <v>186</v>
      </c>
      <c r="AD781" s="151" t="str">
        <f aca="false">CONCATENATE($C781,$I781,$H781,$N781,$J781,$K781)</f>
        <v>TUBO PEADPEAD63VCAREDESZona07</v>
      </c>
      <c r="AE781" s="153" t="n">
        <f aca="false">IFERROR(INDEX(APOIO_REDES!$A:$W,MATCH($C781&amp;$I781&amp;$H781&amp;$N781&amp;$O781,APOIO_REDES!$W:$W,0),MATCH(AE$5,APOIO_REDES!$5:$5,0)),0)</f>
        <v>1.2</v>
      </c>
      <c r="AF781" s="153" t="n">
        <f aca="false">IFERROR(INDEX(APOIO_REDES!$A:$W,MATCH($C781&amp;$I781&amp;$H781&amp;$N781&amp;$O781,APOIO_REDES!$W:$W,0),MATCH(AF$5,APOIO_REDES!$5:$5,0)),0)</f>
        <v>1.363</v>
      </c>
      <c r="AG781" s="153" t="n">
        <f aca="false">IFERROR(INDEX(APOIO_REDES!$A:$W,MATCH($C781&amp;$I781&amp;$H781&amp;$N781&amp;$O781,APOIO_REDES!$W:$W,0),MATCH(AG$5,APOIO_REDES!$5:$5,0)),0)</f>
        <v>0.65</v>
      </c>
      <c r="AH781" s="153" t="n">
        <f aca="false">IFERROR(INDEX(APOIO_REDES!$A:$W,MATCH($C781&amp;$I781&amp;$H781&amp;$N781&amp;$O781,APOIO_REDES!$W:$W,0),MATCH(AH$5,APOIO_REDES!$5:$5,0)),0)</f>
        <v>0.1</v>
      </c>
      <c r="AI781" s="153" t="n">
        <f aca="false">IFERROR(IF($H781&lt;&gt;"",(((($H781/1000)/2)^2)*PI()*$M781),0),0)</f>
        <v>0.179678019698631</v>
      </c>
      <c r="AJ781" s="153" t="n">
        <f aca="false">IFERROR(IF(AND($H781&lt;&gt;"",$I781="FoFo",OR($N781="MND",$N781="VCA"),$Q781="LINEAR"),0,IF(AND($H781&lt;&gt;"",$I781="PEAD",$N781="VCA",$Q781="LINEAR"),($H781/1000)+0.3,IF(AND($H781&lt;&gt;"",$I781="PEAD",$N781="MND",$Q781="EMBOQUE"),0,IF(AND($H781&lt;&gt;"",$I781="PVC",$N781="VCA",$Q781="LINEAR"),($H781/1000)+0.2,IF(AND($H781&lt;&gt;"",$I781="PVC",$N781="MND",$Q781="EMBOQUE"),0,IF(AND($H781&lt;&gt;"",$I781="PEAD",$N781="VCA",$Q781="PREDIAL"),0,0)))))),0)</f>
        <v>0.363</v>
      </c>
      <c r="AK781" s="153" t="n">
        <f aca="false">IF(AA781&lt;&gt;"",AA781,0)</f>
        <v>5.9</v>
      </c>
      <c r="AL781" s="153" t="n">
        <f aca="false">IF(AND($N781="MND",$Q781="EMBOQUE"),$M781,IF(AND($N781="VCA",$Q781="LINEAR"),$M781,IF(AND($N781="VCA",$Q781="PREDIAL"),0,0)))</f>
        <v>57.64</v>
      </c>
      <c r="AM781" s="153" t="n">
        <f aca="false">IF(AND($N781="MND",$Q781="EMBOQUE"),$M781,IF(AND($N781="VCA",$Q781="LINEAR"),$M781,IF(AND($N781="VCA",$Q781="PREDIAL"),0,0)))</f>
        <v>57.64</v>
      </c>
      <c r="AN781" s="153" t="n">
        <f aca="false">ROUND(IF(AND($N781="VCA",$M781&lt;&gt;"",$Q781="LINEAR"),$M781/100,IF(AND($N781="MND",$M781&gt;100,$Q781="EMBOQUE"),$M781/100,0)),0)</f>
        <v>1</v>
      </c>
      <c r="AO781" s="153" t="n">
        <f aca="false">IF(AND($N781="MND",$Q781="EMBOQUE"),$AN781*2*2,IF(AND($N781="VCA",$Q781="LINEAR"),$M781*2,IF(AND($N781="VCA",$Q781="PREDIAL"),0,0)))</f>
        <v>115.28</v>
      </c>
      <c r="AP781" s="153" t="n">
        <f aca="false">IFERROR($M781*$AF781*$AG781,0)</f>
        <v>51.066158</v>
      </c>
      <c r="AQ781" s="153" t="n">
        <f aca="false">IFERROR(IF(AND($N781="VCA",$AH781&gt;0),$M781*$AG781*$AH781,0),0)</f>
        <v>3.7466</v>
      </c>
      <c r="AR781" s="153" t="n">
        <f aca="false">IFERROR(IF(AND($N781="VCA",$AJ781&gt;0),($M781*$AG781*$AJ781)-$AI781,0),0)</f>
        <v>13.4204799803014</v>
      </c>
      <c r="AS781" s="153" t="n">
        <f aca="false">IFERROR(IF(AND($N781="VCA",$AP781&gt;0),$AP781-$AI781-$AQ781-$AR781,0),0)</f>
        <v>33.7194</v>
      </c>
      <c r="AT781" s="153" t="n">
        <f aca="false">IFERROR(IF($N781="VCA",INDEX(APOIO_REDES!$A:$W,MATCH($C781&amp;$I781&amp;$H781&amp;$N781&amp;$O781,APOIO_REDES!$W:$W,0),MATCH(AT$5,APOIO_REDES!$5:$5,0)),0)*$AP781,0)</f>
        <v>0.555614913851234</v>
      </c>
      <c r="AU781" s="153" t="n">
        <f aca="false">IFERROR(IF($N781="VCA",INDEX(APOIO_REDES!$A:$W,MATCH($C781&amp;$I781&amp;$H781&amp;$N781&amp;$O781,APOIO_REDES!$W:$W,0),MATCH(AU$5,APOIO_REDES!$5:$5,0)),0)*$AP781,0)</f>
        <v>0.443699022241339</v>
      </c>
      <c r="AV781" s="153" t="n">
        <f aca="false">IFERROR(IF($N781="VCA",INDEX(APOIO_REDES!$A:$W,MATCH($C781&amp;$I781&amp;$H781&amp;$N781&amp;$O781,APOIO_REDES!$W:$W,0),MATCH(AV$5,APOIO_REDES!$5:$5,0)),0)*$AP781,0)</f>
        <v>0.0614044615043081</v>
      </c>
      <c r="AW781" s="153" t="n">
        <f aca="false">IFERROR(IF($N781="VCA",INDEX(APOIO_REDES!$A:$W,MATCH($C781&amp;$I781&amp;$H781&amp;$N781&amp;$O781,APOIO_REDES!$W:$W,0),MATCH(AW$5,APOIO_REDES!$5:$5,0)),0)*$AP781,0)</f>
        <v>35.0522065311004</v>
      </c>
      <c r="AX781" s="153" t="n">
        <f aca="false">IFERROR(IF($N781="VCA",INDEX(APOIO_REDES!$A:$W,MATCH($C781&amp;$I781&amp;$H781&amp;$N781&amp;$O781,APOIO_REDES!$W:$W,0),MATCH(AX$5,APOIO_REDES!$5:$5,0)),0)*$AP781,0)</f>
        <v>4.85112553580398</v>
      </c>
      <c r="AY781" s="153" t="n">
        <f aca="false">IFERROR(IF($N781="VCA",INDEX(APOIO_REDES!$A:$W,MATCH($C781&amp;$I781&amp;$H781&amp;$N781&amp;$O781,APOIO_REDES!$W:$W,0),MATCH(AY$5,APOIO_REDES!$5:$5,0)),0)*$AP781,0)</f>
        <v>8.87397503617166</v>
      </c>
      <c r="AZ781" s="153" t="n">
        <f aca="false">IFERROR(IF($N781="VCA",INDEX(APOIO_REDES!$A:$W,MATCH($C781&amp;$I781&amp;$H781&amp;$N781&amp;$O781,APOIO_REDES!$W:$W,0),MATCH(AZ$5,APOIO_REDES!$5:$5,0)),0)*$AP781,0)</f>
        <v>1.22813249932707</v>
      </c>
      <c r="BA781" s="153" t="n">
        <f aca="false">IFERROR(IF(AND($N781="VCA",$Q781="LINEAR"),INDEX(APOIO_REDES!$A:$W,MATCH($C781&amp;$I781&amp;$H781&amp;$N781&amp;$O781,APOIO_REDES!$W:$W,0),MATCH(BA$5,APOIO_REDES!$5:$5,0)),IF(AND($N781="MND",$Q781="EMBOQUE"),INDEX(APOIO_REDES!$A:$W,MATCH($C781&amp;$I781&amp;$H781&amp;$N781&amp;$O781,APOIO_REDES!$W:$W,0),MATCH(BA$5,APOIO_REDES!$5:$5,0)),0))*$M781/10,0)</f>
        <v>4.64563860769854</v>
      </c>
      <c r="BB781" s="153" t="n">
        <f aca="false">IFERROR(IF($N781="VCA",INDEX(APOIO_REDES!$A:$W,MATCH($C781&amp;$I781&amp;$H781&amp;$N781&amp;$O781,APOIO_REDES!$W:$W,0),MATCH(BB$5,APOIO_REDES!$5:$5,0)),0)*($AI781+$AQ781+$AR781),0)</f>
        <v>17.1580201385817</v>
      </c>
      <c r="BC781" s="153" t="n">
        <f aca="false">IFERROR(IF($N781="VCA",INDEX(APOIO_REDES!$A:$W,MATCH($C781&amp;$I781&amp;$H781&amp;$N781&amp;$O781,APOIO_REDES!$W:$W,0),MATCH(BC$5,APOIO_REDES!$5:$5,0)),0)*($AI781+$AQ781+$AR781),0)</f>
        <v>0.188737861418284</v>
      </c>
      <c r="BD781" s="153" t="n">
        <f aca="false">IF(AND($N781="VCA",$AF781&gt;=1.25,$AF781&lt;1.5),$M781*$AF781*2,0)</f>
        <v>157.12664</v>
      </c>
      <c r="BE781" s="153" t="n">
        <f aca="false">IF(AND($N781="VCA",$AF781&gt;=1.5,$AF781&lt;3),$M781*$AF781*2,0)</f>
        <v>0</v>
      </c>
      <c r="BF781" s="153" t="n">
        <f aca="false">IF(AND($N781="VCA",$AF781&gt;=3),$M781*$AF781*2,0)</f>
        <v>0</v>
      </c>
      <c r="BG781" s="153" t="n">
        <f aca="false">($BB781+$BC781)*$AK781</f>
        <v>102.3458722</v>
      </c>
      <c r="BH781" s="153" t="n">
        <f aca="false">IF(AND($M781&lt;&gt;"",$N781="VCA",$Q781="LINEAR"),($M781*2)/100,IF(AND($M781&lt;&gt;"",$N781="MND",$Q781="EMBOQUE"),($AN781*2)/100,0))</f>
        <v>1.1528</v>
      </c>
      <c r="BI781" s="153" t="n">
        <f aca="false">IF(AND($M781&lt;&gt;"",$N781="VCA",$Q781="LINEAR"),$M781,IF(AND($M781&lt;&gt;"",$N781="MND",$Q781="EMBOQUE"),$AN781*2,0))</f>
        <v>57.64</v>
      </c>
      <c r="BJ781" s="153" t="n">
        <f aca="false">IF(AND($M781&lt;&gt;"",$N781="VCA",$Q781="LINEAR"),($M781*6.8)/100,IF(AND($M781&lt;&gt;"",$N781="MND",$Q781="EMBOQUE"),($AN781*2*6.8)/100,0))</f>
        <v>3.91952</v>
      </c>
      <c r="BK781" s="153" t="n">
        <f aca="false">IF(AND($M781&lt;&gt;"",$N781="VCA",$Q781="LINEAR"),($M781*2.5)/50,IF(AND($M781&lt;&gt;"",$N781="MND",$Q781="EMBOQUE"),($AN781*2*2.5)/50,0))</f>
        <v>2.882</v>
      </c>
      <c r="BL781" s="157" t="str">
        <f aca="false">K781&amp;J781</f>
        <v>Zona07REDES</v>
      </c>
      <c r="BM781" s="152" t="s">
        <v>4225</v>
      </c>
      <c r="BN781" s="152" t="s">
        <v>1560</v>
      </c>
      <c r="BO781" s="152" t="s">
        <v>4454</v>
      </c>
      <c r="BP781" s="152" t="s">
        <v>4520</v>
      </c>
      <c r="BQ781" s="152" t="s">
        <v>4521</v>
      </c>
      <c r="BR781" s="152" t="s">
        <v>4522</v>
      </c>
      <c r="BS781" s="152" t="n">
        <v>203773.185</v>
      </c>
      <c r="BT781" s="152" t="n">
        <v>8236391.605</v>
      </c>
      <c r="BU781" s="152" t="n">
        <v>203814.069</v>
      </c>
      <c r="BV781" s="152" t="n">
        <v>8236431.467</v>
      </c>
      <c r="BW781" s="152" t="n">
        <v>-15.9339027</v>
      </c>
      <c r="BX781" s="152" t="n">
        <v>-47.7666741</v>
      </c>
      <c r="BY781" s="152" t="s">
        <v>4520</v>
      </c>
    </row>
    <row r="782" customFormat="false" ht="13.8" hidden="false" customHeight="false" outlineLevel="0" collapsed="false">
      <c r="A782" s="149" t="n">
        <f aca="false">IF(C782&lt;&gt;"",ROW(A777),"")</f>
        <v>777</v>
      </c>
      <c r="B782" s="150" t="str">
        <f aca="false">HYPERLINK("https://www.google.com/maps/dir/-15.917302,-47.760003/-15.9339445,-47.7670969/data=!4m3!4m2!3e0!5i1")</f>
        <v>https://www.google.com/maps/dir/-15.917302,-47.760003/-15.9339445,-47.7670969/data=!4m3!4m2!3e0!5i1</v>
      </c>
      <c r="C782" s="151" t="s">
        <v>117</v>
      </c>
      <c r="D782" s="152" t="s">
        <v>112</v>
      </c>
      <c r="E782" s="152" t="s">
        <v>113</v>
      </c>
      <c r="F782" s="152" t="s">
        <v>117</v>
      </c>
      <c r="G782" s="152" t="s">
        <v>782</v>
      </c>
      <c r="H782" s="152" t="n">
        <v>63</v>
      </c>
      <c r="I782" s="152" t="s">
        <v>115</v>
      </c>
      <c r="J782" s="152" t="s">
        <v>6</v>
      </c>
      <c r="K782" s="152" t="s">
        <v>4221</v>
      </c>
      <c r="L782" s="152" t="s">
        <v>120</v>
      </c>
      <c r="M782" s="153" t="n">
        <f aca="false">1.4</f>
        <v>1.4</v>
      </c>
      <c r="N782" s="152" t="s">
        <v>1548</v>
      </c>
      <c r="O782" s="152" t="s">
        <v>1549</v>
      </c>
      <c r="P782" s="152" t="s">
        <v>1550</v>
      </c>
      <c r="Q782" s="152" t="s">
        <v>1551</v>
      </c>
      <c r="R782" s="154" t="s">
        <v>4523</v>
      </c>
      <c r="S782" s="154" t="s">
        <v>1553</v>
      </c>
      <c r="T782" s="155" t="s">
        <v>4451</v>
      </c>
      <c r="U782" s="152" t="str">
        <f aca="false">RIGHT(T782,7)</f>
        <v>018/037</v>
      </c>
      <c r="V782" s="152" t="s">
        <v>1555</v>
      </c>
      <c r="W782" s="156" t="n">
        <v>45882</v>
      </c>
      <c r="X782" s="152" t="s">
        <v>1594</v>
      </c>
      <c r="Y782" s="152"/>
      <c r="Z782" s="152" t="s">
        <v>1557</v>
      </c>
      <c r="AA782" s="153" t="n">
        <v>3.9</v>
      </c>
      <c r="AB782" s="151" t="s">
        <v>4524</v>
      </c>
      <c r="AC782" s="151" t="s">
        <v>186</v>
      </c>
      <c r="AD782" s="151" t="str">
        <f aca="false">CONCATENATE($C782,$I782,$H782,$N782,$J782,$K782)</f>
        <v>TUBO PEADPEAD63VCAREDESZona07</v>
      </c>
      <c r="AE782" s="153" t="n">
        <f aca="false">IFERROR(INDEX(APOIO_REDES!$A:$W,MATCH($C782&amp;$I782&amp;$H782&amp;$N782&amp;$O782,APOIO_REDES!$W:$W,0),MATCH(AE$5,APOIO_REDES!$5:$5,0)),0)</f>
        <v>1.2</v>
      </c>
      <c r="AF782" s="153" t="n">
        <f aca="false">IFERROR(INDEX(APOIO_REDES!$A:$W,MATCH($C782&amp;$I782&amp;$H782&amp;$N782&amp;$O782,APOIO_REDES!$W:$W,0),MATCH(AF$5,APOIO_REDES!$5:$5,0)),0)</f>
        <v>1.363</v>
      </c>
      <c r="AG782" s="153" t="n">
        <f aca="false">IFERROR(INDEX(APOIO_REDES!$A:$W,MATCH($C782&amp;$I782&amp;$H782&amp;$N782&amp;$O782,APOIO_REDES!$W:$W,0),MATCH(AG$5,APOIO_REDES!$5:$5,0)),0)</f>
        <v>0.65</v>
      </c>
      <c r="AH782" s="153" t="n">
        <f aca="false">IFERROR(INDEX(APOIO_REDES!$A:$W,MATCH($C782&amp;$I782&amp;$H782&amp;$N782&amp;$O782,APOIO_REDES!$W:$W,0),MATCH(AH$5,APOIO_REDES!$5:$5,0)),0)</f>
        <v>0.1</v>
      </c>
      <c r="AI782" s="153" t="n">
        <f aca="false">IFERROR(IF($H782&lt;&gt;"",(((($H782/1000)/2)^2)*PI()*$M782),0),0)</f>
        <v>0.00436414343473426</v>
      </c>
      <c r="AJ782" s="153" t="n">
        <f aca="false">IFERROR(IF(AND($H782&lt;&gt;"",$I782="FoFo",OR($N782="MND",$N782="VCA"),$Q782="LINEAR"),0,IF(AND($H782&lt;&gt;"",$I782="PEAD",$N782="VCA",$Q782="LINEAR"),($H782/1000)+0.3,IF(AND($H782&lt;&gt;"",$I782="PEAD",$N782="MND",$Q782="EMBOQUE"),0,IF(AND($H782&lt;&gt;"",$I782="PVC",$N782="VCA",$Q782="LINEAR"),($H782/1000)+0.2,IF(AND($H782&lt;&gt;"",$I782="PVC",$N782="MND",$Q782="EMBOQUE"),0,IF(AND($H782&lt;&gt;"",$I782="PEAD",$N782="VCA",$Q782="PREDIAL"),0,0)))))),0)</f>
        <v>0.363</v>
      </c>
      <c r="AK782" s="153" t="n">
        <f aca="false">IF(AA782&lt;&gt;"",AA782,0)</f>
        <v>3.9</v>
      </c>
      <c r="AL782" s="153" t="n">
        <f aca="false">IF(AND($N782="MND",$Q782="EMBOQUE"),$M782,IF(AND($N782="VCA",$Q782="LINEAR"),$M782,IF(AND($N782="VCA",$Q782="PREDIAL"),0,0)))</f>
        <v>1.4</v>
      </c>
      <c r="AM782" s="153" t="n">
        <f aca="false">IF(AND($N782="MND",$Q782="EMBOQUE"),$M782,IF(AND($N782="VCA",$Q782="LINEAR"),$M782,IF(AND($N782="VCA",$Q782="PREDIAL"),0,0)))</f>
        <v>1.4</v>
      </c>
      <c r="AN782" s="153" t="n">
        <f aca="false">ROUND(IF(AND($N782="VCA",$M782&lt;&gt;"",$Q782="LINEAR"),$M782/100,IF(AND($N782="MND",$M782&gt;100,$Q782="EMBOQUE"),$M782/100,0)),0)</f>
        <v>0</v>
      </c>
      <c r="AO782" s="153" t="n">
        <f aca="false">IF(AND($N782="MND",$Q782="EMBOQUE"),$AN782*2*2,IF(AND($N782="VCA",$Q782="LINEAR"),$M782*2,IF(AND($N782="VCA",$Q782="PREDIAL"),0,0)))</f>
        <v>2.8</v>
      </c>
      <c r="AP782" s="153" t="n">
        <f aca="false">IFERROR($M782*$AF782*$AG782,0)</f>
        <v>1.24033</v>
      </c>
      <c r="AQ782" s="153" t="n">
        <f aca="false">IFERROR(IF(AND($N782="VCA",$AH782&gt;0),$M782*$AG782*$AH782,0),0)</f>
        <v>0.091</v>
      </c>
      <c r="AR782" s="153" t="n">
        <f aca="false">IFERROR(IF(AND($N782="VCA",$AJ782&gt;0),($M782*$AG782*$AJ782)-$AI782,0),0)</f>
        <v>0.325965856565266</v>
      </c>
      <c r="AS782" s="153" t="n">
        <f aca="false">IFERROR(IF(AND($N782="VCA",$AP782&gt;0),$AP782-$AI782-$AQ782-$AR782,0),0)</f>
        <v>0.819</v>
      </c>
      <c r="AT782" s="153" t="n">
        <f aca="false">IFERROR(IF($N782="VCA",INDEX(APOIO_REDES!$A:$W,MATCH($C782&amp;$I782&amp;$H782&amp;$N782&amp;$O782,APOIO_REDES!$W:$W,0),MATCH(AT$5,APOIO_REDES!$5:$5,0)),0)*$AP782,0)</f>
        <v>0.0134951575189405</v>
      </c>
      <c r="AU782" s="153" t="n">
        <f aca="false">IFERROR(IF($N782="VCA",INDEX(APOIO_REDES!$A:$W,MATCH($C782&amp;$I782&amp;$H782&amp;$N782&amp;$O782,APOIO_REDES!$W:$W,0),MATCH(AU$5,APOIO_REDES!$5:$5,0)),0)*$AP782,0)</f>
        <v>0.0107768672994079</v>
      </c>
      <c r="AV782" s="153" t="n">
        <f aca="false">IFERROR(IF($N782="VCA",INDEX(APOIO_REDES!$A:$W,MATCH($C782&amp;$I782&amp;$H782&amp;$N782&amp;$O782,APOIO_REDES!$W:$W,0),MATCH(AV$5,APOIO_REDES!$5:$5,0)),0)*$AP782,0)</f>
        <v>0.00149143383251269</v>
      </c>
      <c r="AW782" s="153" t="n">
        <f aca="false">IFERROR(IF($N782="VCA",INDEX(APOIO_REDES!$A:$W,MATCH($C782&amp;$I782&amp;$H782&amp;$N782&amp;$O782,APOIO_REDES!$W:$W,0),MATCH(AW$5,APOIO_REDES!$5:$5,0)),0)*$AP782,0)</f>
        <v>0.851372122545812</v>
      </c>
      <c r="AX782" s="153" t="n">
        <f aca="false">IFERROR(IF($N782="VCA",INDEX(APOIO_REDES!$A:$W,MATCH($C782&amp;$I782&amp;$H782&amp;$N782&amp;$O782,APOIO_REDES!$W:$W,0),MATCH(AX$5,APOIO_REDES!$5:$5,0)),0)*$AP782,0)</f>
        <v>0.117827476580943</v>
      </c>
      <c r="AY782" s="153" t="n">
        <f aca="false">IFERROR(IF($N782="VCA",INDEX(APOIO_REDES!$A:$W,MATCH($C782&amp;$I782&amp;$H782&amp;$N782&amp;$O782,APOIO_REDES!$W:$W,0),MATCH(AY$5,APOIO_REDES!$5:$5,0)),0)*$AP782,0)</f>
        <v>0.21553721461902</v>
      </c>
      <c r="AZ782" s="153" t="n">
        <f aca="false">IFERROR(IF($N782="VCA",INDEX(APOIO_REDES!$A:$W,MATCH($C782&amp;$I782&amp;$H782&amp;$N782&amp;$O782,APOIO_REDES!$W:$W,0),MATCH(AZ$5,APOIO_REDES!$5:$5,0)),0)*$AP782,0)</f>
        <v>0.029829727603364</v>
      </c>
      <c r="BA782" s="153" t="n">
        <f aca="false">IFERROR(IF(AND($N782="VCA",$Q782="LINEAR"),INDEX(APOIO_REDES!$A:$W,MATCH($C782&amp;$I782&amp;$H782&amp;$N782&amp;$O782,APOIO_REDES!$W:$W,0),MATCH(BA$5,APOIO_REDES!$5:$5,0)),IF(AND($N782="MND",$Q782="EMBOQUE"),INDEX(APOIO_REDES!$A:$W,MATCH($C782&amp;$I782&amp;$H782&amp;$N782&amp;$O782,APOIO_REDES!$W:$W,0),MATCH(BA$5,APOIO_REDES!$5:$5,0)),0))*$M782/10,0)</f>
        <v>0.112836468611692</v>
      </c>
      <c r="BB782" s="153" t="n">
        <f aca="false">IFERROR(IF($N782="VCA",INDEX(APOIO_REDES!$A:$W,MATCH($C782&amp;$I782&amp;$H782&amp;$N782&amp;$O782,APOIO_REDES!$W:$W,0),MATCH(BB$5,APOIO_REDES!$5:$5,0)),0)*($AI782+$AQ782+$AR782),0)</f>
        <v>0.416745804892686</v>
      </c>
      <c r="BC782" s="153" t="n">
        <f aca="false">IFERROR(IF($N782="VCA",INDEX(APOIO_REDES!$A:$W,MATCH($C782&amp;$I782&amp;$H782&amp;$N782&amp;$O782,APOIO_REDES!$W:$W,0),MATCH(BC$5,APOIO_REDES!$5:$5,0)),0)*($AI782+$AQ782+$AR782),0)</f>
        <v>0.00458419510731433</v>
      </c>
      <c r="BD782" s="153" t="n">
        <f aca="false">IF(AND($N782="VCA",$AF782&gt;=1.25,$AF782&lt;1.5),$M782*$AF782*2,0)</f>
        <v>3.8164</v>
      </c>
      <c r="BE782" s="153" t="n">
        <f aca="false">IF(AND($N782="VCA",$AF782&gt;=1.5,$AF782&lt;3),$M782*$AF782*2,0)</f>
        <v>0</v>
      </c>
      <c r="BF782" s="153" t="n">
        <f aca="false">IF(AND($N782="VCA",$AF782&gt;=3),$M782*$AF782*2,0)</f>
        <v>0</v>
      </c>
      <c r="BG782" s="153" t="n">
        <f aca="false">($BB782+$BC782)*$AK782</f>
        <v>1.643187</v>
      </c>
      <c r="BH782" s="153" t="n">
        <f aca="false">IF(AND($M782&lt;&gt;"",$N782="VCA",$Q782="LINEAR"),($M782*2)/100,IF(AND($M782&lt;&gt;"",$N782="MND",$Q782="EMBOQUE"),($AN782*2)/100,0))</f>
        <v>0.028</v>
      </c>
      <c r="BI782" s="153" t="n">
        <f aca="false">IF(AND($M782&lt;&gt;"",$N782="VCA",$Q782="LINEAR"),$M782,IF(AND($M782&lt;&gt;"",$N782="MND",$Q782="EMBOQUE"),$AN782*2,0))</f>
        <v>1.4</v>
      </c>
      <c r="BJ782" s="153" t="n">
        <f aca="false">IF(AND($M782&lt;&gt;"",$N782="VCA",$Q782="LINEAR"),($M782*6.8)/100,IF(AND($M782&lt;&gt;"",$N782="MND",$Q782="EMBOQUE"),($AN782*2*6.8)/100,0))</f>
        <v>0.0952</v>
      </c>
      <c r="BK782" s="153" t="n">
        <f aca="false">IF(AND($M782&lt;&gt;"",$N782="VCA",$Q782="LINEAR"),($M782*2.5)/50,IF(AND($M782&lt;&gt;"",$N782="MND",$Q782="EMBOQUE"),($AN782*2*2.5)/50,0))</f>
        <v>0.07</v>
      </c>
      <c r="BL782" s="157" t="str">
        <f aca="false">K782&amp;J782</f>
        <v>Zona07REDES</v>
      </c>
      <c r="BM782" s="152" t="s">
        <v>4225</v>
      </c>
      <c r="BN782" s="152" t="s">
        <v>1560</v>
      </c>
      <c r="BO782" s="152" t="s">
        <v>4454</v>
      </c>
      <c r="BP782" s="152" t="s">
        <v>4516</v>
      </c>
      <c r="BQ782" s="152" t="s">
        <v>4506</v>
      </c>
      <c r="BR782" s="152" t="s">
        <v>4525</v>
      </c>
      <c r="BS782" s="152" t="n">
        <v>203748.408</v>
      </c>
      <c r="BT782" s="152" t="n">
        <v>8236406.43</v>
      </c>
      <c r="BU782" s="152" t="n">
        <v>203749.098</v>
      </c>
      <c r="BV782" s="152" t="n">
        <v>8236407.65</v>
      </c>
      <c r="BW782" s="152" t="n">
        <v>-15.9339377</v>
      </c>
      <c r="BX782" s="152" t="n">
        <v>-47.7670936</v>
      </c>
      <c r="BY782" s="152" t="s">
        <v>4516</v>
      </c>
    </row>
    <row r="783" customFormat="false" ht="13.8" hidden="false" customHeight="false" outlineLevel="0" collapsed="false">
      <c r="A783" s="149" t="n">
        <f aca="false">IF(C783&lt;&gt;"",ROW(A778),"")</f>
        <v>778</v>
      </c>
      <c r="B783" s="150" t="str">
        <f aca="false">HYPERLINK("https://www.google.com/maps/dir/-15.917302,-47.760003/-15.9339445,-47.7670969/data=!4m3!4m2!3e0!5i1")</f>
        <v>https://www.google.com/maps/dir/-15.917302,-47.760003/-15.9339445,-47.7670969/data=!4m3!4m2!3e0!5i1</v>
      </c>
      <c r="C783" s="151" t="s">
        <v>117</v>
      </c>
      <c r="D783" s="152" t="s">
        <v>112</v>
      </c>
      <c r="E783" s="152" t="s">
        <v>113</v>
      </c>
      <c r="F783" s="152" t="s">
        <v>117</v>
      </c>
      <c r="G783" s="152" t="s">
        <v>114</v>
      </c>
      <c r="H783" s="152" t="n">
        <v>160</v>
      </c>
      <c r="I783" s="152" t="s">
        <v>115</v>
      </c>
      <c r="J783" s="152" t="s">
        <v>6</v>
      </c>
      <c r="K783" s="152" t="s">
        <v>4221</v>
      </c>
      <c r="L783" s="152" t="s">
        <v>120</v>
      </c>
      <c r="M783" s="153" t="n">
        <f aca="false">28.68</f>
        <v>28.68</v>
      </c>
      <c r="N783" s="152" t="s">
        <v>1548</v>
      </c>
      <c r="O783" s="152" t="s">
        <v>1549</v>
      </c>
      <c r="P783" s="152" t="s">
        <v>1550</v>
      </c>
      <c r="Q783" s="152" t="s">
        <v>1551</v>
      </c>
      <c r="R783" s="154" t="s">
        <v>4526</v>
      </c>
      <c r="S783" s="154" t="s">
        <v>1593</v>
      </c>
      <c r="T783" s="155" t="s">
        <v>4451</v>
      </c>
      <c r="U783" s="152" t="str">
        <f aca="false">RIGHT(T783,7)</f>
        <v>018/037</v>
      </c>
      <c r="V783" s="152" t="s">
        <v>1555</v>
      </c>
      <c r="W783" s="156" t="n">
        <v>45882</v>
      </c>
      <c r="X783" s="152" t="s">
        <v>1594</v>
      </c>
      <c r="Y783" s="152"/>
      <c r="Z783" s="152" t="s">
        <v>1557</v>
      </c>
      <c r="AA783" s="153" t="n">
        <v>3.9</v>
      </c>
      <c r="AB783" s="151" t="s">
        <v>4527</v>
      </c>
      <c r="AC783" s="151" t="s">
        <v>505</v>
      </c>
      <c r="AD783" s="151" t="str">
        <f aca="false">CONCATENATE($C783,$I783,$H783,$N783,$J783,$K783)</f>
        <v>TUBO PEADPEAD160VCAREDESZona07</v>
      </c>
      <c r="AE783" s="153" t="n">
        <f aca="false">IFERROR(INDEX(APOIO_REDES!$A:$W,MATCH($C783&amp;$I783&amp;$H783&amp;$N783&amp;$O783,APOIO_REDES!$W:$W,0),MATCH(AE$5,APOIO_REDES!$5:$5,0)),0)</f>
        <v>1.2</v>
      </c>
      <c r="AF783" s="153" t="n">
        <f aca="false">IFERROR(INDEX(APOIO_REDES!$A:$W,MATCH($C783&amp;$I783&amp;$H783&amp;$N783&amp;$O783,APOIO_REDES!$W:$W,0),MATCH(AF$5,APOIO_REDES!$5:$5,0)),0)</f>
        <v>1.46</v>
      </c>
      <c r="AG783" s="153" t="n">
        <f aca="false">IFERROR(INDEX(APOIO_REDES!$A:$W,MATCH($C783&amp;$I783&amp;$H783&amp;$N783&amp;$O783,APOIO_REDES!$W:$W,0),MATCH(AG$5,APOIO_REDES!$5:$5,0)),0)</f>
        <v>0.75</v>
      </c>
      <c r="AH783" s="153" t="n">
        <f aca="false">IFERROR(INDEX(APOIO_REDES!$A:$W,MATCH($C783&amp;$I783&amp;$H783&amp;$N783&amp;$O783,APOIO_REDES!$W:$W,0),MATCH(AH$5,APOIO_REDES!$5:$5,0)),0)</f>
        <v>0.1</v>
      </c>
      <c r="AI783" s="153" t="n">
        <f aca="false">IFERROR(IF($H783&lt;&gt;"",(((($H783/1000)/2)^2)*PI()*$M783),0),0)</f>
        <v>0.576645614751714</v>
      </c>
      <c r="AJ783" s="153" t="n">
        <f aca="false">IFERROR(IF(AND($H783&lt;&gt;"",$I783="FoFo",OR($N783="MND",$N783="VCA"),$Q783="LINEAR"),0,IF(AND($H783&lt;&gt;"",$I783="PEAD",$N783="VCA",$Q783="LINEAR"),($H783/1000)+0.3,IF(AND($H783&lt;&gt;"",$I783="PEAD",$N783="MND",$Q783="EMBOQUE"),0,IF(AND($H783&lt;&gt;"",$I783="PVC",$N783="VCA",$Q783="LINEAR"),($H783/1000)+0.2,IF(AND($H783&lt;&gt;"",$I783="PVC",$N783="MND",$Q783="EMBOQUE"),0,IF(AND($H783&lt;&gt;"",$I783="PEAD",$N783="VCA",$Q783="PREDIAL"),0,0)))))),0)</f>
        <v>0.46</v>
      </c>
      <c r="AK783" s="153" t="n">
        <f aca="false">IF(AA783&lt;&gt;"",AA783,0)</f>
        <v>3.9</v>
      </c>
      <c r="AL783" s="153" t="n">
        <f aca="false">IF(AND($N783="MND",$Q783="EMBOQUE"),$M783,IF(AND($N783="VCA",$Q783="LINEAR"),$M783,IF(AND($N783="VCA",$Q783="PREDIAL"),0,0)))</f>
        <v>28.68</v>
      </c>
      <c r="AM783" s="153" t="n">
        <f aca="false">IF(AND($N783="MND",$Q783="EMBOQUE"),$M783,IF(AND($N783="VCA",$Q783="LINEAR"),$M783,IF(AND($N783="VCA",$Q783="PREDIAL"),0,0)))</f>
        <v>28.68</v>
      </c>
      <c r="AN783" s="153" t="n">
        <f aca="false">ROUND(IF(AND($N783="VCA",$M783&lt;&gt;"",$Q783="LINEAR"),$M783/100,IF(AND($N783="MND",$M783&gt;100,$Q783="EMBOQUE"),$M783/100,0)),0)</f>
        <v>0</v>
      </c>
      <c r="AO783" s="153" t="n">
        <f aca="false">IF(AND($N783="MND",$Q783="EMBOQUE"),$AN783*2*2,IF(AND($N783="VCA",$Q783="LINEAR"),$M783*2,IF(AND($N783="VCA",$Q783="PREDIAL"),0,0)))</f>
        <v>57.36</v>
      </c>
      <c r="AP783" s="153" t="n">
        <f aca="false">IFERROR($M783*$AF783*$AG783,0)</f>
        <v>31.4046</v>
      </c>
      <c r="AQ783" s="153" t="n">
        <f aca="false">IFERROR(IF(AND($N783="VCA",$AH783&gt;0),$M783*$AG783*$AH783,0),0)</f>
        <v>2.151</v>
      </c>
      <c r="AR783" s="153" t="n">
        <f aca="false">IFERROR(IF(AND($N783="VCA",$AJ783&gt;0),($M783*$AG783*$AJ783)-$AI783,0),0)</f>
        <v>9.31795438524829</v>
      </c>
      <c r="AS783" s="153" t="n">
        <f aca="false">IFERROR(IF(AND($N783="VCA",$AP783&gt;0),$AP783-$AI783-$AQ783-$AR783,0),0)</f>
        <v>19.359</v>
      </c>
      <c r="AT783" s="153" t="n">
        <f aca="false">IFERROR(IF($N783="VCA",INDEX(APOIO_REDES!$A:$W,MATCH($C783&amp;$I783&amp;$H783&amp;$N783&amp;$O783,APOIO_REDES!$W:$W,0),MATCH(AT$5,APOIO_REDES!$5:$5,0)),0)*$AP783,0)</f>
        <v>0.341691343287123</v>
      </c>
      <c r="AU783" s="153" t="n">
        <f aca="false">IFERROR(IF($N783="VCA",INDEX(APOIO_REDES!$A:$W,MATCH($C783&amp;$I783&amp;$H783&amp;$N783&amp;$O783,APOIO_REDES!$W:$W,0),MATCH(AU$5,APOIO_REDES!$5:$5,0)),0)*$AP783,0)</f>
        <v>0.272865452573901</v>
      </c>
      <c r="AV783" s="153" t="n">
        <f aca="false">IFERROR(IF($N783="VCA",INDEX(APOIO_REDES!$A:$W,MATCH($C783&amp;$I783&amp;$H783&amp;$N783&amp;$O783,APOIO_REDES!$W:$W,0),MATCH(AV$5,APOIO_REDES!$5:$5,0)),0)*$AP783,0)</f>
        <v>0.0377624365584385</v>
      </c>
      <c r="AW783" s="153" t="n">
        <f aca="false">IFERROR(IF($N783="VCA",INDEX(APOIO_REDES!$A:$W,MATCH($C783&amp;$I783&amp;$H783&amp;$N783&amp;$O783,APOIO_REDES!$W:$W,0),MATCH(AW$5,APOIO_REDES!$5:$5,0)),0)*$AP783,0)</f>
        <v>21.556360774715</v>
      </c>
      <c r="AX783" s="153" t="n">
        <f aca="false">IFERROR(IF($N783="VCA",INDEX(APOIO_REDES!$A:$W,MATCH($C783&amp;$I783&amp;$H783&amp;$N783&amp;$O783,APOIO_REDES!$W:$W,0),MATCH(AX$5,APOIO_REDES!$5:$5,0)),0)*$AP783,0)</f>
        <v>2.98333892676456</v>
      </c>
      <c r="AY783" s="153" t="n">
        <f aca="false">IFERROR(IF($N783="VCA",INDEX(APOIO_REDES!$A:$W,MATCH($C783&amp;$I783&amp;$H783&amp;$N783&amp;$O783,APOIO_REDES!$W:$W,0),MATCH(AY$5,APOIO_REDES!$5:$5,0)),0)*$AP783,0)</f>
        <v>5.45730572527028</v>
      </c>
      <c r="AZ783" s="153" t="n">
        <f aca="false">IFERROR(IF($N783="VCA",INDEX(APOIO_REDES!$A:$W,MATCH($C783&amp;$I783&amp;$H783&amp;$N783&amp;$O783,APOIO_REDES!$W:$W,0),MATCH(AZ$5,APOIO_REDES!$5:$5,0)),0)*$AP783,0)</f>
        <v>0.75527534083075</v>
      </c>
      <c r="BA783" s="153" t="n">
        <f aca="false">IFERROR(IF(AND($N783="VCA",$Q783="LINEAR"),INDEX(APOIO_REDES!$A:$W,MATCH($C783&amp;$I783&amp;$H783&amp;$N783&amp;$O783,APOIO_REDES!$W:$W,0),MATCH(BA$5,APOIO_REDES!$5:$5,0)),IF(AND($N783="MND",$Q783="EMBOQUE"),INDEX(APOIO_REDES!$A:$W,MATCH($C783&amp;$I783&amp;$H783&amp;$N783&amp;$O783,APOIO_REDES!$W:$W,0),MATCH(BA$5,APOIO_REDES!$5:$5,0)),0))*$M783/10,0)</f>
        <v>2.3115356569881</v>
      </c>
      <c r="BB783" s="153" t="n">
        <f aca="false">IFERROR(IF($N783="VCA",INDEX(APOIO_REDES!$A:$W,MATCH($C783&amp;$I783&amp;$H783&amp;$N783&amp;$O783,APOIO_REDES!$W:$W,0),MATCH(BB$5,APOIO_REDES!$5:$5,0)),0)*($AI783+$AQ783+$AR783),0)</f>
        <v>11.9145403066844</v>
      </c>
      <c r="BC783" s="153" t="n">
        <f aca="false">IFERROR(IF($N783="VCA",INDEX(APOIO_REDES!$A:$W,MATCH($C783&amp;$I783&amp;$H783&amp;$N783&amp;$O783,APOIO_REDES!$W:$W,0),MATCH(BC$5,APOIO_REDES!$5:$5,0)),0)*($AI783+$AQ783+$AR783),0)</f>
        <v>0.131059693315609</v>
      </c>
      <c r="BD783" s="153" t="n">
        <f aca="false">IF(AND($N783="VCA",$AF783&gt;=1.25,$AF783&lt;1.5),$M783*$AF783*2,0)</f>
        <v>83.7456</v>
      </c>
      <c r="BE783" s="153" t="n">
        <f aca="false">IF(AND($N783="VCA",$AF783&gt;=1.5,$AF783&lt;3),$M783*$AF783*2,0)</f>
        <v>0</v>
      </c>
      <c r="BF783" s="153" t="n">
        <f aca="false">IF(AND($N783="VCA",$AF783&gt;=3),$M783*$AF783*2,0)</f>
        <v>0</v>
      </c>
      <c r="BG783" s="153" t="n">
        <f aca="false">($BB783+$BC783)*$AK783</f>
        <v>46.97784</v>
      </c>
      <c r="BH783" s="153" t="n">
        <f aca="false">IF(AND($M783&lt;&gt;"",$N783="VCA",$Q783="LINEAR"),($M783*2)/100,IF(AND($M783&lt;&gt;"",$N783="MND",$Q783="EMBOQUE"),($AN783*2)/100,0))</f>
        <v>0.5736</v>
      </c>
      <c r="BI783" s="153" t="n">
        <f aca="false">IF(AND($M783&lt;&gt;"",$N783="VCA",$Q783="LINEAR"),$M783,IF(AND($M783&lt;&gt;"",$N783="MND",$Q783="EMBOQUE"),$AN783*2,0))</f>
        <v>28.68</v>
      </c>
      <c r="BJ783" s="153" t="n">
        <f aca="false">IF(AND($M783&lt;&gt;"",$N783="VCA",$Q783="LINEAR"),($M783*6.8)/100,IF(AND($M783&lt;&gt;"",$N783="MND",$Q783="EMBOQUE"),($AN783*2*6.8)/100,0))</f>
        <v>1.95024</v>
      </c>
      <c r="BK783" s="153" t="n">
        <f aca="false">IF(AND($M783&lt;&gt;"",$N783="VCA",$Q783="LINEAR"),($M783*2.5)/50,IF(AND($M783&lt;&gt;"",$N783="MND",$Q783="EMBOQUE"),($AN783*2*2.5)/50,0))</f>
        <v>1.434</v>
      </c>
      <c r="BL783" s="157" t="str">
        <f aca="false">K783&amp;J783</f>
        <v>Zona07REDES</v>
      </c>
      <c r="BM783" s="152" t="s">
        <v>4225</v>
      </c>
      <c r="BN783" s="152" t="s">
        <v>1560</v>
      </c>
      <c r="BO783" s="152" t="s">
        <v>4454</v>
      </c>
      <c r="BP783" s="152" t="s">
        <v>4516</v>
      </c>
      <c r="BQ783" s="152" t="s">
        <v>4520</v>
      </c>
      <c r="BR783" s="152" t="s">
        <v>4528</v>
      </c>
      <c r="BS783" s="152" t="n">
        <v>203748.544</v>
      </c>
      <c r="BT783" s="152" t="n">
        <v>8236406.371</v>
      </c>
      <c r="BU783" s="152" t="n">
        <v>203772.797</v>
      </c>
      <c r="BV783" s="152" t="n">
        <v>8236391.277</v>
      </c>
      <c r="BW783" s="152" t="n">
        <v>-15.9340047</v>
      </c>
      <c r="BX783" s="152" t="n">
        <v>-47.7669777</v>
      </c>
      <c r="BY783" s="152" t="s">
        <v>4516</v>
      </c>
    </row>
    <row r="784" customFormat="false" ht="13.8" hidden="false" customHeight="false" outlineLevel="0" collapsed="false">
      <c r="A784" s="149" t="n">
        <f aca="false">IF(C784&lt;&gt;"",ROW(A779),"")</f>
        <v>779</v>
      </c>
      <c r="B784" s="150" t="str">
        <f aca="false">HYPERLINK("https://www.google.com/maps/dir/-15.917302,-47.760003/-15.9313264,-47.7627094/data=!4m3!4m2!3e0!5i2")</f>
        <v>https://www.google.com/maps/dir/-15.917302,-47.760003/-15.9313264,-47.7627094/data=!4m3!4m2!3e0!5i2</v>
      </c>
      <c r="C784" s="151" t="s">
        <v>117</v>
      </c>
      <c r="D784" s="152" t="s">
        <v>112</v>
      </c>
      <c r="E784" s="152" t="s">
        <v>113</v>
      </c>
      <c r="F784" s="152" t="s">
        <v>117</v>
      </c>
      <c r="G784" s="152" t="s">
        <v>114</v>
      </c>
      <c r="H784" s="152" t="n">
        <v>400</v>
      </c>
      <c r="I784" s="152" t="s">
        <v>115</v>
      </c>
      <c r="J784" s="152" t="s">
        <v>6</v>
      </c>
      <c r="K784" s="152" t="s">
        <v>2224</v>
      </c>
      <c r="L784" s="152" t="s">
        <v>120</v>
      </c>
      <c r="M784" s="153" t="n">
        <f aca="false">593.72</f>
        <v>593.72</v>
      </c>
      <c r="N784" s="152" t="s">
        <v>1548</v>
      </c>
      <c r="O784" s="152" t="s">
        <v>1549</v>
      </c>
      <c r="P784" s="152" t="s">
        <v>1550</v>
      </c>
      <c r="Q784" s="152" t="s">
        <v>1551</v>
      </c>
      <c r="R784" s="154" t="s">
        <v>4529</v>
      </c>
      <c r="S784" s="154" t="s">
        <v>2226</v>
      </c>
      <c r="T784" s="155" t="s">
        <v>4216</v>
      </c>
      <c r="U784" s="152" t="str">
        <f aca="false">RIGHT(T784,7)</f>
        <v>019/037</v>
      </c>
      <c r="V784" s="152" t="s">
        <v>1555</v>
      </c>
      <c r="W784" s="156" t="n">
        <v>45882</v>
      </c>
      <c r="X784" s="152" t="s">
        <v>3938</v>
      </c>
      <c r="Y784" s="152" t="s">
        <v>2117</v>
      </c>
      <c r="Z784" s="152" t="s">
        <v>1557</v>
      </c>
      <c r="AA784" s="153" t="n">
        <v>3.4</v>
      </c>
      <c r="AB784" s="151" t="s">
        <v>4530</v>
      </c>
      <c r="AC784" s="151" t="s">
        <v>520</v>
      </c>
      <c r="AD784" s="151" t="str">
        <f aca="false">CONCATENATE($C784,$I784,$H784,$N784,$J784,$K784)</f>
        <v>TUBO PEADPEAD400VCAREDESADUTORA</v>
      </c>
      <c r="AE784" s="153" t="n">
        <f aca="false">IFERROR(INDEX(APOIO_REDES!$A:$W,MATCH($C784&amp;$I784&amp;$H784&amp;$N784&amp;$O784,APOIO_REDES!$W:$W,0),MATCH(AE$5,APOIO_REDES!$5:$5,0)),0)</f>
        <v>1.2</v>
      </c>
      <c r="AF784" s="153" t="n">
        <f aca="false">IFERROR(INDEX(APOIO_REDES!$A:$W,MATCH($C784&amp;$I784&amp;$H784&amp;$N784&amp;$O784,APOIO_REDES!$W:$W,0),MATCH(AF$5,APOIO_REDES!$5:$5,0)),0)</f>
        <v>1.7</v>
      </c>
      <c r="AG784" s="153" t="n">
        <f aca="false">IFERROR(INDEX(APOIO_REDES!$A:$W,MATCH($C784&amp;$I784&amp;$H784&amp;$N784&amp;$O784,APOIO_REDES!$W:$W,0),MATCH(AG$5,APOIO_REDES!$5:$5,0)),0)</f>
        <v>1</v>
      </c>
      <c r="AH784" s="153" t="n">
        <f aca="false">IFERROR(INDEX(APOIO_REDES!$A:$W,MATCH($C784&amp;$I784&amp;$H784&amp;$N784&amp;$O784,APOIO_REDES!$W:$W,0),MATCH(AH$5,APOIO_REDES!$5:$5,0)),0)</f>
        <v>0.1</v>
      </c>
      <c r="AI784" s="153" t="n">
        <f aca="false">IFERROR(IF($H784&lt;&gt;"",(((($H784/1000)/2)^2)*PI()*$M784),0),0)</f>
        <v>74.6090556115733</v>
      </c>
      <c r="AJ784" s="153" t="n">
        <f aca="false">IFERROR(IF(AND($H784&lt;&gt;"",$I784="FoFo",OR($N784="MND",$N784="VCA"),$Q784="LINEAR"),0,IF(AND($H784&lt;&gt;"",$I784="PEAD",$N784="VCA",$Q784="LINEAR"),($H784/1000)+0.3,IF(AND($H784&lt;&gt;"",$I784="PEAD",$N784="MND",$Q784="EMBOQUE"),0,IF(AND($H784&lt;&gt;"",$I784="PVC",$N784="VCA",$Q784="LINEAR"),($H784/1000)+0.2,IF(AND($H784&lt;&gt;"",$I784="PVC",$N784="MND",$Q784="EMBOQUE"),0,IF(AND($H784&lt;&gt;"",$I784="PEAD",$N784="VCA",$Q784="PREDIAL"),0,0)))))),0)</f>
        <v>0.7</v>
      </c>
      <c r="AK784" s="153" t="n">
        <f aca="false">IF(AA784&lt;&gt;"",AA784,0)</f>
        <v>3.4</v>
      </c>
      <c r="AL784" s="153" t="n">
        <f aca="false">IF(AND($N784="MND",$Q784="EMBOQUE"),$M784,IF(AND($N784="VCA",$Q784="LINEAR"),$M784,IF(AND($N784="VCA",$Q784="PREDIAL"),0,0)))</f>
        <v>593.72</v>
      </c>
      <c r="AM784" s="153" t="n">
        <f aca="false">IF(AND($N784="MND",$Q784="EMBOQUE"),$M784,IF(AND($N784="VCA",$Q784="LINEAR"),$M784,IF(AND($N784="VCA",$Q784="PREDIAL"),0,0)))</f>
        <v>593.72</v>
      </c>
      <c r="AN784" s="153" t="n">
        <f aca="false">ROUND(IF(AND($N784="VCA",$M784&lt;&gt;"",$Q784="LINEAR"),$M784/100,IF(AND($N784="MND",$M784&gt;100,$Q784="EMBOQUE"),$M784/100,0)),0)</f>
        <v>6</v>
      </c>
      <c r="AO784" s="153" t="n">
        <f aca="false">IF(AND($N784="MND",$Q784="EMBOQUE"),$AN784*2*2,IF(AND($N784="VCA",$Q784="LINEAR"),$M784*2,IF(AND($N784="VCA",$Q784="PREDIAL"),0,0)))</f>
        <v>1187.44</v>
      </c>
      <c r="AP784" s="153" t="n">
        <f aca="false">IFERROR($M784*$AF784*$AG784,0)</f>
        <v>1009.324</v>
      </c>
      <c r="AQ784" s="153" t="n">
        <f aca="false">IFERROR(IF(AND($N784="VCA",$AH784&gt;0),$M784*$AG784*$AH784,0),0)</f>
        <v>59.372</v>
      </c>
      <c r="AR784" s="153" t="n">
        <f aca="false">IFERROR(IF(AND($N784="VCA",$AJ784&gt;0),($M784*$AG784*$AJ784)-$AI784,0),0)</f>
        <v>340.994944388427</v>
      </c>
      <c r="AS784" s="153" t="n">
        <f aca="false">IFERROR(IF(AND($N784="VCA",$AP784&gt;0),$AP784-$AI784-$AQ784-$AR784,0),0)</f>
        <v>534.348</v>
      </c>
      <c r="AT784" s="153" t="n">
        <f aca="false">IFERROR(IF($N784="VCA",INDEX(APOIO_REDES!$A:$W,MATCH($C784&amp;$I784&amp;$H784&amp;$N784&amp;$O784,APOIO_REDES!$W:$W,0),MATCH(AT$5,APOIO_REDES!$5:$5,0)),0)*$AP784,0)</f>
        <v>10.9817438646546</v>
      </c>
      <c r="AU784" s="153" t="n">
        <f aca="false">IFERROR(IF($N784="VCA",INDEX(APOIO_REDES!$A:$W,MATCH($C784&amp;$I784&amp;$H784&amp;$N784&amp;$O784,APOIO_REDES!$W:$W,0),MATCH(AU$5,APOIO_REDES!$5:$5,0)),0)*$AP784,0)</f>
        <v>8.76972322696994</v>
      </c>
      <c r="AV784" s="153" t="n">
        <f aca="false">IFERROR(IF($N784="VCA",INDEX(APOIO_REDES!$A:$W,MATCH($C784&amp;$I784&amp;$H784&amp;$N784&amp;$O784,APOIO_REDES!$W:$W,0),MATCH(AV$5,APOIO_REDES!$5:$5,0)),0)*$AP784,0)</f>
        <v>1.21366084958603</v>
      </c>
      <c r="AW784" s="153" t="n">
        <f aca="false">IFERROR(IF($N784="VCA",INDEX(APOIO_REDES!$A:$W,MATCH($C784&amp;$I784&amp;$H784&amp;$N784&amp;$O784,APOIO_REDES!$W:$W,0),MATCH(AW$5,APOIO_REDES!$5:$5,0)),0)*$AP784,0)</f>
        <v>692.80781422398</v>
      </c>
      <c r="AX784" s="153" t="n">
        <f aca="false">IFERROR(IF($N784="VCA",INDEX(APOIO_REDES!$A:$W,MATCH($C784&amp;$I784&amp;$H784&amp;$N784&amp;$O784,APOIO_REDES!$W:$W,0),MATCH(AX$5,APOIO_REDES!$5:$5,0)),0)*$AP784,0)</f>
        <v>95.8826279881838</v>
      </c>
      <c r="AY784" s="153" t="n">
        <f aca="false">IFERROR(IF($N784="VCA",INDEX(APOIO_REDES!$A:$W,MATCH($C784&amp;$I784&amp;$H784&amp;$N784&amp;$O784,APOIO_REDES!$W:$W,0),MATCH(AY$5,APOIO_REDES!$5:$5,0)),0)*$AP784,0)</f>
        <v>175.394357637184</v>
      </c>
      <c r="AZ784" s="153" t="n">
        <f aca="false">IFERROR(IF($N784="VCA",INDEX(APOIO_REDES!$A:$W,MATCH($C784&amp;$I784&amp;$H784&amp;$N784&amp;$O784,APOIO_REDES!$W:$W,0),MATCH(AZ$5,APOIO_REDES!$5:$5,0)),0)*$AP784,0)</f>
        <v>24.2740722094424</v>
      </c>
      <c r="BA784" s="153" t="n">
        <f aca="false">IFERROR(IF(AND($N784="VCA",$Q784="LINEAR"),INDEX(APOIO_REDES!$A:$W,MATCH($C784&amp;$I784&amp;$H784&amp;$N784&amp;$O784,APOIO_REDES!$W:$W,0),MATCH(BA$5,APOIO_REDES!$5:$5,0)),IF(AND($N784="MND",$Q784="EMBOQUE"),INDEX(APOIO_REDES!$A:$W,MATCH($C784&amp;$I784&amp;$H784&amp;$N784&amp;$O784,APOIO_REDES!$W:$W,0),MATCH(BA$5,APOIO_REDES!$5:$5,0)),0))*$M784/10,0)</f>
        <v>47.8523343886672</v>
      </c>
      <c r="BB784" s="153" t="n">
        <f aca="false">IFERROR(IF($N784="VCA",INDEX(APOIO_REDES!$A:$W,MATCH($C784&amp;$I784&amp;$H784&amp;$N784&amp;$O784,APOIO_REDES!$W:$W,0),MATCH(BB$5,APOIO_REDES!$5:$5,0)),0)*($AI784+$AQ784+$AR784),0)</f>
        <v>469.80812053428</v>
      </c>
      <c r="BC784" s="153" t="n">
        <f aca="false">IFERROR(IF($N784="VCA",INDEX(APOIO_REDES!$A:$W,MATCH($C784&amp;$I784&amp;$H784&amp;$N784&amp;$O784,APOIO_REDES!$W:$W,0),MATCH(BC$5,APOIO_REDES!$5:$5,0)),0)*($AI784+$AQ784+$AR784),0)</f>
        <v>5.16787946571982</v>
      </c>
      <c r="BD784" s="153" t="n">
        <f aca="false">IF(AND($N784="VCA",$AF784&gt;=1.25,$AF784&lt;1.5),$M784*$AF784*2,0)</f>
        <v>0</v>
      </c>
      <c r="BE784" s="153" t="n">
        <f aca="false">IF(AND($N784="VCA",$AF784&gt;=1.5,$AF784&lt;3),$M784*$AF784*2,0)</f>
        <v>2018.648</v>
      </c>
      <c r="BF784" s="153" t="n">
        <f aca="false">IF(AND($N784="VCA",$AF784&gt;=3),$M784*$AF784*2,0)</f>
        <v>0</v>
      </c>
      <c r="BG784" s="153" t="n">
        <f aca="false">($BB784+$BC784)*$AK784</f>
        <v>1614.9184</v>
      </c>
      <c r="BH784" s="153" t="n">
        <f aca="false">IF(AND($M784&lt;&gt;"",$N784="VCA",$Q784="LINEAR"),($M784*2)/100,IF(AND($M784&lt;&gt;"",$N784="MND",$Q784="EMBOQUE"),($AN784*2)/100,0))</f>
        <v>11.8744</v>
      </c>
      <c r="BI784" s="153" t="n">
        <f aca="false">IF(AND($M784&lt;&gt;"",$N784="VCA",$Q784="LINEAR"),$M784,IF(AND($M784&lt;&gt;"",$N784="MND",$Q784="EMBOQUE"),$AN784*2,0))</f>
        <v>593.72</v>
      </c>
      <c r="BJ784" s="153" t="n">
        <f aca="false">IF(AND($M784&lt;&gt;"",$N784="VCA",$Q784="LINEAR"),($M784*6.8)/100,IF(AND($M784&lt;&gt;"",$N784="MND",$Q784="EMBOQUE"),($AN784*2*6.8)/100,0))</f>
        <v>40.37296</v>
      </c>
      <c r="BK784" s="153" t="n">
        <f aca="false">IF(AND($M784&lt;&gt;"",$N784="VCA",$Q784="LINEAR"),($M784*2.5)/50,IF(AND($M784&lt;&gt;"",$N784="MND",$Q784="EMBOQUE"),($AN784*2*2.5)/50,0))</f>
        <v>29.686</v>
      </c>
      <c r="BL784" s="157" t="str">
        <f aca="false">K784&amp;J784</f>
        <v>ADUTORAREDES</v>
      </c>
      <c r="BM784" s="152" t="s">
        <v>2229</v>
      </c>
      <c r="BN784" s="152" t="s">
        <v>2230</v>
      </c>
      <c r="BO784" s="152" t="s">
        <v>4218</v>
      </c>
      <c r="BP784" s="152" t="s">
        <v>4292</v>
      </c>
      <c r="BQ784" s="152" t="s">
        <v>2032</v>
      </c>
      <c r="BR784" s="152" t="s">
        <v>4531</v>
      </c>
      <c r="BS784" s="152" t="n">
        <v>204214.619</v>
      </c>
      <c r="BT784" s="152" t="n">
        <v>8236702.403</v>
      </c>
      <c r="BU784" s="152" t="n">
        <v>203803.711</v>
      </c>
      <c r="BV784" s="152" t="n">
        <v>8236279.579</v>
      </c>
      <c r="BW784" s="152" t="n">
        <v>-15.9332148</v>
      </c>
      <c r="BX784" s="152" t="n">
        <v>-47.764626</v>
      </c>
      <c r="BY784" s="152" t="s">
        <v>4292</v>
      </c>
    </row>
    <row r="785" customFormat="false" ht="13.8" hidden="false" customHeight="false" outlineLevel="0" collapsed="false">
      <c r="A785" s="149" t="n">
        <f aca="false">IF(C785&lt;&gt;"",ROW(A780),"")</f>
        <v>780</v>
      </c>
      <c r="B785" s="150" t="str">
        <f aca="false">HYPERLINK("https://www.google.com/maps/dir/-15.917302,-47.760003/-15.9317797,-47.7663931/data=!4m3!4m2!3e0!5i2")</f>
        <v>https://www.google.com/maps/dir/-15.917302,-47.760003/-15.9317797,-47.7663931/data=!4m3!4m2!3e0!5i2</v>
      </c>
      <c r="C785" s="151" t="s">
        <v>117</v>
      </c>
      <c r="D785" s="152" t="s">
        <v>112</v>
      </c>
      <c r="E785" s="152" t="s">
        <v>113</v>
      </c>
      <c r="F785" s="152" t="s">
        <v>117</v>
      </c>
      <c r="G785" s="152" t="s">
        <v>782</v>
      </c>
      <c r="H785" s="152" t="n">
        <v>63</v>
      </c>
      <c r="I785" s="152" t="s">
        <v>115</v>
      </c>
      <c r="J785" s="152" t="s">
        <v>6</v>
      </c>
      <c r="K785" s="152" t="s">
        <v>4221</v>
      </c>
      <c r="L785" s="152" t="s">
        <v>120</v>
      </c>
      <c r="M785" s="153" t="n">
        <f aca="false">43.9</f>
        <v>43.9</v>
      </c>
      <c r="N785" s="152" t="s">
        <v>1548</v>
      </c>
      <c r="O785" s="152" t="s">
        <v>1549</v>
      </c>
      <c r="P785" s="152" t="s">
        <v>1550</v>
      </c>
      <c r="Q785" s="152" t="s">
        <v>1551</v>
      </c>
      <c r="R785" s="154" t="s">
        <v>4532</v>
      </c>
      <c r="S785" s="154" t="s">
        <v>1553</v>
      </c>
      <c r="T785" s="155" t="s">
        <v>4216</v>
      </c>
      <c r="U785" s="152" t="str">
        <f aca="false">RIGHT(T785,7)</f>
        <v>019/037</v>
      </c>
      <c r="V785" s="152" t="s">
        <v>1555</v>
      </c>
      <c r="W785" s="156" t="n">
        <v>45882</v>
      </c>
      <c r="X785" s="152" t="s">
        <v>1594</v>
      </c>
      <c r="Y785" s="152" t="s">
        <v>4030</v>
      </c>
      <c r="Z785" s="152" t="s">
        <v>1557</v>
      </c>
      <c r="AA785" s="153" t="n">
        <v>3.8</v>
      </c>
      <c r="AB785" s="151" t="s">
        <v>4533</v>
      </c>
      <c r="AC785" s="151" t="s">
        <v>186</v>
      </c>
      <c r="AD785" s="151" t="str">
        <f aca="false">CONCATENATE($C785,$I785,$H785,$N785,$J785,$K785)</f>
        <v>TUBO PEADPEAD63VCAREDESZona07</v>
      </c>
      <c r="AE785" s="153" t="n">
        <f aca="false">IFERROR(INDEX(APOIO_REDES!$A:$W,MATCH($C785&amp;$I785&amp;$H785&amp;$N785&amp;$O785,APOIO_REDES!$W:$W,0),MATCH(AE$5,APOIO_REDES!$5:$5,0)),0)</f>
        <v>1.2</v>
      </c>
      <c r="AF785" s="153" t="n">
        <f aca="false">IFERROR(INDEX(APOIO_REDES!$A:$W,MATCH($C785&amp;$I785&amp;$H785&amp;$N785&amp;$O785,APOIO_REDES!$W:$W,0),MATCH(AF$5,APOIO_REDES!$5:$5,0)),0)</f>
        <v>1.363</v>
      </c>
      <c r="AG785" s="153" t="n">
        <f aca="false">IFERROR(INDEX(APOIO_REDES!$A:$W,MATCH($C785&amp;$I785&amp;$H785&amp;$N785&amp;$O785,APOIO_REDES!$W:$W,0),MATCH(AG$5,APOIO_REDES!$5:$5,0)),0)</f>
        <v>0.65</v>
      </c>
      <c r="AH785" s="153" t="n">
        <f aca="false">IFERROR(INDEX(APOIO_REDES!$A:$W,MATCH($C785&amp;$I785&amp;$H785&amp;$N785&amp;$O785,APOIO_REDES!$W:$W,0),MATCH(AH$5,APOIO_REDES!$5:$5,0)),0)</f>
        <v>0.1</v>
      </c>
      <c r="AI785" s="153" t="n">
        <f aca="false">IFERROR(IF($H785&lt;&gt;"",(((($H785/1000)/2)^2)*PI()*$M785),0),0)</f>
        <v>0.136847069132024</v>
      </c>
      <c r="AJ785" s="153" t="n">
        <f aca="false">IFERROR(IF(AND($H785&lt;&gt;"",$I785="FoFo",OR($N785="MND",$N785="VCA"),$Q785="LINEAR"),0,IF(AND($H785&lt;&gt;"",$I785="PEAD",$N785="VCA",$Q785="LINEAR"),($H785/1000)+0.3,IF(AND($H785&lt;&gt;"",$I785="PEAD",$N785="MND",$Q785="EMBOQUE"),0,IF(AND($H785&lt;&gt;"",$I785="PVC",$N785="VCA",$Q785="LINEAR"),($H785/1000)+0.2,IF(AND($H785&lt;&gt;"",$I785="PVC",$N785="MND",$Q785="EMBOQUE"),0,IF(AND($H785&lt;&gt;"",$I785="PEAD",$N785="VCA",$Q785="PREDIAL"),0,0)))))),0)</f>
        <v>0.363</v>
      </c>
      <c r="AK785" s="153" t="n">
        <f aca="false">IF(AA785&lt;&gt;"",AA785,0)</f>
        <v>3.8</v>
      </c>
      <c r="AL785" s="153" t="n">
        <f aca="false">IF(AND($N785="MND",$Q785="EMBOQUE"),$M785,IF(AND($N785="VCA",$Q785="LINEAR"),$M785,IF(AND($N785="VCA",$Q785="PREDIAL"),0,0)))</f>
        <v>43.9</v>
      </c>
      <c r="AM785" s="153" t="n">
        <f aca="false">IF(AND($N785="MND",$Q785="EMBOQUE"),$M785,IF(AND($N785="VCA",$Q785="LINEAR"),$M785,IF(AND($N785="VCA",$Q785="PREDIAL"),0,0)))</f>
        <v>43.9</v>
      </c>
      <c r="AN785" s="153" t="n">
        <f aca="false">ROUND(IF(AND($N785="VCA",$M785&lt;&gt;"",$Q785="LINEAR"),$M785/100,IF(AND($N785="MND",$M785&gt;100,$Q785="EMBOQUE"),$M785/100,0)),0)</f>
        <v>0</v>
      </c>
      <c r="AO785" s="153" t="n">
        <f aca="false">IF(AND($N785="MND",$Q785="EMBOQUE"),$AN785*2*2,IF(AND($N785="VCA",$Q785="LINEAR"),$M785*2,IF(AND($N785="VCA",$Q785="PREDIAL"),0,0)))</f>
        <v>87.8</v>
      </c>
      <c r="AP785" s="153" t="n">
        <f aca="false">IFERROR($M785*$AF785*$AG785,0)</f>
        <v>38.893205</v>
      </c>
      <c r="AQ785" s="153" t="n">
        <f aca="false">IFERROR(IF(AND($N785="VCA",$AH785&gt;0),$M785*$AG785*$AH785,0),0)</f>
        <v>2.8535</v>
      </c>
      <c r="AR785" s="153" t="n">
        <f aca="false">IFERROR(IF(AND($N785="VCA",$AJ785&gt;0),($M785*$AG785*$AJ785)-$AI785,0),0)</f>
        <v>10.221357930868</v>
      </c>
      <c r="AS785" s="153" t="n">
        <f aca="false">IFERROR(IF(AND($N785="VCA",$AP785&gt;0),$AP785-$AI785-$AQ785-$AR785,0),0)</f>
        <v>25.6815</v>
      </c>
      <c r="AT785" s="153" t="n">
        <f aca="false">IFERROR(IF($N785="VCA",INDEX(APOIO_REDES!$A:$W,MATCH($C785&amp;$I785&amp;$H785&amp;$N785&amp;$O785,APOIO_REDES!$W:$W,0),MATCH(AT$5,APOIO_REDES!$5:$5,0)),0)*$AP785,0)</f>
        <v>0.423169582201061</v>
      </c>
      <c r="AU785" s="153" t="n">
        <f aca="false">IFERROR(IF($N785="VCA",INDEX(APOIO_REDES!$A:$W,MATCH($C785&amp;$I785&amp;$H785&amp;$N785&amp;$O785,APOIO_REDES!$W:$W,0),MATCH(AU$5,APOIO_REDES!$5:$5,0)),0)*$AP785,0)</f>
        <v>0.337931767460006</v>
      </c>
      <c r="AV785" s="153" t="n">
        <f aca="false">IFERROR(IF($N785="VCA",INDEX(APOIO_REDES!$A:$W,MATCH($C785&amp;$I785&amp;$H785&amp;$N785&amp;$O785,APOIO_REDES!$W:$W,0),MATCH(AV$5,APOIO_REDES!$5:$5,0)),0)*$AP785,0)</f>
        <v>0.0467671037480765</v>
      </c>
      <c r="AW785" s="153" t="n">
        <f aca="false">IFERROR(IF($N785="VCA",INDEX(APOIO_REDES!$A:$W,MATCH($C785&amp;$I785&amp;$H785&amp;$N785&amp;$O785,APOIO_REDES!$W:$W,0),MATCH(AW$5,APOIO_REDES!$5:$5,0)),0)*$AP785,0)</f>
        <v>26.696597271258</v>
      </c>
      <c r="AX785" s="153" t="n">
        <f aca="false">IFERROR(IF($N785="VCA",INDEX(APOIO_REDES!$A:$W,MATCH($C785&amp;$I785&amp;$H785&amp;$N785&amp;$O785,APOIO_REDES!$W:$W,0),MATCH(AX$5,APOIO_REDES!$5:$5,0)),0)*$AP785,0)</f>
        <v>3.69473301564529</v>
      </c>
      <c r="AY785" s="153" t="n">
        <f aca="false">IFERROR(IF($N785="VCA",INDEX(APOIO_REDES!$A:$W,MATCH($C785&amp;$I785&amp;$H785&amp;$N785&amp;$O785,APOIO_REDES!$W:$W,0),MATCH(AY$5,APOIO_REDES!$5:$5,0)),0)*$AP785,0)</f>
        <v>6.75863122983928</v>
      </c>
      <c r="AZ785" s="153" t="n">
        <f aca="false">IFERROR(IF($N785="VCA",INDEX(APOIO_REDES!$A:$W,MATCH($C785&amp;$I785&amp;$H785&amp;$N785&amp;$O785,APOIO_REDES!$W:$W,0),MATCH(AZ$5,APOIO_REDES!$5:$5,0)),0)*$AP785,0)</f>
        <v>0.935375029848342</v>
      </c>
      <c r="BA785" s="153" t="n">
        <f aca="false">IFERROR(IF(AND($N785="VCA",$Q785="LINEAR"),INDEX(APOIO_REDES!$A:$W,MATCH($C785&amp;$I785&amp;$H785&amp;$N785&amp;$O785,APOIO_REDES!$W:$W,0),MATCH(BA$5,APOIO_REDES!$5:$5,0)),IF(AND($N785="MND",$Q785="EMBOQUE"),INDEX(APOIO_REDES!$A:$W,MATCH($C785&amp;$I785&amp;$H785&amp;$N785&amp;$O785,APOIO_REDES!$W:$W,0),MATCH(BA$5,APOIO_REDES!$5:$5,0)),0))*$M785/10,0)</f>
        <v>3.53822926575235</v>
      </c>
      <c r="BB785" s="153" t="n">
        <f aca="false">IFERROR(IF($N785="VCA",INDEX(APOIO_REDES!$A:$W,MATCH($C785&amp;$I785&amp;$H785&amp;$N785&amp;$O785,APOIO_REDES!$W:$W,0),MATCH(BB$5,APOIO_REDES!$5:$5,0)),0)*($AI785+$AQ785+$AR785),0)</f>
        <v>13.0679577391349</v>
      </c>
      <c r="BC785" s="153" t="n">
        <f aca="false">IFERROR(IF($N785="VCA",INDEX(APOIO_REDES!$A:$W,MATCH($C785&amp;$I785&amp;$H785&amp;$N785&amp;$O785,APOIO_REDES!$W:$W,0),MATCH(BC$5,APOIO_REDES!$5:$5,0)),0)*($AI785+$AQ785+$AR785),0)</f>
        <v>0.143747260865071</v>
      </c>
      <c r="BD785" s="153" t="n">
        <f aca="false">IF(AND($N785="VCA",$AF785&gt;=1.25,$AF785&lt;1.5),$M785*$AF785*2,0)</f>
        <v>119.6714</v>
      </c>
      <c r="BE785" s="153" t="n">
        <f aca="false">IF(AND($N785="VCA",$AF785&gt;=1.5,$AF785&lt;3),$M785*$AF785*2,0)</f>
        <v>0</v>
      </c>
      <c r="BF785" s="153" t="n">
        <f aca="false">IF(AND($N785="VCA",$AF785&gt;=3),$M785*$AF785*2,0)</f>
        <v>0</v>
      </c>
      <c r="BG785" s="153" t="n">
        <f aca="false">($BB785+$BC785)*$AK785</f>
        <v>50.204479</v>
      </c>
      <c r="BH785" s="153" t="n">
        <f aca="false">IF(AND($M785&lt;&gt;"",$N785="VCA",$Q785="LINEAR"),($M785*2)/100,IF(AND($M785&lt;&gt;"",$N785="MND",$Q785="EMBOQUE"),($AN785*2)/100,0))</f>
        <v>0.878</v>
      </c>
      <c r="BI785" s="153" t="n">
        <f aca="false">IF(AND($M785&lt;&gt;"",$N785="VCA",$Q785="LINEAR"),$M785,IF(AND($M785&lt;&gt;"",$N785="MND",$Q785="EMBOQUE"),$AN785*2,0))</f>
        <v>43.9</v>
      </c>
      <c r="BJ785" s="153" t="n">
        <f aca="false">IF(AND($M785&lt;&gt;"",$N785="VCA",$Q785="LINEAR"),($M785*6.8)/100,IF(AND($M785&lt;&gt;"",$N785="MND",$Q785="EMBOQUE"),($AN785*2*6.8)/100,0))</f>
        <v>2.9852</v>
      </c>
      <c r="BK785" s="153" t="n">
        <f aca="false">IF(AND($M785&lt;&gt;"",$N785="VCA",$Q785="LINEAR"),($M785*2.5)/50,IF(AND($M785&lt;&gt;"",$N785="MND",$Q785="EMBOQUE"),($AN785*2*2.5)/50,0))</f>
        <v>2.195</v>
      </c>
      <c r="BL785" s="157" t="str">
        <f aca="false">K785&amp;J785</f>
        <v>Zona07REDES</v>
      </c>
      <c r="BM785" s="152" t="s">
        <v>4225</v>
      </c>
      <c r="BN785" s="152" t="s">
        <v>1560</v>
      </c>
      <c r="BO785" s="152" t="s">
        <v>4218</v>
      </c>
      <c r="BP785" s="152" t="s">
        <v>4213</v>
      </c>
      <c r="BQ785" s="152" t="s">
        <v>4209</v>
      </c>
      <c r="BR785" s="152" t="s">
        <v>4206</v>
      </c>
      <c r="BS785" s="152" t="n">
        <v>203820.624</v>
      </c>
      <c r="BT785" s="152" t="n">
        <v>8236646.975</v>
      </c>
      <c r="BU785" s="152" t="n">
        <v>203855.518</v>
      </c>
      <c r="BV785" s="152" t="n">
        <v>8236673.59</v>
      </c>
      <c r="BW785" s="152" t="n">
        <v>-15.9316617</v>
      </c>
      <c r="BX785" s="152" t="n">
        <v>-47.7662286</v>
      </c>
      <c r="BY785" s="152" t="s">
        <v>4213</v>
      </c>
    </row>
    <row r="786" customFormat="false" ht="13.8" hidden="false" customHeight="false" outlineLevel="0" collapsed="false">
      <c r="A786" s="149" t="n">
        <f aca="false">IF(C786&lt;&gt;"",ROW(A781),"")</f>
        <v>781</v>
      </c>
      <c r="B786" s="150" t="str">
        <f aca="false">HYPERLINK("https://www.google.com/maps/dir/-15.917302,-47.760003/-15.9318058,-47.7663827/data=!4m3!4m2!3e0!5i2")</f>
        <v>https://www.google.com/maps/dir/-15.917302,-47.760003/-15.9318058,-47.7663827/data=!4m3!4m2!3e0!5i2</v>
      </c>
      <c r="C786" s="151" t="s">
        <v>117</v>
      </c>
      <c r="D786" s="152" t="s">
        <v>112</v>
      </c>
      <c r="E786" s="152" t="s">
        <v>113</v>
      </c>
      <c r="F786" s="152" t="s">
        <v>117</v>
      </c>
      <c r="G786" s="152" t="s">
        <v>782</v>
      </c>
      <c r="H786" s="152" t="n">
        <v>90</v>
      </c>
      <c r="I786" s="152" t="s">
        <v>115</v>
      </c>
      <c r="J786" s="152" t="s">
        <v>6</v>
      </c>
      <c r="K786" s="152" t="s">
        <v>4221</v>
      </c>
      <c r="L786" s="152" t="s">
        <v>120</v>
      </c>
      <c r="M786" s="153" t="n">
        <f aca="false">47.08</f>
        <v>47.08</v>
      </c>
      <c r="N786" s="152" t="s">
        <v>1548</v>
      </c>
      <c r="O786" s="152" t="s">
        <v>1549</v>
      </c>
      <c r="P786" s="152" t="s">
        <v>1550</v>
      </c>
      <c r="Q786" s="152" t="s">
        <v>1551</v>
      </c>
      <c r="R786" s="154" t="s">
        <v>4534</v>
      </c>
      <c r="S786" s="154" t="s">
        <v>1593</v>
      </c>
      <c r="T786" s="155" t="s">
        <v>4216</v>
      </c>
      <c r="U786" s="152" t="str">
        <f aca="false">RIGHT(T786,7)</f>
        <v>019/037</v>
      </c>
      <c r="V786" s="152" t="s">
        <v>1555</v>
      </c>
      <c r="W786" s="156" t="n">
        <v>45882</v>
      </c>
      <c r="X786" s="152" t="s">
        <v>3938</v>
      </c>
      <c r="Y786" s="152" t="s">
        <v>4015</v>
      </c>
      <c r="Z786" s="152" t="s">
        <v>1557</v>
      </c>
      <c r="AA786" s="153" t="n">
        <v>3.8</v>
      </c>
      <c r="AB786" s="151" t="s">
        <v>4535</v>
      </c>
      <c r="AC786" s="151" t="s">
        <v>526</v>
      </c>
      <c r="AD786" s="151" t="str">
        <f aca="false">CONCATENATE($C786,$I786,$H786,$N786,$J786,$K786)</f>
        <v>TUBO PEADPEAD90VCAREDESZona07</v>
      </c>
      <c r="AE786" s="153" t="n">
        <f aca="false">IFERROR(INDEX(APOIO_REDES!$A:$W,MATCH($C786&amp;$I786&amp;$H786&amp;$N786&amp;$O786,APOIO_REDES!$W:$W,0),MATCH(AE$5,APOIO_REDES!$5:$5,0)),0)</f>
        <v>1.2</v>
      </c>
      <c r="AF786" s="153" t="n">
        <f aca="false">IFERROR(INDEX(APOIO_REDES!$A:$W,MATCH($C786&amp;$I786&amp;$H786&amp;$N786&amp;$O786,APOIO_REDES!$W:$W,0),MATCH(AF$5,APOIO_REDES!$5:$5,0)),0)</f>
        <v>1.39</v>
      </c>
      <c r="AG786" s="153" t="n">
        <f aca="false">IFERROR(INDEX(APOIO_REDES!$A:$W,MATCH($C786&amp;$I786&amp;$H786&amp;$N786&amp;$O786,APOIO_REDES!$W:$W,0),MATCH(AG$5,APOIO_REDES!$5:$5,0)),0)</f>
        <v>0.75</v>
      </c>
      <c r="AH786" s="153" t="n">
        <f aca="false">IFERROR(INDEX(APOIO_REDES!$A:$W,MATCH($C786&amp;$I786&amp;$H786&amp;$N786&amp;$O786,APOIO_REDES!$W:$W,0),MATCH(AH$5,APOIO_REDES!$5:$5,0)),0)</f>
        <v>0.1</v>
      </c>
      <c r="AI786" s="153" t="n">
        <f aca="false">IFERROR(IF($H786&lt;&gt;"",(((($H786/1000)/2)^2)*PI()*$M786),0),0)</f>
        <v>0.29951001881529</v>
      </c>
      <c r="AJ786" s="153" t="n">
        <f aca="false">IFERROR(IF(AND($H786&lt;&gt;"",$I786="FoFo",OR($N786="MND",$N786="VCA"),$Q786="LINEAR"),0,IF(AND($H786&lt;&gt;"",$I786="PEAD",$N786="VCA",$Q786="LINEAR"),($H786/1000)+0.3,IF(AND($H786&lt;&gt;"",$I786="PEAD",$N786="MND",$Q786="EMBOQUE"),0,IF(AND($H786&lt;&gt;"",$I786="PVC",$N786="VCA",$Q786="LINEAR"),($H786/1000)+0.2,IF(AND($H786&lt;&gt;"",$I786="PVC",$N786="MND",$Q786="EMBOQUE"),0,IF(AND($H786&lt;&gt;"",$I786="PEAD",$N786="VCA",$Q786="PREDIAL"),0,0)))))),0)</f>
        <v>0.39</v>
      </c>
      <c r="AK786" s="153" t="n">
        <f aca="false">IF(AA786&lt;&gt;"",AA786,0)</f>
        <v>3.8</v>
      </c>
      <c r="AL786" s="153" t="n">
        <f aca="false">IF(AND($N786="MND",$Q786="EMBOQUE"),$M786,IF(AND($N786="VCA",$Q786="LINEAR"),$M786,IF(AND($N786="VCA",$Q786="PREDIAL"),0,0)))</f>
        <v>47.08</v>
      </c>
      <c r="AM786" s="153" t="n">
        <f aca="false">IF(AND($N786="MND",$Q786="EMBOQUE"),$M786,IF(AND($N786="VCA",$Q786="LINEAR"),$M786,IF(AND($N786="VCA",$Q786="PREDIAL"),0,0)))</f>
        <v>47.08</v>
      </c>
      <c r="AN786" s="153" t="n">
        <f aca="false">ROUND(IF(AND($N786="VCA",$M786&lt;&gt;"",$Q786="LINEAR"),$M786/100,IF(AND($N786="MND",$M786&gt;100,$Q786="EMBOQUE"),$M786/100,0)),0)</f>
        <v>0</v>
      </c>
      <c r="AO786" s="153" t="n">
        <f aca="false">IF(AND($N786="MND",$Q786="EMBOQUE"),$AN786*2*2,IF(AND($N786="VCA",$Q786="LINEAR"),$M786*2,IF(AND($N786="VCA",$Q786="PREDIAL"),0,0)))</f>
        <v>94.16</v>
      </c>
      <c r="AP786" s="153" t="n">
        <f aca="false">IFERROR($M786*$AF786*$AG786,0)</f>
        <v>49.0809</v>
      </c>
      <c r="AQ786" s="153" t="n">
        <f aca="false">IFERROR(IF(AND($N786="VCA",$AH786&gt;0),$M786*$AG786*$AH786,0),0)</f>
        <v>3.531</v>
      </c>
      <c r="AR786" s="153" t="n">
        <f aca="false">IFERROR(IF(AND($N786="VCA",$AJ786&gt;0),($M786*$AG786*$AJ786)-$AI786,0),0)</f>
        <v>13.4713899811847</v>
      </c>
      <c r="AS786" s="153" t="n">
        <f aca="false">IFERROR(IF(AND($N786="VCA",$AP786&gt;0),$AP786-$AI786-$AQ786-$AR786,0),0)</f>
        <v>31.779</v>
      </c>
      <c r="AT786" s="153" t="n">
        <f aca="false">IFERROR(IF($N786="VCA",INDEX(APOIO_REDES!$A:$W,MATCH($C786&amp;$I786&amp;$H786&amp;$N786&amp;$O786,APOIO_REDES!$W:$W,0),MATCH(AT$5,APOIO_REDES!$5:$5,0)),0)*$AP786,0)</f>
        <v>0.534014719204861</v>
      </c>
      <c r="AU786" s="153" t="n">
        <f aca="false">IFERROR(IF($N786="VCA",INDEX(APOIO_REDES!$A:$W,MATCH($C786&amp;$I786&amp;$H786&amp;$N786&amp;$O786,APOIO_REDES!$W:$W,0),MATCH(AU$5,APOIO_REDES!$5:$5,0)),0)*$AP786,0)</f>
        <v>0.426449691804207</v>
      </c>
      <c r="AV786" s="153" t="n">
        <f aca="false">IFERROR(IF($N786="VCA",INDEX(APOIO_REDES!$A:$W,MATCH($C786&amp;$I786&amp;$H786&amp;$N786&amp;$O786,APOIO_REDES!$W:$W,0),MATCH(AV$5,APOIO_REDES!$5:$5,0)),0)*$AP786,0)</f>
        <v>0.0590172895843623</v>
      </c>
      <c r="AW786" s="153" t="n">
        <f aca="false">IFERROR(IF($N786="VCA",INDEX(APOIO_REDES!$A:$W,MATCH($C786&amp;$I786&amp;$H786&amp;$N786&amp;$O786,APOIO_REDES!$W:$W,0),MATCH(AW$5,APOIO_REDES!$5:$5,0)),0)*$AP786,0)</f>
        <v>33.6895100573708</v>
      </c>
      <c r="AX786" s="153" t="n">
        <f aca="false">IFERROR(IF($N786="VCA",INDEX(APOIO_REDES!$A:$W,MATCH($C786&amp;$I786&amp;$H786&amp;$N786&amp;$O786,APOIO_REDES!$W:$W,0),MATCH(AX$5,APOIO_REDES!$5:$5,0)),0)*$AP786,0)</f>
        <v>4.66253222555418</v>
      </c>
      <c r="AY786" s="153" t="n">
        <f aca="false">IFERROR(IF($N786="VCA",INDEX(APOIO_REDES!$A:$W,MATCH($C786&amp;$I786&amp;$H786&amp;$N786&amp;$O786,APOIO_REDES!$W:$W,0),MATCH(AY$5,APOIO_REDES!$5:$5,0)),0)*$AP786,0)</f>
        <v>8.52898863769696</v>
      </c>
      <c r="AZ786" s="153" t="n">
        <f aca="false">IFERROR(IF($N786="VCA",INDEX(APOIO_REDES!$A:$W,MATCH($C786&amp;$I786&amp;$H786&amp;$N786&amp;$O786,APOIO_REDES!$W:$W,0),MATCH(AZ$5,APOIO_REDES!$5:$5,0)),0)*$AP786,0)</f>
        <v>1.18038737878464</v>
      </c>
      <c r="BA786" s="153" t="n">
        <f aca="false">IFERROR(IF(AND($N786="VCA",$Q786="LINEAR"),INDEX(APOIO_REDES!$A:$W,MATCH($C786&amp;$I786&amp;$H786&amp;$N786&amp;$O786,APOIO_REDES!$W:$W,0),MATCH(BA$5,APOIO_REDES!$5:$5,0)),IF(AND($N786="MND",$Q786="EMBOQUE"),INDEX(APOIO_REDES!$A:$W,MATCH($C786&amp;$I786&amp;$H786&amp;$N786&amp;$O786,APOIO_REDES!$W:$W,0),MATCH(BA$5,APOIO_REDES!$5:$5,0)),0))*$M786/10,0)</f>
        <v>3.79452924445606</v>
      </c>
      <c r="BB786" s="153" t="n">
        <f aca="false">IFERROR(IF($N786="VCA",INDEX(APOIO_REDES!$A:$W,MATCH($C786&amp;$I786&amp;$H786&amp;$N786&amp;$O786,APOIO_REDES!$W:$W,0),MATCH(BB$5,APOIO_REDES!$5:$5,0)),0)*($AI786+$AQ786+$AR786),0)</f>
        <v>17.113650206899</v>
      </c>
      <c r="BC786" s="153" t="n">
        <f aca="false">IFERROR(IF($N786="VCA",INDEX(APOIO_REDES!$A:$W,MATCH($C786&amp;$I786&amp;$H786&amp;$N786&amp;$O786,APOIO_REDES!$W:$W,0),MATCH(BC$5,APOIO_REDES!$5:$5,0)),0)*($AI786+$AQ786+$AR786),0)</f>
        <v>0.188249793100994</v>
      </c>
      <c r="BD786" s="153" t="n">
        <f aca="false">IF(AND($N786="VCA",$AF786&gt;=1.25,$AF786&lt;1.5),$M786*$AF786*2,0)</f>
        <v>130.8824</v>
      </c>
      <c r="BE786" s="153" t="n">
        <f aca="false">IF(AND($N786="VCA",$AF786&gt;=1.5,$AF786&lt;3),$M786*$AF786*2,0)</f>
        <v>0</v>
      </c>
      <c r="BF786" s="153" t="n">
        <f aca="false">IF(AND($N786="VCA",$AF786&gt;=3),$M786*$AF786*2,0)</f>
        <v>0</v>
      </c>
      <c r="BG786" s="153" t="n">
        <f aca="false">($BB786+$BC786)*$AK786</f>
        <v>65.74722</v>
      </c>
      <c r="BH786" s="153" t="n">
        <f aca="false">IF(AND($M786&lt;&gt;"",$N786="VCA",$Q786="LINEAR"),($M786*2)/100,IF(AND($M786&lt;&gt;"",$N786="MND",$Q786="EMBOQUE"),($AN786*2)/100,0))</f>
        <v>0.9416</v>
      </c>
      <c r="BI786" s="153" t="n">
        <f aca="false">IF(AND($M786&lt;&gt;"",$N786="VCA",$Q786="LINEAR"),$M786,IF(AND($M786&lt;&gt;"",$N786="MND",$Q786="EMBOQUE"),$AN786*2,0))</f>
        <v>47.08</v>
      </c>
      <c r="BJ786" s="153" t="n">
        <f aca="false">IF(AND($M786&lt;&gt;"",$N786="VCA",$Q786="LINEAR"),($M786*6.8)/100,IF(AND($M786&lt;&gt;"",$N786="MND",$Q786="EMBOQUE"),($AN786*2*6.8)/100,0))</f>
        <v>3.20144</v>
      </c>
      <c r="BK786" s="153" t="n">
        <f aca="false">IF(AND($M786&lt;&gt;"",$N786="VCA",$Q786="LINEAR"),($M786*2.5)/50,IF(AND($M786&lt;&gt;"",$N786="MND",$Q786="EMBOQUE"),($AN786*2*2.5)/50,0))</f>
        <v>2.354</v>
      </c>
      <c r="BL786" s="157" t="str">
        <f aca="false">K786&amp;J786</f>
        <v>Zona07REDES</v>
      </c>
      <c r="BM786" s="152" t="s">
        <v>4225</v>
      </c>
      <c r="BN786" s="152" t="s">
        <v>1560</v>
      </c>
      <c r="BO786" s="152" t="s">
        <v>4218</v>
      </c>
      <c r="BP786" s="152" t="s">
        <v>4536</v>
      </c>
      <c r="BQ786" s="152" t="s">
        <v>4398</v>
      </c>
      <c r="BR786" s="152" t="s">
        <v>4375</v>
      </c>
      <c r="BS786" s="152" t="n">
        <v>203821.782</v>
      </c>
      <c r="BT786" s="152" t="n">
        <v>8236644.109</v>
      </c>
      <c r="BU786" s="152" t="n">
        <v>203859.977</v>
      </c>
      <c r="BV786" s="152" t="n">
        <v>8236671.626</v>
      </c>
      <c r="BW786" s="152" t="n">
        <v>-15.9316833</v>
      </c>
      <c r="BX786" s="152" t="n">
        <v>-47.7662031</v>
      </c>
      <c r="BY786" s="152" t="s">
        <v>4536</v>
      </c>
    </row>
    <row r="787" customFormat="false" ht="13.8" hidden="false" customHeight="false" outlineLevel="0" collapsed="false">
      <c r="A787" s="149" t="n">
        <f aca="false">IF(C787&lt;&gt;"",ROW(A782),"")</f>
        <v>782</v>
      </c>
      <c r="B787" s="150" t="str">
        <f aca="false">HYPERLINK("https://www.google.com/maps/dir/-15.917302,-47.760003/-15.9314487,-47.7645331/data=!4m3!4m2!3e0!5i1")</f>
        <v>https://www.google.com/maps/dir/-15.917302,-47.760003/-15.9314487,-47.7645331/data=!4m3!4m2!3e0!5i1</v>
      </c>
      <c r="C787" s="151" t="s">
        <v>117</v>
      </c>
      <c r="D787" s="152" t="s">
        <v>112</v>
      </c>
      <c r="E787" s="152" t="s">
        <v>113</v>
      </c>
      <c r="F787" s="152" t="s">
        <v>117</v>
      </c>
      <c r="G787" s="152" t="s">
        <v>782</v>
      </c>
      <c r="H787" s="152" t="n">
        <v>63</v>
      </c>
      <c r="I787" s="152" t="s">
        <v>115</v>
      </c>
      <c r="J787" s="152" t="s">
        <v>6</v>
      </c>
      <c r="K787" s="152" t="s">
        <v>4221</v>
      </c>
      <c r="L787" s="152" t="s">
        <v>120</v>
      </c>
      <c r="M787" s="153" t="n">
        <f aca="false">86.94+4.47</f>
        <v>91.41</v>
      </c>
      <c r="N787" s="152" t="s">
        <v>1548</v>
      </c>
      <c r="O787" s="152" t="s">
        <v>1549</v>
      </c>
      <c r="P787" s="152" t="s">
        <v>1550</v>
      </c>
      <c r="Q787" s="152" t="s">
        <v>1551</v>
      </c>
      <c r="R787" s="154" t="s">
        <v>4537</v>
      </c>
      <c r="S787" s="154" t="s">
        <v>1553</v>
      </c>
      <c r="T787" s="155" t="s">
        <v>4216</v>
      </c>
      <c r="U787" s="152" t="str">
        <f aca="false">RIGHT(T787,7)</f>
        <v>019/037</v>
      </c>
      <c r="V787" s="152" t="s">
        <v>1555</v>
      </c>
      <c r="W787" s="156" t="n">
        <v>45882</v>
      </c>
      <c r="X787" s="152" t="s">
        <v>1594</v>
      </c>
      <c r="Y787" s="152" t="s">
        <v>2885</v>
      </c>
      <c r="Z787" s="152" t="s">
        <v>1557</v>
      </c>
      <c r="AA787" s="153" t="n">
        <v>3.6</v>
      </c>
      <c r="AB787" s="151" t="s">
        <v>4538</v>
      </c>
      <c r="AC787" s="151" t="s">
        <v>186</v>
      </c>
      <c r="AD787" s="151" t="str">
        <f aca="false">CONCATENATE($C787,$I787,$H787,$N787,$J787,$K787)</f>
        <v>TUBO PEADPEAD63VCAREDESZona07</v>
      </c>
      <c r="AE787" s="153" t="n">
        <f aca="false">IFERROR(INDEX(APOIO_REDES!$A:$W,MATCH($C787&amp;$I787&amp;$H787&amp;$N787&amp;$O787,APOIO_REDES!$W:$W,0),MATCH(AE$5,APOIO_REDES!$5:$5,0)),0)</f>
        <v>1.2</v>
      </c>
      <c r="AF787" s="153" t="n">
        <f aca="false">IFERROR(INDEX(APOIO_REDES!$A:$W,MATCH($C787&amp;$I787&amp;$H787&amp;$N787&amp;$O787,APOIO_REDES!$W:$W,0),MATCH(AF$5,APOIO_REDES!$5:$5,0)),0)</f>
        <v>1.363</v>
      </c>
      <c r="AG787" s="153" t="n">
        <f aca="false">IFERROR(INDEX(APOIO_REDES!$A:$W,MATCH($C787&amp;$I787&amp;$H787&amp;$N787&amp;$O787,APOIO_REDES!$W:$W,0),MATCH(AG$5,APOIO_REDES!$5:$5,0)),0)</f>
        <v>0.65</v>
      </c>
      <c r="AH787" s="153" t="n">
        <f aca="false">IFERROR(INDEX(APOIO_REDES!$A:$W,MATCH($C787&amp;$I787&amp;$H787&amp;$N787&amp;$O787,APOIO_REDES!$W:$W,0),MATCH(AH$5,APOIO_REDES!$5:$5,0)),0)</f>
        <v>0.1</v>
      </c>
      <c r="AI787" s="153" t="n">
        <f aca="false">IFERROR(IF($H787&lt;&gt;"",(((($H787/1000)/2)^2)*PI()*$M787),0),0)</f>
        <v>0.284947393835042</v>
      </c>
      <c r="AJ787" s="153" t="n">
        <f aca="false">IFERROR(IF(AND($H787&lt;&gt;"",$I787="FoFo",OR($N787="MND",$N787="VCA"),$Q787="LINEAR"),0,IF(AND($H787&lt;&gt;"",$I787="PEAD",$N787="VCA",$Q787="LINEAR"),($H787/1000)+0.3,IF(AND($H787&lt;&gt;"",$I787="PEAD",$N787="MND",$Q787="EMBOQUE"),0,IF(AND($H787&lt;&gt;"",$I787="PVC",$N787="VCA",$Q787="LINEAR"),($H787/1000)+0.2,IF(AND($H787&lt;&gt;"",$I787="PVC",$N787="MND",$Q787="EMBOQUE"),0,IF(AND($H787&lt;&gt;"",$I787="PEAD",$N787="VCA",$Q787="PREDIAL"),0,0)))))),0)</f>
        <v>0.363</v>
      </c>
      <c r="AK787" s="153" t="n">
        <f aca="false">IF(AA787&lt;&gt;"",AA787,0)</f>
        <v>3.6</v>
      </c>
      <c r="AL787" s="153" t="n">
        <f aca="false">IF(AND($N787="MND",$Q787="EMBOQUE"),$M787,IF(AND($N787="VCA",$Q787="LINEAR"),$M787,IF(AND($N787="VCA",$Q787="PREDIAL"),0,0)))</f>
        <v>91.41</v>
      </c>
      <c r="AM787" s="153" t="n">
        <f aca="false">IF(AND($N787="MND",$Q787="EMBOQUE"),$M787,IF(AND($N787="VCA",$Q787="LINEAR"),$M787,IF(AND($N787="VCA",$Q787="PREDIAL"),0,0)))</f>
        <v>91.41</v>
      </c>
      <c r="AN787" s="153" t="n">
        <f aca="false">ROUND(IF(AND($N787="VCA",$M787&lt;&gt;"",$Q787="LINEAR"),$M787/100,IF(AND($N787="MND",$M787&gt;100,$Q787="EMBOQUE"),$M787/100,0)),0)</f>
        <v>1</v>
      </c>
      <c r="AO787" s="153" t="n">
        <f aca="false">IF(AND($N787="MND",$Q787="EMBOQUE"),$AN787*2*2,IF(AND($N787="VCA",$Q787="LINEAR"),$M787*2,IF(AND($N787="VCA",$Q787="PREDIAL"),0,0)))</f>
        <v>182.82</v>
      </c>
      <c r="AP787" s="153" t="n">
        <f aca="false">IFERROR($M787*$AF787*$AG787,0)</f>
        <v>80.9846895</v>
      </c>
      <c r="AQ787" s="153" t="n">
        <f aca="false">IFERROR(IF(AND($N787="VCA",$AH787&gt;0),$M787*$AG787*$AH787,0),0)</f>
        <v>5.94165</v>
      </c>
      <c r="AR787" s="153" t="n">
        <f aca="false">IFERROR(IF(AND($N787="VCA",$AJ787&gt;0),($M787*$AG787*$AJ787)-$AI787,0),0)</f>
        <v>21.283242106165</v>
      </c>
      <c r="AS787" s="153" t="n">
        <f aca="false">IFERROR(IF(AND($N787="VCA",$AP787&gt;0),$AP787-$AI787-$AQ787-$AR787,0),0)</f>
        <v>53.47485</v>
      </c>
      <c r="AT787" s="153" t="n">
        <f aca="false">IFERROR(IF($N787="VCA",INDEX(APOIO_REDES!$A:$W,MATCH($C787&amp;$I787&amp;$H787&amp;$N787&amp;$O787,APOIO_REDES!$W:$W,0),MATCH(AT$5,APOIO_REDES!$5:$5,0)),0)*$AP787,0)</f>
        <v>0.881137392004533</v>
      </c>
      <c r="AU787" s="153" t="n">
        <f aca="false">IFERROR(IF($N787="VCA",INDEX(APOIO_REDES!$A:$W,MATCH($C787&amp;$I787&amp;$H787&amp;$N787&amp;$O787,APOIO_REDES!$W:$W,0),MATCH(AU$5,APOIO_REDES!$5:$5,0)),0)*$AP787,0)</f>
        <v>0.703652457027772</v>
      </c>
      <c r="AV787" s="153" t="n">
        <f aca="false">IFERROR(IF($N787="VCA",INDEX(APOIO_REDES!$A:$W,MATCH($C787&amp;$I787&amp;$H787&amp;$N787&amp;$O787,APOIO_REDES!$W:$W,0),MATCH(AV$5,APOIO_REDES!$5:$5,0)),0)*$AP787,0)</f>
        <v>0.0973799761642749</v>
      </c>
      <c r="AW787" s="153" t="n">
        <f aca="false">IFERROR(IF($N787="VCA",INDEX(APOIO_REDES!$A:$W,MATCH($C787&amp;$I787&amp;$H787&amp;$N787&amp;$O787,APOIO_REDES!$W:$W,0),MATCH(AW$5,APOIO_REDES!$5:$5,0)),0)*$AP787,0)</f>
        <v>55.5885183727947</v>
      </c>
      <c r="AX787" s="153" t="n">
        <f aca="false">IFERROR(IF($N787="VCA",INDEX(APOIO_REDES!$A:$W,MATCH($C787&amp;$I787&amp;$H787&amp;$N787&amp;$O787,APOIO_REDES!$W:$W,0),MATCH(AX$5,APOIO_REDES!$5:$5,0)),0)*$AP787,0)</f>
        <v>7.69329259590287</v>
      </c>
      <c r="AY787" s="153" t="n">
        <f aca="false">IFERROR(IF($N787="VCA",INDEX(APOIO_REDES!$A:$W,MATCH($C787&amp;$I787&amp;$H787&amp;$N787&amp;$O787,APOIO_REDES!$W:$W,0),MATCH(AY$5,APOIO_REDES!$5:$5,0)),0)*$AP787,0)</f>
        <v>14.073040563089</v>
      </c>
      <c r="AZ787" s="153" t="n">
        <f aca="false">IFERROR(IF($N787="VCA",INDEX(APOIO_REDES!$A:$W,MATCH($C787&amp;$I787&amp;$H787&amp;$N787&amp;$O787,APOIO_REDES!$W:$W,0),MATCH(AZ$5,APOIO_REDES!$5:$5,0)),0)*$AP787,0)</f>
        <v>1.94766814301679</v>
      </c>
      <c r="BA787" s="153" t="n">
        <f aca="false">IFERROR(IF(AND($N787="VCA",$Q787="LINEAR"),INDEX(APOIO_REDES!$A:$W,MATCH($C787&amp;$I787&amp;$H787&amp;$N787&amp;$O787,APOIO_REDES!$W:$W,0),MATCH(BA$5,APOIO_REDES!$5:$5,0)),IF(AND($N787="MND",$Q787="EMBOQUE"),INDEX(APOIO_REDES!$A:$W,MATCH($C787&amp;$I787&amp;$H787&amp;$N787&amp;$O787,APOIO_REDES!$W:$W,0),MATCH(BA$5,APOIO_REDES!$5:$5,0)),0))*$M787/10,0)</f>
        <v>7.36741542556772</v>
      </c>
      <c r="BB787" s="153" t="n">
        <f aca="false">IFERROR(IF($N787="VCA",INDEX(APOIO_REDES!$A:$W,MATCH($C787&amp;$I787&amp;$H787&amp;$N787&amp;$O787,APOIO_REDES!$W:$W,0),MATCH(BB$5,APOIO_REDES!$5:$5,0)),0)*($AI787+$AQ787+$AR787),0)</f>
        <v>27.2105243037431</v>
      </c>
      <c r="BC787" s="153" t="n">
        <f aca="false">IFERROR(IF($N787="VCA",INDEX(APOIO_REDES!$A:$W,MATCH($C787&amp;$I787&amp;$H787&amp;$N787&amp;$O787,APOIO_REDES!$W:$W,0),MATCH(BC$5,APOIO_REDES!$5:$5,0)),0)*($AI787+$AQ787+$AR787),0)</f>
        <v>0.299315196256859</v>
      </c>
      <c r="BD787" s="153" t="n">
        <f aca="false">IF(AND($N787="VCA",$AF787&gt;=1.25,$AF787&lt;1.5),$M787*$AF787*2,0)</f>
        <v>249.18366</v>
      </c>
      <c r="BE787" s="153" t="n">
        <f aca="false">IF(AND($N787="VCA",$AF787&gt;=1.5,$AF787&lt;3),$M787*$AF787*2,0)</f>
        <v>0</v>
      </c>
      <c r="BF787" s="153" t="n">
        <f aca="false">IF(AND($N787="VCA",$AF787&gt;=3),$M787*$AF787*2,0)</f>
        <v>0</v>
      </c>
      <c r="BG787" s="153" t="n">
        <f aca="false">($BB787+$BC787)*$AK787</f>
        <v>99.0354222</v>
      </c>
      <c r="BH787" s="153" t="n">
        <f aca="false">IF(AND($M787&lt;&gt;"",$N787="VCA",$Q787="LINEAR"),($M787*2)/100,IF(AND($M787&lt;&gt;"",$N787="MND",$Q787="EMBOQUE"),($AN787*2)/100,0))</f>
        <v>1.8282</v>
      </c>
      <c r="BI787" s="153" t="n">
        <f aca="false">IF(AND($M787&lt;&gt;"",$N787="VCA",$Q787="LINEAR"),$M787,IF(AND($M787&lt;&gt;"",$N787="MND",$Q787="EMBOQUE"),$AN787*2,0))</f>
        <v>91.41</v>
      </c>
      <c r="BJ787" s="153" t="n">
        <f aca="false">IF(AND($M787&lt;&gt;"",$N787="VCA",$Q787="LINEAR"),($M787*6.8)/100,IF(AND($M787&lt;&gt;"",$N787="MND",$Q787="EMBOQUE"),($AN787*2*6.8)/100,0))</f>
        <v>6.21588</v>
      </c>
      <c r="BK787" s="153" t="n">
        <f aca="false">IF(AND($M787&lt;&gt;"",$N787="VCA",$Q787="LINEAR"),($M787*2.5)/50,IF(AND($M787&lt;&gt;"",$N787="MND",$Q787="EMBOQUE"),($AN787*2*2.5)/50,0))</f>
        <v>4.5705</v>
      </c>
      <c r="BL787" s="157" t="str">
        <f aca="false">K787&amp;J787</f>
        <v>Zona07REDES</v>
      </c>
      <c r="BM787" s="152" t="s">
        <v>4225</v>
      </c>
      <c r="BN787" s="152" t="s">
        <v>1560</v>
      </c>
      <c r="BO787" s="152" t="s">
        <v>4218</v>
      </c>
      <c r="BP787" s="152" t="s">
        <v>4404</v>
      </c>
      <c r="BQ787" s="152" t="s">
        <v>4539</v>
      </c>
      <c r="BR787" s="152" t="s">
        <v>4540</v>
      </c>
      <c r="BS787" s="152" t="n">
        <v>204019.412</v>
      </c>
      <c r="BT787" s="152" t="n">
        <v>8236686.274</v>
      </c>
      <c r="BU787" s="152" t="n">
        <v>203953.83</v>
      </c>
      <c r="BV787" s="152" t="n">
        <v>8236629.249</v>
      </c>
      <c r="BW787" s="152" t="n">
        <v>-15.9317101</v>
      </c>
      <c r="BX787" s="152" t="n">
        <v>-47.7648357</v>
      </c>
      <c r="BY787" s="152" t="s">
        <v>4404</v>
      </c>
    </row>
    <row r="788" customFormat="false" ht="13.8" hidden="false" customHeight="false" outlineLevel="0" collapsed="false">
      <c r="A788" s="149" t="n">
        <f aca="false">IF(C788&lt;&gt;"",ROW(A783),"")</f>
        <v>783</v>
      </c>
      <c r="B788" s="150" t="str">
        <f aca="false">HYPERLINK("https://www.google.com/maps/dir/-15.917302,-47.760003/-15.9313922,-47.7613642/data=!4m3!4m2!3e0!5i1")</f>
        <v>https://www.google.com/maps/dir/-15.917302,-47.760003/-15.9313922,-47.7613642/data=!4m3!4m2!3e0!5i1</v>
      </c>
      <c r="C788" s="151" t="s">
        <v>117</v>
      </c>
      <c r="D788" s="152" t="s">
        <v>112</v>
      </c>
      <c r="E788" s="152" t="s">
        <v>113</v>
      </c>
      <c r="F788" s="152" t="s">
        <v>117</v>
      </c>
      <c r="G788" s="152" t="s">
        <v>782</v>
      </c>
      <c r="H788" s="152" t="n">
        <v>63</v>
      </c>
      <c r="I788" s="152" t="s">
        <v>115</v>
      </c>
      <c r="J788" s="152" t="s">
        <v>6</v>
      </c>
      <c r="K788" s="152" t="s">
        <v>4221</v>
      </c>
      <c r="L788" s="152" t="s">
        <v>120</v>
      </c>
      <c r="M788" s="153" t="n">
        <f aca="false">91.46</f>
        <v>91.46</v>
      </c>
      <c r="N788" s="152" t="s">
        <v>1548</v>
      </c>
      <c r="O788" s="152" t="s">
        <v>1549</v>
      </c>
      <c r="P788" s="152" t="s">
        <v>1550</v>
      </c>
      <c r="Q788" s="152" t="s">
        <v>1551</v>
      </c>
      <c r="R788" s="154" t="s">
        <v>4541</v>
      </c>
      <c r="S788" s="154" t="s">
        <v>1553</v>
      </c>
      <c r="T788" s="155" t="s">
        <v>4216</v>
      </c>
      <c r="U788" s="152" t="str">
        <f aca="false">RIGHT(T788,7)</f>
        <v>019/037</v>
      </c>
      <c r="V788" s="152" t="s">
        <v>1555</v>
      </c>
      <c r="W788" s="156" t="n">
        <v>45882</v>
      </c>
      <c r="X788" s="152" t="s">
        <v>3938</v>
      </c>
      <c r="Y788" s="152" t="s">
        <v>2117</v>
      </c>
      <c r="Z788" s="152" t="s">
        <v>1557</v>
      </c>
      <c r="AA788" s="153" t="n">
        <v>3.2</v>
      </c>
      <c r="AB788" s="151" t="s">
        <v>4542</v>
      </c>
      <c r="AC788" s="151" t="s">
        <v>186</v>
      </c>
      <c r="AD788" s="151" t="str">
        <f aca="false">CONCATENATE($C788,$I788,$H788,$N788,$J788,$K788)</f>
        <v>TUBO PEADPEAD63VCAREDESZona07</v>
      </c>
      <c r="AE788" s="153" t="n">
        <f aca="false">IFERROR(INDEX(APOIO_REDES!$A:$W,MATCH($C788&amp;$I788&amp;$H788&amp;$N788&amp;$O788,APOIO_REDES!$W:$W,0),MATCH(AE$5,APOIO_REDES!$5:$5,0)),0)</f>
        <v>1.2</v>
      </c>
      <c r="AF788" s="153" t="n">
        <f aca="false">IFERROR(INDEX(APOIO_REDES!$A:$W,MATCH($C788&amp;$I788&amp;$H788&amp;$N788&amp;$O788,APOIO_REDES!$W:$W,0),MATCH(AF$5,APOIO_REDES!$5:$5,0)),0)</f>
        <v>1.363</v>
      </c>
      <c r="AG788" s="153" t="n">
        <f aca="false">IFERROR(INDEX(APOIO_REDES!$A:$W,MATCH($C788&amp;$I788&amp;$H788&amp;$N788&amp;$O788,APOIO_REDES!$W:$W,0),MATCH(AG$5,APOIO_REDES!$5:$5,0)),0)</f>
        <v>0.65</v>
      </c>
      <c r="AH788" s="153" t="n">
        <f aca="false">IFERROR(INDEX(APOIO_REDES!$A:$W,MATCH($C788&amp;$I788&amp;$H788&amp;$N788&amp;$O788,APOIO_REDES!$W:$W,0),MATCH(AH$5,APOIO_REDES!$5:$5,0)),0)</f>
        <v>0.1</v>
      </c>
      <c r="AI788" s="153" t="n">
        <f aca="false">IFERROR(IF($H788&lt;&gt;"",(((($H788/1000)/2)^2)*PI()*$M788),0),0)</f>
        <v>0.285103256100568</v>
      </c>
      <c r="AJ788" s="153" t="n">
        <f aca="false">IFERROR(IF(AND($H788&lt;&gt;"",$I788="FoFo",OR($N788="MND",$N788="VCA"),$Q788="LINEAR"),0,IF(AND($H788&lt;&gt;"",$I788="PEAD",$N788="VCA",$Q788="LINEAR"),($H788/1000)+0.3,IF(AND($H788&lt;&gt;"",$I788="PEAD",$N788="MND",$Q788="EMBOQUE"),0,IF(AND($H788&lt;&gt;"",$I788="PVC",$N788="VCA",$Q788="LINEAR"),($H788/1000)+0.2,IF(AND($H788&lt;&gt;"",$I788="PVC",$N788="MND",$Q788="EMBOQUE"),0,IF(AND($H788&lt;&gt;"",$I788="PEAD",$N788="VCA",$Q788="PREDIAL"),0,0)))))),0)</f>
        <v>0.363</v>
      </c>
      <c r="AK788" s="153" t="n">
        <f aca="false">IF(AA788&lt;&gt;"",AA788,0)</f>
        <v>3.2</v>
      </c>
      <c r="AL788" s="153" t="n">
        <f aca="false">IF(AND($N788="MND",$Q788="EMBOQUE"),$M788,IF(AND($N788="VCA",$Q788="LINEAR"),$M788,IF(AND($N788="VCA",$Q788="PREDIAL"),0,0)))</f>
        <v>91.46</v>
      </c>
      <c r="AM788" s="153" t="n">
        <f aca="false">IF(AND($N788="MND",$Q788="EMBOQUE"),$M788,IF(AND($N788="VCA",$Q788="LINEAR"),$M788,IF(AND($N788="VCA",$Q788="PREDIAL"),0,0)))</f>
        <v>91.46</v>
      </c>
      <c r="AN788" s="153" t="n">
        <f aca="false">ROUND(IF(AND($N788="VCA",$M788&lt;&gt;"",$Q788="LINEAR"),$M788/100,IF(AND($N788="MND",$M788&gt;100,$Q788="EMBOQUE"),$M788/100,0)),0)</f>
        <v>1</v>
      </c>
      <c r="AO788" s="153" t="n">
        <f aca="false">IF(AND($N788="MND",$Q788="EMBOQUE"),$AN788*2*2,IF(AND($N788="VCA",$Q788="LINEAR"),$M788*2,IF(AND($N788="VCA",$Q788="PREDIAL"),0,0)))</f>
        <v>182.92</v>
      </c>
      <c r="AP788" s="153" t="n">
        <f aca="false">IFERROR($M788*$AF788*$AG788,0)</f>
        <v>81.028987</v>
      </c>
      <c r="AQ788" s="153" t="n">
        <f aca="false">IFERROR(IF(AND($N788="VCA",$AH788&gt;0),$M788*$AG788*$AH788,0),0)</f>
        <v>5.9449</v>
      </c>
      <c r="AR788" s="153" t="n">
        <f aca="false">IFERROR(IF(AND($N788="VCA",$AJ788&gt;0),($M788*$AG788*$AJ788)-$AI788,0),0)</f>
        <v>21.2948837438994</v>
      </c>
      <c r="AS788" s="153" t="n">
        <f aca="false">IFERROR(IF(AND($N788="VCA",$AP788&gt;0),$AP788-$AI788-$AQ788-$AR788,0),0)</f>
        <v>53.5041</v>
      </c>
      <c r="AT788" s="153" t="n">
        <f aca="false">IFERROR(IF($N788="VCA",INDEX(APOIO_REDES!$A:$W,MATCH($C788&amp;$I788&amp;$H788&amp;$N788&amp;$O788,APOIO_REDES!$W:$W,0),MATCH(AT$5,APOIO_REDES!$5:$5,0)),0)*$AP788,0)</f>
        <v>0.881619361915924</v>
      </c>
      <c r="AU788" s="153" t="n">
        <f aca="false">IFERROR(IF($N788="VCA",INDEX(APOIO_REDES!$A:$W,MATCH($C788&amp;$I788&amp;$H788&amp;$N788&amp;$O788,APOIO_REDES!$W:$W,0),MATCH(AU$5,APOIO_REDES!$5:$5,0)),0)*$AP788,0)</f>
        <v>0.704037345145608</v>
      </c>
      <c r="AV788" s="153" t="n">
        <f aca="false">IFERROR(IF($N788="VCA",INDEX(APOIO_REDES!$A:$W,MATCH($C788&amp;$I788&amp;$H788&amp;$N788&amp;$O788,APOIO_REDES!$W:$W,0),MATCH(AV$5,APOIO_REDES!$5:$5,0)),0)*$AP788,0)</f>
        <v>0.0974332416582932</v>
      </c>
      <c r="AW788" s="153" t="n">
        <f aca="false">IFERROR(IF($N788="VCA",INDEX(APOIO_REDES!$A:$W,MATCH($C788&amp;$I788&amp;$H788&amp;$N788&amp;$O788,APOIO_REDES!$W:$W,0),MATCH(AW$5,APOIO_REDES!$5:$5,0)),0)*$AP788,0)</f>
        <v>55.6189245200285</v>
      </c>
      <c r="AX788" s="153" t="n">
        <f aca="false">IFERROR(IF($N788="VCA",INDEX(APOIO_REDES!$A:$W,MATCH($C788&amp;$I788&amp;$H788&amp;$N788&amp;$O788,APOIO_REDES!$W:$W,0),MATCH(AX$5,APOIO_REDES!$5:$5,0)),0)*$AP788,0)</f>
        <v>7.69750072006648</v>
      </c>
      <c r="AY788" s="153" t="n">
        <f aca="false">IFERROR(IF($N788="VCA",INDEX(APOIO_REDES!$A:$W,MATCH($C788&amp;$I788&amp;$H788&amp;$N788&amp;$O788,APOIO_REDES!$W:$W,0),MATCH(AY$5,APOIO_REDES!$5:$5,0)),0)*$AP788,0)</f>
        <v>14.080738320754</v>
      </c>
      <c r="AZ788" s="153" t="n">
        <f aca="false">IFERROR(IF($N788="VCA",INDEX(APOIO_REDES!$A:$W,MATCH($C788&amp;$I788&amp;$H788&amp;$N788&amp;$O788,APOIO_REDES!$W:$W,0),MATCH(AZ$5,APOIO_REDES!$5:$5,0)),0)*$AP788,0)</f>
        <v>1.94873349043119</v>
      </c>
      <c r="BA788" s="153" t="n">
        <f aca="false">IFERROR(IF(AND($N788="VCA",$Q788="LINEAR"),INDEX(APOIO_REDES!$A:$W,MATCH($C788&amp;$I788&amp;$H788&amp;$N788&amp;$O788,APOIO_REDES!$W:$W,0),MATCH(BA$5,APOIO_REDES!$5:$5,0)),IF(AND($N788="MND",$Q788="EMBOQUE"),INDEX(APOIO_REDES!$A:$W,MATCH($C788&amp;$I788&amp;$H788&amp;$N788&amp;$O788,APOIO_REDES!$W:$W,0),MATCH(BA$5,APOIO_REDES!$5:$5,0)),0))*$M788/10,0)</f>
        <v>7.3714452994467</v>
      </c>
      <c r="BB788" s="153" t="n">
        <f aca="false">IFERROR(IF($N788="VCA",INDEX(APOIO_REDES!$A:$W,MATCH($C788&amp;$I788&amp;$H788&amp;$N788&amp;$O788,APOIO_REDES!$W:$W,0),MATCH(BB$5,APOIO_REDES!$5:$5,0)),0)*($AI788+$AQ788+$AR788),0)</f>
        <v>27.2254080824893</v>
      </c>
      <c r="BC788" s="153" t="n">
        <f aca="false">IFERROR(IF($N788="VCA",INDEX(APOIO_REDES!$A:$W,MATCH($C788&amp;$I788&amp;$H788&amp;$N788&amp;$O788,APOIO_REDES!$W:$W,0),MATCH(BC$5,APOIO_REDES!$5:$5,0)),0)*($AI788+$AQ788+$AR788),0)</f>
        <v>0.299478917510692</v>
      </c>
      <c r="BD788" s="153" t="n">
        <f aca="false">IF(AND($N788="VCA",$AF788&gt;=1.25,$AF788&lt;1.5),$M788*$AF788*2,0)</f>
        <v>249.31996</v>
      </c>
      <c r="BE788" s="153" t="n">
        <f aca="false">IF(AND($N788="VCA",$AF788&gt;=1.5,$AF788&lt;3),$M788*$AF788*2,0)</f>
        <v>0</v>
      </c>
      <c r="BF788" s="153" t="n">
        <f aca="false">IF(AND($N788="VCA",$AF788&gt;=3),$M788*$AF788*2,0)</f>
        <v>0</v>
      </c>
      <c r="BG788" s="153" t="n">
        <f aca="false">($BB788+$BC788)*$AK788</f>
        <v>88.0796384</v>
      </c>
      <c r="BH788" s="153" t="n">
        <f aca="false">IF(AND($M788&lt;&gt;"",$N788="VCA",$Q788="LINEAR"),($M788*2)/100,IF(AND($M788&lt;&gt;"",$N788="MND",$Q788="EMBOQUE"),($AN788*2)/100,0))</f>
        <v>1.8292</v>
      </c>
      <c r="BI788" s="153" t="n">
        <f aca="false">IF(AND($M788&lt;&gt;"",$N788="VCA",$Q788="LINEAR"),$M788,IF(AND($M788&lt;&gt;"",$N788="MND",$Q788="EMBOQUE"),$AN788*2,0))</f>
        <v>91.46</v>
      </c>
      <c r="BJ788" s="153" t="n">
        <f aca="false">IF(AND($M788&lt;&gt;"",$N788="VCA",$Q788="LINEAR"),($M788*6.8)/100,IF(AND($M788&lt;&gt;"",$N788="MND",$Q788="EMBOQUE"),($AN788*2*6.8)/100,0))</f>
        <v>6.21928</v>
      </c>
      <c r="BK788" s="153" t="n">
        <f aca="false">IF(AND($M788&lt;&gt;"",$N788="VCA",$Q788="LINEAR"),($M788*2.5)/50,IF(AND($M788&lt;&gt;"",$N788="MND",$Q788="EMBOQUE"),($AN788*2*2.5)/50,0))</f>
        <v>4.573</v>
      </c>
      <c r="BL788" s="157" t="str">
        <f aca="false">K788&amp;J788</f>
        <v>Zona07REDES</v>
      </c>
      <c r="BM788" s="152" t="s">
        <v>4225</v>
      </c>
      <c r="BN788" s="152" t="s">
        <v>1560</v>
      </c>
      <c r="BO788" s="152" t="s">
        <v>4218</v>
      </c>
      <c r="BP788" s="152" t="s">
        <v>2232</v>
      </c>
      <c r="BQ788" s="152" t="s">
        <v>4414</v>
      </c>
      <c r="BR788" s="152" t="s">
        <v>4543</v>
      </c>
      <c r="BS788" s="152" t="n">
        <v>204389.488</v>
      </c>
      <c r="BT788" s="152" t="n">
        <v>8236615.616</v>
      </c>
      <c r="BU788" s="152" t="n">
        <v>204358.833</v>
      </c>
      <c r="BV788" s="152" t="n">
        <v>8236697.028</v>
      </c>
      <c r="BW788" s="152" t="n">
        <v>-15.9317923</v>
      </c>
      <c r="BX788" s="152" t="n">
        <v>-47.7613305</v>
      </c>
      <c r="BY788" s="152" t="s">
        <v>4414</v>
      </c>
    </row>
    <row r="789" customFormat="false" ht="13.8" hidden="false" customHeight="false" outlineLevel="0" collapsed="false">
      <c r="A789" s="149" t="n">
        <f aca="false">IF(C789&lt;&gt;"",ROW(A784),"")</f>
        <v>784</v>
      </c>
      <c r="B789" s="150" t="str">
        <f aca="false">HYPERLINK("https://www.google.com/maps/dir/-15.917302,-47.760003/-15.9322088,-47.7636876/data=!4m3!4m2!3e0!5i2")</f>
        <v>https://www.google.com/maps/dir/-15.917302,-47.760003/-15.9322088,-47.7636876/data=!4m3!4m2!3e0!5i2</v>
      </c>
      <c r="C789" s="151" t="s">
        <v>117</v>
      </c>
      <c r="D789" s="152" t="s">
        <v>112</v>
      </c>
      <c r="E789" s="152" t="s">
        <v>113</v>
      </c>
      <c r="F789" s="152" t="s">
        <v>117</v>
      </c>
      <c r="G789" s="152" t="s">
        <v>114</v>
      </c>
      <c r="H789" s="152" t="n">
        <v>160</v>
      </c>
      <c r="I789" s="152" t="s">
        <v>115</v>
      </c>
      <c r="J789" s="152" t="s">
        <v>6</v>
      </c>
      <c r="K789" s="152" t="s">
        <v>4221</v>
      </c>
      <c r="L789" s="152" t="s">
        <v>120</v>
      </c>
      <c r="M789" s="153" t="n">
        <f aca="false">130.94+0.24</f>
        <v>131.18</v>
      </c>
      <c r="N789" s="152" t="s">
        <v>1548</v>
      </c>
      <c r="O789" s="152" t="s">
        <v>1549</v>
      </c>
      <c r="P789" s="152" t="s">
        <v>1550</v>
      </c>
      <c r="Q789" s="152" t="s">
        <v>1551</v>
      </c>
      <c r="R789" s="154" t="s">
        <v>4544</v>
      </c>
      <c r="S789" s="154" t="s">
        <v>1593</v>
      </c>
      <c r="T789" s="155" t="s">
        <v>4216</v>
      </c>
      <c r="U789" s="152" t="str">
        <f aca="false">RIGHT(T789,7)</f>
        <v>019/037</v>
      </c>
      <c r="V789" s="152" t="s">
        <v>1555</v>
      </c>
      <c r="W789" s="156" t="n">
        <v>45882</v>
      </c>
      <c r="X789" s="152" t="s">
        <v>1594</v>
      </c>
      <c r="Y789" s="152" t="s">
        <v>2834</v>
      </c>
      <c r="Z789" s="152" t="s">
        <v>1557</v>
      </c>
      <c r="AA789" s="153" t="n">
        <v>3.5</v>
      </c>
      <c r="AB789" s="151" t="s">
        <v>4545</v>
      </c>
      <c r="AC789" s="151" t="s">
        <v>505</v>
      </c>
      <c r="AD789" s="151" t="str">
        <f aca="false">CONCATENATE($C789,$I789,$H789,$N789,$J789,$K789)</f>
        <v>TUBO PEADPEAD160VCAREDESZona07</v>
      </c>
      <c r="AE789" s="153" t="n">
        <f aca="false">IFERROR(INDEX(APOIO_REDES!$A:$W,MATCH($C789&amp;$I789&amp;$H789&amp;$N789&amp;$O789,APOIO_REDES!$W:$W,0),MATCH(AE$5,APOIO_REDES!$5:$5,0)),0)</f>
        <v>1.2</v>
      </c>
      <c r="AF789" s="153" t="n">
        <f aca="false">IFERROR(INDEX(APOIO_REDES!$A:$W,MATCH($C789&amp;$I789&amp;$H789&amp;$N789&amp;$O789,APOIO_REDES!$W:$W,0),MATCH(AF$5,APOIO_REDES!$5:$5,0)),0)</f>
        <v>1.46</v>
      </c>
      <c r="AG789" s="153" t="n">
        <f aca="false">IFERROR(INDEX(APOIO_REDES!$A:$W,MATCH($C789&amp;$I789&amp;$H789&amp;$N789&amp;$O789,APOIO_REDES!$W:$W,0),MATCH(AG$5,APOIO_REDES!$5:$5,0)),0)</f>
        <v>0.75</v>
      </c>
      <c r="AH789" s="153" t="n">
        <f aca="false">IFERROR(INDEX(APOIO_REDES!$A:$W,MATCH($C789&amp;$I789&amp;$H789&amp;$N789&amp;$O789,APOIO_REDES!$W:$W,0),MATCH(AH$5,APOIO_REDES!$5:$5,0)),0)</f>
        <v>0.1</v>
      </c>
      <c r="AI789" s="153" t="n">
        <f aca="false">IFERROR(IF($H789&lt;&gt;"",(((($H789/1000)/2)^2)*PI()*$M789),0),0)</f>
        <v>2.63753039550662</v>
      </c>
      <c r="AJ789" s="153" t="n">
        <f aca="false">IFERROR(IF(AND($H789&lt;&gt;"",$I789="FoFo",OR($N789="MND",$N789="VCA"),$Q789="LINEAR"),0,IF(AND($H789&lt;&gt;"",$I789="PEAD",$N789="VCA",$Q789="LINEAR"),($H789/1000)+0.3,IF(AND($H789&lt;&gt;"",$I789="PEAD",$N789="MND",$Q789="EMBOQUE"),0,IF(AND($H789&lt;&gt;"",$I789="PVC",$N789="VCA",$Q789="LINEAR"),($H789/1000)+0.2,IF(AND($H789&lt;&gt;"",$I789="PVC",$N789="MND",$Q789="EMBOQUE"),0,IF(AND($H789&lt;&gt;"",$I789="PEAD",$N789="VCA",$Q789="PREDIAL"),0,0)))))),0)</f>
        <v>0.46</v>
      </c>
      <c r="AK789" s="153" t="n">
        <f aca="false">IF(AA789&lt;&gt;"",AA789,0)</f>
        <v>3.5</v>
      </c>
      <c r="AL789" s="153" t="n">
        <f aca="false">IF(AND($N789="MND",$Q789="EMBOQUE"),$M789,IF(AND($N789="VCA",$Q789="LINEAR"),$M789,IF(AND($N789="VCA",$Q789="PREDIAL"),0,0)))</f>
        <v>131.18</v>
      </c>
      <c r="AM789" s="153" t="n">
        <f aca="false">IF(AND($N789="MND",$Q789="EMBOQUE"),$M789,IF(AND($N789="VCA",$Q789="LINEAR"),$M789,IF(AND($N789="VCA",$Q789="PREDIAL"),0,0)))</f>
        <v>131.18</v>
      </c>
      <c r="AN789" s="153" t="n">
        <f aca="false">ROUND(IF(AND($N789="VCA",$M789&lt;&gt;"",$Q789="LINEAR"),$M789/100,IF(AND($N789="MND",$M789&gt;100,$Q789="EMBOQUE"),$M789/100,0)),0)</f>
        <v>1</v>
      </c>
      <c r="AO789" s="153" t="n">
        <f aca="false">IF(AND($N789="MND",$Q789="EMBOQUE"),$AN789*2*2,IF(AND($N789="VCA",$Q789="LINEAR"),$M789*2,IF(AND($N789="VCA",$Q789="PREDIAL"),0,0)))</f>
        <v>262.36</v>
      </c>
      <c r="AP789" s="153" t="n">
        <f aca="false">IFERROR($M789*$AF789*$AG789,0)</f>
        <v>143.6421</v>
      </c>
      <c r="AQ789" s="153" t="n">
        <f aca="false">IFERROR(IF(AND($N789="VCA",$AH789&gt;0),$M789*$AG789*$AH789,0),0)</f>
        <v>9.8385</v>
      </c>
      <c r="AR789" s="153" t="n">
        <f aca="false">IFERROR(IF(AND($N789="VCA",$AJ789&gt;0),($M789*$AG789*$AJ789)-$AI789,0),0)</f>
        <v>42.6195696044934</v>
      </c>
      <c r="AS789" s="153" t="n">
        <f aca="false">IFERROR(IF(AND($N789="VCA",$AP789&gt;0),$AP789-$AI789-$AQ789-$AR789,0),0)</f>
        <v>88.5465</v>
      </c>
      <c r="AT789" s="153" t="n">
        <f aca="false">IFERROR(IF($N789="VCA",INDEX(APOIO_REDES!$A:$W,MATCH($C789&amp;$I789&amp;$H789&amp;$N789&amp;$O789,APOIO_REDES!$W:$W,0),MATCH(AT$5,APOIO_REDES!$5:$5,0)),0)*$AP789,0)</f>
        <v>1.56286856389138</v>
      </c>
      <c r="AU789" s="153" t="n">
        <f aca="false">IFERROR(IF($N789="VCA",INDEX(APOIO_REDES!$A:$W,MATCH($C789&amp;$I789&amp;$H789&amp;$N789&amp;$O789,APOIO_REDES!$W:$W,0),MATCH(AU$5,APOIO_REDES!$5:$5,0)),0)*$AP789,0)</f>
        <v>1.24806450727491</v>
      </c>
      <c r="AV789" s="153" t="n">
        <f aca="false">IFERROR(IF($N789="VCA",INDEX(APOIO_REDES!$A:$W,MATCH($C789&amp;$I789&amp;$H789&amp;$N789&amp;$O789,APOIO_REDES!$W:$W,0),MATCH(AV$5,APOIO_REDES!$5:$5,0)),0)*$AP789,0)</f>
        <v>0.172722330116317</v>
      </c>
      <c r="AW789" s="153" t="n">
        <f aca="false">IFERROR(IF($N789="VCA",INDEX(APOIO_REDES!$A:$W,MATCH($C789&amp;$I789&amp;$H789&amp;$N789&amp;$O789,APOIO_REDES!$W:$W,0),MATCH(AW$5,APOIO_REDES!$5:$5,0)),0)*$AP789,0)</f>
        <v>98.5970504333022</v>
      </c>
      <c r="AX789" s="153" t="n">
        <f aca="false">IFERROR(IF($N789="VCA",INDEX(APOIO_REDES!$A:$W,MATCH($C789&amp;$I789&amp;$H789&amp;$N789&amp;$O789,APOIO_REDES!$W:$W,0),MATCH(AX$5,APOIO_REDES!$5:$5,0)),0)*$AP789,0)</f>
        <v>13.6455509209545</v>
      </c>
      <c r="AY789" s="153" t="n">
        <f aca="false">IFERROR(IF($N789="VCA",INDEX(APOIO_REDES!$A:$W,MATCH($C789&amp;$I789&amp;$H789&amp;$N789&amp;$O789,APOIO_REDES!$W:$W,0),MATCH(AY$5,APOIO_REDES!$5:$5,0)),0)*$AP789,0)</f>
        <v>24.961274931693</v>
      </c>
      <c r="AZ789" s="153" t="n">
        <f aca="false">IFERROR(IF($N789="VCA",INDEX(APOIO_REDES!$A:$W,MATCH($C789&amp;$I789&amp;$H789&amp;$N789&amp;$O789,APOIO_REDES!$W:$W,0),MATCH(AZ$5,APOIO_REDES!$5:$5,0)),0)*$AP789,0)</f>
        <v>3.45456831276771</v>
      </c>
      <c r="BA789" s="153" t="n">
        <f aca="false">IFERROR(IF(AND($N789="VCA",$Q789="LINEAR"),INDEX(APOIO_REDES!$A:$W,MATCH($C789&amp;$I789&amp;$H789&amp;$N789&amp;$O789,APOIO_REDES!$W:$W,0),MATCH(BA$5,APOIO_REDES!$5:$5,0)),IF(AND($N789="MND",$Q789="EMBOQUE"),INDEX(APOIO_REDES!$A:$W,MATCH($C789&amp;$I789&amp;$H789&amp;$N789&amp;$O789,APOIO_REDES!$W:$W,0),MATCH(BA$5,APOIO_REDES!$5:$5,0)),0))*$M789/10,0)</f>
        <v>10.5727771089156</v>
      </c>
      <c r="BB789" s="153" t="n">
        <f aca="false">IFERROR(IF($N789="VCA",INDEX(APOIO_REDES!$A:$W,MATCH($C789&amp;$I789&amp;$H789&amp;$N789&amp;$O789,APOIO_REDES!$W:$W,0),MATCH(BB$5,APOIO_REDES!$5:$5,0)),0)*($AI789+$AQ789+$AR789),0)</f>
        <v>54.4961435645348</v>
      </c>
      <c r="BC789" s="153" t="n">
        <f aca="false">IFERROR(IF($N789="VCA",INDEX(APOIO_REDES!$A:$W,MATCH($C789&amp;$I789&amp;$H789&amp;$N789&amp;$O789,APOIO_REDES!$W:$W,0),MATCH(BC$5,APOIO_REDES!$5:$5,0)),0)*($AI789+$AQ789+$AR789),0)</f>
        <v>0.599456435465187</v>
      </c>
      <c r="BD789" s="153" t="n">
        <f aca="false">IF(AND($N789="VCA",$AF789&gt;=1.25,$AF789&lt;1.5),$M789*$AF789*2,0)</f>
        <v>383.0456</v>
      </c>
      <c r="BE789" s="153" t="n">
        <f aca="false">IF(AND($N789="VCA",$AF789&gt;=1.5,$AF789&lt;3),$M789*$AF789*2,0)</f>
        <v>0</v>
      </c>
      <c r="BF789" s="153" t="n">
        <f aca="false">IF(AND($N789="VCA",$AF789&gt;=3),$M789*$AF789*2,0)</f>
        <v>0</v>
      </c>
      <c r="BG789" s="153" t="n">
        <f aca="false">($BB789+$BC789)*$AK789</f>
        <v>192.8346</v>
      </c>
      <c r="BH789" s="153" t="n">
        <f aca="false">IF(AND($M789&lt;&gt;"",$N789="VCA",$Q789="LINEAR"),($M789*2)/100,IF(AND($M789&lt;&gt;"",$N789="MND",$Q789="EMBOQUE"),($AN789*2)/100,0))</f>
        <v>2.6236</v>
      </c>
      <c r="BI789" s="153" t="n">
        <f aca="false">IF(AND($M789&lt;&gt;"",$N789="VCA",$Q789="LINEAR"),$M789,IF(AND($M789&lt;&gt;"",$N789="MND",$Q789="EMBOQUE"),$AN789*2,0))</f>
        <v>131.18</v>
      </c>
      <c r="BJ789" s="153" t="n">
        <f aca="false">IF(AND($M789&lt;&gt;"",$N789="VCA",$Q789="LINEAR"),($M789*6.8)/100,IF(AND($M789&lt;&gt;"",$N789="MND",$Q789="EMBOQUE"),($AN789*2*6.8)/100,0))</f>
        <v>8.92024</v>
      </c>
      <c r="BK789" s="153" t="n">
        <f aca="false">IF(AND($M789&lt;&gt;"",$N789="VCA",$Q789="LINEAR"),($M789*2.5)/50,IF(AND($M789&lt;&gt;"",$N789="MND",$Q789="EMBOQUE"),($AN789*2*2.5)/50,0))</f>
        <v>6.559</v>
      </c>
      <c r="BL789" s="157" t="str">
        <f aca="false">K789&amp;J789</f>
        <v>Zona07REDES</v>
      </c>
      <c r="BM789" s="152" t="s">
        <v>4225</v>
      </c>
      <c r="BN789" s="152" t="s">
        <v>1560</v>
      </c>
      <c r="BO789" s="152" t="s">
        <v>4218</v>
      </c>
      <c r="BP789" s="152" t="s">
        <v>4546</v>
      </c>
      <c r="BQ789" s="152" t="s">
        <v>4401</v>
      </c>
      <c r="BR789" s="152" t="s">
        <v>4547</v>
      </c>
      <c r="BS789" s="152" t="n">
        <v>204111.109</v>
      </c>
      <c r="BT789" s="152" t="n">
        <v>8236603.311</v>
      </c>
      <c r="BU789" s="152" t="n">
        <v>204201.393</v>
      </c>
      <c r="BV789" s="152" t="n">
        <v>8236697.99</v>
      </c>
      <c r="BW789" s="152" t="n">
        <v>-15.9317881</v>
      </c>
      <c r="BX789" s="152" t="n">
        <v>-47.7632583</v>
      </c>
      <c r="BY789" s="152" t="s">
        <v>4546</v>
      </c>
    </row>
    <row r="790" customFormat="false" ht="13.8" hidden="false" customHeight="false" outlineLevel="0" collapsed="false">
      <c r="A790" s="149" t="n">
        <f aca="false">IF(C790&lt;&gt;"",ROW(A785),"")</f>
        <v>785</v>
      </c>
      <c r="B790" s="150" t="str">
        <f aca="false">HYPERLINK("https://www.google.com/maps/dir/-15.917302,-47.760003/-15.9318416,-47.7669139/data=!4m3!4m2!3e0!5i2")</f>
        <v>https://www.google.com/maps/dir/-15.917302,-47.760003/-15.9318416,-47.7669139/data=!4m3!4m2!3e0!5i2</v>
      </c>
      <c r="C790" s="151" t="s">
        <v>117</v>
      </c>
      <c r="D790" s="152" t="s">
        <v>112</v>
      </c>
      <c r="E790" s="152" t="s">
        <v>113</v>
      </c>
      <c r="F790" s="152" t="s">
        <v>117</v>
      </c>
      <c r="G790" s="152" t="s">
        <v>782</v>
      </c>
      <c r="H790" s="152" t="n">
        <v>63</v>
      </c>
      <c r="I790" s="152" t="s">
        <v>115</v>
      </c>
      <c r="J790" s="152" t="s">
        <v>6</v>
      </c>
      <c r="K790" s="152" t="s">
        <v>4221</v>
      </c>
      <c r="L790" s="152" t="s">
        <v>120</v>
      </c>
      <c r="M790" s="153" t="n">
        <f aca="false">3.45</f>
        <v>3.45</v>
      </c>
      <c r="N790" s="152" t="s">
        <v>1548</v>
      </c>
      <c r="O790" s="152" t="s">
        <v>1549</v>
      </c>
      <c r="P790" s="152" t="s">
        <v>1550</v>
      </c>
      <c r="Q790" s="152" t="s">
        <v>1551</v>
      </c>
      <c r="R790" s="154" t="s">
        <v>4548</v>
      </c>
      <c r="S790" s="154" t="s">
        <v>1553</v>
      </c>
      <c r="T790" s="155" t="s">
        <v>4216</v>
      </c>
      <c r="U790" s="152" t="str">
        <f aca="false">RIGHT(T790,7)</f>
        <v>019/037</v>
      </c>
      <c r="V790" s="152" t="s">
        <v>1555</v>
      </c>
      <c r="W790" s="156" t="n">
        <v>45882</v>
      </c>
      <c r="X790" s="152" t="s">
        <v>1594</v>
      </c>
      <c r="Y790" s="152" t="s">
        <v>4015</v>
      </c>
      <c r="Z790" s="152" t="s">
        <v>1557</v>
      </c>
      <c r="AA790" s="153" t="n">
        <v>3.9</v>
      </c>
      <c r="AB790" s="151" t="s">
        <v>4217</v>
      </c>
      <c r="AC790" s="151" t="s">
        <v>186</v>
      </c>
      <c r="AD790" s="151" t="str">
        <f aca="false">CONCATENATE($C790,$I790,$H790,$N790,$J790,$K790)</f>
        <v>TUBO PEADPEAD63VCAREDESZona07</v>
      </c>
      <c r="AE790" s="153" t="n">
        <f aca="false">IFERROR(INDEX(APOIO_REDES!$A:$W,MATCH($C790&amp;$I790&amp;$H790&amp;$N790&amp;$O790,APOIO_REDES!$W:$W,0),MATCH(AE$5,APOIO_REDES!$5:$5,0)),0)</f>
        <v>1.2</v>
      </c>
      <c r="AF790" s="153" t="n">
        <f aca="false">IFERROR(INDEX(APOIO_REDES!$A:$W,MATCH($C790&amp;$I790&amp;$H790&amp;$N790&amp;$O790,APOIO_REDES!$W:$W,0),MATCH(AF$5,APOIO_REDES!$5:$5,0)),0)</f>
        <v>1.363</v>
      </c>
      <c r="AG790" s="153" t="n">
        <f aca="false">IFERROR(INDEX(APOIO_REDES!$A:$W,MATCH($C790&amp;$I790&amp;$H790&amp;$N790&amp;$O790,APOIO_REDES!$W:$W,0),MATCH(AG$5,APOIO_REDES!$5:$5,0)),0)</f>
        <v>0.65</v>
      </c>
      <c r="AH790" s="153" t="n">
        <f aca="false">IFERROR(INDEX(APOIO_REDES!$A:$W,MATCH($C790&amp;$I790&amp;$H790&amp;$N790&amp;$O790,APOIO_REDES!$W:$W,0),MATCH(AH$5,APOIO_REDES!$5:$5,0)),0)</f>
        <v>0.1</v>
      </c>
      <c r="AI790" s="153" t="n">
        <f aca="false">IFERROR(IF($H790&lt;&gt;"",(((($H790/1000)/2)^2)*PI()*$M790),0),0)</f>
        <v>0.0107544963213094</v>
      </c>
      <c r="AJ790" s="153" t="n">
        <f aca="false">IFERROR(IF(AND($H790&lt;&gt;"",$I790="FoFo",OR($N790="MND",$N790="VCA"),$Q790="LINEAR"),0,IF(AND($H790&lt;&gt;"",$I790="PEAD",$N790="VCA",$Q790="LINEAR"),($H790/1000)+0.3,IF(AND($H790&lt;&gt;"",$I790="PEAD",$N790="MND",$Q790="EMBOQUE"),0,IF(AND($H790&lt;&gt;"",$I790="PVC",$N790="VCA",$Q790="LINEAR"),($H790/1000)+0.2,IF(AND($H790&lt;&gt;"",$I790="PVC",$N790="MND",$Q790="EMBOQUE"),0,IF(AND($H790&lt;&gt;"",$I790="PEAD",$N790="VCA",$Q790="PREDIAL"),0,0)))))),0)</f>
        <v>0.363</v>
      </c>
      <c r="AK790" s="153" t="n">
        <f aca="false">IF(AA790&lt;&gt;"",AA790,0)</f>
        <v>3.9</v>
      </c>
      <c r="AL790" s="153" t="n">
        <f aca="false">IF(AND($N790="MND",$Q790="EMBOQUE"),$M790,IF(AND($N790="VCA",$Q790="LINEAR"),$M790,IF(AND($N790="VCA",$Q790="PREDIAL"),0,0)))</f>
        <v>3.45</v>
      </c>
      <c r="AM790" s="153" t="n">
        <f aca="false">IF(AND($N790="MND",$Q790="EMBOQUE"),$M790,IF(AND($N790="VCA",$Q790="LINEAR"),$M790,IF(AND($N790="VCA",$Q790="PREDIAL"),0,0)))</f>
        <v>3.45</v>
      </c>
      <c r="AN790" s="153" t="n">
        <f aca="false">ROUND(IF(AND($N790="VCA",$M790&lt;&gt;"",$Q790="LINEAR"),$M790/100,IF(AND($N790="MND",$M790&gt;100,$Q790="EMBOQUE"),$M790/100,0)),0)</f>
        <v>0</v>
      </c>
      <c r="AO790" s="153" t="n">
        <f aca="false">IF(AND($N790="MND",$Q790="EMBOQUE"),$AN790*2*2,IF(AND($N790="VCA",$Q790="LINEAR"),$M790*2,IF(AND($N790="VCA",$Q790="PREDIAL"),0,0)))</f>
        <v>6.9</v>
      </c>
      <c r="AP790" s="153" t="n">
        <f aca="false">IFERROR($M790*$AF790*$AG790,0)</f>
        <v>3.0565275</v>
      </c>
      <c r="AQ790" s="153" t="n">
        <f aca="false">IFERROR(IF(AND($N790="VCA",$AH790&gt;0),$M790*$AG790*$AH790,0),0)</f>
        <v>0.22425</v>
      </c>
      <c r="AR790" s="153" t="n">
        <f aca="false">IFERROR(IF(AND($N790="VCA",$AJ790&gt;0),($M790*$AG790*$AJ790)-$AI790,0),0)</f>
        <v>0.803273003678691</v>
      </c>
      <c r="AS790" s="153" t="n">
        <f aca="false">IFERROR(IF(AND($N790="VCA",$AP790&gt;0),$AP790-$AI790-$AQ790-$AR790,0),0)</f>
        <v>2.01825</v>
      </c>
      <c r="AT790" s="153" t="n">
        <f aca="false">IFERROR(IF($N790="VCA",INDEX(APOIO_REDES!$A:$W,MATCH($C790&amp;$I790&amp;$H790&amp;$N790&amp;$O790,APOIO_REDES!$W:$W,0),MATCH(AT$5,APOIO_REDES!$5:$5,0)),0)*$AP790,0)</f>
        <v>0.0332559238859604</v>
      </c>
      <c r="AU790" s="153" t="n">
        <f aca="false">IFERROR(IF($N790="VCA",INDEX(APOIO_REDES!$A:$W,MATCH($C790&amp;$I790&amp;$H790&amp;$N790&amp;$O790,APOIO_REDES!$W:$W,0),MATCH(AU$5,APOIO_REDES!$5:$5,0)),0)*$AP790,0)</f>
        <v>0.0265572801306839</v>
      </c>
      <c r="AV790" s="153" t="n">
        <f aca="false">IFERROR(IF($N790="VCA",INDEX(APOIO_REDES!$A:$W,MATCH($C790&amp;$I790&amp;$H790&amp;$N790&amp;$O790,APOIO_REDES!$W:$W,0),MATCH(AV$5,APOIO_REDES!$5:$5,0)),0)*$AP790,0)</f>
        <v>0.00367531908726341</v>
      </c>
      <c r="AW790" s="153" t="n">
        <f aca="false">IFERROR(IF($N790="VCA",INDEX(APOIO_REDES!$A:$W,MATCH($C790&amp;$I790&amp;$H790&amp;$N790&amp;$O790,APOIO_REDES!$W:$W,0),MATCH(AW$5,APOIO_REDES!$5:$5,0)),0)*$AP790,0)</f>
        <v>2.09802415913075</v>
      </c>
      <c r="AX790" s="153" t="n">
        <f aca="false">IFERROR(IF($N790="VCA",INDEX(APOIO_REDES!$A:$W,MATCH($C790&amp;$I790&amp;$H790&amp;$N790&amp;$O790,APOIO_REDES!$W:$W,0),MATCH(AX$5,APOIO_REDES!$5:$5,0)),0)*$AP790,0)</f>
        <v>0.290360567288753</v>
      </c>
      <c r="AY790" s="153" t="n">
        <f aca="false">IFERROR(IF($N790="VCA",INDEX(APOIO_REDES!$A:$W,MATCH($C790&amp;$I790&amp;$H790&amp;$N790&amp;$O790,APOIO_REDES!$W:$W,0),MATCH(AY$5,APOIO_REDES!$5:$5,0)),0)*$AP790,0)</f>
        <v>0.531145278882585</v>
      </c>
      <c r="AZ790" s="153" t="n">
        <f aca="false">IFERROR(IF($N790="VCA",INDEX(APOIO_REDES!$A:$W,MATCH($C790&amp;$I790&amp;$H790&amp;$N790&amp;$O790,APOIO_REDES!$W:$W,0),MATCH(AZ$5,APOIO_REDES!$5:$5,0)),0)*$AP790,0)</f>
        <v>0.0735089715940041</v>
      </c>
      <c r="BA790" s="153" t="n">
        <f aca="false">IFERROR(IF(AND($N790="VCA",$Q790="LINEAR"),INDEX(APOIO_REDES!$A:$W,MATCH($C790&amp;$I790&amp;$H790&amp;$N790&amp;$O790,APOIO_REDES!$W:$W,0),MATCH(BA$5,APOIO_REDES!$5:$5,0)),IF(AND($N790="MND",$Q790="EMBOQUE"),INDEX(APOIO_REDES!$A:$W,MATCH($C790&amp;$I790&amp;$H790&amp;$N790&amp;$O790,APOIO_REDES!$W:$W,0),MATCH(BA$5,APOIO_REDES!$5:$5,0)),0))*$M790/10,0)</f>
        <v>0.278061297650242</v>
      </c>
      <c r="BB790" s="153" t="n">
        <f aca="false">IFERROR(IF($N790="VCA",INDEX(APOIO_REDES!$A:$W,MATCH($C790&amp;$I790&amp;$H790&amp;$N790&amp;$O790,APOIO_REDES!$W:$W,0),MATCH(BB$5,APOIO_REDES!$5:$5,0)),0)*($AI790+$AQ790+$AR790),0)</f>
        <v>1.02698073348555</v>
      </c>
      <c r="BC790" s="153" t="n">
        <f aca="false">IFERROR(IF($N790="VCA",INDEX(APOIO_REDES!$A:$W,MATCH($C790&amp;$I790&amp;$H790&amp;$N790&amp;$O790,APOIO_REDES!$W:$W,0),MATCH(BC$5,APOIO_REDES!$5:$5,0)),0)*($AI790+$AQ790+$AR790),0)</f>
        <v>0.0112967665144532</v>
      </c>
      <c r="BD790" s="153" t="n">
        <f aca="false">IF(AND($N790="VCA",$AF790&gt;=1.25,$AF790&lt;1.5),$M790*$AF790*2,0)</f>
        <v>9.4047</v>
      </c>
      <c r="BE790" s="153" t="n">
        <f aca="false">IF(AND($N790="VCA",$AF790&gt;=1.5,$AF790&lt;3),$M790*$AF790*2,0)</f>
        <v>0</v>
      </c>
      <c r="BF790" s="153" t="n">
        <f aca="false">IF(AND($N790="VCA",$AF790&gt;=3),$M790*$AF790*2,0)</f>
        <v>0</v>
      </c>
      <c r="BG790" s="153" t="n">
        <f aca="false">($BB790+$BC790)*$AK790</f>
        <v>4.04928225</v>
      </c>
      <c r="BH790" s="153" t="n">
        <f aca="false">IF(AND($M790&lt;&gt;"",$N790="VCA",$Q790="LINEAR"),($M790*2)/100,IF(AND($M790&lt;&gt;"",$N790="MND",$Q790="EMBOQUE"),($AN790*2)/100,0))</f>
        <v>0.069</v>
      </c>
      <c r="BI790" s="153" t="n">
        <f aca="false">IF(AND($M790&lt;&gt;"",$N790="VCA",$Q790="LINEAR"),$M790,IF(AND($M790&lt;&gt;"",$N790="MND",$Q790="EMBOQUE"),$AN790*2,0))</f>
        <v>3.45</v>
      </c>
      <c r="BJ790" s="153" t="n">
        <f aca="false">IF(AND($M790&lt;&gt;"",$N790="VCA",$Q790="LINEAR"),($M790*6.8)/100,IF(AND($M790&lt;&gt;"",$N790="MND",$Q790="EMBOQUE"),($AN790*2*6.8)/100,0))</f>
        <v>0.2346</v>
      </c>
      <c r="BK790" s="153" t="n">
        <f aca="false">IF(AND($M790&lt;&gt;"",$N790="VCA",$Q790="LINEAR"),($M790*2.5)/50,IF(AND($M790&lt;&gt;"",$N790="MND",$Q790="EMBOQUE"),($AN790*2*2.5)/50,0))</f>
        <v>0.1725</v>
      </c>
      <c r="BL790" s="157" t="str">
        <f aca="false">K790&amp;J790</f>
        <v>Zona07REDES</v>
      </c>
      <c r="BM790" s="152" t="s">
        <v>4225</v>
      </c>
      <c r="BN790" s="152" t="s">
        <v>1560</v>
      </c>
      <c r="BO790" s="152" t="s">
        <v>4218</v>
      </c>
      <c r="BP790" s="152" t="s">
        <v>2032</v>
      </c>
      <c r="BQ790" s="152" t="s">
        <v>2032</v>
      </c>
      <c r="BR790" s="152" t="s">
        <v>4549</v>
      </c>
      <c r="BS790" s="152" t="n">
        <v>203768.004</v>
      </c>
      <c r="BT790" s="152" t="n">
        <v>8236641.592</v>
      </c>
      <c r="BU790" s="152" t="n">
        <v>203770.326</v>
      </c>
      <c r="BV790" s="152" t="n">
        <v>8236639.039</v>
      </c>
      <c r="BW790" s="152" t="n">
        <v>-15.9318337</v>
      </c>
      <c r="BX790" s="152" t="n">
        <v>-47.7668742</v>
      </c>
      <c r="BY790" s="152" t="s">
        <v>4281</v>
      </c>
    </row>
    <row r="791" customFormat="false" ht="13.8" hidden="false" customHeight="false" outlineLevel="0" collapsed="false">
      <c r="A791" s="149" t="n">
        <f aca="false">IF(C791&lt;&gt;"",ROW(A786),"")</f>
        <v>786</v>
      </c>
      <c r="B791" s="150" t="str">
        <f aca="false">HYPERLINK("https://www.google.com/maps/dir/-15.917302,-47.760003/-15.9320607,-47.7639798/data=!4m3!4m2!3e0!5i1")</f>
        <v>https://www.google.com/maps/dir/-15.917302,-47.760003/-15.9320607,-47.7639798/data=!4m3!4m2!3e0!5i1</v>
      </c>
      <c r="C791" s="151" t="s">
        <v>117</v>
      </c>
      <c r="D791" s="152" t="s">
        <v>112</v>
      </c>
      <c r="E791" s="152" t="s">
        <v>113</v>
      </c>
      <c r="F791" s="152" t="s">
        <v>117</v>
      </c>
      <c r="G791" s="152" t="s">
        <v>782</v>
      </c>
      <c r="H791" s="152" t="n">
        <v>90</v>
      </c>
      <c r="I791" s="152" t="s">
        <v>115</v>
      </c>
      <c r="J791" s="152" t="s">
        <v>6</v>
      </c>
      <c r="K791" s="152" t="s">
        <v>4221</v>
      </c>
      <c r="L791" s="152" t="s">
        <v>120</v>
      </c>
      <c r="M791" s="153" t="n">
        <f aca="false">47.96+0.5</f>
        <v>48.46</v>
      </c>
      <c r="N791" s="152" t="s">
        <v>1548</v>
      </c>
      <c r="O791" s="152" t="s">
        <v>1549</v>
      </c>
      <c r="P791" s="152" t="s">
        <v>1550</v>
      </c>
      <c r="Q791" s="152" t="s">
        <v>1551</v>
      </c>
      <c r="R791" s="154" t="s">
        <v>4550</v>
      </c>
      <c r="S791" s="154" t="s">
        <v>1593</v>
      </c>
      <c r="T791" s="155" t="s">
        <v>4216</v>
      </c>
      <c r="U791" s="152" t="str">
        <f aca="false">RIGHT(T791,7)</f>
        <v>019/037</v>
      </c>
      <c r="V791" s="152" t="s">
        <v>1555</v>
      </c>
      <c r="W791" s="156" t="n">
        <v>45882</v>
      </c>
      <c r="X791" s="152" t="s">
        <v>1594</v>
      </c>
      <c r="Y791" s="152" t="s">
        <v>2834</v>
      </c>
      <c r="Z791" s="152" t="s">
        <v>1557</v>
      </c>
      <c r="AA791" s="153" t="n">
        <v>3.5</v>
      </c>
      <c r="AB791" s="151" t="s">
        <v>4551</v>
      </c>
      <c r="AC791" s="151" t="s">
        <v>526</v>
      </c>
      <c r="AD791" s="151" t="str">
        <f aca="false">CONCATENATE($C791,$I791,$H791,$N791,$J791,$K791)</f>
        <v>TUBO PEADPEAD90VCAREDESZona07</v>
      </c>
      <c r="AE791" s="153" t="n">
        <f aca="false">IFERROR(INDEX(APOIO_REDES!$A:$W,MATCH($C791&amp;$I791&amp;$H791&amp;$N791&amp;$O791,APOIO_REDES!$W:$W,0),MATCH(AE$5,APOIO_REDES!$5:$5,0)),0)</f>
        <v>1.2</v>
      </c>
      <c r="AF791" s="153" t="n">
        <f aca="false">IFERROR(INDEX(APOIO_REDES!$A:$W,MATCH($C791&amp;$I791&amp;$H791&amp;$N791&amp;$O791,APOIO_REDES!$W:$W,0),MATCH(AF$5,APOIO_REDES!$5:$5,0)),0)</f>
        <v>1.39</v>
      </c>
      <c r="AG791" s="153" t="n">
        <f aca="false">IFERROR(INDEX(APOIO_REDES!$A:$W,MATCH($C791&amp;$I791&amp;$H791&amp;$N791&amp;$O791,APOIO_REDES!$W:$W,0),MATCH(AG$5,APOIO_REDES!$5:$5,0)),0)</f>
        <v>0.75</v>
      </c>
      <c r="AH791" s="153" t="n">
        <f aca="false">IFERROR(INDEX(APOIO_REDES!$A:$W,MATCH($C791&amp;$I791&amp;$H791&amp;$N791&amp;$O791,APOIO_REDES!$W:$W,0),MATCH(AH$5,APOIO_REDES!$5:$5,0)),0)</f>
        <v>0.1</v>
      </c>
      <c r="AI791" s="153" t="n">
        <f aca="false">IFERROR(IF($H791&lt;&gt;"",(((($H791/1000)/2)^2)*PI()*$M791),0),0)</f>
        <v>0.308289199485747</v>
      </c>
      <c r="AJ791" s="153" t="n">
        <f aca="false">IFERROR(IF(AND($H791&lt;&gt;"",$I791="FoFo",OR($N791="MND",$N791="VCA"),$Q791="LINEAR"),0,IF(AND($H791&lt;&gt;"",$I791="PEAD",$N791="VCA",$Q791="LINEAR"),($H791/1000)+0.3,IF(AND($H791&lt;&gt;"",$I791="PEAD",$N791="MND",$Q791="EMBOQUE"),0,IF(AND($H791&lt;&gt;"",$I791="PVC",$N791="VCA",$Q791="LINEAR"),($H791/1000)+0.2,IF(AND($H791&lt;&gt;"",$I791="PVC",$N791="MND",$Q791="EMBOQUE"),0,IF(AND($H791&lt;&gt;"",$I791="PEAD",$N791="VCA",$Q791="PREDIAL"),0,0)))))),0)</f>
        <v>0.39</v>
      </c>
      <c r="AK791" s="153" t="n">
        <f aca="false">IF(AA791&lt;&gt;"",AA791,0)</f>
        <v>3.5</v>
      </c>
      <c r="AL791" s="153" t="n">
        <f aca="false">IF(AND($N791="MND",$Q791="EMBOQUE"),$M791,IF(AND($N791="VCA",$Q791="LINEAR"),$M791,IF(AND($N791="VCA",$Q791="PREDIAL"),0,0)))</f>
        <v>48.46</v>
      </c>
      <c r="AM791" s="153" t="n">
        <f aca="false">IF(AND($N791="MND",$Q791="EMBOQUE"),$M791,IF(AND($N791="VCA",$Q791="LINEAR"),$M791,IF(AND($N791="VCA",$Q791="PREDIAL"),0,0)))</f>
        <v>48.46</v>
      </c>
      <c r="AN791" s="153" t="n">
        <f aca="false">ROUND(IF(AND($N791="VCA",$M791&lt;&gt;"",$Q791="LINEAR"),$M791/100,IF(AND($N791="MND",$M791&gt;100,$Q791="EMBOQUE"),$M791/100,0)),0)</f>
        <v>0</v>
      </c>
      <c r="AO791" s="153" t="n">
        <f aca="false">IF(AND($N791="MND",$Q791="EMBOQUE"),$AN791*2*2,IF(AND($N791="VCA",$Q791="LINEAR"),$M791*2,IF(AND($N791="VCA",$Q791="PREDIAL"),0,0)))</f>
        <v>96.92</v>
      </c>
      <c r="AP791" s="153" t="n">
        <f aca="false">IFERROR($M791*$AF791*$AG791,0)</f>
        <v>50.51955</v>
      </c>
      <c r="AQ791" s="153" t="n">
        <f aca="false">IFERROR(IF(AND($N791="VCA",$AH791&gt;0),$M791*$AG791*$AH791,0),0)</f>
        <v>3.6345</v>
      </c>
      <c r="AR791" s="153" t="n">
        <f aca="false">IFERROR(IF(AND($N791="VCA",$AJ791&gt;0),($M791*$AG791*$AJ791)-$AI791,0),0)</f>
        <v>13.8662608005143</v>
      </c>
      <c r="AS791" s="153" t="n">
        <f aca="false">IFERROR(IF(AND($N791="VCA",$AP791&gt;0),$AP791-$AI791-$AQ791-$AR791,0),0)</f>
        <v>32.7105</v>
      </c>
      <c r="AT791" s="153" t="n">
        <f aca="false">IFERROR(IF($N791="VCA",INDEX(APOIO_REDES!$A:$W,MATCH($C791&amp;$I791&amp;$H791&amp;$N791&amp;$O791,APOIO_REDES!$W:$W,0),MATCH(AT$5,APOIO_REDES!$5:$5,0)),0)*$AP791,0)</f>
        <v>0.549667657023525</v>
      </c>
      <c r="AU791" s="153" t="n">
        <f aca="false">IFERROR(IF($N791="VCA",INDEX(APOIO_REDES!$A:$W,MATCH($C791&amp;$I791&amp;$H791&amp;$N791&amp;$O791,APOIO_REDES!$W:$W,0),MATCH(AU$5,APOIO_REDES!$5:$5,0)),0)*$AP791,0)</f>
        <v>0.438949704010872</v>
      </c>
      <c r="AV791" s="153" t="n">
        <f aca="false">IFERROR(IF($N791="VCA",INDEX(APOIO_REDES!$A:$W,MATCH($C791&amp;$I791&amp;$H791&amp;$N791&amp;$O791,APOIO_REDES!$W:$W,0),MATCH(AV$5,APOIO_REDES!$5:$5,0)),0)*$AP791,0)</f>
        <v>0.0607471931448215</v>
      </c>
      <c r="AW791" s="153" t="n">
        <f aca="false">IFERROR(IF($N791="VCA",INDEX(APOIO_REDES!$A:$W,MATCH($C791&amp;$I791&amp;$H791&amp;$N791&amp;$O791,APOIO_REDES!$W:$W,0),MATCH(AW$5,APOIO_REDES!$5:$5,0)),0)*$AP791,0)</f>
        <v>34.677010564575</v>
      </c>
      <c r="AX791" s="153" t="n">
        <f aca="false">IFERROR(IF($N791="VCA",INDEX(APOIO_REDES!$A:$W,MATCH($C791&amp;$I791&amp;$H791&amp;$N791&amp;$O791,APOIO_REDES!$W:$W,0),MATCH(AX$5,APOIO_REDES!$5:$5,0)),0)*$AP791,0)</f>
        <v>4.7991994828028</v>
      </c>
      <c r="AY791" s="153" t="n">
        <f aca="false">IFERROR(IF($N791="VCA",INDEX(APOIO_REDES!$A:$W,MATCH($C791&amp;$I791&amp;$H791&amp;$N791&amp;$O791,APOIO_REDES!$W:$W,0),MATCH(AY$5,APOIO_REDES!$5:$5,0)),0)*$AP791,0)</f>
        <v>8.77898872945613</v>
      </c>
      <c r="AZ791" s="153" t="n">
        <f aca="false">IFERROR(IF($N791="VCA",INDEX(APOIO_REDES!$A:$W,MATCH($C791&amp;$I791&amp;$H791&amp;$N791&amp;$O791,APOIO_REDES!$W:$W,0),MATCH(AZ$5,APOIO_REDES!$5:$5,0)),0)*$AP791,0)</f>
        <v>1.2149866689869</v>
      </c>
      <c r="BA791" s="153" t="n">
        <f aca="false">IFERROR(IF(AND($N791="VCA",$Q791="LINEAR"),INDEX(APOIO_REDES!$A:$W,MATCH($C791&amp;$I791&amp;$H791&amp;$N791&amp;$O791,APOIO_REDES!$W:$W,0),MATCH(BA$5,APOIO_REDES!$5:$5,0)),IF(AND($N791="MND",$Q791="EMBOQUE"),INDEX(APOIO_REDES!$A:$W,MATCH($C791&amp;$I791&amp;$H791&amp;$N791&amp;$O791,APOIO_REDES!$W:$W,0),MATCH(BA$5,APOIO_REDES!$5:$5,0)),0))*$M791/10,0)</f>
        <v>3.90575376351615</v>
      </c>
      <c r="BB791" s="153" t="n">
        <f aca="false">IFERROR(IF($N791="VCA",INDEX(APOIO_REDES!$A:$W,MATCH($C791&amp;$I791&amp;$H791&amp;$N791&amp;$O791,APOIO_REDES!$W:$W,0),MATCH(BB$5,APOIO_REDES!$5:$5,0)),0)*($AI791+$AQ791+$AR791),0)</f>
        <v>17.6152822647903</v>
      </c>
      <c r="BC791" s="153" t="n">
        <f aca="false">IFERROR(IF($N791="VCA",INDEX(APOIO_REDES!$A:$W,MATCH($C791&amp;$I791&amp;$H791&amp;$N791&amp;$O791,APOIO_REDES!$W:$W,0),MATCH(BC$5,APOIO_REDES!$5:$5,0)),0)*($AI791+$AQ791+$AR791),0)</f>
        <v>0.193767735209732</v>
      </c>
      <c r="BD791" s="153" t="n">
        <f aca="false">IF(AND($N791="VCA",$AF791&gt;=1.25,$AF791&lt;1.5),$M791*$AF791*2,0)</f>
        <v>134.7188</v>
      </c>
      <c r="BE791" s="153" t="n">
        <f aca="false">IF(AND($N791="VCA",$AF791&gt;=1.5,$AF791&lt;3),$M791*$AF791*2,0)</f>
        <v>0</v>
      </c>
      <c r="BF791" s="153" t="n">
        <f aca="false">IF(AND($N791="VCA",$AF791&gt;=3),$M791*$AF791*2,0)</f>
        <v>0</v>
      </c>
      <c r="BG791" s="153" t="n">
        <f aca="false">($BB791+$BC791)*$AK791</f>
        <v>62.331675</v>
      </c>
      <c r="BH791" s="153" t="n">
        <f aca="false">IF(AND($M791&lt;&gt;"",$N791="VCA",$Q791="LINEAR"),($M791*2)/100,IF(AND($M791&lt;&gt;"",$N791="MND",$Q791="EMBOQUE"),($AN791*2)/100,0))</f>
        <v>0.9692</v>
      </c>
      <c r="BI791" s="153" t="n">
        <f aca="false">IF(AND($M791&lt;&gt;"",$N791="VCA",$Q791="LINEAR"),$M791,IF(AND($M791&lt;&gt;"",$N791="MND",$Q791="EMBOQUE"),$AN791*2,0))</f>
        <v>48.46</v>
      </c>
      <c r="BJ791" s="153" t="n">
        <f aca="false">IF(AND($M791&lt;&gt;"",$N791="VCA",$Q791="LINEAR"),($M791*6.8)/100,IF(AND($M791&lt;&gt;"",$N791="MND",$Q791="EMBOQUE"),($AN791*2*6.8)/100,0))</f>
        <v>3.29528</v>
      </c>
      <c r="BK791" s="153" t="n">
        <f aca="false">IF(AND($M791&lt;&gt;"",$N791="VCA",$Q791="LINEAR"),($M791*2.5)/50,IF(AND($M791&lt;&gt;"",$N791="MND",$Q791="EMBOQUE"),($AN791*2*2.5)/50,0))</f>
        <v>2.423</v>
      </c>
      <c r="BL791" s="157" t="str">
        <f aca="false">K791&amp;J791</f>
        <v>Zona07REDES</v>
      </c>
      <c r="BM791" s="152" t="s">
        <v>4225</v>
      </c>
      <c r="BN791" s="152" t="s">
        <v>1560</v>
      </c>
      <c r="BO791" s="152" t="s">
        <v>4218</v>
      </c>
      <c r="BP791" s="152" t="s">
        <v>4552</v>
      </c>
      <c r="BQ791" s="152" t="s">
        <v>4445</v>
      </c>
      <c r="BR791" s="152" t="s">
        <v>4553</v>
      </c>
      <c r="BS791" s="152" t="n">
        <v>204079.853</v>
      </c>
      <c r="BT791" s="152" t="n">
        <v>8236619.545</v>
      </c>
      <c r="BU791" s="152" t="n">
        <v>204048.081</v>
      </c>
      <c r="BV791" s="152" t="n">
        <v>8236655.456</v>
      </c>
      <c r="BW791" s="152" t="n">
        <v>-15.9318933</v>
      </c>
      <c r="BX791" s="152" t="n">
        <v>-47.7641219</v>
      </c>
      <c r="BY791" s="152" t="s">
        <v>4552</v>
      </c>
    </row>
    <row r="792" customFormat="false" ht="13.8" hidden="false" customHeight="false" outlineLevel="0" collapsed="false">
      <c r="A792" s="149" t="n">
        <f aca="false">IF(C792&lt;&gt;"",ROW(A787),"")</f>
        <v>787</v>
      </c>
      <c r="B792" s="150" t="str">
        <f aca="false">HYPERLINK("https://www.google.com/maps/dir/-15.917302,-47.760003/-15.9317797,-47.7663931/data=!4m3!4m2!3e0!5i2")</f>
        <v>https://www.google.com/maps/dir/-15.917302,-47.760003/-15.9317797,-47.7663931/data=!4m3!4m2!3e0!5i2</v>
      </c>
      <c r="C792" s="151" t="s">
        <v>117</v>
      </c>
      <c r="D792" s="152" t="s">
        <v>112</v>
      </c>
      <c r="E792" s="152" t="s">
        <v>113</v>
      </c>
      <c r="F792" s="152" t="s">
        <v>117</v>
      </c>
      <c r="G792" s="152" t="s">
        <v>782</v>
      </c>
      <c r="H792" s="152" t="n">
        <v>63</v>
      </c>
      <c r="I792" s="152" t="s">
        <v>115</v>
      </c>
      <c r="J792" s="152" t="s">
        <v>6</v>
      </c>
      <c r="K792" s="152" t="s">
        <v>4221</v>
      </c>
      <c r="L792" s="152" t="s">
        <v>120</v>
      </c>
      <c r="M792" s="153" t="n">
        <f aca="false">36.64</f>
        <v>36.64</v>
      </c>
      <c r="N792" s="152" t="s">
        <v>1548</v>
      </c>
      <c r="O792" s="152" t="s">
        <v>1549</v>
      </c>
      <c r="P792" s="152" t="s">
        <v>1550</v>
      </c>
      <c r="Q792" s="152" t="s">
        <v>1551</v>
      </c>
      <c r="R792" s="154" t="s">
        <v>4554</v>
      </c>
      <c r="S792" s="154" t="s">
        <v>1553</v>
      </c>
      <c r="T792" s="155" t="s">
        <v>4216</v>
      </c>
      <c r="U792" s="152" t="str">
        <f aca="false">RIGHT(T792,7)</f>
        <v>019/037</v>
      </c>
      <c r="V792" s="152" t="s">
        <v>1555</v>
      </c>
      <c r="W792" s="156" t="n">
        <v>45882</v>
      </c>
      <c r="X792" s="152" t="s">
        <v>1594</v>
      </c>
      <c r="Y792" s="152" t="s">
        <v>4030</v>
      </c>
      <c r="Z792" s="152" t="s">
        <v>1557</v>
      </c>
      <c r="AA792" s="153" t="n">
        <v>3.8</v>
      </c>
      <c r="AB792" s="151" t="s">
        <v>4555</v>
      </c>
      <c r="AC792" s="151" t="s">
        <v>186</v>
      </c>
      <c r="AD792" s="151" t="str">
        <f aca="false">CONCATENATE($C792,$I792,$H792,$N792,$J792,$K792)</f>
        <v>TUBO PEADPEAD63VCAREDESZona07</v>
      </c>
      <c r="AE792" s="153" t="n">
        <f aca="false">IFERROR(INDEX(APOIO_REDES!$A:$W,MATCH($C792&amp;$I792&amp;$H792&amp;$N792&amp;$O792,APOIO_REDES!$W:$W,0),MATCH(AE$5,APOIO_REDES!$5:$5,0)),0)</f>
        <v>1.2</v>
      </c>
      <c r="AF792" s="153" t="n">
        <f aca="false">IFERROR(INDEX(APOIO_REDES!$A:$W,MATCH($C792&amp;$I792&amp;$H792&amp;$N792&amp;$O792,APOIO_REDES!$W:$W,0),MATCH(AF$5,APOIO_REDES!$5:$5,0)),0)</f>
        <v>1.363</v>
      </c>
      <c r="AG792" s="153" t="n">
        <f aca="false">IFERROR(INDEX(APOIO_REDES!$A:$W,MATCH($C792&amp;$I792&amp;$H792&amp;$N792&amp;$O792,APOIO_REDES!$W:$W,0),MATCH(AG$5,APOIO_REDES!$5:$5,0)),0)</f>
        <v>0.65</v>
      </c>
      <c r="AH792" s="153" t="n">
        <f aca="false">IFERROR(INDEX(APOIO_REDES!$A:$W,MATCH($C792&amp;$I792&amp;$H792&amp;$N792&amp;$O792,APOIO_REDES!$W:$W,0),MATCH(AH$5,APOIO_REDES!$5:$5,0)),0)</f>
        <v>0.1</v>
      </c>
      <c r="AI792" s="153" t="n">
        <f aca="false">IFERROR(IF($H792&lt;&gt;"",(((($H792/1000)/2)^2)*PI()*$M792),0),0)</f>
        <v>0.114215868177617</v>
      </c>
      <c r="AJ792" s="153" t="n">
        <f aca="false">IFERROR(IF(AND($H792&lt;&gt;"",$I792="FoFo",OR($N792="MND",$N792="VCA"),$Q792="LINEAR"),0,IF(AND($H792&lt;&gt;"",$I792="PEAD",$N792="VCA",$Q792="LINEAR"),($H792/1000)+0.3,IF(AND($H792&lt;&gt;"",$I792="PEAD",$N792="MND",$Q792="EMBOQUE"),0,IF(AND($H792&lt;&gt;"",$I792="PVC",$N792="VCA",$Q792="LINEAR"),($H792/1000)+0.2,IF(AND($H792&lt;&gt;"",$I792="PVC",$N792="MND",$Q792="EMBOQUE"),0,IF(AND($H792&lt;&gt;"",$I792="PEAD",$N792="VCA",$Q792="PREDIAL"),0,0)))))),0)</f>
        <v>0.363</v>
      </c>
      <c r="AK792" s="153" t="n">
        <f aca="false">IF(AA792&lt;&gt;"",AA792,0)</f>
        <v>3.8</v>
      </c>
      <c r="AL792" s="153" t="n">
        <f aca="false">IF(AND($N792="MND",$Q792="EMBOQUE"),$M792,IF(AND($N792="VCA",$Q792="LINEAR"),$M792,IF(AND($N792="VCA",$Q792="PREDIAL"),0,0)))</f>
        <v>36.64</v>
      </c>
      <c r="AM792" s="153" t="n">
        <f aca="false">IF(AND($N792="MND",$Q792="EMBOQUE"),$M792,IF(AND($N792="VCA",$Q792="LINEAR"),$M792,IF(AND($N792="VCA",$Q792="PREDIAL"),0,0)))</f>
        <v>36.64</v>
      </c>
      <c r="AN792" s="153" t="n">
        <f aca="false">ROUND(IF(AND($N792="VCA",$M792&lt;&gt;"",$Q792="LINEAR"),$M792/100,IF(AND($N792="MND",$M792&gt;100,$Q792="EMBOQUE"),$M792/100,0)),0)</f>
        <v>0</v>
      </c>
      <c r="AO792" s="153" t="n">
        <f aca="false">IF(AND($N792="MND",$Q792="EMBOQUE"),$AN792*2*2,IF(AND($N792="VCA",$Q792="LINEAR"),$M792*2,IF(AND($N792="VCA",$Q792="PREDIAL"),0,0)))</f>
        <v>73.28</v>
      </c>
      <c r="AP792" s="153" t="n">
        <f aca="false">IFERROR($M792*$AF792*$AG792,0)</f>
        <v>32.461208</v>
      </c>
      <c r="AQ792" s="153" t="n">
        <f aca="false">IFERROR(IF(AND($N792="VCA",$AH792&gt;0),$M792*$AG792*$AH792,0),0)</f>
        <v>2.3816</v>
      </c>
      <c r="AR792" s="153" t="n">
        <f aca="false">IFERROR(IF(AND($N792="VCA",$AJ792&gt;0),($M792*$AG792*$AJ792)-$AI792,0),0)</f>
        <v>8.53099213182238</v>
      </c>
      <c r="AS792" s="153" t="n">
        <f aca="false">IFERROR(IF(AND($N792="VCA",$AP792&gt;0),$AP792-$AI792-$AQ792-$AR792,0),0)</f>
        <v>21.4344</v>
      </c>
      <c r="AT792" s="153" t="n">
        <f aca="false">IFERROR(IF($N792="VCA",INDEX(APOIO_REDES!$A:$W,MATCH($C792&amp;$I792&amp;$H792&amp;$N792&amp;$O792,APOIO_REDES!$W:$W,0),MATCH(AT$5,APOIO_REDES!$5:$5,0)),0)*$AP792,0)</f>
        <v>0.353187551067127</v>
      </c>
      <c r="AU792" s="153" t="n">
        <f aca="false">IFERROR(IF($N792="VCA",INDEX(APOIO_REDES!$A:$W,MATCH($C792&amp;$I792&amp;$H792&amp;$N792&amp;$O792,APOIO_REDES!$W:$W,0),MATCH(AU$5,APOIO_REDES!$5:$5,0)),0)*$AP792,0)</f>
        <v>0.282046012750219</v>
      </c>
      <c r="AV792" s="153" t="n">
        <f aca="false">IFERROR(IF($N792="VCA",INDEX(APOIO_REDES!$A:$W,MATCH($C792&amp;$I792&amp;$H792&amp;$N792&amp;$O792,APOIO_REDES!$W:$W,0),MATCH(AV$5,APOIO_REDES!$5:$5,0)),0)*$AP792,0)</f>
        <v>0.0390329540166178</v>
      </c>
      <c r="AW792" s="153" t="n">
        <f aca="false">IFERROR(IF($N792="VCA",INDEX(APOIO_REDES!$A:$W,MATCH($C792&amp;$I792&amp;$H792&amp;$N792&amp;$O792,APOIO_REDES!$W:$W,0),MATCH(AW$5,APOIO_REDES!$5:$5,0)),0)*$AP792,0)</f>
        <v>22.2816246929132</v>
      </c>
      <c r="AX792" s="153" t="n">
        <f aca="false">IFERROR(IF($N792="VCA",INDEX(APOIO_REDES!$A:$W,MATCH($C792&amp;$I792&amp;$H792&amp;$N792&amp;$O792,APOIO_REDES!$W:$W,0),MATCH(AX$5,APOIO_REDES!$5:$5,0)),0)*$AP792,0)</f>
        <v>3.08371338708983</v>
      </c>
      <c r="AY792" s="153" t="n">
        <f aca="false">IFERROR(IF($N792="VCA",INDEX(APOIO_REDES!$A:$W,MATCH($C792&amp;$I792&amp;$H792&amp;$N792&amp;$O792,APOIO_REDES!$W:$W,0),MATCH(AY$5,APOIO_REDES!$5:$5,0)),0)*$AP792,0)</f>
        <v>5.64091681688636</v>
      </c>
      <c r="AZ792" s="153" t="n">
        <f aca="false">IFERROR(IF($N792="VCA",INDEX(APOIO_REDES!$A:$W,MATCH($C792&amp;$I792&amp;$H792&amp;$N792&amp;$O792,APOIO_REDES!$W:$W,0),MATCH(AZ$5,APOIO_REDES!$5:$5,0)),0)*$AP792,0)</f>
        <v>0.780686585276611</v>
      </c>
      <c r="BA792" s="153" t="n">
        <f aca="false">IFERROR(IF(AND($N792="VCA",$Q792="LINEAR"),INDEX(APOIO_REDES!$A:$W,MATCH($C792&amp;$I792&amp;$H792&amp;$N792&amp;$O792,APOIO_REDES!$W:$W,0),MATCH(BA$5,APOIO_REDES!$5:$5,0)),IF(AND($N792="MND",$Q792="EMBOQUE"),INDEX(APOIO_REDES!$A:$W,MATCH($C792&amp;$I792&amp;$H792&amp;$N792&amp;$O792,APOIO_REDES!$W:$W,0),MATCH(BA$5,APOIO_REDES!$5:$5,0)),0))*$M792/10,0)</f>
        <v>2.95309157852315</v>
      </c>
      <c r="BB792" s="153" t="n">
        <f aca="false">IFERROR(IF($N792="VCA",INDEX(APOIO_REDES!$A:$W,MATCH($C792&amp;$I792&amp;$H792&amp;$N792&amp;$O792,APOIO_REDES!$W:$W,0),MATCH(BB$5,APOIO_REDES!$5:$5,0)),0)*($AI792+$AQ792+$AR792),0)</f>
        <v>10.9068330651914</v>
      </c>
      <c r="BC792" s="153" t="n">
        <f aca="false">IFERROR(IF($N792="VCA",INDEX(APOIO_REDES!$A:$W,MATCH($C792&amp;$I792&amp;$H792&amp;$N792&amp;$O792,APOIO_REDES!$W:$W,0),MATCH(BC$5,APOIO_REDES!$5:$5,0)),0)*($AI792+$AQ792+$AR792),0)</f>
        <v>0.119974934808569</v>
      </c>
      <c r="BD792" s="153" t="n">
        <f aca="false">IF(AND($N792="VCA",$AF792&gt;=1.25,$AF792&lt;1.5),$M792*$AF792*2,0)</f>
        <v>99.88064</v>
      </c>
      <c r="BE792" s="153" t="n">
        <f aca="false">IF(AND($N792="VCA",$AF792&gt;=1.5,$AF792&lt;3),$M792*$AF792*2,0)</f>
        <v>0</v>
      </c>
      <c r="BF792" s="153" t="n">
        <f aca="false">IF(AND($N792="VCA",$AF792&gt;=3),$M792*$AF792*2,0)</f>
        <v>0</v>
      </c>
      <c r="BG792" s="153" t="n">
        <f aca="false">($BB792+$BC792)*$AK792</f>
        <v>41.9018704</v>
      </c>
      <c r="BH792" s="153" t="n">
        <f aca="false">IF(AND($M792&lt;&gt;"",$N792="VCA",$Q792="LINEAR"),($M792*2)/100,IF(AND($M792&lt;&gt;"",$N792="MND",$Q792="EMBOQUE"),($AN792*2)/100,0))</f>
        <v>0.7328</v>
      </c>
      <c r="BI792" s="153" t="n">
        <f aca="false">IF(AND($M792&lt;&gt;"",$N792="VCA",$Q792="LINEAR"),$M792,IF(AND($M792&lt;&gt;"",$N792="MND",$Q792="EMBOQUE"),$AN792*2,0))</f>
        <v>36.64</v>
      </c>
      <c r="BJ792" s="153" t="n">
        <f aca="false">IF(AND($M792&lt;&gt;"",$N792="VCA",$Q792="LINEAR"),($M792*6.8)/100,IF(AND($M792&lt;&gt;"",$N792="MND",$Q792="EMBOQUE"),($AN792*2*6.8)/100,0))</f>
        <v>2.49152</v>
      </c>
      <c r="BK792" s="153" t="n">
        <f aca="false">IF(AND($M792&lt;&gt;"",$N792="VCA",$Q792="LINEAR"),($M792*2.5)/50,IF(AND($M792&lt;&gt;"",$N792="MND",$Q792="EMBOQUE"),($AN792*2*2.5)/50,0))</f>
        <v>1.832</v>
      </c>
      <c r="BL792" s="157" t="str">
        <f aca="false">K792&amp;J792</f>
        <v>Zona07REDES</v>
      </c>
      <c r="BM792" s="152" t="s">
        <v>4225</v>
      </c>
      <c r="BN792" s="152" t="s">
        <v>1560</v>
      </c>
      <c r="BO792" s="152" t="s">
        <v>4218</v>
      </c>
      <c r="BP792" s="152" t="s">
        <v>2032</v>
      </c>
      <c r="BQ792" s="152" t="s">
        <v>4213</v>
      </c>
      <c r="BR792" s="152" t="s">
        <v>4206</v>
      </c>
      <c r="BS792" s="152" t="n">
        <v>203790.691</v>
      </c>
      <c r="BT792" s="152" t="n">
        <v>8236625.843</v>
      </c>
      <c r="BU792" s="152" t="n">
        <v>203820.624</v>
      </c>
      <c r="BV792" s="152" t="n">
        <v>8236646.975</v>
      </c>
      <c r="BW792" s="152" t="n">
        <v>-15.9318733</v>
      </c>
      <c r="BX792" s="152" t="n">
        <v>-47.7665342</v>
      </c>
      <c r="BY792" s="152" t="s">
        <v>4213</v>
      </c>
    </row>
    <row r="793" customFormat="false" ht="13.8" hidden="false" customHeight="false" outlineLevel="0" collapsed="false">
      <c r="A793" s="149" t="n">
        <f aca="false">IF(C793&lt;&gt;"",ROW(A788),"")</f>
        <v>788</v>
      </c>
      <c r="B793" s="150" t="str">
        <f aca="false">HYPERLINK("https://www.google.com/maps/dir/-15.917302,-47.760003/-15.9318058,-47.7663827/data=!4m3!4m2!3e0!5i2")</f>
        <v>https://www.google.com/maps/dir/-15.917302,-47.760003/-15.9318058,-47.7663827/data=!4m3!4m2!3e0!5i2</v>
      </c>
      <c r="C793" s="151" t="s">
        <v>117</v>
      </c>
      <c r="D793" s="152" t="s">
        <v>112</v>
      </c>
      <c r="E793" s="152" t="s">
        <v>113</v>
      </c>
      <c r="F793" s="152" t="s">
        <v>117</v>
      </c>
      <c r="G793" s="152" t="s">
        <v>782</v>
      </c>
      <c r="H793" s="152" t="n">
        <v>110</v>
      </c>
      <c r="I793" s="152" t="s">
        <v>115</v>
      </c>
      <c r="J793" s="152" t="s">
        <v>6</v>
      </c>
      <c r="K793" s="152" t="s">
        <v>4221</v>
      </c>
      <c r="L793" s="152" t="s">
        <v>120</v>
      </c>
      <c r="M793" s="153" t="n">
        <f aca="false">46.04</f>
        <v>46.04</v>
      </c>
      <c r="N793" s="152" t="s">
        <v>1548</v>
      </c>
      <c r="O793" s="152" t="s">
        <v>1549</v>
      </c>
      <c r="P793" s="152" t="s">
        <v>1550</v>
      </c>
      <c r="Q793" s="152" t="s">
        <v>1551</v>
      </c>
      <c r="R793" s="154" t="s">
        <v>4556</v>
      </c>
      <c r="S793" s="154" t="s">
        <v>1593</v>
      </c>
      <c r="T793" s="155" t="s">
        <v>4216</v>
      </c>
      <c r="U793" s="152" t="str">
        <f aca="false">RIGHT(T793,7)</f>
        <v>019/037</v>
      </c>
      <c r="V793" s="152" t="s">
        <v>1555</v>
      </c>
      <c r="W793" s="156" t="n">
        <v>45882</v>
      </c>
      <c r="X793" s="152" t="s">
        <v>3938</v>
      </c>
      <c r="Y793" s="152" t="s">
        <v>4015</v>
      </c>
      <c r="Z793" s="152" t="s">
        <v>1557</v>
      </c>
      <c r="AA793" s="153" t="n">
        <v>3.8</v>
      </c>
      <c r="AB793" s="151" t="s">
        <v>4557</v>
      </c>
      <c r="AC793" s="151" t="s">
        <v>502</v>
      </c>
      <c r="AD793" s="151" t="str">
        <f aca="false">CONCATENATE($C793,$I793,$H793,$N793,$J793,$K793)</f>
        <v>TUBO PEADPEAD110VCAREDESZona07</v>
      </c>
      <c r="AE793" s="153" t="n">
        <f aca="false">IFERROR(INDEX(APOIO_REDES!$A:$W,MATCH($C793&amp;$I793&amp;$H793&amp;$N793&amp;$O793,APOIO_REDES!$W:$W,0),MATCH(AE$5,APOIO_REDES!$5:$5,0)),0)</f>
        <v>1.2</v>
      </c>
      <c r="AF793" s="153" t="n">
        <f aca="false">IFERROR(INDEX(APOIO_REDES!$A:$W,MATCH($C793&amp;$I793&amp;$H793&amp;$N793&amp;$O793,APOIO_REDES!$W:$W,0),MATCH(AF$5,APOIO_REDES!$5:$5,0)),0)</f>
        <v>1.41</v>
      </c>
      <c r="AG793" s="153" t="n">
        <f aca="false">IFERROR(INDEX(APOIO_REDES!$A:$W,MATCH($C793&amp;$I793&amp;$H793&amp;$N793&amp;$O793,APOIO_REDES!$W:$W,0),MATCH(AG$5,APOIO_REDES!$5:$5,0)),0)</f>
        <v>0.75</v>
      </c>
      <c r="AH793" s="153" t="n">
        <f aca="false">IFERROR(INDEX(APOIO_REDES!$A:$W,MATCH($C793&amp;$I793&amp;$H793&amp;$N793&amp;$O793,APOIO_REDES!$W:$W,0),MATCH(AH$5,APOIO_REDES!$5:$5,0)),0)</f>
        <v>0.1</v>
      </c>
      <c r="AI793" s="153" t="n">
        <f aca="false">IFERROR(IF($H793&lt;&gt;"",(((($H793/1000)/2)^2)*PI()*$M793),0),0)</f>
        <v>0.437532750458104</v>
      </c>
      <c r="AJ793" s="153" t="n">
        <f aca="false">IFERROR(IF(AND($H793&lt;&gt;"",$I793="FoFo",OR($N793="MND",$N793="VCA"),$Q793="LINEAR"),0,IF(AND($H793&lt;&gt;"",$I793="PEAD",$N793="VCA",$Q793="LINEAR"),($H793/1000)+0.3,IF(AND($H793&lt;&gt;"",$I793="PEAD",$N793="MND",$Q793="EMBOQUE"),0,IF(AND($H793&lt;&gt;"",$I793="PVC",$N793="VCA",$Q793="LINEAR"),($H793/1000)+0.2,IF(AND($H793&lt;&gt;"",$I793="PVC",$N793="MND",$Q793="EMBOQUE"),0,IF(AND($H793&lt;&gt;"",$I793="PEAD",$N793="VCA",$Q793="PREDIAL"),0,0)))))),0)</f>
        <v>0.41</v>
      </c>
      <c r="AK793" s="153" t="n">
        <f aca="false">IF(AA793&lt;&gt;"",AA793,0)</f>
        <v>3.8</v>
      </c>
      <c r="AL793" s="153" t="n">
        <f aca="false">IF(AND($N793="MND",$Q793="EMBOQUE"),$M793,IF(AND($N793="VCA",$Q793="LINEAR"),$M793,IF(AND($N793="VCA",$Q793="PREDIAL"),0,0)))</f>
        <v>46.04</v>
      </c>
      <c r="AM793" s="153" t="n">
        <f aca="false">IF(AND($N793="MND",$Q793="EMBOQUE"),$M793,IF(AND($N793="VCA",$Q793="LINEAR"),$M793,IF(AND($N793="VCA",$Q793="PREDIAL"),0,0)))</f>
        <v>46.04</v>
      </c>
      <c r="AN793" s="153" t="n">
        <f aca="false">ROUND(IF(AND($N793="VCA",$M793&lt;&gt;"",$Q793="LINEAR"),$M793/100,IF(AND($N793="MND",$M793&gt;100,$Q793="EMBOQUE"),$M793/100,0)),0)</f>
        <v>0</v>
      </c>
      <c r="AO793" s="153" t="n">
        <f aca="false">IF(AND($N793="MND",$Q793="EMBOQUE"),$AN793*2*2,IF(AND($N793="VCA",$Q793="LINEAR"),$M793*2,IF(AND($N793="VCA",$Q793="PREDIAL"),0,0)))</f>
        <v>92.08</v>
      </c>
      <c r="AP793" s="153" t="n">
        <f aca="false">IFERROR($M793*$AF793*$AG793,0)</f>
        <v>48.6873</v>
      </c>
      <c r="AQ793" s="153" t="n">
        <f aca="false">IFERROR(IF(AND($N793="VCA",$AH793&gt;0),$M793*$AG793*$AH793,0),0)</f>
        <v>3.453</v>
      </c>
      <c r="AR793" s="153" t="n">
        <f aca="false">IFERROR(IF(AND($N793="VCA",$AJ793&gt;0),($M793*$AG793*$AJ793)-$AI793,0),0)</f>
        <v>13.7197672495419</v>
      </c>
      <c r="AS793" s="153" t="n">
        <f aca="false">IFERROR(IF(AND($N793="VCA",$AP793&gt;0),$AP793-$AI793-$AQ793-$AR793,0),0)</f>
        <v>31.077</v>
      </c>
      <c r="AT793" s="153" t="n">
        <f aca="false">IFERROR(IF($N793="VCA",INDEX(APOIO_REDES!$A:$W,MATCH($C793&amp;$I793&amp;$H793&amp;$N793&amp;$O793,APOIO_REDES!$W:$W,0),MATCH(AT$5,APOIO_REDES!$5:$5,0)),0)*$AP793,0)</f>
        <v>0.529732234705207</v>
      </c>
      <c r="AU793" s="153" t="n">
        <f aca="false">IFERROR(IF($N793="VCA",INDEX(APOIO_REDES!$A:$W,MATCH($C793&amp;$I793&amp;$H793&amp;$N793&amp;$O793,APOIO_REDES!$W:$W,0),MATCH(AU$5,APOIO_REDES!$5:$5,0)),0)*$AP793,0)</f>
        <v>0.423029815667173</v>
      </c>
      <c r="AV793" s="153" t="n">
        <f aca="false">IFERROR(IF($N793="VCA",INDEX(APOIO_REDES!$A:$W,MATCH($C793&amp;$I793&amp;$H793&amp;$N793&amp;$O793,APOIO_REDES!$W:$W,0),MATCH(AV$5,APOIO_REDES!$5:$5,0)),0)*$AP793,0)</f>
        <v>0.0585440055740771</v>
      </c>
      <c r="AW793" s="153" t="n">
        <f aca="false">IFERROR(IF($N793="VCA",INDEX(APOIO_REDES!$A:$W,MATCH($C793&amp;$I793&amp;$H793&amp;$N793&amp;$O793,APOIO_REDES!$W:$W,0),MATCH(AW$5,APOIO_REDES!$5:$5,0)),0)*$AP793,0)</f>
        <v>33.4193399676092</v>
      </c>
      <c r="AX793" s="153" t="n">
        <f aca="false">IFERROR(IF($N793="VCA",INDEX(APOIO_REDES!$A:$W,MATCH($C793&amp;$I793&amp;$H793&amp;$N793&amp;$O793,APOIO_REDES!$W:$W,0),MATCH(AX$5,APOIO_REDES!$5:$5,0)),0)*$AP793,0)</f>
        <v>4.62514145472524</v>
      </c>
      <c r="AY793" s="153" t="n">
        <f aca="false">IFERROR(IF($N793="VCA",INDEX(APOIO_REDES!$A:$W,MATCH($C793&amp;$I793&amp;$H793&amp;$N793&amp;$O793,APOIO_REDES!$W:$W,0),MATCH(AY$5,APOIO_REDES!$5:$5,0)),0)*$AP793,0)</f>
        <v>8.4605911566443</v>
      </c>
      <c r="AZ793" s="153" t="n">
        <f aca="false">IFERROR(IF($N793="VCA",INDEX(APOIO_REDES!$A:$W,MATCH($C793&amp;$I793&amp;$H793&amp;$N793&amp;$O793,APOIO_REDES!$W:$W,0),MATCH(AZ$5,APOIO_REDES!$5:$5,0)),0)*$AP793,0)</f>
        <v>1.17092136507483</v>
      </c>
      <c r="BA793" s="153" t="n">
        <f aca="false">IFERROR(IF(AND($N793="VCA",$Q793="LINEAR"),INDEX(APOIO_REDES!$A:$W,MATCH($C793&amp;$I793&amp;$H793&amp;$N793&amp;$O793,APOIO_REDES!$W:$W,0),MATCH(BA$5,APOIO_REDES!$5:$5,0)),IF(AND($N793="MND",$Q793="EMBOQUE"),INDEX(APOIO_REDES!$A:$W,MATCH($C793&amp;$I793&amp;$H793&amp;$N793&amp;$O793,APOIO_REDES!$W:$W,0),MATCH(BA$5,APOIO_REDES!$5:$5,0)),0))*$M793/10,0)</f>
        <v>3.71070786777308</v>
      </c>
      <c r="BB793" s="153" t="n">
        <f aca="false">IFERROR(IF($N793="VCA",INDEX(APOIO_REDES!$A:$W,MATCH($C793&amp;$I793&amp;$H793&amp;$N793&amp;$O793,APOIO_REDES!$W:$W,0),MATCH(BB$5,APOIO_REDES!$5:$5,0)),0)*($AI793+$AQ793+$AR793),0)</f>
        <v>17.4186947236173</v>
      </c>
      <c r="BC793" s="153" t="n">
        <f aca="false">IFERROR(IF($N793="VCA",INDEX(APOIO_REDES!$A:$W,MATCH($C793&amp;$I793&amp;$H793&amp;$N793&amp;$O793,APOIO_REDES!$W:$W,0),MATCH(BC$5,APOIO_REDES!$5:$5,0)),0)*($AI793+$AQ793+$AR793),0)</f>
        <v>0.191605276382735</v>
      </c>
      <c r="BD793" s="153" t="n">
        <f aca="false">IF(AND($N793="VCA",$AF793&gt;=1.25,$AF793&lt;1.5),$M793*$AF793*2,0)</f>
        <v>129.8328</v>
      </c>
      <c r="BE793" s="153" t="n">
        <f aca="false">IF(AND($N793="VCA",$AF793&gt;=1.5,$AF793&lt;3),$M793*$AF793*2,0)</f>
        <v>0</v>
      </c>
      <c r="BF793" s="153" t="n">
        <f aca="false">IF(AND($N793="VCA",$AF793&gt;=3),$M793*$AF793*2,0)</f>
        <v>0</v>
      </c>
      <c r="BG793" s="153" t="n">
        <f aca="false">($BB793+$BC793)*$AK793</f>
        <v>66.91914</v>
      </c>
      <c r="BH793" s="153" t="n">
        <f aca="false">IF(AND($M793&lt;&gt;"",$N793="VCA",$Q793="LINEAR"),($M793*2)/100,IF(AND($M793&lt;&gt;"",$N793="MND",$Q793="EMBOQUE"),($AN793*2)/100,0))</f>
        <v>0.9208</v>
      </c>
      <c r="BI793" s="153" t="n">
        <f aca="false">IF(AND($M793&lt;&gt;"",$N793="VCA",$Q793="LINEAR"),$M793,IF(AND($M793&lt;&gt;"",$N793="MND",$Q793="EMBOQUE"),$AN793*2,0))</f>
        <v>46.04</v>
      </c>
      <c r="BJ793" s="153" t="n">
        <f aca="false">IF(AND($M793&lt;&gt;"",$N793="VCA",$Q793="LINEAR"),($M793*6.8)/100,IF(AND($M793&lt;&gt;"",$N793="MND",$Q793="EMBOQUE"),($AN793*2*6.8)/100,0))</f>
        <v>3.13072</v>
      </c>
      <c r="BK793" s="153" t="n">
        <f aca="false">IF(AND($M793&lt;&gt;"",$N793="VCA",$Q793="LINEAR"),($M793*2.5)/50,IF(AND($M793&lt;&gt;"",$N793="MND",$Q793="EMBOQUE"),($AN793*2*2.5)/50,0))</f>
        <v>2.302</v>
      </c>
      <c r="BL793" s="157" t="str">
        <f aca="false">K793&amp;J793</f>
        <v>Zona07REDES</v>
      </c>
      <c r="BM793" s="152" t="s">
        <v>4225</v>
      </c>
      <c r="BN793" s="152" t="s">
        <v>1560</v>
      </c>
      <c r="BO793" s="152" t="s">
        <v>4218</v>
      </c>
      <c r="BP793" s="152" t="s">
        <v>4536</v>
      </c>
      <c r="BQ793" s="152" t="s">
        <v>4220</v>
      </c>
      <c r="BR793" s="152" t="s">
        <v>4558</v>
      </c>
      <c r="BS793" s="152" t="n">
        <v>203821.782</v>
      </c>
      <c r="BT793" s="152" t="n">
        <v>8236644.109</v>
      </c>
      <c r="BU793" s="152" t="n">
        <v>203784.289</v>
      </c>
      <c r="BV793" s="152" t="n">
        <v>8236617.433</v>
      </c>
      <c r="BW793" s="152" t="n">
        <v>-15.9319269</v>
      </c>
      <c r="BX793" s="152" t="n">
        <v>-47.7665571</v>
      </c>
      <c r="BY793" s="152" t="s">
        <v>4536</v>
      </c>
    </row>
    <row r="794" customFormat="false" ht="13.8" hidden="false" customHeight="false" outlineLevel="0" collapsed="false">
      <c r="A794" s="149" t="n">
        <f aca="false">IF(C794&lt;&gt;"",ROW(A789),"")</f>
        <v>789</v>
      </c>
      <c r="B794" s="150" t="str">
        <f aca="false">HYPERLINK("https://www.google.com/maps/dir/-15.917302,-47.760003/-15.9318416,-47.7669139/data=!4m3!4m2!3e0!5i2")</f>
        <v>https://www.google.com/maps/dir/-15.917302,-47.760003/-15.9318416,-47.7669139/data=!4m3!4m2!3e0!5i2</v>
      </c>
      <c r="C794" s="151" t="s">
        <v>117</v>
      </c>
      <c r="D794" s="152" t="s">
        <v>112</v>
      </c>
      <c r="E794" s="152" t="s">
        <v>113</v>
      </c>
      <c r="F794" s="152" t="s">
        <v>117</v>
      </c>
      <c r="G794" s="152" t="s">
        <v>782</v>
      </c>
      <c r="H794" s="152" t="n">
        <v>110</v>
      </c>
      <c r="I794" s="152" t="s">
        <v>115</v>
      </c>
      <c r="J794" s="152" t="s">
        <v>6</v>
      </c>
      <c r="K794" s="152" t="s">
        <v>4221</v>
      </c>
      <c r="L794" s="152" t="s">
        <v>120</v>
      </c>
      <c r="M794" s="153" t="n">
        <f aca="false">29.28</f>
        <v>29.28</v>
      </c>
      <c r="N794" s="152" t="s">
        <v>1548</v>
      </c>
      <c r="O794" s="152" t="s">
        <v>1549</v>
      </c>
      <c r="P794" s="152" t="s">
        <v>1550</v>
      </c>
      <c r="Q794" s="152" t="s">
        <v>1551</v>
      </c>
      <c r="R794" s="154" t="s">
        <v>4559</v>
      </c>
      <c r="S794" s="154" t="s">
        <v>1593</v>
      </c>
      <c r="T794" s="155" t="s">
        <v>4216</v>
      </c>
      <c r="U794" s="152" t="str">
        <f aca="false">RIGHT(T794,7)</f>
        <v>019/037</v>
      </c>
      <c r="V794" s="152" t="s">
        <v>1555</v>
      </c>
      <c r="W794" s="156" t="n">
        <v>45882</v>
      </c>
      <c r="X794" s="152" t="s">
        <v>1594</v>
      </c>
      <c r="Y794" s="152" t="s">
        <v>4015</v>
      </c>
      <c r="Z794" s="152" t="s">
        <v>1557</v>
      </c>
      <c r="AA794" s="153" t="n">
        <v>3.9</v>
      </c>
      <c r="AB794" s="151" t="s">
        <v>4560</v>
      </c>
      <c r="AC794" s="151" t="s">
        <v>502</v>
      </c>
      <c r="AD794" s="151" t="str">
        <f aca="false">CONCATENATE($C794,$I794,$H794,$N794,$J794,$K794)</f>
        <v>TUBO PEADPEAD110VCAREDESZona07</v>
      </c>
      <c r="AE794" s="153" t="n">
        <f aca="false">IFERROR(INDEX(APOIO_REDES!$A:$W,MATCH($C794&amp;$I794&amp;$H794&amp;$N794&amp;$O794,APOIO_REDES!$W:$W,0),MATCH(AE$5,APOIO_REDES!$5:$5,0)),0)</f>
        <v>1.2</v>
      </c>
      <c r="AF794" s="153" t="n">
        <f aca="false">IFERROR(INDEX(APOIO_REDES!$A:$W,MATCH($C794&amp;$I794&amp;$H794&amp;$N794&amp;$O794,APOIO_REDES!$W:$W,0),MATCH(AF$5,APOIO_REDES!$5:$5,0)),0)</f>
        <v>1.41</v>
      </c>
      <c r="AG794" s="153" t="n">
        <f aca="false">IFERROR(INDEX(APOIO_REDES!$A:$W,MATCH($C794&amp;$I794&amp;$H794&amp;$N794&amp;$O794,APOIO_REDES!$W:$W,0),MATCH(AG$5,APOIO_REDES!$5:$5,0)),0)</f>
        <v>0.75</v>
      </c>
      <c r="AH794" s="153" t="n">
        <f aca="false">IFERROR(INDEX(APOIO_REDES!$A:$W,MATCH($C794&amp;$I794&amp;$H794&amp;$N794&amp;$O794,APOIO_REDES!$W:$W,0),MATCH(AH$5,APOIO_REDES!$5:$5,0)),0)</f>
        <v>0.1</v>
      </c>
      <c r="AI794" s="153" t="n">
        <f aca="false">IFERROR(IF($H794&lt;&gt;"",(((($H794/1000)/2)^2)*PI()*$M794),0),0)</f>
        <v>0.278257144513755</v>
      </c>
      <c r="AJ794" s="153" t="n">
        <f aca="false">IFERROR(IF(AND($H794&lt;&gt;"",$I794="FoFo",OR($N794="MND",$N794="VCA"),$Q794="LINEAR"),0,IF(AND($H794&lt;&gt;"",$I794="PEAD",$N794="VCA",$Q794="LINEAR"),($H794/1000)+0.3,IF(AND($H794&lt;&gt;"",$I794="PEAD",$N794="MND",$Q794="EMBOQUE"),0,IF(AND($H794&lt;&gt;"",$I794="PVC",$N794="VCA",$Q794="LINEAR"),($H794/1000)+0.2,IF(AND($H794&lt;&gt;"",$I794="PVC",$N794="MND",$Q794="EMBOQUE"),0,IF(AND($H794&lt;&gt;"",$I794="PEAD",$N794="VCA",$Q794="PREDIAL"),0,0)))))),0)</f>
        <v>0.41</v>
      </c>
      <c r="AK794" s="153" t="n">
        <f aca="false">IF(AA794&lt;&gt;"",AA794,0)</f>
        <v>3.9</v>
      </c>
      <c r="AL794" s="153" t="n">
        <f aca="false">IF(AND($N794="MND",$Q794="EMBOQUE"),$M794,IF(AND($N794="VCA",$Q794="LINEAR"),$M794,IF(AND($N794="VCA",$Q794="PREDIAL"),0,0)))</f>
        <v>29.28</v>
      </c>
      <c r="AM794" s="153" t="n">
        <f aca="false">IF(AND($N794="MND",$Q794="EMBOQUE"),$M794,IF(AND($N794="VCA",$Q794="LINEAR"),$M794,IF(AND($N794="VCA",$Q794="PREDIAL"),0,0)))</f>
        <v>29.28</v>
      </c>
      <c r="AN794" s="153" t="n">
        <f aca="false">ROUND(IF(AND($N794="VCA",$M794&lt;&gt;"",$Q794="LINEAR"),$M794/100,IF(AND($N794="MND",$M794&gt;100,$Q794="EMBOQUE"),$M794/100,0)),0)</f>
        <v>0</v>
      </c>
      <c r="AO794" s="153" t="n">
        <f aca="false">IF(AND($N794="MND",$Q794="EMBOQUE"),$AN794*2*2,IF(AND($N794="VCA",$Q794="LINEAR"),$M794*2,IF(AND($N794="VCA",$Q794="PREDIAL"),0,0)))</f>
        <v>58.56</v>
      </c>
      <c r="AP794" s="153" t="n">
        <f aca="false">IFERROR($M794*$AF794*$AG794,0)</f>
        <v>30.9636</v>
      </c>
      <c r="AQ794" s="153" t="n">
        <f aca="false">IFERROR(IF(AND($N794="VCA",$AH794&gt;0),$M794*$AG794*$AH794,0),0)</f>
        <v>2.196</v>
      </c>
      <c r="AR794" s="153" t="n">
        <f aca="false">IFERROR(IF(AND($N794="VCA",$AJ794&gt;0),($M794*$AG794*$AJ794)-$AI794,0),0)</f>
        <v>8.72534285548625</v>
      </c>
      <c r="AS794" s="153" t="n">
        <f aca="false">IFERROR(IF(AND($N794="VCA",$AP794&gt;0),$AP794-$AI794-$AQ794-$AR794,0),0)</f>
        <v>19.764</v>
      </c>
      <c r="AT794" s="153" t="n">
        <f aca="false">IFERROR(IF($N794="VCA",INDEX(APOIO_REDES!$A:$W,MATCH($C794&amp;$I794&amp;$H794&amp;$N794&amp;$O794,APOIO_REDES!$W:$W,0),MATCH(AT$5,APOIO_REDES!$5:$5,0)),0)*$AP794,0)</f>
        <v>0.336893132757786</v>
      </c>
      <c r="AU794" s="153" t="n">
        <f aca="false">IFERROR(IF($N794="VCA",INDEX(APOIO_REDES!$A:$W,MATCH($C794&amp;$I794&amp;$H794&amp;$N794&amp;$O794,APOIO_REDES!$W:$W,0),MATCH(AU$5,APOIO_REDES!$5:$5,0)),0)*$AP794,0)</f>
        <v>0.269033731597194</v>
      </c>
      <c r="AV794" s="153" t="n">
        <f aca="false">IFERROR(IF($N794="VCA",INDEX(APOIO_REDES!$A:$W,MATCH($C794&amp;$I794&amp;$H794&amp;$N794&amp;$O794,APOIO_REDES!$W:$W,0),MATCH(AV$5,APOIO_REDES!$5:$5,0)),0)*$AP794,0)</f>
        <v>0.0372321564554513</v>
      </c>
      <c r="AW794" s="153" t="n">
        <f aca="false">IFERROR(IF($N794="VCA",INDEX(APOIO_REDES!$A:$W,MATCH($C794&amp;$I794&amp;$H794&amp;$N794&amp;$O794,APOIO_REDES!$W:$W,0),MATCH(AW$5,APOIO_REDES!$5:$5,0)),0)*$AP794,0)</f>
        <v>21.2536549576802</v>
      </c>
      <c r="AX794" s="153" t="n">
        <f aca="false">IFERROR(IF($N794="VCA",INDEX(APOIO_REDES!$A:$W,MATCH($C794&amp;$I794&amp;$H794&amp;$N794&amp;$O794,APOIO_REDES!$W:$W,0),MATCH(AX$5,APOIO_REDES!$5:$5,0)),0)*$AP794,0)</f>
        <v>2.9414453039608</v>
      </c>
      <c r="AY794" s="153" t="n">
        <f aca="false">IFERROR(IF($N794="VCA",INDEX(APOIO_REDES!$A:$W,MATCH($C794&amp;$I794&amp;$H794&amp;$N794&amp;$O794,APOIO_REDES!$W:$W,0),MATCH(AY$5,APOIO_REDES!$5:$5,0)),0)*$AP794,0)</f>
        <v>5.38067135244451</v>
      </c>
      <c r="AZ794" s="153" t="n">
        <f aca="false">IFERROR(IF($N794="VCA",INDEX(APOIO_REDES!$A:$W,MATCH($C794&amp;$I794&amp;$H794&amp;$N794&amp;$O794,APOIO_REDES!$W:$W,0),MATCH(AZ$5,APOIO_REDES!$5:$5,0)),0)*$AP794,0)</f>
        <v>0.744669365104062</v>
      </c>
      <c r="BA794" s="153" t="n">
        <f aca="false">IFERROR(IF(AND($N794="VCA",$Q794="LINEAR"),INDEX(APOIO_REDES!$A:$W,MATCH($C794&amp;$I794&amp;$H794&amp;$N794&amp;$O794,APOIO_REDES!$W:$W,0),MATCH(BA$5,APOIO_REDES!$5:$5,0)),IF(AND($N794="MND",$Q794="EMBOQUE"),INDEX(APOIO_REDES!$A:$W,MATCH($C794&amp;$I794&amp;$H794&amp;$N794&amp;$O794,APOIO_REDES!$W:$W,0),MATCH(BA$5,APOIO_REDES!$5:$5,0)),0))*$M794/10,0)</f>
        <v>2.35989414353597</v>
      </c>
      <c r="BB794" s="153" t="n">
        <f aca="false">IFERROR(IF($N794="VCA",INDEX(APOIO_REDES!$A:$W,MATCH($C794&amp;$I794&amp;$H794&amp;$N794&amp;$O794,APOIO_REDES!$W:$W,0),MATCH(BB$5,APOIO_REDES!$5:$5,0)),0)*($AI794+$AQ794+$AR794),0)</f>
        <v>11.0777450370876</v>
      </c>
      <c r="BC794" s="153" t="n">
        <f aca="false">IFERROR(IF($N794="VCA",INDEX(APOIO_REDES!$A:$W,MATCH($C794&amp;$I794&amp;$H794&amp;$N794&amp;$O794,APOIO_REDES!$W:$W,0),MATCH(BC$5,APOIO_REDES!$5:$5,0)),0)*($AI794+$AQ794+$AR794),0)</f>
        <v>0.121854962912391</v>
      </c>
      <c r="BD794" s="153" t="n">
        <f aca="false">IF(AND($N794="VCA",$AF794&gt;=1.25,$AF794&lt;1.5),$M794*$AF794*2,0)</f>
        <v>82.5696</v>
      </c>
      <c r="BE794" s="153" t="n">
        <f aca="false">IF(AND($N794="VCA",$AF794&gt;=1.5,$AF794&lt;3),$M794*$AF794*2,0)</f>
        <v>0</v>
      </c>
      <c r="BF794" s="153" t="n">
        <f aca="false">IF(AND($N794="VCA",$AF794&gt;=3),$M794*$AF794*2,0)</f>
        <v>0</v>
      </c>
      <c r="BG794" s="153" t="n">
        <f aca="false">($BB794+$BC794)*$AK794</f>
        <v>43.67844</v>
      </c>
      <c r="BH794" s="153" t="n">
        <f aca="false">IF(AND($M794&lt;&gt;"",$N794="VCA",$Q794="LINEAR"),($M794*2)/100,IF(AND($M794&lt;&gt;"",$N794="MND",$Q794="EMBOQUE"),($AN794*2)/100,0))</f>
        <v>0.5856</v>
      </c>
      <c r="BI794" s="153" t="n">
        <f aca="false">IF(AND($M794&lt;&gt;"",$N794="VCA",$Q794="LINEAR"),$M794,IF(AND($M794&lt;&gt;"",$N794="MND",$Q794="EMBOQUE"),$AN794*2,0))</f>
        <v>29.28</v>
      </c>
      <c r="BJ794" s="153" t="n">
        <f aca="false">IF(AND($M794&lt;&gt;"",$N794="VCA",$Q794="LINEAR"),($M794*6.8)/100,IF(AND($M794&lt;&gt;"",$N794="MND",$Q794="EMBOQUE"),($AN794*2*6.8)/100,0))</f>
        <v>1.99104</v>
      </c>
      <c r="BK794" s="153" t="n">
        <f aca="false">IF(AND($M794&lt;&gt;"",$N794="VCA",$Q794="LINEAR"),($M794*2.5)/50,IF(AND($M794&lt;&gt;"",$N794="MND",$Q794="EMBOQUE"),($AN794*2*2.5)/50,0))</f>
        <v>1.464</v>
      </c>
      <c r="BL794" s="157" t="str">
        <f aca="false">K794&amp;J794</f>
        <v>Zona07REDES</v>
      </c>
      <c r="BM794" s="152" t="s">
        <v>4225</v>
      </c>
      <c r="BN794" s="152" t="s">
        <v>1560</v>
      </c>
      <c r="BO794" s="152" t="s">
        <v>4218</v>
      </c>
      <c r="BP794" s="152" t="s">
        <v>4281</v>
      </c>
      <c r="BQ794" s="152" t="s">
        <v>4220</v>
      </c>
      <c r="BR794" s="152" t="s">
        <v>4561</v>
      </c>
      <c r="BS794" s="152" t="n">
        <v>203764.923</v>
      </c>
      <c r="BT794" s="152" t="n">
        <v>8236639.387</v>
      </c>
      <c r="BU794" s="152" t="n">
        <v>203784.289</v>
      </c>
      <c r="BV794" s="152" t="n">
        <v>8236617.433</v>
      </c>
      <c r="BW794" s="152" t="n">
        <v>-15.9319418</v>
      </c>
      <c r="BX794" s="152" t="n">
        <v>-47.7668248</v>
      </c>
      <c r="BY794" s="152" t="s">
        <v>4281</v>
      </c>
    </row>
    <row r="795" customFormat="false" ht="13.8" hidden="false" customHeight="false" outlineLevel="0" collapsed="false">
      <c r="A795" s="149" t="n">
        <f aca="false">IF(C795&lt;&gt;"",ROW(A790),"")</f>
        <v>790</v>
      </c>
      <c r="B795" s="150" t="str">
        <f aca="false">HYPERLINK("https://www.google.com/maps/dir/-15.917302,-47.760003/-15.9321459,-47.7634993/data=!4m3!4m2!3e0!5i2")</f>
        <v>https://www.google.com/maps/dir/-15.917302,-47.760003/-15.9321459,-47.7634993/data=!4m3!4m2!3e0!5i2</v>
      </c>
      <c r="C795" s="151" t="s">
        <v>117</v>
      </c>
      <c r="D795" s="152" t="s">
        <v>112</v>
      </c>
      <c r="E795" s="152" t="s">
        <v>113</v>
      </c>
      <c r="F795" s="152" t="s">
        <v>117</v>
      </c>
      <c r="G795" s="152" t="s">
        <v>782</v>
      </c>
      <c r="H795" s="152" t="n">
        <v>63</v>
      </c>
      <c r="I795" s="152" t="s">
        <v>115</v>
      </c>
      <c r="J795" s="152" t="s">
        <v>6</v>
      </c>
      <c r="K795" s="152" t="s">
        <v>4221</v>
      </c>
      <c r="L795" s="152" t="s">
        <v>120</v>
      </c>
      <c r="M795" s="153" t="n">
        <f aca="false">41.77</f>
        <v>41.77</v>
      </c>
      <c r="N795" s="152" t="s">
        <v>1548</v>
      </c>
      <c r="O795" s="152" t="s">
        <v>1549</v>
      </c>
      <c r="P795" s="152" t="s">
        <v>1550</v>
      </c>
      <c r="Q795" s="152" t="s">
        <v>1551</v>
      </c>
      <c r="R795" s="154" t="s">
        <v>4562</v>
      </c>
      <c r="S795" s="154" t="s">
        <v>1553</v>
      </c>
      <c r="T795" s="155" t="s">
        <v>4216</v>
      </c>
      <c r="U795" s="152" t="str">
        <f aca="false">RIGHT(T795,7)</f>
        <v>019/037</v>
      </c>
      <c r="V795" s="152" t="s">
        <v>1555</v>
      </c>
      <c r="W795" s="156" t="n">
        <v>45882</v>
      </c>
      <c r="X795" s="152" t="s">
        <v>1594</v>
      </c>
      <c r="Y795" s="152"/>
      <c r="Z795" s="152" t="s">
        <v>1557</v>
      </c>
      <c r="AA795" s="153" t="n">
        <v>3.5</v>
      </c>
      <c r="AB795" s="151" t="s">
        <v>4563</v>
      </c>
      <c r="AC795" s="151" t="s">
        <v>186</v>
      </c>
      <c r="AD795" s="151" t="str">
        <f aca="false">CONCATENATE($C795,$I795,$H795,$N795,$J795,$K795)</f>
        <v>TUBO PEADPEAD63VCAREDESZona07</v>
      </c>
      <c r="AE795" s="153" t="n">
        <f aca="false">IFERROR(INDEX(APOIO_REDES!$A:$W,MATCH($C795&amp;$I795&amp;$H795&amp;$N795&amp;$O795,APOIO_REDES!$W:$W,0),MATCH(AE$5,APOIO_REDES!$5:$5,0)),0)</f>
        <v>1.2</v>
      </c>
      <c r="AF795" s="153" t="n">
        <f aca="false">IFERROR(INDEX(APOIO_REDES!$A:$W,MATCH($C795&amp;$I795&amp;$H795&amp;$N795&amp;$O795,APOIO_REDES!$W:$W,0),MATCH(AF$5,APOIO_REDES!$5:$5,0)),0)</f>
        <v>1.363</v>
      </c>
      <c r="AG795" s="153" t="n">
        <f aca="false">IFERROR(INDEX(APOIO_REDES!$A:$W,MATCH($C795&amp;$I795&amp;$H795&amp;$N795&amp;$O795,APOIO_REDES!$W:$W,0),MATCH(AG$5,APOIO_REDES!$5:$5,0)),0)</f>
        <v>0.65</v>
      </c>
      <c r="AH795" s="153" t="n">
        <f aca="false">IFERROR(INDEX(APOIO_REDES!$A:$W,MATCH($C795&amp;$I795&amp;$H795&amp;$N795&amp;$O795,APOIO_REDES!$W:$W,0),MATCH(AH$5,APOIO_REDES!$5:$5,0)),0)</f>
        <v>0.1</v>
      </c>
      <c r="AI795" s="153" t="n">
        <f aca="false">IFERROR(IF($H795&lt;&gt;"",(((($H795/1000)/2)^2)*PI()*$M795),0),0)</f>
        <v>0.130207336620607</v>
      </c>
      <c r="AJ795" s="153" t="n">
        <f aca="false">IFERROR(IF(AND($H795&lt;&gt;"",$I795="FoFo",OR($N795="MND",$N795="VCA"),$Q795="LINEAR"),0,IF(AND($H795&lt;&gt;"",$I795="PEAD",$N795="VCA",$Q795="LINEAR"),($H795/1000)+0.3,IF(AND($H795&lt;&gt;"",$I795="PEAD",$N795="MND",$Q795="EMBOQUE"),0,IF(AND($H795&lt;&gt;"",$I795="PVC",$N795="VCA",$Q795="LINEAR"),($H795/1000)+0.2,IF(AND($H795&lt;&gt;"",$I795="PVC",$N795="MND",$Q795="EMBOQUE"),0,IF(AND($H795&lt;&gt;"",$I795="PEAD",$N795="VCA",$Q795="PREDIAL"),0,0)))))),0)</f>
        <v>0.363</v>
      </c>
      <c r="AK795" s="153" t="n">
        <f aca="false">IF(AA795&lt;&gt;"",AA795,0)</f>
        <v>3.5</v>
      </c>
      <c r="AL795" s="153" t="n">
        <f aca="false">IF(AND($N795="MND",$Q795="EMBOQUE"),$M795,IF(AND($N795="VCA",$Q795="LINEAR"),$M795,IF(AND($N795="VCA",$Q795="PREDIAL"),0,0)))</f>
        <v>41.77</v>
      </c>
      <c r="AM795" s="153" t="n">
        <f aca="false">IF(AND($N795="MND",$Q795="EMBOQUE"),$M795,IF(AND($N795="VCA",$Q795="LINEAR"),$M795,IF(AND($N795="VCA",$Q795="PREDIAL"),0,0)))</f>
        <v>41.77</v>
      </c>
      <c r="AN795" s="153" t="n">
        <f aca="false">ROUND(IF(AND($N795="VCA",$M795&lt;&gt;"",$Q795="LINEAR"),$M795/100,IF(AND($N795="MND",$M795&gt;100,$Q795="EMBOQUE"),$M795/100,0)),0)</f>
        <v>0</v>
      </c>
      <c r="AO795" s="153" t="n">
        <f aca="false">IF(AND($N795="MND",$Q795="EMBOQUE"),$AN795*2*2,IF(AND($N795="VCA",$Q795="LINEAR"),$M795*2,IF(AND($N795="VCA",$Q795="PREDIAL"),0,0)))</f>
        <v>83.54</v>
      </c>
      <c r="AP795" s="153" t="n">
        <f aca="false">IFERROR($M795*$AF795*$AG795,0)</f>
        <v>37.0061315</v>
      </c>
      <c r="AQ795" s="153" t="n">
        <f aca="false">IFERROR(IF(AND($N795="VCA",$AH795&gt;0),$M795*$AG795*$AH795,0),0)</f>
        <v>2.71505</v>
      </c>
      <c r="AR795" s="153" t="n">
        <f aca="false">IFERROR(IF(AND($N795="VCA",$AJ795&gt;0),($M795*$AG795*$AJ795)-$AI795,0),0)</f>
        <v>9.72542416337939</v>
      </c>
      <c r="AS795" s="153" t="n">
        <f aca="false">IFERROR(IF(AND($N795="VCA",$AP795&gt;0),$AP795-$AI795-$AQ795-$AR795,0),0)</f>
        <v>24.43545</v>
      </c>
      <c r="AT795" s="153" t="n">
        <f aca="false">IFERROR(IF($N795="VCA",INDEX(APOIO_REDES!$A:$W,MATCH($C795&amp;$I795&amp;$H795&amp;$N795&amp;$O795,APOIO_REDES!$W:$W,0),MATCH(AT$5,APOIO_REDES!$5:$5,0)),0)*$AP795,0)</f>
        <v>0.402637663975816</v>
      </c>
      <c r="AU795" s="153" t="n">
        <f aca="false">IFERROR(IF($N795="VCA",INDEX(APOIO_REDES!$A:$W,MATCH($C795&amp;$I795&amp;$H795&amp;$N795&amp;$O795,APOIO_REDES!$W:$W,0),MATCH(AU$5,APOIO_REDES!$5:$5,0)),0)*$AP795,0)</f>
        <v>0.321535533640193</v>
      </c>
      <c r="AV795" s="153" t="n">
        <f aca="false">IFERROR(IF($N795="VCA",INDEX(APOIO_REDES!$A:$W,MATCH($C795&amp;$I795&amp;$H795&amp;$N795&amp;$O795,APOIO_REDES!$W:$W,0),MATCH(AV$5,APOIO_REDES!$5:$5,0)),0)*$AP795,0)</f>
        <v>0.0444979937028964</v>
      </c>
      <c r="AW795" s="153" t="n">
        <f aca="false">IFERROR(IF($N795="VCA",INDEX(APOIO_REDES!$A:$W,MATCH($C795&amp;$I795&amp;$H795&amp;$N795&amp;$O795,APOIO_REDES!$W:$W,0),MATCH(AW$5,APOIO_REDES!$5:$5,0)),0)*$AP795,0)</f>
        <v>25.401295399099</v>
      </c>
      <c r="AX795" s="153" t="n">
        <f aca="false">IFERROR(IF($N795="VCA",INDEX(APOIO_REDES!$A:$W,MATCH($C795&amp;$I795&amp;$H795&amp;$N795&amp;$O795,APOIO_REDES!$W:$W,0),MATCH(AX$5,APOIO_REDES!$5:$5,0)),0)*$AP795,0)</f>
        <v>3.51546692627571</v>
      </c>
      <c r="AY795" s="153" t="n">
        <f aca="false">IFERROR(IF($N795="VCA",INDEX(APOIO_REDES!$A:$W,MATCH($C795&amp;$I795&amp;$H795&amp;$N795&amp;$O795,APOIO_REDES!$W:$W,0),MATCH(AY$5,APOIO_REDES!$5:$5,0)),0)*$AP795,0)</f>
        <v>6.43070675331177</v>
      </c>
      <c r="AZ795" s="153" t="n">
        <f aca="false">IFERROR(IF($N795="VCA",INDEX(APOIO_REDES!$A:$W,MATCH($C795&amp;$I795&amp;$H795&amp;$N795&amp;$O795,APOIO_REDES!$W:$W,0),MATCH(AZ$5,APOIO_REDES!$5:$5,0)),0)*$AP795,0)</f>
        <v>0.889991229994652</v>
      </c>
      <c r="BA795" s="153" t="n">
        <f aca="false">IFERROR(IF(AND($N795="VCA",$Q795="LINEAR"),INDEX(APOIO_REDES!$A:$W,MATCH($C795&amp;$I795&amp;$H795&amp;$N795&amp;$O795,APOIO_REDES!$W:$W,0),MATCH(BA$5,APOIO_REDES!$5:$5,0)),IF(AND($N795="MND",$Q795="EMBOQUE"),INDEX(APOIO_REDES!$A:$W,MATCH($C795&amp;$I795&amp;$H795&amp;$N795&amp;$O795,APOIO_REDES!$W:$W,0),MATCH(BA$5,APOIO_REDES!$5:$5,0)),0))*$M795/10,0)</f>
        <v>3.36655663850742</v>
      </c>
      <c r="BB795" s="153" t="n">
        <f aca="false">IFERROR(IF($N795="VCA",INDEX(APOIO_REDES!$A:$W,MATCH($C795&amp;$I795&amp;$H795&amp;$N795&amp;$O795,APOIO_REDES!$W:$W,0),MATCH(BB$5,APOIO_REDES!$5:$5,0)),0)*($AI795+$AQ795+$AR795),0)</f>
        <v>12.4339087645482</v>
      </c>
      <c r="BC795" s="153" t="n">
        <f aca="false">IFERROR(IF($N795="VCA",INDEX(APOIO_REDES!$A:$W,MATCH($C795&amp;$I795&amp;$H795&amp;$N795&amp;$O795,APOIO_REDES!$W:$W,0),MATCH(BC$5,APOIO_REDES!$5:$5,0)),0)*($AI795+$AQ795+$AR795),0)</f>
        <v>0.1367727354518</v>
      </c>
      <c r="BD795" s="153" t="n">
        <f aca="false">IF(AND($N795="VCA",$AF795&gt;=1.25,$AF795&lt;1.5),$M795*$AF795*2,0)</f>
        <v>113.86502</v>
      </c>
      <c r="BE795" s="153" t="n">
        <f aca="false">IF(AND($N795="VCA",$AF795&gt;=1.5,$AF795&lt;3),$M795*$AF795*2,0)</f>
        <v>0</v>
      </c>
      <c r="BF795" s="153" t="n">
        <f aca="false">IF(AND($N795="VCA",$AF795&gt;=3),$M795*$AF795*2,0)</f>
        <v>0</v>
      </c>
      <c r="BG795" s="153" t="n">
        <f aca="false">($BB795+$BC795)*$AK795</f>
        <v>43.99738525</v>
      </c>
      <c r="BH795" s="153" t="n">
        <f aca="false">IF(AND($M795&lt;&gt;"",$N795="VCA",$Q795="LINEAR"),($M795*2)/100,IF(AND($M795&lt;&gt;"",$N795="MND",$Q795="EMBOQUE"),($AN795*2)/100,0))</f>
        <v>0.8354</v>
      </c>
      <c r="BI795" s="153" t="n">
        <f aca="false">IF(AND($M795&lt;&gt;"",$N795="VCA",$Q795="LINEAR"),$M795,IF(AND($M795&lt;&gt;"",$N795="MND",$Q795="EMBOQUE"),$AN795*2,0))</f>
        <v>41.77</v>
      </c>
      <c r="BJ795" s="153" t="n">
        <f aca="false">IF(AND($M795&lt;&gt;"",$N795="VCA",$Q795="LINEAR"),($M795*6.8)/100,IF(AND($M795&lt;&gt;"",$N795="MND",$Q795="EMBOQUE"),($AN795*2*6.8)/100,0))</f>
        <v>2.84036</v>
      </c>
      <c r="BK795" s="153" t="n">
        <f aca="false">IF(AND($M795&lt;&gt;"",$N795="VCA",$Q795="LINEAR"),($M795*2.5)/50,IF(AND($M795&lt;&gt;"",$N795="MND",$Q795="EMBOQUE"),($AN795*2*2.5)/50,0))</f>
        <v>2.0885</v>
      </c>
      <c r="BL795" s="157" t="str">
        <f aca="false">K795&amp;J795</f>
        <v>Zona07REDES</v>
      </c>
      <c r="BM795" s="152" t="s">
        <v>4225</v>
      </c>
      <c r="BN795" s="152" t="s">
        <v>1560</v>
      </c>
      <c r="BO795" s="152" t="s">
        <v>4218</v>
      </c>
      <c r="BP795" s="152" t="s">
        <v>4564</v>
      </c>
      <c r="BQ795" s="152" t="s">
        <v>4449</v>
      </c>
      <c r="BR795" s="152" t="s">
        <v>4565</v>
      </c>
      <c r="BS795" s="152" t="n">
        <v>204131.187</v>
      </c>
      <c r="BT795" s="152" t="n">
        <v>8236610.547</v>
      </c>
      <c r="BU795" s="152" t="n">
        <v>204159.695</v>
      </c>
      <c r="BV795" s="152" t="n">
        <v>8236641.073</v>
      </c>
      <c r="BW795" s="152" t="n">
        <v>-15.9320102</v>
      </c>
      <c r="BX795" s="152" t="n">
        <v>-47.7633639</v>
      </c>
      <c r="BY795" s="152" t="s">
        <v>4564</v>
      </c>
    </row>
    <row r="796" customFormat="false" ht="13.8" hidden="false" customHeight="false" outlineLevel="0" collapsed="false">
      <c r="A796" s="149" t="n">
        <f aca="false">IF(C796&lt;&gt;"",ROW(A791),"")</f>
        <v>791</v>
      </c>
      <c r="B796" s="150" t="str">
        <f aca="false">HYPERLINK("https://www.google.com/maps/dir/-15.917302,-47.760003/-15.9323173,-47.7649486/data=!4m3!4m2!3e0!5i1")</f>
        <v>https://www.google.com/maps/dir/-15.917302,-47.760003/-15.9323173,-47.7649486/data=!4m3!4m2!3e0!5i1</v>
      </c>
      <c r="C796" s="151" t="s">
        <v>117</v>
      </c>
      <c r="D796" s="152" t="s">
        <v>112</v>
      </c>
      <c r="E796" s="152" t="s">
        <v>113</v>
      </c>
      <c r="F796" s="152" t="s">
        <v>117</v>
      </c>
      <c r="G796" s="152" t="s">
        <v>782</v>
      </c>
      <c r="H796" s="152" t="n">
        <v>63</v>
      </c>
      <c r="I796" s="152" t="s">
        <v>115</v>
      </c>
      <c r="J796" s="152" t="s">
        <v>6</v>
      </c>
      <c r="K796" s="152" t="s">
        <v>4221</v>
      </c>
      <c r="L796" s="152" t="s">
        <v>120</v>
      </c>
      <c r="M796" s="153" t="n">
        <f aca="false">97.57+4</f>
        <v>101.57</v>
      </c>
      <c r="N796" s="152" t="s">
        <v>1548</v>
      </c>
      <c r="O796" s="152" t="s">
        <v>1549</v>
      </c>
      <c r="P796" s="152" t="s">
        <v>1550</v>
      </c>
      <c r="Q796" s="152" t="s">
        <v>1551</v>
      </c>
      <c r="R796" s="154" t="s">
        <v>4566</v>
      </c>
      <c r="S796" s="154" t="s">
        <v>1553</v>
      </c>
      <c r="T796" s="155" t="s">
        <v>4216</v>
      </c>
      <c r="U796" s="152" t="str">
        <f aca="false">RIGHT(T796,7)</f>
        <v>019/037</v>
      </c>
      <c r="V796" s="152" t="s">
        <v>1555</v>
      </c>
      <c r="W796" s="156" t="n">
        <v>45882</v>
      </c>
      <c r="X796" s="152" t="s">
        <v>3938</v>
      </c>
      <c r="Y796" s="152" t="s">
        <v>4567</v>
      </c>
      <c r="Z796" s="152" t="s">
        <v>1557</v>
      </c>
      <c r="AA796" s="153" t="n">
        <v>3.6</v>
      </c>
      <c r="AB796" s="151" t="s">
        <v>4568</v>
      </c>
      <c r="AC796" s="151" t="s">
        <v>186</v>
      </c>
      <c r="AD796" s="151" t="str">
        <f aca="false">CONCATENATE($C796,$I796,$H796,$N796,$J796,$K796)</f>
        <v>TUBO PEADPEAD63VCAREDESZona07</v>
      </c>
      <c r="AE796" s="153" t="n">
        <f aca="false">IFERROR(INDEX(APOIO_REDES!$A:$W,MATCH($C796&amp;$I796&amp;$H796&amp;$N796&amp;$O796,APOIO_REDES!$W:$W,0),MATCH(AE$5,APOIO_REDES!$5:$5,0)),0)</f>
        <v>1.2</v>
      </c>
      <c r="AF796" s="153" t="n">
        <f aca="false">IFERROR(INDEX(APOIO_REDES!$A:$W,MATCH($C796&amp;$I796&amp;$H796&amp;$N796&amp;$O796,APOIO_REDES!$W:$W,0),MATCH(AF$5,APOIO_REDES!$5:$5,0)),0)</f>
        <v>1.363</v>
      </c>
      <c r="AG796" s="153" t="n">
        <f aca="false">IFERROR(INDEX(APOIO_REDES!$A:$W,MATCH($C796&amp;$I796&amp;$H796&amp;$N796&amp;$O796,APOIO_REDES!$W:$W,0),MATCH(AG$5,APOIO_REDES!$5:$5,0)),0)</f>
        <v>0.65</v>
      </c>
      <c r="AH796" s="153" t="n">
        <f aca="false">IFERROR(INDEX(APOIO_REDES!$A:$W,MATCH($C796&amp;$I796&amp;$H796&amp;$N796&amp;$O796,APOIO_REDES!$W:$W,0),MATCH(AH$5,APOIO_REDES!$5:$5,0)),0)</f>
        <v>0.1</v>
      </c>
      <c r="AI796" s="153" t="n">
        <f aca="false">IFERROR(IF($H796&lt;&gt;"",(((($H796/1000)/2)^2)*PI()*$M796),0),0)</f>
        <v>0.316618606189971</v>
      </c>
      <c r="AJ796" s="153" t="n">
        <f aca="false">IFERROR(IF(AND($H796&lt;&gt;"",$I796="FoFo",OR($N796="MND",$N796="VCA"),$Q796="LINEAR"),0,IF(AND($H796&lt;&gt;"",$I796="PEAD",$N796="VCA",$Q796="LINEAR"),($H796/1000)+0.3,IF(AND($H796&lt;&gt;"",$I796="PEAD",$N796="MND",$Q796="EMBOQUE"),0,IF(AND($H796&lt;&gt;"",$I796="PVC",$N796="VCA",$Q796="LINEAR"),($H796/1000)+0.2,IF(AND($H796&lt;&gt;"",$I796="PVC",$N796="MND",$Q796="EMBOQUE"),0,IF(AND($H796&lt;&gt;"",$I796="PEAD",$N796="VCA",$Q796="PREDIAL"),0,0)))))),0)</f>
        <v>0.363</v>
      </c>
      <c r="AK796" s="153" t="n">
        <f aca="false">IF(AA796&lt;&gt;"",AA796,0)</f>
        <v>3.6</v>
      </c>
      <c r="AL796" s="153" t="n">
        <f aca="false">IF(AND($N796="MND",$Q796="EMBOQUE"),$M796,IF(AND($N796="VCA",$Q796="LINEAR"),$M796,IF(AND($N796="VCA",$Q796="PREDIAL"),0,0)))</f>
        <v>101.57</v>
      </c>
      <c r="AM796" s="153" t="n">
        <f aca="false">IF(AND($N796="MND",$Q796="EMBOQUE"),$M796,IF(AND($N796="VCA",$Q796="LINEAR"),$M796,IF(AND($N796="VCA",$Q796="PREDIAL"),0,0)))</f>
        <v>101.57</v>
      </c>
      <c r="AN796" s="153" t="n">
        <f aca="false">ROUND(IF(AND($N796="VCA",$M796&lt;&gt;"",$Q796="LINEAR"),$M796/100,IF(AND($N796="MND",$M796&gt;100,$Q796="EMBOQUE"),$M796/100,0)),0)</f>
        <v>1</v>
      </c>
      <c r="AO796" s="153" t="n">
        <f aca="false">IF(AND($N796="MND",$Q796="EMBOQUE"),$AN796*2*2,IF(AND($N796="VCA",$Q796="LINEAR"),$M796*2,IF(AND($N796="VCA",$Q796="PREDIAL"),0,0)))</f>
        <v>203.14</v>
      </c>
      <c r="AP796" s="153" t="n">
        <f aca="false">IFERROR($M796*$AF796*$AG796,0)</f>
        <v>89.9859415</v>
      </c>
      <c r="AQ796" s="153" t="n">
        <f aca="false">IFERROR(IF(AND($N796="VCA",$AH796&gt;0),$M796*$AG796*$AH796,0),0)</f>
        <v>6.60205</v>
      </c>
      <c r="AR796" s="153" t="n">
        <f aca="false">IFERROR(IF(AND($N796="VCA",$AJ796&gt;0),($M796*$AG796*$AJ796)-$AI796,0),0)</f>
        <v>23.64882289381</v>
      </c>
      <c r="AS796" s="153" t="n">
        <f aca="false">IFERROR(IF(AND($N796="VCA",$AP796&gt;0),$AP796-$AI796-$AQ796-$AR796,0),0)</f>
        <v>59.41845</v>
      </c>
      <c r="AT796" s="153" t="n">
        <f aca="false">IFERROR(IF($N796="VCA",INDEX(APOIO_REDES!$A:$W,MATCH($C796&amp;$I796&amp;$H796&amp;$N796&amp;$O796,APOIO_REDES!$W:$W,0),MATCH(AT$5,APOIO_REDES!$5:$5,0)),0)*$AP796,0)</f>
        <v>0.97907367799913</v>
      </c>
      <c r="AU796" s="153" t="n">
        <f aca="false">IFERROR(IF($N796="VCA",INDEX(APOIO_REDES!$A:$W,MATCH($C796&amp;$I796&amp;$H796&amp;$N796&amp;$O796,APOIO_REDES!$W:$W,0),MATCH(AU$5,APOIO_REDES!$5:$5,0)),0)*$AP796,0)</f>
        <v>0.781861722572047</v>
      </c>
      <c r="AV796" s="153" t="n">
        <f aca="false">IFERROR(IF($N796="VCA",INDEX(APOIO_REDES!$A:$W,MATCH($C796&amp;$I796&amp;$H796&amp;$N796&amp;$O796,APOIO_REDES!$W:$W,0),MATCH(AV$5,APOIO_REDES!$5:$5,0)),0)*$AP796,0)</f>
        <v>0.108203524548796</v>
      </c>
      <c r="AW796" s="153" t="n">
        <f aca="false">IFERROR(IF($N796="VCA",INDEX(APOIO_REDES!$A:$W,MATCH($C796&amp;$I796&amp;$H796&amp;$N796&amp;$O796,APOIO_REDES!$W:$W,0),MATCH(AW$5,APOIO_REDES!$5:$5,0)),0)*$AP796,0)</f>
        <v>61.7670474906986</v>
      </c>
      <c r="AX796" s="153" t="n">
        <f aca="false">IFERROR(IF($N796="VCA",INDEX(APOIO_REDES!$A:$W,MATCH($C796&amp;$I796&amp;$H796&amp;$N796&amp;$O796,APOIO_REDES!$W:$W,0),MATCH(AX$5,APOIO_REDES!$5:$5,0)),0)*$AP796,0)</f>
        <v>8.54838342594743</v>
      </c>
      <c r="AY796" s="153" t="n">
        <f aca="false">IFERROR(IF($N796="VCA",INDEX(APOIO_REDES!$A:$W,MATCH($C796&amp;$I796&amp;$H796&amp;$N796&amp;$O796,APOIO_REDES!$W:$W,0),MATCH(AY$5,APOIO_REDES!$5:$5,0)),0)*$AP796,0)</f>
        <v>15.6372249206099</v>
      </c>
      <c r="AZ796" s="153" t="n">
        <f aca="false">IFERROR(IF($N796="VCA",INDEX(APOIO_REDES!$A:$W,MATCH($C796&amp;$I796&amp;$H796&amp;$N796&amp;$O796,APOIO_REDES!$W:$W,0),MATCH(AZ$5,APOIO_REDES!$5:$5,0)),0)*$AP796,0)</f>
        <v>2.16414673762406</v>
      </c>
      <c r="BA796" s="153" t="n">
        <f aca="false">IFERROR(IF(AND($N796="VCA",$Q796="LINEAR"),INDEX(APOIO_REDES!$A:$W,MATCH($C796&amp;$I796&amp;$H796&amp;$N796&amp;$O796,APOIO_REDES!$W:$W,0),MATCH(BA$5,APOIO_REDES!$5:$5,0)),IF(AND($N796="MND",$Q796="EMBOQUE"),INDEX(APOIO_REDES!$A:$W,MATCH($C796&amp;$I796&amp;$H796&amp;$N796&amp;$O796,APOIO_REDES!$W:$W,0),MATCH(BA$5,APOIO_REDES!$5:$5,0)),0))*$M796/10,0)</f>
        <v>8.18628579777828</v>
      </c>
      <c r="BB796" s="153" t="n">
        <f aca="false">IFERROR(IF($N796="VCA",INDEX(APOIO_REDES!$A:$W,MATCH($C796&amp;$I796&amp;$H796&amp;$N796&amp;$O796,APOIO_REDES!$W:$W,0),MATCH(BB$5,APOIO_REDES!$5:$5,0)),0)*($AI796+$AQ796+$AR796),0)</f>
        <v>30.2349081449643</v>
      </c>
      <c r="BC796" s="153" t="n">
        <f aca="false">IFERROR(IF($N796="VCA",INDEX(APOIO_REDES!$A:$W,MATCH($C796&amp;$I796&amp;$H796&amp;$N796&amp;$O796,APOIO_REDES!$W:$W,0),MATCH(BC$5,APOIO_REDES!$5:$5,0)),0)*($AI796+$AQ796+$AR796),0)</f>
        <v>0.332583355035655</v>
      </c>
      <c r="BD796" s="153" t="n">
        <f aca="false">IF(AND($N796="VCA",$AF796&gt;=1.25,$AF796&lt;1.5),$M796*$AF796*2,0)</f>
        <v>276.87982</v>
      </c>
      <c r="BE796" s="153" t="n">
        <f aca="false">IF(AND($N796="VCA",$AF796&gt;=1.5,$AF796&lt;3),$M796*$AF796*2,0)</f>
        <v>0</v>
      </c>
      <c r="BF796" s="153" t="n">
        <f aca="false">IF(AND($N796="VCA",$AF796&gt;=3),$M796*$AF796*2,0)</f>
        <v>0</v>
      </c>
      <c r="BG796" s="153" t="n">
        <f aca="false">($BB796+$BC796)*$AK796</f>
        <v>110.0429694</v>
      </c>
      <c r="BH796" s="153" t="n">
        <f aca="false">IF(AND($M796&lt;&gt;"",$N796="VCA",$Q796="LINEAR"),($M796*2)/100,IF(AND($M796&lt;&gt;"",$N796="MND",$Q796="EMBOQUE"),($AN796*2)/100,0))</f>
        <v>2.0314</v>
      </c>
      <c r="BI796" s="153" t="n">
        <f aca="false">IF(AND($M796&lt;&gt;"",$N796="VCA",$Q796="LINEAR"),$M796,IF(AND($M796&lt;&gt;"",$N796="MND",$Q796="EMBOQUE"),$AN796*2,0))</f>
        <v>101.57</v>
      </c>
      <c r="BJ796" s="153" t="n">
        <f aca="false">IF(AND($M796&lt;&gt;"",$N796="VCA",$Q796="LINEAR"),($M796*6.8)/100,IF(AND($M796&lt;&gt;"",$N796="MND",$Q796="EMBOQUE"),($AN796*2*6.8)/100,0))</f>
        <v>6.90676</v>
      </c>
      <c r="BK796" s="153" t="n">
        <f aca="false">IF(AND($M796&lt;&gt;"",$N796="VCA",$Q796="LINEAR"),($M796*2.5)/50,IF(AND($M796&lt;&gt;"",$N796="MND",$Q796="EMBOQUE"),($AN796*2*2.5)/50,0))</f>
        <v>5.0785</v>
      </c>
      <c r="BL796" s="157" t="str">
        <f aca="false">K796&amp;J796</f>
        <v>Zona07REDES</v>
      </c>
      <c r="BM796" s="152" t="s">
        <v>4225</v>
      </c>
      <c r="BN796" s="152" t="s">
        <v>1560</v>
      </c>
      <c r="BO796" s="152" t="s">
        <v>4218</v>
      </c>
      <c r="BP796" s="152" t="s">
        <v>4569</v>
      </c>
      <c r="BQ796" s="152" t="s">
        <v>4445</v>
      </c>
      <c r="BR796" s="152" t="s">
        <v>4570</v>
      </c>
      <c r="BS796" s="152" t="n">
        <v>203976.174</v>
      </c>
      <c r="BT796" s="152" t="n">
        <v>8236589.504</v>
      </c>
      <c r="BU796" s="152" t="n">
        <v>204048.081</v>
      </c>
      <c r="BV796" s="152" t="n">
        <v>8236655.456</v>
      </c>
      <c r="BW796" s="152" t="n">
        <v>-15.9320239</v>
      </c>
      <c r="BX796" s="152" t="n">
        <v>-47.764609</v>
      </c>
      <c r="BY796" s="152" t="s">
        <v>4569</v>
      </c>
    </row>
    <row r="797" customFormat="false" ht="13.8" hidden="false" customHeight="false" outlineLevel="0" collapsed="false">
      <c r="A797" s="149" t="n">
        <f aca="false">IF(C797&lt;&gt;"",ROW(A792),"")</f>
        <v>792</v>
      </c>
      <c r="B797" s="150" t="str">
        <f aca="false">HYPERLINK("https://www.google.com/maps/dir/-15.917302,-47.760003/-15.9322816,-47.7637641/data=!4m3!4m2!3e0!5i2")</f>
        <v>https://www.google.com/maps/dir/-15.917302,-47.760003/-15.9322816,-47.7637641/data=!4m3!4m2!3e0!5i2</v>
      </c>
      <c r="C797" s="151" t="s">
        <v>117</v>
      </c>
      <c r="D797" s="152" t="s">
        <v>112</v>
      </c>
      <c r="E797" s="152" t="s">
        <v>113</v>
      </c>
      <c r="F797" s="152" t="s">
        <v>117</v>
      </c>
      <c r="G797" s="152" t="s">
        <v>782</v>
      </c>
      <c r="H797" s="152" t="n">
        <v>90</v>
      </c>
      <c r="I797" s="152" t="s">
        <v>115</v>
      </c>
      <c r="J797" s="152" t="s">
        <v>6</v>
      </c>
      <c r="K797" s="152" t="s">
        <v>4221</v>
      </c>
      <c r="L797" s="152" t="s">
        <v>120</v>
      </c>
      <c r="M797" s="153" t="n">
        <f aca="false">33.6</f>
        <v>33.6</v>
      </c>
      <c r="N797" s="152" t="s">
        <v>1548</v>
      </c>
      <c r="O797" s="152" t="s">
        <v>1549</v>
      </c>
      <c r="P797" s="152" t="s">
        <v>1550</v>
      </c>
      <c r="Q797" s="152" t="s">
        <v>1551</v>
      </c>
      <c r="R797" s="154" t="s">
        <v>4571</v>
      </c>
      <c r="S797" s="154" t="s">
        <v>1593</v>
      </c>
      <c r="T797" s="155" t="s">
        <v>4216</v>
      </c>
      <c r="U797" s="152" t="str">
        <f aca="false">RIGHT(T797,7)</f>
        <v>019/037</v>
      </c>
      <c r="V797" s="152" t="s">
        <v>1555</v>
      </c>
      <c r="W797" s="156" t="n">
        <v>45882</v>
      </c>
      <c r="X797" s="152" t="s">
        <v>1594</v>
      </c>
      <c r="Y797" s="152" t="s">
        <v>2834</v>
      </c>
      <c r="Z797" s="152" t="s">
        <v>1557</v>
      </c>
      <c r="AA797" s="153" t="n">
        <v>3.5</v>
      </c>
      <c r="AB797" s="151" t="s">
        <v>4572</v>
      </c>
      <c r="AC797" s="151" t="s">
        <v>526</v>
      </c>
      <c r="AD797" s="151" t="str">
        <f aca="false">CONCATENATE($C797,$I797,$H797,$N797,$J797,$K797)</f>
        <v>TUBO PEADPEAD90VCAREDESZona07</v>
      </c>
      <c r="AE797" s="153" t="n">
        <f aca="false">IFERROR(INDEX(APOIO_REDES!$A:$W,MATCH($C797&amp;$I797&amp;$H797&amp;$N797&amp;$O797,APOIO_REDES!$W:$W,0),MATCH(AE$5,APOIO_REDES!$5:$5,0)),0)</f>
        <v>1.2</v>
      </c>
      <c r="AF797" s="153" t="n">
        <f aca="false">IFERROR(INDEX(APOIO_REDES!$A:$W,MATCH($C797&amp;$I797&amp;$H797&amp;$N797&amp;$O797,APOIO_REDES!$W:$W,0),MATCH(AF$5,APOIO_REDES!$5:$5,0)),0)</f>
        <v>1.39</v>
      </c>
      <c r="AG797" s="153" t="n">
        <f aca="false">IFERROR(INDEX(APOIO_REDES!$A:$W,MATCH($C797&amp;$I797&amp;$H797&amp;$N797&amp;$O797,APOIO_REDES!$W:$W,0),MATCH(AG$5,APOIO_REDES!$5:$5,0)),0)</f>
        <v>0.75</v>
      </c>
      <c r="AH797" s="153" t="n">
        <f aca="false">IFERROR(INDEX(APOIO_REDES!$A:$W,MATCH($C797&amp;$I797&amp;$H797&amp;$N797&amp;$O797,APOIO_REDES!$W:$W,0),MATCH(AH$5,APOIO_REDES!$5:$5,0)),0)</f>
        <v>0.1</v>
      </c>
      <c r="AI797" s="153" t="n">
        <f aca="false">IFERROR(IF($H797&lt;&gt;"",(((($H797/1000)/2)^2)*PI()*$M797),0),0)</f>
        <v>0.21375396415025</v>
      </c>
      <c r="AJ797" s="153" t="n">
        <f aca="false">IFERROR(IF(AND($H797&lt;&gt;"",$I797="FoFo",OR($N797="MND",$N797="VCA"),$Q797="LINEAR"),0,IF(AND($H797&lt;&gt;"",$I797="PEAD",$N797="VCA",$Q797="LINEAR"),($H797/1000)+0.3,IF(AND($H797&lt;&gt;"",$I797="PEAD",$N797="MND",$Q797="EMBOQUE"),0,IF(AND($H797&lt;&gt;"",$I797="PVC",$N797="VCA",$Q797="LINEAR"),($H797/1000)+0.2,IF(AND($H797&lt;&gt;"",$I797="PVC",$N797="MND",$Q797="EMBOQUE"),0,IF(AND($H797&lt;&gt;"",$I797="PEAD",$N797="VCA",$Q797="PREDIAL"),0,0)))))),0)</f>
        <v>0.39</v>
      </c>
      <c r="AK797" s="153" t="n">
        <f aca="false">IF(AA797&lt;&gt;"",AA797,0)</f>
        <v>3.5</v>
      </c>
      <c r="AL797" s="153" t="n">
        <f aca="false">IF(AND($N797="MND",$Q797="EMBOQUE"),$M797,IF(AND($N797="VCA",$Q797="LINEAR"),$M797,IF(AND($N797="VCA",$Q797="PREDIAL"),0,0)))</f>
        <v>33.6</v>
      </c>
      <c r="AM797" s="153" t="n">
        <f aca="false">IF(AND($N797="MND",$Q797="EMBOQUE"),$M797,IF(AND($N797="VCA",$Q797="LINEAR"),$M797,IF(AND($N797="VCA",$Q797="PREDIAL"),0,0)))</f>
        <v>33.6</v>
      </c>
      <c r="AN797" s="153" t="n">
        <f aca="false">ROUND(IF(AND($N797="VCA",$M797&lt;&gt;"",$Q797="LINEAR"),$M797/100,IF(AND($N797="MND",$M797&gt;100,$Q797="EMBOQUE"),$M797/100,0)),0)</f>
        <v>0</v>
      </c>
      <c r="AO797" s="153" t="n">
        <f aca="false">IF(AND($N797="MND",$Q797="EMBOQUE"),$AN797*2*2,IF(AND($N797="VCA",$Q797="LINEAR"),$M797*2,IF(AND($N797="VCA",$Q797="PREDIAL"),0,0)))</f>
        <v>67.2</v>
      </c>
      <c r="AP797" s="153" t="n">
        <f aca="false">IFERROR($M797*$AF797*$AG797,0)</f>
        <v>35.028</v>
      </c>
      <c r="AQ797" s="153" t="n">
        <f aca="false">IFERROR(IF(AND($N797="VCA",$AH797&gt;0),$M797*$AG797*$AH797,0),0)</f>
        <v>2.52</v>
      </c>
      <c r="AR797" s="153" t="n">
        <f aca="false">IFERROR(IF(AND($N797="VCA",$AJ797&gt;0),($M797*$AG797*$AJ797)-$AI797,0),0)</f>
        <v>9.61424603584975</v>
      </c>
      <c r="AS797" s="153" t="n">
        <f aca="false">IFERROR(IF(AND($N797="VCA",$AP797&gt;0),$AP797-$AI797-$AQ797-$AR797,0),0)</f>
        <v>22.68</v>
      </c>
      <c r="AT797" s="153" t="n">
        <f aca="false">IFERROR(IF($N797="VCA",INDEX(APOIO_REDES!$A:$W,MATCH($C797&amp;$I797&amp;$H797&amp;$N797&amp;$O797,APOIO_REDES!$W:$W,0),MATCH(AT$5,APOIO_REDES!$5:$5,0)),0)*$AP797,0)</f>
        <v>0.381115007758779</v>
      </c>
      <c r="AU797" s="153" t="n">
        <f aca="false">IFERROR(IF($N797="VCA",INDEX(APOIO_REDES!$A:$W,MATCH($C797&amp;$I797&amp;$H797&amp;$N797&amp;$O797,APOIO_REDES!$W:$W,0),MATCH(AU$5,APOIO_REDES!$5:$5,0)),0)*$AP797,0)</f>
        <v>0.304348123292722</v>
      </c>
      <c r="AV797" s="153" t="n">
        <f aca="false">IFERROR(IF($N797="VCA",INDEX(APOIO_REDES!$A:$W,MATCH($C797&amp;$I797&amp;$H797&amp;$N797&amp;$O797,APOIO_REDES!$W:$W,0),MATCH(AV$5,APOIO_REDES!$5:$5,0)),0)*$AP797,0)</f>
        <v>0.0421193910372679</v>
      </c>
      <c r="AW797" s="153" t="n">
        <f aca="false">IFERROR(IF($N797="VCA",INDEX(APOIO_REDES!$A:$W,MATCH($C797&amp;$I797&amp;$H797&amp;$N797&amp;$O797,APOIO_REDES!$W:$W,0),MATCH(AW$5,APOIO_REDES!$5:$5,0)),0)*$AP797,0)</f>
        <v>24.0434906101882</v>
      </c>
      <c r="AX797" s="153" t="n">
        <f aca="false">IFERROR(IF($N797="VCA",INDEX(APOIO_REDES!$A:$W,MATCH($C797&amp;$I797&amp;$H797&amp;$N797&amp;$O797,APOIO_REDES!$W:$W,0),MATCH(AX$5,APOIO_REDES!$5:$5,0)),0)*$AP797,0)</f>
        <v>3.32755061127061</v>
      </c>
      <c r="AY797" s="153" t="n">
        <f aca="false">IFERROR(IF($N797="VCA",INDEX(APOIO_REDES!$A:$W,MATCH($C797&amp;$I797&amp;$H797&amp;$N797&amp;$O797,APOIO_REDES!$W:$W,0),MATCH(AY$5,APOIO_REDES!$5:$5,0)),0)*$AP797,0)</f>
        <v>6.08695875587549</v>
      </c>
      <c r="AZ797" s="153" t="n">
        <f aca="false">IFERROR(IF($N797="VCA",INDEX(APOIO_REDES!$A:$W,MATCH($C797&amp;$I797&amp;$H797&amp;$N797&amp;$O797,APOIO_REDES!$W:$W,0),MATCH(AZ$5,APOIO_REDES!$5:$5,0)),0)*$AP797,0)</f>
        <v>0.84241750057697</v>
      </c>
      <c r="BA797" s="153" t="n">
        <f aca="false">IFERROR(IF(AND($N797="VCA",$Q797="LINEAR"),INDEX(APOIO_REDES!$A:$W,MATCH($C797&amp;$I797&amp;$H797&amp;$N797&amp;$O797,APOIO_REDES!$W:$W,0),MATCH(BA$5,APOIO_REDES!$5:$5,0)),IF(AND($N797="MND",$Q797="EMBOQUE"),INDEX(APOIO_REDES!$A:$W,MATCH($C797&amp;$I797&amp;$H797&amp;$N797&amp;$O797,APOIO_REDES!$W:$W,0),MATCH(BA$5,APOIO_REDES!$5:$5,0)),0))*$M797/10,0)</f>
        <v>2.70807524668062</v>
      </c>
      <c r="BB797" s="153" t="n">
        <f aca="false">IFERROR(IF($N797="VCA",INDEX(APOIO_REDES!$A:$W,MATCH($C797&amp;$I797&amp;$H797&amp;$N797&amp;$O797,APOIO_REDES!$W:$W,0),MATCH(BB$5,APOIO_REDES!$5:$5,0)),0)*($AI797+$AQ797+$AR797),0)</f>
        <v>12.2136501051786</v>
      </c>
      <c r="BC797" s="153" t="n">
        <f aca="false">IFERROR(IF($N797="VCA",INDEX(APOIO_REDES!$A:$W,MATCH($C797&amp;$I797&amp;$H797&amp;$N797&amp;$O797,APOIO_REDES!$W:$W,0),MATCH(BC$5,APOIO_REDES!$5:$5,0)),0)*($AI797+$AQ797+$AR797),0)</f>
        <v>0.13434989482144</v>
      </c>
      <c r="BD797" s="153" t="n">
        <f aca="false">IF(AND($N797="VCA",$AF797&gt;=1.25,$AF797&lt;1.5),$M797*$AF797*2,0)</f>
        <v>93.408</v>
      </c>
      <c r="BE797" s="153" t="n">
        <f aca="false">IF(AND($N797="VCA",$AF797&gt;=1.5,$AF797&lt;3),$M797*$AF797*2,0)</f>
        <v>0</v>
      </c>
      <c r="BF797" s="153" t="n">
        <f aca="false">IF(AND($N797="VCA",$AF797&gt;=3),$M797*$AF797*2,0)</f>
        <v>0</v>
      </c>
      <c r="BG797" s="153" t="n">
        <f aca="false">($BB797+$BC797)*$AK797</f>
        <v>43.218</v>
      </c>
      <c r="BH797" s="153" t="n">
        <f aca="false">IF(AND($M797&lt;&gt;"",$N797="VCA",$Q797="LINEAR"),($M797*2)/100,IF(AND($M797&lt;&gt;"",$N797="MND",$Q797="EMBOQUE"),($AN797*2)/100,0))</f>
        <v>0.672</v>
      </c>
      <c r="BI797" s="153" t="n">
        <f aca="false">IF(AND($M797&lt;&gt;"",$N797="VCA",$Q797="LINEAR"),$M797,IF(AND($M797&lt;&gt;"",$N797="MND",$Q797="EMBOQUE"),$AN797*2,0))</f>
        <v>33.6</v>
      </c>
      <c r="BJ797" s="153" t="n">
        <f aca="false">IF(AND($M797&lt;&gt;"",$N797="VCA",$Q797="LINEAR"),($M797*6.8)/100,IF(AND($M797&lt;&gt;"",$N797="MND",$Q797="EMBOQUE"),($AN797*2*6.8)/100,0))</f>
        <v>2.2848</v>
      </c>
      <c r="BK797" s="153" t="n">
        <f aca="false">IF(AND($M797&lt;&gt;"",$N797="VCA",$Q797="LINEAR"),($M797*2.5)/50,IF(AND($M797&lt;&gt;"",$N797="MND",$Q797="EMBOQUE"),($AN797*2*2.5)/50,0))</f>
        <v>1.68</v>
      </c>
      <c r="BL797" s="157" t="str">
        <f aca="false">K797&amp;J797</f>
        <v>Zona07REDES</v>
      </c>
      <c r="BM797" s="152" t="s">
        <v>4225</v>
      </c>
      <c r="BN797" s="152" t="s">
        <v>1560</v>
      </c>
      <c r="BO797" s="152" t="s">
        <v>4218</v>
      </c>
      <c r="BP797" s="152" t="s">
        <v>4573</v>
      </c>
      <c r="BQ797" s="152" t="s">
        <v>4552</v>
      </c>
      <c r="BR797" s="152" t="s">
        <v>4574</v>
      </c>
      <c r="BS797" s="152" t="n">
        <v>204103.025</v>
      </c>
      <c r="BT797" s="152" t="n">
        <v>8236595.145</v>
      </c>
      <c r="BU797" s="152" t="n">
        <v>204079.905</v>
      </c>
      <c r="BV797" s="152" t="n">
        <v>8236619.489</v>
      </c>
      <c r="BW797" s="152" t="n">
        <v>-15.9321677</v>
      </c>
      <c r="BX797" s="152" t="n">
        <v>-47.7638676</v>
      </c>
      <c r="BY797" s="152" t="s">
        <v>4573</v>
      </c>
    </row>
    <row r="798" customFormat="false" ht="13.8" hidden="false" customHeight="false" outlineLevel="0" collapsed="false">
      <c r="A798" s="149" t="n">
        <f aca="false">IF(C798&lt;&gt;"",ROW(A793),"")</f>
        <v>793</v>
      </c>
      <c r="B798" s="150" t="str">
        <f aca="false">HYPERLINK("https://www.google.com/maps/dir/-15.917302,-47.760003/-15.9322407,-47.7637228/data=!4m3!4m2!3e0!5i2")</f>
        <v>https://www.google.com/maps/dir/-15.917302,-47.760003/-15.9322407,-47.7637228/data=!4m3!4m2!3e0!5i2</v>
      </c>
      <c r="C798" s="151" t="s">
        <v>117</v>
      </c>
      <c r="D798" s="152" t="s">
        <v>112</v>
      </c>
      <c r="E798" s="152" t="s">
        <v>113</v>
      </c>
      <c r="F798" s="152" t="s">
        <v>117</v>
      </c>
      <c r="G798" s="152" t="s">
        <v>114</v>
      </c>
      <c r="H798" s="152" t="n">
        <v>160</v>
      </c>
      <c r="I798" s="152" t="s">
        <v>115</v>
      </c>
      <c r="J798" s="152" t="s">
        <v>6</v>
      </c>
      <c r="K798" s="152" t="s">
        <v>4221</v>
      </c>
      <c r="L798" s="152" t="s">
        <v>120</v>
      </c>
      <c r="M798" s="153" t="n">
        <f aca="false">5.08</f>
        <v>5.08</v>
      </c>
      <c r="N798" s="152" t="s">
        <v>1548</v>
      </c>
      <c r="O798" s="152" t="s">
        <v>1549</v>
      </c>
      <c r="P798" s="152" t="s">
        <v>1550</v>
      </c>
      <c r="Q798" s="152" t="s">
        <v>1551</v>
      </c>
      <c r="R798" s="154" t="s">
        <v>4575</v>
      </c>
      <c r="S798" s="154" t="s">
        <v>1593</v>
      </c>
      <c r="T798" s="155" t="s">
        <v>4216</v>
      </c>
      <c r="U798" s="152" t="str">
        <f aca="false">RIGHT(T798,7)</f>
        <v>019/037</v>
      </c>
      <c r="V798" s="152" t="s">
        <v>1555</v>
      </c>
      <c r="W798" s="156" t="n">
        <v>45882</v>
      </c>
      <c r="X798" s="152" t="s">
        <v>1594</v>
      </c>
      <c r="Y798" s="152" t="s">
        <v>2834</v>
      </c>
      <c r="Z798" s="152" t="s">
        <v>1557</v>
      </c>
      <c r="AA798" s="153" t="n">
        <v>3.5</v>
      </c>
      <c r="AB798" s="151" t="s">
        <v>4576</v>
      </c>
      <c r="AC798" s="151" t="s">
        <v>505</v>
      </c>
      <c r="AD798" s="151" t="str">
        <f aca="false">CONCATENATE($C798,$I798,$H798,$N798,$J798,$K798)</f>
        <v>TUBO PEADPEAD160VCAREDESZona07</v>
      </c>
      <c r="AE798" s="153" t="n">
        <f aca="false">IFERROR(INDEX(APOIO_REDES!$A:$W,MATCH($C798&amp;$I798&amp;$H798&amp;$N798&amp;$O798,APOIO_REDES!$W:$W,0),MATCH(AE$5,APOIO_REDES!$5:$5,0)),0)</f>
        <v>1.2</v>
      </c>
      <c r="AF798" s="153" t="n">
        <f aca="false">IFERROR(INDEX(APOIO_REDES!$A:$W,MATCH($C798&amp;$I798&amp;$H798&amp;$N798&amp;$O798,APOIO_REDES!$W:$W,0),MATCH(AF$5,APOIO_REDES!$5:$5,0)),0)</f>
        <v>1.46</v>
      </c>
      <c r="AG798" s="153" t="n">
        <f aca="false">IFERROR(INDEX(APOIO_REDES!$A:$W,MATCH($C798&amp;$I798&amp;$H798&amp;$N798&amp;$O798,APOIO_REDES!$W:$W,0),MATCH(AG$5,APOIO_REDES!$5:$5,0)),0)</f>
        <v>0.75</v>
      </c>
      <c r="AH798" s="153" t="n">
        <f aca="false">IFERROR(INDEX(APOIO_REDES!$A:$W,MATCH($C798&amp;$I798&amp;$H798&amp;$N798&amp;$O798,APOIO_REDES!$W:$W,0),MATCH(AH$5,APOIO_REDES!$5:$5,0)),0)</f>
        <v>0.1</v>
      </c>
      <c r="AI798" s="153" t="n">
        <f aca="false">IFERROR(IF($H798&lt;&gt;"",(((($H798/1000)/2)^2)*PI()*$M798),0),0)</f>
        <v>0.102139460353511</v>
      </c>
      <c r="AJ798" s="153" t="n">
        <f aca="false">IFERROR(IF(AND($H798&lt;&gt;"",$I798="FoFo",OR($N798="MND",$N798="VCA"),$Q798="LINEAR"),0,IF(AND($H798&lt;&gt;"",$I798="PEAD",$N798="VCA",$Q798="LINEAR"),($H798/1000)+0.3,IF(AND($H798&lt;&gt;"",$I798="PEAD",$N798="MND",$Q798="EMBOQUE"),0,IF(AND($H798&lt;&gt;"",$I798="PVC",$N798="VCA",$Q798="LINEAR"),($H798/1000)+0.2,IF(AND($H798&lt;&gt;"",$I798="PVC",$N798="MND",$Q798="EMBOQUE"),0,IF(AND($H798&lt;&gt;"",$I798="PEAD",$N798="VCA",$Q798="PREDIAL"),0,0)))))),0)</f>
        <v>0.46</v>
      </c>
      <c r="AK798" s="153" t="n">
        <f aca="false">IF(AA798&lt;&gt;"",AA798,0)</f>
        <v>3.5</v>
      </c>
      <c r="AL798" s="153" t="n">
        <f aca="false">IF(AND($N798="MND",$Q798="EMBOQUE"),$M798,IF(AND($N798="VCA",$Q798="LINEAR"),$M798,IF(AND($N798="VCA",$Q798="PREDIAL"),0,0)))</f>
        <v>5.08</v>
      </c>
      <c r="AM798" s="153" t="n">
        <f aca="false">IF(AND($N798="MND",$Q798="EMBOQUE"),$M798,IF(AND($N798="VCA",$Q798="LINEAR"),$M798,IF(AND($N798="VCA",$Q798="PREDIAL"),0,0)))</f>
        <v>5.08</v>
      </c>
      <c r="AN798" s="153" t="n">
        <f aca="false">ROUND(IF(AND($N798="VCA",$M798&lt;&gt;"",$Q798="LINEAR"),$M798/100,IF(AND($N798="MND",$M798&gt;100,$Q798="EMBOQUE"),$M798/100,0)),0)</f>
        <v>0</v>
      </c>
      <c r="AO798" s="153" t="n">
        <f aca="false">IF(AND($N798="MND",$Q798="EMBOQUE"),$AN798*2*2,IF(AND($N798="VCA",$Q798="LINEAR"),$M798*2,IF(AND($N798="VCA",$Q798="PREDIAL"),0,0)))</f>
        <v>10.16</v>
      </c>
      <c r="AP798" s="153" t="n">
        <f aca="false">IFERROR($M798*$AF798*$AG798,0)</f>
        <v>5.5626</v>
      </c>
      <c r="AQ798" s="153" t="n">
        <f aca="false">IFERROR(IF(AND($N798="VCA",$AH798&gt;0),$M798*$AG798*$AH798,0),0)</f>
        <v>0.381</v>
      </c>
      <c r="AR798" s="153" t="n">
        <f aca="false">IFERROR(IF(AND($N798="VCA",$AJ798&gt;0),($M798*$AG798*$AJ798)-$AI798,0),0)</f>
        <v>1.65046053964649</v>
      </c>
      <c r="AS798" s="153" t="n">
        <f aca="false">IFERROR(IF(AND($N798="VCA",$AP798&gt;0),$AP798-$AI798-$AQ798-$AR798,0),0)</f>
        <v>3.429</v>
      </c>
      <c r="AT798" s="153" t="n">
        <f aca="false">IFERROR(IF($N798="VCA",INDEX(APOIO_REDES!$A:$W,MATCH($C798&amp;$I798&amp;$H798&amp;$N798&amp;$O798,APOIO_REDES!$W:$W,0),MATCH(AT$5,APOIO_REDES!$5:$5,0)),0)*$AP798,0)</f>
        <v>0.0605227344455574</v>
      </c>
      <c r="AU798" s="153" t="n">
        <f aca="false">IFERROR(IF($N798="VCA",INDEX(APOIO_REDES!$A:$W,MATCH($C798&amp;$I798&amp;$H798&amp;$N798&amp;$O798,APOIO_REDES!$W:$W,0),MATCH(AU$5,APOIO_REDES!$5:$5,0)),0)*$AP798,0)</f>
        <v>0.0483318165646938</v>
      </c>
      <c r="AV798" s="153" t="n">
        <f aca="false">IFERROR(IF($N798="VCA",INDEX(APOIO_REDES!$A:$W,MATCH($C798&amp;$I798&amp;$H798&amp;$N798&amp;$O798,APOIO_REDES!$W:$W,0),MATCH(AV$5,APOIO_REDES!$5:$5,0)),0)*$AP798,0)</f>
        <v>0.00668874399291727</v>
      </c>
      <c r="AW798" s="153" t="n">
        <f aca="false">IFERROR(IF($N798="VCA",INDEX(APOIO_REDES!$A:$W,MATCH($C798&amp;$I798&amp;$H798&amp;$N798&amp;$O798,APOIO_REDES!$W:$W,0),MATCH(AW$5,APOIO_REDES!$5:$5,0)),0)*$AP798,0)</f>
        <v>3.81821174112803</v>
      </c>
      <c r="AX798" s="153" t="n">
        <f aca="false">IFERROR(IF($N798="VCA",INDEX(APOIO_REDES!$A:$W,MATCH($C798&amp;$I798&amp;$H798&amp;$N798&amp;$O798,APOIO_REDES!$W:$W,0),MATCH(AX$5,APOIO_REDES!$5:$5,0)),0)*$AP798,0)</f>
        <v>0.528429628590097</v>
      </c>
      <c r="AY798" s="153" t="n">
        <f aca="false">IFERROR(IF($N798="VCA",INDEX(APOIO_REDES!$A:$W,MATCH($C798&amp;$I798&amp;$H798&amp;$N798&amp;$O798,APOIO_REDES!$W:$W,0),MATCH(AY$5,APOIO_REDES!$5:$5,0)),0)*$AP798,0)</f>
        <v>0.96663574213295</v>
      </c>
      <c r="AZ798" s="153" t="n">
        <f aca="false">IFERROR(IF($N798="VCA",INDEX(APOIO_REDES!$A:$W,MATCH($C798&amp;$I798&amp;$H798&amp;$N798&amp;$O798,APOIO_REDES!$W:$W,0),MATCH(AZ$5,APOIO_REDES!$5:$5,0)),0)*$AP798,0)</f>
        <v>0.133779593145754</v>
      </c>
      <c r="BA798" s="153" t="n">
        <f aca="false">IFERROR(IF(AND($N798="VCA",$Q798="LINEAR"),INDEX(APOIO_REDES!$A:$W,MATCH($C798&amp;$I798&amp;$H798&amp;$N798&amp;$O798,APOIO_REDES!$W:$W,0),MATCH(BA$5,APOIO_REDES!$5:$5,0)),IF(AND($N798="MND",$Q798="EMBOQUE"),INDEX(APOIO_REDES!$A:$W,MATCH($C798&amp;$I798&amp;$H798&amp;$N798&amp;$O798,APOIO_REDES!$W:$W,0),MATCH(BA$5,APOIO_REDES!$5:$5,0)),0))*$M798/10,0)</f>
        <v>0.409435186105284</v>
      </c>
      <c r="BB798" s="153" t="n">
        <f aca="false">IFERROR(IF($N798="VCA",INDEX(APOIO_REDES!$A:$W,MATCH($C798&amp;$I798&amp;$H798&amp;$N798&amp;$O798,APOIO_REDES!$W:$W,0),MATCH(BB$5,APOIO_REDES!$5:$5,0)),0)*($AI798+$AQ798+$AR798),0)</f>
        <v>2.11038580048664</v>
      </c>
      <c r="BC798" s="153" t="n">
        <f aca="false">IFERROR(IF($N798="VCA",INDEX(APOIO_REDES!$A:$W,MATCH($C798&amp;$I798&amp;$H798&amp;$N798&amp;$O798,APOIO_REDES!$W:$W,0),MATCH(BC$5,APOIO_REDES!$5:$5,0)),0)*($AI798+$AQ798+$AR798),0)</f>
        <v>0.0232141995133645</v>
      </c>
      <c r="BD798" s="153" t="n">
        <f aca="false">IF(AND($N798="VCA",$AF798&gt;=1.25,$AF798&lt;1.5),$M798*$AF798*2,0)</f>
        <v>14.8336</v>
      </c>
      <c r="BE798" s="153" t="n">
        <f aca="false">IF(AND($N798="VCA",$AF798&gt;=1.5,$AF798&lt;3),$M798*$AF798*2,0)</f>
        <v>0</v>
      </c>
      <c r="BF798" s="153" t="n">
        <f aca="false">IF(AND($N798="VCA",$AF798&gt;=3),$M798*$AF798*2,0)</f>
        <v>0</v>
      </c>
      <c r="BG798" s="153" t="n">
        <f aca="false">($BB798+$BC798)*$AK798</f>
        <v>7.4676</v>
      </c>
      <c r="BH798" s="153" t="n">
        <f aca="false">IF(AND($M798&lt;&gt;"",$N798="VCA",$Q798="LINEAR"),($M798*2)/100,IF(AND($M798&lt;&gt;"",$N798="MND",$Q798="EMBOQUE"),($AN798*2)/100,0))</f>
        <v>0.1016</v>
      </c>
      <c r="BI798" s="153" t="n">
        <f aca="false">IF(AND($M798&lt;&gt;"",$N798="VCA",$Q798="LINEAR"),$M798,IF(AND($M798&lt;&gt;"",$N798="MND",$Q798="EMBOQUE"),$AN798*2,0))</f>
        <v>5.08</v>
      </c>
      <c r="BJ798" s="153" t="n">
        <f aca="false">IF(AND($M798&lt;&gt;"",$N798="VCA",$Q798="LINEAR"),($M798*6.8)/100,IF(AND($M798&lt;&gt;"",$N798="MND",$Q798="EMBOQUE"),($AN798*2*6.8)/100,0))</f>
        <v>0.34544</v>
      </c>
      <c r="BK798" s="153" t="n">
        <f aca="false">IF(AND($M798&lt;&gt;"",$N798="VCA",$Q798="LINEAR"),($M798*2.5)/50,IF(AND($M798&lt;&gt;"",$N798="MND",$Q798="EMBOQUE"),($AN798*2*2.5)/50,0))</f>
        <v>0.254</v>
      </c>
      <c r="BL798" s="157" t="str">
        <f aca="false">K798&amp;J798</f>
        <v>Zona07REDES</v>
      </c>
      <c r="BM798" s="152" t="s">
        <v>4225</v>
      </c>
      <c r="BN798" s="152" t="s">
        <v>1560</v>
      </c>
      <c r="BO798" s="152" t="s">
        <v>4218</v>
      </c>
      <c r="BP798" s="152" t="s">
        <v>4577</v>
      </c>
      <c r="BQ798" s="152" t="s">
        <v>4546</v>
      </c>
      <c r="BR798" s="152" t="s">
        <v>4547</v>
      </c>
      <c r="BS798" s="152" t="n">
        <v>204107.504</v>
      </c>
      <c r="BT798" s="152" t="n">
        <v>8236599.728</v>
      </c>
      <c r="BU798" s="152" t="n">
        <v>204111.109</v>
      </c>
      <c r="BV798" s="152" t="n">
        <v>8236603.311</v>
      </c>
      <c r="BW798" s="152" t="n">
        <v>-15.9322247</v>
      </c>
      <c r="BX798" s="152" t="n">
        <v>-47.7637047</v>
      </c>
      <c r="BY798" s="152" t="s">
        <v>4577</v>
      </c>
    </row>
    <row r="799" customFormat="false" ht="13.8" hidden="false" customHeight="false" outlineLevel="0" collapsed="false">
      <c r="A799" s="149" t="n">
        <f aca="false">IF(C799&lt;&gt;"",ROW(A794),"")</f>
        <v>794</v>
      </c>
      <c r="B799" s="150" t="str">
        <f aca="false">HYPERLINK("https://www.google.com/maps/dir/-15.917302,-47.760003/-15.9322601,-47.7637018/data=!4m3!4m2!3e0!5i2")</f>
        <v>https://www.google.com/maps/dir/-15.917302,-47.760003/-15.9322601,-47.7637018/data=!4m3!4m2!3e0!5i2</v>
      </c>
      <c r="C799" s="151" t="s">
        <v>117</v>
      </c>
      <c r="D799" s="152" t="s">
        <v>112</v>
      </c>
      <c r="E799" s="152" t="s">
        <v>113</v>
      </c>
      <c r="F799" s="152" t="s">
        <v>117</v>
      </c>
      <c r="G799" s="152" t="s">
        <v>114</v>
      </c>
      <c r="H799" s="152" t="n">
        <v>160</v>
      </c>
      <c r="I799" s="152" t="s">
        <v>115</v>
      </c>
      <c r="J799" s="152" t="s">
        <v>6</v>
      </c>
      <c r="K799" s="152" t="s">
        <v>4221</v>
      </c>
      <c r="L799" s="152" t="s">
        <v>120</v>
      </c>
      <c r="M799" s="153" t="n">
        <f aca="false">3.02</f>
        <v>3.02</v>
      </c>
      <c r="N799" s="152" t="s">
        <v>1548</v>
      </c>
      <c r="O799" s="152" t="s">
        <v>1549</v>
      </c>
      <c r="P799" s="152" t="s">
        <v>1550</v>
      </c>
      <c r="Q799" s="152" t="s">
        <v>1551</v>
      </c>
      <c r="R799" s="154" t="s">
        <v>4578</v>
      </c>
      <c r="S799" s="154" t="s">
        <v>1593</v>
      </c>
      <c r="T799" s="155" t="s">
        <v>4216</v>
      </c>
      <c r="U799" s="152" t="str">
        <f aca="false">RIGHT(T799,7)</f>
        <v>019/037</v>
      </c>
      <c r="V799" s="152" t="s">
        <v>1555</v>
      </c>
      <c r="W799" s="156" t="n">
        <v>45882</v>
      </c>
      <c r="X799" s="152" t="s">
        <v>1594</v>
      </c>
      <c r="Y799" s="152" t="s">
        <v>2834</v>
      </c>
      <c r="Z799" s="152" t="s">
        <v>1557</v>
      </c>
      <c r="AA799" s="153" t="n">
        <v>3.5</v>
      </c>
      <c r="AB799" s="151" t="s">
        <v>4579</v>
      </c>
      <c r="AC799" s="151" t="s">
        <v>505</v>
      </c>
      <c r="AD799" s="151" t="str">
        <f aca="false">CONCATENATE($C799,$I799,$H799,$N799,$J799,$K799)</f>
        <v>TUBO PEADPEAD160VCAREDESZona07</v>
      </c>
      <c r="AE799" s="153" t="n">
        <f aca="false">IFERROR(INDEX(APOIO_REDES!$A:$W,MATCH($C799&amp;$I799&amp;$H799&amp;$N799&amp;$O799,APOIO_REDES!$W:$W,0),MATCH(AE$5,APOIO_REDES!$5:$5,0)),0)</f>
        <v>1.2</v>
      </c>
      <c r="AF799" s="153" t="n">
        <f aca="false">IFERROR(INDEX(APOIO_REDES!$A:$W,MATCH($C799&amp;$I799&amp;$H799&amp;$N799&amp;$O799,APOIO_REDES!$W:$W,0),MATCH(AF$5,APOIO_REDES!$5:$5,0)),0)</f>
        <v>1.46</v>
      </c>
      <c r="AG799" s="153" t="n">
        <f aca="false">IFERROR(INDEX(APOIO_REDES!$A:$W,MATCH($C799&amp;$I799&amp;$H799&amp;$N799&amp;$O799,APOIO_REDES!$W:$W,0),MATCH(AG$5,APOIO_REDES!$5:$5,0)),0)</f>
        <v>0.75</v>
      </c>
      <c r="AH799" s="153" t="n">
        <f aca="false">IFERROR(INDEX(APOIO_REDES!$A:$W,MATCH($C799&amp;$I799&amp;$H799&amp;$N799&amp;$O799,APOIO_REDES!$W:$W,0),MATCH(AH$5,APOIO_REDES!$5:$5,0)),0)</f>
        <v>0.1</v>
      </c>
      <c r="AI799" s="153" t="n">
        <f aca="false">IFERROR(IF($H799&lt;&gt;"",(((($H799/1000)/2)^2)*PI()*$M799),0),0)</f>
        <v>0.0607207028085835</v>
      </c>
      <c r="AJ799" s="153" t="n">
        <f aca="false">IFERROR(IF(AND($H799&lt;&gt;"",$I799="FoFo",OR($N799="MND",$N799="VCA"),$Q799="LINEAR"),0,IF(AND($H799&lt;&gt;"",$I799="PEAD",$N799="VCA",$Q799="LINEAR"),($H799/1000)+0.3,IF(AND($H799&lt;&gt;"",$I799="PEAD",$N799="MND",$Q799="EMBOQUE"),0,IF(AND($H799&lt;&gt;"",$I799="PVC",$N799="VCA",$Q799="LINEAR"),($H799/1000)+0.2,IF(AND($H799&lt;&gt;"",$I799="PVC",$N799="MND",$Q799="EMBOQUE"),0,IF(AND($H799&lt;&gt;"",$I799="PEAD",$N799="VCA",$Q799="PREDIAL"),0,0)))))),0)</f>
        <v>0.46</v>
      </c>
      <c r="AK799" s="153" t="n">
        <f aca="false">IF(AA799&lt;&gt;"",AA799,0)</f>
        <v>3.5</v>
      </c>
      <c r="AL799" s="153" t="n">
        <f aca="false">IF(AND($N799="MND",$Q799="EMBOQUE"),$M799,IF(AND($N799="VCA",$Q799="LINEAR"),$M799,IF(AND($N799="VCA",$Q799="PREDIAL"),0,0)))</f>
        <v>3.02</v>
      </c>
      <c r="AM799" s="153" t="n">
        <f aca="false">IF(AND($N799="MND",$Q799="EMBOQUE"),$M799,IF(AND($N799="VCA",$Q799="LINEAR"),$M799,IF(AND($N799="VCA",$Q799="PREDIAL"),0,0)))</f>
        <v>3.02</v>
      </c>
      <c r="AN799" s="153" t="n">
        <f aca="false">ROUND(IF(AND($N799="VCA",$M799&lt;&gt;"",$Q799="LINEAR"),$M799/100,IF(AND($N799="MND",$M799&gt;100,$Q799="EMBOQUE"),$M799/100,0)),0)</f>
        <v>0</v>
      </c>
      <c r="AO799" s="153" t="n">
        <f aca="false">IF(AND($N799="MND",$Q799="EMBOQUE"),$AN799*2*2,IF(AND($N799="VCA",$Q799="LINEAR"),$M799*2,IF(AND($N799="VCA",$Q799="PREDIAL"),0,0)))</f>
        <v>6.04</v>
      </c>
      <c r="AP799" s="153" t="n">
        <f aca="false">IFERROR($M799*$AF799*$AG799,0)</f>
        <v>3.3069</v>
      </c>
      <c r="AQ799" s="153" t="n">
        <f aca="false">IFERROR(IF(AND($N799="VCA",$AH799&gt;0),$M799*$AG799*$AH799,0),0)</f>
        <v>0.2265</v>
      </c>
      <c r="AR799" s="153" t="n">
        <f aca="false">IFERROR(IF(AND($N799="VCA",$AJ799&gt;0),($M799*$AG799*$AJ799)-$AI799,0),0)</f>
        <v>0.981179297191417</v>
      </c>
      <c r="AS799" s="153" t="n">
        <f aca="false">IFERROR(IF(AND($N799="VCA",$AP799&gt;0),$AP799-$AI799-$AQ799-$AR799,0),0)</f>
        <v>2.0385</v>
      </c>
      <c r="AT799" s="153" t="n">
        <f aca="false">IFERROR(IF($N799="VCA",INDEX(APOIO_REDES!$A:$W,MATCH($C799&amp;$I799&amp;$H799&amp;$N799&amp;$O799,APOIO_REDES!$W:$W,0),MATCH(AT$5,APOIO_REDES!$5:$5,0)),0)*$AP799,0)</f>
        <v>0.0359800507924377</v>
      </c>
      <c r="AU799" s="153" t="n">
        <f aca="false">IFERROR(IF($N799="VCA",INDEX(APOIO_REDES!$A:$W,MATCH($C799&amp;$I799&amp;$H799&amp;$N799&amp;$O799,APOIO_REDES!$W:$W,0),MATCH(AU$5,APOIO_REDES!$5:$5,0)),0)*$AP799,0)</f>
        <v>0.0287326940994833</v>
      </c>
      <c r="AV799" s="153" t="n">
        <f aca="false">IFERROR(IF($N799="VCA",INDEX(APOIO_REDES!$A:$W,MATCH($C799&amp;$I799&amp;$H799&amp;$N799&amp;$O799,APOIO_REDES!$W:$W,0),MATCH(AV$5,APOIO_REDES!$5:$5,0)),0)*$AP799,0)</f>
        <v>0.00397637930287602</v>
      </c>
      <c r="AW799" s="153" t="n">
        <f aca="false">IFERROR(IF($N799="VCA",INDEX(APOIO_REDES!$A:$W,MATCH($C799&amp;$I799&amp;$H799&amp;$N799&amp;$O799,APOIO_REDES!$W:$W,0),MATCH(AW$5,APOIO_REDES!$5:$5,0)),0)*$AP799,0)</f>
        <v>2.26988178311155</v>
      </c>
      <c r="AX799" s="153" t="n">
        <f aca="false">IFERROR(IF($N799="VCA",INDEX(APOIO_REDES!$A:$W,MATCH($C799&amp;$I799&amp;$H799&amp;$N799&amp;$O799,APOIO_REDES!$W:$W,0),MATCH(AX$5,APOIO_REDES!$5:$5,0)),0)*$AP799,0)</f>
        <v>0.314145172901987</v>
      </c>
      <c r="AY799" s="153" t="n">
        <f aca="false">IFERROR(IF($N799="VCA",INDEX(APOIO_REDES!$A:$W,MATCH($C799&amp;$I799&amp;$H799&amp;$N799&amp;$O799,APOIO_REDES!$W:$W,0),MATCH(AY$5,APOIO_REDES!$5:$5,0)),0)*$AP799,0)</f>
        <v>0.574653531740454</v>
      </c>
      <c r="AZ799" s="153" t="n">
        <f aca="false">IFERROR(IF($N799="VCA",INDEX(APOIO_REDES!$A:$W,MATCH($C799&amp;$I799&amp;$H799&amp;$N799&amp;$O799,APOIO_REDES!$W:$W,0),MATCH(AZ$5,APOIO_REDES!$5:$5,0)),0)*$AP799,0)</f>
        <v>0.0795303880512157</v>
      </c>
      <c r="BA799" s="153" t="n">
        <f aca="false">IFERROR(IF(AND($N799="VCA",$Q799="LINEAR"),INDEX(APOIO_REDES!$A:$W,MATCH($C799&amp;$I799&amp;$H799&amp;$N799&amp;$O799,APOIO_REDES!$W:$W,0),MATCH(BA$5,APOIO_REDES!$5:$5,0)),IF(AND($N799="MND",$Q799="EMBOQUE"),INDEX(APOIO_REDES!$A:$W,MATCH($C799&amp;$I799&amp;$H799&amp;$N799&amp;$O799,APOIO_REDES!$W:$W,0),MATCH(BA$5,APOIO_REDES!$5:$5,0)),0))*$M799/10,0)</f>
        <v>0.243404382290936</v>
      </c>
      <c r="BB799" s="153" t="n">
        <f aca="false">IFERROR(IF($N799="VCA",INDEX(APOIO_REDES!$A:$W,MATCH($C799&amp;$I799&amp;$H799&amp;$N799&amp;$O799,APOIO_REDES!$W:$W,0),MATCH(BB$5,APOIO_REDES!$5:$5,0)),0)*($AI799+$AQ799+$AR799),0)</f>
        <v>1.25459943257276</v>
      </c>
      <c r="BC799" s="153" t="n">
        <f aca="false">IFERROR(IF($N799="VCA",INDEX(APOIO_REDES!$A:$W,MATCH($C799&amp;$I799&amp;$H799&amp;$N799&amp;$O799,APOIO_REDES!$W:$W,0),MATCH(BC$5,APOIO_REDES!$5:$5,0)),0)*($AI799+$AQ799+$AR799),0)</f>
        <v>0.0138005674272364</v>
      </c>
      <c r="BD799" s="153" t="n">
        <f aca="false">IF(AND($N799="VCA",$AF799&gt;=1.25,$AF799&lt;1.5),$M799*$AF799*2,0)</f>
        <v>8.8184</v>
      </c>
      <c r="BE799" s="153" t="n">
        <f aca="false">IF(AND($N799="VCA",$AF799&gt;=1.5,$AF799&lt;3),$M799*$AF799*2,0)</f>
        <v>0</v>
      </c>
      <c r="BF799" s="153" t="n">
        <f aca="false">IF(AND($N799="VCA",$AF799&gt;=3),$M799*$AF799*2,0)</f>
        <v>0</v>
      </c>
      <c r="BG799" s="153" t="n">
        <f aca="false">($BB799+$BC799)*$AK799</f>
        <v>4.4394</v>
      </c>
      <c r="BH799" s="153" t="n">
        <f aca="false">IF(AND($M799&lt;&gt;"",$N799="VCA",$Q799="LINEAR"),($M799*2)/100,IF(AND($M799&lt;&gt;"",$N799="MND",$Q799="EMBOQUE"),($AN799*2)/100,0))</f>
        <v>0.0604</v>
      </c>
      <c r="BI799" s="153" t="n">
        <f aca="false">IF(AND($M799&lt;&gt;"",$N799="VCA",$Q799="LINEAR"),$M799,IF(AND($M799&lt;&gt;"",$N799="MND",$Q799="EMBOQUE"),$AN799*2,0))</f>
        <v>3.02</v>
      </c>
      <c r="BJ799" s="153" t="n">
        <f aca="false">IF(AND($M799&lt;&gt;"",$N799="VCA",$Q799="LINEAR"),($M799*6.8)/100,IF(AND($M799&lt;&gt;"",$N799="MND",$Q799="EMBOQUE"),($AN799*2*6.8)/100,0))</f>
        <v>0.20536</v>
      </c>
      <c r="BK799" s="153" t="n">
        <f aca="false">IF(AND($M799&lt;&gt;"",$N799="VCA",$Q799="LINEAR"),($M799*2.5)/50,IF(AND($M799&lt;&gt;"",$N799="MND",$Q799="EMBOQUE"),($AN799*2*2.5)/50,0))</f>
        <v>0.151</v>
      </c>
      <c r="BL799" s="157" t="str">
        <f aca="false">K799&amp;J799</f>
        <v>Zona07REDES</v>
      </c>
      <c r="BM799" s="152" t="s">
        <v>4225</v>
      </c>
      <c r="BN799" s="152" t="s">
        <v>1560</v>
      </c>
      <c r="BO799" s="152" t="s">
        <v>4218</v>
      </c>
      <c r="BP799" s="152" t="s">
        <v>4580</v>
      </c>
      <c r="BQ799" s="152" t="s">
        <v>4577</v>
      </c>
      <c r="BR799" s="152" t="s">
        <v>4241</v>
      </c>
      <c r="BS799" s="152" t="n">
        <v>204109.667</v>
      </c>
      <c r="BT799" s="152" t="n">
        <v>8236597.615</v>
      </c>
      <c r="BU799" s="152" t="n">
        <v>204107.504</v>
      </c>
      <c r="BV799" s="152" t="n">
        <v>8236599.728</v>
      </c>
      <c r="BW799" s="152" t="n">
        <v>-15.9322504</v>
      </c>
      <c r="BX799" s="152" t="n">
        <v>-47.7637117</v>
      </c>
      <c r="BY799" s="152" t="s">
        <v>4580</v>
      </c>
    </row>
    <row r="800" customFormat="false" ht="13.8" hidden="false" customHeight="false" outlineLevel="0" collapsed="false">
      <c r="A800" s="149" t="n">
        <f aca="false">IF(C800&lt;&gt;"",ROW(A795),"")</f>
        <v>795</v>
      </c>
      <c r="B800" s="150" t="str">
        <f aca="false">HYPERLINK("https://www.google.com/maps/dir/-15.917302,-47.760003/-15.9318736,-47.7632295/data=!4m3!4m2!3e0!5i2")</f>
        <v>https://www.google.com/maps/dir/-15.917302,-47.760003/-15.9318736,-47.7632295/data=!4m3!4m2!3e0!5i2</v>
      </c>
      <c r="C800" s="151" t="s">
        <v>117</v>
      </c>
      <c r="D800" s="152" t="s">
        <v>112</v>
      </c>
      <c r="E800" s="152" t="s">
        <v>113</v>
      </c>
      <c r="F800" s="152" t="s">
        <v>117</v>
      </c>
      <c r="G800" s="152" t="s">
        <v>782</v>
      </c>
      <c r="H800" s="152" t="n">
        <v>63</v>
      </c>
      <c r="I800" s="152" t="s">
        <v>115</v>
      </c>
      <c r="J800" s="152" t="s">
        <v>6</v>
      </c>
      <c r="K800" s="152" t="s">
        <v>4221</v>
      </c>
      <c r="L800" s="152" t="s">
        <v>120</v>
      </c>
      <c r="M800" s="153" t="n">
        <f aca="false">100.56+3.99</f>
        <v>104.55</v>
      </c>
      <c r="N800" s="152" t="s">
        <v>1548</v>
      </c>
      <c r="O800" s="152" t="s">
        <v>1549</v>
      </c>
      <c r="P800" s="152" t="s">
        <v>1550</v>
      </c>
      <c r="Q800" s="152" t="s">
        <v>1551</v>
      </c>
      <c r="R800" s="154" t="s">
        <v>4581</v>
      </c>
      <c r="S800" s="154" t="s">
        <v>1553</v>
      </c>
      <c r="T800" s="155" t="s">
        <v>4216</v>
      </c>
      <c r="U800" s="152" t="str">
        <f aca="false">RIGHT(T800,7)</f>
        <v>019/037</v>
      </c>
      <c r="V800" s="152" t="s">
        <v>1555</v>
      </c>
      <c r="W800" s="156" t="n">
        <v>45882</v>
      </c>
      <c r="X800" s="152" t="s">
        <v>1594</v>
      </c>
      <c r="Y800" s="152" t="s">
        <v>4435</v>
      </c>
      <c r="Z800" s="152" t="s">
        <v>1557</v>
      </c>
      <c r="AA800" s="153" t="n">
        <v>3.4</v>
      </c>
      <c r="AB800" s="151" t="s">
        <v>4582</v>
      </c>
      <c r="AC800" s="151" t="s">
        <v>186</v>
      </c>
      <c r="AD800" s="151" t="str">
        <f aca="false">CONCATENATE($C800,$I800,$H800,$N800,$J800,$K800)</f>
        <v>TUBO PEADPEAD63VCAREDESZona07</v>
      </c>
      <c r="AE800" s="153" t="n">
        <f aca="false">IFERROR(INDEX(APOIO_REDES!$A:$W,MATCH($C800&amp;$I800&amp;$H800&amp;$N800&amp;$O800,APOIO_REDES!$W:$W,0),MATCH(AE$5,APOIO_REDES!$5:$5,0)),0)</f>
        <v>1.2</v>
      </c>
      <c r="AF800" s="153" t="n">
        <f aca="false">IFERROR(INDEX(APOIO_REDES!$A:$W,MATCH($C800&amp;$I800&amp;$H800&amp;$N800&amp;$O800,APOIO_REDES!$W:$W,0),MATCH(AF$5,APOIO_REDES!$5:$5,0)),0)</f>
        <v>1.363</v>
      </c>
      <c r="AG800" s="153" t="n">
        <f aca="false">IFERROR(INDEX(APOIO_REDES!$A:$W,MATCH($C800&amp;$I800&amp;$H800&amp;$N800&amp;$O800,APOIO_REDES!$W:$W,0),MATCH(AG$5,APOIO_REDES!$5:$5,0)),0)</f>
        <v>0.65</v>
      </c>
      <c r="AH800" s="153" t="n">
        <f aca="false">IFERROR(INDEX(APOIO_REDES!$A:$W,MATCH($C800&amp;$I800&amp;$H800&amp;$N800&amp;$O800,APOIO_REDES!$W:$W,0),MATCH(AH$5,APOIO_REDES!$5:$5,0)),0)</f>
        <v>0.1</v>
      </c>
      <c r="AI800" s="153" t="n">
        <f aca="false">IFERROR(IF($H800&lt;&gt;"",(((($H800/1000)/2)^2)*PI()*$M800),0),0)</f>
        <v>0.325907997215334</v>
      </c>
      <c r="AJ800" s="153" t="n">
        <f aca="false">IFERROR(IF(AND($H800&lt;&gt;"",$I800="FoFo",OR($N800="MND",$N800="VCA"),$Q800="LINEAR"),0,IF(AND($H800&lt;&gt;"",$I800="PEAD",$N800="VCA",$Q800="LINEAR"),($H800/1000)+0.3,IF(AND($H800&lt;&gt;"",$I800="PEAD",$N800="MND",$Q800="EMBOQUE"),0,IF(AND($H800&lt;&gt;"",$I800="PVC",$N800="VCA",$Q800="LINEAR"),($H800/1000)+0.2,IF(AND($H800&lt;&gt;"",$I800="PVC",$N800="MND",$Q800="EMBOQUE"),0,IF(AND($H800&lt;&gt;"",$I800="PEAD",$N800="VCA",$Q800="PREDIAL"),0,0)))))),0)</f>
        <v>0.363</v>
      </c>
      <c r="AK800" s="153" t="n">
        <f aca="false">IF(AA800&lt;&gt;"",AA800,0)</f>
        <v>3.4</v>
      </c>
      <c r="AL800" s="153" t="n">
        <f aca="false">IF(AND($N800="MND",$Q800="EMBOQUE"),$M800,IF(AND($N800="VCA",$Q800="LINEAR"),$M800,IF(AND($N800="VCA",$Q800="PREDIAL"),0,0)))</f>
        <v>104.55</v>
      </c>
      <c r="AM800" s="153" t="n">
        <f aca="false">IF(AND($N800="MND",$Q800="EMBOQUE"),$M800,IF(AND($N800="VCA",$Q800="LINEAR"),$M800,IF(AND($N800="VCA",$Q800="PREDIAL"),0,0)))</f>
        <v>104.55</v>
      </c>
      <c r="AN800" s="153" t="n">
        <f aca="false">ROUND(IF(AND($N800="VCA",$M800&lt;&gt;"",$Q800="LINEAR"),$M800/100,IF(AND($N800="MND",$M800&gt;100,$Q800="EMBOQUE"),$M800/100,0)),0)</f>
        <v>1</v>
      </c>
      <c r="AO800" s="153" t="n">
        <f aca="false">IF(AND($N800="MND",$Q800="EMBOQUE"),$AN800*2*2,IF(AND($N800="VCA",$Q800="LINEAR"),$M800*2,IF(AND($N800="VCA",$Q800="PREDIAL"),0,0)))</f>
        <v>209.1</v>
      </c>
      <c r="AP800" s="153" t="n">
        <f aca="false">IFERROR($M800*$AF800*$AG800,0)</f>
        <v>92.6260725</v>
      </c>
      <c r="AQ800" s="153" t="n">
        <f aca="false">IFERROR(IF(AND($N800="VCA",$AH800&gt;0),$M800*$AG800*$AH800,0),0)</f>
        <v>6.79575</v>
      </c>
      <c r="AR800" s="153" t="n">
        <f aca="false">IFERROR(IF(AND($N800="VCA",$AJ800&gt;0),($M800*$AG800*$AJ800)-$AI800,0),0)</f>
        <v>24.3426645027847</v>
      </c>
      <c r="AS800" s="153" t="n">
        <f aca="false">IFERROR(IF(AND($N800="VCA",$AP800&gt;0),$AP800-$AI800-$AQ800-$AR800,0),0)</f>
        <v>61.16175</v>
      </c>
      <c r="AT800" s="153" t="n">
        <f aca="false">IFERROR(IF($N800="VCA",INDEX(APOIO_REDES!$A:$W,MATCH($C800&amp;$I800&amp;$H800&amp;$N800&amp;$O800,APOIO_REDES!$W:$W,0),MATCH(AT$5,APOIO_REDES!$5:$5,0)),0)*$AP800,0)</f>
        <v>1.00779908471802</v>
      </c>
      <c r="AU800" s="153" t="n">
        <f aca="false">IFERROR(IF($N800="VCA",INDEX(APOIO_REDES!$A:$W,MATCH($C800&amp;$I800&amp;$H800&amp;$N800&amp;$O800,APOIO_REDES!$W:$W,0),MATCH(AU$5,APOIO_REDES!$5:$5,0)),0)*$AP800,0)</f>
        <v>0.804801054395072</v>
      </c>
      <c r="AV800" s="153" t="n">
        <f aca="false">IFERROR(IF($N800="VCA",INDEX(APOIO_REDES!$A:$W,MATCH($C800&amp;$I800&amp;$H800&amp;$N800&amp;$O800,APOIO_REDES!$W:$W,0),MATCH(AV$5,APOIO_REDES!$5:$5,0)),0)*$AP800,0)</f>
        <v>0.111378147992287</v>
      </c>
      <c r="AW800" s="153" t="n">
        <f aca="false">IFERROR(IF($N800="VCA",INDEX(APOIO_REDES!$A:$W,MATCH($C800&amp;$I800&amp;$H800&amp;$N800&amp;$O800,APOIO_REDES!$W:$W,0),MATCH(AW$5,APOIO_REDES!$5:$5,0)),0)*$AP800,0)</f>
        <v>63.5792538658319</v>
      </c>
      <c r="AX800" s="153" t="n">
        <f aca="false">IFERROR(IF($N800="VCA",INDEX(APOIO_REDES!$A:$W,MATCH($C800&amp;$I800&amp;$H800&amp;$N800&amp;$O800,APOIO_REDES!$W:$W,0),MATCH(AX$5,APOIO_REDES!$5:$5,0)),0)*$AP800,0)</f>
        <v>8.7991876260983</v>
      </c>
      <c r="AY800" s="153" t="n">
        <f aca="false">IFERROR(IF($N800="VCA",INDEX(APOIO_REDES!$A:$W,MATCH($C800&amp;$I800&amp;$H800&amp;$N800&amp;$O800,APOIO_REDES!$W:$W,0),MATCH(AY$5,APOIO_REDES!$5:$5,0)),0)*$AP800,0)</f>
        <v>16.0960112774418</v>
      </c>
      <c r="AZ800" s="153" t="n">
        <f aca="false">IFERROR(IF($N800="VCA",INDEX(APOIO_REDES!$A:$W,MATCH($C800&amp;$I800&amp;$H800&amp;$N800&amp;$O800,APOIO_REDES!$W:$W,0),MATCH(AZ$5,APOIO_REDES!$5:$5,0)),0)*$AP800,0)</f>
        <v>2.22764144352265</v>
      </c>
      <c r="BA800" s="153" t="n">
        <f aca="false">IFERROR(IF(AND($N800="VCA",$Q800="LINEAR"),INDEX(APOIO_REDES!$A:$W,MATCH($C800&amp;$I800&amp;$H800&amp;$N800&amp;$O800,APOIO_REDES!$W:$W,0),MATCH(BA$5,APOIO_REDES!$5:$5,0)),IF(AND($N800="MND",$Q800="EMBOQUE"),INDEX(APOIO_REDES!$A:$W,MATCH($C800&amp;$I800&amp;$H800&amp;$N800&amp;$O800,APOIO_REDES!$W:$W,0),MATCH(BA$5,APOIO_REDES!$5:$5,0)),0))*$M800/10,0)</f>
        <v>8.42646628096603</v>
      </c>
      <c r="BB800" s="153" t="n">
        <f aca="false">IFERROR(IF($N800="VCA",INDEX(APOIO_REDES!$A:$W,MATCH($C800&amp;$I800&amp;$H800&amp;$N800&amp;$O800,APOIO_REDES!$W:$W,0),MATCH(BB$5,APOIO_REDES!$5:$5,0)),0)*($AI800+$AQ800+$AR800),0)</f>
        <v>31.1219813582359</v>
      </c>
      <c r="BC800" s="153" t="n">
        <f aca="false">IFERROR(IF($N800="VCA",INDEX(APOIO_REDES!$A:$W,MATCH($C800&amp;$I800&amp;$H800&amp;$N800&amp;$O800,APOIO_REDES!$W:$W,0),MATCH(BC$5,APOIO_REDES!$5:$5,0)),0)*($AI800+$AQ800+$AR800),0)</f>
        <v>0.342341141764081</v>
      </c>
      <c r="BD800" s="153" t="n">
        <f aca="false">IF(AND($N800="VCA",$AF800&gt;=1.25,$AF800&lt;1.5),$M800*$AF800*2,0)</f>
        <v>285.0033</v>
      </c>
      <c r="BE800" s="153" t="n">
        <f aca="false">IF(AND($N800="VCA",$AF800&gt;=1.5,$AF800&lt;3),$M800*$AF800*2,0)</f>
        <v>0</v>
      </c>
      <c r="BF800" s="153" t="n">
        <f aca="false">IF(AND($N800="VCA",$AF800&gt;=3),$M800*$AF800*2,0)</f>
        <v>0</v>
      </c>
      <c r="BG800" s="153" t="n">
        <f aca="false">($BB800+$BC800)*$AK800</f>
        <v>106.9786965</v>
      </c>
      <c r="BH800" s="153" t="n">
        <f aca="false">IF(AND($M800&lt;&gt;"",$N800="VCA",$Q800="LINEAR"),($M800*2)/100,IF(AND($M800&lt;&gt;"",$N800="MND",$Q800="EMBOQUE"),($AN800*2)/100,0))</f>
        <v>2.091</v>
      </c>
      <c r="BI800" s="153" t="n">
        <f aca="false">IF(AND($M800&lt;&gt;"",$N800="VCA",$Q800="LINEAR"),$M800,IF(AND($M800&lt;&gt;"",$N800="MND",$Q800="EMBOQUE"),$AN800*2,0))</f>
        <v>104.55</v>
      </c>
      <c r="BJ800" s="153" t="n">
        <f aca="false">IF(AND($M800&lt;&gt;"",$N800="VCA",$Q800="LINEAR"),($M800*6.8)/100,IF(AND($M800&lt;&gt;"",$N800="MND",$Q800="EMBOQUE"),($AN800*2*6.8)/100,0))</f>
        <v>7.1094</v>
      </c>
      <c r="BK800" s="153" t="n">
        <f aca="false">IF(AND($M800&lt;&gt;"",$N800="VCA",$Q800="LINEAR"),($M800*2.5)/50,IF(AND($M800&lt;&gt;"",$N800="MND",$Q800="EMBOQUE"),($AN800*2*2.5)/50,0))</f>
        <v>5.2275</v>
      </c>
      <c r="BL800" s="157" t="str">
        <f aca="false">K800&amp;J800</f>
        <v>Zona07REDES</v>
      </c>
      <c r="BM800" s="152" t="s">
        <v>4225</v>
      </c>
      <c r="BN800" s="152" t="s">
        <v>1560</v>
      </c>
      <c r="BO800" s="152" t="s">
        <v>4218</v>
      </c>
      <c r="BP800" s="152" t="s">
        <v>4449</v>
      </c>
      <c r="BQ800" s="152" t="s">
        <v>4583</v>
      </c>
      <c r="BR800" s="152" t="s">
        <v>4584</v>
      </c>
      <c r="BS800" s="152" t="n">
        <v>204159.695</v>
      </c>
      <c r="BT800" s="152" t="n">
        <v>8236641.073</v>
      </c>
      <c r="BU800" s="152" t="n">
        <v>204177.408</v>
      </c>
      <c r="BV800" s="152" t="n">
        <v>8236543.646</v>
      </c>
      <c r="BW800" s="152" t="n">
        <v>-15.9323105</v>
      </c>
      <c r="BX800" s="152" t="n">
        <v>-47.7631687</v>
      </c>
      <c r="BY800" s="152" t="s">
        <v>4449</v>
      </c>
    </row>
    <row r="801" customFormat="false" ht="13.8" hidden="false" customHeight="false" outlineLevel="0" collapsed="false">
      <c r="A801" s="149" t="n">
        <f aca="false">IF(C801&lt;&gt;"",ROW(A796),"")</f>
        <v>796</v>
      </c>
      <c r="B801" s="150" t="str">
        <f aca="false">HYPERLINK("https://www.google.com/maps/dir/-15.917302,-47.760003/-15.9325218,-47.7638876/data=!4m3!4m2!3e0!5i2")</f>
        <v>https://www.google.com/maps/dir/-15.917302,-47.760003/-15.9325218,-47.7638876/data=!4m3!4m2!3e0!5i2</v>
      </c>
      <c r="C801" s="151" t="s">
        <v>117</v>
      </c>
      <c r="D801" s="152" t="s">
        <v>112</v>
      </c>
      <c r="E801" s="152" t="s">
        <v>113</v>
      </c>
      <c r="F801" s="152" t="s">
        <v>117</v>
      </c>
      <c r="G801" s="152" t="s">
        <v>782</v>
      </c>
      <c r="H801" s="152" t="n">
        <v>63</v>
      </c>
      <c r="I801" s="152" t="s">
        <v>115</v>
      </c>
      <c r="J801" s="152" t="s">
        <v>6</v>
      </c>
      <c r="K801" s="152" t="s">
        <v>4221</v>
      </c>
      <c r="L801" s="152" t="s">
        <v>120</v>
      </c>
      <c r="M801" s="153" t="n">
        <f aca="false">58.87</f>
        <v>58.87</v>
      </c>
      <c r="N801" s="152" t="s">
        <v>1548</v>
      </c>
      <c r="O801" s="152" t="s">
        <v>1549</v>
      </c>
      <c r="P801" s="152" t="s">
        <v>1550</v>
      </c>
      <c r="Q801" s="152" t="s">
        <v>1551</v>
      </c>
      <c r="R801" s="154" t="s">
        <v>4585</v>
      </c>
      <c r="S801" s="154" t="s">
        <v>1553</v>
      </c>
      <c r="T801" s="155" t="s">
        <v>4216</v>
      </c>
      <c r="U801" s="152" t="str">
        <f aca="false">RIGHT(T801,7)</f>
        <v>019/037</v>
      </c>
      <c r="V801" s="152" t="s">
        <v>1555</v>
      </c>
      <c r="W801" s="156" t="n">
        <v>45882</v>
      </c>
      <c r="X801" s="152" t="s">
        <v>3938</v>
      </c>
      <c r="Y801" s="152" t="s">
        <v>2524</v>
      </c>
      <c r="Z801" s="152" t="s">
        <v>1557</v>
      </c>
      <c r="AA801" s="153" t="n">
        <v>3.5</v>
      </c>
      <c r="AB801" s="151" t="s">
        <v>4586</v>
      </c>
      <c r="AC801" s="151" t="s">
        <v>186</v>
      </c>
      <c r="AD801" s="151" t="str">
        <f aca="false">CONCATENATE($C801,$I801,$H801,$N801,$J801,$K801)</f>
        <v>TUBO PEADPEAD63VCAREDESZona07</v>
      </c>
      <c r="AE801" s="153" t="n">
        <f aca="false">IFERROR(INDEX(APOIO_REDES!$A:$W,MATCH($C801&amp;$I801&amp;$H801&amp;$N801&amp;$O801,APOIO_REDES!$W:$W,0),MATCH(AE$5,APOIO_REDES!$5:$5,0)),0)</f>
        <v>1.2</v>
      </c>
      <c r="AF801" s="153" t="n">
        <f aca="false">IFERROR(INDEX(APOIO_REDES!$A:$W,MATCH($C801&amp;$I801&amp;$H801&amp;$N801&amp;$O801,APOIO_REDES!$W:$W,0),MATCH(AF$5,APOIO_REDES!$5:$5,0)),0)</f>
        <v>1.363</v>
      </c>
      <c r="AG801" s="153" t="n">
        <f aca="false">IFERROR(INDEX(APOIO_REDES!$A:$W,MATCH($C801&amp;$I801&amp;$H801&amp;$N801&amp;$O801,APOIO_REDES!$W:$W,0),MATCH(AG$5,APOIO_REDES!$5:$5,0)),0)</f>
        <v>0.65</v>
      </c>
      <c r="AH801" s="153" t="n">
        <f aca="false">IFERROR(INDEX(APOIO_REDES!$A:$W,MATCH($C801&amp;$I801&amp;$H801&amp;$N801&amp;$O801,APOIO_REDES!$W:$W,0),MATCH(AH$5,APOIO_REDES!$5:$5,0)),0)</f>
        <v>0.1</v>
      </c>
      <c r="AI801" s="153" t="n">
        <f aca="false">IFERROR(IF($H801&lt;&gt;"",(((($H801/1000)/2)^2)*PI()*$M801),0),0)</f>
        <v>0.183512231430576</v>
      </c>
      <c r="AJ801" s="153" t="n">
        <f aca="false">IFERROR(IF(AND($H801&lt;&gt;"",$I801="FoFo",OR($N801="MND",$N801="VCA"),$Q801="LINEAR"),0,IF(AND($H801&lt;&gt;"",$I801="PEAD",$N801="VCA",$Q801="LINEAR"),($H801/1000)+0.3,IF(AND($H801&lt;&gt;"",$I801="PEAD",$N801="MND",$Q801="EMBOQUE"),0,IF(AND($H801&lt;&gt;"",$I801="PVC",$N801="VCA",$Q801="LINEAR"),($H801/1000)+0.2,IF(AND($H801&lt;&gt;"",$I801="PVC",$N801="MND",$Q801="EMBOQUE"),0,IF(AND($H801&lt;&gt;"",$I801="PEAD",$N801="VCA",$Q801="PREDIAL"),0,0)))))),0)</f>
        <v>0.363</v>
      </c>
      <c r="AK801" s="153" t="n">
        <f aca="false">IF(AA801&lt;&gt;"",AA801,0)</f>
        <v>3.5</v>
      </c>
      <c r="AL801" s="153" t="n">
        <f aca="false">IF(AND($N801="MND",$Q801="EMBOQUE"),$M801,IF(AND($N801="VCA",$Q801="LINEAR"),$M801,IF(AND($N801="VCA",$Q801="PREDIAL"),0,0)))</f>
        <v>58.87</v>
      </c>
      <c r="AM801" s="153" t="n">
        <f aca="false">IF(AND($N801="MND",$Q801="EMBOQUE"),$M801,IF(AND($N801="VCA",$Q801="LINEAR"),$M801,IF(AND($N801="VCA",$Q801="PREDIAL"),0,0)))</f>
        <v>58.87</v>
      </c>
      <c r="AN801" s="153" t="n">
        <f aca="false">ROUND(IF(AND($N801="VCA",$M801&lt;&gt;"",$Q801="LINEAR"),$M801/100,IF(AND($N801="MND",$M801&gt;100,$Q801="EMBOQUE"),$M801/100,0)),0)</f>
        <v>1</v>
      </c>
      <c r="AO801" s="153" t="n">
        <f aca="false">IF(AND($N801="MND",$Q801="EMBOQUE"),$AN801*2*2,IF(AND($N801="VCA",$Q801="LINEAR"),$M801*2,IF(AND($N801="VCA",$Q801="PREDIAL"),0,0)))</f>
        <v>117.74</v>
      </c>
      <c r="AP801" s="153" t="n">
        <f aca="false">IFERROR($M801*$AF801*$AG801,0)</f>
        <v>52.1558765</v>
      </c>
      <c r="AQ801" s="153" t="n">
        <f aca="false">IFERROR(IF(AND($N801="VCA",$AH801&gt;0),$M801*$AG801*$AH801,0),0)</f>
        <v>3.82655</v>
      </c>
      <c r="AR801" s="153" t="n">
        <f aca="false">IFERROR(IF(AND($N801="VCA",$AJ801&gt;0),($M801*$AG801*$AJ801)-$AI801,0),0)</f>
        <v>13.7068642685694</v>
      </c>
      <c r="AS801" s="153" t="n">
        <f aca="false">IFERROR(IF(AND($N801="VCA",$AP801&gt;0),$AP801-$AI801-$AQ801-$AR801,0),0)</f>
        <v>34.43895</v>
      </c>
      <c r="AT801" s="153" t="n">
        <f aca="false">IFERROR(IF($N801="VCA",INDEX(APOIO_REDES!$A:$W,MATCH($C801&amp;$I801&amp;$H801&amp;$N801&amp;$O801,APOIO_REDES!$W:$W,0),MATCH(AT$5,APOIO_REDES!$5:$5,0)),0)*$AP801,0)</f>
        <v>0.567471373671446</v>
      </c>
      <c r="AU801" s="153" t="n">
        <f aca="false">IFERROR(IF($N801="VCA",INDEX(APOIO_REDES!$A:$W,MATCH($C801&amp;$I801&amp;$H801&amp;$N801&amp;$O801,APOIO_REDES!$W:$W,0),MATCH(AU$5,APOIO_REDES!$5:$5,0)),0)*$AP801,0)</f>
        <v>0.453167269940104</v>
      </c>
      <c r="AV801" s="153" t="n">
        <f aca="false">IFERROR(IF($N801="VCA",INDEX(APOIO_REDES!$A:$W,MATCH($C801&amp;$I801&amp;$H801&amp;$N801&amp;$O801,APOIO_REDES!$W:$W,0),MATCH(AV$5,APOIO_REDES!$5:$5,0)),0)*$AP801,0)</f>
        <v>0.0627147926571586</v>
      </c>
      <c r="AW801" s="153" t="n">
        <f aca="false">IFERROR(IF($N801="VCA",INDEX(APOIO_REDES!$A:$W,MATCH($C801&amp;$I801&amp;$H801&amp;$N801&amp;$O801,APOIO_REDES!$W:$W,0),MATCH(AW$5,APOIO_REDES!$5:$5,0)),0)*$AP801,0)</f>
        <v>35.8001977530514</v>
      </c>
      <c r="AX801" s="153" t="n">
        <f aca="false">IFERROR(IF($N801="VCA",INDEX(APOIO_REDES!$A:$W,MATCH($C801&amp;$I801&amp;$H801&amp;$N801&amp;$O801,APOIO_REDES!$W:$W,0),MATCH(AX$5,APOIO_REDES!$5:$5,0)),0)*$AP801,0)</f>
        <v>4.95464539022866</v>
      </c>
      <c r="AY801" s="153" t="n">
        <f aca="false">IFERROR(IF($N801="VCA",INDEX(APOIO_REDES!$A:$W,MATCH($C801&amp;$I801&amp;$H801&amp;$N801&amp;$O801,APOIO_REDES!$W:$W,0),MATCH(AY$5,APOIO_REDES!$5:$5,0)),0)*$AP801,0)</f>
        <v>9.0633398747298</v>
      </c>
      <c r="AZ801" s="153" t="n">
        <f aca="false">IFERROR(IF($N801="VCA",INDEX(APOIO_REDES!$A:$W,MATCH($C801&amp;$I801&amp;$H801&amp;$N801&amp;$O801,APOIO_REDES!$W:$W,0),MATCH(AZ$5,APOIO_REDES!$5:$5,0)),0)*$AP801,0)</f>
        <v>1.25434004572146</v>
      </c>
      <c r="BA801" s="153" t="n">
        <f aca="false">IFERROR(IF(AND($N801="VCA",$Q801="LINEAR"),INDEX(APOIO_REDES!$A:$W,MATCH($C801&amp;$I801&amp;$H801&amp;$N801&amp;$O801,APOIO_REDES!$W:$W,0),MATCH(BA$5,APOIO_REDES!$5:$5,0)),IF(AND($N801="MND",$Q801="EMBOQUE"),INDEX(APOIO_REDES!$A:$W,MATCH($C801&amp;$I801&amp;$H801&amp;$N801&amp;$O801,APOIO_REDES!$W:$W,0),MATCH(BA$5,APOIO_REDES!$5:$5,0)),0))*$M801/10,0)</f>
        <v>4.74477350512167</v>
      </c>
      <c r="BB801" s="153" t="n">
        <f aca="false">IFERROR(IF($N801="VCA",INDEX(APOIO_REDES!$A:$W,MATCH($C801&amp;$I801&amp;$H801&amp;$N801&amp;$O801,APOIO_REDES!$W:$W,0),MATCH(BB$5,APOIO_REDES!$5:$5,0)),0)*($AI801+$AQ801+$AR801),0)</f>
        <v>17.5241610957374</v>
      </c>
      <c r="BC801" s="153" t="n">
        <f aca="false">IFERROR(IF($N801="VCA",INDEX(APOIO_REDES!$A:$W,MATCH($C801&amp;$I801&amp;$H801&amp;$N801&amp;$O801,APOIO_REDES!$W:$W,0),MATCH(BC$5,APOIO_REDES!$5:$5,0)),0)*($AI801+$AQ801+$AR801),0)</f>
        <v>0.192765404262568</v>
      </c>
      <c r="BD801" s="153" t="n">
        <f aca="false">IF(AND($N801="VCA",$AF801&gt;=1.25,$AF801&lt;1.5),$M801*$AF801*2,0)</f>
        <v>160.47962</v>
      </c>
      <c r="BE801" s="153" t="n">
        <f aca="false">IF(AND($N801="VCA",$AF801&gt;=1.5,$AF801&lt;3),$M801*$AF801*2,0)</f>
        <v>0</v>
      </c>
      <c r="BF801" s="153" t="n">
        <f aca="false">IF(AND($N801="VCA",$AF801&gt;=3),$M801*$AF801*2,0)</f>
        <v>0</v>
      </c>
      <c r="BG801" s="153" t="n">
        <f aca="false">($BB801+$BC801)*$AK801</f>
        <v>62.00924275</v>
      </c>
      <c r="BH801" s="153" t="n">
        <f aca="false">IF(AND($M801&lt;&gt;"",$N801="VCA",$Q801="LINEAR"),($M801*2)/100,IF(AND($M801&lt;&gt;"",$N801="MND",$Q801="EMBOQUE"),($AN801*2)/100,0))</f>
        <v>1.1774</v>
      </c>
      <c r="BI801" s="153" t="n">
        <f aca="false">IF(AND($M801&lt;&gt;"",$N801="VCA",$Q801="LINEAR"),$M801,IF(AND($M801&lt;&gt;"",$N801="MND",$Q801="EMBOQUE"),$AN801*2,0))</f>
        <v>58.87</v>
      </c>
      <c r="BJ801" s="153" t="n">
        <f aca="false">IF(AND($M801&lt;&gt;"",$N801="VCA",$Q801="LINEAR"),($M801*6.8)/100,IF(AND($M801&lt;&gt;"",$N801="MND",$Q801="EMBOQUE"),($AN801*2*6.8)/100,0))</f>
        <v>4.00316</v>
      </c>
      <c r="BK801" s="153" t="n">
        <f aca="false">IF(AND($M801&lt;&gt;"",$N801="VCA",$Q801="LINEAR"),($M801*2.5)/50,IF(AND($M801&lt;&gt;"",$N801="MND",$Q801="EMBOQUE"),($AN801*2*2.5)/50,0))</f>
        <v>2.9435</v>
      </c>
      <c r="BL801" s="157" t="str">
        <f aca="false">K801&amp;J801</f>
        <v>Zona07REDES</v>
      </c>
      <c r="BM801" s="152" t="s">
        <v>4225</v>
      </c>
      <c r="BN801" s="152" t="s">
        <v>1560</v>
      </c>
      <c r="BO801" s="152" t="s">
        <v>4218</v>
      </c>
      <c r="BP801" s="152" t="s">
        <v>4587</v>
      </c>
      <c r="BQ801" s="152" t="s">
        <v>4564</v>
      </c>
      <c r="BR801" s="152" t="s">
        <v>4588</v>
      </c>
      <c r="BS801" s="152" t="n">
        <v>204090.146</v>
      </c>
      <c r="BT801" s="152" t="n">
        <v>8236568.368</v>
      </c>
      <c r="BU801" s="152" t="n">
        <v>204131.187</v>
      </c>
      <c r="BV801" s="152" t="n">
        <v>8236610.547</v>
      </c>
      <c r="BW801" s="152" t="n">
        <v>-15.9323347</v>
      </c>
      <c r="BX801" s="152" t="n">
        <v>-47.7636926</v>
      </c>
      <c r="BY801" s="152" t="s">
        <v>4587</v>
      </c>
    </row>
    <row r="802" customFormat="false" ht="13.8" hidden="false" customHeight="false" outlineLevel="0" collapsed="false">
      <c r="A802" s="149" t="n">
        <f aca="false">IF(C802&lt;&gt;"",ROW(A797),"")</f>
        <v>797</v>
      </c>
      <c r="B802" s="150" t="str">
        <f aca="false">HYPERLINK("https://www.google.com/maps/dir/-15.917302,-47.760003/-15.9326483,-47.7647219/data=!4m3!4m2!3e0!5i1")</f>
        <v>https://www.google.com/maps/dir/-15.917302,-47.760003/-15.9326483,-47.7647219/data=!4m3!4m2!3e0!5i1</v>
      </c>
      <c r="C802" s="151" t="s">
        <v>117</v>
      </c>
      <c r="D802" s="152" t="s">
        <v>112</v>
      </c>
      <c r="E802" s="152" t="s">
        <v>113</v>
      </c>
      <c r="F802" s="152" t="s">
        <v>117</v>
      </c>
      <c r="G802" s="152" t="s">
        <v>782</v>
      </c>
      <c r="H802" s="152" t="n">
        <v>63</v>
      </c>
      <c r="I802" s="152" t="s">
        <v>115</v>
      </c>
      <c r="J802" s="152" t="s">
        <v>6</v>
      </c>
      <c r="K802" s="152" t="s">
        <v>4221</v>
      </c>
      <c r="L802" s="152" t="s">
        <v>120</v>
      </c>
      <c r="M802" s="153" t="n">
        <f aca="false">102.85+4.37</f>
        <v>107.22</v>
      </c>
      <c r="N802" s="152" t="s">
        <v>1548</v>
      </c>
      <c r="O802" s="152" t="s">
        <v>1549</v>
      </c>
      <c r="P802" s="152" t="s">
        <v>1550</v>
      </c>
      <c r="Q802" s="152" t="s">
        <v>1551</v>
      </c>
      <c r="R802" s="154" t="s">
        <v>4589</v>
      </c>
      <c r="S802" s="154" t="s">
        <v>1553</v>
      </c>
      <c r="T802" s="155" t="s">
        <v>4216</v>
      </c>
      <c r="U802" s="152" t="str">
        <f aca="false">RIGHT(T802,7)</f>
        <v>019/037</v>
      </c>
      <c r="V802" s="152" t="s">
        <v>1555</v>
      </c>
      <c r="W802" s="156" t="n">
        <v>45882</v>
      </c>
      <c r="X802" s="152" t="s">
        <v>3938</v>
      </c>
      <c r="Y802" s="152" t="s">
        <v>4435</v>
      </c>
      <c r="Z802" s="152" t="s">
        <v>1557</v>
      </c>
      <c r="AA802" s="153" t="n">
        <v>3.6</v>
      </c>
      <c r="AB802" s="151" t="s">
        <v>4590</v>
      </c>
      <c r="AC802" s="151" t="s">
        <v>186</v>
      </c>
      <c r="AD802" s="151" t="str">
        <f aca="false">CONCATENATE($C802,$I802,$H802,$N802,$J802,$K802)</f>
        <v>TUBO PEADPEAD63VCAREDESZona07</v>
      </c>
      <c r="AE802" s="153" t="n">
        <f aca="false">IFERROR(INDEX(APOIO_REDES!$A:$W,MATCH($C802&amp;$I802&amp;$H802&amp;$N802&amp;$O802,APOIO_REDES!$W:$W,0),MATCH(AE$5,APOIO_REDES!$5:$5,0)),0)</f>
        <v>1.2</v>
      </c>
      <c r="AF802" s="153" t="n">
        <f aca="false">IFERROR(INDEX(APOIO_REDES!$A:$W,MATCH($C802&amp;$I802&amp;$H802&amp;$N802&amp;$O802,APOIO_REDES!$W:$W,0),MATCH(AF$5,APOIO_REDES!$5:$5,0)),0)</f>
        <v>1.363</v>
      </c>
      <c r="AG802" s="153" t="n">
        <f aca="false">IFERROR(INDEX(APOIO_REDES!$A:$W,MATCH($C802&amp;$I802&amp;$H802&amp;$N802&amp;$O802,APOIO_REDES!$W:$W,0),MATCH(AG$5,APOIO_REDES!$5:$5,0)),0)</f>
        <v>0.65</v>
      </c>
      <c r="AH802" s="153" t="n">
        <f aca="false">IFERROR(INDEX(APOIO_REDES!$A:$W,MATCH($C802&amp;$I802&amp;$H802&amp;$N802&amp;$O802,APOIO_REDES!$W:$W,0),MATCH(AH$5,APOIO_REDES!$5:$5,0)),0)</f>
        <v>0.1</v>
      </c>
      <c r="AI802" s="153" t="n">
        <f aca="false">IFERROR(IF($H802&lt;&gt;"",(((($H802/1000)/2)^2)*PI()*$M802),0),0)</f>
        <v>0.334231042194434</v>
      </c>
      <c r="AJ802" s="153" t="n">
        <f aca="false">IFERROR(IF(AND($H802&lt;&gt;"",$I802="FoFo",OR($N802="MND",$N802="VCA"),$Q802="LINEAR"),0,IF(AND($H802&lt;&gt;"",$I802="PEAD",$N802="VCA",$Q802="LINEAR"),($H802/1000)+0.3,IF(AND($H802&lt;&gt;"",$I802="PEAD",$N802="MND",$Q802="EMBOQUE"),0,IF(AND($H802&lt;&gt;"",$I802="PVC",$N802="VCA",$Q802="LINEAR"),($H802/1000)+0.2,IF(AND($H802&lt;&gt;"",$I802="PVC",$N802="MND",$Q802="EMBOQUE"),0,IF(AND($H802&lt;&gt;"",$I802="PEAD",$N802="VCA",$Q802="PREDIAL"),0,0)))))),0)</f>
        <v>0.363</v>
      </c>
      <c r="AK802" s="153" t="n">
        <f aca="false">IF(AA802&lt;&gt;"",AA802,0)</f>
        <v>3.6</v>
      </c>
      <c r="AL802" s="153" t="n">
        <f aca="false">IF(AND($N802="MND",$Q802="EMBOQUE"),$M802,IF(AND($N802="VCA",$Q802="LINEAR"),$M802,IF(AND($N802="VCA",$Q802="PREDIAL"),0,0)))</f>
        <v>107.22</v>
      </c>
      <c r="AM802" s="153" t="n">
        <f aca="false">IF(AND($N802="MND",$Q802="EMBOQUE"),$M802,IF(AND($N802="VCA",$Q802="LINEAR"),$M802,IF(AND($N802="VCA",$Q802="PREDIAL"),0,0)))</f>
        <v>107.22</v>
      </c>
      <c r="AN802" s="153" t="n">
        <f aca="false">ROUND(IF(AND($N802="VCA",$M802&lt;&gt;"",$Q802="LINEAR"),$M802/100,IF(AND($N802="MND",$M802&gt;100,$Q802="EMBOQUE"),$M802/100,0)),0)</f>
        <v>1</v>
      </c>
      <c r="AO802" s="153" t="n">
        <f aca="false">IF(AND($N802="MND",$Q802="EMBOQUE"),$AN802*2*2,IF(AND($N802="VCA",$Q802="LINEAR"),$M802*2,IF(AND($N802="VCA",$Q802="PREDIAL"),0,0)))</f>
        <v>214.44</v>
      </c>
      <c r="AP802" s="153" t="n">
        <f aca="false">IFERROR($M802*$AF802*$AG802,0)</f>
        <v>94.991559</v>
      </c>
      <c r="AQ802" s="153" t="n">
        <f aca="false">IFERROR(IF(AND($N802="VCA",$AH802&gt;0),$M802*$AG802*$AH802,0),0)</f>
        <v>6.9693</v>
      </c>
      <c r="AR802" s="153" t="n">
        <f aca="false">IFERROR(IF(AND($N802="VCA",$AJ802&gt;0),($M802*$AG802*$AJ802)-$AI802,0),0)</f>
        <v>24.9643279578056</v>
      </c>
      <c r="AS802" s="153" t="n">
        <f aca="false">IFERROR(IF(AND($N802="VCA",$AP802&gt;0),$AP802-$AI802-$AQ802-$AR802,0),0)</f>
        <v>62.7237</v>
      </c>
      <c r="AT802" s="153" t="n">
        <f aca="false">IFERROR(IF($N802="VCA",INDEX(APOIO_REDES!$A:$W,MATCH($C802&amp;$I802&amp;$H802&amp;$N802&amp;$O802,APOIO_REDES!$W:$W,0),MATCH(AT$5,APOIO_REDES!$5:$5,0)),0)*$AP802,0)</f>
        <v>1.03353627798628</v>
      </c>
      <c r="AU802" s="153" t="n">
        <f aca="false">IFERROR(IF($N802="VCA",INDEX(APOIO_REDES!$A:$W,MATCH($C802&amp;$I802&amp;$H802&amp;$N802&amp;$O802,APOIO_REDES!$W:$W,0),MATCH(AU$5,APOIO_REDES!$5:$5,0)),0)*$AP802,0)</f>
        <v>0.825354079887515</v>
      </c>
      <c r="AV802" s="153" t="n">
        <f aca="false">IFERROR(IF($N802="VCA",INDEX(APOIO_REDES!$A:$W,MATCH($C802&amp;$I802&amp;$H802&amp;$N802&amp;$O802,APOIO_REDES!$W:$W,0),MATCH(AV$5,APOIO_REDES!$5:$5,0)),0)*$AP802,0)</f>
        <v>0.114222525372865</v>
      </c>
      <c r="AW802" s="153" t="n">
        <f aca="false">IFERROR(IF($N802="VCA",INDEX(APOIO_REDES!$A:$W,MATCH($C802&amp;$I802&amp;$H802&amp;$N802&amp;$O802,APOIO_REDES!$W:$W,0),MATCH(AW$5,APOIO_REDES!$5:$5,0)),0)*$AP802,0)</f>
        <v>65.2029421281157</v>
      </c>
      <c r="AX802" s="153" t="n">
        <f aca="false">IFERROR(IF($N802="VCA",INDEX(APOIO_REDES!$A:$W,MATCH($C802&amp;$I802&amp;$H802&amp;$N802&amp;$O802,APOIO_REDES!$W:$W,0),MATCH(AX$5,APOIO_REDES!$5:$5,0)),0)*$AP802,0)</f>
        <v>9.02390145643481</v>
      </c>
      <c r="AY802" s="153" t="n">
        <f aca="false">IFERROR(IF($N802="VCA",INDEX(APOIO_REDES!$A:$W,MATCH($C802&amp;$I802&amp;$H802&amp;$N802&amp;$O802,APOIO_REDES!$W:$W,0),MATCH(AY$5,APOIO_REDES!$5:$5,0)),0)*$AP802,0)</f>
        <v>16.507071536751</v>
      </c>
      <c r="AZ802" s="153" t="n">
        <f aca="false">IFERROR(IF($N802="VCA",INDEX(APOIO_REDES!$A:$W,MATCH($C802&amp;$I802&amp;$H802&amp;$N802&amp;$O802,APOIO_REDES!$W:$W,0),MATCH(AZ$5,APOIO_REDES!$5:$5,0)),0)*$AP802,0)</f>
        <v>2.28453099545192</v>
      </c>
      <c r="BA802" s="153" t="n">
        <f aca="false">IFERROR(IF(AND($N802="VCA",$Q802="LINEAR"),INDEX(APOIO_REDES!$A:$W,MATCH($C802&amp;$I802&amp;$H802&amp;$N802&amp;$O802,APOIO_REDES!$W:$W,0),MATCH(BA$5,APOIO_REDES!$5:$5,0)),IF(AND($N802="MND",$Q802="EMBOQUE"),INDEX(APOIO_REDES!$A:$W,MATCH($C802&amp;$I802&amp;$H802&amp;$N802&amp;$O802,APOIO_REDES!$W:$W,0),MATCH(BA$5,APOIO_REDES!$5:$5,0)),0))*$M802/10,0)</f>
        <v>8.64166154610404</v>
      </c>
      <c r="BB802" s="153" t="n">
        <f aca="false">IFERROR(IF($N802="VCA",INDEX(APOIO_REDES!$A:$W,MATCH($C802&amp;$I802&amp;$H802&amp;$N802&amp;$O802,APOIO_REDES!$W:$W,0),MATCH(BB$5,APOIO_REDES!$5:$5,0)),0)*($AI802+$AQ802+$AR802),0)</f>
        <v>31.9167751432813</v>
      </c>
      <c r="BC802" s="153" t="n">
        <f aca="false">IFERROR(IF($N802="VCA",INDEX(APOIO_REDES!$A:$W,MATCH($C802&amp;$I802&amp;$H802&amp;$N802&amp;$O802,APOIO_REDES!$W:$W,0),MATCH(BC$5,APOIO_REDES!$5:$5,0)),0)*($AI802+$AQ802+$AR802),0)</f>
        <v>0.351083856718745</v>
      </c>
      <c r="BD802" s="153" t="n">
        <f aca="false">IF(AND($N802="VCA",$AF802&gt;=1.25,$AF802&lt;1.5),$M802*$AF802*2,0)</f>
        <v>292.28172</v>
      </c>
      <c r="BE802" s="153" t="n">
        <f aca="false">IF(AND($N802="VCA",$AF802&gt;=1.5,$AF802&lt;3),$M802*$AF802*2,0)</f>
        <v>0</v>
      </c>
      <c r="BF802" s="153" t="n">
        <f aca="false">IF(AND($N802="VCA",$AF802&gt;=3),$M802*$AF802*2,0)</f>
        <v>0</v>
      </c>
      <c r="BG802" s="153" t="n">
        <f aca="false">($BB802+$BC802)*$AK802</f>
        <v>116.1642924</v>
      </c>
      <c r="BH802" s="153" t="n">
        <f aca="false">IF(AND($M802&lt;&gt;"",$N802="VCA",$Q802="LINEAR"),($M802*2)/100,IF(AND($M802&lt;&gt;"",$N802="MND",$Q802="EMBOQUE"),($AN802*2)/100,0))</f>
        <v>2.1444</v>
      </c>
      <c r="BI802" s="153" t="n">
        <f aca="false">IF(AND($M802&lt;&gt;"",$N802="VCA",$Q802="LINEAR"),$M802,IF(AND($M802&lt;&gt;"",$N802="MND",$Q802="EMBOQUE"),$AN802*2,0))</f>
        <v>107.22</v>
      </c>
      <c r="BJ802" s="153" t="n">
        <f aca="false">IF(AND($M802&lt;&gt;"",$N802="VCA",$Q802="LINEAR"),($M802*6.8)/100,IF(AND($M802&lt;&gt;"",$N802="MND",$Q802="EMBOQUE"),($AN802*2*6.8)/100,0))</f>
        <v>7.29096</v>
      </c>
      <c r="BK802" s="153" t="n">
        <f aca="false">IF(AND($M802&lt;&gt;"",$N802="VCA",$Q802="LINEAR"),($M802*2.5)/50,IF(AND($M802&lt;&gt;"",$N802="MND",$Q802="EMBOQUE"),($AN802*2*2.5)/50,0))</f>
        <v>5.361</v>
      </c>
      <c r="BL802" s="157" t="str">
        <f aca="false">K802&amp;J802</f>
        <v>Zona07REDES</v>
      </c>
      <c r="BM802" s="152" t="s">
        <v>4225</v>
      </c>
      <c r="BN802" s="152" t="s">
        <v>1560</v>
      </c>
      <c r="BO802" s="152" t="s">
        <v>4218</v>
      </c>
      <c r="BP802" s="152" t="s">
        <v>4591</v>
      </c>
      <c r="BQ802" s="152" t="s">
        <v>4552</v>
      </c>
      <c r="BR802" s="152" t="s">
        <v>4592</v>
      </c>
      <c r="BS802" s="152" t="n">
        <v>204000.946</v>
      </c>
      <c r="BT802" s="152" t="n">
        <v>8236553.174</v>
      </c>
      <c r="BU802" s="152" t="n">
        <v>204079.588</v>
      </c>
      <c r="BV802" s="152" t="n">
        <v>8236619.298</v>
      </c>
      <c r="BW802" s="152" t="n">
        <v>-15.9323503</v>
      </c>
      <c r="BX802" s="152" t="n">
        <v>-47.7643538</v>
      </c>
      <c r="BY802" s="152" t="s">
        <v>4591</v>
      </c>
    </row>
    <row r="803" customFormat="false" ht="13.8" hidden="false" customHeight="false" outlineLevel="0" collapsed="false">
      <c r="A803" s="149" t="n">
        <f aca="false">IF(C803&lt;&gt;"",ROW(A798),"")</f>
        <v>798</v>
      </c>
      <c r="B803" s="150" t="str">
        <f aca="false">HYPERLINK("https://www.google.com/maps/dir/-15.917302,-47.760003/-15.9331374,-47.7646240/data=!4m3!4m2!3e0!5i1")</f>
        <v>https://www.google.com/maps/dir/-15.917302,-47.760003/-15.9331374,-47.7646240/data=!4m3!4m2!3e0!5i1</v>
      </c>
      <c r="C803" s="151" t="s">
        <v>117</v>
      </c>
      <c r="D803" s="152" t="s">
        <v>112</v>
      </c>
      <c r="E803" s="152" t="s">
        <v>113</v>
      </c>
      <c r="F803" s="152" t="s">
        <v>117</v>
      </c>
      <c r="G803" s="152" t="s">
        <v>782</v>
      </c>
      <c r="H803" s="152" t="n">
        <v>63</v>
      </c>
      <c r="I803" s="152" t="s">
        <v>115</v>
      </c>
      <c r="J803" s="152" t="s">
        <v>6</v>
      </c>
      <c r="K803" s="152" t="s">
        <v>4221</v>
      </c>
      <c r="L803" s="152" t="s">
        <v>120</v>
      </c>
      <c r="M803" s="153" t="n">
        <f aca="false">229.7+0.36</f>
        <v>230.06</v>
      </c>
      <c r="N803" s="152" t="s">
        <v>1548</v>
      </c>
      <c r="O803" s="152" t="s">
        <v>1549</v>
      </c>
      <c r="P803" s="152" t="s">
        <v>1550</v>
      </c>
      <c r="Q803" s="152" t="s">
        <v>1551</v>
      </c>
      <c r="R803" s="154" t="s">
        <v>4593</v>
      </c>
      <c r="S803" s="154" t="s">
        <v>1553</v>
      </c>
      <c r="T803" s="155" t="s">
        <v>4216</v>
      </c>
      <c r="U803" s="152" t="str">
        <f aca="false">RIGHT(T803,7)</f>
        <v>019/037</v>
      </c>
      <c r="V803" s="152" t="s">
        <v>1555</v>
      </c>
      <c r="W803" s="156" t="n">
        <v>45882</v>
      </c>
      <c r="X803" s="152" t="s">
        <v>3938</v>
      </c>
      <c r="Y803" s="152" t="s">
        <v>4015</v>
      </c>
      <c r="Z803" s="152" t="s">
        <v>1557</v>
      </c>
      <c r="AA803" s="153" t="n">
        <v>3.6</v>
      </c>
      <c r="AB803" s="151" t="s">
        <v>4594</v>
      </c>
      <c r="AC803" s="151" t="s">
        <v>186</v>
      </c>
      <c r="AD803" s="151" t="str">
        <f aca="false">CONCATENATE($C803,$I803,$H803,$N803,$J803,$K803)</f>
        <v>TUBO PEADPEAD63VCAREDESZona07</v>
      </c>
      <c r="AE803" s="153" t="n">
        <f aca="false">IFERROR(INDEX(APOIO_REDES!$A:$W,MATCH($C803&amp;$I803&amp;$H803&amp;$N803&amp;$O803,APOIO_REDES!$W:$W,0),MATCH(AE$5,APOIO_REDES!$5:$5,0)),0)</f>
        <v>1.2</v>
      </c>
      <c r="AF803" s="153" t="n">
        <f aca="false">IFERROR(INDEX(APOIO_REDES!$A:$W,MATCH($C803&amp;$I803&amp;$H803&amp;$N803&amp;$O803,APOIO_REDES!$W:$W,0),MATCH(AF$5,APOIO_REDES!$5:$5,0)),0)</f>
        <v>1.363</v>
      </c>
      <c r="AG803" s="153" t="n">
        <f aca="false">IFERROR(INDEX(APOIO_REDES!$A:$W,MATCH($C803&amp;$I803&amp;$H803&amp;$N803&amp;$O803,APOIO_REDES!$W:$W,0),MATCH(AG$5,APOIO_REDES!$5:$5,0)),0)</f>
        <v>0.65</v>
      </c>
      <c r="AH803" s="153" t="n">
        <f aca="false">IFERROR(INDEX(APOIO_REDES!$A:$W,MATCH($C803&amp;$I803&amp;$H803&amp;$N803&amp;$O803,APOIO_REDES!$W:$W,0),MATCH(AH$5,APOIO_REDES!$5:$5,0)),0)</f>
        <v>0.1</v>
      </c>
      <c r="AI803" s="153" t="n">
        <f aca="false">IFERROR(IF($H803&lt;&gt;"",(((($H803/1000)/2)^2)*PI()*$M803),0),0)</f>
        <v>0.71715345613926</v>
      </c>
      <c r="AJ803" s="153" t="n">
        <f aca="false">IFERROR(IF(AND($H803&lt;&gt;"",$I803="FoFo",OR($N803="MND",$N803="VCA"),$Q803="LINEAR"),0,IF(AND($H803&lt;&gt;"",$I803="PEAD",$N803="VCA",$Q803="LINEAR"),($H803/1000)+0.3,IF(AND($H803&lt;&gt;"",$I803="PEAD",$N803="MND",$Q803="EMBOQUE"),0,IF(AND($H803&lt;&gt;"",$I803="PVC",$N803="VCA",$Q803="LINEAR"),($H803/1000)+0.2,IF(AND($H803&lt;&gt;"",$I803="PVC",$N803="MND",$Q803="EMBOQUE"),0,IF(AND($H803&lt;&gt;"",$I803="PEAD",$N803="VCA",$Q803="PREDIAL"),0,0)))))),0)</f>
        <v>0.363</v>
      </c>
      <c r="AK803" s="153" t="n">
        <f aca="false">IF(AA803&lt;&gt;"",AA803,0)</f>
        <v>3.6</v>
      </c>
      <c r="AL803" s="153" t="n">
        <f aca="false">IF(AND($N803="MND",$Q803="EMBOQUE"),$M803,IF(AND($N803="VCA",$Q803="LINEAR"),$M803,IF(AND($N803="VCA",$Q803="PREDIAL"),0,0)))</f>
        <v>230.06</v>
      </c>
      <c r="AM803" s="153" t="n">
        <f aca="false">IF(AND($N803="MND",$Q803="EMBOQUE"),$M803,IF(AND($N803="VCA",$Q803="LINEAR"),$M803,IF(AND($N803="VCA",$Q803="PREDIAL"),0,0)))</f>
        <v>230.06</v>
      </c>
      <c r="AN803" s="153" t="n">
        <f aca="false">ROUND(IF(AND($N803="VCA",$M803&lt;&gt;"",$Q803="LINEAR"),$M803/100,IF(AND($N803="MND",$M803&gt;100,$Q803="EMBOQUE"),$M803/100,0)),0)</f>
        <v>2</v>
      </c>
      <c r="AO803" s="153" t="n">
        <f aca="false">IF(AND($N803="MND",$Q803="EMBOQUE"),$AN803*2*2,IF(AND($N803="VCA",$Q803="LINEAR"),$M803*2,IF(AND($N803="VCA",$Q803="PREDIAL"),0,0)))</f>
        <v>460.12</v>
      </c>
      <c r="AP803" s="153" t="n">
        <f aca="false">IFERROR($M803*$AF803*$AG803,0)</f>
        <v>203.821657</v>
      </c>
      <c r="AQ803" s="153" t="n">
        <f aca="false">IFERROR(IF(AND($N803="VCA",$AH803&gt;0),$M803*$AG803*$AH803,0),0)</f>
        <v>14.9539</v>
      </c>
      <c r="AR803" s="153" t="n">
        <f aca="false">IFERROR(IF(AND($N803="VCA",$AJ803&gt;0),($M803*$AG803*$AJ803)-$AI803,0),0)</f>
        <v>53.5655035438608</v>
      </c>
      <c r="AS803" s="153" t="n">
        <f aca="false">IFERROR(IF(AND($N803="VCA",$AP803&gt;0),$AP803-$AI803-$AQ803-$AR803,0),0)</f>
        <v>134.5851</v>
      </c>
      <c r="AT803" s="153" t="n">
        <f aca="false">IFERROR(IF($N803="VCA",INDEX(APOIO_REDES!$A:$W,MATCH($C803&amp;$I803&amp;$H803&amp;$N803&amp;$O803,APOIO_REDES!$W:$W,0),MATCH(AT$5,APOIO_REDES!$5:$5,0)),0)*$AP803,0)</f>
        <v>2.21763995629103</v>
      </c>
      <c r="AU803" s="153" t="n">
        <f aca="false">IFERROR(IF($N803="VCA",INDEX(APOIO_REDES!$A:$W,MATCH($C803&amp;$I803&amp;$H803&amp;$N803&amp;$O803,APOIO_REDES!$W:$W,0),MATCH(AU$5,APOIO_REDES!$5:$5,0)),0)*$AP803,0)</f>
        <v>1.77094720778699</v>
      </c>
      <c r="AV803" s="153" t="n">
        <f aca="false">IFERROR(IF($N803="VCA",INDEX(APOIO_REDES!$A:$W,MATCH($C803&amp;$I803&amp;$H803&amp;$N803&amp;$O803,APOIO_REDES!$W:$W,0),MATCH(AV$5,APOIO_REDES!$5:$5,0)),0)*$AP803,0)</f>
        <v>0.245085191077049</v>
      </c>
      <c r="AW803" s="153" t="n">
        <f aca="false">IFERROR(IF($N803="VCA",INDEX(APOIO_REDES!$A:$W,MATCH($C803&amp;$I803&amp;$H803&amp;$N803&amp;$O803,APOIO_REDES!$W:$W,0),MATCH(AW$5,APOIO_REDES!$5:$5,0)),0)*$AP803,0)</f>
        <v>139.904764652064</v>
      </c>
      <c r="AX803" s="153" t="n">
        <f aca="false">IFERROR(IF($N803="VCA",INDEX(APOIO_REDES!$A:$W,MATCH($C803&amp;$I803&amp;$H803&amp;$N803&amp;$O803,APOIO_REDES!$W:$W,0),MATCH(AX$5,APOIO_REDES!$5:$5,0)),0)*$AP803,0)</f>
        <v>19.3624209015799</v>
      </c>
      <c r="AY803" s="153" t="n">
        <f aca="false">IFERROR(IF($N803="VCA",INDEX(APOIO_REDES!$A:$W,MATCH($C803&amp;$I803&amp;$H803&amp;$N803&amp;$O803,APOIO_REDES!$W:$W,0),MATCH(AY$5,APOIO_REDES!$5:$5,0)),0)*$AP803,0)</f>
        <v>35.418922568037</v>
      </c>
      <c r="AZ803" s="153" t="n">
        <f aca="false">IFERROR(IF($N803="VCA",INDEX(APOIO_REDES!$A:$W,MATCH($C803&amp;$I803&amp;$H803&amp;$N803&amp;$O803,APOIO_REDES!$W:$W,0),MATCH(AZ$5,APOIO_REDES!$5:$5,0)),0)*$AP803,0)</f>
        <v>4.90187652316423</v>
      </c>
      <c r="BA803" s="153" t="n">
        <f aca="false">IFERROR(IF(AND($N803="VCA",$Q803="LINEAR"),INDEX(APOIO_REDES!$A:$W,MATCH($C803&amp;$I803&amp;$H803&amp;$N803&amp;$O803,APOIO_REDES!$W:$W,0),MATCH(BA$5,APOIO_REDES!$5:$5,0)),IF(AND($N803="MND",$Q803="EMBOQUE"),INDEX(APOIO_REDES!$A:$W,MATCH($C803&amp;$I803&amp;$H803&amp;$N803&amp;$O803,APOIO_REDES!$W:$W,0),MATCH(BA$5,APOIO_REDES!$5:$5,0)),0))*$M803/10,0)</f>
        <v>18.5422556920043</v>
      </c>
      <c r="BB803" s="153" t="n">
        <f aca="false">IFERROR(IF($N803="VCA",INDEX(APOIO_REDES!$A:$W,MATCH($C803&amp;$I803&amp;$H803&amp;$N803&amp;$O803,APOIO_REDES!$W:$W,0),MATCH(BB$5,APOIO_REDES!$5:$5,0)),0)*($AI803+$AQ803+$AR803),0)</f>
        <v>68.4832427668652</v>
      </c>
      <c r="BC803" s="153" t="n">
        <f aca="false">IFERROR(IF($N803="VCA",INDEX(APOIO_REDES!$A:$W,MATCH($C803&amp;$I803&amp;$H803&amp;$N803&amp;$O803,APOIO_REDES!$W:$W,0),MATCH(BC$5,APOIO_REDES!$5:$5,0)),0)*($AI803+$AQ803+$AR803),0)</f>
        <v>0.75331423313481</v>
      </c>
      <c r="BD803" s="153" t="n">
        <f aca="false">IF(AND($N803="VCA",$AF803&gt;=1.25,$AF803&lt;1.5),$M803*$AF803*2,0)</f>
        <v>627.14356</v>
      </c>
      <c r="BE803" s="153" t="n">
        <f aca="false">IF(AND($N803="VCA",$AF803&gt;=1.5,$AF803&lt;3),$M803*$AF803*2,0)</f>
        <v>0</v>
      </c>
      <c r="BF803" s="153" t="n">
        <f aca="false">IF(AND($N803="VCA",$AF803&gt;=3),$M803*$AF803*2,0)</f>
        <v>0</v>
      </c>
      <c r="BG803" s="153" t="n">
        <f aca="false">($BB803+$BC803)*$AK803</f>
        <v>249.2516052</v>
      </c>
      <c r="BH803" s="153" t="n">
        <f aca="false">IF(AND($M803&lt;&gt;"",$N803="VCA",$Q803="LINEAR"),($M803*2)/100,IF(AND($M803&lt;&gt;"",$N803="MND",$Q803="EMBOQUE"),($AN803*2)/100,0))</f>
        <v>4.6012</v>
      </c>
      <c r="BI803" s="153" t="n">
        <f aca="false">IF(AND($M803&lt;&gt;"",$N803="VCA",$Q803="LINEAR"),$M803,IF(AND($M803&lt;&gt;"",$N803="MND",$Q803="EMBOQUE"),$AN803*2,0))</f>
        <v>230.06</v>
      </c>
      <c r="BJ803" s="153" t="n">
        <f aca="false">IF(AND($M803&lt;&gt;"",$N803="VCA",$Q803="LINEAR"),($M803*6.8)/100,IF(AND($M803&lt;&gt;"",$N803="MND",$Q803="EMBOQUE"),($AN803*2*6.8)/100,0))</f>
        <v>15.64408</v>
      </c>
      <c r="BK803" s="153" t="n">
        <f aca="false">IF(AND($M803&lt;&gt;"",$N803="VCA",$Q803="LINEAR"),($M803*2.5)/50,IF(AND($M803&lt;&gt;"",$N803="MND",$Q803="EMBOQUE"),($AN803*2*2.5)/50,0))</f>
        <v>11.503</v>
      </c>
      <c r="BL803" s="157" t="str">
        <f aca="false">K803&amp;J803</f>
        <v>Zona07REDES</v>
      </c>
      <c r="BM803" s="152" t="s">
        <v>4225</v>
      </c>
      <c r="BN803" s="152" t="s">
        <v>1560</v>
      </c>
      <c r="BO803" s="152" t="s">
        <v>4218</v>
      </c>
      <c r="BP803" s="152" t="s">
        <v>4595</v>
      </c>
      <c r="BQ803" s="152" t="s">
        <v>4398</v>
      </c>
      <c r="BR803" s="152" t="s">
        <v>4596</v>
      </c>
      <c r="BS803" s="152" t="n">
        <v>204012.15</v>
      </c>
      <c r="BT803" s="152" t="n">
        <v>8236499.168</v>
      </c>
      <c r="BU803" s="152" t="n">
        <v>203860.185</v>
      </c>
      <c r="BV803" s="152" t="n">
        <v>8236671.335</v>
      </c>
      <c r="BW803" s="152" t="n">
        <v>-15.9323515</v>
      </c>
      <c r="BX803" s="152" t="n">
        <v>-47.7653233</v>
      </c>
      <c r="BY803" s="152" t="s">
        <v>4595</v>
      </c>
    </row>
    <row r="804" customFormat="false" ht="13.8" hidden="false" customHeight="false" outlineLevel="0" collapsed="false">
      <c r="A804" s="149" t="n">
        <f aca="false">IF(C804&lt;&gt;"",ROW(A799),"")</f>
        <v>799</v>
      </c>
      <c r="B804" s="150" t="str">
        <f aca="false">HYPERLINK("https://www.google.com/maps/dir/-15.917302,-47.760003/-15.9321459,-47.7634993/data=!4m3!4m2!3e0!5i2")</f>
        <v>https://www.google.com/maps/dir/-15.917302,-47.760003/-15.9321459,-47.7634993/data=!4m3!4m2!3e0!5i2</v>
      </c>
      <c r="C804" s="151" t="s">
        <v>117</v>
      </c>
      <c r="D804" s="152" t="s">
        <v>112</v>
      </c>
      <c r="E804" s="152" t="s">
        <v>113</v>
      </c>
      <c r="F804" s="152" t="s">
        <v>117</v>
      </c>
      <c r="G804" s="152" t="s">
        <v>782</v>
      </c>
      <c r="H804" s="152" t="n">
        <v>63</v>
      </c>
      <c r="I804" s="152" t="s">
        <v>115</v>
      </c>
      <c r="J804" s="152" t="s">
        <v>6</v>
      </c>
      <c r="K804" s="152" t="s">
        <v>4221</v>
      </c>
      <c r="L804" s="152" t="s">
        <v>120</v>
      </c>
      <c r="M804" s="153" t="n">
        <f aca="false">75.63+2.97</f>
        <v>78.6</v>
      </c>
      <c r="N804" s="152" t="s">
        <v>1548</v>
      </c>
      <c r="O804" s="152" t="s">
        <v>1549</v>
      </c>
      <c r="P804" s="152" t="s">
        <v>1550</v>
      </c>
      <c r="Q804" s="152" t="s">
        <v>1551</v>
      </c>
      <c r="R804" s="154" t="s">
        <v>4597</v>
      </c>
      <c r="S804" s="154" t="s">
        <v>1553</v>
      </c>
      <c r="T804" s="155" t="s">
        <v>4216</v>
      </c>
      <c r="U804" s="152" t="str">
        <f aca="false">RIGHT(T804,7)</f>
        <v>019/037</v>
      </c>
      <c r="V804" s="152" t="s">
        <v>1555</v>
      </c>
      <c r="W804" s="156" t="n">
        <v>45882</v>
      </c>
      <c r="X804" s="152" t="s">
        <v>1594</v>
      </c>
      <c r="Y804" s="152"/>
      <c r="Z804" s="152" t="s">
        <v>1557</v>
      </c>
      <c r="AA804" s="153" t="n">
        <v>3.5</v>
      </c>
      <c r="AB804" s="151" t="s">
        <v>4598</v>
      </c>
      <c r="AC804" s="151" t="s">
        <v>186</v>
      </c>
      <c r="AD804" s="151" t="str">
        <f aca="false">CONCATENATE($C804,$I804,$H804,$N804,$J804,$K804)</f>
        <v>TUBO PEADPEAD63VCAREDESZona07</v>
      </c>
      <c r="AE804" s="153" t="n">
        <f aca="false">IFERROR(INDEX(APOIO_REDES!$A:$W,MATCH($C804&amp;$I804&amp;$H804&amp;$N804&amp;$O804,APOIO_REDES!$W:$W,0),MATCH(AE$5,APOIO_REDES!$5:$5,0)),0)</f>
        <v>1.2</v>
      </c>
      <c r="AF804" s="153" t="n">
        <f aca="false">IFERROR(INDEX(APOIO_REDES!$A:$W,MATCH($C804&amp;$I804&amp;$H804&amp;$N804&amp;$O804,APOIO_REDES!$W:$W,0),MATCH(AF$5,APOIO_REDES!$5:$5,0)),0)</f>
        <v>1.363</v>
      </c>
      <c r="AG804" s="153" t="n">
        <f aca="false">IFERROR(INDEX(APOIO_REDES!$A:$W,MATCH($C804&amp;$I804&amp;$H804&amp;$N804&amp;$O804,APOIO_REDES!$W:$W,0),MATCH(AG$5,APOIO_REDES!$5:$5,0)),0)</f>
        <v>0.65</v>
      </c>
      <c r="AH804" s="153" t="n">
        <f aca="false">IFERROR(INDEX(APOIO_REDES!$A:$W,MATCH($C804&amp;$I804&amp;$H804&amp;$N804&amp;$O804,APOIO_REDES!$W:$W,0),MATCH(AH$5,APOIO_REDES!$5:$5,0)),0)</f>
        <v>0.1</v>
      </c>
      <c r="AI804" s="153" t="n">
        <f aca="false">IFERROR(IF($H804&lt;&gt;"",(((($H804/1000)/2)^2)*PI()*$M804),0),0)</f>
        <v>0.245015481407224</v>
      </c>
      <c r="AJ804" s="153" t="n">
        <f aca="false">IFERROR(IF(AND($H804&lt;&gt;"",$I804="FoFo",OR($N804="MND",$N804="VCA"),$Q804="LINEAR"),0,IF(AND($H804&lt;&gt;"",$I804="PEAD",$N804="VCA",$Q804="LINEAR"),($H804/1000)+0.3,IF(AND($H804&lt;&gt;"",$I804="PEAD",$N804="MND",$Q804="EMBOQUE"),0,IF(AND($H804&lt;&gt;"",$I804="PVC",$N804="VCA",$Q804="LINEAR"),($H804/1000)+0.2,IF(AND($H804&lt;&gt;"",$I804="PVC",$N804="MND",$Q804="EMBOQUE"),0,IF(AND($H804&lt;&gt;"",$I804="PEAD",$N804="VCA",$Q804="PREDIAL"),0,0)))))),0)</f>
        <v>0.363</v>
      </c>
      <c r="AK804" s="153" t="n">
        <f aca="false">IF(AA804&lt;&gt;"",AA804,0)</f>
        <v>3.5</v>
      </c>
      <c r="AL804" s="153" t="n">
        <f aca="false">IF(AND($N804="MND",$Q804="EMBOQUE"),$M804,IF(AND($N804="VCA",$Q804="LINEAR"),$M804,IF(AND($N804="VCA",$Q804="PREDIAL"),0,0)))</f>
        <v>78.6</v>
      </c>
      <c r="AM804" s="153" t="n">
        <f aca="false">IF(AND($N804="MND",$Q804="EMBOQUE"),$M804,IF(AND($N804="VCA",$Q804="LINEAR"),$M804,IF(AND($N804="VCA",$Q804="PREDIAL"),0,0)))</f>
        <v>78.6</v>
      </c>
      <c r="AN804" s="153" t="n">
        <f aca="false">ROUND(IF(AND($N804="VCA",$M804&lt;&gt;"",$Q804="LINEAR"),$M804/100,IF(AND($N804="MND",$M804&gt;100,$Q804="EMBOQUE"),$M804/100,0)),0)</f>
        <v>1</v>
      </c>
      <c r="AO804" s="153" t="n">
        <f aca="false">IF(AND($N804="MND",$Q804="EMBOQUE"),$AN804*2*2,IF(AND($N804="VCA",$Q804="LINEAR"),$M804*2,IF(AND($N804="VCA",$Q804="PREDIAL"),0,0)))</f>
        <v>157.2</v>
      </c>
      <c r="AP804" s="153" t="n">
        <f aca="false">IFERROR($M804*$AF804*$AG804,0)</f>
        <v>69.63567</v>
      </c>
      <c r="AQ804" s="153" t="n">
        <f aca="false">IFERROR(IF(AND($N804="VCA",$AH804&gt;0),$M804*$AG804*$AH804,0),0)</f>
        <v>5.109</v>
      </c>
      <c r="AR804" s="153" t="n">
        <f aca="false">IFERROR(IF(AND($N804="VCA",$AJ804&gt;0),($M804*$AG804*$AJ804)-$AI804,0),0)</f>
        <v>18.3006545185928</v>
      </c>
      <c r="AS804" s="153" t="n">
        <f aca="false">IFERROR(IF(AND($N804="VCA",$AP804&gt;0),$AP804-$AI804-$AQ804-$AR804,0),0)</f>
        <v>45.981</v>
      </c>
      <c r="AT804" s="153" t="n">
        <f aca="false">IFERROR(IF($N804="VCA",INDEX(APOIO_REDES!$A:$W,MATCH($C804&amp;$I804&amp;$H804&amp;$N804&amp;$O804,APOIO_REDES!$W:$W,0),MATCH(AT$5,APOIO_REDES!$5:$5,0)),0)*$AP804,0)</f>
        <v>0.757656700706229</v>
      </c>
      <c r="AU804" s="153" t="n">
        <f aca="false">IFERROR(IF($N804="VCA",INDEX(APOIO_REDES!$A:$W,MATCH($C804&amp;$I804&amp;$H804&amp;$N804&amp;$O804,APOIO_REDES!$W:$W,0),MATCH(AU$5,APOIO_REDES!$5:$5,0)),0)*$AP804,0)</f>
        <v>0.605044121238189</v>
      </c>
      <c r="AV804" s="153" t="n">
        <f aca="false">IFERROR(IF($N804="VCA",INDEX(APOIO_REDES!$A:$W,MATCH($C804&amp;$I804&amp;$H804&amp;$N804&amp;$O804,APOIO_REDES!$W:$W,0),MATCH(AV$5,APOIO_REDES!$5:$5,0)),0)*$AP804,0)</f>
        <v>0.0837333565967838</v>
      </c>
      <c r="AW804" s="153" t="n">
        <f aca="false">IFERROR(IF($N804="VCA",INDEX(APOIO_REDES!$A:$W,MATCH($C804&amp;$I804&amp;$H804&amp;$N804&amp;$O804,APOIO_REDES!$W:$W,0),MATCH(AW$5,APOIO_REDES!$5:$5,0)),0)*$AP804,0)</f>
        <v>47.7984634515006</v>
      </c>
      <c r="AX804" s="153" t="n">
        <f aca="false">IFERROR(IF($N804="VCA",INDEX(APOIO_REDES!$A:$W,MATCH($C804&amp;$I804&amp;$H804&amp;$N804&amp;$O804,APOIO_REDES!$W:$W,0),MATCH(AX$5,APOIO_REDES!$5:$5,0)),0)*$AP804,0)</f>
        <v>6.61517118518724</v>
      </c>
      <c r="AY804" s="153" t="n">
        <f aca="false">IFERROR(IF($N804="VCA",INDEX(APOIO_REDES!$A:$W,MATCH($C804&amp;$I804&amp;$H804&amp;$N804&amp;$O804,APOIO_REDES!$W:$W,0),MATCH(AY$5,APOIO_REDES!$5:$5,0)),0)*$AP804,0)</f>
        <v>12.100875049325</v>
      </c>
      <c r="AZ804" s="153" t="n">
        <f aca="false">IFERROR(IF($N804="VCA",INDEX(APOIO_REDES!$A:$W,MATCH($C804&amp;$I804&amp;$H804&amp;$N804&amp;$O804,APOIO_REDES!$W:$W,0),MATCH(AZ$5,APOIO_REDES!$5:$5,0)),0)*$AP804,0)</f>
        <v>1.67472613544601</v>
      </c>
      <c r="BA804" s="153" t="n">
        <f aca="false">IFERROR(IF(AND($N804="VCA",$Q804="LINEAR"),INDEX(APOIO_REDES!$A:$W,MATCH($C804&amp;$I804&amp;$H804&amp;$N804&amp;$O804,APOIO_REDES!$W:$W,0),MATCH(BA$5,APOIO_REDES!$5:$5,0)),IF(AND($N804="MND",$Q804="EMBOQUE"),INDEX(APOIO_REDES!$A:$W,MATCH($C804&amp;$I804&amp;$H804&amp;$N804&amp;$O804,APOIO_REDES!$W:$W,0),MATCH(BA$5,APOIO_REDES!$5:$5,0)),0))*$M804/10,0)</f>
        <v>6.33496173777073</v>
      </c>
      <c r="BB804" s="153" t="n">
        <f aca="false">IFERROR(IF($N804="VCA",INDEX(APOIO_REDES!$A:$W,MATCH($C804&amp;$I804&amp;$H804&amp;$N804&amp;$O804,APOIO_REDES!$W:$W,0),MATCH(BB$5,APOIO_REDES!$5:$5,0)),0)*($AI804+$AQ804+$AR804),0)</f>
        <v>23.3973001889751</v>
      </c>
      <c r="BC804" s="153" t="n">
        <f aca="false">IFERROR(IF($N804="VCA",INDEX(APOIO_REDES!$A:$W,MATCH($C804&amp;$I804&amp;$H804&amp;$N804&amp;$O804,APOIO_REDES!$W:$W,0),MATCH(BC$5,APOIO_REDES!$5:$5,0)),0)*($AI804+$AQ804+$AR804),0)</f>
        <v>0.257369811024933</v>
      </c>
      <c r="BD804" s="153" t="n">
        <f aca="false">IF(AND($N804="VCA",$AF804&gt;=1.25,$AF804&lt;1.5),$M804*$AF804*2,0)</f>
        <v>214.2636</v>
      </c>
      <c r="BE804" s="153" t="n">
        <f aca="false">IF(AND($N804="VCA",$AF804&gt;=1.5,$AF804&lt;3),$M804*$AF804*2,0)</f>
        <v>0</v>
      </c>
      <c r="BF804" s="153" t="n">
        <f aca="false">IF(AND($N804="VCA",$AF804&gt;=3),$M804*$AF804*2,0)</f>
        <v>0</v>
      </c>
      <c r="BG804" s="153" t="n">
        <f aca="false">($BB804+$BC804)*$AK804</f>
        <v>82.791345</v>
      </c>
      <c r="BH804" s="153" t="n">
        <f aca="false">IF(AND($M804&lt;&gt;"",$N804="VCA",$Q804="LINEAR"),($M804*2)/100,IF(AND($M804&lt;&gt;"",$N804="MND",$Q804="EMBOQUE"),($AN804*2)/100,0))</f>
        <v>1.572</v>
      </c>
      <c r="BI804" s="153" t="n">
        <f aca="false">IF(AND($M804&lt;&gt;"",$N804="VCA",$Q804="LINEAR"),$M804,IF(AND($M804&lt;&gt;"",$N804="MND",$Q804="EMBOQUE"),$AN804*2,0))</f>
        <v>78.6</v>
      </c>
      <c r="BJ804" s="153" t="n">
        <f aca="false">IF(AND($M804&lt;&gt;"",$N804="VCA",$Q804="LINEAR"),($M804*6.8)/100,IF(AND($M804&lt;&gt;"",$N804="MND",$Q804="EMBOQUE"),($AN804*2*6.8)/100,0))</f>
        <v>5.3448</v>
      </c>
      <c r="BK804" s="153" t="n">
        <f aca="false">IF(AND($M804&lt;&gt;"",$N804="VCA",$Q804="LINEAR"),($M804*2.5)/50,IF(AND($M804&lt;&gt;"",$N804="MND",$Q804="EMBOQUE"),($AN804*2*2.5)/50,0))</f>
        <v>3.93</v>
      </c>
      <c r="BL804" s="157" t="str">
        <f aca="false">K804&amp;J804</f>
        <v>Zona07REDES</v>
      </c>
      <c r="BM804" s="152" t="s">
        <v>4225</v>
      </c>
      <c r="BN804" s="152" t="s">
        <v>1560</v>
      </c>
      <c r="BO804" s="152" t="s">
        <v>4218</v>
      </c>
      <c r="BP804" s="152" t="s">
        <v>4564</v>
      </c>
      <c r="BQ804" s="152" t="s">
        <v>4599</v>
      </c>
      <c r="BR804" s="152" t="s">
        <v>4600</v>
      </c>
      <c r="BS804" s="152" t="n">
        <v>204131.187</v>
      </c>
      <c r="BT804" s="152" t="n">
        <v>8236610.547</v>
      </c>
      <c r="BU804" s="152" t="n">
        <v>204153.226</v>
      </c>
      <c r="BV804" s="152" t="n">
        <v>8236538.204</v>
      </c>
      <c r="BW804" s="152" t="n">
        <v>-15.9324733</v>
      </c>
      <c r="BX804" s="152" t="n">
        <v>-47.7633991</v>
      </c>
      <c r="BY804" s="152" t="s">
        <v>4564</v>
      </c>
    </row>
    <row r="805" customFormat="false" ht="13.8" hidden="false" customHeight="false" outlineLevel="0" collapsed="false">
      <c r="A805" s="149" t="n">
        <f aca="false">IF(C805&lt;&gt;"",ROW(A800),"")</f>
        <v>800</v>
      </c>
      <c r="B805" s="150" t="str">
        <f aca="false">HYPERLINK("https://www.google.com/maps/dir/-15.917302,-47.760003/-15.9334508,-47.7649457/data=!4m3!4m2!3e0!5i1")</f>
        <v>https://www.google.com/maps/dir/-15.917302,-47.760003/-15.9334508,-47.7649457/data=!4m3!4m2!3e0!5i1</v>
      </c>
      <c r="C805" s="151" t="s">
        <v>117</v>
      </c>
      <c r="D805" s="152" t="s">
        <v>112</v>
      </c>
      <c r="E805" s="152" t="s">
        <v>113</v>
      </c>
      <c r="F805" s="152" t="s">
        <v>117</v>
      </c>
      <c r="G805" s="152" t="s">
        <v>782</v>
      </c>
      <c r="H805" s="152" t="n">
        <v>63</v>
      </c>
      <c r="I805" s="152" t="s">
        <v>115</v>
      </c>
      <c r="J805" s="152" t="s">
        <v>6</v>
      </c>
      <c r="K805" s="152" t="s">
        <v>4221</v>
      </c>
      <c r="L805" s="152" t="s">
        <v>120</v>
      </c>
      <c r="M805" s="153" t="n">
        <f aca="false">238.59</f>
        <v>238.59</v>
      </c>
      <c r="N805" s="152" t="s">
        <v>1548</v>
      </c>
      <c r="O805" s="152" t="s">
        <v>1549</v>
      </c>
      <c r="P805" s="152" t="s">
        <v>1550</v>
      </c>
      <c r="Q805" s="152" t="s">
        <v>1551</v>
      </c>
      <c r="R805" s="154" t="s">
        <v>4601</v>
      </c>
      <c r="S805" s="154" t="s">
        <v>1553</v>
      </c>
      <c r="T805" s="155" t="s">
        <v>4216</v>
      </c>
      <c r="U805" s="152" t="str">
        <f aca="false">RIGHT(T805,7)</f>
        <v>019/037</v>
      </c>
      <c r="V805" s="152" t="s">
        <v>1555</v>
      </c>
      <c r="W805" s="156" t="n">
        <v>45882</v>
      </c>
      <c r="X805" s="152" t="s">
        <v>3938</v>
      </c>
      <c r="Y805" s="152" t="s">
        <v>4015</v>
      </c>
      <c r="Z805" s="152" t="s">
        <v>1557</v>
      </c>
      <c r="AA805" s="153" t="n">
        <v>3.6</v>
      </c>
      <c r="AB805" s="151" t="s">
        <v>4602</v>
      </c>
      <c r="AC805" s="151" t="s">
        <v>186</v>
      </c>
      <c r="AD805" s="151" t="str">
        <f aca="false">CONCATENATE($C805,$I805,$H805,$N805,$J805,$K805)</f>
        <v>TUBO PEADPEAD63VCAREDESZona07</v>
      </c>
      <c r="AE805" s="153" t="n">
        <f aca="false">IFERROR(INDEX(APOIO_REDES!$A:$W,MATCH($C805&amp;$I805&amp;$H805&amp;$N805&amp;$O805,APOIO_REDES!$W:$W,0),MATCH(AE$5,APOIO_REDES!$5:$5,0)),0)</f>
        <v>1.2</v>
      </c>
      <c r="AF805" s="153" t="n">
        <f aca="false">IFERROR(INDEX(APOIO_REDES!$A:$W,MATCH($C805&amp;$I805&amp;$H805&amp;$N805&amp;$O805,APOIO_REDES!$W:$W,0),MATCH(AF$5,APOIO_REDES!$5:$5,0)),0)</f>
        <v>1.363</v>
      </c>
      <c r="AG805" s="153" t="n">
        <f aca="false">IFERROR(INDEX(APOIO_REDES!$A:$W,MATCH($C805&amp;$I805&amp;$H805&amp;$N805&amp;$O805,APOIO_REDES!$W:$W,0),MATCH(AG$5,APOIO_REDES!$5:$5,0)),0)</f>
        <v>0.65</v>
      </c>
      <c r="AH805" s="153" t="n">
        <f aca="false">IFERROR(INDEX(APOIO_REDES!$A:$W,MATCH($C805&amp;$I805&amp;$H805&amp;$N805&amp;$O805,APOIO_REDES!$W:$W,0),MATCH(AH$5,APOIO_REDES!$5:$5,0)),0)</f>
        <v>0.1</v>
      </c>
      <c r="AI805" s="153" t="n">
        <f aca="false">IFERROR(IF($H805&lt;&gt;"",(((($H805/1000)/2)^2)*PI()*$M805),0),0)</f>
        <v>0.743743558638034</v>
      </c>
      <c r="AJ805" s="153" t="n">
        <f aca="false">IFERROR(IF(AND($H805&lt;&gt;"",$I805="FoFo",OR($N805="MND",$N805="VCA"),$Q805="LINEAR"),0,IF(AND($H805&lt;&gt;"",$I805="PEAD",$N805="VCA",$Q805="LINEAR"),($H805/1000)+0.3,IF(AND($H805&lt;&gt;"",$I805="PEAD",$N805="MND",$Q805="EMBOQUE"),0,IF(AND($H805&lt;&gt;"",$I805="PVC",$N805="VCA",$Q805="LINEAR"),($H805/1000)+0.2,IF(AND($H805&lt;&gt;"",$I805="PVC",$N805="MND",$Q805="EMBOQUE"),0,IF(AND($H805&lt;&gt;"",$I805="PEAD",$N805="VCA",$Q805="PREDIAL"),0,0)))))),0)</f>
        <v>0.363</v>
      </c>
      <c r="AK805" s="153" t="n">
        <f aca="false">IF(AA805&lt;&gt;"",AA805,0)</f>
        <v>3.6</v>
      </c>
      <c r="AL805" s="153" t="n">
        <f aca="false">IF(AND($N805="MND",$Q805="EMBOQUE"),$M805,IF(AND($N805="VCA",$Q805="LINEAR"),$M805,IF(AND($N805="VCA",$Q805="PREDIAL"),0,0)))</f>
        <v>238.59</v>
      </c>
      <c r="AM805" s="153" t="n">
        <f aca="false">IF(AND($N805="MND",$Q805="EMBOQUE"),$M805,IF(AND($N805="VCA",$Q805="LINEAR"),$M805,IF(AND($N805="VCA",$Q805="PREDIAL"),0,0)))</f>
        <v>238.59</v>
      </c>
      <c r="AN805" s="153" t="n">
        <f aca="false">ROUND(IF(AND($N805="VCA",$M805&lt;&gt;"",$Q805="LINEAR"),$M805/100,IF(AND($N805="MND",$M805&gt;100,$Q805="EMBOQUE"),$M805/100,0)),0)</f>
        <v>2</v>
      </c>
      <c r="AO805" s="153" t="n">
        <f aca="false">IF(AND($N805="MND",$Q805="EMBOQUE"),$AN805*2*2,IF(AND($N805="VCA",$Q805="LINEAR"),$M805*2,IF(AND($N805="VCA",$Q805="PREDIAL"),0,0)))</f>
        <v>477.18</v>
      </c>
      <c r="AP805" s="153" t="n">
        <f aca="false">IFERROR($M805*$AF805*$AG805,0)</f>
        <v>211.3788105</v>
      </c>
      <c r="AQ805" s="153" t="n">
        <f aca="false">IFERROR(IF(AND($N805="VCA",$AH805&gt;0),$M805*$AG805*$AH805,0),0)</f>
        <v>15.50835</v>
      </c>
      <c r="AR805" s="153" t="n">
        <f aca="false">IFERROR(IF(AND($N805="VCA",$AJ805&gt;0),($M805*$AG805*$AJ805)-$AI805,0),0)</f>
        <v>55.551566941362</v>
      </c>
      <c r="AS805" s="153" t="n">
        <f aca="false">IFERROR(IF(AND($N805="VCA",$AP805&gt;0),$AP805-$AI805-$AQ805-$AR805,0),0)</f>
        <v>139.57515</v>
      </c>
      <c r="AT805" s="153" t="n">
        <f aca="false">IFERROR(IF($N805="VCA",INDEX(APOIO_REDES!$A:$W,MATCH($C805&amp;$I805&amp;$H805&amp;$N805&amp;$O805,APOIO_REDES!$W:$W,0),MATCH(AT$5,APOIO_REDES!$5:$5,0)),0)*$AP805,0)</f>
        <v>2.29986402317429</v>
      </c>
      <c r="AU805" s="153" t="n">
        <f aca="false">IFERROR(IF($N805="VCA",INDEX(APOIO_REDES!$A:$W,MATCH($C805&amp;$I805&amp;$H805&amp;$N805&amp;$O805,APOIO_REDES!$W:$W,0),MATCH(AU$5,APOIO_REDES!$5:$5,0)),0)*$AP805,0)</f>
        <v>1.83660912068982</v>
      </c>
      <c r="AV805" s="153" t="n">
        <f aca="false">IFERROR(IF($N805="VCA",INDEX(APOIO_REDES!$A:$W,MATCH($C805&amp;$I805&amp;$H805&amp;$N805&amp;$O805,APOIO_REDES!$W:$W,0),MATCH(AV$5,APOIO_REDES!$5:$5,0)),0)*$AP805,0)</f>
        <v>0.254172284356573</v>
      </c>
      <c r="AW805" s="153" t="n">
        <f aca="false">IFERROR(IF($N805="VCA",INDEX(APOIO_REDES!$A:$W,MATCH($C805&amp;$I805&amp;$H805&amp;$N805&amp;$O805,APOIO_REDES!$W:$W,0),MATCH(AW$5,APOIO_REDES!$5:$5,0)),0)*$AP805,0)</f>
        <v>145.092053370147</v>
      </c>
      <c r="AX805" s="153" t="n">
        <f aca="false">IFERROR(IF($N805="VCA",INDEX(APOIO_REDES!$A:$W,MATCH($C805&amp;$I805&amp;$H805&amp;$N805&amp;$O805,APOIO_REDES!$W:$W,0),MATCH(AX$5,APOIO_REDES!$5:$5,0)),0)*$AP805,0)</f>
        <v>20.0803268838909</v>
      </c>
      <c r="AY805" s="153" t="n">
        <f aca="false">IFERROR(IF($N805="VCA",INDEX(APOIO_REDES!$A:$W,MATCH($C805&amp;$I805&amp;$H805&amp;$N805&amp;$O805,APOIO_REDES!$W:$W,0),MATCH(AY$5,APOIO_REDES!$5:$5,0)),0)*$AP805,0)</f>
        <v>36.73216002568</v>
      </c>
      <c r="AZ805" s="153" t="n">
        <f aca="false">IFERROR(IF($N805="VCA",INDEX(APOIO_REDES!$A:$W,MATCH($C805&amp;$I805&amp;$H805&amp;$N805&amp;$O805,APOIO_REDES!$W:$W,0),MATCH(AZ$5,APOIO_REDES!$5:$5,0)),0)*$AP805,0)</f>
        <v>5.08362479206187</v>
      </c>
      <c r="BA805" s="153" t="n">
        <f aca="false">IFERROR(IF(AND($N805="VCA",$Q805="LINEAR"),INDEX(APOIO_REDES!$A:$W,MATCH($C805&amp;$I805&amp;$H805&amp;$N805&amp;$O805,APOIO_REDES!$W:$W,0),MATCH(BA$5,APOIO_REDES!$5:$5,0)),IF(AND($N805="MND",$Q805="EMBOQUE"),INDEX(APOIO_REDES!$A:$W,MATCH($C805&amp;$I805&amp;$H805&amp;$N805&amp;$O805,APOIO_REDES!$W:$W,0),MATCH(BA$5,APOIO_REDES!$5:$5,0)),0))*$M805/10,0)</f>
        <v>19.2297521757598</v>
      </c>
      <c r="BB805" s="153" t="n">
        <f aca="false">IFERROR(IF($N805="VCA",INDEX(APOIO_REDES!$A:$W,MATCH($C805&amp;$I805&amp;$H805&amp;$N805&amp;$O805,APOIO_REDES!$W:$W,0),MATCH(BB$5,APOIO_REDES!$5:$5,0)),0)*($AI805+$AQ805+$AR805),0)</f>
        <v>71.0224154209614</v>
      </c>
      <c r="BC805" s="153" t="n">
        <f aca="false">IFERROR(IF($N805="VCA",INDEX(APOIO_REDES!$A:$W,MATCH($C805&amp;$I805&amp;$H805&amp;$N805&amp;$O805,APOIO_REDES!$W:$W,0),MATCH(BC$5,APOIO_REDES!$5:$5,0)),0)*($AI805+$AQ805+$AR805),0)</f>
        <v>0.781245079038661</v>
      </c>
      <c r="BD805" s="153" t="n">
        <f aca="false">IF(AND($N805="VCA",$AF805&gt;=1.25,$AF805&lt;1.5),$M805*$AF805*2,0)</f>
        <v>650.39634</v>
      </c>
      <c r="BE805" s="153" t="n">
        <f aca="false">IF(AND($N805="VCA",$AF805&gt;=1.5,$AF805&lt;3),$M805*$AF805*2,0)</f>
        <v>0</v>
      </c>
      <c r="BF805" s="153" t="n">
        <f aca="false">IF(AND($N805="VCA",$AF805&gt;=3),$M805*$AF805*2,0)</f>
        <v>0</v>
      </c>
      <c r="BG805" s="153" t="n">
        <f aca="false">($BB805+$BC805)*$AK805</f>
        <v>258.4931778</v>
      </c>
      <c r="BH805" s="153" t="n">
        <f aca="false">IF(AND($M805&lt;&gt;"",$N805="VCA",$Q805="LINEAR"),($M805*2)/100,IF(AND($M805&lt;&gt;"",$N805="MND",$Q805="EMBOQUE"),($AN805*2)/100,0))</f>
        <v>4.7718</v>
      </c>
      <c r="BI805" s="153" t="n">
        <f aca="false">IF(AND($M805&lt;&gt;"",$N805="VCA",$Q805="LINEAR"),$M805,IF(AND($M805&lt;&gt;"",$N805="MND",$Q805="EMBOQUE"),$AN805*2,0))</f>
        <v>238.59</v>
      </c>
      <c r="BJ805" s="153" t="n">
        <f aca="false">IF(AND($M805&lt;&gt;"",$N805="VCA",$Q805="LINEAR"),($M805*6.8)/100,IF(AND($M805&lt;&gt;"",$N805="MND",$Q805="EMBOQUE"),($AN805*2*6.8)/100,0))</f>
        <v>16.22412</v>
      </c>
      <c r="BK805" s="153" t="n">
        <f aca="false">IF(AND($M805&lt;&gt;"",$N805="VCA",$Q805="LINEAR"),($M805*2.5)/50,IF(AND($M805&lt;&gt;"",$N805="MND",$Q805="EMBOQUE"),($AN805*2*2.5)/50,0))</f>
        <v>11.9295</v>
      </c>
      <c r="BL805" s="157" t="str">
        <f aca="false">K805&amp;J805</f>
        <v>Zona07REDES</v>
      </c>
      <c r="BM805" s="152" t="s">
        <v>4225</v>
      </c>
      <c r="BN805" s="152" t="s">
        <v>1560</v>
      </c>
      <c r="BO805" s="152" t="s">
        <v>4218</v>
      </c>
      <c r="BP805" s="152" t="s">
        <v>4603</v>
      </c>
      <c r="BQ805" s="152" t="s">
        <v>4536</v>
      </c>
      <c r="BR805" s="152" t="s">
        <v>4604</v>
      </c>
      <c r="BS805" s="152" t="n">
        <v>203978.152</v>
      </c>
      <c r="BT805" s="152" t="n">
        <v>8236464</v>
      </c>
      <c r="BU805" s="152" t="n">
        <v>203821.782</v>
      </c>
      <c r="BV805" s="152" t="n">
        <v>8236644.109</v>
      </c>
      <c r="BW805" s="152" t="n">
        <v>-15.9326183</v>
      </c>
      <c r="BX805" s="152" t="n">
        <v>-47.7656522</v>
      </c>
      <c r="BY805" s="152" t="s">
        <v>4603</v>
      </c>
    </row>
    <row r="806" customFormat="false" ht="13.8" hidden="false" customHeight="false" outlineLevel="0" collapsed="false">
      <c r="A806" s="149" t="n">
        <f aca="false">IF(C806&lt;&gt;"",ROW(A801),"")</f>
        <v>801</v>
      </c>
      <c r="B806" s="150" t="str">
        <f aca="false">HYPERLINK("https://www.google.com/maps/dir/-15.917302,-47.760003/-15.9331374,-47.7646240/data=!4m3!4m2!3e0!5i1")</f>
        <v>https://www.google.com/maps/dir/-15.917302,-47.760003/-15.9331374,-47.7646240/data=!4m3!4m2!3e0!5i1</v>
      </c>
      <c r="C806" s="151" t="s">
        <v>117</v>
      </c>
      <c r="D806" s="152" t="s">
        <v>112</v>
      </c>
      <c r="E806" s="152" t="s">
        <v>113</v>
      </c>
      <c r="F806" s="152" t="s">
        <v>117</v>
      </c>
      <c r="G806" s="152" t="s">
        <v>114</v>
      </c>
      <c r="H806" s="152" t="n">
        <v>160</v>
      </c>
      <c r="I806" s="152" t="s">
        <v>115</v>
      </c>
      <c r="J806" s="152" t="s">
        <v>6</v>
      </c>
      <c r="K806" s="152" t="s">
        <v>4221</v>
      </c>
      <c r="L806" s="152" t="s">
        <v>120</v>
      </c>
      <c r="M806" s="153" t="n">
        <f aca="false">132.2</f>
        <v>132.2</v>
      </c>
      <c r="N806" s="152" t="s">
        <v>1548</v>
      </c>
      <c r="O806" s="152" t="s">
        <v>1549</v>
      </c>
      <c r="P806" s="152" t="s">
        <v>1550</v>
      </c>
      <c r="Q806" s="152" t="s">
        <v>1551</v>
      </c>
      <c r="R806" s="154" t="s">
        <v>4605</v>
      </c>
      <c r="S806" s="154" t="s">
        <v>1593</v>
      </c>
      <c r="T806" s="155" t="s">
        <v>4216</v>
      </c>
      <c r="U806" s="152" t="str">
        <f aca="false">RIGHT(T806,7)</f>
        <v>019/037</v>
      </c>
      <c r="V806" s="152" t="s">
        <v>1555</v>
      </c>
      <c r="W806" s="156" t="n">
        <v>45882</v>
      </c>
      <c r="X806" s="152" t="s">
        <v>3938</v>
      </c>
      <c r="Y806" s="152" t="s">
        <v>4015</v>
      </c>
      <c r="Z806" s="152" t="s">
        <v>1557</v>
      </c>
      <c r="AA806" s="153" t="n">
        <v>3.6</v>
      </c>
      <c r="AB806" s="151" t="s">
        <v>4606</v>
      </c>
      <c r="AC806" s="151" t="s">
        <v>505</v>
      </c>
      <c r="AD806" s="151" t="str">
        <f aca="false">CONCATENATE($C806,$I806,$H806,$N806,$J806,$K806)</f>
        <v>TUBO PEADPEAD160VCAREDESZona07</v>
      </c>
      <c r="AE806" s="153" t="n">
        <f aca="false">IFERROR(INDEX(APOIO_REDES!$A:$W,MATCH($C806&amp;$I806&amp;$H806&amp;$N806&amp;$O806,APOIO_REDES!$W:$W,0),MATCH(AE$5,APOIO_REDES!$5:$5,0)),0)</f>
        <v>1.2</v>
      </c>
      <c r="AF806" s="153" t="n">
        <f aca="false">IFERROR(INDEX(APOIO_REDES!$A:$W,MATCH($C806&amp;$I806&amp;$H806&amp;$N806&amp;$O806,APOIO_REDES!$W:$W,0),MATCH(AF$5,APOIO_REDES!$5:$5,0)),0)</f>
        <v>1.46</v>
      </c>
      <c r="AG806" s="153" t="n">
        <f aca="false">IFERROR(INDEX(APOIO_REDES!$A:$W,MATCH($C806&amp;$I806&amp;$H806&amp;$N806&amp;$O806,APOIO_REDES!$W:$W,0),MATCH(AG$5,APOIO_REDES!$5:$5,0)),0)</f>
        <v>0.75</v>
      </c>
      <c r="AH806" s="153" t="n">
        <f aca="false">IFERROR(INDEX(APOIO_REDES!$A:$W,MATCH($C806&amp;$I806&amp;$H806&amp;$N806&amp;$O806,APOIO_REDES!$W:$W,0),MATCH(AH$5,APOIO_REDES!$5:$5,0)),0)</f>
        <v>0.1</v>
      </c>
      <c r="AI806" s="153" t="n">
        <f aca="false">IFERROR(IF($H806&lt;&gt;"",(((($H806/1000)/2)^2)*PI()*$M806),0),0)</f>
        <v>2.65803871234925</v>
      </c>
      <c r="AJ806" s="153" t="n">
        <f aca="false">IFERROR(IF(AND($H806&lt;&gt;"",$I806="FoFo",OR($N806="MND",$N806="VCA"),$Q806="LINEAR"),0,IF(AND($H806&lt;&gt;"",$I806="PEAD",$N806="VCA",$Q806="LINEAR"),($H806/1000)+0.3,IF(AND($H806&lt;&gt;"",$I806="PEAD",$N806="MND",$Q806="EMBOQUE"),0,IF(AND($H806&lt;&gt;"",$I806="PVC",$N806="VCA",$Q806="LINEAR"),($H806/1000)+0.2,IF(AND($H806&lt;&gt;"",$I806="PVC",$N806="MND",$Q806="EMBOQUE"),0,IF(AND($H806&lt;&gt;"",$I806="PEAD",$N806="VCA",$Q806="PREDIAL"),0,0)))))),0)</f>
        <v>0.46</v>
      </c>
      <c r="AK806" s="153" t="n">
        <f aca="false">IF(AA806&lt;&gt;"",AA806,0)</f>
        <v>3.6</v>
      </c>
      <c r="AL806" s="153" t="n">
        <f aca="false">IF(AND($N806="MND",$Q806="EMBOQUE"),$M806,IF(AND($N806="VCA",$Q806="LINEAR"),$M806,IF(AND($N806="VCA",$Q806="PREDIAL"),0,0)))</f>
        <v>132.2</v>
      </c>
      <c r="AM806" s="153" t="n">
        <f aca="false">IF(AND($N806="MND",$Q806="EMBOQUE"),$M806,IF(AND($N806="VCA",$Q806="LINEAR"),$M806,IF(AND($N806="VCA",$Q806="PREDIAL"),0,0)))</f>
        <v>132.2</v>
      </c>
      <c r="AN806" s="153" t="n">
        <f aca="false">ROUND(IF(AND($N806="VCA",$M806&lt;&gt;"",$Q806="LINEAR"),$M806/100,IF(AND($N806="MND",$M806&gt;100,$Q806="EMBOQUE"),$M806/100,0)),0)</f>
        <v>1</v>
      </c>
      <c r="AO806" s="153" t="n">
        <f aca="false">IF(AND($N806="MND",$Q806="EMBOQUE"),$AN806*2*2,IF(AND($N806="VCA",$Q806="LINEAR"),$M806*2,IF(AND($N806="VCA",$Q806="PREDIAL"),0,0)))</f>
        <v>264.4</v>
      </c>
      <c r="AP806" s="153" t="n">
        <f aca="false">IFERROR($M806*$AF806*$AG806,0)</f>
        <v>144.759</v>
      </c>
      <c r="AQ806" s="153" t="n">
        <f aca="false">IFERROR(IF(AND($N806="VCA",$AH806&gt;0),$M806*$AG806*$AH806,0),0)</f>
        <v>9.915</v>
      </c>
      <c r="AR806" s="153" t="n">
        <f aca="false">IFERROR(IF(AND($N806="VCA",$AJ806&gt;0),($M806*$AG806*$AJ806)-$AI806,0),0)</f>
        <v>42.9509612876507</v>
      </c>
      <c r="AS806" s="153" t="n">
        <f aca="false">IFERROR(IF(AND($N806="VCA",$AP806&gt;0),$AP806-$AI806-$AQ806-$AR806,0),0)</f>
        <v>89.235</v>
      </c>
      <c r="AT806" s="153" t="n">
        <f aca="false">IFERROR(IF($N806="VCA",INDEX(APOIO_REDES!$A:$W,MATCH($C806&amp;$I806&amp;$H806&amp;$N806&amp;$O806,APOIO_REDES!$W:$W,0),MATCH(AT$5,APOIO_REDES!$5:$5,0)),0)*$AP806,0)</f>
        <v>1.57502076647691</v>
      </c>
      <c r="AU806" s="153" t="n">
        <f aca="false">IFERROR(IF($N806="VCA",INDEX(APOIO_REDES!$A:$W,MATCH($C806&amp;$I806&amp;$H806&amp;$N806&amp;$O806,APOIO_REDES!$W:$W,0),MATCH(AU$5,APOIO_REDES!$5:$5,0)),0)*$AP806,0)</f>
        <v>1.25776892713632</v>
      </c>
      <c r="AV806" s="153" t="n">
        <f aca="false">IFERROR(IF($N806="VCA",INDEX(APOIO_REDES!$A:$W,MATCH($C806&amp;$I806&amp;$H806&amp;$N806&amp;$O806,APOIO_REDES!$W:$W,0),MATCH(AV$5,APOIO_REDES!$5:$5,0)),0)*$AP806,0)</f>
        <v>0.174065345642453</v>
      </c>
      <c r="AW806" s="153" t="n">
        <f aca="false">IFERROR(IF($N806="VCA",INDEX(APOIO_REDES!$A:$W,MATCH($C806&amp;$I806&amp;$H806&amp;$N806&amp;$O806,APOIO_REDES!$W:$W,0),MATCH(AW$5,APOIO_REDES!$5:$5,0)),0)*$AP806,0)</f>
        <v>99.3636992474657</v>
      </c>
      <c r="AX806" s="153" t="n">
        <f aca="false">IFERROR(IF($N806="VCA",INDEX(APOIO_REDES!$A:$W,MATCH($C806&amp;$I806&amp;$H806&amp;$N806&amp;$O806,APOIO_REDES!$W:$W,0),MATCH(AX$5,APOIO_REDES!$5:$5,0)),0)*$AP806,0)</f>
        <v>13.7516529329943</v>
      </c>
      <c r="AY806" s="153" t="n">
        <f aca="false">IFERROR(IF($N806="VCA",INDEX(APOIO_REDES!$A:$W,MATCH($C806&amp;$I806&amp;$H806&amp;$N806&amp;$O806,APOIO_REDES!$W:$W,0),MATCH(AY$5,APOIO_REDES!$5:$5,0)),0)*$AP806,0)</f>
        <v>25.1553632106252</v>
      </c>
      <c r="AZ806" s="153" t="n">
        <f aca="false">IFERROR(IF($N806="VCA",INDEX(APOIO_REDES!$A:$W,MATCH($C806&amp;$I806&amp;$H806&amp;$N806&amp;$O806,APOIO_REDES!$W:$W,0),MATCH(AZ$5,APOIO_REDES!$5:$5,0)),0)*$AP806,0)</f>
        <v>3.48142956965918</v>
      </c>
      <c r="BA806" s="153" t="n">
        <f aca="false">IFERROR(IF(AND($N806="VCA",$Q806="LINEAR"),INDEX(APOIO_REDES!$A:$W,MATCH($C806&amp;$I806&amp;$H806&amp;$N806&amp;$O806,APOIO_REDES!$W:$W,0),MATCH(BA$5,APOIO_REDES!$5:$5,0)),IF(AND($N806="MND",$Q806="EMBOQUE"),INDEX(APOIO_REDES!$A:$W,MATCH($C806&amp;$I806&amp;$H806&amp;$N806&amp;$O806,APOIO_REDES!$W:$W,0),MATCH(BA$5,APOIO_REDES!$5:$5,0)),0))*$M806/10,0)</f>
        <v>10.654986536047</v>
      </c>
      <c r="BB806" s="153" t="n">
        <f aca="false">IFERROR(IF($N806="VCA",INDEX(APOIO_REDES!$A:$W,MATCH($C806&amp;$I806&amp;$H806&amp;$N806&amp;$O806,APOIO_REDES!$W:$W,0),MATCH(BB$5,APOIO_REDES!$5:$5,0)),0)*($AI806+$AQ806+$AR806),0)</f>
        <v>54.9198824457349</v>
      </c>
      <c r="BC806" s="153" t="n">
        <f aca="false">IFERROR(IF($N806="VCA",INDEX(APOIO_REDES!$A:$W,MATCH($C806&amp;$I806&amp;$H806&amp;$N806&amp;$O806,APOIO_REDES!$W:$W,0),MATCH(BC$5,APOIO_REDES!$5:$5,0)),0)*($AI806+$AQ806+$AR806),0)</f>
        <v>0.604117554265115</v>
      </c>
      <c r="BD806" s="153" t="n">
        <f aca="false">IF(AND($N806="VCA",$AF806&gt;=1.25,$AF806&lt;1.5),$M806*$AF806*2,0)</f>
        <v>386.024</v>
      </c>
      <c r="BE806" s="153" t="n">
        <f aca="false">IF(AND($N806="VCA",$AF806&gt;=1.5,$AF806&lt;3),$M806*$AF806*2,0)</f>
        <v>0</v>
      </c>
      <c r="BF806" s="153" t="n">
        <f aca="false">IF(AND($N806="VCA",$AF806&gt;=3),$M806*$AF806*2,0)</f>
        <v>0</v>
      </c>
      <c r="BG806" s="153" t="n">
        <f aca="false">($BB806+$BC806)*$AK806</f>
        <v>199.8864</v>
      </c>
      <c r="BH806" s="153" t="n">
        <f aca="false">IF(AND($M806&lt;&gt;"",$N806="VCA",$Q806="LINEAR"),($M806*2)/100,IF(AND($M806&lt;&gt;"",$N806="MND",$Q806="EMBOQUE"),($AN806*2)/100,0))</f>
        <v>2.644</v>
      </c>
      <c r="BI806" s="153" t="n">
        <f aca="false">IF(AND($M806&lt;&gt;"",$N806="VCA",$Q806="LINEAR"),$M806,IF(AND($M806&lt;&gt;"",$N806="MND",$Q806="EMBOQUE"),$AN806*2,0))</f>
        <v>132.2</v>
      </c>
      <c r="BJ806" s="153" t="n">
        <f aca="false">IF(AND($M806&lt;&gt;"",$N806="VCA",$Q806="LINEAR"),($M806*6.8)/100,IF(AND($M806&lt;&gt;"",$N806="MND",$Q806="EMBOQUE"),($AN806*2*6.8)/100,0))</f>
        <v>8.9896</v>
      </c>
      <c r="BK806" s="153" t="n">
        <f aca="false">IF(AND($M806&lt;&gt;"",$N806="VCA",$Q806="LINEAR"),($M806*2.5)/50,IF(AND($M806&lt;&gt;"",$N806="MND",$Q806="EMBOQUE"),($AN806*2*2.5)/50,0))</f>
        <v>6.61</v>
      </c>
      <c r="BL806" s="157" t="str">
        <f aca="false">K806&amp;J806</f>
        <v>Zona07REDES</v>
      </c>
      <c r="BM806" s="152" t="s">
        <v>4225</v>
      </c>
      <c r="BN806" s="152" t="s">
        <v>1560</v>
      </c>
      <c r="BO806" s="152" t="s">
        <v>4218</v>
      </c>
      <c r="BP806" s="152" t="s">
        <v>4595</v>
      </c>
      <c r="BQ806" s="152" t="s">
        <v>4573</v>
      </c>
      <c r="BR806" s="152" t="s">
        <v>4607</v>
      </c>
      <c r="BS806" s="152" t="n">
        <v>204012.15</v>
      </c>
      <c r="BT806" s="152" t="n">
        <v>8236499.168</v>
      </c>
      <c r="BU806" s="152" t="n">
        <v>204103.026</v>
      </c>
      <c r="BV806" s="152" t="n">
        <v>8236595.144</v>
      </c>
      <c r="BW806" s="152" t="n">
        <v>-15.9327104</v>
      </c>
      <c r="BX806" s="152" t="n">
        <v>-47.7641932</v>
      </c>
      <c r="BY806" s="152" t="s">
        <v>4595</v>
      </c>
    </row>
    <row r="807" customFormat="false" ht="13.8" hidden="false" customHeight="false" outlineLevel="0" collapsed="false">
      <c r="A807" s="149" t="n">
        <f aca="false">IF(C807&lt;&gt;"",ROW(A802),"")</f>
        <v>802</v>
      </c>
      <c r="B807" s="150" t="str">
        <f aca="false">HYPERLINK("https://www.google.com/maps/dir/-15.917302,-47.760003/-15.9329285,-47.7642971/data=!4m3!4m2!3e0!5i2")</f>
        <v>https://www.google.com/maps/dir/-15.917302,-47.760003/-15.9329285,-47.7642971/data=!4m3!4m2!3e0!5i2</v>
      </c>
      <c r="C807" s="151" t="s">
        <v>117</v>
      </c>
      <c r="D807" s="152" t="s">
        <v>112</v>
      </c>
      <c r="E807" s="152" t="s">
        <v>113</v>
      </c>
      <c r="F807" s="152" t="s">
        <v>117</v>
      </c>
      <c r="G807" s="152" t="s">
        <v>782</v>
      </c>
      <c r="H807" s="152" t="n">
        <v>63</v>
      </c>
      <c r="I807" s="152" t="s">
        <v>115</v>
      </c>
      <c r="J807" s="152" t="s">
        <v>6</v>
      </c>
      <c r="K807" s="152" t="s">
        <v>4221</v>
      </c>
      <c r="L807" s="152" t="s">
        <v>120</v>
      </c>
      <c r="M807" s="153" t="n">
        <f aca="false">62.93</f>
        <v>62.93</v>
      </c>
      <c r="N807" s="152" t="s">
        <v>1548</v>
      </c>
      <c r="O807" s="152" t="s">
        <v>1549</v>
      </c>
      <c r="P807" s="152" t="s">
        <v>1550</v>
      </c>
      <c r="Q807" s="152" t="s">
        <v>1551</v>
      </c>
      <c r="R807" s="154" t="s">
        <v>4608</v>
      </c>
      <c r="S807" s="154" t="s">
        <v>1553</v>
      </c>
      <c r="T807" s="155" t="s">
        <v>4216</v>
      </c>
      <c r="U807" s="152" t="str">
        <f aca="false">RIGHT(T807,7)</f>
        <v>019/037</v>
      </c>
      <c r="V807" s="152" t="s">
        <v>1555</v>
      </c>
      <c r="W807" s="156" t="n">
        <v>45882</v>
      </c>
      <c r="X807" s="152" t="s">
        <v>3938</v>
      </c>
      <c r="Y807" s="152" t="s">
        <v>2524</v>
      </c>
      <c r="Z807" s="152" t="s">
        <v>1557</v>
      </c>
      <c r="AA807" s="153" t="n">
        <v>3.6</v>
      </c>
      <c r="AB807" s="151" t="s">
        <v>4609</v>
      </c>
      <c r="AC807" s="151" t="s">
        <v>186</v>
      </c>
      <c r="AD807" s="151" t="str">
        <f aca="false">CONCATENATE($C807,$I807,$H807,$N807,$J807,$K807)</f>
        <v>TUBO PEADPEAD63VCAREDESZona07</v>
      </c>
      <c r="AE807" s="153" t="n">
        <f aca="false">IFERROR(INDEX(APOIO_REDES!$A:$W,MATCH($C807&amp;$I807&amp;$H807&amp;$N807&amp;$O807,APOIO_REDES!$W:$W,0),MATCH(AE$5,APOIO_REDES!$5:$5,0)),0)</f>
        <v>1.2</v>
      </c>
      <c r="AF807" s="153" t="n">
        <f aca="false">IFERROR(INDEX(APOIO_REDES!$A:$W,MATCH($C807&amp;$I807&amp;$H807&amp;$N807&amp;$O807,APOIO_REDES!$W:$W,0),MATCH(AF$5,APOIO_REDES!$5:$5,0)),0)</f>
        <v>1.363</v>
      </c>
      <c r="AG807" s="153" t="n">
        <f aca="false">IFERROR(INDEX(APOIO_REDES!$A:$W,MATCH($C807&amp;$I807&amp;$H807&amp;$N807&amp;$O807,APOIO_REDES!$W:$W,0),MATCH(AG$5,APOIO_REDES!$5:$5,0)),0)</f>
        <v>0.65</v>
      </c>
      <c r="AH807" s="153" t="n">
        <f aca="false">IFERROR(INDEX(APOIO_REDES!$A:$W,MATCH($C807&amp;$I807&amp;$H807&amp;$N807&amp;$O807,APOIO_REDES!$W:$W,0),MATCH(AH$5,APOIO_REDES!$5:$5,0)),0)</f>
        <v>0.1</v>
      </c>
      <c r="AI807" s="153" t="n">
        <f aca="false">IFERROR(IF($H807&lt;&gt;"",(((($H807/1000)/2)^2)*PI()*$M807),0),0)</f>
        <v>0.196168247391305</v>
      </c>
      <c r="AJ807" s="153" t="n">
        <f aca="false">IFERROR(IF(AND($H807&lt;&gt;"",$I807="FoFo",OR($N807="MND",$N807="VCA"),$Q807="LINEAR"),0,IF(AND($H807&lt;&gt;"",$I807="PEAD",$N807="VCA",$Q807="LINEAR"),($H807/1000)+0.3,IF(AND($H807&lt;&gt;"",$I807="PEAD",$N807="MND",$Q807="EMBOQUE"),0,IF(AND($H807&lt;&gt;"",$I807="PVC",$N807="VCA",$Q807="LINEAR"),($H807/1000)+0.2,IF(AND($H807&lt;&gt;"",$I807="PVC",$N807="MND",$Q807="EMBOQUE"),0,IF(AND($H807&lt;&gt;"",$I807="PEAD",$N807="VCA",$Q807="PREDIAL"),0,0)))))),0)</f>
        <v>0.363</v>
      </c>
      <c r="AK807" s="153" t="n">
        <f aca="false">IF(AA807&lt;&gt;"",AA807,0)</f>
        <v>3.6</v>
      </c>
      <c r="AL807" s="153" t="n">
        <f aca="false">IF(AND($N807="MND",$Q807="EMBOQUE"),$M807,IF(AND($N807="VCA",$Q807="LINEAR"),$M807,IF(AND($N807="VCA",$Q807="PREDIAL"),0,0)))</f>
        <v>62.93</v>
      </c>
      <c r="AM807" s="153" t="n">
        <f aca="false">IF(AND($N807="MND",$Q807="EMBOQUE"),$M807,IF(AND($N807="VCA",$Q807="LINEAR"),$M807,IF(AND($N807="VCA",$Q807="PREDIAL"),0,0)))</f>
        <v>62.93</v>
      </c>
      <c r="AN807" s="153" t="n">
        <f aca="false">ROUND(IF(AND($N807="VCA",$M807&lt;&gt;"",$Q807="LINEAR"),$M807/100,IF(AND($N807="MND",$M807&gt;100,$Q807="EMBOQUE"),$M807/100,0)),0)</f>
        <v>1</v>
      </c>
      <c r="AO807" s="153" t="n">
        <f aca="false">IF(AND($N807="MND",$Q807="EMBOQUE"),$AN807*2*2,IF(AND($N807="VCA",$Q807="LINEAR"),$M807*2,IF(AND($N807="VCA",$Q807="PREDIAL"),0,0)))</f>
        <v>125.86</v>
      </c>
      <c r="AP807" s="153" t="n">
        <f aca="false">IFERROR($M807*$AF807*$AG807,0)</f>
        <v>55.7528335</v>
      </c>
      <c r="AQ807" s="153" t="n">
        <f aca="false">IFERROR(IF(AND($N807="VCA",$AH807&gt;0),$M807*$AG807*$AH807,0),0)</f>
        <v>4.09045</v>
      </c>
      <c r="AR807" s="153" t="n">
        <f aca="false">IFERROR(IF(AND($N807="VCA",$AJ807&gt;0),($M807*$AG807*$AJ807)-$AI807,0),0)</f>
        <v>14.6521652526087</v>
      </c>
      <c r="AS807" s="153" t="n">
        <f aca="false">IFERROR(IF(AND($N807="VCA",$AP807&gt;0),$AP807-$AI807-$AQ807-$AR807,0),0)</f>
        <v>36.81405</v>
      </c>
      <c r="AT807" s="153" t="n">
        <f aca="false">IFERROR(IF($N807="VCA",INDEX(APOIO_REDES!$A:$W,MATCH($C807&amp;$I807&amp;$H807&amp;$N807&amp;$O807,APOIO_REDES!$W:$W,0),MATCH(AT$5,APOIO_REDES!$5:$5,0)),0)*$AP807,0)</f>
        <v>0.606607330476374</v>
      </c>
      <c r="AU807" s="153" t="n">
        <f aca="false">IFERROR(IF($N807="VCA",INDEX(APOIO_REDES!$A:$W,MATCH($C807&amp;$I807&amp;$H807&amp;$N807&amp;$O807,APOIO_REDES!$W:$W,0),MATCH(AU$5,APOIO_REDES!$5:$5,0)),0)*$AP807,0)</f>
        <v>0.484420185108387</v>
      </c>
      <c r="AV807" s="153" t="n">
        <f aca="false">IFERROR(IF($N807="VCA",INDEX(APOIO_REDES!$A:$W,MATCH($C807&amp;$I807&amp;$H807&amp;$N807&amp;$O807,APOIO_REDES!$W:$W,0),MATCH(AV$5,APOIO_REDES!$5:$5,0)),0)*$AP807,0)</f>
        <v>0.0670399507714454</v>
      </c>
      <c r="AW807" s="153" t="n">
        <f aca="false">IFERROR(IF($N807="VCA",INDEX(APOIO_REDES!$A:$W,MATCH($C807&amp;$I807&amp;$H807&amp;$N807&amp;$O807,APOIO_REDES!$W:$W,0),MATCH(AW$5,APOIO_REDES!$5:$5,0)),0)*$AP807,0)</f>
        <v>38.2691769084342</v>
      </c>
      <c r="AX807" s="153" t="n">
        <f aca="false">IFERROR(IF($N807="VCA",INDEX(APOIO_REDES!$A:$W,MATCH($C807&amp;$I807&amp;$H807&amp;$N807&amp;$O807,APOIO_REDES!$W:$W,0),MATCH(AX$5,APOIO_REDES!$5:$5,0)),0)*$AP807,0)</f>
        <v>5.2963450723134</v>
      </c>
      <c r="AY807" s="153" t="n">
        <f aca="false">IFERROR(IF($N807="VCA",INDEX(APOIO_REDES!$A:$W,MATCH($C807&amp;$I807&amp;$H807&amp;$N807&amp;$O807,APOIO_REDES!$W:$W,0),MATCH(AY$5,APOIO_REDES!$5:$5,0)),0)*$AP807,0)</f>
        <v>9.68839779712496</v>
      </c>
      <c r="AZ807" s="153" t="n">
        <f aca="false">IFERROR(IF($N807="VCA",INDEX(APOIO_REDES!$A:$W,MATCH($C807&amp;$I807&amp;$H807&amp;$N807&amp;$O807,APOIO_REDES!$W:$W,0),MATCH(AZ$5,APOIO_REDES!$5:$5,0)),0)*$AP807,0)</f>
        <v>1.34084625577121</v>
      </c>
      <c r="BA807" s="153" t="n">
        <f aca="false">IFERROR(IF(AND($N807="VCA",$Q807="LINEAR"),INDEX(APOIO_REDES!$A:$W,MATCH($C807&amp;$I807&amp;$H807&amp;$N807&amp;$O807,APOIO_REDES!$W:$W,0),MATCH(BA$5,APOIO_REDES!$5:$5,0)),IF(AND($N807="MND",$Q807="EMBOQUE"),INDEX(APOIO_REDES!$A:$W,MATCH($C807&amp;$I807&amp;$H807&amp;$N807&amp;$O807,APOIO_REDES!$W:$W,0),MATCH(BA$5,APOIO_REDES!$5:$5,0)),0))*$M807/10,0)</f>
        <v>5.07199926409557</v>
      </c>
      <c r="BB807" s="153" t="n">
        <f aca="false">IFERROR(IF($N807="VCA",INDEX(APOIO_REDES!$A:$W,MATCH($C807&amp;$I807&amp;$H807&amp;$N807&amp;$O807,APOIO_REDES!$W:$W,0),MATCH(BB$5,APOIO_REDES!$5:$5,0)),0)*($AI807+$AQ807+$AR807),0)</f>
        <v>18.7327239299262</v>
      </c>
      <c r="BC807" s="153" t="n">
        <f aca="false">IFERROR(IF($N807="VCA",INDEX(APOIO_REDES!$A:$W,MATCH($C807&amp;$I807&amp;$H807&amp;$N807&amp;$O807,APOIO_REDES!$W:$W,0),MATCH(BC$5,APOIO_REDES!$5:$5,0)),0)*($AI807+$AQ807+$AR807),0)</f>
        <v>0.206059570073779</v>
      </c>
      <c r="BD807" s="153" t="n">
        <f aca="false">IF(AND($N807="VCA",$AF807&gt;=1.25,$AF807&lt;1.5),$M807*$AF807*2,0)</f>
        <v>171.54718</v>
      </c>
      <c r="BE807" s="153" t="n">
        <f aca="false">IF(AND($N807="VCA",$AF807&gt;=1.5,$AF807&lt;3),$M807*$AF807*2,0)</f>
        <v>0</v>
      </c>
      <c r="BF807" s="153" t="n">
        <f aca="false">IF(AND($N807="VCA",$AF807&gt;=3),$M807*$AF807*2,0)</f>
        <v>0</v>
      </c>
      <c r="BG807" s="153" t="n">
        <f aca="false">($BB807+$BC807)*$AK807</f>
        <v>68.1796206</v>
      </c>
      <c r="BH807" s="153" t="n">
        <f aca="false">IF(AND($M807&lt;&gt;"",$N807="VCA",$Q807="LINEAR"),($M807*2)/100,IF(AND($M807&lt;&gt;"",$N807="MND",$Q807="EMBOQUE"),($AN807*2)/100,0))</f>
        <v>1.2586</v>
      </c>
      <c r="BI807" s="153" t="n">
        <f aca="false">IF(AND($M807&lt;&gt;"",$N807="VCA",$Q807="LINEAR"),$M807,IF(AND($M807&lt;&gt;"",$N807="MND",$Q807="EMBOQUE"),$AN807*2,0))</f>
        <v>62.93</v>
      </c>
      <c r="BJ807" s="153" t="n">
        <f aca="false">IF(AND($M807&lt;&gt;"",$N807="VCA",$Q807="LINEAR"),($M807*6.8)/100,IF(AND($M807&lt;&gt;"",$N807="MND",$Q807="EMBOQUE"),($AN807*2*6.8)/100,0))</f>
        <v>4.27924</v>
      </c>
      <c r="BK807" s="153" t="n">
        <f aca="false">IF(AND($M807&lt;&gt;"",$N807="VCA",$Q807="LINEAR"),($M807*2.5)/50,IF(AND($M807&lt;&gt;"",$N807="MND",$Q807="EMBOQUE"),($AN807*2*2.5)/50,0))</f>
        <v>3.1465</v>
      </c>
      <c r="BL807" s="157" t="str">
        <f aca="false">K807&amp;J807</f>
        <v>Zona07REDES</v>
      </c>
      <c r="BM807" s="152" t="s">
        <v>4225</v>
      </c>
      <c r="BN807" s="152" t="s">
        <v>1560</v>
      </c>
      <c r="BO807" s="152" t="s">
        <v>4218</v>
      </c>
      <c r="BP807" s="152" t="s">
        <v>4610</v>
      </c>
      <c r="BQ807" s="152" t="s">
        <v>4587</v>
      </c>
      <c r="BR807" s="152" t="s">
        <v>4611</v>
      </c>
      <c r="BS807" s="152" t="n">
        <v>204046.868</v>
      </c>
      <c r="BT807" s="152" t="n">
        <v>8236522.752</v>
      </c>
      <c r="BU807" s="152" t="n">
        <v>204090.146</v>
      </c>
      <c r="BV807" s="152" t="n">
        <v>8236568.368</v>
      </c>
      <c r="BW807" s="152" t="n">
        <v>-15.9327241</v>
      </c>
      <c r="BX807" s="152" t="n">
        <v>-47.7640938</v>
      </c>
      <c r="BY807" s="152" t="s">
        <v>4610</v>
      </c>
    </row>
    <row r="808" customFormat="false" ht="13.8" hidden="false" customHeight="false" outlineLevel="0" collapsed="false">
      <c r="A808" s="149" t="n">
        <f aca="false">IF(C808&lt;&gt;"",ROW(A803),"")</f>
        <v>803</v>
      </c>
      <c r="B808" s="150" t="str">
        <f aca="false">HYPERLINK("https://www.google.com/maps/dir/-15.917302,-47.760003/-15.9332349,-47.7664376/data=!4m3!4m2!3e0!5i2")</f>
        <v>https://www.google.com/maps/dir/-15.917302,-47.760003/-15.9332349,-47.7664376/data=!4m3!4m2!3e0!5i2</v>
      </c>
      <c r="C808" s="151" t="s">
        <v>117</v>
      </c>
      <c r="D808" s="152" t="s">
        <v>112</v>
      </c>
      <c r="E808" s="152" t="s">
        <v>113</v>
      </c>
      <c r="F808" s="152" t="s">
        <v>117</v>
      </c>
      <c r="G808" s="152" t="s">
        <v>782</v>
      </c>
      <c r="H808" s="152" t="n">
        <v>63</v>
      </c>
      <c r="I808" s="152" t="s">
        <v>115</v>
      </c>
      <c r="J808" s="152" t="s">
        <v>6</v>
      </c>
      <c r="K808" s="152" t="s">
        <v>4221</v>
      </c>
      <c r="L808" s="152" t="s">
        <v>120</v>
      </c>
      <c r="M808" s="153" t="n">
        <f aca="false">147.77+0.21</f>
        <v>147.98</v>
      </c>
      <c r="N808" s="152" t="s">
        <v>1548</v>
      </c>
      <c r="O808" s="152" t="s">
        <v>1549</v>
      </c>
      <c r="P808" s="152" t="s">
        <v>1550</v>
      </c>
      <c r="Q808" s="152" t="s">
        <v>1551</v>
      </c>
      <c r="R808" s="154" t="s">
        <v>4612</v>
      </c>
      <c r="S808" s="154" t="s">
        <v>1553</v>
      </c>
      <c r="T808" s="155" t="s">
        <v>4216</v>
      </c>
      <c r="U808" s="152" t="str">
        <f aca="false">RIGHT(T808,7)</f>
        <v>019/037</v>
      </c>
      <c r="V808" s="152" t="s">
        <v>1555</v>
      </c>
      <c r="W808" s="156" t="n">
        <v>45882</v>
      </c>
      <c r="X808" s="152" t="s">
        <v>1594</v>
      </c>
      <c r="Y808" s="152" t="s">
        <v>4278</v>
      </c>
      <c r="Z808" s="152" t="s">
        <v>1557</v>
      </c>
      <c r="AA808" s="153" t="n">
        <v>4.1</v>
      </c>
      <c r="AB808" s="151" t="s">
        <v>4613</v>
      </c>
      <c r="AC808" s="151" t="s">
        <v>186</v>
      </c>
      <c r="AD808" s="151" t="str">
        <f aca="false">CONCATENATE($C808,$I808,$H808,$N808,$J808,$K808)</f>
        <v>TUBO PEADPEAD63VCAREDESZona07</v>
      </c>
      <c r="AE808" s="153" t="n">
        <f aca="false">IFERROR(INDEX(APOIO_REDES!$A:$W,MATCH($C808&amp;$I808&amp;$H808&amp;$N808&amp;$O808,APOIO_REDES!$W:$W,0),MATCH(AE$5,APOIO_REDES!$5:$5,0)),0)</f>
        <v>1.2</v>
      </c>
      <c r="AF808" s="153" t="n">
        <f aca="false">IFERROR(INDEX(APOIO_REDES!$A:$W,MATCH($C808&amp;$I808&amp;$H808&amp;$N808&amp;$O808,APOIO_REDES!$W:$W,0),MATCH(AF$5,APOIO_REDES!$5:$5,0)),0)</f>
        <v>1.363</v>
      </c>
      <c r="AG808" s="153" t="n">
        <f aca="false">IFERROR(INDEX(APOIO_REDES!$A:$W,MATCH($C808&amp;$I808&amp;$H808&amp;$N808&amp;$O808,APOIO_REDES!$W:$W,0),MATCH(AG$5,APOIO_REDES!$5:$5,0)),0)</f>
        <v>0.65</v>
      </c>
      <c r="AH808" s="153" t="n">
        <f aca="false">IFERROR(INDEX(APOIO_REDES!$A:$W,MATCH($C808&amp;$I808&amp;$H808&amp;$N808&amp;$O808,APOIO_REDES!$W:$W,0),MATCH(AH$5,APOIO_REDES!$5:$5,0)),0)</f>
        <v>0.1</v>
      </c>
      <c r="AI808" s="153" t="n">
        <f aca="false">IFERROR(IF($H808&lt;&gt;"",(((($H808/1000)/2)^2)*PI()*$M808),0),0)</f>
        <v>0.461289961051411</v>
      </c>
      <c r="AJ808" s="153" t="n">
        <f aca="false">IFERROR(IF(AND($H808&lt;&gt;"",$I808="FoFo",OR($N808="MND",$N808="VCA"),$Q808="LINEAR"),0,IF(AND($H808&lt;&gt;"",$I808="PEAD",$N808="VCA",$Q808="LINEAR"),($H808/1000)+0.3,IF(AND($H808&lt;&gt;"",$I808="PEAD",$N808="MND",$Q808="EMBOQUE"),0,IF(AND($H808&lt;&gt;"",$I808="PVC",$N808="VCA",$Q808="LINEAR"),($H808/1000)+0.2,IF(AND($H808&lt;&gt;"",$I808="PVC",$N808="MND",$Q808="EMBOQUE"),0,IF(AND($H808&lt;&gt;"",$I808="PEAD",$N808="VCA",$Q808="PREDIAL"),0,0)))))),0)</f>
        <v>0.363</v>
      </c>
      <c r="AK808" s="153" t="n">
        <f aca="false">IF(AA808&lt;&gt;"",AA808,0)</f>
        <v>4.1</v>
      </c>
      <c r="AL808" s="153" t="n">
        <f aca="false">IF(AND($N808="MND",$Q808="EMBOQUE"),$M808,IF(AND($N808="VCA",$Q808="LINEAR"),$M808,IF(AND($N808="VCA",$Q808="PREDIAL"),0,0)))</f>
        <v>147.98</v>
      </c>
      <c r="AM808" s="153" t="n">
        <f aca="false">IF(AND($N808="MND",$Q808="EMBOQUE"),$M808,IF(AND($N808="VCA",$Q808="LINEAR"),$M808,IF(AND($N808="VCA",$Q808="PREDIAL"),0,0)))</f>
        <v>147.98</v>
      </c>
      <c r="AN808" s="153" t="n">
        <f aca="false">ROUND(IF(AND($N808="VCA",$M808&lt;&gt;"",$Q808="LINEAR"),$M808/100,IF(AND($N808="MND",$M808&gt;100,$Q808="EMBOQUE"),$M808/100,0)),0)</f>
        <v>1</v>
      </c>
      <c r="AO808" s="153" t="n">
        <f aca="false">IF(AND($N808="MND",$Q808="EMBOQUE"),$AN808*2*2,IF(AND($N808="VCA",$Q808="LINEAR"),$M808*2,IF(AND($N808="VCA",$Q808="PREDIAL"),0,0)))</f>
        <v>295.96</v>
      </c>
      <c r="AP808" s="153" t="n">
        <f aca="false">IFERROR($M808*$AF808*$AG808,0)</f>
        <v>131.102881</v>
      </c>
      <c r="AQ808" s="153" t="n">
        <f aca="false">IFERROR(IF(AND($N808="VCA",$AH808&gt;0),$M808*$AG808*$AH808,0),0)</f>
        <v>9.6187</v>
      </c>
      <c r="AR808" s="153" t="n">
        <f aca="false">IFERROR(IF(AND($N808="VCA",$AJ808&gt;0),($M808*$AG808*$AJ808)-$AI808,0),0)</f>
        <v>34.4545910389486</v>
      </c>
      <c r="AS808" s="153" t="n">
        <f aca="false">IFERROR(IF(AND($N808="VCA",$AP808&gt;0),$AP808-$AI808-$AQ808-$AR808,0),0)</f>
        <v>86.5683</v>
      </c>
      <c r="AT808" s="153" t="n">
        <f aca="false">IFERROR(IF($N808="VCA",INDEX(APOIO_REDES!$A:$W,MATCH($C808&amp;$I808&amp;$H808&amp;$N808&amp;$O808,APOIO_REDES!$W:$W,0),MATCH(AT$5,APOIO_REDES!$5:$5,0)),0)*$AP808,0)</f>
        <v>1.42643814975201</v>
      </c>
      <c r="AU808" s="153" t="n">
        <f aca="false">IFERROR(IF($N808="VCA",INDEX(APOIO_REDES!$A:$W,MATCH($C808&amp;$I808&amp;$H808&amp;$N808&amp;$O808,APOIO_REDES!$W:$W,0),MATCH(AU$5,APOIO_REDES!$5:$5,0)),0)*$AP808,0)</f>
        <v>1.13911487354742</v>
      </c>
      <c r="AV808" s="153" t="n">
        <f aca="false">IFERROR(IF($N808="VCA",INDEX(APOIO_REDES!$A:$W,MATCH($C808&amp;$I808&amp;$H808&amp;$N808&amp;$O808,APOIO_REDES!$W:$W,0),MATCH(AV$5,APOIO_REDES!$5:$5,0)),0)*$AP808,0)</f>
        <v>0.157644556096591</v>
      </c>
      <c r="AW808" s="153" t="n">
        <f aca="false">IFERROR(IF($N808="VCA",INDEX(APOIO_REDES!$A:$W,MATCH($C808&amp;$I808&amp;$H808&amp;$N808&amp;$O808,APOIO_REDES!$W:$W,0),MATCH(AW$5,APOIO_REDES!$5:$5,0)),0)*$AP808,0)</f>
        <v>89.9900333530923</v>
      </c>
      <c r="AX808" s="153" t="n">
        <f aca="false">IFERROR(IF($N808="VCA",INDEX(APOIO_REDES!$A:$W,MATCH($C808&amp;$I808&amp;$H808&amp;$N808&amp;$O808,APOIO_REDES!$W:$W,0),MATCH(AX$5,APOIO_REDES!$5:$5,0)),0)*$AP808,0)</f>
        <v>12.4543642746057</v>
      </c>
      <c r="AY808" s="153" t="n">
        <f aca="false">IFERROR(IF($N808="VCA",INDEX(APOIO_REDES!$A:$W,MATCH($C808&amp;$I808&amp;$H808&amp;$N808&amp;$O808,APOIO_REDES!$W:$W,0),MATCH(AY$5,APOIO_REDES!$5:$5,0)),0)*$AP808,0)</f>
        <v>22.7822835852304</v>
      </c>
      <c r="AZ808" s="153" t="n">
        <f aca="false">IFERROR(IF($N808="VCA",INDEX(APOIO_REDES!$A:$W,MATCH($C808&amp;$I808&amp;$H808&amp;$N808&amp;$O808,APOIO_REDES!$W:$W,0),MATCH(AZ$5,APOIO_REDES!$5:$5,0)),0)*$AP808,0)</f>
        <v>3.15300220767557</v>
      </c>
      <c r="BA808" s="153" t="n">
        <f aca="false">IFERROR(IF(AND($N808="VCA",$Q808="LINEAR"),INDEX(APOIO_REDES!$A:$W,MATCH($C808&amp;$I808&amp;$H808&amp;$N808&amp;$O808,APOIO_REDES!$W:$W,0),MATCH(BA$5,APOIO_REDES!$5:$5,0)),IF(AND($N808="MND",$Q808="EMBOQUE"),INDEX(APOIO_REDES!$A:$W,MATCH($C808&amp;$I808&amp;$H808&amp;$N808&amp;$O808,APOIO_REDES!$W:$W,0),MATCH(BA$5,APOIO_REDES!$5:$5,0)),0))*$M808/10,0)</f>
        <v>11.9268147322559</v>
      </c>
      <c r="BB808" s="153" t="n">
        <f aca="false">IFERROR(IF($N808="VCA",INDEX(APOIO_REDES!$A:$W,MATCH($C808&amp;$I808&amp;$H808&amp;$N808&amp;$O808,APOIO_REDES!$W:$W,0),MATCH(BB$5,APOIO_REDES!$5:$5,0)),0)*($AI808+$AQ808+$AR808),0)</f>
        <v>44.0500315771569</v>
      </c>
      <c r="BC808" s="153" t="n">
        <f aca="false">IFERROR(IF($N808="VCA",INDEX(APOIO_REDES!$A:$W,MATCH($C808&amp;$I808&amp;$H808&amp;$N808&amp;$O808,APOIO_REDES!$W:$W,0),MATCH(BC$5,APOIO_REDES!$5:$5,0)),0)*($AI808+$AQ808+$AR808),0)</f>
        <v>0.484549422843125</v>
      </c>
      <c r="BD808" s="153" t="n">
        <f aca="false">IF(AND($N808="VCA",$AF808&gt;=1.25,$AF808&lt;1.5),$M808*$AF808*2,0)</f>
        <v>403.39348</v>
      </c>
      <c r="BE808" s="153" t="n">
        <f aca="false">IF(AND($N808="VCA",$AF808&gt;=1.5,$AF808&lt;3),$M808*$AF808*2,0)</f>
        <v>0</v>
      </c>
      <c r="BF808" s="153" t="n">
        <f aca="false">IF(AND($N808="VCA",$AF808&gt;=3),$M808*$AF808*2,0)</f>
        <v>0</v>
      </c>
      <c r="BG808" s="153" t="n">
        <f aca="false">($BB808+$BC808)*$AK808</f>
        <v>182.5917821</v>
      </c>
      <c r="BH808" s="153" t="n">
        <f aca="false">IF(AND($M808&lt;&gt;"",$N808="VCA",$Q808="LINEAR"),($M808*2)/100,IF(AND($M808&lt;&gt;"",$N808="MND",$Q808="EMBOQUE"),($AN808*2)/100,0))</f>
        <v>2.9596</v>
      </c>
      <c r="BI808" s="153" t="n">
        <f aca="false">IF(AND($M808&lt;&gt;"",$N808="VCA",$Q808="LINEAR"),$M808,IF(AND($M808&lt;&gt;"",$N808="MND",$Q808="EMBOQUE"),$AN808*2,0))</f>
        <v>147.98</v>
      </c>
      <c r="BJ808" s="153" t="n">
        <f aca="false">IF(AND($M808&lt;&gt;"",$N808="VCA",$Q808="LINEAR"),($M808*6.8)/100,IF(AND($M808&lt;&gt;"",$N808="MND",$Q808="EMBOQUE"),($AN808*2*6.8)/100,0))</f>
        <v>10.06264</v>
      </c>
      <c r="BK808" s="153" t="n">
        <f aca="false">IF(AND($M808&lt;&gt;"",$N808="VCA",$Q808="LINEAR"),($M808*2.5)/50,IF(AND($M808&lt;&gt;"",$N808="MND",$Q808="EMBOQUE"),($AN808*2*2.5)/50,0))</f>
        <v>7.399</v>
      </c>
      <c r="BL808" s="157" t="str">
        <f aca="false">K808&amp;J808</f>
        <v>Zona07REDES</v>
      </c>
      <c r="BM808" s="152" t="s">
        <v>4225</v>
      </c>
      <c r="BN808" s="152" t="s">
        <v>1560</v>
      </c>
      <c r="BO808" s="152" t="s">
        <v>4218</v>
      </c>
      <c r="BP808" s="152" t="s">
        <v>4487</v>
      </c>
      <c r="BQ808" s="152" t="s">
        <v>4614</v>
      </c>
      <c r="BR808" s="152" t="s">
        <v>4615</v>
      </c>
      <c r="BS808" s="152" t="n">
        <v>203818.151</v>
      </c>
      <c r="BT808" s="152" t="n">
        <v>8236485.644</v>
      </c>
      <c r="BU808" s="152" t="n">
        <v>203768.091</v>
      </c>
      <c r="BV808" s="152" t="n">
        <v>8236594.284</v>
      </c>
      <c r="BW808" s="152" t="n">
        <v>-15.9327211</v>
      </c>
      <c r="BX808" s="152" t="n">
        <v>-47.766455</v>
      </c>
      <c r="BY808" s="152" t="s">
        <v>4487</v>
      </c>
    </row>
    <row r="809" customFormat="false" ht="13.8" hidden="false" customHeight="false" outlineLevel="0" collapsed="false">
      <c r="A809" s="149" t="n">
        <f aca="false">IF(C809&lt;&gt;"",ROW(A804),"")</f>
        <v>804</v>
      </c>
      <c r="B809" s="150" t="str">
        <f aca="false">HYPERLINK("https://www.google.com/maps/dir/-15.917302,-47.760003/-15.9320422,-47.7667359/data=!4m3!4m2!3e0!5i2")</f>
        <v>https://www.google.com/maps/dir/-15.917302,-47.760003/-15.9320422,-47.7667359/data=!4m3!4m2!3e0!5i2</v>
      </c>
      <c r="C809" s="151" t="s">
        <v>117</v>
      </c>
      <c r="D809" s="152" t="s">
        <v>112</v>
      </c>
      <c r="E809" s="152" t="s">
        <v>113</v>
      </c>
      <c r="F809" s="152" t="s">
        <v>117</v>
      </c>
      <c r="G809" s="152" t="s">
        <v>782</v>
      </c>
      <c r="H809" s="152" t="n">
        <v>63</v>
      </c>
      <c r="I809" s="152" t="s">
        <v>115</v>
      </c>
      <c r="J809" s="152" t="s">
        <v>6</v>
      </c>
      <c r="K809" s="152" t="s">
        <v>4221</v>
      </c>
      <c r="L809" s="152" t="s">
        <v>120</v>
      </c>
      <c r="M809" s="153" t="n">
        <f aca="false">247.39+0.01</f>
        <v>247.4</v>
      </c>
      <c r="N809" s="152" t="s">
        <v>1548</v>
      </c>
      <c r="O809" s="152" t="s">
        <v>1549</v>
      </c>
      <c r="P809" s="152" t="s">
        <v>1550</v>
      </c>
      <c r="Q809" s="152" t="s">
        <v>1551</v>
      </c>
      <c r="R809" s="154" t="s">
        <v>4616</v>
      </c>
      <c r="S809" s="154" t="s">
        <v>1553</v>
      </c>
      <c r="T809" s="155" t="s">
        <v>4216</v>
      </c>
      <c r="U809" s="152" t="str">
        <f aca="false">RIGHT(T809,7)</f>
        <v>019/037</v>
      </c>
      <c r="V809" s="152" t="s">
        <v>1555</v>
      </c>
      <c r="W809" s="156" t="n">
        <v>45882</v>
      </c>
      <c r="X809" s="152" t="s">
        <v>1594</v>
      </c>
      <c r="Y809" s="152" t="s">
        <v>4015</v>
      </c>
      <c r="Z809" s="152" t="s">
        <v>1557</v>
      </c>
      <c r="AA809" s="153" t="n">
        <v>3.9</v>
      </c>
      <c r="AB809" s="151" t="s">
        <v>4617</v>
      </c>
      <c r="AC809" s="151" t="s">
        <v>186</v>
      </c>
      <c r="AD809" s="151" t="str">
        <f aca="false">CONCATENATE($C809,$I809,$H809,$N809,$J809,$K809)</f>
        <v>TUBO PEADPEAD63VCAREDESZona07</v>
      </c>
      <c r="AE809" s="153" t="n">
        <f aca="false">IFERROR(INDEX(APOIO_REDES!$A:$W,MATCH($C809&amp;$I809&amp;$H809&amp;$N809&amp;$O809,APOIO_REDES!$W:$W,0),MATCH(AE$5,APOIO_REDES!$5:$5,0)),0)</f>
        <v>1.2</v>
      </c>
      <c r="AF809" s="153" t="n">
        <f aca="false">IFERROR(INDEX(APOIO_REDES!$A:$W,MATCH($C809&amp;$I809&amp;$H809&amp;$N809&amp;$O809,APOIO_REDES!$W:$W,0),MATCH(AF$5,APOIO_REDES!$5:$5,0)),0)</f>
        <v>1.363</v>
      </c>
      <c r="AG809" s="153" t="n">
        <f aca="false">IFERROR(INDEX(APOIO_REDES!$A:$W,MATCH($C809&amp;$I809&amp;$H809&amp;$N809&amp;$O809,APOIO_REDES!$W:$W,0),MATCH(AG$5,APOIO_REDES!$5:$5,0)),0)</f>
        <v>0.65</v>
      </c>
      <c r="AH809" s="153" t="n">
        <f aca="false">IFERROR(INDEX(APOIO_REDES!$A:$W,MATCH($C809&amp;$I809&amp;$H809&amp;$N809&amp;$O809,APOIO_REDES!$W:$W,0),MATCH(AH$5,APOIO_REDES!$5:$5,0)),0)</f>
        <v>0.1</v>
      </c>
      <c r="AI809" s="153" t="n">
        <f aca="false">IFERROR(IF($H809&lt;&gt;"",(((($H809/1000)/2)^2)*PI()*$M809),0),0)</f>
        <v>0.771206489823754</v>
      </c>
      <c r="AJ809" s="153" t="n">
        <f aca="false">IFERROR(IF(AND($H809&lt;&gt;"",$I809="FoFo",OR($N809="MND",$N809="VCA"),$Q809="LINEAR"),0,IF(AND($H809&lt;&gt;"",$I809="PEAD",$N809="VCA",$Q809="LINEAR"),($H809/1000)+0.3,IF(AND($H809&lt;&gt;"",$I809="PEAD",$N809="MND",$Q809="EMBOQUE"),0,IF(AND($H809&lt;&gt;"",$I809="PVC",$N809="VCA",$Q809="LINEAR"),($H809/1000)+0.2,IF(AND($H809&lt;&gt;"",$I809="PVC",$N809="MND",$Q809="EMBOQUE"),0,IF(AND($H809&lt;&gt;"",$I809="PEAD",$N809="VCA",$Q809="PREDIAL"),0,0)))))),0)</f>
        <v>0.363</v>
      </c>
      <c r="AK809" s="153" t="n">
        <f aca="false">IF(AA809&lt;&gt;"",AA809,0)</f>
        <v>3.9</v>
      </c>
      <c r="AL809" s="153" t="n">
        <f aca="false">IF(AND($N809="MND",$Q809="EMBOQUE"),$M809,IF(AND($N809="VCA",$Q809="LINEAR"),$M809,IF(AND($N809="VCA",$Q809="PREDIAL"),0,0)))</f>
        <v>247.4</v>
      </c>
      <c r="AM809" s="153" t="n">
        <f aca="false">IF(AND($N809="MND",$Q809="EMBOQUE"),$M809,IF(AND($N809="VCA",$Q809="LINEAR"),$M809,IF(AND($N809="VCA",$Q809="PREDIAL"),0,0)))</f>
        <v>247.4</v>
      </c>
      <c r="AN809" s="153" t="n">
        <f aca="false">ROUND(IF(AND($N809="VCA",$M809&lt;&gt;"",$Q809="LINEAR"),$M809/100,IF(AND($N809="MND",$M809&gt;100,$Q809="EMBOQUE"),$M809/100,0)),0)</f>
        <v>2</v>
      </c>
      <c r="AO809" s="153" t="n">
        <f aca="false">IF(AND($N809="MND",$Q809="EMBOQUE"),$AN809*2*2,IF(AND($N809="VCA",$Q809="LINEAR"),$M809*2,IF(AND($N809="VCA",$Q809="PREDIAL"),0,0)))</f>
        <v>494.8</v>
      </c>
      <c r="AP809" s="153" t="n">
        <f aca="false">IFERROR($M809*$AF809*$AG809,0)</f>
        <v>219.18403</v>
      </c>
      <c r="AQ809" s="153" t="n">
        <f aca="false">IFERROR(IF(AND($N809="VCA",$AH809&gt;0),$M809*$AG809*$AH809,0),0)</f>
        <v>16.081</v>
      </c>
      <c r="AR809" s="153" t="n">
        <f aca="false">IFERROR(IF(AND($N809="VCA",$AJ809&gt;0),($M809*$AG809*$AJ809)-$AI809,0),0)</f>
        <v>57.6028235101762</v>
      </c>
      <c r="AS809" s="153" t="n">
        <f aca="false">IFERROR(IF(AND($N809="VCA",$AP809&gt;0),$AP809-$AI809-$AQ809-$AR809,0),0)</f>
        <v>144.729</v>
      </c>
      <c r="AT809" s="153" t="n">
        <f aca="false">IFERROR(IF($N809="VCA",INDEX(APOIO_REDES!$A:$W,MATCH($C809&amp;$I809&amp;$H809&amp;$N809&amp;$O809,APOIO_REDES!$W:$W,0),MATCH(AT$5,APOIO_REDES!$5:$5,0)),0)*$AP809,0)</f>
        <v>2.38478712156133</v>
      </c>
      <c r="AU809" s="153" t="n">
        <f aca="false">IFERROR(IF($N809="VCA",INDEX(APOIO_REDES!$A:$W,MATCH($C809&amp;$I809&amp;$H809&amp;$N809&amp;$O809,APOIO_REDES!$W:$W,0),MATCH(AU$5,APOIO_REDES!$5:$5,0)),0)*$AP809,0)</f>
        <v>1.90442640705252</v>
      </c>
      <c r="AV809" s="153" t="n">
        <f aca="false">IFERROR(IF($N809="VCA",INDEX(APOIO_REDES!$A:$W,MATCH($C809&amp;$I809&amp;$H809&amp;$N809&amp;$O809,APOIO_REDES!$W:$W,0),MATCH(AV$5,APOIO_REDES!$5:$5,0)),0)*$AP809,0)</f>
        <v>0.263557664402599</v>
      </c>
      <c r="AW809" s="153" t="n">
        <f aca="false">IFERROR(IF($N809="VCA",INDEX(APOIO_REDES!$A:$W,MATCH($C809&amp;$I809&amp;$H809&amp;$N809&amp;$O809,APOIO_REDES!$W:$W,0),MATCH(AW$5,APOIO_REDES!$5:$5,0)),0)*$AP809,0)</f>
        <v>150.449616512738</v>
      </c>
      <c r="AX809" s="153" t="n">
        <f aca="false">IFERROR(IF($N809="VCA",INDEX(APOIO_REDES!$A:$W,MATCH($C809&amp;$I809&amp;$H809&amp;$N809&amp;$O809,APOIO_REDES!$W:$W,0),MATCH(AX$5,APOIO_REDES!$5:$5,0)),0)*$AP809,0)</f>
        <v>20.8217983615181</v>
      </c>
      <c r="AY809" s="153" t="n">
        <f aca="false">IFERROR(IF($N809="VCA",INDEX(APOIO_REDES!$A:$W,MATCH($C809&amp;$I809&amp;$H809&amp;$N809&amp;$O809,APOIO_REDES!$W:$W,0),MATCH(AY$5,APOIO_REDES!$5:$5,0)),0)*$AP809,0)</f>
        <v>38.0885049262469</v>
      </c>
      <c r="AZ809" s="153" t="n">
        <f aca="false">IFERROR(IF($N809="VCA",INDEX(APOIO_REDES!$A:$W,MATCH($C809&amp;$I809&amp;$H809&amp;$N809&amp;$O809,APOIO_REDES!$W:$W,0),MATCH(AZ$5,APOIO_REDES!$5:$5,0)),0)*$AP809,0)</f>
        <v>5.27133900648018</v>
      </c>
      <c r="BA809" s="153" t="n">
        <f aca="false">IFERROR(IF(AND($N809="VCA",$Q809="LINEAR"),INDEX(APOIO_REDES!$A:$W,MATCH($C809&amp;$I809&amp;$H809&amp;$N809&amp;$O809,APOIO_REDES!$W:$W,0),MATCH(BA$5,APOIO_REDES!$5:$5,0)),IF(AND($N809="MND",$Q809="EMBOQUE"),INDEX(APOIO_REDES!$A:$W,MATCH($C809&amp;$I809&amp;$H809&amp;$N809&amp;$O809,APOIO_REDES!$W:$W,0),MATCH(BA$5,APOIO_REDES!$5:$5,0)),0))*$M809/10,0)</f>
        <v>19.9398159532376</v>
      </c>
      <c r="BB809" s="153" t="n">
        <f aca="false">IFERROR(IF($N809="VCA",INDEX(APOIO_REDES!$A:$W,MATCH($C809&amp;$I809&amp;$H809&amp;$N809&amp;$O809,APOIO_REDES!$W:$W,0),MATCH(BB$5,APOIO_REDES!$5:$5,0)),0)*($AI809+$AQ809+$AR809),0)</f>
        <v>73.644937236036</v>
      </c>
      <c r="BC809" s="153" t="n">
        <f aca="false">IFERROR(IF($N809="VCA",INDEX(APOIO_REDES!$A:$W,MATCH($C809&amp;$I809&amp;$H809&amp;$N809&amp;$O809,APOIO_REDES!$W:$W,0),MATCH(BC$5,APOIO_REDES!$5:$5,0)),0)*($AI809+$AQ809+$AR809),0)</f>
        <v>0.810092763963975</v>
      </c>
      <c r="BD809" s="153" t="n">
        <f aca="false">IF(AND($N809="VCA",$AF809&gt;=1.25,$AF809&lt;1.5),$M809*$AF809*2,0)</f>
        <v>674.4124</v>
      </c>
      <c r="BE809" s="153" t="n">
        <f aca="false">IF(AND($N809="VCA",$AF809&gt;=1.5,$AF809&lt;3),$M809*$AF809*2,0)</f>
        <v>0</v>
      </c>
      <c r="BF809" s="153" t="n">
        <f aca="false">IF(AND($N809="VCA",$AF809&gt;=3),$M809*$AF809*2,0)</f>
        <v>0</v>
      </c>
      <c r="BG809" s="153" t="n">
        <f aca="false">($BB809+$BC809)*$AK809</f>
        <v>290.374617</v>
      </c>
      <c r="BH809" s="153" t="n">
        <f aca="false">IF(AND($M809&lt;&gt;"",$N809="VCA",$Q809="LINEAR"),($M809*2)/100,IF(AND($M809&lt;&gt;"",$N809="MND",$Q809="EMBOQUE"),($AN809*2)/100,0))</f>
        <v>4.948</v>
      </c>
      <c r="BI809" s="153" t="n">
        <f aca="false">IF(AND($M809&lt;&gt;"",$N809="VCA",$Q809="LINEAR"),$M809,IF(AND($M809&lt;&gt;"",$N809="MND",$Q809="EMBOQUE"),$AN809*2,0))</f>
        <v>247.4</v>
      </c>
      <c r="BJ809" s="153" t="n">
        <f aca="false">IF(AND($M809&lt;&gt;"",$N809="VCA",$Q809="LINEAR"),($M809*6.8)/100,IF(AND($M809&lt;&gt;"",$N809="MND",$Q809="EMBOQUE"),($AN809*2*6.8)/100,0))</f>
        <v>16.8232</v>
      </c>
      <c r="BK809" s="153" t="n">
        <f aca="false">IF(AND($M809&lt;&gt;"",$N809="VCA",$Q809="LINEAR"),($M809*2.5)/50,IF(AND($M809&lt;&gt;"",$N809="MND",$Q809="EMBOQUE"),($AN809*2*2.5)/50,0))</f>
        <v>12.37</v>
      </c>
      <c r="BL809" s="157" t="str">
        <f aca="false">K809&amp;J809</f>
        <v>Zona07REDES</v>
      </c>
      <c r="BM809" s="152" t="s">
        <v>4225</v>
      </c>
      <c r="BN809" s="152" t="s">
        <v>1560</v>
      </c>
      <c r="BO809" s="152" t="s">
        <v>4218</v>
      </c>
      <c r="BP809" s="152" t="s">
        <v>4220</v>
      </c>
      <c r="BQ809" s="152" t="s">
        <v>4618</v>
      </c>
      <c r="BR809" s="152" t="s">
        <v>4619</v>
      </c>
      <c r="BS809" s="152" t="n">
        <v>203784.289</v>
      </c>
      <c r="BT809" s="152" t="n">
        <v>8236617.433</v>
      </c>
      <c r="BU809" s="152" t="n">
        <v>203952.119</v>
      </c>
      <c r="BV809" s="152" t="n">
        <v>8236435.853</v>
      </c>
      <c r="BW809" s="152" t="n">
        <v>-15.9328767</v>
      </c>
      <c r="BX809" s="152" t="n">
        <v>-47.7659689</v>
      </c>
      <c r="BY809" s="152" t="s">
        <v>4220</v>
      </c>
    </row>
    <row r="810" customFormat="false" ht="13.8" hidden="false" customHeight="false" outlineLevel="0" collapsed="false">
      <c r="A810" s="149" t="n">
        <f aca="false">IF(C810&lt;&gt;"",ROW(A805),"")</f>
        <v>805</v>
      </c>
      <c r="B810" s="150" t="str">
        <f aca="false">HYPERLINK("https://www.google.com/maps/dir/-15.917302,-47.760003/-15.9334725,-47.7635668/data=!4m3!4m2!3e0!5i2")</f>
        <v>https://www.google.com/maps/dir/-15.917302,-47.760003/-15.9334725,-47.7635668/data=!4m3!4m2!3e0!5i2</v>
      </c>
      <c r="C810" s="151" t="s">
        <v>117</v>
      </c>
      <c r="D810" s="152" t="s">
        <v>112</v>
      </c>
      <c r="E810" s="152" t="s">
        <v>113</v>
      </c>
      <c r="F810" s="152" t="s">
        <v>117</v>
      </c>
      <c r="G810" s="152" t="s">
        <v>782</v>
      </c>
      <c r="H810" s="152" t="n">
        <v>63</v>
      </c>
      <c r="I810" s="152" t="s">
        <v>115</v>
      </c>
      <c r="J810" s="152" t="s">
        <v>6</v>
      </c>
      <c r="K810" s="152" t="s">
        <v>4221</v>
      </c>
      <c r="L810" s="152" t="s">
        <v>120</v>
      </c>
      <c r="M810" s="153" t="n">
        <f aca="false">110.75+4</f>
        <v>114.75</v>
      </c>
      <c r="N810" s="152" t="s">
        <v>1548</v>
      </c>
      <c r="O810" s="152" t="s">
        <v>1549</v>
      </c>
      <c r="P810" s="152" t="s">
        <v>1550</v>
      </c>
      <c r="Q810" s="152" t="s">
        <v>1551</v>
      </c>
      <c r="R810" s="154" t="s">
        <v>4620</v>
      </c>
      <c r="S810" s="154" t="s">
        <v>1553</v>
      </c>
      <c r="T810" s="155" t="s">
        <v>4216</v>
      </c>
      <c r="U810" s="152" t="str">
        <f aca="false">RIGHT(T810,7)</f>
        <v>019/037</v>
      </c>
      <c r="V810" s="152" t="s">
        <v>1555</v>
      </c>
      <c r="W810" s="156" t="n">
        <v>45882</v>
      </c>
      <c r="X810" s="152" t="s">
        <v>3938</v>
      </c>
      <c r="Y810" s="152" t="s">
        <v>2524</v>
      </c>
      <c r="Z810" s="152" t="s">
        <v>1557</v>
      </c>
      <c r="AA810" s="153" t="n">
        <v>3.7</v>
      </c>
      <c r="AB810" s="151" t="s">
        <v>4621</v>
      </c>
      <c r="AC810" s="151" t="s">
        <v>186</v>
      </c>
      <c r="AD810" s="151" t="str">
        <f aca="false">CONCATENATE($C810,$I810,$H810,$N810,$J810,$K810)</f>
        <v>TUBO PEADPEAD63VCAREDESZona07</v>
      </c>
      <c r="AE810" s="153" t="n">
        <f aca="false">IFERROR(INDEX(APOIO_REDES!$A:$W,MATCH($C810&amp;$I810&amp;$H810&amp;$N810&amp;$O810,APOIO_REDES!$W:$W,0),MATCH(AE$5,APOIO_REDES!$5:$5,0)),0)</f>
        <v>1.2</v>
      </c>
      <c r="AF810" s="153" t="n">
        <f aca="false">IFERROR(INDEX(APOIO_REDES!$A:$W,MATCH($C810&amp;$I810&amp;$H810&amp;$N810&amp;$O810,APOIO_REDES!$W:$W,0),MATCH(AF$5,APOIO_REDES!$5:$5,0)),0)</f>
        <v>1.363</v>
      </c>
      <c r="AG810" s="153" t="n">
        <f aca="false">IFERROR(INDEX(APOIO_REDES!$A:$W,MATCH($C810&amp;$I810&amp;$H810&amp;$N810&amp;$O810,APOIO_REDES!$W:$W,0),MATCH(AG$5,APOIO_REDES!$5:$5,0)),0)</f>
        <v>0.65</v>
      </c>
      <c r="AH810" s="153" t="n">
        <f aca="false">IFERROR(INDEX(APOIO_REDES!$A:$W,MATCH($C810&amp;$I810&amp;$H810&amp;$N810&amp;$O810,APOIO_REDES!$W:$W,0),MATCH(AH$5,APOIO_REDES!$5:$5,0)),0)</f>
        <v>0.1</v>
      </c>
      <c r="AI810" s="153" t="n">
        <f aca="false">IFERROR(IF($H810&lt;&gt;"",(((($H810/1000)/2)^2)*PI()*$M810),0),0)</f>
        <v>0.357703899382683</v>
      </c>
      <c r="AJ810" s="153" t="n">
        <f aca="false">IFERROR(IF(AND($H810&lt;&gt;"",$I810="FoFo",OR($N810="MND",$N810="VCA"),$Q810="LINEAR"),0,IF(AND($H810&lt;&gt;"",$I810="PEAD",$N810="VCA",$Q810="LINEAR"),($H810/1000)+0.3,IF(AND($H810&lt;&gt;"",$I810="PEAD",$N810="MND",$Q810="EMBOQUE"),0,IF(AND($H810&lt;&gt;"",$I810="PVC",$N810="VCA",$Q810="LINEAR"),($H810/1000)+0.2,IF(AND($H810&lt;&gt;"",$I810="PVC",$N810="MND",$Q810="EMBOQUE"),0,IF(AND($H810&lt;&gt;"",$I810="PEAD",$N810="VCA",$Q810="PREDIAL"),0,0)))))),0)</f>
        <v>0.363</v>
      </c>
      <c r="AK810" s="153" t="n">
        <f aca="false">IF(AA810&lt;&gt;"",AA810,0)</f>
        <v>3.7</v>
      </c>
      <c r="AL810" s="153" t="n">
        <f aca="false">IF(AND($N810="MND",$Q810="EMBOQUE"),$M810,IF(AND($N810="VCA",$Q810="LINEAR"),$M810,IF(AND($N810="VCA",$Q810="PREDIAL"),0,0)))</f>
        <v>114.75</v>
      </c>
      <c r="AM810" s="153" t="n">
        <f aca="false">IF(AND($N810="MND",$Q810="EMBOQUE"),$M810,IF(AND($N810="VCA",$Q810="LINEAR"),$M810,IF(AND($N810="VCA",$Q810="PREDIAL"),0,0)))</f>
        <v>114.75</v>
      </c>
      <c r="AN810" s="153" t="n">
        <f aca="false">ROUND(IF(AND($N810="VCA",$M810&lt;&gt;"",$Q810="LINEAR"),$M810/100,IF(AND($N810="MND",$M810&gt;100,$Q810="EMBOQUE"),$M810/100,0)),0)</f>
        <v>1</v>
      </c>
      <c r="AO810" s="153" t="n">
        <f aca="false">IF(AND($N810="MND",$Q810="EMBOQUE"),$AN810*2*2,IF(AND($N810="VCA",$Q810="LINEAR"),$M810*2,IF(AND($N810="VCA",$Q810="PREDIAL"),0,0)))</f>
        <v>229.5</v>
      </c>
      <c r="AP810" s="153" t="n">
        <f aca="false">IFERROR($M810*$AF810*$AG810,0)</f>
        <v>101.6627625</v>
      </c>
      <c r="AQ810" s="153" t="n">
        <f aca="false">IFERROR(IF(AND($N810="VCA",$AH810&gt;0),$M810*$AG810*$AH810,0),0)</f>
        <v>7.45875</v>
      </c>
      <c r="AR810" s="153" t="n">
        <f aca="false">IFERROR(IF(AND($N810="VCA",$AJ810&gt;0),($M810*$AG810*$AJ810)-$AI810,0),0)</f>
        <v>26.7175586006173</v>
      </c>
      <c r="AS810" s="153" t="n">
        <f aca="false">IFERROR(IF(AND($N810="VCA",$AP810&gt;0),$AP810-$AI810-$AQ810-$AR810,0),0)</f>
        <v>67.12875</v>
      </c>
      <c r="AT810" s="153" t="n">
        <f aca="false">IFERROR(IF($N810="VCA",INDEX(APOIO_REDES!$A:$W,MATCH($C810&amp;$I810&amp;$H810&amp;$N810&amp;$O810,APOIO_REDES!$W:$W,0),MATCH(AT$5,APOIO_REDES!$5:$5,0)),0)*$AP810,0)</f>
        <v>1.10612094664173</v>
      </c>
      <c r="AU810" s="153" t="n">
        <f aca="false">IFERROR(IF($N810="VCA",INDEX(APOIO_REDES!$A:$W,MATCH($C810&amp;$I810&amp;$H810&amp;$N810&amp;$O810,APOIO_REDES!$W:$W,0),MATCH(AU$5,APOIO_REDES!$5:$5,0)),0)*$AP810,0)</f>
        <v>0.883318230433616</v>
      </c>
      <c r="AV810" s="153" t="n">
        <f aca="false">IFERROR(IF($N810="VCA",INDEX(APOIO_REDES!$A:$W,MATCH($C810&amp;$I810&amp;$H810&amp;$N810&amp;$O810,APOIO_REDES!$W:$W,0),MATCH(AV$5,APOIO_REDES!$5:$5,0)),0)*$AP810,0)</f>
        <v>0.122244308772022</v>
      </c>
      <c r="AW810" s="153" t="n">
        <f aca="false">IFERROR(IF($N810="VCA",INDEX(APOIO_REDES!$A:$W,MATCH($C810&amp;$I810&amp;$H810&amp;$N810&amp;$O810,APOIO_REDES!$W:$W,0),MATCH(AW$5,APOIO_REDES!$5:$5,0)),0)*$AP810,0)</f>
        <v>69.7821079015228</v>
      </c>
      <c r="AX810" s="153" t="n">
        <f aca="false">IFERROR(IF($N810="VCA",INDEX(APOIO_REDES!$A:$W,MATCH($C810&amp;$I810&amp;$H810&amp;$N810&amp;$O810,APOIO_REDES!$W:$W,0),MATCH(AX$5,APOIO_REDES!$5:$5,0)),0)*$AP810,0)</f>
        <v>9.65764495547374</v>
      </c>
      <c r="AY810" s="153" t="n">
        <f aca="false">IFERROR(IF($N810="VCA",INDEX(APOIO_REDES!$A:$W,MATCH($C810&amp;$I810&amp;$H810&amp;$N810&amp;$O810,APOIO_REDES!$W:$W,0),MATCH(AY$5,APOIO_REDES!$5:$5,0)),0)*$AP810,0)</f>
        <v>17.6663538410947</v>
      </c>
      <c r="AZ810" s="153" t="n">
        <f aca="false">IFERROR(IF($N810="VCA",INDEX(APOIO_REDES!$A:$W,MATCH($C810&amp;$I810&amp;$H810&amp;$N810&amp;$O810,APOIO_REDES!$W:$W,0),MATCH(AZ$5,APOIO_REDES!$5:$5,0)),0)*$AP810,0)</f>
        <v>2.44497231606144</v>
      </c>
      <c r="BA810" s="153" t="n">
        <f aca="false">IFERROR(IF(AND($N810="VCA",$Q810="LINEAR"),INDEX(APOIO_REDES!$A:$W,MATCH($C810&amp;$I810&amp;$H810&amp;$N810&amp;$O810,APOIO_REDES!$W:$W,0),MATCH(BA$5,APOIO_REDES!$5:$5,0)),IF(AND($N810="MND",$Q810="EMBOQUE"),INDEX(APOIO_REDES!$A:$W,MATCH($C810&amp;$I810&amp;$H810&amp;$N810&amp;$O810,APOIO_REDES!$W:$W,0),MATCH(BA$5,APOIO_REDES!$5:$5,0)),0))*$M810/10,0)</f>
        <v>9.24856055227979</v>
      </c>
      <c r="BB810" s="153" t="n">
        <f aca="false">IFERROR(IF($N810="VCA",INDEX(APOIO_REDES!$A:$W,MATCH($C810&amp;$I810&amp;$H810&amp;$N810&amp;$O810,APOIO_REDES!$W:$W,0),MATCH(BB$5,APOIO_REDES!$5:$5,0)),0)*($AI810+$AQ810+$AR810),0)</f>
        <v>34.1582722224541</v>
      </c>
      <c r="BC810" s="153" t="n">
        <f aca="false">IFERROR(IF($N810="VCA",INDEX(APOIO_REDES!$A:$W,MATCH($C810&amp;$I810&amp;$H810&amp;$N810&amp;$O810,APOIO_REDES!$W:$W,0),MATCH(BC$5,APOIO_REDES!$5:$5,0)),0)*($AI810+$AQ810+$AR810),0)</f>
        <v>0.375740277545942</v>
      </c>
      <c r="BD810" s="153" t="n">
        <f aca="false">IF(AND($N810="VCA",$AF810&gt;=1.25,$AF810&lt;1.5),$M810*$AF810*2,0)</f>
        <v>312.8085</v>
      </c>
      <c r="BE810" s="153" t="n">
        <f aca="false">IF(AND($N810="VCA",$AF810&gt;=1.5,$AF810&lt;3),$M810*$AF810*2,0)</f>
        <v>0</v>
      </c>
      <c r="BF810" s="153" t="n">
        <f aca="false">IF(AND($N810="VCA",$AF810&gt;=3),$M810*$AF810*2,0)</f>
        <v>0</v>
      </c>
      <c r="BG810" s="153" t="n">
        <f aca="false">($BB810+$BC810)*$AK810</f>
        <v>127.77584625</v>
      </c>
      <c r="BH810" s="153" t="n">
        <f aca="false">IF(AND($M810&lt;&gt;"",$N810="VCA",$Q810="LINEAR"),($M810*2)/100,IF(AND($M810&lt;&gt;"",$N810="MND",$Q810="EMBOQUE"),($AN810*2)/100,0))</f>
        <v>2.295</v>
      </c>
      <c r="BI810" s="153" t="n">
        <f aca="false">IF(AND($M810&lt;&gt;"",$N810="VCA",$Q810="LINEAR"),$M810,IF(AND($M810&lt;&gt;"",$N810="MND",$Q810="EMBOQUE"),$AN810*2,0))</f>
        <v>114.75</v>
      </c>
      <c r="BJ810" s="153" t="n">
        <f aca="false">IF(AND($M810&lt;&gt;"",$N810="VCA",$Q810="LINEAR"),($M810*6.8)/100,IF(AND($M810&lt;&gt;"",$N810="MND",$Q810="EMBOQUE"),($AN810*2*6.8)/100,0))</f>
        <v>7.803</v>
      </c>
      <c r="BK810" s="153" t="n">
        <f aca="false">IF(AND($M810&lt;&gt;"",$N810="VCA",$Q810="LINEAR"),($M810*2.5)/50,IF(AND($M810&lt;&gt;"",$N810="MND",$Q810="EMBOQUE"),($AN810*2*2.5)/50,0))</f>
        <v>5.7375</v>
      </c>
      <c r="BL810" s="157" t="str">
        <f aca="false">K810&amp;J810</f>
        <v>Zona07REDES</v>
      </c>
      <c r="BM810" s="152" t="s">
        <v>4225</v>
      </c>
      <c r="BN810" s="152" t="s">
        <v>1560</v>
      </c>
      <c r="BO810" s="152" t="s">
        <v>4218</v>
      </c>
      <c r="BP810" s="152" t="s">
        <v>4622</v>
      </c>
      <c r="BQ810" s="152" t="s">
        <v>4587</v>
      </c>
      <c r="BR810" s="152" t="s">
        <v>4623</v>
      </c>
      <c r="BS810" s="152" t="n">
        <v>204125.91</v>
      </c>
      <c r="BT810" s="152" t="n">
        <v>8236463.56</v>
      </c>
      <c r="BU810" s="152" t="n">
        <v>204090.146</v>
      </c>
      <c r="BV810" s="152" t="n">
        <v>8236568.368</v>
      </c>
      <c r="BW810" s="152" t="n">
        <v>-15.9329973</v>
      </c>
      <c r="BX810" s="152" t="n">
        <v>-47.7637277</v>
      </c>
      <c r="BY810" s="152" t="s">
        <v>4622</v>
      </c>
    </row>
    <row r="811" customFormat="false" ht="13.8" hidden="false" customHeight="false" outlineLevel="0" collapsed="false">
      <c r="A811" s="149" t="n">
        <f aca="false">IF(C811&lt;&gt;"",ROW(A806),"")</f>
        <v>806</v>
      </c>
      <c r="B811" s="150" t="str">
        <f aca="false">HYPERLINK("https://www.google.com/maps/dir/-15.917302,-47.760003/-15.9332724,-47.7646460/data=!4m3!4m2!3e0!5i1")</f>
        <v>https://www.google.com/maps/dir/-15.917302,-47.760003/-15.9332724,-47.7646460/data=!4m3!4m2!3e0!5i1</v>
      </c>
      <c r="C811" s="151" t="s">
        <v>117</v>
      </c>
      <c r="D811" s="152" t="s">
        <v>112</v>
      </c>
      <c r="E811" s="152" t="s">
        <v>113</v>
      </c>
      <c r="F811" s="152" t="s">
        <v>117</v>
      </c>
      <c r="G811" s="152" t="s">
        <v>782</v>
      </c>
      <c r="H811" s="152" t="n">
        <v>63</v>
      </c>
      <c r="I811" s="152" t="s">
        <v>115</v>
      </c>
      <c r="J811" s="152" t="s">
        <v>6</v>
      </c>
      <c r="K811" s="152" t="s">
        <v>4221</v>
      </c>
      <c r="L811" s="152" t="s">
        <v>120</v>
      </c>
      <c r="M811" s="153" t="n">
        <f aca="false">53.37</f>
        <v>53.37</v>
      </c>
      <c r="N811" s="152" t="s">
        <v>1548</v>
      </c>
      <c r="O811" s="152" t="s">
        <v>1549</v>
      </c>
      <c r="P811" s="152" t="s">
        <v>1550</v>
      </c>
      <c r="Q811" s="152" t="s">
        <v>1551</v>
      </c>
      <c r="R811" s="154" t="s">
        <v>4624</v>
      </c>
      <c r="S811" s="154" t="s">
        <v>1553</v>
      </c>
      <c r="T811" s="155" t="s">
        <v>4216</v>
      </c>
      <c r="U811" s="152" t="str">
        <f aca="false">RIGHT(T811,7)</f>
        <v>019/037</v>
      </c>
      <c r="V811" s="152" t="s">
        <v>1555</v>
      </c>
      <c r="W811" s="156" t="n">
        <v>45882</v>
      </c>
      <c r="X811" s="152" t="s">
        <v>3938</v>
      </c>
      <c r="Y811" s="152" t="s">
        <v>2638</v>
      </c>
      <c r="Z811" s="152" t="s">
        <v>1557</v>
      </c>
      <c r="AA811" s="153" t="n">
        <v>3.6</v>
      </c>
      <c r="AB811" s="151" t="s">
        <v>4625</v>
      </c>
      <c r="AC811" s="151" t="s">
        <v>186</v>
      </c>
      <c r="AD811" s="151" t="str">
        <f aca="false">CONCATENATE($C811,$I811,$H811,$N811,$J811,$K811)</f>
        <v>TUBO PEADPEAD63VCAREDESZona07</v>
      </c>
      <c r="AE811" s="153" t="n">
        <f aca="false">IFERROR(INDEX(APOIO_REDES!$A:$W,MATCH($C811&amp;$I811&amp;$H811&amp;$N811&amp;$O811,APOIO_REDES!$W:$W,0),MATCH(AE$5,APOIO_REDES!$5:$5,0)),0)</f>
        <v>1.2</v>
      </c>
      <c r="AF811" s="153" t="n">
        <f aca="false">IFERROR(INDEX(APOIO_REDES!$A:$W,MATCH($C811&amp;$I811&amp;$H811&amp;$N811&amp;$O811,APOIO_REDES!$W:$W,0),MATCH(AF$5,APOIO_REDES!$5:$5,0)),0)</f>
        <v>1.363</v>
      </c>
      <c r="AG811" s="153" t="n">
        <f aca="false">IFERROR(INDEX(APOIO_REDES!$A:$W,MATCH($C811&amp;$I811&amp;$H811&amp;$N811&amp;$O811,APOIO_REDES!$W:$W,0),MATCH(AG$5,APOIO_REDES!$5:$5,0)),0)</f>
        <v>0.65</v>
      </c>
      <c r="AH811" s="153" t="n">
        <f aca="false">IFERROR(INDEX(APOIO_REDES!$A:$W,MATCH($C811&amp;$I811&amp;$H811&amp;$N811&amp;$O811,APOIO_REDES!$W:$W,0),MATCH(AH$5,APOIO_REDES!$5:$5,0)),0)</f>
        <v>0.1</v>
      </c>
      <c r="AI811" s="153" t="n">
        <f aca="false">IFERROR(IF($H811&lt;&gt;"",(((($H811/1000)/2)^2)*PI()*$M811),0),0)</f>
        <v>0.166367382222691</v>
      </c>
      <c r="AJ811" s="153" t="n">
        <f aca="false">IFERROR(IF(AND($H811&lt;&gt;"",$I811="FoFo",OR($N811="MND",$N811="VCA"),$Q811="LINEAR"),0,IF(AND($H811&lt;&gt;"",$I811="PEAD",$N811="VCA",$Q811="LINEAR"),($H811/1000)+0.3,IF(AND($H811&lt;&gt;"",$I811="PEAD",$N811="MND",$Q811="EMBOQUE"),0,IF(AND($H811&lt;&gt;"",$I811="PVC",$N811="VCA",$Q811="LINEAR"),($H811/1000)+0.2,IF(AND($H811&lt;&gt;"",$I811="PVC",$N811="MND",$Q811="EMBOQUE"),0,IF(AND($H811&lt;&gt;"",$I811="PEAD",$N811="VCA",$Q811="PREDIAL"),0,0)))))),0)</f>
        <v>0.363</v>
      </c>
      <c r="AK811" s="153" t="n">
        <f aca="false">IF(AA811&lt;&gt;"",AA811,0)</f>
        <v>3.6</v>
      </c>
      <c r="AL811" s="153" t="n">
        <f aca="false">IF(AND($N811="MND",$Q811="EMBOQUE"),$M811,IF(AND($N811="VCA",$Q811="LINEAR"),$M811,IF(AND($N811="VCA",$Q811="PREDIAL"),0,0)))</f>
        <v>53.37</v>
      </c>
      <c r="AM811" s="153" t="n">
        <f aca="false">IF(AND($N811="MND",$Q811="EMBOQUE"),$M811,IF(AND($N811="VCA",$Q811="LINEAR"),$M811,IF(AND($N811="VCA",$Q811="PREDIAL"),0,0)))</f>
        <v>53.37</v>
      </c>
      <c r="AN811" s="153" t="n">
        <f aca="false">ROUND(IF(AND($N811="VCA",$M811&lt;&gt;"",$Q811="LINEAR"),$M811/100,IF(AND($N811="MND",$M811&gt;100,$Q811="EMBOQUE"),$M811/100,0)),0)</f>
        <v>1</v>
      </c>
      <c r="AO811" s="153" t="n">
        <f aca="false">IF(AND($N811="MND",$Q811="EMBOQUE"),$AN811*2*2,IF(AND($N811="VCA",$Q811="LINEAR"),$M811*2,IF(AND($N811="VCA",$Q811="PREDIAL"),0,0)))</f>
        <v>106.74</v>
      </c>
      <c r="AP811" s="153" t="n">
        <f aca="false">IFERROR($M811*$AF811*$AG811,0)</f>
        <v>47.2831515</v>
      </c>
      <c r="AQ811" s="153" t="n">
        <f aca="false">IFERROR(IF(AND($N811="VCA",$AH811&gt;0),$M811*$AG811*$AH811,0),0)</f>
        <v>3.46905</v>
      </c>
      <c r="AR811" s="153" t="n">
        <f aca="false">IFERROR(IF(AND($N811="VCA",$AJ811&gt;0),($M811*$AG811*$AJ811)-$AI811,0),0)</f>
        <v>12.4262841177773</v>
      </c>
      <c r="AS811" s="153" t="n">
        <f aca="false">IFERROR(IF(AND($N811="VCA",$AP811&gt;0),$AP811-$AI811-$AQ811-$AR811,0),0)</f>
        <v>31.22145</v>
      </c>
      <c r="AT811" s="153" t="n">
        <f aca="false">IFERROR(IF($N811="VCA",INDEX(APOIO_REDES!$A:$W,MATCH($C811&amp;$I811&amp;$H811&amp;$N811&amp;$O811,APOIO_REDES!$W:$W,0),MATCH(AT$5,APOIO_REDES!$5:$5,0)),0)*$AP811,0)</f>
        <v>0.514454683418466</v>
      </c>
      <c r="AU811" s="153" t="n">
        <f aca="false">IFERROR(IF($N811="VCA",INDEX(APOIO_REDES!$A:$W,MATCH($C811&amp;$I811&amp;$H811&amp;$N811&amp;$O811,APOIO_REDES!$W:$W,0),MATCH(AU$5,APOIO_REDES!$5:$5,0)),0)*$AP811,0)</f>
        <v>0.410829576978144</v>
      </c>
      <c r="AV811" s="153" t="n">
        <f aca="false">IFERROR(IF($N811="VCA",INDEX(APOIO_REDES!$A:$W,MATCH($C811&amp;$I811&amp;$H811&amp;$N811&amp;$O811,APOIO_REDES!$W:$W,0),MATCH(AV$5,APOIO_REDES!$5:$5,0)),0)*$AP811,0)</f>
        <v>0.0568555883151444</v>
      </c>
      <c r="AW811" s="153" t="n">
        <f aca="false">IFERROR(IF($N811="VCA",INDEX(APOIO_REDES!$A:$W,MATCH($C811&amp;$I811&amp;$H811&amp;$N811&amp;$O811,APOIO_REDES!$W:$W,0),MATCH(AW$5,APOIO_REDES!$5:$5,0)),0)*$AP811,0)</f>
        <v>32.4555215573357</v>
      </c>
      <c r="AX811" s="153" t="n">
        <f aca="false">IFERROR(IF($N811="VCA",INDEX(APOIO_REDES!$A:$W,MATCH($C811&amp;$I811&amp;$H811&amp;$N811&amp;$O811,APOIO_REDES!$W:$W,0),MATCH(AX$5,APOIO_REDES!$5:$5,0)),0)*$AP811,0)</f>
        <v>4.4917517322321</v>
      </c>
      <c r="AY811" s="153" t="n">
        <f aca="false">IFERROR(IF($N811="VCA",INDEX(APOIO_REDES!$A:$W,MATCH($C811&amp;$I811&amp;$H811&amp;$N811&amp;$O811,APOIO_REDES!$W:$W,0),MATCH(AY$5,APOIO_REDES!$5:$5,0)),0)*$AP811,0)</f>
        <v>8.21658653158365</v>
      </c>
      <c r="AZ811" s="153" t="n">
        <f aca="false">IFERROR(IF($N811="VCA",INDEX(APOIO_REDES!$A:$W,MATCH($C811&amp;$I811&amp;$H811&amp;$N811&amp;$O811,APOIO_REDES!$W:$W,0),MATCH(AZ$5,APOIO_REDES!$5:$5,0)),0)*$AP811,0)</f>
        <v>1.13715183013681</v>
      </c>
      <c r="BA811" s="153" t="n">
        <f aca="false">IFERROR(IF(AND($N811="VCA",$Q811="LINEAR"),INDEX(APOIO_REDES!$A:$W,MATCH($C811&amp;$I811&amp;$H811&amp;$N811&amp;$O811,APOIO_REDES!$W:$W,0),MATCH(BA$5,APOIO_REDES!$5:$5,0)),IF(AND($N811="MND",$Q811="EMBOQUE"),INDEX(APOIO_REDES!$A:$W,MATCH($C811&amp;$I811&amp;$H811&amp;$N811&amp;$O811,APOIO_REDES!$W:$W,0),MATCH(BA$5,APOIO_REDES!$5:$5,0)),0))*$M811/10,0)</f>
        <v>4.30148737843287</v>
      </c>
      <c r="BB811" s="153" t="n">
        <f aca="false">IFERROR(IF($N811="VCA",INDEX(APOIO_REDES!$A:$W,MATCH($C811&amp;$I811&amp;$H811&amp;$N811&amp;$O811,APOIO_REDES!$W:$W,0),MATCH(BB$5,APOIO_REDES!$5:$5,0)),0)*($AI811+$AQ811+$AR811),0)</f>
        <v>15.886945433659</v>
      </c>
      <c r="BC811" s="153" t="n">
        <f aca="false">IFERROR(IF($N811="VCA",INDEX(APOIO_REDES!$A:$W,MATCH($C811&amp;$I811&amp;$H811&amp;$N811&amp;$O811,APOIO_REDES!$W:$W,0),MATCH(BC$5,APOIO_REDES!$5:$5,0)),0)*($AI811+$AQ811+$AR811),0)</f>
        <v>0.174756066340976</v>
      </c>
      <c r="BD811" s="153" t="n">
        <f aca="false">IF(AND($N811="VCA",$AF811&gt;=1.25,$AF811&lt;1.5),$M811*$AF811*2,0)</f>
        <v>145.48662</v>
      </c>
      <c r="BE811" s="153" t="n">
        <f aca="false">IF(AND($N811="VCA",$AF811&gt;=1.5,$AF811&lt;3),$M811*$AF811*2,0)</f>
        <v>0</v>
      </c>
      <c r="BF811" s="153" t="n">
        <f aca="false">IF(AND($N811="VCA",$AF811&gt;=3),$M811*$AF811*2,0)</f>
        <v>0</v>
      </c>
      <c r="BG811" s="153" t="n">
        <f aca="false">($BB811+$BC811)*$AK811</f>
        <v>57.8221254</v>
      </c>
      <c r="BH811" s="153" t="n">
        <f aca="false">IF(AND($M811&lt;&gt;"",$N811="VCA",$Q811="LINEAR"),($M811*2)/100,IF(AND($M811&lt;&gt;"",$N811="MND",$Q811="EMBOQUE"),($AN811*2)/100,0))</f>
        <v>1.0674</v>
      </c>
      <c r="BI811" s="153" t="n">
        <f aca="false">IF(AND($M811&lt;&gt;"",$N811="VCA",$Q811="LINEAR"),$M811,IF(AND($M811&lt;&gt;"",$N811="MND",$Q811="EMBOQUE"),$AN811*2,0))</f>
        <v>53.37</v>
      </c>
      <c r="BJ811" s="153" t="n">
        <f aca="false">IF(AND($M811&lt;&gt;"",$N811="VCA",$Q811="LINEAR"),($M811*6.8)/100,IF(AND($M811&lt;&gt;"",$N811="MND",$Q811="EMBOQUE"),($AN811*2*6.8)/100,0))</f>
        <v>3.62916</v>
      </c>
      <c r="BK811" s="153" t="n">
        <f aca="false">IF(AND($M811&lt;&gt;"",$N811="VCA",$Q811="LINEAR"),($M811*2.5)/50,IF(AND($M811&lt;&gt;"",$N811="MND",$Q811="EMBOQUE"),($AN811*2*2.5)/50,0))</f>
        <v>2.6685</v>
      </c>
      <c r="BL811" s="157" t="str">
        <f aca="false">K811&amp;J811</f>
        <v>Zona07REDES</v>
      </c>
      <c r="BM811" s="152" t="s">
        <v>4225</v>
      </c>
      <c r="BN811" s="152" t="s">
        <v>1560</v>
      </c>
      <c r="BO811" s="152" t="s">
        <v>4218</v>
      </c>
      <c r="BP811" s="152" t="s">
        <v>4626</v>
      </c>
      <c r="BQ811" s="152" t="s">
        <v>4610</v>
      </c>
      <c r="BR811" s="152" t="s">
        <v>4627</v>
      </c>
      <c r="BS811" s="152" t="n">
        <v>204009.996</v>
      </c>
      <c r="BT811" s="152" t="n">
        <v>8236484.189</v>
      </c>
      <c r="BU811" s="152" t="n">
        <v>204046.868</v>
      </c>
      <c r="BV811" s="152" t="n">
        <v>8236522.752</v>
      </c>
      <c r="BW811" s="152" t="n">
        <v>-15.9330981</v>
      </c>
      <c r="BX811" s="152" t="n">
        <v>-47.7644741</v>
      </c>
      <c r="BY811" s="152" t="s">
        <v>4626</v>
      </c>
    </row>
    <row r="812" customFormat="false" ht="13.8" hidden="false" customHeight="false" outlineLevel="0" collapsed="false">
      <c r="A812" s="149" t="n">
        <f aca="false">IF(C812&lt;&gt;"",ROW(A807),"")</f>
        <v>807</v>
      </c>
      <c r="B812" s="150" t="str">
        <f aca="false">HYPERLINK("https://www.google.com/maps/dir/-15.917302,-47.760003/-15.9334508,-47.7649457/data=!4m3!4m2!3e0!5i1")</f>
        <v>https://www.google.com/maps/dir/-15.917302,-47.760003/-15.9334508,-47.7649457/data=!4m3!4m2!3e0!5i1</v>
      </c>
      <c r="C812" s="151" t="s">
        <v>117</v>
      </c>
      <c r="D812" s="152" t="s">
        <v>112</v>
      </c>
      <c r="E812" s="152" t="s">
        <v>113</v>
      </c>
      <c r="F812" s="152" t="s">
        <v>117</v>
      </c>
      <c r="G812" s="152" t="s">
        <v>114</v>
      </c>
      <c r="H812" s="152" t="n">
        <v>160</v>
      </c>
      <c r="I812" s="152" t="s">
        <v>115</v>
      </c>
      <c r="J812" s="152" t="s">
        <v>6</v>
      </c>
      <c r="K812" s="152" t="s">
        <v>4221</v>
      </c>
      <c r="L812" s="152" t="s">
        <v>120</v>
      </c>
      <c r="M812" s="153" t="n">
        <f aca="false">48.92</f>
        <v>48.92</v>
      </c>
      <c r="N812" s="152" t="s">
        <v>1548</v>
      </c>
      <c r="O812" s="152" t="s">
        <v>1549</v>
      </c>
      <c r="P812" s="152" t="s">
        <v>1550</v>
      </c>
      <c r="Q812" s="152" t="s">
        <v>1551</v>
      </c>
      <c r="R812" s="154" t="s">
        <v>4628</v>
      </c>
      <c r="S812" s="154" t="s">
        <v>1593</v>
      </c>
      <c r="T812" s="155" t="s">
        <v>4216</v>
      </c>
      <c r="U812" s="152" t="str">
        <f aca="false">RIGHT(T812,7)</f>
        <v>019/037</v>
      </c>
      <c r="V812" s="152" t="s">
        <v>1555</v>
      </c>
      <c r="W812" s="156" t="n">
        <v>45882</v>
      </c>
      <c r="X812" s="152" t="s">
        <v>3938</v>
      </c>
      <c r="Y812" s="152" t="s">
        <v>4015</v>
      </c>
      <c r="Z812" s="152" t="s">
        <v>1557</v>
      </c>
      <c r="AA812" s="153" t="n">
        <v>3.6</v>
      </c>
      <c r="AB812" s="151" t="s">
        <v>4629</v>
      </c>
      <c r="AC812" s="151" t="s">
        <v>505</v>
      </c>
      <c r="AD812" s="151" t="str">
        <f aca="false">CONCATENATE($C812,$I812,$H812,$N812,$J812,$K812)</f>
        <v>TUBO PEADPEAD160VCAREDESZona07</v>
      </c>
      <c r="AE812" s="153" t="n">
        <f aca="false">IFERROR(INDEX(APOIO_REDES!$A:$W,MATCH($C812&amp;$I812&amp;$H812&amp;$N812&amp;$O812,APOIO_REDES!$W:$W,0),MATCH(AE$5,APOIO_REDES!$5:$5,0)),0)</f>
        <v>1.2</v>
      </c>
      <c r="AF812" s="153" t="n">
        <f aca="false">IFERROR(INDEX(APOIO_REDES!$A:$W,MATCH($C812&amp;$I812&amp;$H812&amp;$N812&amp;$O812,APOIO_REDES!$W:$W,0),MATCH(AF$5,APOIO_REDES!$5:$5,0)),0)</f>
        <v>1.46</v>
      </c>
      <c r="AG812" s="153" t="n">
        <f aca="false">IFERROR(INDEX(APOIO_REDES!$A:$W,MATCH($C812&amp;$I812&amp;$H812&amp;$N812&amp;$O812,APOIO_REDES!$W:$W,0),MATCH(AG$5,APOIO_REDES!$5:$5,0)),0)</f>
        <v>0.75</v>
      </c>
      <c r="AH812" s="153" t="n">
        <f aca="false">IFERROR(INDEX(APOIO_REDES!$A:$W,MATCH($C812&amp;$I812&amp;$H812&amp;$N812&amp;$O812,APOIO_REDES!$W:$W,0),MATCH(AH$5,APOIO_REDES!$5:$5,0)),0)</f>
        <v>0.1</v>
      </c>
      <c r="AI812" s="153" t="n">
        <f aca="false">IFERROR(IF($H812&lt;&gt;"",(((($H812/1000)/2)^2)*PI()*$M812),0),0)</f>
        <v>0.983594960727121</v>
      </c>
      <c r="AJ812" s="153" t="n">
        <f aca="false">IFERROR(IF(AND($H812&lt;&gt;"",$I812="FoFo",OR($N812="MND",$N812="VCA"),$Q812="LINEAR"),0,IF(AND($H812&lt;&gt;"",$I812="PEAD",$N812="VCA",$Q812="LINEAR"),($H812/1000)+0.3,IF(AND($H812&lt;&gt;"",$I812="PEAD",$N812="MND",$Q812="EMBOQUE"),0,IF(AND($H812&lt;&gt;"",$I812="PVC",$N812="VCA",$Q812="LINEAR"),($H812/1000)+0.2,IF(AND($H812&lt;&gt;"",$I812="PVC",$N812="MND",$Q812="EMBOQUE"),0,IF(AND($H812&lt;&gt;"",$I812="PEAD",$N812="VCA",$Q812="PREDIAL"),0,0)))))),0)</f>
        <v>0.46</v>
      </c>
      <c r="AK812" s="153" t="n">
        <f aca="false">IF(AA812&lt;&gt;"",AA812,0)</f>
        <v>3.6</v>
      </c>
      <c r="AL812" s="153" t="n">
        <f aca="false">IF(AND($N812="MND",$Q812="EMBOQUE"),$M812,IF(AND($N812="VCA",$Q812="LINEAR"),$M812,IF(AND($N812="VCA",$Q812="PREDIAL"),0,0)))</f>
        <v>48.92</v>
      </c>
      <c r="AM812" s="153" t="n">
        <f aca="false">IF(AND($N812="MND",$Q812="EMBOQUE"),$M812,IF(AND($N812="VCA",$Q812="LINEAR"),$M812,IF(AND($N812="VCA",$Q812="PREDIAL"),0,0)))</f>
        <v>48.92</v>
      </c>
      <c r="AN812" s="153" t="n">
        <f aca="false">ROUND(IF(AND($N812="VCA",$M812&lt;&gt;"",$Q812="LINEAR"),$M812/100,IF(AND($N812="MND",$M812&gt;100,$Q812="EMBOQUE"),$M812/100,0)),0)</f>
        <v>0</v>
      </c>
      <c r="AO812" s="153" t="n">
        <f aca="false">IF(AND($N812="MND",$Q812="EMBOQUE"),$AN812*2*2,IF(AND($N812="VCA",$Q812="LINEAR"),$M812*2,IF(AND($N812="VCA",$Q812="PREDIAL"),0,0)))</f>
        <v>97.84</v>
      </c>
      <c r="AP812" s="153" t="n">
        <f aca="false">IFERROR($M812*$AF812*$AG812,0)</f>
        <v>53.5674</v>
      </c>
      <c r="AQ812" s="153" t="n">
        <f aca="false">IFERROR(IF(AND($N812="VCA",$AH812&gt;0),$M812*$AG812*$AH812,0),0)</f>
        <v>3.669</v>
      </c>
      <c r="AR812" s="153" t="n">
        <f aca="false">IFERROR(IF(AND($N812="VCA",$AJ812&gt;0),($M812*$AG812*$AJ812)-$AI812,0),0)</f>
        <v>15.8938050392729</v>
      </c>
      <c r="AS812" s="153" t="n">
        <f aca="false">IFERROR(IF(AND($N812="VCA",$AP812&gt;0),$AP812-$AI812-$AQ812-$AR812,0),0)</f>
        <v>33.021</v>
      </c>
      <c r="AT812" s="153" t="n">
        <f aca="false">IFERROR(IF($N812="VCA",INDEX(APOIO_REDES!$A:$W,MATCH($C812&amp;$I812&amp;$H812&amp;$N812&amp;$O812,APOIO_REDES!$W:$W,0),MATCH(AT$5,APOIO_REDES!$5:$5,0)),0)*$AP812,0)</f>
        <v>0.582829167141076</v>
      </c>
      <c r="AU812" s="153" t="n">
        <f aca="false">IFERROR(IF($N812="VCA",INDEX(APOIO_REDES!$A:$W,MATCH($C812&amp;$I812&amp;$H812&amp;$N812&amp;$O812,APOIO_REDES!$W:$W,0),MATCH(AU$5,APOIO_REDES!$5:$5,0)),0)*$AP812,0)</f>
        <v>0.465431587863154</v>
      </c>
      <c r="AV812" s="153" t="n">
        <f aca="false">IFERROR(IF($N812="VCA",INDEX(APOIO_REDES!$A:$W,MATCH($C812&amp;$I812&amp;$H812&amp;$N812&amp;$O812,APOIO_REDES!$W:$W,0),MATCH(AV$5,APOIO_REDES!$5:$5,0)),0)*$AP812,0)</f>
        <v>0.064412077979038</v>
      </c>
      <c r="AW812" s="153" t="n">
        <f aca="false">IFERROR(IF($N812="VCA",INDEX(APOIO_REDES!$A:$W,MATCH($C812&amp;$I812&amp;$H812&amp;$N812&amp;$O812,APOIO_REDES!$W:$W,0),MATCH(AW$5,APOIO_REDES!$5:$5,0)),0)*$AP812,0)</f>
        <v>36.7690784204692</v>
      </c>
      <c r="AX812" s="153" t="n">
        <f aca="false">IFERROR(IF($N812="VCA",INDEX(APOIO_REDES!$A:$W,MATCH($C812&amp;$I812&amp;$H812&amp;$N812&amp;$O812,APOIO_REDES!$W:$W,0),MATCH(AX$5,APOIO_REDES!$5:$5,0)),0)*$AP812,0)</f>
        <v>5.08873571469046</v>
      </c>
      <c r="AY812" s="153" t="n">
        <f aca="false">IFERROR(IF($N812="VCA",INDEX(APOIO_REDES!$A:$W,MATCH($C812&amp;$I812&amp;$H812&amp;$N812&amp;$O812,APOIO_REDES!$W:$W,0),MATCH(AY$5,APOIO_REDES!$5:$5,0)),0)*$AP812,0)</f>
        <v>9.30862608368974</v>
      </c>
      <c r="AZ812" s="153" t="n">
        <f aca="false">IFERROR(IF($N812="VCA",INDEX(APOIO_REDES!$A:$W,MATCH($C812&amp;$I812&amp;$H812&amp;$N812&amp;$O812,APOIO_REDES!$W:$W,0),MATCH(AZ$5,APOIO_REDES!$5:$5,0)),0)*$AP812,0)</f>
        <v>1.28828694816737</v>
      </c>
      <c r="BA812" s="153" t="n">
        <f aca="false">IFERROR(IF(AND($N812="VCA",$Q812="LINEAR"),INDEX(APOIO_REDES!$A:$W,MATCH($C812&amp;$I812&amp;$H812&amp;$N812&amp;$O812,APOIO_REDES!$W:$W,0),MATCH(BA$5,APOIO_REDES!$5:$5,0)),IF(AND($N812="MND",$Q812="EMBOQUE"),INDEX(APOIO_REDES!$A:$W,MATCH($C812&amp;$I812&amp;$H812&amp;$N812&amp;$O812,APOIO_REDES!$W:$W,0),MATCH(BA$5,APOIO_REDES!$5:$5,0)),0))*$M812/10,0)</f>
        <v>3.94282860320285</v>
      </c>
      <c r="BB812" s="153" t="n">
        <f aca="false">IFERROR(IF($N812="VCA",INDEX(APOIO_REDES!$A:$W,MATCH($C812&amp;$I812&amp;$H812&amp;$N812&amp;$O812,APOIO_REDES!$W:$W,0),MATCH(BB$5,APOIO_REDES!$5:$5,0)),0)*($AI812+$AQ812+$AR812),0)</f>
        <v>20.322849086576</v>
      </c>
      <c r="BC812" s="153" t="n">
        <f aca="false">IFERROR(IF($N812="VCA",INDEX(APOIO_REDES!$A:$W,MATCH($C812&amp;$I812&amp;$H812&amp;$N812&amp;$O812,APOIO_REDES!$W:$W,0),MATCH(BC$5,APOIO_REDES!$5:$5,0)),0)*($AI812+$AQ812+$AR812),0)</f>
        <v>0.223550913423974</v>
      </c>
      <c r="BD812" s="153" t="n">
        <f aca="false">IF(AND($N812="VCA",$AF812&gt;=1.25,$AF812&lt;1.5),$M812*$AF812*2,0)</f>
        <v>142.8464</v>
      </c>
      <c r="BE812" s="153" t="n">
        <f aca="false">IF(AND($N812="VCA",$AF812&gt;=1.5,$AF812&lt;3),$M812*$AF812*2,0)</f>
        <v>0</v>
      </c>
      <c r="BF812" s="153" t="n">
        <f aca="false">IF(AND($N812="VCA",$AF812&gt;=3),$M812*$AF812*2,0)</f>
        <v>0</v>
      </c>
      <c r="BG812" s="153" t="n">
        <f aca="false">($BB812+$BC812)*$AK812</f>
        <v>73.96704</v>
      </c>
      <c r="BH812" s="153" t="n">
        <f aca="false">IF(AND($M812&lt;&gt;"",$N812="VCA",$Q812="LINEAR"),($M812*2)/100,IF(AND($M812&lt;&gt;"",$N812="MND",$Q812="EMBOQUE"),($AN812*2)/100,0))</f>
        <v>0.9784</v>
      </c>
      <c r="BI812" s="153" t="n">
        <f aca="false">IF(AND($M812&lt;&gt;"",$N812="VCA",$Q812="LINEAR"),$M812,IF(AND($M812&lt;&gt;"",$N812="MND",$Q812="EMBOQUE"),$AN812*2,0))</f>
        <v>48.92</v>
      </c>
      <c r="BJ812" s="153" t="n">
        <f aca="false">IF(AND($M812&lt;&gt;"",$N812="VCA",$Q812="LINEAR"),($M812*6.8)/100,IF(AND($M812&lt;&gt;"",$N812="MND",$Q812="EMBOQUE"),($AN812*2*6.8)/100,0))</f>
        <v>3.32656</v>
      </c>
      <c r="BK812" s="153" t="n">
        <f aca="false">IF(AND($M812&lt;&gt;"",$N812="VCA",$Q812="LINEAR"),($M812*2.5)/50,IF(AND($M812&lt;&gt;"",$N812="MND",$Q812="EMBOQUE"),($AN812*2*2.5)/50,0))</f>
        <v>2.446</v>
      </c>
      <c r="BL812" s="157" t="str">
        <f aca="false">K812&amp;J812</f>
        <v>Zona07REDES</v>
      </c>
      <c r="BM812" s="152" t="s">
        <v>4225</v>
      </c>
      <c r="BN812" s="152" t="s">
        <v>1560</v>
      </c>
      <c r="BO812" s="152" t="s">
        <v>4218</v>
      </c>
      <c r="BP812" s="152" t="s">
        <v>4603</v>
      </c>
      <c r="BQ812" s="152" t="s">
        <v>4595</v>
      </c>
      <c r="BR812" s="152" t="s">
        <v>4630</v>
      </c>
      <c r="BS812" s="152" t="n">
        <v>203978.152</v>
      </c>
      <c r="BT812" s="152" t="n">
        <v>8236464</v>
      </c>
      <c r="BU812" s="152" t="n">
        <v>204012.15</v>
      </c>
      <c r="BV812" s="152" t="n">
        <v>8236499.168</v>
      </c>
      <c r="BW812" s="152" t="n">
        <v>-15.9332951</v>
      </c>
      <c r="BX812" s="152" t="n">
        <v>-47.7647838</v>
      </c>
      <c r="BY812" s="152" t="s">
        <v>4603</v>
      </c>
    </row>
    <row r="813" customFormat="false" ht="13.8" hidden="false" customHeight="false" outlineLevel="0" collapsed="false">
      <c r="A813" s="149" t="n">
        <f aca="false">IF(C813&lt;&gt;"",ROW(A808),"")</f>
        <v>808</v>
      </c>
      <c r="B813" s="150" t="str">
        <f aca="false">HYPERLINK("https://www.google.com/maps/dir/-15.917302,-47.760003/-15.9340339,-47.7655201/data=!4m3!4m2!3e0!5i1")</f>
        <v>https://www.google.com/maps/dir/-15.917302,-47.760003/-15.9340339,-47.7655201/data=!4m3!4m2!3e0!5i1</v>
      </c>
      <c r="C813" s="151" t="s">
        <v>117</v>
      </c>
      <c r="D813" s="152" t="s">
        <v>112</v>
      </c>
      <c r="E813" s="152" t="s">
        <v>113</v>
      </c>
      <c r="F813" s="152" t="s">
        <v>117</v>
      </c>
      <c r="G813" s="152" t="s">
        <v>782</v>
      </c>
      <c r="H813" s="152" t="n">
        <v>63</v>
      </c>
      <c r="I813" s="152" t="s">
        <v>115</v>
      </c>
      <c r="J813" s="152" t="s">
        <v>6</v>
      </c>
      <c r="K813" s="152" t="s">
        <v>4221</v>
      </c>
      <c r="L813" s="152" t="s">
        <v>120</v>
      </c>
      <c r="M813" s="153" t="n">
        <f aca="false">145.8+0.22</f>
        <v>146.02</v>
      </c>
      <c r="N813" s="152" t="s">
        <v>1548</v>
      </c>
      <c r="O813" s="152" t="s">
        <v>1549</v>
      </c>
      <c r="P813" s="152" t="s">
        <v>1550</v>
      </c>
      <c r="Q813" s="152" t="s">
        <v>1551</v>
      </c>
      <c r="R813" s="154" t="s">
        <v>4631</v>
      </c>
      <c r="S813" s="154" t="s">
        <v>1553</v>
      </c>
      <c r="T813" s="155" t="s">
        <v>4216</v>
      </c>
      <c r="U813" s="152" t="str">
        <f aca="false">RIGHT(T813,7)</f>
        <v>019/037</v>
      </c>
      <c r="V813" s="152" t="s">
        <v>1555</v>
      </c>
      <c r="W813" s="156" t="n">
        <v>45882</v>
      </c>
      <c r="X813" s="152" t="s">
        <v>1594</v>
      </c>
      <c r="Y813" s="152" t="s">
        <v>4632</v>
      </c>
      <c r="Z813" s="152" t="s">
        <v>1557</v>
      </c>
      <c r="AA813" s="153" t="n">
        <v>3.7</v>
      </c>
      <c r="AB813" s="151" t="s">
        <v>4633</v>
      </c>
      <c r="AC813" s="151" t="s">
        <v>186</v>
      </c>
      <c r="AD813" s="151" t="str">
        <f aca="false">CONCATENATE($C813,$I813,$H813,$N813,$J813,$K813)</f>
        <v>TUBO PEADPEAD63VCAREDESZona07</v>
      </c>
      <c r="AE813" s="153" t="n">
        <f aca="false">IFERROR(INDEX(APOIO_REDES!$A:$W,MATCH($C813&amp;$I813&amp;$H813&amp;$N813&amp;$O813,APOIO_REDES!$W:$W,0),MATCH(AE$5,APOIO_REDES!$5:$5,0)),0)</f>
        <v>1.2</v>
      </c>
      <c r="AF813" s="153" t="n">
        <f aca="false">IFERROR(INDEX(APOIO_REDES!$A:$W,MATCH($C813&amp;$I813&amp;$H813&amp;$N813&amp;$O813,APOIO_REDES!$W:$W,0),MATCH(AF$5,APOIO_REDES!$5:$5,0)),0)</f>
        <v>1.363</v>
      </c>
      <c r="AG813" s="153" t="n">
        <f aca="false">IFERROR(INDEX(APOIO_REDES!$A:$W,MATCH($C813&amp;$I813&amp;$H813&amp;$N813&amp;$O813,APOIO_REDES!$W:$W,0),MATCH(AG$5,APOIO_REDES!$5:$5,0)),0)</f>
        <v>0.65</v>
      </c>
      <c r="AH813" s="153" t="n">
        <f aca="false">IFERROR(INDEX(APOIO_REDES!$A:$W,MATCH($C813&amp;$I813&amp;$H813&amp;$N813&amp;$O813,APOIO_REDES!$W:$W,0),MATCH(AH$5,APOIO_REDES!$5:$5,0)),0)</f>
        <v>0.1</v>
      </c>
      <c r="AI813" s="153" t="n">
        <f aca="false">IFERROR(IF($H813&lt;&gt;"",(((($H813/1000)/2)^2)*PI()*$M813),0),0)</f>
        <v>0.455180160242783</v>
      </c>
      <c r="AJ813" s="153" t="n">
        <f aca="false">IFERROR(IF(AND($H813&lt;&gt;"",$I813="FoFo",OR($N813="MND",$N813="VCA"),$Q813="LINEAR"),0,IF(AND($H813&lt;&gt;"",$I813="PEAD",$N813="VCA",$Q813="LINEAR"),($H813/1000)+0.3,IF(AND($H813&lt;&gt;"",$I813="PEAD",$N813="MND",$Q813="EMBOQUE"),0,IF(AND($H813&lt;&gt;"",$I813="PVC",$N813="VCA",$Q813="LINEAR"),($H813/1000)+0.2,IF(AND($H813&lt;&gt;"",$I813="PVC",$N813="MND",$Q813="EMBOQUE"),0,IF(AND($H813&lt;&gt;"",$I813="PEAD",$N813="VCA",$Q813="PREDIAL"),0,0)))))),0)</f>
        <v>0.363</v>
      </c>
      <c r="AK813" s="153" t="n">
        <f aca="false">IF(AA813&lt;&gt;"",AA813,0)</f>
        <v>3.7</v>
      </c>
      <c r="AL813" s="153" t="n">
        <f aca="false">IF(AND($N813="MND",$Q813="EMBOQUE"),$M813,IF(AND($N813="VCA",$Q813="LINEAR"),$M813,IF(AND($N813="VCA",$Q813="PREDIAL"),0,0)))</f>
        <v>146.02</v>
      </c>
      <c r="AM813" s="153" t="n">
        <f aca="false">IF(AND($N813="MND",$Q813="EMBOQUE"),$M813,IF(AND($N813="VCA",$Q813="LINEAR"),$M813,IF(AND($N813="VCA",$Q813="PREDIAL"),0,0)))</f>
        <v>146.02</v>
      </c>
      <c r="AN813" s="153" t="n">
        <f aca="false">ROUND(IF(AND($N813="VCA",$M813&lt;&gt;"",$Q813="LINEAR"),$M813/100,IF(AND($N813="MND",$M813&gt;100,$Q813="EMBOQUE"),$M813/100,0)),0)</f>
        <v>1</v>
      </c>
      <c r="AO813" s="153" t="n">
        <f aca="false">IF(AND($N813="MND",$Q813="EMBOQUE"),$AN813*2*2,IF(AND($N813="VCA",$Q813="LINEAR"),$M813*2,IF(AND($N813="VCA",$Q813="PREDIAL"),0,0)))</f>
        <v>292.04</v>
      </c>
      <c r="AP813" s="153" t="n">
        <f aca="false">IFERROR($M813*$AF813*$AG813,0)</f>
        <v>129.366419</v>
      </c>
      <c r="AQ813" s="153" t="n">
        <f aca="false">IFERROR(IF(AND($N813="VCA",$AH813&gt;0),$M813*$AG813*$AH813,0),0)</f>
        <v>9.4913</v>
      </c>
      <c r="AR813" s="153" t="n">
        <f aca="false">IFERROR(IF(AND($N813="VCA",$AJ813&gt;0),($M813*$AG813*$AJ813)-$AI813,0),0)</f>
        <v>33.9982388397572</v>
      </c>
      <c r="AS813" s="153" t="n">
        <f aca="false">IFERROR(IF(AND($N813="VCA",$AP813&gt;0),$AP813-$AI813-$AQ813-$AR813,0),0)</f>
        <v>85.4217</v>
      </c>
      <c r="AT813" s="153" t="n">
        <f aca="false">IFERROR(IF($N813="VCA",INDEX(APOIO_REDES!$A:$W,MATCH($C813&amp;$I813&amp;$H813&amp;$N813&amp;$O813,APOIO_REDES!$W:$W,0),MATCH(AT$5,APOIO_REDES!$5:$5,0)),0)*$AP813,0)</f>
        <v>1.40754492922549</v>
      </c>
      <c r="AU813" s="153" t="n">
        <f aca="false">IFERROR(IF($N813="VCA",INDEX(APOIO_REDES!$A:$W,MATCH($C813&amp;$I813&amp;$H813&amp;$N813&amp;$O813,APOIO_REDES!$W:$W,0),MATCH(AU$5,APOIO_REDES!$5:$5,0)),0)*$AP813,0)</f>
        <v>1.12402725932825</v>
      </c>
      <c r="AV813" s="153" t="n">
        <f aca="false">IFERROR(IF($N813="VCA",INDEX(APOIO_REDES!$A:$W,MATCH($C813&amp;$I813&amp;$H813&amp;$N813&amp;$O813,APOIO_REDES!$W:$W,0),MATCH(AV$5,APOIO_REDES!$5:$5,0)),0)*$AP813,0)</f>
        <v>0.155556548731073</v>
      </c>
      <c r="AW813" s="153" t="n">
        <f aca="false">IFERROR(IF($N813="VCA",INDEX(APOIO_REDES!$A:$W,MATCH($C813&amp;$I813&amp;$H813&amp;$N813&amp;$O813,APOIO_REDES!$W:$W,0),MATCH(AW$5,APOIO_REDES!$5:$5,0)),0)*$AP813,0)</f>
        <v>88.7981123815282</v>
      </c>
      <c r="AX813" s="153" t="n">
        <f aca="false">IFERROR(IF($N813="VCA",INDEX(APOIO_REDES!$A:$W,MATCH($C813&amp;$I813&amp;$H813&amp;$N813&amp;$O813,APOIO_REDES!$W:$W,0),MATCH(AX$5,APOIO_REDES!$5:$5,0)),0)*$AP813,0)</f>
        <v>12.2894058073924</v>
      </c>
      <c r="AY813" s="153" t="n">
        <f aca="false">IFERROR(IF($N813="VCA",INDEX(APOIO_REDES!$A:$W,MATCH($C813&amp;$I813&amp;$H813&amp;$N813&amp;$O813,APOIO_REDES!$W:$W,0),MATCH(AY$5,APOIO_REDES!$5:$5,0)),0)*$AP813,0)</f>
        <v>22.4805314847638</v>
      </c>
      <c r="AZ813" s="153" t="n">
        <f aca="false">IFERROR(IF($N813="VCA",INDEX(APOIO_REDES!$A:$W,MATCH($C813&amp;$I813&amp;$H813&amp;$N813&amp;$O813,APOIO_REDES!$W:$W,0),MATCH(AZ$5,APOIO_REDES!$5:$5,0)),0)*$AP813,0)</f>
        <v>3.11124058903086</v>
      </c>
      <c r="BA813" s="153" t="n">
        <f aca="false">IFERROR(IF(AND($N813="VCA",$Q813="LINEAR"),INDEX(APOIO_REDES!$A:$W,MATCH($C813&amp;$I813&amp;$H813&amp;$N813&amp;$O813,APOIO_REDES!$W:$W,0),MATCH(BA$5,APOIO_REDES!$5:$5,0)),IF(AND($N813="MND",$Q813="EMBOQUE"),INDEX(APOIO_REDES!$A:$W,MATCH($C813&amp;$I813&amp;$H813&amp;$N813&amp;$O813,APOIO_REDES!$W:$W,0),MATCH(BA$5,APOIO_REDES!$5:$5,0)),0))*$M813/10,0)</f>
        <v>11.7688436761995</v>
      </c>
      <c r="BB813" s="153" t="n">
        <f aca="false">IFERROR(IF($N813="VCA",INDEX(APOIO_REDES!$A:$W,MATCH($C813&amp;$I813&amp;$H813&amp;$N813&amp;$O813,APOIO_REDES!$W:$W,0),MATCH(BB$5,APOIO_REDES!$5:$5,0)),0)*($AI813+$AQ813+$AR813),0)</f>
        <v>43.4665874503071</v>
      </c>
      <c r="BC813" s="153" t="n">
        <f aca="false">IFERROR(IF($N813="VCA",INDEX(APOIO_REDES!$A:$W,MATCH($C813&amp;$I813&amp;$H813&amp;$N813&amp;$O813,APOIO_REDES!$W:$W,0),MATCH(BC$5,APOIO_REDES!$5:$5,0)),0)*($AI813+$AQ813+$AR813),0)</f>
        <v>0.478131549692885</v>
      </c>
      <c r="BD813" s="153" t="n">
        <f aca="false">IF(AND($N813="VCA",$AF813&gt;=1.25,$AF813&lt;1.5),$M813*$AF813*2,0)</f>
        <v>398.05052</v>
      </c>
      <c r="BE813" s="153" t="n">
        <f aca="false">IF(AND($N813="VCA",$AF813&gt;=1.5,$AF813&lt;3),$M813*$AF813*2,0)</f>
        <v>0</v>
      </c>
      <c r="BF813" s="153" t="n">
        <f aca="false">IF(AND($N813="VCA",$AF813&gt;=3),$M813*$AF813*2,0)</f>
        <v>0</v>
      </c>
      <c r="BG813" s="153" t="n">
        <f aca="false">($BB813+$BC813)*$AK813</f>
        <v>162.5954603</v>
      </c>
      <c r="BH813" s="153" t="n">
        <f aca="false">IF(AND($M813&lt;&gt;"",$N813="VCA",$Q813="LINEAR"),($M813*2)/100,IF(AND($M813&lt;&gt;"",$N813="MND",$Q813="EMBOQUE"),($AN813*2)/100,0))</f>
        <v>2.9204</v>
      </c>
      <c r="BI813" s="153" t="n">
        <f aca="false">IF(AND($M813&lt;&gt;"",$N813="VCA",$Q813="LINEAR"),$M813,IF(AND($M813&lt;&gt;"",$N813="MND",$Q813="EMBOQUE"),$AN813*2,0))</f>
        <v>146.02</v>
      </c>
      <c r="BJ813" s="153" t="n">
        <f aca="false">IF(AND($M813&lt;&gt;"",$N813="VCA",$Q813="LINEAR"),($M813*6.8)/100,IF(AND($M813&lt;&gt;"",$N813="MND",$Q813="EMBOQUE"),($AN813*2*6.8)/100,0))</f>
        <v>9.92936</v>
      </c>
      <c r="BK813" s="153" t="n">
        <f aca="false">IF(AND($M813&lt;&gt;"",$N813="VCA",$Q813="LINEAR"),($M813*2.5)/50,IF(AND($M813&lt;&gt;"",$N813="MND",$Q813="EMBOQUE"),($AN813*2*2.5)/50,0))</f>
        <v>7.301</v>
      </c>
      <c r="BL813" s="157" t="str">
        <f aca="false">K813&amp;J813</f>
        <v>Zona07REDES</v>
      </c>
      <c r="BM813" s="152" t="s">
        <v>4225</v>
      </c>
      <c r="BN813" s="152" t="s">
        <v>1560</v>
      </c>
      <c r="BO813" s="152" t="s">
        <v>4218</v>
      </c>
      <c r="BP813" s="152" t="s">
        <v>4634</v>
      </c>
      <c r="BQ813" s="152" t="s">
        <v>4521</v>
      </c>
      <c r="BR813" s="152" t="s">
        <v>4635</v>
      </c>
      <c r="BS813" s="152" t="n">
        <v>203917.469</v>
      </c>
      <c r="BT813" s="152" t="n">
        <v>8236398.629</v>
      </c>
      <c r="BU813" s="152" t="n">
        <v>203814.069</v>
      </c>
      <c r="BV813" s="152" t="n">
        <v>8236431.467</v>
      </c>
      <c r="BW813" s="152" t="n">
        <v>-15.9335584</v>
      </c>
      <c r="BX813" s="152" t="n">
        <v>-47.7659887</v>
      </c>
      <c r="BY813" s="152" t="s">
        <v>4634</v>
      </c>
    </row>
    <row r="814" customFormat="false" ht="13.8" hidden="false" customHeight="false" outlineLevel="0" collapsed="false">
      <c r="A814" s="149" t="n">
        <f aca="false">IF(C814&lt;&gt;"",ROW(A809),"")</f>
        <v>809</v>
      </c>
      <c r="B814" s="150" t="str">
        <f aca="false">HYPERLINK("https://www.google.com/maps/dir/-15.917302,-47.760003/-15.9337019,-47.7651921/data=!4m3!4m2!3e0!5i1")</f>
        <v>https://www.google.com/maps/dir/-15.917302,-47.760003/-15.9337019,-47.7651921/data=!4m3!4m2!3e0!5i1</v>
      </c>
      <c r="C814" s="151" t="s">
        <v>117</v>
      </c>
      <c r="D814" s="152" t="s">
        <v>112</v>
      </c>
      <c r="E814" s="152" t="s">
        <v>113</v>
      </c>
      <c r="F814" s="152" t="s">
        <v>117</v>
      </c>
      <c r="G814" s="152" t="s">
        <v>114</v>
      </c>
      <c r="H814" s="152" t="n">
        <v>160</v>
      </c>
      <c r="I814" s="152" t="s">
        <v>115</v>
      </c>
      <c r="J814" s="152" t="s">
        <v>6</v>
      </c>
      <c r="K814" s="152" t="s">
        <v>4221</v>
      </c>
      <c r="L814" s="152" t="s">
        <v>120</v>
      </c>
      <c r="M814" s="153" t="n">
        <f aca="false">38.34</f>
        <v>38.34</v>
      </c>
      <c r="N814" s="152" t="s">
        <v>1548</v>
      </c>
      <c r="O814" s="152" t="s">
        <v>1549</v>
      </c>
      <c r="P814" s="152" t="s">
        <v>1550</v>
      </c>
      <c r="Q814" s="152" t="s">
        <v>1551</v>
      </c>
      <c r="R814" s="154" t="s">
        <v>4636</v>
      </c>
      <c r="S814" s="154" t="s">
        <v>1593</v>
      </c>
      <c r="T814" s="155" t="s">
        <v>4216</v>
      </c>
      <c r="U814" s="152" t="str">
        <f aca="false">RIGHT(T814,7)</f>
        <v>019/037</v>
      </c>
      <c r="V814" s="152" t="s">
        <v>1555</v>
      </c>
      <c r="W814" s="156" t="n">
        <v>45882</v>
      </c>
      <c r="X814" s="152" t="s">
        <v>1594</v>
      </c>
      <c r="Y814" s="152" t="s">
        <v>4015</v>
      </c>
      <c r="Z814" s="152" t="s">
        <v>1557</v>
      </c>
      <c r="AA814" s="153" t="n">
        <v>3.6</v>
      </c>
      <c r="AB814" s="151" t="s">
        <v>4637</v>
      </c>
      <c r="AC814" s="151" t="s">
        <v>505</v>
      </c>
      <c r="AD814" s="151" t="str">
        <f aca="false">CONCATENATE($C814,$I814,$H814,$N814,$J814,$K814)</f>
        <v>TUBO PEADPEAD160VCAREDESZona07</v>
      </c>
      <c r="AE814" s="153" t="n">
        <f aca="false">IFERROR(INDEX(APOIO_REDES!$A:$W,MATCH($C814&amp;$I814&amp;$H814&amp;$N814&amp;$O814,APOIO_REDES!$W:$W,0),MATCH(AE$5,APOIO_REDES!$5:$5,0)),0)</f>
        <v>1.2</v>
      </c>
      <c r="AF814" s="153" t="n">
        <f aca="false">IFERROR(INDEX(APOIO_REDES!$A:$W,MATCH($C814&amp;$I814&amp;$H814&amp;$N814&amp;$O814,APOIO_REDES!$W:$W,0),MATCH(AF$5,APOIO_REDES!$5:$5,0)),0)</f>
        <v>1.46</v>
      </c>
      <c r="AG814" s="153" t="n">
        <f aca="false">IFERROR(INDEX(APOIO_REDES!$A:$W,MATCH($C814&amp;$I814&amp;$H814&amp;$N814&amp;$O814,APOIO_REDES!$W:$W,0),MATCH(AG$5,APOIO_REDES!$5:$5,0)),0)</f>
        <v>0.75</v>
      </c>
      <c r="AH814" s="153" t="n">
        <f aca="false">IFERROR(INDEX(APOIO_REDES!$A:$W,MATCH($C814&amp;$I814&amp;$H814&amp;$N814&amp;$O814,APOIO_REDES!$W:$W,0),MATCH(AH$5,APOIO_REDES!$5:$5,0)),0)</f>
        <v>0.1</v>
      </c>
      <c r="AI814" s="153" t="n">
        <f aca="false">IFERROR(IF($H814&lt;&gt;"",(((($H814/1000)/2)^2)*PI()*$M814),0),0)</f>
        <v>0.770871438967249</v>
      </c>
      <c r="AJ814" s="153" t="n">
        <f aca="false">IFERROR(IF(AND($H814&lt;&gt;"",$I814="FoFo",OR($N814="MND",$N814="VCA"),$Q814="LINEAR"),0,IF(AND($H814&lt;&gt;"",$I814="PEAD",$N814="VCA",$Q814="LINEAR"),($H814/1000)+0.3,IF(AND($H814&lt;&gt;"",$I814="PEAD",$N814="MND",$Q814="EMBOQUE"),0,IF(AND($H814&lt;&gt;"",$I814="PVC",$N814="VCA",$Q814="LINEAR"),($H814/1000)+0.2,IF(AND($H814&lt;&gt;"",$I814="PVC",$N814="MND",$Q814="EMBOQUE"),0,IF(AND($H814&lt;&gt;"",$I814="PEAD",$N814="VCA",$Q814="PREDIAL"),0,0)))))),0)</f>
        <v>0.46</v>
      </c>
      <c r="AK814" s="153" t="n">
        <f aca="false">IF(AA814&lt;&gt;"",AA814,0)</f>
        <v>3.6</v>
      </c>
      <c r="AL814" s="153" t="n">
        <f aca="false">IF(AND($N814="MND",$Q814="EMBOQUE"),$M814,IF(AND($N814="VCA",$Q814="LINEAR"),$M814,IF(AND($N814="VCA",$Q814="PREDIAL"),0,0)))</f>
        <v>38.34</v>
      </c>
      <c r="AM814" s="153" t="n">
        <f aca="false">IF(AND($N814="MND",$Q814="EMBOQUE"),$M814,IF(AND($N814="VCA",$Q814="LINEAR"),$M814,IF(AND($N814="VCA",$Q814="PREDIAL"),0,0)))</f>
        <v>38.34</v>
      </c>
      <c r="AN814" s="153" t="n">
        <f aca="false">ROUND(IF(AND($N814="VCA",$M814&lt;&gt;"",$Q814="LINEAR"),$M814/100,IF(AND($N814="MND",$M814&gt;100,$Q814="EMBOQUE"),$M814/100,0)),0)</f>
        <v>0</v>
      </c>
      <c r="AO814" s="153" t="n">
        <f aca="false">IF(AND($N814="MND",$Q814="EMBOQUE"),$AN814*2*2,IF(AND($N814="VCA",$Q814="LINEAR"),$M814*2,IF(AND($N814="VCA",$Q814="PREDIAL"),0,0)))</f>
        <v>76.68</v>
      </c>
      <c r="AP814" s="153" t="n">
        <f aca="false">IFERROR($M814*$AF814*$AG814,0)</f>
        <v>41.9823</v>
      </c>
      <c r="AQ814" s="153" t="n">
        <f aca="false">IFERROR(IF(AND($N814="VCA",$AH814&gt;0),$M814*$AG814*$AH814,0),0)</f>
        <v>2.8755</v>
      </c>
      <c r="AR814" s="153" t="n">
        <f aca="false">IFERROR(IF(AND($N814="VCA",$AJ814&gt;0),($M814*$AG814*$AJ814)-$AI814,0),0)</f>
        <v>12.4564285610328</v>
      </c>
      <c r="AS814" s="153" t="n">
        <f aca="false">IFERROR(IF(AND($N814="VCA",$AP814&gt;0),$AP814-$AI814-$AQ814-$AR814,0),0)</f>
        <v>25.8795</v>
      </c>
      <c r="AT814" s="153" t="n">
        <f aca="false">IFERROR(IF($N814="VCA",INDEX(APOIO_REDES!$A:$W,MATCH($C814&amp;$I814&amp;$H814&amp;$N814&amp;$O814,APOIO_REDES!$W:$W,0),MATCH(AT$5,APOIO_REDES!$5:$5,0)),0)*$AP814,0)</f>
        <v>0.45677985012651</v>
      </c>
      <c r="AU814" s="153" t="n">
        <f aca="false">IFERROR(IF($N814="VCA",INDEX(APOIO_REDES!$A:$W,MATCH($C814&amp;$I814&amp;$H814&amp;$N814&amp;$O814,APOIO_REDES!$W:$W,0),MATCH(AU$5,APOIO_REDES!$5:$5,0)),0)*$AP814,0)</f>
        <v>0.364772017143772</v>
      </c>
      <c r="AV814" s="153" t="n">
        <f aca="false">IFERROR(IF($N814="VCA",INDEX(APOIO_REDES!$A:$W,MATCH($C814&amp;$I814&amp;$H814&amp;$N814&amp;$O814,APOIO_REDES!$W:$W,0),MATCH(AV$5,APOIO_REDES!$5:$5,0)),0)*$AP814,0)</f>
        <v>0.0504815836000883</v>
      </c>
      <c r="AW814" s="153" t="n">
        <f aca="false">IFERROR(IF($N814="VCA",INDEX(APOIO_REDES!$A:$W,MATCH($C814&amp;$I814&amp;$H814&amp;$N814&amp;$O814,APOIO_REDES!$W:$W,0),MATCH(AW$5,APOIO_REDES!$5:$5,0)),0)*$AP814,0)</f>
        <v>28.816976014734</v>
      </c>
      <c r="AX814" s="153" t="n">
        <f aca="false">IFERROR(IF($N814="VCA",INDEX(APOIO_REDES!$A:$W,MATCH($C814&amp;$I814&amp;$H814&amp;$N814&amp;$O814,APOIO_REDES!$W:$W,0),MATCH(AX$5,APOIO_REDES!$5:$5,0)),0)*$AP814,0)</f>
        <v>3.9881873937292</v>
      </c>
      <c r="AY814" s="153" t="n">
        <f aca="false">IFERROR(IF($N814="VCA",INDEX(APOIO_REDES!$A:$W,MATCH($C814&amp;$I814&amp;$H814&amp;$N814&amp;$O814,APOIO_REDES!$W:$W,0),MATCH(AY$5,APOIO_REDES!$5:$5,0)),0)*$AP814,0)</f>
        <v>7.29543589633411</v>
      </c>
      <c r="AZ814" s="153" t="n">
        <f aca="false">IFERROR(IF($N814="VCA",INDEX(APOIO_REDES!$A:$W,MATCH($C814&amp;$I814&amp;$H814&amp;$N814&amp;$O814,APOIO_REDES!$W:$W,0),MATCH(AZ$5,APOIO_REDES!$5:$5,0)),0)*$AP814,0)</f>
        <v>1.00966724433232</v>
      </c>
      <c r="BA814" s="153" t="n">
        <f aca="false">IFERROR(IF(AND($N814="VCA",$Q814="LINEAR"),INDEX(APOIO_REDES!$A:$W,MATCH($C814&amp;$I814&amp;$H814&amp;$N814&amp;$O814,APOIO_REDES!$W:$W,0),MATCH(BA$5,APOIO_REDES!$5:$5,0)),IF(AND($N814="MND",$Q814="EMBOQUE"),INDEX(APOIO_REDES!$A:$W,MATCH($C814&amp;$I814&amp;$H814&amp;$N814&amp;$O814,APOIO_REDES!$W:$W,0),MATCH(BA$5,APOIO_REDES!$5:$5,0)),0))*$M814/10,0)</f>
        <v>3.09010729040878</v>
      </c>
      <c r="BB814" s="153" t="n">
        <f aca="false">IFERROR(IF($N814="VCA",INDEX(APOIO_REDES!$A:$W,MATCH($C814&amp;$I814&amp;$H814&amp;$N814&amp;$O814,APOIO_REDES!$W:$W,0),MATCH(BB$5,APOIO_REDES!$5:$5,0)),0)*($AI814+$AQ814+$AR814),0)</f>
        <v>15.9275967698145</v>
      </c>
      <c r="BC814" s="153" t="n">
        <f aca="false">IFERROR(IF($N814="VCA",INDEX(APOIO_REDES!$A:$W,MATCH($C814&amp;$I814&amp;$H814&amp;$N814&amp;$O814,APOIO_REDES!$W:$W,0),MATCH(BC$5,APOIO_REDES!$5:$5,0)),0)*($AI814+$AQ814+$AR814),0)</f>
        <v>0.175203230185511</v>
      </c>
      <c r="BD814" s="153" t="n">
        <f aca="false">IF(AND($N814="VCA",$AF814&gt;=1.25,$AF814&lt;1.5),$M814*$AF814*2,0)</f>
        <v>111.9528</v>
      </c>
      <c r="BE814" s="153" t="n">
        <f aca="false">IF(AND($N814="VCA",$AF814&gt;=1.5,$AF814&lt;3),$M814*$AF814*2,0)</f>
        <v>0</v>
      </c>
      <c r="BF814" s="153" t="n">
        <f aca="false">IF(AND($N814="VCA",$AF814&gt;=3),$M814*$AF814*2,0)</f>
        <v>0</v>
      </c>
      <c r="BG814" s="153" t="n">
        <f aca="false">($BB814+$BC814)*$AK814</f>
        <v>57.97008</v>
      </c>
      <c r="BH814" s="153" t="n">
        <f aca="false">IF(AND($M814&lt;&gt;"",$N814="VCA",$Q814="LINEAR"),($M814*2)/100,IF(AND($M814&lt;&gt;"",$N814="MND",$Q814="EMBOQUE"),($AN814*2)/100,0))</f>
        <v>0.7668</v>
      </c>
      <c r="BI814" s="153" t="n">
        <f aca="false">IF(AND($M814&lt;&gt;"",$N814="VCA",$Q814="LINEAR"),$M814,IF(AND($M814&lt;&gt;"",$N814="MND",$Q814="EMBOQUE"),$AN814*2,0))</f>
        <v>38.34</v>
      </c>
      <c r="BJ814" s="153" t="n">
        <f aca="false">IF(AND($M814&lt;&gt;"",$N814="VCA",$Q814="LINEAR"),($M814*6.8)/100,IF(AND($M814&lt;&gt;"",$N814="MND",$Q814="EMBOQUE"),($AN814*2*6.8)/100,0))</f>
        <v>2.60712</v>
      </c>
      <c r="BK814" s="153" t="n">
        <f aca="false">IF(AND($M814&lt;&gt;"",$N814="VCA",$Q814="LINEAR"),($M814*2.5)/50,IF(AND($M814&lt;&gt;"",$N814="MND",$Q814="EMBOQUE"),($AN814*2*2.5)/50,0))</f>
        <v>1.917</v>
      </c>
      <c r="BL814" s="157" t="str">
        <f aca="false">K814&amp;J814</f>
        <v>Zona07REDES</v>
      </c>
      <c r="BM814" s="152" t="s">
        <v>4225</v>
      </c>
      <c r="BN814" s="152" t="s">
        <v>1560</v>
      </c>
      <c r="BO814" s="152" t="s">
        <v>4218</v>
      </c>
      <c r="BP814" s="152" t="s">
        <v>4618</v>
      </c>
      <c r="BQ814" s="152" t="s">
        <v>4603</v>
      </c>
      <c r="BR814" s="152" t="s">
        <v>4638</v>
      </c>
      <c r="BS814" s="152" t="n">
        <v>203952.119</v>
      </c>
      <c r="BT814" s="152" t="n">
        <v>8236435.853</v>
      </c>
      <c r="BU814" s="152" t="n">
        <v>203978.152</v>
      </c>
      <c r="BV814" s="152" t="n">
        <v>8236464</v>
      </c>
      <c r="BW814" s="152" t="n">
        <v>-15.9335764</v>
      </c>
      <c r="BX814" s="152" t="n">
        <v>-47.7650689</v>
      </c>
      <c r="BY814" s="152" t="s">
        <v>4618</v>
      </c>
    </row>
    <row r="815" customFormat="false" ht="13.8" hidden="false" customHeight="false" outlineLevel="0" collapsed="false">
      <c r="A815" s="149" t="n">
        <f aca="false">IF(C815&lt;&gt;"",ROW(A810),"")</f>
        <v>810</v>
      </c>
      <c r="B815" s="150" t="str">
        <f aca="false">HYPERLINK("https://www.google.com/maps/dir/-15.917302,-47.760003/-15.9340390,-47.7648761/data=!4m3!4m2!3e0!5i1")</f>
        <v>https://www.google.com/maps/dir/-15.917302,-47.760003/-15.9340390,-47.7648761/data=!4m3!4m2!3e0!5i1</v>
      </c>
      <c r="C815" s="151" t="s">
        <v>117</v>
      </c>
      <c r="D815" s="152" t="s">
        <v>112</v>
      </c>
      <c r="E815" s="152" t="s">
        <v>113</v>
      </c>
      <c r="F815" s="152" t="s">
        <v>117</v>
      </c>
      <c r="G815" s="152" t="s">
        <v>782</v>
      </c>
      <c r="H815" s="152" t="n">
        <v>63</v>
      </c>
      <c r="I815" s="152" t="s">
        <v>115</v>
      </c>
      <c r="J815" s="152" t="s">
        <v>6</v>
      </c>
      <c r="K815" s="152" t="s">
        <v>4221</v>
      </c>
      <c r="L815" s="152" t="s">
        <v>120</v>
      </c>
      <c r="M815" s="153" t="n">
        <f aca="false">102.8</f>
        <v>102.8</v>
      </c>
      <c r="N815" s="152" t="s">
        <v>1548</v>
      </c>
      <c r="O815" s="152" t="s">
        <v>1549</v>
      </c>
      <c r="P815" s="152" t="s">
        <v>1550</v>
      </c>
      <c r="Q815" s="152" t="s">
        <v>1551</v>
      </c>
      <c r="R815" s="154" t="s">
        <v>4639</v>
      </c>
      <c r="S815" s="154" t="s">
        <v>1553</v>
      </c>
      <c r="T815" s="155" t="s">
        <v>4216</v>
      </c>
      <c r="U815" s="152" t="str">
        <f aca="false">RIGHT(T815,7)</f>
        <v>019/037</v>
      </c>
      <c r="V815" s="152" t="s">
        <v>1555</v>
      </c>
      <c r="W815" s="156" t="n">
        <v>45882</v>
      </c>
      <c r="X815" s="152" t="s">
        <v>3938</v>
      </c>
      <c r="Y815" s="152" t="s">
        <v>1952</v>
      </c>
      <c r="Z815" s="152" t="s">
        <v>1557</v>
      </c>
      <c r="AA815" s="153" t="n">
        <v>3.7</v>
      </c>
      <c r="AB815" s="151" t="s">
        <v>4640</v>
      </c>
      <c r="AC815" s="151" t="s">
        <v>186</v>
      </c>
      <c r="AD815" s="151" t="str">
        <f aca="false">CONCATENATE($C815,$I815,$H815,$N815,$J815,$K815)</f>
        <v>TUBO PEADPEAD63VCAREDESZona07</v>
      </c>
      <c r="AE815" s="153" t="n">
        <f aca="false">IFERROR(INDEX(APOIO_REDES!$A:$W,MATCH($C815&amp;$I815&amp;$H815&amp;$N815&amp;$O815,APOIO_REDES!$W:$W,0),MATCH(AE$5,APOIO_REDES!$5:$5,0)),0)</f>
        <v>1.2</v>
      </c>
      <c r="AF815" s="153" t="n">
        <f aca="false">IFERROR(INDEX(APOIO_REDES!$A:$W,MATCH($C815&amp;$I815&amp;$H815&amp;$N815&amp;$O815,APOIO_REDES!$W:$W,0),MATCH(AF$5,APOIO_REDES!$5:$5,0)),0)</f>
        <v>1.363</v>
      </c>
      <c r="AG815" s="153" t="n">
        <f aca="false">IFERROR(INDEX(APOIO_REDES!$A:$W,MATCH($C815&amp;$I815&amp;$H815&amp;$N815&amp;$O815,APOIO_REDES!$W:$W,0),MATCH(AG$5,APOIO_REDES!$5:$5,0)),0)</f>
        <v>0.65</v>
      </c>
      <c r="AH815" s="153" t="n">
        <f aca="false">IFERROR(INDEX(APOIO_REDES!$A:$W,MATCH($C815&amp;$I815&amp;$H815&amp;$N815&amp;$O815,APOIO_REDES!$W:$W,0),MATCH(AH$5,APOIO_REDES!$5:$5,0)),0)</f>
        <v>0.1</v>
      </c>
      <c r="AI815" s="153" t="n">
        <f aca="false">IFERROR(IF($H815&lt;&gt;"",(((($H815/1000)/2)^2)*PI()*$M815),0),0)</f>
        <v>0.320452817921916</v>
      </c>
      <c r="AJ815" s="153" t="n">
        <f aca="false">IFERROR(IF(AND($H815&lt;&gt;"",$I815="FoFo",OR($N815="MND",$N815="VCA"),$Q815="LINEAR"),0,IF(AND($H815&lt;&gt;"",$I815="PEAD",$N815="VCA",$Q815="LINEAR"),($H815/1000)+0.3,IF(AND($H815&lt;&gt;"",$I815="PEAD",$N815="MND",$Q815="EMBOQUE"),0,IF(AND($H815&lt;&gt;"",$I815="PVC",$N815="VCA",$Q815="LINEAR"),($H815/1000)+0.2,IF(AND($H815&lt;&gt;"",$I815="PVC",$N815="MND",$Q815="EMBOQUE"),0,IF(AND($H815&lt;&gt;"",$I815="PEAD",$N815="VCA",$Q815="PREDIAL"),0,0)))))),0)</f>
        <v>0.363</v>
      </c>
      <c r="AK815" s="153" t="n">
        <f aca="false">IF(AA815&lt;&gt;"",AA815,0)</f>
        <v>3.7</v>
      </c>
      <c r="AL815" s="153" t="n">
        <f aca="false">IF(AND($N815="MND",$Q815="EMBOQUE"),$M815,IF(AND($N815="VCA",$Q815="LINEAR"),$M815,IF(AND($N815="VCA",$Q815="PREDIAL"),0,0)))</f>
        <v>102.8</v>
      </c>
      <c r="AM815" s="153" t="n">
        <f aca="false">IF(AND($N815="MND",$Q815="EMBOQUE"),$M815,IF(AND($N815="VCA",$Q815="LINEAR"),$M815,IF(AND($N815="VCA",$Q815="PREDIAL"),0,0)))</f>
        <v>102.8</v>
      </c>
      <c r="AN815" s="153" t="n">
        <f aca="false">ROUND(IF(AND($N815="VCA",$M815&lt;&gt;"",$Q815="LINEAR"),$M815/100,IF(AND($N815="MND",$M815&gt;100,$Q815="EMBOQUE"),$M815/100,0)),0)</f>
        <v>1</v>
      </c>
      <c r="AO815" s="153" t="n">
        <f aca="false">IF(AND($N815="MND",$Q815="EMBOQUE"),$AN815*2*2,IF(AND($N815="VCA",$Q815="LINEAR"),$M815*2,IF(AND($N815="VCA",$Q815="PREDIAL"),0,0)))</f>
        <v>205.6</v>
      </c>
      <c r="AP815" s="153" t="n">
        <f aca="false">IFERROR($M815*$AF815*$AG815,0)</f>
        <v>91.07566</v>
      </c>
      <c r="AQ815" s="153" t="n">
        <f aca="false">IFERROR(IF(AND($N815="VCA",$AH815&gt;0),$M815*$AG815*$AH815,0),0)</f>
        <v>6.682</v>
      </c>
      <c r="AR815" s="153" t="n">
        <f aca="false">IFERROR(IF(AND($N815="VCA",$AJ815&gt;0),($M815*$AG815*$AJ815)-$AI815,0),0)</f>
        <v>23.9352071820781</v>
      </c>
      <c r="AS815" s="153" t="n">
        <f aca="false">IFERROR(IF(AND($N815="VCA",$AP815&gt;0),$AP815-$AI815-$AQ815-$AR815,0),0)</f>
        <v>60.138</v>
      </c>
      <c r="AT815" s="153" t="n">
        <f aca="false">IFERROR(IF($N815="VCA",INDEX(APOIO_REDES!$A:$W,MATCH($C815&amp;$I815&amp;$H815&amp;$N815&amp;$O815,APOIO_REDES!$W:$W,0),MATCH(AT$5,APOIO_REDES!$5:$5,0)),0)*$AP815,0)</f>
        <v>0.990930137819342</v>
      </c>
      <c r="AU815" s="153" t="n">
        <f aca="false">IFERROR(IF($N815="VCA",INDEX(APOIO_REDES!$A:$W,MATCH($C815&amp;$I815&amp;$H815&amp;$N815&amp;$O815,APOIO_REDES!$W:$W,0),MATCH(AU$5,APOIO_REDES!$5:$5,0)),0)*$AP815,0)</f>
        <v>0.791329970270812</v>
      </c>
      <c r="AV815" s="153" t="n">
        <f aca="false">IFERROR(IF($N815="VCA",INDEX(APOIO_REDES!$A:$W,MATCH($C815&amp;$I815&amp;$H815&amp;$N815&amp;$O815,APOIO_REDES!$W:$W,0),MATCH(AV$5,APOIO_REDES!$5:$5,0)),0)*$AP815,0)</f>
        <v>0.109513855701646</v>
      </c>
      <c r="AW815" s="153" t="n">
        <f aca="false">IFERROR(IF($N815="VCA",INDEX(APOIO_REDES!$A:$W,MATCH($C815&amp;$I815&amp;$H815&amp;$N815&amp;$O815,APOIO_REDES!$W:$W,0),MATCH(AW$5,APOIO_REDES!$5:$5,0)),0)*$AP815,0)</f>
        <v>62.5150387126496</v>
      </c>
      <c r="AX815" s="153" t="n">
        <f aca="false">IFERROR(IF($N815="VCA",INDEX(APOIO_REDES!$A:$W,MATCH($C815&amp;$I815&amp;$H815&amp;$N815&amp;$O815,APOIO_REDES!$W:$W,0),MATCH(AX$5,APOIO_REDES!$5:$5,0)),0)*$AP815,0)</f>
        <v>8.65190328037212</v>
      </c>
      <c r="AY815" s="153" t="n">
        <f aca="false">IFERROR(IF($N815="VCA",INDEX(APOIO_REDES!$A:$W,MATCH($C815&amp;$I815&amp;$H815&amp;$N815&amp;$O815,APOIO_REDES!$W:$W,0),MATCH(AY$5,APOIO_REDES!$5:$5,0)),0)*$AP815,0)</f>
        <v>15.8265897591681</v>
      </c>
      <c r="AZ815" s="153" t="n">
        <f aca="false">IFERROR(IF($N815="VCA",INDEX(APOIO_REDES!$A:$W,MATCH($C815&amp;$I815&amp;$H815&amp;$N815&amp;$O815,APOIO_REDES!$W:$W,0),MATCH(AZ$5,APOIO_REDES!$5:$5,0)),0)*$AP815,0)</f>
        <v>2.19035428401844</v>
      </c>
      <c r="BA815" s="153" t="n">
        <f aca="false">IFERROR(IF(AND($N815="VCA",$Q815="LINEAR"),INDEX(APOIO_REDES!$A:$W,MATCH($C815&amp;$I815&amp;$H815&amp;$N815&amp;$O815,APOIO_REDES!$W:$W,0),MATCH(BA$5,APOIO_REDES!$5:$5,0)),IF(AND($N815="MND",$Q815="EMBOQUE"),INDEX(APOIO_REDES!$A:$W,MATCH($C815&amp;$I815&amp;$H815&amp;$N815&amp;$O815,APOIO_REDES!$W:$W,0),MATCH(BA$5,APOIO_REDES!$5:$5,0)),0))*$M815/10,0)</f>
        <v>8.28542069520141</v>
      </c>
      <c r="BB815" s="153" t="n">
        <f aca="false">IFERROR(IF($N815="VCA",INDEX(APOIO_REDES!$A:$W,MATCH($C815&amp;$I815&amp;$H815&amp;$N815&amp;$O815,APOIO_REDES!$W:$W,0),MATCH(BB$5,APOIO_REDES!$5:$5,0)),0)*($AI815+$AQ815+$AR815),0)</f>
        <v>30.6010491021201</v>
      </c>
      <c r="BC815" s="153" t="n">
        <f aca="false">IFERROR(IF($N815="VCA",INDEX(APOIO_REDES!$A:$W,MATCH($C815&amp;$I815&amp;$H815&amp;$N815&amp;$O815,APOIO_REDES!$W:$W,0),MATCH(BC$5,APOIO_REDES!$5:$5,0)),0)*($AI815+$AQ815+$AR815),0)</f>
        <v>0.336610897879938</v>
      </c>
      <c r="BD815" s="153" t="n">
        <f aca="false">IF(AND($N815="VCA",$AF815&gt;=1.25,$AF815&lt;1.5),$M815*$AF815*2,0)</f>
        <v>280.2328</v>
      </c>
      <c r="BE815" s="153" t="n">
        <f aca="false">IF(AND($N815="VCA",$AF815&gt;=1.5,$AF815&lt;3),$M815*$AF815*2,0)</f>
        <v>0</v>
      </c>
      <c r="BF815" s="153" t="n">
        <f aca="false">IF(AND($N815="VCA",$AF815&gt;=3),$M815*$AF815*2,0)</f>
        <v>0</v>
      </c>
      <c r="BG815" s="153" t="n">
        <f aca="false">($BB815+$BC815)*$AK815</f>
        <v>114.469342</v>
      </c>
      <c r="BH815" s="153" t="n">
        <f aca="false">IF(AND($M815&lt;&gt;"",$N815="VCA",$Q815="LINEAR"),($M815*2)/100,IF(AND($M815&lt;&gt;"",$N815="MND",$Q815="EMBOQUE"),($AN815*2)/100,0))</f>
        <v>2.056</v>
      </c>
      <c r="BI815" s="153" t="n">
        <f aca="false">IF(AND($M815&lt;&gt;"",$N815="VCA",$Q815="LINEAR"),$M815,IF(AND($M815&lt;&gt;"",$N815="MND",$Q815="EMBOQUE"),$AN815*2,0))</f>
        <v>102.8</v>
      </c>
      <c r="BJ815" s="153" t="n">
        <f aca="false">IF(AND($M815&lt;&gt;"",$N815="VCA",$Q815="LINEAR"),($M815*6.8)/100,IF(AND($M815&lt;&gt;"",$N815="MND",$Q815="EMBOQUE"),($AN815*2*6.8)/100,0))</f>
        <v>6.9904</v>
      </c>
      <c r="BK815" s="153" t="n">
        <f aca="false">IF(AND($M815&lt;&gt;"",$N815="VCA",$Q815="LINEAR"),($M815*2.5)/50,IF(AND($M815&lt;&gt;"",$N815="MND",$Q815="EMBOQUE"),($AN815*2*2.5)/50,0))</f>
        <v>5.14</v>
      </c>
      <c r="BL815" s="157" t="str">
        <f aca="false">K815&amp;J815</f>
        <v>Zona07REDES</v>
      </c>
      <c r="BM815" s="152" t="s">
        <v>4225</v>
      </c>
      <c r="BN815" s="152" t="s">
        <v>1560</v>
      </c>
      <c r="BO815" s="152" t="s">
        <v>4218</v>
      </c>
      <c r="BP815" s="152" t="s">
        <v>4641</v>
      </c>
      <c r="BQ815" s="152" t="s">
        <v>4626</v>
      </c>
      <c r="BR815" s="152" t="s">
        <v>4642</v>
      </c>
      <c r="BS815" s="152" t="n">
        <v>203986.467</v>
      </c>
      <c r="BT815" s="152" t="n">
        <v>8236398.971</v>
      </c>
      <c r="BU815" s="152" t="n">
        <v>204009.996</v>
      </c>
      <c r="BV815" s="152" t="n">
        <v>8236484.189</v>
      </c>
      <c r="BW815" s="152" t="n">
        <v>-15.9336047</v>
      </c>
      <c r="BX815" s="152" t="n">
        <v>-47.7649806</v>
      </c>
      <c r="BY815" s="152" t="s">
        <v>4641</v>
      </c>
    </row>
    <row r="816" customFormat="false" ht="13.8" hidden="false" customHeight="false" outlineLevel="0" collapsed="false">
      <c r="A816" s="149" t="n">
        <f aca="false">IF(C816&lt;&gt;"",ROW(A811),"")</f>
        <v>811</v>
      </c>
      <c r="B816" s="150" t="str">
        <f aca="false">HYPERLINK("https://www.google.com/maps/dir/-15.917302,-47.760003/-15.9343535,-47.7638444/data=!4m3!4m2!3e0!5i2")</f>
        <v>https://www.google.com/maps/dir/-15.917302,-47.760003/-15.9343535,-47.7638444/data=!4m3!4m2!3e0!5i2</v>
      </c>
      <c r="C816" s="151" t="s">
        <v>117</v>
      </c>
      <c r="D816" s="152" t="s">
        <v>112</v>
      </c>
      <c r="E816" s="152" t="s">
        <v>113</v>
      </c>
      <c r="F816" s="152" t="s">
        <v>117</v>
      </c>
      <c r="G816" s="152" t="s">
        <v>782</v>
      </c>
      <c r="H816" s="152" t="n">
        <v>63</v>
      </c>
      <c r="I816" s="152" t="s">
        <v>115</v>
      </c>
      <c r="J816" s="152" t="s">
        <v>6</v>
      </c>
      <c r="K816" s="152" t="s">
        <v>4221</v>
      </c>
      <c r="L816" s="152" t="s">
        <v>120</v>
      </c>
      <c r="M816" s="153" t="n">
        <f aca="false">164.54+0.61</f>
        <v>165.15</v>
      </c>
      <c r="N816" s="152" t="s">
        <v>1548</v>
      </c>
      <c r="O816" s="152" t="s">
        <v>1549</v>
      </c>
      <c r="P816" s="152" t="s">
        <v>1550</v>
      </c>
      <c r="Q816" s="152" t="s">
        <v>1551</v>
      </c>
      <c r="R816" s="154" t="s">
        <v>4643</v>
      </c>
      <c r="S816" s="154" t="s">
        <v>1553</v>
      </c>
      <c r="T816" s="155" t="s">
        <v>4216</v>
      </c>
      <c r="U816" s="152" t="str">
        <f aca="false">RIGHT(T816,7)</f>
        <v>019/037</v>
      </c>
      <c r="V816" s="152" t="s">
        <v>1555</v>
      </c>
      <c r="W816" s="156" t="n">
        <v>45882</v>
      </c>
      <c r="X816" s="152" t="s">
        <v>3938</v>
      </c>
      <c r="Y816" s="152" t="s">
        <v>2638</v>
      </c>
      <c r="Z816" s="152" t="s">
        <v>1557</v>
      </c>
      <c r="AA816" s="153" t="n">
        <v>5.3</v>
      </c>
      <c r="AB816" s="151" t="s">
        <v>4644</v>
      </c>
      <c r="AC816" s="151" t="s">
        <v>186</v>
      </c>
      <c r="AD816" s="151" t="str">
        <f aca="false">CONCATENATE($C816,$I816,$H816,$N816,$J816,$K816)</f>
        <v>TUBO PEADPEAD63VCAREDESZona07</v>
      </c>
      <c r="AE816" s="153" t="n">
        <f aca="false">IFERROR(INDEX(APOIO_REDES!$A:$W,MATCH($C816&amp;$I816&amp;$H816&amp;$N816&amp;$O816,APOIO_REDES!$W:$W,0),MATCH(AE$5,APOIO_REDES!$5:$5,0)),0)</f>
        <v>1.2</v>
      </c>
      <c r="AF816" s="153" t="n">
        <f aca="false">IFERROR(INDEX(APOIO_REDES!$A:$W,MATCH($C816&amp;$I816&amp;$H816&amp;$N816&amp;$O816,APOIO_REDES!$W:$W,0),MATCH(AF$5,APOIO_REDES!$5:$5,0)),0)</f>
        <v>1.363</v>
      </c>
      <c r="AG816" s="153" t="n">
        <f aca="false">IFERROR(INDEX(APOIO_REDES!$A:$W,MATCH($C816&amp;$I816&amp;$H816&amp;$N816&amp;$O816,APOIO_REDES!$W:$W,0),MATCH(AG$5,APOIO_REDES!$5:$5,0)),0)</f>
        <v>0.65</v>
      </c>
      <c r="AH816" s="153" t="n">
        <f aca="false">IFERROR(INDEX(APOIO_REDES!$A:$W,MATCH($C816&amp;$I816&amp;$H816&amp;$N816&amp;$O816,APOIO_REDES!$W:$W,0),MATCH(AH$5,APOIO_REDES!$5:$5,0)),0)</f>
        <v>0.1</v>
      </c>
      <c r="AI816" s="153" t="n">
        <f aca="false">IFERROR(IF($H816&lt;&gt;"",(((($H816/1000)/2)^2)*PI()*$M816),0),0)</f>
        <v>0.514813063033117</v>
      </c>
      <c r="AJ816" s="153" t="n">
        <f aca="false">IFERROR(IF(AND($H816&lt;&gt;"",$I816="FoFo",OR($N816="MND",$N816="VCA"),$Q816="LINEAR"),0,IF(AND($H816&lt;&gt;"",$I816="PEAD",$N816="VCA",$Q816="LINEAR"),($H816/1000)+0.3,IF(AND($H816&lt;&gt;"",$I816="PEAD",$N816="MND",$Q816="EMBOQUE"),0,IF(AND($H816&lt;&gt;"",$I816="PVC",$N816="VCA",$Q816="LINEAR"),($H816/1000)+0.2,IF(AND($H816&lt;&gt;"",$I816="PVC",$N816="MND",$Q816="EMBOQUE"),0,IF(AND($H816&lt;&gt;"",$I816="PEAD",$N816="VCA",$Q816="PREDIAL"),0,0)))))),0)</f>
        <v>0.363</v>
      </c>
      <c r="AK816" s="153" t="n">
        <f aca="false">IF(AA816&lt;&gt;"",AA816,0)</f>
        <v>5.3</v>
      </c>
      <c r="AL816" s="153" t="n">
        <f aca="false">IF(AND($N816="MND",$Q816="EMBOQUE"),$M816,IF(AND($N816="VCA",$Q816="LINEAR"),$M816,IF(AND($N816="VCA",$Q816="PREDIAL"),0,0)))</f>
        <v>165.15</v>
      </c>
      <c r="AM816" s="153" t="n">
        <f aca="false">IF(AND($N816="MND",$Q816="EMBOQUE"),$M816,IF(AND($N816="VCA",$Q816="LINEAR"),$M816,IF(AND($N816="VCA",$Q816="PREDIAL"),0,0)))</f>
        <v>165.15</v>
      </c>
      <c r="AN816" s="153" t="n">
        <f aca="false">ROUND(IF(AND($N816="VCA",$M816&lt;&gt;"",$Q816="LINEAR"),$M816/100,IF(AND($N816="MND",$M816&gt;100,$Q816="EMBOQUE"),$M816/100,0)),0)</f>
        <v>2</v>
      </c>
      <c r="AO816" s="153" t="n">
        <f aca="false">IF(AND($N816="MND",$Q816="EMBOQUE"),$AN816*2*2,IF(AND($N816="VCA",$Q816="LINEAR"),$M816*2,IF(AND($N816="VCA",$Q816="PREDIAL"),0,0)))</f>
        <v>330.3</v>
      </c>
      <c r="AP816" s="153" t="n">
        <f aca="false">IFERROR($M816*$AF816*$AG816,0)</f>
        <v>146.3146425</v>
      </c>
      <c r="AQ816" s="153" t="n">
        <f aca="false">IFERROR(IF(AND($N816="VCA",$AH816&gt;0),$M816*$AG816*$AH816,0),0)</f>
        <v>10.73475</v>
      </c>
      <c r="AR816" s="153" t="n">
        <f aca="false">IFERROR(IF(AND($N816="VCA",$AJ816&gt;0),($M816*$AG816*$AJ816)-$AI816,0),0)</f>
        <v>38.4523294369669</v>
      </c>
      <c r="AS816" s="153" t="n">
        <f aca="false">IFERROR(IF(AND($N816="VCA",$AP816&gt;0),$AP816-$AI816-$AQ816-$AR816,0),0)</f>
        <v>96.61275</v>
      </c>
      <c r="AT816" s="153" t="n">
        <f aca="false">IFERROR(IF($N816="VCA",INDEX(APOIO_REDES!$A:$W,MATCH($C816&amp;$I816&amp;$H816&amp;$N816&amp;$O816,APOIO_REDES!$W:$W,0),MATCH(AT$5,APOIO_REDES!$5:$5,0)),0)*$AP816,0)</f>
        <v>1.59194661732358</v>
      </c>
      <c r="AU816" s="153" t="n">
        <f aca="false">IFERROR(IF($N816="VCA",INDEX(APOIO_REDES!$A:$W,MATCH($C816&amp;$I816&amp;$H816&amp;$N816&amp;$O816,APOIO_REDES!$W:$W,0),MATCH(AU$5,APOIO_REDES!$5:$5,0)),0)*$AP816,0)</f>
        <v>1.2712854532123</v>
      </c>
      <c r="AV816" s="153" t="n">
        <f aca="false">IFERROR(IF($N816="VCA",INDEX(APOIO_REDES!$A:$W,MATCH($C816&amp;$I816&amp;$H816&amp;$N816&amp;$O816,APOIO_REDES!$W:$W,0),MATCH(AV$5,APOIO_REDES!$5:$5,0)),0)*$AP816,0)</f>
        <v>0.175935926742479</v>
      </c>
      <c r="AW816" s="153" t="n">
        <f aca="false">IFERROR(IF($N816="VCA",INDEX(APOIO_REDES!$A:$W,MATCH($C816&amp;$I816&amp;$H816&amp;$N816&amp;$O816,APOIO_REDES!$W:$W,0),MATCH(AW$5,APOIO_REDES!$5:$5,0)),0)*$AP816,0)</f>
        <v>100.431504313172</v>
      </c>
      <c r="AX816" s="153" t="n">
        <f aca="false">IFERROR(IF($N816="VCA",INDEX(APOIO_REDES!$A:$W,MATCH($C816&amp;$I816&amp;$H816&amp;$N816&amp;$O816,APOIO_REDES!$W:$W,0),MATCH(AX$5,APOIO_REDES!$5:$5,0)),0)*$AP816,0)</f>
        <v>13.8994341123877</v>
      </c>
      <c r="AY816" s="153" t="n">
        <f aca="false">IFERROR(IF($N816="VCA",INDEX(APOIO_REDES!$A:$W,MATCH($C816&amp;$I816&amp;$H816&amp;$N816&amp;$O816,APOIO_REDES!$W:$W,0),MATCH(AY$5,APOIO_REDES!$5:$5,0)),0)*$AP816,0)</f>
        <v>25.4256935673794</v>
      </c>
      <c r="AZ816" s="153" t="n">
        <f aca="false">IFERROR(IF($N816="VCA",INDEX(APOIO_REDES!$A:$W,MATCH($C816&amp;$I816&amp;$H816&amp;$N816&amp;$O816,APOIO_REDES!$W:$W,0),MATCH(AZ$5,APOIO_REDES!$5:$5,0)),0)*$AP816,0)</f>
        <v>3.51884250978254</v>
      </c>
      <c r="BA816" s="153" t="n">
        <f aca="false">IFERROR(IF(AND($N816="VCA",$Q816="LINEAR"),INDEX(APOIO_REDES!$A:$W,MATCH($C816&amp;$I816&amp;$H816&amp;$N816&amp;$O816,APOIO_REDES!$W:$W,0),MATCH(BA$5,APOIO_REDES!$5:$5,0)),IF(AND($N816="MND",$Q816="EMBOQUE"),INDEX(APOIO_REDES!$A:$W,MATCH($C816&amp;$I816&amp;$H816&amp;$N816&amp;$O816,APOIO_REDES!$W:$W,0),MATCH(BA$5,APOIO_REDES!$5:$5,0)),0))*$M816/10,0)</f>
        <v>13.3106734223007</v>
      </c>
      <c r="BB816" s="153" t="n">
        <f aca="false">IFERROR(IF($N816="VCA",INDEX(APOIO_REDES!$A:$W,MATCH($C816&amp;$I816&amp;$H816&amp;$N816&amp;$O816,APOIO_REDES!$W:$W,0),MATCH(BB$5,APOIO_REDES!$5:$5,0)),0)*($AI816+$AQ816+$AR816),0)</f>
        <v>49.1611211985907</v>
      </c>
      <c r="BC816" s="153" t="n">
        <f aca="false">IFERROR(IF($N816="VCA",INDEX(APOIO_REDES!$A:$W,MATCH($C816&amp;$I816&amp;$H816&amp;$N816&amp;$O816,APOIO_REDES!$W:$W,0),MATCH(BC$5,APOIO_REDES!$5:$5,0)),0)*($AI816+$AQ816+$AR816),0)</f>
        <v>0.540771301409258</v>
      </c>
      <c r="BD816" s="153" t="n">
        <f aca="false">IF(AND($N816="VCA",$AF816&gt;=1.25,$AF816&lt;1.5),$M816*$AF816*2,0)</f>
        <v>450.1989</v>
      </c>
      <c r="BE816" s="153" t="n">
        <f aca="false">IF(AND($N816="VCA",$AF816&gt;=1.5,$AF816&lt;3),$M816*$AF816*2,0)</f>
        <v>0</v>
      </c>
      <c r="BF816" s="153" t="n">
        <f aca="false">IF(AND($N816="VCA",$AF816&gt;=3),$M816*$AF816*2,0)</f>
        <v>0</v>
      </c>
      <c r="BG816" s="153" t="n">
        <f aca="false">($BB816+$BC816)*$AK816</f>
        <v>263.42003025</v>
      </c>
      <c r="BH816" s="153" t="n">
        <f aca="false">IF(AND($M816&lt;&gt;"",$N816="VCA",$Q816="LINEAR"),($M816*2)/100,IF(AND($M816&lt;&gt;"",$N816="MND",$Q816="EMBOQUE"),($AN816*2)/100,0))</f>
        <v>3.303</v>
      </c>
      <c r="BI816" s="153" t="n">
        <f aca="false">IF(AND($M816&lt;&gt;"",$N816="VCA",$Q816="LINEAR"),$M816,IF(AND($M816&lt;&gt;"",$N816="MND",$Q816="EMBOQUE"),$AN816*2,0))</f>
        <v>165.15</v>
      </c>
      <c r="BJ816" s="153" t="n">
        <f aca="false">IF(AND($M816&lt;&gt;"",$N816="VCA",$Q816="LINEAR"),($M816*6.8)/100,IF(AND($M816&lt;&gt;"",$N816="MND",$Q816="EMBOQUE"),($AN816*2*6.8)/100,0))</f>
        <v>11.2302</v>
      </c>
      <c r="BK816" s="153" t="n">
        <f aca="false">IF(AND($M816&lt;&gt;"",$N816="VCA",$Q816="LINEAR"),($M816*2.5)/50,IF(AND($M816&lt;&gt;"",$N816="MND",$Q816="EMBOQUE"),($AN816*2*2.5)/50,0))</f>
        <v>8.2575</v>
      </c>
      <c r="BL816" s="157" t="str">
        <f aca="false">K816&amp;J816</f>
        <v>Zona07REDES</v>
      </c>
      <c r="BM816" s="152" t="s">
        <v>4225</v>
      </c>
      <c r="BN816" s="152" t="s">
        <v>1560</v>
      </c>
      <c r="BO816" s="152" t="s">
        <v>4218</v>
      </c>
      <c r="BP816" s="152" t="s">
        <v>4645</v>
      </c>
      <c r="BQ816" s="152" t="s">
        <v>4610</v>
      </c>
      <c r="BR816" s="152" t="s">
        <v>4646</v>
      </c>
      <c r="BS816" s="152" t="n">
        <v>204097.277</v>
      </c>
      <c r="BT816" s="152" t="n">
        <v>8236366.192</v>
      </c>
      <c r="BU816" s="152" t="n">
        <v>204046.868</v>
      </c>
      <c r="BV816" s="152" t="n">
        <v>8236522.752</v>
      </c>
      <c r="BW816" s="152" t="n">
        <v>-15.9336357</v>
      </c>
      <c r="BX816" s="152" t="n">
        <v>-47.7640633</v>
      </c>
      <c r="BY816" s="152" t="s">
        <v>4645</v>
      </c>
    </row>
    <row r="817" customFormat="false" ht="13.8" hidden="false" customHeight="false" outlineLevel="0" collapsed="false">
      <c r="A817" s="149" t="n">
        <f aca="false">IF(C817&lt;&gt;"",ROW(A812),"")</f>
        <v>812</v>
      </c>
      <c r="B817" s="150" t="str">
        <f aca="false">HYPERLINK("https://www.google.com/maps/dir/-15.917302,-47.760003/-15.9338664,-47.7653539/data=!4m3!4m2!3e0!5i1")</f>
        <v>https://www.google.com/maps/dir/-15.917302,-47.760003/-15.9338664,-47.7653539/data=!4m3!4m2!3e0!5i1</v>
      </c>
      <c r="C817" s="151" t="s">
        <v>117</v>
      </c>
      <c r="D817" s="152" t="s">
        <v>112</v>
      </c>
      <c r="E817" s="152" t="s">
        <v>113</v>
      </c>
      <c r="F817" s="152" t="s">
        <v>117</v>
      </c>
      <c r="G817" s="152" t="s">
        <v>114</v>
      </c>
      <c r="H817" s="152" t="n">
        <v>160</v>
      </c>
      <c r="I817" s="152" t="s">
        <v>115</v>
      </c>
      <c r="J817" s="152" t="s">
        <v>6</v>
      </c>
      <c r="K817" s="152" t="s">
        <v>4221</v>
      </c>
      <c r="L817" s="152" t="s">
        <v>120</v>
      </c>
      <c r="M817" s="153" t="n">
        <f aca="false">25.15+0.56</f>
        <v>25.71</v>
      </c>
      <c r="N817" s="152" t="s">
        <v>1548</v>
      </c>
      <c r="O817" s="152" t="s">
        <v>1549</v>
      </c>
      <c r="P817" s="152" t="s">
        <v>1550</v>
      </c>
      <c r="Q817" s="152" t="s">
        <v>1551</v>
      </c>
      <c r="R817" s="154" t="s">
        <v>4647</v>
      </c>
      <c r="S817" s="154" t="s">
        <v>1593</v>
      </c>
      <c r="T817" s="155" t="s">
        <v>4216</v>
      </c>
      <c r="U817" s="152" t="str">
        <f aca="false">RIGHT(T817,7)</f>
        <v>019/037</v>
      </c>
      <c r="V817" s="152" t="s">
        <v>1555</v>
      </c>
      <c r="W817" s="156" t="n">
        <v>45882</v>
      </c>
      <c r="X817" s="152" t="s">
        <v>1594</v>
      </c>
      <c r="Y817" s="152" t="s">
        <v>4632</v>
      </c>
      <c r="Z817" s="152" t="s">
        <v>1557</v>
      </c>
      <c r="AA817" s="153" t="n">
        <v>3.7</v>
      </c>
      <c r="AB817" s="151" t="s">
        <v>4648</v>
      </c>
      <c r="AC817" s="151" t="s">
        <v>505</v>
      </c>
      <c r="AD817" s="151" t="str">
        <f aca="false">CONCATENATE($C817,$I817,$H817,$N817,$J817,$K817)</f>
        <v>TUBO PEADPEAD160VCAREDESZona07</v>
      </c>
      <c r="AE817" s="153" t="n">
        <f aca="false">IFERROR(INDEX(APOIO_REDES!$A:$W,MATCH($C817&amp;$I817&amp;$H817&amp;$N817&amp;$O817,APOIO_REDES!$W:$W,0),MATCH(AE$5,APOIO_REDES!$5:$5,0)),0)</f>
        <v>1.2</v>
      </c>
      <c r="AF817" s="153" t="n">
        <f aca="false">IFERROR(INDEX(APOIO_REDES!$A:$W,MATCH($C817&amp;$I817&amp;$H817&amp;$N817&amp;$O817,APOIO_REDES!$W:$W,0),MATCH(AF$5,APOIO_REDES!$5:$5,0)),0)</f>
        <v>1.46</v>
      </c>
      <c r="AG817" s="153" t="n">
        <f aca="false">IFERROR(INDEX(APOIO_REDES!$A:$W,MATCH($C817&amp;$I817&amp;$H817&amp;$N817&amp;$O817,APOIO_REDES!$W:$W,0),MATCH(AG$5,APOIO_REDES!$5:$5,0)),0)</f>
        <v>0.75</v>
      </c>
      <c r="AH817" s="153" t="n">
        <f aca="false">IFERROR(INDEX(APOIO_REDES!$A:$W,MATCH($C817&amp;$I817&amp;$H817&amp;$N817&amp;$O817,APOIO_REDES!$W:$W,0),MATCH(AH$5,APOIO_REDES!$5:$5,0)),0)</f>
        <v>0.1</v>
      </c>
      <c r="AI817" s="153" t="n">
        <f aca="false">IFERROR(IF($H817&lt;&gt;"",(((($H817/1000)/2)^2)*PI()*$M817),0),0)</f>
        <v>0.516930221592279</v>
      </c>
      <c r="AJ817" s="153" t="n">
        <f aca="false">IFERROR(IF(AND($H817&lt;&gt;"",$I817="FoFo",OR($N817="MND",$N817="VCA"),$Q817="LINEAR"),0,IF(AND($H817&lt;&gt;"",$I817="PEAD",$N817="VCA",$Q817="LINEAR"),($H817/1000)+0.3,IF(AND($H817&lt;&gt;"",$I817="PEAD",$N817="MND",$Q817="EMBOQUE"),0,IF(AND($H817&lt;&gt;"",$I817="PVC",$N817="VCA",$Q817="LINEAR"),($H817/1000)+0.2,IF(AND($H817&lt;&gt;"",$I817="PVC",$N817="MND",$Q817="EMBOQUE"),0,IF(AND($H817&lt;&gt;"",$I817="PEAD",$N817="VCA",$Q817="PREDIAL"),0,0)))))),0)</f>
        <v>0.46</v>
      </c>
      <c r="AK817" s="153" t="n">
        <f aca="false">IF(AA817&lt;&gt;"",AA817,0)</f>
        <v>3.7</v>
      </c>
      <c r="AL817" s="153" t="n">
        <f aca="false">IF(AND($N817="MND",$Q817="EMBOQUE"),$M817,IF(AND($N817="VCA",$Q817="LINEAR"),$M817,IF(AND($N817="VCA",$Q817="PREDIAL"),0,0)))</f>
        <v>25.71</v>
      </c>
      <c r="AM817" s="153" t="n">
        <f aca="false">IF(AND($N817="MND",$Q817="EMBOQUE"),$M817,IF(AND($N817="VCA",$Q817="LINEAR"),$M817,IF(AND($N817="VCA",$Q817="PREDIAL"),0,0)))</f>
        <v>25.71</v>
      </c>
      <c r="AN817" s="153" t="n">
        <f aca="false">ROUND(IF(AND($N817="VCA",$M817&lt;&gt;"",$Q817="LINEAR"),$M817/100,IF(AND($N817="MND",$M817&gt;100,$Q817="EMBOQUE"),$M817/100,0)),0)</f>
        <v>0</v>
      </c>
      <c r="AO817" s="153" t="n">
        <f aca="false">IF(AND($N817="MND",$Q817="EMBOQUE"),$AN817*2*2,IF(AND($N817="VCA",$Q817="LINEAR"),$M817*2,IF(AND($N817="VCA",$Q817="PREDIAL"),0,0)))</f>
        <v>51.42</v>
      </c>
      <c r="AP817" s="153" t="n">
        <f aca="false">IFERROR($M817*$AF817*$AG817,0)</f>
        <v>28.15245</v>
      </c>
      <c r="AQ817" s="153" t="n">
        <f aca="false">IFERROR(IF(AND($N817="VCA",$AH817&gt;0),$M817*$AG817*$AH817,0),0)</f>
        <v>1.92825</v>
      </c>
      <c r="AR817" s="153" t="n">
        <f aca="false">IFERROR(IF(AND($N817="VCA",$AJ817&gt;0),($M817*$AG817*$AJ817)-$AI817,0),0)</f>
        <v>8.35301977840772</v>
      </c>
      <c r="AS817" s="153" t="n">
        <f aca="false">IFERROR(IF(AND($N817="VCA",$AP817&gt;0),$AP817-$AI817-$AQ817-$AR817,0),0)</f>
        <v>17.35425</v>
      </c>
      <c r="AT817" s="153" t="n">
        <f aca="false">IFERROR(IF($N817="VCA",INDEX(APOIO_REDES!$A:$W,MATCH($C817&amp;$I817&amp;$H817&amp;$N817&amp;$O817,APOIO_REDES!$W:$W,0),MATCH(AT$5,APOIO_REDES!$5:$5,0)),0)*$AP817,0)</f>
        <v>0.306306988699858</v>
      </c>
      <c r="AU817" s="153" t="n">
        <f aca="false">IFERROR(IF($N817="VCA",INDEX(APOIO_REDES!$A:$W,MATCH($C817&amp;$I817&amp;$H817&amp;$N817&amp;$O817,APOIO_REDES!$W:$W,0),MATCH(AU$5,APOIO_REDES!$5:$5,0)),0)*$AP817,0)</f>
        <v>0.24460846533037</v>
      </c>
      <c r="AV817" s="153" t="n">
        <f aca="false">IFERROR(IF($N817="VCA",INDEX(APOIO_REDES!$A:$W,MATCH($C817&amp;$I817&amp;$H817&amp;$N817&amp;$O817,APOIO_REDES!$W:$W,0),MATCH(AV$5,APOIO_REDES!$5:$5,0)),0)*$AP817,0)</f>
        <v>0.0338518913499809</v>
      </c>
      <c r="AW817" s="153" t="n">
        <f aca="false">IFERROR(IF($N817="VCA",INDEX(APOIO_REDES!$A:$W,MATCH($C817&amp;$I817&amp;$H817&amp;$N817&amp;$O817,APOIO_REDES!$W:$W,0),MATCH(AW$5,APOIO_REDES!$5:$5,0)),0)*$AP817,0)</f>
        <v>19.3240598158271</v>
      </c>
      <c r="AX817" s="153" t="n">
        <f aca="false">IFERROR(IF($N817="VCA",INDEX(APOIO_REDES!$A:$W,MATCH($C817&amp;$I817&amp;$H817&amp;$N817&amp;$O817,APOIO_REDES!$W:$W,0),MATCH(AX$5,APOIO_REDES!$5:$5,0)),0)*$AP817,0)</f>
        <v>2.67439483288413</v>
      </c>
      <c r="AY817" s="153" t="n">
        <f aca="false">IFERROR(IF($N817="VCA",INDEX(APOIO_REDES!$A:$W,MATCH($C817&amp;$I817&amp;$H817&amp;$N817&amp;$O817,APOIO_REDES!$W:$W,0),MATCH(AY$5,APOIO_REDES!$5:$5,0)),0)*$AP817,0)</f>
        <v>4.89216632485003</v>
      </c>
      <c r="AZ817" s="153" t="n">
        <f aca="false">IFERROR(IF($N817="VCA",INDEX(APOIO_REDES!$A:$W,MATCH($C817&amp;$I817&amp;$H817&amp;$N817&amp;$O817,APOIO_REDES!$W:$W,0),MATCH(AZ$5,APOIO_REDES!$5:$5,0)),0)*$AP817,0)</f>
        <v>0.677061681058528</v>
      </c>
      <c r="BA817" s="153" t="n">
        <f aca="false">IFERROR(IF(AND($N817="VCA",$Q817="LINEAR"),INDEX(APOIO_REDES!$A:$W,MATCH($C817&amp;$I817&amp;$H817&amp;$N817&amp;$O817,APOIO_REDES!$W:$W,0),MATCH(BA$5,APOIO_REDES!$5:$5,0)),IF(AND($N817="MND",$Q817="EMBOQUE"),INDEX(APOIO_REDES!$A:$W,MATCH($C817&amp;$I817&amp;$H817&amp;$N817&amp;$O817,APOIO_REDES!$W:$W,0),MATCH(BA$5,APOIO_REDES!$5:$5,0)),0))*$M817/10,0)</f>
        <v>2.07216114857615</v>
      </c>
      <c r="BB817" s="153" t="n">
        <f aca="false">IFERROR(IF($N817="VCA",INDEX(APOIO_REDES!$A:$W,MATCH($C817&amp;$I817&amp;$H817&amp;$N817&amp;$O817,APOIO_REDES!$W:$W,0),MATCH(BB$5,APOIO_REDES!$5:$5,0)),0)*($AI817+$AQ817+$AR817),0)</f>
        <v>10.6807123878959</v>
      </c>
      <c r="BC817" s="153" t="n">
        <f aca="false">IFERROR(IF($N817="VCA",INDEX(APOIO_REDES!$A:$W,MATCH($C817&amp;$I817&amp;$H817&amp;$N817&amp;$O817,APOIO_REDES!$W:$W,0),MATCH(BC$5,APOIO_REDES!$5:$5,0)),0)*($AI817+$AQ817+$AR817),0)</f>
        <v>0.117487612104055</v>
      </c>
      <c r="BD817" s="153" t="n">
        <f aca="false">IF(AND($N817="VCA",$AF817&gt;=1.25,$AF817&lt;1.5),$M817*$AF817*2,0)</f>
        <v>75.0732</v>
      </c>
      <c r="BE817" s="153" t="n">
        <f aca="false">IF(AND($N817="VCA",$AF817&gt;=1.5,$AF817&lt;3),$M817*$AF817*2,0)</f>
        <v>0</v>
      </c>
      <c r="BF817" s="153" t="n">
        <f aca="false">IF(AND($N817="VCA",$AF817&gt;=3),$M817*$AF817*2,0)</f>
        <v>0</v>
      </c>
      <c r="BG817" s="153" t="n">
        <f aca="false">($BB817+$BC817)*$AK817</f>
        <v>39.95334</v>
      </c>
      <c r="BH817" s="153" t="n">
        <f aca="false">IF(AND($M817&lt;&gt;"",$N817="VCA",$Q817="LINEAR"),($M817*2)/100,IF(AND($M817&lt;&gt;"",$N817="MND",$Q817="EMBOQUE"),($AN817*2)/100,0))</f>
        <v>0.5142</v>
      </c>
      <c r="BI817" s="153" t="n">
        <f aca="false">IF(AND($M817&lt;&gt;"",$N817="VCA",$Q817="LINEAR"),$M817,IF(AND($M817&lt;&gt;"",$N817="MND",$Q817="EMBOQUE"),$AN817*2,0))</f>
        <v>25.71</v>
      </c>
      <c r="BJ817" s="153" t="n">
        <f aca="false">IF(AND($M817&lt;&gt;"",$N817="VCA",$Q817="LINEAR"),($M817*6.8)/100,IF(AND($M817&lt;&gt;"",$N817="MND",$Q817="EMBOQUE"),($AN817*2*6.8)/100,0))</f>
        <v>1.74828</v>
      </c>
      <c r="BK817" s="153" t="n">
        <f aca="false">IF(AND($M817&lt;&gt;"",$N817="VCA",$Q817="LINEAR"),($M817*2.5)/50,IF(AND($M817&lt;&gt;"",$N817="MND",$Q817="EMBOQUE"),($AN817*2*2.5)/50,0))</f>
        <v>1.2855</v>
      </c>
      <c r="BL817" s="157" t="str">
        <f aca="false">K817&amp;J817</f>
        <v>Zona07REDES</v>
      </c>
      <c r="BM817" s="152" t="s">
        <v>4225</v>
      </c>
      <c r="BN817" s="152" t="s">
        <v>1560</v>
      </c>
      <c r="BO817" s="152" t="s">
        <v>4218</v>
      </c>
      <c r="BP817" s="152" t="s">
        <v>4649</v>
      </c>
      <c r="BQ817" s="152" t="s">
        <v>4618</v>
      </c>
      <c r="BR817" s="152" t="s">
        <v>4650</v>
      </c>
      <c r="BS817" s="152" t="n">
        <v>203935.033</v>
      </c>
      <c r="BT817" s="152" t="n">
        <v>8236417.398</v>
      </c>
      <c r="BU817" s="152" t="n">
        <v>203952.119</v>
      </c>
      <c r="BV817" s="152" t="n">
        <v>8236435.853</v>
      </c>
      <c r="BW817" s="152" t="n">
        <v>-15.9337842</v>
      </c>
      <c r="BX817" s="152" t="n">
        <v>-47.765273</v>
      </c>
      <c r="BY817" s="152" t="s">
        <v>4649</v>
      </c>
    </row>
    <row r="818" customFormat="false" ht="13.8" hidden="false" customHeight="false" outlineLevel="0" collapsed="false">
      <c r="A818" s="149" t="n">
        <f aca="false">IF(C818&lt;&gt;"",ROW(A813),"")</f>
        <v>813</v>
      </c>
      <c r="B818" s="150" t="str">
        <f aca="false">HYPERLINK("https://www.google.com/maps/dir/-15.917302,-47.760003/-15.9344706,-47.7642697/data=!4m3!4m2!3e0!5i1")</f>
        <v>https://www.google.com/maps/dir/-15.917302,-47.760003/-15.9344706,-47.7642697/data=!4m3!4m2!3e0!5i1</v>
      </c>
      <c r="C818" s="151" t="s">
        <v>117</v>
      </c>
      <c r="D818" s="152" t="s">
        <v>112</v>
      </c>
      <c r="E818" s="152" t="s">
        <v>113</v>
      </c>
      <c r="F818" s="152" t="s">
        <v>117</v>
      </c>
      <c r="G818" s="152" t="s">
        <v>782</v>
      </c>
      <c r="H818" s="152" t="n">
        <v>63</v>
      </c>
      <c r="I818" s="152" t="s">
        <v>115</v>
      </c>
      <c r="J818" s="152" t="s">
        <v>6</v>
      </c>
      <c r="K818" s="152" t="s">
        <v>4221</v>
      </c>
      <c r="L818" s="152" t="s">
        <v>120</v>
      </c>
      <c r="M818" s="153" t="n">
        <f aca="false">138.68</f>
        <v>138.68</v>
      </c>
      <c r="N818" s="152" t="s">
        <v>1548</v>
      </c>
      <c r="O818" s="152" t="s">
        <v>1549</v>
      </c>
      <c r="P818" s="152" t="s">
        <v>1550</v>
      </c>
      <c r="Q818" s="152" t="s">
        <v>1551</v>
      </c>
      <c r="R818" s="154" t="s">
        <v>4651</v>
      </c>
      <c r="S818" s="154" t="s">
        <v>1553</v>
      </c>
      <c r="T818" s="155" t="s">
        <v>4216</v>
      </c>
      <c r="U818" s="152" t="str">
        <f aca="false">RIGHT(T818,7)</f>
        <v>019/037</v>
      </c>
      <c r="V818" s="152" t="s">
        <v>1555</v>
      </c>
      <c r="W818" s="156" t="n">
        <v>45882</v>
      </c>
      <c r="X818" s="152" t="s">
        <v>3938</v>
      </c>
      <c r="Y818" s="152" t="s">
        <v>2524</v>
      </c>
      <c r="Z818" s="152" t="s">
        <v>1557</v>
      </c>
      <c r="AA818" s="153" t="n">
        <v>3.7</v>
      </c>
      <c r="AB818" s="151" t="s">
        <v>4652</v>
      </c>
      <c r="AC818" s="151" t="s">
        <v>186</v>
      </c>
      <c r="AD818" s="151" t="str">
        <f aca="false">CONCATENATE($C818,$I818,$H818,$N818,$J818,$K818)</f>
        <v>TUBO PEADPEAD63VCAREDESZona07</v>
      </c>
      <c r="AE818" s="153" t="n">
        <f aca="false">IFERROR(INDEX(APOIO_REDES!$A:$W,MATCH($C818&amp;$I818&amp;$H818&amp;$N818&amp;$O818,APOIO_REDES!$W:$W,0),MATCH(AE$5,APOIO_REDES!$5:$5,0)),0)</f>
        <v>1.2</v>
      </c>
      <c r="AF818" s="153" t="n">
        <f aca="false">IFERROR(INDEX(APOIO_REDES!$A:$W,MATCH($C818&amp;$I818&amp;$H818&amp;$N818&amp;$O818,APOIO_REDES!$W:$W,0),MATCH(AF$5,APOIO_REDES!$5:$5,0)),0)</f>
        <v>1.363</v>
      </c>
      <c r="AG818" s="153" t="n">
        <f aca="false">IFERROR(INDEX(APOIO_REDES!$A:$W,MATCH($C818&amp;$I818&amp;$H818&amp;$N818&amp;$O818,APOIO_REDES!$W:$W,0),MATCH(AG$5,APOIO_REDES!$5:$5,0)),0)</f>
        <v>0.65</v>
      </c>
      <c r="AH818" s="153" t="n">
        <f aca="false">IFERROR(INDEX(APOIO_REDES!$A:$W,MATCH($C818&amp;$I818&amp;$H818&amp;$N818&amp;$O818,APOIO_REDES!$W:$W,0),MATCH(AH$5,APOIO_REDES!$5:$5,0)),0)</f>
        <v>0.1</v>
      </c>
      <c r="AI818" s="153" t="n">
        <f aca="false">IFERROR(IF($H818&lt;&gt;"",(((($H818/1000)/2)^2)*PI()*$M818),0),0)</f>
        <v>0.432299579663534</v>
      </c>
      <c r="AJ818" s="153" t="n">
        <f aca="false">IFERROR(IF(AND($H818&lt;&gt;"",$I818="FoFo",OR($N818="MND",$N818="VCA"),$Q818="LINEAR"),0,IF(AND($H818&lt;&gt;"",$I818="PEAD",$N818="VCA",$Q818="LINEAR"),($H818/1000)+0.3,IF(AND($H818&lt;&gt;"",$I818="PEAD",$N818="MND",$Q818="EMBOQUE"),0,IF(AND($H818&lt;&gt;"",$I818="PVC",$N818="VCA",$Q818="LINEAR"),($H818/1000)+0.2,IF(AND($H818&lt;&gt;"",$I818="PVC",$N818="MND",$Q818="EMBOQUE"),0,IF(AND($H818&lt;&gt;"",$I818="PEAD",$N818="VCA",$Q818="PREDIAL"),0,0)))))),0)</f>
        <v>0.363</v>
      </c>
      <c r="AK818" s="153" t="n">
        <f aca="false">IF(AA818&lt;&gt;"",AA818,0)</f>
        <v>3.7</v>
      </c>
      <c r="AL818" s="153" t="n">
        <f aca="false">IF(AND($N818="MND",$Q818="EMBOQUE"),$M818,IF(AND($N818="VCA",$Q818="LINEAR"),$M818,IF(AND($N818="VCA",$Q818="PREDIAL"),0,0)))</f>
        <v>138.68</v>
      </c>
      <c r="AM818" s="153" t="n">
        <f aca="false">IF(AND($N818="MND",$Q818="EMBOQUE"),$M818,IF(AND($N818="VCA",$Q818="LINEAR"),$M818,IF(AND($N818="VCA",$Q818="PREDIAL"),0,0)))</f>
        <v>138.68</v>
      </c>
      <c r="AN818" s="153" t="n">
        <f aca="false">ROUND(IF(AND($N818="VCA",$M818&lt;&gt;"",$Q818="LINEAR"),$M818/100,IF(AND($N818="MND",$M818&gt;100,$Q818="EMBOQUE"),$M818/100,0)),0)</f>
        <v>1</v>
      </c>
      <c r="AO818" s="153" t="n">
        <f aca="false">IF(AND($N818="MND",$Q818="EMBOQUE"),$AN818*2*2,IF(AND($N818="VCA",$Q818="LINEAR"),$M818*2,IF(AND($N818="VCA",$Q818="PREDIAL"),0,0)))</f>
        <v>277.36</v>
      </c>
      <c r="AP818" s="153" t="n">
        <f aca="false">IFERROR($M818*$AF818*$AG818,0)</f>
        <v>122.863546</v>
      </c>
      <c r="AQ818" s="153" t="n">
        <f aca="false">IFERROR(IF(AND($N818="VCA",$AH818&gt;0),$M818*$AG818*$AH818,0),0)</f>
        <v>9.0142</v>
      </c>
      <c r="AR818" s="153" t="n">
        <f aca="false">IFERROR(IF(AND($N818="VCA",$AJ818&gt;0),($M818*$AG818*$AJ818)-$AI818,0),0)</f>
        <v>32.2892464203365</v>
      </c>
      <c r="AS818" s="153" t="n">
        <f aca="false">IFERROR(IF(AND($N818="VCA",$AP818&gt;0),$AP818-$AI818-$AQ818-$AR818,0),0)</f>
        <v>81.1278</v>
      </c>
      <c r="AT818" s="153" t="n">
        <f aca="false">IFERROR(IF($N818="VCA",INDEX(APOIO_REDES!$A:$W,MATCH($C818&amp;$I818&amp;$H818&amp;$N818&amp;$O818,APOIO_REDES!$W:$W,0),MATCH(AT$5,APOIO_REDES!$5:$5,0)),0)*$AP818,0)</f>
        <v>1.33679174623333</v>
      </c>
      <c r="AU818" s="153" t="n">
        <f aca="false">IFERROR(IF($N818="VCA",INDEX(APOIO_REDES!$A:$W,MATCH($C818&amp;$I818&amp;$H818&amp;$N818&amp;$O818,APOIO_REDES!$W:$W,0),MATCH(AU$5,APOIO_REDES!$5:$5,0)),0)*$AP818,0)</f>
        <v>1.06752568362992</v>
      </c>
      <c r="AV818" s="153" t="n">
        <f aca="false">IFERROR(IF($N818="VCA",INDEX(APOIO_REDES!$A:$W,MATCH($C818&amp;$I818&amp;$H818&amp;$N818&amp;$O818,APOIO_REDES!$W:$W,0),MATCH(AV$5,APOIO_REDES!$5:$5,0)),0)*$AP818,0)</f>
        <v>0.147737174209186</v>
      </c>
      <c r="AW818" s="153" t="n">
        <f aca="false">IFERROR(IF($N818="VCA",INDEX(APOIO_REDES!$A:$W,MATCH($C818&amp;$I818&amp;$H818&amp;$N818&amp;$O818,APOIO_REDES!$W:$W,0),MATCH(AW$5,APOIO_REDES!$5:$5,0)),0)*$AP818,0)</f>
        <v>84.3344899676094</v>
      </c>
      <c r="AX818" s="153" t="n">
        <f aca="false">IFERROR(IF($N818="VCA",INDEX(APOIO_REDES!$A:$W,MATCH($C818&amp;$I818&amp;$H818&amp;$N818&amp;$O818,APOIO_REDES!$W:$W,0),MATCH(AX$5,APOIO_REDES!$5:$5,0)),0)*$AP818,0)</f>
        <v>11.6716531801751</v>
      </c>
      <c r="AY818" s="153" t="n">
        <f aca="false">IFERROR(IF($N818="VCA",INDEX(APOIO_REDES!$A:$W,MATCH($C818&amp;$I818&amp;$H818&amp;$N818&amp;$O818,APOIO_REDES!$W:$W,0),MATCH(AY$5,APOIO_REDES!$5:$5,0)),0)*$AP818,0)</f>
        <v>21.3505006595469</v>
      </c>
      <c r="AZ818" s="153" t="n">
        <f aca="false">IFERROR(IF($N818="VCA",INDEX(APOIO_REDES!$A:$W,MATCH($C818&amp;$I818&amp;$H818&amp;$N818&amp;$O818,APOIO_REDES!$W:$W,0),MATCH(AZ$5,APOIO_REDES!$5:$5,0)),0)*$AP818,0)</f>
        <v>2.95484758859608</v>
      </c>
      <c r="BA818" s="153" t="n">
        <f aca="false">IFERROR(IF(AND($N818="VCA",$Q818="LINEAR"),INDEX(APOIO_REDES!$A:$W,MATCH($C818&amp;$I818&amp;$H818&amp;$N818&amp;$O818,APOIO_REDES!$W:$W,0),MATCH(BA$5,APOIO_REDES!$5:$5,0)),IF(AND($N818="MND",$Q818="EMBOQUE"),INDEX(APOIO_REDES!$A:$W,MATCH($C818&amp;$I818&amp;$H818&amp;$N818&amp;$O818,APOIO_REDES!$W:$W,0),MATCH(BA$5,APOIO_REDES!$5:$5,0)),0))*$M818/10,0)</f>
        <v>11.1772581907639</v>
      </c>
      <c r="BB818" s="153" t="n">
        <f aca="false">IFERROR(IF($N818="VCA",INDEX(APOIO_REDES!$A:$W,MATCH($C818&amp;$I818&amp;$H818&amp;$N818&amp;$O818,APOIO_REDES!$W:$W,0),MATCH(BB$5,APOIO_REDES!$5:$5,0)),0)*($AI818+$AQ818+$AR818),0)</f>
        <v>41.2816487303698</v>
      </c>
      <c r="BC818" s="153" t="n">
        <f aca="false">IFERROR(IF($N818="VCA",INDEX(APOIO_REDES!$A:$W,MATCH($C818&amp;$I818&amp;$H818&amp;$N818&amp;$O818,APOIO_REDES!$W:$W,0),MATCH(BC$5,APOIO_REDES!$5:$5,0)),0)*($AI818+$AQ818+$AR818),0)</f>
        <v>0.454097269630251</v>
      </c>
      <c r="BD818" s="153" t="n">
        <f aca="false">IF(AND($N818="VCA",$AF818&gt;=1.25,$AF818&lt;1.5),$M818*$AF818*2,0)</f>
        <v>378.04168</v>
      </c>
      <c r="BE818" s="153" t="n">
        <f aca="false">IF(AND($N818="VCA",$AF818&gt;=1.5,$AF818&lt;3),$M818*$AF818*2,0)</f>
        <v>0</v>
      </c>
      <c r="BF818" s="153" t="n">
        <f aca="false">IF(AND($N818="VCA",$AF818&gt;=3),$M818*$AF818*2,0)</f>
        <v>0</v>
      </c>
      <c r="BG818" s="153" t="n">
        <f aca="false">($BB818+$BC818)*$AK818</f>
        <v>154.4222602</v>
      </c>
      <c r="BH818" s="153" t="n">
        <f aca="false">IF(AND($M818&lt;&gt;"",$N818="VCA",$Q818="LINEAR"),($M818*2)/100,IF(AND($M818&lt;&gt;"",$N818="MND",$Q818="EMBOQUE"),($AN818*2)/100,0))</f>
        <v>2.7736</v>
      </c>
      <c r="BI818" s="153" t="n">
        <f aca="false">IF(AND($M818&lt;&gt;"",$N818="VCA",$Q818="LINEAR"),$M818,IF(AND($M818&lt;&gt;"",$N818="MND",$Q818="EMBOQUE"),$AN818*2,0))</f>
        <v>138.68</v>
      </c>
      <c r="BJ818" s="153" t="n">
        <f aca="false">IF(AND($M818&lt;&gt;"",$N818="VCA",$Q818="LINEAR"),($M818*6.8)/100,IF(AND($M818&lt;&gt;"",$N818="MND",$Q818="EMBOQUE"),($AN818*2*6.8)/100,0))</f>
        <v>9.43024</v>
      </c>
      <c r="BK818" s="153" t="n">
        <f aca="false">IF(AND($M818&lt;&gt;"",$N818="VCA",$Q818="LINEAR"),($M818*2.5)/50,IF(AND($M818&lt;&gt;"",$N818="MND",$Q818="EMBOQUE"),($AN818*2*2.5)/50,0))</f>
        <v>6.934</v>
      </c>
      <c r="BL818" s="157" t="str">
        <f aca="false">K818&amp;J818</f>
        <v>Zona07REDES</v>
      </c>
      <c r="BM818" s="152" t="s">
        <v>4225</v>
      </c>
      <c r="BN818" s="152" t="s">
        <v>1560</v>
      </c>
      <c r="BO818" s="152" t="s">
        <v>4218</v>
      </c>
      <c r="BP818" s="152" t="s">
        <v>4653</v>
      </c>
      <c r="BQ818" s="152" t="s">
        <v>4626</v>
      </c>
      <c r="BR818" s="152" t="s">
        <v>4654</v>
      </c>
      <c r="BS818" s="152" t="n">
        <v>204052.064</v>
      </c>
      <c r="BT818" s="152" t="n">
        <v>8236352.052</v>
      </c>
      <c r="BU818" s="152" t="n">
        <v>204009.996</v>
      </c>
      <c r="BV818" s="152" t="n">
        <v>8236484.189</v>
      </c>
      <c r="BW818" s="152" t="n">
        <v>-15.9338707</v>
      </c>
      <c r="BX818" s="152" t="n">
        <v>-47.7644555</v>
      </c>
      <c r="BY818" s="152" t="s">
        <v>4653</v>
      </c>
    </row>
    <row r="819" customFormat="false" ht="13.8" hidden="false" customHeight="false" outlineLevel="0" collapsed="false">
      <c r="A819" s="149" t="n">
        <f aca="false">IF(C819&lt;&gt;"",ROW(A814),"")</f>
        <v>814</v>
      </c>
      <c r="B819" s="150" t="str">
        <f aca="false">HYPERLINK("https://www.google.com/maps/dir/-15.917302,-47.760003/-15.9340339,-47.7655201/data=!4m3!4m2!3e0!5i1")</f>
        <v>https://www.google.com/maps/dir/-15.917302,-47.760003/-15.9340339,-47.7655201/data=!4m3!4m2!3e0!5i1</v>
      </c>
      <c r="C819" s="151" t="s">
        <v>117</v>
      </c>
      <c r="D819" s="152" t="s">
        <v>112</v>
      </c>
      <c r="E819" s="152" t="s">
        <v>113</v>
      </c>
      <c r="F819" s="152" t="s">
        <v>117</v>
      </c>
      <c r="G819" s="152" t="s">
        <v>114</v>
      </c>
      <c r="H819" s="152" t="n">
        <v>160</v>
      </c>
      <c r="I819" s="152" t="s">
        <v>115</v>
      </c>
      <c r="J819" s="152" t="s">
        <v>6</v>
      </c>
      <c r="K819" s="152" t="s">
        <v>4221</v>
      </c>
      <c r="L819" s="152" t="s">
        <v>120</v>
      </c>
      <c r="M819" s="153" t="n">
        <f aca="false">25.15</f>
        <v>25.15</v>
      </c>
      <c r="N819" s="152" t="s">
        <v>1548</v>
      </c>
      <c r="O819" s="152" t="s">
        <v>1549</v>
      </c>
      <c r="P819" s="152" t="s">
        <v>1550</v>
      </c>
      <c r="Q819" s="152" t="s">
        <v>1551</v>
      </c>
      <c r="R819" s="154" t="s">
        <v>4655</v>
      </c>
      <c r="S819" s="154" t="s">
        <v>1593</v>
      </c>
      <c r="T819" s="155" t="s">
        <v>4216</v>
      </c>
      <c r="U819" s="152" t="str">
        <f aca="false">RIGHT(T819,7)</f>
        <v>019/037</v>
      </c>
      <c r="V819" s="152" t="s">
        <v>1555</v>
      </c>
      <c r="W819" s="156" t="n">
        <v>45882</v>
      </c>
      <c r="X819" s="152" t="s">
        <v>1594</v>
      </c>
      <c r="Y819" s="152" t="s">
        <v>4632</v>
      </c>
      <c r="Z819" s="152" t="s">
        <v>1557</v>
      </c>
      <c r="AA819" s="153" t="n">
        <v>3.7</v>
      </c>
      <c r="AB819" s="151" t="s">
        <v>4656</v>
      </c>
      <c r="AC819" s="151" t="s">
        <v>505</v>
      </c>
      <c r="AD819" s="151" t="str">
        <f aca="false">CONCATENATE($C819,$I819,$H819,$N819,$J819,$K819)</f>
        <v>TUBO PEADPEAD160VCAREDESZona07</v>
      </c>
      <c r="AE819" s="153" t="n">
        <f aca="false">IFERROR(INDEX(APOIO_REDES!$A:$W,MATCH($C819&amp;$I819&amp;$H819&amp;$N819&amp;$O819,APOIO_REDES!$W:$W,0),MATCH(AE$5,APOIO_REDES!$5:$5,0)),0)</f>
        <v>1.2</v>
      </c>
      <c r="AF819" s="153" t="n">
        <f aca="false">IFERROR(INDEX(APOIO_REDES!$A:$W,MATCH($C819&amp;$I819&amp;$H819&amp;$N819&amp;$O819,APOIO_REDES!$W:$W,0),MATCH(AF$5,APOIO_REDES!$5:$5,0)),0)</f>
        <v>1.46</v>
      </c>
      <c r="AG819" s="153" t="n">
        <f aca="false">IFERROR(INDEX(APOIO_REDES!$A:$W,MATCH($C819&amp;$I819&amp;$H819&amp;$N819&amp;$O819,APOIO_REDES!$W:$W,0),MATCH(AG$5,APOIO_REDES!$5:$5,0)),0)</f>
        <v>0.75</v>
      </c>
      <c r="AH819" s="153" t="n">
        <f aca="false">IFERROR(INDEX(APOIO_REDES!$A:$W,MATCH($C819&amp;$I819&amp;$H819&amp;$N819&amp;$O819,APOIO_REDES!$W:$W,0),MATCH(AH$5,APOIO_REDES!$5:$5,0)),0)</f>
        <v>0.1</v>
      </c>
      <c r="AI819" s="153" t="n">
        <f aca="false">IFERROR(IF($H819&lt;&gt;"",(((($H819/1000)/2)^2)*PI()*$M819),0),0)</f>
        <v>0.505670753521813</v>
      </c>
      <c r="AJ819" s="153" t="n">
        <f aca="false">IFERROR(IF(AND($H819&lt;&gt;"",$I819="FoFo",OR($N819="MND",$N819="VCA"),$Q819="LINEAR"),0,IF(AND($H819&lt;&gt;"",$I819="PEAD",$N819="VCA",$Q819="LINEAR"),($H819/1000)+0.3,IF(AND($H819&lt;&gt;"",$I819="PEAD",$N819="MND",$Q819="EMBOQUE"),0,IF(AND($H819&lt;&gt;"",$I819="PVC",$N819="VCA",$Q819="LINEAR"),($H819/1000)+0.2,IF(AND($H819&lt;&gt;"",$I819="PVC",$N819="MND",$Q819="EMBOQUE"),0,IF(AND($H819&lt;&gt;"",$I819="PEAD",$N819="VCA",$Q819="PREDIAL"),0,0)))))),0)</f>
        <v>0.46</v>
      </c>
      <c r="AK819" s="153" t="n">
        <f aca="false">IF(AA819&lt;&gt;"",AA819,0)</f>
        <v>3.7</v>
      </c>
      <c r="AL819" s="153" t="n">
        <f aca="false">IF(AND($N819="MND",$Q819="EMBOQUE"),$M819,IF(AND($N819="VCA",$Q819="LINEAR"),$M819,IF(AND($N819="VCA",$Q819="PREDIAL"),0,0)))</f>
        <v>25.15</v>
      </c>
      <c r="AM819" s="153" t="n">
        <f aca="false">IF(AND($N819="MND",$Q819="EMBOQUE"),$M819,IF(AND($N819="VCA",$Q819="LINEAR"),$M819,IF(AND($N819="VCA",$Q819="PREDIAL"),0,0)))</f>
        <v>25.15</v>
      </c>
      <c r="AN819" s="153" t="n">
        <f aca="false">ROUND(IF(AND($N819="VCA",$M819&lt;&gt;"",$Q819="LINEAR"),$M819/100,IF(AND($N819="MND",$M819&gt;100,$Q819="EMBOQUE"),$M819/100,0)),0)</f>
        <v>0</v>
      </c>
      <c r="AO819" s="153" t="n">
        <f aca="false">IF(AND($N819="MND",$Q819="EMBOQUE"),$AN819*2*2,IF(AND($N819="VCA",$Q819="LINEAR"),$M819*2,IF(AND($N819="VCA",$Q819="PREDIAL"),0,0)))</f>
        <v>50.3</v>
      </c>
      <c r="AP819" s="153" t="n">
        <f aca="false">IFERROR($M819*$AF819*$AG819,0)</f>
        <v>27.53925</v>
      </c>
      <c r="AQ819" s="153" t="n">
        <f aca="false">IFERROR(IF(AND($N819="VCA",$AH819&gt;0),$M819*$AG819*$AH819,0),0)</f>
        <v>1.88625</v>
      </c>
      <c r="AR819" s="153" t="n">
        <f aca="false">IFERROR(IF(AND($N819="VCA",$AJ819&gt;0),($M819*$AG819*$AJ819)-$AI819,0),0)</f>
        <v>8.17107924647819</v>
      </c>
      <c r="AS819" s="153" t="n">
        <f aca="false">IFERROR(IF(AND($N819="VCA",$AP819&gt;0),$AP819-$AI819-$AQ819-$AR819,0),0)</f>
        <v>16.97625</v>
      </c>
      <c r="AT819" s="153" t="n">
        <f aca="false">IFERROR(IF($N819="VCA",INDEX(APOIO_REDES!$A:$W,MATCH($C819&amp;$I819&amp;$H819&amp;$N819&amp;$O819,APOIO_REDES!$W:$W,0),MATCH(AT$5,APOIO_REDES!$5:$5,0)),0)*$AP819,0)</f>
        <v>0.299635191201923</v>
      </c>
      <c r="AU819" s="153" t="n">
        <f aca="false">IFERROR(IF($N819="VCA",INDEX(APOIO_REDES!$A:$W,MATCH($C819&amp;$I819&amp;$H819&amp;$N819&amp;$O819,APOIO_REDES!$W:$W,0),MATCH(AU$5,APOIO_REDES!$5:$5,0)),0)*$AP819,0)</f>
        <v>0.23928054854371</v>
      </c>
      <c r="AV819" s="153" t="n">
        <f aca="false">IFERROR(IF($N819="VCA",INDEX(APOIO_REDES!$A:$W,MATCH($C819&amp;$I819&amp;$H819&amp;$N819&amp;$O819,APOIO_REDES!$W:$W,0),MATCH(AV$5,APOIO_REDES!$5:$5,0)),0)*$AP819,0)</f>
        <v>0.033114549492494</v>
      </c>
      <c r="AW819" s="153" t="n">
        <f aca="false">IFERROR(IF($N819="VCA",INDEX(APOIO_REDES!$A:$W,MATCH($C819&amp;$I819&amp;$H819&amp;$N819&amp;$O819,APOIO_REDES!$W:$W,0),MATCH(AW$5,APOIO_REDES!$5:$5,0)),0)*$AP819,0)</f>
        <v>18.9031545845216</v>
      </c>
      <c r="AX819" s="153" t="n">
        <f aca="false">IFERROR(IF($N819="VCA",INDEX(APOIO_REDES!$A:$W,MATCH($C819&amp;$I819&amp;$H819&amp;$N819&amp;$O819,APOIO_REDES!$W:$W,0),MATCH(AX$5,APOIO_REDES!$5:$5,0)),0)*$AP819,0)</f>
        <v>2.6161427478427</v>
      </c>
      <c r="AY819" s="153" t="n">
        <f aca="false">IFERROR(IF($N819="VCA",INDEX(APOIO_REDES!$A:$W,MATCH($C819&amp;$I819&amp;$H819&amp;$N819&amp;$O819,APOIO_REDES!$W:$W,0),MATCH(AY$5,APOIO_REDES!$5:$5,0)),0)*$AP819,0)</f>
        <v>4.78560805406372</v>
      </c>
      <c r="AZ819" s="153" t="n">
        <f aca="false">IFERROR(IF($N819="VCA",INDEX(APOIO_REDES!$A:$W,MATCH($C819&amp;$I819&amp;$H819&amp;$N819&amp;$O819,APOIO_REDES!$W:$W,0),MATCH(AZ$5,APOIO_REDES!$5:$5,0)),0)*$AP819,0)</f>
        <v>0.662314324333799</v>
      </c>
      <c r="BA819" s="153" t="n">
        <f aca="false">IFERROR(IF(AND($N819="VCA",$Q819="LINEAR"),INDEX(APOIO_REDES!$A:$W,MATCH($C819&amp;$I819&amp;$H819&amp;$N819&amp;$O819,APOIO_REDES!$W:$W,0),MATCH(BA$5,APOIO_REDES!$5:$5,0)),IF(AND($N819="MND",$Q819="EMBOQUE"),INDEX(APOIO_REDES!$A:$W,MATCH($C819&amp;$I819&amp;$H819&amp;$N819&amp;$O819,APOIO_REDES!$W:$W,0),MATCH(BA$5,APOIO_REDES!$5:$5,0)),0))*$M819/10,0)</f>
        <v>2.02702656113147</v>
      </c>
      <c r="BB819" s="153" t="n">
        <f aca="false">IFERROR(IF($N819="VCA",INDEX(APOIO_REDES!$A:$W,MATCH($C819&amp;$I819&amp;$H819&amp;$N819&amp;$O819,APOIO_REDES!$W:$W,0),MATCH(BB$5,APOIO_REDES!$5:$5,0)),0)*($AI819+$AQ819+$AR819),0)</f>
        <v>10.4480714335116</v>
      </c>
      <c r="BC819" s="153" t="n">
        <f aca="false">IFERROR(IF($N819="VCA",INDEX(APOIO_REDES!$A:$W,MATCH($C819&amp;$I819&amp;$H819&amp;$N819&amp;$O819,APOIO_REDES!$W:$W,0),MATCH(BC$5,APOIO_REDES!$5:$5,0)),0)*($AI819+$AQ819+$AR819),0)</f>
        <v>0.114928566488409</v>
      </c>
      <c r="BD819" s="153" t="n">
        <f aca="false">IF(AND($N819="VCA",$AF819&gt;=1.25,$AF819&lt;1.5),$M819*$AF819*2,0)</f>
        <v>73.438</v>
      </c>
      <c r="BE819" s="153" t="n">
        <f aca="false">IF(AND($N819="VCA",$AF819&gt;=1.5,$AF819&lt;3),$M819*$AF819*2,0)</f>
        <v>0</v>
      </c>
      <c r="BF819" s="153" t="n">
        <f aca="false">IF(AND($N819="VCA",$AF819&gt;=3),$M819*$AF819*2,0)</f>
        <v>0</v>
      </c>
      <c r="BG819" s="153" t="n">
        <f aca="false">($BB819+$BC819)*$AK819</f>
        <v>39.0831</v>
      </c>
      <c r="BH819" s="153" t="n">
        <f aca="false">IF(AND($M819&lt;&gt;"",$N819="VCA",$Q819="LINEAR"),($M819*2)/100,IF(AND($M819&lt;&gt;"",$N819="MND",$Q819="EMBOQUE"),($AN819*2)/100,0))</f>
        <v>0.503</v>
      </c>
      <c r="BI819" s="153" t="n">
        <f aca="false">IF(AND($M819&lt;&gt;"",$N819="VCA",$Q819="LINEAR"),$M819,IF(AND($M819&lt;&gt;"",$N819="MND",$Q819="EMBOQUE"),$AN819*2,0))</f>
        <v>25.15</v>
      </c>
      <c r="BJ819" s="153" t="n">
        <f aca="false">IF(AND($M819&lt;&gt;"",$N819="VCA",$Q819="LINEAR"),($M819*6.8)/100,IF(AND($M819&lt;&gt;"",$N819="MND",$Q819="EMBOQUE"),($AN819*2*6.8)/100,0))</f>
        <v>1.7102</v>
      </c>
      <c r="BK819" s="153" t="n">
        <f aca="false">IF(AND($M819&lt;&gt;"",$N819="VCA",$Q819="LINEAR"),($M819*2.5)/50,IF(AND($M819&lt;&gt;"",$N819="MND",$Q819="EMBOQUE"),($AN819*2*2.5)/50,0))</f>
        <v>1.2575</v>
      </c>
      <c r="BL819" s="157" t="str">
        <f aca="false">K819&amp;J819</f>
        <v>Zona07REDES</v>
      </c>
      <c r="BM819" s="152" t="s">
        <v>4225</v>
      </c>
      <c r="BN819" s="152" t="s">
        <v>1560</v>
      </c>
      <c r="BO819" s="152" t="s">
        <v>4218</v>
      </c>
      <c r="BP819" s="152" t="s">
        <v>4634</v>
      </c>
      <c r="BQ819" s="152" t="s">
        <v>4649</v>
      </c>
      <c r="BR819" s="152" t="s">
        <v>4657</v>
      </c>
      <c r="BS819" s="152" t="n">
        <v>203917.469</v>
      </c>
      <c r="BT819" s="152" t="n">
        <v>8236398.629</v>
      </c>
      <c r="BU819" s="152" t="n">
        <v>203934.654</v>
      </c>
      <c r="BV819" s="152" t="n">
        <v>8236416.989</v>
      </c>
      <c r="BW819" s="152" t="n">
        <v>-15.933952</v>
      </c>
      <c r="BX819" s="152" t="n">
        <v>-47.7654387</v>
      </c>
      <c r="BY819" s="152" t="s">
        <v>4634</v>
      </c>
    </row>
    <row r="820" customFormat="false" ht="13.8" hidden="false" customHeight="false" outlineLevel="0" collapsed="false">
      <c r="A820" s="149" t="n">
        <f aca="false">IF(C820&lt;&gt;"",ROW(A815),"")</f>
        <v>815</v>
      </c>
      <c r="B820" s="150" t="str">
        <f aca="false">HYPERLINK("https://www.google.com/maps/dir/-15.917302,-47.760003/-15.9337250,-47.7664810/data=!4m3!4m2!3e0!5i2")</f>
        <v>https://www.google.com/maps/dir/-15.917302,-47.760003/-15.9337250,-47.7664810/data=!4m3!4m2!3e0!5i2</v>
      </c>
      <c r="C820" s="151" t="s">
        <v>117</v>
      </c>
      <c r="D820" s="152" t="s">
        <v>112</v>
      </c>
      <c r="E820" s="152" t="s">
        <v>113</v>
      </c>
      <c r="F820" s="152" t="s">
        <v>117</v>
      </c>
      <c r="G820" s="152" t="s">
        <v>782</v>
      </c>
      <c r="H820" s="152" t="n">
        <v>63</v>
      </c>
      <c r="I820" s="152" t="s">
        <v>115</v>
      </c>
      <c r="J820" s="152" t="s">
        <v>6</v>
      </c>
      <c r="K820" s="152" t="s">
        <v>4221</v>
      </c>
      <c r="L820" s="152" t="s">
        <v>120</v>
      </c>
      <c r="M820" s="153" t="n">
        <f aca="false">97.86</f>
        <v>97.86</v>
      </c>
      <c r="N820" s="152" t="s">
        <v>1548</v>
      </c>
      <c r="O820" s="152" t="s">
        <v>1549</v>
      </c>
      <c r="P820" s="152" t="s">
        <v>1550</v>
      </c>
      <c r="Q820" s="152" t="s">
        <v>1551</v>
      </c>
      <c r="R820" s="154" t="s">
        <v>4658</v>
      </c>
      <c r="S820" s="154" t="s">
        <v>1553</v>
      </c>
      <c r="T820" s="155" t="s">
        <v>4216</v>
      </c>
      <c r="U820" s="152" t="str">
        <f aca="false">RIGHT(T820,7)</f>
        <v>019/037</v>
      </c>
      <c r="V820" s="152" t="s">
        <v>1555</v>
      </c>
      <c r="W820" s="156" t="n">
        <v>45882</v>
      </c>
      <c r="X820" s="152" t="s">
        <v>1594</v>
      </c>
      <c r="Y820" s="152" t="s">
        <v>4278</v>
      </c>
      <c r="Z820" s="152" t="s">
        <v>1557</v>
      </c>
      <c r="AA820" s="153" t="n">
        <v>3.8</v>
      </c>
      <c r="AB820" s="151" t="s">
        <v>4659</v>
      </c>
      <c r="AC820" s="151" t="s">
        <v>186</v>
      </c>
      <c r="AD820" s="151" t="str">
        <f aca="false">CONCATENATE($C820,$I820,$H820,$N820,$J820,$K820)</f>
        <v>TUBO PEADPEAD63VCAREDESZona07</v>
      </c>
      <c r="AE820" s="153" t="n">
        <f aca="false">IFERROR(INDEX(APOIO_REDES!$A:$W,MATCH($C820&amp;$I820&amp;$H820&amp;$N820&amp;$O820,APOIO_REDES!$W:$W,0),MATCH(AE$5,APOIO_REDES!$5:$5,0)),0)</f>
        <v>1.2</v>
      </c>
      <c r="AF820" s="153" t="n">
        <f aca="false">IFERROR(INDEX(APOIO_REDES!$A:$W,MATCH($C820&amp;$I820&amp;$H820&amp;$N820&amp;$O820,APOIO_REDES!$W:$W,0),MATCH(AF$5,APOIO_REDES!$5:$5,0)),0)</f>
        <v>1.363</v>
      </c>
      <c r="AG820" s="153" t="n">
        <f aca="false">IFERROR(INDEX(APOIO_REDES!$A:$W,MATCH($C820&amp;$I820&amp;$H820&amp;$N820&amp;$O820,APOIO_REDES!$W:$W,0),MATCH(AG$5,APOIO_REDES!$5:$5,0)),0)</f>
        <v>0.65</v>
      </c>
      <c r="AH820" s="153" t="n">
        <f aca="false">IFERROR(INDEX(APOIO_REDES!$A:$W,MATCH($C820&amp;$I820&amp;$H820&amp;$N820&amp;$O820,APOIO_REDES!$W:$W,0),MATCH(AH$5,APOIO_REDES!$5:$5,0)),0)</f>
        <v>0.1</v>
      </c>
      <c r="AI820" s="153" t="n">
        <f aca="false">IFERROR(IF($H820&lt;&gt;"",(((($H820/1000)/2)^2)*PI()*$M820),0),0)</f>
        <v>0.305053626087925</v>
      </c>
      <c r="AJ820" s="153" t="n">
        <f aca="false">IFERROR(IF(AND($H820&lt;&gt;"",$I820="FoFo",OR($N820="MND",$N820="VCA"),$Q820="LINEAR"),0,IF(AND($H820&lt;&gt;"",$I820="PEAD",$N820="VCA",$Q820="LINEAR"),($H820/1000)+0.3,IF(AND($H820&lt;&gt;"",$I820="PEAD",$N820="MND",$Q820="EMBOQUE"),0,IF(AND($H820&lt;&gt;"",$I820="PVC",$N820="VCA",$Q820="LINEAR"),($H820/1000)+0.2,IF(AND($H820&lt;&gt;"",$I820="PVC",$N820="MND",$Q820="EMBOQUE"),0,IF(AND($H820&lt;&gt;"",$I820="PEAD",$N820="VCA",$Q820="PREDIAL"),0,0)))))),0)</f>
        <v>0.363</v>
      </c>
      <c r="AK820" s="153" t="n">
        <f aca="false">IF(AA820&lt;&gt;"",AA820,0)</f>
        <v>3.8</v>
      </c>
      <c r="AL820" s="153" t="n">
        <f aca="false">IF(AND($N820="MND",$Q820="EMBOQUE"),$M820,IF(AND($N820="VCA",$Q820="LINEAR"),$M820,IF(AND($N820="VCA",$Q820="PREDIAL"),0,0)))</f>
        <v>97.86</v>
      </c>
      <c r="AM820" s="153" t="n">
        <f aca="false">IF(AND($N820="MND",$Q820="EMBOQUE"),$M820,IF(AND($N820="VCA",$Q820="LINEAR"),$M820,IF(AND($N820="VCA",$Q820="PREDIAL"),0,0)))</f>
        <v>97.86</v>
      </c>
      <c r="AN820" s="153" t="n">
        <f aca="false">ROUND(IF(AND($N820="VCA",$M820&lt;&gt;"",$Q820="LINEAR"),$M820/100,IF(AND($N820="MND",$M820&gt;100,$Q820="EMBOQUE"),$M820/100,0)),0)</f>
        <v>1</v>
      </c>
      <c r="AO820" s="153" t="n">
        <f aca="false">IF(AND($N820="MND",$Q820="EMBOQUE"),$AN820*2*2,IF(AND($N820="VCA",$Q820="LINEAR"),$M820*2,IF(AND($N820="VCA",$Q820="PREDIAL"),0,0)))</f>
        <v>195.72</v>
      </c>
      <c r="AP820" s="153" t="n">
        <f aca="false">IFERROR($M820*$AF820*$AG820,0)</f>
        <v>86.699067</v>
      </c>
      <c r="AQ820" s="153" t="n">
        <f aca="false">IFERROR(IF(AND($N820="VCA",$AH820&gt;0),$M820*$AG820*$AH820,0),0)</f>
        <v>6.3609</v>
      </c>
      <c r="AR820" s="153" t="n">
        <f aca="false">IFERROR(IF(AND($N820="VCA",$AJ820&gt;0),($M820*$AG820*$AJ820)-$AI820,0),0)</f>
        <v>22.7850133739121</v>
      </c>
      <c r="AS820" s="153" t="n">
        <f aca="false">IFERROR(IF(AND($N820="VCA",$AP820&gt;0),$AP820-$AI820-$AQ820-$AR820,0),0)</f>
        <v>57.2481</v>
      </c>
      <c r="AT820" s="153" t="n">
        <f aca="false">IFERROR(IF($N820="VCA",INDEX(APOIO_REDES!$A:$W,MATCH($C820&amp;$I820&amp;$H820&amp;$N820&amp;$O820,APOIO_REDES!$W:$W,0),MATCH(AT$5,APOIO_REDES!$5:$5,0)),0)*$AP820,0)</f>
        <v>0.943311510573938</v>
      </c>
      <c r="AU820" s="153" t="n">
        <f aca="false">IFERROR(IF($N820="VCA",INDEX(APOIO_REDES!$A:$W,MATCH($C820&amp;$I820&amp;$H820&amp;$N820&amp;$O820,APOIO_REDES!$W:$W,0),MATCH(AU$5,APOIO_REDES!$5:$5,0)),0)*$AP820,0)</f>
        <v>0.753303024228616</v>
      </c>
      <c r="AV820" s="153" t="n">
        <f aca="false">IFERROR(IF($N820="VCA",INDEX(APOIO_REDES!$A:$W,MATCH($C820&amp;$I820&amp;$H820&amp;$N820&amp;$O820,APOIO_REDES!$W:$W,0),MATCH(AV$5,APOIO_REDES!$5:$5,0)),0)*$AP820,0)</f>
        <v>0.104251224892637</v>
      </c>
      <c r="AW820" s="153" t="n">
        <f aca="false">IFERROR(IF($N820="VCA",INDEX(APOIO_REDES!$A:$W,MATCH($C820&amp;$I820&amp;$H820&amp;$N820&amp;$O820,APOIO_REDES!$W:$W,0),MATCH(AW$5,APOIO_REDES!$5:$5,0)),0)*$AP820,0)</f>
        <v>59.5109113659522</v>
      </c>
      <c r="AX820" s="153" t="n">
        <f aca="false">IFERROR(IF($N820="VCA",INDEX(APOIO_REDES!$A:$W,MATCH($C820&amp;$I820&amp;$H820&amp;$N820&amp;$O820,APOIO_REDES!$W:$W,0),MATCH(AX$5,APOIO_REDES!$5:$5,0)),0)*$AP820,0)</f>
        <v>8.23614061300793</v>
      </c>
      <c r="AY820" s="153" t="n">
        <f aca="false">IFERROR(IF($N820="VCA",INDEX(APOIO_REDES!$A:$W,MATCH($C820&amp;$I820&amp;$H820&amp;$N820&amp;$O820,APOIO_REDES!$W:$W,0),MATCH(AY$5,APOIO_REDES!$5:$5,0)),0)*$AP820,0)</f>
        <v>15.0660513018695</v>
      </c>
      <c r="AZ820" s="153" t="n">
        <f aca="false">IFERROR(IF($N820="VCA",INDEX(APOIO_REDES!$A:$W,MATCH($C820&amp;$I820&amp;$H820&amp;$N820&amp;$O820,APOIO_REDES!$W:$W,0),MATCH(AZ$5,APOIO_REDES!$5:$5,0)),0)*$AP820,0)</f>
        <v>2.08509795947514</v>
      </c>
      <c r="BA820" s="153" t="n">
        <f aca="false">IFERROR(IF(AND($N820="VCA",$Q820="LINEAR"),INDEX(APOIO_REDES!$A:$W,MATCH($C820&amp;$I820&amp;$H820&amp;$N820&amp;$O820,APOIO_REDES!$W:$W,0),MATCH(BA$5,APOIO_REDES!$5:$5,0)),IF(AND($N820="MND",$Q820="EMBOQUE"),INDEX(APOIO_REDES!$A:$W,MATCH($C820&amp;$I820&amp;$H820&amp;$N820&amp;$O820,APOIO_REDES!$W:$W,0),MATCH(BA$5,APOIO_REDES!$5:$5,0)),0))*$M820/10,0)</f>
        <v>7.8872691559573</v>
      </c>
      <c r="BB820" s="153" t="n">
        <f aca="false">IFERROR(IF($N820="VCA",INDEX(APOIO_REDES!$A:$W,MATCH($C820&amp;$I820&amp;$H820&amp;$N820&amp;$O820,APOIO_REDES!$W:$W,0),MATCH(BB$5,APOIO_REDES!$5:$5,0)),0)*($AI820+$AQ820+$AR820),0)</f>
        <v>29.1305317619987</v>
      </c>
      <c r="BC820" s="153" t="n">
        <f aca="false">IFERROR(IF($N820="VCA",INDEX(APOIO_REDES!$A:$W,MATCH($C820&amp;$I820&amp;$H820&amp;$N820&amp;$O820,APOIO_REDES!$W:$W,0),MATCH(BC$5,APOIO_REDES!$5:$5,0)),0)*($AI820+$AQ820+$AR820),0)</f>
        <v>0.320435238001272</v>
      </c>
      <c r="BD820" s="153" t="n">
        <f aca="false">IF(AND($N820="VCA",$AF820&gt;=1.25,$AF820&lt;1.5),$M820*$AF820*2,0)</f>
        <v>266.76636</v>
      </c>
      <c r="BE820" s="153" t="n">
        <f aca="false">IF(AND($N820="VCA",$AF820&gt;=1.5,$AF820&lt;3),$M820*$AF820*2,0)</f>
        <v>0</v>
      </c>
      <c r="BF820" s="153" t="n">
        <f aca="false">IF(AND($N820="VCA",$AF820&gt;=3),$M820*$AF820*2,0)</f>
        <v>0</v>
      </c>
      <c r="BG820" s="153" t="n">
        <f aca="false">($BB820+$BC820)*$AK820</f>
        <v>111.9136746</v>
      </c>
      <c r="BH820" s="153" t="n">
        <f aca="false">IF(AND($M820&lt;&gt;"",$N820="VCA",$Q820="LINEAR"),($M820*2)/100,IF(AND($M820&lt;&gt;"",$N820="MND",$Q820="EMBOQUE"),($AN820*2)/100,0))</f>
        <v>1.9572</v>
      </c>
      <c r="BI820" s="153" t="n">
        <f aca="false">IF(AND($M820&lt;&gt;"",$N820="VCA",$Q820="LINEAR"),$M820,IF(AND($M820&lt;&gt;"",$N820="MND",$Q820="EMBOQUE"),$AN820*2,0))</f>
        <v>97.86</v>
      </c>
      <c r="BJ820" s="153" t="n">
        <f aca="false">IF(AND($M820&lt;&gt;"",$N820="VCA",$Q820="LINEAR"),($M820*6.8)/100,IF(AND($M820&lt;&gt;"",$N820="MND",$Q820="EMBOQUE"),($AN820*2*6.8)/100,0))</f>
        <v>6.65448</v>
      </c>
      <c r="BK820" s="153" t="n">
        <f aca="false">IF(AND($M820&lt;&gt;"",$N820="VCA",$Q820="LINEAR"),($M820*2.5)/50,IF(AND($M820&lt;&gt;"",$N820="MND",$Q820="EMBOQUE"),($AN820*2*2.5)/50,0))</f>
        <v>4.893</v>
      </c>
      <c r="BL820" s="157" t="str">
        <f aca="false">K820&amp;J820</f>
        <v>Zona07REDES</v>
      </c>
      <c r="BM820" s="152" t="s">
        <v>4225</v>
      </c>
      <c r="BN820" s="152" t="s">
        <v>1560</v>
      </c>
      <c r="BO820" s="152" t="s">
        <v>4218</v>
      </c>
      <c r="BP820" s="152" t="s">
        <v>4521</v>
      </c>
      <c r="BQ820" s="152" t="s">
        <v>4660</v>
      </c>
      <c r="BR820" s="152" t="s">
        <v>4661</v>
      </c>
      <c r="BS820" s="152" t="n">
        <v>203814.069</v>
      </c>
      <c r="BT820" s="152" t="n">
        <v>8236431.467</v>
      </c>
      <c r="BU820" s="152" t="n">
        <v>203884.823</v>
      </c>
      <c r="BV820" s="152" t="n">
        <v>8236363.936</v>
      </c>
      <c r="BW820" s="152" t="n">
        <v>-15.9340403</v>
      </c>
      <c r="BX820" s="152" t="n">
        <v>-47.7661614</v>
      </c>
      <c r="BY820" s="152" t="s">
        <v>4521</v>
      </c>
    </row>
    <row r="821" customFormat="false" ht="13.8" hidden="false" customHeight="false" outlineLevel="0" collapsed="false">
      <c r="A821" s="149" t="n">
        <f aca="false">IF(C821&lt;&gt;"",ROW(A816),"")</f>
        <v>816</v>
      </c>
      <c r="B821" s="150" t="str">
        <f aca="false">HYPERLINK("https://www.google.com/maps/dir/-15.917302,-47.760003/-15.9343287,-47.7651906/data=!4m3!4m2!3e0!5i1")</f>
        <v>https://www.google.com/maps/dir/-15.917302,-47.760003/-15.9343287,-47.7651906/data=!4m3!4m2!3e0!5i1</v>
      </c>
      <c r="C821" s="151" t="s">
        <v>117</v>
      </c>
      <c r="D821" s="152" t="s">
        <v>112</v>
      </c>
      <c r="E821" s="152" t="s">
        <v>113</v>
      </c>
      <c r="F821" s="152" t="s">
        <v>117</v>
      </c>
      <c r="G821" s="152" t="s">
        <v>782</v>
      </c>
      <c r="H821" s="152" t="n">
        <v>63</v>
      </c>
      <c r="I821" s="152" t="s">
        <v>115</v>
      </c>
      <c r="J821" s="152" t="s">
        <v>6</v>
      </c>
      <c r="K821" s="152" t="s">
        <v>4221</v>
      </c>
      <c r="L821" s="152" t="s">
        <v>120</v>
      </c>
      <c r="M821" s="153" t="n">
        <f aca="false">56.86+1.43</f>
        <v>58.29</v>
      </c>
      <c r="N821" s="152" t="s">
        <v>1548</v>
      </c>
      <c r="O821" s="152" t="s">
        <v>1549</v>
      </c>
      <c r="P821" s="152" t="s">
        <v>1550</v>
      </c>
      <c r="Q821" s="152" t="s">
        <v>1551</v>
      </c>
      <c r="R821" s="154" t="s">
        <v>4662</v>
      </c>
      <c r="S821" s="154" t="s">
        <v>1553</v>
      </c>
      <c r="T821" s="155" t="s">
        <v>4216</v>
      </c>
      <c r="U821" s="152" t="str">
        <f aca="false">RIGHT(T821,7)</f>
        <v>019/037</v>
      </c>
      <c r="V821" s="152" t="s">
        <v>1555</v>
      </c>
      <c r="W821" s="156" t="n">
        <v>45882</v>
      </c>
      <c r="X821" s="152" t="s">
        <v>1594</v>
      </c>
      <c r="Y821" s="152" t="s">
        <v>1952</v>
      </c>
      <c r="Z821" s="152" t="s">
        <v>1557</v>
      </c>
      <c r="AA821" s="153" t="n">
        <v>3.7</v>
      </c>
      <c r="AB821" s="151" t="s">
        <v>4663</v>
      </c>
      <c r="AC821" s="151" t="s">
        <v>186</v>
      </c>
      <c r="AD821" s="151" t="str">
        <f aca="false">CONCATENATE($C821,$I821,$H821,$N821,$J821,$K821)</f>
        <v>TUBO PEADPEAD63VCAREDESZona07</v>
      </c>
      <c r="AE821" s="153" t="n">
        <f aca="false">IFERROR(INDEX(APOIO_REDES!$A:$W,MATCH($C821&amp;$I821&amp;$H821&amp;$N821&amp;$O821,APOIO_REDES!$W:$W,0),MATCH(AE$5,APOIO_REDES!$5:$5,0)),0)</f>
        <v>1.2</v>
      </c>
      <c r="AF821" s="153" t="n">
        <f aca="false">IFERROR(INDEX(APOIO_REDES!$A:$W,MATCH($C821&amp;$I821&amp;$H821&amp;$N821&amp;$O821,APOIO_REDES!$W:$W,0),MATCH(AF$5,APOIO_REDES!$5:$5,0)),0)</f>
        <v>1.363</v>
      </c>
      <c r="AG821" s="153" t="n">
        <f aca="false">IFERROR(INDEX(APOIO_REDES!$A:$W,MATCH($C821&amp;$I821&amp;$H821&amp;$N821&amp;$O821,APOIO_REDES!$W:$W,0),MATCH(AG$5,APOIO_REDES!$5:$5,0)),0)</f>
        <v>0.65</v>
      </c>
      <c r="AH821" s="153" t="n">
        <f aca="false">IFERROR(INDEX(APOIO_REDES!$A:$W,MATCH($C821&amp;$I821&amp;$H821&amp;$N821&amp;$O821,APOIO_REDES!$W:$W,0),MATCH(AH$5,APOIO_REDES!$5:$5,0)),0)</f>
        <v>0.1</v>
      </c>
      <c r="AI821" s="153" t="n">
        <f aca="false">IFERROR(IF($H821&lt;&gt;"",(((($H821/1000)/2)^2)*PI()*$M821),0),0)</f>
        <v>0.181704229150472</v>
      </c>
      <c r="AJ821" s="153" t="n">
        <f aca="false">IFERROR(IF(AND($H821&lt;&gt;"",$I821="FoFo",OR($N821="MND",$N821="VCA"),$Q821="LINEAR"),0,IF(AND($H821&lt;&gt;"",$I821="PEAD",$N821="VCA",$Q821="LINEAR"),($H821/1000)+0.3,IF(AND($H821&lt;&gt;"",$I821="PEAD",$N821="MND",$Q821="EMBOQUE"),0,IF(AND($H821&lt;&gt;"",$I821="PVC",$N821="VCA",$Q821="LINEAR"),($H821/1000)+0.2,IF(AND($H821&lt;&gt;"",$I821="PVC",$N821="MND",$Q821="EMBOQUE"),0,IF(AND($H821&lt;&gt;"",$I821="PEAD",$N821="VCA",$Q821="PREDIAL"),0,0)))))),0)</f>
        <v>0.363</v>
      </c>
      <c r="AK821" s="153" t="n">
        <f aca="false">IF(AA821&lt;&gt;"",AA821,0)</f>
        <v>3.7</v>
      </c>
      <c r="AL821" s="153" t="n">
        <f aca="false">IF(AND($N821="MND",$Q821="EMBOQUE"),$M821,IF(AND($N821="VCA",$Q821="LINEAR"),$M821,IF(AND($N821="VCA",$Q821="PREDIAL"),0,0)))</f>
        <v>58.29</v>
      </c>
      <c r="AM821" s="153" t="n">
        <f aca="false">IF(AND($N821="MND",$Q821="EMBOQUE"),$M821,IF(AND($N821="VCA",$Q821="LINEAR"),$M821,IF(AND($N821="VCA",$Q821="PREDIAL"),0,0)))</f>
        <v>58.29</v>
      </c>
      <c r="AN821" s="153" t="n">
        <f aca="false">ROUND(IF(AND($N821="VCA",$M821&lt;&gt;"",$Q821="LINEAR"),$M821/100,IF(AND($N821="MND",$M821&gt;100,$Q821="EMBOQUE"),$M821/100,0)),0)</f>
        <v>1</v>
      </c>
      <c r="AO821" s="153" t="n">
        <f aca="false">IF(AND($N821="MND",$Q821="EMBOQUE"),$AN821*2*2,IF(AND($N821="VCA",$Q821="LINEAR"),$M821*2,IF(AND($N821="VCA",$Q821="PREDIAL"),0,0)))</f>
        <v>116.58</v>
      </c>
      <c r="AP821" s="153" t="n">
        <f aca="false">IFERROR($M821*$AF821*$AG821,0)</f>
        <v>51.6420255</v>
      </c>
      <c r="AQ821" s="153" t="n">
        <f aca="false">IFERROR(IF(AND($N821="VCA",$AH821&gt;0),$M821*$AG821*$AH821,0),0)</f>
        <v>3.78885</v>
      </c>
      <c r="AR821" s="153" t="n">
        <f aca="false">IFERROR(IF(AND($N821="VCA",$AJ821&gt;0),($M821*$AG821*$AJ821)-$AI821,0),0)</f>
        <v>13.5718212708495</v>
      </c>
      <c r="AS821" s="153" t="n">
        <f aca="false">IFERROR(IF(AND($N821="VCA",$AP821&gt;0),$AP821-$AI821-$AQ821-$AR821,0),0)</f>
        <v>34.09965</v>
      </c>
      <c r="AT821" s="153" t="n">
        <f aca="false">IFERROR(IF($N821="VCA",INDEX(APOIO_REDES!$A:$W,MATCH($C821&amp;$I821&amp;$H821&amp;$N821&amp;$O821,APOIO_REDES!$W:$W,0),MATCH(AT$5,APOIO_REDES!$5:$5,0)),0)*$AP821,0)</f>
        <v>0.561880522699314</v>
      </c>
      <c r="AU821" s="153" t="n">
        <f aca="false">IFERROR(IF($N821="VCA",INDEX(APOIO_REDES!$A:$W,MATCH($C821&amp;$I821&amp;$H821&amp;$N821&amp;$O821,APOIO_REDES!$W:$W,0),MATCH(AU$5,APOIO_REDES!$5:$5,0)),0)*$AP821,0)</f>
        <v>0.448702567773207</v>
      </c>
      <c r="AV821" s="153" t="n">
        <f aca="false">IFERROR(IF($N821="VCA",INDEX(APOIO_REDES!$A:$W,MATCH($C821&amp;$I821&amp;$H821&amp;$N821&amp;$O821,APOIO_REDES!$W:$W,0),MATCH(AV$5,APOIO_REDES!$5:$5,0)),0)*$AP821,0)</f>
        <v>0.0620969129265462</v>
      </c>
      <c r="AW821" s="153" t="n">
        <f aca="false">IFERROR(IF($N821="VCA",INDEX(APOIO_REDES!$A:$W,MATCH($C821&amp;$I821&amp;$H821&amp;$N821&amp;$O821,APOIO_REDES!$W:$W,0),MATCH(AW$5,APOIO_REDES!$5:$5,0)),0)*$AP821,0)</f>
        <v>35.4474864451395</v>
      </c>
      <c r="AX821" s="153" t="n">
        <f aca="false">IFERROR(IF($N821="VCA",INDEX(APOIO_REDES!$A:$W,MATCH($C821&amp;$I821&amp;$H821&amp;$N821&amp;$O821,APOIO_REDES!$W:$W,0),MATCH(AX$5,APOIO_REDES!$5:$5,0)),0)*$AP821,0)</f>
        <v>4.90583114993084</v>
      </c>
      <c r="AY821" s="153" t="n">
        <f aca="false">IFERROR(IF($N821="VCA",INDEX(APOIO_REDES!$A:$W,MATCH($C821&amp;$I821&amp;$H821&amp;$N821&amp;$O821,APOIO_REDES!$W:$W,0),MATCH(AY$5,APOIO_REDES!$5:$5,0)),0)*$AP821,0)</f>
        <v>8.97404588581621</v>
      </c>
      <c r="AZ821" s="153" t="n">
        <f aca="false">IFERROR(IF($N821="VCA",INDEX(APOIO_REDES!$A:$W,MATCH($C821&amp;$I821&amp;$H821&amp;$N821&amp;$O821,APOIO_REDES!$W:$W,0),MATCH(AZ$5,APOIO_REDES!$5:$5,0)),0)*$AP821,0)</f>
        <v>1.24198201571435</v>
      </c>
      <c r="BA821" s="153" t="n">
        <f aca="false">IFERROR(IF(AND($N821="VCA",$Q821="LINEAR"),INDEX(APOIO_REDES!$A:$W,MATCH($C821&amp;$I821&amp;$H821&amp;$N821&amp;$O821,APOIO_REDES!$W:$W,0),MATCH(BA$5,APOIO_REDES!$5:$5,0)),IF(AND($N821="MND",$Q821="EMBOQUE"),INDEX(APOIO_REDES!$A:$W,MATCH($C821&amp;$I821&amp;$H821&amp;$N821&amp;$O821,APOIO_REDES!$W:$W,0),MATCH(BA$5,APOIO_REDES!$5:$5,0)),0))*$M821/10,0)</f>
        <v>4.69802696812539</v>
      </c>
      <c r="BB821" s="153" t="n">
        <f aca="false">IFERROR(IF($N821="VCA",INDEX(APOIO_REDES!$A:$W,MATCH($C821&amp;$I821&amp;$H821&amp;$N821&amp;$O821,APOIO_REDES!$W:$W,0),MATCH(BB$5,APOIO_REDES!$5:$5,0)),0)*($AI821+$AQ821+$AR821),0)</f>
        <v>17.3515092622819</v>
      </c>
      <c r="BC821" s="153" t="n">
        <f aca="false">IFERROR(IF($N821="VCA",INDEX(APOIO_REDES!$A:$W,MATCH($C821&amp;$I821&amp;$H821&amp;$N821&amp;$O821,APOIO_REDES!$W:$W,0),MATCH(BC$5,APOIO_REDES!$5:$5,0)),0)*($AI821+$AQ821+$AR821),0)</f>
        <v>0.190866237718109</v>
      </c>
      <c r="BD821" s="153" t="n">
        <f aca="false">IF(AND($N821="VCA",$AF821&gt;=1.25,$AF821&lt;1.5),$M821*$AF821*2,0)</f>
        <v>158.89854</v>
      </c>
      <c r="BE821" s="153" t="n">
        <f aca="false">IF(AND($N821="VCA",$AF821&gt;=1.5,$AF821&lt;3),$M821*$AF821*2,0)</f>
        <v>0</v>
      </c>
      <c r="BF821" s="153" t="n">
        <f aca="false">IF(AND($N821="VCA",$AF821&gt;=3),$M821*$AF821*2,0)</f>
        <v>0</v>
      </c>
      <c r="BG821" s="153" t="n">
        <f aca="false">($BB821+$BC821)*$AK821</f>
        <v>64.90678935</v>
      </c>
      <c r="BH821" s="153" t="n">
        <f aca="false">IF(AND($M821&lt;&gt;"",$N821="VCA",$Q821="LINEAR"),($M821*2)/100,IF(AND($M821&lt;&gt;"",$N821="MND",$Q821="EMBOQUE"),($AN821*2)/100,0))</f>
        <v>1.1658</v>
      </c>
      <c r="BI821" s="153" t="n">
        <f aca="false">IF(AND($M821&lt;&gt;"",$N821="VCA",$Q821="LINEAR"),$M821,IF(AND($M821&lt;&gt;"",$N821="MND",$Q821="EMBOQUE"),$AN821*2,0))</f>
        <v>58.29</v>
      </c>
      <c r="BJ821" s="153" t="n">
        <f aca="false">IF(AND($M821&lt;&gt;"",$N821="VCA",$Q821="LINEAR"),($M821*6.8)/100,IF(AND($M821&lt;&gt;"",$N821="MND",$Q821="EMBOQUE"),($AN821*2*6.8)/100,0))</f>
        <v>3.96372</v>
      </c>
      <c r="BK821" s="153" t="n">
        <f aca="false">IF(AND($M821&lt;&gt;"",$N821="VCA",$Q821="LINEAR"),($M821*2.5)/50,IF(AND($M821&lt;&gt;"",$N821="MND",$Q821="EMBOQUE"),($AN821*2*2.5)/50,0))</f>
        <v>2.9145</v>
      </c>
      <c r="BL821" s="157" t="str">
        <f aca="false">K821&amp;J821</f>
        <v>Zona07REDES</v>
      </c>
      <c r="BM821" s="152" t="s">
        <v>4225</v>
      </c>
      <c r="BN821" s="152" t="s">
        <v>1560</v>
      </c>
      <c r="BO821" s="152" t="s">
        <v>4218</v>
      </c>
      <c r="BP821" s="152" t="s">
        <v>4664</v>
      </c>
      <c r="BQ821" s="152" t="s">
        <v>4649</v>
      </c>
      <c r="BR821" s="152" t="s">
        <v>4665</v>
      </c>
      <c r="BS821" s="152" t="n">
        <v>203953.203</v>
      </c>
      <c r="BT821" s="152" t="n">
        <v>8236366.456</v>
      </c>
      <c r="BU821" s="152" t="n">
        <v>203935.026</v>
      </c>
      <c r="BV821" s="152" t="n">
        <v>8236417.404</v>
      </c>
      <c r="BW821" s="152" t="n">
        <v>-15.9340874</v>
      </c>
      <c r="BX821" s="152" t="n">
        <v>-47.765281</v>
      </c>
      <c r="BY821" s="152" t="s">
        <v>4664</v>
      </c>
    </row>
    <row r="822" customFormat="false" ht="13.8" hidden="false" customHeight="false" outlineLevel="0" collapsed="false">
      <c r="A822" s="149" t="n">
        <f aca="false">IF(C822&lt;&gt;"",ROW(A817),"")</f>
        <v>817</v>
      </c>
      <c r="B822" s="150" t="str">
        <f aca="false">HYPERLINK("https://www.google.com/maps/dir/-15.917302,-47.760003/-15.9341771,-47.7656573/data=!4m3!4m2!3e0!5i1")</f>
        <v>https://www.google.com/maps/dir/-15.917302,-47.760003/-15.9341771,-47.7656573/data=!4m3!4m2!3e0!5i1</v>
      </c>
      <c r="C822" s="151" t="s">
        <v>117</v>
      </c>
      <c r="D822" s="152" t="s">
        <v>112</v>
      </c>
      <c r="E822" s="152" t="s">
        <v>113</v>
      </c>
      <c r="F822" s="152" t="s">
        <v>117</v>
      </c>
      <c r="G822" s="152" t="s">
        <v>114</v>
      </c>
      <c r="H822" s="152" t="n">
        <v>160</v>
      </c>
      <c r="I822" s="152" t="s">
        <v>115</v>
      </c>
      <c r="J822" s="152" t="s">
        <v>6</v>
      </c>
      <c r="K822" s="152" t="s">
        <v>4221</v>
      </c>
      <c r="L822" s="152" t="s">
        <v>120</v>
      </c>
      <c r="M822" s="153" t="n">
        <f aca="false">21.41</f>
        <v>21.41</v>
      </c>
      <c r="N822" s="152" t="s">
        <v>1548</v>
      </c>
      <c r="O822" s="152" t="s">
        <v>1549</v>
      </c>
      <c r="P822" s="152" t="s">
        <v>1550</v>
      </c>
      <c r="Q822" s="152" t="s">
        <v>1551</v>
      </c>
      <c r="R822" s="154" t="s">
        <v>4666</v>
      </c>
      <c r="S822" s="154" t="s">
        <v>1593</v>
      </c>
      <c r="T822" s="155" t="s">
        <v>4216</v>
      </c>
      <c r="U822" s="152" t="str">
        <f aca="false">RIGHT(T822,7)</f>
        <v>019/037</v>
      </c>
      <c r="V822" s="152" t="s">
        <v>1555</v>
      </c>
      <c r="W822" s="156" t="n">
        <v>45882</v>
      </c>
      <c r="X822" s="152" t="s">
        <v>1594</v>
      </c>
      <c r="Y822" s="152" t="s">
        <v>4632</v>
      </c>
      <c r="Z822" s="152" t="s">
        <v>1557</v>
      </c>
      <c r="AA822" s="153" t="n">
        <v>3.7</v>
      </c>
      <c r="AB822" s="151" t="s">
        <v>4667</v>
      </c>
      <c r="AC822" s="151" t="s">
        <v>505</v>
      </c>
      <c r="AD822" s="151" t="str">
        <f aca="false">CONCATENATE($C822,$I822,$H822,$N822,$J822,$K822)</f>
        <v>TUBO PEADPEAD160VCAREDESZona07</v>
      </c>
      <c r="AE822" s="153" t="n">
        <f aca="false">IFERROR(INDEX(APOIO_REDES!$A:$W,MATCH($C822&amp;$I822&amp;$H822&amp;$N822&amp;$O822,APOIO_REDES!$W:$W,0),MATCH(AE$5,APOIO_REDES!$5:$5,0)),0)</f>
        <v>1.2</v>
      </c>
      <c r="AF822" s="153" t="n">
        <f aca="false">IFERROR(INDEX(APOIO_REDES!$A:$W,MATCH($C822&amp;$I822&amp;$H822&amp;$N822&amp;$O822,APOIO_REDES!$W:$W,0),MATCH(AF$5,APOIO_REDES!$5:$5,0)),0)</f>
        <v>1.46</v>
      </c>
      <c r="AG822" s="153" t="n">
        <f aca="false">IFERROR(INDEX(APOIO_REDES!$A:$W,MATCH($C822&amp;$I822&amp;$H822&amp;$N822&amp;$O822,APOIO_REDES!$W:$W,0),MATCH(AG$5,APOIO_REDES!$5:$5,0)),0)</f>
        <v>0.75</v>
      </c>
      <c r="AH822" s="153" t="n">
        <f aca="false">IFERROR(INDEX(APOIO_REDES!$A:$W,MATCH($C822&amp;$I822&amp;$H822&amp;$N822&amp;$O822,APOIO_REDES!$W:$W,0),MATCH(AH$5,APOIO_REDES!$5:$5,0)),0)</f>
        <v>0.1</v>
      </c>
      <c r="AI822" s="153" t="n">
        <f aca="false">IFERROR(IF($H822&lt;&gt;"",(((($H822/1000)/2)^2)*PI()*$M822),0),0)</f>
        <v>0.430473591765488</v>
      </c>
      <c r="AJ822" s="153" t="n">
        <f aca="false">IFERROR(IF(AND($H822&lt;&gt;"",$I822="FoFo",OR($N822="MND",$N822="VCA"),$Q822="LINEAR"),0,IF(AND($H822&lt;&gt;"",$I822="PEAD",$N822="VCA",$Q822="LINEAR"),($H822/1000)+0.3,IF(AND($H822&lt;&gt;"",$I822="PEAD",$N822="MND",$Q822="EMBOQUE"),0,IF(AND($H822&lt;&gt;"",$I822="PVC",$N822="VCA",$Q822="LINEAR"),($H822/1000)+0.2,IF(AND($H822&lt;&gt;"",$I822="PVC",$N822="MND",$Q822="EMBOQUE"),0,IF(AND($H822&lt;&gt;"",$I822="PEAD",$N822="VCA",$Q822="PREDIAL"),0,0)))))),0)</f>
        <v>0.46</v>
      </c>
      <c r="AK822" s="153" t="n">
        <f aca="false">IF(AA822&lt;&gt;"",AA822,0)</f>
        <v>3.7</v>
      </c>
      <c r="AL822" s="153" t="n">
        <f aca="false">IF(AND($N822="MND",$Q822="EMBOQUE"),$M822,IF(AND($N822="VCA",$Q822="LINEAR"),$M822,IF(AND($N822="VCA",$Q822="PREDIAL"),0,0)))</f>
        <v>21.41</v>
      </c>
      <c r="AM822" s="153" t="n">
        <f aca="false">IF(AND($N822="MND",$Q822="EMBOQUE"),$M822,IF(AND($N822="VCA",$Q822="LINEAR"),$M822,IF(AND($N822="VCA",$Q822="PREDIAL"),0,0)))</f>
        <v>21.41</v>
      </c>
      <c r="AN822" s="153" t="n">
        <f aca="false">ROUND(IF(AND($N822="VCA",$M822&lt;&gt;"",$Q822="LINEAR"),$M822/100,IF(AND($N822="MND",$M822&gt;100,$Q822="EMBOQUE"),$M822/100,0)),0)</f>
        <v>0</v>
      </c>
      <c r="AO822" s="153" t="n">
        <f aca="false">IF(AND($N822="MND",$Q822="EMBOQUE"),$AN822*2*2,IF(AND($N822="VCA",$Q822="LINEAR"),$M822*2,IF(AND($N822="VCA",$Q822="PREDIAL"),0,0)))</f>
        <v>42.82</v>
      </c>
      <c r="AP822" s="153" t="n">
        <f aca="false">IFERROR($M822*$AF822*$AG822,0)</f>
        <v>23.44395</v>
      </c>
      <c r="AQ822" s="153" t="n">
        <f aca="false">IFERROR(IF(AND($N822="VCA",$AH822&gt;0),$M822*$AG822*$AH822,0),0)</f>
        <v>1.60575</v>
      </c>
      <c r="AR822" s="153" t="n">
        <f aca="false">IFERROR(IF(AND($N822="VCA",$AJ822&gt;0),($M822*$AG822*$AJ822)-$AI822,0),0)</f>
        <v>6.95597640823451</v>
      </c>
      <c r="AS822" s="153" t="n">
        <f aca="false">IFERROR(IF(AND($N822="VCA",$AP822&gt;0),$AP822-$AI822-$AQ822-$AR822,0),0)</f>
        <v>14.45175</v>
      </c>
      <c r="AT822" s="153" t="n">
        <f aca="false">IFERROR(IF($N822="VCA",INDEX(APOIO_REDES!$A:$W,MATCH($C822&amp;$I822&amp;$H822&amp;$N822&amp;$O822,APOIO_REDES!$W:$W,0),MATCH(AT$5,APOIO_REDES!$5:$5,0)),0)*$AP822,0)</f>
        <v>0.255077115054997</v>
      </c>
      <c r="AU822" s="153" t="n">
        <f aca="false">IFERROR(IF($N822="VCA",INDEX(APOIO_REDES!$A:$W,MATCH($C822&amp;$I822&amp;$H822&amp;$N822&amp;$O822,APOIO_REDES!$W:$W,0),MATCH(AU$5,APOIO_REDES!$5:$5,0)),0)*$AP822,0)</f>
        <v>0.203697675718522</v>
      </c>
      <c r="AV822" s="153" t="n">
        <f aca="false">IFERROR(IF($N822="VCA",INDEX(APOIO_REDES!$A:$W,MATCH($C822&amp;$I822&amp;$H822&amp;$N822&amp;$O822,APOIO_REDES!$W:$W,0),MATCH(AV$5,APOIO_REDES!$5:$5,0)),0)*$AP822,0)</f>
        <v>0.0281901592299919</v>
      </c>
      <c r="AW822" s="153" t="n">
        <f aca="false">IFERROR(IF($N822="VCA",INDEX(APOIO_REDES!$A:$W,MATCH($C822&amp;$I822&amp;$H822&amp;$N822&amp;$O822,APOIO_REDES!$W:$W,0),MATCH(AW$5,APOIO_REDES!$5:$5,0)),0)*$AP822,0)</f>
        <v>16.0921089325888</v>
      </c>
      <c r="AX822" s="153" t="n">
        <f aca="false">IFERROR(IF($N822="VCA",INDEX(APOIO_REDES!$A:$W,MATCH($C822&amp;$I822&amp;$H822&amp;$N822&amp;$O822,APOIO_REDES!$W:$W,0),MATCH(AX$5,APOIO_REDES!$5:$5,0)),0)*$AP822,0)</f>
        <v>2.22710203703031</v>
      </c>
      <c r="AY822" s="153" t="n">
        <f aca="false">IFERROR(IF($N822="VCA",INDEX(APOIO_REDES!$A:$W,MATCH($C822&amp;$I822&amp;$H822&amp;$N822&amp;$O822,APOIO_REDES!$W:$W,0),MATCH(AY$5,APOIO_REDES!$5:$5,0)),0)*$AP822,0)</f>
        <v>4.07395103131229</v>
      </c>
      <c r="AZ822" s="153" t="n">
        <f aca="false">IFERROR(IF($N822="VCA",INDEX(APOIO_REDES!$A:$W,MATCH($C822&amp;$I822&amp;$H822&amp;$N822&amp;$O822,APOIO_REDES!$W:$W,0),MATCH(AZ$5,APOIO_REDES!$5:$5,0)),0)*$AP822,0)</f>
        <v>0.563823049065075</v>
      </c>
      <c r="BA822" s="153" t="n">
        <f aca="false">IFERROR(IF(AND($N822="VCA",$Q822="LINEAR"),INDEX(APOIO_REDES!$A:$W,MATCH($C822&amp;$I822&amp;$H822&amp;$N822&amp;$O822,APOIO_REDES!$W:$W,0),MATCH(BA$5,APOIO_REDES!$5:$5,0)),IF(AND($N822="MND",$Q822="EMBOQUE"),INDEX(APOIO_REDES!$A:$W,MATCH($C822&amp;$I822&amp;$H822&amp;$N822&amp;$O822,APOIO_REDES!$W:$W,0),MATCH(BA$5,APOIO_REDES!$5:$5,0)),0))*$M822/10,0)</f>
        <v>1.7255919949831</v>
      </c>
      <c r="BB822" s="153" t="n">
        <f aca="false">IFERROR(IF($N822="VCA",INDEX(APOIO_REDES!$A:$W,MATCH($C822&amp;$I822&amp;$H822&amp;$N822&amp;$O822,APOIO_REDES!$W:$W,0),MATCH(BB$5,APOIO_REDES!$5:$5,0)),0)*($AI822+$AQ822+$AR822),0)</f>
        <v>8.89436220244466</v>
      </c>
      <c r="BC822" s="153" t="n">
        <f aca="false">IFERROR(IF($N822="VCA",INDEX(APOIO_REDES!$A:$W,MATCH($C822&amp;$I822&amp;$H822&amp;$N822&amp;$O822,APOIO_REDES!$W:$W,0),MATCH(BC$5,APOIO_REDES!$5:$5,0)),0)*($AI822+$AQ822+$AR822),0)</f>
        <v>0.0978377975553412</v>
      </c>
      <c r="BD822" s="153" t="n">
        <f aca="false">IF(AND($N822="VCA",$AF822&gt;=1.25,$AF822&lt;1.5),$M822*$AF822*2,0)</f>
        <v>62.5172</v>
      </c>
      <c r="BE822" s="153" t="n">
        <f aca="false">IF(AND($N822="VCA",$AF822&gt;=1.5,$AF822&lt;3),$M822*$AF822*2,0)</f>
        <v>0</v>
      </c>
      <c r="BF822" s="153" t="n">
        <f aca="false">IF(AND($N822="VCA",$AF822&gt;=3),$M822*$AF822*2,0)</f>
        <v>0</v>
      </c>
      <c r="BG822" s="153" t="n">
        <f aca="false">($BB822+$BC822)*$AK822</f>
        <v>33.27114</v>
      </c>
      <c r="BH822" s="153" t="n">
        <f aca="false">IF(AND($M822&lt;&gt;"",$N822="VCA",$Q822="LINEAR"),($M822*2)/100,IF(AND($M822&lt;&gt;"",$N822="MND",$Q822="EMBOQUE"),($AN822*2)/100,0))</f>
        <v>0.4282</v>
      </c>
      <c r="BI822" s="153" t="n">
        <f aca="false">IF(AND($M822&lt;&gt;"",$N822="VCA",$Q822="LINEAR"),$M822,IF(AND($M822&lt;&gt;"",$N822="MND",$Q822="EMBOQUE"),$AN822*2,0))</f>
        <v>21.41</v>
      </c>
      <c r="BJ822" s="153" t="n">
        <f aca="false">IF(AND($M822&lt;&gt;"",$N822="VCA",$Q822="LINEAR"),($M822*6.8)/100,IF(AND($M822&lt;&gt;"",$N822="MND",$Q822="EMBOQUE"),($AN822*2*6.8)/100,0))</f>
        <v>1.45588</v>
      </c>
      <c r="BK822" s="153" t="n">
        <f aca="false">IF(AND($M822&lt;&gt;"",$N822="VCA",$Q822="LINEAR"),($M822*2.5)/50,IF(AND($M822&lt;&gt;"",$N822="MND",$Q822="EMBOQUE"),($AN822*2*2.5)/50,0))</f>
        <v>1.0705</v>
      </c>
      <c r="BL822" s="157" t="str">
        <f aca="false">K822&amp;J822</f>
        <v>Zona07REDES</v>
      </c>
      <c r="BM822" s="152" t="s">
        <v>4225</v>
      </c>
      <c r="BN822" s="152" t="s">
        <v>1560</v>
      </c>
      <c r="BO822" s="152" t="s">
        <v>4218</v>
      </c>
      <c r="BP822" s="152" t="s">
        <v>4668</v>
      </c>
      <c r="BQ822" s="152" t="s">
        <v>4634</v>
      </c>
      <c r="BR822" s="152" t="s">
        <v>4669</v>
      </c>
      <c r="BS822" s="152" t="n">
        <v>203902.839</v>
      </c>
      <c r="BT822" s="152" t="n">
        <v>8236382.998</v>
      </c>
      <c r="BU822" s="152" t="n">
        <v>203917.469</v>
      </c>
      <c r="BV822" s="152" t="n">
        <v>8236398.629</v>
      </c>
      <c r="BW822" s="152" t="n">
        <v>-15.9341036</v>
      </c>
      <c r="BX822" s="152" t="n">
        <v>-47.7655893</v>
      </c>
      <c r="BY822" s="152" t="s">
        <v>4668</v>
      </c>
    </row>
    <row r="823" customFormat="false" ht="13.8" hidden="false" customHeight="false" outlineLevel="0" collapsed="false">
      <c r="A823" s="149" t="n">
        <f aca="false">IF(C823&lt;&gt;"",ROW(A818),"")</f>
        <v>818</v>
      </c>
      <c r="B823" s="150" t="str">
        <f aca="false">HYPERLINK("https://www.google.com/maps/dir/-15.917302,-47.760003/-15.9340390,-47.7648761/data=!4m3!4m2!3e0!5i1")</f>
        <v>https://www.google.com/maps/dir/-15.917302,-47.760003/-15.9340390,-47.7648761/data=!4m3!4m2!3e0!5i1</v>
      </c>
      <c r="C823" s="151" t="s">
        <v>117</v>
      </c>
      <c r="D823" s="152" t="s">
        <v>112</v>
      </c>
      <c r="E823" s="152" t="s">
        <v>113</v>
      </c>
      <c r="F823" s="152" t="s">
        <v>117</v>
      </c>
      <c r="G823" s="152" t="s">
        <v>782</v>
      </c>
      <c r="H823" s="152" t="n">
        <v>63</v>
      </c>
      <c r="I823" s="152" t="s">
        <v>115</v>
      </c>
      <c r="J823" s="152" t="s">
        <v>6</v>
      </c>
      <c r="K823" s="152" t="s">
        <v>4221</v>
      </c>
      <c r="L823" s="152" t="s">
        <v>120</v>
      </c>
      <c r="M823" s="153" t="n">
        <f aca="false">49.84</f>
        <v>49.84</v>
      </c>
      <c r="N823" s="152" t="s">
        <v>1548</v>
      </c>
      <c r="O823" s="152" t="s">
        <v>1549</v>
      </c>
      <c r="P823" s="152" t="s">
        <v>1550</v>
      </c>
      <c r="Q823" s="152" t="s">
        <v>1551</v>
      </c>
      <c r="R823" s="154" t="s">
        <v>4670</v>
      </c>
      <c r="S823" s="154" t="s">
        <v>1553</v>
      </c>
      <c r="T823" s="155" t="s">
        <v>4216</v>
      </c>
      <c r="U823" s="152" t="str">
        <f aca="false">RIGHT(T823,7)</f>
        <v>019/037</v>
      </c>
      <c r="V823" s="152" t="s">
        <v>1555</v>
      </c>
      <c r="W823" s="156" t="n">
        <v>45882</v>
      </c>
      <c r="X823" s="152" t="s">
        <v>3938</v>
      </c>
      <c r="Y823" s="152" t="s">
        <v>1952</v>
      </c>
      <c r="Z823" s="152" t="s">
        <v>1557</v>
      </c>
      <c r="AA823" s="153" t="n">
        <v>3.7</v>
      </c>
      <c r="AB823" s="151" t="s">
        <v>4671</v>
      </c>
      <c r="AC823" s="151" t="s">
        <v>186</v>
      </c>
      <c r="AD823" s="151" t="str">
        <f aca="false">CONCATENATE($C823,$I823,$H823,$N823,$J823,$K823)</f>
        <v>TUBO PEADPEAD63VCAREDESZona07</v>
      </c>
      <c r="AE823" s="153" t="n">
        <f aca="false">IFERROR(INDEX(APOIO_REDES!$A:$W,MATCH($C823&amp;$I823&amp;$H823&amp;$N823&amp;$O823,APOIO_REDES!$W:$W,0),MATCH(AE$5,APOIO_REDES!$5:$5,0)),0)</f>
        <v>1.2</v>
      </c>
      <c r="AF823" s="153" t="n">
        <f aca="false">IFERROR(INDEX(APOIO_REDES!$A:$W,MATCH($C823&amp;$I823&amp;$H823&amp;$N823&amp;$O823,APOIO_REDES!$W:$W,0),MATCH(AF$5,APOIO_REDES!$5:$5,0)),0)</f>
        <v>1.363</v>
      </c>
      <c r="AG823" s="153" t="n">
        <f aca="false">IFERROR(INDEX(APOIO_REDES!$A:$W,MATCH($C823&amp;$I823&amp;$H823&amp;$N823&amp;$O823,APOIO_REDES!$W:$W,0),MATCH(AG$5,APOIO_REDES!$5:$5,0)),0)</f>
        <v>0.65</v>
      </c>
      <c r="AH823" s="153" t="n">
        <f aca="false">IFERROR(INDEX(APOIO_REDES!$A:$W,MATCH($C823&amp;$I823&amp;$H823&amp;$N823&amp;$O823,APOIO_REDES!$W:$W,0),MATCH(AH$5,APOIO_REDES!$5:$5,0)),0)</f>
        <v>0.1</v>
      </c>
      <c r="AI823" s="153" t="n">
        <f aca="false">IFERROR(IF($H823&lt;&gt;"",(((($H823/1000)/2)^2)*PI()*$M823),0),0)</f>
        <v>0.15536350627654</v>
      </c>
      <c r="AJ823" s="153" t="n">
        <f aca="false">IFERROR(IF(AND($H823&lt;&gt;"",$I823="FoFo",OR($N823="MND",$N823="VCA"),$Q823="LINEAR"),0,IF(AND($H823&lt;&gt;"",$I823="PEAD",$N823="VCA",$Q823="LINEAR"),($H823/1000)+0.3,IF(AND($H823&lt;&gt;"",$I823="PEAD",$N823="MND",$Q823="EMBOQUE"),0,IF(AND($H823&lt;&gt;"",$I823="PVC",$N823="VCA",$Q823="LINEAR"),($H823/1000)+0.2,IF(AND($H823&lt;&gt;"",$I823="PVC",$N823="MND",$Q823="EMBOQUE"),0,IF(AND($H823&lt;&gt;"",$I823="PEAD",$N823="VCA",$Q823="PREDIAL"),0,0)))))),0)</f>
        <v>0.363</v>
      </c>
      <c r="AK823" s="153" t="n">
        <f aca="false">IF(AA823&lt;&gt;"",AA823,0)</f>
        <v>3.7</v>
      </c>
      <c r="AL823" s="153" t="n">
        <f aca="false">IF(AND($N823="MND",$Q823="EMBOQUE"),$M823,IF(AND($N823="VCA",$Q823="LINEAR"),$M823,IF(AND($N823="VCA",$Q823="PREDIAL"),0,0)))</f>
        <v>49.84</v>
      </c>
      <c r="AM823" s="153" t="n">
        <f aca="false">IF(AND($N823="MND",$Q823="EMBOQUE"),$M823,IF(AND($N823="VCA",$Q823="LINEAR"),$M823,IF(AND($N823="VCA",$Q823="PREDIAL"),0,0)))</f>
        <v>49.84</v>
      </c>
      <c r="AN823" s="153" t="n">
        <f aca="false">ROUND(IF(AND($N823="VCA",$M823&lt;&gt;"",$Q823="LINEAR"),$M823/100,IF(AND($N823="MND",$M823&gt;100,$Q823="EMBOQUE"),$M823/100,0)),0)</f>
        <v>0</v>
      </c>
      <c r="AO823" s="153" t="n">
        <f aca="false">IF(AND($N823="MND",$Q823="EMBOQUE"),$AN823*2*2,IF(AND($N823="VCA",$Q823="LINEAR"),$M823*2,IF(AND($N823="VCA",$Q823="PREDIAL"),0,0)))</f>
        <v>99.68</v>
      </c>
      <c r="AP823" s="153" t="n">
        <f aca="false">IFERROR($M823*$AF823*$AG823,0)</f>
        <v>44.155748</v>
      </c>
      <c r="AQ823" s="153" t="n">
        <f aca="false">IFERROR(IF(AND($N823="VCA",$AH823&gt;0),$M823*$AG823*$AH823,0),0)</f>
        <v>3.2396</v>
      </c>
      <c r="AR823" s="153" t="n">
        <f aca="false">IFERROR(IF(AND($N823="VCA",$AJ823&gt;0),($M823*$AG823*$AJ823)-$AI823,0),0)</f>
        <v>11.6043844937235</v>
      </c>
      <c r="AS823" s="153" t="n">
        <f aca="false">IFERROR(IF(AND($N823="VCA",$AP823&gt;0),$AP823-$AI823-$AQ823-$AR823,0),0)</f>
        <v>29.1564</v>
      </c>
      <c r="AT823" s="153" t="n">
        <f aca="false">IFERROR(IF($N823="VCA",INDEX(APOIO_REDES!$A:$W,MATCH($C823&amp;$I823&amp;$H823&amp;$N823&amp;$O823,APOIO_REDES!$W:$W,0),MATCH(AT$5,APOIO_REDES!$5:$5,0)),0)*$AP823,0)</f>
        <v>0.48042760767428</v>
      </c>
      <c r="AU823" s="153" t="n">
        <f aca="false">IFERROR(IF($N823="VCA",INDEX(APOIO_REDES!$A:$W,MATCH($C823&amp;$I823&amp;$H823&amp;$N823&amp;$O823,APOIO_REDES!$W:$W,0),MATCH(AU$5,APOIO_REDES!$5:$5,0)),0)*$AP823,0)</f>
        <v>0.383656475858923</v>
      </c>
      <c r="AV823" s="153" t="n">
        <f aca="false">IFERROR(IF($N823="VCA",INDEX(APOIO_REDES!$A:$W,MATCH($C823&amp;$I823&amp;$H823&amp;$N823&amp;$O823,APOIO_REDES!$W:$W,0),MATCH(AV$5,APOIO_REDES!$5:$5,0)),0)*$AP823,0)</f>
        <v>0.0530950444374517</v>
      </c>
      <c r="AW823" s="153" t="n">
        <f aca="false">IFERROR(IF($N823="VCA",INDEX(APOIO_REDES!$A:$W,MATCH($C823&amp;$I823&amp;$H823&amp;$N823&amp;$O823,APOIO_REDES!$W:$W,0),MATCH(AW$5,APOIO_REDES!$5:$5,0)),0)*$AP823,0)</f>
        <v>30.3088475626309</v>
      </c>
      <c r="AX823" s="153" t="n">
        <f aca="false">IFERROR(IF($N823="VCA",INDEX(APOIO_REDES!$A:$W,MATCH($C823&amp;$I823&amp;$H823&amp;$N823&amp;$O823,APOIO_REDES!$W:$W,0),MATCH(AX$5,APOIO_REDES!$5:$5,0)),0)*$AP823,0)</f>
        <v>4.19465816628158</v>
      </c>
      <c r="AY823" s="153" t="n">
        <f aca="false">IFERROR(IF($N823="VCA",INDEX(APOIO_REDES!$A:$W,MATCH($C823&amp;$I823&amp;$H823&amp;$N823&amp;$O823,APOIO_REDES!$W:$W,0),MATCH(AY$5,APOIO_REDES!$5:$5,0)),0)*$AP823,0)</f>
        <v>7.67312484043712</v>
      </c>
      <c r="AZ823" s="153" t="n">
        <f aca="false">IFERROR(IF($N823="VCA",INDEX(APOIO_REDES!$A:$W,MATCH($C823&amp;$I823&amp;$H823&amp;$N823&amp;$O823,APOIO_REDES!$W:$W,0),MATCH(AZ$5,APOIO_REDES!$5:$5,0)),0)*$AP823,0)</f>
        <v>1.06193830267976</v>
      </c>
      <c r="BA823" s="153" t="n">
        <f aca="false">IFERROR(IF(AND($N823="VCA",$Q823="LINEAR"),INDEX(APOIO_REDES!$A:$W,MATCH($C823&amp;$I823&amp;$H823&amp;$N823&amp;$O823,APOIO_REDES!$W:$W,0),MATCH(BA$5,APOIO_REDES!$5:$5,0)),IF(AND($N823="MND",$Q823="EMBOQUE"),INDEX(APOIO_REDES!$A:$W,MATCH($C823&amp;$I823&amp;$H823&amp;$N823&amp;$O823,APOIO_REDES!$W:$W,0),MATCH(BA$5,APOIO_REDES!$5:$5,0)),0))*$M823/10,0)</f>
        <v>4.01697828257625</v>
      </c>
      <c r="BB823" s="153" t="n">
        <f aca="false">IFERROR(IF($N823="VCA",INDEX(APOIO_REDES!$A:$W,MATCH($C823&amp;$I823&amp;$H823&amp;$N823&amp;$O823,APOIO_REDES!$W:$W,0),MATCH(BB$5,APOIO_REDES!$5:$5,0)),0)*($AI823+$AQ823+$AR823),0)</f>
        <v>14.8361506541796</v>
      </c>
      <c r="BC823" s="153" t="n">
        <f aca="false">IFERROR(IF($N823="VCA",INDEX(APOIO_REDES!$A:$W,MATCH($C823&amp;$I823&amp;$H823&amp;$N823&amp;$O823,APOIO_REDES!$W:$W,0),MATCH(BC$5,APOIO_REDES!$5:$5,0)),0)*($AI823+$AQ823+$AR823),0)</f>
        <v>0.16319734582039</v>
      </c>
      <c r="BD823" s="153" t="n">
        <f aca="false">IF(AND($N823="VCA",$AF823&gt;=1.25,$AF823&lt;1.5),$M823*$AF823*2,0)</f>
        <v>135.86384</v>
      </c>
      <c r="BE823" s="153" t="n">
        <f aca="false">IF(AND($N823="VCA",$AF823&gt;=1.5,$AF823&lt;3),$M823*$AF823*2,0)</f>
        <v>0</v>
      </c>
      <c r="BF823" s="153" t="n">
        <f aca="false">IF(AND($N823="VCA",$AF823&gt;=3),$M823*$AF823*2,0)</f>
        <v>0</v>
      </c>
      <c r="BG823" s="153" t="n">
        <f aca="false">($BB823+$BC823)*$AK823</f>
        <v>55.4975876</v>
      </c>
      <c r="BH823" s="153" t="n">
        <f aca="false">IF(AND($M823&lt;&gt;"",$N823="VCA",$Q823="LINEAR"),($M823*2)/100,IF(AND($M823&lt;&gt;"",$N823="MND",$Q823="EMBOQUE"),($AN823*2)/100,0))</f>
        <v>0.9968</v>
      </c>
      <c r="BI823" s="153" t="n">
        <f aca="false">IF(AND($M823&lt;&gt;"",$N823="VCA",$Q823="LINEAR"),$M823,IF(AND($M823&lt;&gt;"",$N823="MND",$Q823="EMBOQUE"),$AN823*2,0))</f>
        <v>49.84</v>
      </c>
      <c r="BJ823" s="153" t="n">
        <f aca="false">IF(AND($M823&lt;&gt;"",$N823="VCA",$Q823="LINEAR"),($M823*6.8)/100,IF(AND($M823&lt;&gt;"",$N823="MND",$Q823="EMBOQUE"),($AN823*2*6.8)/100,0))</f>
        <v>3.38912</v>
      </c>
      <c r="BK823" s="153" t="n">
        <f aca="false">IF(AND($M823&lt;&gt;"",$N823="VCA",$Q823="LINEAR"),($M823*2.5)/50,IF(AND($M823&lt;&gt;"",$N823="MND",$Q823="EMBOQUE"),($AN823*2*2.5)/50,0))</f>
        <v>2.492</v>
      </c>
      <c r="BL823" s="157" t="str">
        <f aca="false">K823&amp;J823</f>
        <v>Zona07REDES</v>
      </c>
      <c r="BM823" s="152" t="s">
        <v>4225</v>
      </c>
      <c r="BN823" s="152" t="s">
        <v>1560</v>
      </c>
      <c r="BO823" s="152" t="s">
        <v>4218</v>
      </c>
      <c r="BP823" s="152" t="s">
        <v>4641</v>
      </c>
      <c r="BQ823" s="152" t="s">
        <v>4672</v>
      </c>
      <c r="BR823" s="152" t="s">
        <v>4673</v>
      </c>
      <c r="BS823" s="152" t="n">
        <v>203986.467</v>
      </c>
      <c r="BT823" s="152" t="n">
        <v>8236398.971</v>
      </c>
      <c r="BU823" s="152" t="n">
        <v>203954.004</v>
      </c>
      <c r="BV823" s="152" t="n">
        <v>8236361.24</v>
      </c>
      <c r="BW823" s="152" t="n">
        <v>-15.9342085</v>
      </c>
      <c r="BX823" s="152" t="n">
        <v>-47.7650283</v>
      </c>
      <c r="BY823" s="152" t="s">
        <v>4641</v>
      </c>
    </row>
    <row r="824" customFormat="false" ht="13.8" hidden="false" customHeight="false" outlineLevel="0" collapsed="false">
      <c r="A824" s="149" t="n">
        <f aca="false">IF(C824&lt;&gt;"",ROW(A819),"")</f>
        <v>819</v>
      </c>
      <c r="B824" s="150" t="str">
        <f aca="false">HYPERLINK("https://www.google.com/maps/dir/-15.917302,-47.760003/-15.9343432,-47.7658290/data=!4m3!4m2!3e0!5i1")</f>
        <v>https://www.google.com/maps/dir/-15.917302,-47.760003/-15.9343432,-47.7658290/data=!4m3!4m2!3e0!5i1</v>
      </c>
      <c r="C824" s="151" t="s">
        <v>117</v>
      </c>
      <c r="D824" s="152" t="s">
        <v>112</v>
      </c>
      <c r="E824" s="152" t="s">
        <v>113</v>
      </c>
      <c r="F824" s="152" t="s">
        <v>117</v>
      </c>
      <c r="G824" s="152" t="s">
        <v>114</v>
      </c>
      <c r="H824" s="152" t="n">
        <v>160</v>
      </c>
      <c r="I824" s="152" t="s">
        <v>115</v>
      </c>
      <c r="J824" s="152" t="s">
        <v>6</v>
      </c>
      <c r="K824" s="152" t="s">
        <v>4221</v>
      </c>
      <c r="L824" s="152" t="s">
        <v>120</v>
      </c>
      <c r="M824" s="153" t="n">
        <f aca="false">25.7+0.53</f>
        <v>26.23</v>
      </c>
      <c r="N824" s="152" t="s">
        <v>1548</v>
      </c>
      <c r="O824" s="152" t="s">
        <v>1549</v>
      </c>
      <c r="P824" s="152" t="s">
        <v>1550</v>
      </c>
      <c r="Q824" s="152" t="s">
        <v>1551</v>
      </c>
      <c r="R824" s="154" t="s">
        <v>4674</v>
      </c>
      <c r="S824" s="154" t="s">
        <v>1593</v>
      </c>
      <c r="T824" s="155" t="s">
        <v>4216</v>
      </c>
      <c r="U824" s="152" t="str">
        <f aca="false">RIGHT(T824,7)</f>
        <v>019/037</v>
      </c>
      <c r="V824" s="152" t="s">
        <v>1555</v>
      </c>
      <c r="W824" s="156" t="n">
        <v>45882</v>
      </c>
      <c r="X824" s="152" t="s">
        <v>1594</v>
      </c>
      <c r="Y824" s="152" t="s">
        <v>4632</v>
      </c>
      <c r="Z824" s="152" t="s">
        <v>1557</v>
      </c>
      <c r="AA824" s="153" t="n">
        <v>3.7</v>
      </c>
      <c r="AB824" s="151" t="s">
        <v>4675</v>
      </c>
      <c r="AC824" s="151" t="s">
        <v>505</v>
      </c>
      <c r="AD824" s="151" t="str">
        <f aca="false">CONCATENATE($C824,$I824,$H824,$N824,$J824,$K824)</f>
        <v>TUBO PEADPEAD160VCAREDESZona07</v>
      </c>
      <c r="AE824" s="153" t="n">
        <f aca="false">IFERROR(INDEX(APOIO_REDES!$A:$W,MATCH($C824&amp;$I824&amp;$H824&amp;$N824&amp;$O824,APOIO_REDES!$W:$W,0),MATCH(AE$5,APOIO_REDES!$5:$5,0)),0)</f>
        <v>1.2</v>
      </c>
      <c r="AF824" s="153" t="n">
        <f aca="false">IFERROR(INDEX(APOIO_REDES!$A:$W,MATCH($C824&amp;$I824&amp;$H824&amp;$N824&amp;$O824,APOIO_REDES!$W:$W,0),MATCH(AF$5,APOIO_REDES!$5:$5,0)),0)</f>
        <v>1.46</v>
      </c>
      <c r="AG824" s="153" t="n">
        <f aca="false">IFERROR(INDEX(APOIO_REDES!$A:$W,MATCH($C824&amp;$I824&amp;$H824&amp;$N824&amp;$O824,APOIO_REDES!$W:$W,0),MATCH(AG$5,APOIO_REDES!$5:$5,0)),0)</f>
        <v>0.75</v>
      </c>
      <c r="AH824" s="153" t="n">
        <f aca="false">IFERROR(INDEX(APOIO_REDES!$A:$W,MATCH($C824&amp;$I824&amp;$H824&amp;$N824&amp;$O824,APOIO_REDES!$W:$W,0),MATCH(AH$5,APOIO_REDES!$5:$5,0)),0)</f>
        <v>0.1</v>
      </c>
      <c r="AI824" s="153" t="n">
        <f aca="false">IFERROR(IF($H824&lt;&gt;"",(((($H824/1000)/2)^2)*PI()*$M824),0),0)</f>
        <v>0.527385441943426</v>
      </c>
      <c r="AJ824" s="153" t="n">
        <f aca="false">IFERROR(IF(AND($H824&lt;&gt;"",$I824="FoFo",OR($N824="MND",$N824="VCA"),$Q824="LINEAR"),0,IF(AND($H824&lt;&gt;"",$I824="PEAD",$N824="VCA",$Q824="LINEAR"),($H824/1000)+0.3,IF(AND($H824&lt;&gt;"",$I824="PEAD",$N824="MND",$Q824="EMBOQUE"),0,IF(AND($H824&lt;&gt;"",$I824="PVC",$N824="VCA",$Q824="LINEAR"),($H824/1000)+0.2,IF(AND($H824&lt;&gt;"",$I824="PVC",$N824="MND",$Q824="EMBOQUE"),0,IF(AND($H824&lt;&gt;"",$I824="PEAD",$N824="VCA",$Q824="PREDIAL"),0,0)))))),0)</f>
        <v>0.46</v>
      </c>
      <c r="AK824" s="153" t="n">
        <f aca="false">IF(AA824&lt;&gt;"",AA824,0)</f>
        <v>3.7</v>
      </c>
      <c r="AL824" s="153" t="n">
        <f aca="false">IF(AND($N824="MND",$Q824="EMBOQUE"),$M824,IF(AND($N824="VCA",$Q824="LINEAR"),$M824,IF(AND($N824="VCA",$Q824="PREDIAL"),0,0)))</f>
        <v>26.23</v>
      </c>
      <c r="AM824" s="153" t="n">
        <f aca="false">IF(AND($N824="MND",$Q824="EMBOQUE"),$M824,IF(AND($N824="VCA",$Q824="LINEAR"),$M824,IF(AND($N824="VCA",$Q824="PREDIAL"),0,0)))</f>
        <v>26.23</v>
      </c>
      <c r="AN824" s="153" t="n">
        <f aca="false">ROUND(IF(AND($N824="VCA",$M824&lt;&gt;"",$Q824="LINEAR"),$M824/100,IF(AND($N824="MND",$M824&gt;100,$Q824="EMBOQUE"),$M824/100,0)),0)</f>
        <v>0</v>
      </c>
      <c r="AO824" s="153" t="n">
        <f aca="false">IF(AND($N824="MND",$Q824="EMBOQUE"),$AN824*2*2,IF(AND($N824="VCA",$Q824="LINEAR"),$M824*2,IF(AND($N824="VCA",$Q824="PREDIAL"),0,0)))</f>
        <v>52.46</v>
      </c>
      <c r="AP824" s="153" t="n">
        <f aca="false">IFERROR($M824*$AF824*$AG824,0)</f>
        <v>28.72185</v>
      </c>
      <c r="AQ824" s="153" t="n">
        <f aca="false">IFERROR(IF(AND($N824="VCA",$AH824&gt;0),$M824*$AG824*$AH824,0),0)</f>
        <v>1.96725</v>
      </c>
      <c r="AR824" s="153" t="n">
        <f aca="false">IFERROR(IF(AND($N824="VCA",$AJ824&gt;0),($M824*$AG824*$AJ824)-$AI824,0),0)</f>
        <v>8.52196455805657</v>
      </c>
      <c r="AS824" s="153" t="n">
        <f aca="false">IFERROR(IF(AND($N824="VCA",$AP824&gt;0),$AP824-$AI824-$AQ824-$AR824,0),0)</f>
        <v>17.70525</v>
      </c>
      <c r="AT824" s="153" t="n">
        <f aca="false">IFERROR(IF($N824="VCA",INDEX(APOIO_REDES!$A:$W,MATCH($C824&amp;$I824&amp;$H824&amp;$N824&amp;$O824,APOIO_REDES!$W:$W,0),MATCH(AT$5,APOIO_REDES!$5:$5,0)),0)*$AP824,0)</f>
        <v>0.312502229233655</v>
      </c>
      <c r="AU824" s="153" t="n">
        <f aca="false">IFERROR(IF($N824="VCA",INDEX(APOIO_REDES!$A:$W,MATCH($C824&amp;$I824&amp;$H824&amp;$N824&amp;$O824,APOIO_REDES!$W:$W,0),MATCH(AU$5,APOIO_REDES!$5:$5,0)),0)*$AP824,0)</f>
        <v>0.249555816632267</v>
      </c>
      <c r="AV824" s="153" t="n">
        <f aca="false">IFERROR(IF($N824="VCA",INDEX(APOIO_REDES!$A:$W,MATCH($C824&amp;$I824&amp;$H824&amp;$N824&amp;$O824,APOIO_REDES!$W:$W,0),MATCH(AV$5,APOIO_REDES!$5:$5,0)),0)*$AP824,0)</f>
        <v>0.0345365659319331</v>
      </c>
      <c r="AW824" s="153" t="n">
        <f aca="false">IFERROR(IF($N824="VCA",INDEX(APOIO_REDES!$A:$W,MATCH($C824&amp;$I824&amp;$H824&amp;$N824&amp;$O824,APOIO_REDES!$W:$W,0),MATCH(AW$5,APOIO_REDES!$5:$5,0)),0)*$AP824,0)</f>
        <v>19.7149003877536</v>
      </c>
      <c r="AX824" s="153" t="n">
        <f aca="false">IFERROR(IF($N824="VCA",INDEX(APOIO_REDES!$A:$W,MATCH($C824&amp;$I824&amp;$H824&amp;$N824&amp;$O824,APOIO_REDES!$W:$W,0),MATCH(AX$5,APOIO_REDES!$5:$5,0)),0)*$AP824,0)</f>
        <v>2.72848605470832</v>
      </c>
      <c r="AY824" s="153" t="n">
        <f aca="false">IFERROR(IF($N824="VCA",INDEX(APOIO_REDES!$A:$W,MATCH($C824&amp;$I824&amp;$H824&amp;$N824&amp;$O824,APOIO_REDES!$W:$W,0),MATCH(AY$5,APOIO_REDES!$5:$5,0)),0)*$AP824,0)</f>
        <v>4.99111329058017</v>
      </c>
      <c r="AZ824" s="153" t="n">
        <f aca="false">IFERROR(IF($N824="VCA",INDEX(APOIO_REDES!$A:$W,MATCH($C824&amp;$I824&amp;$H824&amp;$N824&amp;$O824,APOIO_REDES!$W:$W,0),MATCH(AZ$5,APOIO_REDES!$5:$5,0)),0)*$AP824,0)</f>
        <v>0.690755655160062</v>
      </c>
      <c r="BA824" s="153" t="n">
        <f aca="false">IFERROR(IF(AND($N824="VCA",$Q824="LINEAR"),INDEX(APOIO_REDES!$A:$W,MATCH($C824&amp;$I824&amp;$H824&amp;$N824&amp;$O824,APOIO_REDES!$W:$W,0),MATCH(BA$5,APOIO_REDES!$5:$5,0)),IF(AND($N824="MND",$Q824="EMBOQUE"),INDEX(APOIO_REDES!$A:$W,MATCH($C824&amp;$I824&amp;$H824&amp;$N824&amp;$O824,APOIO_REDES!$W:$W,0),MATCH(BA$5,APOIO_REDES!$5:$5,0)),0))*$M824/10,0)</f>
        <v>2.11407183691764</v>
      </c>
      <c r="BB824" s="153" t="n">
        <f aca="false">IFERROR(IF($N824="VCA",INDEX(APOIO_REDES!$A:$W,MATCH($C824&amp;$I824&amp;$H824&amp;$N824&amp;$O824,APOIO_REDES!$W:$W,0),MATCH(BB$5,APOIO_REDES!$5:$5,0)),0)*($AI824+$AQ824+$AR824),0)</f>
        <v>10.8967361312528</v>
      </c>
      <c r="BC824" s="153" t="n">
        <f aca="false">IFERROR(IF($N824="VCA",INDEX(APOIO_REDES!$A:$W,MATCH($C824&amp;$I824&amp;$H824&amp;$N824&amp;$O824,APOIO_REDES!$W:$W,0),MATCH(BC$5,APOIO_REDES!$5:$5,0)),0)*($AI824+$AQ824+$AR824),0)</f>
        <v>0.119863868747155</v>
      </c>
      <c r="BD824" s="153" t="n">
        <f aca="false">IF(AND($N824="VCA",$AF824&gt;=1.25,$AF824&lt;1.5),$M824*$AF824*2,0)</f>
        <v>76.5916</v>
      </c>
      <c r="BE824" s="153" t="n">
        <f aca="false">IF(AND($N824="VCA",$AF824&gt;=1.5,$AF824&lt;3),$M824*$AF824*2,0)</f>
        <v>0</v>
      </c>
      <c r="BF824" s="153" t="n">
        <f aca="false">IF(AND($N824="VCA",$AF824&gt;=3),$M824*$AF824*2,0)</f>
        <v>0</v>
      </c>
      <c r="BG824" s="153" t="n">
        <f aca="false">($BB824+$BC824)*$AK824</f>
        <v>40.76142</v>
      </c>
      <c r="BH824" s="153" t="n">
        <f aca="false">IF(AND($M824&lt;&gt;"",$N824="VCA",$Q824="LINEAR"),($M824*2)/100,IF(AND($M824&lt;&gt;"",$N824="MND",$Q824="EMBOQUE"),($AN824*2)/100,0))</f>
        <v>0.5246</v>
      </c>
      <c r="BI824" s="153" t="n">
        <f aca="false">IF(AND($M824&lt;&gt;"",$N824="VCA",$Q824="LINEAR"),$M824,IF(AND($M824&lt;&gt;"",$N824="MND",$Q824="EMBOQUE"),$AN824*2,0))</f>
        <v>26.23</v>
      </c>
      <c r="BJ824" s="153" t="n">
        <f aca="false">IF(AND($M824&lt;&gt;"",$N824="VCA",$Q824="LINEAR"),($M824*6.8)/100,IF(AND($M824&lt;&gt;"",$N824="MND",$Q824="EMBOQUE"),($AN824*2*6.8)/100,0))</f>
        <v>1.78364</v>
      </c>
      <c r="BK824" s="153" t="n">
        <f aca="false">IF(AND($M824&lt;&gt;"",$N824="VCA",$Q824="LINEAR"),($M824*2.5)/50,IF(AND($M824&lt;&gt;"",$N824="MND",$Q824="EMBOQUE"),($AN824*2*2.5)/50,0))</f>
        <v>1.3115</v>
      </c>
      <c r="BL824" s="157" t="str">
        <f aca="false">K824&amp;J824</f>
        <v>Zona07REDES</v>
      </c>
      <c r="BM824" s="152" t="s">
        <v>4225</v>
      </c>
      <c r="BN824" s="152" t="s">
        <v>1560</v>
      </c>
      <c r="BO824" s="152" t="s">
        <v>4218</v>
      </c>
      <c r="BP824" s="152" t="s">
        <v>4660</v>
      </c>
      <c r="BQ824" s="152" t="s">
        <v>4668</v>
      </c>
      <c r="BR824" s="152" t="s">
        <v>4676</v>
      </c>
      <c r="BS824" s="152" t="n">
        <v>203884.823</v>
      </c>
      <c r="BT824" s="152" t="n">
        <v>8236363.936</v>
      </c>
      <c r="BU824" s="152" t="n">
        <v>203902.479</v>
      </c>
      <c r="BV824" s="152" t="n">
        <v>8236382.614</v>
      </c>
      <c r="BW824" s="152" t="n">
        <v>-15.93426</v>
      </c>
      <c r="BX824" s="152" t="n">
        <v>-47.7657455</v>
      </c>
      <c r="BY824" s="152" t="s">
        <v>4660</v>
      </c>
    </row>
    <row r="825" customFormat="false" ht="13.8" hidden="false" customHeight="false" outlineLevel="0" collapsed="false">
      <c r="A825" s="149" t="n">
        <f aca="false">IF(C825&lt;&gt;"",ROW(A820),"")</f>
        <v>820</v>
      </c>
      <c r="B825" s="150" t="str">
        <f aca="false">HYPERLINK("https://www.google.com/maps/dir/-15.917302,-47.760003/-15.9345770,-47.7647017/data=!4m3!4m2!3e0!5i1")</f>
        <v>https://www.google.com/maps/dir/-15.917302,-47.760003/-15.9345770,-47.7647017/data=!4m3!4m2!3e0!5i1</v>
      </c>
      <c r="C825" s="151" t="s">
        <v>117</v>
      </c>
      <c r="D825" s="152" t="s">
        <v>112</v>
      </c>
      <c r="E825" s="152" t="s">
        <v>113</v>
      </c>
      <c r="F825" s="152" t="s">
        <v>117</v>
      </c>
      <c r="G825" s="152" t="s">
        <v>782</v>
      </c>
      <c r="H825" s="152" t="n">
        <v>63</v>
      </c>
      <c r="I825" s="152" t="s">
        <v>115</v>
      </c>
      <c r="J825" s="152" t="s">
        <v>6</v>
      </c>
      <c r="K825" s="152" t="s">
        <v>4221</v>
      </c>
      <c r="L825" s="152" t="s">
        <v>120</v>
      </c>
      <c r="M825" s="153" t="n">
        <f aca="false">62.44+4</f>
        <v>66.44</v>
      </c>
      <c r="N825" s="152" t="s">
        <v>1548</v>
      </c>
      <c r="O825" s="152" t="s">
        <v>1549</v>
      </c>
      <c r="P825" s="152" t="s">
        <v>1550</v>
      </c>
      <c r="Q825" s="152" t="s">
        <v>1551</v>
      </c>
      <c r="R825" s="154" t="s">
        <v>4677</v>
      </c>
      <c r="S825" s="154" t="s">
        <v>1553</v>
      </c>
      <c r="T825" s="155" t="s">
        <v>4216</v>
      </c>
      <c r="U825" s="152" t="str">
        <f aca="false">RIGHT(T825,7)</f>
        <v>019/037</v>
      </c>
      <c r="V825" s="152" t="s">
        <v>1555</v>
      </c>
      <c r="W825" s="156" t="n">
        <v>45882</v>
      </c>
      <c r="X825" s="152" t="s">
        <v>3938</v>
      </c>
      <c r="Y825" s="152" t="s">
        <v>1952</v>
      </c>
      <c r="Z825" s="152" t="s">
        <v>1557</v>
      </c>
      <c r="AA825" s="153" t="n">
        <v>3.7</v>
      </c>
      <c r="AB825" s="151" t="s">
        <v>4678</v>
      </c>
      <c r="AC825" s="151" t="s">
        <v>186</v>
      </c>
      <c r="AD825" s="151" t="str">
        <f aca="false">CONCATENATE($C825,$I825,$H825,$N825,$J825,$K825)</f>
        <v>TUBO PEADPEAD63VCAREDESZona07</v>
      </c>
      <c r="AE825" s="153" t="n">
        <f aca="false">IFERROR(INDEX(APOIO_REDES!$A:$W,MATCH($C825&amp;$I825&amp;$H825&amp;$N825&amp;$O825,APOIO_REDES!$W:$W,0),MATCH(AE$5,APOIO_REDES!$5:$5,0)),0)</f>
        <v>1.2</v>
      </c>
      <c r="AF825" s="153" t="n">
        <f aca="false">IFERROR(INDEX(APOIO_REDES!$A:$W,MATCH($C825&amp;$I825&amp;$H825&amp;$N825&amp;$O825,APOIO_REDES!$W:$W,0),MATCH(AF$5,APOIO_REDES!$5:$5,0)),0)</f>
        <v>1.363</v>
      </c>
      <c r="AG825" s="153" t="n">
        <f aca="false">IFERROR(INDEX(APOIO_REDES!$A:$W,MATCH($C825&amp;$I825&amp;$H825&amp;$N825&amp;$O825,APOIO_REDES!$W:$W,0),MATCH(AG$5,APOIO_REDES!$5:$5,0)),0)</f>
        <v>0.65</v>
      </c>
      <c r="AH825" s="153" t="n">
        <f aca="false">IFERROR(INDEX(APOIO_REDES!$A:$W,MATCH($C825&amp;$I825&amp;$H825&amp;$N825&amp;$O825,APOIO_REDES!$W:$W,0),MATCH(AH$5,APOIO_REDES!$5:$5,0)),0)</f>
        <v>0.1</v>
      </c>
      <c r="AI825" s="153" t="n">
        <f aca="false">IFERROR(IF($H825&lt;&gt;"",(((($H825/1000)/2)^2)*PI()*$M825),0),0)</f>
        <v>0.207109778431246</v>
      </c>
      <c r="AJ825" s="153" t="n">
        <f aca="false">IFERROR(IF(AND($H825&lt;&gt;"",$I825="FoFo",OR($N825="MND",$N825="VCA"),$Q825="LINEAR"),0,IF(AND($H825&lt;&gt;"",$I825="PEAD",$N825="VCA",$Q825="LINEAR"),($H825/1000)+0.3,IF(AND($H825&lt;&gt;"",$I825="PEAD",$N825="MND",$Q825="EMBOQUE"),0,IF(AND($H825&lt;&gt;"",$I825="PVC",$N825="VCA",$Q825="LINEAR"),($H825/1000)+0.2,IF(AND($H825&lt;&gt;"",$I825="PVC",$N825="MND",$Q825="EMBOQUE"),0,IF(AND($H825&lt;&gt;"",$I825="PEAD",$N825="VCA",$Q825="PREDIAL"),0,0)))))),0)</f>
        <v>0.363</v>
      </c>
      <c r="AK825" s="153" t="n">
        <f aca="false">IF(AA825&lt;&gt;"",AA825,0)</f>
        <v>3.7</v>
      </c>
      <c r="AL825" s="153" t="n">
        <f aca="false">IF(AND($N825="MND",$Q825="EMBOQUE"),$M825,IF(AND($N825="VCA",$Q825="LINEAR"),$M825,IF(AND($N825="VCA",$Q825="PREDIAL"),0,0)))</f>
        <v>66.44</v>
      </c>
      <c r="AM825" s="153" t="n">
        <f aca="false">IF(AND($N825="MND",$Q825="EMBOQUE"),$M825,IF(AND($N825="VCA",$Q825="LINEAR"),$M825,IF(AND($N825="VCA",$Q825="PREDIAL"),0,0)))</f>
        <v>66.44</v>
      </c>
      <c r="AN825" s="153" t="n">
        <f aca="false">ROUND(IF(AND($N825="VCA",$M825&lt;&gt;"",$Q825="LINEAR"),$M825/100,IF(AND($N825="MND",$M825&gt;100,$Q825="EMBOQUE"),$M825/100,0)),0)</f>
        <v>1</v>
      </c>
      <c r="AO825" s="153" t="n">
        <f aca="false">IF(AND($N825="MND",$Q825="EMBOQUE"),$AN825*2*2,IF(AND($N825="VCA",$Q825="LINEAR"),$M825*2,IF(AND($N825="VCA",$Q825="PREDIAL"),0,0)))</f>
        <v>132.88</v>
      </c>
      <c r="AP825" s="153" t="n">
        <f aca="false">IFERROR($M825*$AF825*$AG825,0)</f>
        <v>58.862518</v>
      </c>
      <c r="AQ825" s="153" t="n">
        <f aca="false">IFERROR(IF(AND($N825="VCA",$AH825&gt;0),$M825*$AG825*$AH825,0),0)</f>
        <v>4.3186</v>
      </c>
      <c r="AR825" s="153" t="n">
        <f aca="false">IFERROR(IF(AND($N825="VCA",$AJ825&gt;0),($M825*$AG825*$AJ825)-$AI825,0),0)</f>
        <v>15.4694082215688</v>
      </c>
      <c r="AS825" s="153" t="n">
        <f aca="false">IFERROR(IF(AND($N825="VCA",$AP825&gt;0),$AP825-$AI825-$AQ825-$AR825,0),0)</f>
        <v>38.8674</v>
      </c>
      <c r="AT825" s="153" t="n">
        <f aca="false">IFERROR(IF($N825="VCA",INDEX(APOIO_REDES!$A:$W,MATCH($C825&amp;$I825&amp;$H825&amp;$N825&amp;$O825,APOIO_REDES!$W:$W,0),MATCH(AT$5,APOIO_REDES!$5:$5,0)),0)*$AP825,0)</f>
        <v>0.640441618256003</v>
      </c>
      <c r="AU825" s="153" t="n">
        <f aca="false">IFERROR(IF($N825="VCA",INDEX(APOIO_REDES!$A:$W,MATCH($C825&amp;$I825&amp;$H825&amp;$N825&amp;$O825,APOIO_REDES!$W:$W,0),MATCH(AU$5,APOIO_REDES!$5:$5,0)),0)*$AP825,0)</f>
        <v>0.511439330980474</v>
      </c>
      <c r="AV825" s="153" t="n">
        <f aca="false">IFERROR(IF($N825="VCA",INDEX(APOIO_REDES!$A:$W,MATCH($C825&amp;$I825&amp;$H825&amp;$N825&amp;$O825,APOIO_REDES!$W:$W,0),MATCH(AV$5,APOIO_REDES!$5:$5,0)),0)*$AP825,0)</f>
        <v>0.0707791884515307</v>
      </c>
      <c r="AW825" s="153" t="n">
        <f aca="false">IFERROR(IF($N825="VCA",INDEX(APOIO_REDES!$A:$W,MATCH($C825&amp;$I825&amp;$H825&amp;$N825&amp;$O825,APOIO_REDES!$W:$W,0),MATCH(AW$5,APOIO_REDES!$5:$5,0)),0)*$AP825,0)</f>
        <v>40.4036884442455</v>
      </c>
      <c r="AX825" s="153" t="n">
        <f aca="false">IFERROR(IF($N825="VCA",INDEX(APOIO_REDES!$A:$W,MATCH($C825&amp;$I825&amp;$H825&amp;$N825&amp;$O825,APOIO_REDES!$W:$W,0),MATCH(AX$5,APOIO_REDES!$5:$5,0)),0)*$AP825,0)</f>
        <v>5.59175538859848</v>
      </c>
      <c r="AY825" s="153" t="n">
        <f aca="false">IFERROR(IF($N825="VCA",INDEX(APOIO_REDES!$A:$W,MATCH($C825&amp;$I825&amp;$H825&amp;$N825&amp;$O825,APOIO_REDES!$W:$W,0),MATCH(AY$5,APOIO_REDES!$5:$5,0)),0)*$AP825,0)</f>
        <v>10.2287803852055</v>
      </c>
      <c r="AZ825" s="153" t="n">
        <f aca="false">IFERROR(IF($N825="VCA",INDEX(APOIO_REDES!$A:$W,MATCH($C825&amp;$I825&amp;$H825&amp;$N825&amp;$O825,APOIO_REDES!$W:$W,0),MATCH(AZ$5,APOIO_REDES!$5:$5,0)),0)*$AP825,0)</f>
        <v>1.4156336442625</v>
      </c>
      <c r="BA825" s="153" t="n">
        <f aca="false">IFERROR(IF(AND($N825="VCA",$Q825="LINEAR"),INDEX(APOIO_REDES!$A:$W,MATCH($C825&amp;$I825&amp;$H825&amp;$N825&amp;$O825,APOIO_REDES!$W:$W,0),MATCH(BA$5,APOIO_REDES!$5:$5,0)),IF(AND($N825="MND",$Q825="EMBOQUE"),INDEX(APOIO_REDES!$A:$W,MATCH($C825&amp;$I825&amp;$H825&amp;$N825&amp;$O825,APOIO_REDES!$W:$W,0),MATCH(BA$5,APOIO_REDES!$5:$5,0)),0))*$M825/10,0)</f>
        <v>5.3548964104006</v>
      </c>
      <c r="BB825" s="153" t="n">
        <f aca="false">IFERROR(IF($N825="VCA",INDEX(APOIO_REDES!$A:$W,MATCH($C825&amp;$I825&amp;$H825&amp;$N825&amp;$O825,APOIO_REDES!$W:$W,0),MATCH(BB$5,APOIO_REDES!$5:$5,0)),0)*($AI825+$AQ825+$AR825),0)</f>
        <v>19.7775651979072</v>
      </c>
      <c r="BC825" s="153" t="n">
        <f aca="false">IFERROR(IF($N825="VCA",INDEX(APOIO_REDES!$A:$W,MATCH($C825&amp;$I825&amp;$H825&amp;$N825&amp;$O825,APOIO_REDES!$W:$W,0),MATCH(BC$5,APOIO_REDES!$5:$5,0)),0)*($AI825+$AQ825+$AR825),0)</f>
        <v>0.217552802092831</v>
      </c>
      <c r="BD825" s="153" t="n">
        <f aca="false">IF(AND($N825="VCA",$AF825&gt;=1.25,$AF825&lt;1.5),$M825*$AF825*2,0)</f>
        <v>181.11544</v>
      </c>
      <c r="BE825" s="153" t="n">
        <f aca="false">IF(AND($N825="VCA",$AF825&gt;=1.5,$AF825&lt;3),$M825*$AF825*2,0)</f>
        <v>0</v>
      </c>
      <c r="BF825" s="153" t="n">
        <f aca="false">IF(AND($N825="VCA",$AF825&gt;=3),$M825*$AF825*2,0)</f>
        <v>0</v>
      </c>
      <c r="BG825" s="153" t="n">
        <f aca="false">($BB825+$BC825)*$AK825</f>
        <v>73.9819366</v>
      </c>
      <c r="BH825" s="153" t="n">
        <f aca="false">IF(AND($M825&lt;&gt;"",$N825="VCA",$Q825="LINEAR"),($M825*2)/100,IF(AND($M825&lt;&gt;"",$N825="MND",$Q825="EMBOQUE"),($AN825*2)/100,0))</f>
        <v>1.3288</v>
      </c>
      <c r="BI825" s="153" t="n">
        <f aca="false">IF(AND($M825&lt;&gt;"",$N825="VCA",$Q825="LINEAR"),$M825,IF(AND($M825&lt;&gt;"",$N825="MND",$Q825="EMBOQUE"),$AN825*2,0))</f>
        <v>66.44</v>
      </c>
      <c r="BJ825" s="153" t="n">
        <f aca="false">IF(AND($M825&lt;&gt;"",$N825="VCA",$Q825="LINEAR"),($M825*6.8)/100,IF(AND($M825&lt;&gt;"",$N825="MND",$Q825="EMBOQUE"),($AN825*2*6.8)/100,0))</f>
        <v>4.51792</v>
      </c>
      <c r="BK825" s="153" t="n">
        <f aca="false">IF(AND($M825&lt;&gt;"",$N825="VCA",$Q825="LINEAR"),($M825*2.5)/50,IF(AND($M825&lt;&gt;"",$N825="MND",$Q825="EMBOQUE"),($AN825*2*2.5)/50,0))</f>
        <v>3.322</v>
      </c>
      <c r="BL825" s="157" t="str">
        <f aca="false">K825&amp;J825</f>
        <v>Zona07REDES</v>
      </c>
      <c r="BM825" s="152" t="s">
        <v>4225</v>
      </c>
      <c r="BN825" s="152" t="s">
        <v>1560</v>
      </c>
      <c r="BO825" s="152" t="s">
        <v>4218</v>
      </c>
      <c r="BP825" s="152" t="s">
        <v>4679</v>
      </c>
      <c r="BQ825" s="152" t="s">
        <v>4641</v>
      </c>
      <c r="BR825" s="152" t="s">
        <v>4680</v>
      </c>
      <c r="BS825" s="152" t="n">
        <v>204005.937</v>
      </c>
      <c r="BT825" s="152" t="n">
        <v>8236339.656</v>
      </c>
      <c r="BU825" s="152" t="n">
        <v>203986.467</v>
      </c>
      <c r="BV825" s="152" t="n">
        <v>8236398.971</v>
      </c>
      <c r="BW825" s="152" t="n">
        <v>-15.9343091</v>
      </c>
      <c r="BX825" s="152" t="n">
        <v>-47.7647926</v>
      </c>
      <c r="BY825" s="152" t="s">
        <v>4679</v>
      </c>
    </row>
    <row r="826" customFormat="false" ht="13.8" hidden="false" customHeight="false" outlineLevel="0" collapsed="false">
      <c r="A826" s="149" t="n">
        <f aca="false">IF(C826&lt;&gt;"",ROW(A821),"")</f>
        <v>821</v>
      </c>
      <c r="B826" s="150" t="str">
        <f aca="false">HYPERLINK("https://www.google.com/maps/dir/-15.917302,-47.760003/-15.9312884,-47.7691603/data=!4m3!4m2!3e0!5i1")</f>
        <v>https://www.google.com/maps/dir/-15.917302,-47.760003/-15.9312884,-47.7691603/data=!4m3!4m2!3e0!5i1</v>
      </c>
      <c r="C826" s="151" t="s">
        <v>117</v>
      </c>
      <c r="D826" s="152" t="s">
        <v>112</v>
      </c>
      <c r="E826" s="152" t="s">
        <v>113</v>
      </c>
      <c r="F826" s="152" t="s">
        <v>117</v>
      </c>
      <c r="G826" s="152" t="s">
        <v>114</v>
      </c>
      <c r="H826" s="152" t="n">
        <v>160</v>
      </c>
      <c r="I826" s="152" t="s">
        <v>115</v>
      </c>
      <c r="J826" s="152" t="s">
        <v>6</v>
      </c>
      <c r="K826" s="152" t="s">
        <v>4221</v>
      </c>
      <c r="L826" s="152" t="s">
        <v>120</v>
      </c>
      <c r="M826" s="153" t="n">
        <f aca="false">907.56</f>
        <v>907.56</v>
      </c>
      <c r="N826" s="152" t="s">
        <v>1548</v>
      </c>
      <c r="O826" s="152" t="s">
        <v>1549</v>
      </c>
      <c r="P826" s="152" t="s">
        <v>1550</v>
      </c>
      <c r="Q826" s="152" t="s">
        <v>1551</v>
      </c>
      <c r="R826" s="154" t="s">
        <v>4681</v>
      </c>
      <c r="S826" s="154" t="s">
        <v>1593</v>
      </c>
      <c r="T826" s="155" t="s">
        <v>4216</v>
      </c>
      <c r="U826" s="152" t="str">
        <f aca="false">RIGHT(T826,7)</f>
        <v>019/037</v>
      </c>
      <c r="V826" s="152" t="s">
        <v>1555</v>
      </c>
      <c r="W826" s="156" t="n">
        <v>45882</v>
      </c>
      <c r="X826" s="152" t="s">
        <v>1594</v>
      </c>
      <c r="Y826" s="152" t="s">
        <v>4030</v>
      </c>
      <c r="Z826" s="152" t="s">
        <v>1557</v>
      </c>
      <c r="AA826" s="153" t="n">
        <v>4.5</v>
      </c>
      <c r="AB826" s="151" t="s">
        <v>4682</v>
      </c>
      <c r="AC826" s="151" t="s">
        <v>505</v>
      </c>
      <c r="AD826" s="151" t="str">
        <f aca="false">CONCATENATE($C826,$I826,$H826,$N826,$J826,$K826)</f>
        <v>TUBO PEADPEAD160VCAREDESZona07</v>
      </c>
      <c r="AE826" s="153" t="n">
        <f aca="false">IFERROR(INDEX(APOIO_REDES!$A:$W,MATCH($C826&amp;$I826&amp;$H826&amp;$N826&amp;$O826,APOIO_REDES!$W:$W,0),MATCH(AE$5,APOIO_REDES!$5:$5,0)),0)</f>
        <v>1.2</v>
      </c>
      <c r="AF826" s="153" t="n">
        <f aca="false">IFERROR(INDEX(APOIO_REDES!$A:$W,MATCH($C826&amp;$I826&amp;$H826&amp;$N826&amp;$O826,APOIO_REDES!$W:$W,0),MATCH(AF$5,APOIO_REDES!$5:$5,0)),0)</f>
        <v>1.46</v>
      </c>
      <c r="AG826" s="153" t="n">
        <f aca="false">IFERROR(INDEX(APOIO_REDES!$A:$W,MATCH($C826&amp;$I826&amp;$H826&amp;$N826&amp;$O826,APOIO_REDES!$W:$W,0),MATCH(AG$5,APOIO_REDES!$5:$5,0)),0)</f>
        <v>0.75</v>
      </c>
      <c r="AH826" s="153" t="n">
        <f aca="false">IFERROR(INDEX(APOIO_REDES!$A:$W,MATCH($C826&amp;$I826&amp;$H826&amp;$N826&amp;$O826,APOIO_REDES!$W:$W,0),MATCH(AH$5,APOIO_REDES!$5:$5,0)),0)</f>
        <v>0.1</v>
      </c>
      <c r="AI826" s="153" t="n">
        <f aca="false">IFERROR(IF($H826&lt;&gt;"",(((($H826/1000)/2)^2)*PI()*$M826),0),0)</f>
        <v>18.2475765036285</v>
      </c>
      <c r="AJ826" s="153" t="n">
        <f aca="false">IFERROR(IF(AND($H826&lt;&gt;"",$I826="FoFo",OR($N826="MND",$N826="VCA"),$Q826="LINEAR"),0,IF(AND($H826&lt;&gt;"",$I826="PEAD",$N826="VCA",$Q826="LINEAR"),($H826/1000)+0.3,IF(AND($H826&lt;&gt;"",$I826="PEAD",$N826="MND",$Q826="EMBOQUE"),0,IF(AND($H826&lt;&gt;"",$I826="PVC",$N826="VCA",$Q826="LINEAR"),($H826/1000)+0.2,IF(AND($H826&lt;&gt;"",$I826="PVC",$N826="MND",$Q826="EMBOQUE"),0,IF(AND($H826&lt;&gt;"",$I826="PEAD",$N826="VCA",$Q826="PREDIAL"),0,0)))))),0)</f>
        <v>0.46</v>
      </c>
      <c r="AK826" s="153" t="n">
        <f aca="false">IF(AA826&lt;&gt;"",AA826,0)</f>
        <v>4.5</v>
      </c>
      <c r="AL826" s="153" t="n">
        <f aca="false">IF(AND($N826="MND",$Q826="EMBOQUE"),$M826,IF(AND($N826="VCA",$Q826="LINEAR"),$M826,IF(AND($N826="VCA",$Q826="PREDIAL"),0,0)))</f>
        <v>907.56</v>
      </c>
      <c r="AM826" s="153" t="n">
        <f aca="false">IF(AND($N826="MND",$Q826="EMBOQUE"),$M826,IF(AND($N826="VCA",$Q826="LINEAR"),$M826,IF(AND($N826="VCA",$Q826="PREDIAL"),0,0)))</f>
        <v>907.56</v>
      </c>
      <c r="AN826" s="153" t="n">
        <f aca="false">ROUND(IF(AND($N826="VCA",$M826&lt;&gt;"",$Q826="LINEAR"),$M826/100,IF(AND($N826="MND",$M826&gt;100,$Q826="EMBOQUE"),$M826/100,0)),0)</f>
        <v>9</v>
      </c>
      <c r="AO826" s="153" t="n">
        <f aca="false">IF(AND($N826="MND",$Q826="EMBOQUE"),$AN826*2*2,IF(AND($N826="VCA",$Q826="LINEAR"),$M826*2,IF(AND($N826="VCA",$Q826="PREDIAL"),0,0)))</f>
        <v>1815.12</v>
      </c>
      <c r="AP826" s="153" t="n">
        <f aca="false">IFERROR($M826*$AF826*$AG826,0)</f>
        <v>993.7782</v>
      </c>
      <c r="AQ826" s="153" t="n">
        <f aca="false">IFERROR(IF(AND($N826="VCA",$AH826&gt;0),$M826*$AG826*$AH826,0),0)</f>
        <v>68.067</v>
      </c>
      <c r="AR826" s="153" t="n">
        <f aca="false">IFERROR(IF(AND($N826="VCA",$AJ826&gt;0),($M826*$AG826*$AJ826)-$AI826,0),0)</f>
        <v>294.860623496371</v>
      </c>
      <c r="AS826" s="153" t="n">
        <f aca="false">IFERROR(IF(AND($N826="VCA",$AP826&gt;0),$AP826-$AI826-$AQ826-$AR826,0),0)</f>
        <v>612.603</v>
      </c>
      <c r="AT826" s="153" t="n">
        <f aca="false">IFERROR(IF($N826="VCA",INDEX(APOIO_REDES!$A:$W,MATCH($C826&amp;$I826&amp;$H826&amp;$N826&amp;$O826,APOIO_REDES!$W:$W,0),MATCH(AT$5,APOIO_REDES!$5:$5,0)),0)*$AP826,0)</f>
        <v>10.8126009593327</v>
      </c>
      <c r="AU826" s="153" t="n">
        <f aca="false">IFERROR(IF($N826="VCA",INDEX(APOIO_REDES!$A:$W,MATCH($C826&amp;$I826&amp;$H826&amp;$N826&amp;$O826,APOIO_REDES!$W:$W,0),MATCH(AU$5,APOIO_REDES!$5:$5,0)),0)*$AP826,0)</f>
        <v>8.63465028375069</v>
      </c>
      <c r="AV826" s="153" t="n">
        <f aca="false">IFERROR(IF($N826="VCA",INDEX(APOIO_REDES!$A:$W,MATCH($C826&amp;$I826&amp;$H826&amp;$N826&amp;$O826,APOIO_REDES!$W:$W,0),MATCH(AV$5,APOIO_REDES!$5:$5,0)),0)*$AP826,0)</f>
        <v>1.19496781460866</v>
      </c>
      <c r="AW826" s="153" t="n">
        <f aca="false">IFERROR(IF($N826="VCA",INDEX(APOIO_REDES!$A:$W,MATCH($C826&amp;$I826&amp;$H826&amp;$N826&amp;$O826,APOIO_REDES!$W:$W,0),MATCH(AW$5,APOIO_REDES!$5:$5,0)),0)*$AP826,0)</f>
        <v>682.137056649243</v>
      </c>
      <c r="AX826" s="153" t="n">
        <f aca="false">IFERROR(IF($N826="VCA",INDEX(APOIO_REDES!$A:$W,MATCH($C826&amp;$I826&amp;$H826&amp;$N826&amp;$O826,APOIO_REDES!$W:$W,0),MATCH(AX$5,APOIO_REDES!$5:$5,0)),0)*$AP826,0)</f>
        <v>94.4058255360686</v>
      </c>
      <c r="AY826" s="153" t="n">
        <f aca="false">IFERROR(IF($N826="VCA",INDEX(APOIO_REDES!$A:$W,MATCH($C826&amp;$I826&amp;$H826&amp;$N826&amp;$O826,APOIO_REDES!$W:$W,0),MATCH(AY$5,APOIO_REDES!$5:$5,0)),0)*$AP826,0)</f>
        <v>172.692900419327</v>
      </c>
      <c r="AZ826" s="153" t="n">
        <f aca="false">IFERROR(IF($N826="VCA",INDEX(APOIO_REDES!$A:$W,MATCH($C826&amp;$I826&amp;$H826&amp;$N826&amp;$O826,APOIO_REDES!$W:$W,0),MATCH(AZ$5,APOIO_REDES!$5:$5,0)),0)*$AP826,0)</f>
        <v>23.9001983376693</v>
      </c>
      <c r="BA826" s="153" t="n">
        <f aca="false">IFERROR(IF(AND($N826="VCA",$Q826="LINEAR"),INDEX(APOIO_REDES!$A:$W,MATCH($C826&amp;$I826&amp;$H826&amp;$N826&amp;$O826,APOIO_REDES!$W:$W,0),MATCH(BA$5,APOIO_REDES!$5:$5,0)),IF(AND($N826="MND",$Q826="EMBOQUE"),INDEX(APOIO_REDES!$A:$W,MATCH($C826&amp;$I826&amp;$H826&amp;$N826&amp;$O826,APOIO_REDES!$W:$W,0),MATCH(BA$5,APOIO_REDES!$5:$5,0)),0))*$M826/10,0)</f>
        <v>73.1470467523054</v>
      </c>
      <c r="BB826" s="153" t="n">
        <f aca="false">IFERROR(IF($N826="VCA",INDEX(APOIO_REDES!$A:$W,MATCH($C826&amp;$I826&amp;$H826&amp;$N826&amp;$O826,APOIO_REDES!$W:$W,0),MATCH(BB$5,APOIO_REDES!$5:$5,0)),0)*($AI826+$AQ826+$AR826),0)</f>
        <v>377.0279010019</v>
      </c>
      <c r="BC826" s="153" t="n">
        <f aca="false">IFERROR(IF($N826="VCA",INDEX(APOIO_REDES!$A:$W,MATCH($C826&amp;$I826&amp;$H826&amp;$N826&amp;$O826,APOIO_REDES!$W:$W,0),MATCH(BC$5,APOIO_REDES!$5:$5,0)),0)*($AI826+$AQ826+$AR826),0)</f>
        <v>4.14729899810021</v>
      </c>
      <c r="BD826" s="153" t="n">
        <f aca="false">IF(AND($N826="VCA",$AF826&gt;=1.25,$AF826&lt;1.5),$M826*$AF826*2,0)</f>
        <v>2650.0752</v>
      </c>
      <c r="BE826" s="153" t="n">
        <f aca="false">IF(AND($N826="VCA",$AF826&gt;=1.5,$AF826&lt;3),$M826*$AF826*2,0)</f>
        <v>0</v>
      </c>
      <c r="BF826" s="153" t="n">
        <f aca="false">IF(AND($N826="VCA",$AF826&gt;=3),$M826*$AF826*2,0)</f>
        <v>0</v>
      </c>
      <c r="BG826" s="153" t="n">
        <f aca="false">($BB826+$BC826)*$AK826</f>
        <v>1715.2884</v>
      </c>
      <c r="BH826" s="153" t="n">
        <f aca="false">IF(AND($M826&lt;&gt;"",$N826="VCA",$Q826="LINEAR"),($M826*2)/100,IF(AND($M826&lt;&gt;"",$N826="MND",$Q826="EMBOQUE"),($AN826*2)/100,0))</f>
        <v>18.1512</v>
      </c>
      <c r="BI826" s="153" t="n">
        <f aca="false">IF(AND($M826&lt;&gt;"",$N826="VCA",$Q826="LINEAR"),$M826,IF(AND($M826&lt;&gt;"",$N826="MND",$Q826="EMBOQUE"),$AN826*2,0))</f>
        <v>907.56</v>
      </c>
      <c r="BJ826" s="153" t="n">
        <f aca="false">IF(AND($M826&lt;&gt;"",$N826="VCA",$Q826="LINEAR"),($M826*6.8)/100,IF(AND($M826&lt;&gt;"",$N826="MND",$Q826="EMBOQUE"),($AN826*2*6.8)/100,0))</f>
        <v>61.71408</v>
      </c>
      <c r="BK826" s="153" t="n">
        <f aca="false">IF(AND($M826&lt;&gt;"",$N826="VCA",$Q826="LINEAR"),($M826*2.5)/50,IF(AND($M826&lt;&gt;"",$N826="MND",$Q826="EMBOQUE"),($AN826*2*2.5)/50,0))</f>
        <v>45.378</v>
      </c>
      <c r="BL826" s="157" t="str">
        <f aca="false">K826&amp;J826</f>
        <v>Zona07REDES</v>
      </c>
      <c r="BM826" s="152" t="s">
        <v>4225</v>
      </c>
      <c r="BN826" s="152" t="s">
        <v>1560</v>
      </c>
      <c r="BO826" s="152" t="s">
        <v>4218</v>
      </c>
      <c r="BP826" s="152" t="s">
        <v>4240</v>
      </c>
      <c r="BQ826" s="152" t="s">
        <v>4580</v>
      </c>
      <c r="BR826" s="152" t="s">
        <v>4241</v>
      </c>
      <c r="BS826" s="152" t="n">
        <v>203523.446</v>
      </c>
      <c r="BT826" s="152" t="n">
        <v>8236697.429</v>
      </c>
      <c r="BU826" s="152" t="n">
        <v>204109.667</v>
      </c>
      <c r="BV826" s="152" t="n">
        <v>8236597.615</v>
      </c>
      <c r="BW826" s="152" t="n">
        <v>-15.9343578</v>
      </c>
      <c r="BX826" s="152" t="n">
        <v>-47.7666593</v>
      </c>
      <c r="BY826" s="152" t="s">
        <v>4240</v>
      </c>
    </row>
    <row r="827" customFormat="false" ht="13.8" hidden="false" customHeight="false" outlineLevel="0" collapsed="false">
      <c r="A827" s="149" t="n">
        <f aca="false">IF(C827&lt;&gt;"",ROW(A822),"")</f>
        <v>822</v>
      </c>
      <c r="B827" s="150" t="str">
        <f aca="false">HYPERLINK("https://www.google.com/maps/dir/-15.917302,-47.760003/-15.9344706,-47.7642697/data=!4m3!4m2!3e0!5i1")</f>
        <v>https://www.google.com/maps/dir/-15.917302,-47.760003/-15.9344706,-47.7642697/data=!4m3!4m2!3e0!5i1</v>
      </c>
      <c r="C827" s="151" t="s">
        <v>117</v>
      </c>
      <c r="D827" s="152" t="s">
        <v>112</v>
      </c>
      <c r="E827" s="152" t="s">
        <v>113</v>
      </c>
      <c r="F827" s="152" t="s">
        <v>117</v>
      </c>
      <c r="G827" s="152" t="s">
        <v>782</v>
      </c>
      <c r="H827" s="152" t="n">
        <v>63</v>
      </c>
      <c r="I827" s="152" t="s">
        <v>115</v>
      </c>
      <c r="J827" s="152" t="s">
        <v>6</v>
      </c>
      <c r="K827" s="152" t="s">
        <v>4221</v>
      </c>
      <c r="L827" s="152" t="s">
        <v>120</v>
      </c>
      <c r="M827" s="153" t="n">
        <f aca="false">47.37</f>
        <v>47.37</v>
      </c>
      <c r="N827" s="152" t="s">
        <v>1548</v>
      </c>
      <c r="O827" s="152" t="s">
        <v>1549</v>
      </c>
      <c r="P827" s="152" t="s">
        <v>1550</v>
      </c>
      <c r="Q827" s="152" t="s">
        <v>1551</v>
      </c>
      <c r="R827" s="154" t="s">
        <v>4683</v>
      </c>
      <c r="S827" s="154" t="s">
        <v>1553</v>
      </c>
      <c r="T827" s="155" t="s">
        <v>4216</v>
      </c>
      <c r="U827" s="152" t="str">
        <f aca="false">RIGHT(T827,7)</f>
        <v>019/037</v>
      </c>
      <c r="V827" s="152" t="s">
        <v>1555</v>
      </c>
      <c r="W827" s="156" t="n">
        <v>45882</v>
      </c>
      <c r="X827" s="152" t="s">
        <v>3938</v>
      </c>
      <c r="Y827" s="152" t="s">
        <v>2524</v>
      </c>
      <c r="Z827" s="152" t="s">
        <v>1557</v>
      </c>
      <c r="AA827" s="153" t="n">
        <v>3.7</v>
      </c>
      <c r="AB827" s="151" t="s">
        <v>4684</v>
      </c>
      <c r="AC827" s="151" t="s">
        <v>186</v>
      </c>
      <c r="AD827" s="151" t="str">
        <f aca="false">CONCATENATE($C827,$I827,$H827,$N827,$J827,$K827)</f>
        <v>TUBO PEADPEAD63VCAREDESZona07</v>
      </c>
      <c r="AE827" s="153" t="n">
        <f aca="false">IFERROR(INDEX(APOIO_REDES!$A:$W,MATCH($C827&amp;$I827&amp;$H827&amp;$N827&amp;$O827,APOIO_REDES!$W:$W,0),MATCH(AE$5,APOIO_REDES!$5:$5,0)),0)</f>
        <v>1.2</v>
      </c>
      <c r="AF827" s="153" t="n">
        <f aca="false">IFERROR(INDEX(APOIO_REDES!$A:$W,MATCH($C827&amp;$I827&amp;$H827&amp;$N827&amp;$O827,APOIO_REDES!$W:$W,0),MATCH(AF$5,APOIO_REDES!$5:$5,0)),0)</f>
        <v>1.363</v>
      </c>
      <c r="AG827" s="153" t="n">
        <f aca="false">IFERROR(INDEX(APOIO_REDES!$A:$W,MATCH($C827&amp;$I827&amp;$H827&amp;$N827&amp;$O827,APOIO_REDES!$W:$W,0),MATCH(AG$5,APOIO_REDES!$5:$5,0)),0)</f>
        <v>0.65</v>
      </c>
      <c r="AH827" s="153" t="n">
        <f aca="false">IFERROR(INDEX(APOIO_REDES!$A:$W,MATCH($C827&amp;$I827&amp;$H827&amp;$N827&amp;$O827,APOIO_REDES!$W:$W,0),MATCH(AH$5,APOIO_REDES!$5:$5,0)),0)</f>
        <v>0.1</v>
      </c>
      <c r="AI827" s="153" t="n">
        <f aca="false">IFERROR(IF($H827&lt;&gt;"",(((($H827/1000)/2)^2)*PI()*$M827),0),0)</f>
        <v>0.147663910359544</v>
      </c>
      <c r="AJ827" s="153" t="n">
        <f aca="false">IFERROR(IF(AND($H827&lt;&gt;"",$I827="FoFo",OR($N827="MND",$N827="VCA"),$Q827="LINEAR"),0,IF(AND($H827&lt;&gt;"",$I827="PEAD",$N827="VCA",$Q827="LINEAR"),($H827/1000)+0.3,IF(AND($H827&lt;&gt;"",$I827="PEAD",$N827="MND",$Q827="EMBOQUE"),0,IF(AND($H827&lt;&gt;"",$I827="PVC",$N827="VCA",$Q827="LINEAR"),($H827/1000)+0.2,IF(AND($H827&lt;&gt;"",$I827="PVC",$N827="MND",$Q827="EMBOQUE"),0,IF(AND($H827&lt;&gt;"",$I827="PEAD",$N827="VCA",$Q827="PREDIAL"),0,0)))))),0)</f>
        <v>0.363</v>
      </c>
      <c r="AK827" s="153" t="n">
        <f aca="false">IF(AA827&lt;&gt;"",AA827,0)</f>
        <v>3.7</v>
      </c>
      <c r="AL827" s="153" t="n">
        <f aca="false">IF(AND($N827="MND",$Q827="EMBOQUE"),$M827,IF(AND($N827="VCA",$Q827="LINEAR"),$M827,IF(AND($N827="VCA",$Q827="PREDIAL"),0,0)))</f>
        <v>47.37</v>
      </c>
      <c r="AM827" s="153" t="n">
        <f aca="false">IF(AND($N827="MND",$Q827="EMBOQUE"),$M827,IF(AND($N827="VCA",$Q827="LINEAR"),$M827,IF(AND($N827="VCA",$Q827="PREDIAL"),0,0)))</f>
        <v>47.37</v>
      </c>
      <c r="AN827" s="153" t="n">
        <f aca="false">ROUND(IF(AND($N827="VCA",$M827&lt;&gt;"",$Q827="LINEAR"),$M827/100,IF(AND($N827="MND",$M827&gt;100,$Q827="EMBOQUE"),$M827/100,0)),0)</f>
        <v>0</v>
      </c>
      <c r="AO827" s="153" t="n">
        <f aca="false">IF(AND($N827="MND",$Q827="EMBOQUE"),$AN827*2*2,IF(AND($N827="VCA",$Q827="LINEAR"),$M827*2,IF(AND($N827="VCA",$Q827="PREDIAL"),0,0)))</f>
        <v>94.74</v>
      </c>
      <c r="AP827" s="153" t="n">
        <f aca="false">IFERROR($M827*$AF827*$AG827,0)</f>
        <v>41.9674515</v>
      </c>
      <c r="AQ827" s="153" t="n">
        <f aca="false">IFERROR(IF(AND($N827="VCA",$AH827&gt;0),$M827*$AG827*$AH827,0),0)</f>
        <v>3.07905</v>
      </c>
      <c r="AR827" s="153" t="n">
        <f aca="false">IFERROR(IF(AND($N827="VCA",$AJ827&gt;0),($M827*$AG827*$AJ827)-$AI827,0),0)</f>
        <v>11.0292875896405</v>
      </c>
      <c r="AS827" s="153" t="n">
        <f aca="false">IFERROR(IF(AND($N827="VCA",$AP827&gt;0),$AP827-$AI827-$AQ827-$AR827,0),0)</f>
        <v>27.71145</v>
      </c>
      <c r="AT827" s="153" t="n">
        <f aca="false">IFERROR(IF($N827="VCA",INDEX(APOIO_REDES!$A:$W,MATCH($C827&amp;$I827&amp;$H827&amp;$N827&amp;$O827,APOIO_REDES!$W:$W,0),MATCH(AT$5,APOIO_REDES!$5:$5,0)),0)*$AP827,0)</f>
        <v>0.456618294051578</v>
      </c>
      <c r="AU827" s="153" t="n">
        <f aca="false">IFERROR(IF($N827="VCA",INDEX(APOIO_REDES!$A:$W,MATCH($C827&amp;$I827&amp;$H827&amp;$N827&amp;$O827,APOIO_REDES!$W:$W,0),MATCH(AU$5,APOIO_REDES!$5:$5,0)),0)*$AP827,0)</f>
        <v>0.364643002837825</v>
      </c>
      <c r="AV827" s="153" t="n">
        <f aca="false">IFERROR(IF($N827="VCA",INDEX(APOIO_REDES!$A:$W,MATCH($C827&amp;$I827&amp;$H827&amp;$N827&amp;$O827,APOIO_REDES!$W:$W,0),MATCH(AV$5,APOIO_REDES!$5:$5,0)),0)*$AP827,0)</f>
        <v>0.0504637290329472</v>
      </c>
      <c r="AW827" s="153" t="n">
        <f aca="false">IFERROR(IF($N827="VCA",INDEX(APOIO_REDES!$A:$W,MATCH($C827&amp;$I827&amp;$H827&amp;$N827&amp;$O827,APOIO_REDES!$W:$W,0),MATCH(AW$5,APOIO_REDES!$5:$5,0)),0)*$AP827,0)</f>
        <v>28.8067838892822</v>
      </c>
      <c r="AX827" s="153" t="n">
        <f aca="false">IFERROR(IF($N827="VCA",INDEX(APOIO_REDES!$A:$W,MATCH($C827&amp;$I827&amp;$H827&amp;$N827&amp;$O827,APOIO_REDES!$W:$W,0),MATCH(AX$5,APOIO_REDES!$5:$5,0)),0)*$AP827,0)</f>
        <v>3.98677683259949</v>
      </c>
      <c r="AY827" s="153" t="n">
        <f aca="false">IFERROR(IF($N827="VCA",INDEX(APOIO_REDES!$A:$W,MATCH($C827&amp;$I827&amp;$H827&amp;$N827&amp;$O827,APOIO_REDES!$W:$W,0),MATCH(AY$5,APOIO_REDES!$5:$5,0)),0)*$AP827,0)</f>
        <v>7.29285561178785</v>
      </c>
      <c r="AZ827" s="153" t="n">
        <f aca="false">IFERROR(IF($N827="VCA",INDEX(APOIO_REDES!$A:$W,MATCH($C827&amp;$I827&amp;$H827&amp;$N827&amp;$O827,APOIO_REDES!$W:$W,0),MATCH(AZ$5,APOIO_REDES!$5:$5,0)),0)*$AP827,0)</f>
        <v>1.00931014040811</v>
      </c>
      <c r="BA827" s="153" t="n">
        <f aca="false">IFERROR(IF(AND($N827="VCA",$Q827="LINEAR"),INDEX(APOIO_REDES!$A:$W,MATCH($C827&amp;$I827&amp;$H827&amp;$N827&amp;$O827,APOIO_REDES!$W:$W,0),MATCH(BA$5,APOIO_REDES!$5:$5,0)),IF(AND($N827="MND",$Q827="EMBOQUE"),INDEX(APOIO_REDES!$A:$W,MATCH($C827&amp;$I827&amp;$H827&amp;$N827&amp;$O827,APOIO_REDES!$W:$W,0),MATCH(BA$5,APOIO_REDES!$5:$5,0)),0))*$M827/10,0)</f>
        <v>3.81790251295419</v>
      </c>
      <c r="BB827" s="153" t="n">
        <f aca="false">IFERROR(IF($N827="VCA",INDEX(APOIO_REDES!$A:$W,MATCH($C827&amp;$I827&amp;$H827&amp;$N827&amp;$O827,APOIO_REDES!$W:$W,0),MATCH(BB$5,APOIO_REDES!$5:$5,0)),0)*($AI827+$AQ827+$AR827),0)</f>
        <v>14.1008919841189</v>
      </c>
      <c r="BC827" s="153" t="n">
        <f aca="false">IFERROR(IF($N827="VCA",INDEX(APOIO_REDES!$A:$W,MATCH($C827&amp;$I827&amp;$H827&amp;$N827&amp;$O827,APOIO_REDES!$W:$W,0),MATCH(BC$5,APOIO_REDES!$5:$5,0)),0)*($AI827+$AQ827+$AR827),0)</f>
        <v>0.155109515881057</v>
      </c>
      <c r="BD827" s="153" t="n">
        <f aca="false">IF(AND($N827="VCA",$AF827&gt;=1.25,$AF827&lt;1.5),$M827*$AF827*2,0)</f>
        <v>129.13062</v>
      </c>
      <c r="BE827" s="153" t="n">
        <f aca="false">IF(AND($N827="VCA",$AF827&gt;=1.5,$AF827&lt;3),$M827*$AF827*2,0)</f>
        <v>0</v>
      </c>
      <c r="BF827" s="153" t="n">
        <f aca="false">IF(AND($N827="VCA",$AF827&gt;=3),$M827*$AF827*2,0)</f>
        <v>0</v>
      </c>
      <c r="BG827" s="153" t="n">
        <f aca="false">($BB827+$BC827)*$AK827</f>
        <v>52.74720555</v>
      </c>
      <c r="BH827" s="153" t="n">
        <f aca="false">IF(AND($M827&lt;&gt;"",$N827="VCA",$Q827="LINEAR"),($M827*2)/100,IF(AND($M827&lt;&gt;"",$N827="MND",$Q827="EMBOQUE"),($AN827*2)/100,0))</f>
        <v>0.9474</v>
      </c>
      <c r="BI827" s="153" t="n">
        <f aca="false">IF(AND($M827&lt;&gt;"",$N827="VCA",$Q827="LINEAR"),$M827,IF(AND($M827&lt;&gt;"",$N827="MND",$Q827="EMBOQUE"),$AN827*2,0))</f>
        <v>47.37</v>
      </c>
      <c r="BJ827" s="153" t="n">
        <f aca="false">IF(AND($M827&lt;&gt;"",$N827="VCA",$Q827="LINEAR"),($M827*6.8)/100,IF(AND($M827&lt;&gt;"",$N827="MND",$Q827="EMBOQUE"),($AN827*2*6.8)/100,0))</f>
        <v>3.22116</v>
      </c>
      <c r="BK827" s="153" t="n">
        <f aca="false">IF(AND($M827&lt;&gt;"",$N827="VCA",$Q827="LINEAR"),($M827*2.5)/50,IF(AND($M827&lt;&gt;"",$N827="MND",$Q827="EMBOQUE"),($AN827*2*2.5)/50,0))</f>
        <v>2.3685</v>
      </c>
      <c r="BL827" s="157" t="str">
        <f aca="false">K827&amp;J827</f>
        <v>Zona07REDES</v>
      </c>
      <c r="BM827" s="152" t="s">
        <v>4225</v>
      </c>
      <c r="BN827" s="152" t="s">
        <v>1560</v>
      </c>
      <c r="BO827" s="152" t="s">
        <v>4218</v>
      </c>
      <c r="BP827" s="152" t="s">
        <v>4653</v>
      </c>
      <c r="BQ827" s="152" t="s">
        <v>4645</v>
      </c>
      <c r="BR827" s="152" t="s">
        <v>4685</v>
      </c>
      <c r="BS827" s="152" t="n">
        <v>204052.064</v>
      </c>
      <c r="BT827" s="152" t="n">
        <v>8236352.052</v>
      </c>
      <c r="BU827" s="152" t="n">
        <v>204097.456</v>
      </c>
      <c r="BV827" s="152" t="n">
        <v>8236365.613</v>
      </c>
      <c r="BW827" s="152" t="n">
        <v>-15.9344121</v>
      </c>
      <c r="BX827" s="152" t="n">
        <v>-47.7640571</v>
      </c>
      <c r="BY827" s="152" t="s">
        <v>4653</v>
      </c>
    </row>
    <row r="828" customFormat="false" ht="13.8" hidden="false" customHeight="false" outlineLevel="0" collapsed="false">
      <c r="A828" s="149" t="n">
        <f aca="false">IF(C828&lt;&gt;"",ROW(A823),"")</f>
        <v>823</v>
      </c>
      <c r="B828" s="150" t="str">
        <f aca="false">HYPERLINK("https://www.google.com/maps/dir/-15.917302,-47.760003/-15.9346511,-47.7655167/data=!4m3!4m2!3e0!5i1")</f>
        <v>https://www.google.com/maps/dir/-15.917302,-47.760003/-15.9346511,-47.7655167/data=!4m3!4m2!3e0!5i1</v>
      </c>
      <c r="C828" s="151" t="s">
        <v>117</v>
      </c>
      <c r="D828" s="152" t="s">
        <v>112</v>
      </c>
      <c r="E828" s="152" t="s">
        <v>113</v>
      </c>
      <c r="F828" s="152" t="s">
        <v>117</v>
      </c>
      <c r="G828" s="152" t="s">
        <v>782</v>
      </c>
      <c r="H828" s="152" t="n">
        <v>63</v>
      </c>
      <c r="I828" s="152" t="s">
        <v>115</v>
      </c>
      <c r="J828" s="152" t="s">
        <v>6</v>
      </c>
      <c r="K828" s="152" t="s">
        <v>4221</v>
      </c>
      <c r="L828" s="152" t="s">
        <v>120</v>
      </c>
      <c r="M828" s="153" t="n">
        <f aca="false">57.49+0.44</f>
        <v>57.93</v>
      </c>
      <c r="N828" s="152" t="s">
        <v>1548</v>
      </c>
      <c r="O828" s="152" t="s">
        <v>1549</v>
      </c>
      <c r="P828" s="152" t="s">
        <v>1550</v>
      </c>
      <c r="Q828" s="152" t="s">
        <v>1551</v>
      </c>
      <c r="R828" s="154" t="s">
        <v>4686</v>
      </c>
      <c r="S828" s="154" t="s">
        <v>1553</v>
      </c>
      <c r="T828" s="155" t="s">
        <v>4216</v>
      </c>
      <c r="U828" s="152" t="str">
        <f aca="false">RIGHT(T828,7)</f>
        <v>019/037</v>
      </c>
      <c r="V828" s="152" t="s">
        <v>1555</v>
      </c>
      <c r="W828" s="156" t="n">
        <v>45882</v>
      </c>
      <c r="X828" s="152" t="s">
        <v>1594</v>
      </c>
      <c r="Y828" s="152" t="s">
        <v>3251</v>
      </c>
      <c r="Z828" s="152" t="s">
        <v>1557</v>
      </c>
      <c r="AA828" s="153" t="n">
        <v>3.8</v>
      </c>
      <c r="AB828" s="151" t="s">
        <v>4687</v>
      </c>
      <c r="AC828" s="151" t="s">
        <v>186</v>
      </c>
      <c r="AD828" s="151" t="str">
        <f aca="false">CONCATENATE($C828,$I828,$H828,$N828,$J828,$K828)</f>
        <v>TUBO PEADPEAD63VCAREDESZona07</v>
      </c>
      <c r="AE828" s="153" t="n">
        <f aca="false">IFERROR(INDEX(APOIO_REDES!$A:$W,MATCH($C828&amp;$I828&amp;$H828&amp;$N828&amp;$O828,APOIO_REDES!$W:$W,0),MATCH(AE$5,APOIO_REDES!$5:$5,0)),0)</f>
        <v>1.2</v>
      </c>
      <c r="AF828" s="153" t="n">
        <f aca="false">IFERROR(INDEX(APOIO_REDES!$A:$W,MATCH($C828&amp;$I828&amp;$H828&amp;$N828&amp;$O828,APOIO_REDES!$W:$W,0),MATCH(AF$5,APOIO_REDES!$5:$5,0)),0)</f>
        <v>1.363</v>
      </c>
      <c r="AG828" s="153" t="n">
        <f aca="false">IFERROR(INDEX(APOIO_REDES!$A:$W,MATCH($C828&amp;$I828&amp;$H828&amp;$N828&amp;$O828,APOIO_REDES!$W:$W,0),MATCH(AG$5,APOIO_REDES!$5:$5,0)),0)</f>
        <v>0.65</v>
      </c>
      <c r="AH828" s="153" t="n">
        <f aca="false">IFERROR(INDEX(APOIO_REDES!$A:$W,MATCH($C828&amp;$I828&amp;$H828&amp;$N828&amp;$O828,APOIO_REDES!$W:$W,0),MATCH(AH$5,APOIO_REDES!$5:$5,0)),0)</f>
        <v>0.1</v>
      </c>
      <c r="AI828" s="153" t="n">
        <f aca="false">IFERROR(IF($H828&lt;&gt;"",(((($H828/1000)/2)^2)*PI()*$M828),0),0)</f>
        <v>0.180582020838683</v>
      </c>
      <c r="AJ828" s="153" t="n">
        <f aca="false">IFERROR(IF(AND($H828&lt;&gt;"",$I828="FoFo",OR($N828="MND",$N828="VCA"),$Q828="LINEAR"),0,IF(AND($H828&lt;&gt;"",$I828="PEAD",$N828="VCA",$Q828="LINEAR"),($H828/1000)+0.3,IF(AND($H828&lt;&gt;"",$I828="PEAD",$N828="MND",$Q828="EMBOQUE"),0,IF(AND($H828&lt;&gt;"",$I828="PVC",$N828="VCA",$Q828="LINEAR"),($H828/1000)+0.2,IF(AND($H828&lt;&gt;"",$I828="PVC",$N828="MND",$Q828="EMBOQUE"),0,IF(AND($H828&lt;&gt;"",$I828="PEAD",$N828="VCA",$Q828="PREDIAL"),0,0)))))),0)</f>
        <v>0.363</v>
      </c>
      <c r="AK828" s="153" t="n">
        <f aca="false">IF(AA828&lt;&gt;"",AA828,0)</f>
        <v>3.8</v>
      </c>
      <c r="AL828" s="153" t="n">
        <f aca="false">IF(AND($N828="MND",$Q828="EMBOQUE"),$M828,IF(AND($N828="VCA",$Q828="LINEAR"),$M828,IF(AND($N828="VCA",$Q828="PREDIAL"),0,0)))</f>
        <v>57.93</v>
      </c>
      <c r="AM828" s="153" t="n">
        <f aca="false">IF(AND($N828="MND",$Q828="EMBOQUE"),$M828,IF(AND($N828="VCA",$Q828="LINEAR"),$M828,IF(AND($N828="VCA",$Q828="PREDIAL"),0,0)))</f>
        <v>57.93</v>
      </c>
      <c r="AN828" s="153" t="n">
        <f aca="false">ROUND(IF(AND($N828="VCA",$M828&lt;&gt;"",$Q828="LINEAR"),$M828/100,IF(AND($N828="MND",$M828&gt;100,$Q828="EMBOQUE"),$M828/100,0)),0)</f>
        <v>1</v>
      </c>
      <c r="AO828" s="153" t="n">
        <f aca="false">IF(AND($N828="MND",$Q828="EMBOQUE"),$AN828*2*2,IF(AND($N828="VCA",$Q828="LINEAR"),$M828*2,IF(AND($N828="VCA",$Q828="PREDIAL"),0,0)))</f>
        <v>115.86</v>
      </c>
      <c r="AP828" s="153" t="n">
        <f aca="false">IFERROR($M828*$AF828*$AG828,0)</f>
        <v>51.3230835</v>
      </c>
      <c r="AQ828" s="153" t="n">
        <f aca="false">IFERROR(IF(AND($N828="VCA",$AH828&gt;0),$M828*$AG828*$AH828,0),0)</f>
        <v>3.76545</v>
      </c>
      <c r="AR828" s="153" t="n">
        <f aca="false">IFERROR(IF(AND($N828="VCA",$AJ828&gt;0),($M828*$AG828*$AJ828)-$AI828,0),0)</f>
        <v>13.4880014791613</v>
      </c>
      <c r="AS828" s="153" t="n">
        <f aca="false">IFERROR(IF(AND($N828="VCA",$AP828&gt;0),$AP828-$AI828-$AQ828-$AR828,0),0)</f>
        <v>33.88905</v>
      </c>
      <c r="AT828" s="153" t="n">
        <f aca="false">IFERROR(IF($N828="VCA",INDEX(APOIO_REDES!$A:$W,MATCH($C828&amp;$I828&amp;$H828&amp;$N828&amp;$O828,APOIO_REDES!$W:$W,0),MATCH(AT$5,APOIO_REDES!$5:$5,0)),0)*$AP828,0)</f>
        <v>0.5584103393373</v>
      </c>
      <c r="AU828" s="153" t="n">
        <f aca="false">IFERROR(IF($N828="VCA",INDEX(APOIO_REDES!$A:$W,MATCH($C828&amp;$I828&amp;$H828&amp;$N828&amp;$O828,APOIO_REDES!$W:$W,0),MATCH(AU$5,APOIO_REDES!$5:$5,0)),0)*$AP828,0)</f>
        <v>0.445931373324788</v>
      </c>
      <c r="AV828" s="153" t="n">
        <f aca="false">IFERROR(IF($N828="VCA",INDEX(APOIO_REDES!$A:$W,MATCH($C828&amp;$I828&amp;$H828&amp;$N828&amp;$O828,APOIO_REDES!$W:$W,0),MATCH(AV$5,APOIO_REDES!$5:$5,0)),0)*$AP828,0)</f>
        <v>0.0617134013696143</v>
      </c>
      <c r="AW828" s="153" t="n">
        <f aca="false">IFERROR(IF($N828="VCA",INDEX(APOIO_REDES!$A:$W,MATCH($C828&amp;$I828&amp;$H828&amp;$N828&amp;$O828,APOIO_REDES!$W:$W,0),MATCH(AW$5,APOIO_REDES!$5:$5,0)),0)*$AP828,0)</f>
        <v>35.2285621850563</v>
      </c>
      <c r="AX828" s="153" t="n">
        <f aca="false">IFERROR(IF($N828="VCA",INDEX(APOIO_REDES!$A:$W,MATCH($C828&amp;$I828&amp;$H828&amp;$N828&amp;$O828,APOIO_REDES!$W:$W,0),MATCH(AX$5,APOIO_REDES!$5:$5,0)),0)*$AP828,0)</f>
        <v>4.87553265595289</v>
      </c>
      <c r="AY828" s="153" t="n">
        <f aca="false">IFERROR(IF($N828="VCA",INDEX(APOIO_REDES!$A:$W,MATCH($C828&amp;$I828&amp;$H828&amp;$N828&amp;$O828,APOIO_REDES!$W:$W,0),MATCH(AY$5,APOIO_REDES!$5:$5,0)),0)*$AP828,0)</f>
        <v>8.91862203062846</v>
      </c>
      <c r="AZ828" s="153" t="n">
        <f aca="false">IFERROR(IF($N828="VCA",INDEX(APOIO_REDES!$A:$W,MATCH($C828&amp;$I828&amp;$H828&amp;$N828&amp;$O828,APOIO_REDES!$W:$W,0),MATCH(AZ$5,APOIO_REDES!$5:$5,0)),0)*$AP828,0)</f>
        <v>1.23431151433063</v>
      </c>
      <c r="BA828" s="153" t="n">
        <f aca="false">IFERROR(IF(AND($N828="VCA",$Q828="LINEAR"),INDEX(APOIO_REDES!$A:$W,MATCH($C828&amp;$I828&amp;$H828&amp;$N828&amp;$O828,APOIO_REDES!$W:$W,0),MATCH(BA$5,APOIO_REDES!$5:$5,0)),IF(AND($N828="MND",$Q828="EMBOQUE"),INDEX(APOIO_REDES!$A:$W,MATCH($C828&amp;$I828&amp;$H828&amp;$N828&amp;$O828,APOIO_REDES!$W:$W,0),MATCH(BA$5,APOIO_REDES!$5:$5,0)),0))*$M828/10,0)</f>
        <v>4.66901187619667</v>
      </c>
      <c r="BB828" s="153" t="n">
        <f aca="false">IFERROR(IF($N828="VCA",INDEX(APOIO_REDES!$A:$W,MATCH($C828&amp;$I828&amp;$H828&amp;$N828&amp;$O828,APOIO_REDES!$W:$W,0),MATCH(BB$5,APOIO_REDES!$5:$5,0)),0)*($AI828+$AQ828+$AR828),0)</f>
        <v>17.2443460553095</v>
      </c>
      <c r="BC828" s="153" t="n">
        <f aca="false">IFERROR(IF($N828="VCA",INDEX(APOIO_REDES!$A:$W,MATCH($C828&amp;$I828&amp;$H828&amp;$N828&amp;$O828,APOIO_REDES!$W:$W,0),MATCH(BC$5,APOIO_REDES!$5:$5,0)),0)*($AI828+$AQ828+$AR828),0)</f>
        <v>0.189687444690514</v>
      </c>
      <c r="BD828" s="153" t="n">
        <f aca="false">IF(AND($N828="VCA",$AF828&gt;=1.25,$AF828&lt;1.5),$M828*$AF828*2,0)</f>
        <v>157.91718</v>
      </c>
      <c r="BE828" s="153" t="n">
        <f aca="false">IF(AND($N828="VCA",$AF828&gt;=1.5,$AF828&lt;3),$M828*$AF828*2,0)</f>
        <v>0</v>
      </c>
      <c r="BF828" s="153" t="n">
        <f aca="false">IF(AND($N828="VCA",$AF828&gt;=3),$M828*$AF828*2,0)</f>
        <v>0</v>
      </c>
      <c r="BG828" s="153" t="n">
        <f aca="false">($BB828+$BC828)*$AK828</f>
        <v>66.2493273</v>
      </c>
      <c r="BH828" s="153" t="n">
        <f aca="false">IF(AND($M828&lt;&gt;"",$N828="VCA",$Q828="LINEAR"),($M828*2)/100,IF(AND($M828&lt;&gt;"",$N828="MND",$Q828="EMBOQUE"),($AN828*2)/100,0))</f>
        <v>1.1586</v>
      </c>
      <c r="BI828" s="153" t="n">
        <f aca="false">IF(AND($M828&lt;&gt;"",$N828="VCA",$Q828="LINEAR"),$M828,IF(AND($M828&lt;&gt;"",$N828="MND",$Q828="EMBOQUE"),$AN828*2,0))</f>
        <v>57.93</v>
      </c>
      <c r="BJ828" s="153" t="n">
        <f aca="false">IF(AND($M828&lt;&gt;"",$N828="VCA",$Q828="LINEAR"),($M828*6.8)/100,IF(AND($M828&lt;&gt;"",$N828="MND",$Q828="EMBOQUE"),($AN828*2*6.8)/100,0))</f>
        <v>3.93924</v>
      </c>
      <c r="BK828" s="153" t="n">
        <f aca="false">IF(AND($M828&lt;&gt;"",$N828="VCA",$Q828="LINEAR"),($M828*2.5)/50,IF(AND($M828&lt;&gt;"",$N828="MND",$Q828="EMBOQUE"),($AN828*2*2.5)/50,0))</f>
        <v>2.8965</v>
      </c>
      <c r="BL828" s="157" t="str">
        <f aca="false">K828&amp;J828</f>
        <v>Zona07REDES</v>
      </c>
      <c r="BM828" s="152" t="s">
        <v>4225</v>
      </c>
      <c r="BN828" s="152" t="s">
        <v>1560</v>
      </c>
      <c r="BO828" s="152" t="s">
        <v>4218</v>
      </c>
      <c r="BP828" s="152" t="s">
        <v>4688</v>
      </c>
      <c r="BQ828" s="152" t="s">
        <v>4668</v>
      </c>
      <c r="BR828" s="152" t="s">
        <v>4689</v>
      </c>
      <c r="BS828" s="152" t="n">
        <v>203918.74</v>
      </c>
      <c r="BT828" s="152" t="n">
        <v>8236330.289</v>
      </c>
      <c r="BU828" s="152" t="n">
        <v>203902.96</v>
      </c>
      <c r="BV828" s="152" t="n">
        <v>8236382.575</v>
      </c>
      <c r="BW828" s="152" t="n">
        <v>-15.9344037</v>
      </c>
      <c r="BX828" s="152" t="n">
        <v>-47.7655924</v>
      </c>
      <c r="BY828" s="152" t="s">
        <v>4688</v>
      </c>
    </row>
    <row r="829" customFormat="false" ht="13.8" hidden="false" customHeight="false" outlineLevel="0" collapsed="false">
      <c r="A829" s="149" t="n">
        <f aca="false">IF(C829&lt;&gt;"",ROW(A824),"")</f>
        <v>824</v>
      </c>
      <c r="B829" s="150" t="str">
        <f aca="false">HYPERLINK("https://www.google.com/maps/dir/-15.917302,-47.760003/-15.9340800,-47.7668675/data=!4m3!4m2!3e0!5i2")</f>
        <v>https://www.google.com/maps/dir/-15.917302,-47.760003/-15.9340800,-47.7668675/data=!4m3!4m2!3e0!5i2</v>
      </c>
      <c r="C829" s="151" t="s">
        <v>117</v>
      </c>
      <c r="D829" s="152" t="s">
        <v>112</v>
      </c>
      <c r="E829" s="152" t="s">
        <v>113</v>
      </c>
      <c r="F829" s="152" t="s">
        <v>117</v>
      </c>
      <c r="G829" s="152" t="s">
        <v>114</v>
      </c>
      <c r="H829" s="152" t="n">
        <v>160</v>
      </c>
      <c r="I829" s="152" t="s">
        <v>115</v>
      </c>
      <c r="J829" s="152" t="s">
        <v>6</v>
      </c>
      <c r="K829" s="152" t="s">
        <v>4221</v>
      </c>
      <c r="L829" s="152" t="s">
        <v>120</v>
      </c>
      <c r="M829" s="153" t="n">
        <f aca="false">101.12+0.25</f>
        <v>101.37</v>
      </c>
      <c r="N829" s="152" t="s">
        <v>1548</v>
      </c>
      <c r="O829" s="152" t="s">
        <v>1549</v>
      </c>
      <c r="P829" s="152" t="s">
        <v>1550</v>
      </c>
      <c r="Q829" s="152" t="s">
        <v>1551</v>
      </c>
      <c r="R829" s="154" t="s">
        <v>4690</v>
      </c>
      <c r="S829" s="154" t="s">
        <v>1593</v>
      </c>
      <c r="T829" s="155" t="s">
        <v>4216</v>
      </c>
      <c r="U829" s="152" t="str">
        <f aca="false">RIGHT(T829,7)</f>
        <v>019/037</v>
      </c>
      <c r="V829" s="152" t="s">
        <v>1555</v>
      </c>
      <c r="W829" s="156" t="n">
        <v>45882</v>
      </c>
      <c r="X829" s="152" t="s">
        <v>1594</v>
      </c>
      <c r="Y829" s="152"/>
      <c r="Z829" s="152" t="s">
        <v>1557</v>
      </c>
      <c r="AA829" s="153" t="n">
        <v>5.9</v>
      </c>
      <c r="AB829" s="151" t="s">
        <v>4691</v>
      </c>
      <c r="AC829" s="151" t="s">
        <v>505</v>
      </c>
      <c r="AD829" s="151" t="str">
        <f aca="false">CONCATENATE($C829,$I829,$H829,$N829,$J829,$K829)</f>
        <v>TUBO PEADPEAD160VCAREDESZona07</v>
      </c>
      <c r="AE829" s="153" t="n">
        <f aca="false">IFERROR(INDEX(APOIO_REDES!$A:$W,MATCH($C829&amp;$I829&amp;$H829&amp;$N829&amp;$O829,APOIO_REDES!$W:$W,0),MATCH(AE$5,APOIO_REDES!$5:$5,0)),0)</f>
        <v>1.2</v>
      </c>
      <c r="AF829" s="153" t="n">
        <f aca="false">IFERROR(INDEX(APOIO_REDES!$A:$W,MATCH($C829&amp;$I829&amp;$H829&amp;$N829&amp;$O829,APOIO_REDES!$W:$W,0),MATCH(AF$5,APOIO_REDES!$5:$5,0)),0)</f>
        <v>1.46</v>
      </c>
      <c r="AG829" s="153" t="n">
        <f aca="false">IFERROR(INDEX(APOIO_REDES!$A:$W,MATCH($C829&amp;$I829&amp;$H829&amp;$N829&amp;$O829,APOIO_REDES!$W:$W,0),MATCH(AG$5,APOIO_REDES!$5:$5,0)),0)</f>
        <v>0.75</v>
      </c>
      <c r="AH829" s="153" t="n">
        <f aca="false">IFERROR(INDEX(APOIO_REDES!$A:$W,MATCH($C829&amp;$I829&amp;$H829&amp;$N829&amp;$O829,APOIO_REDES!$W:$W,0),MATCH(AH$5,APOIO_REDES!$5:$5,0)),0)</f>
        <v>0.1</v>
      </c>
      <c r="AI829" s="153" t="n">
        <f aca="false">IFERROR(IF($H829&lt;&gt;"",(((($H829/1000)/2)^2)*PI()*$M829),0),0)</f>
        <v>2.03816478268414</v>
      </c>
      <c r="AJ829" s="153" t="n">
        <f aca="false">IFERROR(IF(AND($H829&lt;&gt;"",$I829="FoFo",OR($N829="MND",$N829="VCA"),$Q829="LINEAR"),0,IF(AND($H829&lt;&gt;"",$I829="PEAD",$N829="VCA",$Q829="LINEAR"),($H829/1000)+0.3,IF(AND($H829&lt;&gt;"",$I829="PEAD",$N829="MND",$Q829="EMBOQUE"),0,IF(AND($H829&lt;&gt;"",$I829="PVC",$N829="VCA",$Q829="LINEAR"),($H829/1000)+0.2,IF(AND($H829&lt;&gt;"",$I829="PVC",$N829="MND",$Q829="EMBOQUE"),0,IF(AND($H829&lt;&gt;"",$I829="PEAD",$N829="VCA",$Q829="PREDIAL"),0,0)))))),0)</f>
        <v>0.46</v>
      </c>
      <c r="AK829" s="153" t="n">
        <f aca="false">IF(AA829&lt;&gt;"",AA829,0)</f>
        <v>5.9</v>
      </c>
      <c r="AL829" s="153" t="n">
        <f aca="false">IF(AND($N829="MND",$Q829="EMBOQUE"),$M829,IF(AND($N829="VCA",$Q829="LINEAR"),$M829,IF(AND($N829="VCA",$Q829="PREDIAL"),0,0)))</f>
        <v>101.37</v>
      </c>
      <c r="AM829" s="153" t="n">
        <f aca="false">IF(AND($N829="MND",$Q829="EMBOQUE"),$M829,IF(AND($N829="VCA",$Q829="LINEAR"),$M829,IF(AND($N829="VCA",$Q829="PREDIAL"),0,0)))</f>
        <v>101.37</v>
      </c>
      <c r="AN829" s="153" t="n">
        <f aca="false">ROUND(IF(AND($N829="VCA",$M829&lt;&gt;"",$Q829="LINEAR"),$M829/100,IF(AND($N829="MND",$M829&gt;100,$Q829="EMBOQUE"),$M829/100,0)),0)</f>
        <v>1</v>
      </c>
      <c r="AO829" s="153" t="n">
        <f aca="false">IF(AND($N829="MND",$Q829="EMBOQUE"),$AN829*2*2,IF(AND($N829="VCA",$Q829="LINEAR"),$M829*2,IF(AND($N829="VCA",$Q829="PREDIAL"),0,0)))</f>
        <v>202.74</v>
      </c>
      <c r="AP829" s="153" t="n">
        <f aca="false">IFERROR($M829*$AF829*$AG829,0)</f>
        <v>111.00015</v>
      </c>
      <c r="AQ829" s="153" t="n">
        <f aca="false">IFERROR(IF(AND($N829="VCA",$AH829&gt;0),$M829*$AG829*$AH829,0),0)</f>
        <v>7.60275</v>
      </c>
      <c r="AR829" s="153" t="n">
        <f aca="false">IFERROR(IF(AND($N829="VCA",$AJ829&gt;0),($M829*$AG829*$AJ829)-$AI829,0),0)</f>
        <v>32.9344852173159</v>
      </c>
      <c r="AS829" s="153" t="n">
        <f aca="false">IFERROR(IF(AND($N829="VCA",$AP829&gt;0),$AP829-$AI829-$AQ829-$AR829,0),0)</f>
        <v>68.42475</v>
      </c>
      <c r="AT829" s="153" t="n">
        <f aca="false">IFERROR(IF($N829="VCA",INDEX(APOIO_REDES!$A:$W,MATCH($C829&amp;$I829&amp;$H829&amp;$N829&amp;$O829,APOIO_REDES!$W:$W,0),MATCH(AT$5,APOIO_REDES!$5:$5,0)),0)*$AP829,0)</f>
        <v>1.20771448636735</v>
      </c>
      <c r="AU829" s="153" t="n">
        <f aca="false">IFERROR(IF($N829="VCA",INDEX(APOIO_REDES!$A:$W,MATCH($C829&amp;$I829&amp;$H829&amp;$N829&amp;$O829,APOIO_REDES!$W:$W,0),MATCH(AU$5,APOIO_REDES!$5:$5,0)),0)*$AP829,0)</f>
        <v>0.964448079756498</v>
      </c>
      <c r="AV829" s="153" t="n">
        <f aca="false">IFERROR(IF($N829="VCA",INDEX(APOIO_REDES!$A:$W,MATCH($C829&amp;$I829&amp;$H829&amp;$N829&amp;$O829,APOIO_REDES!$W:$W,0),MATCH(AV$5,APOIO_REDES!$5:$5,0)),0)*$AP829,0)</f>
        <v>0.133472043024021</v>
      </c>
      <c r="AW829" s="153" t="n">
        <f aca="false">IFERROR(IF($N829="VCA",INDEX(APOIO_REDES!$A:$W,MATCH($C829&amp;$I829&amp;$H829&amp;$N829&amp;$O829,APOIO_REDES!$W:$W,0),MATCH(AW$5,APOIO_REDES!$5:$5,0)),0)*$AP829,0)</f>
        <v>76.1913630311316</v>
      </c>
      <c r="AX829" s="153" t="n">
        <f aca="false">IFERROR(IF($N829="VCA",INDEX(APOIO_REDES!$A:$W,MATCH($C829&amp;$I829&amp;$H829&amp;$N829&amp;$O829,APOIO_REDES!$W:$W,0),MATCH(AX$5,APOIO_REDES!$5:$5,0)),0)*$AP829,0)</f>
        <v>10.5446676083028</v>
      </c>
      <c r="AY829" s="153" t="n">
        <f aca="false">IFERROR(IF($N829="VCA",INDEX(APOIO_REDES!$A:$W,MATCH($C829&amp;$I829&amp;$H829&amp;$N829&amp;$O829,APOIO_REDES!$W:$W,0),MATCH(AY$5,APOIO_REDES!$5:$5,0)),0)*$AP829,0)</f>
        <v>19.2889498385861</v>
      </c>
      <c r="AZ829" s="153" t="n">
        <f aca="false">IFERROR(IF($N829="VCA",INDEX(APOIO_REDES!$A:$W,MATCH($C829&amp;$I829&amp;$H829&amp;$N829&amp;$O829,APOIO_REDES!$W:$W,0),MATCH(AZ$5,APOIO_REDES!$5:$5,0)),0)*$AP829,0)</f>
        <v>2.6695349128317</v>
      </c>
      <c r="BA829" s="153" t="n">
        <f aca="false">IFERROR(IF(AND($N829="VCA",$Q829="LINEAR"),INDEX(APOIO_REDES!$A:$W,MATCH($C829&amp;$I829&amp;$H829&amp;$N829&amp;$O829,APOIO_REDES!$W:$W,0),MATCH(BA$5,APOIO_REDES!$5:$5,0)),IF(AND($N829="MND",$Q829="EMBOQUE"),INDEX(APOIO_REDES!$A:$W,MATCH($C829&amp;$I829&amp;$H829&amp;$N829&amp;$O829,APOIO_REDES!$W:$W,0),MATCH(BA$5,APOIO_REDES!$5:$5,0)),0))*$M829/10,0)</f>
        <v>8.17016630226233</v>
      </c>
      <c r="BB829" s="153" t="n">
        <f aca="false">IFERROR(IF($N829="VCA",INDEX(APOIO_REDES!$A:$W,MATCH($C829&amp;$I829&amp;$H829&amp;$N829&amp;$O829,APOIO_REDES!$W:$W,0),MATCH(BB$5,APOIO_REDES!$5:$5,0)),0)*($AI829+$AQ829+$AR829),0)</f>
        <v>42.1121670463249</v>
      </c>
      <c r="BC829" s="153" t="n">
        <f aca="false">IFERROR(IF($N829="VCA",INDEX(APOIO_REDES!$A:$W,MATCH($C829&amp;$I829&amp;$H829&amp;$N829&amp;$O829,APOIO_REDES!$W:$W,0),MATCH(BC$5,APOIO_REDES!$5:$5,0)),0)*($AI829+$AQ829+$AR829),0)</f>
        <v>0.463232953675149</v>
      </c>
      <c r="BD829" s="153" t="n">
        <f aca="false">IF(AND($N829="VCA",$AF829&gt;=1.25,$AF829&lt;1.5),$M829*$AF829*2,0)</f>
        <v>296.0004</v>
      </c>
      <c r="BE829" s="153" t="n">
        <f aca="false">IF(AND($N829="VCA",$AF829&gt;=1.5,$AF829&lt;3),$M829*$AF829*2,0)</f>
        <v>0</v>
      </c>
      <c r="BF829" s="153" t="n">
        <f aca="false">IF(AND($N829="VCA",$AF829&gt;=3),$M829*$AF829*2,0)</f>
        <v>0</v>
      </c>
      <c r="BG829" s="153" t="n">
        <f aca="false">($BB829+$BC829)*$AK829</f>
        <v>251.19486</v>
      </c>
      <c r="BH829" s="153" t="n">
        <f aca="false">IF(AND($M829&lt;&gt;"",$N829="VCA",$Q829="LINEAR"),($M829*2)/100,IF(AND($M829&lt;&gt;"",$N829="MND",$Q829="EMBOQUE"),($AN829*2)/100,0))</f>
        <v>2.0274</v>
      </c>
      <c r="BI829" s="153" t="n">
        <f aca="false">IF(AND($M829&lt;&gt;"",$N829="VCA",$Q829="LINEAR"),$M829,IF(AND($M829&lt;&gt;"",$N829="MND",$Q829="EMBOQUE"),$AN829*2,0))</f>
        <v>101.37</v>
      </c>
      <c r="BJ829" s="153" t="n">
        <f aca="false">IF(AND($M829&lt;&gt;"",$N829="VCA",$Q829="LINEAR"),($M829*6.8)/100,IF(AND($M829&lt;&gt;"",$N829="MND",$Q829="EMBOQUE"),($AN829*2*6.8)/100,0))</f>
        <v>6.89316</v>
      </c>
      <c r="BK829" s="153" t="n">
        <f aca="false">IF(AND($M829&lt;&gt;"",$N829="VCA",$Q829="LINEAR"),($M829*2.5)/50,IF(AND($M829&lt;&gt;"",$N829="MND",$Q829="EMBOQUE"),($AN829*2*2.5)/50,0))</f>
        <v>5.0685</v>
      </c>
      <c r="BL829" s="157" t="str">
        <f aca="false">K829&amp;J829</f>
        <v>Zona07REDES</v>
      </c>
      <c r="BM829" s="152" t="s">
        <v>4225</v>
      </c>
      <c r="BN829" s="152" t="s">
        <v>1560</v>
      </c>
      <c r="BO829" s="152" t="s">
        <v>4218</v>
      </c>
      <c r="BP829" s="152" t="s">
        <v>4520</v>
      </c>
      <c r="BQ829" s="152" t="s">
        <v>4692</v>
      </c>
      <c r="BR829" s="152" t="s">
        <v>4693</v>
      </c>
      <c r="BS829" s="152" t="n">
        <v>203772.866</v>
      </c>
      <c r="BT829" s="152" t="n">
        <v>8236391.22</v>
      </c>
      <c r="BU829" s="152" t="n">
        <v>203841.878</v>
      </c>
      <c r="BV829" s="152" t="n">
        <v>8236321.937</v>
      </c>
      <c r="BW829" s="152" t="n">
        <v>-15.9344301</v>
      </c>
      <c r="BX829" s="152" t="n">
        <v>-47.7665653</v>
      </c>
      <c r="BY829" s="152" t="s">
        <v>4520</v>
      </c>
    </row>
    <row r="830" customFormat="false" ht="13.8" hidden="false" customHeight="false" outlineLevel="0" collapsed="false">
      <c r="A830" s="149" t="n">
        <f aca="false">IF(C830&lt;&gt;"",ROW(A825),"")</f>
        <v>825</v>
      </c>
      <c r="B830" s="150" t="str">
        <f aca="false">HYPERLINK("https://www.google.com/maps/dir/-15.917302,-47.760003/-15.9343287,-47.7651906/data=!4m3!4m2!3e0!5i1")</f>
        <v>https://www.google.com/maps/dir/-15.917302,-47.760003/-15.9343287,-47.7651906/data=!4m3!4m2!3e0!5i1</v>
      </c>
      <c r="C830" s="151" t="s">
        <v>117</v>
      </c>
      <c r="D830" s="152" t="s">
        <v>112</v>
      </c>
      <c r="E830" s="152" t="s">
        <v>113</v>
      </c>
      <c r="F830" s="152" t="s">
        <v>117</v>
      </c>
      <c r="G830" s="152" t="s">
        <v>782</v>
      </c>
      <c r="H830" s="152" t="n">
        <v>63</v>
      </c>
      <c r="I830" s="152" t="s">
        <v>115</v>
      </c>
      <c r="J830" s="152" t="s">
        <v>6</v>
      </c>
      <c r="K830" s="152" t="s">
        <v>4221</v>
      </c>
      <c r="L830" s="152" t="s">
        <v>120</v>
      </c>
      <c r="M830" s="153" t="n">
        <f aca="false">48.69</f>
        <v>48.69</v>
      </c>
      <c r="N830" s="152" t="s">
        <v>1548</v>
      </c>
      <c r="O830" s="152" t="s">
        <v>1549</v>
      </c>
      <c r="P830" s="152" t="s">
        <v>1550</v>
      </c>
      <c r="Q830" s="152" t="s">
        <v>1551</v>
      </c>
      <c r="R830" s="154" t="s">
        <v>4694</v>
      </c>
      <c r="S830" s="154" t="s">
        <v>1553</v>
      </c>
      <c r="T830" s="155" t="s">
        <v>4216</v>
      </c>
      <c r="U830" s="152" t="str">
        <f aca="false">RIGHT(T830,7)</f>
        <v>019/037</v>
      </c>
      <c r="V830" s="152" t="s">
        <v>1555</v>
      </c>
      <c r="W830" s="156" t="n">
        <v>45882</v>
      </c>
      <c r="X830" s="152" t="s">
        <v>1594</v>
      </c>
      <c r="Y830" s="152" t="s">
        <v>1952</v>
      </c>
      <c r="Z830" s="152" t="s">
        <v>1557</v>
      </c>
      <c r="AA830" s="153" t="n">
        <v>3.7</v>
      </c>
      <c r="AB830" s="151" t="s">
        <v>4695</v>
      </c>
      <c r="AC830" s="151" t="s">
        <v>186</v>
      </c>
      <c r="AD830" s="151" t="str">
        <f aca="false">CONCATENATE($C830,$I830,$H830,$N830,$J830,$K830)</f>
        <v>TUBO PEADPEAD63VCAREDESZona07</v>
      </c>
      <c r="AE830" s="153" t="n">
        <f aca="false">IFERROR(INDEX(APOIO_REDES!$A:$W,MATCH($C830&amp;$I830&amp;$H830&amp;$N830&amp;$O830,APOIO_REDES!$W:$W,0),MATCH(AE$5,APOIO_REDES!$5:$5,0)),0)</f>
        <v>1.2</v>
      </c>
      <c r="AF830" s="153" t="n">
        <f aca="false">IFERROR(INDEX(APOIO_REDES!$A:$W,MATCH($C830&amp;$I830&amp;$H830&amp;$N830&amp;$O830,APOIO_REDES!$W:$W,0),MATCH(AF$5,APOIO_REDES!$5:$5,0)),0)</f>
        <v>1.363</v>
      </c>
      <c r="AG830" s="153" t="n">
        <f aca="false">IFERROR(INDEX(APOIO_REDES!$A:$W,MATCH($C830&amp;$I830&amp;$H830&amp;$N830&amp;$O830,APOIO_REDES!$W:$W,0),MATCH(AG$5,APOIO_REDES!$5:$5,0)),0)</f>
        <v>0.65</v>
      </c>
      <c r="AH830" s="153" t="n">
        <f aca="false">IFERROR(INDEX(APOIO_REDES!$A:$W,MATCH($C830&amp;$I830&amp;$H830&amp;$N830&amp;$O830,APOIO_REDES!$W:$W,0),MATCH(AH$5,APOIO_REDES!$5:$5,0)),0)</f>
        <v>0.1</v>
      </c>
      <c r="AI830" s="153" t="n">
        <f aca="false">IFERROR(IF($H830&lt;&gt;"",(((($H830/1000)/2)^2)*PI()*$M830),0),0)</f>
        <v>0.151778674169437</v>
      </c>
      <c r="AJ830" s="153" t="n">
        <f aca="false">IFERROR(IF(AND($H830&lt;&gt;"",$I830="FoFo",OR($N830="MND",$N830="VCA"),$Q830="LINEAR"),0,IF(AND($H830&lt;&gt;"",$I830="PEAD",$N830="VCA",$Q830="LINEAR"),($H830/1000)+0.3,IF(AND($H830&lt;&gt;"",$I830="PEAD",$N830="MND",$Q830="EMBOQUE"),0,IF(AND($H830&lt;&gt;"",$I830="PVC",$N830="VCA",$Q830="LINEAR"),($H830/1000)+0.2,IF(AND($H830&lt;&gt;"",$I830="PVC",$N830="MND",$Q830="EMBOQUE"),0,IF(AND($H830&lt;&gt;"",$I830="PEAD",$N830="VCA",$Q830="PREDIAL"),0,0)))))),0)</f>
        <v>0.363</v>
      </c>
      <c r="AK830" s="153" t="n">
        <f aca="false">IF(AA830&lt;&gt;"",AA830,0)</f>
        <v>3.7</v>
      </c>
      <c r="AL830" s="153" t="n">
        <f aca="false">IF(AND($N830="MND",$Q830="EMBOQUE"),$M830,IF(AND($N830="VCA",$Q830="LINEAR"),$M830,IF(AND($N830="VCA",$Q830="PREDIAL"),0,0)))</f>
        <v>48.69</v>
      </c>
      <c r="AM830" s="153" t="n">
        <f aca="false">IF(AND($N830="MND",$Q830="EMBOQUE"),$M830,IF(AND($N830="VCA",$Q830="LINEAR"),$M830,IF(AND($N830="VCA",$Q830="PREDIAL"),0,0)))</f>
        <v>48.69</v>
      </c>
      <c r="AN830" s="153" t="n">
        <f aca="false">ROUND(IF(AND($N830="VCA",$M830&lt;&gt;"",$Q830="LINEAR"),$M830/100,IF(AND($N830="MND",$M830&gt;100,$Q830="EMBOQUE"),$M830/100,0)),0)</f>
        <v>0</v>
      </c>
      <c r="AO830" s="153" t="n">
        <f aca="false">IF(AND($N830="MND",$Q830="EMBOQUE"),$AN830*2*2,IF(AND($N830="VCA",$Q830="LINEAR"),$M830*2,IF(AND($N830="VCA",$Q830="PREDIAL"),0,0)))</f>
        <v>97.38</v>
      </c>
      <c r="AP830" s="153" t="n">
        <f aca="false">IFERROR($M830*$AF830*$AG830,0)</f>
        <v>43.1369055</v>
      </c>
      <c r="AQ830" s="153" t="n">
        <f aca="false">IFERROR(IF(AND($N830="VCA",$AH830&gt;0),$M830*$AG830*$AH830,0),0)</f>
        <v>3.16485</v>
      </c>
      <c r="AR830" s="153" t="n">
        <f aca="false">IFERROR(IF(AND($N830="VCA",$AJ830&gt;0),($M830*$AG830*$AJ830)-$AI830,0),0)</f>
        <v>11.3366268258306</v>
      </c>
      <c r="AS830" s="153" t="n">
        <f aca="false">IFERROR(IF(AND($N830="VCA",$AP830&gt;0),$AP830-$AI830-$AQ830-$AR830,0),0)</f>
        <v>28.48365</v>
      </c>
      <c r="AT830" s="153" t="n">
        <f aca="false">IFERROR(IF($N830="VCA",INDEX(APOIO_REDES!$A:$W,MATCH($C830&amp;$I830&amp;$H830&amp;$N830&amp;$O830,APOIO_REDES!$W:$W,0),MATCH(AT$5,APOIO_REDES!$5:$5,0)),0)*$AP830,0)</f>
        <v>0.469342299712293</v>
      </c>
      <c r="AU830" s="153" t="n">
        <f aca="false">IFERROR(IF($N830="VCA",INDEX(APOIO_REDES!$A:$W,MATCH($C830&amp;$I830&amp;$H830&amp;$N830&amp;$O830,APOIO_REDES!$W:$W,0),MATCH(AU$5,APOIO_REDES!$5:$5,0)),0)*$AP830,0)</f>
        <v>0.374804049148695</v>
      </c>
      <c r="AV830" s="153" t="n">
        <f aca="false">IFERROR(IF($N830="VCA",INDEX(APOIO_REDES!$A:$W,MATCH($C830&amp;$I830&amp;$H830&amp;$N830&amp;$O830,APOIO_REDES!$W:$W,0),MATCH(AV$5,APOIO_REDES!$5:$5,0)),0)*$AP830,0)</f>
        <v>0.0518699380750306</v>
      </c>
      <c r="AW830" s="153" t="n">
        <f aca="false">IFERROR(IF($N830="VCA",INDEX(APOIO_REDES!$A:$W,MATCH($C830&amp;$I830&amp;$H830&amp;$N830&amp;$O830,APOIO_REDES!$W:$W,0),MATCH(AW$5,APOIO_REDES!$5:$5,0)),0)*$AP830,0)</f>
        <v>29.609506176254</v>
      </c>
      <c r="AX830" s="153" t="n">
        <f aca="false">IFERROR(IF($N830="VCA",INDEX(APOIO_REDES!$A:$W,MATCH($C830&amp;$I830&amp;$H830&amp;$N830&amp;$O830,APOIO_REDES!$W:$W,0),MATCH(AX$5,APOIO_REDES!$5:$5,0)),0)*$AP830,0)</f>
        <v>4.09787131051866</v>
      </c>
      <c r="AY830" s="153" t="n">
        <f aca="false">IFERROR(IF($N830="VCA",INDEX(APOIO_REDES!$A:$W,MATCH($C830&amp;$I830&amp;$H830&amp;$N830&amp;$O830,APOIO_REDES!$W:$W,0),MATCH(AY$5,APOIO_REDES!$5:$5,0)),0)*$AP830,0)</f>
        <v>7.49607641414292</v>
      </c>
      <c r="AZ830" s="153" t="n">
        <f aca="false">IFERROR(IF($N830="VCA",INDEX(APOIO_REDES!$A:$W,MATCH($C830&amp;$I830&amp;$H830&amp;$N830&amp;$O830,APOIO_REDES!$W:$W,0),MATCH(AZ$5,APOIO_REDES!$5:$5,0)),0)*$AP830,0)</f>
        <v>1.03743531214842</v>
      </c>
      <c r="BA830" s="153" t="n">
        <f aca="false">IFERROR(IF(AND($N830="VCA",$Q830="LINEAR"),INDEX(APOIO_REDES!$A:$W,MATCH($C830&amp;$I830&amp;$H830&amp;$N830&amp;$O830,APOIO_REDES!$W:$W,0),MATCH(BA$5,APOIO_REDES!$5:$5,0)),IF(AND($N830="MND",$Q830="EMBOQUE"),INDEX(APOIO_REDES!$A:$W,MATCH($C830&amp;$I830&amp;$H830&amp;$N830&amp;$O830,APOIO_REDES!$W:$W,0),MATCH(BA$5,APOIO_REDES!$5:$5,0)),0))*$M830/10,0)</f>
        <v>3.9242911833595</v>
      </c>
      <c r="BB830" s="153" t="n">
        <f aca="false">IFERROR(IF($N830="VCA",INDEX(APOIO_REDES!$A:$W,MATCH($C830&amp;$I830&amp;$H830&amp;$N830&amp;$O830,APOIO_REDES!$W:$W,0),MATCH(BB$5,APOIO_REDES!$5:$5,0)),0)*($AI830+$AQ830+$AR830),0)</f>
        <v>14.4938237430178</v>
      </c>
      <c r="BC830" s="153" t="n">
        <f aca="false">IFERROR(IF($N830="VCA",INDEX(APOIO_REDES!$A:$W,MATCH($C830&amp;$I830&amp;$H830&amp;$N830&amp;$O830,APOIO_REDES!$W:$W,0),MATCH(BC$5,APOIO_REDES!$5:$5,0)),0)*($AI830+$AQ830+$AR830),0)</f>
        <v>0.159431756982239</v>
      </c>
      <c r="BD830" s="153" t="n">
        <f aca="false">IF(AND($N830="VCA",$AF830&gt;=1.25,$AF830&lt;1.5),$M830*$AF830*2,0)</f>
        <v>132.72894</v>
      </c>
      <c r="BE830" s="153" t="n">
        <f aca="false">IF(AND($N830="VCA",$AF830&gt;=1.5,$AF830&lt;3),$M830*$AF830*2,0)</f>
        <v>0</v>
      </c>
      <c r="BF830" s="153" t="n">
        <f aca="false">IF(AND($N830="VCA",$AF830&gt;=3),$M830*$AF830*2,0)</f>
        <v>0</v>
      </c>
      <c r="BG830" s="153" t="n">
        <f aca="false">($BB830+$BC830)*$AK830</f>
        <v>54.21704535</v>
      </c>
      <c r="BH830" s="153" t="n">
        <f aca="false">IF(AND($M830&lt;&gt;"",$N830="VCA",$Q830="LINEAR"),($M830*2)/100,IF(AND($M830&lt;&gt;"",$N830="MND",$Q830="EMBOQUE"),($AN830*2)/100,0))</f>
        <v>0.9738</v>
      </c>
      <c r="BI830" s="153" t="n">
        <f aca="false">IF(AND($M830&lt;&gt;"",$N830="VCA",$Q830="LINEAR"),$M830,IF(AND($M830&lt;&gt;"",$N830="MND",$Q830="EMBOQUE"),$AN830*2,0))</f>
        <v>48.69</v>
      </c>
      <c r="BJ830" s="153" t="n">
        <f aca="false">IF(AND($M830&lt;&gt;"",$N830="VCA",$Q830="LINEAR"),($M830*6.8)/100,IF(AND($M830&lt;&gt;"",$N830="MND",$Q830="EMBOQUE"),($AN830*2*6.8)/100,0))</f>
        <v>3.31092</v>
      </c>
      <c r="BK830" s="153" t="n">
        <f aca="false">IF(AND($M830&lt;&gt;"",$N830="VCA",$Q830="LINEAR"),($M830*2.5)/50,IF(AND($M830&lt;&gt;"",$N830="MND",$Q830="EMBOQUE"),($AN830*2*2.5)/50,0))</f>
        <v>2.4345</v>
      </c>
      <c r="BL830" s="157" t="str">
        <f aca="false">K830&amp;J830</f>
        <v>Zona07REDES</v>
      </c>
      <c r="BM830" s="152" t="s">
        <v>4225</v>
      </c>
      <c r="BN830" s="152" t="s">
        <v>1560</v>
      </c>
      <c r="BO830" s="152" t="s">
        <v>4218</v>
      </c>
      <c r="BP830" s="152" t="s">
        <v>4664</v>
      </c>
      <c r="BQ830" s="152" t="s">
        <v>4688</v>
      </c>
      <c r="BR830" s="152" t="s">
        <v>4696</v>
      </c>
      <c r="BS830" s="152" t="n">
        <v>203952.768</v>
      </c>
      <c r="BT830" s="152" t="n">
        <v>8236365.094</v>
      </c>
      <c r="BU830" s="152" t="n">
        <v>203918.74</v>
      </c>
      <c r="BV830" s="152" t="n">
        <v>8236330.289</v>
      </c>
      <c r="BW830" s="152" t="n">
        <v>-15.9344993</v>
      </c>
      <c r="BX830" s="152" t="n">
        <v>-47.7653524</v>
      </c>
      <c r="BY830" s="152" t="s">
        <v>4664</v>
      </c>
    </row>
    <row r="831" customFormat="false" ht="13.8" hidden="false" customHeight="false" outlineLevel="0" collapsed="false">
      <c r="A831" s="149" t="n">
        <f aca="false">IF(C831&lt;&gt;"",ROW(A826),"")</f>
        <v>826</v>
      </c>
      <c r="B831" s="150" t="str">
        <f aca="false">HYPERLINK("https://www.google.com/maps/dir/-15.917302,-47.760003/-15.9347187,-47.7662325/data=!4m3!4m2!3e0!5i1")</f>
        <v>https://www.google.com/maps/dir/-15.917302,-47.760003/-15.9347187,-47.7662325/data=!4m3!4m2!3e0!5i1</v>
      </c>
      <c r="C831" s="151" t="s">
        <v>117</v>
      </c>
      <c r="D831" s="152" t="s">
        <v>112</v>
      </c>
      <c r="E831" s="152" t="s">
        <v>113</v>
      </c>
      <c r="F831" s="152" t="s">
        <v>117</v>
      </c>
      <c r="G831" s="152" t="s">
        <v>114</v>
      </c>
      <c r="H831" s="152" t="n">
        <v>160</v>
      </c>
      <c r="I831" s="152" t="s">
        <v>115</v>
      </c>
      <c r="J831" s="152" t="s">
        <v>6</v>
      </c>
      <c r="K831" s="152" t="s">
        <v>4221</v>
      </c>
      <c r="L831" s="152" t="s">
        <v>120</v>
      </c>
      <c r="M831" s="153" t="n">
        <f aca="false">59.95</f>
        <v>59.95</v>
      </c>
      <c r="N831" s="152" t="s">
        <v>1548</v>
      </c>
      <c r="O831" s="152" t="s">
        <v>1549</v>
      </c>
      <c r="P831" s="152" t="s">
        <v>1550</v>
      </c>
      <c r="Q831" s="152" t="s">
        <v>1551</v>
      </c>
      <c r="R831" s="154" t="s">
        <v>4697</v>
      </c>
      <c r="S831" s="154" t="s">
        <v>1593</v>
      </c>
      <c r="T831" s="155" t="s">
        <v>4216</v>
      </c>
      <c r="U831" s="152" t="str">
        <f aca="false">RIGHT(T831,7)</f>
        <v>019/037</v>
      </c>
      <c r="V831" s="152" t="s">
        <v>1555</v>
      </c>
      <c r="W831" s="156" t="n">
        <v>45882</v>
      </c>
      <c r="X831" s="152" t="s">
        <v>1594</v>
      </c>
      <c r="Y831" s="152" t="s">
        <v>3251</v>
      </c>
      <c r="Z831" s="152" t="s">
        <v>1557</v>
      </c>
      <c r="AA831" s="153" t="n">
        <v>3.8</v>
      </c>
      <c r="AB831" s="151" t="s">
        <v>4698</v>
      </c>
      <c r="AC831" s="151" t="s">
        <v>505</v>
      </c>
      <c r="AD831" s="151" t="str">
        <f aca="false">CONCATENATE($C831,$I831,$H831,$N831,$J831,$K831)</f>
        <v>TUBO PEADPEAD160VCAREDESZona07</v>
      </c>
      <c r="AE831" s="153" t="n">
        <f aca="false">IFERROR(INDEX(APOIO_REDES!$A:$W,MATCH($C831&amp;$I831&amp;$H831&amp;$N831&amp;$O831,APOIO_REDES!$W:$W,0),MATCH(AE$5,APOIO_REDES!$5:$5,0)),0)</f>
        <v>1.2</v>
      </c>
      <c r="AF831" s="153" t="n">
        <f aca="false">IFERROR(INDEX(APOIO_REDES!$A:$W,MATCH($C831&amp;$I831&amp;$H831&amp;$N831&amp;$O831,APOIO_REDES!$W:$W,0),MATCH(AF$5,APOIO_REDES!$5:$5,0)),0)</f>
        <v>1.46</v>
      </c>
      <c r="AG831" s="153" t="n">
        <f aca="false">IFERROR(INDEX(APOIO_REDES!$A:$W,MATCH($C831&amp;$I831&amp;$H831&amp;$N831&amp;$O831,APOIO_REDES!$W:$W,0),MATCH(AG$5,APOIO_REDES!$5:$5,0)),0)</f>
        <v>0.75</v>
      </c>
      <c r="AH831" s="153" t="n">
        <f aca="false">IFERROR(INDEX(APOIO_REDES!$A:$W,MATCH($C831&amp;$I831&amp;$H831&amp;$N831&amp;$O831,APOIO_REDES!$W:$W,0),MATCH(AH$5,APOIO_REDES!$5:$5,0)),0)</f>
        <v>0.1</v>
      </c>
      <c r="AI831" s="153" t="n">
        <f aca="false">IFERROR(IF($H831&lt;&gt;"",(((($H831/1000)/2)^2)*PI()*$M831),0),0)</f>
        <v>1.20536626932933</v>
      </c>
      <c r="AJ831" s="153" t="n">
        <f aca="false">IFERROR(IF(AND($H831&lt;&gt;"",$I831="FoFo",OR($N831="MND",$N831="VCA"),$Q831="LINEAR"),0,IF(AND($H831&lt;&gt;"",$I831="PEAD",$N831="VCA",$Q831="LINEAR"),($H831/1000)+0.3,IF(AND($H831&lt;&gt;"",$I831="PEAD",$N831="MND",$Q831="EMBOQUE"),0,IF(AND($H831&lt;&gt;"",$I831="PVC",$N831="VCA",$Q831="LINEAR"),($H831/1000)+0.2,IF(AND($H831&lt;&gt;"",$I831="PVC",$N831="MND",$Q831="EMBOQUE"),0,IF(AND($H831&lt;&gt;"",$I831="PEAD",$N831="VCA",$Q831="PREDIAL"),0,0)))))),0)</f>
        <v>0.46</v>
      </c>
      <c r="AK831" s="153" t="n">
        <f aca="false">IF(AA831&lt;&gt;"",AA831,0)</f>
        <v>3.8</v>
      </c>
      <c r="AL831" s="153" t="n">
        <f aca="false">IF(AND($N831="MND",$Q831="EMBOQUE"),$M831,IF(AND($N831="VCA",$Q831="LINEAR"),$M831,IF(AND($N831="VCA",$Q831="PREDIAL"),0,0)))</f>
        <v>59.95</v>
      </c>
      <c r="AM831" s="153" t="n">
        <f aca="false">IF(AND($N831="MND",$Q831="EMBOQUE"),$M831,IF(AND($N831="VCA",$Q831="LINEAR"),$M831,IF(AND($N831="VCA",$Q831="PREDIAL"),0,0)))</f>
        <v>59.95</v>
      </c>
      <c r="AN831" s="153" t="n">
        <f aca="false">ROUND(IF(AND($N831="VCA",$M831&lt;&gt;"",$Q831="LINEAR"),$M831/100,IF(AND($N831="MND",$M831&gt;100,$Q831="EMBOQUE"),$M831/100,0)),0)</f>
        <v>1</v>
      </c>
      <c r="AO831" s="153" t="n">
        <f aca="false">IF(AND($N831="MND",$Q831="EMBOQUE"),$AN831*2*2,IF(AND($N831="VCA",$Q831="LINEAR"),$M831*2,IF(AND($N831="VCA",$Q831="PREDIAL"),0,0)))</f>
        <v>119.9</v>
      </c>
      <c r="AP831" s="153" t="n">
        <f aca="false">IFERROR($M831*$AF831*$AG831,0)</f>
        <v>65.64525</v>
      </c>
      <c r="AQ831" s="153" t="n">
        <f aca="false">IFERROR(IF(AND($N831="VCA",$AH831&gt;0),$M831*$AG831*$AH831,0),0)</f>
        <v>4.49625</v>
      </c>
      <c r="AR831" s="153" t="n">
        <f aca="false">IFERROR(IF(AND($N831="VCA",$AJ831&gt;0),($M831*$AG831*$AJ831)-$AI831,0),0)</f>
        <v>19.4773837306707</v>
      </c>
      <c r="AS831" s="153" t="n">
        <f aca="false">IFERROR(IF(AND($N831="VCA",$AP831&gt;0),$AP831-$AI831-$AQ831-$AR831,0),0)</f>
        <v>40.46625</v>
      </c>
      <c r="AT831" s="153" t="n">
        <f aca="false">IFERROR(IF($N831="VCA",INDEX(APOIO_REDES!$A:$W,MATCH($C831&amp;$I831&amp;$H831&amp;$N831&amp;$O831,APOIO_REDES!$W:$W,0),MATCH(AT$5,APOIO_REDES!$5:$5,0)),0)*$AP831,0)</f>
        <v>0.714239750002198</v>
      </c>
      <c r="AU831" s="153" t="n">
        <f aca="false">IFERROR(IF($N831="VCA",INDEX(APOIO_REDES!$A:$W,MATCH($C831&amp;$I831&amp;$H831&amp;$N831&amp;$O831,APOIO_REDES!$W:$W,0),MATCH(AU$5,APOIO_REDES!$5:$5,0)),0)*$AP831,0)</f>
        <v>0.570372520286101</v>
      </c>
      <c r="AV831" s="153" t="n">
        <f aca="false">IFERROR(IF($N831="VCA",INDEX(APOIO_REDES!$A:$W,MATCH($C831&amp;$I831&amp;$H831&amp;$N831&amp;$O831,APOIO_REDES!$W:$W,0),MATCH(AV$5,APOIO_REDES!$5:$5,0)),0)*$AP831,0)</f>
        <v>0.0789350792077541</v>
      </c>
      <c r="AW831" s="153" t="n">
        <f aca="false">IFERROR(IF($N831="VCA",INDEX(APOIO_REDES!$A:$W,MATCH($C831&amp;$I831&amp;$H831&amp;$N831&amp;$O831,APOIO_REDES!$W:$W,0),MATCH(AW$5,APOIO_REDES!$5:$5,0)),0)*$AP831,0)</f>
        <v>45.0594082442176</v>
      </c>
      <c r="AX831" s="153" t="n">
        <f aca="false">IFERROR(IF($N831="VCA",INDEX(APOIO_REDES!$A:$W,MATCH($C831&amp;$I831&amp;$H831&amp;$N831&amp;$O831,APOIO_REDES!$W:$W,0),MATCH(AX$5,APOIO_REDES!$5:$5,0)),0)*$AP831,0)</f>
        <v>6.23609374684573</v>
      </c>
      <c r="AY831" s="153" t="n">
        <f aca="false">IFERROR(IF($N831="VCA",INDEX(APOIO_REDES!$A:$W,MATCH($C831&amp;$I831&amp;$H831&amp;$N831&amp;$O831,APOIO_REDES!$W:$W,0),MATCH(AY$5,APOIO_REDES!$5:$5,0)),0)*$AP831,0)</f>
        <v>11.4074434529272</v>
      </c>
      <c r="AZ831" s="153" t="n">
        <f aca="false">IFERROR(IF($N831="VCA",INDEX(APOIO_REDES!$A:$W,MATCH($C831&amp;$I831&amp;$H831&amp;$N831&amp;$O831,APOIO_REDES!$W:$W,0),MATCH(AZ$5,APOIO_REDES!$5:$5,0)),0)*$AP831,0)</f>
        <v>1.57875720651337</v>
      </c>
      <c r="BA831" s="153" t="n">
        <f aca="false">IFERROR(IF(AND($N831="VCA",$Q831="LINEAR"),INDEX(APOIO_REDES!$A:$W,MATCH($C831&amp;$I831&amp;$H831&amp;$N831&amp;$O831,APOIO_REDES!$W:$W,0),MATCH(BA$5,APOIO_REDES!$5:$5,0)),IF(AND($N831="MND",$Q831="EMBOQUE"),INDEX(APOIO_REDES!$A:$W,MATCH($C831&amp;$I831&amp;$H831&amp;$N831&amp;$O831,APOIO_REDES!$W:$W,0),MATCH(BA$5,APOIO_REDES!$5:$5,0)),0))*$M831/10,0)</f>
        <v>4.83181878090783</v>
      </c>
      <c r="BB831" s="153" t="n">
        <f aca="false">IFERROR(IF($N831="VCA",INDEX(APOIO_REDES!$A:$W,MATCH($C831&amp;$I831&amp;$H831&amp;$N831&amp;$O831,APOIO_REDES!$W:$W,0),MATCH(BB$5,APOIO_REDES!$5:$5,0)),0)*($AI831+$AQ831+$AR831),0)</f>
        <v>24.9050450273964</v>
      </c>
      <c r="BC831" s="153" t="n">
        <f aca="false">IFERROR(IF($N831="VCA",INDEX(APOIO_REDES!$A:$W,MATCH($C831&amp;$I831&amp;$H831&amp;$N831&amp;$O831,APOIO_REDES!$W:$W,0),MATCH(BC$5,APOIO_REDES!$5:$5,0)),0)*($AI831+$AQ831+$AR831),0)</f>
        <v>0.273954972603583</v>
      </c>
      <c r="BD831" s="153" t="n">
        <f aca="false">IF(AND($N831="VCA",$AF831&gt;=1.25,$AF831&lt;1.5),$M831*$AF831*2,0)</f>
        <v>175.054</v>
      </c>
      <c r="BE831" s="153" t="n">
        <f aca="false">IF(AND($N831="VCA",$AF831&gt;=1.5,$AF831&lt;3),$M831*$AF831*2,0)</f>
        <v>0</v>
      </c>
      <c r="BF831" s="153" t="n">
        <f aca="false">IF(AND($N831="VCA",$AF831&gt;=3),$M831*$AF831*2,0)</f>
        <v>0</v>
      </c>
      <c r="BG831" s="153" t="n">
        <f aca="false">($BB831+$BC831)*$AK831</f>
        <v>95.6802</v>
      </c>
      <c r="BH831" s="153" t="n">
        <f aca="false">IF(AND($M831&lt;&gt;"",$N831="VCA",$Q831="LINEAR"),($M831*2)/100,IF(AND($M831&lt;&gt;"",$N831="MND",$Q831="EMBOQUE"),($AN831*2)/100,0))</f>
        <v>1.199</v>
      </c>
      <c r="BI831" s="153" t="n">
        <f aca="false">IF(AND($M831&lt;&gt;"",$N831="VCA",$Q831="LINEAR"),$M831,IF(AND($M831&lt;&gt;"",$N831="MND",$Q831="EMBOQUE"),$AN831*2,0))</f>
        <v>59.95</v>
      </c>
      <c r="BJ831" s="153" t="n">
        <f aca="false">IF(AND($M831&lt;&gt;"",$N831="VCA",$Q831="LINEAR"),($M831*6.8)/100,IF(AND($M831&lt;&gt;"",$N831="MND",$Q831="EMBOQUE"),($AN831*2*6.8)/100,0))</f>
        <v>4.0766</v>
      </c>
      <c r="BK831" s="153" t="n">
        <f aca="false">IF(AND($M831&lt;&gt;"",$N831="VCA",$Q831="LINEAR"),($M831*2.5)/50,IF(AND($M831&lt;&gt;"",$N831="MND",$Q831="EMBOQUE"),($AN831*2*2.5)/50,0))</f>
        <v>2.9975</v>
      </c>
      <c r="BL831" s="157" t="str">
        <f aca="false">K831&amp;J831</f>
        <v>Zona07REDES</v>
      </c>
      <c r="BM831" s="152" t="s">
        <v>4225</v>
      </c>
      <c r="BN831" s="152" t="s">
        <v>1560</v>
      </c>
      <c r="BO831" s="152" t="s">
        <v>4218</v>
      </c>
      <c r="BP831" s="152" t="s">
        <v>4692</v>
      </c>
      <c r="BQ831" s="152" t="s">
        <v>4660</v>
      </c>
      <c r="BR831" s="152" t="s">
        <v>4699</v>
      </c>
      <c r="BS831" s="152" t="n">
        <v>203842.021</v>
      </c>
      <c r="BT831" s="152" t="n">
        <v>8236322.017</v>
      </c>
      <c r="BU831" s="152" t="n">
        <v>203884.823</v>
      </c>
      <c r="BV831" s="152" t="n">
        <v>8236363.936</v>
      </c>
      <c r="BW831" s="152" t="n">
        <v>-15.93453</v>
      </c>
      <c r="BX831" s="152" t="n">
        <v>-47.7660315</v>
      </c>
      <c r="BY831" s="152" t="s">
        <v>4692</v>
      </c>
    </row>
    <row r="832" customFormat="false" ht="13.8" hidden="false" customHeight="false" outlineLevel="0" collapsed="false">
      <c r="A832" s="149" t="n">
        <f aca="false">IF(C832&lt;&gt;"",ROW(A827),"")</f>
        <v>827</v>
      </c>
      <c r="B832" s="150" t="str">
        <f aca="false">HYPERLINK("https://www.google.com/maps/dir/-15.917302,-47.760003/-15.9343759,-47.7651837/data=!4m3!4m2!3e0!5i1")</f>
        <v>https://www.google.com/maps/dir/-15.917302,-47.760003/-15.9343759,-47.7651837/data=!4m3!4m2!3e0!5i1</v>
      </c>
      <c r="C832" s="151" t="s">
        <v>117</v>
      </c>
      <c r="D832" s="152" t="s">
        <v>112</v>
      </c>
      <c r="E832" s="152" t="s">
        <v>113</v>
      </c>
      <c r="F832" s="152" t="s">
        <v>117</v>
      </c>
      <c r="G832" s="152" t="s">
        <v>782</v>
      </c>
      <c r="H832" s="152" t="n">
        <v>63</v>
      </c>
      <c r="I832" s="152" t="s">
        <v>115</v>
      </c>
      <c r="J832" s="152" t="s">
        <v>6</v>
      </c>
      <c r="K832" s="152" t="s">
        <v>4221</v>
      </c>
      <c r="L832" s="152" t="s">
        <v>120</v>
      </c>
      <c r="M832" s="153" t="n">
        <f aca="false">74.8+0.04</f>
        <v>74.84</v>
      </c>
      <c r="N832" s="152" t="s">
        <v>1548</v>
      </c>
      <c r="O832" s="152" t="s">
        <v>1549</v>
      </c>
      <c r="P832" s="152" t="s">
        <v>1550</v>
      </c>
      <c r="Q832" s="152" t="s">
        <v>1551</v>
      </c>
      <c r="R832" s="154" t="s">
        <v>4700</v>
      </c>
      <c r="S832" s="154" t="s">
        <v>1553</v>
      </c>
      <c r="T832" s="155" t="s">
        <v>4216</v>
      </c>
      <c r="U832" s="152" t="str">
        <f aca="false">RIGHT(T832,7)</f>
        <v>019/037</v>
      </c>
      <c r="V832" s="152" t="s">
        <v>1555</v>
      </c>
      <c r="W832" s="156" t="n">
        <v>45882</v>
      </c>
      <c r="X832" s="152" t="s">
        <v>3938</v>
      </c>
      <c r="Y832" s="152" t="s">
        <v>1952</v>
      </c>
      <c r="Z832" s="152" t="s">
        <v>1557</v>
      </c>
      <c r="AA832" s="153" t="n">
        <v>3.7</v>
      </c>
      <c r="AB832" s="151" t="s">
        <v>4701</v>
      </c>
      <c r="AC832" s="151" t="s">
        <v>186</v>
      </c>
      <c r="AD832" s="151" t="str">
        <f aca="false">CONCATENATE($C832,$I832,$H832,$N832,$J832,$K832)</f>
        <v>TUBO PEADPEAD63VCAREDESZona07</v>
      </c>
      <c r="AE832" s="153" t="n">
        <f aca="false">IFERROR(INDEX(APOIO_REDES!$A:$W,MATCH($C832&amp;$I832&amp;$H832&amp;$N832&amp;$O832,APOIO_REDES!$W:$W,0),MATCH(AE$5,APOIO_REDES!$5:$5,0)),0)</f>
        <v>1.2</v>
      </c>
      <c r="AF832" s="153" t="n">
        <f aca="false">IFERROR(INDEX(APOIO_REDES!$A:$W,MATCH($C832&amp;$I832&amp;$H832&amp;$N832&amp;$O832,APOIO_REDES!$W:$W,0),MATCH(AF$5,APOIO_REDES!$5:$5,0)),0)</f>
        <v>1.363</v>
      </c>
      <c r="AG832" s="153" t="n">
        <f aca="false">IFERROR(INDEX(APOIO_REDES!$A:$W,MATCH($C832&amp;$I832&amp;$H832&amp;$N832&amp;$O832,APOIO_REDES!$W:$W,0),MATCH(AG$5,APOIO_REDES!$5:$5,0)),0)</f>
        <v>0.65</v>
      </c>
      <c r="AH832" s="153" t="n">
        <f aca="false">IFERROR(INDEX(APOIO_REDES!$A:$W,MATCH($C832&amp;$I832&amp;$H832&amp;$N832&amp;$O832,APOIO_REDES!$W:$W,0),MATCH(AH$5,APOIO_REDES!$5:$5,0)),0)</f>
        <v>0.1</v>
      </c>
      <c r="AI832" s="153" t="n">
        <f aca="false">IFERROR(IF($H832&lt;&gt;"",(((($H832/1000)/2)^2)*PI()*$M832),0),0)</f>
        <v>0.233294639039652</v>
      </c>
      <c r="AJ832" s="153" t="n">
        <f aca="false">IFERROR(IF(AND($H832&lt;&gt;"",$I832="FoFo",OR($N832="MND",$N832="VCA"),$Q832="LINEAR"),0,IF(AND($H832&lt;&gt;"",$I832="PEAD",$N832="VCA",$Q832="LINEAR"),($H832/1000)+0.3,IF(AND($H832&lt;&gt;"",$I832="PEAD",$N832="MND",$Q832="EMBOQUE"),0,IF(AND($H832&lt;&gt;"",$I832="PVC",$N832="VCA",$Q832="LINEAR"),($H832/1000)+0.2,IF(AND($H832&lt;&gt;"",$I832="PVC",$N832="MND",$Q832="EMBOQUE"),0,IF(AND($H832&lt;&gt;"",$I832="PEAD",$N832="VCA",$Q832="PREDIAL"),0,0)))))),0)</f>
        <v>0.363</v>
      </c>
      <c r="AK832" s="153" t="n">
        <f aca="false">IF(AA832&lt;&gt;"",AA832,0)</f>
        <v>3.7</v>
      </c>
      <c r="AL832" s="153" t="n">
        <f aca="false">IF(AND($N832="MND",$Q832="EMBOQUE"),$M832,IF(AND($N832="VCA",$Q832="LINEAR"),$M832,IF(AND($N832="VCA",$Q832="PREDIAL"),0,0)))</f>
        <v>74.84</v>
      </c>
      <c r="AM832" s="153" t="n">
        <f aca="false">IF(AND($N832="MND",$Q832="EMBOQUE"),$M832,IF(AND($N832="VCA",$Q832="LINEAR"),$M832,IF(AND($N832="VCA",$Q832="PREDIAL"),0,0)))</f>
        <v>74.84</v>
      </c>
      <c r="AN832" s="153" t="n">
        <f aca="false">ROUND(IF(AND($N832="VCA",$M832&lt;&gt;"",$Q832="LINEAR"),$M832/100,IF(AND($N832="MND",$M832&gt;100,$Q832="EMBOQUE"),$M832/100,0)),0)</f>
        <v>1</v>
      </c>
      <c r="AO832" s="153" t="n">
        <f aca="false">IF(AND($N832="MND",$Q832="EMBOQUE"),$AN832*2*2,IF(AND($N832="VCA",$Q832="LINEAR"),$M832*2,IF(AND($N832="VCA",$Q832="PREDIAL"),0,0)))</f>
        <v>149.68</v>
      </c>
      <c r="AP832" s="153" t="n">
        <f aca="false">IFERROR($M832*$AF832*$AG832,0)</f>
        <v>66.304498</v>
      </c>
      <c r="AQ832" s="153" t="n">
        <f aca="false">IFERROR(IF(AND($N832="VCA",$AH832&gt;0),$M832*$AG832*$AH832,0),0)</f>
        <v>4.8646</v>
      </c>
      <c r="AR832" s="153" t="n">
        <f aca="false">IFERROR(IF(AND($N832="VCA",$AJ832&gt;0),($M832*$AG832*$AJ832)-$AI832,0),0)</f>
        <v>17.4252033609603</v>
      </c>
      <c r="AS832" s="153" t="n">
        <f aca="false">IFERROR(IF(AND($N832="VCA",$AP832&gt;0),$AP832-$AI832-$AQ832-$AR832,0),0)</f>
        <v>43.7814</v>
      </c>
      <c r="AT832" s="153" t="n">
        <f aca="false">IFERROR(IF($N832="VCA",INDEX(APOIO_REDES!$A:$W,MATCH($C832&amp;$I832&amp;$H832&amp;$N832&amp;$O832,APOIO_REDES!$W:$W,0),MATCH(AT$5,APOIO_REDES!$5:$5,0)),0)*$AP832,0)</f>
        <v>0.721412563369646</v>
      </c>
      <c r="AU832" s="153" t="n">
        <f aca="false">IFERROR(IF($N832="VCA",INDEX(APOIO_REDES!$A:$W,MATCH($C832&amp;$I832&amp;$H832&amp;$N832&amp;$O832,APOIO_REDES!$W:$W,0),MATCH(AU$5,APOIO_REDES!$5:$5,0)),0)*$AP832,0)</f>
        <v>0.576100534776922</v>
      </c>
      <c r="AV832" s="153" t="n">
        <f aca="false">IFERROR(IF($N832="VCA",INDEX(APOIO_REDES!$A:$W,MATCH($C832&amp;$I832&amp;$H832&amp;$N832&amp;$O832,APOIO_REDES!$W:$W,0),MATCH(AV$5,APOIO_REDES!$5:$5,0)),0)*$AP832,0)</f>
        <v>0.0797277914466069</v>
      </c>
      <c r="AW832" s="153" t="n">
        <f aca="false">IFERROR(IF($N832="VCA",INDEX(APOIO_REDES!$A:$W,MATCH($C832&amp;$I832&amp;$H832&amp;$N832&amp;$O832,APOIO_REDES!$W:$W,0),MATCH(AW$5,APOIO_REDES!$5:$5,0)),0)*$AP832,0)</f>
        <v>45.5119211795204</v>
      </c>
      <c r="AX832" s="153" t="n">
        <f aca="false">IFERROR(IF($N832="VCA",INDEX(APOIO_REDES!$A:$W,MATCH($C832&amp;$I832&amp;$H832&amp;$N832&amp;$O832,APOIO_REDES!$W:$W,0),MATCH(AX$5,APOIO_REDES!$5:$5,0)),0)*$AP832,0)</f>
        <v>6.29872024808414</v>
      </c>
      <c r="AY832" s="153" t="n">
        <f aca="false">IFERROR(IF($N832="VCA",INDEX(APOIO_REDES!$A:$W,MATCH($C832&amp;$I832&amp;$H832&amp;$N832&amp;$O832,APOIO_REDES!$W:$W,0),MATCH(AY$5,APOIO_REDES!$5:$5,0)),0)*$AP832,0)</f>
        <v>11.5220036729196</v>
      </c>
      <c r="AZ832" s="153" t="n">
        <f aca="false">IFERROR(IF($N832="VCA",INDEX(APOIO_REDES!$A:$W,MATCH($C832&amp;$I832&amp;$H832&amp;$N832&amp;$O832,APOIO_REDES!$W:$W,0),MATCH(AZ$5,APOIO_REDES!$5:$5,0)),0)*$AP832,0)</f>
        <v>1.59461200988269</v>
      </c>
      <c r="BA832" s="153" t="n">
        <f aca="false">IFERROR(IF(AND($N832="VCA",$Q832="LINEAR"),INDEX(APOIO_REDES!$A:$W,MATCH($C832&amp;$I832&amp;$H832&amp;$N832&amp;$O832,APOIO_REDES!$W:$W,0),MATCH(BA$5,APOIO_REDES!$5:$5,0)),IF(AND($N832="MND",$Q832="EMBOQUE"),INDEX(APOIO_REDES!$A:$W,MATCH($C832&amp;$I832&amp;$H832&amp;$N832&amp;$O832,APOIO_REDES!$W:$W,0),MATCH(BA$5,APOIO_REDES!$5:$5,0)),0))*$M832/10,0)</f>
        <v>6.03191522207076</v>
      </c>
      <c r="BB832" s="153" t="n">
        <f aca="false">IFERROR(IF($N832="VCA",INDEX(APOIO_REDES!$A:$W,MATCH($C832&amp;$I832&amp;$H832&amp;$N832&amp;$O832,APOIO_REDES!$W:$W,0),MATCH(BB$5,APOIO_REDES!$5:$5,0)),0)*($AI832+$AQ832+$AR832),0)</f>
        <v>22.2780400272633</v>
      </c>
      <c r="BC832" s="153" t="n">
        <f aca="false">IFERROR(IF($N832="VCA",INDEX(APOIO_REDES!$A:$W,MATCH($C832&amp;$I832&amp;$H832&amp;$N832&amp;$O832,APOIO_REDES!$W:$W,0),MATCH(BC$5,APOIO_REDES!$5:$5,0)),0)*($AI832+$AQ832+$AR832),0)</f>
        <v>0.245057972736717</v>
      </c>
      <c r="BD832" s="153" t="n">
        <f aca="false">IF(AND($N832="VCA",$AF832&gt;=1.25,$AF832&lt;1.5),$M832*$AF832*2,0)</f>
        <v>204.01384</v>
      </c>
      <c r="BE832" s="153" t="n">
        <f aca="false">IF(AND($N832="VCA",$AF832&gt;=1.5,$AF832&lt;3),$M832*$AF832*2,0)</f>
        <v>0</v>
      </c>
      <c r="BF832" s="153" t="n">
        <f aca="false">IF(AND($N832="VCA",$AF832&gt;=3),$M832*$AF832*2,0)</f>
        <v>0</v>
      </c>
      <c r="BG832" s="153" t="n">
        <f aca="false">($BB832+$BC832)*$AK832</f>
        <v>83.3354626</v>
      </c>
      <c r="BH832" s="153" t="n">
        <f aca="false">IF(AND($M832&lt;&gt;"",$N832="VCA",$Q832="LINEAR"),($M832*2)/100,IF(AND($M832&lt;&gt;"",$N832="MND",$Q832="EMBOQUE"),($AN832*2)/100,0))</f>
        <v>1.4968</v>
      </c>
      <c r="BI832" s="153" t="n">
        <f aca="false">IF(AND($M832&lt;&gt;"",$N832="VCA",$Q832="LINEAR"),$M832,IF(AND($M832&lt;&gt;"",$N832="MND",$Q832="EMBOQUE"),$AN832*2,0))</f>
        <v>74.84</v>
      </c>
      <c r="BJ832" s="153" t="n">
        <f aca="false">IF(AND($M832&lt;&gt;"",$N832="VCA",$Q832="LINEAR"),($M832*6.8)/100,IF(AND($M832&lt;&gt;"",$N832="MND",$Q832="EMBOQUE"),($AN832*2*6.8)/100,0))</f>
        <v>5.08912</v>
      </c>
      <c r="BK832" s="153" t="n">
        <f aca="false">IF(AND($M832&lt;&gt;"",$N832="VCA",$Q832="LINEAR"),($M832*2.5)/50,IF(AND($M832&lt;&gt;"",$N832="MND",$Q832="EMBOQUE"),($AN832*2*2.5)/50,0))</f>
        <v>3.742</v>
      </c>
      <c r="BL832" s="157" t="str">
        <f aca="false">K832&amp;J832</f>
        <v>Zona07REDES</v>
      </c>
      <c r="BM832" s="152" t="s">
        <v>4225</v>
      </c>
      <c r="BN832" s="152" t="s">
        <v>1560</v>
      </c>
      <c r="BO832" s="152" t="s">
        <v>4218</v>
      </c>
      <c r="BP832" s="152" t="s">
        <v>4672</v>
      </c>
      <c r="BQ832" s="152" t="s">
        <v>4702</v>
      </c>
      <c r="BR832" s="152" t="s">
        <v>4703</v>
      </c>
      <c r="BS832" s="152" t="n">
        <v>203954.004</v>
      </c>
      <c r="BT832" s="152" t="n">
        <v>8236361.24</v>
      </c>
      <c r="BU832" s="152" t="n">
        <v>203977.456</v>
      </c>
      <c r="BV832" s="152" t="n">
        <v>8236290.245</v>
      </c>
      <c r="BW832" s="152" t="n">
        <v>-15.934698</v>
      </c>
      <c r="BX832" s="152" t="n">
        <v>-47.76508</v>
      </c>
      <c r="BY832" s="152" t="s">
        <v>4672</v>
      </c>
    </row>
    <row r="833" customFormat="false" ht="13.8" hidden="false" customHeight="false" outlineLevel="0" collapsed="false">
      <c r="A833" s="149" t="n">
        <f aca="false">IF(C833&lt;&gt;"",ROW(A828),"")</f>
        <v>828</v>
      </c>
      <c r="B833" s="150" t="str">
        <f aca="false">HYPERLINK("https://www.google.com/maps/dir/-15.917302,-47.760003/-15.9347187,-47.7662325/data=!4m3!4m2!3e0!5i1")</f>
        <v>https://www.google.com/maps/dir/-15.917302,-47.760003/-15.9347187,-47.7662325/data=!4m3!4m2!3e0!5i1</v>
      </c>
      <c r="C833" s="151" t="s">
        <v>117</v>
      </c>
      <c r="D833" s="152" t="s">
        <v>112</v>
      </c>
      <c r="E833" s="152" t="s">
        <v>113</v>
      </c>
      <c r="F833" s="152" t="s">
        <v>117</v>
      </c>
      <c r="G833" s="152" t="s">
        <v>782</v>
      </c>
      <c r="H833" s="152" t="n">
        <v>63</v>
      </c>
      <c r="I833" s="152" t="s">
        <v>115</v>
      </c>
      <c r="J833" s="152" t="s">
        <v>6</v>
      </c>
      <c r="K833" s="152" t="s">
        <v>4221</v>
      </c>
      <c r="L833" s="152" t="s">
        <v>120</v>
      </c>
      <c r="M833" s="153" t="n">
        <f aca="false">13.94+0.32</f>
        <v>14.26</v>
      </c>
      <c r="N833" s="152" t="s">
        <v>1548</v>
      </c>
      <c r="O833" s="152" t="s">
        <v>1549</v>
      </c>
      <c r="P833" s="152" t="s">
        <v>1550</v>
      </c>
      <c r="Q833" s="152" t="s">
        <v>1551</v>
      </c>
      <c r="R833" s="154" t="s">
        <v>4704</v>
      </c>
      <c r="S833" s="154" t="s">
        <v>1553</v>
      </c>
      <c r="T833" s="155" t="s">
        <v>4216</v>
      </c>
      <c r="U833" s="152" t="str">
        <f aca="false">RIGHT(T833,7)</f>
        <v>019/037</v>
      </c>
      <c r="V833" s="152" t="s">
        <v>1555</v>
      </c>
      <c r="W833" s="156" t="n">
        <v>45882</v>
      </c>
      <c r="X833" s="152" t="s">
        <v>1594</v>
      </c>
      <c r="Y833" s="152" t="s">
        <v>3251</v>
      </c>
      <c r="Z833" s="152" t="s">
        <v>1557</v>
      </c>
      <c r="AA833" s="153" t="n">
        <v>3.8</v>
      </c>
      <c r="AB833" s="151" t="s">
        <v>4705</v>
      </c>
      <c r="AC833" s="151" t="s">
        <v>186</v>
      </c>
      <c r="AD833" s="151" t="str">
        <f aca="false">CONCATENATE($C833,$I833,$H833,$N833,$J833,$K833)</f>
        <v>TUBO PEADPEAD63VCAREDESZona07</v>
      </c>
      <c r="AE833" s="153" t="n">
        <f aca="false">IFERROR(INDEX(APOIO_REDES!$A:$W,MATCH($C833&amp;$I833&amp;$H833&amp;$N833&amp;$O833,APOIO_REDES!$W:$W,0),MATCH(AE$5,APOIO_REDES!$5:$5,0)),0)</f>
        <v>1.2</v>
      </c>
      <c r="AF833" s="153" t="n">
        <f aca="false">IFERROR(INDEX(APOIO_REDES!$A:$W,MATCH($C833&amp;$I833&amp;$H833&amp;$N833&amp;$O833,APOIO_REDES!$W:$W,0),MATCH(AF$5,APOIO_REDES!$5:$5,0)),0)</f>
        <v>1.363</v>
      </c>
      <c r="AG833" s="153" t="n">
        <f aca="false">IFERROR(INDEX(APOIO_REDES!$A:$W,MATCH($C833&amp;$I833&amp;$H833&amp;$N833&amp;$O833,APOIO_REDES!$W:$W,0),MATCH(AG$5,APOIO_REDES!$5:$5,0)),0)</f>
        <v>0.65</v>
      </c>
      <c r="AH833" s="153" t="n">
        <f aca="false">IFERROR(INDEX(APOIO_REDES!$A:$W,MATCH($C833&amp;$I833&amp;$H833&amp;$N833&amp;$O833,APOIO_REDES!$W:$W,0),MATCH(AH$5,APOIO_REDES!$5:$5,0)),0)</f>
        <v>0.1</v>
      </c>
      <c r="AI833" s="153" t="n">
        <f aca="false">IFERROR(IF($H833&lt;&gt;"",(((($H833/1000)/2)^2)*PI()*$M833),0),0)</f>
        <v>0.044451918128079</v>
      </c>
      <c r="AJ833" s="153" t="n">
        <f aca="false">IFERROR(IF(AND($H833&lt;&gt;"",$I833="FoFo",OR($N833="MND",$N833="VCA"),$Q833="LINEAR"),0,IF(AND($H833&lt;&gt;"",$I833="PEAD",$N833="VCA",$Q833="LINEAR"),($H833/1000)+0.3,IF(AND($H833&lt;&gt;"",$I833="PEAD",$N833="MND",$Q833="EMBOQUE"),0,IF(AND($H833&lt;&gt;"",$I833="PVC",$N833="VCA",$Q833="LINEAR"),($H833/1000)+0.2,IF(AND($H833&lt;&gt;"",$I833="PVC",$N833="MND",$Q833="EMBOQUE"),0,IF(AND($H833&lt;&gt;"",$I833="PEAD",$N833="VCA",$Q833="PREDIAL"),0,0)))))),0)</f>
        <v>0.363</v>
      </c>
      <c r="AK833" s="153" t="n">
        <f aca="false">IF(AA833&lt;&gt;"",AA833,0)</f>
        <v>3.8</v>
      </c>
      <c r="AL833" s="153" t="n">
        <f aca="false">IF(AND($N833="MND",$Q833="EMBOQUE"),$M833,IF(AND($N833="VCA",$Q833="LINEAR"),$M833,IF(AND($N833="VCA",$Q833="PREDIAL"),0,0)))</f>
        <v>14.26</v>
      </c>
      <c r="AM833" s="153" t="n">
        <f aca="false">IF(AND($N833="MND",$Q833="EMBOQUE"),$M833,IF(AND($N833="VCA",$Q833="LINEAR"),$M833,IF(AND($N833="VCA",$Q833="PREDIAL"),0,0)))</f>
        <v>14.26</v>
      </c>
      <c r="AN833" s="153" t="n">
        <f aca="false">ROUND(IF(AND($N833="VCA",$M833&lt;&gt;"",$Q833="LINEAR"),$M833/100,IF(AND($N833="MND",$M833&gt;100,$Q833="EMBOQUE"),$M833/100,0)),0)</f>
        <v>0</v>
      </c>
      <c r="AO833" s="153" t="n">
        <f aca="false">IF(AND($N833="MND",$Q833="EMBOQUE"),$AN833*2*2,IF(AND($N833="VCA",$Q833="LINEAR"),$M833*2,IF(AND($N833="VCA",$Q833="PREDIAL"),0,0)))</f>
        <v>28.52</v>
      </c>
      <c r="AP833" s="153" t="n">
        <f aca="false">IFERROR($M833*$AF833*$AG833,0)</f>
        <v>12.633647</v>
      </c>
      <c r="AQ833" s="153" t="n">
        <f aca="false">IFERROR(IF(AND($N833="VCA",$AH833&gt;0),$M833*$AG833*$AH833,0),0)</f>
        <v>0.9269</v>
      </c>
      <c r="AR833" s="153" t="n">
        <f aca="false">IFERROR(IF(AND($N833="VCA",$AJ833&gt;0),($M833*$AG833*$AJ833)-$AI833,0),0)</f>
        <v>3.32019508187192</v>
      </c>
      <c r="AS833" s="153" t="n">
        <f aca="false">IFERROR(IF(AND($N833="VCA",$AP833&gt;0),$AP833-$AI833-$AQ833-$AR833,0),0)</f>
        <v>8.3421</v>
      </c>
      <c r="AT833" s="153" t="n">
        <f aca="false">IFERROR(IF($N833="VCA",INDEX(APOIO_REDES!$A:$W,MATCH($C833&amp;$I833&amp;$H833&amp;$N833&amp;$O833,APOIO_REDES!$W:$W,0),MATCH(AT$5,APOIO_REDES!$5:$5,0)),0)*$AP833,0)</f>
        <v>0.137457818728636</v>
      </c>
      <c r="AU833" s="153" t="n">
        <f aca="false">IFERROR(IF($N833="VCA",INDEX(APOIO_REDES!$A:$W,MATCH($C833&amp;$I833&amp;$H833&amp;$N833&amp;$O833,APOIO_REDES!$W:$W,0),MATCH(AU$5,APOIO_REDES!$5:$5,0)),0)*$AP833,0)</f>
        <v>0.109770091206827</v>
      </c>
      <c r="AV833" s="153" t="n">
        <f aca="false">IFERROR(IF($N833="VCA",INDEX(APOIO_REDES!$A:$W,MATCH($C833&amp;$I833&amp;$H833&amp;$N833&amp;$O833,APOIO_REDES!$W:$W,0),MATCH(AV$5,APOIO_REDES!$5:$5,0)),0)*$AP833,0)</f>
        <v>0.0151913188940221</v>
      </c>
      <c r="AW833" s="153" t="n">
        <f aca="false">IFERROR(IF($N833="VCA",INDEX(APOIO_REDES!$A:$W,MATCH($C833&amp;$I833&amp;$H833&amp;$N833&amp;$O833,APOIO_REDES!$W:$W,0),MATCH(AW$5,APOIO_REDES!$5:$5,0)),0)*$AP833,0)</f>
        <v>8.67183319107377</v>
      </c>
      <c r="AX833" s="153" t="n">
        <f aca="false">IFERROR(IF($N833="VCA",INDEX(APOIO_REDES!$A:$W,MATCH($C833&amp;$I833&amp;$H833&amp;$N833&amp;$O833,APOIO_REDES!$W:$W,0),MATCH(AX$5,APOIO_REDES!$5:$5,0)),0)*$AP833,0)</f>
        <v>1.20015701146018</v>
      </c>
      <c r="AY833" s="153" t="n">
        <f aca="false">IFERROR(IF($N833="VCA",INDEX(APOIO_REDES!$A:$W,MATCH($C833&amp;$I833&amp;$H833&amp;$N833&amp;$O833,APOIO_REDES!$W:$W,0),MATCH(AY$5,APOIO_REDES!$5:$5,0)),0)*$AP833,0)</f>
        <v>2.19540048604802</v>
      </c>
      <c r="AZ833" s="153" t="n">
        <f aca="false">IFERROR(IF($N833="VCA",INDEX(APOIO_REDES!$A:$W,MATCH($C833&amp;$I833&amp;$H833&amp;$N833&amp;$O833,APOIO_REDES!$W:$W,0),MATCH(AZ$5,APOIO_REDES!$5:$5,0)),0)*$AP833,0)</f>
        <v>0.30383708258855</v>
      </c>
      <c r="BA833" s="153" t="n">
        <f aca="false">IFERROR(IF(AND($N833="VCA",$Q833="LINEAR"),INDEX(APOIO_REDES!$A:$W,MATCH($C833&amp;$I833&amp;$H833&amp;$N833&amp;$O833,APOIO_REDES!$W:$W,0),MATCH(BA$5,APOIO_REDES!$5:$5,0)),IF(AND($N833="MND",$Q833="EMBOQUE"),INDEX(APOIO_REDES!$A:$W,MATCH($C833&amp;$I833&amp;$H833&amp;$N833&amp;$O833,APOIO_REDES!$W:$W,0),MATCH(BA$5,APOIO_REDES!$5:$5,0)),0))*$M833/10,0)</f>
        <v>1.14932003028767</v>
      </c>
      <c r="BB833" s="153" t="n">
        <f aca="false">IFERROR(IF($N833="VCA",INDEX(APOIO_REDES!$A:$W,MATCH($C833&amp;$I833&amp;$H833&amp;$N833&amp;$O833,APOIO_REDES!$W:$W,0),MATCH(BB$5,APOIO_REDES!$5:$5,0)),0)*($AI833+$AQ833+$AR833),0)</f>
        <v>4.24485369840693</v>
      </c>
      <c r="BC833" s="153" t="n">
        <f aca="false">IFERROR(IF($N833="VCA",INDEX(APOIO_REDES!$A:$W,MATCH($C833&amp;$I833&amp;$H833&amp;$N833&amp;$O833,APOIO_REDES!$W:$W,0),MATCH(BC$5,APOIO_REDES!$5:$5,0)),0)*($AI833+$AQ833+$AR833),0)</f>
        <v>0.0466933015930731</v>
      </c>
      <c r="BD833" s="153" t="n">
        <f aca="false">IF(AND($N833="VCA",$AF833&gt;=1.25,$AF833&lt;1.5),$M833*$AF833*2,0)</f>
        <v>38.87276</v>
      </c>
      <c r="BE833" s="153" t="n">
        <f aca="false">IF(AND($N833="VCA",$AF833&gt;=1.5,$AF833&lt;3),$M833*$AF833*2,0)</f>
        <v>0</v>
      </c>
      <c r="BF833" s="153" t="n">
        <f aca="false">IF(AND($N833="VCA",$AF833&gt;=3),$M833*$AF833*2,0)</f>
        <v>0</v>
      </c>
      <c r="BG833" s="153" t="n">
        <f aca="false">($BB833+$BC833)*$AK833</f>
        <v>16.3078786</v>
      </c>
      <c r="BH833" s="153" t="n">
        <f aca="false">IF(AND($M833&lt;&gt;"",$N833="VCA",$Q833="LINEAR"),($M833*2)/100,IF(AND($M833&lt;&gt;"",$N833="MND",$Q833="EMBOQUE"),($AN833*2)/100,0))</f>
        <v>0.2852</v>
      </c>
      <c r="BI833" s="153" t="n">
        <f aca="false">IF(AND($M833&lt;&gt;"",$N833="VCA",$Q833="LINEAR"),$M833,IF(AND($M833&lt;&gt;"",$N833="MND",$Q833="EMBOQUE"),$AN833*2,0))</f>
        <v>14.26</v>
      </c>
      <c r="BJ833" s="153" t="n">
        <f aca="false">IF(AND($M833&lt;&gt;"",$N833="VCA",$Q833="LINEAR"),($M833*6.8)/100,IF(AND($M833&lt;&gt;"",$N833="MND",$Q833="EMBOQUE"),($AN833*2*6.8)/100,0))</f>
        <v>0.96968</v>
      </c>
      <c r="BK833" s="153" t="n">
        <f aca="false">IF(AND($M833&lt;&gt;"",$N833="VCA",$Q833="LINEAR"),($M833*2.5)/50,IF(AND($M833&lt;&gt;"",$N833="MND",$Q833="EMBOQUE"),($AN833*2*2.5)/50,0))</f>
        <v>0.713</v>
      </c>
      <c r="BL833" s="157" t="str">
        <f aca="false">K833&amp;J833</f>
        <v>Zona07REDES</v>
      </c>
      <c r="BM833" s="152" t="s">
        <v>4225</v>
      </c>
      <c r="BN833" s="152" t="s">
        <v>1560</v>
      </c>
      <c r="BO833" s="152" t="s">
        <v>4218</v>
      </c>
      <c r="BP833" s="152" t="s">
        <v>4692</v>
      </c>
      <c r="BQ833" s="152" t="s">
        <v>4706</v>
      </c>
      <c r="BR833" s="152" t="s">
        <v>4707</v>
      </c>
      <c r="BS833" s="152" t="n">
        <v>203842.149</v>
      </c>
      <c r="BT833" s="152" t="n">
        <v>8236321.787</v>
      </c>
      <c r="BU833" s="152" t="n">
        <v>203853.975</v>
      </c>
      <c r="BV833" s="152" t="n">
        <v>8236316.076</v>
      </c>
      <c r="BW833" s="152" t="n">
        <v>-15.9347397</v>
      </c>
      <c r="BX833" s="152" t="n">
        <v>-47.766176</v>
      </c>
      <c r="BY833" s="152" t="s">
        <v>4692</v>
      </c>
    </row>
    <row r="834" customFormat="false" ht="13.8" hidden="false" customHeight="false" outlineLevel="0" collapsed="false">
      <c r="A834" s="149" t="n">
        <f aca="false">IF(C834&lt;&gt;"",ROW(A829),"")</f>
        <v>829</v>
      </c>
      <c r="B834" s="150" t="str">
        <f aca="false">HYPERLINK("https://www.google.com/maps/dir/-15.917302,-47.760003/-15.9347717,-47.7661229/data=!4m3!4m2!3e0!5i1")</f>
        <v>https://www.google.com/maps/dir/-15.917302,-47.760003/-15.9347717,-47.7661229/data=!4m3!4m2!3e0!5i1</v>
      </c>
      <c r="C834" s="151" t="s">
        <v>117</v>
      </c>
      <c r="D834" s="152" t="s">
        <v>112</v>
      </c>
      <c r="E834" s="152" t="s">
        <v>113</v>
      </c>
      <c r="F834" s="152" t="s">
        <v>117</v>
      </c>
      <c r="G834" s="152" t="s">
        <v>782</v>
      </c>
      <c r="H834" s="152" t="n">
        <v>63</v>
      </c>
      <c r="I834" s="152" t="s">
        <v>115</v>
      </c>
      <c r="J834" s="152" t="s">
        <v>6</v>
      </c>
      <c r="K834" s="152" t="s">
        <v>4221</v>
      </c>
      <c r="L834" s="152" t="s">
        <v>120</v>
      </c>
      <c r="M834" s="153" t="n">
        <f aca="false">48.43+3.96</f>
        <v>52.39</v>
      </c>
      <c r="N834" s="152" t="s">
        <v>1548</v>
      </c>
      <c r="O834" s="152" t="s">
        <v>1549</v>
      </c>
      <c r="P834" s="152" t="s">
        <v>1550</v>
      </c>
      <c r="Q834" s="152" t="s">
        <v>1551</v>
      </c>
      <c r="R834" s="154" t="s">
        <v>4708</v>
      </c>
      <c r="S834" s="154" t="s">
        <v>1553</v>
      </c>
      <c r="T834" s="155" t="s">
        <v>4216</v>
      </c>
      <c r="U834" s="152" t="str">
        <f aca="false">RIGHT(T834,7)</f>
        <v>019/037</v>
      </c>
      <c r="V834" s="152" t="s">
        <v>1555</v>
      </c>
      <c r="W834" s="156" t="n">
        <v>45882</v>
      </c>
      <c r="X834" s="152" t="s">
        <v>1594</v>
      </c>
      <c r="Y834" s="152" t="s">
        <v>3251</v>
      </c>
      <c r="Z834" s="152" t="s">
        <v>1557</v>
      </c>
      <c r="AA834" s="153" t="n">
        <v>3.8</v>
      </c>
      <c r="AB834" s="151" t="s">
        <v>4709</v>
      </c>
      <c r="AC834" s="151" t="s">
        <v>186</v>
      </c>
      <c r="AD834" s="151" t="str">
        <f aca="false">CONCATENATE($C834,$I834,$H834,$N834,$J834,$K834)</f>
        <v>TUBO PEADPEAD63VCAREDESZona07</v>
      </c>
      <c r="AE834" s="153" t="n">
        <f aca="false">IFERROR(INDEX(APOIO_REDES!$A:$W,MATCH($C834&amp;$I834&amp;$H834&amp;$N834&amp;$O834,APOIO_REDES!$W:$W,0),MATCH(AE$5,APOIO_REDES!$5:$5,0)),0)</f>
        <v>1.2</v>
      </c>
      <c r="AF834" s="153" t="n">
        <f aca="false">IFERROR(INDEX(APOIO_REDES!$A:$W,MATCH($C834&amp;$I834&amp;$H834&amp;$N834&amp;$O834,APOIO_REDES!$W:$W,0),MATCH(AF$5,APOIO_REDES!$5:$5,0)),0)</f>
        <v>1.363</v>
      </c>
      <c r="AG834" s="153" t="n">
        <f aca="false">IFERROR(INDEX(APOIO_REDES!$A:$W,MATCH($C834&amp;$I834&amp;$H834&amp;$N834&amp;$O834,APOIO_REDES!$W:$W,0),MATCH(AG$5,APOIO_REDES!$5:$5,0)),0)</f>
        <v>0.65</v>
      </c>
      <c r="AH834" s="153" t="n">
        <f aca="false">IFERROR(INDEX(APOIO_REDES!$A:$W,MATCH($C834&amp;$I834&amp;$H834&amp;$N834&amp;$O834,APOIO_REDES!$W:$W,0),MATCH(AH$5,APOIO_REDES!$5:$5,0)),0)</f>
        <v>0.1</v>
      </c>
      <c r="AI834" s="153" t="n">
        <f aca="false">IFERROR(IF($H834&lt;&gt;"",(((($H834/1000)/2)^2)*PI()*$M834),0),0)</f>
        <v>0.163312481818377</v>
      </c>
      <c r="AJ834" s="153" t="n">
        <f aca="false">IFERROR(IF(AND($H834&lt;&gt;"",$I834="FoFo",OR($N834="MND",$N834="VCA"),$Q834="LINEAR"),0,IF(AND($H834&lt;&gt;"",$I834="PEAD",$N834="VCA",$Q834="LINEAR"),($H834/1000)+0.3,IF(AND($H834&lt;&gt;"",$I834="PEAD",$N834="MND",$Q834="EMBOQUE"),0,IF(AND($H834&lt;&gt;"",$I834="PVC",$N834="VCA",$Q834="LINEAR"),($H834/1000)+0.2,IF(AND($H834&lt;&gt;"",$I834="PVC",$N834="MND",$Q834="EMBOQUE"),0,IF(AND($H834&lt;&gt;"",$I834="PEAD",$N834="VCA",$Q834="PREDIAL"),0,0)))))),0)</f>
        <v>0.363</v>
      </c>
      <c r="AK834" s="153" t="n">
        <f aca="false">IF(AA834&lt;&gt;"",AA834,0)</f>
        <v>3.8</v>
      </c>
      <c r="AL834" s="153" t="n">
        <f aca="false">IF(AND($N834="MND",$Q834="EMBOQUE"),$M834,IF(AND($N834="VCA",$Q834="LINEAR"),$M834,IF(AND($N834="VCA",$Q834="PREDIAL"),0,0)))</f>
        <v>52.39</v>
      </c>
      <c r="AM834" s="153" t="n">
        <f aca="false">IF(AND($N834="MND",$Q834="EMBOQUE"),$M834,IF(AND($N834="VCA",$Q834="LINEAR"),$M834,IF(AND($N834="VCA",$Q834="PREDIAL"),0,0)))</f>
        <v>52.39</v>
      </c>
      <c r="AN834" s="153" t="n">
        <f aca="false">ROUND(IF(AND($N834="VCA",$M834&lt;&gt;"",$Q834="LINEAR"),$M834/100,IF(AND($N834="MND",$M834&gt;100,$Q834="EMBOQUE"),$M834/100,0)),0)</f>
        <v>1</v>
      </c>
      <c r="AO834" s="153" t="n">
        <f aca="false">IF(AND($N834="MND",$Q834="EMBOQUE"),$AN834*2*2,IF(AND($N834="VCA",$Q834="LINEAR"),$M834*2,IF(AND($N834="VCA",$Q834="PREDIAL"),0,0)))</f>
        <v>104.78</v>
      </c>
      <c r="AP834" s="153" t="n">
        <f aca="false">IFERROR($M834*$AF834*$AG834,0)</f>
        <v>46.4149205</v>
      </c>
      <c r="AQ834" s="153" t="n">
        <f aca="false">IFERROR(IF(AND($N834="VCA",$AH834&gt;0),$M834*$AG834*$AH834,0),0)</f>
        <v>3.40535</v>
      </c>
      <c r="AR834" s="153" t="n">
        <f aca="false">IFERROR(IF(AND($N834="VCA",$AJ834&gt;0),($M834*$AG834*$AJ834)-$AI834,0),0)</f>
        <v>12.1981080181816</v>
      </c>
      <c r="AS834" s="153" t="n">
        <f aca="false">IFERROR(IF(AND($N834="VCA",$AP834&gt;0),$AP834-$AI834-$AQ834-$AR834,0),0)</f>
        <v>30.64815</v>
      </c>
      <c r="AT834" s="153" t="n">
        <f aca="false">IFERROR(IF($N834="VCA",INDEX(APOIO_REDES!$A:$W,MATCH($C834&amp;$I834&amp;$H834&amp;$N834&amp;$O834,APOIO_REDES!$W:$W,0),MATCH(AT$5,APOIO_REDES!$5:$5,0)),0)*$AP834,0)</f>
        <v>0.505008073155208</v>
      </c>
      <c r="AU834" s="153" t="n">
        <f aca="false">IFERROR(IF($N834="VCA",INDEX(APOIO_REDES!$A:$W,MATCH($C834&amp;$I834&amp;$H834&amp;$N834&amp;$O834,APOIO_REDES!$W:$W,0),MATCH(AU$5,APOIO_REDES!$5:$5,0)),0)*$AP834,0)</f>
        <v>0.403285769868559</v>
      </c>
      <c r="AV834" s="153" t="n">
        <f aca="false">IFERROR(IF($N834="VCA",INDEX(APOIO_REDES!$A:$W,MATCH($C834&amp;$I834&amp;$H834&amp;$N834&amp;$O834,APOIO_REDES!$W:$W,0),MATCH(AV$5,APOIO_REDES!$5:$5,0)),0)*$AP834,0)</f>
        <v>0.0558115846323856</v>
      </c>
      <c r="AW834" s="153" t="n">
        <f aca="false">IFERROR(IF($N834="VCA",INDEX(APOIO_REDES!$A:$W,MATCH($C834&amp;$I834&amp;$H834&amp;$N834&amp;$O834,APOIO_REDES!$W:$W,0),MATCH(AW$5,APOIO_REDES!$5:$5,0)),0)*$AP834,0)</f>
        <v>31.8595610715536</v>
      </c>
      <c r="AX834" s="153" t="n">
        <f aca="false">IFERROR(IF($N834="VCA",INDEX(APOIO_REDES!$A:$W,MATCH($C834&amp;$I834&amp;$H834&amp;$N834&amp;$O834,APOIO_REDES!$W:$W,0),MATCH(AX$5,APOIO_REDES!$5:$5,0)),0)*$AP834,0)</f>
        <v>4.40927249862544</v>
      </c>
      <c r="AY834" s="153" t="n">
        <f aca="false">IFERROR(IF($N834="VCA",INDEX(APOIO_REDES!$A:$W,MATCH($C834&amp;$I834&amp;$H834&amp;$N834&amp;$O834,APOIO_REDES!$W:$W,0),MATCH(AY$5,APOIO_REDES!$5:$5,0)),0)*$AP834,0)</f>
        <v>8.06571048135034</v>
      </c>
      <c r="AZ834" s="153" t="n">
        <f aca="false">IFERROR(IF($N834="VCA",INDEX(APOIO_REDES!$A:$W,MATCH($C834&amp;$I834&amp;$H834&amp;$N834&amp;$O834,APOIO_REDES!$W:$W,0),MATCH(AZ$5,APOIO_REDES!$5:$5,0)),0)*$AP834,0)</f>
        <v>1.11627102081446</v>
      </c>
      <c r="BA834" s="153" t="n">
        <f aca="false">IFERROR(IF(AND($N834="VCA",$Q834="LINEAR"),INDEX(APOIO_REDES!$A:$W,MATCH($C834&amp;$I834&amp;$H834&amp;$N834&amp;$O834,APOIO_REDES!$W:$W,0),MATCH(BA$5,APOIO_REDES!$5:$5,0)),IF(AND($N834="MND",$Q834="EMBOQUE"),INDEX(APOIO_REDES!$A:$W,MATCH($C834&amp;$I834&amp;$H834&amp;$N834&amp;$O834,APOIO_REDES!$W:$W,0),MATCH(BA$5,APOIO_REDES!$5:$5,0)),0))*$M834/10,0)</f>
        <v>4.22250185040469</v>
      </c>
      <c r="BB834" s="153" t="n">
        <f aca="false">IFERROR(IF($N834="VCA",INDEX(APOIO_REDES!$A:$W,MATCH($C834&amp;$I834&amp;$H834&amp;$N834&amp;$O834,APOIO_REDES!$W:$W,0),MATCH(BB$5,APOIO_REDES!$5:$5,0)),0)*($AI834+$AQ834+$AR834),0)</f>
        <v>15.5952233702341</v>
      </c>
      <c r="BC834" s="153" t="n">
        <f aca="false">IFERROR(IF($N834="VCA",INDEX(APOIO_REDES!$A:$W,MATCH($C834&amp;$I834&amp;$H834&amp;$N834&amp;$O834,APOIO_REDES!$W:$W,0),MATCH(BC$5,APOIO_REDES!$5:$5,0)),0)*($AI834+$AQ834+$AR834),0)</f>
        <v>0.171547129765856</v>
      </c>
      <c r="BD834" s="153" t="n">
        <f aca="false">IF(AND($N834="VCA",$AF834&gt;=1.25,$AF834&lt;1.5),$M834*$AF834*2,0)</f>
        <v>142.81514</v>
      </c>
      <c r="BE834" s="153" t="n">
        <f aca="false">IF(AND($N834="VCA",$AF834&gt;=1.5,$AF834&lt;3),$M834*$AF834*2,0)</f>
        <v>0</v>
      </c>
      <c r="BF834" s="153" t="n">
        <f aca="false">IF(AND($N834="VCA",$AF834&gt;=3),$M834*$AF834*2,0)</f>
        <v>0</v>
      </c>
      <c r="BG834" s="153" t="n">
        <f aca="false">($BB834+$BC834)*$AK834</f>
        <v>59.9137279</v>
      </c>
      <c r="BH834" s="153" t="n">
        <f aca="false">IF(AND($M834&lt;&gt;"",$N834="VCA",$Q834="LINEAR"),($M834*2)/100,IF(AND($M834&lt;&gt;"",$N834="MND",$Q834="EMBOQUE"),($AN834*2)/100,0))</f>
        <v>1.0478</v>
      </c>
      <c r="BI834" s="153" t="n">
        <f aca="false">IF(AND($M834&lt;&gt;"",$N834="VCA",$Q834="LINEAR"),$M834,IF(AND($M834&lt;&gt;"",$N834="MND",$Q834="EMBOQUE"),$AN834*2,0))</f>
        <v>52.39</v>
      </c>
      <c r="BJ834" s="153" t="n">
        <f aca="false">IF(AND($M834&lt;&gt;"",$N834="VCA",$Q834="LINEAR"),($M834*6.8)/100,IF(AND($M834&lt;&gt;"",$N834="MND",$Q834="EMBOQUE"),($AN834*2*6.8)/100,0))</f>
        <v>3.56252</v>
      </c>
      <c r="BK834" s="153" t="n">
        <f aca="false">IF(AND($M834&lt;&gt;"",$N834="VCA",$Q834="LINEAR"),($M834*2.5)/50,IF(AND($M834&lt;&gt;"",$N834="MND",$Q834="EMBOQUE"),($AN834*2*2.5)/50,0))</f>
        <v>2.6195</v>
      </c>
      <c r="BL834" s="157" t="str">
        <f aca="false">K834&amp;J834</f>
        <v>Zona07REDES</v>
      </c>
      <c r="BM834" s="152" t="s">
        <v>4225</v>
      </c>
      <c r="BN834" s="152" t="s">
        <v>1560</v>
      </c>
      <c r="BO834" s="152" t="s">
        <v>4218</v>
      </c>
      <c r="BP834" s="152" t="s">
        <v>4706</v>
      </c>
      <c r="BQ834" s="152" t="s">
        <v>4710</v>
      </c>
      <c r="BR834" s="152" t="s">
        <v>4707</v>
      </c>
      <c r="BS834" s="152" t="n">
        <v>203853.975</v>
      </c>
      <c r="BT834" s="152" t="n">
        <v>8236316.076</v>
      </c>
      <c r="BU834" s="152" t="n">
        <v>203822.749</v>
      </c>
      <c r="BV834" s="152" t="n">
        <v>8236279.485</v>
      </c>
      <c r="BW834" s="152" t="n">
        <v>-15.9349186</v>
      </c>
      <c r="BX834" s="152" t="n">
        <v>-47.7662903</v>
      </c>
      <c r="BY834" s="152" t="s">
        <v>4706</v>
      </c>
    </row>
    <row r="835" customFormat="false" ht="13.8" hidden="false" customHeight="false" outlineLevel="0" collapsed="false">
      <c r="A835" s="149" t="n">
        <f aca="false">IF(C835&lt;&gt;"",ROW(A830),"")</f>
        <v>830</v>
      </c>
      <c r="B835" s="150" t="str">
        <f aca="false">HYPERLINK("https://www.google.com/maps/dir/-15.917302,-47.760003/-15.9350198,-47.7649737/data=!4m3!4m2!3e0!5i1")</f>
        <v>https://www.google.com/maps/dir/-15.917302,-47.760003/-15.9350198,-47.7649737/data=!4m3!4m2!3e0!5i1</v>
      </c>
      <c r="C835" s="151" t="s">
        <v>117</v>
      </c>
      <c r="D835" s="152" t="s">
        <v>112</v>
      </c>
      <c r="E835" s="152" t="s">
        <v>113</v>
      </c>
      <c r="F835" s="152" t="s">
        <v>117</v>
      </c>
      <c r="G835" s="152" t="s">
        <v>782</v>
      </c>
      <c r="H835" s="152" t="n">
        <v>63</v>
      </c>
      <c r="I835" s="152" t="s">
        <v>115</v>
      </c>
      <c r="J835" s="152" t="s">
        <v>6</v>
      </c>
      <c r="K835" s="152" t="s">
        <v>4221</v>
      </c>
      <c r="L835" s="152" t="s">
        <v>120</v>
      </c>
      <c r="M835" s="153" t="n">
        <f aca="false">43.71</f>
        <v>43.71</v>
      </c>
      <c r="N835" s="152" t="s">
        <v>1548</v>
      </c>
      <c r="O835" s="152" t="s">
        <v>1549</v>
      </c>
      <c r="P835" s="152" t="s">
        <v>1550</v>
      </c>
      <c r="Q835" s="152" t="s">
        <v>1551</v>
      </c>
      <c r="R835" s="154" t="s">
        <v>4711</v>
      </c>
      <c r="S835" s="154" t="s">
        <v>1553</v>
      </c>
      <c r="T835" s="155" t="s">
        <v>4216</v>
      </c>
      <c r="U835" s="152" t="str">
        <f aca="false">RIGHT(T835,7)</f>
        <v>019/037</v>
      </c>
      <c r="V835" s="152" t="s">
        <v>1555</v>
      </c>
      <c r="W835" s="156" t="n">
        <v>45882</v>
      </c>
      <c r="X835" s="152" t="s">
        <v>3938</v>
      </c>
      <c r="Y835" s="152" t="s">
        <v>1952</v>
      </c>
      <c r="Z835" s="152" t="s">
        <v>1557</v>
      </c>
      <c r="AA835" s="153" t="n">
        <v>3.8</v>
      </c>
      <c r="AB835" s="151" t="s">
        <v>4712</v>
      </c>
      <c r="AC835" s="151" t="s">
        <v>186</v>
      </c>
      <c r="AD835" s="151" t="str">
        <f aca="false">CONCATENATE($C835,$I835,$H835,$N835,$J835,$K835)</f>
        <v>TUBO PEADPEAD63VCAREDESZona07</v>
      </c>
      <c r="AE835" s="153" t="n">
        <f aca="false">IFERROR(INDEX(APOIO_REDES!$A:$W,MATCH($C835&amp;$I835&amp;$H835&amp;$N835&amp;$O835,APOIO_REDES!$W:$W,0),MATCH(AE$5,APOIO_REDES!$5:$5,0)),0)</f>
        <v>1.2</v>
      </c>
      <c r="AF835" s="153" t="n">
        <f aca="false">IFERROR(INDEX(APOIO_REDES!$A:$W,MATCH($C835&amp;$I835&amp;$H835&amp;$N835&amp;$O835,APOIO_REDES!$W:$W,0),MATCH(AF$5,APOIO_REDES!$5:$5,0)),0)</f>
        <v>1.363</v>
      </c>
      <c r="AG835" s="153" t="n">
        <f aca="false">IFERROR(INDEX(APOIO_REDES!$A:$W,MATCH($C835&amp;$I835&amp;$H835&amp;$N835&amp;$O835,APOIO_REDES!$W:$W,0),MATCH(AG$5,APOIO_REDES!$5:$5,0)),0)</f>
        <v>0.65</v>
      </c>
      <c r="AH835" s="153" t="n">
        <f aca="false">IFERROR(INDEX(APOIO_REDES!$A:$W,MATCH($C835&amp;$I835&amp;$H835&amp;$N835&amp;$O835,APOIO_REDES!$W:$W,0),MATCH(AH$5,APOIO_REDES!$5:$5,0)),0)</f>
        <v>0.1</v>
      </c>
      <c r="AI835" s="153" t="n">
        <f aca="false">IFERROR(IF($H835&lt;&gt;"",(((($H835/1000)/2)^2)*PI()*$M835),0),0)</f>
        <v>0.136254792523025</v>
      </c>
      <c r="AJ835" s="153" t="n">
        <f aca="false">IFERROR(IF(AND($H835&lt;&gt;"",$I835="FoFo",OR($N835="MND",$N835="VCA"),$Q835="LINEAR"),0,IF(AND($H835&lt;&gt;"",$I835="PEAD",$N835="VCA",$Q835="LINEAR"),($H835/1000)+0.3,IF(AND($H835&lt;&gt;"",$I835="PEAD",$N835="MND",$Q835="EMBOQUE"),0,IF(AND($H835&lt;&gt;"",$I835="PVC",$N835="VCA",$Q835="LINEAR"),($H835/1000)+0.2,IF(AND($H835&lt;&gt;"",$I835="PVC",$N835="MND",$Q835="EMBOQUE"),0,IF(AND($H835&lt;&gt;"",$I835="PEAD",$N835="VCA",$Q835="PREDIAL"),0,0)))))),0)</f>
        <v>0.363</v>
      </c>
      <c r="AK835" s="153" t="n">
        <f aca="false">IF(AA835&lt;&gt;"",AA835,0)</f>
        <v>3.8</v>
      </c>
      <c r="AL835" s="153" t="n">
        <f aca="false">IF(AND($N835="MND",$Q835="EMBOQUE"),$M835,IF(AND($N835="VCA",$Q835="LINEAR"),$M835,IF(AND($N835="VCA",$Q835="PREDIAL"),0,0)))</f>
        <v>43.71</v>
      </c>
      <c r="AM835" s="153" t="n">
        <f aca="false">IF(AND($N835="MND",$Q835="EMBOQUE"),$M835,IF(AND($N835="VCA",$Q835="LINEAR"),$M835,IF(AND($N835="VCA",$Q835="PREDIAL"),0,0)))</f>
        <v>43.71</v>
      </c>
      <c r="AN835" s="153" t="n">
        <f aca="false">ROUND(IF(AND($N835="VCA",$M835&lt;&gt;"",$Q835="LINEAR"),$M835/100,IF(AND($N835="MND",$M835&gt;100,$Q835="EMBOQUE"),$M835/100,0)),0)</f>
        <v>0</v>
      </c>
      <c r="AO835" s="153" t="n">
        <f aca="false">IF(AND($N835="MND",$Q835="EMBOQUE"),$AN835*2*2,IF(AND($N835="VCA",$Q835="LINEAR"),$M835*2,IF(AND($N835="VCA",$Q835="PREDIAL"),0,0)))</f>
        <v>87.42</v>
      </c>
      <c r="AP835" s="153" t="n">
        <f aca="false">IFERROR($M835*$AF835*$AG835,0)</f>
        <v>38.7248745</v>
      </c>
      <c r="AQ835" s="153" t="n">
        <f aca="false">IFERROR(IF(AND($N835="VCA",$AH835&gt;0),$M835*$AG835*$AH835,0),0)</f>
        <v>2.84115</v>
      </c>
      <c r="AR835" s="153" t="n">
        <f aca="false">IFERROR(IF(AND($N835="VCA",$AJ835&gt;0),($M835*$AG835*$AJ835)-$AI835,0),0)</f>
        <v>10.177119707477</v>
      </c>
      <c r="AS835" s="153" t="n">
        <f aca="false">IFERROR(IF(AND($N835="VCA",$AP835&gt;0),$AP835-$AI835-$AQ835-$AR835,0),0)</f>
        <v>25.57035</v>
      </c>
      <c r="AT835" s="153" t="n">
        <f aca="false">IFERROR(IF($N835="VCA",INDEX(APOIO_REDES!$A:$W,MATCH($C835&amp;$I835&amp;$H835&amp;$N835&amp;$O835,APOIO_REDES!$W:$W,0),MATCH(AT$5,APOIO_REDES!$5:$5,0)),0)*$AP835,0)</f>
        <v>0.421338096537777</v>
      </c>
      <c r="AU835" s="153" t="n">
        <f aca="false">IFERROR(IF($N835="VCA",INDEX(APOIO_REDES!$A:$W,MATCH($C835&amp;$I835&amp;$H835&amp;$N835&amp;$O835,APOIO_REDES!$W:$W,0),MATCH(AU$5,APOIO_REDES!$5:$5,0)),0)*$AP835,0)</f>
        <v>0.33646919261223</v>
      </c>
      <c r="AV835" s="153" t="n">
        <f aca="false">IFERROR(IF($N835="VCA",INDEX(APOIO_REDES!$A:$W,MATCH($C835&amp;$I835&amp;$H835&amp;$N835&amp;$O835,APOIO_REDES!$W:$W,0),MATCH(AV$5,APOIO_REDES!$5:$5,0)),0)*$AP835,0)</f>
        <v>0.0465646948708069</v>
      </c>
      <c r="AW835" s="153" t="n">
        <f aca="false">IFERROR(IF($N835="VCA",INDEX(APOIO_REDES!$A:$W,MATCH($C835&amp;$I835&amp;$H835&amp;$N835&amp;$O835,APOIO_REDES!$W:$W,0),MATCH(AW$5,APOIO_REDES!$5:$5,0)),0)*$AP835,0)</f>
        <v>26.5810539117696</v>
      </c>
      <c r="AX835" s="153" t="n">
        <f aca="false">IFERROR(IF($N835="VCA",INDEX(APOIO_REDES!$A:$W,MATCH($C835&amp;$I835&amp;$H835&amp;$N835&amp;$O835,APOIO_REDES!$W:$W,0),MATCH(AX$5,APOIO_REDES!$5:$5,0)),0)*$AP835,0)</f>
        <v>3.67874214382359</v>
      </c>
      <c r="AY835" s="153" t="n">
        <f aca="false">IFERROR(IF($N835="VCA",INDEX(APOIO_REDES!$A:$W,MATCH($C835&amp;$I835&amp;$H835&amp;$N835&amp;$O835,APOIO_REDES!$W:$W,0),MATCH(AY$5,APOIO_REDES!$5:$5,0)),0)*$AP835,0)</f>
        <v>6.72937975071241</v>
      </c>
      <c r="AZ835" s="153" t="n">
        <f aca="false">IFERROR(IF($N835="VCA",INDEX(APOIO_REDES!$A:$W,MATCH($C835&amp;$I835&amp;$H835&amp;$N835&amp;$O835,APOIO_REDES!$W:$W,0),MATCH(AZ$5,APOIO_REDES!$5:$5,0)),0)*$AP835,0)</f>
        <v>0.9313267096736</v>
      </c>
      <c r="BA835" s="153" t="n">
        <f aca="false">IFERROR(IF(AND($N835="VCA",$Q835="LINEAR"),INDEX(APOIO_REDES!$A:$W,MATCH($C835&amp;$I835&amp;$H835&amp;$N835&amp;$O835,APOIO_REDES!$W:$W,0),MATCH(BA$5,APOIO_REDES!$5:$5,0)),IF(AND($N835="MND",$Q835="EMBOQUE"),INDEX(APOIO_REDES!$A:$W,MATCH($C835&amp;$I835&amp;$H835&amp;$N835&amp;$O835,APOIO_REDES!$W:$W,0),MATCH(BA$5,APOIO_REDES!$5:$5,0)),0))*$M835/10,0)</f>
        <v>3.5229157450122</v>
      </c>
      <c r="BB835" s="153" t="n">
        <f aca="false">IFERROR(IF($N835="VCA",INDEX(APOIO_REDES!$A:$W,MATCH($C835&amp;$I835&amp;$H835&amp;$N835&amp;$O835,APOIO_REDES!$W:$W,0),MATCH(BB$5,APOIO_REDES!$5:$5,0)),0)*($AI835+$AQ835+$AR835),0)</f>
        <v>13.0113993798995</v>
      </c>
      <c r="BC835" s="153" t="n">
        <f aca="false">IFERROR(IF($N835="VCA",INDEX(APOIO_REDES!$A:$W,MATCH($C835&amp;$I835&amp;$H835&amp;$N835&amp;$O835,APOIO_REDES!$W:$W,0),MATCH(BC$5,APOIO_REDES!$5:$5,0)),0)*($AI835+$AQ835+$AR835),0)</f>
        <v>0.143125120100507</v>
      </c>
      <c r="BD835" s="153" t="n">
        <f aca="false">IF(AND($N835="VCA",$AF835&gt;=1.25,$AF835&lt;1.5),$M835*$AF835*2,0)</f>
        <v>119.15346</v>
      </c>
      <c r="BE835" s="153" t="n">
        <f aca="false">IF(AND($N835="VCA",$AF835&gt;=1.5,$AF835&lt;3),$M835*$AF835*2,0)</f>
        <v>0</v>
      </c>
      <c r="BF835" s="153" t="n">
        <f aca="false">IF(AND($N835="VCA",$AF835&gt;=3),$M835*$AF835*2,0)</f>
        <v>0</v>
      </c>
      <c r="BG835" s="153" t="n">
        <f aca="false">($BB835+$BC835)*$AK835</f>
        <v>49.9871931</v>
      </c>
      <c r="BH835" s="153" t="n">
        <f aca="false">IF(AND($M835&lt;&gt;"",$N835="VCA",$Q835="LINEAR"),($M835*2)/100,IF(AND($M835&lt;&gt;"",$N835="MND",$Q835="EMBOQUE"),($AN835*2)/100,0))</f>
        <v>0.8742</v>
      </c>
      <c r="BI835" s="153" t="n">
        <f aca="false">IF(AND($M835&lt;&gt;"",$N835="VCA",$Q835="LINEAR"),$M835,IF(AND($M835&lt;&gt;"",$N835="MND",$Q835="EMBOQUE"),$AN835*2,0))</f>
        <v>43.71</v>
      </c>
      <c r="BJ835" s="153" t="n">
        <f aca="false">IF(AND($M835&lt;&gt;"",$N835="VCA",$Q835="LINEAR"),($M835*6.8)/100,IF(AND($M835&lt;&gt;"",$N835="MND",$Q835="EMBOQUE"),($AN835*2*6.8)/100,0))</f>
        <v>2.97228</v>
      </c>
      <c r="BK835" s="153" t="n">
        <f aca="false">IF(AND($M835&lt;&gt;"",$N835="VCA",$Q835="LINEAR"),($M835*2.5)/50,IF(AND($M835&lt;&gt;"",$N835="MND",$Q835="EMBOQUE"),($AN835*2*2.5)/50,0))</f>
        <v>2.1855</v>
      </c>
      <c r="BL835" s="157" t="str">
        <f aca="false">K835&amp;J835</f>
        <v>Zona07REDES</v>
      </c>
      <c r="BM835" s="152" t="s">
        <v>4225</v>
      </c>
      <c r="BN835" s="152" t="s">
        <v>1560</v>
      </c>
      <c r="BO835" s="152" t="s">
        <v>4218</v>
      </c>
      <c r="BP835" s="152" t="s">
        <v>4702</v>
      </c>
      <c r="BQ835" s="152" t="s">
        <v>4713</v>
      </c>
      <c r="BR835" s="152" t="s">
        <v>4714</v>
      </c>
      <c r="BS835" s="152" t="n">
        <v>203977.456</v>
      </c>
      <c r="BT835" s="152" t="n">
        <v>8236290.245</v>
      </c>
      <c r="BU835" s="152" t="n">
        <v>204020.504</v>
      </c>
      <c r="BV835" s="152" t="n">
        <v>8236297.755</v>
      </c>
      <c r="BW835" s="152" t="n">
        <v>-15.9349862</v>
      </c>
      <c r="BX835" s="152" t="n">
        <v>-47.7647726</v>
      </c>
      <c r="BY835" s="152" t="s">
        <v>4702</v>
      </c>
    </row>
    <row r="836" customFormat="false" ht="13.8" hidden="false" customHeight="false" outlineLevel="0" collapsed="false">
      <c r="A836" s="149" t="n">
        <f aca="false">IF(C836&lt;&gt;"",ROW(A831),"")</f>
        <v>831</v>
      </c>
      <c r="B836" s="150" t="str">
        <f aca="false">HYPERLINK("https://www.google.com/maps/dir/-15.917302,-47.760003/-15.9349571,-47.7645710/data=!4m3!4m2!3e0!5i1")</f>
        <v>https://www.google.com/maps/dir/-15.917302,-47.760003/-15.9349571,-47.7645710/data=!4m3!4m2!3e0!5i1</v>
      </c>
      <c r="C836" s="151" t="s">
        <v>117</v>
      </c>
      <c r="D836" s="152" t="s">
        <v>112</v>
      </c>
      <c r="E836" s="152" t="s">
        <v>113</v>
      </c>
      <c r="F836" s="152" t="s">
        <v>117</v>
      </c>
      <c r="G836" s="152" t="s">
        <v>782</v>
      </c>
      <c r="H836" s="152" t="n">
        <v>63</v>
      </c>
      <c r="I836" s="152" t="s">
        <v>115</v>
      </c>
      <c r="J836" s="152" t="s">
        <v>6</v>
      </c>
      <c r="K836" s="152" t="s">
        <v>4221</v>
      </c>
      <c r="L836" s="152" t="s">
        <v>120</v>
      </c>
      <c r="M836" s="153" t="n">
        <f aca="false">19.07+3</f>
        <v>22.07</v>
      </c>
      <c r="N836" s="152" t="s">
        <v>1548</v>
      </c>
      <c r="O836" s="152" t="s">
        <v>1549</v>
      </c>
      <c r="P836" s="152" t="s">
        <v>1550</v>
      </c>
      <c r="Q836" s="152" t="s">
        <v>1551</v>
      </c>
      <c r="R836" s="154" t="s">
        <v>4715</v>
      </c>
      <c r="S836" s="154" t="s">
        <v>1553</v>
      </c>
      <c r="T836" s="155" t="s">
        <v>4216</v>
      </c>
      <c r="U836" s="152" t="str">
        <f aca="false">RIGHT(T836,7)</f>
        <v>019/037</v>
      </c>
      <c r="V836" s="152" t="s">
        <v>1555</v>
      </c>
      <c r="W836" s="156" t="n">
        <v>45882</v>
      </c>
      <c r="X836" s="152" t="s">
        <v>3938</v>
      </c>
      <c r="Y836" s="152" t="s">
        <v>1952</v>
      </c>
      <c r="Z836" s="152" t="s">
        <v>1557</v>
      </c>
      <c r="AA836" s="153" t="n">
        <v>3.8</v>
      </c>
      <c r="AB836" s="151" t="s">
        <v>4716</v>
      </c>
      <c r="AC836" s="151" t="s">
        <v>186</v>
      </c>
      <c r="AD836" s="151" t="str">
        <f aca="false">CONCATENATE($C836,$I836,$H836,$N836,$J836,$K836)</f>
        <v>TUBO PEADPEAD63VCAREDESZona07</v>
      </c>
      <c r="AE836" s="153" t="n">
        <f aca="false">IFERROR(INDEX(APOIO_REDES!$A:$W,MATCH($C836&amp;$I836&amp;$H836&amp;$N836&amp;$O836,APOIO_REDES!$W:$W,0),MATCH(AE$5,APOIO_REDES!$5:$5,0)),0)</f>
        <v>1.2</v>
      </c>
      <c r="AF836" s="153" t="n">
        <f aca="false">IFERROR(INDEX(APOIO_REDES!$A:$W,MATCH($C836&amp;$I836&amp;$H836&amp;$N836&amp;$O836,APOIO_REDES!$W:$W,0),MATCH(AF$5,APOIO_REDES!$5:$5,0)),0)</f>
        <v>1.363</v>
      </c>
      <c r="AG836" s="153" t="n">
        <f aca="false">IFERROR(INDEX(APOIO_REDES!$A:$W,MATCH($C836&amp;$I836&amp;$H836&amp;$N836&amp;$O836,APOIO_REDES!$W:$W,0),MATCH(AG$5,APOIO_REDES!$5:$5,0)),0)</f>
        <v>0.65</v>
      </c>
      <c r="AH836" s="153" t="n">
        <f aca="false">IFERROR(INDEX(APOIO_REDES!$A:$W,MATCH($C836&amp;$I836&amp;$H836&amp;$N836&amp;$O836,APOIO_REDES!$W:$W,0),MATCH(AH$5,APOIO_REDES!$5:$5,0)),0)</f>
        <v>0.1</v>
      </c>
      <c r="AI836" s="153" t="n">
        <f aca="false">IFERROR(IF($H836&lt;&gt;"",(((($H836/1000)/2)^2)*PI()*$M836),0),0)</f>
        <v>0.0687976040032751</v>
      </c>
      <c r="AJ836" s="153" t="n">
        <f aca="false">IFERROR(IF(AND($H836&lt;&gt;"",$I836="FoFo",OR($N836="MND",$N836="VCA"),$Q836="LINEAR"),0,IF(AND($H836&lt;&gt;"",$I836="PEAD",$N836="VCA",$Q836="LINEAR"),($H836/1000)+0.3,IF(AND($H836&lt;&gt;"",$I836="PEAD",$N836="MND",$Q836="EMBOQUE"),0,IF(AND($H836&lt;&gt;"",$I836="PVC",$N836="VCA",$Q836="LINEAR"),($H836/1000)+0.2,IF(AND($H836&lt;&gt;"",$I836="PVC",$N836="MND",$Q836="EMBOQUE"),0,IF(AND($H836&lt;&gt;"",$I836="PEAD",$N836="VCA",$Q836="PREDIAL"),0,0)))))),0)</f>
        <v>0.363</v>
      </c>
      <c r="AK836" s="153" t="n">
        <f aca="false">IF(AA836&lt;&gt;"",AA836,0)</f>
        <v>3.8</v>
      </c>
      <c r="AL836" s="153" t="n">
        <f aca="false">IF(AND($N836="MND",$Q836="EMBOQUE"),$M836,IF(AND($N836="VCA",$Q836="LINEAR"),$M836,IF(AND($N836="VCA",$Q836="PREDIAL"),0,0)))</f>
        <v>22.07</v>
      </c>
      <c r="AM836" s="153" t="n">
        <f aca="false">IF(AND($N836="MND",$Q836="EMBOQUE"),$M836,IF(AND($N836="VCA",$Q836="LINEAR"),$M836,IF(AND($N836="VCA",$Q836="PREDIAL"),0,0)))</f>
        <v>22.07</v>
      </c>
      <c r="AN836" s="153" t="n">
        <f aca="false">ROUND(IF(AND($N836="VCA",$M836&lt;&gt;"",$Q836="LINEAR"),$M836/100,IF(AND($N836="MND",$M836&gt;100,$Q836="EMBOQUE"),$M836/100,0)),0)</f>
        <v>0</v>
      </c>
      <c r="AO836" s="153" t="n">
        <f aca="false">IF(AND($N836="MND",$Q836="EMBOQUE"),$AN836*2*2,IF(AND($N836="VCA",$Q836="LINEAR"),$M836*2,IF(AND($N836="VCA",$Q836="PREDIAL"),0,0)))</f>
        <v>44.14</v>
      </c>
      <c r="AP836" s="153" t="n">
        <f aca="false">IFERROR($M836*$AF836*$AG836,0)</f>
        <v>19.5529165</v>
      </c>
      <c r="AQ836" s="153" t="n">
        <f aca="false">IFERROR(IF(AND($N836="VCA",$AH836&gt;0),$M836*$AG836*$AH836,0),0)</f>
        <v>1.43455</v>
      </c>
      <c r="AR836" s="153" t="n">
        <f aca="false">IFERROR(IF(AND($N836="VCA",$AJ836&gt;0),($M836*$AG836*$AJ836)-$AI836,0),0)</f>
        <v>5.13861889599673</v>
      </c>
      <c r="AS836" s="153" t="n">
        <f aca="false">IFERROR(IF(AND($N836="VCA",$AP836&gt;0),$AP836-$AI836-$AQ836-$AR836,0),0)</f>
        <v>12.91095</v>
      </c>
      <c r="AT836" s="153" t="n">
        <f aca="false">IFERROR(IF($N836="VCA",INDEX(APOIO_REDES!$A:$W,MATCH($C836&amp;$I836&amp;$H836&amp;$N836&amp;$O836,APOIO_REDES!$W:$W,0),MATCH(AT$5,APOIO_REDES!$5:$5,0)),0)*$AP836,0)</f>
        <v>0.212741518887868</v>
      </c>
      <c r="AU836" s="153" t="n">
        <f aca="false">IFERROR(IF($N836="VCA",INDEX(APOIO_REDES!$A:$W,MATCH($C836&amp;$I836&amp;$H836&amp;$N836&amp;$O836,APOIO_REDES!$W:$W,0),MATCH(AU$5,APOIO_REDES!$5:$5,0)),0)*$AP836,0)</f>
        <v>0.16988961521281</v>
      </c>
      <c r="AV836" s="153" t="n">
        <f aca="false">IFERROR(IF($N836="VCA",INDEX(APOIO_REDES!$A:$W,MATCH($C836&amp;$I836&amp;$H836&amp;$N836&amp;$O836,APOIO_REDES!$W:$W,0),MATCH(AV$5,APOIO_REDES!$5:$5,0)),0)*$AP836,0)</f>
        <v>0.0235113890596822</v>
      </c>
      <c r="AW836" s="153" t="n">
        <f aca="false">IFERROR(IF($N836="VCA",INDEX(APOIO_REDES!$A:$W,MATCH($C836&amp;$I836&amp;$H836&amp;$N836&amp;$O836,APOIO_REDES!$W:$W,0),MATCH(AW$5,APOIO_REDES!$5:$5,0)),0)*$AP836,0)</f>
        <v>13.42127338899</v>
      </c>
      <c r="AX836" s="153" t="n">
        <f aca="false">IFERROR(IF($N836="VCA",INDEX(APOIO_REDES!$A:$W,MATCH($C836&amp;$I836&amp;$H836&amp;$N836&amp;$O836,APOIO_REDES!$W:$W,0),MATCH(AX$5,APOIO_REDES!$5:$5,0)),0)*$AP836,0)</f>
        <v>1.8574660058153</v>
      </c>
      <c r="AY836" s="153" t="n">
        <f aca="false">IFERROR(IF($N836="VCA",INDEX(APOIO_REDES!$A:$W,MATCH($C836&amp;$I836&amp;$H836&amp;$N836&amp;$O836,APOIO_REDES!$W:$W,0),MATCH(AY$5,APOIO_REDES!$5:$5,0)),0)*$AP836,0)</f>
        <v>3.39779023331555</v>
      </c>
      <c r="AZ836" s="153" t="n">
        <f aca="false">IFERROR(IF($N836="VCA",INDEX(APOIO_REDES!$A:$W,MATCH($C836&amp;$I836&amp;$H836&amp;$N836&amp;$O836,APOIO_REDES!$W:$W,0),MATCH(AZ$5,APOIO_REDES!$5:$5,0)),0)*$AP836,0)</f>
        <v>0.470244348718745</v>
      </c>
      <c r="BA836" s="153" t="n">
        <f aca="false">IFERROR(IF(AND($N836="VCA",$Q836="LINEAR"),INDEX(APOIO_REDES!$A:$W,MATCH($C836&amp;$I836&amp;$H836&amp;$N836&amp;$O836,APOIO_REDES!$W:$W,0),MATCH(BA$5,APOIO_REDES!$5:$5,0)),IF(AND($N836="MND",$Q836="EMBOQUE"),INDEX(APOIO_REDES!$A:$W,MATCH($C836&amp;$I836&amp;$H836&amp;$N836&amp;$O836,APOIO_REDES!$W:$W,0),MATCH(BA$5,APOIO_REDES!$5:$5,0)),0))*$M836/10,0)</f>
        <v>1.77878633018575</v>
      </c>
      <c r="BB836" s="153" t="n">
        <f aca="false">IFERROR(IF($N836="VCA",INDEX(APOIO_REDES!$A:$W,MATCH($C836&amp;$I836&amp;$H836&amp;$N836&amp;$O836,APOIO_REDES!$W:$W,0),MATCH(BB$5,APOIO_REDES!$5:$5,0)),0)*($AI836+$AQ836+$AR836),0)</f>
        <v>6.56969993855827</v>
      </c>
      <c r="BC836" s="153" t="n">
        <f aca="false">IFERROR(IF($N836="VCA",INDEX(APOIO_REDES!$A:$W,MATCH($C836&amp;$I836&amp;$H836&amp;$N836&amp;$O836,APOIO_REDES!$W:$W,0),MATCH(BC$5,APOIO_REDES!$5:$5,0)),0)*($AI836+$AQ836+$AR836),0)</f>
        <v>0.0722665614417338</v>
      </c>
      <c r="BD836" s="153" t="n">
        <f aca="false">IF(AND($N836="VCA",$AF836&gt;=1.25,$AF836&lt;1.5),$M836*$AF836*2,0)</f>
        <v>60.16282</v>
      </c>
      <c r="BE836" s="153" t="n">
        <f aca="false">IF(AND($N836="VCA",$AF836&gt;=1.5,$AF836&lt;3),$M836*$AF836*2,0)</f>
        <v>0</v>
      </c>
      <c r="BF836" s="153" t="n">
        <f aca="false">IF(AND($N836="VCA",$AF836&gt;=3),$M836*$AF836*2,0)</f>
        <v>0</v>
      </c>
      <c r="BG836" s="153" t="n">
        <f aca="false">($BB836+$BC836)*$AK836</f>
        <v>25.2394727</v>
      </c>
      <c r="BH836" s="153" t="n">
        <f aca="false">IF(AND($M836&lt;&gt;"",$N836="VCA",$Q836="LINEAR"),($M836*2)/100,IF(AND($M836&lt;&gt;"",$N836="MND",$Q836="EMBOQUE"),($AN836*2)/100,0))</f>
        <v>0.4414</v>
      </c>
      <c r="BI836" s="153" t="n">
        <f aca="false">IF(AND($M836&lt;&gt;"",$N836="VCA",$Q836="LINEAR"),$M836,IF(AND($M836&lt;&gt;"",$N836="MND",$Q836="EMBOQUE"),$AN836*2,0))</f>
        <v>22.07</v>
      </c>
      <c r="BJ836" s="153" t="n">
        <f aca="false">IF(AND($M836&lt;&gt;"",$N836="VCA",$Q836="LINEAR"),($M836*6.8)/100,IF(AND($M836&lt;&gt;"",$N836="MND",$Q836="EMBOQUE"),($AN836*2*6.8)/100,0))</f>
        <v>1.50076</v>
      </c>
      <c r="BK836" s="153" t="n">
        <f aca="false">IF(AND($M836&lt;&gt;"",$N836="VCA",$Q836="LINEAR"),($M836*2.5)/50,IF(AND($M836&lt;&gt;"",$N836="MND",$Q836="EMBOQUE"),($AN836*2*2.5)/50,0))</f>
        <v>1.1035</v>
      </c>
      <c r="BL836" s="157" t="str">
        <f aca="false">K836&amp;J836</f>
        <v>Zona07REDES</v>
      </c>
      <c r="BM836" s="152" t="s">
        <v>4225</v>
      </c>
      <c r="BN836" s="152" t="s">
        <v>1560</v>
      </c>
      <c r="BO836" s="152" t="s">
        <v>4218</v>
      </c>
      <c r="BP836" s="152" t="s">
        <v>4713</v>
      </c>
      <c r="BQ836" s="152" t="s">
        <v>4717</v>
      </c>
      <c r="BR836" s="152" t="s">
        <v>4714</v>
      </c>
      <c r="BS836" s="152" t="n">
        <v>204020.504</v>
      </c>
      <c r="BT836" s="152" t="n">
        <v>8236297.755</v>
      </c>
      <c r="BU836" s="152" t="n">
        <v>204025.582</v>
      </c>
      <c r="BV836" s="152" t="n">
        <v>8236279.376</v>
      </c>
      <c r="BW836" s="152" t="n">
        <v>-15.9350404</v>
      </c>
      <c r="BX836" s="152" t="n">
        <v>-47.7645484</v>
      </c>
      <c r="BY836" s="152" t="s">
        <v>4713</v>
      </c>
    </row>
    <row r="837" customFormat="false" ht="13.8" hidden="false" customHeight="false" outlineLevel="0" collapsed="false">
      <c r="A837" s="149" t="n">
        <f aca="false">IF(C837&lt;&gt;"",ROW(A832),"")</f>
        <v>832</v>
      </c>
      <c r="B837" s="150" t="str">
        <f aca="false">HYPERLINK("https://www.google.com/maps/dir/-15.917302,-47.760003/-15.9350198,-47.7649737/data=!4m3!4m2!3e0!5i1")</f>
        <v>https://www.google.com/maps/dir/-15.917302,-47.760003/-15.9350198,-47.7649737/data=!4m3!4m2!3e0!5i1</v>
      </c>
      <c r="C837" s="151" t="s">
        <v>117</v>
      </c>
      <c r="D837" s="152" t="s">
        <v>112</v>
      </c>
      <c r="E837" s="152" t="s">
        <v>113</v>
      </c>
      <c r="F837" s="152" t="s">
        <v>117</v>
      </c>
      <c r="G837" s="152" t="s">
        <v>782</v>
      </c>
      <c r="H837" s="152" t="n">
        <v>63</v>
      </c>
      <c r="I837" s="152" t="s">
        <v>115</v>
      </c>
      <c r="J837" s="152" t="s">
        <v>6</v>
      </c>
      <c r="K837" s="152" t="s">
        <v>4221</v>
      </c>
      <c r="L837" s="152" t="s">
        <v>120</v>
      </c>
      <c r="M837" s="153" t="n">
        <f aca="false">16.33+3.09</f>
        <v>19.42</v>
      </c>
      <c r="N837" s="152" t="s">
        <v>1548</v>
      </c>
      <c r="O837" s="152" t="s">
        <v>1549</v>
      </c>
      <c r="P837" s="152" t="s">
        <v>1550</v>
      </c>
      <c r="Q837" s="152" t="s">
        <v>1551</v>
      </c>
      <c r="R837" s="154" t="s">
        <v>4718</v>
      </c>
      <c r="S837" s="154" t="s">
        <v>1553</v>
      </c>
      <c r="T837" s="155" t="s">
        <v>4216</v>
      </c>
      <c r="U837" s="152" t="str">
        <f aca="false">RIGHT(T837,7)</f>
        <v>019/037</v>
      </c>
      <c r="V837" s="152" t="s">
        <v>1555</v>
      </c>
      <c r="W837" s="156" t="n">
        <v>45882</v>
      </c>
      <c r="X837" s="152" t="s">
        <v>3938</v>
      </c>
      <c r="Y837" s="152" t="s">
        <v>1952</v>
      </c>
      <c r="Z837" s="152" t="s">
        <v>1557</v>
      </c>
      <c r="AA837" s="153" t="n">
        <v>3.8</v>
      </c>
      <c r="AB837" s="151" t="s">
        <v>4719</v>
      </c>
      <c r="AC837" s="151" t="s">
        <v>186</v>
      </c>
      <c r="AD837" s="151" t="str">
        <f aca="false">CONCATENATE($C837,$I837,$H837,$N837,$J837,$K837)</f>
        <v>TUBO PEADPEAD63VCAREDESZona07</v>
      </c>
      <c r="AE837" s="153" t="n">
        <f aca="false">IFERROR(INDEX(APOIO_REDES!$A:$W,MATCH($C837&amp;$I837&amp;$H837&amp;$N837&amp;$O837,APOIO_REDES!$W:$W,0),MATCH(AE$5,APOIO_REDES!$5:$5,0)),0)</f>
        <v>1.2</v>
      </c>
      <c r="AF837" s="153" t="n">
        <f aca="false">IFERROR(INDEX(APOIO_REDES!$A:$W,MATCH($C837&amp;$I837&amp;$H837&amp;$N837&amp;$O837,APOIO_REDES!$W:$W,0),MATCH(AF$5,APOIO_REDES!$5:$5,0)),0)</f>
        <v>1.363</v>
      </c>
      <c r="AG837" s="153" t="n">
        <f aca="false">IFERROR(INDEX(APOIO_REDES!$A:$W,MATCH($C837&amp;$I837&amp;$H837&amp;$N837&amp;$O837,APOIO_REDES!$W:$W,0),MATCH(AG$5,APOIO_REDES!$5:$5,0)),0)</f>
        <v>0.65</v>
      </c>
      <c r="AH837" s="153" t="n">
        <f aca="false">IFERROR(INDEX(APOIO_REDES!$A:$W,MATCH($C837&amp;$I837&amp;$H837&amp;$N837&amp;$O837,APOIO_REDES!$W:$W,0),MATCH(AH$5,APOIO_REDES!$5:$5,0)),0)</f>
        <v>0.1</v>
      </c>
      <c r="AI837" s="153" t="n">
        <f aca="false">IFERROR(IF($H837&lt;&gt;"",(((($H837/1000)/2)^2)*PI()*$M837),0),0)</f>
        <v>0.0605369039303852</v>
      </c>
      <c r="AJ837" s="153" t="n">
        <f aca="false">IFERROR(IF(AND($H837&lt;&gt;"",$I837="FoFo",OR($N837="MND",$N837="VCA"),$Q837="LINEAR"),0,IF(AND($H837&lt;&gt;"",$I837="PEAD",$N837="VCA",$Q837="LINEAR"),($H837/1000)+0.3,IF(AND($H837&lt;&gt;"",$I837="PEAD",$N837="MND",$Q837="EMBOQUE"),0,IF(AND($H837&lt;&gt;"",$I837="PVC",$N837="VCA",$Q837="LINEAR"),($H837/1000)+0.2,IF(AND($H837&lt;&gt;"",$I837="PVC",$N837="MND",$Q837="EMBOQUE"),0,IF(AND($H837&lt;&gt;"",$I837="PEAD",$N837="VCA",$Q837="PREDIAL"),0,0)))))),0)</f>
        <v>0.363</v>
      </c>
      <c r="AK837" s="153" t="n">
        <f aca="false">IF(AA837&lt;&gt;"",AA837,0)</f>
        <v>3.8</v>
      </c>
      <c r="AL837" s="153" t="n">
        <f aca="false">IF(AND($N837="MND",$Q837="EMBOQUE"),$M837,IF(AND($N837="VCA",$Q837="LINEAR"),$M837,IF(AND($N837="VCA",$Q837="PREDIAL"),0,0)))</f>
        <v>19.42</v>
      </c>
      <c r="AM837" s="153" t="n">
        <f aca="false">IF(AND($N837="MND",$Q837="EMBOQUE"),$M837,IF(AND($N837="VCA",$Q837="LINEAR"),$M837,IF(AND($N837="VCA",$Q837="PREDIAL"),0,0)))</f>
        <v>19.42</v>
      </c>
      <c r="AN837" s="153" t="n">
        <f aca="false">ROUND(IF(AND($N837="VCA",$M837&lt;&gt;"",$Q837="LINEAR"),$M837/100,IF(AND($N837="MND",$M837&gt;100,$Q837="EMBOQUE"),$M837/100,0)),0)</f>
        <v>0</v>
      </c>
      <c r="AO837" s="153" t="n">
        <f aca="false">IF(AND($N837="MND",$Q837="EMBOQUE"),$AN837*2*2,IF(AND($N837="VCA",$Q837="LINEAR"),$M837*2,IF(AND($N837="VCA",$Q837="PREDIAL"),0,0)))</f>
        <v>38.84</v>
      </c>
      <c r="AP837" s="153" t="n">
        <f aca="false">IFERROR($M837*$AF837*$AG837,0)</f>
        <v>17.205149</v>
      </c>
      <c r="AQ837" s="153" t="n">
        <f aca="false">IFERROR(IF(AND($N837="VCA",$AH837&gt;0),$M837*$AG837*$AH837,0),0)</f>
        <v>1.2623</v>
      </c>
      <c r="AR837" s="153" t="n">
        <f aca="false">IFERROR(IF(AND($N837="VCA",$AJ837&gt;0),($M837*$AG837*$AJ837)-$AI837,0),0)</f>
        <v>4.52161209606961</v>
      </c>
      <c r="AS837" s="153" t="n">
        <f aca="false">IFERROR(IF(AND($N837="VCA",$AP837&gt;0),$AP837-$AI837-$AQ837-$AR837,0),0)</f>
        <v>11.3607</v>
      </c>
      <c r="AT837" s="153" t="n">
        <f aca="false">IFERROR(IF($N837="VCA",INDEX(APOIO_REDES!$A:$W,MATCH($C837&amp;$I837&amp;$H837&amp;$N837&amp;$O837,APOIO_REDES!$W:$W,0),MATCH(AT$5,APOIO_REDES!$5:$5,0)),0)*$AP837,0)</f>
        <v>0.18719711358416</v>
      </c>
      <c r="AU837" s="153" t="n">
        <f aca="false">IFERROR(IF($N837="VCA",INDEX(APOIO_REDES!$A:$W,MATCH($C837&amp;$I837&amp;$H837&amp;$N837&amp;$O837,APOIO_REDES!$W:$W,0),MATCH(AU$5,APOIO_REDES!$5:$5,0)),0)*$AP837,0)</f>
        <v>0.149490544967502</v>
      </c>
      <c r="AV837" s="153" t="n">
        <f aca="false">IFERROR(IF($N837="VCA",INDEX(APOIO_REDES!$A:$W,MATCH($C837&amp;$I837&amp;$H837&amp;$N837&amp;$O837,APOIO_REDES!$W:$W,0),MATCH(AV$5,APOIO_REDES!$5:$5,0)),0)*$AP837,0)</f>
        <v>0.0206883178767117</v>
      </c>
      <c r="AW837" s="153" t="n">
        <f aca="false">IFERROR(IF($N837="VCA",INDEX(APOIO_REDES!$A:$W,MATCH($C837&amp;$I837&amp;$H837&amp;$N837&amp;$O837,APOIO_REDES!$W:$W,0),MATCH(AW$5,APOIO_REDES!$5:$5,0)),0)*$AP837,0)</f>
        <v>11.8097475855998</v>
      </c>
      <c r="AX837" s="153" t="n">
        <f aca="false">IFERROR(IF($N837="VCA",INDEX(APOIO_REDES!$A:$W,MATCH($C837&amp;$I837&amp;$H837&amp;$N837&amp;$O837,APOIO_REDES!$W:$W,0),MATCH(AX$5,APOIO_REDES!$5:$5,0)),0)*$AP837,0)</f>
        <v>1.63443542514423</v>
      </c>
      <c r="AY837" s="153" t="n">
        <f aca="false">IFERROR(IF($N837="VCA",INDEX(APOIO_REDES!$A:$W,MATCH($C837&amp;$I837&amp;$H837&amp;$N837&amp;$O837,APOIO_REDES!$W:$W,0),MATCH(AY$5,APOIO_REDES!$5:$5,0)),0)*$AP837,0)</f>
        <v>2.98980907707241</v>
      </c>
      <c r="AZ837" s="153" t="n">
        <f aca="false">IFERROR(IF($N837="VCA",INDEX(APOIO_REDES!$A:$W,MATCH($C837&amp;$I837&amp;$H837&amp;$N837&amp;$O837,APOIO_REDES!$W:$W,0),MATCH(AZ$5,APOIO_REDES!$5:$5,0)),0)*$AP837,0)</f>
        <v>0.413780935755235</v>
      </c>
      <c r="BA837" s="153" t="n">
        <f aca="false">IFERROR(IF(AND($N837="VCA",$Q837="LINEAR"),INDEX(APOIO_REDES!$A:$W,MATCH($C837&amp;$I837&amp;$H837&amp;$N837&amp;$O837,APOIO_REDES!$W:$W,0),MATCH(BA$5,APOIO_REDES!$5:$5,0)),IF(AND($N837="MND",$Q837="EMBOQUE"),INDEX(APOIO_REDES!$A:$W,MATCH($C837&amp;$I837&amp;$H837&amp;$N837&amp;$O837,APOIO_REDES!$W:$W,0),MATCH(BA$5,APOIO_REDES!$5:$5,0)),0))*$M837/10,0)</f>
        <v>1.56520301459933</v>
      </c>
      <c r="BB837" s="153" t="n">
        <f aca="false">IFERROR(IF($N837="VCA",INDEX(APOIO_REDES!$A:$W,MATCH($C837&amp;$I837&amp;$H837&amp;$N837&amp;$O837,APOIO_REDES!$W:$W,0),MATCH(BB$5,APOIO_REDES!$5:$5,0)),0)*($AI837+$AQ837+$AR837),0)</f>
        <v>5.7808596650114</v>
      </c>
      <c r="BC837" s="153" t="n">
        <f aca="false">IFERROR(IF($N837="VCA",INDEX(APOIO_REDES!$A:$W,MATCH($C837&amp;$I837&amp;$H837&amp;$N837&amp;$O837,APOIO_REDES!$W:$W,0),MATCH(BC$5,APOIO_REDES!$5:$5,0)),0)*($AI837+$AQ837+$AR837),0)</f>
        <v>0.063589334988603</v>
      </c>
      <c r="BD837" s="153" t="n">
        <f aca="false">IF(AND($N837="VCA",$AF837&gt;=1.25,$AF837&lt;1.5),$M837*$AF837*2,0)</f>
        <v>52.93892</v>
      </c>
      <c r="BE837" s="153" t="n">
        <f aca="false">IF(AND($N837="VCA",$AF837&gt;=1.5,$AF837&lt;3),$M837*$AF837*2,0)</f>
        <v>0</v>
      </c>
      <c r="BF837" s="153" t="n">
        <f aca="false">IF(AND($N837="VCA",$AF837&gt;=3),$M837*$AF837*2,0)</f>
        <v>0</v>
      </c>
      <c r="BG837" s="153" t="n">
        <f aca="false">($BB837+$BC837)*$AK837</f>
        <v>22.2089062</v>
      </c>
      <c r="BH837" s="153" t="n">
        <f aca="false">IF(AND($M837&lt;&gt;"",$N837="VCA",$Q837="LINEAR"),($M837*2)/100,IF(AND($M837&lt;&gt;"",$N837="MND",$Q837="EMBOQUE"),($AN837*2)/100,0))</f>
        <v>0.3884</v>
      </c>
      <c r="BI837" s="153" t="n">
        <f aca="false">IF(AND($M837&lt;&gt;"",$N837="VCA",$Q837="LINEAR"),$M837,IF(AND($M837&lt;&gt;"",$N837="MND",$Q837="EMBOQUE"),$AN837*2,0))</f>
        <v>19.42</v>
      </c>
      <c r="BJ837" s="153" t="n">
        <f aca="false">IF(AND($M837&lt;&gt;"",$N837="VCA",$Q837="LINEAR"),($M837*6.8)/100,IF(AND($M837&lt;&gt;"",$N837="MND",$Q837="EMBOQUE"),($AN837*2*6.8)/100,0))</f>
        <v>1.32056</v>
      </c>
      <c r="BK837" s="153" t="n">
        <f aca="false">IF(AND($M837&lt;&gt;"",$N837="VCA",$Q837="LINEAR"),($M837*2.5)/50,IF(AND($M837&lt;&gt;"",$N837="MND",$Q837="EMBOQUE"),($AN837*2*2.5)/50,0))</f>
        <v>0.971</v>
      </c>
      <c r="BL837" s="157" t="str">
        <f aca="false">K837&amp;J837</f>
        <v>Zona07REDES</v>
      </c>
      <c r="BM837" s="152" t="s">
        <v>4225</v>
      </c>
      <c r="BN837" s="152" t="s">
        <v>1560</v>
      </c>
      <c r="BO837" s="152" t="s">
        <v>4218</v>
      </c>
      <c r="BP837" s="152" t="s">
        <v>4702</v>
      </c>
      <c r="BQ837" s="152" t="s">
        <v>4720</v>
      </c>
      <c r="BR837" s="152" t="s">
        <v>4721</v>
      </c>
      <c r="BS837" s="152" t="n">
        <v>203977.456</v>
      </c>
      <c r="BT837" s="152" t="n">
        <v>8236290.245</v>
      </c>
      <c r="BU837" s="152" t="n">
        <v>203982.827</v>
      </c>
      <c r="BV837" s="152" t="n">
        <v>8236274.826</v>
      </c>
      <c r="BW837" s="152" t="n">
        <v>-15.9350898</v>
      </c>
      <c r="BX837" s="152" t="n">
        <v>-47.7649499</v>
      </c>
      <c r="BY837" s="152" t="s">
        <v>4702</v>
      </c>
    </row>
    <row r="838" customFormat="false" ht="13.8" hidden="false" customHeight="false" outlineLevel="0" collapsed="false">
      <c r="A838" s="149" t="n">
        <f aca="false">IF(C838&lt;&gt;"",ROW(A833),"")</f>
        <v>833</v>
      </c>
      <c r="B838" s="150" t="str">
        <f aca="false">HYPERLINK("https://www.google.com/maps/dir/-15.917302,-47.760003/-15.9313264,-47.7627094/data=!4m3!4m2!3e0!5i2")</f>
        <v>https://www.google.com/maps/dir/-15.917302,-47.760003/-15.9313264,-47.7627094/data=!4m3!4m2!3e0!5i2</v>
      </c>
      <c r="C838" s="151" t="s">
        <v>117</v>
      </c>
      <c r="D838" s="152" t="s">
        <v>112</v>
      </c>
      <c r="E838" s="152" t="s">
        <v>113</v>
      </c>
      <c r="F838" s="152" t="s">
        <v>117</v>
      </c>
      <c r="G838" s="152" t="s">
        <v>114</v>
      </c>
      <c r="H838" s="152" t="n">
        <v>315</v>
      </c>
      <c r="I838" s="152" t="s">
        <v>115</v>
      </c>
      <c r="J838" s="152" t="s">
        <v>6</v>
      </c>
      <c r="K838" s="152" t="s">
        <v>2224</v>
      </c>
      <c r="L838" s="152" t="s">
        <v>120</v>
      </c>
      <c r="M838" s="153" t="n">
        <f aca="false">833.37+3.95</f>
        <v>837.32</v>
      </c>
      <c r="N838" s="152" t="s">
        <v>1548</v>
      </c>
      <c r="O838" s="152" t="s">
        <v>1549</v>
      </c>
      <c r="P838" s="152" t="s">
        <v>1550</v>
      </c>
      <c r="Q838" s="152" t="s">
        <v>1551</v>
      </c>
      <c r="R838" s="154" t="s">
        <v>4722</v>
      </c>
      <c r="S838" s="154" t="s">
        <v>2226</v>
      </c>
      <c r="T838" s="155" t="s">
        <v>4723</v>
      </c>
      <c r="U838" s="152" t="str">
        <f aca="false">RIGHT(T838,7)</f>
        <v>020/037</v>
      </c>
      <c r="V838" s="152" t="s">
        <v>1555</v>
      </c>
      <c r="W838" s="156" t="n">
        <v>45882</v>
      </c>
      <c r="X838" s="152" t="s">
        <v>3938</v>
      </c>
      <c r="Y838" s="152" t="s">
        <v>2117</v>
      </c>
      <c r="Z838" s="152" t="s">
        <v>1557</v>
      </c>
      <c r="AA838" s="153" t="n">
        <v>3.4</v>
      </c>
      <c r="AB838" s="151" t="s">
        <v>4724</v>
      </c>
      <c r="AC838" s="151" t="s">
        <v>514</v>
      </c>
      <c r="AD838" s="151" t="str">
        <f aca="false">CONCATENATE($C838,$I838,$H838,$N838,$J838,$K838)</f>
        <v>TUBO PEADPEAD315VCAREDESADUTORA</v>
      </c>
      <c r="AE838" s="153" t="n">
        <f aca="false">IFERROR(INDEX(APOIO_REDES!$A:$W,MATCH($C838&amp;$I838&amp;$H838&amp;$N838&amp;$O838,APOIO_REDES!$W:$W,0),MATCH(AE$5,APOIO_REDES!$5:$5,0)),0)</f>
        <v>1.2</v>
      </c>
      <c r="AF838" s="153" t="n">
        <f aca="false">IFERROR(INDEX(APOIO_REDES!$A:$W,MATCH($C838&amp;$I838&amp;$H838&amp;$N838&amp;$O838,APOIO_REDES!$W:$W,0),MATCH(AF$5,APOIO_REDES!$5:$5,0)),0)</f>
        <v>1.615</v>
      </c>
      <c r="AG838" s="153" t="n">
        <f aca="false">IFERROR(INDEX(APOIO_REDES!$A:$W,MATCH($C838&amp;$I838&amp;$H838&amp;$N838&amp;$O838,APOIO_REDES!$W:$W,0),MATCH(AG$5,APOIO_REDES!$5:$5,0)),0)</f>
        <v>0.9</v>
      </c>
      <c r="AH838" s="153" t="n">
        <f aca="false">IFERROR(INDEX(APOIO_REDES!$A:$W,MATCH($C838&amp;$I838&amp;$H838&amp;$N838&amp;$O838,APOIO_REDES!$W:$W,0),MATCH(AH$5,APOIO_REDES!$5:$5,0)),0)</f>
        <v>0.1</v>
      </c>
      <c r="AI838" s="153" t="n">
        <f aca="false">IFERROR(IF($H838&lt;&gt;"",(((($H838/1000)/2)^2)*PI()*$M838),0),0)</f>
        <v>65.2532960852088</v>
      </c>
      <c r="AJ838" s="153" t="n">
        <f aca="false">IFERROR(IF(AND($H838&lt;&gt;"",$I838="FoFo",OR($N838="MND",$N838="VCA"),$Q838="LINEAR"),0,IF(AND($H838&lt;&gt;"",$I838="PEAD",$N838="VCA",$Q838="LINEAR"),($H838/1000)+0.3,IF(AND($H838&lt;&gt;"",$I838="PEAD",$N838="MND",$Q838="EMBOQUE"),0,IF(AND($H838&lt;&gt;"",$I838="PVC",$N838="VCA",$Q838="LINEAR"),($H838/1000)+0.2,IF(AND($H838&lt;&gt;"",$I838="PVC",$N838="MND",$Q838="EMBOQUE"),0,IF(AND($H838&lt;&gt;"",$I838="PEAD",$N838="VCA",$Q838="PREDIAL"),0,0)))))),0)</f>
        <v>0.615</v>
      </c>
      <c r="AK838" s="153" t="n">
        <f aca="false">IF(AA838&lt;&gt;"",AA838,0)</f>
        <v>3.4</v>
      </c>
      <c r="AL838" s="153" t="n">
        <f aca="false">IF(AND($N838="MND",$Q838="EMBOQUE"),$M838,IF(AND($N838="VCA",$Q838="LINEAR"),$M838,IF(AND($N838="VCA",$Q838="PREDIAL"),0,0)))</f>
        <v>837.32</v>
      </c>
      <c r="AM838" s="153" t="n">
        <f aca="false">IF(AND($N838="MND",$Q838="EMBOQUE"),$M838,IF(AND($N838="VCA",$Q838="LINEAR"),$M838,IF(AND($N838="VCA",$Q838="PREDIAL"),0,0)))</f>
        <v>837.32</v>
      </c>
      <c r="AN838" s="153" t="n">
        <f aca="false">ROUND(IF(AND($N838="VCA",$M838&lt;&gt;"",$Q838="LINEAR"),$M838/100,IF(AND($N838="MND",$M838&gt;100,$Q838="EMBOQUE"),$M838/100,0)),0)</f>
        <v>8</v>
      </c>
      <c r="AO838" s="153" t="n">
        <f aca="false">IF(AND($N838="MND",$Q838="EMBOQUE"),$AN838*2*2,IF(AND($N838="VCA",$Q838="LINEAR"),$M838*2,IF(AND($N838="VCA",$Q838="PREDIAL"),0,0)))</f>
        <v>1674.64</v>
      </c>
      <c r="AP838" s="153" t="n">
        <f aca="false">IFERROR($M838*$AF838*$AG838,0)</f>
        <v>1217.04462</v>
      </c>
      <c r="AQ838" s="153" t="n">
        <f aca="false">IFERROR(IF(AND($N838="VCA",$AH838&gt;0),$M838*$AG838*$AH838,0),0)</f>
        <v>75.3588</v>
      </c>
      <c r="AR838" s="153" t="n">
        <f aca="false">IFERROR(IF(AND($N838="VCA",$AJ838&gt;0),($M838*$AG838*$AJ838)-$AI838,0),0)</f>
        <v>398.203323914791</v>
      </c>
      <c r="AS838" s="153" t="n">
        <f aca="false">IFERROR(IF(AND($N838="VCA",$AP838&gt;0),$AP838-$AI838-$AQ838-$AR838,0),0)</f>
        <v>678.2292</v>
      </c>
      <c r="AT838" s="153" t="n">
        <f aca="false">IFERROR(IF($N838="VCA",INDEX(APOIO_REDES!$A:$W,MATCH($C838&amp;$I838&amp;$H838&amp;$N838&amp;$O838,APOIO_REDES!$W:$W,0),MATCH(AT$5,APOIO_REDES!$5:$5,0)),0)*$AP838,0)</f>
        <v>13.2418056924198</v>
      </c>
      <c r="AU838" s="153" t="n">
        <f aca="false">IFERROR(IF($N838="VCA",INDEX(APOIO_REDES!$A:$W,MATCH($C838&amp;$I838&amp;$H838&amp;$N838&amp;$O838,APOIO_REDES!$W:$W,0),MATCH(AU$5,APOIO_REDES!$5:$5,0)),0)*$AP838,0)</f>
        <v>10.5745473923862</v>
      </c>
      <c r="AV838" s="153" t="n">
        <f aca="false">IFERROR(IF($N838="VCA",INDEX(APOIO_REDES!$A:$W,MATCH($C838&amp;$I838&amp;$H838&amp;$N838&amp;$O838,APOIO_REDES!$W:$W,0),MATCH(AV$5,APOIO_REDES!$5:$5,0)),0)*$AP838,0)</f>
        <v>1.46343434565442</v>
      </c>
      <c r="AW838" s="153" t="n">
        <f aca="false">IFERROR(IF($N838="VCA",INDEX(APOIO_REDES!$A:$W,MATCH($C838&amp;$I838&amp;$H838&amp;$N838&amp;$O838,APOIO_REDES!$W:$W,0),MATCH(AW$5,APOIO_REDES!$5:$5,0)),0)*$AP838,0)</f>
        <v>835.388857289883</v>
      </c>
      <c r="AX838" s="153" t="n">
        <f aca="false">IFERROR(IF($N838="VCA",INDEX(APOIO_REDES!$A:$W,MATCH($C838&amp;$I838&amp;$H838&amp;$N838&amp;$O838,APOIO_REDES!$W:$W,0),MATCH(AX$5,APOIO_REDES!$5:$5,0)),0)*$AP838,0)</f>
        <v>115.615438198716</v>
      </c>
      <c r="AY838" s="153" t="n">
        <f aca="false">IFERROR(IF($N838="VCA",INDEX(APOIO_REDES!$A:$W,MATCH($C838&amp;$I838&amp;$H838&amp;$N838&amp;$O838,APOIO_REDES!$W:$W,0),MATCH(AY$5,APOIO_REDES!$5:$5,0)),0)*$AP838,0)</f>
        <v>211.490818944848</v>
      </c>
      <c r="AZ838" s="153" t="n">
        <f aca="false">IFERROR(IF($N838="VCA",INDEX(APOIO_REDES!$A:$W,MATCH($C838&amp;$I838&amp;$H838&amp;$N838&amp;$O838,APOIO_REDES!$W:$W,0),MATCH(AZ$5,APOIO_REDES!$5:$5,0)),0)*$AP838,0)</f>
        <v>29.2697181360925</v>
      </c>
      <c r="BA838" s="153" t="n">
        <f aca="false">IFERROR(IF(AND($N838="VCA",$Q838="LINEAR"),INDEX(APOIO_REDES!$A:$W,MATCH($C838&amp;$I838&amp;$H838&amp;$N838&amp;$O838,APOIO_REDES!$W:$W,0),MATCH(BA$5,APOIO_REDES!$5:$5,0)),IF(AND($N838="MND",$Q838="EMBOQUE"),INDEX(APOIO_REDES!$A:$W,MATCH($C838&amp;$I838&amp;$H838&amp;$N838&amp;$O838,APOIO_REDES!$W:$W,0),MATCH(BA$5,APOIO_REDES!$5:$5,0)),0))*$M838/10,0)</f>
        <v>67.4858799271016</v>
      </c>
      <c r="BB838" s="153" t="n">
        <f aca="false">IFERROR(IF($N838="VCA",INDEX(APOIO_REDES!$A:$W,MATCH($C838&amp;$I838&amp;$H838&amp;$N838&amp;$O838,APOIO_REDES!$W:$W,0),MATCH(BB$5,APOIO_REDES!$5:$5,0)),0)*($AI838+$AQ838+$AR838),0)</f>
        <v>532.952948749177</v>
      </c>
      <c r="BC838" s="153" t="n">
        <f aca="false">IFERROR(IF($N838="VCA",INDEX(APOIO_REDES!$A:$W,MATCH($C838&amp;$I838&amp;$H838&amp;$N838&amp;$O838,APOIO_REDES!$W:$W,0),MATCH(BC$5,APOIO_REDES!$5:$5,0)),0)*($AI838+$AQ838+$AR838),0)</f>
        <v>5.86247125082362</v>
      </c>
      <c r="BD838" s="153" t="n">
        <f aca="false">IF(AND($N838="VCA",$AF838&gt;=1.25,$AF838&lt;1.5),$M838*$AF838*2,0)</f>
        <v>0</v>
      </c>
      <c r="BE838" s="153" t="n">
        <f aca="false">IF(AND($N838="VCA",$AF838&gt;=1.5,$AF838&lt;3),$M838*$AF838*2,0)</f>
        <v>2704.5436</v>
      </c>
      <c r="BF838" s="153" t="n">
        <f aca="false">IF(AND($N838="VCA",$AF838&gt;=3),$M838*$AF838*2,0)</f>
        <v>0</v>
      </c>
      <c r="BG838" s="153" t="n">
        <f aca="false">($BB838+$BC838)*$AK838</f>
        <v>1831.972428</v>
      </c>
      <c r="BH838" s="153" t="n">
        <f aca="false">IF(AND($M838&lt;&gt;"",$N838="VCA",$Q838="LINEAR"),($M838*2)/100,IF(AND($M838&lt;&gt;"",$N838="MND",$Q838="EMBOQUE"),($AN838*2)/100,0))</f>
        <v>16.7464</v>
      </c>
      <c r="BI838" s="153" t="n">
        <f aca="false">IF(AND($M838&lt;&gt;"",$N838="VCA",$Q838="LINEAR"),$M838,IF(AND($M838&lt;&gt;"",$N838="MND",$Q838="EMBOQUE"),$AN838*2,0))</f>
        <v>837.32</v>
      </c>
      <c r="BJ838" s="153" t="n">
        <f aca="false">IF(AND($M838&lt;&gt;"",$N838="VCA",$Q838="LINEAR"),($M838*6.8)/100,IF(AND($M838&lt;&gt;"",$N838="MND",$Q838="EMBOQUE"),($AN838*2*6.8)/100,0))</f>
        <v>56.93776</v>
      </c>
      <c r="BK838" s="153" t="n">
        <f aca="false">IF(AND($M838&lt;&gt;"",$N838="VCA",$Q838="LINEAR"),($M838*2.5)/50,IF(AND($M838&lt;&gt;"",$N838="MND",$Q838="EMBOQUE"),($AN838*2*2.5)/50,0))</f>
        <v>41.866</v>
      </c>
      <c r="BL838" s="157" t="str">
        <f aca="false">K838&amp;J838</f>
        <v>ADUTORAREDES</v>
      </c>
      <c r="BM838" s="152" t="s">
        <v>2229</v>
      </c>
      <c r="BN838" s="152" t="s">
        <v>2230</v>
      </c>
      <c r="BO838" s="152" t="s">
        <v>4725</v>
      </c>
      <c r="BP838" s="152" t="s">
        <v>4292</v>
      </c>
      <c r="BQ838" s="152" t="s">
        <v>4726</v>
      </c>
      <c r="BR838" s="152" t="s">
        <v>4727</v>
      </c>
      <c r="BS838" s="152" t="n">
        <v>204214.619</v>
      </c>
      <c r="BT838" s="152" t="n">
        <v>8236702.403</v>
      </c>
      <c r="BU838" s="152" t="n">
        <v>205047.243</v>
      </c>
      <c r="BV838" s="152" t="n">
        <v>8236728.068</v>
      </c>
      <c r="BW838" s="152" t="n">
        <v>-15.9312813</v>
      </c>
      <c r="BX838" s="152" t="n">
        <v>-47.758821</v>
      </c>
      <c r="BY838" s="152" t="s">
        <v>4292</v>
      </c>
    </row>
    <row r="839" customFormat="false" ht="13.8" hidden="false" customHeight="false" outlineLevel="0" collapsed="false">
      <c r="A839" s="149" t="n">
        <f aca="false">IF(C839&lt;&gt;"",ROW(A834),"")</f>
        <v>834</v>
      </c>
      <c r="B839" s="150" t="str">
        <f aca="false">HYPERLINK("https://www.google.com/maps/dir/-15.917302,-47.760003/-15.9313085,-47.7559788/data=!4m3!4m2!3e0!5i1")</f>
        <v>https://www.google.com/maps/dir/-15.917302,-47.760003/-15.9313085,-47.7559788/data=!4m3!4m2!3e0!5i1</v>
      </c>
      <c r="C839" s="151" t="s">
        <v>117</v>
      </c>
      <c r="D839" s="152" t="s">
        <v>112</v>
      </c>
      <c r="E839" s="152" t="s">
        <v>113</v>
      </c>
      <c r="F839" s="152" t="s">
        <v>117</v>
      </c>
      <c r="G839" s="152" t="s">
        <v>114</v>
      </c>
      <c r="H839" s="152" t="n">
        <v>160</v>
      </c>
      <c r="I839" s="152" t="s">
        <v>115</v>
      </c>
      <c r="J839" s="152" t="s">
        <v>6</v>
      </c>
      <c r="K839" s="152" t="s">
        <v>4221</v>
      </c>
      <c r="L839" s="152" t="s">
        <v>120</v>
      </c>
      <c r="M839" s="153" t="n">
        <f aca="false">117.1</f>
        <v>117.1</v>
      </c>
      <c r="N839" s="152" t="s">
        <v>1548</v>
      </c>
      <c r="O839" s="152" t="s">
        <v>1549</v>
      </c>
      <c r="P839" s="152" t="s">
        <v>1550</v>
      </c>
      <c r="Q839" s="152" t="s">
        <v>1551</v>
      </c>
      <c r="R839" s="154" t="s">
        <v>4728</v>
      </c>
      <c r="S839" s="154" t="s">
        <v>1593</v>
      </c>
      <c r="T839" s="155" t="s">
        <v>4723</v>
      </c>
      <c r="U839" s="152" t="str">
        <f aca="false">RIGHT(T839,7)</f>
        <v>020/037</v>
      </c>
      <c r="V839" s="152" t="s">
        <v>1555</v>
      </c>
      <c r="W839" s="156" t="n">
        <v>45882</v>
      </c>
      <c r="X839" s="152" t="s">
        <v>3938</v>
      </c>
      <c r="Y839" s="152" t="s">
        <v>2042</v>
      </c>
      <c r="Z839" s="152" t="s">
        <v>1557</v>
      </c>
      <c r="AA839" s="153" t="n">
        <v>2.6</v>
      </c>
      <c r="AB839" s="151" t="s">
        <v>4729</v>
      </c>
      <c r="AC839" s="151" t="s">
        <v>505</v>
      </c>
      <c r="AD839" s="151" t="str">
        <f aca="false">CONCATENATE($C839,$I839,$H839,$N839,$J839,$K839)</f>
        <v>TUBO PEADPEAD160VCAREDESZona07</v>
      </c>
      <c r="AE839" s="153" t="n">
        <f aca="false">IFERROR(INDEX(APOIO_REDES!$A:$W,MATCH($C839&amp;$I839&amp;$H839&amp;$N839&amp;$O839,APOIO_REDES!$W:$W,0),MATCH(AE$5,APOIO_REDES!$5:$5,0)),0)</f>
        <v>1.2</v>
      </c>
      <c r="AF839" s="153" t="n">
        <f aca="false">IFERROR(INDEX(APOIO_REDES!$A:$W,MATCH($C839&amp;$I839&amp;$H839&amp;$N839&amp;$O839,APOIO_REDES!$W:$W,0),MATCH(AF$5,APOIO_REDES!$5:$5,0)),0)</f>
        <v>1.46</v>
      </c>
      <c r="AG839" s="153" t="n">
        <f aca="false">IFERROR(INDEX(APOIO_REDES!$A:$W,MATCH($C839&amp;$I839&amp;$H839&amp;$N839&amp;$O839,APOIO_REDES!$W:$W,0),MATCH(AG$5,APOIO_REDES!$5:$5,0)),0)</f>
        <v>0.75</v>
      </c>
      <c r="AH839" s="153" t="n">
        <f aca="false">IFERROR(INDEX(APOIO_REDES!$A:$W,MATCH($C839&amp;$I839&amp;$H839&amp;$N839&amp;$O839,APOIO_REDES!$W:$W,0),MATCH(AH$5,APOIO_REDES!$5:$5,0)),0)</f>
        <v>0.1</v>
      </c>
      <c r="AI839" s="153" t="n">
        <f aca="false">IFERROR(IF($H839&lt;&gt;"",(((($H839/1000)/2)^2)*PI()*$M839),0),0)</f>
        <v>2.35443519830633</v>
      </c>
      <c r="AJ839" s="153" t="n">
        <f aca="false">IFERROR(IF(AND($H839&lt;&gt;"",$I839="FoFo",OR($N839="MND",$N839="VCA"),$Q839="LINEAR"),0,IF(AND($H839&lt;&gt;"",$I839="PEAD",$N839="VCA",$Q839="LINEAR"),($H839/1000)+0.3,IF(AND($H839&lt;&gt;"",$I839="PEAD",$N839="MND",$Q839="EMBOQUE"),0,IF(AND($H839&lt;&gt;"",$I839="PVC",$N839="VCA",$Q839="LINEAR"),($H839/1000)+0.2,IF(AND($H839&lt;&gt;"",$I839="PVC",$N839="MND",$Q839="EMBOQUE"),0,IF(AND($H839&lt;&gt;"",$I839="PEAD",$N839="VCA",$Q839="PREDIAL"),0,0)))))),0)</f>
        <v>0.46</v>
      </c>
      <c r="AK839" s="153" t="n">
        <f aca="false">IF(AA839&lt;&gt;"",AA839,0)</f>
        <v>2.6</v>
      </c>
      <c r="AL839" s="153" t="n">
        <f aca="false">IF(AND($N839="MND",$Q839="EMBOQUE"),$M839,IF(AND($N839="VCA",$Q839="LINEAR"),$M839,IF(AND($N839="VCA",$Q839="PREDIAL"),0,0)))</f>
        <v>117.1</v>
      </c>
      <c r="AM839" s="153" t="n">
        <f aca="false">IF(AND($N839="MND",$Q839="EMBOQUE"),$M839,IF(AND($N839="VCA",$Q839="LINEAR"),$M839,IF(AND($N839="VCA",$Q839="PREDIAL"),0,0)))</f>
        <v>117.1</v>
      </c>
      <c r="AN839" s="153" t="n">
        <f aca="false">ROUND(IF(AND($N839="VCA",$M839&lt;&gt;"",$Q839="LINEAR"),$M839/100,IF(AND($N839="MND",$M839&gt;100,$Q839="EMBOQUE"),$M839/100,0)),0)</f>
        <v>1</v>
      </c>
      <c r="AO839" s="153" t="n">
        <f aca="false">IF(AND($N839="MND",$Q839="EMBOQUE"),$AN839*2*2,IF(AND($N839="VCA",$Q839="LINEAR"),$M839*2,IF(AND($N839="VCA",$Q839="PREDIAL"),0,0)))</f>
        <v>234.2</v>
      </c>
      <c r="AP839" s="153" t="n">
        <f aca="false">IFERROR($M839*$AF839*$AG839,0)</f>
        <v>128.2245</v>
      </c>
      <c r="AQ839" s="153" t="n">
        <f aca="false">IFERROR(IF(AND($N839="VCA",$AH839&gt;0),$M839*$AG839*$AH839,0),0)</f>
        <v>8.7825</v>
      </c>
      <c r="AR839" s="153" t="n">
        <f aca="false">IFERROR(IF(AND($N839="VCA",$AJ839&gt;0),($M839*$AG839*$AJ839)-$AI839,0),0)</f>
        <v>38.0450648016937</v>
      </c>
      <c r="AS839" s="153" t="n">
        <f aca="false">IFERROR(IF(AND($N839="VCA",$AP839&gt;0),$AP839-$AI839-$AQ839-$AR839,0),0)</f>
        <v>79.0425</v>
      </c>
      <c r="AT839" s="153" t="n">
        <f aca="false">IFERROR(IF($N839="VCA",INDEX(APOIO_REDES!$A:$W,MATCH($C839&amp;$I839&amp;$H839&amp;$N839&amp;$O839,APOIO_REDES!$W:$W,0),MATCH(AT$5,APOIO_REDES!$5:$5,0)),0)*$AP839,0)</f>
        <v>1.39512051251472</v>
      </c>
      <c r="AU839" s="153" t="n">
        <f aca="false">IFERROR(IF($N839="VCA",INDEX(APOIO_REDES!$A:$W,MATCH($C839&amp;$I839&amp;$H839&amp;$N839&amp;$O839,APOIO_REDES!$W:$W,0),MATCH(AU$5,APOIO_REDES!$5:$5,0)),0)*$AP839,0)</f>
        <v>1.11410545663891</v>
      </c>
      <c r="AV839" s="153" t="n">
        <f aca="false">IFERROR(IF($N839="VCA",INDEX(APOIO_REDES!$A:$W,MATCH($C839&amp;$I839&amp;$H839&amp;$N839&amp;$O839,APOIO_REDES!$W:$W,0),MATCH(AV$5,APOIO_REDES!$5:$5,0)),0)*$AP839,0)</f>
        <v>0.154183449128073</v>
      </c>
      <c r="AW839" s="153" t="n">
        <f aca="false">IFERROR(IF($N839="VCA",INDEX(APOIO_REDES!$A:$W,MATCH($C839&amp;$I839&amp;$H839&amp;$N839&amp;$O839,APOIO_REDES!$W:$W,0),MATCH(AW$5,APOIO_REDES!$5:$5,0)),0)*$AP839,0)</f>
        <v>88.014290331908</v>
      </c>
      <c r="AX839" s="153" t="n">
        <f aca="false">IFERROR(IF($N839="VCA",INDEX(APOIO_REDES!$A:$W,MATCH($C839&amp;$I839&amp;$H839&amp;$N839&amp;$O839,APOIO_REDES!$W:$W,0),MATCH(AX$5,APOIO_REDES!$5:$5,0)),0)*$AP839,0)</f>
        <v>12.1809270684843</v>
      </c>
      <c r="AY839" s="153" t="n">
        <f aca="false">IFERROR(IF($N839="VCA",INDEX(APOIO_REDES!$A:$W,MATCH($C839&amp;$I839&amp;$H839&amp;$N839&amp;$O839,APOIO_REDES!$W:$W,0),MATCH(AY$5,APOIO_REDES!$5:$5,0)),0)*$AP839,0)</f>
        <v>22.2820955519229</v>
      </c>
      <c r="AZ839" s="153" t="n">
        <f aca="false">IFERROR(IF($N839="VCA",INDEX(APOIO_REDES!$A:$W,MATCH($C839&amp;$I839&amp;$H839&amp;$N839&amp;$O839,APOIO_REDES!$W:$W,0),MATCH(AZ$5,APOIO_REDES!$5:$5,0)),0)*$AP839,0)</f>
        <v>3.0837776294031</v>
      </c>
      <c r="BA839" s="153" t="n">
        <f aca="false">IFERROR(IF(AND($N839="VCA",$Q839="LINEAR"),INDEX(APOIO_REDES!$A:$W,MATCH($C839&amp;$I839&amp;$H839&amp;$N839&amp;$O839,APOIO_REDES!$W:$W,0),MATCH(BA$5,APOIO_REDES!$5:$5,0)),IF(AND($N839="MND",$Q839="EMBOQUE"),INDEX(APOIO_REDES!$A:$W,MATCH($C839&amp;$I839&amp;$H839&amp;$N839&amp;$O839,APOIO_REDES!$W:$W,0),MATCH(BA$5,APOIO_REDES!$5:$5,0)),0))*$M839/10,0)</f>
        <v>9.43796462459227</v>
      </c>
      <c r="BB839" s="153" t="n">
        <f aca="false">IFERROR(IF($N839="VCA",INDEX(APOIO_REDES!$A:$W,MATCH($C839&amp;$I839&amp;$H839&amp;$N839&amp;$O839,APOIO_REDES!$W:$W,0),MATCH(BB$5,APOIO_REDES!$5:$5,0)),0)*($AI839+$AQ839+$AR839),0)</f>
        <v>48.6468852828711</v>
      </c>
      <c r="BC839" s="153" t="n">
        <f aca="false">IFERROR(IF($N839="VCA",INDEX(APOIO_REDES!$A:$W,MATCH($C839&amp;$I839&amp;$H839&amp;$N839&amp;$O839,APOIO_REDES!$W:$W,0),MATCH(BC$5,APOIO_REDES!$5:$5,0)),0)*($AI839+$AQ839+$AR839),0)</f>
        <v>0.535114717128933</v>
      </c>
      <c r="BD839" s="153" t="n">
        <f aca="false">IF(AND($N839="VCA",$AF839&gt;=1.25,$AF839&lt;1.5),$M839*$AF839*2,0)</f>
        <v>341.932</v>
      </c>
      <c r="BE839" s="153" t="n">
        <f aca="false">IF(AND($N839="VCA",$AF839&gt;=1.5,$AF839&lt;3),$M839*$AF839*2,0)</f>
        <v>0</v>
      </c>
      <c r="BF839" s="153" t="n">
        <f aca="false">IF(AND($N839="VCA",$AF839&gt;=3),$M839*$AF839*2,0)</f>
        <v>0</v>
      </c>
      <c r="BG839" s="153" t="n">
        <f aca="false">($BB839+$BC839)*$AK839</f>
        <v>127.8732</v>
      </c>
      <c r="BH839" s="153" t="n">
        <f aca="false">IF(AND($M839&lt;&gt;"",$N839="VCA",$Q839="LINEAR"),($M839*2)/100,IF(AND($M839&lt;&gt;"",$N839="MND",$Q839="EMBOQUE"),($AN839*2)/100,0))</f>
        <v>2.342</v>
      </c>
      <c r="BI839" s="153" t="n">
        <f aca="false">IF(AND($M839&lt;&gt;"",$N839="VCA",$Q839="LINEAR"),$M839,IF(AND($M839&lt;&gt;"",$N839="MND",$Q839="EMBOQUE"),$AN839*2,0))</f>
        <v>117.1</v>
      </c>
      <c r="BJ839" s="153" t="n">
        <f aca="false">IF(AND($M839&lt;&gt;"",$N839="VCA",$Q839="LINEAR"),($M839*6.8)/100,IF(AND($M839&lt;&gt;"",$N839="MND",$Q839="EMBOQUE"),($AN839*2*6.8)/100,0))</f>
        <v>7.9628</v>
      </c>
      <c r="BK839" s="153" t="n">
        <f aca="false">IF(AND($M839&lt;&gt;"",$N839="VCA",$Q839="LINEAR"),($M839*2.5)/50,IF(AND($M839&lt;&gt;"",$N839="MND",$Q839="EMBOQUE"),($AN839*2*2.5)/50,0))</f>
        <v>5.855</v>
      </c>
      <c r="BL839" s="157" t="str">
        <f aca="false">K839&amp;J839</f>
        <v>Zona07REDES</v>
      </c>
      <c r="BM839" s="152" t="s">
        <v>4225</v>
      </c>
      <c r="BN839" s="152" t="s">
        <v>1560</v>
      </c>
      <c r="BO839" s="152" t="s">
        <v>4725</v>
      </c>
      <c r="BP839" s="152" t="s">
        <v>4730</v>
      </c>
      <c r="BQ839" s="152" t="s">
        <v>4731</v>
      </c>
      <c r="BR839" s="152" t="s">
        <v>4732</v>
      </c>
      <c r="BS839" s="152" t="n">
        <v>204935.671</v>
      </c>
      <c r="BT839" s="152" t="n">
        <v>8236713.919</v>
      </c>
      <c r="BU839" s="152" t="n">
        <v>205052.555</v>
      </c>
      <c r="BV839" s="152" t="n">
        <v>8236720.135</v>
      </c>
      <c r="BW839" s="152" t="n">
        <v>-15.9312899</v>
      </c>
      <c r="BX839" s="152" t="n">
        <v>-47.7554328</v>
      </c>
      <c r="BY839" s="152" t="s">
        <v>4730</v>
      </c>
    </row>
    <row r="840" customFormat="false" ht="13.8" hidden="false" customHeight="false" outlineLevel="0" collapsed="false">
      <c r="A840" s="149" t="n">
        <f aca="false">IF(C840&lt;&gt;"",ROW(A835),"")</f>
        <v>835</v>
      </c>
      <c r="B840" s="150" t="str">
        <f aca="false">HYPERLINK("https://www.google.com/maps/dir/-15.917302,-47.760003/-15.9313164,-47.7569579/data=!4m3!4m2!3e0!5i1")</f>
        <v>https://www.google.com/maps/dir/-15.917302,-47.760003/-15.9313164,-47.7569579/data=!4m3!4m2!3e0!5i1</v>
      </c>
      <c r="C840" s="151" t="s">
        <v>117</v>
      </c>
      <c r="D840" s="152" t="s">
        <v>112</v>
      </c>
      <c r="E840" s="152" t="s">
        <v>113</v>
      </c>
      <c r="F840" s="152" t="s">
        <v>117</v>
      </c>
      <c r="G840" s="152" t="s">
        <v>114</v>
      </c>
      <c r="H840" s="152" t="n">
        <v>160</v>
      </c>
      <c r="I840" s="152" t="s">
        <v>115</v>
      </c>
      <c r="J840" s="152" t="s">
        <v>6</v>
      </c>
      <c r="K840" s="152" t="s">
        <v>4221</v>
      </c>
      <c r="L840" s="152" t="s">
        <v>120</v>
      </c>
      <c r="M840" s="153" t="n">
        <f aca="false">105.4</f>
        <v>105.4</v>
      </c>
      <c r="N840" s="152" t="s">
        <v>1548</v>
      </c>
      <c r="O840" s="152" t="s">
        <v>1549</v>
      </c>
      <c r="P840" s="152" t="s">
        <v>1550</v>
      </c>
      <c r="Q840" s="152" t="s">
        <v>1551</v>
      </c>
      <c r="R840" s="154" t="s">
        <v>4733</v>
      </c>
      <c r="S840" s="154" t="s">
        <v>1593</v>
      </c>
      <c r="T840" s="155" t="s">
        <v>4723</v>
      </c>
      <c r="U840" s="152" t="str">
        <f aca="false">RIGHT(T840,7)</f>
        <v>020/037</v>
      </c>
      <c r="V840" s="152" t="s">
        <v>1555</v>
      </c>
      <c r="W840" s="156" t="n">
        <v>45882</v>
      </c>
      <c r="X840" s="152" t="s">
        <v>3938</v>
      </c>
      <c r="Y840" s="152"/>
      <c r="Z840" s="152" t="s">
        <v>1557</v>
      </c>
      <c r="AA840" s="153" t="n">
        <v>2.8</v>
      </c>
      <c r="AB840" s="151" t="s">
        <v>4734</v>
      </c>
      <c r="AC840" s="151" t="s">
        <v>505</v>
      </c>
      <c r="AD840" s="151" t="str">
        <f aca="false">CONCATENATE($C840,$I840,$H840,$N840,$J840,$K840)</f>
        <v>TUBO PEADPEAD160VCAREDESZona07</v>
      </c>
      <c r="AE840" s="153" t="n">
        <f aca="false">IFERROR(INDEX(APOIO_REDES!$A:$W,MATCH($C840&amp;$I840&amp;$H840&amp;$N840&amp;$O840,APOIO_REDES!$W:$W,0),MATCH(AE$5,APOIO_REDES!$5:$5,0)),0)</f>
        <v>1.2</v>
      </c>
      <c r="AF840" s="153" t="n">
        <f aca="false">IFERROR(INDEX(APOIO_REDES!$A:$W,MATCH($C840&amp;$I840&amp;$H840&amp;$N840&amp;$O840,APOIO_REDES!$W:$W,0),MATCH(AF$5,APOIO_REDES!$5:$5,0)),0)</f>
        <v>1.46</v>
      </c>
      <c r="AG840" s="153" t="n">
        <f aca="false">IFERROR(INDEX(APOIO_REDES!$A:$W,MATCH($C840&amp;$I840&amp;$H840&amp;$N840&amp;$O840,APOIO_REDES!$W:$W,0),MATCH(AG$5,APOIO_REDES!$5:$5,0)),0)</f>
        <v>0.75</v>
      </c>
      <c r="AH840" s="153" t="n">
        <f aca="false">IFERROR(INDEX(APOIO_REDES!$A:$W,MATCH($C840&amp;$I840&amp;$H840&amp;$N840&amp;$O840,APOIO_REDES!$W:$W,0),MATCH(AH$5,APOIO_REDES!$5:$5,0)),0)</f>
        <v>0.1</v>
      </c>
      <c r="AI840" s="153" t="n">
        <f aca="false">IFERROR(IF($H840&lt;&gt;"",(((($H840/1000)/2)^2)*PI()*$M840),0),0)</f>
        <v>2.11919274040553</v>
      </c>
      <c r="AJ840" s="153" t="n">
        <f aca="false">IFERROR(IF(AND($H840&lt;&gt;"",$I840="FoFo",OR($N840="MND",$N840="VCA"),$Q840="LINEAR"),0,IF(AND($H840&lt;&gt;"",$I840="PEAD",$N840="VCA",$Q840="LINEAR"),($H840/1000)+0.3,IF(AND($H840&lt;&gt;"",$I840="PEAD",$N840="MND",$Q840="EMBOQUE"),0,IF(AND($H840&lt;&gt;"",$I840="PVC",$N840="VCA",$Q840="LINEAR"),($H840/1000)+0.2,IF(AND($H840&lt;&gt;"",$I840="PVC",$N840="MND",$Q840="EMBOQUE"),0,IF(AND($H840&lt;&gt;"",$I840="PEAD",$N840="VCA",$Q840="PREDIAL"),0,0)))))),0)</f>
        <v>0.46</v>
      </c>
      <c r="AK840" s="153" t="n">
        <f aca="false">IF(AA840&lt;&gt;"",AA840,0)</f>
        <v>2.8</v>
      </c>
      <c r="AL840" s="153" t="n">
        <f aca="false">IF(AND($N840="MND",$Q840="EMBOQUE"),$M840,IF(AND($N840="VCA",$Q840="LINEAR"),$M840,IF(AND($N840="VCA",$Q840="PREDIAL"),0,0)))</f>
        <v>105.4</v>
      </c>
      <c r="AM840" s="153" t="n">
        <f aca="false">IF(AND($N840="MND",$Q840="EMBOQUE"),$M840,IF(AND($N840="VCA",$Q840="LINEAR"),$M840,IF(AND($N840="VCA",$Q840="PREDIAL"),0,0)))</f>
        <v>105.4</v>
      </c>
      <c r="AN840" s="153" t="n">
        <f aca="false">ROUND(IF(AND($N840="VCA",$M840&lt;&gt;"",$Q840="LINEAR"),$M840/100,IF(AND($N840="MND",$M840&gt;100,$Q840="EMBOQUE"),$M840/100,0)),0)</f>
        <v>1</v>
      </c>
      <c r="AO840" s="153" t="n">
        <f aca="false">IF(AND($N840="MND",$Q840="EMBOQUE"),$AN840*2*2,IF(AND($N840="VCA",$Q840="LINEAR"),$M840*2,IF(AND($N840="VCA",$Q840="PREDIAL"),0,0)))</f>
        <v>210.8</v>
      </c>
      <c r="AP840" s="153" t="n">
        <f aca="false">IFERROR($M840*$AF840*$AG840,0)</f>
        <v>115.413</v>
      </c>
      <c r="AQ840" s="153" t="n">
        <f aca="false">IFERROR(IF(AND($N840="VCA",$AH840&gt;0),$M840*$AG840*$AH840,0),0)</f>
        <v>7.905</v>
      </c>
      <c r="AR840" s="153" t="n">
        <f aca="false">IFERROR(IF(AND($N840="VCA",$AJ840&gt;0),($M840*$AG840*$AJ840)-$AI840,0),0)</f>
        <v>34.2438072595945</v>
      </c>
      <c r="AS840" s="153" t="n">
        <f aca="false">IFERROR(IF(AND($N840="VCA",$AP840&gt;0),$AP840-$AI840-$AQ840-$AR840,0),0)</f>
        <v>71.145</v>
      </c>
      <c r="AT840" s="153" t="n">
        <f aca="false">IFERROR(IF($N840="VCA",INDEX(APOIO_REDES!$A:$W,MATCH($C840&amp;$I840&amp;$H840&amp;$N840&amp;$O840,APOIO_REDES!$W:$W,0),MATCH(AT$5,APOIO_REDES!$5:$5,0)),0)*$AP840,0)</f>
        <v>1.25572760050428</v>
      </c>
      <c r="AU840" s="153" t="n">
        <f aca="false">IFERROR(IF($N840="VCA",INDEX(APOIO_REDES!$A:$W,MATCH($C840&amp;$I840&amp;$H840&amp;$N840&amp;$O840,APOIO_REDES!$W:$W,0),MATCH(AU$5,APOIO_REDES!$5:$5,0)),0)*$AP840,0)</f>
        <v>1.00279005234621</v>
      </c>
      <c r="AV840" s="153" t="n">
        <f aca="false">IFERROR(IF($N840="VCA",INDEX(APOIO_REDES!$A:$W,MATCH($C840&amp;$I840&amp;$H840&amp;$N840&amp;$O840,APOIO_REDES!$W:$W,0),MATCH(AV$5,APOIO_REDES!$5:$5,0)),0)*$AP840,0)</f>
        <v>0.13877827103415</v>
      </c>
      <c r="AW840" s="153" t="n">
        <f aca="false">IFERROR(IF($N840="VCA",INDEX(APOIO_REDES!$A:$W,MATCH($C840&amp;$I840&amp;$H840&amp;$N840&amp;$O840,APOIO_REDES!$W:$W,0),MATCH(AW$5,APOIO_REDES!$5:$5,0)),0)*$AP840,0)</f>
        <v>79.2203774635619</v>
      </c>
      <c r="AX840" s="153" t="n">
        <f aca="false">IFERROR(IF($N840="VCA",INDEX(APOIO_REDES!$A:$W,MATCH($C840&amp;$I840&amp;$H840&amp;$N840&amp;$O840,APOIO_REDES!$W:$W,0),MATCH(AX$5,APOIO_REDES!$5:$5,0)),0)*$AP840,0)</f>
        <v>10.9638745774402</v>
      </c>
      <c r="AY840" s="153" t="n">
        <f aca="false">IFERROR(IF($N840="VCA",INDEX(APOIO_REDES!$A:$W,MATCH($C840&amp;$I840&amp;$H840&amp;$N840&amp;$O840,APOIO_REDES!$W:$W,0),MATCH(AY$5,APOIO_REDES!$5:$5,0)),0)*$AP840,0)</f>
        <v>20.0557888229947</v>
      </c>
      <c r="AZ840" s="153" t="n">
        <f aca="false">IFERROR(IF($N840="VCA",INDEX(APOIO_REDES!$A:$W,MATCH($C840&amp;$I840&amp;$H840&amp;$N840&amp;$O840,APOIO_REDES!$W:$W,0),MATCH(AZ$5,APOIO_REDES!$5:$5,0)),0)*$AP840,0)</f>
        <v>2.77566321211859</v>
      </c>
      <c r="BA840" s="153" t="n">
        <f aca="false">IFERROR(IF(AND($N840="VCA",$Q840="LINEAR"),INDEX(APOIO_REDES!$A:$W,MATCH($C840&amp;$I840&amp;$H840&amp;$N840&amp;$O840,APOIO_REDES!$W:$W,0),MATCH(BA$5,APOIO_REDES!$5:$5,0)),IF(AND($N840="MND",$Q840="EMBOQUE"),INDEX(APOIO_REDES!$A:$W,MATCH($C840&amp;$I840&amp;$H840&amp;$N840&amp;$O840,APOIO_REDES!$W:$W,0),MATCH(BA$5,APOIO_REDES!$5:$5,0)),0))*$M840/10,0)</f>
        <v>8.49497413690884</v>
      </c>
      <c r="BB840" s="153" t="n">
        <f aca="false">IFERROR(IF($N840="VCA",INDEX(APOIO_REDES!$A:$W,MATCH($C840&amp;$I840&amp;$H840&amp;$N840&amp;$O840,APOIO_REDES!$W:$W,0),MATCH(BB$5,APOIO_REDES!$5:$5,0)),0)*($AI840+$AQ840+$AR840),0)</f>
        <v>43.7863510573408</v>
      </c>
      <c r="BC840" s="153" t="n">
        <f aca="false">IFERROR(IF($N840="VCA",INDEX(APOIO_REDES!$A:$W,MATCH($C840&amp;$I840&amp;$H840&amp;$N840&amp;$O840,APOIO_REDES!$W:$W,0),MATCH(BC$5,APOIO_REDES!$5:$5,0)),0)*($AI840+$AQ840+$AR840),0)</f>
        <v>0.481648942659176</v>
      </c>
      <c r="BD840" s="153" t="n">
        <f aca="false">IF(AND($N840="VCA",$AF840&gt;=1.25,$AF840&lt;1.5),$M840*$AF840*2,0)</f>
        <v>307.768</v>
      </c>
      <c r="BE840" s="153" t="n">
        <f aca="false">IF(AND($N840="VCA",$AF840&gt;=1.5,$AF840&lt;3),$M840*$AF840*2,0)</f>
        <v>0</v>
      </c>
      <c r="BF840" s="153" t="n">
        <f aca="false">IF(AND($N840="VCA",$AF840&gt;=3),$M840*$AF840*2,0)</f>
        <v>0</v>
      </c>
      <c r="BG840" s="153" t="n">
        <f aca="false">($BB840+$BC840)*$AK840</f>
        <v>123.9504</v>
      </c>
      <c r="BH840" s="153" t="n">
        <f aca="false">IF(AND($M840&lt;&gt;"",$N840="VCA",$Q840="LINEAR"),($M840*2)/100,IF(AND($M840&lt;&gt;"",$N840="MND",$Q840="EMBOQUE"),($AN840*2)/100,0))</f>
        <v>2.108</v>
      </c>
      <c r="BI840" s="153" t="n">
        <f aca="false">IF(AND($M840&lt;&gt;"",$N840="VCA",$Q840="LINEAR"),$M840,IF(AND($M840&lt;&gt;"",$N840="MND",$Q840="EMBOQUE"),$AN840*2,0))</f>
        <v>105.4</v>
      </c>
      <c r="BJ840" s="153" t="n">
        <f aca="false">IF(AND($M840&lt;&gt;"",$N840="VCA",$Q840="LINEAR"),($M840*6.8)/100,IF(AND($M840&lt;&gt;"",$N840="MND",$Q840="EMBOQUE"),($AN840*2*6.8)/100,0))</f>
        <v>7.1672</v>
      </c>
      <c r="BK840" s="153" t="n">
        <f aca="false">IF(AND($M840&lt;&gt;"",$N840="VCA",$Q840="LINEAR"),($M840*2.5)/50,IF(AND($M840&lt;&gt;"",$N840="MND",$Q840="EMBOQUE"),($AN840*2*2.5)/50,0))</f>
        <v>5.27</v>
      </c>
      <c r="BL840" s="157" t="str">
        <f aca="false">K840&amp;J840</f>
        <v>Zona07REDES</v>
      </c>
      <c r="BM840" s="152" t="s">
        <v>4225</v>
      </c>
      <c r="BN840" s="152" t="s">
        <v>1560</v>
      </c>
      <c r="BO840" s="152" t="s">
        <v>4725</v>
      </c>
      <c r="BP840" s="152" t="s">
        <v>4735</v>
      </c>
      <c r="BQ840" s="152" t="s">
        <v>4730</v>
      </c>
      <c r="BR840" s="152" t="s">
        <v>4736</v>
      </c>
      <c r="BS840" s="152" t="n">
        <v>204830.783</v>
      </c>
      <c r="BT840" s="152" t="n">
        <v>8236711.66</v>
      </c>
      <c r="BU840" s="152" t="n">
        <v>204935.671</v>
      </c>
      <c r="BV840" s="152" t="n">
        <v>8236713.919</v>
      </c>
      <c r="BW840" s="152" t="n">
        <v>-15.9313188</v>
      </c>
      <c r="BX840" s="152" t="n">
        <v>-47.7564704</v>
      </c>
      <c r="BY840" s="152" t="s">
        <v>4735</v>
      </c>
    </row>
    <row r="841" customFormat="false" ht="13.8" hidden="false" customHeight="false" outlineLevel="0" collapsed="false">
      <c r="A841" s="149" t="n">
        <f aca="false">IF(C841&lt;&gt;"",ROW(A836),"")</f>
        <v>836</v>
      </c>
      <c r="B841" s="150" t="str">
        <f aca="false">HYPERLINK("https://www.google.com/maps/dir/-15.917302,-47.760003/-15.9313293,-47.7573950/data=!4m3!4m2!3e0!5i0")</f>
        <v>https://www.google.com/maps/dir/-15.917302,-47.760003/-15.9313293,-47.7573950/data=!4m3!4m2!3e0!5i0</v>
      </c>
      <c r="C841" s="151" t="s">
        <v>117</v>
      </c>
      <c r="D841" s="152" t="s">
        <v>112</v>
      </c>
      <c r="E841" s="152" t="s">
        <v>113</v>
      </c>
      <c r="F841" s="152" t="s">
        <v>117</v>
      </c>
      <c r="G841" s="152" t="s">
        <v>114</v>
      </c>
      <c r="H841" s="152" t="n">
        <v>160</v>
      </c>
      <c r="I841" s="152" t="s">
        <v>115</v>
      </c>
      <c r="J841" s="152" t="s">
        <v>6</v>
      </c>
      <c r="K841" s="152" t="s">
        <v>4221</v>
      </c>
      <c r="L841" s="152" t="s">
        <v>120</v>
      </c>
      <c r="M841" s="153" t="n">
        <f aca="false">46.85</f>
        <v>46.85</v>
      </c>
      <c r="N841" s="152" t="s">
        <v>1548</v>
      </c>
      <c r="O841" s="152" t="s">
        <v>1549</v>
      </c>
      <c r="P841" s="152" t="s">
        <v>1550</v>
      </c>
      <c r="Q841" s="152" t="s">
        <v>1551</v>
      </c>
      <c r="R841" s="154" t="s">
        <v>4737</v>
      </c>
      <c r="S841" s="154" t="s">
        <v>1593</v>
      </c>
      <c r="T841" s="155" t="s">
        <v>4723</v>
      </c>
      <c r="U841" s="152" t="str">
        <f aca="false">RIGHT(T841,7)</f>
        <v>020/037</v>
      </c>
      <c r="V841" s="152" t="s">
        <v>1555</v>
      </c>
      <c r="W841" s="156" t="n">
        <v>45882</v>
      </c>
      <c r="X841" s="152" t="s">
        <v>1594</v>
      </c>
      <c r="Y841" s="152" t="s">
        <v>4738</v>
      </c>
      <c r="Z841" s="152" t="s">
        <v>1557</v>
      </c>
      <c r="AA841" s="153" t="n">
        <v>2.7</v>
      </c>
      <c r="AB841" s="151" t="s">
        <v>4739</v>
      </c>
      <c r="AC841" s="151" t="s">
        <v>505</v>
      </c>
      <c r="AD841" s="151" t="str">
        <f aca="false">CONCATENATE($C841,$I841,$H841,$N841,$J841,$K841)</f>
        <v>TUBO PEADPEAD160VCAREDESZona07</v>
      </c>
      <c r="AE841" s="153" t="n">
        <f aca="false">IFERROR(INDEX(APOIO_REDES!$A:$W,MATCH($C841&amp;$I841&amp;$H841&amp;$N841&amp;$O841,APOIO_REDES!$W:$W,0),MATCH(AE$5,APOIO_REDES!$5:$5,0)),0)</f>
        <v>1.2</v>
      </c>
      <c r="AF841" s="153" t="n">
        <f aca="false">IFERROR(INDEX(APOIO_REDES!$A:$W,MATCH($C841&amp;$I841&amp;$H841&amp;$N841&amp;$O841,APOIO_REDES!$W:$W,0),MATCH(AF$5,APOIO_REDES!$5:$5,0)),0)</f>
        <v>1.46</v>
      </c>
      <c r="AG841" s="153" t="n">
        <f aca="false">IFERROR(INDEX(APOIO_REDES!$A:$W,MATCH($C841&amp;$I841&amp;$H841&amp;$N841&amp;$O841,APOIO_REDES!$W:$W,0),MATCH(AG$5,APOIO_REDES!$5:$5,0)),0)</f>
        <v>0.75</v>
      </c>
      <c r="AH841" s="153" t="n">
        <f aca="false">IFERROR(INDEX(APOIO_REDES!$A:$W,MATCH($C841&amp;$I841&amp;$H841&amp;$N841&amp;$O841,APOIO_REDES!$W:$W,0),MATCH(AH$5,APOIO_REDES!$5:$5,0)),0)</f>
        <v>0.1</v>
      </c>
      <c r="AI841" s="153" t="n">
        <f aca="false">IFERROR(IF($H841&lt;&gt;"",(((($H841/1000)/2)^2)*PI()*$M841),0),0)</f>
        <v>0.941975141252364</v>
      </c>
      <c r="AJ841" s="153" t="n">
        <f aca="false">IFERROR(IF(AND($H841&lt;&gt;"",$I841="FoFo",OR($N841="MND",$N841="VCA"),$Q841="LINEAR"),0,IF(AND($H841&lt;&gt;"",$I841="PEAD",$N841="VCA",$Q841="LINEAR"),($H841/1000)+0.3,IF(AND($H841&lt;&gt;"",$I841="PEAD",$N841="MND",$Q841="EMBOQUE"),0,IF(AND($H841&lt;&gt;"",$I841="PVC",$N841="VCA",$Q841="LINEAR"),($H841/1000)+0.2,IF(AND($H841&lt;&gt;"",$I841="PVC",$N841="MND",$Q841="EMBOQUE"),0,IF(AND($H841&lt;&gt;"",$I841="PEAD",$N841="VCA",$Q841="PREDIAL"),0,0)))))),0)</f>
        <v>0.46</v>
      </c>
      <c r="AK841" s="153" t="n">
        <f aca="false">IF(AA841&lt;&gt;"",AA841,0)</f>
        <v>2.7</v>
      </c>
      <c r="AL841" s="153" t="n">
        <f aca="false">IF(AND($N841="MND",$Q841="EMBOQUE"),$M841,IF(AND($N841="VCA",$Q841="LINEAR"),$M841,IF(AND($N841="VCA",$Q841="PREDIAL"),0,0)))</f>
        <v>46.85</v>
      </c>
      <c r="AM841" s="153" t="n">
        <f aca="false">IF(AND($N841="MND",$Q841="EMBOQUE"),$M841,IF(AND($N841="VCA",$Q841="LINEAR"),$M841,IF(AND($N841="VCA",$Q841="PREDIAL"),0,0)))</f>
        <v>46.85</v>
      </c>
      <c r="AN841" s="153" t="n">
        <f aca="false">ROUND(IF(AND($N841="VCA",$M841&lt;&gt;"",$Q841="LINEAR"),$M841/100,IF(AND($N841="MND",$M841&gt;100,$Q841="EMBOQUE"),$M841/100,0)),0)</f>
        <v>0</v>
      </c>
      <c r="AO841" s="153" t="n">
        <f aca="false">IF(AND($N841="MND",$Q841="EMBOQUE"),$AN841*2*2,IF(AND($N841="VCA",$Q841="LINEAR"),$M841*2,IF(AND($N841="VCA",$Q841="PREDIAL"),0,0)))</f>
        <v>93.7</v>
      </c>
      <c r="AP841" s="153" t="n">
        <f aca="false">IFERROR($M841*$AF841*$AG841,0)</f>
        <v>51.30075</v>
      </c>
      <c r="AQ841" s="153" t="n">
        <f aca="false">IFERROR(IF(AND($N841="VCA",$AH841&gt;0),$M841*$AG841*$AH841,0),0)</f>
        <v>3.51375</v>
      </c>
      <c r="AR841" s="153" t="n">
        <f aca="false">IFERROR(IF(AND($N841="VCA",$AJ841&gt;0),($M841*$AG841*$AJ841)-$AI841,0),0)</f>
        <v>15.2212748587476</v>
      </c>
      <c r="AS841" s="153" t="n">
        <f aca="false">IFERROR(IF(AND($N841="VCA",$AP841&gt;0),$AP841-$AI841-$AQ841-$AR841,0),0)</f>
        <v>31.62375</v>
      </c>
      <c r="AT841" s="153" t="n">
        <f aca="false">IFERROR(IF($N841="VCA",INDEX(APOIO_REDES!$A:$W,MATCH($C841&amp;$I841&amp;$H841&amp;$N841&amp;$O841,APOIO_REDES!$W:$W,0),MATCH(AT$5,APOIO_REDES!$5:$5,0)),0)*$AP841,0)</f>
        <v>0.558167344246922</v>
      </c>
      <c r="AU841" s="153" t="n">
        <f aca="false">IFERROR(IF($N841="VCA",INDEX(APOIO_REDES!$A:$W,MATCH($C841&amp;$I841&amp;$H841&amp;$N841&amp;$O841,APOIO_REDES!$W:$W,0),MATCH(AU$5,APOIO_REDES!$5:$5,0)),0)*$AP841,0)</f>
        <v>0.445737324026753</v>
      </c>
      <c r="AV841" s="153" t="n">
        <f aca="false">IFERROR(IF($N841="VCA",INDEX(APOIO_REDES!$A:$W,MATCH($C841&amp;$I841&amp;$H841&amp;$N841&amp;$O841,APOIO_REDES!$W:$W,0),MATCH(AV$5,APOIO_REDES!$5:$5,0)),0)*$AP841,0)</f>
        <v>0.061686546470113</v>
      </c>
      <c r="AW841" s="153" t="n">
        <f aca="false">IFERROR(IF($N841="VCA",INDEX(APOIO_REDES!$A:$W,MATCH($C841&amp;$I841&amp;$H841&amp;$N841&amp;$O841,APOIO_REDES!$W:$W,0),MATCH(AW$5,APOIO_REDES!$5:$5,0)),0)*$AP841,0)</f>
        <v>35.2132322976079</v>
      </c>
      <c r="AX841" s="153" t="n">
        <f aca="false">IFERROR(IF($N841="VCA",INDEX(APOIO_REDES!$A:$W,MATCH($C841&amp;$I841&amp;$H841&amp;$N841&amp;$O841,APOIO_REDES!$W:$W,0),MATCH(AX$5,APOIO_REDES!$5:$5,0)),0)*$AP841,0)</f>
        <v>4.87341104319804</v>
      </c>
      <c r="AY841" s="153" t="n">
        <f aca="false">IFERROR(IF($N841="VCA",INDEX(APOIO_REDES!$A:$W,MATCH($C841&amp;$I841&amp;$H841&amp;$N841&amp;$O841,APOIO_REDES!$W:$W,0),MATCH(AY$5,APOIO_REDES!$5:$5,0)),0)*$AP841,0)</f>
        <v>8.91474104703321</v>
      </c>
      <c r="AZ841" s="153" t="n">
        <f aca="false">IFERROR(IF($N841="VCA",INDEX(APOIO_REDES!$A:$W,MATCH($C841&amp;$I841&amp;$H841&amp;$N841&amp;$O841,APOIO_REDES!$W:$W,0),MATCH(AZ$5,APOIO_REDES!$5:$5,0)),0)*$AP841,0)</f>
        <v>1.23377439741704</v>
      </c>
      <c r="BA841" s="153" t="n">
        <f aca="false">IFERROR(IF(AND($N841="VCA",$Q841="LINEAR"),INDEX(APOIO_REDES!$A:$W,MATCH($C841&amp;$I841&amp;$H841&amp;$N841&amp;$O841,APOIO_REDES!$W:$W,0),MATCH(BA$5,APOIO_REDES!$5:$5,0)),IF(AND($N841="MND",$Q841="EMBOQUE"),INDEX(APOIO_REDES!$A:$W,MATCH($C841&amp;$I841&amp;$H841&amp;$N841&amp;$O841,APOIO_REDES!$W:$W,0),MATCH(BA$5,APOIO_REDES!$5:$5,0)),0))*$M841/10,0)</f>
        <v>3.77599182461271</v>
      </c>
      <c r="BB841" s="153" t="n">
        <f aca="false">IFERROR(IF($N841="VCA",INDEX(APOIO_REDES!$A:$W,MATCH($C841&amp;$I841&amp;$H841&amp;$N841&amp;$O841,APOIO_REDES!$W:$W,0),MATCH(BB$5,APOIO_REDES!$5:$5,0)),0)*($AI841+$AQ841+$AR841),0)</f>
        <v>19.4629084159053</v>
      </c>
      <c r="BC841" s="153" t="n">
        <f aca="false">IFERROR(IF($N841="VCA",INDEX(APOIO_REDES!$A:$W,MATCH($C841&amp;$I841&amp;$H841&amp;$N841&amp;$O841,APOIO_REDES!$W:$W,0),MATCH(BC$5,APOIO_REDES!$5:$5,0)),0)*($AI841+$AQ841+$AR841),0)</f>
        <v>0.21409158409471</v>
      </c>
      <c r="BD841" s="153" t="n">
        <f aca="false">IF(AND($N841="VCA",$AF841&gt;=1.25,$AF841&lt;1.5),$M841*$AF841*2,0)</f>
        <v>136.802</v>
      </c>
      <c r="BE841" s="153" t="n">
        <f aca="false">IF(AND($N841="VCA",$AF841&gt;=1.5,$AF841&lt;3),$M841*$AF841*2,0)</f>
        <v>0</v>
      </c>
      <c r="BF841" s="153" t="n">
        <f aca="false">IF(AND($N841="VCA",$AF841&gt;=3),$M841*$AF841*2,0)</f>
        <v>0</v>
      </c>
      <c r="BG841" s="153" t="n">
        <f aca="false">($BB841+$BC841)*$AK841</f>
        <v>53.1279</v>
      </c>
      <c r="BH841" s="153" t="n">
        <f aca="false">IF(AND($M841&lt;&gt;"",$N841="VCA",$Q841="LINEAR"),($M841*2)/100,IF(AND($M841&lt;&gt;"",$N841="MND",$Q841="EMBOQUE"),($AN841*2)/100,0))</f>
        <v>0.937</v>
      </c>
      <c r="BI841" s="153" t="n">
        <f aca="false">IF(AND($M841&lt;&gt;"",$N841="VCA",$Q841="LINEAR"),$M841,IF(AND($M841&lt;&gt;"",$N841="MND",$Q841="EMBOQUE"),$AN841*2,0))</f>
        <v>46.85</v>
      </c>
      <c r="BJ841" s="153" t="n">
        <f aca="false">IF(AND($M841&lt;&gt;"",$N841="VCA",$Q841="LINEAR"),($M841*6.8)/100,IF(AND($M841&lt;&gt;"",$N841="MND",$Q841="EMBOQUE"),($AN841*2*6.8)/100,0))</f>
        <v>3.1858</v>
      </c>
      <c r="BK841" s="153" t="n">
        <f aca="false">IF(AND($M841&lt;&gt;"",$N841="VCA",$Q841="LINEAR"),($M841*2.5)/50,IF(AND($M841&lt;&gt;"",$N841="MND",$Q841="EMBOQUE"),($AN841*2*2.5)/50,0))</f>
        <v>2.3425</v>
      </c>
      <c r="BL841" s="157" t="str">
        <f aca="false">K841&amp;J841</f>
        <v>Zona07REDES</v>
      </c>
      <c r="BM841" s="152" t="s">
        <v>4225</v>
      </c>
      <c r="BN841" s="152" t="s">
        <v>1560</v>
      </c>
      <c r="BO841" s="152" t="s">
        <v>4725</v>
      </c>
      <c r="BP841" s="152" t="s">
        <v>4740</v>
      </c>
      <c r="BQ841" s="152" t="s">
        <v>4735</v>
      </c>
      <c r="BR841" s="152" t="s">
        <v>4741</v>
      </c>
      <c r="BS841" s="152" t="n">
        <v>204783.974</v>
      </c>
      <c r="BT841" s="152" t="n">
        <v>8236709.611</v>
      </c>
      <c r="BU841" s="152" t="n">
        <v>204830.783</v>
      </c>
      <c r="BV841" s="152" t="n">
        <v>8236711.66</v>
      </c>
      <c r="BW841" s="152" t="n">
        <v>-15.931323</v>
      </c>
      <c r="BX841" s="152" t="n">
        <v>-47.7571764</v>
      </c>
      <c r="BY841" s="152" t="s">
        <v>4740</v>
      </c>
    </row>
    <row r="842" customFormat="false" ht="13.8" hidden="false" customHeight="false" outlineLevel="0" collapsed="false">
      <c r="A842" s="149" t="n">
        <f aca="false">IF(C842&lt;&gt;"",ROW(A837),"")</f>
        <v>837</v>
      </c>
      <c r="B842" s="150" t="str">
        <f aca="false">HYPERLINK("https://www.google.com/maps/dir/-15.917302,-47.760003/-15.9313340,-47.7583122/data=!4m3!4m2!3e0!5i1")</f>
        <v>https://www.google.com/maps/dir/-15.917302,-47.760003/-15.9313340,-47.7583122/data=!4m3!4m2!3e0!5i1</v>
      </c>
      <c r="C842" s="151" t="s">
        <v>117</v>
      </c>
      <c r="D842" s="152" t="s">
        <v>112</v>
      </c>
      <c r="E842" s="152" t="s">
        <v>113</v>
      </c>
      <c r="F842" s="152" t="s">
        <v>117</v>
      </c>
      <c r="G842" s="152" t="s">
        <v>114</v>
      </c>
      <c r="H842" s="152" t="n">
        <v>160</v>
      </c>
      <c r="I842" s="152" t="s">
        <v>115</v>
      </c>
      <c r="J842" s="152" t="s">
        <v>6</v>
      </c>
      <c r="K842" s="152" t="s">
        <v>4221</v>
      </c>
      <c r="L842" s="152" t="s">
        <v>120</v>
      </c>
      <c r="M842" s="153" t="n">
        <f aca="false">98.29</f>
        <v>98.29</v>
      </c>
      <c r="N842" s="152" t="s">
        <v>1548</v>
      </c>
      <c r="O842" s="152" t="s">
        <v>1549</v>
      </c>
      <c r="P842" s="152" t="s">
        <v>1550</v>
      </c>
      <c r="Q842" s="152" t="s">
        <v>1551</v>
      </c>
      <c r="R842" s="154" t="s">
        <v>4742</v>
      </c>
      <c r="S842" s="154" t="s">
        <v>1593</v>
      </c>
      <c r="T842" s="155" t="s">
        <v>4723</v>
      </c>
      <c r="U842" s="152" t="str">
        <f aca="false">RIGHT(T842,7)</f>
        <v>020/037</v>
      </c>
      <c r="V842" s="152" t="s">
        <v>1555</v>
      </c>
      <c r="W842" s="156" t="n">
        <v>45882</v>
      </c>
      <c r="X842" s="152" t="s">
        <v>3938</v>
      </c>
      <c r="Y842" s="152" t="s">
        <v>3076</v>
      </c>
      <c r="Z842" s="152" t="s">
        <v>1557</v>
      </c>
      <c r="AA842" s="153" t="n">
        <v>2.9</v>
      </c>
      <c r="AB842" s="151" t="s">
        <v>4743</v>
      </c>
      <c r="AC842" s="151" t="s">
        <v>505</v>
      </c>
      <c r="AD842" s="151" t="str">
        <f aca="false">CONCATENATE($C842,$I842,$H842,$N842,$J842,$K842)</f>
        <v>TUBO PEADPEAD160VCAREDESZona07</v>
      </c>
      <c r="AE842" s="153" t="n">
        <f aca="false">IFERROR(INDEX(APOIO_REDES!$A:$W,MATCH($C842&amp;$I842&amp;$H842&amp;$N842&amp;$O842,APOIO_REDES!$W:$W,0),MATCH(AE$5,APOIO_REDES!$5:$5,0)),0)</f>
        <v>1.2</v>
      </c>
      <c r="AF842" s="153" t="n">
        <f aca="false">IFERROR(INDEX(APOIO_REDES!$A:$W,MATCH($C842&amp;$I842&amp;$H842&amp;$N842&amp;$O842,APOIO_REDES!$W:$W,0),MATCH(AF$5,APOIO_REDES!$5:$5,0)),0)</f>
        <v>1.46</v>
      </c>
      <c r="AG842" s="153" t="n">
        <f aca="false">IFERROR(INDEX(APOIO_REDES!$A:$W,MATCH($C842&amp;$I842&amp;$H842&amp;$N842&amp;$O842,APOIO_REDES!$W:$W,0),MATCH(AG$5,APOIO_REDES!$5:$5,0)),0)</f>
        <v>0.75</v>
      </c>
      <c r="AH842" s="153" t="n">
        <f aca="false">IFERROR(INDEX(APOIO_REDES!$A:$W,MATCH($C842&amp;$I842&amp;$H842&amp;$N842&amp;$O842,APOIO_REDES!$W:$W,0),MATCH(AH$5,APOIO_REDES!$5:$5,0)),0)</f>
        <v>0.1</v>
      </c>
      <c r="AI842" s="153" t="n">
        <f aca="false">IFERROR(IF($H842&lt;&gt;"",(((($H842/1000)/2)^2)*PI()*$M842),0),0)</f>
        <v>1.97623770829658</v>
      </c>
      <c r="AJ842" s="153" t="n">
        <f aca="false">IFERROR(IF(AND($H842&lt;&gt;"",$I842="FoFo",OR($N842="MND",$N842="VCA"),$Q842="LINEAR"),0,IF(AND($H842&lt;&gt;"",$I842="PEAD",$N842="VCA",$Q842="LINEAR"),($H842/1000)+0.3,IF(AND($H842&lt;&gt;"",$I842="PEAD",$N842="MND",$Q842="EMBOQUE"),0,IF(AND($H842&lt;&gt;"",$I842="PVC",$N842="VCA",$Q842="LINEAR"),($H842/1000)+0.2,IF(AND($H842&lt;&gt;"",$I842="PVC",$N842="MND",$Q842="EMBOQUE"),0,IF(AND($H842&lt;&gt;"",$I842="PEAD",$N842="VCA",$Q842="PREDIAL"),0,0)))))),0)</f>
        <v>0.46</v>
      </c>
      <c r="AK842" s="153" t="n">
        <f aca="false">IF(AA842&lt;&gt;"",AA842,0)</f>
        <v>2.9</v>
      </c>
      <c r="AL842" s="153" t="n">
        <f aca="false">IF(AND($N842="MND",$Q842="EMBOQUE"),$M842,IF(AND($N842="VCA",$Q842="LINEAR"),$M842,IF(AND($N842="VCA",$Q842="PREDIAL"),0,0)))</f>
        <v>98.29</v>
      </c>
      <c r="AM842" s="153" t="n">
        <f aca="false">IF(AND($N842="MND",$Q842="EMBOQUE"),$M842,IF(AND($N842="VCA",$Q842="LINEAR"),$M842,IF(AND($N842="VCA",$Q842="PREDIAL"),0,0)))</f>
        <v>98.29</v>
      </c>
      <c r="AN842" s="153" t="n">
        <f aca="false">ROUND(IF(AND($N842="VCA",$M842&lt;&gt;"",$Q842="LINEAR"),$M842/100,IF(AND($N842="MND",$M842&gt;100,$Q842="EMBOQUE"),$M842/100,0)),0)</f>
        <v>1</v>
      </c>
      <c r="AO842" s="153" t="n">
        <f aca="false">IF(AND($N842="MND",$Q842="EMBOQUE"),$AN842*2*2,IF(AND($N842="VCA",$Q842="LINEAR"),$M842*2,IF(AND($N842="VCA",$Q842="PREDIAL"),0,0)))</f>
        <v>196.58</v>
      </c>
      <c r="AP842" s="153" t="n">
        <f aca="false">IFERROR($M842*$AF842*$AG842,0)</f>
        <v>107.62755</v>
      </c>
      <c r="AQ842" s="153" t="n">
        <f aca="false">IFERROR(IF(AND($N842="VCA",$AH842&gt;0),$M842*$AG842*$AH842,0),0)</f>
        <v>7.37175</v>
      </c>
      <c r="AR842" s="153" t="n">
        <f aca="false">IFERROR(IF(AND($N842="VCA",$AJ842&gt;0),($M842*$AG842*$AJ842)-$AI842,0),0)</f>
        <v>31.9338122917034</v>
      </c>
      <c r="AS842" s="153" t="n">
        <f aca="false">IFERROR(IF(AND($N842="VCA",$AP842&gt;0),$AP842-$AI842-$AQ842-$AR842,0),0)</f>
        <v>66.34575</v>
      </c>
      <c r="AT842" s="153" t="n">
        <f aca="false">IFERROR(IF($N842="VCA",INDEX(APOIO_REDES!$A:$W,MATCH($C842&amp;$I842&amp;$H842&amp;$N842&amp;$O842,APOIO_REDES!$W:$W,0),MATCH(AT$5,APOIO_REDES!$5:$5,0)),0)*$AP842,0)</f>
        <v>1.17101960012871</v>
      </c>
      <c r="AU842" s="153" t="n">
        <f aca="false">IFERROR(IF($N842="VCA",INDEX(APOIO_REDES!$A:$W,MATCH($C842&amp;$I842&amp;$H842&amp;$N842&amp;$O842,APOIO_REDES!$W:$W,0),MATCH(AU$5,APOIO_REDES!$5:$5,0)),0)*$AP842,0)</f>
        <v>0.935144537429873</v>
      </c>
      <c r="AV842" s="153" t="n">
        <f aca="false">IFERROR(IF($N842="VCA",INDEX(APOIO_REDES!$A:$W,MATCH($C842&amp;$I842&amp;$H842&amp;$N842&amp;$O842,APOIO_REDES!$W:$W,0),MATCH(AV$5,APOIO_REDES!$5:$5,0)),0)*$AP842,0)</f>
        <v>0.129416662807842</v>
      </c>
      <c r="AW842" s="153" t="n">
        <f aca="false">IFERROR(IF($N842="VCA",INDEX(APOIO_REDES!$A:$W,MATCH($C842&amp;$I842&amp;$H842&amp;$N842&amp;$O842,APOIO_REDES!$W:$W,0),MATCH(AW$5,APOIO_REDES!$5:$5,0)),0)*$AP842,0)</f>
        <v>73.8763842589516</v>
      </c>
      <c r="AX842" s="153" t="n">
        <f aca="false">IFERROR(IF($N842="VCA",INDEX(APOIO_REDES!$A:$W,MATCH($C842&amp;$I842&amp;$H842&amp;$N842&amp;$O842,APOIO_REDES!$W:$W,0),MATCH(AX$5,APOIO_REDES!$5:$5,0)),0)*$AP842,0)</f>
        <v>10.2242811405749</v>
      </c>
      <c r="AY842" s="153" t="n">
        <f aca="false">IFERROR(IF($N842="VCA",INDEX(APOIO_REDES!$A:$W,MATCH($C842&amp;$I842&amp;$H842&amp;$N842&amp;$O842,APOIO_REDES!$W:$W,0),MATCH(AY$5,APOIO_REDES!$5:$5,0)),0)*$AP842,0)</f>
        <v>18.7028793492613</v>
      </c>
      <c r="AZ842" s="153" t="n">
        <f aca="false">IFERROR(IF($N842="VCA",INDEX(APOIO_REDES!$A:$W,MATCH($C842&amp;$I842&amp;$H842&amp;$N842&amp;$O842,APOIO_REDES!$W:$W,0),MATCH(AZ$5,APOIO_REDES!$5:$5,0)),0)*$AP842,0)</f>
        <v>2.58842445084569</v>
      </c>
      <c r="BA842" s="153" t="n">
        <f aca="false">IFERROR(IF(AND($N842="VCA",$Q842="LINEAR"),INDEX(APOIO_REDES!$A:$W,MATCH($C842&amp;$I842&amp;$H842&amp;$N842&amp;$O842,APOIO_REDES!$W:$W,0),MATCH(BA$5,APOIO_REDES!$5:$5,0)),IF(AND($N842="MND",$Q842="EMBOQUE"),INDEX(APOIO_REDES!$A:$W,MATCH($C842&amp;$I842&amp;$H842&amp;$N842&amp;$O842,APOIO_REDES!$W:$W,0),MATCH(BA$5,APOIO_REDES!$5:$5,0)),0))*$M842/10,0)</f>
        <v>7.92192607131661</v>
      </c>
      <c r="BB842" s="153" t="n">
        <f aca="false">IFERROR(IF($N842="VCA",INDEX(APOIO_REDES!$A:$W,MATCH($C842&amp;$I842&amp;$H842&amp;$N842&amp;$O842,APOIO_REDES!$W:$W,0),MATCH(BB$5,APOIO_REDES!$5:$5,0)),0)*($AI842+$AQ842+$AR842),0)</f>
        <v>40.8326417972109</v>
      </c>
      <c r="BC842" s="153" t="n">
        <f aca="false">IFERROR(IF($N842="VCA",INDEX(APOIO_REDES!$A:$W,MATCH($C842&amp;$I842&amp;$H842&amp;$N842&amp;$O842,APOIO_REDES!$W:$W,0),MATCH(BC$5,APOIO_REDES!$5:$5,0)),0)*($AI842+$AQ842+$AR842),0)</f>
        <v>0.449158202789093</v>
      </c>
      <c r="BD842" s="153" t="n">
        <f aca="false">IF(AND($N842="VCA",$AF842&gt;=1.25,$AF842&lt;1.5),$M842*$AF842*2,0)</f>
        <v>287.0068</v>
      </c>
      <c r="BE842" s="153" t="n">
        <f aca="false">IF(AND($N842="VCA",$AF842&gt;=1.5,$AF842&lt;3),$M842*$AF842*2,0)</f>
        <v>0</v>
      </c>
      <c r="BF842" s="153" t="n">
        <f aca="false">IF(AND($N842="VCA",$AF842&gt;=3),$M842*$AF842*2,0)</f>
        <v>0</v>
      </c>
      <c r="BG842" s="153" t="n">
        <f aca="false">($BB842+$BC842)*$AK842</f>
        <v>119.71722</v>
      </c>
      <c r="BH842" s="153" t="n">
        <f aca="false">IF(AND($M842&lt;&gt;"",$N842="VCA",$Q842="LINEAR"),($M842*2)/100,IF(AND($M842&lt;&gt;"",$N842="MND",$Q842="EMBOQUE"),($AN842*2)/100,0))</f>
        <v>1.9658</v>
      </c>
      <c r="BI842" s="153" t="n">
        <f aca="false">IF(AND($M842&lt;&gt;"",$N842="VCA",$Q842="LINEAR"),$M842,IF(AND($M842&lt;&gt;"",$N842="MND",$Q842="EMBOQUE"),$AN842*2,0))</f>
        <v>98.29</v>
      </c>
      <c r="BJ842" s="153" t="n">
        <f aca="false">IF(AND($M842&lt;&gt;"",$N842="VCA",$Q842="LINEAR"),($M842*6.8)/100,IF(AND($M842&lt;&gt;"",$N842="MND",$Q842="EMBOQUE"),($AN842*2*6.8)/100,0))</f>
        <v>6.68372</v>
      </c>
      <c r="BK842" s="153" t="n">
        <f aca="false">IF(AND($M842&lt;&gt;"",$N842="VCA",$Q842="LINEAR"),($M842*2.5)/50,IF(AND($M842&lt;&gt;"",$N842="MND",$Q842="EMBOQUE"),($AN842*2*2.5)/50,0))</f>
        <v>4.9145</v>
      </c>
      <c r="BL842" s="157" t="str">
        <f aca="false">K842&amp;J842</f>
        <v>Zona07REDES</v>
      </c>
      <c r="BM842" s="152" t="s">
        <v>4225</v>
      </c>
      <c r="BN842" s="152" t="s">
        <v>1560</v>
      </c>
      <c r="BO842" s="152" t="s">
        <v>4725</v>
      </c>
      <c r="BP842" s="152" t="s">
        <v>4744</v>
      </c>
      <c r="BQ842" s="152" t="s">
        <v>4740</v>
      </c>
      <c r="BR842" s="152" t="s">
        <v>4745</v>
      </c>
      <c r="BS842" s="152" t="n">
        <v>204685.72</v>
      </c>
      <c r="BT842" s="152" t="n">
        <v>8236707.801</v>
      </c>
      <c r="BU842" s="152" t="n">
        <v>204783.974</v>
      </c>
      <c r="BV842" s="152" t="n">
        <v>8236709.611</v>
      </c>
      <c r="BW842" s="152" t="n">
        <v>-15.9313298</v>
      </c>
      <c r="BX842" s="152" t="n">
        <v>-47.7578537</v>
      </c>
      <c r="BY842" s="152" t="s">
        <v>4744</v>
      </c>
    </row>
    <row r="843" customFormat="false" ht="13.8" hidden="false" customHeight="false" outlineLevel="0" collapsed="false">
      <c r="A843" s="149" t="n">
        <f aca="false">IF(C843&lt;&gt;"",ROW(A838),"")</f>
        <v>838</v>
      </c>
      <c r="B843" s="150" t="str">
        <f aca="false">HYPERLINK("https://www.google.com/maps/dir/-15.917302,-47.760003/-15.9313466,-47.7586827/data=!4m3!4m2!3e0!5i1")</f>
        <v>https://www.google.com/maps/dir/-15.917302,-47.760003/-15.9313466,-47.7586827/data=!4m3!4m2!3e0!5i1</v>
      </c>
      <c r="C843" s="151" t="s">
        <v>117</v>
      </c>
      <c r="D843" s="152" t="s">
        <v>112</v>
      </c>
      <c r="E843" s="152" t="s">
        <v>113</v>
      </c>
      <c r="F843" s="152" t="s">
        <v>117</v>
      </c>
      <c r="G843" s="152" t="s">
        <v>114</v>
      </c>
      <c r="H843" s="152" t="n">
        <v>160</v>
      </c>
      <c r="I843" s="152" t="s">
        <v>115</v>
      </c>
      <c r="J843" s="152" t="s">
        <v>6</v>
      </c>
      <c r="K843" s="152" t="s">
        <v>4221</v>
      </c>
      <c r="L843" s="152" t="s">
        <v>120</v>
      </c>
      <c r="M843" s="153" t="n">
        <f aca="false">39.72</f>
        <v>39.72</v>
      </c>
      <c r="N843" s="152" t="s">
        <v>1548</v>
      </c>
      <c r="O843" s="152" t="s">
        <v>1549</v>
      </c>
      <c r="P843" s="152" t="s">
        <v>1550</v>
      </c>
      <c r="Q843" s="152" t="s">
        <v>1551</v>
      </c>
      <c r="R843" s="154" t="s">
        <v>4746</v>
      </c>
      <c r="S843" s="154" t="s">
        <v>1593</v>
      </c>
      <c r="T843" s="155" t="s">
        <v>4723</v>
      </c>
      <c r="U843" s="152" t="str">
        <f aca="false">RIGHT(T843,7)</f>
        <v>020/037</v>
      </c>
      <c r="V843" s="152" t="s">
        <v>1555</v>
      </c>
      <c r="W843" s="156" t="n">
        <v>45882</v>
      </c>
      <c r="X843" s="152" t="s">
        <v>3938</v>
      </c>
      <c r="Y843" s="152" t="s">
        <v>4747</v>
      </c>
      <c r="Z843" s="152" t="s">
        <v>1557</v>
      </c>
      <c r="AA843" s="153" t="n">
        <v>2.9</v>
      </c>
      <c r="AB843" s="151" t="s">
        <v>4748</v>
      </c>
      <c r="AC843" s="151" t="s">
        <v>505</v>
      </c>
      <c r="AD843" s="151" t="str">
        <f aca="false">CONCATENATE($C843,$I843,$H843,$N843,$J843,$K843)</f>
        <v>TUBO PEADPEAD160VCAREDESZona07</v>
      </c>
      <c r="AE843" s="153" t="n">
        <f aca="false">IFERROR(INDEX(APOIO_REDES!$A:$W,MATCH($C843&amp;$I843&amp;$H843&amp;$N843&amp;$O843,APOIO_REDES!$W:$W,0),MATCH(AE$5,APOIO_REDES!$5:$5,0)),0)</f>
        <v>1.2</v>
      </c>
      <c r="AF843" s="153" t="n">
        <f aca="false">IFERROR(INDEX(APOIO_REDES!$A:$W,MATCH($C843&amp;$I843&amp;$H843&amp;$N843&amp;$O843,APOIO_REDES!$W:$W,0),MATCH(AF$5,APOIO_REDES!$5:$5,0)),0)</f>
        <v>1.46</v>
      </c>
      <c r="AG843" s="153" t="n">
        <f aca="false">IFERROR(INDEX(APOIO_REDES!$A:$W,MATCH($C843&amp;$I843&amp;$H843&amp;$N843&amp;$O843,APOIO_REDES!$W:$W,0),MATCH(AG$5,APOIO_REDES!$5:$5,0)),0)</f>
        <v>0.75</v>
      </c>
      <c r="AH843" s="153" t="n">
        <f aca="false">IFERROR(INDEX(APOIO_REDES!$A:$W,MATCH($C843&amp;$I843&amp;$H843&amp;$N843&amp;$O843,APOIO_REDES!$W:$W,0),MATCH(AH$5,APOIO_REDES!$5:$5,0)),0)</f>
        <v>0.1</v>
      </c>
      <c r="AI843" s="153" t="n">
        <f aca="false">IFERROR(IF($H843&lt;&gt;"",(((($H843/1000)/2)^2)*PI()*$M843),0),0)</f>
        <v>0.798617985283754</v>
      </c>
      <c r="AJ843" s="153" t="n">
        <f aca="false">IFERROR(IF(AND($H843&lt;&gt;"",$I843="FoFo",OR($N843="MND",$N843="VCA"),$Q843="LINEAR"),0,IF(AND($H843&lt;&gt;"",$I843="PEAD",$N843="VCA",$Q843="LINEAR"),($H843/1000)+0.3,IF(AND($H843&lt;&gt;"",$I843="PEAD",$N843="MND",$Q843="EMBOQUE"),0,IF(AND($H843&lt;&gt;"",$I843="PVC",$N843="VCA",$Q843="LINEAR"),($H843/1000)+0.2,IF(AND($H843&lt;&gt;"",$I843="PVC",$N843="MND",$Q843="EMBOQUE"),0,IF(AND($H843&lt;&gt;"",$I843="PEAD",$N843="VCA",$Q843="PREDIAL"),0,0)))))),0)</f>
        <v>0.46</v>
      </c>
      <c r="AK843" s="153" t="n">
        <f aca="false">IF(AA843&lt;&gt;"",AA843,0)</f>
        <v>2.9</v>
      </c>
      <c r="AL843" s="153" t="n">
        <f aca="false">IF(AND($N843="MND",$Q843="EMBOQUE"),$M843,IF(AND($N843="VCA",$Q843="LINEAR"),$M843,IF(AND($N843="VCA",$Q843="PREDIAL"),0,0)))</f>
        <v>39.72</v>
      </c>
      <c r="AM843" s="153" t="n">
        <f aca="false">IF(AND($N843="MND",$Q843="EMBOQUE"),$M843,IF(AND($N843="VCA",$Q843="LINEAR"),$M843,IF(AND($N843="VCA",$Q843="PREDIAL"),0,0)))</f>
        <v>39.72</v>
      </c>
      <c r="AN843" s="153" t="n">
        <f aca="false">ROUND(IF(AND($N843="VCA",$M843&lt;&gt;"",$Q843="LINEAR"),$M843/100,IF(AND($N843="MND",$M843&gt;100,$Q843="EMBOQUE"),$M843/100,0)),0)</f>
        <v>0</v>
      </c>
      <c r="AO843" s="153" t="n">
        <f aca="false">IF(AND($N843="MND",$Q843="EMBOQUE"),$AN843*2*2,IF(AND($N843="VCA",$Q843="LINEAR"),$M843*2,IF(AND($N843="VCA",$Q843="PREDIAL"),0,0)))</f>
        <v>79.44</v>
      </c>
      <c r="AP843" s="153" t="n">
        <f aca="false">IFERROR($M843*$AF843*$AG843,0)</f>
        <v>43.4934</v>
      </c>
      <c r="AQ843" s="153" t="n">
        <f aca="false">IFERROR(IF(AND($N843="VCA",$AH843&gt;0),$M843*$AG843*$AH843,0),0)</f>
        <v>2.979</v>
      </c>
      <c r="AR843" s="153" t="n">
        <f aca="false">IFERROR(IF(AND($N843="VCA",$AJ843&gt;0),($M843*$AG843*$AJ843)-$AI843,0),0)</f>
        <v>12.9047820147162</v>
      </c>
      <c r="AS843" s="153" t="n">
        <f aca="false">IFERROR(IF(AND($N843="VCA",$AP843&gt;0),$AP843-$AI843-$AQ843-$AR843,0),0)</f>
        <v>26.811</v>
      </c>
      <c r="AT843" s="153" t="n">
        <f aca="false">IFERROR(IF($N843="VCA",INDEX(APOIO_REDES!$A:$W,MATCH($C843&amp;$I843&amp;$H843&amp;$N843&amp;$O843,APOIO_REDES!$W:$W,0),MATCH(AT$5,APOIO_REDES!$5:$5,0)),0)*$AP843,0)</f>
        <v>0.473221065389279</v>
      </c>
      <c r="AU843" s="153" t="n">
        <f aca="false">IFERROR(IF($N843="VCA",INDEX(APOIO_REDES!$A:$W,MATCH($C843&amp;$I843&amp;$H843&amp;$N843&amp;$O843,APOIO_REDES!$W:$W,0),MATCH(AU$5,APOIO_REDES!$5:$5,0)),0)*$AP843,0)</f>
        <v>0.377901526368039</v>
      </c>
      <c r="AV843" s="153" t="n">
        <f aca="false">IFERROR(IF($N843="VCA",INDEX(APOIO_REDES!$A:$W,MATCH($C843&amp;$I843&amp;$H843&amp;$N843&amp;$O843,APOIO_REDES!$W:$W,0),MATCH(AV$5,APOIO_REDES!$5:$5,0)),0)*$AP843,0)</f>
        <v>0.0522986046060382</v>
      </c>
      <c r="AW843" s="153" t="n">
        <f aca="false">IFERROR(IF($N843="VCA",INDEX(APOIO_REDES!$A:$W,MATCH($C843&amp;$I843&amp;$H843&amp;$N843&amp;$O843,APOIO_REDES!$W:$W,0),MATCH(AW$5,APOIO_REDES!$5:$5,0)),0)*$AP843,0)</f>
        <v>29.8542067633082</v>
      </c>
      <c r="AX843" s="153" t="n">
        <f aca="false">IFERROR(IF($N843="VCA",INDEX(APOIO_REDES!$A:$W,MATCH($C843&amp;$I843&amp;$H843&amp;$N843&amp;$O843,APOIO_REDES!$W:$W,0),MATCH(AX$5,APOIO_REDES!$5:$5,0)),0)*$AP843,0)</f>
        <v>4.13173717472414</v>
      </c>
      <c r="AY843" s="153" t="n">
        <f aca="false">IFERROR(IF($N843="VCA",INDEX(APOIO_REDES!$A:$W,MATCH($C843&amp;$I843&amp;$H843&amp;$N843&amp;$O843,APOIO_REDES!$W:$W,0),MATCH(AY$5,APOIO_REDES!$5:$5,0)),0)*$AP843,0)</f>
        <v>7.5580259207718</v>
      </c>
      <c r="AZ843" s="153" t="n">
        <f aca="false">IFERROR(IF($N843="VCA",INDEX(APOIO_REDES!$A:$W,MATCH($C843&amp;$I843&amp;$H843&amp;$N843&amp;$O843,APOIO_REDES!$W:$W,0),MATCH(AZ$5,APOIO_REDES!$5:$5,0)),0)*$AP843,0)</f>
        <v>1.04600894483255</v>
      </c>
      <c r="BA843" s="153" t="n">
        <f aca="false">IFERROR(IF(AND($N843="VCA",$Q843="LINEAR"),INDEX(APOIO_REDES!$A:$W,MATCH($C843&amp;$I843&amp;$H843&amp;$N843&amp;$O843,APOIO_REDES!$W:$W,0),MATCH(BA$5,APOIO_REDES!$5:$5,0)),IF(AND($N843="MND",$Q843="EMBOQUE"),INDEX(APOIO_REDES!$A:$W,MATCH($C843&amp;$I843&amp;$H843&amp;$N843&amp;$O843,APOIO_REDES!$W:$W,0),MATCH(BA$5,APOIO_REDES!$5:$5,0)),0))*$M843/10,0)</f>
        <v>3.20133180946887</v>
      </c>
      <c r="BB843" s="153" t="n">
        <f aca="false">IFERROR(IF($N843="VCA",INDEX(APOIO_REDES!$A:$W,MATCH($C843&amp;$I843&amp;$H843&amp;$N843&amp;$O843,APOIO_REDES!$W:$W,0),MATCH(BB$5,APOIO_REDES!$5:$5,0)),0)*($AI843+$AQ843+$AR843),0)</f>
        <v>16.5008905502616</v>
      </c>
      <c r="BC843" s="153" t="n">
        <f aca="false">IFERROR(IF($N843="VCA",INDEX(APOIO_REDES!$A:$W,MATCH($C843&amp;$I843&amp;$H843&amp;$N843&amp;$O843,APOIO_REDES!$W:$W,0),MATCH(BC$5,APOIO_REDES!$5:$5,0)),0)*($AI843+$AQ843+$AR843),0)</f>
        <v>0.181509449738354</v>
      </c>
      <c r="BD843" s="153" t="n">
        <f aca="false">IF(AND($N843="VCA",$AF843&gt;=1.25,$AF843&lt;1.5),$M843*$AF843*2,0)</f>
        <v>115.9824</v>
      </c>
      <c r="BE843" s="153" t="n">
        <f aca="false">IF(AND($N843="VCA",$AF843&gt;=1.5,$AF843&lt;3),$M843*$AF843*2,0)</f>
        <v>0</v>
      </c>
      <c r="BF843" s="153" t="n">
        <f aca="false">IF(AND($N843="VCA",$AF843&gt;=3),$M843*$AF843*2,0)</f>
        <v>0</v>
      </c>
      <c r="BG843" s="153" t="n">
        <f aca="false">($BB843+$BC843)*$AK843</f>
        <v>48.37896</v>
      </c>
      <c r="BH843" s="153" t="n">
        <f aca="false">IF(AND($M843&lt;&gt;"",$N843="VCA",$Q843="LINEAR"),($M843*2)/100,IF(AND($M843&lt;&gt;"",$N843="MND",$Q843="EMBOQUE"),($AN843*2)/100,0))</f>
        <v>0.7944</v>
      </c>
      <c r="BI843" s="153" t="n">
        <f aca="false">IF(AND($M843&lt;&gt;"",$N843="VCA",$Q843="LINEAR"),$M843,IF(AND($M843&lt;&gt;"",$N843="MND",$Q843="EMBOQUE"),$AN843*2,0))</f>
        <v>39.72</v>
      </c>
      <c r="BJ843" s="153" t="n">
        <f aca="false">IF(AND($M843&lt;&gt;"",$N843="VCA",$Q843="LINEAR"),($M843*6.8)/100,IF(AND($M843&lt;&gt;"",$N843="MND",$Q843="EMBOQUE"),($AN843*2*6.8)/100,0))</f>
        <v>2.70096</v>
      </c>
      <c r="BK843" s="153" t="n">
        <f aca="false">IF(AND($M843&lt;&gt;"",$N843="VCA",$Q843="LINEAR"),($M843*2.5)/50,IF(AND($M843&lt;&gt;"",$N843="MND",$Q843="EMBOQUE"),($AN843*2*2.5)/50,0))</f>
        <v>1.986</v>
      </c>
      <c r="BL843" s="157" t="str">
        <f aca="false">K843&amp;J843</f>
        <v>Zona07REDES</v>
      </c>
      <c r="BM843" s="152" t="s">
        <v>4225</v>
      </c>
      <c r="BN843" s="152" t="s">
        <v>1560</v>
      </c>
      <c r="BO843" s="152" t="s">
        <v>4725</v>
      </c>
      <c r="BP843" s="152" t="s">
        <v>4749</v>
      </c>
      <c r="BQ843" s="152" t="s">
        <v>4744</v>
      </c>
      <c r="BR843" s="152" t="s">
        <v>4750</v>
      </c>
      <c r="BS843" s="152" t="n">
        <v>204646.046</v>
      </c>
      <c r="BT843" s="152" t="n">
        <v>8236705.872</v>
      </c>
      <c r="BU843" s="152" t="n">
        <v>204685.72</v>
      </c>
      <c r="BV843" s="152" t="n">
        <v>8236707.801</v>
      </c>
      <c r="BW843" s="152" t="n">
        <v>-15.9313411</v>
      </c>
      <c r="BX843" s="152" t="n">
        <v>-47.7584974</v>
      </c>
      <c r="BY843" s="152" t="s">
        <v>4749</v>
      </c>
    </row>
    <row r="844" customFormat="false" ht="13.8" hidden="false" customHeight="false" outlineLevel="0" collapsed="false">
      <c r="A844" s="149" t="n">
        <f aca="false">IF(C844&lt;&gt;"",ROW(A839),"")</f>
        <v>839</v>
      </c>
      <c r="B844" s="150" t="str">
        <f aca="false">HYPERLINK("https://www.google.com/maps/dir/-15.917302,-47.760003/-15.9314746,-47.7559556/data=!4m3!4m2!3e0!5i1")</f>
        <v>https://www.google.com/maps/dir/-15.917302,-47.760003/-15.9314746,-47.7559556/data=!4m3!4m2!3e0!5i1</v>
      </c>
      <c r="C844" s="151" t="s">
        <v>117</v>
      </c>
      <c r="D844" s="152" t="s">
        <v>112</v>
      </c>
      <c r="E844" s="152" t="s">
        <v>113</v>
      </c>
      <c r="F844" s="152" t="s">
        <v>117</v>
      </c>
      <c r="G844" s="152" t="s">
        <v>782</v>
      </c>
      <c r="H844" s="152" t="n">
        <v>63</v>
      </c>
      <c r="I844" s="152" t="s">
        <v>115</v>
      </c>
      <c r="J844" s="152" t="s">
        <v>6</v>
      </c>
      <c r="K844" s="152" t="s">
        <v>4221</v>
      </c>
      <c r="L844" s="152" t="s">
        <v>120</v>
      </c>
      <c r="M844" s="153" t="n">
        <f aca="false">18.58</f>
        <v>18.58</v>
      </c>
      <c r="N844" s="152" t="s">
        <v>1548</v>
      </c>
      <c r="O844" s="152" t="s">
        <v>1549</v>
      </c>
      <c r="P844" s="152" t="s">
        <v>1550</v>
      </c>
      <c r="Q844" s="152" t="s">
        <v>1551</v>
      </c>
      <c r="R844" s="154" t="s">
        <v>4751</v>
      </c>
      <c r="S844" s="154" t="s">
        <v>1553</v>
      </c>
      <c r="T844" s="155" t="s">
        <v>4723</v>
      </c>
      <c r="U844" s="152" t="str">
        <f aca="false">RIGHT(T844,7)</f>
        <v>020/037</v>
      </c>
      <c r="V844" s="152" t="s">
        <v>1555</v>
      </c>
      <c r="W844" s="156" t="n">
        <v>45882</v>
      </c>
      <c r="X844" s="152" t="s">
        <v>3938</v>
      </c>
      <c r="Y844" s="152" t="s">
        <v>2042</v>
      </c>
      <c r="Z844" s="152" t="s">
        <v>1557</v>
      </c>
      <c r="AA844" s="153" t="n">
        <v>2.7</v>
      </c>
      <c r="AB844" s="151" t="s">
        <v>4752</v>
      </c>
      <c r="AC844" s="151" t="s">
        <v>186</v>
      </c>
      <c r="AD844" s="151" t="str">
        <f aca="false">CONCATENATE($C844,$I844,$H844,$N844,$J844,$K844)</f>
        <v>TUBO PEADPEAD63VCAREDESZona07</v>
      </c>
      <c r="AE844" s="153" t="n">
        <f aca="false">IFERROR(INDEX(APOIO_REDES!$A:$W,MATCH($C844&amp;$I844&amp;$H844&amp;$N844&amp;$O844,APOIO_REDES!$W:$W,0),MATCH(AE$5,APOIO_REDES!$5:$5,0)),0)</f>
        <v>1.2</v>
      </c>
      <c r="AF844" s="153" t="n">
        <f aca="false">IFERROR(INDEX(APOIO_REDES!$A:$W,MATCH($C844&amp;$I844&amp;$H844&amp;$N844&amp;$O844,APOIO_REDES!$W:$W,0),MATCH(AF$5,APOIO_REDES!$5:$5,0)),0)</f>
        <v>1.363</v>
      </c>
      <c r="AG844" s="153" t="n">
        <f aca="false">IFERROR(INDEX(APOIO_REDES!$A:$W,MATCH($C844&amp;$I844&amp;$H844&amp;$N844&amp;$O844,APOIO_REDES!$W:$W,0),MATCH(AG$5,APOIO_REDES!$5:$5,0)),0)</f>
        <v>0.65</v>
      </c>
      <c r="AH844" s="153" t="n">
        <f aca="false">IFERROR(INDEX(APOIO_REDES!$A:$W,MATCH($C844&amp;$I844&amp;$H844&amp;$N844&amp;$O844,APOIO_REDES!$W:$W,0),MATCH(AH$5,APOIO_REDES!$5:$5,0)),0)</f>
        <v>0.1</v>
      </c>
      <c r="AI844" s="153" t="n">
        <f aca="false">IFERROR(IF($H844&lt;&gt;"",(((($H844/1000)/2)^2)*PI()*$M844),0),0)</f>
        <v>0.0579184178695447</v>
      </c>
      <c r="AJ844" s="153" t="n">
        <f aca="false">IFERROR(IF(AND($H844&lt;&gt;"",$I844="FoFo",OR($N844="MND",$N844="VCA"),$Q844="LINEAR"),0,IF(AND($H844&lt;&gt;"",$I844="PEAD",$N844="VCA",$Q844="LINEAR"),($H844/1000)+0.3,IF(AND($H844&lt;&gt;"",$I844="PEAD",$N844="MND",$Q844="EMBOQUE"),0,IF(AND($H844&lt;&gt;"",$I844="PVC",$N844="VCA",$Q844="LINEAR"),($H844/1000)+0.2,IF(AND($H844&lt;&gt;"",$I844="PVC",$N844="MND",$Q844="EMBOQUE"),0,IF(AND($H844&lt;&gt;"",$I844="PEAD",$N844="VCA",$Q844="PREDIAL"),0,0)))))),0)</f>
        <v>0.363</v>
      </c>
      <c r="AK844" s="153" t="n">
        <f aca="false">IF(AA844&lt;&gt;"",AA844,0)</f>
        <v>2.7</v>
      </c>
      <c r="AL844" s="153" t="n">
        <f aca="false">IF(AND($N844="MND",$Q844="EMBOQUE"),$M844,IF(AND($N844="VCA",$Q844="LINEAR"),$M844,IF(AND($N844="VCA",$Q844="PREDIAL"),0,0)))</f>
        <v>18.58</v>
      </c>
      <c r="AM844" s="153" t="n">
        <f aca="false">IF(AND($N844="MND",$Q844="EMBOQUE"),$M844,IF(AND($N844="VCA",$Q844="LINEAR"),$M844,IF(AND($N844="VCA",$Q844="PREDIAL"),0,0)))</f>
        <v>18.58</v>
      </c>
      <c r="AN844" s="153" t="n">
        <f aca="false">ROUND(IF(AND($N844="VCA",$M844&lt;&gt;"",$Q844="LINEAR"),$M844/100,IF(AND($N844="MND",$M844&gt;100,$Q844="EMBOQUE"),$M844/100,0)),0)</f>
        <v>0</v>
      </c>
      <c r="AO844" s="153" t="n">
        <f aca="false">IF(AND($N844="MND",$Q844="EMBOQUE"),$AN844*2*2,IF(AND($N844="VCA",$Q844="LINEAR"),$M844*2,IF(AND($N844="VCA",$Q844="PREDIAL"),0,0)))</f>
        <v>37.16</v>
      </c>
      <c r="AP844" s="153" t="n">
        <f aca="false">IFERROR($M844*$AF844*$AG844,0)</f>
        <v>16.460951</v>
      </c>
      <c r="AQ844" s="153" t="n">
        <f aca="false">IFERROR(IF(AND($N844="VCA",$AH844&gt;0),$M844*$AG844*$AH844,0),0)</f>
        <v>1.2077</v>
      </c>
      <c r="AR844" s="153" t="n">
        <f aca="false">IFERROR(IF(AND($N844="VCA",$AJ844&gt;0),($M844*$AG844*$AJ844)-$AI844,0),0)</f>
        <v>4.32603258213046</v>
      </c>
      <c r="AS844" s="153" t="n">
        <f aca="false">IFERROR(IF(AND($N844="VCA",$AP844&gt;0),$AP844-$AI844-$AQ844-$AR844,0),0)</f>
        <v>10.8693</v>
      </c>
      <c r="AT844" s="153" t="n">
        <f aca="false">IFERROR(IF($N844="VCA",INDEX(APOIO_REDES!$A:$W,MATCH($C844&amp;$I844&amp;$H844&amp;$N844&amp;$O844,APOIO_REDES!$W:$W,0),MATCH(AT$5,APOIO_REDES!$5:$5,0)),0)*$AP844,0)</f>
        <v>0.179100019072796</v>
      </c>
      <c r="AU844" s="153" t="n">
        <f aca="false">IFERROR(IF($N844="VCA",INDEX(APOIO_REDES!$A:$W,MATCH($C844&amp;$I844&amp;$H844&amp;$N844&amp;$O844,APOIO_REDES!$W:$W,0),MATCH(AU$5,APOIO_REDES!$5:$5,0)),0)*$AP844,0)</f>
        <v>0.143024424587857</v>
      </c>
      <c r="AV844" s="153" t="n">
        <f aca="false">IFERROR(IF($N844="VCA",INDEX(APOIO_REDES!$A:$W,MATCH($C844&amp;$I844&amp;$H844&amp;$N844&amp;$O844,APOIO_REDES!$W:$W,0),MATCH(AV$5,APOIO_REDES!$5:$5,0)),0)*$AP844,0)</f>
        <v>0.0197934575772041</v>
      </c>
      <c r="AW844" s="153" t="n">
        <f aca="false">IFERROR(IF($N844="VCA",INDEX(APOIO_REDES!$A:$W,MATCH($C844&amp;$I844&amp;$H844&amp;$N844&amp;$O844,APOIO_REDES!$W:$W,0),MATCH(AW$5,APOIO_REDES!$5:$5,0)),0)*$AP844,0)</f>
        <v>11.2989243120723</v>
      </c>
      <c r="AX844" s="153" t="n">
        <f aca="false">IFERROR(IF($N844="VCA",INDEX(APOIO_REDES!$A:$W,MATCH($C844&amp;$I844&amp;$H844&amp;$N844&amp;$O844,APOIO_REDES!$W:$W,0),MATCH(AX$5,APOIO_REDES!$5:$5,0)),0)*$AP844,0)</f>
        <v>1.56373893919566</v>
      </c>
      <c r="AY844" s="153" t="n">
        <f aca="false">IFERROR(IF($N844="VCA",INDEX(APOIO_REDES!$A:$W,MATCH($C844&amp;$I844&amp;$H844&amp;$N844&amp;$O844,APOIO_REDES!$W:$W,0),MATCH(AY$5,APOIO_REDES!$5:$5,0)),0)*$AP844,0)</f>
        <v>2.860486748301</v>
      </c>
      <c r="AZ844" s="153" t="n">
        <f aca="false">IFERROR(IF($N844="VCA",INDEX(APOIO_REDES!$A:$W,MATCH($C844&amp;$I844&amp;$H844&amp;$N844&amp;$O844,APOIO_REDES!$W:$W,0),MATCH(AZ$5,APOIO_REDES!$5:$5,0)),0)*$AP844,0)</f>
        <v>0.395883099193216</v>
      </c>
      <c r="BA844" s="153" t="n">
        <f aca="false">IFERROR(IF(AND($N844="VCA",$Q844="LINEAR"),INDEX(APOIO_REDES!$A:$W,MATCH($C844&amp;$I844&amp;$H844&amp;$N844&amp;$O844,APOIO_REDES!$W:$W,0),MATCH(BA$5,APOIO_REDES!$5:$5,0)),IF(AND($N844="MND",$Q844="EMBOQUE"),INDEX(APOIO_REDES!$A:$W,MATCH($C844&amp;$I844&amp;$H844&amp;$N844&amp;$O844,APOIO_REDES!$W:$W,0),MATCH(BA$5,APOIO_REDES!$5:$5,0)),0))*$M844/10,0)</f>
        <v>1.49750113343232</v>
      </c>
      <c r="BB844" s="153" t="n">
        <f aca="false">IFERROR(IF($N844="VCA",INDEX(APOIO_REDES!$A:$W,MATCH($C844&amp;$I844&amp;$H844&amp;$N844&amp;$O844,APOIO_REDES!$W:$W,0),MATCH(BB$5,APOIO_REDES!$5:$5,0)),0)*($AI844+$AQ844+$AR844),0)</f>
        <v>5.53081218207579</v>
      </c>
      <c r="BC844" s="153" t="n">
        <f aca="false">IFERROR(IF($N844="VCA",INDEX(APOIO_REDES!$A:$W,MATCH($C844&amp;$I844&amp;$H844&amp;$N844&amp;$O844,APOIO_REDES!$W:$W,0),MATCH(BC$5,APOIO_REDES!$5:$5,0)),0)*($AI844+$AQ844+$AR844),0)</f>
        <v>0.0608388179242144</v>
      </c>
      <c r="BD844" s="153" t="n">
        <f aca="false">IF(AND($N844="VCA",$AF844&gt;=1.25,$AF844&lt;1.5),$M844*$AF844*2,0)</f>
        <v>50.64908</v>
      </c>
      <c r="BE844" s="153" t="n">
        <f aca="false">IF(AND($N844="VCA",$AF844&gt;=1.5,$AF844&lt;3),$M844*$AF844*2,0)</f>
        <v>0</v>
      </c>
      <c r="BF844" s="153" t="n">
        <f aca="false">IF(AND($N844="VCA",$AF844&gt;=3),$M844*$AF844*2,0)</f>
        <v>0</v>
      </c>
      <c r="BG844" s="153" t="n">
        <f aca="false">($BB844+$BC844)*$AK844</f>
        <v>15.0974577</v>
      </c>
      <c r="BH844" s="153" t="n">
        <f aca="false">IF(AND($M844&lt;&gt;"",$N844="VCA",$Q844="LINEAR"),($M844*2)/100,IF(AND($M844&lt;&gt;"",$N844="MND",$Q844="EMBOQUE"),($AN844*2)/100,0))</f>
        <v>0.3716</v>
      </c>
      <c r="BI844" s="153" t="n">
        <f aca="false">IF(AND($M844&lt;&gt;"",$N844="VCA",$Q844="LINEAR"),$M844,IF(AND($M844&lt;&gt;"",$N844="MND",$Q844="EMBOQUE"),$AN844*2,0))</f>
        <v>18.58</v>
      </c>
      <c r="BJ844" s="153" t="n">
        <f aca="false">IF(AND($M844&lt;&gt;"",$N844="VCA",$Q844="LINEAR"),($M844*6.8)/100,IF(AND($M844&lt;&gt;"",$N844="MND",$Q844="EMBOQUE"),($AN844*2*6.8)/100,0))</f>
        <v>1.26344</v>
      </c>
      <c r="BK844" s="153" t="n">
        <f aca="false">IF(AND($M844&lt;&gt;"",$N844="VCA",$Q844="LINEAR"),($M844*2.5)/50,IF(AND($M844&lt;&gt;"",$N844="MND",$Q844="EMBOQUE"),($AN844*2*2.5)/50,0))</f>
        <v>0.929</v>
      </c>
      <c r="BL844" s="157" t="str">
        <f aca="false">K844&amp;J844</f>
        <v>Zona07REDES</v>
      </c>
      <c r="BM844" s="152" t="s">
        <v>4225</v>
      </c>
      <c r="BN844" s="152" t="s">
        <v>1560</v>
      </c>
      <c r="BO844" s="152" t="s">
        <v>4725</v>
      </c>
      <c r="BP844" s="152" t="s">
        <v>4753</v>
      </c>
      <c r="BQ844" s="152" t="s">
        <v>4730</v>
      </c>
      <c r="BR844" s="152" t="s">
        <v>4754</v>
      </c>
      <c r="BS844" s="152" t="n">
        <v>204938.396</v>
      </c>
      <c r="BT844" s="152" t="n">
        <v>8236695.561</v>
      </c>
      <c r="BU844" s="152" t="n">
        <v>204935.671</v>
      </c>
      <c r="BV844" s="152" t="n">
        <v>8236713.919</v>
      </c>
      <c r="BW844" s="152" t="n">
        <v>-15.9313917</v>
      </c>
      <c r="BX844" s="152" t="n">
        <v>-47.7559679</v>
      </c>
      <c r="BY844" s="152" t="s">
        <v>4753</v>
      </c>
    </row>
    <row r="845" customFormat="false" ht="13.8" hidden="false" customHeight="false" outlineLevel="0" collapsed="false">
      <c r="A845" s="149" t="n">
        <f aca="false">IF(C845&lt;&gt;"",ROW(A840),"")</f>
        <v>840</v>
      </c>
      <c r="B845" s="150" t="str">
        <f aca="false">HYPERLINK("https://www.google.com/maps/dir/-15.917302,-47.760003/-15.9313923,-47.7608071/data=!4m3!4m2!3e0!5i1")</f>
        <v>https://www.google.com/maps/dir/-15.917302,-47.760003/-15.9313923,-47.7608071/data=!4m3!4m2!3e0!5i1</v>
      </c>
      <c r="C845" s="151" t="s">
        <v>117</v>
      </c>
      <c r="D845" s="152" t="s">
        <v>112</v>
      </c>
      <c r="E845" s="152" t="s">
        <v>113</v>
      </c>
      <c r="F845" s="152" t="s">
        <v>117</v>
      </c>
      <c r="G845" s="152" t="s">
        <v>114</v>
      </c>
      <c r="H845" s="152" t="n">
        <v>160</v>
      </c>
      <c r="I845" s="152" t="s">
        <v>115</v>
      </c>
      <c r="J845" s="152" t="s">
        <v>6</v>
      </c>
      <c r="K845" s="152" t="s">
        <v>4221</v>
      </c>
      <c r="L845" s="152" t="s">
        <v>120</v>
      </c>
      <c r="M845" s="153" t="n">
        <f aca="false">227.25+0.49</f>
        <v>227.74</v>
      </c>
      <c r="N845" s="152" t="s">
        <v>1548</v>
      </c>
      <c r="O845" s="152" t="s">
        <v>1549</v>
      </c>
      <c r="P845" s="152" t="s">
        <v>1550</v>
      </c>
      <c r="Q845" s="152" t="s">
        <v>1551</v>
      </c>
      <c r="R845" s="154" t="s">
        <v>4755</v>
      </c>
      <c r="S845" s="154" t="s">
        <v>1593</v>
      </c>
      <c r="T845" s="155" t="s">
        <v>4723</v>
      </c>
      <c r="U845" s="152" t="str">
        <f aca="false">RIGHT(T845,7)</f>
        <v>020/037</v>
      </c>
      <c r="V845" s="152" t="s">
        <v>1555</v>
      </c>
      <c r="W845" s="156" t="n">
        <v>45882</v>
      </c>
      <c r="X845" s="152" t="s">
        <v>3938</v>
      </c>
      <c r="Y845" s="152" t="s">
        <v>4756</v>
      </c>
      <c r="Z845" s="152" t="s">
        <v>1557</v>
      </c>
      <c r="AA845" s="153" t="n">
        <v>3.2</v>
      </c>
      <c r="AB845" s="151" t="s">
        <v>4757</v>
      </c>
      <c r="AC845" s="151" t="s">
        <v>505</v>
      </c>
      <c r="AD845" s="151" t="str">
        <f aca="false">CONCATENATE($C845,$I845,$H845,$N845,$J845,$K845)</f>
        <v>TUBO PEADPEAD160VCAREDESZona07</v>
      </c>
      <c r="AE845" s="153" t="n">
        <f aca="false">IFERROR(INDEX(APOIO_REDES!$A:$W,MATCH($C845&amp;$I845&amp;$H845&amp;$N845&amp;$O845,APOIO_REDES!$W:$W,0),MATCH(AE$5,APOIO_REDES!$5:$5,0)),0)</f>
        <v>1.2</v>
      </c>
      <c r="AF845" s="153" t="n">
        <f aca="false">IFERROR(INDEX(APOIO_REDES!$A:$W,MATCH($C845&amp;$I845&amp;$H845&amp;$N845&amp;$O845,APOIO_REDES!$W:$W,0),MATCH(AF$5,APOIO_REDES!$5:$5,0)),0)</f>
        <v>1.46</v>
      </c>
      <c r="AG845" s="153" t="n">
        <f aca="false">IFERROR(INDEX(APOIO_REDES!$A:$W,MATCH($C845&amp;$I845&amp;$H845&amp;$N845&amp;$O845,APOIO_REDES!$W:$W,0),MATCH(AG$5,APOIO_REDES!$5:$5,0)),0)</f>
        <v>0.75</v>
      </c>
      <c r="AH845" s="153" t="n">
        <f aca="false">IFERROR(INDEX(APOIO_REDES!$A:$W,MATCH($C845&amp;$I845&amp;$H845&amp;$N845&amp;$O845,APOIO_REDES!$W:$W,0),MATCH(AH$5,APOIO_REDES!$5:$5,0)),0)</f>
        <v>0.1</v>
      </c>
      <c r="AI845" s="153" t="n">
        <f aca="false">IFERROR(IF($H845&lt;&gt;"",(((($H845/1000)/2)^2)*PI()*$M845),0),0)</f>
        <v>4.57898438994265</v>
      </c>
      <c r="AJ845" s="153" t="n">
        <f aca="false">IFERROR(IF(AND($H845&lt;&gt;"",$I845="FoFo",OR($N845="MND",$N845="VCA"),$Q845="LINEAR"),0,IF(AND($H845&lt;&gt;"",$I845="PEAD",$N845="VCA",$Q845="LINEAR"),($H845/1000)+0.3,IF(AND($H845&lt;&gt;"",$I845="PEAD",$N845="MND",$Q845="EMBOQUE"),0,IF(AND($H845&lt;&gt;"",$I845="PVC",$N845="VCA",$Q845="LINEAR"),($H845/1000)+0.2,IF(AND($H845&lt;&gt;"",$I845="PVC",$N845="MND",$Q845="EMBOQUE"),0,IF(AND($H845&lt;&gt;"",$I845="PEAD",$N845="VCA",$Q845="PREDIAL"),0,0)))))),0)</f>
        <v>0.46</v>
      </c>
      <c r="AK845" s="153" t="n">
        <f aca="false">IF(AA845&lt;&gt;"",AA845,0)</f>
        <v>3.2</v>
      </c>
      <c r="AL845" s="153" t="n">
        <f aca="false">IF(AND($N845="MND",$Q845="EMBOQUE"),$M845,IF(AND($N845="VCA",$Q845="LINEAR"),$M845,IF(AND($N845="VCA",$Q845="PREDIAL"),0,0)))</f>
        <v>227.74</v>
      </c>
      <c r="AM845" s="153" t="n">
        <f aca="false">IF(AND($N845="MND",$Q845="EMBOQUE"),$M845,IF(AND($N845="VCA",$Q845="LINEAR"),$M845,IF(AND($N845="VCA",$Q845="PREDIAL"),0,0)))</f>
        <v>227.74</v>
      </c>
      <c r="AN845" s="153" t="n">
        <f aca="false">ROUND(IF(AND($N845="VCA",$M845&lt;&gt;"",$Q845="LINEAR"),$M845/100,IF(AND($N845="MND",$M845&gt;100,$Q845="EMBOQUE"),$M845/100,0)),0)</f>
        <v>2</v>
      </c>
      <c r="AO845" s="153" t="n">
        <f aca="false">IF(AND($N845="MND",$Q845="EMBOQUE"),$AN845*2*2,IF(AND($N845="VCA",$Q845="LINEAR"),$M845*2,IF(AND($N845="VCA",$Q845="PREDIAL"),0,0)))</f>
        <v>455.48</v>
      </c>
      <c r="AP845" s="153" t="n">
        <f aca="false">IFERROR($M845*$AF845*$AG845,0)</f>
        <v>249.3753</v>
      </c>
      <c r="AQ845" s="153" t="n">
        <f aca="false">IFERROR(IF(AND($N845="VCA",$AH845&gt;0),$M845*$AG845*$AH845,0),0)</f>
        <v>17.0805</v>
      </c>
      <c r="AR845" s="153" t="n">
        <f aca="false">IFERROR(IF(AND($N845="VCA",$AJ845&gt;0),($M845*$AG845*$AJ845)-$AI845,0),0)</f>
        <v>73.9913156100574</v>
      </c>
      <c r="AS845" s="153" t="n">
        <f aca="false">IFERROR(IF(AND($N845="VCA",$AP845&gt;0),$AP845-$AI845-$AQ845-$AR845,0),0)</f>
        <v>153.7245</v>
      </c>
      <c r="AT845" s="153" t="n">
        <f aca="false">IFERROR(IF($N845="VCA",INDEX(APOIO_REDES!$A:$W,MATCH($C845&amp;$I845&amp;$H845&amp;$N845&amp;$O845,APOIO_REDES!$W:$W,0),MATCH(AT$5,APOIO_REDES!$5:$5,0)),0)*$AP845,0)</f>
        <v>2.71327707532111</v>
      </c>
      <c r="AU845" s="153" t="n">
        <f aca="false">IFERROR(IF($N845="VCA",INDEX(APOIO_REDES!$A:$W,MATCH($C845&amp;$I845&amp;$H845&amp;$N845&amp;$O845,APOIO_REDES!$W:$W,0),MATCH(AU$5,APOIO_REDES!$5:$5,0)),0)*$AP845,0)</f>
        <v>2.16674958748885</v>
      </c>
      <c r="AV845" s="153" t="n">
        <f aca="false">IFERROR(IF($N845="VCA",INDEX(APOIO_REDES!$A:$W,MATCH($C845&amp;$I845&amp;$H845&amp;$N845&amp;$O845,APOIO_REDES!$W:$W,0),MATCH(AV$5,APOIO_REDES!$5:$5,0)),0)*$AP845,0)</f>
        <v>0.29986113325728</v>
      </c>
      <c r="AW845" s="153" t="n">
        <f aca="false">IFERROR(IF($N845="VCA",INDEX(APOIO_REDES!$A:$W,MATCH($C845&amp;$I845&amp;$H845&amp;$N845&amp;$O845,APOIO_REDES!$W:$W,0),MATCH(AW$5,APOIO_REDES!$5:$5,0)),0)*$AP845,0)</f>
        <v>171.173138174114</v>
      </c>
      <c r="AX845" s="153" t="n">
        <f aca="false">IFERROR(IF($N845="VCA",INDEX(APOIO_REDES!$A:$W,MATCH($C845&amp;$I845&amp;$H845&amp;$N845&amp;$O845,APOIO_REDES!$W:$W,0),MATCH(AX$5,APOIO_REDES!$5:$5,0)),0)*$AP845,0)</f>
        <v>23.6898747273836</v>
      </c>
      <c r="AY845" s="153" t="n">
        <f aca="false">IFERROR(IF($N845="VCA",INDEX(APOIO_REDES!$A:$W,MATCH($C845&amp;$I845&amp;$H845&amp;$N845&amp;$O845,APOIO_REDES!$W:$W,0),MATCH(AY$5,APOIO_REDES!$5:$5,0)),0)*$AP845,0)</f>
        <v>43.3349653372752</v>
      </c>
      <c r="AZ845" s="153" t="n">
        <f aca="false">IFERROR(IF($N845="VCA",INDEX(APOIO_REDES!$A:$W,MATCH($C845&amp;$I845&amp;$H845&amp;$N845&amp;$O845,APOIO_REDES!$W:$W,0),MATCH(AZ$5,APOIO_REDES!$5:$5,0)),0)*$AP845,0)</f>
        <v>5.99743396516022</v>
      </c>
      <c r="BA845" s="153" t="n">
        <f aca="false">IFERROR(IF(AND($N845="VCA",$Q845="LINEAR"),INDEX(APOIO_REDES!$A:$W,MATCH($C845&amp;$I845&amp;$H845&amp;$N845&amp;$O845,APOIO_REDES!$W:$W,0),MATCH(BA$5,APOIO_REDES!$5:$5,0)),IF(AND($N845="MND",$Q845="EMBOQUE"),INDEX(APOIO_REDES!$A:$W,MATCH($C845&amp;$I845&amp;$H845&amp;$N845&amp;$O845,APOIO_REDES!$W:$W,0),MATCH(BA$5,APOIO_REDES!$5:$5,0)),0))*$M845/10,0)</f>
        <v>18.3552695440192</v>
      </c>
      <c r="BB845" s="153" t="n">
        <f aca="false">IFERROR(IF($N845="VCA",INDEX(APOIO_REDES!$A:$W,MATCH($C845&amp;$I845&amp;$H845&amp;$N845&amp;$O845,APOIO_REDES!$W:$W,0),MATCH(BB$5,APOIO_REDES!$5:$5,0)),0)*($AI845+$AQ845+$AR845),0)</f>
        <v>94.6100909848084</v>
      </c>
      <c r="BC845" s="153" t="n">
        <f aca="false">IFERROR(IF($N845="VCA",INDEX(APOIO_REDES!$A:$W,MATCH($C845&amp;$I845&amp;$H845&amp;$N845&amp;$O845,APOIO_REDES!$W:$W,0),MATCH(BC$5,APOIO_REDES!$5:$5,0)),0)*($AI845+$AQ845+$AR845),0)</f>
        <v>1.04070901519166</v>
      </c>
      <c r="BD845" s="153" t="n">
        <f aca="false">IF(AND($N845="VCA",$AF845&gt;=1.25,$AF845&lt;1.5),$M845*$AF845*2,0)</f>
        <v>665.0008</v>
      </c>
      <c r="BE845" s="153" t="n">
        <f aca="false">IF(AND($N845="VCA",$AF845&gt;=1.5,$AF845&lt;3),$M845*$AF845*2,0)</f>
        <v>0</v>
      </c>
      <c r="BF845" s="153" t="n">
        <f aca="false">IF(AND($N845="VCA",$AF845&gt;=3),$M845*$AF845*2,0)</f>
        <v>0</v>
      </c>
      <c r="BG845" s="153" t="n">
        <f aca="false">($BB845+$BC845)*$AK845</f>
        <v>306.08256</v>
      </c>
      <c r="BH845" s="153" t="n">
        <f aca="false">IF(AND($M845&lt;&gt;"",$N845="VCA",$Q845="LINEAR"),($M845*2)/100,IF(AND($M845&lt;&gt;"",$N845="MND",$Q845="EMBOQUE"),($AN845*2)/100,0))</f>
        <v>4.5548</v>
      </c>
      <c r="BI845" s="153" t="n">
        <f aca="false">IF(AND($M845&lt;&gt;"",$N845="VCA",$Q845="LINEAR"),$M845,IF(AND($M845&lt;&gt;"",$N845="MND",$Q845="EMBOQUE"),$AN845*2,0))</f>
        <v>227.74</v>
      </c>
      <c r="BJ845" s="153" t="n">
        <f aca="false">IF(AND($M845&lt;&gt;"",$N845="VCA",$Q845="LINEAR"),($M845*6.8)/100,IF(AND($M845&lt;&gt;"",$N845="MND",$Q845="EMBOQUE"),($AN845*2*6.8)/100,0))</f>
        <v>15.48632</v>
      </c>
      <c r="BK845" s="153" t="n">
        <f aca="false">IF(AND($M845&lt;&gt;"",$N845="VCA",$Q845="LINEAR"),($M845*2.5)/50,IF(AND($M845&lt;&gt;"",$N845="MND",$Q845="EMBOQUE"),($AN845*2*2.5)/50,0))</f>
        <v>11.387</v>
      </c>
      <c r="BL845" s="157" t="str">
        <f aca="false">K845&amp;J845</f>
        <v>Zona07REDES</v>
      </c>
      <c r="BM845" s="152" t="s">
        <v>4225</v>
      </c>
      <c r="BN845" s="152" t="s">
        <v>1560</v>
      </c>
      <c r="BO845" s="152" t="s">
        <v>4725</v>
      </c>
      <c r="BP845" s="152" t="s">
        <v>4415</v>
      </c>
      <c r="BQ845" s="152" t="s">
        <v>4749</v>
      </c>
      <c r="BR845" s="152" t="s">
        <v>4758</v>
      </c>
      <c r="BS845" s="152" t="n">
        <v>204418.997</v>
      </c>
      <c r="BT845" s="152" t="n">
        <v>8236697.868</v>
      </c>
      <c r="BU845" s="152" t="n">
        <v>204646.046</v>
      </c>
      <c r="BV845" s="152" t="n">
        <v>8236705.872</v>
      </c>
      <c r="BW845" s="152" t="n">
        <v>-15.9313593</v>
      </c>
      <c r="BX845" s="152" t="n">
        <v>-47.7597429</v>
      </c>
      <c r="BY845" s="152" t="s">
        <v>4415</v>
      </c>
    </row>
    <row r="846" customFormat="false" ht="13.8" hidden="false" customHeight="false" outlineLevel="0" collapsed="false">
      <c r="A846" s="149" t="n">
        <f aca="false">IF(C846&lt;&gt;"",ROW(A841),"")</f>
        <v>841</v>
      </c>
      <c r="B846" s="150" t="str">
        <f aca="false">HYPERLINK("https://www.google.com/maps/dir/-15.917302,-47.760003/-15.9314928,-47.7573684/data=!4m3!4m2!3e0!5i1")</f>
        <v>https://www.google.com/maps/dir/-15.917302,-47.760003/-15.9314928,-47.7573684/data=!4m3!4m2!3e0!5i1</v>
      </c>
      <c r="C846" s="151" t="s">
        <v>117</v>
      </c>
      <c r="D846" s="152" t="s">
        <v>112</v>
      </c>
      <c r="E846" s="152" t="s">
        <v>113</v>
      </c>
      <c r="F846" s="152" t="s">
        <v>117</v>
      </c>
      <c r="G846" s="152" t="s">
        <v>782</v>
      </c>
      <c r="H846" s="152" t="n">
        <v>63</v>
      </c>
      <c r="I846" s="152" t="s">
        <v>115</v>
      </c>
      <c r="J846" s="152" t="s">
        <v>6</v>
      </c>
      <c r="K846" s="152" t="s">
        <v>4221</v>
      </c>
      <c r="L846" s="152" t="s">
        <v>120</v>
      </c>
      <c r="M846" s="153" t="n">
        <f aca="false">18.33+4</f>
        <v>22.33</v>
      </c>
      <c r="N846" s="152" t="s">
        <v>1548</v>
      </c>
      <c r="O846" s="152" t="s">
        <v>1549</v>
      </c>
      <c r="P846" s="152" t="s">
        <v>1550</v>
      </c>
      <c r="Q846" s="152" t="s">
        <v>1551</v>
      </c>
      <c r="R846" s="154" t="s">
        <v>4759</v>
      </c>
      <c r="S846" s="154" t="s">
        <v>1553</v>
      </c>
      <c r="T846" s="155" t="s">
        <v>4723</v>
      </c>
      <c r="U846" s="152" t="str">
        <f aca="false">RIGHT(T846,7)</f>
        <v>020/037</v>
      </c>
      <c r="V846" s="152" t="s">
        <v>1555</v>
      </c>
      <c r="W846" s="156" t="n">
        <v>45882</v>
      </c>
      <c r="X846" s="152" t="s">
        <v>1594</v>
      </c>
      <c r="Y846" s="152" t="s">
        <v>4738</v>
      </c>
      <c r="Z846" s="152" t="s">
        <v>1557</v>
      </c>
      <c r="AA846" s="153" t="n">
        <v>2.8</v>
      </c>
      <c r="AB846" s="151" t="s">
        <v>4760</v>
      </c>
      <c r="AC846" s="151" t="s">
        <v>186</v>
      </c>
      <c r="AD846" s="151" t="str">
        <f aca="false">CONCATENATE($C846,$I846,$H846,$N846,$J846,$K846)</f>
        <v>TUBO PEADPEAD63VCAREDESZona07</v>
      </c>
      <c r="AE846" s="153" t="n">
        <f aca="false">IFERROR(INDEX(APOIO_REDES!$A:$W,MATCH($C846&amp;$I846&amp;$H846&amp;$N846&amp;$O846,APOIO_REDES!$W:$W,0),MATCH(AE$5,APOIO_REDES!$5:$5,0)),0)</f>
        <v>1.2</v>
      </c>
      <c r="AF846" s="153" t="n">
        <f aca="false">IFERROR(INDEX(APOIO_REDES!$A:$W,MATCH($C846&amp;$I846&amp;$H846&amp;$N846&amp;$O846,APOIO_REDES!$W:$W,0),MATCH(AF$5,APOIO_REDES!$5:$5,0)),0)</f>
        <v>1.363</v>
      </c>
      <c r="AG846" s="153" t="n">
        <f aca="false">IFERROR(INDEX(APOIO_REDES!$A:$W,MATCH($C846&amp;$I846&amp;$H846&amp;$N846&amp;$O846,APOIO_REDES!$W:$W,0),MATCH(AG$5,APOIO_REDES!$5:$5,0)),0)</f>
        <v>0.65</v>
      </c>
      <c r="AH846" s="153" t="n">
        <f aca="false">IFERROR(INDEX(APOIO_REDES!$A:$W,MATCH($C846&amp;$I846&amp;$H846&amp;$N846&amp;$O846,APOIO_REDES!$W:$W,0),MATCH(AH$5,APOIO_REDES!$5:$5,0)),0)</f>
        <v>0.1</v>
      </c>
      <c r="AI846" s="153" t="n">
        <f aca="false">IFERROR(IF($H846&lt;&gt;"",(((($H846/1000)/2)^2)*PI()*$M846),0),0)</f>
        <v>0.0696080877840115</v>
      </c>
      <c r="AJ846" s="153" t="n">
        <f aca="false">IFERROR(IF(AND($H846&lt;&gt;"",$I846="FoFo",OR($N846="MND",$N846="VCA"),$Q846="LINEAR"),0,IF(AND($H846&lt;&gt;"",$I846="PEAD",$N846="VCA",$Q846="LINEAR"),($H846/1000)+0.3,IF(AND($H846&lt;&gt;"",$I846="PEAD",$N846="MND",$Q846="EMBOQUE"),0,IF(AND($H846&lt;&gt;"",$I846="PVC",$N846="VCA",$Q846="LINEAR"),($H846/1000)+0.2,IF(AND($H846&lt;&gt;"",$I846="PVC",$N846="MND",$Q846="EMBOQUE"),0,IF(AND($H846&lt;&gt;"",$I846="PEAD",$N846="VCA",$Q846="PREDIAL"),0,0)))))),0)</f>
        <v>0.363</v>
      </c>
      <c r="AK846" s="153" t="n">
        <f aca="false">IF(AA846&lt;&gt;"",AA846,0)</f>
        <v>2.8</v>
      </c>
      <c r="AL846" s="153" t="n">
        <f aca="false">IF(AND($N846="MND",$Q846="EMBOQUE"),$M846,IF(AND($N846="VCA",$Q846="LINEAR"),$M846,IF(AND($N846="VCA",$Q846="PREDIAL"),0,0)))</f>
        <v>22.33</v>
      </c>
      <c r="AM846" s="153" t="n">
        <f aca="false">IF(AND($N846="MND",$Q846="EMBOQUE"),$M846,IF(AND($N846="VCA",$Q846="LINEAR"),$M846,IF(AND($N846="VCA",$Q846="PREDIAL"),0,0)))</f>
        <v>22.33</v>
      </c>
      <c r="AN846" s="153" t="n">
        <f aca="false">ROUND(IF(AND($N846="VCA",$M846&lt;&gt;"",$Q846="LINEAR"),$M846/100,IF(AND($N846="MND",$M846&gt;100,$Q846="EMBOQUE"),$M846/100,0)),0)</f>
        <v>0</v>
      </c>
      <c r="AO846" s="153" t="n">
        <f aca="false">IF(AND($N846="MND",$Q846="EMBOQUE"),$AN846*2*2,IF(AND($N846="VCA",$Q846="LINEAR"),$M846*2,IF(AND($N846="VCA",$Q846="PREDIAL"),0,0)))</f>
        <v>44.66</v>
      </c>
      <c r="AP846" s="153" t="n">
        <f aca="false">IFERROR($M846*$AF846*$AG846,0)</f>
        <v>19.7832635</v>
      </c>
      <c r="AQ846" s="153" t="n">
        <f aca="false">IFERROR(IF(AND($N846="VCA",$AH846&gt;0),$M846*$AG846*$AH846,0),0)</f>
        <v>1.45145</v>
      </c>
      <c r="AR846" s="153" t="n">
        <f aca="false">IFERROR(IF(AND($N846="VCA",$AJ846&gt;0),($M846*$AG846*$AJ846)-$AI846,0),0)</f>
        <v>5.19915541221599</v>
      </c>
      <c r="AS846" s="153" t="n">
        <f aca="false">IFERROR(IF(AND($N846="VCA",$AP846&gt;0),$AP846-$AI846-$AQ846-$AR846,0),0)</f>
        <v>13.06305</v>
      </c>
      <c r="AT846" s="153" t="n">
        <f aca="false">IFERROR(IF($N846="VCA",INDEX(APOIO_REDES!$A:$W,MATCH($C846&amp;$I846&amp;$H846&amp;$N846&amp;$O846,APOIO_REDES!$W:$W,0),MATCH(AT$5,APOIO_REDES!$5:$5,0)),0)*$AP846,0)</f>
        <v>0.2152477624271</v>
      </c>
      <c r="AU846" s="153" t="n">
        <f aca="false">IFERROR(IF($N846="VCA",INDEX(APOIO_REDES!$A:$W,MATCH($C846&amp;$I846&amp;$H846&amp;$N846&amp;$O846,APOIO_REDES!$W:$W,0),MATCH(AU$5,APOIO_REDES!$5:$5,0)),0)*$AP846,0)</f>
        <v>0.171891033425557</v>
      </c>
      <c r="AV846" s="153" t="n">
        <f aca="false">IFERROR(IF($N846="VCA",INDEX(APOIO_REDES!$A:$W,MATCH($C846&amp;$I846&amp;$H846&amp;$N846&amp;$O846,APOIO_REDES!$W:$W,0),MATCH(AV$5,APOIO_REDES!$5:$5,0)),0)*$AP846,0)</f>
        <v>0.0237883696285774</v>
      </c>
      <c r="AW846" s="153" t="n">
        <f aca="false">IFERROR(IF($N846="VCA",INDEX(APOIO_REDES!$A:$W,MATCH($C846&amp;$I846&amp;$H846&amp;$N846&amp;$O846,APOIO_REDES!$W:$W,0),MATCH(AW$5,APOIO_REDES!$5:$5,0)),0)*$AP846,0)</f>
        <v>13.5793853546057</v>
      </c>
      <c r="AX846" s="153" t="n">
        <f aca="false">IFERROR(IF($N846="VCA",INDEX(APOIO_REDES!$A:$W,MATCH($C846&amp;$I846&amp;$H846&amp;$N846&amp;$O846,APOIO_REDES!$W:$W,0),MATCH(AX$5,APOIO_REDES!$5:$5,0)),0)*$AP846,0)</f>
        <v>1.87934825146604</v>
      </c>
      <c r="AY846" s="153" t="n">
        <f aca="false">IFERROR(IF($N846="VCA",INDEX(APOIO_REDES!$A:$W,MATCH($C846&amp;$I846&amp;$H846&amp;$N846&amp;$O846,APOIO_REDES!$W:$W,0),MATCH(AY$5,APOIO_REDES!$5:$5,0)),0)*$AP846,0)</f>
        <v>3.43781857317337</v>
      </c>
      <c r="AZ846" s="153" t="n">
        <f aca="false">IFERROR(IF($N846="VCA",INDEX(APOIO_REDES!$A:$W,MATCH($C846&amp;$I846&amp;$H846&amp;$N846&amp;$O846,APOIO_REDES!$W:$W,0),MATCH(AZ$5,APOIO_REDES!$5:$5,0)),0)*$AP846,0)</f>
        <v>0.475784155273655</v>
      </c>
      <c r="BA846" s="153" t="n">
        <f aca="false">IFERROR(IF(AND($N846="VCA",$Q846="LINEAR"),INDEX(APOIO_REDES!$A:$W,MATCH($C846&amp;$I846&amp;$H846&amp;$N846&amp;$O846,APOIO_REDES!$W:$W,0),MATCH(BA$5,APOIO_REDES!$5:$5,0)),IF(AND($N846="MND",$Q846="EMBOQUE"),INDEX(APOIO_REDES!$A:$W,MATCH($C846&amp;$I846&amp;$H846&amp;$N846&amp;$O846,APOIO_REDES!$W:$W,0),MATCH(BA$5,APOIO_REDES!$5:$5,0)),0))*$M846/10,0)</f>
        <v>1.79974167435649</v>
      </c>
      <c r="BB846" s="153" t="n">
        <f aca="false">IFERROR(IF($N846="VCA",INDEX(APOIO_REDES!$A:$W,MATCH($C846&amp;$I846&amp;$H846&amp;$N846&amp;$O846,APOIO_REDES!$W:$W,0),MATCH(BB$5,APOIO_REDES!$5:$5,0)),0)*($AI846+$AQ846+$AR846),0)</f>
        <v>6.64709558803834</v>
      </c>
      <c r="BC846" s="153" t="n">
        <f aca="false">IFERROR(IF($N846="VCA",INDEX(APOIO_REDES!$A:$W,MATCH($C846&amp;$I846&amp;$H846&amp;$N846&amp;$O846,APOIO_REDES!$W:$W,0),MATCH(BC$5,APOIO_REDES!$5:$5,0)),0)*($AI846+$AQ846+$AR846),0)</f>
        <v>0.0731179119616636</v>
      </c>
      <c r="BD846" s="153" t="n">
        <f aca="false">IF(AND($N846="VCA",$AF846&gt;=1.25,$AF846&lt;1.5),$M846*$AF846*2,0)</f>
        <v>60.87158</v>
      </c>
      <c r="BE846" s="153" t="n">
        <f aca="false">IF(AND($N846="VCA",$AF846&gt;=1.5,$AF846&lt;3),$M846*$AF846*2,0)</f>
        <v>0</v>
      </c>
      <c r="BF846" s="153" t="n">
        <f aca="false">IF(AND($N846="VCA",$AF846&gt;=3),$M846*$AF846*2,0)</f>
        <v>0</v>
      </c>
      <c r="BG846" s="153" t="n">
        <f aca="false">($BB846+$BC846)*$AK846</f>
        <v>18.8165978</v>
      </c>
      <c r="BH846" s="153" t="n">
        <f aca="false">IF(AND($M846&lt;&gt;"",$N846="VCA",$Q846="LINEAR"),($M846*2)/100,IF(AND($M846&lt;&gt;"",$N846="MND",$Q846="EMBOQUE"),($AN846*2)/100,0))</f>
        <v>0.4466</v>
      </c>
      <c r="BI846" s="153" t="n">
        <f aca="false">IF(AND($M846&lt;&gt;"",$N846="VCA",$Q846="LINEAR"),$M846,IF(AND($M846&lt;&gt;"",$N846="MND",$Q846="EMBOQUE"),$AN846*2,0))</f>
        <v>22.33</v>
      </c>
      <c r="BJ846" s="153" t="n">
        <f aca="false">IF(AND($M846&lt;&gt;"",$N846="VCA",$Q846="LINEAR"),($M846*6.8)/100,IF(AND($M846&lt;&gt;"",$N846="MND",$Q846="EMBOQUE"),($AN846*2*6.8)/100,0))</f>
        <v>1.51844</v>
      </c>
      <c r="BK846" s="153" t="n">
        <f aca="false">IF(AND($M846&lt;&gt;"",$N846="VCA",$Q846="LINEAR"),($M846*2.5)/50,IF(AND($M846&lt;&gt;"",$N846="MND",$Q846="EMBOQUE"),($AN846*2*2.5)/50,0))</f>
        <v>1.1165</v>
      </c>
      <c r="BL846" s="157" t="str">
        <f aca="false">K846&amp;J846</f>
        <v>Zona07REDES</v>
      </c>
      <c r="BM846" s="152" t="s">
        <v>4225</v>
      </c>
      <c r="BN846" s="152" t="s">
        <v>1560</v>
      </c>
      <c r="BO846" s="152" t="s">
        <v>4725</v>
      </c>
      <c r="BP846" s="152" t="s">
        <v>4761</v>
      </c>
      <c r="BQ846" s="152" t="s">
        <v>4740</v>
      </c>
      <c r="BR846" s="152" t="s">
        <v>4762</v>
      </c>
      <c r="BS846" s="152" t="n">
        <v>204787.063</v>
      </c>
      <c r="BT846" s="152" t="n">
        <v>8236691.547</v>
      </c>
      <c r="BU846" s="152" t="n">
        <v>204783.974</v>
      </c>
      <c r="BV846" s="152" t="n">
        <v>8236709.611</v>
      </c>
      <c r="BW846" s="152" t="n">
        <v>-15.9314113</v>
      </c>
      <c r="BX846" s="152" t="n">
        <v>-47.7573832</v>
      </c>
      <c r="BY846" s="152" t="s">
        <v>4761</v>
      </c>
    </row>
    <row r="847" customFormat="false" ht="13.8" hidden="false" customHeight="false" outlineLevel="0" collapsed="false">
      <c r="A847" s="149" t="n">
        <f aca="false">IF(C847&lt;&gt;"",ROW(A842),"")</f>
        <v>842</v>
      </c>
      <c r="B847" s="150" t="str">
        <f aca="false">HYPERLINK("https://www.google.com/maps/dir/-15.917302,-47.760003/-15.9313923,-47.7608071/data=!4m3!4m2!3e0!5i1")</f>
        <v>https://www.google.com/maps/dir/-15.917302,-47.760003/-15.9313923,-47.7608071/data=!4m3!4m2!3e0!5i1</v>
      </c>
      <c r="C847" s="151" t="s">
        <v>117</v>
      </c>
      <c r="D847" s="152" t="s">
        <v>112</v>
      </c>
      <c r="E847" s="152" t="s">
        <v>113</v>
      </c>
      <c r="F847" s="152" t="s">
        <v>117</v>
      </c>
      <c r="G847" s="152" t="s">
        <v>782</v>
      </c>
      <c r="H847" s="152" t="n">
        <v>63</v>
      </c>
      <c r="I847" s="152" t="s">
        <v>115</v>
      </c>
      <c r="J847" s="152" t="s">
        <v>6</v>
      </c>
      <c r="K847" s="152" t="s">
        <v>4221</v>
      </c>
      <c r="L847" s="152" t="s">
        <v>120</v>
      </c>
      <c r="M847" s="153" t="n">
        <f aca="false">1.22</f>
        <v>1.22</v>
      </c>
      <c r="N847" s="152" t="s">
        <v>1548</v>
      </c>
      <c r="O847" s="152" t="s">
        <v>1549</v>
      </c>
      <c r="P847" s="152" t="s">
        <v>1550</v>
      </c>
      <c r="Q847" s="152" t="s">
        <v>1551</v>
      </c>
      <c r="R847" s="154" t="s">
        <v>4763</v>
      </c>
      <c r="S847" s="154" t="s">
        <v>1553</v>
      </c>
      <c r="T847" s="155" t="s">
        <v>4723</v>
      </c>
      <c r="U847" s="152" t="str">
        <f aca="false">RIGHT(T847,7)</f>
        <v>020/037</v>
      </c>
      <c r="V847" s="152" t="s">
        <v>1555</v>
      </c>
      <c r="W847" s="156" t="n">
        <v>45882</v>
      </c>
      <c r="X847" s="152" t="s">
        <v>3938</v>
      </c>
      <c r="Y847" s="152" t="s">
        <v>4756</v>
      </c>
      <c r="Z847" s="152" t="s">
        <v>1557</v>
      </c>
      <c r="AA847" s="153" t="n">
        <v>3.2</v>
      </c>
      <c r="AB847" s="151" t="s">
        <v>4764</v>
      </c>
      <c r="AC847" s="151" t="s">
        <v>186</v>
      </c>
      <c r="AD847" s="151" t="str">
        <f aca="false">CONCATENATE($C847,$I847,$H847,$N847,$J847,$K847)</f>
        <v>TUBO PEADPEAD63VCAREDESZona07</v>
      </c>
      <c r="AE847" s="153" t="n">
        <f aca="false">IFERROR(INDEX(APOIO_REDES!$A:$W,MATCH($C847&amp;$I847&amp;$H847&amp;$N847&amp;$O847,APOIO_REDES!$W:$W,0),MATCH(AE$5,APOIO_REDES!$5:$5,0)),0)</f>
        <v>1.2</v>
      </c>
      <c r="AF847" s="153" t="n">
        <f aca="false">IFERROR(INDEX(APOIO_REDES!$A:$W,MATCH($C847&amp;$I847&amp;$H847&amp;$N847&amp;$O847,APOIO_REDES!$W:$W,0),MATCH(AF$5,APOIO_REDES!$5:$5,0)),0)</f>
        <v>1.363</v>
      </c>
      <c r="AG847" s="153" t="n">
        <f aca="false">IFERROR(INDEX(APOIO_REDES!$A:$W,MATCH($C847&amp;$I847&amp;$H847&amp;$N847&amp;$O847,APOIO_REDES!$W:$W,0),MATCH(AG$5,APOIO_REDES!$5:$5,0)),0)</f>
        <v>0.65</v>
      </c>
      <c r="AH847" s="153" t="n">
        <f aca="false">IFERROR(INDEX(APOIO_REDES!$A:$W,MATCH($C847&amp;$I847&amp;$H847&amp;$N847&amp;$O847,APOIO_REDES!$W:$W,0),MATCH(AH$5,APOIO_REDES!$5:$5,0)),0)</f>
        <v>0.1</v>
      </c>
      <c r="AI847" s="153" t="n">
        <f aca="false">IFERROR(IF($H847&lt;&gt;"",(((($H847/1000)/2)^2)*PI()*$M847),0),0)</f>
        <v>0.00380303927883986</v>
      </c>
      <c r="AJ847" s="153" t="n">
        <f aca="false">IFERROR(IF(AND($H847&lt;&gt;"",$I847="FoFo",OR($N847="MND",$N847="VCA"),$Q847="LINEAR"),0,IF(AND($H847&lt;&gt;"",$I847="PEAD",$N847="VCA",$Q847="LINEAR"),($H847/1000)+0.3,IF(AND($H847&lt;&gt;"",$I847="PEAD",$N847="MND",$Q847="EMBOQUE"),0,IF(AND($H847&lt;&gt;"",$I847="PVC",$N847="VCA",$Q847="LINEAR"),($H847/1000)+0.2,IF(AND($H847&lt;&gt;"",$I847="PVC",$N847="MND",$Q847="EMBOQUE"),0,IF(AND($H847&lt;&gt;"",$I847="PEAD",$N847="VCA",$Q847="PREDIAL"),0,0)))))),0)</f>
        <v>0.363</v>
      </c>
      <c r="AK847" s="153" t="n">
        <f aca="false">IF(AA847&lt;&gt;"",AA847,0)</f>
        <v>3.2</v>
      </c>
      <c r="AL847" s="153" t="n">
        <f aca="false">IF(AND($N847="MND",$Q847="EMBOQUE"),$M847,IF(AND($N847="VCA",$Q847="LINEAR"),$M847,IF(AND($N847="VCA",$Q847="PREDIAL"),0,0)))</f>
        <v>1.22</v>
      </c>
      <c r="AM847" s="153" t="n">
        <f aca="false">IF(AND($N847="MND",$Q847="EMBOQUE"),$M847,IF(AND($N847="VCA",$Q847="LINEAR"),$M847,IF(AND($N847="VCA",$Q847="PREDIAL"),0,0)))</f>
        <v>1.22</v>
      </c>
      <c r="AN847" s="153" t="n">
        <f aca="false">ROUND(IF(AND($N847="VCA",$M847&lt;&gt;"",$Q847="LINEAR"),$M847/100,IF(AND($N847="MND",$M847&gt;100,$Q847="EMBOQUE"),$M847/100,0)),0)</f>
        <v>0</v>
      </c>
      <c r="AO847" s="153" t="n">
        <f aca="false">IF(AND($N847="MND",$Q847="EMBOQUE"),$AN847*2*2,IF(AND($N847="VCA",$Q847="LINEAR"),$M847*2,IF(AND($N847="VCA",$Q847="PREDIAL"),0,0)))</f>
        <v>2.44</v>
      </c>
      <c r="AP847" s="153" t="n">
        <f aca="false">IFERROR($M847*$AF847*$AG847,0)</f>
        <v>1.080859</v>
      </c>
      <c r="AQ847" s="153" t="n">
        <f aca="false">IFERROR(IF(AND($N847="VCA",$AH847&gt;0),$M847*$AG847*$AH847,0),0)</f>
        <v>0.0793</v>
      </c>
      <c r="AR847" s="153" t="n">
        <f aca="false">IFERROR(IF(AND($N847="VCA",$AJ847&gt;0),($M847*$AG847*$AJ847)-$AI847,0),0)</f>
        <v>0.28405596072116</v>
      </c>
      <c r="AS847" s="153" t="n">
        <f aca="false">IFERROR(IF(AND($N847="VCA",$AP847&gt;0),$AP847-$AI847-$AQ847-$AR847,0),0)</f>
        <v>0.7137</v>
      </c>
      <c r="AT847" s="153" t="n">
        <f aca="false">IFERROR(IF($N847="VCA",INDEX(APOIO_REDES!$A:$W,MATCH($C847&amp;$I847&amp;$H847&amp;$N847&amp;$O847,APOIO_REDES!$W:$W,0),MATCH(AT$5,APOIO_REDES!$5:$5,0)),0)*$AP847,0)</f>
        <v>0.0117600658379338</v>
      </c>
      <c r="AU847" s="153" t="n">
        <f aca="false">IFERROR(IF($N847="VCA",INDEX(APOIO_REDES!$A:$W,MATCH($C847&amp;$I847&amp;$H847&amp;$N847&amp;$O847,APOIO_REDES!$W:$W,0),MATCH(AU$5,APOIO_REDES!$5:$5,0)),0)*$AP847,0)</f>
        <v>0.00939127007519836</v>
      </c>
      <c r="AV847" s="153" t="n">
        <f aca="false">IFERROR(IF($N847="VCA",INDEX(APOIO_REDES!$A:$W,MATCH($C847&amp;$I847&amp;$H847&amp;$N847&amp;$O847,APOIO_REDES!$W:$W,0),MATCH(AV$5,APOIO_REDES!$5:$5,0)),0)*$AP847,0)</f>
        <v>0.00129967805404677</v>
      </c>
      <c r="AW847" s="153" t="n">
        <f aca="false">IFERROR(IF($N847="VCA",INDEX(APOIO_REDES!$A:$W,MATCH($C847&amp;$I847&amp;$H847&amp;$N847&amp;$O847,APOIO_REDES!$W:$W,0),MATCH(AW$5,APOIO_REDES!$5:$5,0)),0)*$AP847,0)</f>
        <v>0.741909992504207</v>
      </c>
      <c r="AX847" s="153" t="n">
        <f aca="false">IFERROR(IF($N847="VCA",INDEX(APOIO_REDES!$A:$W,MATCH($C847&amp;$I847&amp;$H847&amp;$N847&amp;$O847,APOIO_REDES!$W:$W,0),MATCH(AX$5,APOIO_REDES!$5:$5,0)),0)*$AP847,0)</f>
        <v>0.102678229591965</v>
      </c>
      <c r="AY847" s="153" t="n">
        <f aca="false">IFERROR(IF($N847="VCA",INDEX(APOIO_REDES!$A:$W,MATCH($C847&amp;$I847&amp;$H847&amp;$N847&amp;$O847,APOIO_REDES!$W:$W,0),MATCH(AY$5,APOIO_REDES!$5:$5,0)),0)*$AP847,0)</f>
        <v>0.187825287025146</v>
      </c>
      <c r="AZ847" s="153" t="n">
        <f aca="false">IFERROR(IF($N847="VCA",INDEX(APOIO_REDES!$A:$W,MATCH($C847&amp;$I847&amp;$H847&amp;$N847&amp;$O847,APOIO_REDES!$W:$W,0),MATCH(AZ$5,APOIO_REDES!$5:$5,0)),0)*$AP847,0)</f>
        <v>0.0259944769115029</v>
      </c>
      <c r="BA847" s="153" t="n">
        <f aca="false">IFERROR(IF(AND($N847="VCA",$Q847="LINEAR"),INDEX(APOIO_REDES!$A:$W,MATCH($C847&amp;$I847&amp;$H847&amp;$N847&amp;$O847,APOIO_REDES!$W:$W,0),MATCH(BA$5,APOIO_REDES!$5:$5,0)),IF(AND($N847="MND",$Q847="EMBOQUE"),INDEX(APOIO_REDES!$A:$W,MATCH($C847&amp;$I847&amp;$H847&amp;$N847&amp;$O847,APOIO_REDES!$W:$W,0),MATCH(BA$5,APOIO_REDES!$5:$5,0)),0))*$M847/10,0)</f>
        <v>0.098328922647332</v>
      </c>
      <c r="BB847" s="153" t="n">
        <f aca="false">IFERROR(IF($N847="VCA",INDEX(APOIO_REDES!$A:$W,MATCH($C847&amp;$I847&amp;$H847&amp;$N847&amp;$O847,APOIO_REDES!$W:$W,0),MATCH(BB$5,APOIO_REDES!$5:$5,0)),0)*($AI847+$AQ847+$AR847),0)</f>
        <v>0.363164201406483</v>
      </c>
      <c r="BC847" s="153" t="n">
        <f aca="false">IFERROR(IF($N847="VCA",INDEX(APOIO_REDES!$A:$W,MATCH($C847&amp;$I847&amp;$H847&amp;$N847&amp;$O847,APOIO_REDES!$W:$W,0),MATCH(BC$5,APOIO_REDES!$5:$5,0)),0)*($AI847+$AQ847+$AR847),0)</f>
        <v>0.00399479859351677</v>
      </c>
      <c r="BD847" s="153" t="n">
        <f aca="false">IF(AND($N847="VCA",$AF847&gt;=1.25,$AF847&lt;1.5),$M847*$AF847*2,0)</f>
        <v>3.32572</v>
      </c>
      <c r="BE847" s="153" t="n">
        <f aca="false">IF(AND($N847="VCA",$AF847&gt;=1.5,$AF847&lt;3),$M847*$AF847*2,0)</f>
        <v>0</v>
      </c>
      <c r="BF847" s="153" t="n">
        <f aca="false">IF(AND($N847="VCA",$AF847&gt;=3),$M847*$AF847*2,0)</f>
        <v>0</v>
      </c>
      <c r="BG847" s="153" t="n">
        <f aca="false">($BB847+$BC847)*$AK847</f>
        <v>1.1749088</v>
      </c>
      <c r="BH847" s="153" t="n">
        <f aca="false">IF(AND($M847&lt;&gt;"",$N847="VCA",$Q847="LINEAR"),($M847*2)/100,IF(AND($M847&lt;&gt;"",$N847="MND",$Q847="EMBOQUE"),($AN847*2)/100,0))</f>
        <v>0.0244</v>
      </c>
      <c r="BI847" s="153" t="n">
        <f aca="false">IF(AND($M847&lt;&gt;"",$N847="VCA",$Q847="LINEAR"),$M847,IF(AND($M847&lt;&gt;"",$N847="MND",$Q847="EMBOQUE"),$AN847*2,0))</f>
        <v>1.22</v>
      </c>
      <c r="BJ847" s="153" t="n">
        <f aca="false">IF(AND($M847&lt;&gt;"",$N847="VCA",$Q847="LINEAR"),($M847*6.8)/100,IF(AND($M847&lt;&gt;"",$N847="MND",$Q847="EMBOQUE"),($AN847*2*6.8)/100,0))</f>
        <v>0.08296</v>
      </c>
      <c r="BK847" s="153" t="n">
        <f aca="false">IF(AND($M847&lt;&gt;"",$N847="VCA",$Q847="LINEAR"),($M847*2.5)/50,IF(AND($M847&lt;&gt;"",$N847="MND",$Q847="EMBOQUE"),($AN847*2*2.5)/50,0))</f>
        <v>0.061</v>
      </c>
      <c r="BL847" s="157" t="str">
        <f aca="false">K847&amp;J847</f>
        <v>Zona07REDES</v>
      </c>
      <c r="BM847" s="152" t="s">
        <v>4225</v>
      </c>
      <c r="BN847" s="152" t="s">
        <v>1560</v>
      </c>
      <c r="BO847" s="152" t="s">
        <v>4725</v>
      </c>
      <c r="BP847" s="152" t="s">
        <v>4415</v>
      </c>
      <c r="BQ847" s="152" t="s">
        <v>4765</v>
      </c>
      <c r="BR847" s="152" t="s">
        <v>4766</v>
      </c>
      <c r="BS847" s="152" t="n">
        <v>204418.513</v>
      </c>
      <c r="BT847" s="152" t="n">
        <v>8236697.807</v>
      </c>
      <c r="BU847" s="152" t="n">
        <v>204418.941</v>
      </c>
      <c r="BV847" s="152" t="n">
        <v>8236696.665</v>
      </c>
      <c r="BW847" s="152" t="n">
        <v>-15.9313974</v>
      </c>
      <c r="BX847" s="152" t="n">
        <v>-47.7608052</v>
      </c>
      <c r="BY847" s="152" t="s">
        <v>4415</v>
      </c>
    </row>
    <row r="848" customFormat="false" ht="13.8" hidden="false" customHeight="false" outlineLevel="0" collapsed="false">
      <c r="A848" s="149" t="n">
        <f aca="false">IF(C848&lt;&gt;"",ROW(A843),"")</f>
        <v>843</v>
      </c>
      <c r="B848" s="150" t="str">
        <f aca="false">HYPERLINK("https://www.google.com/maps/dir/-15.917302,-47.760003/-15.9315545,-47.7586391/data=!4m3!4m2!3e0!5i1")</f>
        <v>https://www.google.com/maps/dir/-15.917302,-47.760003/-15.9315545,-47.7586391/data=!4m3!4m2!3e0!5i1</v>
      </c>
      <c r="C848" s="151" t="s">
        <v>117</v>
      </c>
      <c r="D848" s="152" t="s">
        <v>112</v>
      </c>
      <c r="E848" s="152" t="s">
        <v>113</v>
      </c>
      <c r="F848" s="152" t="s">
        <v>117</v>
      </c>
      <c r="G848" s="152" t="s">
        <v>782</v>
      </c>
      <c r="H848" s="152" t="n">
        <v>63</v>
      </c>
      <c r="I848" s="152" t="s">
        <v>115</v>
      </c>
      <c r="J848" s="152" t="s">
        <v>6</v>
      </c>
      <c r="K848" s="152" t="s">
        <v>4221</v>
      </c>
      <c r="L848" s="152" t="s">
        <v>120</v>
      </c>
      <c r="M848" s="153" t="n">
        <f aca="false">23.49+4</f>
        <v>27.49</v>
      </c>
      <c r="N848" s="152" t="s">
        <v>1548</v>
      </c>
      <c r="O848" s="152" t="s">
        <v>1549</v>
      </c>
      <c r="P848" s="152" t="s">
        <v>1550</v>
      </c>
      <c r="Q848" s="152" t="s">
        <v>1551</v>
      </c>
      <c r="R848" s="154" t="s">
        <v>4767</v>
      </c>
      <c r="S848" s="154" t="s">
        <v>1553</v>
      </c>
      <c r="T848" s="155" t="s">
        <v>4723</v>
      </c>
      <c r="U848" s="152" t="str">
        <f aca="false">RIGHT(T848,7)</f>
        <v>020/037</v>
      </c>
      <c r="V848" s="152" t="s">
        <v>1555</v>
      </c>
      <c r="W848" s="156" t="n">
        <v>45882</v>
      </c>
      <c r="X848" s="152" t="s">
        <v>3938</v>
      </c>
      <c r="Y848" s="152" t="s">
        <v>4747</v>
      </c>
      <c r="Z848" s="152" t="s">
        <v>1557</v>
      </c>
      <c r="AA848" s="153" t="n">
        <v>3</v>
      </c>
      <c r="AB848" s="151" t="s">
        <v>4768</v>
      </c>
      <c r="AC848" s="151" t="s">
        <v>186</v>
      </c>
      <c r="AD848" s="151" t="str">
        <f aca="false">CONCATENATE($C848,$I848,$H848,$N848,$J848,$K848)</f>
        <v>TUBO PEADPEAD63VCAREDESZona07</v>
      </c>
      <c r="AE848" s="153" t="n">
        <f aca="false">IFERROR(INDEX(APOIO_REDES!$A:$W,MATCH($C848&amp;$I848&amp;$H848&amp;$N848&amp;$O848,APOIO_REDES!$W:$W,0),MATCH(AE$5,APOIO_REDES!$5:$5,0)),0)</f>
        <v>1.2</v>
      </c>
      <c r="AF848" s="153" t="n">
        <f aca="false">IFERROR(INDEX(APOIO_REDES!$A:$W,MATCH($C848&amp;$I848&amp;$H848&amp;$N848&amp;$O848,APOIO_REDES!$W:$W,0),MATCH(AF$5,APOIO_REDES!$5:$5,0)),0)</f>
        <v>1.363</v>
      </c>
      <c r="AG848" s="153" t="n">
        <f aca="false">IFERROR(INDEX(APOIO_REDES!$A:$W,MATCH($C848&amp;$I848&amp;$H848&amp;$N848&amp;$O848,APOIO_REDES!$W:$W,0),MATCH(AG$5,APOIO_REDES!$5:$5,0)),0)</f>
        <v>0.65</v>
      </c>
      <c r="AH848" s="153" t="n">
        <f aca="false">IFERROR(INDEX(APOIO_REDES!$A:$W,MATCH($C848&amp;$I848&amp;$H848&amp;$N848&amp;$O848,APOIO_REDES!$W:$W,0),MATCH(AH$5,APOIO_REDES!$5:$5,0)),0)</f>
        <v>0.1</v>
      </c>
      <c r="AI848" s="153" t="n">
        <f aca="false">IFERROR(IF($H848&lt;&gt;"",(((($H848/1000)/2)^2)*PI()*$M848),0),0)</f>
        <v>0.0856930735863177</v>
      </c>
      <c r="AJ848" s="153" t="n">
        <f aca="false">IFERROR(IF(AND($H848&lt;&gt;"",$I848="FoFo",OR($N848="MND",$N848="VCA"),$Q848="LINEAR"),0,IF(AND($H848&lt;&gt;"",$I848="PEAD",$N848="VCA",$Q848="LINEAR"),($H848/1000)+0.3,IF(AND($H848&lt;&gt;"",$I848="PEAD",$N848="MND",$Q848="EMBOQUE"),0,IF(AND($H848&lt;&gt;"",$I848="PVC",$N848="VCA",$Q848="LINEAR"),($H848/1000)+0.2,IF(AND($H848&lt;&gt;"",$I848="PVC",$N848="MND",$Q848="EMBOQUE"),0,IF(AND($H848&lt;&gt;"",$I848="PEAD",$N848="VCA",$Q848="PREDIAL"),0,0)))))),0)</f>
        <v>0.363</v>
      </c>
      <c r="AK848" s="153" t="n">
        <f aca="false">IF(AA848&lt;&gt;"",AA848,0)</f>
        <v>3</v>
      </c>
      <c r="AL848" s="153" t="n">
        <f aca="false">IF(AND($N848="MND",$Q848="EMBOQUE"),$M848,IF(AND($N848="VCA",$Q848="LINEAR"),$M848,IF(AND($N848="VCA",$Q848="PREDIAL"),0,0)))</f>
        <v>27.49</v>
      </c>
      <c r="AM848" s="153" t="n">
        <f aca="false">IF(AND($N848="MND",$Q848="EMBOQUE"),$M848,IF(AND($N848="VCA",$Q848="LINEAR"),$M848,IF(AND($N848="VCA",$Q848="PREDIAL"),0,0)))</f>
        <v>27.49</v>
      </c>
      <c r="AN848" s="153" t="n">
        <f aca="false">ROUND(IF(AND($N848="VCA",$M848&lt;&gt;"",$Q848="LINEAR"),$M848/100,IF(AND($N848="MND",$M848&gt;100,$Q848="EMBOQUE"),$M848/100,0)),0)</f>
        <v>0</v>
      </c>
      <c r="AO848" s="153" t="n">
        <f aca="false">IF(AND($N848="MND",$Q848="EMBOQUE"),$AN848*2*2,IF(AND($N848="VCA",$Q848="LINEAR"),$M848*2,IF(AND($N848="VCA",$Q848="PREDIAL"),0,0)))</f>
        <v>54.98</v>
      </c>
      <c r="AP848" s="153" t="n">
        <f aca="false">IFERROR($M848*$AF848*$AG848,0)</f>
        <v>24.3547655</v>
      </c>
      <c r="AQ848" s="153" t="n">
        <f aca="false">IFERROR(IF(AND($N848="VCA",$AH848&gt;0),$M848*$AG848*$AH848,0),0)</f>
        <v>1.78685</v>
      </c>
      <c r="AR848" s="153" t="n">
        <f aca="false">IFERROR(IF(AND($N848="VCA",$AJ848&gt;0),($M848*$AG848*$AJ848)-$AI848,0),0)</f>
        <v>6.40057242641368</v>
      </c>
      <c r="AS848" s="153" t="n">
        <f aca="false">IFERROR(IF(AND($N848="VCA",$AP848&gt;0),$AP848-$AI848-$AQ848-$AR848,0),0)</f>
        <v>16.08165</v>
      </c>
      <c r="AT848" s="153" t="n">
        <f aca="false">IFERROR(IF($N848="VCA",INDEX(APOIO_REDES!$A:$W,MATCH($C848&amp;$I848&amp;$H848&amp;$N848&amp;$O848,APOIO_REDES!$W:$W,0),MATCH(AT$5,APOIO_REDES!$5:$5,0)),0)*$AP848,0)</f>
        <v>0.264987057282624</v>
      </c>
      <c r="AU848" s="153" t="n">
        <f aca="false">IFERROR(IF($N848="VCA",INDEX(APOIO_REDES!$A:$W,MATCH($C848&amp;$I848&amp;$H848&amp;$N848&amp;$O848,APOIO_REDES!$W:$W,0),MATCH(AU$5,APOIO_REDES!$5:$5,0)),0)*$AP848,0)</f>
        <v>0.211611487186232</v>
      </c>
      <c r="AV848" s="153" t="n">
        <f aca="false">IFERROR(IF($N848="VCA",INDEX(APOIO_REDES!$A:$W,MATCH($C848&amp;$I848&amp;$H848&amp;$N848&amp;$O848,APOIO_REDES!$W:$W,0),MATCH(AV$5,APOIO_REDES!$5:$5,0)),0)*$AP848,0)</f>
        <v>0.029285368611267</v>
      </c>
      <c r="AW848" s="153" t="n">
        <f aca="false">IFERROR(IF($N848="VCA",INDEX(APOIO_REDES!$A:$W,MATCH($C848&amp;$I848&amp;$H848&amp;$N848&amp;$O848,APOIO_REDES!$W:$W,0),MATCH(AW$5,APOIO_REDES!$5:$5,0)),0)*$AP848,0)</f>
        <v>16.7172997491317</v>
      </c>
      <c r="AX848" s="153" t="n">
        <f aca="false">IFERROR(IF($N848="VCA",INDEX(APOIO_REDES!$A:$W,MATCH($C848&amp;$I848&amp;$H848&amp;$N848&amp;$O848,APOIO_REDES!$W:$W,0),MATCH(AX$5,APOIO_REDES!$5:$5,0)),0)*$AP848,0)</f>
        <v>2.31362666515009</v>
      </c>
      <c r="AY848" s="153" t="n">
        <f aca="false">IFERROR(IF($N848="VCA",INDEX(APOIO_REDES!$A:$W,MATCH($C848&amp;$I848&amp;$H848&amp;$N848&amp;$O848,APOIO_REDES!$W:$W,0),MATCH(AY$5,APOIO_REDES!$5:$5,0)),0)*$AP848,0)</f>
        <v>4.23222716419776</v>
      </c>
      <c r="AZ848" s="153" t="n">
        <f aca="false">IFERROR(IF($N848="VCA",INDEX(APOIO_REDES!$A:$W,MATCH($C848&amp;$I848&amp;$H848&amp;$N848&amp;$O848,APOIO_REDES!$W:$W,0),MATCH(AZ$5,APOIO_REDES!$5:$5,0)),0)*$AP848,0)</f>
        <v>0.58572800844034</v>
      </c>
      <c r="BA848" s="153" t="n">
        <f aca="false">IFERROR(IF(AND($N848="VCA",$Q848="LINEAR"),INDEX(APOIO_REDES!$A:$W,MATCH($C848&amp;$I848&amp;$H848&amp;$N848&amp;$O848,APOIO_REDES!$W:$W,0),MATCH(BA$5,APOIO_REDES!$5:$5,0)),IF(AND($N848="MND",$Q848="EMBOQUE"),INDEX(APOIO_REDES!$A:$W,MATCH($C848&amp;$I848&amp;$H848&amp;$N848&amp;$O848,APOIO_REDES!$W:$W,0),MATCH(BA$5,APOIO_REDES!$5:$5,0)),0))*$M848/10,0)</f>
        <v>2.21562465866816</v>
      </c>
      <c r="BB848" s="153" t="n">
        <f aca="false">IFERROR(IF($N848="VCA",INDEX(APOIO_REDES!$A:$W,MATCH($C848&amp;$I848&amp;$H848&amp;$N848&amp;$O848,APOIO_REDES!$W:$W,0),MATCH(BB$5,APOIO_REDES!$5:$5,0)),0)*($AI848+$AQ848+$AR848),0)</f>
        <v>8.18310155464281</v>
      </c>
      <c r="BC848" s="153" t="n">
        <f aca="false">IFERROR(IF($N848="VCA",INDEX(APOIO_REDES!$A:$W,MATCH($C848&amp;$I848&amp;$H848&amp;$N848&amp;$O848,APOIO_REDES!$W:$W,0),MATCH(BC$5,APOIO_REDES!$5:$5,0)),0)*($AI848+$AQ848+$AR848),0)</f>
        <v>0.0900139453571935</v>
      </c>
      <c r="BD848" s="153" t="n">
        <f aca="false">IF(AND($N848="VCA",$AF848&gt;=1.25,$AF848&lt;1.5),$M848*$AF848*2,0)</f>
        <v>74.93774</v>
      </c>
      <c r="BE848" s="153" t="n">
        <f aca="false">IF(AND($N848="VCA",$AF848&gt;=1.5,$AF848&lt;3),$M848*$AF848*2,0)</f>
        <v>0</v>
      </c>
      <c r="BF848" s="153" t="n">
        <f aca="false">IF(AND($N848="VCA",$AF848&gt;=3),$M848*$AF848*2,0)</f>
        <v>0</v>
      </c>
      <c r="BG848" s="153" t="n">
        <f aca="false">($BB848+$BC848)*$AK848</f>
        <v>24.8193465</v>
      </c>
      <c r="BH848" s="153" t="n">
        <f aca="false">IF(AND($M848&lt;&gt;"",$N848="VCA",$Q848="LINEAR"),($M848*2)/100,IF(AND($M848&lt;&gt;"",$N848="MND",$Q848="EMBOQUE"),($AN848*2)/100,0))</f>
        <v>0.5498</v>
      </c>
      <c r="BI848" s="153" t="n">
        <f aca="false">IF(AND($M848&lt;&gt;"",$N848="VCA",$Q848="LINEAR"),$M848,IF(AND($M848&lt;&gt;"",$N848="MND",$Q848="EMBOQUE"),$AN848*2,0))</f>
        <v>27.49</v>
      </c>
      <c r="BJ848" s="153" t="n">
        <f aca="false">IF(AND($M848&lt;&gt;"",$N848="VCA",$Q848="LINEAR"),($M848*6.8)/100,IF(AND($M848&lt;&gt;"",$N848="MND",$Q848="EMBOQUE"),($AN848*2*6.8)/100,0))</f>
        <v>1.86932</v>
      </c>
      <c r="BK848" s="153" t="n">
        <f aca="false">IF(AND($M848&lt;&gt;"",$N848="VCA",$Q848="LINEAR"),($M848*2.5)/50,IF(AND($M848&lt;&gt;"",$N848="MND",$Q848="EMBOQUE"),($AN848*2*2.5)/50,0))</f>
        <v>1.3745</v>
      </c>
      <c r="BL848" s="157" t="str">
        <f aca="false">K848&amp;J848</f>
        <v>Zona07REDES</v>
      </c>
      <c r="BM848" s="152" t="s">
        <v>4225</v>
      </c>
      <c r="BN848" s="152" t="s">
        <v>1560</v>
      </c>
      <c r="BO848" s="152" t="s">
        <v>4725</v>
      </c>
      <c r="BP848" s="152" t="s">
        <v>4769</v>
      </c>
      <c r="BQ848" s="152" t="s">
        <v>4749</v>
      </c>
      <c r="BR848" s="152" t="s">
        <v>4770</v>
      </c>
      <c r="BS848" s="152" t="n">
        <v>204651.021</v>
      </c>
      <c r="BT848" s="152" t="n">
        <v>8236682.922</v>
      </c>
      <c r="BU848" s="152" t="n">
        <v>204646.046</v>
      </c>
      <c r="BV848" s="152" t="n">
        <v>8236705.872</v>
      </c>
      <c r="BW848" s="152" t="n">
        <v>-15.9314508</v>
      </c>
      <c r="BX848" s="152" t="n">
        <v>-47.758662</v>
      </c>
      <c r="BY848" s="152" t="s">
        <v>4769</v>
      </c>
    </row>
    <row r="849" customFormat="false" ht="13.8" hidden="false" customHeight="false" outlineLevel="0" collapsed="false">
      <c r="A849" s="149" t="n">
        <f aca="false">IF(C849&lt;&gt;"",ROW(A844),"")</f>
        <v>844</v>
      </c>
      <c r="B849" s="150" t="str">
        <f aca="false">HYPERLINK("https://www.google.com/maps/dir/-15.917302,-47.760003/-15.9314746,-47.7559556/data=!4m3!4m2!3e0!5i1")</f>
        <v>https://www.google.com/maps/dir/-15.917302,-47.760003/-15.9314746,-47.7559556/data=!4m3!4m2!3e0!5i1</v>
      </c>
      <c r="C849" s="151" t="s">
        <v>117</v>
      </c>
      <c r="D849" s="152" t="s">
        <v>112</v>
      </c>
      <c r="E849" s="152" t="s">
        <v>113</v>
      </c>
      <c r="F849" s="152" t="s">
        <v>117</v>
      </c>
      <c r="G849" s="152" t="s">
        <v>782</v>
      </c>
      <c r="H849" s="152" t="n">
        <v>63</v>
      </c>
      <c r="I849" s="152" t="s">
        <v>115</v>
      </c>
      <c r="J849" s="152" t="s">
        <v>6</v>
      </c>
      <c r="K849" s="152" t="s">
        <v>4221</v>
      </c>
      <c r="L849" s="152" t="s">
        <v>120</v>
      </c>
      <c r="M849" s="153" t="n">
        <f aca="false">42.82+4</f>
        <v>46.82</v>
      </c>
      <c r="N849" s="152" t="s">
        <v>1548</v>
      </c>
      <c r="O849" s="152" t="s">
        <v>1549</v>
      </c>
      <c r="P849" s="152" t="s">
        <v>1550</v>
      </c>
      <c r="Q849" s="152" t="s">
        <v>1551</v>
      </c>
      <c r="R849" s="154" t="s">
        <v>4771</v>
      </c>
      <c r="S849" s="154" t="s">
        <v>1553</v>
      </c>
      <c r="T849" s="155" t="s">
        <v>4723</v>
      </c>
      <c r="U849" s="152" t="str">
        <f aca="false">RIGHT(T849,7)</f>
        <v>020/037</v>
      </c>
      <c r="V849" s="152" t="s">
        <v>1555</v>
      </c>
      <c r="W849" s="156" t="n">
        <v>45882</v>
      </c>
      <c r="X849" s="152" t="s">
        <v>3938</v>
      </c>
      <c r="Y849" s="152" t="s">
        <v>2042</v>
      </c>
      <c r="Z849" s="152" t="s">
        <v>1557</v>
      </c>
      <c r="AA849" s="153" t="n">
        <v>2.7</v>
      </c>
      <c r="AB849" s="151" t="s">
        <v>4772</v>
      </c>
      <c r="AC849" s="151" t="s">
        <v>186</v>
      </c>
      <c r="AD849" s="151" t="str">
        <f aca="false">CONCATENATE($C849,$I849,$H849,$N849,$J849,$K849)</f>
        <v>TUBO PEADPEAD63VCAREDESZona07</v>
      </c>
      <c r="AE849" s="153" t="n">
        <f aca="false">IFERROR(INDEX(APOIO_REDES!$A:$W,MATCH($C849&amp;$I849&amp;$H849&amp;$N849&amp;$O849,APOIO_REDES!$W:$W,0),MATCH(AE$5,APOIO_REDES!$5:$5,0)),0)</f>
        <v>1.2</v>
      </c>
      <c r="AF849" s="153" t="n">
        <f aca="false">IFERROR(INDEX(APOIO_REDES!$A:$W,MATCH($C849&amp;$I849&amp;$H849&amp;$N849&amp;$O849,APOIO_REDES!$W:$W,0),MATCH(AF$5,APOIO_REDES!$5:$5,0)),0)</f>
        <v>1.363</v>
      </c>
      <c r="AG849" s="153" t="n">
        <f aca="false">IFERROR(INDEX(APOIO_REDES!$A:$W,MATCH($C849&amp;$I849&amp;$H849&amp;$N849&amp;$O849,APOIO_REDES!$W:$W,0),MATCH(AG$5,APOIO_REDES!$5:$5,0)),0)</f>
        <v>0.65</v>
      </c>
      <c r="AH849" s="153" t="n">
        <f aca="false">IFERROR(INDEX(APOIO_REDES!$A:$W,MATCH($C849&amp;$I849&amp;$H849&amp;$N849&amp;$O849,APOIO_REDES!$W:$W,0),MATCH(AH$5,APOIO_REDES!$5:$5,0)),0)</f>
        <v>0.1</v>
      </c>
      <c r="AI849" s="153" t="n">
        <f aca="false">IFERROR(IF($H849&lt;&gt;"",(((($H849/1000)/2)^2)*PI()*$M849),0),0)</f>
        <v>0.145949425438756</v>
      </c>
      <c r="AJ849" s="153" t="n">
        <f aca="false">IFERROR(IF(AND($H849&lt;&gt;"",$I849="FoFo",OR($N849="MND",$N849="VCA"),$Q849="LINEAR"),0,IF(AND($H849&lt;&gt;"",$I849="PEAD",$N849="VCA",$Q849="LINEAR"),($H849/1000)+0.3,IF(AND($H849&lt;&gt;"",$I849="PEAD",$N849="MND",$Q849="EMBOQUE"),0,IF(AND($H849&lt;&gt;"",$I849="PVC",$N849="VCA",$Q849="LINEAR"),($H849/1000)+0.2,IF(AND($H849&lt;&gt;"",$I849="PVC",$N849="MND",$Q849="EMBOQUE"),0,IF(AND($H849&lt;&gt;"",$I849="PEAD",$N849="VCA",$Q849="PREDIAL"),0,0)))))),0)</f>
        <v>0.363</v>
      </c>
      <c r="AK849" s="153" t="n">
        <f aca="false">IF(AA849&lt;&gt;"",AA849,0)</f>
        <v>2.7</v>
      </c>
      <c r="AL849" s="153" t="n">
        <f aca="false">IF(AND($N849="MND",$Q849="EMBOQUE"),$M849,IF(AND($N849="VCA",$Q849="LINEAR"),$M849,IF(AND($N849="VCA",$Q849="PREDIAL"),0,0)))</f>
        <v>46.82</v>
      </c>
      <c r="AM849" s="153" t="n">
        <f aca="false">IF(AND($N849="MND",$Q849="EMBOQUE"),$M849,IF(AND($N849="VCA",$Q849="LINEAR"),$M849,IF(AND($N849="VCA",$Q849="PREDIAL"),0,0)))</f>
        <v>46.82</v>
      </c>
      <c r="AN849" s="153" t="n">
        <f aca="false">ROUND(IF(AND($N849="VCA",$M849&lt;&gt;"",$Q849="LINEAR"),$M849/100,IF(AND($N849="MND",$M849&gt;100,$Q849="EMBOQUE"),$M849/100,0)),0)</f>
        <v>0</v>
      </c>
      <c r="AO849" s="153" t="n">
        <f aca="false">IF(AND($N849="MND",$Q849="EMBOQUE"),$AN849*2*2,IF(AND($N849="VCA",$Q849="LINEAR"),$M849*2,IF(AND($N849="VCA",$Q849="PREDIAL"),0,0)))</f>
        <v>93.64</v>
      </c>
      <c r="AP849" s="153" t="n">
        <f aca="false">IFERROR($M849*$AF849*$AG849,0)</f>
        <v>41.480179</v>
      </c>
      <c r="AQ849" s="153" t="n">
        <f aca="false">IFERROR(IF(AND($N849="VCA",$AH849&gt;0),$M849*$AG849*$AH849,0),0)</f>
        <v>3.0433</v>
      </c>
      <c r="AR849" s="153" t="n">
        <f aca="false">IFERROR(IF(AND($N849="VCA",$AJ849&gt;0),($M849*$AG849*$AJ849)-$AI849,0),0)</f>
        <v>10.9012295745612</v>
      </c>
      <c r="AS849" s="153" t="n">
        <f aca="false">IFERROR(IF(AND($N849="VCA",$AP849&gt;0),$AP849-$AI849-$AQ849-$AR849,0),0)</f>
        <v>27.3897</v>
      </c>
      <c r="AT849" s="153" t="n">
        <f aca="false">IFERROR(IF($N849="VCA",INDEX(APOIO_REDES!$A:$W,MATCH($C849&amp;$I849&amp;$H849&amp;$N849&amp;$O849,APOIO_REDES!$W:$W,0),MATCH(AT$5,APOIO_REDES!$5:$5,0)),0)*$AP849,0)</f>
        <v>0.45131662502628</v>
      </c>
      <c r="AU849" s="153" t="n">
        <f aca="false">IFERROR(IF($N849="VCA",INDEX(APOIO_REDES!$A:$W,MATCH($C849&amp;$I849&amp;$H849&amp;$N849&amp;$O849,APOIO_REDES!$W:$W,0),MATCH(AU$5,APOIO_REDES!$5:$5,0)),0)*$AP849,0)</f>
        <v>0.360409233541629</v>
      </c>
      <c r="AV849" s="153" t="n">
        <f aca="false">IFERROR(IF($N849="VCA",INDEX(APOIO_REDES!$A:$W,MATCH($C849&amp;$I849&amp;$H849&amp;$N849&amp;$O849,APOIO_REDES!$W:$W,0),MATCH(AV$5,APOIO_REDES!$5:$5,0)),0)*$AP849,0)</f>
        <v>0.0498778085987458</v>
      </c>
      <c r="AW849" s="153" t="n">
        <f aca="false">IFERROR(IF($N849="VCA",INDEX(APOIO_REDES!$A:$W,MATCH($C849&amp;$I849&amp;$H849&amp;$N849&amp;$O849,APOIO_REDES!$W:$W,0),MATCH(AW$5,APOIO_REDES!$5:$5,0)),0)*$AP849,0)</f>
        <v>28.4723162697106</v>
      </c>
      <c r="AX849" s="153" t="n">
        <f aca="false">IFERROR(IF($N849="VCA",INDEX(APOIO_REDES!$A:$W,MATCH($C849&amp;$I849&amp;$H849&amp;$N849&amp;$O849,APOIO_REDES!$W:$W,0),MATCH(AX$5,APOIO_REDES!$5:$5,0)),0)*$AP849,0)</f>
        <v>3.94048746679983</v>
      </c>
      <c r="AY849" s="153" t="n">
        <f aca="false">IFERROR(IF($N849="VCA",INDEX(APOIO_REDES!$A:$W,MATCH($C849&amp;$I849&amp;$H849&amp;$N849&amp;$O849,APOIO_REDES!$W:$W,0),MATCH(AY$5,APOIO_REDES!$5:$5,0)),0)*$AP849,0)</f>
        <v>7.20818027747323</v>
      </c>
      <c r="AZ849" s="153" t="n">
        <f aca="false">IFERROR(IF($N849="VCA",INDEX(APOIO_REDES!$A:$W,MATCH($C849&amp;$I849&amp;$H849&amp;$N849&amp;$O849,APOIO_REDES!$W:$W,0),MATCH(AZ$5,APOIO_REDES!$5:$5,0)),0)*$AP849,0)</f>
        <v>0.997591318849644</v>
      </c>
      <c r="BA849" s="153" t="n">
        <f aca="false">IFERROR(IF(AND($N849="VCA",$Q849="LINEAR"),INDEX(APOIO_REDES!$A:$W,MATCH($C849&amp;$I849&amp;$H849&amp;$N849&amp;$O849,APOIO_REDES!$W:$W,0),MATCH(BA$5,APOIO_REDES!$5:$5,0)),IF(AND($N849="MND",$Q849="EMBOQUE"),INDEX(APOIO_REDES!$A:$W,MATCH($C849&amp;$I849&amp;$H849&amp;$N849&amp;$O849,APOIO_REDES!$W:$W,0),MATCH(BA$5,APOIO_REDES!$5:$5,0)),0))*$M849/10,0)</f>
        <v>3.77357390028531</v>
      </c>
      <c r="BB849" s="153" t="n">
        <f aca="false">IFERROR(IF($N849="VCA",INDEX(APOIO_REDES!$A:$W,MATCH($C849&amp;$I849&amp;$H849&amp;$N849&amp;$O849,APOIO_REDES!$W:$W,0),MATCH(BB$5,APOIO_REDES!$5:$5,0)),0)*($AI849+$AQ849+$AR849),0)</f>
        <v>13.9371704179111</v>
      </c>
      <c r="BC849" s="153" t="n">
        <f aca="false">IFERROR(IF($N849="VCA",INDEX(APOIO_REDES!$A:$W,MATCH($C849&amp;$I849&amp;$H849&amp;$N849&amp;$O849,APOIO_REDES!$W:$W,0),MATCH(BC$5,APOIO_REDES!$5:$5,0)),0)*($AI849+$AQ849+$AR849),0)</f>
        <v>0.153308582088898</v>
      </c>
      <c r="BD849" s="153" t="n">
        <f aca="false">IF(AND($N849="VCA",$AF849&gt;=1.25,$AF849&lt;1.5),$M849*$AF849*2,0)</f>
        <v>127.63132</v>
      </c>
      <c r="BE849" s="153" t="n">
        <f aca="false">IF(AND($N849="VCA",$AF849&gt;=1.5,$AF849&lt;3),$M849*$AF849*2,0)</f>
        <v>0</v>
      </c>
      <c r="BF849" s="153" t="n">
        <f aca="false">IF(AND($N849="VCA",$AF849&gt;=3),$M849*$AF849*2,0)</f>
        <v>0</v>
      </c>
      <c r="BG849" s="153" t="n">
        <f aca="false">($BB849+$BC849)*$AK849</f>
        <v>38.0442933</v>
      </c>
      <c r="BH849" s="153" t="n">
        <f aca="false">IF(AND($M849&lt;&gt;"",$N849="VCA",$Q849="LINEAR"),($M849*2)/100,IF(AND($M849&lt;&gt;"",$N849="MND",$Q849="EMBOQUE"),($AN849*2)/100,0))</f>
        <v>0.9364</v>
      </c>
      <c r="BI849" s="153" t="n">
        <f aca="false">IF(AND($M849&lt;&gt;"",$N849="VCA",$Q849="LINEAR"),$M849,IF(AND($M849&lt;&gt;"",$N849="MND",$Q849="EMBOQUE"),$AN849*2,0))</f>
        <v>46.82</v>
      </c>
      <c r="BJ849" s="153" t="n">
        <f aca="false">IF(AND($M849&lt;&gt;"",$N849="VCA",$Q849="LINEAR"),($M849*6.8)/100,IF(AND($M849&lt;&gt;"",$N849="MND",$Q849="EMBOQUE"),($AN849*2*6.8)/100,0))</f>
        <v>3.18376</v>
      </c>
      <c r="BK849" s="153" t="n">
        <f aca="false">IF(AND($M849&lt;&gt;"",$N849="VCA",$Q849="LINEAR"),($M849*2.5)/50,IF(AND($M849&lt;&gt;"",$N849="MND",$Q849="EMBOQUE"),($AN849*2*2.5)/50,0))</f>
        <v>2.341</v>
      </c>
      <c r="BL849" s="157" t="str">
        <f aca="false">K849&amp;J849</f>
        <v>Zona07REDES</v>
      </c>
      <c r="BM849" s="152" t="s">
        <v>4225</v>
      </c>
      <c r="BN849" s="152" t="s">
        <v>1560</v>
      </c>
      <c r="BO849" s="152" t="s">
        <v>4725</v>
      </c>
      <c r="BP849" s="152" t="s">
        <v>4753</v>
      </c>
      <c r="BQ849" s="152" t="s">
        <v>4773</v>
      </c>
      <c r="BR849" s="152" t="s">
        <v>4774</v>
      </c>
      <c r="BS849" s="152" t="n">
        <v>204938.396</v>
      </c>
      <c r="BT849" s="152" t="n">
        <v>8236695.561</v>
      </c>
      <c r="BU849" s="152" t="n">
        <v>204899.483</v>
      </c>
      <c r="BV849" s="152" t="n">
        <v>8236685.994</v>
      </c>
      <c r="BW849" s="152" t="n">
        <v>-15.9315516</v>
      </c>
      <c r="BX849" s="152" t="n">
        <v>-47.7561202</v>
      </c>
      <c r="BY849" s="152" t="s">
        <v>4753</v>
      </c>
    </row>
    <row r="850" customFormat="false" ht="13.8" hidden="false" customHeight="false" outlineLevel="0" collapsed="false">
      <c r="A850" s="149" t="n">
        <f aca="false">IF(C850&lt;&gt;"",ROW(A845),"")</f>
        <v>845</v>
      </c>
      <c r="B850" s="150" t="str">
        <f aca="false">HYPERLINK("https://www.google.com/maps/dir/-15.917302,-47.760003/-15.9313164,-47.7569579/data=!4m3!4m2!3e0!5i1")</f>
        <v>https://www.google.com/maps/dir/-15.917302,-47.760003/-15.9313164,-47.7569579/data=!4m3!4m2!3e0!5i1</v>
      </c>
      <c r="C850" s="151" t="s">
        <v>117</v>
      </c>
      <c r="D850" s="152" t="s">
        <v>112</v>
      </c>
      <c r="E850" s="152" t="s">
        <v>113</v>
      </c>
      <c r="F850" s="152" t="s">
        <v>117</v>
      </c>
      <c r="G850" s="152" t="s">
        <v>782</v>
      </c>
      <c r="H850" s="152" t="n">
        <v>63</v>
      </c>
      <c r="I850" s="152" t="s">
        <v>115</v>
      </c>
      <c r="J850" s="152" t="s">
        <v>6</v>
      </c>
      <c r="K850" s="152" t="s">
        <v>4221</v>
      </c>
      <c r="L850" s="152" t="s">
        <v>120</v>
      </c>
      <c r="M850" s="153" t="n">
        <f aca="false">65.74+3.99</f>
        <v>69.73</v>
      </c>
      <c r="N850" s="152" t="s">
        <v>1548</v>
      </c>
      <c r="O850" s="152" t="s">
        <v>1549</v>
      </c>
      <c r="P850" s="152" t="s">
        <v>1550</v>
      </c>
      <c r="Q850" s="152" t="s">
        <v>1551</v>
      </c>
      <c r="R850" s="154" t="s">
        <v>4775</v>
      </c>
      <c r="S850" s="154" t="s">
        <v>1553</v>
      </c>
      <c r="T850" s="155" t="s">
        <v>4723</v>
      </c>
      <c r="U850" s="152" t="str">
        <f aca="false">RIGHT(T850,7)</f>
        <v>020/037</v>
      </c>
      <c r="V850" s="152" t="s">
        <v>1555</v>
      </c>
      <c r="W850" s="156" t="n">
        <v>45882</v>
      </c>
      <c r="X850" s="152" t="s">
        <v>3938</v>
      </c>
      <c r="Y850" s="152"/>
      <c r="Z850" s="152" t="s">
        <v>1557</v>
      </c>
      <c r="AA850" s="153" t="n">
        <v>2.8</v>
      </c>
      <c r="AB850" s="151" t="s">
        <v>4776</v>
      </c>
      <c r="AC850" s="151" t="s">
        <v>186</v>
      </c>
      <c r="AD850" s="151" t="str">
        <f aca="false">CONCATENATE($C850,$I850,$H850,$N850,$J850,$K850)</f>
        <v>TUBO PEADPEAD63VCAREDESZona07</v>
      </c>
      <c r="AE850" s="153" t="n">
        <f aca="false">IFERROR(INDEX(APOIO_REDES!$A:$W,MATCH($C850&amp;$I850&amp;$H850&amp;$N850&amp;$O850,APOIO_REDES!$W:$W,0),MATCH(AE$5,APOIO_REDES!$5:$5,0)),0)</f>
        <v>1.2</v>
      </c>
      <c r="AF850" s="153" t="n">
        <f aca="false">IFERROR(INDEX(APOIO_REDES!$A:$W,MATCH($C850&amp;$I850&amp;$H850&amp;$N850&amp;$O850,APOIO_REDES!$W:$W,0),MATCH(AF$5,APOIO_REDES!$5:$5,0)),0)</f>
        <v>1.363</v>
      </c>
      <c r="AG850" s="153" t="n">
        <f aca="false">IFERROR(INDEX(APOIO_REDES!$A:$W,MATCH($C850&amp;$I850&amp;$H850&amp;$N850&amp;$O850,APOIO_REDES!$W:$W,0),MATCH(AG$5,APOIO_REDES!$5:$5,0)),0)</f>
        <v>0.65</v>
      </c>
      <c r="AH850" s="153" t="n">
        <f aca="false">IFERROR(INDEX(APOIO_REDES!$A:$W,MATCH($C850&amp;$I850&amp;$H850&amp;$N850&amp;$O850,APOIO_REDES!$W:$W,0),MATCH(AH$5,APOIO_REDES!$5:$5,0)),0)</f>
        <v>0.1</v>
      </c>
      <c r="AI850" s="153" t="n">
        <f aca="false">IFERROR(IF($H850&lt;&gt;"",(((($H850/1000)/2)^2)*PI()*$M850),0),0)</f>
        <v>0.217365515502871</v>
      </c>
      <c r="AJ850" s="153" t="n">
        <f aca="false">IFERROR(IF(AND($H850&lt;&gt;"",$I850="FoFo",OR($N850="MND",$N850="VCA"),$Q850="LINEAR"),0,IF(AND($H850&lt;&gt;"",$I850="PEAD",$N850="VCA",$Q850="LINEAR"),($H850/1000)+0.3,IF(AND($H850&lt;&gt;"",$I850="PEAD",$N850="MND",$Q850="EMBOQUE"),0,IF(AND($H850&lt;&gt;"",$I850="PVC",$N850="VCA",$Q850="LINEAR"),($H850/1000)+0.2,IF(AND($H850&lt;&gt;"",$I850="PVC",$N850="MND",$Q850="EMBOQUE"),0,IF(AND($H850&lt;&gt;"",$I850="PEAD",$N850="VCA",$Q850="PREDIAL"),0,0)))))),0)</f>
        <v>0.363</v>
      </c>
      <c r="AK850" s="153" t="n">
        <f aca="false">IF(AA850&lt;&gt;"",AA850,0)</f>
        <v>2.8</v>
      </c>
      <c r="AL850" s="153" t="n">
        <f aca="false">IF(AND($N850="MND",$Q850="EMBOQUE"),$M850,IF(AND($N850="VCA",$Q850="LINEAR"),$M850,IF(AND($N850="VCA",$Q850="PREDIAL"),0,0)))</f>
        <v>69.73</v>
      </c>
      <c r="AM850" s="153" t="n">
        <f aca="false">IF(AND($N850="MND",$Q850="EMBOQUE"),$M850,IF(AND($N850="VCA",$Q850="LINEAR"),$M850,IF(AND($N850="VCA",$Q850="PREDIAL"),0,0)))</f>
        <v>69.73</v>
      </c>
      <c r="AN850" s="153" t="n">
        <f aca="false">ROUND(IF(AND($N850="VCA",$M850&lt;&gt;"",$Q850="LINEAR"),$M850/100,IF(AND($N850="MND",$M850&gt;100,$Q850="EMBOQUE"),$M850/100,0)),0)</f>
        <v>1</v>
      </c>
      <c r="AO850" s="153" t="n">
        <f aca="false">IF(AND($N850="MND",$Q850="EMBOQUE"),$AN850*2*2,IF(AND($N850="VCA",$Q850="LINEAR"),$M850*2,IF(AND($N850="VCA",$Q850="PREDIAL"),0,0)))</f>
        <v>139.46</v>
      </c>
      <c r="AP850" s="153" t="n">
        <f aca="false">IFERROR($M850*$AF850*$AG850,0)</f>
        <v>61.7772935</v>
      </c>
      <c r="AQ850" s="153" t="n">
        <f aca="false">IFERROR(IF(AND($N850="VCA",$AH850&gt;0),$M850*$AG850*$AH850,0),0)</f>
        <v>4.53245</v>
      </c>
      <c r="AR850" s="153" t="n">
        <f aca="false">IFERROR(IF(AND($N850="VCA",$AJ850&gt;0),($M850*$AG850*$AJ850)-$AI850,0),0)</f>
        <v>16.2354279844971</v>
      </c>
      <c r="AS850" s="153" t="n">
        <f aca="false">IFERROR(IF(AND($N850="VCA",$AP850&gt;0),$AP850-$AI850-$AQ850-$AR850,0),0)</f>
        <v>40.79205</v>
      </c>
      <c r="AT850" s="153" t="n">
        <f aca="false">IFERROR(IF($N850="VCA",INDEX(APOIO_REDES!$A:$W,MATCH($C850&amp;$I850&amp;$H850&amp;$N850&amp;$O850,APOIO_REDES!$W:$W,0),MATCH(AT$5,APOIO_REDES!$5:$5,0)),0)*$AP850,0)</f>
        <v>0.672155238425513</v>
      </c>
      <c r="AU850" s="153" t="n">
        <f aca="false">IFERROR(IF($N850="VCA",INDEX(APOIO_REDES!$A:$W,MATCH($C850&amp;$I850&amp;$H850&amp;$N850&amp;$O850,APOIO_REDES!$W:$W,0),MATCH(AU$5,APOIO_REDES!$5:$5,0)),0)*$AP850,0)</f>
        <v>0.536764969134083</v>
      </c>
      <c r="AV850" s="153" t="n">
        <f aca="false">IFERROR(IF($N850="VCA",INDEX(APOIO_REDES!$A:$W,MATCH($C850&amp;$I850&amp;$H850&amp;$N850&amp;$O850,APOIO_REDES!$W:$W,0),MATCH(AV$5,APOIO_REDES!$5:$5,0)),0)*$AP850,0)</f>
        <v>0.0742840579579356</v>
      </c>
      <c r="AW850" s="153" t="n">
        <f aca="false">IFERROR(IF($N850="VCA",INDEX(APOIO_REDES!$A:$W,MATCH($C850&amp;$I850&amp;$H850&amp;$N850&amp;$O850,APOIO_REDES!$W:$W,0),MATCH(AW$5,APOIO_REDES!$5:$5,0)),0)*$AP850,0)</f>
        <v>42.4044129322282</v>
      </c>
      <c r="AX850" s="153" t="n">
        <f aca="false">IFERROR(IF($N850="VCA",INDEX(APOIO_REDES!$A:$W,MATCH($C850&amp;$I850&amp;$H850&amp;$N850&amp;$O850,APOIO_REDES!$W:$W,0),MATCH(AX$5,APOIO_REDES!$5:$5,0)),0)*$AP850,0)</f>
        <v>5.86864995856369</v>
      </c>
      <c r="AY850" s="153" t="n">
        <f aca="false">IFERROR(IF($N850="VCA",INDEX(APOIO_REDES!$A:$W,MATCH($C850&amp;$I850&amp;$H850&amp;$N850&amp;$O850,APOIO_REDES!$W:$W,0),MATCH(AY$5,APOIO_REDES!$5:$5,0)),0)*$AP850,0)</f>
        <v>10.7352928395602</v>
      </c>
      <c r="AZ850" s="153" t="n">
        <f aca="false">IFERROR(IF($N850="VCA",INDEX(APOIO_REDES!$A:$W,MATCH($C850&amp;$I850&amp;$H850&amp;$N850&amp;$O850,APOIO_REDES!$W:$W,0),MATCH(AZ$5,APOIO_REDES!$5:$5,0)),0)*$AP850,0)</f>
        <v>1.48573350413041</v>
      </c>
      <c r="BA850" s="153" t="n">
        <f aca="false">IFERROR(IF(AND($N850="VCA",$Q850="LINEAR"),INDEX(APOIO_REDES!$A:$W,MATCH($C850&amp;$I850&amp;$H850&amp;$N850&amp;$O850,APOIO_REDES!$W:$W,0),MATCH(BA$5,APOIO_REDES!$5:$5,0)),IF(AND($N850="MND",$Q850="EMBOQUE"),INDEX(APOIO_REDES!$A:$W,MATCH($C850&amp;$I850&amp;$H850&amp;$N850&amp;$O850,APOIO_REDES!$W:$W,0),MATCH(BA$5,APOIO_REDES!$5:$5,0)),0))*$M850/10,0)</f>
        <v>5.62006211163808</v>
      </c>
      <c r="BB850" s="153" t="n">
        <f aca="false">IFERROR(IF($N850="VCA",INDEX(APOIO_REDES!$A:$W,MATCH($C850&amp;$I850&amp;$H850&amp;$N850&amp;$O850,APOIO_REDES!$W:$W,0),MATCH(BB$5,APOIO_REDES!$5:$5,0)),0)*($AI850+$AQ850+$AR850),0)</f>
        <v>20.756917839405</v>
      </c>
      <c r="BC850" s="153" t="n">
        <f aca="false">IFERROR(IF($N850="VCA",INDEX(APOIO_REDES!$A:$W,MATCH($C850&amp;$I850&amp;$H850&amp;$N850&amp;$O850,APOIO_REDES!$W:$W,0),MATCH(BC$5,APOIO_REDES!$5:$5,0)),0)*($AI850+$AQ850+$AR850),0)</f>
        <v>0.22832566059502</v>
      </c>
      <c r="BD850" s="153" t="n">
        <f aca="false">IF(AND($N850="VCA",$AF850&gt;=1.25,$AF850&lt;1.5),$M850*$AF850*2,0)</f>
        <v>190.08398</v>
      </c>
      <c r="BE850" s="153" t="n">
        <f aca="false">IF(AND($N850="VCA",$AF850&gt;=1.5,$AF850&lt;3),$M850*$AF850*2,0)</f>
        <v>0</v>
      </c>
      <c r="BF850" s="153" t="n">
        <f aca="false">IF(AND($N850="VCA",$AF850&gt;=3),$M850*$AF850*2,0)</f>
        <v>0</v>
      </c>
      <c r="BG850" s="153" t="n">
        <f aca="false">($BB850+$BC850)*$AK850</f>
        <v>58.7586818</v>
      </c>
      <c r="BH850" s="153" t="n">
        <f aca="false">IF(AND($M850&lt;&gt;"",$N850="VCA",$Q850="LINEAR"),($M850*2)/100,IF(AND($M850&lt;&gt;"",$N850="MND",$Q850="EMBOQUE"),($AN850*2)/100,0))</f>
        <v>1.3946</v>
      </c>
      <c r="BI850" s="153" t="n">
        <f aca="false">IF(AND($M850&lt;&gt;"",$N850="VCA",$Q850="LINEAR"),$M850,IF(AND($M850&lt;&gt;"",$N850="MND",$Q850="EMBOQUE"),$AN850*2,0))</f>
        <v>69.73</v>
      </c>
      <c r="BJ850" s="153" t="n">
        <f aca="false">IF(AND($M850&lt;&gt;"",$N850="VCA",$Q850="LINEAR"),($M850*6.8)/100,IF(AND($M850&lt;&gt;"",$N850="MND",$Q850="EMBOQUE"),($AN850*2*6.8)/100,0))</f>
        <v>4.74164</v>
      </c>
      <c r="BK850" s="153" t="n">
        <f aca="false">IF(AND($M850&lt;&gt;"",$N850="VCA",$Q850="LINEAR"),($M850*2.5)/50,IF(AND($M850&lt;&gt;"",$N850="MND",$Q850="EMBOQUE"),($AN850*2*2.5)/50,0))</f>
        <v>3.4865</v>
      </c>
      <c r="BL850" s="157" t="str">
        <f aca="false">K850&amp;J850</f>
        <v>Zona07REDES</v>
      </c>
      <c r="BM850" s="152" t="s">
        <v>4225</v>
      </c>
      <c r="BN850" s="152" t="s">
        <v>1560</v>
      </c>
      <c r="BO850" s="152" t="s">
        <v>4725</v>
      </c>
      <c r="BP850" s="152" t="s">
        <v>4735</v>
      </c>
      <c r="BQ850" s="152" t="s">
        <v>4777</v>
      </c>
      <c r="BR850" s="152" t="s">
        <v>4778</v>
      </c>
      <c r="BS850" s="152" t="n">
        <v>204830.783</v>
      </c>
      <c r="BT850" s="152" t="n">
        <v>8236711.66</v>
      </c>
      <c r="BU850" s="152" t="n">
        <v>204846.636</v>
      </c>
      <c r="BV850" s="152" t="n">
        <v>8236647.985</v>
      </c>
      <c r="BW850" s="152" t="n">
        <v>-15.9316056</v>
      </c>
      <c r="BX850" s="152" t="n">
        <v>-47.7568927</v>
      </c>
      <c r="BY850" s="152" t="s">
        <v>4735</v>
      </c>
    </row>
    <row r="851" customFormat="false" ht="13.8" hidden="false" customHeight="false" outlineLevel="0" collapsed="false">
      <c r="A851" s="149" t="n">
        <f aca="false">IF(C851&lt;&gt;"",ROW(A846),"")</f>
        <v>846</v>
      </c>
      <c r="B851" s="150" t="str">
        <f aca="false">HYPERLINK("https://www.google.com/maps/dir/-15.917302,-47.760003/-15.9314020,-47.7608014/data=!4m3!4m2!3e0!5i1")</f>
        <v>https://www.google.com/maps/dir/-15.917302,-47.760003/-15.9314020,-47.7608014/data=!4m3!4m2!3e0!5i1</v>
      </c>
      <c r="C851" s="151" t="s">
        <v>117</v>
      </c>
      <c r="D851" s="152" t="s">
        <v>112</v>
      </c>
      <c r="E851" s="152" t="s">
        <v>113</v>
      </c>
      <c r="F851" s="152" t="s">
        <v>117</v>
      </c>
      <c r="G851" s="152" t="s">
        <v>782</v>
      </c>
      <c r="H851" s="152" t="n">
        <v>63</v>
      </c>
      <c r="I851" s="152" t="s">
        <v>115</v>
      </c>
      <c r="J851" s="152" t="s">
        <v>6</v>
      </c>
      <c r="K851" s="152" t="s">
        <v>4221</v>
      </c>
      <c r="L851" s="152" t="s">
        <v>120</v>
      </c>
      <c r="M851" s="153" t="n">
        <f aca="false">63.78</f>
        <v>63.78</v>
      </c>
      <c r="N851" s="152" t="s">
        <v>1548</v>
      </c>
      <c r="O851" s="152" t="s">
        <v>1549</v>
      </c>
      <c r="P851" s="152" t="s">
        <v>1550</v>
      </c>
      <c r="Q851" s="152" t="s">
        <v>1551</v>
      </c>
      <c r="R851" s="154" t="s">
        <v>4779</v>
      </c>
      <c r="S851" s="154" t="s">
        <v>1553</v>
      </c>
      <c r="T851" s="155" t="s">
        <v>4723</v>
      </c>
      <c r="U851" s="152" t="str">
        <f aca="false">RIGHT(T851,7)</f>
        <v>020/037</v>
      </c>
      <c r="V851" s="152" t="s">
        <v>1555</v>
      </c>
      <c r="W851" s="156" t="n">
        <v>45882</v>
      </c>
      <c r="X851" s="152" t="s">
        <v>3938</v>
      </c>
      <c r="Y851" s="152" t="s">
        <v>4756</v>
      </c>
      <c r="Z851" s="152" t="s">
        <v>1557</v>
      </c>
      <c r="AA851" s="153" t="n">
        <v>3.2</v>
      </c>
      <c r="AB851" s="151" t="s">
        <v>4780</v>
      </c>
      <c r="AC851" s="151" t="s">
        <v>186</v>
      </c>
      <c r="AD851" s="151" t="str">
        <f aca="false">CONCATENATE($C851,$I851,$H851,$N851,$J851,$K851)</f>
        <v>TUBO PEADPEAD63VCAREDESZona07</v>
      </c>
      <c r="AE851" s="153" t="n">
        <f aca="false">IFERROR(INDEX(APOIO_REDES!$A:$W,MATCH($C851&amp;$I851&amp;$H851&amp;$N851&amp;$O851,APOIO_REDES!$W:$W,0),MATCH(AE$5,APOIO_REDES!$5:$5,0)),0)</f>
        <v>1.2</v>
      </c>
      <c r="AF851" s="153" t="n">
        <f aca="false">IFERROR(INDEX(APOIO_REDES!$A:$W,MATCH($C851&amp;$I851&amp;$H851&amp;$N851&amp;$O851,APOIO_REDES!$W:$W,0),MATCH(AF$5,APOIO_REDES!$5:$5,0)),0)</f>
        <v>1.363</v>
      </c>
      <c r="AG851" s="153" t="n">
        <f aca="false">IFERROR(INDEX(APOIO_REDES!$A:$W,MATCH($C851&amp;$I851&amp;$H851&amp;$N851&amp;$O851,APOIO_REDES!$W:$W,0),MATCH(AG$5,APOIO_REDES!$5:$5,0)),0)</f>
        <v>0.65</v>
      </c>
      <c r="AH851" s="153" t="n">
        <f aca="false">IFERROR(INDEX(APOIO_REDES!$A:$W,MATCH($C851&amp;$I851&amp;$H851&amp;$N851&amp;$O851,APOIO_REDES!$W:$W,0),MATCH(AH$5,APOIO_REDES!$5:$5,0)),0)</f>
        <v>0.1</v>
      </c>
      <c r="AI851" s="153" t="n">
        <f aca="false">IFERROR(IF($H851&lt;&gt;"",(((($H851/1000)/2)^2)*PI()*$M851),0),0)</f>
        <v>0.198817905905251</v>
      </c>
      <c r="AJ851" s="153" t="n">
        <f aca="false">IFERROR(IF(AND($H851&lt;&gt;"",$I851="FoFo",OR($N851="MND",$N851="VCA"),$Q851="LINEAR"),0,IF(AND($H851&lt;&gt;"",$I851="PEAD",$N851="VCA",$Q851="LINEAR"),($H851/1000)+0.3,IF(AND($H851&lt;&gt;"",$I851="PEAD",$N851="MND",$Q851="EMBOQUE"),0,IF(AND($H851&lt;&gt;"",$I851="PVC",$N851="VCA",$Q851="LINEAR"),($H851/1000)+0.2,IF(AND($H851&lt;&gt;"",$I851="PVC",$N851="MND",$Q851="EMBOQUE"),0,IF(AND($H851&lt;&gt;"",$I851="PEAD",$N851="VCA",$Q851="PREDIAL"),0,0)))))),0)</f>
        <v>0.363</v>
      </c>
      <c r="AK851" s="153" t="n">
        <f aca="false">IF(AA851&lt;&gt;"",AA851,0)</f>
        <v>3.2</v>
      </c>
      <c r="AL851" s="153" t="n">
        <f aca="false">IF(AND($N851="MND",$Q851="EMBOQUE"),$M851,IF(AND($N851="VCA",$Q851="LINEAR"),$M851,IF(AND($N851="VCA",$Q851="PREDIAL"),0,0)))</f>
        <v>63.78</v>
      </c>
      <c r="AM851" s="153" t="n">
        <f aca="false">IF(AND($N851="MND",$Q851="EMBOQUE"),$M851,IF(AND($N851="VCA",$Q851="LINEAR"),$M851,IF(AND($N851="VCA",$Q851="PREDIAL"),0,0)))</f>
        <v>63.78</v>
      </c>
      <c r="AN851" s="153" t="n">
        <f aca="false">ROUND(IF(AND($N851="VCA",$M851&lt;&gt;"",$Q851="LINEAR"),$M851/100,IF(AND($N851="MND",$M851&gt;100,$Q851="EMBOQUE"),$M851/100,0)),0)</f>
        <v>1</v>
      </c>
      <c r="AO851" s="153" t="n">
        <f aca="false">IF(AND($N851="MND",$Q851="EMBOQUE"),$AN851*2*2,IF(AND($N851="VCA",$Q851="LINEAR"),$M851*2,IF(AND($N851="VCA",$Q851="PREDIAL"),0,0)))</f>
        <v>127.56</v>
      </c>
      <c r="AP851" s="153" t="n">
        <f aca="false">IFERROR($M851*$AF851*$AG851,0)</f>
        <v>56.505891</v>
      </c>
      <c r="AQ851" s="153" t="n">
        <f aca="false">IFERROR(IF(AND($N851="VCA",$AH851&gt;0),$M851*$AG851*$AH851,0),0)</f>
        <v>4.1457</v>
      </c>
      <c r="AR851" s="153" t="n">
        <f aca="false">IFERROR(IF(AND($N851="VCA",$AJ851&gt;0),($M851*$AG851*$AJ851)-$AI851,0),0)</f>
        <v>14.8500730940947</v>
      </c>
      <c r="AS851" s="153" t="n">
        <f aca="false">IFERROR(IF(AND($N851="VCA",$AP851&gt;0),$AP851-$AI851-$AQ851-$AR851,0),0)</f>
        <v>37.3113</v>
      </c>
      <c r="AT851" s="153" t="n">
        <f aca="false">IFERROR(IF($N851="VCA",INDEX(APOIO_REDES!$A:$W,MATCH($C851&amp;$I851&amp;$H851&amp;$N851&amp;$O851,APOIO_REDES!$W:$W,0),MATCH(AT$5,APOIO_REDES!$5:$5,0)),0)*$AP851,0)</f>
        <v>0.614800818970016</v>
      </c>
      <c r="AU851" s="153" t="n">
        <f aca="false">IFERROR(IF($N851="VCA",INDEX(APOIO_REDES!$A:$W,MATCH($C851&amp;$I851&amp;$H851&amp;$N851&amp;$O851,APOIO_REDES!$W:$W,0),MATCH(AU$5,APOIO_REDES!$5:$5,0)),0)*$AP851,0)</f>
        <v>0.490963283111599</v>
      </c>
      <c r="AV851" s="153" t="n">
        <f aca="false">IFERROR(IF($N851="VCA",INDEX(APOIO_REDES!$A:$W,MATCH($C851&amp;$I851&amp;$H851&amp;$N851&amp;$O851,APOIO_REDES!$W:$W,0),MATCH(AV$5,APOIO_REDES!$5:$5,0)),0)*$AP851,0)</f>
        <v>0.0679454641697567</v>
      </c>
      <c r="AW851" s="153" t="n">
        <f aca="false">IFERROR(IF($N851="VCA",INDEX(APOIO_REDES!$A:$W,MATCH($C851&amp;$I851&amp;$H851&amp;$N851&amp;$O851,APOIO_REDES!$W:$W,0),MATCH(AW$5,APOIO_REDES!$5:$5,0)),0)*$AP851,0)</f>
        <v>38.7860814114085</v>
      </c>
      <c r="AX851" s="153" t="n">
        <f aca="false">IFERROR(IF($N851="VCA",INDEX(APOIO_REDES!$A:$W,MATCH($C851&amp;$I851&amp;$H851&amp;$N851&amp;$O851,APOIO_REDES!$W:$W,0),MATCH(AX$5,APOIO_REDES!$5:$5,0)),0)*$AP851,0)</f>
        <v>5.36788318309469</v>
      </c>
      <c r="AY851" s="153" t="n">
        <f aca="false">IFERROR(IF($N851="VCA",INDEX(APOIO_REDES!$A:$W,MATCH($C851&amp;$I851&amp;$H851&amp;$N851&amp;$O851,APOIO_REDES!$W:$W,0),MATCH(AY$5,APOIO_REDES!$5:$5,0)),0)*$AP851,0)</f>
        <v>9.81925967742936</v>
      </c>
      <c r="AZ851" s="153" t="n">
        <f aca="false">IFERROR(IF($N851="VCA",INDEX(APOIO_REDES!$A:$W,MATCH($C851&amp;$I851&amp;$H851&amp;$N851&amp;$O851,APOIO_REDES!$W:$W,0),MATCH(AZ$5,APOIO_REDES!$5:$5,0)),0)*$AP851,0)</f>
        <v>1.35895716181611</v>
      </c>
      <c r="BA851" s="153" t="n">
        <f aca="false">IFERROR(IF(AND($N851="VCA",$Q851="LINEAR"),INDEX(APOIO_REDES!$A:$W,MATCH($C851&amp;$I851&amp;$H851&amp;$N851&amp;$O851,APOIO_REDES!$W:$W,0),MATCH(BA$5,APOIO_REDES!$5:$5,0)),IF(AND($N851="MND",$Q851="EMBOQUE"),INDEX(APOIO_REDES!$A:$W,MATCH($C851&amp;$I851&amp;$H851&amp;$N851&amp;$O851,APOIO_REDES!$W:$W,0),MATCH(BA$5,APOIO_REDES!$5:$5,0)),0))*$M851/10,0)</f>
        <v>5.14050712003839</v>
      </c>
      <c r="BB851" s="153" t="n">
        <f aca="false">IFERROR(IF($N851="VCA",INDEX(APOIO_REDES!$A:$W,MATCH($C851&amp;$I851&amp;$H851&amp;$N851&amp;$O851,APOIO_REDES!$W:$W,0),MATCH(BB$5,APOIO_REDES!$5:$5,0)),0)*($AI851+$AQ851+$AR851),0)</f>
        <v>18.9857481686111</v>
      </c>
      <c r="BC851" s="153" t="n">
        <f aca="false">IFERROR(IF($N851="VCA",INDEX(APOIO_REDES!$A:$W,MATCH($C851&amp;$I851&amp;$H851&amp;$N851&amp;$O851,APOIO_REDES!$W:$W,0),MATCH(BC$5,APOIO_REDES!$5:$5,0)),0)*($AI851+$AQ851+$AR851),0)</f>
        <v>0.208842831388934</v>
      </c>
      <c r="BD851" s="153" t="n">
        <f aca="false">IF(AND($N851="VCA",$AF851&gt;=1.25,$AF851&lt;1.5),$M851*$AF851*2,0)</f>
        <v>173.86428</v>
      </c>
      <c r="BE851" s="153" t="n">
        <f aca="false">IF(AND($N851="VCA",$AF851&gt;=1.5,$AF851&lt;3),$M851*$AF851*2,0)</f>
        <v>0</v>
      </c>
      <c r="BF851" s="153" t="n">
        <f aca="false">IF(AND($N851="VCA",$AF851&gt;=3),$M851*$AF851*2,0)</f>
        <v>0</v>
      </c>
      <c r="BG851" s="153" t="n">
        <f aca="false">($BB851+$BC851)*$AK851</f>
        <v>61.4226912</v>
      </c>
      <c r="BH851" s="153" t="n">
        <f aca="false">IF(AND($M851&lt;&gt;"",$N851="VCA",$Q851="LINEAR"),($M851*2)/100,IF(AND($M851&lt;&gt;"",$N851="MND",$Q851="EMBOQUE"),($AN851*2)/100,0))</f>
        <v>1.2756</v>
      </c>
      <c r="BI851" s="153" t="n">
        <f aca="false">IF(AND($M851&lt;&gt;"",$N851="VCA",$Q851="LINEAR"),$M851,IF(AND($M851&lt;&gt;"",$N851="MND",$Q851="EMBOQUE"),$AN851*2,0))</f>
        <v>63.78</v>
      </c>
      <c r="BJ851" s="153" t="n">
        <f aca="false">IF(AND($M851&lt;&gt;"",$N851="VCA",$Q851="LINEAR"),($M851*6.8)/100,IF(AND($M851&lt;&gt;"",$N851="MND",$Q851="EMBOQUE"),($AN851*2*6.8)/100,0))</f>
        <v>4.33704</v>
      </c>
      <c r="BK851" s="153" t="n">
        <f aca="false">IF(AND($M851&lt;&gt;"",$N851="VCA",$Q851="LINEAR"),($M851*2.5)/50,IF(AND($M851&lt;&gt;"",$N851="MND",$Q851="EMBOQUE"),($AN851*2*2.5)/50,0))</f>
        <v>3.189</v>
      </c>
      <c r="BL851" s="157" t="str">
        <f aca="false">K851&amp;J851</f>
        <v>Zona07REDES</v>
      </c>
      <c r="BM851" s="152" t="s">
        <v>4225</v>
      </c>
      <c r="BN851" s="152" t="s">
        <v>1560</v>
      </c>
      <c r="BO851" s="152" t="s">
        <v>4725</v>
      </c>
      <c r="BP851" s="152" t="s">
        <v>4765</v>
      </c>
      <c r="BQ851" s="152" t="s">
        <v>4781</v>
      </c>
      <c r="BR851" s="152" t="s">
        <v>4766</v>
      </c>
      <c r="BS851" s="152" t="n">
        <v>204418.941</v>
      </c>
      <c r="BT851" s="152" t="n">
        <v>8236696.665</v>
      </c>
      <c r="BU851" s="152" t="n">
        <v>204441.113</v>
      </c>
      <c r="BV851" s="152" t="n">
        <v>8236636.873</v>
      </c>
      <c r="BW851" s="152" t="n">
        <v>-15.9316742</v>
      </c>
      <c r="BX851" s="152" t="n">
        <v>-47.7607043</v>
      </c>
      <c r="BY851" s="152" t="s">
        <v>4765</v>
      </c>
    </row>
    <row r="852" customFormat="false" ht="13.8" hidden="false" customHeight="false" outlineLevel="0" collapsed="false">
      <c r="A852" s="149" t="n">
        <f aca="false">IF(C852&lt;&gt;"",ROW(A847),"")</f>
        <v>847</v>
      </c>
      <c r="B852" s="150" t="str">
        <f aca="false">HYPERLINK("https://www.google.com/maps/dir/-15.917302,-47.760003/-15.9321531,-47.7557743/data=!4m3!4m2!3e0!5i1")</f>
        <v>https://www.google.com/maps/dir/-15.917302,-47.760003/-15.9321531,-47.7557743/data=!4m3!4m2!3e0!5i1</v>
      </c>
      <c r="C852" s="151" t="s">
        <v>117</v>
      </c>
      <c r="D852" s="152" t="s">
        <v>112</v>
      </c>
      <c r="E852" s="152" t="s">
        <v>113</v>
      </c>
      <c r="F852" s="152" t="s">
        <v>117</v>
      </c>
      <c r="G852" s="152" t="s">
        <v>782</v>
      </c>
      <c r="H852" s="152" t="n">
        <v>63</v>
      </c>
      <c r="I852" s="152" t="s">
        <v>115</v>
      </c>
      <c r="J852" s="152" t="s">
        <v>6</v>
      </c>
      <c r="K852" s="152" t="s">
        <v>4221</v>
      </c>
      <c r="L852" s="152" t="s">
        <v>120</v>
      </c>
      <c r="M852" s="153" t="n">
        <f aca="false">77.61</f>
        <v>77.61</v>
      </c>
      <c r="N852" s="152" t="s">
        <v>1548</v>
      </c>
      <c r="O852" s="152" t="s">
        <v>1549</v>
      </c>
      <c r="P852" s="152" t="s">
        <v>1550</v>
      </c>
      <c r="Q852" s="152" t="s">
        <v>1551</v>
      </c>
      <c r="R852" s="154" t="s">
        <v>4782</v>
      </c>
      <c r="S852" s="154" t="s">
        <v>1553</v>
      </c>
      <c r="T852" s="155" t="s">
        <v>4723</v>
      </c>
      <c r="U852" s="152" t="str">
        <f aca="false">RIGHT(T852,7)</f>
        <v>020/037</v>
      </c>
      <c r="V852" s="152" t="s">
        <v>1555</v>
      </c>
      <c r="W852" s="156" t="n">
        <v>45882</v>
      </c>
      <c r="X852" s="152" t="s">
        <v>3938</v>
      </c>
      <c r="Y852" s="152"/>
      <c r="Z852" s="152" t="s">
        <v>1557</v>
      </c>
      <c r="AA852" s="153" t="n">
        <v>2.7</v>
      </c>
      <c r="AB852" s="151" t="s">
        <v>4783</v>
      </c>
      <c r="AC852" s="151" t="s">
        <v>186</v>
      </c>
      <c r="AD852" s="151" t="str">
        <f aca="false">CONCATENATE($C852,$I852,$H852,$N852,$J852,$K852)</f>
        <v>TUBO PEADPEAD63VCAREDESZona07</v>
      </c>
      <c r="AE852" s="153" t="n">
        <f aca="false">IFERROR(INDEX(APOIO_REDES!$A:$W,MATCH($C852&amp;$I852&amp;$H852&amp;$N852&amp;$O852,APOIO_REDES!$W:$W,0),MATCH(AE$5,APOIO_REDES!$5:$5,0)),0)</f>
        <v>1.2</v>
      </c>
      <c r="AF852" s="153" t="n">
        <f aca="false">IFERROR(INDEX(APOIO_REDES!$A:$W,MATCH($C852&amp;$I852&amp;$H852&amp;$N852&amp;$O852,APOIO_REDES!$W:$W,0),MATCH(AF$5,APOIO_REDES!$5:$5,0)),0)</f>
        <v>1.363</v>
      </c>
      <c r="AG852" s="153" t="n">
        <f aca="false">IFERROR(INDEX(APOIO_REDES!$A:$W,MATCH($C852&amp;$I852&amp;$H852&amp;$N852&amp;$O852,APOIO_REDES!$W:$W,0),MATCH(AG$5,APOIO_REDES!$5:$5,0)),0)</f>
        <v>0.65</v>
      </c>
      <c r="AH852" s="153" t="n">
        <f aca="false">IFERROR(INDEX(APOIO_REDES!$A:$W,MATCH($C852&amp;$I852&amp;$H852&amp;$N852&amp;$O852,APOIO_REDES!$W:$W,0),MATCH(AH$5,APOIO_REDES!$5:$5,0)),0)</f>
        <v>0.1</v>
      </c>
      <c r="AI852" s="153" t="n">
        <f aca="false">IFERROR(IF($H852&lt;&gt;"",(((($H852/1000)/2)^2)*PI()*$M852),0),0)</f>
        <v>0.241929408549804</v>
      </c>
      <c r="AJ852" s="153" t="n">
        <f aca="false">IFERROR(IF(AND($H852&lt;&gt;"",$I852="FoFo",OR($N852="MND",$N852="VCA"),$Q852="LINEAR"),0,IF(AND($H852&lt;&gt;"",$I852="PEAD",$N852="VCA",$Q852="LINEAR"),($H852/1000)+0.3,IF(AND($H852&lt;&gt;"",$I852="PEAD",$N852="MND",$Q852="EMBOQUE"),0,IF(AND($H852&lt;&gt;"",$I852="PVC",$N852="VCA",$Q852="LINEAR"),($H852/1000)+0.2,IF(AND($H852&lt;&gt;"",$I852="PVC",$N852="MND",$Q852="EMBOQUE"),0,IF(AND($H852&lt;&gt;"",$I852="PEAD",$N852="VCA",$Q852="PREDIAL"),0,0)))))),0)</f>
        <v>0.363</v>
      </c>
      <c r="AK852" s="153" t="n">
        <f aca="false">IF(AA852&lt;&gt;"",AA852,0)</f>
        <v>2.7</v>
      </c>
      <c r="AL852" s="153" t="n">
        <f aca="false">IF(AND($N852="MND",$Q852="EMBOQUE"),$M852,IF(AND($N852="VCA",$Q852="LINEAR"),$M852,IF(AND($N852="VCA",$Q852="PREDIAL"),0,0)))</f>
        <v>77.61</v>
      </c>
      <c r="AM852" s="153" t="n">
        <f aca="false">IF(AND($N852="MND",$Q852="EMBOQUE"),$M852,IF(AND($N852="VCA",$Q852="LINEAR"),$M852,IF(AND($N852="VCA",$Q852="PREDIAL"),0,0)))</f>
        <v>77.61</v>
      </c>
      <c r="AN852" s="153" t="n">
        <f aca="false">ROUND(IF(AND($N852="VCA",$M852&lt;&gt;"",$Q852="LINEAR"),$M852/100,IF(AND($N852="MND",$M852&gt;100,$Q852="EMBOQUE"),$M852/100,0)),0)</f>
        <v>1</v>
      </c>
      <c r="AO852" s="153" t="n">
        <f aca="false">IF(AND($N852="MND",$Q852="EMBOQUE"),$AN852*2*2,IF(AND($N852="VCA",$Q852="LINEAR"),$M852*2,IF(AND($N852="VCA",$Q852="PREDIAL"),0,0)))</f>
        <v>155.22</v>
      </c>
      <c r="AP852" s="153" t="n">
        <f aca="false">IFERROR($M852*$AF852*$AG852,0)</f>
        <v>68.7585795</v>
      </c>
      <c r="AQ852" s="153" t="n">
        <f aca="false">IFERROR(IF(AND($N852="VCA",$AH852&gt;0),$M852*$AG852*$AH852,0),0)</f>
        <v>5.04465</v>
      </c>
      <c r="AR852" s="153" t="n">
        <f aca="false">IFERROR(IF(AND($N852="VCA",$AJ852&gt;0),($M852*$AG852*$AJ852)-$AI852,0),0)</f>
        <v>18.0701500914502</v>
      </c>
      <c r="AS852" s="153" t="n">
        <f aca="false">IFERROR(IF(AND($N852="VCA",$AP852&gt;0),$AP852-$AI852-$AQ852-$AR852,0),0)</f>
        <v>45.40185</v>
      </c>
      <c r="AT852" s="153" t="n">
        <f aca="false">IFERROR(IF($N852="VCA",INDEX(APOIO_REDES!$A:$W,MATCH($C852&amp;$I852&amp;$H852&amp;$N852&amp;$O852,APOIO_REDES!$W:$W,0),MATCH(AT$5,APOIO_REDES!$5:$5,0)),0)*$AP852,0)</f>
        <v>0.748113696460692</v>
      </c>
      <c r="AU852" s="153" t="n">
        <f aca="false">IFERROR(IF($N852="VCA",INDEX(APOIO_REDES!$A:$W,MATCH($C852&amp;$I852&amp;$H852&amp;$N852&amp;$O852,APOIO_REDES!$W:$W,0),MATCH(AU$5,APOIO_REDES!$5:$5,0)),0)*$AP852,0)</f>
        <v>0.597423336505036</v>
      </c>
      <c r="AV852" s="153" t="n">
        <f aca="false">IFERROR(IF($N852="VCA",INDEX(APOIO_REDES!$A:$W,MATCH($C852&amp;$I852&amp;$H852&amp;$N852&amp;$O852,APOIO_REDES!$W:$W,0),MATCH(AV$5,APOIO_REDES!$5:$5,0)),0)*$AP852,0)</f>
        <v>0.0826786998152213</v>
      </c>
      <c r="AW852" s="153" t="n">
        <f aca="false">IFERROR(IF($N852="VCA",INDEX(APOIO_REDES!$A:$W,MATCH($C852&amp;$I852&amp;$H852&amp;$N852&amp;$O852,APOIO_REDES!$W:$W,0),MATCH(AW$5,APOIO_REDES!$5:$5,0)),0)*$AP852,0)</f>
        <v>47.1964217362717</v>
      </c>
      <c r="AX852" s="153" t="n">
        <f aca="false">IFERROR(IF($N852="VCA",INDEX(APOIO_REDES!$A:$W,MATCH($C852&amp;$I852&amp;$H852&amp;$N852&amp;$O852,APOIO_REDES!$W:$W,0),MATCH(AX$5,APOIO_REDES!$5:$5,0)),0)*$AP852,0)</f>
        <v>6.53185032674786</v>
      </c>
      <c r="AY852" s="153" t="n">
        <f aca="false">IFERROR(IF($N852="VCA",INDEX(APOIO_REDES!$A:$W,MATCH($C852&amp;$I852&amp;$H852&amp;$N852&amp;$O852,APOIO_REDES!$W:$W,0),MATCH(AY$5,APOIO_REDES!$5:$5,0)),0)*$AP852,0)</f>
        <v>11.9484594475587</v>
      </c>
      <c r="AZ852" s="153" t="n">
        <f aca="false">IFERROR(IF($N852="VCA",INDEX(APOIO_REDES!$A:$W,MATCH($C852&amp;$I852&amp;$H852&amp;$N852&amp;$O852,APOIO_REDES!$W:$W,0),MATCH(AZ$5,APOIO_REDES!$5:$5,0)),0)*$AP852,0)</f>
        <v>1.65363225664077</v>
      </c>
      <c r="BA852" s="153" t="n">
        <f aca="false">IFERROR(IF(AND($N852="VCA",$Q852="LINEAR"),INDEX(APOIO_REDES!$A:$W,MATCH($C852&amp;$I852&amp;$H852&amp;$N852&amp;$O852,APOIO_REDES!$W:$W,0),MATCH(BA$5,APOIO_REDES!$5:$5,0)),IF(AND($N852="MND",$Q852="EMBOQUE"),INDEX(APOIO_REDES!$A:$W,MATCH($C852&amp;$I852&amp;$H852&amp;$N852&amp;$O852,APOIO_REDES!$W:$W,0),MATCH(BA$5,APOIO_REDES!$5:$5,0)),0))*$M852/10,0)</f>
        <v>6.25517023496675</v>
      </c>
      <c r="BB852" s="153" t="n">
        <f aca="false">IFERROR(IF($N852="VCA",INDEX(APOIO_REDES!$A:$W,MATCH($C852&amp;$I852&amp;$H852&amp;$N852&amp;$O852,APOIO_REDES!$W:$W,0),MATCH(BB$5,APOIO_REDES!$5:$5,0)),0)*($AI852+$AQ852+$AR852),0)</f>
        <v>23.102601369801</v>
      </c>
      <c r="BC852" s="153" t="n">
        <f aca="false">IFERROR(IF($N852="VCA",INDEX(APOIO_REDES!$A:$W,MATCH($C852&amp;$I852&amp;$H852&amp;$N852&amp;$O852,APOIO_REDES!$W:$W,0),MATCH(BC$5,APOIO_REDES!$5:$5,0)),0)*($AI852+$AQ852+$AR852),0)</f>
        <v>0.254128130199047</v>
      </c>
      <c r="BD852" s="153" t="n">
        <f aca="false">IF(AND($N852="VCA",$AF852&gt;=1.25,$AF852&lt;1.5),$M852*$AF852*2,0)</f>
        <v>211.56486</v>
      </c>
      <c r="BE852" s="153" t="n">
        <f aca="false">IF(AND($N852="VCA",$AF852&gt;=1.5,$AF852&lt;3),$M852*$AF852*2,0)</f>
        <v>0</v>
      </c>
      <c r="BF852" s="153" t="n">
        <f aca="false">IF(AND($N852="VCA",$AF852&gt;=3),$M852*$AF852*2,0)</f>
        <v>0</v>
      </c>
      <c r="BG852" s="153" t="n">
        <f aca="false">($BB852+$BC852)*$AK852</f>
        <v>63.06316965</v>
      </c>
      <c r="BH852" s="153" t="n">
        <f aca="false">IF(AND($M852&lt;&gt;"",$N852="VCA",$Q852="LINEAR"),($M852*2)/100,IF(AND($M852&lt;&gt;"",$N852="MND",$Q852="EMBOQUE"),($AN852*2)/100,0))</f>
        <v>1.5522</v>
      </c>
      <c r="BI852" s="153" t="n">
        <f aca="false">IF(AND($M852&lt;&gt;"",$N852="VCA",$Q852="LINEAR"),$M852,IF(AND($M852&lt;&gt;"",$N852="MND",$Q852="EMBOQUE"),$AN852*2,0))</f>
        <v>77.61</v>
      </c>
      <c r="BJ852" s="153" t="n">
        <f aca="false">IF(AND($M852&lt;&gt;"",$N852="VCA",$Q852="LINEAR"),($M852*6.8)/100,IF(AND($M852&lt;&gt;"",$N852="MND",$Q852="EMBOQUE"),($AN852*2*6.8)/100,0))</f>
        <v>5.27748</v>
      </c>
      <c r="BK852" s="153" t="n">
        <f aca="false">IF(AND($M852&lt;&gt;"",$N852="VCA",$Q852="LINEAR"),($M852*2.5)/50,IF(AND($M852&lt;&gt;"",$N852="MND",$Q852="EMBOQUE"),($AN852*2*2.5)/50,0))</f>
        <v>3.8805</v>
      </c>
      <c r="BL852" s="157" t="str">
        <f aca="false">K852&amp;J852</f>
        <v>Zona07REDES</v>
      </c>
      <c r="BM852" s="152" t="s">
        <v>4225</v>
      </c>
      <c r="BN852" s="152" t="s">
        <v>1560</v>
      </c>
      <c r="BO852" s="152" t="s">
        <v>4725</v>
      </c>
      <c r="BP852" s="152" t="s">
        <v>4784</v>
      </c>
      <c r="BQ852" s="152" t="s">
        <v>4753</v>
      </c>
      <c r="BR852" s="152" t="s">
        <v>4785</v>
      </c>
      <c r="BS852" s="152" t="n">
        <v>204958.811</v>
      </c>
      <c r="BT852" s="152" t="n">
        <v>8236620.701</v>
      </c>
      <c r="BU852" s="152" t="n">
        <v>204938.396</v>
      </c>
      <c r="BV852" s="152" t="n">
        <v>8236695.561</v>
      </c>
      <c r="BW852" s="152" t="n">
        <v>-15.9318152</v>
      </c>
      <c r="BX852" s="152" t="n">
        <v>-47.7558704</v>
      </c>
      <c r="BY852" s="152" t="s">
        <v>4784</v>
      </c>
    </row>
    <row r="853" customFormat="false" ht="13.8" hidden="false" customHeight="false" outlineLevel="0" collapsed="false">
      <c r="A853" s="149" t="n">
        <f aca="false">IF(C853&lt;&gt;"",ROW(A848),"")</f>
        <v>848</v>
      </c>
      <c r="B853" s="150" t="str">
        <f aca="false">HYPERLINK("https://www.google.com/maps/dir/-15.917302,-47.760003/-15.9319452,-47.7606037/data=!4m3!4m2!3e0!5i1")</f>
        <v>https://www.google.com/maps/dir/-15.917302,-47.760003/-15.9319452,-47.7606037/data=!4m3!4m2!3e0!5i1</v>
      </c>
      <c r="C853" s="151" t="s">
        <v>117</v>
      </c>
      <c r="D853" s="152" t="s">
        <v>112</v>
      </c>
      <c r="E853" s="152" t="s">
        <v>113</v>
      </c>
      <c r="F853" s="152" t="s">
        <v>117</v>
      </c>
      <c r="G853" s="152" t="s">
        <v>782</v>
      </c>
      <c r="H853" s="152" t="n">
        <v>63</v>
      </c>
      <c r="I853" s="152" t="s">
        <v>115</v>
      </c>
      <c r="J853" s="152" t="s">
        <v>6</v>
      </c>
      <c r="K853" s="152" t="s">
        <v>4221</v>
      </c>
      <c r="L853" s="152" t="s">
        <v>120</v>
      </c>
      <c r="M853" s="153" t="n">
        <f aca="false">9.03</f>
        <v>9.03</v>
      </c>
      <c r="N853" s="152" t="s">
        <v>1548</v>
      </c>
      <c r="O853" s="152" t="s">
        <v>1549</v>
      </c>
      <c r="P853" s="152" t="s">
        <v>1550</v>
      </c>
      <c r="Q853" s="152" t="s">
        <v>1551</v>
      </c>
      <c r="R853" s="154" t="s">
        <v>4786</v>
      </c>
      <c r="S853" s="154" t="s">
        <v>1553</v>
      </c>
      <c r="T853" s="155" t="s">
        <v>4723</v>
      </c>
      <c r="U853" s="152" t="str">
        <f aca="false">RIGHT(T853,7)</f>
        <v>020/037</v>
      </c>
      <c r="V853" s="152" t="s">
        <v>1555</v>
      </c>
      <c r="W853" s="156" t="n">
        <v>45882</v>
      </c>
      <c r="X853" s="152" t="s">
        <v>3938</v>
      </c>
      <c r="Y853" s="152" t="s">
        <v>4756</v>
      </c>
      <c r="Z853" s="152" t="s">
        <v>1557</v>
      </c>
      <c r="AA853" s="153" t="n">
        <v>3.2</v>
      </c>
      <c r="AB853" s="151" t="s">
        <v>4787</v>
      </c>
      <c r="AC853" s="151" t="s">
        <v>186</v>
      </c>
      <c r="AD853" s="151" t="str">
        <f aca="false">CONCATENATE($C853,$I853,$H853,$N853,$J853,$K853)</f>
        <v>TUBO PEADPEAD63VCAREDESZona07</v>
      </c>
      <c r="AE853" s="153" t="n">
        <f aca="false">IFERROR(INDEX(APOIO_REDES!$A:$W,MATCH($C853&amp;$I853&amp;$H853&amp;$N853&amp;$O853,APOIO_REDES!$W:$W,0),MATCH(AE$5,APOIO_REDES!$5:$5,0)),0)</f>
        <v>1.2</v>
      </c>
      <c r="AF853" s="153" t="n">
        <f aca="false">IFERROR(INDEX(APOIO_REDES!$A:$W,MATCH($C853&amp;$I853&amp;$H853&amp;$N853&amp;$O853,APOIO_REDES!$W:$W,0),MATCH(AF$5,APOIO_REDES!$5:$5,0)),0)</f>
        <v>1.363</v>
      </c>
      <c r="AG853" s="153" t="n">
        <f aca="false">IFERROR(INDEX(APOIO_REDES!$A:$W,MATCH($C853&amp;$I853&amp;$H853&amp;$N853&amp;$O853,APOIO_REDES!$W:$W,0),MATCH(AG$5,APOIO_REDES!$5:$5,0)),0)</f>
        <v>0.65</v>
      </c>
      <c r="AH853" s="153" t="n">
        <f aca="false">IFERROR(INDEX(APOIO_REDES!$A:$W,MATCH($C853&amp;$I853&amp;$H853&amp;$N853&amp;$O853,APOIO_REDES!$W:$W,0),MATCH(AH$5,APOIO_REDES!$5:$5,0)),0)</f>
        <v>0.1</v>
      </c>
      <c r="AI853" s="153" t="n">
        <f aca="false">IFERROR(IF($H853&lt;&gt;"",(((($H853/1000)/2)^2)*PI()*$M853),0),0)</f>
        <v>0.028148725154036</v>
      </c>
      <c r="AJ853" s="153" t="n">
        <f aca="false">IFERROR(IF(AND($H853&lt;&gt;"",$I853="FoFo",OR($N853="MND",$N853="VCA"),$Q853="LINEAR"),0,IF(AND($H853&lt;&gt;"",$I853="PEAD",$N853="VCA",$Q853="LINEAR"),($H853/1000)+0.3,IF(AND($H853&lt;&gt;"",$I853="PEAD",$N853="MND",$Q853="EMBOQUE"),0,IF(AND($H853&lt;&gt;"",$I853="PVC",$N853="VCA",$Q853="LINEAR"),($H853/1000)+0.2,IF(AND($H853&lt;&gt;"",$I853="PVC",$N853="MND",$Q853="EMBOQUE"),0,IF(AND($H853&lt;&gt;"",$I853="PEAD",$N853="VCA",$Q853="PREDIAL"),0,0)))))),0)</f>
        <v>0.363</v>
      </c>
      <c r="AK853" s="153" t="n">
        <f aca="false">IF(AA853&lt;&gt;"",AA853,0)</f>
        <v>3.2</v>
      </c>
      <c r="AL853" s="153" t="n">
        <f aca="false">IF(AND($N853="MND",$Q853="EMBOQUE"),$M853,IF(AND($N853="VCA",$Q853="LINEAR"),$M853,IF(AND($N853="VCA",$Q853="PREDIAL"),0,0)))</f>
        <v>9.03</v>
      </c>
      <c r="AM853" s="153" t="n">
        <f aca="false">IF(AND($N853="MND",$Q853="EMBOQUE"),$M853,IF(AND($N853="VCA",$Q853="LINEAR"),$M853,IF(AND($N853="VCA",$Q853="PREDIAL"),0,0)))</f>
        <v>9.03</v>
      </c>
      <c r="AN853" s="153" t="n">
        <f aca="false">ROUND(IF(AND($N853="VCA",$M853&lt;&gt;"",$Q853="LINEAR"),$M853/100,IF(AND($N853="MND",$M853&gt;100,$Q853="EMBOQUE"),$M853/100,0)),0)</f>
        <v>0</v>
      </c>
      <c r="AO853" s="153" t="n">
        <f aca="false">IF(AND($N853="MND",$Q853="EMBOQUE"),$AN853*2*2,IF(AND($N853="VCA",$Q853="LINEAR"),$M853*2,IF(AND($N853="VCA",$Q853="PREDIAL"),0,0)))</f>
        <v>18.06</v>
      </c>
      <c r="AP853" s="153" t="n">
        <f aca="false">IFERROR($M853*$AF853*$AG853,0)</f>
        <v>8.0001285</v>
      </c>
      <c r="AQ853" s="153" t="n">
        <f aca="false">IFERROR(IF(AND($N853="VCA",$AH853&gt;0),$M853*$AG853*$AH853,0),0)</f>
        <v>0.58695</v>
      </c>
      <c r="AR853" s="153" t="n">
        <f aca="false">IFERROR(IF(AND($N853="VCA",$AJ853&gt;0),($M853*$AG853*$AJ853)-$AI853,0),0)</f>
        <v>2.10247977484596</v>
      </c>
      <c r="AS853" s="153" t="n">
        <f aca="false">IFERROR(IF(AND($N853="VCA",$AP853&gt;0),$AP853-$AI853-$AQ853-$AR853,0),0)</f>
        <v>5.28255</v>
      </c>
      <c r="AT853" s="153" t="n">
        <f aca="false">IFERROR(IF($N853="VCA",INDEX(APOIO_REDES!$A:$W,MATCH($C853&amp;$I853&amp;$H853&amp;$N853&amp;$O853,APOIO_REDES!$W:$W,0),MATCH(AT$5,APOIO_REDES!$5:$5,0)),0)*$AP853,0)</f>
        <v>0.0870437659971659</v>
      </c>
      <c r="AU853" s="153" t="n">
        <f aca="false">IFERROR(IF($N853="VCA",INDEX(APOIO_REDES!$A:$W,MATCH($C853&amp;$I853&amp;$H853&amp;$N853&amp;$O853,APOIO_REDES!$W:$W,0),MATCH(AU$5,APOIO_REDES!$5:$5,0)),0)*$AP853,0)</f>
        <v>0.0695107940811813</v>
      </c>
      <c r="AV853" s="153" t="n">
        <f aca="false">IFERROR(IF($N853="VCA",INDEX(APOIO_REDES!$A:$W,MATCH($C853&amp;$I853&amp;$H853&amp;$N853&amp;$O853,APOIO_REDES!$W:$W,0),MATCH(AV$5,APOIO_REDES!$5:$5,0)),0)*$AP853,0)</f>
        <v>0.00961974821970684</v>
      </c>
      <c r="AW853" s="153" t="n">
        <f aca="false">IFERROR(IF($N853="VCA",INDEX(APOIO_REDES!$A:$W,MATCH($C853&amp;$I853&amp;$H853&amp;$N853&amp;$O853,APOIO_REDES!$W:$W,0),MATCH(AW$5,APOIO_REDES!$5:$5,0)),0)*$AP853,0)</f>
        <v>5.49135019042048</v>
      </c>
      <c r="AX853" s="153" t="n">
        <f aca="false">IFERROR(IF($N853="VCA",INDEX(APOIO_REDES!$A:$W,MATCH($C853&amp;$I853&amp;$H853&amp;$N853&amp;$O853,APOIO_REDES!$W:$W,0),MATCH(AX$5,APOIO_REDES!$5:$5,0)),0)*$AP853,0)</f>
        <v>0.759987223947084</v>
      </c>
      <c r="AY853" s="153" t="n">
        <f aca="false">IFERROR(IF($N853="VCA",INDEX(APOIO_REDES!$A:$W,MATCH($C853&amp;$I853&amp;$H853&amp;$N853&amp;$O853,APOIO_REDES!$W:$W,0),MATCH(AY$5,APOIO_REDES!$5:$5,0)),0)*$AP853,0)</f>
        <v>1.39021503429268</v>
      </c>
      <c r="AZ853" s="153" t="n">
        <f aca="false">IFERROR(IF($N853="VCA",INDEX(APOIO_REDES!$A:$W,MATCH($C853&amp;$I853&amp;$H853&amp;$N853&amp;$O853,APOIO_REDES!$W:$W,0),MATCH(AZ$5,APOIO_REDES!$5:$5,0)),0)*$AP853,0)</f>
        <v>0.192401743041698</v>
      </c>
      <c r="BA853" s="153" t="n">
        <f aca="false">IFERROR(IF(AND($N853="VCA",$Q853="LINEAR"),INDEX(APOIO_REDES!$A:$W,MATCH($C853&amp;$I853&amp;$H853&amp;$N853&amp;$O853,APOIO_REDES!$W:$W,0),MATCH(BA$5,APOIO_REDES!$5:$5,0)),IF(AND($N853="MND",$Q853="EMBOQUE"),INDEX(APOIO_REDES!$A:$W,MATCH($C853&amp;$I853&amp;$H853&amp;$N853&amp;$O853,APOIO_REDES!$W:$W,0),MATCH(BA$5,APOIO_REDES!$5:$5,0)),0))*$M853/10,0)</f>
        <v>0.727795222545416</v>
      </c>
      <c r="BB853" s="153" t="n">
        <f aca="false">IFERROR(IF($N853="VCA",INDEX(APOIO_REDES!$A:$W,MATCH($C853&amp;$I853&amp;$H853&amp;$N853&amp;$O853,APOIO_REDES!$W:$W,0),MATCH(BB$5,APOIO_REDES!$5:$5,0)),0)*($AI853+$AQ853+$AR853),0)</f>
        <v>2.68801044155782</v>
      </c>
      <c r="BC853" s="153" t="n">
        <f aca="false">IFERROR(IF($N853="VCA",INDEX(APOIO_REDES!$A:$W,MATCH($C853&amp;$I853&amp;$H853&amp;$N853&amp;$O853,APOIO_REDES!$W:$W,0),MATCH(BC$5,APOIO_REDES!$5:$5,0)),0)*($AI853+$AQ853+$AR853),0)</f>
        <v>0.0295680584421774</v>
      </c>
      <c r="BD853" s="153" t="n">
        <f aca="false">IF(AND($N853="VCA",$AF853&gt;=1.25,$AF853&lt;1.5),$M853*$AF853*2,0)</f>
        <v>24.61578</v>
      </c>
      <c r="BE853" s="153" t="n">
        <f aca="false">IF(AND($N853="VCA",$AF853&gt;=1.5,$AF853&lt;3),$M853*$AF853*2,0)</f>
        <v>0</v>
      </c>
      <c r="BF853" s="153" t="n">
        <f aca="false">IF(AND($N853="VCA",$AF853&gt;=3),$M853*$AF853*2,0)</f>
        <v>0</v>
      </c>
      <c r="BG853" s="153" t="n">
        <f aca="false">($BB853+$BC853)*$AK853</f>
        <v>8.6962512</v>
      </c>
      <c r="BH853" s="153" t="n">
        <f aca="false">IF(AND($M853&lt;&gt;"",$N853="VCA",$Q853="LINEAR"),($M853*2)/100,IF(AND($M853&lt;&gt;"",$N853="MND",$Q853="EMBOQUE"),($AN853*2)/100,0))</f>
        <v>0.1806</v>
      </c>
      <c r="BI853" s="153" t="n">
        <f aca="false">IF(AND($M853&lt;&gt;"",$N853="VCA",$Q853="LINEAR"),$M853,IF(AND($M853&lt;&gt;"",$N853="MND",$Q853="EMBOQUE"),$AN853*2,0))</f>
        <v>9.03</v>
      </c>
      <c r="BJ853" s="153" t="n">
        <f aca="false">IF(AND($M853&lt;&gt;"",$N853="VCA",$Q853="LINEAR"),($M853*6.8)/100,IF(AND($M853&lt;&gt;"",$N853="MND",$Q853="EMBOQUE"),($AN853*2*6.8)/100,0))</f>
        <v>0.61404</v>
      </c>
      <c r="BK853" s="153" t="n">
        <f aca="false">IF(AND($M853&lt;&gt;"",$N853="VCA",$Q853="LINEAR"),($M853*2.5)/50,IF(AND($M853&lt;&gt;"",$N853="MND",$Q853="EMBOQUE"),($AN853*2*2.5)/50,0))</f>
        <v>0.4515</v>
      </c>
      <c r="BL853" s="157" t="str">
        <f aca="false">K853&amp;J853</f>
        <v>Zona07REDES</v>
      </c>
      <c r="BM853" s="152" t="s">
        <v>4225</v>
      </c>
      <c r="BN853" s="152" t="s">
        <v>1560</v>
      </c>
      <c r="BO853" s="152" t="s">
        <v>4725</v>
      </c>
      <c r="BP853" s="152" t="s">
        <v>4781</v>
      </c>
      <c r="BQ853" s="152" t="s">
        <v>4788</v>
      </c>
      <c r="BR853" s="152" t="s">
        <v>4766</v>
      </c>
      <c r="BS853" s="152" t="n">
        <v>204441.113</v>
      </c>
      <c r="BT853" s="152" t="n">
        <v>8236636.873</v>
      </c>
      <c r="BU853" s="152" t="n">
        <v>204432.66</v>
      </c>
      <c r="BV853" s="152" t="n">
        <v>8236633.704</v>
      </c>
      <c r="BW853" s="152" t="n">
        <v>-15.931959</v>
      </c>
      <c r="BX853" s="152" t="n">
        <v>-47.7606434</v>
      </c>
      <c r="BY853" s="152" t="s">
        <v>4781</v>
      </c>
    </row>
    <row r="854" customFormat="false" ht="13.8" hidden="false" customHeight="false" outlineLevel="0" collapsed="false">
      <c r="A854" s="149" t="n">
        <f aca="false">IF(C854&lt;&gt;"",ROW(A849),"")</f>
        <v>849</v>
      </c>
      <c r="B854" s="150" t="str">
        <f aca="false">HYPERLINK("https://www.google.com/maps/dir/-15.917302,-47.760003/-15.9319728,-47.7606830/data=!4m3!4m2!3e0!5i1")</f>
        <v>https://www.google.com/maps/dir/-15.917302,-47.760003/-15.9319728,-47.7606830/data=!4m3!4m2!3e0!5i1</v>
      </c>
      <c r="C854" s="151" t="s">
        <v>117</v>
      </c>
      <c r="D854" s="152" t="s">
        <v>112</v>
      </c>
      <c r="E854" s="152" t="s">
        <v>113</v>
      </c>
      <c r="F854" s="152" t="s">
        <v>117</v>
      </c>
      <c r="G854" s="152" t="s">
        <v>782</v>
      </c>
      <c r="H854" s="152" t="n">
        <v>63</v>
      </c>
      <c r="I854" s="152" t="s">
        <v>115</v>
      </c>
      <c r="J854" s="152" t="s">
        <v>6</v>
      </c>
      <c r="K854" s="152" t="s">
        <v>4221</v>
      </c>
      <c r="L854" s="152" t="s">
        <v>120</v>
      </c>
      <c r="M854" s="153" t="n">
        <f aca="false">26.18</f>
        <v>26.18</v>
      </c>
      <c r="N854" s="152" t="s">
        <v>1548</v>
      </c>
      <c r="O854" s="152" t="s">
        <v>1549</v>
      </c>
      <c r="P854" s="152" t="s">
        <v>1550</v>
      </c>
      <c r="Q854" s="152" t="s">
        <v>1551</v>
      </c>
      <c r="R854" s="154" t="s">
        <v>4789</v>
      </c>
      <c r="S854" s="154" t="s">
        <v>1553</v>
      </c>
      <c r="T854" s="155" t="s">
        <v>4723</v>
      </c>
      <c r="U854" s="152" t="str">
        <f aca="false">RIGHT(T854,7)</f>
        <v>020/037</v>
      </c>
      <c r="V854" s="152" t="s">
        <v>1555</v>
      </c>
      <c r="W854" s="156" t="n">
        <v>45882</v>
      </c>
      <c r="X854" s="152" t="s">
        <v>3938</v>
      </c>
      <c r="Y854" s="152" t="s">
        <v>4756</v>
      </c>
      <c r="Z854" s="152" t="s">
        <v>1557</v>
      </c>
      <c r="AA854" s="153" t="n">
        <v>3.3</v>
      </c>
      <c r="AB854" s="151" t="s">
        <v>4790</v>
      </c>
      <c r="AC854" s="151" t="s">
        <v>186</v>
      </c>
      <c r="AD854" s="151" t="str">
        <f aca="false">CONCATENATE($C854,$I854,$H854,$N854,$J854,$K854)</f>
        <v>TUBO PEADPEAD63VCAREDESZona07</v>
      </c>
      <c r="AE854" s="153" t="n">
        <f aca="false">IFERROR(INDEX(APOIO_REDES!$A:$W,MATCH($C854&amp;$I854&amp;$H854&amp;$N854&amp;$O854,APOIO_REDES!$W:$W,0),MATCH(AE$5,APOIO_REDES!$5:$5,0)),0)</f>
        <v>1.2</v>
      </c>
      <c r="AF854" s="153" t="n">
        <f aca="false">IFERROR(INDEX(APOIO_REDES!$A:$W,MATCH($C854&amp;$I854&amp;$H854&amp;$N854&amp;$O854,APOIO_REDES!$W:$W,0),MATCH(AF$5,APOIO_REDES!$5:$5,0)),0)</f>
        <v>1.363</v>
      </c>
      <c r="AG854" s="153" t="n">
        <f aca="false">IFERROR(INDEX(APOIO_REDES!$A:$W,MATCH($C854&amp;$I854&amp;$H854&amp;$N854&amp;$O854,APOIO_REDES!$W:$W,0),MATCH(AG$5,APOIO_REDES!$5:$5,0)),0)</f>
        <v>0.65</v>
      </c>
      <c r="AH854" s="153" t="n">
        <f aca="false">IFERROR(INDEX(APOIO_REDES!$A:$W,MATCH($C854&amp;$I854&amp;$H854&amp;$N854&amp;$O854,APOIO_REDES!$W:$W,0),MATCH(AH$5,APOIO_REDES!$5:$5,0)),0)</f>
        <v>0.1</v>
      </c>
      <c r="AI854" s="153" t="n">
        <f aca="false">IFERROR(IF($H854&lt;&gt;"",(((($H854/1000)/2)^2)*PI()*$M854),0),0)</f>
        <v>0.0816094822295307</v>
      </c>
      <c r="AJ854" s="153" t="n">
        <f aca="false">IFERROR(IF(AND($H854&lt;&gt;"",$I854="FoFo",OR($N854="MND",$N854="VCA"),$Q854="LINEAR"),0,IF(AND($H854&lt;&gt;"",$I854="PEAD",$N854="VCA",$Q854="LINEAR"),($H854/1000)+0.3,IF(AND($H854&lt;&gt;"",$I854="PEAD",$N854="MND",$Q854="EMBOQUE"),0,IF(AND($H854&lt;&gt;"",$I854="PVC",$N854="VCA",$Q854="LINEAR"),($H854/1000)+0.2,IF(AND($H854&lt;&gt;"",$I854="PVC",$N854="MND",$Q854="EMBOQUE"),0,IF(AND($H854&lt;&gt;"",$I854="PEAD",$N854="VCA",$Q854="PREDIAL"),0,0)))))),0)</f>
        <v>0.363</v>
      </c>
      <c r="AK854" s="153" t="n">
        <f aca="false">IF(AA854&lt;&gt;"",AA854,0)</f>
        <v>3.3</v>
      </c>
      <c r="AL854" s="153" t="n">
        <f aca="false">IF(AND($N854="MND",$Q854="EMBOQUE"),$M854,IF(AND($N854="VCA",$Q854="LINEAR"),$M854,IF(AND($N854="VCA",$Q854="PREDIAL"),0,0)))</f>
        <v>26.18</v>
      </c>
      <c r="AM854" s="153" t="n">
        <f aca="false">IF(AND($N854="MND",$Q854="EMBOQUE"),$M854,IF(AND($N854="VCA",$Q854="LINEAR"),$M854,IF(AND($N854="VCA",$Q854="PREDIAL"),0,0)))</f>
        <v>26.18</v>
      </c>
      <c r="AN854" s="153" t="n">
        <f aca="false">ROUND(IF(AND($N854="VCA",$M854&lt;&gt;"",$Q854="LINEAR"),$M854/100,IF(AND($N854="MND",$M854&gt;100,$Q854="EMBOQUE"),$M854/100,0)),0)</f>
        <v>0</v>
      </c>
      <c r="AO854" s="153" t="n">
        <f aca="false">IF(AND($N854="MND",$Q854="EMBOQUE"),$AN854*2*2,IF(AND($N854="VCA",$Q854="LINEAR"),$M854*2,IF(AND($N854="VCA",$Q854="PREDIAL"),0,0)))</f>
        <v>52.36</v>
      </c>
      <c r="AP854" s="153" t="n">
        <f aca="false">IFERROR($M854*$AF854*$AG854,0)</f>
        <v>23.194171</v>
      </c>
      <c r="AQ854" s="153" t="n">
        <f aca="false">IFERROR(IF(AND($N854="VCA",$AH854&gt;0),$M854*$AG854*$AH854,0),0)</f>
        <v>1.7017</v>
      </c>
      <c r="AR854" s="153" t="n">
        <f aca="false">IFERROR(IF(AND($N854="VCA",$AJ854&gt;0),($M854*$AG854*$AJ854)-$AI854,0),0)</f>
        <v>6.09556151777047</v>
      </c>
      <c r="AS854" s="153" t="n">
        <f aca="false">IFERROR(IF(AND($N854="VCA",$AP854&gt;0),$AP854-$AI854-$AQ854-$AR854,0),0)</f>
        <v>15.3153</v>
      </c>
      <c r="AT854" s="153" t="n">
        <f aca="false">IFERROR(IF($N854="VCA",INDEX(APOIO_REDES!$A:$W,MATCH($C854&amp;$I854&amp;$H854&amp;$N854&amp;$O854,APOIO_REDES!$W:$W,0),MATCH(AT$5,APOIO_REDES!$5:$5,0)),0)*$AP854,0)</f>
        <v>0.252359445604187</v>
      </c>
      <c r="AU854" s="153" t="n">
        <f aca="false">IFERROR(IF($N854="VCA",INDEX(APOIO_REDES!$A:$W,MATCH($C854&amp;$I854&amp;$H854&amp;$N854&amp;$O854,APOIO_REDES!$W:$W,0),MATCH(AU$5,APOIO_REDES!$5:$5,0)),0)*$AP854,0)</f>
        <v>0.201527418498929</v>
      </c>
      <c r="AV854" s="153" t="n">
        <f aca="false">IFERROR(IF($N854="VCA",INDEX(APOIO_REDES!$A:$W,MATCH($C854&amp;$I854&amp;$H854&amp;$N854&amp;$O854,APOIO_REDES!$W:$W,0),MATCH(AV$5,APOIO_REDES!$5:$5,0)),0)*$AP854,0)</f>
        <v>0.0278898126679873</v>
      </c>
      <c r="AW854" s="153" t="n">
        <f aca="false">IFERROR(IF($N854="VCA",INDEX(APOIO_REDES!$A:$W,MATCH($C854&amp;$I854&amp;$H854&amp;$N854&amp;$O854,APOIO_REDES!$W:$W,0),MATCH(AW$5,APOIO_REDES!$5:$5,0)),0)*$AP854,0)</f>
        <v>15.9206586916067</v>
      </c>
      <c r="AX854" s="153" t="n">
        <f aca="false">IFERROR(IF($N854="VCA",INDEX(APOIO_REDES!$A:$W,MATCH($C854&amp;$I854&amp;$H854&amp;$N854&amp;$O854,APOIO_REDES!$W:$W,0),MATCH(AX$5,APOIO_REDES!$5:$5,0)),0)*$AP854,0)</f>
        <v>2.20337381206364</v>
      </c>
      <c r="AY854" s="153" t="n">
        <f aca="false">IFERROR(IF($N854="VCA",INDEX(APOIO_REDES!$A:$W,MATCH($C854&amp;$I854&amp;$H854&amp;$N854&amp;$O854,APOIO_REDES!$W:$W,0),MATCH(AY$5,APOIO_REDES!$5:$5,0)),0)*$AP854,0)</f>
        <v>4.03054591337568</v>
      </c>
      <c r="AZ854" s="153" t="n">
        <f aca="false">IFERROR(IF($N854="VCA",INDEX(APOIO_REDES!$A:$W,MATCH($C854&amp;$I854&amp;$H854&amp;$N854&amp;$O854,APOIO_REDES!$W:$W,0),MATCH(AZ$5,APOIO_REDES!$5:$5,0)),0)*$AP854,0)</f>
        <v>0.557815906182906</v>
      </c>
      <c r="BA854" s="153" t="n">
        <f aca="false">IFERROR(IF(AND($N854="VCA",$Q854="LINEAR"),INDEX(APOIO_REDES!$A:$W,MATCH($C854&amp;$I854&amp;$H854&amp;$N854&amp;$O854,APOIO_REDES!$W:$W,0),MATCH(BA$5,APOIO_REDES!$5:$5,0)),IF(AND($N854="MND",$Q854="EMBOQUE"),INDEX(APOIO_REDES!$A:$W,MATCH($C854&amp;$I854&amp;$H854&amp;$N854&amp;$O854,APOIO_REDES!$W:$W,0),MATCH(BA$5,APOIO_REDES!$5:$5,0)),0))*$M854/10,0)</f>
        <v>2.11004196303865</v>
      </c>
      <c r="BB854" s="153" t="n">
        <f aca="false">IFERROR(IF($N854="VCA",INDEX(APOIO_REDES!$A:$W,MATCH($C854&amp;$I854&amp;$H854&amp;$N854&amp;$O854,APOIO_REDES!$W:$W,0),MATCH(BB$5,APOIO_REDES!$5:$5,0)),0)*($AI854+$AQ854+$AR854),0)</f>
        <v>7.79314655149322</v>
      </c>
      <c r="BC854" s="153" t="n">
        <f aca="false">IFERROR(IF($N854="VCA",INDEX(APOIO_REDES!$A:$W,MATCH($C854&amp;$I854&amp;$H854&amp;$N854&amp;$O854,APOIO_REDES!$W:$W,0),MATCH(BC$5,APOIO_REDES!$5:$5,0)),0)*($AI854+$AQ854+$AR854),0)</f>
        <v>0.085724448506778</v>
      </c>
      <c r="BD854" s="153" t="n">
        <f aca="false">IF(AND($N854="VCA",$AF854&gt;=1.25,$AF854&lt;1.5),$M854*$AF854*2,0)</f>
        <v>71.36668</v>
      </c>
      <c r="BE854" s="153" t="n">
        <f aca="false">IF(AND($N854="VCA",$AF854&gt;=1.5,$AF854&lt;3),$M854*$AF854*2,0)</f>
        <v>0</v>
      </c>
      <c r="BF854" s="153" t="n">
        <f aca="false">IF(AND($N854="VCA",$AF854&gt;=3),$M854*$AF854*2,0)</f>
        <v>0</v>
      </c>
      <c r="BG854" s="153" t="n">
        <f aca="false">($BB854+$BC854)*$AK854</f>
        <v>26.0002743</v>
      </c>
      <c r="BH854" s="153" t="n">
        <f aca="false">IF(AND($M854&lt;&gt;"",$N854="VCA",$Q854="LINEAR"),($M854*2)/100,IF(AND($M854&lt;&gt;"",$N854="MND",$Q854="EMBOQUE"),($AN854*2)/100,0))</f>
        <v>0.5236</v>
      </c>
      <c r="BI854" s="153" t="n">
        <f aca="false">IF(AND($M854&lt;&gt;"",$N854="VCA",$Q854="LINEAR"),$M854,IF(AND($M854&lt;&gt;"",$N854="MND",$Q854="EMBOQUE"),$AN854*2,0))</f>
        <v>26.18</v>
      </c>
      <c r="BJ854" s="153" t="n">
        <f aca="false">IF(AND($M854&lt;&gt;"",$N854="VCA",$Q854="LINEAR"),($M854*6.8)/100,IF(AND($M854&lt;&gt;"",$N854="MND",$Q854="EMBOQUE"),($AN854*2*6.8)/100,0))</f>
        <v>1.78024</v>
      </c>
      <c r="BK854" s="153" t="n">
        <f aca="false">IF(AND($M854&lt;&gt;"",$N854="VCA",$Q854="LINEAR"),($M854*2.5)/50,IF(AND($M854&lt;&gt;"",$N854="MND",$Q854="EMBOQUE"),($AN854*2*2.5)/50,0))</f>
        <v>1.309</v>
      </c>
      <c r="BL854" s="157" t="str">
        <f aca="false">K854&amp;J854</f>
        <v>Zona07REDES</v>
      </c>
      <c r="BM854" s="152" t="s">
        <v>4225</v>
      </c>
      <c r="BN854" s="152" t="s">
        <v>1560</v>
      </c>
      <c r="BO854" s="152" t="s">
        <v>4725</v>
      </c>
      <c r="BP854" s="152" t="s">
        <v>4788</v>
      </c>
      <c r="BQ854" s="152" t="s">
        <v>2232</v>
      </c>
      <c r="BR854" s="152" t="s">
        <v>4766</v>
      </c>
      <c r="BS854" s="152" t="n">
        <v>204432.66</v>
      </c>
      <c r="BT854" s="152" t="n">
        <v>8236633.704</v>
      </c>
      <c r="BU854" s="152" t="n">
        <v>204442.383</v>
      </c>
      <c r="BV854" s="152" t="n">
        <v>8236609.397</v>
      </c>
      <c r="BW854" s="152" t="n">
        <v>-15.9320831</v>
      </c>
      <c r="BX854" s="152" t="n">
        <v>-47.7606391</v>
      </c>
      <c r="BY854" s="152" t="s">
        <v>4788</v>
      </c>
    </row>
    <row r="855" customFormat="false" ht="13.8" hidden="false" customHeight="false" outlineLevel="0" collapsed="false">
      <c r="A855" s="149" t="n">
        <f aca="false">IF(C855&lt;&gt;"",ROW(A850),"")</f>
        <v>850</v>
      </c>
      <c r="B855" s="150" t="str">
        <f aca="false">HYPERLINK("https://www.google.com/maps/dir/-15.917302,-47.760003/-15.9321531,-47.7557743/data=!4m3!4m2!3e0!5i1")</f>
        <v>https://www.google.com/maps/dir/-15.917302,-47.760003/-15.9321531,-47.7557743/data=!4m3!4m2!3e0!5i1</v>
      </c>
      <c r="C855" s="151" t="s">
        <v>117</v>
      </c>
      <c r="D855" s="152" t="s">
        <v>112</v>
      </c>
      <c r="E855" s="152" t="s">
        <v>113</v>
      </c>
      <c r="F855" s="152" t="s">
        <v>117</v>
      </c>
      <c r="G855" s="152" t="s">
        <v>782</v>
      </c>
      <c r="H855" s="152" t="n">
        <v>63</v>
      </c>
      <c r="I855" s="152" t="s">
        <v>115</v>
      </c>
      <c r="J855" s="152" t="s">
        <v>6</v>
      </c>
      <c r="K855" s="152" t="s">
        <v>4221</v>
      </c>
      <c r="L855" s="152" t="s">
        <v>120</v>
      </c>
      <c r="M855" s="153" t="n">
        <f aca="false">6</f>
        <v>6</v>
      </c>
      <c r="N855" s="152" t="s">
        <v>1548</v>
      </c>
      <c r="O855" s="152" t="s">
        <v>1549</v>
      </c>
      <c r="P855" s="152" t="s">
        <v>1550</v>
      </c>
      <c r="Q855" s="152" t="s">
        <v>1551</v>
      </c>
      <c r="R855" s="154" t="s">
        <v>4791</v>
      </c>
      <c r="S855" s="154" t="s">
        <v>1553</v>
      </c>
      <c r="T855" s="155" t="s">
        <v>4723</v>
      </c>
      <c r="U855" s="152" t="str">
        <f aca="false">RIGHT(T855,7)</f>
        <v>020/037</v>
      </c>
      <c r="V855" s="152" t="s">
        <v>1555</v>
      </c>
      <c r="W855" s="156" t="n">
        <v>45882</v>
      </c>
      <c r="X855" s="152" t="s">
        <v>3938</v>
      </c>
      <c r="Y855" s="152"/>
      <c r="Z855" s="152" t="s">
        <v>1557</v>
      </c>
      <c r="AA855" s="153" t="n">
        <v>2.7</v>
      </c>
      <c r="AB855" s="151" t="s">
        <v>4792</v>
      </c>
      <c r="AC855" s="151" t="s">
        <v>186</v>
      </c>
      <c r="AD855" s="151" t="str">
        <f aca="false">CONCATENATE($C855,$I855,$H855,$N855,$J855,$K855)</f>
        <v>TUBO PEADPEAD63VCAREDESZona07</v>
      </c>
      <c r="AE855" s="153" t="n">
        <f aca="false">IFERROR(INDEX(APOIO_REDES!$A:$W,MATCH($C855&amp;$I855&amp;$H855&amp;$N855&amp;$O855,APOIO_REDES!$W:$W,0),MATCH(AE$5,APOIO_REDES!$5:$5,0)),0)</f>
        <v>1.2</v>
      </c>
      <c r="AF855" s="153" t="n">
        <f aca="false">IFERROR(INDEX(APOIO_REDES!$A:$W,MATCH($C855&amp;$I855&amp;$H855&amp;$N855&amp;$O855,APOIO_REDES!$W:$W,0),MATCH(AF$5,APOIO_REDES!$5:$5,0)),0)</f>
        <v>1.363</v>
      </c>
      <c r="AG855" s="153" t="n">
        <f aca="false">IFERROR(INDEX(APOIO_REDES!$A:$W,MATCH($C855&amp;$I855&amp;$H855&amp;$N855&amp;$O855,APOIO_REDES!$W:$W,0),MATCH(AG$5,APOIO_REDES!$5:$5,0)),0)</f>
        <v>0.65</v>
      </c>
      <c r="AH855" s="153" t="n">
        <f aca="false">IFERROR(INDEX(APOIO_REDES!$A:$W,MATCH($C855&amp;$I855&amp;$H855&amp;$N855&amp;$O855,APOIO_REDES!$W:$W,0),MATCH(AH$5,APOIO_REDES!$5:$5,0)),0)</f>
        <v>0.1</v>
      </c>
      <c r="AI855" s="153" t="n">
        <f aca="false">IFERROR(IF($H855&lt;&gt;"",(((($H855/1000)/2)^2)*PI()*$M855),0),0)</f>
        <v>0.0187034718631468</v>
      </c>
      <c r="AJ855" s="153" t="n">
        <f aca="false">IFERROR(IF(AND($H855&lt;&gt;"",$I855="FoFo",OR($N855="MND",$N855="VCA"),$Q855="LINEAR"),0,IF(AND($H855&lt;&gt;"",$I855="PEAD",$N855="VCA",$Q855="LINEAR"),($H855/1000)+0.3,IF(AND($H855&lt;&gt;"",$I855="PEAD",$N855="MND",$Q855="EMBOQUE"),0,IF(AND($H855&lt;&gt;"",$I855="PVC",$N855="VCA",$Q855="LINEAR"),($H855/1000)+0.2,IF(AND($H855&lt;&gt;"",$I855="PVC",$N855="MND",$Q855="EMBOQUE"),0,IF(AND($H855&lt;&gt;"",$I855="PEAD",$N855="VCA",$Q855="PREDIAL"),0,0)))))),0)</f>
        <v>0.363</v>
      </c>
      <c r="AK855" s="153" t="n">
        <f aca="false">IF(AA855&lt;&gt;"",AA855,0)</f>
        <v>2.7</v>
      </c>
      <c r="AL855" s="153" t="n">
        <f aca="false">IF(AND($N855="MND",$Q855="EMBOQUE"),$M855,IF(AND($N855="VCA",$Q855="LINEAR"),$M855,IF(AND($N855="VCA",$Q855="PREDIAL"),0,0)))</f>
        <v>6</v>
      </c>
      <c r="AM855" s="153" t="n">
        <f aca="false">IF(AND($N855="MND",$Q855="EMBOQUE"),$M855,IF(AND($N855="VCA",$Q855="LINEAR"),$M855,IF(AND($N855="VCA",$Q855="PREDIAL"),0,0)))</f>
        <v>6</v>
      </c>
      <c r="AN855" s="153" t="n">
        <f aca="false">ROUND(IF(AND($N855="VCA",$M855&lt;&gt;"",$Q855="LINEAR"),$M855/100,IF(AND($N855="MND",$M855&gt;100,$Q855="EMBOQUE"),$M855/100,0)),0)</f>
        <v>0</v>
      </c>
      <c r="AO855" s="153" t="n">
        <f aca="false">IF(AND($N855="MND",$Q855="EMBOQUE"),$AN855*2*2,IF(AND($N855="VCA",$Q855="LINEAR"),$M855*2,IF(AND($N855="VCA",$Q855="PREDIAL"),0,0)))</f>
        <v>12</v>
      </c>
      <c r="AP855" s="153" t="n">
        <f aca="false">IFERROR($M855*$AF855*$AG855,0)</f>
        <v>5.3157</v>
      </c>
      <c r="AQ855" s="153" t="n">
        <f aca="false">IFERROR(IF(AND($N855="VCA",$AH855&gt;0),$M855*$AG855*$AH855,0),0)</f>
        <v>0.39</v>
      </c>
      <c r="AR855" s="153" t="n">
        <f aca="false">IFERROR(IF(AND($N855="VCA",$AJ855&gt;0),($M855*$AG855*$AJ855)-$AI855,0),0)</f>
        <v>1.39699652813685</v>
      </c>
      <c r="AS855" s="153" t="n">
        <f aca="false">IFERROR(IF(AND($N855="VCA",$AP855&gt;0),$AP855-$AI855-$AQ855-$AR855,0),0)</f>
        <v>3.51</v>
      </c>
      <c r="AT855" s="153" t="n">
        <f aca="false">IFERROR(IF($N855="VCA",INDEX(APOIO_REDES!$A:$W,MATCH($C855&amp;$I855&amp;$H855&amp;$N855&amp;$O855,APOIO_REDES!$W:$W,0),MATCH(AT$5,APOIO_REDES!$5:$5,0)),0)*$AP855,0)</f>
        <v>0.0578363893668877</v>
      </c>
      <c r="AU855" s="153" t="n">
        <f aca="false">IFERROR(IF($N855="VCA",INDEX(APOIO_REDES!$A:$W,MATCH($C855&amp;$I855&amp;$H855&amp;$N855&amp;$O855,APOIO_REDES!$W:$W,0),MATCH(AU$5,APOIO_REDES!$5:$5,0)),0)*$AP855,0)</f>
        <v>0.0461865741403198</v>
      </c>
      <c r="AV855" s="153" t="n">
        <f aca="false">IFERROR(IF($N855="VCA",INDEX(APOIO_REDES!$A:$W,MATCH($C855&amp;$I855&amp;$H855&amp;$N855&amp;$O855,APOIO_REDES!$W:$W,0),MATCH(AV$5,APOIO_REDES!$5:$5,0)),0)*$AP855,0)</f>
        <v>0.00639185928219724</v>
      </c>
      <c r="AW855" s="153" t="n">
        <f aca="false">IFERROR(IF($N855="VCA",INDEX(APOIO_REDES!$A:$W,MATCH($C855&amp;$I855&amp;$H855&amp;$N855&amp;$O855,APOIO_REDES!$W:$W,0),MATCH(AW$5,APOIO_REDES!$5:$5,0)),0)*$AP855,0)</f>
        <v>3.64873766805348</v>
      </c>
      <c r="AX855" s="153" t="n">
        <f aca="false">IFERROR(IF($N855="VCA",INDEX(APOIO_REDES!$A:$W,MATCH($C855&amp;$I855&amp;$H855&amp;$N855&amp;$O855,APOIO_REDES!$W:$W,0),MATCH(AX$5,APOIO_REDES!$5:$5,0)),0)*$AP855,0)</f>
        <v>0.504974899632614</v>
      </c>
      <c r="AY855" s="153" t="n">
        <f aca="false">IFERROR(IF($N855="VCA",INDEX(APOIO_REDES!$A:$W,MATCH($C855&amp;$I855&amp;$H855&amp;$N855&amp;$O855,APOIO_REDES!$W:$W,0),MATCH(AY$5,APOIO_REDES!$5:$5,0)),0)*$AP855,0)</f>
        <v>0.923730919795801</v>
      </c>
      <c r="AZ855" s="153" t="n">
        <f aca="false">IFERROR(IF($N855="VCA",INDEX(APOIO_REDES!$A:$W,MATCH($C855&amp;$I855&amp;$H855&amp;$N855&amp;$O855,APOIO_REDES!$W:$W,0),MATCH(AZ$5,APOIO_REDES!$5:$5,0)),0)*$AP855,0)</f>
        <v>0.127841689728703</v>
      </c>
      <c r="BA855" s="153" t="n">
        <f aca="false">IFERROR(IF(AND($N855="VCA",$Q855="LINEAR"),INDEX(APOIO_REDES!$A:$W,MATCH($C855&amp;$I855&amp;$H855&amp;$N855&amp;$O855,APOIO_REDES!$W:$W,0),MATCH(BA$5,APOIO_REDES!$5:$5,0)),IF(AND($N855="MND",$Q855="EMBOQUE"),INDEX(APOIO_REDES!$A:$W,MATCH($C855&amp;$I855&amp;$H855&amp;$N855&amp;$O855,APOIO_REDES!$W:$W,0),MATCH(BA$5,APOIO_REDES!$5:$5,0)),0))*$M855/10,0)</f>
        <v>0.483584865478682</v>
      </c>
      <c r="BB855" s="153" t="n">
        <f aca="false">IFERROR(IF($N855="VCA",INDEX(APOIO_REDES!$A:$W,MATCH($C855&amp;$I855&amp;$H855&amp;$N855&amp;$O855,APOIO_REDES!$W:$W,0),MATCH(BB$5,APOIO_REDES!$5:$5,0)),0)*($AI855+$AQ855+$AR855),0)</f>
        <v>1.78605344954008</v>
      </c>
      <c r="BC855" s="153" t="n">
        <f aca="false">IFERROR(IF($N855="VCA",INDEX(APOIO_REDES!$A:$W,MATCH($C855&amp;$I855&amp;$H855&amp;$N855&amp;$O855,APOIO_REDES!$W:$W,0),MATCH(BC$5,APOIO_REDES!$5:$5,0)),0)*($AI855+$AQ855+$AR855),0)</f>
        <v>0.0196465504599186</v>
      </c>
      <c r="BD855" s="153" t="n">
        <f aca="false">IF(AND($N855="VCA",$AF855&gt;=1.25,$AF855&lt;1.5),$M855*$AF855*2,0)</f>
        <v>16.356</v>
      </c>
      <c r="BE855" s="153" t="n">
        <f aca="false">IF(AND($N855="VCA",$AF855&gt;=1.5,$AF855&lt;3),$M855*$AF855*2,0)</f>
        <v>0</v>
      </c>
      <c r="BF855" s="153" t="n">
        <f aca="false">IF(AND($N855="VCA",$AF855&gt;=3),$M855*$AF855*2,0)</f>
        <v>0</v>
      </c>
      <c r="BG855" s="153" t="n">
        <f aca="false">($BB855+$BC855)*$AK855</f>
        <v>4.87539</v>
      </c>
      <c r="BH855" s="153" t="n">
        <f aca="false">IF(AND($M855&lt;&gt;"",$N855="VCA",$Q855="LINEAR"),($M855*2)/100,IF(AND($M855&lt;&gt;"",$N855="MND",$Q855="EMBOQUE"),($AN855*2)/100,0))</f>
        <v>0.12</v>
      </c>
      <c r="BI855" s="153" t="n">
        <f aca="false">IF(AND($M855&lt;&gt;"",$N855="VCA",$Q855="LINEAR"),$M855,IF(AND($M855&lt;&gt;"",$N855="MND",$Q855="EMBOQUE"),$AN855*2,0))</f>
        <v>6</v>
      </c>
      <c r="BJ855" s="153" t="n">
        <f aca="false">IF(AND($M855&lt;&gt;"",$N855="VCA",$Q855="LINEAR"),($M855*6.8)/100,IF(AND($M855&lt;&gt;"",$N855="MND",$Q855="EMBOQUE"),($AN855*2*6.8)/100,0))</f>
        <v>0.408</v>
      </c>
      <c r="BK855" s="153" t="n">
        <f aca="false">IF(AND($M855&lt;&gt;"",$N855="VCA",$Q855="LINEAR"),($M855*2.5)/50,IF(AND($M855&lt;&gt;"",$N855="MND",$Q855="EMBOQUE"),($AN855*2*2.5)/50,0))</f>
        <v>0.3</v>
      </c>
      <c r="BL855" s="157" t="str">
        <f aca="false">K855&amp;J855</f>
        <v>Zona07REDES</v>
      </c>
      <c r="BM855" s="152" t="s">
        <v>4225</v>
      </c>
      <c r="BN855" s="152" t="s">
        <v>1560</v>
      </c>
      <c r="BO855" s="152" t="s">
        <v>4725</v>
      </c>
      <c r="BP855" s="152" t="s">
        <v>2232</v>
      </c>
      <c r="BQ855" s="152" t="s">
        <v>4784</v>
      </c>
      <c r="BR855" s="152" t="s">
        <v>4793</v>
      </c>
      <c r="BS855" s="152" t="n">
        <v>204959.513</v>
      </c>
      <c r="BT855" s="152" t="n">
        <v>8236618.828</v>
      </c>
      <c r="BU855" s="152" t="n">
        <v>204958.811</v>
      </c>
      <c r="BV855" s="152" t="n">
        <v>8236620.701</v>
      </c>
      <c r="BW855" s="152" t="n">
        <v>-15.9321554</v>
      </c>
      <c r="BX855" s="152" t="n">
        <v>-47.7557536</v>
      </c>
      <c r="BY855" s="152" t="s">
        <v>4784</v>
      </c>
    </row>
    <row r="856" customFormat="false" ht="13.8" hidden="false" customHeight="false" outlineLevel="0" collapsed="false">
      <c r="A856" s="149" t="n">
        <f aca="false">IF(C856&lt;&gt;"",ROW(A851),"")</f>
        <v>851</v>
      </c>
      <c r="B856" s="150" t="str">
        <f aca="false">HYPERLINK("https://www.google.com/maps/dir/-15.917302,-47.760003/-15.9321531,-47.7557743/data=!4m3!4m2!3e0!5i1")</f>
        <v>https://www.google.com/maps/dir/-15.917302,-47.760003/-15.9321531,-47.7557743/data=!4m3!4m2!3e0!5i1</v>
      </c>
      <c r="C856" s="151" t="s">
        <v>117</v>
      </c>
      <c r="D856" s="152" t="s">
        <v>112</v>
      </c>
      <c r="E856" s="152" t="s">
        <v>113</v>
      </c>
      <c r="F856" s="152" t="s">
        <v>117</v>
      </c>
      <c r="G856" s="152" t="s">
        <v>782</v>
      </c>
      <c r="H856" s="152" t="n">
        <v>63</v>
      </c>
      <c r="I856" s="152" t="s">
        <v>115</v>
      </c>
      <c r="J856" s="152" t="s">
        <v>6</v>
      </c>
      <c r="K856" s="152" t="s">
        <v>4221</v>
      </c>
      <c r="L856" s="152" t="s">
        <v>120</v>
      </c>
      <c r="M856" s="153" t="n">
        <f aca="false">1.99</f>
        <v>1.99</v>
      </c>
      <c r="N856" s="152" t="s">
        <v>1548</v>
      </c>
      <c r="O856" s="152" t="s">
        <v>1549</v>
      </c>
      <c r="P856" s="152" t="s">
        <v>1550</v>
      </c>
      <c r="Q856" s="152" t="s">
        <v>1551</v>
      </c>
      <c r="R856" s="154" t="s">
        <v>4794</v>
      </c>
      <c r="S856" s="154" t="s">
        <v>1553</v>
      </c>
      <c r="T856" s="155" t="s">
        <v>4723</v>
      </c>
      <c r="U856" s="152" t="str">
        <f aca="false">RIGHT(T856,7)</f>
        <v>020/037</v>
      </c>
      <c r="V856" s="152" t="s">
        <v>1555</v>
      </c>
      <c r="W856" s="156" t="n">
        <v>45882</v>
      </c>
      <c r="X856" s="152" t="s">
        <v>3938</v>
      </c>
      <c r="Y856" s="152"/>
      <c r="Z856" s="152" t="s">
        <v>1557</v>
      </c>
      <c r="AA856" s="153" t="n">
        <v>2.7</v>
      </c>
      <c r="AB856" s="151" t="s">
        <v>4795</v>
      </c>
      <c r="AC856" s="151" t="s">
        <v>186</v>
      </c>
      <c r="AD856" s="151" t="str">
        <f aca="false">CONCATENATE($C856,$I856,$H856,$N856,$J856,$K856)</f>
        <v>TUBO PEADPEAD63VCAREDESZona07</v>
      </c>
      <c r="AE856" s="153" t="n">
        <f aca="false">IFERROR(INDEX(APOIO_REDES!$A:$W,MATCH($C856&amp;$I856&amp;$H856&amp;$N856&amp;$O856,APOIO_REDES!$W:$W,0),MATCH(AE$5,APOIO_REDES!$5:$5,0)),0)</f>
        <v>1.2</v>
      </c>
      <c r="AF856" s="153" t="n">
        <f aca="false">IFERROR(INDEX(APOIO_REDES!$A:$W,MATCH($C856&amp;$I856&amp;$H856&amp;$N856&amp;$O856,APOIO_REDES!$W:$W,0),MATCH(AF$5,APOIO_REDES!$5:$5,0)),0)</f>
        <v>1.363</v>
      </c>
      <c r="AG856" s="153" t="n">
        <f aca="false">IFERROR(INDEX(APOIO_REDES!$A:$W,MATCH($C856&amp;$I856&amp;$H856&amp;$N856&amp;$O856,APOIO_REDES!$W:$W,0),MATCH(AG$5,APOIO_REDES!$5:$5,0)),0)</f>
        <v>0.65</v>
      </c>
      <c r="AH856" s="153" t="n">
        <f aca="false">IFERROR(INDEX(APOIO_REDES!$A:$W,MATCH($C856&amp;$I856&amp;$H856&amp;$N856&amp;$O856,APOIO_REDES!$W:$W,0),MATCH(AH$5,APOIO_REDES!$5:$5,0)),0)</f>
        <v>0.1</v>
      </c>
      <c r="AI856" s="153" t="n">
        <f aca="false">IFERROR(IF($H856&lt;&gt;"",(((($H856/1000)/2)^2)*PI()*$M856),0),0)</f>
        <v>0.0062033181679437</v>
      </c>
      <c r="AJ856" s="153" t="n">
        <f aca="false">IFERROR(IF(AND($H856&lt;&gt;"",$I856="FoFo",OR($N856="MND",$N856="VCA"),$Q856="LINEAR"),0,IF(AND($H856&lt;&gt;"",$I856="PEAD",$N856="VCA",$Q856="LINEAR"),($H856/1000)+0.3,IF(AND($H856&lt;&gt;"",$I856="PEAD",$N856="MND",$Q856="EMBOQUE"),0,IF(AND($H856&lt;&gt;"",$I856="PVC",$N856="VCA",$Q856="LINEAR"),($H856/1000)+0.2,IF(AND($H856&lt;&gt;"",$I856="PVC",$N856="MND",$Q856="EMBOQUE"),0,IF(AND($H856&lt;&gt;"",$I856="PEAD",$N856="VCA",$Q856="PREDIAL"),0,0)))))),0)</f>
        <v>0.363</v>
      </c>
      <c r="AK856" s="153" t="n">
        <f aca="false">IF(AA856&lt;&gt;"",AA856,0)</f>
        <v>2.7</v>
      </c>
      <c r="AL856" s="153" t="n">
        <f aca="false">IF(AND($N856="MND",$Q856="EMBOQUE"),$M856,IF(AND($N856="VCA",$Q856="LINEAR"),$M856,IF(AND($N856="VCA",$Q856="PREDIAL"),0,0)))</f>
        <v>1.99</v>
      </c>
      <c r="AM856" s="153" t="n">
        <f aca="false">IF(AND($N856="MND",$Q856="EMBOQUE"),$M856,IF(AND($N856="VCA",$Q856="LINEAR"),$M856,IF(AND($N856="VCA",$Q856="PREDIAL"),0,0)))</f>
        <v>1.99</v>
      </c>
      <c r="AN856" s="153" t="n">
        <f aca="false">ROUND(IF(AND($N856="VCA",$M856&lt;&gt;"",$Q856="LINEAR"),$M856/100,IF(AND($N856="MND",$M856&gt;100,$Q856="EMBOQUE"),$M856/100,0)),0)</f>
        <v>0</v>
      </c>
      <c r="AO856" s="153" t="n">
        <f aca="false">IF(AND($N856="MND",$Q856="EMBOQUE"),$AN856*2*2,IF(AND($N856="VCA",$Q856="LINEAR"),$M856*2,IF(AND($N856="VCA",$Q856="PREDIAL"),0,0)))</f>
        <v>3.98</v>
      </c>
      <c r="AP856" s="153" t="n">
        <f aca="false">IFERROR($M856*$AF856*$AG856,0)</f>
        <v>1.7630405</v>
      </c>
      <c r="AQ856" s="153" t="n">
        <f aca="false">IFERROR(IF(AND($N856="VCA",$AH856&gt;0),$M856*$AG856*$AH856,0),0)</f>
        <v>0.12935</v>
      </c>
      <c r="AR856" s="153" t="n">
        <f aca="false">IFERROR(IF(AND($N856="VCA",$AJ856&gt;0),($M856*$AG856*$AJ856)-$AI856,0),0)</f>
        <v>0.463337181832056</v>
      </c>
      <c r="AS856" s="153" t="n">
        <f aca="false">IFERROR(IF(AND($N856="VCA",$AP856&gt;0),$AP856-$AI856-$AQ856-$AR856,0),0)</f>
        <v>1.16415</v>
      </c>
      <c r="AT856" s="153" t="n">
        <f aca="false">IFERROR(IF($N856="VCA",INDEX(APOIO_REDES!$A:$W,MATCH($C856&amp;$I856&amp;$H856&amp;$N856&amp;$O856,APOIO_REDES!$W:$W,0),MATCH(AT$5,APOIO_REDES!$5:$5,0)),0)*$AP856,0)</f>
        <v>0.0191824024733511</v>
      </c>
      <c r="AU856" s="153" t="n">
        <f aca="false">IFERROR(IF($N856="VCA",INDEX(APOIO_REDES!$A:$W,MATCH($C856&amp;$I856&amp;$H856&amp;$N856&amp;$O856,APOIO_REDES!$W:$W,0),MATCH(AU$5,APOIO_REDES!$5:$5,0)),0)*$AP856,0)</f>
        <v>0.0153185470898727</v>
      </c>
      <c r="AV856" s="153" t="n">
        <f aca="false">IFERROR(IF($N856="VCA",INDEX(APOIO_REDES!$A:$W,MATCH($C856&amp;$I856&amp;$H856&amp;$N856&amp;$O856,APOIO_REDES!$W:$W,0),MATCH(AV$5,APOIO_REDES!$5:$5,0)),0)*$AP856,0)</f>
        <v>0.00211996666192875</v>
      </c>
      <c r="AW856" s="153" t="n">
        <f aca="false">IFERROR(IF($N856="VCA",INDEX(APOIO_REDES!$A:$W,MATCH($C856&amp;$I856&amp;$H856&amp;$N856&amp;$O856,APOIO_REDES!$W:$W,0),MATCH(AW$5,APOIO_REDES!$5:$5,0)),0)*$AP856,0)</f>
        <v>1.2101646599044</v>
      </c>
      <c r="AX856" s="153" t="n">
        <f aca="false">IFERROR(IF($N856="VCA",INDEX(APOIO_REDES!$A:$W,MATCH($C856&amp;$I856&amp;$H856&amp;$N856&amp;$O856,APOIO_REDES!$W:$W,0),MATCH(AX$5,APOIO_REDES!$5:$5,0)),0)*$AP856,0)</f>
        <v>0.167483341711484</v>
      </c>
      <c r="AY856" s="153" t="n">
        <f aca="false">IFERROR(IF($N856="VCA",INDEX(APOIO_REDES!$A:$W,MATCH($C856&amp;$I856&amp;$H856&amp;$N856&amp;$O856,APOIO_REDES!$W:$W,0),MATCH(AY$5,APOIO_REDES!$5:$5,0)),0)*$AP856,0)</f>
        <v>0.306370755065607</v>
      </c>
      <c r="AZ856" s="153" t="n">
        <f aca="false">IFERROR(IF($N856="VCA",INDEX(APOIO_REDES!$A:$W,MATCH($C856&amp;$I856&amp;$H856&amp;$N856&amp;$O856,APOIO_REDES!$W:$W,0),MATCH(AZ$5,APOIO_REDES!$5:$5,0)),0)*$AP856,0)</f>
        <v>0.0424008270933531</v>
      </c>
      <c r="BA856" s="153" t="n">
        <f aca="false">IFERROR(IF(AND($N856="VCA",$Q856="LINEAR"),INDEX(APOIO_REDES!$A:$W,MATCH($C856&amp;$I856&amp;$H856&amp;$N856&amp;$O856,APOIO_REDES!$W:$W,0),MATCH(BA$5,APOIO_REDES!$5:$5,0)),IF(AND($N856="MND",$Q856="EMBOQUE"),INDEX(APOIO_REDES!$A:$W,MATCH($C856&amp;$I856&amp;$H856&amp;$N856&amp;$O856,APOIO_REDES!$W:$W,0),MATCH(BA$5,APOIO_REDES!$5:$5,0)),0))*$M856/10,0)</f>
        <v>0.160388980383763</v>
      </c>
      <c r="BB856" s="153" t="n">
        <f aca="false">IFERROR(IF($N856="VCA",INDEX(APOIO_REDES!$A:$W,MATCH($C856&amp;$I856&amp;$H856&amp;$N856&amp;$O856,APOIO_REDES!$W:$W,0),MATCH(BB$5,APOIO_REDES!$5:$5,0)),0)*($AI856+$AQ856+$AR856),0)</f>
        <v>0.59237439409746</v>
      </c>
      <c r="BC856" s="153" t="n">
        <f aca="false">IFERROR(IF($N856="VCA",INDEX(APOIO_REDES!$A:$W,MATCH($C856&amp;$I856&amp;$H856&amp;$N856&amp;$O856,APOIO_REDES!$W:$W,0),MATCH(BC$5,APOIO_REDES!$5:$5,0)),0)*($AI856+$AQ856+$AR856),0)</f>
        <v>0.00651610590253965</v>
      </c>
      <c r="BD856" s="153" t="n">
        <f aca="false">IF(AND($N856="VCA",$AF856&gt;=1.25,$AF856&lt;1.5),$M856*$AF856*2,0)</f>
        <v>5.42474</v>
      </c>
      <c r="BE856" s="153" t="n">
        <f aca="false">IF(AND($N856="VCA",$AF856&gt;=1.5,$AF856&lt;3),$M856*$AF856*2,0)</f>
        <v>0</v>
      </c>
      <c r="BF856" s="153" t="n">
        <f aca="false">IF(AND($N856="VCA",$AF856&gt;=3),$M856*$AF856*2,0)</f>
        <v>0</v>
      </c>
      <c r="BG856" s="153" t="n">
        <f aca="false">($BB856+$BC856)*$AK856</f>
        <v>1.61700435</v>
      </c>
      <c r="BH856" s="153" t="n">
        <f aca="false">IF(AND($M856&lt;&gt;"",$N856="VCA",$Q856="LINEAR"),($M856*2)/100,IF(AND($M856&lt;&gt;"",$N856="MND",$Q856="EMBOQUE"),($AN856*2)/100,0))</f>
        <v>0.0398</v>
      </c>
      <c r="BI856" s="153" t="n">
        <f aca="false">IF(AND($M856&lt;&gt;"",$N856="VCA",$Q856="LINEAR"),$M856,IF(AND($M856&lt;&gt;"",$N856="MND",$Q856="EMBOQUE"),$AN856*2,0))</f>
        <v>1.99</v>
      </c>
      <c r="BJ856" s="153" t="n">
        <f aca="false">IF(AND($M856&lt;&gt;"",$N856="VCA",$Q856="LINEAR"),($M856*6.8)/100,IF(AND($M856&lt;&gt;"",$N856="MND",$Q856="EMBOQUE"),($AN856*2*6.8)/100,0))</f>
        <v>0.13532</v>
      </c>
      <c r="BK856" s="153" t="n">
        <f aca="false">IF(AND($M856&lt;&gt;"",$N856="VCA",$Q856="LINEAR"),($M856*2.5)/50,IF(AND($M856&lt;&gt;"",$N856="MND",$Q856="EMBOQUE"),($AN856*2*2.5)/50,0))</f>
        <v>0.0995</v>
      </c>
      <c r="BL856" s="157" t="str">
        <f aca="false">K856&amp;J856</f>
        <v>Zona07REDES</v>
      </c>
      <c r="BM856" s="152" t="s">
        <v>4225</v>
      </c>
      <c r="BN856" s="152" t="s">
        <v>1560</v>
      </c>
      <c r="BO856" s="152" t="s">
        <v>4725</v>
      </c>
      <c r="BP856" s="152" t="s">
        <v>4784</v>
      </c>
      <c r="BQ856" s="152" t="s">
        <v>2232</v>
      </c>
      <c r="BR856" s="152" t="s">
        <v>4796</v>
      </c>
      <c r="BS856" s="152" t="n">
        <v>204958.811</v>
      </c>
      <c r="BT856" s="152" t="n">
        <v>8236620.701</v>
      </c>
      <c r="BU856" s="152" t="n">
        <v>204959.348</v>
      </c>
      <c r="BV856" s="152" t="n">
        <v>8236618.782</v>
      </c>
      <c r="BW856" s="152" t="n">
        <v>-15.9321617</v>
      </c>
      <c r="BX856" s="152" t="n">
        <v>-47.7557719</v>
      </c>
      <c r="BY856" s="152" t="s">
        <v>4784</v>
      </c>
    </row>
    <row r="857" customFormat="false" ht="13.8" hidden="false" customHeight="false" outlineLevel="0" collapsed="false">
      <c r="A857" s="149" t="n">
        <f aca="false">IF(C857&lt;&gt;"",ROW(A852),"")</f>
        <v>852</v>
      </c>
      <c r="B857" s="150" t="str">
        <f aca="false">HYPERLINK("https://www.google.com/maps/dir/-15.917302,-47.760003/-15.9322714,-47.7606020/data=!4m3!4m2!3e0!5i1")</f>
        <v>https://www.google.com/maps/dir/-15.917302,-47.760003/-15.9322714,-47.7606020/data=!4m3!4m2!3e0!5i1</v>
      </c>
      <c r="C857" s="151" t="s">
        <v>117</v>
      </c>
      <c r="D857" s="152" t="s">
        <v>112</v>
      </c>
      <c r="E857" s="152" t="s">
        <v>113</v>
      </c>
      <c r="F857" s="152" t="s">
        <v>117</v>
      </c>
      <c r="G857" s="152" t="s">
        <v>782</v>
      </c>
      <c r="H857" s="152" t="n">
        <v>63</v>
      </c>
      <c r="I857" s="152" t="s">
        <v>115</v>
      </c>
      <c r="J857" s="152" t="s">
        <v>6</v>
      </c>
      <c r="K857" s="152" t="s">
        <v>4221</v>
      </c>
      <c r="L857" s="152" t="s">
        <v>120</v>
      </c>
      <c r="M857" s="153" t="n">
        <f aca="false">65.48</f>
        <v>65.48</v>
      </c>
      <c r="N857" s="152" t="s">
        <v>1548</v>
      </c>
      <c r="O857" s="152" t="s">
        <v>1549</v>
      </c>
      <c r="P857" s="152" t="s">
        <v>1550</v>
      </c>
      <c r="Q857" s="152" t="s">
        <v>1551</v>
      </c>
      <c r="R857" s="154" t="s">
        <v>4797</v>
      </c>
      <c r="S857" s="154" t="s">
        <v>1553</v>
      </c>
      <c r="T857" s="155" t="s">
        <v>4723</v>
      </c>
      <c r="U857" s="152" t="str">
        <f aca="false">RIGHT(T857,7)</f>
        <v>020/037</v>
      </c>
      <c r="V857" s="152" t="s">
        <v>1555</v>
      </c>
      <c r="W857" s="156" t="n">
        <v>45882</v>
      </c>
      <c r="X857" s="152" t="s">
        <v>3938</v>
      </c>
      <c r="Y857" s="152" t="s">
        <v>4756</v>
      </c>
      <c r="Z857" s="152" t="s">
        <v>1557</v>
      </c>
      <c r="AA857" s="153" t="n">
        <v>3.3</v>
      </c>
      <c r="AB857" s="151" t="s">
        <v>2238</v>
      </c>
      <c r="AC857" s="151" t="s">
        <v>186</v>
      </c>
      <c r="AD857" s="151" t="str">
        <f aca="false">CONCATENATE($C857,$I857,$H857,$N857,$J857,$K857)</f>
        <v>TUBO PEADPEAD63VCAREDESZona07</v>
      </c>
      <c r="AE857" s="153" t="n">
        <f aca="false">IFERROR(INDEX(APOIO_REDES!$A:$W,MATCH($C857&amp;$I857&amp;$H857&amp;$N857&amp;$O857,APOIO_REDES!$W:$W,0),MATCH(AE$5,APOIO_REDES!$5:$5,0)),0)</f>
        <v>1.2</v>
      </c>
      <c r="AF857" s="153" t="n">
        <f aca="false">IFERROR(INDEX(APOIO_REDES!$A:$W,MATCH($C857&amp;$I857&amp;$H857&amp;$N857&amp;$O857,APOIO_REDES!$W:$W,0),MATCH(AF$5,APOIO_REDES!$5:$5,0)),0)</f>
        <v>1.363</v>
      </c>
      <c r="AG857" s="153" t="n">
        <f aca="false">IFERROR(INDEX(APOIO_REDES!$A:$W,MATCH($C857&amp;$I857&amp;$H857&amp;$N857&amp;$O857,APOIO_REDES!$W:$W,0),MATCH(AG$5,APOIO_REDES!$5:$5,0)),0)</f>
        <v>0.65</v>
      </c>
      <c r="AH857" s="153" t="n">
        <f aca="false">IFERROR(INDEX(APOIO_REDES!$A:$W,MATCH($C857&amp;$I857&amp;$H857&amp;$N857&amp;$O857,APOIO_REDES!$W:$W,0),MATCH(AH$5,APOIO_REDES!$5:$5,0)),0)</f>
        <v>0.1</v>
      </c>
      <c r="AI857" s="153" t="n">
        <f aca="false">IFERROR(IF($H857&lt;&gt;"",(((($H857/1000)/2)^2)*PI()*$M857),0),0)</f>
        <v>0.204117222933142</v>
      </c>
      <c r="AJ857" s="153" t="n">
        <f aca="false">IFERROR(IF(AND($H857&lt;&gt;"",$I857="FoFo",OR($N857="MND",$N857="VCA"),$Q857="LINEAR"),0,IF(AND($H857&lt;&gt;"",$I857="PEAD",$N857="VCA",$Q857="LINEAR"),($H857/1000)+0.3,IF(AND($H857&lt;&gt;"",$I857="PEAD",$N857="MND",$Q857="EMBOQUE"),0,IF(AND($H857&lt;&gt;"",$I857="PVC",$N857="VCA",$Q857="LINEAR"),($H857/1000)+0.2,IF(AND($H857&lt;&gt;"",$I857="PVC",$N857="MND",$Q857="EMBOQUE"),0,IF(AND($H857&lt;&gt;"",$I857="PEAD",$N857="VCA",$Q857="PREDIAL"),0,0)))))),0)</f>
        <v>0.363</v>
      </c>
      <c r="AK857" s="153" t="n">
        <f aca="false">IF(AA857&lt;&gt;"",AA857,0)</f>
        <v>3.3</v>
      </c>
      <c r="AL857" s="153" t="n">
        <f aca="false">IF(AND($N857="MND",$Q857="EMBOQUE"),$M857,IF(AND($N857="VCA",$Q857="LINEAR"),$M857,IF(AND($N857="VCA",$Q857="PREDIAL"),0,0)))</f>
        <v>65.48</v>
      </c>
      <c r="AM857" s="153" t="n">
        <f aca="false">IF(AND($N857="MND",$Q857="EMBOQUE"),$M857,IF(AND($N857="VCA",$Q857="LINEAR"),$M857,IF(AND($N857="VCA",$Q857="PREDIAL"),0,0)))</f>
        <v>65.48</v>
      </c>
      <c r="AN857" s="153" t="n">
        <f aca="false">ROUND(IF(AND($N857="VCA",$M857&lt;&gt;"",$Q857="LINEAR"),$M857/100,IF(AND($N857="MND",$M857&gt;100,$Q857="EMBOQUE"),$M857/100,0)),0)</f>
        <v>1</v>
      </c>
      <c r="AO857" s="153" t="n">
        <f aca="false">IF(AND($N857="MND",$Q857="EMBOQUE"),$AN857*2*2,IF(AND($N857="VCA",$Q857="LINEAR"),$M857*2,IF(AND($N857="VCA",$Q857="PREDIAL"),0,0)))</f>
        <v>130.96</v>
      </c>
      <c r="AP857" s="153" t="n">
        <f aca="false">IFERROR($M857*$AF857*$AG857,0)</f>
        <v>58.012006</v>
      </c>
      <c r="AQ857" s="153" t="n">
        <f aca="false">IFERROR(IF(AND($N857="VCA",$AH857&gt;0),$M857*$AG857*$AH857,0),0)</f>
        <v>4.2562</v>
      </c>
      <c r="AR857" s="153" t="n">
        <f aca="false">IFERROR(IF(AND($N857="VCA",$AJ857&gt;0),($M857*$AG857*$AJ857)-$AI857,0),0)</f>
        <v>15.2458887770669</v>
      </c>
      <c r="AS857" s="153" t="n">
        <f aca="false">IFERROR(IF(AND($N857="VCA",$AP857&gt;0),$AP857-$AI857-$AQ857-$AR857,0),0)</f>
        <v>38.3058</v>
      </c>
      <c r="AT857" s="153" t="n">
        <f aca="false">IFERROR(IF($N857="VCA",INDEX(APOIO_REDES!$A:$W,MATCH($C857&amp;$I857&amp;$H857&amp;$N857&amp;$O857,APOIO_REDES!$W:$W,0),MATCH(AT$5,APOIO_REDES!$5:$5,0)),0)*$AP857,0)</f>
        <v>0.631187795957301</v>
      </c>
      <c r="AU857" s="153" t="n">
        <f aca="false">IFERROR(IF($N857="VCA",INDEX(APOIO_REDES!$A:$W,MATCH($C857&amp;$I857&amp;$H857&amp;$N857&amp;$O857,APOIO_REDES!$W:$W,0),MATCH(AU$5,APOIO_REDES!$5:$5,0)),0)*$AP857,0)</f>
        <v>0.504049479118023</v>
      </c>
      <c r="AV857" s="153" t="n">
        <f aca="false">IFERROR(IF($N857="VCA",INDEX(APOIO_REDES!$A:$W,MATCH($C857&amp;$I857&amp;$H857&amp;$N857&amp;$O857,APOIO_REDES!$W:$W,0),MATCH(AV$5,APOIO_REDES!$5:$5,0)),0)*$AP857,0)</f>
        <v>0.0697564909663792</v>
      </c>
      <c r="AW857" s="153" t="n">
        <f aca="false">IFERROR(IF($N857="VCA",INDEX(APOIO_REDES!$A:$W,MATCH($C857&amp;$I857&amp;$H857&amp;$N857&amp;$O857,APOIO_REDES!$W:$W,0),MATCH(AW$5,APOIO_REDES!$5:$5,0)),0)*$AP857,0)</f>
        <v>39.819890417357</v>
      </c>
      <c r="AX857" s="153" t="n">
        <f aca="false">IFERROR(IF($N857="VCA",INDEX(APOIO_REDES!$A:$W,MATCH($C857&amp;$I857&amp;$H857&amp;$N857&amp;$O857,APOIO_REDES!$W:$W,0),MATCH(AX$5,APOIO_REDES!$5:$5,0)),0)*$AP857,0)</f>
        <v>5.51095940465726</v>
      </c>
      <c r="AY857" s="153" t="n">
        <f aca="false">IFERROR(IF($N857="VCA",INDEX(APOIO_REDES!$A:$W,MATCH($C857&amp;$I857&amp;$H857&amp;$N857&amp;$O857,APOIO_REDES!$W:$W,0),MATCH(AY$5,APOIO_REDES!$5:$5,0)),0)*$AP857,0)</f>
        <v>10.0809834380382</v>
      </c>
      <c r="AZ857" s="153" t="n">
        <f aca="false">IFERROR(IF($N857="VCA",INDEX(APOIO_REDES!$A:$W,MATCH($C857&amp;$I857&amp;$H857&amp;$N857&amp;$O857,APOIO_REDES!$W:$W,0),MATCH(AZ$5,APOIO_REDES!$5:$5,0)),0)*$AP857,0)</f>
        <v>1.39517897390591</v>
      </c>
      <c r="BA857" s="153" t="n">
        <f aca="false">IFERROR(IF(AND($N857="VCA",$Q857="LINEAR"),INDEX(APOIO_REDES!$A:$W,MATCH($C857&amp;$I857&amp;$H857&amp;$N857&amp;$O857,APOIO_REDES!$W:$W,0),MATCH(BA$5,APOIO_REDES!$5:$5,0)),IF(AND($N857="MND",$Q857="EMBOQUE"),INDEX(APOIO_REDES!$A:$W,MATCH($C857&amp;$I857&amp;$H857&amp;$N857&amp;$O857,APOIO_REDES!$W:$W,0),MATCH(BA$5,APOIO_REDES!$5:$5,0)),0))*$M857/10,0)</f>
        <v>5.27752283192401</v>
      </c>
      <c r="BB857" s="153" t="n">
        <f aca="false">IFERROR(IF($N857="VCA",INDEX(APOIO_REDES!$A:$W,MATCH($C857&amp;$I857&amp;$H857&amp;$N857&amp;$O857,APOIO_REDES!$W:$W,0),MATCH(BB$5,APOIO_REDES!$5:$5,0)),0)*($AI857+$AQ857+$AR857),0)</f>
        <v>19.4917966459808</v>
      </c>
      <c r="BC857" s="153" t="n">
        <f aca="false">IFERROR(IF($N857="VCA",INDEX(APOIO_REDES!$A:$W,MATCH($C857&amp;$I857&amp;$H857&amp;$N857&amp;$O857,APOIO_REDES!$W:$W,0),MATCH(BC$5,APOIO_REDES!$5:$5,0)),0)*($AI857+$AQ857+$AR857),0)</f>
        <v>0.214409354019245</v>
      </c>
      <c r="BD857" s="153" t="n">
        <f aca="false">IF(AND($N857="VCA",$AF857&gt;=1.25,$AF857&lt;1.5),$M857*$AF857*2,0)</f>
        <v>178.49848</v>
      </c>
      <c r="BE857" s="153" t="n">
        <f aca="false">IF(AND($N857="VCA",$AF857&gt;=1.5,$AF857&lt;3),$M857*$AF857*2,0)</f>
        <v>0</v>
      </c>
      <c r="BF857" s="153" t="n">
        <f aca="false">IF(AND($N857="VCA",$AF857&gt;=3),$M857*$AF857*2,0)</f>
        <v>0</v>
      </c>
      <c r="BG857" s="153" t="n">
        <f aca="false">($BB857+$BC857)*$AK857</f>
        <v>65.0304798</v>
      </c>
      <c r="BH857" s="153" t="n">
        <f aca="false">IF(AND($M857&lt;&gt;"",$N857="VCA",$Q857="LINEAR"),($M857*2)/100,IF(AND($M857&lt;&gt;"",$N857="MND",$Q857="EMBOQUE"),($AN857*2)/100,0))</f>
        <v>1.3096</v>
      </c>
      <c r="BI857" s="153" t="n">
        <f aca="false">IF(AND($M857&lt;&gt;"",$N857="VCA",$Q857="LINEAR"),$M857,IF(AND($M857&lt;&gt;"",$N857="MND",$Q857="EMBOQUE"),$AN857*2,0))</f>
        <v>65.48</v>
      </c>
      <c r="BJ857" s="153" t="n">
        <f aca="false">IF(AND($M857&lt;&gt;"",$N857="VCA",$Q857="LINEAR"),($M857*6.8)/100,IF(AND($M857&lt;&gt;"",$N857="MND",$Q857="EMBOQUE"),($AN857*2*6.8)/100,0))</f>
        <v>4.45264</v>
      </c>
      <c r="BK857" s="153" t="n">
        <f aca="false">IF(AND($M857&lt;&gt;"",$N857="VCA",$Q857="LINEAR"),($M857*2.5)/50,IF(AND($M857&lt;&gt;"",$N857="MND",$Q857="EMBOQUE"),($AN857*2*2.5)/50,0))</f>
        <v>3.274</v>
      </c>
      <c r="BL857" s="157" t="str">
        <f aca="false">K857&amp;J857</f>
        <v>Zona07REDES</v>
      </c>
      <c r="BM857" s="152" t="s">
        <v>4225</v>
      </c>
      <c r="BN857" s="152" t="s">
        <v>1560</v>
      </c>
      <c r="BO857" s="152" t="s">
        <v>4725</v>
      </c>
      <c r="BP857" s="152" t="s">
        <v>2232</v>
      </c>
      <c r="BQ857" s="152" t="s">
        <v>2232</v>
      </c>
      <c r="BR857" s="152" t="s">
        <v>4798</v>
      </c>
      <c r="BS857" s="152" t="n">
        <v>204442.755</v>
      </c>
      <c r="BT857" s="152" t="n">
        <v>8236608.468</v>
      </c>
      <c r="BU857" s="152" t="n">
        <v>204389.489</v>
      </c>
      <c r="BV857" s="152" t="n">
        <v>8236615.613</v>
      </c>
      <c r="BW857" s="152" t="n">
        <v>-15.9322738</v>
      </c>
      <c r="BX857" s="152" t="n">
        <v>-47.7608242</v>
      </c>
      <c r="BY857" s="152" t="s">
        <v>4799</v>
      </c>
    </row>
    <row r="858" customFormat="false" ht="13.8" hidden="false" customHeight="false" outlineLevel="0" collapsed="false">
      <c r="A858" s="149" t="n">
        <f aca="false">IF(C858&lt;&gt;"",ROW(A853),"")</f>
        <v>853</v>
      </c>
      <c r="B858" s="150" t="str">
        <f aca="false">HYPERLINK("https://www.google.com/maps/dir/-15.917302,-47.760003/-15.9312663,-47.7548872/data=!4m3!4m2!3e0!5i1")</f>
        <v>https://www.google.com/maps/dir/-15.917302,-47.760003/-15.9312663,-47.7548872/data=!4m3!4m2!3e0!5i1</v>
      </c>
      <c r="C858" s="151" t="s">
        <v>117</v>
      </c>
      <c r="D858" s="152" t="s">
        <v>112</v>
      </c>
      <c r="E858" s="152" t="s">
        <v>113</v>
      </c>
      <c r="F858" s="152" t="s">
        <v>117</v>
      </c>
      <c r="G858" s="152" t="s">
        <v>782</v>
      </c>
      <c r="H858" s="152" t="n">
        <v>63</v>
      </c>
      <c r="I858" s="152" t="s">
        <v>115</v>
      </c>
      <c r="J858" s="152" t="s">
        <v>6</v>
      </c>
      <c r="K858" s="152" t="s">
        <v>4221</v>
      </c>
      <c r="L858" s="152" t="s">
        <v>120</v>
      </c>
      <c r="M858" s="153" t="n">
        <f aca="false">82.85+3.95</f>
        <v>86.8</v>
      </c>
      <c r="N858" s="152" t="s">
        <v>1548</v>
      </c>
      <c r="O858" s="152" t="s">
        <v>1549</v>
      </c>
      <c r="P858" s="152" t="s">
        <v>1550</v>
      </c>
      <c r="Q858" s="152" t="s">
        <v>1551</v>
      </c>
      <c r="R858" s="154" t="s">
        <v>4800</v>
      </c>
      <c r="S858" s="154" t="s">
        <v>1553</v>
      </c>
      <c r="T858" s="155" t="s">
        <v>4801</v>
      </c>
      <c r="U858" s="152" t="str">
        <f aca="false">RIGHT(T858,7)</f>
        <v>021/037</v>
      </c>
      <c r="V858" s="152" t="s">
        <v>1555</v>
      </c>
      <c r="W858" s="156" t="n">
        <v>45882</v>
      </c>
      <c r="X858" s="152" t="s">
        <v>3938</v>
      </c>
      <c r="Y858" s="152" t="s">
        <v>2063</v>
      </c>
      <c r="Z858" s="152" t="s">
        <v>1557</v>
      </c>
      <c r="AA858" s="153" t="n">
        <v>2.5</v>
      </c>
      <c r="AB858" s="151" t="s">
        <v>4802</v>
      </c>
      <c r="AC858" s="151" t="s">
        <v>186</v>
      </c>
      <c r="AD858" s="151" t="str">
        <f aca="false">CONCATENATE($C858,$I858,$H858,$N858,$J858,$K858)</f>
        <v>TUBO PEADPEAD63VCAREDESZona07</v>
      </c>
      <c r="AE858" s="153" t="n">
        <f aca="false">IFERROR(INDEX(APOIO_REDES!$A:$W,MATCH($C858&amp;$I858&amp;$H858&amp;$N858&amp;$O858,APOIO_REDES!$W:$W,0),MATCH(AE$5,APOIO_REDES!$5:$5,0)),0)</f>
        <v>1.2</v>
      </c>
      <c r="AF858" s="153" t="n">
        <f aca="false">IFERROR(INDEX(APOIO_REDES!$A:$W,MATCH($C858&amp;$I858&amp;$H858&amp;$N858&amp;$O858,APOIO_REDES!$W:$W,0),MATCH(AF$5,APOIO_REDES!$5:$5,0)),0)</f>
        <v>1.363</v>
      </c>
      <c r="AG858" s="153" t="n">
        <f aca="false">IFERROR(INDEX(APOIO_REDES!$A:$W,MATCH($C858&amp;$I858&amp;$H858&amp;$N858&amp;$O858,APOIO_REDES!$W:$W,0),MATCH(AG$5,APOIO_REDES!$5:$5,0)),0)</f>
        <v>0.65</v>
      </c>
      <c r="AH858" s="153" t="n">
        <f aca="false">IFERROR(INDEX(APOIO_REDES!$A:$W,MATCH($C858&amp;$I858&amp;$H858&amp;$N858&amp;$O858,APOIO_REDES!$W:$W,0),MATCH(AH$5,APOIO_REDES!$5:$5,0)),0)</f>
        <v>0.1</v>
      </c>
      <c r="AI858" s="153" t="n">
        <f aca="false">IFERROR(IF($H858&lt;&gt;"",(((($H858/1000)/2)^2)*PI()*$M858),0),0)</f>
        <v>0.270576892953524</v>
      </c>
      <c r="AJ858" s="153" t="n">
        <f aca="false">IFERROR(IF(AND($H858&lt;&gt;"",$I858="FoFo",OR($N858="MND",$N858="VCA"),$Q858="LINEAR"),0,IF(AND($H858&lt;&gt;"",$I858="PEAD",$N858="VCA",$Q858="LINEAR"),($H858/1000)+0.3,IF(AND($H858&lt;&gt;"",$I858="PEAD",$N858="MND",$Q858="EMBOQUE"),0,IF(AND($H858&lt;&gt;"",$I858="PVC",$N858="VCA",$Q858="LINEAR"),($H858/1000)+0.2,IF(AND($H858&lt;&gt;"",$I858="PVC",$N858="MND",$Q858="EMBOQUE"),0,IF(AND($H858&lt;&gt;"",$I858="PEAD",$N858="VCA",$Q858="PREDIAL"),0,0)))))),0)</f>
        <v>0.363</v>
      </c>
      <c r="AK858" s="153" t="n">
        <f aca="false">IF(AA858&lt;&gt;"",AA858,0)</f>
        <v>2.5</v>
      </c>
      <c r="AL858" s="153" t="n">
        <f aca="false">IF(AND($N858="MND",$Q858="EMBOQUE"),$M858,IF(AND($N858="VCA",$Q858="LINEAR"),$M858,IF(AND($N858="VCA",$Q858="PREDIAL"),0,0)))</f>
        <v>86.8</v>
      </c>
      <c r="AM858" s="153" t="n">
        <f aca="false">IF(AND($N858="MND",$Q858="EMBOQUE"),$M858,IF(AND($N858="VCA",$Q858="LINEAR"),$M858,IF(AND($N858="VCA",$Q858="PREDIAL"),0,0)))</f>
        <v>86.8</v>
      </c>
      <c r="AN858" s="153" t="n">
        <f aca="false">ROUND(IF(AND($N858="VCA",$M858&lt;&gt;"",$Q858="LINEAR"),$M858/100,IF(AND($N858="MND",$M858&gt;100,$Q858="EMBOQUE"),$M858/100,0)),0)</f>
        <v>1</v>
      </c>
      <c r="AO858" s="153" t="n">
        <f aca="false">IF(AND($N858="MND",$Q858="EMBOQUE"),$AN858*2*2,IF(AND($N858="VCA",$Q858="LINEAR"),$M858*2,IF(AND($N858="VCA",$Q858="PREDIAL"),0,0)))</f>
        <v>173.6</v>
      </c>
      <c r="AP858" s="153" t="n">
        <f aca="false">IFERROR($M858*$AF858*$AG858,0)</f>
        <v>76.90046</v>
      </c>
      <c r="AQ858" s="153" t="n">
        <f aca="false">IFERROR(IF(AND($N858="VCA",$AH858&gt;0),$M858*$AG858*$AH858,0),0)</f>
        <v>5.642</v>
      </c>
      <c r="AR858" s="153" t="n">
        <f aca="false">IFERROR(IF(AND($N858="VCA",$AJ858&gt;0),($M858*$AG858*$AJ858)-$AI858,0),0)</f>
        <v>20.2098831070465</v>
      </c>
      <c r="AS858" s="153" t="n">
        <f aca="false">IFERROR(IF(AND($N858="VCA",$AP858&gt;0),$AP858-$AI858-$AQ858-$AR858,0),0)</f>
        <v>50.778</v>
      </c>
      <c r="AT858" s="153" t="n">
        <f aca="false">IFERROR(IF($N858="VCA",INDEX(APOIO_REDES!$A:$W,MATCH($C858&amp;$I858&amp;$H858&amp;$N858&amp;$O858,APOIO_REDES!$W:$W,0),MATCH(AT$5,APOIO_REDES!$5:$5,0)),0)*$AP858,0)</f>
        <v>0.836699766174308</v>
      </c>
      <c r="AU858" s="153" t="n">
        <f aca="false">IFERROR(IF($N858="VCA",INDEX(APOIO_REDES!$A:$W,MATCH($C858&amp;$I858&amp;$H858&amp;$N858&amp;$O858,APOIO_REDES!$W:$W,0),MATCH(AU$5,APOIO_REDES!$5:$5,0)),0)*$AP858,0)</f>
        <v>0.668165772563293</v>
      </c>
      <c r="AV858" s="153" t="n">
        <f aca="false">IFERROR(IF($N858="VCA",INDEX(APOIO_REDES!$A:$W,MATCH($C858&amp;$I858&amp;$H858&amp;$N858&amp;$O858,APOIO_REDES!$W:$W,0),MATCH(AV$5,APOIO_REDES!$5:$5,0)),0)*$AP858,0)</f>
        <v>0.0924688976157867</v>
      </c>
      <c r="AW858" s="153" t="n">
        <f aca="false">IFERROR(IF($N858="VCA",INDEX(APOIO_REDES!$A:$W,MATCH($C858&amp;$I858&amp;$H858&amp;$N858&amp;$O858,APOIO_REDES!$W:$W,0),MATCH(AW$5,APOIO_REDES!$5:$5,0)),0)*$AP858,0)</f>
        <v>52.7850715978403</v>
      </c>
      <c r="AX858" s="153" t="n">
        <f aca="false">IFERROR(IF($N858="VCA",INDEX(APOIO_REDES!$A:$W,MATCH($C858&amp;$I858&amp;$H858&amp;$N858&amp;$O858,APOIO_REDES!$W:$W,0),MATCH(AX$5,APOIO_REDES!$5:$5,0)),0)*$AP858,0)</f>
        <v>7.30530354801848</v>
      </c>
      <c r="AY858" s="153" t="n">
        <f aca="false">IFERROR(IF($N858="VCA",INDEX(APOIO_REDES!$A:$W,MATCH($C858&amp;$I858&amp;$H858&amp;$N858&amp;$O858,APOIO_REDES!$W:$W,0),MATCH(AY$5,APOIO_REDES!$5:$5,0)),0)*$AP858,0)</f>
        <v>13.3633073063793</v>
      </c>
      <c r="AZ858" s="153" t="n">
        <f aca="false">IFERROR(IF($N858="VCA",INDEX(APOIO_REDES!$A:$W,MATCH($C858&amp;$I858&amp;$H858&amp;$N858&amp;$O858,APOIO_REDES!$W:$W,0),MATCH(AZ$5,APOIO_REDES!$5:$5,0)),0)*$AP858,0)</f>
        <v>1.84944311140857</v>
      </c>
      <c r="BA858" s="153" t="n">
        <f aca="false">IFERROR(IF(AND($N858="VCA",$Q858="LINEAR"),INDEX(APOIO_REDES!$A:$W,MATCH($C858&amp;$I858&amp;$H858&amp;$N858&amp;$O858,APOIO_REDES!$W:$W,0),MATCH(BA$5,APOIO_REDES!$5:$5,0)),IF(AND($N858="MND",$Q858="EMBOQUE"),INDEX(APOIO_REDES!$A:$W,MATCH($C858&amp;$I858&amp;$H858&amp;$N858&amp;$O858,APOIO_REDES!$W:$W,0),MATCH(BA$5,APOIO_REDES!$5:$5,0)),0))*$M858/10,0)</f>
        <v>6.99586105392493</v>
      </c>
      <c r="BB858" s="153" t="n">
        <f aca="false">IFERROR(IF($N858="VCA",INDEX(APOIO_REDES!$A:$W,MATCH($C858&amp;$I858&amp;$H858&amp;$N858&amp;$O858,APOIO_REDES!$W:$W,0),MATCH(BB$5,APOIO_REDES!$5:$5,0)),0)*($AI858+$AQ858+$AR858),0)</f>
        <v>25.8382399033465</v>
      </c>
      <c r="BC858" s="153" t="n">
        <f aca="false">IFERROR(IF($N858="VCA",INDEX(APOIO_REDES!$A:$W,MATCH($C858&amp;$I858&amp;$H858&amp;$N858&amp;$O858,APOIO_REDES!$W:$W,0),MATCH(BC$5,APOIO_REDES!$5:$5,0)),0)*($AI858+$AQ858+$AR858),0)</f>
        <v>0.284220096653488</v>
      </c>
      <c r="BD858" s="153" t="n">
        <f aca="false">IF(AND($N858="VCA",$AF858&gt;=1.25,$AF858&lt;1.5),$M858*$AF858*2,0)</f>
        <v>236.6168</v>
      </c>
      <c r="BE858" s="153" t="n">
        <f aca="false">IF(AND($N858="VCA",$AF858&gt;=1.5,$AF858&lt;3),$M858*$AF858*2,0)</f>
        <v>0</v>
      </c>
      <c r="BF858" s="153" t="n">
        <f aca="false">IF(AND($N858="VCA",$AF858&gt;=3),$M858*$AF858*2,0)</f>
        <v>0</v>
      </c>
      <c r="BG858" s="153" t="n">
        <f aca="false">($BB858+$BC858)*$AK858</f>
        <v>65.30615</v>
      </c>
      <c r="BH858" s="153" t="n">
        <f aca="false">IF(AND($M858&lt;&gt;"",$N858="VCA",$Q858="LINEAR"),($M858*2)/100,IF(AND($M858&lt;&gt;"",$N858="MND",$Q858="EMBOQUE"),($AN858*2)/100,0))</f>
        <v>1.736</v>
      </c>
      <c r="BI858" s="153" t="n">
        <f aca="false">IF(AND($M858&lt;&gt;"",$N858="VCA",$Q858="LINEAR"),$M858,IF(AND($M858&lt;&gt;"",$N858="MND",$Q858="EMBOQUE"),$AN858*2,0))</f>
        <v>86.8</v>
      </c>
      <c r="BJ858" s="153" t="n">
        <f aca="false">IF(AND($M858&lt;&gt;"",$N858="VCA",$Q858="LINEAR"),($M858*6.8)/100,IF(AND($M858&lt;&gt;"",$N858="MND",$Q858="EMBOQUE"),($AN858*2*6.8)/100,0))</f>
        <v>5.9024</v>
      </c>
      <c r="BK858" s="153" t="n">
        <f aca="false">IF(AND($M858&lt;&gt;"",$N858="VCA",$Q858="LINEAR"),($M858*2.5)/50,IF(AND($M858&lt;&gt;"",$N858="MND",$Q858="EMBOQUE"),($AN858*2*2.5)/50,0))</f>
        <v>4.34</v>
      </c>
      <c r="BL858" s="157" t="str">
        <f aca="false">K858&amp;J858</f>
        <v>Zona07REDES</v>
      </c>
      <c r="BM858" s="152" t="s">
        <v>4225</v>
      </c>
      <c r="BN858" s="152" t="s">
        <v>1560</v>
      </c>
      <c r="BO858" s="152" t="s">
        <v>4803</v>
      </c>
      <c r="BP858" s="152" t="s">
        <v>4731</v>
      </c>
      <c r="BQ858" s="152" t="s">
        <v>4804</v>
      </c>
      <c r="BR858" s="152" t="s">
        <v>4805</v>
      </c>
      <c r="BS858" s="152" t="n">
        <v>205052.555</v>
      </c>
      <c r="BT858" s="152" t="n">
        <v>8236720.135</v>
      </c>
      <c r="BU858" s="152" t="n">
        <v>205096.068</v>
      </c>
      <c r="BV858" s="152" t="n">
        <v>8236649.634</v>
      </c>
      <c r="BW858" s="152" t="n">
        <v>-15.9315873</v>
      </c>
      <c r="BX858" s="152" t="n">
        <v>-47.7546885</v>
      </c>
      <c r="BY858" s="152" t="s">
        <v>4731</v>
      </c>
    </row>
    <row r="859" customFormat="false" ht="13.8" hidden="false" customHeight="false" outlineLevel="0" collapsed="false">
      <c r="A859" s="149" t="n">
        <f aca="false">IF(C859&lt;&gt;"",ROW(A854),"")</f>
        <v>854</v>
      </c>
      <c r="B859" s="150" t="str">
        <f aca="false">HYPERLINK("https://www.google.com/maps/dir/-15.917302,-47.760003/-15.9247065,-47.7756680/data=!4m3!4m2!3e0!5i2")</f>
        <v>https://www.google.com/maps/dir/-15.917302,-47.760003/-15.9247065,-47.7756680/data=!4m3!4m2!3e0!5i2</v>
      </c>
      <c r="C859" s="151" t="s">
        <v>117</v>
      </c>
      <c r="D859" s="152" t="s">
        <v>112</v>
      </c>
      <c r="E859" s="152" t="s">
        <v>113</v>
      </c>
      <c r="F859" s="152" t="s">
        <v>117</v>
      </c>
      <c r="G859" s="152" t="s">
        <v>114</v>
      </c>
      <c r="H859" s="152" t="n">
        <v>280</v>
      </c>
      <c r="I859" s="152" t="s">
        <v>115</v>
      </c>
      <c r="J859" s="152" t="s">
        <v>6</v>
      </c>
      <c r="K859" s="152" t="s">
        <v>2224</v>
      </c>
      <c r="L859" s="152" t="s">
        <v>120</v>
      </c>
      <c r="M859" s="153" t="n">
        <f aca="false">10.66</f>
        <v>10.66</v>
      </c>
      <c r="N859" s="152" t="s">
        <v>1548</v>
      </c>
      <c r="O859" s="152" t="s">
        <v>1549</v>
      </c>
      <c r="P859" s="152" t="s">
        <v>1550</v>
      </c>
      <c r="Q859" s="152" t="s">
        <v>1551</v>
      </c>
      <c r="R859" s="154" t="s">
        <v>4806</v>
      </c>
      <c r="S859" s="154" t="s">
        <v>2226</v>
      </c>
      <c r="T859" s="155" t="s">
        <v>2487</v>
      </c>
      <c r="U859" s="152" t="str">
        <f aca="false">RIGHT(T859,7)</f>
        <v>011/037</v>
      </c>
      <c r="V859" s="152" t="s">
        <v>1555</v>
      </c>
      <c r="W859" s="156" t="n">
        <v>45882</v>
      </c>
      <c r="X859" s="152" t="s">
        <v>1594</v>
      </c>
      <c r="Y859" s="152"/>
      <c r="Z859" s="152" t="s">
        <v>1557</v>
      </c>
      <c r="AA859" s="153" t="n">
        <v>4</v>
      </c>
      <c r="AB859" s="151" t="s">
        <v>4807</v>
      </c>
      <c r="AC859" s="151" t="s">
        <v>499</v>
      </c>
      <c r="AD859" s="151" t="str">
        <f aca="false">CONCATENATE($C859,$I859,$H859,$N859,$J859,$K859)</f>
        <v>TUBO PEADPEAD280VCAREDESADUTORA</v>
      </c>
      <c r="AE859" s="153" t="n">
        <f aca="false">IFERROR(INDEX(APOIO_REDES!$A:$W,MATCH($C859&amp;$I859&amp;$H859&amp;$N859&amp;$O859,APOIO_REDES!$W:$W,0),MATCH(AE$5,APOIO_REDES!$5:$5,0)),0)</f>
        <v>1.2</v>
      </c>
      <c r="AF859" s="153" t="n">
        <f aca="false">IFERROR(INDEX(APOIO_REDES!$A:$W,MATCH($C859&amp;$I859&amp;$H859&amp;$N859&amp;$O859,APOIO_REDES!$W:$W,0),MATCH(AF$5,APOIO_REDES!$5:$5,0)),0)</f>
        <v>1.58</v>
      </c>
      <c r="AG859" s="153" t="n">
        <f aca="false">IFERROR(INDEX(APOIO_REDES!$A:$W,MATCH($C859&amp;$I859&amp;$H859&amp;$N859&amp;$O859,APOIO_REDES!$W:$W,0),MATCH(AG$5,APOIO_REDES!$5:$5,0)),0)</f>
        <v>0.9</v>
      </c>
      <c r="AH859" s="153" t="n">
        <f aca="false">IFERROR(INDEX(APOIO_REDES!$A:$W,MATCH($C859&amp;$I859&amp;$H859&amp;$N859&amp;$O859,APOIO_REDES!$W:$W,0),MATCH(AH$5,APOIO_REDES!$5:$5,0)),0)</f>
        <v>0.1</v>
      </c>
      <c r="AI859" s="153" t="n">
        <f aca="false">IFERROR(IF($H859&lt;&gt;"",(((($H859/1000)/2)^2)*PI()*$M859),0),0)</f>
        <v>0.656391802670437</v>
      </c>
      <c r="AJ859" s="153" t="n">
        <f aca="false">IFERROR(IF(AND($H859&lt;&gt;"",$I859="FoFo",OR($N859="MND",$N859="VCA"),$Q859="LINEAR"),0,IF(AND($H859&lt;&gt;"",$I859="PEAD",$N859="VCA",$Q859="LINEAR"),($H859/1000)+0.3,IF(AND($H859&lt;&gt;"",$I859="PEAD",$N859="MND",$Q859="EMBOQUE"),0,IF(AND($H859&lt;&gt;"",$I859="PVC",$N859="VCA",$Q859="LINEAR"),($H859/1000)+0.2,IF(AND($H859&lt;&gt;"",$I859="PVC",$N859="MND",$Q859="EMBOQUE"),0,IF(AND($H859&lt;&gt;"",$I859="PEAD",$N859="VCA",$Q859="PREDIAL"),0,0)))))),0)</f>
        <v>0.58</v>
      </c>
      <c r="AK859" s="153" t="n">
        <f aca="false">IF(AA859&lt;&gt;"",AA859,0)</f>
        <v>4</v>
      </c>
      <c r="AL859" s="153" t="n">
        <f aca="false">IF(AND($N859="MND",$Q859="EMBOQUE"),$M859,IF(AND($N859="VCA",$Q859="LINEAR"),$M859,IF(AND($N859="VCA",$Q859="PREDIAL"),0,0)))</f>
        <v>10.66</v>
      </c>
      <c r="AM859" s="153" t="n">
        <f aca="false">IF(AND($N859="MND",$Q859="EMBOQUE"),$M859,IF(AND($N859="VCA",$Q859="LINEAR"),$M859,IF(AND($N859="VCA",$Q859="PREDIAL"),0,0)))</f>
        <v>10.66</v>
      </c>
      <c r="AN859" s="153" t="n">
        <f aca="false">ROUND(IF(AND($N859="VCA",$M859&lt;&gt;"",$Q859="LINEAR"),$M859/100,IF(AND($N859="MND",$M859&gt;100,$Q859="EMBOQUE"),$M859/100,0)),0)</f>
        <v>0</v>
      </c>
      <c r="AO859" s="153" t="n">
        <f aca="false">IF(AND($N859="MND",$Q859="EMBOQUE"),$AN859*2*2,IF(AND($N859="VCA",$Q859="LINEAR"),$M859*2,IF(AND($N859="VCA",$Q859="PREDIAL"),0,0)))</f>
        <v>21.32</v>
      </c>
      <c r="AP859" s="153" t="n">
        <f aca="false">IFERROR($M859*$AF859*$AG859,0)</f>
        <v>15.15852</v>
      </c>
      <c r="AQ859" s="153" t="n">
        <f aca="false">IFERROR(IF(AND($N859="VCA",$AH859&gt;0),$M859*$AG859*$AH859,0),0)</f>
        <v>0.9594</v>
      </c>
      <c r="AR859" s="153" t="n">
        <f aca="false">IFERROR(IF(AND($N859="VCA",$AJ859&gt;0),($M859*$AG859*$AJ859)-$AI859,0),0)</f>
        <v>4.90812819732957</v>
      </c>
      <c r="AS859" s="153" t="n">
        <f aca="false">IFERROR(IF(AND($N859="VCA",$AP859&gt;0),$AP859-$AI859-$AQ859-$AR859,0),0)</f>
        <v>8.6346</v>
      </c>
      <c r="AT859" s="153" t="n">
        <f aca="false">IFERROR(IF($N859="VCA",INDEX(APOIO_REDES!$A:$W,MATCH($C859&amp;$I859&amp;$H859&amp;$N859&amp;$O859,APOIO_REDES!$W:$W,0),MATCH(AT$5,APOIO_REDES!$5:$5,0)),0)*$AP859,0)</f>
        <v>0.164929184292897</v>
      </c>
      <c r="AU859" s="153" t="n">
        <f aca="false">IFERROR(IF($N859="VCA",INDEX(APOIO_REDES!$A:$W,MATCH($C859&amp;$I859&amp;$H859&amp;$N859&amp;$O859,APOIO_REDES!$W:$W,0),MATCH(AU$5,APOIO_REDES!$5:$5,0)),0)*$AP859,0)</f>
        <v>0.131707979727509</v>
      </c>
      <c r="AV859" s="153" t="n">
        <f aca="false">IFERROR(IF($N859="VCA",INDEX(APOIO_REDES!$A:$W,MATCH($C859&amp;$I859&amp;$H859&amp;$N859&amp;$O859,APOIO_REDES!$W:$W,0),MATCH(AV$5,APOIO_REDES!$5:$5,0)),0)*$AP859,0)</f>
        <v>0.0182273504461073</v>
      </c>
      <c r="AW859" s="153" t="n">
        <f aca="false">IFERROR(IF($N859="VCA",INDEX(APOIO_REDES!$A:$W,MATCH($C859&amp;$I859&amp;$H859&amp;$N859&amp;$O859,APOIO_REDES!$W:$W,0),MATCH(AW$5,APOIO_REDES!$5:$5,0)),0)*$AP859,0)</f>
        <v>10.4049255819444</v>
      </c>
      <c r="AX859" s="153" t="n">
        <f aca="false">IFERROR(IF($N859="VCA",INDEX(APOIO_REDES!$A:$W,MATCH($C859&amp;$I859&amp;$H859&amp;$N859&amp;$O859,APOIO_REDES!$W:$W,0),MATCH(AX$5,APOIO_REDES!$5:$5,0)),0)*$AP859,0)</f>
        <v>1.44001206154956</v>
      </c>
      <c r="AY859" s="153" t="n">
        <f aca="false">IFERROR(IF($N859="VCA",INDEX(APOIO_REDES!$A:$W,MATCH($C859&amp;$I859&amp;$H859&amp;$N859&amp;$O859,APOIO_REDES!$W:$W,0),MATCH(AY$5,APOIO_REDES!$5:$5,0)),0)*$AP859,0)</f>
        <v>2.63415798904059</v>
      </c>
      <c r="AZ859" s="153" t="n">
        <f aca="false">IFERROR(IF($N859="VCA",INDEX(APOIO_REDES!$A:$W,MATCH($C859&amp;$I859&amp;$H859&amp;$N859&amp;$O859,APOIO_REDES!$W:$W,0),MATCH(AZ$5,APOIO_REDES!$5:$5,0)),0)*$AP859,0)</f>
        <v>0.364559852998916</v>
      </c>
      <c r="BA859" s="153" t="n">
        <f aca="false">IFERROR(IF(AND($N859="VCA",$Q859="LINEAR"),INDEX(APOIO_REDES!$A:$W,MATCH($C859&amp;$I859&amp;$H859&amp;$N859&amp;$O859,APOIO_REDES!$W:$W,0),MATCH(BA$5,APOIO_REDES!$5:$5,0)),IF(AND($N859="MND",$Q859="EMBOQUE"),INDEX(APOIO_REDES!$A:$W,MATCH($C859&amp;$I859&amp;$H859&amp;$N859&amp;$O859,APOIO_REDES!$W:$W,0),MATCH(BA$5,APOIO_REDES!$5:$5,0)),0))*$M859/10,0)</f>
        <v>0.859169111000458</v>
      </c>
      <c r="BB859" s="153" t="n">
        <f aca="false">IFERROR(IF($N859="VCA",INDEX(APOIO_REDES!$A:$W,MATCH($C859&amp;$I859&amp;$H859&amp;$N859&amp;$O859,APOIO_REDES!$W:$W,0),MATCH(BB$5,APOIO_REDES!$5:$5,0)),0)*($AI859+$AQ859+$AR859),0)</f>
        <v>6.45293781941825</v>
      </c>
      <c r="BC859" s="153" t="n">
        <f aca="false">IFERROR(IF($N859="VCA",INDEX(APOIO_REDES!$A:$W,MATCH($C859&amp;$I859&amp;$H859&amp;$N859&amp;$O859,APOIO_REDES!$W:$W,0),MATCH(BC$5,APOIO_REDES!$5:$5,0)),0)*($AI859+$AQ859+$AR859),0)</f>
        <v>0.0709821805817533</v>
      </c>
      <c r="BD859" s="153" t="n">
        <f aca="false">IF(AND($N859="VCA",$AF859&gt;=1.25,$AF859&lt;1.5),$M859*$AF859*2,0)</f>
        <v>0</v>
      </c>
      <c r="BE859" s="153" t="n">
        <f aca="false">IF(AND($N859="VCA",$AF859&gt;=1.5,$AF859&lt;3),$M859*$AF859*2,0)</f>
        <v>33.6856</v>
      </c>
      <c r="BF859" s="153" t="n">
        <f aca="false">IF(AND($N859="VCA",$AF859&gt;=3),$M859*$AF859*2,0)</f>
        <v>0</v>
      </c>
      <c r="BG859" s="153" t="n">
        <f aca="false">($BB859+$BC859)*$AK859</f>
        <v>26.09568</v>
      </c>
      <c r="BH859" s="153" t="n">
        <f aca="false">IF(AND($M859&lt;&gt;"",$N859="VCA",$Q859="LINEAR"),($M859*2)/100,IF(AND($M859&lt;&gt;"",$N859="MND",$Q859="EMBOQUE"),($AN859*2)/100,0))</f>
        <v>0.2132</v>
      </c>
      <c r="BI859" s="153" t="n">
        <f aca="false">IF(AND($M859&lt;&gt;"",$N859="VCA",$Q859="LINEAR"),$M859,IF(AND($M859&lt;&gt;"",$N859="MND",$Q859="EMBOQUE"),$AN859*2,0))</f>
        <v>10.66</v>
      </c>
      <c r="BJ859" s="153" t="n">
        <f aca="false">IF(AND($M859&lt;&gt;"",$N859="VCA",$Q859="LINEAR"),($M859*6.8)/100,IF(AND($M859&lt;&gt;"",$N859="MND",$Q859="EMBOQUE"),($AN859*2*6.8)/100,0))</f>
        <v>0.72488</v>
      </c>
      <c r="BK859" s="153" t="n">
        <f aca="false">IF(AND($M859&lt;&gt;"",$N859="VCA",$Q859="LINEAR"),($M859*2.5)/50,IF(AND($M859&lt;&gt;"",$N859="MND",$Q859="EMBOQUE"),($AN859*2*2.5)/50,0))</f>
        <v>0.533</v>
      </c>
      <c r="BL859" s="157" t="str">
        <f aca="false">K859&amp;J859</f>
        <v>ADUTORAREDES</v>
      </c>
      <c r="BM859" s="152" t="s">
        <v>2229</v>
      </c>
      <c r="BN859" s="152" t="s">
        <v>2230</v>
      </c>
      <c r="BO859" s="152" t="s">
        <v>2489</v>
      </c>
      <c r="BP859" s="152" t="s">
        <v>4808</v>
      </c>
      <c r="BQ859" s="152" t="s">
        <v>2032</v>
      </c>
      <c r="BR859" s="152" t="s">
        <v>2248</v>
      </c>
      <c r="BS859" s="152" t="n">
        <v>202816.545</v>
      </c>
      <c r="BT859" s="152" t="n">
        <v>8237416.953</v>
      </c>
      <c r="BU859" s="152" t="n">
        <v>202809.671</v>
      </c>
      <c r="BV859" s="152" t="n">
        <v>8237425.037</v>
      </c>
      <c r="BW859" s="152" t="n">
        <v>-15.9246696</v>
      </c>
      <c r="BX859" s="152" t="n">
        <v>-47.7756992</v>
      </c>
      <c r="BY859" s="152" t="s">
        <v>4808</v>
      </c>
    </row>
    <row r="860" customFormat="false" ht="13.8" hidden="false" customHeight="false" outlineLevel="0" collapsed="false">
      <c r="A860" s="149" t="n">
        <f aca="false">IF(C860&lt;&gt;"",ROW(A855),"")</f>
        <v>855</v>
      </c>
      <c r="B860" s="150" t="str">
        <f aca="false">HYPERLINK("https://www.google.com/maps/dir/-15.917302,-47.760003/-15.9247181,-47.7756823/data=!4m3!4m2!3e0!5i2")</f>
        <v>https://www.google.com/maps/dir/-15.917302,-47.760003/-15.9247181,-47.7756823/data=!4m3!4m2!3e0!5i2</v>
      </c>
      <c r="C860" s="151" t="s">
        <v>117</v>
      </c>
      <c r="D860" s="152" t="s">
        <v>112</v>
      </c>
      <c r="E860" s="152" t="s">
        <v>113</v>
      </c>
      <c r="F860" s="152" t="s">
        <v>117</v>
      </c>
      <c r="G860" s="152" t="s">
        <v>114</v>
      </c>
      <c r="H860" s="152" t="n">
        <v>280</v>
      </c>
      <c r="I860" s="152" t="s">
        <v>115</v>
      </c>
      <c r="J860" s="152" t="s">
        <v>6</v>
      </c>
      <c r="K860" s="152" t="s">
        <v>2224</v>
      </c>
      <c r="L860" s="152" t="s">
        <v>120</v>
      </c>
      <c r="M860" s="153" t="n">
        <f aca="false">1.95</f>
        <v>1.95</v>
      </c>
      <c r="N860" s="152" t="s">
        <v>1548</v>
      </c>
      <c r="O860" s="152" t="s">
        <v>1549</v>
      </c>
      <c r="P860" s="152" t="s">
        <v>1550</v>
      </c>
      <c r="Q860" s="152" t="s">
        <v>1551</v>
      </c>
      <c r="R860" s="154" t="s">
        <v>4809</v>
      </c>
      <c r="S860" s="154" t="s">
        <v>2226</v>
      </c>
      <c r="T860" s="155" t="s">
        <v>2487</v>
      </c>
      <c r="U860" s="152" t="str">
        <f aca="false">RIGHT(T860,7)</f>
        <v>011/037</v>
      </c>
      <c r="V860" s="152" t="s">
        <v>1555</v>
      </c>
      <c r="W860" s="156" t="n">
        <v>45882</v>
      </c>
      <c r="X860" s="152" t="s">
        <v>1594</v>
      </c>
      <c r="Y860" s="152"/>
      <c r="Z860" s="152" t="s">
        <v>1557</v>
      </c>
      <c r="AA860" s="153" t="n">
        <v>4</v>
      </c>
      <c r="AB860" s="151" t="s">
        <v>4810</v>
      </c>
      <c r="AC860" s="151" t="s">
        <v>499</v>
      </c>
      <c r="AD860" s="151" t="str">
        <f aca="false">CONCATENATE($C860,$I860,$H860,$N860,$J860,$K860)</f>
        <v>TUBO PEADPEAD280VCAREDESADUTORA</v>
      </c>
      <c r="AE860" s="153" t="n">
        <f aca="false">IFERROR(INDEX(APOIO_REDES!$A:$W,MATCH($C860&amp;$I860&amp;$H860&amp;$N860&amp;$O860,APOIO_REDES!$W:$W,0),MATCH(AE$5,APOIO_REDES!$5:$5,0)),0)</f>
        <v>1.2</v>
      </c>
      <c r="AF860" s="153" t="n">
        <f aca="false">IFERROR(INDEX(APOIO_REDES!$A:$W,MATCH($C860&amp;$I860&amp;$H860&amp;$N860&amp;$O860,APOIO_REDES!$W:$W,0),MATCH(AF$5,APOIO_REDES!$5:$5,0)),0)</f>
        <v>1.58</v>
      </c>
      <c r="AG860" s="153" t="n">
        <f aca="false">IFERROR(INDEX(APOIO_REDES!$A:$W,MATCH($C860&amp;$I860&amp;$H860&amp;$N860&amp;$O860,APOIO_REDES!$W:$W,0),MATCH(AG$5,APOIO_REDES!$5:$5,0)),0)</f>
        <v>0.9</v>
      </c>
      <c r="AH860" s="153" t="n">
        <f aca="false">IFERROR(INDEX(APOIO_REDES!$A:$W,MATCH($C860&amp;$I860&amp;$H860&amp;$N860&amp;$O860,APOIO_REDES!$W:$W,0),MATCH(AH$5,APOIO_REDES!$5:$5,0)),0)</f>
        <v>0.1</v>
      </c>
      <c r="AI860" s="153" t="n">
        <f aca="false">IFERROR(IF($H860&lt;&gt;"",(((($H860/1000)/2)^2)*PI()*$M860),0),0)</f>
        <v>0.120071671220202</v>
      </c>
      <c r="AJ860" s="153" t="n">
        <f aca="false">IFERROR(IF(AND($H860&lt;&gt;"",$I860="FoFo",OR($N860="MND",$N860="VCA"),$Q860="LINEAR"),0,IF(AND($H860&lt;&gt;"",$I860="PEAD",$N860="VCA",$Q860="LINEAR"),($H860/1000)+0.3,IF(AND($H860&lt;&gt;"",$I860="PEAD",$N860="MND",$Q860="EMBOQUE"),0,IF(AND($H860&lt;&gt;"",$I860="PVC",$N860="VCA",$Q860="LINEAR"),($H860/1000)+0.2,IF(AND($H860&lt;&gt;"",$I860="PVC",$N860="MND",$Q860="EMBOQUE"),0,IF(AND($H860&lt;&gt;"",$I860="PEAD",$N860="VCA",$Q860="PREDIAL"),0,0)))))),0)</f>
        <v>0.58</v>
      </c>
      <c r="AK860" s="153" t="n">
        <f aca="false">IF(AA860&lt;&gt;"",AA860,0)</f>
        <v>4</v>
      </c>
      <c r="AL860" s="153" t="n">
        <f aca="false">IF(AND($N860="MND",$Q860="EMBOQUE"),$M860,IF(AND($N860="VCA",$Q860="LINEAR"),$M860,IF(AND($N860="VCA",$Q860="PREDIAL"),0,0)))</f>
        <v>1.95</v>
      </c>
      <c r="AM860" s="153" t="n">
        <f aca="false">IF(AND($N860="MND",$Q860="EMBOQUE"),$M860,IF(AND($N860="VCA",$Q860="LINEAR"),$M860,IF(AND($N860="VCA",$Q860="PREDIAL"),0,0)))</f>
        <v>1.95</v>
      </c>
      <c r="AN860" s="153" t="n">
        <f aca="false">ROUND(IF(AND($N860="VCA",$M860&lt;&gt;"",$Q860="LINEAR"),$M860/100,IF(AND($N860="MND",$M860&gt;100,$Q860="EMBOQUE"),$M860/100,0)),0)</f>
        <v>0</v>
      </c>
      <c r="AO860" s="153" t="n">
        <f aca="false">IF(AND($N860="MND",$Q860="EMBOQUE"),$AN860*2*2,IF(AND($N860="VCA",$Q860="LINEAR"),$M860*2,IF(AND($N860="VCA",$Q860="PREDIAL"),0,0)))</f>
        <v>3.9</v>
      </c>
      <c r="AP860" s="153" t="n">
        <f aca="false">IFERROR($M860*$AF860*$AG860,0)</f>
        <v>2.7729</v>
      </c>
      <c r="AQ860" s="153" t="n">
        <f aca="false">IFERROR(IF(AND($N860="VCA",$AH860&gt;0),$M860*$AG860*$AH860,0),0)</f>
        <v>0.1755</v>
      </c>
      <c r="AR860" s="153" t="n">
        <f aca="false">IFERROR(IF(AND($N860="VCA",$AJ860&gt;0),($M860*$AG860*$AJ860)-$AI860,0),0)</f>
        <v>0.897828328779798</v>
      </c>
      <c r="AS860" s="153" t="n">
        <f aca="false">IFERROR(IF(AND($N860="VCA",$AP860&gt;0),$AP860-$AI860-$AQ860-$AR860,0),0)</f>
        <v>1.5795</v>
      </c>
      <c r="AT860" s="153" t="n">
        <f aca="false">IFERROR(IF($N860="VCA",INDEX(APOIO_REDES!$A:$W,MATCH($C860&amp;$I860&amp;$H860&amp;$N860&amp;$O860,APOIO_REDES!$W:$W,0),MATCH(AT$5,APOIO_REDES!$5:$5,0)),0)*$AP860,0)</f>
        <v>0.0301699727365056</v>
      </c>
      <c r="AU860" s="153" t="n">
        <f aca="false">IFERROR(IF($N860="VCA",INDEX(APOIO_REDES!$A:$W,MATCH($C860&amp;$I860&amp;$H860&amp;$N860&amp;$O860,APOIO_REDES!$W:$W,0),MATCH(AU$5,APOIO_REDES!$5:$5,0)),0)*$AP860,0)</f>
        <v>0.0240929231208858</v>
      </c>
      <c r="AV860" s="153" t="n">
        <f aca="false">IFERROR(IF($N860="VCA",INDEX(APOIO_REDES!$A:$W,MATCH($C860&amp;$I860&amp;$H860&amp;$N860&amp;$O860,APOIO_REDES!$W:$W,0),MATCH(AV$5,APOIO_REDES!$5:$5,0)),0)*$AP860,0)</f>
        <v>0.00333427142306841</v>
      </c>
      <c r="AW860" s="153" t="n">
        <f aca="false">IFERROR(IF($N860="VCA",INDEX(APOIO_REDES!$A:$W,MATCH($C860&amp;$I860&amp;$H860&amp;$N860&amp;$O860,APOIO_REDES!$W:$W,0),MATCH(AW$5,APOIO_REDES!$5:$5,0)),0)*$AP860,0)</f>
        <v>1.90334004547764</v>
      </c>
      <c r="AX860" s="153" t="n">
        <f aca="false">IFERROR(IF($N860="VCA",INDEX(APOIO_REDES!$A:$W,MATCH($C860&amp;$I860&amp;$H860&amp;$N860&amp;$O860,APOIO_REDES!$W:$W,0),MATCH(AX$5,APOIO_REDES!$5:$5,0)),0)*$AP860,0)</f>
        <v>0.263416840527358</v>
      </c>
      <c r="AY860" s="153" t="n">
        <f aca="false">IFERROR(IF($N860="VCA",INDEX(APOIO_REDES!$A:$W,MATCH($C860&amp;$I860&amp;$H860&amp;$N860&amp;$O860,APOIO_REDES!$W:$W,0),MATCH(AY$5,APOIO_REDES!$5:$5,0)),0)*$AP860,0)</f>
        <v>0.481858168726936</v>
      </c>
      <c r="AZ860" s="153" t="n">
        <f aca="false">IFERROR(IF($N860="VCA",INDEX(APOIO_REDES!$A:$W,MATCH($C860&amp;$I860&amp;$H860&amp;$N860&amp;$O860,APOIO_REDES!$W:$W,0),MATCH(AZ$5,APOIO_REDES!$5:$5,0)),0)*$AP860,0)</f>
        <v>0.0666877779876065</v>
      </c>
      <c r="BA860" s="153" t="n">
        <f aca="false">IFERROR(IF(AND($N860="VCA",$Q860="LINEAR"),INDEX(APOIO_REDES!$A:$W,MATCH($C860&amp;$I860&amp;$H860&amp;$N860&amp;$O860,APOIO_REDES!$W:$W,0),MATCH(BA$5,APOIO_REDES!$5:$5,0)),IF(AND($N860="MND",$Q860="EMBOQUE"),INDEX(APOIO_REDES!$A:$W,MATCH($C860&amp;$I860&amp;$H860&amp;$N860&amp;$O860,APOIO_REDES!$W:$W,0),MATCH(BA$5,APOIO_REDES!$5:$5,0)),0))*$M860/10,0)</f>
        <v>0.157165081280572</v>
      </c>
      <c r="BB860" s="153" t="n">
        <f aca="false">IFERROR(IF($N860="VCA",INDEX(APOIO_REDES!$A:$W,MATCH($C860&amp;$I860&amp;$H860&amp;$N860&amp;$O860,APOIO_REDES!$W:$W,0),MATCH(BB$5,APOIO_REDES!$5:$5,0)),0)*($AI860+$AQ860+$AR860),0)</f>
        <v>1.18041545477163</v>
      </c>
      <c r="BC860" s="153" t="n">
        <f aca="false">IFERROR(IF($N860="VCA",INDEX(APOIO_REDES!$A:$W,MATCH($C860&amp;$I860&amp;$H860&amp;$N860&amp;$O860,APOIO_REDES!$W:$W,0),MATCH(BC$5,APOIO_REDES!$5:$5,0)),0)*($AI860+$AQ860+$AR860),0)</f>
        <v>0.0129845452283695</v>
      </c>
      <c r="BD860" s="153" t="n">
        <f aca="false">IF(AND($N860="VCA",$AF860&gt;=1.25,$AF860&lt;1.5),$M860*$AF860*2,0)</f>
        <v>0</v>
      </c>
      <c r="BE860" s="153" t="n">
        <f aca="false">IF(AND($N860="VCA",$AF860&gt;=1.5,$AF860&lt;3),$M860*$AF860*2,0)</f>
        <v>6.162</v>
      </c>
      <c r="BF860" s="153" t="n">
        <f aca="false">IF(AND($N860="VCA",$AF860&gt;=3),$M860*$AF860*2,0)</f>
        <v>0</v>
      </c>
      <c r="BG860" s="153" t="n">
        <f aca="false">($BB860+$BC860)*$AK860</f>
        <v>4.7736</v>
      </c>
      <c r="BH860" s="153" t="n">
        <f aca="false">IF(AND($M860&lt;&gt;"",$N860="VCA",$Q860="LINEAR"),($M860*2)/100,IF(AND($M860&lt;&gt;"",$N860="MND",$Q860="EMBOQUE"),($AN860*2)/100,0))</f>
        <v>0.039</v>
      </c>
      <c r="BI860" s="153" t="n">
        <f aca="false">IF(AND($M860&lt;&gt;"",$N860="VCA",$Q860="LINEAR"),$M860,IF(AND($M860&lt;&gt;"",$N860="MND",$Q860="EMBOQUE"),$AN860*2,0))</f>
        <v>1.95</v>
      </c>
      <c r="BJ860" s="153" t="n">
        <f aca="false">IF(AND($M860&lt;&gt;"",$N860="VCA",$Q860="LINEAR"),($M860*6.8)/100,IF(AND($M860&lt;&gt;"",$N860="MND",$Q860="EMBOQUE"),($AN860*2*6.8)/100,0))</f>
        <v>0.1326</v>
      </c>
      <c r="BK860" s="153" t="n">
        <f aca="false">IF(AND($M860&lt;&gt;"",$N860="VCA",$Q860="LINEAR"),($M860*2.5)/50,IF(AND($M860&lt;&gt;"",$N860="MND",$Q860="EMBOQUE"),($AN860*2*2.5)/50,0))</f>
        <v>0.0975</v>
      </c>
      <c r="BL860" s="157" t="str">
        <f aca="false">K860&amp;J860</f>
        <v>ADUTORAREDES</v>
      </c>
      <c r="BM860" s="152" t="s">
        <v>2229</v>
      </c>
      <c r="BN860" s="152" t="s">
        <v>2230</v>
      </c>
      <c r="BO860" s="152" t="s">
        <v>2489</v>
      </c>
      <c r="BP860" s="152" t="s">
        <v>4811</v>
      </c>
      <c r="BQ860" s="152" t="s">
        <v>4808</v>
      </c>
      <c r="BR860" s="152" t="s">
        <v>2248</v>
      </c>
      <c r="BS860" s="152" t="n">
        <v>202815.068</v>
      </c>
      <c r="BT860" s="152" t="n">
        <v>8237415.684</v>
      </c>
      <c r="BU860" s="152" t="n">
        <v>202816.545</v>
      </c>
      <c r="BV860" s="152" t="n">
        <v>8237416.953</v>
      </c>
      <c r="BW860" s="152" t="n">
        <v>-15.9247122</v>
      </c>
      <c r="BX860" s="152" t="n">
        <v>-47.7756749</v>
      </c>
      <c r="BY860" s="152" t="s">
        <v>4812</v>
      </c>
    </row>
    <row r="861" customFormat="false" ht="13.8" hidden="false" customHeight="false" outlineLevel="0" collapsed="false">
      <c r="A861" s="149" t="n">
        <f aca="false">IF(C861&lt;&gt;"",ROW(A856),"")</f>
        <v>856</v>
      </c>
      <c r="B861" s="150" t="str">
        <f aca="false">HYPERLINK("https://www.google.com/maps/dir/-15.917302,-47.760003/-15.9247181,-47.7756823/data=!4m3!4m2!3e0!5i2")</f>
        <v>https://www.google.com/maps/dir/-15.917302,-47.760003/-15.9247181,-47.7756823/data=!4m3!4m2!3e0!5i2</v>
      </c>
      <c r="C861" s="151" t="s">
        <v>117</v>
      </c>
      <c r="D861" s="152" t="s">
        <v>112</v>
      </c>
      <c r="E861" s="152" t="s">
        <v>113</v>
      </c>
      <c r="F861" s="152" t="s">
        <v>117</v>
      </c>
      <c r="G861" s="152" t="s">
        <v>114</v>
      </c>
      <c r="H861" s="152" t="n">
        <v>280</v>
      </c>
      <c r="I861" s="152" t="s">
        <v>115</v>
      </c>
      <c r="J861" s="152" t="s">
        <v>6</v>
      </c>
      <c r="K861" s="152" t="s">
        <v>2224</v>
      </c>
      <c r="L861" s="152" t="s">
        <v>120</v>
      </c>
      <c r="M861" s="153" t="n">
        <f aca="false">17.65</f>
        <v>17.65</v>
      </c>
      <c r="N861" s="152" t="s">
        <v>1548</v>
      </c>
      <c r="O861" s="152" t="s">
        <v>1549</v>
      </c>
      <c r="P861" s="152" t="s">
        <v>1550</v>
      </c>
      <c r="Q861" s="152" t="s">
        <v>1551</v>
      </c>
      <c r="R861" s="154" t="s">
        <v>4813</v>
      </c>
      <c r="S861" s="154" t="s">
        <v>2226</v>
      </c>
      <c r="T861" s="155" t="s">
        <v>2487</v>
      </c>
      <c r="U861" s="152" t="str">
        <f aca="false">RIGHT(T861,7)</f>
        <v>011/037</v>
      </c>
      <c r="V861" s="152" t="s">
        <v>1555</v>
      </c>
      <c r="W861" s="156" t="n">
        <v>45882</v>
      </c>
      <c r="X861" s="152" t="s">
        <v>1594</v>
      </c>
      <c r="Y861" s="152"/>
      <c r="Z861" s="152" t="s">
        <v>1557</v>
      </c>
      <c r="AA861" s="153" t="n">
        <v>4</v>
      </c>
      <c r="AB861" s="151" t="s">
        <v>4814</v>
      </c>
      <c r="AC861" s="151" t="s">
        <v>499</v>
      </c>
      <c r="AD861" s="151" t="str">
        <f aca="false">CONCATENATE($C861,$I861,$H861,$N861,$J861,$K861)</f>
        <v>TUBO PEADPEAD280VCAREDESADUTORA</v>
      </c>
      <c r="AE861" s="153" t="n">
        <f aca="false">IFERROR(INDEX(APOIO_REDES!$A:$W,MATCH($C861&amp;$I861&amp;$H861&amp;$N861&amp;$O861,APOIO_REDES!$W:$W,0),MATCH(AE$5,APOIO_REDES!$5:$5,0)),0)</f>
        <v>1.2</v>
      </c>
      <c r="AF861" s="153" t="n">
        <f aca="false">IFERROR(INDEX(APOIO_REDES!$A:$W,MATCH($C861&amp;$I861&amp;$H861&amp;$N861&amp;$O861,APOIO_REDES!$W:$W,0),MATCH(AF$5,APOIO_REDES!$5:$5,0)),0)</f>
        <v>1.58</v>
      </c>
      <c r="AG861" s="153" t="n">
        <f aca="false">IFERROR(INDEX(APOIO_REDES!$A:$W,MATCH($C861&amp;$I861&amp;$H861&amp;$N861&amp;$O861,APOIO_REDES!$W:$W,0),MATCH(AG$5,APOIO_REDES!$5:$5,0)),0)</f>
        <v>0.9</v>
      </c>
      <c r="AH861" s="153" t="n">
        <f aca="false">IFERROR(INDEX(APOIO_REDES!$A:$W,MATCH($C861&amp;$I861&amp;$H861&amp;$N861&amp;$O861,APOIO_REDES!$W:$W,0),MATCH(AH$5,APOIO_REDES!$5:$5,0)),0)</f>
        <v>0.1</v>
      </c>
      <c r="AI861" s="153" t="n">
        <f aca="false">IFERROR(IF($H861&lt;&gt;"",(((($H861/1000)/2)^2)*PI()*$M861),0),0)</f>
        <v>1.08680256258285</v>
      </c>
      <c r="AJ861" s="153" t="n">
        <f aca="false">IFERROR(IF(AND($H861&lt;&gt;"",$I861="FoFo",OR($N861="MND",$N861="VCA"),$Q861="LINEAR"),0,IF(AND($H861&lt;&gt;"",$I861="PEAD",$N861="VCA",$Q861="LINEAR"),($H861/1000)+0.3,IF(AND($H861&lt;&gt;"",$I861="PEAD",$N861="MND",$Q861="EMBOQUE"),0,IF(AND($H861&lt;&gt;"",$I861="PVC",$N861="VCA",$Q861="LINEAR"),($H861/1000)+0.2,IF(AND($H861&lt;&gt;"",$I861="PVC",$N861="MND",$Q861="EMBOQUE"),0,IF(AND($H861&lt;&gt;"",$I861="PEAD",$N861="VCA",$Q861="PREDIAL"),0,0)))))),0)</f>
        <v>0.58</v>
      </c>
      <c r="AK861" s="153" t="n">
        <f aca="false">IF(AA861&lt;&gt;"",AA861,0)</f>
        <v>4</v>
      </c>
      <c r="AL861" s="153" t="n">
        <f aca="false">IF(AND($N861="MND",$Q861="EMBOQUE"),$M861,IF(AND($N861="VCA",$Q861="LINEAR"),$M861,IF(AND($N861="VCA",$Q861="PREDIAL"),0,0)))</f>
        <v>17.65</v>
      </c>
      <c r="AM861" s="153" t="n">
        <f aca="false">IF(AND($N861="MND",$Q861="EMBOQUE"),$M861,IF(AND($N861="VCA",$Q861="LINEAR"),$M861,IF(AND($N861="VCA",$Q861="PREDIAL"),0,0)))</f>
        <v>17.65</v>
      </c>
      <c r="AN861" s="153" t="n">
        <f aca="false">ROUND(IF(AND($N861="VCA",$M861&lt;&gt;"",$Q861="LINEAR"),$M861/100,IF(AND($N861="MND",$M861&gt;100,$Q861="EMBOQUE"),$M861/100,0)),0)</f>
        <v>0</v>
      </c>
      <c r="AO861" s="153" t="n">
        <f aca="false">IF(AND($N861="MND",$Q861="EMBOQUE"),$AN861*2*2,IF(AND($N861="VCA",$Q861="LINEAR"),$M861*2,IF(AND($N861="VCA",$Q861="PREDIAL"),0,0)))</f>
        <v>35.3</v>
      </c>
      <c r="AP861" s="153" t="n">
        <f aca="false">IFERROR($M861*$AF861*$AG861,0)</f>
        <v>25.0983</v>
      </c>
      <c r="AQ861" s="153" t="n">
        <f aca="false">IFERROR(IF(AND($N861="VCA",$AH861&gt;0),$M861*$AG861*$AH861,0),0)</f>
        <v>1.5885</v>
      </c>
      <c r="AR861" s="153" t="n">
        <f aca="false">IFERROR(IF(AND($N861="VCA",$AJ861&gt;0),($M861*$AG861*$AJ861)-$AI861,0),0)</f>
        <v>8.12649743741715</v>
      </c>
      <c r="AS861" s="153" t="n">
        <f aca="false">IFERROR(IF(AND($N861="VCA",$AP861&gt;0),$AP861-$AI861-$AQ861-$AR861,0),0)</f>
        <v>14.2965</v>
      </c>
      <c r="AT861" s="153" t="n">
        <f aca="false">IFERROR(IF($N861="VCA",INDEX(APOIO_REDES!$A:$W,MATCH($C861&amp;$I861&amp;$H861&amp;$N861&amp;$O861,APOIO_REDES!$W:$W,0),MATCH(AT$5,APOIO_REDES!$5:$5,0)),0)*$AP861,0)</f>
        <v>0.273076932717602</v>
      </c>
      <c r="AU861" s="153" t="n">
        <f aca="false">IFERROR(IF($N861="VCA",INDEX(APOIO_REDES!$A:$W,MATCH($C861&amp;$I861&amp;$H861&amp;$N861&amp;$O861,APOIO_REDES!$W:$W,0),MATCH(AU$5,APOIO_REDES!$5:$5,0)),0)*$AP861,0)</f>
        <v>0.218071842606992</v>
      </c>
      <c r="AV861" s="153" t="n">
        <f aca="false">IFERROR(IF($N861="VCA",INDEX(APOIO_REDES!$A:$W,MATCH($C861&amp;$I861&amp;$H861&amp;$N861&amp;$O861,APOIO_REDES!$W:$W,0),MATCH(AV$5,APOIO_REDES!$5:$5,0)),0)*$AP861,0)</f>
        <v>0.0301794310857217</v>
      </c>
      <c r="AW861" s="153" t="n">
        <f aca="false">IFERROR(IF($N861="VCA",INDEX(APOIO_REDES!$A:$W,MATCH($C861&amp;$I861&amp;$H861&amp;$N861&amp;$O861,APOIO_REDES!$W:$W,0),MATCH(AW$5,APOIO_REDES!$5:$5,0)),0)*$AP861,0)</f>
        <v>17.2276675911181</v>
      </c>
      <c r="AX861" s="153" t="n">
        <f aca="false">IFERROR(IF($N861="VCA",INDEX(APOIO_REDES!$A:$W,MATCH($C861&amp;$I861&amp;$H861&amp;$N861&amp;$O861,APOIO_REDES!$W:$W,0),MATCH(AX$5,APOIO_REDES!$5:$5,0)),0)*$AP861,0)</f>
        <v>2.3842601206707</v>
      </c>
      <c r="AY861" s="153" t="n">
        <f aca="false">IFERROR(IF($N861="VCA",INDEX(APOIO_REDES!$A:$W,MATCH($C861&amp;$I861&amp;$H861&amp;$N861&amp;$O861,APOIO_REDES!$W:$W,0),MATCH(AY$5,APOIO_REDES!$5:$5,0)),0)*$AP861,0)</f>
        <v>4.36143419386176</v>
      </c>
      <c r="AZ861" s="153" t="n">
        <f aca="false">IFERROR(IF($N861="VCA",INDEX(APOIO_REDES!$A:$W,MATCH($C861&amp;$I861&amp;$H861&amp;$N861&amp;$O861,APOIO_REDES!$W:$W,0),MATCH(AZ$5,APOIO_REDES!$5:$5,0)),0)*$AP861,0)</f>
        <v>0.603609887939105</v>
      </c>
      <c r="BA861" s="153" t="n">
        <f aca="false">IFERROR(IF(AND($N861="VCA",$Q861="LINEAR"),INDEX(APOIO_REDES!$A:$W,MATCH($C861&amp;$I861&amp;$H861&amp;$N861&amp;$O861,APOIO_REDES!$W:$W,0),MATCH(BA$5,APOIO_REDES!$5:$5,0)),IF(AND($N861="MND",$Q861="EMBOQUE"),INDEX(APOIO_REDES!$A:$W,MATCH($C861&amp;$I861&amp;$H861&amp;$N861&amp;$O861,APOIO_REDES!$W:$W,0),MATCH(BA$5,APOIO_REDES!$5:$5,0)),0))*$M861/10,0)</f>
        <v>1.42254547928312</v>
      </c>
      <c r="BB861" s="153" t="n">
        <f aca="false">IFERROR(IF($N861="VCA",INDEX(APOIO_REDES!$A:$W,MATCH($C861&amp;$I861&amp;$H861&amp;$N861&amp;$O861,APOIO_REDES!$W:$W,0),MATCH(BB$5,APOIO_REDES!$5:$5,0)),0)*($AI861+$AQ861+$AR861),0)</f>
        <v>10.6842732188304</v>
      </c>
      <c r="BC861" s="153" t="n">
        <f aca="false">IFERROR(IF($N861="VCA",INDEX(APOIO_REDES!$A:$W,MATCH($C861&amp;$I861&amp;$H861&amp;$N861&amp;$O861,APOIO_REDES!$W:$W,0),MATCH(BC$5,APOIO_REDES!$5:$5,0)),0)*($AI861+$AQ861+$AR861),0)</f>
        <v>0.117526781169601</v>
      </c>
      <c r="BD861" s="153" t="n">
        <f aca="false">IF(AND($N861="VCA",$AF861&gt;=1.25,$AF861&lt;1.5),$M861*$AF861*2,0)</f>
        <v>0</v>
      </c>
      <c r="BE861" s="153" t="n">
        <f aca="false">IF(AND($N861="VCA",$AF861&gt;=1.5,$AF861&lt;3),$M861*$AF861*2,0)</f>
        <v>55.774</v>
      </c>
      <c r="BF861" s="153" t="n">
        <f aca="false">IF(AND($N861="VCA",$AF861&gt;=3),$M861*$AF861*2,0)</f>
        <v>0</v>
      </c>
      <c r="BG861" s="153" t="n">
        <f aca="false">($BB861+$BC861)*$AK861</f>
        <v>43.2072</v>
      </c>
      <c r="BH861" s="153" t="n">
        <f aca="false">IF(AND($M861&lt;&gt;"",$N861="VCA",$Q861="LINEAR"),($M861*2)/100,IF(AND($M861&lt;&gt;"",$N861="MND",$Q861="EMBOQUE"),($AN861*2)/100,0))</f>
        <v>0.353</v>
      </c>
      <c r="BI861" s="153" t="n">
        <f aca="false">IF(AND($M861&lt;&gt;"",$N861="VCA",$Q861="LINEAR"),$M861,IF(AND($M861&lt;&gt;"",$N861="MND",$Q861="EMBOQUE"),$AN861*2,0))</f>
        <v>17.65</v>
      </c>
      <c r="BJ861" s="153" t="n">
        <f aca="false">IF(AND($M861&lt;&gt;"",$N861="VCA",$Q861="LINEAR"),($M861*6.8)/100,IF(AND($M861&lt;&gt;"",$N861="MND",$Q861="EMBOQUE"),($AN861*2*6.8)/100,0))</f>
        <v>1.2002</v>
      </c>
      <c r="BK861" s="153" t="n">
        <f aca="false">IF(AND($M861&lt;&gt;"",$N861="VCA",$Q861="LINEAR"),($M861*2.5)/50,IF(AND($M861&lt;&gt;"",$N861="MND",$Q861="EMBOQUE"),($AN861*2*2.5)/50,0))</f>
        <v>0.8825</v>
      </c>
      <c r="BL861" s="157" t="str">
        <f aca="false">K861&amp;J861</f>
        <v>ADUTORAREDES</v>
      </c>
      <c r="BM861" s="152" t="s">
        <v>2229</v>
      </c>
      <c r="BN861" s="152" t="s">
        <v>2230</v>
      </c>
      <c r="BO861" s="152" t="s">
        <v>2489</v>
      </c>
      <c r="BP861" s="152" t="s">
        <v>4811</v>
      </c>
      <c r="BQ861" s="152" t="s">
        <v>4815</v>
      </c>
      <c r="BR861" s="152" t="s">
        <v>4816</v>
      </c>
      <c r="BS861" s="152" t="n">
        <v>202815.029</v>
      </c>
      <c r="BT861" s="152" t="n">
        <v>8237415.648</v>
      </c>
      <c r="BU861" s="152" t="n">
        <v>202828.248</v>
      </c>
      <c r="BV861" s="152" t="n">
        <v>8237404.133</v>
      </c>
      <c r="BW861" s="152" t="n">
        <v>-15.9247767</v>
      </c>
      <c r="BX861" s="152" t="n">
        <v>-47.7756269</v>
      </c>
      <c r="BY861" s="152" t="s">
        <v>4812</v>
      </c>
    </row>
    <row r="862" customFormat="false" ht="13.8" hidden="false" customHeight="false" outlineLevel="0" collapsed="false">
      <c r="A862" s="149" t="n">
        <f aca="false">IF(C862&lt;&gt;"",ROW(A857),"")</f>
        <v>857</v>
      </c>
      <c r="B862" s="150" t="str">
        <f aca="false">HYPERLINK("https://www.google.com/maps/dir/-15.917302,-47.760003/-15.9248237,-47.7755604/data=!4m3!4m2!3e0!5i2")</f>
        <v>https://www.google.com/maps/dir/-15.917302,-47.760003/-15.9248237,-47.7755604/data=!4m3!4m2!3e0!5i2</v>
      </c>
      <c r="C862" s="151" t="s">
        <v>117</v>
      </c>
      <c r="D862" s="152" t="s">
        <v>112</v>
      </c>
      <c r="E862" s="152" t="s">
        <v>113</v>
      </c>
      <c r="F862" s="152" t="s">
        <v>117</v>
      </c>
      <c r="G862" s="152" t="s">
        <v>114</v>
      </c>
      <c r="H862" s="152" t="n">
        <v>315</v>
      </c>
      <c r="I862" s="152" t="s">
        <v>115</v>
      </c>
      <c r="J862" s="152" t="s">
        <v>6</v>
      </c>
      <c r="K862" s="152" t="s">
        <v>2224</v>
      </c>
      <c r="L862" s="152" t="s">
        <v>120</v>
      </c>
      <c r="M862" s="153" t="n">
        <f aca="false">2.69</f>
        <v>2.69</v>
      </c>
      <c r="N862" s="152" t="s">
        <v>1548</v>
      </c>
      <c r="O862" s="152" t="s">
        <v>1549</v>
      </c>
      <c r="P862" s="152" t="s">
        <v>1550</v>
      </c>
      <c r="Q862" s="152" t="s">
        <v>1551</v>
      </c>
      <c r="R862" s="154" t="s">
        <v>4817</v>
      </c>
      <c r="S862" s="154" t="s">
        <v>2226</v>
      </c>
      <c r="T862" s="155" t="s">
        <v>2487</v>
      </c>
      <c r="U862" s="152" t="str">
        <f aca="false">RIGHT(T862,7)</f>
        <v>011/037</v>
      </c>
      <c r="V862" s="152" t="s">
        <v>1555</v>
      </c>
      <c r="W862" s="156" t="n">
        <v>45882</v>
      </c>
      <c r="X862" s="152" t="s">
        <v>1594</v>
      </c>
      <c r="Y862" s="152"/>
      <c r="Z862" s="152" t="s">
        <v>1557</v>
      </c>
      <c r="AA862" s="153" t="n">
        <v>4</v>
      </c>
      <c r="AB862" s="151" t="s">
        <v>4818</v>
      </c>
      <c r="AC862" s="151" t="s">
        <v>514</v>
      </c>
      <c r="AD862" s="151" t="str">
        <f aca="false">CONCATENATE($C862,$I862,$H862,$N862,$J862,$K862)</f>
        <v>TUBO PEADPEAD315VCAREDESADUTORA</v>
      </c>
      <c r="AE862" s="153" t="n">
        <f aca="false">IFERROR(INDEX(APOIO_REDES!$A:$W,MATCH($C862&amp;$I862&amp;$H862&amp;$N862&amp;$O862,APOIO_REDES!$W:$W,0),MATCH(AE$5,APOIO_REDES!$5:$5,0)),0)</f>
        <v>1.2</v>
      </c>
      <c r="AF862" s="153" t="n">
        <f aca="false">IFERROR(INDEX(APOIO_REDES!$A:$W,MATCH($C862&amp;$I862&amp;$H862&amp;$N862&amp;$O862,APOIO_REDES!$W:$W,0),MATCH(AF$5,APOIO_REDES!$5:$5,0)),0)</f>
        <v>1.615</v>
      </c>
      <c r="AG862" s="153" t="n">
        <f aca="false">IFERROR(INDEX(APOIO_REDES!$A:$W,MATCH($C862&amp;$I862&amp;$H862&amp;$N862&amp;$O862,APOIO_REDES!$W:$W,0),MATCH(AG$5,APOIO_REDES!$5:$5,0)),0)</f>
        <v>0.9</v>
      </c>
      <c r="AH862" s="153" t="n">
        <f aca="false">IFERROR(INDEX(APOIO_REDES!$A:$W,MATCH($C862&amp;$I862&amp;$H862&amp;$N862&amp;$O862,APOIO_REDES!$W:$W,0),MATCH(AH$5,APOIO_REDES!$5:$5,0)),0)</f>
        <v>0.1</v>
      </c>
      <c r="AI862" s="153" t="n">
        <f aca="false">IFERROR(IF($H862&lt;&gt;"",(((($H862/1000)/2)^2)*PI()*$M862),0),0)</f>
        <v>0.209634747132771</v>
      </c>
      <c r="AJ862" s="153" t="n">
        <f aca="false">IFERROR(IF(AND($H862&lt;&gt;"",$I862="FoFo",OR($N862="MND",$N862="VCA"),$Q862="LINEAR"),0,IF(AND($H862&lt;&gt;"",$I862="PEAD",$N862="VCA",$Q862="LINEAR"),($H862/1000)+0.3,IF(AND($H862&lt;&gt;"",$I862="PEAD",$N862="MND",$Q862="EMBOQUE"),0,IF(AND($H862&lt;&gt;"",$I862="PVC",$N862="VCA",$Q862="LINEAR"),($H862/1000)+0.2,IF(AND($H862&lt;&gt;"",$I862="PVC",$N862="MND",$Q862="EMBOQUE"),0,IF(AND($H862&lt;&gt;"",$I862="PEAD",$N862="VCA",$Q862="PREDIAL"),0,0)))))),0)</f>
        <v>0.615</v>
      </c>
      <c r="AK862" s="153" t="n">
        <f aca="false">IF(AA862&lt;&gt;"",AA862,0)</f>
        <v>4</v>
      </c>
      <c r="AL862" s="153" t="n">
        <f aca="false">IF(AND($N862="MND",$Q862="EMBOQUE"),$M862,IF(AND($N862="VCA",$Q862="LINEAR"),$M862,IF(AND($N862="VCA",$Q862="PREDIAL"),0,0)))</f>
        <v>2.69</v>
      </c>
      <c r="AM862" s="153" t="n">
        <f aca="false">IF(AND($N862="MND",$Q862="EMBOQUE"),$M862,IF(AND($N862="VCA",$Q862="LINEAR"),$M862,IF(AND($N862="VCA",$Q862="PREDIAL"),0,0)))</f>
        <v>2.69</v>
      </c>
      <c r="AN862" s="153" t="n">
        <f aca="false">ROUND(IF(AND($N862="VCA",$M862&lt;&gt;"",$Q862="LINEAR"),$M862/100,IF(AND($N862="MND",$M862&gt;100,$Q862="EMBOQUE"),$M862/100,0)),0)</f>
        <v>0</v>
      </c>
      <c r="AO862" s="153" t="n">
        <f aca="false">IF(AND($N862="MND",$Q862="EMBOQUE"),$AN862*2*2,IF(AND($N862="VCA",$Q862="LINEAR"),$M862*2,IF(AND($N862="VCA",$Q862="PREDIAL"),0,0)))</f>
        <v>5.38</v>
      </c>
      <c r="AP862" s="153" t="n">
        <f aca="false">IFERROR($M862*$AF862*$AG862,0)</f>
        <v>3.909915</v>
      </c>
      <c r="AQ862" s="153" t="n">
        <f aca="false">IFERROR(IF(AND($N862="VCA",$AH862&gt;0),$M862*$AG862*$AH862,0),0)</f>
        <v>0.2421</v>
      </c>
      <c r="AR862" s="153" t="n">
        <f aca="false">IFERROR(IF(AND($N862="VCA",$AJ862&gt;0),($M862*$AG862*$AJ862)-$AI862,0),0)</f>
        <v>1.27928025286723</v>
      </c>
      <c r="AS862" s="153" t="n">
        <f aca="false">IFERROR(IF(AND($N862="VCA",$AP862&gt;0),$AP862-$AI862-$AQ862-$AR862,0),0)</f>
        <v>2.1789</v>
      </c>
      <c r="AT862" s="153" t="n">
        <f aca="false">IFERROR(IF($N862="VCA",INDEX(APOIO_REDES!$A:$W,MATCH($C862&amp;$I862&amp;$H862&amp;$N862&amp;$O862,APOIO_REDES!$W:$W,0),MATCH(AT$5,APOIO_REDES!$5:$5,0)),0)*$AP862,0)</f>
        <v>0.042541032475767</v>
      </c>
      <c r="AU862" s="153" t="n">
        <f aca="false">IFERROR(IF($N862="VCA",INDEX(APOIO_REDES!$A:$W,MATCH($C862&amp;$I862&amp;$H862&amp;$N862&amp;$O862,APOIO_REDES!$W:$W,0),MATCH(AU$5,APOIO_REDES!$5:$5,0)),0)*$AP862,0)</f>
        <v>0.0339721163778709</v>
      </c>
      <c r="AV862" s="153" t="n">
        <f aca="false">IFERROR(IF($N862="VCA",INDEX(APOIO_REDES!$A:$W,MATCH($C862&amp;$I862&amp;$H862&amp;$N862&amp;$O862,APOIO_REDES!$W:$W,0),MATCH(AV$5,APOIO_REDES!$5:$5,0)),0)*$AP862,0)</f>
        <v>0.00470147421512731</v>
      </c>
      <c r="AW862" s="153" t="n">
        <f aca="false">IFERROR(IF($N862="VCA",INDEX(APOIO_REDES!$A:$W,MATCH($C862&amp;$I862&amp;$H862&amp;$N862&amp;$O862,APOIO_REDES!$W:$W,0),MATCH(AW$5,APOIO_REDES!$5:$5,0)),0)*$AP862,0)</f>
        <v>2.68379595149977</v>
      </c>
      <c r="AX862" s="153" t="n">
        <f aca="false">IFERROR(IF($N862="VCA",INDEX(APOIO_REDES!$A:$W,MATCH($C862&amp;$I862&amp;$H862&amp;$N862&amp;$O862,APOIO_REDES!$W:$W,0),MATCH(AX$5,APOIO_REDES!$5:$5,0)),0)*$AP862,0)</f>
        <v>0.37142971475009</v>
      </c>
      <c r="AY862" s="153" t="n">
        <f aca="false">IFERROR(IF($N862="VCA",INDEX(APOIO_REDES!$A:$W,MATCH($C862&amp;$I862&amp;$H862&amp;$N862&amp;$O862,APOIO_REDES!$W:$W,0),MATCH(AY$5,APOIO_REDES!$5:$5,0)),0)*$AP862,0)</f>
        <v>0.679441913440073</v>
      </c>
      <c r="AZ862" s="153" t="n">
        <f aca="false">IFERROR(IF($N862="VCA",INDEX(APOIO_REDES!$A:$W,MATCH($C862&amp;$I862&amp;$H862&amp;$N862&amp;$O862,APOIO_REDES!$W:$W,0),MATCH(AZ$5,APOIO_REDES!$5:$5,0)),0)*$AP862,0)</f>
        <v>0.0940327972413042</v>
      </c>
      <c r="BA862" s="153" t="n">
        <f aca="false">IFERROR(IF(AND($N862="VCA",$Q862="LINEAR"),INDEX(APOIO_REDES!$A:$W,MATCH($C862&amp;$I862&amp;$H862&amp;$N862&amp;$O862,APOIO_REDES!$W:$W,0),MATCH(BA$5,APOIO_REDES!$5:$5,0)),IF(AND($N862="MND",$Q862="EMBOQUE"),INDEX(APOIO_REDES!$A:$W,MATCH($C862&amp;$I862&amp;$H862&amp;$N862&amp;$O862,APOIO_REDES!$W:$W,0),MATCH(BA$5,APOIO_REDES!$5:$5,0)),0))*$M862/10,0)</f>
        <v>0.216807214689609</v>
      </c>
      <c r="BB862" s="153" t="n">
        <f aca="false">IFERROR(IF($N862="VCA",INDEX(APOIO_REDES!$A:$W,MATCH($C862&amp;$I862&amp;$H862&amp;$N862&amp;$O862,APOIO_REDES!$W:$W,0),MATCH(BB$5,APOIO_REDES!$5:$5,0)),0)*($AI862+$AQ862+$AR862),0)</f>
        <v>1.71218104444571</v>
      </c>
      <c r="BC862" s="153" t="n">
        <f aca="false">IFERROR(IF($N862="VCA",INDEX(APOIO_REDES!$A:$W,MATCH($C862&amp;$I862&amp;$H862&amp;$N862&amp;$O862,APOIO_REDES!$W:$W,0),MATCH(BC$5,APOIO_REDES!$5:$5,0)),0)*($AI862+$AQ862+$AR862),0)</f>
        <v>0.0188339555542869</v>
      </c>
      <c r="BD862" s="153" t="n">
        <f aca="false">IF(AND($N862="VCA",$AF862&gt;=1.25,$AF862&lt;1.5),$M862*$AF862*2,0)</f>
        <v>0</v>
      </c>
      <c r="BE862" s="153" t="n">
        <f aca="false">IF(AND($N862="VCA",$AF862&gt;=1.5,$AF862&lt;3),$M862*$AF862*2,0)</f>
        <v>8.6887</v>
      </c>
      <c r="BF862" s="153" t="n">
        <f aca="false">IF(AND($N862="VCA",$AF862&gt;=3),$M862*$AF862*2,0)</f>
        <v>0</v>
      </c>
      <c r="BG862" s="153" t="n">
        <f aca="false">($BB862+$BC862)*$AK862</f>
        <v>6.92406</v>
      </c>
      <c r="BH862" s="153" t="n">
        <f aca="false">IF(AND($M862&lt;&gt;"",$N862="VCA",$Q862="LINEAR"),($M862*2)/100,IF(AND($M862&lt;&gt;"",$N862="MND",$Q862="EMBOQUE"),($AN862*2)/100,0))</f>
        <v>0.0538</v>
      </c>
      <c r="BI862" s="153" t="n">
        <f aca="false">IF(AND($M862&lt;&gt;"",$N862="VCA",$Q862="LINEAR"),$M862,IF(AND($M862&lt;&gt;"",$N862="MND",$Q862="EMBOQUE"),$AN862*2,0))</f>
        <v>2.69</v>
      </c>
      <c r="BJ862" s="153" t="n">
        <f aca="false">IF(AND($M862&lt;&gt;"",$N862="VCA",$Q862="LINEAR"),($M862*6.8)/100,IF(AND($M862&lt;&gt;"",$N862="MND",$Q862="EMBOQUE"),($AN862*2*6.8)/100,0))</f>
        <v>0.18292</v>
      </c>
      <c r="BK862" s="153" t="n">
        <f aca="false">IF(AND($M862&lt;&gt;"",$N862="VCA",$Q862="LINEAR"),($M862*2.5)/50,IF(AND($M862&lt;&gt;"",$N862="MND",$Q862="EMBOQUE"),($AN862*2*2.5)/50,0))</f>
        <v>0.1345</v>
      </c>
      <c r="BL862" s="157" t="str">
        <f aca="false">K862&amp;J862</f>
        <v>ADUTORAREDES</v>
      </c>
      <c r="BM862" s="152" t="s">
        <v>2229</v>
      </c>
      <c r="BN862" s="152" t="s">
        <v>2230</v>
      </c>
      <c r="BO862" s="152" t="s">
        <v>2489</v>
      </c>
      <c r="BP862" s="152" t="s">
        <v>4815</v>
      </c>
      <c r="BQ862" s="152" t="s">
        <v>4819</v>
      </c>
      <c r="BR862" s="152" t="s">
        <v>4820</v>
      </c>
      <c r="BS862" s="152" t="n">
        <v>202828.248</v>
      </c>
      <c r="BT862" s="152" t="n">
        <v>8237404.133</v>
      </c>
      <c r="BU862" s="152" t="n">
        <v>202830.136</v>
      </c>
      <c r="BV862" s="152" t="n">
        <v>8237406.055</v>
      </c>
      <c r="BW862" s="152" t="n">
        <v>-15.9248151</v>
      </c>
      <c r="BX862" s="152" t="n">
        <v>-47.7755514</v>
      </c>
      <c r="BY862" s="152" t="s">
        <v>4815</v>
      </c>
    </row>
    <row r="863" customFormat="false" ht="13.8" hidden="false" customHeight="false" outlineLevel="0" collapsed="false">
      <c r="A863" s="149" t="n">
        <f aca="false">IF(C863&lt;&gt;"",ROW(A858),"")</f>
        <v>858</v>
      </c>
      <c r="B863" s="150" t="str">
        <f aca="false">HYPERLINK("https://www.google.com/maps/dir/-15.917302,-47.760003/-15.9248066,-47.7755425/data=!4m3!4m2!3e0!5i2")</f>
        <v>https://www.google.com/maps/dir/-15.917302,-47.760003/-15.9248066,-47.7755425/data=!4m3!4m2!3e0!5i2</v>
      </c>
      <c r="C863" s="151" t="s">
        <v>117</v>
      </c>
      <c r="D863" s="152" t="s">
        <v>112</v>
      </c>
      <c r="E863" s="152" t="s">
        <v>113</v>
      </c>
      <c r="F863" s="152" t="s">
        <v>117</v>
      </c>
      <c r="G863" s="152" t="s">
        <v>114</v>
      </c>
      <c r="H863" s="152" t="n">
        <v>315</v>
      </c>
      <c r="I863" s="152" t="s">
        <v>115</v>
      </c>
      <c r="J863" s="152" t="s">
        <v>6</v>
      </c>
      <c r="K863" s="152" t="s">
        <v>2224</v>
      </c>
      <c r="L863" s="152" t="s">
        <v>120</v>
      </c>
      <c r="M863" s="153" t="n">
        <f aca="false">101.13</f>
        <v>101.13</v>
      </c>
      <c r="N863" s="152" t="s">
        <v>1548</v>
      </c>
      <c r="O863" s="152" t="s">
        <v>1549</v>
      </c>
      <c r="P863" s="152" t="s">
        <v>1550</v>
      </c>
      <c r="Q863" s="152" t="s">
        <v>1551</v>
      </c>
      <c r="R863" s="154" t="s">
        <v>4821</v>
      </c>
      <c r="S863" s="154" t="s">
        <v>2226</v>
      </c>
      <c r="T863" s="155" t="s">
        <v>2487</v>
      </c>
      <c r="U863" s="152" t="str">
        <f aca="false">RIGHT(T863,7)</f>
        <v>011/037</v>
      </c>
      <c r="V863" s="152" t="s">
        <v>1555</v>
      </c>
      <c r="W863" s="156" t="n">
        <v>45882</v>
      </c>
      <c r="X863" s="152" t="s">
        <v>1594</v>
      </c>
      <c r="Y863" s="152" t="s">
        <v>2242</v>
      </c>
      <c r="Z863" s="152" t="s">
        <v>1557</v>
      </c>
      <c r="AA863" s="153" t="n">
        <v>4</v>
      </c>
      <c r="AB863" s="151" t="s">
        <v>4822</v>
      </c>
      <c r="AC863" s="151" t="s">
        <v>514</v>
      </c>
      <c r="AD863" s="151" t="str">
        <f aca="false">CONCATENATE($C863,$I863,$H863,$N863,$J863,$K863)</f>
        <v>TUBO PEADPEAD315VCAREDESADUTORA</v>
      </c>
      <c r="AE863" s="153" t="n">
        <f aca="false">IFERROR(INDEX(APOIO_REDES!$A:$W,MATCH($C863&amp;$I863&amp;$H863&amp;$N863&amp;$O863,APOIO_REDES!$W:$W,0),MATCH(AE$5,APOIO_REDES!$5:$5,0)),0)</f>
        <v>1.2</v>
      </c>
      <c r="AF863" s="153" t="n">
        <f aca="false">IFERROR(INDEX(APOIO_REDES!$A:$W,MATCH($C863&amp;$I863&amp;$H863&amp;$N863&amp;$O863,APOIO_REDES!$W:$W,0),MATCH(AF$5,APOIO_REDES!$5:$5,0)),0)</f>
        <v>1.615</v>
      </c>
      <c r="AG863" s="153" t="n">
        <f aca="false">IFERROR(INDEX(APOIO_REDES!$A:$W,MATCH($C863&amp;$I863&amp;$H863&amp;$N863&amp;$O863,APOIO_REDES!$W:$W,0),MATCH(AG$5,APOIO_REDES!$5:$5,0)),0)</f>
        <v>0.9</v>
      </c>
      <c r="AH863" s="153" t="n">
        <f aca="false">IFERROR(INDEX(APOIO_REDES!$A:$W,MATCH($C863&amp;$I863&amp;$H863&amp;$N863&amp;$O863,APOIO_REDES!$W:$W,0),MATCH(AH$5,APOIO_REDES!$5:$5,0)),0)</f>
        <v>0.1</v>
      </c>
      <c r="AI863" s="153" t="n">
        <f aca="false">IFERROR(IF($H863&lt;&gt;"",(((($H863/1000)/2)^2)*PI()*$M863),0),0)</f>
        <v>7.8811754563335</v>
      </c>
      <c r="AJ863" s="153" t="n">
        <f aca="false">IFERROR(IF(AND($H863&lt;&gt;"",$I863="FoFo",OR($N863="MND",$N863="VCA"),$Q863="LINEAR"),0,IF(AND($H863&lt;&gt;"",$I863="PEAD",$N863="VCA",$Q863="LINEAR"),($H863/1000)+0.3,IF(AND($H863&lt;&gt;"",$I863="PEAD",$N863="MND",$Q863="EMBOQUE"),0,IF(AND($H863&lt;&gt;"",$I863="PVC",$N863="VCA",$Q863="LINEAR"),($H863/1000)+0.2,IF(AND($H863&lt;&gt;"",$I863="PVC",$N863="MND",$Q863="EMBOQUE"),0,IF(AND($H863&lt;&gt;"",$I863="PEAD",$N863="VCA",$Q863="PREDIAL"),0,0)))))),0)</f>
        <v>0.615</v>
      </c>
      <c r="AK863" s="153" t="n">
        <f aca="false">IF(AA863&lt;&gt;"",AA863,0)</f>
        <v>4</v>
      </c>
      <c r="AL863" s="153" t="n">
        <f aca="false">IF(AND($N863="MND",$Q863="EMBOQUE"),$M863,IF(AND($N863="VCA",$Q863="LINEAR"),$M863,IF(AND($N863="VCA",$Q863="PREDIAL"),0,0)))</f>
        <v>101.13</v>
      </c>
      <c r="AM863" s="153" t="n">
        <f aca="false">IF(AND($N863="MND",$Q863="EMBOQUE"),$M863,IF(AND($N863="VCA",$Q863="LINEAR"),$M863,IF(AND($N863="VCA",$Q863="PREDIAL"),0,0)))</f>
        <v>101.13</v>
      </c>
      <c r="AN863" s="153" t="n">
        <f aca="false">ROUND(IF(AND($N863="VCA",$M863&lt;&gt;"",$Q863="LINEAR"),$M863/100,IF(AND($N863="MND",$M863&gt;100,$Q863="EMBOQUE"),$M863/100,0)),0)</f>
        <v>1</v>
      </c>
      <c r="AO863" s="153" t="n">
        <f aca="false">IF(AND($N863="MND",$Q863="EMBOQUE"),$AN863*2*2,IF(AND($N863="VCA",$Q863="LINEAR"),$M863*2,IF(AND($N863="VCA",$Q863="PREDIAL"),0,0)))</f>
        <v>202.26</v>
      </c>
      <c r="AP863" s="153" t="n">
        <f aca="false">IFERROR($M863*$AF863*$AG863,0)</f>
        <v>146.992455</v>
      </c>
      <c r="AQ863" s="153" t="n">
        <f aca="false">IFERROR(IF(AND($N863="VCA",$AH863&gt;0),$M863*$AG863*$AH863,0),0)</f>
        <v>9.1017</v>
      </c>
      <c r="AR863" s="153" t="n">
        <f aca="false">IFERROR(IF(AND($N863="VCA",$AJ863&gt;0),($M863*$AG863*$AJ863)-$AI863,0),0)</f>
        <v>48.0942795436665</v>
      </c>
      <c r="AS863" s="153" t="n">
        <f aca="false">IFERROR(IF(AND($N863="VCA",$AP863&gt;0),$AP863-$AI863-$AQ863-$AR863,0),0)</f>
        <v>81.9153</v>
      </c>
      <c r="AT863" s="153" t="n">
        <f aca="false">IFERROR(IF($N863="VCA",INDEX(APOIO_REDES!$A:$W,MATCH($C863&amp;$I863&amp;$H863&amp;$N863&amp;$O863,APOIO_REDES!$W:$W,0),MATCH(AT$5,APOIO_REDES!$5:$5,0)),0)*$AP863,0)</f>
        <v>1.59932141794584</v>
      </c>
      <c r="AU863" s="153" t="n">
        <f aca="false">IFERROR(IF($N863="VCA",INDEX(APOIO_REDES!$A:$W,MATCH($C863&amp;$I863&amp;$H863&amp;$N863&amp;$O863,APOIO_REDES!$W:$W,0),MATCH(AU$5,APOIO_REDES!$5:$5,0)),0)*$AP863,0)</f>
        <v>1.27717476925431</v>
      </c>
      <c r="AV863" s="153" t="n">
        <f aca="false">IFERROR(IF($N863="VCA",INDEX(APOIO_REDES!$A:$W,MATCH($C863&amp;$I863&amp;$H863&amp;$N863&amp;$O863,APOIO_REDES!$W:$W,0),MATCH(AV$5,APOIO_REDES!$5:$5,0)),0)*$AP863,0)</f>
        <v>0.176750961849749</v>
      </c>
      <c r="AW863" s="153" t="n">
        <f aca="false">IFERROR(IF($N863="VCA",INDEX(APOIO_REDES!$A:$W,MATCH($C863&amp;$I863&amp;$H863&amp;$N863&amp;$O863,APOIO_REDES!$W:$W,0),MATCH(AW$5,APOIO_REDES!$5:$5,0)),0)*$AP863,0)</f>
        <v>100.89676006512</v>
      </c>
      <c r="AX863" s="153" t="n">
        <f aca="false">IFERROR(IF($N863="VCA",INDEX(APOIO_REDES!$A:$W,MATCH($C863&amp;$I863&amp;$H863&amp;$N863&amp;$O863,APOIO_REDES!$W:$W,0),MATCH(AX$5,APOIO_REDES!$5:$5,0)),0)*$AP863,0)</f>
        <v>13.9638241831511</v>
      </c>
      <c r="AY863" s="153" t="n">
        <f aca="false">IFERROR(IF($N863="VCA",INDEX(APOIO_REDES!$A:$W,MATCH($C863&amp;$I863&amp;$H863&amp;$N863&amp;$O863,APOIO_REDES!$W:$W,0),MATCH(AY$5,APOIO_REDES!$5:$5,0)),0)*$AP863,0)</f>
        <v>25.5434798164292</v>
      </c>
      <c r="AZ863" s="153" t="n">
        <f aca="false">IFERROR(IF($N863="VCA",INDEX(APOIO_REDES!$A:$W,MATCH($C863&amp;$I863&amp;$H863&amp;$N863&amp;$O863,APOIO_REDES!$W:$W,0),MATCH(AZ$5,APOIO_REDES!$5:$5,0)),0)*$AP863,0)</f>
        <v>3.53514378625022</v>
      </c>
      <c r="BA863" s="153" t="n">
        <f aca="false">IFERROR(IF(AND($N863="VCA",$Q863="LINEAR"),INDEX(APOIO_REDES!$A:$W,MATCH($C863&amp;$I863&amp;$H863&amp;$N863&amp;$O863,APOIO_REDES!$W:$W,0),MATCH(BA$5,APOIO_REDES!$5:$5,0)),IF(AND($N863="MND",$Q863="EMBOQUE"),INDEX(APOIO_REDES!$A:$W,MATCH($C863&amp;$I863&amp;$H863&amp;$N863&amp;$O863,APOIO_REDES!$W:$W,0),MATCH(BA$5,APOIO_REDES!$5:$5,0)),0))*$M863/10,0)</f>
        <v>8.15082290764318</v>
      </c>
      <c r="BB863" s="153" t="n">
        <f aca="false">IFERROR(IF($N863="VCA",INDEX(APOIO_REDES!$A:$W,MATCH($C863&amp;$I863&amp;$H863&amp;$N863&amp;$O863,APOIO_REDES!$W:$W,0),MATCH(BB$5,APOIO_REDES!$5:$5,0)),0)*($AI863+$AQ863+$AR863),0)</f>
        <v>64.3690962917454</v>
      </c>
      <c r="BC863" s="153" t="n">
        <f aca="false">IFERROR(IF($N863="VCA",INDEX(APOIO_REDES!$A:$W,MATCH($C863&amp;$I863&amp;$H863&amp;$N863&amp;$O863,APOIO_REDES!$W:$W,0),MATCH(BC$5,APOIO_REDES!$5:$5,0)),0)*($AI863+$AQ863+$AR863),0)</f>
        <v>0.708058708254661</v>
      </c>
      <c r="BD863" s="153" t="n">
        <f aca="false">IF(AND($N863="VCA",$AF863&gt;=1.25,$AF863&lt;1.5),$M863*$AF863*2,0)</f>
        <v>0</v>
      </c>
      <c r="BE863" s="153" t="n">
        <f aca="false">IF(AND($N863="VCA",$AF863&gt;=1.5,$AF863&lt;3),$M863*$AF863*2,0)</f>
        <v>326.6499</v>
      </c>
      <c r="BF863" s="153" t="n">
        <f aca="false">IF(AND($N863="VCA",$AF863&gt;=3),$M863*$AF863*2,0)</f>
        <v>0</v>
      </c>
      <c r="BG863" s="153" t="n">
        <f aca="false">($BB863+$BC863)*$AK863</f>
        <v>260.30862</v>
      </c>
      <c r="BH863" s="153" t="n">
        <f aca="false">IF(AND($M863&lt;&gt;"",$N863="VCA",$Q863="LINEAR"),($M863*2)/100,IF(AND($M863&lt;&gt;"",$N863="MND",$Q863="EMBOQUE"),($AN863*2)/100,0))</f>
        <v>2.0226</v>
      </c>
      <c r="BI863" s="153" t="n">
        <f aca="false">IF(AND($M863&lt;&gt;"",$N863="VCA",$Q863="LINEAR"),$M863,IF(AND($M863&lt;&gt;"",$N863="MND",$Q863="EMBOQUE"),$AN863*2,0))</f>
        <v>101.13</v>
      </c>
      <c r="BJ863" s="153" t="n">
        <f aca="false">IF(AND($M863&lt;&gt;"",$N863="VCA",$Q863="LINEAR"),($M863*6.8)/100,IF(AND($M863&lt;&gt;"",$N863="MND",$Q863="EMBOQUE"),($AN863*2*6.8)/100,0))</f>
        <v>6.87684</v>
      </c>
      <c r="BK863" s="153" t="n">
        <f aca="false">IF(AND($M863&lt;&gt;"",$N863="VCA",$Q863="LINEAR"),($M863*2.5)/50,IF(AND($M863&lt;&gt;"",$N863="MND",$Q863="EMBOQUE"),($AN863*2*2.5)/50,0))</f>
        <v>5.0565</v>
      </c>
      <c r="BL863" s="157" t="str">
        <f aca="false">K863&amp;J863</f>
        <v>ADUTORAREDES</v>
      </c>
      <c r="BM863" s="152" t="s">
        <v>2229</v>
      </c>
      <c r="BN863" s="152" t="s">
        <v>2230</v>
      </c>
      <c r="BO863" s="152" t="s">
        <v>2489</v>
      </c>
      <c r="BP863" s="152" t="s">
        <v>4819</v>
      </c>
      <c r="BQ863" s="152" t="s">
        <v>4823</v>
      </c>
      <c r="BR863" s="152" t="s">
        <v>4820</v>
      </c>
      <c r="BS863" s="152" t="n">
        <v>202830.136</v>
      </c>
      <c r="BT863" s="152" t="n">
        <v>8237406.055</v>
      </c>
      <c r="BU863" s="152" t="n">
        <v>202898.401</v>
      </c>
      <c r="BV863" s="152" t="n">
        <v>8237331.45</v>
      </c>
      <c r="BW863" s="152" t="n">
        <v>-15.9251485</v>
      </c>
      <c r="BX863" s="152" t="n">
        <v>-47.7752297</v>
      </c>
      <c r="BY863" s="152" t="s">
        <v>4819</v>
      </c>
    </row>
    <row r="864" customFormat="false" ht="13.8" hidden="false" customHeight="false" outlineLevel="0" collapsed="false">
      <c r="A864" s="149" t="n">
        <f aca="false">IF(C864&lt;&gt;"",ROW(A859),"")</f>
        <v>859</v>
      </c>
      <c r="B864" s="150" t="str">
        <f aca="false">HYPERLINK("https://www.google.com/maps/dir/-15.917302,-47.760003/-15.9254881,-47.7749144/data=!4m3!4m2!3e0!5i0")</f>
        <v>https://www.google.com/maps/dir/-15.917302,-47.760003/-15.9254881,-47.7749144/data=!4m3!4m2!3e0!5i0</v>
      </c>
      <c r="C864" s="151" t="s">
        <v>117</v>
      </c>
      <c r="D864" s="152" t="s">
        <v>112</v>
      </c>
      <c r="E864" s="152" t="s">
        <v>113</v>
      </c>
      <c r="F864" s="152" t="s">
        <v>117</v>
      </c>
      <c r="G864" s="152" t="s">
        <v>114</v>
      </c>
      <c r="H864" s="152" t="n">
        <v>315</v>
      </c>
      <c r="I864" s="152" t="s">
        <v>115</v>
      </c>
      <c r="J864" s="152" t="s">
        <v>6</v>
      </c>
      <c r="K864" s="152" t="s">
        <v>2224</v>
      </c>
      <c r="L864" s="152" t="s">
        <v>120</v>
      </c>
      <c r="M864" s="153" t="n">
        <f aca="false">183.65</f>
        <v>183.65</v>
      </c>
      <c r="N864" s="152" t="s">
        <v>1548</v>
      </c>
      <c r="O864" s="152" t="s">
        <v>1549</v>
      </c>
      <c r="P864" s="152" t="s">
        <v>1550</v>
      </c>
      <c r="Q864" s="152" t="s">
        <v>1551</v>
      </c>
      <c r="R864" s="154" t="s">
        <v>4824</v>
      </c>
      <c r="S864" s="154" t="s">
        <v>2226</v>
      </c>
      <c r="T864" s="155" t="s">
        <v>2487</v>
      </c>
      <c r="U864" s="152" t="str">
        <f aca="false">RIGHT(T864,7)</f>
        <v>011/037</v>
      </c>
      <c r="V864" s="152" t="s">
        <v>1555</v>
      </c>
      <c r="W864" s="156" t="n">
        <v>45882</v>
      </c>
      <c r="X864" s="152" t="s">
        <v>1594</v>
      </c>
      <c r="Y864" s="152" t="s">
        <v>3516</v>
      </c>
      <c r="Z864" s="152" t="s">
        <v>1557</v>
      </c>
      <c r="AA864" s="153" t="n">
        <v>3.5</v>
      </c>
      <c r="AB864" s="151" t="s">
        <v>4825</v>
      </c>
      <c r="AC864" s="151" t="s">
        <v>514</v>
      </c>
      <c r="AD864" s="151" t="str">
        <f aca="false">CONCATENATE($C864,$I864,$H864,$N864,$J864,$K864)</f>
        <v>TUBO PEADPEAD315VCAREDESADUTORA</v>
      </c>
      <c r="AE864" s="153" t="n">
        <f aca="false">IFERROR(INDEX(APOIO_REDES!$A:$W,MATCH($C864&amp;$I864&amp;$H864&amp;$N864&amp;$O864,APOIO_REDES!$W:$W,0),MATCH(AE$5,APOIO_REDES!$5:$5,0)),0)</f>
        <v>1.2</v>
      </c>
      <c r="AF864" s="153" t="n">
        <f aca="false">IFERROR(INDEX(APOIO_REDES!$A:$W,MATCH($C864&amp;$I864&amp;$H864&amp;$N864&amp;$O864,APOIO_REDES!$W:$W,0),MATCH(AF$5,APOIO_REDES!$5:$5,0)),0)</f>
        <v>1.615</v>
      </c>
      <c r="AG864" s="153" t="n">
        <f aca="false">IFERROR(INDEX(APOIO_REDES!$A:$W,MATCH($C864&amp;$I864&amp;$H864&amp;$N864&amp;$O864,APOIO_REDES!$W:$W,0),MATCH(AG$5,APOIO_REDES!$5:$5,0)),0)</f>
        <v>0.9</v>
      </c>
      <c r="AH864" s="153" t="n">
        <f aca="false">IFERROR(INDEX(APOIO_REDES!$A:$W,MATCH($C864&amp;$I864&amp;$H864&amp;$N864&amp;$O864,APOIO_REDES!$W:$W,0),MATCH(AH$5,APOIO_REDES!$5:$5,0)),0)</f>
        <v>0.1</v>
      </c>
      <c r="AI864" s="153" t="n">
        <f aca="false">IFERROR(IF($H864&lt;&gt;"",(((($H864/1000)/2)^2)*PI()*$M864),0),0)</f>
        <v>14.3120525319455</v>
      </c>
      <c r="AJ864" s="153" t="n">
        <f aca="false">IFERROR(IF(AND($H864&lt;&gt;"",$I864="FoFo",OR($N864="MND",$N864="VCA"),$Q864="LINEAR"),0,IF(AND($H864&lt;&gt;"",$I864="PEAD",$N864="VCA",$Q864="LINEAR"),($H864/1000)+0.3,IF(AND($H864&lt;&gt;"",$I864="PEAD",$N864="MND",$Q864="EMBOQUE"),0,IF(AND($H864&lt;&gt;"",$I864="PVC",$N864="VCA",$Q864="LINEAR"),($H864/1000)+0.2,IF(AND($H864&lt;&gt;"",$I864="PVC",$N864="MND",$Q864="EMBOQUE"),0,IF(AND($H864&lt;&gt;"",$I864="PEAD",$N864="VCA",$Q864="PREDIAL"),0,0)))))),0)</f>
        <v>0.615</v>
      </c>
      <c r="AK864" s="153" t="n">
        <f aca="false">IF(AA864&lt;&gt;"",AA864,0)</f>
        <v>3.5</v>
      </c>
      <c r="AL864" s="153" t="n">
        <f aca="false">IF(AND($N864="MND",$Q864="EMBOQUE"),$M864,IF(AND($N864="VCA",$Q864="LINEAR"),$M864,IF(AND($N864="VCA",$Q864="PREDIAL"),0,0)))</f>
        <v>183.65</v>
      </c>
      <c r="AM864" s="153" t="n">
        <f aca="false">IF(AND($N864="MND",$Q864="EMBOQUE"),$M864,IF(AND($N864="VCA",$Q864="LINEAR"),$M864,IF(AND($N864="VCA",$Q864="PREDIAL"),0,0)))</f>
        <v>183.65</v>
      </c>
      <c r="AN864" s="153" t="n">
        <f aca="false">ROUND(IF(AND($N864="VCA",$M864&lt;&gt;"",$Q864="LINEAR"),$M864/100,IF(AND($N864="MND",$M864&gt;100,$Q864="EMBOQUE"),$M864/100,0)),0)</f>
        <v>2</v>
      </c>
      <c r="AO864" s="153" t="n">
        <f aca="false">IF(AND($N864="MND",$Q864="EMBOQUE"),$AN864*2*2,IF(AND($N864="VCA",$Q864="LINEAR"),$M864*2,IF(AND($N864="VCA",$Q864="PREDIAL"),0,0)))</f>
        <v>367.3</v>
      </c>
      <c r="AP864" s="153" t="n">
        <f aca="false">IFERROR($M864*$AF864*$AG864,0)</f>
        <v>266.935275</v>
      </c>
      <c r="AQ864" s="153" t="n">
        <f aca="false">IFERROR(IF(AND($N864="VCA",$AH864&gt;0),$M864*$AG864*$AH864,0),0)</f>
        <v>16.5285</v>
      </c>
      <c r="AR864" s="153" t="n">
        <f aca="false">IFERROR(IF(AND($N864="VCA",$AJ864&gt;0),($M864*$AG864*$AJ864)-$AI864,0),0)</f>
        <v>87.3382224680545</v>
      </c>
      <c r="AS864" s="153" t="n">
        <f aca="false">IFERROR(IF(AND($N864="VCA",$AP864&gt;0),$AP864-$AI864-$AQ864-$AR864,0),0)</f>
        <v>148.7565</v>
      </c>
      <c r="AT864" s="153" t="n">
        <f aca="false">IFERROR(IF($N864="VCA",INDEX(APOIO_REDES!$A:$W,MATCH($C864&amp;$I864&amp;$H864&amp;$N864&amp;$O864,APOIO_REDES!$W:$W,0),MATCH(AT$5,APOIO_REDES!$5:$5,0)),0)*$AP864,0)</f>
        <v>2.90433480080841</v>
      </c>
      <c r="AU864" s="153" t="n">
        <f aca="false">IFERROR(IF($N864="VCA",INDEX(APOIO_REDES!$A:$W,MATCH($C864&amp;$I864&amp;$H864&amp;$N864&amp;$O864,APOIO_REDES!$W:$W,0),MATCH(AU$5,APOIO_REDES!$5:$5,0)),0)*$AP864,0)</f>
        <v>2.31932311256357</v>
      </c>
      <c r="AV864" s="153" t="n">
        <f aca="false">IFERROR(IF($N864="VCA",INDEX(APOIO_REDES!$A:$W,MATCH($C864&amp;$I864&amp;$H864&amp;$N864&amp;$O864,APOIO_REDES!$W:$W,0),MATCH(AV$5,APOIO_REDES!$5:$5,0)),0)*$AP864,0)</f>
        <v>0.320976111378487</v>
      </c>
      <c r="AW864" s="153" t="n">
        <f aca="false">IFERROR(IF($N864="VCA",INDEX(APOIO_REDES!$A:$W,MATCH($C864&amp;$I864&amp;$H864&amp;$N864&amp;$O864,APOIO_REDES!$W:$W,0),MATCH(AW$5,APOIO_REDES!$5:$5,0)),0)*$AP864,0)</f>
        <v>183.22644107544</v>
      </c>
      <c r="AX864" s="153" t="n">
        <f aca="false">IFERROR(IF($N864="VCA",INDEX(APOIO_REDES!$A:$W,MATCH($C864&amp;$I864&amp;$H864&amp;$N864&amp;$O864,APOIO_REDES!$W:$W,0),MATCH(AX$5,APOIO_REDES!$5:$5,0)),0)*$AP864,0)</f>
        <v>25.3580175144439</v>
      </c>
      <c r="AY864" s="153" t="n">
        <f aca="false">IFERROR(IF($N864="VCA",INDEX(APOIO_REDES!$A:$W,MATCH($C864&amp;$I864&amp;$H864&amp;$N864&amp;$O864,APOIO_REDES!$W:$W,0),MATCH(AY$5,APOIO_REDES!$5:$5,0)),0)*$AP864,0)</f>
        <v>46.3864339789106</v>
      </c>
      <c r="AZ864" s="153" t="n">
        <f aca="false">IFERROR(IF($N864="VCA",INDEX(APOIO_REDES!$A:$W,MATCH($C864&amp;$I864&amp;$H864&amp;$N864&amp;$O864,APOIO_REDES!$W:$W,0),MATCH(AZ$5,APOIO_REDES!$5:$5,0)),0)*$AP864,0)</f>
        <v>6.41974840645558</v>
      </c>
      <c r="BA864" s="153" t="n">
        <f aca="false">IFERROR(IF(AND($N864="VCA",$Q864="LINEAR"),INDEX(APOIO_REDES!$A:$W,MATCH($C864&amp;$I864&amp;$H864&amp;$N864&amp;$O864,APOIO_REDES!$W:$W,0),MATCH(BA$5,APOIO_REDES!$5:$5,0)),IF(AND($N864="MND",$Q864="EMBOQUE"),INDEX(APOIO_REDES!$A:$W,MATCH($C864&amp;$I864&amp;$H864&amp;$N864&amp;$O864,APOIO_REDES!$W:$W,0),MATCH(BA$5,APOIO_REDES!$5:$5,0)),0))*$M864/10,0)</f>
        <v>14.8017267575266</v>
      </c>
      <c r="BB864" s="153" t="n">
        <f aca="false">IFERROR(IF($N864="VCA",INDEX(APOIO_REDES!$A:$W,MATCH($C864&amp;$I864&amp;$H864&amp;$N864&amp;$O864,APOIO_REDES!$W:$W,0),MATCH(BB$5,APOIO_REDES!$5:$5,0)),0)*($AI864+$AQ864+$AR864),0)</f>
        <v>116.892954948868</v>
      </c>
      <c r="BC864" s="153" t="n">
        <f aca="false">IFERROR(IF($N864="VCA",INDEX(APOIO_REDES!$A:$W,MATCH($C864&amp;$I864&amp;$H864&amp;$N864&amp;$O864,APOIO_REDES!$W:$W,0),MATCH(BC$5,APOIO_REDES!$5:$5,0)),0)*($AI864+$AQ864+$AR864),0)</f>
        <v>1.28582005113189</v>
      </c>
      <c r="BD864" s="153" t="n">
        <f aca="false">IF(AND($N864="VCA",$AF864&gt;=1.25,$AF864&lt;1.5),$M864*$AF864*2,0)</f>
        <v>0</v>
      </c>
      <c r="BE864" s="153" t="n">
        <f aca="false">IF(AND($N864="VCA",$AF864&gt;=1.5,$AF864&lt;3),$M864*$AF864*2,0)</f>
        <v>593.1895</v>
      </c>
      <c r="BF864" s="153" t="n">
        <f aca="false">IF(AND($N864="VCA",$AF864&gt;=3),$M864*$AF864*2,0)</f>
        <v>0</v>
      </c>
      <c r="BG864" s="153" t="n">
        <f aca="false">($BB864+$BC864)*$AK864</f>
        <v>413.6257125</v>
      </c>
      <c r="BH864" s="153" t="n">
        <f aca="false">IF(AND($M864&lt;&gt;"",$N864="VCA",$Q864="LINEAR"),($M864*2)/100,IF(AND($M864&lt;&gt;"",$N864="MND",$Q864="EMBOQUE"),($AN864*2)/100,0))</f>
        <v>3.673</v>
      </c>
      <c r="BI864" s="153" t="n">
        <f aca="false">IF(AND($M864&lt;&gt;"",$N864="VCA",$Q864="LINEAR"),$M864,IF(AND($M864&lt;&gt;"",$N864="MND",$Q864="EMBOQUE"),$AN864*2,0))</f>
        <v>183.65</v>
      </c>
      <c r="BJ864" s="153" t="n">
        <f aca="false">IF(AND($M864&lt;&gt;"",$N864="VCA",$Q864="LINEAR"),($M864*6.8)/100,IF(AND($M864&lt;&gt;"",$N864="MND",$Q864="EMBOQUE"),($AN864*2*6.8)/100,0))</f>
        <v>12.4882</v>
      </c>
      <c r="BK864" s="153" t="n">
        <f aca="false">IF(AND($M864&lt;&gt;"",$N864="VCA",$Q864="LINEAR"),($M864*2.5)/50,IF(AND($M864&lt;&gt;"",$N864="MND",$Q864="EMBOQUE"),($AN864*2*2.5)/50,0))</f>
        <v>9.1825</v>
      </c>
      <c r="BL864" s="157" t="str">
        <f aca="false">K864&amp;J864</f>
        <v>ADUTORAREDES</v>
      </c>
      <c r="BM864" s="152" t="s">
        <v>2229</v>
      </c>
      <c r="BN864" s="152" t="s">
        <v>2230</v>
      </c>
      <c r="BO864" s="152" t="s">
        <v>2489</v>
      </c>
      <c r="BP864" s="152" t="s">
        <v>4823</v>
      </c>
      <c r="BQ864" s="152" t="s">
        <v>4826</v>
      </c>
      <c r="BR864" s="152" t="s">
        <v>4820</v>
      </c>
      <c r="BS864" s="152" t="n">
        <v>202898.401</v>
      </c>
      <c r="BT864" s="152" t="n">
        <v>8237331.45</v>
      </c>
      <c r="BU864" s="152" t="n">
        <v>203044.115</v>
      </c>
      <c r="BV864" s="152" t="n">
        <v>8237220.194</v>
      </c>
      <c r="BW864" s="152" t="n">
        <v>-15.9260251</v>
      </c>
      <c r="BX864" s="152" t="n">
        <v>-47.7742635</v>
      </c>
      <c r="BY864" s="152" t="s">
        <v>4823</v>
      </c>
    </row>
    <row r="865" customFormat="false" ht="13.8" hidden="false" customHeight="false" outlineLevel="0" collapsed="false">
      <c r="A865" s="149" t="n">
        <f aca="false">IF(C865&lt;&gt;"",ROW(A860),"")</f>
        <v>860</v>
      </c>
      <c r="B865" s="150" t="str">
        <f aca="false">HYPERLINK("https://www.google.com/maps/dir/-15.917302,-47.760003/-15.9265111,-47.7735691/data=!4m3!4m2!3e0!5i2")</f>
        <v>https://www.google.com/maps/dir/-15.917302,-47.760003/-15.9265111,-47.7735691/data=!4m3!4m2!3e0!5i2</v>
      </c>
      <c r="C865" s="151" t="s">
        <v>117</v>
      </c>
      <c r="D865" s="152" t="s">
        <v>112</v>
      </c>
      <c r="E865" s="152" t="s">
        <v>113</v>
      </c>
      <c r="F865" s="152" t="s">
        <v>117</v>
      </c>
      <c r="G865" s="152" t="s">
        <v>114</v>
      </c>
      <c r="H865" s="152" t="n">
        <v>315</v>
      </c>
      <c r="I865" s="152" t="s">
        <v>115</v>
      </c>
      <c r="J865" s="152" t="s">
        <v>6</v>
      </c>
      <c r="K865" s="152" t="s">
        <v>2224</v>
      </c>
      <c r="L865" s="152" t="s">
        <v>120</v>
      </c>
      <c r="M865" s="153" t="n">
        <f aca="false">136.91</f>
        <v>136.91</v>
      </c>
      <c r="N865" s="152" t="s">
        <v>1548</v>
      </c>
      <c r="O865" s="152" t="s">
        <v>1549</v>
      </c>
      <c r="P865" s="152" t="s">
        <v>1550</v>
      </c>
      <c r="Q865" s="152" t="s">
        <v>1551</v>
      </c>
      <c r="R865" s="154" t="s">
        <v>4827</v>
      </c>
      <c r="S865" s="154" t="s">
        <v>2226</v>
      </c>
      <c r="T865" s="155" t="s">
        <v>2487</v>
      </c>
      <c r="U865" s="152" t="str">
        <f aca="false">RIGHT(T865,7)</f>
        <v>011/037</v>
      </c>
      <c r="V865" s="152" t="s">
        <v>1555</v>
      </c>
      <c r="W865" s="156" t="n">
        <v>45882</v>
      </c>
      <c r="X865" s="152" t="s">
        <v>1594</v>
      </c>
      <c r="Y865" s="152" t="s">
        <v>4828</v>
      </c>
      <c r="Z865" s="152" t="s">
        <v>1557</v>
      </c>
      <c r="AA865" s="153" t="n">
        <v>3.7</v>
      </c>
      <c r="AB865" s="151" t="s">
        <v>4829</v>
      </c>
      <c r="AC865" s="151" t="s">
        <v>514</v>
      </c>
      <c r="AD865" s="151" t="str">
        <f aca="false">CONCATENATE($C865,$I865,$H865,$N865,$J865,$K865)</f>
        <v>TUBO PEADPEAD315VCAREDESADUTORA</v>
      </c>
      <c r="AE865" s="153" t="n">
        <f aca="false">IFERROR(INDEX(APOIO_REDES!$A:$W,MATCH($C865&amp;$I865&amp;$H865&amp;$N865&amp;$O865,APOIO_REDES!$W:$W,0),MATCH(AE$5,APOIO_REDES!$5:$5,0)),0)</f>
        <v>1.2</v>
      </c>
      <c r="AF865" s="153" t="n">
        <f aca="false">IFERROR(INDEX(APOIO_REDES!$A:$W,MATCH($C865&amp;$I865&amp;$H865&amp;$N865&amp;$O865,APOIO_REDES!$W:$W,0),MATCH(AF$5,APOIO_REDES!$5:$5,0)),0)</f>
        <v>1.615</v>
      </c>
      <c r="AG865" s="153" t="n">
        <f aca="false">IFERROR(INDEX(APOIO_REDES!$A:$W,MATCH($C865&amp;$I865&amp;$H865&amp;$N865&amp;$O865,APOIO_REDES!$W:$W,0),MATCH(AG$5,APOIO_REDES!$5:$5,0)),0)</f>
        <v>0.9</v>
      </c>
      <c r="AH865" s="153" t="n">
        <f aca="false">IFERROR(INDEX(APOIO_REDES!$A:$W,MATCH($C865&amp;$I865&amp;$H865&amp;$N865&amp;$O865,APOIO_REDES!$W:$W,0),MATCH(AH$5,APOIO_REDES!$5:$5,0)),0)</f>
        <v>0.1</v>
      </c>
      <c r="AI865" s="153" t="n">
        <f aca="false">IFERROR(IF($H865&lt;&gt;"",(((($H865/1000)/2)^2)*PI()*$M865),0),0)</f>
        <v>10.6695513865976</v>
      </c>
      <c r="AJ865" s="153" t="n">
        <f aca="false">IFERROR(IF(AND($H865&lt;&gt;"",$I865="FoFo",OR($N865="MND",$N865="VCA"),$Q865="LINEAR"),0,IF(AND($H865&lt;&gt;"",$I865="PEAD",$N865="VCA",$Q865="LINEAR"),($H865/1000)+0.3,IF(AND($H865&lt;&gt;"",$I865="PEAD",$N865="MND",$Q865="EMBOQUE"),0,IF(AND($H865&lt;&gt;"",$I865="PVC",$N865="VCA",$Q865="LINEAR"),($H865/1000)+0.2,IF(AND($H865&lt;&gt;"",$I865="PVC",$N865="MND",$Q865="EMBOQUE"),0,IF(AND($H865&lt;&gt;"",$I865="PEAD",$N865="VCA",$Q865="PREDIAL"),0,0)))))),0)</f>
        <v>0.615</v>
      </c>
      <c r="AK865" s="153" t="n">
        <f aca="false">IF(AA865&lt;&gt;"",AA865,0)</f>
        <v>3.7</v>
      </c>
      <c r="AL865" s="153" t="n">
        <f aca="false">IF(AND($N865="MND",$Q865="EMBOQUE"),$M865,IF(AND($N865="VCA",$Q865="LINEAR"),$M865,IF(AND($N865="VCA",$Q865="PREDIAL"),0,0)))</f>
        <v>136.91</v>
      </c>
      <c r="AM865" s="153" t="n">
        <f aca="false">IF(AND($N865="MND",$Q865="EMBOQUE"),$M865,IF(AND($N865="VCA",$Q865="LINEAR"),$M865,IF(AND($N865="VCA",$Q865="PREDIAL"),0,0)))</f>
        <v>136.91</v>
      </c>
      <c r="AN865" s="153" t="n">
        <f aca="false">ROUND(IF(AND($N865="VCA",$M865&lt;&gt;"",$Q865="LINEAR"),$M865/100,IF(AND($N865="MND",$M865&gt;100,$Q865="EMBOQUE"),$M865/100,0)),0)</f>
        <v>1</v>
      </c>
      <c r="AO865" s="153" t="n">
        <f aca="false">IF(AND($N865="MND",$Q865="EMBOQUE"),$AN865*2*2,IF(AND($N865="VCA",$Q865="LINEAR"),$M865*2,IF(AND($N865="VCA",$Q865="PREDIAL"),0,0)))</f>
        <v>273.82</v>
      </c>
      <c r="AP865" s="153" t="n">
        <f aca="false">IFERROR($M865*$AF865*$AG865,0)</f>
        <v>198.998685</v>
      </c>
      <c r="AQ865" s="153" t="n">
        <f aca="false">IFERROR(IF(AND($N865="VCA",$AH865&gt;0),$M865*$AG865*$AH865,0),0)</f>
        <v>12.3219</v>
      </c>
      <c r="AR865" s="153" t="n">
        <f aca="false">IFERROR(IF(AND($N865="VCA",$AJ865&gt;0),($M865*$AG865*$AJ865)-$AI865,0),0)</f>
        <v>65.1101336134024</v>
      </c>
      <c r="AS865" s="153" t="n">
        <f aca="false">IFERROR(IF(AND($N865="VCA",$AP865&gt;0),$AP865-$AI865-$AQ865-$AR865,0),0)</f>
        <v>110.8971</v>
      </c>
      <c r="AT865" s="153" t="n">
        <f aca="false">IFERROR(IF($N865="VCA",INDEX(APOIO_REDES!$A:$W,MATCH($C865&amp;$I865&amp;$H865&amp;$N865&amp;$O865,APOIO_REDES!$W:$W,0),MATCH(AT$5,APOIO_REDES!$5:$5,0)),0)*$AP865,0)</f>
        <v>2.16516459340419</v>
      </c>
      <c r="AU865" s="153" t="n">
        <f aca="false">IFERROR(IF($N865="VCA",INDEX(APOIO_REDES!$A:$W,MATCH($C865&amp;$I865&amp;$H865&amp;$N865&amp;$O865,APOIO_REDES!$W:$W,0),MATCH(AU$5,APOIO_REDES!$5:$5,0)),0)*$AP865,0)</f>
        <v>1.72904180419863</v>
      </c>
      <c r="AV865" s="153" t="n">
        <f aca="false">IFERROR(IF($N865="VCA",INDEX(APOIO_REDES!$A:$W,MATCH($C865&amp;$I865&amp;$H865&amp;$N865&amp;$O865,APOIO_REDES!$W:$W,0),MATCH(AV$5,APOIO_REDES!$5:$5,0)),0)*$AP865,0)</f>
        <v>0.239285812190736</v>
      </c>
      <c r="AW865" s="153" t="n">
        <f aca="false">IFERROR(IF($N865="VCA",INDEX(APOIO_REDES!$A:$W,MATCH($C865&amp;$I865&amp;$H865&amp;$N865&amp;$O865,APOIO_REDES!$W:$W,0),MATCH(AW$5,APOIO_REDES!$5:$5,0)),0)*$AP865,0)</f>
        <v>136.594239301053</v>
      </c>
      <c r="AX865" s="153" t="n">
        <f aca="false">IFERROR(IF($N865="VCA",INDEX(APOIO_REDES!$A:$W,MATCH($C865&amp;$I865&amp;$H865&amp;$N865&amp;$O865,APOIO_REDES!$W:$W,0),MATCH(AX$5,APOIO_REDES!$5:$5,0)),0)*$AP865,0)</f>
        <v>18.90425362321</v>
      </c>
      <c r="AY865" s="153" t="n">
        <f aca="false">IFERROR(IF($N865="VCA",INDEX(APOIO_REDES!$A:$W,MATCH($C865&amp;$I865&amp;$H865&amp;$N865&amp;$O865,APOIO_REDES!$W:$W,0),MATCH(AY$5,APOIO_REDES!$5:$5,0)),0)*$AP865,0)</f>
        <v>34.5808150070931</v>
      </c>
      <c r="AZ865" s="153" t="n">
        <f aca="false">IFERROR(IF($N865="VCA",INDEX(APOIO_REDES!$A:$W,MATCH($C865&amp;$I865&amp;$H865&amp;$N865&amp;$O865,APOIO_REDES!$W:$W,0),MATCH(AZ$5,APOIO_REDES!$5:$5,0)),0)*$AP865,0)</f>
        <v>4.78588485885017</v>
      </c>
      <c r="BA865" s="153" t="n">
        <f aca="false">IFERROR(IF(AND($N865="VCA",$Q865="LINEAR"),INDEX(APOIO_REDES!$A:$W,MATCH($C865&amp;$I865&amp;$H865&amp;$N865&amp;$O865,APOIO_REDES!$W:$W,0),MATCH(BA$5,APOIO_REDES!$5:$5,0)),IF(AND($N865="MND",$Q865="EMBOQUE"),INDEX(APOIO_REDES!$A:$W,MATCH($C865&amp;$I865&amp;$H865&amp;$N865&amp;$O865,APOIO_REDES!$W:$W,0),MATCH(BA$5,APOIO_REDES!$5:$5,0)),0))*$M865/10,0)</f>
        <v>11.0346006554477</v>
      </c>
      <c r="BB865" s="153" t="n">
        <f aca="false">IFERROR(IF($N865="VCA",INDEX(APOIO_REDES!$A:$W,MATCH($C865&amp;$I865&amp;$H865&amp;$N865&amp;$O865,APOIO_REDES!$W:$W,0),MATCH(BB$5,APOIO_REDES!$5:$5,0)),0)*($AI865+$AQ865+$AR865),0)</f>
        <v>87.1430136784619</v>
      </c>
      <c r="BC865" s="153" t="n">
        <f aca="false">IFERROR(IF($N865="VCA",INDEX(APOIO_REDES!$A:$W,MATCH($C865&amp;$I865&amp;$H865&amp;$N865&amp;$O865,APOIO_REDES!$W:$W,0),MATCH(BC$5,APOIO_REDES!$5:$5,0)),0)*($AI865+$AQ865+$AR865),0)</f>
        <v>0.958571321538076</v>
      </c>
      <c r="BD865" s="153" t="n">
        <f aca="false">IF(AND($N865="VCA",$AF865&gt;=1.25,$AF865&lt;1.5),$M865*$AF865*2,0)</f>
        <v>0</v>
      </c>
      <c r="BE865" s="153" t="n">
        <f aca="false">IF(AND($N865="VCA",$AF865&gt;=1.5,$AF865&lt;3),$M865*$AF865*2,0)</f>
        <v>442.2193</v>
      </c>
      <c r="BF865" s="153" t="n">
        <f aca="false">IF(AND($N865="VCA",$AF865&gt;=3),$M865*$AF865*2,0)</f>
        <v>0</v>
      </c>
      <c r="BG865" s="153" t="n">
        <f aca="false">($BB865+$BC865)*$AK865</f>
        <v>325.9758645</v>
      </c>
      <c r="BH865" s="153" t="n">
        <f aca="false">IF(AND($M865&lt;&gt;"",$N865="VCA",$Q865="LINEAR"),($M865*2)/100,IF(AND($M865&lt;&gt;"",$N865="MND",$Q865="EMBOQUE"),($AN865*2)/100,0))</f>
        <v>2.7382</v>
      </c>
      <c r="BI865" s="153" t="n">
        <f aca="false">IF(AND($M865&lt;&gt;"",$N865="VCA",$Q865="LINEAR"),$M865,IF(AND($M865&lt;&gt;"",$N865="MND",$Q865="EMBOQUE"),$AN865*2,0))</f>
        <v>136.91</v>
      </c>
      <c r="BJ865" s="153" t="n">
        <f aca="false">IF(AND($M865&lt;&gt;"",$N865="VCA",$Q865="LINEAR"),($M865*6.8)/100,IF(AND($M865&lt;&gt;"",$N865="MND",$Q865="EMBOQUE"),($AN865*2*6.8)/100,0))</f>
        <v>9.30988</v>
      </c>
      <c r="BK865" s="153" t="n">
        <f aca="false">IF(AND($M865&lt;&gt;"",$N865="VCA",$Q865="LINEAR"),($M865*2.5)/50,IF(AND($M865&lt;&gt;"",$N865="MND",$Q865="EMBOQUE"),($AN865*2*2.5)/50,0))</f>
        <v>6.8455</v>
      </c>
      <c r="BL865" s="157" t="str">
        <f aca="false">K865&amp;J865</f>
        <v>ADUTORAREDES</v>
      </c>
      <c r="BM865" s="152" t="s">
        <v>2229</v>
      </c>
      <c r="BN865" s="152" t="s">
        <v>2230</v>
      </c>
      <c r="BO865" s="152" t="s">
        <v>2489</v>
      </c>
      <c r="BP865" s="152" t="s">
        <v>4826</v>
      </c>
      <c r="BQ865" s="152" t="s">
        <v>4830</v>
      </c>
      <c r="BR865" s="152" t="s">
        <v>4820</v>
      </c>
      <c r="BS865" s="152" t="n">
        <v>203044.115</v>
      </c>
      <c r="BT865" s="152" t="n">
        <v>8237220.194</v>
      </c>
      <c r="BU865" s="152" t="n">
        <v>203155.682</v>
      </c>
      <c r="BV865" s="152" t="n">
        <v>8237141.049</v>
      </c>
      <c r="BW865" s="152" t="n">
        <v>-15.926878</v>
      </c>
      <c r="BX865" s="152" t="n">
        <v>-47.773055</v>
      </c>
      <c r="BY865" s="152" t="s">
        <v>4826</v>
      </c>
    </row>
    <row r="866" customFormat="false" ht="13.8" hidden="false" customHeight="false" outlineLevel="0" collapsed="false">
      <c r="A866" s="149" t="n">
        <f aca="false">IF(C866&lt;&gt;"",ROW(A861),"")</f>
        <v>861</v>
      </c>
      <c r="B866" s="150" t="str">
        <f aca="false">HYPERLINK("https://www.google.com/maps/dir/-15.917302,-47.760003/-15.9246528,-47.7757377/data=!4m3!4m2!3e0!5i2")</f>
        <v>https://www.google.com/maps/dir/-15.917302,-47.760003/-15.9246528,-47.7757377/data=!4m3!4m2!3e0!5i2</v>
      </c>
      <c r="C866" s="151" t="s">
        <v>117</v>
      </c>
      <c r="D866" s="152" t="s">
        <v>112</v>
      </c>
      <c r="E866" s="152" t="s">
        <v>113</v>
      </c>
      <c r="F866" s="152" t="s">
        <v>117</v>
      </c>
      <c r="G866" s="152" t="s">
        <v>114</v>
      </c>
      <c r="H866" s="152" t="n">
        <v>160</v>
      </c>
      <c r="I866" s="152" t="s">
        <v>115</v>
      </c>
      <c r="J866" s="152" t="s">
        <v>6</v>
      </c>
      <c r="K866" s="152" t="s">
        <v>4831</v>
      </c>
      <c r="L866" s="152" t="s">
        <v>120</v>
      </c>
      <c r="M866" s="153" t="n">
        <f aca="false">6.04</f>
        <v>6.04</v>
      </c>
      <c r="N866" s="152" t="s">
        <v>1548</v>
      </c>
      <c r="O866" s="152" t="s">
        <v>1549</v>
      </c>
      <c r="P866" s="152" t="s">
        <v>1550</v>
      </c>
      <c r="Q866" s="152" t="s">
        <v>1551</v>
      </c>
      <c r="R866" s="154" t="s">
        <v>4832</v>
      </c>
      <c r="S866" s="154" t="s">
        <v>1593</v>
      </c>
      <c r="T866" s="155" t="s">
        <v>2487</v>
      </c>
      <c r="U866" s="152" t="str">
        <f aca="false">RIGHT(T866,7)</f>
        <v>011/037</v>
      </c>
      <c r="V866" s="152" t="s">
        <v>1555</v>
      </c>
      <c r="W866" s="156" t="n">
        <v>45882</v>
      </c>
      <c r="X866" s="152" t="s">
        <v>1594</v>
      </c>
      <c r="Y866" s="152"/>
      <c r="Z866" s="152" t="s">
        <v>1557</v>
      </c>
      <c r="AA866" s="153" t="n">
        <v>3.9</v>
      </c>
      <c r="AB866" s="151" t="s">
        <v>4833</v>
      </c>
      <c r="AC866" s="151" t="s">
        <v>505</v>
      </c>
      <c r="AD866" s="151" t="str">
        <f aca="false">CONCATENATE($C866,$I866,$H866,$N866,$J866,$K866)</f>
        <v>TUBO PEADPEAD160VCAREDESZona08</v>
      </c>
      <c r="AE866" s="153" t="n">
        <f aca="false">IFERROR(INDEX(APOIO_REDES!$A:$W,MATCH($C866&amp;$I866&amp;$H866&amp;$N866&amp;$O866,APOIO_REDES!$W:$W,0),MATCH(AE$5,APOIO_REDES!$5:$5,0)),0)</f>
        <v>1.2</v>
      </c>
      <c r="AF866" s="153" t="n">
        <f aca="false">IFERROR(INDEX(APOIO_REDES!$A:$W,MATCH($C866&amp;$I866&amp;$H866&amp;$N866&amp;$O866,APOIO_REDES!$W:$W,0),MATCH(AF$5,APOIO_REDES!$5:$5,0)),0)</f>
        <v>1.46</v>
      </c>
      <c r="AG866" s="153" t="n">
        <f aca="false">IFERROR(INDEX(APOIO_REDES!$A:$W,MATCH($C866&amp;$I866&amp;$H866&amp;$N866&amp;$O866,APOIO_REDES!$W:$W,0),MATCH(AG$5,APOIO_REDES!$5:$5,0)),0)</f>
        <v>0.75</v>
      </c>
      <c r="AH866" s="153" t="n">
        <f aca="false">IFERROR(INDEX(APOIO_REDES!$A:$W,MATCH($C866&amp;$I866&amp;$H866&amp;$N866&amp;$O866,APOIO_REDES!$W:$W,0),MATCH(AH$5,APOIO_REDES!$5:$5,0)),0)</f>
        <v>0.1</v>
      </c>
      <c r="AI866" s="153" t="n">
        <f aca="false">IFERROR(IF($H866&lt;&gt;"",(((($H866/1000)/2)^2)*PI()*$M866),0),0)</f>
        <v>0.121441405617167</v>
      </c>
      <c r="AJ866" s="153" t="n">
        <f aca="false">IFERROR(IF(AND($H866&lt;&gt;"",$I866="FoFo",OR($N866="MND",$N866="VCA"),$Q866="LINEAR"),0,IF(AND($H866&lt;&gt;"",$I866="PEAD",$N866="VCA",$Q866="LINEAR"),($H866/1000)+0.3,IF(AND($H866&lt;&gt;"",$I866="PEAD",$N866="MND",$Q866="EMBOQUE"),0,IF(AND($H866&lt;&gt;"",$I866="PVC",$N866="VCA",$Q866="LINEAR"),($H866/1000)+0.2,IF(AND($H866&lt;&gt;"",$I866="PVC",$N866="MND",$Q866="EMBOQUE"),0,IF(AND($H866&lt;&gt;"",$I866="PEAD",$N866="VCA",$Q866="PREDIAL"),0,0)))))),0)</f>
        <v>0.46</v>
      </c>
      <c r="AK866" s="153" t="n">
        <f aca="false">IF(AA866&lt;&gt;"",AA866,0)</f>
        <v>3.9</v>
      </c>
      <c r="AL866" s="153" t="n">
        <f aca="false">IF(AND($N866="MND",$Q866="EMBOQUE"),$M866,IF(AND($N866="VCA",$Q866="LINEAR"),$M866,IF(AND($N866="VCA",$Q866="PREDIAL"),0,0)))</f>
        <v>6.04</v>
      </c>
      <c r="AM866" s="153" t="n">
        <f aca="false">IF(AND($N866="MND",$Q866="EMBOQUE"),$M866,IF(AND($N866="VCA",$Q866="LINEAR"),$M866,IF(AND($N866="VCA",$Q866="PREDIAL"),0,0)))</f>
        <v>6.04</v>
      </c>
      <c r="AN866" s="153" t="n">
        <f aca="false">ROUND(IF(AND($N866="VCA",$M866&lt;&gt;"",$Q866="LINEAR"),$M866/100,IF(AND($N866="MND",$M866&gt;100,$Q866="EMBOQUE"),$M866/100,0)),0)</f>
        <v>0</v>
      </c>
      <c r="AO866" s="153" t="n">
        <f aca="false">IF(AND($N866="MND",$Q866="EMBOQUE"),$AN866*2*2,IF(AND($N866="VCA",$Q866="LINEAR"),$M866*2,IF(AND($N866="VCA",$Q866="PREDIAL"),0,0)))</f>
        <v>12.08</v>
      </c>
      <c r="AP866" s="153" t="n">
        <f aca="false">IFERROR($M866*$AF866*$AG866,0)</f>
        <v>6.6138</v>
      </c>
      <c r="AQ866" s="153" t="n">
        <f aca="false">IFERROR(IF(AND($N866="VCA",$AH866&gt;0),$M866*$AG866*$AH866,0),0)</f>
        <v>0.453</v>
      </c>
      <c r="AR866" s="153" t="n">
        <f aca="false">IFERROR(IF(AND($N866="VCA",$AJ866&gt;0),($M866*$AG866*$AJ866)-$AI866,0),0)</f>
        <v>1.96235859438283</v>
      </c>
      <c r="AS866" s="153" t="n">
        <f aca="false">IFERROR(IF(AND($N866="VCA",$AP866&gt;0),$AP866-$AI866-$AQ866-$AR866,0),0)</f>
        <v>4.077</v>
      </c>
      <c r="AT866" s="153" t="n">
        <f aca="false">IFERROR(IF($N866="VCA",INDEX(APOIO_REDES!$A:$W,MATCH($C866&amp;$I866&amp;$H866&amp;$N866&amp;$O866,APOIO_REDES!$W:$W,0),MATCH(AT$5,APOIO_REDES!$5:$5,0)),0)*$AP866,0)</f>
        <v>0.0719601015848753</v>
      </c>
      <c r="AU866" s="153" t="n">
        <f aca="false">IFERROR(IF($N866="VCA",INDEX(APOIO_REDES!$A:$W,MATCH($C866&amp;$I866&amp;$H866&amp;$N866&amp;$O866,APOIO_REDES!$W:$W,0),MATCH(AU$5,APOIO_REDES!$5:$5,0)),0)*$AP866,0)</f>
        <v>0.0574653881989666</v>
      </c>
      <c r="AV866" s="153" t="n">
        <f aca="false">IFERROR(IF($N866="VCA",INDEX(APOIO_REDES!$A:$W,MATCH($C866&amp;$I866&amp;$H866&amp;$N866&amp;$O866,APOIO_REDES!$W:$W,0),MATCH(AV$5,APOIO_REDES!$5:$5,0)),0)*$AP866,0)</f>
        <v>0.00795275860575204</v>
      </c>
      <c r="AW866" s="153" t="n">
        <f aca="false">IFERROR(IF($N866="VCA",INDEX(APOIO_REDES!$A:$W,MATCH($C866&amp;$I866&amp;$H866&amp;$N866&amp;$O866,APOIO_REDES!$W:$W,0),MATCH(AW$5,APOIO_REDES!$5:$5,0)),0)*$AP866,0)</f>
        <v>4.53976356622309</v>
      </c>
      <c r="AX866" s="153" t="n">
        <f aca="false">IFERROR(IF($N866="VCA",INDEX(APOIO_REDES!$A:$W,MATCH($C866&amp;$I866&amp;$H866&amp;$N866&amp;$O866,APOIO_REDES!$W:$W,0),MATCH(AX$5,APOIO_REDES!$5:$5,0)),0)*$AP866,0)</f>
        <v>0.628290345803973</v>
      </c>
      <c r="AY866" s="153" t="n">
        <f aca="false">IFERROR(IF($N866="VCA",INDEX(APOIO_REDES!$A:$W,MATCH($C866&amp;$I866&amp;$H866&amp;$N866&amp;$O866,APOIO_REDES!$W:$W,0),MATCH(AY$5,APOIO_REDES!$5:$5,0)),0)*$AP866,0)</f>
        <v>1.14930706348091</v>
      </c>
      <c r="AZ866" s="153" t="n">
        <f aca="false">IFERROR(IF($N866="VCA",INDEX(APOIO_REDES!$A:$W,MATCH($C866&amp;$I866&amp;$H866&amp;$N866&amp;$O866,APOIO_REDES!$W:$W,0),MATCH(AZ$5,APOIO_REDES!$5:$5,0)),0)*$AP866,0)</f>
        <v>0.159060776102431</v>
      </c>
      <c r="BA866" s="153" t="n">
        <f aca="false">IFERROR(IF(AND($N866="VCA",$Q866="LINEAR"),INDEX(APOIO_REDES!$A:$W,MATCH($C866&amp;$I866&amp;$H866&amp;$N866&amp;$O866,APOIO_REDES!$W:$W,0),MATCH(BA$5,APOIO_REDES!$5:$5,0)),IF(AND($N866="MND",$Q866="EMBOQUE"),INDEX(APOIO_REDES!$A:$W,MATCH($C866&amp;$I866&amp;$H866&amp;$N866&amp;$O866,APOIO_REDES!$W:$W,0),MATCH(BA$5,APOIO_REDES!$5:$5,0)),0))*$M866/10,0)</f>
        <v>0.486808764581873</v>
      </c>
      <c r="BB866" s="153" t="n">
        <f aca="false">IFERROR(IF($N866="VCA",INDEX(APOIO_REDES!$A:$W,MATCH($C866&amp;$I866&amp;$H866&amp;$N866&amp;$O866,APOIO_REDES!$W:$W,0),MATCH(BB$5,APOIO_REDES!$5:$5,0)),0)*($AI866+$AQ866+$AR866),0)</f>
        <v>2.50919886514553</v>
      </c>
      <c r="BC866" s="153" t="n">
        <f aca="false">IFERROR(IF($N866="VCA",INDEX(APOIO_REDES!$A:$W,MATCH($C866&amp;$I866&amp;$H866&amp;$N866&amp;$O866,APOIO_REDES!$W:$W,0),MATCH(BC$5,APOIO_REDES!$5:$5,0)),0)*($AI866+$AQ866+$AR866),0)</f>
        <v>0.0276011348544727</v>
      </c>
      <c r="BD866" s="153" t="n">
        <f aca="false">IF(AND($N866="VCA",$AF866&gt;=1.25,$AF866&lt;1.5),$M866*$AF866*2,0)</f>
        <v>17.6368</v>
      </c>
      <c r="BE866" s="153" t="n">
        <f aca="false">IF(AND($N866="VCA",$AF866&gt;=1.5,$AF866&lt;3),$M866*$AF866*2,0)</f>
        <v>0</v>
      </c>
      <c r="BF866" s="153" t="n">
        <f aca="false">IF(AND($N866="VCA",$AF866&gt;=3),$M866*$AF866*2,0)</f>
        <v>0</v>
      </c>
      <c r="BG866" s="153" t="n">
        <f aca="false">($BB866+$BC866)*$AK866</f>
        <v>9.89352</v>
      </c>
      <c r="BH866" s="153" t="n">
        <f aca="false">IF(AND($M866&lt;&gt;"",$N866="VCA",$Q866="LINEAR"),($M866*2)/100,IF(AND($M866&lt;&gt;"",$N866="MND",$Q866="EMBOQUE"),($AN866*2)/100,0))</f>
        <v>0.1208</v>
      </c>
      <c r="BI866" s="153" t="n">
        <f aca="false">IF(AND($M866&lt;&gt;"",$N866="VCA",$Q866="LINEAR"),$M866,IF(AND($M866&lt;&gt;"",$N866="MND",$Q866="EMBOQUE"),$AN866*2,0))</f>
        <v>6.04</v>
      </c>
      <c r="BJ866" s="153" t="n">
        <f aca="false">IF(AND($M866&lt;&gt;"",$N866="VCA",$Q866="LINEAR"),($M866*6.8)/100,IF(AND($M866&lt;&gt;"",$N866="MND",$Q866="EMBOQUE"),($AN866*2*6.8)/100,0))</f>
        <v>0.41072</v>
      </c>
      <c r="BK866" s="153" t="n">
        <f aca="false">IF(AND($M866&lt;&gt;"",$N866="VCA",$Q866="LINEAR"),($M866*2.5)/50,IF(AND($M866&lt;&gt;"",$N866="MND",$Q866="EMBOQUE"),($AN866*2*2.5)/50,0))</f>
        <v>0.302</v>
      </c>
      <c r="BL866" s="157" t="str">
        <f aca="false">K866&amp;J866</f>
        <v>Zona08REDES</v>
      </c>
      <c r="BM866" s="152" t="s">
        <v>4834</v>
      </c>
      <c r="BN866" s="152" t="s">
        <v>1560</v>
      </c>
      <c r="BO866" s="152" t="s">
        <v>2489</v>
      </c>
      <c r="BP866" s="152" t="s">
        <v>2511</v>
      </c>
      <c r="BQ866" s="152" t="s">
        <v>4835</v>
      </c>
      <c r="BR866" s="152" t="s">
        <v>2461</v>
      </c>
      <c r="BS866" s="152" t="n">
        <v>202808.975</v>
      </c>
      <c r="BT866" s="152" t="n">
        <v>8237422.779</v>
      </c>
      <c r="BU866" s="152" t="n">
        <v>202812.908</v>
      </c>
      <c r="BV866" s="152" t="n">
        <v>8237418.199</v>
      </c>
      <c r="BW866" s="152" t="n">
        <v>-15.9246739</v>
      </c>
      <c r="BX866" s="152" t="n">
        <v>-47.7757198</v>
      </c>
      <c r="BY866" s="152" t="s">
        <v>2511</v>
      </c>
    </row>
    <row r="867" customFormat="false" ht="13.8" hidden="false" customHeight="false" outlineLevel="0" collapsed="false">
      <c r="A867" s="149" t="n">
        <f aca="false">IF(C867&lt;&gt;"",ROW(A862),"")</f>
        <v>862</v>
      </c>
      <c r="B867" s="150" t="str">
        <f aca="false">HYPERLINK("https://www.google.com/maps/dir/-15.917302,-47.760003/-15.9246948,-47.7757017/data=!4m3!4m2!3e0!5i2")</f>
        <v>https://www.google.com/maps/dir/-15.917302,-47.760003/-15.9246948,-47.7757017/data=!4m3!4m2!3e0!5i2</v>
      </c>
      <c r="C867" s="151" t="s">
        <v>117</v>
      </c>
      <c r="D867" s="152" t="s">
        <v>112</v>
      </c>
      <c r="E867" s="152" t="s">
        <v>113</v>
      </c>
      <c r="F867" s="152" t="s">
        <v>117</v>
      </c>
      <c r="G867" s="152" t="s">
        <v>114</v>
      </c>
      <c r="H867" s="152" t="n">
        <v>160</v>
      </c>
      <c r="I867" s="152" t="s">
        <v>115</v>
      </c>
      <c r="J867" s="152" t="s">
        <v>6</v>
      </c>
      <c r="K867" s="152" t="s">
        <v>4831</v>
      </c>
      <c r="L867" s="152" t="s">
        <v>120</v>
      </c>
      <c r="M867" s="153" t="n">
        <f aca="false">3.31</f>
        <v>3.31</v>
      </c>
      <c r="N867" s="152" t="s">
        <v>1548</v>
      </c>
      <c r="O867" s="152" t="s">
        <v>1549</v>
      </c>
      <c r="P867" s="152" t="s">
        <v>1550</v>
      </c>
      <c r="Q867" s="152" t="s">
        <v>1551</v>
      </c>
      <c r="R867" s="154" t="s">
        <v>4836</v>
      </c>
      <c r="S867" s="154" t="s">
        <v>1593</v>
      </c>
      <c r="T867" s="155" t="s">
        <v>2487</v>
      </c>
      <c r="U867" s="152" t="str">
        <f aca="false">RIGHT(T867,7)</f>
        <v>011/037</v>
      </c>
      <c r="V867" s="152" t="s">
        <v>1555</v>
      </c>
      <c r="W867" s="156" t="n">
        <v>45882</v>
      </c>
      <c r="X867" s="152" t="s">
        <v>1594</v>
      </c>
      <c r="Y867" s="152"/>
      <c r="Z867" s="152" t="s">
        <v>1557</v>
      </c>
      <c r="AA867" s="153" t="n">
        <v>4</v>
      </c>
      <c r="AB867" s="151" t="s">
        <v>4837</v>
      </c>
      <c r="AC867" s="151" t="s">
        <v>505</v>
      </c>
      <c r="AD867" s="151" t="str">
        <f aca="false">CONCATENATE($C867,$I867,$H867,$N867,$J867,$K867)</f>
        <v>TUBO PEADPEAD160VCAREDESZona08</v>
      </c>
      <c r="AE867" s="153" t="n">
        <f aca="false">IFERROR(INDEX(APOIO_REDES!$A:$W,MATCH($C867&amp;$I867&amp;$H867&amp;$N867&amp;$O867,APOIO_REDES!$W:$W,0),MATCH(AE$5,APOIO_REDES!$5:$5,0)),0)</f>
        <v>1.2</v>
      </c>
      <c r="AF867" s="153" t="n">
        <f aca="false">IFERROR(INDEX(APOIO_REDES!$A:$W,MATCH($C867&amp;$I867&amp;$H867&amp;$N867&amp;$O867,APOIO_REDES!$W:$W,0),MATCH(AF$5,APOIO_REDES!$5:$5,0)),0)</f>
        <v>1.46</v>
      </c>
      <c r="AG867" s="153" t="n">
        <f aca="false">IFERROR(INDEX(APOIO_REDES!$A:$W,MATCH($C867&amp;$I867&amp;$H867&amp;$N867&amp;$O867,APOIO_REDES!$W:$W,0),MATCH(AG$5,APOIO_REDES!$5:$5,0)),0)</f>
        <v>0.75</v>
      </c>
      <c r="AH867" s="153" t="n">
        <f aca="false">IFERROR(INDEX(APOIO_REDES!$A:$W,MATCH($C867&amp;$I867&amp;$H867&amp;$N867&amp;$O867,APOIO_REDES!$W:$W,0),MATCH(AH$5,APOIO_REDES!$5:$5,0)),0)</f>
        <v>0.1</v>
      </c>
      <c r="AI867" s="153" t="n">
        <f aca="false">IFERROR(IF($H867&lt;&gt;"",(((($H867/1000)/2)^2)*PI()*$M867),0),0)</f>
        <v>0.0665514987736462</v>
      </c>
      <c r="AJ867" s="153" t="n">
        <f aca="false">IFERROR(IF(AND($H867&lt;&gt;"",$I867="FoFo",OR($N867="MND",$N867="VCA"),$Q867="LINEAR"),0,IF(AND($H867&lt;&gt;"",$I867="PEAD",$N867="VCA",$Q867="LINEAR"),($H867/1000)+0.3,IF(AND($H867&lt;&gt;"",$I867="PEAD",$N867="MND",$Q867="EMBOQUE"),0,IF(AND($H867&lt;&gt;"",$I867="PVC",$N867="VCA",$Q867="LINEAR"),($H867/1000)+0.2,IF(AND($H867&lt;&gt;"",$I867="PVC",$N867="MND",$Q867="EMBOQUE"),0,IF(AND($H867&lt;&gt;"",$I867="PEAD",$N867="VCA",$Q867="PREDIAL"),0,0)))))),0)</f>
        <v>0.46</v>
      </c>
      <c r="AK867" s="153" t="n">
        <f aca="false">IF(AA867&lt;&gt;"",AA867,0)</f>
        <v>4</v>
      </c>
      <c r="AL867" s="153" t="n">
        <f aca="false">IF(AND($N867="MND",$Q867="EMBOQUE"),$M867,IF(AND($N867="VCA",$Q867="LINEAR"),$M867,IF(AND($N867="VCA",$Q867="PREDIAL"),0,0)))</f>
        <v>3.31</v>
      </c>
      <c r="AM867" s="153" t="n">
        <f aca="false">IF(AND($N867="MND",$Q867="EMBOQUE"),$M867,IF(AND($N867="VCA",$Q867="LINEAR"),$M867,IF(AND($N867="VCA",$Q867="PREDIAL"),0,0)))</f>
        <v>3.31</v>
      </c>
      <c r="AN867" s="153" t="n">
        <f aca="false">ROUND(IF(AND($N867="VCA",$M867&lt;&gt;"",$Q867="LINEAR"),$M867/100,IF(AND($N867="MND",$M867&gt;100,$Q867="EMBOQUE"),$M867/100,0)),0)</f>
        <v>0</v>
      </c>
      <c r="AO867" s="153" t="n">
        <f aca="false">IF(AND($N867="MND",$Q867="EMBOQUE"),$AN867*2*2,IF(AND($N867="VCA",$Q867="LINEAR"),$M867*2,IF(AND($N867="VCA",$Q867="PREDIAL"),0,0)))</f>
        <v>6.62</v>
      </c>
      <c r="AP867" s="153" t="n">
        <f aca="false">IFERROR($M867*$AF867*$AG867,0)</f>
        <v>3.62445</v>
      </c>
      <c r="AQ867" s="153" t="n">
        <f aca="false">IFERROR(IF(AND($N867="VCA",$AH867&gt;0),$M867*$AG867*$AH867,0),0)</f>
        <v>0.24825</v>
      </c>
      <c r="AR867" s="153" t="n">
        <f aca="false">IFERROR(IF(AND($N867="VCA",$AJ867&gt;0),($M867*$AG867*$AJ867)-$AI867,0),0)</f>
        <v>1.07539850122635</v>
      </c>
      <c r="AS867" s="153" t="n">
        <f aca="false">IFERROR(IF(AND($N867="VCA",$AP867&gt;0),$AP867-$AI867-$AQ867-$AR867,0),0)</f>
        <v>2.23425</v>
      </c>
      <c r="AT867" s="153" t="n">
        <f aca="false">IFERROR(IF($N867="VCA",INDEX(APOIO_REDES!$A:$W,MATCH($C867&amp;$I867&amp;$H867&amp;$N867&amp;$O867,APOIO_REDES!$W:$W,0),MATCH(AT$5,APOIO_REDES!$5:$5,0)),0)*$AP867,0)</f>
        <v>0.0394350887824399</v>
      </c>
      <c r="AU867" s="153" t="n">
        <f aca="false">IFERROR(IF($N867="VCA",INDEX(APOIO_REDES!$A:$W,MATCH($C867&amp;$I867&amp;$H867&amp;$N867&amp;$O867,APOIO_REDES!$W:$W,0),MATCH(AU$5,APOIO_REDES!$5:$5,0)),0)*$AP867,0)</f>
        <v>0.0314917938640032</v>
      </c>
      <c r="AV867" s="153" t="n">
        <f aca="false">IFERROR(IF($N867="VCA",INDEX(APOIO_REDES!$A:$W,MATCH($C867&amp;$I867&amp;$H867&amp;$N867&amp;$O867,APOIO_REDES!$W:$W,0),MATCH(AV$5,APOIO_REDES!$5:$5,0)),0)*$AP867,0)</f>
        <v>0.00435821705050319</v>
      </c>
      <c r="AW867" s="153" t="n">
        <f aca="false">IFERROR(IF($N867="VCA",INDEX(APOIO_REDES!$A:$W,MATCH($C867&amp;$I867&amp;$H867&amp;$N867&amp;$O867,APOIO_REDES!$W:$W,0),MATCH(AW$5,APOIO_REDES!$5:$5,0)),0)*$AP867,0)</f>
        <v>2.48785056360901</v>
      </c>
      <c r="AX867" s="153" t="n">
        <f aca="false">IFERROR(IF($N867="VCA",INDEX(APOIO_REDES!$A:$W,MATCH($C867&amp;$I867&amp;$H867&amp;$N867&amp;$O867,APOIO_REDES!$W:$W,0),MATCH(AX$5,APOIO_REDES!$5:$5,0)),0)*$AP867,0)</f>
        <v>0.344311431227012</v>
      </c>
      <c r="AY867" s="153" t="n">
        <f aca="false">IFERROR(IF($N867="VCA",INDEX(APOIO_REDES!$A:$W,MATCH($C867&amp;$I867&amp;$H867&amp;$N867&amp;$O867,APOIO_REDES!$W:$W,0),MATCH(AY$5,APOIO_REDES!$5:$5,0)),0)*$AP867,0)</f>
        <v>0.62983549339765</v>
      </c>
      <c r="AZ867" s="153" t="n">
        <f aca="false">IFERROR(IF($N867="VCA",INDEX(APOIO_REDES!$A:$W,MATCH($C867&amp;$I867&amp;$H867&amp;$N867&amp;$O867,APOIO_REDES!$W:$W,0),MATCH(AZ$5,APOIO_REDES!$5:$5,0)),0)*$AP867,0)</f>
        <v>0.0871674120693788</v>
      </c>
      <c r="BA867" s="153" t="n">
        <f aca="false">IFERROR(IF(AND($N867="VCA",$Q867="LINEAR"),INDEX(APOIO_REDES!$A:$W,MATCH($C867&amp;$I867&amp;$H867&amp;$N867&amp;$O867,APOIO_REDES!$W:$W,0),MATCH(BA$5,APOIO_REDES!$5:$5,0)),IF(AND($N867="MND",$Q867="EMBOQUE"),INDEX(APOIO_REDES!$A:$W,MATCH($C867&amp;$I867&amp;$H867&amp;$N867&amp;$O867,APOIO_REDES!$W:$W,0),MATCH(BA$5,APOIO_REDES!$5:$5,0)),0))*$M867/10,0)</f>
        <v>0.266777650789073</v>
      </c>
      <c r="BB867" s="153" t="n">
        <f aca="false">IFERROR(IF($N867="VCA",INDEX(APOIO_REDES!$A:$W,MATCH($C867&amp;$I867&amp;$H867&amp;$N867&amp;$O867,APOIO_REDES!$W:$W,0),MATCH(BB$5,APOIO_REDES!$5:$5,0)),0)*($AI867+$AQ867+$AR867),0)</f>
        <v>1.3750742125218</v>
      </c>
      <c r="BC867" s="153" t="n">
        <f aca="false">IFERROR(IF($N867="VCA",INDEX(APOIO_REDES!$A:$W,MATCH($C867&amp;$I867&amp;$H867&amp;$N867&amp;$O867,APOIO_REDES!$W:$W,0),MATCH(BC$5,APOIO_REDES!$5:$5,0)),0)*($AI867+$AQ867+$AR867),0)</f>
        <v>0.0151257874781961</v>
      </c>
      <c r="BD867" s="153" t="n">
        <f aca="false">IF(AND($N867="VCA",$AF867&gt;=1.25,$AF867&lt;1.5),$M867*$AF867*2,0)</f>
        <v>9.6652</v>
      </c>
      <c r="BE867" s="153" t="n">
        <f aca="false">IF(AND($N867="VCA",$AF867&gt;=1.5,$AF867&lt;3),$M867*$AF867*2,0)</f>
        <v>0</v>
      </c>
      <c r="BF867" s="153" t="n">
        <f aca="false">IF(AND($N867="VCA",$AF867&gt;=3),$M867*$AF867*2,0)</f>
        <v>0</v>
      </c>
      <c r="BG867" s="153" t="n">
        <f aca="false">($BB867+$BC867)*$AK867</f>
        <v>5.5608</v>
      </c>
      <c r="BH867" s="153" t="n">
        <f aca="false">IF(AND($M867&lt;&gt;"",$N867="VCA",$Q867="LINEAR"),($M867*2)/100,IF(AND($M867&lt;&gt;"",$N867="MND",$Q867="EMBOQUE"),($AN867*2)/100,0))</f>
        <v>0.0662</v>
      </c>
      <c r="BI867" s="153" t="n">
        <f aca="false">IF(AND($M867&lt;&gt;"",$N867="VCA",$Q867="LINEAR"),$M867,IF(AND($M867&lt;&gt;"",$N867="MND",$Q867="EMBOQUE"),$AN867*2,0))</f>
        <v>3.31</v>
      </c>
      <c r="BJ867" s="153" t="n">
        <f aca="false">IF(AND($M867&lt;&gt;"",$N867="VCA",$Q867="LINEAR"),($M867*6.8)/100,IF(AND($M867&lt;&gt;"",$N867="MND",$Q867="EMBOQUE"),($AN867*2*6.8)/100,0))</f>
        <v>0.22508</v>
      </c>
      <c r="BK867" s="153" t="n">
        <f aca="false">IF(AND($M867&lt;&gt;"",$N867="VCA",$Q867="LINEAR"),($M867*2.5)/50,IF(AND($M867&lt;&gt;"",$N867="MND",$Q867="EMBOQUE"),($AN867*2*2.5)/50,0))</f>
        <v>0.1655</v>
      </c>
      <c r="BL867" s="157" t="str">
        <f aca="false">K867&amp;J867</f>
        <v>Zona08REDES</v>
      </c>
      <c r="BM867" s="152" t="s">
        <v>4834</v>
      </c>
      <c r="BN867" s="152" t="s">
        <v>1560</v>
      </c>
      <c r="BO867" s="152" t="s">
        <v>2489</v>
      </c>
      <c r="BP867" s="152" t="s">
        <v>4835</v>
      </c>
      <c r="BQ867" s="152" t="s">
        <v>4812</v>
      </c>
      <c r="BR867" s="152" t="s">
        <v>2461</v>
      </c>
      <c r="BS867" s="152" t="n">
        <v>202812.908</v>
      </c>
      <c r="BT867" s="152" t="n">
        <v>8237418.199</v>
      </c>
      <c r="BU867" s="152" t="n">
        <v>202815.068</v>
      </c>
      <c r="BV867" s="152" t="n">
        <v>8237415.684</v>
      </c>
      <c r="BW867" s="152" t="n">
        <v>-15.9247063</v>
      </c>
      <c r="BX867" s="152" t="n">
        <v>-47.7756918</v>
      </c>
      <c r="BY867" s="152" t="s">
        <v>4835</v>
      </c>
    </row>
    <row r="868" customFormat="false" ht="13.8" hidden="false" customHeight="false" outlineLevel="0" collapsed="false">
      <c r="A868" s="149" t="n">
        <f aca="false">IF(C868&lt;&gt;"",ROW(A863),"")</f>
        <v>863</v>
      </c>
      <c r="B868" s="150" t="str">
        <f aca="false">HYPERLINK("https://www.google.com/maps/dir/-15.917302,-47.760003/-15.9250257,-47.7759658/data=!4m3!4m2!3e0!5i2")</f>
        <v>https://www.google.com/maps/dir/-15.917302,-47.760003/-15.9250257,-47.7759658/data=!4m3!4m2!3e0!5i2</v>
      </c>
      <c r="C868" s="151" t="s">
        <v>117</v>
      </c>
      <c r="D868" s="152" t="s">
        <v>112</v>
      </c>
      <c r="E868" s="152" t="s">
        <v>113</v>
      </c>
      <c r="F868" s="152" t="s">
        <v>117</v>
      </c>
      <c r="G868" s="152" t="s">
        <v>782</v>
      </c>
      <c r="H868" s="152" t="n">
        <v>90</v>
      </c>
      <c r="I868" s="152" t="s">
        <v>115</v>
      </c>
      <c r="J868" s="152" t="s">
        <v>6</v>
      </c>
      <c r="K868" s="152" t="s">
        <v>4831</v>
      </c>
      <c r="L868" s="152" t="s">
        <v>120</v>
      </c>
      <c r="M868" s="153" t="n">
        <f aca="false">49.34+0.52</f>
        <v>49.86</v>
      </c>
      <c r="N868" s="152" t="s">
        <v>1548</v>
      </c>
      <c r="O868" s="152" t="s">
        <v>1549</v>
      </c>
      <c r="P868" s="152" t="s">
        <v>1550</v>
      </c>
      <c r="Q868" s="152" t="s">
        <v>1551</v>
      </c>
      <c r="R868" s="154" t="s">
        <v>4838</v>
      </c>
      <c r="S868" s="154" t="s">
        <v>1593</v>
      </c>
      <c r="T868" s="155" t="s">
        <v>2487</v>
      </c>
      <c r="U868" s="152" t="str">
        <f aca="false">RIGHT(T868,7)</f>
        <v>011/037</v>
      </c>
      <c r="V868" s="152" t="s">
        <v>1555</v>
      </c>
      <c r="W868" s="156" t="n">
        <v>45882</v>
      </c>
      <c r="X868" s="152" t="s">
        <v>1594</v>
      </c>
      <c r="Y868" s="152"/>
      <c r="Z868" s="152" t="s">
        <v>1557</v>
      </c>
      <c r="AA868" s="153" t="n">
        <v>4</v>
      </c>
      <c r="AB868" s="151" t="s">
        <v>4839</v>
      </c>
      <c r="AC868" s="151" t="s">
        <v>526</v>
      </c>
      <c r="AD868" s="151" t="str">
        <f aca="false">CONCATENATE($C868,$I868,$H868,$N868,$J868,$K868)</f>
        <v>TUBO PEADPEAD90VCAREDESZona08</v>
      </c>
      <c r="AE868" s="153" t="n">
        <f aca="false">IFERROR(INDEX(APOIO_REDES!$A:$W,MATCH($C868&amp;$I868&amp;$H868&amp;$N868&amp;$O868,APOIO_REDES!$W:$W,0),MATCH(AE$5,APOIO_REDES!$5:$5,0)),0)</f>
        <v>1.2</v>
      </c>
      <c r="AF868" s="153" t="n">
        <f aca="false">IFERROR(INDEX(APOIO_REDES!$A:$W,MATCH($C868&amp;$I868&amp;$H868&amp;$N868&amp;$O868,APOIO_REDES!$W:$W,0),MATCH(AF$5,APOIO_REDES!$5:$5,0)),0)</f>
        <v>1.39</v>
      </c>
      <c r="AG868" s="153" t="n">
        <f aca="false">IFERROR(INDEX(APOIO_REDES!$A:$W,MATCH($C868&amp;$I868&amp;$H868&amp;$N868&amp;$O868,APOIO_REDES!$W:$W,0),MATCH(AG$5,APOIO_REDES!$5:$5,0)),0)</f>
        <v>0.75</v>
      </c>
      <c r="AH868" s="153" t="n">
        <f aca="false">IFERROR(INDEX(APOIO_REDES!$A:$W,MATCH($C868&amp;$I868&amp;$H868&amp;$N868&amp;$O868,APOIO_REDES!$W:$W,0),MATCH(AH$5,APOIO_REDES!$5:$5,0)),0)</f>
        <v>0.1</v>
      </c>
      <c r="AI868" s="153" t="n">
        <f aca="false">IFERROR(IF($H868&lt;&gt;"",(((($H868/1000)/2)^2)*PI()*$M868),0),0)</f>
        <v>0.317195614658674</v>
      </c>
      <c r="AJ868" s="153" t="n">
        <f aca="false">IFERROR(IF(AND($H868&lt;&gt;"",$I868="FoFo",OR($N868="MND",$N868="VCA"),$Q868="LINEAR"),0,IF(AND($H868&lt;&gt;"",$I868="PEAD",$N868="VCA",$Q868="LINEAR"),($H868/1000)+0.3,IF(AND($H868&lt;&gt;"",$I868="PEAD",$N868="MND",$Q868="EMBOQUE"),0,IF(AND($H868&lt;&gt;"",$I868="PVC",$N868="VCA",$Q868="LINEAR"),($H868/1000)+0.2,IF(AND($H868&lt;&gt;"",$I868="PVC",$N868="MND",$Q868="EMBOQUE"),0,IF(AND($H868&lt;&gt;"",$I868="PEAD",$N868="VCA",$Q868="PREDIAL"),0,0)))))),0)</f>
        <v>0.39</v>
      </c>
      <c r="AK868" s="153" t="n">
        <f aca="false">IF(AA868&lt;&gt;"",AA868,0)</f>
        <v>4</v>
      </c>
      <c r="AL868" s="153" t="n">
        <f aca="false">IF(AND($N868="MND",$Q868="EMBOQUE"),$M868,IF(AND($N868="VCA",$Q868="LINEAR"),$M868,IF(AND($N868="VCA",$Q868="PREDIAL"),0,0)))</f>
        <v>49.86</v>
      </c>
      <c r="AM868" s="153" t="n">
        <f aca="false">IF(AND($N868="MND",$Q868="EMBOQUE"),$M868,IF(AND($N868="VCA",$Q868="LINEAR"),$M868,IF(AND($N868="VCA",$Q868="PREDIAL"),0,0)))</f>
        <v>49.86</v>
      </c>
      <c r="AN868" s="153" t="n">
        <f aca="false">ROUND(IF(AND($N868="VCA",$M868&lt;&gt;"",$Q868="LINEAR"),$M868/100,IF(AND($N868="MND",$M868&gt;100,$Q868="EMBOQUE"),$M868/100,0)),0)</f>
        <v>0</v>
      </c>
      <c r="AO868" s="153" t="n">
        <f aca="false">IF(AND($N868="MND",$Q868="EMBOQUE"),$AN868*2*2,IF(AND($N868="VCA",$Q868="LINEAR"),$M868*2,IF(AND($N868="VCA",$Q868="PREDIAL"),0,0)))</f>
        <v>99.72</v>
      </c>
      <c r="AP868" s="153" t="n">
        <f aca="false">IFERROR($M868*$AF868*$AG868,0)</f>
        <v>51.97905</v>
      </c>
      <c r="AQ868" s="153" t="n">
        <f aca="false">IFERROR(IF(AND($N868="VCA",$AH868&gt;0),$M868*$AG868*$AH868,0),0)</f>
        <v>3.7395</v>
      </c>
      <c r="AR868" s="153" t="n">
        <f aca="false">IFERROR(IF(AND($N868="VCA",$AJ868&gt;0),($M868*$AG868*$AJ868)-$AI868,0),0)</f>
        <v>14.2668543853413</v>
      </c>
      <c r="AS868" s="153" t="n">
        <f aca="false">IFERROR(IF(AND($N868="VCA",$AP868&gt;0),$AP868-$AI868-$AQ868-$AR868,0),0)</f>
        <v>33.6555</v>
      </c>
      <c r="AT868" s="153" t="n">
        <f aca="false">IFERROR(IF($N868="VCA",INDEX(APOIO_REDES!$A:$W,MATCH($C868&amp;$I868&amp;$H868&amp;$N868&amp;$O868,APOIO_REDES!$W:$W,0),MATCH(AT$5,APOIO_REDES!$5:$5,0)),0)*$AP868,0)</f>
        <v>0.565547449013474</v>
      </c>
      <c r="AU868" s="153" t="n">
        <f aca="false">IFERROR(IF($N868="VCA",INDEX(APOIO_REDES!$A:$W,MATCH($C868&amp;$I868&amp;$H868&amp;$N868&amp;$O868,APOIO_REDES!$W:$W,0),MATCH(AU$5,APOIO_REDES!$5:$5,0)),0)*$AP868,0)</f>
        <v>0.451630875814736</v>
      </c>
      <c r="AV868" s="153" t="n">
        <f aca="false">IFERROR(IF($N868="VCA",INDEX(APOIO_REDES!$A:$W,MATCH($C868&amp;$I868&amp;$H868&amp;$N868&amp;$O868,APOIO_REDES!$W:$W,0),MATCH(AV$5,APOIO_REDES!$5:$5,0)),0)*$AP868,0)</f>
        <v>0.0625021677713743</v>
      </c>
      <c r="AW868" s="153" t="n">
        <f aca="false">IFERROR(IF($N868="VCA",INDEX(APOIO_REDES!$A:$W,MATCH($C868&amp;$I868&amp;$H868&amp;$N868&amp;$O868,APOIO_REDES!$W:$W,0),MATCH(AW$5,APOIO_REDES!$5:$5,0)),0)*$AP868,0)</f>
        <v>35.6788226733328</v>
      </c>
      <c r="AX868" s="153" t="n">
        <f aca="false">IFERROR(IF($N868="VCA",INDEX(APOIO_REDES!$A:$W,MATCH($C868&amp;$I868&amp;$H868&amp;$N868&amp;$O868,APOIO_REDES!$W:$W,0),MATCH(AX$5,APOIO_REDES!$5:$5,0)),0)*$AP868,0)</f>
        <v>4.93784742493907</v>
      </c>
      <c r="AY868" s="153" t="n">
        <f aca="false">IFERROR(IF($N868="VCA",INDEX(APOIO_REDES!$A:$W,MATCH($C868&amp;$I868&amp;$H868&amp;$N868&amp;$O868,APOIO_REDES!$W:$W,0),MATCH(AY$5,APOIO_REDES!$5:$5,0)),0)*$AP868,0)</f>
        <v>9.03261201095094</v>
      </c>
      <c r="AZ868" s="153" t="n">
        <f aca="false">IFERROR(IF($N868="VCA",INDEX(APOIO_REDES!$A:$W,MATCH($C868&amp;$I868&amp;$H868&amp;$N868&amp;$O868,APOIO_REDES!$W:$W,0),MATCH(AZ$5,APOIO_REDES!$5:$5,0)),0)*$AP868,0)</f>
        <v>1.25008739817761</v>
      </c>
      <c r="BA868" s="153" t="n">
        <f aca="false">IFERROR(IF(AND($N868="VCA",$Q868="LINEAR"),INDEX(APOIO_REDES!$A:$W,MATCH($C868&amp;$I868&amp;$H868&amp;$N868&amp;$O868,APOIO_REDES!$W:$W,0),MATCH(BA$5,APOIO_REDES!$5:$5,0)),IF(AND($N868="MND",$Q868="EMBOQUE"),INDEX(APOIO_REDES!$A:$W,MATCH($C868&amp;$I868&amp;$H868&amp;$N868&amp;$O868,APOIO_REDES!$W:$W,0),MATCH(BA$5,APOIO_REDES!$5:$5,0)),0))*$M868/10,0)</f>
        <v>4.01859023212785</v>
      </c>
      <c r="BB868" s="153" t="n">
        <f aca="false">IFERROR(IF($N868="VCA",INDEX(APOIO_REDES!$A:$W,MATCH($C868&amp;$I868&amp;$H868&amp;$N868&amp;$O868,APOIO_REDES!$W:$W,0),MATCH(BB$5,APOIO_REDES!$5:$5,0)),0)*($AI868+$AQ868+$AR868),0)</f>
        <v>18.124184352506</v>
      </c>
      <c r="BC868" s="153" t="n">
        <f aca="false">IFERROR(IF($N868="VCA",INDEX(APOIO_REDES!$A:$W,MATCH($C868&amp;$I868&amp;$H868&amp;$N868&amp;$O868,APOIO_REDES!$W:$W,0),MATCH(BC$5,APOIO_REDES!$5:$5,0)),0)*($AI868+$AQ868+$AR868),0)</f>
        <v>0.199365647493958</v>
      </c>
      <c r="BD868" s="153" t="n">
        <f aca="false">IF(AND($N868="VCA",$AF868&gt;=1.25,$AF868&lt;1.5),$M868*$AF868*2,0)</f>
        <v>138.6108</v>
      </c>
      <c r="BE868" s="153" t="n">
        <f aca="false">IF(AND($N868="VCA",$AF868&gt;=1.5,$AF868&lt;3),$M868*$AF868*2,0)</f>
        <v>0</v>
      </c>
      <c r="BF868" s="153" t="n">
        <f aca="false">IF(AND($N868="VCA",$AF868&gt;=3),$M868*$AF868*2,0)</f>
        <v>0</v>
      </c>
      <c r="BG868" s="153" t="n">
        <f aca="false">($BB868+$BC868)*$AK868</f>
        <v>73.2942</v>
      </c>
      <c r="BH868" s="153" t="n">
        <f aca="false">IF(AND($M868&lt;&gt;"",$N868="VCA",$Q868="LINEAR"),($M868*2)/100,IF(AND($M868&lt;&gt;"",$N868="MND",$Q868="EMBOQUE"),($AN868*2)/100,0))</f>
        <v>0.9972</v>
      </c>
      <c r="BI868" s="153" t="n">
        <f aca="false">IF(AND($M868&lt;&gt;"",$N868="VCA",$Q868="LINEAR"),$M868,IF(AND($M868&lt;&gt;"",$N868="MND",$Q868="EMBOQUE"),$AN868*2,0))</f>
        <v>49.86</v>
      </c>
      <c r="BJ868" s="153" t="n">
        <f aca="false">IF(AND($M868&lt;&gt;"",$N868="VCA",$Q868="LINEAR"),($M868*6.8)/100,IF(AND($M868&lt;&gt;"",$N868="MND",$Q868="EMBOQUE"),($AN868*2*6.8)/100,0))</f>
        <v>3.39048</v>
      </c>
      <c r="BK868" s="153" t="n">
        <f aca="false">IF(AND($M868&lt;&gt;"",$N868="VCA",$Q868="LINEAR"),($M868*2.5)/50,IF(AND($M868&lt;&gt;"",$N868="MND",$Q868="EMBOQUE"),($AN868*2*2.5)/50,0))</f>
        <v>2.493</v>
      </c>
      <c r="BL868" s="157" t="str">
        <f aca="false">K868&amp;J868</f>
        <v>Zona08REDES</v>
      </c>
      <c r="BM868" s="152" t="s">
        <v>4834</v>
      </c>
      <c r="BN868" s="152" t="s">
        <v>1560</v>
      </c>
      <c r="BO868" s="152" t="s">
        <v>2489</v>
      </c>
      <c r="BP868" s="152" t="s">
        <v>4840</v>
      </c>
      <c r="BQ868" s="152" t="s">
        <v>4841</v>
      </c>
      <c r="BR868" s="152" t="s">
        <v>4842</v>
      </c>
      <c r="BS868" s="152" t="n">
        <v>202785.11</v>
      </c>
      <c r="BT868" s="152" t="n">
        <v>8237381.193</v>
      </c>
      <c r="BU868" s="152" t="n">
        <v>202829.457</v>
      </c>
      <c r="BV868" s="152" t="n">
        <v>8237402.747</v>
      </c>
      <c r="BW868" s="152" t="n">
        <v>-15.9249296</v>
      </c>
      <c r="BX868" s="152" t="n">
        <v>-47.7757582</v>
      </c>
      <c r="BY868" s="152" t="s">
        <v>4840</v>
      </c>
    </row>
    <row r="869" customFormat="false" ht="13.8" hidden="false" customHeight="false" outlineLevel="0" collapsed="false">
      <c r="A869" s="149" t="n">
        <f aca="false">IF(C869&lt;&gt;"",ROW(A864),"")</f>
        <v>864</v>
      </c>
      <c r="B869" s="150" t="str">
        <f aca="false">HYPERLINK("https://www.google.com/maps/dir/-15.917302,-47.760003/-15.9251339,-47.7751916/data=!4m3!4m2!3e0!5i2")</f>
        <v>https://www.google.com/maps/dir/-15.917302,-47.760003/-15.9251339,-47.7751916/data=!4m3!4m2!3e0!5i2</v>
      </c>
      <c r="C869" s="151" t="s">
        <v>117</v>
      </c>
      <c r="D869" s="152" t="s">
        <v>112</v>
      </c>
      <c r="E869" s="152" t="s">
        <v>113</v>
      </c>
      <c r="F869" s="152" t="s">
        <v>117</v>
      </c>
      <c r="G869" s="152" t="s">
        <v>114</v>
      </c>
      <c r="H869" s="152" t="n">
        <v>250</v>
      </c>
      <c r="I869" s="152" t="s">
        <v>115</v>
      </c>
      <c r="J869" s="152" t="s">
        <v>6</v>
      </c>
      <c r="K869" s="152" t="s">
        <v>4831</v>
      </c>
      <c r="L869" s="152" t="s">
        <v>120</v>
      </c>
      <c r="M869" s="153" t="n">
        <f aca="false">6.74</f>
        <v>6.74</v>
      </c>
      <c r="N869" s="152" t="s">
        <v>1548</v>
      </c>
      <c r="O869" s="152" t="s">
        <v>1549</v>
      </c>
      <c r="P869" s="152" t="s">
        <v>1550</v>
      </c>
      <c r="Q869" s="152" t="s">
        <v>1551</v>
      </c>
      <c r="R869" s="154" t="s">
        <v>4843</v>
      </c>
      <c r="S869" s="154" t="s">
        <v>1593</v>
      </c>
      <c r="T869" s="155" t="s">
        <v>2487</v>
      </c>
      <c r="U869" s="152" t="str">
        <f aca="false">RIGHT(T869,7)</f>
        <v>011/037</v>
      </c>
      <c r="V869" s="152" t="s">
        <v>1555</v>
      </c>
      <c r="W869" s="156" t="n">
        <v>45882</v>
      </c>
      <c r="X869" s="152" t="s">
        <v>1594</v>
      </c>
      <c r="Y869" s="152" t="s">
        <v>3354</v>
      </c>
      <c r="Z869" s="152" t="s">
        <v>1557</v>
      </c>
      <c r="AA869" s="153" t="n">
        <v>3.9</v>
      </c>
      <c r="AB869" s="151" t="s">
        <v>3417</v>
      </c>
      <c r="AC869" s="151" t="s">
        <v>511</v>
      </c>
      <c r="AD869" s="151" t="str">
        <f aca="false">CONCATENATE($C869,$I869,$H869,$N869,$J869,$K869)</f>
        <v>TUBO PEADPEAD250VCAREDESZona08</v>
      </c>
      <c r="AE869" s="153" t="n">
        <f aca="false">IFERROR(INDEX(APOIO_REDES!$A:$W,MATCH($C869&amp;$I869&amp;$H869&amp;$N869&amp;$O869,APOIO_REDES!$W:$W,0),MATCH(AE$5,APOIO_REDES!$5:$5,0)),0)</f>
        <v>1.2</v>
      </c>
      <c r="AF869" s="153" t="n">
        <f aca="false">IFERROR(INDEX(APOIO_REDES!$A:$W,MATCH($C869&amp;$I869&amp;$H869&amp;$N869&amp;$O869,APOIO_REDES!$W:$W,0),MATCH(AF$5,APOIO_REDES!$5:$5,0)),0)</f>
        <v>1.55</v>
      </c>
      <c r="AG869" s="153" t="n">
        <f aca="false">IFERROR(INDEX(APOIO_REDES!$A:$W,MATCH($C869&amp;$I869&amp;$H869&amp;$N869&amp;$O869,APOIO_REDES!$W:$W,0),MATCH(AG$5,APOIO_REDES!$5:$5,0)),0)</f>
        <v>0.85</v>
      </c>
      <c r="AH869" s="153" t="n">
        <f aca="false">IFERROR(INDEX(APOIO_REDES!$A:$W,MATCH($C869&amp;$I869&amp;$H869&amp;$N869&amp;$O869,APOIO_REDES!$W:$W,0),MATCH(AH$5,APOIO_REDES!$5:$5,0)),0)</f>
        <v>0.1</v>
      </c>
      <c r="AI869" s="153" t="n">
        <f aca="false">IFERROR(IF($H869&lt;&gt;"",(((($H869/1000)/2)^2)*PI()*$M869),0),0)</f>
        <v>0.330848976331175</v>
      </c>
      <c r="AJ869" s="153" t="n">
        <f aca="false">IFERROR(IF(AND($H869&lt;&gt;"",$I869="FoFo",OR($N869="MND",$N869="VCA"),$Q869="LINEAR"),0,IF(AND($H869&lt;&gt;"",$I869="PEAD",$N869="VCA",$Q869="LINEAR"),($H869/1000)+0.3,IF(AND($H869&lt;&gt;"",$I869="PEAD",$N869="MND",$Q869="EMBOQUE"),0,IF(AND($H869&lt;&gt;"",$I869="PVC",$N869="VCA",$Q869="LINEAR"),($H869/1000)+0.2,IF(AND($H869&lt;&gt;"",$I869="PVC",$N869="MND",$Q869="EMBOQUE"),0,IF(AND($H869&lt;&gt;"",$I869="PEAD",$N869="VCA",$Q869="PREDIAL"),0,0)))))),0)</f>
        <v>0.55</v>
      </c>
      <c r="AK869" s="153" t="n">
        <f aca="false">IF(AA869&lt;&gt;"",AA869,0)</f>
        <v>3.9</v>
      </c>
      <c r="AL869" s="153" t="n">
        <f aca="false">IF(AND($N869="MND",$Q869="EMBOQUE"),$M869,IF(AND($N869="VCA",$Q869="LINEAR"),$M869,IF(AND($N869="VCA",$Q869="PREDIAL"),0,0)))</f>
        <v>6.74</v>
      </c>
      <c r="AM869" s="153" t="n">
        <f aca="false">IF(AND($N869="MND",$Q869="EMBOQUE"),$M869,IF(AND($N869="VCA",$Q869="LINEAR"),$M869,IF(AND($N869="VCA",$Q869="PREDIAL"),0,0)))</f>
        <v>6.74</v>
      </c>
      <c r="AN869" s="153" t="n">
        <f aca="false">ROUND(IF(AND($N869="VCA",$M869&lt;&gt;"",$Q869="LINEAR"),$M869/100,IF(AND($N869="MND",$M869&gt;100,$Q869="EMBOQUE"),$M869/100,0)),0)</f>
        <v>0</v>
      </c>
      <c r="AO869" s="153" t="n">
        <f aca="false">IF(AND($N869="MND",$Q869="EMBOQUE"),$AN869*2*2,IF(AND($N869="VCA",$Q869="LINEAR"),$M869*2,IF(AND($N869="VCA",$Q869="PREDIAL"),0,0)))</f>
        <v>13.48</v>
      </c>
      <c r="AP869" s="153" t="n">
        <f aca="false">IFERROR($M869*$AF869*$AG869,0)</f>
        <v>8.87995</v>
      </c>
      <c r="AQ869" s="153" t="n">
        <f aca="false">IFERROR(IF(AND($N869="VCA",$AH869&gt;0),$M869*$AG869*$AH869,0),0)</f>
        <v>0.5729</v>
      </c>
      <c r="AR869" s="153" t="n">
        <f aca="false">IFERROR(IF(AND($N869="VCA",$AJ869&gt;0),($M869*$AG869*$AJ869)-$AI869,0),0)</f>
        <v>2.82010102366883</v>
      </c>
      <c r="AS869" s="153" t="n">
        <f aca="false">IFERROR(IF(AND($N869="VCA",$AP869&gt;0),$AP869-$AI869-$AQ869-$AR869,0),0)</f>
        <v>5.1561</v>
      </c>
      <c r="AT869" s="153" t="n">
        <f aca="false">IFERROR(IF($N869="VCA",INDEX(APOIO_REDES!$A:$W,MATCH($C869&amp;$I869&amp;$H869&amp;$N869&amp;$O869,APOIO_REDES!$W:$W,0),MATCH(AT$5,APOIO_REDES!$5:$5,0)),0)*$AP869,0)</f>
        <v>0.0966164843310371</v>
      </c>
      <c r="AU869" s="153" t="n">
        <f aca="false">IFERROR(IF($N869="VCA",INDEX(APOIO_REDES!$A:$W,MATCH($C869&amp;$I869&amp;$H869&amp;$N869&amp;$O869,APOIO_REDES!$W:$W,0),MATCH(AU$5,APOIO_REDES!$5:$5,0)),0)*$AP869,0)</f>
        <v>0.0771553076805186</v>
      </c>
      <c r="AV869" s="153" t="n">
        <f aca="false">IFERROR(IF($N869="VCA",INDEX(APOIO_REDES!$A:$W,MATCH($C869&amp;$I869&amp;$H869&amp;$N869&amp;$O869,APOIO_REDES!$W:$W,0),MATCH(AV$5,APOIO_REDES!$5:$5,0)),0)*$AP869,0)</f>
        <v>0.0106776888900704</v>
      </c>
      <c r="AW869" s="153" t="n">
        <f aca="false">IFERROR(IF($N869="VCA",INDEX(APOIO_REDES!$A:$W,MATCH($C869&amp;$I869&amp;$H869&amp;$N869&amp;$O869,APOIO_REDES!$W:$W,0),MATCH(AW$5,APOIO_REDES!$5:$5,0)),0)*$AP869,0)</f>
        <v>6.09526648521013</v>
      </c>
      <c r="AX869" s="153" t="n">
        <f aca="false">IFERROR(IF($N869="VCA",INDEX(APOIO_REDES!$A:$W,MATCH($C869&amp;$I869&amp;$H869&amp;$N869&amp;$O869,APOIO_REDES!$W:$W,0),MATCH(AX$5,APOIO_REDES!$5:$5,0)),0)*$AP869,0)</f>
        <v>0.843567518857842</v>
      </c>
      <c r="AY869" s="153" t="n">
        <f aca="false">IFERROR(IF($N869="VCA",INDEX(APOIO_REDES!$A:$W,MATCH($C869&amp;$I869&amp;$H869&amp;$N869&amp;$O869,APOIO_REDES!$W:$W,0),MATCH(AY$5,APOIO_REDES!$5:$5,0)),0)*$AP869,0)</f>
        <v>1.54310521309343</v>
      </c>
      <c r="AZ869" s="153" t="n">
        <f aca="false">IFERROR(IF($N869="VCA",INDEX(APOIO_REDES!$A:$W,MATCH($C869&amp;$I869&amp;$H869&amp;$N869&amp;$O869,APOIO_REDES!$W:$W,0),MATCH(AZ$5,APOIO_REDES!$5:$5,0)),0)*$AP869,0)</f>
        <v>0.213561301936978</v>
      </c>
      <c r="BA869" s="153" t="n">
        <f aca="false">IFERROR(IF(AND($N869="VCA",$Q869="LINEAR"),INDEX(APOIO_REDES!$A:$W,MATCH($C869&amp;$I869&amp;$H869&amp;$N869&amp;$O869,APOIO_REDES!$W:$W,0),MATCH(BA$5,APOIO_REDES!$5:$5,0)),IF(AND($N869="MND",$Q869="EMBOQUE"),INDEX(APOIO_REDES!$A:$W,MATCH($C869&amp;$I869&amp;$H869&amp;$N869&amp;$O869,APOIO_REDES!$W:$W,0),MATCH(BA$5,APOIO_REDES!$5:$5,0)),0))*$M869/10,0)</f>
        <v>0.543226998887719</v>
      </c>
      <c r="BB869" s="153" t="n">
        <f aca="false">IFERROR(IF($N869="VCA",INDEX(APOIO_REDES!$A:$W,MATCH($C869&amp;$I869&amp;$H869&amp;$N869&amp;$O869,APOIO_REDES!$W:$W,0),MATCH(BB$5,APOIO_REDES!$5:$5,0)),0)*($AI869+$AQ869+$AR869),0)</f>
        <v>3.68333340979666</v>
      </c>
      <c r="BC869" s="153" t="n">
        <f aca="false">IFERROR(IF($N869="VCA",INDEX(APOIO_REDES!$A:$W,MATCH($C869&amp;$I869&amp;$H869&amp;$N869&amp;$O869,APOIO_REDES!$W:$W,0),MATCH(BC$5,APOIO_REDES!$5:$5,0)),0)*($AI869+$AQ869+$AR869),0)</f>
        <v>0.0405165902033382</v>
      </c>
      <c r="BD869" s="153" t="n">
        <f aca="false">IF(AND($N869="VCA",$AF869&gt;=1.25,$AF869&lt;1.5),$M869*$AF869*2,0)</f>
        <v>0</v>
      </c>
      <c r="BE869" s="153" t="n">
        <f aca="false">IF(AND($N869="VCA",$AF869&gt;=1.5,$AF869&lt;3),$M869*$AF869*2,0)</f>
        <v>20.894</v>
      </c>
      <c r="BF869" s="153" t="n">
        <f aca="false">IF(AND($N869="VCA",$AF869&gt;=3),$M869*$AF869*2,0)</f>
        <v>0</v>
      </c>
      <c r="BG869" s="153" t="n">
        <f aca="false">($BB869+$BC869)*$AK869</f>
        <v>14.523015</v>
      </c>
      <c r="BH869" s="153" t="n">
        <f aca="false">IF(AND($M869&lt;&gt;"",$N869="VCA",$Q869="LINEAR"),($M869*2)/100,IF(AND($M869&lt;&gt;"",$N869="MND",$Q869="EMBOQUE"),($AN869*2)/100,0))</f>
        <v>0.1348</v>
      </c>
      <c r="BI869" s="153" t="n">
        <f aca="false">IF(AND($M869&lt;&gt;"",$N869="VCA",$Q869="LINEAR"),$M869,IF(AND($M869&lt;&gt;"",$N869="MND",$Q869="EMBOQUE"),$AN869*2,0))</f>
        <v>6.74</v>
      </c>
      <c r="BJ869" s="153" t="n">
        <f aca="false">IF(AND($M869&lt;&gt;"",$N869="VCA",$Q869="LINEAR"),($M869*6.8)/100,IF(AND($M869&lt;&gt;"",$N869="MND",$Q869="EMBOQUE"),($AN869*2*6.8)/100,0))</f>
        <v>0.45832</v>
      </c>
      <c r="BK869" s="153" t="n">
        <f aca="false">IF(AND($M869&lt;&gt;"",$N869="VCA",$Q869="LINEAR"),($M869*2.5)/50,IF(AND($M869&lt;&gt;"",$N869="MND",$Q869="EMBOQUE"),($AN869*2*2.5)/50,0))</f>
        <v>0.337</v>
      </c>
      <c r="BL869" s="157" t="str">
        <f aca="false">K869&amp;J869</f>
        <v>Zona08REDES</v>
      </c>
      <c r="BM869" s="152" t="s">
        <v>4834</v>
      </c>
      <c r="BN869" s="152" t="s">
        <v>1560</v>
      </c>
      <c r="BO869" s="152" t="s">
        <v>2489</v>
      </c>
      <c r="BP869" s="152" t="s">
        <v>2032</v>
      </c>
      <c r="BQ869" s="152" t="s">
        <v>2032</v>
      </c>
      <c r="BR869" s="152" t="s">
        <v>4844</v>
      </c>
      <c r="BS869" s="152" t="n">
        <v>202859.501</v>
      </c>
      <c r="BT869" s="152" t="n">
        <v>8237376.551</v>
      </c>
      <c r="BU869" s="152" t="n">
        <v>202864.128</v>
      </c>
      <c r="BV869" s="152" t="n">
        <v>8237371.645</v>
      </c>
      <c r="BW869" s="152" t="n">
        <v>-15.9250991</v>
      </c>
      <c r="BX869" s="152" t="n">
        <v>-47.775251</v>
      </c>
      <c r="BY869" s="152" t="s">
        <v>3425</v>
      </c>
    </row>
    <row r="870" customFormat="false" ht="13.8" hidden="false" customHeight="false" outlineLevel="0" collapsed="false">
      <c r="A870" s="149" t="n">
        <f aca="false">IF(C870&lt;&gt;"",ROW(A865),"")</f>
        <v>865</v>
      </c>
      <c r="B870" s="150" t="str">
        <f aca="false">HYPERLINK("https://www.google.com/maps/dir/-15.917302,-47.760003/-15.9252026,-47.7763640/data=!4m3!4m2!3e0!5i2")</f>
        <v>https://www.google.com/maps/dir/-15.917302,-47.760003/-15.9252026,-47.7763640/data=!4m3!4m2!3e0!5i2</v>
      </c>
      <c r="C870" s="151" t="s">
        <v>117</v>
      </c>
      <c r="D870" s="152" t="s">
        <v>112</v>
      </c>
      <c r="E870" s="152" t="s">
        <v>113</v>
      </c>
      <c r="F870" s="152" t="s">
        <v>117</v>
      </c>
      <c r="G870" s="152" t="s">
        <v>782</v>
      </c>
      <c r="H870" s="152" t="n">
        <v>90</v>
      </c>
      <c r="I870" s="152" t="s">
        <v>115</v>
      </c>
      <c r="J870" s="152" t="s">
        <v>6</v>
      </c>
      <c r="K870" s="152" t="s">
        <v>4831</v>
      </c>
      <c r="L870" s="152" t="s">
        <v>120</v>
      </c>
      <c r="M870" s="153" t="n">
        <f aca="false">46.96</f>
        <v>46.96</v>
      </c>
      <c r="N870" s="152" t="s">
        <v>1548</v>
      </c>
      <c r="O870" s="152" t="s">
        <v>1549</v>
      </c>
      <c r="P870" s="152" t="s">
        <v>1550</v>
      </c>
      <c r="Q870" s="152" t="s">
        <v>1551</v>
      </c>
      <c r="R870" s="154" t="s">
        <v>4845</v>
      </c>
      <c r="S870" s="154" t="s">
        <v>1593</v>
      </c>
      <c r="T870" s="155" t="s">
        <v>2487</v>
      </c>
      <c r="U870" s="152" t="str">
        <f aca="false">RIGHT(T870,7)</f>
        <v>011/037</v>
      </c>
      <c r="V870" s="152" t="s">
        <v>1555</v>
      </c>
      <c r="W870" s="156" t="n">
        <v>45882</v>
      </c>
      <c r="X870" s="152" t="s">
        <v>1594</v>
      </c>
      <c r="Y870" s="152"/>
      <c r="Z870" s="152" t="s">
        <v>1557</v>
      </c>
      <c r="AA870" s="153" t="n">
        <v>4.1</v>
      </c>
      <c r="AB870" s="151" t="s">
        <v>4846</v>
      </c>
      <c r="AC870" s="151" t="s">
        <v>526</v>
      </c>
      <c r="AD870" s="151" t="str">
        <f aca="false">CONCATENATE($C870,$I870,$H870,$N870,$J870,$K870)</f>
        <v>TUBO PEADPEAD90VCAREDESZona08</v>
      </c>
      <c r="AE870" s="153" t="n">
        <f aca="false">IFERROR(INDEX(APOIO_REDES!$A:$W,MATCH($C870&amp;$I870&amp;$H870&amp;$N870&amp;$O870,APOIO_REDES!$W:$W,0),MATCH(AE$5,APOIO_REDES!$5:$5,0)),0)</f>
        <v>1.2</v>
      </c>
      <c r="AF870" s="153" t="n">
        <f aca="false">IFERROR(INDEX(APOIO_REDES!$A:$W,MATCH($C870&amp;$I870&amp;$H870&amp;$N870&amp;$O870,APOIO_REDES!$W:$W,0),MATCH(AF$5,APOIO_REDES!$5:$5,0)),0)</f>
        <v>1.39</v>
      </c>
      <c r="AG870" s="153" t="n">
        <f aca="false">IFERROR(INDEX(APOIO_REDES!$A:$W,MATCH($C870&amp;$I870&amp;$H870&amp;$N870&amp;$O870,APOIO_REDES!$W:$W,0),MATCH(AG$5,APOIO_REDES!$5:$5,0)),0)</f>
        <v>0.75</v>
      </c>
      <c r="AH870" s="153" t="n">
        <f aca="false">IFERROR(INDEX(APOIO_REDES!$A:$W,MATCH($C870&amp;$I870&amp;$H870&amp;$N870&amp;$O870,APOIO_REDES!$W:$W,0),MATCH(AH$5,APOIO_REDES!$5:$5,0)),0)</f>
        <v>0.1</v>
      </c>
      <c r="AI870" s="153" t="n">
        <f aca="false">IFERROR(IF($H870&lt;&gt;"",(((($H870/1000)/2)^2)*PI()*$M870),0),0)</f>
        <v>0.298746611800468</v>
      </c>
      <c r="AJ870" s="153" t="n">
        <f aca="false">IFERROR(IF(AND($H870&lt;&gt;"",$I870="FoFo",OR($N870="MND",$N870="VCA"),$Q870="LINEAR"),0,IF(AND($H870&lt;&gt;"",$I870="PEAD",$N870="VCA",$Q870="LINEAR"),($H870/1000)+0.3,IF(AND($H870&lt;&gt;"",$I870="PEAD",$N870="MND",$Q870="EMBOQUE"),0,IF(AND($H870&lt;&gt;"",$I870="PVC",$N870="VCA",$Q870="LINEAR"),($H870/1000)+0.2,IF(AND($H870&lt;&gt;"",$I870="PVC",$N870="MND",$Q870="EMBOQUE"),0,IF(AND($H870&lt;&gt;"",$I870="PEAD",$N870="VCA",$Q870="PREDIAL"),0,0)))))),0)</f>
        <v>0.39</v>
      </c>
      <c r="AK870" s="153" t="n">
        <f aca="false">IF(AA870&lt;&gt;"",AA870,0)</f>
        <v>4.1</v>
      </c>
      <c r="AL870" s="153" t="n">
        <f aca="false">IF(AND($N870="MND",$Q870="EMBOQUE"),$M870,IF(AND($N870="VCA",$Q870="LINEAR"),$M870,IF(AND($N870="VCA",$Q870="PREDIAL"),0,0)))</f>
        <v>46.96</v>
      </c>
      <c r="AM870" s="153" t="n">
        <f aca="false">IF(AND($N870="MND",$Q870="EMBOQUE"),$M870,IF(AND($N870="VCA",$Q870="LINEAR"),$M870,IF(AND($N870="VCA",$Q870="PREDIAL"),0,0)))</f>
        <v>46.96</v>
      </c>
      <c r="AN870" s="153" t="n">
        <f aca="false">ROUND(IF(AND($N870="VCA",$M870&lt;&gt;"",$Q870="LINEAR"),$M870/100,IF(AND($N870="MND",$M870&gt;100,$Q870="EMBOQUE"),$M870/100,0)),0)</f>
        <v>0</v>
      </c>
      <c r="AO870" s="153" t="n">
        <f aca="false">IF(AND($N870="MND",$Q870="EMBOQUE"),$AN870*2*2,IF(AND($N870="VCA",$Q870="LINEAR"),$M870*2,IF(AND($N870="VCA",$Q870="PREDIAL"),0,0)))</f>
        <v>93.92</v>
      </c>
      <c r="AP870" s="153" t="n">
        <f aca="false">IFERROR($M870*$AF870*$AG870,0)</f>
        <v>48.9558</v>
      </c>
      <c r="AQ870" s="153" t="n">
        <f aca="false">IFERROR(IF(AND($N870="VCA",$AH870&gt;0),$M870*$AG870*$AH870,0),0)</f>
        <v>3.522</v>
      </c>
      <c r="AR870" s="153" t="n">
        <f aca="false">IFERROR(IF(AND($N870="VCA",$AJ870&gt;0),($M870*$AG870*$AJ870)-$AI870,0),0)</f>
        <v>13.4370533881995</v>
      </c>
      <c r="AS870" s="153" t="n">
        <f aca="false">IFERROR(IF(AND($N870="VCA",$AP870&gt;0),$AP870-$AI870-$AQ870-$AR870,0),0)</f>
        <v>31.698</v>
      </c>
      <c r="AT870" s="153" t="n">
        <f aca="false">IFERROR(IF($N870="VCA",INDEX(APOIO_REDES!$A:$W,MATCH($C870&amp;$I870&amp;$H870&amp;$N870&amp;$O870,APOIO_REDES!$W:$W,0),MATCH(AT$5,APOIO_REDES!$5:$5,0)),0)*$AP870,0)</f>
        <v>0.532653594177151</v>
      </c>
      <c r="AU870" s="153" t="n">
        <f aca="false">IFERROR(IF($N870="VCA",INDEX(APOIO_REDES!$A:$W,MATCH($C870&amp;$I870&amp;$H870&amp;$N870&amp;$O870,APOIO_REDES!$W:$W,0),MATCH(AU$5,APOIO_REDES!$5:$5,0)),0)*$AP870,0)</f>
        <v>0.425362734221018</v>
      </c>
      <c r="AV870" s="153" t="n">
        <f aca="false">IFERROR(IF($N870="VCA",INDEX(APOIO_REDES!$A:$W,MATCH($C870&amp;$I870&amp;$H870&amp;$N870&amp;$O870,APOIO_REDES!$W:$W,0),MATCH(AV$5,APOIO_REDES!$5:$5,0)),0)*$AP870,0)</f>
        <v>0.0588668631878006</v>
      </c>
      <c r="AW870" s="153" t="n">
        <f aca="false">IFERROR(IF($N870="VCA",INDEX(APOIO_REDES!$A:$W,MATCH($C870&amp;$I870&amp;$H870&amp;$N870&amp;$O870,APOIO_REDES!$W:$W,0),MATCH(AW$5,APOIO_REDES!$5:$5,0)),0)*$AP870,0)</f>
        <v>33.6036404480487</v>
      </c>
      <c r="AX870" s="153" t="n">
        <f aca="false">IFERROR(IF($N870="VCA",INDEX(APOIO_REDES!$A:$W,MATCH($C870&amp;$I870&amp;$H870&amp;$N870&amp;$O870,APOIO_REDES!$W:$W,0),MATCH(AX$5,APOIO_REDES!$5:$5,0)),0)*$AP870,0)</f>
        <v>4.65064811622821</v>
      </c>
      <c r="AY870" s="153" t="n">
        <f aca="false">IFERROR(IF($N870="VCA",INDEX(APOIO_REDES!$A:$W,MATCH($C870&amp;$I870&amp;$H870&amp;$N870&amp;$O870,APOIO_REDES!$W:$W,0),MATCH(AY$5,APOIO_REDES!$5:$5,0)),0)*$AP870,0)</f>
        <v>8.50724949928312</v>
      </c>
      <c r="AZ870" s="153" t="n">
        <f aca="false">IFERROR(IF($N870="VCA",INDEX(APOIO_REDES!$A:$W,MATCH($C870&amp;$I870&amp;$H870&amp;$N870&amp;$O870,APOIO_REDES!$W:$W,0),MATCH(AZ$5,APOIO_REDES!$5:$5,0)),0)*$AP870,0)</f>
        <v>1.177378744854</v>
      </c>
      <c r="BA870" s="153" t="n">
        <f aca="false">IFERROR(IF(AND($N870="VCA",$Q870="LINEAR"),INDEX(APOIO_REDES!$A:$W,MATCH($C870&amp;$I870&amp;$H870&amp;$N870&amp;$O870,APOIO_REDES!$W:$W,0),MATCH(BA$5,APOIO_REDES!$5:$5,0)),IF(AND($N870="MND",$Q870="EMBOQUE"),INDEX(APOIO_REDES!$A:$W,MATCH($C870&amp;$I870&amp;$H870&amp;$N870&amp;$O870,APOIO_REDES!$W:$W,0),MATCH(BA$5,APOIO_REDES!$5:$5,0)),0))*$M870/10,0)</f>
        <v>3.78485754714648</v>
      </c>
      <c r="BB870" s="153" t="n">
        <f aca="false">IFERROR(IF($N870="VCA",INDEX(APOIO_REDES!$A:$W,MATCH($C870&amp;$I870&amp;$H870&amp;$N870&amp;$O870,APOIO_REDES!$W:$W,0),MATCH(BB$5,APOIO_REDES!$5:$5,0)),0)*($AI870+$AQ870+$AR870),0)</f>
        <v>17.0700300279519</v>
      </c>
      <c r="BC870" s="153" t="n">
        <f aca="false">IFERROR(IF($N870="VCA",INDEX(APOIO_REDES!$A:$W,MATCH($C870&amp;$I870&amp;$H870&amp;$N870&amp;$O870,APOIO_REDES!$W:$W,0),MATCH(BC$5,APOIO_REDES!$5:$5,0)),0)*($AI870+$AQ870+$AR870),0)</f>
        <v>0.18776997204806</v>
      </c>
      <c r="BD870" s="153" t="n">
        <f aca="false">IF(AND($N870="VCA",$AF870&gt;=1.25,$AF870&lt;1.5),$M870*$AF870*2,0)</f>
        <v>130.5488</v>
      </c>
      <c r="BE870" s="153" t="n">
        <f aca="false">IF(AND($N870="VCA",$AF870&gt;=1.5,$AF870&lt;3),$M870*$AF870*2,0)</f>
        <v>0</v>
      </c>
      <c r="BF870" s="153" t="n">
        <f aca="false">IF(AND($N870="VCA",$AF870&gt;=3),$M870*$AF870*2,0)</f>
        <v>0</v>
      </c>
      <c r="BG870" s="153" t="n">
        <f aca="false">($BB870+$BC870)*$AK870</f>
        <v>70.75698</v>
      </c>
      <c r="BH870" s="153" t="n">
        <f aca="false">IF(AND($M870&lt;&gt;"",$N870="VCA",$Q870="LINEAR"),($M870*2)/100,IF(AND($M870&lt;&gt;"",$N870="MND",$Q870="EMBOQUE"),($AN870*2)/100,0))</f>
        <v>0.9392</v>
      </c>
      <c r="BI870" s="153" t="n">
        <f aca="false">IF(AND($M870&lt;&gt;"",$N870="VCA",$Q870="LINEAR"),$M870,IF(AND($M870&lt;&gt;"",$N870="MND",$Q870="EMBOQUE"),$AN870*2,0))</f>
        <v>46.96</v>
      </c>
      <c r="BJ870" s="153" t="n">
        <f aca="false">IF(AND($M870&lt;&gt;"",$N870="VCA",$Q870="LINEAR"),($M870*6.8)/100,IF(AND($M870&lt;&gt;"",$N870="MND",$Q870="EMBOQUE"),($AN870*2*6.8)/100,0))</f>
        <v>3.19328</v>
      </c>
      <c r="BK870" s="153" t="n">
        <f aca="false">IF(AND($M870&lt;&gt;"",$N870="VCA",$Q870="LINEAR"),($M870*2.5)/50,IF(AND($M870&lt;&gt;"",$N870="MND",$Q870="EMBOQUE"),($AN870*2*2.5)/50,0))</f>
        <v>2.348</v>
      </c>
      <c r="BL870" s="157" t="str">
        <f aca="false">K870&amp;J870</f>
        <v>Zona08REDES</v>
      </c>
      <c r="BM870" s="152" t="s">
        <v>4834</v>
      </c>
      <c r="BN870" s="152" t="s">
        <v>1560</v>
      </c>
      <c r="BO870" s="152" t="s">
        <v>2489</v>
      </c>
      <c r="BP870" s="152" t="s">
        <v>4847</v>
      </c>
      <c r="BQ870" s="152" t="s">
        <v>4840</v>
      </c>
      <c r="BR870" s="152" t="s">
        <v>4848</v>
      </c>
      <c r="BS870" s="152" t="n">
        <v>202742.707</v>
      </c>
      <c r="BT870" s="152" t="n">
        <v>8237361.03</v>
      </c>
      <c r="BU870" s="152" t="n">
        <v>202785.11</v>
      </c>
      <c r="BV870" s="152" t="n">
        <v>8237381.193</v>
      </c>
      <c r="BW870" s="152" t="n">
        <v>-15.9251144</v>
      </c>
      <c r="BX870" s="152" t="n">
        <v>-47.7761647</v>
      </c>
      <c r="BY870" s="152" t="s">
        <v>4847</v>
      </c>
    </row>
    <row r="871" customFormat="false" ht="13.8" hidden="false" customHeight="false" outlineLevel="0" collapsed="false">
      <c r="A871" s="149" t="n">
        <f aca="false">IF(C871&lt;&gt;"",ROW(A866),"")</f>
        <v>866</v>
      </c>
      <c r="B871" s="150" t="str">
        <f aca="false">HYPERLINK("https://www.google.com/maps/dir/-15.917302,-47.760003/-15.9253697,-47.7767380/data=!4m3!4m2!3e0!5i2")</f>
        <v>https://www.google.com/maps/dir/-15.917302,-47.760003/-15.9253697,-47.7767380/data=!4m3!4m2!3e0!5i2</v>
      </c>
      <c r="C871" s="151" t="s">
        <v>117</v>
      </c>
      <c r="D871" s="152" t="s">
        <v>112</v>
      </c>
      <c r="E871" s="152" t="s">
        <v>113</v>
      </c>
      <c r="F871" s="152" t="s">
        <v>117</v>
      </c>
      <c r="G871" s="152" t="s">
        <v>782</v>
      </c>
      <c r="H871" s="152" t="n">
        <v>90</v>
      </c>
      <c r="I871" s="152" t="s">
        <v>115</v>
      </c>
      <c r="J871" s="152" t="s">
        <v>6</v>
      </c>
      <c r="K871" s="152" t="s">
        <v>4831</v>
      </c>
      <c r="L871" s="152" t="s">
        <v>120</v>
      </c>
      <c r="M871" s="153" t="n">
        <f aca="false">43.88+0.21</f>
        <v>44.09</v>
      </c>
      <c r="N871" s="152" t="s">
        <v>1548</v>
      </c>
      <c r="O871" s="152" t="s">
        <v>1549</v>
      </c>
      <c r="P871" s="152" t="s">
        <v>1550</v>
      </c>
      <c r="Q871" s="152" t="s">
        <v>1551</v>
      </c>
      <c r="R871" s="154" t="s">
        <v>4849</v>
      </c>
      <c r="S871" s="154" t="s">
        <v>1593</v>
      </c>
      <c r="T871" s="155" t="s">
        <v>2487</v>
      </c>
      <c r="U871" s="152" t="str">
        <f aca="false">RIGHT(T871,7)</f>
        <v>011/037</v>
      </c>
      <c r="V871" s="152" t="s">
        <v>1555</v>
      </c>
      <c r="W871" s="156" t="n">
        <v>45882</v>
      </c>
      <c r="X871" s="152" t="s">
        <v>1594</v>
      </c>
      <c r="Y871" s="152"/>
      <c r="Z871" s="152" t="s">
        <v>1557</v>
      </c>
      <c r="AA871" s="153" t="n">
        <v>4.1</v>
      </c>
      <c r="AB871" s="151" t="s">
        <v>4850</v>
      </c>
      <c r="AC871" s="151" t="s">
        <v>526</v>
      </c>
      <c r="AD871" s="151" t="str">
        <f aca="false">CONCATENATE($C871,$I871,$H871,$N871,$J871,$K871)</f>
        <v>TUBO PEADPEAD90VCAREDESZona08</v>
      </c>
      <c r="AE871" s="153" t="n">
        <f aca="false">IFERROR(INDEX(APOIO_REDES!$A:$W,MATCH($C871&amp;$I871&amp;$H871&amp;$N871&amp;$O871,APOIO_REDES!$W:$W,0),MATCH(AE$5,APOIO_REDES!$5:$5,0)),0)</f>
        <v>1.2</v>
      </c>
      <c r="AF871" s="153" t="n">
        <f aca="false">IFERROR(INDEX(APOIO_REDES!$A:$W,MATCH($C871&amp;$I871&amp;$H871&amp;$N871&amp;$O871,APOIO_REDES!$W:$W,0),MATCH(AF$5,APOIO_REDES!$5:$5,0)),0)</f>
        <v>1.39</v>
      </c>
      <c r="AG871" s="153" t="n">
        <f aca="false">IFERROR(INDEX(APOIO_REDES!$A:$W,MATCH($C871&amp;$I871&amp;$H871&amp;$N871&amp;$O871,APOIO_REDES!$W:$W,0),MATCH(AG$5,APOIO_REDES!$5:$5,0)),0)</f>
        <v>0.75</v>
      </c>
      <c r="AH871" s="153" t="n">
        <f aca="false">IFERROR(INDEX(APOIO_REDES!$A:$W,MATCH($C871&amp;$I871&amp;$H871&amp;$N871&amp;$O871,APOIO_REDES!$W:$W,0),MATCH(AH$5,APOIO_REDES!$5:$5,0)),0)</f>
        <v>0.1</v>
      </c>
      <c r="AI871" s="153" t="n">
        <f aca="false">IFERROR(IF($H871&lt;&gt;"",(((($H871/1000)/2)^2)*PI()*$M871),0),0)</f>
        <v>0.280488460695967</v>
      </c>
      <c r="AJ871" s="153" t="n">
        <f aca="false">IFERROR(IF(AND($H871&lt;&gt;"",$I871="FoFo",OR($N871="MND",$N871="VCA"),$Q871="LINEAR"),0,IF(AND($H871&lt;&gt;"",$I871="PEAD",$N871="VCA",$Q871="LINEAR"),($H871/1000)+0.3,IF(AND($H871&lt;&gt;"",$I871="PEAD",$N871="MND",$Q871="EMBOQUE"),0,IF(AND($H871&lt;&gt;"",$I871="PVC",$N871="VCA",$Q871="LINEAR"),($H871/1000)+0.2,IF(AND($H871&lt;&gt;"",$I871="PVC",$N871="MND",$Q871="EMBOQUE"),0,IF(AND($H871&lt;&gt;"",$I871="PEAD",$N871="VCA",$Q871="PREDIAL"),0,0)))))),0)</f>
        <v>0.39</v>
      </c>
      <c r="AK871" s="153" t="n">
        <f aca="false">IF(AA871&lt;&gt;"",AA871,0)</f>
        <v>4.1</v>
      </c>
      <c r="AL871" s="153" t="n">
        <f aca="false">IF(AND($N871="MND",$Q871="EMBOQUE"),$M871,IF(AND($N871="VCA",$Q871="LINEAR"),$M871,IF(AND($N871="VCA",$Q871="PREDIAL"),0,0)))</f>
        <v>44.09</v>
      </c>
      <c r="AM871" s="153" t="n">
        <f aca="false">IF(AND($N871="MND",$Q871="EMBOQUE"),$M871,IF(AND($N871="VCA",$Q871="LINEAR"),$M871,IF(AND($N871="VCA",$Q871="PREDIAL"),0,0)))</f>
        <v>44.09</v>
      </c>
      <c r="AN871" s="153" t="n">
        <f aca="false">ROUND(IF(AND($N871="VCA",$M871&lt;&gt;"",$Q871="LINEAR"),$M871/100,IF(AND($N871="MND",$M871&gt;100,$Q871="EMBOQUE"),$M871/100,0)),0)</f>
        <v>0</v>
      </c>
      <c r="AO871" s="153" t="n">
        <f aca="false">IF(AND($N871="MND",$Q871="EMBOQUE"),$AN871*2*2,IF(AND($N871="VCA",$Q871="LINEAR"),$M871*2,IF(AND($N871="VCA",$Q871="PREDIAL"),0,0)))</f>
        <v>88.18</v>
      </c>
      <c r="AP871" s="153" t="n">
        <f aca="false">IFERROR($M871*$AF871*$AG871,0)</f>
        <v>45.963825</v>
      </c>
      <c r="AQ871" s="153" t="n">
        <f aca="false">IFERROR(IF(AND($N871="VCA",$AH871&gt;0),$M871*$AG871*$AH871,0),0)</f>
        <v>3.30675</v>
      </c>
      <c r="AR871" s="153" t="n">
        <f aca="false">IFERROR(IF(AND($N871="VCA",$AJ871&gt;0),($M871*$AG871*$AJ871)-$AI871,0),0)</f>
        <v>12.615836539304</v>
      </c>
      <c r="AS871" s="153" t="n">
        <f aca="false">IFERROR(IF(AND($N871="VCA",$AP871&gt;0),$AP871-$AI871-$AQ871-$AR871,0),0)</f>
        <v>29.76075</v>
      </c>
      <c r="AT871" s="153" t="n">
        <f aca="false">IFERROR(IF($N871="VCA",INDEX(APOIO_REDES!$A:$W,MATCH($C871&amp;$I871&amp;$H871&amp;$N871&amp;$O871,APOIO_REDES!$W:$W,0),MATCH(AT$5,APOIO_REDES!$5:$5,0)),0)*$AP871,0)</f>
        <v>0.500100020597755</v>
      </c>
      <c r="AU871" s="153" t="n">
        <f aca="false">IFERROR(IF($N871="VCA",INDEX(APOIO_REDES!$A:$W,MATCH($C871&amp;$I871&amp;$H871&amp;$N871&amp;$O871,APOIO_REDES!$W:$W,0),MATCH(AU$5,APOIO_REDES!$5:$5,0)),0)*$AP871,0)</f>
        <v>0.399366332023098</v>
      </c>
      <c r="AV871" s="153" t="n">
        <f aca="false">IFERROR(IF($N871="VCA",INDEX(APOIO_REDES!$A:$W,MATCH($C871&amp;$I871&amp;$H871&amp;$N871&amp;$O871,APOIO_REDES!$W:$W,0),MATCH(AV$5,APOIO_REDES!$5:$5,0)),0)*$AP871,0)</f>
        <v>0.0552691652033673</v>
      </c>
      <c r="AW871" s="153" t="n">
        <f aca="false">IFERROR(IF($N871="VCA",INDEX(APOIO_REDES!$A:$W,MATCH($C871&amp;$I871&amp;$H871&amp;$N871&amp;$O871,APOIO_REDES!$W:$W,0),MATCH(AW$5,APOIO_REDES!$5:$5,0)),0)*$AP871,0)</f>
        <v>31.5499256250951</v>
      </c>
      <c r="AX871" s="153" t="n">
        <f aca="false">IFERROR(IF($N871="VCA",INDEX(APOIO_REDES!$A:$W,MATCH($C871&amp;$I871&amp;$H871&amp;$N871&amp;$O871,APOIO_REDES!$W:$W,0),MATCH(AX$5,APOIO_REDES!$5:$5,0)),0)*$AP871,0)</f>
        <v>4.36641983484885</v>
      </c>
      <c r="AY871" s="153" t="n">
        <f aca="false">IFERROR(IF($N871="VCA",INDEX(APOIO_REDES!$A:$W,MATCH($C871&amp;$I871&amp;$H871&amp;$N871&amp;$O871,APOIO_REDES!$W:$W,0),MATCH(AY$5,APOIO_REDES!$5:$5,0)),0)*$AP871,0)</f>
        <v>7.98732177221875</v>
      </c>
      <c r="AZ871" s="153" t="n">
        <f aca="false">IFERROR(IF($N871="VCA",INDEX(APOIO_REDES!$A:$W,MATCH($C871&amp;$I871&amp;$H871&amp;$N871&amp;$O871,APOIO_REDES!$W:$W,0),MATCH(AZ$5,APOIO_REDES!$5:$5,0)),0)*$AP871,0)</f>
        <v>1.10542225001305</v>
      </c>
      <c r="BA871" s="153" t="n">
        <f aca="false">IFERROR(IF(AND($N871="VCA",$Q871="LINEAR"),INDEX(APOIO_REDES!$A:$W,MATCH($C871&amp;$I871&amp;$H871&amp;$N871&amp;$O871,APOIO_REDES!$W:$W,0),MATCH(BA$5,APOIO_REDES!$5:$5,0)),IF(AND($N871="MND",$Q871="EMBOQUE"),INDEX(APOIO_REDES!$A:$W,MATCH($C871&amp;$I871&amp;$H871&amp;$N871&amp;$O871,APOIO_REDES!$W:$W,0),MATCH(BA$5,APOIO_REDES!$5:$5,0)),0))*$M871/10,0)</f>
        <v>3.55354278649251</v>
      </c>
      <c r="BB871" s="153" t="n">
        <f aca="false">IFERROR(IF($N871="VCA",INDEX(APOIO_REDES!$A:$W,MATCH($C871&amp;$I871&amp;$H871&amp;$N871&amp;$O871,APOIO_REDES!$W:$W,0),MATCH(BB$5,APOIO_REDES!$5:$5,0)),0)*($AI871+$AQ871+$AR871),0)</f>
        <v>16.0267807481346</v>
      </c>
      <c r="BC871" s="153" t="n">
        <f aca="false">IFERROR(IF($N871="VCA",INDEX(APOIO_REDES!$A:$W,MATCH($C871&amp;$I871&amp;$H871&amp;$N871&amp;$O871,APOIO_REDES!$W:$W,0),MATCH(BC$5,APOIO_REDES!$5:$5,0)),0)*($AI871+$AQ871+$AR871),0)</f>
        <v>0.176294251865396</v>
      </c>
      <c r="BD871" s="153" t="n">
        <f aca="false">IF(AND($N871="VCA",$AF871&gt;=1.25,$AF871&lt;1.5),$M871*$AF871*2,0)</f>
        <v>122.5702</v>
      </c>
      <c r="BE871" s="153" t="n">
        <f aca="false">IF(AND($N871="VCA",$AF871&gt;=1.5,$AF871&lt;3),$M871*$AF871*2,0)</f>
        <v>0</v>
      </c>
      <c r="BF871" s="153" t="n">
        <f aca="false">IF(AND($N871="VCA",$AF871&gt;=3),$M871*$AF871*2,0)</f>
        <v>0</v>
      </c>
      <c r="BG871" s="153" t="n">
        <f aca="false">($BB871+$BC871)*$AK871</f>
        <v>66.4326075</v>
      </c>
      <c r="BH871" s="153" t="n">
        <f aca="false">IF(AND($M871&lt;&gt;"",$N871="VCA",$Q871="LINEAR"),($M871*2)/100,IF(AND($M871&lt;&gt;"",$N871="MND",$Q871="EMBOQUE"),($AN871*2)/100,0))</f>
        <v>0.8818</v>
      </c>
      <c r="BI871" s="153" t="n">
        <f aca="false">IF(AND($M871&lt;&gt;"",$N871="VCA",$Q871="LINEAR"),$M871,IF(AND($M871&lt;&gt;"",$N871="MND",$Q871="EMBOQUE"),$AN871*2,0))</f>
        <v>44.09</v>
      </c>
      <c r="BJ871" s="153" t="n">
        <f aca="false">IF(AND($M871&lt;&gt;"",$N871="VCA",$Q871="LINEAR"),($M871*6.8)/100,IF(AND($M871&lt;&gt;"",$N871="MND",$Q871="EMBOQUE"),($AN871*2*6.8)/100,0))</f>
        <v>2.99812</v>
      </c>
      <c r="BK871" s="153" t="n">
        <f aca="false">IF(AND($M871&lt;&gt;"",$N871="VCA",$Q871="LINEAR"),($M871*2.5)/50,IF(AND($M871&lt;&gt;"",$N871="MND",$Q871="EMBOQUE"),($AN871*2*2.5)/50,0))</f>
        <v>2.2045</v>
      </c>
      <c r="BL871" s="157" t="str">
        <f aca="false">K871&amp;J871</f>
        <v>Zona08REDES</v>
      </c>
      <c r="BM871" s="152" t="s">
        <v>4834</v>
      </c>
      <c r="BN871" s="152" t="s">
        <v>1560</v>
      </c>
      <c r="BO871" s="152" t="s">
        <v>2489</v>
      </c>
      <c r="BP871" s="152" t="s">
        <v>4851</v>
      </c>
      <c r="BQ871" s="152" t="s">
        <v>4847</v>
      </c>
      <c r="BR871" s="152" t="s">
        <v>4852</v>
      </c>
      <c r="BS871" s="152" t="n">
        <v>202703.183</v>
      </c>
      <c r="BT871" s="152" t="n">
        <v>8237342.28</v>
      </c>
      <c r="BU871" s="152" t="n">
        <v>202742.707</v>
      </c>
      <c r="BV871" s="152" t="n">
        <v>8237361.03</v>
      </c>
      <c r="BW871" s="152" t="n">
        <v>-15.9252745</v>
      </c>
      <c r="BX871" s="152" t="n">
        <v>-47.7765546</v>
      </c>
      <c r="BY871" s="152" t="s">
        <v>4851</v>
      </c>
    </row>
    <row r="872" customFormat="false" ht="13.8" hidden="false" customHeight="false" outlineLevel="0" collapsed="false">
      <c r="A872" s="149" t="n">
        <f aca="false">IF(C872&lt;&gt;"",ROW(A867),"")</f>
        <v>867</v>
      </c>
      <c r="B872" s="150" t="str">
        <f aca="false">HYPERLINK("https://www.google.com/maps/dir/-15.917302,-47.760003/-15.9248363,-47.7755493/data=!4m3!4m2!3e0!5i2")</f>
        <v>https://www.google.com/maps/dir/-15.917302,-47.760003/-15.9248363,-47.7755493/data=!4m3!4m2!3e0!5i2</v>
      </c>
      <c r="C872" s="151" t="s">
        <v>117</v>
      </c>
      <c r="D872" s="152" t="s">
        <v>112</v>
      </c>
      <c r="E872" s="152" t="s">
        <v>113</v>
      </c>
      <c r="F872" s="152" t="s">
        <v>117</v>
      </c>
      <c r="G872" s="152" t="s">
        <v>114</v>
      </c>
      <c r="H872" s="152" t="n">
        <v>160</v>
      </c>
      <c r="I872" s="152" t="s">
        <v>115</v>
      </c>
      <c r="J872" s="152" t="s">
        <v>6</v>
      </c>
      <c r="K872" s="152" t="s">
        <v>4831</v>
      </c>
      <c r="L872" s="152" t="s">
        <v>120</v>
      </c>
      <c r="M872" s="153" t="n">
        <f aca="false">144.41+0.83</f>
        <v>145.24</v>
      </c>
      <c r="N872" s="152" t="s">
        <v>1548</v>
      </c>
      <c r="O872" s="152" t="s">
        <v>1549</v>
      </c>
      <c r="P872" s="152" t="s">
        <v>1550</v>
      </c>
      <c r="Q872" s="152" t="s">
        <v>1551</v>
      </c>
      <c r="R872" s="154" t="s">
        <v>4853</v>
      </c>
      <c r="S872" s="154" t="s">
        <v>1593</v>
      </c>
      <c r="T872" s="155" t="s">
        <v>2487</v>
      </c>
      <c r="U872" s="152" t="str">
        <f aca="false">RIGHT(T872,7)</f>
        <v>011/037</v>
      </c>
      <c r="V872" s="152" t="s">
        <v>1555</v>
      </c>
      <c r="W872" s="156" t="n">
        <v>45882</v>
      </c>
      <c r="X872" s="152" t="s">
        <v>1594</v>
      </c>
      <c r="Y872" s="152"/>
      <c r="Z872" s="152" t="s">
        <v>1557</v>
      </c>
      <c r="AA872" s="153" t="n">
        <v>4</v>
      </c>
      <c r="AB872" s="151" t="s">
        <v>4854</v>
      </c>
      <c r="AC872" s="151" t="s">
        <v>505</v>
      </c>
      <c r="AD872" s="151" t="str">
        <f aca="false">CONCATENATE($C872,$I872,$H872,$N872,$J872,$K872)</f>
        <v>TUBO PEADPEAD160VCAREDESZona08</v>
      </c>
      <c r="AE872" s="153" t="n">
        <f aca="false">IFERROR(INDEX(APOIO_REDES!$A:$W,MATCH($C872&amp;$I872&amp;$H872&amp;$N872&amp;$O872,APOIO_REDES!$W:$W,0),MATCH(AE$5,APOIO_REDES!$5:$5,0)),0)</f>
        <v>1.2</v>
      </c>
      <c r="AF872" s="153" t="n">
        <f aca="false">IFERROR(INDEX(APOIO_REDES!$A:$W,MATCH($C872&amp;$I872&amp;$H872&amp;$N872&amp;$O872,APOIO_REDES!$W:$W,0),MATCH(AF$5,APOIO_REDES!$5:$5,0)),0)</f>
        <v>1.46</v>
      </c>
      <c r="AG872" s="153" t="n">
        <f aca="false">IFERROR(INDEX(APOIO_REDES!$A:$W,MATCH($C872&amp;$I872&amp;$H872&amp;$N872&amp;$O872,APOIO_REDES!$W:$W,0),MATCH(AG$5,APOIO_REDES!$5:$5,0)),0)</f>
        <v>0.75</v>
      </c>
      <c r="AH872" s="153" t="n">
        <f aca="false">IFERROR(INDEX(APOIO_REDES!$A:$W,MATCH($C872&amp;$I872&amp;$H872&amp;$N872&amp;$O872,APOIO_REDES!$W:$W,0),MATCH(AH$5,APOIO_REDES!$5:$5,0)),0)</f>
        <v>0.1</v>
      </c>
      <c r="AI872" s="153" t="n">
        <f aca="false">IFERROR(IF($H872&lt;&gt;"",(((($H872/1000)/2)^2)*PI()*$M872),0),0)</f>
        <v>2.92022346884724</v>
      </c>
      <c r="AJ872" s="153" t="n">
        <f aca="false">IFERROR(IF(AND($H872&lt;&gt;"",$I872="FoFo",OR($N872="MND",$N872="VCA"),$Q872="LINEAR"),0,IF(AND($H872&lt;&gt;"",$I872="PEAD",$N872="VCA",$Q872="LINEAR"),($H872/1000)+0.3,IF(AND($H872&lt;&gt;"",$I872="PEAD",$N872="MND",$Q872="EMBOQUE"),0,IF(AND($H872&lt;&gt;"",$I872="PVC",$N872="VCA",$Q872="LINEAR"),($H872/1000)+0.2,IF(AND($H872&lt;&gt;"",$I872="PVC",$N872="MND",$Q872="EMBOQUE"),0,IF(AND($H872&lt;&gt;"",$I872="PEAD",$N872="VCA",$Q872="PREDIAL"),0,0)))))),0)</f>
        <v>0.46</v>
      </c>
      <c r="AK872" s="153" t="n">
        <f aca="false">IF(AA872&lt;&gt;"",AA872,0)</f>
        <v>4</v>
      </c>
      <c r="AL872" s="153" t="n">
        <f aca="false">IF(AND($N872="MND",$Q872="EMBOQUE"),$M872,IF(AND($N872="VCA",$Q872="LINEAR"),$M872,IF(AND($N872="VCA",$Q872="PREDIAL"),0,0)))</f>
        <v>145.24</v>
      </c>
      <c r="AM872" s="153" t="n">
        <f aca="false">IF(AND($N872="MND",$Q872="EMBOQUE"),$M872,IF(AND($N872="VCA",$Q872="LINEAR"),$M872,IF(AND($N872="VCA",$Q872="PREDIAL"),0,0)))</f>
        <v>145.24</v>
      </c>
      <c r="AN872" s="153" t="n">
        <f aca="false">ROUND(IF(AND($N872="VCA",$M872&lt;&gt;"",$Q872="LINEAR"),$M872/100,IF(AND($N872="MND",$M872&gt;100,$Q872="EMBOQUE"),$M872/100,0)),0)</f>
        <v>1</v>
      </c>
      <c r="AO872" s="153" t="n">
        <f aca="false">IF(AND($N872="MND",$Q872="EMBOQUE"),$AN872*2*2,IF(AND($N872="VCA",$Q872="LINEAR"),$M872*2,IF(AND($N872="VCA",$Q872="PREDIAL"),0,0)))</f>
        <v>290.48</v>
      </c>
      <c r="AP872" s="153" t="n">
        <f aca="false">IFERROR($M872*$AF872*$AG872,0)</f>
        <v>159.0378</v>
      </c>
      <c r="AQ872" s="153" t="n">
        <f aca="false">IFERROR(IF(AND($N872="VCA",$AH872&gt;0),$M872*$AG872*$AH872,0),0)</f>
        <v>10.893</v>
      </c>
      <c r="AR872" s="153" t="n">
        <f aca="false">IFERROR(IF(AND($N872="VCA",$AJ872&gt;0),($M872*$AG872*$AJ872)-$AI872,0),0)</f>
        <v>47.1875765311528</v>
      </c>
      <c r="AS872" s="153" t="n">
        <f aca="false">IFERROR(IF(AND($N872="VCA",$AP872&gt;0),$AP872-$AI872-$AQ872-$AR872,0),0)</f>
        <v>98.037</v>
      </c>
      <c r="AT872" s="153" t="n">
        <f aca="false">IFERROR(IF($N872="VCA",INDEX(APOIO_REDES!$A:$W,MATCH($C872&amp;$I872&amp;$H872&amp;$N872&amp;$O872,APOIO_REDES!$W:$W,0),MATCH(AT$5,APOIO_REDES!$5:$5,0)),0)*$AP872,0)</f>
        <v>1.73037833678597</v>
      </c>
      <c r="AU872" s="153" t="n">
        <f aca="false">IFERROR(IF($N872="VCA",INDEX(APOIO_REDES!$A:$W,MATCH($C872&amp;$I872&amp;$H872&amp;$N872&amp;$O872,APOIO_REDES!$W:$W,0),MATCH(AU$5,APOIO_REDES!$5:$5,0)),0)*$AP872,0)</f>
        <v>1.38183327516853</v>
      </c>
      <c r="AV872" s="153" t="n">
        <f aca="false">IFERROR(IF($N872="VCA",INDEX(APOIO_REDES!$A:$W,MATCH($C872&amp;$I872&amp;$H872&amp;$N872&amp;$O872,APOIO_REDES!$W:$W,0),MATCH(AV$5,APOIO_REDES!$5:$5,0)),0)*$AP872,0)</f>
        <v>0.191234877466792</v>
      </c>
      <c r="AW872" s="153" t="n">
        <f aca="false">IFERROR(IF($N872="VCA",INDEX(APOIO_REDES!$A:$W,MATCH($C872&amp;$I872&amp;$H872&amp;$N872&amp;$O872,APOIO_REDES!$W:$W,0),MATCH(AW$5,APOIO_REDES!$5:$5,0)),0)*$AP872,0)</f>
        <v>109.164778205007</v>
      </c>
      <c r="AX872" s="153" t="n">
        <f aca="false">IFERROR(IF($N872="VCA",INDEX(APOIO_REDES!$A:$W,MATCH($C872&amp;$I872&amp;$H872&amp;$N872&amp;$O872,APOIO_REDES!$W:$W,0),MATCH(AX$5,APOIO_REDES!$5:$5,0)),0)*$AP872,0)</f>
        <v>15.1080943418161</v>
      </c>
      <c r="AY872" s="153" t="n">
        <f aca="false">IFERROR(IF($N872="VCA",INDEX(APOIO_REDES!$A:$W,MATCH($C872&amp;$I872&amp;$H872&amp;$N872&amp;$O872,APOIO_REDES!$W:$W,0),MATCH(AY$5,APOIO_REDES!$5:$5,0)),0)*$AP872,0)</f>
        <v>27.636648658935</v>
      </c>
      <c r="AZ872" s="153" t="n">
        <f aca="false">IFERROR(IF($N872="VCA",INDEX(APOIO_REDES!$A:$W,MATCH($C872&amp;$I872&amp;$H872&amp;$N872&amp;$O872,APOIO_REDES!$W:$W,0),MATCH(AZ$5,APOIO_REDES!$5:$5,0)),0)*$AP872,0)</f>
        <v>3.82483230482072</v>
      </c>
      <c r="BA872" s="153" t="n">
        <f aca="false">IFERROR(IF(AND($N872="VCA",$Q872="LINEAR"),INDEX(APOIO_REDES!$A:$W,MATCH($C872&amp;$I872&amp;$H872&amp;$N872&amp;$O872,APOIO_REDES!$W:$W,0),MATCH(BA$5,APOIO_REDES!$5:$5,0)),IF(AND($N872="MND",$Q872="EMBOQUE"),INDEX(APOIO_REDES!$A:$W,MATCH($C872&amp;$I872&amp;$H872&amp;$N872&amp;$O872,APOIO_REDES!$W:$W,0),MATCH(BA$5,APOIO_REDES!$5:$5,0)),0))*$M872/10,0)</f>
        <v>11.7059776436873</v>
      </c>
      <c r="BB872" s="153" t="n">
        <f aca="false">IFERROR(IF($N872="VCA",INDEX(APOIO_REDES!$A:$W,MATCH($C872&amp;$I872&amp;$H872&amp;$N872&amp;$O872,APOIO_REDES!$W:$W,0),MATCH(BB$5,APOIO_REDES!$5:$5,0)),0)*($AI872+$AQ872+$AR872),0)</f>
        <v>60.3370932406848</v>
      </c>
      <c r="BC872" s="153" t="n">
        <f aca="false">IFERROR(IF($N872="VCA",INDEX(APOIO_REDES!$A:$W,MATCH($C872&amp;$I872&amp;$H872&amp;$N872&amp;$O872,APOIO_REDES!$W:$W,0),MATCH(BC$5,APOIO_REDES!$5:$5,0)),0)*($AI872+$AQ872+$AR872),0)</f>
        <v>0.663706759315168</v>
      </c>
      <c r="BD872" s="153" t="n">
        <f aca="false">IF(AND($N872="VCA",$AF872&gt;=1.25,$AF872&lt;1.5),$M872*$AF872*2,0)</f>
        <v>424.1008</v>
      </c>
      <c r="BE872" s="153" t="n">
        <f aca="false">IF(AND($N872="VCA",$AF872&gt;=1.5,$AF872&lt;3),$M872*$AF872*2,0)</f>
        <v>0</v>
      </c>
      <c r="BF872" s="153" t="n">
        <f aca="false">IF(AND($N872="VCA",$AF872&gt;=3),$M872*$AF872*2,0)</f>
        <v>0</v>
      </c>
      <c r="BG872" s="153" t="n">
        <f aca="false">($BB872+$BC872)*$AK872</f>
        <v>244.0032</v>
      </c>
      <c r="BH872" s="153" t="n">
        <f aca="false">IF(AND($M872&lt;&gt;"",$N872="VCA",$Q872="LINEAR"),($M872*2)/100,IF(AND($M872&lt;&gt;"",$N872="MND",$Q872="EMBOQUE"),($AN872*2)/100,0))</f>
        <v>2.9048</v>
      </c>
      <c r="BI872" s="153" t="n">
        <f aca="false">IF(AND($M872&lt;&gt;"",$N872="VCA",$Q872="LINEAR"),$M872,IF(AND($M872&lt;&gt;"",$N872="MND",$Q872="EMBOQUE"),$AN872*2,0))</f>
        <v>145.24</v>
      </c>
      <c r="BJ872" s="153" t="n">
        <f aca="false">IF(AND($M872&lt;&gt;"",$N872="VCA",$Q872="LINEAR"),($M872*6.8)/100,IF(AND($M872&lt;&gt;"",$N872="MND",$Q872="EMBOQUE"),($AN872*2*6.8)/100,0))</f>
        <v>9.87632</v>
      </c>
      <c r="BK872" s="153" t="n">
        <f aca="false">IF(AND($M872&lt;&gt;"",$N872="VCA",$Q872="LINEAR"),($M872*2.5)/50,IF(AND($M872&lt;&gt;"",$N872="MND",$Q872="EMBOQUE"),($AN872*2*2.5)/50,0))</f>
        <v>7.262</v>
      </c>
      <c r="BL872" s="157" t="str">
        <f aca="false">K872&amp;J872</f>
        <v>Zona08REDES</v>
      </c>
      <c r="BM872" s="152" t="s">
        <v>4834</v>
      </c>
      <c r="BN872" s="152" t="s">
        <v>1560</v>
      </c>
      <c r="BO872" s="152" t="s">
        <v>2489</v>
      </c>
      <c r="BP872" s="152" t="s">
        <v>4841</v>
      </c>
      <c r="BQ872" s="152" t="s">
        <v>4855</v>
      </c>
      <c r="BR872" s="152" t="s">
        <v>4856</v>
      </c>
      <c r="BS872" s="152" t="n">
        <v>202830.281</v>
      </c>
      <c r="BT872" s="152" t="n">
        <v>8237402.691</v>
      </c>
      <c r="BU872" s="152" t="n">
        <v>202930.642</v>
      </c>
      <c r="BV872" s="152" t="n">
        <v>8237299.062</v>
      </c>
      <c r="BW872" s="152" t="n">
        <v>-15.9253227</v>
      </c>
      <c r="BX872" s="152" t="n">
        <v>-47.775092</v>
      </c>
      <c r="BY872" s="152" t="s">
        <v>4841</v>
      </c>
    </row>
    <row r="873" customFormat="false" ht="13.8" hidden="false" customHeight="false" outlineLevel="0" collapsed="false">
      <c r="A873" s="149" t="n">
        <f aca="false">IF(C873&lt;&gt;"",ROW(A868),"")</f>
        <v>868</v>
      </c>
      <c r="B873" s="150" t="str">
        <f aca="false">HYPERLINK("https://www.google.com/maps/dir/-15.917302,-47.760003/-15.9257688,-47.7752715/data=!4m3!4m2!3e0!5i2")</f>
        <v>https://www.google.com/maps/dir/-15.917302,-47.760003/-15.9257688,-47.7752715/data=!4m3!4m2!3e0!5i2</v>
      </c>
      <c r="C873" s="151" t="s">
        <v>117</v>
      </c>
      <c r="D873" s="152" t="s">
        <v>112</v>
      </c>
      <c r="E873" s="152" t="s">
        <v>113</v>
      </c>
      <c r="F873" s="152" t="s">
        <v>117</v>
      </c>
      <c r="G873" s="152" t="s">
        <v>782</v>
      </c>
      <c r="H873" s="152" t="n">
        <v>63</v>
      </c>
      <c r="I873" s="152" t="s">
        <v>115</v>
      </c>
      <c r="J873" s="152" t="s">
        <v>6</v>
      </c>
      <c r="K873" s="152" t="s">
        <v>4831</v>
      </c>
      <c r="L873" s="152" t="s">
        <v>120</v>
      </c>
      <c r="M873" s="153" t="n">
        <f aca="false">110.94+4</f>
        <v>114.94</v>
      </c>
      <c r="N873" s="152" t="s">
        <v>1548</v>
      </c>
      <c r="O873" s="152" t="s">
        <v>1549</v>
      </c>
      <c r="P873" s="152" t="s">
        <v>1550</v>
      </c>
      <c r="Q873" s="152" t="s">
        <v>1551</v>
      </c>
      <c r="R873" s="154" t="s">
        <v>4857</v>
      </c>
      <c r="S873" s="154" t="s">
        <v>1553</v>
      </c>
      <c r="T873" s="155" t="s">
        <v>2487</v>
      </c>
      <c r="U873" s="152" t="str">
        <f aca="false">RIGHT(T873,7)</f>
        <v>011/037</v>
      </c>
      <c r="V873" s="152" t="s">
        <v>1555</v>
      </c>
      <c r="W873" s="156" t="n">
        <v>45882</v>
      </c>
      <c r="X873" s="152" t="s">
        <v>1594</v>
      </c>
      <c r="Y873" s="152" t="s">
        <v>3516</v>
      </c>
      <c r="Z873" s="152" t="s">
        <v>1557</v>
      </c>
      <c r="AA873" s="153" t="n">
        <v>4.1</v>
      </c>
      <c r="AB873" s="151" t="s">
        <v>4858</v>
      </c>
      <c r="AC873" s="151" t="s">
        <v>186</v>
      </c>
      <c r="AD873" s="151" t="str">
        <f aca="false">CONCATENATE($C873,$I873,$H873,$N873,$J873,$K873)</f>
        <v>TUBO PEADPEAD63VCAREDESZona08</v>
      </c>
      <c r="AE873" s="153" t="n">
        <f aca="false">IFERROR(INDEX(APOIO_REDES!$A:$W,MATCH($C873&amp;$I873&amp;$H873&amp;$N873&amp;$O873,APOIO_REDES!$W:$W,0),MATCH(AE$5,APOIO_REDES!$5:$5,0)),0)</f>
        <v>1.2</v>
      </c>
      <c r="AF873" s="153" t="n">
        <f aca="false">IFERROR(INDEX(APOIO_REDES!$A:$W,MATCH($C873&amp;$I873&amp;$H873&amp;$N873&amp;$O873,APOIO_REDES!$W:$W,0),MATCH(AF$5,APOIO_REDES!$5:$5,0)),0)</f>
        <v>1.363</v>
      </c>
      <c r="AG873" s="153" t="n">
        <f aca="false">IFERROR(INDEX(APOIO_REDES!$A:$W,MATCH($C873&amp;$I873&amp;$H873&amp;$N873&amp;$O873,APOIO_REDES!$W:$W,0),MATCH(AG$5,APOIO_REDES!$5:$5,0)),0)</f>
        <v>0.65</v>
      </c>
      <c r="AH873" s="153" t="n">
        <f aca="false">IFERROR(INDEX(APOIO_REDES!$A:$W,MATCH($C873&amp;$I873&amp;$H873&amp;$N873&amp;$O873,APOIO_REDES!$W:$W,0),MATCH(AH$5,APOIO_REDES!$5:$5,0)),0)</f>
        <v>0.1</v>
      </c>
      <c r="AI873" s="153" t="n">
        <f aca="false">IFERROR(IF($H873&lt;&gt;"",(((($H873/1000)/2)^2)*PI()*$M873),0),0)</f>
        <v>0.358296175991683</v>
      </c>
      <c r="AJ873" s="153" t="n">
        <f aca="false">IFERROR(IF(AND($H873&lt;&gt;"",$I873="FoFo",OR($N873="MND",$N873="VCA"),$Q873="LINEAR"),0,IF(AND($H873&lt;&gt;"",$I873="PEAD",$N873="VCA",$Q873="LINEAR"),($H873/1000)+0.3,IF(AND($H873&lt;&gt;"",$I873="PEAD",$N873="MND",$Q873="EMBOQUE"),0,IF(AND($H873&lt;&gt;"",$I873="PVC",$N873="VCA",$Q873="LINEAR"),($H873/1000)+0.2,IF(AND($H873&lt;&gt;"",$I873="PVC",$N873="MND",$Q873="EMBOQUE"),0,IF(AND($H873&lt;&gt;"",$I873="PEAD",$N873="VCA",$Q873="PREDIAL"),0,0)))))),0)</f>
        <v>0.363</v>
      </c>
      <c r="AK873" s="153" t="n">
        <f aca="false">IF(AA873&lt;&gt;"",AA873,0)</f>
        <v>4.1</v>
      </c>
      <c r="AL873" s="153" t="n">
        <f aca="false">IF(AND($N873="MND",$Q873="EMBOQUE"),$M873,IF(AND($N873="VCA",$Q873="LINEAR"),$M873,IF(AND($N873="VCA",$Q873="PREDIAL"),0,0)))</f>
        <v>114.94</v>
      </c>
      <c r="AM873" s="153" t="n">
        <f aca="false">IF(AND($N873="MND",$Q873="EMBOQUE"),$M873,IF(AND($N873="VCA",$Q873="LINEAR"),$M873,IF(AND($N873="VCA",$Q873="PREDIAL"),0,0)))</f>
        <v>114.94</v>
      </c>
      <c r="AN873" s="153" t="n">
        <f aca="false">ROUND(IF(AND($N873="VCA",$M873&lt;&gt;"",$Q873="LINEAR"),$M873/100,IF(AND($N873="MND",$M873&gt;100,$Q873="EMBOQUE"),$M873/100,0)),0)</f>
        <v>1</v>
      </c>
      <c r="AO873" s="153" t="n">
        <f aca="false">IF(AND($N873="MND",$Q873="EMBOQUE"),$AN873*2*2,IF(AND($N873="VCA",$Q873="LINEAR"),$M873*2,IF(AND($N873="VCA",$Q873="PREDIAL"),0,0)))</f>
        <v>229.88</v>
      </c>
      <c r="AP873" s="153" t="n">
        <f aca="false">IFERROR($M873*$AF873*$AG873,0)</f>
        <v>101.831093</v>
      </c>
      <c r="AQ873" s="153" t="n">
        <f aca="false">IFERROR(IF(AND($N873="VCA",$AH873&gt;0),$M873*$AG873*$AH873,0),0)</f>
        <v>7.4711</v>
      </c>
      <c r="AR873" s="153" t="n">
        <f aca="false">IFERROR(IF(AND($N873="VCA",$AJ873&gt;0),($M873*$AG873*$AJ873)-$AI873,0),0)</f>
        <v>26.7617968240083</v>
      </c>
      <c r="AS873" s="153" t="n">
        <f aca="false">IFERROR(IF(AND($N873="VCA",$AP873&gt;0),$AP873-$AI873-$AQ873-$AR873,0),0)</f>
        <v>67.2399</v>
      </c>
      <c r="AT873" s="153" t="n">
        <f aca="false">IFERROR(IF($N873="VCA",INDEX(APOIO_REDES!$A:$W,MATCH($C873&amp;$I873&amp;$H873&amp;$N873&amp;$O873,APOIO_REDES!$W:$W,0),MATCH(AT$5,APOIO_REDES!$5:$5,0)),0)*$AP873,0)</f>
        <v>1.10795243230501</v>
      </c>
      <c r="AU873" s="153" t="n">
        <f aca="false">IFERROR(IF($N873="VCA",INDEX(APOIO_REDES!$A:$W,MATCH($C873&amp;$I873&amp;$H873&amp;$N873&amp;$O873,APOIO_REDES!$W:$W,0),MATCH(AU$5,APOIO_REDES!$5:$5,0)),0)*$AP873,0)</f>
        <v>0.884780805281393</v>
      </c>
      <c r="AV873" s="153" t="n">
        <f aca="false">IFERROR(IF($N873="VCA",INDEX(APOIO_REDES!$A:$W,MATCH($C873&amp;$I873&amp;$H873&amp;$N873&amp;$O873,APOIO_REDES!$W:$W,0),MATCH(AV$5,APOIO_REDES!$5:$5,0)),0)*$AP873,0)</f>
        <v>0.122446717649292</v>
      </c>
      <c r="AW873" s="153" t="n">
        <f aca="false">IFERROR(IF($N873="VCA",INDEX(APOIO_REDES!$A:$W,MATCH($C873&amp;$I873&amp;$H873&amp;$N873&amp;$O873,APOIO_REDES!$W:$W,0),MATCH(AW$5,APOIO_REDES!$5:$5,0)),0)*$AP873,0)</f>
        <v>69.8976512610111</v>
      </c>
      <c r="AX873" s="153" t="n">
        <f aca="false">IFERROR(IF($N873="VCA",INDEX(APOIO_REDES!$A:$W,MATCH($C873&amp;$I873&amp;$H873&amp;$N873&amp;$O873,APOIO_REDES!$W:$W,0),MATCH(AX$5,APOIO_REDES!$5:$5,0)),0)*$AP873,0)</f>
        <v>9.67363582729544</v>
      </c>
      <c r="AY873" s="153" t="n">
        <f aca="false">IFERROR(IF($N873="VCA",INDEX(APOIO_REDES!$A:$W,MATCH($C873&amp;$I873&amp;$H873&amp;$N873&amp;$O873,APOIO_REDES!$W:$W,0),MATCH(AY$5,APOIO_REDES!$5:$5,0)),0)*$AP873,0)</f>
        <v>17.6956053202216</v>
      </c>
      <c r="AZ873" s="153" t="n">
        <f aca="false">IFERROR(IF($N873="VCA",INDEX(APOIO_REDES!$A:$W,MATCH($C873&amp;$I873&amp;$H873&amp;$N873&amp;$O873,APOIO_REDES!$W:$W,0),MATCH(AZ$5,APOIO_REDES!$5:$5,0)),0)*$AP873,0)</f>
        <v>2.44902063623618</v>
      </c>
      <c r="BA873" s="153" t="n">
        <f aca="false">IFERROR(IF(AND($N873="VCA",$Q873="LINEAR"),INDEX(APOIO_REDES!$A:$W,MATCH($C873&amp;$I873&amp;$H873&amp;$N873&amp;$O873,APOIO_REDES!$W:$W,0),MATCH(BA$5,APOIO_REDES!$5:$5,0)),IF(AND($N873="MND",$Q873="EMBOQUE"),INDEX(APOIO_REDES!$A:$W,MATCH($C873&amp;$I873&amp;$H873&amp;$N873&amp;$O873,APOIO_REDES!$W:$W,0),MATCH(BA$5,APOIO_REDES!$5:$5,0)),0))*$M873/10,0)</f>
        <v>9.26387407301995</v>
      </c>
      <c r="BB873" s="153" t="n">
        <f aca="false">IFERROR(IF($N873="VCA",INDEX(APOIO_REDES!$A:$W,MATCH($C873&amp;$I873&amp;$H873&amp;$N873&amp;$O873,APOIO_REDES!$W:$W,0),MATCH(BB$5,APOIO_REDES!$5:$5,0)),0)*($AI873+$AQ873+$AR873),0)</f>
        <v>34.2148305816895</v>
      </c>
      <c r="BC873" s="153" t="n">
        <f aca="false">IFERROR(IF($N873="VCA",INDEX(APOIO_REDES!$A:$W,MATCH($C873&amp;$I873&amp;$H873&amp;$N873&amp;$O873,APOIO_REDES!$W:$W,0),MATCH(BC$5,APOIO_REDES!$5:$5,0)),0)*($AI873+$AQ873+$AR873),0)</f>
        <v>0.376362418310506</v>
      </c>
      <c r="BD873" s="153" t="n">
        <f aca="false">IF(AND($N873="VCA",$AF873&gt;=1.25,$AF873&lt;1.5),$M873*$AF873*2,0)</f>
        <v>313.32644</v>
      </c>
      <c r="BE873" s="153" t="n">
        <f aca="false">IF(AND($N873="VCA",$AF873&gt;=1.5,$AF873&lt;3),$M873*$AF873*2,0)</f>
        <v>0</v>
      </c>
      <c r="BF873" s="153" t="n">
        <f aca="false">IF(AND($N873="VCA",$AF873&gt;=3),$M873*$AF873*2,0)</f>
        <v>0</v>
      </c>
      <c r="BG873" s="153" t="n">
        <f aca="false">($BB873+$BC873)*$AK873</f>
        <v>141.8238913</v>
      </c>
      <c r="BH873" s="153" t="n">
        <f aca="false">IF(AND($M873&lt;&gt;"",$N873="VCA",$Q873="LINEAR"),($M873*2)/100,IF(AND($M873&lt;&gt;"",$N873="MND",$Q873="EMBOQUE"),($AN873*2)/100,0))</f>
        <v>2.2988</v>
      </c>
      <c r="BI873" s="153" t="n">
        <f aca="false">IF(AND($M873&lt;&gt;"",$N873="VCA",$Q873="LINEAR"),$M873,IF(AND($M873&lt;&gt;"",$N873="MND",$Q873="EMBOQUE"),$AN873*2,0))</f>
        <v>114.94</v>
      </c>
      <c r="BJ873" s="153" t="n">
        <f aca="false">IF(AND($M873&lt;&gt;"",$N873="VCA",$Q873="LINEAR"),($M873*6.8)/100,IF(AND($M873&lt;&gt;"",$N873="MND",$Q873="EMBOQUE"),($AN873*2*6.8)/100,0))</f>
        <v>7.81592</v>
      </c>
      <c r="BK873" s="153" t="n">
        <f aca="false">IF(AND($M873&lt;&gt;"",$N873="VCA",$Q873="LINEAR"),($M873*2.5)/50,IF(AND($M873&lt;&gt;"",$N873="MND",$Q873="EMBOQUE"),($AN873*2*2.5)/50,0))</f>
        <v>5.747</v>
      </c>
      <c r="BL873" s="157" t="str">
        <f aca="false">K873&amp;J873</f>
        <v>Zona08REDES</v>
      </c>
      <c r="BM873" s="152" t="s">
        <v>4834</v>
      </c>
      <c r="BN873" s="152" t="s">
        <v>1560</v>
      </c>
      <c r="BO873" s="152" t="s">
        <v>2489</v>
      </c>
      <c r="BP873" s="152" t="s">
        <v>4859</v>
      </c>
      <c r="BQ873" s="152" t="s">
        <v>4840</v>
      </c>
      <c r="BR873" s="152" t="s">
        <v>4860</v>
      </c>
      <c r="BS873" s="152" t="n">
        <v>202860.586</v>
      </c>
      <c r="BT873" s="152" t="n">
        <v>8237299.901</v>
      </c>
      <c r="BU873" s="152" t="n">
        <v>202785.11</v>
      </c>
      <c r="BV873" s="152" t="n">
        <v>8237381.193</v>
      </c>
      <c r="BW873" s="152" t="n">
        <v>-15.925394</v>
      </c>
      <c r="BX873" s="152" t="n">
        <v>-47.775615</v>
      </c>
      <c r="BY873" s="152" t="s">
        <v>4859</v>
      </c>
    </row>
    <row r="874" customFormat="false" ht="13.8" hidden="false" customHeight="false" outlineLevel="0" collapsed="false">
      <c r="A874" s="149" t="n">
        <f aca="false">IF(C874&lt;&gt;"",ROW(A869),"")</f>
        <v>869</v>
      </c>
      <c r="B874" s="150" t="str">
        <f aca="false">HYPERLINK("https://www.google.com/maps/dir/-15.917302,-47.760003/-15.9255245,-47.7771213/data=!4m3!4m2!3e0!5i0")</f>
        <v>https://www.google.com/maps/dir/-15.917302,-47.760003/-15.9255245,-47.7771213/data=!4m3!4m2!3e0!5i0</v>
      </c>
      <c r="C874" s="151" t="s">
        <v>117</v>
      </c>
      <c r="D874" s="152" t="s">
        <v>112</v>
      </c>
      <c r="E874" s="152" t="s">
        <v>113</v>
      </c>
      <c r="F874" s="152" t="s">
        <v>117</v>
      </c>
      <c r="G874" s="152" t="s">
        <v>782</v>
      </c>
      <c r="H874" s="152" t="n">
        <v>63</v>
      </c>
      <c r="I874" s="152" t="s">
        <v>115</v>
      </c>
      <c r="J874" s="152" t="s">
        <v>6</v>
      </c>
      <c r="K874" s="152" t="s">
        <v>4831</v>
      </c>
      <c r="L874" s="152" t="s">
        <v>120</v>
      </c>
      <c r="M874" s="153" t="n">
        <f aca="false">44.51+0.39</f>
        <v>44.9</v>
      </c>
      <c r="N874" s="152" t="s">
        <v>1548</v>
      </c>
      <c r="O874" s="152" t="s">
        <v>1549</v>
      </c>
      <c r="P874" s="152" t="s">
        <v>1550</v>
      </c>
      <c r="Q874" s="152" t="s">
        <v>1551</v>
      </c>
      <c r="R874" s="154" t="s">
        <v>4861</v>
      </c>
      <c r="S874" s="154" t="s">
        <v>1553</v>
      </c>
      <c r="T874" s="155" t="s">
        <v>2487</v>
      </c>
      <c r="U874" s="152" t="str">
        <f aca="false">RIGHT(T874,7)</f>
        <v>011/037</v>
      </c>
      <c r="V874" s="152" t="s">
        <v>1555</v>
      </c>
      <c r="W874" s="156" t="n">
        <v>45882</v>
      </c>
      <c r="X874" s="152" t="s">
        <v>1594</v>
      </c>
      <c r="Y874" s="152"/>
      <c r="Z874" s="152" t="s">
        <v>1557</v>
      </c>
      <c r="AA874" s="153" t="n">
        <v>3.6</v>
      </c>
      <c r="AB874" s="151" t="s">
        <v>4862</v>
      </c>
      <c r="AC874" s="151" t="s">
        <v>186</v>
      </c>
      <c r="AD874" s="151" t="str">
        <f aca="false">CONCATENATE($C874,$I874,$H874,$N874,$J874,$K874)</f>
        <v>TUBO PEADPEAD63VCAREDESZona08</v>
      </c>
      <c r="AE874" s="153" t="n">
        <f aca="false">IFERROR(INDEX(APOIO_REDES!$A:$W,MATCH($C874&amp;$I874&amp;$H874&amp;$N874&amp;$O874,APOIO_REDES!$W:$W,0),MATCH(AE$5,APOIO_REDES!$5:$5,0)),0)</f>
        <v>1.2</v>
      </c>
      <c r="AF874" s="153" t="n">
        <f aca="false">IFERROR(INDEX(APOIO_REDES!$A:$W,MATCH($C874&amp;$I874&amp;$H874&amp;$N874&amp;$O874,APOIO_REDES!$W:$W,0),MATCH(AF$5,APOIO_REDES!$5:$5,0)),0)</f>
        <v>1.363</v>
      </c>
      <c r="AG874" s="153" t="n">
        <f aca="false">IFERROR(INDEX(APOIO_REDES!$A:$W,MATCH($C874&amp;$I874&amp;$H874&amp;$N874&amp;$O874,APOIO_REDES!$W:$W,0),MATCH(AG$5,APOIO_REDES!$5:$5,0)),0)</f>
        <v>0.65</v>
      </c>
      <c r="AH874" s="153" t="n">
        <f aca="false">IFERROR(INDEX(APOIO_REDES!$A:$W,MATCH($C874&amp;$I874&amp;$H874&amp;$N874&amp;$O874,APOIO_REDES!$W:$W,0),MATCH(AH$5,APOIO_REDES!$5:$5,0)),0)</f>
        <v>0.1</v>
      </c>
      <c r="AI874" s="153" t="n">
        <f aca="false">IFERROR(IF($H874&lt;&gt;"",(((($H874/1000)/2)^2)*PI()*$M874),0),0)</f>
        <v>0.139964314442549</v>
      </c>
      <c r="AJ874" s="153" t="n">
        <f aca="false">IFERROR(IF(AND($H874&lt;&gt;"",$I874="FoFo",OR($N874="MND",$N874="VCA"),$Q874="LINEAR"),0,IF(AND($H874&lt;&gt;"",$I874="PEAD",$N874="VCA",$Q874="LINEAR"),($H874/1000)+0.3,IF(AND($H874&lt;&gt;"",$I874="PEAD",$N874="MND",$Q874="EMBOQUE"),0,IF(AND($H874&lt;&gt;"",$I874="PVC",$N874="VCA",$Q874="LINEAR"),($H874/1000)+0.2,IF(AND($H874&lt;&gt;"",$I874="PVC",$N874="MND",$Q874="EMBOQUE"),0,IF(AND($H874&lt;&gt;"",$I874="PEAD",$N874="VCA",$Q874="PREDIAL"),0,0)))))),0)</f>
        <v>0.363</v>
      </c>
      <c r="AK874" s="153" t="n">
        <f aca="false">IF(AA874&lt;&gt;"",AA874,0)</f>
        <v>3.6</v>
      </c>
      <c r="AL874" s="153" t="n">
        <f aca="false">IF(AND($N874="MND",$Q874="EMBOQUE"),$M874,IF(AND($N874="VCA",$Q874="LINEAR"),$M874,IF(AND($N874="VCA",$Q874="PREDIAL"),0,0)))</f>
        <v>44.9</v>
      </c>
      <c r="AM874" s="153" t="n">
        <f aca="false">IF(AND($N874="MND",$Q874="EMBOQUE"),$M874,IF(AND($N874="VCA",$Q874="LINEAR"),$M874,IF(AND($N874="VCA",$Q874="PREDIAL"),0,0)))</f>
        <v>44.9</v>
      </c>
      <c r="AN874" s="153" t="n">
        <f aca="false">ROUND(IF(AND($N874="VCA",$M874&lt;&gt;"",$Q874="LINEAR"),$M874/100,IF(AND($N874="MND",$M874&gt;100,$Q874="EMBOQUE"),$M874/100,0)),0)</f>
        <v>0</v>
      </c>
      <c r="AO874" s="153" t="n">
        <f aca="false">IF(AND($N874="MND",$Q874="EMBOQUE"),$AN874*2*2,IF(AND($N874="VCA",$Q874="LINEAR"),$M874*2,IF(AND($N874="VCA",$Q874="PREDIAL"),0,0)))</f>
        <v>89.8</v>
      </c>
      <c r="AP874" s="153" t="n">
        <f aca="false">IFERROR($M874*$AF874*$AG874,0)</f>
        <v>39.779155</v>
      </c>
      <c r="AQ874" s="153" t="n">
        <f aca="false">IFERROR(IF(AND($N874="VCA",$AH874&gt;0),$M874*$AG874*$AH874,0),0)</f>
        <v>2.9185</v>
      </c>
      <c r="AR874" s="153" t="n">
        <f aca="false">IFERROR(IF(AND($N874="VCA",$AJ874&gt;0),($M874*$AG874*$AJ874)-$AI874,0),0)</f>
        <v>10.4541906855575</v>
      </c>
      <c r="AS874" s="153" t="n">
        <f aca="false">IFERROR(IF(AND($N874="VCA",$AP874&gt;0),$AP874-$AI874-$AQ874-$AR874,0),0)</f>
        <v>26.2665</v>
      </c>
      <c r="AT874" s="153" t="n">
        <f aca="false">IFERROR(IF($N874="VCA",INDEX(APOIO_REDES!$A:$W,MATCH($C874&amp;$I874&amp;$H874&amp;$N874&amp;$O874,APOIO_REDES!$W:$W,0),MATCH(AT$5,APOIO_REDES!$5:$5,0)),0)*$AP874,0)</f>
        <v>0.432808980428876</v>
      </c>
      <c r="AU874" s="153" t="n">
        <f aca="false">IFERROR(IF($N874="VCA",INDEX(APOIO_REDES!$A:$W,MATCH($C874&amp;$I874&amp;$H874&amp;$N874&amp;$O874,APOIO_REDES!$W:$W,0),MATCH(AU$5,APOIO_REDES!$5:$5,0)),0)*$AP874,0)</f>
        <v>0.345629529816726</v>
      </c>
      <c r="AV874" s="153" t="n">
        <f aca="false">IFERROR(IF($N874="VCA",INDEX(APOIO_REDES!$A:$W,MATCH($C874&amp;$I874&amp;$H874&amp;$N874&amp;$O874,APOIO_REDES!$W:$W,0),MATCH(AV$5,APOIO_REDES!$5:$5,0)),0)*$AP874,0)</f>
        <v>0.0478324136284427</v>
      </c>
      <c r="AW874" s="153" t="n">
        <f aca="false">IFERROR(IF($N874="VCA",INDEX(APOIO_REDES!$A:$W,MATCH($C874&amp;$I874&amp;$H874&amp;$N874&amp;$O874,APOIO_REDES!$W:$W,0),MATCH(AW$5,APOIO_REDES!$5:$5,0)),0)*$AP874,0)</f>
        <v>27.3047202159335</v>
      </c>
      <c r="AX874" s="153" t="n">
        <f aca="false">IFERROR(IF($N874="VCA",INDEX(APOIO_REDES!$A:$W,MATCH($C874&amp;$I874&amp;$H874&amp;$N874&amp;$O874,APOIO_REDES!$W:$W,0),MATCH(AX$5,APOIO_REDES!$5:$5,0)),0)*$AP874,0)</f>
        <v>3.77889549891739</v>
      </c>
      <c r="AY874" s="153" t="n">
        <f aca="false">IFERROR(IF($N874="VCA",INDEX(APOIO_REDES!$A:$W,MATCH($C874&amp;$I874&amp;$H874&amp;$N874&amp;$O874,APOIO_REDES!$W:$W,0),MATCH(AY$5,APOIO_REDES!$5:$5,0)),0)*$AP874,0)</f>
        <v>6.91258638313858</v>
      </c>
      <c r="AZ874" s="153" t="n">
        <f aca="false">IFERROR(IF($N874="VCA",INDEX(APOIO_REDES!$A:$W,MATCH($C874&amp;$I874&amp;$H874&amp;$N874&amp;$O874,APOIO_REDES!$W:$W,0),MATCH(AZ$5,APOIO_REDES!$5:$5,0)),0)*$AP874,0)</f>
        <v>0.956681978136459</v>
      </c>
      <c r="BA874" s="153" t="n">
        <f aca="false">IFERROR(IF(AND($N874="VCA",$Q874="LINEAR"),INDEX(APOIO_REDES!$A:$W,MATCH($C874&amp;$I874&amp;$H874&amp;$N874&amp;$O874,APOIO_REDES!$W:$W,0),MATCH(BA$5,APOIO_REDES!$5:$5,0)),IF(AND($N874="MND",$Q874="EMBOQUE"),INDEX(APOIO_REDES!$A:$W,MATCH($C874&amp;$I874&amp;$H874&amp;$N874&amp;$O874,APOIO_REDES!$W:$W,0),MATCH(BA$5,APOIO_REDES!$5:$5,0)),0))*$M874/10,0)</f>
        <v>3.61882674333214</v>
      </c>
      <c r="BB874" s="153" t="n">
        <f aca="false">IFERROR(IF($N874="VCA",INDEX(APOIO_REDES!$A:$W,MATCH($C874&amp;$I874&amp;$H874&amp;$N874&amp;$O874,APOIO_REDES!$W:$W,0),MATCH(BB$5,APOIO_REDES!$5:$5,0)),0)*($AI874+$AQ874+$AR874),0)</f>
        <v>13.3656333140583</v>
      </c>
      <c r="BC874" s="153" t="n">
        <f aca="false">IFERROR(IF($N874="VCA",INDEX(APOIO_REDES!$A:$W,MATCH($C874&amp;$I874&amp;$H874&amp;$N874&amp;$O874,APOIO_REDES!$W:$W,0),MATCH(BC$5,APOIO_REDES!$5:$5,0)),0)*($AI874+$AQ874+$AR874),0)</f>
        <v>0.147021685941724</v>
      </c>
      <c r="BD874" s="153" t="n">
        <f aca="false">IF(AND($N874="VCA",$AF874&gt;=1.25,$AF874&lt;1.5),$M874*$AF874*2,0)</f>
        <v>122.3974</v>
      </c>
      <c r="BE874" s="153" t="n">
        <f aca="false">IF(AND($N874="VCA",$AF874&gt;=1.5,$AF874&lt;3),$M874*$AF874*2,0)</f>
        <v>0</v>
      </c>
      <c r="BF874" s="153" t="n">
        <f aca="false">IF(AND($N874="VCA",$AF874&gt;=3),$M874*$AF874*2,0)</f>
        <v>0</v>
      </c>
      <c r="BG874" s="153" t="n">
        <f aca="false">($BB874+$BC874)*$AK874</f>
        <v>48.645558</v>
      </c>
      <c r="BH874" s="153" t="n">
        <f aca="false">IF(AND($M874&lt;&gt;"",$N874="VCA",$Q874="LINEAR"),($M874*2)/100,IF(AND($M874&lt;&gt;"",$N874="MND",$Q874="EMBOQUE"),($AN874*2)/100,0))</f>
        <v>0.898</v>
      </c>
      <c r="BI874" s="153" t="n">
        <f aca="false">IF(AND($M874&lt;&gt;"",$N874="VCA",$Q874="LINEAR"),$M874,IF(AND($M874&lt;&gt;"",$N874="MND",$Q874="EMBOQUE"),$AN874*2,0))</f>
        <v>44.9</v>
      </c>
      <c r="BJ874" s="153" t="n">
        <f aca="false">IF(AND($M874&lt;&gt;"",$N874="VCA",$Q874="LINEAR"),($M874*6.8)/100,IF(AND($M874&lt;&gt;"",$N874="MND",$Q874="EMBOQUE"),($AN874*2*6.8)/100,0))</f>
        <v>3.0532</v>
      </c>
      <c r="BK874" s="153" t="n">
        <f aca="false">IF(AND($M874&lt;&gt;"",$N874="VCA",$Q874="LINEAR"),($M874*2.5)/50,IF(AND($M874&lt;&gt;"",$N874="MND",$Q874="EMBOQUE"),($AN874*2*2.5)/50,0))</f>
        <v>2.245</v>
      </c>
      <c r="BL874" s="157" t="str">
        <f aca="false">K874&amp;J874</f>
        <v>Zona08REDES</v>
      </c>
      <c r="BM874" s="152" t="s">
        <v>4834</v>
      </c>
      <c r="BN874" s="152" t="s">
        <v>1560</v>
      </c>
      <c r="BO874" s="152" t="s">
        <v>2489</v>
      </c>
      <c r="BP874" s="152" t="s">
        <v>4863</v>
      </c>
      <c r="BQ874" s="152" t="s">
        <v>4851</v>
      </c>
      <c r="BR874" s="152" t="s">
        <v>4864</v>
      </c>
      <c r="BS874" s="152" t="n">
        <v>202662.047</v>
      </c>
      <c r="BT874" s="152" t="n">
        <v>8237324.319</v>
      </c>
      <c r="BU874" s="152" t="n">
        <v>202702.829</v>
      </c>
      <c r="BV874" s="152" t="n">
        <v>8237342.113</v>
      </c>
      <c r="BW874" s="152" t="n">
        <v>-15.9254435</v>
      </c>
      <c r="BX874" s="152" t="n">
        <v>-47.7769311</v>
      </c>
      <c r="BY874" s="152" t="s">
        <v>4863</v>
      </c>
    </row>
    <row r="875" customFormat="false" ht="13.8" hidden="false" customHeight="false" outlineLevel="0" collapsed="false">
      <c r="A875" s="149" t="n">
        <f aca="false">IF(C875&lt;&gt;"",ROW(A870),"")</f>
        <v>870</v>
      </c>
      <c r="B875" s="150" t="str">
        <f aca="false">HYPERLINK("https://www.google.com/maps/dir/-15.917302,-47.760003/-15.9253697,-47.7767380/data=!4m3!4m2!3e0!5i2")</f>
        <v>https://www.google.com/maps/dir/-15.917302,-47.760003/-15.9253697,-47.7767380/data=!4m3!4m2!3e0!5i2</v>
      </c>
      <c r="C875" s="151" t="s">
        <v>117</v>
      </c>
      <c r="D875" s="152" t="s">
        <v>112</v>
      </c>
      <c r="E875" s="152" t="s">
        <v>113</v>
      </c>
      <c r="F875" s="152" t="s">
        <v>117</v>
      </c>
      <c r="G875" s="152" t="s">
        <v>782</v>
      </c>
      <c r="H875" s="152" t="n">
        <v>90</v>
      </c>
      <c r="I875" s="152" t="s">
        <v>115</v>
      </c>
      <c r="J875" s="152" t="s">
        <v>6</v>
      </c>
      <c r="K875" s="152" t="s">
        <v>4831</v>
      </c>
      <c r="L875" s="152" t="s">
        <v>120</v>
      </c>
      <c r="M875" s="153" t="n">
        <f aca="false">18.22</f>
        <v>18.22</v>
      </c>
      <c r="N875" s="152" t="s">
        <v>1548</v>
      </c>
      <c r="O875" s="152" t="s">
        <v>1549</v>
      </c>
      <c r="P875" s="152" t="s">
        <v>1550</v>
      </c>
      <c r="Q875" s="152" t="s">
        <v>1551</v>
      </c>
      <c r="R875" s="154" t="s">
        <v>4865</v>
      </c>
      <c r="S875" s="154" t="s">
        <v>1593</v>
      </c>
      <c r="T875" s="155" t="s">
        <v>2487</v>
      </c>
      <c r="U875" s="152" t="str">
        <f aca="false">RIGHT(T875,7)</f>
        <v>011/037</v>
      </c>
      <c r="V875" s="152" t="s">
        <v>1555</v>
      </c>
      <c r="W875" s="156" t="n">
        <v>45882</v>
      </c>
      <c r="X875" s="152" t="s">
        <v>1594</v>
      </c>
      <c r="Y875" s="152"/>
      <c r="Z875" s="152" t="s">
        <v>1557</v>
      </c>
      <c r="AA875" s="153" t="n">
        <v>4.1</v>
      </c>
      <c r="AB875" s="151" t="s">
        <v>4866</v>
      </c>
      <c r="AC875" s="151" t="s">
        <v>526</v>
      </c>
      <c r="AD875" s="151" t="str">
        <f aca="false">CONCATENATE($C875,$I875,$H875,$N875,$J875,$K875)</f>
        <v>TUBO PEADPEAD90VCAREDESZona08</v>
      </c>
      <c r="AE875" s="153" t="n">
        <f aca="false">IFERROR(INDEX(APOIO_REDES!$A:$W,MATCH($C875&amp;$I875&amp;$H875&amp;$N875&amp;$O875,APOIO_REDES!$W:$W,0),MATCH(AE$5,APOIO_REDES!$5:$5,0)),0)</f>
        <v>1.2</v>
      </c>
      <c r="AF875" s="153" t="n">
        <f aca="false">IFERROR(INDEX(APOIO_REDES!$A:$W,MATCH($C875&amp;$I875&amp;$H875&amp;$N875&amp;$O875,APOIO_REDES!$W:$W,0),MATCH(AF$5,APOIO_REDES!$5:$5,0)),0)</f>
        <v>1.39</v>
      </c>
      <c r="AG875" s="153" t="n">
        <f aca="false">IFERROR(INDEX(APOIO_REDES!$A:$W,MATCH($C875&amp;$I875&amp;$H875&amp;$N875&amp;$O875,APOIO_REDES!$W:$W,0),MATCH(AG$5,APOIO_REDES!$5:$5,0)),0)</f>
        <v>0.75</v>
      </c>
      <c r="AH875" s="153" t="n">
        <f aca="false">IFERROR(INDEX(APOIO_REDES!$A:$W,MATCH($C875&amp;$I875&amp;$H875&amp;$N875&amp;$O875,APOIO_REDES!$W:$W,0),MATCH(AH$5,APOIO_REDES!$5:$5,0)),0)</f>
        <v>0.1</v>
      </c>
      <c r="AI875" s="153" t="n">
        <f aca="false">IFERROR(IF($H875&lt;&gt;"",(((($H875/1000)/2)^2)*PI()*$M875),0),0)</f>
        <v>0.115910631750522</v>
      </c>
      <c r="AJ875" s="153" t="n">
        <f aca="false">IFERROR(IF(AND($H875&lt;&gt;"",$I875="FoFo",OR($N875="MND",$N875="VCA"),$Q875="LINEAR"),0,IF(AND($H875&lt;&gt;"",$I875="PEAD",$N875="VCA",$Q875="LINEAR"),($H875/1000)+0.3,IF(AND($H875&lt;&gt;"",$I875="PEAD",$N875="MND",$Q875="EMBOQUE"),0,IF(AND($H875&lt;&gt;"",$I875="PVC",$N875="VCA",$Q875="LINEAR"),($H875/1000)+0.2,IF(AND($H875&lt;&gt;"",$I875="PVC",$N875="MND",$Q875="EMBOQUE"),0,IF(AND($H875&lt;&gt;"",$I875="PEAD",$N875="VCA",$Q875="PREDIAL"),0,0)))))),0)</f>
        <v>0.39</v>
      </c>
      <c r="AK875" s="153" t="n">
        <f aca="false">IF(AA875&lt;&gt;"",AA875,0)</f>
        <v>4.1</v>
      </c>
      <c r="AL875" s="153" t="n">
        <f aca="false">IF(AND($N875="MND",$Q875="EMBOQUE"),$M875,IF(AND($N875="VCA",$Q875="LINEAR"),$M875,IF(AND($N875="VCA",$Q875="PREDIAL"),0,0)))</f>
        <v>18.22</v>
      </c>
      <c r="AM875" s="153" t="n">
        <f aca="false">IF(AND($N875="MND",$Q875="EMBOQUE"),$M875,IF(AND($N875="VCA",$Q875="LINEAR"),$M875,IF(AND($N875="VCA",$Q875="PREDIAL"),0,0)))</f>
        <v>18.22</v>
      </c>
      <c r="AN875" s="153" t="n">
        <f aca="false">ROUND(IF(AND($N875="VCA",$M875&lt;&gt;"",$Q875="LINEAR"),$M875/100,IF(AND($N875="MND",$M875&gt;100,$Q875="EMBOQUE"),$M875/100,0)),0)</f>
        <v>0</v>
      </c>
      <c r="AO875" s="153" t="n">
        <f aca="false">IF(AND($N875="MND",$Q875="EMBOQUE"),$AN875*2*2,IF(AND($N875="VCA",$Q875="LINEAR"),$M875*2,IF(AND($N875="VCA",$Q875="PREDIAL"),0,0)))</f>
        <v>36.44</v>
      </c>
      <c r="AP875" s="153" t="n">
        <f aca="false">IFERROR($M875*$AF875*$AG875,0)</f>
        <v>18.99435</v>
      </c>
      <c r="AQ875" s="153" t="n">
        <f aca="false">IFERROR(IF(AND($N875="VCA",$AH875&gt;0),$M875*$AG875*$AH875,0),0)</f>
        <v>1.3665</v>
      </c>
      <c r="AR875" s="153" t="n">
        <f aca="false">IFERROR(IF(AND($N875="VCA",$AJ875&gt;0),($M875*$AG875*$AJ875)-$AI875,0),0)</f>
        <v>5.21343936824948</v>
      </c>
      <c r="AS875" s="153" t="n">
        <f aca="false">IFERROR(IF(AND($N875="VCA",$AP875&gt;0),$AP875-$AI875-$AQ875-$AR875,0),0)</f>
        <v>12.2985</v>
      </c>
      <c r="AT875" s="153" t="n">
        <f aca="false">IFERROR(IF($N875="VCA",INDEX(APOIO_REDES!$A:$W,MATCH($C875&amp;$I875&amp;$H875&amp;$N875&amp;$O875,APOIO_REDES!$W:$W,0),MATCH(AT$5,APOIO_REDES!$5:$5,0)),0)*$AP875,0)</f>
        <v>0.206664150040624</v>
      </c>
      <c r="AU875" s="153" t="n">
        <f aca="false">IFERROR(IF($N875="VCA",INDEX(APOIO_REDES!$A:$W,MATCH($C875&amp;$I875&amp;$H875&amp;$N875&amp;$O875,APOIO_REDES!$W:$W,0),MATCH(AU$5,APOIO_REDES!$5:$5,0)),0)*$AP875,0)</f>
        <v>0.165036393047422</v>
      </c>
      <c r="AV875" s="153" t="n">
        <f aca="false">IFERROR(IF($N875="VCA",INDEX(APOIO_REDES!$A:$W,MATCH($C875&amp;$I875&amp;$H875&amp;$N875&amp;$O875,APOIO_REDES!$W:$W,0),MATCH(AV$5,APOIO_REDES!$5:$5,0)),0)*$AP875,0)</f>
        <v>0.0228397412112804</v>
      </c>
      <c r="AW875" s="153" t="n">
        <f aca="false">IFERROR(IF($N875="VCA",INDEX(APOIO_REDES!$A:$W,MATCH($C875&amp;$I875&amp;$H875&amp;$N875&amp;$O875,APOIO_REDES!$W:$W,0),MATCH(AW$5,APOIO_REDES!$5:$5,0)),0)*$AP875,0)</f>
        <v>13.0378690154056</v>
      </c>
      <c r="AX875" s="153" t="n">
        <f aca="false">IFERROR(IF($N875="VCA",INDEX(APOIO_REDES!$A:$W,MATCH($C875&amp;$I875&amp;$H875&amp;$N875&amp;$O875,APOIO_REDES!$W:$W,0),MATCH(AX$5,APOIO_REDES!$5:$5,0)),0)*$AP875,0)</f>
        <v>1.80440393265924</v>
      </c>
      <c r="AY875" s="153" t="n">
        <f aca="false">IFERROR(IF($N875="VCA",INDEX(APOIO_REDES!$A:$W,MATCH($C875&amp;$I875&amp;$H875&amp;$N875&amp;$O875,APOIO_REDES!$W:$W,0),MATCH(AY$5,APOIO_REDES!$5:$5,0)),0)*$AP875,0)</f>
        <v>3.30072584916819</v>
      </c>
      <c r="AZ875" s="153" t="n">
        <f aca="false">IFERROR(IF($N875="VCA",INDEX(APOIO_REDES!$A:$W,MATCH($C875&amp;$I875&amp;$H875&amp;$N875&amp;$O875,APOIO_REDES!$W:$W,0),MATCH(AZ$5,APOIO_REDES!$5:$5,0)),0)*$AP875,0)</f>
        <v>0.456810918467631</v>
      </c>
      <c r="BA875" s="153" t="n">
        <f aca="false">IFERROR(IF(AND($N875="VCA",$Q875="LINEAR"),INDEX(APOIO_REDES!$A:$W,MATCH($C875&amp;$I875&amp;$H875&amp;$N875&amp;$O875,APOIO_REDES!$W:$W,0),MATCH(BA$5,APOIO_REDES!$5:$5,0)),IF(AND($N875="MND",$Q875="EMBOQUE"),INDEX(APOIO_REDES!$A:$W,MATCH($C875&amp;$I875&amp;$H875&amp;$N875&amp;$O875,APOIO_REDES!$W:$W,0),MATCH(BA$5,APOIO_REDES!$5:$5,0)),0))*$M875/10,0)</f>
        <v>1.4684860415036</v>
      </c>
      <c r="BB875" s="153" t="n">
        <f aca="false">IFERROR(IF($N875="VCA",INDEX(APOIO_REDES!$A:$W,MATCH($C875&amp;$I875&amp;$H875&amp;$N875&amp;$O875,APOIO_REDES!$W:$W,0),MATCH(BB$5,APOIO_REDES!$5:$5,0)),0)*($AI875+$AQ875+$AR875),0)</f>
        <v>6.62299717012956</v>
      </c>
      <c r="BC875" s="153" t="n">
        <f aca="false">IFERROR(IF($N875="VCA",INDEX(APOIO_REDES!$A:$W,MATCH($C875&amp;$I875&amp;$H875&amp;$N875&amp;$O875,APOIO_REDES!$W:$W,0),MATCH(BC$5,APOIO_REDES!$5:$5,0)),0)*($AI875+$AQ875+$AR875),0)</f>
        <v>0.0728528298704357</v>
      </c>
      <c r="BD875" s="153" t="n">
        <f aca="false">IF(AND($N875="VCA",$AF875&gt;=1.25,$AF875&lt;1.5),$M875*$AF875*2,0)</f>
        <v>50.6516</v>
      </c>
      <c r="BE875" s="153" t="n">
        <f aca="false">IF(AND($N875="VCA",$AF875&gt;=1.5,$AF875&lt;3),$M875*$AF875*2,0)</f>
        <v>0</v>
      </c>
      <c r="BF875" s="153" t="n">
        <f aca="false">IF(AND($N875="VCA",$AF875&gt;=3),$M875*$AF875*2,0)</f>
        <v>0</v>
      </c>
      <c r="BG875" s="153" t="n">
        <f aca="false">($BB875+$BC875)*$AK875</f>
        <v>27.452985</v>
      </c>
      <c r="BH875" s="153" t="n">
        <f aca="false">IF(AND($M875&lt;&gt;"",$N875="VCA",$Q875="LINEAR"),($M875*2)/100,IF(AND($M875&lt;&gt;"",$N875="MND",$Q875="EMBOQUE"),($AN875*2)/100,0))</f>
        <v>0.3644</v>
      </c>
      <c r="BI875" s="153" t="n">
        <f aca="false">IF(AND($M875&lt;&gt;"",$N875="VCA",$Q875="LINEAR"),$M875,IF(AND($M875&lt;&gt;"",$N875="MND",$Q875="EMBOQUE"),$AN875*2,0))</f>
        <v>18.22</v>
      </c>
      <c r="BJ875" s="153" t="n">
        <f aca="false">IF(AND($M875&lt;&gt;"",$N875="VCA",$Q875="LINEAR"),($M875*6.8)/100,IF(AND($M875&lt;&gt;"",$N875="MND",$Q875="EMBOQUE"),($AN875*2*6.8)/100,0))</f>
        <v>1.23896</v>
      </c>
      <c r="BK875" s="153" t="n">
        <f aca="false">IF(AND($M875&lt;&gt;"",$N875="VCA",$Q875="LINEAR"),($M875*2.5)/50,IF(AND($M875&lt;&gt;"",$N875="MND",$Q875="EMBOQUE"),($AN875*2*2.5)/50,0))</f>
        <v>0.911</v>
      </c>
      <c r="BL875" s="157" t="str">
        <f aca="false">K875&amp;J875</f>
        <v>Zona08REDES</v>
      </c>
      <c r="BM875" s="152" t="s">
        <v>4834</v>
      </c>
      <c r="BN875" s="152" t="s">
        <v>1560</v>
      </c>
      <c r="BO875" s="152" t="s">
        <v>2489</v>
      </c>
      <c r="BP875" s="152" t="s">
        <v>4851</v>
      </c>
      <c r="BQ875" s="152" t="s">
        <v>4867</v>
      </c>
      <c r="BR875" s="152" t="s">
        <v>4868</v>
      </c>
      <c r="BS875" s="152" t="n">
        <v>202703.23</v>
      </c>
      <c r="BT875" s="152" t="n">
        <v>8237342.076</v>
      </c>
      <c r="BU875" s="152" t="n">
        <v>202707.285</v>
      </c>
      <c r="BV875" s="152" t="n">
        <v>8237324.318</v>
      </c>
      <c r="BW875" s="152" t="n">
        <v>-15.9254495</v>
      </c>
      <c r="BX875" s="152" t="n">
        <v>-47.7767169</v>
      </c>
      <c r="BY875" s="152" t="s">
        <v>4851</v>
      </c>
    </row>
    <row r="876" customFormat="false" ht="13.8" hidden="false" customHeight="false" outlineLevel="0" collapsed="false">
      <c r="A876" s="149" t="n">
        <f aca="false">IF(C876&lt;&gt;"",ROW(A871),"")</f>
        <v>871</v>
      </c>
      <c r="B876" s="150" t="str">
        <f aca="false">HYPERLINK("https://www.google.com/maps/dir/-15.917302,-47.760003/-15.9258662,-47.7757463/data=!4m3!4m2!3e0!5i2")</f>
        <v>https://www.google.com/maps/dir/-15.917302,-47.760003/-15.9258662,-47.7757463/data=!4m3!4m2!3e0!5i2</v>
      </c>
      <c r="C876" s="151" t="s">
        <v>117</v>
      </c>
      <c r="D876" s="152" t="s">
        <v>112</v>
      </c>
      <c r="E876" s="152" t="s">
        <v>113</v>
      </c>
      <c r="F876" s="152" t="s">
        <v>117</v>
      </c>
      <c r="G876" s="152" t="s">
        <v>782</v>
      </c>
      <c r="H876" s="152" t="n">
        <v>63</v>
      </c>
      <c r="I876" s="152" t="s">
        <v>115</v>
      </c>
      <c r="J876" s="152" t="s">
        <v>6</v>
      </c>
      <c r="K876" s="152" t="s">
        <v>4831</v>
      </c>
      <c r="L876" s="152" t="s">
        <v>120</v>
      </c>
      <c r="M876" s="153" t="n">
        <f aca="false">98.75+4.28</f>
        <v>103.03</v>
      </c>
      <c r="N876" s="152" t="s">
        <v>1548</v>
      </c>
      <c r="O876" s="152" t="s">
        <v>1549</v>
      </c>
      <c r="P876" s="152" t="s">
        <v>1550</v>
      </c>
      <c r="Q876" s="152" t="s">
        <v>1551</v>
      </c>
      <c r="R876" s="154" t="s">
        <v>4869</v>
      </c>
      <c r="S876" s="154" t="s">
        <v>1553</v>
      </c>
      <c r="T876" s="155" t="s">
        <v>2487</v>
      </c>
      <c r="U876" s="152" t="str">
        <f aca="false">RIGHT(T876,7)</f>
        <v>011/037</v>
      </c>
      <c r="V876" s="152" t="s">
        <v>1555</v>
      </c>
      <c r="W876" s="156" t="n">
        <v>45882</v>
      </c>
      <c r="X876" s="152" t="s">
        <v>1594</v>
      </c>
      <c r="Y876" s="152" t="s">
        <v>3516</v>
      </c>
      <c r="Z876" s="152" t="s">
        <v>1557</v>
      </c>
      <c r="AA876" s="153" t="n">
        <v>4.2</v>
      </c>
      <c r="AB876" s="151" t="s">
        <v>4870</v>
      </c>
      <c r="AC876" s="151" t="s">
        <v>186</v>
      </c>
      <c r="AD876" s="151" t="str">
        <f aca="false">CONCATENATE($C876,$I876,$H876,$N876,$J876,$K876)</f>
        <v>TUBO PEADPEAD63VCAREDESZona08</v>
      </c>
      <c r="AE876" s="153" t="n">
        <f aca="false">IFERROR(INDEX(APOIO_REDES!$A:$W,MATCH($C876&amp;$I876&amp;$H876&amp;$N876&amp;$O876,APOIO_REDES!$W:$W,0),MATCH(AE$5,APOIO_REDES!$5:$5,0)),0)</f>
        <v>1.2</v>
      </c>
      <c r="AF876" s="153" t="n">
        <f aca="false">IFERROR(INDEX(APOIO_REDES!$A:$W,MATCH($C876&amp;$I876&amp;$H876&amp;$N876&amp;$O876,APOIO_REDES!$W:$W,0),MATCH(AF$5,APOIO_REDES!$5:$5,0)),0)</f>
        <v>1.363</v>
      </c>
      <c r="AG876" s="153" t="n">
        <f aca="false">IFERROR(INDEX(APOIO_REDES!$A:$W,MATCH($C876&amp;$I876&amp;$H876&amp;$N876&amp;$O876,APOIO_REDES!$W:$W,0),MATCH(AG$5,APOIO_REDES!$5:$5,0)),0)</f>
        <v>0.65</v>
      </c>
      <c r="AH876" s="153" t="n">
        <f aca="false">IFERROR(INDEX(APOIO_REDES!$A:$W,MATCH($C876&amp;$I876&amp;$H876&amp;$N876&amp;$O876,APOIO_REDES!$W:$W,0),MATCH(AH$5,APOIO_REDES!$5:$5,0)),0)</f>
        <v>0.1</v>
      </c>
      <c r="AI876" s="153" t="n">
        <f aca="false">IFERROR(IF($H876&lt;&gt;"",(((($H876/1000)/2)^2)*PI()*$M876),0),0)</f>
        <v>0.321169784343336</v>
      </c>
      <c r="AJ876" s="153" t="n">
        <f aca="false">IFERROR(IF(AND($H876&lt;&gt;"",$I876="FoFo",OR($N876="MND",$N876="VCA"),$Q876="LINEAR"),0,IF(AND($H876&lt;&gt;"",$I876="PEAD",$N876="VCA",$Q876="LINEAR"),($H876/1000)+0.3,IF(AND($H876&lt;&gt;"",$I876="PEAD",$N876="MND",$Q876="EMBOQUE"),0,IF(AND($H876&lt;&gt;"",$I876="PVC",$N876="VCA",$Q876="LINEAR"),($H876/1000)+0.2,IF(AND($H876&lt;&gt;"",$I876="PVC",$N876="MND",$Q876="EMBOQUE"),0,IF(AND($H876&lt;&gt;"",$I876="PEAD",$N876="VCA",$Q876="PREDIAL"),0,0)))))),0)</f>
        <v>0.363</v>
      </c>
      <c r="AK876" s="153" t="n">
        <f aca="false">IF(AA876&lt;&gt;"",AA876,0)</f>
        <v>4.2</v>
      </c>
      <c r="AL876" s="153" t="n">
        <f aca="false">IF(AND($N876="MND",$Q876="EMBOQUE"),$M876,IF(AND($N876="VCA",$Q876="LINEAR"),$M876,IF(AND($N876="VCA",$Q876="PREDIAL"),0,0)))</f>
        <v>103.03</v>
      </c>
      <c r="AM876" s="153" t="n">
        <f aca="false">IF(AND($N876="MND",$Q876="EMBOQUE"),$M876,IF(AND($N876="VCA",$Q876="LINEAR"),$M876,IF(AND($N876="VCA",$Q876="PREDIAL"),0,0)))</f>
        <v>103.03</v>
      </c>
      <c r="AN876" s="153" t="n">
        <f aca="false">ROUND(IF(AND($N876="VCA",$M876&lt;&gt;"",$Q876="LINEAR"),$M876/100,IF(AND($N876="MND",$M876&gt;100,$Q876="EMBOQUE"),$M876/100,0)),0)</f>
        <v>1</v>
      </c>
      <c r="AO876" s="153" t="n">
        <f aca="false">IF(AND($N876="MND",$Q876="EMBOQUE"),$AN876*2*2,IF(AND($N876="VCA",$Q876="LINEAR"),$M876*2,IF(AND($N876="VCA",$Q876="PREDIAL"),0,0)))</f>
        <v>206.06</v>
      </c>
      <c r="AP876" s="153" t="n">
        <f aca="false">IFERROR($M876*$AF876*$AG876,0)</f>
        <v>91.2794285</v>
      </c>
      <c r="AQ876" s="153" t="n">
        <f aca="false">IFERROR(IF(AND($N876="VCA",$AH876&gt;0),$M876*$AG876*$AH876,0),0)</f>
        <v>6.69695</v>
      </c>
      <c r="AR876" s="153" t="n">
        <f aca="false">IFERROR(IF(AND($N876="VCA",$AJ876&gt;0),($M876*$AG876*$AJ876)-$AI876,0),0)</f>
        <v>23.9887587156567</v>
      </c>
      <c r="AS876" s="153" t="n">
        <f aca="false">IFERROR(IF(AND($N876="VCA",$AP876&gt;0),$AP876-$AI876-$AQ876-$AR876,0),0)</f>
        <v>60.27255</v>
      </c>
      <c r="AT876" s="153" t="n">
        <f aca="false">IFERROR(IF($N876="VCA",INDEX(APOIO_REDES!$A:$W,MATCH($C876&amp;$I876&amp;$H876&amp;$N876&amp;$O876,APOIO_REDES!$W:$W,0),MATCH(AT$5,APOIO_REDES!$5:$5,0)),0)*$AP876,0)</f>
        <v>0.99314719941174</v>
      </c>
      <c r="AU876" s="153" t="n">
        <f aca="false">IFERROR(IF($N876="VCA",INDEX(APOIO_REDES!$A:$W,MATCH($C876&amp;$I876&amp;$H876&amp;$N876&amp;$O876,APOIO_REDES!$W:$W,0),MATCH(AU$5,APOIO_REDES!$5:$5,0)),0)*$AP876,0)</f>
        <v>0.793100455612858</v>
      </c>
      <c r="AV876" s="153" t="n">
        <f aca="false">IFERROR(IF($N876="VCA",INDEX(APOIO_REDES!$A:$W,MATCH($C876&amp;$I876&amp;$H876&amp;$N876&amp;$O876,APOIO_REDES!$W:$W,0),MATCH(AV$5,APOIO_REDES!$5:$5,0)),0)*$AP876,0)</f>
        <v>0.10975887697413</v>
      </c>
      <c r="AW876" s="153" t="n">
        <f aca="false">IFERROR(IF($N876="VCA",INDEX(APOIO_REDES!$A:$W,MATCH($C876&amp;$I876&amp;$H876&amp;$N876&amp;$O876,APOIO_REDES!$W:$W,0),MATCH(AW$5,APOIO_REDES!$5:$5,0)),0)*$AP876,0)</f>
        <v>62.654906989925</v>
      </c>
      <c r="AX876" s="153" t="n">
        <f aca="false">IFERROR(IF($N876="VCA",INDEX(APOIO_REDES!$A:$W,MATCH($C876&amp;$I876&amp;$H876&amp;$N876&amp;$O876,APOIO_REDES!$W:$W,0),MATCH(AX$5,APOIO_REDES!$5:$5,0)),0)*$AP876,0)</f>
        <v>8.6712606515247</v>
      </c>
      <c r="AY876" s="153" t="n">
        <f aca="false">IFERROR(IF($N876="VCA",INDEX(APOIO_REDES!$A:$W,MATCH($C876&amp;$I876&amp;$H876&amp;$N876&amp;$O876,APOIO_REDES!$W:$W,0),MATCH(AY$5,APOIO_REDES!$5:$5,0)),0)*$AP876,0)</f>
        <v>15.8619994444269</v>
      </c>
      <c r="AZ876" s="153" t="n">
        <f aca="false">IFERROR(IF($N876="VCA",INDEX(APOIO_REDES!$A:$W,MATCH($C876&amp;$I876&amp;$H876&amp;$N876&amp;$O876,APOIO_REDES!$W:$W,0),MATCH(AZ$5,APOIO_REDES!$5:$5,0)),0)*$AP876,0)</f>
        <v>2.19525488212471</v>
      </c>
      <c r="BA876" s="153" t="n">
        <f aca="false">IFERROR(IF(AND($N876="VCA",$Q876="LINEAR"),INDEX(APOIO_REDES!$A:$W,MATCH($C876&amp;$I876&amp;$H876&amp;$N876&amp;$O876,APOIO_REDES!$W:$W,0),MATCH(BA$5,APOIO_REDES!$5:$5,0)),IF(AND($N876="MND",$Q876="EMBOQUE"),INDEX(APOIO_REDES!$A:$W,MATCH($C876&amp;$I876&amp;$H876&amp;$N876&amp;$O876,APOIO_REDES!$W:$W,0),MATCH(BA$5,APOIO_REDES!$5:$5,0)),0))*$M876/10,0)</f>
        <v>8.30395811504476</v>
      </c>
      <c r="BB876" s="153" t="n">
        <f aca="false">IFERROR(IF($N876="VCA",INDEX(APOIO_REDES!$A:$W,MATCH($C876&amp;$I876&amp;$H876&amp;$N876&amp;$O876,APOIO_REDES!$W:$W,0),MATCH(BB$5,APOIO_REDES!$5:$5,0)),0)*($AI876+$AQ876+$AR876),0)</f>
        <v>30.6695144843524</v>
      </c>
      <c r="BC876" s="153" t="n">
        <f aca="false">IFERROR(IF($N876="VCA",INDEX(APOIO_REDES!$A:$W,MATCH($C876&amp;$I876&amp;$H876&amp;$N876&amp;$O876,APOIO_REDES!$W:$W,0),MATCH(BC$5,APOIO_REDES!$5:$5,0)),0)*($AI876+$AQ876+$AR876),0)</f>
        <v>0.337364015647568</v>
      </c>
      <c r="BD876" s="153" t="n">
        <f aca="false">IF(AND($N876="VCA",$AF876&gt;=1.25,$AF876&lt;1.5),$M876*$AF876*2,0)</f>
        <v>280.85978</v>
      </c>
      <c r="BE876" s="153" t="n">
        <f aca="false">IF(AND($N876="VCA",$AF876&gt;=1.5,$AF876&lt;3),$M876*$AF876*2,0)</f>
        <v>0</v>
      </c>
      <c r="BF876" s="153" t="n">
        <f aca="false">IF(AND($N876="VCA",$AF876&gt;=3),$M876*$AF876*2,0)</f>
        <v>0</v>
      </c>
      <c r="BG876" s="153" t="n">
        <f aca="false">($BB876+$BC876)*$AK876</f>
        <v>130.2288897</v>
      </c>
      <c r="BH876" s="153" t="n">
        <f aca="false">IF(AND($M876&lt;&gt;"",$N876="VCA",$Q876="LINEAR"),($M876*2)/100,IF(AND($M876&lt;&gt;"",$N876="MND",$Q876="EMBOQUE"),($AN876*2)/100,0))</f>
        <v>2.0606</v>
      </c>
      <c r="BI876" s="153" t="n">
        <f aca="false">IF(AND($M876&lt;&gt;"",$N876="VCA",$Q876="LINEAR"),$M876,IF(AND($M876&lt;&gt;"",$N876="MND",$Q876="EMBOQUE"),$AN876*2,0))</f>
        <v>103.03</v>
      </c>
      <c r="BJ876" s="153" t="n">
        <f aca="false">IF(AND($M876&lt;&gt;"",$N876="VCA",$Q876="LINEAR"),($M876*6.8)/100,IF(AND($M876&lt;&gt;"",$N876="MND",$Q876="EMBOQUE"),($AN876*2*6.8)/100,0))</f>
        <v>7.00604</v>
      </c>
      <c r="BK876" s="153" t="n">
        <f aca="false">IF(AND($M876&lt;&gt;"",$N876="VCA",$Q876="LINEAR"),($M876*2.5)/50,IF(AND($M876&lt;&gt;"",$N876="MND",$Q876="EMBOQUE"),($AN876*2*2.5)/50,0))</f>
        <v>5.1515</v>
      </c>
      <c r="BL876" s="157" t="str">
        <f aca="false">K876&amp;J876</f>
        <v>Zona08REDES</v>
      </c>
      <c r="BM876" s="152" t="s">
        <v>4834</v>
      </c>
      <c r="BN876" s="152" t="s">
        <v>1560</v>
      </c>
      <c r="BO876" s="152" t="s">
        <v>2489</v>
      </c>
      <c r="BP876" s="152" t="s">
        <v>4871</v>
      </c>
      <c r="BQ876" s="152" t="s">
        <v>4847</v>
      </c>
      <c r="BR876" s="152" t="s">
        <v>4872</v>
      </c>
      <c r="BS876" s="152" t="n">
        <v>202809.858</v>
      </c>
      <c r="BT876" s="152" t="n">
        <v>8237288.438</v>
      </c>
      <c r="BU876" s="152" t="n">
        <v>202742.86</v>
      </c>
      <c r="BV876" s="152" t="n">
        <v>8237360.797</v>
      </c>
      <c r="BW876" s="152" t="n">
        <v>-15.9255377</v>
      </c>
      <c r="BX876" s="152" t="n">
        <v>-47.776058</v>
      </c>
      <c r="BY876" s="152" t="s">
        <v>4871</v>
      </c>
    </row>
    <row r="877" customFormat="false" ht="13.8" hidden="false" customHeight="false" outlineLevel="0" collapsed="false">
      <c r="A877" s="149" t="n">
        <f aca="false">IF(C877&lt;&gt;"",ROW(A872),"")</f>
        <v>872</v>
      </c>
      <c r="B877" s="150" t="str">
        <f aca="false">HYPERLINK("https://www.google.com/maps/dir/-15.917302,-47.760003/-15.9255299,-47.7766991/data=!4m3!4m2!3e0!5i2")</f>
        <v>https://www.google.com/maps/dir/-15.917302,-47.760003/-15.9255299,-47.7766991/data=!4m3!4m2!3e0!5i2</v>
      </c>
      <c r="C877" s="151" t="s">
        <v>117</v>
      </c>
      <c r="D877" s="152" t="s">
        <v>112</v>
      </c>
      <c r="E877" s="152" t="s">
        <v>113</v>
      </c>
      <c r="F877" s="152" t="s">
        <v>117</v>
      </c>
      <c r="G877" s="152" t="s">
        <v>782</v>
      </c>
      <c r="H877" s="152" t="n">
        <v>63</v>
      </c>
      <c r="I877" s="152" t="s">
        <v>115</v>
      </c>
      <c r="J877" s="152" t="s">
        <v>6</v>
      </c>
      <c r="K877" s="152" t="s">
        <v>4831</v>
      </c>
      <c r="L877" s="152" t="s">
        <v>120</v>
      </c>
      <c r="M877" s="153" t="n">
        <f aca="false">69.09+4</f>
        <v>73.09</v>
      </c>
      <c r="N877" s="152" t="s">
        <v>1548</v>
      </c>
      <c r="O877" s="152" t="s">
        <v>1549</v>
      </c>
      <c r="P877" s="152" t="s">
        <v>1550</v>
      </c>
      <c r="Q877" s="152" t="s">
        <v>1551</v>
      </c>
      <c r="R877" s="154" t="s">
        <v>4873</v>
      </c>
      <c r="S877" s="154" t="s">
        <v>1553</v>
      </c>
      <c r="T877" s="155" t="s">
        <v>2487</v>
      </c>
      <c r="U877" s="152" t="str">
        <f aca="false">RIGHT(T877,7)</f>
        <v>011/037</v>
      </c>
      <c r="V877" s="152" t="s">
        <v>1555</v>
      </c>
      <c r="W877" s="156" t="n">
        <v>45882</v>
      </c>
      <c r="X877" s="152" t="s">
        <v>1594</v>
      </c>
      <c r="Y877" s="152" t="s">
        <v>3516</v>
      </c>
      <c r="Z877" s="152" t="s">
        <v>1557</v>
      </c>
      <c r="AA877" s="153" t="n">
        <v>4.1</v>
      </c>
      <c r="AB877" s="151" t="s">
        <v>4874</v>
      </c>
      <c r="AC877" s="151" t="s">
        <v>186</v>
      </c>
      <c r="AD877" s="151" t="str">
        <f aca="false">CONCATENATE($C877,$I877,$H877,$N877,$J877,$K877)</f>
        <v>TUBO PEADPEAD63VCAREDESZona08</v>
      </c>
      <c r="AE877" s="153" t="n">
        <f aca="false">IFERROR(INDEX(APOIO_REDES!$A:$W,MATCH($C877&amp;$I877&amp;$H877&amp;$N877&amp;$O877,APOIO_REDES!$W:$W,0),MATCH(AE$5,APOIO_REDES!$5:$5,0)),0)</f>
        <v>1.2</v>
      </c>
      <c r="AF877" s="153" t="n">
        <f aca="false">IFERROR(INDEX(APOIO_REDES!$A:$W,MATCH($C877&amp;$I877&amp;$H877&amp;$N877&amp;$O877,APOIO_REDES!$W:$W,0),MATCH(AF$5,APOIO_REDES!$5:$5,0)),0)</f>
        <v>1.363</v>
      </c>
      <c r="AG877" s="153" t="n">
        <f aca="false">IFERROR(INDEX(APOIO_REDES!$A:$W,MATCH($C877&amp;$I877&amp;$H877&amp;$N877&amp;$O877,APOIO_REDES!$W:$W,0),MATCH(AG$5,APOIO_REDES!$5:$5,0)),0)</f>
        <v>0.65</v>
      </c>
      <c r="AH877" s="153" t="n">
        <f aca="false">IFERROR(INDEX(APOIO_REDES!$A:$W,MATCH($C877&amp;$I877&amp;$H877&amp;$N877&amp;$O877,APOIO_REDES!$W:$W,0),MATCH(AH$5,APOIO_REDES!$5:$5,0)),0)</f>
        <v>0.1</v>
      </c>
      <c r="AI877" s="153" t="n">
        <f aca="false">IFERROR(IF($H877&lt;&gt;"",(((($H877/1000)/2)^2)*PI()*$M877),0),0)</f>
        <v>0.227839459746234</v>
      </c>
      <c r="AJ877" s="153" t="n">
        <f aca="false">IFERROR(IF(AND($H877&lt;&gt;"",$I877="FoFo",OR($N877="MND",$N877="VCA"),$Q877="LINEAR"),0,IF(AND($H877&lt;&gt;"",$I877="PEAD",$N877="VCA",$Q877="LINEAR"),($H877/1000)+0.3,IF(AND($H877&lt;&gt;"",$I877="PEAD",$N877="MND",$Q877="EMBOQUE"),0,IF(AND($H877&lt;&gt;"",$I877="PVC",$N877="VCA",$Q877="LINEAR"),($H877/1000)+0.2,IF(AND($H877&lt;&gt;"",$I877="PVC",$N877="MND",$Q877="EMBOQUE"),0,IF(AND($H877&lt;&gt;"",$I877="PEAD",$N877="VCA",$Q877="PREDIAL"),0,0)))))),0)</f>
        <v>0.363</v>
      </c>
      <c r="AK877" s="153" t="n">
        <f aca="false">IF(AA877&lt;&gt;"",AA877,0)</f>
        <v>4.1</v>
      </c>
      <c r="AL877" s="153" t="n">
        <f aca="false">IF(AND($N877="MND",$Q877="EMBOQUE"),$M877,IF(AND($N877="VCA",$Q877="LINEAR"),$M877,IF(AND($N877="VCA",$Q877="PREDIAL"),0,0)))</f>
        <v>73.09</v>
      </c>
      <c r="AM877" s="153" t="n">
        <f aca="false">IF(AND($N877="MND",$Q877="EMBOQUE"),$M877,IF(AND($N877="VCA",$Q877="LINEAR"),$M877,IF(AND($N877="VCA",$Q877="PREDIAL"),0,0)))</f>
        <v>73.09</v>
      </c>
      <c r="AN877" s="153" t="n">
        <f aca="false">ROUND(IF(AND($N877="VCA",$M877&lt;&gt;"",$Q877="LINEAR"),$M877/100,IF(AND($N877="MND",$M877&gt;100,$Q877="EMBOQUE"),$M877/100,0)),0)</f>
        <v>1</v>
      </c>
      <c r="AO877" s="153" t="n">
        <f aca="false">IF(AND($N877="MND",$Q877="EMBOQUE"),$AN877*2*2,IF(AND($N877="VCA",$Q877="LINEAR"),$M877*2,IF(AND($N877="VCA",$Q877="PREDIAL"),0,0)))</f>
        <v>146.18</v>
      </c>
      <c r="AP877" s="153" t="n">
        <f aca="false">IFERROR($M877*$AF877*$AG877,0)</f>
        <v>64.7540855</v>
      </c>
      <c r="AQ877" s="153" t="n">
        <f aca="false">IFERROR(IF(AND($N877="VCA",$AH877&gt;0),$M877*$AG877*$AH877,0),0)</f>
        <v>4.75085</v>
      </c>
      <c r="AR877" s="153" t="n">
        <f aca="false">IFERROR(IF(AND($N877="VCA",$AJ877&gt;0),($M877*$AG877*$AJ877)-$AI877,0),0)</f>
        <v>17.0177460402538</v>
      </c>
      <c r="AS877" s="153" t="n">
        <f aca="false">IFERROR(IF(AND($N877="VCA",$AP877&gt;0),$AP877-$AI877-$AQ877-$AR877,0),0)</f>
        <v>42.75765</v>
      </c>
      <c r="AT877" s="153" t="n">
        <f aca="false">IFERROR(IF($N877="VCA",INDEX(APOIO_REDES!$A:$W,MATCH($C877&amp;$I877&amp;$H877&amp;$N877&amp;$O877,APOIO_REDES!$W:$W,0),MATCH(AT$5,APOIO_REDES!$5:$5,0)),0)*$AP877,0)</f>
        <v>0.70454361647097</v>
      </c>
      <c r="AU877" s="153" t="n">
        <f aca="false">IFERROR(IF($N877="VCA",INDEX(APOIO_REDES!$A:$W,MATCH($C877&amp;$I877&amp;$H877&amp;$N877&amp;$O877,APOIO_REDES!$W:$W,0),MATCH(AU$5,APOIO_REDES!$5:$5,0)),0)*$AP877,0)</f>
        <v>0.562629450652662</v>
      </c>
      <c r="AV877" s="153" t="n">
        <f aca="false">IFERROR(IF($N877="VCA",INDEX(APOIO_REDES!$A:$W,MATCH($C877&amp;$I877&amp;$H877&amp;$N877&amp;$O877,APOIO_REDES!$W:$W,0),MATCH(AV$5,APOIO_REDES!$5:$5,0)),0)*$AP877,0)</f>
        <v>0.077863499155966</v>
      </c>
      <c r="AW877" s="153" t="n">
        <f aca="false">IFERROR(IF($N877="VCA",INDEX(APOIO_REDES!$A:$W,MATCH($C877&amp;$I877&amp;$H877&amp;$N877&amp;$O877,APOIO_REDES!$W:$W,0),MATCH(AW$5,APOIO_REDES!$5:$5,0)),0)*$AP877,0)</f>
        <v>44.4477060263381</v>
      </c>
      <c r="AX877" s="153" t="n">
        <f aca="false">IFERROR(IF($N877="VCA",INDEX(APOIO_REDES!$A:$W,MATCH($C877&amp;$I877&amp;$H877&amp;$N877&amp;$O877,APOIO_REDES!$W:$W,0),MATCH(AX$5,APOIO_REDES!$5:$5,0)),0)*$AP877,0)</f>
        <v>6.15143590235796</v>
      </c>
      <c r="AY877" s="153" t="n">
        <f aca="false">IFERROR(IF($N877="VCA",INDEX(APOIO_REDES!$A:$W,MATCH($C877&amp;$I877&amp;$H877&amp;$N877&amp;$O877,APOIO_REDES!$W:$W,0),MATCH(AY$5,APOIO_REDES!$5:$5,0)),0)*$AP877,0)</f>
        <v>11.2525821546458</v>
      </c>
      <c r="AZ877" s="153" t="n">
        <f aca="false">IFERROR(IF($N877="VCA",INDEX(APOIO_REDES!$A:$W,MATCH($C877&amp;$I877&amp;$H877&amp;$N877&amp;$O877,APOIO_REDES!$W:$W,0),MATCH(AZ$5,APOIO_REDES!$5:$5,0)),0)*$AP877,0)</f>
        <v>1.55732485037848</v>
      </c>
      <c r="BA877" s="153" t="n">
        <f aca="false">IFERROR(IF(AND($N877="VCA",$Q877="LINEAR"),INDEX(APOIO_REDES!$A:$W,MATCH($C877&amp;$I877&amp;$H877&amp;$N877&amp;$O877,APOIO_REDES!$W:$W,0),MATCH(BA$5,APOIO_REDES!$5:$5,0)),IF(AND($N877="MND",$Q877="EMBOQUE"),INDEX(APOIO_REDES!$A:$W,MATCH($C877&amp;$I877&amp;$H877&amp;$N877&amp;$O877,APOIO_REDES!$W:$W,0),MATCH(BA$5,APOIO_REDES!$5:$5,0)),0))*$M877/10,0)</f>
        <v>5.89086963630614</v>
      </c>
      <c r="BB877" s="153" t="n">
        <f aca="false">IFERROR(IF($N877="VCA",INDEX(APOIO_REDES!$A:$W,MATCH($C877&amp;$I877&amp;$H877&amp;$N877&amp;$O877,APOIO_REDES!$W:$W,0),MATCH(BB$5,APOIO_REDES!$5:$5,0)),0)*($AI877+$AQ877+$AR877),0)</f>
        <v>21.7571077711474</v>
      </c>
      <c r="BC877" s="153" t="n">
        <f aca="false">IFERROR(IF($N877="VCA",INDEX(APOIO_REDES!$A:$W,MATCH($C877&amp;$I877&amp;$H877&amp;$N877&amp;$O877,APOIO_REDES!$W:$W,0),MATCH(BC$5,APOIO_REDES!$5:$5,0)),0)*($AI877+$AQ877+$AR877),0)</f>
        <v>0.239327728852575</v>
      </c>
      <c r="BD877" s="153" t="n">
        <f aca="false">IF(AND($N877="VCA",$AF877&gt;=1.25,$AF877&lt;1.5),$M877*$AF877*2,0)</f>
        <v>199.24334</v>
      </c>
      <c r="BE877" s="153" t="n">
        <f aca="false">IF(AND($N877="VCA",$AF877&gt;=1.5,$AF877&lt;3),$M877*$AF877*2,0)</f>
        <v>0</v>
      </c>
      <c r="BF877" s="153" t="n">
        <f aca="false">IF(AND($N877="VCA",$AF877&gt;=3),$M877*$AF877*2,0)</f>
        <v>0</v>
      </c>
      <c r="BG877" s="153" t="n">
        <f aca="false">($BB877+$BC877)*$AK877</f>
        <v>90.18538555</v>
      </c>
      <c r="BH877" s="153" t="n">
        <f aca="false">IF(AND($M877&lt;&gt;"",$N877="VCA",$Q877="LINEAR"),($M877*2)/100,IF(AND($M877&lt;&gt;"",$N877="MND",$Q877="EMBOQUE"),($AN877*2)/100,0))</f>
        <v>1.4618</v>
      </c>
      <c r="BI877" s="153" t="n">
        <f aca="false">IF(AND($M877&lt;&gt;"",$N877="VCA",$Q877="LINEAR"),$M877,IF(AND($M877&lt;&gt;"",$N877="MND",$Q877="EMBOQUE"),$AN877*2,0))</f>
        <v>73.09</v>
      </c>
      <c r="BJ877" s="153" t="n">
        <f aca="false">IF(AND($M877&lt;&gt;"",$N877="VCA",$Q877="LINEAR"),($M877*6.8)/100,IF(AND($M877&lt;&gt;"",$N877="MND",$Q877="EMBOQUE"),($AN877*2*6.8)/100,0))</f>
        <v>4.97012</v>
      </c>
      <c r="BK877" s="153" t="n">
        <f aca="false">IF(AND($M877&lt;&gt;"",$N877="VCA",$Q877="LINEAR"),($M877*2.5)/50,IF(AND($M877&lt;&gt;"",$N877="MND",$Q877="EMBOQUE"),($AN877*2*2.5)/50,0))</f>
        <v>3.6545</v>
      </c>
      <c r="BL877" s="157" t="str">
        <f aca="false">K877&amp;J877</f>
        <v>Zona08REDES</v>
      </c>
      <c r="BM877" s="152" t="s">
        <v>4834</v>
      </c>
      <c r="BN877" s="152" t="s">
        <v>1560</v>
      </c>
      <c r="BO877" s="152" t="s">
        <v>2489</v>
      </c>
      <c r="BP877" s="152" t="s">
        <v>4867</v>
      </c>
      <c r="BQ877" s="152" t="s">
        <v>4875</v>
      </c>
      <c r="BR877" s="152" t="s">
        <v>4876</v>
      </c>
      <c r="BS877" s="152" t="n">
        <v>202707.285</v>
      </c>
      <c r="BT877" s="152" t="n">
        <v>8237324.318</v>
      </c>
      <c r="BU877" s="152" t="n">
        <v>202758.575</v>
      </c>
      <c r="BV877" s="152" t="n">
        <v>8237279.346</v>
      </c>
      <c r="BW877" s="152" t="n">
        <v>-15.9257202</v>
      </c>
      <c r="BX877" s="152" t="n">
        <v>-47.7764525</v>
      </c>
      <c r="BY877" s="152" t="s">
        <v>4867</v>
      </c>
    </row>
    <row r="878" customFormat="false" ht="13.8" hidden="false" customHeight="false" outlineLevel="0" collapsed="false">
      <c r="A878" s="149" t="n">
        <f aca="false">IF(C878&lt;&gt;"",ROW(A873),"")</f>
        <v>873</v>
      </c>
      <c r="B878" s="150" t="str">
        <f aca="false">HYPERLINK("https://www.google.com/maps/dir/-15.917302,-47.760003/-15.9259974,-47.7743292/data=!4m3!4m2!3e0!5i2")</f>
        <v>https://www.google.com/maps/dir/-15.917302,-47.760003/-15.9259974,-47.7743292/data=!4m3!4m2!3e0!5i2</v>
      </c>
      <c r="C878" s="151" t="s">
        <v>117</v>
      </c>
      <c r="D878" s="152" t="s">
        <v>112</v>
      </c>
      <c r="E878" s="152" t="s">
        <v>113</v>
      </c>
      <c r="F878" s="152" t="s">
        <v>117</v>
      </c>
      <c r="G878" s="152" t="s">
        <v>114</v>
      </c>
      <c r="H878" s="152" t="n">
        <v>160</v>
      </c>
      <c r="I878" s="152" t="s">
        <v>115</v>
      </c>
      <c r="J878" s="152" t="s">
        <v>6</v>
      </c>
      <c r="K878" s="152" t="s">
        <v>4831</v>
      </c>
      <c r="L878" s="152" t="s">
        <v>120</v>
      </c>
      <c r="M878" s="153" t="n">
        <f aca="false">38.54</f>
        <v>38.54</v>
      </c>
      <c r="N878" s="152" t="s">
        <v>1548</v>
      </c>
      <c r="O878" s="152" t="s">
        <v>1549</v>
      </c>
      <c r="P878" s="152" t="s">
        <v>1550</v>
      </c>
      <c r="Q878" s="152" t="s">
        <v>1551</v>
      </c>
      <c r="R878" s="154" t="s">
        <v>4877</v>
      </c>
      <c r="S878" s="154" t="s">
        <v>1593</v>
      </c>
      <c r="T878" s="155" t="s">
        <v>2487</v>
      </c>
      <c r="U878" s="152" t="str">
        <f aca="false">RIGHT(T878,7)</f>
        <v>011/037</v>
      </c>
      <c r="V878" s="152" t="s">
        <v>1555</v>
      </c>
      <c r="W878" s="156" t="n">
        <v>45882</v>
      </c>
      <c r="X878" s="152" t="s">
        <v>1594</v>
      </c>
      <c r="Y878" s="152" t="s">
        <v>4828</v>
      </c>
      <c r="Z878" s="152" t="s">
        <v>1557</v>
      </c>
      <c r="AA878" s="153" t="n">
        <v>3.6</v>
      </c>
      <c r="AB878" s="151" t="s">
        <v>4878</v>
      </c>
      <c r="AC878" s="151" t="s">
        <v>505</v>
      </c>
      <c r="AD878" s="151" t="str">
        <f aca="false">CONCATENATE($C878,$I878,$H878,$N878,$J878,$K878)</f>
        <v>TUBO PEADPEAD160VCAREDESZona08</v>
      </c>
      <c r="AE878" s="153" t="n">
        <f aca="false">IFERROR(INDEX(APOIO_REDES!$A:$W,MATCH($C878&amp;$I878&amp;$H878&amp;$N878&amp;$O878,APOIO_REDES!$W:$W,0),MATCH(AE$5,APOIO_REDES!$5:$5,0)),0)</f>
        <v>1.2</v>
      </c>
      <c r="AF878" s="153" t="n">
        <f aca="false">IFERROR(INDEX(APOIO_REDES!$A:$W,MATCH($C878&amp;$I878&amp;$H878&amp;$N878&amp;$O878,APOIO_REDES!$W:$W,0),MATCH(AF$5,APOIO_REDES!$5:$5,0)),0)</f>
        <v>1.46</v>
      </c>
      <c r="AG878" s="153" t="n">
        <f aca="false">IFERROR(INDEX(APOIO_REDES!$A:$W,MATCH($C878&amp;$I878&amp;$H878&amp;$N878&amp;$O878,APOIO_REDES!$W:$W,0),MATCH(AG$5,APOIO_REDES!$5:$5,0)),0)</f>
        <v>0.75</v>
      </c>
      <c r="AH878" s="153" t="n">
        <f aca="false">IFERROR(INDEX(APOIO_REDES!$A:$W,MATCH($C878&amp;$I878&amp;$H878&amp;$N878&amp;$O878,APOIO_REDES!$W:$W,0),MATCH(AH$5,APOIO_REDES!$5:$5,0)),0)</f>
        <v>0.1</v>
      </c>
      <c r="AI878" s="153" t="n">
        <f aca="false">IFERROR(IF($H878&lt;&gt;"",(((($H878/1000)/2)^2)*PI()*$M878),0),0)</f>
        <v>0.774892677563844</v>
      </c>
      <c r="AJ878" s="153" t="n">
        <f aca="false">IFERROR(IF(AND($H878&lt;&gt;"",$I878="FoFo",OR($N878="MND",$N878="VCA"),$Q878="LINEAR"),0,IF(AND($H878&lt;&gt;"",$I878="PEAD",$N878="VCA",$Q878="LINEAR"),($H878/1000)+0.3,IF(AND($H878&lt;&gt;"",$I878="PEAD",$N878="MND",$Q878="EMBOQUE"),0,IF(AND($H878&lt;&gt;"",$I878="PVC",$N878="VCA",$Q878="LINEAR"),($H878/1000)+0.2,IF(AND($H878&lt;&gt;"",$I878="PVC",$N878="MND",$Q878="EMBOQUE"),0,IF(AND($H878&lt;&gt;"",$I878="PEAD",$N878="VCA",$Q878="PREDIAL"),0,0)))))),0)</f>
        <v>0.46</v>
      </c>
      <c r="AK878" s="153" t="n">
        <f aca="false">IF(AA878&lt;&gt;"",AA878,0)</f>
        <v>3.6</v>
      </c>
      <c r="AL878" s="153" t="n">
        <f aca="false">IF(AND($N878="MND",$Q878="EMBOQUE"),$M878,IF(AND($N878="VCA",$Q878="LINEAR"),$M878,IF(AND($N878="VCA",$Q878="PREDIAL"),0,0)))</f>
        <v>38.54</v>
      </c>
      <c r="AM878" s="153" t="n">
        <f aca="false">IF(AND($N878="MND",$Q878="EMBOQUE"),$M878,IF(AND($N878="VCA",$Q878="LINEAR"),$M878,IF(AND($N878="VCA",$Q878="PREDIAL"),0,0)))</f>
        <v>38.54</v>
      </c>
      <c r="AN878" s="153" t="n">
        <f aca="false">ROUND(IF(AND($N878="VCA",$M878&lt;&gt;"",$Q878="LINEAR"),$M878/100,IF(AND($N878="MND",$M878&gt;100,$Q878="EMBOQUE"),$M878/100,0)),0)</f>
        <v>0</v>
      </c>
      <c r="AO878" s="153" t="n">
        <f aca="false">IF(AND($N878="MND",$Q878="EMBOQUE"),$AN878*2*2,IF(AND($N878="VCA",$Q878="LINEAR"),$M878*2,IF(AND($N878="VCA",$Q878="PREDIAL"),0,0)))</f>
        <v>77.08</v>
      </c>
      <c r="AP878" s="153" t="n">
        <f aca="false">IFERROR($M878*$AF878*$AG878,0)</f>
        <v>42.2013</v>
      </c>
      <c r="AQ878" s="153" t="n">
        <f aca="false">IFERROR(IF(AND($N878="VCA",$AH878&gt;0),$M878*$AG878*$AH878,0),0)</f>
        <v>2.8905</v>
      </c>
      <c r="AR878" s="153" t="n">
        <f aca="false">IFERROR(IF(AND($N878="VCA",$AJ878&gt;0),($M878*$AG878*$AJ878)-$AI878,0),0)</f>
        <v>12.5214073224362</v>
      </c>
      <c r="AS878" s="153" t="n">
        <f aca="false">IFERROR(IF(AND($N878="VCA",$AP878&gt;0),$AP878-$AI878-$AQ878-$AR878,0),0)</f>
        <v>26.0145</v>
      </c>
      <c r="AT878" s="153" t="n">
        <f aca="false">IFERROR(IF($N878="VCA",INDEX(APOIO_REDES!$A:$W,MATCH($C878&amp;$I878&amp;$H878&amp;$N878&amp;$O878,APOIO_REDES!$W:$W,0),MATCH(AT$5,APOIO_REDES!$5:$5,0)),0)*$AP878,0)</f>
        <v>0.459162634947201</v>
      </c>
      <c r="AU878" s="153" t="n">
        <f aca="false">IFERROR(IF($N878="VCA",INDEX(APOIO_REDES!$A:$W,MATCH($C878&amp;$I878&amp;$H878&amp;$N878&amp;$O878,APOIO_REDES!$W:$W,0),MATCH(AU$5,APOIO_REDES!$5:$5,0)),0)*$AP878,0)</f>
        <v>0.366674844567579</v>
      </c>
      <c r="AV878" s="153" t="n">
        <f aca="false">IFERROR(IF($N878="VCA",INDEX(APOIO_REDES!$A:$W,MATCH($C878&amp;$I878&amp;$H878&amp;$N878&amp;$O878,APOIO_REDES!$W:$W,0),MATCH(AV$5,APOIO_REDES!$5:$5,0)),0)*$AP878,0)</f>
        <v>0.0507449199777622</v>
      </c>
      <c r="AW878" s="153" t="n">
        <f aca="false">IFERROR(IF($N878="VCA",INDEX(APOIO_REDES!$A:$W,MATCH($C878&amp;$I878&amp;$H878&amp;$N878&amp;$O878,APOIO_REDES!$W:$W,0),MATCH(AW$5,APOIO_REDES!$5:$5,0)),0)*$AP878,0)</f>
        <v>28.9672993116288</v>
      </c>
      <c r="AX878" s="153" t="n">
        <f aca="false">IFERROR(IF($N878="VCA",INDEX(APOIO_REDES!$A:$W,MATCH($C878&amp;$I878&amp;$H878&amp;$N878&amp;$O878,APOIO_REDES!$W:$W,0),MATCH(AX$5,APOIO_REDES!$5:$5,0)),0)*$AP878,0)</f>
        <v>4.00899170981542</v>
      </c>
      <c r="AY878" s="153" t="n">
        <f aca="false">IFERROR(IF($N878="VCA",INDEX(APOIO_REDES!$A:$W,MATCH($C878&amp;$I878&amp;$H878&amp;$N878&amp;$O878,APOIO_REDES!$W:$W,0),MATCH(AY$5,APOIO_REDES!$5:$5,0)),0)*$AP878,0)</f>
        <v>7.33349242161494</v>
      </c>
      <c r="AZ878" s="153" t="n">
        <f aca="false">IFERROR(IF($N878="VCA",INDEX(APOIO_REDES!$A:$W,MATCH($C878&amp;$I878&amp;$H878&amp;$N878&amp;$O878,APOIO_REDES!$W:$W,0),MATCH(AZ$5,APOIO_REDES!$5:$5,0)),0)*$AP878,0)</f>
        <v>1.0149341574483</v>
      </c>
      <c r="BA878" s="153" t="n">
        <f aca="false">IFERROR(IF(AND($N878="VCA",$Q878="LINEAR"),INDEX(APOIO_REDES!$A:$W,MATCH($C878&amp;$I878&amp;$H878&amp;$N878&amp;$O878,APOIO_REDES!$W:$W,0),MATCH(BA$5,APOIO_REDES!$5:$5,0)),IF(AND($N878="MND",$Q878="EMBOQUE"),INDEX(APOIO_REDES!$A:$W,MATCH($C878&amp;$I878&amp;$H878&amp;$N878&amp;$O878,APOIO_REDES!$W:$W,0),MATCH(BA$5,APOIO_REDES!$5:$5,0)),0))*$M878/10,0)</f>
        <v>3.10622678592473</v>
      </c>
      <c r="BB878" s="153" t="n">
        <f aca="false">IFERROR(IF($N878="VCA",INDEX(APOIO_REDES!$A:$W,MATCH($C878&amp;$I878&amp;$H878&amp;$N878&amp;$O878,APOIO_REDES!$W:$W,0),MATCH(BB$5,APOIO_REDES!$5:$5,0)),0)*($AI878+$AQ878+$AR878),0)</f>
        <v>16.0106828249518</v>
      </c>
      <c r="BC878" s="153" t="n">
        <f aca="false">IFERROR(IF($N878="VCA",INDEX(APOIO_REDES!$A:$W,MATCH($C878&amp;$I878&amp;$H878&amp;$N878&amp;$O878,APOIO_REDES!$W:$W,0),MATCH(BC$5,APOIO_REDES!$5:$5,0)),0)*($AI878+$AQ878+$AR878),0)</f>
        <v>0.176117175048241</v>
      </c>
      <c r="BD878" s="153" t="n">
        <f aca="false">IF(AND($N878="VCA",$AF878&gt;=1.25,$AF878&lt;1.5),$M878*$AF878*2,0)</f>
        <v>112.5368</v>
      </c>
      <c r="BE878" s="153" t="n">
        <f aca="false">IF(AND($N878="VCA",$AF878&gt;=1.5,$AF878&lt;3),$M878*$AF878*2,0)</f>
        <v>0</v>
      </c>
      <c r="BF878" s="153" t="n">
        <f aca="false">IF(AND($N878="VCA",$AF878&gt;=3),$M878*$AF878*2,0)</f>
        <v>0</v>
      </c>
      <c r="BG878" s="153" t="n">
        <f aca="false">($BB878+$BC878)*$AK878</f>
        <v>58.27248</v>
      </c>
      <c r="BH878" s="153" t="n">
        <f aca="false">IF(AND($M878&lt;&gt;"",$N878="VCA",$Q878="LINEAR"),($M878*2)/100,IF(AND($M878&lt;&gt;"",$N878="MND",$Q878="EMBOQUE"),($AN878*2)/100,0))</f>
        <v>0.7708</v>
      </c>
      <c r="BI878" s="153" t="n">
        <f aca="false">IF(AND($M878&lt;&gt;"",$N878="VCA",$Q878="LINEAR"),$M878,IF(AND($M878&lt;&gt;"",$N878="MND",$Q878="EMBOQUE"),$AN878*2,0))</f>
        <v>38.54</v>
      </c>
      <c r="BJ878" s="153" t="n">
        <f aca="false">IF(AND($M878&lt;&gt;"",$N878="VCA",$Q878="LINEAR"),($M878*6.8)/100,IF(AND($M878&lt;&gt;"",$N878="MND",$Q878="EMBOQUE"),($AN878*2*6.8)/100,0))</f>
        <v>2.62072</v>
      </c>
      <c r="BK878" s="153" t="n">
        <f aca="false">IF(AND($M878&lt;&gt;"",$N878="VCA",$Q878="LINEAR"),($M878*2.5)/50,IF(AND($M878&lt;&gt;"",$N878="MND",$Q878="EMBOQUE"),($AN878*2*2.5)/50,0))</f>
        <v>1.927</v>
      </c>
      <c r="BL878" s="157" t="str">
        <f aca="false">K878&amp;J878</f>
        <v>Zona08REDES</v>
      </c>
      <c r="BM878" s="152" t="s">
        <v>4834</v>
      </c>
      <c r="BN878" s="152" t="s">
        <v>1560</v>
      </c>
      <c r="BO878" s="152" t="s">
        <v>2489</v>
      </c>
      <c r="BP878" s="152" t="s">
        <v>4879</v>
      </c>
      <c r="BQ878" s="152" t="s">
        <v>4855</v>
      </c>
      <c r="BR878" s="152" t="s">
        <v>4880</v>
      </c>
      <c r="BS878" s="152" t="n">
        <v>202961.886</v>
      </c>
      <c r="BT878" s="152" t="n">
        <v>8237275.926</v>
      </c>
      <c r="BU878" s="152" t="n">
        <v>202930.903</v>
      </c>
      <c r="BV878" s="152" t="n">
        <v>8237298.84</v>
      </c>
      <c r="BW878" s="152" t="n">
        <v>-15.9258921</v>
      </c>
      <c r="BX878" s="152" t="n">
        <v>-47.7744723</v>
      </c>
      <c r="BY878" s="152" t="s">
        <v>4879</v>
      </c>
    </row>
    <row r="879" customFormat="false" ht="13.8" hidden="false" customHeight="false" outlineLevel="0" collapsed="false">
      <c r="A879" s="149" t="n">
        <f aca="false">IF(C879&lt;&gt;"",ROW(A874),"")</f>
        <v>874</v>
      </c>
      <c r="B879" s="150" t="str">
        <f aca="false">HYPERLINK("https://www.google.com/maps/dir/-15.917302,-47.760003/-15.9255299,-47.7766991/data=!4m3!4m2!3e0!5i2")</f>
        <v>https://www.google.com/maps/dir/-15.917302,-47.760003/-15.9255299,-47.7766991/data=!4m3!4m2!3e0!5i2</v>
      </c>
      <c r="C879" s="151" t="s">
        <v>117</v>
      </c>
      <c r="D879" s="152" t="s">
        <v>112</v>
      </c>
      <c r="E879" s="152" t="s">
        <v>113</v>
      </c>
      <c r="F879" s="152" t="s">
        <v>117</v>
      </c>
      <c r="G879" s="152" t="s">
        <v>782</v>
      </c>
      <c r="H879" s="152" t="n">
        <v>90</v>
      </c>
      <c r="I879" s="152" t="s">
        <v>115</v>
      </c>
      <c r="J879" s="152" t="s">
        <v>6</v>
      </c>
      <c r="K879" s="152" t="s">
        <v>4831</v>
      </c>
      <c r="L879" s="152" t="s">
        <v>120</v>
      </c>
      <c r="M879" s="153" t="n">
        <f aca="false">79.2</f>
        <v>79.2</v>
      </c>
      <c r="N879" s="152" t="s">
        <v>1548</v>
      </c>
      <c r="O879" s="152" t="s">
        <v>1549</v>
      </c>
      <c r="P879" s="152" t="s">
        <v>1550</v>
      </c>
      <c r="Q879" s="152" t="s">
        <v>1551</v>
      </c>
      <c r="R879" s="154" t="s">
        <v>4881</v>
      </c>
      <c r="S879" s="154" t="s">
        <v>1593</v>
      </c>
      <c r="T879" s="155" t="s">
        <v>2487</v>
      </c>
      <c r="U879" s="152" t="str">
        <f aca="false">RIGHT(T879,7)</f>
        <v>011/037</v>
      </c>
      <c r="V879" s="152" t="s">
        <v>1555</v>
      </c>
      <c r="W879" s="156" t="n">
        <v>45882</v>
      </c>
      <c r="X879" s="152" t="s">
        <v>1594</v>
      </c>
      <c r="Y879" s="152" t="s">
        <v>3516</v>
      </c>
      <c r="Z879" s="152" t="s">
        <v>1557</v>
      </c>
      <c r="AA879" s="153" t="n">
        <v>4.1</v>
      </c>
      <c r="AB879" s="151" t="s">
        <v>4882</v>
      </c>
      <c r="AC879" s="151" t="s">
        <v>526</v>
      </c>
      <c r="AD879" s="151" t="str">
        <f aca="false">CONCATENATE($C879,$I879,$H879,$N879,$J879,$K879)</f>
        <v>TUBO PEADPEAD90VCAREDESZona08</v>
      </c>
      <c r="AE879" s="153" t="n">
        <f aca="false">IFERROR(INDEX(APOIO_REDES!$A:$W,MATCH($C879&amp;$I879&amp;$H879&amp;$N879&amp;$O879,APOIO_REDES!$W:$W,0),MATCH(AE$5,APOIO_REDES!$5:$5,0)),0)</f>
        <v>1.2</v>
      </c>
      <c r="AF879" s="153" t="n">
        <f aca="false">IFERROR(INDEX(APOIO_REDES!$A:$W,MATCH($C879&amp;$I879&amp;$H879&amp;$N879&amp;$O879,APOIO_REDES!$W:$W,0),MATCH(AF$5,APOIO_REDES!$5:$5,0)),0)</f>
        <v>1.39</v>
      </c>
      <c r="AG879" s="153" t="n">
        <f aca="false">IFERROR(INDEX(APOIO_REDES!$A:$W,MATCH($C879&amp;$I879&amp;$H879&amp;$N879&amp;$O879,APOIO_REDES!$W:$W,0),MATCH(AG$5,APOIO_REDES!$5:$5,0)),0)</f>
        <v>0.75</v>
      </c>
      <c r="AH879" s="153" t="n">
        <f aca="false">IFERROR(INDEX(APOIO_REDES!$A:$W,MATCH($C879&amp;$I879&amp;$H879&amp;$N879&amp;$O879,APOIO_REDES!$W:$W,0),MATCH(AH$5,APOIO_REDES!$5:$5,0)),0)</f>
        <v>0.1</v>
      </c>
      <c r="AI879" s="153" t="n">
        <f aca="false">IFERROR(IF($H879&lt;&gt;"",(((($H879/1000)/2)^2)*PI()*$M879),0),0)</f>
        <v>0.503848629782731</v>
      </c>
      <c r="AJ879" s="153" t="n">
        <f aca="false">IFERROR(IF(AND($H879&lt;&gt;"",$I879="FoFo",OR($N879="MND",$N879="VCA"),$Q879="LINEAR"),0,IF(AND($H879&lt;&gt;"",$I879="PEAD",$N879="VCA",$Q879="LINEAR"),($H879/1000)+0.3,IF(AND($H879&lt;&gt;"",$I879="PEAD",$N879="MND",$Q879="EMBOQUE"),0,IF(AND($H879&lt;&gt;"",$I879="PVC",$N879="VCA",$Q879="LINEAR"),($H879/1000)+0.2,IF(AND($H879&lt;&gt;"",$I879="PVC",$N879="MND",$Q879="EMBOQUE"),0,IF(AND($H879&lt;&gt;"",$I879="PEAD",$N879="VCA",$Q879="PREDIAL"),0,0)))))),0)</f>
        <v>0.39</v>
      </c>
      <c r="AK879" s="153" t="n">
        <f aca="false">IF(AA879&lt;&gt;"",AA879,0)</f>
        <v>4.1</v>
      </c>
      <c r="AL879" s="153" t="n">
        <f aca="false">IF(AND($N879="MND",$Q879="EMBOQUE"),$M879,IF(AND($N879="VCA",$Q879="LINEAR"),$M879,IF(AND($N879="VCA",$Q879="PREDIAL"),0,0)))</f>
        <v>79.2</v>
      </c>
      <c r="AM879" s="153" t="n">
        <f aca="false">IF(AND($N879="MND",$Q879="EMBOQUE"),$M879,IF(AND($N879="VCA",$Q879="LINEAR"),$M879,IF(AND($N879="VCA",$Q879="PREDIAL"),0,0)))</f>
        <v>79.2</v>
      </c>
      <c r="AN879" s="153" t="n">
        <f aca="false">ROUND(IF(AND($N879="VCA",$M879&lt;&gt;"",$Q879="LINEAR"),$M879/100,IF(AND($N879="MND",$M879&gt;100,$Q879="EMBOQUE"),$M879/100,0)),0)</f>
        <v>1</v>
      </c>
      <c r="AO879" s="153" t="n">
        <f aca="false">IF(AND($N879="MND",$Q879="EMBOQUE"),$AN879*2*2,IF(AND($N879="VCA",$Q879="LINEAR"),$M879*2,IF(AND($N879="VCA",$Q879="PREDIAL"),0,0)))</f>
        <v>158.4</v>
      </c>
      <c r="AP879" s="153" t="n">
        <f aca="false">IFERROR($M879*$AF879*$AG879,0)</f>
        <v>82.566</v>
      </c>
      <c r="AQ879" s="153" t="n">
        <f aca="false">IFERROR(IF(AND($N879="VCA",$AH879&gt;0),$M879*$AG879*$AH879,0),0)</f>
        <v>5.94</v>
      </c>
      <c r="AR879" s="153" t="n">
        <f aca="false">IFERROR(IF(AND($N879="VCA",$AJ879&gt;0),($M879*$AG879*$AJ879)-$AI879,0),0)</f>
        <v>22.6621513702173</v>
      </c>
      <c r="AS879" s="153" t="n">
        <f aca="false">IFERROR(IF(AND($N879="VCA",$AP879&gt;0),$AP879-$AI879-$AQ879-$AR879,0),0)</f>
        <v>53.46</v>
      </c>
      <c r="AT879" s="153" t="n">
        <f aca="false">IFERROR(IF($N879="VCA",INDEX(APOIO_REDES!$A:$W,MATCH($C879&amp;$I879&amp;$H879&amp;$N879&amp;$O879,APOIO_REDES!$W:$W,0),MATCH(AT$5,APOIO_REDES!$5:$5,0)),0)*$AP879,0)</f>
        <v>0.89834251828855</v>
      </c>
      <c r="AU879" s="153" t="n">
        <f aca="false">IFERROR(IF($N879="VCA",INDEX(APOIO_REDES!$A:$W,MATCH($C879&amp;$I879&amp;$H879&amp;$N879&amp;$O879,APOIO_REDES!$W:$W,0),MATCH(AU$5,APOIO_REDES!$5:$5,0)),0)*$AP879,0)</f>
        <v>0.717392004904273</v>
      </c>
      <c r="AV879" s="153" t="n">
        <f aca="false">IFERROR(IF($N879="VCA",INDEX(APOIO_REDES!$A:$W,MATCH($C879&amp;$I879&amp;$H879&amp;$N879&amp;$O879,APOIO_REDES!$W:$W,0),MATCH(AV$5,APOIO_REDES!$5:$5,0)),0)*$AP879,0)</f>
        <v>0.0992814217307029</v>
      </c>
      <c r="AW879" s="153" t="n">
        <f aca="false">IFERROR(IF($N879="VCA",INDEX(APOIO_REDES!$A:$W,MATCH($C879&amp;$I879&amp;$H879&amp;$N879&amp;$O879,APOIO_REDES!$W:$W,0),MATCH(AW$5,APOIO_REDES!$5:$5,0)),0)*$AP879,0)</f>
        <v>56.6739421525864</v>
      </c>
      <c r="AX879" s="153" t="n">
        <f aca="false">IFERROR(IF($N879="VCA",INDEX(APOIO_REDES!$A:$W,MATCH($C879&amp;$I879&amp;$H879&amp;$N879&amp;$O879,APOIO_REDES!$W:$W,0),MATCH(AX$5,APOIO_REDES!$5:$5,0)),0)*$AP879,0)</f>
        <v>7.84351215513787</v>
      </c>
      <c r="AY879" s="153" t="n">
        <f aca="false">IFERROR(IF($N879="VCA",INDEX(APOIO_REDES!$A:$W,MATCH($C879&amp;$I879&amp;$H879&amp;$N879&amp;$O879,APOIO_REDES!$W:$W,0),MATCH(AY$5,APOIO_REDES!$5:$5,0)),0)*$AP879,0)</f>
        <v>14.3478313531351</v>
      </c>
      <c r="AZ879" s="153" t="n">
        <f aca="false">IFERROR(IF($N879="VCA",INDEX(APOIO_REDES!$A:$W,MATCH($C879&amp;$I879&amp;$H879&amp;$N879&amp;$O879,APOIO_REDES!$W:$W,0),MATCH(AZ$5,APOIO_REDES!$5:$5,0)),0)*$AP879,0)</f>
        <v>1.98569839421714</v>
      </c>
      <c r="BA879" s="153" t="n">
        <f aca="false">IFERROR(IF(AND($N879="VCA",$Q879="LINEAR"),INDEX(APOIO_REDES!$A:$W,MATCH($C879&amp;$I879&amp;$H879&amp;$N879&amp;$O879,APOIO_REDES!$W:$W,0),MATCH(BA$5,APOIO_REDES!$5:$5,0)),IF(AND($N879="MND",$Q879="EMBOQUE"),INDEX(APOIO_REDES!$A:$W,MATCH($C879&amp;$I879&amp;$H879&amp;$N879&amp;$O879,APOIO_REDES!$W:$W,0),MATCH(BA$5,APOIO_REDES!$5:$5,0)),0))*$M879/10,0)</f>
        <v>6.3833202243186</v>
      </c>
      <c r="BB879" s="153" t="n">
        <f aca="false">IFERROR(IF($N879="VCA",INDEX(APOIO_REDES!$A:$W,MATCH($C879&amp;$I879&amp;$H879&amp;$N879&amp;$O879,APOIO_REDES!$W:$W,0),MATCH(BB$5,APOIO_REDES!$5:$5,0)),0)*($AI879+$AQ879+$AR879),0)</f>
        <v>28.7893181050638</v>
      </c>
      <c r="BC879" s="153" t="n">
        <f aca="false">IFERROR(IF($N879="VCA",INDEX(APOIO_REDES!$A:$W,MATCH($C879&amp;$I879&amp;$H879&amp;$N879&amp;$O879,APOIO_REDES!$W:$W,0),MATCH(BC$5,APOIO_REDES!$5:$5,0)),0)*($AI879+$AQ879+$AR879),0)</f>
        <v>0.316681894936252</v>
      </c>
      <c r="BD879" s="153" t="n">
        <f aca="false">IF(AND($N879="VCA",$AF879&gt;=1.25,$AF879&lt;1.5),$M879*$AF879*2,0)</f>
        <v>220.176</v>
      </c>
      <c r="BE879" s="153" t="n">
        <f aca="false">IF(AND($N879="VCA",$AF879&gt;=1.5,$AF879&lt;3),$M879*$AF879*2,0)</f>
        <v>0</v>
      </c>
      <c r="BF879" s="153" t="n">
        <f aca="false">IF(AND($N879="VCA",$AF879&gt;=3),$M879*$AF879*2,0)</f>
        <v>0</v>
      </c>
      <c r="BG879" s="153" t="n">
        <f aca="false">($BB879+$BC879)*$AK879</f>
        <v>119.3346</v>
      </c>
      <c r="BH879" s="153" t="n">
        <f aca="false">IF(AND($M879&lt;&gt;"",$N879="VCA",$Q879="LINEAR"),($M879*2)/100,IF(AND($M879&lt;&gt;"",$N879="MND",$Q879="EMBOQUE"),($AN879*2)/100,0))</f>
        <v>1.584</v>
      </c>
      <c r="BI879" s="153" t="n">
        <f aca="false">IF(AND($M879&lt;&gt;"",$N879="VCA",$Q879="LINEAR"),$M879,IF(AND($M879&lt;&gt;"",$N879="MND",$Q879="EMBOQUE"),$AN879*2,0))</f>
        <v>79.2</v>
      </c>
      <c r="BJ879" s="153" t="n">
        <f aca="false">IF(AND($M879&lt;&gt;"",$N879="VCA",$Q879="LINEAR"),($M879*6.8)/100,IF(AND($M879&lt;&gt;"",$N879="MND",$Q879="EMBOQUE"),($AN879*2*6.8)/100,0))</f>
        <v>5.3856</v>
      </c>
      <c r="BK879" s="153" t="n">
        <f aca="false">IF(AND($M879&lt;&gt;"",$N879="VCA",$Q879="LINEAR"),($M879*2.5)/50,IF(AND($M879&lt;&gt;"",$N879="MND",$Q879="EMBOQUE"),($AN879*2*2.5)/50,0))</f>
        <v>3.96</v>
      </c>
      <c r="BL879" s="157" t="str">
        <f aca="false">K879&amp;J879</f>
        <v>Zona08REDES</v>
      </c>
      <c r="BM879" s="152" t="s">
        <v>4834</v>
      </c>
      <c r="BN879" s="152" t="s">
        <v>1560</v>
      </c>
      <c r="BO879" s="152" t="s">
        <v>2489</v>
      </c>
      <c r="BP879" s="152" t="s">
        <v>4867</v>
      </c>
      <c r="BQ879" s="152" t="s">
        <v>4883</v>
      </c>
      <c r="BR879" s="152" t="s">
        <v>4884</v>
      </c>
      <c r="BS879" s="152" t="n">
        <v>202707.285</v>
      </c>
      <c r="BT879" s="152" t="n">
        <v>8237324.318</v>
      </c>
      <c r="BU879" s="152" t="n">
        <v>202724.919</v>
      </c>
      <c r="BV879" s="152" t="n">
        <v>8237247.11</v>
      </c>
      <c r="BW879" s="152" t="n">
        <v>-15.9258795</v>
      </c>
      <c r="BX879" s="152" t="n">
        <v>-47.7766216</v>
      </c>
      <c r="BY879" s="152" t="s">
        <v>4867</v>
      </c>
    </row>
    <row r="880" customFormat="false" ht="13.8" hidden="false" customHeight="false" outlineLevel="0" collapsed="false">
      <c r="A880" s="149" t="n">
        <f aca="false">IF(C880&lt;&gt;"",ROW(A875),"")</f>
        <v>875</v>
      </c>
      <c r="B880" s="150" t="str">
        <f aca="false">HYPERLINK("https://www.google.com/maps/dir/-15.917302,-47.760003/-15.9257876,-47.7746205/data=!4m3!4m2!3e0!5i2")</f>
        <v>https://www.google.com/maps/dir/-15.917302,-47.760003/-15.9257876,-47.7746205/data=!4m3!4m2!3e0!5i2</v>
      </c>
      <c r="C880" s="151" t="s">
        <v>117</v>
      </c>
      <c r="D880" s="152" t="s">
        <v>112</v>
      </c>
      <c r="E880" s="152" t="s">
        <v>113</v>
      </c>
      <c r="F880" s="152" t="s">
        <v>117</v>
      </c>
      <c r="G880" s="152" t="s">
        <v>782</v>
      </c>
      <c r="H880" s="152" t="n">
        <v>90</v>
      </c>
      <c r="I880" s="152" t="s">
        <v>115</v>
      </c>
      <c r="J880" s="152" t="s">
        <v>6</v>
      </c>
      <c r="K880" s="152" t="s">
        <v>4831</v>
      </c>
      <c r="L880" s="152" t="s">
        <v>120</v>
      </c>
      <c r="M880" s="153" t="n">
        <f aca="false">97.41+0.55</f>
        <v>97.96</v>
      </c>
      <c r="N880" s="152" t="s">
        <v>1548</v>
      </c>
      <c r="O880" s="152" t="s">
        <v>1549</v>
      </c>
      <c r="P880" s="152" t="s">
        <v>1550</v>
      </c>
      <c r="Q880" s="152" t="s">
        <v>1551</v>
      </c>
      <c r="R880" s="154" t="s">
        <v>4885</v>
      </c>
      <c r="S880" s="154" t="s">
        <v>1593</v>
      </c>
      <c r="T880" s="155" t="s">
        <v>2487</v>
      </c>
      <c r="U880" s="152" t="str">
        <f aca="false">RIGHT(T880,7)</f>
        <v>011/037</v>
      </c>
      <c r="V880" s="152" t="s">
        <v>1555</v>
      </c>
      <c r="W880" s="156" t="n">
        <v>45882</v>
      </c>
      <c r="X880" s="152" t="s">
        <v>1594</v>
      </c>
      <c r="Y880" s="152" t="s">
        <v>3494</v>
      </c>
      <c r="Z880" s="152" t="s">
        <v>1557</v>
      </c>
      <c r="AA880" s="153" t="n">
        <v>3.6</v>
      </c>
      <c r="AB880" s="151" t="s">
        <v>4886</v>
      </c>
      <c r="AC880" s="151" t="s">
        <v>526</v>
      </c>
      <c r="AD880" s="151" t="str">
        <f aca="false">CONCATENATE($C880,$I880,$H880,$N880,$J880,$K880)</f>
        <v>TUBO PEADPEAD90VCAREDESZona08</v>
      </c>
      <c r="AE880" s="153" t="n">
        <f aca="false">IFERROR(INDEX(APOIO_REDES!$A:$W,MATCH($C880&amp;$I880&amp;$H880&amp;$N880&amp;$O880,APOIO_REDES!$W:$W,0),MATCH(AE$5,APOIO_REDES!$5:$5,0)),0)</f>
        <v>1.2</v>
      </c>
      <c r="AF880" s="153" t="n">
        <f aca="false">IFERROR(INDEX(APOIO_REDES!$A:$W,MATCH($C880&amp;$I880&amp;$H880&amp;$N880&amp;$O880,APOIO_REDES!$W:$W,0),MATCH(AF$5,APOIO_REDES!$5:$5,0)),0)</f>
        <v>1.39</v>
      </c>
      <c r="AG880" s="153" t="n">
        <f aca="false">IFERROR(INDEX(APOIO_REDES!$A:$W,MATCH($C880&amp;$I880&amp;$H880&amp;$N880&amp;$O880,APOIO_REDES!$W:$W,0),MATCH(AG$5,APOIO_REDES!$5:$5,0)),0)</f>
        <v>0.75</v>
      </c>
      <c r="AH880" s="153" t="n">
        <f aca="false">IFERROR(INDEX(APOIO_REDES!$A:$W,MATCH($C880&amp;$I880&amp;$H880&amp;$N880&amp;$O880,APOIO_REDES!$W:$W,0),MATCH(AH$5,APOIO_REDES!$5:$5,0)),0)</f>
        <v>0.1</v>
      </c>
      <c r="AI880" s="153" t="n">
        <f aca="false">IFERROR(IF($H880&lt;&gt;"",(((($H880/1000)/2)^2)*PI()*$M880),0),0)</f>
        <v>0.623194593099954</v>
      </c>
      <c r="AJ880" s="153" t="n">
        <f aca="false">IFERROR(IF(AND($H880&lt;&gt;"",$I880="FoFo",OR($N880="MND",$N880="VCA"),$Q880="LINEAR"),0,IF(AND($H880&lt;&gt;"",$I880="PEAD",$N880="VCA",$Q880="LINEAR"),($H880/1000)+0.3,IF(AND($H880&lt;&gt;"",$I880="PEAD",$N880="MND",$Q880="EMBOQUE"),0,IF(AND($H880&lt;&gt;"",$I880="PVC",$N880="VCA",$Q880="LINEAR"),($H880/1000)+0.2,IF(AND($H880&lt;&gt;"",$I880="PVC",$N880="MND",$Q880="EMBOQUE"),0,IF(AND($H880&lt;&gt;"",$I880="PEAD",$N880="VCA",$Q880="PREDIAL"),0,0)))))),0)</f>
        <v>0.39</v>
      </c>
      <c r="AK880" s="153" t="n">
        <f aca="false">IF(AA880&lt;&gt;"",AA880,0)</f>
        <v>3.6</v>
      </c>
      <c r="AL880" s="153" t="n">
        <f aca="false">IF(AND($N880="MND",$Q880="EMBOQUE"),$M880,IF(AND($N880="VCA",$Q880="LINEAR"),$M880,IF(AND($N880="VCA",$Q880="PREDIAL"),0,0)))</f>
        <v>97.96</v>
      </c>
      <c r="AM880" s="153" t="n">
        <f aca="false">IF(AND($N880="MND",$Q880="EMBOQUE"),$M880,IF(AND($N880="VCA",$Q880="LINEAR"),$M880,IF(AND($N880="VCA",$Q880="PREDIAL"),0,0)))</f>
        <v>97.96</v>
      </c>
      <c r="AN880" s="153" t="n">
        <f aca="false">ROUND(IF(AND($N880="VCA",$M880&lt;&gt;"",$Q880="LINEAR"),$M880/100,IF(AND($N880="MND",$M880&gt;100,$Q880="EMBOQUE"),$M880/100,0)),0)</f>
        <v>1</v>
      </c>
      <c r="AO880" s="153" t="n">
        <f aca="false">IF(AND($N880="MND",$Q880="EMBOQUE"),$AN880*2*2,IF(AND($N880="VCA",$Q880="LINEAR"),$M880*2,IF(AND($N880="VCA",$Q880="PREDIAL"),0,0)))</f>
        <v>195.92</v>
      </c>
      <c r="AP880" s="153" t="n">
        <f aca="false">IFERROR($M880*$AF880*$AG880,0)</f>
        <v>102.1233</v>
      </c>
      <c r="AQ880" s="153" t="n">
        <f aca="false">IFERROR(IF(AND($N880="VCA",$AH880&gt;0),$M880*$AG880*$AH880,0),0)</f>
        <v>7.347</v>
      </c>
      <c r="AR880" s="153" t="n">
        <f aca="false">IFERROR(IF(AND($N880="VCA",$AJ880&gt;0),($M880*$AG880*$AJ880)-$AI880,0),0)</f>
        <v>28.0301054069001</v>
      </c>
      <c r="AS880" s="153" t="n">
        <f aca="false">IFERROR(IF(AND($N880="VCA",$AP880&gt;0),$AP880-$AI880-$AQ880-$AR880,0),0)</f>
        <v>66.123</v>
      </c>
      <c r="AT880" s="153" t="n">
        <f aca="false">IFERROR(IF($N880="VCA",INDEX(APOIO_REDES!$A:$W,MATCH($C880&amp;$I880&amp;$H880&amp;$N880&amp;$O880,APOIO_REDES!$W:$W,0),MATCH(AT$5,APOIO_REDES!$5:$5,0)),0)*$AP880,0)</f>
        <v>1.11113173095387</v>
      </c>
      <c r="AU880" s="153" t="n">
        <f aca="false">IFERROR(IF($N880="VCA",INDEX(APOIO_REDES!$A:$W,MATCH($C880&amp;$I880&amp;$H880&amp;$N880&amp;$O880,APOIO_REDES!$W:$W,0),MATCH(AU$5,APOIO_REDES!$5:$5,0)),0)*$AP880,0)</f>
        <v>0.887319707076043</v>
      </c>
      <c r="AV880" s="153" t="n">
        <f aca="false">IFERROR(IF($N880="VCA",INDEX(APOIO_REDES!$A:$W,MATCH($C880&amp;$I880&amp;$H880&amp;$N880&amp;$O880,APOIO_REDES!$W:$W,0),MATCH(AV$5,APOIO_REDES!$5:$5,0)),0)*$AP880,0)</f>
        <v>0.122798081726511</v>
      </c>
      <c r="AW880" s="153" t="n">
        <f aca="false">IFERROR(IF($N880="VCA",INDEX(APOIO_REDES!$A:$W,MATCH($C880&amp;$I880&amp;$H880&amp;$N880&amp;$O880,APOIO_REDES!$W:$W,0),MATCH(AW$5,APOIO_REDES!$5:$5,0)),0)*$AP880,0)</f>
        <v>70.0982244099415</v>
      </c>
      <c r="AX880" s="153" t="n">
        <f aca="false">IFERROR(IF($N880="VCA",INDEX(APOIO_REDES!$A:$W,MATCH($C880&amp;$I880&amp;$H880&amp;$N880&amp;$O880,APOIO_REDES!$W:$W,0),MATCH(AX$5,APOIO_REDES!$5:$5,0)),0)*$AP880,0)</f>
        <v>9.70139457976397</v>
      </c>
      <c r="AY880" s="153" t="n">
        <f aca="false">IFERROR(IF($N880="VCA",INDEX(APOIO_REDES!$A:$W,MATCH($C880&amp;$I880&amp;$H880&amp;$N880&amp;$O880,APOIO_REDES!$W:$W,0),MATCH(AY$5,APOIO_REDES!$5:$5,0)),0)*$AP880,0)</f>
        <v>17.7463833251655</v>
      </c>
      <c r="AZ880" s="153" t="n">
        <f aca="false">IFERROR(IF($N880="VCA",INDEX(APOIO_REDES!$A:$W,MATCH($C880&amp;$I880&amp;$H880&amp;$N880&amp;$O880,APOIO_REDES!$W:$W,0),MATCH(AZ$5,APOIO_REDES!$5:$5,0)),0)*$AP880,0)</f>
        <v>2.45604816537262</v>
      </c>
      <c r="BA880" s="153" t="n">
        <f aca="false">IFERROR(IF(AND($N880="VCA",$Q880="LINEAR"),INDEX(APOIO_REDES!$A:$W,MATCH($C880&amp;$I880&amp;$H880&amp;$N880&amp;$O880,APOIO_REDES!$W:$W,0),MATCH(BA$5,APOIO_REDES!$5:$5,0)),IF(AND($N880="MND",$Q880="EMBOQUE"),INDEX(APOIO_REDES!$A:$W,MATCH($C880&amp;$I880&amp;$H880&amp;$N880&amp;$O880,APOIO_REDES!$W:$W,0),MATCH(BA$5,APOIO_REDES!$5:$5,0)),0))*$M880/10,0)</f>
        <v>7.89532890371528</v>
      </c>
      <c r="BB880" s="153" t="n">
        <f aca="false">IFERROR(IF($N880="VCA",INDEX(APOIO_REDES!$A:$W,MATCH($C880&amp;$I880&amp;$H880&amp;$N880&amp;$O880,APOIO_REDES!$W:$W,0),MATCH(BB$5,APOIO_REDES!$5:$5,0)),0)*($AI880+$AQ880+$AR880),0)</f>
        <v>35.6086060804551</v>
      </c>
      <c r="BC880" s="153" t="n">
        <f aca="false">IFERROR(IF($N880="VCA",INDEX(APOIO_REDES!$A:$W,MATCH($C880&amp;$I880&amp;$H880&amp;$N880&amp;$O880,APOIO_REDES!$W:$W,0),MATCH(BC$5,APOIO_REDES!$5:$5,0)),0)*($AI880+$AQ880+$AR880),0)</f>
        <v>0.391693919544889</v>
      </c>
      <c r="BD880" s="153" t="n">
        <f aca="false">IF(AND($N880="VCA",$AF880&gt;=1.25,$AF880&lt;1.5),$M880*$AF880*2,0)</f>
        <v>272.3288</v>
      </c>
      <c r="BE880" s="153" t="n">
        <f aca="false">IF(AND($N880="VCA",$AF880&gt;=1.5,$AF880&lt;3),$M880*$AF880*2,0)</f>
        <v>0</v>
      </c>
      <c r="BF880" s="153" t="n">
        <f aca="false">IF(AND($N880="VCA",$AF880&gt;=3),$M880*$AF880*2,0)</f>
        <v>0</v>
      </c>
      <c r="BG880" s="153" t="n">
        <f aca="false">($BB880+$BC880)*$AK880</f>
        <v>129.60108</v>
      </c>
      <c r="BH880" s="153" t="n">
        <f aca="false">IF(AND($M880&lt;&gt;"",$N880="VCA",$Q880="LINEAR"),($M880*2)/100,IF(AND($M880&lt;&gt;"",$N880="MND",$Q880="EMBOQUE"),($AN880*2)/100,0))</f>
        <v>1.9592</v>
      </c>
      <c r="BI880" s="153" t="n">
        <f aca="false">IF(AND($M880&lt;&gt;"",$N880="VCA",$Q880="LINEAR"),$M880,IF(AND($M880&lt;&gt;"",$N880="MND",$Q880="EMBOQUE"),$AN880*2,0))</f>
        <v>97.96</v>
      </c>
      <c r="BJ880" s="153" t="n">
        <f aca="false">IF(AND($M880&lt;&gt;"",$N880="VCA",$Q880="LINEAR"),($M880*6.8)/100,IF(AND($M880&lt;&gt;"",$N880="MND",$Q880="EMBOQUE"),($AN880*2*6.8)/100,0))</f>
        <v>6.66128</v>
      </c>
      <c r="BK880" s="153" t="n">
        <f aca="false">IF(AND($M880&lt;&gt;"",$N880="VCA",$Q880="LINEAR"),($M880*2.5)/50,IF(AND($M880&lt;&gt;"",$N880="MND",$Q880="EMBOQUE"),($AN880*2*2.5)/50,0))</f>
        <v>4.898</v>
      </c>
      <c r="BL880" s="157" t="str">
        <f aca="false">K880&amp;J880</f>
        <v>Zona08REDES</v>
      </c>
      <c r="BM880" s="152" t="s">
        <v>4834</v>
      </c>
      <c r="BN880" s="152" t="s">
        <v>1560</v>
      </c>
      <c r="BO880" s="152" t="s">
        <v>2489</v>
      </c>
      <c r="BP880" s="152" t="s">
        <v>2232</v>
      </c>
      <c r="BQ880" s="152" t="s">
        <v>4855</v>
      </c>
      <c r="BR880" s="152" t="s">
        <v>4887</v>
      </c>
      <c r="BS880" s="152" t="n">
        <v>202836.655</v>
      </c>
      <c r="BT880" s="152" t="n">
        <v>8237272.153</v>
      </c>
      <c r="BU880" s="152" t="n">
        <v>202930.379</v>
      </c>
      <c r="BV880" s="152" t="n">
        <v>8237298.693</v>
      </c>
      <c r="BW880" s="152" t="n">
        <v>-15.9259023</v>
      </c>
      <c r="BX880" s="152" t="n">
        <v>-47.7750593</v>
      </c>
      <c r="BY880" s="152" t="s">
        <v>4855</v>
      </c>
    </row>
    <row r="881" customFormat="false" ht="13.8" hidden="false" customHeight="false" outlineLevel="0" collapsed="false">
      <c r="A881" s="149" t="n">
        <f aca="false">IF(C881&lt;&gt;"",ROW(A876),"")</f>
        <v>876</v>
      </c>
      <c r="B881" s="150" t="str">
        <f aca="false">HYPERLINK("https://www.google.com/maps/dir/-15.917302,-47.760003/-15.9267260,-47.7772929/data=!4m3!4m2!3e0!5i2")</f>
        <v>https://www.google.com/maps/dir/-15.917302,-47.760003/-15.9267260,-47.7772929/data=!4m3!4m2!3e0!5i2</v>
      </c>
      <c r="C881" s="151" t="s">
        <v>117</v>
      </c>
      <c r="D881" s="152" t="s">
        <v>112</v>
      </c>
      <c r="E881" s="152" t="s">
        <v>113</v>
      </c>
      <c r="F881" s="152" t="s">
        <v>117</v>
      </c>
      <c r="G881" s="152" t="s">
        <v>782</v>
      </c>
      <c r="H881" s="152" t="n">
        <v>63</v>
      </c>
      <c r="I881" s="152" t="s">
        <v>115</v>
      </c>
      <c r="J881" s="152" t="s">
        <v>6</v>
      </c>
      <c r="K881" s="152" t="s">
        <v>4831</v>
      </c>
      <c r="L881" s="152" t="s">
        <v>120</v>
      </c>
      <c r="M881" s="153" t="n">
        <f aca="false">159+0.21</f>
        <v>159.21</v>
      </c>
      <c r="N881" s="152" t="s">
        <v>1548</v>
      </c>
      <c r="O881" s="152" t="s">
        <v>1549</v>
      </c>
      <c r="P881" s="152" t="s">
        <v>1550</v>
      </c>
      <c r="Q881" s="152" t="s">
        <v>1551</v>
      </c>
      <c r="R881" s="154" t="s">
        <v>4888</v>
      </c>
      <c r="S881" s="154" t="s">
        <v>1553</v>
      </c>
      <c r="T881" s="155" t="s">
        <v>2487</v>
      </c>
      <c r="U881" s="152" t="str">
        <f aca="false">RIGHT(T881,7)</f>
        <v>011/037</v>
      </c>
      <c r="V881" s="152" t="s">
        <v>1555</v>
      </c>
      <c r="W881" s="156" t="n">
        <v>45882</v>
      </c>
      <c r="X881" s="152" t="s">
        <v>1594</v>
      </c>
      <c r="Y881" s="152" t="s">
        <v>3516</v>
      </c>
      <c r="Z881" s="152" t="s">
        <v>1557</v>
      </c>
      <c r="AA881" s="153" t="n">
        <v>4</v>
      </c>
      <c r="AB881" s="151" t="s">
        <v>4889</v>
      </c>
      <c r="AC881" s="151" t="s">
        <v>186</v>
      </c>
      <c r="AD881" s="151" t="str">
        <f aca="false">CONCATENATE($C881,$I881,$H881,$N881,$J881,$K881)</f>
        <v>TUBO PEADPEAD63VCAREDESZona08</v>
      </c>
      <c r="AE881" s="153" t="n">
        <f aca="false">IFERROR(INDEX(APOIO_REDES!$A:$W,MATCH($C881&amp;$I881&amp;$H881&amp;$N881&amp;$O881,APOIO_REDES!$W:$W,0),MATCH(AE$5,APOIO_REDES!$5:$5,0)),0)</f>
        <v>1.2</v>
      </c>
      <c r="AF881" s="153" t="n">
        <f aca="false">IFERROR(INDEX(APOIO_REDES!$A:$W,MATCH($C881&amp;$I881&amp;$H881&amp;$N881&amp;$O881,APOIO_REDES!$W:$W,0),MATCH(AF$5,APOIO_REDES!$5:$5,0)),0)</f>
        <v>1.363</v>
      </c>
      <c r="AG881" s="153" t="n">
        <f aca="false">IFERROR(INDEX(APOIO_REDES!$A:$W,MATCH($C881&amp;$I881&amp;$H881&amp;$N881&amp;$O881,APOIO_REDES!$W:$W,0),MATCH(AG$5,APOIO_REDES!$5:$5,0)),0)</f>
        <v>0.65</v>
      </c>
      <c r="AH881" s="153" t="n">
        <f aca="false">IFERROR(INDEX(APOIO_REDES!$A:$W,MATCH($C881&amp;$I881&amp;$H881&amp;$N881&amp;$O881,APOIO_REDES!$W:$W,0),MATCH(AH$5,APOIO_REDES!$5:$5,0)),0)</f>
        <v>0.1</v>
      </c>
      <c r="AI881" s="153" t="n">
        <f aca="false">IFERROR(IF($H881&lt;&gt;"",(((($H881/1000)/2)^2)*PI()*$M881),0),0)</f>
        <v>0.496296625888601</v>
      </c>
      <c r="AJ881" s="153" t="n">
        <f aca="false">IFERROR(IF(AND($H881&lt;&gt;"",$I881="FoFo",OR($N881="MND",$N881="VCA"),$Q881="LINEAR"),0,IF(AND($H881&lt;&gt;"",$I881="PEAD",$N881="VCA",$Q881="LINEAR"),($H881/1000)+0.3,IF(AND($H881&lt;&gt;"",$I881="PEAD",$N881="MND",$Q881="EMBOQUE"),0,IF(AND($H881&lt;&gt;"",$I881="PVC",$N881="VCA",$Q881="LINEAR"),($H881/1000)+0.2,IF(AND($H881&lt;&gt;"",$I881="PVC",$N881="MND",$Q881="EMBOQUE"),0,IF(AND($H881&lt;&gt;"",$I881="PEAD",$N881="VCA",$Q881="PREDIAL"),0,0)))))),0)</f>
        <v>0.363</v>
      </c>
      <c r="AK881" s="153" t="n">
        <f aca="false">IF(AA881&lt;&gt;"",AA881,0)</f>
        <v>4</v>
      </c>
      <c r="AL881" s="153" t="n">
        <f aca="false">IF(AND($N881="MND",$Q881="EMBOQUE"),$M881,IF(AND($N881="VCA",$Q881="LINEAR"),$M881,IF(AND($N881="VCA",$Q881="PREDIAL"),0,0)))</f>
        <v>159.21</v>
      </c>
      <c r="AM881" s="153" t="n">
        <f aca="false">IF(AND($N881="MND",$Q881="EMBOQUE"),$M881,IF(AND($N881="VCA",$Q881="LINEAR"),$M881,IF(AND($N881="VCA",$Q881="PREDIAL"),0,0)))</f>
        <v>159.21</v>
      </c>
      <c r="AN881" s="153" t="n">
        <f aca="false">ROUND(IF(AND($N881="VCA",$M881&lt;&gt;"",$Q881="LINEAR"),$M881/100,IF(AND($N881="MND",$M881&gt;100,$Q881="EMBOQUE"),$M881/100,0)),0)</f>
        <v>2</v>
      </c>
      <c r="AO881" s="153" t="n">
        <f aca="false">IF(AND($N881="MND",$Q881="EMBOQUE"),$AN881*2*2,IF(AND($N881="VCA",$Q881="LINEAR"),$M881*2,IF(AND($N881="VCA",$Q881="PREDIAL"),0,0)))</f>
        <v>318.42</v>
      </c>
      <c r="AP881" s="153" t="n">
        <f aca="false">IFERROR($M881*$AF881*$AG881,0)</f>
        <v>141.0520995</v>
      </c>
      <c r="AQ881" s="153" t="n">
        <f aca="false">IFERROR(IF(AND($N881="VCA",$AH881&gt;0),$M881*$AG881*$AH881,0),0)</f>
        <v>10.34865</v>
      </c>
      <c r="AR881" s="153" t="n">
        <f aca="false">IFERROR(IF(AND($N881="VCA",$AJ881&gt;0),($M881*$AG881*$AJ881)-$AI881,0),0)</f>
        <v>37.0693028741114</v>
      </c>
      <c r="AS881" s="153" t="n">
        <f aca="false">IFERROR(IF(AND($N881="VCA",$AP881&gt;0),$AP881-$AI881-$AQ881-$AR881,0),0)</f>
        <v>93.13785</v>
      </c>
      <c r="AT881" s="153" t="n">
        <f aca="false">IFERROR(IF($N881="VCA",INDEX(APOIO_REDES!$A:$W,MATCH($C881&amp;$I881&amp;$H881&amp;$N881&amp;$O881,APOIO_REDES!$W:$W,0),MATCH(AT$5,APOIO_REDES!$5:$5,0)),0)*$AP881,0)</f>
        <v>1.53468859185036</v>
      </c>
      <c r="AU881" s="153" t="n">
        <f aca="false">IFERROR(IF($N881="VCA",INDEX(APOIO_REDES!$A:$W,MATCH($C881&amp;$I881&amp;$H881&amp;$N881&amp;$O881,APOIO_REDES!$W:$W,0),MATCH(AU$5,APOIO_REDES!$5:$5,0)),0)*$AP881,0)</f>
        <v>1.22556074481339</v>
      </c>
      <c r="AV881" s="153" t="n">
        <f aca="false">IFERROR(IF($N881="VCA",INDEX(APOIO_REDES!$A:$W,MATCH($C881&amp;$I881&amp;$H881&amp;$N881&amp;$O881,APOIO_REDES!$W:$W,0),MATCH(AV$5,APOIO_REDES!$5:$5,0)),0)*$AP881,0)</f>
        <v>0.169607986053104</v>
      </c>
      <c r="AW881" s="153" t="n">
        <f aca="false">IFERROR(IF($N881="VCA",INDEX(APOIO_REDES!$A:$W,MATCH($C881&amp;$I881&amp;$H881&amp;$N881&amp;$O881,APOIO_REDES!$W:$W,0),MATCH(AW$5,APOIO_REDES!$5:$5,0)),0)*$AP881,0)</f>
        <v>96.819254021799</v>
      </c>
      <c r="AX881" s="153" t="n">
        <f aca="false">IFERROR(IF($N881="VCA",INDEX(APOIO_REDES!$A:$W,MATCH($C881&amp;$I881&amp;$H881&amp;$N881&amp;$O881,APOIO_REDES!$W:$W,0),MATCH(AX$5,APOIO_REDES!$5:$5,0)),0)*$AP881,0)</f>
        <v>13.3995089617514</v>
      </c>
      <c r="AY881" s="153" t="n">
        <f aca="false">IFERROR(IF($N881="VCA",INDEX(APOIO_REDES!$A:$W,MATCH($C881&amp;$I881&amp;$H881&amp;$N881&amp;$O881,APOIO_REDES!$W:$W,0),MATCH(AY$5,APOIO_REDES!$5:$5,0)),0)*$AP881,0)</f>
        <v>24.5111999567816</v>
      </c>
      <c r="AZ881" s="153" t="n">
        <f aca="false">IFERROR(IF($N881="VCA",INDEX(APOIO_REDES!$A:$W,MATCH($C881&amp;$I881&amp;$H881&amp;$N881&amp;$O881,APOIO_REDES!$W:$W,0),MATCH(AZ$5,APOIO_REDES!$5:$5,0)),0)*$AP881,0)</f>
        <v>3.39227923695113</v>
      </c>
      <c r="BA881" s="153" t="n">
        <f aca="false">IFERROR(IF(AND($N881="VCA",$Q881="LINEAR"),INDEX(APOIO_REDES!$A:$W,MATCH($C881&amp;$I881&amp;$H881&amp;$N881&amp;$O881,APOIO_REDES!$W:$W,0),MATCH(BA$5,APOIO_REDES!$5:$5,0)),IF(AND($N881="MND",$Q881="EMBOQUE"),INDEX(APOIO_REDES!$A:$W,MATCH($C881&amp;$I881&amp;$H881&amp;$N881&amp;$O881,APOIO_REDES!$W:$W,0),MATCH(BA$5,APOIO_REDES!$5:$5,0)),0))*$M881/10,0)</f>
        <v>12.8319244054768</v>
      </c>
      <c r="BB881" s="153" t="n">
        <f aca="false">IFERROR(IF($N881="VCA",INDEX(APOIO_REDES!$A:$W,MATCH($C881&amp;$I881&amp;$H881&amp;$N881&amp;$O881,APOIO_REDES!$W:$W,0),MATCH(BB$5,APOIO_REDES!$5:$5,0)),0)*($AI881+$AQ881+$AR881),0)</f>
        <v>47.3929282835461</v>
      </c>
      <c r="BC881" s="153" t="n">
        <f aca="false">IFERROR(IF($N881="VCA",INDEX(APOIO_REDES!$A:$W,MATCH($C881&amp;$I881&amp;$H881&amp;$N881&amp;$O881,APOIO_REDES!$W:$W,0),MATCH(BC$5,APOIO_REDES!$5:$5,0)),0)*($AI881+$AQ881+$AR881),0)</f>
        <v>0.521321216453939</v>
      </c>
      <c r="BD881" s="153" t="n">
        <f aca="false">IF(AND($N881="VCA",$AF881&gt;=1.25,$AF881&lt;1.5),$M881*$AF881*2,0)</f>
        <v>434.00646</v>
      </c>
      <c r="BE881" s="153" t="n">
        <f aca="false">IF(AND($N881="VCA",$AF881&gt;=1.5,$AF881&lt;3),$M881*$AF881*2,0)</f>
        <v>0</v>
      </c>
      <c r="BF881" s="153" t="n">
        <f aca="false">IF(AND($N881="VCA",$AF881&gt;=3),$M881*$AF881*2,0)</f>
        <v>0</v>
      </c>
      <c r="BG881" s="153" t="n">
        <f aca="false">($BB881+$BC881)*$AK881</f>
        <v>191.656998</v>
      </c>
      <c r="BH881" s="153" t="n">
        <f aca="false">IF(AND($M881&lt;&gt;"",$N881="VCA",$Q881="LINEAR"),($M881*2)/100,IF(AND($M881&lt;&gt;"",$N881="MND",$Q881="EMBOQUE"),($AN881*2)/100,0))</f>
        <v>3.1842</v>
      </c>
      <c r="BI881" s="153" t="n">
        <f aca="false">IF(AND($M881&lt;&gt;"",$N881="VCA",$Q881="LINEAR"),$M881,IF(AND($M881&lt;&gt;"",$N881="MND",$Q881="EMBOQUE"),$AN881*2,0))</f>
        <v>159.21</v>
      </c>
      <c r="BJ881" s="153" t="n">
        <f aca="false">IF(AND($M881&lt;&gt;"",$N881="VCA",$Q881="LINEAR"),($M881*6.8)/100,IF(AND($M881&lt;&gt;"",$N881="MND",$Q881="EMBOQUE"),($AN881*2*6.8)/100,0))</f>
        <v>10.82628</v>
      </c>
      <c r="BK881" s="153" t="n">
        <f aca="false">IF(AND($M881&lt;&gt;"",$N881="VCA",$Q881="LINEAR"),($M881*2.5)/50,IF(AND($M881&lt;&gt;"",$N881="MND",$Q881="EMBOQUE"),($AN881*2*2.5)/50,0))</f>
        <v>7.9605</v>
      </c>
      <c r="BL881" s="157" t="str">
        <f aca="false">K881&amp;J881</f>
        <v>Zona08REDES</v>
      </c>
      <c r="BM881" s="152" t="s">
        <v>4834</v>
      </c>
      <c r="BN881" s="152" t="s">
        <v>1560</v>
      </c>
      <c r="BO881" s="152" t="s">
        <v>2489</v>
      </c>
      <c r="BP881" s="152" t="s">
        <v>4890</v>
      </c>
      <c r="BQ881" s="152" t="s">
        <v>4863</v>
      </c>
      <c r="BR881" s="152" t="s">
        <v>4891</v>
      </c>
      <c r="BS881" s="152" t="n">
        <v>202645.618</v>
      </c>
      <c r="BT881" s="152" t="n">
        <v>8237191.071</v>
      </c>
      <c r="BU881" s="152" t="n">
        <v>202662.047</v>
      </c>
      <c r="BV881" s="152" t="n">
        <v>8237324.319</v>
      </c>
      <c r="BW881" s="152" t="n">
        <v>-15.9260256</v>
      </c>
      <c r="BX881" s="152" t="n">
        <v>-47.7774336</v>
      </c>
      <c r="BY881" s="152" t="s">
        <v>4890</v>
      </c>
    </row>
    <row r="882" customFormat="false" ht="13.8" hidden="false" customHeight="false" outlineLevel="0" collapsed="false">
      <c r="A882" s="149" t="n">
        <f aca="false">IF(C882&lt;&gt;"",ROW(A877),"")</f>
        <v>877</v>
      </c>
      <c r="B882" s="150" t="str">
        <f aca="false">HYPERLINK("https://www.google.com/maps/dir/-15.917302,-47.760003/-15.9255245,-47.7771213/data=!4m3!4m2!3e0!5i0")</f>
        <v>https://www.google.com/maps/dir/-15.917302,-47.760003/-15.9255245,-47.7771213/data=!4m3!4m2!3e0!5i0</v>
      </c>
      <c r="C882" s="151" t="s">
        <v>117</v>
      </c>
      <c r="D882" s="152" t="s">
        <v>112</v>
      </c>
      <c r="E882" s="152" t="s">
        <v>113</v>
      </c>
      <c r="F882" s="152" t="s">
        <v>117</v>
      </c>
      <c r="G882" s="152" t="s">
        <v>782</v>
      </c>
      <c r="H882" s="152" t="n">
        <v>63</v>
      </c>
      <c r="I882" s="152" t="s">
        <v>115</v>
      </c>
      <c r="J882" s="152" t="s">
        <v>6</v>
      </c>
      <c r="K882" s="152" t="s">
        <v>4831</v>
      </c>
      <c r="L882" s="152" t="s">
        <v>120</v>
      </c>
      <c r="M882" s="153" t="n">
        <f aca="false">127.6+0.27</f>
        <v>127.87</v>
      </c>
      <c r="N882" s="152" t="s">
        <v>1548</v>
      </c>
      <c r="O882" s="152" t="s">
        <v>1549</v>
      </c>
      <c r="P882" s="152" t="s">
        <v>1550</v>
      </c>
      <c r="Q882" s="152" t="s">
        <v>1551</v>
      </c>
      <c r="R882" s="154" t="s">
        <v>4892</v>
      </c>
      <c r="S882" s="154" t="s">
        <v>1553</v>
      </c>
      <c r="T882" s="155" t="s">
        <v>2487</v>
      </c>
      <c r="U882" s="152" t="str">
        <f aca="false">RIGHT(T882,7)</f>
        <v>011/037</v>
      </c>
      <c r="V882" s="152" t="s">
        <v>1555</v>
      </c>
      <c r="W882" s="156" t="n">
        <v>45882</v>
      </c>
      <c r="X882" s="152" t="s">
        <v>1594</v>
      </c>
      <c r="Y882" s="152"/>
      <c r="Z882" s="152" t="s">
        <v>1557</v>
      </c>
      <c r="AA882" s="153" t="n">
        <v>3.6</v>
      </c>
      <c r="AB882" s="151" t="s">
        <v>4893</v>
      </c>
      <c r="AC882" s="151" t="s">
        <v>186</v>
      </c>
      <c r="AD882" s="151" t="str">
        <f aca="false">CONCATENATE($C882,$I882,$H882,$N882,$J882,$K882)</f>
        <v>TUBO PEADPEAD63VCAREDESZona08</v>
      </c>
      <c r="AE882" s="153" t="n">
        <f aca="false">IFERROR(INDEX(APOIO_REDES!$A:$W,MATCH($C882&amp;$I882&amp;$H882&amp;$N882&amp;$O882,APOIO_REDES!$W:$W,0),MATCH(AE$5,APOIO_REDES!$5:$5,0)),0)</f>
        <v>1.2</v>
      </c>
      <c r="AF882" s="153" t="n">
        <f aca="false">IFERROR(INDEX(APOIO_REDES!$A:$W,MATCH($C882&amp;$I882&amp;$H882&amp;$N882&amp;$O882,APOIO_REDES!$W:$W,0),MATCH(AF$5,APOIO_REDES!$5:$5,0)),0)</f>
        <v>1.363</v>
      </c>
      <c r="AG882" s="153" t="n">
        <f aca="false">IFERROR(INDEX(APOIO_REDES!$A:$W,MATCH($C882&amp;$I882&amp;$H882&amp;$N882&amp;$O882,APOIO_REDES!$W:$W,0),MATCH(AG$5,APOIO_REDES!$5:$5,0)),0)</f>
        <v>0.65</v>
      </c>
      <c r="AH882" s="153" t="n">
        <f aca="false">IFERROR(INDEX(APOIO_REDES!$A:$W,MATCH($C882&amp;$I882&amp;$H882&amp;$N882&amp;$O882,APOIO_REDES!$W:$W,0),MATCH(AH$5,APOIO_REDES!$5:$5,0)),0)</f>
        <v>0.1</v>
      </c>
      <c r="AI882" s="153" t="n">
        <f aca="false">IFERROR(IF($H882&lt;&gt;"",(((($H882/1000)/2)^2)*PI()*$M882),0),0)</f>
        <v>0.398602157856764</v>
      </c>
      <c r="AJ882" s="153" t="n">
        <f aca="false">IFERROR(IF(AND($H882&lt;&gt;"",$I882="FoFo",OR($N882="MND",$N882="VCA"),$Q882="LINEAR"),0,IF(AND($H882&lt;&gt;"",$I882="PEAD",$N882="VCA",$Q882="LINEAR"),($H882/1000)+0.3,IF(AND($H882&lt;&gt;"",$I882="PEAD",$N882="MND",$Q882="EMBOQUE"),0,IF(AND($H882&lt;&gt;"",$I882="PVC",$N882="VCA",$Q882="LINEAR"),($H882/1000)+0.2,IF(AND($H882&lt;&gt;"",$I882="PVC",$N882="MND",$Q882="EMBOQUE"),0,IF(AND($H882&lt;&gt;"",$I882="PEAD",$N882="VCA",$Q882="PREDIAL"),0,0)))))),0)</f>
        <v>0.363</v>
      </c>
      <c r="AK882" s="153" t="n">
        <f aca="false">IF(AA882&lt;&gt;"",AA882,0)</f>
        <v>3.6</v>
      </c>
      <c r="AL882" s="153" t="n">
        <f aca="false">IF(AND($N882="MND",$Q882="EMBOQUE"),$M882,IF(AND($N882="VCA",$Q882="LINEAR"),$M882,IF(AND($N882="VCA",$Q882="PREDIAL"),0,0)))</f>
        <v>127.87</v>
      </c>
      <c r="AM882" s="153" t="n">
        <f aca="false">IF(AND($N882="MND",$Q882="EMBOQUE"),$M882,IF(AND($N882="VCA",$Q882="LINEAR"),$M882,IF(AND($N882="VCA",$Q882="PREDIAL"),0,0)))</f>
        <v>127.87</v>
      </c>
      <c r="AN882" s="153" t="n">
        <f aca="false">ROUND(IF(AND($N882="VCA",$M882&lt;&gt;"",$Q882="LINEAR"),$M882/100,IF(AND($N882="MND",$M882&gt;100,$Q882="EMBOQUE"),$M882/100,0)),0)</f>
        <v>1</v>
      </c>
      <c r="AO882" s="153" t="n">
        <f aca="false">IF(AND($N882="MND",$Q882="EMBOQUE"),$AN882*2*2,IF(AND($N882="VCA",$Q882="LINEAR"),$M882*2,IF(AND($N882="VCA",$Q882="PREDIAL"),0,0)))</f>
        <v>255.74</v>
      </c>
      <c r="AP882" s="153" t="n">
        <f aca="false">IFERROR($M882*$AF882*$AG882,0)</f>
        <v>113.2864265</v>
      </c>
      <c r="AQ882" s="153" t="n">
        <f aca="false">IFERROR(IF(AND($N882="VCA",$AH882&gt;0),$M882*$AG882*$AH882,0),0)</f>
        <v>8.31155</v>
      </c>
      <c r="AR882" s="153" t="n">
        <f aca="false">IFERROR(IF(AND($N882="VCA",$AJ882&gt;0),($M882*$AG882*$AJ882)-$AI882,0),0)</f>
        <v>29.7723243421432</v>
      </c>
      <c r="AS882" s="153" t="n">
        <f aca="false">IFERROR(IF(AND($N882="VCA",$AP882&gt;0),$AP882-$AI882-$AQ882-$AR882,0),0)</f>
        <v>74.80395</v>
      </c>
      <c r="AT882" s="153" t="n">
        <f aca="false">IFERROR(IF($N882="VCA",INDEX(APOIO_REDES!$A:$W,MATCH($C882&amp;$I882&amp;$H882&amp;$N882&amp;$O882,APOIO_REDES!$W:$W,0),MATCH(AT$5,APOIO_REDES!$5:$5,0)),0)*$AP882,0)</f>
        <v>1.23258985139065</v>
      </c>
      <c r="AU882" s="153" t="n">
        <f aca="false">IFERROR(IF($N882="VCA",INDEX(APOIO_REDES!$A:$W,MATCH($C882&amp;$I882&amp;$H882&amp;$N882&amp;$O882,APOIO_REDES!$W:$W,0),MATCH(AU$5,APOIO_REDES!$5:$5,0)),0)*$AP882,0)</f>
        <v>0.984312872553782</v>
      </c>
      <c r="AV882" s="153" t="n">
        <f aca="false">IFERROR(IF($N882="VCA",INDEX(APOIO_REDES!$A:$W,MATCH($C882&amp;$I882&amp;$H882&amp;$N882&amp;$O882,APOIO_REDES!$W:$W,0),MATCH(AV$5,APOIO_REDES!$5:$5,0)),0)*$AP882,0)</f>
        <v>0.136221174402427</v>
      </c>
      <c r="AW882" s="153" t="n">
        <f aca="false">IFERROR(IF($N882="VCA",INDEX(APOIO_REDES!$A:$W,MATCH($C882&amp;$I882&amp;$H882&amp;$N882&amp;$O882,APOIO_REDES!$W:$W,0),MATCH(AW$5,APOIO_REDES!$5:$5,0)),0)*$AP882,0)</f>
        <v>77.7606809356664</v>
      </c>
      <c r="AX882" s="153" t="n">
        <f aca="false">IFERROR(IF($N882="VCA",INDEX(APOIO_REDES!$A:$W,MATCH($C882&amp;$I882&amp;$H882&amp;$N882&amp;$O882,APOIO_REDES!$W:$W,0),MATCH(AX$5,APOIO_REDES!$5:$5,0)),0)*$AP882,0)</f>
        <v>10.7618567360037</v>
      </c>
      <c r="AY882" s="153" t="n">
        <f aca="false">IFERROR(IF($N882="VCA",INDEX(APOIO_REDES!$A:$W,MATCH($C882&amp;$I882&amp;$H882&amp;$N882&amp;$O882,APOIO_REDES!$W:$W,0),MATCH(AY$5,APOIO_REDES!$5:$5,0)),0)*$AP882,0)</f>
        <v>19.6862454523815</v>
      </c>
      <c r="AZ882" s="153" t="n">
        <f aca="false">IFERROR(IF($N882="VCA",INDEX(APOIO_REDES!$A:$W,MATCH($C882&amp;$I882&amp;$H882&amp;$N882&amp;$O882,APOIO_REDES!$W:$W,0),MATCH(AZ$5,APOIO_REDES!$5:$5,0)),0)*$AP882,0)</f>
        <v>2.72451947760154</v>
      </c>
      <c r="BA882" s="153" t="n">
        <f aca="false">IFERROR(IF(AND($N882="VCA",$Q882="LINEAR"),INDEX(APOIO_REDES!$A:$W,MATCH($C882&amp;$I882&amp;$H882&amp;$N882&amp;$O882,APOIO_REDES!$W:$W,0),MATCH(BA$5,APOIO_REDES!$5:$5,0)),IF(AND($N882="MND",$Q882="EMBOQUE"),INDEX(APOIO_REDES!$A:$W,MATCH($C882&amp;$I882&amp;$H882&amp;$N882&amp;$O882,APOIO_REDES!$W:$W,0),MATCH(BA$5,APOIO_REDES!$5:$5,0)),0))*$M882/10,0)</f>
        <v>10.3059994581265</v>
      </c>
      <c r="BB882" s="153" t="n">
        <f aca="false">IFERROR(IF($N882="VCA",INDEX(APOIO_REDES!$A:$W,MATCH($C882&amp;$I882&amp;$H882&amp;$N882&amp;$O882,APOIO_REDES!$W:$W,0),MATCH(BB$5,APOIO_REDES!$5:$5,0)),0)*($AI882+$AQ882+$AR882),0)</f>
        <v>38.0637757654484</v>
      </c>
      <c r="BC882" s="153" t="n">
        <f aca="false">IFERROR(IF($N882="VCA",INDEX(APOIO_REDES!$A:$W,MATCH($C882&amp;$I882&amp;$H882&amp;$N882&amp;$O882,APOIO_REDES!$W:$W,0),MATCH(BC$5,APOIO_REDES!$5:$5,0)),0)*($AI882+$AQ882+$AR882),0)</f>
        <v>0.418700734551631</v>
      </c>
      <c r="BD882" s="153" t="n">
        <f aca="false">IF(AND($N882="VCA",$AF882&gt;=1.25,$AF882&lt;1.5),$M882*$AF882*2,0)</f>
        <v>348.57362</v>
      </c>
      <c r="BE882" s="153" t="n">
        <f aca="false">IF(AND($N882="VCA",$AF882&gt;=1.5,$AF882&lt;3),$M882*$AF882*2,0)</f>
        <v>0</v>
      </c>
      <c r="BF882" s="153" t="n">
        <f aca="false">IF(AND($N882="VCA",$AF882&gt;=3),$M882*$AF882*2,0)</f>
        <v>0</v>
      </c>
      <c r="BG882" s="153" t="n">
        <f aca="false">($BB882+$BC882)*$AK882</f>
        <v>138.5369154</v>
      </c>
      <c r="BH882" s="153" t="n">
        <f aca="false">IF(AND($M882&lt;&gt;"",$N882="VCA",$Q882="LINEAR"),($M882*2)/100,IF(AND($M882&lt;&gt;"",$N882="MND",$Q882="EMBOQUE"),($AN882*2)/100,0))</f>
        <v>2.5574</v>
      </c>
      <c r="BI882" s="153" t="n">
        <f aca="false">IF(AND($M882&lt;&gt;"",$N882="VCA",$Q882="LINEAR"),$M882,IF(AND($M882&lt;&gt;"",$N882="MND",$Q882="EMBOQUE"),$AN882*2,0))</f>
        <v>127.87</v>
      </c>
      <c r="BJ882" s="153" t="n">
        <f aca="false">IF(AND($M882&lt;&gt;"",$N882="VCA",$Q882="LINEAR"),($M882*6.8)/100,IF(AND($M882&lt;&gt;"",$N882="MND",$Q882="EMBOQUE"),($AN882*2*6.8)/100,0))</f>
        <v>8.69516</v>
      </c>
      <c r="BK882" s="153" t="n">
        <f aca="false">IF(AND($M882&lt;&gt;"",$N882="VCA",$Q882="LINEAR"),($M882*2.5)/50,IF(AND($M882&lt;&gt;"",$N882="MND",$Q882="EMBOQUE"),($AN882*2*2.5)/50,0))</f>
        <v>6.3935</v>
      </c>
      <c r="BL882" s="157" t="str">
        <f aca="false">K882&amp;J882</f>
        <v>Zona08REDES</v>
      </c>
      <c r="BM882" s="152" t="s">
        <v>4834</v>
      </c>
      <c r="BN882" s="152" t="s">
        <v>1560</v>
      </c>
      <c r="BO882" s="152" t="s">
        <v>2489</v>
      </c>
      <c r="BP882" s="152" t="s">
        <v>4863</v>
      </c>
      <c r="BQ882" s="152" t="s">
        <v>4894</v>
      </c>
      <c r="BR882" s="152" t="s">
        <v>4895</v>
      </c>
      <c r="BS882" s="152" t="n">
        <v>202662.047</v>
      </c>
      <c r="BT882" s="152" t="n">
        <v>8237324.319</v>
      </c>
      <c r="BU882" s="152" t="n">
        <v>202688.728</v>
      </c>
      <c r="BV882" s="152" t="n">
        <v>8237199.542</v>
      </c>
      <c r="BW882" s="152" t="n">
        <v>-15.9260894</v>
      </c>
      <c r="BX882" s="152" t="n">
        <v>-47.7770045</v>
      </c>
      <c r="BY882" s="152" t="s">
        <v>4863</v>
      </c>
    </row>
    <row r="883" customFormat="false" ht="13.8" hidden="false" customHeight="false" outlineLevel="0" collapsed="false">
      <c r="A883" s="149" t="n">
        <f aca="false">IF(C883&lt;&gt;"",ROW(A878),"")</f>
        <v>878</v>
      </c>
      <c r="B883" s="150" t="str">
        <f aca="false">HYPERLINK("https://www.google.com/maps/dir/-15.917302,-47.760003/-15.9262292,-47.7765441/data=!4m3!4m2!3e0!5i2")</f>
        <v>https://www.google.com/maps/dir/-15.917302,-47.760003/-15.9262292,-47.7765441/data=!4m3!4m2!3e0!5i2</v>
      </c>
      <c r="C883" s="151" t="s">
        <v>117</v>
      </c>
      <c r="D883" s="152" t="s">
        <v>112</v>
      </c>
      <c r="E883" s="152" t="s">
        <v>113</v>
      </c>
      <c r="F883" s="152" t="s">
        <v>117</v>
      </c>
      <c r="G883" s="152" t="s">
        <v>782</v>
      </c>
      <c r="H883" s="152" t="n">
        <v>90</v>
      </c>
      <c r="I883" s="152" t="s">
        <v>115</v>
      </c>
      <c r="J883" s="152" t="s">
        <v>6</v>
      </c>
      <c r="K883" s="152" t="s">
        <v>4831</v>
      </c>
      <c r="L883" s="152" t="s">
        <v>120</v>
      </c>
      <c r="M883" s="153" t="n">
        <f aca="false">114.53</f>
        <v>114.53</v>
      </c>
      <c r="N883" s="152" t="s">
        <v>1548</v>
      </c>
      <c r="O883" s="152" t="s">
        <v>1549</v>
      </c>
      <c r="P883" s="152" t="s">
        <v>1550</v>
      </c>
      <c r="Q883" s="152" t="s">
        <v>1551</v>
      </c>
      <c r="R883" s="154" t="s">
        <v>4896</v>
      </c>
      <c r="S883" s="154" t="s">
        <v>1593</v>
      </c>
      <c r="T883" s="155" t="s">
        <v>2487</v>
      </c>
      <c r="U883" s="152" t="str">
        <f aca="false">RIGHT(T883,7)</f>
        <v>011/037</v>
      </c>
      <c r="V883" s="152" t="s">
        <v>1555</v>
      </c>
      <c r="W883" s="156" t="n">
        <v>45882</v>
      </c>
      <c r="X883" s="152" t="s">
        <v>1594</v>
      </c>
      <c r="Y883" s="152" t="s">
        <v>3516</v>
      </c>
      <c r="Z883" s="152" t="s">
        <v>1557</v>
      </c>
      <c r="AA883" s="153" t="n">
        <v>3.8</v>
      </c>
      <c r="AB883" s="151" t="s">
        <v>4897</v>
      </c>
      <c r="AC883" s="151" t="s">
        <v>526</v>
      </c>
      <c r="AD883" s="151" t="str">
        <f aca="false">CONCATENATE($C883,$I883,$H883,$N883,$J883,$K883)</f>
        <v>TUBO PEADPEAD90VCAREDESZona08</v>
      </c>
      <c r="AE883" s="153" t="n">
        <f aca="false">IFERROR(INDEX(APOIO_REDES!$A:$W,MATCH($C883&amp;$I883&amp;$H883&amp;$N883&amp;$O883,APOIO_REDES!$W:$W,0),MATCH(AE$5,APOIO_REDES!$5:$5,0)),0)</f>
        <v>1.2</v>
      </c>
      <c r="AF883" s="153" t="n">
        <f aca="false">IFERROR(INDEX(APOIO_REDES!$A:$W,MATCH($C883&amp;$I883&amp;$H883&amp;$N883&amp;$O883,APOIO_REDES!$W:$W,0),MATCH(AF$5,APOIO_REDES!$5:$5,0)),0)</f>
        <v>1.39</v>
      </c>
      <c r="AG883" s="153" t="n">
        <f aca="false">IFERROR(INDEX(APOIO_REDES!$A:$W,MATCH($C883&amp;$I883&amp;$H883&amp;$N883&amp;$O883,APOIO_REDES!$W:$W,0),MATCH(AG$5,APOIO_REDES!$5:$5,0)),0)</f>
        <v>0.75</v>
      </c>
      <c r="AH883" s="153" t="n">
        <f aca="false">IFERROR(INDEX(APOIO_REDES!$A:$W,MATCH($C883&amp;$I883&amp;$H883&amp;$N883&amp;$O883,APOIO_REDES!$W:$W,0),MATCH(AH$5,APOIO_REDES!$5:$5,0)),0)</f>
        <v>0.1</v>
      </c>
      <c r="AI883" s="153" t="n">
        <f aca="false">IFERROR(IF($H883&lt;&gt;"",(((($H883/1000)/2)^2)*PI()*$M883),0),0)</f>
        <v>0.728608378396669</v>
      </c>
      <c r="AJ883" s="153" t="n">
        <f aca="false">IFERROR(IF(AND($H883&lt;&gt;"",$I883="FoFo",OR($N883="MND",$N883="VCA"),$Q883="LINEAR"),0,IF(AND($H883&lt;&gt;"",$I883="PEAD",$N883="VCA",$Q883="LINEAR"),($H883/1000)+0.3,IF(AND($H883&lt;&gt;"",$I883="PEAD",$N883="MND",$Q883="EMBOQUE"),0,IF(AND($H883&lt;&gt;"",$I883="PVC",$N883="VCA",$Q883="LINEAR"),($H883/1000)+0.2,IF(AND($H883&lt;&gt;"",$I883="PVC",$N883="MND",$Q883="EMBOQUE"),0,IF(AND($H883&lt;&gt;"",$I883="PEAD",$N883="VCA",$Q883="PREDIAL"),0,0)))))),0)</f>
        <v>0.39</v>
      </c>
      <c r="AK883" s="153" t="n">
        <f aca="false">IF(AA883&lt;&gt;"",AA883,0)</f>
        <v>3.8</v>
      </c>
      <c r="AL883" s="153" t="n">
        <f aca="false">IF(AND($N883="MND",$Q883="EMBOQUE"),$M883,IF(AND($N883="VCA",$Q883="LINEAR"),$M883,IF(AND($N883="VCA",$Q883="PREDIAL"),0,0)))</f>
        <v>114.53</v>
      </c>
      <c r="AM883" s="153" t="n">
        <f aca="false">IF(AND($N883="MND",$Q883="EMBOQUE"),$M883,IF(AND($N883="VCA",$Q883="LINEAR"),$M883,IF(AND($N883="VCA",$Q883="PREDIAL"),0,0)))</f>
        <v>114.53</v>
      </c>
      <c r="AN883" s="153" t="n">
        <f aca="false">ROUND(IF(AND($N883="VCA",$M883&lt;&gt;"",$Q883="LINEAR"),$M883/100,IF(AND($N883="MND",$M883&gt;100,$Q883="EMBOQUE"),$M883/100,0)),0)</f>
        <v>1</v>
      </c>
      <c r="AO883" s="153" t="n">
        <f aca="false">IF(AND($N883="MND",$Q883="EMBOQUE"),$AN883*2*2,IF(AND($N883="VCA",$Q883="LINEAR"),$M883*2,IF(AND($N883="VCA",$Q883="PREDIAL"),0,0)))</f>
        <v>229.06</v>
      </c>
      <c r="AP883" s="153" t="n">
        <f aca="false">IFERROR($M883*$AF883*$AG883,0)</f>
        <v>119.397525</v>
      </c>
      <c r="AQ883" s="153" t="n">
        <f aca="false">IFERROR(IF(AND($N883="VCA",$AH883&gt;0),$M883*$AG883*$AH883,0),0)</f>
        <v>8.58975</v>
      </c>
      <c r="AR883" s="153" t="n">
        <f aca="false">IFERROR(IF(AND($N883="VCA",$AJ883&gt;0),($M883*$AG883*$AJ883)-$AI883,0),0)</f>
        <v>32.7714166216033</v>
      </c>
      <c r="AS883" s="153" t="n">
        <f aca="false">IFERROR(IF(AND($N883="VCA",$AP883&gt;0),$AP883-$AI883-$AQ883-$AR883,0),0)</f>
        <v>77.30775</v>
      </c>
      <c r="AT883" s="153" t="n">
        <f aca="false">IFERROR(IF($N883="VCA",INDEX(APOIO_REDES!$A:$W,MATCH($C883&amp;$I883&amp;$H883&amp;$N883&amp;$O883,APOIO_REDES!$W:$W,0),MATCH(AT$5,APOIO_REDES!$5:$5,0)),0)*$AP883,0)</f>
        <v>1.29908041186348</v>
      </c>
      <c r="AU883" s="153" t="n">
        <f aca="false">IFERROR(IF($N883="VCA",INDEX(APOIO_REDES!$A:$W,MATCH($C883&amp;$I883&amp;$H883&amp;$N883&amp;$O883,APOIO_REDES!$W:$W,0),MATCH(AU$5,APOIO_REDES!$5:$5,0)),0)*$AP883,0)</f>
        <v>1.03741043335463</v>
      </c>
      <c r="AV883" s="153" t="n">
        <f aca="false">IFERROR(IF($N883="VCA",INDEX(APOIO_REDES!$A:$W,MATCH($C883&amp;$I883&amp;$H883&amp;$N883&amp;$O883,APOIO_REDES!$W:$W,0),MATCH(AV$5,APOIO_REDES!$5:$5,0)),0)*$AP883,0)</f>
        <v>0.143569459985068</v>
      </c>
      <c r="AW883" s="153" t="n">
        <f aca="false">IFERROR(IF($N883="VCA",INDEX(APOIO_REDES!$A:$W,MATCH($C883&amp;$I883&amp;$H883&amp;$N883&amp;$O883,APOIO_REDES!$W:$W,0),MATCH(AW$5,APOIO_REDES!$5:$5,0)),0)*$AP883,0)</f>
        <v>81.9553862971682</v>
      </c>
      <c r="AX883" s="153" t="n">
        <f aca="false">IFERROR(IF($N883="VCA",INDEX(APOIO_REDES!$A:$W,MATCH($C883&amp;$I883&amp;$H883&amp;$N883&amp;$O883,APOIO_REDES!$W:$W,0),MATCH(AX$5,APOIO_REDES!$5:$5,0)),0)*$AP883,0)</f>
        <v>11.3423920091912</v>
      </c>
      <c r="AY883" s="153" t="n">
        <f aca="false">IFERROR(IF($N883="VCA",INDEX(APOIO_REDES!$A:$W,MATCH($C883&amp;$I883&amp;$H883&amp;$N883&amp;$O883,APOIO_REDES!$W:$W,0),MATCH(AY$5,APOIO_REDES!$5:$5,0)),0)*$AP883,0)</f>
        <v>20.7481960211434</v>
      </c>
      <c r="AZ883" s="153" t="n">
        <f aca="false">IFERROR(IF($N883="VCA",INDEX(APOIO_REDES!$A:$W,MATCH($C883&amp;$I883&amp;$H883&amp;$N883&amp;$O883,APOIO_REDES!$W:$W,0),MATCH(AZ$5,APOIO_REDES!$5:$5,0)),0)*$AP883,0)</f>
        <v>2.87149036729406</v>
      </c>
      <c r="BA883" s="153" t="n">
        <f aca="false">IFERROR(IF(AND($N883="VCA",$Q883="LINEAR"),INDEX(APOIO_REDES!$A:$W,MATCH($C883&amp;$I883&amp;$H883&amp;$N883&amp;$O883,APOIO_REDES!$W:$W,0),MATCH(BA$5,APOIO_REDES!$5:$5,0)),IF(AND($N883="MND",$Q883="EMBOQUE"),INDEX(APOIO_REDES!$A:$W,MATCH($C883&amp;$I883&amp;$H883&amp;$N883&amp;$O883,APOIO_REDES!$W:$W,0),MATCH(BA$5,APOIO_REDES!$5:$5,0)),0))*$M883/10,0)</f>
        <v>9.23082910721224</v>
      </c>
      <c r="BB883" s="153" t="n">
        <f aca="false">IFERROR(IF($N883="VCA",INDEX(APOIO_REDES!$A:$W,MATCH($C883&amp;$I883&amp;$H883&amp;$N883&amp;$O883,APOIO_REDES!$W:$W,0),MATCH(BB$5,APOIO_REDES!$5:$5,0)),0)*($AI883+$AQ883+$AR883),0)</f>
        <v>41.6318257900625</v>
      </c>
      <c r="BC883" s="153" t="n">
        <f aca="false">IFERROR(IF($N883="VCA",INDEX(APOIO_REDES!$A:$W,MATCH($C883&amp;$I883&amp;$H883&amp;$N883&amp;$O883,APOIO_REDES!$W:$W,0),MATCH(BC$5,APOIO_REDES!$5:$5,0)),0)*($AI883+$AQ883+$AR883),0)</f>
        <v>0.457949209937486</v>
      </c>
      <c r="BD883" s="153" t="n">
        <f aca="false">IF(AND($N883="VCA",$AF883&gt;=1.25,$AF883&lt;1.5),$M883*$AF883*2,0)</f>
        <v>318.3934</v>
      </c>
      <c r="BE883" s="153" t="n">
        <f aca="false">IF(AND($N883="VCA",$AF883&gt;=1.5,$AF883&lt;3),$M883*$AF883*2,0)</f>
        <v>0</v>
      </c>
      <c r="BF883" s="153" t="n">
        <f aca="false">IF(AND($N883="VCA",$AF883&gt;=3),$M883*$AF883*2,0)</f>
        <v>0</v>
      </c>
      <c r="BG883" s="153" t="n">
        <f aca="false">($BB883+$BC883)*$AK883</f>
        <v>159.941145</v>
      </c>
      <c r="BH883" s="153" t="n">
        <f aca="false">IF(AND($M883&lt;&gt;"",$N883="VCA",$Q883="LINEAR"),($M883*2)/100,IF(AND($M883&lt;&gt;"",$N883="MND",$Q883="EMBOQUE"),($AN883*2)/100,0))</f>
        <v>2.2906</v>
      </c>
      <c r="BI883" s="153" t="n">
        <f aca="false">IF(AND($M883&lt;&gt;"",$N883="VCA",$Q883="LINEAR"),$M883,IF(AND($M883&lt;&gt;"",$N883="MND",$Q883="EMBOQUE"),$AN883*2,0))</f>
        <v>114.53</v>
      </c>
      <c r="BJ883" s="153" t="n">
        <f aca="false">IF(AND($M883&lt;&gt;"",$N883="VCA",$Q883="LINEAR"),($M883*6.8)/100,IF(AND($M883&lt;&gt;"",$N883="MND",$Q883="EMBOQUE"),($AN883*2*6.8)/100,0))</f>
        <v>7.78804</v>
      </c>
      <c r="BK883" s="153" t="n">
        <f aca="false">IF(AND($M883&lt;&gt;"",$N883="VCA",$Q883="LINEAR"),($M883*2.5)/50,IF(AND($M883&lt;&gt;"",$N883="MND",$Q883="EMBOQUE"),($AN883*2*2.5)/50,0))</f>
        <v>5.7265</v>
      </c>
      <c r="BL883" s="157" t="str">
        <f aca="false">K883&amp;J883</f>
        <v>Zona08REDES</v>
      </c>
      <c r="BM883" s="152" t="s">
        <v>4834</v>
      </c>
      <c r="BN883" s="152" t="s">
        <v>1560</v>
      </c>
      <c r="BO883" s="152" t="s">
        <v>2489</v>
      </c>
      <c r="BP883" s="152" t="s">
        <v>4883</v>
      </c>
      <c r="BQ883" s="152" t="s">
        <v>2232</v>
      </c>
      <c r="BR883" s="152" t="s">
        <v>4898</v>
      </c>
      <c r="BS883" s="152" t="n">
        <v>202724.919</v>
      </c>
      <c r="BT883" s="152" t="n">
        <v>8237247.11</v>
      </c>
      <c r="BU883" s="152" t="n">
        <v>202836.645</v>
      </c>
      <c r="BV883" s="152" t="n">
        <v>8237272.15</v>
      </c>
      <c r="BW883" s="152" t="n">
        <v>-15.9261281</v>
      </c>
      <c r="BX883" s="152" t="n">
        <v>-47.77602</v>
      </c>
      <c r="BY883" s="152" t="s">
        <v>4883</v>
      </c>
    </row>
    <row r="884" customFormat="false" ht="13.8" hidden="false" customHeight="false" outlineLevel="0" collapsed="false">
      <c r="A884" s="149" t="n">
        <f aca="false">IF(C884&lt;&gt;"",ROW(A879),"")</f>
        <v>879</v>
      </c>
      <c r="B884" s="150" t="str">
        <f aca="false">HYPERLINK("https://www.google.com/maps/dir/-15.917302,-47.760003/-15.9265306,-47.7760188/data=!4m3!4m2!3e0!5i2")</f>
        <v>https://www.google.com/maps/dir/-15.917302,-47.760003/-15.9265306,-47.7760188/data=!4m3!4m2!3e0!5i2</v>
      </c>
      <c r="C884" s="151" t="s">
        <v>117</v>
      </c>
      <c r="D884" s="152" t="s">
        <v>112</v>
      </c>
      <c r="E884" s="152" t="s">
        <v>113</v>
      </c>
      <c r="F884" s="152" t="s">
        <v>117</v>
      </c>
      <c r="G884" s="152" t="s">
        <v>782</v>
      </c>
      <c r="H884" s="152" t="n">
        <v>90</v>
      </c>
      <c r="I884" s="152" t="s">
        <v>115</v>
      </c>
      <c r="J884" s="152" t="s">
        <v>6</v>
      </c>
      <c r="K884" s="152" t="s">
        <v>4831</v>
      </c>
      <c r="L884" s="152" t="s">
        <v>120</v>
      </c>
      <c r="M884" s="153" t="n">
        <f aca="false">190.88</f>
        <v>190.88</v>
      </c>
      <c r="N884" s="152" t="s">
        <v>1548</v>
      </c>
      <c r="O884" s="152" t="s">
        <v>1549</v>
      </c>
      <c r="P884" s="152" t="s">
        <v>1550</v>
      </c>
      <c r="Q884" s="152" t="s">
        <v>1551</v>
      </c>
      <c r="R884" s="154" t="s">
        <v>4899</v>
      </c>
      <c r="S884" s="154" t="s">
        <v>1593</v>
      </c>
      <c r="T884" s="155" t="s">
        <v>2487</v>
      </c>
      <c r="U884" s="152" t="str">
        <f aca="false">RIGHT(T884,7)</f>
        <v>011/037</v>
      </c>
      <c r="V884" s="152" t="s">
        <v>1555</v>
      </c>
      <c r="W884" s="156" t="n">
        <v>45882</v>
      </c>
      <c r="X884" s="152" t="s">
        <v>1594</v>
      </c>
      <c r="Y884" s="152" t="s">
        <v>3494</v>
      </c>
      <c r="Z884" s="152" t="s">
        <v>1557</v>
      </c>
      <c r="AA884" s="153" t="n">
        <v>3.8</v>
      </c>
      <c r="AB884" s="151" t="s">
        <v>4900</v>
      </c>
      <c r="AC884" s="151" t="s">
        <v>526</v>
      </c>
      <c r="AD884" s="151" t="str">
        <f aca="false">CONCATENATE($C884,$I884,$H884,$N884,$J884,$K884)</f>
        <v>TUBO PEADPEAD90VCAREDESZona08</v>
      </c>
      <c r="AE884" s="153" t="n">
        <f aca="false">IFERROR(INDEX(APOIO_REDES!$A:$W,MATCH($C884&amp;$I884&amp;$H884&amp;$N884&amp;$O884,APOIO_REDES!$W:$W,0),MATCH(AE$5,APOIO_REDES!$5:$5,0)),0)</f>
        <v>1.2</v>
      </c>
      <c r="AF884" s="153" t="n">
        <f aca="false">IFERROR(INDEX(APOIO_REDES!$A:$W,MATCH($C884&amp;$I884&amp;$H884&amp;$N884&amp;$O884,APOIO_REDES!$W:$W,0),MATCH(AF$5,APOIO_REDES!$5:$5,0)),0)</f>
        <v>1.39</v>
      </c>
      <c r="AG884" s="153" t="n">
        <f aca="false">IFERROR(INDEX(APOIO_REDES!$A:$W,MATCH($C884&amp;$I884&amp;$H884&amp;$N884&amp;$O884,APOIO_REDES!$W:$W,0),MATCH(AG$5,APOIO_REDES!$5:$5,0)),0)</f>
        <v>0.75</v>
      </c>
      <c r="AH884" s="153" t="n">
        <f aca="false">IFERROR(INDEX(APOIO_REDES!$A:$W,MATCH($C884&amp;$I884&amp;$H884&amp;$N884&amp;$O884,APOIO_REDES!$W:$W,0),MATCH(AH$5,APOIO_REDES!$5:$5,0)),0)</f>
        <v>0.1</v>
      </c>
      <c r="AI884" s="153" t="n">
        <f aca="false">IFERROR(IF($H884&lt;&gt;"",(((($H884/1000)/2)^2)*PI()*$M884),0),0)</f>
        <v>1.21432609157737</v>
      </c>
      <c r="AJ884" s="153" t="n">
        <f aca="false">IFERROR(IF(AND($H884&lt;&gt;"",$I884="FoFo",OR($N884="MND",$N884="VCA"),$Q884="LINEAR"),0,IF(AND($H884&lt;&gt;"",$I884="PEAD",$N884="VCA",$Q884="LINEAR"),($H884/1000)+0.3,IF(AND($H884&lt;&gt;"",$I884="PEAD",$N884="MND",$Q884="EMBOQUE"),0,IF(AND($H884&lt;&gt;"",$I884="PVC",$N884="VCA",$Q884="LINEAR"),($H884/1000)+0.2,IF(AND($H884&lt;&gt;"",$I884="PVC",$N884="MND",$Q884="EMBOQUE"),0,IF(AND($H884&lt;&gt;"",$I884="PEAD",$N884="VCA",$Q884="PREDIAL"),0,0)))))),0)</f>
        <v>0.39</v>
      </c>
      <c r="AK884" s="153" t="n">
        <f aca="false">IF(AA884&lt;&gt;"",AA884,0)</f>
        <v>3.8</v>
      </c>
      <c r="AL884" s="153" t="n">
        <f aca="false">IF(AND($N884="MND",$Q884="EMBOQUE"),$M884,IF(AND($N884="VCA",$Q884="LINEAR"),$M884,IF(AND($N884="VCA",$Q884="PREDIAL"),0,0)))</f>
        <v>190.88</v>
      </c>
      <c r="AM884" s="153" t="n">
        <f aca="false">IF(AND($N884="MND",$Q884="EMBOQUE"),$M884,IF(AND($N884="VCA",$Q884="LINEAR"),$M884,IF(AND($N884="VCA",$Q884="PREDIAL"),0,0)))</f>
        <v>190.88</v>
      </c>
      <c r="AN884" s="153" t="n">
        <f aca="false">ROUND(IF(AND($N884="VCA",$M884&lt;&gt;"",$Q884="LINEAR"),$M884/100,IF(AND($N884="MND",$M884&gt;100,$Q884="EMBOQUE"),$M884/100,0)),0)</f>
        <v>2</v>
      </c>
      <c r="AO884" s="153" t="n">
        <f aca="false">IF(AND($N884="MND",$Q884="EMBOQUE"),$AN884*2*2,IF(AND($N884="VCA",$Q884="LINEAR"),$M884*2,IF(AND($N884="VCA",$Q884="PREDIAL"),0,0)))</f>
        <v>381.76</v>
      </c>
      <c r="AP884" s="153" t="n">
        <f aca="false">IFERROR($M884*$AF884*$AG884,0)</f>
        <v>198.9924</v>
      </c>
      <c r="AQ884" s="153" t="n">
        <f aca="false">IFERROR(IF(AND($N884="VCA",$AH884&gt;0),$M884*$AG884*$AH884,0),0)</f>
        <v>14.316</v>
      </c>
      <c r="AR884" s="153" t="n">
        <f aca="false">IFERROR(IF(AND($N884="VCA",$AJ884&gt;0),($M884*$AG884*$AJ884)-$AI884,0),0)</f>
        <v>54.6180739084226</v>
      </c>
      <c r="AS884" s="153" t="n">
        <f aca="false">IFERROR(IF(AND($N884="VCA",$AP884&gt;0),$AP884-$AI884-$AQ884-$AR884,0),0)</f>
        <v>128.844</v>
      </c>
      <c r="AT884" s="153" t="n">
        <f aca="false">IFERROR(IF($N884="VCA",INDEX(APOIO_REDES!$A:$W,MATCH($C884&amp;$I884&amp;$H884&amp;$N884&amp;$O884,APOIO_REDES!$W:$W,0),MATCH(AT$5,APOIO_REDES!$5:$5,0)),0)*$AP884,0)</f>
        <v>2.16509621074392</v>
      </c>
      <c r="AU884" s="153" t="n">
        <f aca="false">IFERROR(IF($N884="VCA",INDEX(APOIO_REDES!$A:$W,MATCH($C884&amp;$I884&amp;$H884&amp;$N884&amp;$O884,APOIO_REDES!$W:$W,0),MATCH(AU$5,APOIO_REDES!$5:$5,0)),0)*$AP884,0)</f>
        <v>1.72898719565818</v>
      </c>
      <c r="AV884" s="153" t="n">
        <f aca="false">IFERROR(IF($N884="VCA",INDEX(APOIO_REDES!$A:$W,MATCH($C884&amp;$I884&amp;$H884&amp;$N884&amp;$O884,APOIO_REDES!$W:$W,0),MATCH(AV$5,APOIO_REDES!$5:$5,0)),0)*$AP884,0)</f>
        <v>0.239278254797431</v>
      </c>
      <c r="AW884" s="153" t="n">
        <f aca="false">IFERROR(IF($N884="VCA",INDEX(APOIO_REDES!$A:$W,MATCH($C884&amp;$I884&amp;$H884&amp;$N884&amp;$O884,APOIO_REDES!$W:$W,0),MATCH(AW$5,APOIO_REDES!$5:$5,0)),0)*$AP884,0)</f>
        <v>136.589925228355</v>
      </c>
      <c r="AX884" s="153" t="n">
        <f aca="false">IFERROR(IF($N884="VCA",INDEX(APOIO_REDES!$A:$W,MATCH($C884&amp;$I884&amp;$H884&amp;$N884&amp;$O884,APOIO_REDES!$W:$W,0),MATCH(AX$5,APOIO_REDES!$5:$5,0)),0)*$AP884,0)</f>
        <v>18.9036565678373</v>
      </c>
      <c r="AY884" s="153" t="n">
        <f aca="false">IFERROR(IF($N884="VCA",INDEX(APOIO_REDES!$A:$W,MATCH($C884&amp;$I884&amp;$H884&amp;$N884&amp;$O884,APOIO_REDES!$W:$W,0),MATCH(AY$5,APOIO_REDES!$5:$5,0)),0)*$AP884,0)</f>
        <v>34.5797228369498</v>
      </c>
      <c r="AZ884" s="153" t="n">
        <f aca="false">IFERROR(IF($N884="VCA",INDEX(APOIO_REDES!$A:$W,MATCH($C884&amp;$I884&amp;$H884&amp;$N884&amp;$O884,APOIO_REDES!$W:$W,0),MATCH(AZ$5,APOIO_REDES!$5:$5,0)),0)*$AP884,0)</f>
        <v>4.78573370565869</v>
      </c>
      <c r="BA884" s="153" t="n">
        <f aca="false">IFERROR(IF(AND($N884="VCA",$Q884="LINEAR"),INDEX(APOIO_REDES!$A:$W,MATCH($C884&amp;$I884&amp;$H884&amp;$N884&amp;$O884,APOIO_REDES!$W:$W,0),MATCH(BA$5,APOIO_REDES!$5:$5,0)),IF(AND($N884="MND",$Q884="EMBOQUE"),INDEX(APOIO_REDES!$A:$W,MATCH($C884&amp;$I884&amp;$H884&amp;$N884&amp;$O884,APOIO_REDES!$W:$W,0),MATCH(BA$5,APOIO_REDES!$5:$5,0)),0))*$M884/10,0)</f>
        <v>15.3844465204285</v>
      </c>
      <c r="BB884" s="153" t="n">
        <f aca="false">IFERROR(IF($N884="VCA",INDEX(APOIO_REDES!$A:$W,MATCH($C884&amp;$I884&amp;$H884&amp;$N884&amp;$O884,APOIO_REDES!$W:$W,0),MATCH(BB$5,APOIO_REDES!$5:$5,0)),0)*($AI884+$AQ884+$AR884),0)</f>
        <v>69.3851646451334</v>
      </c>
      <c r="BC884" s="153" t="n">
        <f aca="false">IFERROR(IF($N884="VCA",INDEX(APOIO_REDES!$A:$W,MATCH($C884&amp;$I884&amp;$H884&amp;$N884&amp;$O884,APOIO_REDES!$W:$W,0),MATCH(BC$5,APOIO_REDES!$5:$5,0)),0)*($AI884+$AQ884+$AR884),0)</f>
        <v>0.763235354866562</v>
      </c>
      <c r="BD884" s="153" t="n">
        <f aca="false">IF(AND($N884="VCA",$AF884&gt;=1.25,$AF884&lt;1.5),$M884*$AF884*2,0)</f>
        <v>530.6464</v>
      </c>
      <c r="BE884" s="153" t="n">
        <f aca="false">IF(AND($N884="VCA",$AF884&gt;=1.5,$AF884&lt;3),$M884*$AF884*2,0)</f>
        <v>0</v>
      </c>
      <c r="BF884" s="153" t="n">
        <f aca="false">IF(AND($N884="VCA",$AF884&gt;=3),$M884*$AF884*2,0)</f>
        <v>0</v>
      </c>
      <c r="BG884" s="153" t="n">
        <f aca="false">($BB884+$BC884)*$AK884</f>
        <v>266.56392</v>
      </c>
      <c r="BH884" s="153" t="n">
        <f aca="false">IF(AND($M884&lt;&gt;"",$N884="VCA",$Q884="LINEAR"),($M884*2)/100,IF(AND($M884&lt;&gt;"",$N884="MND",$Q884="EMBOQUE"),($AN884*2)/100,0))</f>
        <v>3.8176</v>
      </c>
      <c r="BI884" s="153" t="n">
        <f aca="false">IF(AND($M884&lt;&gt;"",$N884="VCA",$Q884="LINEAR"),$M884,IF(AND($M884&lt;&gt;"",$N884="MND",$Q884="EMBOQUE"),$AN884*2,0))</f>
        <v>190.88</v>
      </c>
      <c r="BJ884" s="153" t="n">
        <f aca="false">IF(AND($M884&lt;&gt;"",$N884="VCA",$Q884="LINEAR"),($M884*6.8)/100,IF(AND($M884&lt;&gt;"",$N884="MND",$Q884="EMBOQUE"),($AN884*2*6.8)/100,0))</f>
        <v>12.97984</v>
      </c>
      <c r="BK884" s="153" t="n">
        <f aca="false">IF(AND($M884&lt;&gt;"",$N884="VCA",$Q884="LINEAR"),($M884*2.5)/50,IF(AND($M884&lt;&gt;"",$N884="MND",$Q884="EMBOQUE"),($AN884*2*2.5)/50,0))</f>
        <v>9.544</v>
      </c>
      <c r="BL884" s="157" t="str">
        <f aca="false">K884&amp;J884</f>
        <v>Zona08REDES</v>
      </c>
      <c r="BM884" s="152" t="s">
        <v>4834</v>
      </c>
      <c r="BN884" s="152" t="s">
        <v>1560</v>
      </c>
      <c r="BO884" s="152" t="s">
        <v>2489</v>
      </c>
      <c r="BP884" s="152" t="s">
        <v>4901</v>
      </c>
      <c r="BQ884" s="152" t="s">
        <v>4879</v>
      </c>
      <c r="BR884" s="152" t="s">
        <v>4902</v>
      </c>
      <c r="BS884" s="152" t="n">
        <v>202781.646</v>
      </c>
      <c r="BT884" s="152" t="n">
        <v>8237214.479</v>
      </c>
      <c r="BU884" s="152" t="n">
        <v>202961.897</v>
      </c>
      <c r="BV884" s="152" t="n">
        <v>8237275.898</v>
      </c>
      <c r="BW884" s="152" t="n">
        <v>-15.9262882</v>
      </c>
      <c r="BX884" s="152" t="n">
        <v>-47.775167</v>
      </c>
      <c r="BY884" s="152" t="s">
        <v>4901</v>
      </c>
    </row>
    <row r="885" customFormat="false" ht="13.8" hidden="false" customHeight="false" outlineLevel="0" collapsed="false">
      <c r="A885" s="149" t="n">
        <f aca="false">IF(C885&lt;&gt;"",ROW(A880),"")</f>
        <v>880</v>
      </c>
      <c r="B885" s="150" t="str">
        <f aca="false">HYPERLINK("https://www.google.com/maps/dir/-15.917302,-47.760003/-15.9266283,-47.7734387/data=!4m3!4m2!3e0!5i2")</f>
        <v>https://www.google.com/maps/dir/-15.917302,-47.760003/-15.9266283,-47.7734387/data=!4m3!4m2!3e0!5i2</v>
      </c>
      <c r="C885" s="151" t="s">
        <v>117</v>
      </c>
      <c r="D885" s="152" t="s">
        <v>112</v>
      </c>
      <c r="E885" s="152" t="s">
        <v>113</v>
      </c>
      <c r="F885" s="152" t="s">
        <v>117</v>
      </c>
      <c r="G885" s="152" t="s">
        <v>114</v>
      </c>
      <c r="H885" s="152" t="n">
        <v>160</v>
      </c>
      <c r="I885" s="152" t="s">
        <v>115</v>
      </c>
      <c r="J885" s="152" t="s">
        <v>6</v>
      </c>
      <c r="K885" s="152" t="s">
        <v>4831</v>
      </c>
      <c r="L885" s="152" t="s">
        <v>120</v>
      </c>
      <c r="M885" s="153" t="n">
        <f aca="false">118.25</f>
        <v>118.25</v>
      </c>
      <c r="N885" s="152" t="s">
        <v>1548</v>
      </c>
      <c r="O885" s="152" t="s">
        <v>1549</v>
      </c>
      <c r="P885" s="152" t="s">
        <v>1550</v>
      </c>
      <c r="Q885" s="152" t="s">
        <v>1551</v>
      </c>
      <c r="R885" s="154" t="s">
        <v>4903</v>
      </c>
      <c r="S885" s="154" t="s">
        <v>1593</v>
      </c>
      <c r="T885" s="155" t="s">
        <v>2487</v>
      </c>
      <c r="U885" s="152" t="str">
        <f aca="false">RIGHT(T885,7)</f>
        <v>011/037</v>
      </c>
      <c r="V885" s="152" t="s">
        <v>1555</v>
      </c>
      <c r="W885" s="156" t="n">
        <v>45882</v>
      </c>
      <c r="X885" s="152" t="s">
        <v>1594</v>
      </c>
      <c r="Y885" s="152" t="s">
        <v>4828</v>
      </c>
      <c r="Z885" s="152" t="s">
        <v>1557</v>
      </c>
      <c r="AA885" s="153" t="n">
        <v>3.7</v>
      </c>
      <c r="AB885" s="151" t="s">
        <v>4904</v>
      </c>
      <c r="AC885" s="151" t="s">
        <v>505</v>
      </c>
      <c r="AD885" s="151" t="str">
        <f aca="false">CONCATENATE($C885,$I885,$H885,$N885,$J885,$K885)</f>
        <v>TUBO PEADPEAD160VCAREDESZona08</v>
      </c>
      <c r="AE885" s="153" t="n">
        <f aca="false">IFERROR(INDEX(APOIO_REDES!$A:$W,MATCH($C885&amp;$I885&amp;$H885&amp;$N885&amp;$O885,APOIO_REDES!$W:$W,0),MATCH(AE$5,APOIO_REDES!$5:$5,0)),0)</f>
        <v>1.2</v>
      </c>
      <c r="AF885" s="153" t="n">
        <f aca="false">IFERROR(INDEX(APOIO_REDES!$A:$W,MATCH($C885&amp;$I885&amp;$H885&amp;$N885&amp;$O885,APOIO_REDES!$W:$W,0),MATCH(AF$5,APOIO_REDES!$5:$5,0)),0)</f>
        <v>1.46</v>
      </c>
      <c r="AG885" s="153" t="n">
        <f aca="false">IFERROR(INDEX(APOIO_REDES!$A:$W,MATCH($C885&amp;$I885&amp;$H885&amp;$N885&amp;$O885,APOIO_REDES!$W:$W,0),MATCH(AG$5,APOIO_REDES!$5:$5,0)),0)</f>
        <v>0.75</v>
      </c>
      <c r="AH885" s="153" t="n">
        <f aca="false">IFERROR(INDEX(APOIO_REDES!$A:$W,MATCH($C885&amp;$I885&amp;$H885&amp;$N885&amp;$O885,APOIO_REDES!$W:$W,0),MATCH(AH$5,APOIO_REDES!$5:$5,0)),0)</f>
        <v>0.1</v>
      </c>
      <c r="AI885" s="153" t="n">
        <f aca="false">IFERROR(IF($H885&lt;&gt;"",(((($H885/1000)/2)^2)*PI()*$M885),0),0)</f>
        <v>2.37755732023676</v>
      </c>
      <c r="AJ885" s="153" t="n">
        <f aca="false">IFERROR(IF(AND($H885&lt;&gt;"",$I885="FoFo",OR($N885="MND",$N885="VCA"),$Q885="LINEAR"),0,IF(AND($H885&lt;&gt;"",$I885="PEAD",$N885="VCA",$Q885="LINEAR"),($H885/1000)+0.3,IF(AND($H885&lt;&gt;"",$I885="PEAD",$N885="MND",$Q885="EMBOQUE"),0,IF(AND($H885&lt;&gt;"",$I885="PVC",$N885="VCA",$Q885="LINEAR"),($H885/1000)+0.2,IF(AND($H885&lt;&gt;"",$I885="PVC",$N885="MND",$Q885="EMBOQUE"),0,IF(AND($H885&lt;&gt;"",$I885="PEAD",$N885="VCA",$Q885="PREDIAL"),0,0)))))),0)</f>
        <v>0.46</v>
      </c>
      <c r="AK885" s="153" t="n">
        <f aca="false">IF(AA885&lt;&gt;"",AA885,0)</f>
        <v>3.7</v>
      </c>
      <c r="AL885" s="153" t="n">
        <f aca="false">IF(AND($N885="MND",$Q885="EMBOQUE"),$M885,IF(AND($N885="VCA",$Q885="LINEAR"),$M885,IF(AND($N885="VCA",$Q885="PREDIAL"),0,0)))</f>
        <v>118.25</v>
      </c>
      <c r="AM885" s="153" t="n">
        <f aca="false">IF(AND($N885="MND",$Q885="EMBOQUE"),$M885,IF(AND($N885="VCA",$Q885="LINEAR"),$M885,IF(AND($N885="VCA",$Q885="PREDIAL"),0,0)))</f>
        <v>118.25</v>
      </c>
      <c r="AN885" s="153" t="n">
        <f aca="false">ROUND(IF(AND($N885="VCA",$M885&lt;&gt;"",$Q885="LINEAR"),$M885/100,IF(AND($N885="MND",$M885&gt;100,$Q885="EMBOQUE"),$M885/100,0)),0)</f>
        <v>1</v>
      </c>
      <c r="AO885" s="153" t="n">
        <f aca="false">IF(AND($N885="MND",$Q885="EMBOQUE"),$AN885*2*2,IF(AND($N885="VCA",$Q885="LINEAR"),$M885*2,IF(AND($N885="VCA",$Q885="PREDIAL"),0,0)))</f>
        <v>236.5</v>
      </c>
      <c r="AP885" s="153" t="n">
        <f aca="false">IFERROR($M885*$AF885*$AG885,0)</f>
        <v>129.48375</v>
      </c>
      <c r="AQ885" s="153" t="n">
        <f aca="false">IFERROR(IF(AND($N885="VCA",$AH885&gt;0),$M885*$AG885*$AH885,0),0)</f>
        <v>8.86875</v>
      </c>
      <c r="AR885" s="153" t="n">
        <f aca="false">IFERROR(IF(AND($N885="VCA",$AJ885&gt;0),($M885*$AG885*$AJ885)-$AI885,0),0)</f>
        <v>38.4186926797632</v>
      </c>
      <c r="AS885" s="153" t="n">
        <f aca="false">IFERROR(IF(AND($N885="VCA",$AP885&gt;0),$AP885-$AI885-$AQ885-$AR885,0),0)</f>
        <v>79.81875</v>
      </c>
      <c r="AT885" s="153" t="n">
        <f aca="false">IFERROR(IF($N885="VCA",INDEX(APOIO_REDES!$A:$W,MATCH($C885&amp;$I885&amp;$H885&amp;$N885&amp;$O885,APOIO_REDES!$W:$W,0),MATCH(AT$5,APOIO_REDES!$5:$5,0)),0)*$AP885,0)</f>
        <v>1.40882152523369</v>
      </c>
      <c r="AU885" s="153" t="n">
        <f aca="false">IFERROR(IF($N885="VCA",INDEX(APOIO_REDES!$A:$W,MATCH($C885&amp;$I885&amp;$H885&amp;$N885&amp;$O885,APOIO_REDES!$W:$W,0),MATCH(AU$5,APOIO_REDES!$5:$5,0)),0)*$AP885,0)</f>
        <v>1.1250467143258</v>
      </c>
      <c r="AV885" s="153" t="n">
        <f aca="false">IFERROR(IF($N885="VCA",INDEX(APOIO_REDES!$A:$W,MATCH($C885&amp;$I885&amp;$H885&amp;$N885&amp;$O885,APOIO_REDES!$W:$W,0),MATCH(AV$5,APOIO_REDES!$5:$5,0)),0)*$AP885,0)</f>
        <v>0.155697633299698</v>
      </c>
      <c r="AW885" s="153" t="n">
        <f aca="false">IFERROR(IF($N885="VCA",INDEX(APOIO_REDES!$A:$W,MATCH($C885&amp;$I885&amp;$H885&amp;$N885&amp;$O885,APOIO_REDES!$W:$W,0),MATCH(AW$5,APOIO_REDES!$5:$5,0)),0)*$AP885,0)</f>
        <v>88.8786492890531</v>
      </c>
      <c r="AX885" s="153" t="n">
        <f aca="false">IFERROR(IF($N885="VCA",INDEX(APOIO_REDES!$A:$W,MATCH($C885&amp;$I885&amp;$H885&amp;$N885&amp;$O885,APOIO_REDES!$W:$W,0),MATCH(AX$5,APOIO_REDES!$5:$5,0)),0)*$AP885,0)</f>
        <v>12.3005518859801</v>
      </c>
      <c r="AY885" s="153" t="n">
        <f aca="false">IFERROR(IF($N885="VCA",INDEX(APOIO_REDES!$A:$W,MATCH($C885&amp;$I885&amp;$H885&amp;$N885&amp;$O885,APOIO_REDES!$W:$W,0),MATCH(AY$5,APOIO_REDES!$5:$5,0)),0)*$AP885,0)</f>
        <v>22.5009205722877</v>
      </c>
      <c r="AZ885" s="153" t="n">
        <f aca="false">IFERROR(IF($N885="VCA",INDEX(APOIO_REDES!$A:$W,MATCH($C885&amp;$I885&amp;$H885&amp;$N885&amp;$O885,APOIO_REDES!$W:$W,0),MATCH(AZ$5,APOIO_REDES!$5:$5,0)),0)*$AP885,0)</f>
        <v>3.11406237981995</v>
      </c>
      <c r="BA885" s="153" t="n">
        <f aca="false">IFERROR(IF(AND($N885="VCA",$Q885="LINEAR"),INDEX(APOIO_REDES!$A:$W,MATCH($C885&amp;$I885&amp;$H885&amp;$N885&amp;$O885,APOIO_REDES!$W:$W,0),MATCH(BA$5,APOIO_REDES!$5:$5,0)),IF(AND($N885="MND",$Q885="EMBOQUE"),INDEX(APOIO_REDES!$A:$W,MATCH($C885&amp;$I885&amp;$H885&amp;$N885&amp;$O885,APOIO_REDES!$W:$W,0),MATCH(BA$5,APOIO_REDES!$5:$5,0)),0))*$M885/10,0)</f>
        <v>9.53065172380902</v>
      </c>
      <c r="BB885" s="153" t="n">
        <f aca="false">IFERROR(IF($N885="VCA",INDEX(APOIO_REDES!$A:$W,MATCH($C885&amp;$I885&amp;$H885&amp;$N885&amp;$O885,APOIO_REDES!$W:$W,0),MATCH(BB$5,APOIO_REDES!$5:$5,0)),0)*($AI885+$AQ885+$AR885),0)</f>
        <v>49.1246300999104</v>
      </c>
      <c r="BC885" s="153" t="n">
        <f aca="false">IFERROR(IF($N885="VCA",INDEX(APOIO_REDES!$A:$W,MATCH($C885&amp;$I885&amp;$H885&amp;$N885&amp;$O885,APOIO_REDES!$W:$W,0),MATCH(BC$5,APOIO_REDES!$5:$5,0)),0)*($AI885+$AQ885+$AR885),0)</f>
        <v>0.540369900089636</v>
      </c>
      <c r="BD885" s="153" t="n">
        <f aca="false">IF(AND($N885="VCA",$AF885&gt;=1.25,$AF885&lt;1.5),$M885*$AF885*2,0)</f>
        <v>345.29</v>
      </c>
      <c r="BE885" s="153" t="n">
        <f aca="false">IF(AND($N885="VCA",$AF885&gt;=1.5,$AF885&lt;3),$M885*$AF885*2,0)</f>
        <v>0</v>
      </c>
      <c r="BF885" s="153" t="n">
        <f aca="false">IF(AND($N885="VCA",$AF885&gt;=3),$M885*$AF885*2,0)</f>
        <v>0</v>
      </c>
      <c r="BG885" s="153" t="n">
        <f aca="false">($BB885+$BC885)*$AK885</f>
        <v>183.7605</v>
      </c>
      <c r="BH885" s="153" t="n">
        <f aca="false">IF(AND($M885&lt;&gt;"",$N885="VCA",$Q885="LINEAR"),($M885*2)/100,IF(AND($M885&lt;&gt;"",$N885="MND",$Q885="EMBOQUE"),($AN885*2)/100,0))</f>
        <v>2.365</v>
      </c>
      <c r="BI885" s="153" t="n">
        <f aca="false">IF(AND($M885&lt;&gt;"",$N885="VCA",$Q885="LINEAR"),$M885,IF(AND($M885&lt;&gt;"",$N885="MND",$Q885="EMBOQUE"),$AN885*2,0))</f>
        <v>118.25</v>
      </c>
      <c r="BJ885" s="153" t="n">
        <f aca="false">IF(AND($M885&lt;&gt;"",$N885="VCA",$Q885="LINEAR"),($M885*6.8)/100,IF(AND($M885&lt;&gt;"",$N885="MND",$Q885="EMBOQUE"),($AN885*2*6.8)/100,0))</f>
        <v>8.041</v>
      </c>
      <c r="BK885" s="153" t="n">
        <f aca="false">IF(AND($M885&lt;&gt;"",$N885="VCA",$Q885="LINEAR"),($M885*2.5)/50,IF(AND($M885&lt;&gt;"",$N885="MND",$Q885="EMBOQUE"),($AN885*2*2.5)/50,0))</f>
        <v>5.9125</v>
      </c>
      <c r="BL885" s="157" t="str">
        <f aca="false">K885&amp;J885</f>
        <v>Zona08REDES</v>
      </c>
      <c r="BM885" s="152" t="s">
        <v>4834</v>
      </c>
      <c r="BN885" s="152" t="s">
        <v>1560</v>
      </c>
      <c r="BO885" s="152" t="s">
        <v>2489</v>
      </c>
      <c r="BP885" s="152" t="s">
        <v>4905</v>
      </c>
      <c r="BQ885" s="152" t="s">
        <v>4879</v>
      </c>
      <c r="BR885" s="152" t="s">
        <v>4906</v>
      </c>
      <c r="BS885" s="152" t="n">
        <v>203058.212</v>
      </c>
      <c r="BT885" s="152" t="n">
        <v>8237207.346</v>
      </c>
      <c r="BU885" s="152" t="n">
        <v>202961.886</v>
      </c>
      <c r="BV885" s="152" t="n">
        <v>8237275.926</v>
      </c>
      <c r="BW885" s="152" t="n">
        <v>-15.9263128</v>
      </c>
      <c r="BX885" s="152" t="n">
        <v>-47.7738839</v>
      </c>
      <c r="BY885" s="152" t="s">
        <v>4905</v>
      </c>
    </row>
    <row r="886" customFormat="false" ht="13.8" hidden="false" customHeight="false" outlineLevel="0" collapsed="false">
      <c r="A886" s="149" t="n">
        <f aca="false">IF(C886&lt;&gt;"",ROW(A881),"")</f>
        <v>881</v>
      </c>
      <c r="B886" s="150" t="str">
        <f aca="false">HYPERLINK("https://www.google.com/maps/dir/-15.917302,-47.760003/-15.9265489,-47.7764733/data=!4m3!4m2!3e0!5i2")</f>
        <v>https://www.google.com/maps/dir/-15.917302,-47.760003/-15.9265489,-47.7764733/data=!4m3!4m2!3e0!5i2</v>
      </c>
      <c r="C886" s="151" t="s">
        <v>117</v>
      </c>
      <c r="D886" s="152" t="s">
        <v>112</v>
      </c>
      <c r="E886" s="152" t="s">
        <v>113</v>
      </c>
      <c r="F886" s="152" t="s">
        <v>117</v>
      </c>
      <c r="G886" s="152" t="s">
        <v>782</v>
      </c>
      <c r="H886" s="152" t="n">
        <v>90</v>
      </c>
      <c r="I886" s="152" t="s">
        <v>115</v>
      </c>
      <c r="J886" s="152" t="s">
        <v>6</v>
      </c>
      <c r="K886" s="152" t="s">
        <v>4831</v>
      </c>
      <c r="L886" s="152" t="s">
        <v>120</v>
      </c>
      <c r="M886" s="153" t="n">
        <f aca="false">36.21+0.67</f>
        <v>36.88</v>
      </c>
      <c r="N886" s="152" t="s">
        <v>1548</v>
      </c>
      <c r="O886" s="152" t="s">
        <v>1549</v>
      </c>
      <c r="P886" s="152" t="s">
        <v>1550</v>
      </c>
      <c r="Q886" s="152" t="s">
        <v>1551</v>
      </c>
      <c r="R886" s="154" t="s">
        <v>4907</v>
      </c>
      <c r="S886" s="154" t="s">
        <v>1593</v>
      </c>
      <c r="T886" s="155" t="s">
        <v>2487</v>
      </c>
      <c r="U886" s="152" t="str">
        <f aca="false">RIGHT(T886,7)</f>
        <v>011/037</v>
      </c>
      <c r="V886" s="152" t="s">
        <v>1555</v>
      </c>
      <c r="W886" s="156" t="n">
        <v>45882</v>
      </c>
      <c r="X886" s="152" t="s">
        <v>1594</v>
      </c>
      <c r="Y886" s="152" t="s">
        <v>3516</v>
      </c>
      <c r="Z886" s="152" t="s">
        <v>1557</v>
      </c>
      <c r="AA886" s="153" t="n">
        <v>3.8</v>
      </c>
      <c r="AB886" s="151" t="s">
        <v>4908</v>
      </c>
      <c r="AC886" s="151" t="s">
        <v>526</v>
      </c>
      <c r="AD886" s="151" t="str">
        <f aca="false">CONCATENATE($C886,$I886,$H886,$N886,$J886,$K886)</f>
        <v>TUBO PEADPEAD90VCAREDESZona08</v>
      </c>
      <c r="AE886" s="153" t="n">
        <f aca="false">IFERROR(INDEX(APOIO_REDES!$A:$W,MATCH($C886&amp;$I886&amp;$H886&amp;$N886&amp;$O886,APOIO_REDES!$W:$W,0),MATCH(AE$5,APOIO_REDES!$5:$5,0)),0)</f>
        <v>1.2</v>
      </c>
      <c r="AF886" s="153" t="n">
        <f aca="false">IFERROR(INDEX(APOIO_REDES!$A:$W,MATCH($C886&amp;$I886&amp;$H886&amp;$N886&amp;$O886,APOIO_REDES!$W:$W,0),MATCH(AF$5,APOIO_REDES!$5:$5,0)),0)</f>
        <v>1.39</v>
      </c>
      <c r="AG886" s="153" t="n">
        <f aca="false">IFERROR(INDEX(APOIO_REDES!$A:$W,MATCH($C886&amp;$I886&amp;$H886&amp;$N886&amp;$O886,APOIO_REDES!$W:$W,0),MATCH(AG$5,APOIO_REDES!$5:$5,0)),0)</f>
        <v>0.75</v>
      </c>
      <c r="AH886" s="153" t="n">
        <f aca="false">IFERROR(INDEX(APOIO_REDES!$A:$W,MATCH($C886&amp;$I886&amp;$H886&amp;$N886&amp;$O886,APOIO_REDES!$W:$W,0),MATCH(AH$5,APOIO_REDES!$5:$5,0)),0)</f>
        <v>0.1</v>
      </c>
      <c r="AI886" s="153" t="n">
        <f aca="false">IFERROR(IF($H886&lt;&gt;"",(((($H886/1000)/2)^2)*PI()*$M886),0),0)</f>
        <v>0.234620422555393</v>
      </c>
      <c r="AJ886" s="153" t="n">
        <f aca="false">IFERROR(IF(AND($H886&lt;&gt;"",$I886="FoFo",OR($N886="MND",$N886="VCA"),$Q886="LINEAR"),0,IF(AND($H886&lt;&gt;"",$I886="PEAD",$N886="VCA",$Q886="LINEAR"),($H886/1000)+0.3,IF(AND($H886&lt;&gt;"",$I886="PEAD",$N886="MND",$Q886="EMBOQUE"),0,IF(AND($H886&lt;&gt;"",$I886="PVC",$N886="VCA",$Q886="LINEAR"),($H886/1000)+0.2,IF(AND($H886&lt;&gt;"",$I886="PVC",$N886="MND",$Q886="EMBOQUE"),0,IF(AND($H886&lt;&gt;"",$I886="PEAD",$N886="VCA",$Q886="PREDIAL"),0,0)))))),0)</f>
        <v>0.39</v>
      </c>
      <c r="AK886" s="153" t="n">
        <f aca="false">IF(AA886&lt;&gt;"",AA886,0)</f>
        <v>3.8</v>
      </c>
      <c r="AL886" s="153" t="n">
        <f aca="false">IF(AND($N886="MND",$Q886="EMBOQUE"),$M886,IF(AND($N886="VCA",$Q886="LINEAR"),$M886,IF(AND($N886="VCA",$Q886="PREDIAL"),0,0)))</f>
        <v>36.88</v>
      </c>
      <c r="AM886" s="153" t="n">
        <f aca="false">IF(AND($N886="MND",$Q886="EMBOQUE"),$M886,IF(AND($N886="VCA",$Q886="LINEAR"),$M886,IF(AND($N886="VCA",$Q886="PREDIAL"),0,0)))</f>
        <v>36.88</v>
      </c>
      <c r="AN886" s="153" t="n">
        <f aca="false">ROUND(IF(AND($N886="VCA",$M886&lt;&gt;"",$Q886="LINEAR"),$M886/100,IF(AND($N886="MND",$M886&gt;100,$Q886="EMBOQUE"),$M886/100,0)),0)</f>
        <v>0</v>
      </c>
      <c r="AO886" s="153" t="n">
        <f aca="false">IF(AND($N886="MND",$Q886="EMBOQUE"),$AN886*2*2,IF(AND($N886="VCA",$Q886="LINEAR"),$M886*2,IF(AND($N886="VCA",$Q886="PREDIAL"),0,0)))</f>
        <v>73.76</v>
      </c>
      <c r="AP886" s="153" t="n">
        <f aca="false">IFERROR($M886*$AF886*$AG886,0)</f>
        <v>38.4474</v>
      </c>
      <c r="AQ886" s="153" t="n">
        <f aca="false">IFERROR(IF(AND($N886="VCA",$AH886&gt;0),$M886*$AG886*$AH886,0),0)</f>
        <v>2.766</v>
      </c>
      <c r="AR886" s="153" t="n">
        <f aca="false">IFERROR(IF(AND($N886="VCA",$AJ886&gt;0),($M886*$AG886*$AJ886)-$AI886,0),0)</f>
        <v>10.5527795774446</v>
      </c>
      <c r="AS886" s="153" t="n">
        <f aca="false">IFERROR(IF(AND($N886="VCA",$AP886&gt;0),$AP886-$AI886-$AQ886-$AR886,0),0)</f>
        <v>24.894</v>
      </c>
      <c r="AT886" s="153" t="n">
        <f aca="false">IFERROR(IF($N886="VCA",INDEX(APOIO_REDES!$A:$W,MATCH($C886&amp;$I886&amp;$H886&amp;$N886&amp;$O886,APOIO_REDES!$W:$W,0),MATCH(AT$5,APOIO_REDES!$5:$5,0)),0)*$AP886,0)</f>
        <v>0.418319091849517</v>
      </c>
      <c r="AU886" s="153" t="n">
        <f aca="false">IFERROR(IF($N886="VCA",INDEX(APOIO_REDES!$A:$W,MATCH($C886&amp;$I886&amp;$H886&amp;$N886&amp;$O886,APOIO_REDES!$W:$W,0),MATCH(AU$5,APOIO_REDES!$5:$5,0)),0)*$AP886,0)</f>
        <v>0.334058297233202</v>
      </c>
      <c r="AV886" s="153" t="n">
        <f aca="false">IFERROR(IF($N886="VCA",INDEX(APOIO_REDES!$A:$W,MATCH($C886&amp;$I886&amp;$H886&amp;$N886&amp;$O886,APOIO_REDES!$W:$W,0),MATCH(AV$5,APOIO_REDES!$5:$5,0)),0)*$AP886,0)</f>
        <v>0.0462310458766202</v>
      </c>
      <c r="AW886" s="153" t="n">
        <f aca="false">IFERROR(IF($N886="VCA",INDEX(APOIO_REDES!$A:$W,MATCH($C886&amp;$I886&amp;$H886&amp;$N886&amp;$O886,APOIO_REDES!$W:$W,0),MATCH(AW$5,APOIO_REDES!$5:$5,0)),0)*$AP886,0)</f>
        <v>26.3905932649923</v>
      </c>
      <c r="AX886" s="153" t="n">
        <f aca="false">IFERROR(IF($N886="VCA",INDEX(APOIO_REDES!$A:$W,MATCH($C886&amp;$I886&amp;$H886&amp;$N886&amp;$O886,APOIO_REDES!$W:$W,0),MATCH(AX$5,APOIO_REDES!$5:$5,0)),0)*$AP886,0)</f>
        <v>3.65238293284703</v>
      </c>
      <c r="AY886" s="153" t="n">
        <f aca="false">IFERROR(IF($N886="VCA",INDEX(APOIO_REDES!$A:$W,MATCH($C886&amp;$I886&amp;$H886&amp;$N886&amp;$O886,APOIO_REDES!$W:$W,0),MATCH(AY$5,APOIO_REDES!$5:$5,0)),0)*$AP886,0)</f>
        <v>6.68116187252047</v>
      </c>
      <c r="AZ886" s="153" t="n">
        <f aca="false">IFERROR(IF($N886="VCA",INDEX(APOIO_REDES!$A:$W,MATCH($C886&amp;$I886&amp;$H886&amp;$N886&amp;$O886,APOIO_REDES!$W:$W,0),MATCH(AZ$5,APOIO_REDES!$5:$5,0)),0)*$AP886,0)</f>
        <v>0.924653494680912</v>
      </c>
      <c r="BA886" s="153" t="n">
        <f aca="false">IFERROR(IF(AND($N886="VCA",$Q886="LINEAR"),INDEX(APOIO_REDES!$A:$W,MATCH($C886&amp;$I886&amp;$H886&amp;$N886&amp;$O886,APOIO_REDES!$W:$W,0),MATCH(BA$5,APOIO_REDES!$5:$5,0)),IF(AND($N886="MND",$Q886="EMBOQUE"),INDEX(APOIO_REDES!$A:$W,MATCH($C886&amp;$I886&amp;$H886&amp;$N886&amp;$O886,APOIO_REDES!$W:$W,0),MATCH(BA$5,APOIO_REDES!$5:$5,0)),0))*$M886/10,0)</f>
        <v>2.9724349731423</v>
      </c>
      <c r="BB886" s="153" t="n">
        <f aca="false">IFERROR(IF($N886="VCA",INDEX(APOIO_REDES!$A:$W,MATCH($C886&amp;$I886&amp;$H886&amp;$N886&amp;$O886,APOIO_REDES!$W:$W,0),MATCH(BB$5,APOIO_REDES!$5:$5,0)),0)*($AI886+$AQ886+$AR886),0)</f>
        <v>13.4059349963984</v>
      </c>
      <c r="BC886" s="153" t="n">
        <f aca="false">IFERROR(IF($N886="VCA",INDEX(APOIO_REDES!$A:$W,MATCH($C886&amp;$I886&amp;$H886&amp;$N886&amp;$O886,APOIO_REDES!$W:$W,0),MATCH(BC$5,APOIO_REDES!$5:$5,0)),0)*($AI886+$AQ886+$AR886),0)</f>
        <v>0.147465003601628</v>
      </c>
      <c r="BD886" s="153" t="n">
        <f aca="false">IF(AND($N886="VCA",$AF886&gt;=1.25,$AF886&lt;1.5),$M886*$AF886*2,0)</f>
        <v>102.5264</v>
      </c>
      <c r="BE886" s="153" t="n">
        <f aca="false">IF(AND($N886="VCA",$AF886&gt;=1.5,$AF886&lt;3),$M886*$AF886*2,0)</f>
        <v>0</v>
      </c>
      <c r="BF886" s="153" t="n">
        <f aca="false">IF(AND($N886="VCA",$AF886&gt;=3),$M886*$AF886*2,0)</f>
        <v>0</v>
      </c>
      <c r="BG886" s="153" t="n">
        <f aca="false">($BB886+$BC886)*$AK886</f>
        <v>51.50292</v>
      </c>
      <c r="BH886" s="153" t="n">
        <f aca="false">IF(AND($M886&lt;&gt;"",$N886="VCA",$Q886="LINEAR"),($M886*2)/100,IF(AND($M886&lt;&gt;"",$N886="MND",$Q886="EMBOQUE"),($AN886*2)/100,0))</f>
        <v>0.7376</v>
      </c>
      <c r="BI886" s="153" t="n">
        <f aca="false">IF(AND($M886&lt;&gt;"",$N886="VCA",$Q886="LINEAR"),$M886,IF(AND($M886&lt;&gt;"",$N886="MND",$Q886="EMBOQUE"),$AN886*2,0))</f>
        <v>36.88</v>
      </c>
      <c r="BJ886" s="153" t="n">
        <f aca="false">IF(AND($M886&lt;&gt;"",$N886="VCA",$Q886="LINEAR"),($M886*6.8)/100,IF(AND($M886&lt;&gt;"",$N886="MND",$Q886="EMBOQUE"),($AN886*2*6.8)/100,0))</f>
        <v>2.50784</v>
      </c>
      <c r="BK886" s="153" t="n">
        <f aca="false">IF(AND($M886&lt;&gt;"",$N886="VCA",$Q886="LINEAR"),($M886*2.5)/50,IF(AND($M886&lt;&gt;"",$N886="MND",$Q886="EMBOQUE"),($AN886*2*2.5)/50,0))</f>
        <v>1.844</v>
      </c>
      <c r="BL886" s="157" t="str">
        <f aca="false">K886&amp;J886</f>
        <v>Zona08REDES</v>
      </c>
      <c r="BM886" s="152" t="s">
        <v>4834</v>
      </c>
      <c r="BN886" s="152" t="s">
        <v>1560</v>
      </c>
      <c r="BO886" s="152" t="s">
        <v>2489</v>
      </c>
      <c r="BP886" s="152" t="s">
        <v>4909</v>
      </c>
      <c r="BQ886" s="152" t="s">
        <v>4883</v>
      </c>
      <c r="BR886" s="152" t="s">
        <v>4910</v>
      </c>
      <c r="BS886" s="152" t="n">
        <v>202732.981</v>
      </c>
      <c r="BT886" s="152" t="n">
        <v>8237211.81</v>
      </c>
      <c r="BU886" s="152" t="n">
        <v>202724.919</v>
      </c>
      <c r="BV886" s="152" t="n">
        <v>8237247.11</v>
      </c>
      <c r="BW886" s="152" t="n">
        <v>-15.926389</v>
      </c>
      <c r="BX886" s="152" t="n">
        <v>-47.7765087</v>
      </c>
      <c r="BY886" s="152" t="s">
        <v>4909</v>
      </c>
    </row>
    <row r="887" customFormat="false" ht="13.8" hidden="false" customHeight="false" outlineLevel="0" collapsed="false">
      <c r="A887" s="149" t="n">
        <f aca="false">IF(C887&lt;&gt;"",ROW(A882),"")</f>
        <v>882</v>
      </c>
      <c r="B887" s="150" t="str">
        <f aca="false">HYPERLINK("https://www.google.com/maps/dir/-15.917302,-47.760003/-15.9265531,-47.7764897/data=!4m3!4m2!3e0!5i2")</f>
        <v>https://www.google.com/maps/dir/-15.917302,-47.760003/-15.9265531,-47.7764897/data=!4m3!4m2!3e0!5i2</v>
      </c>
      <c r="C887" s="151" t="s">
        <v>117</v>
      </c>
      <c r="D887" s="152" t="s">
        <v>112</v>
      </c>
      <c r="E887" s="152" t="s">
        <v>113</v>
      </c>
      <c r="F887" s="152" t="s">
        <v>117</v>
      </c>
      <c r="G887" s="152" t="s">
        <v>782</v>
      </c>
      <c r="H887" s="152" t="n">
        <v>63</v>
      </c>
      <c r="I887" s="152" t="s">
        <v>115</v>
      </c>
      <c r="J887" s="152" t="s">
        <v>6</v>
      </c>
      <c r="K887" s="152" t="s">
        <v>4831</v>
      </c>
      <c r="L887" s="152" t="s">
        <v>120</v>
      </c>
      <c r="M887" s="153" t="n">
        <f aca="false">1.82</f>
        <v>1.82</v>
      </c>
      <c r="N887" s="152" t="s">
        <v>1548</v>
      </c>
      <c r="O887" s="152" t="s">
        <v>1549</v>
      </c>
      <c r="P887" s="152" t="s">
        <v>1550</v>
      </c>
      <c r="Q887" s="152" t="s">
        <v>1551</v>
      </c>
      <c r="R887" s="154" t="s">
        <v>4911</v>
      </c>
      <c r="S887" s="154" t="s">
        <v>1553</v>
      </c>
      <c r="T887" s="155" t="s">
        <v>2487</v>
      </c>
      <c r="U887" s="152" t="str">
        <f aca="false">RIGHT(T887,7)</f>
        <v>011/037</v>
      </c>
      <c r="V887" s="152" t="s">
        <v>1555</v>
      </c>
      <c r="W887" s="156" t="n">
        <v>45882</v>
      </c>
      <c r="X887" s="152" t="s">
        <v>1594</v>
      </c>
      <c r="Y887" s="152" t="s">
        <v>3516</v>
      </c>
      <c r="Z887" s="152" t="s">
        <v>1557</v>
      </c>
      <c r="AA887" s="153" t="n">
        <v>3.8</v>
      </c>
      <c r="AB887" s="151" t="s">
        <v>4912</v>
      </c>
      <c r="AC887" s="151" t="s">
        <v>186</v>
      </c>
      <c r="AD887" s="151" t="str">
        <f aca="false">CONCATENATE($C887,$I887,$H887,$N887,$J887,$K887)</f>
        <v>TUBO PEADPEAD63VCAREDESZona08</v>
      </c>
      <c r="AE887" s="153" t="n">
        <f aca="false">IFERROR(INDEX(APOIO_REDES!$A:$W,MATCH($C887&amp;$I887&amp;$H887&amp;$N887&amp;$O887,APOIO_REDES!$W:$W,0),MATCH(AE$5,APOIO_REDES!$5:$5,0)),0)</f>
        <v>1.2</v>
      </c>
      <c r="AF887" s="153" t="n">
        <f aca="false">IFERROR(INDEX(APOIO_REDES!$A:$W,MATCH($C887&amp;$I887&amp;$H887&amp;$N887&amp;$O887,APOIO_REDES!$W:$W,0),MATCH(AF$5,APOIO_REDES!$5:$5,0)),0)</f>
        <v>1.363</v>
      </c>
      <c r="AG887" s="153" t="n">
        <f aca="false">IFERROR(INDEX(APOIO_REDES!$A:$W,MATCH($C887&amp;$I887&amp;$H887&amp;$N887&amp;$O887,APOIO_REDES!$W:$W,0),MATCH(AG$5,APOIO_REDES!$5:$5,0)),0)</f>
        <v>0.65</v>
      </c>
      <c r="AH887" s="153" t="n">
        <f aca="false">IFERROR(INDEX(APOIO_REDES!$A:$W,MATCH($C887&amp;$I887&amp;$H887&amp;$N887&amp;$O887,APOIO_REDES!$W:$W,0),MATCH(AH$5,APOIO_REDES!$5:$5,0)),0)</f>
        <v>0.1</v>
      </c>
      <c r="AI887" s="153" t="n">
        <f aca="false">IFERROR(IF($H887&lt;&gt;"",(((($H887/1000)/2)^2)*PI()*$M887),0),0)</f>
        <v>0.00567338646515454</v>
      </c>
      <c r="AJ887" s="153" t="n">
        <f aca="false">IFERROR(IF(AND($H887&lt;&gt;"",$I887="FoFo",OR($N887="MND",$N887="VCA"),$Q887="LINEAR"),0,IF(AND($H887&lt;&gt;"",$I887="PEAD",$N887="VCA",$Q887="LINEAR"),($H887/1000)+0.3,IF(AND($H887&lt;&gt;"",$I887="PEAD",$N887="MND",$Q887="EMBOQUE"),0,IF(AND($H887&lt;&gt;"",$I887="PVC",$N887="VCA",$Q887="LINEAR"),($H887/1000)+0.2,IF(AND($H887&lt;&gt;"",$I887="PVC",$N887="MND",$Q887="EMBOQUE"),0,IF(AND($H887&lt;&gt;"",$I887="PEAD",$N887="VCA",$Q887="PREDIAL"),0,0)))))),0)</f>
        <v>0.363</v>
      </c>
      <c r="AK887" s="153" t="n">
        <f aca="false">IF(AA887&lt;&gt;"",AA887,0)</f>
        <v>3.8</v>
      </c>
      <c r="AL887" s="153" t="n">
        <f aca="false">IF(AND($N887="MND",$Q887="EMBOQUE"),$M887,IF(AND($N887="VCA",$Q887="LINEAR"),$M887,IF(AND($N887="VCA",$Q887="PREDIAL"),0,0)))</f>
        <v>1.82</v>
      </c>
      <c r="AM887" s="153" t="n">
        <f aca="false">IF(AND($N887="MND",$Q887="EMBOQUE"),$M887,IF(AND($N887="VCA",$Q887="LINEAR"),$M887,IF(AND($N887="VCA",$Q887="PREDIAL"),0,0)))</f>
        <v>1.82</v>
      </c>
      <c r="AN887" s="153" t="n">
        <f aca="false">ROUND(IF(AND($N887="VCA",$M887&lt;&gt;"",$Q887="LINEAR"),$M887/100,IF(AND($N887="MND",$M887&gt;100,$Q887="EMBOQUE"),$M887/100,0)),0)</f>
        <v>0</v>
      </c>
      <c r="AO887" s="153" t="n">
        <f aca="false">IF(AND($N887="MND",$Q887="EMBOQUE"),$AN887*2*2,IF(AND($N887="VCA",$Q887="LINEAR"),$M887*2,IF(AND($N887="VCA",$Q887="PREDIAL"),0,0)))</f>
        <v>3.64</v>
      </c>
      <c r="AP887" s="153" t="n">
        <f aca="false">IFERROR($M887*$AF887*$AG887,0)</f>
        <v>1.612429</v>
      </c>
      <c r="AQ887" s="153" t="n">
        <f aca="false">IFERROR(IF(AND($N887="VCA",$AH887&gt;0),$M887*$AG887*$AH887,0),0)</f>
        <v>0.1183</v>
      </c>
      <c r="AR887" s="153" t="n">
        <f aca="false">IFERROR(IF(AND($N887="VCA",$AJ887&gt;0),($M887*$AG887*$AJ887)-$AI887,0),0)</f>
        <v>0.423755613534846</v>
      </c>
      <c r="AS887" s="153" t="n">
        <f aca="false">IFERROR(IF(AND($N887="VCA",$AP887&gt;0),$AP887-$AI887-$AQ887-$AR887,0),0)</f>
        <v>1.0647</v>
      </c>
      <c r="AT887" s="153" t="n">
        <f aca="false">IFERROR(IF($N887="VCA",INDEX(APOIO_REDES!$A:$W,MATCH($C887&amp;$I887&amp;$H887&amp;$N887&amp;$O887,APOIO_REDES!$W:$W,0),MATCH(AT$5,APOIO_REDES!$5:$5,0)),0)*$AP887,0)</f>
        <v>0.0175437047746226</v>
      </c>
      <c r="AU887" s="153" t="n">
        <f aca="false">IFERROR(IF($N887="VCA",INDEX(APOIO_REDES!$A:$W,MATCH($C887&amp;$I887&amp;$H887&amp;$N887&amp;$O887,APOIO_REDES!$W:$W,0),MATCH(AU$5,APOIO_REDES!$5:$5,0)),0)*$AP887,0)</f>
        <v>0.0140099274892303</v>
      </c>
      <c r="AV887" s="153" t="n">
        <f aca="false">IFERROR(IF($N887="VCA",INDEX(APOIO_REDES!$A:$W,MATCH($C887&amp;$I887&amp;$H887&amp;$N887&amp;$O887,APOIO_REDES!$W:$W,0),MATCH(AV$5,APOIO_REDES!$5:$5,0)),0)*$AP887,0)</f>
        <v>0.0019388639822665</v>
      </c>
      <c r="AW887" s="153" t="n">
        <f aca="false">IFERROR(IF($N887="VCA",INDEX(APOIO_REDES!$A:$W,MATCH($C887&amp;$I887&amp;$H887&amp;$N887&amp;$O887,APOIO_REDES!$W:$W,0),MATCH(AW$5,APOIO_REDES!$5:$5,0)),0)*$AP887,0)</f>
        <v>1.10678375930955</v>
      </c>
      <c r="AX887" s="153" t="n">
        <f aca="false">IFERROR(IF($N887="VCA",INDEX(APOIO_REDES!$A:$W,MATCH($C887&amp;$I887&amp;$H887&amp;$N887&amp;$O887,APOIO_REDES!$W:$W,0),MATCH(AX$5,APOIO_REDES!$5:$5,0)),0)*$AP887,0)</f>
        <v>0.153175719555226</v>
      </c>
      <c r="AY887" s="153" t="n">
        <f aca="false">IFERROR(IF($N887="VCA",INDEX(APOIO_REDES!$A:$W,MATCH($C887&amp;$I887&amp;$H887&amp;$N887&amp;$O887,APOIO_REDES!$W:$W,0),MATCH(AY$5,APOIO_REDES!$5:$5,0)),0)*$AP887,0)</f>
        <v>0.280198379004726</v>
      </c>
      <c r="AZ887" s="153" t="n">
        <f aca="false">IFERROR(IF($N887="VCA",INDEX(APOIO_REDES!$A:$W,MATCH($C887&amp;$I887&amp;$H887&amp;$N887&amp;$O887,APOIO_REDES!$W:$W,0),MATCH(AZ$5,APOIO_REDES!$5:$5,0)),0)*$AP887,0)</f>
        <v>0.0387786458843732</v>
      </c>
      <c r="BA887" s="153" t="n">
        <f aca="false">IFERROR(IF(AND($N887="VCA",$Q887="LINEAR"),INDEX(APOIO_REDES!$A:$W,MATCH($C887&amp;$I887&amp;$H887&amp;$N887&amp;$O887,APOIO_REDES!$W:$W,0),MATCH(BA$5,APOIO_REDES!$5:$5,0)),IF(AND($N887="MND",$Q887="EMBOQUE"),INDEX(APOIO_REDES!$A:$W,MATCH($C887&amp;$I887&amp;$H887&amp;$N887&amp;$O887,APOIO_REDES!$W:$W,0),MATCH(BA$5,APOIO_REDES!$5:$5,0)),0))*$M887/10,0)</f>
        <v>0.1466874091952</v>
      </c>
      <c r="BB887" s="153" t="n">
        <f aca="false">IFERROR(IF($N887="VCA",INDEX(APOIO_REDES!$A:$W,MATCH($C887&amp;$I887&amp;$H887&amp;$N887&amp;$O887,APOIO_REDES!$W:$W,0),MATCH(BB$5,APOIO_REDES!$5:$5,0)),0)*($AI887+$AQ887+$AR887),0)</f>
        <v>0.541769546360491</v>
      </c>
      <c r="BC887" s="153" t="n">
        <f aca="false">IFERROR(IF($N887="VCA",INDEX(APOIO_REDES!$A:$W,MATCH($C887&amp;$I887&amp;$H887&amp;$N887&amp;$O887,APOIO_REDES!$W:$W,0),MATCH(BC$5,APOIO_REDES!$5:$5,0)),0)*($AI887+$AQ887+$AR887),0)</f>
        <v>0.00595945363950863</v>
      </c>
      <c r="BD887" s="153" t="n">
        <f aca="false">IF(AND($N887="VCA",$AF887&gt;=1.25,$AF887&lt;1.5),$M887*$AF887*2,0)</f>
        <v>4.96132</v>
      </c>
      <c r="BE887" s="153" t="n">
        <f aca="false">IF(AND($N887="VCA",$AF887&gt;=1.5,$AF887&lt;3),$M887*$AF887*2,0)</f>
        <v>0</v>
      </c>
      <c r="BF887" s="153" t="n">
        <f aca="false">IF(AND($N887="VCA",$AF887&gt;=3),$M887*$AF887*2,0)</f>
        <v>0</v>
      </c>
      <c r="BG887" s="153" t="n">
        <f aca="false">($BB887+$BC887)*$AK887</f>
        <v>2.0813702</v>
      </c>
      <c r="BH887" s="153" t="n">
        <f aca="false">IF(AND($M887&lt;&gt;"",$N887="VCA",$Q887="LINEAR"),($M887*2)/100,IF(AND($M887&lt;&gt;"",$N887="MND",$Q887="EMBOQUE"),($AN887*2)/100,0))</f>
        <v>0.0364</v>
      </c>
      <c r="BI887" s="153" t="n">
        <f aca="false">IF(AND($M887&lt;&gt;"",$N887="VCA",$Q887="LINEAR"),$M887,IF(AND($M887&lt;&gt;"",$N887="MND",$Q887="EMBOQUE"),$AN887*2,0))</f>
        <v>1.82</v>
      </c>
      <c r="BJ887" s="153" t="n">
        <f aca="false">IF(AND($M887&lt;&gt;"",$N887="VCA",$Q887="LINEAR"),($M887*6.8)/100,IF(AND($M887&lt;&gt;"",$N887="MND",$Q887="EMBOQUE"),($AN887*2*6.8)/100,0))</f>
        <v>0.12376</v>
      </c>
      <c r="BK887" s="153" t="n">
        <f aca="false">IF(AND($M887&lt;&gt;"",$N887="VCA",$Q887="LINEAR"),($M887*2.5)/50,IF(AND($M887&lt;&gt;"",$N887="MND",$Q887="EMBOQUE"),($AN887*2*2.5)/50,0))</f>
        <v>0.091</v>
      </c>
      <c r="BL887" s="157" t="str">
        <f aca="false">K887&amp;J887</f>
        <v>Zona08REDES</v>
      </c>
      <c r="BM887" s="152" t="s">
        <v>4834</v>
      </c>
      <c r="BN887" s="152" t="s">
        <v>1560</v>
      </c>
      <c r="BO887" s="152" t="s">
        <v>2489</v>
      </c>
      <c r="BP887" s="152" t="s">
        <v>4913</v>
      </c>
      <c r="BQ887" s="152" t="s">
        <v>4909</v>
      </c>
      <c r="BR887" s="152" t="s">
        <v>4914</v>
      </c>
      <c r="BS887" s="152" t="n">
        <v>202731.225</v>
      </c>
      <c r="BT887" s="152" t="n">
        <v>8237211.323</v>
      </c>
      <c r="BU887" s="152" t="n">
        <v>202732.981</v>
      </c>
      <c r="BV887" s="152" t="n">
        <v>8237211.81</v>
      </c>
      <c r="BW887" s="152" t="n">
        <v>-15.926551</v>
      </c>
      <c r="BX887" s="152" t="n">
        <v>-47.7764815</v>
      </c>
      <c r="BY887" s="152" t="s">
        <v>4913</v>
      </c>
    </row>
    <row r="888" customFormat="false" ht="13.8" hidden="false" customHeight="false" outlineLevel="0" collapsed="false">
      <c r="A888" s="149" t="n">
        <f aca="false">IF(C888&lt;&gt;"",ROW(A883),"")</f>
        <v>883</v>
      </c>
      <c r="B888" s="150" t="str">
        <f aca="false">HYPERLINK("https://www.google.com/maps/dir/-15.917302,-47.760003/-15.9265885,-47.7764574/data=!4m3!4m2!3e0!5i2")</f>
        <v>https://www.google.com/maps/dir/-15.917302,-47.760003/-15.9265885,-47.7764574/data=!4m3!4m2!3e0!5i2</v>
      </c>
      <c r="C888" s="151" t="s">
        <v>117</v>
      </c>
      <c r="D888" s="152" t="s">
        <v>112</v>
      </c>
      <c r="E888" s="152" t="s">
        <v>113</v>
      </c>
      <c r="F888" s="152" t="s">
        <v>117</v>
      </c>
      <c r="G888" s="152" t="s">
        <v>782</v>
      </c>
      <c r="H888" s="152" t="n">
        <v>90</v>
      </c>
      <c r="I888" s="152" t="s">
        <v>115</v>
      </c>
      <c r="J888" s="152" t="s">
        <v>6</v>
      </c>
      <c r="K888" s="152" t="s">
        <v>4831</v>
      </c>
      <c r="L888" s="152" t="s">
        <v>120</v>
      </c>
      <c r="M888" s="153" t="n">
        <f aca="false">47.45</f>
        <v>47.45</v>
      </c>
      <c r="N888" s="152" t="s">
        <v>1548</v>
      </c>
      <c r="O888" s="152" t="s">
        <v>1549</v>
      </c>
      <c r="P888" s="152" t="s">
        <v>1550</v>
      </c>
      <c r="Q888" s="152" t="s">
        <v>1551</v>
      </c>
      <c r="R888" s="154" t="s">
        <v>4915</v>
      </c>
      <c r="S888" s="154" t="s">
        <v>1593</v>
      </c>
      <c r="T888" s="155" t="s">
        <v>2487</v>
      </c>
      <c r="U888" s="152" t="str">
        <f aca="false">RIGHT(T888,7)</f>
        <v>011/037</v>
      </c>
      <c r="V888" s="152" t="s">
        <v>1555</v>
      </c>
      <c r="W888" s="156" t="n">
        <v>45882</v>
      </c>
      <c r="X888" s="152" t="s">
        <v>1594</v>
      </c>
      <c r="Y888" s="152"/>
      <c r="Z888" s="152" t="s">
        <v>1557</v>
      </c>
      <c r="AA888" s="153" t="n">
        <v>3.8</v>
      </c>
      <c r="AB888" s="151" t="s">
        <v>4916</v>
      </c>
      <c r="AC888" s="151" t="s">
        <v>526</v>
      </c>
      <c r="AD888" s="151" t="str">
        <f aca="false">CONCATENATE($C888,$I888,$H888,$N888,$J888,$K888)</f>
        <v>TUBO PEADPEAD90VCAREDESZona08</v>
      </c>
      <c r="AE888" s="153" t="n">
        <f aca="false">IFERROR(INDEX(APOIO_REDES!$A:$W,MATCH($C888&amp;$I888&amp;$H888&amp;$N888&amp;$O888,APOIO_REDES!$W:$W,0),MATCH(AE$5,APOIO_REDES!$5:$5,0)),0)</f>
        <v>1.2</v>
      </c>
      <c r="AF888" s="153" t="n">
        <f aca="false">IFERROR(INDEX(APOIO_REDES!$A:$W,MATCH($C888&amp;$I888&amp;$H888&amp;$N888&amp;$O888,APOIO_REDES!$W:$W,0),MATCH(AF$5,APOIO_REDES!$5:$5,0)),0)</f>
        <v>1.39</v>
      </c>
      <c r="AG888" s="153" t="n">
        <f aca="false">IFERROR(INDEX(APOIO_REDES!$A:$W,MATCH($C888&amp;$I888&amp;$H888&amp;$N888&amp;$O888,APOIO_REDES!$W:$W,0),MATCH(AG$5,APOIO_REDES!$5:$5,0)),0)</f>
        <v>0.75</v>
      </c>
      <c r="AH888" s="153" t="n">
        <f aca="false">IFERROR(INDEX(APOIO_REDES!$A:$W,MATCH($C888&amp;$I888&amp;$H888&amp;$N888&amp;$O888,APOIO_REDES!$W:$W,0),MATCH(AH$5,APOIO_REDES!$5:$5,0)),0)</f>
        <v>0.1</v>
      </c>
      <c r="AI888" s="153" t="n">
        <f aca="false">IFERROR(IF($H888&lt;&gt;"",(((($H888/1000)/2)^2)*PI()*$M888),0),0)</f>
        <v>0.301863857110992</v>
      </c>
      <c r="AJ888" s="153" t="n">
        <f aca="false">IFERROR(IF(AND($H888&lt;&gt;"",$I888="FoFo",OR($N888="MND",$N888="VCA"),$Q888="LINEAR"),0,IF(AND($H888&lt;&gt;"",$I888="PEAD",$N888="VCA",$Q888="LINEAR"),($H888/1000)+0.3,IF(AND($H888&lt;&gt;"",$I888="PEAD",$N888="MND",$Q888="EMBOQUE"),0,IF(AND($H888&lt;&gt;"",$I888="PVC",$N888="VCA",$Q888="LINEAR"),($H888/1000)+0.2,IF(AND($H888&lt;&gt;"",$I888="PVC",$N888="MND",$Q888="EMBOQUE"),0,IF(AND($H888&lt;&gt;"",$I888="PEAD",$N888="VCA",$Q888="PREDIAL"),0,0)))))),0)</f>
        <v>0.39</v>
      </c>
      <c r="AK888" s="153" t="n">
        <f aca="false">IF(AA888&lt;&gt;"",AA888,0)</f>
        <v>3.8</v>
      </c>
      <c r="AL888" s="153" t="n">
        <f aca="false">IF(AND($N888="MND",$Q888="EMBOQUE"),$M888,IF(AND($N888="VCA",$Q888="LINEAR"),$M888,IF(AND($N888="VCA",$Q888="PREDIAL"),0,0)))</f>
        <v>47.45</v>
      </c>
      <c r="AM888" s="153" t="n">
        <f aca="false">IF(AND($N888="MND",$Q888="EMBOQUE"),$M888,IF(AND($N888="VCA",$Q888="LINEAR"),$M888,IF(AND($N888="VCA",$Q888="PREDIAL"),0,0)))</f>
        <v>47.45</v>
      </c>
      <c r="AN888" s="153" t="n">
        <f aca="false">ROUND(IF(AND($N888="VCA",$M888&lt;&gt;"",$Q888="LINEAR"),$M888/100,IF(AND($N888="MND",$M888&gt;100,$Q888="EMBOQUE"),$M888/100,0)),0)</f>
        <v>0</v>
      </c>
      <c r="AO888" s="153" t="n">
        <f aca="false">IF(AND($N888="MND",$Q888="EMBOQUE"),$AN888*2*2,IF(AND($N888="VCA",$Q888="LINEAR"),$M888*2,IF(AND($N888="VCA",$Q888="PREDIAL"),0,0)))</f>
        <v>94.9</v>
      </c>
      <c r="AP888" s="153" t="n">
        <f aca="false">IFERROR($M888*$AF888*$AG888,0)</f>
        <v>49.466625</v>
      </c>
      <c r="AQ888" s="153" t="n">
        <f aca="false">IFERROR(IF(AND($N888="VCA",$AH888&gt;0),$M888*$AG888*$AH888,0),0)</f>
        <v>3.55875</v>
      </c>
      <c r="AR888" s="153" t="n">
        <f aca="false">IFERROR(IF(AND($N888="VCA",$AJ888&gt;0),($M888*$AG888*$AJ888)-$AI888,0),0)</f>
        <v>13.577261142889</v>
      </c>
      <c r="AS888" s="153" t="n">
        <f aca="false">IFERROR(IF(AND($N888="VCA",$AP888&gt;0),$AP888-$AI888-$AQ888-$AR888,0),0)</f>
        <v>32.02875</v>
      </c>
      <c r="AT888" s="153" t="n">
        <f aca="false">IFERROR(IF($N888="VCA",INDEX(APOIO_REDES!$A:$W,MATCH($C888&amp;$I888&amp;$H888&amp;$N888&amp;$O888,APOIO_REDES!$W:$W,0),MATCH(AT$5,APOIO_REDES!$5:$5,0)),0)*$AP888,0)</f>
        <v>0.538211521373633</v>
      </c>
      <c r="AU888" s="153" t="n">
        <f aca="false">IFERROR(IF($N888="VCA",INDEX(APOIO_REDES!$A:$W,MATCH($C888&amp;$I888&amp;$H888&amp;$N888&amp;$O888,APOIO_REDES!$W:$W,0),MATCH(AU$5,APOIO_REDES!$5:$5,0)),0)*$AP888,0)</f>
        <v>0.429801144352371</v>
      </c>
      <c r="AV888" s="153" t="n">
        <f aca="false">IFERROR(IF($N888="VCA",INDEX(APOIO_REDES!$A:$W,MATCH($C888&amp;$I888&amp;$H888&amp;$N888&amp;$O888,APOIO_REDES!$W:$W,0),MATCH(AV$5,APOIO_REDES!$5:$5,0)),0)*$AP888,0)</f>
        <v>0.0594811043070941</v>
      </c>
      <c r="AW888" s="153" t="n">
        <f aca="false">IFERROR(IF($N888="VCA",INDEX(APOIO_REDES!$A:$W,MATCH($C888&amp;$I888&amp;$H888&amp;$N888&amp;$O888,APOIO_REDES!$W:$W,0),MATCH(AW$5,APOIO_REDES!$5:$5,0)),0)*$AP888,0)</f>
        <v>33.954274686114</v>
      </c>
      <c r="AX888" s="153" t="n">
        <f aca="false">IFERROR(IF($N888="VCA",INDEX(APOIO_REDES!$A:$W,MATCH($C888&amp;$I888&amp;$H888&amp;$N888&amp;$O888,APOIO_REDES!$W:$W,0),MATCH(AX$5,APOIO_REDES!$5:$5,0)),0)*$AP888,0)</f>
        <v>4.69917489597591</v>
      </c>
      <c r="AY888" s="153" t="n">
        <f aca="false">IFERROR(IF($N888="VCA",INDEX(APOIO_REDES!$A:$W,MATCH($C888&amp;$I888&amp;$H888&amp;$N888&amp;$O888,APOIO_REDES!$W:$W,0),MATCH(AY$5,APOIO_REDES!$5:$5,0)),0)*$AP888,0)</f>
        <v>8.5960176478063</v>
      </c>
      <c r="AZ888" s="153" t="n">
        <f aca="false">IFERROR(IF($N888="VCA",INDEX(APOIO_REDES!$A:$W,MATCH($C888&amp;$I888&amp;$H888&amp;$N888&amp;$O888,APOIO_REDES!$W:$W,0),MATCH(AZ$5,APOIO_REDES!$5:$5,0)),0)*$AP888,0)</f>
        <v>1.18966400007075</v>
      </c>
      <c r="BA888" s="153" t="n">
        <f aca="false">IFERROR(IF(AND($N888="VCA",$Q888="LINEAR"),INDEX(APOIO_REDES!$A:$W,MATCH($C888&amp;$I888&amp;$H888&amp;$N888&amp;$O888,APOIO_REDES!$W:$W,0),MATCH(BA$5,APOIO_REDES!$5:$5,0)),IF(AND($N888="MND",$Q888="EMBOQUE"),INDEX(APOIO_REDES!$A:$W,MATCH($C888&amp;$I888&amp;$H888&amp;$N888&amp;$O888,APOIO_REDES!$W:$W,0),MATCH(BA$5,APOIO_REDES!$5:$5,0)),0))*$M888/10,0)</f>
        <v>3.82435031116057</v>
      </c>
      <c r="BB888" s="153" t="n">
        <f aca="false">IFERROR(IF($N888="VCA",INDEX(APOIO_REDES!$A:$W,MATCH($C888&amp;$I888&amp;$H888&amp;$N888&amp;$O888,APOIO_REDES!$W:$W,0),MATCH(BB$5,APOIO_REDES!$5:$5,0)),0)*($AI888+$AQ888+$AR888),0)</f>
        <v>17.2481457586525</v>
      </c>
      <c r="BC888" s="153" t="n">
        <f aca="false">IFERROR(IF($N888="VCA",INDEX(APOIO_REDES!$A:$W,MATCH($C888&amp;$I888&amp;$H888&amp;$N888&amp;$O888,APOIO_REDES!$W:$W,0),MATCH(BC$5,APOIO_REDES!$5:$5,0)),0)*($AI888+$AQ888+$AR888),0)</f>
        <v>0.18972924134754</v>
      </c>
      <c r="BD888" s="153" t="n">
        <f aca="false">IF(AND($N888="VCA",$AF888&gt;=1.25,$AF888&lt;1.5),$M888*$AF888*2,0)</f>
        <v>131.911</v>
      </c>
      <c r="BE888" s="153" t="n">
        <f aca="false">IF(AND($N888="VCA",$AF888&gt;=1.5,$AF888&lt;3),$M888*$AF888*2,0)</f>
        <v>0</v>
      </c>
      <c r="BF888" s="153" t="n">
        <f aca="false">IF(AND($N888="VCA",$AF888&gt;=3),$M888*$AF888*2,0)</f>
        <v>0</v>
      </c>
      <c r="BG888" s="153" t="n">
        <f aca="false">($BB888+$BC888)*$AK888</f>
        <v>66.263925</v>
      </c>
      <c r="BH888" s="153" t="n">
        <f aca="false">IF(AND($M888&lt;&gt;"",$N888="VCA",$Q888="LINEAR"),($M888*2)/100,IF(AND($M888&lt;&gt;"",$N888="MND",$Q888="EMBOQUE"),($AN888*2)/100,0))</f>
        <v>0.949</v>
      </c>
      <c r="BI888" s="153" t="n">
        <f aca="false">IF(AND($M888&lt;&gt;"",$N888="VCA",$Q888="LINEAR"),$M888,IF(AND($M888&lt;&gt;"",$N888="MND",$Q888="EMBOQUE"),$AN888*2,0))</f>
        <v>47.45</v>
      </c>
      <c r="BJ888" s="153" t="n">
        <f aca="false">IF(AND($M888&lt;&gt;"",$N888="VCA",$Q888="LINEAR"),($M888*6.8)/100,IF(AND($M888&lt;&gt;"",$N888="MND",$Q888="EMBOQUE"),($AN888*2*6.8)/100,0))</f>
        <v>3.2266</v>
      </c>
      <c r="BK888" s="153" t="n">
        <f aca="false">IF(AND($M888&lt;&gt;"",$N888="VCA",$Q888="LINEAR"),($M888*2.5)/50,IF(AND($M888&lt;&gt;"",$N888="MND",$Q888="EMBOQUE"),($AN888*2*2.5)/50,0))</f>
        <v>2.3725</v>
      </c>
      <c r="BL888" s="157" t="str">
        <f aca="false">K888&amp;J888</f>
        <v>Zona08REDES</v>
      </c>
      <c r="BM888" s="152" t="s">
        <v>4834</v>
      </c>
      <c r="BN888" s="152" t="s">
        <v>1560</v>
      </c>
      <c r="BO888" s="152" t="s">
        <v>2489</v>
      </c>
      <c r="BP888" s="152" t="s">
        <v>4917</v>
      </c>
      <c r="BQ888" s="152" t="s">
        <v>4901</v>
      </c>
      <c r="BR888" s="152" t="s">
        <v>4918</v>
      </c>
      <c r="BS888" s="152" t="n">
        <v>202734.744</v>
      </c>
      <c r="BT888" s="152" t="n">
        <v>8237207.445</v>
      </c>
      <c r="BU888" s="152" t="n">
        <v>202781.646</v>
      </c>
      <c r="BV888" s="152" t="n">
        <v>8237214.479</v>
      </c>
      <c r="BW888" s="152" t="n">
        <v>-15.9265629</v>
      </c>
      <c r="BX888" s="152" t="n">
        <v>-47.7762375</v>
      </c>
      <c r="BY888" s="152" t="s">
        <v>4917</v>
      </c>
    </row>
    <row r="889" customFormat="false" ht="13.8" hidden="false" customHeight="false" outlineLevel="0" collapsed="false">
      <c r="A889" s="149" t="n">
        <f aca="false">IF(C889&lt;&gt;"",ROW(A884),"")</f>
        <v>884</v>
      </c>
      <c r="B889" s="150" t="str">
        <f aca="false">HYPERLINK("https://www.google.com/maps/dir/-15.917302,-47.760003/-15.9265648,-47.7747554/data=!4m3!4m2!3e0!5i2")</f>
        <v>https://www.google.com/maps/dir/-15.917302,-47.760003/-15.9265648,-47.7747554/data=!4m3!4m2!3e0!5i2</v>
      </c>
      <c r="C889" s="151" t="s">
        <v>117</v>
      </c>
      <c r="D889" s="152" t="s">
        <v>112</v>
      </c>
      <c r="E889" s="152" t="s">
        <v>113</v>
      </c>
      <c r="F889" s="152" t="s">
        <v>117</v>
      </c>
      <c r="G889" s="152" t="s">
        <v>782</v>
      </c>
      <c r="H889" s="152" t="n">
        <v>63</v>
      </c>
      <c r="I889" s="152" t="s">
        <v>115</v>
      </c>
      <c r="J889" s="152" t="s">
        <v>6</v>
      </c>
      <c r="K889" s="152" t="s">
        <v>4831</v>
      </c>
      <c r="L889" s="152" t="s">
        <v>120</v>
      </c>
      <c r="M889" s="153" t="n">
        <f aca="false">23.34</f>
        <v>23.34</v>
      </c>
      <c r="N889" s="152" t="s">
        <v>1548</v>
      </c>
      <c r="O889" s="152" t="s">
        <v>1549</v>
      </c>
      <c r="P889" s="152" t="s">
        <v>1550</v>
      </c>
      <c r="Q889" s="152" t="s">
        <v>1551</v>
      </c>
      <c r="R889" s="154" t="s">
        <v>4919</v>
      </c>
      <c r="S889" s="154" t="s">
        <v>1553</v>
      </c>
      <c r="T889" s="155" t="s">
        <v>2487</v>
      </c>
      <c r="U889" s="152" t="str">
        <f aca="false">RIGHT(T889,7)</f>
        <v>011/037</v>
      </c>
      <c r="V889" s="152" t="s">
        <v>1555</v>
      </c>
      <c r="W889" s="156" t="n">
        <v>45882</v>
      </c>
      <c r="X889" s="152" t="s">
        <v>1594</v>
      </c>
      <c r="Y889" s="152" t="s">
        <v>4828</v>
      </c>
      <c r="Z889" s="152" t="s">
        <v>1557</v>
      </c>
      <c r="AA889" s="153" t="n">
        <v>4</v>
      </c>
      <c r="AB889" s="151" t="s">
        <v>4920</v>
      </c>
      <c r="AC889" s="151" t="s">
        <v>186</v>
      </c>
      <c r="AD889" s="151" t="str">
        <f aca="false">CONCATENATE($C889,$I889,$H889,$N889,$J889,$K889)</f>
        <v>TUBO PEADPEAD63VCAREDESZona08</v>
      </c>
      <c r="AE889" s="153" t="n">
        <f aca="false">IFERROR(INDEX(APOIO_REDES!$A:$W,MATCH($C889&amp;$I889&amp;$H889&amp;$N889&amp;$O889,APOIO_REDES!$W:$W,0),MATCH(AE$5,APOIO_REDES!$5:$5,0)),0)</f>
        <v>1.2</v>
      </c>
      <c r="AF889" s="153" t="n">
        <f aca="false">IFERROR(INDEX(APOIO_REDES!$A:$W,MATCH($C889&amp;$I889&amp;$H889&amp;$N889&amp;$O889,APOIO_REDES!$W:$W,0),MATCH(AF$5,APOIO_REDES!$5:$5,0)),0)</f>
        <v>1.363</v>
      </c>
      <c r="AG889" s="153" t="n">
        <f aca="false">IFERROR(INDEX(APOIO_REDES!$A:$W,MATCH($C889&amp;$I889&amp;$H889&amp;$N889&amp;$O889,APOIO_REDES!$W:$W,0),MATCH(AG$5,APOIO_REDES!$5:$5,0)),0)</f>
        <v>0.65</v>
      </c>
      <c r="AH889" s="153" t="n">
        <f aca="false">IFERROR(INDEX(APOIO_REDES!$A:$W,MATCH($C889&amp;$I889&amp;$H889&amp;$N889&amp;$O889,APOIO_REDES!$W:$W,0),MATCH(AH$5,APOIO_REDES!$5:$5,0)),0)</f>
        <v>0.1</v>
      </c>
      <c r="AI889" s="153" t="n">
        <f aca="false">IFERROR(IF($H889&lt;&gt;"",(((($H889/1000)/2)^2)*PI()*$M889),0),0)</f>
        <v>0.0727565055476412</v>
      </c>
      <c r="AJ889" s="153" t="n">
        <f aca="false">IFERROR(IF(AND($H889&lt;&gt;"",$I889="FoFo",OR($N889="MND",$N889="VCA"),$Q889="LINEAR"),0,IF(AND($H889&lt;&gt;"",$I889="PEAD",$N889="VCA",$Q889="LINEAR"),($H889/1000)+0.3,IF(AND($H889&lt;&gt;"",$I889="PEAD",$N889="MND",$Q889="EMBOQUE"),0,IF(AND($H889&lt;&gt;"",$I889="PVC",$N889="VCA",$Q889="LINEAR"),($H889/1000)+0.2,IF(AND($H889&lt;&gt;"",$I889="PVC",$N889="MND",$Q889="EMBOQUE"),0,IF(AND($H889&lt;&gt;"",$I889="PEAD",$N889="VCA",$Q889="PREDIAL"),0,0)))))),0)</f>
        <v>0.363</v>
      </c>
      <c r="AK889" s="153" t="n">
        <f aca="false">IF(AA889&lt;&gt;"",AA889,0)</f>
        <v>4</v>
      </c>
      <c r="AL889" s="153" t="n">
        <f aca="false">IF(AND($N889="MND",$Q889="EMBOQUE"),$M889,IF(AND($N889="VCA",$Q889="LINEAR"),$M889,IF(AND($N889="VCA",$Q889="PREDIAL"),0,0)))</f>
        <v>23.34</v>
      </c>
      <c r="AM889" s="153" t="n">
        <f aca="false">IF(AND($N889="MND",$Q889="EMBOQUE"),$M889,IF(AND($N889="VCA",$Q889="LINEAR"),$M889,IF(AND($N889="VCA",$Q889="PREDIAL"),0,0)))</f>
        <v>23.34</v>
      </c>
      <c r="AN889" s="153" t="n">
        <f aca="false">ROUND(IF(AND($N889="VCA",$M889&lt;&gt;"",$Q889="LINEAR"),$M889/100,IF(AND($N889="MND",$M889&gt;100,$Q889="EMBOQUE"),$M889/100,0)),0)</f>
        <v>0</v>
      </c>
      <c r="AO889" s="153" t="n">
        <f aca="false">IF(AND($N889="MND",$Q889="EMBOQUE"),$AN889*2*2,IF(AND($N889="VCA",$Q889="LINEAR"),$M889*2,IF(AND($N889="VCA",$Q889="PREDIAL"),0,0)))</f>
        <v>46.68</v>
      </c>
      <c r="AP889" s="153" t="n">
        <f aca="false">IFERROR($M889*$AF889*$AG889,0)</f>
        <v>20.678073</v>
      </c>
      <c r="AQ889" s="153" t="n">
        <f aca="false">IFERROR(IF(AND($N889="VCA",$AH889&gt;0),$M889*$AG889*$AH889,0),0)</f>
        <v>1.5171</v>
      </c>
      <c r="AR889" s="153" t="n">
        <f aca="false">IFERROR(IF(AND($N889="VCA",$AJ889&gt;0),($M889*$AG889*$AJ889)-$AI889,0),0)</f>
        <v>5.43431649445236</v>
      </c>
      <c r="AS889" s="153" t="n">
        <f aca="false">IFERROR(IF(AND($N889="VCA",$AP889&gt;0),$AP889-$AI889-$AQ889-$AR889,0),0)</f>
        <v>13.6539</v>
      </c>
      <c r="AT889" s="153" t="n">
        <f aca="false">IFERROR(IF($N889="VCA",INDEX(APOIO_REDES!$A:$W,MATCH($C889&amp;$I889&amp;$H889&amp;$N889&amp;$O889,APOIO_REDES!$W:$W,0),MATCH(AT$5,APOIO_REDES!$5:$5,0)),0)*$AP889,0)</f>
        <v>0.224983554637193</v>
      </c>
      <c r="AU889" s="153" t="n">
        <f aca="false">IFERROR(IF($N889="VCA",INDEX(APOIO_REDES!$A:$W,MATCH($C889&amp;$I889&amp;$H889&amp;$N889&amp;$O889,APOIO_REDES!$W:$W,0),MATCH(AU$5,APOIO_REDES!$5:$5,0)),0)*$AP889,0)</f>
        <v>0.179665773405844</v>
      </c>
      <c r="AV889" s="153" t="n">
        <f aca="false">IFERROR(IF($N889="VCA",INDEX(APOIO_REDES!$A:$W,MATCH($C889&amp;$I889&amp;$H889&amp;$N889&amp;$O889,APOIO_REDES!$W:$W,0),MATCH(AV$5,APOIO_REDES!$5:$5,0)),0)*$AP889,0)</f>
        <v>0.0248643326077473</v>
      </c>
      <c r="AW889" s="153" t="n">
        <f aca="false">IFERROR(IF($N889="VCA",INDEX(APOIO_REDES!$A:$W,MATCH($C889&amp;$I889&amp;$H889&amp;$N889&amp;$O889,APOIO_REDES!$W:$W,0),MATCH(AW$5,APOIO_REDES!$5:$5,0)),0)*$AP889,0)</f>
        <v>14.193589528728</v>
      </c>
      <c r="AX889" s="153" t="n">
        <f aca="false">IFERROR(IF($N889="VCA",INDEX(APOIO_REDES!$A:$W,MATCH($C889&amp;$I889&amp;$H889&amp;$N889&amp;$O889,APOIO_REDES!$W:$W,0),MATCH(AX$5,APOIO_REDES!$5:$5,0)),0)*$AP889,0)</f>
        <v>1.96435235957087</v>
      </c>
      <c r="AY889" s="153" t="n">
        <f aca="false">IFERROR(IF($N889="VCA",INDEX(APOIO_REDES!$A:$W,MATCH($C889&amp;$I889&amp;$H889&amp;$N889&amp;$O889,APOIO_REDES!$W:$W,0),MATCH(AY$5,APOIO_REDES!$5:$5,0)),0)*$AP889,0)</f>
        <v>3.59331327800567</v>
      </c>
      <c r="AZ889" s="153" t="n">
        <f aca="false">IFERROR(IF($N889="VCA",INDEX(APOIO_REDES!$A:$W,MATCH($C889&amp;$I889&amp;$H889&amp;$N889&amp;$O889,APOIO_REDES!$W:$W,0),MATCH(AZ$5,APOIO_REDES!$5:$5,0)),0)*$AP889,0)</f>
        <v>0.497304173044654</v>
      </c>
      <c r="BA889" s="153" t="n">
        <f aca="false">IFERROR(IF(AND($N889="VCA",$Q889="LINEAR"),INDEX(APOIO_REDES!$A:$W,MATCH($C889&amp;$I889&amp;$H889&amp;$N889&amp;$O889,APOIO_REDES!$W:$W,0),MATCH(BA$5,APOIO_REDES!$5:$5,0)),IF(AND($N889="MND",$Q889="EMBOQUE"),INDEX(APOIO_REDES!$A:$W,MATCH($C889&amp;$I889&amp;$H889&amp;$N889&amp;$O889,APOIO_REDES!$W:$W,0),MATCH(BA$5,APOIO_REDES!$5:$5,0)),0))*$M889/10,0)</f>
        <v>1.88114512671207</v>
      </c>
      <c r="BB889" s="153" t="n">
        <f aca="false">IFERROR(IF($N889="VCA",INDEX(APOIO_REDES!$A:$W,MATCH($C889&amp;$I889&amp;$H889&amp;$N889&amp;$O889,APOIO_REDES!$W:$W,0),MATCH(BB$5,APOIO_REDES!$5:$5,0)),0)*($AI889+$AQ889+$AR889),0)</f>
        <v>6.94774791871092</v>
      </c>
      <c r="BC889" s="153" t="n">
        <f aca="false">IFERROR(IF($N889="VCA",INDEX(APOIO_REDES!$A:$W,MATCH($C889&amp;$I889&amp;$H889&amp;$N889&amp;$O889,APOIO_REDES!$W:$W,0),MATCH(BC$5,APOIO_REDES!$5:$5,0)),0)*($AI889+$AQ889+$AR889),0)</f>
        <v>0.0764250812890832</v>
      </c>
      <c r="BD889" s="153" t="n">
        <f aca="false">IF(AND($N889="VCA",$AF889&gt;=1.25,$AF889&lt;1.5),$M889*$AF889*2,0)</f>
        <v>63.62484</v>
      </c>
      <c r="BE889" s="153" t="n">
        <f aca="false">IF(AND($N889="VCA",$AF889&gt;=1.5,$AF889&lt;3),$M889*$AF889*2,0)</f>
        <v>0</v>
      </c>
      <c r="BF889" s="153" t="n">
        <f aca="false">IF(AND($N889="VCA",$AF889&gt;=3),$M889*$AF889*2,0)</f>
        <v>0</v>
      </c>
      <c r="BG889" s="153" t="n">
        <f aca="false">($BB889+$BC889)*$AK889</f>
        <v>28.096692</v>
      </c>
      <c r="BH889" s="153" t="n">
        <f aca="false">IF(AND($M889&lt;&gt;"",$N889="VCA",$Q889="LINEAR"),($M889*2)/100,IF(AND($M889&lt;&gt;"",$N889="MND",$Q889="EMBOQUE"),($AN889*2)/100,0))</f>
        <v>0.4668</v>
      </c>
      <c r="BI889" s="153" t="n">
        <f aca="false">IF(AND($M889&lt;&gt;"",$N889="VCA",$Q889="LINEAR"),$M889,IF(AND($M889&lt;&gt;"",$N889="MND",$Q889="EMBOQUE"),$AN889*2,0))</f>
        <v>23.34</v>
      </c>
      <c r="BJ889" s="153" t="n">
        <f aca="false">IF(AND($M889&lt;&gt;"",$N889="VCA",$Q889="LINEAR"),($M889*6.8)/100,IF(AND($M889&lt;&gt;"",$N889="MND",$Q889="EMBOQUE"),($AN889*2*6.8)/100,0))</f>
        <v>1.58712</v>
      </c>
      <c r="BK889" s="153" t="n">
        <f aca="false">IF(AND($M889&lt;&gt;"",$N889="VCA",$Q889="LINEAR"),($M889*2.5)/50,IF(AND($M889&lt;&gt;"",$N889="MND",$Q889="EMBOQUE"),($AN889*2*2.5)/50,0))</f>
        <v>1.167</v>
      </c>
      <c r="BL889" s="157" t="str">
        <f aca="false">K889&amp;J889</f>
        <v>Zona08REDES</v>
      </c>
      <c r="BM889" s="152" t="s">
        <v>4834</v>
      </c>
      <c r="BN889" s="152" t="s">
        <v>1560</v>
      </c>
      <c r="BO889" s="152" t="s">
        <v>2489</v>
      </c>
      <c r="BP889" s="152" t="s">
        <v>2232</v>
      </c>
      <c r="BQ889" s="152" t="s">
        <v>4921</v>
      </c>
      <c r="BR889" s="152" t="s">
        <v>4922</v>
      </c>
      <c r="BS889" s="152" t="n">
        <v>202898.766</v>
      </c>
      <c r="BT889" s="152" t="n">
        <v>8237206.295</v>
      </c>
      <c r="BU889" s="152" t="n">
        <v>202917.053</v>
      </c>
      <c r="BV889" s="152" t="n">
        <v>8237212.498</v>
      </c>
      <c r="BW889" s="152" t="n">
        <v>-15.9265861</v>
      </c>
      <c r="BX889" s="152" t="n">
        <v>-47.7748233</v>
      </c>
      <c r="BY889" s="152" t="s">
        <v>4921</v>
      </c>
    </row>
    <row r="890" customFormat="false" ht="13.8" hidden="false" customHeight="false" outlineLevel="0" collapsed="false">
      <c r="A890" s="149" t="n">
        <f aca="false">IF(C890&lt;&gt;"",ROW(A885),"")</f>
        <v>885</v>
      </c>
      <c r="B890" s="150" t="str">
        <f aca="false">HYPERLINK("https://www.google.com/maps/dir/-15.917302,-47.760003/-15.9265489,-47.7764733/data=!4m3!4m2!3e0!5i2")</f>
        <v>https://www.google.com/maps/dir/-15.917302,-47.760003/-15.9265489,-47.7764733/data=!4m3!4m2!3e0!5i2</v>
      </c>
      <c r="C890" s="151" t="s">
        <v>117</v>
      </c>
      <c r="D890" s="152" t="s">
        <v>112</v>
      </c>
      <c r="E890" s="152" t="s">
        <v>113</v>
      </c>
      <c r="F890" s="152" t="s">
        <v>117</v>
      </c>
      <c r="G890" s="152" t="s">
        <v>782</v>
      </c>
      <c r="H890" s="152" t="n">
        <v>90</v>
      </c>
      <c r="I890" s="152" t="s">
        <v>115</v>
      </c>
      <c r="J890" s="152" t="s">
        <v>6</v>
      </c>
      <c r="K890" s="152" t="s">
        <v>4831</v>
      </c>
      <c r="L890" s="152" t="s">
        <v>120</v>
      </c>
      <c r="M890" s="153" t="n">
        <f aca="false">4.51</f>
        <v>4.51</v>
      </c>
      <c r="N890" s="152" t="s">
        <v>1548</v>
      </c>
      <c r="O890" s="152" t="s">
        <v>1549</v>
      </c>
      <c r="P890" s="152" t="s">
        <v>1550</v>
      </c>
      <c r="Q890" s="152" t="s">
        <v>1551</v>
      </c>
      <c r="R890" s="154" t="s">
        <v>4923</v>
      </c>
      <c r="S890" s="154" t="s">
        <v>1593</v>
      </c>
      <c r="T890" s="155" t="s">
        <v>2487</v>
      </c>
      <c r="U890" s="152" t="str">
        <f aca="false">RIGHT(T890,7)</f>
        <v>011/037</v>
      </c>
      <c r="V890" s="152" t="s">
        <v>1555</v>
      </c>
      <c r="W890" s="156" t="n">
        <v>45882</v>
      </c>
      <c r="X890" s="152" t="s">
        <v>1594</v>
      </c>
      <c r="Y890" s="152" t="s">
        <v>3516</v>
      </c>
      <c r="Z890" s="152" t="s">
        <v>1557</v>
      </c>
      <c r="AA890" s="153" t="n">
        <v>3.8</v>
      </c>
      <c r="AB890" s="151" t="s">
        <v>4924</v>
      </c>
      <c r="AC890" s="151" t="s">
        <v>526</v>
      </c>
      <c r="AD890" s="151" t="str">
        <f aca="false">CONCATENATE($C890,$I890,$H890,$N890,$J890,$K890)</f>
        <v>TUBO PEADPEAD90VCAREDESZona08</v>
      </c>
      <c r="AE890" s="153" t="n">
        <f aca="false">IFERROR(INDEX(APOIO_REDES!$A:$W,MATCH($C890&amp;$I890&amp;$H890&amp;$N890&amp;$O890,APOIO_REDES!$W:$W,0),MATCH(AE$5,APOIO_REDES!$5:$5,0)),0)</f>
        <v>1.2</v>
      </c>
      <c r="AF890" s="153" t="n">
        <f aca="false">IFERROR(INDEX(APOIO_REDES!$A:$W,MATCH($C890&amp;$I890&amp;$H890&amp;$N890&amp;$O890,APOIO_REDES!$W:$W,0),MATCH(AF$5,APOIO_REDES!$5:$5,0)),0)</f>
        <v>1.39</v>
      </c>
      <c r="AG890" s="153" t="n">
        <f aca="false">IFERROR(INDEX(APOIO_REDES!$A:$W,MATCH($C890&amp;$I890&amp;$H890&amp;$N890&amp;$O890,APOIO_REDES!$W:$W,0),MATCH(AG$5,APOIO_REDES!$5:$5,0)),0)</f>
        <v>0.75</v>
      </c>
      <c r="AH890" s="153" t="n">
        <f aca="false">IFERROR(INDEX(APOIO_REDES!$A:$W,MATCH($C890&amp;$I890&amp;$H890&amp;$N890&amp;$O890,APOIO_REDES!$W:$W,0),MATCH(AH$5,APOIO_REDES!$5:$5,0)),0)</f>
        <v>0.1</v>
      </c>
      <c r="AI890" s="153" t="n">
        <f aca="false">IFERROR(IF($H890&lt;&gt;"",(((($H890/1000)/2)^2)*PI()*$M890),0),0)</f>
        <v>0.0286913803070722</v>
      </c>
      <c r="AJ890" s="153" t="n">
        <f aca="false">IFERROR(IF(AND($H890&lt;&gt;"",$I890="FoFo",OR($N890="MND",$N890="VCA"),$Q890="LINEAR"),0,IF(AND($H890&lt;&gt;"",$I890="PEAD",$N890="VCA",$Q890="LINEAR"),($H890/1000)+0.3,IF(AND($H890&lt;&gt;"",$I890="PEAD",$N890="MND",$Q890="EMBOQUE"),0,IF(AND($H890&lt;&gt;"",$I890="PVC",$N890="VCA",$Q890="LINEAR"),($H890/1000)+0.2,IF(AND($H890&lt;&gt;"",$I890="PVC",$N890="MND",$Q890="EMBOQUE"),0,IF(AND($H890&lt;&gt;"",$I890="PEAD",$N890="VCA",$Q890="PREDIAL"),0,0)))))),0)</f>
        <v>0.39</v>
      </c>
      <c r="AK890" s="153" t="n">
        <f aca="false">IF(AA890&lt;&gt;"",AA890,0)</f>
        <v>3.8</v>
      </c>
      <c r="AL890" s="153" t="n">
        <f aca="false">IF(AND($N890="MND",$Q890="EMBOQUE"),$M890,IF(AND($N890="VCA",$Q890="LINEAR"),$M890,IF(AND($N890="VCA",$Q890="PREDIAL"),0,0)))</f>
        <v>4.51</v>
      </c>
      <c r="AM890" s="153" t="n">
        <f aca="false">IF(AND($N890="MND",$Q890="EMBOQUE"),$M890,IF(AND($N890="VCA",$Q890="LINEAR"),$M890,IF(AND($N890="VCA",$Q890="PREDIAL"),0,0)))</f>
        <v>4.51</v>
      </c>
      <c r="AN890" s="153" t="n">
        <f aca="false">ROUND(IF(AND($N890="VCA",$M890&lt;&gt;"",$Q890="LINEAR"),$M890/100,IF(AND($N890="MND",$M890&gt;100,$Q890="EMBOQUE"),$M890/100,0)),0)</f>
        <v>0</v>
      </c>
      <c r="AO890" s="153" t="n">
        <f aca="false">IF(AND($N890="MND",$Q890="EMBOQUE"),$AN890*2*2,IF(AND($N890="VCA",$Q890="LINEAR"),$M890*2,IF(AND($N890="VCA",$Q890="PREDIAL"),0,0)))</f>
        <v>9.02</v>
      </c>
      <c r="AP890" s="153" t="n">
        <f aca="false">IFERROR($M890*$AF890*$AG890,0)</f>
        <v>4.701675</v>
      </c>
      <c r="AQ890" s="153" t="n">
        <f aca="false">IFERROR(IF(AND($N890="VCA",$AH890&gt;0),$M890*$AG890*$AH890,0),0)</f>
        <v>0.33825</v>
      </c>
      <c r="AR890" s="153" t="n">
        <f aca="false">IFERROR(IF(AND($N890="VCA",$AJ890&gt;0),($M890*$AG890*$AJ890)-$AI890,0),0)</f>
        <v>1.29048361969293</v>
      </c>
      <c r="AS890" s="153" t="n">
        <f aca="false">IFERROR(IF(AND($N890="VCA",$AP890&gt;0),$AP890-$AI890-$AQ890-$AR890,0),0)</f>
        <v>3.04425</v>
      </c>
      <c r="AT890" s="153" t="n">
        <f aca="false">IFERROR(IF($N890="VCA",INDEX(APOIO_REDES!$A:$W,MATCH($C890&amp;$I890&amp;$H890&amp;$N890&amp;$O890,APOIO_REDES!$W:$W,0),MATCH(AT$5,APOIO_REDES!$5:$5,0)),0)*$AP890,0)</f>
        <v>0.0511556156247647</v>
      </c>
      <c r="AU890" s="153" t="n">
        <f aca="false">IFERROR(IF($N890="VCA",INDEX(APOIO_REDES!$A:$W,MATCH($C890&amp;$I890&amp;$H890&amp;$N890&amp;$O890,APOIO_REDES!$W:$W,0),MATCH(AU$5,APOIO_REDES!$5:$5,0)),0)*$AP890,0)</f>
        <v>0.04085148916816</v>
      </c>
      <c r="AV890" s="153" t="n">
        <f aca="false">IFERROR(IF($N890="VCA",INDEX(APOIO_REDES!$A:$W,MATCH($C890&amp;$I890&amp;$H890&amp;$N890&amp;$O890,APOIO_REDES!$W:$W,0),MATCH(AV$5,APOIO_REDES!$5:$5,0)),0)*$AP890,0)</f>
        <v>0.00565352540410947</v>
      </c>
      <c r="AW890" s="153" t="n">
        <f aca="false">IFERROR(IF($N890="VCA",INDEX(APOIO_REDES!$A:$W,MATCH($C890&amp;$I890&amp;$H890&amp;$N890&amp;$O890,APOIO_REDES!$W:$W,0),MATCH(AW$5,APOIO_REDES!$5:$5,0)),0)*$AP890,0)</f>
        <v>3.22726615035561</v>
      </c>
      <c r="AX890" s="153" t="n">
        <f aca="false">IFERROR(IF($N890="VCA",INDEX(APOIO_REDES!$A:$W,MATCH($C890&amp;$I890&amp;$H890&amp;$N890&amp;$O890,APOIO_REDES!$W:$W,0),MATCH(AX$5,APOIO_REDES!$5:$5,0)),0)*$AP890,0)</f>
        <v>0.446644442167573</v>
      </c>
      <c r="AY890" s="153" t="n">
        <f aca="false">IFERROR(IF($N890="VCA",INDEX(APOIO_REDES!$A:$W,MATCH($C890&amp;$I890&amp;$H890&amp;$N890&amp;$O890,APOIO_REDES!$W:$W,0),MATCH(AY$5,APOIO_REDES!$5:$5,0)),0)*$AP890,0)</f>
        <v>0.817029285386858</v>
      </c>
      <c r="AZ890" s="153" t="n">
        <f aca="false">IFERROR(IF($N890="VCA",INDEX(APOIO_REDES!$A:$W,MATCH($C890&amp;$I890&amp;$H890&amp;$N890&amp;$O890,APOIO_REDES!$W:$W,0),MATCH(AZ$5,APOIO_REDES!$5:$5,0)),0)*$AP890,0)</f>
        <v>0.113074491892921</v>
      </c>
      <c r="BA890" s="153" t="n">
        <f aca="false">IFERROR(IF(AND($N890="VCA",$Q890="LINEAR"),INDEX(APOIO_REDES!$A:$W,MATCH($C890&amp;$I890&amp;$H890&amp;$N890&amp;$O890,APOIO_REDES!$W:$W,0),MATCH(BA$5,APOIO_REDES!$5:$5,0)),IF(AND($N890="MND",$Q890="EMBOQUE"),INDEX(APOIO_REDES!$A:$W,MATCH($C890&amp;$I890&amp;$H890&amp;$N890&amp;$O890,APOIO_REDES!$W:$W,0),MATCH(BA$5,APOIO_REDES!$5:$5,0)),0))*$M890/10,0)</f>
        <v>0.363494623884809</v>
      </c>
      <c r="BB890" s="153" t="n">
        <f aca="false">IFERROR(IF($N890="VCA",INDEX(APOIO_REDES!$A:$W,MATCH($C890&amp;$I890&amp;$H890&amp;$N890&amp;$O890,APOIO_REDES!$W:$W,0),MATCH(BB$5,APOIO_REDES!$5:$5,0)),0)*($AI890+$AQ890+$AR890),0)</f>
        <v>1.63939172542724</v>
      </c>
      <c r="BC890" s="153" t="n">
        <f aca="false">IFERROR(IF($N890="VCA",INDEX(APOIO_REDES!$A:$W,MATCH($C890&amp;$I890&amp;$H890&amp;$N890&amp;$O890,APOIO_REDES!$W:$W,0),MATCH(BC$5,APOIO_REDES!$5:$5,0)),0)*($AI890+$AQ890+$AR890),0)</f>
        <v>0.0180332745727588</v>
      </c>
      <c r="BD890" s="153" t="n">
        <f aca="false">IF(AND($N890="VCA",$AF890&gt;=1.25,$AF890&lt;1.5),$M890*$AF890*2,0)</f>
        <v>12.5378</v>
      </c>
      <c r="BE890" s="153" t="n">
        <f aca="false">IF(AND($N890="VCA",$AF890&gt;=1.5,$AF890&lt;3),$M890*$AF890*2,0)</f>
        <v>0</v>
      </c>
      <c r="BF890" s="153" t="n">
        <f aca="false">IF(AND($N890="VCA",$AF890&gt;=3),$M890*$AF890*2,0)</f>
        <v>0</v>
      </c>
      <c r="BG890" s="153" t="n">
        <f aca="false">($BB890+$BC890)*$AK890</f>
        <v>6.298215</v>
      </c>
      <c r="BH890" s="153" t="n">
        <f aca="false">IF(AND($M890&lt;&gt;"",$N890="VCA",$Q890="LINEAR"),($M890*2)/100,IF(AND($M890&lt;&gt;"",$N890="MND",$Q890="EMBOQUE"),($AN890*2)/100,0))</f>
        <v>0.0902</v>
      </c>
      <c r="BI890" s="153" t="n">
        <f aca="false">IF(AND($M890&lt;&gt;"",$N890="VCA",$Q890="LINEAR"),$M890,IF(AND($M890&lt;&gt;"",$N890="MND",$Q890="EMBOQUE"),$AN890*2,0))</f>
        <v>4.51</v>
      </c>
      <c r="BJ890" s="153" t="n">
        <f aca="false">IF(AND($M890&lt;&gt;"",$N890="VCA",$Q890="LINEAR"),($M890*6.8)/100,IF(AND($M890&lt;&gt;"",$N890="MND",$Q890="EMBOQUE"),($AN890*2*6.8)/100,0))</f>
        <v>0.30668</v>
      </c>
      <c r="BK890" s="153" t="n">
        <f aca="false">IF(AND($M890&lt;&gt;"",$N890="VCA",$Q890="LINEAR"),($M890*2.5)/50,IF(AND($M890&lt;&gt;"",$N890="MND",$Q890="EMBOQUE"),($AN890*2*2.5)/50,0))</f>
        <v>0.2255</v>
      </c>
      <c r="BL890" s="157" t="str">
        <f aca="false">K890&amp;J890</f>
        <v>Zona08REDES</v>
      </c>
      <c r="BM890" s="152" t="s">
        <v>4834</v>
      </c>
      <c r="BN890" s="152" t="s">
        <v>1560</v>
      </c>
      <c r="BO890" s="152" t="s">
        <v>2489</v>
      </c>
      <c r="BP890" s="152" t="s">
        <v>4909</v>
      </c>
      <c r="BQ890" s="152" t="s">
        <v>4917</v>
      </c>
      <c r="BR890" s="152" t="s">
        <v>4918</v>
      </c>
      <c r="BS890" s="152" t="n">
        <v>202733.643</v>
      </c>
      <c r="BT890" s="152" t="n">
        <v>8237211.823</v>
      </c>
      <c r="BU890" s="152" t="n">
        <v>202734.744</v>
      </c>
      <c r="BV890" s="152" t="n">
        <v>8237207.445</v>
      </c>
      <c r="BW890" s="152" t="n">
        <v>-15.9265687</v>
      </c>
      <c r="BX890" s="152" t="n">
        <v>-47.7764622</v>
      </c>
      <c r="BY890" s="152" t="s">
        <v>4909</v>
      </c>
    </row>
    <row r="891" customFormat="false" ht="13.8" hidden="false" customHeight="false" outlineLevel="0" collapsed="false">
      <c r="A891" s="149" t="n">
        <f aca="false">IF(C891&lt;&gt;"",ROW(A886),"")</f>
        <v>886</v>
      </c>
      <c r="B891" s="150" t="str">
        <f aca="false">HYPERLINK("https://www.google.com/maps/dir/-15.917302,-47.760003/-15.9266524,-47.7768781/data=!4m3!4m2!3e0!5i2")</f>
        <v>https://www.google.com/maps/dir/-15.917302,-47.760003/-15.9266524,-47.7768781/data=!4m3!4m2!3e0!5i2</v>
      </c>
      <c r="C891" s="151" t="s">
        <v>117</v>
      </c>
      <c r="D891" s="152" t="s">
        <v>112</v>
      </c>
      <c r="E891" s="152" t="s">
        <v>113</v>
      </c>
      <c r="F891" s="152" t="s">
        <v>117</v>
      </c>
      <c r="G891" s="152" t="s">
        <v>782</v>
      </c>
      <c r="H891" s="152" t="n">
        <v>63</v>
      </c>
      <c r="I891" s="152" t="s">
        <v>115</v>
      </c>
      <c r="J891" s="152" t="s">
        <v>6</v>
      </c>
      <c r="K891" s="152" t="s">
        <v>4831</v>
      </c>
      <c r="L891" s="152" t="s">
        <v>120</v>
      </c>
      <c r="M891" s="153" t="n">
        <f aca="false">41.95</f>
        <v>41.95</v>
      </c>
      <c r="N891" s="152" t="s">
        <v>1548</v>
      </c>
      <c r="O891" s="152" t="s">
        <v>1549</v>
      </c>
      <c r="P891" s="152" t="s">
        <v>1550</v>
      </c>
      <c r="Q891" s="152" t="s">
        <v>1551</v>
      </c>
      <c r="R891" s="154" t="s">
        <v>4925</v>
      </c>
      <c r="S891" s="154" t="s">
        <v>1553</v>
      </c>
      <c r="T891" s="155" t="s">
        <v>2487</v>
      </c>
      <c r="U891" s="152" t="str">
        <f aca="false">RIGHT(T891,7)</f>
        <v>011/037</v>
      </c>
      <c r="V891" s="152" t="s">
        <v>1555</v>
      </c>
      <c r="W891" s="156" t="n">
        <v>45882</v>
      </c>
      <c r="X891" s="152" t="s">
        <v>1594</v>
      </c>
      <c r="Y891" s="152" t="s">
        <v>3516</v>
      </c>
      <c r="Z891" s="152" t="s">
        <v>1557</v>
      </c>
      <c r="AA891" s="153" t="n">
        <v>3.7</v>
      </c>
      <c r="AB891" s="151" t="s">
        <v>4926</v>
      </c>
      <c r="AC891" s="151" t="s">
        <v>186</v>
      </c>
      <c r="AD891" s="151" t="str">
        <f aca="false">CONCATENATE($C891,$I891,$H891,$N891,$J891,$K891)</f>
        <v>TUBO PEADPEAD63VCAREDESZona08</v>
      </c>
      <c r="AE891" s="153" t="n">
        <f aca="false">IFERROR(INDEX(APOIO_REDES!$A:$W,MATCH($C891&amp;$I891&amp;$H891&amp;$N891&amp;$O891,APOIO_REDES!$W:$W,0),MATCH(AE$5,APOIO_REDES!$5:$5,0)),0)</f>
        <v>1.2</v>
      </c>
      <c r="AF891" s="153" t="n">
        <f aca="false">IFERROR(INDEX(APOIO_REDES!$A:$W,MATCH($C891&amp;$I891&amp;$H891&amp;$N891&amp;$O891,APOIO_REDES!$W:$W,0),MATCH(AF$5,APOIO_REDES!$5:$5,0)),0)</f>
        <v>1.363</v>
      </c>
      <c r="AG891" s="153" t="n">
        <f aca="false">IFERROR(INDEX(APOIO_REDES!$A:$W,MATCH($C891&amp;$I891&amp;$H891&amp;$N891&amp;$O891,APOIO_REDES!$W:$W,0),MATCH(AG$5,APOIO_REDES!$5:$5,0)),0)</f>
        <v>0.65</v>
      </c>
      <c r="AH891" s="153" t="n">
        <f aca="false">IFERROR(INDEX(APOIO_REDES!$A:$W,MATCH($C891&amp;$I891&amp;$H891&amp;$N891&amp;$O891,APOIO_REDES!$W:$W,0),MATCH(AH$5,APOIO_REDES!$5:$5,0)),0)</f>
        <v>0.1</v>
      </c>
      <c r="AI891" s="153" t="n">
        <f aca="false">IFERROR(IF($H891&lt;&gt;"",(((($H891/1000)/2)^2)*PI()*$M891),0),0)</f>
        <v>0.130768440776502</v>
      </c>
      <c r="AJ891" s="153" t="n">
        <f aca="false">IFERROR(IF(AND($H891&lt;&gt;"",$I891="FoFo",OR($N891="MND",$N891="VCA"),$Q891="LINEAR"),0,IF(AND($H891&lt;&gt;"",$I891="PEAD",$N891="VCA",$Q891="LINEAR"),($H891/1000)+0.3,IF(AND($H891&lt;&gt;"",$I891="PEAD",$N891="MND",$Q891="EMBOQUE"),0,IF(AND($H891&lt;&gt;"",$I891="PVC",$N891="VCA",$Q891="LINEAR"),($H891/1000)+0.2,IF(AND($H891&lt;&gt;"",$I891="PVC",$N891="MND",$Q891="EMBOQUE"),0,IF(AND($H891&lt;&gt;"",$I891="PEAD",$N891="VCA",$Q891="PREDIAL"),0,0)))))),0)</f>
        <v>0.363</v>
      </c>
      <c r="AK891" s="153" t="n">
        <f aca="false">IF(AA891&lt;&gt;"",AA891,0)</f>
        <v>3.7</v>
      </c>
      <c r="AL891" s="153" t="n">
        <f aca="false">IF(AND($N891="MND",$Q891="EMBOQUE"),$M891,IF(AND($N891="VCA",$Q891="LINEAR"),$M891,IF(AND($N891="VCA",$Q891="PREDIAL"),0,0)))</f>
        <v>41.95</v>
      </c>
      <c r="AM891" s="153" t="n">
        <f aca="false">IF(AND($N891="MND",$Q891="EMBOQUE"),$M891,IF(AND($N891="VCA",$Q891="LINEAR"),$M891,IF(AND($N891="VCA",$Q891="PREDIAL"),0,0)))</f>
        <v>41.95</v>
      </c>
      <c r="AN891" s="153" t="n">
        <f aca="false">ROUND(IF(AND($N891="VCA",$M891&lt;&gt;"",$Q891="LINEAR"),$M891/100,IF(AND($N891="MND",$M891&gt;100,$Q891="EMBOQUE"),$M891/100,0)),0)</f>
        <v>0</v>
      </c>
      <c r="AO891" s="153" t="n">
        <f aca="false">IF(AND($N891="MND",$Q891="EMBOQUE"),$AN891*2*2,IF(AND($N891="VCA",$Q891="LINEAR"),$M891*2,IF(AND($N891="VCA",$Q891="PREDIAL"),0,0)))</f>
        <v>83.9</v>
      </c>
      <c r="AP891" s="153" t="n">
        <f aca="false">IFERROR($M891*$AF891*$AG891,0)</f>
        <v>37.1656025</v>
      </c>
      <c r="AQ891" s="153" t="n">
        <f aca="false">IFERROR(IF(AND($N891="VCA",$AH891&gt;0),$M891*$AG891*$AH891,0),0)</f>
        <v>2.72675</v>
      </c>
      <c r="AR891" s="153" t="n">
        <f aca="false">IFERROR(IF(AND($N891="VCA",$AJ891&gt;0),($M891*$AG891*$AJ891)-$AI891,0),0)</f>
        <v>9.7673340592235</v>
      </c>
      <c r="AS891" s="153" t="n">
        <f aca="false">IFERROR(IF(AND($N891="VCA",$AP891&gt;0),$AP891-$AI891-$AQ891-$AR891,0),0)</f>
        <v>24.54075</v>
      </c>
      <c r="AT891" s="153" t="n">
        <f aca="false">IFERROR(IF($N891="VCA",INDEX(APOIO_REDES!$A:$W,MATCH($C891&amp;$I891&amp;$H891&amp;$N891&amp;$O891,APOIO_REDES!$W:$W,0),MATCH(AT$5,APOIO_REDES!$5:$5,0)),0)*$AP891,0)</f>
        <v>0.404372755656823</v>
      </c>
      <c r="AU891" s="153" t="n">
        <f aca="false">IFERROR(IF($N891="VCA",INDEX(APOIO_REDES!$A:$W,MATCH($C891&amp;$I891&amp;$H891&amp;$N891&amp;$O891,APOIO_REDES!$W:$W,0),MATCH(AU$5,APOIO_REDES!$5:$5,0)),0)*$AP891,0)</f>
        <v>0.322921130864403</v>
      </c>
      <c r="AV891" s="153" t="n">
        <f aca="false">IFERROR(IF($N891="VCA",INDEX(APOIO_REDES!$A:$W,MATCH($C891&amp;$I891&amp;$H891&amp;$N891&amp;$O891,APOIO_REDES!$W:$W,0),MATCH(AV$5,APOIO_REDES!$5:$5,0)),0)*$AP891,0)</f>
        <v>0.0446897494813624</v>
      </c>
      <c r="AW891" s="153" t="n">
        <f aca="false">IFERROR(IF($N891="VCA",INDEX(APOIO_REDES!$A:$W,MATCH($C891&amp;$I891&amp;$H891&amp;$N891&amp;$O891,APOIO_REDES!$W:$W,0),MATCH(AW$5,APOIO_REDES!$5:$5,0)),0)*$AP891,0)</f>
        <v>25.5107575291406</v>
      </c>
      <c r="AX891" s="153" t="n">
        <f aca="false">IFERROR(IF($N891="VCA",INDEX(APOIO_REDES!$A:$W,MATCH($C891&amp;$I891&amp;$H891&amp;$N891&amp;$O891,APOIO_REDES!$W:$W,0),MATCH(AX$5,APOIO_REDES!$5:$5,0)),0)*$AP891,0)</f>
        <v>3.53061617326469</v>
      </c>
      <c r="AY891" s="153" t="n">
        <f aca="false">IFERROR(IF($N891="VCA",INDEX(APOIO_REDES!$A:$W,MATCH($C891&amp;$I891&amp;$H891&amp;$N891&amp;$O891,APOIO_REDES!$W:$W,0),MATCH(AY$5,APOIO_REDES!$5:$5,0)),0)*$AP891,0)</f>
        <v>6.45841868090564</v>
      </c>
      <c r="AZ891" s="153" t="n">
        <f aca="false">IFERROR(IF($N891="VCA",INDEX(APOIO_REDES!$A:$W,MATCH($C891&amp;$I891&amp;$H891&amp;$N891&amp;$O891,APOIO_REDES!$W:$W,0),MATCH(AZ$5,APOIO_REDES!$5:$5,0)),0)*$AP891,0)</f>
        <v>0.893826480686514</v>
      </c>
      <c r="BA891" s="153" t="n">
        <f aca="false">IFERROR(IF(AND($N891="VCA",$Q891="LINEAR"),INDEX(APOIO_REDES!$A:$W,MATCH($C891&amp;$I891&amp;$H891&amp;$N891&amp;$O891,APOIO_REDES!$W:$W,0),MATCH(BA$5,APOIO_REDES!$5:$5,0)),IF(AND($N891="MND",$Q891="EMBOQUE"),INDEX(APOIO_REDES!$A:$W,MATCH($C891&amp;$I891&amp;$H891&amp;$N891&amp;$O891,APOIO_REDES!$W:$W,0),MATCH(BA$5,APOIO_REDES!$5:$5,0)),0))*$M891/10,0)</f>
        <v>3.38106418447178</v>
      </c>
      <c r="BB891" s="153" t="n">
        <f aca="false">IFERROR(IF($N891="VCA",INDEX(APOIO_REDES!$A:$W,MATCH($C891&amp;$I891&amp;$H891&amp;$N891&amp;$O891,APOIO_REDES!$W:$W,0),MATCH(BB$5,APOIO_REDES!$5:$5,0)),0)*($AI891+$AQ891+$AR891),0)</f>
        <v>12.4874903680344</v>
      </c>
      <c r="BC891" s="153" t="n">
        <f aca="false">IFERROR(IF($N891="VCA",INDEX(APOIO_REDES!$A:$W,MATCH($C891&amp;$I891&amp;$H891&amp;$N891&amp;$O891,APOIO_REDES!$W:$W,0),MATCH(BC$5,APOIO_REDES!$5:$5,0)),0)*($AI891+$AQ891+$AR891),0)</f>
        <v>0.137362131965597</v>
      </c>
      <c r="BD891" s="153" t="n">
        <f aca="false">IF(AND($N891="VCA",$AF891&gt;=1.25,$AF891&lt;1.5),$M891*$AF891*2,0)</f>
        <v>114.3557</v>
      </c>
      <c r="BE891" s="153" t="n">
        <f aca="false">IF(AND($N891="VCA",$AF891&gt;=1.5,$AF891&lt;3),$M891*$AF891*2,0)</f>
        <v>0</v>
      </c>
      <c r="BF891" s="153" t="n">
        <f aca="false">IF(AND($N891="VCA",$AF891&gt;=3),$M891*$AF891*2,0)</f>
        <v>0</v>
      </c>
      <c r="BG891" s="153" t="n">
        <f aca="false">($BB891+$BC891)*$AK891</f>
        <v>46.71195425</v>
      </c>
      <c r="BH891" s="153" t="n">
        <f aca="false">IF(AND($M891&lt;&gt;"",$N891="VCA",$Q891="LINEAR"),($M891*2)/100,IF(AND($M891&lt;&gt;"",$N891="MND",$Q891="EMBOQUE"),($AN891*2)/100,0))</f>
        <v>0.839</v>
      </c>
      <c r="BI891" s="153" t="n">
        <f aca="false">IF(AND($M891&lt;&gt;"",$N891="VCA",$Q891="LINEAR"),$M891,IF(AND($M891&lt;&gt;"",$N891="MND",$Q891="EMBOQUE"),$AN891*2,0))</f>
        <v>41.95</v>
      </c>
      <c r="BJ891" s="153" t="n">
        <f aca="false">IF(AND($M891&lt;&gt;"",$N891="VCA",$Q891="LINEAR"),($M891*6.8)/100,IF(AND($M891&lt;&gt;"",$N891="MND",$Q891="EMBOQUE"),($AN891*2*6.8)/100,0))</f>
        <v>2.8526</v>
      </c>
      <c r="BK891" s="153" t="n">
        <f aca="false">IF(AND($M891&lt;&gt;"",$N891="VCA",$Q891="LINEAR"),($M891*2.5)/50,IF(AND($M891&lt;&gt;"",$N891="MND",$Q891="EMBOQUE"),($AN891*2*2.5)/50,0))</f>
        <v>2.0975</v>
      </c>
      <c r="BL891" s="157" t="str">
        <f aca="false">K891&amp;J891</f>
        <v>Zona08REDES</v>
      </c>
      <c r="BM891" s="152" t="s">
        <v>4834</v>
      </c>
      <c r="BN891" s="152" t="s">
        <v>1560</v>
      </c>
      <c r="BO891" s="152" t="s">
        <v>2489</v>
      </c>
      <c r="BP891" s="152" t="s">
        <v>4927</v>
      </c>
      <c r="BQ891" s="152" t="s">
        <v>4913</v>
      </c>
      <c r="BR891" s="152" t="s">
        <v>4928</v>
      </c>
      <c r="BS891" s="152" t="n">
        <v>202690.83</v>
      </c>
      <c r="BT891" s="152" t="n">
        <v>8237200.014</v>
      </c>
      <c r="BU891" s="152" t="n">
        <v>202731.225</v>
      </c>
      <c r="BV891" s="152" t="n">
        <v>8237211.323</v>
      </c>
      <c r="BW891" s="152" t="n">
        <v>-15.9266013</v>
      </c>
      <c r="BX891" s="152" t="n">
        <v>-47.776679</v>
      </c>
      <c r="BY891" s="152" t="s">
        <v>4927</v>
      </c>
    </row>
    <row r="892" customFormat="false" ht="13.8" hidden="false" customHeight="false" outlineLevel="0" collapsed="false">
      <c r="A892" s="149" t="n">
        <f aca="false">IF(C892&lt;&gt;"",ROW(A887),"")</f>
        <v>887</v>
      </c>
      <c r="B892" s="150" t="str">
        <f aca="false">HYPERLINK("https://www.google.com/maps/dir/-15.917302,-47.760003/-15.9266548,-47.7768902/data=!4m3!4m2!3e0!5i2")</f>
        <v>https://www.google.com/maps/dir/-15.917302,-47.760003/-15.9266548,-47.7768902/data=!4m3!4m2!3e0!5i2</v>
      </c>
      <c r="C892" s="151" t="s">
        <v>117</v>
      </c>
      <c r="D892" s="152" t="s">
        <v>112</v>
      </c>
      <c r="E892" s="152" t="s">
        <v>113</v>
      </c>
      <c r="F892" s="152" t="s">
        <v>117</v>
      </c>
      <c r="G892" s="152" t="s">
        <v>782</v>
      </c>
      <c r="H892" s="152" t="n">
        <v>63</v>
      </c>
      <c r="I892" s="152" t="s">
        <v>115</v>
      </c>
      <c r="J892" s="152" t="s">
        <v>6</v>
      </c>
      <c r="K892" s="152" t="s">
        <v>4831</v>
      </c>
      <c r="L892" s="152" t="s">
        <v>120</v>
      </c>
      <c r="M892" s="153" t="n">
        <f aca="false">0.79</f>
        <v>0.79</v>
      </c>
      <c r="N892" s="152" t="s">
        <v>1548</v>
      </c>
      <c r="O892" s="152" t="s">
        <v>1549</v>
      </c>
      <c r="P892" s="152" t="s">
        <v>1550</v>
      </c>
      <c r="Q892" s="152" t="s">
        <v>1551</v>
      </c>
      <c r="R892" s="154" t="s">
        <v>4929</v>
      </c>
      <c r="S892" s="154" t="s">
        <v>1553</v>
      </c>
      <c r="T892" s="155" t="s">
        <v>2487</v>
      </c>
      <c r="U892" s="152" t="str">
        <f aca="false">RIGHT(T892,7)</f>
        <v>011/037</v>
      </c>
      <c r="V892" s="152" t="s">
        <v>1555</v>
      </c>
      <c r="W892" s="156" t="n">
        <v>45882</v>
      </c>
      <c r="X892" s="152" t="s">
        <v>1594</v>
      </c>
      <c r="Y892" s="152" t="s">
        <v>3516</v>
      </c>
      <c r="Z892" s="152" t="s">
        <v>1557</v>
      </c>
      <c r="AA892" s="153" t="n">
        <v>3.7</v>
      </c>
      <c r="AB892" s="151" t="s">
        <v>4930</v>
      </c>
      <c r="AC892" s="151" t="s">
        <v>186</v>
      </c>
      <c r="AD892" s="151" t="str">
        <f aca="false">CONCATENATE($C892,$I892,$H892,$N892,$J892,$K892)</f>
        <v>TUBO PEADPEAD63VCAREDESZona08</v>
      </c>
      <c r="AE892" s="153" t="n">
        <f aca="false">IFERROR(INDEX(APOIO_REDES!$A:$W,MATCH($C892&amp;$I892&amp;$H892&amp;$N892&amp;$O892,APOIO_REDES!$W:$W,0),MATCH(AE$5,APOIO_REDES!$5:$5,0)),0)</f>
        <v>1.2</v>
      </c>
      <c r="AF892" s="153" t="n">
        <f aca="false">IFERROR(INDEX(APOIO_REDES!$A:$W,MATCH($C892&amp;$I892&amp;$H892&amp;$N892&amp;$O892,APOIO_REDES!$W:$W,0),MATCH(AF$5,APOIO_REDES!$5:$5,0)),0)</f>
        <v>1.363</v>
      </c>
      <c r="AG892" s="153" t="n">
        <f aca="false">IFERROR(INDEX(APOIO_REDES!$A:$W,MATCH($C892&amp;$I892&amp;$H892&amp;$N892&amp;$O892,APOIO_REDES!$W:$W,0),MATCH(AG$5,APOIO_REDES!$5:$5,0)),0)</f>
        <v>0.65</v>
      </c>
      <c r="AH892" s="153" t="n">
        <f aca="false">IFERROR(INDEX(APOIO_REDES!$A:$W,MATCH($C892&amp;$I892&amp;$H892&amp;$N892&amp;$O892,APOIO_REDES!$W:$W,0),MATCH(AH$5,APOIO_REDES!$5:$5,0)),0)</f>
        <v>0.1</v>
      </c>
      <c r="AI892" s="153" t="n">
        <f aca="false">IFERROR(IF($H892&lt;&gt;"",(((($H892/1000)/2)^2)*PI()*$M892),0),0)</f>
        <v>0.00246262379531433</v>
      </c>
      <c r="AJ892" s="153" t="n">
        <f aca="false">IFERROR(IF(AND($H892&lt;&gt;"",$I892="FoFo",OR($N892="MND",$N892="VCA"),$Q892="LINEAR"),0,IF(AND($H892&lt;&gt;"",$I892="PEAD",$N892="VCA",$Q892="LINEAR"),($H892/1000)+0.3,IF(AND($H892&lt;&gt;"",$I892="PEAD",$N892="MND",$Q892="EMBOQUE"),0,IF(AND($H892&lt;&gt;"",$I892="PVC",$N892="VCA",$Q892="LINEAR"),($H892/1000)+0.2,IF(AND($H892&lt;&gt;"",$I892="PVC",$N892="MND",$Q892="EMBOQUE"),0,IF(AND($H892&lt;&gt;"",$I892="PEAD",$N892="VCA",$Q892="PREDIAL"),0,0)))))),0)</f>
        <v>0.363</v>
      </c>
      <c r="AK892" s="153" t="n">
        <f aca="false">IF(AA892&lt;&gt;"",AA892,0)</f>
        <v>3.7</v>
      </c>
      <c r="AL892" s="153" t="n">
        <f aca="false">IF(AND($N892="MND",$Q892="EMBOQUE"),$M892,IF(AND($N892="VCA",$Q892="LINEAR"),$M892,IF(AND($N892="VCA",$Q892="PREDIAL"),0,0)))</f>
        <v>0.79</v>
      </c>
      <c r="AM892" s="153" t="n">
        <f aca="false">IF(AND($N892="MND",$Q892="EMBOQUE"),$M892,IF(AND($N892="VCA",$Q892="LINEAR"),$M892,IF(AND($N892="VCA",$Q892="PREDIAL"),0,0)))</f>
        <v>0.79</v>
      </c>
      <c r="AN892" s="153" t="n">
        <f aca="false">ROUND(IF(AND($N892="VCA",$M892&lt;&gt;"",$Q892="LINEAR"),$M892/100,IF(AND($N892="MND",$M892&gt;100,$Q892="EMBOQUE"),$M892/100,0)),0)</f>
        <v>0</v>
      </c>
      <c r="AO892" s="153" t="n">
        <f aca="false">IF(AND($N892="MND",$Q892="EMBOQUE"),$AN892*2*2,IF(AND($N892="VCA",$Q892="LINEAR"),$M892*2,IF(AND($N892="VCA",$Q892="PREDIAL"),0,0)))</f>
        <v>1.58</v>
      </c>
      <c r="AP892" s="153" t="n">
        <f aca="false">IFERROR($M892*$AF892*$AG892,0)</f>
        <v>0.6999005</v>
      </c>
      <c r="AQ892" s="153" t="n">
        <f aca="false">IFERROR(IF(AND($N892="VCA",$AH892&gt;0),$M892*$AG892*$AH892,0),0)</f>
        <v>0.05135</v>
      </c>
      <c r="AR892" s="153" t="n">
        <f aca="false">IFERROR(IF(AND($N892="VCA",$AJ892&gt;0),($M892*$AG892*$AJ892)-$AI892,0),0)</f>
        <v>0.183937876204686</v>
      </c>
      <c r="AS892" s="153" t="n">
        <f aca="false">IFERROR(IF(AND($N892="VCA",$AP892&gt;0),$AP892-$AI892-$AQ892-$AR892,0),0)</f>
        <v>0.46215</v>
      </c>
      <c r="AT892" s="153" t="n">
        <f aca="false">IFERROR(IF($N892="VCA",INDEX(APOIO_REDES!$A:$W,MATCH($C892&amp;$I892&amp;$H892&amp;$N892&amp;$O892,APOIO_REDES!$W:$W,0),MATCH(AT$5,APOIO_REDES!$5:$5,0)),0)*$AP892,0)</f>
        <v>0.00761512459997354</v>
      </c>
      <c r="AU892" s="153" t="n">
        <f aca="false">IFERROR(IF($N892="VCA",INDEX(APOIO_REDES!$A:$W,MATCH($C892&amp;$I892&amp;$H892&amp;$N892&amp;$O892,APOIO_REDES!$W:$W,0),MATCH(AU$5,APOIO_REDES!$5:$5,0)),0)*$AP892,0)</f>
        <v>0.00608123226180877</v>
      </c>
      <c r="AV892" s="153" t="n">
        <f aca="false">IFERROR(IF($N892="VCA",INDEX(APOIO_REDES!$A:$W,MATCH($C892&amp;$I892&amp;$H892&amp;$N892&amp;$O892,APOIO_REDES!$W:$W,0),MATCH(AV$5,APOIO_REDES!$5:$5,0)),0)*$AP892,0)</f>
        <v>0.000841594805489303</v>
      </c>
      <c r="AW892" s="153" t="n">
        <f aca="false">IFERROR(IF($N892="VCA",INDEX(APOIO_REDES!$A:$W,MATCH($C892&amp;$I892&amp;$H892&amp;$N892&amp;$O892,APOIO_REDES!$W:$W,0),MATCH(AW$5,APOIO_REDES!$5:$5,0)),0)*$AP892,0)</f>
        <v>0.480417126293708</v>
      </c>
      <c r="AX892" s="153" t="n">
        <f aca="false">IFERROR(IF($N892="VCA",INDEX(APOIO_REDES!$A:$W,MATCH($C892&amp;$I892&amp;$H892&amp;$N892&amp;$O892,APOIO_REDES!$W:$W,0),MATCH(AX$5,APOIO_REDES!$5:$5,0)),0)*$AP892,0)</f>
        <v>0.0664883617849608</v>
      </c>
      <c r="AY892" s="153" t="n">
        <f aca="false">IFERROR(IF($N892="VCA",INDEX(APOIO_REDES!$A:$W,MATCH($C892&amp;$I892&amp;$H892&amp;$N892&amp;$O892,APOIO_REDES!$W:$W,0),MATCH(AY$5,APOIO_REDES!$5:$5,0)),0)*$AP892,0)</f>
        <v>0.121624571106447</v>
      </c>
      <c r="AZ892" s="153" t="n">
        <f aca="false">IFERROR(IF($N892="VCA",INDEX(APOIO_REDES!$A:$W,MATCH($C892&amp;$I892&amp;$H892&amp;$N892&amp;$O892,APOIO_REDES!$W:$W,0),MATCH(AZ$5,APOIO_REDES!$5:$5,0)),0)*$AP892,0)</f>
        <v>0.0168324891476125</v>
      </c>
      <c r="BA892" s="153" t="n">
        <f aca="false">IFERROR(IF(AND($N892="VCA",$Q892="LINEAR"),INDEX(APOIO_REDES!$A:$W,MATCH($C892&amp;$I892&amp;$H892&amp;$N892&amp;$O892,APOIO_REDES!$W:$W,0),MATCH(BA$5,APOIO_REDES!$5:$5,0)),IF(AND($N892="MND",$Q892="EMBOQUE"),INDEX(APOIO_REDES!$A:$W,MATCH($C892&amp;$I892&amp;$H892&amp;$N892&amp;$O892,APOIO_REDES!$W:$W,0),MATCH(BA$5,APOIO_REDES!$5:$5,0)),0))*$M892/10,0)</f>
        <v>0.0636720072880264</v>
      </c>
      <c r="BB892" s="153" t="n">
        <f aca="false">IFERROR(IF($N892="VCA",INDEX(APOIO_REDES!$A:$W,MATCH($C892&amp;$I892&amp;$H892&amp;$N892&amp;$O892,APOIO_REDES!$W:$W,0),MATCH(BB$5,APOIO_REDES!$5:$5,0)),0)*($AI892+$AQ892+$AR892),0)</f>
        <v>0.235163704189444</v>
      </c>
      <c r="BC892" s="153" t="n">
        <f aca="false">IFERROR(IF($N892="VCA",INDEX(APOIO_REDES!$A:$W,MATCH($C892&amp;$I892&amp;$H892&amp;$N892&amp;$O892,APOIO_REDES!$W:$W,0),MATCH(BC$5,APOIO_REDES!$5:$5,0)),0)*($AI892+$AQ892+$AR892),0)</f>
        <v>0.00258679581055594</v>
      </c>
      <c r="BD892" s="153" t="n">
        <f aca="false">IF(AND($N892="VCA",$AF892&gt;=1.25,$AF892&lt;1.5),$M892*$AF892*2,0)</f>
        <v>2.15354</v>
      </c>
      <c r="BE892" s="153" t="n">
        <f aca="false">IF(AND($N892="VCA",$AF892&gt;=1.5,$AF892&lt;3),$M892*$AF892*2,0)</f>
        <v>0</v>
      </c>
      <c r="BF892" s="153" t="n">
        <f aca="false">IF(AND($N892="VCA",$AF892&gt;=3),$M892*$AF892*2,0)</f>
        <v>0</v>
      </c>
      <c r="BG892" s="153" t="n">
        <f aca="false">($BB892+$BC892)*$AK892</f>
        <v>0.87967685</v>
      </c>
      <c r="BH892" s="153" t="n">
        <f aca="false">IF(AND($M892&lt;&gt;"",$N892="VCA",$Q892="LINEAR"),($M892*2)/100,IF(AND($M892&lt;&gt;"",$N892="MND",$Q892="EMBOQUE"),($AN892*2)/100,0))</f>
        <v>0.0158</v>
      </c>
      <c r="BI892" s="153" t="n">
        <f aca="false">IF(AND($M892&lt;&gt;"",$N892="VCA",$Q892="LINEAR"),$M892,IF(AND($M892&lt;&gt;"",$N892="MND",$Q892="EMBOQUE"),$AN892*2,0))</f>
        <v>0.79</v>
      </c>
      <c r="BJ892" s="153" t="n">
        <f aca="false">IF(AND($M892&lt;&gt;"",$N892="VCA",$Q892="LINEAR"),($M892*6.8)/100,IF(AND($M892&lt;&gt;"",$N892="MND",$Q892="EMBOQUE"),($AN892*2*6.8)/100,0))</f>
        <v>0.05372</v>
      </c>
      <c r="BK892" s="153" t="n">
        <f aca="false">IF(AND($M892&lt;&gt;"",$N892="VCA",$Q892="LINEAR"),($M892*2.5)/50,IF(AND($M892&lt;&gt;"",$N892="MND",$Q892="EMBOQUE"),($AN892*2*2.5)/50,0))</f>
        <v>0.0395</v>
      </c>
      <c r="BL892" s="157" t="str">
        <f aca="false">K892&amp;J892</f>
        <v>Zona08REDES</v>
      </c>
      <c r="BM892" s="152" t="s">
        <v>4834</v>
      </c>
      <c r="BN892" s="152" t="s">
        <v>1560</v>
      </c>
      <c r="BO892" s="152" t="s">
        <v>2489</v>
      </c>
      <c r="BP892" s="152" t="s">
        <v>4894</v>
      </c>
      <c r="BQ892" s="152" t="s">
        <v>4927</v>
      </c>
      <c r="BR892" s="152" t="s">
        <v>4895</v>
      </c>
      <c r="BS892" s="152" t="n">
        <v>202688.728</v>
      </c>
      <c r="BT892" s="152" t="n">
        <v>8237199.542</v>
      </c>
      <c r="BU892" s="152" t="n">
        <v>202689.494</v>
      </c>
      <c r="BV892" s="152" t="n">
        <v>8237199.714</v>
      </c>
      <c r="BW892" s="152" t="n">
        <v>-15.9266536</v>
      </c>
      <c r="BX892" s="152" t="n">
        <v>-47.7768842</v>
      </c>
      <c r="BY892" s="152" t="s">
        <v>4894</v>
      </c>
    </row>
    <row r="893" customFormat="false" ht="13.8" hidden="false" customHeight="false" outlineLevel="0" collapsed="false">
      <c r="A893" s="149" t="n">
        <f aca="false">IF(C893&lt;&gt;"",ROW(A888),"")</f>
        <v>888</v>
      </c>
      <c r="B893" s="150" t="str">
        <f aca="false">HYPERLINK("https://www.google.com/maps/dir/-15.917302,-47.760003/-15.9266283,-47.7734387/data=!4m3!4m2!3e0!5i2")</f>
        <v>https://www.google.com/maps/dir/-15.917302,-47.760003/-15.9266283,-47.7734387/data=!4m3!4m2!3e0!5i2</v>
      </c>
      <c r="C893" s="151" t="s">
        <v>117</v>
      </c>
      <c r="D893" s="152" t="s">
        <v>112</v>
      </c>
      <c r="E893" s="152" t="s">
        <v>113</v>
      </c>
      <c r="F893" s="152" t="s">
        <v>117</v>
      </c>
      <c r="G893" s="152" t="s">
        <v>114</v>
      </c>
      <c r="H893" s="152" t="n">
        <v>160</v>
      </c>
      <c r="I893" s="152" t="s">
        <v>115</v>
      </c>
      <c r="J893" s="152" t="s">
        <v>6</v>
      </c>
      <c r="K893" s="152" t="s">
        <v>4831</v>
      </c>
      <c r="L893" s="152" t="s">
        <v>120</v>
      </c>
      <c r="M893" s="153" t="n">
        <f aca="false">29.67</f>
        <v>29.67</v>
      </c>
      <c r="N893" s="152" t="s">
        <v>1548</v>
      </c>
      <c r="O893" s="152" t="s">
        <v>1549</v>
      </c>
      <c r="P893" s="152" t="s">
        <v>1550</v>
      </c>
      <c r="Q893" s="152" t="s">
        <v>1551</v>
      </c>
      <c r="R893" s="154" t="s">
        <v>4931</v>
      </c>
      <c r="S893" s="154" t="s">
        <v>1593</v>
      </c>
      <c r="T893" s="155" t="s">
        <v>2487</v>
      </c>
      <c r="U893" s="152" t="str">
        <f aca="false">RIGHT(T893,7)</f>
        <v>011/037</v>
      </c>
      <c r="V893" s="152" t="s">
        <v>1555</v>
      </c>
      <c r="W893" s="156" t="n">
        <v>45882</v>
      </c>
      <c r="X893" s="152" t="s">
        <v>1594</v>
      </c>
      <c r="Y893" s="152" t="s">
        <v>4828</v>
      </c>
      <c r="Z893" s="152" t="s">
        <v>1557</v>
      </c>
      <c r="AA893" s="153" t="n">
        <v>3.7</v>
      </c>
      <c r="AB893" s="151" t="s">
        <v>4932</v>
      </c>
      <c r="AC893" s="151" t="s">
        <v>505</v>
      </c>
      <c r="AD893" s="151" t="str">
        <f aca="false">CONCATENATE($C893,$I893,$H893,$N893,$J893,$K893)</f>
        <v>TUBO PEADPEAD160VCAREDESZona08</v>
      </c>
      <c r="AE893" s="153" t="n">
        <f aca="false">IFERROR(INDEX(APOIO_REDES!$A:$W,MATCH($C893&amp;$I893&amp;$H893&amp;$N893&amp;$O893,APOIO_REDES!$W:$W,0),MATCH(AE$5,APOIO_REDES!$5:$5,0)),0)</f>
        <v>1.2</v>
      </c>
      <c r="AF893" s="153" t="n">
        <f aca="false">IFERROR(INDEX(APOIO_REDES!$A:$W,MATCH($C893&amp;$I893&amp;$H893&amp;$N893&amp;$O893,APOIO_REDES!$W:$W,0),MATCH(AF$5,APOIO_REDES!$5:$5,0)),0)</f>
        <v>1.46</v>
      </c>
      <c r="AG893" s="153" t="n">
        <f aca="false">IFERROR(INDEX(APOIO_REDES!$A:$W,MATCH($C893&amp;$I893&amp;$H893&amp;$N893&amp;$O893,APOIO_REDES!$W:$W,0),MATCH(AG$5,APOIO_REDES!$5:$5,0)),0)</f>
        <v>0.75</v>
      </c>
      <c r="AH893" s="153" t="n">
        <f aca="false">IFERROR(INDEX(APOIO_REDES!$A:$W,MATCH($C893&amp;$I893&amp;$H893&amp;$N893&amp;$O893,APOIO_REDES!$W:$W,0),MATCH(AH$5,APOIO_REDES!$5:$5,0)),0)</f>
        <v>0.1</v>
      </c>
      <c r="AI893" s="153" t="n">
        <f aca="false">IFERROR(IF($H893&lt;&gt;"",(((($H893/1000)/2)^2)*PI()*$M893),0),0)</f>
        <v>0.596550745804859</v>
      </c>
      <c r="AJ893" s="153" t="n">
        <f aca="false">IFERROR(IF(AND($H893&lt;&gt;"",$I893="FoFo",OR($N893="MND",$N893="VCA"),$Q893="LINEAR"),0,IF(AND($H893&lt;&gt;"",$I893="PEAD",$N893="VCA",$Q893="LINEAR"),($H893/1000)+0.3,IF(AND($H893&lt;&gt;"",$I893="PEAD",$N893="MND",$Q893="EMBOQUE"),0,IF(AND($H893&lt;&gt;"",$I893="PVC",$N893="VCA",$Q893="LINEAR"),($H893/1000)+0.2,IF(AND($H893&lt;&gt;"",$I893="PVC",$N893="MND",$Q893="EMBOQUE"),0,IF(AND($H893&lt;&gt;"",$I893="PEAD",$N893="VCA",$Q893="PREDIAL"),0,0)))))),0)</f>
        <v>0.46</v>
      </c>
      <c r="AK893" s="153" t="n">
        <f aca="false">IF(AA893&lt;&gt;"",AA893,0)</f>
        <v>3.7</v>
      </c>
      <c r="AL893" s="153" t="n">
        <f aca="false">IF(AND($N893="MND",$Q893="EMBOQUE"),$M893,IF(AND($N893="VCA",$Q893="LINEAR"),$M893,IF(AND($N893="VCA",$Q893="PREDIAL"),0,0)))</f>
        <v>29.67</v>
      </c>
      <c r="AM893" s="153" t="n">
        <f aca="false">IF(AND($N893="MND",$Q893="EMBOQUE"),$M893,IF(AND($N893="VCA",$Q893="LINEAR"),$M893,IF(AND($N893="VCA",$Q893="PREDIAL"),0,0)))</f>
        <v>29.67</v>
      </c>
      <c r="AN893" s="153" t="n">
        <f aca="false">ROUND(IF(AND($N893="VCA",$M893&lt;&gt;"",$Q893="LINEAR"),$M893/100,IF(AND($N893="MND",$M893&gt;100,$Q893="EMBOQUE"),$M893/100,0)),0)</f>
        <v>0</v>
      </c>
      <c r="AO893" s="153" t="n">
        <f aca="false">IF(AND($N893="MND",$Q893="EMBOQUE"),$AN893*2*2,IF(AND($N893="VCA",$Q893="LINEAR"),$M893*2,IF(AND($N893="VCA",$Q893="PREDIAL"),0,0)))</f>
        <v>59.34</v>
      </c>
      <c r="AP893" s="153" t="n">
        <f aca="false">IFERROR($M893*$AF893*$AG893,0)</f>
        <v>32.48865</v>
      </c>
      <c r="AQ893" s="153" t="n">
        <f aca="false">IFERROR(IF(AND($N893="VCA",$AH893&gt;0),$M893*$AG893*$AH893,0),0)</f>
        <v>2.22525</v>
      </c>
      <c r="AR893" s="153" t="n">
        <f aca="false">IFERROR(IF(AND($N893="VCA",$AJ893&gt;0),($M893*$AG893*$AJ893)-$AI893,0),0)</f>
        <v>9.63959925419514</v>
      </c>
      <c r="AS893" s="153" t="n">
        <f aca="false">IFERROR(IF(AND($N893="VCA",$AP893&gt;0),$AP893-$AI893-$AQ893-$AR893,0),0)</f>
        <v>20.02725</v>
      </c>
      <c r="AT893" s="153" t="n">
        <f aca="false">IFERROR(IF($N893="VCA",INDEX(APOIO_REDES!$A:$W,MATCH($C893&amp;$I893&amp;$H893&amp;$N893&amp;$O893,APOIO_REDES!$W:$W,0),MATCH(AT$5,APOIO_REDES!$5:$5,0)),0)*$AP893,0)</f>
        <v>0.353486128149545</v>
      </c>
      <c r="AU893" s="153" t="n">
        <f aca="false">IFERROR(IF($N893="VCA",INDEX(APOIO_REDES!$A:$W,MATCH($C893&amp;$I893&amp;$H893&amp;$N893&amp;$O893,APOIO_REDES!$W:$W,0),MATCH(AU$5,APOIO_REDES!$5:$5,0)),0)*$AP893,0)</f>
        <v>0.282284448321745</v>
      </c>
      <c r="AV893" s="153" t="n">
        <f aca="false">IFERROR(IF($N893="VCA",INDEX(APOIO_REDES!$A:$W,MATCH($C893&amp;$I893&amp;$H893&amp;$N893&amp;$O893,APOIO_REDES!$W:$W,0),MATCH(AV$5,APOIO_REDES!$5:$5,0)),0)*$AP893,0)</f>
        <v>0.0390659516279243</v>
      </c>
      <c r="AW893" s="153" t="n">
        <f aca="false">IFERROR(IF($N893="VCA",INDEX(APOIO_REDES!$A:$W,MATCH($C893&amp;$I893&amp;$H893&amp;$N893&amp;$O893,APOIO_REDES!$W:$W,0),MATCH(AW$5,APOIO_REDES!$5:$5,0)),0)*$AP893,0)</f>
        <v>22.3004610943442</v>
      </c>
      <c r="AX893" s="153" t="n">
        <f aca="false">IFERROR(IF($N893="VCA",INDEX(APOIO_REDES!$A:$W,MATCH($C893&amp;$I893&amp;$H893&amp;$N893&amp;$O893,APOIO_REDES!$W:$W,0),MATCH(AX$5,APOIO_REDES!$5:$5,0)),0)*$AP893,0)</f>
        <v>3.08632029139137</v>
      </c>
      <c r="AY893" s="153" t="n">
        <f aca="false">IFERROR(IF($N893="VCA",INDEX(APOIO_REDES!$A:$W,MATCH($C893&amp;$I893&amp;$H893&amp;$N893&amp;$O893,APOIO_REDES!$W:$W,0),MATCH(AY$5,APOIO_REDES!$5:$5,0)),0)*$AP893,0)</f>
        <v>5.64568552541036</v>
      </c>
      <c r="AZ893" s="153" t="n">
        <f aca="false">IFERROR(IF($N893="VCA",INDEX(APOIO_REDES!$A:$W,MATCH($C893&amp;$I893&amp;$H893&amp;$N893&amp;$O893,APOIO_REDES!$W:$W,0),MATCH(AZ$5,APOIO_REDES!$5:$5,0)),0)*$AP893,0)</f>
        <v>0.781346560754824</v>
      </c>
      <c r="BA893" s="153" t="n">
        <f aca="false">IFERROR(IF(AND($N893="VCA",$Q893="LINEAR"),INDEX(APOIO_REDES!$A:$W,MATCH($C893&amp;$I893&amp;$H893&amp;$N893&amp;$O893,APOIO_REDES!$W:$W,0),MATCH(BA$5,APOIO_REDES!$5:$5,0)),IF(AND($N893="MND",$Q893="EMBOQUE"),INDEX(APOIO_REDES!$A:$W,MATCH($C893&amp;$I893&amp;$H893&amp;$N893&amp;$O893,APOIO_REDES!$W:$W,0),MATCH(BA$5,APOIO_REDES!$5:$5,0)),0))*$M893/10,0)</f>
        <v>2.39132715979208</v>
      </c>
      <c r="BB893" s="153" t="n">
        <f aca="false">IFERROR(IF($N893="VCA",INDEX(APOIO_REDES!$A:$W,MATCH($C893&amp;$I893&amp;$H893&amp;$N893&amp;$O893,APOIO_REDES!$W:$W,0),MATCH(BB$5,APOIO_REDES!$5:$5,0)),0)*($AI893+$AQ893+$AR893),0)</f>
        <v>12.3258162796139</v>
      </c>
      <c r="BC893" s="153" t="n">
        <f aca="false">IFERROR(IF($N893="VCA",INDEX(APOIO_REDES!$A:$W,MATCH($C893&amp;$I893&amp;$H893&amp;$N893&amp;$O893,APOIO_REDES!$W:$W,0),MATCH(BC$5,APOIO_REDES!$5:$5,0)),0)*($AI893+$AQ893+$AR893),0)</f>
        <v>0.135583720386127</v>
      </c>
      <c r="BD893" s="153" t="n">
        <f aca="false">IF(AND($N893="VCA",$AF893&gt;=1.25,$AF893&lt;1.5),$M893*$AF893*2,0)</f>
        <v>86.6364</v>
      </c>
      <c r="BE893" s="153" t="n">
        <f aca="false">IF(AND($N893="VCA",$AF893&gt;=1.5,$AF893&lt;3),$M893*$AF893*2,0)</f>
        <v>0</v>
      </c>
      <c r="BF893" s="153" t="n">
        <f aca="false">IF(AND($N893="VCA",$AF893&gt;=3),$M893*$AF893*2,0)</f>
        <v>0</v>
      </c>
      <c r="BG893" s="153" t="n">
        <f aca="false">($BB893+$BC893)*$AK893</f>
        <v>46.10718</v>
      </c>
      <c r="BH893" s="153" t="n">
        <f aca="false">IF(AND($M893&lt;&gt;"",$N893="VCA",$Q893="LINEAR"),($M893*2)/100,IF(AND($M893&lt;&gt;"",$N893="MND",$Q893="EMBOQUE"),($AN893*2)/100,0))</f>
        <v>0.5934</v>
      </c>
      <c r="BI893" s="153" t="n">
        <f aca="false">IF(AND($M893&lt;&gt;"",$N893="VCA",$Q893="LINEAR"),$M893,IF(AND($M893&lt;&gt;"",$N893="MND",$Q893="EMBOQUE"),$AN893*2,0))</f>
        <v>29.67</v>
      </c>
      <c r="BJ893" s="153" t="n">
        <f aca="false">IF(AND($M893&lt;&gt;"",$N893="VCA",$Q893="LINEAR"),($M893*6.8)/100,IF(AND($M893&lt;&gt;"",$N893="MND",$Q893="EMBOQUE"),($AN893*2*6.8)/100,0))</f>
        <v>2.01756</v>
      </c>
      <c r="BK893" s="153" t="n">
        <f aca="false">IF(AND($M893&lt;&gt;"",$N893="VCA",$Q893="LINEAR"),($M893*2.5)/50,IF(AND($M893&lt;&gt;"",$N893="MND",$Q893="EMBOQUE"),($AN893*2*2.5)/50,0))</f>
        <v>1.4835</v>
      </c>
      <c r="BL893" s="157" t="str">
        <f aca="false">K893&amp;J893</f>
        <v>Zona08REDES</v>
      </c>
      <c r="BM893" s="152" t="s">
        <v>4834</v>
      </c>
      <c r="BN893" s="152" t="s">
        <v>1560</v>
      </c>
      <c r="BO893" s="152" t="s">
        <v>2489</v>
      </c>
      <c r="BP893" s="152" t="s">
        <v>4905</v>
      </c>
      <c r="BQ893" s="152" t="s">
        <v>4933</v>
      </c>
      <c r="BR893" s="152" t="s">
        <v>4934</v>
      </c>
      <c r="BS893" s="152" t="n">
        <v>203058.212</v>
      </c>
      <c r="BT893" s="152" t="n">
        <v>8237207.346</v>
      </c>
      <c r="BU893" s="152" t="n">
        <v>203082.543</v>
      </c>
      <c r="BV893" s="152" t="n">
        <v>8237190.451</v>
      </c>
      <c r="BW893" s="152" t="n">
        <v>-15.9267017</v>
      </c>
      <c r="BX893" s="152" t="n">
        <v>-47.7733232</v>
      </c>
      <c r="BY893" s="152" t="s">
        <v>4905</v>
      </c>
    </row>
    <row r="894" customFormat="false" ht="13.8" hidden="false" customHeight="false" outlineLevel="0" collapsed="false">
      <c r="A894" s="149" t="n">
        <f aca="false">IF(C894&lt;&gt;"",ROW(A889),"")</f>
        <v>889</v>
      </c>
      <c r="B894" s="150" t="str">
        <f aca="false">HYPERLINK("https://www.google.com/maps/dir/-15.917302,-47.760003/-15.9267251,-47.7772848/data=!4m3!4m2!3e0!5i2")</f>
        <v>https://www.google.com/maps/dir/-15.917302,-47.760003/-15.9267251,-47.7772848/data=!4m3!4m2!3e0!5i2</v>
      </c>
      <c r="C894" s="151" t="s">
        <v>117</v>
      </c>
      <c r="D894" s="152" t="s">
        <v>112</v>
      </c>
      <c r="E894" s="152" t="s">
        <v>113</v>
      </c>
      <c r="F894" s="152" t="s">
        <v>117</v>
      </c>
      <c r="G894" s="152" t="s">
        <v>782</v>
      </c>
      <c r="H894" s="152" t="n">
        <v>63</v>
      </c>
      <c r="I894" s="152" t="s">
        <v>115</v>
      </c>
      <c r="J894" s="152" t="s">
        <v>6</v>
      </c>
      <c r="K894" s="152" t="s">
        <v>4831</v>
      </c>
      <c r="L894" s="152" t="s">
        <v>120</v>
      </c>
      <c r="M894" s="153" t="n">
        <f aca="false">43.27</f>
        <v>43.27</v>
      </c>
      <c r="N894" s="152" t="s">
        <v>1548</v>
      </c>
      <c r="O894" s="152" t="s">
        <v>1549</v>
      </c>
      <c r="P894" s="152" t="s">
        <v>1550</v>
      </c>
      <c r="Q894" s="152" t="s">
        <v>1551</v>
      </c>
      <c r="R894" s="154" t="s">
        <v>4935</v>
      </c>
      <c r="S894" s="154" t="s">
        <v>1553</v>
      </c>
      <c r="T894" s="155" t="s">
        <v>2487</v>
      </c>
      <c r="U894" s="152" t="str">
        <f aca="false">RIGHT(T894,7)</f>
        <v>011/037</v>
      </c>
      <c r="V894" s="152" t="s">
        <v>1555</v>
      </c>
      <c r="W894" s="156" t="n">
        <v>45882</v>
      </c>
      <c r="X894" s="152" t="s">
        <v>1594</v>
      </c>
      <c r="Y894" s="152" t="s">
        <v>3516</v>
      </c>
      <c r="Z894" s="152" t="s">
        <v>1557</v>
      </c>
      <c r="AA894" s="153" t="n">
        <v>4</v>
      </c>
      <c r="AB894" s="151" t="s">
        <v>4936</v>
      </c>
      <c r="AC894" s="151" t="s">
        <v>186</v>
      </c>
      <c r="AD894" s="151" t="str">
        <f aca="false">CONCATENATE($C894,$I894,$H894,$N894,$J894,$K894)</f>
        <v>TUBO PEADPEAD63VCAREDESZona08</v>
      </c>
      <c r="AE894" s="153" t="n">
        <f aca="false">IFERROR(INDEX(APOIO_REDES!$A:$W,MATCH($C894&amp;$I894&amp;$H894&amp;$N894&amp;$O894,APOIO_REDES!$W:$W,0),MATCH(AE$5,APOIO_REDES!$5:$5,0)),0)</f>
        <v>1.2</v>
      </c>
      <c r="AF894" s="153" t="n">
        <f aca="false">IFERROR(INDEX(APOIO_REDES!$A:$W,MATCH($C894&amp;$I894&amp;$H894&amp;$N894&amp;$O894,APOIO_REDES!$W:$W,0),MATCH(AF$5,APOIO_REDES!$5:$5,0)),0)</f>
        <v>1.363</v>
      </c>
      <c r="AG894" s="153" t="n">
        <f aca="false">IFERROR(INDEX(APOIO_REDES!$A:$W,MATCH($C894&amp;$I894&amp;$H894&amp;$N894&amp;$O894,APOIO_REDES!$W:$W,0),MATCH(AG$5,APOIO_REDES!$5:$5,0)),0)</f>
        <v>0.65</v>
      </c>
      <c r="AH894" s="153" t="n">
        <f aca="false">IFERROR(INDEX(APOIO_REDES!$A:$W,MATCH($C894&amp;$I894&amp;$H894&amp;$N894&amp;$O894,APOIO_REDES!$W:$W,0),MATCH(AH$5,APOIO_REDES!$5:$5,0)),0)</f>
        <v>0.1</v>
      </c>
      <c r="AI894" s="153" t="n">
        <f aca="false">IFERROR(IF($H894&lt;&gt;"",(((($H894/1000)/2)^2)*PI()*$M894),0),0)</f>
        <v>0.134883204586394</v>
      </c>
      <c r="AJ894" s="153" t="n">
        <f aca="false">IFERROR(IF(AND($H894&lt;&gt;"",$I894="FoFo",OR($N894="MND",$N894="VCA"),$Q894="LINEAR"),0,IF(AND($H894&lt;&gt;"",$I894="PEAD",$N894="VCA",$Q894="LINEAR"),($H894/1000)+0.3,IF(AND($H894&lt;&gt;"",$I894="PEAD",$N894="MND",$Q894="EMBOQUE"),0,IF(AND($H894&lt;&gt;"",$I894="PVC",$N894="VCA",$Q894="LINEAR"),($H894/1000)+0.2,IF(AND($H894&lt;&gt;"",$I894="PVC",$N894="MND",$Q894="EMBOQUE"),0,IF(AND($H894&lt;&gt;"",$I894="PEAD",$N894="VCA",$Q894="PREDIAL"),0,0)))))),0)</f>
        <v>0.363</v>
      </c>
      <c r="AK894" s="153" t="n">
        <f aca="false">IF(AA894&lt;&gt;"",AA894,0)</f>
        <v>4</v>
      </c>
      <c r="AL894" s="153" t="n">
        <f aca="false">IF(AND($N894="MND",$Q894="EMBOQUE"),$M894,IF(AND($N894="VCA",$Q894="LINEAR"),$M894,IF(AND($N894="VCA",$Q894="PREDIAL"),0,0)))</f>
        <v>43.27</v>
      </c>
      <c r="AM894" s="153" t="n">
        <f aca="false">IF(AND($N894="MND",$Q894="EMBOQUE"),$M894,IF(AND($N894="VCA",$Q894="LINEAR"),$M894,IF(AND($N894="VCA",$Q894="PREDIAL"),0,0)))</f>
        <v>43.27</v>
      </c>
      <c r="AN894" s="153" t="n">
        <f aca="false">ROUND(IF(AND($N894="VCA",$M894&lt;&gt;"",$Q894="LINEAR"),$M894/100,IF(AND($N894="MND",$M894&gt;100,$Q894="EMBOQUE"),$M894/100,0)),0)</f>
        <v>0</v>
      </c>
      <c r="AO894" s="153" t="n">
        <f aca="false">IF(AND($N894="MND",$Q894="EMBOQUE"),$AN894*2*2,IF(AND($N894="VCA",$Q894="LINEAR"),$M894*2,IF(AND($N894="VCA",$Q894="PREDIAL"),0,0)))</f>
        <v>86.54</v>
      </c>
      <c r="AP894" s="153" t="n">
        <f aca="false">IFERROR($M894*$AF894*$AG894,0)</f>
        <v>38.3350565</v>
      </c>
      <c r="AQ894" s="153" t="n">
        <f aca="false">IFERROR(IF(AND($N894="VCA",$AH894&gt;0),$M894*$AG894*$AH894,0),0)</f>
        <v>2.81255</v>
      </c>
      <c r="AR894" s="153" t="n">
        <f aca="false">IFERROR(IF(AND($N894="VCA",$AJ894&gt;0),($M894*$AG894*$AJ894)-$AI894,0),0)</f>
        <v>10.0746732954136</v>
      </c>
      <c r="AS894" s="153" t="n">
        <f aca="false">IFERROR(IF(AND($N894="VCA",$AP894&gt;0),$AP894-$AI894-$AQ894-$AR894,0),0)</f>
        <v>25.31295</v>
      </c>
      <c r="AT894" s="153" t="n">
        <f aca="false">IFERROR(IF($N894="VCA",INDEX(APOIO_REDES!$A:$W,MATCH($C894&amp;$I894&amp;$H894&amp;$N894&amp;$O894,APOIO_REDES!$W:$W,0),MATCH(AT$5,APOIO_REDES!$5:$5,0)),0)*$AP894,0)</f>
        <v>0.417096761317538</v>
      </c>
      <c r="AU894" s="153" t="n">
        <f aca="false">IFERROR(IF($N894="VCA",INDEX(APOIO_REDES!$A:$W,MATCH($C894&amp;$I894&amp;$H894&amp;$N894&amp;$O894,APOIO_REDES!$W:$W,0),MATCH(AU$5,APOIO_REDES!$5:$5,0)),0)*$AP894,0)</f>
        <v>0.333082177175273</v>
      </c>
      <c r="AV894" s="153" t="n">
        <f aca="false">IFERROR(IF($N894="VCA",INDEX(APOIO_REDES!$A:$W,MATCH($C894&amp;$I894&amp;$H894&amp;$N894&amp;$O894,APOIO_REDES!$W:$W,0),MATCH(AV$5,APOIO_REDES!$5:$5,0)),0)*$AP894,0)</f>
        <v>0.0460959585234458</v>
      </c>
      <c r="AW894" s="153" t="n">
        <f aca="false">IFERROR(IF($N894="VCA",INDEX(APOIO_REDES!$A:$W,MATCH($C894&amp;$I894&amp;$H894&amp;$N894&amp;$O894,APOIO_REDES!$W:$W,0),MATCH(AW$5,APOIO_REDES!$5:$5,0)),0)*$AP894,0)</f>
        <v>26.3134798161123</v>
      </c>
      <c r="AX894" s="153" t="n">
        <f aca="false">IFERROR(IF($N894="VCA",INDEX(APOIO_REDES!$A:$W,MATCH($C894&amp;$I894&amp;$H894&amp;$N894&amp;$O894,APOIO_REDES!$W:$W,0),MATCH(AX$5,APOIO_REDES!$5:$5,0)),0)*$AP894,0)</f>
        <v>3.64171065118387</v>
      </c>
      <c r="AY894" s="153" t="n">
        <f aca="false">IFERROR(IF($N894="VCA",INDEX(APOIO_REDES!$A:$W,MATCH($C894&amp;$I894&amp;$H894&amp;$N894&amp;$O894,APOIO_REDES!$W:$W,0),MATCH(AY$5,APOIO_REDES!$5:$5,0)),0)*$AP894,0)</f>
        <v>6.66163948326072</v>
      </c>
      <c r="AZ894" s="153" t="n">
        <f aca="false">IFERROR(IF($N894="VCA",INDEX(APOIO_REDES!$A:$W,MATCH($C894&amp;$I894&amp;$H894&amp;$N894&amp;$O894,APOIO_REDES!$W:$W,0),MATCH(AZ$5,APOIO_REDES!$5:$5,0)),0)*$AP894,0)</f>
        <v>0.921951652426828</v>
      </c>
      <c r="BA894" s="153" t="n">
        <f aca="false">IFERROR(IF(AND($N894="VCA",$Q894="LINEAR"),INDEX(APOIO_REDES!$A:$W,MATCH($C894&amp;$I894&amp;$H894&amp;$N894&amp;$O894,APOIO_REDES!$W:$W,0),MATCH(BA$5,APOIO_REDES!$5:$5,0)),IF(AND($N894="MND",$Q894="EMBOQUE"),INDEX(APOIO_REDES!$A:$W,MATCH($C894&amp;$I894&amp;$H894&amp;$N894&amp;$O894,APOIO_REDES!$W:$W,0),MATCH(BA$5,APOIO_REDES!$5:$5,0)),0))*$M894/10,0)</f>
        <v>3.48745285487709</v>
      </c>
      <c r="BB894" s="153" t="n">
        <f aca="false">IFERROR(IF($N894="VCA",INDEX(APOIO_REDES!$A:$W,MATCH($C894&amp;$I894&amp;$H894&amp;$N894&amp;$O894,APOIO_REDES!$W:$W,0),MATCH(BB$5,APOIO_REDES!$5:$5,0)),0)*($AI894+$AQ894+$AR894),0)</f>
        <v>12.8804221269332</v>
      </c>
      <c r="BC894" s="153" t="n">
        <f aca="false">IFERROR(IF($N894="VCA",INDEX(APOIO_REDES!$A:$W,MATCH($C894&amp;$I894&amp;$H894&amp;$N894&amp;$O894,APOIO_REDES!$W:$W,0),MATCH(BC$5,APOIO_REDES!$5:$5,0)),0)*($AI894+$AQ894+$AR894),0)</f>
        <v>0.141684373066779</v>
      </c>
      <c r="BD894" s="153" t="n">
        <f aca="false">IF(AND($N894="VCA",$AF894&gt;=1.25,$AF894&lt;1.5),$M894*$AF894*2,0)</f>
        <v>117.95402</v>
      </c>
      <c r="BE894" s="153" t="n">
        <f aca="false">IF(AND($N894="VCA",$AF894&gt;=1.5,$AF894&lt;3),$M894*$AF894*2,0)</f>
        <v>0</v>
      </c>
      <c r="BF894" s="153" t="n">
        <f aca="false">IF(AND($N894="VCA",$AF894&gt;=3),$M894*$AF894*2,0)</f>
        <v>0</v>
      </c>
      <c r="BG894" s="153" t="n">
        <f aca="false">($BB894+$BC894)*$AK894</f>
        <v>52.088426</v>
      </c>
      <c r="BH894" s="153" t="n">
        <f aca="false">IF(AND($M894&lt;&gt;"",$N894="VCA",$Q894="LINEAR"),($M894*2)/100,IF(AND($M894&lt;&gt;"",$N894="MND",$Q894="EMBOQUE"),($AN894*2)/100,0))</f>
        <v>0.8654</v>
      </c>
      <c r="BI894" s="153" t="n">
        <f aca="false">IF(AND($M894&lt;&gt;"",$N894="VCA",$Q894="LINEAR"),$M894,IF(AND($M894&lt;&gt;"",$N894="MND",$Q894="EMBOQUE"),$AN894*2,0))</f>
        <v>43.27</v>
      </c>
      <c r="BJ894" s="153" t="n">
        <f aca="false">IF(AND($M894&lt;&gt;"",$N894="VCA",$Q894="LINEAR"),($M894*6.8)/100,IF(AND($M894&lt;&gt;"",$N894="MND",$Q894="EMBOQUE"),($AN894*2*6.8)/100,0))</f>
        <v>2.94236</v>
      </c>
      <c r="BK894" s="153" t="n">
        <f aca="false">IF(AND($M894&lt;&gt;"",$N894="VCA",$Q894="LINEAR"),($M894*2.5)/50,IF(AND($M894&lt;&gt;"",$N894="MND",$Q894="EMBOQUE"),($AN894*2*2.5)/50,0))</f>
        <v>2.1635</v>
      </c>
      <c r="BL894" s="157" t="str">
        <f aca="false">K894&amp;J894</f>
        <v>Zona08REDES</v>
      </c>
      <c r="BM894" s="152" t="s">
        <v>4834</v>
      </c>
      <c r="BN894" s="152" t="s">
        <v>1560</v>
      </c>
      <c r="BO894" s="152" t="s">
        <v>2489</v>
      </c>
      <c r="BP894" s="152" t="s">
        <v>4937</v>
      </c>
      <c r="BQ894" s="152" t="s">
        <v>4894</v>
      </c>
      <c r="BR894" s="152" t="s">
        <v>4938</v>
      </c>
      <c r="BS894" s="152" t="n">
        <v>202646.299</v>
      </c>
      <c r="BT894" s="152" t="n">
        <v>8237191.137</v>
      </c>
      <c r="BU894" s="152" t="n">
        <v>202688.468</v>
      </c>
      <c r="BV894" s="152" t="n">
        <v>8237199.484</v>
      </c>
      <c r="BW894" s="152" t="n">
        <v>-15.9266951</v>
      </c>
      <c r="BX894" s="152" t="n">
        <v>-47.7770878</v>
      </c>
      <c r="BY894" s="152" t="s">
        <v>4937</v>
      </c>
    </row>
    <row r="895" customFormat="false" ht="13.8" hidden="false" customHeight="false" outlineLevel="0" collapsed="false">
      <c r="A895" s="149" t="n">
        <f aca="false">IF(C895&lt;&gt;"",ROW(A890),"")</f>
        <v>890</v>
      </c>
      <c r="B895" s="150" t="str">
        <f aca="false">HYPERLINK("https://www.google.com/maps/dir/-15.917302,-47.760003/-15.9269274,-47.7759379/data=!4m3!4m2!3e0!5i2")</f>
        <v>https://www.google.com/maps/dir/-15.917302,-47.760003/-15.9269274,-47.7759379/data=!4m3!4m2!3e0!5i2</v>
      </c>
      <c r="C895" s="151" t="s">
        <v>117</v>
      </c>
      <c r="D895" s="152" t="s">
        <v>112</v>
      </c>
      <c r="E895" s="152" t="s">
        <v>113</v>
      </c>
      <c r="F895" s="152" t="s">
        <v>117</v>
      </c>
      <c r="G895" s="152" t="s">
        <v>782</v>
      </c>
      <c r="H895" s="152" t="n">
        <v>63</v>
      </c>
      <c r="I895" s="152" t="s">
        <v>115</v>
      </c>
      <c r="J895" s="152" t="s">
        <v>6</v>
      </c>
      <c r="K895" s="152" t="s">
        <v>4831</v>
      </c>
      <c r="L895" s="152" t="s">
        <v>120</v>
      </c>
      <c r="M895" s="153" t="n">
        <f aca="false">44.78</f>
        <v>44.78</v>
      </c>
      <c r="N895" s="152" t="s">
        <v>1548</v>
      </c>
      <c r="O895" s="152" t="s">
        <v>1549</v>
      </c>
      <c r="P895" s="152" t="s">
        <v>1550</v>
      </c>
      <c r="Q895" s="152" t="s">
        <v>1551</v>
      </c>
      <c r="R895" s="154" t="s">
        <v>4939</v>
      </c>
      <c r="S895" s="154" t="s">
        <v>1553</v>
      </c>
      <c r="T895" s="155" t="s">
        <v>2487</v>
      </c>
      <c r="U895" s="152" t="str">
        <f aca="false">RIGHT(T895,7)</f>
        <v>011/037</v>
      </c>
      <c r="V895" s="152" t="s">
        <v>1555</v>
      </c>
      <c r="W895" s="156" t="n">
        <v>45882</v>
      </c>
      <c r="X895" s="152" t="s">
        <v>1594</v>
      </c>
      <c r="Y895" s="152"/>
      <c r="Z895" s="152" t="s">
        <v>1557</v>
      </c>
      <c r="AA895" s="153" t="n">
        <v>3.8</v>
      </c>
      <c r="AB895" s="151" t="s">
        <v>4940</v>
      </c>
      <c r="AC895" s="151" t="s">
        <v>186</v>
      </c>
      <c r="AD895" s="151" t="str">
        <f aca="false">CONCATENATE($C895,$I895,$H895,$N895,$J895,$K895)</f>
        <v>TUBO PEADPEAD63VCAREDESZona08</v>
      </c>
      <c r="AE895" s="153" t="n">
        <f aca="false">IFERROR(INDEX(APOIO_REDES!$A:$W,MATCH($C895&amp;$I895&amp;$H895&amp;$N895&amp;$O895,APOIO_REDES!$W:$W,0),MATCH(AE$5,APOIO_REDES!$5:$5,0)),0)</f>
        <v>1.2</v>
      </c>
      <c r="AF895" s="153" t="n">
        <f aca="false">IFERROR(INDEX(APOIO_REDES!$A:$W,MATCH($C895&amp;$I895&amp;$H895&amp;$N895&amp;$O895,APOIO_REDES!$W:$W,0),MATCH(AF$5,APOIO_REDES!$5:$5,0)),0)</f>
        <v>1.363</v>
      </c>
      <c r="AG895" s="153" t="n">
        <f aca="false">IFERROR(INDEX(APOIO_REDES!$A:$W,MATCH($C895&amp;$I895&amp;$H895&amp;$N895&amp;$O895,APOIO_REDES!$W:$W,0),MATCH(AG$5,APOIO_REDES!$5:$5,0)),0)</f>
        <v>0.65</v>
      </c>
      <c r="AH895" s="153" t="n">
        <f aca="false">IFERROR(INDEX(APOIO_REDES!$A:$W,MATCH($C895&amp;$I895&amp;$H895&amp;$N895&amp;$O895,APOIO_REDES!$W:$W,0),MATCH(AH$5,APOIO_REDES!$5:$5,0)),0)</f>
        <v>0.1</v>
      </c>
      <c r="AI895" s="153" t="n">
        <f aca="false">IFERROR(IF($H895&lt;&gt;"",(((($H895/1000)/2)^2)*PI()*$M895),0),0)</f>
        <v>0.139590245005286</v>
      </c>
      <c r="AJ895" s="153" t="n">
        <f aca="false">IFERROR(IF(AND($H895&lt;&gt;"",$I895="FoFo",OR($N895="MND",$N895="VCA"),$Q895="LINEAR"),0,IF(AND($H895&lt;&gt;"",$I895="PEAD",$N895="VCA",$Q895="LINEAR"),($H895/1000)+0.3,IF(AND($H895&lt;&gt;"",$I895="PEAD",$N895="MND",$Q895="EMBOQUE"),0,IF(AND($H895&lt;&gt;"",$I895="PVC",$N895="VCA",$Q895="LINEAR"),($H895/1000)+0.2,IF(AND($H895&lt;&gt;"",$I895="PVC",$N895="MND",$Q895="EMBOQUE"),0,IF(AND($H895&lt;&gt;"",$I895="PEAD",$N895="VCA",$Q895="PREDIAL"),0,0)))))),0)</f>
        <v>0.363</v>
      </c>
      <c r="AK895" s="153" t="n">
        <f aca="false">IF(AA895&lt;&gt;"",AA895,0)</f>
        <v>3.8</v>
      </c>
      <c r="AL895" s="153" t="n">
        <f aca="false">IF(AND($N895="MND",$Q895="EMBOQUE"),$M895,IF(AND($N895="VCA",$Q895="LINEAR"),$M895,IF(AND($N895="VCA",$Q895="PREDIAL"),0,0)))</f>
        <v>44.78</v>
      </c>
      <c r="AM895" s="153" t="n">
        <f aca="false">IF(AND($N895="MND",$Q895="EMBOQUE"),$M895,IF(AND($N895="VCA",$Q895="LINEAR"),$M895,IF(AND($N895="VCA",$Q895="PREDIAL"),0,0)))</f>
        <v>44.78</v>
      </c>
      <c r="AN895" s="153" t="n">
        <f aca="false">ROUND(IF(AND($N895="VCA",$M895&lt;&gt;"",$Q895="LINEAR"),$M895/100,IF(AND($N895="MND",$M895&gt;100,$Q895="EMBOQUE"),$M895/100,0)),0)</f>
        <v>0</v>
      </c>
      <c r="AO895" s="153" t="n">
        <f aca="false">IF(AND($N895="MND",$Q895="EMBOQUE"),$AN895*2*2,IF(AND($N895="VCA",$Q895="LINEAR"),$M895*2,IF(AND($N895="VCA",$Q895="PREDIAL"),0,0)))</f>
        <v>89.56</v>
      </c>
      <c r="AP895" s="153" t="n">
        <f aca="false">IFERROR($M895*$AF895*$AG895,0)</f>
        <v>39.672841</v>
      </c>
      <c r="AQ895" s="153" t="n">
        <f aca="false">IFERROR(IF(AND($N895="VCA",$AH895&gt;0),$M895*$AG895*$AH895,0),0)</f>
        <v>2.9107</v>
      </c>
      <c r="AR895" s="153" t="n">
        <f aca="false">IFERROR(IF(AND($N895="VCA",$AJ895&gt;0),($M895*$AG895*$AJ895)-$AI895,0),0)</f>
        <v>10.4262507549947</v>
      </c>
      <c r="AS895" s="153" t="n">
        <f aca="false">IFERROR(IF(AND($N895="VCA",$AP895&gt;0),$AP895-$AI895-$AQ895-$AR895,0),0)</f>
        <v>26.1963</v>
      </c>
      <c r="AT895" s="153" t="n">
        <f aca="false">IFERROR(IF($N895="VCA",INDEX(APOIO_REDES!$A:$W,MATCH($C895&amp;$I895&amp;$H895&amp;$N895&amp;$O895,APOIO_REDES!$W:$W,0),MATCH(AT$5,APOIO_REDES!$5:$5,0)),0)*$AP895,0)</f>
        <v>0.431652252641538</v>
      </c>
      <c r="AU895" s="153" t="n">
        <f aca="false">IFERROR(IF($N895="VCA",INDEX(APOIO_REDES!$A:$W,MATCH($C895&amp;$I895&amp;$H895&amp;$N895&amp;$O895,APOIO_REDES!$W:$W,0),MATCH(AU$5,APOIO_REDES!$5:$5,0)),0)*$AP895,0)</f>
        <v>0.34470579833392</v>
      </c>
      <c r="AV895" s="153" t="n">
        <f aca="false">IFERROR(IF($N895="VCA",INDEX(APOIO_REDES!$A:$W,MATCH($C895&amp;$I895&amp;$H895&amp;$N895&amp;$O895,APOIO_REDES!$W:$W,0),MATCH(AV$5,APOIO_REDES!$5:$5,0)),0)*$AP895,0)</f>
        <v>0.0477045764427987</v>
      </c>
      <c r="AW895" s="153" t="n">
        <f aca="false">IFERROR(IF($N895="VCA",INDEX(APOIO_REDES!$A:$W,MATCH($C895&amp;$I895&amp;$H895&amp;$N895&amp;$O895,APOIO_REDES!$W:$W,0),MATCH(AW$5,APOIO_REDES!$5:$5,0)),0)*$AP895,0)</f>
        <v>27.2317454625725</v>
      </c>
      <c r="AX895" s="153" t="n">
        <f aca="false">IFERROR(IF($N895="VCA",INDEX(APOIO_REDES!$A:$W,MATCH($C895&amp;$I895&amp;$H895&amp;$N895&amp;$O895,APOIO_REDES!$W:$W,0),MATCH(AX$5,APOIO_REDES!$5:$5,0)),0)*$AP895,0)</f>
        <v>3.76879600092474</v>
      </c>
      <c r="AY895" s="153" t="n">
        <f aca="false">IFERROR(IF($N895="VCA",INDEX(APOIO_REDES!$A:$W,MATCH($C895&amp;$I895&amp;$H895&amp;$N895&amp;$O895,APOIO_REDES!$W:$W,0),MATCH(AY$5,APOIO_REDES!$5:$5,0)),0)*$AP895,0)</f>
        <v>6.89411176474266</v>
      </c>
      <c r="AZ895" s="153" t="n">
        <f aca="false">IFERROR(IF($N895="VCA",INDEX(APOIO_REDES!$A:$W,MATCH($C895&amp;$I895&amp;$H895&amp;$N895&amp;$O895,APOIO_REDES!$W:$W,0),MATCH(AZ$5,APOIO_REDES!$5:$5,0)),0)*$AP895,0)</f>
        <v>0.954125144341885</v>
      </c>
      <c r="BA895" s="153" t="n">
        <f aca="false">IFERROR(IF(AND($N895="VCA",$Q895="LINEAR"),INDEX(APOIO_REDES!$A:$W,MATCH($C895&amp;$I895&amp;$H895&amp;$N895&amp;$O895,APOIO_REDES!$W:$W,0),MATCH(BA$5,APOIO_REDES!$5:$5,0)),IF(AND($N895="MND",$Q895="EMBOQUE"),INDEX(APOIO_REDES!$A:$W,MATCH($C895&amp;$I895&amp;$H895&amp;$N895&amp;$O895,APOIO_REDES!$W:$W,0),MATCH(BA$5,APOIO_REDES!$5:$5,0)),0))*$M895/10,0)</f>
        <v>3.60915504602256</v>
      </c>
      <c r="BB895" s="153" t="n">
        <f aca="false">IFERROR(IF($N895="VCA",INDEX(APOIO_REDES!$A:$W,MATCH($C895&amp;$I895&amp;$H895&amp;$N895&amp;$O895,APOIO_REDES!$W:$W,0),MATCH(BB$5,APOIO_REDES!$5:$5,0)),0)*($AI895+$AQ895+$AR895),0)</f>
        <v>13.3299122450675</v>
      </c>
      <c r="BC895" s="153" t="n">
        <f aca="false">IFERROR(IF($N895="VCA",INDEX(APOIO_REDES!$A:$W,MATCH($C895&amp;$I895&amp;$H895&amp;$N895&amp;$O895,APOIO_REDES!$W:$W,0),MATCH(BC$5,APOIO_REDES!$5:$5,0)),0)*($AI895+$AQ895+$AR895),0)</f>
        <v>0.146628754932525</v>
      </c>
      <c r="BD895" s="153" t="n">
        <f aca="false">IF(AND($N895="VCA",$AF895&gt;=1.25,$AF895&lt;1.5),$M895*$AF895*2,0)</f>
        <v>122.07028</v>
      </c>
      <c r="BE895" s="153" t="n">
        <f aca="false">IF(AND($N895="VCA",$AF895&gt;=1.5,$AF895&lt;3),$M895*$AF895*2,0)</f>
        <v>0</v>
      </c>
      <c r="BF895" s="153" t="n">
        <f aca="false">IF(AND($N895="VCA",$AF895&gt;=3),$M895*$AF895*2,0)</f>
        <v>0</v>
      </c>
      <c r="BG895" s="153" t="n">
        <f aca="false">($BB895+$BC895)*$AK895</f>
        <v>51.2108558</v>
      </c>
      <c r="BH895" s="153" t="n">
        <f aca="false">IF(AND($M895&lt;&gt;"",$N895="VCA",$Q895="LINEAR"),($M895*2)/100,IF(AND($M895&lt;&gt;"",$N895="MND",$Q895="EMBOQUE"),($AN895*2)/100,0))</f>
        <v>0.8956</v>
      </c>
      <c r="BI895" s="153" t="n">
        <f aca="false">IF(AND($M895&lt;&gt;"",$N895="VCA",$Q895="LINEAR"),$M895,IF(AND($M895&lt;&gt;"",$N895="MND",$Q895="EMBOQUE"),$AN895*2,0))</f>
        <v>44.78</v>
      </c>
      <c r="BJ895" s="153" t="n">
        <f aca="false">IF(AND($M895&lt;&gt;"",$N895="VCA",$Q895="LINEAR"),($M895*6.8)/100,IF(AND($M895&lt;&gt;"",$N895="MND",$Q895="EMBOQUE"),($AN895*2*6.8)/100,0))</f>
        <v>3.04504</v>
      </c>
      <c r="BK895" s="153" t="n">
        <f aca="false">IF(AND($M895&lt;&gt;"",$N895="VCA",$Q895="LINEAR"),($M895*2.5)/50,IF(AND($M895&lt;&gt;"",$N895="MND",$Q895="EMBOQUE"),($AN895*2*2.5)/50,0))</f>
        <v>2.239</v>
      </c>
      <c r="BL895" s="157" t="str">
        <f aca="false">K895&amp;J895</f>
        <v>Zona08REDES</v>
      </c>
      <c r="BM895" s="152" t="s">
        <v>4834</v>
      </c>
      <c r="BN895" s="152" t="s">
        <v>1560</v>
      </c>
      <c r="BO895" s="152" t="s">
        <v>2489</v>
      </c>
      <c r="BP895" s="152" t="s">
        <v>4941</v>
      </c>
      <c r="BQ895" s="152" t="s">
        <v>4901</v>
      </c>
      <c r="BR895" s="152" t="s">
        <v>4942</v>
      </c>
      <c r="BS895" s="152" t="n">
        <v>202790.9</v>
      </c>
      <c r="BT895" s="152" t="n">
        <v>8237170.667</v>
      </c>
      <c r="BU895" s="152" t="n">
        <v>202781.646</v>
      </c>
      <c r="BV895" s="152" t="n">
        <v>8237214.479</v>
      </c>
      <c r="BW895" s="152" t="n">
        <v>-15.9267291</v>
      </c>
      <c r="BX895" s="152" t="n">
        <v>-47.7759787</v>
      </c>
      <c r="BY895" s="152" t="s">
        <v>4941</v>
      </c>
    </row>
    <row r="896" customFormat="false" ht="13.8" hidden="false" customHeight="false" outlineLevel="0" collapsed="false">
      <c r="A896" s="149" t="n">
        <f aca="false">IF(C896&lt;&gt;"",ROW(A891),"")</f>
        <v>891</v>
      </c>
      <c r="B896" s="150" t="str">
        <f aca="false">HYPERLINK("https://www.google.com/maps/dir/-15.917302,-47.760003/-15.9266283,-47.7734387/data=!4m3!4m2!3e0!5i2")</f>
        <v>https://www.google.com/maps/dir/-15.917302,-47.760003/-15.9266283,-47.7734387/data=!4m3!4m2!3e0!5i2</v>
      </c>
      <c r="C896" s="151" t="s">
        <v>117</v>
      </c>
      <c r="D896" s="152" t="s">
        <v>112</v>
      </c>
      <c r="E896" s="152" t="s">
        <v>113</v>
      </c>
      <c r="F896" s="152" t="s">
        <v>117</v>
      </c>
      <c r="G896" s="152" t="s">
        <v>782</v>
      </c>
      <c r="H896" s="152" t="n">
        <v>110</v>
      </c>
      <c r="I896" s="152" t="s">
        <v>115</v>
      </c>
      <c r="J896" s="152" t="s">
        <v>6</v>
      </c>
      <c r="K896" s="152" t="s">
        <v>4831</v>
      </c>
      <c r="L896" s="152" t="s">
        <v>120</v>
      </c>
      <c r="M896" s="153" t="n">
        <f aca="false">113.55</f>
        <v>113.55</v>
      </c>
      <c r="N896" s="152" t="s">
        <v>1548</v>
      </c>
      <c r="O896" s="152" t="s">
        <v>1549</v>
      </c>
      <c r="P896" s="152" t="s">
        <v>1550</v>
      </c>
      <c r="Q896" s="152" t="s">
        <v>1551</v>
      </c>
      <c r="R896" s="154" t="s">
        <v>4943</v>
      </c>
      <c r="S896" s="154" t="s">
        <v>1593</v>
      </c>
      <c r="T896" s="155" t="s">
        <v>2487</v>
      </c>
      <c r="U896" s="152" t="str">
        <f aca="false">RIGHT(T896,7)</f>
        <v>011/037</v>
      </c>
      <c r="V896" s="152" t="s">
        <v>1555</v>
      </c>
      <c r="W896" s="156" t="n">
        <v>45882</v>
      </c>
      <c r="X896" s="152" t="s">
        <v>1594</v>
      </c>
      <c r="Y896" s="152" t="s">
        <v>4828</v>
      </c>
      <c r="Z896" s="152" t="s">
        <v>1557</v>
      </c>
      <c r="AA896" s="153" t="n">
        <v>3.7</v>
      </c>
      <c r="AB896" s="151" t="s">
        <v>4944</v>
      </c>
      <c r="AC896" s="151" t="s">
        <v>502</v>
      </c>
      <c r="AD896" s="151" t="str">
        <f aca="false">CONCATENATE($C896,$I896,$H896,$N896,$J896,$K896)</f>
        <v>TUBO PEADPEAD110VCAREDESZona08</v>
      </c>
      <c r="AE896" s="153" t="n">
        <f aca="false">IFERROR(INDEX(APOIO_REDES!$A:$W,MATCH($C896&amp;$I896&amp;$H896&amp;$N896&amp;$O896,APOIO_REDES!$W:$W,0),MATCH(AE$5,APOIO_REDES!$5:$5,0)),0)</f>
        <v>1.2</v>
      </c>
      <c r="AF896" s="153" t="n">
        <f aca="false">IFERROR(INDEX(APOIO_REDES!$A:$W,MATCH($C896&amp;$I896&amp;$H896&amp;$N896&amp;$O896,APOIO_REDES!$W:$W,0),MATCH(AF$5,APOIO_REDES!$5:$5,0)),0)</f>
        <v>1.41</v>
      </c>
      <c r="AG896" s="153" t="n">
        <f aca="false">IFERROR(INDEX(APOIO_REDES!$A:$W,MATCH($C896&amp;$I896&amp;$H896&amp;$N896&amp;$O896,APOIO_REDES!$W:$W,0),MATCH(AG$5,APOIO_REDES!$5:$5,0)),0)</f>
        <v>0.75</v>
      </c>
      <c r="AH896" s="153" t="n">
        <f aca="false">IFERROR(INDEX(APOIO_REDES!$A:$W,MATCH($C896&amp;$I896&amp;$H896&amp;$N896&amp;$O896,APOIO_REDES!$W:$W,0),MATCH(AH$5,APOIO_REDES!$5:$5,0)),0)</f>
        <v>0.1</v>
      </c>
      <c r="AI896" s="153" t="n">
        <f aca="false">IFERROR(IF($H896&lt;&gt;"",(((($H896/1000)/2)^2)*PI()*$M896),0),0)</f>
        <v>1.07910173359074</v>
      </c>
      <c r="AJ896" s="153" t="n">
        <f aca="false">IFERROR(IF(AND($H896&lt;&gt;"",$I896="FoFo",OR($N896="MND",$N896="VCA"),$Q896="LINEAR"),0,IF(AND($H896&lt;&gt;"",$I896="PEAD",$N896="VCA",$Q896="LINEAR"),($H896/1000)+0.3,IF(AND($H896&lt;&gt;"",$I896="PEAD",$N896="MND",$Q896="EMBOQUE"),0,IF(AND($H896&lt;&gt;"",$I896="PVC",$N896="VCA",$Q896="LINEAR"),($H896/1000)+0.2,IF(AND($H896&lt;&gt;"",$I896="PVC",$N896="MND",$Q896="EMBOQUE"),0,IF(AND($H896&lt;&gt;"",$I896="PEAD",$N896="VCA",$Q896="PREDIAL"),0,0)))))),0)</f>
        <v>0.41</v>
      </c>
      <c r="AK896" s="153" t="n">
        <f aca="false">IF(AA896&lt;&gt;"",AA896,0)</f>
        <v>3.7</v>
      </c>
      <c r="AL896" s="153" t="n">
        <f aca="false">IF(AND($N896="MND",$Q896="EMBOQUE"),$M896,IF(AND($N896="VCA",$Q896="LINEAR"),$M896,IF(AND($N896="VCA",$Q896="PREDIAL"),0,0)))</f>
        <v>113.55</v>
      </c>
      <c r="AM896" s="153" t="n">
        <f aca="false">IF(AND($N896="MND",$Q896="EMBOQUE"),$M896,IF(AND($N896="VCA",$Q896="LINEAR"),$M896,IF(AND($N896="VCA",$Q896="PREDIAL"),0,0)))</f>
        <v>113.55</v>
      </c>
      <c r="AN896" s="153" t="n">
        <f aca="false">ROUND(IF(AND($N896="VCA",$M896&lt;&gt;"",$Q896="LINEAR"),$M896/100,IF(AND($N896="MND",$M896&gt;100,$Q896="EMBOQUE"),$M896/100,0)),0)</f>
        <v>1</v>
      </c>
      <c r="AO896" s="153" t="n">
        <f aca="false">IF(AND($N896="MND",$Q896="EMBOQUE"),$AN896*2*2,IF(AND($N896="VCA",$Q896="LINEAR"),$M896*2,IF(AND($N896="VCA",$Q896="PREDIAL"),0,0)))</f>
        <v>227.1</v>
      </c>
      <c r="AP896" s="153" t="n">
        <f aca="false">IFERROR($M896*$AF896*$AG896,0)</f>
        <v>120.079125</v>
      </c>
      <c r="AQ896" s="153" t="n">
        <f aca="false">IFERROR(IF(AND($N896="VCA",$AH896&gt;0),$M896*$AG896*$AH896,0),0)</f>
        <v>8.51625</v>
      </c>
      <c r="AR896" s="153" t="n">
        <f aca="false">IFERROR(IF(AND($N896="VCA",$AJ896&gt;0),($M896*$AG896*$AJ896)-$AI896,0),0)</f>
        <v>33.8375232664093</v>
      </c>
      <c r="AS896" s="153" t="n">
        <f aca="false">IFERROR(IF(AND($N896="VCA",$AP896&gt;0),$AP896-$AI896-$AQ896-$AR896,0),0)</f>
        <v>76.64625</v>
      </c>
      <c r="AT896" s="153" t="n">
        <f aca="false">IFERROR(IF($N896="VCA",INDEX(APOIO_REDES!$A:$W,MATCH($C896&amp;$I896&amp;$H896&amp;$N896&amp;$O896,APOIO_REDES!$W:$W,0),MATCH(AT$5,APOIO_REDES!$5:$5,0)),0)*$AP896,0)</f>
        <v>1.30649642160678</v>
      </c>
      <c r="AU896" s="153" t="n">
        <f aca="false">IFERROR(IF($N896="VCA",INDEX(APOIO_REDES!$A:$W,MATCH($C896&amp;$I896&amp;$H896&amp;$N896&amp;$O896,APOIO_REDES!$W:$W,0),MATCH(AU$5,APOIO_REDES!$5:$5,0)),0)*$AP896,0)</f>
        <v>1.04333265788461</v>
      </c>
      <c r="AV896" s="153" t="n">
        <f aca="false">IFERROR(IF($N896="VCA",INDEX(APOIO_REDES!$A:$W,MATCH($C896&amp;$I896&amp;$H896&amp;$N896&amp;$O896,APOIO_REDES!$W:$W,0),MATCH(AV$5,APOIO_REDES!$5:$5,0)),0)*$AP896,0)</f>
        <v>0.144389049368733</v>
      </c>
      <c r="AW896" s="153" t="n">
        <f aca="false">IFERROR(IF($N896="VCA",INDEX(APOIO_REDES!$A:$W,MATCH($C896&amp;$I896&amp;$H896&amp;$N896&amp;$O896,APOIO_REDES!$W:$W,0),MATCH(AW$5,APOIO_REDES!$5:$5,0)),0)*$AP896,0)</f>
        <v>82.4232418184627</v>
      </c>
      <c r="AX896" s="153" t="n">
        <f aca="false">IFERROR(IF($N896="VCA",INDEX(APOIO_REDES!$A:$W,MATCH($C896&amp;$I896&amp;$H896&amp;$N896&amp;$O896,APOIO_REDES!$W:$W,0),MATCH(AX$5,APOIO_REDES!$5:$5,0)),0)*$AP896,0)</f>
        <v>11.4071418806267</v>
      </c>
      <c r="AY896" s="153" t="n">
        <f aca="false">IFERROR(IF($N896="VCA",INDEX(APOIO_REDES!$A:$W,MATCH($C896&amp;$I896&amp;$H896&amp;$N896&amp;$O896,APOIO_REDES!$W:$W,0),MATCH(AY$5,APOIO_REDES!$5:$5,0)),0)*$AP896,0)</f>
        <v>20.8666404395517</v>
      </c>
      <c r="AZ896" s="153" t="n">
        <f aca="false">IFERROR(IF($N896="VCA",INDEX(APOIO_REDES!$A:$W,MATCH($C896&amp;$I896&amp;$H896&amp;$N896&amp;$O896,APOIO_REDES!$W:$W,0),MATCH(AZ$5,APOIO_REDES!$5:$5,0)),0)*$AP896,0)</f>
        <v>2.88788273249885</v>
      </c>
      <c r="BA896" s="153" t="n">
        <f aca="false">IFERROR(IF(AND($N896="VCA",$Q896="LINEAR"),INDEX(APOIO_REDES!$A:$W,MATCH($C896&amp;$I896&amp;$H896&amp;$N896&amp;$O896,APOIO_REDES!$W:$W,0),MATCH(BA$5,APOIO_REDES!$5:$5,0)),IF(AND($N896="MND",$Q896="EMBOQUE"),INDEX(APOIO_REDES!$A:$W,MATCH($C896&amp;$I896&amp;$H896&amp;$N896&amp;$O896,APOIO_REDES!$W:$W,0),MATCH(BA$5,APOIO_REDES!$5:$5,0)),0))*$M896/10,0)</f>
        <v>9.15184357918405</v>
      </c>
      <c r="BB896" s="153" t="n">
        <f aca="false">IFERROR(IF($N896="VCA",INDEX(APOIO_REDES!$A:$W,MATCH($C896&amp;$I896&amp;$H896&amp;$N896&amp;$O896,APOIO_REDES!$W:$W,0),MATCH(BB$5,APOIO_REDES!$5:$5,0)),0)*($AI896+$AQ896+$AR896),0)</f>
        <v>42.9603124645252</v>
      </c>
      <c r="BC896" s="153" t="n">
        <f aca="false">IFERROR(IF($N896="VCA",INDEX(APOIO_REDES!$A:$W,MATCH($C896&amp;$I896&amp;$H896&amp;$N896&amp;$O896,APOIO_REDES!$W:$W,0),MATCH(BC$5,APOIO_REDES!$5:$5,0)),0)*($AI896+$AQ896+$AR896),0)</f>
        <v>0.472562535474794</v>
      </c>
      <c r="BD896" s="153" t="n">
        <f aca="false">IF(AND($N896="VCA",$AF896&gt;=1.25,$AF896&lt;1.5),$M896*$AF896*2,0)</f>
        <v>320.211</v>
      </c>
      <c r="BE896" s="153" t="n">
        <f aca="false">IF(AND($N896="VCA",$AF896&gt;=1.5,$AF896&lt;3),$M896*$AF896*2,0)</f>
        <v>0</v>
      </c>
      <c r="BF896" s="153" t="n">
        <f aca="false">IF(AND($N896="VCA",$AF896&gt;=3),$M896*$AF896*2,0)</f>
        <v>0</v>
      </c>
      <c r="BG896" s="153" t="n">
        <f aca="false">($BB896+$BC896)*$AK896</f>
        <v>160.7016375</v>
      </c>
      <c r="BH896" s="153" t="n">
        <f aca="false">IF(AND($M896&lt;&gt;"",$N896="VCA",$Q896="LINEAR"),($M896*2)/100,IF(AND($M896&lt;&gt;"",$N896="MND",$Q896="EMBOQUE"),($AN896*2)/100,0))</f>
        <v>2.271</v>
      </c>
      <c r="BI896" s="153" t="n">
        <f aca="false">IF(AND($M896&lt;&gt;"",$N896="VCA",$Q896="LINEAR"),$M896,IF(AND($M896&lt;&gt;"",$N896="MND",$Q896="EMBOQUE"),$AN896*2,0))</f>
        <v>113.55</v>
      </c>
      <c r="BJ896" s="153" t="n">
        <f aca="false">IF(AND($M896&lt;&gt;"",$N896="VCA",$Q896="LINEAR"),($M896*6.8)/100,IF(AND($M896&lt;&gt;"",$N896="MND",$Q896="EMBOQUE"),($AN896*2*6.8)/100,0))</f>
        <v>7.7214</v>
      </c>
      <c r="BK896" s="153" t="n">
        <f aca="false">IF(AND($M896&lt;&gt;"",$N896="VCA",$Q896="LINEAR"),($M896*2.5)/50,IF(AND($M896&lt;&gt;"",$N896="MND",$Q896="EMBOQUE"),($AN896*2*2.5)/50,0))</f>
        <v>5.6775</v>
      </c>
      <c r="BL896" s="157" t="str">
        <f aca="false">K896&amp;J896</f>
        <v>Zona08REDES</v>
      </c>
      <c r="BM896" s="152" t="s">
        <v>4834</v>
      </c>
      <c r="BN896" s="152" t="s">
        <v>1560</v>
      </c>
      <c r="BO896" s="152" t="s">
        <v>2489</v>
      </c>
      <c r="BP896" s="152" t="s">
        <v>4905</v>
      </c>
      <c r="BQ896" s="152" t="s">
        <v>4945</v>
      </c>
      <c r="BR896" s="152" t="s">
        <v>4946</v>
      </c>
      <c r="BS896" s="152" t="n">
        <v>203058.256</v>
      </c>
      <c r="BT896" s="152" t="n">
        <v>8237207.326</v>
      </c>
      <c r="BU896" s="152" t="n">
        <v>202950.319</v>
      </c>
      <c r="BV896" s="152" t="n">
        <v>8237172.173</v>
      </c>
      <c r="BW896" s="152" t="n">
        <v>-15.9267801</v>
      </c>
      <c r="BX896" s="152" t="n">
        <v>-47.7739443</v>
      </c>
      <c r="BY896" s="152" t="s">
        <v>4905</v>
      </c>
    </row>
    <row r="897" customFormat="false" ht="13.8" hidden="false" customHeight="false" outlineLevel="0" collapsed="false">
      <c r="A897" s="149" t="n">
        <f aca="false">IF(C897&lt;&gt;"",ROW(A892),"")</f>
        <v>892</v>
      </c>
      <c r="B897" s="150" t="str">
        <f aca="false">HYPERLINK("https://www.google.com/maps/dir/-15.917302,-47.760003/-15.9269274,-47.7759379/data=!4m3!4m2!3e0!5i2")</f>
        <v>https://www.google.com/maps/dir/-15.917302,-47.760003/-15.9269274,-47.7759379/data=!4m3!4m2!3e0!5i2</v>
      </c>
      <c r="C897" s="151" t="s">
        <v>117</v>
      </c>
      <c r="D897" s="152" t="s">
        <v>112</v>
      </c>
      <c r="E897" s="152" t="s">
        <v>113</v>
      </c>
      <c r="F897" s="152" t="s">
        <v>117</v>
      </c>
      <c r="G897" s="152" t="s">
        <v>782</v>
      </c>
      <c r="H897" s="152" t="n">
        <v>63</v>
      </c>
      <c r="I897" s="152" t="s">
        <v>115</v>
      </c>
      <c r="J897" s="152" t="s">
        <v>6</v>
      </c>
      <c r="K897" s="152" t="s">
        <v>4831</v>
      </c>
      <c r="L897" s="152" t="s">
        <v>120</v>
      </c>
      <c r="M897" s="153" t="n">
        <f aca="false">113.62</f>
        <v>113.62</v>
      </c>
      <c r="N897" s="152" t="s">
        <v>1548</v>
      </c>
      <c r="O897" s="152" t="s">
        <v>1549</v>
      </c>
      <c r="P897" s="152" t="s">
        <v>1550</v>
      </c>
      <c r="Q897" s="152" t="s">
        <v>1551</v>
      </c>
      <c r="R897" s="154" t="s">
        <v>4947</v>
      </c>
      <c r="S897" s="154" t="s">
        <v>1553</v>
      </c>
      <c r="T897" s="155" t="s">
        <v>2487</v>
      </c>
      <c r="U897" s="152" t="str">
        <f aca="false">RIGHT(T897,7)</f>
        <v>011/037</v>
      </c>
      <c r="V897" s="152" t="s">
        <v>1555</v>
      </c>
      <c r="W897" s="156" t="n">
        <v>45882</v>
      </c>
      <c r="X897" s="152" t="s">
        <v>1594</v>
      </c>
      <c r="Y897" s="152"/>
      <c r="Z897" s="152" t="s">
        <v>1557</v>
      </c>
      <c r="AA897" s="153" t="n">
        <v>3.8</v>
      </c>
      <c r="AB897" s="151" t="s">
        <v>4948</v>
      </c>
      <c r="AC897" s="151" t="s">
        <v>186</v>
      </c>
      <c r="AD897" s="151" t="str">
        <f aca="false">CONCATENATE($C897,$I897,$H897,$N897,$J897,$K897)</f>
        <v>TUBO PEADPEAD63VCAREDESZona08</v>
      </c>
      <c r="AE897" s="153" t="n">
        <f aca="false">IFERROR(INDEX(APOIO_REDES!$A:$W,MATCH($C897&amp;$I897&amp;$H897&amp;$N897&amp;$O897,APOIO_REDES!$W:$W,0),MATCH(AE$5,APOIO_REDES!$5:$5,0)),0)</f>
        <v>1.2</v>
      </c>
      <c r="AF897" s="153" t="n">
        <f aca="false">IFERROR(INDEX(APOIO_REDES!$A:$W,MATCH($C897&amp;$I897&amp;$H897&amp;$N897&amp;$O897,APOIO_REDES!$W:$W,0),MATCH(AF$5,APOIO_REDES!$5:$5,0)),0)</f>
        <v>1.363</v>
      </c>
      <c r="AG897" s="153" t="n">
        <f aca="false">IFERROR(INDEX(APOIO_REDES!$A:$W,MATCH($C897&amp;$I897&amp;$H897&amp;$N897&amp;$O897,APOIO_REDES!$W:$W,0),MATCH(AG$5,APOIO_REDES!$5:$5,0)),0)</f>
        <v>0.65</v>
      </c>
      <c r="AH897" s="153" t="n">
        <f aca="false">IFERROR(INDEX(APOIO_REDES!$A:$W,MATCH($C897&amp;$I897&amp;$H897&amp;$N897&amp;$O897,APOIO_REDES!$W:$W,0),MATCH(AH$5,APOIO_REDES!$5:$5,0)),0)</f>
        <v>0.1</v>
      </c>
      <c r="AI897" s="153" t="n">
        <f aca="false">IFERROR(IF($H897&lt;&gt;"",(((($H897/1000)/2)^2)*PI()*$M897),0),0)</f>
        <v>0.354181412181791</v>
      </c>
      <c r="AJ897" s="153" t="n">
        <f aca="false">IFERROR(IF(AND($H897&lt;&gt;"",$I897="FoFo",OR($N897="MND",$N897="VCA"),$Q897="LINEAR"),0,IF(AND($H897&lt;&gt;"",$I897="PEAD",$N897="VCA",$Q897="LINEAR"),($H897/1000)+0.3,IF(AND($H897&lt;&gt;"",$I897="PEAD",$N897="MND",$Q897="EMBOQUE"),0,IF(AND($H897&lt;&gt;"",$I897="PVC",$N897="VCA",$Q897="LINEAR"),($H897/1000)+0.2,IF(AND($H897&lt;&gt;"",$I897="PVC",$N897="MND",$Q897="EMBOQUE"),0,IF(AND($H897&lt;&gt;"",$I897="PEAD",$N897="VCA",$Q897="PREDIAL"),0,0)))))),0)</f>
        <v>0.363</v>
      </c>
      <c r="AK897" s="153" t="n">
        <f aca="false">IF(AA897&lt;&gt;"",AA897,0)</f>
        <v>3.8</v>
      </c>
      <c r="AL897" s="153" t="n">
        <f aca="false">IF(AND($N897="MND",$Q897="EMBOQUE"),$M897,IF(AND($N897="VCA",$Q897="LINEAR"),$M897,IF(AND($N897="VCA",$Q897="PREDIAL"),0,0)))</f>
        <v>113.62</v>
      </c>
      <c r="AM897" s="153" t="n">
        <f aca="false">IF(AND($N897="MND",$Q897="EMBOQUE"),$M897,IF(AND($N897="VCA",$Q897="LINEAR"),$M897,IF(AND($N897="VCA",$Q897="PREDIAL"),0,0)))</f>
        <v>113.62</v>
      </c>
      <c r="AN897" s="153" t="n">
        <f aca="false">ROUND(IF(AND($N897="VCA",$M897&lt;&gt;"",$Q897="LINEAR"),$M897/100,IF(AND($N897="MND",$M897&gt;100,$Q897="EMBOQUE"),$M897/100,0)),0)</f>
        <v>1</v>
      </c>
      <c r="AO897" s="153" t="n">
        <f aca="false">IF(AND($N897="MND",$Q897="EMBOQUE"),$AN897*2*2,IF(AND($N897="VCA",$Q897="LINEAR"),$M897*2,IF(AND($N897="VCA",$Q897="PREDIAL"),0,0)))</f>
        <v>227.24</v>
      </c>
      <c r="AP897" s="153" t="n">
        <f aca="false">IFERROR($M897*$AF897*$AG897,0)</f>
        <v>100.661639</v>
      </c>
      <c r="AQ897" s="153" t="n">
        <f aca="false">IFERROR(IF(AND($N897="VCA",$AH897&gt;0),$M897*$AG897*$AH897,0),0)</f>
        <v>7.3853</v>
      </c>
      <c r="AR897" s="153" t="n">
        <f aca="false">IFERROR(IF(AND($N897="VCA",$AJ897&gt;0),($M897*$AG897*$AJ897)-$AI897,0),0)</f>
        <v>26.4544575878182</v>
      </c>
      <c r="AS897" s="153" t="n">
        <f aca="false">IFERROR(IF(AND($N897="VCA",$AP897&gt;0),$AP897-$AI897-$AQ897-$AR897,0),0)</f>
        <v>66.4677</v>
      </c>
      <c r="AT897" s="153" t="n">
        <f aca="false">IFERROR(IF($N897="VCA",INDEX(APOIO_REDES!$A:$W,MATCH($C897&amp;$I897&amp;$H897&amp;$N897&amp;$O897,APOIO_REDES!$W:$W,0),MATCH(AT$5,APOIO_REDES!$5:$5,0)),0)*$AP897,0)</f>
        <v>1.0952284266443</v>
      </c>
      <c r="AU897" s="153" t="n">
        <f aca="false">IFERROR(IF($N897="VCA",INDEX(APOIO_REDES!$A:$W,MATCH($C897&amp;$I897&amp;$H897&amp;$N897&amp;$O897,APOIO_REDES!$W:$W,0),MATCH(AU$5,APOIO_REDES!$5:$5,0)),0)*$AP897,0)</f>
        <v>0.874619758970522</v>
      </c>
      <c r="AV897" s="153" t="n">
        <f aca="false">IFERROR(IF($N897="VCA",INDEX(APOIO_REDES!$A:$W,MATCH($C897&amp;$I897&amp;$H897&amp;$N897&amp;$O897,APOIO_REDES!$W:$W,0),MATCH(AV$5,APOIO_REDES!$5:$5,0)),0)*$AP897,0)</f>
        <v>0.121040508607208</v>
      </c>
      <c r="AW897" s="153" t="n">
        <f aca="false">IFERROR(IF($N897="VCA",INDEX(APOIO_REDES!$A:$W,MATCH($C897&amp;$I897&amp;$H897&amp;$N897&amp;$O897,APOIO_REDES!$W:$W,0),MATCH(AW$5,APOIO_REDES!$5:$5,0)),0)*$AP897,0)</f>
        <v>69.0949289740394</v>
      </c>
      <c r="AX897" s="153" t="n">
        <f aca="false">IFERROR(IF($N897="VCA",INDEX(APOIO_REDES!$A:$W,MATCH($C897&amp;$I897&amp;$H897&amp;$N897&amp;$O897,APOIO_REDES!$W:$W,0),MATCH(AX$5,APOIO_REDES!$5:$5,0)),0)*$AP897,0)</f>
        <v>9.56254134937626</v>
      </c>
      <c r="AY897" s="153" t="n">
        <f aca="false">IFERROR(IF($N897="VCA",INDEX(APOIO_REDES!$A:$W,MATCH($C897&amp;$I897&amp;$H897&amp;$N897&amp;$O897,APOIO_REDES!$W:$W,0),MATCH(AY$5,APOIO_REDES!$5:$5,0)),0)*$AP897,0)</f>
        <v>17.4923845178665</v>
      </c>
      <c r="AZ897" s="153" t="n">
        <f aca="false">IFERROR(IF($N897="VCA",INDEX(APOIO_REDES!$A:$W,MATCH($C897&amp;$I897&amp;$H897&amp;$N897&amp;$O897,APOIO_REDES!$W:$W,0),MATCH(AZ$5,APOIO_REDES!$5:$5,0)),0)*$AP897,0)</f>
        <v>2.42089546449587</v>
      </c>
      <c r="BA897" s="153" t="n">
        <f aca="false">IFERROR(IF(AND($N897="VCA",$Q897="LINEAR"),INDEX(APOIO_REDES!$A:$W,MATCH($C897&amp;$I897&amp;$H897&amp;$N897&amp;$O897,APOIO_REDES!$W:$W,0),MATCH(BA$5,APOIO_REDES!$5:$5,0)),IF(AND($N897="MND",$Q897="EMBOQUE"),INDEX(APOIO_REDES!$A:$W,MATCH($C897&amp;$I897&amp;$H897&amp;$N897&amp;$O897,APOIO_REDES!$W:$W,0),MATCH(BA$5,APOIO_REDES!$5:$5,0)),0))*$M897/10,0)</f>
        <v>9.15748540261464</v>
      </c>
      <c r="BB897" s="153" t="n">
        <f aca="false">IFERROR(IF($N897="VCA",INDEX(APOIO_REDES!$A:$W,MATCH($C897&amp;$I897&amp;$H897&amp;$N897&amp;$O897,APOIO_REDES!$W:$W,0),MATCH(BB$5,APOIO_REDES!$5:$5,0)),0)*($AI897+$AQ897+$AR897),0)</f>
        <v>33.8218988227907</v>
      </c>
      <c r="BC897" s="153" t="n">
        <f aca="false">IFERROR(IF($N897="VCA",INDEX(APOIO_REDES!$A:$W,MATCH($C897&amp;$I897&amp;$H897&amp;$N897&amp;$O897,APOIO_REDES!$W:$W,0),MATCH(BC$5,APOIO_REDES!$5:$5,0)),0)*($AI897+$AQ897+$AR897),0)</f>
        <v>0.372040177209324</v>
      </c>
      <c r="BD897" s="153" t="n">
        <f aca="false">IF(AND($N897="VCA",$AF897&gt;=1.25,$AF897&lt;1.5),$M897*$AF897*2,0)</f>
        <v>309.72812</v>
      </c>
      <c r="BE897" s="153" t="n">
        <f aca="false">IF(AND($N897="VCA",$AF897&gt;=1.5,$AF897&lt;3),$M897*$AF897*2,0)</f>
        <v>0</v>
      </c>
      <c r="BF897" s="153" t="n">
        <f aca="false">IF(AND($N897="VCA",$AF897&gt;=3),$M897*$AF897*2,0)</f>
        <v>0</v>
      </c>
      <c r="BG897" s="153" t="n">
        <f aca="false">($BB897+$BC897)*$AK897</f>
        <v>129.9369682</v>
      </c>
      <c r="BH897" s="153" t="n">
        <f aca="false">IF(AND($M897&lt;&gt;"",$N897="VCA",$Q897="LINEAR"),($M897*2)/100,IF(AND($M897&lt;&gt;"",$N897="MND",$Q897="EMBOQUE"),($AN897*2)/100,0))</f>
        <v>2.2724</v>
      </c>
      <c r="BI897" s="153" t="n">
        <f aca="false">IF(AND($M897&lt;&gt;"",$N897="VCA",$Q897="LINEAR"),$M897,IF(AND($M897&lt;&gt;"",$N897="MND",$Q897="EMBOQUE"),$AN897*2,0))</f>
        <v>113.62</v>
      </c>
      <c r="BJ897" s="153" t="n">
        <f aca="false">IF(AND($M897&lt;&gt;"",$N897="VCA",$Q897="LINEAR"),($M897*6.8)/100,IF(AND($M897&lt;&gt;"",$N897="MND",$Q897="EMBOQUE"),($AN897*2*6.8)/100,0))</f>
        <v>7.72616</v>
      </c>
      <c r="BK897" s="153" t="n">
        <f aca="false">IF(AND($M897&lt;&gt;"",$N897="VCA",$Q897="LINEAR"),($M897*2.5)/50,IF(AND($M897&lt;&gt;"",$N897="MND",$Q897="EMBOQUE"),($AN897*2*2.5)/50,0))</f>
        <v>5.681</v>
      </c>
      <c r="BL897" s="157" t="str">
        <f aca="false">K897&amp;J897</f>
        <v>Zona08REDES</v>
      </c>
      <c r="BM897" s="152" t="s">
        <v>4834</v>
      </c>
      <c r="BN897" s="152" t="s">
        <v>1560</v>
      </c>
      <c r="BO897" s="152" t="s">
        <v>2489</v>
      </c>
      <c r="BP897" s="152" t="s">
        <v>2232</v>
      </c>
      <c r="BQ897" s="152" t="s">
        <v>4941</v>
      </c>
      <c r="BR897" s="152" t="s">
        <v>4949</v>
      </c>
      <c r="BS897" s="152" t="n">
        <v>202898.781</v>
      </c>
      <c r="BT897" s="152" t="n">
        <v>8237206.301</v>
      </c>
      <c r="BU897" s="152" t="n">
        <v>202790.9</v>
      </c>
      <c r="BV897" s="152" t="n">
        <v>8237170.667</v>
      </c>
      <c r="BW897" s="152" t="n">
        <v>-15.9267716</v>
      </c>
      <c r="BX897" s="152" t="n">
        <v>-47.7754327</v>
      </c>
      <c r="BY897" s="152" t="s">
        <v>4941</v>
      </c>
    </row>
    <row r="898" customFormat="false" ht="13.8" hidden="false" customHeight="false" outlineLevel="0" collapsed="false">
      <c r="A898" s="149" t="n">
        <f aca="false">IF(C898&lt;&gt;"",ROW(A893),"")</f>
        <v>893</v>
      </c>
      <c r="B898" s="150" t="str">
        <f aca="false">HYPERLINK("https://www.google.com/maps/dir/-15.917302,-47.760003/-15.9267260,-47.7772929/data=!4m3!4m2!3e0!5i2")</f>
        <v>https://www.google.com/maps/dir/-15.917302,-47.760003/-15.9267260,-47.7772929/data=!4m3!4m2!3e0!5i2</v>
      </c>
      <c r="C898" s="151" t="s">
        <v>117</v>
      </c>
      <c r="D898" s="152" t="s">
        <v>112</v>
      </c>
      <c r="E898" s="152" t="s">
        <v>113</v>
      </c>
      <c r="F898" s="152" t="s">
        <v>117</v>
      </c>
      <c r="G898" s="152" t="s">
        <v>782</v>
      </c>
      <c r="H898" s="152" t="n">
        <v>63</v>
      </c>
      <c r="I898" s="152" t="s">
        <v>115</v>
      </c>
      <c r="J898" s="152" t="s">
        <v>6</v>
      </c>
      <c r="K898" s="152" t="s">
        <v>4831</v>
      </c>
      <c r="L898" s="152" t="s">
        <v>120</v>
      </c>
      <c r="M898" s="153" t="n">
        <f aca="false">45.7</f>
        <v>45.7</v>
      </c>
      <c r="N898" s="152" t="s">
        <v>1548</v>
      </c>
      <c r="O898" s="152" t="s">
        <v>1549</v>
      </c>
      <c r="P898" s="152" t="s">
        <v>1550</v>
      </c>
      <c r="Q898" s="152" t="s">
        <v>1551</v>
      </c>
      <c r="R898" s="154" t="s">
        <v>4950</v>
      </c>
      <c r="S898" s="154" t="s">
        <v>1553</v>
      </c>
      <c r="T898" s="155" t="s">
        <v>2487</v>
      </c>
      <c r="U898" s="152" t="str">
        <f aca="false">RIGHT(T898,7)</f>
        <v>011/037</v>
      </c>
      <c r="V898" s="152" t="s">
        <v>1555</v>
      </c>
      <c r="W898" s="156" t="n">
        <v>45882</v>
      </c>
      <c r="X898" s="152" t="s">
        <v>1594</v>
      </c>
      <c r="Y898" s="152" t="s">
        <v>3516</v>
      </c>
      <c r="Z898" s="152" t="s">
        <v>1557</v>
      </c>
      <c r="AA898" s="153" t="n">
        <v>4</v>
      </c>
      <c r="AB898" s="151" t="s">
        <v>4951</v>
      </c>
      <c r="AC898" s="151" t="s">
        <v>186</v>
      </c>
      <c r="AD898" s="151" t="str">
        <f aca="false">CONCATENATE($C898,$I898,$H898,$N898,$J898,$K898)</f>
        <v>TUBO PEADPEAD63VCAREDESZona08</v>
      </c>
      <c r="AE898" s="153" t="n">
        <f aca="false">IFERROR(INDEX(APOIO_REDES!$A:$W,MATCH($C898&amp;$I898&amp;$H898&amp;$N898&amp;$O898,APOIO_REDES!$W:$W,0),MATCH(AE$5,APOIO_REDES!$5:$5,0)),0)</f>
        <v>1.2</v>
      </c>
      <c r="AF898" s="153" t="n">
        <f aca="false">IFERROR(INDEX(APOIO_REDES!$A:$W,MATCH($C898&amp;$I898&amp;$H898&amp;$N898&amp;$O898,APOIO_REDES!$W:$W,0),MATCH(AF$5,APOIO_REDES!$5:$5,0)),0)</f>
        <v>1.363</v>
      </c>
      <c r="AG898" s="153" t="n">
        <f aca="false">IFERROR(INDEX(APOIO_REDES!$A:$W,MATCH($C898&amp;$I898&amp;$H898&amp;$N898&amp;$O898,APOIO_REDES!$W:$W,0),MATCH(AG$5,APOIO_REDES!$5:$5,0)),0)</f>
        <v>0.65</v>
      </c>
      <c r="AH898" s="153" t="n">
        <f aca="false">IFERROR(INDEX(APOIO_REDES!$A:$W,MATCH($C898&amp;$I898&amp;$H898&amp;$N898&amp;$O898,APOIO_REDES!$W:$W,0),MATCH(AH$5,APOIO_REDES!$5:$5,0)),0)</f>
        <v>0.1</v>
      </c>
      <c r="AI898" s="153" t="n">
        <f aca="false">IFERROR(IF($H898&lt;&gt;"",(((($H898/1000)/2)^2)*PI()*$M898),0),0)</f>
        <v>0.142458110690968</v>
      </c>
      <c r="AJ898" s="153" t="n">
        <f aca="false">IFERROR(IF(AND($H898&lt;&gt;"",$I898="FoFo",OR($N898="MND",$N898="VCA"),$Q898="LINEAR"),0,IF(AND($H898&lt;&gt;"",$I898="PEAD",$N898="VCA",$Q898="LINEAR"),($H898/1000)+0.3,IF(AND($H898&lt;&gt;"",$I898="PEAD",$N898="MND",$Q898="EMBOQUE"),0,IF(AND($H898&lt;&gt;"",$I898="PVC",$N898="VCA",$Q898="LINEAR"),($H898/1000)+0.2,IF(AND($H898&lt;&gt;"",$I898="PVC",$N898="MND",$Q898="EMBOQUE"),0,IF(AND($H898&lt;&gt;"",$I898="PEAD",$N898="VCA",$Q898="PREDIAL"),0,0)))))),0)</f>
        <v>0.363</v>
      </c>
      <c r="AK898" s="153" t="n">
        <f aca="false">IF(AA898&lt;&gt;"",AA898,0)</f>
        <v>4</v>
      </c>
      <c r="AL898" s="153" t="n">
        <f aca="false">IF(AND($N898="MND",$Q898="EMBOQUE"),$M898,IF(AND($N898="VCA",$Q898="LINEAR"),$M898,IF(AND($N898="VCA",$Q898="PREDIAL"),0,0)))</f>
        <v>45.7</v>
      </c>
      <c r="AM898" s="153" t="n">
        <f aca="false">IF(AND($N898="MND",$Q898="EMBOQUE"),$M898,IF(AND($N898="VCA",$Q898="LINEAR"),$M898,IF(AND($N898="VCA",$Q898="PREDIAL"),0,0)))</f>
        <v>45.7</v>
      </c>
      <c r="AN898" s="153" t="n">
        <f aca="false">ROUND(IF(AND($N898="VCA",$M898&lt;&gt;"",$Q898="LINEAR"),$M898/100,IF(AND($N898="MND",$M898&gt;100,$Q898="EMBOQUE"),$M898/100,0)),0)</f>
        <v>0</v>
      </c>
      <c r="AO898" s="153" t="n">
        <f aca="false">IF(AND($N898="MND",$Q898="EMBOQUE"),$AN898*2*2,IF(AND($N898="VCA",$Q898="LINEAR"),$M898*2,IF(AND($N898="VCA",$Q898="PREDIAL"),0,0)))</f>
        <v>91.4</v>
      </c>
      <c r="AP898" s="153" t="n">
        <f aca="false">IFERROR($M898*$AF898*$AG898,0)</f>
        <v>40.487915</v>
      </c>
      <c r="AQ898" s="153" t="n">
        <f aca="false">IFERROR(IF(AND($N898="VCA",$AH898&gt;0),$M898*$AG898*$AH898,0),0)</f>
        <v>2.9705</v>
      </c>
      <c r="AR898" s="153" t="n">
        <f aca="false">IFERROR(IF(AND($N898="VCA",$AJ898&gt;0),($M898*$AG898*$AJ898)-$AI898,0),0)</f>
        <v>10.640456889309</v>
      </c>
      <c r="AS898" s="153" t="n">
        <f aca="false">IFERROR(IF(AND($N898="VCA",$AP898&gt;0),$AP898-$AI898-$AQ898-$AR898,0),0)</f>
        <v>26.7345</v>
      </c>
      <c r="AT898" s="153" t="n">
        <f aca="false">IFERROR(IF($N898="VCA",INDEX(APOIO_REDES!$A:$W,MATCH($C898&amp;$I898&amp;$H898&amp;$N898&amp;$O898,APOIO_REDES!$W:$W,0),MATCH(AT$5,APOIO_REDES!$5:$5,0)),0)*$AP898,0)</f>
        <v>0.440520499011128</v>
      </c>
      <c r="AU898" s="153" t="n">
        <f aca="false">IFERROR(IF($N898="VCA",INDEX(APOIO_REDES!$A:$W,MATCH($C898&amp;$I898&amp;$H898&amp;$N898&amp;$O898,APOIO_REDES!$W:$W,0),MATCH(AU$5,APOIO_REDES!$5:$5,0)),0)*$AP898,0)</f>
        <v>0.351787739702102</v>
      </c>
      <c r="AV898" s="153" t="n">
        <f aca="false">IFERROR(IF($N898="VCA",INDEX(APOIO_REDES!$A:$W,MATCH($C898&amp;$I898&amp;$H898&amp;$N898&amp;$O898,APOIO_REDES!$W:$W,0),MATCH(AV$5,APOIO_REDES!$5:$5,0)),0)*$AP898,0)</f>
        <v>0.0486846615327356</v>
      </c>
      <c r="AW898" s="153" t="n">
        <f aca="false">IFERROR(IF($N898="VCA",INDEX(APOIO_REDES!$A:$W,MATCH($C898&amp;$I898&amp;$H898&amp;$N898&amp;$O898,APOIO_REDES!$W:$W,0),MATCH(AW$5,APOIO_REDES!$5:$5,0)),0)*$AP898,0)</f>
        <v>27.791218571674</v>
      </c>
      <c r="AX898" s="153" t="n">
        <f aca="false">IFERROR(IF($N898="VCA",INDEX(APOIO_REDES!$A:$W,MATCH($C898&amp;$I898&amp;$H898&amp;$N898&amp;$O898,APOIO_REDES!$W:$W,0),MATCH(AX$5,APOIO_REDES!$5:$5,0)),0)*$AP898,0)</f>
        <v>3.84622548553508</v>
      </c>
      <c r="AY898" s="153" t="n">
        <f aca="false">IFERROR(IF($N898="VCA",INDEX(APOIO_REDES!$A:$W,MATCH($C898&amp;$I898&amp;$H898&amp;$N898&amp;$O898,APOIO_REDES!$W:$W,0),MATCH(AY$5,APOIO_REDES!$5:$5,0)),0)*$AP898,0)</f>
        <v>7.03575050577802</v>
      </c>
      <c r="AZ898" s="153" t="n">
        <f aca="false">IFERROR(IF($N898="VCA",INDEX(APOIO_REDES!$A:$W,MATCH($C898&amp;$I898&amp;$H898&amp;$N898&amp;$O898,APOIO_REDES!$W:$W,0),MATCH(AZ$5,APOIO_REDES!$5:$5,0)),0)*$AP898,0)</f>
        <v>0.973727536766953</v>
      </c>
      <c r="BA898" s="153" t="n">
        <f aca="false">IFERROR(IF(AND($N898="VCA",$Q898="LINEAR"),INDEX(APOIO_REDES!$A:$W,MATCH($C898&amp;$I898&amp;$H898&amp;$N898&amp;$O898,APOIO_REDES!$W:$W,0),MATCH(BA$5,APOIO_REDES!$5:$5,0)),IF(AND($N898="MND",$Q898="EMBOQUE"),INDEX(APOIO_REDES!$A:$W,MATCH($C898&amp;$I898&amp;$H898&amp;$N898&amp;$O898,APOIO_REDES!$W:$W,0),MATCH(BA$5,APOIO_REDES!$5:$5,0)),0))*$M898/10,0)</f>
        <v>3.68330472539596</v>
      </c>
      <c r="BB898" s="153" t="n">
        <f aca="false">IFERROR(IF($N898="VCA",INDEX(APOIO_REDES!$A:$W,MATCH($C898&amp;$I898&amp;$H898&amp;$N898&amp;$O898,APOIO_REDES!$W:$W,0),MATCH(BB$5,APOIO_REDES!$5:$5,0)),0)*($AI898+$AQ898+$AR898),0)</f>
        <v>13.603773773997</v>
      </c>
      <c r="BC898" s="153" t="n">
        <f aca="false">IFERROR(IF($N898="VCA",INDEX(APOIO_REDES!$A:$W,MATCH($C898&amp;$I898&amp;$H898&amp;$N898&amp;$O898,APOIO_REDES!$W:$W,0),MATCH(BC$5,APOIO_REDES!$5:$5,0)),0)*($AI898+$AQ898+$AR898),0)</f>
        <v>0.149641226003046</v>
      </c>
      <c r="BD898" s="153" t="n">
        <f aca="false">IF(AND($N898="VCA",$AF898&gt;=1.25,$AF898&lt;1.5),$M898*$AF898*2,0)</f>
        <v>124.5782</v>
      </c>
      <c r="BE898" s="153" t="n">
        <f aca="false">IF(AND($N898="VCA",$AF898&gt;=1.5,$AF898&lt;3),$M898*$AF898*2,0)</f>
        <v>0</v>
      </c>
      <c r="BF898" s="153" t="n">
        <f aca="false">IF(AND($N898="VCA",$AF898&gt;=3),$M898*$AF898*2,0)</f>
        <v>0</v>
      </c>
      <c r="BG898" s="153" t="n">
        <f aca="false">($BB898+$BC898)*$AK898</f>
        <v>55.01366</v>
      </c>
      <c r="BH898" s="153" t="n">
        <f aca="false">IF(AND($M898&lt;&gt;"",$N898="VCA",$Q898="LINEAR"),($M898*2)/100,IF(AND($M898&lt;&gt;"",$N898="MND",$Q898="EMBOQUE"),($AN898*2)/100,0))</f>
        <v>0.914</v>
      </c>
      <c r="BI898" s="153" t="n">
        <f aca="false">IF(AND($M898&lt;&gt;"",$N898="VCA",$Q898="LINEAR"),$M898,IF(AND($M898&lt;&gt;"",$N898="MND",$Q898="EMBOQUE"),$AN898*2,0))</f>
        <v>45.7</v>
      </c>
      <c r="BJ898" s="153" t="n">
        <f aca="false">IF(AND($M898&lt;&gt;"",$N898="VCA",$Q898="LINEAR"),($M898*6.8)/100,IF(AND($M898&lt;&gt;"",$N898="MND",$Q898="EMBOQUE"),($AN898*2*6.8)/100,0))</f>
        <v>3.1076</v>
      </c>
      <c r="BK898" s="153" t="n">
        <f aca="false">IF(AND($M898&lt;&gt;"",$N898="VCA",$Q898="LINEAR"),($M898*2.5)/50,IF(AND($M898&lt;&gt;"",$N898="MND",$Q898="EMBOQUE"),($AN898*2*2.5)/50,0))</f>
        <v>2.285</v>
      </c>
      <c r="BL898" s="157" t="str">
        <f aca="false">K898&amp;J898</f>
        <v>Zona08REDES</v>
      </c>
      <c r="BM898" s="152" t="s">
        <v>4834</v>
      </c>
      <c r="BN898" s="152" t="s">
        <v>1560</v>
      </c>
      <c r="BO898" s="152" t="s">
        <v>2489</v>
      </c>
      <c r="BP898" s="152" t="s">
        <v>4890</v>
      </c>
      <c r="BQ898" s="152" t="s">
        <v>4952</v>
      </c>
      <c r="BR898" s="152" t="s">
        <v>4953</v>
      </c>
      <c r="BS898" s="152" t="n">
        <v>202645.426</v>
      </c>
      <c r="BT898" s="152" t="n">
        <v>8237191.033</v>
      </c>
      <c r="BU898" s="152" t="n">
        <v>202600.588</v>
      </c>
      <c r="BV898" s="152" t="n">
        <v>8237182.186</v>
      </c>
      <c r="BW898" s="152" t="n">
        <v>-15.9267632</v>
      </c>
      <c r="BX898" s="152" t="n">
        <v>-47.7775027</v>
      </c>
      <c r="BY898" s="152" t="s">
        <v>4890</v>
      </c>
    </row>
    <row r="899" customFormat="false" ht="13.8" hidden="false" customHeight="false" outlineLevel="0" collapsed="false">
      <c r="A899" s="149" t="n">
        <f aca="false">IF(C899&lt;&gt;"",ROW(A894),"")</f>
        <v>894</v>
      </c>
      <c r="B899" s="150" t="str">
        <f aca="false">HYPERLINK("https://www.google.com/maps/dir/-15.917302,-47.760003/-15.9267840,-47.7732140/data=!4m3!4m2!3e0!5i2")</f>
        <v>https://www.google.com/maps/dir/-15.917302,-47.760003/-15.9267840,-47.7732140/data=!4m3!4m2!3e0!5i2</v>
      </c>
      <c r="C899" s="151" t="s">
        <v>117</v>
      </c>
      <c r="D899" s="152" t="s">
        <v>112</v>
      </c>
      <c r="E899" s="152" t="s">
        <v>113</v>
      </c>
      <c r="F899" s="152" t="s">
        <v>117</v>
      </c>
      <c r="G899" s="152" t="s">
        <v>114</v>
      </c>
      <c r="H899" s="152" t="n">
        <v>160</v>
      </c>
      <c r="I899" s="152" t="s">
        <v>115</v>
      </c>
      <c r="J899" s="152" t="s">
        <v>6</v>
      </c>
      <c r="K899" s="152" t="s">
        <v>4831</v>
      </c>
      <c r="L899" s="152" t="s">
        <v>120</v>
      </c>
      <c r="M899" s="153" t="n">
        <f aca="false">51.35</f>
        <v>51.35</v>
      </c>
      <c r="N899" s="152" t="s">
        <v>1548</v>
      </c>
      <c r="O899" s="152" t="s">
        <v>1549</v>
      </c>
      <c r="P899" s="152" t="s">
        <v>1550</v>
      </c>
      <c r="Q899" s="152" t="s">
        <v>1551</v>
      </c>
      <c r="R899" s="154" t="s">
        <v>4954</v>
      </c>
      <c r="S899" s="154" t="s">
        <v>1593</v>
      </c>
      <c r="T899" s="155" t="s">
        <v>2487</v>
      </c>
      <c r="U899" s="152" t="str">
        <f aca="false">RIGHT(T899,7)</f>
        <v>011/037</v>
      </c>
      <c r="V899" s="152" t="s">
        <v>1555</v>
      </c>
      <c r="W899" s="156" t="n">
        <v>45882</v>
      </c>
      <c r="X899" s="152" t="s">
        <v>1594</v>
      </c>
      <c r="Y899" s="152" t="s">
        <v>4955</v>
      </c>
      <c r="Z899" s="152" t="s">
        <v>1557</v>
      </c>
      <c r="AA899" s="153" t="n">
        <v>3.8</v>
      </c>
      <c r="AB899" s="151" t="s">
        <v>4956</v>
      </c>
      <c r="AC899" s="151" t="s">
        <v>505</v>
      </c>
      <c r="AD899" s="151" t="str">
        <f aca="false">CONCATENATE($C899,$I899,$H899,$N899,$J899,$K899)</f>
        <v>TUBO PEADPEAD160VCAREDESZona08</v>
      </c>
      <c r="AE899" s="153" t="n">
        <f aca="false">IFERROR(INDEX(APOIO_REDES!$A:$W,MATCH($C899&amp;$I899&amp;$H899&amp;$N899&amp;$O899,APOIO_REDES!$W:$W,0),MATCH(AE$5,APOIO_REDES!$5:$5,0)),0)</f>
        <v>1.2</v>
      </c>
      <c r="AF899" s="153" t="n">
        <f aca="false">IFERROR(INDEX(APOIO_REDES!$A:$W,MATCH($C899&amp;$I899&amp;$H899&amp;$N899&amp;$O899,APOIO_REDES!$W:$W,0),MATCH(AF$5,APOIO_REDES!$5:$5,0)),0)</f>
        <v>1.46</v>
      </c>
      <c r="AG899" s="153" t="n">
        <f aca="false">IFERROR(INDEX(APOIO_REDES!$A:$W,MATCH($C899&amp;$I899&amp;$H899&amp;$N899&amp;$O899,APOIO_REDES!$W:$W,0),MATCH(AG$5,APOIO_REDES!$5:$5,0)),0)</f>
        <v>0.75</v>
      </c>
      <c r="AH899" s="153" t="n">
        <f aca="false">IFERROR(INDEX(APOIO_REDES!$A:$W,MATCH($C899&amp;$I899&amp;$H899&amp;$N899&amp;$O899,APOIO_REDES!$W:$W,0),MATCH(AH$5,APOIO_REDES!$5:$5,0)),0)</f>
        <v>0.1</v>
      </c>
      <c r="AI899" s="153" t="n">
        <f aca="false">IFERROR(IF($H899&lt;&gt;"",(((($H899/1000)/2)^2)*PI()*$M899),0),0)</f>
        <v>1.03245300967575</v>
      </c>
      <c r="AJ899" s="153" t="n">
        <f aca="false">IFERROR(IF(AND($H899&lt;&gt;"",$I899="FoFo",OR($N899="MND",$N899="VCA"),$Q899="LINEAR"),0,IF(AND($H899&lt;&gt;"",$I899="PEAD",$N899="VCA",$Q899="LINEAR"),($H899/1000)+0.3,IF(AND($H899&lt;&gt;"",$I899="PEAD",$N899="MND",$Q899="EMBOQUE"),0,IF(AND($H899&lt;&gt;"",$I899="PVC",$N899="VCA",$Q899="LINEAR"),($H899/1000)+0.2,IF(AND($H899&lt;&gt;"",$I899="PVC",$N899="MND",$Q899="EMBOQUE"),0,IF(AND($H899&lt;&gt;"",$I899="PEAD",$N899="VCA",$Q899="PREDIAL"),0,0)))))),0)</f>
        <v>0.46</v>
      </c>
      <c r="AK899" s="153" t="n">
        <f aca="false">IF(AA899&lt;&gt;"",AA899,0)</f>
        <v>3.8</v>
      </c>
      <c r="AL899" s="153" t="n">
        <f aca="false">IF(AND($N899="MND",$Q899="EMBOQUE"),$M899,IF(AND($N899="VCA",$Q899="LINEAR"),$M899,IF(AND($N899="VCA",$Q899="PREDIAL"),0,0)))</f>
        <v>51.35</v>
      </c>
      <c r="AM899" s="153" t="n">
        <f aca="false">IF(AND($N899="MND",$Q899="EMBOQUE"),$M899,IF(AND($N899="VCA",$Q899="LINEAR"),$M899,IF(AND($N899="VCA",$Q899="PREDIAL"),0,0)))</f>
        <v>51.35</v>
      </c>
      <c r="AN899" s="153" t="n">
        <f aca="false">ROUND(IF(AND($N899="VCA",$M899&lt;&gt;"",$Q899="LINEAR"),$M899/100,IF(AND($N899="MND",$M899&gt;100,$Q899="EMBOQUE"),$M899/100,0)),0)</f>
        <v>1</v>
      </c>
      <c r="AO899" s="153" t="n">
        <f aca="false">IF(AND($N899="MND",$Q899="EMBOQUE"),$AN899*2*2,IF(AND($N899="VCA",$Q899="LINEAR"),$M899*2,IF(AND($N899="VCA",$Q899="PREDIAL"),0,0)))</f>
        <v>102.7</v>
      </c>
      <c r="AP899" s="153" t="n">
        <f aca="false">IFERROR($M899*$AF899*$AG899,0)</f>
        <v>56.22825</v>
      </c>
      <c r="AQ899" s="153" t="n">
        <f aca="false">IFERROR(IF(AND($N899="VCA",$AH899&gt;0),$M899*$AG899*$AH899,0),0)</f>
        <v>3.85125</v>
      </c>
      <c r="AR899" s="153" t="n">
        <f aca="false">IFERROR(IF(AND($N899="VCA",$AJ899&gt;0),($M899*$AG899*$AJ899)-$AI899,0),0)</f>
        <v>16.6832969903243</v>
      </c>
      <c r="AS899" s="153" t="n">
        <f aca="false">IFERROR(IF(AND($N899="VCA",$AP899&gt;0),$AP899-$AI899-$AQ899-$AR899,0),0)</f>
        <v>34.66125</v>
      </c>
      <c r="AT899" s="153" t="n">
        <f aca="false">IFERROR(IF($N899="VCA",INDEX(APOIO_REDES!$A:$W,MATCH($C899&amp;$I899&amp;$H899&amp;$N899&amp;$O899,APOIO_REDES!$W:$W,0),MATCH(AT$5,APOIO_REDES!$5:$5,0)),0)*$AP899,0)</f>
        <v>0.611780002712475</v>
      </c>
      <c r="AU899" s="153" t="n">
        <f aca="false">IFERROR(IF($N899="VCA",INDEX(APOIO_REDES!$A:$W,MATCH($C899&amp;$I899&amp;$H899&amp;$N899&amp;$O899,APOIO_REDES!$W:$W,0),MATCH(AU$5,APOIO_REDES!$5:$5,0)),0)*$AP899,0)</f>
        <v>0.488550941062407</v>
      </c>
      <c r="AV899" s="153" t="n">
        <f aca="false">IFERROR(IF($N899="VCA",INDEX(APOIO_REDES!$A:$W,MATCH($C899&amp;$I899&amp;$H899&amp;$N899&amp;$O899,APOIO_REDES!$W:$W,0),MATCH(AV$5,APOIO_REDES!$5:$5,0)),0)*$AP899,0)</f>
        <v>0.067611614967776</v>
      </c>
      <c r="AW899" s="153" t="n">
        <f aca="false">IFERROR(IF($N899="VCA",INDEX(APOIO_REDES!$A:$W,MATCH($C899&amp;$I899&amp;$H899&amp;$N899&amp;$O899,APOIO_REDES!$W:$W,0),MATCH(AW$5,APOIO_REDES!$5:$5,0)),0)*$AP899,0)</f>
        <v>38.595506477741</v>
      </c>
      <c r="AX899" s="153" t="n">
        <f aca="false">IFERROR(IF($N899="VCA",INDEX(APOIO_REDES!$A:$W,MATCH($C899&amp;$I899&amp;$H899&amp;$N899&amp;$O899,APOIO_REDES!$W:$W,0),MATCH(AX$5,APOIO_REDES!$5:$5,0)),0)*$AP899,0)</f>
        <v>5.34150815513809</v>
      </c>
      <c r="AY899" s="153" t="n">
        <f aca="false">IFERROR(IF($N899="VCA",INDEX(APOIO_REDES!$A:$W,MATCH($C899&amp;$I899&amp;$H899&amp;$N899&amp;$O899,APOIO_REDES!$W:$W,0),MATCH(AY$5,APOIO_REDES!$5:$5,0)),0)*$AP899,0)</f>
        <v>9.77101286585177</v>
      </c>
      <c r="AZ899" s="153" t="n">
        <f aca="false">IFERROR(IF($N899="VCA",INDEX(APOIO_REDES!$A:$W,MATCH($C899&amp;$I899&amp;$H899&amp;$N899&amp;$O899,APOIO_REDES!$W:$W,0),MATCH(AZ$5,APOIO_REDES!$5:$5,0)),0)*$AP899,0)</f>
        <v>1.35227994252647</v>
      </c>
      <c r="BA899" s="153" t="n">
        <f aca="false">IFERROR(IF(AND($N899="VCA",$Q899="LINEAR"),INDEX(APOIO_REDES!$A:$W,MATCH($C899&amp;$I899&amp;$H899&amp;$N899&amp;$O899,APOIO_REDES!$W:$W,0),MATCH(BA$5,APOIO_REDES!$5:$5,0)),IF(AND($N899="MND",$Q899="EMBOQUE"),INDEX(APOIO_REDES!$A:$W,MATCH($C899&amp;$I899&amp;$H899&amp;$N899&amp;$O899,APOIO_REDES!$W:$W,0),MATCH(BA$5,APOIO_REDES!$5:$5,0)),0))*$M899/10,0)</f>
        <v>4.13868047372172</v>
      </c>
      <c r="BB899" s="153" t="n">
        <f aca="false">IFERROR(IF($N899="VCA",INDEX(APOIO_REDES!$A:$W,MATCH($C899&amp;$I899&amp;$H899&amp;$N899&amp;$O899,APOIO_REDES!$W:$W,0),MATCH(BB$5,APOIO_REDES!$5:$5,0)),0)*($AI899+$AQ899+$AR899),0)</f>
        <v>21.3323446564938</v>
      </c>
      <c r="BC899" s="153" t="n">
        <f aca="false">IFERROR(IF($N899="VCA",INDEX(APOIO_REDES!$A:$W,MATCH($C899&amp;$I899&amp;$H899&amp;$N899&amp;$O899,APOIO_REDES!$W:$W,0),MATCH(BC$5,APOIO_REDES!$5:$5,0)),0)*($AI899+$AQ899+$AR899),0)</f>
        <v>0.234655343506155</v>
      </c>
      <c r="BD899" s="153" t="n">
        <f aca="false">IF(AND($N899="VCA",$AF899&gt;=1.25,$AF899&lt;1.5),$M899*$AF899*2,0)</f>
        <v>149.942</v>
      </c>
      <c r="BE899" s="153" t="n">
        <f aca="false">IF(AND($N899="VCA",$AF899&gt;=1.5,$AF899&lt;3),$M899*$AF899*2,0)</f>
        <v>0</v>
      </c>
      <c r="BF899" s="153" t="n">
        <f aca="false">IF(AND($N899="VCA",$AF899&gt;=3),$M899*$AF899*2,0)</f>
        <v>0</v>
      </c>
      <c r="BG899" s="153" t="n">
        <f aca="false">($BB899+$BC899)*$AK899</f>
        <v>81.9546</v>
      </c>
      <c r="BH899" s="153" t="n">
        <f aca="false">IF(AND($M899&lt;&gt;"",$N899="VCA",$Q899="LINEAR"),($M899*2)/100,IF(AND($M899&lt;&gt;"",$N899="MND",$Q899="EMBOQUE"),($AN899*2)/100,0))</f>
        <v>1.027</v>
      </c>
      <c r="BI899" s="153" t="n">
        <f aca="false">IF(AND($M899&lt;&gt;"",$N899="VCA",$Q899="LINEAR"),$M899,IF(AND($M899&lt;&gt;"",$N899="MND",$Q899="EMBOQUE"),$AN899*2,0))</f>
        <v>51.35</v>
      </c>
      <c r="BJ899" s="153" t="n">
        <f aca="false">IF(AND($M899&lt;&gt;"",$N899="VCA",$Q899="LINEAR"),($M899*6.8)/100,IF(AND($M899&lt;&gt;"",$N899="MND",$Q899="EMBOQUE"),($AN899*2*6.8)/100,0))</f>
        <v>3.4918</v>
      </c>
      <c r="BK899" s="153" t="n">
        <f aca="false">IF(AND($M899&lt;&gt;"",$N899="VCA",$Q899="LINEAR"),($M899*2.5)/50,IF(AND($M899&lt;&gt;"",$N899="MND",$Q899="EMBOQUE"),($AN899*2*2.5)/50,0))</f>
        <v>2.5675</v>
      </c>
      <c r="BL899" s="157" t="str">
        <f aca="false">K899&amp;J899</f>
        <v>Zona08REDES</v>
      </c>
      <c r="BM899" s="152" t="s">
        <v>4834</v>
      </c>
      <c r="BN899" s="152" t="s">
        <v>1560</v>
      </c>
      <c r="BO899" s="152" t="s">
        <v>2489</v>
      </c>
      <c r="BP899" s="152" t="s">
        <v>4933</v>
      </c>
      <c r="BQ899" s="152" t="s">
        <v>4957</v>
      </c>
      <c r="BR899" s="152" t="s">
        <v>4958</v>
      </c>
      <c r="BS899" s="152" t="n">
        <v>203082.543</v>
      </c>
      <c r="BT899" s="152" t="n">
        <v>8237190.451</v>
      </c>
      <c r="BU899" s="152" t="n">
        <v>203123.846</v>
      </c>
      <c r="BV899" s="152" t="n">
        <v>8237159.953</v>
      </c>
      <c r="BW899" s="152" t="n">
        <v>-15.9269258</v>
      </c>
      <c r="BX899" s="152" t="n">
        <v>-47.7730244</v>
      </c>
      <c r="BY899" s="152" t="s">
        <v>4933</v>
      </c>
    </row>
    <row r="900" customFormat="false" ht="13.8" hidden="false" customHeight="false" outlineLevel="0" collapsed="false">
      <c r="A900" s="149" t="n">
        <f aca="false">IF(C900&lt;&gt;"",ROW(A895),"")</f>
        <v>895</v>
      </c>
      <c r="B900" s="150" t="str">
        <f aca="false">HYPERLINK("https://www.google.com/maps/dir/-15.917302,-47.760003/-15.9269329,-47.7744500/data=!4m3!4m2!3e0!5i2")</f>
        <v>https://www.google.com/maps/dir/-15.917302,-47.760003/-15.9269329,-47.7744500/data=!4m3!4m2!3e0!5i2</v>
      </c>
      <c r="C900" s="151" t="s">
        <v>117</v>
      </c>
      <c r="D900" s="152" t="s">
        <v>112</v>
      </c>
      <c r="E900" s="152" t="s">
        <v>113</v>
      </c>
      <c r="F900" s="152" t="s">
        <v>117</v>
      </c>
      <c r="G900" s="152" t="s">
        <v>782</v>
      </c>
      <c r="H900" s="152" t="n">
        <v>110</v>
      </c>
      <c r="I900" s="152" t="s">
        <v>115</v>
      </c>
      <c r="J900" s="152" t="s">
        <v>6</v>
      </c>
      <c r="K900" s="152" t="s">
        <v>4831</v>
      </c>
      <c r="L900" s="152" t="s">
        <v>120</v>
      </c>
      <c r="M900" s="153" t="n">
        <f aca="false">42.97</f>
        <v>42.97</v>
      </c>
      <c r="N900" s="152" t="s">
        <v>1548</v>
      </c>
      <c r="O900" s="152" t="s">
        <v>1549</v>
      </c>
      <c r="P900" s="152" t="s">
        <v>1550</v>
      </c>
      <c r="Q900" s="152" t="s">
        <v>1551</v>
      </c>
      <c r="R900" s="154" t="s">
        <v>4959</v>
      </c>
      <c r="S900" s="154" t="s">
        <v>1593</v>
      </c>
      <c r="T900" s="155" t="s">
        <v>2487</v>
      </c>
      <c r="U900" s="152" t="str">
        <f aca="false">RIGHT(T900,7)</f>
        <v>011/037</v>
      </c>
      <c r="V900" s="152" t="s">
        <v>1555</v>
      </c>
      <c r="W900" s="156" t="n">
        <v>45882</v>
      </c>
      <c r="X900" s="152" t="s">
        <v>1594</v>
      </c>
      <c r="Y900" s="152" t="s">
        <v>4828</v>
      </c>
      <c r="Z900" s="152" t="s">
        <v>1557</v>
      </c>
      <c r="AA900" s="153" t="n">
        <v>3.8</v>
      </c>
      <c r="AB900" s="151" t="s">
        <v>4960</v>
      </c>
      <c r="AC900" s="151" t="s">
        <v>502</v>
      </c>
      <c r="AD900" s="151" t="str">
        <f aca="false">CONCATENATE($C900,$I900,$H900,$N900,$J900,$K900)</f>
        <v>TUBO PEADPEAD110VCAREDESZona08</v>
      </c>
      <c r="AE900" s="153" t="n">
        <f aca="false">IFERROR(INDEX(APOIO_REDES!$A:$W,MATCH($C900&amp;$I900&amp;$H900&amp;$N900&amp;$O900,APOIO_REDES!$W:$W,0),MATCH(AE$5,APOIO_REDES!$5:$5,0)),0)</f>
        <v>1.2</v>
      </c>
      <c r="AF900" s="153" t="n">
        <f aca="false">IFERROR(INDEX(APOIO_REDES!$A:$W,MATCH($C900&amp;$I900&amp;$H900&amp;$N900&amp;$O900,APOIO_REDES!$W:$W,0),MATCH(AF$5,APOIO_REDES!$5:$5,0)),0)</f>
        <v>1.41</v>
      </c>
      <c r="AG900" s="153" t="n">
        <f aca="false">IFERROR(INDEX(APOIO_REDES!$A:$W,MATCH($C900&amp;$I900&amp;$H900&amp;$N900&amp;$O900,APOIO_REDES!$W:$W,0),MATCH(AG$5,APOIO_REDES!$5:$5,0)),0)</f>
        <v>0.75</v>
      </c>
      <c r="AH900" s="153" t="n">
        <f aca="false">IFERROR(INDEX(APOIO_REDES!$A:$W,MATCH($C900&amp;$I900&amp;$H900&amp;$N900&amp;$O900,APOIO_REDES!$W:$W,0),MATCH(AH$5,APOIO_REDES!$5:$5,0)),0)</f>
        <v>0.1</v>
      </c>
      <c r="AI900" s="153" t="n">
        <f aca="false">IFERROR(IF($H900&lt;&gt;"",(((($H900/1000)/2)^2)*PI()*$M900),0),0)</f>
        <v>0.408357564882379</v>
      </c>
      <c r="AJ900" s="153" t="n">
        <f aca="false">IFERROR(IF(AND($H900&lt;&gt;"",$I900="FoFo",OR($N900="MND",$N900="VCA"),$Q900="LINEAR"),0,IF(AND($H900&lt;&gt;"",$I900="PEAD",$N900="VCA",$Q900="LINEAR"),($H900/1000)+0.3,IF(AND($H900&lt;&gt;"",$I900="PEAD",$N900="MND",$Q900="EMBOQUE"),0,IF(AND($H900&lt;&gt;"",$I900="PVC",$N900="VCA",$Q900="LINEAR"),($H900/1000)+0.2,IF(AND($H900&lt;&gt;"",$I900="PVC",$N900="MND",$Q900="EMBOQUE"),0,IF(AND($H900&lt;&gt;"",$I900="PEAD",$N900="VCA",$Q900="PREDIAL"),0,0)))))),0)</f>
        <v>0.41</v>
      </c>
      <c r="AK900" s="153" t="n">
        <f aca="false">IF(AA900&lt;&gt;"",AA900,0)</f>
        <v>3.8</v>
      </c>
      <c r="AL900" s="153" t="n">
        <f aca="false">IF(AND($N900="MND",$Q900="EMBOQUE"),$M900,IF(AND($N900="VCA",$Q900="LINEAR"),$M900,IF(AND($N900="VCA",$Q900="PREDIAL"),0,0)))</f>
        <v>42.97</v>
      </c>
      <c r="AM900" s="153" t="n">
        <f aca="false">IF(AND($N900="MND",$Q900="EMBOQUE"),$M900,IF(AND($N900="VCA",$Q900="LINEAR"),$M900,IF(AND($N900="VCA",$Q900="PREDIAL"),0,0)))</f>
        <v>42.97</v>
      </c>
      <c r="AN900" s="153" t="n">
        <f aca="false">ROUND(IF(AND($N900="VCA",$M900&lt;&gt;"",$Q900="LINEAR"),$M900/100,IF(AND($N900="MND",$M900&gt;100,$Q900="EMBOQUE"),$M900/100,0)),0)</f>
        <v>0</v>
      </c>
      <c r="AO900" s="153" t="n">
        <f aca="false">IF(AND($N900="MND",$Q900="EMBOQUE"),$AN900*2*2,IF(AND($N900="VCA",$Q900="LINEAR"),$M900*2,IF(AND($N900="VCA",$Q900="PREDIAL"),0,0)))</f>
        <v>85.94</v>
      </c>
      <c r="AP900" s="153" t="n">
        <f aca="false">IFERROR($M900*$AF900*$AG900,0)</f>
        <v>45.440775</v>
      </c>
      <c r="AQ900" s="153" t="n">
        <f aca="false">IFERROR(IF(AND($N900="VCA",$AH900&gt;0),$M900*$AG900*$AH900,0),0)</f>
        <v>3.22275</v>
      </c>
      <c r="AR900" s="153" t="n">
        <f aca="false">IFERROR(IF(AND($N900="VCA",$AJ900&gt;0),($M900*$AG900*$AJ900)-$AI900,0),0)</f>
        <v>12.8049174351176</v>
      </c>
      <c r="AS900" s="153" t="n">
        <f aca="false">IFERROR(IF(AND($N900="VCA",$AP900&gt;0),$AP900-$AI900-$AQ900-$AR900,0),0)</f>
        <v>29.00475</v>
      </c>
      <c r="AT900" s="153" t="n">
        <f aca="false">IFERROR(IF($N900="VCA",INDEX(APOIO_REDES!$A:$W,MATCH($C900&amp;$I900&amp;$H900&amp;$N900&amp;$O900,APOIO_REDES!$W:$W,0),MATCH(AT$5,APOIO_REDES!$5:$5,0)),0)*$AP900,0)</f>
        <v>0.494409081782857</v>
      </c>
      <c r="AU900" s="153" t="n">
        <f aca="false">IFERROR(IF($N900="VCA",INDEX(APOIO_REDES!$A:$W,MATCH($C900&amp;$I900&amp;$H900&amp;$N900&amp;$O900,APOIO_REDES!$W:$W,0),MATCH(AU$5,APOIO_REDES!$5:$5,0)),0)*$AP900,0)</f>
        <v>0.394821702415691</v>
      </c>
      <c r="AV900" s="153" t="n">
        <f aca="false">IFERROR(IF($N900="VCA",INDEX(APOIO_REDES!$A:$W,MATCH($C900&amp;$I900&amp;$H900&amp;$N900&amp;$O900,APOIO_REDES!$W:$W,0),MATCH(AV$5,APOIO_REDES!$5:$5,0)),0)*$AP900,0)</f>
        <v>0.0546402241424434</v>
      </c>
      <c r="AW900" s="153" t="n">
        <f aca="false">IFERROR(IF($N900="VCA",INDEX(APOIO_REDES!$A:$W,MATCH($C900&amp;$I900&amp;$H900&amp;$N900&amp;$O900,APOIO_REDES!$W:$W,0),MATCH(AW$5,APOIO_REDES!$5:$5,0)),0)*$AP900,0)</f>
        <v>31.190900052306</v>
      </c>
      <c r="AX900" s="153" t="n">
        <f aca="false">IFERROR(IF($N900="VCA",INDEX(APOIO_REDES!$A:$W,MATCH($C900&amp;$I900&amp;$H900&amp;$N900&amp;$O900,APOIO_REDES!$W:$W,0),MATCH(AX$5,APOIO_REDES!$5:$5,0)),0)*$AP900,0)</f>
        <v>4.31673171827853</v>
      </c>
      <c r="AY900" s="153" t="n">
        <f aca="false">IFERROR(IF($N900="VCA",INDEX(APOIO_REDES!$A:$W,MATCH($C900&amp;$I900&amp;$H900&amp;$N900&amp;$O900,APOIO_REDES!$W:$W,0),MATCH(AY$5,APOIO_REDES!$5:$5,0)),0)*$AP900,0)</f>
        <v>7.89642923546928</v>
      </c>
      <c r="AZ900" s="153" t="n">
        <f aca="false">IFERROR(IF($N900="VCA",INDEX(APOIO_REDES!$A:$W,MATCH($C900&amp;$I900&amp;$H900&amp;$N900&amp;$O900,APOIO_REDES!$W:$W,0),MATCH(AZ$5,APOIO_REDES!$5:$5,0)),0)*$AP900,0)</f>
        <v>1.09284298560524</v>
      </c>
      <c r="BA900" s="153" t="n">
        <f aca="false">IFERROR(IF(AND($N900="VCA",$Q900="LINEAR"),INDEX(APOIO_REDES!$A:$W,MATCH($C900&amp;$I900&amp;$H900&amp;$N900&amp;$O900,APOIO_REDES!$W:$W,0),MATCH(BA$5,APOIO_REDES!$5:$5,0)),IF(AND($N900="MND",$Q900="EMBOQUE"),INDEX(APOIO_REDES!$A:$W,MATCH($C900&amp;$I900&amp;$H900&amp;$N900&amp;$O900,APOIO_REDES!$W:$W,0),MATCH(BA$5,APOIO_REDES!$5:$5,0)),0))*$M900/10,0)</f>
        <v>3.46327361160316</v>
      </c>
      <c r="BB900" s="153" t="n">
        <f aca="false">IFERROR(IF($N900="VCA",INDEX(APOIO_REDES!$A:$W,MATCH($C900&amp;$I900&amp;$H900&amp;$N900&amp;$O900,APOIO_REDES!$W:$W,0),MATCH(BB$5,APOIO_REDES!$5:$5,0)),0)*($AI900+$AQ900+$AR900),0)</f>
        <v>16.2571961831849</v>
      </c>
      <c r="BC900" s="153" t="n">
        <f aca="false">IFERROR(IF($N900="VCA",INDEX(APOIO_REDES!$A:$W,MATCH($C900&amp;$I900&amp;$H900&amp;$N900&amp;$O900,APOIO_REDES!$W:$W,0),MATCH(BC$5,APOIO_REDES!$5:$5,0)),0)*($AI900+$AQ900+$AR900),0)</f>
        <v>0.178828816815076</v>
      </c>
      <c r="BD900" s="153" t="n">
        <f aca="false">IF(AND($N900="VCA",$AF900&gt;=1.25,$AF900&lt;1.5),$M900*$AF900*2,0)</f>
        <v>121.1754</v>
      </c>
      <c r="BE900" s="153" t="n">
        <f aca="false">IF(AND($N900="VCA",$AF900&gt;=1.5,$AF900&lt;3),$M900*$AF900*2,0)</f>
        <v>0</v>
      </c>
      <c r="BF900" s="153" t="n">
        <f aca="false">IF(AND($N900="VCA",$AF900&gt;=3),$M900*$AF900*2,0)</f>
        <v>0</v>
      </c>
      <c r="BG900" s="153" t="n">
        <f aca="false">($BB900+$BC900)*$AK900</f>
        <v>62.456895</v>
      </c>
      <c r="BH900" s="153" t="n">
        <f aca="false">IF(AND($M900&lt;&gt;"",$N900="VCA",$Q900="LINEAR"),($M900*2)/100,IF(AND($M900&lt;&gt;"",$N900="MND",$Q900="EMBOQUE"),($AN900*2)/100,0))</f>
        <v>0.8594</v>
      </c>
      <c r="BI900" s="153" t="n">
        <f aca="false">IF(AND($M900&lt;&gt;"",$N900="VCA",$Q900="LINEAR"),$M900,IF(AND($M900&lt;&gt;"",$N900="MND",$Q900="EMBOQUE"),$AN900*2,0))</f>
        <v>42.97</v>
      </c>
      <c r="BJ900" s="153" t="n">
        <f aca="false">IF(AND($M900&lt;&gt;"",$N900="VCA",$Q900="LINEAR"),($M900*6.8)/100,IF(AND($M900&lt;&gt;"",$N900="MND",$Q900="EMBOQUE"),($AN900*2*6.8)/100,0))</f>
        <v>2.92196</v>
      </c>
      <c r="BK900" s="153" t="n">
        <f aca="false">IF(AND($M900&lt;&gt;"",$N900="VCA",$Q900="LINEAR"),($M900*2.5)/50,IF(AND($M900&lt;&gt;"",$N900="MND",$Q900="EMBOQUE"),($AN900*2*2.5)/50,0))</f>
        <v>2.1485</v>
      </c>
      <c r="BL900" s="157" t="str">
        <f aca="false">K900&amp;J900</f>
        <v>Zona08REDES</v>
      </c>
      <c r="BM900" s="152" t="s">
        <v>4834</v>
      </c>
      <c r="BN900" s="152" t="s">
        <v>1560</v>
      </c>
      <c r="BO900" s="152" t="s">
        <v>2489</v>
      </c>
      <c r="BP900" s="152" t="s">
        <v>4945</v>
      </c>
      <c r="BQ900" s="152" t="s">
        <v>4961</v>
      </c>
      <c r="BR900" s="152" t="s">
        <v>4962</v>
      </c>
      <c r="BS900" s="152" t="n">
        <v>202950.319</v>
      </c>
      <c r="BT900" s="152" t="n">
        <v>8237172.173</v>
      </c>
      <c r="BU900" s="152" t="n">
        <v>202910.024</v>
      </c>
      <c r="BV900" s="152" t="n">
        <v>8237157.242</v>
      </c>
      <c r="BW900" s="152" t="n">
        <v>-15.9269979</v>
      </c>
      <c r="BX900" s="152" t="n">
        <v>-47.7746389</v>
      </c>
      <c r="BY900" s="152" t="s">
        <v>4945</v>
      </c>
    </row>
    <row r="901" customFormat="false" ht="13.8" hidden="false" customHeight="false" outlineLevel="0" collapsed="false">
      <c r="A901" s="149" t="n">
        <f aca="false">IF(C901&lt;&gt;"",ROW(A896),"")</f>
        <v>896</v>
      </c>
      <c r="B901" s="150" t="str">
        <f aca="false">HYPERLINK("https://www.google.com/maps/dir/-15.917302,-47.760003/-15.9274684,-47.7762841/data=!4m3!4m2!3e0!5i2")</f>
        <v>https://www.google.com/maps/dir/-15.917302,-47.760003/-15.9274684,-47.7762841/data=!4m3!4m2!3e0!5i2</v>
      </c>
      <c r="C901" s="151" t="s">
        <v>117</v>
      </c>
      <c r="D901" s="152" t="s">
        <v>112</v>
      </c>
      <c r="E901" s="152" t="s">
        <v>113</v>
      </c>
      <c r="F901" s="152" t="s">
        <v>117</v>
      </c>
      <c r="G901" s="152" t="s">
        <v>782</v>
      </c>
      <c r="H901" s="152" t="n">
        <v>63</v>
      </c>
      <c r="I901" s="152" t="s">
        <v>115</v>
      </c>
      <c r="J901" s="152" t="s">
        <v>6</v>
      </c>
      <c r="K901" s="152" t="s">
        <v>4831</v>
      </c>
      <c r="L901" s="152" t="s">
        <v>120</v>
      </c>
      <c r="M901" s="153" t="n">
        <f aca="false">103.73</f>
        <v>103.73</v>
      </c>
      <c r="N901" s="152" t="s">
        <v>1548</v>
      </c>
      <c r="O901" s="152" t="s">
        <v>1549</v>
      </c>
      <c r="P901" s="152" t="s">
        <v>1550</v>
      </c>
      <c r="Q901" s="152" t="s">
        <v>1551</v>
      </c>
      <c r="R901" s="154" t="s">
        <v>4963</v>
      </c>
      <c r="S901" s="154" t="s">
        <v>1553</v>
      </c>
      <c r="T901" s="155" t="s">
        <v>2487</v>
      </c>
      <c r="U901" s="152" t="str">
        <f aca="false">RIGHT(T901,7)</f>
        <v>011/037</v>
      </c>
      <c r="V901" s="152" t="s">
        <v>1555</v>
      </c>
      <c r="W901" s="156" t="n">
        <v>45882</v>
      </c>
      <c r="X901" s="152" t="s">
        <v>1594</v>
      </c>
      <c r="Y901" s="152"/>
      <c r="Z901" s="152" t="s">
        <v>1557</v>
      </c>
      <c r="AA901" s="153" t="n">
        <v>3.9</v>
      </c>
      <c r="AB901" s="151" t="s">
        <v>4964</v>
      </c>
      <c r="AC901" s="151" t="s">
        <v>186</v>
      </c>
      <c r="AD901" s="151" t="str">
        <f aca="false">CONCATENATE($C901,$I901,$H901,$N901,$J901,$K901)</f>
        <v>TUBO PEADPEAD63VCAREDESZona08</v>
      </c>
      <c r="AE901" s="153" t="n">
        <f aca="false">IFERROR(INDEX(APOIO_REDES!$A:$W,MATCH($C901&amp;$I901&amp;$H901&amp;$N901&amp;$O901,APOIO_REDES!$W:$W,0),MATCH(AE$5,APOIO_REDES!$5:$5,0)),0)</f>
        <v>1.2</v>
      </c>
      <c r="AF901" s="153" t="n">
        <f aca="false">IFERROR(INDEX(APOIO_REDES!$A:$W,MATCH($C901&amp;$I901&amp;$H901&amp;$N901&amp;$O901,APOIO_REDES!$W:$W,0),MATCH(AF$5,APOIO_REDES!$5:$5,0)),0)</f>
        <v>1.363</v>
      </c>
      <c r="AG901" s="153" t="n">
        <f aca="false">IFERROR(INDEX(APOIO_REDES!$A:$W,MATCH($C901&amp;$I901&amp;$H901&amp;$N901&amp;$O901,APOIO_REDES!$W:$W,0),MATCH(AG$5,APOIO_REDES!$5:$5,0)),0)</f>
        <v>0.65</v>
      </c>
      <c r="AH901" s="153" t="n">
        <f aca="false">IFERROR(INDEX(APOIO_REDES!$A:$W,MATCH($C901&amp;$I901&amp;$H901&amp;$N901&amp;$O901,APOIO_REDES!$W:$W,0),MATCH(AH$5,APOIO_REDES!$5:$5,0)),0)</f>
        <v>0.1</v>
      </c>
      <c r="AI901" s="153" t="n">
        <f aca="false">IFERROR(IF($H901&lt;&gt;"",(((($H901/1000)/2)^2)*PI()*$M901),0),0)</f>
        <v>0.323351856060704</v>
      </c>
      <c r="AJ901" s="153" t="n">
        <f aca="false">IFERROR(IF(AND($H901&lt;&gt;"",$I901="FoFo",OR($N901="MND",$N901="VCA"),$Q901="LINEAR"),0,IF(AND($H901&lt;&gt;"",$I901="PEAD",$N901="VCA",$Q901="LINEAR"),($H901/1000)+0.3,IF(AND($H901&lt;&gt;"",$I901="PEAD",$N901="MND",$Q901="EMBOQUE"),0,IF(AND($H901&lt;&gt;"",$I901="PVC",$N901="VCA",$Q901="LINEAR"),($H901/1000)+0.2,IF(AND($H901&lt;&gt;"",$I901="PVC",$N901="MND",$Q901="EMBOQUE"),0,IF(AND($H901&lt;&gt;"",$I901="PEAD",$N901="VCA",$Q901="PREDIAL"),0,0)))))),0)</f>
        <v>0.363</v>
      </c>
      <c r="AK901" s="153" t="n">
        <f aca="false">IF(AA901&lt;&gt;"",AA901,0)</f>
        <v>3.9</v>
      </c>
      <c r="AL901" s="153" t="n">
        <f aca="false">IF(AND($N901="MND",$Q901="EMBOQUE"),$M901,IF(AND($N901="VCA",$Q901="LINEAR"),$M901,IF(AND($N901="VCA",$Q901="PREDIAL"),0,0)))</f>
        <v>103.73</v>
      </c>
      <c r="AM901" s="153" t="n">
        <f aca="false">IF(AND($N901="MND",$Q901="EMBOQUE"),$M901,IF(AND($N901="VCA",$Q901="LINEAR"),$M901,IF(AND($N901="VCA",$Q901="PREDIAL"),0,0)))</f>
        <v>103.73</v>
      </c>
      <c r="AN901" s="153" t="n">
        <f aca="false">ROUND(IF(AND($N901="VCA",$M901&lt;&gt;"",$Q901="LINEAR"),$M901/100,IF(AND($N901="MND",$M901&gt;100,$Q901="EMBOQUE"),$M901/100,0)),0)</f>
        <v>1</v>
      </c>
      <c r="AO901" s="153" t="n">
        <f aca="false">IF(AND($N901="MND",$Q901="EMBOQUE"),$AN901*2*2,IF(AND($N901="VCA",$Q901="LINEAR"),$M901*2,IF(AND($N901="VCA",$Q901="PREDIAL"),0,0)))</f>
        <v>207.46</v>
      </c>
      <c r="AP901" s="153" t="n">
        <f aca="false">IFERROR($M901*$AF901*$AG901,0)</f>
        <v>91.8995935</v>
      </c>
      <c r="AQ901" s="153" t="n">
        <f aca="false">IFERROR(IF(AND($N901="VCA",$AH901&gt;0),$M901*$AG901*$AH901,0),0)</f>
        <v>6.74245</v>
      </c>
      <c r="AR901" s="153" t="n">
        <f aca="false">IFERROR(IF(AND($N901="VCA",$AJ901&gt;0),($M901*$AG901*$AJ901)-$AI901,0),0)</f>
        <v>24.1517416439393</v>
      </c>
      <c r="AS901" s="153" t="n">
        <f aca="false">IFERROR(IF(AND($N901="VCA",$AP901&gt;0),$AP901-$AI901-$AQ901-$AR901,0),0)</f>
        <v>60.68205</v>
      </c>
      <c r="AT901" s="153" t="n">
        <f aca="false">IFERROR(IF($N901="VCA",INDEX(APOIO_REDES!$A:$W,MATCH($C901&amp;$I901&amp;$H901&amp;$N901&amp;$O901,APOIO_REDES!$W:$W,0),MATCH(AT$5,APOIO_REDES!$5:$5,0)),0)*$AP901,0)</f>
        <v>0.99989477817121</v>
      </c>
      <c r="AU901" s="153" t="n">
        <f aca="false">IFERROR(IF($N901="VCA",INDEX(APOIO_REDES!$A:$W,MATCH($C901&amp;$I901&amp;$H901&amp;$N901&amp;$O901,APOIO_REDES!$W:$W,0),MATCH(AU$5,APOIO_REDES!$5:$5,0)),0)*$AP901,0)</f>
        <v>0.798488889262562</v>
      </c>
      <c r="AV901" s="153" t="n">
        <f aca="false">IFERROR(IF($N901="VCA",INDEX(APOIO_REDES!$A:$W,MATCH($C901&amp;$I901&amp;$H901&amp;$N901&amp;$O901,APOIO_REDES!$W:$W,0),MATCH(AV$5,APOIO_REDES!$5:$5,0)),0)*$AP901,0)</f>
        <v>0.110504593890387</v>
      </c>
      <c r="AW901" s="153" t="n">
        <f aca="false">IFERROR(IF($N901="VCA",INDEX(APOIO_REDES!$A:$W,MATCH($C901&amp;$I901&amp;$H901&amp;$N901&amp;$O901,APOIO_REDES!$W:$W,0),MATCH(AW$5,APOIO_REDES!$5:$5,0)),0)*$AP901,0)</f>
        <v>63.0805930511979</v>
      </c>
      <c r="AX901" s="153" t="n">
        <f aca="false">IFERROR(IF($N901="VCA",INDEX(APOIO_REDES!$A:$W,MATCH($C901&amp;$I901&amp;$H901&amp;$N901&amp;$O901,APOIO_REDES!$W:$W,0),MATCH(AX$5,APOIO_REDES!$5:$5,0)),0)*$AP901,0)</f>
        <v>8.73017438981517</v>
      </c>
      <c r="AY901" s="153" t="n">
        <f aca="false">IFERROR(IF($N901="VCA",INDEX(APOIO_REDES!$A:$W,MATCH($C901&amp;$I901&amp;$H901&amp;$N901&amp;$O901,APOIO_REDES!$W:$W,0),MATCH(AY$5,APOIO_REDES!$5:$5,0)),0)*$AP901,0)</f>
        <v>15.9697680517364</v>
      </c>
      <c r="AZ901" s="153" t="n">
        <f aca="false">IFERROR(IF($N901="VCA",INDEX(APOIO_REDES!$A:$W,MATCH($C901&amp;$I901&amp;$H901&amp;$N901&amp;$O901,APOIO_REDES!$W:$W,0),MATCH(AZ$5,APOIO_REDES!$5:$5,0)),0)*$AP901,0)</f>
        <v>2.21016974592639</v>
      </c>
      <c r="BA901" s="153" t="n">
        <f aca="false">IFERROR(IF(AND($N901="VCA",$Q901="LINEAR"),INDEX(APOIO_REDES!$A:$W,MATCH($C901&amp;$I901&amp;$H901&amp;$N901&amp;$O901,APOIO_REDES!$W:$W,0),MATCH(BA$5,APOIO_REDES!$5:$5,0)),IF(AND($N901="MND",$Q901="EMBOQUE"),INDEX(APOIO_REDES!$A:$W,MATCH($C901&amp;$I901&amp;$H901&amp;$N901&amp;$O901,APOIO_REDES!$W:$W,0),MATCH(BA$5,APOIO_REDES!$5:$5,0)),0))*$M901/10,0)</f>
        <v>8.36037634935061</v>
      </c>
      <c r="BB901" s="153" t="n">
        <f aca="false">IFERROR(IF($N901="VCA",INDEX(APOIO_REDES!$A:$W,MATCH($C901&amp;$I901&amp;$H901&amp;$N901&amp;$O901,APOIO_REDES!$W:$W,0),MATCH(BB$5,APOIO_REDES!$5:$5,0)),0)*($AI901+$AQ901+$AR901),0)</f>
        <v>30.8778873867988</v>
      </c>
      <c r="BC901" s="153" t="n">
        <f aca="false">IFERROR(IF($N901="VCA",INDEX(APOIO_REDES!$A:$W,MATCH($C901&amp;$I901&amp;$H901&amp;$N901&amp;$O901,APOIO_REDES!$W:$W,0),MATCH(BC$5,APOIO_REDES!$5:$5,0)),0)*($AI901+$AQ901+$AR901),0)</f>
        <v>0.339656113201225</v>
      </c>
      <c r="BD901" s="153" t="n">
        <f aca="false">IF(AND($N901="VCA",$AF901&gt;=1.25,$AF901&lt;1.5),$M901*$AF901*2,0)</f>
        <v>282.76798</v>
      </c>
      <c r="BE901" s="153" t="n">
        <f aca="false">IF(AND($N901="VCA",$AF901&gt;=1.5,$AF901&lt;3),$M901*$AF901*2,0)</f>
        <v>0</v>
      </c>
      <c r="BF901" s="153" t="n">
        <f aca="false">IF(AND($N901="VCA",$AF901&gt;=3),$M901*$AF901*2,0)</f>
        <v>0</v>
      </c>
      <c r="BG901" s="153" t="n">
        <f aca="false">($BB901+$BC901)*$AK901</f>
        <v>121.74841965</v>
      </c>
      <c r="BH901" s="153" t="n">
        <f aca="false">IF(AND($M901&lt;&gt;"",$N901="VCA",$Q901="LINEAR"),($M901*2)/100,IF(AND($M901&lt;&gt;"",$N901="MND",$Q901="EMBOQUE"),($AN901*2)/100,0))</f>
        <v>2.0746</v>
      </c>
      <c r="BI901" s="153" t="n">
        <f aca="false">IF(AND($M901&lt;&gt;"",$N901="VCA",$Q901="LINEAR"),$M901,IF(AND($M901&lt;&gt;"",$N901="MND",$Q901="EMBOQUE"),$AN901*2,0))</f>
        <v>103.73</v>
      </c>
      <c r="BJ901" s="153" t="n">
        <f aca="false">IF(AND($M901&lt;&gt;"",$N901="VCA",$Q901="LINEAR"),($M901*6.8)/100,IF(AND($M901&lt;&gt;"",$N901="MND",$Q901="EMBOQUE"),($AN901*2*6.8)/100,0))</f>
        <v>7.05364</v>
      </c>
      <c r="BK901" s="153" t="n">
        <f aca="false">IF(AND($M901&lt;&gt;"",$N901="VCA",$Q901="LINEAR"),($M901*2.5)/50,IF(AND($M901&lt;&gt;"",$N901="MND",$Q901="EMBOQUE"),($AN901*2*2.5)/50,0))</f>
        <v>5.1865</v>
      </c>
      <c r="BL901" s="157" t="str">
        <f aca="false">K901&amp;J901</f>
        <v>Zona08REDES</v>
      </c>
      <c r="BM901" s="152" t="s">
        <v>4834</v>
      </c>
      <c r="BN901" s="152" t="s">
        <v>1560</v>
      </c>
      <c r="BO901" s="152" t="s">
        <v>2489</v>
      </c>
      <c r="BP901" s="152" t="s">
        <v>4965</v>
      </c>
      <c r="BQ901" s="152" t="s">
        <v>4913</v>
      </c>
      <c r="BR901" s="152" t="s">
        <v>4966</v>
      </c>
      <c r="BS901" s="152" t="n">
        <v>202754.601</v>
      </c>
      <c r="BT901" s="152" t="n">
        <v>8237110.261</v>
      </c>
      <c r="BU901" s="152" t="n">
        <v>202731.225</v>
      </c>
      <c r="BV901" s="152" t="n">
        <v>8237211.323</v>
      </c>
      <c r="BW901" s="152" t="n">
        <v>-15.9270108</v>
      </c>
      <c r="BX901" s="152" t="n">
        <v>-47.7763869</v>
      </c>
      <c r="BY901" s="152" t="s">
        <v>4965</v>
      </c>
    </row>
    <row r="902" customFormat="false" ht="13.8" hidden="false" customHeight="false" outlineLevel="0" collapsed="false">
      <c r="A902" s="149" t="n">
        <f aca="false">IF(C902&lt;&gt;"",ROW(A897),"")</f>
        <v>897</v>
      </c>
      <c r="B902" s="150" t="str">
        <f aca="false">HYPERLINK("https://www.google.com/maps/dir/-15.917302,-47.760003/-15.9271802,-47.7726632/data=!4m3!4m2!3e0!5i0")</f>
        <v>https://www.google.com/maps/dir/-15.917302,-47.760003/-15.9271802,-47.7726632/data=!4m3!4m2!3e0!5i0</v>
      </c>
      <c r="C902" s="151" t="s">
        <v>117</v>
      </c>
      <c r="D902" s="152" t="s">
        <v>112</v>
      </c>
      <c r="E902" s="152" t="s">
        <v>113</v>
      </c>
      <c r="F902" s="152" t="s">
        <v>117</v>
      </c>
      <c r="G902" s="152" t="s">
        <v>114</v>
      </c>
      <c r="H902" s="152" t="n">
        <v>160</v>
      </c>
      <c r="I902" s="152" t="s">
        <v>115</v>
      </c>
      <c r="J902" s="152" t="s">
        <v>6</v>
      </c>
      <c r="K902" s="152" t="s">
        <v>4831</v>
      </c>
      <c r="L902" s="152" t="s">
        <v>120</v>
      </c>
      <c r="M902" s="153" t="n">
        <f aca="false">22.2</f>
        <v>22.2</v>
      </c>
      <c r="N902" s="152" t="s">
        <v>1548</v>
      </c>
      <c r="O902" s="152" t="s">
        <v>1549</v>
      </c>
      <c r="P902" s="152" t="s">
        <v>1550</v>
      </c>
      <c r="Q902" s="152" t="s">
        <v>1551</v>
      </c>
      <c r="R902" s="154" t="s">
        <v>4967</v>
      </c>
      <c r="S902" s="154" t="s">
        <v>1593</v>
      </c>
      <c r="T902" s="155" t="s">
        <v>2487</v>
      </c>
      <c r="U902" s="152" t="str">
        <f aca="false">RIGHT(T902,7)</f>
        <v>011/037</v>
      </c>
      <c r="V902" s="152" t="s">
        <v>1555</v>
      </c>
      <c r="W902" s="156" t="n">
        <v>45882</v>
      </c>
      <c r="X902" s="152" t="s">
        <v>1594</v>
      </c>
      <c r="Y902" s="152" t="s">
        <v>4968</v>
      </c>
      <c r="Z902" s="152" t="s">
        <v>1557</v>
      </c>
      <c r="AA902" s="153" t="n">
        <v>3.1</v>
      </c>
      <c r="AB902" s="151" t="s">
        <v>4969</v>
      </c>
      <c r="AC902" s="151" t="s">
        <v>505</v>
      </c>
      <c r="AD902" s="151" t="str">
        <f aca="false">CONCATENATE($C902,$I902,$H902,$N902,$J902,$K902)</f>
        <v>TUBO PEADPEAD160VCAREDESZona08</v>
      </c>
      <c r="AE902" s="153" t="n">
        <f aca="false">IFERROR(INDEX(APOIO_REDES!$A:$W,MATCH($C902&amp;$I902&amp;$H902&amp;$N902&amp;$O902,APOIO_REDES!$W:$W,0),MATCH(AE$5,APOIO_REDES!$5:$5,0)),0)</f>
        <v>1.2</v>
      </c>
      <c r="AF902" s="153" t="n">
        <f aca="false">IFERROR(INDEX(APOIO_REDES!$A:$W,MATCH($C902&amp;$I902&amp;$H902&amp;$N902&amp;$O902,APOIO_REDES!$W:$W,0),MATCH(AF$5,APOIO_REDES!$5:$5,0)),0)</f>
        <v>1.46</v>
      </c>
      <c r="AG902" s="153" t="n">
        <f aca="false">IFERROR(INDEX(APOIO_REDES!$A:$W,MATCH($C902&amp;$I902&amp;$H902&amp;$N902&amp;$O902,APOIO_REDES!$W:$W,0),MATCH(AG$5,APOIO_REDES!$5:$5,0)),0)</f>
        <v>0.75</v>
      </c>
      <c r="AH902" s="153" t="n">
        <f aca="false">IFERROR(INDEX(APOIO_REDES!$A:$W,MATCH($C902&amp;$I902&amp;$H902&amp;$N902&amp;$O902,APOIO_REDES!$W:$W,0),MATCH(AH$5,APOIO_REDES!$5:$5,0)),0)</f>
        <v>0.1</v>
      </c>
      <c r="AI902" s="153" t="n">
        <f aca="false">IFERROR(IF($H902&lt;&gt;"",(((($H902/1000)/2)^2)*PI()*$M902),0),0)</f>
        <v>0.446357484222038</v>
      </c>
      <c r="AJ902" s="153" t="n">
        <f aca="false">IFERROR(IF(AND($H902&lt;&gt;"",$I902="FoFo",OR($N902="MND",$N902="VCA"),$Q902="LINEAR"),0,IF(AND($H902&lt;&gt;"",$I902="PEAD",$N902="VCA",$Q902="LINEAR"),($H902/1000)+0.3,IF(AND($H902&lt;&gt;"",$I902="PEAD",$N902="MND",$Q902="EMBOQUE"),0,IF(AND($H902&lt;&gt;"",$I902="PVC",$N902="VCA",$Q902="LINEAR"),($H902/1000)+0.2,IF(AND($H902&lt;&gt;"",$I902="PVC",$N902="MND",$Q902="EMBOQUE"),0,IF(AND($H902&lt;&gt;"",$I902="PEAD",$N902="VCA",$Q902="PREDIAL"),0,0)))))),0)</f>
        <v>0.46</v>
      </c>
      <c r="AK902" s="153" t="n">
        <f aca="false">IF(AA902&lt;&gt;"",AA902,0)</f>
        <v>3.1</v>
      </c>
      <c r="AL902" s="153" t="n">
        <f aca="false">IF(AND($N902="MND",$Q902="EMBOQUE"),$M902,IF(AND($N902="VCA",$Q902="LINEAR"),$M902,IF(AND($N902="VCA",$Q902="PREDIAL"),0,0)))</f>
        <v>22.2</v>
      </c>
      <c r="AM902" s="153" t="n">
        <f aca="false">IF(AND($N902="MND",$Q902="EMBOQUE"),$M902,IF(AND($N902="VCA",$Q902="LINEAR"),$M902,IF(AND($N902="VCA",$Q902="PREDIAL"),0,0)))</f>
        <v>22.2</v>
      </c>
      <c r="AN902" s="153" t="n">
        <f aca="false">ROUND(IF(AND($N902="VCA",$M902&lt;&gt;"",$Q902="LINEAR"),$M902/100,IF(AND($N902="MND",$M902&gt;100,$Q902="EMBOQUE"),$M902/100,0)),0)</f>
        <v>0</v>
      </c>
      <c r="AO902" s="153" t="n">
        <f aca="false">IF(AND($N902="MND",$Q902="EMBOQUE"),$AN902*2*2,IF(AND($N902="VCA",$Q902="LINEAR"),$M902*2,IF(AND($N902="VCA",$Q902="PREDIAL"),0,0)))</f>
        <v>44.4</v>
      </c>
      <c r="AP902" s="153" t="n">
        <f aca="false">IFERROR($M902*$AF902*$AG902,0)</f>
        <v>24.309</v>
      </c>
      <c r="AQ902" s="153" t="n">
        <f aca="false">IFERROR(IF(AND($N902="VCA",$AH902&gt;0),$M902*$AG902*$AH902,0),0)</f>
        <v>1.665</v>
      </c>
      <c r="AR902" s="153" t="n">
        <f aca="false">IFERROR(IF(AND($N902="VCA",$AJ902&gt;0),($M902*$AG902*$AJ902)-$AI902,0),0)</f>
        <v>7.21264251577796</v>
      </c>
      <c r="AS902" s="153" t="n">
        <f aca="false">IFERROR(IF(AND($N902="VCA",$AP902&gt;0),$AP902-$AI902-$AQ902-$AR902,0),0)</f>
        <v>14.985</v>
      </c>
      <c r="AT902" s="153" t="n">
        <f aca="false">IFERROR(IF($N902="VCA",INDEX(APOIO_REDES!$A:$W,MATCH($C902&amp;$I902&amp;$H902&amp;$N902&amp;$O902,APOIO_REDES!$W:$W,0),MATCH(AT$5,APOIO_REDES!$5:$5,0)),0)*$AP902,0)</f>
        <v>0.264489115096727</v>
      </c>
      <c r="AU902" s="153" t="n">
        <f aca="false">IFERROR(IF($N902="VCA",INDEX(APOIO_REDES!$A:$W,MATCH($C902&amp;$I902&amp;$H902&amp;$N902&amp;$O902,APOIO_REDES!$W:$W,0),MATCH(AU$5,APOIO_REDES!$5:$5,0)),0)*$AP902,0)</f>
        <v>0.211213844042559</v>
      </c>
      <c r="AV902" s="153" t="n">
        <f aca="false">IFERROR(IF($N902="VCA",INDEX(APOIO_REDES!$A:$W,MATCH($C902&amp;$I902&amp;$H902&amp;$N902&amp;$O902,APOIO_REDES!$W:$W,0),MATCH(AV$5,APOIO_REDES!$5:$5,0)),0)*$AP902,0)</f>
        <v>0.0292303379218038</v>
      </c>
      <c r="AW902" s="153" t="n">
        <f aca="false">IFERROR(IF($N902="VCA",INDEX(APOIO_REDES!$A:$W,MATCH($C902&amp;$I902&amp;$H902&amp;$N902&amp;$O902,APOIO_REDES!$W:$W,0),MATCH(AW$5,APOIO_REDES!$5:$5,0)),0)*$AP902,0)</f>
        <v>16.6858859553233</v>
      </c>
      <c r="AX902" s="153" t="n">
        <f aca="false">IFERROR(IF($N902="VCA",INDEX(APOIO_REDES!$A:$W,MATCH($C902&amp;$I902&amp;$H902&amp;$N902&amp;$O902,APOIO_REDES!$W:$W,0),MATCH(AX$5,APOIO_REDES!$5:$5,0)),0)*$AP902,0)</f>
        <v>2.3092790855709</v>
      </c>
      <c r="AY902" s="153" t="n">
        <f aca="false">IFERROR(IF($N902="VCA",INDEX(APOIO_REDES!$A:$W,MATCH($C902&amp;$I902&amp;$H902&amp;$N902&amp;$O902,APOIO_REDES!$W:$W,0),MATCH(AY$5,APOIO_REDES!$5:$5,0)),0)*$AP902,0)</f>
        <v>4.22427430617155</v>
      </c>
      <c r="AZ902" s="153" t="n">
        <f aca="false">IFERROR(IF($N902="VCA",INDEX(APOIO_REDES!$A:$W,MATCH($C902&amp;$I902&amp;$H902&amp;$N902&amp;$O902,APOIO_REDES!$W:$W,0),MATCH(AZ$5,APOIO_REDES!$5:$5,0)),0)*$AP902,0)</f>
        <v>0.584627355873175</v>
      </c>
      <c r="BA902" s="153" t="n">
        <f aca="false">IFERROR(IF(AND($N902="VCA",$Q902="LINEAR"),INDEX(APOIO_REDES!$A:$W,MATCH($C902&amp;$I902&amp;$H902&amp;$N902&amp;$O902,APOIO_REDES!$W:$W,0),MATCH(BA$5,APOIO_REDES!$5:$5,0)),IF(AND($N902="MND",$Q902="EMBOQUE"),INDEX(APOIO_REDES!$A:$W,MATCH($C902&amp;$I902&amp;$H902&amp;$N902&amp;$O902,APOIO_REDES!$W:$W,0),MATCH(BA$5,APOIO_REDES!$5:$5,0)),0))*$M902/10,0)</f>
        <v>1.78926400227112</v>
      </c>
      <c r="BB902" s="153" t="n">
        <f aca="false">IFERROR(IF($N902="VCA",INDEX(APOIO_REDES!$A:$W,MATCH($C902&amp;$I902&amp;$H902&amp;$N902&amp;$O902,APOIO_REDES!$W:$W,0),MATCH(BB$5,APOIO_REDES!$5:$5,0)),0)*($AI902+$AQ902+$AR902),0)</f>
        <v>9.22255212023687</v>
      </c>
      <c r="BC902" s="153" t="n">
        <f aca="false">IFERROR(IF($N902="VCA",INDEX(APOIO_REDES!$A:$W,MATCH($C902&amp;$I902&amp;$H902&amp;$N902&amp;$O902,APOIO_REDES!$W:$W,0),MATCH(BC$5,APOIO_REDES!$5:$5,0)),0)*($AI902+$AQ902+$AR902),0)</f>
        <v>0.101447879763128</v>
      </c>
      <c r="BD902" s="153" t="n">
        <f aca="false">IF(AND($N902="VCA",$AF902&gt;=1.25,$AF902&lt;1.5),$M902*$AF902*2,0)</f>
        <v>64.824</v>
      </c>
      <c r="BE902" s="153" t="n">
        <f aca="false">IF(AND($N902="VCA",$AF902&gt;=1.5,$AF902&lt;3),$M902*$AF902*2,0)</f>
        <v>0</v>
      </c>
      <c r="BF902" s="153" t="n">
        <f aca="false">IF(AND($N902="VCA",$AF902&gt;=3),$M902*$AF902*2,0)</f>
        <v>0</v>
      </c>
      <c r="BG902" s="153" t="n">
        <f aca="false">($BB902+$BC902)*$AK902</f>
        <v>28.9044</v>
      </c>
      <c r="BH902" s="153" t="n">
        <f aca="false">IF(AND($M902&lt;&gt;"",$N902="VCA",$Q902="LINEAR"),($M902*2)/100,IF(AND($M902&lt;&gt;"",$N902="MND",$Q902="EMBOQUE"),($AN902*2)/100,0))</f>
        <v>0.444</v>
      </c>
      <c r="BI902" s="153" t="n">
        <f aca="false">IF(AND($M902&lt;&gt;"",$N902="VCA",$Q902="LINEAR"),$M902,IF(AND($M902&lt;&gt;"",$N902="MND",$Q902="EMBOQUE"),$AN902*2,0))</f>
        <v>22.2</v>
      </c>
      <c r="BJ902" s="153" t="n">
        <f aca="false">IF(AND($M902&lt;&gt;"",$N902="VCA",$Q902="LINEAR"),($M902*6.8)/100,IF(AND($M902&lt;&gt;"",$N902="MND",$Q902="EMBOQUE"),($AN902*2*6.8)/100,0))</f>
        <v>1.5096</v>
      </c>
      <c r="BK902" s="153" t="n">
        <f aca="false">IF(AND($M902&lt;&gt;"",$N902="VCA",$Q902="LINEAR"),($M902*2.5)/50,IF(AND($M902&lt;&gt;"",$N902="MND",$Q902="EMBOQUE"),($AN902*2*2.5)/50,0))</f>
        <v>1.11</v>
      </c>
      <c r="BL902" s="157" t="str">
        <f aca="false">K902&amp;J902</f>
        <v>Zona08REDES</v>
      </c>
      <c r="BM902" s="152" t="s">
        <v>4834</v>
      </c>
      <c r="BN902" s="152" t="s">
        <v>1560</v>
      </c>
      <c r="BO902" s="152" t="s">
        <v>2489</v>
      </c>
      <c r="BP902" s="152" t="s">
        <v>4970</v>
      </c>
      <c r="BQ902" s="152" t="s">
        <v>4957</v>
      </c>
      <c r="BR902" s="152" t="s">
        <v>4971</v>
      </c>
      <c r="BS902" s="152" t="n">
        <v>203142.111</v>
      </c>
      <c r="BT902" s="152" t="n">
        <v>8237147.341</v>
      </c>
      <c r="BU902" s="152" t="n">
        <v>203123.846</v>
      </c>
      <c r="BV902" s="152" t="n">
        <v>8237159.953</v>
      </c>
      <c r="BW902" s="152" t="n">
        <v>-15.9271221</v>
      </c>
      <c r="BX902" s="152" t="n">
        <v>-47.7727477</v>
      </c>
      <c r="BY902" s="152" t="s">
        <v>4970</v>
      </c>
    </row>
    <row r="903" customFormat="false" ht="13.8" hidden="false" customHeight="false" outlineLevel="0" collapsed="false">
      <c r="A903" s="149" t="n">
        <f aca="false">IF(C903&lt;&gt;"",ROW(A898),"")</f>
        <v>898</v>
      </c>
      <c r="B903" s="150" t="str">
        <f aca="false">HYPERLINK("https://www.google.com/maps/dir/-15.917302,-47.760003/-15.9270629,-47.7748279/data=!4m3!4m2!3e0!5i2")</f>
        <v>https://www.google.com/maps/dir/-15.917302,-47.760003/-15.9270629,-47.7748279/data=!4m3!4m2!3e0!5i2</v>
      </c>
      <c r="C903" s="151" t="s">
        <v>117</v>
      </c>
      <c r="D903" s="152" t="s">
        <v>112</v>
      </c>
      <c r="E903" s="152" t="s">
        <v>113</v>
      </c>
      <c r="F903" s="152" t="s">
        <v>117</v>
      </c>
      <c r="G903" s="152" t="s">
        <v>782</v>
      </c>
      <c r="H903" s="152" t="n">
        <v>110</v>
      </c>
      <c r="I903" s="152" t="s">
        <v>115</v>
      </c>
      <c r="J903" s="152" t="s">
        <v>6</v>
      </c>
      <c r="K903" s="152" t="s">
        <v>4831</v>
      </c>
      <c r="L903" s="152" t="s">
        <v>120</v>
      </c>
      <c r="M903" s="153" t="n">
        <f aca="false">47.29</f>
        <v>47.29</v>
      </c>
      <c r="N903" s="152" t="s">
        <v>1548</v>
      </c>
      <c r="O903" s="152" t="s">
        <v>1549</v>
      </c>
      <c r="P903" s="152" t="s">
        <v>1550</v>
      </c>
      <c r="Q903" s="152" t="s">
        <v>1551</v>
      </c>
      <c r="R903" s="154" t="s">
        <v>4972</v>
      </c>
      <c r="S903" s="154" t="s">
        <v>1593</v>
      </c>
      <c r="T903" s="155" t="s">
        <v>2487</v>
      </c>
      <c r="U903" s="152" t="str">
        <f aca="false">RIGHT(T903,7)</f>
        <v>011/037</v>
      </c>
      <c r="V903" s="152" t="s">
        <v>1555</v>
      </c>
      <c r="W903" s="156" t="n">
        <v>45882</v>
      </c>
      <c r="X903" s="152" t="s">
        <v>1594</v>
      </c>
      <c r="Y903" s="152" t="s">
        <v>4973</v>
      </c>
      <c r="Z903" s="152" t="s">
        <v>1557</v>
      </c>
      <c r="AA903" s="153" t="n">
        <v>3.9</v>
      </c>
      <c r="AB903" s="151" t="s">
        <v>4974</v>
      </c>
      <c r="AC903" s="151" t="s">
        <v>502</v>
      </c>
      <c r="AD903" s="151" t="str">
        <f aca="false">CONCATENATE($C903,$I903,$H903,$N903,$J903,$K903)</f>
        <v>TUBO PEADPEAD110VCAREDESZona08</v>
      </c>
      <c r="AE903" s="153" t="n">
        <f aca="false">IFERROR(INDEX(APOIO_REDES!$A:$W,MATCH($C903&amp;$I903&amp;$H903&amp;$N903&amp;$O903,APOIO_REDES!$W:$W,0),MATCH(AE$5,APOIO_REDES!$5:$5,0)),0)</f>
        <v>1.2</v>
      </c>
      <c r="AF903" s="153" t="n">
        <f aca="false">IFERROR(INDEX(APOIO_REDES!$A:$W,MATCH($C903&amp;$I903&amp;$H903&amp;$N903&amp;$O903,APOIO_REDES!$W:$W,0),MATCH(AF$5,APOIO_REDES!$5:$5,0)),0)</f>
        <v>1.41</v>
      </c>
      <c r="AG903" s="153" t="n">
        <f aca="false">IFERROR(INDEX(APOIO_REDES!$A:$W,MATCH($C903&amp;$I903&amp;$H903&amp;$N903&amp;$O903,APOIO_REDES!$W:$W,0),MATCH(AG$5,APOIO_REDES!$5:$5,0)),0)</f>
        <v>0.75</v>
      </c>
      <c r="AH903" s="153" t="n">
        <f aca="false">IFERROR(INDEX(APOIO_REDES!$A:$W,MATCH($C903&amp;$I903&amp;$H903&amp;$N903&amp;$O903,APOIO_REDES!$W:$W,0),MATCH(AH$5,APOIO_REDES!$5:$5,0)),0)</f>
        <v>0.1</v>
      </c>
      <c r="AI903" s="153" t="n">
        <f aca="false">IFERROR(IF($H903&lt;&gt;"",(((($H903/1000)/2)^2)*PI()*$M903),0),0)</f>
        <v>0.44941189767949</v>
      </c>
      <c r="AJ903" s="153" t="n">
        <f aca="false">IFERROR(IF(AND($H903&lt;&gt;"",$I903="FoFo",OR($N903="MND",$N903="VCA"),$Q903="LINEAR"),0,IF(AND($H903&lt;&gt;"",$I903="PEAD",$N903="VCA",$Q903="LINEAR"),($H903/1000)+0.3,IF(AND($H903&lt;&gt;"",$I903="PEAD",$N903="MND",$Q903="EMBOQUE"),0,IF(AND($H903&lt;&gt;"",$I903="PVC",$N903="VCA",$Q903="LINEAR"),($H903/1000)+0.2,IF(AND($H903&lt;&gt;"",$I903="PVC",$N903="MND",$Q903="EMBOQUE"),0,IF(AND($H903&lt;&gt;"",$I903="PEAD",$N903="VCA",$Q903="PREDIAL"),0,0)))))),0)</f>
        <v>0.41</v>
      </c>
      <c r="AK903" s="153" t="n">
        <f aca="false">IF(AA903&lt;&gt;"",AA903,0)</f>
        <v>3.9</v>
      </c>
      <c r="AL903" s="153" t="n">
        <f aca="false">IF(AND($N903="MND",$Q903="EMBOQUE"),$M903,IF(AND($N903="VCA",$Q903="LINEAR"),$M903,IF(AND($N903="VCA",$Q903="PREDIAL"),0,0)))</f>
        <v>47.29</v>
      </c>
      <c r="AM903" s="153" t="n">
        <f aca="false">IF(AND($N903="MND",$Q903="EMBOQUE"),$M903,IF(AND($N903="VCA",$Q903="LINEAR"),$M903,IF(AND($N903="VCA",$Q903="PREDIAL"),0,0)))</f>
        <v>47.29</v>
      </c>
      <c r="AN903" s="153" t="n">
        <f aca="false">ROUND(IF(AND($N903="VCA",$M903&lt;&gt;"",$Q903="LINEAR"),$M903/100,IF(AND($N903="MND",$M903&gt;100,$Q903="EMBOQUE"),$M903/100,0)),0)</f>
        <v>0</v>
      </c>
      <c r="AO903" s="153" t="n">
        <f aca="false">IF(AND($N903="MND",$Q903="EMBOQUE"),$AN903*2*2,IF(AND($N903="VCA",$Q903="LINEAR"),$M903*2,IF(AND($N903="VCA",$Q903="PREDIAL"),0,0)))</f>
        <v>94.58</v>
      </c>
      <c r="AP903" s="153" t="n">
        <f aca="false">IFERROR($M903*$AF903*$AG903,0)</f>
        <v>50.009175</v>
      </c>
      <c r="AQ903" s="153" t="n">
        <f aca="false">IFERROR(IF(AND($N903="VCA",$AH903&gt;0),$M903*$AG903*$AH903,0),0)</f>
        <v>3.54675</v>
      </c>
      <c r="AR903" s="153" t="n">
        <f aca="false">IFERROR(IF(AND($N903="VCA",$AJ903&gt;0),($M903*$AG903*$AJ903)-$AI903,0),0)</f>
        <v>14.0922631023205</v>
      </c>
      <c r="AS903" s="153" t="n">
        <f aca="false">IFERROR(IF(AND($N903="VCA",$AP903&gt;0),$AP903-$AI903-$AQ903-$AR903,0),0)</f>
        <v>31.92075</v>
      </c>
      <c r="AT903" s="153" t="n">
        <f aca="false">IFERROR(IF($N903="VCA",INDEX(APOIO_REDES!$A:$W,MATCH($C903&amp;$I903&amp;$H903&amp;$N903&amp;$O903,APOIO_REDES!$W:$W,0),MATCH(AT$5,APOIO_REDES!$5:$5,0)),0)*$AP903,0)</f>
        <v>0.544114625960236</v>
      </c>
      <c r="AU903" s="153" t="n">
        <f aca="false">IFERROR(IF($N903="VCA",INDEX(APOIO_REDES!$A:$W,MATCH($C903&amp;$I903&amp;$H903&amp;$N903&amp;$O903,APOIO_REDES!$W:$W,0),MATCH(AU$5,APOIO_REDES!$5:$5,0)),0)*$AP903,0)</f>
        <v>0.434515203798884</v>
      </c>
      <c r="AV903" s="153" t="n">
        <f aca="false">IFERROR(IF($N903="VCA",INDEX(APOIO_REDES!$A:$W,MATCH($C903&amp;$I903&amp;$H903&amp;$N903&amp;$O903,APOIO_REDES!$W:$W,0),MATCH(AV$5,APOIO_REDES!$5:$5,0)),0)*$AP903,0)</f>
        <v>0.0601334931276739</v>
      </c>
      <c r="AW903" s="153" t="n">
        <f aca="false">IFERROR(IF($N903="VCA",INDEX(APOIO_REDES!$A:$W,MATCH($C903&amp;$I903&amp;$H903&amp;$N903&amp;$O903,APOIO_REDES!$W:$W,0),MATCH(AW$5,APOIO_REDES!$5:$5,0)),0)*$AP903,0)</f>
        <v>34.3266852099965</v>
      </c>
      <c r="AX903" s="153" t="n">
        <f aca="false">IFERROR(IF($N903="VCA",INDEX(APOIO_REDES!$A:$W,MATCH($C903&amp;$I903&amp;$H903&amp;$N903&amp;$O903,APOIO_REDES!$W:$W,0),MATCH(AX$5,APOIO_REDES!$5:$5,0)),0)*$AP903,0)</f>
        <v>4.7507154516498</v>
      </c>
      <c r="AY903" s="153" t="n">
        <f aca="false">IFERROR(IF($N903="VCA",INDEX(APOIO_REDES!$A:$W,MATCH($C903&amp;$I903&amp;$H903&amp;$N903&amp;$O903,APOIO_REDES!$W:$W,0),MATCH(AY$5,APOIO_REDES!$5:$5,0)),0)*$AP903,0)</f>
        <v>8.69029877927256</v>
      </c>
      <c r="AZ903" s="153" t="n">
        <f aca="false">IFERROR(IF($N903="VCA",INDEX(APOIO_REDES!$A:$W,MATCH($C903&amp;$I903&amp;$H903&amp;$N903&amp;$O903,APOIO_REDES!$W:$W,0),MATCH(AZ$5,APOIO_REDES!$5:$5,0)),0)*$AP903,0)</f>
        <v>1.20271223619437</v>
      </c>
      <c r="BA903" s="153" t="n">
        <f aca="false">IFERROR(IF(AND($N903="VCA",$Q903="LINEAR"),INDEX(APOIO_REDES!$A:$W,MATCH($C903&amp;$I903&amp;$H903&amp;$N903&amp;$O903,APOIO_REDES!$W:$W,0),MATCH(BA$5,APOIO_REDES!$5:$5,0)),IF(AND($N903="MND",$Q903="EMBOQUE"),INDEX(APOIO_REDES!$A:$W,MATCH($C903&amp;$I903&amp;$H903&amp;$N903&amp;$O903,APOIO_REDES!$W:$W,0),MATCH(BA$5,APOIO_REDES!$5:$5,0)),0))*$M903/10,0)</f>
        <v>3.81145471474781</v>
      </c>
      <c r="BB903" s="153" t="n">
        <f aca="false">IFERROR(IF($N903="VCA",INDEX(APOIO_REDES!$A:$W,MATCH($C903&amp;$I903&amp;$H903&amp;$N903&amp;$O903,APOIO_REDES!$W:$W,0),MATCH(BB$5,APOIO_REDES!$5:$5,0)),0)*($AI903+$AQ903+$AR903),0)</f>
        <v>17.8916175820995</v>
      </c>
      <c r="BC903" s="153" t="n">
        <f aca="false">IFERROR(IF($N903="VCA",INDEX(APOIO_REDES!$A:$W,MATCH($C903&amp;$I903&amp;$H903&amp;$N903&amp;$O903,APOIO_REDES!$W:$W,0),MATCH(BC$5,APOIO_REDES!$5:$5,0)),0)*($AI903+$AQ903+$AR903),0)</f>
        <v>0.196807417900511</v>
      </c>
      <c r="BD903" s="153" t="n">
        <f aca="false">IF(AND($N903="VCA",$AF903&gt;=1.25,$AF903&lt;1.5),$M903*$AF903*2,0)</f>
        <v>133.3578</v>
      </c>
      <c r="BE903" s="153" t="n">
        <f aca="false">IF(AND($N903="VCA",$AF903&gt;=1.5,$AF903&lt;3),$M903*$AF903*2,0)</f>
        <v>0</v>
      </c>
      <c r="BF903" s="153" t="n">
        <f aca="false">IF(AND($N903="VCA",$AF903&gt;=3),$M903*$AF903*2,0)</f>
        <v>0</v>
      </c>
      <c r="BG903" s="153" t="n">
        <f aca="false">($BB903+$BC903)*$AK903</f>
        <v>70.5448575</v>
      </c>
      <c r="BH903" s="153" t="n">
        <f aca="false">IF(AND($M903&lt;&gt;"",$N903="VCA",$Q903="LINEAR"),($M903*2)/100,IF(AND($M903&lt;&gt;"",$N903="MND",$Q903="EMBOQUE"),($AN903*2)/100,0))</f>
        <v>0.9458</v>
      </c>
      <c r="BI903" s="153" t="n">
        <f aca="false">IF(AND($M903&lt;&gt;"",$N903="VCA",$Q903="LINEAR"),$M903,IF(AND($M903&lt;&gt;"",$N903="MND",$Q903="EMBOQUE"),$AN903*2,0))</f>
        <v>47.29</v>
      </c>
      <c r="BJ903" s="153" t="n">
        <f aca="false">IF(AND($M903&lt;&gt;"",$N903="VCA",$Q903="LINEAR"),($M903*6.8)/100,IF(AND($M903&lt;&gt;"",$N903="MND",$Q903="EMBOQUE"),($AN903*2*6.8)/100,0))</f>
        <v>3.21572</v>
      </c>
      <c r="BK903" s="153" t="n">
        <f aca="false">IF(AND($M903&lt;&gt;"",$N903="VCA",$Q903="LINEAR"),($M903*2.5)/50,IF(AND($M903&lt;&gt;"",$N903="MND",$Q903="EMBOQUE"),($AN903*2*2.5)/50,0))</f>
        <v>2.3645</v>
      </c>
      <c r="BL903" s="157" t="str">
        <f aca="false">K903&amp;J903</f>
        <v>Zona08REDES</v>
      </c>
      <c r="BM903" s="152" t="s">
        <v>4834</v>
      </c>
      <c r="BN903" s="152" t="s">
        <v>1560</v>
      </c>
      <c r="BO903" s="152" t="s">
        <v>2489</v>
      </c>
      <c r="BP903" s="152" t="s">
        <v>4961</v>
      </c>
      <c r="BQ903" s="152" t="s">
        <v>4975</v>
      </c>
      <c r="BR903" s="152" t="s">
        <v>4976</v>
      </c>
      <c r="BS903" s="152" t="n">
        <v>202910.024</v>
      </c>
      <c r="BT903" s="152" t="n">
        <v>8237157.242</v>
      </c>
      <c r="BU903" s="152" t="n">
        <v>202865.01</v>
      </c>
      <c r="BV903" s="152" t="n">
        <v>8237142.772</v>
      </c>
      <c r="BW903" s="152" t="n">
        <v>-15.9271287</v>
      </c>
      <c r="BX903" s="152" t="n">
        <v>-47.7750378</v>
      </c>
      <c r="BY903" s="152" t="s">
        <v>4961</v>
      </c>
    </row>
    <row r="904" customFormat="false" ht="13.8" hidden="false" customHeight="false" outlineLevel="0" collapsed="false">
      <c r="A904" s="149" t="n">
        <f aca="false">IF(C904&lt;&gt;"",ROW(A899),"")</f>
        <v>899</v>
      </c>
      <c r="B904" s="150" t="str">
        <f aca="false">HYPERLINK("https://www.google.com/maps/dir/-15.917302,-47.760003/-15.9266524,-47.7768781/data=!4m3!4m2!3e0!5i2")</f>
        <v>https://www.google.com/maps/dir/-15.917302,-47.760003/-15.9266524,-47.7768781/data=!4m3!4m2!3e0!5i2</v>
      </c>
      <c r="C904" s="151" t="s">
        <v>117</v>
      </c>
      <c r="D904" s="152" t="s">
        <v>112</v>
      </c>
      <c r="E904" s="152" t="s">
        <v>113</v>
      </c>
      <c r="F904" s="152" t="s">
        <v>117</v>
      </c>
      <c r="G904" s="152" t="s">
        <v>782</v>
      </c>
      <c r="H904" s="152" t="n">
        <v>63</v>
      </c>
      <c r="I904" s="152" t="s">
        <v>115</v>
      </c>
      <c r="J904" s="152" t="s">
        <v>6</v>
      </c>
      <c r="K904" s="152" t="s">
        <v>4831</v>
      </c>
      <c r="L904" s="152" t="s">
        <v>120</v>
      </c>
      <c r="M904" s="153" t="n">
        <f aca="false">104.91+1.37</f>
        <v>106.28</v>
      </c>
      <c r="N904" s="152" t="s">
        <v>1548</v>
      </c>
      <c r="O904" s="152" t="s">
        <v>1549</v>
      </c>
      <c r="P904" s="152" t="s">
        <v>1550</v>
      </c>
      <c r="Q904" s="152" t="s">
        <v>1551</v>
      </c>
      <c r="R904" s="154" t="s">
        <v>4977</v>
      </c>
      <c r="S904" s="154" t="s">
        <v>1553</v>
      </c>
      <c r="T904" s="155" t="s">
        <v>2487</v>
      </c>
      <c r="U904" s="152" t="str">
        <f aca="false">RIGHT(T904,7)</f>
        <v>011/037</v>
      </c>
      <c r="V904" s="152" t="s">
        <v>1555</v>
      </c>
      <c r="W904" s="156" t="n">
        <v>45882</v>
      </c>
      <c r="X904" s="152" t="s">
        <v>1594</v>
      </c>
      <c r="Y904" s="152" t="s">
        <v>3516</v>
      </c>
      <c r="Z904" s="152" t="s">
        <v>1557</v>
      </c>
      <c r="AA904" s="153" t="n">
        <v>3.7</v>
      </c>
      <c r="AB904" s="151" t="s">
        <v>4978</v>
      </c>
      <c r="AC904" s="151" t="s">
        <v>186</v>
      </c>
      <c r="AD904" s="151" t="str">
        <f aca="false">CONCATENATE($C904,$I904,$H904,$N904,$J904,$K904)</f>
        <v>TUBO PEADPEAD63VCAREDESZona08</v>
      </c>
      <c r="AE904" s="153" t="n">
        <f aca="false">IFERROR(INDEX(APOIO_REDES!$A:$W,MATCH($C904&amp;$I904&amp;$H904&amp;$N904&amp;$O904,APOIO_REDES!$W:$W,0),MATCH(AE$5,APOIO_REDES!$5:$5,0)),0)</f>
        <v>1.2</v>
      </c>
      <c r="AF904" s="153" t="n">
        <f aca="false">IFERROR(INDEX(APOIO_REDES!$A:$W,MATCH($C904&amp;$I904&amp;$H904&amp;$N904&amp;$O904,APOIO_REDES!$W:$W,0),MATCH(AF$5,APOIO_REDES!$5:$5,0)),0)</f>
        <v>1.363</v>
      </c>
      <c r="AG904" s="153" t="n">
        <f aca="false">IFERROR(INDEX(APOIO_REDES!$A:$W,MATCH($C904&amp;$I904&amp;$H904&amp;$N904&amp;$O904,APOIO_REDES!$W:$W,0),MATCH(AG$5,APOIO_REDES!$5:$5,0)),0)</f>
        <v>0.65</v>
      </c>
      <c r="AH904" s="153" t="n">
        <f aca="false">IFERROR(INDEX(APOIO_REDES!$A:$W,MATCH($C904&amp;$I904&amp;$H904&amp;$N904&amp;$O904,APOIO_REDES!$W:$W,0),MATCH(AH$5,APOIO_REDES!$5:$5,0)),0)</f>
        <v>0.1</v>
      </c>
      <c r="AI904" s="153" t="n">
        <f aca="false">IFERROR(IF($H904&lt;&gt;"",(((($H904/1000)/2)^2)*PI()*$M904),0),0)</f>
        <v>0.331300831602541</v>
      </c>
      <c r="AJ904" s="153" t="n">
        <f aca="false">IFERROR(IF(AND($H904&lt;&gt;"",$I904="FoFo",OR($N904="MND",$N904="VCA"),$Q904="LINEAR"),0,IF(AND($H904&lt;&gt;"",$I904="PEAD",$N904="VCA",$Q904="LINEAR"),($H904/1000)+0.3,IF(AND($H904&lt;&gt;"",$I904="PEAD",$N904="MND",$Q904="EMBOQUE"),0,IF(AND($H904&lt;&gt;"",$I904="PVC",$N904="VCA",$Q904="LINEAR"),($H904/1000)+0.2,IF(AND($H904&lt;&gt;"",$I904="PVC",$N904="MND",$Q904="EMBOQUE"),0,IF(AND($H904&lt;&gt;"",$I904="PEAD",$N904="VCA",$Q904="PREDIAL"),0,0)))))),0)</f>
        <v>0.363</v>
      </c>
      <c r="AK904" s="153" t="n">
        <f aca="false">IF(AA904&lt;&gt;"",AA904,0)</f>
        <v>3.7</v>
      </c>
      <c r="AL904" s="153" t="n">
        <f aca="false">IF(AND($N904="MND",$Q904="EMBOQUE"),$M904,IF(AND($N904="VCA",$Q904="LINEAR"),$M904,IF(AND($N904="VCA",$Q904="PREDIAL"),0,0)))</f>
        <v>106.28</v>
      </c>
      <c r="AM904" s="153" t="n">
        <f aca="false">IF(AND($N904="MND",$Q904="EMBOQUE"),$M904,IF(AND($N904="VCA",$Q904="LINEAR"),$M904,IF(AND($N904="VCA",$Q904="PREDIAL"),0,0)))</f>
        <v>106.28</v>
      </c>
      <c r="AN904" s="153" t="n">
        <f aca="false">ROUND(IF(AND($N904="VCA",$M904&lt;&gt;"",$Q904="LINEAR"),$M904/100,IF(AND($N904="MND",$M904&gt;100,$Q904="EMBOQUE"),$M904/100,0)),0)</f>
        <v>1</v>
      </c>
      <c r="AO904" s="153" t="n">
        <f aca="false">IF(AND($N904="MND",$Q904="EMBOQUE"),$AN904*2*2,IF(AND($N904="VCA",$Q904="LINEAR"),$M904*2,IF(AND($N904="VCA",$Q904="PREDIAL"),0,0)))</f>
        <v>212.56</v>
      </c>
      <c r="AP904" s="153" t="n">
        <f aca="false">IFERROR($M904*$AF904*$AG904,0)</f>
        <v>94.158766</v>
      </c>
      <c r="AQ904" s="153" t="n">
        <f aca="false">IFERROR(IF(AND($N904="VCA",$AH904&gt;0),$M904*$AG904*$AH904,0),0)</f>
        <v>6.9082</v>
      </c>
      <c r="AR904" s="153" t="n">
        <f aca="false">IFERROR(IF(AND($N904="VCA",$AJ904&gt;0),($M904*$AG904*$AJ904)-$AI904,0),0)</f>
        <v>24.7454651683975</v>
      </c>
      <c r="AS904" s="153" t="n">
        <f aca="false">IFERROR(IF(AND($N904="VCA",$AP904&gt;0),$AP904-$AI904-$AQ904-$AR904,0),0)</f>
        <v>62.1738</v>
      </c>
      <c r="AT904" s="153" t="n">
        <f aca="false">IFERROR(IF($N904="VCA",INDEX(APOIO_REDES!$A:$W,MATCH($C904&amp;$I904&amp;$H904&amp;$N904&amp;$O904,APOIO_REDES!$W:$W,0),MATCH(AT$5,APOIO_REDES!$5:$5,0)),0)*$AP904,0)</f>
        <v>1.02447524365214</v>
      </c>
      <c r="AU904" s="153" t="n">
        <f aca="false">IFERROR(IF($N904="VCA",INDEX(APOIO_REDES!$A:$W,MATCH($C904&amp;$I904&amp;$H904&amp;$N904&amp;$O904,APOIO_REDES!$W:$W,0),MATCH(AU$5,APOIO_REDES!$5:$5,0)),0)*$AP904,0)</f>
        <v>0.818118183272198</v>
      </c>
      <c r="AV904" s="153" t="n">
        <f aca="false">IFERROR(IF($N904="VCA",INDEX(APOIO_REDES!$A:$W,MATCH($C904&amp;$I904&amp;$H904&amp;$N904&amp;$O904,APOIO_REDES!$W:$W,0),MATCH(AV$5,APOIO_REDES!$5:$5,0)),0)*$AP904,0)</f>
        <v>0.11322113408532</v>
      </c>
      <c r="AW904" s="153" t="n">
        <f aca="false">IFERROR(IF($N904="VCA",INDEX(APOIO_REDES!$A:$W,MATCH($C904&amp;$I904&amp;$H904&amp;$N904&amp;$O904,APOIO_REDES!$W:$W,0),MATCH(AW$5,APOIO_REDES!$5:$5,0)),0)*$AP904,0)</f>
        <v>64.6313065601206</v>
      </c>
      <c r="AX904" s="153" t="n">
        <f aca="false">IFERROR(IF($N904="VCA",INDEX(APOIO_REDES!$A:$W,MATCH($C904&amp;$I904&amp;$H904&amp;$N904&amp;$O904,APOIO_REDES!$W:$W,0),MATCH(AX$5,APOIO_REDES!$5:$5,0)),0)*$AP904,0)</f>
        <v>8.94478872215903</v>
      </c>
      <c r="AY904" s="153" t="n">
        <f aca="false">IFERROR(IF($N904="VCA",INDEX(APOIO_REDES!$A:$W,MATCH($C904&amp;$I904&amp;$H904&amp;$N904&amp;$O904,APOIO_REDES!$W:$W,0),MATCH(AY$5,APOIO_REDES!$5:$5,0)),0)*$AP904,0)</f>
        <v>16.3623536926496</v>
      </c>
      <c r="AZ904" s="153" t="n">
        <f aca="false">IFERROR(IF($N904="VCA",INDEX(APOIO_REDES!$A:$W,MATCH($C904&amp;$I904&amp;$H904&amp;$N904&amp;$O904,APOIO_REDES!$W:$W,0),MATCH(AZ$5,APOIO_REDES!$5:$5,0)),0)*$AP904,0)</f>
        <v>2.26450246406109</v>
      </c>
      <c r="BA904" s="153" t="n">
        <f aca="false">IFERROR(IF(AND($N904="VCA",$Q904="LINEAR"),INDEX(APOIO_REDES!$A:$W,MATCH($C904&amp;$I904&amp;$H904&amp;$N904&amp;$O904,APOIO_REDES!$W:$W,0),MATCH(BA$5,APOIO_REDES!$5:$5,0)),IF(AND($N904="MND",$Q904="EMBOQUE"),INDEX(APOIO_REDES!$A:$W,MATCH($C904&amp;$I904&amp;$H904&amp;$N904&amp;$O904,APOIO_REDES!$W:$W,0),MATCH(BA$5,APOIO_REDES!$5:$5,0)),0))*$M904/10,0)</f>
        <v>8.56589991717905</v>
      </c>
      <c r="BB904" s="153" t="n">
        <f aca="false">IFERROR(IF($N904="VCA",INDEX(APOIO_REDES!$A:$W,MATCH($C904&amp;$I904&amp;$H904&amp;$N904&amp;$O904,APOIO_REDES!$W:$W,0),MATCH(BB$5,APOIO_REDES!$5:$5,0)),0)*($AI904+$AQ904+$AR904),0)</f>
        <v>31.6369601028533</v>
      </c>
      <c r="BC904" s="153" t="n">
        <f aca="false">IFERROR(IF($N904="VCA",INDEX(APOIO_REDES!$A:$W,MATCH($C904&amp;$I904&amp;$H904&amp;$N904&amp;$O904,APOIO_REDES!$W:$W,0),MATCH(BC$5,APOIO_REDES!$5:$5,0)),0)*($AI904+$AQ904+$AR904),0)</f>
        <v>0.348005897146691</v>
      </c>
      <c r="BD904" s="153" t="n">
        <f aca="false">IF(AND($N904="VCA",$AF904&gt;=1.25,$AF904&lt;1.5),$M904*$AF904*2,0)</f>
        <v>289.71928</v>
      </c>
      <c r="BE904" s="153" t="n">
        <f aca="false">IF(AND($N904="VCA",$AF904&gt;=1.5,$AF904&lt;3),$M904*$AF904*2,0)</f>
        <v>0</v>
      </c>
      <c r="BF904" s="153" t="n">
        <f aca="false">IF(AND($N904="VCA",$AF904&gt;=3),$M904*$AF904*2,0)</f>
        <v>0</v>
      </c>
      <c r="BG904" s="153" t="n">
        <f aca="false">($BB904+$BC904)*$AK904</f>
        <v>118.3443742</v>
      </c>
      <c r="BH904" s="153" t="n">
        <f aca="false">IF(AND($M904&lt;&gt;"",$N904="VCA",$Q904="LINEAR"),($M904*2)/100,IF(AND($M904&lt;&gt;"",$N904="MND",$Q904="EMBOQUE"),($AN904*2)/100,0))</f>
        <v>2.1256</v>
      </c>
      <c r="BI904" s="153" t="n">
        <f aca="false">IF(AND($M904&lt;&gt;"",$N904="VCA",$Q904="LINEAR"),$M904,IF(AND($M904&lt;&gt;"",$N904="MND",$Q904="EMBOQUE"),$AN904*2,0))</f>
        <v>106.28</v>
      </c>
      <c r="BJ904" s="153" t="n">
        <f aca="false">IF(AND($M904&lt;&gt;"",$N904="VCA",$Q904="LINEAR"),($M904*6.8)/100,IF(AND($M904&lt;&gt;"",$N904="MND",$Q904="EMBOQUE"),($AN904*2*6.8)/100,0))</f>
        <v>7.22704</v>
      </c>
      <c r="BK904" s="153" t="n">
        <f aca="false">IF(AND($M904&lt;&gt;"",$N904="VCA",$Q904="LINEAR"),($M904*2.5)/50,IF(AND($M904&lt;&gt;"",$N904="MND",$Q904="EMBOQUE"),($AN904*2*2.5)/50,0))</f>
        <v>5.314</v>
      </c>
      <c r="BL904" s="157" t="str">
        <f aca="false">K904&amp;J904</f>
        <v>Zona08REDES</v>
      </c>
      <c r="BM904" s="152" t="s">
        <v>4834</v>
      </c>
      <c r="BN904" s="152" t="s">
        <v>1560</v>
      </c>
      <c r="BO904" s="152" t="s">
        <v>2489</v>
      </c>
      <c r="BP904" s="152" t="s">
        <v>4927</v>
      </c>
      <c r="BQ904" s="152" t="s">
        <v>4979</v>
      </c>
      <c r="BR904" s="152" t="s">
        <v>4980</v>
      </c>
      <c r="BS904" s="152" t="n">
        <v>202689.494</v>
      </c>
      <c r="BT904" s="152" t="n">
        <v>8237199.714</v>
      </c>
      <c r="BU904" s="152" t="n">
        <v>202712.852</v>
      </c>
      <c r="BV904" s="152" t="n">
        <v>8237097.434</v>
      </c>
      <c r="BW904" s="152" t="n">
        <v>-15.9271161</v>
      </c>
      <c r="BX904" s="152" t="n">
        <v>-47.776778</v>
      </c>
      <c r="BY904" s="152" t="s">
        <v>4927</v>
      </c>
    </row>
    <row r="905" customFormat="false" ht="13.8" hidden="false" customHeight="false" outlineLevel="0" collapsed="false">
      <c r="A905" s="149" t="n">
        <f aca="false">IF(C905&lt;&gt;"",ROW(A900),"")</f>
        <v>900</v>
      </c>
      <c r="B905" s="150" t="str">
        <f aca="false">HYPERLINK("https://www.google.com/maps/dir/-15.917302,-47.760003/-15.9273464,-47.7758551/data=!4m3!4m2!3e0!5i2")</f>
        <v>https://www.google.com/maps/dir/-15.917302,-47.760003/-15.9273464,-47.7758551/data=!4m3!4m2!3e0!5i2</v>
      </c>
      <c r="C905" s="151" t="s">
        <v>117</v>
      </c>
      <c r="D905" s="152" t="s">
        <v>112</v>
      </c>
      <c r="E905" s="152" t="s">
        <v>113</v>
      </c>
      <c r="F905" s="152" t="s">
        <v>117</v>
      </c>
      <c r="G905" s="152" t="s">
        <v>782</v>
      </c>
      <c r="H905" s="152" t="n">
        <v>63</v>
      </c>
      <c r="I905" s="152" t="s">
        <v>115</v>
      </c>
      <c r="J905" s="152" t="s">
        <v>6</v>
      </c>
      <c r="K905" s="152" t="s">
        <v>4831</v>
      </c>
      <c r="L905" s="152" t="s">
        <v>120</v>
      </c>
      <c r="M905" s="153" t="n">
        <f aca="false">47.22</f>
        <v>47.22</v>
      </c>
      <c r="N905" s="152" t="s">
        <v>1548</v>
      </c>
      <c r="O905" s="152" t="s">
        <v>1549</v>
      </c>
      <c r="P905" s="152" t="s">
        <v>1550</v>
      </c>
      <c r="Q905" s="152" t="s">
        <v>1551</v>
      </c>
      <c r="R905" s="154" t="s">
        <v>4981</v>
      </c>
      <c r="S905" s="154" t="s">
        <v>1553</v>
      </c>
      <c r="T905" s="155" t="s">
        <v>2487</v>
      </c>
      <c r="U905" s="152" t="str">
        <f aca="false">RIGHT(T905,7)</f>
        <v>011/037</v>
      </c>
      <c r="V905" s="152" t="s">
        <v>1555</v>
      </c>
      <c r="W905" s="156" t="n">
        <v>45882</v>
      </c>
      <c r="X905" s="152" t="s">
        <v>1594</v>
      </c>
      <c r="Y905" s="152"/>
      <c r="Z905" s="152" t="s">
        <v>1557</v>
      </c>
      <c r="AA905" s="153" t="n">
        <v>3.9</v>
      </c>
      <c r="AB905" s="151" t="s">
        <v>4982</v>
      </c>
      <c r="AC905" s="151" t="s">
        <v>186</v>
      </c>
      <c r="AD905" s="151" t="str">
        <f aca="false">CONCATENATE($C905,$I905,$H905,$N905,$J905,$K905)</f>
        <v>TUBO PEADPEAD63VCAREDESZona08</v>
      </c>
      <c r="AE905" s="153" t="n">
        <f aca="false">IFERROR(INDEX(APOIO_REDES!$A:$W,MATCH($C905&amp;$I905&amp;$H905&amp;$N905&amp;$O905,APOIO_REDES!$W:$W,0),MATCH(AE$5,APOIO_REDES!$5:$5,0)),0)</f>
        <v>1.2</v>
      </c>
      <c r="AF905" s="153" t="n">
        <f aca="false">IFERROR(INDEX(APOIO_REDES!$A:$W,MATCH($C905&amp;$I905&amp;$H905&amp;$N905&amp;$O905,APOIO_REDES!$W:$W,0),MATCH(AF$5,APOIO_REDES!$5:$5,0)),0)</f>
        <v>1.363</v>
      </c>
      <c r="AG905" s="153" t="n">
        <f aca="false">IFERROR(INDEX(APOIO_REDES!$A:$W,MATCH($C905&amp;$I905&amp;$H905&amp;$N905&amp;$O905,APOIO_REDES!$W:$W,0),MATCH(AG$5,APOIO_REDES!$5:$5,0)),0)</f>
        <v>0.65</v>
      </c>
      <c r="AH905" s="153" t="n">
        <f aca="false">IFERROR(INDEX(APOIO_REDES!$A:$W,MATCH($C905&amp;$I905&amp;$H905&amp;$N905&amp;$O905,APOIO_REDES!$W:$W,0),MATCH(AH$5,APOIO_REDES!$5:$5,0)),0)</f>
        <v>0.1</v>
      </c>
      <c r="AI905" s="153" t="n">
        <f aca="false">IFERROR(IF($H905&lt;&gt;"",(((($H905/1000)/2)^2)*PI()*$M905),0),0)</f>
        <v>0.147196323562966</v>
      </c>
      <c r="AJ905" s="153" t="n">
        <f aca="false">IFERROR(IF(AND($H905&lt;&gt;"",$I905="FoFo",OR($N905="MND",$N905="VCA"),$Q905="LINEAR"),0,IF(AND($H905&lt;&gt;"",$I905="PEAD",$N905="VCA",$Q905="LINEAR"),($H905/1000)+0.3,IF(AND($H905&lt;&gt;"",$I905="PEAD",$N905="MND",$Q905="EMBOQUE"),0,IF(AND($H905&lt;&gt;"",$I905="PVC",$N905="VCA",$Q905="LINEAR"),($H905/1000)+0.2,IF(AND($H905&lt;&gt;"",$I905="PVC",$N905="MND",$Q905="EMBOQUE"),0,IF(AND($H905&lt;&gt;"",$I905="PEAD",$N905="VCA",$Q905="PREDIAL"),0,0)))))),0)</f>
        <v>0.363</v>
      </c>
      <c r="AK905" s="153" t="n">
        <f aca="false">IF(AA905&lt;&gt;"",AA905,0)</f>
        <v>3.9</v>
      </c>
      <c r="AL905" s="153" t="n">
        <f aca="false">IF(AND($N905="MND",$Q905="EMBOQUE"),$M905,IF(AND($N905="VCA",$Q905="LINEAR"),$M905,IF(AND($N905="VCA",$Q905="PREDIAL"),0,0)))</f>
        <v>47.22</v>
      </c>
      <c r="AM905" s="153" t="n">
        <f aca="false">IF(AND($N905="MND",$Q905="EMBOQUE"),$M905,IF(AND($N905="VCA",$Q905="LINEAR"),$M905,IF(AND($N905="VCA",$Q905="PREDIAL"),0,0)))</f>
        <v>47.22</v>
      </c>
      <c r="AN905" s="153" t="n">
        <f aca="false">ROUND(IF(AND($N905="VCA",$M905&lt;&gt;"",$Q905="LINEAR"),$M905/100,IF(AND($N905="MND",$M905&gt;100,$Q905="EMBOQUE"),$M905/100,0)),0)</f>
        <v>0</v>
      </c>
      <c r="AO905" s="153" t="n">
        <f aca="false">IF(AND($N905="MND",$Q905="EMBOQUE"),$AN905*2*2,IF(AND($N905="VCA",$Q905="LINEAR"),$M905*2,IF(AND($N905="VCA",$Q905="PREDIAL"),0,0)))</f>
        <v>94.44</v>
      </c>
      <c r="AP905" s="153" t="n">
        <f aca="false">IFERROR($M905*$AF905*$AG905,0)</f>
        <v>41.834559</v>
      </c>
      <c r="AQ905" s="153" t="n">
        <f aca="false">IFERROR(IF(AND($N905="VCA",$AH905&gt;0),$M905*$AG905*$AH905,0),0)</f>
        <v>3.0693</v>
      </c>
      <c r="AR905" s="153" t="n">
        <f aca="false">IFERROR(IF(AND($N905="VCA",$AJ905&gt;0),($M905*$AG905*$AJ905)-$AI905,0),0)</f>
        <v>10.994362676437</v>
      </c>
      <c r="AS905" s="153" t="n">
        <f aca="false">IFERROR(IF(AND($N905="VCA",$AP905&gt;0),$AP905-$AI905-$AQ905-$AR905,0),0)</f>
        <v>27.6237</v>
      </c>
      <c r="AT905" s="153" t="n">
        <f aca="false">IFERROR(IF($N905="VCA",INDEX(APOIO_REDES!$A:$W,MATCH($C905&amp;$I905&amp;$H905&amp;$N905&amp;$O905,APOIO_REDES!$W:$W,0),MATCH(AT$5,APOIO_REDES!$5:$5,0)),0)*$AP905,0)</f>
        <v>0.455172384317406</v>
      </c>
      <c r="AU905" s="153" t="n">
        <f aca="false">IFERROR(IF($N905="VCA",INDEX(APOIO_REDES!$A:$W,MATCH($C905&amp;$I905&amp;$H905&amp;$N905&amp;$O905,APOIO_REDES!$W:$W,0),MATCH(AU$5,APOIO_REDES!$5:$5,0)),0)*$AP905,0)</f>
        <v>0.363488338484317</v>
      </c>
      <c r="AV905" s="153" t="n">
        <f aca="false">IFERROR(IF($N905="VCA",INDEX(APOIO_REDES!$A:$W,MATCH($C905&amp;$I905&amp;$H905&amp;$N905&amp;$O905,APOIO_REDES!$W:$W,0),MATCH(AV$5,APOIO_REDES!$5:$5,0)),0)*$AP905,0)</f>
        <v>0.0503039325508923</v>
      </c>
      <c r="AW905" s="153" t="n">
        <f aca="false">IFERROR(IF($N905="VCA",INDEX(APOIO_REDES!$A:$W,MATCH($C905&amp;$I905&amp;$H905&amp;$N905&amp;$O905,APOIO_REDES!$W:$W,0),MATCH(AW$5,APOIO_REDES!$5:$5,0)),0)*$AP905,0)</f>
        <v>28.7155654475809</v>
      </c>
      <c r="AX905" s="153" t="n">
        <f aca="false">IFERROR(IF($N905="VCA",INDEX(APOIO_REDES!$A:$W,MATCH($C905&amp;$I905&amp;$H905&amp;$N905&amp;$O905,APOIO_REDES!$W:$W,0),MATCH(AX$5,APOIO_REDES!$5:$5,0)),0)*$AP905,0)</f>
        <v>3.97415246010867</v>
      </c>
      <c r="AY905" s="153" t="n">
        <f aca="false">IFERROR(IF($N905="VCA",INDEX(APOIO_REDES!$A:$W,MATCH($C905&amp;$I905&amp;$H905&amp;$N905&amp;$O905,APOIO_REDES!$W:$W,0),MATCH(AY$5,APOIO_REDES!$5:$5,0)),0)*$AP905,0)</f>
        <v>7.26976233879295</v>
      </c>
      <c r="AZ905" s="153" t="n">
        <f aca="false">IFERROR(IF($N905="VCA",INDEX(APOIO_REDES!$A:$W,MATCH($C905&amp;$I905&amp;$H905&amp;$N905&amp;$O905,APOIO_REDES!$W:$W,0),MATCH(AZ$5,APOIO_REDES!$5:$5,0)),0)*$AP905,0)</f>
        <v>1.00611409816489</v>
      </c>
      <c r="BA905" s="153" t="n">
        <f aca="false">IFERROR(IF(AND($N905="VCA",$Q905="LINEAR"),INDEX(APOIO_REDES!$A:$W,MATCH($C905&amp;$I905&amp;$H905&amp;$N905&amp;$O905,APOIO_REDES!$W:$W,0),MATCH(BA$5,APOIO_REDES!$5:$5,0)),IF(AND($N905="MND",$Q905="EMBOQUE"),INDEX(APOIO_REDES!$A:$W,MATCH($C905&amp;$I905&amp;$H905&amp;$N905&amp;$O905,APOIO_REDES!$W:$W,0),MATCH(BA$5,APOIO_REDES!$5:$5,0)),0))*$M905/10,0)</f>
        <v>3.80581289131723</v>
      </c>
      <c r="BB905" s="153" t="n">
        <f aca="false">IFERROR(IF($N905="VCA",INDEX(APOIO_REDES!$A:$W,MATCH($C905&amp;$I905&amp;$H905&amp;$N905&amp;$O905,APOIO_REDES!$W:$W,0),MATCH(BB$5,APOIO_REDES!$5:$5,0)),0)*($AI905+$AQ905+$AR905),0)</f>
        <v>14.0562406478804</v>
      </c>
      <c r="BC905" s="153" t="n">
        <f aca="false">IFERROR(IF($N905="VCA",INDEX(APOIO_REDES!$A:$W,MATCH($C905&amp;$I905&amp;$H905&amp;$N905&amp;$O905,APOIO_REDES!$W:$W,0),MATCH(BC$5,APOIO_REDES!$5:$5,0)),0)*($AI905+$AQ905+$AR905),0)</f>
        <v>0.154618352119559</v>
      </c>
      <c r="BD905" s="153" t="n">
        <f aca="false">IF(AND($N905="VCA",$AF905&gt;=1.25,$AF905&lt;1.5),$M905*$AF905*2,0)</f>
        <v>128.72172</v>
      </c>
      <c r="BE905" s="153" t="n">
        <f aca="false">IF(AND($N905="VCA",$AF905&gt;=1.5,$AF905&lt;3),$M905*$AF905*2,0)</f>
        <v>0</v>
      </c>
      <c r="BF905" s="153" t="n">
        <f aca="false">IF(AND($N905="VCA",$AF905&gt;=3),$M905*$AF905*2,0)</f>
        <v>0</v>
      </c>
      <c r="BG905" s="153" t="n">
        <f aca="false">($BB905+$BC905)*$AK905</f>
        <v>55.4223501</v>
      </c>
      <c r="BH905" s="153" t="n">
        <f aca="false">IF(AND($M905&lt;&gt;"",$N905="VCA",$Q905="LINEAR"),($M905*2)/100,IF(AND($M905&lt;&gt;"",$N905="MND",$Q905="EMBOQUE"),($AN905*2)/100,0))</f>
        <v>0.9444</v>
      </c>
      <c r="BI905" s="153" t="n">
        <f aca="false">IF(AND($M905&lt;&gt;"",$N905="VCA",$Q905="LINEAR"),$M905,IF(AND($M905&lt;&gt;"",$N905="MND",$Q905="EMBOQUE"),$AN905*2,0))</f>
        <v>47.22</v>
      </c>
      <c r="BJ905" s="153" t="n">
        <f aca="false">IF(AND($M905&lt;&gt;"",$N905="VCA",$Q905="LINEAR"),($M905*6.8)/100,IF(AND($M905&lt;&gt;"",$N905="MND",$Q905="EMBOQUE"),($AN905*2*6.8)/100,0))</f>
        <v>3.21096</v>
      </c>
      <c r="BK905" s="153" t="n">
        <f aca="false">IF(AND($M905&lt;&gt;"",$N905="VCA",$Q905="LINEAR"),($M905*2.5)/50,IF(AND($M905&lt;&gt;"",$N905="MND",$Q905="EMBOQUE"),($AN905*2*2.5)/50,0))</f>
        <v>2.361</v>
      </c>
      <c r="BL905" s="157" t="str">
        <f aca="false">K905&amp;J905</f>
        <v>Zona08REDES</v>
      </c>
      <c r="BM905" s="152" t="s">
        <v>4834</v>
      </c>
      <c r="BN905" s="152" t="s">
        <v>1560</v>
      </c>
      <c r="BO905" s="152" t="s">
        <v>2489</v>
      </c>
      <c r="BP905" s="152" t="s">
        <v>4983</v>
      </c>
      <c r="BQ905" s="152" t="s">
        <v>4941</v>
      </c>
      <c r="BR905" s="152" t="s">
        <v>4984</v>
      </c>
      <c r="BS905" s="152" t="n">
        <v>202800.66</v>
      </c>
      <c r="BT905" s="152" t="n">
        <v>8237124.469</v>
      </c>
      <c r="BU905" s="152" t="n">
        <v>202790.9</v>
      </c>
      <c r="BV905" s="152" t="n">
        <v>8237170.667</v>
      </c>
      <c r="BW905" s="152" t="n">
        <v>-15.9271365</v>
      </c>
      <c r="BX905" s="152" t="n">
        <v>-47.7758952</v>
      </c>
      <c r="BY905" s="152" t="s">
        <v>4983</v>
      </c>
    </row>
    <row r="906" customFormat="false" ht="13.8" hidden="false" customHeight="false" outlineLevel="0" collapsed="false">
      <c r="A906" s="149" t="n">
        <f aca="false">IF(C906&lt;&gt;"",ROW(A901),"")</f>
        <v>901</v>
      </c>
      <c r="B906" s="150" t="str">
        <f aca="false">HYPERLINK("https://www.google.com/maps/dir/-15.917302,-47.760003/-15.9267260,-47.7772929/data=!4m3!4m2!3e0!5i2")</f>
        <v>https://www.google.com/maps/dir/-15.917302,-47.760003/-15.9267260,-47.7772929/data=!4m3!4m2!3e0!5i2</v>
      </c>
      <c r="C906" s="151" t="s">
        <v>117</v>
      </c>
      <c r="D906" s="152" t="s">
        <v>112</v>
      </c>
      <c r="E906" s="152" t="s">
        <v>113</v>
      </c>
      <c r="F906" s="152" t="s">
        <v>117</v>
      </c>
      <c r="G906" s="152" t="s">
        <v>782</v>
      </c>
      <c r="H906" s="152" t="n">
        <v>63</v>
      </c>
      <c r="I906" s="152" t="s">
        <v>115</v>
      </c>
      <c r="J906" s="152" t="s">
        <v>6</v>
      </c>
      <c r="K906" s="152" t="s">
        <v>4831</v>
      </c>
      <c r="L906" s="152" t="s">
        <v>120</v>
      </c>
      <c r="M906" s="153" t="n">
        <f aca="false">109.4+0.28</f>
        <v>109.68</v>
      </c>
      <c r="N906" s="152" t="s">
        <v>1548</v>
      </c>
      <c r="O906" s="152" t="s">
        <v>1549</v>
      </c>
      <c r="P906" s="152" t="s">
        <v>1550</v>
      </c>
      <c r="Q906" s="152" t="s">
        <v>1551</v>
      </c>
      <c r="R906" s="154" t="s">
        <v>4985</v>
      </c>
      <c r="S906" s="154" t="s">
        <v>1553</v>
      </c>
      <c r="T906" s="155" t="s">
        <v>2487</v>
      </c>
      <c r="U906" s="152" t="str">
        <f aca="false">RIGHT(T906,7)</f>
        <v>011/037</v>
      </c>
      <c r="V906" s="152" t="s">
        <v>1555</v>
      </c>
      <c r="W906" s="156" t="n">
        <v>45882</v>
      </c>
      <c r="X906" s="152" t="s">
        <v>1594</v>
      </c>
      <c r="Y906" s="152" t="s">
        <v>3516</v>
      </c>
      <c r="Z906" s="152" t="s">
        <v>1557</v>
      </c>
      <c r="AA906" s="153" t="n">
        <v>4</v>
      </c>
      <c r="AB906" s="151" t="s">
        <v>4986</v>
      </c>
      <c r="AC906" s="151" t="s">
        <v>186</v>
      </c>
      <c r="AD906" s="151" t="str">
        <f aca="false">CONCATENATE($C906,$I906,$H906,$N906,$J906,$K906)</f>
        <v>TUBO PEADPEAD63VCAREDESZona08</v>
      </c>
      <c r="AE906" s="153" t="n">
        <f aca="false">IFERROR(INDEX(APOIO_REDES!$A:$W,MATCH($C906&amp;$I906&amp;$H906&amp;$N906&amp;$O906,APOIO_REDES!$W:$W,0),MATCH(AE$5,APOIO_REDES!$5:$5,0)),0)</f>
        <v>1.2</v>
      </c>
      <c r="AF906" s="153" t="n">
        <f aca="false">IFERROR(INDEX(APOIO_REDES!$A:$W,MATCH($C906&amp;$I906&amp;$H906&amp;$N906&amp;$O906,APOIO_REDES!$W:$W,0),MATCH(AF$5,APOIO_REDES!$5:$5,0)),0)</f>
        <v>1.363</v>
      </c>
      <c r="AG906" s="153" t="n">
        <f aca="false">IFERROR(INDEX(APOIO_REDES!$A:$W,MATCH($C906&amp;$I906&amp;$H906&amp;$N906&amp;$O906,APOIO_REDES!$W:$W,0),MATCH(AG$5,APOIO_REDES!$5:$5,0)),0)</f>
        <v>0.65</v>
      </c>
      <c r="AH906" s="153" t="n">
        <f aca="false">IFERROR(INDEX(APOIO_REDES!$A:$W,MATCH($C906&amp;$I906&amp;$H906&amp;$N906&amp;$O906,APOIO_REDES!$W:$W,0),MATCH(AH$5,APOIO_REDES!$5:$5,0)),0)</f>
        <v>0.1</v>
      </c>
      <c r="AI906" s="153" t="n">
        <f aca="false">IFERROR(IF($H906&lt;&gt;"",(((($H906/1000)/2)^2)*PI()*$M906),0),0)</f>
        <v>0.341899465658324</v>
      </c>
      <c r="AJ906" s="153" t="n">
        <f aca="false">IFERROR(IF(AND($H906&lt;&gt;"",$I906="FoFo",OR($N906="MND",$N906="VCA"),$Q906="LINEAR"),0,IF(AND($H906&lt;&gt;"",$I906="PEAD",$N906="VCA",$Q906="LINEAR"),($H906/1000)+0.3,IF(AND($H906&lt;&gt;"",$I906="PEAD",$N906="MND",$Q906="EMBOQUE"),0,IF(AND($H906&lt;&gt;"",$I906="PVC",$N906="VCA",$Q906="LINEAR"),($H906/1000)+0.2,IF(AND($H906&lt;&gt;"",$I906="PVC",$N906="MND",$Q906="EMBOQUE"),0,IF(AND($H906&lt;&gt;"",$I906="PEAD",$N906="VCA",$Q906="PREDIAL"),0,0)))))),0)</f>
        <v>0.363</v>
      </c>
      <c r="AK906" s="153" t="n">
        <f aca="false">IF(AA906&lt;&gt;"",AA906,0)</f>
        <v>4</v>
      </c>
      <c r="AL906" s="153" t="n">
        <f aca="false">IF(AND($N906="MND",$Q906="EMBOQUE"),$M906,IF(AND($N906="VCA",$Q906="LINEAR"),$M906,IF(AND($N906="VCA",$Q906="PREDIAL"),0,0)))</f>
        <v>109.68</v>
      </c>
      <c r="AM906" s="153" t="n">
        <f aca="false">IF(AND($N906="MND",$Q906="EMBOQUE"),$M906,IF(AND($N906="VCA",$Q906="LINEAR"),$M906,IF(AND($N906="VCA",$Q906="PREDIAL"),0,0)))</f>
        <v>109.68</v>
      </c>
      <c r="AN906" s="153" t="n">
        <f aca="false">ROUND(IF(AND($N906="VCA",$M906&lt;&gt;"",$Q906="LINEAR"),$M906/100,IF(AND($N906="MND",$M906&gt;100,$Q906="EMBOQUE"),$M906/100,0)),0)</f>
        <v>1</v>
      </c>
      <c r="AO906" s="153" t="n">
        <f aca="false">IF(AND($N906="MND",$Q906="EMBOQUE"),$AN906*2*2,IF(AND($N906="VCA",$Q906="LINEAR"),$M906*2,IF(AND($N906="VCA",$Q906="PREDIAL"),0,0)))</f>
        <v>219.36</v>
      </c>
      <c r="AP906" s="153" t="n">
        <f aca="false">IFERROR($M906*$AF906*$AG906,0)</f>
        <v>97.170996</v>
      </c>
      <c r="AQ906" s="153" t="n">
        <f aca="false">IFERROR(IF(AND($N906="VCA",$AH906&gt;0),$M906*$AG906*$AH906,0),0)</f>
        <v>7.1292</v>
      </c>
      <c r="AR906" s="153" t="n">
        <f aca="false">IFERROR(IF(AND($N906="VCA",$AJ906&gt;0),($M906*$AG906*$AJ906)-$AI906,0),0)</f>
        <v>25.5370965343417</v>
      </c>
      <c r="AS906" s="153" t="n">
        <f aca="false">IFERROR(IF(AND($N906="VCA",$AP906&gt;0),$AP906-$AI906-$AQ906-$AR906,0),0)</f>
        <v>64.1628</v>
      </c>
      <c r="AT906" s="153" t="n">
        <f aca="false">IFERROR(IF($N906="VCA",INDEX(APOIO_REDES!$A:$W,MATCH($C906&amp;$I906&amp;$H906&amp;$N906&amp;$O906,APOIO_REDES!$W:$W,0),MATCH(AT$5,APOIO_REDES!$5:$5,0)),0)*$AP906,0)</f>
        <v>1.05724919762671</v>
      </c>
      <c r="AU906" s="153" t="n">
        <f aca="false">IFERROR(IF($N906="VCA",INDEX(APOIO_REDES!$A:$W,MATCH($C906&amp;$I906&amp;$H906&amp;$N906&amp;$O906,APOIO_REDES!$W:$W,0),MATCH(AU$5,APOIO_REDES!$5:$5,0)),0)*$AP906,0)</f>
        <v>0.844290575285046</v>
      </c>
      <c r="AV906" s="153" t="n">
        <f aca="false">IFERROR(IF($N906="VCA",INDEX(APOIO_REDES!$A:$W,MATCH($C906&amp;$I906&amp;$H906&amp;$N906&amp;$O906,APOIO_REDES!$W:$W,0),MATCH(AV$5,APOIO_REDES!$5:$5,0)),0)*$AP906,0)</f>
        <v>0.116843187678566</v>
      </c>
      <c r="AW906" s="153" t="n">
        <f aca="false">IFERROR(IF($N906="VCA",INDEX(APOIO_REDES!$A:$W,MATCH($C906&amp;$I906&amp;$H906&amp;$N906&amp;$O906,APOIO_REDES!$W:$W,0),MATCH(AW$5,APOIO_REDES!$5:$5,0)),0)*$AP906,0)</f>
        <v>66.6989245720176</v>
      </c>
      <c r="AX906" s="153" t="n">
        <f aca="false">IFERROR(IF($N906="VCA",INDEX(APOIO_REDES!$A:$W,MATCH($C906&amp;$I906&amp;$H906&amp;$N906&amp;$O906,APOIO_REDES!$W:$W,0),MATCH(AX$5,APOIO_REDES!$5:$5,0)),0)*$AP906,0)</f>
        <v>9.23094116528418</v>
      </c>
      <c r="AY906" s="153" t="n">
        <f aca="false">IFERROR(IF($N906="VCA",INDEX(APOIO_REDES!$A:$W,MATCH($C906&amp;$I906&amp;$H906&amp;$N906&amp;$O906,APOIO_REDES!$W:$W,0),MATCH(AY$5,APOIO_REDES!$5:$5,0)),0)*$AP906,0)</f>
        <v>16.8858012138672</v>
      </c>
      <c r="AZ906" s="153" t="n">
        <f aca="false">IFERROR(IF($N906="VCA",INDEX(APOIO_REDES!$A:$W,MATCH($C906&amp;$I906&amp;$H906&amp;$N906&amp;$O906,APOIO_REDES!$W:$W,0),MATCH(AZ$5,APOIO_REDES!$5:$5,0)),0)*$AP906,0)</f>
        <v>2.33694608824069</v>
      </c>
      <c r="BA906" s="153" t="n">
        <f aca="false">IFERROR(IF(AND($N906="VCA",$Q906="LINEAR"),INDEX(APOIO_REDES!$A:$W,MATCH($C906&amp;$I906&amp;$H906&amp;$N906&amp;$O906,APOIO_REDES!$W:$W,0),MATCH(BA$5,APOIO_REDES!$5:$5,0)),IF(AND($N906="MND",$Q906="EMBOQUE"),INDEX(APOIO_REDES!$A:$W,MATCH($C906&amp;$I906&amp;$H906&amp;$N906&amp;$O906,APOIO_REDES!$W:$W,0),MATCH(BA$5,APOIO_REDES!$5:$5,0)),0))*$M906/10,0)</f>
        <v>8.8399313409503</v>
      </c>
      <c r="BB906" s="153" t="n">
        <f aca="false">IFERROR(IF($N906="VCA",INDEX(APOIO_REDES!$A:$W,MATCH($C906&amp;$I906&amp;$H906&amp;$N906&amp;$O906,APOIO_REDES!$W:$W,0),MATCH(BB$5,APOIO_REDES!$5:$5,0)),0)*($AI906+$AQ906+$AR906),0)</f>
        <v>32.6490570575927</v>
      </c>
      <c r="BC906" s="153" t="n">
        <f aca="false">IFERROR(IF($N906="VCA",INDEX(APOIO_REDES!$A:$W,MATCH($C906&amp;$I906&amp;$H906&amp;$N906&amp;$O906,APOIO_REDES!$W:$W,0),MATCH(BC$5,APOIO_REDES!$5:$5,0)),0)*($AI906+$AQ906+$AR906),0)</f>
        <v>0.359138942407311</v>
      </c>
      <c r="BD906" s="153" t="n">
        <f aca="false">IF(AND($N906="VCA",$AF906&gt;=1.25,$AF906&lt;1.5),$M906*$AF906*2,0)</f>
        <v>298.98768</v>
      </c>
      <c r="BE906" s="153" t="n">
        <f aca="false">IF(AND($N906="VCA",$AF906&gt;=1.5,$AF906&lt;3),$M906*$AF906*2,0)</f>
        <v>0</v>
      </c>
      <c r="BF906" s="153" t="n">
        <f aca="false">IF(AND($N906="VCA",$AF906&gt;=3),$M906*$AF906*2,0)</f>
        <v>0</v>
      </c>
      <c r="BG906" s="153" t="n">
        <f aca="false">($BB906+$BC906)*$AK906</f>
        <v>132.032784</v>
      </c>
      <c r="BH906" s="153" t="n">
        <f aca="false">IF(AND($M906&lt;&gt;"",$N906="VCA",$Q906="LINEAR"),($M906*2)/100,IF(AND($M906&lt;&gt;"",$N906="MND",$Q906="EMBOQUE"),($AN906*2)/100,0))</f>
        <v>2.1936</v>
      </c>
      <c r="BI906" s="153" t="n">
        <f aca="false">IF(AND($M906&lt;&gt;"",$N906="VCA",$Q906="LINEAR"),$M906,IF(AND($M906&lt;&gt;"",$N906="MND",$Q906="EMBOQUE"),$AN906*2,0))</f>
        <v>109.68</v>
      </c>
      <c r="BJ906" s="153" t="n">
        <f aca="false">IF(AND($M906&lt;&gt;"",$N906="VCA",$Q906="LINEAR"),($M906*6.8)/100,IF(AND($M906&lt;&gt;"",$N906="MND",$Q906="EMBOQUE"),($AN906*2*6.8)/100,0))</f>
        <v>7.45824</v>
      </c>
      <c r="BK906" s="153" t="n">
        <f aca="false">IF(AND($M906&lt;&gt;"",$N906="VCA",$Q906="LINEAR"),($M906*2.5)/50,IF(AND($M906&lt;&gt;"",$N906="MND",$Q906="EMBOQUE"),($AN906*2*2.5)/50,0))</f>
        <v>5.484</v>
      </c>
      <c r="BL906" s="157" t="str">
        <f aca="false">K906&amp;J906</f>
        <v>Zona08REDES</v>
      </c>
      <c r="BM906" s="152" t="s">
        <v>4834</v>
      </c>
      <c r="BN906" s="152" t="s">
        <v>1560</v>
      </c>
      <c r="BO906" s="152" t="s">
        <v>2489</v>
      </c>
      <c r="BP906" s="152" t="s">
        <v>4890</v>
      </c>
      <c r="BQ906" s="152" t="s">
        <v>4987</v>
      </c>
      <c r="BR906" s="152" t="s">
        <v>4988</v>
      </c>
      <c r="BS906" s="152" t="n">
        <v>202645.635</v>
      </c>
      <c r="BT906" s="152" t="n">
        <v>8237190.992</v>
      </c>
      <c r="BU906" s="152" t="n">
        <v>202668.931</v>
      </c>
      <c r="BV906" s="152" t="n">
        <v>8237084.102</v>
      </c>
      <c r="BW906" s="152" t="n">
        <v>-15.9272104</v>
      </c>
      <c r="BX906" s="152" t="n">
        <v>-47.7771889</v>
      </c>
      <c r="BY906" s="152" t="s">
        <v>4890</v>
      </c>
    </row>
    <row r="907" customFormat="false" ht="13.8" hidden="false" customHeight="false" outlineLevel="0" collapsed="false">
      <c r="A907" s="149" t="n">
        <f aca="false">IF(C907&lt;&gt;"",ROW(A902),"")</f>
        <v>902</v>
      </c>
      <c r="B907" s="150" t="str">
        <f aca="false">HYPERLINK("https://www.google.com/maps/dir/-15.917302,-47.760003/-15.9271882,-47.7752497/data=!4m3!4m2!3e0!5i2")</f>
        <v>https://www.google.com/maps/dir/-15.917302,-47.760003/-15.9271882,-47.7752497/data=!4m3!4m2!3e0!5i2</v>
      </c>
      <c r="C907" s="151" t="s">
        <v>117</v>
      </c>
      <c r="D907" s="152" t="s">
        <v>112</v>
      </c>
      <c r="E907" s="152" t="s">
        <v>113</v>
      </c>
      <c r="F907" s="152" t="s">
        <v>117</v>
      </c>
      <c r="G907" s="152" t="s">
        <v>782</v>
      </c>
      <c r="H907" s="152" t="n">
        <v>110</v>
      </c>
      <c r="I907" s="152" t="s">
        <v>115</v>
      </c>
      <c r="J907" s="152" t="s">
        <v>6</v>
      </c>
      <c r="K907" s="152" t="s">
        <v>4831</v>
      </c>
      <c r="L907" s="152" t="s">
        <v>120</v>
      </c>
      <c r="M907" s="153" t="n">
        <f aca="false">66+0.26</f>
        <v>66.26</v>
      </c>
      <c r="N907" s="152" t="s">
        <v>1548</v>
      </c>
      <c r="O907" s="152" t="s">
        <v>1549</v>
      </c>
      <c r="P907" s="152" t="s">
        <v>1550</v>
      </c>
      <c r="Q907" s="152" t="s">
        <v>1551</v>
      </c>
      <c r="R907" s="154" t="s">
        <v>4989</v>
      </c>
      <c r="S907" s="154" t="s">
        <v>1593</v>
      </c>
      <c r="T907" s="155" t="s">
        <v>2487</v>
      </c>
      <c r="U907" s="152" t="str">
        <f aca="false">RIGHT(T907,7)</f>
        <v>011/037</v>
      </c>
      <c r="V907" s="152" t="s">
        <v>1555</v>
      </c>
      <c r="W907" s="156" t="n">
        <v>45882</v>
      </c>
      <c r="X907" s="152" t="s">
        <v>1594</v>
      </c>
      <c r="Y907" s="152" t="s">
        <v>4973</v>
      </c>
      <c r="Z907" s="152" t="s">
        <v>1557</v>
      </c>
      <c r="AA907" s="153" t="n">
        <v>3.9</v>
      </c>
      <c r="AB907" s="151" t="s">
        <v>4990</v>
      </c>
      <c r="AC907" s="151" t="s">
        <v>502</v>
      </c>
      <c r="AD907" s="151" t="str">
        <f aca="false">CONCATENATE($C907,$I907,$H907,$N907,$J907,$K907)</f>
        <v>TUBO PEADPEAD110VCAREDESZona08</v>
      </c>
      <c r="AE907" s="153" t="n">
        <f aca="false">IFERROR(INDEX(APOIO_REDES!$A:$W,MATCH($C907&amp;$I907&amp;$H907&amp;$N907&amp;$O907,APOIO_REDES!$W:$W,0),MATCH(AE$5,APOIO_REDES!$5:$5,0)),0)</f>
        <v>1.2</v>
      </c>
      <c r="AF907" s="153" t="n">
        <f aca="false">IFERROR(INDEX(APOIO_REDES!$A:$W,MATCH($C907&amp;$I907&amp;$H907&amp;$N907&amp;$O907,APOIO_REDES!$W:$W,0),MATCH(AF$5,APOIO_REDES!$5:$5,0)),0)</f>
        <v>1.41</v>
      </c>
      <c r="AG907" s="153" t="n">
        <f aca="false">IFERROR(INDEX(APOIO_REDES!$A:$W,MATCH($C907&amp;$I907&amp;$H907&amp;$N907&amp;$O907,APOIO_REDES!$W:$W,0),MATCH(AG$5,APOIO_REDES!$5:$5,0)),0)</f>
        <v>0.75</v>
      </c>
      <c r="AH907" s="153" t="n">
        <f aca="false">IFERROR(INDEX(APOIO_REDES!$A:$W,MATCH($C907&amp;$I907&amp;$H907&amp;$N907&amp;$O907,APOIO_REDES!$W:$W,0),MATCH(AH$5,APOIO_REDES!$5:$5,0)),0)</f>
        <v>0.1</v>
      </c>
      <c r="AI907" s="153" t="n">
        <f aca="false">IFERROR(IF($H907&lt;&gt;"",(((($H907/1000)/2)^2)*PI()*$M907),0),0)</f>
        <v>0.629689835911251</v>
      </c>
      <c r="AJ907" s="153" t="n">
        <f aca="false">IFERROR(IF(AND($H907&lt;&gt;"",$I907="FoFo",OR($N907="MND",$N907="VCA"),$Q907="LINEAR"),0,IF(AND($H907&lt;&gt;"",$I907="PEAD",$N907="VCA",$Q907="LINEAR"),($H907/1000)+0.3,IF(AND($H907&lt;&gt;"",$I907="PEAD",$N907="MND",$Q907="EMBOQUE"),0,IF(AND($H907&lt;&gt;"",$I907="PVC",$N907="VCA",$Q907="LINEAR"),($H907/1000)+0.2,IF(AND($H907&lt;&gt;"",$I907="PVC",$N907="MND",$Q907="EMBOQUE"),0,IF(AND($H907&lt;&gt;"",$I907="PEAD",$N907="VCA",$Q907="PREDIAL"),0,0)))))),0)</f>
        <v>0.41</v>
      </c>
      <c r="AK907" s="153" t="n">
        <f aca="false">IF(AA907&lt;&gt;"",AA907,0)</f>
        <v>3.9</v>
      </c>
      <c r="AL907" s="153" t="n">
        <f aca="false">IF(AND($N907="MND",$Q907="EMBOQUE"),$M907,IF(AND($N907="VCA",$Q907="LINEAR"),$M907,IF(AND($N907="VCA",$Q907="PREDIAL"),0,0)))</f>
        <v>66.26</v>
      </c>
      <c r="AM907" s="153" t="n">
        <f aca="false">IF(AND($N907="MND",$Q907="EMBOQUE"),$M907,IF(AND($N907="VCA",$Q907="LINEAR"),$M907,IF(AND($N907="VCA",$Q907="PREDIAL"),0,0)))</f>
        <v>66.26</v>
      </c>
      <c r="AN907" s="153" t="n">
        <f aca="false">ROUND(IF(AND($N907="VCA",$M907&lt;&gt;"",$Q907="LINEAR"),$M907/100,IF(AND($N907="MND",$M907&gt;100,$Q907="EMBOQUE"),$M907/100,0)),0)</f>
        <v>1</v>
      </c>
      <c r="AO907" s="153" t="n">
        <f aca="false">IF(AND($N907="MND",$Q907="EMBOQUE"),$AN907*2*2,IF(AND($N907="VCA",$Q907="LINEAR"),$M907*2,IF(AND($N907="VCA",$Q907="PREDIAL"),0,0)))</f>
        <v>132.52</v>
      </c>
      <c r="AP907" s="153" t="n">
        <f aca="false">IFERROR($M907*$AF907*$AG907,0)</f>
        <v>70.06995</v>
      </c>
      <c r="AQ907" s="153" t="n">
        <f aca="false">IFERROR(IF(AND($N907="VCA",$AH907&gt;0),$M907*$AG907*$AH907,0),0)</f>
        <v>4.9695</v>
      </c>
      <c r="AR907" s="153" t="n">
        <f aca="false">IFERROR(IF(AND($N907="VCA",$AJ907&gt;0),($M907*$AG907*$AJ907)-$AI907,0),0)</f>
        <v>19.7452601640888</v>
      </c>
      <c r="AS907" s="153" t="n">
        <f aca="false">IFERROR(IF(AND($N907="VCA",$AP907&gt;0),$AP907-$AI907-$AQ907-$AR907,0),0)</f>
        <v>44.7255</v>
      </c>
      <c r="AT907" s="153" t="n">
        <f aca="false">IFERROR(IF($N907="VCA",INDEX(APOIO_REDES!$A:$W,MATCH($C907&amp;$I907&amp;$H907&amp;$N907&amp;$O907,APOIO_REDES!$W:$W,0),MATCH(AT$5,APOIO_REDES!$5:$5,0)),0)*$AP907,0)</f>
        <v>0.762381795646547</v>
      </c>
      <c r="AU907" s="153" t="n">
        <f aca="false">IFERROR(IF($N907="VCA",INDEX(APOIO_REDES!$A:$W,MATCH($C907&amp;$I907&amp;$H907&amp;$N907&amp;$O907,APOIO_REDES!$W:$W,0),MATCH(AU$5,APOIO_REDES!$5:$5,0)),0)*$AP907,0)</f>
        <v>0.608817454085727</v>
      </c>
      <c r="AV907" s="153" t="n">
        <f aca="false">IFERROR(IF($N907="VCA",INDEX(APOIO_REDES!$A:$W,MATCH($C907&amp;$I907&amp;$H907&amp;$N907&amp;$O907,APOIO_REDES!$W:$W,0),MATCH(AV$5,APOIO_REDES!$5:$5,0)),0)*$AP907,0)</f>
        <v>0.0842555562410588</v>
      </c>
      <c r="AW907" s="153" t="n">
        <f aca="false">IFERROR(IF($N907="VCA",INDEX(APOIO_REDES!$A:$W,MATCH($C907&amp;$I907&amp;$H907&amp;$N907&amp;$O907,APOIO_REDES!$W:$W,0),MATCH(AW$5,APOIO_REDES!$5:$5,0)),0)*$AP907,0)</f>
        <v>48.0965566084662</v>
      </c>
      <c r="AX907" s="153" t="n">
        <f aca="false">IFERROR(IF($N907="VCA",INDEX(APOIO_REDES!$A:$W,MATCH($C907&amp;$I907&amp;$H907&amp;$N907&amp;$O907,APOIO_REDES!$W:$W,0),MATCH(AX$5,APOIO_REDES!$5:$5,0)),0)*$AP907,0)</f>
        <v>6.65642642897686</v>
      </c>
      <c r="AY907" s="153" t="n">
        <f aca="false">IFERROR(IF($N907="VCA",INDEX(APOIO_REDES!$A:$W,MATCH($C907&amp;$I907&amp;$H907&amp;$N907&amp;$O907,APOIO_REDES!$W:$W,0),MATCH(AY$5,APOIO_REDES!$5:$5,0)),0)*$AP907,0)</f>
        <v>12.1763416602791</v>
      </c>
      <c r="AZ907" s="153" t="n">
        <f aca="false">IFERROR(IF($N907="VCA",INDEX(APOIO_REDES!$A:$W,MATCH($C907&amp;$I907&amp;$H907&amp;$N907&amp;$O907,APOIO_REDES!$W:$W,0),MATCH(AZ$5,APOIO_REDES!$5:$5,0)),0)*$AP907,0)</f>
        <v>1.68517049630448</v>
      </c>
      <c r="BA907" s="153" t="n">
        <f aca="false">IFERROR(IF(AND($N907="VCA",$Q907="LINEAR"),INDEX(APOIO_REDES!$A:$W,MATCH($C907&amp;$I907&amp;$H907&amp;$N907&amp;$O907,APOIO_REDES!$W:$W,0),MATCH(BA$5,APOIO_REDES!$5:$5,0)),IF(AND($N907="MND",$Q907="EMBOQUE"),INDEX(APOIO_REDES!$A:$W,MATCH($C907&amp;$I907&amp;$H907&amp;$N907&amp;$O907,APOIO_REDES!$W:$W,0),MATCH(BA$5,APOIO_REDES!$5:$5,0)),0))*$M907/10,0)</f>
        <v>5.34038886443624</v>
      </c>
      <c r="BB907" s="153" t="n">
        <f aca="false">IFERROR(IF($N907="VCA",INDEX(APOIO_REDES!$A:$W,MATCH($C907&amp;$I907&amp;$H907&amp;$N907&amp;$O907,APOIO_REDES!$W:$W,0),MATCH(BB$5,APOIO_REDES!$5:$5,0)),0)*($AI907+$AQ907+$AR907),0)</f>
        <v>25.0686948824257</v>
      </c>
      <c r="BC907" s="153" t="n">
        <f aca="false">IFERROR(IF($N907="VCA",INDEX(APOIO_REDES!$A:$W,MATCH($C907&amp;$I907&amp;$H907&amp;$N907&amp;$O907,APOIO_REDES!$W:$W,0),MATCH(BC$5,APOIO_REDES!$5:$5,0)),0)*($AI907+$AQ907+$AR907),0)</f>
        <v>0.275755117574283</v>
      </c>
      <c r="BD907" s="153" t="n">
        <f aca="false">IF(AND($N907="VCA",$AF907&gt;=1.25,$AF907&lt;1.5),$M907*$AF907*2,0)</f>
        <v>186.8532</v>
      </c>
      <c r="BE907" s="153" t="n">
        <f aca="false">IF(AND($N907="VCA",$AF907&gt;=1.5,$AF907&lt;3),$M907*$AF907*2,0)</f>
        <v>0</v>
      </c>
      <c r="BF907" s="153" t="n">
        <f aca="false">IF(AND($N907="VCA",$AF907&gt;=3),$M907*$AF907*2,0)</f>
        <v>0</v>
      </c>
      <c r="BG907" s="153" t="n">
        <f aca="false">($BB907+$BC907)*$AK907</f>
        <v>98.843355</v>
      </c>
      <c r="BH907" s="153" t="n">
        <f aca="false">IF(AND($M907&lt;&gt;"",$N907="VCA",$Q907="LINEAR"),($M907*2)/100,IF(AND($M907&lt;&gt;"",$N907="MND",$Q907="EMBOQUE"),($AN907*2)/100,0))</f>
        <v>1.3252</v>
      </c>
      <c r="BI907" s="153" t="n">
        <f aca="false">IF(AND($M907&lt;&gt;"",$N907="VCA",$Q907="LINEAR"),$M907,IF(AND($M907&lt;&gt;"",$N907="MND",$Q907="EMBOQUE"),$AN907*2,0))</f>
        <v>66.26</v>
      </c>
      <c r="BJ907" s="153" t="n">
        <f aca="false">IF(AND($M907&lt;&gt;"",$N907="VCA",$Q907="LINEAR"),($M907*6.8)/100,IF(AND($M907&lt;&gt;"",$N907="MND",$Q907="EMBOQUE"),($AN907*2*6.8)/100,0))</f>
        <v>4.50568</v>
      </c>
      <c r="BK907" s="153" t="n">
        <f aca="false">IF(AND($M907&lt;&gt;"",$N907="VCA",$Q907="LINEAR"),($M907*2.5)/50,IF(AND($M907&lt;&gt;"",$N907="MND",$Q907="EMBOQUE"),($AN907*2*2.5)/50,0))</f>
        <v>3.313</v>
      </c>
      <c r="BL907" s="157" t="str">
        <f aca="false">K907&amp;J907</f>
        <v>Zona08REDES</v>
      </c>
      <c r="BM907" s="152" t="s">
        <v>4834</v>
      </c>
      <c r="BN907" s="152" t="s">
        <v>1560</v>
      </c>
      <c r="BO907" s="152" t="s">
        <v>2489</v>
      </c>
      <c r="BP907" s="152" t="s">
        <v>4975</v>
      </c>
      <c r="BQ907" s="152" t="s">
        <v>4991</v>
      </c>
      <c r="BR907" s="152" t="s">
        <v>4992</v>
      </c>
      <c r="BS907" s="152" t="n">
        <v>202865.01</v>
      </c>
      <c r="BT907" s="152" t="n">
        <v>8237142.772</v>
      </c>
      <c r="BU907" s="152" t="n">
        <v>202801.538</v>
      </c>
      <c r="BV907" s="152" t="n">
        <v>8237124.701</v>
      </c>
      <c r="BW907" s="152" t="n">
        <v>-15.9272668</v>
      </c>
      <c r="BX907" s="152" t="n">
        <v>-47.7755468</v>
      </c>
      <c r="BY907" s="152" t="s">
        <v>4975</v>
      </c>
    </row>
    <row r="908" customFormat="false" ht="13.8" hidden="false" customHeight="false" outlineLevel="0" collapsed="false">
      <c r="A908" s="149" t="n">
        <f aca="false">IF(C908&lt;&gt;"",ROW(A903),"")</f>
        <v>903</v>
      </c>
      <c r="B908" s="150" t="str">
        <f aca="false">HYPERLINK("https://www.google.com/maps/dir/-15.917302,-47.760003/-15.9273464,-47.7758551/data=!4m3!4m2!3e0!5i2")</f>
        <v>https://www.google.com/maps/dir/-15.917302,-47.760003/-15.9273464,-47.7758551/data=!4m3!4m2!3e0!5i2</v>
      </c>
      <c r="C908" s="151" t="s">
        <v>117</v>
      </c>
      <c r="D908" s="152" t="s">
        <v>112</v>
      </c>
      <c r="E908" s="152" t="s">
        <v>113</v>
      </c>
      <c r="F908" s="152" t="s">
        <v>117</v>
      </c>
      <c r="G908" s="152" t="s">
        <v>782</v>
      </c>
      <c r="H908" s="152" t="n">
        <v>63</v>
      </c>
      <c r="I908" s="152" t="s">
        <v>115</v>
      </c>
      <c r="J908" s="152" t="s">
        <v>6</v>
      </c>
      <c r="K908" s="152" t="s">
        <v>4831</v>
      </c>
      <c r="L908" s="152" t="s">
        <v>120</v>
      </c>
      <c r="M908" s="153" t="n">
        <f aca="false">0.71</f>
        <v>0.71</v>
      </c>
      <c r="N908" s="152" t="s">
        <v>1548</v>
      </c>
      <c r="O908" s="152" t="s">
        <v>1549</v>
      </c>
      <c r="P908" s="152" t="s">
        <v>1550</v>
      </c>
      <c r="Q908" s="152" t="s">
        <v>1551</v>
      </c>
      <c r="R908" s="154" t="s">
        <v>4993</v>
      </c>
      <c r="S908" s="154" t="s">
        <v>1553</v>
      </c>
      <c r="T908" s="155" t="s">
        <v>2487</v>
      </c>
      <c r="U908" s="152" t="str">
        <f aca="false">RIGHT(T908,7)</f>
        <v>011/037</v>
      </c>
      <c r="V908" s="152" t="s">
        <v>1555</v>
      </c>
      <c r="W908" s="156" t="n">
        <v>45882</v>
      </c>
      <c r="X908" s="152" t="s">
        <v>1594</v>
      </c>
      <c r="Y908" s="152"/>
      <c r="Z908" s="152" t="s">
        <v>1557</v>
      </c>
      <c r="AA908" s="153" t="n">
        <v>3.9</v>
      </c>
      <c r="AB908" s="151" t="s">
        <v>4994</v>
      </c>
      <c r="AC908" s="151" t="s">
        <v>186</v>
      </c>
      <c r="AD908" s="151" t="str">
        <f aca="false">CONCATENATE($C908,$I908,$H908,$N908,$J908,$K908)</f>
        <v>TUBO PEADPEAD63VCAREDESZona08</v>
      </c>
      <c r="AE908" s="153" t="n">
        <f aca="false">IFERROR(INDEX(APOIO_REDES!$A:$W,MATCH($C908&amp;$I908&amp;$H908&amp;$N908&amp;$O908,APOIO_REDES!$W:$W,0),MATCH(AE$5,APOIO_REDES!$5:$5,0)),0)</f>
        <v>1.2</v>
      </c>
      <c r="AF908" s="153" t="n">
        <f aca="false">IFERROR(INDEX(APOIO_REDES!$A:$W,MATCH($C908&amp;$I908&amp;$H908&amp;$N908&amp;$O908,APOIO_REDES!$W:$W,0),MATCH(AF$5,APOIO_REDES!$5:$5,0)),0)</f>
        <v>1.363</v>
      </c>
      <c r="AG908" s="153" t="n">
        <f aca="false">IFERROR(INDEX(APOIO_REDES!$A:$W,MATCH($C908&amp;$I908&amp;$H908&amp;$N908&amp;$O908,APOIO_REDES!$W:$W,0),MATCH(AG$5,APOIO_REDES!$5:$5,0)),0)</f>
        <v>0.65</v>
      </c>
      <c r="AH908" s="153" t="n">
        <f aca="false">IFERROR(INDEX(APOIO_REDES!$A:$W,MATCH($C908&amp;$I908&amp;$H908&amp;$N908&amp;$O908,APOIO_REDES!$W:$W,0),MATCH(AH$5,APOIO_REDES!$5:$5,0)),0)</f>
        <v>0.1</v>
      </c>
      <c r="AI908" s="153" t="n">
        <f aca="false">IFERROR(IF($H908&lt;&gt;"",(((($H908/1000)/2)^2)*PI()*$M908),0),0)</f>
        <v>0.00221324417047238</v>
      </c>
      <c r="AJ908" s="153" t="n">
        <f aca="false">IFERROR(IF(AND($H908&lt;&gt;"",$I908="FoFo",OR($N908="MND",$N908="VCA"),$Q908="LINEAR"),0,IF(AND($H908&lt;&gt;"",$I908="PEAD",$N908="VCA",$Q908="LINEAR"),($H908/1000)+0.3,IF(AND($H908&lt;&gt;"",$I908="PEAD",$N908="MND",$Q908="EMBOQUE"),0,IF(AND($H908&lt;&gt;"",$I908="PVC",$N908="VCA",$Q908="LINEAR"),($H908/1000)+0.2,IF(AND($H908&lt;&gt;"",$I908="PVC",$N908="MND",$Q908="EMBOQUE"),0,IF(AND($H908&lt;&gt;"",$I908="PEAD",$N908="VCA",$Q908="PREDIAL"),0,0)))))),0)</f>
        <v>0.363</v>
      </c>
      <c r="AK908" s="153" t="n">
        <f aca="false">IF(AA908&lt;&gt;"",AA908,0)</f>
        <v>3.9</v>
      </c>
      <c r="AL908" s="153" t="n">
        <f aca="false">IF(AND($N908="MND",$Q908="EMBOQUE"),$M908,IF(AND($N908="VCA",$Q908="LINEAR"),$M908,IF(AND($N908="VCA",$Q908="PREDIAL"),0,0)))</f>
        <v>0.71</v>
      </c>
      <c r="AM908" s="153" t="n">
        <f aca="false">IF(AND($N908="MND",$Q908="EMBOQUE"),$M908,IF(AND($N908="VCA",$Q908="LINEAR"),$M908,IF(AND($N908="VCA",$Q908="PREDIAL"),0,0)))</f>
        <v>0.71</v>
      </c>
      <c r="AN908" s="153" t="n">
        <f aca="false">ROUND(IF(AND($N908="VCA",$M908&lt;&gt;"",$Q908="LINEAR"),$M908/100,IF(AND($N908="MND",$M908&gt;100,$Q908="EMBOQUE"),$M908/100,0)),0)</f>
        <v>0</v>
      </c>
      <c r="AO908" s="153" t="n">
        <f aca="false">IF(AND($N908="MND",$Q908="EMBOQUE"),$AN908*2*2,IF(AND($N908="VCA",$Q908="LINEAR"),$M908*2,IF(AND($N908="VCA",$Q908="PREDIAL"),0,0)))</f>
        <v>1.42</v>
      </c>
      <c r="AP908" s="153" t="n">
        <f aca="false">IFERROR($M908*$AF908*$AG908,0)</f>
        <v>0.6290245</v>
      </c>
      <c r="AQ908" s="153" t="n">
        <f aca="false">IFERROR(IF(AND($N908="VCA",$AH908&gt;0),$M908*$AG908*$AH908,0),0)</f>
        <v>0.04615</v>
      </c>
      <c r="AR908" s="153" t="n">
        <f aca="false">IFERROR(IF(AND($N908="VCA",$AJ908&gt;0),($M908*$AG908*$AJ908)-$AI908,0),0)</f>
        <v>0.165311255829528</v>
      </c>
      <c r="AS908" s="153" t="n">
        <f aca="false">IFERROR(IF(AND($N908="VCA",$AP908&gt;0),$AP908-$AI908-$AQ908-$AR908,0),0)</f>
        <v>0.41535</v>
      </c>
      <c r="AT908" s="153" t="n">
        <f aca="false">IFERROR(IF($N908="VCA",INDEX(APOIO_REDES!$A:$W,MATCH($C908&amp;$I908&amp;$H908&amp;$N908&amp;$O908,APOIO_REDES!$W:$W,0),MATCH(AT$5,APOIO_REDES!$5:$5,0)),0)*$AP908,0)</f>
        <v>0.00684397274174837</v>
      </c>
      <c r="AU908" s="153" t="n">
        <f aca="false">IFERROR(IF($N908="VCA",INDEX(APOIO_REDES!$A:$W,MATCH($C908&amp;$I908&amp;$H908&amp;$N908&amp;$O908,APOIO_REDES!$W:$W,0),MATCH(AU$5,APOIO_REDES!$5:$5,0)),0)*$AP908,0)</f>
        <v>0.00546541127327117</v>
      </c>
      <c r="AV908" s="153" t="n">
        <f aca="false">IFERROR(IF($N908="VCA",INDEX(APOIO_REDES!$A:$W,MATCH($C908&amp;$I908&amp;$H908&amp;$N908&amp;$O908,APOIO_REDES!$W:$W,0),MATCH(AV$5,APOIO_REDES!$5:$5,0)),0)*$AP908,0)</f>
        <v>0.000756370015060006</v>
      </c>
      <c r="AW908" s="153" t="n">
        <f aca="false">IFERROR(IF($N908="VCA",INDEX(APOIO_REDES!$A:$W,MATCH($C908&amp;$I908&amp;$H908&amp;$N908&amp;$O908,APOIO_REDES!$W:$W,0),MATCH(AW$5,APOIO_REDES!$5:$5,0)),0)*$AP908,0)</f>
        <v>0.431767290719662</v>
      </c>
      <c r="AX908" s="153" t="n">
        <f aca="false">IFERROR(IF($N908="VCA",INDEX(APOIO_REDES!$A:$W,MATCH($C908&amp;$I908&amp;$H908&amp;$N908&amp;$O908,APOIO_REDES!$W:$W,0),MATCH(AX$5,APOIO_REDES!$5:$5,0)),0)*$AP908,0)</f>
        <v>0.0597553631231926</v>
      </c>
      <c r="AY908" s="153" t="n">
        <f aca="false">IFERROR(IF($N908="VCA",INDEX(APOIO_REDES!$A:$W,MATCH($C908&amp;$I908&amp;$H908&amp;$N908&amp;$O908,APOIO_REDES!$W:$W,0),MATCH(AY$5,APOIO_REDES!$5:$5,0)),0)*$AP908,0)</f>
        <v>0.109308158842503</v>
      </c>
      <c r="AZ908" s="153" t="n">
        <f aca="false">IFERROR(IF($N908="VCA",INDEX(APOIO_REDES!$A:$W,MATCH($C908&amp;$I908&amp;$H908&amp;$N908&amp;$O908,APOIO_REDES!$W:$W,0),MATCH(AZ$5,APOIO_REDES!$5:$5,0)),0)*$AP908,0)</f>
        <v>0.0151279332845632</v>
      </c>
      <c r="BA908" s="153" t="n">
        <f aca="false">IFERROR(IF(AND($N908="VCA",$Q908="LINEAR"),INDEX(APOIO_REDES!$A:$W,MATCH($C908&amp;$I908&amp;$H908&amp;$N908&amp;$O908,APOIO_REDES!$W:$W,0),MATCH(BA$5,APOIO_REDES!$5:$5,0)),IF(AND($N908="MND",$Q908="EMBOQUE"),INDEX(APOIO_REDES!$A:$W,MATCH($C908&amp;$I908&amp;$H908&amp;$N908&amp;$O908,APOIO_REDES!$W:$W,0),MATCH(BA$5,APOIO_REDES!$5:$5,0)),0))*$M908/10,0)</f>
        <v>0.057224209081644</v>
      </c>
      <c r="BB908" s="153" t="n">
        <f aca="false">IFERROR(IF($N908="VCA",INDEX(APOIO_REDES!$A:$W,MATCH($C908&amp;$I908&amp;$H908&amp;$N908&amp;$O908,APOIO_REDES!$W:$W,0),MATCH(BB$5,APOIO_REDES!$5:$5,0)),0)*($AI908+$AQ908+$AR908),0)</f>
        <v>0.211349658195576</v>
      </c>
      <c r="BC908" s="153" t="n">
        <f aca="false">IFERROR(IF($N908="VCA",INDEX(APOIO_REDES!$A:$W,MATCH($C908&amp;$I908&amp;$H908&amp;$N908&amp;$O908,APOIO_REDES!$W:$W,0),MATCH(BC$5,APOIO_REDES!$5:$5,0)),0)*($AI908+$AQ908+$AR908),0)</f>
        <v>0.0023248418044237</v>
      </c>
      <c r="BD908" s="153" t="n">
        <f aca="false">IF(AND($N908="VCA",$AF908&gt;=1.25,$AF908&lt;1.5),$M908*$AF908*2,0)</f>
        <v>1.93546</v>
      </c>
      <c r="BE908" s="153" t="n">
        <f aca="false">IF(AND($N908="VCA",$AF908&gt;=1.5,$AF908&lt;3),$M908*$AF908*2,0)</f>
        <v>0</v>
      </c>
      <c r="BF908" s="153" t="n">
        <f aca="false">IF(AND($N908="VCA",$AF908&gt;=3),$M908*$AF908*2,0)</f>
        <v>0</v>
      </c>
      <c r="BG908" s="153" t="n">
        <f aca="false">($BB908+$BC908)*$AK908</f>
        <v>0.83333055</v>
      </c>
      <c r="BH908" s="153" t="n">
        <f aca="false">IF(AND($M908&lt;&gt;"",$N908="VCA",$Q908="LINEAR"),($M908*2)/100,IF(AND($M908&lt;&gt;"",$N908="MND",$Q908="EMBOQUE"),($AN908*2)/100,0))</f>
        <v>0.0142</v>
      </c>
      <c r="BI908" s="153" t="n">
        <f aca="false">IF(AND($M908&lt;&gt;"",$N908="VCA",$Q908="LINEAR"),$M908,IF(AND($M908&lt;&gt;"",$N908="MND",$Q908="EMBOQUE"),$AN908*2,0))</f>
        <v>0.71</v>
      </c>
      <c r="BJ908" s="153" t="n">
        <f aca="false">IF(AND($M908&lt;&gt;"",$N908="VCA",$Q908="LINEAR"),($M908*6.8)/100,IF(AND($M908&lt;&gt;"",$N908="MND",$Q908="EMBOQUE"),($AN908*2*6.8)/100,0))</f>
        <v>0.04828</v>
      </c>
      <c r="BK908" s="153" t="n">
        <f aca="false">IF(AND($M908&lt;&gt;"",$N908="VCA",$Q908="LINEAR"),($M908*2.5)/50,IF(AND($M908&lt;&gt;"",$N908="MND",$Q908="EMBOQUE"),($AN908*2*2.5)/50,0))</f>
        <v>0.0355</v>
      </c>
      <c r="BL908" s="157" t="str">
        <f aca="false">K908&amp;J908</f>
        <v>Zona08REDES</v>
      </c>
      <c r="BM908" s="152" t="s">
        <v>4834</v>
      </c>
      <c r="BN908" s="152" t="s">
        <v>1560</v>
      </c>
      <c r="BO908" s="152" t="s">
        <v>2489</v>
      </c>
      <c r="BP908" s="152" t="s">
        <v>4983</v>
      </c>
      <c r="BQ908" s="152" t="s">
        <v>4991</v>
      </c>
      <c r="BR908" s="152" t="s">
        <v>4995</v>
      </c>
      <c r="BS908" s="152" t="n">
        <v>202800.66</v>
      </c>
      <c r="BT908" s="152" t="n">
        <v>8237124.469</v>
      </c>
      <c r="BU908" s="152" t="n">
        <v>202801.347</v>
      </c>
      <c r="BV908" s="152" t="n">
        <v>8237124.648</v>
      </c>
      <c r="BW908" s="152" t="n">
        <v>-15.9273449</v>
      </c>
      <c r="BX908" s="152" t="n">
        <v>-47.7758493</v>
      </c>
      <c r="BY908" s="152" t="s">
        <v>4983</v>
      </c>
    </row>
    <row r="909" customFormat="false" ht="13.8" hidden="false" customHeight="false" outlineLevel="0" collapsed="false">
      <c r="A909" s="149" t="n">
        <f aca="false">IF(C909&lt;&gt;"",ROW(A904),"")</f>
        <v>904</v>
      </c>
      <c r="B909" s="150" t="str">
        <f aca="false">HYPERLINK("https://www.google.com/maps/dir/-15.917302,-47.760003/-15.9269329,-47.7744500/data=!4m3!4m2!3e0!5i2")</f>
        <v>https://www.google.com/maps/dir/-15.917302,-47.760003/-15.9269329,-47.7744500/data=!4m3!4m2!3e0!5i2</v>
      </c>
      <c r="C909" s="151" t="s">
        <v>117</v>
      </c>
      <c r="D909" s="152" t="s">
        <v>112</v>
      </c>
      <c r="E909" s="152" t="s">
        <v>113</v>
      </c>
      <c r="F909" s="152" t="s">
        <v>117</v>
      </c>
      <c r="G909" s="152" t="s">
        <v>782</v>
      </c>
      <c r="H909" s="152" t="n">
        <v>63</v>
      </c>
      <c r="I909" s="152" t="s">
        <v>115</v>
      </c>
      <c r="J909" s="152" t="s">
        <v>6</v>
      </c>
      <c r="K909" s="152" t="s">
        <v>4831</v>
      </c>
      <c r="L909" s="152" t="s">
        <v>120</v>
      </c>
      <c r="M909" s="153" t="n">
        <f aca="false">112.63</f>
        <v>112.63</v>
      </c>
      <c r="N909" s="152" t="s">
        <v>1548</v>
      </c>
      <c r="O909" s="152" t="s">
        <v>1549</v>
      </c>
      <c r="P909" s="152" t="s">
        <v>1550</v>
      </c>
      <c r="Q909" s="152" t="s">
        <v>1551</v>
      </c>
      <c r="R909" s="154" t="s">
        <v>4996</v>
      </c>
      <c r="S909" s="154" t="s">
        <v>1553</v>
      </c>
      <c r="T909" s="155" t="s">
        <v>2487</v>
      </c>
      <c r="U909" s="152" t="str">
        <f aca="false">RIGHT(T909,7)</f>
        <v>011/037</v>
      </c>
      <c r="V909" s="152" t="s">
        <v>1555</v>
      </c>
      <c r="W909" s="156" t="n">
        <v>45882</v>
      </c>
      <c r="X909" s="152" t="s">
        <v>1594</v>
      </c>
      <c r="Y909" s="152" t="s">
        <v>4828</v>
      </c>
      <c r="Z909" s="152" t="s">
        <v>1557</v>
      </c>
      <c r="AA909" s="153" t="n">
        <v>3.8</v>
      </c>
      <c r="AB909" s="151" t="s">
        <v>4997</v>
      </c>
      <c r="AC909" s="151" t="s">
        <v>186</v>
      </c>
      <c r="AD909" s="151" t="str">
        <f aca="false">CONCATENATE($C909,$I909,$H909,$N909,$J909,$K909)</f>
        <v>TUBO PEADPEAD63VCAREDESZona08</v>
      </c>
      <c r="AE909" s="153" t="n">
        <f aca="false">IFERROR(INDEX(APOIO_REDES!$A:$W,MATCH($C909&amp;$I909&amp;$H909&amp;$N909&amp;$O909,APOIO_REDES!$W:$W,0),MATCH(AE$5,APOIO_REDES!$5:$5,0)),0)</f>
        <v>1.2</v>
      </c>
      <c r="AF909" s="153" t="n">
        <f aca="false">IFERROR(INDEX(APOIO_REDES!$A:$W,MATCH($C909&amp;$I909&amp;$H909&amp;$N909&amp;$O909,APOIO_REDES!$W:$W,0),MATCH(AF$5,APOIO_REDES!$5:$5,0)),0)</f>
        <v>1.363</v>
      </c>
      <c r="AG909" s="153" t="n">
        <f aca="false">IFERROR(INDEX(APOIO_REDES!$A:$W,MATCH($C909&amp;$I909&amp;$H909&amp;$N909&amp;$O909,APOIO_REDES!$W:$W,0),MATCH(AG$5,APOIO_REDES!$5:$5,0)),0)</f>
        <v>0.65</v>
      </c>
      <c r="AH909" s="153" t="n">
        <f aca="false">IFERROR(INDEX(APOIO_REDES!$A:$W,MATCH($C909&amp;$I909&amp;$H909&amp;$N909&amp;$O909,APOIO_REDES!$W:$W,0),MATCH(AH$5,APOIO_REDES!$5:$5,0)),0)</f>
        <v>0.1</v>
      </c>
      <c r="AI909" s="153" t="n">
        <f aca="false">IFERROR(IF($H909&lt;&gt;"",(((($H909/1000)/2)^2)*PI()*$M909),0),0)</f>
        <v>0.351095339324371</v>
      </c>
      <c r="AJ909" s="153" t="n">
        <f aca="false">IFERROR(IF(AND($H909&lt;&gt;"",$I909="FoFo",OR($N909="MND",$N909="VCA"),$Q909="LINEAR"),0,IF(AND($H909&lt;&gt;"",$I909="PEAD",$N909="VCA",$Q909="LINEAR"),($H909/1000)+0.3,IF(AND($H909&lt;&gt;"",$I909="PEAD",$N909="MND",$Q909="EMBOQUE"),0,IF(AND($H909&lt;&gt;"",$I909="PVC",$N909="VCA",$Q909="LINEAR"),($H909/1000)+0.2,IF(AND($H909&lt;&gt;"",$I909="PVC",$N909="MND",$Q909="EMBOQUE"),0,IF(AND($H909&lt;&gt;"",$I909="PEAD",$N909="VCA",$Q909="PREDIAL"),0,0)))))),0)</f>
        <v>0.363</v>
      </c>
      <c r="AK909" s="153" t="n">
        <f aca="false">IF(AA909&lt;&gt;"",AA909,0)</f>
        <v>3.8</v>
      </c>
      <c r="AL909" s="153" t="n">
        <f aca="false">IF(AND($N909="MND",$Q909="EMBOQUE"),$M909,IF(AND($N909="VCA",$Q909="LINEAR"),$M909,IF(AND($N909="VCA",$Q909="PREDIAL"),0,0)))</f>
        <v>112.63</v>
      </c>
      <c r="AM909" s="153" t="n">
        <f aca="false">IF(AND($N909="MND",$Q909="EMBOQUE"),$M909,IF(AND($N909="VCA",$Q909="LINEAR"),$M909,IF(AND($N909="VCA",$Q909="PREDIAL"),0,0)))</f>
        <v>112.63</v>
      </c>
      <c r="AN909" s="153" t="n">
        <f aca="false">ROUND(IF(AND($N909="VCA",$M909&lt;&gt;"",$Q909="LINEAR"),$M909/100,IF(AND($N909="MND",$M909&gt;100,$Q909="EMBOQUE"),$M909/100,0)),0)</f>
        <v>1</v>
      </c>
      <c r="AO909" s="153" t="n">
        <f aca="false">IF(AND($N909="MND",$Q909="EMBOQUE"),$AN909*2*2,IF(AND($N909="VCA",$Q909="LINEAR"),$M909*2,IF(AND($N909="VCA",$Q909="PREDIAL"),0,0)))</f>
        <v>225.26</v>
      </c>
      <c r="AP909" s="153" t="n">
        <f aca="false">IFERROR($M909*$AF909*$AG909,0)</f>
        <v>99.7845485</v>
      </c>
      <c r="AQ909" s="153" t="n">
        <f aca="false">IFERROR(IF(AND($N909="VCA",$AH909&gt;0),$M909*$AG909*$AH909,0),0)</f>
        <v>7.32095</v>
      </c>
      <c r="AR909" s="153" t="n">
        <f aca="false">IFERROR(IF(AND($N909="VCA",$AJ909&gt;0),($M909*$AG909*$AJ909)-$AI909,0),0)</f>
        <v>26.2239531606756</v>
      </c>
      <c r="AS909" s="153" t="n">
        <f aca="false">IFERROR(IF(AND($N909="VCA",$AP909&gt;0),$AP909-$AI909-$AQ909-$AR909,0),0)</f>
        <v>65.88855</v>
      </c>
      <c r="AT909" s="153" t="n">
        <f aca="false">IFERROR(IF($N909="VCA",INDEX(APOIO_REDES!$A:$W,MATCH($C909&amp;$I909&amp;$H909&amp;$N909&amp;$O909,APOIO_REDES!$W:$W,0),MATCH(AT$5,APOIO_REDES!$5:$5,0)),0)*$AP909,0)</f>
        <v>1.08568542239876</v>
      </c>
      <c r="AU909" s="153" t="n">
        <f aca="false">IFERROR(IF($N909="VCA",INDEX(APOIO_REDES!$A:$W,MATCH($C909&amp;$I909&amp;$H909&amp;$N909&amp;$O909,APOIO_REDES!$W:$W,0),MATCH(AU$5,APOIO_REDES!$5:$5,0)),0)*$AP909,0)</f>
        <v>0.866998974237369</v>
      </c>
      <c r="AV909" s="153" t="n">
        <f aca="false">IFERROR(IF($N909="VCA",INDEX(APOIO_REDES!$A:$W,MATCH($C909&amp;$I909&amp;$H909&amp;$N909&amp;$O909,APOIO_REDES!$W:$W,0),MATCH(AV$5,APOIO_REDES!$5:$5,0)),0)*$AP909,0)</f>
        <v>0.119985851825646</v>
      </c>
      <c r="AW909" s="153" t="n">
        <f aca="false">IFERROR(IF($N909="VCA",INDEX(APOIO_REDES!$A:$W,MATCH($C909&amp;$I909&amp;$H909&amp;$N909&amp;$O909,APOIO_REDES!$W:$W,0),MATCH(AW$5,APOIO_REDES!$5:$5,0)),0)*$AP909,0)</f>
        <v>68.4928872588105</v>
      </c>
      <c r="AX909" s="153" t="n">
        <f aca="false">IFERROR(IF($N909="VCA",INDEX(APOIO_REDES!$A:$W,MATCH($C909&amp;$I909&amp;$H909&amp;$N909&amp;$O909,APOIO_REDES!$W:$W,0),MATCH(AX$5,APOIO_REDES!$5:$5,0)),0)*$AP909,0)</f>
        <v>9.47922049093688</v>
      </c>
      <c r="AY909" s="153" t="n">
        <f aca="false">IFERROR(IF($N909="VCA",INDEX(APOIO_REDES!$A:$W,MATCH($C909&amp;$I909&amp;$H909&amp;$N909&amp;$O909,APOIO_REDES!$W:$W,0),MATCH(AY$5,APOIO_REDES!$5:$5,0)),0)*$AP909,0)</f>
        <v>17.3399689161002</v>
      </c>
      <c r="AZ909" s="153" t="n">
        <f aca="false">IFERROR(IF($N909="VCA",INDEX(APOIO_REDES!$A:$W,MATCH($C909&amp;$I909&amp;$H909&amp;$N909&amp;$O909,APOIO_REDES!$W:$W,0),MATCH(AZ$5,APOIO_REDES!$5:$5,0)),0)*$AP909,0)</f>
        <v>2.39980158569063</v>
      </c>
      <c r="BA909" s="153" t="n">
        <f aca="false">IFERROR(IF(AND($N909="VCA",$Q909="LINEAR"),INDEX(APOIO_REDES!$A:$W,MATCH($C909&amp;$I909&amp;$H909&amp;$N909&amp;$O909,APOIO_REDES!$W:$W,0),MATCH(BA$5,APOIO_REDES!$5:$5,0)),IF(AND($N909="MND",$Q909="EMBOQUE"),INDEX(APOIO_REDES!$A:$W,MATCH($C909&amp;$I909&amp;$H909&amp;$N909&amp;$O909,APOIO_REDES!$W:$W,0),MATCH(BA$5,APOIO_REDES!$5:$5,0)),0))*$M909/10,0)</f>
        <v>9.07769389981065</v>
      </c>
      <c r="BB909" s="153" t="n">
        <f aca="false">IFERROR(IF($N909="VCA",INDEX(APOIO_REDES!$A:$W,MATCH($C909&amp;$I909&amp;$H909&amp;$N909&amp;$O909,APOIO_REDES!$W:$W,0),MATCH(BB$5,APOIO_REDES!$5:$5,0)),0)*($AI909+$AQ909+$AR909),0)</f>
        <v>33.5272000036166</v>
      </c>
      <c r="BC909" s="153" t="n">
        <f aca="false">IFERROR(IF($N909="VCA",INDEX(APOIO_REDES!$A:$W,MATCH($C909&amp;$I909&amp;$H909&amp;$N909&amp;$O909,APOIO_REDES!$W:$W,0),MATCH(BC$5,APOIO_REDES!$5:$5,0)),0)*($AI909+$AQ909+$AR909),0)</f>
        <v>0.368798496383438</v>
      </c>
      <c r="BD909" s="153" t="n">
        <f aca="false">IF(AND($N909="VCA",$AF909&gt;=1.25,$AF909&lt;1.5),$M909*$AF909*2,0)</f>
        <v>307.02938</v>
      </c>
      <c r="BE909" s="153" t="n">
        <f aca="false">IF(AND($N909="VCA",$AF909&gt;=1.5,$AF909&lt;3),$M909*$AF909*2,0)</f>
        <v>0</v>
      </c>
      <c r="BF909" s="153" t="n">
        <f aca="false">IF(AND($N909="VCA",$AF909&gt;=3),$M909*$AF909*2,0)</f>
        <v>0</v>
      </c>
      <c r="BG909" s="153" t="n">
        <f aca="false">($BB909+$BC909)*$AK909</f>
        <v>128.8047943</v>
      </c>
      <c r="BH909" s="153" t="n">
        <f aca="false">IF(AND($M909&lt;&gt;"",$N909="VCA",$Q909="LINEAR"),($M909*2)/100,IF(AND($M909&lt;&gt;"",$N909="MND",$Q909="EMBOQUE"),($AN909*2)/100,0))</f>
        <v>2.2526</v>
      </c>
      <c r="BI909" s="153" t="n">
        <f aca="false">IF(AND($M909&lt;&gt;"",$N909="VCA",$Q909="LINEAR"),$M909,IF(AND($M909&lt;&gt;"",$N909="MND",$Q909="EMBOQUE"),$AN909*2,0))</f>
        <v>112.63</v>
      </c>
      <c r="BJ909" s="153" t="n">
        <f aca="false">IF(AND($M909&lt;&gt;"",$N909="VCA",$Q909="LINEAR"),($M909*6.8)/100,IF(AND($M909&lt;&gt;"",$N909="MND",$Q909="EMBOQUE"),($AN909*2*6.8)/100,0))</f>
        <v>7.65884</v>
      </c>
      <c r="BK909" s="153" t="n">
        <f aca="false">IF(AND($M909&lt;&gt;"",$N909="VCA",$Q909="LINEAR"),($M909*2.5)/50,IF(AND($M909&lt;&gt;"",$N909="MND",$Q909="EMBOQUE"),($AN909*2*2.5)/50,0))</f>
        <v>5.6315</v>
      </c>
      <c r="BL909" s="157" t="str">
        <f aca="false">K909&amp;J909</f>
        <v>Zona08REDES</v>
      </c>
      <c r="BM909" s="152" t="s">
        <v>4834</v>
      </c>
      <c r="BN909" s="152" t="s">
        <v>1560</v>
      </c>
      <c r="BO909" s="152" t="s">
        <v>2489</v>
      </c>
      <c r="BP909" s="152" t="s">
        <v>4945</v>
      </c>
      <c r="BQ909" s="152" t="s">
        <v>4998</v>
      </c>
      <c r="BR909" s="152" t="s">
        <v>4999</v>
      </c>
      <c r="BS909" s="152" t="n">
        <v>202950.319</v>
      </c>
      <c r="BT909" s="152" t="n">
        <v>8237172.173</v>
      </c>
      <c r="BU909" s="152" t="n">
        <v>202980.897</v>
      </c>
      <c r="BV909" s="152" t="n">
        <v>8237064.327</v>
      </c>
      <c r="BW909" s="152" t="n">
        <v>-15.9274211</v>
      </c>
      <c r="BX909" s="152" t="n">
        <v>-47.7743116</v>
      </c>
      <c r="BY909" s="152" t="s">
        <v>4945</v>
      </c>
    </row>
    <row r="910" customFormat="false" ht="13.8" hidden="false" customHeight="false" outlineLevel="0" collapsed="false">
      <c r="A910" s="149" t="n">
        <f aca="false">IF(C910&lt;&gt;"",ROW(A905),"")</f>
        <v>905</v>
      </c>
      <c r="B910" s="150" t="str">
        <f aca="false">HYPERLINK("https://www.google.com/maps/dir/-15.917302,-47.760003/-15.9274684,-47.7762841/data=!4m3!4m2!3e0!5i2")</f>
        <v>https://www.google.com/maps/dir/-15.917302,-47.760003/-15.9274684,-47.7762841/data=!4m3!4m2!3e0!5i2</v>
      </c>
      <c r="C910" s="151" t="s">
        <v>117</v>
      </c>
      <c r="D910" s="152" t="s">
        <v>112</v>
      </c>
      <c r="E910" s="152" t="s">
        <v>113</v>
      </c>
      <c r="F910" s="152" t="s">
        <v>117</v>
      </c>
      <c r="G910" s="152" t="s">
        <v>782</v>
      </c>
      <c r="H910" s="152" t="n">
        <v>63</v>
      </c>
      <c r="I910" s="152" t="s">
        <v>115</v>
      </c>
      <c r="J910" s="152" t="s">
        <v>6</v>
      </c>
      <c r="K910" s="152" t="s">
        <v>4831</v>
      </c>
      <c r="L910" s="152" t="s">
        <v>120</v>
      </c>
      <c r="M910" s="153" t="n">
        <f aca="false">47.92+0.28</f>
        <v>48.2</v>
      </c>
      <c r="N910" s="152" t="s">
        <v>1548</v>
      </c>
      <c r="O910" s="152" t="s">
        <v>1549</v>
      </c>
      <c r="P910" s="152" t="s">
        <v>1550</v>
      </c>
      <c r="Q910" s="152" t="s">
        <v>1551</v>
      </c>
      <c r="R910" s="154" t="s">
        <v>5000</v>
      </c>
      <c r="S910" s="154" t="s">
        <v>1553</v>
      </c>
      <c r="T910" s="155" t="s">
        <v>2487</v>
      </c>
      <c r="U910" s="152" t="str">
        <f aca="false">RIGHT(T910,7)</f>
        <v>011/037</v>
      </c>
      <c r="V910" s="152" t="s">
        <v>1555</v>
      </c>
      <c r="W910" s="156" t="n">
        <v>45882</v>
      </c>
      <c r="X910" s="152" t="s">
        <v>1594</v>
      </c>
      <c r="Y910" s="152"/>
      <c r="Z910" s="152" t="s">
        <v>1557</v>
      </c>
      <c r="AA910" s="153" t="n">
        <v>3.9</v>
      </c>
      <c r="AB910" s="151" t="s">
        <v>5001</v>
      </c>
      <c r="AC910" s="151" t="s">
        <v>186</v>
      </c>
      <c r="AD910" s="151" t="str">
        <f aca="false">CONCATENATE($C910,$I910,$H910,$N910,$J910,$K910)</f>
        <v>TUBO PEADPEAD63VCAREDESZona08</v>
      </c>
      <c r="AE910" s="153" t="n">
        <f aca="false">IFERROR(INDEX(APOIO_REDES!$A:$W,MATCH($C910&amp;$I910&amp;$H910&amp;$N910&amp;$O910,APOIO_REDES!$W:$W,0),MATCH(AE$5,APOIO_REDES!$5:$5,0)),0)</f>
        <v>1.2</v>
      </c>
      <c r="AF910" s="153" t="n">
        <f aca="false">IFERROR(INDEX(APOIO_REDES!$A:$W,MATCH($C910&amp;$I910&amp;$H910&amp;$N910&amp;$O910,APOIO_REDES!$W:$W,0),MATCH(AF$5,APOIO_REDES!$5:$5,0)),0)</f>
        <v>1.363</v>
      </c>
      <c r="AG910" s="153" t="n">
        <f aca="false">IFERROR(INDEX(APOIO_REDES!$A:$W,MATCH($C910&amp;$I910&amp;$H910&amp;$N910&amp;$O910,APOIO_REDES!$W:$W,0),MATCH(AG$5,APOIO_REDES!$5:$5,0)),0)</f>
        <v>0.65</v>
      </c>
      <c r="AH910" s="153" t="n">
        <f aca="false">IFERROR(INDEX(APOIO_REDES!$A:$W,MATCH($C910&amp;$I910&amp;$H910&amp;$N910&amp;$O910,APOIO_REDES!$W:$W,0),MATCH(AH$5,APOIO_REDES!$5:$5,0)),0)</f>
        <v>0.1</v>
      </c>
      <c r="AI910" s="153" t="n">
        <f aca="false">IFERROR(IF($H910&lt;&gt;"",(((($H910/1000)/2)^2)*PI()*$M910),0),0)</f>
        <v>0.15025122396728</v>
      </c>
      <c r="AJ910" s="153" t="n">
        <f aca="false">IFERROR(IF(AND($H910&lt;&gt;"",$I910="FoFo",OR($N910="MND",$N910="VCA"),$Q910="LINEAR"),0,IF(AND($H910&lt;&gt;"",$I910="PEAD",$N910="VCA",$Q910="LINEAR"),($H910/1000)+0.3,IF(AND($H910&lt;&gt;"",$I910="PEAD",$N910="MND",$Q910="EMBOQUE"),0,IF(AND($H910&lt;&gt;"",$I910="PVC",$N910="VCA",$Q910="LINEAR"),($H910/1000)+0.2,IF(AND($H910&lt;&gt;"",$I910="PVC",$N910="MND",$Q910="EMBOQUE"),0,IF(AND($H910&lt;&gt;"",$I910="PEAD",$N910="VCA",$Q910="PREDIAL"),0,0)))))),0)</f>
        <v>0.363</v>
      </c>
      <c r="AK910" s="153" t="n">
        <f aca="false">IF(AA910&lt;&gt;"",AA910,0)</f>
        <v>3.9</v>
      </c>
      <c r="AL910" s="153" t="n">
        <f aca="false">IF(AND($N910="MND",$Q910="EMBOQUE"),$M910,IF(AND($N910="VCA",$Q910="LINEAR"),$M910,IF(AND($N910="VCA",$Q910="PREDIAL"),0,0)))</f>
        <v>48.2</v>
      </c>
      <c r="AM910" s="153" t="n">
        <f aca="false">IF(AND($N910="MND",$Q910="EMBOQUE"),$M910,IF(AND($N910="VCA",$Q910="LINEAR"),$M910,IF(AND($N910="VCA",$Q910="PREDIAL"),0,0)))</f>
        <v>48.2</v>
      </c>
      <c r="AN910" s="153" t="n">
        <f aca="false">ROUND(IF(AND($N910="VCA",$M910&lt;&gt;"",$Q910="LINEAR"),$M910/100,IF(AND($N910="MND",$M910&gt;100,$Q910="EMBOQUE"),$M910/100,0)),0)</f>
        <v>0</v>
      </c>
      <c r="AO910" s="153" t="n">
        <f aca="false">IF(AND($N910="MND",$Q910="EMBOQUE"),$AN910*2*2,IF(AND($N910="VCA",$Q910="LINEAR"),$M910*2,IF(AND($N910="VCA",$Q910="PREDIAL"),0,0)))</f>
        <v>96.4</v>
      </c>
      <c r="AP910" s="153" t="n">
        <f aca="false">IFERROR($M910*$AF910*$AG910,0)</f>
        <v>42.70279</v>
      </c>
      <c r="AQ910" s="153" t="n">
        <f aca="false">IFERROR(IF(AND($N910="VCA",$AH910&gt;0),$M910*$AG910*$AH910,0),0)</f>
        <v>3.133</v>
      </c>
      <c r="AR910" s="153" t="n">
        <f aca="false">IFERROR(IF(AND($N910="VCA",$AJ910&gt;0),($M910*$AG910*$AJ910)-$AI910,0),0)</f>
        <v>11.2225387760327</v>
      </c>
      <c r="AS910" s="153" t="n">
        <f aca="false">IFERROR(IF(AND($N910="VCA",$AP910&gt;0),$AP910-$AI910-$AQ910-$AR910,0),0)</f>
        <v>28.197</v>
      </c>
      <c r="AT910" s="153" t="n">
        <f aca="false">IFERROR(IF($N910="VCA",INDEX(APOIO_REDES!$A:$W,MATCH($C910&amp;$I910&amp;$H910&amp;$N910&amp;$O910,APOIO_REDES!$W:$W,0),MATCH(AT$5,APOIO_REDES!$5:$5,0)),0)*$AP910,0)</f>
        <v>0.464618994580664</v>
      </c>
      <c r="AU910" s="153" t="n">
        <f aca="false">IFERROR(IF($N910="VCA",INDEX(APOIO_REDES!$A:$W,MATCH($C910&amp;$I910&amp;$H910&amp;$N910&amp;$O910,APOIO_REDES!$W:$W,0),MATCH(AU$5,APOIO_REDES!$5:$5,0)),0)*$AP910,0)</f>
        <v>0.371032145593902</v>
      </c>
      <c r="AV910" s="153" t="n">
        <f aca="false">IFERROR(IF($N910="VCA",INDEX(APOIO_REDES!$A:$W,MATCH($C910&amp;$I910&amp;$H910&amp;$N910&amp;$O910,APOIO_REDES!$W:$W,0),MATCH(AV$5,APOIO_REDES!$5:$5,0)),0)*$AP910,0)</f>
        <v>0.0513479362336512</v>
      </c>
      <c r="AW910" s="153" t="n">
        <f aca="false">IFERROR(IF($N910="VCA",INDEX(APOIO_REDES!$A:$W,MATCH($C910&amp;$I910&amp;$H910&amp;$N910&amp;$O910,APOIO_REDES!$W:$W,0),MATCH(AW$5,APOIO_REDES!$5:$5,0)),0)*$AP910,0)</f>
        <v>29.3115259333629</v>
      </c>
      <c r="AX910" s="153" t="n">
        <f aca="false">IFERROR(IF($N910="VCA",INDEX(APOIO_REDES!$A:$W,MATCH($C910&amp;$I910&amp;$H910&amp;$N910&amp;$O910,APOIO_REDES!$W:$W,0),MATCH(AX$5,APOIO_REDES!$5:$5,0)),0)*$AP910,0)</f>
        <v>4.05663169371533</v>
      </c>
      <c r="AY910" s="153" t="n">
        <f aca="false">IFERROR(IF($N910="VCA",INDEX(APOIO_REDES!$A:$W,MATCH($C910&amp;$I910&amp;$H910&amp;$N910&amp;$O910,APOIO_REDES!$W:$W,0),MATCH(AY$5,APOIO_REDES!$5:$5,0)),0)*$AP910,0)</f>
        <v>7.42063838902627</v>
      </c>
      <c r="AZ910" s="153" t="n">
        <f aca="false">IFERROR(IF($N910="VCA",INDEX(APOIO_REDES!$A:$W,MATCH($C910&amp;$I910&amp;$H910&amp;$N910&amp;$O910,APOIO_REDES!$W:$W,0),MATCH(AZ$5,APOIO_REDES!$5:$5,0)),0)*$AP910,0)</f>
        <v>1.02699490748725</v>
      </c>
      <c r="BA910" s="153" t="n">
        <f aca="false">IFERROR(IF(AND($N910="VCA",$Q910="LINEAR"),INDEX(APOIO_REDES!$A:$W,MATCH($C910&amp;$I910&amp;$H910&amp;$N910&amp;$O910,APOIO_REDES!$W:$W,0),MATCH(BA$5,APOIO_REDES!$5:$5,0)),IF(AND($N910="MND",$Q910="EMBOQUE"),INDEX(APOIO_REDES!$A:$W,MATCH($C910&amp;$I910&amp;$H910&amp;$N910&amp;$O910,APOIO_REDES!$W:$W,0),MATCH(BA$5,APOIO_REDES!$5:$5,0)),0))*$M910/10,0)</f>
        <v>3.88479841934541</v>
      </c>
      <c r="BB910" s="153" t="n">
        <f aca="false">IFERROR(IF($N910="VCA",INDEX(APOIO_REDES!$A:$W,MATCH($C910&amp;$I910&amp;$H910&amp;$N910&amp;$O910,APOIO_REDES!$W:$W,0),MATCH(BB$5,APOIO_REDES!$5:$5,0)),0)*($AI910+$AQ910+$AR910),0)</f>
        <v>14.3479627113053</v>
      </c>
      <c r="BC910" s="153" t="n">
        <f aca="false">IFERROR(IF($N910="VCA",INDEX(APOIO_REDES!$A:$W,MATCH($C910&amp;$I910&amp;$H910&amp;$N910&amp;$O910,APOIO_REDES!$W:$W,0),MATCH(BC$5,APOIO_REDES!$5:$5,0)),0)*($AI910+$AQ910+$AR910),0)</f>
        <v>0.157827288694679</v>
      </c>
      <c r="BD910" s="153" t="n">
        <f aca="false">IF(AND($N910="VCA",$AF910&gt;=1.25,$AF910&lt;1.5),$M910*$AF910*2,0)</f>
        <v>131.3932</v>
      </c>
      <c r="BE910" s="153" t="n">
        <f aca="false">IF(AND($N910="VCA",$AF910&gt;=1.5,$AF910&lt;3),$M910*$AF910*2,0)</f>
        <v>0</v>
      </c>
      <c r="BF910" s="153" t="n">
        <f aca="false">IF(AND($N910="VCA",$AF910&gt;=3),$M910*$AF910*2,0)</f>
        <v>0</v>
      </c>
      <c r="BG910" s="153" t="n">
        <f aca="false">($BB910+$BC910)*$AK910</f>
        <v>56.572581</v>
      </c>
      <c r="BH910" s="153" t="n">
        <f aca="false">IF(AND($M910&lt;&gt;"",$N910="VCA",$Q910="LINEAR"),($M910*2)/100,IF(AND($M910&lt;&gt;"",$N910="MND",$Q910="EMBOQUE"),($AN910*2)/100,0))</f>
        <v>0.964</v>
      </c>
      <c r="BI910" s="153" t="n">
        <f aca="false">IF(AND($M910&lt;&gt;"",$N910="VCA",$Q910="LINEAR"),$M910,IF(AND($M910&lt;&gt;"",$N910="MND",$Q910="EMBOQUE"),$AN910*2,0))</f>
        <v>48.2</v>
      </c>
      <c r="BJ910" s="153" t="n">
        <f aca="false">IF(AND($M910&lt;&gt;"",$N910="VCA",$Q910="LINEAR"),($M910*6.8)/100,IF(AND($M910&lt;&gt;"",$N910="MND",$Q910="EMBOQUE"),($AN910*2*6.8)/100,0))</f>
        <v>3.2776</v>
      </c>
      <c r="BK910" s="153" t="n">
        <f aca="false">IF(AND($M910&lt;&gt;"",$N910="VCA",$Q910="LINEAR"),($M910*2.5)/50,IF(AND($M910&lt;&gt;"",$N910="MND",$Q910="EMBOQUE"),($AN910*2*2.5)/50,0))</f>
        <v>2.41</v>
      </c>
      <c r="BL910" s="157" t="str">
        <f aca="false">K910&amp;J910</f>
        <v>Zona08REDES</v>
      </c>
      <c r="BM910" s="152" t="s">
        <v>4834</v>
      </c>
      <c r="BN910" s="152" t="s">
        <v>1560</v>
      </c>
      <c r="BO910" s="152" t="s">
        <v>2489</v>
      </c>
      <c r="BP910" s="152" t="s">
        <v>4965</v>
      </c>
      <c r="BQ910" s="152" t="s">
        <v>4983</v>
      </c>
      <c r="BR910" s="152" t="s">
        <v>5002</v>
      </c>
      <c r="BS910" s="152" t="n">
        <v>202754.601</v>
      </c>
      <c r="BT910" s="152" t="n">
        <v>8237110.261</v>
      </c>
      <c r="BU910" s="152" t="n">
        <v>202800.389</v>
      </c>
      <c r="BV910" s="152" t="n">
        <v>8237124.386</v>
      </c>
      <c r="BW910" s="152" t="n">
        <v>-15.9274071</v>
      </c>
      <c r="BX910" s="152" t="n">
        <v>-47.7760697</v>
      </c>
      <c r="BY910" s="152" t="s">
        <v>4965</v>
      </c>
    </row>
    <row r="911" customFormat="false" ht="13.8" hidden="false" customHeight="false" outlineLevel="0" collapsed="false">
      <c r="A911" s="149" t="n">
        <f aca="false">IF(C911&lt;&gt;"",ROW(A906),"")</f>
        <v>906</v>
      </c>
      <c r="B911" s="150" t="str">
        <f aca="false">HYPERLINK("https://www.google.com/maps/dir/-15.917302,-47.760003/-15.9268005,-47.7777125/data=!4m3!4m2!3e0!5i2")</f>
        <v>https://www.google.com/maps/dir/-15.917302,-47.760003/-15.9268005,-47.7777125/data=!4m3!4m2!3e0!5i2</v>
      </c>
      <c r="C911" s="151" t="s">
        <v>117</v>
      </c>
      <c r="D911" s="152" t="s">
        <v>112</v>
      </c>
      <c r="E911" s="152" t="s">
        <v>113</v>
      </c>
      <c r="F911" s="152" t="s">
        <v>117</v>
      </c>
      <c r="G911" s="152" t="s">
        <v>782</v>
      </c>
      <c r="H911" s="152" t="n">
        <v>63</v>
      </c>
      <c r="I911" s="152" t="s">
        <v>115</v>
      </c>
      <c r="J911" s="152" t="s">
        <v>6</v>
      </c>
      <c r="K911" s="152" t="s">
        <v>4831</v>
      </c>
      <c r="L911" s="152" t="s">
        <v>120</v>
      </c>
      <c r="M911" s="153" t="n">
        <f aca="false">144.34</f>
        <v>144.34</v>
      </c>
      <c r="N911" s="152" t="s">
        <v>1548</v>
      </c>
      <c r="O911" s="152" t="s">
        <v>1549</v>
      </c>
      <c r="P911" s="152" t="s">
        <v>1550</v>
      </c>
      <c r="Q911" s="152" t="s">
        <v>1551</v>
      </c>
      <c r="R911" s="154" t="s">
        <v>5003</v>
      </c>
      <c r="S911" s="154" t="s">
        <v>1553</v>
      </c>
      <c r="T911" s="155" t="s">
        <v>2487</v>
      </c>
      <c r="U911" s="152" t="str">
        <f aca="false">RIGHT(T911,7)</f>
        <v>011/037</v>
      </c>
      <c r="V911" s="152" t="s">
        <v>1555</v>
      </c>
      <c r="W911" s="156" t="n">
        <v>45882</v>
      </c>
      <c r="X911" s="152" t="s">
        <v>1594</v>
      </c>
      <c r="Y911" s="152"/>
      <c r="Z911" s="152" t="s">
        <v>1557</v>
      </c>
      <c r="AA911" s="153" t="n">
        <v>4.4</v>
      </c>
      <c r="AB911" s="151" t="s">
        <v>5004</v>
      </c>
      <c r="AC911" s="151" t="s">
        <v>186</v>
      </c>
      <c r="AD911" s="151" t="str">
        <f aca="false">CONCATENATE($C911,$I911,$H911,$N911,$J911,$K911)</f>
        <v>TUBO PEADPEAD63VCAREDESZona08</v>
      </c>
      <c r="AE911" s="153" t="n">
        <f aca="false">IFERROR(INDEX(APOIO_REDES!$A:$W,MATCH($C911&amp;$I911&amp;$H911&amp;$N911&amp;$O911,APOIO_REDES!$W:$W,0),MATCH(AE$5,APOIO_REDES!$5:$5,0)),0)</f>
        <v>1.2</v>
      </c>
      <c r="AF911" s="153" t="n">
        <f aca="false">IFERROR(INDEX(APOIO_REDES!$A:$W,MATCH($C911&amp;$I911&amp;$H911&amp;$N911&amp;$O911,APOIO_REDES!$W:$W,0),MATCH(AF$5,APOIO_REDES!$5:$5,0)),0)</f>
        <v>1.363</v>
      </c>
      <c r="AG911" s="153" t="n">
        <f aca="false">IFERROR(INDEX(APOIO_REDES!$A:$W,MATCH($C911&amp;$I911&amp;$H911&amp;$N911&amp;$O911,APOIO_REDES!$W:$W,0),MATCH(AG$5,APOIO_REDES!$5:$5,0)),0)</f>
        <v>0.65</v>
      </c>
      <c r="AH911" s="153" t="n">
        <f aca="false">IFERROR(INDEX(APOIO_REDES!$A:$W,MATCH($C911&amp;$I911&amp;$H911&amp;$N911&amp;$O911,APOIO_REDES!$W:$W,0),MATCH(AH$5,APOIO_REDES!$5:$5,0)),0)</f>
        <v>0.1</v>
      </c>
      <c r="AI911" s="153" t="n">
        <f aca="false">IFERROR(IF($H911&lt;&gt;"",(((($H911/1000)/2)^2)*PI()*$M911),0),0)</f>
        <v>0.449943188121102</v>
      </c>
      <c r="AJ911" s="153" t="n">
        <f aca="false">IFERROR(IF(AND($H911&lt;&gt;"",$I911="FoFo",OR($N911="MND",$N911="VCA"),$Q911="LINEAR"),0,IF(AND($H911&lt;&gt;"",$I911="PEAD",$N911="VCA",$Q911="LINEAR"),($H911/1000)+0.3,IF(AND($H911&lt;&gt;"",$I911="PEAD",$N911="MND",$Q911="EMBOQUE"),0,IF(AND($H911&lt;&gt;"",$I911="PVC",$N911="VCA",$Q911="LINEAR"),($H911/1000)+0.2,IF(AND($H911&lt;&gt;"",$I911="PVC",$N911="MND",$Q911="EMBOQUE"),0,IF(AND($H911&lt;&gt;"",$I911="PEAD",$N911="VCA",$Q911="PREDIAL"),0,0)))))),0)</f>
        <v>0.363</v>
      </c>
      <c r="AK911" s="153" t="n">
        <f aca="false">IF(AA911&lt;&gt;"",AA911,0)</f>
        <v>4.4</v>
      </c>
      <c r="AL911" s="153" t="n">
        <f aca="false">IF(AND($N911="MND",$Q911="EMBOQUE"),$M911,IF(AND($N911="VCA",$Q911="LINEAR"),$M911,IF(AND($N911="VCA",$Q911="PREDIAL"),0,0)))</f>
        <v>144.34</v>
      </c>
      <c r="AM911" s="153" t="n">
        <f aca="false">IF(AND($N911="MND",$Q911="EMBOQUE"),$M911,IF(AND($N911="VCA",$Q911="LINEAR"),$M911,IF(AND($N911="VCA",$Q911="PREDIAL"),0,0)))</f>
        <v>144.34</v>
      </c>
      <c r="AN911" s="153" t="n">
        <f aca="false">ROUND(IF(AND($N911="VCA",$M911&lt;&gt;"",$Q911="LINEAR"),$M911/100,IF(AND($N911="MND",$M911&gt;100,$Q911="EMBOQUE"),$M911/100,0)),0)</f>
        <v>1</v>
      </c>
      <c r="AO911" s="153" t="n">
        <f aca="false">IF(AND($N911="MND",$Q911="EMBOQUE"),$AN911*2*2,IF(AND($N911="VCA",$Q911="LINEAR"),$M911*2,IF(AND($N911="VCA",$Q911="PREDIAL"),0,0)))</f>
        <v>288.68</v>
      </c>
      <c r="AP911" s="153" t="n">
        <f aca="false">IFERROR($M911*$AF911*$AG911,0)</f>
        <v>127.878023</v>
      </c>
      <c r="AQ911" s="153" t="n">
        <f aca="false">IFERROR(IF(AND($N911="VCA",$AH911&gt;0),$M911*$AG911*$AH911,0),0)</f>
        <v>9.3821</v>
      </c>
      <c r="AR911" s="153" t="n">
        <f aca="false">IFERROR(IF(AND($N911="VCA",$AJ911&gt;0),($M911*$AG911*$AJ911)-$AI911,0),0)</f>
        <v>33.6070798118789</v>
      </c>
      <c r="AS911" s="153" t="n">
        <f aca="false">IFERROR(IF(AND($N911="VCA",$AP911&gt;0),$AP911-$AI911-$AQ911-$AR911,0),0)</f>
        <v>84.4389</v>
      </c>
      <c r="AT911" s="153" t="n">
        <f aca="false">IFERROR(IF($N911="VCA",INDEX(APOIO_REDES!$A:$W,MATCH($C911&amp;$I911&amp;$H911&amp;$N911&amp;$O911,APOIO_REDES!$W:$W,0),MATCH(AT$5,APOIO_REDES!$5:$5,0)),0)*$AP911,0)</f>
        <v>1.39135074020276</v>
      </c>
      <c r="AU911" s="153" t="n">
        <f aca="false">IFERROR(IF($N911="VCA",INDEX(APOIO_REDES!$A:$W,MATCH($C911&amp;$I911&amp;$H911&amp;$N911&amp;$O911,APOIO_REDES!$W:$W,0),MATCH(AU$5,APOIO_REDES!$5:$5,0)),0)*$AP911,0)</f>
        <v>1.11109501856896</v>
      </c>
      <c r="AV911" s="153" t="n">
        <f aca="false">IFERROR(IF($N911="VCA",INDEX(APOIO_REDES!$A:$W,MATCH($C911&amp;$I911&amp;$H911&amp;$N911&amp;$O911,APOIO_REDES!$W:$W,0),MATCH(AV$5,APOIO_REDES!$5:$5,0)),0)*$AP911,0)</f>
        <v>0.153766828132058</v>
      </c>
      <c r="AW911" s="153" t="n">
        <f aca="false">IFERROR(IF($N911="VCA",INDEX(APOIO_REDES!$A:$W,MATCH($C911&amp;$I911&amp;$H911&amp;$N911&amp;$O911,APOIO_REDES!$W:$W,0),MATCH(AW$5,APOIO_REDES!$5:$5,0)),0)*$AP911,0)</f>
        <v>87.7764658344732</v>
      </c>
      <c r="AX911" s="153" t="n">
        <f aca="false">IFERROR(IF($N911="VCA",INDEX(APOIO_REDES!$A:$W,MATCH($C911&amp;$I911&amp;$H911&amp;$N911&amp;$O911,APOIO_REDES!$W:$W,0),MATCH(AX$5,APOIO_REDES!$5:$5,0)),0)*$AP911,0)</f>
        <v>12.1480128354952</v>
      </c>
      <c r="AY911" s="153" t="n">
        <f aca="false">IFERROR(IF($N911="VCA",INDEX(APOIO_REDES!$A:$W,MATCH($C911&amp;$I911&amp;$H911&amp;$N911&amp;$O911,APOIO_REDES!$W:$W,0),MATCH(AY$5,APOIO_REDES!$5:$5,0)),0)*$AP911,0)</f>
        <v>22.221886827221</v>
      </c>
      <c r="AZ911" s="153" t="n">
        <f aca="false">IFERROR(IF($N911="VCA",INDEX(APOIO_REDES!$A:$W,MATCH($C911&amp;$I911&amp;$H911&amp;$N911&amp;$O911,APOIO_REDES!$W:$W,0),MATCH(AZ$5,APOIO_REDES!$5:$5,0)),0)*$AP911,0)</f>
        <v>3.07544491590683</v>
      </c>
      <c r="BA911" s="153" t="n">
        <f aca="false">IFERROR(IF(AND($N911="VCA",$Q911="LINEAR"),INDEX(APOIO_REDES!$A:$W,MATCH($C911&amp;$I911&amp;$H911&amp;$N911&amp;$O911,APOIO_REDES!$W:$W,0),MATCH(BA$5,APOIO_REDES!$5:$5,0)),IF(AND($N911="MND",$Q911="EMBOQUE"),INDEX(APOIO_REDES!$A:$W,MATCH($C911&amp;$I911&amp;$H911&amp;$N911&amp;$O911,APOIO_REDES!$W:$W,0),MATCH(BA$5,APOIO_REDES!$5:$5,0)),0))*$M911/10,0)</f>
        <v>11.6334399138655</v>
      </c>
      <c r="BB911" s="153" t="n">
        <f aca="false">IFERROR(IF($N911="VCA",INDEX(APOIO_REDES!$A:$W,MATCH($C911&amp;$I911&amp;$H911&amp;$N911&amp;$O911,APOIO_REDES!$W:$W,0),MATCH(BB$5,APOIO_REDES!$5:$5,0)),0)*($AI911+$AQ911+$AR911),0)</f>
        <v>42.9664924844359</v>
      </c>
      <c r="BC911" s="153" t="n">
        <f aca="false">IFERROR(IF($N911="VCA",INDEX(APOIO_REDES!$A:$W,MATCH($C911&amp;$I911&amp;$H911&amp;$N911&amp;$O911,APOIO_REDES!$W:$W,0),MATCH(BC$5,APOIO_REDES!$5:$5,0)),0)*($AI911+$AQ911+$AR911),0)</f>
        <v>0.472630515564107</v>
      </c>
      <c r="BD911" s="153" t="n">
        <f aca="false">IF(AND($N911="VCA",$AF911&gt;=1.25,$AF911&lt;1.5),$M911*$AF911*2,0)</f>
        <v>393.47084</v>
      </c>
      <c r="BE911" s="153" t="n">
        <f aca="false">IF(AND($N911="VCA",$AF911&gt;=1.5,$AF911&lt;3),$M911*$AF911*2,0)</f>
        <v>0</v>
      </c>
      <c r="BF911" s="153" t="n">
        <f aca="false">IF(AND($N911="VCA",$AF911&gt;=3),$M911*$AF911*2,0)</f>
        <v>0</v>
      </c>
      <c r="BG911" s="153" t="n">
        <f aca="false">($BB911+$BC911)*$AK911</f>
        <v>191.1321412</v>
      </c>
      <c r="BH911" s="153" t="n">
        <f aca="false">IF(AND($M911&lt;&gt;"",$N911="VCA",$Q911="LINEAR"),($M911*2)/100,IF(AND($M911&lt;&gt;"",$N911="MND",$Q911="EMBOQUE"),($AN911*2)/100,0))</f>
        <v>2.8868</v>
      </c>
      <c r="BI911" s="153" t="n">
        <f aca="false">IF(AND($M911&lt;&gt;"",$N911="VCA",$Q911="LINEAR"),$M911,IF(AND($M911&lt;&gt;"",$N911="MND",$Q911="EMBOQUE"),$AN911*2,0))</f>
        <v>144.34</v>
      </c>
      <c r="BJ911" s="153" t="n">
        <f aca="false">IF(AND($M911&lt;&gt;"",$N911="VCA",$Q911="LINEAR"),($M911*6.8)/100,IF(AND($M911&lt;&gt;"",$N911="MND",$Q911="EMBOQUE"),($AN911*2*6.8)/100,0))</f>
        <v>9.81512</v>
      </c>
      <c r="BK911" s="153" t="n">
        <f aca="false">IF(AND($M911&lt;&gt;"",$N911="VCA",$Q911="LINEAR"),($M911*2.5)/50,IF(AND($M911&lt;&gt;"",$N911="MND",$Q911="EMBOQUE"),($AN911*2*2.5)/50,0))</f>
        <v>7.217</v>
      </c>
      <c r="BL911" s="157" t="str">
        <f aca="false">K911&amp;J911</f>
        <v>Zona08REDES</v>
      </c>
      <c r="BM911" s="152" t="s">
        <v>4834</v>
      </c>
      <c r="BN911" s="152" t="s">
        <v>1560</v>
      </c>
      <c r="BO911" s="152" t="s">
        <v>2489</v>
      </c>
      <c r="BP911" s="152" t="s">
        <v>4952</v>
      </c>
      <c r="BQ911" s="152" t="s">
        <v>5005</v>
      </c>
      <c r="BR911" s="152" t="s">
        <v>5006</v>
      </c>
      <c r="BS911" s="152" t="n">
        <v>202600.588</v>
      </c>
      <c r="BT911" s="152" t="n">
        <v>8237182.186</v>
      </c>
      <c r="BU911" s="152" t="n">
        <v>202588.425</v>
      </c>
      <c r="BV911" s="152" t="n">
        <v>8237067.09</v>
      </c>
      <c r="BW911" s="152" t="n">
        <v>-15.927439</v>
      </c>
      <c r="BX911" s="152" t="n">
        <v>-47.7775777</v>
      </c>
      <c r="BY911" s="152" t="s">
        <v>4952</v>
      </c>
    </row>
    <row r="912" customFormat="false" ht="13.8" hidden="false" customHeight="false" outlineLevel="0" collapsed="false">
      <c r="A912" s="149" t="n">
        <f aca="false">IF(C912&lt;&gt;"",ROW(A907),"")</f>
        <v>907</v>
      </c>
      <c r="B912" s="150" t="str">
        <f aca="false">HYPERLINK("https://www.google.com/maps/dir/-15.917302,-47.760003/-15.9275793,-47.7766753/data=!4m3!4m2!3e0!5i2")</f>
        <v>https://www.google.com/maps/dir/-15.917302,-47.760003/-15.9275793,-47.7766753/data=!4m3!4m2!3e0!5i2</v>
      </c>
      <c r="C912" s="151" t="s">
        <v>117</v>
      </c>
      <c r="D912" s="152" t="s">
        <v>112</v>
      </c>
      <c r="E912" s="152" t="s">
        <v>113</v>
      </c>
      <c r="F912" s="152" t="s">
        <v>117</v>
      </c>
      <c r="G912" s="152" t="s">
        <v>782</v>
      </c>
      <c r="H912" s="152" t="n">
        <v>63</v>
      </c>
      <c r="I912" s="152" t="s">
        <v>115</v>
      </c>
      <c r="J912" s="152" t="s">
        <v>6</v>
      </c>
      <c r="K912" s="152" t="s">
        <v>4831</v>
      </c>
      <c r="L912" s="152" t="s">
        <v>120</v>
      </c>
      <c r="M912" s="153" t="n">
        <f aca="false">43.89+0.25</f>
        <v>44.14</v>
      </c>
      <c r="N912" s="152" t="s">
        <v>1548</v>
      </c>
      <c r="O912" s="152" t="s">
        <v>1549</v>
      </c>
      <c r="P912" s="152" t="s">
        <v>1550</v>
      </c>
      <c r="Q912" s="152" t="s">
        <v>1551</v>
      </c>
      <c r="R912" s="154" t="s">
        <v>5007</v>
      </c>
      <c r="S912" s="154" t="s">
        <v>1553</v>
      </c>
      <c r="T912" s="155" t="s">
        <v>2487</v>
      </c>
      <c r="U912" s="152" t="str">
        <f aca="false">RIGHT(T912,7)</f>
        <v>011/037</v>
      </c>
      <c r="V912" s="152" t="s">
        <v>1555</v>
      </c>
      <c r="W912" s="156" t="n">
        <v>45882</v>
      </c>
      <c r="X912" s="152" t="s">
        <v>1594</v>
      </c>
      <c r="Y912" s="152"/>
      <c r="Z912" s="152" t="s">
        <v>1557</v>
      </c>
      <c r="AA912" s="153" t="n">
        <v>4</v>
      </c>
      <c r="AB912" s="151" t="s">
        <v>5008</v>
      </c>
      <c r="AC912" s="151" t="s">
        <v>186</v>
      </c>
      <c r="AD912" s="151" t="str">
        <f aca="false">CONCATENATE($C912,$I912,$H912,$N912,$J912,$K912)</f>
        <v>TUBO PEADPEAD63VCAREDESZona08</v>
      </c>
      <c r="AE912" s="153" t="n">
        <f aca="false">IFERROR(INDEX(APOIO_REDES!$A:$W,MATCH($C912&amp;$I912&amp;$H912&amp;$N912&amp;$O912,APOIO_REDES!$W:$W,0),MATCH(AE$5,APOIO_REDES!$5:$5,0)),0)</f>
        <v>1.2</v>
      </c>
      <c r="AF912" s="153" t="n">
        <f aca="false">IFERROR(INDEX(APOIO_REDES!$A:$W,MATCH($C912&amp;$I912&amp;$H912&amp;$N912&amp;$O912,APOIO_REDES!$W:$W,0),MATCH(AF$5,APOIO_REDES!$5:$5,0)),0)</f>
        <v>1.363</v>
      </c>
      <c r="AG912" s="153" t="n">
        <f aca="false">IFERROR(INDEX(APOIO_REDES!$A:$W,MATCH($C912&amp;$I912&amp;$H912&amp;$N912&amp;$O912,APOIO_REDES!$W:$W,0),MATCH(AG$5,APOIO_REDES!$5:$5,0)),0)</f>
        <v>0.65</v>
      </c>
      <c r="AH912" s="153" t="n">
        <f aca="false">IFERROR(INDEX(APOIO_REDES!$A:$W,MATCH($C912&amp;$I912&amp;$H912&amp;$N912&amp;$O912,APOIO_REDES!$W:$W,0),MATCH(AH$5,APOIO_REDES!$5:$5,0)),0)</f>
        <v>0.1</v>
      </c>
      <c r="AI912" s="153" t="n">
        <f aca="false">IFERROR(IF($H912&lt;&gt;"",(((($H912/1000)/2)^2)*PI()*$M912),0),0)</f>
        <v>0.13759520800655</v>
      </c>
      <c r="AJ912" s="153" t="n">
        <f aca="false">IFERROR(IF(AND($H912&lt;&gt;"",$I912="FoFo",OR($N912="MND",$N912="VCA"),$Q912="LINEAR"),0,IF(AND($H912&lt;&gt;"",$I912="PEAD",$N912="VCA",$Q912="LINEAR"),($H912/1000)+0.3,IF(AND($H912&lt;&gt;"",$I912="PEAD",$N912="MND",$Q912="EMBOQUE"),0,IF(AND($H912&lt;&gt;"",$I912="PVC",$N912="VCA",$Q912="LINEAR"),($H912/1000)+0.2,IF(AND($H912&lt;&gt;"",$I912="PVC",$N912="MND",$Q912="EMBOQUE"),0,IF(AND($H912&lt;&gt;"",$I912="PEAD",$N912="VCA",$Q912="PREDIAL"),0,0)))))),0)</f>
        <v>0.363</v>
      </c>
      <c r="AK912" s="153" t="n">
        <f aca="false">IF(AA912&lt;&gt;"",AA912,0)</f>
        <v>4</v>
      </c>
      <c r="AL912" s="153" t="n">
        <f aca="false">IF(AND($N912="MND",$Q912="EMBOQUE"),$M912,IF(AND($N912="VCA",$Q912="LINEAR"),$M912,IF(AND($N912="VCA",$Q912="PREDIAL"),0,0)))</f>
        <v>44.14</v>
      </c>
      <c r="AM912" s="153" t="n">
        <f aca="false">IF(AND($N912="MND",$Q912="EMBOQUE"),$M912,IF(AND($N912="VCA",$Q912="LINEAR"),$M912,IF(AND($N912="VCA",$Q912="PREDIAL"),0,0)))</f>
        <v>44.14</v>
      </c>
      <c r="AN912" s="153" t="n">
        <f aca="false">ROUND(IF(AND($N912="VCA",$M912&lt;&gt;"",$Q912="LINEAR"),$M912/100,IF(AND($N912="MND",$M912&gt;100,$Q912="EMBOQUE"),$M912/100,0)),0)</f>
        <v>0</v>
      </c>
      <c r="AO912" s="153" t="n">
        <f aca="false">IF(AND($N912="MND",$Q912="EMBOQUE"),$AN912*2*2,IF(AND($N912="VCA",$Q912="LINEAR"),$M912*2,IF(AND($N912="VCA",$Q912="PREDIAL"),0,0)))</f>
        <v>88.28</v>
      </c>
      <c r="AP912" s="153" t="n">
        <f aca="false">IFERROR($M912*$AF912*$AG912,0)</f>
        <v>39.105833</v>
      </c>
      <c r="AQ912" s="153" t="n">
        <f aca="false">IFERROR(IF(AND($N912="VCA",$AH912&gt;0),$M912*$AG912*$AH912,0),0)</f>
        <v>2.8691</v>
      </c>
      <c r="AR912" s="153" t="n">
        <f aca="false">IFERROR(IF(AND($N912="VCA",$AJ912&gt;0),($M912*$AG912*$AJ912)-$AI912,0),0)</f>
        <v>10.2772377919935</v>
      </c>
      <c r="AS912" s="153" t="n">
        <f aca="false">IFERROR(IF(AND($N912="VCA",$AP912&gt;0),$AP912-$AI912-$AQ912-$AR912,0),0)</f>
        <v>25.8219</v>
      </c>
      <c r="AT912" s="153" t="n">
        <f aca="false">IFERROR(IF($N912="VCA",INDEX(APOIO_REDES!$A:$W,MATCH($C912&amp;$I912&amp;$H912&amp;$N912&amp;$O912,APOIO_REDES!$W:$W,0),MATCH(AT$5,APOIO_REDES!$5:$5,0)),0)*$AP912,0)</f>
        <v>0.425483037775737</v>
      </c>
      <c r="AU912" s="153" t="n">
        <f aca="false">IFERROR(IF($N912="VCA",INDEX(APOIO_REDES!$A:$W,MATCH($C912&amp;$I912&amp;$H912&amp;$N912&amp;$O912,APOIO_REDES!$W:$W,0),MATCH(AU$5,APOIO_REDES!$5:$5,0)),0)*$AP912,0)</f>
        <v>0.339779230425619</v>
      </c>
      <c r="AV912" s="153" t="n">
        <f aca="false">IFERROR(IF($N912="VCA",INDEX(APOIO_REDES!$A:$W,MATCH($C912&amp;$I912&amp;$H912&amp;$N912&amp;$O912,APOIO_REDES!$W:$W,0),MATCH(AV$5,APOIO_REDES!$5:$5,0)),0)*$AP912,0)</f>
        <v>0.0470227781193644</v>
      </c>
      <c r="AW912" s="153" t="n">
        <f aca="false">IFERROR(IF($N912="VCA",INDEX(APOIO_REDES!$A:$W,MATCH($C912&amp;$I912&amp;$H912&amp;$N912&amp;$O912,APOIO_REDES!$W:$W,0),MATCH(AW$5,APOIO_REDES!$5:$5,0)),0)*$AP912,0)</f>
        <v>26.8425467779801</v>
      </c>
      <c r="AX912" s="153" t="n">
        <f aca="false">IFERROR(IF($N912="VCA",INDEX(APOIO_REDES!$A:$W,MATCH($C912&amp;$I912&amp;$H912&amp;$N912&amp;$O912,APOIO_REDES!$W:$W,0),MATCH(AX$5,APOIO_REDES!$5:$5,0)),0)*$AP912,0)</f>
        <v>3.7149320116306</v>
      </c>
      <c r="AY912" s="153" t="n">
        <f aca="false">IFERROR(IF($N912="VCA",INDEX(APOIO_REDES!$A:$W,MATCH($C912&amp;$I912&amp;$H912&amp;$N912&amp;$O912,APOIO_REDES!$W:$W,0),MATCH(AY$5,APOIO_REDES!$5:$5,0)),0)*$AP912,0)</f>
        <v>6.79558046663111</v>
      </c>
      <c r="AZ912" s="153" t="n">
        <f aca="false">IFERROR(IF($N912="VCA",INDEX(APOIO_REDES!$A:$W,MATCH($C912&amp;$I912&amp;$H912&amp;$N912&amp;$O912,APOIO_REDES!$W:$W,0),MATCH(AZ$5,APOIO_REDES!$5:$5,0)),0)*$AP912,0)</f>
        <v>0.94048869743749</v>
      </c>
      <c r="BA912" s="153" t="n">
        <f aca="false">IFERROR(IF(AND($N912="VCA",$Q912="LINEAR"),INDEX(APOIO_REDES!$A:$W,MATCH($C912&amp;$I912&amp;$H912&amp;$N912&amp;$O912,APOIO_REDES!$W:$W,0),MATCH(BA$5,APOIO_REDES!$5:$5,0)),IF(AND($N912="MND",$Q912="EMBOQUE"),INDEX(APOIO_REDES!$A:$W,MATCH($C912&amp;$I912&amp;$H912&amp;$N912&amp;$O912,APOIO_REDES!$W:$W,0),MATCH(BA$5,APOIO_REDES!$5:$5,0)),0))*$M912/10,0)</f>
        <v>3.5575726603715</v>
      </c>
      <c r="BB912" s="153" t="n">
        <f aca="false">IFERROR(IF($N912="VCA",INDEX(APOIO_REDES!$A:$W,MATCH($C912&amp;$I912&amp;$H912&amp;$N912&amp;$O912,APOIO_REDES!$W:$W,0),MATCH(BB$5,APOIO_REDES!$5:$5,0)),0)*($AI912+$AQ912+$AR912),0)</f>
        <v>13.1393998771165</v>
      </c>
      <c r="BC912" s="153" t="n">
        <f aca="false">IFERROR(IF($N912="VCA",INDEX(APOIO_REDES!$A:$W,MATCH($C912&amp;$I912&amp;$H912&amp;$N912&amp;$O912,APOIO_REDES!$W:$W,0),MATCH(BC$5,APOIO_REDES!$5:$5,0)),0)*($AI912+$AQ912+$AR912),0)</f>
        <v>0.144533122883468</v>
      </c>
      <c r="BD912" s="153" t="n">
        <f aca="false">IF(AND($N912="VCA",$AF912&gt;=1.25,$AF912&lt;1.5),$M912*$AF912*2,0)</f>
        <v>120.32564</v>
      </c>
      <c r="BE912" s="153" t="n">
        <f aca="false">IF(AND($N912="VCA",$AF912&gt;=1.5,$AF912&lt;3),$M912*$AF912*2,0)</f>
        <v>0</v>
      </c>
      <c r="BF912" s="153" t="n">
        <f aca="false">IF(AND($N912="VCA",$AF912&gt;=3),$M912*$AF912*2,0)</f>
        <v>0</v>
      </c>
      <c r="BG912" s="153" t="n">
        <f aca="false">($BB912+$BC912)*$AK912</f>
        <v>53.135732</v>
      </c>
      <c r="BH912" s="153" t="n">
        <f aca="false">IF(AND($M912&lt;&gt;"",$N912="VCA",$Q912="LINEAR"),($M912*2)/100,IF(AND($M912&lt;&gt;"",$N912="MND",$Q912="EMBOQUE"),($AN912*2)/100,0))</f>
        <v>0.8828</v>
      </c>
      <c r="BI912" s="153" t="n">
        <f aca="false">IF(AND($M912&lt;&gt;"",$N912="VCA",$Q912="LINEAR"),$M912,IF(AND($M912&lt;&gt;"",$N912="MND",$Q912="EMBOQUE"),$AN912*2,0))</f>
        <v>44.14</v>
      </c>
      <c r="BJ912" s="153" t="n">
        <f aca="false">IF(AND($M912&lt;&gt;"",$N912="VCA",$Q912="LINEAR"),($M912*6.8)/100,IF(AND($M912&lt;&gt;"",$N912="MND",$Q912="EMBOQUE"),($AN912*2*6.8)/100,0))</f>
        <v>3.00152</v>
      </c>
      <c r="BK912" s="153" t="n">
        <f aca="false">IF(AND($M912&lt;&gt;"",$N912="VCA",$Q912="LINEAR"),($M912*2.5)/50,IF(AND($M912&lt;&gt;"",$N912="MND",$Q912="EMBOQUE"),($AN912*2*2.5)/50,0))</f>
        <v>2.207</v>
      </c>
      <c r="BL912" s="157" t="str">
        <f aca="false">K912&amp;J912</f>
        <v>Zona08REDES</v>
      </c>
      <c r="BM912" s="152" t="s">
        <v>4834</v>
      </c>
      <c r="BN912" s="152" t="s">
        <v>1560</v>
      </c>
      <c r="BO912" s="152" t="s">
        <v>2489</v>
      </c>
      <c r="BP912" s="152" t="s">
        <v>4979</v>
      </c>
      <c r="BQ912" s="152" t="s">
        <v>4965</v>
      </c>
      <c r="BR912" s="152" t="s">
        <v>5009</v>
      </c>
      <c r="BS912" s="152" t="n">
        <v>202712.852</v>
      </c>
      <c r="BT912" s="152" t="n">
        <v>8237097.434</v>
      </c>
      <c r="BU912" s="152" t="n">
        <v>202754.601</v>
      </c>
      <c r="BV912" s="152" t="n">
        <v>8237110.261</v>
      </c>
      <c r="BW912" s="152" t="n">
        <v>-15.9275284</v>
      </c>
      <c r="BX912" s="152" t="n">
        <v>-47.7764793</v>
      </c>
      <c r="BY912" s="152" t="s">
        <v>4979</v>
      </c>
    </row>
    <row r="913" customFormat="false" ht="13.8" hidden="false" customHeight="false" outlineLevel="0" collapsed="false">
      <c r="A913" s="149" t="n">
        <f aca="false">IF(C913&lt;&gt;"",ROW(A908),"")</f>
        <v>908</v>
      </c>
      <c r="B913" s="150" t="str">
        <f aca="false">HYPERLINK("https://www.google.com/maps/dir/-15.917302,-47.760003/-15.9273437,-47.7758443/data=!4m3!4m2!3e0!5i2")</f>
        <v>https://www.google.com/maps/dir/-15.917302,-47.760003/-15.9273437,-47.7758443/data=!4m3!4m2!3e0!5i2</v>
      </c>
      <c r="C913" s="151" t="s">
        <v>117</v>
      </c>
      <c r="D913" s="152" t="s">
        <v>112</v>
      </c>
      <c r="E913" s="152" t="s">
        <v>113</v>
      </c>
      <c r="F913" s="152" t="s">
        <v>117</v>
      </c>
      <c r="G913" s="152" t="s">
        <v>782</v>
      </c>
      <c r="H913" s="152" t="n">
        <v>110</v>
      </c>
      <c r="I913" s="152" t="s">
        <v>115</v>
      </c>
      <c r="J913" s="152" t="s">
        <v>6</v>
      </c>
      <c r="K913" s="152" t="s">
        <v>4831</v>
      </c>
      <c r="L913" s="152" t="s">
        <v>120</v>
      </c>
      <c r="M913" s="153" t="n">
        <f aca="false">52.75</f>
        <v>52.75</v>
      </c>
      <c r="N913" s="152" t="s">
        <v>1548</v>
      </c>
      <c r="O913" s="152" t="s">
        <v>1549</v>
      </c>
      <c r="P913" s="152" t="s">
        <v>1550</v>
      </c>
      <c r="Q913" s="152" t="s">
        <v>1551</v>
      </c>
      <c r="R913" s="154" t="s">
        <v>5010</v>
      </c>
      <c r="S913" s="154" t="s">
        <v>1593</v>
      </c>
      <c r="T913" s="155" t="s">
        <v>2487</v>
      </c>
      <c r="U913" s="152" t="str">
        <f aca="false">RIGHT(T913,7)</f>
        <v>011/037</v>
      </c>
      <c r="V913" s="152" t="s">
        <v>1555</v>
      </c>
      <c r="W913" s="156" t="n">
        <v>45882</v>
      </c>
      <c r="X913" s="152" t="s">
        <v>1594</v>
      </c>
      <c r="Y913" s="152"/>
      <c r="Z913" s="152" t="s">
        <v>1557</v>
      </c>
      <c r="AA913" s="153" t="n">
        <v>3.9</v>
      </c>
      <c r="AB913" s="151" t="s">
        <v>5011</v>
      </c>
      <c r="AC913" s="151" t="s">
        <v>502</v>
      </c>
      <c r="AD913" s="151" t="str">
        <f aca="false">CONCATENATE($C913,$I913,$H913,$N913,$J913,$K913)</f>
        <v>TUBO PEADPEAD110VCAREDESZona08</v>
      </c>
      <c r="AE913" s="153" t="n">
        <f aca="false">IFERROR(INDEX(APOIO_REDES!$A:$W,MATCH($C913&amp;$I913&amp;$H913&amp;$N913&amp;$O913,APOIO_REDES!$W:$W,0),MATCH(AE$5,APOIO_REDES!$5:$5,0)),0)</f>
        <v>1.2</v>
      </c>
      <c r="AF913" s="153" t="n">
        <f aca="false">IFERROR(INDEX(APOIO_REDES!$A:$W,MATCH($C913&amp;$I913&amp;$H913&amp;$N913&amp;$O913,APOIO_REDES!$W:$W,0),MATCH(AF$5,APOIO_REDES!$5:$5,0)),0)</f>
        <v>1.41</v>
      </c>
      <c r="AG913" s="153" t="n">
        <f aca="false">IFERROR(INDEX(APOIO_REDES!$A:$W,MATCH($C913&amp;$I913&amp;$H913&amp;$N913&amp;$O913,APOIO_REDES!$W:$W,0),MATCH(AG$5,APOIO_REDES!$5:$5,0)),0)</f>
        <v>0.75</v>
      </c>
      <c r="AH913" s="153" t="n">
        <f aca="false">IFERROR(INDEX(APOIO_REDES!$A:$W,MATCH($C913&amp;$I913&amp;$H913&amp;$N913&amp;$O913,APOIO_REDES!$W:$W,0),MATCH(AH$5,APOIO_REDES!$5:$5,0)),0)</f>
        <v>0.1</v>
      </c>
      <c r="AI913" s="153" t="n">
        <f aca="false">IFERROR(IF($H913&lt;&gt;"",(((($H913/1000)/2)^2)*PI()*$M913),0),0)</f>
        <v>0.501300012742506</v>
      </c>
      <c r="AJ913" s="153" t="n">
        <f aca="false">IFERROR(IF(AND($H913&lt;&gt;"",$I913="FoFo",OR($N913="MND",$N913="VCA"),$Q913="LINEAR"),0,IF(AND($H913&lt;&gt;"",$I913="PEAD",$N913="VCA",$Q913="LINEAR"),($H913/1000)+0.3,IF(AND($H913&lt;&gt;"",$I913="PEAD",$N913="MND",$Q913="EMBOQUE"),0,IF(AND($H913&lt;&gt;"",$I913="PVC",$N913="VCA",$Q913="LINEAR"),($H913/1000)+0.2,IF(AND($H913&lt;&gt;"",$I913="PVC",$N913="MND",$Q913="EMBOQUE"),0,IF(AND($H913&lt;&gt;"",$I913="PEAD",$N913="VCA",$Q913="PREDIAL"),0,0)))))),0)</f>
        <v>0.41</v>
      </c>
      <c r="AK913" s="153" t="n">
        <f aca="false">IF(AA913&lt;&gt;"",AA913,0)</f>
        <v>3.9</v>
      </c>
      <c r="AL913" s="153" t="n">
        <f aca="false">IF(AND($N913="MND",$Q913="EMBOQUE"),$M913,IF(AND($N913="VCA",$Q913="LINEAR"),$M913,IF(AND($N913="VCA",$Q913="PREDIAL"),0,0)))</f>
        <v>52.75</v>
      </c>
      <c r="AM913" s="153" t="n">
        <f aca="false">IF(AND($N913="MND",$Q913="EMBOQUE"),$M913,IF(AND($N913="VCA",$Q913="LINEAR"),$M913,IF(AND($N913="VCA",$Q913="PREDIAL"),0,0)))</f>
        <v>52.75</v>
      </c>
      <c r="AN913" s="153" t="n">
        <f aca="false">ROUND(IF(AND($N913="VCA",$M913&lt;&gt;"",$Q913="LINEAR"),$M913/100,IF(AND($N913="MND",$M913&gt;100,$Q913="EMBOQUE"),$M913/100,0)),0)</f>
        <v>1</v>
      </c>
      <c r="AO913" s="153" t="n">
        <f aca="false">IF(AND($N913="MND",$Q913="EMBOQUE"),$AN913*2*2,IF(AND($N913="VCA",$Q913="LINEAR"),$M913*2,IF(AND($N913="VCA",$Q913="PREDIAL"),0,0)))</f>
        <v>105.5</v>
      </c>
      <c r="AP913" s="153" t="n">
        <f aca="false">IFERROR($M913*$AF913*$AG913,0)</f>
        <v>55.783125</v>
      </c>
      <c r="AQ913" s="153" t="n">
        <f aca="false">IFERROR(IF(AND($N913="VCA",$AH913&gt;0),$M913*$AG913*$AH913,0),0)</f>
        <v>3.95625</v>
      </c>
      <c r="AR913" s="153" t="n">
        <f aca="false">IFERROR(IF(AND($N913="VCA",$AJ913&gt;0),($M913*$AG913*$AJ913)-$AI913,0),0)</f>
        <v>15.7193249872575</v>
      </c>
      <c r="AS913" s="153" t="n">
        <f aca="false">IFERROR(IF(AND($N913="VCA",$AP913&gt;0),$AP913-$AI913-$AQ913-$AR913,0),0)</f>
        <v>35.60625</v>
      </c>
      <c r="AT913" s="153" t="n">
        <f aca="false">IFERROR(IF($N913="VCA",INDEX(APOIO_REDES!$A:$W,MATCH($C913&amp;$I913&amp;$H913&amp;$N913&amp;$O913,APOIO_REDES!$W:$W,0),MATCH(AT$5,APOIO_REDES!$5:$5,0)),0)*$AP913,0)</f>
        <v>0.6069369109622</v>
      </c>
      <c r="AU913" s="153" t="n">
        <f aca="false">IFERROR(IF($N913="VCA",INDEX(APOIO_REDES!$A:$W,MATCH($C913&amp;$I913&amp;$H913&amp;$N913&amp;$O913,APOIO_REDES!$W:$W,0),MATCH(AU$5,APOIO_REDES!$5:$5,0)),0)*$AP913,0)</f>
        <v>0.484683379158197</v>
      </c>
      <c r="AV913" s="153" t="n">
        <f aca="false">IFERROR(IF($N913="VCA",INDEX(APOIO_REDES!$A:$W,MATCH($C913&amp;$I913&amp;$H913&amp;$N913&amp;$O913,APOIO_REDES!$W:$W,0),MATCH(AV$5,APOIO_REDES!$5:$5,0)),0)*$AP913,0)</f>
        <v>0.0670763747617847</v>
      </c>
      <c r="AW913" s="153" t="n">
        <f aca="false">IFERROR(IF($N913="VCA",INDEX(APOIO_REDES!$A:$W,MATCH($C913&amp;$I913&amp;$H913&amp;$N913&amp;$O913,APOIO_REDES!$W:$W,0),MATCH(AW$5,APOIO_REDES!$5:$5,0)),0)*$AP913,0)</f>
        <v>38.2899692287442</v>
      </c>
      <c r="AX913" s="153" t="n">
        <f aca="false">IFERROR(IF($N913="VCA",INDEX(APOIO_REDES!$A:$W,MATCH($C913&amp;$I913&amp;$H913&amp;$N913&amp;$O913,APOIO_REDES!$W:$W,0),MATCH(AX$5,APOIO_REDES!$5:$5,0)),0)*$AP913,0)</f>
        <v>5.29922267021626</v>
      </c>
      <c r="AY913" s="153" t="n">
        <f aca="false">IFERROR(IF($N913="VCA",INDEX(APOIO_REDES!$A:$W,MATCH($C913&amp;$I913&amp;$H913&amp;$N913&amp;$O913,APOIO_REDES!$W:$W,0),MATCH(AY$5,APOIO_REDES!$5:$5,0)),0)*$AP913,0)</f>
        <v>9.69366167491283</v>
      </c>
      <c r="AZ913" s="153" t="n">
        <f aca="false">IFERROR(IF($N913="VCA",INDEX(APOIO_REDES!$A:$W,MATCH($C913&amp;$I913&amp;$H913&amp;$N913&amp;$O913,APOIO_REDES!$W:$W,0),MATCH(AZ$5,APOIO_REDES!$5:$5,0)),0)*$AP913,0)</f>
        <v>1.34157476124451</v>
      </c>
      <c r="BA913" s="153" t="n">
        <f aca="false">IFERROR(IF(AND($N913="VCA",$Q913="LINEAR"),INDEX(APOIO_REDES!$A:$W,MATCH($C913&amp;$I913&amp;$H913&amp;$N913&amp;$O913,APOIO_REDES!$W:$W,0),MATCH(BA$5,APOIO_REDES!$5:$5,0)),IF(AND($N913="MND",$Q913="EMBOQUE"),INDEX(APOIO_REDES!$A:$W,MATCH($C913&amp;$I913&amp;$H913&amp;$N913&amp;$O913,APOIO_REDES!$W:$W,0),MATCH(BA$5,APOIO_REDES!$5:$5,0)),0))*$M913/10,0)</f>
        <v>4.25151694233341</v>
      </c>
      <c r="BB913" s="153" t="n">
        <f aca="false">IFERROR(IF($N913="VCA",INDEX(APOIO_REDES!$A:$W,MATCH($C913&amp;$I913&amp;$H913&amp;$N913&amp;$O913,APOIO_REDES!$W:$W,0),MATCH(BB$5,APOIO_REDES!$5:$5,0)),0)*($AI913+$AQ913+$AR913),0)</f>
        <v>19.9573446279498</v>
      </c>
      <c r="BC913" s="153" t="n">
        <f aca="false">IFERROR(IF($N913="VCA",INDEX(APOIO_REDES!$A:$W,MATCH($C913&amp;$I913&amp;$H913&amp;$N913&amp;$O913,APOIO_REDES!$W:$W,0),MATCH(BC$5,APOIO_REDES!$5:$5,0)),0)*($AI913+$AQ913+$AR913),0)</f>
        <v>0.219530372050157</v>
      </c>
      <c r="BD913" s="153" t="n">
        <f aca="false">IF(AND($N913="VCA",$AF913&gt;=1.25,$AF913&lt;1.5),$M913*$AF913*2,0)</f>
        <v>148.755</v>
      </c>
      <c r="BE913" s="153" t="n">
        <f aca="false">IF(AND($N913="VCA",$AF913&gt;=1.5,$AF913&lt;3),$M913*$AF913*2,0)</f>
        <v>0</v>
      </c>
      <c r="BF913" s="153" t="n">
        <f aca="false">IF(AND($N913="VCA",$AF913&gt;=3),$M913*$AF913*2,0)</f>
        <v>0</v>
      </c>
      <c r="BG913" s="153" t="n">
        <f aca="false">($BB913+$BC913)*$AK913</f>
        <v>78.6898125</v>
      </c>
      <c r="BH913" s="153" t="n">
        <f aca="false">IF(AND($M913&lt;&gt;"",$N913="VCA",$Q913="LINEAR"),($M913*2)/100,IF(AND($M913&lt;&gt;"",$N913="MND",$Q913="EMBOQUE"),($AN913*2)/100,0))</f>
        <v>1.055</v>
      </c>
      <c r="BI913" s="153" t="n">
        <f aca="false">IF(AND($M913&lt;&gt;"",$N913="VCA",$Q913="LINEAR"),$M913,IF(AND($M913&lt;&gt;"",$N913="MND",$Q913="EMBOQUE"),$AN913*2,0))</f>
        <v>52.75</v>
      </c>
      <c r="BJ913" s="153" t="n">
        <f aca="false">IF(AND($M913&lt;&gt;"",$N913="VCA",$Q913="LINEAR"),($M913*6.8)/100,IF(AND($M913&lt;&gt;"",$N913="MND",$Q913="EMBOQUE"),($AN913*2*6.8)/100,0))</f>
        <v>3.587</v>
      </c>
      <c r="BK913" s="153" t="n">
        <f aca="false">IF(AND($M913&lt;&gt;"",$N913="VCA",$Q913="LINEAR"),($M913*2.5)/50,IF(AND($M913&lt;&gt;"",$N913="MND",$Q913="EMBOQUE"),($AN913*2*2.5)/50,0))</f>
        <v>2.6375</v>
      </c>
      <c r="BL913" s="157" t="str">
        <f aca="false">K913&amp;J913</f>
        <v>Zona08REDES</v>
      </c>
      <c r="BM913" s="152" t="s">
        <v>4834</v>
      </c>
      <c r="BN913" s="152" t="s">
        <v>1560</v>
      </c>
      <c r="BO913" s="152" t="s">
        <v>2489</v>
      </c>
      <c r="BP913" s="152" t="s">
        <v>4991</v>
      </c>
      <c r="BQ913" s="152" t="s">
        <v>5012</v>
      </c>
      <c r="BR913" s="152" t="s">
        <v>5013</v>
      </c>
      <c r="BS913" s="152" t="n">
        <v>202801.36</v>
      </c>
      <c r="BT913" s="152" t="n">
        <v>8237124.585</v>
      </c>
      <c r="BU913" s="152" t="n">
        <v>202811.548</v>
      </c>
      <c r="BV913" s="152" t="n">
        <v>8237072.831</v>
      </c>
      <c r="BW913" s="152" t="n">
        <v>-15.9275787</v>
      </c>
      <c r="BX913" s="152" t="n">
        <v>-47.7758001</v>
      </c>
      <c r="BY913" s="152" t="s">
        <v>4991</v>
      </c>
    </row>
    <row r="914" customFormat="false" ht="13.8" hidden="false" customHeight="false" outlineLevel="0" collapsed="false">
      <c r="A914" s="149" t="n">
        <f aca="false">IF(C914&lt;&gt;"",ROW(A909),"")</f>
        <v>909</v>
      </c>
      <c r="B914" s="150" t="str">
        <f aca="false">HYPERLINK("https://www.google.com/maps/dir/-15.917302,-47.760003/-15.9270629,-47.7748279/data=!4m3!4m2!3e0!5i2")</f>
        <v>https://www.google.com/maps/dir/-15.917302,-47.760003/-15.9270629,-47.7748279/data=!4m3!4m2!3e0!5i2</v>
      </c>
      <c r="C914" s="151" t="s">
        <v>117</v>
      </c>
      <c r="D914" s="152" t="s">
        <v>112</v>
      </c>
      <c r="E914" s="152" t="s">
        <v>113</v>
      </c>
      <c r="F914" s="152" t="s">
        <v>117</v>
      </c>
      <c r="G914" s="152" t="s">
        <v>782</v>
      </c>
      <c r="H914" s="152" t="n">
        <v>63</v>
      </c>
      <c r="I914" s="152" t="s">
        <v>115</v>
      </c>
      <c r="J914" s="152" t="s">
        <v>6</v>
      </c>
      <c r="K914" s="152" t="s">
        <v>4831</v>
      </c>
      <c r="L914" s="152" t="s">
        <v>120</v>
      </c>
      <c r="M914" s="153" t="n">
        <f aca="false">131.67</f>
        <v>131.67</v>
      </c>
      <c r="N914" s="152" t="s">
        <v>1548</v>
      </c>
      <c r="O914" s="152" t="s">
        <v>1549</v>
      </c>
      <c r="P914" s="152" t="s">
        <v>1550</v>
      </c>
      <c r="Q914" s="152" t="s">
        <v>1551</v>
      </c>
      <c r="R914" s="154" t="s">
        <v>5014</v>
      </c>
      <c r="S914" s="154" t="s">
        <v>1553</v>
      </c>
      <c r="T914" s="155" t="s">
        <v>2487</v>
      </c>
      <c r="U914" s="152" t="str">
        <f aca="false">RIGHT(T914,7)</f>
        <v>011/037</v>
      </c>
      <c r="V914" s="152" t="s">
        <v>1555</v>
      </c>
      <c r="W914" s="156" t="n">
        <v>45882</v>
      </c>
      <c r="X914" s="152" t="s">
        <v>1594</v>
      </c>
      <c r="Y914" s="152" t="s">
        <v>4973</v>
      </c>
      <c r="Z914" s="152" t="s">
        <v>1557</v>
      </c>
      <c r="AA914" s="153" t="n">
        <v>3.9</v>
      </c>
      <c r="AB914" s="151" t="s">
        <v>5015</v>
      </c>
      <c r="AC914" s="151" t="s">
        <v>186</v>
      </c>
      <c r="AD914" s="151" t="str">
        <f aca="false">CONCATENATE($C914,$I914,$H914,$N914,$J914,$K914)</f>
        <v>TUBO PEADPEAD63VCAREDESZona08</v>
      </c>
      <c r="AE914" s="153" t="n">
        <f aca="false">IFERROR(INDEX(APOIO_REDES!$A:$W,MATCH($C914&amp;$I914&amp;$H914&amp;$N914&amp;$O914,APOIO_REDES!$W:$W,0),MATCH(AE$5,APOIO_REDES!$5:$5,0)),0)</f>
        <v>1.2</v>
      </c>
      <c r="AF914" s="153" t="n">
        <f aca="false">IFERROR(INDEX(APOIO_REDES!$A:$W,MATCH($C914&amp;$I914&amp;$H914&amp;$N914&amp;$O914,APOIO_REDES!$W:$W,0),MATCH(AF$5,APOIO_REDES!$5:$5,0)),0)</f>
        <v>1.363</v>
      </c>
      <c r="AG914" s="153" t="n">
        <f aca="false">IFERROR(INDEX(APOIO_REDES!$A:$W,MATCH($C914&amp;$I914&amp;$H914&amp;$N914&amp;$O914,APOIO_REDES!$W:$W,0),MATCH(AG$5,APOIO_REDES!$5:$5,0)),0)</f>
        <v>0.65</v>
      </c>
      <c r="AH914" s="153" t="n">
        <f aca="false">IFERROR(INDEX(APOIO_REDES!$A:$W,MATCH($C914&amp;$I914&amp;$H914&amp;$N914&amp;$O914,APOIO_REDES!$W:$W,0),MATCH(AH$5,APOIO_REDES!$5:$5,0)),0)</f>
        <v>0.1</v>
      </c>
      <c r="AI914" s="153" t="n">
        <f aca="false">IFERROR(IF($H914&lt;&gt;"",(((($H914/1000)/2)^2)*PI()*$M914),0),0)</f>
        <v>0.410447690036757</v>
      </c>
      <c r="AJ914" s="153" t="n">
        <f aca="false">IFERROR(IF(AND($H914&lt;&gt;"",$I914="FoFo",OR($N914="MND",$N914="VCA"),$Q914="LINEAR"),0,IF(AND($H914&lt;&gt;"",$I914="PEAD",$N914="VCA",$Q914="LINEAR"),($H914/1000)+0.3,IF(AND($H914&lt;&gt;"",$I914="PEAD",$N914="MND",$Q914="EMBOQUE"),0,IF(AND($H914&lt;&gt;"",$I914="PVC",$N914="VCA",$Q914="LINEAR"),($H914/1000)+0.2,IF(AND($H914&lt;&gt;"",$I914="PVC",$N914="MND",$Q914="EMBOQUE"),0,IF(AND($H914&lt;&gt;"",$I914="PEAD",$N914="VCA",$Q914="PREDIAL"),0,0)))))),0)</f>
        <v>0.363</v>
      </c>
      <c r="AK914" s="153" t="n">
        <f aca="false">IF(AA914&lt;&gt;"",AA914,0)</f>
        <v>3.9</v>
      </c>
      <c r="AL914" s="153" t="n">
        <f aca="false">IF(AND($N914="MND",$Q914="EMBOQUE"),$M914,IF(AND($N914="VCA",$Q914="LINEAR"),$M914,IF(AND($N914="VCA",$Q914="PREDIAL"),0,0)))</f>
        <v>131.67</v>
      </c>
      <c r="AM914" s="153" t="n">
        <f aca="false">IF(AND($N914="MND",$Q914="EMBOQUE"),$M914,IF(AND($N914="VCA",$Q914="LINEAR"),$M914,IF(AND($N914="VCA",$Q914="PREDIAL"),0,0)))</f>
        <v>131.67</v>
      </c>
      <c r="AN914" s="153" t="n">
        <f aca="false">ROUND(IF(AND($N914="VCA",$M914&lt;&gt;"",$Q914="LINEAR"),$M914/100,IF(AND($N914="MND",$M914&gt;100,$Q914="EMBOQUE"),$M914/100,0)),0)</f>
        <v>1</v>
      </c>
      <c r="AO914" s="153" t="n">
        <f aca="false">IF(AND($N914="MND",$Q914="EMBOQUE"),$AN914*2*2,IF(AND($N914="VCA",$Q914="LINEAR"),$M914*2,IF(AND($N914="VCA",$Q914="PREDIAL"),0,0)))</f>
        <v>263.34</v>
      </c>
      <c r="AP914" s="153" t="n">
        <f aca="false">IFERROR($M914*$AF914*$AG914,0)</f>
        <v>116.6530365</v>
      </c>
      <c r="AQ914" s="153" t="n">
        <f aca="false">IFERROR(IF(AND($N914="VCA",$AH914&gt;0),$M914*$AG914*$AH914,0),0)</f>
        <v>8.55855</v>
      </c>
      <c r="AR914" s="153" t="n">
        <f aca="false">IFERROR(IF(AND($N914="VCA",$AJ914&gt;0),($M914*$AG914*$AJ914)-$AI914,0),0)</f>
        <v>30.6570888099632</v>
      </c>
      <c r="AS914" s="153" t="n">
        <f aca="false">IFERROR(IF(AND($N914="VCA",$AP914&gt;0),$AP914-$AI914-$AQ914-$AR914,0),0)</f>
        <v>77.02695</v>
      </c>
      <c r="AT914" s="153" t="n">
        <f aca="false">IFERROR(IF($N914="VCA",INDEX(APOIO_REDES!$A:$W,MATCH($C914&amp;$I914&amp;$H914&amp;$N914&amp;$O914,APOIO_REDES!$W:$W,0),MATCH(AT$5,APOIO_REDES!$5:$5,0)),0)*$AP914,0)</f>
        <v>1.26921956465635</v>
      </c>
      <c r="AU914" s="153" t="n">
        <f aca="false">IFERROR(IF($N914="VCA",INDEX(APOIO_REDES!$A:$W,MATCH($C914&amp;$I914&amp;$H914&amp;$N914&amp;$O914,APOIO_REDES!$W:$W,0),MATCH(AU$5,APOIO_REDES!$5:$5,0)),0)*$AP914,0)</f>
        <v>1.01356436950932</v>
      </c>
      <c r="AV914" s="153" t="n">
        <f aca="false">IFERROR(IF($N914="VCA",INDEX(APOIO_REDES!$A:$W,MATCH($C914&amp;$I914&amp;$H914&amp;$N914&amp;$O914,APOIO_REDES!$W:$W,0),MATCH(AV$5,APOIO_REDES!$5:$5,0)),0)*$AP914,0)</f>
        <v>0.140269351947818</v>
      </c>
      <c r="AW914" s="153" t="n">
        <f aca="false">IFERROR(IF($N914="VCA",INDEX(APOIO_REDES!$A:$W,MATCH($C914&amp;$I914&amp;$H914&amp;$N914&amp;$O914,APOIO_REDES!$W:$W,0),MATCH(AW$5,APOIO_REDES!$5:$5,0)),0)*$AP914,0)</f>
        <v>80.0715481254336</v>
      </c>
      <c r="AX914" s="153" t="n">
        <f aca="false">IFERROR(IF($N914="VCA",INDEX(APOIO_REDES!$A:$W,MATCH($C914&amp;$I914&amp;$H914&amp;$N914&amp;$O914,APOIO_REDES!$W:$W,0),MATCH(AX$5,APOIO_REDES!$5:$5,0)),0)*$AP914,0)</f>
        <v>11.0816741724377</v>
      </c>
      <c r="AY914" s="153" t="n">
        <f aca="false">IFERROR(IF($N914="VCA",INDEX(APOIO_REDES!$A:$W,MATCH($C914&amp;$I914&amp;$H914&amp;$N914&amp;$O914,APOIO_REDES!$W:$W,0),MATCH(AY$5,APOIO_REDES!$5:$5,0)),0)*$AP914,0)</f>
        <v>20.2712750349188</v>
      </c>
      <c r="AZ914" s="153" t="n">
        <f aca="false">IFERROR(IF($N914="VCA",INDEX(APOIO_REDES!$A:$W,MATCH($C914&amp;$I914&amp;$H914&amp;$N914&amp;$O914,APOIO_REDES!$W:$W,0),MATCH(AZ$5,APOIO_REDES!$5:$5,0)),0)*$AP914,0)</f>
        <v>2.80548588109638</v>
      </c>
      <c r="BA914" s="153" t="n">
        <f aca="false">IFERROR(IF(AND($N914="VCA",$Q914="LINEAR"),INDEX(APOIO_REDES!$A:$W,MATCH($C914&amp;$I914&amp;$H914&amp;$N914&amp;$O914,APOIO_REDES!$W:$W,0),MATCH(BA$5,APOIO_REDES!$5:$5,0)),IF(AND($N914="MND",$Q914="EMBOQUE"),INDEX(APOIO_REDES!$A:$W,MATCH($C914&amp;$I914&amp;$H914&amp;$N914&amp;$O914,APOIO_REDES!$W:$W,0),MATCH(BA$5,APOIO_REDES!$5:$5,0)),0))*$M914/10,0)</f>
        <v>10.6122698729297</v>
      </c>
      <c r="BB914" s="153" t="n">
        <f aca="false">IFERROR(IF($N914="VCA",INDEX(APOIO_REDES!$A:$W,MATCH($C914&amp;$I914&amp;$H914&amp;$N914&amp;$O914,APOIO_REDES!$W:$W,0),MATCH(BB$5,APOIO_REDES!$5:$5,0)),0)*($AI914+$AQ914+$AR914),0)</f>
        <v>39.1949429501571</v>
      </c>
      <c r="BC914" s="153" t="n">
        <f aca="false">IFERROR(IF($N914="VCA",INDEX(APOIO_REDES!$A:$W,MATCH($C914&amp;$I914&amp;$H914&amp;$N914&amp;$O914,APOIO_REDES!$W:$W,0),MATCH(BC$5,APOIO_REDES!$5:$5,0)),0)*($AI914+$AQ914+$AR914),0)</f>
        <v>0.431143549842913</v>
      </c>
      <c r="BD914" s="153" t="n">
        <f aca="false">IF(AND($N914="VCA",$AF914&gt;=1.25,$AF914&lt;1.5),$M914*$AF914*2,0)</f>
        <v>358.93242</v>
      </c>
      <c r="BE914" s="153" t="n">
        <f aca="false">IF(AND($N914="VCA",$AF914&gt;=1.5,$AF914&lt;3),$M914*$AF914*2,0)</f>
        <v>0</v>
      </c>
      <c r="BF914" s="153" t="n">
        <f aca="false">IF(AND($N914="VCA",$AF914&gt;=3),$M914*$AF914*2,0)</f>
        <v>0</v>
      </c>
      <c r="BG914" s="153" t="n">
        <f aca="false">($BB914+$BC914)*$AK914</f>
        <v>154.54173735</v>
      </c>
      <c r="BH914" s="153" t="n">
        <f aca="false">IF(AND($M914&lt;&gt;"",$N914="VCA",$Q914="LINEAR"),($M914*2)/100,IF(AND($M914&lt;&gt;"",$N914="MND",$Q914="EMBOQUE"),($AN914*2)/100,0))</f>
        <v>2.6334</v>
      </c>
      <c r="BI914" s="153" t="n">
        <f aca="false">IF(AND($M914&lt;&gt;"",$N914="VCA",$Q914="LINEAR"),$M914,IF(AND($M914&lt;&gt;"",$N914="MND",$Q914="EMBOQUE"),$AN914*2,0))</f>
        <v>131.67</v>
      </c>
      <c r="BJ914" s="153" t="n">
        <f aca="false">IF(AND($M914&lt;&gt;"",$N914="VCA",$Q914="LINEAR"),($M914*6.8)/100,IF(AND($M914&lt;&gt;"",$N914="MND",$Q914="EMBOQUE"),($AN914*2*6.8)/100,0))</f>
        <v>8.95356</v>
      </c>
      <c r="BK914" s="153" t="n">
        <f aca="false">IF(AND($M914&lt;&gt;"",$N914="VCA",$Q914="LINEAR"),($M914*2.5)/50,IF(AND($M914&lt;&gt;"",$N914="MND",$Q914="EMBOQUE"),($AN914*2*2.5)/50,0))</f>
        <v>6.5835</v>
      </c>
      <c r="BL914" s="157" t="str">
        <f aca="false">K914&amp;J914</f>
        <v>Zona08REDES</v>
      </c>
      <c r="BM914" s="152" t="s">
        <v>4834</v>
      </c>
      <c r="BN914" s="152" t="s">
        <v>1560</v>
      </c>
      <c r="BO914" s="152" t="s">
        <v>2489</v>
      </c>
      <c r="BP914" s="152" t="s">
        <v>4961</v>
      </c>
      <c r="BQ914" s="152" t="s">
        <v>5016</v>
      </c>
      <c r="BR914" s="152" t="s">
        <v>5017</v>
      </c>
      <c r="BS914" s="152" t="n">
        <v>202910.024</v>
      </c>
      <c r="BT914" s="152" t="n">
        <v>8237157.242</v>
      </c>
      <c r="BU914" s="152" t="n">
        <v>202936.227</v>
      </c>
      <c r="BV914" s="152" t="n">
        <v>8237028.311</v>
      </c>
      <c r="BW914" s="152" t="n">
        <v>-15.9276456</v>
      </c>
      <c r="BX914" s="152" t="n">
        <v>-47.7747059</v>
      </c>
      <c r="BY914" s="152" t="s">
        <v>4961</v>
      </c>
    </row>
    <row r="915" customFormat="false" ht="13.8" hidden="false" customHeight="false" outlineLevel="0" collapsed="false">
      <c r="A915" s="149" t="n">
        <f aca="false">IF(C915&lt;&gt;"",ROW(A910),"")</f>
        <v>910</v>
      </c>
      <c r="B915" s="150" t="str">
        <f aca="false">HYPERLINK("https://www.google.com/maps/dir/-15.917302,-47.760003/-15.9276944,-47.7770869/data=!4m3!4m2!3e0!5i2")</f>
        <v>https://www.google.com/maps/dir/-15.917302,-47.760003/-15.9276944,-47.7770869/data=!4m3!4m2!3e0!5i2</v>
      </c>
      <c r="C915" s="151" t="s">
        <v>117</v>
      </c>
      <c r="D915" s="152" t="s">
        <v>112</v>
      </c>
      <c r="E915" s="152" t="s">
        <v>113</v>
      </c>
      <c r="F915" s="152" t="s">
        <v>117</v>
      </c>
      <c r="G915" s="152" t="s">
        <v>782</v>
      </c>
      <c r="H915" s="152" t="n">
        <v>63</v>
      </c>
      <c r="I915" s="152" t="s">
        <v>115</v>
      </c>
      <c r="J915" s="152" t="s">
        <v>6</v>
      </c>
      <c r="K915" s="152" t="s">
        <v>4831</v>
      </c>
      <c r="L915" s="152" t="s">
        <v>120</v>
      </c>
      <c r="M915" s="153" t="n">
        <f aca="false">46.07</f>
        <v>46.07</v>
      </c>
      <c r="N915" s="152" t="s">
        <v>1548</v>
      </c>
      <c r="O915" s="152" t="s">
        <v>1549</v>
      </c>
      <c r="P915" s="152" t="s">
        <v>1550</v>
      </c>
      <c r="Q915" s="152" t="s">
        <v>1551</v>
      </c>
      <c r="R915" s="154" t="s">
        <v>5018</v>
      </c>
      <c r="S915" s="154" t="s">
        <v>1553</v>
      </c>
      <c r="T915" s="155" t="s">
        <v>2487</v>
      </c>
      <c r="U915" s="152" t="str">
        <f aca="false">RIGHT(T915,7)</f>
        <v>011/037</v>
      </c>
      <c r="V915" s="152" t="s">
        <v>1555</v>
      </c>
      <c r="W915" s="156" t="n">
        <v>45882</v>
      </c>
      <c r="X915" s="152" t="s">
        <v>1594</v>
      </c>
      <c r="Y915" s="152"/>
      <c r="Z915" s="152" t="s">
        <v>1557</v>
      </c>
      <c r="AA915" s="153" t="n">
        <v>3.9</v>
      </c>
      <c r="AB915" s="151" t="s">
        <v>5019</v>
      </c>
      <c r="AC915" s="151" t="s">
        <v>186</v>
      </c>
      <c r="AD915" s="151" t="str">
        <f aca="false">CONCATENATE($C915,$I915,$H915,$N915,$J915,$K915)</f>
        <v>TUBO PEADPEAD63VCAREDESZona08</v>
      </c>
      <c r="AE915" s="153" t="n">
        <f aca="false">IFERROR(INDEX(APOIO_REDES!$A:$W,MATCH($C915&amp;$I915&amp;$H915&amp;$N915&amp;$O915,APOIO_REDES!$W:$W,0),MATCH(AE$5,APOIO_REDES!$5:$5,0)),0)</f>
        <v>1.2</v>
      </c>
      <c r="AF915" s="153" t="n">
        <f aca="false">IFERROR(INDEX(APOIO_REDES!$A:$W,MATCH($C915&amp;$I915&amp;$H915&amp;$N915&amp;$O915,APOIO_REDES!$W:$W,0),MATCH(AF$5,APOIO_REDES!$5:$5,0)),0)</f>
        <v>1.363</v>
      </c>
      <c r="AG915" s="153" t="n">
        <f aca="false">IFERROR(INDEX(APOIO_REDES!$A:$W,MATCH($C915&amp;$I915&amp;$H915&amp;$N915&amp;$O915,APOIO_REDES!$W:$W,0),MATCH(AG$5,APOIO_REDES!$5:$5,0)),0)</f>
        <v>0.65</v>
      </c>
      <c r="AH915" s="153" t="n">
        <f aca="false">IFERROR(INDEX(APOIO_REDES!$A:$W,MATCH($C915&amp;$I915&amp;$H915&amp;$N915&amp;$O915,APOIO_REDES!$W:$W,0),MATCH(AH$5,APOIO_REDES!$5:$5,0)),0)</f>
        <v>0.1</v>
      </c>
      <c r="AI915" s="153" t="n">
        <f aca="false">IFERROR(IF($H915&lt;&gt;"",(((($H915/1000)/2)^2)*PI()*$M915),0),0)</f>
        <v>0.143611491455862</v>
      </c>
      <c r="AJ915" s="153" t="n">
        <f aca="false">IFERROR(IF(AND($H915&lt;&gt;"",$I915="FoFo",OR($N915="MND",$N915="VCA"),$Q915="LINEAR"),0,IF(AND($H915&lt;&gt;"",$I915="PEAD",$N915="VCA",$Q915="LINEAR"),($H915/1000)+0.3,IF(AND($H915&lt;&gt;"",$I915="PEAD",$N915="MND",$Q915="EMBOQUE"),0,IF(AND($H915&lt;&gt;"",$I915="PVC",$N915="VCA",$Q915="LINEAR"),($H915/1000)+0.2,IF(AND($H915&lt;&gt;"",$I915="PVC",$N915="MND",$Q915="EMBOQUE"),0,IF(AND($H915&lt;&gt;"",$I915="PEAD",$N915="VCA",$Q915="PREDIAL"),0,0)))))),0)</f>
        <v>0.363</v>
      </c>
      <c r="AK915" s="153" t="n">
        <f aca="false">IF(AA915&lt;&gt;"",AA915,0)</f>
        <v>3.9</v>
      </c>
      <c r="AL915" s="153" t="n">
        <f aca="false">IF(AND($N915="MND",$Q915="EMBOQUE"),$M915,IF(AND($N915="VCA",$Q915="LINEAR"),$M915,IF(AND($N915="VCA",$Q915="PREDIAL"),0,0)))</f>
        <v>46.07</v>
      </c>
      <c r="AM915" s="153" t="n">
        <f aca="false">IF(AND($N915="MND",$Q915="EMBOQUE"),$M915,IF(AND($N915="VCA",$Q915="LINEAR"),$M915,IF(AND($N915="VCA",$Q915="PREDIAL"),0,0)))</f>
        <v>46.07</v>
      </c>
      <c r="AN915" s="153" t="n">
        <f aca="false">ROUND(IF(AND($N915="VCA",$M915&lt;&gt;"",$Q915="LINEAR"),$M915/100,IF(AND($N915="MND",$M915&gt;100,$Q915="EMBOQUE"),$M915/100,0)),0)</f>
        <v>0</v>
      </c>
      <c r="AO915" s="153" t="n">
        <f aca="false">IF(AND($N915="MND",$Q915="EMBOQUE"),$AN915*2*2,IF(AND($N915="VCA",$Q915="LINEAR"),$M915*2,IF(AND($N915="VCA",$Q915="PREDIAL"),0,0)))</f>
        <v>92.14</v>
      </c>
      <c r="AP915" s="153" t="n">
        <f aca="false">IFERROR($M915*$AF915*$AG915,0)</f>
        <v>40.8157165</v>
      </c>
      <c r="AQ915" s="153" t="n">
        <f aca="false">IFERROR(IF(AND($N915="VCA",$AH915&gt;0),$M915*$AG915*$AH915,0),0)</f>
        <v>2.99455</v>
      </c>
      <c r="AR915" s="153" t="n">
        <f aca="false">IFERROR(IF(AND($N915="VCA",$AJ915&gt;0),($M915*$AG915*$AJ915)-$AI915,0),0)</f>
        <v>10.7266050085441</v>
      </c>
      <c r="AS915" s="153" t="n">
        <f aca="false">IFERROR(IF(AND($N915="VCA",$AP915&gt;0),$AP915-$AI915-$AQ915-$AR915,0),0)</f>
        <v>26.95095</v>
      </c>
      <c r="AT915" s="153" t="n">
        <f aca="false">IFERROR(IF($N915="VCA",INDEX(APOIO_REDES!$A:$W,MATCH($C915&amp;$I915&amp;$H915&amp;$N915&amp;$O915,APOIO_REDES!$W:$W,0),MATCH(AT$5,APOIO_REDES!$5:$5,0)),0)*$AP915,0)</f>
        <v>0.444087076355419</v>
      </c>
      <c r="AU915" s="153" t="n">
        <f aca="false">IFERROR(IF($N915="VCA",INDEX(APOIO_REDES!$A:$W,MATCH($C915&amp;$I915&amp;$H915&amp;$N915&amp;$O915,APOIO_REDES!$W:$W,0),MATCH(AU$5,APOIO_REDES!$5:$5,0)),0)*$AP915,0)</f>
        <v>0.354635911774089</v>
      </c>
      <c r="AV915" s="153" t="n">
        <f aca="false">IFERROR(IF($N915="VCA",INDEX(APOIO_REDES!$A:$W,MATCH($C915&amp;$I915&amp;$H915&amp;$N915&amp;$O915,APOIO_REDES!$W:$W,0),MATCH(AV$5,APOIO_REDES!$5:$5,0)),0)*$AP915,0)</f>
        <v>0.0490788261884711</v>
      </c>
      <c r="AW915" s="153" t="n">
        <f aca="false">IFERROR(IF($N915="VCA",INDEX(APOIO_REDES!$A:$W,MATCH($C915&amp;$I915&amp;$H915&amp;$N915&amp;$O915,APOIO_REDES!$W:$W,0),MATCH(AW$5,APOIO_REDES!$5:$5,0)),0)*$AP915,0)</f>
        <v>28.016224061204</v>
      </c>
      <c r="AX915" s="153" t="n">
        <f aca="false">IFERROR(IF($N915="VCA",INDEX(APOIO_REDES!$A:$W,MATCH($C915&amp;$I915&amp;$H915&amp;$N915&amp;$O915,APOIO_REDES!$W:$W,0),MATCH(AX$5,APOIO_REDES!$5:$5,0)),0)*$AP915,0)</f>
        <v>3.87736560434575</v>
      </c>
      <c r="AY915" s="153" t="n">
        <f aca="false">IFERROR(IF($N915="VCA",INDEX(APOIO_REDES!$A:$W,MATCH($C915&amp;$I915&amp;$H915&amp;$N915&amp;$O915,APOIO_REDES!$W:$W,0),MATCH(AY$5,APOIO_REDES!$5:$5,0)),0)*$AP915,0)</f>
        <v>7.09271391249876</v>
      </c>
      <c r="AZ915" s="153" t="n">
        <f aca="false">IFERROR(IF($N915="VCA",INDEX(APOIO_REDES!$A:$W,MATCH($C915&amp;$I915&amp;$H915&amp;$N915&amp;$O915,APOIO_REDES!$W:$W,0),MATCH(AZ$5,APOIO_REDES!$5:$5,0)),0)*$AP915,0)</f>
        <v>0.981611107633556</v>
      </c>
      <c r="BA915" s="153" t="n">
        <f aca="false">IFERROR(IF(AND($N915="VCA",$Q915="LINEAR"),INDEX(APOIO_REDES!$A:$W,MATCH($C915&amp;$I915&amp;$H915&amp;$N915&amp;$O915,APOIO_REDES!$W:$W,0),MATCH(BA$5,APOIO_REDES!$5:$5,0)),IF(AND($N915="MND",$Q915="EMBOQUE"),INDEX(APOIO_REDES!$A:$W,MATCH($C915&amp;$I915&amp;$H915&amp;$N915&amp;$O915,APOIO_REDES!$W:$W,0),MATCH(BA$5,APOIO_REDES!$5:$5,0)),0))*$M915/10,0)</f>
        <v>3.71312579210048</v>
      </c>
      <c r="BB915" s="153" t="n">
        <f aca="false">IFERROR(IF($N915="VCA",INDEX(APOIO_REDES!$A:$W,MATCH($C915&amp;$I915&amp;$H915&amp;$N915&amp;$O915,APOIO_REDES!$W:$W,0),MATCH(BB$5,APOIO_REDES!$5:$5,0)),0)*($AI915+$AQ915+$AR915),0)</f>
        <v>13.7139137367186</v>
      </c>
      <c r="BC915" s="153" t="n">
        <f aca="false">IFERROR(IF($N915="VCA",INDEX(APOIO_REDES!$A:$W,MATCH($C915&amp;$I915&amp;$H915&amp;$N915&amp;$O915,APOIO_REDES!$W:$W,0),MATCH(BC$5,APOIO_REDES!$5:$5,0)),0)*($AI915+$AQ915+$AR915),0)</f>
        <v>0.150852763281408</v>
      </c>
      <c r="BD915" s="153" t="n">
        <f aca="false">IF(AND($N915="VCA",$AF915&gt;=1.25,$AF915&lt;1.5),$M915*$AF915*2,0)</f>
        <v>125.58682</v>
      </c>
      <c r="BE915" s="153" t="n">
        <f aca="false">IF(AND($N915="VCA",$AF915&gt;=1.5,$AF915&lt;3),$M915*$AF915*2,0)</f>
        <v>0</v>
      </c>
      <c r="BF915" s="153" t="n">
        <f aca="false">IF(AND($N915="VCA",$AF915&gt;=3),$M915*$AF915*2,0)</f>
        <v>0</v>
      </c>
      <c r="BG915" s="153" t="n">
        <f aca="false">($BB915+$BC915)*$AK915</f>
        <v>54.07258935</v>
      </c>
      <c r="BH915" s="153" t="n">
        <f aca="false">IF(AND($M915&lt;&gt;"",$N915="VCA",$Q915="LINEAR"),($M915*2)/100,IF(AND($M915&lt;&gt;"",$N915="MND",$Q915="EMBOQUE"),($AN915*2)/100,0))</f>
        <v>0.9214</v>
      </c>
      <c r="BI915" s="153" t="n">
        <f aca="false">IF(AND($M915&lt;&gt;"",$N915="VCA",$Q915="LINEAR"),$M915,IF(AND($M915&lt;&gt;"",$N915="MND",$Q915="EMBOQUE"),$AN915*2,0))</f>
        <v>46.07</v>
      </c>
      <c r="BJ915" s="153" t="n">
        <f aca="false">IF(AND($M915&lt;&gt;"",$N915="VCA",$Q915="LINEAR"),($M915*6.8)/100,IF(AND($M915&lt;&gt;"",$N915="MND",$Q915="EMBOQUE"),($AN915*2*6.8)/100,0))</f>
        <v>3.13276</v>
      </c>
      <c r="BK915" s="153" t="n">
        <f aca="false">IF(AND($M915&lt;&gt;"",$N915="VCA",$Q915="LINEAR"),($M915*2.5)/50,IF(AND($M915&lt;&gt;"",$N915="MND",$Q915="EMBOQUE"),($AN915*2*2.5)/50,0))</f>
        <v>2.3035</v>
      </c>
      <c r="BL915" s="157" t="str">
        <f aca="false">K915&amp;J915</f>
        <v>Zona08REDES</v>
      </c>
      <c r="BM915" s="152" t="s">
        <v>4834</v>
      </c>
      <c r="BN915" s="152" t="s">
        <v>1560</v>
      </c>
      <c r="BO915" s="152" t="s">
        <v>2489</v>
      </c>
      <c r="BP915" s="152" t="s">
        <v>4987</v>
      </c>
      <c r="BQ915" s="152" t="s">
        <v>4979</v>
      </c>
      <c r="BR915" s="152" t="s">
        <v>5020</v>
      </c>
      <c r="BS915" s="152" t="n">
        <v>202668.931</v>
      </c>
      <c r="BT915" s="152" t="n">
        <v>8237084.102</v>
      </c>
      <c r="BU915" s="152" t="n">
        <v>202712.852</v>
      </c>
      <c r="BV915" s="152" t="n">
        <v>8237097.434</v>
      </c>
      <c r="BW915" s="152" t="n">
        <v>-15.9276414</v>
      </c>
      <c r="BX915" s="152" t="n">
        <v>-47.7768805</v>
      </c>
      <c r="BY915" s="152" t="s">
        <v>4987</v>
      </c>
    </row>
    <row r="916" customFormat="false" ht="13.8" hidden="false" customHeight="false" outlineLevel="0" collapsed="false">
      <c r="A916" s="149" t="n">
        <f aca="false">IF(C916&lt;&gt;"",ROW(A911),"")</f>
        <v>911</v>
      </c>
      <c r="B916" s="150" t="str">
        <f aca="false">HYPERLINK("https://www.google.com/maps/dir/-15.917302,-47.760003/-15.9276944,-47.7770869/data=!4m3!4m2!3e0!5i2")</f>
        <v>https://www.google.com/maps/dir/-15.917302,-47.760003/-15.9276944,-47.7770869/data=!4m3!4m2!3e0!5i2</v>
      </c>
      <c r="C916" s="151" t="s">
        <v>117</v>
      </c>
      <c r="D916" s="152" t="s">
        <v>112</v>
      </c>
      <c r="E916" s="152" t="s">
        <v>113</v>
      </c>
      <c r="F916" s="152" t="s">
        <v>117</v>
      </c>
      <c r="G916" s="152" t="s">
        <v>782</v>
      </c>
      <c r="H916" s="152" t="n">
        <v>63</v>
      </c>
      <c r="I916" s="152" t="s">
        <v>115</v>
      </c>
      <c r="J916" s="152" t="s">
        <v>6</v>
      </c>
      <c r="K916" s="152" t="s">
        <v>4831</v>
      </c>
      <c r="L916" s="152" t="s">
        <v>120</v>
      </c>
      <c r="M916" s="153" t="n">
        <f aca="false">82.17+0.19</f>
        <v>82.36</v>
      </c>
      <c r="N916" s="152" t="s">
        <v>1548</v>
      </c>
      <c r="O916" s="152" t="s">
        <v>1549</v>
      </c>
      <c r="P916" s="152" t="s">
        <v>1550</v>
      </c>
      <c r="Q916" s="152" t="s">
        <v>1551</v>
      </c>
      <c r="R916" s="154" t="s">
        <v>5021</v>
      </c>
      <c r="S916" s="154" t="s">
        <v>1553</v>
      </c>
      <c r="T916" s="155" t="s">
        <v>2487</v>
      </c>
      <c r="U916" s="152" t="str">
        <f aca="false">RIGHT(T916,7)</f>
        <v>011/037</v>
      </c>
      <c r="V916" s="152" t="s">
        <v>1555</v>
      </c>
      <c r="W916" s="156" t="n">
        <v>45882</v>
      </c>
      <c r="X916" s="152" t="s">
        <v>1594</v>
      </c>
      <c r="Y916" s="152"/>
      <c r="Z916" s="152" t="s">
        <v>1557</v>
      </c>
      <c r="AA916" s="153" t="n">
        <v>3.9</v>
      </c>
      <c r="AB916" s="151" t="s">
        <v>5022</v>
      </c>
      <c r="AC916" s="151" t="s">
        <v>186</v>
      </c>
      <c r="AD916" s="151" t="str">
        <f aca="false">CONCATENATE($C916,$I916,$H916,$N916,$J916,$K916)</f>
        <v>TUBO PEADPEAD63VCAREDESZona08</v>
      </c>
      <c r="AE916" s="153" t="n">
        <f aca="false">IFERROR(INDEX(APOIO_REDES!$A:$W,MATCH($C916&amp;$I916&amp;$H916&amp;$N916&amp;$O916,APOIO_REDES!$W:$W,0),MATCH(AE$5,APOIO_REDES!$5:$5,0)),0)</f>
        <v>1.2</v>
      </c>
      <c r="AF916" s="153" t="n">
        <f aca="false">IFERROR(INDEX(APOIO_REDES!$A:$W,MATCH($C916&amp;$I916&amp;$H916&amp;$N916&amp;$O916,APOIO_REDES!$W:$W,0),MATCH(AF$5,APOIO_REDES!$5:$5,0)),0)</f>
        <v>1.363</v>
      </c>
      <c r="AG916" s="153" t="n">
        <f aca="false">IFERROR(INDEX(APOIO_REDES!$A:$W,MATCH($C916&amp;$I916&amp;$H916&amp;$N916&amp;$O916,APOIO_REDES!$W:$W,0),MATCH(AG$5,APOIO_REDES!$5:$5,0)),0)</f>
        <v>0.65</v>
      </c>
      <c r="AH916" s="153" t="n">
        <f aca="false">IFERROR(INDEX(APOIO_REDES!$A:$W,MATCH($C916&amp;$I916&amp;$H916&amp;$N916&amp;$O916,APOIO_REDES!$W:$W,0),MATCH(AH$5,APOIO_REDES!$5:$5,0)),0)</f>
        <v>0.1</v>
      </c>
      <c r="AI916" s="153" t="n">
        <f aca="false">IFERROR(IF($H916&lt;&gt;"",(((($H916/1000)/2)^2)*PI()*$M916),0),0)</f>
        <v>0.256736323774796</v>
      </c>
      <c r="AJ916" s="153" t="n">
        <f aca="false">IFERROR(IF(AND($H916&lt;&gt;"",$I916="FoFo",OR($N916="MND",$N916="VCA"),$Q916="LINEAR"),0,IF(AND($H916&lt;&gt;"",$I916="PEAD",$N916="VCA",$Q916="LINEAR"),($H916/1000)+0.3,IF(AND($H916&lt;&gt;"",$I916="PEAD",$N916="MND",$Q916="EMBOQUE"),0,IF(AND($H916&lt;&gt;"",$I916="PVC",$N916="VCA",$Q916="LINEAR"),($H916/1000)+0.2,IF(AND($H916&lt;&gt;"",$I916="PVC",$N916="MND",$Q916="EMBOQUE"),0,IF(AND($H916&lt;&gt;"",$I916="PEAD",$N916="VCA",$Q916="PREDIAL"),0,0)))))),0)</f>
        <v>0.363</v>
      </c>
      <c r="AK916" s="153" t="n">
        <f aca="false">IF(AA916&lt;&gt;"",AA916,0)</f>
        <v>3.9</v>
      </c>
      <c r="AL916" s="153" t="n">
        <f aca="false">IF(AND($N916="MND",$Q916="EMBOQUE"),$M916,IF(AND($N916="VCA",$Q916="LINEAR"),$M916,IF(AND($N916="VCA",$Q916="PREDIAL"),0,0)))</f>
        <v>82.36</v>
      </c>
      <c r="AM916" s="153" t="n">
        <f aca="false">IF(AND($N916="MND",$Q916="EMBOQUE"),$M916,IF(AND($N916="VCA",$Q916="LINEAR"),$M916,IF(AND($N916="VCA",$Q916="PREDIAL"),0,0)))</f>
        <v>82.36</v>
      </c>
      <c r="AN916" s="153" t="n">
        <f aca="false">ROUND(IF(AND($N916="VCA",$M916&lt;&gt;"",$Q916="LINEAR"),$M916/100,IF(AND($N916="MND",$M916&gt;100,$Q916="EMBOQUE"),$M916/100,0)),0)</f>
        <v>1</v>
      </c>
      <c r="AO916" s="153" t="n">
        <f aca="false">IF(AND($N916="MND",$Q916="EMBOQUE"),$AN916*2*2,IF(AND($N916="VCA",$Q916="LINEAR"),$M916*2,IF(AND($N916="VCA",$Q916="PREDIAL"),0,0)))</f>
        <v>164.72</v>
      </c>
      <c r="AP916" s="153" t="n">
        <f aca="false">IFERROR($M916*$AF916*$AG916,0)</f>
        <v>72.966842</v>
      </c>
      <c r="AQ916" s="153" t="n">
        <f aca="false">IFERROR(IF(AND($N916="VCA",$AH916&gt;0),$M916*$AG916*$AH916,0),0)</f>
        <v>5.3534</v>
      </c>
      <c r="AR916" s="153" t="n">
        <f aca="false">IFERROR(IF(AND($N916="VCA",$AJ916&gt;0),($M916*$AG916*$AJ916)-$AI916,0),0)</f>
        <v>19.1761056762252</v>
      </c>
      <c r="AS916" s="153" t="n">
        <f aca="false">IFERROR(IF(AND($N916="VCA",$AP916&gt;0),$AP916-$AI916-$AQ916-$AR916,0),0)</f>
        <v>48.1806</v>
      </c>
      <c r="AT916" s="153" t="n">
        <f aca="false">IFERROR(IF($N916="VCA",INDEX(APOIO_REDES!$A:$W,MATCH($C916&amp;$I916&amp;$H916&amp;$N916&amp;$O916,APOIO_REDES!$W:$W,0),MATCH(AT$5,APOIO_REDES!$5:$5,0)),0)*$AP916,0)</f>
        <v>0.793900838042811</v>
      </c>
      <c r="AU916" s="153" t="n">
        <f aca="false">IFERROR(IF($N916="VCA",INDEX(APOIO_REDES!$A:$W,MATCH($C916&amp;$I916&amp;$H916&amp;$N916&amp;$O916,APOIO_REDES!$W:$W,0),MATCH(AU$5,APOIO_REDES!$5:$5,0)),0)*$AP916,0)</f>
        <v>0.633987707699456</v>
      </c>
      <c r="AV916" s="153" t="n">
        <f aca="false">IFERROR(IF($N916="VCA",INDEX(APOIO_REDES!$A:$W,MATCH($C916&amp;$I916&amp;$H916&amp;$N916&amp;$O916,APOIO_REDES!$W:$W,0),MATCH(AV$5,APOIO_REDES!$5:$5,0)),0)*$AP916,0)</f>
        <v>0.0877389217469608</v>
      </c>
      <c r="AW916" s="153" t="n">
        <f aca="false">IFERROR(IF($N916="VCA",INDEX(APOIO_REDES!$A:$W,MATCH($C916&amp;$I916&amp;$H916&amp;$N916&amp;$O916,APOIO_REDES!$W:$W,0),MATCH(AW$5,APOIO_REDES!$5:$5,0)),0)*$AP916,0)</f>
        <v>50.0850057234807</v>
      </c>
      <c r="AX916" s="153" t="n">
        <f aca="false">IFERROR(IF($N916="VCA",INDEX(APOIO_REDES!$A:$W,MATCH($C916&amp;$I916&amp;$H916&amp;$N916&amp;$O916,APOIO_REDES!$W:$W,0),MATCH(AX$5,APOIO_REDES!$5:$5,0)),0)*$AP916,0)</f>
        <v>6.93162212229035</v>
      </c>
      <c r="AY916" s="153" t="n">
        <f aca="false">IFERROR(IF($N916="VCA",INDEX(APOIO_REDES!$A:$W,MATCH($C916&amp;$I916&amp;$H916&amp;$N916&amp;$O916,APOIO_REDES!$W:$W,0),MATCH(AY$5,APOIO_REDES!$5:$5,0)),0)*$AP916,0)</f>
        <v>12.6797464257304</v>
      </c>
      <c r="AZ916" s="153" t="n">
        <f aca="false">IFERROR(IF($N916="VCA",INDEX(APOIO_REDES!$A:$W,MATCH($C916&amp;$I916&amp;$H916&amp;$N916&amp;$O916,APOIO_REDES!$W:$W,0),MATCH(AZ$5,APOIO_REDES!$5:$5,0)),0)*$AP916,0)</f>
        <v>1.75484026100933</v>
      </c>
      <c r="BA916" s="153" t="n">
        <f aca="false">IFERROR(IF(AND($N916="VCA",$Q916="LINEAR"),INDEX(APOIO_REDES!$A:$W,MATCH($C916&amp;$I916&amp;$H916&amp;$N916&amp;$O916,APOIO_REDES!$W:$W,0),MATCH(BA$5,APOIO_REDES!$5:$5,0)),IF(AND($N916="MND",$Q916="EMBOQUE"),INDEX(APOIO_REDES!$A:$W,MATCH($C916&amp;$I916&amp;$H916&amp;$N916&amp;$O916,APOIO_REDES!$W:$W,0),MATCH(BA$5,APOIO_REDES!$5:$5,0)),0))*$M916/10,0)</f>
        <v>6.6380082534707</v>
      </c>
      <c r="BB916" s="153" t="n">
        <f aca="false">IFERROR(IF($N916="VCA",INDEX(APOIO_REDES!$A:$W,MATCH($C916&amp;$I916&amp;$H916&amp;$N916&amp;$O916,APOIO_REDES!$W:$W,0),MATCH(BB$5,APOIO_REDES!$5:$5,0)),0)*($AI916+$AQ916+$AR916),0)</f>
        <v>24.5165603506869</v>
      </c>
      <c r="BC916" s="153" t="n">
        <f aca="false">IFERROR(IF($N916="VCA",INDEX(APOIO_REDES!$A:$W,MATCH($C916&amp;$I916&amp;$H916&amp;$N916&amp;$O916,APOIO_REDES!$W:$W,0),MATCH(BC$5,APOIO_REDES!$5:$5,0)),0)*($AI916+$AQ916+$AR916),0)</f>
        <v>0.269681649313149</v>
      </c>
      <c r="BD916" s="153" t="n">
        <f aca="false">IF(AND($N916="VCA",$AF916&gt;=1.25,$AF916&lt;1.5),$M916*$AF916*2,0)</f>
        <v>224.51336</v>
      </c>
      <c r="BE916" s="153" t="n">
        <f aca="false">IF(AND($N916="VCA",$AF916&gt;=1.5,$AF916&lt;3),$M916*$AF916*2,0)</f>
        <v>0</v>
      </c>
      <c r="BF916" s="153" t="n">
        <f aca="false">IF(AND($N916="VCA",$AF916&gt;=3),$M916*$AF916*2,0)</f>
        <v>0</v>
      </c>
      <c r="BG916" s="153" t="n">
        <f aca="false">($BB916+$BC916)*$AK916</f>
        <v>96.6663438</v>
      </c>
      <c r="BH916" s="153" t="n">
        <f aca="false">IF(AND($M916&lt;&gt;"",$N916="VCA",$Q916="LINEAR"),($M916*2)/100,IF(AND($M916&lt;&gt;"",$N916="MND",$Q916="EMBOQUE"),($AN916*2)/100,0))</f>
        <v>1.6472</v>
      </c>
      <c r="BI916" s="153" t="n">
        <f aca="false">IF(AND($M916&lt;&gt;"",$N916="VCA",$Q916="LINEAR"),$M916,IF(AND($M916&lt;&gt;"",$N916="MND",$Q916="EMBOQUE"),$AN916*2,0))</f>
        <v>82.36</v>
      </c>
      <c r="BJ916" s="153" t="n">
        <f aca="false">IF(AND($M916&lt;&gt;"",$N916="VCA",$Q916="LINEAR"),($M916*6.8)/100,IF(AND($M916&lt;&gt;"",$N916="MND",$Q916="EMBOQUE"),($AN916*2*6.8)/100,0))</f>
        <v>5.60048</v>
      </c>
      <c r="BK916" s="153" t="n">
        <f aca="false">IF(AND($M916&lt;&gt;"",$N916="VCA",$Q916="LINEAR"),($M916*2.5)/50,IF(AND($M916&lt;&gt;"",$N916="MND",$Q916="EMBOQUE"),($AN916*2*2.5)/50,0))</f>
        <v>4.118</v>
      </c>
      <c r="BL916" s="157" t="str">
        <f aca="false">K916&amp;J916</f>
        <v>Zona08REDES</v>
      </c>
      <c r="BM916" s="152" t="s">
        <v>4834</v>
      </c>
      <c r="BN916" s="152" t="s">
        <v>1560</v>
      </c>
      <c r="BO916" s="152" t="s">
        <v>2489</v>
      </c>
      <c r="BP916" s="152" t="s">
        <v>4987</v>
      </c>
      <c r="BQ916" s="152" t="s">
        <v>5023</v>
      </c>
      <c r="BR916" s="152" t="s">
        <v>5024</v>
      </c>
      <c r="BS916" s="152" t="n">
        <v>202668.931</v>
      </c>
      <c r="BT916" s="152" t="n">
        <v>8237084.102</v>
      </c>
      <c r="BU916" s="152" t="n">
        <v>202590.545</v>
      </c>
      <c r="BV916" s="152" t="n">
        <v>8237059.467</v>
      </c>
      <c r="BW916" s="152" t="n">
        <v>-15.9277997</v>
      </c>
      <c r="BX916" s="152" t="n">
        <v>-47.7774545</v>
      </c>
      <c r="BY916" s="152" t="s">
        <v>4987</v>
      </c>
    </row>
    <row r="917" customFormat="false" ht="13.8" hidden="false" customHeight="false" outlineLevel="0" collapsed="false">
      <c r="A917" s="149" t="n">
        <f aca="false">IF(C917&lt;&gt;"",ROW(A912),"")</f>
        <v>912</v>
      </c>
      <c r="B917" s="150" t="str">
        <f aca="false">HYPERLINK("https://www.google.com/maps/dir/-15.917302,-47.760003/-15.9285138,-47.7749549/data=!4m3!4m2!3e0!5i2")</f>
        <v>https://www.google.com/maps/dir/-15.917302,-47.760003/-15.9285138,-47.7749549/data=!4m3!4m2!3e0!5i2</v>
      </c>
      <c r="C917" s="151" t="s">
        <v>117</v>
      </c>
      <c r="D917" s="152" t="s">
        <v>112</v>
      </c>
      <c r="E917" s="152" t="s">
        <v>113</v>
      </c>
      <c r="F917" s="152" t="s">
        <v>117</v>
      </c>
      <c r="G917" s="152" t="s">
        <v>782</v>
      </c>
      <c r="H917" s="152" t="n">
        <v>63</v>
      </c>
      <c r="I917" s="152" t="s">
        <v>115</v>
      </c>
      <c r="J917" s="152" t="s">
        <v>6</v>
      </c>
      <c r="K917" s="152" t="s">
        <v>4831</v>
      </c>
      <c r="L917" s="152" t="s">
        <v>120</v>
      </c>
      <c r="M917" s="153" t="n">
        <f aca="false">149.37+0.92</f>
        <v>150.29</v>
      </c>
      <c r="N917" s="152" t="s">
        <v>1548</v>
      </c>
      <c r="O917" s="152" t="s">
        <v>1549</v>
      </c>
      <c r="P917" s="152" t="s">
        <v>1550</v>
      </c>
      <c r="Q917" s="152" t="s">
        <v>1551</v>
      </c>
      <c r="R917" s="154" t="s">
        <v>5025</v>
      </c>
      <c r="S917" s="154" t="s">
        <v>1553</v>
      </c>
      <c r="T917" s="155" t="s">
        <v>2487</v>
      </c>
      <c r="U917" s="152" t="str">
        <f aca="false">RIGHT(T917,7)</f>
        <v>011/037</v>
      </c>
      <c r="V917" s="152" t="s">
        <v>1555</v>
      </c>
      <c r="W917" s="156" t="n">
        <v>45882</v>
      </c>
      <c r="X917" s="152" t="s">
        <v>1594</v>
      </c>
      <c r="Y917" s="152" t="s">
        <v>5026</v>
      </c>
      <c r="Z917" s="152" t="s">
        <v>1557</v>
      </c>
      <c r="AA917" s="153" t="n">
        <v>4</v>
      </c>
      <c r="AB917" s="151" t="s">
        <v>5027</v>
      </c>
      <c r="AC917" s="151" t="s">
        <v>186</v>
      </c>
      <c r="AD917" s="151" t="str">
        <f aca="false">CONCATENATE($C917,$I917,$H917,$N917,$J917,$K917)</f>
        <v>TUBO PEADPEAD63VCAREDESZona08</v>
      </c>
      <c r="AE917" s="153" t="n">
        <f aca="false">IFERROR(INDEX(APOIO_REDES!$A:$W,MATCH($C917&amp;$I917&amp;$H917&amp;$N917&amp;$O917,APOIO_REDES!$W:$W,0),MATCH(AE$5,APOIO_REDES!$5:$5,0)),0)</f>
        <v>1.2</v>
      </c>
      <c r="AF917" s="153" t="n">
        <f aca="false">IFERROR(INDEX(APOIO_REDES!$A:$W,MATCH($C917&amp;$I917&amp;$H917&amp;$N917&amp;$O917,APOIO_REDES!$W:$W,0),MATCH(AF$5,APOIO_REDES!$5:$5,0)),0)</f>
        <v>1.363</v>
      </c>
      <c r="AG917" s="153" t="n">
        <f aca="false">IFERROR(INDEX(APOIO_REDES!$A:$W,MATCH($C917&amp;$I917&amp;$H917&amp;$N917&amp;$O917,APOIO_REDES!$W:$W,0),MATCH(AG$5,APOIO_REDES!$5:$5,0)),0)</f>
        <v>0.65</v>
      </c>
      <c r="AH917" s="153" t="n">
        <f aca="false">IFERROR(INDEX(APOIO_REDES!$A:$W,MATCH($C917&amp;$I917&amp;$H917&amp;$N917&amp;$O917,APOIO_REDES!$W:$W,0),MATCH(AH$5,APOIO_REDES!$5:$5,0)),0)</f>
        <v>0.1</v>
      </c>
      <c r="AI917" s="153" t="n">
        <f aca="false">IFERROR(IF($H917&lt;&gt;"",(((($H917/1000)/2)^2)*PI()*$M917),0),0)</f>
        <v>0.468490797718723</v>
      </c>
      <c r="AJ917" s="153" t="n">
        <f aca="false">IFERROR(IF(AND($H917&lt;&gt;"",$I917="FoFo",OR($N917="MND",$N917="VCA"),$Q917="LINEAR"),0,IF(AND($H917&lt;&gt;"",$I917="PEAD",$N917="VCA",$Q917="LINEAR"),($H917/1000)+0.3,IF(AND($H917&lt;&gt;"",$I917="PEAD",$N917="MND",$Q917="EMBOQUE"),0,IF(AND($H917&lt;&gt;"",$I917="PVC",$N917="VCA",$Q917="LINEAR"),($H917/1000)+0.2,IF(AND($H917&lt;&gt;"",$I917="PVC",$N917="MND",$Q917="EMBOQUE"),0,IF(AND($H917&lt;&gt;"",$I917="PEAD",$N917="VCA",$Q917="PREDIAL"),0,0)))))),0)</f>
        <v>0.363</v>
      </c>
      <c r="AK917" s="153" t="n">
        <f aca="false">IF(AA917&lt;&gt;"",AA917,0)</f>
        <v>4</v>
      </c>
      <c r="AL917" s="153" t="n">
        <f aca="false">IF(AND($N917="MND",$Q917="EMBOQUE"),$M917,IF(AND($N917="VCA",$Q917="LINEAR"),$M917,IF(AND($N917="VCA",$Q917="PREDIAL"),0,0)))</f>
        <v>150.29</v>
      </c>
      <c r="AM917" s="153" t="n">
        <f aca="false">IF(AND($N917="MND",$Q917="EMBOQUE"),$M917,IF(AND($N917="VCA",$Q917="LINEAR"),$M917,IF(AND($N917="VCA",$Q917="PREDIAL"),0,0)))</f>
        <v>150.29</v>
      </c>
      <c r="AN917" s="153" t="n">
        <f aca="false">ROUND(IF(AND($N917="VCA",$M917&lt;&gt;"",$Q917="LINEAR"),$M917/100,IF(AND($N917="MND",$M917&gt;100,$Q917="EMBOQUE"),$M917/100,0)),0)</f>
        <v>2</v>
      </c>
      <c r="AO917" s="153" t="n">
        <f aca="false">IF(AND($N917="MND",$Q917="EMBOQUE"),$AN917*2*2,IF(AND($N917="VCA",$Q917="LINEAR"),$M917*2,IF(AND($N917="VCA",$Q917="PREDIAL"),0,0)))</f>
        <v>300.58</v>
      </c>
      <c r="AP917" s="153" t="n">
        <f aca="false">IFERROR($M917*$AF917*$AG917,0)</f>
        <v>133.1494255</v>
      </c>
      <c r="AQ917" s="153" t="n">
        <f aca="false">IFERROR(IF(AND($N917="VCA",$AH917&gt;0),$M917*$AG917*$AH917,0),0)</f>
        <v>9.76885</v>
      </c>
      <c r="AR917" s="153" t="n">
        <f aca="false">IFERROR(IF(AND($N917="VCA",$AJ917&gt;0),($M917*$AG917*$AJ917)-$AI917,0),0)</f>
        <v>34.9924347022813</v>
      </c>
      <c r="AS917" s="153" t="n">
        <f aca="false">IFERROR(IF(AND($N917="VCA",$AP917&gt;0),$AP917-$AI917-$AQ917-$AR917,0),0)</f>
        <v>87.91965</v>
      </c>
      <c r="AT917" s="153" t="n">
        <f aca="false">IFERROR(IF($N917="VCA",INDEX(APOIO_REDES!$A:$W,MATCH($C917&amp;$I917&amp;$H917&amp;$N917&amp;$O917,APOIO_REDES!$W:$W,0),MATCH(AT$5,APOIO_REDES!$5:$5,0)),0)*$AP917,0)</f>
        <v>1.44870515965826</v>
      </c>
      <c r="AU917" s="153" t="n">
        <f aca="false">IFERROR(IF($N917="VCA",INDEX(APOIO_REDES!$A:$W,MATCH($C917&amp;$I917&amp;$H917&amp;$N917&amp;$O917,APOIO_REDES!$W:$W,0),MATCH(AU$5,APOIO_REDES!$5:$5,0)),0)*$AP917,0)</f>
        <v>1.15689670459144</v>
      </c>
      <c r="AV917" s="153" t="n">
        <f aca="false">IFERROR(IF($N917="VCA",INDEX(APOIO_REDES!$A:$W,MATCH($C917&amp;$I917&amp;$H917&amp;$N917&amp;$O917,APOIO_REDES!$W:$W,0),MATCH(AV$5,APOIO_REDES!$5:$5,0)),0)*$AP917,0)</f>
        <v>0.160105421920237</v>
      </c>
      <c r="AW917" s="153" t="n">
        <f aca="false">IFERROR(IF($N917="VCA",INDEX(APOIO_REDES!$A:$W,MATCH($C917&amp;$I917&amp;$H917&amp;$N917&amp;$O917,APOIO_REDES!$W:$W,0),MATCH(AW$5,APOIO_REDES!$5:$5,0)),0)*$AP917,0)</f>
        <v>91.3947973552929</v>
      </c>
      <c r="AX917" s="153" t="n">
        <f aca="false">IFERROR(IF($N917="VCA",INDEX(APOIO_REDES!$A:$W,MATCH($C917&amp;$I917&amp;$H917&amp;$N917&amp;$O917,APOIO_REDES!$W:$W,0),MATCH(AX$5,APOIO_REDES!$5:$5,0)),0)*$AP917,0)</f>
        <v>12.6487796109643</v>
      </c>
      <c r="AY917" s="153" t="n">
        <f aca="false">IFERROR(IF($N917="VCA",INDEX(APOIO_REDES!$A:$W,MATCH($C917&amp;$I917&amp;$H917&amp;$N917&amp;$O917,APOIO_REDES!$W:$W,0),MATCH(AY$5,APOIO_REDES!$5:$5,0)),0)*$AP917,0)</f>
        <v>23.1379199893518</v>
      </c>
      <c r="AZ917" s="153" t="n">
        <f aca="false">IFERROR(IF($N917="VCA",INDEX(APOIO_REDES!$A:$W,MATCH($C917&amp;$I917&amp;$H917&amp;$N917&amp;$O917,APOIO_REDES!$W:$W,0),MATCH(AZ$5,APOIO_REDES!$5:$5,0)),0)*$AP917,0)</f>
        <v>3.20222125822112</v>
      </c>
      <c r="BA917" s="153" t="n">
        <f aca="false">IFERROR(IF(AND($N917="VCA",$Q917="LINEAR"),INDEX(APOIO_REDES!$A:$W,MATCH($C917&amp;$I917&amp;$H917&amp;$N917&amp;$O917,APOIO_REDES!$W:$W,0),MATCH(BA$5,APOIO_REDES!$5:$5,0)),IF(AND($N917="MND",$Q917="EMBOQUE"),INDEX(APOIO_REDES!$A:$W,MATCH($C917&amp;$I917&amp;$H917&amp;$N917&amp;$O917,APOIO_REDES!$W:$W,0),MATCH(BA$5,APOIO_REDES!$5:$5,0)),0))*$M917/10,0)</f>
        <v>12.1129949054652</v>
      </c>
      <c r="BB917" s="153" t="n">
        <f aca="false">IFERROR(IF($N917="VCA",INDEX(APOIO_REDES!$A:$W,MATCH($C917&amp;$I917&amp;$H917&amp;$N917&amp;$O917,APOIO_REDES!$W:$W,0),MATCH(BB$5,APOIO_REDES!$5:$5,0)),0)*($AI917+$AQ917+$AR917),0)</f>
        <v>44.7376621552298</v>
      </c>
      <c r="BC917" s="153" t="n">
        <f aca="false">IFERROR(IF($N917="VCA",INDEX(APOIO_REDES!$A:$W,MATCH($C917&amp;$I917&amp;$H917&amp;$N917&amp;$O917,APOIO_REDES!$W:$W,0),MATCH(BC$5,APOIO_REDES!$5:$5,0)),0)*($AI917+$AQ917+$AR917),0)</f>
        <v>0.492113344770193</v>
      </c>
      <c r="BD917" s="153" t="n">
        <f aca="false">IF(AND($N917="VCA",$AF917&gt;=1.25,$AF917&lt;1.5),$M917*$AF917*2,0)</f>
        <v>409.69054</v>
      </c>
      <c r="BE917" s="153" t="n">
        <f aca="false">IF(AND($N917="VCA",$AF917&gt;=1.5,$AF917&lt;3),$M917*$AF917*2,0)</f>
        <v>0</v>
      </c>
      <c r="BF917" s="153" t="n">
        <f aca="false">IF(AND($N917="VCA",$AF917&gt;=3),$M917*$AF917*2,0)</f>
        <v>0</v>
      </c>
      <c r="BG917" s="153" t="n">
        <f aca="false">($BB917+$BC917)*$AK917</f>
        <v>180.919102</v>
      </c>
      <c r="BH917" s="153" t="n">
        <f aca="false">IF(AND($M917&lt;&gt;"",$N917="VCA",$Q917="LINEAR"),($M917*2)/100,IF(AND($M917&lt;&gt;"",$N917="MND",$Q917="EMBOQUE"),($AN917*2)/100,0))</f>
        <v>3.0058</v>
      </c>
      <c r="BI917" s="153" t="n">
        <f aca="false">IF(AND($M917&lt;&gt;"",$N917="VCA",$Q917="LINEAR"),$M917,IF(AND($M917&lt;&gt;"",$N917="MND",$Q917="EMBOQUE"),$AN917*2,0))</f>
        <v>150.29</v>
      </c>
      <c r="BJ917" s="153" t="n">
        <f aca="false">IF(AND($M917&lt;&gt;"",$N917="VCA",$Q917="LINEAR"),($M917*6.8)/100,IF(AND($M917&lt;&gt;"",$N917="MND",$Q917="EMBOQUE"),($AN917*2*6.8)/100,0))</f>
        <v>10.21972</v>
      </c>
      <c r="BK917" s="153" t="n">
        <f aca="false">IF(AND($M917&lt;&gt;"",$N917="VCA",$Q917="LINEAR"),($M917*2.5)/50,IF(AND($M917&lt;&gt;"",$N917="MND",$Q917="EMBOQUE"),($AN917*2*2.5)/50,0))</f>
        <v>7.5145</v>
      </c>
      <c r="BL917" s="157" t="str">
        <f aca="false">K917&amp;J917</f>
        <v>Zona08REDES</v>
      </c>
      <c r="BM917" s="152" t="s">
        <v>4834</v>
      </c>
      <c r="BN917" s="152" t="s">
        <v>1560</v>
      </c>
      <c r="BO917" s="152" t="s">
        <v>2489</v>
      </c>
      <c r="BP917" s="152" t="s">
        <v>5028</v>
      </c>
      <c r="BQ917" s="152" t="s">
        <v>4975</v>
      </c>
      <c r="BR917" s="152" t="s">
        <v>5029</v>
      </c>
      <c r="BS917" s="152" t="n">
        <v>202898.225</v>
      </c>
      <c r="BT917" s="152" t="n">
        <v>8236997.262</v>
      </c>
      <c r="BU917" s="152" t="n">
        <v>202865.01</v>
      </c>
      <c r="BV917" s="152" t="n">
        <v>8237142.772</v>
      </c>
      <c r="BW917" s="152" t="n">
        <v>-15.9278492</v>
      </c>
      <c r="BX917" s="152" t="n">
        <v>-47.7751114</v>
      </c>
      <c r="BY917" s="152" t="s">
        <v>5028</v>
      </c>
    </row>
    <row r="918" customFormat="false" ht="13.8" hidden="false" customHeight="false" outlineLevel="0" collapsed="false">
      <c r="A918" s="149" t="n">
        <f aca="false">IF(C918&lt;&gt;"",ROW(A913),"")</f>
        <v>913</v>
      </c>
      <c r="B918" s="150" t="str">
        <f aca="false">HYPERLINK("https://www.google.com/maps/dir/-15.917302,-47.760003/-15.9279092,-47.7778215/data=!4m3!4m2!3e0!5i2")</f>
        <v>https://www.google.com/maps/dir/-15.917302,-47.760003/-15.9279092,-47.7778215/data=!4m3!4m2!3e0!5i2</v>
      </c>
      <c r="C918" s="151" t="s">
        <v>117</v>
      </c>
      <c r="D918" s="152" t="s">
        <v>112</v>
      </c>
      <c r="E918" s="152" t="s">
        <v>113</v>
      </c>
      <c r="F918" s="152" t="s">
        <v>117</v>
      </c>
      <c r="G918" s="152" t="s">
        <v>782</v>
      </c>
      <c r="H918" s="152" t="n">
        <v>63</v>
      </c>
      <c r="I918" s="152" t="s">
        <v>115</v>
      </c>
      <c r="J918" s="152" t="s">
        <v>6</v>
      </c>
      <c r="K918" s="152" t="s">
        <v>4831</v>
      </c>
      <c r="L918" s="152" t="s">
        <v>120</v>
      </c>
      <c r="M918" s="153" t="n">
        <f aca="false">7.91</f>
        <v>7.91</v>
      </c>
      <c r="N918" s="152" t="s">
        <v>1548</v>
      </c>
      <c r="O918" s="152" t="s">
        <v>1549</v>
      </c>
      <c r="P918" s="152" t="s">
        <v>1550</v>
      </c>
      <c r="Q918" s="152" t="s">
        <v>1551</v>
      </c>
      <c r="R918" s="154" t="s">
        <v>5030</v>
      </c>
      <c r="S918" s="154" t="s">
        <v>1553</v>
      </c>
      <c r="T918" s="155" t="s">
        <v>2487</v>
      </c>
      <c r="U918" s="152" t="str">
        <f aca="false">RIGHT(T918,7)</f>
        <v>011/037</v>
      </c>
      <c r="V918" s="152" t="s">
        <v>1555</v>
      </c>
      <c r="W918" s="156" t="n">
        <v>45882</v>
      </c>
      <c r="X918" s="152" t="s">
        <v>1594</v>
      </c>
      <c r="Y918" s="152" t="s">
        <v>5031</v>
      </c>
      <c r="Z918" s="152" t="s">
        <v>1557</v>
      </c>
      <c r="AA918" s="153" t="n">
        <v>4</v>
      </c>
      <c r="AB918" s="151" t="s">
        <v>5032</v>
      </c>
      <c r="AC918" s="151" t="s">
        <v>186</v>
      </c>
      <c r="AD918" s="151" t="str">
        <f aca="false">CONCATENATE($C918,$I918,$H918,$N918,$J918,$K918)</f>
        <v>TUBO PEADPEAD63VCAREDESZona08</v>
      </c>
      <c r="AE918" s="153" t="n">
        <f aca="false">IFERROR(INDEX(APOIO_REDES!$A:$W,MATCH($C918&amp;$I918&amp;$H918&amp;$N918&amp;$O918,APOIO_REDES!$W:$W,0),MATCH(AE$5,APOIO_REDES!$5:$5,0)),0)</f>
        <v>1.2</v>
      </c>
      <c r="AF918" s="153" t="n">
        <f aca="false">IFERROR(INDEX(APOIO_REDES!$A:$W,MATCH($C918&amp;$I918&amp;$H918&amp;$N918&amp;$O918,APOIO_REDES!$W:$W,0),MATCH(AF$5,APOIO_REDES!$5:$5,0)),0)</f>
        <v>1.363</v>
      </c>
      <c r="AG918" s="153" t="n">
        <f aca="false">IFERROR(INDEX(APOIO_REDES!$A:$W,MATCH($C918&amp;$I918&amp;$H918&amp;$N918&amp;$O918,APOIO_REDES!$W:$W,0),MATCH(AG$5,APOIO_REDES!$5:$5,0)),0)</f>
        <v>0.65</v>
      </c>
      <c r="AH918" s="153" t="n">
        <f aca="false">IFERROR(INDEX(APOIO_REDES!$A:$W,MATCH($C918&amp;$I918&amp;$H918&amp;$N918&amp;$O918,APOIO_REDES!$W:$W,0),MATCH(AH$5,APOIO_REDES!$5:$5,0)),0)</f>
        <v>0.1</v>
      </c>
      <c r="AI918" s="153" t="n">
        <f aca="false">IFERROR(IF($H918&lt;&gt;"",(((($H918/1000)/2)^2)*PI()*$M918),0),0)</f>
        <v>0.0246574104062486</v>
      </c>
      <c r="AJ918" s="153" t="n">
        <f aca="false">IFERROR(IF(AND($H918&lt;&gt;"",$I918="FoFo",OR($N918="MND",$N918="VCA"),$Q918="LINEAR"),0,IF(AND($H918&lt;&gt;"",$I918="PEAD",$N918="VCA",$Q918="LINEAR"),($H918/1000)+0.3,IF(AND($H918&lt;&gt;"",$I918="PEAD",$N918="MND",$Q918="EMBOQUE"),0,IF(AND($H918&lt;&gt;"",$I918="PVC",$N918="VCA",$Q918="LINEAR"),($H918/1000)+0.2,IF(AND($H918&lt;&gt;"",$I918="PVC",$N918="MND",$Q918="EMBOQUE"),0,IF(AND($H918&lt;&gt;"",$I918="PEAD",$N918="VCA",$Q918="PREDIAL"),0,0)))))),0)</f>
        <v>0.363</v>
      </c>
      <c r="AK918" s="153" t="n">
        <f aca="false">IF(AA918&lt;&gt;"",AA918,0)</f>
        <v>4</v>
      </c>
      <c r="AL918" s="153" t="n">
        <f aca="false">IF(AND($N918="MND",$Q918="EMBOQUE"),$M918,IF(AND($N918="VCA",$Q918="LINEAR"),$M918,IF(AND($N918="VCA",$Q918="PREDIAL"),0,0)))</f>
        <v>7.91</v>
      </c>
      <c r="AM918" s="153" t="n">
        <f aca="false">IF(AND($N918="MND",$Q918="EMBOQUE"),$M918,IF(AND($N918="VCA",$Q918="LINEAR"),$M918,IF(AND($N918="VCA",$Q918="PREDIAL"),0,0)))</f>
        <v>7.91</v>
      </c>
      <c r="AN918" s="153" t="n">
        <f aca="false">ROUND(IF(AND($N918="VCA",$M918&lt;&gt;"",$Q918="LINEAR"),$M918/100,IF(AND($N918="MND",$M918&gt;100,$Q918="EMBOQUE"),$M918/100,0)),0)</f>
        <v>0</v>
      </c>
      <c r="AO918" s="153" t="n">
        <f aca="false">IF(AND($N918="MND",$Q918="EMBOQUE"),$AN918*2*2,IF(AND($N918="VCA",$Q918="LINEAR"),$M918*2,IF(AND($N918="VCA",$Q918="PREDIAL"),0,0)))</f>
        <v>15.82</v>
      </c>
      <c r="AP918" s="153" t="n">
        <f aca="false">IFERROR($M918*$AF918*$AG918,0)</f>
        <v>7.0078645</v>
      </c>
      <c r="AQ918" s="153" t="n">
        <f aca="false">IFERROR(IF(AND($N918="VCA",$AH918&gt;0),$M918*$AG918*$AH918,0),0)</f>
        <v>0.51415</v>
      </c>
      <c r="AR918" s="153" t="n">
        <f aca="false">IFERROR(IF(AND($N918="VCA",$AJ918&gt;0),($M918*$AG918*$AJ918)-$AI918,0),0)</f>
        <v>1.84170708959375</v>
      </c>
      <c r="AS918" s="153" t="n">
        <f aca="false">IFERROR(IF(AND($N918="VCA",$AP918&gt;0),$AP918-$AI918-$AQ918-$AR918,0),0)</f>
        <v>4.62735</v>
      </c>
      <c r="AT918" s="153" t="n">
        <f aca="false">IFERROR(IF($N918="VCA",INDEX(APOIO_REDES!$A:$W,MATCH($C918&amp;$I918&amp;$H918&amp;$N918&amp;$O918,APOIO_REDES!$W:$W,0),MATCH(AT$5,APOIO_REDES!$5:$5,0)),0)*$AP918,0)</f>
        <v>0.0762476399820136</v>
      </c>
      <c r="AU918" s="153" t="n">
        <f aca="false">IFERROR(IF($N918="VCA",INDEX(APOIO_REDES!$A:$W,MATCH($C918&amp;$I918&amp;$H918&amp;$N918&amp;$O918,APOIO_REDES!$W:$W,0),MATCH(AU$5,APOIO_REDES!$5:$5,0)),0)*$AP918,0)</f>
        <v>0.0608893002416549</v>
      </c>
      <c r="AV918" s="153" t="n">
        <f aca="false">IFERROR(IF($N918="VCA",INDEX(APOIO_REDES!$A:$W,MATCH($C918&amp;$I918&amp;$H918&amp;$N918&amp;$O918,APOIO_REDES!$W:$W,0),MATCH(AV$5,APOIO_REDES!$5:$5,0)),0)*$AP918,0)</f>
        <v>0.00842660115369669</v>
      </c>
      <c r="AW918" s="153" t="n">
        <f aca="false">IFERROR(IF($N918="VCA",INDEX(APOIO_REDES!$A:$W,MATCH($C918&amp;$I918&amp;$H918&amp;$N918&amp;$O918,APOIO_REDES!$W:$W,0),MATCH(AW$5,APOIO_REDES!$5:$5,0)),0)*$AP918,0)</f>
        <v>4.81025249238384</v>
      </c>
      <c r="AX918" s="153" t="n">
        <f aca="false">IFERROR(IF($N918="VCA",INDEX(APOIO_REDES!$A:$W,MATCH($C918&amp;$I918&amp;$H918&amp;$N918&amp;$O918,APOIO_REDES!$W:$W,0),MATCH(AX$5,APOIO_REDES!$5:$5,0)),0)*$AP918,0)</f>
        <v>0.665725242682329</v>
      </c>
      <c r="AY918" s="153" t="n">
        <f aca="false">IFERROR(IF($N918="VCA",INDEX(APOIO_REDES!$A:$W,MATCH($C918&amp;$I918&amp;$H918&amp;$N918&amp;$O918,APOIO_REDES!$W:$W,0),MATCH(AY$5,APOIO_REDES!$5:$5,0)),0)*$AP918,0)</f>
        <v>1.21778526259746</v>
      </c>
      <c r="AZ918" s="153" t="n">
        <f aca="false">IFERROR(IF($N918="VCA",INDEX(APOIO_REDES!$A:$W,MATCH($C918&amp;$I918&amp;$H918&amp;$N918&amp;$O918,APOIO_REDES!$W:$W,0),MATCH(AZ$5,APOIO_REDES!$5:$5,0)),0)*$AP918,0)</f>
        <v>0.168537960959006</v>
      </c>
      <c r="BA918" s="153" t="n">
        <f aca="false">IFERROR(IF(AND($N918="VCA",$Q918="LINEAR"),INDEX(APOIO_REDES!$A:$W,MATCH($C918&amp;$I918&amp;$H918&amp;$N918&amp;$O918,APOIO_REDES!$W:$W,0),MATCH(BA$5,APOIO_REDES!$5:$5,0)),IF(AND($N918="MND",$Q918="EMBOQUE"),INDEX(APOIO_REDES!$A:$W,MATCH($C918&amp;$I918&amp;$H918&amp;$N918&amp;$O918,APOIO_REDES!$W:$W,0),MATCH(BA$5,APOIO_REDES!$5:$5,0)),0))*$M918/10,0)</f>
        <v>0.637526047656062</v>
      </c>
      <c r="BB918" s="153" t="n">
        <f aca="false">IFERROR(IF($N918="VCA",INDEX(APOIO_REDES!$A:$W,MATCH($C918&amp;$I918&amp;$H918&amp;$N918&amp;$O918,APOIO_REDES!$W:$W,0),MATCH(BB$5,APOIO_REDES!$5:$5,0)),0)*($AI918+$AQ918+$AR918),0)</f>
        <v>2.35461379764367</v>
      </c>
      <c r="BC918" s="153" t="n">
        <f aca="false">IFERROR(IF($N918="VCA",INDEX(APOIO_REDES!$A:$W,MATCH($C918&amp;$I918&amp;$H918&amp;$N918&amp;$O918,APOIO_REDES!$W:$W,0),MATCH(BC$5,APOIO_REDES!$5:$5,0)),0)*($AI918+$AQ918+$AR918),0)</f>
        <v>0.025900702356326</v>
      </c>
      <c r="BD918" s="153" t="n">
        <f aca="false">IF(AND($N918="VCA",$AF918&gt;=1.25,$AF918&lt;1.5),$M918*$AF918*2,0)</f>
        <v>21.56266</v>
      </c>
      <c r="BE918" s="153" t="n">
        <f aca="false">IF(AND($N918="VCA",$AF918&gt;=1.5,$AF918&lt;3),$M918*$AF918*2,0)</f>
        <v>0</v>
      </c>
      <c r="BF918" s="153" t="n">
        <f aca="false">IF(AND($N918="VCA",$AF918&gt;=3),$M918*$AF918*2,0)</f>
        <v>0</v>
      </c>
      <c r="BG918" s="153" t="n">
        <f aca="false">($BB918+$BC918)*$AK918</f>
        <v>9.522058</v>
      </c>
      <c r="BH918" s="153" t="n">
        <f aca="false">IF(AND($M918&lt;&gt;"",$N918="VCA",$Q918="LINEAR"),($M918*2)/100,IF(AND($M918&lt;&gt;"",$N918="MND",$Q918="EMBOQUE"),($AN918*2)/100,0))</f>
        <v>0.1582</v>
      </c>
      <c r="BI918" s="153" t="n">
        <f aca="false">IF(AND($M918&lt;&gt;"",$N918="VCA",$Q918="LINEAR"),$M918,IF(AND($M918&lt;&gt;"",$N918="MND",$Q918="EMBOQUE"),$AN918*2,0))</f>
        <v>7.91</v>
      </c>
      <c r="BJ918" s="153" t="n">
        <f aca="false">IF(AND($M918&lt;&gt;"",$N918="VCA",$Q918="LINEAR"),($M918*6.8)/100,IF(AND($M918&lt;&gt;"",$N918="MND",$Q918="EMBOQUE"),($AN918*2*6.8)/100,0))</f>
        <v>0.53788</v>
      </c>
      <c r="BK918" s="153" t="n">
        <f aca="false">IF(AND($M918&lt;&gt;"",$N918="VCA",$Q918="LINEAR"),($M918*2.5)/50,IF(AND($M918&lt;&gt;"",$N918="MND",$Q918="EMBOQUE"),($AN918*2*2.5)/50,0))</f>
        <v>0.3955</v>
      </c>
      <c r="BL918" s="157" t="str">
        <f aca="false">K918&amp;J918</f>
        <v>Zona08REDES</v>
      </c>
      <c r="BM918" s="152" t="s">
        <v>4834</v>
      </c>
      <c r="BN918" s="152" t="s">
        <v>1560</v>
      </c>
      <c r="BO918" s="152" t="s">
        <v>2489</v>
      </c>
      <c r="BP918" s="152" t="s">
        <v>5023</v>
      </c>
      <c r="BQ918" s="152" t="s">
        <v>5005</v>
      </c>
      <c r="BR918" s="152" t="s">
        <v>5033</v>
      </c>
      <c r="BS918" s="152" t="n">
        <v>202590.545</v>
      </c>
      <c r="BT918" s="152" t="n">
        <v>8237059.467</v>
      </c>
      <c r="BU918" s="152" t="n">
        <v>202588.425</v>
      </c>
      <c r="BV918" s="152" t="n">
        <v>8237067.09</v>
      </c>
      <c r="BW918" s="152" t="n">
        <v>-15.9278728</v>
      </c>
      <c r="BX918" s="152" t="n">
        <v>-47.7778308</v>
      </c>
      <c r="BY918" s="152" t="s">
        <v>5023</v>
      </c>
    </row>
    <row r="919" customFormat="false" ht="13.8" hidden="false" customHeight="false" outlineLevel="0" collapsed="false">
      <c r="A919" s="149" t="n">
        <f aca="false">IF(C919&lt;&gt;"",ROW(A914),"")</f>
        <v>914</v>
      </c>
      <c r="B919" s="150" t="str">
        <f aca="false">HYPERLINK("https://www.google.com/maps/dir/-15.917302,-47.760003/-15.9278133,-47.7757573/data=!4m3!4m2!3e0!5i2")</f>
        <v>https://www.google.com/maps/dir/-15.917302,-47.760003/-15.9278133,-47.7757573/data=!4m3!4m2!3e0!5i2</v>
      </c>
      <c r="C919" s="151" t="s">
        <v>117</v>
      </c>
      <c r="D919" s="152" t="s">
        <v>112</v>
      </c>
      <c r="E919" s="152" t="s">
        <v>113</v>
      </c>
      <c r="F919" s="152" t="s">
        <v>117</v>
      </c>
      <c r="G919" s="152" t="s">
        <v>782</v>
      </c>
      <c r="H919" s="152" t="n">
        <v>110</v>
      </c>
      <c r="I919" s="152" t="s">
        <v>115</v>
      </c>
      <c r="J919" s="152" t="s">
        <v>6</v>
      </c>
      <c r="K919" s="152" t="s">
        <v>4831</v>
      </c>
      <c r="L919" s="152" t="s">
        <v>120</v>
      </c>
      <c r="M919" s="153" t="n">
        <f aca="false">40.72</f>
        <v>40.72</v>
      </c>
      <c r="N919" s="152" t="s">
        <v>1548</v>
      </c>
      <c r="O919" s="152" t="s">
        <v>1549</v>
      </c>
      <c r="P919" s="152" t="s">
        <v>1550</v>
      </c>
      <c r="Q919" s="152" t="s">
        <v>1551</v>
      </c>
      <c r="R919" s="154" t="s">
        <v>5034</v>
      </c>
      <c r="S919" s="154" t="s">
        <v>1593</v>
      </c>
      <c r="T919" s="155" t="s">
        <v>2487</v>
      </c>
      <c r="U919" s="152" t="str">
        <f aca="false">RIGHT(T919,7)</f>
        <v>011/037</v>
      </c>
      <c r="V919" s="152" t="s">
        <v>1555</v>
      </c>
      <c r="W919" s="156" t="n">
        <v>45882</v>
      </c>
      <c r="X919" s="152" t="s">
        <v>1594</v>
      </c>
      <c r="Y919" s="152" t="s">
        <v>4973</v>
      </c>
      <c r="Z919" s="152" t="s">
        <v>1557</v>
      </c>
      <c r="AA919" s="153" t="n">
        <v>4</v>
      </c>
      <c r="AB919" s="151" t="s">
        <v>5035</v>
      </c>
      <c r="AC919" s="151" t="s">
        <v>502</v>
      </c>
      <c r="AD919" s="151" t="str">
        <f aca="false">CONCATENATE($C919,$I919,$H919,$N919,$J919,$K919)</f>
        <v>TUBO PEADPEAD110VCAREDESZona08</v>
      </c>
      <c r="AE919" s="153" t="n">
        <f aca="false">IFERROR(INDEX(APOIO_REDES!$A:$W,MATCH($C919&amp;$I919&amp;$H919&amp;$N919&amp;$O919,APOIO_REDES!$W:$W,0),MATCH(AE$5,APOIO_REDES!$5:$5,0)),0)</f>
        <v>1.2</v>
      </c>
      <c r="AF919" s="153" t="n">
        <f aca="false">IFERROR(INDEX(APOIO_REDES!$A:$W,MATCH($C919&amp;$I919&amp;$H919&amp;$N919&amp;$O919,APOIO_REDES!$W:$W,0),MATCH(AF$5,APOIO_REDES!$5:$5,0)),0)</f>
        <v>1.41</v>
      </c>
      <c r="AG919" s="153" t="n">
        <f aca="false">IFERROR(INDEX(APOIO_REDES!$A:$W,MATCH($C919&amp;$I919&amp;$H919&amp;$N919&amp;$O919,APOIO_REDES!$W:$W,0),MATCH(AG$5,APOIO_REDES!$5:$5,0)),0)</f>
        <v>0.75</v>
      </c>
      <c r="AH919" s="153" t="n">
        <f aca="false">IFERROR(INDEX(APOIO_REDES!$A:$W,MATCH($C919&amp;$I919&amp;$H919&amp;$N919&amp;$O919,APOIO_REDES!$W:$W,0),MATCH(AH$5,APOIO_REDES!$5:$5,0)),0)</f>
        <v>0.1</v>
      </c>
      <c r="AI919" s="153" t="n">
        <f aca="false">IFERROR(IF($H919&lt;&gt;"",(((($H919/1000)/2)^2)*PI()*$M919),0),0)</f>
        <v>0.386975099883884</v>
      </c>
      <c r="AJ919" s="153" t="n">
        <f aca="false">IFERROR(IF(AND($H919&lt;&gt;"",$I919="FoFo",OR($N919="MND",$N919="VCA"),$Q919="LINEAR"),0,IF(AND($H919&lt;&gt;"",$I919="PEAD",$N919="VCA",$Q919="LINEAR"),($H919/1000)+0.3,IF(AND($H919&lt;&gt;"",$I919="PEAD",$N919="MND",$Q919="EMBOQUE"),0,IF(AND($H919&lt;&gt;"",$I919="PVC",$N919="VCA",$Q919="LINEAR"),($H919/1000)+0.2,IF(AND($H919&lt;&gt;"",$I919="PVC",$N919="MND",$Q919="EMBOQUE"),0,IF(AND($H919&lt;&gt;"",$I919="PEAD",$N919="VCA",$Q919="PREDIAL"),0,0)))))),0)</f>
        <v>0.41</v>
      </c>
      <c r="AK919" s="153" t="n">
        <f aca="false">IF(AA919&lt;&gt;"",AA919,0)</f>
        <v>4</v>
      </c>
      <c r="AL919" s="153" t="n">
        <f aca="false">IF(AND($N919="MND",$Q919="EMBOQUE"),$M919,IF(AND($N919="VCA",$Q919="LINEAR"),$M919,IF(AND($N919="VCA",$Q919="PREDIAL"),0,0)))</f>
        <v>40.72</v>
      </c>
      <c r="AM919" s="153" t="n">
        <f aca="false">IF(AND($N919="MND",$Q919="EMBOQUE"),$M919,IF(AND($N919="VCA",$Q919="LINEAR"),$M919,IF(AND($N919="VCA",$Q919="PREDIAL"),0,0)))</f>
        <v>40.72</v>
      </c>
      <c r="AN919" s="153" t="n">
        <f aca="false">ROUND(IF(AND($N919="VCA",$M919&lt;&gt;"",$Q919="LINEAR"),$M919/100,IF(AND($N919="MND",$M919&gt;100,$Q919="EMBOQUE"),$M919/100,0)),0)</f>
        <v>0</v>
      </c>
      <c r="AO919" s="153" t="n">
        <f aca="false">IF(AND($N919="MND",$Q919="EMBOQUE"),$AN919*2*2,IF(AND($N919="VCA",$Q919="LINEAR"),$M919*2,IF(AND($N919="VCA",$Q919="PREDIAL"),0,0)))</f>
        <v>81.44</v>
      </c>
      <c r="AP919" s="153" t="n">
        <f aca="false">IFERROR($M919*$AF919*$AG919,0)</f>
        <v>43.0614</v>
      </c>
      <c r="AQ919" s="153" t="n">
        <f aca="false">IFERROR(IF(AND($N919="VCA",$AH919&gt;0),$M919*$AG919*$AH919,0),0)</f>
        <v>3.054</v>
      </c>
      <c r="AR919" s="153" t="n">
        <f aca="false">IFERROR(IF(AND($N919="VCA",$AJ919&gt;0),($M919*$AG919*$AJ919)-$AI919,0),0)</f>
        <v>12.1344249001161</v>
      </c>
      <c r="AS919" s="153" t="n">
        <f aca="false">IFERROR(IF(AND($N919="VCA",$AP919&gt;0),$AP919-$AI919-$AQ919-$AR919,0),0)</f>
        <v>27.486</v>
      </c>
      <c r="AT919" s="153" t="n">
        <f aca="false">IFERROR(IF($N919="VCA",INDEX(APOIO_REDES!$A:$W,MATCH($C919&amp;$I919&amp;$H919&amp;$N919&amp;$O919,APOIO_REDES!$W:$W,0),MATCH(AT$5,APOIO_REDES!$5:$5,0)),0)*$AP919,0)</f>
        <v>0.468520777523806</v>
      </c>
      <c r="AU919" s="153" t="n">
        <f aca="false">IFERROR(IF($N919="VCA",INDEX(APOIO_REDES!$A:$W,MATCH($C919&amp;$I919&amp;$H919&amp;$N919&amp;$O919,APOIO_REDES!$W:$W,0),MATCH(AU$5,APOIO_REDES!$5:$5,0)),0)*$AP919,0)</f>
        <v>0.374148003778612</v>
      </c>
      <c r="AV919" s="153" t="n">
        <f aca="false">IFERROR(IF($N919="VCA",INDEX(APOIO_REDES!$A:$W,MATCH($C919&amp;$I919&amp;$H919&amp;$N919&amp;$O919,APOIO_REDES!$W:$W,0),MATCH(AV$5,APOIO_REDES!$5:$5,0)),0)*$AP919,0)</f>
        <v>0.0517791465459691</v>
      </c>
      <c r="AW919" s="153" t="n">
        <f aca="false">IFERROR(IF($N919="VCA",INDEX(APOIO_REDES!$A:$W,MATCH($C919&amp;$I919&amp;$H919&amp;$N919&amp;$O919,APOIO_REDES!$W:$W,0),MATCH(AW$5,APOIO_REDES!$5:$5,0)),0)*$AP919,0)</f>
        <v>29.5576786160088</v>
      </c>
      <c r="AX919" s="153" t="n">
        <f aca="false">IFERROR(IF($N919="VCA",INDEX(APOIO_REDES!$A:$W,MATCH($C919&amp;$I919&amp;$H919&amp;$N919&amp;$O919,APOIO_REDES!$W:$W,0),MATCH(AX$5,APOIO_REDES!$5:$5,0)),0)*$AP919,0)</f>
        <v>4.09069852381433</v>
      </c>
      <c r="AY919" s="153" t="n">
        <f aca="false">IFERROR(IF($N919="VCA",INDEX(APOIO_REDES!$A:$W,MATCH($C919&amp;$I919&amp;$H919&amp;$N919&amp;$O919,APOIO_REDES!$W:$W,0),MATCH(AY$5,APOIO_REDES!$5:$5,0)),0)*$AP919,0)</f>
        <v>7.4829555147384</v>
      </c>
      <c r="AZ919" s="153" t="n">
        <f aca="false">IFERROR(IF($N919="VCA",INDEX(APOIO_REDES!$A:$W,MATCH($C919&amp;$I919&amp;$H919&amp;$N919&amp;$O919,APOIO_REDES!$W:$W,0),MATCH(AZ$5,APOIO_REDES!$5:$5,0)),0)*$AP919,0)</f>
        <v>1.03561941759008</v>
      </c>
      <c r="BA919" s="153" t="n">
        <f aca="false">IFERROR(IF(AND($N919="VCA",$Q919="LINEAR"),INDEX(APOIO_REDES!$A:$W,MATCH($C919&amp;$I919&amp;$H919&amp;$N919&amp;$O919,APOIO_REDES!$W:$W,0),MATCH(BA$5,APOIO_REDES!$5:$5,0)),IF(AND($N919="MND",$Q919="EMBOQUE"),INDEX(APOIO_REDES!$A:$W,MATCH($C919&amp;$I919&amp;$H919&amp;$N919&amp;$O919,APOIO_REDES!$W:$W,0),MATCH(BA$5,APOIO_REDES!$5:$5,0)),0))*$M919/10,0)</f>
        <v>3.28192928704865</v>
      </c>
      <c r="BB919" s="153" t="n">
        <f aca="false">IFERROR(IF($N919="VCA",INDEX(APOIO_REDES!$A:$W,MATCH($C919&amp;$I919&amp;$H919&amp;$N919&amp;$O919,APOIO_REDES!$W:$W,0),MATCH(BB$5,APOIO_REDES!$5:$5,0)),0)*($AI919+$AQ919+$AR919),0)</f>
        <v>15.4059350379169</v>
      </c>
      <c r="BC919" s="153" t="n">
        <f aca="false">IFERROR(IF($N919="VCA",INDEX(APOIO_REDES!$A:$W,MATCH($C919&amp;$I919&amp;$H919&amp;$N919&amp;$O919,APOIO_REDES!$W:$W,0),MATCH(BC$5,APOIO_REDES!$5:$5,0)),0)*($AI919+$AQ919+$AR919),0)</f>
        <v>0.169464962083079</v>
      </c>
      <c r="BD919" s="153" t="n">
        <f aca="false">IF(AND($N919="VCA",$AF919&gt;=1.25,$AF919&lt;1.5),$M919*$AF919*2,0)</f>
        <v>114.8304</v>
      </c>
      <c r="BE919" s="153" t="n">
        <f aca="false">IF(AND($N919="VCA",$AF919&gt;=1.5,$AF919&lt;3),$M919*$AF919*2,0)</f>
        <v>0</v>
      </c>
      <c r="BF919" s="153" t="n">
        <f aca="false">IF(AND($N919="VCA",$AF919&gt;=3),$M919*$AF919*2,0)</f>
        <v>0</v>
      </c>
      <c r="BG919" s="153" t="n">
        <f aca="false">($BB919+$BC919)*$AK919</f>
        <v>62.3016</v>
      </c>
      <c r="BH919" s="153" t="n">
        <f aca="false">IF(AND($M919&lt;&gt;"",$N919="VCA",$Q919="LINEAR"),($M919*2)/100,IF(AND($M919&lt;&gt;"",$N919="MND",$Q919="EMBOQUE"),($AN919*2)/100,0))</f>
        <v>0.8144</v>
      </c>
      <c r="BI919" s="153" t="n">
        <f aca="false">IF(AND($M919&lt;&gt;"",$N919="VCA",$Q919="LINEAR"),$M919,IF(AND($M919&lt;&gt;"",$N919="MND",$Q919="EMBOQUE"),$AN919*2,0))</f>
        <v>40.72</v>
      </c>
      <c r="BJ919" s="153" t="n">
        <f aca="false">IF(AND($M919&lt;&gt;"",$N919="VCA",$Q919="LINEAR"),($M919*6.8)/100,IF(AND($M919&lt;&gt;"",$N919="MND",$Q919="EMBOQUE"),($AN919*2*6.8)/100,0))</f>
        <v>2.76896</v>
      </c>
      <c r="BK919" s="153" t="n">
        <f aca="false">IF(AND($M919&lt;&gt;"",$N919="VCA",$Q919="LINEAR"),($M919*2.5)/50,IF(AND($M919&lt;&gt;"",$N919="MND",$Q919="EMBOQUE"),($AN919*2*2.5)/50,0))</f>
        <v>2.036</v>
      </c>
      <c r="BL919" s="157" t="str">
        <f aca="false">K919&amp;J919</f>
        <v>Zona08REDES</v>
      </c>
      <c r="BM919" s="152" t="s">
        <v>4834</v>
      </c>
      <c r="BN919" s="152" t="s">
        <v>1560</v>
      </c>
      <c r="BO919" s="152" t="s">
        <v>2489</v>
      </c>
      <c r="BP919" s="152" t="s">
        <v>5012</v>
      </c>
      <c r="BQ919" s="152" t="s">
        <v>5036</v>
      </c>
      <c r="BR919" s="152" t="s">
        <v>5037</v>
      </c>
      <c r="BS919" s="152" t="n">
        <v>202811.548</v>
      </c>
      <c r="BT919" s="152" t="n">
        <v>8237072.831</v>
      </c>
      <c r="BU919" s="152" t="n">
        <v>202819.338</v>
      </c>
      <c r="BV919" s="152" t="n">
        <v>8237032.867</v>
      </c>
      <c r="BW919" s="152" t="n">
        <v>-15.9279944</v>
      </c>
      <c r="BX919" s="152" t="n">
        <v>-47.7757249</v>
      </c>
      <c r="BY919" s="152" t="s">
        <v>5012</v>
      </c>
    </row>
    <row r="920" customFormat="false" ht="13.8" hidden="false" customHeight="false" outlineLevel="0" collapsed="false">
      <c r="A920" s="149" t="n">
        <f aca="false">IF(C920&lt;&gt;"",ROW(A915),"")</f>
        <v>915</v>
      </c>
      <c r="B920" s="150" t="str">
        <f aca="false">HYPERLINK("https://www.google.com/maps/dir/-15.917302,-47.760003/-15.9281788,-47.7745238/data=!4m3!4m2!3e0!5i2")</f>
        <v>https://www.google.com/maps/dir/-15.917302,-47.760003/-15.9281788,-47.7745238/data=!4m3!4m2!3e0!5i2</v>
      </c>
      <c r="C920" s="151" t="s">
        <v>117</v>
      </c>
      <c r="D920" s="152" t="s">
        <v>112</v>
      </c>
      <c r="E920" s="152" t="s">
        <v>113</v>
      </c>
      <c r="F920" s="152" t="s">
        <v>117</v>
      </c>
      <c r="G920" s="152" t="s">
        <v>782</v>
      </c>
      <c r="H920" s="152" t="n">
        <v>63</v>
      </c>
      <c r="I920" s="152" t="s">
        <v>115</v>
      </c>
      <c r="J920" s="152" t="s">
        <v>6</v>
      </c>
      <c r="K920" s="152" t="s">
        <v>4831</v>
      </c>
      <c r="L920" s="152" t="s">
        <v>120</v>
      </c>
      <c r="M920" s="153" t="n">
        <f aca="false">47.56</f>
        <v>47.56</v>
      </c>
      <c r="N920" s="152" t="s">
        <v>1548</v>
      </c>
      <c r="O920" s="152" t="s">
        <v>1549</v>
      </c>
      <c r="P920" s="152" t="s">
        <v>1550</v>
      </c>
      <c r="Q920" s="152" t="s">
        <v>1551</v>
      </c>
      <c r="R920" s="154" t="s">
        <v>5038</v>
      </c>
      <c r="S920" s="154" t="s">
        <v>1553</v>
      </c>
      <c r="T920" s="155" t="s">
        <v>2487</v>
      </c>
      <c r="U920" s="152" t="str">
        <f aca="false">RIGHT(T920,7)</f>
        <v>011/037</v>
      </c>
      <c r="V920" s="152" t="s">
        <v>1555</v>
      </c>
      <c r="W920" s="156" t="n">
        <v>45882</v>
      </c>
      <c r="X920" s="152" t="s">
        <v>1594</v>
      </c>
      <c r="Y920" s="152" t="s">
        <v>4973</v>
      </c>
      <c r="Z920" s="152" t="s">
        <v>1557</v>
      </c>
      <c r="AA920" s="153" t="n">
        <v>4</v>
      </c>
      <c r="AB920" s="151" t="s">
        <v>5039</v>
      </c>
      <c r="AC920" s="151" t="s">
        <v>186</v>
      </c>
      <c r="AD920" s="151" t="str">
        <f aca="false">CONCATENATE($C920,$I920,$H920,$N920,$J920,$K920)</f>
        <v>TUBO PEADPEAD63VCAREDESZona08</v>
      </c>
      <c r="AE920" s="153" t="n">
        <f aca="false">IFERROR(INDEX(APOIO_REDES!$A:$W,MATCH($C920&amp;$I920&amp;$H920&amp;$N920&amp;$O920,APOIO_REDES!$W:$W,0),MATCH(AE$5,APOIO_REDES!$5:$5,0)),0)</f>
        <v>1.2</v>
      </c>
      <c r="AF920" s="153" t="n">
        <f aca="false">IFERROR(INDEX(APOIO_REDES!$A:$W,MATCH($C920&amp;$I920&amp;$H920&amp;$N920&amp;$O920,APOIO_REDES!$W:$W,0),MATCH(AF$5,APOIO_REDES!$5:$5,0)),0)</f>
        <v>1.363</v>
      </c>
      <c r="AG920" s="153" t="n">
        <f aca="false">IFERROR(INDEX(APOIO_REDES!$A:$W,MATCH($C920&amp;$I920&amp;$H920&amp;$N920&amp;$O920,APOIO_REDES!$W:$W,0),MATCH(AG$5,APOIO_REDES!$5:$5,0)),0)</f>
        <v>0.65</v>
      </c>
      <c r="AH920" s="153" t="n">
        <f aca="false">IFERROR(INDEX(APOIO_REDES!$A:$W,MATCH($C920&amp;$I920&amp;$H920&amp;$N920&amp;$O920,APOIO_REDES!$W:$W,0),MATCH(AH$5,APOIO_REDES!$5:$5,0)),0)</f>
        <v>0.1</v>
      </c>
      <c r="AI920" s="153" t="n">
        <f aca="false">IFERROR(IF($H920&lt;&gt;"",(((($H920/1000)/2)^2)*PI()*$M920),0),0)</f>
        <v>0.148256186968544</v>
      </c>
      <c r="AJ920" s="153" t="n">
        <f aca="false">IFERROR(IF(AND($H920&lt;&gt;"",$I920="FoFo",OR($N920="MND",$N920="VCA"),$Q920="LINEAR"),0,IF(AND($H920&lt;&gt;"",$I920="PEAD",$N920="VCA",$Q920="LINEAR"),($H920/1000)+0.3,IF(AND($H920&lt;&gt;"",$I920="PEAD",$N920="MND",$Q920="EMBOQUE"),0,IF(AND($H920&lt;&gt;"",$I920="PVC",$N920="VCA",$Q920="LINEAR"),($H920/1000)+0.2,IF(AND($H920&lt;&gt;"",$I920="PVC",$N920="MND",$Q920="EMBOQUE"),0,IF(AND($H920&lt;&gt;"",$I920="PEAD",$N920="VCA",$Q920="PREDIAL"),0,0)))))),0)</f>
        <v>0.363</v>
      </c>
      <c r="AK920" s="153" t="n">
        <f aca="false">IF(AA920&lt;&gt;"",AA920,0)</f>
        <v>4</v>
      </c>
      <c r="AL920" s="153" t="n">
        <f aca="false">IF(AND($N920="MND",$Q920="EMBOQUE"),$M920,IF(AND($N920="VCA",$Q920="LINEAR"),$M920,IF(AND($N920="VCA",$Q920="PREDIAL"),0,0)))</f>
        <v>47.56</v>
      </c>
      <c r="AM920" s="153" t="n">
        <f aca="false">IF(AND($N920="MND",$Q920="EMBOQUE"),$M920,IF(AND($N920="VCA",$Q920="LINEAR"),$M920,IF(AND($N920="VCA",$Q920="PREDIAL"),0,0)))</f>
        <v>47.56</v>
      </c>
      <c r="AN920" s="153" t="n">
        <f aca="false">ROUND(IF(AND($N920="VCA",$M920&lt;&gt;"",$Q920="LINEAR"),$M920/100,IF(AND($N920="MND",$M920&gt;100,$Q920="EMBOQUE"),$M920/100,0)),0)</f>
        <v>0</v>
      </c>
      <c r="AO920" s="153" t="n">
        <f aca="false">IF(AND($N920="MND",$Q920="EMBOQUE"),$AN920*2*2,IF(AND($N920="VCA",$Q920="LINEAR"),$M920*2,IF(AND($N920="VCA",$Q920="PREDIAL"),0,0)))</f>
        <v>95.12</v>
      </c>
      <c r="AP920" s="153" t="n">
        <f aca="false">IFERROR($M920*$AF920*$AG920,0)</f>
        <v>42.135782</v>
      </c>
      <c r="AQ920" s="153" t="n">
        <f aca="false">IFERROR(IF(AND($N920="VCA",$AH920&gt;0),$M920*$AG920*$AH920,0),0)</f>
        <v>3.0914</v>
      </c>
      <c r="AR920" s="153" t="n">
        <f aca="false">IFERROR(IF(AND($N920="VCA",$AJ920&gt;0),($M920*$AG920*$AJ920)-$AI920,0),0)</f>
        <v>11.0735258130315</v>
      </c>
      <c r="AS920" s="153" t="n">
        <f aca="false">IFERROR(IF(AND($N920="VCA",$AP920&gt;0),$AP920-$AI920-$AQ920-$AR920,0),0)</f>
        <v>27.8226</v>
      </c>
      <c r="AT920" s="153" t="n">
        <f aca="false">IFERROR(IF($N920="VCA",INDEX(APOIO_REDES!$A:$W,MATCH($C920&amp;$I920&amp;$H920&amp;$N920&amp;$O920,APOIO_REDES!$W:$W,0),MATCH(AT$5,APOIO_REDES!$5:$5,0)),0)*$AP920,0)</f>
        <v>0.458449779714863</v>
      </c>
      <c r="AU920" s="153" t="n">
        <f aca="false">IFERROR(IF($N920="VCA",INDEX(APOIO_REDES!$A:$W,MATCH($C920&amp;$I920&amp;$H920&amp;$N920&amp;$O920,APOIO_REDES!$W:$W,0),MATCH(AU$5,APOIO_REDES!$5:$5,0)),0)*$AP920,0)</f>
        <v>0.366105577685602</v>
      </c>
      <c r="AV920" s="153" t="n">
        <f aca="false">IFERROR(IF($N920="VCA",INDEX(APOIO_REDES!$A:$W,MATCH($C920&amp;$I920&amp;$H920&amp;$N920&amp;$O920,APOIO_REDES!$W:$W,0),MATCH(AV$5,APOIO_REDES!$5:$5,0)),0)*$AP920,0)</f>
        <v>0.0506661379102168</v>
      </c>
      <c r="AW920" s="153" t="n">
        <f aca="false">IFERROR(IF($N920="VCA",INDEX(APOIO_REDES!$A:$W,MATCH($C920&amp;$I920&amp;$H920&amp;$N920&amp;$O920,APOIO_REDES!$W:$W,0),MATCH(AW$5,APOIO_REDES!$5:$5,0)),0)*$AP920,0)</f>
        <v>28.9223272487706</v>
      </c>
      <c r="AX920" s="153" t="n">
        <f aca="false">IFERROR(IF($N920="VCA",INDEX(APOIO_REDES!$A:$W,MATCH($C920&amp;$I920&amp;$H920&amp;$N920&amp;$O920,APOIO_REDES!$W:$W,0),MATCH(AX$5,APOIO_REDES!$5:$5,0)),0)*$AP920,0)</f>
        <v>4.00276770442119</v>
      </c>
      <c r="AY920" s="153" t="n">
        <f aca="false">IFERROR(IF($N920="VCA",INDEX(APOIO_REDES!$A:$W,MATCH($C920&amp;$I920&amp;$H920&amp;$N920&amp;$O920,APOIO_REDES!$W:$W,0),MATCH(AY$5,APOIO_REDES!$5:$5,0)),0)*$AP920,0)</f>
        <v>7.32210709091472</v>
      </c>
      <c r="AZ920" s="153" t="n">
        <f aca="false">IFERROR(IF($N920="VCA",INDEX(APOIO_REDES!$A:$W,MATCH($C920&amp;$I920&amp;$H920&amp;$N920&amp;$O920,APOIO_REDES!$W:$W,0),MATCH(AZ$5,APOIO_REDES!$5:$5,0)),0)*$AP920,0)</f>
        <v>1.01335846058285</v>
      </c>
      <c r="BA920" s="153" t="n">
        <f aca="false">IFERROR(IF(AND($N920="VCA",$Q920="LINEAR"),INDEX(APOIO_REDES!$A:$W,MATCH($C920&amp;$I920&amp;$H920&amp;$N920&amp;$O920,APOIO_REDES!$W:$W,0),MATCH(BA$5,APOIO_REDES!$5:$5,0)),IF(AND($N920="MND",$Q920="EMBOQUE"),INDEX(APOIO_REDES!$A:$W,MATCH($C920&amp;$I920&amp;$H920&amp;$N920&amp;$O920,APOIO_REDES!$W:$W,0),MATCH(BA$5,APOIO_REDES!$5:$5,0)),0))*$M920/10,0)</f>
        <v>3.83321603369435</v>
      </c>
      <c r="BB920" s="153" t="n">
        <f aca="false">IFERROR(IF($N920="VCA",INDEX(APOIO_REDES!$A:$W,MATCH($C920&amp;$I920&amp;$H920&amp;$N920&amp;$O920,APOIO_REDES!$W:$W,0),MATCH(BB$5,APOIO_REDES!$5:$5,0)),0)*($AI920+$AQ920+$AR920),0)</f>
        <v>14.1574503433544</v>
      </c>
      <c r="BC920" s="153" t="n">
        <f aca="false">IFERROR(IF($N920="VCA",INDEX(APOIO_REDES!$A:$W,MATCH($C920&amp;$I920&amp;$H920&amp;$N920&amp;$O920,APOIO_REDES!$W:$W,0),MATCH(BC$5,APOIO_REDES!$5:$5,0)),0)*($AI920+$AQ920+$AR920),0)</f>
        <v>0.155731656645621</v>
      </c>
      <c r="BD920" s="153" t="n">
        <f aca="false">IF(AND($N920="VCA",$AF920&gt;=1.25,$AF920&lt;1.5),$M920*$AF920*2,0)</f>
        <v>129.64856</v>
      </c>
      <c r="BE920" s="153" t="n">
        <f aca="false">IF(AND($N920="VCA",$AF920&gt;=1.5,$AF920&lt;3),$M920*$AF920*2,0)</f>
        <v>0</v>
      </c>
      <c r="BF920" s="153" t="n">
        <f aca="false">IF(AND($N920="VCA",$AF920&gt;=3),$M920*$AF920*2,0)</f>
        <v>0</v>
      </c>
      <c r="BG920" s="153" t="n">
        <f aca="false">($BB920+$BC920)*$AK920</f>
        <v>57.252728</v>
      </c>
      <c r="BH920" s="153" t="n">
        <f aca="false">IF(AND($M920&lt;&gt;"",$N920="VCA",$Q920="LINEAR"),($M920*2)/100,IF(AND($M920&lt;&gt;"",$N920="MND",$Q920="EMBOQUE"),($AN920*2)/100,0))</f>
        <v>0.9512</v>
      </c>
      <c r="BI920" s="153" t="n">
        <f aca="false">IF(AND($M920&lt;&gt;"",$N920="VCA",$Q920="LINEAR"),$M920,IF(AND($M920&lt;&gt;"",$N920="MND",$Q920="EMBOQUE"),$AN920*2,0))</f>
        <v>47.56</v>
      </c>
      <c r="BJ920" s="153" t="n">
        <f aca="false">IF(AND($M920&lt;&gt;"",$N920="VCA",$Q920="LINEAR"),($M920*6.8)/100,IF(AND($M920&lt;&gt;"",$N920="MND",$Q920="EMBOQUE"),($AN920*2*6.8)/100,0))</f>
        <v>3.23408</v>
      </c>
      <c r="BK920" s="153" t="n">
        <f aca="false">IF(AND($M920&lt;&gt;"",$N920="VCA",$Q920="LINEAR"),($M920*2.5)/50,IF(AND($M920&lt;&gt;"",$N920="MND",$Q920="EMBOQUE"),($AN920*2*2.5)/50,0))</f>
        <v>2.378</v>
      </c>
      <c r="BL920" s="157" t="str">
        <f aca="false">K920&amp;J920</f>
        <v>Zona08REDES</v>
      </c>
      <c r="BM920" s="152" t="s">
        <v>4834</v>
      </c>
      <c r="BN920" s="152" t="s">
        <v>1560</v>
      </c>
      <c r="BO920" s="152" t="s">
        <v>2489</v>
      </c>
      <c r="BP920" s="152" t="s">
        <v>5040</v>
      </c>
      <c r="BQ920" s="152" t="s">
        <v>4998</v>
      </c>
      <c r="BR920" s="152" t="s">
        <v>5041</v>
      </c>
      <c r="BS920" s="152" t="n">
        <v>202944.244</v>
      </c>
      <c r="BT920" s="152" t="n">
        <v>8237034.12</v>
      </c>
      <c r="BU920" s="152" t="n">
        <v>202980.897</v>
      </c>
      <c r="BV920" s="152" t="n">
        <v>8237064.327</v>
      </c>
      <c r="BW920" s="152" t="n">
        <v>-15.9280486</v>
      </c>
      <c r="BX920" s="152" t="n">
        <v>-47.7743475</v>
      </c>
      <c r="BY920" s="152" t="s">
        <v>5040</v>
      </c>
    </row>
    <row r="921" customFormat="false" ht="13.8" hidden="false" customHeight="false" outlineLevel="0" collapsed="false">
      <c r="A921" s="149" t="n">
        <f aca="false">IF(C921&lt;&gt;"",ROW(A916),"")</f>
        <v>916</v>
      </c>
      <c r="B921" s="150" t="str">
        <f aca="false">HYPERLINK("https://www.google.com/maps/dir/-15.917302,-47.760003/-15.9282303,-47.7776593/data=!4m3!4m2!3e0!5i2")</f>
        <v>https://www.google.com/maps/dir/-15.917302,-47.760003/-15.9282303,-47.7776593/data=!4m3!4m2!3e0!5i2</v>
      </c>
      <c r="C921" s="151" t="s">
        <v>117</v>
      </c>
      <c r="D921" s="152" t="s">
        <v>112</v>
      </c>
      <c r="E921" s="152" t="s">
        <v>113</v>
      </c>
      <c r="F921" s="152" t="s">
        <v>117</v>
      </c>
      <c r="G921" s="152" t="s">
        <v>782</v>
      </c>
      <c r="H921" s="152" t="n">
        <v>63</v>
      </c>
      <c r="I921" s="152" t="s">
        <v>115</v>
      </c>
      <c r="J921" s="152" t="s">
        <v>6</v>
      </c>
      <c r="K921" s="152" t="s">
        <v>4831</v>
      </c>
      <c r="L921" s="152" t="s">
        <v>120</v>
      </c>
      <c r="M921" s="153" t="n">
        <f aca="false">208.99+0.2</f>
        <v>209.19</v>
      </c>
      <c r="N921" s="152" t="s">
        <v>1548</v>
      </c>
      <c r="O921" s="152" t="s">
        <v>1549</v>
      </c>
      <c r="P921" s="152" t="s">
        <v>1550</v>
      </c>
      <c r="Q921" s="152" t="s">
        <v>1551</v>
      </c>
      <c r="R921" s="154" t="s">
        <v>5042</v>
      </c>
      <c r="S921" s="154" t="s">
        <v>1553</v>
      </c>
      <c r="T921" s="155" t="s">
        <v>2487</v>
      </c>
      <c r="U921" s="152" t="str">
        <f aca="false">RIGHT(T921,7)</f>
        <v>011/037</v>
      </c>
      <c r="V921" s="152" t="s">
        <v>1555</v>
      </c>
      <c r="W921" s="156" t="n">
        <v>45882</v>
      </c>
      <c r="X921" s="152" t="s">
        <v>1594</v>
      </c>
      <c r="Y921" s="152" t="s">
        <v>5031</v>
      </c>
      <c r="Z921" s="152" t="s">
        <v>1557</v>
      </c>
      <c r="AA921" s="153" t="n">
        <v>4.2</v>
      </c>
      <c r="AB921" s="151" t="s">
        <v>5043</v>
      </c>
      <c r="AC921" s="151" t="s">
        <v>186</v>
      </c>
      <c r="AD921" s="151" t="str">
        <f aca="false">CONCATENATE($C921,$I921,$H921,$N921,$J921,$K921)</f>
        <v>TUBO PEADPEAD63VCAREDESZona08</v>
      </c>
      <c r="AE921" s="153" t="n">
        <f aca="false">IFERROR(INDEX(APOIO_REDES!$A:$W,MATCH($C921&amp;$I921&amp;$H921&amp;$N921&amp;$O921,APOIO_REDES!$W:$W,0),MATCH(AE$5,APOIO_REDES!$5:$5,0)),0)</f>
        <v>1.2</v>
      </c>
      <c r="AF921" s="153" t="n">
        <f aca="false">IFERROR(INDEX(APOIO_REDES!$A:$W,MATCH($C921&amp;$I921&amp;$H921&amp;$N921&amp;$O921,APOIO_REDES!$W:$W,0),MATCH(AF$5,APOIO_REDES!$5:$5,0)),0)</f>
        <v>1.363</v>
      </c>
      <c r="AG921" s="153" t="n">
        <f aca="false">IFERROR(INDEX(APOIO_REDES!$A:$W,MATCH($C921&amp;$I921&amp;$H921&amp;$N921&amp;$O921,APOIO_REDES!$W:$W,0),MATCH(AG$5,APOIO_REDES!$5:$5,0)),0)</f>
        <v>0.65</v>
      </c>
      <c r="AH921" s="153" t="n">
        <f aca="false">IFERROR(INDEX(APOIO_REDES!$A:$W,MATCH($C921&amp;$I921&amp;$H921&amp;$N921&amp;$O921,APOIO_REDES!$W:$W,0),MATCH(AH$5,APOIO_REDES!$5:$5,0)),0)</f>
        <v>0.1</v>
      </c>
      <c r="AI921" s="153" t="n">
        <f aca="false">IFERROR(IF($H921&lt;&gt;"",(((($H921/1000)/2)^2)*PI()*$M921),0),0)</f>
        <v>0.652096546508614</v>
      </c>
      <c r="AJ921" s="153" t="n">
        <f aca="false">IFERROR(IF(AND($H921&lt;&gt;"",$I921="FoFo",OR($N921="MND",$N921="VCA"),$Q921="LINEAR"),0,IF(AND($H921&lt;&gt;"",$I921="PEAD",$N921="VCA",$Q921="LINEAR"),($H921/1000)+0.3,IF(AND($H921&lt;&gt;"",$I921="PEAD",$N921="MND",$Q921="EMBOQUE"),0,IF(AND($H921&lt;&gt;"",$I921="PVC",$N921="VCA",$Q921="LINEAR"),($H921/1000)+0.2,IF(AND($H921&lt;&gt;"",$I921="PVC",$N921="MND",$Q921="EMBOQUE"),0,IF(AND($H921&lt;&gt;"",$I921="PEAD",$N921="VCA",$Q921="PREDIAL"),0,0)))))),0)</f>
        <v>0.363</v>
      </c>
      <c r="AK921" s="153" t="n">
        <f aca="false">IF(AA921&lt;&gt;"",AA921,0)</f>
        <v>4.2</v>
      </c>
      <c r="AL921" s="153" t="n">
        <f aca="false">IF(AND($N921="MND",$Q921="EMBOQUE"),$M921,IF(AND($N921="VCA",$Q921="LINEAR"),$M921,IF(AND($N921="VCA",$Q921="PREDIAL"),0,0)))</f>
        <v>209.19</v>
      </c>
      <c r="AM921" s="153" t="n">
        <f aca="false">IF(AND($N921="MND",$Q921="EMBOQUE"),$M921,IF(AND($N921="VCA",$Q921="LINEAR"),$M921,IF(AND($N921="VCA",$Q921="PREDIAL"),0,0)))</f>
        <v>209.19</v>
      </c>
      <c r="AN921" s="153" t="n">
        <f aca="false">ROUND(IF(AND($N921="VCA",$M921&lt;&gt;"",$Q921="LINEAR"),$M921/100,IF(AND($N921="MND",$M921&gt;100,$Q921="EMBOQUE"),$M921/100,0)),0)</f>
        <v>2</v>
      </c>
      <c r="AO921" s="153" t="n">
        <f aca="false">IF(AND($N921="MND",$Q921="EMBOQUE"),$AN921*2*2,IF(AND($N921="VCA",$Q921="LINEAR"),$M921*2,IF(AND($N921="VCA",$Q921="PREDIAL"),0,0)))</f>
        <v>418.38</v>
      </c>
      <c r="AP921" s="153" t="n">
        <f aca="false">IFERROR($M921*$AF921*$AG921,0)</f>
        <v>185.3318805</v>
      </c>
      <c r="AQ921" s="153" t="n">
        <f aca="false">IFERROR(IF(AND($N921="VCA",$AH921&gt;0),$M921*$AG921*$AH921,0),0)</f>
        <v>13.59735</v>
      </c>
      <c r="AR921" s="153" t="n">
        <f aca="false">IFERROR(IF(AND($N921="VCA",$AJ921&gt;0),($M921*$AG921*$AJ921)-$AI921,0),0)</f>
        <v>48.7062839534914</v>
      </c>
      <c r="AS921" s="153" t="n">
        <f aca="false">IFERROR(IF(AND($N921="VCA",$AP921&gt;0),$AP921-$AI921-$AQ921-$AR921,0),0)</f>
        <v>122.37615</v>
      </c>
      <c r="AT921" s="153" t="n">
        <f aca="false">IFERROR(IF($N921="VCA",INDEX(APOIO_REDES!$A:$W,MATCH($C921&amp;$I921&amp;$H921&amp;$N921&amp;$O921,APOIO_REDES!$W:$W,0),MATCH(AT$5,APOIO_REDES!$5:$5,0)),0)*$AP921,0)</f>
        <v>2.01646571527654</v>
      </c>
      <c r="AU921" s="153" t="n">
        <f aca="false">IFERROR(IF($N921="VCA",INDEX(APOIO_REDES!$A:$W,MATCH($C921&amp;$I921&amp;$H921&amp;$N921&amp;$O921,APOIO_REDES!$W:$W,0),MATCH(AU$5,APOIO_REDES!$5:$5,0)),0)*$AP921,0)</f>
        <v>1.61029490740225</v>
      </c>
      <c r="AV921" s="153" t="n">
        <f aca="false">IFERROR(IF($N921="VCA",INDEX(APOIO_REDES!$A:$W,MATCH($C921&amp;$I921&amp;$H921&amp;$N921&amp;$O921,APOIO_REDES!$W:$W,0),MATCH(AV$5,APOIO_REDES!$5:$5,0)),0)*$AP921,0)</f>
        <v>0.222852173873807</v>
      </c>
      <c r="AW921" s="153" t="n">
        <f aca="false">IFERROR(IF($N921="VCA",INDEX(APOIO_REDES!$A:$W,MATCH($C921&amp;$I921&amp;$H921&amp;$N921&amp;$O921,APOIO_REDES!$W:$W,0),MATCH(AW$5,APOIO_REDES!$5:$5,0)),0)*$AP921,0)</f>
        <v>127.213238796685</v>
      </c>
      <c r="AX921" s="153" t="n">
        <f aca="false">IFERROR(IF($N921="VCA",INDEX(APOIO_REDES!$A:$W,MATCH($C921&amp;$I921&amp;$H921&amp;$N921&amp;$O921,APOIO_REDES!$W:$W,0),MATCH(AX$5,APOIO_REDES!$5:$5,0)),0)*$AP921,0)</f>
        <v>17.6059498756911</v>
      </c>
      <c r="AY921" s="153" t="n">
        <f aca="false">IFERROR(IF($N921="VCA",INDEX(APOIO_REDES!$A:$W,MATCH($C921&amp;$I921&amp;$H921&amp;$N921&amp;$O921,APOIO_REDES!$W:$W,0),MATCH(AY$5,APOIO_REDES!$5:$5,0)),0)*$AP921,0)</f>
        <v>32.2058785186806</v>
      </c>
      <c r="AZ921" s="153" t="n">
        <f aca="false">IFERROR(IF($N921="VCA",INDEX(APOIO_REDES!$A:$W,MATCH($C921&amp;$I921&amp;$H921&amp;$N921&amp;$O921,APOIO_REDES!$W:$W,0),MATCH(AZ$5,APOIO_REDES!$5:$5,0)),0)*$AP921,0)</f>
        <v>4.45720051239122</v>
      </c>
      <c r="BA921" s="153" t="n">
        <f aca="false">IFERROR(IF(AND($N921="VCA",$Q921="LINEAR"),INDEX(APOIO_REDES!$A:$W,MATCH($C921&amp;$I921&amp;$H921&amp;$N921&amp;$O921,APOIO_REDES!$W:$W,0),MATCH(BA$5,APOIO_REDES!$5:$5,0)),IF(AND($N921="MND",$Q921="EMBOQUE"),INDEX(APOIO_REDES!$A:$W,MATCH($C921&amp;$I921&amp;$H921&amp;$N921&amp;$O921,APOIO_REDES!$W:$W,0),MATCH(BA$5,APOIO_REDES!$5:$5,0)),0))*$M921/10,0)</f>
        <v>16.8601863349142</v>
      </c>
      <c r="BB921" s="153" t="n">
        <f aca="false">IFERROR(IF($N921="VCA",INDEX(APOIO_REDES!$A:$W,MATCH($C921&amp;$I921&amp;$H921&amp;$N921&amp;$O921,APOIO_REDES!$W:$W,0),MATCH(BB$5,APOIO_REDES!$5:$5,0)),0)*($AI921+$AQ921+$AR921),0)</f>
        <v>62.2707535182149</v>
      </c>
      <c r="BC921" s="153" t="n">
        <f aca="false">IFERROR(IF($N921="VCA",INDEX(APOIO_REDES!$A:$W,MATCH($C921&amp;$I921&amp;$H921&amp;$N921&amp;$O921,APOIO_REDES!$W:$W,0),MATCH(BC$5,APOIO_REDES!$5:$5,0)),0)*($AI921+$AQ921+$AR921),0)</f>
        <v>0.68497698178506</v>
      </c>
      <c r="BD921" s="153" t="n">
        <f aca="false">IF(AND($N921="VCA",$AF921&gt;=1.25,$AF921&lt;1.5),$M921*$AF921*2,0)</f>
        <v>570.25194</v>
      </c>
      <c r="BE921" s="153" t="n">
        <f aca="false">IF(AND($N921="VCA",$AF921&gt;=1.5,$AF921&lt;3),$M921*$AF921*2,0)</f>
        <v>0</v>
      </c>
      <c r="BF921" s="153" t="n">
        <f aca="false">IF(AND($N921="VCA",$AF921&gt;=3),$M921*$AF921*2,0)</f>
        <v>0</v>
      </c>
      <c r="BG921" s="153" t="n">
        <f aca="false">($BB921+$BC921)*$AK921</f>
        <v>264.4140681</v>
      </c>
      <c r="BH921" s="153" t="n">
        <f aca="false">IF(AND($M921&lt;&gt;"",$N921="VCA",$Q921="LINEAR"),($M921*2)/100,IF(AND($M921&lt;&gt;"",$N921="MND",$Q921="EMBOQUE"),($AN921*2)/100,0))</f>
        <v>4.1838</v>
      </c>
      <c r="BI921" s="153" t="n">
        <f aca="false">IF(AND($M921&lt;&gt;"",$N921="VCA",$Q921="LINEAR"),$M921,IF(AND($M921&lt;&gt;"",$N921="MND",$Q921="EMBOQUE"),$AN921*2,0))</f>
        <v>209.19</v>
      </c>
      <c r="BJ921" s="153" t="n">
        <f aca="false">IF(AND($M921&lt;&gt;"",$N921="VCA",$Q921="LINEAR"),($M921*6.8)/100,IF(AND($M921&lt;&gt;"",$N921="MND",$Q921="EMBOQUE"),($AN921*2*6.8)/100,0))</f>
        <v>14.22492</v>
      </c>
      <c r="BK921" s="153" t="n">
        <f aca="false">IF(AND($M921&lt;&gt;"",$N921="VCA",$Q921="LINEAR"),($M921*2.5)/50,IF(AND($M921&lt;&gt;"",$N921="MND",$Q921="EMBOQUE"),($AN921*2*2.5)/50,0))</f>
        <v>10.4595</v>
      </c>
      <c r="BL921" s="157" t="str">
        <f aca="false">K921&amp;J921</f>
        <v>Zona08REDES</v>
      </c>
      <c r="BM921" s="152" t="s">
        <v>4834</v>
      </c>
      <c r="BN921" s="152" t="s">
        <v>1560</v>
      </c>
      <c r="BO921" s="152" t="s">
        <v>2489</v>
      </c>
      <c r="BP921" s="152" t="s">
        <v>5044</v>
      </c>
      <c r="BQ921" s="152" t="s">
        <v>5012</v>
      </c>
      <c r="BR921" s="152" t="s">
        <v>5045</v>
      </c>
      <c r="BS921" s="152" t="n">
        <v>202608.386</v>
      </c>
      <c r="BT921" s="152" t="n">
        <v>8237024.146</v>
      </c>
      <c r="BU921" s="152" t="n">
        <v>202811.548</v>
      </c>
      <c r="BV921" s="152" t="n">
        <v>8237072.831</v>
      </c>
      <c r="BW921" s="152" t="n">
        <v>-15.9280244</v>
      </c>
      <c r="BX921" s="152" t="n">
        <v>-47.7767075</v>
      </c>
      <c r="BY921" s="152" t="s">
        <v>5044</v>
      </c>
    </row>
    <row r="922" customFormat="false" ht="13.8" hidden="false" customHeight="false" outlineLevel="0" collapsed="false">
      <c r="A922" s="149" t="n">
        <f aca="false">IF(C922&lt;&gt;"",ROW(A917),"")</f>
        <v>917</v>
      </c>
      <c r="B922" s="150" t="str">
        <f aca="false">HYPERLINK("https://www.google.com/maps/dir/-15.917302,-47.760003/-15.9279104,-47.7741780/data=!4m3!4m2!3e0!5i2")</f>
        <v>https://www.google.com/maps/dir/-15.917302,-47.760003/-15.9279104,-47.7741780/data=!4m3!4m2!3e0!5i2</v>
      </c>
      <c r="C922" s="151" t="s">
        <v>117</v>
      </c>
      <c r="D922" s="152" t="s">
        <v>112</v>
      </c>
      <c r="E922" s="152" t="s">
        <v>113</v>
      </c>
      <c r="F922" s="152" t="s">
        <v>117</v>
      </c>
      <c r="G922" s="152" t="s">
        <v>782</v>
      </c>
      <c r="H922" s="152" t="n">
        <v>63</v>
      </c>
      <c r="I922" s="152" t="s">
        <v>115</v>
      </c>
      <c r="J922" s="152" t="s">
        <v>6</v>
      </c>
      <c r="K922" s="152" t="s">
        <v>4831</v>
      </c>
      <c r="L922" s="152" t="s">
        <v>120</v>
      </c>
      <c r="M922" s="153" t="n">
        <f aca="false">44.58+4</f>
        <v>48.58</v>
      </c>
      <c r="N922" s="152" t="s">
        <v>1548</v>
      </c>
      <c r="O922" s="152" t="s">
        <v>1549</v>
      </c>
      <c r="P922" s="152" t="s">
        <v>1550</v>
      </c>
      <c r="Q922" s="152" t="s">
        <v>1551</v>
      </c>
      <c r="R922" s="154" t="s">
        <v>5046</v>
      </c>
      <c r="S922" s="154" t="s">
        <v>1553</v>
      </c>
      <c r="T922" s="155" t="s">
        <v>2487</v>
      </c>
      <c r="U922" s="152" t="str">
        <f aca="false">RIGHT(T922,7)</f>
        <v>011/037</v>
      </c>
      <c r="V922" s="152" t="s">
        <v>1555</v>
      </c>
      <c r="W922" s="156" t="n">
        <v>45882</v>
      </c>
      <c r="X922" s="152" t="s">
        <v>1594</v>
      </c>
      <c r="Y922" s="152" t="s">
        <v>5047</v>
      </c>
      <c r="Z922" s="152" t="s">
        <v>1557</v>
      </c>
      <c r="AA922" s="153" t="n">
        <v>3.9</v>
      </c>
      <c r="AB922" s="151" t="s">
        <v>5048</v>
      </c>
      <c r="AC922" s="151" t="s">
        <v>186</v>
      </c>
      <c r="AD922" s="151" t="str">
        <f aca="false">CONCATENATE($C922,$I922,$H922,$N922,$J922,$K922)</f>
        <v>TUBO PEADPEAD63VCAREDESZona08</v>
      </c>
      <c r="AE922" s="153" t="n">
        <f aca="false">IFERROR(INDEX(APOIO_REDES!$A:$W,MATCH($C922&amp;$I922&amp;$H922&amp;$N922&amp;$O922,APOIO_REDES!$W:$W,0),MATCH(AE$5,APOIO_REDES!$5:$5,0)),0)</f>
        <v>1.2</v>
      </c>
      <c r="AF922" s="153" t="n">
        <f aca="false">IFERROR(INDEX(APOIO_REDES!$A:$W,MATCH($C922&amp;$I922&amp;$H922&amp;$N922&amp;$O922,APOIO_REDES!$W:$W,0),MATCH(AF$5,APOIO_REDES!$5:$5,0)),0)</f>
        <v>1.363</v>
      </c>
      <c r="AG922" s="153" t="n">
        <f aca="false">IFERROR(INDEX(APOIO_REDES!$A:$W,MATCH($C922&amp;$I922&amp;$H922&amp;$N922&amp;$O922,APOIO_REDES!$W:$W,0),MATCH(AG$5,APOIO_REDES!$5:$5,0)),0)</f>
        <v>0.65</v>
      </c>
      <c r="AH922" s="153" t="n">
        <f aca="false">IFERROR(INDEX(APOIO_REDES!$A:$W,MATCH($C922&amp;$I922&amp;$H922&amp;$N922&amp;$O922,APOIO_REDES!$W:$W,0),MATCH(AH$5,APOIO_REDES!$5:$5,0)),0)</f>
        <v>0.1</v>
      </c>
      <c r="AI922" s="153" t="n">
        <f aca="false">IFERROR(IF($H922&lt;&gt;"",(((($H922/1000)/2)^2)*PI()*$M922),0),0)</f>
        <v>0.151435777185279</v>
      </c>
      <c r="AJ922" s="153" t="n">
        <f aca="false">IFERROR(IF(AND($H922&lt;&gt;"",$I922="FoFo",OR($N922="MND",$N922="VCA"),$Q922="LINEAR"),0,IF(AND($H922&lt;&gt;"",$I922="PEAD",$N922="VCA",$Q922="LINEAR"),($H922/1000)+0.3,IF(AND($H922&lt;&gt;"",$I922="PEAD",$N922="MND",$Q922="EMBOQUE"),0,IF(AND($H922&lt;&gt;"",$I922="PVC",$N922="VCA",$Q922="LINEAR"),($H922/1000)+0.2,IF(AND($H922&lt;&gt;"",$I922="PVC",$N922="MND",$Q922="EMBOQUE"),0,IF(AND($H922&lt;&gt;"",$I922="PEAD",$N922="VCA",$Q922="PREDIAL"),0,0)))))),0)</f>
        <v>0.363</v>
      </c>
      <c r="AK922" s="153" t="n">
        <f aca="false">IF(AA922&lt;&gt;"",AA922,0)</f>
        <v>3.9</v>
      </c>
      <c r="AL922" s="153" t="n">
        <f aca="false">IF(AND($N922="MND",$Q922="EMBOQUE"),$M922,IF(AND($N922="VCA",$Q922="LINEAR"),$M922,IF(AND($N922="VCA",$Q922="PREDIAL"),0,0)))</f>
        <v>48.58</v>
      </c>
      <c r="AM922" s="153" t="n">
        <f aca="false">IF(AND($N922="MND",$Q922="EMBOQUE"),$M922,IF(AND($N922="VCA",$Q922="LINEAR"),$M922,IF(AND($N922="VCA",$Q922="PREDIAL"),0,0)))</f>
        <v>48.58</v>
      </c>
      <c r="AN922" s="153" t="n">
        <f aca="false">ROUND(IF(AND($N922="VCA",$M922&lt;&gt;"",$Q922="LINEAR"),$M922/100,IF(AND($N922="MND",$M922&gt;100,$Q922="EMBOQUE"),$M922/100,0)),0)</f>
        <v>0</v>
      </c>
      <c r="AO922" s="153" t="n">
        <f aca="false">IF(AND($N922="MND",$Q922="EMBOQUE"),$AN922*2*2,IF(AND($N922="VCA",$Q922="LINEAR"),$M922*2,IF(AND($N922="VCA",$Q922="PREDIAL"),0,0)))</f>
        <v>97.16</v>
      </c>
      <c r="AP922" s="153" t="n">
        <f aca="false">IFERROR($M922*$AF922*$AG922,0)</f>
        <v>43.039451</v>
      </c>
      <c r="AQ922" s="153" t="n">
        <f aca="false">IFERROR(IF(AND($N922="VCA",$AH922&gt;0),$M922*$AG922*$AH922,0),0)</f>
        <v>3.1577</v>
      </c>
      <c r="AR922" s="153" t="n">
        <f aca="false">IFERROR(IF(AND($N922="VCA",$AJ922&gt;0),($M922*$AG922*$AJ922)-$AI922,0),0)</f>
        <v>11.3110152228147</v>
      </c>
      <c r="AS922" s="153" t="n">
        <f aca="false">IFERROR(IF(AND($N922="VCA",$AP922&gt;0),$AP922-$AI922-$AQ922-$AR922,0),0)</f>
        <v>28.4193</v>
      </c>
      <c r="AT922" s="153" t="n">
        <f aca="false">IFERROR(IF($N922="VCA",INDEX(APOIO_REDES!$A:$W,MATCH($C922&amp;$I922&amp;$H922&amp;$N922&amp;$O922,APOIO_REDES!$W:$W,0),MATCH(AT$5,APOIO_REDES!$5:$5,0)),0)*$AP922,0)</f>
        <v>0.468281965907234</v>
      </c>
      <c r="AU922" s="153" t="n">
        <f aca="false">IFERROR(IF($N922="VCA",INDEX(APOIO_REDES!$A:$W,MATCH($C922&amp;$I922&amp;$H922&amp;$N922&amp;$O922,APOIO_REDES!$W:$W,0),MATCH(AU$5,APOIO_REDES!$5:$5,0)),0)*$AP922,0)</f>
        <v>0.373957295289456</v>
      </c>
      <c r="AV922" s="153" t="n">
        <f aca="false">IFERROR(IF($N922="VCA",INDEX(APOIO_REDES!$A:$W,MATCH($C922&amp;$I922&amp;$H922&amp;$N922&amp;$O922,APOIO_REDES!$W:$W,0),MATCH(AV$5,APOIO_REDES!$5:$5,0)),0)*$AP922,0)</f>
        <v>0.0517527539881903</v>
      </c>
      <c r="AW922" s="153" t="n">
        <f aca="false">IFERROR(IF($N922="VCA",INDEX(APOIO_REDES!$A:$W,MATCH($C922&amp;$I922&amp;$H922&amp;$N922&amp;$O922,APOIO_REDES!$W:$W,0),MATCH(AW$5,APOIO_REDES!$5:$5,0)),0)*$AP922,0)</f>
        <v>29.5426126523397</v>
      </c>
      <c r="AX922" s="153" t="n">
        <f aca="false">IFERROR(IF($N922="VCA",INDEX(APOIO_REDES!$A:$W,MATCH($C922&amp;$I922&amp;$H922&amp;$N922&amp;$O922,APOIO_REDES!$W:$W,0),MATCH(AX$5,APOIO_REDES!$5:$5,0)),0)*$AP922,0)</f>
        <v>4.08861343735873</v>
      </c>
      <c r="AY922" s="153" t="n">
        <f aca="false">IFERROR(IF($N922="VCA",INDEX(APOIO_REDES!$A:$W,MATCH($C922&amp;$I922&amp;$H922&amp;$N922&amp;$O922,APOIO_REDES!$W:$W,0),MATCH(AY$5,APOIO_REDES!$5:$5,0)),0)*$AP922,0)</f>
        <v>7.47914134728</v>
      </c>
      <c r="AZ922" s="153" t="n">
        <f aca="false">IFERROR(IF($N922="VCA",INDEX(APOIO_REDES!$A:$W,MATCH($C922&amp;$I922&amp;$H922&amp;$N922&amp;$O922,APOIO_REDES!$W:$W,0),MATCH(AZ$5,APOIO_REDES!$5:$5,0)),0)*$AP922,0)</f>
        <v>1.03509154783673</v>
      </c>
      <c r="BA922" s="153" t="n">
        <f aca="false">IFERROR(IF(AND($N922="VCA",$Q922="LINEAR"),INDEX(APOIO_REDES!$A:$W,MATCH($C922&amp;$I922&amp;$H922&amp;$N922&amp;$O922,APOIO_REDES!$W:$W,0),MATCH(BA$5,APOIO_REDES!$5:$5,0)),IF(AND($N922="MND",$Q922="EMBOQUE"),INDEX(APOIO_REDES!$A:$W,MATCH($C922&amp;$I922&amp;$H922&amp;$N922&amp;$O922,APOIO_REDES!$W:$W,0),MATCH(BA$5,APOIO_REDES!$5:$5,0)),0))*$M922/10,0)</f>
        <v>3.91542546082573</v>
      </c>
      <c r="BB922" s="153" t="n">
        <f aca="false">IFERROR(IF($N922="VCA",INDEX(APOIO_REDES!$A:$W,MATCH($C922&amp;$I922&amp;$H922&amp;$N922&amp;$O922,APOIO_REDES!$W:$W,0),MATCH(BB$5,APOIO_REDES!$5:$5,0)),0)*($AI922+$AQ922+$AR922),0)</f>
        <v>14.4610794297762</v>
      </c>
      <c r="BC922" s="153" t="n">
        <f aca="false">IFERROR(IF($N922="VCA",INDEX(APOIO_REDES!$A:$W,MATCH($C922&amp;$I922&amp;$H922&amp;$N922&amp;$O922,APOIO_REDES!$W:$W,0),MATCH(BC$5,APOIO_REDES!$5:$5,0)),0)*($AI922+$AQ922+$AR922),0)</f>
        <v>0.159071570223807</v>
      </c>
      <c r="BD922" s="153" t="n">
        <f aca="false">IF(AND($N922="VCA",$AF922&gt;=1.25,$AF922&lt;1.5),$M922*$AF922*2,0)</f>
        <v>132.42908</v>
      </c>
      <c r="BE922" s="153" t="n">
        <f aca="false">IF(AND($N922="VCA",$AF922&gt;=1.5,$AF922&lt;3),$M922*$AF922*2,0)</f>
        <v>0</v>
      </c>
      <c r="BF922" s="153" t="n">
        <f aca="false">IF(AND($N922="VCA",$AF922&gt;=3),$M922*$AF922*2,0)</f>
        <v>0</v>
      </c>
      <c r="BG922" s="153" t="n">
        <f aca="false">($BB922+$BC922)*$AK922</f>
        <v>57.0185889</v>
      </c>
      <c r="BH922" s="153" t="n">
        <f aca="false">IF(AND($M922&lt;&gt;"",$N922="VCA",$Q922="LINEAR"),($M922*2)/100,IF(AND($M922&lt;&gt;"",$N922="MND",$Q922="EMBOQUE"),($AN922*2)/100,0))</f>
        <v>0.9716</v>
      </c>
      <c r="BI922" s="153" t="n">
        <f aca="false">IF(AND($M922&lt;&gt;"",$N922="VCA",$Q922="LINEAR"),$M922,IF(AND($M922&lt;&gt;"",$N922="MND",$Q922="EMBOQUE"),$AN922*2,0))</f>
        <v>48.58</v>
      </c>
      <c r="BJ922" s="153" t="n">
        <f aca="false">IF(AND($M922&lt;&gt;"",$N922="VCA",$Q922="LINEAR"),($M922*6.8)/100,IF(AND($M922&lt;&gt;"",$N922="MND",$Q922="EMBOQUE"),($AN922*2*6.8)/100,0))</f>
        <v>3.30344</v>
      </c>
      <c r="BK922" s="153" t="n">
        <f aca="false">IF(AND($M922&lt;&gt;"",$N922="VCA",$Q922="LINEAR"),($M922*2.5)/50,IF(AND($M922&lt;&gt;"",$N922="MND",$Q922="EMBOQUE"),($AN922*2*2.5)/50,0))</f>
        <v>2.429</v>
      </c>
      <c r="BL922" s="157" t="str">
        <f aca="false">K922&amp;J922</f>
        <v>Zona08REDES</v>
      </c>
      <c r="BM922" s="152" t="s">
        <v>4834</v>
      </c>
      <c r="BN922" s="152" t="s">
        <v>1560</v>
      </c>
      <c r="BO922" s="152" t="s">
        <v>2489</v>
      </c>
      <c r="BP922" s="152" t="s">
        <v>4998</v>
      </c>
      <c r="BQ922" s="152" t="s">
        <v>5049</v>
      </c>
      <c r="BR922" s="152" t="s">
        <v>5050</v>
      </c>
      <c r="BS922" s="152" t="n">
        <v>202980.897</v>
      </c>
      <c r="BT922" s="152" t="n">
        <v>8237064.327</v>
      </c>
      <c r="BU922" s="152" t="n">
        <v>203002.104</v>
      </c>
      <c r="BV922" s="152" t="n">
        <v>8237025.142</v>
      </c>
      <c r="BW922" s="152" t="n">
        <v>-15.9280889</v>
      </c>
      <c r="BX922" s="152" t="n">
        <v>-47.7740823</v>
      </c>
      <c r="BY922" s="152" t="s">
        <v>4998</v>
      </c>
    </row>
    <row r="923" customFormat="false" ht="13.8" hidden="false" customHeight="false" outlineLevel="0" collapsed="false">
      <c r="A923" s="149" t="n">
        <f aca="false">IF(C923&lt;&gt;"",ROW(A918),"")</f>
        <v>918</v>
      </c>
      <c r="B923" s="150" t="str">
        <f aca="false">HYPERLINK("https://www.google.com/maps/dir/-15.917302,-47.760003/-15.9279092,-47.7778215/data=!4m3!4m2!3e0!5i2")</f>
        <v>https://www.google.com/maps/dir/-15.917302,-47.760003/-15.9279092,-47.7778215/data=!4m3!4m2!3e0!5i2</v>
      </c>
      <c r="C923" s="151" t="s">
        <v>117</v>
      </c>
      <c r="D923" s="152" t="s">
        <v>112</v>
      </c>
      <c r="E923" s="152" t="s">
        <v>113</v>
      </c>
      <c r="F923" s="152" t="s">
        <v>117</v>
      </c>
      <c r="G923" s="152" t="s">
        <v>782</v>
      </c>
      <c r="H923" s="152" t="n">
        <v>63</v>
      </c>
      <c r="I923" s="152" t="s">
        <v>115</v>
      </c>
      <c r="J923" s="152" t="s">
        <v>6</v>
      </c>
      <c r="K923" s="152" t="s">
        <v>4831</v>
      </c>
      <c r="L923" s="152" t="s">
        <v>120</v>
      </c>
      <c r="M923" s="153" t="n">
        <f aca="false">37.87</f>
        <v>37.87</v>
      </c>
      <c r="N923" s="152" t="s">
        <v>1548</v>
      </c>
      <c r="O923" s="152" t="s">
        <v>1549</v>
      </c>
      <c r="P923" s="152" t="s">
        <v>1550</v>
      </c>
      <c r="Q923" s="152" t="s">
        <v>1551</v>
      </c>
      <c r="R923" s="154" t="s">
        <v>5051</v>
      </c>
      <c r="S923" s="154" t="s">
        <v>1553</v>
      </c>
      <c r="T923" s="155" t="s">
        <v>2487</v>
      </c>
      <c r="U923" s="152" t="str">
        <f aca="false">RIGHT(T923,7)</f>
        <v>011/037</v>
      </c>
      <c r="V923" s="152" t="s">
        <v>1555</v>
      </c>
      <c r="W923" s="156" t="n">
        <v>45882</v>
      </c>
      <c r="X923" s="152" t="s">
        <v>1594</v>
      </c>
      <c r="Y923" s="152" t="s">
        <v>5031</v>
      </c>
      <c r="Z923" s="152" t="s">
        <v>1557</v>
      </c>
      <c r="AA923" s="153" t="n">
        <v>4</v>
      </c>
      <c r="AB923" s="151" t="s">
        <v>5052</v>
      </c>
      <c r="AC923" s="151" t="s">
        <v>186</v>
      </c>
      <c r="AD923" s="151" t="str">
        <f aca="false">CONCATENATE($C923,$I923,$H923,$N923,$J923,$K923)</f>
        <v>TUBO PEADPEAD63VCAREDESZona08</v>
      </c>
      <c r="AE923" s="153" t="n">
        <f aca="false">IFERROR(INDEX(APOIO_REDES!$A:$W,MATCH($C923&amp;$I923&amp;$H923&amp;$N923&amp;$O923,APOIO_REDES!$W:$W,0),MATCH(AE$5,APOIO_REDES!$5:$5,0)),0)</f>
        <v>1.2</v>
      </c>
      <c r="AF923" s="153" t="n">
        <f aca="false">IFERROR(INDEX(APOIO_REDES!$A:$W,MATCH($C923&amp;$I923&amp;$H923&amp;$N923&amp;$O923,APOIO_REDES!$W:$W,0),MATCH(AF$5,APOIO_REDES!$5:$5,0)),0)</f>
        <v>1.363</v>
      </c>
      <c r="AG923" s="153" t="n">
        <f aca="false">IFERROR(INDEX(APOIO_REDES!$A:$W,MATCH($C923&amp;$I923&amp;$H923&amp;$N923&amp;$O923,APOIO_REDES!$W:$W,0),MATCH(AG$5,APOIO_REDES!$5:$5,0)),0)</f>
        <v>0.65</v>
      </c>
      <c r="AH923" s="153" t="n">
        <f aca="false">IFERROR(INDEX(APOIO_REDES!$A:$W,MATCH($C923&amp;$I923&amp;$H923&amp;$N923&amp;$O923,APOIO_REDES!$W:$W,0),MATCH(AH$5,APOIO_REDES!$5:$5,0)),0)</f>
        <v>0.1</v>
      </c>
      <c r="AI923" s="153" t="n">
        <f aca="false">IFERROR(IF($H923&lt;&gt;"",(((($H923/1000)/2)^2)*PI()*$M923),0),0)</f>
        <v>0.118050079909562</v>
      </c>
      <c r="AJ923" s="153" t="n">
        <f aca="false">IFERROR(IF(AND($H923&lt;&gt;"",$I923="FoFo",OR($N923="MND",$N923="VCA"),$Q923="LINEAR"),0,IF(AND($H923&lt;&gt;"",$I923="PEAD",$N923="VCA",$Q923="LINEAR"),($H923/1000)+0.3,IF(AND($H923&lt;&gt;"",$I923="PEAD",$N923="MND",$Q923="EMBOQUE"),0,IF(AND($H923&lt;&gt;"",$I923="PVC",$N923="VCA",$Q923="LINEAR"),($H923/1000)+0.2,IF(AND($H923&lt;&gt;"",$I923="PVC",$N923="MND",$Q923="EMBOQUE"),0,IF(AND($H923&lt;&gt;"",$I923="PEAD",$N923="VCA",$Q923="PREDIAL"),0,0)))))),0)</f>
        <v>0.363</v>
      </c>
      <c r="AK923" s="153" t="n">
        <f aca="false">IF(AA923&lt;&gt;"",AA923,0)</f>
        <v>4</v>
      </c>
      <c r="AL923" s="153" t="n">
        <f aca="false">IF(AND($N923="MND",$Q923="EMBOQUE"),$M923,IF(AND($N923="VCA",$Q923="LINEAR"),$M923,IF(AND($N923="VCA",$Q923="PREDIAL"),0,0)))</f>
        <v>37.87</v>
      </c>
      <c r="AM923" s="153" t="n">
        <f aca="false">IF(AND($N923="MND",$Q923="EMBOQUE"),$M923,IF(AND($N923="VCA",$Q923="LINEAR"),$M923,IF(AND($N923="VCA",$Q923="PREDIAL"),0,0)))</f>
        <v>37.87</v>
      </c>
      <c r="AN923" s="153" t="n">
        <f aca="false">ROUND(IF(AND($N923="VCA",$M923&lt;&gt;"",$Q923="LINEAR"),$M923/100,IF(AND($N923="MND",$M923&gt;100,$Q923="EMBOQUE"),$M923/100,0)),0)</f>
        <v>0</v>
      </c>
      <c r="AO923" s="153" t="n">
        <f aca="false">IF(AND($N923="MND",$Q923="EMBOQUE"),$AN923*2*2,IF(AND($N923="VCA",$Q923="LINEAR"),$M923*2,IF(AND($N923="VCA",$Q923="PREDIAL"),0,0)))</f>
        <v>75.74</v>
      </c>
      <c r="AP923" s="153" t="n">
        <f aca="false">IFERROR($M923*$AF923*$AG923,0)</f>
        <v>33.5509265</v>
      </c>
      <c r="AQ923" s="153" t="n">
        <f aca="false">IFERROR(IF(AND($N923="VCA",$AH923&gt;0),$M923*$AG923*$AH923,0),0)</f>
        <v>2.46155</v>
      </c>
      <c r="AR923" s="153" t="n">
        <f aca="false">IFERROR(IF(AND($N923="VCA",$AJ923&gt;0),($M923*$AG923*$AJ923)-$AI923,0),0)</f>
        <v>8.81737642009044</v>
      </c>
      <c r="AS923" s="153" t="n">
        <f aca="false">IFERROR(IF(AND($N923="VCA",$AP923&gt;0),$AP923-$AI923-$AQ923-$AR923,0),0)</f>
        <v>22.15395</v>
      </c>
      <c r="AT923" s="153" t="n">
        <f aca="false">IFERROR(IF($N923="VCA",INDEX(APOIO_REDES!$A:$W,MATCH($C923&amp;$I923&amp;$H923&amp;$N923&amp;$O923,APOIO_REDES!$W:$W,0),MATCH(AT$5,APOIO_REDES!$5:$5,0)),0)*$AP923,0)</f>
        <v>0.365044010887339</v>
      </c>
      <c r="AU923" s="153" t="n">
        <f aca="false">IFERROR(IF($N923="VCA",INDEX(APOIO_REDES!$A:$W,MATCH($C923&amp;$I923&amp;$H923&amp;$N923&amp;$O923,APOIO_REDES!$W:$W,0),MATCH(AU$5,APOIO_REDES!$5:$5,0)),0)*$AP923,0)</f>
        <v>0.291514260448985</v>
      </c>
      <c r="AV923" s="153" t="n">
        <f aca="false">IFERROR(IF($N923="VCA",INDEX(APOIO_REDES!$A:$W,MATCH($C923&amp;$I923&amp;$H923&amp;$N923&amp;$O923,APOIO_REDES!$W:$W,0),MATCH(AV$5,APOIO_REDES!$5:$5,0)),0)*$AP923,0)</f>
        <v>0.0403432851694682</v>
      </c>
      <c r="AW923" s="153" t="n">
        <f aca="false">IFERROR(IF($N923="VCA",INDEX(APOIO_REDES!$A:$W,MATCH($C923&amp;$I923&amp;$H923&amp;$N923&amp;$O923,APOIO_REDES!$W:$W,0),MATCH(AW$5,APOIO_REDES!$5:$5,0)),0)*$AP923,0)</f>
        <v>23.0296159148642</v>
      </c>
      <c r="AX923" s="153" t="n">
        <f aca="false">IFERROR(IF($N923="VCA",INDEX(APOIO_REDES!$A:$W,MATCH($C923&amp;$I923&amp;$H923&amp;$N923&amp;$O923,APOIO_REDES!$W:$W,0),MATCH(AX$5,APOIO_REDES!$5:$5,0)),0)*$AP923,0)</f>
        <v>3.18723324151451</v>
      </c>
      <c r="AY923" s="153" t="n">
        <f aca="false">IFERROR(IF($N923="VCA",INDEX(APOIO_REDES!$A:$W,MATCH($C923&amp;$I923&amp;$H923&amp;$N923&amp;$O923,APOIO_REDES!$W:$W,0),MATCH(AY$5,APOIO_REDES!$5:$5,0)),0)*$AP923,0)</f>
        <v>5.8302816554445</v>
      </c>
      <c r="AZ923" s="153" t="n">
        <f aca="false">IFERROR(IF($N923="VCA",INDEX(APOIO_REDES!$A:$W,MATCH($C923&amp;$I923&amp;$H923&amp;$N923&amp;$O923,APOIO_REDES!$W:$W,0),MATCH(AZ$5,APOIO_REDES!$5:$5,0)),0)*$AP923,0)</f>
        <v>0.806894131670995</v>
      </c>
      <c r="BA923" s="153" t="n">
        <f aca="false">IFERROR(IF(AND($N923="VCA",$Q923="LINEAR"),INDEX(APOIO_REDES!$A:$W,MATCH($C923&amp;$I923&amp;$H923&amp;$N923&amp;$O923,APOIO_REDES!$W:$W,0),MATCH(BA$5,APOIO_REDES!$5:$5,0)),IF(AND($N923="MND",$Q923="EMBOQUE"),INDEX(APOIO_REDES!$A:$W,MATCH($C923&amp;$I923&amp;$H923&amp;$N923&amp;$O923,APOIO_REDES!$W:$W,0),MATCH(BA$5,APOIO_REDES!$5:$5,0)),0))*$M923/10,0)</f>
        <v>3.05222647594628</v>
      </c>
      <c r="BB923" s="153" t="n">
        <f aca="false">IFERROR(IF($N923="VCA",INDEX(APOIO_REDES!$A:$W,MATCH($C923&amp;$I923&amp;$H923&amp;$N923&amp;$O923,APOIO_REDES!$W:$W,0),MATCH(BB$5,APOIO_REDES!$5:$5,0)),0)*($AI923+$AQ923+$AR923),0)</f>
        <v>11.2729740223471</v>
      </c>
      <c r="BC923" s="153" t="n">
        <f aca="false">IFERROR(IF($N923="VCA",INDEX(APOIO_REDES!$A:$W,MATCH($C923&amp;$I923&amp;$H923&amp;$N923&amp;$O923,APOIO_REDES!$W:$W,0),MATCH(BC$5,APOIO_REDES!$5:$5,0)),0)*($AI923+$AQ923+$AR923),0)</f>
        <v>0.124002477652853</v>
      </c>
      <c r="BD923" s="153" t="n">
        <f aca="false">IF(AND($N923="VCA",$AF923&gt;=1.25,$AF923&lt;1.5),$M923*$AF923*2,0)</f>
        <v>103.23362</v>
      </c>
      <c r="BE923" s="153" t="n">
        <f aca="false">IF(AND($N923="VCA",$AF923&gt;=1.5,$AF923&lt;3),$M923*$AF923*2,0)</f>
        <v>0</v>
      </c>
      <c r="BF923" s="153" t="n">
        <f aca="false">IF(AND($N923="VCA",$AF923&gt;=3),$M923*$AF923*2,0)</f>
        <v>0</v>
      </c>
      <c r="BG923" s="153" t="n">
        <f aca="false">($BB923+$BC923)*$AK923</f>
        <v>45.587906</v>
      </c>
      <c r="BH923" s="153" t="n">
        <f aca="false">IF(AND($M923&lt;&gt;"",$N923="VCA",$Q923="LINEAR"),($M923*2)/100,IF(AND($M923&lt;&gt;"",$N923="MND",$Q923="EMBOQUE"),($AN923*2)/100,0))</f>
        <v>0.7574</v>
      </c>
      <c r="BI923" s="153" t="n">
        <f aca="false">IF(AND($M923&lt;&gt;"",$N923="VCA",$Q923="LINEAR"),$M923,IF(AND($M923&lt;&gt;"",$N923="MND",$Q923="EMBOQUE"),$AN923*2,0))</f>
        <v>37.87</v>
      </c>
      <c r="BJ923" s="153" t="n">
        <f aca="false">IF(AND($M923&lt;&gt;"",$N923="VCA",$Q923="LINEAR"),($M923*6.8)/100,IF(AND($M923&lt;&gt;"",$N923="MND",$Q923="EMBOQUE"),($AN923*2*6.8)/100,0))</f>
        <v>2.57516</v>
      </c>
      <c r="BK923" s="153" t="n">
        <f aca="false">IF(AND($M923&lt;&gt;"",$N923="VCA",$Q923="LINEAR"),($M923*2.5)/50,IF(AND($M923&lt;&gt;"",$N923="MND",$Q923="EMBOQUE"),($AN923*2*2.5)/50,0))</f>
        <v>1.8935</v>
      </c>
      <c r="BL923" s="157" t="str">
        <f aca="false">K923&amp;J923</f>
        <v>Zona08REDES</v>
      </c>
      <c r="BM923" s="152" t="s">
        <v>4834</v>
      </c>
      <c r="BN923" s="152" t="s">
        <v>1560</v>
      </c>
      <c r="BO923" s="152" t="s">
        <v>2489</v>
      </c>
      <c r="BP923" s="152" t="s">
        <v>5023</v>
      </c>
      <c r="BQ923" s="152" t="s">
        <v>5053</v>
      </c>
      <c r="BR923" s="152" t="s">
        <v>5054</v>
      </c>
      <c r="BS923" s="152" t="n">
        <v>202590.596</v>
      </c>
      <c r="BT923" s="152" t="n">
        <v>8237059.279</v>
      </c>
      <c r="BU923" s="152" t="n">
        <v>202600.54</v>
      </c>
      <c r="BV923" s="152" t="n">
        <v>8237022.735</v>
      </c>
      <c r="BW923" s="152" t="n">
        <v>-15.9280747</v>
      </c>
      <c r="BX923" s="152" t="n">
        <v>-47.7777768</v>
      </c>
      <c r="BY923" s="152" t="s">
        <v>5023</v>
      </c>
    </row>
    <row r="924" customFormat="false" ht="13.8" hidden="false" customHeight="false" outlineLevel="0" collapsed="false">
      <c r="A924" s="149" t="n">
        <f aca="false">IF(C924&lt;&gt;"",ROW(A919),"")</f>
        <v>919</v>
      </c>
      <c r="B924" s="150" t="str">
        <f aca="false">HYPERLINK("https://www.google.com/maps/dir/-15.917302,-47.760003/-15.9272528,-47.7725437/data=!4m3!4m2!3e0!5i0")</f>
        <v>https://www.google.com/maps/dir/-15.917302,-47.760003/-15.9272528,-47.7725437/data=!4m3!4m2!3e0!5i0</v>
      </c>
      <c r="C924" s="151" t="s">
        <v>117</v>
      </c>
      <c r="D924" s="152" t="s">
        <v>112</v>
      </c>
      <c r="E924" s="152" t="s">
        <v>113</v>
      </c>
      <c r="F924" s="152" t="s">
        <v>117</v>
      </c>
      <c r="G924" s="152" t="s">
        <v>114</v>
      </c>
      <c r="H924" s="152" t="n">
        <v>160</v>
      </c>
      <c r="I924" s="152" t="s">
        <v>115</v>
      </c>
      <c r="J924" s="152" t="s">
        <v>6</v>
      </c>
      <c r="K924" s="152" t="s">
        <v>4831</v>
      </c>
      <c r="L924" s="152" t="s">
        <v>120</v>
      </c>
      <c r="M924" s="153" t="n">
        <f aca="false">15.2</f>
        <v>15.2</v>
      </c>
      <c r="N924" s="152" t="s">
        <v>1548</v>
      </c>
      <c r="O924" s="152" t="s">
        <v>1549</v>
      </c>
      <c r="P924" s="152" t="s">
        <v>1550</v>
      </c>
      <c r="Q924" s="152" t="s">
        <v>1551</v>
      </c>
      <c r="R924" s="154" t="s">
        <v>5055</v>
      </c>
      <c r="S924" s="154" t="s">
        <v>1593</v>
      </c>
      <c r="T924" s="155" t="s">
        <v>3685</v>
      </c>
      <c r="U924" s="152" t="str">
        <f aca="false">RIGHT(T924,7)</f>
        <v>012/037</v>
      </c>
      <c r="V924" s="152" t="s">
        <v>1555</v>
      </c>
      <c r="W924" s="156" t="n">
        <v>45882</v>
      </c>
      <c r="X924" s="152" t="s">
        <v>1594</v>
      </c>
      <c r="Y924" s="152" t="s">
        <v>4968</v>
      </c>
      <c r="Z924" s="152" t="s">
        <v>1557</v>
      </c>
      <c r="AA924" s="153" t="n">
        <v>3.1</v>
      </c>
      <c r="AB924" s="151" t="s">
        <v>5056</v>
      </c>
      <c r="AC924" s="151" t="s">
        <v>505</v>
      </c>
      <c r="AD924" s="151" t="str">
        <f aca="false">CONCATENATE($C924,$I924,$H924,$N924,$J924,$K924)</f>
        <v>TUBO PEADPEAD160VCAREDESZona08</v>
      </c>
      <c r="AE924" s="153" t="n">
        <f aca="false">IFERROR(INDEX(APOIO_REDES!$A:$W,MATCH($C924&amp;$I924&amp;$H924&amp;$N924&amp;$O924,APOIO_REDES!$W:$W,0),MATCH(AE$5,APOIO_REDES!$5:$5,0)),0)</f>
        <v>1.2</v>
      </c>
      <c r="AF924" s="153" t="n">
        <f aca="false">IFERROR(INDEX(APOIO_REDES!$A:$W,MATCH($C924&amp;$I924&amp;$H924&amp;$N924&amp;$O924,APOIO_REDES!$W:$W,0),MATCH(AF$5,APOIO_REDES!$5:$5,0)),0)</f>
        <v>1.46</v>
      </c>
      <c r="AG924" s="153" t="n">
        <f aca="false">IFERROR(INDEX(APOIO_REDES!$A:$W,MATCH($C924&amp;$I924&amp;$H924&amp;$N924&amp;$O924,APOIO_REDES!$W:$W,0),MATCH(AG$5,APOIO_REDES!$5:$5,0)),0)</f>
        <v>0.75</v>
      </c>
      <c r="AH924" s="153" t="n">
        <f aca="false">IFERROR(INDEX(APOIO_REDES!$A:$W,MATCH($C924&amp;$I924&amp;$H924&amp;$N924&amp;$O924,APOIO_REDES!$W:$W,0),MATCH(AH$5,APOIO_REDES!$5:$5,0)),0)</f>
        <v>0.1</v>
      </c>
      <c r="AI924" s="153" t="n">
        <f aca="false">IFERROR(IF($H924&lt;&gt;"",(((($H924/1000)/2)^2)*PI()*$M924),0),0)</f>
        <v>0.305614133341215</v>
      </c>
      <c r="AJ924" s="153" t="n">
        <f aca="false">IFERROR(IF(AND($H924&lt;&gt;"",$I924="FoFo",OR($N924="MND",$N924="VCA"),$Q924="LINEAR"),0,IF(AND($H924&lt;&gt;"",$I924="PEAD",$N924="VCA",$Q924="LINEAR"),($H924/1000)+0.3,IF(AND($H924&lt;&gt;"",$I924="PEAD",$N924="MND",$Q924="EMBOQUE"),0,IF(AND($H924&lt;&gt;"",$I924="PVC",$N924="VCA",$Q924="LINEAR"),($H924/1000)+0.2,IF(AND($H924&lt;&gt;"",$I924="PVC",$N924="MND",$Q924="EMBOQUE"),0,IF(AND($H924&lt;&gt;"",$I924="PEAD",$N924="VCA",$Q924="PREDIAL"),0,0)))))),0)</f>
        <v>0.46</v>
      </c>
      <c r="AK924" s="153" t="n">
        <f aca="false">IF(AA924&lt;&gt;"",AA924,0)</f>
        <v>3.1</v>
      </c>
      <c r="AL924" s="153" t="n">
        <f aca="false">IF(AND($N924="MND",$Q924="EMBOQUE"),$M924,IF(AND($N924="VCA",$Q924="LINEAR"),$M924,IF(AND($N924="VCA",$Q924="PREDIAL"),0,0)))</f>
        <v>15.2</v>
      </c>
      <c r="AM924" s="153" t="n">
        <f aca="false">IF(AND($N924="MND",$Q924="EMBOQUE"),$M924,IF(AND($N924="VCA",$Q924="LINEAR"),$M924,IF(AND($N924="VCA",$Q924="PREDIAL"),0,0)))</f>
        <v>15.2</v>
      </c>
      <c r="AN924" s="153" t="n">
        <f aca="false">ROUND(IF(AND($N924="VCA",$M924&lt;&gt;"",$Q924="LINEAR"),$M924/100,IF(AND($N924="MND",$M924&gt;100,$Q924="EMBOQUE"),$M924/100,0)),0)</f>
        <v>0</v>
      </c>
      <c r="AO924" s="153" t="n">
        <f aca="false">IF(AND($N924="MND",$Q924="EMBOQUE"),$AN924*2*2,IF(AND($N924="VCA",$Q924="LINEAR"),$M924*2,IF(AND($N924="VCA",$Q924="PREDIAL"),0,0)))</f>
        <v>30.4</v>
      </c>
      <c r="AP924" s="153" t="n">
        <f aca="false">IFERROR($M924*$AF924*$AG924,0)</f>
        <v>16.644</v>
      </c>
      <c r="AQ924" s="153" t="n">
        <f aca="false">IFERROR(IF(AND($N924="VCA",$AH924&gt;0),$M924*$AG924*$AH924,0),0)</f>
        <v>1.14</v>
      </c>
      <c r="AR924" s="153" t="n">
        <f aca="false">IFERROR(IF(AND($N924="VCA",$AJ924&gt;0),($M924*$AG924*$AJ924)-$AI924,0),0)</f>
        <v>4.93838586665878</v>
      </c>
      <c r="AS924" s="153" t="n">
        <f aca="false">IFERROR(IF(AND($N924="VCA",$AP924&gt;0),$AP924-$AI924-$AQ924-$AR924,0),0)</f>
        <v>10.26</v>
      </c>
      <c r="AT924" s="153" t="n">
        <f aca="false">IFERROR(IF($N924="VCA",INDEX(APOIO_REDES!$A:$W,MATCH($C924&amp;$I924&amp;$H924&amp;$N924&amp;$O924,APOIO_REDES!$W:$W,0),MATCH(AT$5,APOIO_REDES!$5:$5,0)),0)*$AP924,0)</f>
        <v>0.181091646372534</v>
      </c>
      <c r="AU924" s="153" t="n">
        <f aca="false">IFERROR(IF($N924="VCA",INDEX(APOIO_REDES!$A:$W,MATCH($C924&amp;$I924&amp;$H924&amp;$N924&amp;$O924,APOIO_REDES!$W:$W,0),MATCH(AU$5,APOIO_REDES!$5:$5,0)),0)*$AP924,0)</f>
        <v>0.14461488420932</v>
      </c>
      <c r="AV924" s="153" t="n">
        <f aca="false">IFERROR(IF($N924="VCA",INDEX(APOIO_REDES!$A:$W,MATCH($C924&amp;$I924&amp;$H924&amp;$N924&amp;$O924,APOIO_REDES!$W:$W,0),MATCH(AV$5,APOIO_REDES!$5:$5,0)),0)*$AP924,0)</f>
        <v>0.020013564703217</v>
      </c>
      <c r="AW924" s="153" t="n">
        <f aca="false">IFERROR(IF($N924="VCA",INDEX(APOIO_REDES!$A:$W,MATCH($C924&amp;$I924&amp;$H924&amp;$N924&amp;$O924,APOIO_REDES!$W:$W,0),MATCH(AW$5,APOIO_REDES!$5:$5,0)),0)*$AP924,0)</f>
        <v>11.4245705640051</v>
      </c>
      <c r="AX924" s="153" t="n">
        <f aca="false">IFERROR(IF($N924="VCA",INDEX(APOIO_REDES!$A:$W,MATCH($C924&amp;$I924&amp;$H924&amp;$N924&amp;$O924,APOIO_REDES!$W:$W,0),MATCH(AX$5,APOIO_REDES!$5:$5,0)),0)*$AP924,0)</f>
        <v>1.58112802255305</v>
      </c>
      <c r="AY924" s="153" t="n">
        <f aca="false">IFERROR(IF($N924="VCA",INDEX(APOIO_REDES!$A:$W,MATCH($C924&amp;$I924&amp;$H924&amp;$N924&amp;$O924,APOIO_REDES!$W:$W,0),MATCH(AY$5,APOIO_REDES!$5:$5,0)),0)*$AP924,0)</f>
        <v>2.89229592134268</v>
      </c>
      <c r="AZ924" s="153" t="n">
        <f aca="false">IFERROR(IF($N924="VCA",INDEX(APOIO_REDES!$A:$W,MATCH($C924&amp;$I924&amp;$H924&amp;$N924&amp;$O924,APOIO_REDES!$W:$W,0),MATCH(AZ$5,APOIO_REDES!$5:$5,0)),0)*$AP924,0)</f>
        <v>0.400285396814066</v>
      </c>
      <c r="BA924" s="153" t="n">
        <f aca="false">IFERROR(IF(AND($N924="VCA",$Q924="LINEAR"),INDEX(APOIO_REDES!$A:$W,MATCH($C924&amp;$I924&amp;$H924&amp;$N924&amp;$O924,APOIO_REDES!$W:$W,0),MATCH(BA$5,APOIO_REDES!$5:$5,0)),IF(AND($N924="MND",$Q924="EMBOQUE"),INDEX(APOIO_REDES!$A:$W,MATCH($C924&amp;$I924&amp;$H924&amp;$N924&amp;$O924,APOIO_REDES!$W:$W,0),MATCH(BA$5,APOIO_REDES!$5:$5,0)),0))*$M924/10,0)</f>
        <v>1.22508165921266</v>
      </c>
      <c r="BB924" s="153" t="n">
        <f aca="false">IFERROR(IF($N924="VCA",INDEX(APOIO_REDES!$A:$W,MATCH($C924&amp;$I924&amp;$H924&amp;$N924&amp;$O924,APOIO_REDES!$W:$W,0),MATCH(BB$5,APOIO_REDES!$5:$5,0)),0)*($AI924+$AQ924+$AR924),0)</f>
        <v>6.31454019043245</v>
      </c>
      <c r="BC924" s="153" t="n">
        <f aca="false">IFERROR(IF($N924="VCA",INDEX(APOIO_REDES!$A:$W,MATCH($C924&amp;$I924&amp;$H924&amp;$N924&amp;$O924,APOIO_REDES!$W:$W,0),MATCH(BC$5,APOIO_REDES!$5:$5,0)),0)*($AI924+$AQ924+$AR924),0)</f>
        <v>0.0694598095675472</v>
      </c>
      <c r="BD924" s="153" t="n">
        <f aca="false">IF(AND($N924="VCA",$AF924&gt;=1.25,$AF924&lt;1.5),$M924*$AF924*2,0)</f>
        <v>44.384</v>
      </c>
      <c r="BE924" s="153" t="n">
        <f aca="false">IF(AND($N924="VCA",$AF924&gt;=1.5,$AF924&lt;3),$M924*$AF924*2,0)</f>
        <v>0</v>
      </c>
      <c r="BF924" s="153" t="n">
        <f aca="false">IF(AND($N924="VCA",$AF924&gt;=3),$M924*$AF924*2,0)</f>
        <v>0</v>
      </c>
      <c r="BG924" s="153" t="n">
        <f aca="false">($BB924+$BC924)*$AK924</f>
        <v>19.7904</v>
      </c>
      <c r="BH924" s="153" t="n">
        <f aca="false">IF(AND($M924&lt;&gt;"",$N924="VCA",$Q924="LINEAR"),($M924*2)/100,IF(AND($M924&lt;&gt;"",$N924="MND",$Q924="EMBOQUE"),($AN924*2)/100,0))</f>
        <v>0.304</v>
      </c>
      <c r="BI924" s="153" t="n">
        <f aca="false">IF(AND($M924&lt;&gt;"",$N924="VCA",$Q924="LINEAR"),$M924,IF(AND($M924&lt;&gt;"",$N924="MND",$Q924="EMBOQUE"),$AN924*2,0))</f>
        <v>15.2</v>
      </c>
      <c r="BJ924" s="153" t="n">
        <f aca="false">IF(AND($M924&lt;&gt;"",$N924="VCA",$Q924="LINEAR"),($M924*6.8)/100,IF(AND($M924&lt;&gt;"",$N924="MND",$Q924="EMBOQUE"),($AN924*2*6.8)/100,0))</f>
        <v>1.0336</v>
      </c>
      <c r="BK924" s="153" t="n">
        <f aca="false">IF(AND($M924&lt;&gt;"",$N924="VCA",$Q924="LINEAR"),($M924*2.5)/50,IF(AND($M924&lt;&gt;"",$N924="MND",$Q924="EMBOQUE"),($AN924*2*2.5)/50,0))</f>
        <v>0.76</v>
      </c>
      <c r="BL924" s="157" t="str">
        <f aca="false">K924&amp;J924</f>
        <v>Zona08REDES</v>
      </c>
      <c r="BM924" s="152" t="s">
        <v>4834</v>
      </c>
      <c r="BN924" s="152" t="s">
        <v>1560</v>
      </c>
      <c r="BO924" s="152" t="s">
        <v>3688</v>
      </c>
      <c r="BP924" s="152" t="s">
        <v>5057</v>
      </c>
      <c r="BQ924" s="152" t="s">
        <v>4970</v>
      </c>
      <c r="BR924" s="152" t="s">
        <v>5058</v>
      </c>
      <c r="BS924" s="152" t="n">
        <v>203155.024</v>
      </c>
      <c r="BT924" s="152" t="n">
        <v>8237139.464</v>
      </c>
      <c r="BU924" s="152" t="n">
        <v>203142.111</v>
      </c>
      <c r="BV924" s="152" t="n">
        <v>8237147.341</v>
      </c>
      <c r="BW924" s="152" t="n">
        <v>-15.9272199</v>
      </c>
      <c r="BX924" s="152" t="n">
        <v>-47.7726054</v>
      </c>
      <c r="BY924" s="152" t="s">
        <v>5057</v>
      </c>
    </row>
    <row r="925" customFormat="false" ht="13.8" hidden="false" customHeight="false" outlineLevel="0" collapsed="false">
      <c r="A925" s="149" t="n">
        <f aca="false">IF(C925&lt;&gt;"",ROW(A920),"")</f>
        <v>920</v>
      </c>
      <c r="B925" s="150" t="str">
        <f aca="false">HYPERLINK("https://www.google.com/maps/dir/-15.917302,-47.760003/-15.9282303,-47.7745993/data=!4m3!4m2!3e0!5i2")</f>
        <v>https://www.google.com/maps/dir/-15.917302,-47.760003/-15.9282303,-47.7745993/data=!4m3!4m2!3e0!5i2</v>
      </c>
      <c r="C925" s="151" t="s">
        <v>117</v>
      </c>
      <c r="D925" s="152" t="s">
        <v>112</v>
      </c>
      <c r="E925" s="152" t="s">
        <v>113</v>
      </c>
      <c r="F925" s="152" t="s">
        <v>117</v>
      </c>
      <c r="G925" s="152" t="s">
        <v>782</v>
      </c>
      <c r="H925" s="152" t="n">
        <v>63</v>
      </c>
      <c r="I925" s="152" t="s">
        <v>115</v>
      </c>
      <c r="J925" s="152" t="s">
        <v>6</v>
      </c>
      <c r="K925" s="152" t="s">
        <v>4831</v>
      </c>
      <c r="L925" s="152" t="s">
        <v>120</v>
      </c>
      <c r="M925" s="153" t="n">
        <f aca="false">9.9</f>
        <v>9.9</v>
      </c>
      <c r="N925" s="152" t="s">
        <v>1548</v>
      </c>
      <c r="O925" s="152" t="s">
        <v>1549</v>
      </c>
      <c r="P925" s="152" t="s">
        <v>1550</v>
      </c>
      <c r="Q925" s="152" t="s">
        <v>1551</v>
      </c>
      <c r="R925" s="154" t="s">
        <v>5059</v>
      </c>
      <c r="S925" s="154" t="s">
        <v>1553</v>
      </c>
      <c r="T925" s="155" t="s">
        <v>5060</v>
      </c>
      <c r="U925" s="152" t="str">
        <f aca="false">RIGHT(T925,7)</f>
        <v>014/037</v>
      </c>
      <c r="V925" s="152" t="s">
        <v>1555</v>
      </c>
      <c r="W925" s="156" t="n">
        <v>45882</v>
      </c>
      <c r="X925" s="152" t="s">
        <v>1594</v>
      </c>
      <c r="Y925" s="152" t="s">
        <v>4973</v>
      </c>
      <c r="Z925" s="152" t="s">
        <v>1557</v>
      </c>
      <c r="AA925" s="153" t="n">
        <v>4</v>
      </c>
      <c r="AB925" s="151" t="s">
        <v>5061</v>
      </c>
      <c r="AC925" s="151" t="s">
        <v>186</v>
      </c>
      <c r="AD925" s="151" t="str">
        <f aca="false">CONCATENATE($C925,$I925,$H925,$N925,$J925,$K925)</f>
        <v>TUBO PEADPEAD63VCAREDESZona08</v>
      </c>
      <c r="AE925" s="153" t="n">
        <f aca="false">IFERROR(INDEX(APOIO_REDES!$A:$W,MATCH($C925&amp;$I925&amp;$H925&amp;$N925&amp;$O925,APOIO_REDES!$W:$W,0),MATCH(AE$5,APOIO_REDES!$5:$5,0)),0)</f>
        <v>1.2</v>
      </c>
      <c r="AF925" s="153" t="n">
        <f aca="false">IFERROR(INDEX(APOIO_REDES!$A:$W,MATCH($C925&amp;$I925&amp;$H925&amp;$N925&amp;$O925,APOIO_REDES!$W:$W,0),MATCH(AF$5,APOIO_REDES!$5:$5,0)),0)</f>
        <v>1.363</v>
      </c>
      <c r="AG925" s="153" t="n">
        <f aca="false">IFERROR(INDEX(APOIO_REDES!$A:$W,MATCH($C925&amp;$I925&amp;$H925&amp;$N925&amp;$O925,APOIO_REDES!$W:$W,0),MATCH(AG$5,APOIO_REDES!$5:$5,0)),0)</f>
        <v>0.65</v>
      </c>
      <c r="AH925" s="153" t="n">
        <f aca="false">IFERROR(INDEX(APOIO_REDES!$A:$W,MATCH($C925&amp;$I925&amp;$H925&amp;$N925&amp;$O925,APOIO_REDES!$W:$W,0),MATCH(AH$5,APOIO_REDES!$5:$5,0)),0)</f>
        <v>0.1</v>
      </c>
      <c r="AI925" s="153" t="n">
        <f aca="false">IFERROR(IF($H925&lt;&gt;"",(((($H925/1000)/2)^2)*PI()*$M925),0),0)</f>
        <v>0.0308607285741923</v>
      </c>
      <c r="AJ925" s="153" t="n">
        <f aca="false">IFERROR(IF(AND($H925&lt;&gt;"",$I925="FoFo",OR($N925="MND",$N925="VCA"),$Q925="LINEAR"),0,IF(AND($H925&lt;&gt;"",$I925="PEAD",$N925="VCA",$Q925="LINEAR"),($H925/1000)+0.3,IF(AND($H925&lt;&gt;"",$I925="PEAD",$N925="MND",$Q925="EMBOQUE"),0,IF(AND($H925&lt;&gt;"",$I925="PVC",$N925="VCA",$Q925="LINEAR"),($H925/1000)+0.2,IF(AND($H925&lt;&gt;"",$I925="PVC",$N925="MND",$Q925="EMBOQUE"),0,IF(AND($H925&lt;&gt;"",$I925="PEAD",$N925="VCA",$Q925="PREDIAL"),0,0)))))),0)</f>
        <v>0.363</v>
      </c>
      <c r="AK925" s="153" t="n">
        <f aca="false">IF(AA925&lt;&gt;"",AA925,0)</f>
        <v>4</v>
      </c>
      <c r="AL925" s="153" t="n">
        <f aca="false">IF(AND($N925="MND",$Q925="EMBOQUE"),$M925,IF(AND($N925="VCA",$Q925="LINEAR"),$M925,IF(AND($N925="VCA",$Q925="PREDIAL"),0,0)))</f>
        <v>9.9</v>
      </c>
      <c r="AM925" s="153" t="n">
        <f aca="false">IF(AND($N925="MND",$Q925="EMBOQUE"),$M925,IF(AND($N925="VCA",$Q925="LINEAR"),$M925,IF(AND($N925="VCA",$Q925="PREDIAL"),0,0)))</f>
        <v>9.9</v>
      </c>
      <c r="AN925" s="153" t="n">
        <f aca="false">ROUND(IF(AND($N925="VCA",$M925&lt;&gt;"",$Q925="LINEAR"),$M925/100,IF(AND($N925="MND",$M925&gt;100,$Q925="EMBOQUE"),$M925/100,0)),0)</f>
        <v>0</v>
      </c>
      <c r="AO925" s="153" t="n">
        <f aca="false">IF(AND($N925="MND",$Q925="EMBOQUE"),$AN925*2*2,IF(AND($N925="VCA",$Q925="LINEAR"),$M925*2,IF(AND($N925="VCA",$Q925="PREDIAL"),0,0)))</f>
        <v>19.8</v>
      </c>
      <c r="AP925" s="153" t="n">
        <f aca="false">IFERROR($M925*$AF925*$AG925,0)</f>
        <v>8.770905</v>
      </c>
      <c r="AQ925" s="153" t="n">
        <f aca="false">IFERROR(IF(AND($N925="VCA",$AH925&gt;0),$M925*$AG925*$AH925,0),0)</f>
        <v>0.6435</v>
      </c>
      <c r="AR925" s="153" t="n">
        <f aca="false">IFERROR(IF(AND($N925="VCA",$AJ925&gt;0),($M925*$AG925*$AJ925)-$AI925,0),0)</f>
        <v>2.30504427142581</v>
      </c>
      <c r="AS925" s="153" t="n">
        <f aca="false">IFERROR(IF(AND($N925="VCA",$AP925&gt;0),$AP925-$AI925-$AQ925-$AR925,0),0)</f>
        <v>5.7915</v>
      </c>
      <c r="AT925" s="153" t="n">
        <f aca="false">IFERROR(IF($N925="VCA",INDEX(APOIO_REDES!$A:$W,MATCH($C925&amp;$I925&amp;$H925&amp;$N925&amp;$O925,APOIO_REDES!$W:$W,0),MATCH(AT$5,APOIO_REDES!$5:$5,0)),0)*$AP925,0)</f>
        <v>0.0954300424553647</v>
      </c>
      <c r="AU925" s="153" t="n">
        <f aca="false">IFERROR(IF($N925="VCA",INDEX(APOIO_REDES!$A:$W,MATCH($C925&amp;$I925&amp;$H925&amp;$N925&amp;$O925,APOIO_REDES!$W:$W,0),MATCH(AU$5,APOIO_REDES!$5:$5,0)),0)*$AP925,0)</f>
        <v>0.0762078473315276</v>
      </c>
      <c r="AV925" s="153" t="n">
        <f aca="false">IFERROR(IF($N925="VCA",INDEX(APOIO_REDES!$A:$W,MATCH($C925&amp;$I925&amp;$H925&amp;$N925&amp;$O925,APOIO_REDES!$W:$W,0),MATCH(AV$5,APOIO_REDES!$5:$5,0)),0)*$AP925,0)</f>
        <v>0.0105465678156254</v>
      </c>
      <c r="AW925" s="153" t="n">
        <f aca="false">IFERROR(IF($N925="VCA",INDEX(APOIO_REDES!$A:$W,MATCH($C925&amp;$I925&amp;$H925&amp;$N925&amp;$O925,APOIO_REDES!$W:$W,0),MATCH(AW$5,APOIO_REDES!$5:$5,0)),0)*$AP925,0)</f>
        <v>6.02041715228824</v>
      </c>
      <c r="AX925" s="153" t="n">
        <f aca="false">IFERROR(IF($N925="VCA",INDEX(APOIO_REDES!$A:$W,MATCH($C925&amp;$I925&amp;$H925&amp;$N925&amp;$O925,APOIO_REDES!$W:$W,0),MATCH(AX$5,APOIO_REDES!$5:$5,0)),0)*$AP925,0)</f>
        <v>0.833208584393813</v>
      </c>
      <c r="AY925" s="153" t="n">
        <f aca="false">IFERROR(IF($N925="VCA",INDEX(APOIO_REDES!$A:$W,MATCH($C925&amp;$I925&amp;$H925&amp;$N925&amp;$O925,APOIO_REDES!$W:$W,0),MATCH(AY$5,APOIO_REDES!$5:$5,0)),0)*$AP925,0)</f>
        <v>1.52415601766307</v>
      </c>
      <c r="AZ925" s="153" t="n">
        <f aca="false">IFERROR(IF($N925="VCA",INDEX(APOIO_REDES!$A:$W,MATCH($C925&amp;$I925&amp;$H925&amp;$N925&amp;$O925,APOIO_REDES!$W:$W,0),MATCH(AZ$5,APOIO_REDES!$5:$5,0)),0)*$AP925,0)</f>
        <v>0.21093878805236</v>
      </c>
      <c r="BA925" s="153" t="n">
        <f aca="false">IFERROR(IF(AND($N925="VCA",$Q925="LINEAR"),INDEX(APOIO_REDES!$A:$W,MATCH($C925&amp;$I925&amp;$H925&amp;$N925&amp;$O925,APOIO_REDES!$W:$W,0),MATCH(BA$5,APOIO_REDES!$5:$5,0)),IF(AND($N925="MND",$Q925="EMBOQUE"),INDEX(APOIO_REDES!$A:$W,MATCH($C925&amp;$I925&amp;$H925&amp;$N925&amp;$O925,APOIO_REDES!$W:$W,0),MATCH(BA$5,APOIO_REDES!$5:$5,0)),0))*$M925/10,0)</f>
        <v>0.797915028039825</v>
      </c>
      <c r="BB925" s="153" t="n">
        <f aca="false">IFERROR(IF($N925="VCA",INDEX(APOIO_REDES!$A:$W,MATCH($C925&amp;$I925&amp;$H925&amp;$N925&amp;$O925,APOIO_REDES!$W:$W,0),MATCH(BB$5,APOIO_REDES!$5:$5,0)),0)*($AI925+$AQ925+$AR925),0)</f>
        <v>2.94698819174113</v>
      </c>
      <c r="BC925" s="153" t="n">
        <f aca="false">IFERROR(IF($N925="VCA",INDEX(APOIO_REDES!$A:$W,MATCH($C925&amp;$I925&amp;$H925&amp;$N925&amp;$O925,APOIO_REDES!$W:$W,0),MATCH(BC$5,APOIO_REDES!$5:$5,0)),0)*($AI925+$AQ925+$AR925),0)</f>
        <v>0.0324168082588656</v>
      </c>
      <c r="BD925" s="153" t="n">
        <f aca="false">IF(AND($N925="VCA",$AF925&gt;=1.25,$AF925&lt;1.5),$M925*$AF925*2,0)</f>
        <v>26.9874</v>
      </c>
      <c r="BE925" s="153" t="n">
        <f aca="false">IF(AND($N925="VCA",$AF925&gt;=1.5,$AF925&lt;3),$M925*$AF925*2,0)</f>
        <v>0</v>
      </c>
      <c r="BF925" s="153" t="n">
        <f aca="false">IF(AND($N925="VCA",$AF925&gt;=3),$M925*$AF925*2,0)</f>
        <v>0</v>
      </c>
      <c r="BG925" s="153" t="n">
        <f aca="false">($BB925+$BC925)*$AK925</f>
        <v>11.91762</v>
      </c>
      <c r="BH925" s="153" t="n">
        <f aca="false">IF(AND($M925&lt;&gt;"",$N925="VCA",$Q925="LINEAR"),($M925*2)/100,IF(AND($M925&lt;&gt;"",$N925="MND",$Q925="EMBOQUE"),($AN925*2)/100,0))</f>
        <v>0.198</v>
      </c>
      <c r="BI925" s="153" t="n">
        <f aca="false">IF(AND($M925&lt;&gt;"",$N925="VCA",$Q925="LINEAR"),$M925,IF(AND($M925&lt;&gt;"",$N925="MND",$Q925="EMBOQUE"),$AN925*2,0))</f>
        <v>9.9</v>
      </c>
      <c r="BJ925" s="153" t="n">
        <f aca="false">IF(AND($M925&lt;&gt;"",$N925="VCA",$Q925="LINEAR"),($M925*6.8)/100,IF(AND($M925&lt;&gt;"",$N925="MND",$Q925="EMBOQUE"),($AN925*2*6.8)/100,0))</f>
        <v>0.6732</v>
      </c>
      <c r="BK925" s="153" t="n">
        <f aca="false">IF(AND($M925&lt;&gt;"",$N925="VCA",$Q925="LINEAR"),($M925*2.5)/50,IF(AND($M925&lt;&gt;"",$N925="MND",$Q925="EMBOQUE"),($AN925*2*2.5)/50,0))</f>
        <v>0.495</v>
      </c>
      <c r="BL925" s="157" t="str">
        <f aca="false">K925&amp;J925</f>
        <v>Zona08REDES</v>
      </c>
      <c r="BM925" s="152" t="s">
        <v>4834</v>
      </c>
      <c r="BN925" s="152" t="s">
        <v>1560</v>
      </c>
      <c r="BO925" s="152" t="s">
        <v>5062</v>
      </c>
      <c r="BP925" s="152" t="s">
        <v>5016</v>
      </c>
      <c r="BQ925" s="152" t="s">
        <v>5040</v>
      </c>
      <c r="BR925" s="152" t="s">
        <v>5063</v>
      </c>
      <c r="BS925" s="152" t="n">
        <v>202936.227</v>
      </c>
      <c r="BT925" s="152" t="n">
        <v>8237028.311</v>
      </c>
      <c r="BU925" s="152" t="n">
        <v>202944.244</v>
      </c>
      <c r="BV925" s="152" t="n">
        <v>8237034.12</v>
      </c>
      <c r="BW925" s="152" t="n">
        <v>-15.9282045</v>
      </c>
      <c r="BX925" s="152" t="n">
        <v>-47.7745616</v>
      </c>
      <c r="BY925" s="152" t="s">
        <v>5016</v>
      </c>
    </row>
    <row r="926" customFormat="false" ht="13.8" hidden="false" customHeight="false" outlineLevel="0" collapsed="false">
      <c r="A926" s="149" t="n">
        <f aca="false">IF(C926&lt;&gt;"",ROW(A921),"")</f>
        <v>921</v>
      </c>
      <c r="B926" s="150" t="str">
        <f aca="false">HYPERLINK("https://www.google.com/maps/dir/-15.917302,-47.760003/-15.9282403,-47.7777327/data=!4m3!4m2!3e0!5i2")</f>
        <v>https://www.google.com/maps/dir/-15.917302,-47.760003/-15.9282403,-47.7777327/data=!4m3!4m2!3e0!5i2</v>
      </c>
      <c r="C926" s="151" t="s">
        <v>117</v>
      </c>
      <c r="D926" s="152" t="s">
        <v>112</v>
      </c>
      <c r="E926" s="152" t="s">
        <v>113</v>
      </c>
      <c r="F926" s="152" t="s">
        <v>117</v>
      </c>
      <c r="G926" s="152" t="s">
        <v>782</v>
      </c>
      <c r="H926" s="152" t="n">
        <v>63</v>
      </c>
      <c r="I926" s="152" t="s">
        <v>115</v>
      </c>
      <c r="J926" s="152" t="s">
        <v>6</v>
      </c>
      <c r="K926" s="152" t="s">
        <v>4831</v>
      </c>
      <c r="L926" s="152" t="s">
        <v>120</v>
      </c>
      <c r="M926" s="153" t="n">
        <f aca="false">7.97</f>
        <v>7.97</v>
      </c>
      <c r="N926" s="152" t="s">
        <v>1548</v>
      </c>
      <c r="O926" s="152" t="s">
        <v>1549</v>
      </c>
      <c r="P926" s="152" t="s">
        <v>1550</v>
      </c>
      <c r="Q926" s="152" t="s">
        <v>1551</v>
      </c>
      <c r="R926" s="154" t="s">
        <v>5064</v>
      </c>
      <c r="S926" s="154" t="s">
        <v>1553</v>
      </c>
      <c r="T926" s="155" t="s">
        <v>5060</v>
      </c>
      <c r="U926" s="152" t="str">
        <f aca="false">RIGHT(T926,7)</f>
        <v>014/037</v>
      </c>
      <c r="V926" s="152" t="s">
        <v>1555</v>
      </c>
      <c r="W926" s="156" t="n">
        <v>45882</v>
      </c>
      <c r="X926" s="152" t="s">
        <v>1594</v>
      </c>
      <c r="Y926" s="152" t="s">
        <v>5031</v>
      </c>
      <c r="Z926" s="152" t="s">
        <v>1557</v>
      </c>
      <c r="AA926" s="153" t="n">
        <v>4.2</v>
      </c>
      <c r="AB926" s="151" t="s">
        <v>5065</v>
      </c>
      <c r="AC926" s="151" t="s">
        <v>186</v>
      </c>
      <c r="AD926" s="151" t="str">
        <f aca="false">CONCATENATE($C926,$I926,$H926,$N926,$J926,$K926)</f>
        <v>TUBO PEADPEAD63VCAREDESZona08</v>
      </c>
      <c r="AE926" s="153" t="n">
        <f aca="false">IFERROR(INDEX(APOIO_REDES!$A:$W,MATCH($C926&amp;$I926&amp;$H926&amp;$N926&amp;$O926,APOIO_REDES!$W:$W,0),MATCH(AE$5,APOIO_REDES!$5:$5,0)),0)</f>
        <v>1.2</v>
      </c>
      <c r="AF926" s="153" t="n">
        <f aca="false">IFERROR(INDEX(APOIO_REDES!$A:$W,MATCH($C926&amp;$I926&amp;$H926&amp;$N926&amp;$O926,APOIO_REDES!$W:$W,0),MATCH(AF$5,APOIO_REDES!$5:$5,0)),0)</f>
        <v>1.363</v>
      </c>
      <c r="AG926" s="153" t="n">
        <f aca="false">IFERROR(INDEX(APOIO_REDES!$A:$W,MATCH($C926&amp;$I926&amp;$H926&amp;$N926&amp;$O926,APOIO_REDES!$W:$W,0),MATCH(AG$5,APOIO_REDES!$5:$5,0)),0)</f>
        <v>0.65</v>
      </c>
      <c r="AH926" s="153" t="n">
        <f aca="false">IFERROR(INDEX(APOIO_REDES!$A:$W,MATCH($C926&amp;$I926&amp;$H926&amp;$N926&amp;$O926,APOIO_REDES!$W:$W,0),MATCH(AH$5,APOIO_REDES!$5:$5,0)),0)</f>
        <v>0.1</v>
      </c>
      <c r="AI926" s="153" t="n">
        <f aca="false">IFERROR(IF($H926&lt;&gt;"",(((($H926/1000)/2)^2)*PI()*$M926),0),0)</f>
        <v>0.02484444512488</v>
      </c>
      <c r="AJ926" s="153" t="n">
        <f aca="false">IFERROR(IF(AND($H926&lt;&gt;"",$I926="FoFo",OR($N926="MND",$N926="VCA"),$Q926="LINEAR"),0,IF(AND($H926&lt;&gt;"",$I926="PEAD",$N926="VCA",$Q926="LINEAR"),($H926/1000)+0.3,IF(AND($H926&lt;&gt;"",$I926="PEAD",$N926="MND",$Q926="EMBOQUE"),0,IF(AND($H926&lt;&gt;"",$I926="PVC",$N926="VCA",$Q926="LINEAR"),($H926/1000)+0.2,IF(AND($H926&lt;&gt;"",$I926="PVC",$N926="MND",$Q926="EMBOQUE"),0,IF(AND($H926&lt;&gt;"",$I926="PEAD",$N926="VCA",$Q926="PREDIAL"),0,0)))))),0)</f>
        <v>0.363</v>
      </c>
      <c r="AK926" s="153" t="n">
        <f aca="false">IF(AA926&lt;&gt;"",AA926,0)</f>
        <v>4.2</v>
      </c>
      <c r="AL926" s="153" t="n">
        <f aca="false">IF(AND($N926="MND",$Q926="EMBOQUE"),$M926,IF(AND($N926="VCA",$Q926="LINEAR"),$M926,IF(AND($N926="VCA",$Q926="PREDIAL"),0,0)))</f>
        <v>7.97</v>
      </c>
      <c r="AM926" s="153" t="n">
        <f aca="false">IF(AND($N926="MND",$Q926="EMBOQUE"),$M926,IF(AND($N926="VCA",$Q926="LINEAR"),$M926,IF(AND($N926="VCA",$Q926="PREDIAL"),0,0)))</f>
        <v>7.97</v>
      </c>
      <c r="AN926" s="153" t="n">
        <f aca="false">ROUND(IF(AND($N926="VCA",$M926&lt;&gt;"",$Q926="LINEAR"),$M926/100,IF(AND($N926="MND",$M926&gt;100,$Q926="EMBOQUE"),$M926/100,0)),0)</f>
        <v>0</v>
      </c>
      <c r="AO926" s="153" t="n">
        <f aca="false">IF(AND($N926="MND",$Q926="EMBOQUE"),$AN926*2*2,IF(AND($N926="VCA",$Q926="LINEAR"),$M926*2,IF(AND($N926="VCA",$Q926="PREDIAL"),0,0)))</f>
        <v>15.94</v>
      </c>
      <c r="AP926" s="153" t="n">
        <f aca="false">IFERROR($M926*$AF926*$AG926,0)</f>
        <v>7.0610215</v>
      </c>
      <c r="AQ926" s="153" t="n">
        <f aca="false">IFERROR(IF(AND($N926="VCA",$AH926&gt;0),$M926*$AG926*$AH926,0),0)</f>
        <v>0.51805</v>
      </c>
      <c r="AR926" s="153" t="n">
        <f aca="false">IFERROR(IF(AND($N926="VCA",$AJ926&gt;0),($M926*$AG926*$AJ926)-$AI926,0),0)</f>
        <v>1.85567705487512</v>
      </c>
      <c r="AS926" s="153" t="n">
        <f aca="false">IFERROR(IF(AND($N926="VCA",$AP926&gt;0),$AP926-$AI926-$AQ926-$AR926,0),0)</f>
        <v>4.66245</v>
      </c>
      <c r="AT926" s="153" t="n">
        <f aca="false">IFERROR(IF($N926="VCA",INDEX(APOIO_REDES!$A:$W,MATCH($C926&amp;$I926&amp;$H926&amp;$N926&amp;$O926,APOIO_REDES!$W:$W,0),MATCH(AT$5,APOIO_REDES!$5:$5,0)),0)*$AP926,0)</f>
        <v>0.0768260038756825</v>
      </c>
      <c r="AU926" s="153" t="n">
        <f aca="false">IFERROR(IF($N926="VCA",INDEX(APOIO_REDES!$A:$W,MATCH($C926&amp;$I926&amp;$H926&amp;$N926&amp;$O926,APOIO_REDES!$W:$W,0),MATCH(AU$5,APOIO_REDES!$5:$5,0)),0)*$AP926,0)</f>
        <v>0.0613511659830581</v>
      </c>
      <c r="AV926" s="153" t="n">
        <f aca="false">IFERROR(IF($N926="VCA",INDEX(APOIO_REDES!$A:$W,MATCH($C926&amp;$I926&amp;$H926&amp;$N926&amp;$O926,APOIO_REDES!$W:$W,0),MATCH(AV$5,APOIO_REDES!$5:$5,0)),0)*$AP926,0)</f>
        <v>0.00849051974651867</v>
      </c>
      <c r="AW926" s="153" t="n">
        <f aca="false">IFERROR(IF($N926="VCA",INDEX(APOIO_REDES!$A:$W,MATCH($C926&amp;$I926&amp;$H926&amp;$N926&amp;$O926,APOIO_REDES!$W:$W,0),MATCH(AW$5,APOIO_REDES!$5:$5,0)),0)*$AP926,0)</f>
        <v>4.84673986906437</v>
      </c>
      <c r="AX926" s="153" t="n">
        <f aca="false">IFERROR(IF($N926="VCA",INDEX(APOIO_REDES!$A:$W,MATCH($C926&amp;$I926&amp;$H926&amp;$N926&amp;$O926,APOIO_REDES!$W:$W,0),MATCH(AX$5,APOIO_REDES!$5:$5,0)),0)*$AP926,0)</f>
        <v>0.670774991678655</v>
      </c>
      <c r="AY926" s="153" t="n">
        <f aca="false">IFERROR(IF($N926="VCA",INDEX(APOIO_REDES!$A:$W,MATCH($C926&amp;$I926&amp;$H926&amp;$N926&amp;$O926,APOIO_REDES!$W:$W,0),MATCH(AY$5,APOIO_REDES!$5:$5,0)),0)*$AP926,0)</f>
        <v>1.22702257179542</v>
      </c>
      <c r="AZ926" s="153" t="n">
        <f aca="false">IFERROR(IF($N926="VCA",INDEX(APOIO_REDES!$A:$W,MATCH($C926&amp;$I926&amp;$H926&amp;$N926&amp;$O926,APOIO_REDES!$W:$W,0),MATCH(AZ$5,APOIO_REDES!$5:$5,0)),0)*$AP926,0)</f>
        <v>0.169816377856293</v>
      </c>
      <c r="BA926" s="153" t="n">
        <f aca="false">IFERROR(IF(AND($N926="VCA",$Q926="LINEAR"),INDEX(APOIO_REDES!$A:$W,MATCH($C926&amp;$I926&amp;$H926&amp;$N926&amp;$O926,APOIO_REDES!$W:$W,0),MATCH(BA$5,APOIO_REDES!$5:$5,0)),IF(AND($N926="MND",$Q926="EMBOQUE"),INDEX(APOIO_REDES!$A:$W,MATCH($C926&amp;$I926&amp;$H926&amp;$N926&amp;$O926,APOIO_REDES!$W:$W,0),MATCH(BA$5,APOIO_REDES!$5:$5,0)),0))*$M926/10,0)</f>
        <v>0.642361896310849</v>
      </c>
      <c r="BB926" s="153" t="n">
        <f aca="false">IFERROR(IF($N926="VCA",INDEX(APOIO_REDES!$A:$W,MATCH($C926&amp;$I926&amp;$H926&amp;$N926&amp;$O926,APOIO_REDES!$W:$W,0),MATCH(BB$5,APOIO_REDES!$5:$5,0)),0)*($AI926+$AQ926+$AR926),0)</f>
        <v>2.37247433213908</v>
      </c>
      <c r="BC926" s="153" t="n">
        <f aca="false">IFERROR(IF($N926="VCA",INDEX(APOIO_REDES!$A:$W,MATCH($C926&amp;$I926&amp;$H926&amp;$N926&amp;$O926,APOIO_REDES!$W:$W,0),MATCH(BC$5,APOIO_REDES!$5:$5,0)),0)*($AI926+$AQ926+$AR926),0)</f>
        <v>0.0260971678609251</v>
      </c>
      <c r="BD926" s="153" t="n">
        <f aca="false">IF(AND($N926="VCA",$AF926&gt;=1.25,$AF926&lt;1.5),$M926*$AF926*2,0)</f>
        <v>21.72622</v>
      </c>
      <c r="BE926" s="153" t="n">
        <f aca="false">IF(AND($N926="VCA",$AF926&gt;=1.5,$AF926&lt;3),$M926*$AF926*2,0)</f>
        <v>0</v>
      </c>
      <c r="BF926" s="153" t="n">
        <f aca="false">IF(AND($N926="VCA",$AF926&gt;=3),$M926*$AF926*2,0)</f>
        <v>0</v>
      </c>
      <c r="BG926" s="153" t="n">
        <f aca="false">($BB926+$BC926)*$AK926</f>
        <v>10.0740003</v>
      </c>
      <c r="BH926" s="153" t="n">
        <f aca="false">IF(AND($M926&lt;&gt;"",$N926="VCA",$Q926="LINEAR"),($M926*2)/100,IF(AND($M926&lt;&gt;"",$N926="MND",$Q926="EMBOQUE"),($AN926*2)/100,0))</f>
        <v>0.1594</v>
      </c>
      <c r="BI926" s="153" t="n">
        <f aca="false">IF(AND($M926&lt;&gt;"",$N926="VCA",$Q926="LINEAR"),$M926,IF(AND($M926&lt;&gt;"",$N926="MND",$Q926="EMBOQUE"),$AN926*2,0))</f>
        <v>7.97</v>
      </c>
      <c r="BJ926" s="153" t="n">
        <f aca="false">IF(AND($M926&lt;&gt;"",$N926="VCA",$Q926="LINEAR"),($M926*6.8)/100,IF(AND($M926&lt;&gt;"",$N926="MND",$Q926="EMBOQUE"),($AN926*2*6.8)/100,0))</f>
        <v>0.54196</v>
      </c>
      <c r="BK926" s="153" t="n">
        <f aca="false">IF(AND($M926&lt;&gt;"",$N926="VCA",$Q926="LINEAR"),($M926*2.5)/50,IF(AND($M926&lt;&gt;"",$N926="MND",$Q926="EMBOQUE"),($AN926*2*2.5)/50,0))</f>
        <v>0.3985</v>
      </c>
      <c r="BL926" s="157" t="str">
        <f aca="false">K926&amp;J926</f>
        <v>Zona08REDES</v>
      </c>
      <c r="BM926" s="152" t="s">
        <v>4834</v>
      </c>
      <c r="BN926" s="152" t="s">
        <v>1560</v>
      </c>
      <c r="BO926" s="152" t="s">
        <v>5062</v>
      </c>
      <c r="BP926" s="152" t="s">
        <v>5053</v>
      </c>
      <c r="BQ926" s="152" t="s">
        <v>5044</v>
      </c>
      <c r="BR926" s="152" t="s">
        <v>5054</v>
      </c>
      <c r="BS926" s="152" t="n">
        <v>202600.54</v>
      </c>
      <c r="BT926" s="152" t="n">
        <v>8237022.735</v>
      </c>
      <c r="BU926" s="152" t="n">
        <v>202608.386</v>
      </c>
      <c r="BV926" s="152" t="n">
        <v>8237024.146</v>
      </c>
      <c r="BW926" s="152" t="n">
        <v>-15.9282344</v>
      </c>
      <c r="BX926" s="152" t="n">
        <v>-47.777696</v>
      </c>
      <c r="BY926" s="152" t="s">
        <v>5053</v>
      </c>
    </row>
    <row r="927" customFormat="false" ht="13.8" hidden="false" customHeight="false" outlineLevel="0" collapsed="false">
      <c r="A927" s="149" t="n">
        <f aca="false">IF(C927&lt;&gt;"",ROW(A922),"")</f>
        <v>922</v>
      </c>
      <c r="B927" s="150" t="str">
        <f aca="false">HYPERLINK("https://www.google.com/maps/dir/-15.917302,-47.760003/-15.9282303,-47.7745993/data=!4m3!4m2!3e0!5i2")</f>
        <v>https://www.google.com/maps/dir/-15.917302,-47.760003/-15.9282303,-47.7745993/data=!4m3!4m2!3e0!5i2</v>
      </c>
      <c r="C927" s="151" t="s">
        <v>117</v>
      </c>
      <c r="D927" s="152" t="s">
        <v>112</v>
      </c>
      <c r="E927" s="152" t="s">
        <v>113</v>
      </c>
      <c r="F927" s="152" t="s">
        <v>117</v>
      </c>
      <c r="G927" s="152" t="s">
        <v>782</v>
      </c>
      <c r="H927" s="152" t="n">
        <v>63</v>
      </c>
      <c r="I927" s="152" t="s">
        <v>115</v>
      </c>
      <c r="J927" s="152" t="s">
        <v>6</v>
      </c>
      <c r="K927" s="152" t="s">
        <v>4831</v>
      </c>
      <c r="L927" s="152" t="s">
        <v>120</v>
      </c>
      <c r="M927" s="153" t="n">
        <f aca="false">49.38</f>
        <v>49.38</v>
      </c>
      <c r="N927" s="152" t="s">
        <v>1548</v>
      </c>
      <c r="O927" s="152" t="s">
        <v>1549</v>
      </c>
      <c r="P927" s="152" t="s">
        <v>1550</v>
      </c>
      <c r="Q927" s="152" t="s">
        <v>1551</v>
      </c>
      <c r="R927" s="154" t="s">
        <v>5066</v>
      </c>
      <c r="S927" s="154" t="s">
        <v>1553</v>
      </c>
      <c r="T927" s="155" t="s">
        <v>5060</v>
      </c>
      <c r="U927" s="152" t="str">
        <f aca="false">RIGHT(T927,7)</f>
        <v>014/037</v>
      </c>
      <c r="V927" s="152" t="s">
        <v>1555</v>
      </c>
      <c r="W927" s="156" t="n">
        <v>45882</v>
      </c>
      <c r="X927" s="152" t="s">
        <v>1594</v>
      </c>
      <c r="Y927" s="152" t="s">
        <v>4973</v>
      </c>
      <c r="Z927" s="152" t="s">
        <v>1557</v>
      </c>
      <c r="AA927" s="153" t="n">
        <v>4</v>
      </c>
      <c r="AB927" s="151" t="s">
        <v>5067</v>
      </c>
      <c r="AC927" s="151" t="s">
        <v>186</v>
      </c>
      <c r="AD927" s="151" t="str">
        <f aca="false">CONCATENATE($C927,$I927,$H927,$N927,$J927,$K927)</f>
        <v>TUBO PEADPEAD63VCAREDESZona08</v>
      </c>
      <c r="AE927" s="153" t="n">
        <f aca="false">IFERROR(INDEX(APOIO_REDES!$A:$W,MATCH($C927&amp;$I927&amp;$H927&amp;$N927&amp;$O927,APOIO_REDES!$W:$W,0),MATCH(AE$5,APOIO_REDES!$5:$5,0)),0)</f>
        <v>1.2</v>
      </c>
      <c r="AF927" s="153" t="n">
        <f aca="false">IFERROR(INDEX(APOIO_REDES!$A:$W,MATCH($C927&amp;$I927&amp;$H927&amp;$N927&amp;$O927,APOIO_REDES!$W:$W,0),MATCH(AF$5,APOIO_REDES!$5:$5,0)),0)</f>
        <v>1.363</v>
      </c>
      <c r="AG927" s="153" t="n">
        <f aca="false">IFERROR(INDEX(APOIO_REDES!$A:$W,MATCH($C927&amp;$I927&amp;$H927&amp;$N927&amp;$O927,APOIO_REDES!$W:$W,0),MATCH(AG$5,APOIO_REDES!$5:$5,0)),0)</f>
        <v>0.65</v>
      </c>
      <c r="AH927" s="153" t="n">
        <f aca="false">IFERROR(INDEX(APOIO_REDES!$A:$W,MATCH($C927&amp;$I927&amp;$H927&amp;$N927&amp;$O927,APOIO_REDES!$W:$W,0),MATCH(AH$5,APOIO_REDES!$5:$5,0)),0)</f>
        <v>0.1</v>
      </c>
      <c r="AI927" s="153" t="n">
        <f aca="false">IFERROR(IF($H927&lt;&gt;"",(((($H927/1000)/2)^2)*PI()*$M927),0),0)</f>
        <v>0.153929573433698</v>
      </c>
      <c r="AJ927" s="153" t="n">
        <f aca="false">IFERROR(IF(AND($H927&lt;&gt;"",$I927="FoFo",OR($N927="MND",$N927="VCA"),$Q927="LINEAR"),0,IF(AND($H927&lt;&gt;"",$I927="PEAD",$N927="VCA",$Q927="LINEAR"),($H927/1000)+0.3,IF(AND($H927&lt;&gt;"",$I927="PEAD",$N927="MND",$Q927="EMBOQUE"),0,IF(AND($H927&lt;&gt;"",$I927="PVC",$N927="VCA",$Q927="LINEAR"),($H927/1000)+0.2,IF(AND($H927&lt;&gt;"",$I927="PVC",$N927="MND",$Q927="EMBOQUE"),0,IF(AND($H927&lt;&gt;"",$I927="PEAD",$N927="VCA",$Q927="PREDIAL"),0,0)))))),0)</f>
        <v>0.363</v>
      </c>
      <c r="AK927" s="153" t="n">
        <f aca="false">IF(AA927&lt;&gt;"",AA927,0)</f>
        <v>4</v>
      </c>
      <c r="AL927" s="153" t="n">
        <f aca="false">IF(AND($N927="MND",$Q927="EMBOQUE"),$M927,IF(AND($N927="VCA",$Q927="LINEAR"),$M927,IF(AND($N927="VCA",$Q927="PREDIAL"),0,0)))</f>
        <v>49.38</v>
      </c>
      <c r="AM927" s="153" t="n">
        <f aca="false">IF(AND($N927="MND",$Q927="EMBOQUE"),$M927,IF(AND($N927="VCA",$Q927="LINEAR"),$M927,IF(AND($N927="VCA",$Q927="PREDIAL"),0,0)))</f>
        <v>49.38</v>
      </c>
      <c r="AN927" s="153" t="n">
        <f aca="false">ROUND(IF(AND($N927="VCA",$M927&lt;&gt;"",$Q927="LINEAR"),$M927/100,IF(AND($N927="MND",$M927&gt;100,$Q927="EMBOQUE"),$M927/100,0)),0)</f>
        <v>0</v>
      </c>
      <c r="AO927" s="153" t="n">
        <f aca="false">IF(AND($N927="MND",$Q927="EMBOQUE"),$AN927*2*2,IF(AND($N927="VCA",$Q927="LINEAR"),$M927*2,IF(AND($N927="VCA",$Q927="PREDIAL"),0,0)))</f>
        <v>98.76</v>
      </c>
      <c r="AP927" s="153" t="n">
        <f aca="false">IFERROR($M927*$AF927*$AG927,0)</f>
        <v>43.748211</v>
      </c>
      <c r="AQ927" s="153" t="n">
        <f aca="false">IFERROR(IF(AND($N927="VCA",$AH927&gt;0),$M927*$AG927*$AH927,0),0)</f>
        <v>3.2097</v>
      </c>
      <c r="AR927" s="153" t="n">
        <f aca="false">IFERROR(IF(AND($N927="VCA",$AJ927&gt;0),($M927*$AG927*$AJ927)-$AI927,0),0)</f>
        <v>11.4972814265663</v>
      </c>
      <c r="AS927" s="153" t="n">
        <f aca="false">IFERROR(IF(AND($N927="VCA",$AP927&gt;0),$AP927-$AI927-$AQ927-$AR927,0),0)</f>
        <v>28.8873</v>
      </c>
      <c r="AT927" s="153" t="n">
        <f aca="false">IFERROR(IF($N927="VCA",INDEX(APOIO_REDES!$A:$W,MATCH($C927&amp;$I927&amp;$H927&amp;$N927&amp;$O927,APOIO_REDES!$W:$W,0),MATCH(AT$5,APOIO_REDES!$5:$5,0)),0)*$AP927,0)</f>
        <v>0.475993484489486</v>
      </c>
      <c r="AU927" s="153" t="n">
        <f aca="false">IFERROR(IF($N927="VCA",INDEX(APOIO_REDES!$A:$W,MATCH($C927&amp;$I927&amp;$H927&amp;$N927&amp;$O927,APOIO_REDES!$W:$W,0),MATCH(AU$5,APOIO_REDES!$5:$5,0)),0)*$AP927,0)</f>
        <v>0.380115505174832</v>
      </c>
      <c r="AV927" s="153" t="n">
        <f aca="false">IFERROR(IF($N927="VCA",INDEX(APOIO_REDES!$A:$W,MATCH($C927&amp;$I927&amp;$H927&amp;$N927&amp;$O927,APOIO_REDES!$W:$W,0),MATCH(AV$5,APOIO_REDES!$5:$5,0)),0)*$AP927,0)</f>
        <v>0.0526050018924833</v>
      </c>
      <c r="AW927" s="153" t="n">
        <f aca="false">IFERROR(IF($N927="VCA",INDEX(APOIO_REDES!$A:$W,MATCH($C927&amp;$I927&amp;$H927&amp;$N927&amp;$O927,APOIO_REDES!$W:$W,0),MATCH(AW$5,APOIO_REDES!$5:$5,0)),0)*$AP927,0)</f>
        <v>30.0291110080801</v>
      </c>
      <c r="AX927" s="153" t="n">
        <f aca="false">IFERROR(IF($N927="VCA",INDEX(APOIO_REDES!$A:$W,MATCH($C927&amp;$I927&amp;$H927&amp;$N927&amp;$O927,APOIO_REDES!$W:$W,0),MATCH(AX$5,APOIO_REDES!$5:$5,0)),0)*$AP927,0)</f>
        <v>4.15594342397641</v>
      </c>
      <c r="AY927" s="153" t="n">
        <f aca="false">IFERROR(IF($N927="VCA",INDEX(APOIO_REDES!$A:$W,MATCH($C927&amp;$I927&amp;$H927&amp;$N927&amp;$O927,APOIO_REDES!$W:$W,0),MATCH(AY$5,APOIO_REDES!$5:$5,0)),0)*$AP927,0)</f>
        <v>7.60230546991944</v>
      </c>
      <c r="AZ927" s="153" t="n">
        <f aca="false">IFERROR(IF($N927="VCA",INDEX(APOIO_REDES!$A:$W,MATCH($C927&amp;$I927&amp;$H927&amp;$N927&amp;$O927,APOIO_REDES!$W:$W,0),MATCH(AZ$5,APOIO_REDES!$5:$5,0)),0)*$AP927,0)</f>
        <v>1.05213710646722</v>
      </c>
      <c r="BA927" s="153" t="n">
        <f aca="false">IFERROR(IF(AND($N927="VCA",$Q927="LINEAR"),INDEX(APOIO_REDES!$A:$W,MATCH($C927&amp;$I927&amp;$H927&amp;$N927&amp;$O927,APOIO_REDES!$W:$W,0),MATCH(BA$5,APOIO_REDES!$5:$5,0)),IF(AND($N927="MND",$Q927="EMBOQUE"),INDEX(APOIO_REDES!$A:$W,MATCH($C927&amp;$I927&amp;$H927&amp;$N927&amp;$O927,APOIO_REDES!$W:$W,0),MATCH(BA$5,APOIO_REDES!$5:$5,0)),0))*$M927/10,0)</f>
        <v>3.97990344288955</v>
      </c>
      <c r="BB927" s="153" t="n">
        <f aca="false">IFERROR(IF($N927="VCA",INDEX(APOIO_REDES!$A:$W,MATCH($C927&amp;$I927&amp;$H927&amp;$N927&amp;$O927,APOIO_REDES!$W:$W,0),MATCH(BB$5,APOIO_REDES!$5:$5,0)),0)*($AI927+$AQ927+$AR927),0)</f>
        <v>14.6992198897149</v>
      </c>
      <c r="BC927" s="153" t="n">
        <f aca="false">IFERROR(IF($N927="VCA",INDEX(APOIO_REDES!$A:$W,MATCH($C927&amp;$I927&amp;$H927&amp;$N927&amp;$O927,APOIO_REDES!$W:$W,0),MATCH(BC$5,APOIO_REDES!$5:$5,0)),0)*($AI927+$AQ927+$AR927),0)</f>
        <v>0.16169111028513</v>
      </c>
      <c r="BD927" s="153" t="n">
        <f aca="false">IF(AND($N927="VCA",$AF927&gt;=1.25,$AF927&lt;1.5),$M927*$AF927*2,0)</f>
        <v>134.60988</v>
      </c>
      <c r="BE927" s="153" t="n">
        <f aca="false">IF(AND($N927="VCA",$AF927&gt;=1.5,$AF927&lt;3),$M927*$AF927*2,0)</f>
        <v>0</v>
      </c>
      <c r="BF927" s="153" t="n">
        <f aca="false">IF(AND($N927="VCA",$AF927&gt;=3),$M927*$AF927*2,0)</f>
        <v>0</v>
      </c>
      <c r="BG927" s="153" t="n">
        <f aca="false">($BB927+$BC927)*$AK927</f>
        <v>59.443644</v>
      </c>
      <c r="BH927" s="153" t="n">
        <f aca="false">IF(AND($M927&lt;&gt;"",$N927="VCA",$Q927="LINEAR"),($M927*2)/100,IF(AND($M927&lt;&gt;"",$N927="MND",$Q927="EMBOQUE"),($AN927*2)/100,0))</f>
        <v>0.9876</v>
      </c>
      <c r="BI927" s="153" t="n">
        <f aca="false">IF(AND($M927&lt;&gt;"",$N927="VCA",$Q927="LINEAR"),$M927,IF(AND($M927&lt;&gt;"",$N927="MND",$Q927="EMBOQUE"),$AN927*2,0))</f>
        <v>49.38</v>
      </c>
      <c r="BJ927" s="153" t="n">
        <f aca="false">IF(AND($M927&lt;&gt;"",$N927="VCA",$Q927="LINEAR"),($M927*6.8)/100,IF(AND($M927&lt;&gt;"",$N927="MND",$Q927="EMBOQUE"),($AN927*2*6.8)/100,0))</f>
        <v>3.35784</v>
      </c>
      <c r="BK927" s="153" t="n">
        <f aca="false">IF(AND($M927&lt;&gt;"",$N927="VCA",$Q927="LINEAR"),($M927*2.5)/50,IF(AND($M927&lt;&gt;"",$N927="MND",$Q927="EMBOQUE"),($AN927*2*2.5)/50,0))</f>
        <v>2.469</v>
      </c>
      <c r="BL927" s="157" t="str">
        <f aca="false">K927&amp;J927</f>
        <v>Zona08REDES</v>
      </c>
      <c r="BM927" s="152" t="s">
        <v>4834</v>
      </c>
      <c r="BN927" s="152" t="s">
        <v>1560</v>
      </c>
      <c r="BO927" s="152" t="s">
        <v>5062</v>
      </c>
      <c r="BP927" s="152" t="s">
        <v>5016</v>
      </c>
      <c r="BQ927" s="152" t="s">
        <v>5028</v>
      </c>
      <c r="BR927" s="152" t="s">
        <v>5068</v>
      </c>
      <c r="BS927" s="152" t="n">
        <v>202936.227</v>
      </c>
      <c r="BT927" s="152" t="n">
        <v>8237028.311</v>
      </c>
      <c r="BU927" s="152" t="n">
        <v>202898.555</v>
      </c>
      <c r="BV927" s="152" t="n">
        <v>8236996.405</v>
      </c>
      <c r="BW927" s="152" t="n">
        <v>-15.9283707</v>
      </c>
      <c r="BX927" s="152" t="n">
        <v>-47.7747782</v>
      </c>
      <c r="BY927" s="152" t="s">
        <v>5016</v>
      </c>
    </row>
    <row r="928" customFormat="false" ht="13.8" hidden="false" customHeight="false" outlineLevel="0" collapsed="false">
      <c r="A928" s="149" t="n">
        <f aca="false">IF(C928&lt;&gt;"",ROW(A923),"")</f>
        <v>923</v>
      </c>
      <c r="B928" s="150" t="str">
        <f aca="false">HYPERLINK("https://www.google.com/maps/dir/-15.917302,-47.760003/-15.9285677,-47.7743153/data=!4m3!4m2!3e0!5i2")</f>
        <v>https://www.google.com/maps/dir/-15.917302,-47.760003/-15.9285677,-47.7743153/data=!4m3!4m2!3e0!5i2</v>
      </c>
      <c r="C928" s="151" t="s">
        <v>117</v>
      </c>
      <c r="D928" s="152" t="s">
        <v>112</v>
      </c>
      <c r="E928" s="152" t="s">
        <v>113</v>
      </c>
      <c r="F928" s="152" t="s">
        <v>117</v>
      </c>
      <c r="G928" s="152" t="s">
        <v>782</v>
      </c>
      <c r="H928" s="152" t="n">
        <v>63</v>
      </c>
      <c r="I928" s="152" t="s">
        <v>115</v>
      </c>
      <c r="J928" s="152" t="s">
        <v>6</v>
      </c>
      <c r="K928" s="152" t="s">
        <v>4831</v>
      </c>
      <c r="L928" s="152" t="s">
        <v>120</v>
      </c>
      <c r="M928" s="153" t="n">
        <f aca="false">48.58+4</f>
        <v>52.58</v>
      </c>
      <c r="N928" s="152" t="s">
        <v>1548</v>
      </c>
      <c r="O928" s="152" t="s">
        <v>1549</v>
      </c>
      <c r="P928" s="152" t="s">
        <v>1550</v>
      </c>
      <c r="Q928" s="152" t="s">
        <v>1551</v>
      </c>
      <c r="R928" s="154" t="s">
        <v>5069</v>
      </c>
      <c r="S928" s="154" t="s">
        <v>1553</v>
      </c>
      <c r="T928" s="155" t="s">
        <v>5060</v>
      </c>
      <c r="U928" s="152" t="str">
        <f aca="false">RIGHT(T928,7)</f>
        <v>014/037</v>
      </c>
      <c r="V928" s="152" t="s">
        <v>1555</v>
      </c>
      <c r="W928" s="156" t="n">
        <v>45882</v>
      </c>
      <c r="X928" s="152" t="s">
        <v>1594</v>
      </c>
      <c r="Y928" s="152" t="s">
        <v>5047</v>
      </c>
      <c r="Z928" s="152" t="s">
        <v>1557</v>
      </c>
      <c r="AA928" s="153" t="n">
        <v>4</v>
      </c>
      <c r="AB928" s="151" t="s">
        <v>5070</v>
      </c>
      <c r="AC928" s="151" t="s">
        <v>186</v>
      </c>
      <c r="AD928" s="151" t="str">
        <f aca="false">CONCATENATE($C928,$I928,$H928,$N928,$J928,$K928)</f>
        <v>TUBO PEADPEAD63VCAREDESZona08</v>
      </c>
      <c r="AE928" s="153" t="n">
        <f aca="false">IFERROR(INDEX(APOIO_REDES!$A:$W,MATCH($C928&amp;$I928&amp;$H928&amp;$N928&amp;$O928,APOIO_REDES!$W:$W,0),MATCH(AE$5,APOIO_REDES!$5:$5,0)),0)</f>
        <v>1.2</v>
      </c>
      <c r="AF928" s="153" t="n">
        <f aca="false">IFERROR(INDEX(APOIO_REDES!$A:$W,MATCH($C928&amp;$I928&amp;$H928&amp;$N928&amp;$O928,APOIO_REDES!$W:$W,0),MATCH(AF$5,APOIO_REDES!$5:$5,0)),0)</f>
        <v>1.363</v>
      </c>
      <c r="AG928" s="153" t="n">
        <f aca="false">IFERROR(INDEX(APOIO_REDES!$A:$W,MATCH($C928&amp;$I928&amp;$H928&amp;$N928&amp;$O928,APOIO_REDES!$W:$W,0),MATCH(AG$5,APOIO_REDES!$5:$5,0)),0)</f>
        <v>0.65</v>
      </c>
      <c r="AH928" s="153" t="n">
        <f aca="false">IFERROR(INDEX(APOIO_REDES!$A:$W,MATCH($C928&amp;$I928&amp;$H928&amp;$N928&amp;$O928,APOIO_REDES!$W:$W,0),MATCH(AH$5,APOIO_REDES!$5:$5,0)),0)</f>
        <v>0.1</v>
      </c>
      <c r="AI928" s="153" t="n">
        <f aca="false">IFERROR(IF($H928&lt;&gt;"",(((($H928/1000)/2)^2)*PI()*$M928),0),0)</f>
        <v>0.163904758427377</v>
      </c>
      <c r="AJ928" s="153" t="n">
        <f aca="false">IFERROR(IF(AND($H928&lt;&gt;"",$I928="FoFo",OR($N928="MND",$N928="VCA"),$Q928="LINEAR"),0,IF(AND($H928&lt;&gt;"",$I928="PEAD",$N928="VCA",$Q928="LINEAR"),($H928/1000)+0.3,IF(AND($H928&lt;&gt;"",$I928="PEAD",$N928="MND",$Q928="EMBOQUE"),0,IF(AND($H928&lt;&gt;"",$I928="PVC",$N928="VCA",$Q928="LINEAR"),($H928/1000)+0.2,IF(AND($H928&lt;&gt;"",$I928="PVC",$N928="MND",$Q928="EMBOQUE"),0,IF(AND($H928&lt;&gt;"",$I928="PEAD",$N928="VCA",$Q928="PREDIAL"),0,0)))))),0)</f>
        <v>0.363</v>
      </c>
      <c r="AK928" s="153" t="n">
        <f aca="false">IF(AA928&lt;&gt;"",AA928,0)</f>
        <v>4</v>
      </c>
      <c r="AL928" s="153" t="n">
        <f aca="false">IF(AND($N928="MND",$Q928="EMBOQUE"),$M928,IF(AND($N928="VCA",$Q928="LINEAR"),$M928,IF(AND($N928="VCA",$Q928="PREDIAL"),0,0)))</f>
        <v>52.58</v>
      </c>
      <c r="AM928" s="153" t="n">
        <f aca="false">IF(AND($N928="MND",$Q928="EMBOQUE"),$M928,IF(AND($N928="VCA",$Q928="LINEAR"),$M928,IF(AND($N928="VCA",$Q928="PREDIAL"),0,0)))</f>
        <v>52.58</v>
      </c>
      <c r="AN928" s="153" t="n">
        <f aca="false">ROUND(IF(AND($N928="VCA",$M928&lt;&gt;"",$Q928="LINEAR"),$M928/100,IF(AND($N928="MND",$M928&gt;100,$Q928="EMBOQUE"),$M928/100,0)),0)</f>
        <v>1</v>
      </c>
      <c r="AO928" s="153" t="n">
        <f aca="false">IF(AND($N928="MND",$Q928="EMBOQUE"),$AN928*2*2,IF(AND($N928="VCA",$Q928="LINEAR"),$M928*2,IF(AND($N928="VCA",$Q928="PREDIAL"),0,0)))</f>
        <v>105.16</v>
      </c>
      <c r="AP928" s="153" t="n">
        <f aca="false">IFERROR($M928*$AF928*$AG928,0)</f>
        <v>46.583251</v>
      </c>
      <c r="AQ928" s="153" t="n">
        <f aca="false">IFERROR(IF(AND($N928="VCA",$AH928&gt;0),$M928*$AG928*$AH928,0),0)</f>
        <v>3.4177</v>
      </c>
      <c r="AR928" s="153" t="n">
        <f aca="false">IFERROR(IF(AND($N928="VCA",$AJ928&gt;0),($M928*$AG928*$AJ928)-$AI928,0),0)</f>
        <v>12.2423462415726</v>
      </c>
      <c r="AS928" s="153" t="n">
        <f aca="false">IFERROR(IF(AND($N928="VCA",$AP928&gt;0),$AP928-$AI928-$AQ928-$AR928,0),0)</f>
        <v>30.7593</v>
      </c>
      <c r="AT928" s="153" t="n">
        <f aca="false">IFERROR(IF($N928="VCA",INDEX(APOIO_REDES!$A:$W,MATCH($C928&amp;$I928&amp;$H928&amp;$N928&amp;$O928,APOIO_REDES!$W:$W,0),MATCH(AT$5,APOIO_REDES!$5:$5,0)),0)*$AP928,0)</f>
        <v>0.506839558818492</v>
      </c>
      <c r="AU928" s="153" t="n">
        <f aca="false">IFERROR(IF($N928="VCA",INDEX(APOIO_REDES!$A:$W,MATCH($C928&amp;$I928&amp;$H928&amp;$N928&amp;$O928,APOIO_REDES!$W:$W,0),MATCH(AU$5,APOIO_REDES!$5:$5,0)),0)*$AP928,0)</f>
        <v>0.404748344716336</v>
      </c>
      <c r="AV928" s="153" t="n">
        <f aca="false">IFERROR(IF($N928="VCA",INDEX(APOIO_REDES!$A:$W,MATCH($C928&amp;$I928&amp;$H928&amp;$N928&amp;$O928,APOIO_REDES!$W:$W,0),MATCH(AV$5,APOIO_REDES!$5:$5,0)),0)*$AP928,0)</f>
        <v>0.0560139935096551</v>
      </c>
      <c r="AW928" s="153" t="n">
        <f aca="false">IFERROR(IF($N928="VCA",INDEX(APOIO_REDES!$A:$W,MATCH($C928&amp;$I928&amp;$H928&amp;$N928&amp;$O928,APOIO_REDES!$W:$W,0),MATCH(AW$5,APOIO_REDES!$5:$5,0)),0)*$AP928,0)</f>
        <v>31.975104431042</v>
      </c>
      <c r="AX928" s="153" t="n">
        <f aca="false">IFERROR(IF($N928="VCA",INDEX(APOIO_REDES!$A:$W,MATCH($C928&amp;$I928&amp;$H928&amp;$N928&amp;$O928,APOIO_REDES!$W:$W,0),MATCH(AX$5,APOIO_REDES!$5:$5,0)),0)*$AP928,0)</f>
        <v>4.42526337044714</v>
      </c>
      <c r="AY928" s="153" t="n">
        <f aca="false">IFERROR(IF($N928="VCA",INDEX(APOIO_REDES!$A:$W,MATCH($C928&amp;$I928&amp;$H928&amp;$N928&amp;$O928,APOIO_REDES!$W:$W,0),MATCH(AY$5,APOIO_REDES!$5:$5,0)),0)*$AP928,0)</f>
        <v>8.0949619604772</v>
      </c>
      <c r="AZ928" s="153" t="n">
        <f aca="false">IFERROR(IF($N928="VCA",INDEX(APOIO_REDES!$A:$W,MATCH($C928&amp;$I928&amp;$H928&amp;$N928&amp;$O928,APOIO_REDES!$W:$W,0),MATCH(AZ$5,APOIO_REDES!$5:$5,0)),0)*$AP928,0)</f>
        <v>1.1203193409892</v>
      </c>
      <c r="BA928" s="153" t="n">
        <f aca="false">IFERROR(IF(AND($N928="VCA",$Q928="LINEAR"),INDEX(APOIO_REDES!$A:$W,MATCH($C928&amp;$I928&amp;$H928&amp;$N928&amp;$O928,APOIO_REDES!$W:$W,0),MATCH(BA$5,APOIO_REDES!$5:$5,0)),IF(AND($N928="MND",$Q928="EMBOQUE"),INDEX(APOIO_REDES!$A:$W,MATCH($C928&amp;$I928&amp;$H928&amp;$N928&amp;$O928,APOIO_REDES!$W:$W,0),MATCH(BA$5,APOIO_REDES!$5:$5,0)),0))*$M928/10,0)</f>
        <v>4.23781537114485</v>
      </c>
      <c r="BB928" s="153" t="n">
        <f aca="false">IFERROR(IF($N928="VCA",INDEX(APOIO_REDES!$A:$W,MATCH($C928&amp;$I928&amp;$H928&amp;$N928&amp;$O928,APOIO_REDES!$W:$W,0),MATCH(BB$5,APOIO_REDES!$5:$5,0)),0)*($AI928+$AQ928+$AR928),0)</f>
        <v>15.6517817294696</v>
      </c>
      <c r="BC928" s="153" t="n">
        <f aca="false">IFERROR(IF($N928="VCA",INDEX(APOIO_REDES!$A:$W,MATCH($C928&amp;$I928&amp;$H928&amp;$N928&amp;$O928,APOIO_REDES!$W:$W,0),MATCH(BC$5,APOIO_REDES!$5:$5,0)),0)*($AI928+$AQ928+$AR928),0)</f>
        <v>0.17216927053042</v>
      </c>
      <c r="BD928" s="153" t="n">
        <f aca="false">IF(AND($N928="VCA",$AF928&gt;=1.25,$AF928&lt;1.5),$M928*$AF928*2,0)</f>
        <v>143.33308</v>
      </c>
      <c r="BE928" s="153" t="n">
        <f aca="false">IF(AND($N928="VCA",$AF928&gt;=1.5,$AF928&lt;3),$M928*$AF928*2,0)</f>
        <v>0</v>
      </c>
      <c r="BF928" s="153" t="n">
        <f aca="false">IF(AND($N928="VCA",$AF928&gt;=3),$M928*$AF928*2,0)</f>
        <v>0</v>
      </c>
      <c r="BG928" s="153" t="n">
        <f aca="false">($BB928+$BC928)*$AK928</f>
        <v>63.295804</v>
      </c>
      <c r="BH928" s="153" t="n">
        <f aca="false">IF(AND($M928&lt;&gt;"",$N928="VCA",$Q928="LINEAR"),($M928*2)/100,IF(AND($M928&lt;&gt;"",$N928="MND",$Q928="EMBOQUE"),($AN928*2)/100,0))</f>
        <v>1.0516</v>
      </c>
      <c r="BI928" s="153" t="n">
        <f aca="false">IF(AND($M928&lt;&gt;"",$N928="VCA",$Q928="LINEAR"),$M928,IF(AND($M928&lt;&gt;"",$N928="MND",$Q928="EMBOQUE"),$AN928*2,0))</f>
        <v>52.58</v>
      </c>
      <c r="BJ928" s="153" t="n">
        <f aca="false">IF(AND($M928&lt;&gt;"",$N928="VCA",$Q928="LINEAR"),($M928*6.8)/100,IF(AND($M928&lt;&gt;"",$N928="MND",$Q928="EMBOQUE"),($AN928*2*6.8)/100,0))</f>
        <v>3.57544</v>
      </c>
      <c r="BK928" s="153" t="n">
        <f aca="false">IF(AND($M928&lt;&gt;"",$N928="VCA",$Q928="LINEAR"),($M928*2.5)/50,IF(AND($M928&lt;&gt;"",$N928="MND",$Q928="EMBOQUE"),($AN928*2*2.5)/50,0))</f>
        <v>2.629</v>
      </c>
      <c r="BL928" s="157" t="str">
        <f aca="false">K928&amp;J928</f>
        <v>Zona08REDES</v>
      </c>
      <c r="BM928" s="152" t="s">
        <v>4834</v>
      </c>
      <c r="BN928" s="152" t="s">
        <v>1560</v>
      </c>
      <c r="BO928" s="152" t="s">
        <v>5062</v>
      </c>
      <c r="BP928" s="152" t="s">
        <v>5071</v>
      </c>
      <c r="BQ928" s="152" t="s">
        <v>5040</v>
      </c>
      <c r="BR928" s="152" t="s">
        <v>5072</v>
      </c>
      <c r="BS928" s="152" t="n">
        <v>202967.151</v>
      </c>
      <c r="BT928" s="152" t="n">
        <v>8236991.352</v>
      </c>
      <c r="BU928" s="152" t="n">
        <v>202944.244</v>
      </c>
      <c r="BV928" s="152" t="n">
        <v>8237034.12</v>
      </c>
      <c r="BW928" s="152" t="n">
        <v>-15.9283758</v>
      </c>
      <c r="BX928" s="152" t="n">
        <v>-47.7744251</v>
      </c>
      <c r="BY928" s="152" t="s">
        <v>5071</v>
      </c>
    </row>
    <row r="929" customFormat="false" ht="13.8" hidden="false" customHeight="false" outlineLevel="0" collapsed="false">
      <c r="A929" s="149" t="n">
        <f aca="false">IF(C929&lt;&gt;"",ROW(A924),"")</f>
        <v>924</v>
      </c>
      <c r="B929" s="150" t="str">
        <f aca="false">HYPERLINK("https://www.google.com/maps/dir/-15.917302,-47.760003/-15.9287421,-47.7755737/data=!4m3!4m2!3e0!5i1")</f>
        <v>https://www.google.com/maps/dir/-15.917302,-47.760003/-15.9287421,-47.7755737/data=!4m3!4m2!3e0!5i1</v>
      </c>
      <c r="C929" s="151" t="s">
        <v>117</v>
      </c>
      <c r="D929" s="152" t="s">
        <v>112</v>
      </c>
      <c r="E929" s="152" t="s">
        <v>113</v>
      </c>
      <c r="F929" s="152" t="s">
        <v>117</v>
      </c>
      <c r="G929" s="152" t="s">
        <v>782</v>
      </c>
      <c r="H929" s="152" t="n">
        <v>63</v>
      </c>
      <c r="I929" s="152" t="s">
        <v>115</v>
      </c>
      <c r="J929" s="152" t="s">
        <v>6</v>
      </c>
      <c r="K929" s="152" t="s">
        <v>4831</v>
      </c>
      <c r="L929" s="152" t="s">
        <v>120</v>
      </c>
      <c r="M929" s="153" t="n">
        <f aca="false">64</f>
        <v>64</v>
      </c>
      <c r="N929" s="152" t="s">
        <v>1548</v>
      </c>
      <c r="O929" s="152" t="s">
        <v>1549</v>
      </c>
      <c r="P929" s="152" t="s">
        <v>1550</v>
      </c>
      <c r="Q929" s="152" t="s">
        <v>1551</v>
      </c>
      <c r="R929" s="154" t="s">
        <v>5073</v>
      </c>
      <c r="S929" s="154" t="s">
        <v>1553</v>
      </c>
      <c r="T929" s="155" t="s">
        <v>5060</v>
      </c>
      <c r="U929" s="152" t="str">
        <f aca="false">RIGHT(T929,7)</f>
        <v>014/037</v>
      </c>
      <c r="V929" s="152" t="s">
        <v>1555</v>
      </c>
      <c r="W929" s="156" t="n">
        <v>45882</v>
      </c>
      <c r="X929" s="152" t="s">
        <v>1594</v>
      </c>
      <c r="Y929" s="152"/>
      <c r="Z929" s="152" t="s">
        <v>1557</v>
      </c>
      <c r="AA929" s="153" t="n">
        <v>4.1</v>
      </c>
      <c r="AB929" s="151" t="s">
        <v>5074</v>
      </c>
      <c r="AC929" s="151" t="s">
        <v>186</v>
      </c>
      <c r="AD929" s="151" t="str">
        <f aca="false">CONCATENATE($C929,$I929,$H929,$N929,$J929,$K929)</f>
        <v>TUBO PEADPEAD63VCAREDESZona08</v>
      </c>
      <c r="AE929" s="153" t="n">
        <f aca="false">IFERROR(INDEX(APOIO_REDES!$A:$W,MATCH($C929&amp;$I929&amp;$H929&amp;$N929&amp;$O929,APOIO_REDES!$W:$W,0),MATCH(AE$5,APOIO_REDES!$5:$5,0)),0)</f>
        <v>1.2</v>
      </c>
      <c r="AF929" s="153" t="n">
        <f aca="false">IFERROR(INDEX(APOIO_REDES!$A:$W,MATCH($C929&amp;$I929&amp;$H929&amp;$N929&amp;$O929,APOIO_REDES!$W:$W,0),MATCH(AF$5,APOIO_REDES!$5:$5,0)),0)</f>
        <v>1.363</v>
      </c>
      <c r="AG929" s="153" t="n">
        <f aca="false">IFERROR(INDEX(APOIO_REDES!$A:$W,MATCH($C929&amp;$I929&amp;$H929&amp;$N929&amp;$O929,APOIO_REDES!$W:$W,0),MATCH(AG$5,APOIO_REDES!$5:$5,0)),0)</f>
        <v>0.65</v>
      </c>
      <c r="AH929" s="153" t="n">
        <f aca="false">IFERROR(INDEX(APOIO_REDES!$A:$W,MATCH($C929&amp;$I929&amp;$H929&amp;$N929&amp;$O929,APOIO_REDES!$W:$W,0),MATCH(AH$5,APOIO_REDES!$5:$5,0)),0)</f>
        <v>0.1</v>
      </c>
      <c r="AI929" s="153" t="n">
        <f aca="false">IFERROR(IF($H929&lt;&gt;"",(((($H929/1000)/2)^2)*PI()*$M929),0),0)</f>
        <v>0.199503699873566</v>
      </c>
      <c r="AJ929" s="153" t="n">
        <f aca="false">IFERROR(IF(AND($H929&lt;&gt;"",$I929="FoFo",OR($N929="MND",$N929="VCA"),$Q929="LINEAR"),0,IF(AND($H929&lt;&gt;"",$I929="PEAD",$N929="VCA",$Q929="LINEAR"),($H929/1000)+0.3,IF(AND($H929&lt;&gt;"",$I929="PEAD",$N929="MND",$Q929="EMBOQUE"),0,IF(AND($H929&lt;&gt;"",$I929="PVC",$N929="VCA",$Q929="LINEAR"),($H929/1000)+0.2,IF(AND($H929&lt;&gt;"",$I929="PVC",$N929="MND",$Q929="EMBOQUE"),0,IF(AND($H929&lt;&gt;"",$I929="PEAD",$N929="VCA",$Q929="PREDIAL"),0,0)))))),0)</f>
        <v>0.363</v>
      </c>
      <c r="AK929" s="153" t="n">
        <f aca="false">IF(AA929&lt;&gt;"",AA929,0)</f>
        <v>4.1</v>
      </c>
      <c r="AL929" s="153" t="n">
        <f aca="false">IF(AND($N929="MND",$Q929="EMBOQUE"),$M929,IF(AND($N929="VCA",$Q929="LINEAR"),$M929,IF(AND($N929="VCA",$Q929="PREDIAL"),0,0)))</f>
        <v>64</v>
      </c>
      <c r="AM929" s="153" t="n">
        <f aca="false">IF(AND($N929="MND",$Q929="EMBOQUE"),$M929,IF(AND($N929="VCA",$Q929="LINEAR"),$M929,IF(AND($N929="VCA",$Q929="PREDIAL"),0,0)))</f>
        <v>64</v>
      </c>
      <c r="AN929" s="153" t="n">
        <f aca="false">ROUND(IF(AND($N929="VCA",$M929&lt;&gt;"",$Q929="LINEAR"),$M929/100,IF(AND($N929="MND",$M929&gt;100,$Q929="EMBOQUE"),$M929/100,0)),0)</f>
        <v>1</v>
      </c>
      <c r="AO929" s="153" t="n">
        <f aca="false">IF(AND($N929="MND",$Q929="EMBOQUE"),$AN929*2*2,IF(AND($N929="VCA",$Q929="LINEAR"),$M929*2,IF(AND($N929="VCA",$Q929="PREDIAL"),0,0)))</f>
        <v>128</v>
      </c>
      <c r="AP929" s="153" t="n">
        <f aca="false">IFERROR($M929*$AF929*$AG929,0)</f>
        <v>56.7008</v>
      </c>
      <c r="AQ929" s="153" t="n">
        <f aca="false">IFERROR(IF(AND($N929="VCA",$AH929&gt;0),$M929*$AG929*$AH929,0),0)</f>
        <v>4.16</v>
      </c>
      <c r="AR929" s="153" t="n">
        <f aca="false">IFERROR(IF(AND($N929="VCA",$AJ929&gt;0),($M929*$AG929*$AJ929)-$AI929,0),0)</f>
        <v>14.9012963001264</v>
      </c>
      <c r="AS929" s="153" t="n">
        <f aca="false">IFERROR(IF(AND($N929="VCA",$AP929&gt;0),$AP929-$AI929-$AQ929-$AR929,0),0)</f>
        <v>37.44</v>
      </c>
      <c r="AT929" s="153" t="n">
        <f aca="false">IFERROR(IF($N929="VCA",INDEX(APOIO_REDES!$A:$W,MATCH($C929&amp;$I929&amp;$H929&amp;$N929&amp;$O929,APOIO_REDES!$W:$W,0),MATCH(AT$5,APOIO_REDES!$5:$5,0)),0)*$AP929,0)</f>
        <v>0.616921486580135</v>
      </c>
      <c r="AU929" s="153" t="n">
        <f aca="false">IFERROR(IF($N929="VCA",INDEX(APOIO_REDES!$A:$W,MATCH($C929&amp;$I929&amp;$H929&amp;$N929&amp;$O929,APOIO_REDES!$W:$W,0),MATCH(AU$5,APOIO_REDES!$5:$5,0)),0)*$AP929,0)</f>
        <v>0.492656790830078</v>
      </c>
      <c r="AV929" s="153" t="n">
        <f aca="false">IFERROR(IF($N929="VCA",INDEX(APOIO_REDES!$A:$W,MATCH($C929&amp;$I929&amp;$H929&amp;$N929&amp;$O929,APOIO_REDES!$W:$W,0),MATCH(AV$5,APOIO_REDES!$5:$5,0)),0)*$AP929,0)</f>
        <v>0.0681798323434372</v>
      </c>
      <c r="AW929" s="153" t="n">
        <f aca="false">IFERROR(IF($N929="VCA",INDEX(APOIO_REDES!$A:$W,MATCH($C929&amp;$I929&amp;$H929&amp;$N929&amp;$O929,APOIO_REDES!$W:$W,0),MATCH(AW$5,APOIO_REDES!$5:$5,0)),0)*$AP929,0)</f>
        <v>38.9198684592371</v>
      </c>
      <c r="AX929" s="153" t="n">
        <f aca="false">IFERROR(IF($N929="VCA",INDEX(APOIO_REDES!$A:$W,MATCH($C929&amp;$I929&amp;$H929&amp;$N929&amp;$O929,APOIO_REDES!$W:$W,0),MATCH(AX$5,APOIO_REDES!$5:$5,0)),0)*$AP929,0)</f>
        <v>5.38639892941455</v>
      </c>
      <c r="AY929" s="153" t="n">
        <f aca="false">IFERROR(IF($N929="VCA",INDEX(APOIO_REDES!$A:$W,MATCH($C929&amp;$I929&amp;$H929&amp;$N929&amp;$O929,APOIO_REDES!$W:$W,0),MATCH(AY$5,APOIO_REDES!$5:$5,0)),0)*$AP929,0)</f>
        <v>9.85312981115521</v>
      </c>
      <c r="AZ929" s="153" t="n">
        <f aca="false">IFERROR(IF($N929="VCA",INDEX(APOIO_REDES!$A:$W,MATCH($C929&amp;$I929&amp;$H929&amp;$N929&amp;$O929,APOIO_REDES!$W:$W,0),MATCH(AZ$5,APOIO_REDES!$5:$5,0)),0)*$AP929,0)</f>
        <v>1.3636446904395</v>
      </c>
      <c r="BA929" s="153" t="n">
        <f aca="false">IFERROR(IF(AND($N929="VCA",$Q929="LINEAR"),INDEX(APOIO_REDES!$A:$W,MATCH($C929&amp;$I929&amp;$H929&amp;$N929&amp;$O929,APOIO_REDES!$W:$W,0),MATCH(BA$5,APOIO_REDES!$5:$5,0)),IF(AND($N929="MND",$Q929="EMBOQUE"),INDEX(APOIO_REDES!$A:$W,MATCH($C929&amp;$I929&amp;$H929&amp;$N929&amp;$O929,APOIO_REDES!$W:$W,0),MATCH(BA$5,APOIO_REDES!$5:$5,0)),0))*$M929/10,0)</f>
        <v>5.15823856510594</v>
      </c>
      <c r="BB929" s="153" t="n">
        <f aca="false">IFERROR(IF($N929="VCA",INDEX(APOIO_REDES!$A:$W,MATCH($C929&amp;$I929&amp;$H929&amp;$N929&amp;$O929,APOIO_REDES!$W:$W,0),MATCH(BB$5,APOIO_REDES!$5:$5,0)),0)*($AI929+$AQ929+$AR929),0)</f>
        <v>19.0512367950942</v>
      </c>
      <c r="BC929" s="153" t="n">
        <f aca="false">IFERROR(IF($N929="VCA",INDEX(APOIO_REDES!$A:$W,MATCH($C929&amp;$I929&amp;$H929&amp;$N929&amp;$O929,APOIO_REDES!$W:$W,0),MATCH(BC$5,APOIO_REDES!$5:$5,0)),0)*($AI929+$AQ929+$AR929),0)</f>
        <v>0.209563204905798</v>
      </c>
      <c r="BD929" s="153" t="n">
        <f aca="false">IF(AND($N929="VCA",$AF929&gt;=1.25,$AF929&lt;1.5),$M929*$AF929*2,0)</f>
        <v>174.464</v>
      </c>
      <c r="BE929" s="153" t="n">
        <f aca="false">IF(AND($N929="VCA",$AF929&gt;=1.5,$AF929&lt;3),$M929*$AF929*2,0)</f>
        <v>0</v>
      </c>
      <c r="BF929" s="153" t="n">
        <f aca="false">IF(AND($N929="VCA",$AF929&gt;=3),$M929*$AF929*2,0)</f>
        <v>0</v>
      </c>
      <c r="BG929" s="153" t="n">
        <f aca="false">($BB929+$BC929)*$AK929</f>
        <v>78.96928</v>
      </c>
      <c r="BH929" s="153" t="n">
        <f aca="false">IF(AND($M929&lt;&gt;"",$N929="VCA",$Q929="LINEAR"),($M929*2)/100,IF(AND($M929&lt;&gt;"",$N929="MND",$Q929="EMBOQUE"),($AN929*2)/100,0))</f>
        <v>1.28</v>
      </c>
      <c r="BI929" s="153" t="n">
        <f aca="false">IF(AND($M929&lt;&gt;"",$N929="VCA",$Q929="LINEAR"),$M929,IF(AND($M929&lt;&gt;"",$N929="MND",$Q929="EMBOQUE"),$AN929*2,0))</f>
        <v>64</v>
      </c>
      <c r="BJ929" s="153" t="n">
        <f aca="false">IF(AND($M929&lt;&gt;"",$N929="VCA",$Q929="LINEAR"),($M929*6.8)/100,IF(AND($M929&lt;&gt;"",$N929="MND",$Q929="EMBOQUE"),($AN929*2*6.8)/100,0))</f>
        <v>4.352</v>
      </c>
      <c r="BK929" s="153" t="n">
        <f aca="false">IF(AND($M929&lt;&gt;"",$N929="VCA",$Q929="LINEAR"),($M929*2.5)/50,IF(AND($M929&lt;&gt;"",$N929="MND",$Q929="EMBOQUE"),($AN929*2*2.5)/50,0))</f>
        <v>3.2</v>
      </c>
      <c r="BL929" s="157" t="str">
        <f aca="false">K929&amp;J929</f>
        <v>Zona08REDES</v>
      </c>
      <c r="BM929" s="152" t="s">
        <v>4834</v>
      </c>
      <c r="BN929" s="152" t="s">
        <v>1560</v>
      </c>
      <c r="BO929" s="152" t="s">
        <v>5062</v>
      </c>
      <c r="BP929" s="152" t="s">
        <v>5075</v>
      </c>
      <c r="BQ929" s="152" t="s">
        <v>5036</v>
      </c>
      <c r="BR929" s="152" t="s">
        <v>5076</v>
      </c>
      <c r="BS929" s="152" t="n">
        <v>202832.589</v>
      </c>
      <c r="BT929" s="152" t="n">
        <v>8236970.253</v>
      </c>
      <c r="BU929" s="152" t="n">
        <v>202819.338</v>
      </c>
      <c r="BV929" s="152" t="n">
        <v>8237032.867</v>
      </c>
      <c r="BW929" s="152" t="n">
        <v>-15.9284586</v>
      </c>
      <c r="BX929" s="152" t="n">
        <v>-47.7756316</v>
      </c>
      <c r="BY929" s="152" t="s">
        <v>5075</v>
      </c>
    </row>
    <row r="930" customFormat="false" ht="13.8" hidden="false" customHeight="false" outlineLevel="0" collapsed="false">
      <c r="A930" s="149" t="n">
        <f aca="false">IF(C930&lt;&gt;"",ROW(A925),"")</f>
        <v>925</v>
      </c>
      <c r="B930" s="150" t="str">
        <f aca="false">HYPERLINK("https://www.google.com/maps/dir/-15.917302,-47.760003/-15.9282303,-47.7776593/data=!4m3!4m2!3e0!5i2")</f>
        <v>https://www.google.com/maps/dir/-15.917302,-47.760003/-15.9282303,-47.7776593/data=!4m3!4m2!3e0!5i2</v>
      </c>
      <c r="C930" s="151" t="s">
        <v>117</v>
      </c>
      <c r="D930" s="152" t="s">
        <v>112</v>
      </c>
      <c r="E930" s="152" t="s">
        <v>113</v>
      </c>
      <c r="F930" s="152" t="s">
        <v>117</v>
      </c>
      <c r="G930" s="152" t="s">
        <v>782</v>
      </c>
      <c r="H930" s="152" t="n">
        <v>63</v>
      </c>
      <c r="I930" s="152" t="s">
        <v>115</v>
      </c>
      <c r="J930" s="152" t="s">
        <v>6</v>
      </c>
      <c r="K930" s="152" t="s">
        <v>4831</v>
      </c>
      <c r="L930" s="152" t="s">
        <v>120</v>
      </c>
      <c r="M930" s="153" t="n">
        <f aca="false">52.17</f>
        <v>52.17</v>
      </c>
      <c r="N930" s="152" t="s">
        <v>1548</v>
      </c>
      <c r="O930" s="152" t="s">
        <v>1549</v>
      </c>
      <c r="P930" s="152" t="s">
        <v>1550</v>
      </c>
      <c r="Q930" s="152" t="s">
        <v>1551</v>
      </c>
      <c r="R930" s="154" t="s">
        <v>5077</v>
      </c>
      <c r="S930" s="154" t="s">
        <v>1553</v>
      </c>
      <c r="T930" s="155" t="s">
        <v>5060</v>
      </c>
      <c r="U930" s="152" t="str">
        <f aca="false">RIGHT(T930,7)</f>
        <v>014/037</v>
      </c>
      <c r="V930" s="152" t="s">
        <v>1555</v>
      </c>
      <c r="W930" s="156" t="n">
        <v>45882</v>
      </c>
      <c r="X930" s="152" t="s">
        <v>1594</v>
      </c>
      <c r="Y930" s="152" t="s">
        <v>5031</v>
      </c>
      <c r="Z930" s="152" t="s">
        <v>1557</v>
      </c>
      <c r="AA930" s="153" t="n">
        <v>4.2</v>
      </c>
      <c r="AB930" s="151" t="s">
        <v>5078</v>
      </c>
      <c r="AC930" s="151" t="s">
        <v>186</v>
      </c>
      <c r="AD930" s="151" t="str">
        <f aca="false">CONCATENATE($C930,$I930,$H930,$N930,$J930,$K930)</f>
        <v>TUBO PEADPEAD63VCAREDESZona08</v>
      </c>
      <c r="AE930" s="153" t="n">
        <f aca="false">IFERROR(INDEX(APOIO_REDES!$A:$W,MATCH($C930&amp;$I930&amp;$H930&amp;$N930&amp;$O930,APOIO_REDES!$W:$W,0),MATCH(AE$5,APOIO_REDES!$5:$5,0)),0)</f>
        <v>1.2</v>
      </c>
      <c r="AF930" s="153" t="n">
        <f aca="false">IFERROR(INDEX(APOIO_REDES!$A:$W,MATCH($C930&amp;$I930&amp;$H930&amp;$N930&amp;$O930,APOIO_REDES!$W:$W,0),MATCH(AF$5,APOIO_REDES!$5:$5,0)),0)</f>
        <v>1.363</v>
      </c>
      <c r="AG930" s="153" t="n">
        <f aca="false">IFERROR(INDEX(APOIO_REDES!$A:$W,MATCH($C930&amp;$I930&amp;$H930&amp;$N930&amp;$O930,APOIO_REDES!$W:$W,0),MATCH(AG$5,APOIO_REDES!$5:$5,0)),0)</f>
        <v>0.65</v>
      </c>
      <c r="AH930" s="153" t="n">
        <f aca="false">IFERROR(INDEX(APOIO_REDES!$A:$W,MATCH($C930&amp;$I930&amp;$H930&amp;$N930&amp;$O930,APOIO_REDES!$W:$W,0),MATCH(AH$5,APOIO_REDES!$5:$5,0)),0)</f>
        <v>0.1</v>
      </c>
      <c r="AI930" s="153" t="n">
        <f aca="false">IFERROR(IF($H930&lt;&gt;"",(((($H930/1000)/2)^2)*PI()*$M930),0),0)</f>
        <v>0.162626687850062</v>
      </c>
      <c r="AJ930" s="153" t="n">
        <f aca="false">IFERROR(IF(AND($H930&lt;&gt;"",$I930="FoFo",OR($N930="MND",$N930="VCA"),$Q930="LINEAR"),0,IF(AND($H930&lt;&gt;"",$I930="PEAD",$N930="VCA",$Q930="LINEAR"),($H930/1000)+0.3,IF(AND($H930&lt;&gt;"",$I930="PEAD",$N930="MND",$Q930="EMBOQUE"),0,IF(AND($H930&lt;&gt;"",$I930="PVC",$N930="VCA",$Q930="LINEAR"),($H930/1000)+0.2,IF(AND($H930&lt;&gt;"",$I930="PVC",$N930="MND",$Q930="EMBOQUE"),0,IF(AND($H930&lt;&gt;"",$I930="PEAD",$N930="VCA",$Q930="PREDIAL"),0,0)))))),0)</f>
        <v>0.363</v>
      </c>
      <c r="AK930" s="153" t="n">
        <f aca="false">IF(AA930&lt;&gt;"",AA930,0)</f>
        <v>4.2</v>
      </c>
      <c r="AL930" s="153" t="n">
        <f aca="false">IF(AND($N930="MND",$Q930="EMBOQUE"),$M930,IF(AND($N930="VCA",$Q930="LINEAR"),$M930,IF(AND($N930="VCA",$Q930="PREDIAL"),0,0)))</f>
        <v>52.17</v>
      </c>
      <c r="AM930" s="153" t="n">
        <f aca="false">IF(AND($N930="MND",$Q930="EMBOQUE"),$M930,IF(AND($N930="VCA",$Q930="LINEAR"),$M930,IF(AND($N930="VCA",$Q930="PREDIAL"),0,0)))</f>
        <v>52.17</v>
      </c>
      <c r="AN930" s="153" t="n">
        <f aca="false">ROUND(IF(AND($N930="VCA",$M930&lt;&gt;"",$Q930="LINEAR"),$M930/100,IF(AND($N930="MND",$M930&gt;100,$Q930="EMBOQUE"),$M930/100,0)),0)</f>
        <v>1</v>
      </c>
      <c r="AO930" s="153" t="n">
        <f aca="false">IF(AND($N930="MND",$Q930="EMBOQUE"),$AN930*2*2,IF(AND($N930="VCA",$Q930="LINEAR"),$M930*2,IF(AND($N930="VCA",$Q930="PREDIAL"),0,0)))</f>
        <v>104.34</v>
      </c>
      <c r="AP930" s="153" t="n">
        <f aca="false">IFERROR($M930*$AF930*$AG930,0)</f>
        <v>46.2200115</v>
      </c>
      <c r="AQ930" s="153" t="n">
        <f aca="false">IFERROR(IF(AND($N930="VCA",$AH930&gt;0),$M930*$AG930*$AH930,0),0)</f>
        <v>3.39105</v>
      </c>
      <c r="AR930" s="153" t="n">
        <f aca="false">IFERROR(IF(AND($N930="VCA",$AJ930&gt;0),($M930*$AG930*$AJ930)-$AI930,0),0)</f>
        <v>12.1468848121499</v>
      </c>
      <c r="AS930" s="153" t="n">
        <f aca="false">IFERROR(IF(AND($N930="VCA",$AP930&gt;0),$AP930-$AI930-$AQ930-$AR930,0),0)</f>
        <v>30.51945</v>
      </c>
      <c r="AT930" s="153" t="n">
        <f aca="false">IFERROR(IF($N930="VCA",INDEX(APOIO_REDES!$A:$W,MATCH($C930&amp;$I930&amp;$H930&amp;$N930&amp;$O930,APOIO_REDES!$W:$W,0),MATCH(AT$5,APOIO_REDES!$5:$5,0)),0)*$AP930,0)</f>
        <v>0.502887405545088</v>
      </c>
      <c r="AU930" s="153" t="n">
        <f aca="false">IFERROR(IF($N930="VCA",INDEX(APOIO_REDES!$A:$W,MATCH($C930&amp;$I930&amp;$H930&amp;$N930&amp;$O930,APOIO_REDES!$W:$W,0),MATCH(AU$5,APOIO_REDES!$5:$5,0)),0)*$AP930,0)</f>
        <v>0.40159226215008</v>
      </c>
      <c r="AV930" s="153" t="n">
        <f aca="false">IFERROR(IF($N930="VCA",INDEX(APOIO_REDES!$A:$W,MATCH($C930&amp;$I930&amp;$H930&amp;$N930&amp;$O930,APOIO_REDES!$W:$W,0),MATCH(AV$5,APOIO_REDES!$5:$5,0)),0)*$AP930,0)</f>
        <v>0.055577216458705</v>
      </c>
      <c r="AW930" s="153" t="n">
        <f aca="false">IFERROR(IF($N930="VCA",INDEX(APOIO_REDES!$A:$W,MATCH($C930&amp;$I930&amp;$H930&amp;$N930&amp;$O930,APOIO_REDES!$W:$W,0),MATCH(AW$5,APOIO_REDES!$5:$5,0)),0)*$AP930,0)</f>
        <v>31.725774023725</v>
      </c>
      <c r="AX930" s="153" t="n">
        <f aca="false">IFERROR(IF($N930="VCA",INDEX(APOIO_REDES!$A:$W,MATCH($C930&amp;$I930&amp;$H930&amp;$N930&amp;$O930,APOIO_REDES!$W:$W,0),MATCH(AX$5,APOIO_REDES!$5:$5,0)),0)*$AP930,0)</f>
        <v>4.39075675230558</v>
      </c>
      <c r="AY930" s="153" t="n">
        <f aca="false">IFERROR(IF($N930="VCA",INDEX(APOIO_REDES!$A:$W,MATCH($C930&amp;$I930&amp;$H930&amp;$N930&amp;$O930,APOIO_REDES!$W:$W,0),MATCH(AY$5,APOIO_REDES!$5:$5,0)),0)*$AP930,0)</f>
        <v>8.03184034762449</v>
      </c>
      <c r="AZ930" s="153" t="n">
        <f aca="false">IFERROR(IF($N930="VCA",INDEX(APOIO_REDES!$A:$W,MATCH($C930&amp;$I930&amp;$H930&amp;$N930&amp;$O930,APOIO_REDES!$W:$W,0),MATCH(AZ$5,APOIO_REDES!$5:$5,0)),0)*$AP930,0)</f>
        <v>1.11158349219107</v>
      </c>
      <c r="BA930" s="153" t="n">
        <f aca="false">IFERROR(IF(AND($N930="VCA",$Q930="LINEAR"),INDEX(APOIO_REDES!$A:$W,MATCH($C930&amp;$I930&amp;$H930&amp;$N930&amp;$O930,APOIO_REDES!$W:$W,0),MATCH(BA$5,APOIO_REDES!$5:$5,0)),IF(AND($N930="MND",$Q930="EMBOQUE"),INDEX(APOIO_REDES!$A:$W,MATCH($C930&amp;$I930&amp;$H930&amp;$N930&amp;$O930,APOIO_REDES!$W:$W,0),MATCH(BA$5,APOIO_REDES!$5:$5,0)),0))*$M930/10,0)</f>
        <v>4.20477040533714</v>
      </c>
      <c r="BB930" s="153" t="n">
        <f aca="false">IFERROR(IF($N930="VCA",INDEX(APOIO_REDES!$A:$W,MATCH($C930&amp;$I930&amp;$H930&amp;$N930&amp;$O930,APOIO_REDES!$W:$W,0),MATCH(BB$5,APOIO_REDES!$5:$5,0)),0)*($AI930+$AQ930+$AR930),0)</f>
        <v>15.529734743751</v>
      </c>
      <c r="BC930" s="153" t="n">
        <f aca="false">IFERROR(IF($N930="VCA",INDEX(APOIO_REDES!$A:$W,MATCH($C930&amp;$I930&amp;$H930&amp;$N930&amp;$O930,APOIO_REDES!$W:$W,0),MATCH(BC$5,APOIO_REDES!$5:$5,0)),0)*($AI930+$AQ930+$AR930),0)</f>
        <v>0.170826756248992</v>
      </c>
      <c r="BD930" s="153" t="n">
        <f aca="false">IF(AND($N930="VCA",$AF930&gt;=1.25,$AF930&lt;1.5),$M930*$AF930*2,0)</f>
        <v>142.21542</v>
      </c>
      <c r="BE930" s="153" t="n">
        <f aca="false">IF(AND($N930="VCA",$AF930&gt;=1.5,$AF930&lt;3),$M930*$AF930*2,0)</f>
        <v>0</v>
      </c>
      <c r="BF930" s="153" t="n">
        <f aca="false">IF(AND($N930="VCA",$AF930&gt;=3),$M930*$AF930*2,0)</f>
        <v>0</v>
      </c>
      <c r="BG930" s="153" t="n">
        <f aca="false">($BB930+$BC930)*$AK930</f>
        <v>65.9423583</v>
      </c>
      <c r="BH930" s="153" t="n">
        <f aca="false">IF(AND($M930&lt;&gt;"",$N930="VCA",$Q930="LINEAR"),($M930*2)/100,IF(AND($M930&lt;&gt;"",$N930="MND",$Q930="EMBOQUE"),($AN930*2)/100,0))</f>
        <v>1.0434</v>
      </c>
      <c r="BI930" s="153" t="n">
        <f aca="false">IF(AND($M930&lt;&gt;"",$N930="VCA",$Q930="LINEAR"),$M930,IF(AND($M930&lt;&gt;"",$N930="MND",$Q930="EMBOQUE"),$AN930*2,0))</f>
        <v>52.17</v>
      </c>
      <c r="BJ930" s="153" t="n">
        <f aca="false">IF(AND($M930&lt;&gt;"",$N930="VCA",$Q930="LINEAR"),($M930*6.8)/100,IF(AND($M930&lt;&gt;"",$N930="MND",$Q930="EMBOQUE"),($AN930*2*6.8)/100,0))</f>
        <v>3.54756</v>
      </c>
      <c r="BK930" s="153" t="n">
        <f aca="false">IF(AND($M930&lt;&gt;"",$N930="VCA",$Q930="LINEAR"),($M930*2.5)/50,IF(AND($M930&lt;&gt;"",$N930="MND",$Q930="EMBOQUE"),($AN930*2*2.5)/50,0))</f>
        <v>2.6085</v>
      </c>
      <c r="BL930" s="157" t="str">
        <f aca="false">K930&amp;J930</f>
        <v>Zona08REDES</v>
      </c>
      <c r="BM930" s="152" t="s">
        <v>4834</v>
      </c>
      <c r="BN930" s="152" t="s">
        <v>1560</v>
      </c>
      <c r="BO930" s="152" t="s">
        <v>5062</v>
      </c>
      <c r="BP930" s="152" t="s">
        <v>5044</v>
      </c>
      <c r="BQ930" s="152" t="s">
        <v>5079</v>
      </c>
      <c r="BR930" s="152" t="s">
        <v>5080</v>
      </c>
      <c r="BS930" s="152" t="n">
        <v>202608.43</v>
      </c>
      <c r="BT930" s="152" t="n">
        <v>8237023.954</v>
      </c>
      <c r="BU930" s="152" t="n">
        <v>202620.014</v>
      </c>
      <c r="BV930" s="152" t="n">
        <v>8236973.085</v>
      </c>
      <c r="BW930" s="152" t="n">
        <v>-15.9284606</v>
      </c>
      <c r="BX930" s="152" t="n">
        <v>-47.777608</v>
      </c>
      <c r="BY930" s="152" t="s">
        <v>5044</v>
      </c>
    </row>
    <row r="931" customFormat="false" ht="13.8" hidden="false" customHeight="false" outlineLevel="0" collapsed="false">
      <c r="A931" s="149" t="n">
        <f aca="false">IF(C931&lt;&gt;"",ROW(A926),"")</f>
        <v>926</v>
      </c>
      <c r="B931" s="150" t="str">
        <f aca="false">HYPERLINK("https://www.google.com/maps/dir/-15.917302,-47.760003/-15.9286928,-47.7775572/data=!4m3!4m2!3e0!5i1")</f>
        <v>https://www.google.com/maps/dir/-15.917302,-47.760003/-15.9286928,-47.7775572/data=!4m3!4m2!3e0!5i1</v>
      </c>
      <c r="C931" s="151" t="s">
        <v>117</v>
      </c>
      <c r="D931" s="152" t="s">
        <v>112</v>
      </c>
      <c r="E931" s="152" t="s">
        <v>113</v>
      </c>
      <c r="F931" s="152" t="s">
        <v>117</v>
      </c>
      <c r="G931" s="152" t="s">
        <v>782</v>
      </c>
      <c r="H931" s="152" t="n">
        <v>63</v>
      </c>
      <c r="I931" s="152" t="s">
        <v>115</v>
      </c>
      <c r="J931" s="152" t="s">
        <v>6</v>
      </c>
      <c r="K931" s="152" t="s">
        <v>4831</v>
      </c>
      <c r="L931" s="152" t="s">
        <v>120</v>
      </c>
      <c r="M931" s="153" t="n">
        <f aca="false">211.95</f>
        <v>211.95</v>
      </c>
      <c r="N931" s="152" t="s">
        <v>1548</v>
      </c>
      <c r="O931" s="152" t="s">
        <v>1549</v>
      </c>
      <c r="P931" s="152" t="s">
        <v>1550</v>
      </c>
      <c r="Q931" s="152" t="s">
        <v>1551</v>
      </c>
      <c r="R931" s="154" t="s">
        <v>5081</v>
      </c>
      <c r="S931" s="154" t="s">
        <v>1553</v>
      </c>
      <c r="T931" s="155" t="s">
        <v>5060</v>
      </c>
      <c r="U931" s="152" t="str">
        <f aca="false">RIGHT(T931,7)</f>
        <v>014/037</v>
      </c>
      <c r="V931" s="152" t="s">
        <v>1555</v>
      </c>
      <c r="W931" s="156" t="n">
        <v>45882</v>
      </c>
      <c r="X931" s="152" t="s">
        <v>1594</v>
      </c>
      <c r="Y931" s="152"/>
      <c r="Z931" s="152" t="s">
        <v>1557</v>
      </c>
      <c r="AA931" s="153" t="n">
        <v>4.3</v>
      </c>
      <c r="AB931" s="151" t="s">
        <v>5082</v>
      </c>
      <c r="AC931" s="151" t="s">
        <v>186</v>
      </c>
      <c r="AD931" s="151" t="str">
        <f aca="false">CONCATENATE($C931,$I931,$H931,$N931,$J931,$K931)</f>
        <v>TUBO PEADPEAD63VCAREDESZona08</v>
      </c>
      <c r="AE931" s="153" t="n">
        <f aca="false">IFERROR(INDEX(APOIO_REDES!$A:$W,MATCH($C931&amp;$I931&amp;$H931&amp;$N931&amp;$O931,APOIO_REDES!$W:$W,0),MATCH(AE$5,APOIO_REDES!$5:$5,0)),0)</f>
        <v>1.2</v>
      </c>
      <c r="AF931" s="153" t="n">
        <f aca="false">IFERROR(INDEX(APOIO_REDES!$A:$W,MATCH($C931&amp;$I931&amp;$H931&amp;$N931&amp;$O931,APOIO_REDES!$W:$W,0),MATCH(AF$5,APOIO_REDES!$5:$5,0)),0)</f>
        <v>1.363</v>
      </c>
      <c r="AG931" s="153" t="n">
        <f aca="false">IFERROR(INDEX(APOIO_REDES!$A:$W,MATCH($C931&amp;$I931&amp;$H931&amp;$N931&amp;$O931,APOIO_REDES!$W:$W,0),MATCH(AG$5,APOIO_REDES!$5:$5,0)),0)</f>
        <v>0.65</v>
      </c>
      <c r="AH931" s="153" t="n">
        <f aca="false">IFERROR(INDEX(APOIO_REDES!$A:$W,MATCH($C931&amp;$I931&amp;$H931&amp;$N931&amp;$O931,APOIO_REDES!$W:$W,0),MATCH(AH$5,APOIO_REDES!$5:$5,0)),0)</f>
        <v>0.1</v>
      </c>
      <c r="AI931" s="153" t="n">
        <f aca="false">IFERROR(IF($H931&lt;&gt;"",(((($H931/1000)/2)^2)*PI()*$M931),0),0)</f>
        <v>0.660700143565662</v>
      </c>
      <c r="AJ931" s="153" t="n">
        <f aca="false">IFERROR(IF(AND($H931&lt;&gt;"",$I931="FoFo",OR($N931="MND",$N931="VCA"),$Q931="LINEAR"),0,IF(AND($H931&lt;&gt;"",$I931="PEAD",$N931="VCA",$Q931="LINEAR"),($H931/1000)+0.3,IF(AND($H931&lt;&gt;"",$I931="PEAD",$N931="MND",$Q931="EMBOQUE"),0,IF(AND($H931&lt;&gt;"",$I931="PVC",$N931="VCA",$Q931="LINEAR"),($H931/1000)+0.2,IF(AND($H931&lt;&gt;"",$I931="PVC",$N931="MND",$Q931="EMBOQUE"),0,IF(AND($H931&lt;&gt;"",$I931="PEAD",$N931="VCA",$Q931="PREDIAL"),0,0)))))),0)</f>
        <v>0.363</v>
      </c>
      <c r="AK931" s="153" t="n">
        <f aca="false">IF(AA931&lt;&gt;"",AA931,0)</f>
        <v>4.3</v>
      </c>
      <c r="AL931" s="153" t="n">
        <f aca="false">IF(AND($N931="MND",$Q931="EMBOQUE"),$M931,IF(AND($N931="VCA",$Q931="LINEAR"),$M931,IF(AND($N931="VCA",$Q931="PREDIAL"),0,0)))</f>
        <v>211.95</v>
      </c>
      <c r="AM931" s="153" t="n">
        <f aca="false">IF(AND($N931="MND",$Q931="EMBOQUE"),$M931,IF(AND($N931="VCA",$Q931="LINEAR"),$M931,IF(AND($N931="VCA",$Q931="PREDIAL"),0,0)))</f>
        <v>211.95</v>
      </c>
      <c r="AN931" s="153" t="n">
        <f aca="false">ROUND(IF(AND($N931="VCA",$M931&lt;&gt;"",$Q931="LINEAR"),$M931/100,IF(AND($N931="MND",$M931&gt;100,$Q931="EMBOQUE"),$M931/100,0)),0)</f>
        <v>2</v>
      </c>
      <c r="AO931" s="153" t="n">
        <f aca="false">IF(AND($N931="MND",$Q931="EMBOQUE"),$AN931*2*2,IF(AND($N931="VCA",$Q931="LINEAR"),$M931*2,IF(AND($N931="VCA",$Q931="PREDIAL"),0,0)))</f>
        <v>423.9</v>
      </c>
      <c r="AP931" s="153" t="n">
        <f aca="false">IFERROR($M931*$AF931*$AG931,0)</f>
        <v>187.7771025</v>
      </c>
      <c r="AQ931" s="153" t="n">
        <f aca="false">IFERROR(IF(AND($N931="VCA",$AH931&gt;0),$M931*$AG931*$AH931,0),0)</f>
        <v>13.77675</v>
      </c>
      <c r="AR931" s="153" t="n">
        <f aca="false">IFERROR(IF(AND($N931="VCA",$AJ931&gt;0),($M931*$AG931*$AJ931)-$AI931,0),0)</f>
        <v>49.3489023564343</v>
      </c>
      <c r="AS931" s="153" t="n">
        <f aca="false">IFERROR(IF(AND($N931="VCA",$AP931&gt;0),$AP931-$AI931-$AQ931-$AR931,0),0)</f>
        <v>123.99075</v>
      </c>
      <c r="AT931" s="153" t="n">
        <f aca="false">IFERROR(IF($N931="VCA",INDEX(APOIO_REDES!$A:$W,MATCH($C931&amp;$I931&amp;$H931&amp;$N931&amp;$O931,APOIO_REDES!$W:$W,0),MATCH(AT$5,APOIO_REDES!$5:$5,0)),0)*$AP931,0)</f>
        <v>2.04307045438531</v>
      </c>
      <c r="AU931" s="153" t="n">
        <f aca="false">IFERROR(IF($N931="VCA",INDEX(APOIO_REDES!$A:$W,MATCH($C931&amp;$I931&amp;$H931&amp;$N931&amp;$O931,APOIO_REDES!$W:$W,0),MATCH(AU$5,APOIO_REDES!$5:$5,0)),0)*$AP931,0)</f>
        <v>1.6315407315068</v>
      </c>
      <c r="AV931" s="153" t="n">
        <f aca="false">IFERROR(IF($N931="VCA",INDEX(APOIO_REDES!$A:$W,MATCH($C931&amp;$I931&amp;$H931&amp;$N931&amp;$O931,APOIO_REDES!$W:$W,0),MATCH(AV$5,APOIO_REDES!$5:$5,0)),0)*$AP931,0)</f>
        <v>0.225792429143617</v>
      </c>
      <c r="AW931" s="153" t="n">
        <f aca="false">IFERROR(IF($N931="VCA",INDEX(APOIO_REDES!$A:$W,MATCH($C931&amp;$I931&amp;$H931&amp;$N931&amp;$O931,APOIO_REDES!$W:$W,0),MATCH(AW$5,APOIO_REDES!$5:$5,0)),0)*$AP931,0)</f>
        <v>128.891658123989</v>
      </c>
      <c r="AX931" s="153" t="n">
        <f aca="false">IFERROR(IF($N931="VCA",INDEX(APOIO_REDES!$A:$W,MATCH($C931&amp;$I931&amp;$H931&amp;$N931&amp;$O931,APOIO_REDES!$W:$W,0),MATCH(AX$5,APOIO_REDES!$5:$5,0)),0)*$AP931,0)</f>
        <v>17.8382383295221</v>
      </c>
      <c r="AY931" s="153" t="n">
        <f aca="false">IFERROR(IF($N931="VCA",INDEX(APOIO_REDES!$A:$W,MATCH($C931&amp;$I931&amp;$H931&amp;$N931&amp;$O931,APOIO_REDES!$W:$W,0),MATCH(AY$5,APOIO_REDES!$5:$5,0)),0)*$AP931,0)</f>
        <v>32.6307947417867</v>
      </c>
      <c r="AZ931" s="153" t="n">
        <f aca="false">IFERROR(IF($N931="VCA",INDEX(APOIO_REDES!$A:$W,MATCH($C931&amp;$I931&amp;$H931&amp;$N931&amp;$O931,APOIO_REDES!$W:$W,0),MATCH(AZ$5,APOIO_REDES!$5:$5,0)),0)*$AP931,0)</f>
        <v>4.51600768966642</v>
      </c>
      <c r="BA931" s="153" t="n">
        <f aca="false">IFERROR(IF(AND($N931="VCA",$Q931="LINEAR"),INDEX(APOIO_REDES!$A:$W,MATCH($C931&amp;$I931&amp;$H931&amp;$N931&amp;$O931,APOIO_REDES!$W:$W,0),MATCH(BA$5,APOIO_REDES!$5:$5,0)),IF(AND($N931="MND",$Q931="EMBOQUE"),INDEX(APOIO_REDES!$A:$W,MATCH($C931&amp;$I931&amp;$H931&amp;$N931&amp;$O931,APOIO_REDES!$W:$W,0),MATCH(BA$5,APOIO_REDES!$5:$5,0)),0))*$M931/10,0)</f>
        <v>17.0826353730344</v>
      </c>
      <c r="BB931" s="153" t="n">
        <f aca="false">IFERROR(IF($N931="VCA",INDEX(APOIO_REDES!$A:$W,MATCH($C931&amp;$I931&amp;$H931&amp;$N931&amp;$O931,APOIO_REDES!$W:$W,0),MATCH(BB$5,APOIO_REDES!$5:$5,0)),0)*($AI931+$AQ931+$AR931),0)</f>
        <v>63.0923381050034</v>
      </c>
      <c r="BC931" s="153" t="n">
        <f aca="false">IFERROR(IF($N931="VCA",INDEX(APOIO_REDES!$A:$W,MATCH($C931&amp;$I931&amp;$H931&amp;$N931&amp;$O931,APOIO_REDES!$W:$W,0),MATCH(BC$5,APOIO_REDES!$5:$5,0)),0)*($AI931+$AQ931+$AR931),0)</f>
        <v>0.694014394996623</v>
      </c>
      <c r="BD931" s="153" t="n">
        <f aca="false">IF(AND($N931="VCA",$AF931&gt;=1.25,$AF931&lt;1.5),$M931*$AF931*2,0)</f>
        <v>577.7757</v>
      </c>
      <c r="BE931" s="153" t="n">
        <f aca="false">IF(AND($N931="VCA",$AF931&gt;=1.5,$AF931&lt;3),$M931*$AF931*2,0)</f>
        <v>0</v>
      </c>
      <c r="BF931" s="153" t="n">
        <f aca="false">IF(AND($N931="VCA",$AF931&gt;=3),$M931*$AF931*2,0)</f>
        <v>0</v>
      </c>
      <c r="BG931" s="153" t="n">
        <f aca="false">($BB931+$BC931)*$AK931</f>
        <v>274.28131575</v>
      </c>
      <c r="BH931" s="153" t="n">
        <f aca="false">IF(AND($M931&lt;&gt;"",$N931="VCA",$Q931="LINEAR"),($M931*2)/100,IF(AND($M931&lt;&gt;"",$N931="MND",$Q931="EMBOQUE"),($AN931*2)/100,0))</f>
        <v>4.239</v>
      </c>
      <c r="BI931" s="153" t="n">
        <f aca="false">IF(AND($M931&lt;&gt;"",$N931="VCA",$Q931="LINEAR"),$M931,IF(AND($M931&lt;&gt;"",$N931="MND",$Q931="EMBOQUE"),$AN931*2,0))</f>
        <v>211.95</v>
      </c>
      <c r="BJ931" s="153" t="n">
        <f aca="false">IF(AND($M931&lt;&gt;"",$N931="VCA",$Q931="LINEAR"),($M931*6.8)/100,IF(AND($M931&lt;&gt;"",$N931="MND",$Q931="EMBOQUE"),($AN931*2*6.8)/100,0))</f>
        <v>14.4126</v>
      </c>
      <c r="BK931" s="153" t="n">
        <f aca="false">IF(AND($M931&lt;&gt;"",$N931="VCA",$Q931="LINEAR"),($M931*2.5)/50,IF(AND($M931&lt;&gt;"",$N931="MND",$Q931="EMBOQUE"),($AN931*2*2.5)/50,0))</f>
        <v>10.5975</v>
      </c>
      <c r="BL931" s="157" t="str">
        <f aca="false">K931&amp;J931</f>
        <v>Zona08REDES</v>
      </c>
      <c r="BM931" s="152" t="s">
        <v>4834</v>
      </c>
      <c r="BN931" s="152" t="s">
        <v>1560</v>
      </c>
      <c r="BO931" s="152" t="s">
        <v>5062</v>
      </c>
      <c r="BP931" s="152" t="s">
        <v>5079</v>
      </c>
      <c r="BQ931" s="152" t="s">
        <v>5036</v>
      </c>
      <c r="BR931" s="152" t="s">
        <v>5083</v>
      </c>
      <c r="BS931" s="152" t="n">
        <v>202620.014</v>
      </c>
      <c r="BT931" s="152" t="n">
        <v>8236973.085</v>
      </c>
      <c r="BU931" s="152" t="n">
        <v>202819.338</v>
      </c>
      <c r="BV931" s="152" t="n">
        <v>8237032.867</v>
      </c>
      <c r="BW931" s="152" t="n">
        <v>-15.9284791</v>
      </c>
      <c r="BX931" s="152" t="n">
        <v>-47.7765933</v>
      </c>
      <c r="BY931" s="152" t="s">
        <v>5079</v>
      </c>
    </row>
    <row r="932" customFormat="false" ht="13.8" hidden="false" customHeight="false" outlineLevel="0" collapsed="false">
      <c r="A932" s="149" t="n">
        <f aca="false">IF(C932&lt;&gt;"",ROW(A927),"")</f>
        <v>927</v>
      </c>
      <c r="B932" s="150" t="str">
        <f aca="false">HYPERLINK("https://www.google.com/maps/dir/-15.917302,-47.760003/-15.9285138,-47.7749549/data=!4m3!4m2!3e0!5i2")</f>
        <v>https://www.google.com/maps/dir/-15.917302,-47.760003/-15.9285138,-47.7749549/data=!4m3!4m2!3e0!5i2</v>
      </c>
      <c r="C932" s="151" t="s">
        <v>117</v>
      </c>
      <c r="D932" s="152" t="s">
        <v>112</v>
      </c>
      <c r="E932" s="152" t="s">
        <v>113</v>
      </c>
      <c r="F932" s="152" t="s">
        <v>117</v>
      </c>
      <c r="G932" s="152" t="s">
        <v>782</v>
      </c>
      <c r="H932" s="152" t="n">
        <v>63</v>
      </c>
      <c r="I932" s="152" t="s">
        <v>115</v>
      </c>
      <c r="J932" s="152" t="s">
        <v>6</v>
      </c>
      <c r="K932" s="152" t="s">
        <v>4831</v>
      </c>
      <c r="L932" s="152" t="s">
        <v>120</v>
      </c>
      <c r="M932" s="153" t="n">
        <f aca="false">30.11</f>
        <v>30.11</v>
      </c>
      <c r="N932" s="152" t="s">
        <v>1548</v>
      </c>
      <c r="O932" s="152" t="s">
        <v>1549</v>
      </c>
      <c r="P932" s="152" t="s">
        <v>1550</v>
      </c>
      <c r="Q932" s="152" t="s">
        <v>1551</v>
      </c>
      <c r="R932" s="154" t="s">
        <v>5084</v>
      </c>
      <c r="S932" s="154" t="s">
        <v>1553</v>
      </c>
      <c r="T932" s="155" t="s">
        <v>5060</v>
      </c>
      <c r="U932" s="152" t="str">
        <f aca="false">RIGHT(T932,7)</f>
        <v>014/037</v>
      </c>
      <c r="V932" s="152" t="s">
        <v>1555</v>
      </c>
      <c r="W932" s="156" t="n">
        <v>45882</v>
      </c>
      <c r="X932" s="152" t="s">
        <v>1594</v>
      </c>
      <c r="Y932" s="152" t="s">
        <v>5026</v>
      </c>
      <c r="Z932" s="152" t="s">
        <v>1557</v>
      </c>
      <c r="AA932" s="153" t="n">
        <v>4</v>
      </c>
      <c r="AB932" s="151" t="s">
        <v>5085</v>
      </c>
      <c r="AC932" s="151" t="s">
        <v>186</v>
      </c>
      <c r="AD932" s="151" t="str">
        <f aca="false">CONCATENATE($C932,$I932,$H932,$N932,$J932,$K932)</f>
        <v>TUBO PEADPEAD63VCAREDESZona08</v>
      </c>
      <c r="AE932" s="153" t="n">
        <f aca="false">IFERROR(INDEX(APOIO_REDES!$A:$W,MATCH($C932&amp;$I932&amp;$H932&amp;$N932&amp;$O932,APOIO_REDES!$W:$W,0),MATCH(AE$5,APOIO_REDES!$5:$5,0)),0)</f>
        <v>1.2</v>
      </c>
      <c r="AF932" s="153" t="n">
        <f aca="false">IFERROR(INDEX(APOIO_REDES!$A:$W,MATCH($C932&amp;$I932&amp;$H932&amp;$N932&amp;$O932,APOIO_REDES!$W:$W,0),MATCH(AF$5,APOIO_REDES!$5:$5,0)),0)</f>
        <v>1.363</v>
      </c>
      <c r="AG932" s="153" t="n">
        <f aca="false">IFERROR(INDEX(APOIO_REDES!$A:$W,MATCH($C932&amp;$I932&amp;$H932&amp;$N932&amp;$O932,APOIO_REDES!$W:$W,0),MATCH(AG$5,APOIO_REDES!$5:$5,0)),0)</f>
        <v>0.65</v>
      </c>
      <c r="AH932" s="153" t="n">
        <f aca="false">IFERROR(INDEX(APOIO_REDES!$A:$W,MATCH($C932&amp;$I932&amp;$H932&amp;$N932&amp;$O932,APOIO_REDES!$W:$W,0),MATCH(AH$5,APOIO_REDES!$5:$5,0)),0)</f>
        <v>0.1</v>
      </c>
      <c r="AI932" s="153" t="n">
        <f aca="false">IFERROR(IF($H932&lt;&gt;"",(((($H932/1000)/2)^2)*PI()*$M932),0),0)</f>
        <v>0.0938602562998919</v>
      </c>
      <c r="AJ932" s="153" t="n">
        <f aca="false">IFERROR(IF(AND($H932&lt;&gt;"",$I932="FoFo",OR($N932="MND",$N932="VCA"),$Q932="LINEAR"),0,IF(AND($H932&lt;&gt;"",$I932="PEAD",$N932="VCA",$Q932="LINEAR"),($H932/1000)+0.3,IF(AND($H932&lt;&gt;"",$I932="PEAD",$N932="MND",$Q932="EMBOQUE"),0,IF(AND($H932&lt;&gt;"",$I932="PVC",$N932="VCA",$Q932="LINEAR"),($H932/1000)+0.2,IF(AND($H932&lt;&gt;"",$I932="PVC",$N932="MND",$Q932="EMBOQUE"),0,IF(AND($H932&lt;&gt;"",$I932="PEAD",$N932="VCA",$Q932="PREDIAL"),0,0)))))),0)</f>
        <v>0.363</v>
      </c>
      <c r="AK932" s="153" t="n">
        <f aca="false">IF(AA932&lt;&gt;"",AA932,0)</f>
        <v>4</v>
      </c>
      <c r="AL932" s="153" t="n">
        <f aca="false">IF(AND($N932="MND",$Q932="EMBOQUE"),$M932,IF(AND($N932="VCA",$Q932="LINEAR"),$M932,IF(AND($N932="VCA",$Q932="PREDIAL"),0,0)))</f>
        <v>30.11</v>
      </c>
      <c r="AM932" s="153" t="n">
        <f aca="false">IF(AND($N932="MND",$Q932="EMBOQUE"),$M932,IF(AND($N932="VCA",$Q932="LINEAR"),$M932,IF(AND($N932="VCA",$Q932="PREDIAL"),0,0)))</f>
        <v>30.11</v>
      </c>
      <c r="AN932" s="153" t="n">
        <f aca="false">ROUND(IF(AND($N932="VCA",$M932&lt;&gt;"",$Q932="LINEAR"),$M932/100,IF(AND($N932="MND",$M932&gt;100,$Q932="EMBOQUE"),$M932/100,0)),0)</f>
        <v>0</v>
      </c>
      <c r="AO932" s="153" t="n">
        <f aca="false">IF(AND($N932="MND",$Q932="EMBOQUE"),$AN932*2*2,IF(AND($N932="VCA",$Q932="LINEAR"),$M932*2,IF(AND($N932="VCA",$Q932="PREDIAL"),0,0)))</f>
        <v>60.22</v>
      </c>
      <c r="AP932" s="153" t="n">
        <f aca="false">IFERROR($M932*$AF932*$AG932,0)</f>
        <v>26.6759545</v>
      </c>
      <c r="AQ932" s="153" t="n">
        <f aca="false">IFERROR(IF(AND($N932="VCA",$AH932&gt;0),$M932*$AG932*$AH932,0),0)</f>
        <v>1.95715</v>
      </c>
      <c r="AR932" s="153" t="n">
        <f aca="false">IFERROR(IF(AND($N932="VCA",$AJ932&gt;0),($M932*$AG932*$AJ932)-$AI932,0),0)</f>
        <v>7.01059424370011</v>
      </c>
      <c r="AS932" s="153" t="n">
        <f aca="false">IFERROR(IF(AND($N932="VCA",$AP932&gt;0),$AP932-$AI932-$AQ932-$AR932,0),0)</f>
        <v>17.61435</v>
      </c>
      <c r="AT932" s="153" t="n">
        <f aca="false">IFERROR(IF($N932="VCA",INDEX(APOIO_REDES!$A:$W,MATCH($C932&amp;$I932&amp;$H932&amp;$N932&amp;$O932,APOIO_REDES!$W:$W,0),MATCH(AT$5,APOIO_REDES!$5:$5,0)),0)*$AP932,0)</f>
        <v>0.290242280639498</v>
      </c>
      <c r="AU932" s="153" t="n">
        <f aca="false">IFERROR(IF($N932="VCA",INDEX(APOIO_REDES!$A:$W,MATCH($C932&amp;$I932&amp;$H932&amp;$N932&amp;$O932,APOIO_REDES!$W:$W,0),MATCH(AU$5,APOIO_REDES!$5:$5,0)),0)*$AP932,0)</f>
        <v>0.231779624560838</v>
      </c>
      <c r="AV932" s="153" t="n">
        <f aca="false">IFERROR(IF($N932="VCA",INDEX(APOIO_REDES!$A:$W,MATCH($C932&amp;$I932&amp;$H932&amp;$N932&amp;$O932,APOIO_REDES!$W:$W,0),MATCH(AV$5,APOIO_REDES!$5:$5,0)),0)*$AP932,0)</f>
        <v>0.0320764804978265</v>
      </c>
      <c r="AW932" s="153" t="n">
        <f aca="false">IFERROR(IF($N932="VCA",INDEX(APOIO_REDES!$A:$W,MATCH($C932&amp;$I932&amp;$H932&amp;$N932&amp;$O932,APOIO_REDES!$W:$W,0),MATCH(AW$5,APOIO_REDES!$5:$5,0)),0)*$AP932,0)</f>
        <v>18.3105818641817</v>
      </c>
      <c r="AX932" s="153" t="n">
        <f aca="false">IFERROR(IF($N932="VCA",INDEX(APOIO_REDES!$A:$W,MATCH($C932&amp;$I932&amp;$H932&amp;$N932&amp;$O932,APOIO_REDES!$W:$W,0),MATCH(AX$5,APOIO_REDES!$5:$5,0)),0)*$AP932,0)</f>
        <v>2.534132371323</v>
      </c>
      <c r="AY932" s="153" t="n">
        <f aca="false">IFERROR(IF($N932="VCA",INDEX(APOIO_REDES!$A:$W,MATCH($C932&amp;$I932&amp;$H932&amp;$N932&amp;$O932,APOIO_REDES!$W:$W,0),MATCH(AY$5,APOIO_REDES!$5:$5,0)),0)*$AP932,0)</f>
        <v>4.63558966584193</v>
      </c>
      <c r="AZ932" s="153" t="n">
        <f aca="false">IFERROR(IF($N932="VCA",INDEX(APOIO_REDES!$A:$W,MATCH($C932&amp;$I932&amp;$H932&amp;$N932&amp;$O932,APOIO_REDES!$W:$W,0),MATCH(AZ$5,APOIO_REDES!$5:$5,0)),0)*$AP932,0)</f>
        <v>0.641552212955207</v>
      </c>
      <c r="BA932" s="153" t="n">
        <f aca="false">IFERROR(IF(AND($N932="VCA",$Q932="LINEAR"),INDEX(APOIO_REDES!$A:$W,MATCH($C932&amp;$I932&amp;$H932&amp;$N932&amp;$O932,APOIO_REDES!$W:$W,0),MATCH(BA$5,APOIO_REDES!$5:$5,0)),IF(AND($N932="MND",$Q932="EMBOQUE"),INDEX(APOIO_REDES!$A:$W,MATCH($C932&amp;$I932&amp;$H932&amp;$N932&amp;$O932,APOIO_REDES!$W:$W,0),MATCH(BA$5,APOIO_REDES!$5:$5,0)),0))*$M932/10,0)</f>
        <v>2.42679004992718</v>
      </c>
      <c r="BB932" s="153" t="n">
        <f aca="false">IFERROR(IF($N932="VCA",INDEX(APOIO_REDES!$A:$W,MATCH($C932&amp;$I932&amp;$H932&amp;$N932&amp;$O932,APOIO_REDES!$W:$W,0),MATCH(BB$5,APOIO_REDES!$5:$5,0)),0)*($AI932+$AQ932+$AR932),0)</f>
        <v>8.96301156094198</v>
      </c>
      <c r="BC932" s="153" t="n">
        <f aca="false">IFERROR(IF($N932="VCA",INDEX(APOIO_REDES!$A:$W,MATCH($C932&amp;$I932&amp;$H932&amp;$N932&amp;$O932,APOIO_REDES!$W:$W,0),MATCH(BC$5,APOIO_REDES!$5:$5,0)),0)*($AI932+$AQ932+$AR932),0)</f>
        <v>0.0985929390580246</v>
      </c>
      <c r="BD932" s="153" t="n">
        <f aca="false">IF(AND($N932="VCA",$AF932&gt;=1.25,$AF932&lt;1.5),$M932*$AF932*2,0)</f>
        <v>82.07986</v>
      </c>
      <c r="BE932" s="153" t="n">
        <f aca="false">IF(AND($N932="VCA",$AF932&gt;=1.5,$AF932&lt;3),$M932*$AF932*2,0)</f>
        <v>0</v>
      </c>
      <c r="BF932" s="153" t="n">
        <f aca="false">IF(AND($N932="VCA",$AF932&gt;=3),$M932*$AF932*2,0)</f>
        <v>0</v>
      </c>
      <c r="BG932" s="153" t="n">
        <f aca="false">($BB932+$BC932)*$AK932</f>
        <v>36.246418</v>
      </c>
      <c r="BH932" s="153" t="n">
        <f aca="false">IF(AND($M932&lt;&gt;"",$N932="VCA",$Q932="LINEAR"),($M932*2)/100,IF(AND($M932&lt;&gt;"",$N932="MND",$Q932="EMBOQUE"),($AN932*2)/100,0))</f>
        <v>0.6022</v>
      </c>
      <c r="BI932" s="153" t="n">
        <f aca="false">IF(AND($M932&lt;&gt;"",$N932="VCA",$Q932="LINEAR"),$M932,IF(AND($M932&lt;&gt;"",$N932="MND",$Q932="EMBOQUE"),$AN932*2,0))</f>
        <v>30.11</v>
      </c>
      <c r="BJ932" s="153" t="n">
        <f aca="false">IF(AND($M932&lt;&gt;"",$N932="VCA",$Q932="LINEAR"),($M932*6.8)/100,IF(AND($M932&lt;&gt;"",$N932="MND",$Q932="EMBOQUE"),($AN932*2*6.8)/100,0))</f>
        <v>2.04748</v>
      </c>
      <c r="BK932" s="153" t="n">
        <f aca="false">IF(AND($M932&lt;&gt;"",$N932="VCA",$Q932="LINEAR"),($M932*2.5)/50,IF(AND($M932&lt;&gt;"",$N932="MND",$Q932="EMBOQUE"),($AN932*2*2.5)/50,0))</f>
        <v>1.5055</v>
      </c>
      <c r="BL932" s="157" t="str">
        <f aca="false">K932&amp;J932</f>
        <v>Zona08REDES</v>
      </c>
      <c r="BM932" s="152" t="s">
        <v>4834</v>
      </c>
      <c r="BN932" s="152" t="s">
        <v>1560</v>
      </c>
      <c r="BO932" s="152" t="s">
        <v>5062</v>
      </c>
      <c r="BP932" s="152" t="s">
        <v>5028</v>
      </c>
      <c r="BQ932" s="152" t="s">
        <v>5086</v>
      </c>
      <c r="BR932" s="152" t="s">
        <v>5087</v>
      </c>
      <c r="BS932" s="152" t="n">
        <v>202898.555</v>
      </c>
      <c r="BT932" s="152" t="n">
        <v>8236996.405</v>
      </c>
      <c r="BU932" s="152" t="n">
        <v>202876.681</v>
      </c>
      <c r="BV932" s="152" t="n">
        <v>8236975.712</v>
      </c>
      <c r="BW932" s="152" t="n">
        <v>-15.9286061</v>
      </c>
      <c r="BX932" s="152" t="n">
        <v>-47.7750581</v>
      </c>
      <c r="BY932" s="152" t="s">
        <v>5028</v>
      </c>
    </row>
    <row r="933" customFormat="false" ht="13.8" hidden="false" customHeight="false" outlineLevel="0" collapsed="false">
      <c r="A933" s="149" t="n">
        <f aca="false">IF(C933&lt;&gt;"",ROW(A928),"")</f>
        <v>928</v>
      </c>
      <c r="B933" s="150" t="str">
        <f aca="false">HYPERLINK("https://www.google.com/maps/dir/-15.917302,-47.760003/-15.9287841,-47.7779867/data=!4m3!4m2!3e0!5i1")</f>
        <v>https://www.google.com/maps/dir/-15.917302,-47.760003/-15.9287841,-47.7779867/data=!4m3!4m2!3e0!5i1</v>
      </c>
      <c r="C933" s="151" t="s">
        <v>117</v>
      </c>
      <c r="D933" s="152" t="s">
        <v>112</v>
      </c>
      <c r="E933" s="152" t="s">
        <v>113</v>
      </c>
      <c r="F933" s="152" t="s">
        <v>117</v>
      </c>
      <c r="G933" s="152" t="s">
        <v>782</v>
      </c>
      <c r="H933" s="152" t="n">
        <v>63</v>
      </c>
      <c r="I933" s="152" t="s">
        <v>115</v>
      </c>
      <c r="J933" s="152" t="s">
        <v>6</v>
      </c>
      <c r="K933" s="152" t="s">
        <v>4831</v>
      </c>
      <c r="L933" s="152" t="s">
        <v>120</v>
      </c>
      <c r="M933" s="153" t="n">
        <f aca="false">47.72</f>
        <v>47.72</v>
      </c>
      <c r="N933" s="152" t="s">
        <v>1548</v>
      </c>
      <c r="O933" s="152" t="s">
        <v>1549</v>
      </c>
      <c r="P933" s="152" t="s">
        <v>1550</v>
      </c>
      <c r="Q933" s="152" t="s">
        <v>1551</v>
      </c>
      <c r="R933" s="154" t="s">
        <v>5088</v>
      </c>
      <c r="S933" s="154" t="s">
        <v>1553</v>
      </c>
      <c r="T933" s="155" t="s">
        <v>5060</v>
      </c>
      <c r="U933" s="152" t="str">
        <f aca="false">RIGHT(T933,7)</f>
        <v>014/037</v>
      </c>
      <c r="V933" s="152" t="s">
        <v>1555</v>
      </c>
      <c r="W933" s="156" t="n">
        <v>45882</v>
      </c>
      <c r="X933" s="152" t="s">
        <v>1594</v>
      </c>
      <c r="Y933" s="152"/>
      <c r="Z933" s="152" t="s">
        <v>1557</v>
      </c>
      <c r="AA933" s="153" t="n">
        <v>4.3</v>
      </c>
      <c r="AB933" s="151" t="s">
        <v>5089</v>
      </c>
      <c r="AC933" s="151" t="s">
        <v>186</v>
      </c>
      <c r="AD933" s="151" t="str">
        <f aca="false">CONCATENATE($C933,$I933,$H933,$N933,$J933,$K933)</f>
        <v>TUBO PEADPEAD63VCAREDESZona08</v>
      </c>
      <c r="AE933" s="153" t="n">
        <f aca="false">IFERROR(INDEX(APOIO_REDES!$A:$W,MATCH($C933&amp;$I933&amp;$H933&amp;$N933&amp;$O933,APOIO_REDES!$W:$W,0),MATCH(AE$5,APOIO_REDES!$5:$5,0)),0)</f>
        <v>1.2</v>
      </c>
      <c r="AF933" s="153" t="n">
        <f aca="false">IFERROR(INDEX(APOIO_REDES!$A:$W,MATCH($C933&amp;$I933&amp;$H933&amp;$N933&amp;$O933,APOIO_REDES!$W:$W,0),MATCH(AF$5,APOIO_REDES!$5:$5,0)),0)</f>
        <v>1.363</v>
      </c>
      <c r="AG933" s="153" t="n">
        <f aca="false">IFERROR(INDEX(APOIO_REDES!$A:$W,MATCH($C933&amp;$I933&amp;$H933&amp;$N933&amp;$O933,APOIO_REDES!$W:$W,0),MATCH(AG$5,APOIO_REDES!$5:$5,0)),0)</f>
        <v>0.65</v>
      </c>
      <c r="AH933" s="153" t="n">
        <f aca="false">IFERROR(INDEX(APOIO_REDES!$A:$W,MATCH($C933&amp;$I933&amp;$H933&amp;$N933&amp;$O933,APOIO_REDES!$W:$W,0),MATCH(AH$5,APOIO_REDES!$5:$5,0)),0)</f>
        <v>0.1</v>
      </c>
      <c r="AI933" s="153" t="n">
        <f aca="false">IFERROR(IF($H933&lt;&gt;"",(((($H933/1000)/2)^2)*PI()*$M933),0),0)</f>
        <v>0.148754946218228</v>
      </c>
      <c r="AJ933" s="153" t="n">
        <f aca="false">IFERROR(IF(AND($H933&lt;&gt;"",$I933="FoFo",OR($N933="MND",$N933="VCA"),$Q933="LINEAR"),0,IF(AND($H933&lt;&gt;"",$I933="PEAD",$N933="VCA",$Q933="LINEAR"),($H933/1000)+0.3,IF(AND($H933&lt;&gt;"",$I933="PEAD",$N933="MND",$Q933="EMBOQUE"),0,IF(AND($H933&lt;&gt;"",$I933="PVC",$N933="VCA",$Q933="LINEAR"),($H933/1000)+0.2,IF(AND($H933&lt;&gt;"",$I933="PVC",$N933="MND",$Q933="EMBOQUE"),0,IF(AND($H933&lt;&gt;"",$I933="PEAD",$N933="VCA",$Q933="PREDIAL"),0,0)))))),0)</f>
        <v>0.363</v>
      </c>
      <c r="AK933" s="153" t="n">
        <f aca="false">IF(AA933&lt;&gt;"",AA933,0)</f>
        <v>4.3</v>
      </c>
      <c r="AL933" s="153" t="n">
        <f aca="false">IF(AND($N933="MND",$Q933="EMBOQUE"),$M933,IF(AND($N933="VCA",$Q933="LINEAR"),$M933,IF(AND($N933="VCA",$Q933="PREDIAL"),0,0)))</f>
        <v>47.72</v>
      </c>
      <c r="AM933" s="153" t="n">
        <f aca="false">IF(AND($N933="MND",$Q933="EMBOQUE"),$M933,IF(AND($N933="VCA",$Q933="LINEAR"),$M933,IF(AND($N933="VCA",$Q933="PREDIAL"),0,0)))</f>
        <v>47.72</v>
      </c>
      <c r="AN933" s="153" t="n">
        <f aca="false">ROUND(IF(AND($N933="VCA",$M933&lt;&gt;"",$Q933="LINEAR"),$M933/100,IF(AND($N933="MND",$M933&gt;100,$Q933="EMBOQUE"),$M933/100,0)),0)</f>
        <v>0</v>
      </c>
      <c r="AO933" s="153" t="n">
        <f aca="false">IF(AND($N933="MND",$Q933="EMBOQUE"),$AN933*2*2,IF(AND($N933="VCA",$Q933="LINEAR"),$M933*2,IF(AND($N933="VCA",$Q933="PREDIAL"),0,0)))</f>
        <v>95.44</v>
      </c>
      <c r="AP933" s="153" t="n">
        <f aca="false">IFERROR($M933*$AF933*$AG933,0)</f>
        <v>42.277534</v>
      </c>
      <c r="AQ933" s="153" t="n">
        <f aca="false">IFERROR(IF(AND($N933="VCA",$AH933&gt;0),$M933*$AG933*$AH933,0),0)</f>
        <v>3.1018</v>
      </c>
      <c r="AR933" s="153" t="n">
        <f aca="false">IFERROR(IF(AND($N933="VCA",$AJ933&gt;0),($M933*$AG933*$AJ933)-$AI933,0),0)</f>
        <v>11.1107790537818</v>
      </c>
      <c r="AS933" s="153" t="n">
        <f aca="false">IFERROR(IF(AND($N933="VCA",$AP933&gt;0),$AP933-$AI933-$AQ933-$AR933,0),0)</f>
        <v>27.9162</v>
      </c>
      <c r="AT933" s="153" t="n">
        <f aca="false">IFERROR(IF($N933="VCA",INDEX(APOIO_REDES!$A:$W,MATCH($C933&amp;$I933&amp;$H933&amp;$N933&amp;$O933,APOIO_REDES!$W:$W,0),MATCH(AT$5,APOIO_REDES!$5:$5,0)),0)*$AP933,0)</f>
        <v>0.459992083431313</v>
      </c>
      <c r="AU933" s="153" t="n">
        <f aca="false">IFERROR(IF($N933="VCA",INDEX(APOIO_REDES!$A:$W,MATCH($C933&amp;$I933&amp;$H933&amp;$N933&amp;$O933,APOIO_REDES!$W:$W,0),MATCH(AU$5,APOIO_REDES!$5:$5,0)),0)*$AP933,0)</f>
        <v>0.367337219662677</v>
      </c>
      <c r="AV933" s="153" t="n">
        <f aca="false">IFERROR(IF($N933="VCA",INDEX(APOIO_REDES!$A:$W,MATCH($C933&amp;$I933&amp;$H933&amp;$N933&amp;$O933,APOIO_REDES!$W:$W,0),MATCH(AV$5,APOIO_REDES!$5:$5,0)),0)*$AP933,0)</f>
        <v>0.0508365874910754</v>
      </c>
      <c r="AW933" s="153" t="n">
        <f aca="false">IFERROR(IF($N933="VCA",INDEX(APOIO_REDES!$A:$W,MATCH($C933&amp;$I933&amp;$H933&amp;$N933&amp;$O933,APOIO_REDES!$W:$W,0),MATCH(AW$5,APOIO_REDES!$5:$5,0)),0)*$AP933,0)</f>
        <v>29.0196269199187</v>
      </c>
      <c r="AX933" s="153" t="n">
        <f aca="false">IFERROR(IF($N933="VCA",INDEX(APOIO_REDES!$A:$W,MATCH($C933&amp;$I933&amp;$H933&amp;$N933&amp;$O933,APOIO_REDES!$W:$W,0),MATCH(AX$5,APOIO_REDES!$5:$5,0)),0)*$AP933,0)</f>
        <v>4.01623370174472</v>
      </c>
      <c r="AY933" s="153" t="n">
        <f aca="false">IFERROR(IF($N933="VCA",INDEX(APOIO_REDES!$A:$W,MATCH($C933&amp;$I933&amp;$H933&amp;$N933&amp;$O933,APOIO_REDES!$W:$W,0),MATCH(AY$5,APOIO_REDES!$5:$5,0)),0)*$AP933,0)</f>
        <v>7.3467399154426</v>
      </c>
      <c r="AZ933" s="153" t="n">
        <f aca="false">IFERROR(IF($N933="VCA",INDEX(APOIO_REDES!$A:$W,MATCH($C933&amp;$I933&amp;$H933&amp;$N933&amp;$O933,APOIO_REDES!$W:$W,0),MATCH(AZ$5,APOIO_REDES!$5:$5,0)),0)*$AP933,0)</f>
        <v>1.01676757230895</v>
      </c>
      <c r="BA933" s="153" t="n">
        <f aca="false">IFERROR(IF(AND($N933="VCA",$Q933="LINEAR"),INDEX(APOIO_REDES!$A:$W,MATCH($C933&amp;$I933&amp;$H933&amp;$N933&amp;$O933,APOIO_REDES!$W:$W,0),MATCH(BA$5,APOIO_REDES!$5:$5,0)),IF(AND($N933="MND",$Q933="EMBOQUE"),INDEX(APOIO_REDES!$A:$W,MATCH($C933&amp;$I933&amp;$H933&amp;$N933&amp;$O933,APOIO_REDES!$W:$W,0),MATCH(BA$5,APOIO_REDES!$5:$5,0)),0))*$M933/10,0)</f>
        <v>3.84611163010712</v>
      </c>
      <c r="BB933" s="153" t="n">
        <f aca="false">IFERROR(IF($N933="VCA",INDEX(APOIO_REDES!$A:$W,MATCH($C933&amp;$I933&amp;$H933&amp;$N933&amp;$O933,APOIO_REDES!$W:$W,0),MATCH(BB$5,APOIO_REDES!$5:$5,0)),0)*($AI933+$AQ933+$AR933),0)</f>
        <v>14.2050784353421</v>
      </c>
      <c r="BC933" s="153" t="n">
        <f aca="false">IFERROR(IF($N933="VCA",INDEX(APOIO_REDES!$A:$W,MATCH($C933&amp;$I933&amp;$H933&amp;$N933&amp;$O933,APOIO_REDES!$W:$W,0),MATCH(BC$5,APOIO_REDES!$5:$5,0)),0)*($AI933+$AQ933+$AR933),0)</f>
        <v>0.156255564657886</v>
      </c>
      <c r="BD933" s="153" t="n">
        <f aca="false">IF(AND($N933="VCA",$AF933&gt;=1.25,$AF933&lt;1.5),$M933*$AF933*2,0)</f>
        <v>130.08472</v>
      </c>
      <c r="BE933" s="153" t="n">
        <f aca="false">IF(AND($N933="VCA",$AF933&gt;=1.5,$AF933&lt;3),$M933*$AF933*2,0)</f>
        <v>0</v>
      </c>
      <c r="BF933" s="153" t="n">
        <f aca="false">IF(AND($N933="VCA",$AF933&gt;=3),$M933*$AF933*2,0)</f>
        <v>0</v>
      </c>
      <c r="BG933" s="153" t="n">
        <f aca="false">($BB933+$BC933)*$AK933</f>
        <v>61.7537362</v>
      </c>
      <c r="BH933" s="153" t="n">
        <f aca="false">IF(AND($M933&lt;&gt;"",$N933="VCA",$Q933="LINEAR"),($M933*2)/100,IF(AND($M933&lt;&gt;"",$N933="MND",$Q933="EMBOQUE"),($AN933*2)/100,0))</f>
        <v>0.9544</v>
      </c>
      <c r="BI933" s="153" t="n">
        <f aca="false">IF(AND($M933&lt;&gt;"",$N933="VCA",$Q933="LINEAR"),$M933,IF(AND($M933&lt;&gt;"",$N933="MND",$Q933="EMBOQUE"),$AN933*2,0))</f>
        <v>47.72</v>
      </c>
      <c r="BJ933" s="153" t="n">
        <f aca="false">IF(AND($M933&lt;&gt;"",$N933="VCA",$Q933="LINEAR"),($M933*6.8)/100,IF(AND($M933&lt;&gt;"",$N933="MND",$Q933="EMBOQUE"),($AN933*2*6.8)/100,0))</f>
        <v>3.24496</v>
      </c>
      <c r="BK933" s="153" t="n">
        <f aca="false">IF(AND($M933&lt;&gt;"",$N933="VCA",$Q933="LINEAR"),($M933*2.5)/50,IF(AND($M933&lt;&gt;"",$N933="MND",$Q933="EMBOQUE"),($AN933*2*2.5)/50,0))</f>
        <v>2.386</v>
      </c>
      <c r="BL933" s="157" t="str">
        <f aca="false">K933&amp;J933</f>
        <v>Zona08REDES</v>
      </c>
      <c r="BM933" s="152" t="s">
        <v>4834</v>
      </c>
      <c r="BN933" s="152" t="s">
        <v>1560</v>
      </c>
      <c r="BO933" s="152" t="s">
        <v>5062</v>
      </c>
      <c r="BP933" s="152" t="s">
        <v>5090</v>
      </c>
      <c r="BQ933" s="152" t="s">
        <v>5079</v>
      </c>
      <c r="BR933" s="152" t="s">
        <v>5091</v>
      </c>
      <c r="BS933" s="152" t="n">
        <v>202574.009</v>
      </c>
      <c r="BT933" s="152" t="n">
        <v>8236962.14</v>
      </c>
      <c r="BU933" s="152" t="n">
        <v>202620.014</v>
      </c>
      <c r="BV933" s="152" t="n">
        <v>8236973.085</v>
      </c>
      <c r="BW933" s="152" t="n">
        <v>-15.928736</v>
      </c>
      <c r="BX933" s="152" t="n">
        <v>-47.7777749</v>
      </c>
      <c r="BY933" s="152" t="s">
        <v>5090</v>
      </c>
    </row>
    <row r="934" customFormat="false" ht="13.8" hidden="false" customHeight="false" outlineLevel="0" collapsed="false">
      <c r="A934" s="149" t="n">
        <f aca="false">IF(C934&lt;&gt;"",ROW(A929),"")</f>
        <v>929</v>
      </c>
      <c r="B934" s="150" t="str">
        <f aca="false">HYPERLINK("https://www.google.com/maps/dir/-15.917302,-47.760003/-15.9286981,-47.7751616/data=!4m3!4m2!3e0!5i2")</f>
        <v>https://www.google.com/maps/dir/-15.917302,-47.760003/-15.9286981,-47.7751616/data=!4m3!4m2!3e0!5i2</v>
      </c>
      <c r="C934" s="151" t="s">
        <v>117</v>
      </c>
      <c r="D934" s="152" t="s">
        <v>112</v>
      </c>
      <c r="E934" s="152" t="s">
        <v>113</v>
      </c>
      <c r="F934" s="152" t="s">
        <v>117</v>
      </c>
      <c r="G934" s="152" t="s">
        <v>782</v>
      </c>
      <c r="H934" s="152" t="n">
        <v>63</v>
      </c>
      <c r="I934" s="152" t="s">
        <v>115</v>
      </c>
      <c r="J934" s="152" t="s">
        <v>6</v>
      </c>
      <c r="K934" s="152" t="s">
        <v>4831</v>
      </c>
      <c r="L934" s="152" t="s">
        <v>120</v>
      </c>
      <c r="M934" s="153" t="n">
        <f aca="false">44.53+4</f>
        <v>48.53</v>
      </c>
      <c r="N934" s="152" t="s">
        <v>1548</v>
      </c>
      <c r="O934" s="152" t="s">
        <v>1549</v>
      </c>
      <c r="P934" s="152" t="s">
        <v>1550</v>
      </c>
      <c r="Q934" s="152" t="s">
        <v>1551</v>
      </c>
      <c r="R934" s="154" t="s">
        <v>5092</v>
      </c>
      <c r="S934" s="154" t="s">
        <v>1553</v>
      </c>
      <c r="T934" s="155" t="s">
        <v>5060</v>
      </c>
      <c r="U934" s="152" t="str">
        <f aca="false">RIGHT(T934,7)</f>
        <v>014/037</v>
      </c>
      <c r="V934" s="152" t="s">
        <v>1555</v>
      </c>
      <c r="W934" s="156" t="n">
        <v>45882</v>
      </c>
      <c r="X934" s="152" t="s">
        <v>1594</v>
      </c>
      <c r="Y934" s="152" t="s">
        <v>4973</v>
      </c>
      <c r="Z934" s="152" t="s">
        <v>1557</v>
      </c>
      <c r="AA934" s="153" t="n">
        <v>4.1</v>
      </c>
      <c r="AB934" s="151" t="s">
        <v>5093</v>
      </c>
      <c r="AC934" s="151" t="s">
        <v>186</v>
      </c>
      <c r="AD934" s="151" t="str">
        <f aca="false">CONCATENATE($C934,$I934,$H934,$N934,$J934,$K934)</f>
        <v>TUBO PEADPEAD63VCAREDESZona08</v>
      </c>
      <c r="AE934" s="153" t="n">
        <f aca="false">IFERROR(INDEX(APOIO_REDES!$A:$W,MATCH($C934&amp;$I934&amp;$H934&amp;$N934&amp;$O934,APOIO_REDES!$W:$W,0),MATCH(AE$5,APOIO_REDES!$5:$5,0)),0)</f>
        <v>1.2</v>
      </c>
      <c r="AF934" s="153" t="n">
        <f aca="false">IFERROR(INDEX(APOIO_REDES!$A:$W,MATCH($C934&amp;$I934&amp;$H934&amp;$N934&amp;$O934,APOIO_REDES!$W:$W,0),MATCH(AF$5,APOIO_REDES!$5:$5,0)),0)</f>
        <v>1.363</v>
      </c>
      <c r="AG934" s="153" t="n">
        <f aca="false">IFERROR(INDEX(APOIO_REDES!$A:$W,MATCH($C934&amp;$I934&amp;$H934&amp;$N934&amp;$O934,APOIO_REDES!$W:$W,0),MATCH(AG$5,APOIO_REDES!$5:$5,0)),0)</f>
        <v>0.65</v>
      </c>
      <c r="AH934" s="153" t="n">
        <f aca="false">IFERROR(INDEX(APOIO_REDES!$A:$W,MATCH($C934&amp;$I934&amp;$H934&amp;$N934&amp;$O934,APOIO_REDES!$W:$W,0),MATCH(AH$5,APOIO_REDES!$5:$5,0)),0)</f>
        <v>0.1</v>
      </c>
      <c r="AI934" s="153" t="n">
        <f aca="false">IFERROR(IF($H934&lt;&gt;"",(((($H934/1000)/2)^2)*PI()*$M934),0),0)</f>
        <v>0.151279914919753</v>
      </c>
      <c r="AJ934" s="153" t="n">
        <f aca="false">IFERROR(IF(AND($H934&lt;&gt;"",$I934="FoFo",OR($N934="MND",$N934="VCA"),$Q934="LINEAR"),0,IF(AND($H934&lt;&gt;"",$I934="PEAD",$N934="VCA",$Q934="LINEAR"),($H934/1000)+0.3,IF(AND($H934&lt;&gt;"",$I934="PEAD",$N934="MND",$Q934="EMBOQUE"),0,IF(AND($H934&lt;&gt;"",$I934="PVC",$N934="VCA",$Q934="LINEAR"),($H934/1000)+0.2,IF(AND($H934&lt;&gt;"",$I934="PVC",$N934="MND",$Q934="EMBOQUE"),0,IF(AND($H934&lt;&gt;"",$I934="PEAD",$N934="VCA",$Q934="PREDIAL"),0,0)))))),0)</f>
        <v>0.363</v>
      </c>
      <c r="AK934" s="153" t="n">
        <f aca="false">IF(AA934&lt;&gt;"",AA934,0)</f>
        <v>4.1</v>
      </c>
      <c r="AL934" s="153" t="n">
        <f aca="false">IF(AND($N934="MND",$Q934="EMBOQUE"),$M934,IF(AND($N934="VCA",$Q934="LINEAR"),$M934,IF(AND($N934="VCA",$Q934="PREDIAL"),0,0)))</f>
        <v>48.53</v>
      </c>
      <c r="AM934" s="153" t="n">
        <f aca="false">IF(AND($N934="MND",$Q934="EMBOQUE"),$M934,IF(AND($N934="VCA",$Q934="LINEAR"),$M934,IF(AND($N934="VCA",$Q934="PREDIAL"),0,0)))</f>
        <v>48.53</v>
      </c>
      <c r="AN934" s="153" t="n">
        <f aca="false">ROUND(IF(AND($N934="VCA",$M934&lt;&gt;"",$Q934="LINEAR"),$M934/100,IF(AND($N934="MND",$M934&gt;100,$Q934="EMBOQUE"),$M934/100,0)),0)</f>
        <v>0</v>
      </c>
      <c r="AO934" s="153" t="n">
        <f aca="false">IF(AND($N934="MND",$Q934="EMBOQUE"),$AN934*2*2,IF(AND($N934="VCA",$Q934="LINEAR"),$M934*2,IF(AND($N934="VCA",$Q934="PREDIAL"),0,0)))</f>
        <v>97.06</v>
      </c>
      <c r="AP934" s="153" t="n">
        <f aca="false">IFERROR($M934*$AF934*$AG934,0)</f>
        <v>42.9951535</v>
      </c>
      <c r="AQ934" s="153" t="n">
        <f aca="false">IFERROR(IF(AND($N934="VCA",$AH934&gt;0),$M934*$AG934*$AH934,0),0)</f>
        <v>3.15445</v>
      </c>
      <c r="AR934" s="153" t="n">
        <f aca="false">IFERROR(IF(AND($N934="VCA",$AJ934&gt;0),($M934*$AG934*$AJ934)-$AI934,0),0)</f>
        <v>11.2993735850802</v>
      </c>
      <c r="AS934" s="153" t="n">
        <f aca="false">IFERROR(IF(AND($N934="VCA",$AP934&gt;0),$AP934-$AI934-$AQ934-$AR934,0),0)</f>
        <v>28.39005</v>
      </c>
      <c r="AT934" s="153" t="n">
        <f aca="false">IFERROR(IF($N934="VCA",INDEX(APOIO_REDES!$A:$W,MATCH($C934&amp;$I934&amp;$H934&amp;$N934&amp;$O934,APOIO_REDES!$W:$W,0),MATCH(AT$5,APOIO_REDES!$5:$5,0)),0)*$AP934,0)</f>
        <v>0.467799995995843</v>
      </c>
      <c r="AU934" s="153" t="n">
        <f aca="false">IFERROR(IF($N934="VCA",INDEX(APOIO_REDES!$A:$W,MATCH($C934&amp;$I934&amp;$H934&amp;$N934&amp;$O934,APOIO_REDES!$W:$W,0),MATCH(AU$5,APOIO_REDES!$5:$5,0)),0)*$AP934,0)</f>
        <v>0.37357240717162</v>
      </c>
      <c r="AV934" s="153" t="n">
        <f aca="false">IFERROR(IF($N934="VCA",INDEX(APOIO_REDES!$A:$W,MATCH($C934&amp;$I934&amp;$H934&amp;$N934&amp;$O934,APOIO_REDES!$W:$W,0),MATCH(AV$5,APOIO_REDES!$5:$5,0)),0)*$AP934,0)</f>
        <v>0.051699488494172</v>
      </c>
      <c r="AW934" s="153" t="n">
        <f aca="false">IFERROR(IF($N934="VCA",INDEX(APOIO_REDES!$A:$W,MATCH($C934&amp;$I934&amp;$H934&amp;$N934&amp;$O934,APOIO_REDES!$W:$W,0),MATCH(AW$5,APOIO_REDES!$5:$5,0)),0)*$AP934,0)</f>
        <v>29.5122065051059</v>
      </c>
      <c r="AX934" s="153" t="n">
        <f aca="false">IFERROR(IF($N934="VCA",INDEX(APOIO_REDES!$A:$W,MATCH($C934&amp;$I934&amp;$H934&amp;$N934&amp;$O934,APOIO_REDES!$W:$W,0),MATCH(AX$5,APOIO_REDES!$5:$5,0)),0)*$AP934,0)</f>
        <v>4.08440531319512</v>
      </c>
      <c r="AY934" s="153" t="n">
        <f aca="false">IFERROR(IF($N934="VCA",INDEX(APOIO_REDES!$A:$W,MATCH($C934&amp;$I934&amp;$H934&amp;$N934&amp;$O934,APOIO_REDES!$W:$W,0),MATCH(AY$5,APOIO_REDES!$5:$5,0)),0)*$AP934,0)</f>
        <v>7.47144358961504</v>
      </c>
      <c r="AZ934" s="153" t="n">
        <f aca="false">IFERROR(IF($N934="VCA",INDEX(APOIO_REDES!$A:$W,MATCH($C934&amp;$I934&amp;$H934&amp;$N934&amp;$O934,APOIO_REDES!$W:$W,0),MATCH(AZ$5,APOIO_REDES!$5:$5,0)),0)*$AP934,0)</f>
        <v>1.03402620042232</v>
      </c>
      <c r="BA934" s="153" t="n">
        <f aca="false">IFERROR(IF(AND($N934="VCA",$Q934="LINEAR"),INDEX(APOIO_REDES!$A:$W,MATCH($C934&amp;$I934&amp;$H934&amp;$N934&amp;$O934,APOIO_REDES!$W:$W,0),MATCH(BA$5,APOIO_REDES!$5:$5,0)),IF(AND($N934="MND",$Q934="EMBOQUE"),INDEX(APOIO_REDES!$A:$W,MATCH($C934&amp;$I934&amp;$H934&amp;$N934&amp;$O934,APOIO_REDES!$W:$W,0),MATCH(BA$5,APOIO_REDES!$5:$5,0)),0))*$M934/10,0)</f>
        <v>3.91139558694674</v>
      </c>
      <c r="BB934" s="153" t="n">
        <f aca="false">IFERROR(IF($N934="VCA",INDEX(APOIO_REDES!$A:$W,MATCH($C934&amp;$I934&amp;$H934&amp;$N934&amp;$O934,APOIO_REDES!$W:$W,0),MATCH(BB$5,APOIO_REDES!$5:$5,0)),0)*($AI934+$AQ934+$AR934),0)</f>
        <v>14.44619565103</v>
      </c>
      <c r="BC934" s="153" t="n">
        <f aca="false">IFERROR(IF($N934="VCA",INDEX(APOIO_REDES!$A:$W,MATCH($C934&amp;$I934&amp;$H934&amp;$N934&amp;$O934,APOIO_REDES!$W:$W,0),MATCH(BC$5,APOIO_REDES!$5:$5,0)),0)*($AI934+$AQ934+$AR934),0)</f>
        <v>0.158907848969975</v>
      </c>
      <c r="BD934" s="153" t="n">
        <f aca="false">IF(AND($N934="VCA",$AF934&gt;=1.25,$AF934&lt;1.5),$M934*$AF934*2,0)</f>
        <v>132.29278</v>
      </c>
      <c r="BE934" s="153" t="n">
        <f aca="false">IF(AND($N934="VCA",$AF934&gt;=1.5,$AF934&lt;3),$M934*$AF934*2,0)</f>
        <v>0</v>
      </c>
      <c r="BF934" s="153" t="n">
        <f aca="false">IF(AND($N934="VCA",$AF934&gt;=3),$M934*$AF934*2,0)</f>
        <v>0</v>
      </c>
      <c r="BG934" s="153" t="n">
        <f aca="false">($BB934+$BC934)*$AK934</f>
        <v>59.88092435</v>
      </c>
      <c r="BH934" s="153" t="n">
        <f aca="false">IF(AND($M934&lt;&gt;"",$N934="VCA",$Q934="LINEAR"),($M934*2)/100,IF(AND($M934&lt;&gt;"",$N934="MND",$Q934="EMBOQUE"),($AN934*2)/100,0))</f>
        <v>0.9706</v>
      </c>
      <c r="BI934" s="153" t="n">
        <f aca="false">IF(AND($M934&lt;&gt;"",$N934="VCA",$Q934="LINEAR"),$M934,IF(AND($M934&lt;&gt;"",$N934="MND",$Q934="EMBOQUE"),$AN934*2,0))</f>
        <v>48.53</v>
      </c>
      <c r="BJ934" s="153" t="n">
        <f aca="false">IF(AND($M934&lt;&gt;"",$N934="VCA",$Q934="LINEAR"),($M934*6.8)/100,IF(AND($M934&lt;&gt;"",$N934="MND",$Q934="EMBOQUE"),($AN934*2*6.8)/100,0))</f>
        <v>3.30004</v>
      </c>
      <c r="BK934" s="153" t="n">
        <f aca="false">IF(AND($M934&lt;&gt;"",$N934="VCA",$Q934="LINEAR"),($M934*2.5)/50,IF(AND($M934&lt;&gt;"",$N934="MND",$Q934="EMBOQUE"),($AN934*2*2.5)/50,0))</f>
        <v>2.4265</v>
      </c>
      <c r="BL934" s="157" t="str">
        <f aca="false">K934&amp;J934</f>
        <v>Zona08REDES</v>
      </c>
      <c r="BM934" s="152" t="s">
        <v>4834</v>
      </c>
      <c r="BN934" s="152" t="s">
        <v>1560</v>
      </c>
      <c r="BO934" s="152" t="s">
        <v>5062</v>
      </c>
      <c r="BP934" s="152" t="s">
        <v>5086</v>
      </c>
      <c r="BQ934" s="152" t="s">
        <v>5094</v>
      </c>
      <c r="BR934" s="152" t="s">
        <v>5095</v>
      </c>
      <c r="BS934" s="152" t="n">
        <v>202876.681</v>
      </c>
      <c r="BT934" s="152" t="n">
        <v>8236975.712</v>
      </c>
      <c r="BU934" s="152" t="n">
        <v>202899.013</v>
      </c>
      <c r="BV934" s="152" t="n">
        <v>8236937.188</v>
      </c>
      <c r="BW934" s="152" t="n">
        <v>-15.9288733</v>
      </c>
      <c r="BX934" s="152" t="n">
        <v>-47.7750597</v>
      </c>
      <c r="BY934" s="152" t="s">
        <v>5086</v>
      </c>
    </row>
    <row r="935" customFormat="false" ht="13.8" hidden="false" customHeight="false" outlineLevel="0" collapsed="false">
      <c r="A935" s="149" t="n">
        <f aca="false">IF(C935&lt;&gt;"",ROW(A930),"")</f>
        <v>930</v>
      </c>
      <c r="B935" s="150" t="str">
        <f aca="false">HYPERLINK("https://www.google.com/maps/dir/-15.917302,-47.760003/-15.9290367,-47.7779480/data=!4m3!4m2!3e0!5i1")</f>
        <v>https://www.google.com/maps/dir/-15.917302,-47.760003/-15.9290367,-47.7779480/data=!4m3!4m2!3e0!5i1</v>
      </c>
      <c r="C935" s="151" t="s">
        <v>117</v>
      </c>
      <c r="D935" s="152" t="s">
        <v>112</v>
      </c>
      <c r="E935" s="152" t="s">
        <v>113</v>
      </c>
      <c r="F935" s="152" t="s">
        <v>117</v>
      </c>
      <c r="G935" s="152" t="s">
        <v>782</v>
      </c>
      <c r="H935" s="152" t="n">
        <v>63</v>
      </c>
      <c r="I935" s="152" t="s">
        <v>115</v>
      </c>
      <c r="J935" s="152" t="s">
        <v>6</v>
      </c>
      <c r="K935" s="152" t="s">
        <v>4831</v>
      </c>
      <c r="L935" s="152" t="s">
        <v>120</v>
      </c>
      <c r="M935" s="153" t="n">
        <f aca="false">28.27</f>
        <v>28.27</v>
      </c>
      <c r="N935" s="152" t="s">
        <v>1548</v>
      </c>
      <c r="O935" s="152" t="s">
        <v>1549</v>
      </c>
      <c r="P935" s="152" t="s">
        <v>1550</v>
      </c>
      <c r="Q935" s="152" t="s">
        <v>1551</v>
      </c>
      <c r="R935" s="154" t="s">
        <v>5096</v>
      </c>
      <c r="S935" s="154" t="s">
        <v>1553</v>
      </c>
      <c r="T935" s="155" t="s">
        <v>5060</v>
      </c>
      <c r="U935" s="152" t="str">
        <f aca="false">RIGHT(T935,7)</f>
        <v>014/037</v>
      </c>
      <c r="V935" s="152" t="s">
        <v>1555</v>
      </c>
      <c r="W935" s="156" t="n">
        <v>45882</v>
      </c>
      <c r="X935" s="152" t="s">
        <v>1594</v>
      </c>
      <c r="Y935" s="152"/>
      <c r="Z935" s="152" t="s">
        <v>1557</v>
      </c>
      <c r="AA935" s="153" t="n">
        <v>4.3</v>
      </c>
      <c r="AB935" s="151" t="s">
        <v>5097</v>
      </c>
      <c r="AC935" s="151" t="s">
        <v>186</v>
      </c>
      <c r="AD935" s="151" t="str">
        <f aca="false">CONCATENATE($C935,$I935,$H935,$N935,$J935,$K935)</f>
        <v>TUBO PEADPEAD63VCAREDESZona08</v>
      </c>
      <c r="AE935" s="153" t="n">
        <f aca="false">IFERROR(INDEX(APOIO_REDES!$A:$W,MATCH($C935&amp;$I935&amp;$H935&amp;$N935&amp;$O935,APOIO_REDES!$W:$W,0),MATCH(AE$5,APOIO_REDES!$5:$5,0)),0)</f>
        <v>1.2</v>
      </c>
      <c r="AF935" s="153" t="n">
        <f aca="false">IFERROR(INDEX(APOIO_REDES!$A:$W,MATCH($C935&amp;$I935&amp;$H935&amp;$N935&amp;$O935,APOIO_REDES!$W:$W,0),MATCH(AF$5,APOIO_REDES!$5:$5,0)),0)</f>
        <v>1.363</v>
      </c>
      <c r="AG935" s="153" t="n">
        <f aca="false">IFERROR(INDEX(APOIO_REDES!$A:$W,MATCH($C935&amp;$I935&amp;$H935&amp;$N935&amp;$O935,APOIO_REDES!$W:$W,0),MATCH(AG$5,APOIO_REDES!$5:$5,0)),0)</f>
        <v>0.65</v>
      </c>
      <c r="AH935" s="153" t="n">
        <f aca="false">IFERROR(INDEX(APOIO_REDES!$A:$W,MATCH($C935&amp;$I935&amp;$H935&amp;$N935&amp;$O935,APOIO_REDES!$W:$W,0),MATCH(AH$5,APOIO_REDES!$5:$5,0)),0)</f>
        <v>0.1</v>
      </c>
      <c r="AI935" s="153" t="n">
        <f aca="false">IFERROR(IF($H935&lt;&gt;"",(((($H935/1000)/2)^2)*PI()*$M935),0),0)</f>
        <v>0.0881245249285268</v>
      </c>
      <c r="AJ935" s="153" t="n">
        <f aca="false">IFERROR(IF(AND($H935&lt;&gt;"",$I935="FoFo",OR($N935="MND",$N935="VCA"),$Q935="LINEAR"),0,IF(AND($H935&lt;&gt;"",$I935="PEAD",$N935="VCA",$Q935="LINEAR"),($H935/1000)+0.3,IF(AND($H935&lt;&gt;"",$I935="PEAD",$N935="MND",$Q935="EMBOQUE"),0,IF(AND($H935&lt;&gt;"",$I935="PVC",$N935="VCA",$Q935="LINEAR"),($H935/1000)+0.2,IF(AND($H935&lt;&gt;"",$I935="PVC",$N935="MND",$Q935="EMBOQUE"),0,IF(AND($H935&lt;&gt;"",$I935="PEAD",$N935="VCA",$Q935="PREDIAL"),0,0)))))),0)</f>
        <v>0.363</v>
      </c>
      <c r="AK935" s="153" t="n">
        <f aca="false">IF(AA935&lt;&gt;"",AA935,0)</f>
        <v>4.3</v>
      </c>
      <c r="AL935" s="153" t="n">
        <f aca="false">IF(AND($N935="MND",$Q935="EMBOQUE"),$M935,IF(AND($N935="VCA",$Q935="LINEAR"),$M935,IF(AND($N935="VCA",$Q935="PREDIAL"),0,0)))</f>
        <v>28.27</v>
      </c>
      <c r="AM935" s="153" t="n">
        <f aca="false">IF(AND($N935="MND",$Q935="EMBOQUE"),$M935,IF(AND($N935="VCA",$Q935="LINEAR"),$M935,IF(AND($N935="VCA",$Q935="PREDIAL"),0,0)))</f>
        <v>28.27</v>
      </c>
      <c r="AN935" s="153" t="n">
        <f aca="false">ROUND(IF(AND($N935="VCA",$M935&lt;&gt;"",$Q935="LINEAR"),$M935/100,IF(AND($N935="MND",$M935&gt;100,$Q935="EMBOQUE"),$M935/100,0)),0)</f>
        <v>0</v>
      </c>
      <c r="AO935" s="153" t="n">
        <f aca="false">IF(AND($N935="MND",$Q935="EMBOQUE"),$AN935*2*2,IF(AND($N935="VCA",$Q935="LINEAR"),$M935*2,IF(AND($N935="VCA",$Q935="PREDIAL"),0,0)))</f>
        <v>56.54</v>
      </c>
      <c r="AP935" s="153" t="n">
        <f aca="false">IFERROR($M935*$AF935*$AG935,0)</f>
        <v>25.0458065</v>
      </c>
      <c r="AQ935" s="153" t="n">
        <f aca="false">IFERROR(IF(AND($N935="VCA",$AH935&gt;0),$M935*$AG935*$AH935,0),0)</f>
        <v>1.83755</v>
      </c>
      <c r="AR935" s="153" t="n">
        <f aca="false">IFERROR(IF(AND($N935="VCA",$AJ935&gt;0),($M935*$AG935*$AJ935)-$AI935,0),0)</f>
        <v>6.58218197507147</v>
      </c>
      <c r="AS935" s="153" t="n">
        <f aca="false">IFERROR(IF(AND($N935="VCA",$AP935&gt;0),$AP935-$AI935-$AQ935-$AR935,0),0)</f>
        <v>16.53795</v>
      </c>
      <c r="AT935" s="153" t="n">
        <f aca="false">IFERROR(IF($N935="VCA",INDEX(APOIO_REDES!$A:$W,MATCH($C935&amp;$I935&amp;$H935&amp;$N935&amp;$O935,APOIO_REDES!$W:$W,0),MATCH(AT$5,APOIO_REDES!$5:$5,0)),0)*$AP935,0)</f>
        <v>0.272505787900319</v>
      </c>
      <c r="AU935" s="153" t="n">
        <f aca="false">IFERROR(IF($N935="VCA",INDEX(APOIO_REDES!$A:$W,MATCH($C935&amp;$I935&amp;$H935&amp;$N935&amp;$O935,APOIO_REDES!$W:$W,0),MATCH(AU$5,APOIO_REDES!$5:$5,0)),0)*$AP935,0)</f>
        <v>0.217615741824473</v>
      </c>
      <c r="AV935" s="153" t="n">
        <f aca="false">IFERROR(IF($N935="VCA",INDEX(APOIO_REDES!$A:$W,MATCH($C935&amp;$I935&amp;$H935&amp;$N935&amp;$O935,APOIO_REDES!$W:$W,0),MATCH(AV$5,APOIO_REDES!$5:$5,0)),0)*$AP935,0)</f>
        <v>0.0301163103179527</v>
      </c>
      <c r="AW935" s="153" t="n">
        <f aca="false">IFERROR(IF($N935="VCA",INDEX(APOIO_REDES!$A:$W,MATCH($C935&amp;$I935&amp;$H935&amp;$N935&amp;$O935,APOIO_REDES!$W:$W,0),MATCH(AW$5,APOIO_REDES!$5:$5,0)),0)*$AP935,0)</f>
        <v>17.1916356459786</v>
      </c>
      <c r="AX935" s="153" t="n">
        <f aca="false">IFERROR(IF($N935="VCA",INDEX(APOIO_REDES!$A:$W,MATCH($C935&amp;$I935&amp;$H935&amp;$N935&amp;$O935,APOIO_REDES!$W:$W,0),MATCH(AX$5,APOIO_REDES!$5:$5,0)),0)*$AP935,0)</f>
        <v>2.37927340210233</v>
      </c>
      <c r="AY935" s="153" t="n">
        <f aca="false">IFERROR(IF($N935="VCA",INDEX(APOIO_REDES!$A:$W,MATCH($C935&amp;$I935&amp;$H935&amp;$N935&amp;$O935,APOIO_REDES!$W:$W,0),MATCH(AY$5,APOIO_REDES!$5:$5,0)),0)*$AP935,0)</f>
        <v>4.35231218377122</v>
      </c>
      <c r="AZ935" s="153" t="n">
        <f aca="false">IFERROR(IF($N935="VCA",INDEX(APOIO_REDES!$A:$W,MATCH($C935&amp;$I935&amp;$H935&amp;$N935&amp;$O935,APOIO_REDES!$W:$W,0),MATCH(AZ$5,APOIO_REDES!$5:$5,0)),0)*$AP935,0)</f>
        <v>0.602347428105071</v>
      </c>
      <c r="BA935" s="153" t="n">
        <f aca="false">IFERROR(IF(AND($N935="VCA",$Q935="LINEAR"),INDEX(APOIO_REDES!$A:$W,MATCH($C935&amp;$I935&amp;$H935&amp;$N935&amp;$O935,APOIO_REDES!$W:$W,0),MATCH(BA$5,APOIO_REDES!$5:$5,0)),IF(AND($N935="MND",$Q935="EMBOQUE"),INDEX(APOIO_REDES!$A:$W,MATCH($C935&amp;$I935&amp;$H935&amp;$N935&amp;$O935,APOIO_REDES!$W:$W,0),MATCH(BA$5,APOIO_REDES!$5:$5,0)),0))*$M935/10,0)</f>
        <v>2.27849069118039</v>
      </c>
      <c r="BB935" s="153" t="n">
        <f aca="false">IFERROR(IF($N935="VCA",INDEX(APOIO_REDES!$A:$W,MATCH($C935&amp;$I935&amp;$H935&amp;$N935&amp;$O935,APOIO_REDES!$W:$W,0),MATCH(BB$5,APOIO_REDES!$5:$5,0)),0)*($AI935+$AQ935+$AR935),0)</f>
        <v>8.41528850308302</v>
      </c>
      <c r="BC935" s="153" t="n">
        <f aca="false">IFERROR(IF($N935="VCA",INDEX(APOIO_REDES!$A:$W,MATCH($C935&amp;$I935&amp;$H935&amp;$N935&amp;$O935,APOIO_REDES!$W:$W,0),MATCH(BC$5,APOIO_REDES!$5:$5,0)),0)*($AI935+$AQ935+$AR935),0)</f>
        <v>0.0925679969169829</v>
      </c>
      <c r="BD935" s="153" t="n">
        <f aca="false">IF(AND($N935="VCA",$AF935&gt;=1.25,$AF935&lt;1.5),$M935*$AF935*2,0)</f>
        <v>77.06402</v>
      </c>
      <c r="BE935" s="153" t="n">
        <f aca="false">IF(AND($N935="VCA",$AF935&gt;=1.5,$AF935&lt;3),$M935*$AF935*2,0)</f>
        <v>0</v>
      </c>
      <c r="BF935" s="153" t="n">
        <f aca="false">IF(AND($N935="VCA",$AF935&gt;=3),$M935*$AF935*2,0)</f>
        <v>0</v>
      </c>
      <c r="BG935" s="153" t="n">
        <f aca="false">($BB935+$BC935)*$AK935</f>
        <v>36.58378295</v>
      </c>
      <c r="BH935" s="153" t="n">
        <f aca="false">IF(AND($M935&lt;&gt;"",$N935="VCA",$Q935="LINEAR"),($M935*2)/100,IF(AND($M935&lt;&gt;"",$N935="MND",$Q935="EMBOQUE"),($AN935*2)/100,0))</f>
        <v>0.5654</v>
      </c>
      <c r="BI935" s="153" t="n">
        <f aca="false">IF(AND($M935&lt;&gt;"",$N935="VCA",$Q935="LINEAR"),$M935,IF(AND($M935&lt;&gt;"",$N935="MND",$Q935="EMBOQUE"),$AN935*2,0))</f>
        <v>28.27</v>
      </c>
      <c r="BJ935" s="153" t="n">
        <f aca="false">IF(AND($M935&lt;&gt;"",$N935="VCA",$Q935="LINEAR"),($M935*6.8)/100,IF(AND($M935&lt;&gt;"",$N935="MND",$Q935="EMBOQUE"),($AN935*2*6.8)/100,0))</f>
        <v>1.92236</v>
      </c>
      <c r="BK935" s="153" t="n">
        <f aca="false">IF(AND($M935&lt;&gt;"",$N935="VCA",$Q935="LINEAR"),($M935*2.5)/50,IF(AND($M935&lt;&gt;"",$N935="MND",$Q935="EMBOQUE"),($AN935*2*2.5)/50,0))</f>
        <v>1.4135</v>
      </c>
      <c r="BL935" s="157" t="str">
        <f aca="false">K935&amp;J935</f>
        <v>Zona08REDES</v>
      </c>
      <c r="BM935" s="152" t="s">
        <v>4834</v>
      </c>
      <c r="BN935" s="152" t="s">
        <v>1560</v>
      </c>
      <c r="BO935" s="152" t="s">
        <v>5062</v>
      </c>
      <c r="BP935" s="152" t="s">
        <v>5098</v>
      </c>
      <c r="BQ935" s="152" t="s">
        <v>5090</v>
      </c>
      <c r="BR935" s="152" t="s">
        <v>5091</v>
      </c>
      <c r="BS935" s="152" t="n">
        <v>202578.647</v>
      </c>
      <c r="BT935" s="152" t="n">
        <v>8236934.248</v>
      </c>
      <c r="BU935" s="152" t="n">
        <v>202574.009</v>
      </c>
      <c r="BV935" s="152" t="n">
        <v>8236962.14</v>
      </c>
      <c r="BW935" s="152" t="n">
        <v>-15.9289105</v>
      </c>
      <c r="BX935" s="152" t="n">
        <v>-47.7779679</v>
      </c>
      <c r="BY935" s="152" t="s">
        <v>5098</v>
      </c>
    </row>
    <row r="936" customFormat="false" ht="13.8" hidden="false" customHeight="false" outlineLevel="0" collapsed="false">
      <c r="A936" s="149" t="n">
        <f aca="false">IF(C936&lt;&gt;"",ROW(A931),"")</f>
        <v>931</v>
      </c>
      <c r="B936" s="150" t="str">
        <f aca="false">HYPERLINK("https://www.google.com/maps/dir/-15.917302,-47.760003/-15.9287421,-47.7755737/data=!4m3!4m2!3e0!5i1")</f>
        <v>https://www.google.com/maps/dir/-15.917302,-47.760003/-15.9287421,-47.7755737/data=!4m3!4m2!3e0!5i1</v>
      </c>
      <c r="C936" s="151" t="s">
        <v>117</v>
      </c>
      <c r="D936" s="152" t="s">
        <v>112</v>
      </c>
      <c r="E936" s="152" t="s">
        <v>113</v>
      </c>
      <c r="F936" s="152" t="s">
        <v>117</v>
      </c>
      <c r="G936" s="152" t="s">
        <v>782</v>
      </c>
      <c r="H936" s="152" t="n">
        <v>63</v>
      </c>
      <c r="I936" s="152" t="s">
        <v>115</v>
      </c>
      <c r="J936" s="152" t="s">
        <v>6</v>
      </c>
      <c r="K936" s="152" t="s">
        <v>4831</v>
      </c>
      <c r="L936" s="152" t="s">
        <v>120</v>
      </c>
      <c r="M936" s="153" t="n">
        <f aca="false">269.96</f>
        <v>269.96</v>
      </c>
      <c r="N936" s="152" t="s">
        <v>1548</v>
      </c>
      <c r="O936" s="152" t="s">
        <v>1549</v>
      </c>
      <c r="P936" s="152" t="s">
        <v>1550</v>
      </c>
      <c r="Q936" s="152" t="s">
        <v>1551</v>
      </c>
      <c r="R936" s="154" t="s">
        <v>5099</v>
      </c>
      <c r="S936" s="154" t="s">
        <v>1553</v>
      </c>
      <c r="T936" s="155" t="s">
        <v>5060</v>
      </c>
      <c r="U936" s="152" t="str">
        <f aca="false">RIGHT(T936,7)</f>
        <v>014/037</v>
      </c>
      <c r="V936" s="152" t="s">
        <v>1555</v>
      </c>
      <c r="W936" s="156" t="n">
        <v>45882</v>
      </c>
      <c r="X936" s="152" t="s">
        <v>1594</v>
      </c>
      <c r="Y936" s="152"/>
      <c r="Z936" s="152" t="s">
        <v>1557</v>
      </c>
      <c r="AA936" s="153" t="n">
        <v>4.1</v>
      </c>
      <c r="AB936" s="151" t="s">
        <v>5100</v>
      </c>
      <c r="AC936" s="151" t="s">
        <v>186</v>
      </c>
      <c r="AD936" s="151" t="str">
        <f aca="false">CONCATENATE($C936,$I936,$H936,$N936,$J936,$K936)</f>
        <v>TUBO PEADPEAD63VCAREDESZona08</v>
      </c>
      <c r="AE936" s="153" t="n">
        <f aca="false">IFERROR(INDEX(APOIO_REDES!$A:$W,MATCH($C936&amp;$I936&amp;$H936&amp;$N936&amp;$O936,APOIO_REDES!$W:$W,0),MATCH(AE$5,APOIO_REDES!$5:$5,0)),0)</f>
        <v>1.2</v>
      </c>
      <c r="AF936" s="153" t="n">
        <f aca="false">IFERROR(INDEX(APOIO_REDES!$A:$W,MATCH($C936&amp;$I936&amp;$H936&amp;$N936&amp;$O936,APOIO_REDES!$W:$W,0),MATCH(AF$5,APOIO_REDES!$5:$5,0)),0)</f>
        <v>1.363</v>
      </c>
      <c r="AG936" s="153" t="n">
        <f aca="false">IFERROR(INDEX(APOIO_REDES!$A:$W,MATCH($C936&amp;$I936&amp;$H936&amp;$N936&amp;$O936,APOIO_REDES!$W:$W,0),MATCH(AG$5,APOIO_REDES!$5:$5,0)),0)</f>
        <v>0.65</v>
      </c>
      <c r="AH936" s="153" t="n">
        <f aca="false">IFERROR(INDEX(APOIO_REDES!$A:$W,MATCH($C936&amp;$I936&amp;$H936&amp;$N936&amp;$O936,APOIO_REDES!$W:$W,0),MATCH(AH$5,APOIO_REDES!$5:$5,0)),0)</f>
        <v>0.1</v>
      </c>
      <c r="AI936" s="153" t="n">
        <f aca="false">IFERROR(IF($H936&lt;&gt;"",(((($H936/1000)/2)^2)*PI()*$M936),0),0)</f>
        <v>0.841531544029187</v>
      </c>
      <c r="AJ936" s="153" t="n">
        <f aca="false">IFERROR(IF(AND($H936&lt;&gt;"",$I936="FoFo",OR($N936="MND",$N936="VCA"),$Q936="LINEAR"),0,IF(AND($H936&lt;&gt;"",$I936="PEAD",$N936="VCA",$Q936="LINEAR"),($H936/1000)+0.3,IF(AND($H936&lt;&gt;"",$I936="PEAD",$N936="MND",$Q936="EMBOQUE"),0,IF(AND($H936&lt;&gt;"",$I936="PVC",$N936="VCA",$Q936="LINEAR"),($H936/1000)+0.2,IF(AND($H936&lt;&gt;"",$I936="PVC",$N936="MND",$Q936="EMBOQUE"),0,IF(AND($H936&lt;&gt;"",$I936="PEAD",$N936="VCA",$Q936="PREDIAL"),0,0)))))),0)</f>
        <v>0.363</v>
      </c>
      <c r="AK936" s="153" t="n">
        <f aca="false">IF(AA936&lt;&gt;"",AA936,0)</f>
        <v>4.1</v>
      </c>
      <c r="AL936" s="153" t="n">
        <f aca="false">IF(AND($N936="MND",$Q936="EMBOQUE"),$M936,IF(AND($N936="VCA",$Q936="LINEAR"),$M936,IF(AND($N936="VCA",$Q936="PREDIAL"),0,0)))</f>
        <v>269.96</v>
      </c>
      <c r="AM936" s="153" t="n">
        <f aca="false">IF(AND($N936="MND",$Q936="EMBOQUE"),$M936,IF(AND($N936="VCA",$Q936="LINEAR"),$M936,IF(AND($N936="VCA",$Q936="PREDIAL"),0,0)))</f>
        <v>269.96</v>
      </c>
      <c r="AN936" s="153" t="n">
        <f aca="false">ROUND(IF(AND($N936="VCA",$M936&lt;&gt;"",$Q936="LINEAR"),$M936/100,IF(AND($N936="MND",$M936&gt;100,$Q936="EMBOQUE"),$M936/100,0)),0)</f>
        <v>3</v>
      </c>
      <c r="AO936" s="153" t="n">
        <f aca="false">IF(AND($N936="MND",$Q936="EMBOQUE"),$AN936*2*2,IF(AND($N936="VCA",$Q936="LINEAR"),$M936*2,IF(AND($N936="VCA",$Q936="PREDIAL"),0,0)))</f>
        <v>539.92</v>
      </c>
      <c r="AP936" s="153" t="n">
        <f aca="false">IFERROR($M936*$AF936*$AG936,0)</f>
        <v>239.171062</v>
      </c>
      <c r="AQ936" s="153" t="n">
        <f aca="false">IFERROR(IF(AND($N936="VCA",$AH936&gt;0),$M936*$AG936*$AH936,0),0)</f>
        <v>17.5474</v>
      </c>
      <c r="AR936" s="153" t="n">
        <f aca="false">IFERROR(IF(AND($N936="VCA",$AJ936&gt;0),($M936*$AG936*$AJ936)-$AI936,0),0)</f>
        <v>62.8555304559708</v>
      </c>
      <c r="AS936" s="153" t="n">
        <f aca="false">IFERROR(IF(AND($N936="VCA",$AP936&gt;0),$AP936-$AI936-$AQ936-$AR936,0),0)</f>
        <v>157.9266</v>
      </c>
      <c r="AT936" s="153" t="n">
        <f aca="false">IFERROR(IF($N936="VCA",INDEX(APOIO_REDES!$A:$W,MATCH($C936&amp;$I936&amp;$H936&amp;$N936&amp;$O936,APOIO_REDES!$W:$W,0),MATCH(AT$5,APOIO_REDES!$5:$5,0)),0)*$AP936,0)</f>
        <v>2.60225194558083</v>
      </c>
      <c r="AU936" s="153" t="n">
        <f aca="false">IFERROR(IF($N936="VCA",INDEX(APOIO_REDES!$A:$W,MATCH($C936&amp;$I936&amp;$H936&amp;$N936&amp;$O936,APOIO_REDES!$W:$W,0),MATCH(AU$5,APOIO_REDES!$5:$5,0)),0)*$AP936,0)</f>
        <v>2.07808792582012</v>
      </c>
      <c r="AV936" s="153" t="n">
        <f aca="false">IFERROR(IF($N936="VCA",INDEX(APOIO_REDES!$A:$W,MATCH($C936&amp;$I936&amp;$H936&amp;$N936&amp;$O936,APOIO_REDES!$W:$W,0),MATCH(AV$5,APOIO_REDES!$5:$5,0)),0)*$AP936,0)</f>
        <v>0.287591055303661</v>
      </c>
      <c r="AW936" s="153" t="n">
        <f aca="false">IFERROR(IF($N936="VCA",INDEX(APOIO_REDES!$A:$W,MATCH($C936&amp;$I936&amp;$H936&amp;$N936&amp;$O936,APOIO_REDES!$W:$W,0),MATCH(AW$5,APOIO_REDES!$5:$5,0)),0)*$AP936,0)</f>
        <v>164.16887014462</v>
      </c>
      <c r="AX936" s="153" t="n">
        <f aca="false">IFERROR(IF($N936="VCA",INDEX(APOIO_REDES!$A:$W,MATCH($C936&amp;$I936&amp;$H936&amp;$N936&amp;$O936,APOIO_REDES!$W:$W,0),MATCH(AX$5,APOIO_REDES!$5:$5,0)),0)*$AP936,0)</f>
        <v>22.7205039841367</v>
      </c>
      <c r="AY936" s="153" t="n">
        <f aca="false">IFERROR(IF($N936="VCA",INDEX(APOIO_REDES!$A:$W,MATCH($C936&amp;$I936&amp;$H936&amp;$N936&amp;$O936,APOIO_REDES!$W:$W,0),MATCH(AY$5,APOIO_REDES!$5:$5,0)),0)*$AP936,0)</f>
        <v>41.5617331846791</v>
      </c>
      <c r="AZ936" s="153" t="n">
        <f aca="false">IFERROR(IF($N936="VCA",INDEX(APOIO_REDES!$A:$W,MATCH($C936&amp;$I936&amp;$H936&amp;$N936&amp;$O936,APOIO_REDES!$W:$W,0),MATCH(AZ$5,APOIO_REDES!$5:$5,0)),0)*$AP936,0)</f>
        <v>5.7520237598601</v>
      </c>
      <c r="BA936" s="153" t="n">
        <f aca="false">IFERROR(IF(AND($N936="VCA",$Q936="LINEAR"),INDEX(APOIO_REDES!$A:$W,MATCH($C936&amp;$I936&amp;$H936&amp;$N936&amp;$O936,APOIO_REDES!$W:$W,0),MATCH(BA$5,APOIO_REDES!$5:$5,0)),IF(AND($N936="MND",$Q936="EMBOQUE"),INDEX(APOIO_REDES!$A:$W,MATCH($C936&amp;$I936&amp;$H936&amp;$N936&amp;$O936,APOIO_REDES!$W:$W,0),MATCH(BA$5,APOIO_REDES!$5:$5,0)),0))*$M936/10,0)</f>
        <v>21.7580950474375</v>
      </c>
      <c r="BB936" s="153" t="n">
        <f aca="false">IFERROR(IF($N936="VCA",INDEX(APOIO_REDES!$A:$W,MATCH($C936&amp;$I936&amp;$H936&amp;$N936&amp;$O936,APOIO_REDES!$W:$W,0),MATCH(BB$5,APOIO_REDES!$5:$5,0)),0)*($AI936+$AQ936+$AR936),0)</f>
        <v>80.3604982063067</v>
      </c>
      <c r="BC936" s="153" t="n">
        <f aca="false">IFERROR(IF($N936="VCA",INDEX(APOIO_REDES!$A:$W,MATCH($C936&amp;$I936&amp;$H936&amp;$N936&amp;$O936,APOIO_REDES!$W:$W,0),MATCH(BC$5,APOIO_REDES!$5:$5,0)),0)*($AI936+$AQ936+$AR936),0)</f>
        <v>0.883963793693269</v>
      </c>
      <c r="BD936" s="153" t="n">
        <f aca="false">IF(AND($N936="VCA",$AF936&gt;=1.25,$AF936&lt;1.5),$M936*$AF936*2,0)</f>
        <v>735.91096</v>
      </c>
      <c r="BE936" s="153" t="n">
        <f aca="false">IF(AND($N936="VCA",$AF936&gt;=1.5,$AF936&lt;3),$M936*$AF936*2,0)</f>
        <v>0</v>
      </c>
      <c r="BF936" s="153" t="n">
        <f aca="false">IF(AND($N936="VCA",$AF936&gt;=3),$M936*$AF936*2,0)</f>
        <v>0</v>
      </c>
      <c r="BG936" s="153" t="n">
        <f aca="false">($BB936+$BC936)*$AK936</f>
        <v>333.1022942</v>
      </c>
      <c r="BH936" s="153" t="n">
        <f aca="false">IF(AND($M936&lt;&gt;"",$N936="VCA",$Q936="LINEAR"),($M936*2)/100,IF(AND($M936&lt;&gt;"",$N936="MND",$Q936="EMBOQUE"),($AN936*2)/100,0))</f>
        <v>5.3992</v>
      </c>
      <c r="BI936" s="153" t="n">
        <f aca="false">IF(AND($M936&lt;&gt;"",$N936="VCA",$Q936="LINEAR"),$M936,IF(AND($M936&lt;&gt;"",$N936="MND",$Q936="EMBOQUE"),$AN936*2,0))</f>
        <v>269.96</v>
      </c>
      <c r="BJ936" s="153" t="n">
        <f aca="false">IF(AND($M936&lt;&gt;"",$N936="VCA",$Q936="LINEAR"),($M936*6.8)/100,IF(AND($M936&lt;&gt;"",$N936="MND",$Q936="EMBOQUE"),($AN936*2*6.8)/100,0))</f>
        <v>18.35728</v>
      </c>
      <c r="BK936" s="153" t="n">
        <f aca="false">IF(AND($M936&lt;&gt;"",$N936="VCA",$Q936="LINEAR"),($M936*2.5)/50,IF(AND($M936&lt;&gt;"",$N936="MND",$Q936="EMBOQUE"),($AN936*2*2.5)/50,0))</f>
        <v>13.498</v>
      </c>
      <c r="BL936" s="157" t="str">
        <f aca="false">K936&amp;J936</f>
        <v>Zona08REDES</v>
      </c>
      <c r="BM936" s="152" t="s">
        <v>4834</v>
      </c>
      <c r="BN936" s="152" t="s">
        <v>1560</v>
      </c>
      <c r="BO936" s="152" t="s">
        <v>5062</v>
      </c>
      <c r="BP936" s="152" t="s">
        <v>5075</v>
      </c>
      <c r="BQ936" s="152" t="s">
        <v>5098</v>
      </c>
      <c r="BR936" s="152" t="s">
        <v>5101</v>
      </c>
      <c r="BS936" s="152" t="n">
        <v>202832.589</v>
      </c>
      <c r="BT936" s="152" t="n">
        <v>8236970.253</v>
      </c>
      <c r="BU936" s="152" t="n">
        <v>202578.647</v>
      </c>
      <c r="BV936" s="152" t="n">
        <v>8236934.248</v>
      </c>
      <c r="BW936" s="152" t="n">
        <v>-15.9290058</v>
      </c>
      <c r="BX936" s="152" t="n">
        <v>-47.7768034</v>
      </c>
      <c r="BY936" s="152" t="s">
        <v>5075</v>
      </c>
    </row>
    <row r="937" customFormat="false" ht="13.8" hidden="false" customHeight="false" outlineLevel="0" collapsed="false">
      <c r="A937" s="149" t="n">
        <f aca="false">IF(C937&lt;&gt;"",ROW(A932),"")</f>
        <v>932</v>
      </c>
      <c r="B937" s="150" t="str">
        <f aca="false">HYPERLINK("https://www.google.com/maps/dir/-15.917302,-47.760003/-15.9287421,-47.7755737/data=!4m3!4m2!3e0!5i1")</f>
        <v>https://www.google.com/maps/dir/-15.917302,-47.760003/-15.9287421,-47.7755737/data=!4m3!4m2!3e0!5i1</v>
      </c>
      <c r="C937" s="151" t="s">
        <v>117</v>
      </c>
      <c r="D937" s="152" t="s">
        <v>112</v>
      </c>
      <c r="E937" s="152" t="s">
        <v>113</v>
      </c>
      <c r="F937" s="152" t="s">
        <v>117</v>
      </c>
      <c r="G937" s="152" t="s">
        <v>782</v>
      </c>
      <c r="H937" s="152" t="n">
        <v>63</v>
      </c>
      <c r="I937" s="152" t="s">
        <v>115</v>
      </c>
      <c r="J937" s="152" t="s">
        <v>6</v>
      </c>
      <c r="K937" s="152" t="s">
        <v>4831</v>
      </c>
      <c r="L937" s="152" t="s">
        <v>120</v>
      </c>
      <c r="M937" s="153" t="n">
        <f aca="false">107.38+4.05</f>
        <v>111.43</v>
      </c>
      <c r="N937" s="152" t="s">
        <v>1548</v>
      </c>
      <c r="O937" s="152" t="s">
        <v>1549</v>
      </c>
      <c r="P937" s="152" t="s">
        <v>1550</v>
      </c>
      <c r="Q937" s="152" t="s">
        <v>1551</v>
      </c>
      <c r="R937" s="154" t="s">
        <v>5102</v>
      </c>
      <c r="S937" s="154" t="s">
        <v>1553</v>
      </c>
      <c r="T937" s="155" t="s">
        <v>5060</v>
      </c>
      <c r="U937" s="152" t="str">
        <f aca="false">RIGHT(T937,7)</f>
        <v>014/037</v>
      </c>
      <c r="V937" s="152" t="s">
        <v>1555</v>
      </c>
      <c r="W937" s="156" t="n">
        <v>45882</v>
      </c>
      <c r="X937" s="152" t="s">
        <v>1594</v>
      </c>
      <c r="Y937" s="152"/>
      <c r="Z937" s="152" t="s">
        <v>1557</v>
      </c>
      <c r="AA937" s="153" t="n">
        <v>4.1</v>
      </c>
      <c r="AB937" s="151" t="s">
        <v>5103</v>
      </c>
      <c r="AC937" s="151" t="s">
        <v>186</v>
      </c>
      <c r="AD937" s="151" t="str">
        <f aca="false">CONCATENATE($C937,$I937,$H937,$N937,$J937,$K937)</f>
        <v>TUBO PEADPEAD63VCAREDESZona08</v>
      </c>
      <c r="AE937" s="153" t="n">
        <f aca="false">IFERROR(INDEX(APOIO_REDES!$A:$W,MATCH($C937&amp;$I937&amp;$H937&amp;$N937&amp;$O937,APOIO_REDES!$W:$W,0),MATCH(AE$5,APOIO_REDES!$5:$5,0)),0)</f>
        <v>1.2</v>
      </c>
      <c r="AF937" s="153" t="n">
        <f aca="false">IFERROR(INDEX(APOIO_REDES!$A:$W,MATCH($C937&amp;$I937&amp;$H937&amp;$N937&amp;$O937,APOIO_REDES!$W:$W,0),MATCH(AF$5,APOIO_REDES!$5:$5,0)),0)</f>
        <v>1.363</v>
      </c>
      <c r="AG937" s="153" t="n">
        <f aca="false">IFERROR(INDEX(APOIO_REDES!$A:$W,MATCH($C937&amp;$I937&amp;$H937&amp;$N937&amp;$O937,APOIO_REDES!$W:$W,0),MATCH(AG$5,APOIO_REDES!$5:$5,0)),0)</f>
        <v>0.65</v>
      </c>
      <c r="AH937" s="153" t="n">
        <f aca="false">IFERROR(INDEX(APOIO_REDES!$A:$W,MATCH($C937&amp;$I937&amp;$H937&amp;$N937&amp;$O937,APOIO_REDES!$W:$W,0),MATCH(AH$5,APOIO_REDES!$5:$5,0)),0)</f>
        <v>0.1</v>
      </c>
      <c r="AI937" s="153" t="n">
        <f aca="false">IFERROR(IF($H937&lt;&gt;"",(((($H937/1000)/2)^2)*PI()*$M937),0),0)</f>
        <v>0.347354644951742</v>
      </c>
      <c r="AJ937" s="153" t="n">
        <f aca="false">IFERROR(IF(AND($H937&lt;&gt;"",$I937="FoFo",OR($N937="MND",$N937="VCA"),$Q937="LINEAR"),0,IF(AND($H937&lt;&gt;"",$I937="PEAD",$N937="VCA",$Q937="LINEAR"),($H937/1000)+0.3,IF(AND($H937&lt;&gt;"",$I937="PEAD",$N937="MND",$Q937="EMBOQUE"),0,IF(AND($H937&lt;&gt;"",$I937="PVC",$N937="VCA",$Q937="LINEAR"),($H937/1000)+0.2,IF(AND($H937&lt;&gt;"",$I937="PVC",$N937="MND",$Q937="EMBOQUE"),0,IF(AND($H937&lt;&gt;"",$I937="PEAD",$N937="VCA",$Q937="PREDIAL"),0,0)))))),0)</f>
        <v>0.363</v>
      </c>
      <c r="AK937" s="153" t="n">
        <f aca="false">IF(AA937&lt;&gt;"",AA937,0)</f>
        <v>4.1</v>
      </c>
      <c r="AL937" s="153" t="n">
        <f aca="false">IF(AND($N937="MND",$Q937="EMBOQUE"),$M937,IF(AND($N937="VCA",$Q937="LINEAR"),$M937,IF(AND($N937="VCA",$Q937="PREDIAL"),0,0)))</f>
        <v>111.43</v>
      </c>
      <c r="AM937" s="153" t="n">
        <f aca="false">IF(AND($N937="MND",$Q937="EMBOQUE"),$M937,IF(AND($N937="VCA",$Q937="LINEAR"),$M937,IF(AND($N937="VCA",$Q937="PREDIAL"),0,0)))</f>
        <v>111.43</v>
      </c>
      <c r="AN937" s="153" t="n">
        <f aca="false">ROUND(IF(AND($N937="VCA",$M937&lt;&gt;"",$Q937="LINEAR"),$M937/100,IF(AND($N937="MND",$M937&gt;100,$Q937="EMBOQUE"),$M937/100,0)),0)</f>
        <v>1</v>
      </c>
      <c r="AO937" s="153" t="n">
        <f aca="false">IF(AND($N937="MND",$Q937="EMBOQUE"),$AN937*2*2,IF(AND($N937="VCA",$Q937="LINEAR"),$M937*2,IF(AND($N937="VCA",$Q937="PREDIAL"),0,0)))</f>
        <v>222.86</v>
      </c>
      <c r="AP937" s="153" t="n">
        <f aca="false">IFERROR($M937*$AF937*$AG937,0)</f>
        <v>98.7214085</v>
      </c>
      <c r="AQ937" s="153" t="n">
        <f aca="false">IFERROR(IF(AND($N937="VCA",$AH937&gt;0),$M937*$AG937*$AH937,0),0)</f>
        <v>7.24295</v>
      </c>
      <c r="AR937" s="153" t="n">
        <f aca="false">IFERROR(IF(AND($N937="VCA",$AJ937&gt;0),($M937*$AG937*$AJ937)-$AI937,0),0)</f>
        <v>25.9445538550483</v>
      </c>
      <c r="AS937" s="153" t="n">
        <f aca="false">IFERROR(IF(AND($N937="VCA",$AP937&gt;0),$AP937-$AI937-$AQ937-$AR937,0),0)</f>
        <v>65.18655</v>
      </c>
      <c r="AT937" s="153" t="n">
        <f aca="false">IFERROR(IF($N937="VCA",INDEX(APOIO_REDES!$A:$W,MATCH($C937&amp;$I937&amp;$H937&amp;$N937&amp;$O937,APOIO_REDES!$W:$W,0),MATCH(AT$5,APOIO_REDES!$5:$5,0)),0)*$AP937,0)</f>
        <v>1.07411814452538</v>
      </c>
      <c r="AU937" s="153" t="n">
        <f aca="false">IFERROR(IF($N937="VCA",INDEX(APOIO_REDES!$A:$W,MATCH($C937&amp;$I937&amp;$H937&amp;$N937&amp;$O937,APOIO_REDES!$W:$W,0),MATCH(AU$5,APOIO_REDES!$5:$5,0)),0)*$AP937,0)</f>
        <v>0.857761659409305</v>
      </c>
      <c r="AV937" s="153" t="n">
        <f aca="false">IFERROR(IF($N937="VCA",INDEX(APOIO_REDES!$A:$W,MATCH($C937&amp;$I937&amp;$H937&amp;$N937&amp;$O937,APOIO_REDES!$W:$W,0),MATCH(AV$5,APOIO_REDES!$5:$5,0)),0)*$AP937,0)</f>
        <v>0.118707479969206</v>
      </c>
      <c r="AW937" s="153" t="n">
        <f aca="false">IFERROR(IF($N937="VCA",INDEX(APOIO_REDES!$A:$W,MATCH($C937&amp;$I937&amp;$H937&amp;$N937&amp;$O937,APOIO_REDES!$W:$W,0),MATCH(AW$5,APOIO_REDES!$5:$5,0)),0)*$AP937,0)</f>
        <v>67.7631397251998</v>
      </c>
      <c r="AX937" s="153" t="n">
        <f aca="false">IFERROR(IF($N937="VCA",INDEX(APOIO_REDES!$A:$W,MATCH($C937&amp;$I937&amp;$H937&amp;$N937&amp;$O937,APOIO_REDES!$W:$W,0),MATCH(AX$5,APOIO_REDES!$5:$5,0)),0)*$AP937,0)</f>
        <v>9.37822551101036</v>
      </c>
      <c r="AY937" s="153" t="n">
        <f aca="false">IFERROR(IF($N937="VCA",INDEX(APOIO_REDES!$A:$W,MATCH($C937&amp;$I937&amp;$H937&amp;$N937&amp;$O937,APOIO_REDES!$W:$W,0),MATCH(AY$5,APOIO_REDES!$5:$5,0)),0)*$AP937,0)</f>
        <v>17.155222732141</v>
      </c>
      <c r="AZ937" s="153" t="n">
        <f aca="false">IFERROR(IF($N937="VCA",INDEX(APOIO_REDES!$A:$W,MATCH($C937&amp;$I937&amp;$H937&amp;$N937&amp;$O937,APOIO_REDES!$W:$W,0),MATCH(AZ$5,APOIO_REDES!$5:$5,0)),0)*$AP937,0)</f>
        <v>2.37423324774489</v>
      </c>
      <c r="BA937" s="153" t="n">
        <f aca="false">IFERROR(IF(AND($N937="VCA",$Q937="LINEAR"),INDEX(APOIO_REDES!$A:$W,MATCH($C937&amp;$I937&amp;$H937&amp;$N937&amp;$O937,APOIO_REDES!$W:$W,0),MATCH(BA$5,APOIO_REDES!$5:$5,0)),IF(AND($N937="MND",$Q937="EMBOQUE"),INDEX(APOIO_REDES!$A:$W,MATCH($C937&amp;$I937&amp;$H937&amp;$N937&amp;$O937,APOIO_REDES!$W:$W,0),MATCH(BA$5,APOIO_REDES!$5:$5,0)),0))*$M937/10,0)</f>
        <v>8.98097692671492</v>
      </c>
      <c r="BB937" s="153" t="n">
        <f aca="false">IFERROR(IF($N937="VCA",INDEX(APOIO_REDES!$A:$W,MATCH($C937&amp;$I937&amp;$H937&amp;$N937&amp;$O937,APOIO_REDES!$W:$W,0),MATCH(BB$5,APOIO_REDES!$5:$5,0)),0)*($AI937+$AQ937+$AR937),0)</f>
        <v>33.1699893137085</v>
      </c>
      <c r="BC937" s="153" t="n">
        <f aca="false">IFERROR(IF($N937="VCA",INDEX(APOIO_REDES!$A:$W,MATCH($C937&amp;$I937&amp;$H937&amp;$N937&amp;$O937,APOIO_REDES!$W:$W,0),MATCH(BC$5,APOIO_REDES!$5:$5,0)),0)*($AI937+$AQ937+$AR937),0)</f>
        <v>0.364869186291454</v>
      </c>
      <c r="BD937" s="153" t="n">
        <f aca="false">IF(AND($N937="VCA",$AF937&gt;=1.25,$AF937&lt;1.5),$M937*$AF937*2,0)</f>
        <v>303.75818</v>
      </c>
      <c r="BE937" s="153" t="n">
        <f aca="false">IF(AND($N937="VCA",$AF937&gt;=1.5,$AF937&lt;3),$M937*$AF937*2,0)</f>
        <v>0</v>
      </c>
      <c r="BF937" s="153" t="n">
        <f aca="false">IF(AND($N937="VCA",$AF937&gt;=3),$M937*$AF937*2,0)</f>
        <v>0</v>
      </c>
      <c r="BG937" s="153" t="n">
        <f aca="false">($BB937+$BC937)*$AK937</f>
        <v>137.49291985</v>
      </c>
      <c r="BH937" s="153" t="n">
        <f aca="false">IF(AND($M937&lt;&gt;"",$N937="VCA",$Q937="LINEAR"),($M937*2)/100,IF(AND($M937&lt;&gt;"",$N937="MND",$Q937="EMBOQUE"),($AN937*2)/100,0))</f>
        <v>2.2286</v>
      </c>
      <c r="BI937" s="153" t="n">
        <f aca="false">IF(AND($M937&lt;&gt;"",$N937="VCA",$Q937="LINEAR"),$M937,IF(AND($M937&lt;&gt;"",$N937="MND",$Q937="EMBOQUE"),$AN937*2,0))</f>
        <v>111.43</v>
      </c>
      <c r="BJ937" s="153" t="n">
        <f aca="false">IF(AND($M937&lt;&gt;"",$N937="VCA",$Q937="LINEAR"),($M937*6.8)/100,IF(AND($M937&lt;&gt;"",$N937="MND",$Q937="EMBOQUE"),($AN937*2*6.8)/100,0))</f>
        <v>7.57724</v>
      </c>
      <c r="BK937" s="153" t="n">
        <f aca="false">IF(AND($M937&lt;&gt;"",$N937="VCA",$Q937="LINEAR"),($M937*2.5)/50,IF(AND($M937&lt;&gt;"",$N937="MND",$Q937="EMBOQUE"),($AN937*2*2.5)/50,0))</f>
        <v>5.5715</v>
      </c>
      <c r="BL937" s="157" t="str">
        <f aca="false">K937&amp;J937</f>
        <v>Zona08REDES</v>
      </c>
      <c r="BM937" s="152" t="s">
        <v>4834</v>
      </c>
      <c r="BN937" s="152" t="s">
        <v>1560</v>
      </c>
      <c r="BO937" s="152" t="s">
        <v>5062</v>
      </c>
      <c r="BP937" s="152" t="s">
        <v>5075</v>
      </c>
      <c r="BQ937" s="152" t="s">
        <v>5104</v>
      </c>
      <c r="BR937" s="152" t="s">
        <v>5105</v>
      </c>
      <c r="BS937" s="152" t="n">
        <v>202832.589</v>
      </c>
      <c r="BT937" s="152" t="n">
        <v>8236970.253</v>
      </c>
      <c r="BU937" s="152" t="n">
        <v>202854.418</v>
      </c>
      <c r="BV937" s="152" t="n">
        <v>8236865.13</v>
      </c>
      <c r="BW937" s="152" t="n">
        <v>-15.9292174</v>
      </c>
      <c r="BX937" s="152" t="n">
        <v>-47.7754748</v>
      </c>
      <c r="BY937" s="152" t="s">
        <v>5075</v>
      </c>
    </row>
    <row r="938" customFormat="false" ht="13.8" hidden="false" customHeight="false" outlineLevel="0" collapsed="false">
      <c r="A938" s="149" t="n">
        <f aca="false">IF(C938&lt;&gt;"",ROW(A933),"")</f>
        <v>933</v>
      </c>
      <c r="B938" s="150" t="str">
        <f aca="false">HYPERLINK("https://www.google.com/maps/dir/-15.917302,-47.760003/-15.9272799,-47.7725400/data=!4m3!4m2!3e0!5i0")</f>
        <v>https://www.google.com/maps/dir/-15.917302,-47.760003/-15.9272799,-47.7725400/data=!4m3!4m2!3e0!5i0</v>
      </c>
      <c r="C938" s="151" t="s">
        <v>117</v>
      </c>
      <c r="D938" s="152" t="s">
        <v>112</v>
      </c>
      <c r="E938" s="152" t="s">
        <v>113</v>
      </c>
      <c r="F938" s="152" t="s">
        <v>117</v>
      </c>
      <c r="G938" s="152" t="s">
        <v>782</v>
      </c>
      <c r="H938" s="152" t="n">
        <v>63</v>
      </c>
      <c r="I938" s="152" t="s">
        <v>115</v>
      </c>
      <c r="J938" s="152" t="s">
        <v>6</v>
      </c>
      <c r="K938" s="152" t="s">
        <v>5106</v>
      </c>
      <c r="L938" s="152" t="s">
        <v>120</v>
      </c>
      <c r="M938" s="153" t="n">
        <f aca="false">208.43</f>
        <v>208.43</v>
      </c>
      <c r="N938" s="152" t="s">
        <v>1548</v>
      </c>
      <c r="O938" s="152" t="s">
        <v>1549</v>
      </c>
      <c r="P938" s="152" t="s">
        <v>1550</v>
      </c>
      <c r="Q938" s="152" t="s">
        <v>1551</v>
      </c>
      <c r="R938" s="154" t="s">
        <v>5107</v>
      </c>
      <c r="S938" s="154" t="s">
        <v>1553</v>
      </c>
      <c r="T938" s="155" t="s">
        <v>2487</v>
      </c>
      <c r="U938" s="152" t="str">
        <f aca="false">RIGHT(T938,7)</f>
        <v>011/037</v>
      </c>
      <c r="V938" s="152" t="s">
        <v>1555</v>
      </c>
      <c r="W938" s="156" t="n">
        <v>45882</v>
      </c>
      <c r="X938" s="152" t="s">
        <v>1594</v>
      </c>
      <c r="Y938" s="152" t="s">
        <v>4968</v>
      </c>
      <c r="Z938" s="152" t="s">
        <v>1557</v>
      </c>
      <c r="AA938" s="153" t="n">
        <v>3.1</v>
      </c>
      <c r="AB938" s="151" t="s">
        <v>5108</v>
      </c>
      <c r="AC938" s="151" t="s">
        <v>186</v>
      </c>
      <c r="AD938" s="151" t="str">
        <f aca="false">CONCATENATE($C938,$I938,$H938,$N938,$J938,$K938)</f>
        <v>TUBO PEADPEAD63VCAREDESZona09</v>
      </c>
      <c r="AE938" s="153" t="n">
        <f aca="false">IFERROR(INDEX(APOIO_REDES!$A:$W,MATCH($C938&amp;$I938&amp;$H938&amp;$N938&amp;$O938,APOIO_REDES!$W:$W,0),MATCH(AE$5,APOIO_REDES!$5:$5,0)),0)</f>
        <v>1.2</v>
      </c>
      <c r="AF938" s="153" t="n">
        <f aca="false">IFERROR(INDEX(APOIO_REDES!$A:$W,MATCH($C938&amp;$I938&amp;$H938&amp;$N938&amp;$O938,APOIO_REDES!$W:$W,0),MATCH(AF$5,APOIO_REDES!$5:$5,0)),0)</f>
        <v>1.363</v>
      </c>
      <c r="AG938" s="153" t="n">
        <f aca="false">IFERROR(INDEX(APOIO_REDES!$A:$W,MATCH($C938&amp;$I938&amp;$H938&amp;$N938&amp;$O938,APOIO_REDES!$W:$W,0),MATCH(AG$5,APOIO_REDES!$5:$5,0)),0)</f>
        <v>0.65</v>
      </c>
      <c r="AH938" s="153" t="n">
        <f aca="false">IFERROR(INDEX(APOIO_REDES!$A:$W,MATCH($C938&amp;$I938&amp;$H938&amp;$N938&amp;$O938,APOIO_REDES!$W:$W,0),MATCH(AH$5,APOIO_REDES!$5:$5,0)),0)</f>
        <v>0.1</v>
      </c>
      <c r="AI938" s="153" t="n">
        <f aca="false">IFERROR(IF($H938&lt;&gt;"",(((($H938/1000)/2)^2)*PI()*$M938),0),0)</f>
        <v>0.649727440072616</v>
      </c>
      <c r="AJ938" s="153" t="n">
        <f aca="false">IFERROR(IF(AND($H938&lt;&gt;"",$I938="FoFo",OR($N938="MND",$N938="VCA"),$Q938="LINEAR"),0,IF(AND($H938&lt;&gt;"",$I938="PEAD",$N938="VCA",$Q938="LINEAR"),($H938/1000)+0.3,IF(AND($H938&lt;&gt;"",$I938="PEAD",$N938="MND",$Q938="EMBOQUE"),0,IF(AND($H938&lt;&gt;"",$I938="PVC",$N938="VCA",$Q938="LINEAR"),($H938/1000)+0.2,IF(AND($H938&lt;&gt;"",$I938="PVC",$N938="MND",$Q938="EMBOQUE"),0,IF(AND($H938&lt;&gt;"",$I938="PEAD",$N938="VCA",$Q938="PREDIAL"),0,0)))))),0)</f>
        <v>0.363</v>
      </c>
      <c r="AK938" s="153" t="n">
        <f aca="false">IF(AA938&lt;&gt;"",AA938,0)</f>
        <v>3.1</v>
      </c>
      <c r="AL938" s="153" t="n">
        <f aca="false">IF(AND($N938="MND",$Q938="EMBOQUE"),$M938,IF(AND($N938="VCA",$Q938="LINEAR"),$M938,IF(AND($N938="VCA",$Q938="PREDIAL"),0,0)))</f>
        <v>208.43</v>
      </c>
      <c r="AM938" s="153" t="n">
        <f aca="false">IF(AND($N938="MND",$Q938="EMBOQUE"),$M938,IF(AND($N938="VCA",$Q938="LINEAR"),$M938,IF(AND($N938="VCA",$Q938="PREDIAL"),0,0)))</f>
        <v>208.43</v>
      </c>
      <c r="AN938" s="153" t="n">
        <f aca="false">ROUND(IF(AND($N938="VCA",$M938&lt;&gt;"",$Q938="LINEAR"),$M938/100,IF(AND($N938="MND",$M938&gt;100,$Q938="EMBOQUE"),$M938/100,0)),0)</f>
        <v>2</v>
      </c>
      <c r="AO938" s="153" t="n">
        <f aca="false">IF(AND($N938="MND",$Q938="EMBOQUE"),$AN938*2*2,IF(AND($N938="VCA",$Q938="LINEAR"),$M938*2,IF(AND($N938="VCA",$Q938="PREDIAL"),0,0)))</f>
        <v>416.86</v>
      </c>
      <c r="AP938" s="153" t="n">
        <f aca="false">IFERROR($M938*$AF938*$AG938,0)</f>
        <v>184.6585585</v>
      </c>
      <c r="AQ938" s="153" t="n">
        <f aca="false">IFERROR(IF(AND($N938="VCA",$AH938&gt;0),$M938*$AG938*$AH938,0),0)</f>
        <v>13.54795</v>
      </c>
      <c r="AR938" s="153" t="n">
        <f aca="false">IFERROR(IF(AND($N938="VCA",$AJ938&gt;0),($M938*$AG938*$AJ938)-$AI938,0),0)</f>
        <v>48.5293310599274</v>
      </c>
      <c r="AS938" s="153" t="n">
        <f aca="false">IFERROR(IF(AND($N938="VCA",$AP938&gt;0),$AP938-$AI938-$AQ938-$AR938,0),0)</f>
        <v>121.93155</v>
      </c>
      <c r="AT938" s="153" t="n">
        <f aca="false">IFERROR(IF($N938="VCA",INDEX(APOIO_REDES!$A:$W,MATCH($C938&amp;$I938&amp;$H938&amp;$N938&amp;$O938,APOIO_REDES!$W:$W,0),MATCH(AT$5,APOIO_REDES!$5:$5,0)),0)*$AP938,0)</f>
        <v>2.0091397726234</v>
      </c>
      <c r="AU938" s="153" t="n">
        <f aca="false">IFERROR(IF($N938="VCA",INDEX(APOIO_REDES!$A:$W,MATCH($C938&amp;$I938&amp;$H938&amp;$N938&amp;$O938,APOIO_REDES!$W:$W,0),MATCH(AU$5,APOIO_REDES!$5:$5,0)),0)*$AP938,0)</f>
        <v>1.60444460801114</v>
      </c>
      <c r="AV938" s="153" t="n">
        <f aca="false">IFERROR(IF($N938="VCA",INDEX(APOIO_REDES!$A:$W,MATCH($C938&amp;$I938&amp;$H938&amp;$N938&amp;$O938,APOIO_REDES!$W:$W,0),MATCH(AV$5,APOIO_REDES!$5:$5,0)),0)*$AP938,0)</f>
        <v>0.222042538364728</v>
      </c>
      <c r="AW938" s="153" t="n">
        <f aca="false">IFERROR(IF($N938="VCA",INDEX(APOIO_REDES!$A:$W,MATCH($C938&amp;$I938&amp;$H938&amp;$N938&amp;$O938,APOIO_REDES!$W:$W,0),MATCH(AW$5,APOIO_REDES!$5:$5,0)),0)*$AP938,0)</f>
        <v>126.751065358731</v>
      </c>
      <c r="AX938" s="153" t="n">
        <f aca="false">IFERROR(IF($N938="VCA",INDEX(APOIO_REDES!$A:$W,MATCH($C938&amp;$I938&amp;$H938&amp;$N938&amp;$O938,APOIO_REDES!$W:$W,0),MATCH(AX$5,APOIO_REDES!$5:$5,0)),0)*$AP938,0)</f>
        <v>17.5419863884043</v>
      </c>
      <c r="AY938" s="153" t="n">
        <f aca="false">IFERROR(IF($N938="VCA",INDEX(APOIO_REDES!$A:$W,MATCH($C938&amp;$I938&amp;$H938&amp;$N938&amp;$O938,APOIO_REDES!$W:$W,0),MATCH(AY$5,APOIO_REDES!$5:$5,0)),0)*$AP938,0)</f>
        <v>32.0888726021731</v>
      </c>
      <c r="AZ938" s="153" t="n">
        <f aca="false">IFERROR(IF($N938="VCA",INDEX(APOIO_REDES!$A:$W,MATCH($C938&amp;$I938&amp;$H938&amp;$N938&amp;$O938,APOIO_REDES!$W:$W,0),MATCH(AZ$5,APOIO_REDES!$5:$5,0)),0)*$AP938,0)</f>
        <v>4.44100723169225</v>
      </c>
      <c r="BA938" s="153" t="n">
        <f aca="false">IFERROR(IF(AND($N938="VCA",$Q938="LINEAR"),INDEX(APOIO_REDES!$A:$W,MATCH($C938&amp;$I938&amp;$H938&amp;$N938&amp;$O938,APOIO_REDES!$W:$W,0),MATCH(BA$5,APOIO_REDES!$5:$5,0)),IF(AND($N938="MND",$Q938="EMBOQUE"),INDEX(APOIO_REDES!$A:$W,MATCH($C938&amp;$I938&amp;$H938&amp;$N938&amp;$O938,APOIO_REDES!$W:$W,0),MATCH(BA$5,APOIO_REDES!$5:$5,0)),0))*$M938/10,0)</f>
        <v>16.7989322519536</v>
      </c>
      <c r="BB938" s="153" t="n">
        <f aca="false">IFERROR(IF($N938="VCA",INDEX(APOIO_REDES!$A:$W,MATCH($C938&amp;$I938&amp;$H938&amp;$N938&amp;$O938,APOIO_REDES!$W:$W,0),MATCH(BB$5,APOIO_REDES!$5:$5,0)),0)*($AI938+$AQ938+$AR938),0)</f>
        <v>62.0445200812732</v>
      </c>
      <c r="BC938" s="153" t="n">
        <f aca="false">IFERROR(IF($N938="VCA",INDEX(APOIO_REDES!$A:$W,MATCH($C938&amp;$I938&amp;$H938&amp;$N938&amp;$O938,APOIO_REDES!$W:$W,0),MATCH(BC$5,APOIO_REDES!$5:$5,0)),0)*($AI938+$AQ938+$AR938),0)</f>
        <v>0.682488418726804</v>
      </c>
      <c r="BD938" s="153" t="n">
        <f aca="false">IF(AND($N938="VCA",$AF938&gt;=1.25,$AF938&lt;1.5),$M938*$AF938*2,0)</f>
        <v>568.18018</v>
      </c>
      <c r="BE938" s="153" t="n">
        <f aca="false">IF(AND($N938="VCA",$AF938&gt;=1.5,$AF938&lt;3),$M938*$AF938*2,0)</f>
        <v>0</v>
      </c>
      <c r="BF938" s="153" t="n">
        <f aca="false">IF(AND($N938="VCA",$AF938&gt;=3),$M938*$AF938*2,0)</f>
        <v>0</v>
      </c>
      <c r="BG938" s="153" t="n">
        <f aca="false">($BB938+$BC938)*$AK938</f>
        <v>194.45372635</v>
      </c>
      <c r="BH938" s="153" t="n">
        <f aca="false">IF(AND($M938&lt;&gt;"",$N938="VCA",$Q938="LINEAR"),($M938*2)/100,IF(AND($M938&lt;&gt;"",$N938="MND",$Q938="EMBOQUE"),($AN938*2)/100,0))</f>
        <v>4.1686</v>
      </c>
      <c r="BI938" s="153" t="n">
        <f aca="false">IF(AND($M938&lt;&gt;"",$N938="VCA",$Q938="LINEAR"),$M938,IF(AND($M938&lt;&gt;"",$N938="MND",$Q938="EMBOQUE"),$AN938*2,0))</f>
        <v>208.43</v>
      </c>
      <c r="BJ938" s="153" t="n">
        <f aca="false">IF(AND($M938&lt;&gt;"",$N938="VCA",$Q938="LINEAR"),($M938*6.8)/100,IF(AND($M938&lt;&gt;"",$N938="MND",$Q938="EMBOQUE"),($AN938*2*6.8)/100,0))</f>
        <v>14.17324</v>
      </c>
      <c r="BK938" s="153" t="n">
        <f aca="false">IF(AND($M938&lt;&gt;"",$N938="VCA",$Q938="LINEAR"),($M938*2.5)/50,IF(AND($M938&lt;&gt;"",$N938="MND",$Q938="EMBOQUE"),($AN938*2*2.5)/50,0))</f>
        <v>10.4215</v>
      </c>
      <c r="BL938" s="157" t="str">
        <f aca="false">K938&amp;J938</f>
        <v>Zona09REDES</v>
      </c>
      <c r="BM938" s="152" t="s">
        <v>5109</v>
      </c>
      <c r="BN938" s="152" t="s">
        <v>1560</v>
      </c>
      <c r="BO938" s="152" t="s">
        <v>2489</v>
      </c>
      <c r="BP938" s="152" t="s">
        <v>5110</v>
      </c>
      <c r="BQ938" s="152" t="s">
        <v>5111</v>
      </c>
      <c r="BR938" s="152" t="s">
        <v>5112</v>
      </c>
      <c r="BS938" s="152" t="n">
        <v>203155.456</v>
      </c>
      <c r="BT938" s="152" t="n">
        <v>8237136.476</v>
      </c>
      <c r="BU938" s="152" t="n">
        <v>203006.36</v>
      </c>
      <c r="BV938" s="152" t="n">
        <v>8236991.134</v>
      </c>
      <c r="BW938" s="152" t="n">
        <v>-15.9279342</v>
      </c>
      <c r="BX938" s="152" t="n">
        <v>-47.7732368</v>
      </c>
      <c r="BY938" s="152" t="s">
        <v>5110</v>
      </c>
    </row>
    <row r="939" customFormat="false" ht="13.8" hidden="false" customHeight="false" outlineLevel="0" collapsed="false">
      <c r="A939" s="149" t="n">
        <f aca="false">IF(C939&lt;&gt;"",ROW(A934),"")</f>
        <v>934</v>
      </c>
      <c r="B939" s="150" t="str">
        <f aca="false">HYPERLINK("https://www.google.com/maps/dir/-15.917302,-47.760003/-15.9272386,-47.7725373/data=!4m3!4m2!3e0!5i0")</f>
        <v>https://www.google.com/maps/dir/-15.917302,-47.760003/-15.9272386,-47.7725373/data=!4m3!4m2!3e0!5i0</v>
      </c>
      <c r="C939" s="151" t="s">
        <v>117</v>
      </c>
      <c r="D939" s="152" t="s">
        <v>112</v>
      </c>
      <c r="E939" s="152" t="s">
        <v>113</v>
      </c>
      <c r="F939" s="152" t="s">
        <v>117</v>
      </c>
      <c r="G939" s="152" t="s">
        <v>114</v>
      </c>
      <c r="H939" s="152" t="n">
        <v>315</v>
      </c>
      <c r="I939" s="152" t="s">
        <v>115</v>
      </c>
      <c r="J939" s="152" t="s">
        <v>6</v>
      </c>
      <c r="K939" s="152" t="s">
        <v>2224</v>
      </c>
      <c r="L939" s="152" t="s">
        <v>120</v>
      </c>
      <c r="M939" s="153" t="n">
        <f aca="false">1.72</f>
        <v>1.72</v>
      </c>
      <c r="N939" s="152" t="s">
        <v>1548</v>
      </c>
      <c r="O939" s="152" t="s">
        <v>1549</v>
      </c>
      <c r="P939" s="152" t="s">
        <v>1550</v>
      </c>
      <c r="Q939" s="152" t="s">
        <v>1551</v>
      </c>
      <c r="R939" s="154" t="s">
        <v>5113</v>
      </c>
      <c r="S939" s="154" t="s">
        <v>2226</v>
      </c>
      <c r="T939" s="155" t="s">
        <v>3685</v>
      </c>
      <c r="U939" s="152" t="str">
        <f aca="false">RIGHT(T939,7)</f>
        <v>012/037</v>
      </c>
      <c r="V939" s="152" t="s">
        <v>1555</v>
      </c>
      <c r="W939" s="156" t="n">
        <v>45882</v>
      </c>
      <c r="X939" s="152" t="s">
        <v>1594</v>
      </c>
      <c r="Y939" s="152" t="s">
        <v>4968</v>
      </c>
      <c r="Z939" s="152" t="s">
        <v>1557</v>
      </c>
      <c r="AA939" s="153" t="n">
        <v>3.1</v>
      </c>
      <c r="AB939" s="151" t="s">
        <v>5114</v>
      </c>
      <c r="AC939" s="151" t="s">
        <v>514</v>
      </c>
      <c r="AD939" s="151" t="str">
        <f aca="false">CONCATENATE($C939,$I939,$H939,$N939,$J939,$K939)</f>
        <v>TUBO PEADPEAD315VCAREDESADUTORA</v>
      </c>
      <c r="AE939" s="153" t="n">
        <f aca="false">IFERROR(INDEX(APOIO_REDES!$A:$W,MATCH($C939&amp;$I939&amp;$H939&amp;$N939&amp;$O939,APOIO_REDES!$W:$W,0),MATCH(AE$5,APOIO_REDES!$5:$5,0)),0)</f>
        <v>1.2</v>
      </c>
      <c r="AF939" s="153" t="n">
        <f aca="false">IFERROR(INDEX(APOIO_REDES!$A:$W,MATCH($C939&amp;$I939&amp;$H939&amp;$N939&amp;$O939,APOIO_REDES!$W:$W,0),MATCH(AF$5,APOIO_REDES!$5:$5,0)),0)</f>
        <v>1.615</v>
      </c>
      <c r="AG939" s="153" t="n">
        <f aca="false">IFERROR(INDEX(APOIO_REDES!$A:$W,MATCH($C939&amp;$I939&amp;$H939&amp;$N939&amp;$O939,APOIO_REDES!$W:$W,0),MATCH(AG$5,APOIO_REDES!$5:$5,0)),0)</f>
        <v>0.9</v>
      </c>
      <c r="AH939" s="153" t="n">
        <f aca="false">IFERROR(INDEX(APOIO_REDES!$A:$W,MATCH($C939&amp;$I939&amp;$H939&amp;$N939&amp;$O939,APOIO_REDES!$W:$W,0),MATCH(AH$5,APOIO_REDES!$5:$5,0)),0)</f>
        <v>0.1</v>
      </c>
      <c r="AI939" s="153" t="n">
        <f aca="false">IFERROR(IF($H939&lt;&gt;"",(((($H939/1000)/2)^2)*PI()*$M939),0),0)</f>
        <v>0.134041548352552</v>
      </c>
      <c r="AJ939" s="153" t="n">
        <f aca="false">IFERROR(IF(AND($H939&lt;&gt;"",$I939="FoFo",OR($N939="MND",$N939="VCA"),$Q939="LINEAR"),0,IF(AND($H939&lt;&gt;"",$I939="PEAD",$N939="VCA",$Q939="LINEAR"),($H939/1000)+0.3,IF(AND($H939&lt;&gt;"",$I939="PEAD",$N939="MND",$Q939="EMBOQUE"),0,IF(AND($H939&lt;&gt;"",$I939="PVC",$N939="VCA",$Q939="LINEAR"),($H939/1000)+0.2,IF(AND($H939&lt;&gt;"",$I939="PVC",$N939="MND",$Q939="EMBOQUE"),0,IF(AND($H939&lt;&gt;"",$I939="PEAD",$N939="VCA",$Q939="PREDIAL"),0,0)))))),0)</f>
        <v>0.615</v>
      </c>
      <c r="AK939" s="153" t="n">
        <f aca="false">IF(AA939&lt;&gt;"",AA939,0)</f>
        <v>3.1</v>
      </c>
      <c r="AL939" s="153" t="n">
        <f aca="false">IF(AND($N939="MND",$Q939="EMBOQUE"),$M939,IF(AND($N939="VCA",$Q939="LINEAR"),$M939,IF(AND($N939="VCA",$Q939="PREDIAL"),0,0)))</f>
        <v>1.72</v>
      </c>
      <c r="AM939" s="153" t="n">
        <f aca="false">IF(AND($N939="MND",$Q939="EMBOQUE"),$M939,IF(AND($N939="VCA",$Q939="LINEAR"),$M939,IF(AND($N939="VCA",$Q939="PREDIAL"),0,0)))</f>
        <v>1.72</v>
      </c>
      <c r="AN939" s="153" t="n">
        <f aca="false">ROUND(IF(AND($N939="VCA",$M939&lt;&gt;"",$Q939="LINEAR"),$M939/100,IF(AND($N939="MND",$M939&gt;100,$Q939="EMBOQUE"),$M939/100,0)),0)</f>
        <v>0</v>
      </c>
      <c r="AO939" s="153" t="n">
        <f aca="false">IF(AND($N939="MND",$Q939="EMBOQUE"),$AN939*2*2,IF(AND($N939="VCA",$Q939="LINEAR"),$M939*2,IF(AND($N939="VCA",$Q939="PREDIAL"),0,0)))</f>
        <v>3.44</v>
      </c>
      <c r="AP939" s="153" t="n">
        <f aca="false">IFERROR($M939*$AF939*$AG939,0)</f>
        <v>2.50002</v>
      </c>
      <c r="AQ939" s="153" t="n">
        <f aca="false">IFERROR(IF(AND($N939="VCA",$AH939&gt;0),$M939*$AG939*$AH939,0),0)</f>
        <v>0.1548</v>
      </c>
      <c r="AR939" s="153" t="n">
        <f aca="false">IFERROR(IF(AND($N939="VCA",$AJ939&gt;0),($M939*$AG939*$AJ939)-$AI939,0),0)</f>
        <v>0.817978451647448</v>
      </c>
      <c r="AS939" s="153" t="n">
        <f aca="false">IFERROR(IF(AND($N939="VCA",$AP939&gt;0),$AP939-$AI939-$AQ939-$AR939,0),0)</f>
        <v>1.3932</v>
      </c>
      <c r="AT939" s="153" t="n">
        <f aca="false">IFERROR(IF($N939="VCA",INDEX(APOIO_REDES!$A:$W,MATCH($C939&amp;$I939&amp;$H939&amp;$N939&amp;$O939,APOIO_REDES!$W:$W,0),MATCH(AT$5,APOIO_REDES!$5:$5,0)),0)*$AP939,0)</f>
        <v>0.0272009575681484</v>
      </c>
      <c r="AU939" s="153" t="n">
        <f aca="false">IFERROR(IF($N939="VCA",INDEX(APOIO_REDES!$A:$W,MATCH($C939&amp;$I939&amp;$H939&amp;$N939&amp;$O939,APOIO_REDES!$W:$W,0),MATCH(AU$5,APOIO_REDES!$5:$5,0)),0)*$AP939,0)</f>
        <v>0.0217219480185643</v>
      </c>
      <c r="AV939" s="153" t="n">
        <f aca="false">IFERROR(IF($N939="VCA",INDEX(APOIO_REDES!$A:$W,MATCH($C939&amp;$I939&amp;$H939&amp;$N939&amp;$O939,APOIO_REDES!$W:$W,0),MATCH(AV$5,APOIO_REDES!$5:$5,0)),0)*$AP939,0)</f>
        <v>0.00300614708179144</v>
      </c>
      <c r="AW939" s="153" t="n">
        <f aca="false">IFERROR(IF($N939="VCA",INDEX(APOIO_REDES!$A:$W,MATCH($C939&amp;$I939&amp;$H939&amp;$N939&amp;$O939,APOIO_REDES!$W:$W,0),MATCH(AW$5,APOIO_REDES!$5:$5,0)),0)*$AP939,0)</f>
        <v>1.71603309910022</v>
      </c>
      <c r="AX939" s="153" t="n">
        <f aca="false">IFERROR(IF($N939="VCA",INDEX(APOIO_REDES!$A:$W,MATCH($C939&amp;$I939&amp;$H939&amp;$N939&amp;$O939,APOIO_REDES!$W:$W,0),MATCH(AX$5,APOIO_REDES!$5:$5,0)),0)*$AP939,0)</f>
        <v>0.23749409270266</v>
      </c>
      <c r="AY939" s="153" t="n">
        <f aca="false">IFERROR(IF($N939="VCA",INDEX(APOIO_REDES!$A:$W,MATCH($C939&amp;$I939&amp;$H939&amp;$N939&amp;$O939,APOIO_REDES!$W:$W,0),MATCH(AY$5,APOIO_REDES!$5:$5,0)),0)*$AP939,0)</f>
        <v>0.434438695582501</v>
      </c>
      <c r="AZ939" s="153" t="n">
        <f aca="false">IFERROR(IF($N939="VCA",INDEX(APOIO_REDES!$A:$W,MATCH($C939&amp;$I939&amp;$H939&amp;$N939&amp;$O939,APOIO_REDES!$W:$W,0),MATCH(AZ$5,APOIO_REDES!$5:$5,0)),0)*$AP939,0)</f>
        <v>0.0601250599461127</v>
      </c>
      <c r="BA939" s="153" t="n">
        <f aca="false">IFERROR(IF(AND($N939="VCA",$Q939="LINEAR"),INDEX(APOIO_REDES!$A:$W,MATCH($C939&amp;$I939&amp;$H939&amp;$N939&amp;$O939,APOIO_REDES!$W:$W,0),MATCH(BA$5,APOIO_REDES!$5:$5,0)),IF(AND($N939="MND",$Q939="EMBOQUE"),INDEX(APOIO_REDES!$A:$W,MATCH($C939&amp;$I939&amp;$H939&amp;$N939&amp;$O939,APOIO_REDES!$W:$W,0),MATCH(BA$5,APOIO_REDES!$5:$5,0)),0))*$M939/10,0)</f>
        <v>0.138627661437222</v>
      </c>
      <c r="BB939" s="153" t="n">
        <f aca="false">IFERROR(IF($N939="VCA",INDEX(APOIO_REDES!$A:$W,MATCH($C939&amp;$I939&amp;$H939&amp;$N939&amp;$O939,APOIO_REDES!$W:$W,0),MATCH(BB$5,APOIO_REDES!$5:$5,0)),0)*($AI939+$AQ939+$AR939),0)</f>
        <v>1.094777470798</v>
      </c>
      <c r="BC939" s="153" t="n">
        <f aca="false">IFERROR(IF($N939="VCA",INDEX(APOIO_REDES!$A:$W,MATCH($C939&amp;$I939&amp;$H939&amp;$N939&amp;$O939,APOIO_REDES!$W:$W,0),MATCH(BC$5,APOIO_REDES!$5:$5,0)),0)*($AI939+$AQ939+$AR939),0)</f>
        <v>0.0120425292019976</v>
      </c>
      <c r="BD939" s="153" t="n">
        <f aca="false">IF(AND($N939="VCA",$AF939&gt;=1.25,$AF939&lt;1.5),$M939*$AF939*2,0)</f>
        <v>0</v>
      </c>
      <c r="BE939" s="153" t="n">
        <f aca="false">IF(AND($N939="VCA",$AF939&gt;=1.5,$AF939&lt;3),$M939*$AF939*2,0)</f>
        <v>5.5556</v>
      </c>
      <c r="BF939" s="153" t="n">
        <f aca="false">IF(AND($N939="VCA",$AF939&gt;=3),$M939*$AF939*2,0)</f>
        <v>0</v>
      </c>
      <c r="BG939" s="153" t="n">
        <f aca="false">($BB939+$BC939)*$AK939</f>
        <v>3.431142</v>
      </c>
      <c r="BH939" s="153" t="n">
        <f aca="false">IF(AND($M939&lt;&gt;"",$N939="VCA",$Q939="LINEAR"),($M939*2)/100,IF(AND($M939&lt;&gt;"",$N939="MND",$Q939="EMBOQUE"),($AN939*2)/100,0))</f>
        <v>0.0344</v>
      </c>
      <c r="BI939" s="153" t="n">
        <f aca="false">IF(AND($M939&lt;&gt;"",$N939="VCA",$Q939="LINEAR"),$M939,IF(AND($M939&lt;&gt;"",$N939="MND",$Q939="EMBOQUE"),$AN939*2,0))</f>
        <v>1.72</v>
      </c>
      <c r="BJ939" s="153" t="n">
        <f aca="false">IF(AND($M939&lt;&gt;"",$N939="VCA",$Q939="LINEAR"),($M939*6.8)/100,IF(AND($M939&lt;&gt;"",$N939="MND",$Q939="EMBOQUE"),($AN939*2*6.8)/100,0))</f>
        <v>0.11696</v>
      </c>
      <c r="BK939" s="153" t="n">
        <f aca="false">IF(AND($M939&lt;&gt;"",$N939="VCA",$Q939="LINEAR"),($M939*2.5)/50,IF(AND($M939&lt;&gt;"",$N939="MND",$Q939="EMBOQUE"),($AN939*2*2.5)/50,0))</f>
        <v>0.086</v>
      </c>
      <c r="BL939" s="157" t="str">
        <f aca="false">K939&amp;J939</f>
        <v>ADUTORAREDES</v>
      </c>
      <c r="BM939" s="152" t="s">
        <v>2229</v>
      </c>
      <c r="BN939" s="152" t="s">
        <v>2230</v>
      </c>
      <c r="BO939" s="152" t="s">
        <v>3688</v>
      </c>
      <c r="BP939" s="152" t="s">
        <v>4830</v>
      </c>
      <c r="BQ939" s="152" t="s">
        <v>5115</v>
      </c>
      <c r="BR939" s="152" t="s">
        <v>4820</v>
      </c>
      <c r="BS939" s="152" t="n">
        <v>203155.682</v>
      </c>
      <c r="BT939" s="152" t="n">
        <v>8237141.049</v>
      </c>
      <c r="BU939" s="152" t="n">
        <v>203155.024</v>
      </c>
      <c r="BV939" s="152" t="n">
        <v>8237139.464</v>
      </c>
      <c r="BW939" s="152" t="n">
        <v>-15.9272457</v>
      </c>
      <c r="BX939" s="152" t="n">
        <v>-47.7725405</v>
      </c>
      <c r="BY939" s="152" t="s">
        <v>4830</v>
      </c>
    </row>
    <row r="940" customFormat="false" ht="13.8" hidden="false" customHeight="false" outlineLevel="0" collapsed="false">
      <c r="A940" s="149" t="n">
        <f aca="false">IF(C940&lt;&gt;"",ROW(A935),"")</f>
        <v>935</v>
      </c>
      <c r="B940" s="150" t="str">
        <f aca="false">HYPERLINK("https://www.google.com/maps/dir/-15.917302,-47.760003/-15.9272528,-47.7725437/data=!4m3!4m2!3e0!5i0")</f>
        <v>https://www.google.com/maps/dir/-15.917302,-47.760003/-15.9272528,-47.7725437/data=!4m3!4m2!3e0!5i0</v>
      </c>
      <c r="C940" s="151" t="s">
        <v>117</v>
      </c>
      <c r="D940" s="152" t="s">
        <v>112</v>
      </c>
      <c r="E940" s="152" t="s">
        <v>113</v>
      </c>
      <c r="F940" s="152" t="s">
        <v>117</v>
      </c>
      <c r="G940" s="152" t="s">
        <v>114</v>
      </c>
      <c r="H940" s="152" t="n">
        <v>355</v>
      </c>
      <c r="I940" s="152" t="s">
        <v>115</v>
      </c>
      <c r="J940" s="152" t="s">
        <v>6</v>
      </c>
      <c r="K940" s="152" t="s">
        <v>2224</v>
      </c>
      <c r="L940" s="152" t="s">
        <v>120</v>
      </c>
      <c r="M940" s="153" t="n">
        <f aca="false">530.78</f>
        <v>530.78</v>
      </c>
      <c r="N940" s="152" t="s">
        <v>1548</v>
      </c>
      <c r="O940" s="152" t="s">
        <v>1549</v>
      </c>
      <c r="P940" s="152" t="s">
        <v>1550</v>
      </c>
      <c r="Q940" s="152" t="s">
        <v>1551</v>
      </c>
      <c r="R940" s="154" t="s">
        <v>5116</v>
      </c>
      <c r="S940" s="154" t="s">
        <v>2226</v>
      </c>
      <c r="T940" s="155" t="s">
        <v>3685</v>
      </c>
      <c r="U940" s="152" t="str">
        <f aca="false">RIGHT(T940,7)</f>
        <v>012/037</v>
      </c>
      <c r="V940" s="152" t="s">
        <v>1555</v>
      </c>
      <c r="W940" s="156" t="n">
        <v>45882</v>
      </c>
      <c r="X940" s="152" t="s">
        <v>1594</v>
      </c>
      <c r="Y940" s="152" t="s">
        <v>4968</v>
      </c>
      <c r="Z940" s="152" t="s">
        <v>1557</v>
      </c>
      <c r="AA940" s="153" t="n">
        <v>3.1</v>
      </c>
      <c r="AB940" s="151" t="s">
        <v>5117</v>
      </c>
      <c r="AC940" s="151" t="s">
        <v>517</v>
      </c>
      <c r="AD940" s="151" t="str">
        <f aca="false">CONCATENATE($C940,$I940,$H940,$N940,$J940,$K940)</f>
        <v>TUBO PEADPEAD355VCAREDESADUTORA</v>
      </c>
      <c r="AE940" s="153" t="n">
        <f aca="false">IFERROR(INDEX(APOIO_REDES!$A:$W,MATCH($C940&amp;$I940&amp;$H940&amp;$N940&amp;$O940,APOIO_REDES!$W:$W,0),MATCH(AE$5,APOIO_REDES!$5:$5,0)),0)</f>
        <v>1.2</v>
      </c>
      <c r="AF940" s="153" t="n">
        <f aca="false">IFERROR(INDEX(APOIO_REDES!$A:$W,MATCH($C940&amp;$I940&amp;$H940&amp;$N940&amp;$O940,APOIO_REDES!$W:$W,0),MATCH(AF$5,APOIO_REDES!$5:$5,0)),0)</f>
        <v>1.655</v>
      </c>
      <c r="AG940" s="153" t="n">
        <f aca="false">IFERROR(INDEX(APOIO_REDES!$A:$W,MATCH($C940&amp;$I940&amp;$H940&amp;$N940&amp;$O940,APOIO_REDES!$W:$W,0),MATCH(AG$5,APOIO_REDES!$5:$5,0)),0)</f>
        <v>1</v>
      </c>
      <c r="AH940" s="153" t="n">
        <f aca="false">IFERROR(INDEX(APOIO_REDES!$A:$W,MATCH($C940&amp;$I940&amp;$H940&amp;$N940&amp;$O940,APOIO_REDES!$W:$W,0),MATCH(AH$5,APOIO_REDES!$5:$5,0)),0)</f>
        <v>0.1</v>
      </c>
      <c r="AI940" s="153" t="n">
        <f aca="false">IFERROR(IF($H940&lt;&gt;"",(((($H940/1000)/2)^2)*PI()*$M940),0),0)</f>
        <v>52.5365001241095</v>
      </c>
      <c r="AJ940" s="153" t="n">
        <f aca="false">IFERROR(IF(AND($H940&lt;&gt;"",$I940="FoFo",OR($N940="MND",$N940="VCA"),$Q940="LINEAR"),0,IF(AND($H940&lt;&gt;"",$I940="PEAD",$N940="VCA",$Q940="LINEAR"),($H940/1000)+0.3,IF(AND($H940&lt;&gt;"",$I940="PEAD",$N940="MND",$Q940="EMBOQUE"),0,IF(AND($H940&lt;&gt;"",$I940="PVC",$N940="VCA",$Q940="LINEAR"),($H940/1000)+0.2,IF(AND($H940&lt;&gt;"",$I940="PVC",$N940="MND",$Q940="EMBOQUE"),0,IF(AND($H940&lt;&gt;"",$I940="PEAD",$N940="VCA",$Q940="PREDIAL"),0,0)))))),0)</f>
        <v>0.655</v>
      </c>
      <c r="AK940" s="153" t="n">
        <f aca="false">IF(AA940&lt;&gt;"",AA940,0)</f>
        <v>3.1</v>
      </c>
      <c r="AL940" s="153" t="n">
        <f aca="false">IF(AND($N940="MND",$Q940="EMBOQUE"),$M940,IF(AND($N940="VCA",$Q940="LINEAR"),$M940,IF(AND($N940="VCA",$Q940="PREDIAL"),0,0)))</f>
        <v>530.78</v>
      </c>
      <c r="AM940" s="153" t="n">
        <f aca="false">IF(AND($N940="MND",$Q940="EMBOQUE"),$M940,IF(AND($N940="VCA",$Q940="LINEAR"),$M940,IF(AND($N940="VCA",$Q940="PREDIAL"),0,0)))</f>
        <v>530.78</v>
      </c>
      <c r="AN940" s="153" t="n">
        <f aca="false">ROUND(IF(AND($N940="VCA",$M940&lt;&gt;"",$Q940="LINEAR"),$M940/100,IF(AND($N940="MND",$M940&gt;100,$Q940="EMBOQUE"),$M940/100,0)),0)</f>
        <v>5</v>
      </c>
      <c r="AO940" s="153" t="n">
        <f aca="false">IF(AND($N940="MND",$Q940="EMBOQUE"),$AN940*2*2,IF(AND($N940="VCA",$Q940="LINEAR"),$M940*2,IF(AND($N940="VCA",$Q940="PREDIAL"),0,0)))</f>
        <v>1061.56</v>
      </c>
      <c r="AP940" s="153" t="n">
        <f aca="false">IFERROR($M940*$AF940*$AG940,0)</f>
        <v>878.4409</v>
      </c>
      <c r="AQ940" s="153" t="n">
        <f aca="false">IFERROR(IF(AND($N940="VCA",$AH940&gt;0),$M940*$AG940*$AH940,0),0)</f>
        <v>53.078</v>
      </c>
      <c r="AR940" s="153" t="n">
        <f aca="false">IFERROR(IF(AND($N940="VCA",$AJ940&gt;0),($M940*$AG940*$AJ940)-$AI940,0),0)</f>
        <v>295.124399875891</v>
      </c>
      <c r="AS940" s="153" t="n">
        <f aca="false">IFERROR(IF(AND($N940="VCA",$AP940&gt;0),$AP940-$AI940-$AQ940-$AR940,0),0)</f>
        <v>477.702</v>
      </c>
      <c r="AT940" s="153" t="n">
        <f aca="false">IFERROR(IF($N940="VCA",INDEX(APOIO_REDES!$A:$W,MATCH($C940&amp;$I940&amp;$H940&amp;$N940&amp;$O940,APOIO_REDES!$W:$W,0),MATCH(AT$5,APOIO_REDES!$5:$5,0)),0)*$AP940,0)</f>
        <v>9.55769699723446</v>
      </c>
      <c r="AU940" s="153" t="n">
        <f aca="false">IFERROR(IF($N940="VCA",INDEX(APOIO_REDES!$A:$W,MATCH($C940&amp;$I940&amp;$H940&amp;$N940&amp;$O940,APOIO_REDES!$W:$W,0),MATCH(AU$5,APOIO_REDES!$5:$5,0)),0)*$AP940,0)</f>
        <v>7.6325179667286</v>
      </c>
      <c r="AV940" s="153" t="n">
        <f aca="false">IFERROR(IF($N940="VCA",INDEX(APOIO_REDES!$A:$W,MATCH($C940&amp;$I940&amp;$H940&amp;$N940&amp;$O940,APOIO_REDES!$W:$W,0),MATCH(AV$5,APOIO_REDES!$5:$5,0)),0)*$AP940,0)</f>
        <v>1.05628056897995</v>
      </c>
      <c r="AW940" s="153" t="n">
        <f aca="false">IFERROR(IF($N940="VCA",INDEX(APOIO_REDES!$A:$W,MATCH($C940&amp;$I940&amp;$H940&amp;$N940&amp;$O940,APOIO_REDES!$W:$W,0),MATCH(AW$5,APOIO_REDES!$5:$5,0)),0)*$AP940,0)</f>
        <v>602.968640252234</v>
      </c>
      <c r="AX940" s="153" t="n">
        <f aca="false">IFERROR(IF($N940="VCA",INDEX(APOIO_REDES!$A:$W,MATCH($C940&amp;$I940&amp;$H940&amp;$N940&amp;$O940,APOIO_REDES!$W:$W,0),MATCH(AX$5,APOIO_REDES!$5:$5,0)),0)*$AP940,0)</f>
        <v>83.4491422222253</v>
      </c>
      <c r="AY940" s="153" t="n">
        <f aca="false">IFERROR(IF($N940="VCA",INDEX(APOIO_REDES!$A:$W,MATCH($C940&amp;$I940&amp;$H940&amp;$N940&amp;$O940,APOIO_REDES!$W:$W,0),MATCH(AY$5,APOIO_REDES!$5:$5,0)),0)*$AP940,0)</f>
        <v>152.650266294797</v>
      </c>
      <c r="AZ940" s="153" t="n">
        <f aca="false">IFERROR(IF($N940="VCA",INDEX(APOIO_REDES!$A:$W,MATCH($C940&amp;$I940&amp;$H940&amp;$N940&amp;$O940,APOIO_REDES!$W:$W,0),MATCH(AZ$5,APOIO_REDES!$5:$5,0)),0)*$AP940,0)</f>
        <v>21.1263556978013</v>
      </c>
      <c r="BA940" s="153" t="n">
        <f aca="false">IFERROR(IF(AND($N940="VCA",$Q940="LINEAR"),INDEX(APOIO_REDES!$A:$W,MATCH($C940&amp;$I940&amp;$H940&amp;$N940&amp;$O940,APOIO_REDES!$W:$W,0),MATCH(BA$5,APOIO_REDES!$5:$5,0)),IF(AND($N940="MND",$Q940="EMBOQUE"),INDEX(APOIO_REDES!$A:$W,MATCH($C940&amp;$I940&amp;$H940&amp;$N940&amp;$O940,APOIO_REDES!$W:$W,0),MATCH(BA$5,APOIO_REDES!$5:$5,0)),0))*$M940/10,0)</f>
        <v>42.7795291497958</v>
      </c>
      <c r="BB940" s="153" t="n">
        <f aca="false">IFERROR(IF($N940="VCA",INDEX(APOIO_REDES!$A:$W,MATCH($C940&amp;$I940&amp;$H940&amp;$N940&amp;$O940,APOIO_REDES!$W:$W,0),MATCH(BB$5,APOIO_REDES!$5:$5,0)),0)*($AI940+$AQ940+$AR940),0)</f>
        <v>396.37874215534</v>
      </c>
      <c r="BC940" s="153" t="n">
        <f aca="false">IFERROR(IF($N940="VCA",INDEX(APOIO_REDES!$A:$W,MATCH($C940&amp;$I940&amp;$H940&amp;$N940&amp;$O940,APOIO_REDES!$W:$W,0),MATCH(BC$5,APOIO_REDES!$5:$5,0)),0)*($AI940+$AQ940+$AR940),0)</f>
        <v>4.36015784465983</v>
      </c>
      <c r="BD940" s="153" t="n">
        <f aca="false">IF(AND($N940="VCA",$AF940&gt;=1.25,$AF940&lt;1.5),$M940*$AF940*2,0)</f>
        <v>0</v>
      </c>
      <c r="BE940" s="153" t="n">
        <f aca="false">IF(AND($N940="VCA",$AF940&gt;=1.5,$AF940&lt;3),$M940*$AF940*2,0)</f>
        <v>1756.8818</v>
      </c>
      <c r="BF940" s="153" t="n">
        <f aca="false">IF(AND($N940="VCA",$AF940&gt;=3),$M940*$AF940*2,0)</f>
        <v>0</v>
      </c>
      <c r="BG940" s="153" t="n">
        <f aca="false">($BB940+$BC940)*$AK940</f>
        <v>1242.29059</v>
      </c>
      <c r="BH940" s="153" t="n">
        <f aca="false">IF(AND($M940&lt;&gt;"",$N940="VCA",$Q940="LINEAR"),($M940*2)/100,IF(AND($M940&lt;&gt;"",$N940="MND",$Q940="EMBOQUE"),($AN940*2)/100,0))</f>
        <v>10.6156</v>
      </c>
      <c r="BI940" s="153" t="n">
        <f aca="false">IF(AND($M940&lt;&gt;"",$N940="VCA",$Q940="LINEAR"),$M940,IF(AND($M940&lt;&gt;"",$N940="MND",$Q940="EMBOQUE"),$AN940*2,0))</f>
        <v>530.78</v>
      </c>
      <c r="BJ940" s="153" t="n">
        <f aca="false">IF(AND($M940&lt;&gt;"",$N940="VCA",$Q940="LINEAR"),($M940*6.8)/100,IF(AND($M940&lt;&gt;"",$N940="MND",$Q940="EMBOQUE"),($AN940*2*6.8)/100,0))</f>
        <v>36.09304</v>
      </c>
      <c r="BK940" s="153" t="n">
        <f aca="false">IF(AND($M940&lt;&gt;"",$N940="VCA",$Q940="LINEAR"),($M940*2.5)/50,IF(AND($M940&lt;&gt;"",$N940="MND",$Q940="EMBOQUE"),($AN940*2*2.5)/50,0))</f>
        <v>26.539</v>
      </c>
      <c r="BL940" s="157" t="str">
        <f aca="false">K940&amp;J940</f>
        <v>ADUTORAREDES</v>
      </c>
      <c r="BM940" s="152" t="s">
        <v>2229</v>
      </c>
      <c r="BN940" s="152" t="s">
        <v>2230</v>
      </c>
      <c r="BO940" s="152" t="s">
        <v>3688</v>
      </c>
      <c r="BP940" s="152" t="s">
        <v>5115</v>
      </c>
      <c r="BQ940" s="152" t="s">
        <v>5118</v>
      </c>
      <c r="BR940" s="152" t="s">
        <v>5119</v>
      </c>
      <c r="BS940" s="152" t="n">
        <v>203155.024</v>
      </c>
      <c r="BT940" s="152" t="n">
        <v>8237139.464</v>
      </c>
      <c r="BU940" s="152" t="n">
        <v>203486.943</v>
      </c>
      <c r="BV940" s="152" t="n">
        <v>8236853.472</v>
      </c>
      <c r="BW940" s="152" t="n">
        <v>-15.9276519</v>
      </c>
      <c r="BX940" s="152" t="n">
        <v>-47.7701363</v>
      </c>
      <c r="BY940" s="152" t="s">
        <v>5057</v>
      </c>
    </row>
    <row r="941" customFormat="false" ht="13.8" hidden="false" customHeight="false" outlineLevel="0" collapsed="false">
      <c r="A941" s="149" t="n">
        <f aca="false">IF(C941&lt;&gt;"",ROW(A936),"")</f>
        <v>936</v>
      </c>
      <c r="B941" s="150" t="str">
        <f aca="false">HYPERLINK("https://www.google.com/maps/dir/-15.917302,-47.760003/-15.9274468,-47.7721663/data=!4m3!4m2!3e0!5i2")</f>
        <v>https://www.google.com/maps/dir/-15.917302,-47.760003/-15.9274468,-47.7721663/data=!4m3!4m2!3e0!5i2</v>
      </c>
      <c r="C941" s="151" t="s">
        <v>117</v>
      </c>
      <c r="D941" s="152" t="s">
        <v>112</v>
      </c>
      <c r="E941" s="152" t="s">
        <v>113</v>
      </c>
      <c r="F941" s="152" t="s">
        <v>117</v>
      </c>
      <c r="G941" s="152" t="s">
        <v>114</v>
      </c>
      <c r="H941" s="152" t="n">
        <v>160</v>
      </c>
      <c r="I941" s="152" t="s">
        <v>115</v>
      </c>
      <c r="J941" s="152" t="s">
        <v>6</v>
      </c>
      <c r="K941" s="152" t="s">
        <v>5106</v>
      </c>
      <c r="L941" s="152" t="s">
        <v>120</v>
      </c>
      <c r="M941" s="153" t="n">
        <f aca="false">46.56</f>
        <v>46.56</v>
      </c>
      <c r="N941" s="152" t="s">
        <v>1548</v>
      </c>
      <c r="O941" s="152" t="s">
        <v>1549</v>
      </c>
      <c r="P941" s="152" t="s">
        <v>1550</v>
      </c>
      <c r="Q941" s="152" t="s">
        <v>1551</v>
      </c>
      <c r="R941" s="154" t="s">
        <v>5120</v>
      </c>
      <c r="S941" s="154" t="s">
        <v>1593</v>
      </c>
      <c r="T941" s="155" t="s">
        <v>3685</v>
      </c>
      <c r="U941" s="152" t="str">
        <f aca="false">RIGHT(T941,7)</f>
        <v>012/037</v>
      </c>
      <c r="V941" s="152" t="s">
        <v>1555</v>
      </c>
      <c r="W941" s="156" t="n">
        <v>45882</v>
      </c>
      <c r="X941" s="152" t="s">
        <v>1594</v>
      </c>
      <c r="Y941" s="152" t="s">
        <v>5121</v>
      </c>
      <c r="Z941" s="152" t="s">
        <v>1557</v>
      </c>
      <c r="AA941" s="153" t="n">
        <v>3.9</v>
      </c>
      <c r="AB941" s="151" t="s">
        <v>5122</v>
      </c>
      <c r="AC941" s="151" t="s">
        <v>505</v>
      </c>
      <c r="AD941" s="151" t="str">
        <f aca="false">CONCATENATE($C941,$I941,$H941,$N941,$J941,$K941)</f>
        <v>TUBO PEADPEAD160VCAREDESZona09</v>
      </c>
      <c r="AE941" s="153" t="n">
        <f aca="false">IFERROR(INDEX(APOIO_REDES!$A:$W,MATCH($C941&amp;$I941&amp;$H941&amp;$N941&amp;$O941,APOIO_REDES!$W:$W,0),MATCH(AE$5,APOIO_REDES!$5:$5,0)),0)</f>
        <v>1.2</v>
      </c>
      <c r="AF941" s="153" t="n">
        <f aca="false">IFERROR(INDEX(APOIO_REDES!$A:$W,MATCH($C941&amp;$I941&amp;$H941&amp;$N941&amp;$O941,APOIO_REDES!$W:$W,0),MATCH(AF$5,APOIO_REDES!$5:$5,0)),0)</f>
        <v>1.46</v>
      </c>
      <c r="AG941" s="153" t="n">
        <f aca="false">IFERROR(INDEX(APOIO_REDES!$A:$W,MATCH($C941&amp;$I941&amp;$H941&amp;$N941&amp;$O941,APOIO_REDES!$W:$W,0),MATCH(AG$5,APOIO_REDES!$5:$5,0)),0)</f>
        <v>0.75</v>
      </c>
      <c r="AH941" s="153" t="n">
        <f aca="false">IFERROR(INDEX(APOIO_REDES!$A:$W,MATCH($C941&amp;$I941&amp;$H941&amp;$N941&amp;$O941,APOIO_REDES!$W:$W,0),MATCH(AH$5,APOIO_REDES!$5:$5,0)),0)</f>
        <v>0.1</v>
      </c>
      <c r="AI941" s="153" t="n">
        <f aca="false">IFERROR(IF($H941&lt;&gt;"",(((($H941/1000)/2)^2)*PI()*$M941),0),0)</f>
        <v>0.936144345287301</v>
      </c>
      <c r="AJ941" s="153" t="n">
        <f aca="false">IFERROR(IF(AND($H941&lt;&gt;"",$I941="FoFo",OR($N941="MND",$N941="VCA"),$Q941="LINEAR"),0,IF(AND($H941&lt;&gt;"",$I941="PEAD",$N941="VCA",$Q941="LINEAR"),($H941/1000)+0.3,IF(AND($H941&lt;&gt;"",$I941="PEAD",$N941="MND",$Q941="EMBOQUE"),0,IF(AND($H941&lt;&gt;"",$I941="PVC",$N941="VCA",$Q941="LINEAR"),($H941/1000)+0.2,IF(AND($H941&lt;&gt;"",$I941="PVC",$N941="MND",$Q941="EMBOQUE"),0,IF(AND($H941&lt;&gt;"",$I941="PEAD",$N941="VCA",$Q941="PREDIAL"),0,0)))))),0)</f>
        <v>0.46</v>
      </c>
      <c r="AK941" s="153" t="n">
        <f aca="false">IF(AA941&lt;&gt;"",AA941,0)</f>
        <v>3.9</v>
      </c>
      <c r="AL941" s="153" t="n">
        <f aca="false">IF(AND($N941="MND",$Q941="EMBOQUE"),$M941,IF(AND($N941="VCA",$Q941="LINEAR"),$M941,IF(AND($N941="VCA",$Q941="PREDIAL"),0,0)))</f>
        <v>46.56</v>
      </c>
      <c r="AM941" s="153" t="n">
        <f aca="false">IF(AND($N941="MND",$Q941="EMBOQUE"),$M941,IF(AND($N941="VCA",$Q941="LINEAR"),$M941,IF(AND($N941="VCA",$Q941="PREDIAL"),0,0)))</f>
        <v>46.56</v>
      </c>
      <c r="AN941" s="153" t="n">
        <f aca="false">ROUND(IF(AND($N941="VCA",$M941&lt;&gt;"",$Q941="LINEAR"),$M941/100,IF(AND($N941="MND",$M941&gt;100,$Q941="EMBOQUE"),$M941/100,0)),0)</f>
        <v>0</v>
      </c>
      <c r="AO941" s="153" t="n">
        <f aca="false">IF(AND($N941="MND",$Q941="EMBOQUE"),$AN941*2*2,IF(AND($N941="VCA",$Q941="LINEAR"),$M941*2,IF(AND($N941="VCA",$Q941="PREDIAL"),0,0)))</f>
        <v>93.12</v>
      </c>
      <c r="AP941" s="153" t="n">
        <f aca="false">IFERROR($M941*$AF941*$AG941,0)</f>
        <v>50.9832</v>
      </c>
      <c r="AQ941" s="153" t="n">
        <f aca="false">IFERROR(IF(AND($N941="VCA",$AH941&gt;0),$M941*$AG941*$AH941,0),0)</f>
        <v>3.492</v>
      </c>
      <c r="AR941" s="153" t="n">
        <f aca="false">IFERROR(IF(AND($N941="VCA",$AJ941&gt;0),($M941*$AG941*$AJ941)-$AI941,0),0)</f>
        <v>15.1270556547127</v>
      </c>
      <c r="AS941" s="153" t="n">
        <f aca="false">IFERROR(IF(AND($N941="VCA",$AP941&gt;0),$AP941-$AI941-$AQ941-$AR941,0),0)</f>
        <v>31.428</v>
      </c>
      <c r="AT941" s="153" t="n">
        <f aca="false">IFERROR(IF($N941="VCA",INDEX(APOIO_REDES!$A:$W,MATCH($C941&amp;$I941&amp;$H941&amp;$N941&amp;$O941,APOIO_REDES!$W:$W,0),MATCH(AT$5,APOIO_REDES!$5:$5,0)),0)*$AP941,0)</f>
        <v>0.55471230625692</v>
      </c>
      <c r="AU941" s="153" t="n">
        <f aca="false">IFERROR(IF($N941="VCA",INDEX(APOIO_REDES!$A:$W,MATCH($C941&amp;$I941&amp;$H941&amp;$N941&amp;$O941,APOIO_REDES!$W:$W,0),MATCH(AU$5,APOIO_REDES!$5:$5,0)),0)*$AP941,0)</f>
        <v>0.442978224262233</v>
      </c>
      <c r="AV941" s="153" t="n">
        <f aca="false">IFERROR(IF($N941="VCA",INDEX(APOIO_REDES!$A:$W,MATCH($C941&amp;$I941&amp;$H941&amp;$N941&amp;$O941,APOIO_REDES!$W:$W,0),MATCH(AV$5,APOIO_REDES!$5:$5,0)),0)*$AP941,0)</f>
        <v>0.0613047087224859</v>
      </c>
      <c r="AW941" s="153" t="n">
        <f aca="false">IFERROR(IF($N941="VCA",INDEX(APOIO_REDES!$A:$W,MATCH($C941&amp;$I941&amp;$H941&amp;$N941&amp;$O941,APOIO_REDES!$W:$W,0),MATCH(AW$5,APOIO_REDES!$5:$5,0)),0)*$AP941,0)</f>
        <v>34.9952635171105</v>
      </c>
      <c r="AX941" s="153" t="n">
        <f aca="false">IFERROR(IF($N941="VCA",INDEX(APOIO_REDES!$A:$W,MATCH($C941&amp;$I941&amp;$H941&amp;$N941&amp;$O941,APOIO_REDES!$W:$W,0),MATCH(AX$5,APOIO_REDES!$5:$5,0)),0)*$AP941,0)</f>
        <v>4.84324478487301</v>
      </c>
      <c r="AY941" s="153" t="n">
        <f aca="false">IFERROR(IF($N941="VCA",INDEX(APOIO_REDES!$A:$W,MATCH($C941&amp;$I941&amp;$H941&amp;$N941&amp;$O941,APOIO_REDES!$W:$W,0),MATCH(AY$5,APOIO_REDES!$5:$5,0)),0)*$AP941,0)</f>
        <v>8.85955908537601</v>
      </c>
      <c r="AZ941" s="153" t="n">
        <f aca="false">IFERROR(IF($N941="VCA",INDEX(APOIO_REDES!$A:$W,MATCH($C941&amp;$I941&amp;$H941&amp;$N941&amp;$O941,APOIO_REDES!$W:$W,0),MATCH(AZ$5,APOIO_REDES!$5:$5,0)),0)*$AP941,0)</f>
        <v>1.22613737339887</v>
      </c>
      <c r="BA941" s="153" t="n">
        <f aca="false">IFERROR(IF(AND($N941="VCA",$Q941="LINEAR"),INDEX(APOIO_REDES!$A:$W,MATCH($C941&amp;$I941&amp;$H941&amp;$N941&amp;$O941,APOIO_REDES!$W:$W,0),MATCH(BA$5,APOIO_REDES!$5:$5,0)),IF(AND($N941="MND",$Q941="EMBOQUE"),INDEX(APOIO_REDES!$A:$W,MATCH($C941&amp;$I941&amp;$H941&amp;$N941&amp;$O941,APOIO_REDES!$W:$W,0),MATCH(BA$5,APOIO_REDES!$5:$5,0)),0))*$M941/10,0)</f>
        <v>3.75261855611457</v>
      </c>
      <c r="BB941" s="153" t="n">
        <f aca="false">IFERROR(IF($N941="VCA",INDEX(APOIO_REDES!$A:$W,MATCH($C941&amp;$I941&amp;$H941&amp;$N941&amp;$O941,APOIO_REDES!$W:$W,0),MATCH(BB$5,APOIO_REDES!$5:$5,0)),0)*($AI941+$AQ941+$AR941),0)</f>
        <v>19.3424336359563</v>
      </c>
      <c r="BC941" s="153" t="n">
        <f aca="false">IFERROR(IF($N941="VCA",INDEX(APOIO_REDES!$A:$W,MATCH($C941&amp;$I941&amp;$H941&amp;$N941&amp;$O941,APOIO_REDES!$W:$W,0),MATCH(BC$5,APOIO_REDES!$5:$5,0)),0)*($AI941+$AQ941+$AR941),0)</f>
        <v>0.21276636404375</v>
      </c>
      <c r="BD941" s="153" t="n">
        <f aca="false">IF(AND($N941="VCA",$AF941&gt;=1.25,$AF941&lt;1.5),$M941*$AF941*2,0)</f>
        <v>135.9552</v>
      </c>
      <c r="BE941" s="153" t="n">
        <f aca="false">IF(AND($N941="VCA",$AF941&gt;=1.5,$AF941&lt;3),$M941*$AF941*2,0)</f>
        <v>0</v>
      </c>
      <c r="BF941" s="153" t="n">
        <f aca="false">IF(AND($N941="VCA",$AF941&gt;=3),$M941*$AF941*2,0)</f>
        <v>0</v>
      </c>
      <c r="BG941" s="153" t="n">
        <f aca="false">($BB941+$BC941)*$AK941</f>
        <v>76.26528</v>
      </c>
      <c r="BH941" s="153" t="n">
        <f aca="false">IF(AND($M941&lt;&gt;"",$N941="VCA",$Q941="LINEAR"),($M941*2)/100,IF(AND($M941&lt;&gt;"",$N941="MND",$Q941="EMBOQUE"),($AN941*2)/100,0))</f>
        <v>0.9312</v>
      </c>
      <c r="BI941" s="153" t="n">
        <f aca="false">IF(AND($M941&lt;&gt;"",$N941="VCA",$Q941="LINEAR"),$M941,IF(AND($M941&lt;&gt;"",$N941="MND",$Q941="EMBOQUE"),$AN941*2,0))</f>
        <v>46.56</v>
      </c>
      <c r="BJ941" s="153" t="n">
        <f aca="false">IF(AND($M941&lt;&gt;"",$N941="VCA",$Q941="LINEAR"),($M941*6.8)/100,IF(AND($M941&lt;&gt;"",$N941="MND",$Q941="EMBOQUE"),($AN941*2*6.8)/100,0))</f>
        <v>3.16608</v>
      </c>
      <c r="BK941" s="153" t="n">
        <f aca="false">IF(AND($M941&lt;&gt;"",$N941="VCA",$Q941="LINEAR"),($M941*2.5)/50,IF(AND($M941&lt;&gt;"",$N941="MND",$Q941="EMBOQUE"),($AN941*2*2.5)/50,0))</f>
        <v>2.328</v>
      </c>
      <c r="BL941" s="157" t="str">
        <f aca="false">K941&amp;J941</f>
        <v>Zona09REDES</v>
      </c>
      <c r="BM941" s="152" t="s">
        <v>5109</v>
      </c>
      <c r="BN941" s="152" t="s">
        <v>1560</v>
      </c>
      <c r="BO941" s="152" t="s">
        <v>3688</v>
      </c>
      <c r="BP941" s="152" t="s">
        <v>2032</v>
      </c>
      <c r="BQ941" s="152" t="s">
        <v>2032</v>
      </c>
      <c r="BR941" s="152" t="s">
        <v>5123</v>
      </c>
      <c r="BS941" s="152" t="n">
        <v>203163.54</v>
      </c>
      <c r="BT941" s="152" t="n">
        <v>8237138.645</v>
      </c>
      <c r="BU941" s="152" t="n">
        <v>203206.269</v>
      </c>
      <c r="BV941" s="152" t="n">
        <v>8237120.704</v>
      </c>
      <c r="BW941" s="152" t="n">
        <v>-15.9273578</v>
      </c>
      <c r="BX941" s="152" t="n">
        <v>-47.7722722</v>
      </c>
      <c r="BY941" s="152" t="s">
        <v>5124</v>
      </c>
    </row>
    <row r="942" customFormat="false" ht="13.8" hidden="false" customHeight="false" outlineLevel="0" collapsed="false">
      <c r="A942" s="149" t="n">
        <f aca="false">IF(C942&lt;&gt;"",ROW(A937),"")</f>
        <v>937</v>
      </c>
      <c r="B942" s="150" t="str">
        <f aca="false">HYPERLINK("https://www.google.com/maps/dir/-15.917302,-47.760003/-15.9272799,-47.7725400/data=!4m3!4m2!3e0!5i0")</f>
        <v>https://www.google.com/maps/dir/-15.917302,-47.760003/-15.9272799,-47.7725400/data=!4m3!4m2!3e0!5i0</v>
      </c>
      <c r="C942" s="151" t="s">
        <v>117</v>
      </c>
      <c r="D942" s="152" t="s">
        <v>112</v>
      </c>
      <c r="E942" s="152" t="s">
        <v>113</v>
      </c>
      <c r="F942" s="152" t="s">
        <v>117</v>
      </c>
      <c r="G942" s="152" t="s">
        <v>782</v>
      </c>
      <c r="H942" s="152" t="n">
        <v>63</v>
      </c>
      <c r="I942" s="152" t="s">
        <v>115</v>
      </c>
      <c r="J942" s="152" t="s">
        <v>6</v>
      </c>
      <c r="K942" s="152" t="s">
        <v>5106</v>
      </c>
      <c r="L942" s="152" t="s">
        <v>120</v>
      </c>
      <c r="M942" s="153" t="n">
        <f aca="false">44.1</f>
        <v>44.1</v>
      </c>
      <c r="N942" s="152" t="s">
        <v>1548</v>
      </c>
      <c r="O942" s="152" t="s">
        <v>1549</v>
      </c>
      <c r="P942" s="152" t="s">
        <v>1550</v>
      </c>
      <c r="Q942" s="152" t="s">
        <v>1551</v>
      </c>
      <c r="R942" s="154" t="s">
        <v>5125</v>
      </c>
      <c r="S942" s="154" t="s">
        <v>1553</v>
      </c>
      <c r="T942" s="155" t="s">
        <v>3685</v>
      </c>
      <c r="U942" s="152" t="str">
        <f aca="false">RIGHT(T942,7)</f>
        <v>012/037</v>
      </c>
      <c r="V942" s="152" t="s">
        <v>1555</v>
      </c>
      <c r="W942" s="156" t="n">
        <v>45882</v>
      </c>
      <c r="X942" s="152" t="s">
        <v>1594</v>
      </c>
      <c r="Y942" s="152" t="s">
        <v>4968</v>
      </c>
      <c r="Z942" s="152" t="s">
        <v>1557</v>
      </c>
      <c r="AA942" s="153" t="n">
        <v>3.1</v>
      </c>
      <c r="AB942" s="151" t="s">
        <v>5126</v>
      </c>
      <c r="AC942" s="151" t="s">
        <v>186</v>
      </c>
      <c r="AD942" s="151" t="str">
        <f aca="false">CONCATENATE($C942,$I942,$H942,$N942,$J942,$K942)</f>
        <v>TUBO PEADPEAD63VCAREDESZona09</v>
      </c>
      <c r="AE942" s="153" t="n">
        <f aca="false">IFERROR(INDEX(APOIO_REDES!$A:$W,MATCH($C942&amp;$I942&amp;$H942&amp;$N942&amp;$O942,APOIO_REDES!$W:$W,0),MATCH(AE$5,APOIO_REDES!$5:$5,0)),0)</f>
        <v>1.2</v>
      </c>
      <c r="AF942" s="153" t="n">
        <f aca="false">IFERROR(INDEX(APOIO_REDES!$A:$W,MATCH($C942&amp;$I942&amp;$H942&amp;$N942&amp;$O942,APOIO_REDES!$W:$W,0),MATCH(AF$5,APOIO_REDES!$5:$5,0)),0)</f>
        <v>1.363</v>
      </c>
      <c r="AG942" s="153" t="n">
        <f aca="false">IFERROR(INDEX(APOIO_REDES!$A:$W,MATCH($C942&amp;$I942&amp;$H942&amp;$N942&amp;$O942,APOIO_REDES!$W:$W,0),MATCH(AG$5,APOIO_REDES!$5:$5,0)),0)</f>
        <v>0.65</v>
      </c>
      <c r="AH942" s="153" t="n">
        <f aca="false">IFERROR(INDEX(APOIO_REDES!$A:$W,MATCH($C942&amp;$I942&amp;$H942&amp;$N942&amp;$O942,APOIO_REDES!$W:$W,0),MATCH(AH$5,APOIO_REDES!$5:$5,0)),0)</f>
        <v>0.1</v>
      </c>
      <c r="AI942" s="153" t="n">
        <f aca="false">IFERROR(IF($H942&lt;&gt;"",(((($H942/1000)/2)^2)*PI()*$M942),0),0)</f>
        <v>0.137470518194129</v>
      </c>
      <c r="AJ942" s="153" t="n">
        <f aca="false">IFERROR(IF(AND($H942&lt;&gt;"",$I942="FoFo",OR($N942="MND",$N942="VCA"),$Q942="LINEAR"),0,IF(AND($H942&lt;&gt;"",$I942="PEAD",$N942="VCA",$Q942="LINEAR"),($H942/1000)+0.3,IF(AND($H942&lt;&gt;"",$I942="PEAD",$N942="MND",$Q942="EMBOQUE"),0,IF(AND($H942&lt;&gt;"",$I942="PVC",$N942="VCA",$Q942="LINEAR"),($H942/1000)+0.2,IF(AND($H942&lt;&gt;"",$I942="PVC",$N942="MND",$Q942="EMBOQUE"),0,IF(AND($H942&lt;&gt;"",$I942="PEAD",$N942="VCA",$Q942="PREDIAL"),0,0)))))),0)</f>
        <v>0.363</v>
      </c>
      <c r="AK942" s="153" t="n">
        <f aca="false">IF(AA942&lt;&gt;"",AA942,0)</f>
        <v>3.1</v>
      </c>
      <c r="AL942" s="153" t="n">
        <f aca="false">IF(AND($N942="MND",$Q942="EMBOQUE"),$M942,IF(AND($N942="VCA",$Q942="LINEAR"),$M942,IF(AND($N942="VCA",$Q942="PREDIAL"),0,0)))</f>
        <v>44.1</v>
      </c>
      <c r="AM942" s="153" t="n">
        <f aca="false">IF(AND($N942="MND",$Q942="EMBOQUE"),$M942,IF(AND($N942="VCA",$Q942="LINEAR"),$M942,IF(AND($N942="VCA",$Q942="PREDIAL"),0,0)))</f>
        <v>44.1</v>
      </c>
      <c r="AN942" s="153" t="n">
        <f aca="false">ROUND(IF(AND($N942="VCA",$M942&lt;&gt;"",$Q942="LINEAR"),$M942/100,IF(AND($N942="MND",$M942&gt;100,$Q942="EMBOQUE"),$M942/100,0)),0)</f>
        <v>0</v>
      </c>
      <c r="AO942" s="153" t="n">
        <f aca="false">IF(AND($N942="MND",$Q942="EMBOQUE"),$AN942*2*2,IF(AND($N942="VCA",$Q942="LINEAR"),$M942*2,IF(AND($N942="VCA",$Q942="PREDIAL"),0,0)))</f>
        <v>88.2</v>
      </c>
      <c r="AP942" s="153" t="n">
        <f aca="false">IFERROR($M942*$AF942*$AG942,0)</f>
        <v>39.070395</v>
      </c>
      <c r="AQ942" s="153" t="n">
        <f aca="false">IFERROR(IF(AND($N942="VCA",$AH942&gt;0),$M942*$AG942*$AH942,0),0)</f>
        <v>2.8665</v>
      </c>
      <c r="AR942" s="153" t="n">
        <f aca="false">IFERROR(IF(AND($N942="VCA",$AJ942&gt;0),($M942*$AG942*$AJ942)-$AI942,0),0)</f>
        <v>10.2679244818059</v>
      </c>
      <c r="AS942" s="153" t="n">
        <f aca="false">IFERROR(IF(AND($N942="VCA",$AP942&gt;0),$AP942-$AI942-$AQ942-$AR942,0),0)</f>
        <v>25.7985</v>
      </c>
      <c r="AT942" s="153" t="n">
        <f aca="false">IFERROR(IF($N942="VCA",INDEX(APOIO_REDES!$A:$W,MATCH($C942&amp;$I942&amp;$H942&amp;$N942&amp;$O942,APOIO_REDES!$W:$W,0),MATCH(AT$5,APOIO_REDES!$5:$5,0)),0)*$AP942,0)</f>
        <v>0.425097461846624</v>
      </c>
      <c r="AU942" s="153" t="n">
        <f aca="false">IFERROR(IF($N942="VCA",INDEX(APOIO_REDES!$A:$W,MATCH($C942&amp;$I942&amp;$H942&amp;$N942&amp;$O942,APOIO_REDES!$W:$W,0),MATCH(AU$5,APOIO_REDES!$5:$5,0)),0)*$AP942,0)</f>
        <v>0.33947131993135</v>
      </c>
      <c r="AV942" s="153" t="n">
        <f aca="false">IFERROR(IF($N942="VCA",INDEX(APOIO_REDES!$A:$W,MATCH($C942&amp;$I942&amp;$H942&amp;$N942&amp;$O942,APOIO_REDES!$W:$W,0),MATCH(AV$5,APOIO_REDES!$5:$5,0)),0)*$AP942,0)</f>
        <v>0.0469801657241497</v>
      </c>
      <c r="AW942" s="153" t="n">
        <f aca="false">IFERROR(IF($N942="VCA",INDEX(APOIO_REDES!$A:$W,MATCH($C942&amp;$I942&amp;$H942&amp;$N942&amp;$O942,APOIO_REDES!$W:$W,0),MATCH(AW$5,APOIO_REDES!$5:$5,0)),0)*$AP942,0)</f>
        <v>26.8182218601931</v>
      </c>
      <c r="AX942" s="153" t="n">
        <f aca="false">IFERROR(IF($N942="VCA",INDEX(APOIO_REDES!$A:$W,MATCH($C942&amp;$I942&amp;$H942&amp;$N942&amp;$O942,APOIO_REDES!$W:$W,0),MATCH(AX$5,APOIO_REDES!$5:$5,0)),0)*$AP942,0)</f>
        <v>3.71156551229971</v>
      </c>
      <c r="AY942" s="153" t="n">
        <f aca="false">IFERROR(IF($N942="VCA",INDEX(APOIO_REDES!$A:$W,MATCH($C942&amp;$I942&amp;$H942&amp;$N942&amp;$O942,APOIO_REDES!$W:$W,0),MATCH(AY$5,APOIO_REDES!$5:$5,0)),0)*$AP942,0)</f>
        <v>6.78942226049914</v>
      </c>
      <c r="AZ942" s="153" t="n">
        <f aca="false">IFERROR(IF($N942="VCA",INDEX(APOIO_REDES!$A:$W,MATCH($C942&amp;$I942&amp;$H942&amp;$N942&amp;$O942,APOIO_REDES!$W:$W,0),MATCH(AZ$5,APOIO_REDES!$5:$5,0)),0)*$AP942,0)</f>
        <v>0.939636419505965</v>
      </c>
      <c r="BA942" s="153" t="n">
        <f aca="false">IFERROR(IF(AND($N942="VCA",$Q942="LINEAR"),INDEX(APOIO_REDES!$A:$W,MATCH($C942&amp;$I942&amp;$H942&amp;$N942&amp;$O942,APOIO_REDES!$W:$W,0),MATCH(BA$5,APOIO_REDES!$5:$5,0)),IF(AND($N942="MND",$Q942="EMBOQUE"),INDEX(APOIO_REDES!$A:$W,MATCH($C942&amp;$I942&amp;$H942&amp;$N942&amp;$O942,APOIO_REDES!$W:$W,0),MATCH(BA$5,APOIO_REDES!$5:$5,0)),0))*$M942/10,0)</f>
        <v>3.55434876126831</v>
      </c>
      <c r="BB942" s="153" t="n">
        <f aca="false">IFERROR(IF($N942="VCA",INDEX(APOIO_REDES!$A:$W,MATCH($C942&amp;$I942&amp;$H942&amp;$N942&amp;$O942,APOIO_REDES!$W:$W,0),MATCH(BB$5,APOIO_REDES!$5:$5,0)),0)*($AI942+$AQ942+$AR942),0)</f>
        <v>13.1274928541196</v>
      </c>
      <c r="BC942" s="153" t="n">
        <f aca="false">IFERROR(IF($N942="VCA",INDEX(APOIO_REDES!$A:$W,MATCH($C942&amp;$I942&amp;$H942&amp;$N942&amp;$O942,APOIO_REDES!$W:$W,0),MATCH(BC$5,APOIO_REDES!$5:$5,0)),0)*($AI942+$AQ942+$AR942),0)</f>
        <v>0.144402145880401</v>
      </c>
      <c r="BD942" s="153" t="n">
        <f aca="false">IF(AND($N942="VCA",$AF942&gt;=1.25,$AF942&lt;1.5),$M942*$AF942*2,0)</f>
        <v>120.2166</v>
      </c>
      <c r="BE942" s="153" t="n">
        <f aca="false">IF(AND($N942="VCA",$AF942&gt;=1.5,$AF942&lt;3),$M942*$AF942*2,0)</f>
        <v>0</v>
      </c>
      <c r="BF942" s="153" t="n">
        <f aca="false">IF(AND($N942="VCA",$AF942&gt;=3),$M942*$AF942*2,0)</f>
        <v>0</v>
      </c>
      <c r="BG942" s="153" t="n">
        <f aca="false">($BB942+$BC942)*$AK942</f>
        <v>41.1428745</v>
      </c>
      <c r="BH942" s="153" t="n">
        <f aca="false">IF(AND($M942&lt;&gt;"",$N942="VCA",$Q942="LINEAR"),($M942*2)/100,IF(AND($M942&lt;&gt;"",$N942="MND",$Q942="EMBOQUE"),($AN942*2)/100,0))</f>
        <v>0.882</v>
      </c>
      <c r="BI942" s="153" t="n">
        <f aca="false">IF(AND($M942&lt;&gt;"",$N942="VCA",$Q942="LINEAR"),$M942,IF(AND($M942&lt;&gt;"",$N942="MND",$Q942="EMBOQUE"),$AN942*2,0))</f>
        <v>44.1</v>
      </c>
      <c r="BJ942" s="153" t="n">
        <f aca="false">IF(AND($M942&lt;&gt;"",$N942="VCA",$Q942="LINEAR"),($M942*6.8)/100,IF(AND($M942&lt;&gt;"",$N942="MND",$Q942="EMBOQUE"),($AN942*2*6.8)/100,0))</f>
        <v>2.9988</v>
      </c>
      <c r="BK942" s="153" t="n">
        <f aca="false">IF(AND($M942&lt;&gt;"",$N942="VCA",$Q942="LINEAR"),($M942*2.5)/50,IF(AND($M942&lt;&gt;"",$N942="MND",$Q942="EMBOQUE"),($AN942*2*2.5)/50,0))</f>
        <v>2.205</v>
      </c>
      <c r="BL942" s="157" t="str">
        <f aca="false">K942&amp;J942</f>
        <v>Zona09REDES</v>
      </c>
      <c r="BM942" s="152" t="s">
        <v>5109</v>
      </c>
      <c r="BN942" s="152" t="s">
        <v>1560</v>
      </c>
      <c r="BO942" s="152" t="s">
        <v>3688</v>
      </c>
      <c r="BP942" s="152" t="s">
        <v>5110</v>
      </c>
      <c r="BQ942" s="152" t="s">
        <v>5124</v>
      </c>
      <c r="BR942" s="152" t="s">
        <v>5127</v>
      </c>
      <c r="BS942" s="152" t="n">
        <v>203155.456</v>
      </c>
      <c r="BT942" s="152" t="n">
        <v>8237136.476</v>
      </c>
      <c r="BU942" s="152" t="n">
        <v>203195.742</v>
      </c>
      <c r="BV942" s="152" t="n">
        <v>8237118.529</v>
      </c>
      <c r="BW942" s="152" t="n">
        <v>-15.9273633</v>
      </c>
      <c r="BX942" s="152" t="n">
        <v>-47.7723532</v>
      </c>
      <c r="BY942" s="152" t="s">
        <v>5110</v>
      </c>
    </row>
    <row r="943" customFormat="false" ht="13.8" hidden="false" customHeight="false" outlineLevel="0" collapsed="false">
      <c r="A943" s="149" t="n">
        <f aca="false">IF(C943&lt;&gt;"",ROW(A938),"")</f>
        <v>938</v>
      </c>
      <c r="B943" s="150" t="str">
        <f aca="false">HYPERLINK("https://www.google.com/maps/dir/-15.917302,-47.760003/-15.9274468,-47.7721663/data=!4m3!4m2!3e0!5i2")</f>
        <v>https://www.google.com/maps/dir/-15.917302,-47.760003/-15.9274468,-47.7721663/data=!4m3!4m2!3e0!5i2</v>
      </c>
      <c r="C943" s="151" t="s">
        <v>117</v>
      </c>
      <c r="D943" s="152" t="s">
        <v>112</v>
      </c>
      <c r="E943" s="152" t="s">
        <v>113</v>
      </c>
      <c r="F943" s="152" t="s">
        <v>117</v>
      </c>
      <c r="G943" s="152" t="s">
        <v>782</v>
      </c>
      <c r="H943" s="152" t="n">
        <v>90</v>
      </c>
      <c r="I943" s="152" t="s">
        <v>115</v>
      </c>
      <c r="J943" s="152" t="s">
        <v>6</v>
      </c>
      <c r="K943" s="152" t="s">
        <v>5106</v>
      </c>
      <c r="L943" s="152" t="s">
        <v>120</v>
      </c>
      <c r="M943" s="153" t="n">
        <f aca="false">61.43</f>
        <v>61.43</v>
      </c>
      <c r="N943" s="152" t="s">
        <v>1548</v>
      </c>
      <c r="O943" s="152" t="s">
        <v>1549</v>
      </c>
      <c r="P943" s="152" t="s">
        <v>1550</v>
      </c>
      <c r="Q943" s="152" t="s">
        <v>1551</v>
      </c>
      <c r="R943" s="154" t="s">
        <v>5128</v>
      </c>
      <c r="S943" s="154" t="s">
        <v>1593</v>
      </c>
      <c r="T943" s="155" t="s">
        <v>3685</v>
      </c>
      <c r="U943" s="152" t="str">
        <f aca="false">RIGHT(T943,7)</f>
        <v>012/037</v>
      </c>
      <c r="V943" s="152" t="s">
        <v>1555</v>
      </c>
      <c r="W943" s="156" t="n">
        <v>45882</v>
      </c>
      <c r="X943" s="152" t="s">
        <v>1594</v>
      </c>
      <c r="Y943" s="152" t="s">
        <v>5121</v>
      </c>
      <c r="Z943" s="152" t="s">
        <v>1557</v>
      </c>
      <c r="AA943" s="153" t="n">
        <v>3.9</v>
      </c>
      <c r="AB943" s="151" t="s">
        <v>5129</v>
      </c>
      <c r="AC943" s="151" t="s">
        <v>526</v>
      </c>
      <c r="AD943" s="151" t="str">
        <f aca="false">CONCATENATE($C943,$I943,$H943,$N943,$J943,$K943)</f>
        <v>TUBO PEADPEAD90VCAREDESZona09</v>
      </c>
      <c r="AE943" s="153" t="n">
        <f aca="false">IFERROR(INDEX(APOIO_REDES!$A:$W,MATCH($C943&amp;$I943&amp;$H943&amp;$N943&amp;$O943,APOIO_REDES!$W:$W,0),MATCH(AE$5,APOIO_REDES!$5:$5,0)),0)</f>
        <v>1.2</v>
      </c>
      <c r="AF943" s="153" t="n">
        <f aca="false">IFERROR(INDEX(APOIO_REDES!$A:$W,MATCH($C943&amp;$I943&amp;$H943&amp;$N943&amp;$O943,APOIO_REDES!$W:$W,0),MATCH(AF$5,APOIO_REDES!$5:$5,0)),0)</f>
        <v>1.39</v>
      </c>
      <c r="AG943" s="153" t="n">
        <f aca="false">IFERROR(INDEX(APOIO_REDES!$A:$W,MATCH($C943&amp;$I943&amp;$H943&amp;$N943&amp;$O943,APOIO_REDES!$W:$W,0),MATCH(AG$5,APOIO_REDES!$5:$5,0)),0)</f>
        <v>0.75</v>
      </c>
      <c r="AH943" s="153" t="n">
        <f aca="false">IFERROR(INDEX(APOIO_REDES!$A:$W,MATCH($C943&amp;$I943&amp;$H943&amp;$N943&amp;$O943,APOIO_REDES!$W:$W,0),MATCH(AH$5,APOIO_REDES!$5:$5,0)),0)</f>
        <v>0.1</v>
      </c>
      <c r="AI943" s="153" t="n">
        <f aca="false">IFERROR(IF($H943&lt;&gt;"",(((($H943/1000)/2)^2)*PI()*$M943),0),0)</f>
        <v>0.390800774337793</v>
      </c>
      <c r="AJ943" s="153" t="n">
        <f aca="false">IFERROR(IF(AND($H943&lt;&gt;"",$I943="FoFo",OR($N943="MND",$N943="VCA"),$Q943="LINEAR"),0,IF(AND($H943&lt;&gt;"",$I943="PEAD",$N943="VCA",$Q943="LINEAR"),($H943/1000)+0.3,IF(AND($H943&lt;&gt;"",$I943="PEAD",$N943="MND",$Q943="EMBOQUE"),0,IF(AND($H943&lt;&gt;"",$I943="PVC",$N943="VCA",$Q943="LINEAR"),($H943/1000)+0.2,IF(AND($H943&lt;&gt;"",$I943="PVC",$N943="MND",$Q943="EMBOQUE"),0,IF(AND($H943&lt;&gt;"",$I943="PEAD",$N943="VCA",$Q943="PREDIAL"),0,0)))))),0)</f>
        <v>0.39</v>
      </c>
      <c r="AK943" s="153" t="n">
        <f aca="false">IF(AA943&lt;&gt;"",AA943,0)</f>
        <v>3.9</v>
      </c>
      <c r="AL943" s="153" t="n">
        <f aca="false">IF(AND($N943="MND",$Q943="EMBOQUE"),$M943,IF(AND($N943="VCA",$Q943="LINEAR"),$M943,IF(AND($N943="VCA",$Q943="PREDIAL"),0,0)))</f>
        <v>61.43</v>
      </c>
      <c r="AM943" s="153" t="n">
        <f aca="false">IF(AND($N943="MND",$Q943="EMBOQUE"),$M943,IF(AND($N943="VCA",$Q943="LINEAR"),$M943,IF(AND($N943="VCA",$Q943="PREDIAL"),0,0)))</f>
        <v>61.43</v>
      </c>
      <c r="AN943" s="153" t="n">
        <f aca="false">ROUND(IF(AND($N943="VCA",$M943&lt;&gt;"",$Q943="LINEAR"),$M943/100,IF(AND($N943="MND",$M943&gt;100,$Q943="EMBOQUE"),$M943/100,0)),0)</f>
        <v>1</v>
      </c>
      <c r="AO943" s="153" t="n">
        <f aca="false">IF(AND($N943="MND",$Q943="EMBOQUE"),$AN943*2*2,IF(AND($N943="VCA",$Q943="LINEAR"),$M943*2,IF(AND($N943="VCA",$Q943="PREDIAL"),0,0)))</f>
        <v>122.86</v>
      </c>
      <c r="AP943" s="153" t="n">
        <f aca="false">IFERROR($M943*$AF943*$AG943,0)</f>
        <v>64.040775</v>
      </c>
      <c r="AQ943" s="153" t="n">
        <f aca="false">IFERROR(IF(AND($N943="VCA",$AH943&gt;0),$M943*$AG943*$AH943,0),0)</f>
        <v>4.60725</v>
      </c>
      <c r="AR943" s="153" t="n">
        <f aca="false">IFERROR(IF(AND($N943="VCA",$AJ943&gt;0),($M943*$AG943*$AJ943)-$AI943,0),0)</f>
        <v>17.5774742256622</v>
      </c>
      <c r="AS943" s="153" t="n">
        <f aca="false">IFERROR(IF(AND($N943="VCA",$AP943&gt;0),$AP943-$AI943-$AQ943-$AR943,0),0)</f>
        <v>41.46525</v>
      </c>
      <c r="AT943" s="153" t="n">
        <f aca="false">IFERROR(IF($N943="VCA",INDEX(APOIO_REDES!$A:$W,MATCH($C943&amp;$I943&amp;$H943&amp;$N943&amp;$O943,APOIO_REDES!$W:$W,0),MATCH(AT$5,APOIO_REDES!$5:$5,0)),0)*$AP943,0)</f>
        <v>0.696782587101839</v>
      </c>
      <c r="AU943" s="153" t="n">
        <f aca="false">IFERROR(IF($N943="VCA",INDEX(APOIO_REDES!$A:$W,MATCH($C943&amp;$I943&amp;$H943&amp;$N943&amp;$O943,APOIO_REDES!$W:$W,0),MATCH(AU$5,APOIO_REDES!$5:$5,0)),0)*$AP943,0)</f>
        <v>0.556431702793807</v>
      </c>
      <c r="AV943" s="153" t="n">
        <f aca="false">IFERROR(IF($N943="VCA",INDEX(APOIO_REDES!$A:$W,MATCH($C943&amp;$I943&amp;$H943&amp;$N943&amp;$O943,APOIO_REDES!$W:$W,0),MATCH(AV$5,APOIO_REDES!$5:$5,0)),0)*$AP943,0)</f>
        <v>0.0770057795065288</v>
      </c>
      <c r="AW943" s="153" t="n">
        <f aca="false">IFERROR(IF($N943="VCA",INDEX(APOIO_REDES!$A:$W,MATCH($C943&amp;$I943&amp;$H943&amp;$N943&amp;$O943,APOIO_REDES!$W:$W,0),MATCH(AW$5,APOIO_REDES!$5:$5,0)),0)*$AP943,0)</f>
        <v>43.9580841721387</v>
      </c>
      <c r="AX943" s="153" t="n">
        <f aca="false">IFERROR(IF($N943="VCA",INDEX(APOIO_REDES!$A:$W,MATCH($C943&amp;$I943&amp;$H943&amp;$N943&amp;$O943,APOIO_REDES!$W:$W,0),MATCH(AX$5,APOIO_REDES!$5:$5,0)),0)*$AP943,0)</f>
        <v>6.08367363245101</v>
      </c>
      <c r="AY943" s="153" t="n">
        <f aca="false">IFERROR(IF($N943="VCA",INDEX(APOIO_REDES!$A:$W,MATCH($C943&amp;$I943&amp;$H943&amp;$N943&amp;$O943,APOIO_REDES!$W:$W,0),MATCH(AY$5,APOIO_REDES!$5:$5,0)),0)*$AP943,0)</f>
        <v>11.1286272730188</v>
      </c>
      <c r="AZ943" s="153" t="n">
        <f aca="false">IFERROR(IF($N943="VCA",INDEX(APOIO_REDES!$A:$W,MATCH($C943&amp;$I943&amp;$H943&amp;$N943&amp;$O943,APOIO_REDES!$W:$W,0),MATCH(AZ$5,APOIO_REDES!$5:$5,0)),0)*$AP943,0)</f>
        <v>1.54016985298938</v>
      </c>
      <c r="BA943" s="153" t="n">
        <f aca="false">IFERROR(IF(AND($N943="VCA",$Q943="LINEAR"),INDEX(APOIO_REDES!$A:$W,MATCH($C943&amp;$I943&amp;$H943&amp;$N943&amp;$O943,APOIO_REDES!$W:$W,0),MATCH(BA$5,APOIO_REDES!$5:$5,0)),IF(AND($N943="MND",$Q943="EMBOQUE"),INDEX(APOIO_REDES!$A:$W,MATCH($C943&amp;$I943&amp;$H943&amp;$N943&amp;$O943,APOIO_REDES!$W:$W,0),MATCH(BA$5,APOIO_REDES!$5:$5,0)),0))*$M943/10,0)</f>
        <v>4.9511030477259</v>
      </c>
      <c r="BB943" s="153" t="n">
        <f aca="false">IFERROR(IF($N943="VCA",INDEX(APOIO_REDES!$A:$W,MATCH($C943&amp;$I943&amp;$H943&amp;$N943&amp;$O943,APOIO_REDES!$W:$W,0),MATCH(BB$5,APOIO_REDES!$5:$5,0)),0)*($AI943+$AQ943+$AR943),0)</f>
        <v>22.3298966059857</v>
      </c>
      <c r="BC943" s="153" t="n">
        <f aca="false">IFERROR(IF($N943="VCA",INDEX(APOIO_REDES!$A:$W,MATCH($C943&amp;$I943&amp;$H943&amp;$N943&amp;$O943,APOIO_REDES!$W:$W,0),MATCH(BC$5,APOIO_REDES!$5:$5,0)),0)*($AI943+$AQ943+$AR943),0)</f>
        <v>0.245628394014317</v>
      </c>
      <c r="BD943" s="153" t="n">
        <f aca="false">IF(AND($N943="VCA",$AF943&gt;=1.25,$AF943&lt;1.5),$M943*$AF943*2,0)</f>
        <v>170.7754</v>
      </c>
      <c r="BE943" s="153" t="n">
        <f aca="false">IF(AND($N943="VCA",$AF943&gt;=1.5,$AF943&lt;3),$M943*$AF943*2,0)</f>
        <v>0</v>
      </c>
      <c r="BF943" s="153" t="n">
        <f aca="false">IF(AND($N943="VCA",$AF943&gt;=3),$M943*$AF943*2,0)</f>
        <v>0</v>
      </c>
      <c r="BG943" s="153" t="n">
        <f aca="false">($BB943+$BC943)*$AK943</f>
        <v>88.0445475</v>
      </c>
      <c r="BH943" s="153" t="n">
        <f aca="false">IF(AND($M943&lt;&gt;"",$N943="VCA",$Q943="LINEAR"),($M943*2)/100,IF(AND($M943&lt;&gt;"",$N943="MND",$Q943="EMBOQUE"),($AN943*2)/100,0))</f>
        <v>1.2286</v>
      </c>
      <c r="BI943" s="153" t="n">
        <f aca="false">IF(AND($M943&lt;&gt;"",$N943="VCA",$Q943="LINEAR"),$M943,IF(AND($M943&lt;&gt;"",$N943="MND",$Q943="EMBOQUE"),$AN943*2,0))</f>
        <v>61.43</v>
      </c>
      <c r="BJ943" s="153" t="n">
        <f aca="false">IF(AND($M943&lt;&gt;"",$N943="VCA",$Q943="LINEAR"),($M943*6.8)/100,IF(AND($M943&lt;&gt;"",$N943="MND",$Q943="EMBOQUE"),($AN943*2*6.8)/100,0))</f>
        <v>4.17724</v>
      </c>
      <c r="BK943" s="153" t="n">
        <f aca="false">IF(AND($M943&lt;&gt;"",$N943="VCA",$Q943="LINEAR"),($M943*2.5)/50,IF(AND($M943&lt;&gt;"",$N943="MND",$Q943="EMBOQUE"),($AN943*2*2.5)/50,0))</f>
        <v>3.0715</v>
      </c>
      <c r="BL943" s="157" t="str">
        <f aca="false">K943&amp;J943</f>
        <v>Zona09REDES</v>
      </c>
      <c r="BM943" s="152" t="s">
        <v>5109</v>
      </c>
      <c r="BN943" s="152" t="s">
        <v>1560</v>
      </c>
      <c r="BO943" s="152" t="s">
        <v>3688</v>
      </c>
      <c r="BP943" s="152" t="s">
        <v>5124</v>
      </c>
      <c r="BQ943" s="152" t="s">
        <v>5130</v>
      </c>
      <c r="BR943" s="152" t="s">
        <v>5131</v>
      </c>
      <c r="BS943" s="152" t="n">
        <v>203195.742</v>
      </c>
      <c r="BT943" s="152" t="n">
        <v>8237118.529</v>
      </c>
      <c r="BU943" s="152" t="n">
        <v>203254.77</v>
      </c>
      <c r="BV943" s="152" t="n">
        <v>8237104.175</v>
      </c>
      <c r="BW943" s="152" t="n">
        <v>-15.9275257</v>
      </c>
      <c r="BX943" s="152" t="n">
        <v>-47.7718972</v>
      </c>
      <c r="BY943" s="152" t="s">
        <v>5124</v>
      </c>
    </row>
    <row r="944" customFormat="false" ht="13.8" hidden="false" customHeight="false" outlineLevel="0" collapsed="false">
      <c r="A944" s="149" t="n">
        <f aca="false">IF(C944&lt;&gt;"",ROW(A939),"")</f>
        <v>939</v>
      </c>
      <c r="B944" s="150" t="str">
        <f aca="false">HYPERLINK("https://www.google.com/maps/dir/-15.917302,-47.760003/-15.9275194,-47.7709561/data=!4m3!4m2!3e0!5i0")</f>
        <v>https://www.google.com/maps/dir/-15.917302,-47.760003/-15.9275194,-47.7709561/data=!4m3!4m2!3e0!5i0</v>
      </c>
      <c r="C944" s="151" t="s">
        <v>117</v>
      </c>
      <c r="D944" s="152" t="s">
        <v>112</v>
      </c>
      <c r="E944" s="152" t="s">
        <v>113</v>
      </c>
      <c r="F944" s="152" t="s">
        <v>117</v>
      </c>
      <c r="G944" s="152" t="s">
        <v>114</v>
      </c>
      <c r="H944" s="152" t="n">
        <v>160</v>
      </c>
      <c r="I944" s="152" t="s">
        <v>115</v>
      </c>
      <c r="J944" s="152" t="s">
        <v>6</v>
      </c>
      <c r="K944" s="152" t="s">
        <v>5106</v>
      </c>
      <c r="L944" s="152" t="s">
        <v>120</v>
      </c>
      <c r="M944" s="153" t="n">
        <f aca="false">41.55</f>
        <v>41.55</v>
      </c>
      <c r="N944" s="152" t="s">
        <v>1548</v>
      </c>
      <c r="O944" s="152" t="s">
        <v>1549</v>
      </c>
      <c r="P944" s="152" t="s">
        <v>1550</v>
      </c>
      <c r="Q944" s="152" t="s">
        <v>1551</v>
      </c>
      <c r="R944" s="154" t="s">
        <v>5132</v>
      </c>
      <c r="S944" s="154" t="s">
        <v>1593</v>
      </c>
      <c r="T944" s="155" t="s">
        <v>3685</v>
      </c>
      <c r="U944" s="152" t="str">
        <f aca="false">RIGHT(T944,7)</f>
        <v>012/037</v>
      </c>
      <c r="V944" s="152" t="s">
        <v>1555</v>
      </c>
      <c r="W944" s="156" t="n">
        <v>45882</v>
      </c>
      <c r="X944" s="152" t="s">
        <v>1594</v>
      </c>
      <c r="Y944" s="152" t="s">
        <v>2400</v>
      </c>
      <c r="Z944" s="152" t="s">
        <v>1557</v>
      </c>
      <c r="AA944" s="153" t="n">
        <v>3</v>
      </c>
      <c r="AB944" s="151" t="s">
        <v>5122</v>
      </c>
      <c r="AC944" s="151" t="s">
        <v>505</v>
      </c>
      <c r="AD944" s="151" t="str">
        <f aca="false">CONCATENATE($C944,$I944,$H944,$N944,$J944,$K944)</f>
        <v>TUBO PEADPEAD160VCAREDESZona09</v>
      </c>
      <c r="AE944" s="153" t="n">
        <f aca="false">IFERROR(INDEX(APOIO_REDES!$A:$W,MATCH($C944&amp;$I944&amp;$H944&amp;$N944&amp;$O944,APOIO_REDES!$W:$W,0),MATCH(AE$5,APOIO_REDES!$5:$5,0)),0)</f>
        <v>1.2</v>
      </c>
      <c r="AF944" s="153" t="n">
        <f aca="false">IFERROR(INDEX(APOIO_REDES!$A:$W,MATCH($C944&amp;$I944&amp;$H944&amp;$N944&amp;$O944,APOIO_REDES!$W:$W,0),MATCH(AF$5,APOIO_REDES!$5:$5,0)),0)</f>
        <v>1.46</v>
      </c>
      <c r="AG944" s="153" t="n">
        <f aca="false">IFERROR(INDEX(APOIO_REDES!$A:$W,MATCH($C944&amp;$I944&amp;$H944&amp;$N944&amp;$O944,APOIO_REDES!$W:$W,0),MATCH(AG$5,APOIO_REDES!$5:$5,0)),0)</f>
        <v>0.75</v>
      </c>
      <c r="AH944" s="153" t="n">
        <f aca="false">IFERROR(INDEX(APOIO_REDES!$A:$W,MATCH($C944&amp;$I944&amp;$H944&amp;$N944&amp;$O944,APOIO_REDES!$W:$W,0),MATCH(AH$5,APOIO_REDES!$5:$5,0)),0)</f>
        <v>0.1</v>
      </c>
      <c r="AI944" s="153" t="n">
        <f aca="false">IFERROR(IF($H944&lt;&gt;"",(((($H944/1000)/2)^2)*PI()*$M944),0),0)</f>
        <v>0.835412318442598</v>
      </c>
      <c r="AJ944" s="153" t="n">
        <f aca="false">IFERROR(IF(AND($H944&lt;&gt;"",$I944="FoFo",OR($N944="MND",$N944="VCA"),$Q944="LINEAR"),0,IF(AND($H944&lt;&gt;"",$I944="PEAD",$N944="VCA",$Q944="LINEAR"),($H944/1000)+0.3,IF(AND($H944&lt;&gt;"",$I944="PEAD",$N944="MND",$Q944="EMBOQUE"),0,IF(AND($H944&lt;&gt;"",$I944="PVC",$N944="VCA",$Q944="LINEAR"),($H944/1000)+0.2,IF(AND($H944&lt;&gt;"",$I944="PVC",$N944="MND",$Q944="EMBOQUE"),0,IF(AND($H944&lt;&gt;"",$I944="PEAD",$N944="VCA",$Q944="PREDIAL"),0,0)))))),0)</f>
        <v>0.46</v>
      </c>
      <c r="AK944" s="153" t="n">
        <f aca="false">IF(AA944&lt;&gt;"",AA944,0)</f>
        <v>3</v>
      </c>
      <c r="AL944" s="153" t="n">
        <f aca="false">IF(AND($N944="MND",$Q944="EMBOQUE"),$M944,IF(AND($N944="VCA",$Q944="LINEAR"),$M944,IF(AND($N944="VCA",$Q944="PREDIAL"),0,0)))</f>
        <v>41.55</v>
      </c>
      <c r="AM944" s="153" t="n">
        <f aca="false">IF(AND($N944="MND",$Q944="EMBOQUE"),$M944,IF(AND($N944="VCA",$Q944="LINEAR"),$M944,IF(AND($N944="VCA",$Q944="PREDIAL"),0,0)))</f>
        <v>41.55</v>
      </c>
      <c r="AN944" s="153" t="n">
        <f aca="false">ROUND(IF(AND($N944="VCA",$M944&lt;&gt;"",$Q944="LINEAR"),$M944/100,IF(AND($N944="MND",$M944&gt;100,$Q944="EMBOQUE"),$M944/100,0)),0)</f>
        <v>0</v>
      </c>
      <c r="AO944" s="153" t="n">
        <f aca="false">IF(AND($N944="MND",$Q944="EMBOQUE"),$AN944*2*2,IF(AND($N944="VCA",$Q944="LINEAR"),$M944*2,IF(AND($N944="VCA",$Q944="PREDIAL"),0,0)))</f>
        <v>83.1</v>
      </c>
      <c r="AP944" s="153" t="n">
        <f aca="false">IFERROR($M944*$AF944*$AG944,0)</f>
        <v>45.49725</v>
      </c>
      <c r="AQ944" s="153" t="n">
        <f aca="false">IFERROR(IF(AND($N944="VCA",$AH944&gt;0),$M944*$AG944*$AH944,0),0)</f>
        <v>3.11625</v>
      </c>
      <c r="AR944" s="153" t="n">
        <f aca="false">IFERROR(IF(AND($N944="VCA",$AJ944&gt;0),($M944*$AG944*$AJ944)-$AI944,0),0)</f>
        <v>13.4993376815574</v>
      </c>
      <c r="AS944" s="153" t="n">
        <f aca="false">IFERROR(IF(AND($N944="VCA",$AP944&gt;0),$AP944-$AI944-$AQ944-$AR944,0),0)</f>
        <v>28.04625</v>
      </c>
      <c r="AT944" s="153" t="n">
        <f aca="false">IFERROR(IF($N944="VCA",INDEX(APOIO_REDES!$A:$W,MATCH($C944&amp;$I944&amp;$H944&amp;$N944&amp;$O944,APOIO_REDES!$W:$W,0),MATCH(AT$5,APOIO_REDES!$5:$5,0)),0)*$AP944,0)</f>
        <v>0.495023546498604</v>
      </c>
      <c r="AU944" s="153" t="n">
        <f aca="false">IFERROR(IF($N944="VCA",INDEX(APOIO_REDES!$A:$W,MATCH($C944&amp;$I944&amp;$H944&amp;$N944&amp;$O944,APOIO_REDES!$W:$W,0),MATCH(AU$5,APOIO_REDES!$5:$5,0)),0)*$AP944,0)</f>
        <v>0.395312397295871</v>
      </c>
      <c r="AV944" s="153" t="n">
        <f aca="false">IFERROR(IF($N944="VCA",INDEX(APOIO_REDES!$A:$W,MATCH($C944&amp;$I944&amp;$H944&amp;$N944&amp;$O944,APOIO_REDES!$W:$W,0),MATCH(AV$5,APOIO_REDES!$5:$5,0)),0)*$AP944,0)</f>
        <v>0.0547081324617545</v>
      </c>
      <c r="AW944" s="153" t="n">
        <f aca="false">IFERROR(IF($N944="VCA",INDEX(APOIO_REDES!$A:$W,MATCH($C944&amp;$I944&amp;$H944&amp;$N944&amp;$O944,APOIO_REDES!$W:$W,0),MATCH(AW$5,APOIO_REDES!$5:$5,0)),0)*$AP944,0)</f>
        <v>31.2296649298956</v>
      </c>
      <c r="AX944" s="153" t="n">
        <f aca="false">IFERROR(IF($N944="VCA",INDEX(APOIO_REDES!$A:$W,MATCH($C944&amp;$I944&amp;$H944&amp;$N944&amp;$O944,APOIO_REDES!$W:$W,0),MATCH(AX$5,APOIO_REDES!$5:$5,0)),0)*$AP944,0)</f>
        <v>4.3220966669131</v>
      </c>
      <c r="AY944" s="153" t="n">
        <f aca="false">IFERROR(IF($N944="VCA",INDEX(APOIO_REDES!$A:$W,MATCH($C944&amp;$I944&amp;$H944&amp;$N944&amp;$O944,APOIO_REDES!$W:$W,0),MATCH(AY$5,APOIO_REDES!$5:$5,0)),0)*$AP944,0)</f>
        <v>7.90624312709135</v>
      </c>
      <c r="AZ944" s="153" t="n">
        <f aca="false">IFERROR(IF($N944="VCA",INDEX(APOIO_REDES!$A:$W,MATCH($C944&amp;$I944&amp;$H944&amp;$N944&amp;$O944,APOIO_REDES!$W:$W,0),MATCH(AZ$5,APOIO_REDES!$5:$5,0)),0)*$AP944,0)</f>
        <v>1.09420119984371</v>
      </c>
      <c r="BA944" s="153" t="n">
        <f aca="false">IFERROR(IF(AND($N944="VCA",$Q944="LINEAR"),INDEX(APOIO_REDES!$A:$W,MATCH($C944&amp;$I944&amp;$H944&amp;$N944&amp;$O944,APOIO_REDES!$W:$W,0),MATCH(BA$5,APOIO_REDES!$5:$5,0)),IF(AND($N944="MND",$Q944="EMBOQUE"),INDEX(APOIO_REDES!$A:$W,MATCH($C944&amp;$I944&amp;$H944&amp;$N944&amp;$O944,APOIO_REDES!$W:$W,0),MATCH(BA$5,APOIO_REDES!$5:$5,0)),0))*$M944/10,0)</f>
        <v>3.34882519343987</v>
      </c>
      <c r="BB944" s="153" t="n">
        <f aca="false">IFERROR(IF($N944="VCA",INDEX(APOIO_REDES!$A:$W,MATCH($C944&amp;$I944&amp;$H944&amp;$N944&amp;$O944,APOIO_REDES!$W:$W,0),MATCH(BB$5,APOIO_REDES!$5:$5,0)),0)*($AI944+$AQ944+$AR944),0)</f>
        <v>17.2611279547677</v>
      </c>
      <c r="BC944" s="153" t="n">
        <f aca="false">IFERROR(IF($N944="VCA",INDEX(APOIO_REDES!$A:$W,MATCH($C944&amp;$I944&amp;$H944&amp;$N944&amp;$O944,APOIO_REDES!$W:$W,0),MATCH(BC$5,APOIO_REDES!$5:$5,0)),0)*($AI944+$AQ944+$AR944),0)</f>
        <v>0.189872045232341</v>
      </c>
      <c r="BD944" s="153" t="n">
        <f aca="false">IF(AND($N944="VCA",$AF944&gt;=1.25,$AF944&lt;1.5),$M944*$AF944*2,0)</f>
        <v>121.326</v>
      </c>
      <c r="BE944" s="153" t="n">
        <f aca="false">IF(AND($N944="VCA",$AF944&gt;=1.5,$AF944&lt;3),$M944*$AF944*2,0)</f>
        <v>0</v>
      </c>
      <c r="BF944" s="153" t="n">
        <f aca="false">IF(AND($N944="VCA",$AF944&gt;=3),$M944*$AF944*2,0)</f>
        <v>0</v>
      </c>
      <c r="BG944" s="153" t="n">
        <f aca="false">($BB944+$BC944)*$AK944</f>
        <v>52.353</v>
      </c>
      <c r="BH944" s="153" t="n">
        <f aca="false">IF(AND($M944&lt;&gt;"",$N944="VCA",$Q944="LINEAR"),($M944*2)/100,IF(AND($M944&lt;&gt;"",$N944="MND",$Q944="EMBOQUE"),($AN944*2)/100,0))</f>
        <v>0.831</v>
      </c>
      <c r="BI944" s="153" t="n">
        <f aca="false">IF(AND($M944&lt;&gt;"",$N944="VCA",$Q944="LINEAR"),$M944,IF(AND($M944&lt;&gt;"",$N944="MND",$Q944="EMBOQUE"),$AN944*2,0))</f>
        <v>41.55</v>
      </c>
      <c r="BJ944" s="153" t="n">
        <f aca="false">IF(AND($M944&lt;&gt;"",$N944="VCA",$Q944="LINEAR"),($M944*6.8)/100,IF(AND($M944&lt;&gt;"",$N944="MND",$Q944="EMBOQUE"),($AN944*2*6.8)/100,0))</f>
        <v>2.8254</v>
      </c>
      <c r="BK944" s="153" t="n">
        <f aca="false">IF(AND($M944&lt;&gt;"",$N944="VCA",$Q944="LINEAR"),($M944*2.5)/50,IF(AND($M944&lt;&gt;"",$N944="MND",$Q944="EMBOQUE"),($AN944*2*2.5)/50,0))</f>
        <v>2.0775</v>
      </c>
      <c r="BL944" s="157" t="str">
        <f aca="false">K944&amp;J944</f>
        <v>Zona09REDES</v>
      </c>
      <c r="BM944" s="152" t="s">
        <v>5109</v>
      </c>
      <c r="BN944" s="152" t="s">
        <v>1560</v>
      </c>
      <c r="BO944" s="152" t="s">
        <v>3688</v>
      </c>
      <c r="BP944" s="152" t="s">
        <v>2032</v>
      </c>
      <c r="BQ944" s="152" t="s">
        <v>2032</v>
      </c>
      <c r="BR944" s="152" t="s">
        <v>5123</v>
      </c>
      <c r="BS944" s="152" t="n">
        <v>203316.544</v>
      </c>
      <c r="BT944" s="152" t="n">
        <v>8237108.663</v>
      </c>
      <c r="BU944" s="152" t="n">
        <v>203358.088</v>
      </c>
      <c r="BV944" s="152" t="n">
        <v>8237108.166</v>
      </c>
      <c r="BW944" s="152" t="n">
        <v>-15.9275544</v>
      </c>
      <c r="BX944" s="152" t="n">
        <v>-47.7708463</v>
      </c>
      <c r="BY944" s="152" t="s">
        <v>5133</v>
      </c>
    </row>
    <row r="945" customFormat="false" ht="13.8" hidden="false" customHeight="false" outlineLevel="0" collapsed="false">
      <c r="A945" s="149" t="n">
        <f aca="false">IF(C945&lt;&gt;"",ROW(A940),"")</f>
        <v>940</v>
      </c>
      <c r="B945" s="150" t="str">
        <f aca="false">HYPERLINK("https://www.google.com/maps/dir/-15.917302,-47.760003/-15.9275835,-47.7716172/data=!4m3!4m2!3e0!5i2")</f>
        <v>https://www.google.com/maps/dir/-15.917302,-47.760003/-15.9275835,-47.7716172/data=!4m3!4m2!3e0!5i2</v>
      </c>
      <c r="C945" s="151" t="s">
        <v>117</v>
      </c>
      <c r="D945" s="152" t="s">
        <v>112</v>
      </c>
      <c r="E945" s="152" t="s">
        <v>113</v>
      </c>
      <c r="F945" s="152" t="s">
        <v>117</v>
      </c>
      <c r="G945" s="152" t="s">
        <v>782</v>
      </c>
      <c r="H945" s="152" t="n">
        <v>90</v>
      </c>
      <c r="I945" s="152" t="s">
        <v>115</v>
      </c>
      <c r="J945" s="152" t="s">
        <v>6</v>
      </c>
      <c r="K945" s="152" t="s">
        <v>5106</v>
      </c>
      <c r="L945" s="152" t="s">
        <v>120</v>
      </c>
      <c r="M945" s="153" t="n">
        <f aca="false">37.96</f>
        <v>37.96</v>
      </c>
      <c r="N945" s="152" t="s">
        <v>1548</v>
      </c>
      <c r="O945" s="152" t="s">
        <v>1549</v>
      </c>
      <c r="P945" s="152" t="s">
        <v>1550</v>
      </c>
      <c r="Q945" s="152" t="s">
        <v>1551</v>
      </c>
      <c r="R945" s="154" t="s">
        <v>5134</v>
      </c>
      <c r="S945" s="154" t="s">
        <v>1593</v>
      </c>
      <c r="T945" s="155" t="s">
        <v>3685</v>
      </c>
      <c r="U945" s="152" t="str">
        <f aca="false">RIGHT(T945,7)</f>
        <v>012/037</v>
      </c>
      <c r="V945" s="152" t="s">
        <v>1555</v>
      </c>
      <c r="W945" s="156" t="n">
        <v>45882</v>
      </c>
      <c r="X945" s="152" t="s">
        <v>1594</v>
      </c>
      <c r="Y945" s="152" t="s">
        <v>5121</v>
      </c>
      <c r="Z945" s="152" t="s">
        <v>1557</v>
      </c>
      <c r="AA945" s="153" t="n">
        <v>4</v>
      </c>
      <c r="AB945" s="151" t="s">
        <v>5135</v>
      </c>
      <c r="AC945" s="151" t="s">
        <v>526</v>
      </c>
      <c r="AD945" s="151" t="str">
        <f aca="false">CONCATENATE($C945,$I945,$H945,$N945,$J945,$K945)</f>
        <v>TUBO PEADPEAD90VCAREDESZona09</v>
      </c>
      <c r="AE945" s="153" t="n">
        <f aca="false">IFERROR(INDEX(APOIO_REDES!$A:$W,MATCH($C945&amp;$I945&amp;$H945&amp;$N945&amp;$O945,APOIO_REDES!$W:$W,0),MATCH(AE$5,APOIO_REDES!$5:$5,0)),0)</f>
        <v>1.2</v>
      </c>
      <c r="AF945" s="153" t="n">
        <f aca="false">IFERROR(INDEX(APOIO_REDES!$A:$W,MATCH($C945&amp;$I945&amp;$H945&amp;$N945&amp;$O945,APOIO_REDES!$W:$W,0),MATCH(AF$5,APOIO_REDES!$5:$5,0)),0)</f>
        <v>1.39</v>
      </c>
      <c r="AG945" s="153" t="n">
        <f aca="false">IFERROR(INDEX(APOIO_REDES!$A:$W,MATCH($C945&amp;$I945&amp;$H945&amp;$N945&amp;$O945,APOIO_REDES!$W:$W,0),MATCH(AG$5,APOIO_REDES!$5:$5,0)),0)</f>
        <v>0.75</v>
      </c>
      <c r="AH945" s="153" t="n">
        <f aca="false">IFERROR(INDEX(APOIO_REDES!$A:$W,MATCH($C945&amp;$I945&amp;$H945&amp;$N945&amp;$O945,APOIO_REDES!$W:$W,0),MATCH(AH$5,APOIO_REDES!$5:$5,0)),0)</f>
        <v>0.1</v>
      </c>
      <c r="AI945" s="153" t="n">
        <f aca="false">IFERROR(IF($H945&lt;&gt;"",(((($H945/1000)/2)^2)*PI()*$M945),0),0)</f>
        <v>0.241491085688794</v>
      </c>
      <c r="AJ945" s="153" t="n">
        <f aca="false">IFERROR(IF(AND($H945&lt;&gt;"",$I945="FoFo",OR($N945="MND",$N945="VCA"),$Q945="LINEAR"),0,IF(AND($H945&lt;&gt;"",$I945="PEAD",$N945="VCA",$Q945="LINEAR"),($H945/1000)+0.3,IF(AND($H945&lt;&gt;"",$I945="PEAD",$N945="MND",$Q945="EMBOQUE"),0,IF(AND($H945&lt;&gt;"",$I945="PVC",$N945="VCA",$Q945="LINEAR"),($H945/1000)+0.2,IF(AND($H945&lt;&gt;"",$I945="PVC",$N945="MND",$Q945="EMBOQUE"),0,IF(AND($H945&lt;&gt;"",$I945="PEAD",$N945="VCA",$Q945="PREDIAL"),0,0)))))),0)</f>
        <v>0.39</v>
      </c>
      <c r="AK945" s="153" t="n">
        <f aca="false">IF(AA945&lt;&gt;"",AA945,0)</f>
        <v>4</v>
      </c>
      <c r="AL945" s="153" t="n">
        <f aca="false">IF(AND($N945="MND",$Q945="EMBOQUE"),$M945,IF(AND($N945="VCA",$Q945="LINEAR"),$M945,IF(AND($N945="VCA",$Q945="PREDIAL"),0,0)))</f>
        <v>37.96</v>
      </c>
      <c r="AM945" s="153" t="n">
        <f aca="false">IF(AND($N945="MND",$Q945="EMBOQUE"),$M945,IF(AND($N945="VCA",$Q945="LINEAR"),$M945,IF(AND($N945="VCA",$Q945="PREDIAL"),0,0)))</f>
        <v>37.96</v>
      </c>
      <c r="AN945" s="153" t="n">
        <f aca="false">ROUND(IF(AND($N945="VCA",$M945&lt;&gt;"",$Q945="LINEAR"),$M945/100,IF(AND($N945="MND",$M945&gt;100,$Q945="EMBOQUE"),$M945/100,0)),0)</f>
        <v>0</v>
      </c>
      <c r="AO945" s="153" t="n">
        <f aca="false">IF(AND($N945="MND",$Q945="EMBOQUE"),$AN945*2*2,IF(AND($N945="VCA",$Q945="LINEAR"),$M945*2,IF(AND($N945="VCA",$Q945="PREDIAL"),0,0)))</f>
        <v>75.92</v>
      </c>
      <c r="AP945" s="153" t="n">
        <f aca="false">IFERROR($M945*$AF945*$AG945,0)</f>
        <v>39.5733</v>
      </c>
      <c r="AQ945" s="153" t="n">
        <f aca="false">IFERROR(IF(AND($N945="VCA",$AH945&gt;0),$M945*$AG945*$AH945,0),0)</f>
        <v>2.847</v>
      </c>
      <c r="AR945" s="153" t="n">
        <f aca="false">IFERROR(IF(AND($N945="VCA",$AJ945&gt;0),($M945*$AG945*$AJ945)-$AI945,0),0)</f>
        <v>10.8618089143112</v>
      </c>
      <c r="AS945" s="153" t="n">
        <f aca="false">IFERROR(IF(AND($N945="VCA",$AP945&gt;0),$AP945-$AI945-$AQ945-$AR945,0),0)</f>
        <v>25.623</v>
      </c>
      <c r="AT945" s="153" t="n">
        <f aca="false">IFERROR(IF($N945="VCA",INDEX(APOIO_REDES!$A:$W,MATCH($C945&amp;$I945&amp;$H945&amp;$N945&amp;$O945,APOIO_REDES!$W:$W,0),MATCH(AT$5,APOIO_REDES!$5:$5,0)),0)*$AP945,0)</f>
        <v>0.430569217098906</v>
      </c>
      <c r="AU945" s="153" t="n">
        <f aca="false">IFERROR(IF($N945="VCA",INDEX(APOIO_REDES!$A:$W,MATCH($C945&amp;$I945&amp;$H945&amp;$N945&amp;$O945,APOIO_REDES!$W:$W,0),MATCH(AU$5,APOIO_REDES!$5:$5,0)),0)*$AP945,0)</f>
        <v>0.343840915481896</v>
      </c>
      <c r="AV945" s="153" t="n">
        <f aca="false">IFERROR(IF($N945="VCA",INDEX(APOIO_REDES!$A:$W,MATCH($C945&amp;$I945&amp;$H945&amp;$N945&amp;$O945,APOIO_REDES!$W:$W,0),MATCH(AV$5,APOIO_REDES!$5:$5,0)),0)*$AP945,0)</f>
        <v>0.0475848834456753</v>
      </c>
      <c r="AW945" s="153" t="n">
        <f aca="false">IFERROR(IF($N945="VCA",INDEX(APOIO_REDES!$A:$W,MATCH($C945&amp;$I945&amp;$H945&amp;$N945&amp;$O945,APOIO_REDES!$W:$W,0),MATCH(AW$5,APOIO_REDES!$5:$5,0)),0)*$AP945,0)</f>
        <v>27.1634197488912</v>
      </c>
      <c r="AX945" s="153" t="n">
        <f aca="false">IFERROR(IF($N945="VCA",INDEX(APOIO_REDES!$A:$W,MATCH($C945&amp;$I945&amp;$H945&amp;$N945&amp;$O945,APOIO_REDES!$W:$W,0),MATCH(AX$5,APOIO_REDES!$5:$5,0)),0)*$AP945,0)</f>
        <v>3.75933991678073</v>
      </c>
      <c r="AY945" s="153" t="n">
        <f aca="false">IFERROR(IF($N945="VCA",INDEX(APOIO_REDES!$A:$W,MATCH($C945&amp;$I945&amp;$H945&amp;$N945&amp;$O945,APOIO_REDES!$W:$W,0),MATCH(AY$5,APOIO_REDES!$5:$5,0)),0)*$AP945,0)</f>
        <v>6.87681411824504</v>
      </c>
      <c r="AZ945" s="153" t="n">
        <f aca="false">IFERROR(IF($N945="VCA",INDEX(APOIO_REDES!$A:$W,MATCH($C945&amp;$I945&amp;$H945&amp;$N945&amp;$O945,APOIO_REDES!$W:$W,0),MATCH(AZ$5,APOIO_REDES!$5:$5,0)),0)*$AP945,0)</f>
        <v>0.951731200056601</v>
      </c>
      <c r="BA945" s="153" t="n">
        <f aca="false">IFERROR(IF(AND($N945="VCA",$Q945="LINEAR"),INDEX(APOIO_REDES!$A:$W,MATCH($C945&amp;$I945&amp;$H945&amp;$N945&amp;$O945,APOIO_REDES!$W:$W,0),MATCH(BA$5,APOIO_REDES!$5:$5,0)),IF(AND($N945="MND",$Q945="EMBOQUE"),INDEX(APOIO_REDES!$A:$W,MATCH($C945&amp;$I945&amp;$H945&amp;$N945&amp;$O945,APOIO_REDES!$W:$W,0),MATCH(BA$5,APOIO_REDES!$5:$5,0)),0))*$M945/10,0)</f>
        <v>3.05948024892846</v>
      </c>
      <c r="BB945" s="153" t="n">
        <f aca="false">IFERROR(IF($N945="VCA",INDEX(APOIO_REDES!$A:$W,MATCH($C945&amp;$I945&amp;$H945&amp;$N945&amp;$O945,APOIO_REDES!$W:$W,0),MATCH(BB$5,APOIO_REDES!$5:$5,0)),0)*($AI945+$AQ945+$AR945),0)</f>
        <v>13.798516606922</v>
      </c>
      <c r="BC945" s="153" t="n">
        <f aca="false">IFERROR(IF($N945="VCA",INDEX(APOIO_REDES!$A:$W,MATCH($C945&amp;$I945&amp;$H945&amp;$N945&amp;$O945,APOIO_REDES!$W:$W,0),MATCH(BC$5,APOIO_REDES!$5:$5,0)),0)*($AI945+$AQ945+$AR945),0)</f>
        <v>0.151783393078032</v>
      </c>
      <c r="BD945" s="153" t="n">
        <f aca="false">IF(AND($N945="VCA",$AF945&gt;=1.25,$AF945&lt;1.5),$M945*$AF945*2,0)</f>
        <v>105.5288</v>
      </c>
      <c r="BE945" s="153" t="n">
        <f aca="false">IF(AND($N945="VCA",$AF945&gt;=1.5,$AF945&lt;3),$M945*$AF945*2,0)</f>
        <v>0</v>
      </c>
      <c r="BF945" s="153" t="n">
        <f aca="false">IF(AND($N945="VCA",$AF945&gt;=3),$M945*$AF945*2,0)</f>
        <v>0</v>
      </c>
      <c r="BG945" s="153" t="n">
        <f aca="false">($BB945+$BC945)*$AK945</f>
        <v>55.8012</v>
      </c>
      <c r="BH945" s="153" t="n">
        <f aca="false">IF(AND($M945&lt;&gt;"",$N945="VCA",$Q945="LINEAR"),($M945*2)/100,IF(AND($M945&lt;&gt;"",$N945="MND",$Q945="EMBOQUE"),($AN945*2)/100,0))</f>
        <v>0.7592</v>
      </c>
      <c r="BI945" s="153" t="n">
        <f aca="false">IF(AND($M945&lt;&gt;"",$N945="VCA",$Q945="LINEAR"),$M945,IF(AND($M945&lt;&gt;"",$N945="MND",$Q945="EMBOQUE"),$AN945*2,0))</f>
        <v>37.96</v>
      </c>
      <c r="BJ945" s="153" t="n">
        <f aca="false">IF(AND($M945&lt;&gt;"",$N945="VCA",$Q945="LINEAR"),($M945*6.8)/100,IF(AND($M945&lt;&gt;"",$N945="MND",$Q945="EMBOQUE"),($AN945*2*6.8)/100,0))</f>
        <v>2.58128</v>
      </c>
      <c r="BK945" s="153" t="n">
        <f aca="false">IF(AND($M945&lt;&gt;"",$N945="VCA",$Q945="LINEAR"),($M945*2.5)/50,IF(AND($M945&lt;&gt;"",$N945="MND",$Q945="EMBOQUE"),($AN945*2*2.5)/50,0))</f>
        <v>1.898</v>
      </c>
      <c r="BL945" s="157" t="str">
        <f aca="false">K945&amp;J945</f>
        <v>Zona09REDES</v>
      </c>
      <c r="BM945" s="152" t="s">
        <v>5109</v>
      </c>
      <c r="BN945" s="152" t="s">
        <v>1560</v>
      </c>
      <c r="BO945" s="152" t="s">
        <v>3688</v>
      </c>
      <c r="BP945" s="152" t="s">
        <v>5130</v>
      </c>
      <c r="BQ945" s="152" t="s">
        <v>5136</v>
      </c>
      <c r="BR945" s="152" t="s">
        <v>5137</v>
      </c>
      <c r="BS945" s="152" t="n">
        <v>203254.768</v>
      </c>
      <c r="BT945" s="152" t="n">
        <v>8237104.175</v>
      </c>
      <c r="BU945" s="152" t="n">
        <v>203247.798</v>
      </c>
      <c r="BV945" s="152" t="n">
        <v>8237066.882</v>
      </c>
      <c r="BW945" s="152" t="n">
        <v>-15.9277521</v>
      </c>
      <c r="BX945" s="152" t="n">
        <v>-47.7716486</v>
      </c>
      <c r="BY945" s="152" t="s">
        <v>5130</v>
      </c>
    </row>
    <row r="946" customFormat="false" ht="13.8" hidden="false" customHeight="false" outlineLevel="0" collapsed="false">
      <c r="A946" s="149" t="n">
        <f aca="false">IF(C946&lt;&gt;"",ROW(A941),"")</f>
        <v>941</v>
      </c>
      <c r="B946" s="150" t="str">
        <f aca="false">HYPERLINK("https://www.google.com/maps/dir/-15.917302,-47.760003/-15.9279194,-47.7716869/data=!4m3!4m2!3e0!5i2")</f>
        <v>https://www.google.com/maps/dir/-15.917302,-47.760003/-15.9279194,-47.7716869/data=!4m3!4m2!3e0!5i2</v>
      </c>
      <c r="C946" s="151" t="s">
        <v>117</v>
      </c>
      <c r="D946" s="152" t="s">
        <v>112</v>
      </c>
      <c r="E946" s="152" t="s">
        <v>113</v>
      </c>
      <c r="F946" s="152" t="s">
        <v>117</v>
      </c>
      <c r="G946" s="152" t="s">
        <v>782</v>
      </c>
      <c r="H946" s="152" t="n">
        <v>90</v>
      </c>
      <c r="I946" s="152" t="s">
        <v>115</v>
      </c>
      <c r="J946" s="152" t="s">
        <v>6</v>
      </c>
      <c r="K946" s="152" t="s">
        <v>5106</v>
      </c>
      <c r="L946" s="152" t="s">
        <v>120</v>
      </c>
      <c r="M946" s="153" t="n">
        <f aca="false">0.98</f>
        <v>0.98</v>
      </c>
      <c r="N946" s="152" t="s">
        <v>1548</v>
      </c>
      <c r="O946" s="152" t="s">
        <v>1549</v>
      </c>
      <c r="P946" s="152" t="s">
        <v>1550</v>
      </c>
      <c r="Q946" s="152" t="s">
        <v>1551</v>
      </c>
      <c r="R946" s="154" t="s">
        <v>5138</v>
      </c>
      <c r="S946" s="154" t="s">
        <v>1593</v>
      </c>
      <c r="T946" s="155" t="s">
        <v>3685</v>
      </c>
      <c r="U946" s="152" t="str">
        <f aca="false">RIGHT(T946,7)</f>
        <v>012/037</v>
      </c>
      <c r="V946" s="152" t="s">
        <v>1555</v>
      </c>
      <c r="W946" s="156" t="n">
        <v>45882</v>
      </c>
      <c r="X946" s="152" t="s">
        <v>1594</v>
      </c>
      <c r="Y946" s="152" t="s">
        <v>5121</v>
      </c>
      <c r="Z946" s="152" t="s">
        <v>1557</v>
      </c>
      <c r="AA946" s="153" t="n">
        <v>4</v>
      </c>
      <c r="AB946" s="151" t="s">
        <v>5139</v>
      </c>
      <c r="AC946" s="151" t="s">
        <v>526</v>
      </c>
      <c r="AD946" s="151" t="str">
        <f aca="false">CONCATENATE($C946,$I946,$H946,$N946,$J946,$K946)</f>
        <v>TUBO PEADPEAD90VCAREDESZona09</v>
      </c>
      <c r="AE946" s="153" t="n">
        <f aca="false">IFERROR(INDEX(APOIO_REDES!$A:$W,MATCH($C946&amp;$I946&amp;$H946&amp;$N946&amp;$O946,APOIO_REDES!$W:$W,0),MATCH(AE$5,APOIO_REDES!$5:$5,0)),0)</f>
        <v>1.2</v>
      </c>
      <c r="AF946" s="153" t="n">
        <f aca="false">IFERROR(INDEX(APOIO_REDES!$A:$W,MATCH($C946&amp;$I946&amp;$H946&amp;$N946&amp;$O946,APOIO_REDES!$W:$W,0),MATCH(AF$5,APOIO_REDES!$5:$5,0)),0)</f>
        <v>1.39</v>
      </c>
      <c r="AG946" s="153" t="n">
        <f aca="false">IFERROR(INDEX(APOIO_REDES!$A:$W,MATCH($C946&amp;$I946&amp;$H946&amp;$N946&amp;$O946,APOIO_REDES!$W:$W,0),MATCH(AG$5,APOIO_REDES!$5:$5,0)),0)</f>
        <v>0.75</v>
      </c>
      <c r="AH946" s="153" t="n">
        <f aca="false">IFERROR(INDEX(APOIO_REDES!$A:$W,MATCH($C946&amp;$I946&amp;$H946&amp;$N946&amp;$O946,APOIO_REDES!$W:$W,0),MATCH(AH$5,APOIO_REDES!$5:$5,0)),0)</f>
        <v>0.1</v>
      </c>
      <c r="AI946" s="153" t="n">
        <f aca="false">IFERROR(IF($H946&lt;&gt;"",(((($H946/1000)/2)^2)*PI()*$M946),0),0)</f>
        <v>0.00623449062104894</v>
      </c>
      <c r="AJ946" s="153" t="n">
        <f aca="false">IFERROR(IF(AND($H946&lt;&gt;"",$I946="FoFo",OR($N946="MND",$N946="VCA"),$Q946="LINEAR"),0,IF(AND($H946&lt;&gt;"",$I946="PEAD",$N946="VCA",$Q946="LINEAR"),($H946/1000)+0.3,IF(AND($H946&lt;&gt;"",$I946="PEAD",$N946="MND",$Q946="EMBOQUE"),0,IF(AND($H946&lt;&gt;"",$I946="PVC",$N946="VCA",$Q946="LINEAR"),($H946/1000)+0.2,IF(AND($H946&lt;&gt;"",$I946="PVC",$N946="MND",$Q946="EMBOQUE"),0,IF(AND($H946&lt;&gt;"",$I946="PEAD",$N946="VCA",$Q946="PREDIAL"),0,0)))))),0)</f>
        <v>0.39</v>
      </c>
      <c r="AK946" s="153" t="n">
        <f aca="false">IF(AA946&lt;&gt;"",AA946,0)</f>
        <v>4</v>
      </c>
      <c r="AL946" s="153" t="n">
        <f aca="false">IF(AND($N946="MND",$Q946="EMBOQUE"),$M946,IF(AND($N946="VCA",$Q946="LINEAR"),$M946,IF(AND($N946="VCA",$Q946="PREDIAL"),0,0)))</f>
        <v>0.98</v>
      </c>
      <c r="AM946" s="153" t="n">
        <f aca="false">IF(AND($N946="MND",$Q946="EMBOQUE"),$M946,IF(AND($N946="VCA",$Q946="LINEAR"),$M946,IF(AND($N946="VCA",$Q946="PREDIAL"),0,0)))</f>
        <v>0.98</v>
      </c>
      <c r="AN946" s="153" t="n">
        <f aca="false">ROUND(IF(AND($N946="VCA",$M946&lt;&gt;"",$Q946="LINEAR"),$M946/100,IF(AND($N946="MND",$M946&gt;100,$Q946="EMBOQUE"),$M946/100,0)),0)</f>
        <v>0</v>
      </c>
      <c r="AO946" s="153" t="n">
        <f aca="false">IF(AND($N946="MND",$Q946="EMBOQUE"),$AN946*2*2,IF(AND($N946="VCA",$Q946="LINEAR"),$M946*2,IF(AND($N946="VCA",$Q946="PREDIAL"),0,0)))</f>
        <v>1.96</v>
      </c>
      <c r="AP946" s="153" t="n">
        <f aca="false">IFERROR($M946*$AF946*$AG946,0)</f>
        <v>1.02165</v>
      </c>
      <c r="AQ946" s="153" t="n">
        <f aca="false">IFERROR(IF(AND($N946="VCA",$AH946&gt;0),$M946*$AG946*$AH946,0),0)</f>
        <v>0.0735</v>
      </c>
      <c r="AR946" s="153" t="n">
        <f aca="false">IFERROR(IF(AND($N946="VCA",$AJ946&gt;0),($M946*$AG946*$AJ946)-$AI946,0),0)</f>
        <v>0.280415509378951</v>
      </c>
      <c r="AS946" s="153" t="n">
        <f aca="false">IFERROR(IF(AND($N946="VCA",$AP946&gt;0),$AP946-$AI946-$AQ946-$AR946,0),0)</f>
        <v>0.6615</v>
      </c>
      <c r="AT946" s="153" t="n">
        <f aca="false">IFERROR(IF($N946="VCA",INDEX(APOIO_REDES!$A:$W,MATCH($C946&amp;$I946&amp;$H946&amp;$N946&amp;$O946,APOIO_REDES!$W:$W,0),MATCH(AT$5,APOIO_REDES!$5:$5,0)),0)*$AP946,0)</f>
        <v>0.0111158543929644</v>
      </c>
      <c r="AU946" s="153" t="n">
        <f aca="false">IFERROR(IF($N946="VCA",INDEX(APOIO_REDES!$A:$W,MATCH($C946&amp;$I946&amp;$H946&amp;$N946&amp;$O946,APOIO_REDES!$W:$W,0),MATCH(AU$5,APOIO_REDES!$5:$5,0)),0)*$AP946,0)</f>
        <v>0.00887682026270439</v>
      </c>
      <c r="AV946" s="153" t="n">
        <f aca="false">IFERROR(IF($N946="VCA",INDEX(APOIO_REDES!$A:$W,MATCH($C946&amp;$I946&amp;$H946&amp;$N946&amp;$O946,APOIO_REDES!$W:$W,0),MATCH(AV$5,APOIO_REDES!$5:$5,0)),0)*$AP946,0)</f>
        <v>0.00122848223858698</v>
      </c>
      <c r="AW946" s="153" t="n">
        <f aca="false">IFERROR(IF($N946="VCA",INDEX(APOIO_REDES!$A:$W,MATCH($C946&amp;$I946&amp;$H946&amp;$N946&amp;$O946,APOIO_REDES!$W:$W,0),MATCH(AW$5,APOIO_REDES!$5:$5,0)),0)*$AP946,0)</f>
        <v>0.701268476130488</v>
      </c>
      <c r="AX946" s="153" t="n">
        <f aca="false">IFERROR(IF($N946="VCA",INDEX(APOIO_REDES!$A:$W,MATCH($C946&amp;$I946&amp;$H946&amp;$N946&amp;$O946,APOIO_REDES!$W:$W,0),MATCH(AX$5,APOIO_REDES!$5:$5,0)),0)*$AP946,0)</f>
        <v>0.0970535594953929</v>
      </c>
      <c r="AY946" s="153" t="n">
        <f aca="false">IFERROR(IF($N946="VCA",INDEX(APOIO_REDES!$A:$W,MATCH($C946&amp;$I946&amp;$H946&amp;$N946&amp;$O946,APOIO_REDES!$W:$W,0),MATCH(AY$5,APOIO_REDES!$5:$5,0)),0)*$AP946,0)</f>
        <v>0.177536297046368</v>
      </c>
      <c r="AZ946" s="153" t="n">
        <f aca="false">IFERROR(IF($N946="VCA",INDEX(APOIO_REDES!$A:$W,MATCH($C946&amp;$I946&amp;$H946&amp;$N946&amp;$O946,APOIO_REDES!$W:$W,0),MATCH(AZ$5,APOIO_REDES!$5:$5,0)),0)*$AP946,0)</f>
        <v>0.024570510433495</v>
      </c>
      <c r="BA946" s="153" t="n">
        <f aca="false">IFERROR(IF(AND($N946="VCA",$Q946="LINEAR"),INDEX(APOIO_REDES!$A:$W,MATCH($C946&amp;$I946&amp;$H946&amp;$N946&amp;$O946,APOIO_REDES!$W:$W,0),MATCH(BA$5,APOIO_REDES!$5:$5,0)),IF(AND($N946="MND",$Q946="EMBOQUE"),INDEX(APOIO_REDES!$A:$W,MATCH($C946&amp;$I946&amp;$H946&amp;$N946&amp;$O946,APOIO_REDES!$W:$W,0),MATCH(BA$5,APOIO_REDES!$5:$5,0)),0))*$M946/10,0)</f>
        <v>0.0789855280281847</v>
      </c>
      <c r="BB946" s="153" t="n">
        <f aca="false">IFERROR(IF($N946="VCA",INDEX(APOIO_REDES!$A:$W,MATCH($C946&amp;$I946&amp;$H946&amp;$N946&amp;$O946,APOIO_REDES!$W:$W,0),MATCH(BB$5,APOIO_REDES!$5:$5,0)),0)*($AI946+$AQ946+$AR946),0)</f>
        <v>0.356231461401041</v>
      </c>
      <c r="BC946" s="153" t="n">
        <f aca="false">IFERROR(IF($N946="VCA",INDEX(APOIO_REDES!$A:$W,MATCH($C946&amp;$I946&amp;$H946&amp;$N946&amp;$O946,APOIO_REDES!$W:$W,0),MATCH(BC$5,APOIO_REDES!$5:$5,0)),0)*($AI946+$AQ946+$AR946),0)</f>
        <v>0.00391853859895867</v>
      </c>
      <c r="BD946" s="153" t="n">
        <f aca="false">IF(AND($N946="VCA",$AF946&gt;=1.25,$AF946&lt;1.5),$M946*$AF946*2,0)</f>
        <v>2.7244</v>
      </c>
      <c r="BE946" s="153" t="n">
        <f aca="false">IF(AND($N946="VCA",$AF946&gt;=1.5,$AF946&lt;3),$M946*$AF946*2,0)</f>
        <v>0</v>
      </c>
      <c r="BF946" s="153" t="n">
        <f aca="false">IF(AND($N946="VCA",$AF946&gt;=3),$M946*$AF946*2,0)</f>
        <v>0</v>
      </c>
      <c r="BG946" s="153" t="n">
        <f aca="false">($BB946+$BC946)*$AK946</f>
        <v>1.4406</v>
      </c>
      <c r="BH946" s="153" t="n">
        <f aca="false">IF(AND($M946&lt;&gt;"",$N946="VCA",$Q946="LINEAR"),($M946*2)/100,IF(AND($M946&lt;&gt;"",$N946="MND",$Q946="EMBOQUE"),($AN946*2)/100,0))</f>
        <v>0.0196</v>
      </c>
      <c r="BI946" s="153" t="n">
        <f aca="false">IF(AND($M946&lt;&gt;"",$N946="VCA",$Q946="LINEAR"),$M946,IF(AND($M946&lt;&gt;"",$N946="MND",$Q946="EMBOQUE"),$AN946*2,0))</f>
        <v>0.98</v>
      </c>
      <c r="BJ946" s="153" t="n">
        <f aca="false">IF(AND($M946&lt;&gt;"",$N946="VCA",$Q946="LINEAR"),($M946*6.8)/100,IF(AND($M946&lt;&gt;"",$N946="MND",$Q946="EMBOQUE"),($AN946*2*6.8)/100,0))</f>
        <v>0.06664</v>
      </c>
      <c r="BK946" s="153" t="n">
        <f aca="false">IF(AND($M946&lt;&gt;"",$N946="VCA",$Q946="LINEAR"),($M946*2.5)/50,IF(AND($M946&lt;&gt;"",$N946="MND",$Q946="EMBOQUE"),($AN946*2*2.5)/50,0))</f>
        <v>0.049</v>
      </c>
      <c r="BL946" s="157" t="str">
        <f aca="false">K946&amp;J946</f>
        <v>Zona09REDES</v>
      </c>
      <c r="BM946" s="152" t="s">
        <v>5109</v>
      </c>
      <c r="BN946" s="152" t="s">
        <v>1560</v>
      </c>
      <c r="BO946" s="152" t="s">
        <v>3688</v>
      </c>
      <c r="BP946" s="152" t="s">
        <v>5136</v>
      </c>
      <c r="BQ946" s="152" t="s">
        <v>5140</v>
      </c>
      <c r="BR946" s="152" t="s">
        <v>5141</v>
      </c>
      <c r="BS946" s="152" t="n">
        <v>203247.798</v>
      </c>
      <c r="BT946" s="152" t="n">
        <v>8237066.882</v>
      </c>
      <c r="BU946" s="152" t="n">
        <v>203248.732</v>
      </c>
      <c r="BV946" s="152" t="n">
        <v>8237066.6</v>
      </c>
      <c r="BW946" s="152" t="n">
        <v>-15.9279207</v>
      </c>
      <c r="BX946" s="152" t="n">
        <v>-47.7716826</v>
      </c>
      <c r="BY946" s="152" t="s">
        <v>5136</v>
      </c>
    </row>
    <row r="947" customFormat="false" ht="13.8" hidden="false" customHeight="false" outlineLevel="0" collapsed="false">
      <c r="A947" s="149" t="n">
        <f aca="false">IF(C947&lt;&gt;"",ROW(A942),"")</f>
        <v>942</v>
      </c>
      <c r="B947" s="150" t="str">
        <f aca="false">HYPERLINK("https://www.google.com/maps/dir/-15.917302,-47.760003/-15.9279220,-47.7716782/data=!4m3!4m2!3e0!5i0")</f>
        <v>https://www.google.com/maps/dir/-15.917302,-47.760003/-15.9279220,-47.7716782/data=!4m3!4m2!3e0!5i0</v>
      </c>
      <c r="C947" s="151" t="s">
        <v>117</v>
      </c>
      <c r="D947" s="152" t="s">
        <v>112</v>
      </c>
      <c r="E947" s="152" t="s">
        <v>113</v>
      </c>
      <c r="F947" s="152" t="s">
        <v>117</v>
      </c>
      <c r="G947" s="152" t="s">
        <v>782</v>
      </c>
      <c r="H947" s="152" t="n">
        <v>90</v>
      </c>
      <c r="I947" s="152" t="s">
        <v>115</v>
      </c>
      <c r="J947" s="152" t="s">
        <v>6</v>
      </c>
      <c r="K947" s="152" t="s">
        <v>5106</v>
      </c>
      <c r="L947" s="152" t="s">
        <v>120</v>
      </c>
      <c r="M947" s="153" t="n">
        <f aca="false">3.07</f>
        <v>3.07</v>
      </c>
      <c r="N947" s="152" t="s">
        <v>1548</v>
      </c>
      <c r="O947" s="152" t="s">
        <v>1549</v>
      </c>
      <c r="P947" s="152" t="s">
        <v>1550</v>
      </c>
      <c r="Q947" s="152" t="s">
        <v>1551</v>
      </c>
      <c r="R947" s="154" t="s">
        <v>5142</v>
      </c>
      <c r="S947" s="154" t="s">
        <v>1593</v>
      </c>
      <c r="T947" s="155" t="s">
        <v>3685</v>
      </c>
      <c r="U947" s="152" t="str">
        <f aca="false">RIGHT(T947,7)</f>
        <v>012/037</v>
      </c>
      <c r="V947" s="152" t="s">
        <v>1555</v>
      </c>
      <c r="W947" s="156" t="n">
        <v>45882</v>
      </c>
      <c r="X947" s="152" t="s">
        <v>1594</v>
      </c>
      <c r="Y947" s="152" t="s">
        <v>5121</v>
      </c>
      <c r="Z947" s="152" t="s">
        <v>1557</v>
      </c>
      <c r="AA947" s="153" t="n">
        <v>3.1</v>
      </c>
      <c r="AB947" s="151" t="s">
        <v>5143</v>
      </c>
      <c r="AC947" s="151" t="s">
        <v>526</v>
      </c>
      <c r="AD947" s="151" t="str">
        <f aca="false">CONCATENATE($C947,$I947,$H947,$N947,$J947,$K947)</f>
        <v>TUBO PEADPEAD90VCAREDESZona09</v>
      </c>
      <c r="AE947" s="153" t="n">
        <f aca="false">IFERROR(INDEX(APOIO_REDES!$A:$W,MATCH($C947&amp;$I947&amp;$H947&amp;$N947&amp;$O947,APOIO_REDES!$W:$W,0),MATCH(AE$5,APOIO_REDES!$5:$5,0)),0)</f>
        <v>1.2</v>
      </c>
      <c r="AF947" s="153" t="n">
        <f aca="false">IFERROR(INDEX(APOIO_REDES!$A:$W,MATCH($C947&amp;$I947&amp;$H947&amp;$N947&amp;$O947,APOIO_REDES!$W:$W,0),MATCH(AF$5,APOIO_REDES!$5:$5,0)),0)</f>
        <v>1.39</v>
      </c>
      <c r="AG947" s="153" t="n">
        <f aca="false">IFERROR(INDEX(APOIO_REDES!$A:$W,MATCH($C947&amp;$I947&amp;$H947&amp;$N947&amp;$O947,APOIO_REDES!$W:$W,0),MATCH(AG$5,APOIO_REDES!$5:$5,0)),0)</f>
        <v>0.75</v>
      </c>
      <c r="AH947" s="153" t="n">
        <f aca="false">IFERROR(INDEX(APOIO_REDES!$A:$W,MATCH($C947&amp;$I947&amp;$H947&amp;$N947&amp;$O947,APOIO_REDES!$W:$W,0),MATCH(AH$5,APOIO_REDES!$5:$5,0)),0)</f>
        <v>0.1</v>
      </c>
      <c r="AI947" s="153" t="n">
        <f aca="false">IFERROR(IF($H947&lt;&gt;"",(((($H947/1000)/2)^2)*PI()*$M947),0),0)</f>
        <v>0.0195304961292043</v>
      </c>
      <c r="AJ947" s="153" t="n">
        <f aca="false">IFERROR(IF(AND($H947&lt;&gt;"",$I947="FoFo",OR($N947="MND",$N947="VCA"),$Q947="LINEAR"),0,IF(AND($H947&lt;&gt;"",$I947="PEAD",$N947="VCA",$Q947="LINEAR"),($H947/1000)+0.3,IF(AND($H947&lt;&gt;"",$I947="PEAD",$N947="MND",$Q947="EMBOQUE"),0,IF(AND($H947&lt;&gt;"",$I947="PVC",$N947="VCA",$Q947="LINEAR"),($H947/1000)+0.2,IF(AND($H947&lt;&gt;"",$I947="PVC",$N947="MND",$Q947="EMBOQUE"),0,IF(AND($H947&lt;&gt;"",$I947="PEAD",$N947="VCA",$Q947="PREDIAL"),0,0)))))),0)</f>
        <v>0.39</v>
      </c>
      <c r="AK947" s="153" t="n">
        <f aca="false">IF(AA947&lt;&gt;"",AA947,0)</f>
        <v>3.1</v>
      </c>
      <c r="AL947" s="153" t="n">
        <f aca="false">IF(AND($N947="MND",$Q947="EMBOQUE"),$M947,IF(AND($N947="VCA",$Q947="LINEAR"),$M947,IF(AND($N947="VCA",$Q947="PREDIAL"),0,0)))</f>
        <v>3.07</v>
      </c>
      <c r="AM947" s="153" t="n">
        <f aca="false">IF(AND($N947="MND",$Q947="EMBOQUE"),$M947,IF(AND($N947="VCA",$Q947="LINEAR"),$M947,IF(AND($N947="VCA",$Q947="PREDIAL"),0,0)))</f>
        <v>3.07</v>
      </c>
      <c r="AN947" s="153" t="n">
        <f aca="false">ROUND(IF(AND($N947="VCA",$M947&lt;&gt;"",$Q947="LINEAR"),$M947/100,IF(AND($N947="MND",$M947&gt;100,$Q947="EMBOQUE"),$M947/100,0)),0)</f>
        <v>0</v>
      </c>
      <c r="AO947" s="153" t="n">
        <f aca="false">IF(AND($N947="MND",$Q947="EMBOQUE"),$AN947*2*2,IF(AND($N947="VCA",$Q947="LINEAR"),$M947*2,IF(AND($N947="VCA",$Q947="PREDIAL"),0,0)))</f>
        <v>6.14</v>
      </c>
      <c r="AP947" s="153" t="n">
        <f aca="false">IFERROR($M947*$AF947*$AG947,0)</f>
        <v>3.200475</v>
      </c>
      <c r="AQ947" s="153" t="n">
        <f aca="false">IFERROR(IF(AND($N947="VCA",$AH947&gt;0),$M947*$AG947*$AH947,0),0)</f>
        <v>0.23025</v>
      </c>
      <c r="AR947" s="153" t="n">
        <f aca="false">IFERROR(IF(AND($N947="VCA",$AJ947&gt;0),($M947*$AG947*$AJ947)-$AI947,0),0)</f>
        <v>0.878444503870796</v>
      </c>
      <c r="AS947" s="153" t="n">
        <f aca="false">IFERROR(IF(AND($N947="VCA",$AP947&gt;0),$AP947-$AI947-$AQ947-$AR947,0),0)</f>
        <v>2.07225</v>
      </c>
      <c r="AT947" s="153" t="n">
        <f aca="false">IFERROR(IF($N947="VCA",INDEX(APOIO_REDES!$A:$W,MATCH($C947&amp;$I947&amp;$H947&amp;$N947&amp;$O947,APOIO_REDES!$W:$W,0),MATCH(AT$5,APOIO_REDES!$5:$5,0)),0)*$AP947,0)</f>
        <v>0.0348221152922456</v>
      </c>
      <c r="AU947" s="153" t="n">
        <f aca="false">IFERROR(IF($N947="VCA",INDEX(APOIO_REDES!$A:$W,MATCH($C947&amp;$I947&amp;$H947&amp;$N947&amp;$O947,APOIO_REDES!$W:$W,0),MATCH(AU$5,APOIO_REDES!$5:$5,0)),0)*$AP947,0)</f>
        <v>0.0278079981699005</v>
      </c>
      <c r="AV947" s="153" t="n">
        <f aca="false">IFERROR(IF($N947="VCA",INDEX(APOIO_REDES!$A:$W,MATCH($C947&amp;$I947&amp;$H947&amp;$N947&amp;$O947,APOIO_REDES!$W:$W,0),MATCH(AV$5,APOIO_REDES!$5:$5,0)),0)*$AP947,0)</f>
        <v>0.00384840864536942</v>
      </c>
      <c r="AW947" s="153" t="n">
        <f aca="false">IFERROR(IF($N947="VCA",INDEX(APOIO_REDES!$A:$W,MATCH($C947&amp;$I947&amp;$H947&amp;$N947&amp;$O947,APOIO_REDES!$W:$W,0),MATCH(AW$5,APOIO_REDES!$5:$5,0)),0)*$AP947,0)</f>
        <v>2.19683083849041</v>
      </c>
      <c r="AX947" s="153" t="n">
        <f aca="false">IFERROR(IF($N947="VCA",INDEX(APOIO_REDES!$A:$W,MATCH($C947&amp;$I947&amp;$H947&amp;$N947&amp;$O947,APOIO_REDES!$W:$W,0),MATCH(AX$5,APOIO_REDES!$5:$5,0)),0)*$AP947,0)</f>
        <v>0.304035130255976</v>
      </c>
      <c r="AY947" s="153" t="n">
        <f aca="false">IFERROR(IF($N947="VCA",INDEX(APOIO_REDES!$A:$W,MATCH($C947&amp;$I947&amp;$H947&amp;$N947&amp;$O947,APOIO_REDES!$W:$W,0),MATCH(AY$5,APOIO_REDES!$5:$5,0)),0)*$AP947,0)</f>
        <v>0.556159624420766</v>
      </c>
      <c r="AZ947" s="153" t="n">
        <f aca="false">IFERROR(IF($N947="VCA",INDEX(APOIO_REDES!$A:$W,MATCH($C947&amp;$I947&amp;$H947&amp;$N947&amp;$O947,APOIO_REDES!$W:$W,0),MATCH(AZ$5,APOIO_REDES!$5:$5,0)),0)*$AP947,0)</f>
        <v>0.0769708847253363</v>
      </c>
      <c r="BA947" s="153" t="n">
        <f aca="false">IFERROR(IF(AND($N947="VCA",$Q947="LINEAR"),INDEX(APOIO_REDES!$A:$W,MATCH($C947&amp;$I947&amp;$H947&amp;$N947&amp;$O947,APOIO_REDES!$W:$W,0),MATCH(BA$5,APOIO_REDES!$5:$5,0)),IF(AND($N947="MND",$Q947="EMBOQUE"),INDEX(APOIO_REDES!$A:$W,MATCH($C947&amp;$I947&amp;$H947&amp;$N947&amp;$O947,APOIO_REDES!$W:$W,0),MATCH(BA$5,APOIO_REDES!$5:$5,0)),0))*$M947/10,0)</f>
        <v>0.247434256169925</v>
      </c>
      <c r="BB947" s="153" t="n">
        <f aca="false">IFERROR(IF($N947="VCA",INDEX(APOIO_REDES!$A:$W,MATCH($C947&amp;$I947&amp;$H947&amp;$N947&amp;$O947,APOIO_REDES!$W:$W,0),MATCH(BB$5,APOIO_REDES!$5:$5,0)),0)*($AI947+$AQ947+$AR947),0)</f>
        <v>1.11594957806245</v>
      </c>
      <c r="BC947" s="153" t="n">
        <f aca="false">IFERROR(IF($N947="VCA",INDEX(APOIO_REDES!$A:$W,MATCH($C947&amp;$I947&amp;$H947&amp;$N947&amp;$O947,APOIO_REDES!$W:$W,0),MATCH(BC$5,APOIO_REDES!$5:$5,0)),0)*($AI947+$AQ947+$AR947),0)</f>
        <v>0.0122754219375542</v>
      </c>
      <c r="BD947" s="153" t="n">
        <f aca="false">IF(AND($N947="VCA",$AF947&gt;=1.25,$AF947&lt;1.5),$M947*$AF947*2,0)</f>
        <v>8.5346</v>
      </c>
      <c r="BE947" s="153" t="n">
        <f aca="false">IF(AND($N947="VCA",$AF947&gt;=1.5,$AF947&lt;3),$M947*$AF947*2,0)</f>
        <v>0</v>
      </c>
      <c r="BF947" s="153" t="n">
        <f aca="false">IF(AND($N947="VCA",$AF947&gt;=3),$M947*$AF947*2,0)</f>
        <v>0</v>
      </c>
      <c r="BG947" s="153" t="n">
        <f aca="false">($BB947+$BC947)*$AK947</f>
        <v>3.4974975</v>
      </c>
      <c r="BH947" s="153" t="n">
        <f aca="false">IF(AND($M947&lt;&gt;"",$N947="VCA",$Q947="LINEAR"),($M947*2)/100,IF(AND($M947&lt;&gt;"",$N947="MND",$Q947="EMBOQUE"),($AN947*2)/100,0))</f>
        <v>0.0614</v>
      </c>
      <c r="BI947" s="153" t="n">
        <f aca="false">IF(AND($M947&lt;&gt;"",$N947="VCA",$Q947="LINEAR"),$M947,IF(AND($M947&lt;&gt;"",$N947="MND",$Q947="EMBOQUE"),$AN947*2,0))</f>
        <v>3.07</v>
      </c>
      <c r="BJ947" s="153" t="n">
        <f aca="false">IF(AND($M947&lt;&gt;"",$N947="VCA",$Q947="LINEAR"),($M947*6.8)/100,IF(AND($M947&lt;&gt;"",$N947="MND",$Q947="EMBOQUE"),($AN947*2*6.8)/100,0))</f>
        <v>0.20876</v>
      </c>
      <c r="BK947" s="153" t="n">
        <f aca="false">IF(AND($M947&lt;&gt;"",$N947="VCA",$Q947="LINEAR"),($M947*2.5)/50,IF(AND($M947&lt;&gt;"",$N947="MND",$Q947="EMBOQUE"),($AN947*2*2.5)/50,0))</f>
        <v>0.1535</v>
      </c>
      <c r="BL947" s="157" t="str">
        <f aca="false">K947&amp;J947</f>
        <v>Zona09REDES</v>
      </c>
      <c r="BM947" s="152" t="s">
        <v>5109</v>
      </c>
      <c r="BN947" s="152" t="s">
        <v>1560</v>
      </c>
      <c r="BO947" s="152" t="s">
        <v>3688</v>
      </c>
      <c r="BP947" s="152" t="s">
        <v>5140</v>
      </c>
      <c r="BQ947" s="152" t="s">
        <v>5144</v>
      </c>
      <c r="BR947" s="152" t="s">
        <v>5141</v>
      </c>
      <c r="BS947" s="152" t="n">
        <v>203248.732</v>
      </c>
      <c r="BT947" s="152" t="n">
        <v>8237066.6</v>
      </c>
      <c r="BU947" s="152" t="n">
        <v>203251.673</v>
      </c>
      <c r="BV947" s="152" t="n">
        <v>8237065.711</v>
      </c>
      <c r="BW947" s="152" t="n">
        <v>-15.9279262</v>
      </c>
      <c r="BX947" s="152" t="n">
        <v>-47.7716646</v>
      </c>
      <c r="BY947" s="152" t="s">
        <v>5140</v>
      </c>
    </row>
    <row r="948" customFormat="false" ht="13.8" hidden="false" customHeight="false" outlineLevel="0" collapsed="false">
      <c r="A948" s="149" t="n">
        <f aca="false">IF(C948&lt;&gt;"",ROW(A943),"")</f>
        <v>943</v>
      </c>
      <c r="B948" s="150" t="str">
        <f aca="false">HYPERLINK("https://www.google.com/maps/dir/-15.917302,-47.760003/-15.9281453,-47.7697162/data=!4m3!4m2!3e0!5i0")</f>
        <v>https://www.google.com/maps/dir/-15.917302,-47.760003/-15.9281453,-47.7697162/data=!4m3!4m2!3e0!5i0</v>
      </c>
      <c r="C948" s="151" t="s">
        <v>117</v>
      </c>
      <c r="D948" s="152" t="s">
        <v>112</v>
      </c>
      <c r="E948" s="152" t="s">
        <v>113</v>
      </c>
      <c r="F948" s="152" t="s">
        <v>117</v>
      </c>
      <c r="G948" s="152" t="s">
        <v>114</v>
      </c>
      <c r="H948" s="152" t="n">
        <v>160</v>
      </c>
      <c r="I948" s="152" t="s">
        <v>115</v>
      </c>
      <c r="J948" s="152" t="s">
        <v>6</v>
      </c>
      <c r="K948" s="152" t="s">
        <v>5106</v>
      </c>
      <c r="L948" s="152" t="s">
        <v>120</v>
      </c>
      <c r="M948" s="153" t="n">
        <f aca="false">37.71</f>
        <v>37.71</v>
      </c>
      <c r="N948" s="152" t="s">
        <v>1548</v>
      </c>
      <c r="O948" s="152" t="s">
        <v>1549</v>
      </c>
      <c r="P948" s="152" t="s">
        <v>1550</v>
      </c>
      <c r="Q948" s="152" t="s">
        <v>1551</v>
      </c>
      <c r="R948" s="154" t="s">
        <v>5145</v>
      </c>
      <c r="S948" s="154" t="s">
        <v>1593</v>
      </c>
      <c r="T948" s="155" t="s">
        <v>3685</v>
      </c>
      <c r="U948" s="152" t="str">
        <f aca="false">RIGHT(T948,7)</f>
        <v>012/037</v>
      </c>
      <c r="V948" s="152" t="s">
        <v>1555</v>
      </c>
      <c r="W948" s="156" t="n">
        <v>45882</v>
      </c>
      <c r="X948" s="152" t="s">
        <v>1594</v>
      </c>
      <c r="Y948" s="152" t="s">
        <v>5146</v>
      </c>
      <c r="Z948" s="152" t="s">
        <v>1557</v>
      </c>
      <c r="AA948" s="153" t="n">
        <v>2.6</v>
      </c>
      <c r="AB948" s="151" t="s">
        <v>5122</v>
      </c>
      <c r="AC948" s="151" t="s">
        <v>505</v>
      </c>
      <c r="AD948" s="151" t="str">
        <f aca="false">CONCATENATE($C948,$I948,$H948,$N948,$J948,$K948)</f>
        <v>TUBO PEADPEAD160VCAREDESZona09</v>
      </c>
      <c r="AE948" s="153" t="n">
        <f aca="false">IFERROR(INDEX(APOIO_REDES!$A:$W,MATCH($C948&amp;$I948&amp;$H948&amp;$N948&amp;$O948,APOIO_REDES!$W:$W,0),MATCH(AE$5,APOIO_REDES!$5:$5,0)),0)</f>
        <v>1.2</v>
      </c>
      <c r="AF948" s="153" t="n">
        <f aca="false">IFERROR(INDEX(APOIO_REDES!$A:$W,MATCH($C948&amp;$I948&amp;$H948&amp;$N948&amp;$O948,APOIO_REDES!$W:$W,0),MATCH(AF$5,APOIO_REDES!$5:$5,0)),0)</f>
        <v>1.46</v>
      </c>
      <c r="AG948" s="153" t="n">
        <f aca="false">IFERROR(INDEX(APOIO_REDES!$A:$W,MATCH($C948&amp;$I948&amp;$H948&amp;$N948&amp;$O948,APOIO_REDES!$W:$W,0),MATCH(AG$5,APOIO_REDES!$5:$5,0)),0)</f>
        <v>0.75</v>
      </c>
      <c r="AH948" s="153" t="n">
        <f aca="false">IFERROR(INDEX(APOIO_REDES!$A:$W,MATCH($C948&amp;$I948&amp;$H948&amp;$N948&amp;$O948,APOIO_REDES!$W:$W,0),MATCH(AH$5,APOIO_REDES!$5:$5,0)),0)</f>
        <v>0.1</v>
      </c>
      <c r="AI948" s="153" t="n">
        <f aca="false">IFERROR(IF($H948&lt;&gt;"",(((($H948/1000)/2)^2)*PI()*$M948),0),0)</f>
        <v>0.758204537387975</v>
      </c>
      <c r="AJ948" s="153" t="n">
        <f aca="false">IFERROR(IF(AND($H948&lt;&gt;"",$I948="FoFo",OR($N948="MND",$N948="VCA"),$Q948="LINEAR"),0,IF(AND($H948&lt;&gt;"",$I948="PEAD",$N948="VCA",$Q948="LINEAR"),($H948/1000)+0.3,IF(AND($H948&lt;&gt;"",$I948="PEAD",$N948="MND",$Q948="EMBOQUE"),0,IF(AND($H948&lt;&gt;"",$I948="PVC",$N948="VCA",$Q948="LINEAR"),($H948/1000)+0.2,IF(AND($H948&lt;&gt;"",$I948="PVC",$N948="MND",$Q948="EMBOQUE"),0,IF(AND($H948&lt;&gt;"",$I948="PEAD",$N948="VCA",$Q948="PREDIAL"),0,0)))))),0)</f>
        <v>0.46</v>
      </c>
      <c r="AK948" s="153" t="n">
        <f aca="false">IF(AA948&lt;&gt;"",AA948,0)</f>
        <v>2.6</v>
      </c>
      <c r="AL948" s="153" t="n">
        <f aca="false">IF(AND($N948="MND",$Q948="EMBOQUE"),$M948,IF(AND($N948="VCA",$Q948="LINEAR"),$M948,IF(AND($N948="VCA",$Q948="PREDIAL"),0,0)))</f>
        <v>37.71</v>
      </c>
      <c r="AM948" s="153" t="n">
        <f aca="false">IF(AND($N948="MND",$Q948="EMBOQUE"),$M948,IF(AND($N948="VCA",$Q948="LINEAR"),$M948,IF(AND($N948="VCA",$Q948="PREDIAL"),0,0)))</f>
        <v>37.71</v>
      </c>
      <c r="AN948" s="153" t="n">
        <f aca="false">ROUND(IF(AND($N948="VCA",$M948&lt;&gt;"",$Q948="LINEAR"),$M948/100,IF(AND($N948="MND",$M948&gt;100,$Q948="EMBOQUE"),$M948/100,0)),0)</f>
        <v>0</v>
      </c>
      <c r="AO948" s="153" t="n">
        <f aca="false">IF(AND($N948="MND",$Q948="EMBOQUE"),$AN948*2*2,IF(AND($N948="VCA",$Q948="LINEAR"),$M948*2,IF(AND($N948="VCA",$Q948="PREDIAL"),0,0)))</f>
        <v>75.42</v>
      </c>
      <c r="AP948" s="153" t="n">
        <f aca="false">IFERROR($M948*$AF948*$AG948,0)</f>
        <v>41.29245</v>
      </c>
      <c r="AQ948" s="153" t="n">
        <f aca="false">IFERROR(IF(AND($N948="VCA",$AH948&gt;0),$M948*$AG948*$AH948,0),0)</f>
        <v>2.82825</v>
      </c>
      <c r="AR948" s="153" t="n">
        <f aca="false">IFERROR(IF(AND($N948="VCA",$AJ948&gt;0),($M948*$AG948*$AJ948)-$AI948,0),0)</f>
        <v>12.251745462612</v>
      </c>
      <c r="AS948" s="153" t="n">
        <f aca="false">IFERROR(IF(AND($N948="VCA",$AP948&gt;0),$AP948-$AI948-$AQ948-$AR948,0),0)</f>
        <v>25.45425</v>
      </c>
      <c r="AT948" s="153" t="n">
        <f aca="false">IFERROR(IF($N948="VCA",INDEX(APOIO_REDES!$A:$W,MATCH($C948&amp;$I948&amp;$H948&amp;$N948&amp;$O948,APOIO_REDES!$W:$W,0),MATCH(AT$5,APOIO_REDES!$5:$5,0)),0)*$AP948,0)</f>
        <v>0.449274077941332</v>
      </c>
      <c r="AU948" s="153" t="n">
        <f aca="false">IFERROR(IF($N948="VCA",INDEX(APOIO_REDES!$A:$W,MATCH($C948&amp;$I948&amp;$H948&amp;$N948&amp;$O948,APOIO_REDES!$W:$W,0),MATCH(AU$5,APOIO_REDES!$5:$5,0)),0)*$AP948,0)</f>
        <v>0.35877811075878</v>
      </c>
      <c r="AV948" s="153" t="n">
        <f aca="false">IFERROR(IF($N948="VCA",INDEX(APOIO_REDES!$A:$W,MATCH($C948&amp;$I948&amp;$H948&amp;$N948&amp;$O948,APOIO_REDES!$W:$W,0),MATCH(AV$5,APOIO_REDES!$5:$5,0)),0)*$AP948,0)</f>
        <v>0.0496520740104154</v>
      </c>
      <c r="AW948" s="153" t="n">
        <f aca="false">IFERROR(IF($N948="VCA",INDEX(APOIO_REDES!$A:$W,MATCH($C948&amp;$I948&amp;$H948&amp;$N948&amp;$O948,APOIO_REDES!$W:$W,0),MATCH(AW$5,APOIO_REDES!$5:$5,0)),0)*$AP948,0)</f>
        <v>28.3434576295154</v>
      </c>
      <c r="AX948" s="153" t="n">
        <f aca="false">IFERROR(IF($N948="VCA",INDEX(APOIO_REDES!$A:$W,MATCH($C948&amp;$I948&amp;$H948&amp;$N948&amp;$O948,APOIO_REDES!$W:$W,0),MATCH(AX$5,APOIO_REDES!$5:$5,0)),0)*$AP948,0)</f>
        <v>3.92265379805759</v>
      </c>
      <c r="AY948" s="153" t="n">
        <f aca="false">IFERROR(IF($N948="VCA",INDEX(APOIO_REDES!$A:$W,MATCH($C948&amp;$I948&amp;$H948&amp;$N948&amp;$O948,APOIO_REDES!$W:$W,0),MATCH(AY$5,APOIO_REDES!$5:$5,0)),0)*$AP948,0)</f>
        <v>7.17555784169952</v>
      </c>
      <c r="AZ948" s="153" t="n">
        <f aca="false">IFERROR(IF($N948="VCA",INDEX(APOIO_REDES!$A:$W,MATCH($C948&amp;$I948&amp;$H948&amp;$N948&amp;$O948,APOIO_REDES!$W:$W,0),MATCH(AZ$5,APOIO_REDES!$5:$5,0)),0)*$AP948,0)</f>
        <v>0.993076468017001</v>
      </c>
      <c r="BA948" s="153" t="n">
        <f aca="false">IFERROR(IF(AND($N948="VCA",$Q948="LINEAR"),INDEX(APOIO_REDES!$A:$W,MATCH($C948&amp;$I948&amp;$H948&amp;$N948&amp;$O948,APOIO_REDES!$W:$W,0),MATCH(BA$5,APOIO_REDES!$5:$5,0)),IF(AND($N948="MND",$Q948="EMBOQUE"),INDEX(APOIO_REDES!$A:$W,MATCH($C948&amp;$I948&amp;$H948&amp;$N948&amp;$O948,APOIO_REDES!$W:$W,0),MATCH(BA$5,APOIO_REDES!$5:$5,0)),0))*$M948/10,0)</f>
        <v>3.03933087953351</v>
      </c>
      <c r="BB948" s="153" t="n">
        <f aca="false">IFERROR(IF($N948="VCA",INDEX(APOIO_REDES!$A:$W,MATCH($C948&amp;$I948&amp;$H948&amp;$N948&amp;$O948,APOIO_REDES!$W:$W,0),MATCH(BB$5,APOIO_REDES!$5:$5,0)),0)*($AI948+$AQ948+$AR948),0)</f>
        <v>15.6658756961321</v>
      </c>
      <c r="BC948" s="153" t="n">
        <f aca="false">IFERROR(IF($N948="VCA",INDEX(APOIO_REDES!$A:$W,MATCH($C948&amp;$I948&amp;$H948&amp;$N948&amp;$O948,APOIO_REDES!$W:$W,0),MATCH(BC$5,APOIO_REDES!$5:$5,0)),0)*($AI948+$AQ948+$AR948),0)</f>
        <v>0.172324303867908</v>
      </c>
      <c r="BD948" s="153" t="n">
        <f aca="false">IF(AND($N948="VCA",$AF948&gt;=1.25,$AF948&lt;1.5),$M948*$AF948*2,0)</f>
        <v>110.1132</v>
      </c>
      <c r="BE948" s="153" t="n">
        <f aca="false">IF(AND($N948="VCA",$AF948&gt;=1.5,$AF948&lt;3),$M948*$AF948*2,0)</f>
        <v>0</v>
      </c>
      <c r="BF948" s="153" t="n">
        <f aca="false">IF(AND($N948="VCA",$AF948&gt;=3),$M948*$AF948*2,0)</f>
        <v>0</v>
      </c>
      <c r="BG948" s="153" t="n">
        <f aca="false">($BB948+$BC948)*$AK948</f>
        <v>41.17932</v>
      </c>
      <c r="BH948" s="153" t="n">
        <f aca="false">IF(AND($M948&lt;&gt;"",$N948="VCA",$Q948="LINEAR"),($M948*2)/100,IF(AND($M948&lt;&gt;"",$N948="MND",$Q948="EMBOQUE"),($AN948*2)/100,0))</f>
        <v>0.7542</v>
      </c>
      <c r="BI948" s="153" t="n">
        <f aca="false">IF(AND($M948&lt;&gt;"",$N948="VCA",$Q948="LINEAR"),$M948,IF(AND($M948&lt;&gt;"",$N948="MND",$Q948="EMBOQUE"),$AN948*2,0))</f>
        <v>37.71</v>
      </c>
      <c r="BJ948" s="153" t="n">
        <f aca="false">IF(AND($M948&lt;&gt;"",$N948="VCA",$Q948="LINEAR"),($M948*6.8)/100,IF(AND($M948&lt;&gt;"",$N948="MND",$Q948="EMBOQUE"),($AN948*2*6.8)/100,0))</f>
        <v>2.56428</v>
      </c>
      <c r="BK948" s="153" t="n">
        <f aca="false">IF(AND($M948&lt;&gt;"",$N948="VCA",$Q948="LINEAR"),($M948*2.5)/50,IF(AND($M948&lt;&gt;"",$N948="MND",$Q948="EMBOQUE"),($AN948*2*2.5)/50,0))</f>
        <v>1.8855</v>
      </c>
      <c r="BL948" s="157" t="str">
        <f aca="false">K948&amp;J948</f>
        <v>Zona09REDES</v>
      </c>
      <c r="BM948" s="152" t="s">
        <v>5109</v>
      </c>
      <c r="BN948" s="152" t="s">
        <v>1560</v>
      </c>
      <c r="BO948" s="152" t="s">
        <v>3688</v>
      </c>
      <c r="BP948" s="152" t="s">
        <v>2032</v>
      </c>
      <c r="BQ948" s="152" t="s">
        <v>2032</v>
      </c>
      <c r="BR948" s="152" t="s">
        <v>5123</v>
      </c>
      <c r="BS948" s="152" t="n">
        <v>203434.988</v>
      </c>
      <c r="BT948" s="152" t="n">
        <v>8237076.942</v>
      </c>
      <c r="BU948" s="152" t="n">
        <v>203454.517</v>
      </c>
      <c r="BV948" s="152" t="n">
        <v>8237044.683</v>
      </c>
      <c r="BW948" s="152" t="n">
        <v>-15.9279982</v>
      </c>
      <c r="BX948" s="152" t="n">
        <v>-47.7698503</v>
      </c>
      <c r="BY948" s="152" t="s">
        <v>5147</v>
      </c>
    </row>
    <row r="949" customFormat="false" ht="13.8" hidden="false" customHeight="false" outlineLevel="0" collapsed="false">
      <c r="A949" s="149" t="n">
        <f aca="false">IF(C949&lt;&gt;"",ROW(A944),"")</f>
        <v>944</v>
      </c>
      <c r="B949" s="150" t="str">
        <f aca="false">HYPERLINK("https://www.google.com/maps/dir/-15.917302,-47.760003/-15.9279304,-47.7716509/data=!4m3!4m2!3e0!5i0")</f>
        <v>https://www.google.com/maps/dir/-15.917302,-47.760003/-15.9279304,-47.7716509/data=!4m3!4m2!3e0!5i0</v>
      </c>
      <c r="C949" s="151" t="s">
        <v>117</v>
      </c>
      <c r="D949" s="152" t="s">
        <v>112</v>
      </c>
      <c r="E949" s="152" t="s">
        <v>113</v>
      </c>
      <c r="F949" s="152" t="s">
        <v>117</v>
      </c>
      <c r="G949" s="152" t="s">
        <v>782</v>
      </c>
      <c r="H949" s="152" t="n">
        <v>63</v>
      </c>
      <c r="I949" s="152" t="s">
        <v>115</v>
      </c>
      <c r="J949" s="152" t="s">
        <v>6</v>
      </c>
      <c r="K949" s="152" t="s">
        <v>5106</v>
      </c>
      <c r="L949" s="152" t="s">
        <v>120</v>
      </c>
      <c r="M949" s="153" t="n">
        <f aca="false">49.89+4</f>
        <v>53.89</v>
      </c>
      <c r="N949" s="152" t="s">
        <v>1548</v>
      </c>
      <c r="O949" s="152" t="s">
        <v>1549</v>
      </c>
      <c r="P949" s="152" t="s">
        <v>1550</v>
      </c>
      <c r="Q949" s="152" t="s">
        <v>1551</v>
      </c>
      <c r="R949" s="154" t="s">
        <v>5148</v>
      </c>
      <c r="S949" s="154" t="s">
        <v>1553</v>
      </c>
      <c r="T949" s="155" t="s">
        <v>3685</v>
      </c>
      <c r="U949" s="152" t="str">
        <f aca="false">RIGHT(T949,7)</f>
        <v>012/037</v>
      </c>
      <c r="V949" s="152" t="s">
        <v>1555</v>
      </c>
      <c r="W949" s="156" t="n">
        <v>45882</v>
      </c>
      <c r="X949" s="152" t="s">
        <v>1594</v>
      </c>
      <c r="Y949" s="152" t="s">
        <v>5121</v>
      </c>
      <c r="Z949" s="152" t="s">
        <v>1557</v>
      </c>
      <c r="AA949" s="153" t="n">
        <v>3.1</v>
      </c>
      <c r="AB949" s="151" t="s">
        <v>5149</v>
      </c>
      <c r="AC949" s="151" t="s">
        <v>186</v>
      </c>
      <c r="AD949" s="151" t="str">
        <f aca="false">CONCATENATE($C949,$I949,$H949,$N949,$J949,$K949)</f>
        <v>TUBO PEADPEAD63VCAREDESZona09</v>
      </c>
      <c r="AE949" s="153" t="n">
        <f aca="false">IFERROR(INDEX(APOIO_REDES!$A:$W,MATCH($C949&amp;$I949&amp;$H949&amp;$N949&amp;$O949,APOIO_REDES!$W:$W,0),MATCH(AE$5,APOIO_REDES!$5:$5,0)),0)</f>
        <v>1.2</v>
      </c>
      <c r="AF949" s="153" t="n">
        <f aca="false">IFERROR(INDEX(APOIO_REDES!$A:$W,MATCH($C949&amp;$I949&amp;$H949&amp;$N949&amp;$O949,APOIO_REDES!$W:$W,0),MATCH(AF$5,APOIO_REDES!$5:$5,0)),0)</f>
        <v>1.363</v>
      </c>
      <c r="AG949" s="153" t="n">
        <f aca="false">IFERROR(INDEX(APOIO_REDES!$A:$W,MATCH($C949&amp;$I949&amp;$H949&amp;$N949&amp;$O949,APOIO_REDES!$W:$W,0),MATCH(AG$5,APOIO_REDES!$5:$5,0)),0)</f>
        <v>0.65</v>
      </c>
      <c r="AH949" s="153" t="n">
        <f aca="false">IFERROR(INDEX(APOIO_REDES!$A:$W,MATCH($C949&amp;$I949&amp;$H949&amp;$N949&amp;$O949,APOIO_REDES!$W:$W,0),MATCH(AH$5,APOIO_REDES!$5:$5,0)),0)</f>
        <v>0.1</v>
      </c>
      <c r="AI949" s="153" t="n">
        <f aca="false">IFERROR(IF($H949&lt;&gt;"",(((($H949/1000)/2)^2)*PI()*$M949),0),0)</f>
        <v>0.167988349784164</v>
      </c>
      <c r="AJ949" s="153" t="n">
        <f aca="false">IFERROR(IF(AND($H949&lt;&gt;"",$I949="FoFo",OR($N949="MND",$N949="VCA"),$Q949="LINEAR"),0,IF(AND($H949&lt;&gt;"",$I949="PEAD",$N949="VCA",$Q949="LINEAR"),($H949/1000)+0.3,IF(AND($H949&lt;&gt;"",$I949="PEAD",$N949="MND",$Q949="EMBOQUE"),0,IF(AND($H949&lt;&gt;"",$I949="PVC",$N949="VCA",$Q949="LINEAR"),($H949/1000)+0.2,IF(AND($H949&lt;&gt;"",$I949="PVC",$N949="MND",$Q949="EMBOQUE"),0,IF(AND($H949&lt;&gt;"",$I949="PEAD",$N949="VCA",$Q949="PREDIAL"),0,0)))))),0)</f>
        <v>0.363</v>
      </c>
      <c r="AK949" s="153" t="n">
        <f aca="false">IF(AA949&lt;&gt;"",AA949,0)</f>
        <v>3.1</v>
      </c>
      <c r="AL949" s="153" t="n">
        <f aca="false">IF(AND($N949="MND",$Q949="EMBOQUE"),$M949,IF(AND($N949="VCA",$Q949="LINEAR"),$M949,IF(AND($N949="VCA",$Q949="PREDIAL"),0,0)))</f>
        <v>53.89</v>
      </c>
      <c r="AM949" s="153" t="n">
        <f aca="false">IF(AND($N949="MND",$Q949="EMBOQUE"),$M949,IF(AND($N949="VCA",$Q949="LINEAR"),$M949,IF(AND($N949="VCA",$Q949="PREDIAL"),0,0)))</f>
        <v>53.89</v>
      </c>
      <c r="AN949" s="153" t="n">
        <f aca="false">ROUND(IF(AND($N949="VCA",$M949&lt;&gt;"",$Q949="LINEAR"),$M949/100,IF(AND($N949="MND",$M949&gt;100,$Q949="EMBOQUE"),$M949/100,0)),0)</f>
        <v>1</v>
      </c>
      <c r="AO949" s="153" t="n">
        <f aca="false">IF(AND($N949="MND",$Q949="EMBOQUE"),$AN949*2*2,IF(AND($N949="VCA",$Q949="LINEAR"),$M949*2,IF(AND($N949="VCA",$Q949="PREDIAL"),0,0)))</f>
        <v>107.78</v>
      </c>
      <c r="AP949" s="153" t="n">
        <f aca="false">IFERROR($M949*$AF949*$AG949,0)</f>
        <v>47.7438455</v>
      </c>
      <c r="AQ949" s="153" t="n">
        <f aca="false">IFERROR(IF(AND($N949="VCA",$AH949&gt;0),$M949*$AG949*$AH949,0),0)</f>
        <v>3.50285</v>
      </c>
      <c r="AR949" s="153" t="n">
        <f aca="false">IFERROR(IF(AND($N949="VCA",$AJ949&gt;0),($M949*$AG949*$AJ949)-$AI949,0),0)</f>
        <v>12.5473571502158</v>
      </c>
      <c r="AS949" s="153" t="n">
        <f aca="false">IFERROR(IF(AND($N949="VCA",$AP949&gt;0),$AP949-$AI949-$AQ949-$AR949,0),0)</f>
        <v>31.52565</v>
      </c>
      <c r="AT949" s="153" t="n">
        <f aca="false">IFERROR(IF($N949="VCA",INDEX(APOIO_REDES!$A:$W,MATCH($C949&amp;$I949&amp;$H949&amp;$N949&amp;$O949,APOIO_REDES!$W:$W,0),MATCH(AT$5,APOIO_REDES!$5:$5,0)),0)*$AP949,0)</f>
        <v>0.51946717049693</v>
      </c>
      <c r="AU949" s="153" t="n">
        <f aca="false">IFERROR(IF($N949="VCA",INDEX(APOIO_REDES!$A:$W,MATCH($C949&amp;$I949&amp;$H949&amp;$N949&amp;$O949,APOIO_REDES!$W:$W,0),MATCH(AU$5,APOIO_REDES!$5:$5,0)),0)*$AP949,0)</f>
        <v>0.414832413403639</v>
      </c>
      <c r="AV949" s="153" t="n">
        <f aca="false">IFERROR(IF($N949="VCA",INDEX(APOIO_REDES!$A:$W,MATCH($C949&amp;$I949&amp;$H949&amp;$N949&amp;$O949,APOIO_REDES!$W:$W,0),MATCH(AV$5,APOIO_REDES!$5:$5,0)),0)*$AP949,0)</f>
        <v>0.0574095494529349</v>
      </c>
      <c r="AW949" s="153" t="n">
        <f aca="false">IFERROR(IF($N949="VCA",INDEX(APOIO_REDES!$A:$W,MATCH($C949&amp;$I949&amp;$H949&amp;$N949&amp;$O949,APOIO_REDES!$W:$W,0),MATCH(AW$5,APOIO_REDES!$5:$5,0)),0)*$AP949,0)</f>
        <v>32.771745488567</v>
      </c>
      <c r="AX949" s="153" t="n">
        <f aca="false">IFERROR(IF($N949="VCA",INDEX(APOIO_REDES!$A:$W,MATCH($C949&amp;$I949&amp;$H949&amp;$N949&amp;$O949,APOIO_REDES!$W:$W,0),MATCH(AX$5,APOIO_REDES!$5:$5,0)),0)*$AP949,0)</f>
        <v>4.53551622353359</v>
      </c>
      <c r="AY949" s="153" t="n">
        <f aca="false">IFERROR(IF($N949="VCA",INDEX(APOIO_REDES!$A:$W,MATCH($C949&amp;$I949&amp;$H949&amp;$N949&amp;$O949,APOIO_REDES!$W:$W,0),MATCH(AY$5,APOIO_REDES!$5:$5,0)),0)*$AP949,0)</f>
        <v>8.29664321129929</v>
      </c>
      <c r="AZ949" s="153" t="n">
        <f aca="false">IFERROR(IF($N949="VCA",INDEX(APOIO_REDES!$A:$W,MATCH($C949&amp;$I949&amp;$H949&amp;$N949&amp;$O949,APOIO_REDES!$W:$W,0),MATCH(AZ$5,APOIO_REDES!$5:$5,0)),0)*$AP949,0)</f>
        <v>1.14823144324663</v>
      </c>
      <c r="BA949" s="153" t="n">
        <f aca="false">IFERROR(IF(AND($N949="VCA",$Q949="LINEAR"),INDEX(APOIO_REDES!$A:$W,MATCH($C949&amp;$I949&amp;$H949&amp;$N949&amp;$O949,APOIO_REDES!$W:$W,0),MATCH(BA$5,APOIO_REDES!$5:$5,0)),IF(AND($N949="MND",$Q949="EMBOQUE"),INDEX(APOIO_REDES!$A:$W,MATCH($C949&amp;$I949&amp;$H949&amp;$N949&amp;$O949,APOIO_REDES!$W:$W,0),MATCH(BA$5,APOIO_REDES!$5:$5,0)),0))*$M949/10,0)</f>
        <v>4.34339806677436</v>
      </c>
      <c r="BB949" s="153" t="n">
        <f aca="false">IFERROR(IF($N949="VCA",INDEX(APOIO_REDES!$A:$W,MATCH($C949&amp;$I949&amp;$H949&amp;$N949&amp;$O949,APOIO_REDES!$W:$W,0),MATCH(BB$5,APOIO_REDES!$5:$5,0)),0)*($AI949+$AQ949+$AR949),0)</f>
        <v>16.0417367326192</v>
      </c>
      <c r="BC949" s="153" t="n">
        <f aca="false">IFERROR(IF($N949="VCA",INDEX(APOIO_REDES!$A:$W,MATCH($C949&amp;$I949&amp;$H949&amp;$N949&amp;$O949,APOIO_REDES!$W:$W,0),MATCH(BC$5,APOIO_REDES!$5:$5,0)),0)*($AI949+$AQ949+$AR949),0)</f>
        <v>0.176458767380835</v>
      </c>
      <c r="BD949" s="153" t="n">
        <f aca="false">IF(AND($N949="VCA",$AF949&gt;=1.25,$AF949&lt;1.5),$M949*$AF949*2,0)</f>
        <v>146.90414</v>
      </c>
      <c r="BE949" s="153" t="n">
        <f aca="false">IF(AND($N949="VCA",$AF949&gt;=1.5,$AF949&lt;3),$M949*$AF949*2,0)</f>
        <v>0</v>
      </c>
      <c r="BF949" s="153" t="n">
        <f aca="false">IF(AND($N949="VCA",$AF949&gt;=3),$M949*$AF949*2,0)</f>
        <v>0</v>
      </c>
      <c r="BG949" s="153" t="n">
        <f aca="false">($BB949+$BC949)*$AK949</f>
        <v>50.27640605</v>
      </c>
      <c r="BH949" s="153" t="n">
        <f aca="false">IF(AND($M949&lt;&gt;"",$N949="VCA",$Q949="LINEAR"),($M949*2)/100,IF(AND($M949&lt;&gt;"",$N949="MND",$Q949="EMBOQUE"),($AN949*2)/100,0))</f>
        <v>1.0778</v>
      </c>
      <c r="BI949" s="153" t="n">
        <f aca="false">IF(AND($M949&lt;&gt;"",$N949="VCA",$Q949="LINEAR"),$M949,IF(AND($M949&lt;&gt;"",$N949="MND",$Q949="EMBOQUE"),$AN949*2,0))</f>
        <v>53.89</v>
      </c>
      <c r="BJ949" s="153" t="n">
        <f aca="false">IF(AND($M949&lt;&gt;"",$N949="VCA",$Q949="LINEAR"),($M949*6.8)/100,IF(AND($M949&lt;&gt;"",$N949="MND",$Q949="EMBOQUE"),($AN949*2*6.8)/100,0))</f>
        <v>3.66452</v>
      </c>
      <c r="BK949" s="153" t="n">
        <f aca="false">IF(AND($M949&lt;&gt;"",$N949="VCA",$Q949="LINEAR"),($M949*2.5)/50,IF(AND($M949&lt;&gt;"",$N949="MND",$Q949="EMBOQUE"),($AN949*2*2.5)/50,0))</f>
        <v>2.6945</v>
      </c>
      <c r="BL949" s="157" t="str">
        <f aca="false">K949&amp;J949</f>
        <v>Zona09REDES</v>
      </c>
      <c r="BM949" s="152" t="s">
        <v>5109</v>
      </c>
      <c r="BN949" s="152" t="s">
        <v>1560</v>
      </c>
      <c r="BO949" s="152" t="s">
        <v>3688</v>
      </c>
      <c r="BP949" s="152" t="s">
        <v>5144</v>
      </c>
      <c r="BQ949" s="152" t="s">
        <v>5150</v>
      </c>
      <c r="BR949" s="152" t="s">
        <v>5151</v>
      </c>
      <c r="BS949" s="152" t="n">
        <v>203251.673</v>
      </c>
      <c r="BT949" s="152" t="n">
        <v>8237065.711</v>
      </c>
      <c r="BU949" s="152" t="n">
        <v>203241.294</v>
      </c>
      <c r="BV949" s="152" t="n">
        <v>8237016.912</v>
      </c>
      <c r="BW949" s="152" t="n">
        <v>-15.9281505</v>
      </c>
      <c r="BX949" s="152" t="n">
        <v>-47.7717004</v>
      </c>
      <c r="BY949" s="152" t="s">
        <v>5144</v>
      </c>
    </row>
    <row r="950" customFormat="false" ht="13.8" hidden="false" customHeight="false" outlineLevel="0" collapsed="false">
      <c r="A950" s="149" t="n">
        <f aca="false">IF(C950&lt;&gt;"",ROW(A945),"")</f>
        <v>945</v>
      </c>
      <c r="B950" s="150" t="str">
        <f aca="false">HYPERLINK("https://www.google.com/maps/dir/-15.917302,-47.760003/-15.9288751,-47.7736574/data=!4m3!4m2!3e0!5i2")</f>
        <v>https://www.google.com/maps/dir/-15.917302,-47.760003/-15.9288751,-47.7736574/data=!4m3!4m2!3e0!5i2</v>
      </c>
      <c r="C950" s="151" t="s">
        <v>117</v>
      </c>
      <c r="D950" s="152" t="s">
        <v>112</v>
      </c>
      <c r="E950" s="152" t="s">
        <v>113</v>
      </c>
      <c r="F950" s="152" t="s">
        <v>117</v>
      </c>
      <c r="G950" s="152" t="s">
        <v>782</v>
      </c>
      <c r="H950" s="152" t="n">
        <v>63</v>
      </c>
      <c r="I950" s="152" t="s">
        <v>115</v>
      </c>
      <c r="J950" s="152" t="s">
        <v>6</v>
      </c>
      <c r="K950" s="152" t="s">
        <v>5106</v>
      </c>
      <c r="L950" s="152" t="s">
        <v>120</v>
      </c>
      <c r="M950" s="153" t="n">
        <f aca="false">224.9</f>
        <v>224.9</v>
      </c>
      <c r="N950" s="152" t="s">
        <v>1548</v>
      </c>
      <c r="O950" s="152" t="s">
        <v>1549</v>
      </c>
      <c r="P950" s="152" t="s">
        <v>1550</v>
      </c>
      <c r="Q950" s="152" t="s">
        <v>1551</v>
      </c>
      <c r="R950" s="154" t="s">
        <v>5152</v>
      </c>
      <c r="S950" s="154" t="s">
        <v>1553</v>
      </c>
      <c r="T950" s="155" t="s">
        <v>5060</v>
      </c>
      <c r="U950" s="152" t="str">
        <f aca="false">RIGHT(T950,7)</f>
        <v>014/037</v>
      </c>
      <c r="V950" s="152" t="s">
        <v>1555</v>
      </c>
      <c r="W950" s="156" t="n">
        <v>45882</v>
      </c>
      <c r="X950" s="152" t="s">
        <v>1594</v>
      </c>
      <c r="Y950" s="152" t="s">
        <v>5121</v>
      </c>
      <c r="Z950" s="152" t="s">
        <v>1557</v>
      </c>
      <c r="AA950" s="153" t="n">
        <v>4.1</v>
      </c>
      <c r="AB950" s="151" t="s">
        <v>5153</v>
      </c>
      <c r="AC950" s="151" t="s">
        <v>186</v>
      </c>
      <c r="AD950" s="151" t="str">
        <f aca="false">CONCATENATE($C950,$I950,$H950,$N950,$J950,$K950)</f>
        <v>TUBO PEADPEAD63VCAREDESZona09</v>
      </c>
      <c r="AE950" s="153" t="n">
        <f aca="false">IFERROR(INDEX(APOIO_REDES!$A:$W,MATCH($C950&amp;$I950&amp;$H950&amp;$N950&amp;$O950,APOIO_REDES!$W:$W,0),MATCH(AE$5,APOIO_REDES!$5:$5,0)),0)</f>
        <v>1.2</v>
      </c>
      <c r="AF950" s="153" t="n">
        <f aca="false">IFERROR(INDEX(APOIO_REDES!$A:$W,MATCH($C950&amp;$I950&amp;$H950&amp;$N950&amp;$O950,APOIO_REDES!$W:$W,0),MATCH(AF$5,APOIO_REDES!$5:$5,0)),0)</f>
        <v>1.363</v>
      </c>
      <c r="AG950" s="153" t="n">
        <f aca="false">IFERROR(INDEX(APOIO_REDES!$A:$W,MATCH($C950&amp;$I950&amp;$H950&amp;$N950&amp;$O950,APOIO_REDES!$W:$W,0),MATCH(AG$5,APOIO_REDES!$5:$5,0)),0)</f>
        <v>0.65</v>
      </c>
      <c r="AH950" s="153" t="n">
        <f aca="false">IFERROR(INDEX(APOIO_REDES!$A:$W,MATCH($C950&amp;$I950&amp;$H950&amp;$N950&amp;$O950,APOIO_REDES!$W:$W,0),MATCH(AH$5,APOIO_REDES!$5:$5,0)),0)</f>
        <v>0.1</v>
      </c>
      <c r="AI950" s="153" t="n">
        <f aca="false">IFERROR(IF($H950&lt;&gt;"",(((($H950/1000)/2)^2)*PI()*$M950),0),0)</f>
        <v>0.701068470336954</v>
      </c>
      <c r="AJ950" s="153" t="n">
        <f aca="false">IFERROR(IF(AND($H950&lt;&gt;"",$I950="FoFo",OR($N950="MND",$N950="VCA"),$Q950="LINEAR"),0,IF(AND($H950&lt;&gt;"",$I950="PEAD",$N950="VCA",$Q950="LINEAR"),($H950/1000)+0.3,IF(AND($H950&lt;&gt;"",$I950="PEAD",$N950="MND",$Q950="EMBOQUE"),0,IF(AND($H950&lt;&gt;"",$I950="PVC",$N950="VCA",$Q950="LINEAR"),($H950/1000)+0.2,IF(AND($H950&lt;&gt;"",$I950="PVC",$N950="MND",$Q950="EMBOQUE"),0,IF(AND($H950&lt;&gt;"",$I950="PEAD",$N950="VCA",$Q950="PREDIAL"),0,0)))))),0)</f>
        <v>0.363</v>
      </c>
      <c r="AK950" s="153" t="n">
        <f aca="false">IF(AA950&lt;&gt;"",AA950,0)</f>
        <v>4.1</v>
      </c>
      <c r="AL950" s="153" t="n">
        <f aca="false">IF(AND($N950="MND",$Q950="EMBOQUE"),$M950,IF(AND($N950="VCA",$Q950="LINEAR"),$M950,IF(AND($N950="VCA",$Q950="PREDIAL"),0,0)))</f>
        <v>224.9</v>
      </c>
      <c r="AM950" s="153" t="n">
        <f aca="false">IF(AND($N950="MND",$Q950="EMBOQUE"),$M950,IF(AND($N950="VCA",$Q950="LINEAR"),$M950,IF(AND($N950="VCA",$Q950="PREDIAL"),0,0)))</f>
        <v>224.9</v>
      </c>
      <c r="AN950" s="153" t="n">
        <f aca="false">ROUND(IF(AND($N950="VCA",$M950&lt;&gt;"",$Q950="LINEAR"),$M950/100,IF(AND($N950="MND",$M950&gt;100,$Q950="EMBOQUE"),$M950/100,0)),0)</f>
        <v>2</v>
      </c>
      <c r="AO950" s="153" t="n">
        <f aca="false">IF(AND($N950="MND",$Q950="EMBOQUE"),$AN950*2*2,IF(AND($N950="VCA",$Q950="LINEAR"),$M950*2,IF(AND($N950="VCA",$Q950="PREDIAL"),0,0)))</f>
        <v>449.8</v>
      </c>
      <c r="AP950" s="153" t="n">
        <f aca="false">IFERROR($M950*$AF950*$AG950,0)</f>
        <v>199.250155</v>
      </c>
      <c r="AQ950" s="153" t="n">
        <f aca="false">IFERROR(IF(AND($N950="VCA",$AH950&gt;0),$M950*$AG950*$AH950,0),0)</f>
        <v>14.6185</v>
      </c>
      <c r="AR950" s="153" t="n">
        <f aca="false">IFERROR(IF(AND($N950="VCA",$AJ950&gt;0),($M950*$AG950*$AJ950)-$AI950,0),0)</f>
        <v>52.364086529663</v>
      </c>
      <c r="AS950" s="153" t="n">
        <f aca="false">IFERROR(IF(AND($N950="VCA",$AP950&gt;0),$AP950-$AI950-$AQ950-$AR950,0),0)</f>
        <v>131.5665</v>
      </c>
      <c r="AT950" s="153" t="n">
        <f aca="false">IFERROR(IF($N950="VCA",INDEX(APOIO_REDES!$A:$W,MATCH($C950&amp;$I950&amp;$H950&amp;$N950&amp;$O950,APOIO_REDES!$W:$W,0),MATCH(AT$5,APOIO_REDES!$5:$5,0)),0)*$AP950,0)</f>
        <v>2.16790066143551</v>
      </c>
      <c r="AU950" s="153" t="n">
        <f aca="false">IFERROR(IF($N950="VCA",INDEX(APOIO_REDES!$A:$W,MATCH($C950&amp;$I950&amp;$H950&amp;$N950&amp;$O950,APOIO_REDES!$W:$W,0),MATCH(AU$5,APOIO_REDES!$5:$5,0)),0)*$AP950,0)</f>
        <v>1.73122675402632</v>
      </c>
      <c r="AV950" s="153" t="n">
        <f aca="false">IFERROR(IF($N950="VCA",INDEX(APOIO_REDES!$A:$W,MATCH($C950&amp;$I950&amp;$H950&amp;$N950&amp;$O950,APOIO_REDES!$W:$W,0),MATCH(AV$5,APOIO_REDES!$5:$5,0)),0)*$AP950,0)</f>
        <v>0.23958819209436</v>
      </c>
      <c r="AW950" s="153" t="n">
        <f aca="false">IFERROR(IF($N950="VCA",INDEX(APOIO_REDES!$A:$W,MATCH($C950&amp;$I950&amp;$H950&amp;$N950&amp;$O950,APOIO_REDES!$W:$W,0),MATCH(AW$5,APOIO_REDES!$5:$5,0)),0)*$AP950,0)</f>
        <v>136.766850257538</v>
      </c>
      <c r="AX950" s="153" t="n">
        <f aca="false">IFERROR(IF($N950="VCA",INDEX(APOIO_REDES!$A:$W,MATCH($C950&amp;$I950&amp;$H950&amp;$N950&amp;$O950,APOIO_REDES!$W:$W,0),MATCH(AX$5,APOIO_REDES!$5:$5,0)),0)*$AP950,0)</f>
        <v>18.9281424878958</v>
      </c>
      <c r="AY950" s="153" t="n">
        <f aca="false">IFERROR(IF($N950="VCA",INDEX(APOIO_REDES!$A:$W,MATCH($C950&amp;$I950&amp;$H950&amp;$N950&amp;$O950,APOIO_REDES!$W:$W,0),MATCH(AY$5,APOIO_REDES!$5:$5,0)),0)*$AP950,0)</f>
        <v>34.6245139770126</v>
      </c>
      <c r="AZ950" s="153" t="n">
        <f aca="false">IFERROR(IF($N950="VCA",INDEX(APOIO_REDES!$A:$W,MATCH($C950&amp;$I950&amp;$H950&amp;$N950&amp;$O950,APOIO_REDES!$W:$W,0),MATCH(AZ$5,APOIO_REDES!$5:$5,0)),0)*$AP950,0)</f>
        <v>4.79193266999754</v>
      </c>
      <c r="BA950" s="153" t="n">
        <f aca="false">IFERROR(IF(AND($N950="VCA",$Q950="LINEAR"),INDEX(APOIO_REDES!$A:$W,MATCH($C950&amp;$I950&amp;$H950&amp;$N950&amp;$O950,APOIO_REDES!$W:$W,0),MATCH(BA$5,APOIO_REDES!$5:$5,0)),IF(AND($N950="MND",$Q950="EMBOQUE"),INDEX(APOIO_REDES!$A:$W,MATCH($C950&amp;$I950&amp;$H950&amp;$N950&amp;$O950,APOIO_REDES!$W:$W,0),MATCH(BA$5,APOIO_REDES!$5:$5,0)),0))*$M950/10,0)</f>
        <v>18.1263727076926</v>
      </c>
      <c r="BB950" s="153" t="n">
        <f aca="false">IFERROR(IF($N950="VCA",INDEX(APOIO_REDES!$A:$W,MATCH($C950&amp;$I950&amp;$H950&amp;$N950&amp;$O950,APOIO_REDES!$W:$W,0),MATCH(BB$5,APOIO_REDES!$5:$5,0)),0)*($AI950+$AQ950+$AR950),0)</f>
        <v>66.9472368002607</v>
      </c>
      <c r="BC950" s="153" t="n">
        <f aca="false">IFERROR(IF($N950="VCA",INDEX(APOIO_REDES!$A:$W,MATCH($C950&amp;$I950&amp;$H950&amp;$N950&amp;$O950,APOIO_REDES!$W:$W,0),MATCH(BC$5,APOIO_REDES!$5:$5,0)),0)*($AI950+$AQ950+$AR950),0)</f>
        <v>0.736418199739281</v>
      </c>
      <c r="BD950" s="153" t="n">
        <f aca="false">IF(AND($N950="VCA",$AF950&gt;=1.25,$AF950&lt;1.5),$M950*$AF950*2,0)</f>
        <v>613.0774</v>
      </c>
      <c r="BE950" s="153" t="n">
        <f aca="false">IF(AND($N950="VCA",$AF950&gt;=1.5,$AF950&lt;3),$M950*$AF950*2,0)</f>
        <v>0</v>
      </c>
      <c r="BF950" s="153" t="n">
        <f aca="false">IF(AND($N950="VCA",$AF950&gt;=3),$M950*$AF950*2,0)</f>
        <v>0</v>
      </c>
      <c r="BG950" s="153" t="n">
        <f aca="false">($BB950+$BC950)*$AK950</f>
        <v>277.5029855</v>
      </c>
      <c r="BH950" s="153" t="n">
        <f aca="false">IF(AND($M950&lt;&gt;"",$N950="VCA",$Q950="LINEAR"),($M950*2)/100,IF(AND($M950&lt;&gt;"",$N950="MND",$Q950="EMBOQUE"),($AN950*2)/100,0))</f>
        <v>4.498</v>
      </c>
      <c r="BI950" s="153" t="n">
        <f aca="false">IF(AND($M950&lt;&gt;"",$N950="VCA",$Q950="LINEAR"),$M950,IF(AND($M950&lt;&gt;"",$N950="MND",$Q950="EMBOQUE"),$AN950*2,0))</f>
        <v>224.9</v>
      </c>
      <c r="BJ950" s="153" t="n">
        <f aca="false">IF(AND($M950&lt;&gt;"",$N950="VCA",$Q950="LINEAR"),($M950*6.8)/100,IF(AND($M950&lt;&gt;"",$N950="MND",$Q950="EMBOQUE"),($AN950*2*6.8)/100,0))</f>
        <v>15.2932</v>
      </c>
      <c r="BK950" s="153" t="n">
        <f aca="false">IF(AND($M950&lt;&gt;"",$N950="VCA",$Q950="LINEAR"),($M950*2.5)/50,IF(AND($M950&lt;&gt;"",$N950="MND",$Q950="EMBOQUE"),($AN950*2*2.5)/50,0))</f>
        <v>11.245</v>
      </c>
      <c r="BL950" s="157" t="str">
        <f aca="false">K950&amp;J950</f>
        <v>Zona09REDES</v>
      </c>
      <c r="BM950" s="152" t="s">
        <v>5109</v>
      </c>
      <c r="BN950" s="152" t="s">
        <v>1560</v>
      </c>
      <c r="BO950" s="152" t="s">
        <v>5062</v>
      </c>
      <c r="BP950" s="152" t="s">
        <v>5154</v>
      </c>
      <c r="BQ950" s="152" t="s">
        <v>5124</v>
      </c>
      <c r="BR950" s="152" t="s">
        <v>5155</v>
      </c>
      <c r="BS950" s="152" t="n">
        <v>203038.092</v>
      </c>
      <c r="BT950" s="152" t="n">
        <v>8236958.259</v>
      </c>
      <c r="BU950" s="152" t="n">
        <v>203195.742</v>
      </c>
      <c r="BV950" s="152" t="n">
        <v>8237118.529</v>
      </c>
      <c r="BW950" s="152" t="n">
        <v>-15.9281515</v>
      </c>
      <c r="BX950" s="152" t="n">
        <v>-47.7729216</v>
      </c>
      <c r="BY950" s="152" t="s">
        <v>5154</v>
      </c>
    </row>
    <row r="951" customFormat="false" ht="13.8" hidden="false" customHeight="false" outlineLevel="0" collapsed="false">
      <c r="A951" s="149" t="n">
        <f aca="false">IF(C951&lt;&gt;"",ROW(A946),"")</f>
        <v>946</v>
      </c>
      <c r="B951" s="150" t="str">
        <f aca="false">HYPERLINK("https://www.google.com/maps/dir/-15.917302,-47.760003/-15.9285730,-47.7739508/data=!4m3!4m2!3e0!5i0")</f>
        <v>https://www.google.com/maps/dir/-15.917302,-47.760003/-15.9285730,-47.7739508/data=!4m3!4m2!3e0!5i0</v>
      </c>
      <c r="C951" s="151" t="s">
        <v>117</v>
      </c>
      <c r="D951" s="152" t="s">
        <v>112</v>
      </c>
      <c r="E951" s="152" t="s">
        <v>113</v>
      </c>
      <c r="F951" s="152" t="s">
        <v>117</v>
      </c>
      <c r="G951" s="152" t="s">
        <v>782</v>
      </c>
      <c r="H951" s="152" t="n">
        <v>63</v>
      </c>
      <c r="I951" s="152" t="s">
        <v>115</v>
      </c>
      <c r="J951" s="152" t="s">
        <v>6</v>
      </c>
      <c r="K951" s="152" t="s">
        <v>5106</v>
      </c>
      <c r="L951" s="152" t="s">
        <v>120</v>
      </c>
      <c r="M951" s="153" t="n">
        <f aca="false">3.57+0.79</f>
        <v>4.36</v>
      </c>
      <c r="N951" s="152" t="s">
        <v>1548</v>
      </c>
      <c r="O951" s="152" t="s">
        <v>1549</v>
      </c>
      <c r="P951" s="152" t="s">
        <v>1550</v>
      </c>
      <c r="Q951" s="152" t="s">
        <v>1551</v>
      </c>
      <c r="R951" s="154" t="s">
        <v>5156</v>
      </c>
      <c r="S951" s="154" t="s">
        <v>1553</v>
      </c>
      <c r="T951" s="155" t="s">
        <v>5060</v>
      </c>
      <c r="U951" s="152" t="str">
        <f aca="false">RIGHT(T951,7)</f>
        <v>014/037</v>
      </c>
      <c r="V951" s="152" t="s">
        <v>1555</v>
      </c>
      <c r="W951" s="156" t="n">
        <v>45882</v>
      </c>
      <c r="X951" s="152" t="s">
        <v>1594</v>
      </c>
      <c r="Y951" s="152" t="s">
        <v>4968</v>
      </c>
      <c r="Z951" s="152" t="s">
        <v>1557</v>
      </c>
      <c r="AA951" s="153" t="n">
        <v>3.3</v>
      </c>
      <c r="AB951" s="151" t="s">
        <v>5157</v>
      </c>
      <c r="AC951" s="151" t="s">
        <v>186</v>
      </c>
      <c r="AD951" s="151" t="str">
        <f aca="false">CONCATENATE($C951,$I951,$H951,$N951,$J951,$K951)</f>
        <v>TUBO PEADPEAD63VCAREDESZona09</v>
      </c>
      <c r="AE951" s="153" t="n">
        <f aca="false">IFERROR(INDEX(APOIO_REDES!$A:$W,MATCH($C951&amp;$I951&amp;$H951&amp;$N951&amp;$O951,APOIO_REDES!$W:$W,0),MATCH(AE$5,APOIO_REDES!$5:$5,0)),0)</f>
        <v>1.2</v>
      </c>
      <c r="AF951" s="153" t="n">
        <f aca="false">IFERROR(INDEX(APOIO_REDES!$A:$W,MATCH($C951&amp;$I951&amp;$H951&amp;$N951&amp;$O951,APOIO_REDES!$W:$W,0),MATCH(AF$5,APOIO_REDES!$5:$5,0)),0)</f>
        <v>1.363</v>
      </c>
      <c r="AG951" s="153" t="n">
        <f aca="false">IFERROR(INDEX(APOIO_REDES!$A:$W,MATCH($C951&amp;$I951&amp;$H951&amp;$N951&amp;$O951,APOIO_REDES!$W:$W,0),MATCH(AG$5,APOIO_REDES!$5:$5,0)),0)</f>
        <v>0.65</v>
      </c>
      <c r="AH951" s="153" t="n">
        <f aca="false">IFERROR(INDEX(APOIO_REDES!$A:$W,MATCH($C951&amp;$I951&amp;$H951&amp;$N951&amp;$O951,APOIO_REDES!$W:$W,0),MATCH(AH$5,APOIO_REDES!$5:$5,0)),0)</f>
        <v>0.1</v>
      </c>
      <c r="AI951" s="153" t="n">
        <f aca="false">IFERROR(IF($H951&lt;&gt;"",(((($H951/1000)/2)^2)*PI()*$M951),0),0)</f>
        <v>0.0135911895538867</v>
      </c>
      <c r="AJ951" s="153" t="n">
        <f aca="false">IFERROR(IF(AND($H951&lt;&gt;"",$I951="FoFo",OR($N951="MND",$N951="VCA"),$Q951="LINEAR"),0,IF(AND($H951&lt;&gt;"",$I951="PEAD",$N951="VCA",$Q951="LINEAR"),($H951/1000)+0.3,IF(AND($H951&lt;&gt;"",$I951="PEAD",$N951="MND",$Q951="EMBOQUE"),0,IF(AND($H951&lt;&gt;"",$I951="PVC",$N951="VCA",$Q951="LINEAR"),($H951/1000)+0.2,IF(AND($H951&lt;&gt;"",$I951="PVC",$N951="MND",$Q951="EMBOQUE"),0,IF(AND($H951&lt;&gt;"",$I951="PEAD",$N951="VCA",$Q951="PREDIAL"),0,0)))))),0)</f>
        <v>0.363</v>
      </c>
      <c r="AK951" s="153" t="n">
        <f aca="false">IF(AA951&lt;&gt;"",AA951,0)</f>
        <v>3.3</v>
      </c>
      <c r="AL951" s="153" t="n">
        <f aca="false">IF(AND($N951="MND",$Q951="EMBOQUE"),$M951,IF(AND($N951="VCA",$Q951="LINEAR"),$M951,IF(AND($N951="VCA",$Q951="PREDIAL"),0,0)))</f>
        <v>4.36</v>
      </c>
      <c r="AM951" s="153" t="n">
        <f aca="false">IF(AND($N951="MND",$Q951="EMBOQUE"),$M951,IF(AND($N951="VCA",$Q951="LINEAR"),$M951,IF(AND($N951="VCA",$Q951="PREDIAL"),0,0)))</f>
        <v>4.36</v>
      </c>
      <c r="AN951" s="153" t="n">
        <f aca="false">ROUND(IF(AND($N951="VCA",$M951&lt;&gt;"",$Q951="LINEAR"),$M951/100,IF(AND($N951="MND",$M951&gt;100,$Q951="EMBOQUE"),$M951/100,0)),0)</f>
        <v>0</v>
      </c>
      <c r="AO951" s="153" t="n">
        <f aca="false">IF(AND($N951="MND",$Q951="EMBOQUE"),$AN951*2*2,IF(AND($N951="VCA",$Q951="LINEAR"),$M951*2,IF(AND($N951="VCA",$Q951="PREDIAL"),0,0)))</f>
        <v>8.72</v>
      </c>
      <c r="AP951" s="153" t="n">
        <f aca="false">IFERROR($M951*$AF951*$AG951,0)</f>
        <v>3.862742</v>
      </c>
      <c r="AQ951" s="153" t="n">
        <f aca="false">IFERROR(IF(AND($N951="VCA",$AH951&gt;0),$M951*$AG951*$AH951,0),0)</f>
        <v>0.2834</v>
      </c>
      <c r="AR951" s="153" t="n">
        <f aca="false">IFERROR(IF(AND($N951="VCA",$AJ951&gt;0),($M951*$AG951*$AJ951)-$AI951,0),0)</f>
        <v>1.01515081044611</v>
      </c>
      <c r="AS951" s="153" t="n">
        <f aca="false">IFERROR(IF(AND($N951="VCA",$AP951&gt;0),$AP951-$AI951-$AQ951-$AR951,0),0)</f>
        <v>2.5506</v>
      </c>
      <c r="AT951" s="153" t="n">
        <f aca="false">IFERROR(IF($N951="VCA",INDEX(APOIO_REDES!$A:$W,MATCH($C951&amp;$I951&amp;$H951&amp;$N951&amp;$O951,APOIO_REDES!$W:$W,0),MATCH(AT$5,APOIO_REDES!$5:$5,0)),0)*$AP951,0)</f>
        <v>0.0420277762732717</v>
      </c>
      <c r="AU951" s="153" t="n">
        <f aca="false">IFERROR(IF($N951="VCA",INDEX(APOIO_REDES!$A:$W,MATCH($C951&amp;$I951&amp;$H951&amp;$N951&amp;$O951,APOIO_REDES!$W:$W,0),MATCH(AU$5,APOIO_REDES!$5:$5,0)),0)*$AP951,0)</f>
        <v>0.033562243875299</v>
      </c>
      <c r="AV951" s="153" t="n">
        <f aca="false">IFERROR(IF($N951="VCA",INDEX(APOIO_REDES!$A:$W,MATCH($C951&amp;$I951&amp;$H951&amp;$N951&amp;$O951,APOIO_REDES!$W:$W,0),MATCH(AV$5,APOIO_REDES!$5:$5,0)),0)*$AP951,0)</f>
        <v>0.00464475107839666</v>
      </c>
      <c r="AW951" s="153" t="n">
        <f aca="false">IFERROR(IF($N951="VCA",INDEX(APOIO_REDES!$A:$W,MATCH($C951&amp;$I951&amp;$H951&amp;$N951&amp;$O951,APOIO_REDES!$W:$W,0),MATCH(AW$5,APOIO_REDES!$5:$5,0)),0)*$AP951,0)</f>
        <v>2.65141603878553</v>
      </c>
      <c r="AX951" s="153" t="n">
        <f aca="false">IFERROR(IF($N951="VCA",INDEX(APOIO_REDES!$A:$W,MATCH($C951&amp;$I951&amp;$H951&amp;$N951&amp;$O951,APOIO_REDES!$W:$W,0),MATCH(AX$5,APOIO_REDES!$5:$5,0)),0)*$AP951,0)</f>
        <v>0.366948427066366</v>
      </c>
      <c r="AY951" s="153" t="n">
        <f aca="false">IFERROR(IF($N951="VCA",INDEX(APOIO_REDES!$A:$W,MATCH($C951&amp;$I951&amp;$H951&amp;$N951&amp;$O951,APOIO_REDES!$W:$W,0),MATCH(AY$5,APOIO_REDES!$5:$5,0)),0)*$AP951,0)</f>
        <v>0.671244468384948</v>
      </c>
      <c r="AZ951" s="153" t="n">
        <f aca="false">IFERROR(IF($N951="VCA",INDEX(APOIO_REDES!$A:$W,MATCH($C951&amp;$I951&amp;$H951&amp;$N951&amp;$O951,APOIO_REDES!$W:$W,0),MATCH(AZ$5,APOIO_REDES!$5:$5,0)),0)*$AP951,0)</f>
        <v>0.0928982945361907</v>
      </c>
      <c r="BA951" s="153" t="n">
        <f aca="false">IFERROR(IF(AND($N951="VCA",$Q951="LINEAR"),INDEX(APOIO_REDES!$A:$W,MATCH($C951&amp;$I951&amp;$H951&amp;$N951&amp;$O951,APOIO_REDES!$W:$W,0),MATCH(BA$5,APOIO_REDES!$5:$5,0)),IF(AND($N951="MND",$Q951="EMBOQUE"),INDEX(APOIO_REDES!$A:$W,MATCH($C951&amp;$I951&amp;$H951&amp;$N951&amp;$O951,APOIO_REDES!$W:$W,0),MATCH(BA$5,APOIO_REDES!$5:$5,0)),0))*$M951/10,0)</f>
        <v>0.351405002247842</v>
      </c>
      <c r="BB951" s="153" t="n">
        <f aca="false">IFERROR(IF($N951="VCA",INDEX(APOIO_REDES!$A:$W,MATCH($C951&amp;$I951&amp;$H951&amp;$N951&amp;$O951,APOIO_REDES!$W:$W,0),MATCH(BB$5,APOIO_REDES!$5:$5,0)),0)*($AI951+$AQ951+$AR951),0)</f>
        <v>1.29786550666579</v>
      </c>
      <c r="BC951" s="153" t="n">
        <f aca="false">IFERROR(IF($N951="VCA",INDEX(APOIO_REDES!$A:$W,MATCH($C951&amp;$I951&amp;$H951&amp;$N951&amp;$O951,APOIO_REDES!$W:$W,0),MATCH(BC$5,APOIO_REDES!$5:$5,0)),0)*($AI951+$AQ951+$AR951),0)</f>
        <v>0.0142764933342075</v>
      </c>
      <c r="BD951" s="153" t="n">
        <f aca="false">IF(AND($N951="VCA",$AF951&gt;=1.25,$AF951&lt;1.5),$M951*$AF951*2,0)</f>
        <v>11.88536</v>
      </c>
      <c r="BE951" s="153" t="n">
        <f aca="false">IF(AND($N951="VCA",$AF951&gt;=1.5,$AF951&lt;3),$M951*$AF951*2,0)</f>
        <v>0</v>
      </c>
      <c r="BF951" s="153" t="n">
        <f aca="false">IF(AND($N951="VCA",$AF951&gt;=3),$M951*$AF951*2,0)</f>
        <v>0</v>
      </c>
      <c r="BG951" s="153" t="n">
        <f aca="false">($BB951+$BC951)*$AK951</f>
        <v>4.3300686</v>
      </c>
      <c r="BH951" s="153" t="n">
        <f aca="false">IF(AND($M951&lt;&gt;"",$N951="VCA",$Q951="LINEAR"),($M951*2)/100,IF(AND($M951&lt;&gt;"",$N951="MND",$Q951="EMBOQUE"),($AN951*2)/100,0))</f>
        <v>0.0872</v>
      </c>
      <c r="BI951" s="153" t="n">
        <f aca="false">IF(AND($M951&lt;&gt;"",$N951="VCA",$Q951="LINEAR"),$M951,IF(AND($M951&lt;&gt;"",$N951="MND",$Q951="EMBOQUE"),$AN951*2,0))</f>
        <v>4.36</v>
      </c>
      <c r="BJ951" s="153" t="n">
        <f aca="false">IF(AND($M951&lt;&gt;"",$N951="VCA",$Q951="LINEAR"),($M951*6.8)/100,IF(AND($M951&lt;&gt;"",$N951="MND",$Q951="EMBOQUE"),($AN951*2*6.8)/100,0))</f>
        <v>0.29648</v>
      </c>
      <c r="BK951" s="153" t="n">
        <f aca="false">IF(AND($M951&lt;&gt;"",$N951="VCA",$Q951="LINEAR"),($M951*2.5)/50,IF(AND($M951&lt;&gt;"",$N951="MND",$Q951="EMBOQUE"),($AN951*2*2.5)/50,0))</f>
        <v>0.218</v>
      </c>
      <c r="BL951" s="157" t="str">
        <f aca="false">K951&amp;J951</f>
        <v>Zona09REDES</v>
      </c>
      <c r="BM951" s="152" t="s">
        <v>5109</v>
      </c>
      <c r="BN951" s="152" t="s">
        <v>1560</v>
      </c>
      <c r="BO951" s="152" t="s">
        <v>5062</v>
      </c>
      <c r="BP951" s="152" t="s">
        <v>5111</v>
      </c>
      <c r="BQ951" s="152" t="s">
        <v>5158</v>
      </c>
      <c r="BR951" s="152" t="s">
        <v>5159</v>
      </c>
      <c r="BS951" s="152" t="n">
        <v>203006.36</v>
      </c>
      <c r="BT951" s="152" t="n">
        <v>8236991.134</v>
      </c>
      <c r="BU951" s="152" t="n">
        <v>203003.777</v>
      </c>
      <c r="BV951" s="152" t="n">
        <v>8236988.673</v>
      </c>
      <c r="BW951" s="152" t="n">
        <v>-15.9285853</v>
      </c>
      <c r="BX951" s="152" t="n">
        <v>-47.7739617</v>
      </c>
      <c r="BY951" s="152" t="s">
        <v>5111</v>
      </c>
    </row>
    <row r="952" customFormat="false" ht="13.8" hidden="false" customHeight="false" outlineLevel="0" collapsed="false">
      <c r="A952" s="149" t="n">
        <f aca="false">IF(C952&lt;&gt;"",ROW(A947),"")</f>
        <v>947</v>
      </c>
      <c r="B952" s="150" t="str">
        <f aca="false">HYPERLINK("https://www.google.com/maps/dir/-15.917302,-47.760003/-15.9285963,-47.7739738/data=!4m3!4m2!3e0!5i0")</f>
        <v>https://www.google.com/maps/dir/-15.917302,-47.760003/-15.9285963,-47.7739738/data=!4m3!4m2!3e0!5i0</v>
      </c>
      <c r="C952" s="151" t="s">
        <v>117</v>
      </c>
      <c r="D952" s="152" t="s">
        <v>112</v>
      </c>
      <c r="E952" s="152" t="s">
        <v>113</v>
      </c>
      <c r="F952" s="152" t="s">
        <v>117</v>
      </c>
      <c r="G952" s="152" t="s">
        <v>782</v>
      </c>
      <c r="H952" s="152" t="n">
        <v>63</v>
      </c>
      <c r="I952" s="152" t="s">
        <v>115</v>
      </c>
      <c r="J952" s="152" t="s">
        <v>6</v>
      </c>
      <c r="K952" s="152" t="s">
        <v>5106</v>
      </c>
      <c r="L952" s="152" t="s">
        <v>120</v>
      </c>
      <c r="M952" s="153" t="n">
        <f aca="false">1.13</f>
        <v>1.13</v>
      </c>
      <c r="N952" s="152" t="s">
        <v>1548</v>
      </c>
      <c r="O952" s="152" t="s">
        <v>1549</v>
      </c>
      <c r="P952" s="152" t="s">
        <v>1550</v>
      </c>
      <c r="Q952" s="152" t="s">
        <v>1551</v>
      </c>
      <c r="R952" s="154" t="s">
        <v>5160</v>
      </c>
      <c r="S952" s="154" t="s">
        <v>1553</v>
      </c>
      <c r="T952" s="155" t="s">
        <v>5060</v>
      </c>
      <c r="U952" s="152" t="str">
        <f aca="false">RIGHT(T952,7)</f>
        <v>014/037</v>
      </c>
      <c r="V952" s="152" t="s">
        <v>1555</v>
      </c>
      <c r="W952" s="156" t="n">
        <v>45882</v>
      </c>
      <c r="X952" s="152" t="s">
        <v>1594</v>
      </c>
      <c r="Y952" s="152" t="s">
        <v>4968</v>
      </c>
      <c r="Z952" s="152" t="s">
        <v>1557</v>
      </c>
      <c r="AA952" s="153" t="n">
        <v>4.1</v>
      </c>
      <c r="AB952" s="151" t="s">
        <v>5161</v>
      </c>
      <c r="AC952" s="151" t="s">
        <v>186</v>
      </c>
      <c r="AD952" s="151" t="str">
        <f aca="false">CONCATENATE($C952,$I952,$H952,$N952,$J952,$K952)</f>
        <v>TUBO PEADPEAD63VCAREDESZona09</v>
      </c>
      <c r="AE952" s="153" t="n">
        <f aca="false">IFERROR(INDEX(APOIO_REDES!$A:$W,MATCH($C952&amp;$I952&amp;$H952&amp;$N952&amp;$O952,APOIO_REDES!$W:$W,0),MATCH(AE$5,APOIO_REDES!$5:$5,0)),0)</f>
        <v>1.2</v>
      </c>
      <c r="AF952" s="153" t="n">
        <f aca="false">IFERROR(INDEX(APOIO_REDES!$A:$W,MATCH($C952&amp;$I952&amp;$H952&amp;$N952&amp;$O952,APOIO_REDES!$W:$W,0),MATCH(AF$5,APOIO_REDES!$5:$5,0)),0)</f>
        <v>1.363</v>
      </c>
      <c r="AG952" s="153" t="n">
        <f aca="false">IFERROR(INDEX(APOIO_REDES!$A:$W,MATCH($C952&amp;$I952&amp;$H952&amp;$N952&amp;$O952,APOIO_REDES!$W:$W,0),MATCH(AG$5,APOIO_REDES!$5:$5,0)),0)</f>
        <v>0.65</v>
      </c>
      <c r="AH952" s="153" t="n">
        <f aca="false">IFERROR(INDEX(APOIO_REDES!$A:$W,MATCH($C952&amp;$I952&amp;$H952&amp;$N952&amp;$O952,APOIO_REDES!$W:$W,0),MATCH(AH$5,APOIO_REDES!$5:$5,0)),0)</f>
        <v>0.1</v>
      </c>
      <c r="AI952" s="153" t="n">
        <f aca="false">IFERROR(IF($H952&lt;&gt;"",(((($H952/1000)/2)^2)*PI()*$M952),0),0)</f>
        <v>0.00352248720089265</v>
      </c>
      <c r="AJ952" s="153" t="n">
        <f aca="false">IFERROR(IF(AND($H952&lt;&gt;"",$I952="FoFo",OR($N952="MND",$N952="VCA"),$Q952="LINEAR"),0,IF(AND($H952&lt;&gt;"",$I952="PEAD",$N952="VCA",$Q952="LINEAR"),($H952/1000)+0.3,IF(AND($H952&lt;&gt;"",$I952="PEAD",$N952="MND",$Q952="EMBOQUE"),0,IF(AND($H952&lt;&gt;"",$I952="PVC",$N952="VCA",$Q952="LINEAR"),($H952/1000)+0.2,IF(AND($H952&lt;&gt;"",$I952="PVC",$N952="MND",$Q952="EMBOQUE"),0,IF(AND($H952&lt;&gt;"",$I952="PEAD",$N952="VCA",$Q952="PREDIAL"),0,0)))))),0)</f>
        <v>0.363</v>
      </c>
      <c r="AK952" s="153" t="n">
        <f aca="false">IF(AA952&lt;&gt;"",AA952,0)</f>
        <v>4.1</v>
      </c>
      <c r="AL952" s="153" t="n">
        <f aca="false">IF(AND($N952="MND",$Q952="EMBOQUE"),$M952,IF(AND($N952="VCA",$Q952="LINEAR"),$M952,IF(AND($N952="VCA",$Q952="PREDIAL"),0,0)))</f>
        <v>1.13</v>
      </c>
      <c r="AM952" s="153" t="n">
        <f aca="false">IF(AND($N952="MND",$Q952="EMBOQUE"),$M952,IF(AND($N952="VCA",$Q952="LINEAR"),$M952,IF(AND($N952="VCA",$Q952="PREDIAL"),0,0)))</f>
        <v>1.13</v>
      </c>
      <c r="AN952" s="153" t="n">
        <f aca="false">ROUND(IF(AND($N952="VCA",$M952&lt;&gt;"",$Q952="LINEAR"),$M952/100,IF(AND($N952="MND",$M952&gt;100,$Q952="EMBOQUE"),$M952/100,0)),0)</f>
        <v>0</v>
      </c>
      <c r="AO952" s="153" t="n">
        <f aca="false">IF(AND($N952="MND",$Q952="EMBOQUE"),$AN952*2*2,IF(AND($N952="VCA",$Q952="LINEAR"),$M952*2,IF(AND($N952="VCA",$Q952="PREDIAL"),0,0)))</f>
        <v>2.26</v>
      </c>
      <c r="AP952" s="153" t="n">
        <f aca="false">IFERROR($M952*$AF952*$AG952,0)</f>
        <v>1.0011235</v>
      </c>
      <c r="AQ952" s="153" t="n">
        <f aca="false">IFERROR(IF(AND($N952="VCA",$AH952&gt;0),$M952*$AG952*$AH952,0),0)</f>
        <v>0.07345</v>
      </c>
      <c r="AR952" s="153" t="n">
        <f aca="false">IFERROR(IF(AND($N952="VCA",$AJ952&gt;0),($M952*$AG952*$AJ952)-$AI952,0),0)</f>
        <v>0.263101012799107</v>
      </c>
      <c r="AS952" s="153" t="n">
        <f aca="false">IFERROR(IF(AND($N952="VCA",$AP952&gt;0),$AP952-$AI952-$AQ952-$AR952,0),0)</f>
        <v>0.66105</v>
      </c>
      <c r="AT952" s="153" t="n">
        <f aca="false">IFERROR(IF($N952="VCA",INDEX(APOIO_REDES!$A:$W,MATCH($C952&amp;$I952&amp;$H952&amp;$N952&amp;$O952,APOIO_REDES!$W:$W,0),MATCH(AT$5,APOIO_REDES!$5:$5,0)),0)*$AP952,0)</f>
        <v>0.0108925199974305</v>
      </c>
      <c r="AU952" s="153" t="n">
        <f aca="false">IFERROR(IF($N952="VCA",INDEX(APOIO_REDES!$A:$W,MATCH($C952&amp;$I952&amp;$H952&amp;$N952&amp;$O952,APOIO_REDES!$W:$W,0),MATCH(AU$5,APOIO_REDES!$5:$5,0)),0)*$AP952,0)</f>
        <v>0.00869847146309356</v>
      </c>
      <c r="AV952" s="153" t="n">
        <f aca="false">IFERROR(IF($N952="VCA",INDEX(APOIO_REDES!$A:$W,MATCH($C952&amp;$I952&amp;$H952&amp;$N952&amp;$O952,APOIO_REDES!$W:$W,0),MATCH(AV$5,APOIO_REDES!$5:$5,0)),0)*$AP952,0)</f>
        <v>0.00120380016481381</v>
      </c>
      <c r="AW952" s="153" t="n">
        <f aca="false">IFERROR(IF($N952="VCA",INDEX(APOIO_REDES!$A:$W,MATCH($C952&amp;$I952&amp;$H952&amp;$N952&amp;$O952,APOIO_REDES!$W:$W,0),MATCH(AW$5,APOIO_REDES!$5:$5,0)),0)*$AP952,0)</f>
        <v>0.687178927483405</v>
      </c>
      <c r="AX952" s="153" t="n">
        <f aca="false">IFERROR(IF($N952="VCA",INDEX(APOIO_REDES!$A:$W,MATCH($C952&amp;$I952&amp;$H952&amp;$N952&amp;$O952,APOIO_REDES!$W:$W,0),MATCH(AX$5,APOIO_REDES!$5:$5,0)),0)*$AP952,0)</f>
        <v>0.0951036060974756</v>
      </c>
      <c r="AY952" s="153" t="n">
        <f aca="false">IFERROR(IF($N952="VCA",INDEX(APOIO_REDES!$A:$W,MATCH($C952&amp;$I952&amp;$H952&amp;$N952&amp;$O952,APOIO_REDES!$W:$W,0),MATCH(AY$5,APOIO_REDES!$5:$5,0)),0)*$AP952,0)</f>
        <v>0.173969323228209</v>
      </c>
      <c r="AZ952" s="153" t="n">
        <f aca="false">IFERROR(IF($N952="VCA",INDEX(APOIO_REDES!$A:$W,MATCH($C952&amp;$I952&amp;$H952&amp;$N952&amp;$O952,APOIO_REDES!$W:$W,0),MATCH(AZ$5,APOIO_REDES!$5:$5,0)),0)*$AP952,0)</f>
        <v>0.0240768515655724</v>
      </c>
      <c r="BA952" s="153" t="n">
        <f aca="false">IFERROR(IF(AND($N952="VCA",$Q952="LINEAR"),INDEX(APOIO_REDES!$A:$W,MATCH($C952&amp;$I952&amp;$H952&amp;$N952&amp;$O952,APOIO_REDES!$W:$W,0),MATCH(BA$5,APOIO_REDES!$5:$5,0)),IF(AND($N952="MND",$Q952="EMBOQUE"),INDEX(APOIO_REDES!$A:$W,MATCH($C952&amp;$I952&amp;$H952&amp;$N952&amp;$O952,APOIO_REDES!$W:$W,0),MATCH(BA$5,APOIO_REDES!$5:$5,0)),0))*$M952/10,0)</f>
        <v>0.0910751496651517</v>
      </c>
      <c r="BB952" s="153" t="n">
        <f aca="false">IFERROR(IF($N952="VCA",INDEX(APOIO_REDES!$A:$W,MATCH($C952&amp;$I952&amp;$H952&amp;$N952&amp;$O952,APOIO_REDES!$W:$W,0),MATCH(BB$5,APOIO_REDES!$5:$5,0)),0)*($AI952+$AQ952+$AR952),0)</f>
        <v>0.336373399663382</v>
      </c>
      <c r="BC952" s="153" t="n">
        <f aca="false">IFERROR(IF($N952="VCA",INDEX(APOIO_REDES!$A:$W,MATCH($C952&amp;$I952&amp;$H952&amp;$N952&amp;$O952,APOIO_REDES!$W:$W,0),MATCH(BC$5,APOIO_REDES!$5:$5,0)),0)*($AI952+$AQ952+$AR952),0)</f>
        <v>0.00370010033661799</v>
      </c>
      <c r="BD952" s="153" t="n">
        <f aca="false">IF(AND($N952="VCA",$AF952&gt;=1.25,$AF952&lt;1.5),$M952*$AF952*2,0)</f>
        <v>3.08038</v>
      </c>
      <c r="BE952" s="153" t="n">
        <f aca="false">IF(AND($N952="VCA",$AF952&gt;=1.5,$AF952&lt;3),$M952*$AF952*2,0)</f>
        <v>0</v>
      </c>
      <c r="BF952" s="153" t="n">
        <f aca="false">IF(AND($N952="VCA",$AF952&gt;=3),$M952*$AF952*2,0)</f>
        <v>0</v>
      </c>
      <c r="BG952" s="153" t="n">
        <f aca="false">($BB952+$BC952)*$AK952</f>
        <v>1.39430135</v>
      </c>
      <c r="BH952" s="153" t="n">
        <f aca="false">IF(AND($M952&lt;&gt;"",$N952="VCA",$Q952="LINEAR"),($M952*2)/100,IF(AND($M952&lt;&gt;"",$N952="MND",$Q952="EMBOQUE"),($AN952*2)/100,0))</f>
        <v>0.0226</v>
      </c>
      <c r="BI952" s="153" t="n">
        <f aca="false">IF(AND($M952&lt;&gt;"",$N952="VCA",$Q952="LINEAR"),$M952,IF(AND($M952&lt;&gt;"",$N952="MND",$Q952="EMBOQUE"),$AN952*2,0))</f>
        <v>1.13</v>
      </c>
      <c r="BJ952" s="153" t="n">
        <f aca="false">IF(AND($M952&lt;&gt;"",$N952="VCA",$Q952="LINEAR"),($M952*6.8)/100,IF(AND($M952&lt;&gt;"",$N952="MND",$Q952="EMBOQUE"),($AN952*2*6.8)/100,0))</f>
        <v>0.07684</v>
      </c>
      <c r="BK952" s="153" t="n">
        <f aca="false">IF(AND($M952&lt;&gt;"",$N952="VCA",$Q952="LINEAR"),($M952*2.5)/50,IF(AND($M952&lt;&gt;"",$N952="MND",$Q952="EMBOQUE"),($AN952*2*2.5)/50,0))</f>
        <v>0.0565</v>
      </c>
      <c r="BL952" s="157" t="str">
        <f aca="false">K952&amp;J952</f>
        <v>Zona09REDES</v>
      </c>
      <c r="BM952" s="152" t="s">
        <v>5109</v>
      </c>
      <c r="BN952" s="152" t="s">
        <v>1560</v>
      </c>
      <c r="BO952" s="152" t="s">
        <v>5062</v>
      </c>
      <c r="BP952" s="152" t="s">
        <v>5158</v>
      </c>
      <c r="BQ952" s="152" t="s">
        <v>5162</v>
      </c>
      <c r="BR952" s="152" t="s">
        <v>5163</v>
      </c>
      <c r="BS952" s="152" t="n">
        <v>203003.214</v>
      </c>
      <c r="BT952" s="152" t="n">
        <v>8236988.115</v>
      </c>
      <c r="BU952" s="152" t="n">
        <v>203002.409</v>
      </c>
      <c r="BV952" s="152" t="n">
        <v>8236987.317</v>
      </c>
      <c r="BW952" s="152" t="n">
        <v>-15.9286048</v>
      </c>
      <c r="BX952" s="152" t="n">
        <v>-47.773983</v>
      </c>
      <c r="BY952" s="152" t="s">
        <v>5158</v>
      </c>
    </row>
    <row r="953" customFormat="false" ht="13.8" hidden="false" customHeight="false" outlineLevel="0" collapsed="false">
      <c r="A953" s="149" t="n">
        <f aca="false">IF(C953&lt;&gt;"",ROW(A948),"")</f>
        <v>948</v>
      </c>
      <c r="B953" s="150" t="str">
        <f aca="false">HYPERLINK("https://www.google.com/maps/dir/-15.917302,-47.760003/-15.9288984,-47.7736805/data=!4m3!4m2!3e0!5i0")</f>
        <v>https://www.google.com/maps/dir/-15.917302,-47.760003/-15.9288984,-47.7736805/data=!4m3!4m2!3e0!5i0</v>
      </c>
      <c r="C953" s="151" t="s">
        <v>117</v>
      </c>
      <c r="D953" s="152" t="s">
        <v>112</v>
      </c>
      <c r="E953" s="152" t="s">
        <v>113</v>
      </c>
      <c r="F953" s="152" t="s">
        <v>117</v>
      </c>
      <c r="G953" s="152" t="s">
        <v>782</v>
      </c>
      <c r="H953" s="152" t="n">
        <v>63</v>
      </c>
      <c r="I953" s="152" t="s">
        <v>115</v>
      </c>
      <c r="J953" s="152" t="s">
        <v>6</v>
      </c>
      <c r="K953" s="152" t="s">
        <v>5106</v>
      </c>
      <c r="L953" s="152" t="s">
        <v>120</v>
      </c>
      <c r="M953" s="153" t="n">
        <f aca="false">3.58</f>
        <v>3.58</v>
      </c>
      <c r="N953" s="152" t="s">
        <v>1548</v>
      </c>
      <c r="O953" s="152" t="s">
        <v>1549</v>
      </c>
      <c r="P953" s="152" t="s">
        <v>1550</v>
      </c>
      <c r="Q953" s="152" t="s">
        <v>1551</v>
      </c>
      <c r="R953" s="154" t="s">
        <v>5164</v>
      </c>
      <c r="S953" s="154" t="s">
        <v>1553</v>
      </c>
      <c r="T953" s="155" t="s">
        <v>5060</v>
      </c>
      <c r="U953" s="152" t="str">
        <f aca="false">RIGHT(T953,7)</f>
        <v>014/037</v>
      </c>
      <c r="V953" s="152" t="s">
        <v>1555</v>
      </c>
      <c r="W953" s="156" t="n">
        <v>45882</v>
      </c>
      <c r="X953" s="152" t="s">
        <v>1594</v>
      </c>
      <c r="Y953" s="152" t="s">
        <v>5121</v>
      </c>
      <c r="Z953" s="152" t="s">
        <v>1557</v>
      </c>
      <c r="AA953" s="153" t="n">
        <v>4.1</v>
      </c>
      <c r="AB953" s="151" t="s">
        <v>5165</v>
      </c>
      <c r="AC953" s="151" t="s">
        <v>186</v>
      </c>
      <c r="AD953" s="151" t="str">
        <f aca="false">CONCATENATE($C953,$I953,$H953,$N953,$J953,$K953)</f>
        <v>TUBO PEADPEAD63VCAREDESZona09</v>
      </c>
      <c r="AE953" s="153" t="n">
        <f aca="false">IFERROR(INDEX(APOIO_REDES!$A:$W,MATCH($C953&amp;$I953&amp;$H953&amp;$N953&amp;$O953,APOIO_REDES!$W:$W,0),MATCH(AE$5,APOIO_REDES!$5:$5,0)),0)</f>
        <v>1.2</v>
      </c>
      <c r="AF953" s="153" t="n">
        <f aca="false">IFERROR(INDEX(APOIO_REDES!$A:$W,MATCH($C953&amp;$I953&amp;$H953&amp;$N953&amp;$O953,APOIO_REDES!$W:$W,0),MATCH(AF$5,APOIO_REDES!$5:$5,0)),0)</f>
        <v>1.363</v>
      </c>
      <c r="AG953" s="153" t="n">
        <f aca="false">IFERROR(INDEX(APOIO_REDES!$A:$W,MATCH($C953&amp;$I953&amp;$H953&amp;$N953&amp;$O953,APOIO_REDES!$W:$W,0),MATCH(AG$5,APOIO_REDES!$5:$5,0)),0)</f>
        <v>0.65</v>
      </c>
      <c r="AH953" s="153" t="n">
        <f aca="false">IFERROR(INDEX(APOIO_REDES!$A:$W,MATCH($C953&amp;$I953&amp;$H953&amp;$N953&amp;$O953,APOIO_REDES!$W:$W,0),MATCH(AH$5,APOIO_REDES!$5:$5,0)),0)</f>
        <v>0.1</v>
      </c>
      <c r="AI953" s="153" t="n">
        <f aca="false">IFERROR(IF($H953&lt;&gt;"",(((($H953/1000)/2)^2)*PI()*$M953),0),0)</f>
        <v>0.0111597382116776</v>
      </c>
      <c r="AJ953" s="153" t="n">
        <f aca="false">IFERROR(IF(AND($H953&lt;&gt;"",$I953="FoFo",OR($N953="MND",$N953="VCA"),$Q953="LINEAR"),0,IF(AND($H953&lt;&gt;"",$I953="PEAD",$N953="VCA",$Q953="LINEAR"),($H953/1000)+0.3,IF(AND($H953&lt;&gt;"",$I953="PEAD",$N953="MND",$Q953="EMBOQUE"),0,IF(AND($H953&lt;&gt;"",$I953="PVC",$N953="VCA",$Q953="LINEAR"),($H953/1000)+0.2,IF(AND($H953&lt;&gt;"",$I953="PVC",$N953="MND",$Q953="EMBOQUE"),0,IF(AND($H953&lt;&gt;"",$I953="PEAD",$N953="VCA",$Q953="PREDIAL"),0,0)))))),0)</f>
        <v>0.363</v>
      </c>
      <c r="AK953" s="153" t="n">
        <f aca="false">IF(AA953&lt;&gt;"",AA953,0)</f>
        <v>4.1</v>
      </c>
      <c r="AL953" s="153" t="n">
        <f aca="false">IF(AND($N953="MND",$Q953="EMBOQUE"),$M953,IF(AND($N953="VCA",$Q953="LINEAR"),$M953,IF(AND($N953="VCA",$Q953="PREDIAL"),0,0)))</f>
        <v>3.58</v>
      </c>
      <c r="AM953" s="153" t="n">
        <f aca="false">IF(AND($N953="MND",$Q953="EMBOQUE"),$M953,IF(AND($N953="VCA",$Q953="LINEAR"),$M953,IF(AND($N953="VCA",$Q953="PREDIAL"),0,0)))</f>
        <v>3.58</v>
      </c>
      <c r="AN953" s="153" t="n">
        <f aca="false">ROUND(IF(AND($N953="VCA",$M953&lt;&gt;"",$Q953="LINEAR"),$M953/100,IF(AND($N953="MND",$M953&gt;100,$Q953="EMBOQUE"),$M953/100,0)),0)</f>
        <v>0</v>
      </c>
      <c r="AO953" s="153" t="n">
        <f aca="false">IF(AND($N953="MND",$Q953="EMBOQUE"),$AN953*2*2,IF(AND($N953="VCA",$Q953="LINEAR"),$M953*2,IF(AND($N953="VCA",$Q953="PREDIAL"),0,0)))</f>
        <v>7.16</v>
      </c>
      <c r="AP953" s="153" t="n">
        <f aca="false">IFERROR($M953*$AF953*$AG953,0)</f>
        <v>3.171701</v>
      </c>
      <c r="AQ953" s="153" t="n">
        <f aca="false">IFERROR(IF(AND($N953="VCA",$AH953&gt;0),$M953*$AG953*$AH953,0),0)</f>
        <v>0.2327</v>
      </c>
      <c r="AR953" s="153" t="n">
        <f aca="false">IFERROR(IF(AND($N953="VCA",$AJ953&gt;0),($M953*$AG953*$AJ953)-$AI953,0),0)</f>
        <v>0.833541261788322</v>
      </c>
      <c r="AS953" s="153" t="n">
        <f aca="false">IFERROR(IF(AND($N953="VCA",$AP953&gt;0),$AP953-$AI953-$AQ953-$AR953,0),0)</f>
        <v>2.0943</v>
      </c>
      <c r="AT953" s="153" t="n">
        <f aca="false">IFERROR(IF($N953="VCA",INDEX(APOIO_REDES!$A:$W,MATCH($C953&amp;$I953&amp;$H953&amp;$N953&amp;$O953,APOIO_REDES!$W:$W,0),MATCH(AT$5,APOIO_REDES!$5:$5,0)),0)*$AP953,0)</f>
        <v>0.0345090456555763</v>
      </c>
      <c r="AU953" s="153" t="n">
        <f aca="false">IFERROR(IF($N953="VCA",INDEX(APOIO_REDES!$A:$W,MATCH($C953&amp;$I953&amp;$H953&amp;$N953&amp;$O953,APOIO_REDES!$W:$W,0),MATCH(AU$5,APOIO_REDES!$5:$5,0)),0)*$AP953,0)</f>
        <v>0.0275579892370575</v>
      </c>
      <c r="AV953" s="153" t="n">
        <f aca="false">IFERROR(IF($N953="VCA",INDEX(APOIO_REDES!$A:$W,MATCH($C953&amp;$I953&amp;$H953&amp;$N953&amp;$O953,APOIO_REDES!$W:$W,0),MATCH(AV$5,APOIO_REDES!$5:$5,0)),0)*$AP953,0)</f>
        <v>0.00381380937171102</v>
      </c>
      <c r="AW953" s="153" t="n">
        <f aca="false">IFERROR(IF($N953="VCA",INDEX(APOIO_REDES!$A:$W,MATCH($C953&amp;$I953&amp;$H953&amp;$N953&amp;$O953,APOIO_REDES!$W:$W,0),MATCH(AW$5,APOIO_REDES!$5:$5,0)),0)*$AP953,0)</f>
        <v>2.17708014193858</v>
      </c>
      <c r="AX953" s="153" t="n">
        <f aca="false">IFERROR(IF($N953="VCA",INDEX(APOIO_REDES!$A:$W,MATCH($C953&amp;$I953&amp;$H953&amp;$N953&amp;$O953,APOIO_REDES!$W:$W,0),MATCH(AX$5,APOIO_REDES!$5:$5,0)),0)*$AP953,0)</f>
        <v>0.301301690114126</v>
      </c>
      <c r="AY953" s="153" t="n">
        <f aca="false">IFERROR(IF($N953="VCA",INDEX(APOIO_REDES!$A:$W,MATCH($C953&amp;$I953&amp;$H953&amp;$N953&amp;$O953,APOIO_REDES!$W:$W,0),MATCH(AY$5,APOIO_REDES!$5:$5,0)),0)*$AP953,0)</f>
        <v>0.551159448811495</v>
      </c>
      <c r="AZ953" s="153" t="n">
        <f aca="false">IFERROR(IF($N953="VCA",INDEX(APOIO_REDES!$A:$W,MATCH($C953&amp;$I953&amp;$H953&amp;$N953&amp;$O953,APOIO_REDES!$W:$W,0),MATCH(AZ$5,APOIO_REDES!$5:$5,0)),0)*$AP953,0)</f>
        <v>0.0762788748714593</v>
      </c>
      <c r="BA953" s="153" t="n">
        <f aca="false">IFERROR(IF(AND($N953="VCA",$Q953="LINEAR"),INDEX(APOIO_REDES!$A:$W,MATCH($C953&amp;$I953&amp;$H953&amp;$N953&amp;$O953,APOIO_REDES!$W:$W,0),MATCH(BA$5,APOIO_REDES!$5:$5,0)),IF(AND($N953="MND",$Q953="EMBOQUE"),INDEX(APOIO_REDES!$A:$W,MATCH($C953&amp;$I953&amp;$H953&amp;$N953&amp;$O953,APOIO_REDES!$W:$W,0),MATCH(BA$5,APOIO_REDES!$5:$5,0)),0))*$M953/10,0)</f>
        <v>0.288538969735613</v>
      </c>
      <c r="BB953" s="153" t="n">
        <f aca="false">IFERROR(IF($N953="VCA",INDEX(APOIO_REDES!$A:$W,MATCH($C953&amp;$I953&amp;$H953&amp;$N953&amp;$O953,APOIO_REDES!$W:$W,0),MATCH(BB$5,APOIO_REDES!$5:$5,0)),0)*($AI953+$AQ953+$AR953),0)</f>
        <v>1.06567855822558</v>
      </c>
      <c r="BC953" s="153" t="n">
        <f aca="false">IFERROR(IF($N953="VCA",INDEX(APOIO_REDES!$A:$W,MATCH($C953&amp;$I953&amp;$H953&amp;$N953&amp;$O953,APOIO_REDES!$W:$W,0),MATCH(BC$5,APOIO_REDES!$5:$5,0)),0)*($AI953+$AQ953+$AR953),0)</f>
        <v>0.0117224417744181</v>
      </c>
      <c r="BD953" s="153" t="n">
        <f aca="false">IF(AND($N953="VCA",$AF953&gt;=1.25,$AF953&lt;1.5),$M953*$AF953*2,0)</f>
        <v>9.75908</v>
      </c>
      <c r="BE953" s="153" t="n">
        <f aca="false">IF(AND($N953="VCA",$AF953&gt;=1.5,$AF953&lt;3),$M953*$AF953*2,0)</f>
        <v>0</v>
      </c>
      <c r="BF953" s="153" t="n">
        <f aca="false">IF(AND($N953="VCA",$AF953&gt;=3),$M953*$AF953*2,0)</f>
        <v>0</v>
      </c>
      <c r="BG953" s="153" t="n">
        <f aca="false">($BB953+$BC953)*$AK953</f>
        <v>4.4173441</v>
      </c>
      <c r="BH953" s="153" t="n">
        <f aca="false">IF(AND($M953&lt;&gt;"",$N953="VCA",$Q953="LINEAR"),($M953*2)/100,IF(AND($M953&lt;&gt;"",$N953="MND",$Q953="EMBOQUE"),($AN953*2)/100,0))</f>
        <v>0.0716</v>
      </c>
      <c r="BI953" s="153" t="n">
        <f aca="false">IF(AND($M953&lt;&gt;"",$N953="VCA",$Q953="LINEAR"),$M953,IF(AND($M953&lt;&gt;"",$N953="MND",$Q953="EMBOQUE"),$AN953*2,0))</f>
        <v>3.58</v>
      </c>
      <c r="BJ953" s="153" t="n">
        <f aca="false">IF(AND($M953&lt;&gt;"",$N953="VCA",$Q953="LINEAR"),($M953*6.8)/100,IF(AND($M953&lt;&gt;"",$N953="MND",$Q953="EMBOQUE"),($AN953*2*6.8)/100,0))</f>
        <v>0.24344</v>
      </c>
      <c r="BK953" s="153" t="n">
        <f aca="false">IF(AND($M953&lt;&gt;"",$N953="VCA",$Q953="LINEAR"),($M953*2.5)/50,IF(AND($M953&lt;&gt;"",$N953="MND",$Q953="EMBOQUE"),($AN953*2*2.5)/50,0))</f>
        <v>0.179</v>
      </c>
      <c r="BL953" s="157" t="str">
        <f aca="false">K953&amp;J953</f>
        <v>Zona09REDES</v>
      </c>
      <c r="BM953" s="152" t="s">
        <v>5109</v>
      </c>
      <c r="BN953" s="152" t="s">
        <v>1560</v>
      </c>
      <c r="BO953" s="152" t="s">
        <v>5062</v>
      </c>
      <c r="BP953" s="152" t="s">
        <v>5166</v>
      </c>
      <c r="BQ953" s="152" t="s">
        <v>5154</v>
      </c>
      <c r="BR953" s="152" t="s">
        <v>5167</v>
      </c>
      <c r="BS953" s="152" t="n">
        <v>203035.652</v>
      </c>
      <c r="BT953" s="152" t="n">
        <v>8236955.643</v>
      </c>
      <c r="BU953" s="152" t="n">
        <v>203038.092</v>
      </c>
      <c r="BV953" s="152" t="n">
        <v>8236958.259</v>
      </c>
      <c r="BW953" s="152" t="n">
        <v>-15.9288867</v>
      </c>
      <c r="BX953" s="152" t="n">
        <v>-47.7736689</v>
      </c>
      <c r="BY953" s="152" t="s">
        <v>5166</v>
      </c>
    </row>
    <row r="954" customFormat="false" ht="13.8" hidden="false" customHeight="false" outlineLevel="0" collapsed="false">
      <c r="A954" s="149" t="n">
        <f aca="false">IF(C954&lt;&gt;"",ROW(A949),"")</f>
        <v>949</v>
      </c>
      <c r="B954" s="150" t="str">
        <f aca="false">HYPERLINK("https://www.google.com/maps/dir/-15.917302,-47.760003/-15.9289109,-47.7736930/data=!4m3!4m2!3e0!5i2")</f>
        <v>https://www.google.com/maps/dir/-15.917302,-47.760003/-15.9289109,-47.7736930/data=!4m3!4m2!3e0!5i2</v>
      </c>
      <c r="C954" s="151" t="s">
        <v>117</v>
      </c>
      <c r="D954" s="152" t="s">
        <v>112</v>
      </c>
      <c r="E954" s="152" t="s">
        <v>113</v>
      </c>
      <c r="F954" s="152" t="s">
        <v>117</v>
      </c>
      <c r="G954" s="152" t="s">
        <v>782</v>
      </c>
      <c r="H954" s="152" t="n">
        <v>63</v>
      </c>
      <c r="I954" s="152" t="s">
        <v>115</v>
      </c>
      <c r="J954" s="152" t="s">
        <v>6</v>
      </c>
      <c r="K954" s="152" t="s">
        <v>5106</v>
      </c>
      <c r="L954" s="152" t="s">
        <v>120</v>
      </c>
      <c r="M954" s="153" t="n">
        <f aca="false">1.93</f>
        <v>1.93</v>
      </c>
      <c r="N954" s="152" t="s">
        <v>1548</v>
      </c>
      <c r="O954" s="152" t="s">
        <v>1549</v>
      </c>
      <c r="P954" s="152" t="s">
        <v>1550</v>
      </c>
      <c r="Q954" s="152" t="s">
        <v>1551</v>
      </c>
      <c r="R954" s="154" t="s">
        <v>5168</v>
      </c>
      <c r="S954" s="154" t="s">
        <v>1553</v>
      </c>
      <c r="T954" s="155" t="s">
        <v>5060</v>
      </c>
      <c r="U954" s="152" t="str">
        <f aca="false">RIGHT(T954,7)</f>
        <v>014/037</v>
      </c>
      <c r="V954" s="152" t="s">
        <v>1555</v>
      </c>
      <c r="W954" s="156" t="n">
        <v>45882</v>
      </c>
      <c r="X954" s="152" t="s">
        <v>1594</v>
      </c>
      <c r="Y954" s="152" t="s">
        <v>5121</v>
      </c>
      <c r="Z954" s="152" t="s">
        <v>1557</v>
      </c>
      <c r="AA954" s="153" t="n">
        <v>4.1</v>
      </c>
      <c r="AB954" s="151" t="s">
        <v>5169</v>
      </c>
      <c r="AC954" s="151" t="s">
        <v>186</v>
      </c>
      <c r="AD954" s="151" t="str">
        <f aca="false">CONCATENATE($C954,$I954,$H954,$N954,$J954,$K954)</f>
        <v>TUBO PEADPEAD63VCAREDESZona09</v>
      </c>
      <c r="AE954" s="153" t="n">
        <f aca="false">IFERROR(INDEX(APOIO_REDES!$A:$W,MATCH($C954&amp;$I954&amp;$H954&amp;$N954&amp;$O954,APOIO_REDES!$W:$W,0),MATCH(AE$5,APOIO_REDES!$5:$5,0)),0)</f>
        <v>1.2</v>
      </c>
      <c r="AF954" s="153" t="n">
        <f aca="false">IFERROR(INDEX(APOIO_REDES!$A:$W,MATCH($C954&amp;$I954&amp;$H954&amp;$N954&amp;$O954,APOIO_REDES!$W:$W,0),MATCH(AF$5,APOIO_REDES!$5:$5,0)),0)</f>
        <v>1.363</v>
      </c>
      <c r="AG954" s="153" t="n">
        <f aca="false">IFERROR(INDEX(APOIO_REDES!$A:$W,MATCH($C954&amp;$I954&amp;$H954&amp;$N954&amp;$O954,APOIO_REDES!$W:$W,0),MATCH(AG$5,APOIO_REDES!$5:$5,0)),0)</f>
        <v>0.65</v>
      </c>
      <c r="AH954" s="153" t="n">
        <f aca="false">IFERROR(INDEX(APOIO_REDES!$A:$W,MATCH($C954&amp;$I954&amp;$H954&amp;$N954&amp;$O954,APOIO_REDES!$W:$W,0),MATCH(AH$5,APOIO_REDES!$5:$5,0)),0)</f>
        <v>0.1</v>
      </c>
      <c r="AI954" s="153" t="n">
        <f aca="false">IFERROR(IF($H954&lt;&gt;"",(((($H954/1000)/2)^2)*PI()*$M954),0),0)</f>
        <v>0.00601628344931223</v>
      </c>
      <c r="AJ954" s="153" t="n">
        <f aca="false">IFERROR(IF(AND($H954&lt;&gt;"",$I954="FoFo",OR($N954="MND",$N954="VCA"),$Q954="LINEAR"),0,IF(AND($H954&lt;&gt;"",$I954="PEAD",$N954="VCA",$Q954="LINEAR"),($H954/1000)+0.3,IF(AND($H954&lt;&gt;"",$I954="PEAD",$N954="MND",$Q954="EMBOQUE"),0,IF(AND($H954&lt;&gt;"",$I954="PVC",$N954="VCA",$Q954="LINEAR"),($H954/1000)+0.2,IF(AND($H954&lt;&gt;"",$I954="PVC",$N954="MND",$Q954="EMBOQUE"),0,IF(AND($H954&lt;&gt;"",$I954="PEAD",$N954="VCA",$Q954="PREDIAL"),0,0)))))),0)</f>
        <v>0.363</v>
      </c>
      <c r="AK954" s="153" t="n">
        <f aca="false">IF(AA954&lt;&gt;"",AA954,0)</f>
        <v>4.1</v>
      </c>
      <c r="AL954" s="153" t="n">
        <f aca="false">IF(AND($N954="MND",$Q954="EMBOQUE"),$M954,IF(AND($N954="VCA",$Q954="LINEAR"),$M954,IF(AND($N954="VCA",$Q954="PREDIAL"),0,0)))</f>
        <v>1.93</v>
      </c>
      <c r="AM954" s="153" t="n">
        <f aca="false">IF(AND($N954="MND",$Q954="EMBOQUE"),$M954,IF(AND($N954="VCA",$Q954="LINEAR"),$M954,IF(AND($N954="VCA",$Q954="PREDIAL"),0,0)))</f>
        <v>1.93</v>
      </c>
      <c r="AN954" s="153" t="n">
        <f aca="false">ROUND(IF(AND($N954="VCA",$M954&lt;&gt;"",$Q954="LINEAR"),$M954/100,IF(AND($N954="MND",$M954&gt;100,$Q954="EMBOQUE"),$M954/100,0)),0)</f>
        <v>0</v>
      </c>
      <c r="AO954" s="153" t="n">
        <f aca="false">IF(AND($N954="MND",$Q954="EMBOQUE"),$AN954*2*2,IF(AND($N954="VCA",$Q954="LINEAR"),$M954*2,IF(AND($N954="VCA",$Q954="PREDIAL"),0,0)))</f>
        <v>3.86</v>
      </c>
      <c r="AP954" s="153" t="n">
        <f aca="false">IFERROR($M954*$AF954*$AG954,0)</f>
        <v>1.7098835</v>
      </c>
      <c r="AQ954" s="153" t="n">
        <f aca="false">IFERROR(IF(AND($N954="VCA",$AH954&gt;0),$M954*$AG954*$AH954,0),0)</f>
        <v>0.12545</v>
      </c>
      <c r="AR954" s="153" t="n">
        <f aca="false">IFERROR(IF(AND($N954="VCA",$AJ954&gt;0),($M954*$AG954*$AJ954)-$AI954,0),0)</f>
        <v>0.449367216550688</v>
      </c>
      <c r="AS954" s="153" t="n">
        <f aca="false">IFERROR(IF(AND($N954="VCA",$AP954&gt;0),$AP954-$AI954-$AQ954-$AR954,0),0)</f>
        <v>1.12905</v>
      </c>
      <c r="AT954" s="153" t="n">
        <f aca="false">IFERROR(IF($N954="VCA",INDEX(APOIO_REDES!$A:$W,MATCH($C954&amp;$I954&amp;$H954&amp;$N954&amp;$O954,APOIO_REDES!$W:$W,0),MATCH(AT$5,APOIO_REDES!$5:$5,0)),0)*$AP954,0)</f>
        <v>0.0186040385796822</v>
      </c>
      <c r="AU954" s="153" t="n">
        <f aca="false">IFERROR(IF($N954="VCA",INDEX(APOIO_REDES!$A:$W,MATCH($C954&amp;$I954&amp;$H954&amp;$N954&amp;$O954,APOIO_REDES!$W:$W,0),MATCH(AU$5,APOIO_REDES!$5:$5,0)),0)*$AP954,0)</f>
        <v>0.0148566813484695</v>
      </c>
      <c r="AV954" s="153" t="n">
        <f aca="false">IFERROR(IF($N954="VCA",INDEX(APOIO_REDES!$A:$W,MATCH($C954&amp;$I954&amp;$H954&amp;$N954&amp;$O954,APOIO_REDES!$W:$W,0),MATCH(AV$5,APOIO_REDES!$5:$5,0)),0)*$AP954,0)</f>
        <v>0.00205604806910678</v>
      </c>
      <c r="AW954" s="153" t="n">
        <f aca="false">IFERROR(IF($N954="VCA",INDEX(APOIO_REDES!$A:$W,MATCH($C954&amp;$I954&amp;$H954&amp;$N954&amp;$O954,APOIO_REDES!$W:$W,0),MATCH(AW$5,APOIO_REDES!$5:$5,0)),0)*$AP954,0)</f>
        <v>1.17367728322387</v>
      </c>
      <c r="AX954" s="153" t="n">
        <f aca="false">IFERROR(IF($N954="VCA",INDEX(APOIO_REDES!$A:$W,MATCH($C954&amp;$I954&amp;$H954&amp;$N954&amp;$O954,APOIO_REDES!$W:$W,0),MATCH(AX$5,APOIO_REDES!$5:$5,0)),0)*$AP954,0)</f>
        <v>0.162433592715157</v>
      </c>
      <c r="AY954" s="153" t="n">
        <f aca="false">IFERROR(IF($N954="VCA",INDEX(APOIO_REDES!$A:$W,MATCH($C954&amp;$I954&amp;$H954&amp;$N954&amp;$O954,APOIO_REDES!$W:$W,0),MATCH(AY$5,APOIO_REDES!$5:$5,0)),0)*$AP954,0)</f>
        <v>0.297133445867649</v>
      </c>
      <c r="AZ954" s="153" t="n">
        <f aca="false">IFERROR(IF($N954="VCA",INDEX(APOIO_REDES!$A:$W,MATCH($C954&amp;$I954&amp;$H954&amp;$N954&amp;$O954,APOIO_REDES!$W:$W,0),MATCH(AZ$5,APOIO_REDES!$5:$5,0)),0)*$AP954,0)</f>
        <v>0.0411224101960661</v>
      </c>
      <c r="BA954" s="153" t="n">
        <f aca="false">IFERROR(IF(AND($N954="VCA",$Q954="LINEAR"),INDEX(APOIO_REDES!$A:$W,MATCH($C954&amp;$I954&amp;$H954&amp;$N954&amp;$O954,APOIO_REDES!$W:$W,0),MATCH(BA$5,APOIO_REDES!$5:$5,0)),IF(AND($N954="MND",$Q954="EMBOQUE"),INDEX(APOIO_REDES!$A:$W,MATCH($C954&amp;$I954&amp;$H954&amp;$N954&amp;$O954,APOIO_REDES!$W:$W,0),MATCH(BA$5,APOIO_REDES!$5:$5,0)),0))*$M954/10,0)</f>
        <v>0.155553131728976</v>
      </c>
      <c r="BB954" s="153" t="n">
        <f aca="false">IFERROR(IF($N954="VCA",INDEX(APOIO_REDES!$A:$W,MATCH($C954&amp;$I954&amp;$H954&amp;$N954&amp;$O954,APOIO_REDES!$W:$W,0),MATCH(BB$5,APOIO_REDES!$5:$5,0)),0)*($AI954+$AQ954+$AR954),0)</f>
        <v>0.57451385960206</v>
      </c>
      <c r="BC954" s="153" t="n">
        <f aca="false">IFERROR(IF($N954="VCA",INDEX(APOIO_REDES!$A:$W,MATCH($C954&amp;$I954&amp;$H954&amp;$N954&amp;$O954,APOIO_REDES!$W:$W,0),MATCH(BC$5,APOIO_REDES!$5:$5,0)),0)*($AI954+$AQ954+$AR954),0)</f>
        <v>0.00631964039794047</v>
      </c>
      <c r="BD954" s="153" t="n">
        <f aca="false">IF(AND($N954="VCA",$AF954&gt;=1.25,$AF954&lt;1.5),$M954*$AF954*2,0)</f>
        <v>5.26118</v>
      </c>
      <c r="BE954" s="153" t="n">
        <f aca="false">IF(AND($N954="VCA",$AF954&gt;=1.5,$AF954&lt;3),$M954*$AF954*2,0)</f>
        <v>0</v>
      </c>
      <c r="BF954" s="153" t="n">
        <f aca="false">IF(AND($N954="VCA",$AF954&gt;=3),$M954*$AF954*2,0)</f>
        <v>0</v>
      </c>
      <c r="BG954" s="153" t="n">
        <f aca="false">($BB954+$BC954)*$AK954</f>
        <v>2.38141735</v>
      </c>
      <c r="BH954" s="153" t="n">
        <f aca="false">IF(AND($M954&lt;&gt;"",$N954="VCA",$Q954="LINEAR"),($M954*2)/100,IF(AND($M954&lt;&gt;"",$N954="MND",$Q954="EMBOQUE"),($AN954*2)/100,0))</f>
        <v>0.0386</v>
      </c>
      <c r="BI954" s="153" t="n">
        <f aca="false">IF(AND($M954&lt;&gt;"",$N954="VCA",$Q954="LINEAR"),$M954,IF(AND($M954&lt;&gt;"",$N954="MND",$Q954="EMBOQUE"),$AN954*2,0))</f>
        <v>1.93</v>
      </c>
      <c r="BJ954" s="153" t="n">
        <f aca="false">IF(AND($M954&lt;&gt;"",$N954="VCA",$Q954="LINEAR"),($M954*6.8)/100,IF(AND($M954&lt;&gt;"",$N954="MND",$Q954="EMBOQUE"),($AN954*2*6.8)/100,0))</f>
        <v>0.13124</v>
      </c>
      <c r="BK954" s="153" t="n">
        <f aca="false">IF(AND($M954&lt;&gt;"",$N954="VCA",$Q954="LINEAR"),($M954*2.5)/50,IF(AND($M954&lt;&gt;"",$N954="MND",$Q954="EMBOQUE"),($AN954*2*2.5)/50,0))</f>
        <v>0.0965</v>
      </c>
      <c r="BL954" s="157" t="str">
        <f aca="false">K954&amp;J954</f>
        <v>Zona09REDES</v>
      </c>
      <c r="BM954" s="152" t="s">
        <v>5109</v>
      </c>
      <c r="BN954" s="152" t="s">
        <v>1560</v>
      </c>
      <c r="BO954" s="152" t="s">
        <v>5062</v>
      </c>
      <c r="BP954" s="152" t="s">
        <v>5170</v>
      </c>
      <c r="BQ954" s="152" t="s">
        <v>5166</v>
      </c>
      <c r="BR954" s="152" t="s">
        <v>5171</v>
      </c>
      <c r="BS954" s="152" t="n">
        <v>203034.331</v>
      </c>
      <c r="BT954" s="152" t="n">
        <v>8236954.241</v>
      </c>
      <c r="BU954" s="152" t="n">
        <v>203035.652</v>
      </c>
      <c r="BV954" s="152" t="n">
        <v>8236955.643</v>
      </c>
      <c r="BW954" s="152" t="n">
        <v>-15.9289046</v>
      </c>
      <c r="BX954" s="152" t="n">
        <v>-47.7736867</v>
      </c>
      <c r="BY954" s="152" t="s">
        <v>5170</v>
      </c>
    </row>
    <row r="955" customFormat="false" ht="13.8" hidden="false" customHeight="false" outlineLevel="0" collapsed="false">
      <c r="A955" s="149" t="n">
        <f aca="false">IF(C955&lt;&gt;"",ROW(A950),"")</f>
        <v>950</v>
      </c>
      <c r="B955" s="150" t="str">
        <f aca="false">HYPERLINK("https://www.google.com/maps/dir/-15.917302,-47.760003/-15.9286088,-47.7739864/data=!4m3!4m2!3e0!5i0")</f>
        <v>https://www.google.com/maps/dir/-15.917302,-47.760003/-15.9286088,-47.7739864/data=!4m3!4m2!3e0!5i0</v>
      </c>
      <c r="C955" s="151" t="s">
        <v>117</v>
      </c>
      <c r="D955" s="152" t="s">
        <v>112</v>
      </c>
      <c r="E955" s="152" t="s">
        <v>113</v>
      </c>
      <c r="F955" s="152" t="s">
        <v>117</v>
      </c>
      <c r="G955" s="152" t="s">
        <v>782</v>
      </c>
      <c r="H955" s="152" t="n">
        <v>63</v>
      </c>
      <c r="I955" s="152" t="s">
        <v>115</v>
      </c>
      <c r="J955" s="152" t="s">
        <v>6</v>
      </c>
      <c r="K955" s="152" t="s">
        <v>5106</v>
      </c>
      <c r="L955" s="152" t="s">
        <v>120</v>
      </c>
      <c r="M955" s="153" t="n">
        <f aca="false">199.23</f>
        <v>199.23</v>
      </c>
      <c r="N955" s="152" t="s">
        <v>1548</v>
      </c>
      <c r="O955" s="152" t="s">
        <v>1549</v>
      </c>
      <c r="P955" s="152" t="s">
        <v>1550</v>
      </c>
      <c r="Q955" s="152" t="s">
        <v>1551</v>
      </c>
      <c r="R955" s="154" t="s">
        <v>5172</v>
      </c>
      <c r="S955" s="154" t="s">
        <v>1553</v>
      </c>
      <c r="T955" s="155" t="s">
        <v>5060</v>
      </c>
      <c r="U955" s="152" t="str">
        <f aca="false">RIGHT(T955,7)</f>
        <v>014/037</v>
      </c>
      <c r="V955" s="152" t="s">
        <v>1555</v>
      </c>
      <c r="W955" s="156" t="n">
        <v>45882</v>
      </c>
      <c r="X955" s="152" t="s">
        <v>1594</v>
      </c>
      <c r="Y955" s="152" t="s">
        <v>4968</v>
      </c>
      <c r="Z955" s="152" t="s">
        <v>1557</v>
      </c>
      <c r="AA955" s="153" t="n">
        <v>3.3</v>
      </c>
      <c r="AB955" s="151" t="s">
        <v>5173</v>
      </c>
      <c r="AC955" s="151" t="s">
        <v>186</v>
      </c>
      <c r="AD955" s="151" t="str">
        <f aca="false">CONCATENATE($C955,$I955,$H955,$N955,$J955,$K955)</f>
        <v>TUBO PEADPEAD63VCAREDESZona09</v>
      </c>
      <c r="AE955" s="153" t="n">
        <f aca="false">IFERROR(INDEX(APOIO_REDES!$A:$W,MATCH($C955&amp;$I955&amp;$H955&amp;$N955&amp;$O955,APOIO_REDES!$W:$W,0),MATCH(AE$5,APOIO_REDES!$5:$5,0)),0)</f>
        <v>1.2</v>
      </c>
      <c r="AF955" s="153" t="n">
        <f aca="false">IFERROR(INDEX(APOIO_REDES!$A:$W,MATCH($C955&amp;$I955&amp;$H955&amp;$N955&amp;$O955,APOIO_REDES!$W:$W,0),MATCH(AF$5,APOIO_REDES!$5:$5,0)),0)</f>
        <v>1.363</v>
      </c>
      <c r="AG955" s="153" t="n">
        <f aca="false">IFERROR(INDEX(APOIO_REDES!$A:$W,MATCH($C955&amp;$I955&amp;$H955&amp;$N955&amp;$O955,APOIO_REDES!$W:$W,0),MATCH(AG$5,APOIO_REDES!$5:$5,0)),0)</f>
        <v>0.65</v>
      </c>
      <c r="AH955" s="153" t="n">
        <f aca="false">IFERROR(INDEX(APOIO_REDES!$A:$W,MATCH($C955&amp;$I955&amp;$H955&amp;$N955&amp;$O955,APOIO_REDES!$W:$W,0),MATCH(AH$5,APOIO_REDES!$5:$5,0)),0)</f>
        <v>0.1</v>
      </c>
      <c r="AI955" s="153" t="n">
        <f aca="false">IFERROR(IF($H955&lt;&gt;"",(((($H955/1000)/2)^2)*PI()*$M955),0),0)</f>
        <v>0.621048783215791</v>
      </c>
      <c r="AJ955" s="153" t="n">
        <f aca="false">IFERROR(IF(AND($H955&lt;&gt;"",$I955="FoFo",OR($N955="MND",$N955="VCA"),$Q955="LINEAR"),0,IF(AND($H955&lt;&gt;"",$I955="PEAD",$N955="VCA",$Q955="LINEAR"),($H955/1000)+0.3,IF(AND($H955&lt;&gt;"",$I955="PEAD",$N955="MND",$Q955="EMBOQUE"),0,IF(AND($H955&lt;&gt;"",$I955="PVC",$N955="VCA",$Q955="LINEAR"),($H955/1000)+0.2,IF(AND($H955&lt;&gt;"",$I955="PVC",$N955="MND",$Q955="EMBOQUE"),0,IF(AND($H955&lt;&gt;"",$I955="PEAD",$N955="VCA",$Q955="PREDIAL"),0,0)))))),0)</f>
        <v>0.363</v>
      </c>
      <c r="AK955" s="153" t="n">
        <f aca="false">IF(AA955&lt;&gt;"",AA955,0)</f>
        <v>3.3</v>
      </c>
      <c r="AL955" s="153" t="n">
        <f aca="false">IF(AND($N955="MND",$Q955="EMBOQUE"),$M955,IF(AND($N955="VCA",$Q955="LINEAR"),$M955,IF(AND($N955="VCA",$Q955="PREDIAL"),0,0)))</f>
        <v>199.23</v>
      </c>
      <c r="AM955" s="153" t="n">
        <f aca="false">IF(AND($N955="MND",$Q955="EMBOQUE"),$M955,IF(AND($N955="VCA",$Q955="LINEAR"),$M955,IF(AND($N955="VCA",$Q955="PREDIAL"),0,0)))</f>
        <v>199.23</v>
      </c>
      <c r="AN955" s="153" t="n">
        <f aca="false">ROUND(IF(AND($N955="VCA",$M955&lt;&gt;"",$Q955="LINEAR"),$M955/100,IF(AND($N955="MND",$M955&gt;100,$Q955="EMBOQUE"),$M955/100,0)),0)</f>
        <v>2</v>
      </c>
      <c r="AO955" s="153" t="n">
        <f aca="false">IF(AND($N955="MND",$Q955="EMBOQUE"),$AN955*2*2,IF(AND($N955="VCA",$Q955="LINEAR"),$M955*2,IF(AND($N955="VCA",$Q955="PREDIAL"),0,0)))</f>
        <v>398.46</v>
      </c>
      <c r="AP955" s="153" t="n">
        <f aca="false">IFERROR($M955*$AF955*$AG955,0)</f>
        <v>176.5078185</v>
      </c>
      <c r="AQ955" s="153" t="n">
        <f aca="false">IFERROR(IF(AND($N955="VCA",$AH955&gt;0),$M955*$AG955*$AH955,0),0)</f>
        <v>12.94995</v>
      </c>
      <c r="AR955" s="153" t="n">
        <f aca="false">IFERROR(IF(AND($N955="VCA",$AJ955&gt;0),($M955*$AG955*$AJ955)-$AI955,0),0)</f>
        <v>46.3872697167842</v>
      </c>
      <c r="AS955" s="153" t="n">
        <f aca="false">IFERROR(IF(AND($N955="VCA",$AP955&gt;0),$AP955-$AI955-$AQ955-$AR955,0),0)</f>
        <v>116.54955</v>
      </c>
      <c r="AT955" s="153" t="n">
        <f aca="false">IFERROR(IF($N955="VCA",INDEX(APOIO_REDES!$A:$W,MATCH($C955&amp;$I955&amp;$H955&amp;$N955&amp;$O955,APOIO_REDES!$W:$W,0),MATCH(AT$5,APOIO_REDES!$5:$5,0)),0)*$AP955,0)</f>
        <v>1.9204573089275</v>
      </c>
      <c r="AU955" s="153" t="n">
        <f aca="false">IFERROR(IF($N955="VCA",INDEX(APOIO_REDES!$A:$W,MATCH($C955&amp;$I955&amp;$H955&amp;$N955&amp;$O955,APOIO_REDES!$W:$W,0),MATCH(AU$5,APOIO_REDES!$5:$5,0)),0)*$AP955,0)</f>
        <v>1.53362519432932</v>
      </c>
      <c r="AV955" s="153" t="n">
        <f aca="false">IFERROR(IF($N955="VCA",INDEX(APOIO_REDES!$A:$W,MATCH($C955&amp;$I955&amp;$H955&amp;$N955&amp;$O955,APOIO_REDES!$W:$W,0),MATCH(AV$5,APOIO_REDES!$5:$5,0)),0)*$AP955,0)</f>
        <v>0.212241687465359</v>
      </c>
      <c r="AW955" s="153" t="n">
        <f aca="false">IFERROR(IF($N955="VCA",INDEX(APOIO_REDES!$A:$W,MATCH($C955&amp;$I955&amp;$H955&amp;$N955&amp;$O955,APOIO_REDES!$W:$W,0),MATCH(AW$5,APOIO_REDES!$5:$5,0)),0)*$AP955,0)</f>
        <v>121.156334267716</v>
      </c>
      <c r="AX955" s="153" t="n">
        <f aca="false">IFERROR(IF($N955="VCA",INDEX(APOIO_REDES!$A:$W,MATCH($C955&amp;$I955&amp;$H955&amp;$N955&amp;$O955,APOIO_REDES!$W:$W,0),MATCH(AX$5,APOIO_REDES!$5:$5,0)),0)*$AP955,0)</f>
        <v>16.7676915423009</v>
      </c>
      <c r="AY955" s="153" t="n">
        <f aca="false">IFERROR(IF($N955="VCA",INDEX(APOIO_REDES!$A:$W,MATCH($C955&amp;$I955&amp;$H955&amp;$N955&amp;$O955,APOIO_REDES!$W:$W,0),MATCH(AY$5,APOIO_REDES!$5:$5,0)),0)*$AP955,0)</f>
        <v>30.6724851918196</v>
      </c>
      <c r="AZ955" s="153" t="n">
        <f aca="false">IFERROR(IF($N955="VCA",INDEX(APOIO_REDES!$A:$W,MATCH($C955&amp;$I955&amp;$H955&amp;$N955&amp;$O955,APOIO_REDES!$W:$W,0),MATCH(AZ$5,APOIO_REDES!$5:$5,0)),0)*$AP955,0)</f>
        <v>4.24498330744158</v>
      </c>
      <c r="BA955" s="153" t="n">
        <f aca="false">IFERROR(IF(AND($N955="VCA",$Q955="LINEAR"),INDEX(APOIO_REDES!$A:$W,MATCH($C955&amp;$I955&amp;$H955&amp;$N955&amp;$O955,APOIO_REDES!$W:$W,0),MATCH(BA$5,APOIO_REDES!$5:$5,0)),IF(AND($N955="MND",$Q955="EMBOQUE"),INDEX(APOIO_REDES!$A:$W,MATCH($C955&amp;$I955&amp;$H955&amp;$N955&amp;$O955,APOIO_REDES!$W:$W,0),MATCH(BA$5,APOIO_REDES!$5:$5,0)),0))*$M955/10,0)</f>
        <v>16.0574354582196</v>
      </c>
      <c r="BB955" s="153" t="n">
        <f aca="false">IFERROR(IF($N955="VCA",INDEX(APOIO_REDES!$A:$W,MATCH($C955&amp;$I955&amp;$H955&amp;$N955&amp;$O955,APOIO_REDES!$W:$W,0),MATCH(BB$5,APOIO_REDES!$5:$5,0)),0)*($AI955+$AQ955+$AR955),0)</f>
        <v>59.3059047919784</v>
      </c>
      <c r="BC955" s="153" t="n">
        <f aca="false">IFERROR(IF($N955="VCA",INDEX(APOIO_REDES!$A:$W,MATCH($C955&amp;$I955&amp;$H955&amp;$N955&amp;$O955,APOIO_REDES!$W:$W,0),MATCH(BC$5,APOIO_REDES!$5:$5,0)),0)*($AI955+$AQ955+$AR955),0)</f>
        <v>0.652363708021596</v>
      </c>
      <c r="BD955" s="153" t="n">
        <f aca="false">IF(AND($N955="VCA",$AF955&gt;=1.25,$AF955&lt;1.5),$M955*$AF955*2,0)</f>
        <v>543.10098</v>
      </c>
      <c r="BE955" s="153" t="n">
        <f aca="false">IF(AND($N955="VCA",$AF955&gt;=1.5,$AF955&lt;3),$M955*$AF955*2,0)</f>
        <v>0</v>
      </c>
      <c r="BF955" s="153" t="n">
        <f aca="false">IF(AND($N955="VCA",$AF955&gt;=3),$M955*$AF955*2,0)</f>
        <v>0</v>
      </c>
      <c r="BG955" s="153" t="n">
        <f aca="false">($BB955+$BC955)*$AK955</f>
        <v>197.86228605</v>
      </c>
      <c r="BH955" s="153" t="n">
        <f aca="false">IF(AND($M955&lt;&gt;"",$N955="VCA",$Q955="LINEAR"),($M955*2)/100,IF(AND($M955&lt;&gt;"",$N955="MND",$Q955="EMBOQUE"),($AN955*2)/100,0))</f>
        <v>3.9846</v>
      </c>
      <c r="BI955" s="153" t="n">
        <f aca="false">IF(AND($M955&lt;&gt;"",$N955="VCA",$Q955="LINEAR"),$M955,IF(AND($M955&lt;&gt;"",$N955="MND",$Q955="EMBOQUE"),$AN955*2,0))</f>
        <v>199.23</v>
      </c>
      <c r="BJ955" s="153" t="n">
        <f aca="false">IF(AND($M955&lt;&gt;"",$N955="VCA",$Q955="LINEAR"),($M955*6.8)/100,IF(AND($M955&lt;&gt;"",$N955="MND",$Q955="EMBOQUE"),($AN955*2*6.8)/100,0))</f>
        <v>13.54764</v>
      </c>
      <c r="BK955" s="153" t="n">
        <f aca="false">IF(AND($M955&lt;&gt;"",$N955="VCA",$Q955="LINEAR"),($M955*2.5)/50,IF(AND($M955&lt;&gt;"",$N955="MND",$Q955="EMBOQUE"),($AN955*2*2.5)/50,0))</f>
        <v>9.9615</v>
      </c>
      <c r="BL955" s="157" t="str">
        <f aca="false">K955&amp;J955</f>
        <v>Zona09REDES</v>
      </c>
      <c r="BM955" s="152" t="s">
        <v>5109</v>
      </c>
      <c r="BN955" s="152" t="s">
        <v>1560</v>
      </c>
      <c r="BO955" s="152" t="s">
        <v>5062</v>
      </c>
      <c r="BP955" s="152" t="s">
        <v>5162</v>
      </c>
      <c r="BQ955" s="152" t="s">
        <v>5174</v>
      </c>
      <c r="BR955" s="152" t="s">
        <v>5175</v>
      </c>
      <c r="BS955" s="152" t="n">
        <v>203002.409</v>
      </c>
      <c r="BT955" s="152" t="n">
        <v>8236987.317</v>
      </c>
      <c r="BU955" s="152" t="n">
        <v>202856.8</v>
      </c>
      <c r="BV955" s="152" t="n">
        <v>8236853.879</v>
      </c>
      <c r="BW955" s="152" t="n">
        <v>-15.929235</v>
      </c>
      <c r="BX955" s="152" t="n">
        <v>-47.7746527</v>
      </c>
      <c r="BY955" s="152" t="s">
        <v>5162</v>
      </c>
    </row>
    <row r="956" customFormat="false" ht="13.8" hidden="false" customHeight="false" outlineLevel="0" collapsed="false">
      <c r="A956" s="149" t="n">
        <f aca="false">IF(C956&lt;&gt;"",ROW(A951),"")</f>
        <v>951</v>
      </c>
      <c r="B956" s="150" t="str">
        <f aca="false">HYPERLINK("https://www.google.com/maps/dir/-15.917302,-47.760003/-15.9302716,-47.7752622/data=!4m3!4m2!3e0!5i2")</f>
        <v>https://www.google.com/maps/dir/-15.917302,-47.760003/-15.9302716,-47.7752622/data=!4m3!4m2!3e0!5i2</v>
      </c>
      <c r="C956" s="151" t="s">
        <v>117</v>
      </c>
      <c r="D956" s="152" t="s">
        <v>112</v>
      </c>
      <c r="E956" s="152" t="s">
        <v>113</v>
      </c>
      <c r="F956" s="152" t="s">
        <v>117</v>
      </c>
      <c r="G956" s="152" t="s">
        <v>782</v>
      </c>
      <c r="H956" s="152" t="n">
        <v>63</v>
      </c>
      <c r="I956" s="152" t="s">
        <v>115</v>
      </c>
      <c r="J956" s="152" t="s">
        <v>6</v>
      </c>
      <c r="K956" s="152" t="s">
        <v>5106</v>
      </c>
      <c r="L956" s="152" t="s">
        <v>120</v>
      </c>
      <c r="M956" s="153" t="n">
        <f aca="false">227.2</f>
        <v>227.2</v>
      </c>
      <c r="N956" s="152" t="s">
        <v>1548</v>
      </c>
      <c r="O956" s="152" t="s">
        <v>1549</v>
      </c>
      <c r="P956" s="152" t="s">
        <v>1550</v>
      </c>
      <c r="Q956" s="152" t="s">
        <v>1551</v>
      </c>
      <c r="R956" s="154" t="s">
        <v>5176</v>
      </c>
      <c r="S956" s="154" t="s">
        <v>1553</v>
      </c>
      <c r="T956" s="155" t="s">
        <v>5060</v>
      </c>
      <c r="U956" s="152" t="str">
        <f aca="false">RIGHT(T956,7)</f>
        <v>014/037</v>
      </c>
      <c r="V956" s="152" t="s">
        <v>1555</v>
      </c>
      <c r="W956" s="156" t="n">
        <v>45882</v>
      </c>
      <c r="X956" s="152" t="s">
        <v>1594</v>
      </c>
      <c r="Y956" s="152" t="s">
        <v>1952</v>
      </c>
      <c r="Z956" s="152" t="s">
        <v>1557</v>
      </c>
      <c r="AA956" s="153" t="n">
        <v>4.3</v>
      </c>
      <c r="AB956" s="151" t="s">
        <v>5177</v>
      </c>
      <c r="AC956" s="151" t="s">
        <v>186</v>
      </c>
      <c r="AD956" s="151" t="str">
        <f aca="false">CONCATENATE($C956,$I956,$H956,$N956,$J956,$K956)</f>
        <v>TUBO PEADPEAD63VCAREDESZona09</v>
      </c>
      <c r="AE956" s="153" t="n">
        <f aca="false">IFERROR(INDEX(APOIO_REDES!$A:$W,MATCH($C956&amp;$I956&amp;$H956&amp;$N956&amp;$O956,APOIO_REDES!$W:$W,0),MATCH(AE$5,APOIO_REDES!$5:$5,0)),0)</f>
        <v>1.2</v>
      </c>
      <c r="AF956" s="153" t="n">
        <f aca="false">IFERROR(INDEX(APOIO_REDES!$A:$W,MATCH($C956&amp;$I956&amp;$H956&amp;$N956&amp;$O956,APOIO_REDES!$W:$W,0),MATCH(AF$5,APOIO_REDES!$5:$5,0)),0)</f>
        <v>1.363</v>
      </c>
      <c r="AG956" s="153" t="n">
        <f aca="false">IFERROR(INDEX(APOIO_REDES!$A:$W,MATCH($C956&amp;$I956&amp;$H956&amp;$N956&amp;$O956,APOIO_REDES!$W:$W,0),MATCH(AG$5,APOIO_REDES!$5:$5,0)),0)</f>
        <v>0.65</v>
      </c>
      <c r="AH956" s="153" t="n">
        <f aca="false">IFERROR(INDEX(APOIO_REDES!$A:$W,MATCH($C956&amp;$I956&amp;$H956&amp;$N956&amp;$O956,APOIO_REDES!$W:$W,0),MATCH(AH$5,APOIO_REDES!$5:$5,0)),0)</f>
        <v>0.1</v>
      </c>
      <c r="AI956" s="153" t="n">
        <f aca="false">IFERROR(IF($H956&lt;&gt;"",(((($H956/1000)/2)^2)*PI()*$M956),0),0)</f>
        <v>0.70823813455116</v>
      </c>
      <c r="AJ956" s="153" t="n">
        <f aca="false">IFERROR(IF(AND($H956&lt;&gt;"",$I956="FoFo",OR($N956="MND",$N956="VCA"),$Q956="LINEAR"),0,IF(AND($H956&lt;&gt;"",$I956="PEAD",$N956="VCA",$Q956="LINEAR"),($H956/1000)+0.3,IF(AND($H956&lt;&gt;"",$I956="PEAD",$N956="MND",$Q956="EMBOQUE"),0,IF(AND($H956&lt;&gt;"",$I956="PVC",$N956="VCA",$Q956="LINEAR"),($H956/1000)+0.2,IF(AND($H956&lt;&gt;"",$I956="PVC",$N956="MND",$Q956="EMBOQUE"),0,IF(AND($H956&lt;&gt;"",$I956="PEAD",$N956="VCA",$Q956="PREDIAL"),0,0)))))),0)</f>
        <v>0.363</v>
      </c>
      <c r="AK956" s="153" t="n">
        <f aca="false">IF(AA956&lt;&gt;"",AA956,0)</f>
        <v>4.3</v>
      </c>
      <c r="AL956" s="153" t="n">
        <f aca="false">IF(AND($N956="MND",$Q956="EMBOQUE"),$M956,IF(AND($N956="VCA",$Q956="LINEAR"),$M956,IF(AND($N956="VCA",$Q956="PREDIAL"),0,0)))</f>
        <v>227.2</v>
      </c>
      <c r="AM956" s="153" t="n">
        <f aca="false">IF(AND($N956="MND",$Q956="EMBOQUE"),$M956,IF(AND($N956="VCA",$Q956="LINEAR"),$M956,IF(AND($N956="VCA",$Q956="PREDIAL"),0,0)))</f>
        <v>227.2</v>
      </c>
      <c r="AN956" s="153" t="n">
        <f aca="false">ROUND(IF(AND($N956="VCA",$M956&lt;&gt;"",$Q956="LINEAR"),$M956/100,IF(AND($N956="MND",$M956&gt;100,$Q956="EMBOQUE"),$M956/100,0)),0)</f>
        <v>2</v>
      </c>
      <c r="AO956" s="153" t="n">
        <f aca="false">IF(AND($N956="MND",$Q956="EMBOQUE"),$AN956*2*2,IF(AND($N956="VCA",$Q956="LINEAR"),$M956*2,IF(AND($N956="VCA",$Q956="PREDIAL"),0,0)))</f>
        <v>454.4</v>
      </c>
      <c r="AP956" s="153" t="n">
        <f aca="false">IFERROR($M956*$AF956*$AG956,0)</f>
        <v>201.28784</v>
      </c>
      <c r="AQ956" s="153" t="n">
        <f aca="false">IFERROR(IF(AND($N956="VCA",$AH956&gt;0),$M956*$AG956*$AH956,0),0)</f>
        <v>14.768</v>
      </c>
      <c r="AR956" s="153" t="n">
        <f aca="false">IFERROR(IF(AND($N956="VCA",$AJ956&gt;0),($M956*$AG956*$AJ956)-$AI956,0),0)</f>
        <v>52.8996018654488</v>
      </c>
      <c r="AS956" s="153" t="n">
        <f aca="false">IFERROR(IF(AND($N956="VCA",$AP956&gt;0),$AP956-$AI956-$AQ956-$AR956,0),0)</f>
        <v>132.912</v>
      </c>
      <c r="AT956" s="153" t="n">
        <f aca="false">IFERROR(IF($N956="VCA",INDEX(APOIO_REDES!$A:$W,MATCH($C956&amp;$I956&amp;$H956&amp;$N956&amp;$O956,APOIO_REDES!$W:$W,0),MATCH(AT$5,APOIO_REDES!$5:$5,0)),0)*$AP956,0)</f>
        <v>2.19007127735948</v>
      </c>
      <c r="AU956" s="153" t="n">
        <f aca="false">IFERROR(IF($N956="VCA",INDEX(APOIO_REDES!$A:$W,MATCH($C956&amp;$I956&amp;$H956&amp;$N956&amp;$O956,APOIO_REDES!$W:$W,0),MATCH(AU$5,APOIO_REDES!$5:$5,0)),0)*$AP956,0)</f>
        <v>1.74893160744678</v>
      </c>
      <c r="AV956" s="153" t="n">
        <f aca="false">IFERROR(IF($N956="VCA",INDEX(APOIO_REDES!$A:$W,MATCH($C956&amp;$I956&amp;$H956&amp;$N956&amp;$O956,APOIO_REDES!$W:$W,0),MATCH(AV$5,APOIO_REDES!$5:$5,0)),0)*$AP956,0)</f>
        <v>0.242038404819202</v>
      </c>
      <c r="AW956" s="153" t="n">
        <f aca="false">IFERROR(IF($N956="VCA",INDEX(APOIO_REDES!$A:$W,MATCH($C956&amp;$I956&amp;$H956&amp;$N956&amp;$O956,APOIO_REDES!$W:$W,0),MATCH(AW$5,APOIO_REDES!$5:$5,0)),0)*$AP956,0)</f>
        <v>138.165533030292</v>
      </c>
      <c r="AX956" s="153" t="n">
        <f aca="false">IFERROR(IF($N956="VCA",INDEX(APOIO_REDES!$A:$W,MATCH($C956&amp;$I956&amp;$H956&amp;$N956&amp;$O956,APOIO_REDES!$W:$W,0),MATCH(AX$5,APOIO_REDES!$5:$5,0)),0)*$AP956,0)</f>
        <v>19.1217161994216</v>
      </c>
      <c r="AY956" s="153" t="n">
        <f aca="false">IFERROR(IF($N956="VCA",INDEX(APOIO_REDES!$A:$W,MATCH($C956&amp;$I956&amp;$H956&amp;$N956&amp;$O956,APOIO_REDES!$W:$W,0),MATCH(AY$5,APOIO_REDES!$5:$5,0)),0)*$AP956,0)</f>
        <v>34.978610829601</v>
      </c>
      <c r="AZ956" s="153" t="n">
        <f aca="false">IFERROR(IF($N956="VCA",INDEX(APOIO_REDES!$A:$W,MATCH($C956&amp;$I956&amp;$H956&amp;$N956&amp;$O956,APOIO_REDES!$W:$W,0),MATCH(AZ$5,APOIO_REDES!$5:$5,0)),0)*$AP956,0)</f>
        <v>4.84093865106021</v>
      </c>
      <c r="BA956" s="153" t="n">
        <f aca="false">IFERROR(IF(AND($N956="VCA",$Q956="LINEAR"),INDEX(APOIO_REDES!$A:$W,MATCH($C956&amp;$I956&amp;$H956&amp;$N956&amp;$O956,APOIO_REDES!$W:$W,0),MATCH(BA$5,APOIO_REDES!$5:$5,0)),IF(AND($N956="MND",$Q956="EMBOQUE"),INDEX(APOIO_REDES!$A:$W,MATCH($C956&amp;$I956&amp;$H956&amp;$N956&amp;$O956,APOIO_REDES!$W:$W,0),MATCH(BA$5,APOIO_REDES!$5:$5,0)),0))*$M956/10,0)</f>
        <v>18.3117469061261</v>
      </c>
      <c r="BB956" s="153" t="n">
        <f aca="false">IFERROR(IF($N956="VCA",INDEX(APOIO_REDES!$A:$W,MATCH($C956&amp;$I956&amp;$H956&amp;$N956&amp;$O956,APOIO_REDES!$W:$W,0),MATCH(BB$5,APOIO_REDES!$5:$5,0)),0)*($AI956+$AQ956+$AR956),0)</f>
        <v>67.6318906225844</v>
      </c>
      <c r="BC956" s="153" t="n">
        <f aca="false">IFERROR(IF($N956="VCA",INDEX(APOIO_REDES!$A:$W,MATCH($C956&amp;$I956&amp;$H956&amp;$N956&amp;$O956,APOIO_REDES!$W:$W,0),MATCH(BC$5,APOIO_REDES!$5:$5,0)),0)*($AI956+$AQ956+$AR956),0)</f>
        <v>0.743949377415583</v>
      </c>
      <c r="BD956" s="153" t="n">
        <f aca="false">IF(AND($N956="VCA",$AF956&gt;=1.25,$AF956&lt;1.5),$M956*$AF956*2,0)</f>
        <v>619.3472</v>
      </c>
      <c r="BE956" s="153" t="n">
        <f aca="false">IF(AND($N956="VCA",$AF956&gt;=1.5,$AF956&lt;3),$M956*$AF956*2,0)</f>
        <v>0</v>
      </c>
      <c r="BF956" s="153" t="n">
        <f aca="false">IF(AND($N956="VCA",$AF956&gt;=3),$M956*$AF956*2,0)</f>
        <v>0</v>
      </c>
      <c r="BG956" s="153" t="n">
        <f aca="false">($BB956+$BC956)*$AK956</f>
        <v>294.016112</v>
      </c>
      <c r="BH956" s="153" t="n">
        <f aca="false">IF(AND($M956&lt;&gt;"",$N956="VCA",$Q956="LINEAR"),($M956*2)/100,IF(AND($M956&lt;&gt;"",$N956="MND",$Q956="EMBOQUE"),($AN956*2)/100,0))</f>
        <v>4.544</v>
      </c>
      <c r="BI956" s="153" t="n">
        <f aca="false">IF(AND($M956&lt;&gt;"",$N956="VCA",$Q956="LINEAR"),$M956,IF(AND($M956&lt;&gt;"",$N956="MND",$Q956="EMBOQUE"),$AN956*2,0))</f>
        <v>227.2</v>
      </c>
      <c r="BJ956" s="153" t="n">
        <f aca="false">IF(AND($M956&lt;&gt;"",$N956="VCA",$Q956="LINEAR"),($M956*6.8)/100,IF(AND($M956&lt;&gt;"",$N956="MND",$Q956="EMBOQUE"),($AN956*2*6.8)/100,0))</f>
        <v>15.4496</v>
      </c>
      <c r="BK956" s="153" t="n">
        <f aca="false">IF(AND($M956&lt;&gt;"",$N956="VCA",$Q956="LINEAR"),($M956*2.5)/50,IF(AND($M956&lt;&gt;"",$N956="MND",$Q956="EMBOQUE"),($AN956*2*2.5)/50,0))</f>
        <v>11.36</v>
      </c>
      <c r="BL956" s="157" t="str">
        <f aca="false">K956&amp;J956</f>
        <v>Zona09REDES</v>
      </c>
      <c r="BM956" s="152" t="s">
        <v>5109</v>
      </c>
      <c r="BN956" s="152" t="s">
        <v>1560</v>
      </c>
      <c r="BO956" s="152" t="s">
        <v>5062</v>
      </c>
      <c r="BP956" s="152" t="s">
        <v>5178</v>
      </c>
      <c r="BQ956" s="152" t="s">
        <v>5170</v>
      </c>
      <c r="BR956" s="152" t="s">
        <v>5179</v>
      </c>
      <c r="BS956" s="152" t="n">
        <v>202868.054</v>
      </c>
      <c r="BT956" s="152" t="n">
        <v>8236801.812</v>
      </c>
      <c r="BU956" s="152" t="n">
        <v>203034.331</v>
      </c>
      <c r="BV956" s="152" t="n">
        <v>8236954.241</v>
      </c>
      <c r="BW956" s="152" t="n">
        <v>-15.9296427</v>
      </c>
      <c r="BX956" s="152" t="n">
        <v>-47.7744356</v>
      </c>
      <c r="BY956" s="152" t="s">
        <v>5178</v>
      </c>
    </row>
    <row r="957" customFormat="false" ht="13.8" hidden="false" customHeight="false" outlineLevel="0" collapsed="false">
      <c r="A957" s="149" t="n">
        <f aca="false">IF(C957&lt;&gt;"",ROW(A952),"")</f>
        <v>952</v>
      </c>
      <c r="B957" s="150" t="str">
        <f aca="false">HYPERLINK("https://www.google.com/maps/dir/-15.917302,-47.760003/-15.9297958,-47.7753622/data=!4m3!4m2!3e0!5i2")</f>
        <v>https://www.google.com/maps/dir/-15.917302,-47.760003/-15.9297958,-47.7753622/data=!4m3!4m2!3e0!5i2</v>
      </c>
      <c r="C957" s="151" t="s">
        <v>117</v>
      </c>
      <c r="D957" s="152" t="s">
        <v>112</v>
      </c>
      <c r="E957" s="152" t="s">
        <v>113</v>
      </c>
      <c r="F957" s="152" t="s">
        <v>117</v>
      </c>
      <c r="G957" s="152" t="s">
        <v>782</v>
      </c>
      <c r="H957" s="152" t="n">
        <v>63</v>
      </c>
      <c r="I957" s="152" t="s">
        <v>115</v>
      </c>
      <c r="J957" s="152" t="s">
        <v>6</v>
      </c>
      <c r="K957" s="152" t="s">
        <v>5106</v>
      </c>
      <c r="L957" s="152" t="s">
        <v>120</v>
      </c>
      <c r="M957" s="153" t="n">
        <f aca="false">6.22</f>
        <v>6.22</v>
      </c>
      <c r="N957" s="152" t="s">
        <v>1548</v>
      </c>
      <c r="O957" s="152" t="s">
        <v>1549</v>
      </c>
      <c r="P957" s="152" t="s">
        <v>1550</v>
      </c>
      <c r="Q957" s="152" t="s">
        <v>1551</v>
      </c>
      <c r="R957" s="154" t="s">
        <v>5180</v>
      </c>
      <c r="S957" s="154" t="s">
        <v>1553</v>
      </c>
      <c r="T957" s="155" t="s">
        <v>5060</v>
      </c>
      <c r="U957" s="152" t="str">
        <f aca="false">RIGHT(T957,7)</f>
        <v>014/037</v>
      </c>
      <c r="V957" s="152" t="s">
        <v>1555</v>
      </c>
      <c r="W957" s="156" t="n">
        <v>45882</v>
      </c>
      <c r="X957" s="152" t="s">
        <v>1594</v>
      </c>
      <c r="Y957" s="152" t="s">
        <v>5181</v>
      </c>
      <c r="Z957" s="152" t="s">
        <v>1557</v>
      </c>
      <c r="AA957" s="153" t="n">
        <v>4.3</v>
      </c>
      <c r="AB957" s="151" t="s">
        <v>5182</v>
      </c>
      <c r="AC957" s="151" t="s">
        <v>186</v>
      </c>
      <c r="AD957" s="151" t="str">
        <f aca="false">CONCATENATE($C957,$I957,$H957,$N957,$J957,$K957)</f>
        <v>TUBO PEADPEAD63VCAREDESZona09</v>
      </c>
      <c r="AE957" s="153" t="n">
        <f aca="false">IFERROR(INDEX(APOIO_REDES!$A:$W,MATCH($C957&amp;$I957&amp;$H957&amp;$N957&amp;$O957,APOIO_REDES!$W:$W,0),MATCH(AE$5,APOIO_REDES!$5:$5,0)),0)</f>
        <v>1.2</v>
      </c>
      <c r="AF957" s="153" t="n">
        <f aca="false">IFERROR(INDEX(APOIO_REDES!$A:$W,MATCH($C957&amp;$I957&amp;$H957&amp;$N957&amp;$O957,APOIO_REDES!$W:$W,0),MATCH(AF$5,APOIO_REDES!$5:$5,0)),0)</f>
        <v>1.363</v>
      </c>
      <c r="AG957" s="153" t="n">
        <f aca="false">IFERROR(INDEX(APOIO_REDES!$A:$W,MATCH($C957&amp;$I957&amp;$H957&amp;$N957&amp;$O957,APOIO_REDES!$W:$W,0),MATCH(AG$5,APOIO_REDES!$5:$5,0)),0)</f>
        <v>0.65</v>
      </c>
      <c r="AH957" s="153" t="n">
        <f aca="false">IFERROR(INDEX(APOIO_REDES!$A:$W,MATCH($C957&amp;$I957&amp;$H957&amp;$N957&amp;$O957,APOIO_REDES!$W:$W,0),MATCH(AH$5,APOIO_REDES!$5:$5,0)),0)</f>
        <v>0.1</v>
      </c>
      <c r="AI957" s="153" t="n">
        <f aca="false">IFERROR(IF($H957&lt;&gt;"",(((($H957/1000)/2)^2)*PI()*$M957),0),0)</f>
        <v>0.0193892658314622</v>
      </c>
      <c r="AJ957" s="153" t="n">
        <f aca="false">IFERROR(IF(AND($H957&lt;&gt;"",$I957="FoFo",OR($N957="MND",$N957="VCA"),$Q957="LINEAR"),0,IF(AND($H957&lt;&gt;"",$I957="PEAD",$N957="VCA",$Q957="LINEAR"),($H957/1000)+0.3,IF(AND($H957&lt;&gt;"",$I957="PEAD",$N957="MND",$Q957="EMBOQUE"),0,IF(AND($H957&lt;&gt;"",$I957="PVC",$N957="VCA",$Q957="LINEAR"),($H957/1000)+0.2,IF(AND($H957&lt;&gt;"",$I957="PVC",$N957="MND",$Q957="EMBOQUE"),0,IF(AND($H957&lt;&gt;"",$I957="PEAD",$N957="VCA",$Q957="PREDIAL"),0,0)))))),0)</f>
        <v>0.363</v>
      </c>
      <c r="AK957" s="153" t="n">
        <f aca="false">IF(AA957&lt;&gt;"",AA957,0)</f>
        <v>4.3</v>
      </c>
      <c r="AL957" s="153" t="n">
        <f aca="false">IF(AND($N957="MND",$Q957="EMBOQUE"),$M957,IF(AND($N957="VCA",$Q957="LINEAR"),$M957,IF(AND($N957="VCA",$Q957="PREDIAL"),0,0)))</f>
        <v>6.22</v>
      </c>
      <c r="AM957" s="153" t="n">
        <f aca="false">IF(AND($N957="MND",$Q957="EMBOQUE"),$M957,IF(AND($N957="VCA",$Q957="LINEAR"),$M957,IF(AND($N957="VCA",$Q957="PREDIAL"),0,0)))</f>
        <v>6.22</v>
      </c>
      <c r="AN957" s="153" t="n">
        <f aca="false">ROUND(IF(AND($N957="VCA",$M957&lt;&gt;"",$Q957="LINEAR"),$M957/100,IF(AND($N957="MND",$M957&gt;100,$Q957="EMBOQUE"),$M957/100,0)),0)</f>
        <v>0</v>
      </c>
      <c r="AO957" s="153" t="n">
        <f aca="false">IF(AND($N957="MND",$Q957="EMBOQUE"),$AN957*2*2,IF(AND($N957="VCA",$Q957="LINEAR"),$M957*2,IF(AND($N957="VCA",$Q957="PREDIAL"),0,0)))</f>
        <v>12.44</v>
      </c>
      <c r="AP957" s="153" t="n">
        <f aca="false">IFERROR($M957*$AF957*$AG957,0)</f>
        <v>5.510609</v>
      </c>
      <c r="AQ957" s="153" t="n">
        <f aca="false">IFERROR(IF(AND($N957="VCA",$AH957&gt;0),$M957*$AG957*$AH957,0),0)</f>
        <v>0.4043</v>
      </c>
      <c r="AR957" s="153" t="n">
        <f aca="false">IFERROR(IF(AND($N957="VCA",$AJ957&gt;0),($M957*$AG957*$AJ957)-$AI957,0),0)</f>
        <v>1.44821973416854</v>
      </c>
      <c r="AS957" s="153" t="n">
        <f aca="false">IFERROR(IF(AND($N957="VCA",$AP957&gt;0),$AP957-$AI957-$AQ957-$AR957,0),0)</f>
        <v>3.6387</v>
      </c>
      <c r="AT957" s="153" t="n">
        <f aca="false">IFERROR(IF($N957="VCA",INDEX(APOIO_REDES!$A:$W,MATCH($C957&amp;$I957&amp;$H957&amp;$N957&amp;$O957,APOIO_REDES!$W:$W,0),MATCH(AT$5,APOIO_REDES!$5:$5,0)),0)*$AP957,0)</f>
        <v>0.0599570569770069</v>
      </c>
      <c r="AU957" s="153" t="n">
        <f aca="false">IFERROR(IF($N957="VCA",INDEX(APOIO_REDES!$A:$W,MATCH($C957&amp;$I957&amp;$H957&amp;$N957&amp;$O957,APOIO_REDES!$W:$W,0),MATCH(AU$5,APOIO_REDES!$5:$5,0)),0)*$AP957,0)</f>
        <v>0.0478800818587982</v>
      </c>
      <c r="AV957" s="153" t="n">
        <f aca="false">IFERROR(IF($N957="VCA",INDEX(APOIO_REDES!$A:$W,MATCH($C957&amp;$I957&amp;$H957&amp;$N957&amp;$O957,APOIO_REDES!$W:$W,0),MATCH(AV$5,APOIO_REDES!$5:$5,0)),0)*$AP957,0)</f>
        <v>0.0066262274558778</v>
      </c>
      <c r="AW957" s="153" t="n">
        <f aca="false">IFERROR(IF($N957="VCA",INDEX(APOIO_REDES!$A:$W,MATCH($C957&amp;$I957&amp;$H957&amp;$N957&amp;$O957,APOIO_REDES!$W:$W,0),MATCH(AW$5,APOIO_REDES!$5:$5,0)),0)*$AP957,0)</f>
        <v>3.78252471588211</v>
      </c>
      <c r="AX957" s="153" t="n">
        <f aca="false">IFERROR(IF($N957="VCA",INDEX(APOIO_REDES!$A:$W,MATCH($C957&amp;$I957&amp;$H957&amp;$N957&amp;$O957,APOIO_REDES!$W:$W,0),MATCH(AX$5,APOIO_REDES!$5:$5,0)),0)*$AP957,0)</f>
        <v>0.523490645952476</v>
      </c>
      <c r="AY957" s="153" t="n">
        <f aca="false">IFERROR(IF($N957="VCA",INDEX(APOIO_REDES!$A:$W,MATCH($C957&amp;$I957&amp;$H957&amp;$N957&amp;$O957,APOIO_REDES!$W:$W,0),MATCH(AY$5,APOIO_REDES!$5:$5,0)),0)*$AP957,0)</f>
        <v>0.957601053521647</v>
      </c>
      <c r="AZ957" s="153" t="n">
        <f aca="false">IFERROR(IF($N957="VCA",INDEX(APOIO_REDES!$A:$W,MATCH($C957&amp;$I957&amp;$H957&amp;$N957&amp;$O957,APOIO_REDES!$W:$W,0),MATCH(AZ$5,APOIO_REDES!$5:$5,0)),0)*$AP957,0)</f>
        <v>0.132529218352089</v>
      </c>
      <c r="BA957" s="153" t="n">
        <f aca="false">IFERROR(IF(AND($N957="VCA",$Q957="LINEAR"),INDEX(APOIO_REDES!$A:$W,MATCH($C957&amp;$I957&amp;$H957&amp;$N957&amp;$O957,APOIO_REDES!$W:$W,0),MATCH(BA$5,APOIO_REDES!$5:$5,0)),IF(AND($N957="MND",$Q957="EMBOQUE"),INDEX(APOIO_REDES!$A:$W,MATCH($C957&amp;$I957&amp;$H957&amp;$N957&amp;$O957,APOIO_REDES!$W:$W,0),MATCH(BA$5,APOIO_REDES!$5:$5,0)),0))*$M957/10,0)</f>
        <v>0.501316310546233</v>
      </c>
      <c r="BB957" s="153" t="n">
        <f aca="false">IFERROR(IF($N957="VCA",INDEX(APOIO_REDES!$A:$W,MATCH($C957&amp;$I957&amp;$H957&amp;$N957&amp;$O957,APOIO_REDES!$W:$W,0),MATCH(BB$5,APOIO_REDES!$5:$5,0)),0)*($AI957+$AQ957+$AR957),0)</f>
        <v>1.85154207602322</v>
      </c>
      <c r="BC957" s="153" t="n">
        <f aca="false">IFERROR(IF($N957="VCA",INDEX(APOIO_REDES!$A:$W,MATCH($C957&amp;$I957&amp;$H957&amp;$N957&amp;$O957,APOIO_REDES!$W:$W,0),MATCH(BC$5,APOIO_REDES!$5:$5,0)),0)*($AI957+$AQ957+$AR957),0)</f>
        <v>0.0203669239767822</v>
      </c>
      <c r="BD957" s="153" t="n">
        <f aca="false">IF(AND($N957="VCA",$AF957&gt;=1.25,$AF957&lt;1.5),$M957*$AF957*2,0)</f>
        <v>16.95572</v>
      </c>
      <c r="BE957" s="153" t="n">
        <f aca="false">IF(AND($N957="VCA",$AF957&gt;=1.5,$AF957&lt;3),$M957*$AF957*2,0)</f>
        <v>0</v>
      </c>
      <c r="BF957" s="153" t="n">
        <f aca="false">IF(AND($N957="VCA",$AF957&gt;=3),$M957*$AF957*2,0)</f>
        <v>0</v>
      </c>
      <c r="BG957" s="153" t="n">
        <f aca="false">($BB957+$BC957)*$AK957</f>
        <v>8.0492087</v>
      </c>
      <c r="BH957" s="153" t="n">
        <f aca="false">IF(AND($M957&lt;&gt;"",$N957="VCA",$Q957="LINEAR"),($M957*2)/100,IF(AND($M957&lt;&gt;"",$N957="MND",$Q957="EMBOQUE"),($AN957*2)/100,0))</f>
        <v>0.1244</v>
      </c>
      <c r="BI957" s="153" t="n">
        <f aca="false">IF(AND($M957&lt;&gt;"",$N957="VCA",$Q957="LINEAR"),$M957,IF(AND($M957&lt;&gt;"",$N957="MND",$Q957="EMBOQUE"),$AN957*2,0))</f>
        <v>6.22</v>
      </c>
      <c r="BJ957" s="153" t="n">
        <f aca="false">IF(AND($M957&lt;&gt;"",$N957="VCA",$Q957="LINEAR"),($M957*6.8)/100,IF(AND($M957&lt;&gt;"",$N957="MND",$Q957="EMBOQUE"),($AN957*2*6.8)/100,0))</f>
        <v>0.42296</v>
      </c>
      <c r="BK957" s="153" t="n">
        <f aca="false">IF(AND($M957&lt;&gt;"",$N957="VCA",$Q957="LINEAR"),($M957*2.5)/50,IF(AND($M957&lt;&gt;"",$N957="MND",$Q957="EMBOQUE"),($AN957*2*2.5)/50,0))</f>
        <v>0.311</v>
      </c>
      <c r="BL957" s="157" t="str">
        <f aca="false">K957&amp;J957</f>
        <v>Zona09REDES</v>
      </c>
      <c r="BM957" s="152" t="s">
        <v>5109</v>
      </c>
      <c r="BN957" s="152" t="s">
        <v>1560</v>
      </c>
      <c r="BO957" s="152" t="s">
        <v>5062</v>
      </c>
      <c r="BP957" s="152" t="s">
        <v>5174</v>
      </c>
      <c r="BQ957" s="152" t="s">
        <v>5183</v>
      </c>
      <c r="BR957" s="152" t="s">
        <v>5184</v>
      </c>
      <c r="BS957" s="152" t="n">
        <v>202856.8</v>
      </c>
      <c r="BT957" s="152" t="n">
        <v>8236853.879</v>
      </c>
      <c r="BU957" s="152" t="n">
        <v>202858.051</v>
      </c>
      <c r="BV957" s="152" t="n">
        <v>8236847.79</v>
      </c>
      <c r="BW957" s="152" t="n">
        <v>-15.9298234</v>
      </c>
      <c r="BX957" s="152" t="n">
        <v>-47.7753568</v>
      </c>
      <c r="BY957" s="152" t="s">
        <v>5174</v>
      </c>
    </row>
    <row r="958" customFormat="false" ht="13.8" hidden="false" customHeight="false" outlineLevel="0" collapsed="false">
      <c r="A958" s="149" t="n">
        <f aca="false">IF(C958&lt;&gt;"",ROW(A953),"")</f>
        <v>953</v>
      </c>
      <c r="B958" s="150" t="str">
        <f aca="false">HYPERLINK("https://www.google.com/maps/dir/-15.917302,-47.760003/-15.9298509,-47.7753513/data=!4m3!4m2!3e0!5i2")</f>
        <v>https://www.google.com/maps/dir/-15.917302,-47.760003/-15.9298509,-47.7753513/data=!4m3!4m2!3e0!5i2</v>
      </c>
      <c r="C958" s="151" t="s">
        <v>117</v>
      </c>
      <c r="D958" s="152" t="s">
        <v>112</v>
      </c>
      <c r="E958" s="152" t="s">
        <v>113</v>
      </c>
      <c r="F958" s="152" t="s">
        <v>117</v>
      </c>
      <c r="G958" s="152" t="s">
        <v>782</v>
      </c>
      <c r="H958" s="152" t="n">
        <v>63</v>
      </c>
      <c r="I958" s="152" t="s">
        <v>115</v>
      </c>
      <c r="J958" s="152" t="s">
        <v>6</v>
      </c>
      <c r="K958" s="152" t="s">
        <v>5106</v>
      </c>
      <c r="L958" s="152" t="s">
        <v>120</v>
      </c>
      <c r="M958" s="153" t="n">
        <f aca="false">47.07</f>
        <v>47.07</v>
      </c>
      <c r="N958" s="152" t="s">
        <v>1548</v>
      </c>
      <c r="O958" s="152" t="s">
        <v>1549</v>
      </c>
      <c r="P958" s="152" t="s">
        <v>1550</v>
      </c>
      <c r="Q958" s="152" t="s">
        <v>1551</v>
      </c>
      <c r="R958" s="154" t="s">
        <v>5185</v>
      </c>
      <c r="S958" s="154" t="s">
        <v>1553</v>
      </c>
      <c r="T958" s="155" t="s">
        <v>5060</v>
      </c>
      <c r="U958" s="152" t="str">
        <f aca="false">RIGHT(T958,7)</f>
        <v>014/037</v>
      </c>
      <c r="V958" s="152" t="s">
        <v>1555</v>
      </c>
      <c r="W958" s="156" t="n">
        <v>45882</v>
      </c>
      <c r="X958" s="152" t="s">
        <v>1594</v>
      </c>
      <c r="Y958" s="152" t="s">
        <v>5181</v>
      </c>
      <c r="Z958" s="152" t="s">
        <v>1557</v>
      </c>
      <c r="AA958" s="153" t="n">
        <v>4.3</v>
      </c>
      <c r="AB958" s="151" t="s">
        <v>5186</v>
      </c>
      <c r="AC958" s="151" t="s">
        <v>186</v>
      </c>
      <c r="AD958" s="151" t="str">
        <f aca="false">CONCATENATE($C958,$I958,$H958,$N958,$J958,$K958)</f>
        <v>TUBO PEADPEAD63VCAREDESZona09</v>
      </c>
      <c r="AE958" s="153" t="n">
        <f aca="false">IFERROR(INDEX(APOIO_REDES!$A:$W,MATCH($C958&amp;$I958&amp;$H958&amp;$N958&amp;$O958,APOIO_REDES!$W:$W,0),MATCH(AE$5,APOIO_REDES!$5:$5,0)),0)</f>
        <v>1.2</v>
      </c>
      <c r="AF958" s="153" t="n">
        <f aca="false">IFERROR(INDEX(APOIO_REDES!$A:$W,MATCH($C958&amp;$I958&amp;$H958&amp;$N958&amp;$O958,APOIO_REDES!$W:$W,0),MATCH(AF$5,APOIO_REDES!$5:$5,0)),0)</f>
        <v>1.363</v>
      </c>
      <c r="AG958" s="153" t="n">
        <f aca="false">IFERROR(INDEX(APOIO_REDES!$A:$W,MATCH($C958&amp;$I958&amp;$H958&amp;$N958&amp;$O958,APOIO_REDES!$W:$W,0),MATCH(AG$5,APOIO_REDES!$5:$5,0)),0)</f>
        <v>0.65</v>
      </c>
      <c r="AH958" s="153" t="n">
        <f aca="false">IFERROR(INDEX(APOIO_REDES!$A:$W,MATCH($C958&amp;$I958&amp;$H958&amp;$N958&amp;$O958,APOIO_REDES!$W:$W,0),MATCH(AH$5,APOIO_REDES!$5:$5,0)),0)</f>
        <v>0.1</v>
      </c>
      <c r="AI958" s="153" t="n">
        <f aca="false">IFERROR(IF($H958&lt;&gt;"",(((($H958/1000)/2)^2)*PI()*$M958),0),0)</f>
        <v>0.146728736766387</v>
      </c>
      <c r="AJ958" s="153" t="n">
        <f aca="false">IFERROR(IF(AND($H958&lt;&gt;"",$I958="FoFo",OR($N958="MND",$N958="VCA"),$Q958="LINEAR"),0,IF(AND($H958&lt;&gt;"",$I958="PEAD",$N958="VCA",$Q958="LINEAR"),($H958/1000)+0.3,IF(AND($H958&lt;&gt;"",$I958="PEAD",$N958="MND",$Q958="EMBOQUE"),0,IF(AND($H958&lt;&gt;"",$I958="PVC",$N958="VCA",$Q958="LINEAR"),($H958/1000)+0.2,IF(AND($H958&lt;&gt;"",$I958="PVC",$N958="MND",$Q958="EMBOQUE"),0,IF(AND($H958&lt;&gt;"",$I958="PEAD",$N958="VCA",$Q958="PREDIAL"),0,0)))))),0)</f>
        <v>0.363</v>
      </c>
      <c r="AK958" s="153" t="n">
        <f aca="false">IF(AA958&lt;&gt;"",AA958,0)</f>
        <v>4.3</v>
      </c>
      <c r="AL958" s="153" t="n">
        <f aca="false">IF(AND($N958="MND",$Q958="EMBOQUE"),$M958,IF(AND($N958="VCA",$Q958="LINEAR"),$M958,IF(AND($N958="VCA",$Q958="PREDIAL"),0,0)))</f>
        <v>47.07</v>
      </c>
      <c r="AM958" s="153" t="n">
        <f aca="false">IF(AND($N958="MND",$Q958="EMBOQUE"),$M958,IF(AND($N958="VCA",$Q958="LINEAR"),$M958,IF(AND($N958="VCA",$Q958="PREDIAL"),0,0)))</f>
        <v>47.07</v>
      </c>
      <c r="AN958" s="153" t="n">
        <f aca="false">ROUND(IF(AND($N958="VCA",$M958&lt;&gt;"",$Q958="LINEAR"),$M958/100,IF(AND($N958="MND",$M958&gt;100,$Q958="EMBOQUE"),$M958/100,0)),0)</f>
        <v>0</v>
      </c>
      <c r="AO958" s="153" t="n">
        <f aca="false">IF(AND($N958="MND",$Q958="EMBOQUE"),$AN958*2*2,IF(AND($N958="VCA",$Q958="LINEAR"),$M958*2,IF(AND($N958="VCA",$Q958="PREDIAL"),0,0)))</f>
        <v>94.14</v>
      </c>
      <c r="AP958" s="153" t="n">
        <f aca="false">IFERROR($M958*$AF958*$AG958,0)</f>
        <v>41.7016665</v>
      </c>
      <c r="AQ958" s="153" t="n">
        <f aca="false">IFERROR(IF(AND($N958="VCA",$AH958&gt;0),$M958*$AG958*$AH958,0),0)</f>
        <v>3.05955</v>
      </c>
      <c r="AR958" s="153" t="n">
        <f aca="false">IFERROR(IF(AND($N958="VCA",$AJ958&gt;0),($M958*$AG958*$AJ958)-$AI958,0),0)</f>
        <v>10.9594377632336</v>
      </c>
      <c r="AS958" s="153" t="n">
        <f aca="false">IFERROR(IF(AND($N958="VCA",$AP958&gt;0),$AP958-$AI958-$AQ958-$AR958,0),0)</f>
        <v>27.53595</v>
      </c>
      <c r="AT958" s="153" t="n">
        <f aca="false">IFERROR(IF($N958="VCA",INDEX(APOIO_REDES!$A:$W,MATCH($C958&amp;$I958&amp;$H958&amp;$N958&amp;$O958,APOIO_REDES!$W:$W,0),MATCH(AT$5,APOIO_REDES!$5:$5,0)),0)*$AP958,0)</f>
        <v>0.453726474583234</v>
      </c>
      <c r="AU958" s="153" t="n">
        <f aca="false">IFERROR(IF($N958="VCA",INDEX(APOIO_REDES!$A:$W,MATCH($C958&amp;$I958&amp;$H958&amp;$N958&amp;$O958,APOIO_REDES!$W:$W,0),MATCH(AU$5,APOIO_REDES!$5:$5,0)),0)*$AP958,0)</f>
        <v>0.362333674130809</v>
      </c>
      <c r="AV958" s="153" t="n">
        <f aca="false">IFERROR(IF($N958="VCA",INDEX(APOIO_REDES!$A:$W,MATCH($C958&amp;$I958&amp;$H958&amp;$N958&amp;$O958,APOIO_REDES!$W:$W,0),MATCH(AV$5,APOIO_REDES!$5:$5,0)),0)*$AP958,0)</f>
        <v>0.0501441360688373</v>
      </c>
      <c r="AW958" s="153" t="n">
        <f aca="false">IFERROR(IF($N958="VCA",INDEX(APOIO_REDES!$A:$W,MATCH($C958&amp;$I958&amp;$H958&amp;$N958&amp;$O958,APOIO_REDES!$W:$W,0),MATCH(AW$5,APOIO_REDES!$5:$5,0)),0)*$AP958,0)</f>
        <v>28.6243470058795</v>
      </c>
      <c r="AX958" s="153" t="n">
        <f aca="false">IFERROR(IF($N958="VCA",INDEX(APOIO_REDES!$A:$W,MATCH($C958&amp;$I958&amp;$H958&amp;$N958&amp;$O958,APOIO_REDES!$W:$W,0),MATCH(AX$5,APOIO_REDES!$5:$5,0)),0)*$AP958,0)</f>
        <v>3.96152808761785</v>
      </c>
      <c r="AY958" s="153" t="n">
        <f aca="false">IFERROR(IF($N958="VCA",INDEX(APOIO_REDES!$A:$W,MATCH($C958&amp;$I958&amp;$H958&amp;$N958&amp;$O958,APOIO_REDES!$W:$W,0),MATCH(AY$5,APOIO_REDES!$5:$5,0)),0)*$AP958,0)</f>
        <v>7.24666906579806</v>
      </c>
      <c r="AZ958" s="153" t="n">
        <f aca="false">IFERROR(IF($N958="VCA",INDEX(APOIO_REDES!$A:$W,MATCH($C958&amp;$I958&amp;$H958&amp;$N958&amp;$O958,APOIO_REDES!$W:$W,0),MATCH(AZ$5,APOIO_REDES!$5:$5,0)),0)*$AP958,0)</f>
        <v>1.00291805592167</v>
      </c>
      <c r="BA958" s="153" t="n">
        <f aca="false">IFERROR(IF(AND($N958="VCA",$Q958="LINEAR"),INDEX(APOIO_REDES!$A:$W,MATCH($C958&amp;$I958&amp;$H958&amp;$N958&amp;$O958,APOIO_REDES!$W:$W,0),MATCH(BA$5,APOIO_REDES!$5:$5,0)),IF(AND($N958="MND",$Q958="EMBOQUE"),INDEX(APOIO_REDES!$A:$W,MATCH($C958&amp;$I958&amp;$H958&amp;$N958&amp;$O958,APOIO_REDES!$W:$W,0),MATCH(BA$5,APOIO_REDES!$5:$5,0)),0))*$M958/10,0)</f>
        <v>3.79372326968026</v>
      </c>
      <c r="BB958" s="153" t="n">
        <f aca="false">IFERROR(IF($N958="VCA",INDEX(APOIO_REDES!$A:$W,MATCH($C958&amp;$I958&amp;$H958&amp;$N958&amp;$O958,APOIO_REDES!$W:$W,0),MATCH(BB$5,APOIO_REDES!$5:$5,0)),0)*($AI958+$AQ958+$AR958),0)</f>
        <v>14.0115893116419</v>
      </c>
      <c r="BC958" s="153" t="n">
        <f aca="false">IFERROR(IF($N958="VCA",INDEX(APOIO_REDES!$A:$W,MATCH($C958&amp;$I958&amp;$H958&amp;$N958&amp;$O958,APOIO_REDES!$W:$W,0),MATCH(BC$5,APOIO_REDES!$5:$5,0)),0)*($AI958+$AQ958+$AR958),0)</f>
        <v>0.154127188358061</v>
      </c>
      <c r="BD958" s="153" t="n">
        <f aca="false">IF(AND($N958="VCA",$AF958&gt;=1.25,$AF958&lt;1.5),$M958*$AF958*2,0)</f>
        <v>128.31282</v>
      </c>
      <c r="BE958" s="153" t="n">
        <f aca="false">IF(AND($N958="VCA",$AF958&gt;=1.5,$AF958&lt;3),$M958*$AF958*2,0)</f>
        <v>0</v>
      </c>
      <c r="BF958" s="153" t="n">
        <f aca="false">IF(AND($N958="VCA",$AF958&gt;=3),$M958*$AF958*2,0)</f>
        <v>0</v>
      </c>
      <c r="BG958" s="153" t="n">
        <f aca="false">($BB958+$BC958)*$AK958</f>
        <v>60.91258095</v>
      </c>
      <c r="BH958" s="153" t="n">
        <f aca="false">IF(AND($M958&lt;&gt;"",$N958="VCA",$Q958="LINEAR"),($M958*2)/100,IF(AND($M958&lt;&gt;"",$N958="MND",$Q958="EMBOQUE"),($AN958*2)/100,0))</f>
        <v>0.9414</v>
      </c>
      <c r="BI958" s="153" t="n">
        <f aca="false">IF(AND($M958&lt;&gt;"",$N958="VCA",$Q958="LINEAR"),$M958,IF(AND($M958&lt;&gt;"",$N958="MND",$Q958="EMBOQUE"),$AN958*2,0))</f>
        <v>47.07</v>
      </c>
      <c r="BJ958" s="153" t="n">
        <f aca="false">IF(AND($M958&lt;&gt;"",$N958="VCA",$Q958="LINEAR"),($M958*6.8)/100,IF(AND($M958&lt;&gt;"",$N958="MND",$Q958="EMBOQUE"),($AN958*2*6.8)/100,0))</f>
        <v>3.20076</v>
      </c>
      <c r="BK958" s="153" t="n">
        <f aca="false">IF(AND($M958&lt;&gt;"",$N958="VCA",$Q958="LINEAR"),($M958*2.5)/50,IF(AND($M958&lt;&gt;"",$N958="MND",$Q958="EMBOQUE"),($AN958*2*2.5)/50,0))</f>
        <v>2.3535</v>
      </c>
      <c r="BL958" s="157" t="str">
        <f aca="false">K958&amp;J958</f>
        <v>Zona09REDES</v>
      </c>
      <c r="BM958" s="152" t="s">
        <v>5109</v>
      </c>
      <c r="BN958" s="152" t="s">
        <v>1560</v>
      </c>
      <c r="BO958" s="152" t="s">
        <v>5062</v>
      </c>
      <c r="BP958" s="152" t="s">
        <v>5183</v>
      </c>
      <c r="BQ958" s="152" t="s">
        <v>5178</v>
      </c>
      <c r="BR958" s="152" t="s">
        <v>5187</v>
      </c>
      <c r="BS958" s="152" t="n">
        <v>202858.051</v>
      </c>
      <c r="BT958" s="152" t="n">
        <v>8236847.79</v>
      </c>
      <c r="BU958" s="152" t="n">
        <v>202868.054</v>
      </c>
      <c r="BV958" s="152" t="n">
        <v>8236801.812</v>
      </c>
      <c r="BW958" s="152" t="n">
        <v>-15.9300597</v>
      </c>
      <c r="BX958" s="152" t="n">
        <v>-47.7753102</v>
      </c>
      <c r="BY958" s="152" t="s">
        <v>5183</v>
      </c>
    </row>
    <row r="959" customFormat="false" ht="13.8" hidden="false" customHeight="false" outlineLevel="0" collapsed="false">
      <c r="A959" s="149" t="n">
        <f aca="false">IF(C959&lt;&gt;"",ROW(A954),"")</f>
        <v>954</v>
      </c>
      <c r="B959" s="150" t="str">
        <f aca="false">HYPERLINK("https://www.google.com/maps/dir/-15.917302,-47.760003/-15.9298509,-47.7753513/data=!4m3!4m2!3e0!5i2")</f>
        <v>https://www.google.com/maps/dir/-15.917302,-47.760003/-15.9298509,-47.7753513/data=!4m3!4m2!3e0!5i2</v>
      </c>
      <c r="C959" s="151" t="s">
        <v>117</v>
      </c>
      <c r="D959" s="152" t="s">
        <v>112</v>
      </c>
      <c r="E959" s="152" t="s">
        <v>113</v>
      </c>
      <c r="F959" s="152" t="s">
        <v>117</v>
      </c>
      <c r="G959" s="152" t="s">
        <v>782</v>
      </c>
      <c r="H959" s="152" t="n">
        <v>63</v>
      </c>
      <c r="I959" s="152" t="s">
        <v>115</v>
      </c>
      <c r="J959" s="152" t="s">
        <v>6</v>
      </c>
      <c r="K959" s="152" t="s">
        <v>5106</v>
      </c>
      <c r="L959" s="152" t="s">
        <v>120</v>
      </c>
      <c r="M959" s="153" t="n">
        <f aca="false">202.76</f>
        <v>202.76</v>
      </c>
      <c r="N959" s="152" t="s">
        <v>1548</v>
      </c>
      <c r="O959" s="152" t="s">
        <v>1549</v>
      </c>
      <c r="P959" s="152" t="s">
        <v>1550</v>
      </c>
      <c r="Q959" s="152" t="s">
        <v>1551</v>
      </c>
      <c r="R959" s="154" t="s">
        <v>5188</v>
      </c>
      <c r="S959" s="154" t="s">
        <v>1553</v>
      </c>
      <c r="T959" s="155" t="s">
        <v>5060</v>
      </c>
      <c r="U959" s="152" t="str">
        <f aca="false">RIGHT(T959,7)</f>
        <v>014/037</v>
      </c>
      <c r="V959" s="152" t="s">
        <v>1555</v>
      </c>
      <c r="W959" s="156" t="n">
        <v>45882</v>
      </c>
      <c r="X959" s="152" t="s">
        <v>1594</v>
      </c>
      <c r="Y959" s="152" t="s">
        <v>5181</v>
      </c>
      <c r="Z959" s="152" t="s">
        <v>1557</v>
      </c>
      <c r="AA959" s="153" t="n">
        <v>4.3</v>
      </c>
      <c r="AB959" s="151" t="s">
        <v>5189</v>
      </c>
      <c r="AC959" s="151" t="s">
        <v>186</v>
      </c>
      <c r="AD959" s="151" t="str">
        <f aca="false">CONCATENATE($C959,$I959,$H959,$N959,$J959,$K959)</f>
        <v>TUBO PEADPEAD63VCAREDESZona09</v>
      </c>
      <c r="AE959" s="153" t="n">
        <f aca="false">IFERROR(INDEX(APOIO_REDES!$A:$W,MATCH($C959&amp;$I959&amp;$H959&amp;$N959&amp;$O959,APOIO_REDES!$W:$W,0),MATCH(AE$5,APOIO_REDES!$5:$5,0)),0)</f>
        <v>1.2</v>
      </c>
      <c r="AF959" s="153" t="n">
        <f aca="false">IFERROR(INDEX(APOIO_REDES!$A:$W,MATCH($C959&amp;$I959&amp;$H959&amp;$N959&amp;$O959,APOIO_REDES!$W:$W,0),MATCH(AF$5,APOIO_REDES!$5:$5,0)),0)</f>
        <v>1.363</v>
      </c>
      <c r="AG959" s="153" t="n">
        <f aca="false">IFERROR(INDEX(APOIO_REDES!$A:$W,MATCH($C959&amp;$I959&amp;$H959&amp;$N959&amp;$O959,APOIO_REDES!$W:$W,0),MATCH(AG$5,APOIO_REDES!$5:$5,0)),0)</f>
        <v>0.65</v>
      </c>
      <c r="AH959" s="153" t="n">
        <f aca="false">IFERROR(INDEX(APOIO_REDES!$A:$W,MATCH($C959&amp;$I959&amp;$H959&amp;$N959&amp;$O959,APOIO_REDES!$W:$W,0),MATCH(AH$5,APOIO_REDES!$5:$5,0)),0)</f>
        <v>0.1</v>
      </c>
      <c r="AI959" s="153" t="n">
        <f aca="false">IFERROR(IF($H959&lt;&gt;"",(((($H959/1000)/2)^2)*PI()*$M959),0),0)</f>
        <v>0.632052659161942</v>
      </c>
      <c r="AJ959" s="153" t="n">
        <f aca="false">IFERROR(IF(AND($H959&lt;&gt;"",$I959="FoFo",OR($N959="MND",$N959="VCA"),$Q959="LINEAR"),0,IF(AND($H959&lt;&gt;"",$I959="PEAD",$N959="VCA",$Q959="LINEAR"),($H959/1000)+0.3,IF(AND($H959&lt;&gt;"",$I959="PEAD",$N959="MND",$Q959="EMBOQUE"),0,IF(AND($H959&lt;&gt;"",$I959="PVC",$N959="VCA",$Q959="LINEAR"),($H959/1000)+0.2,IF(AND($H959&lt;&gt;"",$I959="PVC",$N959="MND",$Q959="EMBOQUE"),0,IF(AND($H959&lt;&gt;"",$I959="PEAD",$N959="VCA",$Q959="PREDIAL"),0,0)))))),0)</f>
        <v>0.363</v>
      </c>
      <c r="AK959" s="153" t="n">
        <f aca="false">IF(AA959&lt;&gt;"",AA959,0)</f>
        <v>4.3</v>
      </c>
      <c r="AL959" s="153" t="n">
        <f aca="false">IF(AND($N959="MND",$Q959="EMBOQUE"),$M959,IF(AND($N959="VCA",$Q959="LINEAR"),$M959,IF(AND($N959="VCA",$Q959="PREDIAL"),0,0)))</f>
        <v>202.76</v>
      </c>
      <c r="AM959" s="153" t="n">
        <f aca="false">IF(AND($N959="MND",$Q959="EMBOQUE"),$M959,IF(AND($N959="VCA",$Q959="LINEAR"),$M959,IF(AND($N959="VCA",$Q959="PREDIAL"),0,0)))</f>
        <v>202.76</v>
      </c>
      <c r="AN959" s="153" t="n">
        <f aca="false">ROUND(IF(AND($N959="VCA",$M959&lt;&gt;"",$Q959="LINEAR"),$M959/100,IF(AND($N959="MND",$M959&gt;100,$Q959="EMBOQUE"),$M959/100,0)),0)</f>
        <v>2</v>
      </c>
      <c r="AO959" s="153" t="n">
        <f aca="false">IF(AND($N959="MND",$Q959="EMBOQUE"),$AN959*2*2,IF(AND($N959="VCA",$Q959="LINEAR"),$M959*2,IF(AND($N959="VCA",$Q959="PREDIAL"),0,0)))</f>
        <v>405.52</v>
      </c>
      <c r="AP959" s="153" t="n">
        <f aca="false">IFERROR($M959*$AF959*$AG959,0)</f>
        <v>179.635222</v>
      </c>
      <c r="AQ959" s="153" t="n">
        <f aca="false">IFERROR(IF(AND($N959="VCA",$AH959&gt;0),$M959*$AG959*$AH959,0),0)</f>
        <v>13.1794</v>
      </c>
      <c r="AR959" s="153" t="n">
        <f aca="false">IFERROR(IF(AND($N959="VCA",$AJ959&gt;0),($M959*$AG959*$AJ959)-$AI959,0),0)</f>
        <v>47.2091693408381</v>
      </c>
      <c r="AS959" s="153" t="n">
        <f aca="false">IFERROR(IF(AND($N959="VCA",$AP959&gt;0),$AP959-$AI959-$AQ959-$AR959,0),0)</f>
        <v>118.6146</v>
      </c>
      <c r="AT959" s="153" t="n">
        <f aca="false">IFERROR(IF($N959="VCA",INDEX(APOIO_REDES!$A:$W,MATCH($C959&amp;$I959&amp;$H959&amp;$N959&amp;$O959,APOIO_REDES!$W:$W,0),MATCH(AT$5,APOIO_REDES!$5:$5,0)),0)*$AP959,0)</f>
        <v>1.95448438467169</v>
      </c>
      <c r="AU959" s="153" t="n">
        <f aca="false">IFERROR(IF($N959="VCA",INDEX(APOIO_REDES!$A:$W,MATCH($C959&amp;$I959&amp;$H959&amp;$N959&amp;$O959,APOIO_REDES!$W:$W,0),MATCH(AU$5,APOIO_REDES!$5:$5,0)),0)*$AP959,0)</f>
        <v>1.56079829544854</v>
      </c>
      <c r="AV959" s="153" t="n">
        <f aca="false">IFERROR(IF($N959="VCA",INDEX(APOIO_REDES!$A:$W,MATCH($C959&amp;$I959&amp;$H959&amp;$N959&amp;$O959,APOIO_REDES!$W:$W,0),MATCH(AV$5,APOIO_REDES!$5:$5,0)),0)*$AP959,0)</f>
        <v>0.216002231343052</v>
      </c>
      <c r="AW959" s="153" t="n">
        <f aca="false">IFERROR(IF($N959="VCA",INDEX(APOIO_REDES!$A:$W,MATCH($C959&amp;$I959&amp;$H959&amp;$N959&amp;$O959,APOIO_REDES!$W:$W,0),MATCH(AW$5,APOIO_REDES!$5:$5,0)),0)*$AP959,0)</f>
        <v>123.303008262421</v>
      </c>
      <c r="AX959" s="153" t="n">
        <f aca="false">IFERROR(IF($N959="VCA",INDEX(APOIO_REDES!$A:$W,MATCH($C959&amp;$I959&amp;$H959&amp;$N959&amp;$O959,APOIO_REDES!$W:$W,0),MATCH(AX$5,APOIO_REDES!$5:$5,0)),0)*$AP959,0)</f>
        <v>17.0647851082515</v>
      </c>
      <c r="AY959" s="153" t="n">
        <f aca="false">IFERROR(IF($N959="VCA",INDEX(APOIO_REDES!$A:$W,MATCH($C959&amp;$I959&amp;$H959&amp;$N959&amp;$O959,APOIO_REDES!$W:$W,0),MATCH(AY$5,APOIO_REDES!$5:$5,0)),0)*$AP959,0)</f>
        <v>31.2159468829661</v>
      </c>
      <c r="AZ959" s="153" t="n">
        <f aca="false">IFERROR(IF($N959="VCA",INDEX(APOIO_REDES!$A:$W,MATCH($C959&amp;$I959&amp;$H959&amp;$N959&amp;$O959,APOIO_REDES!$W:$W,0),MATCH(AZ$5,APOIO_REDES!$5:$5,0)),0)*$AP959,0)</f>
        <v>4.32019683489863</v>
      </c>
      <c r="BA959" s="153" t="n">
        <f aca="false">IFERROR(IF(AND($N959="VCA",$Q959="LINEAR"),INDEX(APOIO_REDES!$A:$W,MATCH($C959&amp;$I959&amp;$H959&amp;$N959&amp;$O959,APOIO_REDES!$W:$W,0),MATCH(BA$5,APOIO_REDES!$5:$5,0)),IF(AND($N959="MND",$Q959="EMBOQUE"),INDEX(APOIO_REDES!$A:$W,MATCH($C959&amp;$I959&amp;$H959&amp;$N959&amp;$O959,APOIO_REDES!$W:$W,0),MATCH(BA$5,APOIO_REDES!$5:$5,0)),0))*$M959/10,0)</f>
        <v>16.3419445540763</v>
      </c>
      <c r="BB959" s="153" t="n">
        <f aca="false">IFERROR(IF($N959="VCA",INDEX(APOIO_REDES!$A:$W,MATCH($C959&amp;$I959&amp;$H959&amp;$N959&amp;$O959,APOIO_REDES!$W:$W,0),MATCH(BB$5,APOIO_REDES!$5:$5,0)),0)*($AI959+$AQ959+$AR959),0)</f>
        <v>60.3566995714578</v>
      </c>
      <c r="BC959" s="153" t="n">
        <f aca="false">IFERROR(IF($N959="VCA",INDEX(APOIO_REDES!$A:$W,MATCH($C959&amp;$I959&amp;$H959&amp;$N959&amp;$O959,APOIO_REDES!$W:$W,0),MATCH(BC$5,APOIO_REDES!$5:$5,0)),0)*($AI959+$AQ959+$AR959),0)</f>
        <v>0.663922428542181</v>
      </c>
      <c r="BD959" s="153" t="n">
        <f aca="false">IF(AND($N959="VCA",$AF959&gt;=1.25,$AF959&lt;1.5),$M959*$AF959*2,0)</f>
        <v>552.72376</v>
      </c>
      <c r="BE959" s="153" t="n">
        <f aca="false">IF(AND($N959="VCA",$AF959&gt;=1.5,$AF959&lt;3),$M959*$AF959*2,0)</f>
        <v>0</v>
      </c>
      <c r="BF959" s="153" t="n">
        <f aca="false">IF(AND($N959="VCA",$AF959&gt;=3),$M959*$AF959*2,0)</f>
        <v>0</v>
      </c>
      <c r="BG959" s="153" t="n">
        <f aca="false">($BB959+$BC959)*$AK959</f>
        <v>262.3886746</v>
      </c>
      <c r="BH959" s="153" t="n">
        <f aca="false">IF(AND($M959&lt;&gt;"",$N959="VCA",$Q959="LINEAR"),($M959*2)/100,IF(AND($M959&lt;&gt;"",$N959="MND",$Q959="EMBOQUE"),($AN959*2)/100,0))</f>
        <v>4.0552</v>
      </c>
      <c r="BI959" s="153" t="n">
        <f aca="false">IF(AND($M959&lt;&gt;"",$N959="VCA",$Q959="LINEAR"),$M959,IF(AND($M959&lt;&gt;"",$N959="MND",$Q959="EMBOQUE"),$AN959*2,0))</f>
        <v>202.76</v>
      </c>
      <c r="BJ959" s="153" t="n">
        <f aca="false">IF(AND($M959&lt;&gt;"",$N959="VCA",$Q959="LINEAR"),($M959*6.8)/100,IF(AND($M959&lt;&gt;"",$N959="MND",$Q959="EMBOQUE"),($AN959*2*6.8)/100,0))</f>
        <v>13.78768</v>
      </c>
      <c r="BK959" s="153" t="n">
        <f aca="false">IF(AND($M959&lt;&gt;"",$N959="VCA",$Q959="LINEAR"),($M959*2.5)/50,IF(AND($M959&lt;&gt;"",$N959="MND",$Q959="EMBOQUE"),($AN959*2*2.5)/50,0))</f>
        <v>10.138</v>
      </c>
      <c r="BL959" s="157" t="str">
        <f aca="false">K959&amp;J959</f>
        <v>Zona09REDES</v>
      </c>
      <c r="BM959" s="152" t="s">
        <v>5109</v>
      </c>
      <c r="BN959" s="152" t="s">
        <v>1560</v>
      </c>
      <c r="BO959" s="152" t="s">
        <v>5062</v>
      </c>
      <c r="BP959" s="152" t="s">
        <v>2232</v>
      </c>
      <c r="BQ959" s="152" t="s">
        <v>5183</v>
      </c>
      <c r="BR959" s="152" t="s">
        <v>5190</v>
      </c>
      <c r="BS959" s="152" t="n">
        <v>202660.833</v>
      </c>
      <c r="BT959" s="152" t="n">
        <v>8236801.018</v>
      </c>
      <c r="BU959" s="152" t="n">
        <v>202858.051</v>
      </c>
      <c r="BV959" s="152" t="n">
        <v>8236847.79</v>
      </c>
      <c r="BW959" s="152" t="n">
        <v>-15.9300518</v>
      </c>
      <c r="BX959" s="152" t="n">
        <v>-47.7762741</v>
      </c>
      <c r="BY959" s="152" t="s">
        <v>5183</v>
      </c>
    </row>
    <row r="960" customFormat="false" ht="13.8" hidden="false" customHeight="false" outlineLevel="0" collapsed="false">
      <c r="A960" s="149" t="n">
        <f aca="false">IF(C960&lt;&gt;"",ROW(A955),"")</f>
        <v>955</v>
      </c>
      <c r="B960" s="150" t="str">
        <f aca="false">HYPERLINK("https://www.google.com/maps/dir/-15.917302,-47.760003/-15.9304816,-47.7783201/data=!4m3!4m2!3e0!5i2")</f>
        <v>https://www.google.com/maps/dir/-15.917302,-47.760003/-15.9304816,-47.7783201/data=!4m3!4m2!3e0!5i2</v>
      </c>
      <c r="C960" s="151" t="s">
        <v>117</v>
      </c>
      <c r="D960" s="152" t="s">
        <v>112</v>
      </c>
      <c r="E960" s="152" t="s">
        <v>113</v>
      </c>
      <c r="F960" s="152" t="s">
        <v>117</v>
      </c>
      <c r="G960" s="152" t="s">
        <v>782</v>
      </c>
      <c r="H960" s="152" t="n">
        <v>63</v>
      </c>
      <c r="I960" s="152" t="s">
        <v>115</v>
      </c>
      <c r="J960" s="152" t="s">
        <v>6</v>
      </c>
      <c r="K960" s="152" t="s">
        <v>5106</v>
      </c>
      <c r="L960" s="152" t="s">
        <v>120</v>
      </c>
      <c r="M960" s="153" t="n">
        <f aca="false">13.16</f>
        <v>13.16</v>
      </c>
      <c r="N960" s="152" t="s">
        <v>1548</v>
      </c>
      <c r="O960" s="152" t="s">
        <v>1549</v>
      </c>
      <c r="P960" s="152" t="s">
        <v>1550</v>
      </c>
      <c r="Q960" s="152" t="s">
        <v>1551</v>
      </c>
      <c r="R960" s="154" t="s">
        <v>5191</v>
      </c>
      <c r="S960" s="154" t="s">
        <v>1553</v>
      </c>
      <c r="T960" s="155" t="s">
        <v>5060</v>
      </c>
      <c r="U960" s="152" t="str">
        <f aca="false">RIGHT(T960,7)</f>
        <v>014/037</v>
      </c>
      <c r="V960" s="152" t="s">
        <v>1555</v>
      </c>
      <c r="W960" s="156" t="n">
        <v>45882</v>
      </c>
      <c r="X960" s="152" t="s">
        <v>1594</v>
      </c>
      <c r="Y960" s="152" t="s">
        <v>5181</v>
      </c>
      <c r="Z960" s="152" t="s">
        <v>1557</v>
      </c>
      <c r="AA960" s="153" t="n">
        <v>4.7</v>
      </c>
      <c r="AB960" s="151" t="s">
        <v>5192</v>
      </c>
      <c r="AC960" s="151" t="s">
        <v>186</v>
      </c>
      <c r="AD960" s="151" t="str">
        <f aca="false">CONCATENATE($C960,$I960,$H960,$N960,$J960,$K960)</f>
        <v>TUBO PEADPEAD63VCAREDESZona09</v>
      </c>
      <c r="AE960" s="153" t="n">
        <f aca="false">IFERROR(INDEX(APOIO_REDES!$A:$W,MATCH($C960&amp;$I960&amp;$H960&amp;$N960&amp;$O960,APOIO_REDES!$W:$W,0),MATCH(AE$5,APOIO_REDES!$5:$5,0)),0)</f>
        <v>1.2</v>
      </c>
      <c r="AF960" s="153" t="n">
        <f aca="false">IFERROR(INDEX(APOIO_REDES!$A:$W,MATCH($C960&amp;$I960&amp;$H960&amp;$N960&amp;$O960,APOIO_REDES!$W:$W,0),MATCH(AF$5,APOIO_REDES!$5:$5,0)),0)</f>
        <v>1.363</v>
      </c>
      <c r="AG960" s="153" t="n">
        <f aca="false">IFERROR(INDEX(APOIO_REDES!$A:$W,MATCH($C960&amp;$I960&amp;$H960&amp;$N960&amp;$O960,APOIO_REDES!$W:$W,0),MATCH(AG$5,APOIO_REDES!$5:$5,0)),0)</f>
        <v>0.65</v>
      </c>
      <c r="AH960" s="153" t="n">
        <f aca="false">IFERROR(INDEX(APOIO_REDES!$A:$W,MATCH($C960&amp;$I960&amp;$H960&amp;$N960&amp;$O960,APOIO_REDES!$W:$W,0),MATCH(AH$5,APOIO_REDES!$5:$5,0)),0)</f>
        <v>0.1</v>
      </c>
      <c r="AI960" s="153" t="n">
        <f aca="false">IFERROR(IF($H960&lt;&gt;"",(((($H960/1000)/2)^2)*PI()*$M960),0),0)</f>
        <v>0.0410229482865021</v>
      </c>
      <c r="AJ960" s="153" t="n">
        <f aca="false">IFERROR(IF(AND($H960&lt;&gt;"",$I960="FoFo",OR($N960="MND",$N960="VCA"),$Q960="LINEAR"),0,IF(AND($H960&lt;&gt;"",$I960="PEAD",$N960="VCA",$Q960="LINEAR"),($H960/1000)+0.3,IF(AND($H960&lt;&gt;"",$I960="PEAD",$N960="MND",$Q960="EMBOQUE"),0,IF(AND($H960&lt;&gt;"",$I960="PVC",$N960="VCA",$Q960="LINEAR"),($H960/1000)+0.2,IF(AND($H960&lt;&gt;"",$I960="PVC",$N960="MND",$Q960="EMBOQUE"),0,IF(AND($H960&lt;&gt;"",$I960="PEAD",$N960="VCA",$Q960="PREDIAL"),0,0)))))),0)</f>
        <v>0.363</v>
      </c>
      <c r="AK960" s="153" t="n">
        <f aca="false">IF(AA960&lt;&gt;"",AA960,0)</f>
        <v>4.7</v>
      </c>
      <c r="AL960" s="153" t="n">
        <f aca="false">IF(AND($N960="MND",$Q960="EMBOQUE"),$M960,IF(AND($N960="VCA",$Q960="LINEAR"),$M960,IF(AND($N960="VCA",$Q960="PREDIAL"),0,0)))</f>
        <v>13.16</v>
      </c>
      <c r="AM960" s="153" t="n">
        <f aca="false">IF(AND($N960="MND",$Q960="EMBOQUE"),$M960,IF(AND($N960="VCA",$Q960="LINEAR"),$M960,IF(AND($N960="VCA",$Q960="PREDIAL"),0,0)))</f>
        <v>13.16</v>
      </c>
      <c r="AN960" s="153" t="n">
        <f aca="false">ROUND(IF(AND($N960="VCA",$M960&lt;&gt;"",$Q960="LINEAR"),$M960/100,IF(AND($N960="MND",$M960&gt;100,$Q960="EMBOQUE"),$M960/100,0)),0)</f>
        <v>0</v>
      </c>
      <c r="AO960" s="153" t="n">
        <f aca="false">IF(AND($N960="MND",$Q960="EMBOQUE"),$AN960*2*2,IF(AND($N960="VCA",$Q960="LINEAR"),$M960*2,IF(AND($N960="VCA",$Q960="PREDIAL"),0,0)))</f>
        <v>26.32</v>
      </c>
      <c r="AP960" s="153" t="n">
        <f aca="false">IFERROR($M960*$AF960*$AG960,0)</f>
        <v>11.659102</v>
      </c>
      <c r="AQ960" s="153" t="n">
        <f aca="false">IFERROR(IF(AND($N960="VCA",$AH960&gt;0),$M960*$AG960*$AH960,0),0)</f>
        <v>0.8554</v>
      </c>
      <c r="AR960" s="153" t="n">
        <f aca="false">IFERROR(IF(AND($N960="VCA",$AJ960&gt;0),($M960*$AG960*$AJ960)-$AI960,0),0)</f>
        <v>3.0640790517135</v>
      </c>
      <c r="AS960" s="153" t="n">
        <f aca="false">IFERROR(IF(AND($N960="VCA",$AP960&gt;0),$AP960-$AI960-$AQ960-$AR960,0),0)</f>
        <v>7.6986</v>
      </c>
      <c r="AT960" s="153" t="n">
        <f aca="false">IFERROR(IF($N960="VCA",INDEX(APOIO_REDES!$A:$W,MATCH($C960&amp;$I960&amp;$H960&amp;$N960&amp;$O960,APOIO_REDES!$W:$W,0),MATCH(AT$5,APOIO_REDES!$5:$5,0)),0)*$AP960,0)</f>
        <v>0.12685448067804</v>
      </c>
      <c r="AU960" s="153" t="n">
        <f aca="false">IFERROR(IF($N960="VCA",INDEX(APOIO_REDES!$A:$W,MATCH($C960&amp;$I960&amp;$H960&amp;$N960&amp;$O960,APOIO_REDES!$W:$W,0),MATCH(AU$5,APOIO_REDES!$5:$5,0)),0)*$AP960,0)</f>
        <v>0.101302552614435</v>
      </c>
      <c r="AV960" s="153" t="n">
        <f aca="false">IFERROR(IF($N960="VCA",INDEX(APOIO_REDES!$A:$W,MATCH($C960&amp;$I960&amp;$H960&amp;$N960&amp;$O960,APOIO_REDES!$W:$W,0),MATCH(AV$5,APOIO_REDES!$5:$5,0)),0)*$AP960,0)</f>
        <v>0.0140194780256193</v>
      </c>
      <c r="AW960" s="153" t="n">
        <f aca="false">IFERROR(IF($N960="VCA",INDEX(APOIO_REDES!$A:$W,MATCH($C960&amp;$I960&amp;$H960&amp;$N960&amp;$O960,APOIO_REDES!$W:$W,0),MATCH(AW$5,APOIO_REDES!$5:$5,0)),0)*$AP960,0)</f>
        <v>8.00289795193063</v>
      </c>
      <c r="AX960" s="153" t="n">
        <f aca="false">IFERROR(IF($N960="VCA",INDEX(APOIO_REDES!$A:$W,MATCH($C960&amp;$I960&amp;$H960&amp;$N960&amp;$O960,APOIO_REDES!$W:$W,0),MATCH(AX$5,APOIO_REDES!$5:$5,0)),0)*$AP960,0)</f>
        <v>1.10757827986087</v>
      </c>
      <c r="AY960" s="153" t="n">
        <f aca="false">IFERROR(IF($N960="VCA",INDEX(APOIO_REDES!$A:$W,MATCH($C960&amp;$I960&amp;$H960&amp;$N960&amp;$O960,APOIO_REDES!$W:$W,0),MATCH(AY$5,APOIO_REDES!$5:$5,0)),0)*$AP960,0)</f>
        <v>2.02604981741879</v>
      </c>
      <c r="AZ960" s="153" t="n">
        <f aca="false">IFERROR(IF($N960="VCA",INDEX(APOIO_REDES!$A:$W,MATCH($C960&amp;$I960&amp;$H960&amp;$N960&amp;$O960,APOIO_REDES!$W:$W,0),MATCH(AZ$5,APOIO_REDES!$5:$5,0)),0)*$AP960,0)</f>
        <v>0.280399439471621</v>
      </c>
      <c r="BA960" s="153" t="n">
        <f aca="false">IFERROR(IF(AND($N960="VCA",$Q960="LINEAR"),INDEX(APOIO_REDES!$A:$W,MATCH($C960&amp;$I960&amp;$H960&amp;$N960&amp;$O960,APOIO_REDES!$W:$W,0),MATCH(BA$5,APOIO_REDES!$5:$5,0)),IF(AND($N960="MND",$Q960="EMBOQUE"),INDEX(APOIO_REDES!$A:$W,MATCH($C960&amp;$I960&amp;$H960&amp;$N960&amp;$O960,APOIO_REDES!$W:$W,0),MATCH(BA$5,APOIO_REDES!$5:$5,0)),0))*$M960/10,0)</f>
        <v>1.06066280494991</v>
      </c>
      <c r="BB960" s="153" t="n">
        <f aca="false">IFERROR(IF($N960="VCA",INDEX(APOIO_REDES!$A:$W,MATCH($C960&amp;$I960&amp;$H960&amp;$N960&amp;$O960,APOIO_REDES!$W:$W,0),MATCH(BB$5,APOIO_REDES!$5:$5,0)),0)*($AI960+$AQ960+$AR960),0)</f>
        <v>3.91741056599125</v>
      </c>
      <c r="BC960" s="153" t="n">
        <f aca="false">IFERROR(IF($N960="VCA",INDEX(APOIO_REDES!$A:$W,MATCH($C960&amp;$I960&amp;$H960&amp;$N960&amp;$O960,APOIO_REDES!$W:$W,0),MATCH(BC$5,APOIO_REDES!$5:$5,0)),0)*($AI960+$AQ960+$AR960),0)</f>
        <v>0.0430914340087547</v>
      </c>
      <c r="BD960" s="153" t="n">
        <f aca="false">IF(AND($N960="VCA",$AF960&gt;=1.25,$AF960&lt;1.5),$M960*$AF960*2,0)</f>
        <v>35.87416</v>
      </c>
      <c r="BE960" s="153" t="n">
        <f aca="false">IF(AND($N960="VCA",$AF960&gt;=1.5,$AF960&lt;3),$M960*$AF960*2,0)</f>
        <v>0</v>
      </c>
      <c r="BF960" s="153" t="n">
        <f aca="false">IF(AND($N960="VCA",$AF960&gt;=3),$M960*$AF960*2,0)</f>
        <v>0</v>
      </c>
      <c r="BG960" s="153" t="n">
        <f aca="false">($BB960+$BC960)*$AK960</f>
        <v>18.6143594</v>
      </c>
      <c r="BH960" s="153" t="n">
        <f aca="false">IF(AND($M960&lt;&gt;"",$N960="VCA",$Q960="LINEAR"),($M960*2)/100,IF(AND($M960&lt;&gt;"",$N960="MND",$Q960="EMBOQUE"),($AN960*2)/100,0))</f>
        <v>0.2632</v>
      </c>
      <c r="BI960" s="153" t="n">
        <f aca="false">IF(AND($M960&lt;&gt;"",$N960="VCA",$Q960="LINEAR"),$M960,IF(AND($M960&lt;&gt;"",$N960="MND",$Q960="EMBOQUE"),$AN960*2,0))</f>
        <v>13.16</v>
      </c>
      <c r="BJ960" s="153" t="n">
        <f aca="false">IF(AND($M960&lt;&gt;"",$N960="VCA",$Q960="LINEAR"),($M960*6.8)/100,IF(AND($M960&lt;&gt;"",$N960="MND",$Q960="EMBOQUE"),($AN960*2*6.8)/100,0))</f>
        <v>0.89488</v>
      </c>
      <c r="BK960" s="153" t="n">
        <f aca="false">IF(AND($M960&lt;&gt;"",$N960="VCA",$Q960="LINEAR"),($M960*2.5)/50,IF(AND($M960&lt;&gt;"",$N960="MND",$Q960="EMBOQUE"),($AN960*2*2.5)/50,0))</f>
        <v>0.658</v>
      </c>
      <c r="BL960" s="157" t="str">
        <f aca="false">K960&amp;J960</f>
        <v>Zona09REDES</v>
      </c>
      <c r="BM960" s="152" t="s">
        <v>5109</v>
      </c>
      <c r="BN960" s="152" t="s">
        <v>1560</v>
      </c>
      <c r="BO960" s="152" t="s">
        <v>5062</v>
      </c>
      <c r="BP960" s="152" t="s">
        <v>2232</v>
      </c>
      <c r="BQ960" s="152" t="s">
        <v>2176</v>
      </c>
      <c r="BR960" s="152" t="s">
        <v>5193</v>
      </c>
      <c r="BS960" s="152" t="n">
        <v>202661.811</v>
      </c>
      <c r="BT960" s="152" t="n">
        <v>8236801.222</v>
      </c>
      <c r="BU960" s="152" t="n">
        <v>202648.89</v>
      </c>
      <c r="BV960" s="152" t="n">
        <v>8236798.73</v>
      </c>
      <c r="BW960" s="152" t="n">
        <v>-15.9302583</v>
      </c>
      <c r="BX960" s="152" t="n">
        <v>-47.7772489</v>
      </c>
      <c r="BY960" s="152" t="s">
        <v>5194</v>
      </c>
    </row>
    <row r="961" customFormat="false" ht="13.8" hidden="false" customHeight="false" outlineLevel="0" collapsed="false">
      <c r="A961" s="149" t="n">
        <f aca="false">IF(C961&lt;&gt;"",ROW(A956),"")</f>
        <v>956</v>
      </c>
      <c r="B961" s="150" t="str">
        <f aca="false">HYPERLINK("https://www.google.com/maps/dir/-15.917302,-47.760003/-15.9304816,-47.7783201/data=!4m3!4m2!3e0!5i2")</f>
        <v>https://www.google.com/maps/dir/-15.917302,-47.760003/-15.9304816,-47.7783201/data=!4m3!4m2!3e0!5i2</v>
      </c>
      <c r="C961" s="151" t="s">
        <v>117</v>
      </c>
      <c r="D961" s="152" t="s">
        <v>112</v>
      </c>
      <c r="E961" s="152" t="s">
        <v>113</v>
      </c>
      <c r="F961" s="152" t="s">
        <v>117</v>
      </c>
      <c r="G961" s="152" t="s">
        <v>782</v>
      </c>
      <c r="H961" s="152" t="n">
        <v>63</v>
      </c>
      <c r="I961" s="152" t="s">
        <v>115</v>
      </c>
      <c r="J961" s="152" t="s">
        <v>6</v>
      </c>
      <c r="K961" s="152" t="s">
        <v>5106</v>
      </c>
      <c r="L961" s="152" t="s">
        <v>120</v>
      </c>
      <c r="M961" s="153" t="n">
        <f aca="false">110.83</f>
        <v>110.83</v>
      </c>
      <c r="N961" s="152" t="s">
        <v>2173</v>
      </c>
      <c r="O961" s="152" t="s">
        <v>1549</v>
      </c>
      <c r="P961" s="152" t="s">
        <v>1550</v>
      </c>
      <c r="Q961" s="152" t="s">
        <v>1551</v>
      </c>
      <c r="R961" s="154" t="s">
        <v>5195</v>
      </c>
      <c r="S961" s="154" t="s">
        <v>1553</v>
      </c>
      <c r="T961" s="155" t="s">
        <v>5060</v>
      </c>
      <c r="U961" s="152" t="str">
        <f aca="false">RIGHT(T961,7)</f>
        <v>014/037</v>
      </c>
      <c r="V961" s="152" t="s">
        <v>1555</v>
      </c>
      <c r="W961" s="156" t="n">
        <v>45882</v>
      </c>
      <c r="X961" s="152" t="s">
        <v>1594</v>
      </c>
      <c r="Y961" s="152" t="s">
        <v>5181</v>
      </c>
      <c r="Z961" s="152" t="s">
        <v>1557</v>
      </c>
      <c r="AA961" s="153" t="n">
        <v>4.7</v>
      </c>
      <c r="AB961" s="151" t="s">
        <v>5196</v>
      </c>
      <c r="AC961" s="151" t="s">
        <v>186</v>
      </c>
      <c r="AD961" s="151" t="str">
        <f aca="false">CONCATENATE($C961,$I961,$H961,$N961,$J961,$K961)</f>
        <v>TUBO PEADPEAD63MNDREDESZona09</v>
      </c>
      <c r="AE961" s="153" t="n">
        <f aca="false">IFERROR(INDEX(APOIO_REDES!$A:$W,MATCH($C961&amp;$I961&amp;$H961&amp;$N961&amp;$O961,APOIO_REDES!$W:$W,0),MATCH(AE$5,APOIO_REDES!$5:$5,0)),0)</f>
        <v>0</v>
      </c>
      <c r="AF961" s="153" t="n">
        <f aca="false">IFERROR(INDEX(APOIO_REDES!$A:$W,MATCH($C961&amp;$I961&amp;$H961&amp;$N961&amp;$O961,APOIO_REDES!$W:$W,0),MATCH(AF$5,APOIO_REDES!$5:$5,0)),0)</f>
        <v>0</v>
      </c>
      <c r="AG961" s="153" t="n">
        <f aca="false">IFERROR(INDEX(APOIO_REDES!$A:$W,MATCH($C961&amp;$I961&amp;$H961&amp;$N961&amp;$O961,APOIO_REDES!$W:$W,0),MATCH(AG$5,APOIO_REDES!$5:$5,0)),0)</f>
        <v>0</v>
      </c>
      <c r="AH961" s="153" t="n">
        <f aca="false">IFERROR(INDEX(APOIO_REDES!$A:$W,MATCH($C961&amp;$I961&amp;$H961&amp;$N961&amp;$O961,APOIO_REDES!$W:$W,0),MATCH(AH$5,APOIO_REDES!$5:$5,0)),0)</f>
        <v>0</v>
      </c>
      <c r="AI961" s="153" t="n">
        <f aca="false">IFERROR(IF($H961&lt;&gt;"",(((($H961/1000)/2)^2)*PI()*$M961),0),0)</f>
        <v>0.345484297765427</v>
      </c>
      <c r="AJ961" s="153" t="n">
        <f aca="false">IFERROR(IF(AND($H961&lt;&gt;"",$I961="FoFo",OR($N961="MND",$N961="VCA"),$Q961="LINEAR"),0,IF(AND($H961&lt;&gt;"",$I961="PEAD",$N961="VCA",$Q961="LINEAR"),($H961/1000)+0.3,IF(AND($H961&lt;&gt;"",$I961="PEAD",$N961="MND",$Q961="EMBOQUE"),0,IF(AND($H961&lt;&gt;"",$I961="PVC",$N961="VCA",$Q961="LINEAR"),($H961/1000)+0.2,IF(AND($H961&lt;&gt;"",$I961="PVC",$N961="MND",$Q961="EMBOQUE"),0,IF(AND($H961&lt;&gt;"",$I961="PEAD",$N961="VCA",$Q961="PREDIAL"),0,0)))))),0)</f>
        <v>0</v>
      </c>
      <c r="AK961" s="153" t="n">
        <f aca="false">IF(AA961&lt;&gt;"",AA961,0)</f>
        <v>4.7</v>
      </c>
      <c r="AL961" s="153" t="n">
        <f aca="false">IF(AND($N961="MND",$Q961="EMBOQUE"),$M961,IF(AND($N961="VCA",$Q961="LINEAR"),$M961,IF(AND($N961="VCA",$Q961="PREDIAL"),0,0)))</f>
        <v>0</v>
      </c>
      <c r="AM961" s="153" t="n">
        <f aca="false">IF(AND($N961="MND",$Q961="EMBOQUE"),$M961,IF(AND($N961="VCA",$Q961="LINEAR"),$M961,IF(AND($N961="VCA",$Q961="PREDIAL"),0,0)))</f>
        <v>0</v>
      </c>
      <c r="AN961" s="153" t="n">
        <f aca="false">ROUND(IF(AND($N961="VCA",$M961&lt;&gt;"",$Q961="LINEAR"),$M961/100,IF(AND($N961="MND",$M961&gt;100,$Q961="EMBOQUE"),$M961/100,0)),0)</f>
        <v>0</v>
      </c>
      <c r="AO961" s="153" t="n">
        <f aca="false">IF(AND($N961="MND",$Q961="EMBOQUE"),$AN961*2*2,IF(AND($N961="VCA",$Q961="LINEAR"),$M961*2,IF(AND($N961="VCA",$Q961="PREDIAL"),0,0)))</f>
        <v>0</v>
      </c>
      <c r="AP961" s="153" t="n">
        <f aca="false">IFERROR($M961*$AF961*$AG961,0)</f>
        <v>0</v>
      </c>
      <c r="AQ961" s="153" t="n">
        <f aca="false">IFERROR(IF(AND($N961="VCA",$AH961&gt;0),$M961*$AG961*$AH961,0),0)</f>
        <v>0</v>
      </c>
      <c r="AR961" s="153" t="n">
        <f aca="false">IFERROR(IF(AND($N961="VCA",$AJ961&gt;0),($M961*$AG961*$AJ961)-$AI961,0),0)</f>
        <v>0</v>
      </c>
      <c r="AS961" s="153" t="n">
        <f aca="false">IFERROR(IF(AND($N961="VCA",$AP961&gt;0),$AP961-$AI961-$AQ961-$AR961,0),0)</f>
        <v>0</v>
      </c>
      <c r="AT961" s="153" t="n">
        <f aca="false">IFERROR(IF($N961="VCA",INDEX(APOIO_REDES!$A:$W,MATCH($C961&amp;$I961&amp;$H961&amp;$N961&amp;$O961,APOIO_REDES!$W:$W,0),MATCH(AT$5,APOIO_REDES!$5:$5,0)),0)*$AP961,0)</f>
        <v>0</v>
      </c>
      <c r="AU961" s="153" t="n">
        <f aca="false">IFERROR(IF($N961="VCA",INDEX(APOIO_REDES!$A:$W,MATCH($C961&amp;$I961&amp;$H961&amp;$N961&amp;$O961,APOIO_REDES!$W:$W,0),MATCH(AU$5,APOIO_REDES!$5:$5,0)),0)*$AP961,0)</f>
        <v>0</v>
      </c>
      <c r="AV961" s="153" t="n">
        <f aca="false">IFERROR(IF($N961="VCA",INDEX(APOIO_REDES!$A:$W,MATCH($C961&amp;$I961&amp;$H961&amp;$N961&amp;$O961,APOIO_REDES!$W:$W,0),MATCH(AV$5,APOIO_REDES!$5:$5,0)),0)*$AP961,0)</f>
        <v>0</v>
      </c>
      <c r="AW961" s="153" t="n">
        <f aca="false">IFERROR(IF($N961="VCA",INDEX(APOIO_REDES!$A:$W,MATCH($C961&amp;$I961&amp;$H961&amp;$N961&amp;$O961,APOIO_REDES!$W:$W,0),MATCH(AW$5,APOIO_REDES!$5:$5,0)),0)*$AP961,0)</f>
        <v>0</v>
      </c>
      <c r="AX961" s="153" t="n">
        <f aca="false">IFERROR(IF($N961="VCA",INDEX(APOIO_REDES!$A:$W,MATCH($C961&amp;$I961&amp;$H961&amp;$N961&amp;$O961,APOIO_REDES!$W:$W,0),MATCH(AX$5,APOIO_REDES!$5:$5,0)),0)*$AP961,0)</f>
        <v>0</v>
      </c>
      <c r="AY961" s="153" t="n">
        <f aca="false">IFERROR(IF($N961="VCA",INDEX(APOIO_REDES!$A:$W,MATCH($C961&amp;$I961&amp;$H961&amp;$N961&amp;$O961,APOIO_REDES!$W:$W,0),MATCH(AY$5,APOIO_REDES!$5:$5,0)),0)*$AP961,0)</f>
        <v>0</v>
      </c>
      <c r="AZ961" s="153" t="n">
        <f aca="false">IFERROR(IF($N961="VCA",INDEX(APOIO_REDES!$A:$W,MATCH($C961&amp;$I961&amp;$H961&amp;$N961&amp;$O961,APOIO_REDES!$W:$W,0),MATCH(AZ$5,APOIO_REDES!$5:$5,0)),0)*$AP961,0)</f>
        <v>0</v>
      </c>
      <c r="BA961" s="153" t="n">
        <f aca="false">IFERROR(IF(AND($N961="VCA",$Q961="LINEAR"),INDEX(APOIO_REDES!$A:$W,MATCH($C961&amp;$I961&amp;$H961&amp;$N961&amp;$O961,APOIO_REDES!$W:$W,0),MATCH(BA$5,APOIO_REDES!$5:$5,0)),IF(AND($N961="MND",$Q961="EMBOQUE"),INDEX(APOIO_REDES!$A:$W,MATCH($C961&amp;$I961&amp;$H961&amp;$N961&amp;$O961,APOIO_REDES!$W:$W,0),MATCH(BA$5,APOIO_REDES!$5:$5,0)),0))*$M961/10,0)</f>
        <v>0</v>
      </c>
      <c r="BB961" s="153" t="n">
        <f aca="false">IFERROR(IF($N961="VCA",INDEX(APOIO_REDES!$A:$W,MATCH($C961&amp;$I961&amp;$H961&amp;$N961&amp;$O961,APOIO_REDES!$W:$W,0),MATCH(BB$5,APOIO_REDES!$5:$5,0)),0)*($AI961+$AQ961+$AR961),0)</f>
        <v>0</v>
      </c>
      <c r="BC961" s="153" t="n">
        <f aca="false">IFERROR(IF($N961="VCA",INDEX(APOIO_REDES!$A:$W,MATCH($C961&amp;$I961&amp;$H961&amp;$N961&amp;$O961,APOIO_REDES!$W:$W,0),MATCH(BC$5,APOIO_REDES!$5:$5,0)),0)*($AI961+$AQ961+$AR961),0)</f>
        <v>0</v>
      </c>
      <c r="BD961" s="153" t="n">
        <f aca="false">IF(AND($N961="VCA",$AF961&gt;=1.25,$AF961&lt;1.5),$M961*$AF961*2,0)</f>
        <v>0</v>
      </c>
      <c r="BE961" s="153" t="n">
        <f aca="false">IF(AND($N961="VCA",$AF961&gt;=1.5,$AF961&lt;3),$M961*$AF961*2,0)</f>
        <v>0</v>
      </c>
      <c r="BF961" s="153" t="n">
        <f aca="false">IF(AND($N961="VCA",$AF961&gt;=3),$M961*$AF961*2,0)</f>
        <v>0</v>
      </c>
      <c r="BG961" s="153" t="n">
        <f aca="false">($BB961+$BC961)*$AK961</f>
        <v>0</v>
      </c>
      <c r="BH961" s="153" t="n">
        <f aca="false">IF(AND($M961&lt;&gt;"",$N961="VCA",$Q961="LINEAR"),($M961*2)/100,IF(AND($M961&lt;&gt;"",$N961="MND",$Q961="EMBOQUE"),($AN961*2)/100,0))</f>
        <v>0</v>
      </c>
      <c r="BI961" s="153" t="n">
        <f aca="false">IF(AND($M961&lt;&gt;"",$N961="VCA",$Q961="LINEAR"),$M961,IF(AND($M961&lt;&gt;"",$N961="MND",$Q961="EMBOQUE"),$AN961*2,0))</f>
        <v>0</v>
      </c>
      <c r="BJ961" s="153" t="n">
        <f aca="false">IF(AND($M961&lt;&gt;"",$N961="VCA",$Q961="LINEAR"),($M961*6.8)/100,IF(AND($M961&lt;&gt;"",$N961="MND",$Q961="EMBOQUE"),($AN961*2*6.8)/100,0))</f>
        <v>0</v>
      </c>
      <c r="BK961" s="153" t="n">
        <f aca="false">IF(AND($M961&lt;&gt;"",$N961="VCA",$Q961="LINEAR"),($M961*2.5)/50,IF(AND($M961&lt;&gt;"",$N961="MND",$Q961="EMBOQUE"),($AN961*2*2.5)/50,0))</f>
        <v>0</v>
      </c>
      <c r="BL961" s="157" t="str">
        <f aca="false">K961&amp;J961</f>
        <v>Zona09REDES</v>
      </c>
      <c r="BM961" s="152" t="s">
        <v>5109</v>
      </c>
      <c r="BN961" s="152" t="s">
        <v>1560</v>
      </c>
      <c r="BO961" s="152" t="s">
        <v>5062</v>
      </c>
      <c r="BP961" s="152" t="s">
        <v>2176</v>
      </c>
      <c r="BQ961" s="152" t="s">
        <v>5194</v>
      </c>
      <c r="BR961" s="152" t="s">
        <v>5197</v>
      </c>
      <c r="BS961" s="152" t="n">
        <v>202648.89</v>
      </c>
      <c r="BT961" s="152" t="n">
        <v>8236798.73</v>
      </c>
      <c r="BU961" s="152" t="n">
        <v>202540.917</v>
      </c>
      <c r="BV961" s="152" t="n">
        <v>8236773.729</v>
      </c>
      <c r="BW961" s="152" t="n">
        <v>-15.9303751</v>
      </c>
      <c r="BX961" s="152" t="n">
        <v>-47.7778147</v>
      </c>
      <c r="BY961" s="152" t="s">
        <v>5194</v>
      </c>
    </row>
    <row r="962" customFormat="false" ht="13.8" hidden="false" customHeight="false" outlineLevel="0" collapsed="false">
      <c r="A962" s="149" t="n">
        <f aca="false">IF(C962&lt;&gt;"",ROW(A957),"")</f>
        <v>957</v>
      </c>
      <c r="B962" s="150" t="str">
        <f aca="false">HYPERLINK("https://www.google.com/maps/dir/-15.917302,-47.760003/-15.9302716,-47.7752622/data=!4m3!4m2!3e0!5i2")</f>
        <v>https://www.google.com/maps/dir/-15.917302,-47.760003/-15.9302716,-47.7752622/data=!4m3!4m2!3e0!5i2</v>
      </c>
      <c r="C962" s="151" t="s">
        <v>117</v>
      </c>
      <c r="D962" s="152" t="s">
        <v>112</v>
      </c>
      <c r="E962" s="152" t="s">
        <v>113</v>
      </c>
      <c r="F962" s="152" t="s">
        <v>117</v>
      </c>
      <c r="G962" s="152" t="s">
        <v>782</v>
      </c>
      <c r="H962" s="152" t="n">
        <v>110</v>
      </c>
      <c r="I962" s="152" t="s">
        <v>115</v>
      </c>
      <c r="J962" s="152" t="s">
        <v>6</v>
      </c>
      <c r="K962" s="152" t="s">
        <v>5106</v>
      </c>
      <c r="L962" s="152" t="s">
        <v>120</v>
      </c>
      <c r="M962" s="153" t="n">
        <f aca="false">45.71+0.5</f>
        <v>46.21</v>
      </c>
      <c r="N962" s="152" t="s">
        <v>1548</v>
      </c>
      <c r="O962" s="152" t="s">
        <v>1549</v>
      </c>
      <c r="P962" s="152" t="s">
        <v>1550</v>
      </c>
      <c r="Q962" s="152" t="s">
        <v>1551</v>
      </c>
      <c r="R962" s="154" t="s">
        <v>5198</v>
      </c>
      <c r="S962" s="154" t="s">
        <v>1593</v>
      </c>
      <c r="T962" s="155" t="s">
        <v>5060</v>
      </c>
      <c r="U962" s="152" t="str">
        <f aca="false">RIGHT(T962,7)</f>
        <v>014/037</v>
      </c>
      <c r="V962" s="152" t="s">
        <v>1555</v>
      </c>
      <c r="W962" s="156" t="n">
        <v>45882</v>
      </c>
      <c r="X962" s="152" t="s">
        <v>1594</v>
      </c>
      <c r="Y962" s="152" t="s">
        <v>1952</v>
      </c>
      <c r="Z962" s="152" t="s">
        <v>1557</v>
      </c>
      <c r="AA962" s="153" t="n">
        <v>4.3</v>
      </c>
      <c r="AB962" s="151" t="s">
        <v>5199</v>
      </c>
      <c r="AC962" s="151" t="s">
        <v>502</v>
      </c>
      <c r="AD962" s="151" t="str">
        <f aca="false">CONCATENATE($C962,$I962,$H962,$N962,$J962,$K962)</f>
        <v>TUBO PEADPEAD110VCAREDESZona09</v>
      </c>
      <c r="AE962" s="153" t="n">
        <f aca="false">IFERROR(INDEX(APOIO_REDES!$A:$W,MATCH($C962&amp;$I962&amp;$H962&amp;$N962&amp;$O962,APOIO_REDES!$W:$W,0),MATCH(AE$5,APOIO_REDES!$5:$5,0)),0)</f>
        <v>1.2</v>
      </c>
      <c r="AF962" s="153" t="n">
        <f aca="false">IFERROR(INDEX(APOIO_REDES!$A:$W,MATCH($C962&amp;$I962&amp;$H962&amp;$N962&amp;$O962,APOIO_REDES!$W:$W,0),MATCH(AF$5,APOIO_REDES!$5:$5,0)),0)</f>
        <v>1.41</v>
      </c>
      <c r="AG962" s="153" t="n">
        <f aca="false">IFERROR(INDEX(APOIO_REDES!$A:$W,MATCH($C962&amp;$I962&amp;$H962&amp;$N962&amp;$O962,APOIO_REDES!$W:$W,0),MATCH(AG$5,APOIO_REDES!$5:$5,0)),0)</f>
        <v>0.75</v>
      </c>
      <c r="AH962" s="153" t="n">
        <f aca="false">IFERROR(INDEX(APOIO_REDES!$A:$W,MATCH($C962&amp;$I962&amp;$H962&amp;$N962&amp;$O962,APOIO_REDES!$W:$W,0),MATCH(AH$5,APOIO_REDES!$5:$5,0)),0)</f>
        <v>0.1</v>
      </c>
      <c r="AI962" s="153" t="n">
        <f aca="false">IFERROR(IF($H962&lt;&gt;"",(((($H962/1000)/2)^2)*PI()*$M962),0),0)</f>
        <v>0.439148314480213</v>
      </c>
      <c r="AJ962" s="153" t="n">
        <f aca="false">IFERROR(IF(AND($H962&lt;&gt;"",$I962="FoFo",OR($N962="MND",$N962="VCA"),$Q962="LINEAR"),0,IF(AND($H962&lt;&gt;"",$I962="PEAD",$N962="VCA",$Q962="LINEAR"),($H962/1000)+0.3,IF(AND($H962&lt;&gt;"",$I962="PEAD",$N962="MND",$Q962="EMBOQUE"),0,IF(AND($H962&lt;&gt;"",$I962="PVC",$N962="VCA",$Q962="LINEAR"),($H962/1000)+0.2,IF(AND($H962&lt;&gt;"",$I962="PVC",$N962="MND",$Q962="EMBOQUE"),0,IF(AND($H962&lt;&gt;"",$I962="PEAD",$N962="VCA",$Q962="PREDIAL"),0,0)))))),0)</f>
        <v>0.41</v>
      </c>
      <c r="AK962" s="153" t="n">
        <f aca="false">IF(AA962&lt;&gt;"",AA962,0)</f>
        <v>4.3</v>
      </c>
      <c r="AL962" s="153" t="n">
        <f aca="false">IF(AND($N962="MND",$Q962="EMBOQUE"),$M962,IF(AND($N962="VCA",$Q962="LINEAR"),$M962,IF(AND($N962="VCA",$Q962="PREDIAL"),0,0)))</f>
        <v>46.21</v>
      </c>
      <c r="AM962" s="153" t="n">
        <f aca="false">IF(AND($N962="MND",$Q962="EMBOQUE"),$M962,IF(AND($N962="VCA",$Q962="LINEAR"),$M962,IF(AND($N962="VCA",$Q962="PREDIAL"),0,0)))</f>
        <v>46.21</v>
      </c>
      <c r="AN962" s="153" t="n">
        <f aca="false">ROUND(IF(AND($N962="VCA",$M962&lt;&gt;"",$Q962="LINEAR"),$M962/100,IF(AND($N962="MND",$M962&gt;100,$Q962="EMBOQUE"),$M962/100,0)),0)</f>
        <v>0</v>
      </c>
      <c r="AO962" s="153" t="n">
        <f aca="false">IF(AND($N962="MND",$Q962="EMBOQUE"),$AN962*2*2,IF(AND($N962="VCA",$Q962="LINEAR"),$M962*2,IF(AND($N962="VCA",$Q962="PREDIAL"),0,0)))</f>
        <v>92.42</v>
      </c>
      <c r="AP962" s="153" t="n">
        <f aca="false">IFERROR($M962*$AF962*$AG962,0)</f>
        <v>48.867075</v>
      </c>
      <c r="AQ962" s="153" t="n">
        <f aca="false">IFERROR(IF(AND($N962="VCA",$AH962&gt;0),$M962*$AG962*$AH962,0),0)</f>
        <v>3.46575</v>
      </c>
      <c r="AR962" s="153" t="n">
        <f aca="false">IFERROR(IF(AND($N962="VCA",$AJ962&gt;0),($M962*$AG962*$AJ962)-$AI962,0),0)</f>
        <v>13.7704266855198</v>
      </c>
      <c r="AS962" s="153" t="n">
        <f aca="false">IFERROR(IF(AND($N962="VCA",$AP962&gt;0),$AP962-$AI962-$AQ962-$AR962,0),0)</f>
        <v>31.19175</v>
      </c>
      <c r="AT962" s="153" t="n">
        <f aca="false">IFERROR(IF($N962="VCA",INDEX(APOIO_REDES!$A:$W,MATCH($C962&amp;$I962&amp;$H962&amp;$N962&amp;$O962,APOIO_REDES!$W:$W,0),MATCH(AT$5,APOIO_REDES!$5:$5,0)),0)*$AP962,0)</f>
        <v>0.531688239915891</v>
      </c>
      <c r="AU962" s="153" t="n">
        <f aca="false">IFERROR(IF($N962="VCA",INDEX(APOIO_REDES!$A:$W,MATCH($C962&amp;$I962&amp;$H962&amp;$N962&amp;$O962,APOIO_REDES!$W:$W,0),MATCH(AU$5,APOIO_REDES!$5:$5,0)),0)*$AP962,0)</f>
        <v>0.424591828453086</v>
      </c>
      <c r="AV962" s="153" t="n">
        <f aca="false">IFERROR(IF($N962="VCA",INDEX(APOIO_REDES!$A:$W,MATCH($C962&amp;$I962&amp;$H962&amp;$N962&amp;$O962,APOIO_REDES!$W:$W,0),MATCH(AV$5,APOIO_REDES!$5:$5,0)),0)*$AP962,0)</f>
        <v>0.0587601758813663</v>
      </c>
      <c r="AW962" s="153" t="n">
        <f aca="false">IFERROR(IF($N962="VCA",INDEX(APOIO_REDES!$A:$W,MATCH($C962&amp;$I962&amp;$H962&amp;$N962&amp;$O962,APOIO_REDES!$W:$W,0),MATCH(AW$5,APOIO_REDES!$5:$5,0)),0)*$AP962,0)</f>
        <v>33.5427389205739</v>
      </c>
      <c r="AX962" s="153" t="n">
        <f aca="false">IFERROR(IF($N962="VCA",INDEX(APOIO_REDES!$A:$W,MATCH($C962&amp;$I962&amp;$H962&amp;$N962&amp;$O962,APOIO_REDES!$W:$W,0),MATCH(AX$5,APOIO_REDES!$5:$5,0)),0)*$AP962,0)</f>
        <v>4.64221951830698</v>
      </c>
      <c r="AY962" s="153" t="n">
        <f aca="false">IFERROR(IF($N962="VCA",INDEX(APOIO_REDES!$A:$W,MATCH($C962&amp;$I962&amp;$H962&amp;$N962&amp;$O962,APOIO_REDES!$W:$W,0),MATCH(AY$5,APOIO_REDES!$5:$5,0)),0)*$AP962,0)</f>
        <v>8.49183139332174</v>
      </c>
      <c r="AZ962" s="153" t="n">
        <f aca="false">IFERROR(IF($N962="VCA",INDEX(APOIO_REDES!$A:$W,MATCH($C962&amp;$I962&amp;$H962&amp;$N962&amp;$O962,APOIO_REDES!$W:$W,0),MATCH(AZ$5,APOIO_REDES!$5:$5,0)),0)*$AP962,0)</f>
        <v>1.17524492354709</v>
      </c>
      <c r="BA962" s="153" t="n">
        <f aca="false">IFERROR(IF(AND($N962="VCA",$Q962="LINEAR"),INDEX(APOIO_REDES!$A:$W,MATCH($C962&amp;$I962&amp;$H962&amp;$N962&amp;$O962,APOIO_REDES!$W:$W,0),MATCH(BA$5,APOIO_REDES!$5:$5,0)),IF(AND($N962="MND",$Q962="EMBOQUE"),INDEX(APOIO_REDES!$A:$W,MATCH($C962&amp;$I962&amp;$H962&amp;$N962&amp;$O962,APOIO_REDES!$W:$W,0),MATCH(BA$5,APOIO_REDES!$5:$5,0)),0))*$M962/10,0)</f>
        <v>3.72440943896165</v>
      </c>
      <c r="BB962" s="153" t="n">
        <f aca="false">IFERROR(IF($N962="VCA",INDEX(APOIO_REDES!$A:$W,MATCH($C962&amp;$I962&amp;$H962&amp;$N962&amp;$O962,APOIO_REDES!$W:$W,0),MATCH(BB$5,APOIO_REDES!$5:$5,0)),0)*($AI962+$AQ962+$AR962),0)</f>
        <v>17.4830122323709</v>
      </c>
      <c r="BC962" s="153" t="n">
        <f aca="false">IFERROR(IF($N962="VCA",INDEX(APOIO_REDES!$A:$W,MATCH($C962&amp;$I962&amp;$H962&amp;$N962&amp;$O962,APOIO_REDES!$W:$W,0),MATCH(BC$5,APOIO_REDES!$5:$5,0)),0)*($AI962+$AQ962+$AR962),0)</f>
        <v>0.192312767629152</v>
      </c>
      <c r="BD962" s="153" t="n">
        <f aca="false">IF(AND($N962="VCA",$AF962&gt;=1.25,$AF962&lt;1.5),$M962*$AF962*2,0)</f>
        <v>130.3122</v>
      </c>
      <c r="BE962" s="153" t="n">
        <f aca="false">IF(AND($N962="VCA",$AF962&gt;=1.5,$AF962&lt;3),$M962*$AF962*2,0)</f>
        <v>0</v>
      </c>
      <c r="BF962" s="153" t="n">
        <f aca="false">IF(AND($N962="VCA",$AF962&gt;=3),$M962*$AF962*2,0)</f>
        <v>0</v>
      </c>
      <c r="BG962" s="153" t="n">
        <f aca="false">($BB962+$BC962)*$AK962</f>
        <v>76.0038975</v>
      </c>
      <c r="BH962" s="153" t="n">
        <f aca="false">IF(AND($M962&lt;&gt;"",$N962="VCA",$Q962="LINEAR"),($M962*2)/100,IF(AND($M962&lt;&gt;"",$N962="MND",$Q962="EMBOQUE"),($AN962*2)/100,0))</f>
        <v>0.9242</v>
      </c>
      <c r="BI962" s="153" t="n">
        <f aca="false">IF(AND($M962&lt;&gt;"",$N962="VCA",$Q962="LINEAR"),$M962,IF(AND($M962&lt;&gt;"",$N962="MND",$Q962="EMBOQUE"),$AN962*2,0))</f>
        <v>46.21</v>
      </c>
      <c r="BJ962" s="153" t="n">
        <f aca="false">IF(AND($M962&lt;&gt;"",$N962="VCA",$Q962="LINEAR"),($M962*6.8)/100,IF(AND($M962&lt;&gt;"",$N962="MND",$Q962="EMBOQUE"),($AN962*2*6.8)/100,0))</f>
        <v>3.14228</v>
      </c>
      <c r="BK962" s="153" t="n">
        <f aca="false">IF(AND($M962&lt;&gt;"",$N962="VCA",$Q962="LINEAR"),($M962*2.5)/50,IF(AND($M962&lt;&gt;"",$N962="MND",$Q962="EMBOQUE"),($AN962*2*2.5)/50,0))</f>
        <v>2.3105</v>
      </c>
      <c r="BL962" s="157" t="str">
        <f aca="false">K962&amp;J962</f>
        <v>Zona09REDES</v>
      </c>
      <c r="BM962" s="152" t="s">
        <v>5109</v>
      </c>
      <c r="BN962" s="152" t="s">
        <v>1560</v>
      </c>
      <c r="BO962" s="152" t="s">
        <v>5062</v>
      </c>
      <c r="BP962" s="152" t="s">
        <v>5178</v>
      </c>
      <c r="BQ962" s="152" t="s">
        <v>5200</v>
      </c>
      <c r="BR962" s="152" t="s">
        <v>5201</v>
      </c>
      <c r="BS962" s="152" t="n">
        <v>202868.182</v>
      </c>
      <c r="BT962" s="152" t="n">
        <v>8236801.33</v>
      </c>
      <c r="BU962" s="152" t="n">
        <v>202878.505</v>
      </c>
      <c r="BV962" s="152" t="n">
        <v>8236756.818</v>
      </c>
      <c r="BW962" s="152" t="n">
        <v>-15.9304725</v>
      </c>
      <c r="BX962" s="152" t="n">
        <v>-47.7752133</v>
      </c>
      <c r="BY962" s="152" t="s">
        <v>5178</v>
      </c>
    </row>
    <row r="963" customFormat="false" ht="13.8" hidden="false" customHeight="false" outlineLevel="0" collapsed="false">
      <c r="A963" s="149" t="n">
        <f aca="false">IF(C963&lt;&gt;"",ROW(A958),"")</f>
        <v>958</v>
      </c>
      <c r="B963" s="150" t="str">
        <f aca="false">HYPERLINK("https://www.google.com/maps/dir/-15.917302,-47.760003/-15.9306749,-47.7751717/data=!4m3!4m2!3e0!5i0")</f>
        <v>https://www.google.com/maps/dir/-15.917302,-47.760003/-15.9306749,-47.7751717/data=!4m3!4m2!3e0!5i0</v>
      </c>
      <c r="C963" s="151" t="s">
        <v>117</v>
      </c>
      <c r="D963" s="152" t="s">
        <v>112</v>
      </c>
      <c r="E963" s="152" t="s">
        <v>113</v>
      </c>
      <c r="F963" s="152" t="s">
        <v>117</v>
      </c>
      <c r="G963" s="152" t="s">
        <v>782</v>
      </c>
      <c r="H963" s="152" t="n">
        <v>110</v>
      </c>
      <c r="I963" s="152" t="s">
        <v>115</v>
      </c>
      <c r="J963" s="152" t="s">
        <v>6</v>
      </c>
      <c r="K963" s="152" t="s">
        <v>5106</v>
      </c>
      <c r="L963" s="152" t="s">
        <v>120</v>
      </c>
      <c r="M963" s="153" t="n">
        <f aca="false">37.71</f>
        <v>37.71</v>
      </c>
      <c r="N963" s="152" t="s">
        <v>1548</v>
      </c>
      <c r="O963" s="152" t="s">
        <v>1549</v>
      </c>
      <c r="P963" s="152" t="s">
        <v>1550</v>
      </c>
      <c r="Q963" s="152" t="s">
        <v>1551</v>
      </c>
      <c r="R963" s="154" t="s">
        <v>5202</v>
      </c>
      <c r="S963" s="154" t="s">
        <v>1593</v>
      </c>
      <c r="T963" s="155" t="s">
        <v>5060</v>
      </c>
      <c r="U963" s="152" t="str">
        <f aca="false">RIGHT(T963,7)</f>
        <v>014/037</v>
      </c>
      <c r="V963" s="152" t="s">
        <v>1555</v>
      </c>
      <c r="W963" s="156" t="n">
        <v>45882</v>
      </c>
      <c r="X963" s="152" t="s">
        <v>1594</v>
      </c>
      <c r="Y963" s="152" t="s">
        <v>1952</v>
      </c>
      <c r="Z963" s="152" t="s">
        <v>1557</v>
      </c>
      <c r="AA963" s="153" t="n">
        <v>3.6</v>
      </c>
      <c r="AB963" s="151" t="s">
        <v>5203</v>
      </c>
      <c r="AC963" s="151" t="s">
        <v>502</v>
      </c>
      <c r="AD963" s="151" t="str">
        <f aca="false">CONCATENATE($C963,$I963,$H963,$N963,$J963,$K963)</f>
        <v>TUBO PEADPEAD110VCAREDESZona09</v>
      </c>
      <c r="AE963" s="153" t="n">
        <f aca="false">IFERROR(INDEX(APOIO_REDES!$A:$W,MATCH($C963&amp;$I963&amp;$H963&amp;$N963&amp;$O963,APOIO_REDES!$W:$W,0),MATCH(AE$5,APOIO_REDES!$5:$5,0)),0)</f>
        <v>1.2</v>
      </c>
      <c r="AF963" s="153" t="n">
        <f aca="false">IFERROR(INDEX(APOIO_REDES!$A:$W,MATCH($C963&amp;$I963&amp;$H963&amp;$N963&amp;$O963,APOIO_REDES!$W:$W,0),MATCH(AF$5,APOIO_REDES!$5:$5,0)),0)</f>
        <v>1.41</v>
      </c>
      <c r="AG963" s="153" t="n">
        <f aca="false">IFERROR(INDEX(APOIO_REDES!$A:$W,MATCH($C963&amp;$I963&amp;$H963&amp;$N963&amp;$O963,APOIO_REDES!$W:$W,0),MATCH(AG$5,APOIO_REDES!$5:$5,0)),0)</f>
        <v>0.75</v>
      </c>
      <c r="AH963" s="153" t="n">
        <f aca="false">IFERROR(INDEX(APOIO_REDES!$A:$W,MATCH($C963&amp;$I963&amp;$H963&amp;$N963&amp;$O963,APOIO_REDES!$W:$W,0),MATCH(AH$5,APOIO_REDES!$5:$5,0)),0)</f>
        <v>0.1</v>
      </c>
      <c r="AI963" s="153" t="n">
        <f aca="false">IFERROR(IF($H963&lt;&gt;"",(((($H963/1000)/2)^2)*PI()*$M963),0),0)</f>
        <v>0.358370113374785</v>
      </c>
      <c r="AJ963" s="153" t="n">
        <f aca="false">IFERROR(IF(AND($H963&lt;&gt;"",$I963="FoFo",OR($N963="MND",$N963="VCA"),$Q963="LINEAR"),0,IF(AND($H963&lt;&gt;"",$I963="PEAD",$N963="VCA",$Q963="LINEAR"),($H963/1000)+0.3,IF(AND($H963&lt;&gt;"",$I963="PEAD",$N963="MND",$Q963="EMBOQUE"),0,IF(AND($H963&lt;&gt;"",$I963="PVC",$N963="VCA",$Q963="LINEAR"),($H963/1000)+0.2,IF(AND($H963&lt;&gt;"",$I963="PVC",$N963="MND",$Q963="EMBOQUE"),0,IF(AND($H963&lt;&gt;"",$I963="PEAD",$N963="VCA",$Q963="PREDIAL"),0,0)))))),0)</f>
        <v>0.41</v>
      </c>
      <c r="AK963" s="153" t="n">
        <f aca="false">IF(AA963&lt;&gt;"",AA963,0)</f>
        <v>3.6</v>
      </c>
      <c r="AL963" s="153" t="n">
        <f aca="false">IF(AND($N963="MND",$Q963="EMBOQUE"),$M963,IF(AND($N963="VCA",$Q963="LINEAR"),$M963,IF(AND($N963="VCA",$Q963="PREDIAL"),0,0)))</f>
        <v>37.71</v>
      </c>
      <c r="AM963" s="153" t="n">
        <f aca="false">IF(AND($N963="MND",$Q963="EMBOQUE"),$M963,IF(AND($N963="VCA",$Q963="LINEAR"),$M963,IF(AND($N963="VCA",$Q963="PREDIAL"),0,0)))</f>
        <v>37.71</v>
      </c>
      <c r="AN963" s="153" t="n">
        <f aca="false">ROUND(IF(AND($N963="VCA",$M963&lt;&gt;"",$Q963="LINEAR"),$M963/100,IF(AND($N963="MND",$M963&gt;100,$Q963="EMBOQUE"),$M963/100,0)),0)</f>
        <v>0</v>
      </c>
      <c r="AO963" s="153" t="n">
        <f aca="false">IF(AND($N963="MND",$Q963="EMBOQUE"),$AN963*2*2,IF(AND($N963="VCA",$Q963="LINEAR"),$M963*2,IF(AND($N963="VCA",$Q963="PREDIAL"),0,0)))</f>
        <v>75.42</v>
      </c>
      <c r="AP963" s="153" t="n">
        <f aca="false">IFERROR($M963*$AF963*$AG963,0)</f>
        <v>39.878325</v>
      </c>
      <c r="AQ963" s="153" t="n">
        <f aca="false">IFERROR(IF(AND($N963="VCA",$AH963&gt;0),$M963*$AG963*$AH963,0),0)</f>
        <v>2.82825</v>
      </c>
      <c r="AR963" s="153" t="n">
        <f aca="false">IFERROR(IF(AND($N963="VCA",$AJ963&gt;0),($M963*$AG963*$AJ963)-$AI963,0),0)</f>
        <v>11.2374548866252</v>
      </c>
      <c r="AS963" s="153" t="n">
        <f aca="false">IFERROR(IF(AND($N963="VCA",$AP963&gt;0),$AP963-$AI963-$AQ963-$AR963,0),0)</f>
        <v>25.45425</v>
      </c>
      <c r="AT963" s="153" t="n">
        <f aca="false">IFERROR(IF($N963="VCA",INDEX(APOIO_REDES!$A:$W,MATCH($C963&amp;$I963&amp;$H963&amp;$N963&amp;$O963,APOIO_REDES!$W:$W,0),MATCH(AT$5,APOIO_REDES!$5:$5,0)),0)*$AP963,0)</f>
        <v>0.433887979381698</v>
      </c>
      <c r="AU963" s="153" t="n">
        <f aca="false">IFERROR(IF($N963="VCA",INDEX(APOIO_REDES!$A:$W,MATCH($C963&amp;$I963&amp;$H963&amp;$N963&amp;$O963,APOIO_REDES!$W:$W,0),MATCH(AU$5,APOIO_REDES!$5:$5,0)),0)*$AP963,0)</f>
        <v>0.346491189157452</v>
      </c>
      <c r="AV963" s="153" t="n">
        <f aca="false">IFERROR(IF($N963="VCA",INDEX(APOIO_REDES!$A:$W,MATCH($C963&amp;$I963&amp;$H963&amp;$N963&amp;$O963,APOIO_REDES!$W:$W,0),MATCH(AV$5,APOIO_REDES!$5:$5,0)),0)*$AP963,0)</f>
        <v>0.0479516605169081</v>
      </c>
      <c r="AW963" s="153" t="n">
        <f aca="false">IFERROR(IF($N963="VCA",INDEX(APOIO_REDES!$A:$W,MATCH($C963&amp;$I963&amp;$H963&amp;$N963&amp;$O963,APOIO_REDES!$W:$W,0),MATCH(AW$5,APOIO_REDES!$5:$5,0)),0)*$AP963,0)</f>
        <v>27.3727912723402</v>
      </c>
      <c r="AX963" s="153" t="n">
        <f aca="false">IFERROR(IF($N963="VCA",INDEX(APOIO_REDES!$A:$W,MATCH($C963&amp;$I963&amp;$H963&amp;$N963&amp;$O963,APOIO_REDES!$W:$W,0),MATCH(AX$5,APOIO_REDES!$5:$5,0)),0)*$AP963,0)</f>
        <v>3.78831633922</v>
      </c>
      <c r="AY963" s="153" t="n">
        <f aca="false">IFERROR(IF($N963="VCA",INDEX(APOIO_REDES!$A:$W,MATCH($C963&amp;$I963&amp;$H963&amp;$N963&amp;$O963,APOIO_REDES!$W:$W,0),MATCH(AY$5,APOIO_REDES!$5:$5,0)),0)*$AP963,0)</f>
        <v>6.92981955944953</v>
      </c>
      <c r="AZ963" s="153" t="n">
        <f aca="false">IFERROR(IF($N963="VCA",INDEX(APOIO_REDES!$A:$W,MATCH($C963&amp;$I963&amp;$H963&amp;$N963&amp;$O963,APOIO_REDES!$W:$W,0),MATCH(AZ$5,APOIO_REDES!$5:$5,0)),0)*$AP963,0)</f>
        <v>0.959066999934227</v>
      </c>
      <c r="BA963" s="153" t="n">
        <f aca="false">IFERROR(IF(AND($N963="VCA",$Q963="LINEAR"),INDEX(APOIO_REDES!$A:$W,MATCH($C963&amp;$I963&amp;$H963&amp;$N963&amp;$O963,APOIO_REDES!$W:$W,0),MATCH(BA$5,APOIO_REDES!$5:$5,0)),IF(AND($N963="MND",$Q963="EMBOQUE"),INDEX(APOIO_REDES!$A:$W,MATCH($C963&amp;$I963&amp;$H963&amp;$N963&amp;$O963,APOIO_REDES!$W:$W,0),MATCH(BA$5,APOIO_REDES!$5:$5,0)),0))*$M963/10,0)</f>
        <v>3.03933087953351</v>
      </c>
      <c r="BB963" s="153" t="n">
        <f aca="false">IFERROR(IF($N963="VCA",INDEX(APOIO_REDES!$A:$W,MATCH($C963&amp;$I963&amp;$H963&amp;$N963&amp;$O963,APOIO_REDES!$W:$W,0),MATCH(BB$5,APOIO_REDES!$5:$5,0)),0)*($AI963+$AQ963+$AR963),0)</f>
        <v>14.2671367946917</v>
      </c>
      <c r="BC963" s="153" t="n">
        <f aca="false">IFERROR(IF($N963="VCA",INDEX(APOIO_REDES!$A:$W,MATCH($C963&amp;$I963&amp;$H963&amp;$N963&amp;$O963,APOIO_REDES!$W:$W,0),MATCH(BC$5,APOIO_REDES!$5:$5,0)),0)*($AI963+$AQ963+$AR963),0)</f>
        <v>0.156938205308274</v>
      </c>
      <c r="BD963" s="153" t="n">
        <f aca="false">IF(AND($N963="VCA",$AF963&gt;=1.25,$AF963&lt;1.5),$M963*$AF963*2,0)</f>
        <v>106.3422</v>
      </c>
      <c r="BE963" s="153" t="n">
        <f aca="false">IF(AND($N963="VCA",$AF963&gt;=1.5,$AF963&lt;3),$M963*$AF963*2,0)</f>
        <v>0</v>
      </c>
      <c r="BF963" s="153" t="n">
        <f aca="false">IF(AND($N963="VCA",$AF963&gt;=3),$M963*$AF963*2,0)</f>
        <v>0</v>
      </c>
      <c r="BG963" s="153" t="n">
        <f aca="false">($BB963+$BC963)*$AK963</f>
        <v>51.92667</v>
      </c>
      <c r="BH963" s="153" t="n">
        <f aca="false">IF(AND($M963&lt;&gt;"",$N963="VCA",$Q963="LINEAR"),($M963*2)/100,IF(AND($M963&lt;&gt;"",$N963="MND",$Q963="EMBOQUE"),($AN963*2)/100,0))</f>
        <v>0.7542</v>
      </c>
      <c r="BI963" s="153" t="n">
        <f aca="false">IF(AND($M963&lt;&gt;"",$N963="VCA",$Q963="LINEAR"),$M963,IF(AND($M963&lt;&gt;"",$N963="MND",$Q963="EMBOQUE"),$AN963*2,0))</f>
        <v>37.71</v>
      </c>
      <c r="BJ963" s="153" t="n">
        <f aca="false">IF(AND($M963&lt;&gt;"",$N963="VCA",$Q963="LINEAR"),($M963*6.8)/100,IF(AND($M963&lt;&gt;"",$N963="MND",$Q963="EMBOQUE"),($AN963*2*6.8)/100,0))</f>
        <v>2.56428</v>
      </c>
      <c r="BK963" s="153" t="n">
        <f aca="false">IF(AND($M963&lt;&gt;"",$N963="VCA",$Q963="LINEAR"),($M963*2.5)/50,IF(AND($M963&lt;&gt;"",$N963="MND",$Q963="EMBOQUE"),($AN963*2*2.5)/50,0))</f>
        <v>1.8855</v>
      </c>
      <c r="BL963" s="157" t="str">
        <f aca="false">K963&amp;J963</f>
        <v>Zona09REDES</v>
      </c>
      <c r="BM963" s="152" t="s">
        <v>5109</v>
      </c>
      <c r="BN963" s="152" t="s">
        <v>1560</v>
      </c>
      <c r="BO963" s="152" t="s">
        <v>5062</v>
      </c>
      <c r="BP963" s="152" t="s">
        <v>5200</v>
      </c>
      <c r="BQ963" s="152" t="s">
        <v>5204</v>
      </c>
      <c r="BR963" s="152" t="s">
        <v>5205</v>
      </c>
      <c r="BS963" s="152" t="n">
        <v>202878.505</v>
      </c>
      <c r="BT963" s="152" t="n">
        <v>8236756.818</v>
      </c>
      <c r="BU963" s="152" t="n">
        <v>202886.342</v>
      </c>
      <c r="BV963" s="152" t="n">
        <v>8236719.945</v>
      </c>
      <c r="BW963" s="152" t="n">
        <v>-15.930842</v>
      </c>
      <c r="BX963" s="152" t="n">
        <v>-47.7751383</v>
      </c>
      <c r="BY963" s="152" t="s">
        <v>5200</v>
      </c>
    </row>
    <row r="964" customFormat="false" ht="13.8" hidden="false" customHeight="false" outlineLevel="0" collapsed="false">
      <c r="A964" s="149" t="n">
        <f aca="false">IF(C964&lt;&gt;"",ROW(A959),"")</f>
        <v>959</v>
      </c>
      <c r="B964" s="150" t="str">
        <f aca="false">HYPERLINK("https://www.google.com/maps/dir/-15.917302,-47.760003/-15.9304816,-47.7783201/data=!4m3!4m2!3e0!5i2")</f>
        <v>https://www.google.com/maps/dir/-15.917302,-47.760003/-15.9304816,-47.7783201/data=!4m3!4m2!3e0!5i2</v>
      </c>
      <c r="C964" s="151" t="s">
        <v>117</v>
      </c>
      <c r="D964" s="152" t="s">
        <v>112</v>
      </c>
      <c r="E964" s="152" t="s">
        <v>113</v>
      </c>
      <c r="F964" s="152" t="s">
        <v>117</v>
      </c>
      <c r="G964" s="152" t="s">
        <v>782</v>
      </c>
      <c r="H964" s="152" t="n">
        <v>63</v>
      </c>
      <c r="I964" s="152" t="s">
        <v>115</v>
      </c>
      <c r="J964" s="152" t="s">
        <v>6</v>
      </c>
      <c r="K964" s="152" t="s">
        <v>5106</v>
      </c>
      <c r="L964" s="152" t="s">
        <v>120</v>
      </c>
      <c r="M964" s="153" t="n">
        <f aca="false">94.69</f>
        <v>94.69</v>
      </c>
      <c r="N964" s="152" t="s">
        <v>1548</v>
      </c>
      <c r="O964" s="152" t="s">
        <v>1549</v>
      </c>
      <c r="P964" s="152" t="s">
        <v>1550</v>
      </c>
      <c r="Q964" s="152" t="s">
        <v>1551</v>
      </c>
      <c r="R964" s="154" t="s">
        <v>5206</v>
      </c>
      <c r="S964" s="154" t="s">
        <v>1553</v>
      </c>
      <c r="T964" s="155" t="s">
        <v>5060</v>
      </c>
      <c r="U964" s="152" t="str">
        <f aca="false">RIGHT(T964,7)</f>
        <v>014/037</v>
      </c>
      <c r="V964" s="152" t="s">
        <v>1555</v>
      </c>
      <c r="W964" s="156" t="n">
        <v>45882</v>
      </c>
      <c r="X964" s="152" t="s">
        <v>1594</v>
      </c>
      <c r="Y964" s="152" t="s">
        <v>5181</v>
      </c>
      <c r="Z964" s="152" t="s">
        <v>1557</v>
      </c>
      <c r="AA964" s="153" t="n">
        <v>4.7</v>
      </c>
      <c r="AB964" s="151" t="s">
        <v>5207</v>
      </c>
      <c r="AC964" s="151" t="s">
        <v>186</v>
      </c>
      <c r="AD964" s="151" t="str">
        <f aca="false">CONCATENATE($C964,$I964,$H964,$N964,$J964,$K964)</f>
        <v>TUBO PEADPEAD63VCAREDESZona09</v>
      </c>
      <c r="AE964" s="153" t="n">
        <f aca="false">IFERROR(INDEX(APOIO_REDES!$A:$W,MATCH($C964&amp;$I964&amp;$H964&amp;$N964&amp;$O964,APOIO_REDES!$W:$W,0),MATCH(AE$5,APOIO_REDES!$5:$5,0)),0)</f>
        <v>1.2</v>
      </c>
      <c r="AF964" s="153" t="n">
        <f aca="false">IFERROR(INDEX(APOIO_REDES!$A:$W,MATCH($C964&amp;$I964&amp;$H964&amp;$N964&amp;$O964,APOIO_REDES!$W:$W,0),MATCH(AF$5,APOIO_REDES!$5:$5,0)),0)</f>
        <v>1.363</v>
      </c>
      <c r="AG964" s="153" t="n">
        <f aca="false">IFERROR(INDEX(APOIO_REDES!$A:$W,MATCH($C964&amp;$I964&amp;$H964&amp;$N964&amp;$O964,APOIO_REDES!$W:$W,0),MATCH(AG$5,APOIO_REDES!$5:$5,0)),0)</f>
        <v>0.65</v>
      </c>
      <c r="AH964" s="153" t="n">
        <f aca="false">IFERROR(INDEX(APOIO_REDES!$A:$W,MATCH($C964&amp;$I964&amp;$H964&amp;$N964&amp;$O964,APOIO_REDES!$W:$W,0),MATCH(AH$5,APOIO_REDES!$5:$5,0)),0)</f>
        <v>0.1</v>
      </c>
      <c r="AI964" s="153" t="n">
        <f aca="false">IFERROR(IF($H964&lt;&gt;"",(((($H964/1000)/2)^2)*PI()*$M964),0),0)</f>
        <v>0.295171958453562</v>
      </c>
      <c r="AJ964" s="153" t="n">
        <f aca="false">IFERROR(IF(AND($H964&lt;&gt;"",$I964="FoFo",OR($N964="MND",$N964="VCA"),$Q964="LINEAR"),0,IF(AND($H964&lt;&gt;"",$I964="PEAD",$N964="VCA",$Q964="LINEAR"),($H964/1000)+0.3,IF(AND($H964&lt;&gt;"",$I964="PEAD",$N964="MND",$Q964="EMBOQUE"),0,IF(AND($H964&lt;&gt;"",$I964="PVC",$N964="VCA",$Q964="LINEAR"),($H964/1000)+0.2,IF(AND($H964&lt;&gt;"",$I964="PVC",$N964="MND",$Q964="EMBOQUE"),0,IF(AND($H964&lt;&gt;"",$I964="PEAD",$N964="VCA",$Q964="PREDIAL"),0,0)))))),0)</f>
        <v>0.363</v>
      </c>
      <c r="AK964" s="153" t="n">
        <f aca="false">IF(AA964&lt;&gt;"",AA964,0)</f>
        <v>4.7</v>
      </c>
      <c r="AL964" s="153" t="n">
        <f aca="false">IF(AND($N964="MND",$Q964="EMBOQUE"),$M964,IF(AND($N964="VCA",$Q964="LINEAR"),$M964,IF(AND($N964="VCA",$Q964="PREDIAL"),0,0)))</f>
        <v>94.69</v>
      </c>
      <c r="AM964" s="153" t="n">
        <f aca="false">IF(AND($N964="MND",$Q964="EMBOQUE"),$M964,IF(AND($N964="VCA",$Q964="LINEAR"),$M964,IF(AND($N964="VCA",$Q964="PREDIAL"),0,0)))</f>
        <v>94.69</v>
      </c>
      <c r="AN964" s="153" t="n">
        <f aca="false">ROUND(IF(AND($N964="VCA",$M964&lt;&gt;"",$Q964="LINEAR"),$M964/100,IF(AND($N964="MND",$M964&gt;100,$Q964="EMBOQUE"),$M964/100,0)),0)</f>
        <v>1</v>
      </c>
      <c r="AO964" s="153" t="n">
        <f aca="false">IF(AND($N964="MND",$Q964="EMBOQUE"),$AN964*2*2,IF(AND($N964="VCA",$Q964="LINEAR"),$M964*2,IF(AND($N964="VCA",$Q964="PREDIAL"),0,0)))</f>
        <v>189.38</v>
      </c>
      <c r="AP964" s="153" t="n">
        <f aca="false">IFERROR($M964*$AF964*$AG964,0)</f>
        <v>83.8906055</v>
      </c>
      <c r="AQ964" s="153" t="n">
        <f aca="false">IFERROR(IF(AND($N964="VCA",$AH964&gt;0),$M964*$AG964*$AH964,0),0)</f>
        <v>6.15485</v>
      </c>
      <c r="AR964" s="153" t="n">
        <f aca="false">IFERROR(IF(AND($N964="VCA",$AJ964&gt;0),($M964*$AG964*$AJ964)-$AI964,0),0)</f>
        <v>22.0469335415464</v>
      </c>
      <c r="AS964" s="153" t="n">
        <f aca="false">IFERROR(IF(AND($N964="VCA",$AP964&gt;0),$AP964-$AI964-$AQ964-$AR964,0),0)</f>
        <v>55.39365</v>
      </c>
      <c r="AT964" s="153" t="n">
        <f aca="false">IFERROR(IF($N964="VCA",INDEX(APOIO_REDES!$A:$W,MATCH($C964&amp;$I964&amp;$H964&amp;$N964&amp;$O964,APOIO_REDES!$W:$W,0),MATCH(AT$5,APOIO_REDES!$5:$5,0)),0)*$AP964,0)</f>
        <v>0.912754618191765</v>
      </c>
      <c r="AU964" s="153" t="n">
        <f aca="false">IFERROR(IF($N964="VCA",INDEX(APOIO_REDES!$A:$W,MATCH($C964&amp;$I964&amp;$H964&amp;$N964&amp;$O964,APOIO_REDES!$W:$W,0),MATCH(AU$5,APOIO_REDES!$5:$5,0)),0)*$AP964,0)</f>
        <v>0.728901117557813</v>
      </c>
      <c r="AV964" s="153" t="n">
        <f aca="false">IFERROR(IF($N964="VCA",INDEX(APOIO_REDES!$A:$W,MATCH($C964&amp;$I964&amp;$H964&amp;$N964&amp;$O964,APOIO_REDES!$W:$W,0),MATCH(AV$5,APOIO_REDES!$5:$5,0)),0)*$AP964,0)</f>
        <v>0.100874192571876</v>
      </c>
      <c r="AW964" s="153" t="n">
        <f aca="false">IFERROR(IF($N964="VCA",INDEX(APOIO_REDES!$A:$W,MATCH($C964&amp;$I964&amp;$H964&amp;$N964&amp;$O964,APOIO_REDES!$W:$W,0),MATCH(AW$5,APOIO_REDES!$5:$5,0)),0)*$AP964,0)</f>
        <v>57.5831616313306</v>
      </c>
      <c r="AX964" s="153" t="n">
        <f aca="false">IFERROR(IF($N964="VCA",INDEX(APOIO_REDES!$A:$W,MATCH($C964&amp;$I964&amp;$H964&amp;$N964&amp;$O964,APOIO_REDES!$W:$W,0),MATCH(AX$5,APOIO_REDES!$5:$5,0)),0)*$AP964,0)</f>
        <v>7.96934554103537</v>
      </c>
      <c r="AY964" s="153" t="n">
        <f aca="false">IFERROR(IF($N964="VCA",INDEX(APOIO_REDES!$A:$W,MATCH($C964&amp;$I964&amp;$H964&amp;$N964&amp;$O964,APOIO_REDES!$W:$W,0),MATCH(AY$5,APOIO_REDES!$5:$5,0)),0)*$AP964,0)</f>
        <v>14.5780134659107</v>
      </c>
      <c r="AZ964" s="153" t="n">
        <f aca="false">IFERROR(IF($N964="VCA",INDEX(APOIO_REDES!$A:$W,MATCH($C964&amp;$I964&amp;$H964&amp;$N964&amp;$O964,APOIO_REDES!$W:$W,0),MATCH(AZ$5,APOIO_REDES!$5:$5,0)),0)*$AP964,0)</f>
        <v>2.01755493340181</v>
      </c>
      <c r="BA964" s="153" t="n">
        <f aca="false">IFERROR(IF(AND($N964="VCA",$Q964="LINEAR"),INDEX(APOIO_REDES!$A:$W,MATCH($C964&amp;$I964&amp;$H964&amp;$N964&amp;$O964,APOIO_REDES!$W:$W,0),MATCH(BA$5,APOIO_REDES!$5:$5,0)),IF(AND($N964="MND",$Q964="EMBOQUE"),INDEX(APOIO_REDES!$A:$W,MATCH($C964&amp;$I964&amp;$H964&amp;$N964&amp;$O964,APOIO_REDES!$W:$W,0),MATCH(BA$5,APOIO_REDES!$5:$5,0)),0))*$M964/10,0)</f>
        <v>7.6317751520294</v>
      </c>
      <c r="BB964" s="153" t="n">
        <f aca="false">IFERROR(IF($N964="VCA",INDEX(APOIO_REDES!$A:$W,MATCH($C964&amp;$I964&amp;$H964&amp;$N964&amp;$O964,APOIO_REDES!$W:$W,0),MATCH(BB$5,APOIO_REDES!$5:$5,0)),0)*($AI964+$AQ964+$AR964),0)</f>
        <v>28.1869001894917</v>
      </c>
      <c r="BC964" s="153" t="n">
        <f aca="false">IFERROR(IF($N964="VCA",INDEX(APOIO_REDES!$A:$W,MATCH($C964&amp;$I964&amp;$H964&amp;$N964&amp;$O964,APOIO_REDES!$W:$W,0),MATCH(BC$5,APOIO_REDES!$5:$5,0)),0)*($AI964+$AQ964+$AR964),0)</f>
        <v>0.310055310508281</v>
      </c>
      <c r="BD964" s="153" t="n">
        <f aca="false">IF(AND($N964="VCA",$AF964&gt;=1.25,$AF964&lt;1.5),$M964*$AF964*2,0)</f>
        <v>258.12494</v>
      </c>
      <c r="BE964" s="153" t="n">
        <f aca="false">IF(AND($N964="VCA",$AF964&gt;=1.5,$AF964&lt;3),$M964*$AF964*2,0)</f>
        <v>0</v>
      </c>
      <c r="BF964" s="153" t="n">
        <f aca="false">IF(AND($N964="VCA",$AF964&gt;=3),$M964*$AF964*2,0)</f>
        <v>0</v>
      </c>
      <c r="BG964" s="153" t="n">
        <f aca="false">($BB964+$BC964)*$AK964</f>
        <v>133.93569085</v>
      </c>
      <c r="BH964" s="153" t="n">
        <f aca="false">IF(AND($M964&lt;&gt;"",$N964="VCA",$Q964="LINEAR"),($M964*2)/100,IF(AND($M964&lt;&gt;"",$N964="MND",$Q964="EMBOQUE"),($AN964*2)/100,0))</f>
        <v>1.8938</v>
      </c>
      <c r="BI964" s="153" t="n">
        <f aca="false">IF(AND($M964&lt;&gt;"",$N964="VCA",$Q964="LINEAR"),$M964,IF(AND($M964&lt;&gt;"",$N964="MND",$Q964="EMBOQUE"),$AN964*2,0))</f>
        <v>94.69</v>
      </c>
      <c r="BJ964" s="153" t="n">
        <f aca="false">IF(AND($M964&lt;&gt;"",$N964="VCA",$Q964="LINEAR"),($M964*6.8)/100,IF(AND($M964&lt;&gt;"",$N964="MND",$Q964="EMBOQUE"),($AN964*2*6.8)/100,0))</f>
        <v>6.43892</v>
      </c>
      <c r="BK964" s="153" t="n">
        <f aca="false">IF(AND($M964&lt;&gt;"",$N964="VCA",$Q964="LINEAR"),($M964*2.5)/50,IF(AND($M964&lt;&gt;"",$N964="MND",$Q964="EMBOQUE"),($AN964*2*2.5)/50,0))</f>
        <v>4.7345</v>
      </c>
      <c r="BL964" s="157" t="str">
        <f aca="false">K964&amp;J964</f>
        <v>Zona09REDES</v>
      </c>
      <c r="BM964" s="152" t="s">
        <v>5109</v>
      </c>
      <c r="BN964" s="152" t="s">
        <v>1560</v>
      </c>
      <c r="BO964" s="152" t="s">
        <v>5062</v>
      </c>
      <c r="BP964" s="152" t="s">
        <v>5194</v>
      </c>
      <c r="BQ964" s="152" t="s">
        <v>5208</v>
      </c>
      <c r="BR964" s="152" t="s">
        <v>5209</v>
      </c>
      <c r="BS964" s="152" t="n">
        <v>202540.917</v>
      </c>
      <c r="BT964" s="152" t="n">
        <v>8236773.729</v>
      </c>
      <c r="BU964" s="152" t="n">
        <v>202538.883</v>
      </c>
      <c r="BV964" s="152" t="n">
        <v>8236680.666</v>
      </c>
      <c r="BW964" s="152" t="n">
        <v>-15.9309084</v>
      </c>
      <c r="BX964" s="152" t="n">
        <v>-47.778295</v>
      </c>
      <c r="BY964" s="152" t="s">
        <v>5194</v>
      </c>
    </row>
    <row r="965" customFormat="false" ht="13.8" hidden="false" customHeight="false" outlineLevel="0" collapsed="false">
      <c r="A965" s="149" t="n">
        <f aca="false">IF(C965&lt;&gt;"",ROW(A960),"")</f>
        <v>960</v>
      </c>
      <c r="B965" s="150" t="str">
        <f aca="false">HYPERLINK("https://www.google.com/maps/dir/-15.917302,-47.760003/-15.9306749,-47.7751717/data=!4m3!4m2!3e0!5i0")</f>
        <v>https://www.google.com/maps/dir/-15.917302,-47.760003/-15.9306749,-47.7751717/data=!4m3!4m2!3e0!5i0</v>
      </c>
      <c r="C965" s="151" t="s">
        <v>117</v>
      </c>
      <c r="D965" s="152" t="s">
        <v>112</v>
      </c>
      <c r="E965" s="152" t="s">
        <v>113</v>
      </c>
      <c r="F965" s="152" t="s">
        <v>117</v>
      </c>
      <c r="G965" s="152" t="s">
        <v>782</v>
      </c>
      <c r="H965" s="152" t="n">
        <v>63</v>
      </c>
      <c r="I965" s="152" t="s">
        <v>115</v>
      </c>
      <c r="J965" s="152" t="s">
        <v>6</v>
      </c>
      <c r="K965" s="152" t="s">
        <v>5106</v>
      </c>
      <c r="L965" s="152" t="s">
        <v>120</v>
      </c>
      <c r="M965" s="153" t="n">
        <f aca="false">348.11</f>
        <v>348.11</v>
      </c>
      <c r="N965" s="152" t="s">
        <v>1548</v>
      </c>
      <c r="O965" s="152" t="s">
        <v>1549</v>
      </c>
      <c r="P965" s="152" t="s">
        <v>1550</v>
      </c>
      <c r="Q965" s="152" t="s">
        <v>1551</v>
      </c>
      <c r="R965" s="154" t="s">
        <v>5210</v>
      </c>
      <c r="S965" s="154" t="s">
        <v>1553</v>
      </c>
      <c r="T965" s="155" t="s">
        <v>5060</v>
      </c>
      <c r="U965" s="152" t="str">
        <f aca="false">RIGHT(T965,7)</f>
        <v>014/037</v>
      </c>
      <c r="V965" s="152" t="s">
        <v>1555</v>
      </c>
      <c r="W965" s="156" t="n">
        <v>45882</v>
      </c>
      <c r="X965" s="152" t="s">
        <v>1594</v>
      </c>
      <c r="Y965" s="152" t="s">
        <v>1952</v>
      </c>
      <c r="Z965" s="152" t="s">
        <v>1557</v>
      </c>
      <c r="AA965" s="153" t="n">
        <v>3.6</v>
      </c>
      <c r="AB965" s="151" t="s">
        <v>5211</v>
      </c>
      <c r="AC965" s="151" t="s">
        <v>186</v>
      </c>
      <c r="AD965" s="151" t="str">
        <f aca="false">CONCATENATE($C965,$I965,$H965,$N965,$J965,$K965)</f>
        <v>TUBO PEADPEAD63VCAREDESZona09</v>
      </c>
      <c r="AE965" s="153" t="n">
        <f aca="false">IFERROR(INDEX(APOIO_REDES!$A:$W,MATCH($C965&amp;$I965&amp;$H965&amp;$N965&amp;$O965,APOIO_REDES!$W:$W,0),MATCH(AE$5,APOIO_REDES!$5:$5,0)),0)</f>
        <v>1.2</v>
      </c>
      <c r="AF965" s="153" t="n">
        <f aca="false">IFERROR(INDEX(APOIO_REDES!$A:$W,MATCH($C965&amp;$I965&amp;$H965&amp;$N965&amp;$O965,APOIO_REDES!$W:$W,0),MATCH(AF$5,APOIO_REDES!$5:$5,0)),0)</f>
        <v>1.363</v>
      </c>
      <c r="AG965" s="153" t="n">
        <f aca="false">IFERROR(INDEX(APOIO_REDES!$A:$W,MATCH($C965&amp;$I965&amp;$H965&amp;$N965&amp;$O965,APOIO_REDES!$W:$W,0),MATCH(AG$5,APOIO_REDES!$5:$5,0)),0)</f>
        <v>0.65</v>
      </c>
      <c r="AH965" s="153" t="n">
        <f aca="false">IFERROR(INDEX(APOIO_REDES!$A:$W,MATCH($C965&amp;$I965&amp;$H965&amp;$N965&amp;$O965,APOIO_REDES!$W:$W,0),MATCH(AH$5,APOIO_REDES!$5:$5,0)),0)</f>
        <v>0.1</v>
      </c>
      <c r="AI965" s="153" t="n">
        <f aca="false">IFERROR(IF($H965&lt;&gt;"",(((($H965/1000)/2)^2)*PI()*$M965),0),0)</f>
        <v>1.08514426504667</v>
      </c>
      <c r="AJ965" s="153" t="n">
        <f aca="false">IFERROR(IF(AND($H965&lt;&gt;"",$I965="FoFo",OR($N965="MND",$N965="VCA"),$Q965="LINEAR"),0,IF(AND($H965&lt;&gt;"",$I965="PEAD",$N965="VCA",$Q965="LINEAR"),($H965/1000)+0.3,IF(AND($H965&lt;&gt;"",$I965="PEAD",$N965="MND",$Q965="EMBOQUE"),0,IF(AND($H965&lt;&gt;"",$I965="PVC",$N965="VCA",$Q965="LINEAR"),($H965/1000)+0.2,IF(AND($H965&lt;&gt;"",$I965="PVC",$N965="MND",$Q965="EMBOQUE"),0,IF(AND($H965&lt;&gt;"",$I965="PEAD",$N965="VCA",$Q965="PREDIAL"),0,0)))))),0)</f>
        <v>0.363</v>
      </c>
      <c r="AK965" s="153" t="n">
        <f aca="false">IF(AA965&lt;&gt;"",AA965,0)</f>
        <v>3.6</v>
      </c>
      <c r="AL965" s="153" t="n">
        <f aca="false">IF(AND($N965="MND",$Q965="EMBOQUE"),$M965,IF(AND($N965="VCA",$Q965="LINEAR"),$M965,IF(AND($N965="VCA",$Q965="PREDIAL"),0,0)))</f>
        <v>348.11</v>
      </c>
      <c r="AM965" s="153" t="n">
        <f aca="false">IF(AND($N965="MND",$Q965="EMBOQUE"),$M965,IF(AND($N965="VCA",$Q965="LINEAR"),$M965,IF(AND($N965="VCA",$Q965="PREDIAL"),0,0)))</f>
        <v>348.11</v>
      </c>
      <c r="AN965" s="153" t="n">
        <f aca="false">ROUND(IF(AND($N965="VCA",$M965&lt;&gt;"",$Q965="LINEAR"),$M965/100,IF(AND($N965="MND",$M965&gt;100,$Q965="EMBOQUE"),$M965/100,0)),0)</f>
        <v>3</v>
      </c>
      <c r="AO965" s="153" t="n">
        <f aca="false">IF(AND($N965="MND",$Q965="EMBOQUE"),$AN965*2*2,IF(AND($N965="VCA",$Q965="LINEAR"),$M965*2,IF(AND($N965="VCA",$Q965="PREDIAL"),0,0)))</f>
        <v>696.22</v>
      </c>
      <c r="AP965" s="153" t="n">
        <f aca="false">IFERROR($M965*$AF965*$AG965,0)</f>
        <v>308.4080545</v>
      </c>
      <c r="AQ965" s="153" t="n">
        <f aca="false">IFERROR(IF(AND($N965="VCA",$AH965&gt;0),$M965*$AG965*$AH965,0),0)</f>
        <v>22.62715</v>
      </c>
      <c r="AR965" s="153" t="n">
        <f aca="false">IFERROR(IF(AND($N965="VCA",$AJ965&gt;0),($M965*$AG965*$AJ965)-$AI965,0),0)</f>
        <v>81.0514102349533</v>
      </c>
      <c r="AS965" s="153" t="n">
        <f aca="false">IFERROR(IF(AND($N965="VCA",$AP965&gt;0),$AP965-$AI965-$AQ965-$AR965,0),0)</f>
        <v>203.64435</v>
      </c>
      <c r="AT965" s="153" t="n">
        <f aca="false">IFERROR(IF($N965="VCA",INDEX(APOIO_REDES!$A:$W,MATCH($C965&amp;$I965&amp;$H965&amp;$N965&amp;$O965,APOIO_REDES!$W:$W,0),MATCH(AT$5,APOIO_REDES!$5:$5,0)),0)*$AP965,0)</f>
        <v>3.35557091708454</v>
      </c>
      <c r="AU965" s="153" t="n">
        <f aca="false">IFERROR(IF($N965="VCA",INDEX(APOIO_REDES!$A:$W,MATCH($C965&amp;$I965&amp;$H965&amp;$N965&amp;$O965,APOIO_REDES!$W:$W,0),MATCH(AU$5,APOIO_REDES!$5:$5,0)),0)*$AP965,0)</f>
        <v>2.67966805399779</v>
      </c>
      <c r="AV965" s="153" t="n">
        <f aca="false">IFERROR(IF($N965="VCA",INDEX(APOIO_REDES!$A:$W,MATCH($C965&amp;$I965&amp;$H965&amp;$N965&amp;$O965,APOIO_REDES!$W:$W,0),MATCH(AV$5,APOIO_REDES!$5:$5,0)),0)*$AP965,0)</f>
        <v>0.37084502245428</v>
      </c>
      <c r="AW965" s="153" t="n">
        <f aca="false">IFERROR(IF($N965="VCA",INDEX(APOIO_REDES!$A:$W,MATCH($C965&amp;$I965&amp;$H965&amp;$N965&amp;$O965,APOIO_REDES!$W:$W,0),MATCH(AW$5,APOIO_REDES!$5:$5,0)),0)*$AP965,0)</f>
        <v>211.693678271016</v>
      </c>
      <c r="AX965" s="153" t="n">
        <f aca="false">IFERROR(IF($N965="VCA",INDEX(APOIO_REDES!$A:$W,MATCH($C965&amp;$I965&amp;$H965&amp;$N965&amp;$O965,APOIO_REDES!$W:$W,0),MATCH(AX$5,APOIO_REDES!$5:$5,0)),0)*$AP965,0)</f>
        <v>29.2978020518515</v>
      </c>
      <c r="AY965" s="153" t="n">
        <f aca="false">IFERROR(IF($N965="VCA",INDEX(APOIO_REDES!$A:$W,MATCH($C965&amp;$I965&amp;$H965&amp;$N965&amp;$O965,APOIO_REDES!$W:$W,0),MATCH(AY$5,APOIO_REDES!$5:$5,0)),0)*$AP965,0)</f>
        <v>53.5933284150194</v>
      </c>
      <c r="AZ965" s="153" t="n">
        <f aca="false">IFERROR(IF($N965="VCA",INDEX(APOIO_REDES!$A:$W,MATCH($C965&amp;$I965&amp;$H965&amp;$N965&amp;$O965,APOIO_REDES!$W:$W,0),MATCH(AZ$5,APOIO_REDES!$5:$5,0)),0)*$AP965,0)</f>
        <v>7.41716176857645</v>
      </c>
      <c r="BA965" s="153" t="n">
        <f aca="false">IFERROR(IF(AND($N965="VCA",$Q965="LINEAR"),INDEX(APOIO_REDES!$A:$W,MATCH($C965&amp;$I965&amp;$H965&amp;$N965&amp;$O965,APOIO_REDES!$W:$W,0),MATCH(BA$5,APOIO_REDES!$5:$5,0)),IF(AND($N965="MND",$Q965="EMBOQUE"),INDEX(APOIO_REDES!$A:$W,MATCH($C965&amp;$I965&amp;$H965&amp;$N965&amp;$O965,APOIO_REDES!$W:$W,0),MATCH(BA$5,APOIO_REDES!$5:$5,0)),0))*$M965/10,0)</f>
        <v>28.0567879202973</v>
      </c>
      <c r="BB965" s="153" t="n">
        <f aca="false">IFERROR(IF($N965="VCA",INDEX(APOIO_REDES!$A:$W,MATCH($C965&amp;$I965&amp;$H965&amp;$N965&amp;$O965,APOIO_REDES!$W:$W,0),MATCH(BB$5,APOIO_REDES!$5:$5,0)),0)*($AI965+$AQ965+$AR965),0)</f>
        <v>103.623844386566</v>
      </c>
      <c r="BC965" s="153" t="n">
        <f aca="false">IFERROR(IF($N965="VCA",INDEX(APOIO_REDES!$A:$W,MATCH($C965&amp;$I965&amp;$H965&amp;$N965&amp;$O965,APOIO_REDES!$W:$W,0),MATCH(BC$5,APOIO_REDES!$5:$5,0)),0)*($AI965+$AQ965+$AR965),0)</f>
        <v>1.13986011343371</v>
      </c>
      <c r="BD965" s="153" t="n">
        <f aca="false">IF(AND($N965="VCA",$AF965&gt;=1.25,$AF965&lt;1.5),$M965*$AF965*2,0)</f>
        <v>948.94786</v>
      </c>
      <c r="BE965" s="153" t="n">
        <f aca="false">IF(AND($N965="VCA",$AF965&gt;=1.5,$AF965&lt;3),$M965*$AF965*2,0)</f>
        <v>0</v>
      </c>
      <c r="BF965" s="153" t="n">
        <f aca="false">IF(AND($N965="VCA",$AF965&gt;=3),$M965*$AF965*2,0)</f>
        <v>0</v>
      </c>
      <c r="BG965" s="153" t="n">
        <f aca="false">($BB965+$BC965)*$AK965</f>
        <v>377.1493362</v>
      </c>
      <c r="BH965" s="153" t="n">
        <f aca="false">IF(AND($M965&lt;&gt;"",$N965="VCA",$Q965="LINEAR"),($M965*2)/100,IF(AND($M965&lt;&gt;"",$N965="MND",$Q965="EMBOQUE"),($AN965*2)/100,0))</f>
        <v>6.9622</v>
      </c>
      <c r="BI965" s="153" t="n">
        <f aca="false">IF(AND($M965&lt;&gt;"",$N965="VCA",$Q965="LINEAR"),$M965,IF(AND($M965&lt;&gt;"",$N965="MND",$Q965="EMBOQUE"),$AN965*2,0))</f>
        <v>348.11</v>
      </c>
      <c r="BJ965" s="153" t="n">
        <f aca="false">IF(AND($M965&lt;&gt;"",$N965="VCA",$Q965="LINEAR"),($M965*6.8)/100,IF(AND($M965&lt;&gt;"",$N965="MND",$Q965="EMBOQUE"),($AN965*2*6.8)/100,0))</f>
        <v>23.67148</v>
      </c>
      <c r="BK965" s="153" t="n">
        <f aca="false">IF(AND($M965&lt;&gt;"",$N965="VCA",$Q965="LINEAR"),($M965*2.5)/50,IF(AND($M965&lt;&gt;"",$N965="MND",$Q965="EMBOQUE"),($AN965*2*2.5)/50,0))</f>
        <v>17.4055</v>
      </c>
      <c r="BL965" s="157" t="str">
        <f aca="false">K965&amp;J965</f>
        <v>Zona09REDES</v>
      </c>
      <c r="BM965" s="152" t="s">
        <v>5109</v>
      </c>
      <c r="BN965" s="152" t="s">
        <v>1560</v>
      </c>
      <c r="BO965" s="152" t="s">
        <v>5062</v>
      </c>
      <c r="BP965" s="152" t="s">
        <v>5200</v>
      </c>
      <c r="BQ965" s="152" t="s">
        <v>5208</v>
      </c>
      <c r="BR965" s="152" t="s">
        <v>5212</v>
      </c>
      <c r="BS965" s="152" t="n">
        <v>202878.505</v>
      </c>
      <c r="BT965" s="152" t="n">
        <v>8236756.818</v>
      </c>
      <c r="BU965" s="152" t="n">
        <v>202538.883</v>
      </c>
      <c r="BV965" s="152" t="n">
        <v>8236680.666</v>
      </c>
      <c r="BW965" s="152" t="n">
        <v>-15.9309939</v>
      </c>
      <c r="BX965" s="152" t="n">
        <v>-47.7767621</v>
      </c>
      <c r="BY965" s="152" t="s">
        <v>5200</v>
      </c>
    </row>
    <row r="966" customFormat="false" ht="13.8" hidden="false" customHeight="false" outlineLevel="0" collapsed="false">
      <c r="A966" s="149" t="n">
        <f aca="false">IF(C966&lt;&gt;"",ROW(A961),"")</f>
        <v>961</v>
      </c>
      <c r="B966" s="150" t="str">
        <f aca="false">HYPERLINK("https://www.google.com/maps/dir/-15.917302,-47.760003/-15.9311508,-47.7726834/data=!4m3!4m2!3e0!5i2")</f>
        <v>https://www.google.com/maps/dir/-15.917302,-47.760003/-15.9311508,-47.7726834/data=!4m3!4m2!3e0!5i2</v>
      </c>
      <c r="C966" s="151" t="s">
        <v>117</v>
      </c>
      <c r="D966" s="152" t="s">
        <v>112</v>
      </c>
      <c r="E966" s="152" t="s">
        <v>113</v>
      </c>
      <c r="F966" s="152" t="s">
        <v>117</v>
      </c>
      <c r="G966" s="152" t="s">
        <v>782</v>
      </c>
      <c r="H966" s="152" t="n">
        <v>63</v>
      </c>
      <c r="I966" s="152" t="s">
        <v>115</v>
      </c>
      <c r="J966" s="152" t="s">
        <v>6</v>
      </c>
      <c r="K966" s="152" t="s">
        <v>5106</v>
      </c>
      <c r="L966" s="152" t="s">
        <v>120</v>
      </c>
      <c r="M966" s="153" t="n">
        <f aca="false">42.47</f>
        <v>42.47</v>
      </c>
      <c r="N966" s="152" t="s">
        <v>1548</v>
      </c>
      <c r="O966" s="152" t="s">
        <v>1549</v>
      </c>
      <c r="P966" s="152" t="s">
        <v>1550</v>
      </c>
      <c r="Q966" s="152" t="s">
        <v>1551</v>
      </c>
      <c r="R966" s="154" t="s">
        <v>5213</v>
      </c>
      <c r="S966" s="154" t="s">
        <v>1553</v>
      </c>
      <c r="T966" s="155" t="s">
        <v>5060</v>
      </c>
      <c r="U966" s="152" t="str">
        <f aca="false">RIGHT(T966,7)</f>
        <v>014/037</v>
      </c>
      <c r="V966" s="152" t="s">
        <v>1555</v>
      </c>
      <c r="W966" s="156" t="n">
        <v>45882</v>
      </c>
      <c r="X966" s="152" t="s">
        <v>1594</v>
      </c>
      <c r="Y966" s="152"/>
      <c r="Z966" s="152" t="s">
        <v>1557</v>
      </c>
      <c r="AA966" s="153" t="n">
        <v>4.8</v>
      </c>
      <c r="AB966" s="151" t="s">
        <v>5214</v>
      </c>
      <c r="AC966" s="151" t="s">
        <v>186</v>
      </c>
      <c r="AD966" s="151" t="str">
        <f aca="false">CONCATENATE($C966,$I966,$H966,$N966,$J966,$K966)</f>
        <v>TUBO PEADPEAD63VCAREDESZona09</v>
      </c>
      <c r="AE966" s="153" t="n">
        <f aca="false">IFERROR(INDEX(APOIO_REDES!$A:$W,MATCH($C966&amp;$I966&amp;$H966&amp;$N966&amp;$O966,APOIO_REDES!$W:$W,0),MATCH(AE$5,APOIO_REDES!$5:$5,0)),0)</f>
        <v>1.2</v>
      </c>
      <c r="AF966" s="153" t="n">
        <f aca="false">IFERROR(INDEX(APOIO_REDES!$A:$W,MATCH($C966&amp;$I966&amp;$H966&amp;$N966&amp;$O966,APOIO_REDES!$W:$W,0),MATCH(AF$5,APOIO_REDES!$5:$5,0)),0)</f>
        <v>1.363</v>
      </c>
      <c r="AG966" s="153" t="n">
        <f aca="false">IFERROR(INDEX(APOIO_REDES!$A:$W,MATCH($C966&amp;$I966&amp;$H966&amp;$N966&amp;$O966,APOIO_REDES!$W:$W,0),MATCH(AG$5,APOIO_REDES!$5:$5,0)),0)</f>
        <v>0.65</v>
      </c>
      <c r="AH966" s="153" t="n">
        <f aca="false">IFERROR(INDEX(APOIO_REDES!$A:$W,MATCH($C966&amp;$I966&amp;$H966&amp;$N966&amp;$O966,APOIO_REDES!$W:$W,0),MATCH(AH$5,APOIO_REDES!$5:$5,0)),0)</f>
        <v>0.1</v>
      </c>
      <c r="AI966" s="153" t="n">
        <f aca="false">IFERROR(IF($H966&lt;&gt;"",(((($H966/1000)/2)^2)*PI()*$M966),0),0)</f>
        <v>0.132389408337974</v>
      </c>
      <c r="AJ966" s="153" t="n">
        <f aca="false">IFERROR(IF(AND($H966&lt;&gt;"",$I966="FoFo",OR($N966="MND",$N966="VCA"),$Q966="LINEAR"),0,IF(AND($H966&lt;&gt;"",$I966="PEAD",$N966="VCA",$Q966="LINEAR"),($H966/1000)+0.3,IF(AND($H966&lt;&gt;"",$I966="PEAD",$N966="MND",$Q966="EMBOQUE"),0,IF(AND($H966&lt;&gt;"",$I966="PVC",$N966="VCA",$Q966="LINEAR"),($H966/1000)+0.2,IF(AND($H966&lt;&gt;"",$I966="PVC",$N966="MND",$Q966="EMBOQUE"),0,IF(AND($H966&lt;&gt;"",$I966="PEAD",$N966="VCA",$Q966="PREDIAL"),0,0)))))),0)</f>
        <v>0.363</v>
      </c>
      <c r="AK966" s="153" t="n">
        <f aca="false">IF(AA966&lt;&gt;"",AA966,0)</f>
        <v>4.8</v>
      </c>
      <c r="AL966" s="153" t="n">
        <f aca="false">IF(AND($N966="MND",$Q966="EMBOQUE"),$M966,IF(AND($N966="VCA",$Q966="LINEAR"),$M966,IF(AND($N966="VCA",$Q966="PREDIAL"),0,0)))</f>
        <v>42.47</v>
      </c>
      <c r="AM966" s="153" t="n">
        <f aca="false">IF(AND($N966="MND",$Q966="EMBOQUE"),$M966,IF(AND($N966="VCA",$Q966="LINEAR"),$M966,IF(AND($N966="VCA",$Q966="PREDIAL"),0,0)))</f>
        <v>42.47</v>
      </c>
      <c r="AN966" s="153" t="n">
        <f aca="false">ROUND(IF(AND($N966="VCA",$M966&lt;&gt;"",$Q966="LINEAR"),$M966/100,IF(AND($N966="MND",$M966&gt;100,$Q966="EMBOQUE"),$M966/100,0)),0)</f>
        <v>0</v>
      </c>
      <c r="AO966" s="153" t="n">
        <f aca="false">IF(AND($N966="MND",$Q966="EMBOQUE"),$AN966*2*2,IF(AND($N966="VCA",$Q966="LINEAR"),$M966*2,IF(AND($N966="VCA",$Q966="PREDIAL"),0,0)))</f>
        <v>84.94</v>
      </c>
      <c r="AP966" s="153" t="n">
        <f aca="false">IFERROR($M966*$AF966*$AG966,0)</f>
        <v>37.6262965</v>
      </c>
      <c r="AQ966" s="153" t="n">
        <f aca="false">IFERROR(IF(AND($N966="VCA",$AH966&gt;0),$M966*$AG966*$AH966,0),0)</f>
        <v>2.76055</v>
      </c>
      <c r="AR966" s="153" t="n">
        <f aca="false">IFERROR(IF(AND($N966="VCA",$AJ966&gt;0),($M966*$AG966*$AJ966)-$AI966,0),0)</f>
        <v>9.88840709166203</v>
      </c>
      <c r="AS966" s="153" t="n">
        <f aca="false">IFERROR(IF(AND($N966="VCA",$AP966&gt;0),$AP966-$AI966-$AQ966-$AR966,0),0)</f>
        <v>24.84495</v>
      </c>
      <c r="AT966" s="153" t="n">
        <f aca="false">IFERROR(IF($N966="VCA",INDEX(APOIO_REDES!$A:$W,MATCH($C966&amp;$I966&amp;$H966&amp;$N966&amp;$O966,APOIO_REDES!$W:$W,0),MATCH(AT$5,APOIO_REDES!$5:$5,0)),0)*$AP966,0)</f>
        <v>0.409385242735287</v>
      </c>
      <c r="AU966" s="153" t="n">
        <f aca="false">IFERROR(IF($N966="VCA",INDEX(APOIO_REDES!$A:$W,MATCH($C966&amp;$I966&amp;$H966&amp;$N966&amp;$O966,APOIO_REDES!$W:$W,0),MATCH(AU$5,APOIO_REDES!$5:$5,0)),0)*$AP966,0)</f>
        <v>0.326923967289897</v>
      </c>
      <c r="AV966" s="153" t="n">
        <f aca="false">IFERROR(IF($N966="VCA",INDEX(APOIO_REDES!$A:$W,MATCH($C966&amp;$I966&amp;$H966&amp;$N966&amp;$O966,APOIO_REDES!$W:$W,0),MATCH(AV$5,APOIO_REDES!$5:$5,0)),0)*$AP966,0)</f>
        <v>0.0452437106191528</v>
      </c>
      <c r="AW966" s="153" t="n">
        <f aca="false">IFERROR(IF($N966="VCA",INDEX(APOIO_REDES!$A:$W,MATCH($C966&amp;$I966&amp;$H966&amp;$N966&amp;$O966,APOIO_REDES!$W:$W,0),MATCH(AW$5,APOIO_REDES!$5:$5,0)),0)*$AP966,0)</f>
        <v>25.8269814603719</v>
      </c>
      <c r="AX966" s="153" t="n">
        <f aca="false">IFERROR(IF($N966="VCA",INDEX(APOIO_REDES!$A:$W,MATCH($C966&amp;$I966&amp;$H966&amp;$N966&amp;$O966,APOIO_REDES!$W:$W,0),MATCH(AX$5,APOIO_REDES!$5:$5,0)),0)*$AP966,0)</f>
        <v>3.57438066456619</v>
      </c>
      <c r="AY966" s="153" t="n">
        <f aca="false">IFERROR(IF($N966="VCA",INDEX(APOIO_REDES!$A:$W,MATCH($C966&amp;$I966&amp;$H966&amp;$N966&amp;$O966,APOIO_REDES!$W:$W,0),MATCH(AY$5,APOIO_REDES!$5:$5,0)),0)*$AP966,0)</f>
        <v>6.53847536062128</v>
      </c>
      <c r="AZ966" s="153" t="n">
        <f aca="false">IFERROR(IF($N966="VCA",INDEX(APOIO_REDES!$A:$W,MATCH($C966&amp;$I966&amp;$H966&amp;$N966&amp;$O966,APOIO_REDES!$W:$W,0),MATCH(AZ$5,APOIO_REDES!$5:$5,0)),0)*$AP966,0)</f>
        <v>0.904906093796334</v>
      </c>
      <c r="BA966" s="153" t="n">
        <f aca="false">IFERROR(IF(AND($N966="VCA",$Q966="LINEAR"),INDEX(APOIO_REDES!$A:$W,MATCH($C966&amp;$I966&amp;$H966&amp;$N966&amp;$O966,APOIO_REDES!$W:$W,0),MATCH(BA$5,APOIO_REDES!$5:$5,0)),IF(AND($N966="MND",$Q966="EMBOQUE"),INDEX(APOIO_REDES!$A:$W,MATCH($C966&amp;$I966&amp;$H966&amp;$N966&amp;$O966,APOIO_REDES!$W:$W,0),MATCH(BA$5,APOIO_REDES!$5:$5,0)),0))*$M966/10,0)</f>
        <v>3.42297487281327</v>
      </c>
      <c r="BB966" s="153" t="n">
        <f aca="false">IFERROR(IF($N966="VCA",INDEX(APOIO_REDES!$A:$W,MATCH($C966&amp;$I966&amp;$H966&amp;$N966&amp;$O966,APOIO_REDES!$W:$W,0),MATCH(BB$5,APOIO_REDES!$5:$5,0)),0)*($AI966+$AQ966+$AR966),0)</f>
        <v>12.6422816669945</v>
      </c>
      <c r="BC966" s="153" t="n">
        <f aca="false">IFERROR(IF($N966="VCA",INDEX(APOIO_REDES!$A:$W,MATCH($C966&amp;$I966&amp;$H966&amp;$N966&amp;$O966,APOIO_REDES!$W:$W,0),MATCH(BC$5,APOIO_REDES!$5:$5,0)),0)*($AI966+$AQ966+$AR966),0)</f>
        <v>0.139064833005457</v>
      </c>
      <c r="BD966" s="153" t="n">
        <f aca="false">IF(AND($N966="VCA",$AF966&gt;=1.25,$AF966&lt;1.5),$M966*$AF966*2,0)</f>
        <v>115.77322</v>
      </c>
      <c r="BE966" s="153" t="n">
        <f aca="false">IF(AND($N966="VCA",$AF966&gt;=1.5,$AF966&lt;3),$M966*$AF966*2,0)</f>
        <v>0</v>
      </c>
      <c r="BF966" s="153" t="n">
        <f aca="false">IF(AND($N966="VCA",$AF966&gt;=3),$M966*$AF966*2,0)</f>
        <v>0</v>
      </c>
      <c r="BG966" s="153" t="n">
        <f aca="false">($BB966+$BC966)*$AK966</f>
        <v>61.3504632</v>
      </c>
      <c r="BH966" s="153" t="n">
        <f aca="false">IF(AND($M966&lt;&gt;"",$N966="VCA",$Q966="LINEAR"),($M966*2)/100,IF(AND($M966&lt;&gt;"",$N966="MND",$Q966="EMBOQUE"),($AN966*2)/100,0))</f>
        <v>0.8494</v>
      </c>
      <c r="BI966" s="153" t="n">
        <f aca="false">IF(AND($M966&lt;&gt;"",$N966="VCA",$Q966="LINEAR"),$M966,IF(AND($M966&lt;&gt;"",$N966="MND",$Q966="EMBOQUE"),$AN966*2,0))</f>
        <v>42.47</v>
      </c>
      <c r="BJ966" s="153" t="n">
        <f aca="false">IF(AND($M966&lt;&gt;"",$N966="VCA",$Q966="LINEAR"),($M966*6.8)/100,IF(AND($M966&lt;&gt;"",$N966="MND",$Q966="EMBOQUE"),($AN966*2*6.8)/100,0))</f>
        <v>2.88796</v>
      </c>
      <c r="BK966" s="153" t="n">
        <f aca="false">IF(AND($M966&lt;&gt;"",$N966="VCA",$Q966="LINEAR"),($M966*2.5)/50,IF(AND($M966&lt;&gt;"",$N966="MND",$Q966="EMBOQUE"),($AN966*2*2.5)/50,0))</f>
        <v>2.1235</v>
      </c>
      <c r="BL966" s="157" t="str">
        <f aca="false">K966&amp;J966</f>
        <v>Zona09REDES</v>
      </c>
      <c r="BM966" s="152" t="s">
        <v>5109</v>
      </c>
      <c r="BN966" s="152" t="s">
        <v>1560</v>
      </c>
      <c r="BO966" s="152" t="s">
        <v>5062</v>
      </c>
      <c r="BP966" s="152" t="s">
        <v>5215</v>
      </c>
      <c r="BQ966" s="152" t="s">
        <v>5216</v>
      </c>
      <c r="BR966" s="152" t="s">
        <v>5217</v>
      </c>
      <c r="BS966" s="152" t="n">
        <v>203145.79</v>
      </c>
      <c r="BT966" s="152" t="n">
        <v>8236707.66</v>
      </c>
      <c r="BU966" s="152" t="n">
        <v>203127.856</v>
      </c>
      <c r="BV966" s="152" t="n">
        <v>8236669.162</v>
      </c>
      <c r="BW966" s="152" t="n">
        <v>-15.9313236</v>
      </c>
      <c r="BX966" s="152" t="n">
        <v>-47.7727695</v>
      </c>
      <c r="BY966" s="152" t="s">
        <v>5215</v>
      </c>
    </row>
    <row r="967" customFormat="false" ht="13.8" hidden="false" customHeight="false" outlineLevel="0" collapsed="false">
      <c r="A967" s="149" t="n">
        <f aca="false">IF(C967&lt;&gt;"",ROW(A962),"")</f>
        <v>962</v>
      </c>
      <c r="B967" s="150" t="str">
        <f aca="false">HYPERLINK("https://www.google.com/maps/dir/-15.917302,-47.760003/-15.9310088,-47.7751032/data=!4m3!4m2!3e0!5i0")</f>
        <v>https://www.google.com/maps/dir/-15.917302,-47.760003/-15.9310088,-47.7751032/data=!4m3!4m2!3e0!5i0</v>
      </c>
      <c r="C967" s="151" t="s">
        <v>117</v>
      </c>
      <c r="D967" s="152" t="s">
        <v>112</v>
      </c>
      <c r="E967" s="152" t="s">
        <v>113</v>
      </c>
      <c r="F967" s="152" t="s">
        <v>117</v>
      </c>
      <c r="G967" s="152" t="s">
        <v>782</v>
      </c>
      <c r="H967" s="152" t="n">
        <v>63</v>
      </c>
      <c r="I967" s="152" t="s">
        <v>115</v>
      </c>
      <c r="J967" s="152" t="s">
        <v>6</v>
      </c>
      <c r="K967" s="152" t="s">
        <v>5106</v>
      </c>
      <c r="L967" s="152" t="s">
        <v>120</v>
      </c>
      <c r="M967" s="153" t="n">
        <f aca="false">349.87</f>
        <v>349.87</v>
      </c>
      <c r="N967" s="152" t="s">
        <v>1548</v>
      </c>
      <c r="O967" s="152" t="s">
        <v>1549</v>
      </c>
      <c r="P967" s="152" t="s">
        <v>1550</v>
      </c>
      <c r="Q967" s="152" t="s">
        <v>1551</v>
      </c>
      <c r="R967" s="154" t="s">
        <v>5218</v>
      </c>
      <c r="S967" s="154" t="s">
        <v>1553</v>
      </c>
      <c r="T967" s="155" t="s">
        <v>5060</v>
      </c>
      <c r="U967" s="152" t="str">
        <f aca="false">RIGHT(T967,7)</f>
        <v>014/037</v>
      </c>
      <c r="V967" s="152" t="s">
        <v>1555</v>
      </c>
      <c r="W967" s="156" t="n">
        <v>45882</v>
      </c>
      <c r="X967" s="152" t="s">
        <v>1594</v>
      </c>
      <c r="Y967" s="152" t="s">
        <v>5219</v>
      </c>
      <c r="Z967" s="152" t="s">
        <v>1557</v>
      </c>
      <c r="AA967" s="153" t="n">
        <v>3.6</v>
      </c>
      <c r="AB967" s="151" t="s">
        <v>5220</v>
      </c>
      <c r="AC967" s="151" t="s">
        <v>186</v>
      </c>
      <c r="AD967" s="151" t="str">
        <f aca="false">CONCATENATE($C967,$I967,$H967,$N967,$J967,$K967)</f>
        <v>TUBO PEADPEAD63VCAREDESZona09</v>
      </c>
      <c r="AE967" s="153" t="n">
        <f aca="false">IFERROR(INDEX(APOIO_REDES!$A:$W,MATCH($C967&amp;$I967&amp;$H967&amp;$N967&amp;$O967,APOIO_REDES!$W:$W,0),MATCH(AE$5,APOIO_REDES!$5:$5,0)),0)</f>
        <v>1.2</v>
      </c>
      <c r="AF967" s="153" t="n">
        <f aca="false">IFERROR(INDEX(APOIO_REDES!$A:$W,MATCH($C967&amp;$I967&amp;$H967&amp;$N967&amp;$O967,APOIO_REDES!$W:$W,0),MATCH(AF$5,APOIO_REDES!$5:$5,0)),0)</f>
        <v>1.363</v>
      </c>
      <c r="AG967" s="153" t="n">
        <f aca="false">IFERROR(INDEX(APOIO_REDES!$A:$W,MATCH($C967&amp;$I967&amp;$H967&amp;$N967&amp;$O967,APOIO_REDES!$W:$W,0),MATCH(AG$5,APOIO_REDES!$5:$5,0)),0)</f>
        <v>0.65</v>
      </c>
      <c r="AH967" s="153" t="n">
        <f aca="false">IFERROR(INDEX(APOIO_REDES!$A:$W,MATCH($C967&amp;$I967&amp;$H967&amp;$N967&amp;$O967,APOIO_REDES!$W:$W,0),MATCH(AH$5,APOIO_REDES!$5:$5,0)),0)</f>
        <v>0.1</v>
      </c>
      <c r="AI967" s="153" t="n">
        <f aca="false">IFERROR(IF($H967&lt;&gt;"",(((($H967/1000)/2)^2)*PI()*$M967),0),0)</f>
        <v>1.0906306167932</v>
      </c>
      <c r="AJ967" s="153" t="n">
        <f aca="false">IFERROR(IF(AND($H967&lt;&gt;"",$I967="FoFo",OR($N967="MND",$N967="VCA"),$Q967="LINEAR"),0,IF(AND($H967&lt;&gt;"",$I967="PEAD",$N967="VCA",$Q967="LINEAR"),($H967/1000)+0.3,IF(AND($H967&lt;&gt;"",$I967="PEAD",$N967="MND",$Q967="EMBOQUE"),0,IF(AND($H967&lt;&gt;"",$I967="PVC",$N967="VCA",$Q967="LINEAR"),($H967/1000)+0.2,IF(AND($H967&lt;&gt;"",$I967="PVC",$N967="MND",$Q967="EMBOQUE"),0,IF(AND($H967&lt;&gt;"",$I967="PEAD",$N967="VCA",$Q967="PREDIAL"),0,0)))))),0)</f>
        <v>0.363</v>
      </c>
      <c r="AK967" s="153" t="n">
        <f aca="false">IF(AA967&lt;&gt;"",AA967,0)</f>
        <v>3.6</v>
      </c>
      <c r="AL967" s="153" t="n">
        <f aca="false">IF(AND($N967="MND",$Q967="EMBOQUE"),$M967,IF(AND($N967="VCA",$Q967="LINEAR"),$M967,IF(AND($N967="VCA",$Q967="PREDIAL"),0,0)))</f>
        <v>349.87</v>
      </c>
      <c r="AM967" s="153" t="n">
        <f aca="false">IF(AND($N967="MND",$Q967="EMBOQUE"),$M967,IF(AND($N967="VCA",$Q967="LINEAR"),$M967,IF(AND($N967="VCA",$Q967="PREDIAL"),0,0)))</f>
        <v>349.87</v>
      </c>
      <c r="AN967" s="153" t="n">
        <f aca="false">ROUND(IF(AND($N967="VCA",$M967&lt;&gt;"",$Q967="LINEAR"),$M967/100,IF(AND($N967="MND",$M967&gt;100,$Q967="EMBOQUE"),$M967/100,0)),0)</f>
        <v>3</v>
      </c>
      <c r="AO967" s="153" t="n">
        <f aca="false">IF(AND($N967="MND",$Q967="EMBOQUE"),$AN967*2*2,IF(AND($N967="VCA",$Q967="LINEAR"),$M967*2,IF(AND($N967="VCA",$Q967="PREDIAL"),0,0)))</f>
        <v>699.74</v>
      </c>
      <c r="AP967" s="153" t="n">
        <f aca="false">IFERROR($M967*$AF967*$AG967,0)</f>
        <v>309.9673265</v>
      </c>
      <c r="AQ967" s="153" t="n">
        <f aca="false">IFERROR(IF(AND($N967="VCA",$AH967&gt;0),$M967*$AG967*$AH967,0),0)</f>
        <v>22.74155</v>
      </c>
      <c r="AR967" s="153" t="n">
        <f aca="false">IFERROR(IF(AND($N967="VCA",$AJ967&gt;0),($M967*$AG967*$AJ967)-$AI967,0),0)</f>
        <v>81.4611958832068</v>
      </c>
      <c r="AS967" s="153" t="n">
        <f aca="false">IFERROR(IF(AND($N967="VCA",$AP967&gt;0),$AP967-$AI967-$AQ967-$AR967,0),0)</f>
        <v>204.67395</v>
      </c>
      <c r="AT967" s="153" t="n">
        <f aca="false">IFERROR(IF($N967="VCA",INDEX(APOIO_REDES!$A:$W,MATCH($C967&amp;$I967&amp;$H967&amp;$N967&amp;$O967,APOIO_REDES!$W:$W,0),MATCH(AT$5,APOIO_REDES!$5:$5,0)),0)*$AP967,0)</f>
        <v>3.3725362579655</v>
      </c>
      <c r="AU967" s="153" t="n">
        <f aca="false">IFERROR(IF($N967="VCA",INDEX(APOIO_REDES!$A:$W,MATCH($C967&amp;$I967&amp;$H967&amp;$N967&amp;$O967,APOIO_REDES!$W:$W,0),MATCH(AU$5,APOIO_REDES!$5:$5,0)),0)*$AP967,0)</f>
        <v>2.69321611574561</v>
      </c>
      <c r="AV967" s="153" t="n">
        <f aca="false">IFERROR(IF($N967="VCA",INDEX(APOIO_REDES!$A:$W,MATCH($C967&amp;$I967&amp;$H967&amp;$N967&amp;$O967,APOIO_REDES!$W:$W,0),MATCH(AV$5,APOIO_REDES!$5:$5,0)),0)*$AP967,0)</f>
        <v>0.372719967843725</v>
      </c>
      <c r="AW967" s="153" t="n">
        <f aca="false">IFERROR(IF($N967="VCA",INDEX(APOIO_REDES!$A:$W,MATCH($C967&amp;$I967&amp;$H967&amp;$N967&amp;$O967,APOIO_REDES!$W:$W,0),MATCH(AW$5,APOIO_REDES!$5:$5,0)),0)*$AP967,0)</f>
        <v>212.763974653645</v>
      </c>
      <c r="AX967" s="153" t="n">
        <f aca="false">IFERROR(IF($N967="VCA",INDEX(APOIO_REDES!$A:$W,MATCH($C967&amp;$I967&amp;$H967&amp;$N967&amp;$O967,APOIO_REDES!$W:$W,0),MATCH(AX$5,APOIO_REDES!$5:$5,0)),0)*$AP967,0)</f>
        <v>29.4459280224104</v>
      </c>
      <c r="AY967" s="153" t="n">
        <f aca="false">IFERROR(IF($N967="VCA",INDEX(APOIO_REDES!$A:$W,MATCH($C967&amp;$I967&amp;$H967&amp;$N967&amp;$O967,APOIO_REDES!$W:$W,0),MATCH(AY$5,APOIO_REDES!$5:$5,0)),0)*$AP967,0)</f>
        <v>53.8642894848261</v>
      </c>
      <c r="AZ967" s="153" t="n">
        <f aca="false">IFERROR(IF($N967="VCA",INDEX(APOIO_REDES!$A:$W,MATCH($C967&amp;$I967&amp;$H967&amp;$N967&amp;$O967,APOIO_REDES!$W:$W,0),MATCH(AZ$5,APOIO_REDES!$5:$5,0)),0)*$AP967,0)</f>
        <v>7.45466199756354</v>
      </c>
      <c r="BA967" s="153" t="n">
        <f aca="false">IFERROR(IF(AND($N967="VCA",$Q967="LINEAR"),INDEX(APOIO_REDES!$A:$W,MATCH($C967&amp;$I967&amp;$H967&amp;$N967&amp;$O967,APOIO_REDES!$W:$W,0),MATCH(BA$5,APOIO_REDES!$5:$5,0)),IF(AND($N967="MND",$Q967="EMBOQUE"),INDEX(APOIO_REDES!$A:$W,MATCH($C967&amp;$I967&amp;$H967&amp;$N967&amp;$O967,APOIO_REDES!$W:$W,0),MATCH(BA$5,APOIO_REDES!$5:$5,0)),0))*$M967/10,0)</f>
        <v>28.1986394808377</v>
      </c>
      <c r="BB967" s="153" t="n">
        <f aca="false">IFERROR(IF($N967="VCA",INDEX(APOIO_REDES!$A:$W,MATCH($C967&amp;$I967&amp;$H967&amp;$N967&amp;$O967,APOIO_REDES!$W:$W,0),MATCH(BB$5,APOIO_REDES!$5:$5,0)),0)*($AI967+$AQ967+$AR967),0)</f>
        <v>104.147753398431</v>
      </c>
      <c r="BC967" s="153" t="n">
        <f aca="false">IFERROR(IF($N967="VCA",INDEX(APOIO_REDES!$A:$W,MATCH($C967&amp;$I967&amp;$H967&amp;$N967&amp;$O967,APOIO_REDES!$W:$W,0),MATCH(BC$5,APOIO_REDES!$5:$5,0)),0)*($AI967+$AQ967+$AR967),0)</f>
        <v>1.14562310156862</v>
      </c>
      <c r="BD967" s="153" t="n">
        <f aca="false">IF(AND($N967="VCA",$AF967&gt;=1.25,$AF967&lt;1.5),$M967*$AF967*2,0)</f>
        <v>953.74562</v>
      </c>
      <c r="BE967" s="153" t="n">
        <f aca="false">IF(AND($N967="VCA",$AF967&gt;=1.5,$AF967&lt;3),$M967*$AF967*2,0)</f>
        <v>0</v>
      </c>
      <c r="BF967" s="153" t="n">
        <f aca="false">IF(AND($N967="VCA",$AF967&gt;=3),$M967*$AF967*2,0)</f>
        <v>0</v>
      </c>
      <c r="BG967" s="153" t="n">
        <f aca="false">($BB967+$BC967)*$AK967</f>
        <v>379.0561554</v>
      </c>
      <c r="BH967" s="153" t="n">
        <f aca="false">IF(AND($M967&lt;&gt;"",$N967="VCA",$Q967="LINEAR"),($M967*2)/100,IF(AND($M967&lt;&gt;"",$N967="MND",$Q967="EMBOQUE"),($AN967*2)/100,0))</f>
        <v>6.9974</v>
      </c>
      <c r="BI967" s="153" t="n">
        <f aca="false">IF(AND($M967&lt;&gt;"",$N967="VCA",$Q967="LINEAR"),$M967,IF(AND($M967&lt;&gt;"",$N967="MND",$Q967="EMBOQUE"),$AN967*2,0))</f>
        <v>349.87</v>
      </c>
      <c r="BJ967" s="153" t="n">
        <f aca="false">IF(AND($M967&lt;&gt;"",$N967="VCA",$Q967="LINEAR"),($M967*6.8)/100,IF(AND($M967&lt;&gt;"",$N967="MND",$Q967="EMBOQUE"),($AN967*2*6.8)/100,0))</f>
        <v>23.79116</v>
      </c>
      <c r="BK967" s="153" t="n">
        <f aca="false">IF(AND($M967&lt;&gt;"",$N967="VCA",$Q967="LINEAR"),($M967*2.5)/50,IF(AND($M967&lt;&gt;"",$N967="MND",$Q967="EMBOQUE"),($AN967*2*2.5)/50,0))</f>
        <v>17.4935</v>
      </c>
      <c r="BL967" s="157" t="str">
        <f aca="false">K967&amp;J967</f>
        <v>Zona09REDES</v>
      </c>
      <c r="BM967" s="152" t="s">
        <v>5109</v>
      </c>
      <c r="BN967" s="152" t="s">
        <v>1560</v>
      </c>
      <c r="BO967" s="152" t="s">
        <v>5062</v>
      </c>
      <c r="BP967" s="152" t="s">
        <v>5204</v>
      </c>
      <c r="BQ967" s="152" t="s">
        <v>5221</v>
      </c>
      <c r="BR967" s="152" t="s">
        <v>5222</v>
      </c>
      <c r="BS967" s="152" t="n">
        <v>202886.342</v>
      </c>
      <c r="BT967" s="152" t="n">
        <v>8236719.945</v>
      </c>
      <c r="BU967" s="152" t="n">
        <v>202544.195</v>
      </c>
      <c r="BV967" s="152" t="n">
        <v>8236654.069</v>
      </c>
      <c r="BW967" s="152" t="n">
        <v>-15.9313338</v>
      </c>
      <c r="BX967" s="152" t="n">
        <v>-47.7766919</v>
      </c>
      <c r="BY967" s="152" t="s">
        <v>5204</v>
      </c>
    </row>
    <row r="968" customFormat="false" ht="13.8" hidden="false" customHeight="false" outlineLevel="0" collapsed="false">
      <c r="A968" s="149" t="n">
        <f aca="false">IF(C968&lt;&gt;"",ROW(A963),"")</f>
        <v>963</v>
      </c>
      <c r="B968" s="150" t="str">
        <f aca="false">HYPERLINK("https://www.google.com/maps/dir/-15.917302,-47.760003/-15.9310088,-47.7751032/data=!4m3!4m2!3e0!5i0")</f>
        <v>https://www.google.com/maps/dir/-15.917302,-47.760003/-15.9310088,-47.7751032/data=!4m3!4m2!3e0!5i0</v>
      </c>
      <c r="C968" s="151" t="s">
        <v>117</v>
      </c>
      <c r="D968" s="152" t="s">
        <v>112</v>
      </c>
      <c r="E968" s="152" t="s">
        <v>113</v>
      </c>
      <c r="F968" s="152" t="s">
        <v>117</v>
      </c>
      <c r="G968" s="152" t="s">
        <v>782</v>
      </c>
      <c r="H968" s="152" t="n">
        <v>110</v>
      </c>
      <c r="I968" s="152" t="s">
        <v>115</v>
      </c>
      <c r="J968" s="152" t="s">
        <v>6</v>
      </c>
      <c r="K968" s="152" t="s">
        <v>5106</v>
      </c>
      <c r="L968" s="152" t="s">
        <v>120</v>
      </c>
      <c r="M968" s="153" t="n">
        <f aca="false">84.11</f>
        <v>84.11</v>
      </c>
      <c r="N968" s="152" t="s">
        <v>1548</v>
      </c>
      <c r="O968" s="152" t="s">
        <v>1549</v>
      </c>
      <c r="P968" s="152" t="s">
        <v>1550</v>
      </c>
      <c r="Q968" s="152" t="s">
        <v>1551</v>
      </c>
      <c r="R968" s="154" t="s">
        <v>5223</v>
      </c>
      <c r="S968" s="154" t="s">
        <v>1593</v>
      </c>
      <c r="T968" s="155" t="s">
        <v>5060</v>
      </c>
      <c r="U968" s="152" t="str">
        <f aca="false">RIGHT(T968,7)</f>
        <v>014/037</v>
      </c>
      <c r="V968" s="152" t="s">
        <v>1555</v>
      </c>
      <c r="W968" s="156" t="n">
        <v>45882</v>
      </c>
      <c r="X968" s="152" t="s">
        <v>1594</v>
      </c>
      <c r="Y968" s="152" t="s">
        <v>5219</v>
      </c>
      <c r="Z968" s="152" t="s">
        <v>1557</v>
      </c>
      <c r="AA968" s="153" t="n">
        <v>3.6</v>
      </c>
      <c r="AB968" s="151" t="s">
        <v>5224</v>
      </c>
      <c r="AC968" s="151" t="s">
        <v>502</v>
      </c>
      <c r="AD968" s="151" t="str">
        <f aca="false">CONCATENATE($C968,$I968,$H968,$N968,$J968,$K968)</f>
        <v>TUBO PEADPEAD110VCAREDESZona09</v>
      </c>
      <c r="AE968" s="153" t="n">
        <f aca="false">IFERROR(INDEX(APOIO_REDES!$A:$W,MATCH($C968&amp;$I968&amp;$H968&amp;$N968&amp;$O968,APOIO_REDES!$W:$W,0),MATCH(AE$5,APOIO_REDES!$5:$5,0)),0)</f>
        <v>1.2</v>
      </c>
      <c r="AF968" s="153" t="n">
        <f aca="false">IFERROR(INDEX(APOIO_REDES!$A:$W,MATCH($C968&amp;$I968&amp;$H968&amp;$N968&amp;$O968,APOIO_REDES!$W:$W,0),MATCH(AF$5,APOIO_REDES!$5:$5,0)),0)</f>
        <v>1.41</v>
      </c>
      <c r="AG968" s="153" t="n">
        <f aca="false">IFERROR(INDEX(APOIO_REDES!$A:$W,MATCH($C968&amp;$I968&amp;$H968&amp;$N968&amp;$O968,APOIO_REDES!$W:$W,0),MATCH(AG$5,APOIO_REDES!$5:$5,0)),0)</f>
        <v>0.75</v>
      </c>
      <c r="AH968" s="153" t="n">
        <f aca="false">IFERROR(INDEX(APOIO_REDES!$A:$W,MATCH($C968&amp;$I968&amp;$H968&amp;$N968&amp;$O968,APOIO_REDES!$W:$W,0),MATCH(AH$5,APOIO_REDES!$5:$5,0)),0)</f>
        <v>0.1</v>
      </c>
      <c r="AI968" s="153" t="n">
        <f aca="false">IFERROR(IF($H968&lt;&gt;"",(((($H968/1000)/2)^2)*PI()*$M968),0),0)</f>
        <v>0.799324058232648</v>
      </c>
      <c r="AJ968" s="153" t="n">
        <f aca="false">IFERROR(IF(AND($H968&lt;&gt;"",$I968="FoFo",OR($N968="MND",$N968="VCA"),$Q968="LINEAR"),0,IF(AND($H968&lt;&gt;"",$I968="PEAD",$N968="VCA",$Q968="LINEAR"),($H968/1000)+0.3,IF(AND($H968&lt;&gt;"",$I968="PEAD",$N968="MND",$Q968="EMBOQUE"),0,IF(AND($H968&lt;&gt;"",$I968="PVC",$N968="VCA",$Q968="LINEAR"),($H968/1000)+0.2,IF(AND($H968&lt;&gt;"",$I968="PVC",$N968="MND",$Q968="EMBOQUE"),0,IF(AND($H968&lt;&gt;"",$I968="PEAD",$N968="VCA",$Q968="PREDIAL"),0,0)))))),0)</f>
        <v>0.41</v>
      </c>
      <c r="AK968" s="153" t="n">
        <f aca="false">IF(AA968&lt;&gt;"",AA968,0)</f>
        <v>3.6</v>
      </c>
      <c r="AL968" s="153" t="n">
        <f aca="false">IF(AND($N968="MND",$Q968="EMBOQUE"),$M968,IF(AND($N968="VCA",$Q968="LINEAR"),$M968,IF(AND($N968="VCA",$Q968="PREDIAL"),0,0)))</f>
        <v>84.11</v>
      </c>
      <c r="AM968" s="153" t="n">
        <f aca="false">IF(AND($N968="MND",$Q968="EMBOQUE"),$M968,IF(AND($N968="VCA",$Q968="LINEAR"),$M968,IF(AND($N968="VCA",$Q968="PREDIAL"),0,0)))</f>
        <v>84.11</v>
      </c>
      <c r="AN968" s="153" t="n">
        <f aca="false">ROUND(IF(AND($N968="VCA",$M968&lt;&gt;"",$Q968="LINEAR"),$M968/100,IF(AND($N968="MND",$M968&gt;100,$Q968="EMBOQUE"),$M968/100,0)),0)</f>
        <v>1</v>
      </c>
      <c r="AO968" s="153" t="n">
        <f aca="false">IF(AND($N968="MND",$Q968="EMBOQUE"),$AN968*2*2,IF(AND($N968="VCA",$Q968="LINEAR"),$M968*2,IF(AND($N968="VCA",$Q968="PREDIAL"),0,0)))</f>
        <v>168.22</v>
      </c>
      <c r="AP968" s="153" t="n">
        <f aca="false">IFERROR($M968*$AF968*$AG968,0)</f>
        <v>88.946325</v>
      </c>
      <c r="AQ968" s="153" t="n">
        <f aca="false">IFERROR(IF(AND($N968="VCA",$AH968&gt;0),$M968*$AG968*$AH968,0),0)</f>
        <v>6.30825</v>
      </c>
      <c r="AR968" s="153" t="n">
        <f aca="false">IFERROR(IF(AND($N968="VCA",$AJ968&gt;0),($M968*$AG968*$AJ968)-$AI968,0),0)</f>
        <v>25.0645009417674</v>
      </c>
      <c r="AS968" s="153" t="n">
        <f aca="false">IFERROR(IF(AND($N968="VCA",$AP968&gt;0),$AP968-$AI968-$AQ968-$AR968,0),0)</f>
        <v>56.77425</v>
      </c>
      <c r="AT968" s="153" t="n">
        <f aca="false">IFERROR(IF($N968="VCA",INDEX(APOIO_REDES!$A:$W,MATCH($C968&amp;$I968&amp;$H968&amp;$N968&amp;$O968,APOIO_REDES!$W:$W,0),MATCH(AT$5,APOIO_REDES!$5:$5,0)),0)*$AP968,0)</f>
        <v>0.967762342768353</v>
      </c>
      <c r="AU968" s="153" t="n">
        <f aca="false">IFERROR(IF($N968="VCA",INDEX(APOIO_REDES!$A:$W,MATCH($C968&amp;$I968&amp;$H968&amp;$N968&amp;$O968,APOIO_REDES!$W:$W,0),MATCH(AU$5,APOIO_REDES!$5:$5,0)),0)*$AP968,0)</f>
        <v>0.772828796606558</v>
      </c>
      <c r="AV968" s="153" t="n">
        <f aca="false">IFERROR(IF($N968="VCA",INDEX(APOIO_REDES!$A:$W,MATCH($C968&amp;$I968&amp;$H968&amp;$N968&amp;$O968,APOIO_REDES!$W:$W,0),MATCH(AV$5,APOIO_REDES!$5:$5,0)),0)*$AP968,0)</f>
        <v>0.106953438506421</v>
      </c>
      <c r="AW968" s="153" t="n">
        <f aca="false">IFERROR(IF($N968="VCA",INDEX(APOIO_REDES!$A:$W,MATCH($C968&amp;$I968&amp;$H968&amp;$N968&amp;$O968,APOIO_REDES!$W:$W,0),MATCH(AW$5,APOIO_REDES!$5:$5,0)),0)*$AP968,0)</f>
        <v>61.0534466697569</v>
      </c>
      <c r="AX968" s="153" t="n">
        <f aca="false">IFERROR(IF($N968="VCA",INDEX(APOIO_REDES!$A:$W,MATCH($C968&amp;$I968&amp;$H968&amp;$N968&amp;$O968,APOIO_REDES!$W:$W,0),MATCH(AX$5,APOIO_REDES!$5:$5,0)),0)*$AP968,0)</f>
        <v>8.44962310505951</v>
      </c>
      <c r="AY968" s="153" t="n">
        <f aca="false">IFERROR(IF($N968="VCA",INDEX(APOIO_REDES!$A:$W,MATCH($C968&amp;$I968&amp;$H968&amp;$N968&amp;$O968,APOIO_REDES!$W:$W,0),MATCH(AY$5,APOIO_REDES!$5:$5,0)),0)*$AP968,0)</f>
        <v>15.4565665114108</v>
      </c>
      <c r="AZ968" s="153" t="n">
        <f aca="false">IFERROR(IF($N968="VCA",INDEX(APOIO_REDES!$A:$W,MATCH($C968&amp;$I968&amp;$H968&amp;$N968&amp;$O968,APOIO_REDES!$W:$W,0),MATCH(AZ$5,APOIO_REDES!$5:$5,0)),0)*$AP968,0)</f>
        <v>2.13914413589148</v>
      </c>
      <c r="BA968" s="153" t="n">
        <f aca="false">IFERROR(IF(AND($N968="VCA",$Q968="LINEAR"),INDEX(APOIO_REDES!$A:$W,MATCH($C968&amp;$I968&amp;$H968&amp;$N968&amp;$O968,APOIO_REDES!$W:$W,0),MATCH(BA$5,APOIO_REDES!$5:$5,0)),IF(AND($N968="MND",$Q968="EMBOQUE"),INDEX(APOIO_REDES!$A:$W,MATCH($C968&amp;$I968&amp;$H968&amp;$N968&amp;$O968,APOIO_REDES!$W:$W,0),MATCH(BA$5,APOIO_REDES!$5:$5,0)),0))*$M968/10,0)</f>
        <v>6.77905383923532</v>
      </c>
      <c r="BB968" s="153" t="n">
        <f aca="false">IFERROR(IF($N968="VCA",INDEX(APOIO_REDES!$A:$W,MATCH($C968&amp;$I968&amp;$H968&amp;$N968&amp;$O968,APOIO_REDES!$W:$W,0),MATCH(BB$5,APOIO_REDES!$5:$5,0)),0)*($AI968+$AQ968+$AR968),0)</f>
        <v>31.8220333015519</v>
      </c>
      <c r="BC968" s="153" t="n">
        <f aca="false">IFERROR(IF($N968="VCA",INDEX(APOIO_REDES!$A:$W,MATCH($C968&amp;$I968&amp;$H968&amp;$N968&amp;$O968,APOIO_REDES!$W:$W,0),MATCH(BC$5,APOIO_REDES!$5:$5,0)),0)*($AI968+$AQ968+$AR968),0)</f>
        <v>0.350041698448128</v>
      </c>
      <c r="BD968" s="153" t="n">
        <f aca="false">IF(AND($N968="VCA",$AF968&gt;=1.25,$AF968&lt;1.5),$M968*$AF968*2,0)</f>
        <v>237.1902</v>
      </c>
      <c r="BE968" s="153" t="n">
        <f aca="false">IF(AND($N968="VCA",$AF968&gt;=1.5,$AF968&lt;3),$M968*$AF968*2,0)</f>
        <v>0</v>
      </c>
      <c r="BF968" s="153" t="n">
        <f aca="false">IF(AND($N968="VCA",$AF968&gt;=3),$M968*$AF968*2,0)</f>
        <v>0</v>
      </c>
      <c r="BG968" s="153" t="n">
        <f aca="false">($BB968+$BC968)*$AK968</f>
        <v>115.81947</v>
      </c>
      <c r="BH968" s="153" t="n">
        <f aca="false">IF(AND($M968&lt;&gt;"",$N968="VCA",$Q968="LINEAR"),($M968*2)/100,IF(AND($M968&lt;&gt;"",$N968="MND",$Q968="EMBOQUE"),($AN968*2)/100,0))</f>
        <v>1.6822</v>
      </c>
      <c r="BI968" s="153" t="n">
        <f aca="false">IF(AND($M968&lt;&gt;"",$N968="VCA",$Q968="LINEAR"),$M968,IF(AND($M968&lt;&gt;"",$N968="MND",$Q968="EMBOQUE"),$AN968*2,0))</f>
        <v>84.11</v>
      </c>
      <c r="BJ968" s="153" t="n">
        <f aca="false">IF(AND($M968&lt;&gt;"",$N968="VCA",$Q968="LINEAR"),($M968*6.8)/100,IF(AND($M968&lt;&gt;"",$N968="MND",$Q968="EMBOQUE"),($AN968*2*6.8)/100,0))</f>
        <v>5.71948</v>
      </c>
      <c r="BK968" s="153" t="n">
        <f aca="false">IF(AND($M968&lt;&gt;"",$N968="VCA",$Q968="LINEAR"),($M968*2.5)/50,IF(AND($M968&lt;&gt;"",$N968="MND",$Q968="EMBOQUE"),($AN968*2*2.5)/50,0))</f>
        <v>4.2055</v>
      </c>
      <c r="BL968" s="157" t="str">
        <f aca="false">K968&amp;J968</f>
        <v>Zona09REDES</v>
      </c>
      <c r="BM968" s="152" t="s">
        <v>5109</v>
      </c>
      <c r="BN968" s="152" t="s">
        <v>1560</v>
      </c>
      <c r="BO968" s="152" t="s">
        <v>5062</v>
      </c>
      <c r="BP968" s="152" t="s">
        <v>5204</v>
      </c>
      <c r="BQ968" s="152" t="s">
        <v>5225</v>
      </c>
      <c r="BR968" s="152" t="s">
        <v>5226</v>
      </c>
      <c r="BS968" s="152" t="n">
        <v>202886.342</v>
      </c>
      <c r="BT968" s="152" t="n">
        <v>8236719.945</v>
      </c>
      <c r="BU968" s="152" t="n">
        <v>202904.528</v>
      </c>
      <c r="BV968" s="152" t="n">
        <v>8236637.864</v>
      </c>
      <c r="BW968" s="152" t="n">
        <v>-15.9313804</v>
      </c>
      <c r="BX968" s="152" t="n">
        <v>-47.7750238</v>
      </c>
      <c r="BY968" s="152" t="s">
        <v>5204</v>
      </c>
    </row>
    <row r="969" customFormat="false" ht="13.8" hidden="false" customHeight="false" outlineLevel="0" collapsed="false">
      <c r="A969" s="149" t="n">
        <f aca="false">IF(C969&lt;&gt;"",ROW(A964),"")</f>
        <v>964</v>
      </c>
      <c r="B969" s="150" t="str">
        <f aca="false">HYPERLINK("https://www.google.com/maps/dir/-15.917302,-47.760003/-15.9314514,-47.7783243/data=!4m3!4m2!3e0!5i2")</f>
        <v>https://www.google.com/maps/dir/-15.917302,-47.760003/-15.9314514,-47.7783243/data=!4m3!4m2!3e0!5i2</v>
      </c>
      <c r="C969" s="151" t="s">
        <v>117</v>
      </c>
      <c r="D969" s="152" t="s">
        <v>112</v>
      </c>
      <c r="E969" s="152" t="s">
        <v>113</v>
      </c>
      <c r="F969" s="152" t="s">
        <v>117</v>
      </c>
      <c r="G969" s="152" t="s">
        <v>782</v>
      </c>
      <c r="H969" s="152" t="n">
        <v>63</v>
      </c>
      <c r="I969" s="152" t="s">
        <v>115</v>
      </c>
      <c r="J969" s="152" t="s">
        <v>6</v>
      </c>
      <c r="K969" s="152" t="s">
        <v>5106</v>
      </c>
      <c r="L969" s="152" t="s">
        <v>120</v>
      </c>
      <c r="M969" s="153" t="n">
        <f aca="false">14.64</f>
        <v>14.64</v>
      </c>
      <c r="N969" s="152" t="s">
        <v>1548</v>
      </c>
      <c r="O969" s="152" t="s">
        <v>1549</v>
      </c>
      <c r="P969" s="152" t="s">
        <v>1550</v>
      </c>
      <c r="Q969" s="152" t="s">
        <v>1551</v>
      </c>
      <c r="R969" s="154" t="s">
        <v>5227</v>
      </c>
      <c r="S969" s="154" t="s">
        <v>1553</v>
      </c>
      <c r="T969" s="155" t="s">
        <v>5060</v>
      </c>
      <c r="U969" s="152" t="str">
        <f aca="false">RIGHT(T969,7)</f>
        <v>014/037</v>
      </c>
      <c r="V969" s="152" t="s">
        <v>1555</v>
      </c>
      <c r="W969" s="156" t="n">
        <v>45882</v>
      </c>
      <c r="X969" s="152" t="s">
        <v>1594</v>
      </c>
      <c r="Y969" s="152" t="s">
        <v>1886</v>
      </c>
      <c r="Z969" s="152" t="s">
        <v>1557</v>
      </c>
      <c r="AA969" s="153" t="n">
        <v>4.7</v>
      </c>
      <c r="AB969" s="151" t="s">
        <v>5228</v>
      </c>
      <c r="AC969" s="151" t="s">
        <v>186</v>
      </c>
      <c r="AD969" s="151" t="str">
        <f aca="false">CONCATENATE($C969,$I969,$H969,$N969,$J969,$K969)</f>
        <v>TUBO PEADPEAD63VCAREDESZona09</v>
      </c>
      <c r="AE969" s="153" t="n">
        <f aca="false">IFERROR(INDEX(APOIO_REDES!$A:$W,MATCH($C969&amp;$I969&amp;$H969&amp;$N969&amp;$O969,APOIO_REDES!$W:$W,0),MATCH(AE$5,APOIO_REDES!$5:$5,0)),0)</f>
        <v>1.2</v>
      </c>
      <c r="AF969" s="153" t="n">
        <f aca="false">IFERROR(INDEX(APOIO_REDES!$A:$W,MATCH($C969&amp;$I969&amp;$H969&amp;$N969&amp;$O969,APOIO_REDES!$W:$W,0),MATCH(AF$5,APOIO_REDES!$5:$5,0)),0)</f>
        <v>1.363</v>
      </c>
      <c r="AG969" s="153" t="n">
        <f aca="false">IFERROR(INDEX(APOIO_REDES!$A:$W,MATCH($C969&amp;$I969&amp;$H969&amp;$N969&amp;$O969,APOIO_REDES!$W:$W,0),MATCH(AG$5,APOIO_REDES!$5:$5,0)),0)</f>
        <v>0.65</v>
      </c>
      <c r="AH969" s="153" t="n">
        <f aca="false">IFERROR(INDEX(APOIO_REDES!$A:$W,MATCH($C969&amp;$I969&amp;$H969&amp;$N969&amp;$O969,APOIO_REDES!$W:$W,0),MATCH(AH$5,APOIO_REDES!$5:$5,0)),0)</f>
        <v>0.1</v>
      </c>
      <c r="AI969" s="153" t="n">
        <f aca="false">IFERROR(IF($H969&lt;&gt;"",(((($H969/1000)/2)^2)*PI()*$M969),0),0)</f>
        <v>0.0456364713460783</v>
      </c>
      <c r="AJ969" s="153" t="n">
        <f aca="false">IFERROR(IF(AND($H969&lt;&gt;"",$I969="FoFo",OR($N969="MND",$N969="VCA"),$Q969="LINEAR"),0,IF(AND($H969&lt;&gt;"",$I969="PEAD",$N969="VCA",$Q969="LINEAR"),($H969/1000)+0.3,IF(AND($H969&lt;&gt;"",$I969="PEAD",$N969="MND",$Q969="EMBOQUE"),0,IF(AND($H969&lt;&gt;"",$I969="PVC",$N969="VCA",$Q969="LINEAR"),($H969/1000)+0.2,IF(AND($H969&lt;&gt;"",$I969="PVC",$N969="MND",$Q969="EMBOQUE"),0,IF(AND($H969&lt;&gt;"",$I969="PEAD",$N969="VCA",$Q969="PREDIAL"),0,0)))))),0)</f>
        <v>0.363</v>
      </c>
      <c r="AK969" s="153" t="n">
        <f aca="false">IF(AA969&lt;&gt;"",AA969,0)</f>
        <v>4.7</v>
      </c>
      <c r="AL969" s="153" t="n">
        <f aca="false">IF(AND($N969="MND",$Q969="EMBOQUE"),$M969,IF(AND($N969="VCA",$Q969="LINEAR"),$M969,IF(AND($N969="VCA",$Q969="PREDIAL"),0,0)))</f>
        <v>14.64</v>
      </c>
      <c r="AM969" s="153" t="n">
        <f aca="false">IF(AND($N969="MND",$Q969="EMBOQUE"),$M969,IF(AND($N969="VCA",$Q969="LINEAR"),$M969,IF(AND($N969="VCA",$Q969="PREDIAL"),0,0)))</f>
        <v>14.64</v>
      </c>
      <c r="AN969" s="153" t="n">
        <f aca="false">ROUND(IF(AND($N969="VCA",$M969&lt;&gt;"",$Q969="LINEAR"),$M969/100,IF(AND($N969="MND",$M969&gt;100,$Q969="EMBOQUE"),$M969/100,0)),0)</f>
        <v>0</v>
      </c>
      <c r="AO969" s="153" t="n">
        <f aca="false">IF(AND($N969="MND",$Q969="EMBOQUE"),$AN969*2*2,IF(AND($N969="VCA",$Q969="LINEAR"),$M969*2,IF(AND($N969="VCA",$Q969="PREDIAL"),0,0)))</f>
        <v>29.28</v>
      </c>
      <c r="AP969" s="153" t="n">
        <f aca="false">IFERROR($M969*$AF969*$AG969,0)</f>
        <v>12.970308</v>
      </c>
      <c r="AQ969" s="153" t="n">
        <f aca="false">IFERROR(IF(AND($N969="VCA",$AH969&gt;0),$M969*$AG969*$AH969,0),0)</f>
        <v>0.9516</v>
      </c>
      <c r="AR969" s="153" t="n">
        <f aca="false">IFERROR(IF(AND($N969="VCA",$AJ969&gt;0),($M969*$AG969*$AJ969)-$AI969,0),0)</f>
        <v>3.40867152865392</v>
      </c>
      <c r="AS969" s="153" t="n">
        <f aca="false">IFERROR(IF(AND($N969="VCA",$AP969&gt;0),$AP969-$AI969-$AQ969-$AR969,0),0)</f>
        <v>8.5644</v>
      </c>
      <c r="AT969" s="153" t="n">
        <f aca="false">IFERROR(IF($N969="VCA",INDEX(APOIO_REDES!$A:$W,MATCH($C969&amp;$I969&amp;$H969&amp;$N969&amp;$O969,APOIO_REDES!$W:$W,0),MATCH(AT$5,APOIO_REDES!$5:$5,0)),0)*$AP969,0)</f>
        <v>0.141120790055206</v>
      </c>
      <c r="AU969" s="153" t="n">
        <f aca="false">IFERROR(IF($N969="VCA",INDEX(APOIO_REDES!$A:$W,MATCH($C969&amp;$I969&amp;$H969&amp;$N969&amp;$O969,APOIO_REDES!$W:$W,0),MATCH(AU$5,APOIO_REDES!$5:$5,0)),0)*$AP969,0)</f>
        <v>0.11269524090238</v>
      </c>
      <c r="AV969" s="153" t="n">
        <f aca="false">IFERROR(IF($N969="VCA",INDEX(APOIO_REDES!$A:$W,MATCH($C969&amp;$I969&amp;$H969&amp;$N969&amp;$O969,APOIO_REDES!$W:$W,0),MATCH(AV$5,APOIO_REDES!$5:$5,0)),0)*$AP969,0)</f>
        <v>0.0155961366485613</v>
      </c>
      <c r="AW969" s="153" t="n">
        <f aca="false">IFERROR(IF($N969="VCA",INDEX(APOIO_REDES!$A:$W,MATCH($C969&amp;$I969&amp;$H969&amp;$N969&amp;$O969,APOIO_REDES!$W:$W,0),MATCH(AW$5,APOIO_REDES!$5:$5,0)),0)*$AP969,0)</f>
        <v>8.90291991005049</v>
      </c>
      <c r="AX969" s="153" t="n">
        <f aca="false">IFERROR(IF($N969="VCA",INDEX(APOIO_REDES!$A:$W,MATCH($C969&amp;$I969&amp;$H969&amp;$N969&amp;$O969,APOIO_REDES!$W:$W,0),MATCH(AX$5,APOIO_REDES!$5:$5,0)),0)*$AP969,0)</f>
        <v>1.23213875510358</v>
      </c>
      <c r="AY969" s="153" t="n">
        <f aca="false">IFERROR(IF($N969="VCA",INDEX(APOIO_REDES!$A:$W,MATCH($C969&amp;$I969&amp;$H969&amp;$N969&amp;$O969,APOIO_REDES!$W:$W,0),MATCH(AY$5,APOIO_REDES!$5:$5,0)),0)*$AP969,0)</f>
        <v>2.25390344430175</v>
      </c>
      <c r="AZ969" s="153" t="n">
        <f aca="false">IFERROR(IF($N969="VCA",INDEX(APOIO_REDES!$A:$W,MATCH($C969&amp;$I969&amp;$H969&amp;$N969&amp;$O969,APOIO_REDES!$W:$W,0),MATCH(AZ$5,APOIO_REDES!$5:$5,0)),0)*$AP969,0)</f>
        <v>0.311933722938035</v>
      </c>
      <c r="BA969" s="153" t="n">
        <f aca="false">IFERROR(IF(AND($N969="VCA",$Q969="LINEAR"),INDEX(APOIO_REDES!$A:$W,MATCH($C969&amp;$I969&amp;$H969&amp;$N969&amp;$O969,APOIO_REDES!$W:$W,0),MATCH(BA$5,APOIO_REDES!$5:$5,0)),IF(AND($N969="MND",$Q969="EMBOQUE"),INDEX(APOIO_REDES!$A:$W,MATCH($C969&amp;$I969&amp;$H969&amp;$N969&amp;$O969,APOIO_REDES!$W:$W,0),MATCH(BA$5,APOIO_REDES!$5:$5,0)),0))*$M969/10,0)</f>
        <v>1.17994707176798</v>
      </c>
      <c r="BB969" s="153" t="n">
        <f aca="false">IFERROR(IF($N969="VCA",INDEX(APOIO_REDES!$A:$W,MATCH($C969&amp;$I969&amp;$H969&amp;$N969&amp;$O969,APOIO_REDES!$W:$W,0),MATCH(BB$5,APOIO_REDES!$5:$5,0)),0)*($AI969+$AQ969+$AR969),0)</f>
        <v>4.3579704168778</v>
      </c>
      <c r="BC969" s="153" t="n">
        <f aca="false">IFERROR(IF($N969="VCA",INDEX(APOIO_REDES!$A:$W,MATCH($C969&amp;$I969&amp;$H969&amp;$N969&amp;$O969,APOIO_REDES!$W:$W,0),MATCH(BC$5,APOIO_REDES!$5:$5,0)),0)*($AI969+$AQ969+$AR969),0)</f>
        <v>0.0479375831222013</v>
      </c>
      <c r="BD969" s="153" t="n">
        <f aca="false">IF(AND($N969="VCA",$AF969&gt;=1.25,$AF969&lt;1.5),$M969*$AF969*2,0)</f>
        <v>39.90864</v>
      </c>
      <c r="BE969" s="153" t="n">
        <f aca="false">IF(AND($N969="VCA",$AF969&gt;=1.5,$AF969&lt;3),$M969*$AF969*2,0)</f>
        <v>0</v>
      </c>
      <c r="BF969" s="153" t="n">
        <f aca="false">IF(AND($N969="VCA",$AF969&gt;=3),$M969*$AF969*2,0)</f>
        <v>0</v>
      </c>
      <c r="BG969" s="153" t="n">
        <f aca="false">($BB969+$BC969)*$AK969</f>
        <v>20.7077676</v>
      </c>
      <c r="BH969" s="153" t="n">
        <f aca="false">IF(AND($M969&lt;&gt;"",$N969="VCA",$Q969="LINEAR"),($M969*2)/100,IF(AND($M969&lt;&gt;"",$N969="MND",$Q969="EMBOQUE"),($AN969*2)/100,0))</f>
        <v>0.2928</v>
      </c>
      <c r="BI969" s="153" t="n">
        <f aca="false">IF(AND($M969&lt;&gt;"",$N969="VCA",$Q969="LINEAR"),$M969,IF(AND($M969&lt;&gt;"",$N969="MND",$Q969="EMBOQUE"),$AN969*2,0))</f>
        <v>14.64</v>
      </c>
      <c r="BJ969" s="153" t="n">
        <f aca="false">IF(AND($M969&lt;&gt;"",$N969="VCA",$Q969="LINEAR"),($M969*6.8)/100,IF(AND($M969&lt;&gt;"",$N969="MND",$Q969="EMBOQUE"),($AN969*2*6.8)/100,0))</f>
        <v>0.99552</v>
      </c>
      <c r="BK969" s="153" t="n">
        <f aca="false">IF(AND($M969&lt;&gt;"",$N969="VCA",$Q969="LINEAR"),($M969*2.5)/50,IF(AND($M969&lt;&gt;"",$N969="MND",$Q969="EMBOQUE"),($AN969*2*2.5)/50,0))</f>
        <v>0.732</v>
      </c>
      <c r="BL969" s="157" t="str">
        <f aca="false">K969&amp;J969</f>
        <v>Zona09REDES</v>
      </c>
      <c r="BM969" s="152" t="s">
        <v>5109</v>
      </c>
      <c r="BN969" s="152" t="s">
        <v>1560</v>
      </c>
      <c r="BO969" s="152" t="s">
        <v>5062</v>
      </c>
      <c r="BP969" s="152" t="s">
        <v>5229</v>
      </c>
      <c r="BQ969" s="152" t="s">
        <v>5208</v>
      </c>
      <c r="BR969" s="152" t="s">
        <v>5230</v>
      </c>
      <c r="BS969" s="152" t="n">
        <v>202541.75</v>
      </c>
      <c r="BT969" s="152" t="n">
        <v>8236666.312</v>
      </c>
      <c r="BU969" s="152" t="n">
        <v>202538.883</v>
      </c>
      <c r="BV969" s="152" t="n">
        <v>8236680.666</v>
      </c>
      <c r="BW969" s="152" t="n">
        <v>-15.9313867</v>
      </c>
      <c r="BX969" s="152" t="n">
        <v>-47.7783381</v>
      </c>
      <c r="BY969" s="152" t="s">
        <v>5229</v>
      </c>
    </row>
    <row r="970" customFormat="false" ht="13.8" hidden="false" customHeight="false" outlineLevel="0" collapsed="false">
      <c r="A970" s="149" t="n">
        <f aca="false">IF(C970&lt;&gt;"",ROW(A965),"")</f>
        <v>965</v>
      </c>
      <c r="B970" s="150" t="str">
        <f aca="false">HYPERLINK("https://www.google.com/maps/dir/-15.917302,-47.760003/-15.9314950,-47.7728583/data=!4m3!4m2!3e0!5i0")</f>
        <v>https://www.google.com/maps/dir/-15.917302,-47.760003/-15.9314950,-47.7728583/data=!4m3!4m2!3e0!5i0</v>
      </c>
      <c r="C970" s="151" t="s">
        <v>117</v>
      </c>
      <c r="D970" s="152" t="s">
        <v>112</v>
      </c>
      <c r="E970" s="152" t="s">
        <v>113</v>
      </c>
      <c r="F970" s="152" t="s">
        <v>117</v>
      </c>
      <c r="G970" s="152" t="s">
        <v>782</v>
      </c>
      <c r="H970" s="152" t="n">
        <v>63</v>
      </c>
      <c r="I970" s="152" t="s">
        <v>115</v>
      </c>
      <c r="J970" s="152" t="s">
        <v>6</v>
      </c>
      <c r="K970" s="152" t="s">
        <v>5106</v>
      </c>
      <c r="L970" s="152" t="s">
        <v>120</v>
      </c>
      <c r="M970" s="153" t="n">
        <f aca="false">1.86</f>
        <v>1.86</v>
      </c>
      <c r="N970" s="152" t="s">
        <v>1548</v>
      </c>
      <c r="O970" s="152" t="s">
        <v>1549</v>
      </c>
      <c r="P970" s="152" t="s">
        <v>1550</v>
      </c>
      <c r="Q970" s="152" t="s">
        <v>1551</v>
      </c>
      <c r="R970" s="154" t="s">
        <v>5231</v>
      </c>
      <c r="S970" s="154" t="s">
        <v>1553</v>
      </c>
      <c r="T970" s="155" t="s">
        <v>5060</v>
      </c>
      <c r="U970" s="152" t="str">
        <f aca="false">RIGHT(T970,7)</f>
        <v>014/037</v>
      </c>
      <c r="V970" s="152" t="s">
        <v>1555</v>
      </c>
      <c r="W970" s="156" t="n">
        <v>45882</v>
      </c>
      <c r="X970" s="152" t="s">
        <v>1594</v>
      </c>
      <c r="Y970" s="152" t="s">
        <v>5232</v>
      </c>
      <c r="Z970" s="152" t="s">
        <v>1557</v>
      </c>
      <c r="AA970" s="153" t="n">
        <v>3</v>
      </c>
      <c r="AB970" s="151" t="s">
        <v>5233</v>
      </c>
      <c r="AC970" s="151" t="s">
        <v>186</v>
      </c>
      <c r="AD970" s="151" t="str">
        <f aca="false">CONCATENATE($C970,$I970,$H970,$N970,$J970,$K970)</f>
        <v>TUBO PEADPEAD63VCAREDESZona09</v>
      </c>
      <c r="AE970" s="153" t="n">
        <f aca="false">IFERROR(INDEX(APOIO_REDES!$A:$W,MATCH($C970&amp;$I970&amp;$H970&amp;$N970&amp;$O970,APOIO_REDES!$W:$W,0),MATCH(AE$5,APOIO_REDES!$5:$5,0)),0)</f>
        <v>1.2</v>
      </c>
      <c r="AF970" s="153" t="n">
        <f aca="false">IFERROR(INDEX(APOIO_REDES!$A:$W,MATCH($C970&amp;$I970&amp;$H970&amp;$N970&amp;$O970,APOIO_REDES!$W:$W,0),MATCH(AF$5,APOIO_REDES!$5:$5,0)),0)</f>
        <v>1.363</v>
      </c>
      <c r="AG970" s="153" t="n">
        <f aca="false">IFERROR(INDEX(APOIO_REDES!$A:$W,MATCH($C970&amp;$I970&amp;$H970&amp;$N970&amp;$O970,APOIO_REDES!$W:$W,0),MATCH(AG$5,APOIO_REDES!$5:$5,0)),0)</f>
        <v>0.65</v>
      </c>
      <c r="AH970" s="153" t="n">
        <f aca="false">IFERROR(INDEX(APOIO_REDES!$A:$W,MATCH($C970&amp;$I970&amp;$H970&amp;$N970&amp;$O970,APOIO_REDES!$W:$W,0),MATCH(AH$5,APOIO_REDES!$5:$5,0)),0)</f>
        <v>0.1</v>
      </c>
      <c r="AI970" s="153" t="n">
        <f aca="false">IFERROR(IF($H970&lt;&gt;"",(((($H970/1000)/2)^2)*PI()*$M970),0),0)</f>
        <v>0.00579807627757552</v>
      </c>
      <c r="AJ970" s="153" t="n">
        <f aca="false">IFERROR(IF(AND($H970&lt;&gt;"",$I970="FoFo",OR($N970="MND",$N970="VCA"),$Q970="LINEAR"),0,IF(AND($H970&lt;&gt;"",$I970="PEAD",$N970="VCA",$Q970="LINEAR"),($H970/1000)+0.3,IF(AND($H970&lt;&gt;"",$I970="PEAD",$N970="MND",$Q970="EMBOQUE"),0,IF(AND($H970&lt;&gt;"",$I970="PVC",$N970="VCA",$Q970="LINEAR"),($H970/1000)+0.2,IF(AND($H970&lt;&gt;"",$I970="PVC",$N970="MND",$Q970="EMBOQUE"),0,IF(AND($H970&lt;&gt;"",$I970="PEAD",$N970="VCA",$Q970="PREDIAL"),0,0)))))),0)</f>
        <v>0.363</v>
      </c>
      <c r="AK970" s="153" t="n">
        <f aca="false">IF(AA970&lt;&gt;"",AA970,0)</f>
        <v>3</v>
      </c>
      <c r="AL970" s="153" t="n">
        <f aca="false">IF(AND($N970="MND",$Q970="EMBOQUE"),$M970,IF(AND($N970="VCA",$Q970="LINEAR"),$M970,IF(AND($N970="VCA",$Q970="PREDIAL"),0,0)))</f>
        <v>1.86</v>
      </c>
      <c r="AM970" s="153" t="n">
        <f aca="false">IF(AND($N970="MND",$Q970="EMBOQUE"),$M970,IF(AND($N970="VCA",$Q970="LINEAR"),$M970,IF(AND($N970="VCA",$Q970="PREDIAL"),0,0)))</f>
        <v>1.86</v>
      </c>
      <c r="AN970" s="153" t="n">
        <f aca="false">ROUND(IF(AND($N970="VCA",$M970&lt;&gt;"",$Q970="LINEAR"),$M970/100,IF(AND($N970="MND",$M970&gt;100,$Q970="EMBOQUE"),$M970/100,0)),0)</f>
        <v>0</v>
      </c>
      <c r="AO970" s="153" t="n">
        <f aca="false">IF(AND($N970="MND",$Q970="EMBOQUE"),$AN970*2*2,IF(AND($N970="VCA",$Q970="LINEAR"),$M970*2,IF(AND($N970="VCA",$Q970="PREDIAL"),0,0)))</f>
        <v>3.72</v>
      </c>
      <c r="AP970" s="153" t="n">
        <f aca="false">IFERROR($M970*$AF970*$AG970,0)</f>
        <v>1.647867</v>
      </c>
      <c r="AQ970" s="153" t="n">
        <f aca="false">IFERROR(IF(AND($N970="VCA",$AH970&gt;0),$M970*$AG970*$AH970,0),0)</f>
        <v>0.1209</v>
      </c>
      <c r="AR970" s="153" t="n">
        <f aca="false">IFERROR(IF(AND($N970="VCA",$AJ970&gt;0),($M970*$AG970*$AJ970)-$AI970,0),0)</f>
        <v>0.433068923722425</v>
      </c>
      <c r="AS970" s="153" t="n">
        <f aca="false">IFERROR(IF(AND($N970="VCA",$AP970&gt;0),$AP970-$AI970-$AQ970-$AR970,0),0)</f>
        <v>1.0881</v>
      </c>
      <c r="AT970" s="153" t="n">
        <f aca="false">IFERROR(IF($N970="VCA",INDEX(APOIO_REDES!$A:$W,MATCH($C970&amp;$I970&amp;$H970&amp;$N970&amp;$O970,APOIO_REDES!$W:$W,0),MATCH(AT$5,APOIO_REDES!$5:$5,0)),0)*$AP970,0)</f>
        <v>0.0179292807037352</v>
      </c>
      <c r="AU970" s="153" t="n">
        <f aca="false">IFERROR(IF($N970="VCA",INDEX(APOIO_REDES!$A:$W,MATCH($C970&amp;$I970&amp;$H970&amp;$N970&amp;$O970,APOIO_REDES!$W:$W,0),MATCH(AU$5,APOIO_REDES!$5:$5,0)),0)*$AP970,0)</f>
        <v>0.0143178379834991</v>
      </c>
      <c r="AV970" s="153" t="n">
        <f aca="false">IFERROR(IF($N970="VCA",INDEX(APOIO_REDES!$A:$W,MATCH($C970&amp;$I970&amp;$H970&amp;$N970&amp;$O970,APOIO_REDES!$W:$W,0),MATCH(AV$5,APOIO_REDES!$5:$5,0)),0)*$AP970,0)</f>
        <v>0.00198147637748114</v>
      </c>
      <c r="AW970" s="153" t="n">
        <f aca="false">IFERROR(IF($N970="VCA",INDEX(APOIO_REDES!$A:$W,MATCH($C970&amp;$I970&amp;$H970&amp;$N970&amp;$O970,APOIO_REDES!$W:$W,0),MATCH(AW$5,APOIO_REDES!$5:$5,0)),0)*$AP970,0)</f>
        <v>1.13110867709658</v>
      </c>
      <c r="AX970" s="153" t="n">
        <f aca="false">IFERROR(IF($N970="VCA",INDEX(APOIO_REDES!$A:$W,MATCH($C970&amp;$I970&amp;$H970&amp;$N970&amp;$O970,APOIO_REDES!$W:$W,0),MATCH(AX$5,APOIO_REDES!$5:$5,0)),0)*$AP970,0)</f>
        <v>0.15654221888611</v>
      </c>
      <c r="AY970" s="153" t="n">
        <f aca="false">IFERROR(IF($N970="VCA",INDEX(APOIO_REDES!$A:$W,MATCH($C970&amp;$I970&amp;$H970&amp;$N970&amp;$O970,APOIO_REDES!$W:$W,0),MATCH(AY$5,APOIO_REDES!$5:$5,0)),0)*$AP970,0)</f>
        <v>0.286356585136698</v>
      </c>
      <c r="AZ970" s="153" t="n">
        <f aca="false">IFERROR(IF($N970="VCA",INDEX(APOIO_REDES!$A:$W,MATCH($C970&amp;$I970&amp;$H970&amp;$N970&amp;$O970,APOIO_REDES!$W:$W,0),MATCH(AZ$5,APOIO_REDES!$5:$5,0)),0)*$AP970,0)</f>
        <v>0.0396309238158979</v>
      </c>
      <c r="BA970" s="153" t="n">
        <f aca="false">IFERROR(IF(AND($N970="VCA",$Q970="LINEAR"),INDEX(APOIO_REDES!$A:$W,MATCH($C970&amp;$I970&amp;$H970&amp;$N970&amp;$O970,APOIO_REDES!$W:$W,0),MATCH(BA$5,APOIO_REDES!$5:$5,0)),IF(AND($N970="MND",$Q970="EMBOQUE"),INDEX(APOIO_REDES!$A:$W,MATCH($C970&amp;$I970&amp;$H970&amp;$N970&amp;$O970,APOIO_REDES!$W:$W,0),MATCH(BA$5,APOIO_REDES!$5:$5,0)),0))*$M970/10,0)</f>
        <v>0.149911308298391</v>
      </c>
      <c r="BB970" s="153" t="n">
        <f aca="false">IFERROR(IF($N970="VCA",INDEX(APOIO_REDES!$A:$W,MATCH($C970&amp;$I970&amp;$H970&amp;$N970&amp;$O970,APOIO_REDES!$W:$W,0),MATCH(BB$5,APOIO_REDES!$5:$5,0)),0)*($AI970+$AQ970+$AR970),0)</f>
        <v>0.553676569357425</v>
      </c>
      <c r="BC970" s="153" t="n">
        <f aca="false">IFERROR(IF($N970="VCA",INDEX(APOIO_REDES!$A:$W,MATCH($C970&amp;$I970&amp;$H970&amp;$N970&amp;$O970,APOIO_REDES!$W:$W,0),MATCH(BC$5,APOIO_REDES!$5:$5,0)),0)*($AI970+$AQ970+$AR970),0)</f>
        <v>0.00609043064257475</v>
      </c>
      <c r="BD970" s="153" t="n">
        <f aca="false">IF(AND($N970="VCA",$AF970&gt;=1.25,$AF970&lt;1.5),$M970*$AF970*2,0)</f>
        <v>5.07036</v>
      </c>
      <c r="BE970" s="153" t="n">
        <f aca="false">IF(AND($N970="VCA",$AF970&gt;=1.5,$AF970&lt;3),$M970*$AF970*2,0)</f>
        <v>0</v>
      </c>
      <c r="BF970" s="153" t="n">
        <f aca="false">IF(AND($N970="VCA",$AF970&gt;=3),$M970*$AF970*2,0)</f>
        <v>0</v>
      </c>
      <c r="BG970" s="153" t="n">
        <f aca="false">($BB970+$BC970)*$AK970</f>
        <v>1.679301</v>
      </c>
      <c r="BH970" s="153" t="n">
        <f aca="false">IF(AND($M970&lt;&gt;"",$N970="VCA",$Q970="LINEAR"),($M970*2)/100,IF(AND($M970&lt;&gt;"",$N970="MND",$Q970="EMBOQUE"),($AN970*2)/100,0))</f>
        <v>0.0372</v>
      </c>
      <c r="BI970" s="153" t="n">
        <f aca="false">IF(AND($M970&lt;&gt;"",$N970="VCA",$Q970="LINEAR"),$M970,IF(AND($M970&lt;&gt;"",$N970="MND",$Q970="EMBOQUE"),$AN970*2,0))</f>
        <v>1.86</v>
      </c>
      <c r="BJ970" s="153" t="n">
        <f aca="false">IF(AND($M970&lt;&gt;"",$N970="VCA",$Q970="LINEAR"),($M970*6.8)/100,IF(AND($M970&lt;&gt;"",$N970="MND",$Q970="EMBOQUE"),($AN970*2*6.8)/100,0))</f>
        <v>0.12648</v>
      </c>
      <c r="BK970" s="153" t="n">
        <f aca="false">IF(AND($M970&lt;&gt;"",$N970="VCA",$Q970="LINEAR"),($M970*2.5)/50,IF(AND($M970&lt;&gt;"",$N970="MND",$Q970="EMBOQUE"),($AN970*2*2.5)/50,0))</f>
        <v>0.093</v>
      </c>
      <c r="BL970" s="157" t="str">
        <f aca="false">K970&amp;J970</f>
        <v>Zona09REDES</v>
      </c>
      <c r="BM970" s="152" t="s">
        <v>5109</v>
      </c>
      <c r="BN970" s="152" t="s">
        <v>1560</v>
      </c>
      <c r="BO970" s="152" t="s">
        <v>5062</v>
      </c>
      <c r="BP970" s="152" t="s">
        <v>5216</v>
      </c>
      <c r="BQ970" s="152" t="s">
        <v>5234</v>
      </c>
      <c r="BR970" s="152" t="s">
        <v>5217</v>
      </c>
      <c r="BS970" s="152" t="n">
        <v>203127.856</v>
      </c>
      <c r="BT970" s="152" t="n">
        <v>8236669.162</v>
      </c>
      <c r="BU970" s="152" t="n">
        <v>203127.071</v>
      </c>
      <c r="BV970" s="152" t="n">
        <v>8236667.478</v>
      </c>
      <c r="BW970" s="152" t="n">
        <v>-15.9315039</v>
      </c>
      <c r="BX970" s="152" t="n">
        <v>-47.7728593</v>
      </c>
      <c r="BY970" s="152" t="s">
        <v>5216</v>
      </c>
    </row>
    <row r="971" customFormat="false" ht="13.8" hidden="false" customHeight="false" outlineLevel="0" collapsed="false">
      <c r="A971" s="149" t="n">
        <f aca="false">IF(C971&lt;&gt;"",ROW(A966),"")</f>
        <v>966</v>
      </c>
      <c r="B971" s="150" t="str">
        <f aca="false">HYPERLINK("https://www.google.com/maps/dir/-15.917302,-47.760003/-15.9315625,-47.7783044/data=!4m3!4m2!3e0!5i2")</f>
        <v>https://www.google.com/maps/dir/-15.917302,-47.760003/-15.9315625,-47.7783044/data=!4m3!4m2!3e0!5i2</v>
      </c>
      <c r="C971" s="151" t="s">
        <v>117</v>
      </c>
      <c r="D971" s="152" t="s">
        <v>112</v>
      </c>
      <c r="E971" s="152" t="s">
        <v>113</v>
      </c>
      <c r="F971" s="152" t="s">
        <v>117</v>
      </c>
      <c r="G971" s="152" t="s">
        <v>782</v>
      </c>
      <c r="H971" s="152" t="n">
        <v>63</v>
      </c>
      <c r="I971" s="152" t="s">
        <v>115</v>
      </c>
      <c r="J971" s="152" t="s">
        <v>6</v>
      </c>
      <c r="K971" s="152" t="s">
        <v>5106</v>
      </c>
      <c r="L971" s="152" t="s">
        <v>120</v>
      </c>
      <c r="M971" s="153" t="n">
        <f aca="false">12.48</f>
        <v>12.48</v>
      </c>
      <c r="N971" s="152" t="s">
        <v>1548</v>
      </c>
      <c r="O971" s="152" t="s">
        <v>1549</v>
      </c>
      <c r="P971" s="152" t="s">
        <v>1550</v>
      </c>
      <c r="Q971" s="152" t="s">
        <v>1551</v>
      </c>
      <c r="R971" s="154" t="s">
        <v>5235</v>
      </c>
      <c r="S971" s="154" t="s">
        <v>1553</v>
      </c>
      <c r="T971" s="155" t="s">
        <v>5060</v>
      </c>
      <c r="U971" s="152" t="str">
        <f aca="false">RIGHT(T971,7)</f>
        <v>014/037</v>
      </c>
      <c r="V971" s="152" t="s">
        <v>1555</v>
      </c>
      <c r="W971" s="156" t="n">
        <v>45882</v>
      </c>
      <c r="X971" s="152" t="s">
        <v>1594</v>
      </c>
      <c r="Y971" s="152" t="s">
        <v>1886</v>
      </c>
      <c r="Z971" s="152" t="s">
        <v>1557</v>
      </c>
      <c r="AA971" s="153" t="n">
        <v>4.7</v>
      </c>
      <c r="AB971" s="151" t="s">
        <v>5236</v>
      </c>
      <c r="AC971" s="151" t="s">
        <v>186</v>
      </c>
      <c r="AD971" s="151" t="str">
        <f aca="false">CONCATENATE($C971,$I971,$H971,$N971,$J971,$K971)</f>
        <v>TUBO PEADPEAD63VCAREDESZona09</v>
      </c>
      <c r="AE971" s="153" t="n">
        <f aca="false">IFERROR(INDEX(APOIO_REDES!$A:$W,MATCH($C971&amp;$I971&amp;$H971&amp;$N971&amp;$O971,APOIO_REDES!$W:$W,0),MATCH(AE$5,APOIO_REDES!$5:$5,0)),0)</f>
        <v>1.2</v>
      </c>
      <c r="AF971" s="153" t="n">
        <f aca="false">IFERROR(INDEX(APOIO_REDES!$A:$W,MATCH($C971&amp;$I971&amp;$H971&amp;$N971&amp;$O971,APOIO_REDES!$W:$W,0),MATCH(AF$5,APOIO_REDES!$5:$5,0)),0)</f>
        <v>1.363</v>
      </c>
      <c r="AG971" s="153" t="n">
        <f aca="false">IFERROR(INDEX(APOIO_REDES!$A:$W,MATCH($C971&amp;$I971&amp;$H971&amp;$N971&amp;$O971,APOIO_REDES!$W:$W,0),MATCH(AG$5,APOIO_REDES!$5:$5,0)),0)</f>
        <v>0.65</v>
      </c>
      <c r="AH971" s="153" t="n">
        <f aca="false">IFERROR(INDEX(APOIO_REDES!$A:$W,MATCH($C971&amp;$I971&amp;$H971&amp;$N971&amp;$O971,APOIO_REDES!$W:$W,0),MATCH(AH$5,APOIO_REDES!$5:$5,0)),0)</f>
        <v>0.1</v>
      </c>
      <c r="AI971" s="153" t="n">
        <f aca="false">IFERROR(IF($H971&lt;&gt;"",(((($H971/1000)/2)^2)*PI()*$M971),0),0)</f>
        <v>0.0389032214753454</v>
      </c>
      <c r="AJ971" s="153" t="n">
        <f aca="false">IFERROR(IF(AND($H971&lt;&gt;"",$I971="FoFo",OR($N971="MND",$N971="VCA"),$Q971="LINEAR"),0,IF(AND($H971&lt;&gt;"",$I971="PEAD",$N971="VCA",$Q971="LINEAR"),($H971/1000)+0.3,IF(AND($H971&lt;&gt;"",$I971="PEAD",$N971="MND",$Q971="EMBOQUE"),0,IF(AND($H971&lt;&gt;"",$I971="PVC",$N971="VCA",$Q971="LINEAR"),($H971/1000)+0.2,IF(AND($H971&lt;&gt;"",$I971="PVC",$N971="MND",$Q971="EMBOQUE"),0,IF(AND($H971&lt;&gt;"",$I971="PEAD",$N971="VCA",$Q971="PREDIAL"),0,0)))))),0)</f>
        <v>0.363</v>
      </c>
      <c r="AK971" s="153" t="n">
        <f aca="false">IF(AA971&lt;&gt;"",AA971,0)</f>
        <v>4.7</v>
      </c>
      <c r="AL971" s="153" t="n">
        <f aca="false">IF(AND($N971="MND",$Q971="EMBOQUE"),$M971,IF(AND($N971="VCA",$Q971="LINEAR"),$M971,IF(AND($N971="VCA",$Q971="PREDIAL"),0,0)))</f>
        <v>12.48</v>
      </c>
      <c r="AM971" s="153" t="n">
        <f aca="false">IF(AND($N971="MND",$Q971="EMBOQUE"),$M971,IF(AND($N971="VCA",$Q971="LINEAR"),$M971,IF(AND($N971="VCA",$Q971="PREDIAL"),0,0)))</f>
        <v>12.48</v>
      </c>
      <c r="AN971" s="153" t="n">
        <f aca="false">ROUND(IF(AND($N971="VCA",$M971&lt;&gt;"",$Q971="LINEAR"),$M971/100,IF(AND($N971="MND",$M971&gt;100,$Q971="EMBOQUE"),$M971/100,0)),0)</f>
        <v>0</v>
      </c>
      <c r="AO971" s="153" t="n">
        <f aca="false">IF(AND($N971="MND",$Q971="EMBOQUE"),$AN971*2*2,IF(AND($N971="VCA",$Q971="LINEAR"),$M971*2,IF(AND($N971="VCA",$Q971="PREDIAL"),0,0)))</f>
        <v>24.96</v>
      </c>
      <c r="AP971" s="153" t="n">
        <f aca="false">IFERROR($M971*$AF971*$AG971,0)</f>
        <v>11.056656</v>
      </c>
      <c r="AQ971" s="153" t="n">
        <f aca="false">IFERROR(IF(AND($N971="VCA",$AH971&gt;0),$M971*$AG971*$AH971,0),0)</f>
        <v>0.8112</v>
      </c>
      <c r="AR971" s="153" t="n">
        <f aca="false">IFERROR(IF(AND($N971="VCA",$AJ971&gt;0),($M971*$AG971*$AJ971)-$AI971,0),0)</f>
        <v>2.90575277852465</v>
      </c>
      <c r="AS971" s="153" t="n">
        <f aca="false">IFERROR(IF(AND($N971="VCA",$AP971&gt;0),$AP971-$AI971-$AQ971-$AR971,0),0)</f>
        <v>7.3008</v>
      </c>
      <c r="AT971" s="153" t="n">
        <f aca="false">IFERROR(IF($N971="VCA",INDEX(APOIO_REDES!$A:$W,MATCH($C971&amp;$I971&amp;$H971&amp;$N971&amp;$O971,APOIO_REDES!$W:$W,0),MATCH(AT$5,APOIO_REDES!$5:$5,0)),0)*$AP971,0)</f>
        <v>0.120299689883126</v>
      </c>
      <c r="AU971" s="153" t="n">
        <f aca="false">IFERROR(IF($N971="VCA",INDEX(APOIO_REDES!$A:$W,MATCH($C971&amp;$I971&amp;$H971&amp;$N971&amp;$O971,APOIO_REDES!$W:$W,0),MATCH(AU$5,APOIO_REDES!$5:$5,0)),0)*$AP971,0)</f>
        <v>0.0960680742118651</v>
      </c>
      <c r="AV971" s="153" t="n">
        <f aca="false">IFERROR(IF($N971="VCA",INDEX(APOIO_REDES!$A:$W,MATCH($C971&amp;$I971&amp;$H971&amp;$N971&amp;$O971,APOIO_REDES!$W:$W,0),MATCH(AV$5,APOIO_REDES!$5:$5,0)),0)*$AP971,0)</f>
        <v>0.0132950673069703</v>
      </c>
      <c r="AW971" s="153" t="n">
        <f aca="false">IFERROR(IF($N971="VCA",INDEX(APOIO_REDES!$A:$W,MATCH($C971&amp;$I971&amp;$H971&amp;$N971&amp;$O971,APOIO_REDES!$W:$W,0),MATCH(AW$5,APOIO_REDES!$5:$5,0)),0)*$AP971,0)</f>
        <v>7.58937434955123</v>
      </c>
      <c r="AX971" s="153" t="n">
        <f aca="false">IFERROR(IF($N971="VCA",INDEX(APOIO_REDES!$A:$W,MATCH($C971&amp;$I971&amp;$H971&amp;$N971&amp;$O971,APOIO_REDES!$W:$W,0),MATCH(AX$5,APOIO_REDES!$5:$5,0)),0)*$AP971,0)</f>
        <v>1.05034779123584</v>
      </c>
      <c r="AY971" s="153" t="n">
        <f aca="false">IFERROR(IF($N971="VCA",INDEX(APOIO_REDES!$A:$W,MATCH($C971&amp;$I971&amp;$H971&amp;$N971&amp;$O971,APOIO_REDES!$W:$W,0),MATCH(AY$5,APOIO_REDES!$5:$5,0)),0)*$AP971,0)</f>
        <v>1.92136031317527</v>
      </c>
      <c r="AZ971" s="153" t="n">
        <f aca="false">IFERROR(IF($N971="VCA",INDEX(APOIO_REDES!$A:$W,MATCH($C971&amp;$I971&amp;$H971&amp;$N971&amp;$O971,APOIO_REDES!$W:$W,0),MATCH(AZ$5,APOIO_REDES!$5:$5,0)),0)*$AP971,0)</f>
        <v>0.265910714635702</v>
      </c>
      <c r="BA971" s="153" t="n">
        <f aca="false">IFERROR(IF(AND($N971="VCA",$Q971="LINEAR"),INDEX(APOIO_REDES!$A:$W,MATCH($C971&amp;$I971&amp;$H971&amp;$N971&amp;$O971,APOIO_REDES!$W:$W,0),MATCH(BA$5,APOIO_REDES!$5:$5,0)),IF(AND($N971="MND",$Q971="EMBOQUE"),INDEX(APOIO_REDES!$A:$W,MATCH($C971&amp;$I971&amp;$H971&amp;$N971&amp;$O971,APOIO_REDES!$W:$W,0),MATCH(BA$5,APOIO_REDES!$5:$5,0)),0))*$M971/10,0)</f>
        <v>1.00585652019566</v>
      </c>
      <c r="BB971" s="153" t="n">
        <f aca="false">IFERROR(IF($N971="VCA",INDEX(APOIO_REDES!$A:$W,MATCH($C971&amp;$I971&amp;$H971&amp;$N971&amp;$O971,APOIO_REDES!$W:$W,0),MATCH(BB$5,APOIO_REDES!$5:$5,0)),0)*($AI971+$AQ971+$AR971),0)</f>
        <v>3.71499117504337</v>
      </c>
      <c r="BC971" s="153" t="n">
        <f aca="false">IFERROR(IF($N971="VCA",INDEX(APOIO_REDES!$A:$W,MATCH($C971&amp;$I971&amp;$H971&amp;$N971&amp;$O971,APOIO_REDES!$W:$W,0),MATCH(BC$5,APOIO_REDES!$5:$5,0)),0)*($AI971+$AQ971+$AR971),0)</f>
        <v>0.0408648249566306</v>
      </c>
      <c r="BD971" s="153" t="n">
        <f aca="false">IF(AND($N971="VCA",$AF971&gt;=1.25,$AF971&lt;1.5),$M971*$AF971*2,0)</f>
        <v>34.02048</v>
      </c>
      <c r="BE971" s="153" t="n">
        <f aca="false">IF(AND($N971="VCA",$AF971&gt;=1.5,$AF971&lt;3),$M971*$AF971*2,0)</f>
        <v>0</v>
      </c>
      <c r="BF971" s="153" t="n">
        <f aca="false">IF(AND($N971="VCA",$AF971&gt;=3),$M971*$AF971*2,0)</f>
        <v>0</v>
      </c>
      <c r="BG971" s="153" t="n">
        <f aca="false">($BB971+$BC971)*$AK971</f>
        <v>17.6525232</v>
      </c>
      <c r="BH971" s="153" t="n">
        <f aca="false">IF(AND($M971&lt;&gt;"",$N971="VCA",$Q971="LINEAR"),($M971*2)/100,IF(AND($M971&lt;&gt;"",$N971="MND",$Q971="EMBOQUE"),($AN971*2)/100,0))</f>
        <v>0.2496</v>
      </c>
      <c r="BI971" s="153" t="n">
        <f aca="false">IF(AND($M971&lt;&gt;"",$N971="VCA",$Q971="LINEAR"),$M971,IF(AND($M971&lt;&gt;"",$N971="MND",$Q971="EMBOQUE"),$AN971*2,0))</f>
        <v>12.48</v>
      </c>
      <c r="BJ971" s="153" t="n">
        <f aca="false">IF(AND($M971&lt;&gt;"",$N971="VCA",$Q971="LINEAR"),($M971*6.8)/100,IF(AND($M971&lt;&gt;"",$N971="MND",$Q971="EMBOQUE"),($AN971*2*6.8)/100,0))</f>
        <v>0.84864</v>
      </c>
      <c r="BK971" s="153" t="n">
        <f aca="false">IF(AND($M971&lt;&gt;"",$N971="VCA",$Q971="LINEAR"),($M971*2.5)/50,IF(AND($M971&lt;&gt;"",$N971="MND",$Q971="EMBOQUE"),($AN971*2*2.5)/50,0))</f>
        <v>0.624</v>
      </c>
      <c r="BL971" s="157" t="str">
        <f aca="false">K971&amp;J971</f>
        <v>Zona09REDES</v>
      </c>
      <c r="BM971" s="152" t="s">
        <v>5109</v>
      </c>
      <c r="BN971" s="152" t="s">
        <v>1560</v>
      </c>
      <c r="BO971" s="152" t="s">
        <v>5062</v>
      </c>
      <c r="BP971" s="152" t="s">
        <v>5221</v>
      </c>
      <c r="BQ971" s="152" t="s">
        <v>5229</v>
      </c>
      <c r="BR971" s="152" t="s">
        <v>5230</v>
      </c>
      <c r="BS971" s="152" t="n">
        <v>202544.195</v>
      </c>
      <c r="BT971" s="152" t="n">
        <v>8236654.069</v>
      </c>
      <c r="BU971" s="152" t="n">
        <v>202541.75</v>
      </c>
      <c r="BV971" s="152" t="n">
        <v>8236666.312</v>
      </c>
      <c r="BW971" s="152" t="n">
        <v>-15.9315071</v>
      </c>
      <c r="BX971" s="152" t="n">
        <v>-47.778315</v>
      </c>
      <c r="BY971" s="152" t="s">
        <v>5221</v>
      </c>
    </row>
    <row r="972" customFormat="false" ht="13.8" hidden="false" customHeight="false" outlineLevel="0" collapsed="false">
      <c r="A972" s="149" t="n">
        <f aca="false">IF(C972&lt;&gt;"",ROW(A967),"")</f>
        <v>967</v>
      </c>
      <c r="B972" s="150" t="str">
        <f aca="false">HYPERLINK("https://www.google.com/maps/dir/-15.917302,-47.760003/-15.9311442,-47.7691731/data=!4m3!4m2!3e0!5i1")</f>
        <v>https://www.google.com/maps/dir/-15.917302,-47.760003/-15.9311442,-47.7691731/data=!4m3!4m2!3e0!5i1</v>
      </c>
      <c r="C972" s="151" t="s">
        <v>117</v>
      </c>
      <c r="D972" s="152" t="s">
        <v>112</v>
      </c>
      <c r="E972" s="152" t="s">
        <v>113</v>
      </c>
      <c r="F972" s="152" t="s">
        <v>117</v>
      </c>
      <c r="G972" s="152" t="s">
        <v>114</v>
      </c>
      <c r="H972" s="152" t="n">
        <v>355</v>
      </c>
      <c r="I972" s="152" t="s">
        <v>115</v>
      </c>
      <c r="J972" s="152" t="s">
        <v>6</v>
      </c>
      <c r="K972" s="152" t="s">
        <v>2224</v>
      </c>
      <c r="L972" s="152" t="s">
        <v>120</v>
      </c>
      <c r="M972" s="153" t="n">
        <f aca="false">13.65</f>
        <v>13.65</v>
      </c>
      <c r="N972" s="152" t="s">
        <v>1548</v>
      </c>
      <c r="O972" s="152" t="s">
        <v>1549</v>
      </c>
      <c r="P972" s="152" t="s">
        <v>1550</v>
      </c>
      <c r="Q972" s="152" t="s">
        <v>1551</v>
      </c>
      <c r="R972" s="154" t="s">
        <v>5237</v>
      </c>
      <c r="S972" s="154" t="s">
        <v>2226</v>
      </c>
      <c r="T972" s="155" t="s">
        <v>4002</v>
      </c>
      <c r="U972" s="152" t="str">
        <f aca="false">RIGHT(T972,7)</f>
        <v>015/037</v>
      </c>
      <c r="V972" s="152" t="s">
        <v>1555</v>
      </c>
      <c r="W972" s="156" t="n">
        <v>45882</v>
      </c>
      <c r="X972" s="152" t="s">
        <v>1594</v>
      </c>
      <c r="Y972" s="152" t="s">
        <v>2387</v>
      </c>
      <c r="Z972" s="152" t="s">
        <v>1557</v>
      </c>
      <c r="AA972" s="153" t="n">
        <v>4.5</v>
      </c>
      <c r="AB972" s="151" t="s">
        <v>5238</v>
      </c>
      <c r="AC972" s="151" t="s">
        <v>517</v>
      </c>
      <c r="AD972" s="151" t="str">
        <f aca="false">CONCATENATE($C972,$I972,$H972,$N972,$J972,$K972)</f>
        <v>TUBO PEADPEAD355VCAREDESADUTORA</v>
      </c>
      <c r="AE972" s="153" t="n">
        <f aca="false">IFERROR(INDEX(APOIO_REDES!$A:$W,MATCH($C972&amp;$I972&amp;$H972&amp;$N972&amp;$O972,APOIO_REDES!$W:$W,0),MATCH(AE$5,APOIO_REDES!$5:$5,0)),0)</f>
        <v>1.2</v>
      </c>
      <c r="AF972" s="153" t="n">
        <f aca="false">IFERROR(INDEX(APOIO_REDES!$A:$W,MATCH($C972&amp;$I972&amp;$H972&amp;$N972&amp;$O972,APOIO_REDES!$W:$W,0),MATCH(AF$5,APOIO_REDES!$5:$5,0)),0)</f>
        <v>1.655</v>
      </c>
      <c r="AG972" s="153" t="n">
        <f aca="false">IFERROR(INDEX(APOIO_REDES!$A:$W,MATCH($C972&amp;$I972&amp;$H972&amp;$N972&amp;$O972,APOIO_REDES!$W:$W,0),MATCH(AG$5,APOIO_REDES!$5:$5,0)),0)</f>
        <v>1</v>
      </c>
      <c r="AH972" s="153" t="n">
        <f aca="false">IFERROR(INDEX(APOIO_REDES!$A:$W,MATCH($C972&amp;$I972&amp;$H972&amp;$N972&amp;$O972,APOIO_REDES!$W:$W,0),MATCH(AH$5,APOIO_REDES!$5:$5,0)),0)</f>
        <v>0.1</v>
      </c>
      <c r="AI972" s="153" t="n">
        <f aca="false">IFERROR(IF($H972&lt;&gt;"",(((($H972/1000)/2)^2)*PI()*$M972),0),0)</f>
        <v>1.35107431835053</v>
      </c>
      <c r="AJ972" s="153" t="n">
        <f aca="false">IFERROR(IF(AND($H972&lt;&gt;"",$I972="FoFo",OR($N972="MND",$N972="VCA"),$Q972="LINEAR"),0,IF(AND($H972&lt;&gt;"",$I972="PEAD",$N972="VCA",$Q972="LINEAR"),($H972/1000)+0.3,IF(AND($H972&lt;&gt;"",$I972="PEAD",$N972="MND",$Q972="EMBOQUE"),0,IF(AND($H972&lt;&gt;"",$I972="PVC",$N972="VCA",$Q972="LINEAR"),($H972/1000)+0.2,IF(AND($H972&lt;&gt;"",$I972="PVC",$N972="MND",$Q972="EMBOQUE"),0,IF(AND($H972&lt;&gt;"",$I972="PEAD",$N972="VCA",$Q972="PREDIAL"),0,0)))))),0)</f>
        <v>0.655</v>
      </c>
      <c r="AK972" s="153" t="n">
        <f aca="false">IF(AA972&lt;&gt;"",AA972,0)</f>
        <v>4.5</v>
      </c>
      <c r="AL972" s="153" t="n">
        <f aca="false">IF(AND($N972="MND",$Q972="EMBOQUE"),$M972,IF(AND($N972="VCA",$Q972="LINEAR"),$M972,IF(AND($N972="VCA",$Q972="PREDIAL"),0,0)))</f>
        <v>13.65</v>
      </c>
      <c r="AM972" s="153" t="n">
        <f aca="false">IF(AND($N972="MND",$Q972="EMBOQUE"),$M972,IF(AND($N972="VCA",$Q972="LINEAR"),$M972,IF(AND($N972="VCA",$Q972="PREDIAL"),0,0)))</f>
        <v>13.65</v>
      </c>
      <c r="AN972" s="153" t="n">
        <f aca="false">ROUND(IF(AND($N972="VCA",$M972&lt;&gt;"",$Q972="LINEAR"),$M972/100,IF(AND($N972="MND",$M972&gt;100,$Q972="EMBOQUE"),$M972/100,0)),0)</f>
        <v>0</v>
      </c>
      <c r="AO972" s="153" t="n">
        <f aca="false">IF(AND($N972="MND",$Q972="EMBOQUE"),$AN972*2*2,IF(AND($N972="VCA",$Q972="LINEAR"),$M972*2,IF(AND($N972="VCA",$Q972="PREDIAL"),0,0)))</f>
        <v>27.3</v>
      </c>
      <c r="AP972" s="153" t="n">
        <f aca="false">IFERROR($M972*$AF972*$AG972,0)</f>
        <v>22.59075</v>
      </c>
      <c r="AQ972" s="153" t="n">
        <f aca="false">IFERROR(IF(AND($N972="VCA",$AH972&gt;0),$M972*$AG972*$AH972,0),0)</f>
        <v>1.365</v>
      </c>
      <c r="AR972" s="153" t="n">
        <f aca="false">IFERROR(IF(AND($N972="VCA",$AJ972&gt;0),($M972*$AG972*$AJ972)-$AI972,0),0)</f>
        <v>7.58967568164947</v>
      </c>
      <c r="AS972" s="153" t="n">
        <f aca="false">IFERROR(IF(AND($N972="VCA",$AP972&gt;0),$AP972-$AI972-$AQ972-$AR972,0),0)</f>
        <v>12.285</v>
      </c>
      <c r="AT972" s="153" t="n">
        <f aca="false">IFERROR(IF($N972="VCA",INDEX(APOIO_REDES!$A:$W,MATCH($C972&amp;$I972&amp;$H972&amp;$N972&amp;$O972,APOIO_REDES!$W:$W,0),MATCH(AT$5,APOIO_REDES!$5:$5,0)),0)*$AP972,0)</f>
        <v>0.245794046520687</v>
      </c>
      <c r="AU972" s="153" t="n">
        <f aca="false">IFERROR(IF($N972="VCA",INDEX(APOIO_REDES!$A:$W,MATCH($C972&amp;$I972&amp;$H972&amp;$N972&amp;$O972,APOIO_REDES!$W:$W,0),MATCH(AU$5,APOIO_REDES!$5:$5,0)),0)*$AP972,0)</f>
        <v>0.196284468604404</v>
      </c>
      <c r="AV972" s="153" t="n">
        <f aca="false">IFERROR(IF($N972="VCA",INDEX(APOIO_REDES!$A:$W,MATCH($C972&amp;$I972&amp;$H972&amp;$N972&amp;$O972,APOIO_REDES!$W:$W,0),MATCH(AV$5,APOIO_REDES!$5:$5,0)),0)*$AP972,0)</f>
        <v>0.0271642295613555</v>
      </c>
      <c r="AW972" s="153" t="n">
        <f aca="false">IFERROR(IF($N972="VCA",INDEX(APOIO_REDES!$A:$W,MATCH($C972&amp;$I972&amp;$H972&amp;$N972&amp;$O972,APOIO_REDES!$W:$W,0),MATCH(AW$5,APOIO_REDES!$5:$5,0)),0)*$AP972,0)</f>
        <v>15.5064658416726</v>
      </c>
      <c r="AX972" s="153" t="n">
        <f aca="false">IFERROR(IF($N972="VCA",INDEX(APOIO_REDES!$A:$W,MATCH($C972&amp;$I972&amp;$H972&amp;$N972&amp;$O972,APOIO_REDES!$W:$W,0),MATCH(AX$5,APOIO_REDES!$5:$5,0)),0)*$AP972,0)</f>
        <v>2.14605070148343</v>
      </c>
      <c r="AY972" s="153" t="n">
        <f aca="false">IFERROR(IF($N972="VCA",INDEX(APOIO_REDES!$A:$W,MATCH($C972&amp;$I972&amp;$H972&amp;$N972&amp;$O972,APOIO_REDES!$W:$W,0),MATCH(AY$5,APOIO_REDES!$5:$5,0)),0)*$AP972,0)</f>
        <v>3.92568697939631</v>
      </c>
      <c r="AZ972" s="153" t="n">
        <f aca="false">IFERROR(IF($N972="VCA",INDEX(APOIO_REDES!$A:$W,MATCH($C972&amp;$I972&amp;$H972&amp;$N972&amp;$O972,APOIO_REDES!$W:$W,0),MATCH(AZ$5,APOIO_REDES!$5:$5,0)),0)*$AP972,0)</f>
        <v>0.543303732761196</v>
      </c>
      <c r="BA972" s="153" t="n">
        <f aca="false">IFERROR(IF(AND($N972="VCA",$Q972="LINEAR"),INDEX(APOIO_REDES!$A:$W,MATCH($C972&amp;$I972&amp;$H972&amp;$N972&amp;$O972,APOIO_REDES!$W:$W,0),MATCH(BA$5,APOIO_REDES!$5:$5,0)),IF(AND($N972="MND",$Q972="EMBOQUE"),INDEX(APOIO_REDES!$A:$W,MATCH($C972&amp;$I972&amp;$H972&amp;$N972&amp;$O972,APOIO_REDES!$W:$W,0),MATCH(BA$5,APOIO_REDES!$5:$5,0)),0))*$M972/10,0)</f>
        <v>1.100155568964</v>
      </c>
      <c r="BB972" s="153" t="n">
        <f aca="false">IFERROR(IF($N972="VCA",INDEX(APOIO_REDES!$A:$W,MATCH($C972&amp;$I972&amp;$H972&amp;$N972&amp;$O972,APOIO_REDES!$W:$W,0),MATCH(BB$5,APOIO_REDES!$5:$5,0)),0)*($AI972+$AQ972+$AR972),0)</f>
        <v>10.1936203896537</v>
      </c>
      <c r="BC972" s="153" t="n">
        <f aca="false">IFERROR(IF($N972="VCA",INDEX(APOIO_REDES!$A:$W,MATCH($C972&amp;$I972&amp;$H972&amp;$N972&amp;$O972,APOIO_REDES!$W:$W,0),MATCH(BC$5,APOIO_REDES!$5:$5,0)),0)*($AI972+$AQ972+$AR972),0)</f>
        <v>0.112129610346295</v>
      </c>
      <c r="BD972" s="153" t="n">
        <f aca="false">IF(AND($N972="VCA",$AF972&gt;=1.25,$AF972&lt;1.5),$M972*$AF972*2,0)</f>
        <v>0</v>
      </c>
      <c r="BE972" s="153" t="n">
        <f aca="false">IF(AND($N972="VCA",$AF972&gt;=1.5,$AF972&lt;3),$M972*$AF972*2,0)</f>
        <v>45.1815</v>
      </c>
      <c r="BF972" s="153" t="n">
        <f aca="false">IF(AND($N972="VCA",$AF972&gt;=3),$M972*$AF972*2,0)</f>
        <v>0</v>
      </c>
      <c r="BG972" s="153" t="n">
        <f aca="false">($BB972+$BC972)*$AK972</f>
        <v>46.375875</v>
      </c>
      <c r="BH972" s="153" t="n">
        <f aca="false">IF(AND($M972&lt;&gt;"",$N972="VCA",$Q972="LINEAR"),($M972*2)/100,IF(AND($M972&lt;&gt;"",$N972="MND",$Q972="EMBOQUE"),($AN972*2)/100,0))</f>
        <v>0.273</v>
      </c>
      <c r="BI972" s="153" t="n">
        <f aca="false">IF(AND($M972&lt;&gt;"",$N972="VCA",$Q972="LINEAR"),$M972,IF(AND($M972&lt;&gt;"",$N972="MND",$Q972="EMBOQUE"),$AN972*2,0))</f>
        <v>13.65</v>
      </c>
      <c r="BJ972" s="153" t="n">
        <f aca="false">IF(AND($M972&lt;&gt;"",$N972="VCA",$Q972="LINEAR"),($M972*6.8)/100,IF(AND($M972&lt;&gt;"",$N972="MND",$Q972="EMBOQUE"),($AN972*2*6.8)/100,0))</f>
        <v>0.9282</v>
      </c>
      <c r="BK972" s="153" t="n">
        <f aca="false">IF(AND($M972&lt;&gt;"",$N972="VCA",$Q972="LINEAR"),($M972*2.5)/50,IF(AND($M972&lt;&gt;"",$N972="MND",$Q972="EMBOQUE"),($AN972*2*2.5)/50,0))</f>
        <v>0.6825</v>
      </c>
      <c r="BL972" s="157" t="str">
        <f aca="false">K972&amp;J972</f>
        <v>ADUTORAREDES</v>
      </c>
      <c r="BM972" s="152" t="s">
        <v>2229</v>
      </c>
      <c r="BN972" s="152" t="s">
        <v>2230</v>
      </c>
      <c r="BO972" s="152" t="s">
        <v>4004</v>
      </c>
      <c r="BP972" s="152" t="s">
        <v>2032</v>
      </c>
      <c r="BQ972" s="152" t="s">
        <v>5239</v>
      </c>
      <c r="BR972" s="152" t="s">
        <v>5240</v>
      </c>
      <c r="BS972" s="152" t="n">
        <v>203518.352</v>
      </c>
      <c r="BT972" s="152" t="n">
        <v>8236726.58</v>
      </c>
      <c r="BU972" s="152" t="n">
        <v>203521.858</v>
      </c>
      <c r="BV972" s="152" t="n">
        <v>8236713.391</v>
      </c>
      <c r="BW972" s="152" t="n">
        <v>-15.9310845</v>
      </c>
      <c r="BX972" s="152" t="n">
        <v>-47.769189</v>
      </c>
      <c r="BY972" s="152" t="s">
        <v>5239</v>
      </c>
    </row>
    <row r="973" customFormat="false" ht="13.8" hidden="false" customHeight="false" outlineLevel="0" collapsed="false">
      <c r="A973" s="149" t="n">
        <f aca="false">IF(C973&lt;&gt;"",ROW(A968),"")</f>
        <v>968</v>
      </c>
      <c r="B973" s="150" t="str">
        <f aca="false">HYPERLINK("https://www.google.com/maps/dir/-15.917302,-47.760003/-15.9311442,-47.7691731/data=!4m3!4m2!3e0!5i1")</f>
        <v>https://www.google.com/maps/dir/-15.917302,-47.760003/-15.9311442,-47.7691731/data=!4m3!4m2!3e0!5i1</v>
      </c>
      <c r="C973" s="151" t="s">
        <v>117</v>
      </c>
      <c r="D973" s="152" t="s">
        <v>112</v>
      </c>
      <c r="E973" s="152" t="s">
        <v>113</v>
      </c>
      <c r="F973" s="152" t="s">
        <v>117</v>
      </c>
      <c r="G973" s="152" t="s">
        <v>114</v>
      </c>
      <c r="H973" s="152" t="n">
        <v>500</v>
      </c>
      <c r="I973" s="152" t="s">
        <v>115</v>
      </c>
      <c r="J973" s="152" t="s">
        <v>6</v>
      </c>
      <c r="K973" s="152" t="s">
        <v>2224</v>
      </c>
      <c r="L973" s="152" t="s">
        <v>120</v>
      </c>
      <c r="M973" s="153" t="n">
        <f aca="false">3.7</f>
        <v>3.7</v>
      </c>
      <c r="N973" s="152" t="s">
        <v>1548</v>
      </c>
      <c r="O973" s="152" t="s">
        <v>1549</v>
      </c>
      <c r="P973" s="152" t="s">
        <v>1550</v>
      </c>
      <c r="Q973" s="152" t="s">
        <v>1551</v>
      </c>
      <c r="R973" s="154" t="s">
        <v>5241</v>
      </c>
      <c r="S973" s="154" t="s">
        <v>2226</v>
      </c>
      <c r="T973" s="155" t="s">
        <v>4002</v>
      </c>
      <c r="U973" s="152" t="str">
        <f aca="false">RIGHT(T973,7)</f>
        <v>015/037</v>
      </c>
      <c r="V973" s="152" t="s">
        <v>1555</v>
      </c>
      <c r="W973" s="156" t="n">
        <v>45882</v>
      </c>
      <c r="X973" s="152" t="s">
        <v>1594</v>
      </c>
      <c r="Y973" s="152" t="s">
        <v>2387</v>
      </c>
      <c r="Z973" s="152" t="s">
        <v>1557</v>
      </c>
      <c r="AA973" s="153" t="n">
        <v>4.5</v>
      </c>
      <c r="AB973" s="151" t="s">
        <v>5242</v>
      </c>
      <c r="AC973" s="151" t="s">
        <v>523</v>
      </c>
      <c r="AD973" s="151" t="str">
        <f aca="false">CONCATENATE($C973,$I973,$H973,$N973,$J973,$K973)</f>
        <v>TUBO PEADPEAD500VCAREDESADUTORA</v>
      </c>
      <c r="AE973" s="153" t="n">
        <f aca="false">IFERROR(INDEX(APOIO_REDES!$A:$W,MATCH($C973&amp;$I973&amp;$H973&amp;$N973&amp;$O973,APOIO_REDES!$W:$W,0),MATCH(AE$5,APOIO_REDES!$5:$5,0)),0)</f>
        <v>1.2</v>
      </c>
      <c r="AF973" s="153" t="n">
        <f aca="false">IFERROR(INDEX(APOIO_REDES!$A:$W,MATCH($C973&amp;$I973&amp;$H973&amp;$N973&amp;$O973,APOIO_REDES!$W:$W,0),MATCH(AF$5,APOIO_REDES!$5:$5,0)),0)</f>
        <v>1.8</v>
      </c>
      <c r="AG973" s="153" t="n">
        <f aca="false">IFERROR(INDEX(APOIO_REDES!$A:$W,MATCH($C973&amp;$I973&amp;$H973&amp;$N973&amp;$O973,APOIO_REDES!$W:$W,0),MATCH(AG$5,APOIO_REDES!$5:$5,0)),0)</f>
        <v>1.2</v>
      </c>
      <c r="AH973" s="153" t="n">
        <f aca="false">IFERROR(INDEX(APOIO_REDES!$A:$W,MATCH($C973&amp;$I973&amp;$H973&amp;$N973&amp;$O973,APOIO_REDES!$W:$W,0),MATCH(AH$5,APOIO_REDES!$5:$5,0)),0)</f>
        <v>0.1</v>
      </c>
      <c r="AI973" s="153" t="n">
        <f aca="false">IFERROR(IF($H973&lt;&gt;"",(((($H973/1000)/2)^2)*PI()*$M973),0),0)</f>
        <v>0.72649330114264</v>
      </c>
      <c r="AJ973" s="153" t="n">
        <f aca="false">IFERROR(IF(AND($H973&lt;&gt;"",$I973="FoFo",OR($N973="MND",$N973="VCA"),$Q973="LINEAR"),0,IF(AND($H973&lt;&gt;"",$I973="PEAD",$N973="VCA",$Q973="LINEAR"),($H973/1000)+0.3,IF(AND($H973&lt;&gt;"",$I973="PEAD",$N973="MND",$Q973="EMBOQUE"),0,IF(AND($H973&lt;&gt;"",$I973="PVC",$N973="VCA",$Q973="LINEAR"),($H973/1000)+0.2,IF(AND($H973&lt;&gt;"",$I973="PVC",$N973="MND",$Q973="EMBOQUE"),0,IF(AND($H973&lt;&gt;"",$I973="PEAD",$N973="VCA",$Q973="PREDIAL"),0,0)))))),0)</f>
        <v>0.8</v>
      </c>
      <c r="AK973" s="153" t="n">
        <f aca="false">IF(AA973&lt;&gt;"",AA973,0)</f>
        <v>4.5</v>
      </c>
      <c r="AL973" s="153" t="n">
        <f aca="false">IF(AND($N973="MND",$Q973="EMBOQUE"),$M973,IF(AND($N973="VCA",$Q973="LINEAR"),$M973,IF(AND($N973="VCA",$Q973="PREDIAL"),0,0)))</f>
        <v>3.7</v>
      </c>
      <c r="AM973" s="153" t="n">
        <f aca="false">IF(AND($N973="MND",$Q973="EMBOQUE"),$M973,IF(AND($N973="VCA",$Q973="LINEAR"),$M973,IF(AND($N973="VCA",$Q973="PREDIAL"),0,0)))</f>
        <v>3.7</v>
      </c>
      <c r="AN973" s="153" t="n">
        <f aca="false">ROUND(IF(AND($N973="VCA",$M973&lt;&gt;"",$Q973="LINEAR"),$M973/100,IF(AND($N973="MND",$M973&gt;100,$Q973="EMBOQUE"),$M973/100,0)),0)</f>
        <v>0</v>
      </c>
      <c r="AO973" s="153" t="n">
        <f aca="false">IF(AND($N973="MND",$Q973="EMBOQUE"),$AN973*2*2,IF(AND($N973="VCA",$Q973="LINEAR"),$M973*2,IF(AND($N973="VCA",$Q973="PREDIAL"),0,0)))</f>
        <v>7.4</v>
      </c>
      <c r="AP973" s="153" t="n">
        <f aca="false">IFERROR($M973*$AF973*$AG973,0)</f>
        <v>7.992</v>
      </c>
      <c r="AQ973" s="153" t="n">
        <f aca="false">IFERROR(IF(AND($N973="VCA",$AH973&gt;0),$M973*$AG973*$AH973,0),0)</f>
        <v>0.444</v>
      </c>
      <c r="AR973" s="153" t="n">
        <f aca="false">IFERROR(IF(AND($N973="VCA",$AJ973&gt;0),($M973*$AG973*$AJ973)-$AI973,0),0)</f>
        <v>2.82550669885736</v>
      </c>
      <c r="AS973" s="153" t="n">
        <f aca="false">IFERROR(IF(AND($N973="VCA",$AP973&gt;0),$AP973-$AI973-$AQ973-$AR973,0),0)</f>
        <v>3.996</v>
      </c>
      <c r="AT973" s="153" t="n">
        <f aca="false">IFERROR(IF($N973="VCA",INDEX(APOIO_REDES!$A:$W,MATCH($C973&amp;$I973&amp;$H973&amp;$N973&amp;$O973,APOIO_REDES!$W:$W,0),MATCH(AT$5,APOIO_REDES!$5:$5,0)),0)*$AP973,0)</f>
        <v>0.0869553255112528</v>
      </c>
      <c r="AU973" s="153" t="n">
        <f aca="false">IFERROR(IF($N973="VCA",INDEX(APOIO_REDES!$A:$W,MATCH($C973&amp;$I973&amp;$H973&amp;$N973&amp;$O973,APOIO_REDES!$W:$W,0),MATCH(AU$5,APOIO_REDES!$5:$5,0)),0)*$AP973,0)</f>
        <v>0.0694401679044031</v>
      </c>
      <c r="AV973" s="153" t="n">
        <f aca="false">IFERROR(IF($N973="VCA",INDEX(APOIO_REDES!$A:$W,MATCH($C973&amp;$I973&amp;$H973&amp;$N973&amp;$O973,APOIO_REDES!$W:$W,0),MATCH(AV$5,APOIO_REDES!$5:$5,0)),0)*$AP973,0)</f>
        <v>0.00960997411127797</v>
      </c>
      <c r="AW973" s="153" t="n">
        <f aca="false">IFERROR(IF($N973="VCA",INDEX(APOIO_REDES!$A:$W,MATCH($C973&amp;$I973&amp;$H973&amp;$N973&amp;$O973,APOIO_REDES!$W:$W,0),MATCH(AW$5,APOIO_REDES!$5:$5,0)),0)*$AP973,0)</f>
        <v>5.48577072503779</v>
      </c>
      <c r="AX973" s="153" t="n">
        <f aca="false">IFERROR(IF($N973="VCA",INDEX(APOIO_REDES!$A:$W,MATCH($C973&amp;$I973&amp;$H973&amp;$N973&amp;$O973,APOIO_REDES!$W:$W,0),MATCH(AX$5,APOIO_REDES!$5:$5,0)),0)*$AP973,0)</f>
        <v>0.759215041831527</v>
      </c>
      <c r="AY973" s="153" t="n">
        <f aca="false">IFERROR(IF($N973="VCA",INDEX(APOIO_REDES!$A:$W,MATCH($C973&amp;$I973&amp;$H973&amp;$N973&amp;$O973,APOIO_REDES!$W:$W,0),MATCH(AY$5,APOIO_REDES!$5:$5,0)),0)*$AP973,0)</f>
        <v>1.38880251161804</v>
      </c>
      <c r="AZ973" s="153" t="n">
        <f aca="false">IFERROR(IF($N973="VCA",INDEX(APOIO_REDES!$A:$W,MATCH($C973&amp;$I973&amp;$H973&amp;$N973&amp;$O973,APOIO_REDES!$W:$W,0),MATCH(AZ$5,APOIO_REDES!$5:$5,0)),0)*$AP973,0)</f>
        <v>0.192206253985701</v>
      </c>
      <c r="BA973" s="153" t="n">
        <f aca="false">IFERROR(IF(AND($N973="VCA",$Q973="LINEAR"),INDEX(APOIO_REDES!$A:$W,MATCH($C973&amp;$I973&amp;$H973&amp;$N973&amp;$O973,APOIO_REDES!$W:$W,0),MATCH(BA$5,APOIO_REDES!$5:$5,0)),IF(AND($N973="MND",$Q973="EMBOQUE"),INDEX(APOIO_REDES!$A:$W,MATCH($C973&amp;$I973&amp;$H973&amp;$N973&amp;$O973,APOIO_REDES!$W:$W,0),MATCH(BA$5,APOIO_REDES!$5:$5,0)),0))*$M973/10,0)</f>
        <v>0.298210667045187</v>
      </c>
      <c r="BB973" s="153" t="n">
        <f aca="false">IFERROR(IF($N973="VCA",INDEX(APOIO_REDES!$A:$W,MATCH($C973&amp;$I973&amp;$H973&amp;$N973&amp;$O973,APOIO_REDES!$W:$W,0),MATCH(BB$5,APOIO_REDES!$5:$5,0)),0)*($AI973+$AQ973+$AR973),0)</f>
        <v>3.95252233724437</v>
      </c>
      <c r="BC973" s="153" t="n">
        <f aca="false">IFERROR(IF($N973="VCA",INDEX(APOIO_REDES!$A:$W,MATCH($C973&amp;$I973&amp;$H973&amp;$N973&amp;$O973,APOIO_REDES!$W:$W,0),MATCH(BC$5,APOIO_REDES!$5:$5,0)),0)*($AI973+$AQ973+$AR973),0)</f>
        <v>0.0434776627556264</v>
      </c>
      <c r="BD973" s="153" t="n">
        <f aca="false">IF(AND($N973="VCA",$AF973&gt;=1.25,$AF973&lt;1.5),$M973*$AF973*2,0)</f>
        <v>0</v>
      </c>
      <c r="BE973" s="153" t="n">
        <f aca="false">IF(AND($N973="VCA",$AF973&gt;=1.5,$AF973&lt;3),$M973*$AF973*2,0)</f>
        <v>13.32</v>
      </c>
      <c r="BF973" s="153" t="n">
        <f aca="false">IF(AND($N973="VCA",$AF973&gt;=3),$M973*$AF973*2,0)</f>
        <v>0</v>
      </c>
      <c r="BG973" s="153" t="n">
        <f aca="false">($BB973+$BC973)*$AK973</f>
        <v>17.982</v>
      </c>
      <c r="BH973" s="153" t="n">
        <f aca="false">IF(AND($M973&lt;&gt;"",$N973="VCA",$Q973="LINEAR"),($M973*2)/100,IF(AND($M973&lt;&gt;"",$N973="MND",$Q973="EMBOQUE"),($AN973*2)/100,0))</f>
        <v>0.074</v>
      </c>
      <c r="BI973" s="153" t="n">
        <f aca="false">IF(AND($M973&lt;&gt;"",$N973="VCA",$Q973="LINEAR"),$M973,IF(AND($M973&lt;&gt;"",$N973="MND",$Q973="EMBOQUE"),$AN973*2,0))</f>
        <v>3.7</v>
      </c>
      <c r="BJ973" s="153" t="n">
        <f aca="false">IF(AND($M973&lt;&gt;"",$N973="VCA",$Q973="LINEAR"),($M973*6.8)/100,IF(AND($M973&lt;&gt;"",$N973="MND",$Q973="EMBOQUE"),($AN973*2*6.8)/100,0))</f>
        <v>0.2516</v>
      </c>
      <c r="BK973" s="153" t="n">
        <f aca="false">IF(AND($M973&lt;&gt;"",$N973="VCA",$Q973="LINEAR"),($M973*2.5)/50,IF(AND($M973&lt;&gt;"",$N973="MND",$Q973="EMBOQUE"),($AN973*2*2.5)/50,0))</f>
        <v>0.185</v>
      </c>
      <c r="BL973" s="157" t="str">
        <f aca="false">K973&amp;J973</f>
        <v>ADUTORAREDES</v>
      </c>
      <c r="BM973" s="152" t="s">
        <v>2229</v>
      </c>
      <c r="BN973" s="152" t="s">
        <v>2230</v>
      </c>
      <c r="BO973" s="152" t="s">
        <v>4004</v>
      </c>
      <c r="BP973" s="152" t="s">
        <v>5239</v>
      </c>
      <c r="BQ973" s="152" t="s">
        <v>5243</v>
      </c>
      <c r="BR973" s="152" t="s">
        <v>5244</v>
      </c>
      <c r="BS973" s="152" t="n">
        <v>203521.858</v>
      </c>
      <c r="BT973" s="152" t="n">
        <v>8236713.391</v>
      </c>
      <c r="BU973" s="152" t="n">
        <v>203518.347</v>
      </c>
      <c r="BV973" s="152" t="n">
        <v>8236712.219</v>
      </c>
      <c r="BW973" s="152" t="n">
        <v>-15.9311493</v>
      </c>
      <c r="BX973" s="152" t="n">
        <v>-47.7691896</v>
      </c>
      <c r="BY973" s="152" t="s">
        <v>5239</v>
      </c>
    </row>
    <row r="974" customFormat="false" ht="13.8" hidden="false" customHeight="false" outlineLevel="0" collapsed="false">
      <c r="A974" s="149" t="n">
        <f aca="false">IF(C974&lt;&gt;"",ROW(A969),"")</f>
        <v>969</v>
      </c>
      <c r="B974" s="150" t="str">
        <f aca="false">HYPERLINK("https://www.google.com/maps/dir/-15.917302,-47.760003/-15.9311545,-47.7692060/data=!4m3!4m2!3e0!5i1")</f>
        <v>https://www.google.com/maps/dir/-15.917302,-47.760003/-15.9311545,-47.7692060/data=!4m3!4m2!3e0!5i1</v>
      </c>
      <c r="C974" s="151" t="s">
        <v>117</v>
      </c>
      <c r="D974" s="152" t="s">
        <v>112</v>
      </c>
      <c r="E974" s="152" t="s">
        <v>113</v>
      </c>
      <c r="F974" s="152" t="s">
        <v>117</v>
      </c>
      <c r="G974" s="152" t="s">
        <v>114</v>
      </c>
      <c r="H974" s="152" t="n">
        <v>500</v>
      </c>
      <c r="I974" s="152" t="s">
        <v>115</v>
      </c>
      <c r="J974" s="152" t="s">
        <v>6</v>
      </c>
      <c r="K974" s="152" t="s">
        <v>2224</v>
      </c>
      <c r="L974" s="152" t="s">
        <v>120</v>
      </c>
      <c r="M974" s="153" t="n">
        <f aca="false">3.73</f>
        <v>3.73</v>
      </c>
      <c r="N974" s="152" t="s">
        <v>1548</v>
      </c>
      <c r="O974" s="152" t="s">
        <v>1549</v>
      </c>
      <c r="P974" s="152" t="s">
        <v>1550</v>
      </c>
      <c r="Q974" s="152" t="s">
        <v>1551</v>
      </c>
      <c r="R974" s="154" t="s">
        <v>5245</v>
      </c>
      <c r="S974" s="154" t="s">
        <v>2226</v>
      </c>
      <c r="T974" s="155" t="s">
        <v>4002</v>
      </c>
      <c r="U974" s="152" t="str">
        <f aca="false">RIGHT(T974,7)</f>
        <v>015/037</v>
      </c>
      <c r="V974" s="152" t="s">
        <v>1555</v>
      </c>
      <c r="W974" s="156" t="n">
        <v>45882</v>
      </c>
      <c r="X974" s="152" t="s">
        <v>1594</v>
      </c>
      <c r="Y974" s="152" t="s">
        <v>2387</v>
      </c>
      <c r="Z974" s="152" t="s">
        <v>1557</v>
      </c>
      <c r="AA974" s="153" t="n">
        <v>4.5</v>
      </c>
      <c r="AB974" s="151" t="s">
        <v>5246</v>
      </c>
      <c r="AC974" s="151" t="s">
        <v>523</v>
      </c>
      <c r="AD974" s="151" t="str">
        <f aca="false">CONCATENATE($C974,$I974,$H974,$N974,$J974,$K974)</f>
        <v>TUBO PEADPEAD500VCAREDESADUTORA</v>
      </c>
      <c r="AE974" s="153" t="n">
        <f aca="false">IFERROR(INDEX(APOIO_REDES!$A:$W,MATCH($C974&amp;$I974&amp;$H974&amp;$N974&amp;$O974,APOIO_REDES!$W:$W,0),MATCH(AE$5,APOIO_REDES!$5:$5,0)),0)</f>
        <v>1.2</v>
      </c>
      <c r="AF974" s="153" t="n">
        <f aca="false">IFERROR(INDEX(APOIO_REDES!$A:$W,MATCH($C974&amp;$I974&amp;$H974&amp;$N974&amp;$O974,APOIO_REDES!$W:$W,0),MATCH(AF$5,APOIO_REDES!$5:$5,0)),0)</f>
        <v>1.8</v>
      </c>
      <c r="AG974" s="153" t="n">
        <f aca="false">IFERROR(INDEX(APOIO_REDES!$A:$W,MATCH($C974&amp;$I974&amp;$H974&amp;$N974&amp;$O974,APOIO_REDES!$W:$W,0),MATCH(AG$5,APOIO_REDES!$5:$5,0)),0)</f>
        <v>1.2</v>
      </c>
      <c r="AH974" s="153" t="n">
        <f aca="false">IFERROR(INDEX(APOIO_REDES!$A:$W,MATCH($C974&amp;$I974&amp;$H974&amp;$N974&amp;$O974,APOIO_REDES!$W:$W,0),MATCH(AH$5,APOIO_REDES!$5:$5,0)),0)</f>
        <v>0.1</v>
      </c>
      <c r="AI974" s="153" t="n">
        <f aca="false">IFERROR(IF($H974&lt;&gt;"",(((($H974/1000)/2)^2)*PI()*$M974),0),0)</f>
        <v>0.732383787368121</v>
      </c>
      <c r="AJ974" s="153" t="n">
        <f aca="false">IFERROR(IF(AND($H974&lt;&gt;"",$I974="FoFo",OR($N974="MND",$N974="VCA"),$Q974="LINEAR"),0,IF(AND($H974&lt;&gt;"",$I974="PEAD",$N974="VCA",$Q974="LINEAR"),($H974/1000)+0.3,IF(AND($H974&lt;&gt;"",$I974="PEAD",$N974="MND",$Q974="EMBOQUE"),0,IF(AND($H974&lt;&gt;"",$I974="PVC",$N974="VCA",$Q974="LINEAR"),($H974/1000)+0.2,IF(AND($H974&lt;&gt;"",$I974="PVC",$N974="MND",$Q974="EMBOQUE"),0,IF(AND($H974&lt;&gt;"",$I974="PEAD",$N974="VCA",$Q974="PREDIAL"),0,0)))))),0)</f>
        <v>0.8</v>
      </c>
      <c r="AK974" s="153" t="n">
        <f aca="false">IF(AA974&lt;&gt;"",AA974,0)</f>
        <v>4.5</v>
      </c>
      <c r="AL974" s="153" t="n">
        <f aca="false">IF(AND($N974="MND",$Q974="EMBOQUE"),$M974,IF(AND($N974="VCA",$Q974="LINEAR"),$M974,IF(AND($N974="VCA",$Q974="PREDIAL"),0,0)))</f>
        <v>3.73</v>
      </c>
      <c r="AM974" s="153" t="n">
        <f aca="false">IF(AND($N974="MND",$Q974="EMBOQUE"),$M974,IF(AND($N974="VCA",$Q974="LINEAR"),$M974,IF(AND($N974="VCA",$Q974="PREDIAL"),0,0)))</f>
        <v>3.73</v>
      </c>
      <c r="AN974" s="153" t="n">
        <f aca="false">ROUND(IF(AND($N974="VCA",$M974&lt;&gt;"",$Q974="LINEAR"),$M974/100,IF(AND($N974="MND",$M974&gt;100,$Q974="EMBOQUE"),$M974/100,0)),0)</f>
        <v>0</v>
      </c>
      <c r="AO974" s="153" t="n">
        <f aca="false">IF(AND($N974="MND",$Q974="EMBOQUE"),$AN974*2*2,IF(AND($N974="VCA",$Q974="LINEAR"),$M974*2,IF(AND($N974="VCA",$Q974="PREDIAL"),0,0)))</f>
        <v>7.46</v>
      </c>
      <c r="AP974" s="153" t="n">
        <f aca="false">IFERROR($M974*$AF974*$AG974,0)</f>
        <v>8.0568</v>
      </c>
      <c r="AQ974" s="153" t="n">
        <f aca="false">IFERROR(IF(AND($N974="VCA",$AH974&gt;0),$M974*$AG974*$AH974,0),0)</f>
        <v>0.4476</v>
      </c>
      <c r="AR974" s="153" t="n">
        <f aca="false">IFERROR(IF(AND($N974="VCA",$AJ974&gt;0),($M974*$AG974*$AJ974)-$AI974,0),0)</f>
        <v>2.84841621263188</v>
      </c>
      <c r="AS974" s="153" t="n">
        <f aca="false">IFERROR(IF(AND($N974="VCA",$AP974&gt;0),$AP974-$AI974-$AQ974-$AR974,0),0)</f>
        <v>4.0284</v>
      </c>
      <c r="AT974" s="153" t="n">
        <f aca="false">IFERROR(IF($N974="VCA",INDEX(APOIO_REDES!$A:$W,MATCH($C974&amp;$I974&amp;$H974&amp;$N974&amp;$O974,APOIO_REDES!$W:$W,0),MATCH(AT$5,APOIO_REDES!$5:$5,0)),0)*$AP974,0)</f>
        <v>0.0876603686910737</v>
      </c>
      <c r="AU974" s="153" t="n">
        <f aca="false">IFERROR(IF($N974="VCA",INDEX(APOIO_REDES!$A:$W,MATCH($C974&amp;$I974&amp;$H974&amp;$N974&amp;$O974,APOIO_REDES!$W:$W,0),MATCH(AU$5,APOIO_REDES!$5:$5,0)),0)*$AP974,0)</f>
        <v>0.0700031962928172</v>
      </c>
      <c r="AV974" s="153" t="n">
        <f aca="false">IFERROR(IF($N974="VCA",INDEX(APOIO_REDES!$A:$W,MATCH($C974&amp;$I974&amp;$H974&amp;$N974&amp;$O974,APOIO_REDES!$W:$W,0),MATCH(AV$5,APOIO_REDES!$5:$5,0)),0)*$AP974,0)</f>
        <v>0.00968789282028834</v>
      </c>
      <c r="AW974" s="153" t="n">
        <f aca="false">IFERROR(IF($N974="VCA",INDEX(APOIO_REDES!$A:$W,MATCH($C974&amp;$I974&amp;$H974&amp;$N974&amp;$O974,APOIO_REDES!$W:$W,0),MATCH(AW$5,APOIO_REDES!$5:$5,0)),0)*$AP974,0)</f>
        <v>5.53024994713269</v>
      </c>
      <c r="AX974" s="153" t="n">
        <f aca="false">IFERROR(IF($N974="VCA",INDEX(APOIO_REDES!$A:$W,MATCH($C974&amp;$I974&amp;$H974&amp;$N974&amp;$O974,APOIO_REDES!$W:$W,0),MATCH(AX$5,APOIO_REDES!$5:$5,0)),0)*$AP974,0)</f>
        <v>0.765370839467999</v>
      </c>
      <c r="AY974" s="153" t="n">
        <f aca="false">IFERROR(IF($N974="VCA",INDEX(APOIO_REDES!$A:$W,MATCH($C974&amp;$I974&amp;$H974&amp;$N974&amp;$O974,APOIO_REDES!$W:$W,0),MATCH(AY$5,APOIO_REDES!$5:$5,0)),0)*$AP974,0)</f>
        <v>1.40006307252306</v>
      </c>
      <c r="AZ974" s="153" t="n">
        <f aca="false">IFERROR(IF($N974="VCA",INDEX(APOIO_REDES!$A:$W,MATCH($C974&amp;$I974&amp;$H974&amp;$N974&amp;$O974,APOIO_REDES!$W:$W,0),MATCH(AZ$5,APOIO_REDES!$5:$5,0)),0)*$AP974,0)</f>
        <v>0.193764683072072</v>
      </c>
      <c r="BA974" s="153" t="n">
        <f aca="false">IFERROR(IF(AND($N974="VCA",$Q974="LINEAR"),INDEX(APOIO_REDES!$A:$W,MATCH($C974&amp;$I974&amp;$H974&amp;$N974&amp;$O974,APOIO_REDES!$W:$W,0),MATCH(BA$5,APOIO_REDES!$5:$5,0)),IF(AND($N974="MND",$Q974="EMBOQUE"),INDEX(APOIO_REDES!$A:$W,MATCH($C974&amp;$I974&amp;$H974&amp;$N974&amp;$O974,APOIO_REDES!$W:$W,0),MATCH(BA$5,APOIO_REDES!$5:$5,0)),0))*$M974/10,0)</f>
        <v>0.30062859137258</v>
      </c>
      <c r="BB974" s="153" t="n">
        <f aca="false">IFERROR(IF($N974="VCA",INDEX(APOIO_REDES!$A:$W,MATCH($C974&amp;$I974&amp;$H974&amp;$N974&amp;$O974,APOIO_REDES!$W:$W,0),MATCH(BB$5,APOIO_REDES!$5:$5,0)),0)*($AI974+$AQ974+$AR974),0)</f>
        <v>3.98456981565446</v>
      </c>
      <c r="BC974" s="153" t="n">
        <f aca="false">IFERROR(IF($N974="VCA",INDEX(APOIO_REDES!$A:$W,MATCH($C974&amp;$I974&amp;$H974&amp;$N974&amp;$O974,APOIO_REDES!$W:$W,0),MATCH(BC$5,APOIO_REDES!$5:$5,0)),0)*($AI974+$AQ974+$AR974),0)</f>
        <v>0.0438301843455369</v>
      </c>
      <c r="BD974" s="153" t="n">
        <f aca="false">IF(AND($N974="VCA",$AF974&gt;=1.25,$AF974&lt;1.5),$M974*$AF974*2,0)</f>
        <v>0</v>
      </c>
      <c r="BE974" s="153" t="n">
        <f aca="false">IF(AND($N974="VCA",$AF974&gt;=1.5,$AF974&lt;3),$M974*$AF974*2,0)</f>
        <v>13.428</v>
      </c>
      <c r="BF974" s="153" t="n">
        <f aca="false">IF(AND($N974="VCA",$AF974&gt;=3),$M974*$AF974*2,0)</f>
        <v>0</v>
      </c>
      <c r="BG974" s="153" t="n">
        <f aca="false">($BB974+$BC974)*$AK974</f>
        <v>18.1278</v>
      </c>
      <c r="BH974" s="153" t="n">
        <f aca="false">IF(AND($M974&lt;&gt;"",$N974="VCA",$Q974="LINEAR"),($M974*2)/100,IF(AND($M974&lt;&gt;"",$N974="MND",$Q974="EMBOQUE"),($AN974*2)/100,0))</f>
        <v>0.0746</v>
      </c>
      <c r="BI974" s="153" t="n">
        <f aca="false">IF(AND($M974&lt;&gt;"",$N974="VCA",$Q974="LINEAR"),$M974,IF(AND($M974&lt;&gt;"",$N974="MND",$Q974="EMBOQUE"),$AN974*2,0))</f>
        <v>3.73</v>
      </c>
      <c r="BJ974" s="153" t="n">
        <f aca="false">IF(AND($M974&lt;&gt;"",$N974="VCA",$Q974="LINEAR"),($M974*6.8)/100,IF(AND($M974&lt;&gt;"",$N974="MND",$Q974="EMBOQUE"),($AN974*2*6.8)/100,0))</f>
        <v>0.25364</v>
      </c>
      <c r="BK974" s="153" t="n">
        <f aca="false">IF(AND($M974&lt;&gt;"",$N974="VCA",$Q974="LINEAR"),($M974*2.5)/50,IF(AND($M974&lt;&gt;"",$N974="MND",$Q974="EMBOQUE"),($AN974*2*2.5)/50,0))</f>
        <v>0.1865</v>
      </c>
      <c r="BL974" s="157" t="str">
        <f aca="false">K974&amp;J974</f>
        <v>ADUTORAREDES</v>
      </c>
      <c r="BM974" s="152" t="s">
        <v>2229</v>
      </c>
      <c r="BN974" s="152" t="s">
        <v>2230</v>
      </c>
      <c r="BO974" s="152" t="s">
        <v>4004</v>
      </c>
      <c r="BP974" s="152" t="s">
        <v>5243</v>
      </c>
      <c r="BQ974" s="152" t="s">
        <v>5247</v>
      </c>
      <c r="BR974" s="152" t="s">
        <v>5244</v>
      </c>
      <c r="BS974" s="152" t="n">
        <v>203518.347</v>
      </c>
      <c r="BT974" s="152" t="n">
        <v>8236712.219</v>
      </c>
      <c r="BU974" s="152" t="n">
        <v>203514.809</v>
      </c>
      <c r="BV974" s="152" t="n">
        <v>8236711.038</v>
      </c>
      <c r="BW974" s="152" t="n">
        <v>-15.9311595</v>
      </c>
      <c r="BX974" s="152" t="n">
        <v>-47.7692226</v>
      </c>
      <c r="BY974" s="152" t="s">
        <v>5243</v>
      </c>
    </row>
    <row r="975" customFormat="false" ht="13.8" hidden="false" customHeight="false" outlineLevel="0" collapsed="false">
      <c r="A975" s="149" t="n">
        <f aca="false">IF(C975&lt;&gt;"",ROW(A970),"")</f>
        <v>970</v>
      </c>
      <c r="B975" s="150" t="str">
        <f aca="false">HYPERLINK("https://www.google.com/maps/dir/-15.917302,-47.760003/-15.9311646,-47.7692392/data=!4m3!4m2!3e0!5i1")</f>
        <v>https://www.google.com/maps/dir/-15.917302,-47.760003/-15.9311646,-47.7692392/data=!4m3!4m2!3e0!5i1</v>
      </c>
      <c r="C975" s="151" t="s">
        <v>117</v>
      </c>
      <c r="D975" s="152" t="s">
        <v>112</v>
      </c>
      <c r="E975" s="152" t="s">
        <v>113</v>
      </c>
      <c r="F975" s="152" t="s">
        <v>117</v>
      </c>
      <c r="G975" s="152" t="s">
        <v>114</v>
      </c>
      <c r="H975" s="152" t="n">
        <v>500</v>
      </c>
      <c r="I975" s="152" t="s">
        <v>115</v>
      </c>
      <c r="J975" s="152" t="s">
        <v>6</v>
      </c>
      <c r="K975" s="152" t="s">
        <v>2224</v>
      </c>
      <c r="L975" s="152" t="s">
        <v>120</v>
      </c>
      <c r="M975" s="153" t="n">
        <f aca="false">18.91+0.05</f>
        <v>18.96</v>
      </c>
      <c r="N975" s="152" t="s">
        <v>1548</v>
      </c>
      <c r="O975" s="152" t="s">
        <v>1549</v>
      </c>
      <c r="P975" s="152" t="s">
        <v>1550</v>
      </c>
      <c r="Q975" s="152" t="s">
        <v>1551</v>
      </c>
      <c r="R975" s="154" t="s">
        <v>5248</v>
      </c>
      <c r="S975" s="154" t="s">
        <v>2226</v>
      </c>
      <c r="T975" s="155" t="s">
        <v>4002</v>
      </c>
      <c r="U975" s="152" t="str">
        <f aca="false">RIGHT(T975,7)</f>
        <v>015/037</v>
      </c>
      <c r="V975" s="152" t="s">
        <v>1555</v>
      </c>
      <c r="W975" s="156" t="n">
        <v>45882</v>
      </c>
      <c r="X975" s="152" t="s">
        <v>1594</v>
      </c>
      <c r="Y975" s="152" t="s">
        <v>2387</v>
      </c>
      <c r="Z975" s="152" t="s">
        <v>1557</v>
      </c>
      <c r="AA975" s="153" t="n">
        <v>4.5</v>
      </c>
      <c r="AB975" s="151" t="s">
        <v>5249</v>
      </c>
      <c r="AC975" s="151" t="s">
        <v>523</v>
      </c>
      <c r="AD975" s="151" t="str">
        <f aca="false">CONCATENATE($C975,$I975,$H975,$N975,$J975,$K975)</f>
        <v>TUBO PEADPEAD500VCAREDESADUTORA</v>
      </c>
      <c r="AE975" s="153" t="n">
        <f aca="false">IFERROR(INDEX(APOIO_REDES!$A:$W,MATCH($C975&amp;$I975&amp;$H975&amp;$N975&amp;$O975,APOIO_REDES!$W:$W,0),MATCH(AE$5,APOIO_REDES!$5:$5,0)),0)</f>
        <v>1.2</v>
      </c>
      <c r="AF975" s="153" t="n">
        <f aca="false">IFERROR(INDEX(APOIO_REDES!$A:$W,MATCH($C975&amp;$I975&amp;$H975&amp;$N975&amp;$O975,APOIO_REDES!$W:$W,0),MATCH(AF$5,APOIO_REDES!$5:$5,0)),0)</f>
        <v>1.8</v>
      </c>
      <c r="AG975" s="153" t="n">
        <f aca="false">IFERROR(INDEX(APOIO_REDES!$A:$W,MATCH($C975&amp;$I975&amp;$H975&amp;$N975&amp;$O975,APOIO_REDES!$W:$W,0),MATCH(AG$5,APOIO_REDES!$5:$5,0)),0)</f>
        <v>1.2</v>
      </c>
      <c r="AH975" s="153" t="n">
        <f aca="false">IFERROR(INDEX(APOIO_REDES!$A:$W,MATCH($C975&amp;$I975&amp;$H975&amp;$N975&amp;$O975,APOIO_REDES!$W:$W,0),MATCH(AH$5,APOIO_REDES!$5:$5,0)),0)</f>
        <v>0.1</v>
      </c>
      <c r="AI975" s="153" t="n">
        <f aca="false">IFERROR(IF($H975&lt;&gt;"",(((($H975/1000)/2)^2)*PI()*$M975),0),0)</f>
        <v>3.72278729450391</v>
      </c>
      <c r="AJ975" s="153" t="n">
        <f aca="false">IFERROR(IF(AND($H975&lt;&gt;"",$I975="FoFo",OR($N975="MND",$N975="VCA"),$Q975="LINEAR"),0,IF(AND($H975&lt;&gt;"",$I975="PEAD",$N975="VCA",$Q975="LINEAR"),($H975/1000)+0.3,IF(AND($H975&lt;&gt;"",$I975="PEAD",$N975="MND",$Q975="EMBOQUE"),0,IF(AND($H975&lt;&gt;"",$I975="PVC",$N975="VCA",$Q975="LINEAR"),($H975/1000)+0.2,IF(AND($H975&lt;&gt;"",$I975="PVC",$N975="MND",$Q975="EMBOQUE"),0,IF(AND($H975&lt;&gt;"",$I975="PEAD",$N975="VCA",$Q975="PREDIAL"),0,0)))))),0)</f>
        <v>0.8</v>
      </c>
      <c r="AK975" s="153" t="n">
        <f aca="false">IF(AA975&lt;&gt;"",AA975,0)</f>
        <v>4.5</v>
      </c>
      <c r="AL975" s="153" t="n">
        <f aca="false">IF(AND($N975="MND",$Q975="EMBOQUE"),$M975,IF(AND($N975="VCA",$Q975="LINEAR"),$M975,IF(AND($N975="VCA",$Q975="PREDIAL"),0,0)))</f>
        <v>18.96</v>
      </c>
      <c r="AM975" s="153" t="n">
        <f aca="false">IF(AND($N975="MND",$Q975="EMBOQUE"),$M975,IF(AND($N975="VCA",$Q975="LINEAR"),$M975,IF(AND($N975="VCA",$Q975="PREDIAL"),0,0)))</f>
        <v>18.96</v>
      </c>
      <c r="AN975" s="153" t="n">
        <f aca="false">ROUND(IF(AND($N975="VCA",$M975&lt;&gt;"",$Q975="LINEAR"),$M975/100,IF(AND($N975="MND",$M975&gt;100,$Q975="EMBOQUE"),$M975/100,0)),0)</f>
        <v>0</v>
      </c>
      <c r="AO975" s="153" t="n">
        <f aca="false">IF(AND($N975="MND",$Q975="EMBOQUE"),$AN975*2*2,IF(AND($N975="VCA",$Q975="LINEAR"),$M975*2,IF(AND($N975="VCA",$Q975="PREDIAL"),0,0)))</f>
        <v>37.92</v>
      </c>
      <c r="AP975" s="153" t="n">
        <f aca="false">IFERROR($M975*$AF975*$AG975,0)</f>
        <v>40.9536</v>
      </c>
      <c r="AQ975" s="153" t="n">
        <f aca="false">IFERROR(IF(AND($N975="VCA",$AH975&gt;0),$M975*$AG975*$AH975,0),0)</f>
        <v>2.2752</v>
      </c>
      <c r="AR975" s="153" t="n">
        <f aca="false">IFERROR(IF(AND($N975="VCA",$AJ975&gt;0),($M975*$AG975*$AJ975)-$AI975,0),0)</f>
        <v>14.4788127054961</v>
      </c>
      <c r="AS975" s="153" t="n">
        <f aca="false">IFERROR(IF(AND($N975="VCA",$AP975&gt;0),$AP975-$AI975-$AQ975-$AR975,0),0)</f>
        <v>20.4768</v>
      </c>
      <c r="AT975" s="153" t="n">
        <f aca="false">IFERROR(IF($N975="VCA",INDEX(APOIO_REDES!$A:$W,MATCH($C975&amp;$I975&amp;$H975&amp;$N975&amp;$O975,APOIO_REDES!$W:$W,0),MATCH(AT$5,APOIO_REDES!$5:$5,0)),0)*$AP975,0)</f>
        <v>0.445587289646852</v>
      </c>
      <c r="AU975" s="153" t="n">
        <f aca="false">IFERROR(IF($N975="VCA",INDEX(APOIO_REDES!$A:$W,MATCH($C975&amp;$I975&amp;$H975&amp;$N975&amp;$O975,APOIO_REDES!$W:$W,0),MATCH(AU$5,APOIO_REDES!$5:$5,0)),0)*$AP975,0)</f>
        <v>0.355833941477698</v>
      </c>
      <c r="AV975" s="153" t="n">
        <f aca="false">IFERROR(IF($N975="VCA",INDEX(APOIO_REDES!$A:$W,MATCH($C975&amp;$I975&amp;$H975&amp;$N975&amp;$O975,APOIO_REDES!$W:$W,0),MATCH(AV$5,APOIO_REDES!$5:$5,0)),0)*$AP975,0)</f>
        <v>0.0492446240945488</v>
      </c>
      <c r="AW975" s="153" t="n">
        <f aca="false">IFERROR(IF($N975="VCA",INDEX(APOIO_REDES!$A:$W,MATCH($C975&amp;$I975&amp;$H975&amp;$N975&amp;$O975,APOIO_REDES!$W:$W,0),MATCH(AW$5,APOIO_REDES!$5:$5,0)),0)*$AP975,0)</f>
        <v>28.1108683639775</v>
      </c>
      <c r="AX975" s="153" t="n">
        <f aca="false">IFERROR(IF($N975="VCA",INDEX(APOIO_REDES!$A:$W,MATCH($C975&amp;$I975&amp;$H975&amp;$N975&amp;$O975,APOIO_REDES!$W:$W,0),MATCH(AX$5,APOIO_REDES!$5:$5,0)),0)*$AP975,0)</f>
        <v>3.89046410625021</v>
      </c>
      <c r="AY975" s="153" t="n">
        <f aca="false">IFERROR(IF($N975="VCA",INDEX(APOIO_REDES!$A:$W,MATCH($C975&amp;$I975&amp;$H975&amp;$N975&amp;$O975,APOIO_REDES!$W:$W,0),MATCH(AY$5,APOIO_REDES!$5:$5,0)),0)*$AP975,0)</f>
        <v>7.11667449196706</v>
      </c>
      <c r="AZ975" s="153" t="n">
        <f aca="false">IFERROR(IF($N975="VCA",INDEX(APOIO_REDES!$A:$W,MATCH($C975&amp;$I975&amp;$H975&amp;$N975&amp;$O975,APOIO_REDES!$W:$W,0),MATCH(AZ$5,APOIO_REDES!$5:$5,0)),0)*$AP975,0)</f>
        <v>0.984927182586188</v>
      </c>
      <c r="BA975" s="153" t="n">
        <f aca="false">IFERROR(IF(AND($N975="VCA",$Q975="LINEAR"),INDEX(APOIO_REDES!$A:$W,MATCH($C975&amp;$I975&amp;$H975&amp;$N975&amp;$O975,APOIO_REDES!$W:$W,0),MATCH(BA$5,APOIO_REDES!$5:$5,0)),IF(AND($N975="MND",$Q975="EMBOQUE"),INDEX(APOIO_REDES!$A:$W,MATCH($C975&amp;$I975&amp;$H975&amp;$N975&amp;$O975,APOIO_REDES!$W:$W,0),MATCH(BA$5,APOIO_REDES!$5:$5,0)),0))*$M975/10,0)</f>
        <v>1.52812817491263</v>
      </c>
      <c r="BB975" s="153" t="n">
        <f aca="false">IFERROR(IF($N975="VCA",INDEX(APOIO_REDES!$A:$W,MATCH($C975&amp;$I975&amp;$H975&amp;$N975&amp;$O975,APOIO_REDES!$W:$W,0),MATCH(BB$5,APOIO_REDES!$5:$5,0)),0)*($AI975+$AQ975+$AR975),0)</f>
        <v>20.2540063551766</v>
      </c>
      <c r="BC975" s="153" t="n">
        <f aca="false">IFERROR(IF($N975="VCA",INDEX(APOIO_REDES!$A:$W,MATCH($C975&amp;$I975&amp;$H975&amp;$N975&amp;$O975,APOIO_REDES!$W:$W,0),MATCH(BC$5,APOIO_REDES!$5:$5,0)),0)*($AI975+$AQ975+$AR975),0)</f>
        <v>0.222793644823426</v>
      </c>
      <c r="BD975" s="153" t="n">
        <f aca="false">IF(AND($N975="VCA",$AF975&gt;=1.25,$AF975&lt;1.5),$M975*$AF975*2,0)</f>
        <v>0</v>
      </c>
      <c r="BE975" s="153" t="n">
        <f aca="false">IF(AND($N975="VCA",$AF975&gt;=1.5,$AF975&lt;3),$M975*$AF975*2,0)</f>
        <v>68.256</v>
      </c>
      <c r="BF975" s="153" t="n">
        <f aca="false">IF(AND($N975="VCA",$AF975&gt;=3),$M975*$AF975*2,0)</f>
        <v>0</v>
      </c>
      <c r="BG975" s="153" t="n">
        <f aca="false">($BB975+$BC975)*$AK975</f>
        <v>92.1456</v>
      </c>
      <c r="BH975" s="153" t="n">
        <f aca="false">IF(AND($M975&lt;&gt;"",$N975="VCA",$Q975="LINEAR"),($M975*2)/100,IF(AND($M975&lt;&gt;"",$N975="MND",$Q975="EMBOQUE"),($AN975*2)/100,0))</f>
        <v>0.3792</v>
      </c>
      <c r="BI975" s="153" t="n">
        <f aca="false">IF(AND($M975&lt;&gt;"",$N975="VCA",$Q975="LINEAR"),$M975,IF(AND($M975&lt;&gt;"",$N975="MND",$Q975="EMBOQUE"),$AN975*2,0))</f>
        <v>18.96</v>
      </c>
      <c r="BJ975" s="153" t="n">
        <f aca="false">IF(AND($M975&lt;&gt;"",$N975="VCA",$Q975="LINEAR"),($M975*6.8)/100,IF(AND($M975&lt;&gt;"",$N975="MND",$Q975="EMBOQUE"),($AN975*2*6.8)/100,0))</f>
        <v>1.28928</v>
      </c>
      <c r="BK975" s="153" t="n">
        <f aca="false">IF(AND($M975&lt;&gt;"",$N975="VCA",$Q975="LINEAR"),($M975*2.5)/50,IF(AND($M975&lt;&gt;"",$N975="MND",$Q975="EMBOQUE"),($AN975*2*2.5)/50,0))</f>
        <v>0.948</v>
      </c>
      <c r="BL975" s="157" t="str">
        <f aca="false">K975&amp;J975</f>
        <v>ADUTORAREDES</v>
      </c>
      <c r="BM975" s="152" t="s">
        <v>2229</v>
      </c>
      <c r="BN975" s="152" t="s">
        <v>2230</v>
      </c>
      <c r="BO975" s="152" t="s">
        <v>4004</v>
      </c>
      <c r="BP975" s="152" t="s">
        <v>5247</v>
      </c>
      <c r="BQ975" s="152" t="s">
        <v>2032</v>
      </c>
      <c r="BR975" s="152" t="s">
        <v>5250</v>
      </c>
      <c r="BS975" s="152" t="n">
        <v>203514.809</v>
      </c>
      <c r="BT975" s="152" t="n">
        <v>8236711.038</v>
      </c>
      <c r="BU975" s="152" t="n">
        <v>203521.453</v>
      </c>
      <c r="BV975" s="152" t="n">
        <v>8236693.335</v>
      </c>
      <c r="BW975" s="152" t="n">
        <v>-15.9312454</v>
      </c>
      <c r="BX975" s="152" t="n">
        <v>-47.7692105</v>
      </c>
      <c r="BY975" s="152" t="s">
        <v>5251</v>
      </c>
    </row>
    <row r="976" customFormat="false" ht="13.8" hidden="false" customHeight="false" outlineLevel="0" collapsed="false">
      <c r="A976" s="149" t="n">
        <f aca="false">IF(C976&lt;&gt;"",ROW(A971),"")</f>
        <v>971</v>
      </c>
      <c r="B976" s="150" t="str">
        <f aca="false">HYPERLINK("https://www.google.com/maps/dir/-15.917302,-47.760003/-15.9279220,-47.7716782/data=!4m3!4m2!3e0!5i0")</f>
        <v>https://www.google.com/maps/dir/-15.917302,-47.760003/-15.9279220,-47.7716782/data=!4m3!4m2!3e0!5i0</v>
      </c>
      <c r="C976" s="151" t="s">
        <v>117</v>
      </c>
      <c r="D976" s="152" t="s">
        <v>112</v>
      </c>
      <c r="E976" s="152" t="s">
        <v>113</v>
      </c>
      <c r="F976" s="152" t="s">
        <v>117</v>
      </c>
      <c r="G976" s="152" t="s">
        <v>782</v>
      </c>
      <c r="H976" s="152" t="n">
        <v>63</v>
      </c>
      <c r="I976" s="152" t="s">
        <v>115</v>
      </c>
      <c r="J976" s="152" t="s">
        <v>6</v>
      </c>
      <c r="K976" s="152" t="s">
        <v>5106</v>
      </c>
      <c r="L976" s="152" t="s">
        <v>120</v>
      </c>
      <c r="M976" s="153" t="n">
        <f aca="false">139.58+4</f>
        <v>143.58</v>
      </c>
      <c r="N976" s="152" t="s">
        <v>1548</v>
      </c>
      <c r="O976" s="152" t="s">
        <v>1549</v>
      </c>
      <c r="P976" s="152" t="s">
        <v>1550</v>
      </c>
      <c r="Q976" s="152" t="s">
        <v>1551</v>
      </c>
      <c r="R976" s="154" t="s">
        <v>5252</v>
      </c>
      <c r="S976" s="154" t="s">
        <v>1553</v>
      </c>
      <c r="T976" s="155" t="s">
        <v>4002</v>
      </c>
      <c r="U976" s="152" t="str">
        <f aca="false">RIGHT(T976,7)</f>
        <v>015/037</v>
      </c>
      <c r="V976" s="152" t="s">
        <v>1555</v>
      </c>
      <c r="W976" s="156" t="n">
        <v>45882</v>
      </c>
      <c r="X976" s="152" t="s">
        <v>1594</v>
      </c>
      <c r="Y976" s="152" t="s">
        <v>5121</v>
      </c>
      <c r="Z976" s="152" t="s">
        <v>1557</v>
      </c>
      <c r="AA976" s="153" t="n">
        <v>3.1</v>
      </c>
      <c r="AB976" s="151" t="s">
        <v>5253</v>
      </c>
      <c r="AC976" s="151" t="s">
        <v>186</v>
      </c>
      <c r="AD976" s="151" t="str">
        <f aca="false">CONCATENATE($C976,$I976,$H976,$N976,$J976,$K976)</f>
        <v>TUBO PEADPEAD63VCAREDESZona09</v>
      </c>
      <c r="AE976" s="153" t="n">
        <f aca="false">IFERROR(INDEX(APOIO_REDES!$A:$W,MATCH($C976&amp;$I976&amp;$H976&amp;$N976&amp;$O976,APOIO_REDES!$W:$W,0),MATCH(AE$5,APOIO_REDES!$5:$5,0)),0)</f>
        <v>1.2</v>
      </c>
      <c r="AF976" s="153" t="n">
        <f aca="false">IFERROR(INDEX(APOIO_REDES!$A:$W,MATCH($C976&amp;$I976&amp;$H976&amp;$N976&amp;$O976,APOIO_REDES!$W:$W,0),MATCH(AF$5,APOIO_REDES!$5:$5,0)),0)</f>
        <v>1.363</v>
      </c>
      <c r="AG976" s="153" t="n">
        <f aca="false">IFERROR(INDEX(APOIO_REDES!$A:$W,MATCH($C976&amp;$I976&amp;$H976&amp;$N976&amp;$O976,APOIO_REDES!$W:$W,0),MATCH(AG$5,APOIO_REDES!$5:$5,0)),0)</f>
        <v>0.65</v>
      </c>
      <c r="AH976" s="153" t="n">
        <f aca="false">IFERROR(INDEX(APOIO_REDES!$A:$W,MATCH($C976&amp;$I976&amp;$H976&amp;$N976&amp;$O976,APOIO_REDES!$W:$W,0),MATCH(AH$5,APOIO_REDES!$5:$5,0)),0)</f>
        <v>0.1</v>
      </c>
      <c r="AI976" s="153" t="n">
        <f aca="false">IFERROR(IF($H976&lt;&gt;"",(((($H976/1000)/2)^2)*PI()*$M976),0),0)</f>
        <v>0.447574081685104</v>
      </c>
      <c r="AJ976" s="153" t="n">
        <f aca="false">IFERROR(IF(AND($H976&lt;&gt;"",$I976="FoFo",OR($N976="MND",$N976="VCA"),$Q976="LINEAR"),0,IF(AND($H976&lt;&gt;"",$I976="PEAD",$N976="VCA",$Q976="LINEAR"),($H976/1000)+0.3,IF(AND($H976&lt;&gt;"",$I976="PEAD",$N976="MND",$Q976="EMBOQUE"),0,IF(AND($H976&lt;&gt;"",$I976="PVC",$N976="VCA",$Q976="LINEAR"),($H976/1000)+0.2,IF(AND($H976&lt;&gt;"",$I976="PVC",$N976="MND",$Q976="EMBOQUE"),0,IF(AND($H976&lt;&gt;"",$I976="PEAD",$N976="VCA",$Q976="PREDIAL"),0,0)))))),0)</f>
        <v>0.363</v>
      </c>
      <c r="AK976" s="153" t="n">
        <f aca="false">IF(AA976&lt;&gt;"",AA976,0)</f>
        <v>3.1</v>
      </c>
      <c r="AL976" s="153" t="n">
        <f aca="false">IF(AND($N976="MND",$Q976="EMBOQUE"),$M976,IF(AND($N976="VCA",$Q976="LINEAR"),$M976,IF(AND($N976="VCA",$Q976="PREDIAL"),0,0)))</f>
        <v>143.58</v>
      </c>
      <c r="AM976" s="153" t="n">
        <f aca="false">IF(AND($N976="MND",$Q976="EMBOQUE"),$M976,IF(AND($N976="VCA",$Q976="LINEAR"),$M976,IF(AND($N976="VCA",$Q976="PREDIAL"),0,0)))</f>
        <v>143.58</v>
      </c>
      <c r="AN976" s="153" t="n">
        <f aca="false">ROUND(IF(AND($N976="VCA",$M976&lt;&gt;"",$Q976="LINEAR"),$M976/100,IF(AND($N976="MND",$M976&gt;100,$Q976="EMBOQUE"),$M976/100,0)),0)</f>
        <v>1</v>
      </c>
      <c r="AO976" s="153" t="n">
        <f aca="false">IF(AND($N976="MND",$Q976="EMBOQUE"),$AN976*2*2,IF(AND($N976="VCA",$Q976="LINEAR"),$M976*2,IF(AND($N976="VCA",$Q976="PREDIAL"),0,0)))</f>
        <v>287.16</v>
      </c>
      <c r="AP976" s="153" t="n">
        <f aca="false">IFERROR($M976*$AF976*$AG976,0)</f>
        <v>127.204701</v>
      </c>
      <c r="AQ976" s="153" t="n">
        <f aca="false">IFERROR(IF(AND($N976="VCA",$AH976&gt;0),$M976*$AG976*$AH976,0),0)</f>
        <v>9.3327</v>
      </c>
      <c r="AR976" s="153" t="n">
        <f aca="false">IFERROR(IF(AND($N976="VCA",$AJ976&gt;0),($M976*$AG976*$AJ976)-$AI976,0),0)</f>
        <v>33.4301269183149</v>
      </c>
      <c r="AS976" s="153" t="n">
        <f aca="false">IFERROR(IF(AND($N976="VCA",$AP976&gt;0),$AP976-$AI976-$AQ976-$AR976,0),0)</f>
        <v>83.9943</v>
      </c>
      <c r="AT976" s="153" t="n">
        <f aca="false">IFERROR(IF($N976="VCA",INDEX(APOIO_REDES!$A:$W,MATCH($C976&amp;$I976&amp;$H976&amp;$N976&amp;$O976,APOIO_REDES!$W:$W,0),MATCH(AT$5,APOIO_REDES!$5:$5,0)),0)*$AP976,0)</f>
        <v>1.38402479754962</v>
      </c>
      <c r="AU976" s="153" t="n">
        <f aca="false">IFERROR(IF($N976="VCA",INDEX(APOIO_REDES!$A:$W,MATCH($C976&amp;$I976&amp;$H976&amp;$N976&amp;$O976,APOIO_REDES!$W:$W,0),MATCH(AU$5,APOIO_REDES!$5:$5,0)),0)*$AP976,0)</f>
        <v>1.10524471917785</v>
      </c>
      <c r="AV976" s="153" t="n">
        <f aca="false">IFERROR(IF($N976="VCA",INDEX(APOIO_REDES!$A:$W,MATCH($C976&amp;$I976&amp;$H976&amp;$N976&amp;$O976,APOIO_REDES!$W:$W,0),MATCH(AV$5,APOIO_REDES!$5:$5,0)),0)*$AP976,0)</f>
        <v>0.15295719262298</v>
      </c>
      <c r="AW976" s="153" t="n">
        <f aca="false">IFERROR(IF($N976="VCA",INDEX(APOIO_REDES!$A:$W,MATCH($C976&amp;$I976&amp;$H976&amp;$N976&amp;$O976,APOIO_REDES!$W:$W,0),MATCH(AW$5,APOIO_REDES!$5:$5,0)),0)*$AP976,0)</f>
        <v>87.3142923965198</v>
      </c>
      <c r="AX976" s="153" t="n">
        <f aca="false">IFERROR(IF($N976="VCA",INDEX(APOIO_REDES!$A:$W,MATCH($C976&amp;$I976&amp;$H976&amp;$N976&amp;$O976,APOIO_REDES!$W:$W,0),MATCH(AX$5,APOIO_REDES!$5:$5,0)),0)*$AP976,0)</f>
        <v>12.0840493482084</v>
      </c>
      <c r="AY976" s="153" t="n">
        <f aca="false">IFERROR(IF($N976="VCA",INDEX(APOIO_REDES!$A:$W,MATCH($C976&amp;$I976&amp;$H976&amp;$N976&amp;$O976,APOIO_REDES!$W:$W,0),MATCH(AY$5,APOIO_REDES!$5:$5,0)),0)*$AP976,0)</f>
        <v>22.1048809107135</v>
      </c>
      <c r="AZ976" s="153" t="n">
        <f aca="false">IFERROR(IF($N976="VCA",INDEX(APOIO_REDES!$A:$W,MATCH($C976&amp;$I976&amp;$H976&amp;$N976&amp;$O976,APOIO_REDES!$W:$W,0),MATCH(AZ$5,APOIO_REDES!$5:$5,0)),0)*$AP976,0)</f>
        <v>3.05925163520786</v>
      </c>
      <c r="BA976" s="153" t="n">
        <f aca="false">IFERROR(IF(AND($N976="VCA",$Q976="LINEAR"),INDEX(APOIO_REDES!$A:$W,MATCH($C976&amp;$I976&amp;$H976&amp;$N976&amp;$O976,APOIO_REDES!$W:$W,0),MATCH(BA$5,APOIO_REDES!$5:$5,0)),IF(AND($N976="MND",$Q976="EMBOQUE"),INDEX(APOIO_REDES!$A:$W,MATCH($C976&amp;$I976&amp;$H976&amp;$N976&amp;$O976,APOIO_REDES!$W:$W,0),MATCH(BA$5,APOIO_REDES!$5:$5,0)),0))*$M976/10,0)</f>
        <v>11.5721858309049</v>
      </c>
      <c r="BB976" s="153" t="n">
        <f aca="false">IFERROR(IF($N976="VCA",INDEX(APOIO_REDES!$A:$W,MATCH($C976&amp;$I976&amp;$H976&amp;$N976&amp;$O976,APOIO_REDES!$W:$W,0),MATCH(BB$5,APOIO_REDES!$5:$5,0)),0)*($AI976+$AQ976+$AR976),0)</f>
        <v>42.7402590474942</v>
      </c>
      <c r="BC976" s="153" t="n">
        <f aca="false">IFERROR(IF($N976="VCA",INDEX(APOIO_REDES!$A:$W,MATCH($C976&amp;$I976&amp;$H976&amp;$N976&amp;$O976,APOIO_REDES!$W:$W,0),MATCH(BC$5,APOIO_REDES!$5:$5,0)),0)*($AI976+$AQ976+$AR976),0)</f>
        <v>0.470141952505851</v>
      </c>
      <c r="BD976" s="153" t="n">
        <f aca="false">IF(AND($N976="VCA",$AF976&gt;=1.25,$AF976&lt;1.5),$M976*$AF976*2,0)</f>
        <v>391.39908</v>
      </c>
      <c r="BE976" s="153" t="n">
        <f aca="false">IF(AND($N976="VCA",$AF976&gt;=1.5,$AF976&lt;3),$M976*$AF976*2,0)</f>
        <v>0</v>
      </c>
      <c r="BF976" s="153" t="n">
        <f aca="false">IF(AND($N976="VCA",$AF976&gt;=3),$M976*$AF976*2,0)</f>
        <v>0</v>
      </c>
      <c r="BG976" s="153" t="n">
        <f aca="false">($BB976+$BC976)*$AK976</f>
        <v>133.9522431</v>
      </c>
      <c r="BH976" s="153" t="n">
        <f aca="false">IF(AND($M976&lt;&gt;"",$N976="VCA",$Q976="LINEAR"),($M976*2)/100,IF(AND($M976&lt;&gt;"",$N976="MND",$Q976="EMBOQUE"),($AN976*2)/100,0))</f>
        <v>2.8716</v>
      </c>
      <c r="BI976" s="153" t="n">
        <f aca="false">IF(AND($M976&lt;&gt;"",$N976="VCA",$Q976="LINEAR"),$M976,IF(AND($M976&lt;&gt;"",$N976="MND",$Q976="EMBOQUE"),$AN976*2,0))</f>
        <v>143.58</v>
      </c>
      <c r="BJ976" s="153" t="n">
        <f aca="false">IF(AND($M976&lt;&gt;"",$N976="VCA",$Q976="LINEAR"),($M976*6.8)/100,IF(AND($M976&lt;&gt;"",$N976="MND",$Q976="EMBOQUE"),($AN976*2*6.8)/100,0))</f>
        <v>9.76344</v>
      </c>
      <c r="BK976" s="153" t="n">
        <f aca="false">IF(AND($M976&lt;&gt;"",$N976="VCA",$Q976="LINEAR"),($M976*2.5)/50,IF(AND($M976&lt;&gt;"",$N976="MND",$Q976="EMBOQUE"),($AN976*2*2.5)/50,0))</f>
        <v>7.179</v>
      </c>
      <c r="BL976" s="157" t="str">
        <f aca="false">K976&amp;J976</f>
        <v>Zona09REDES</v>
      </c>
      <c r="BM976" s="152" t="s">
        <v>5109</v>
      </c>
      <c r="BN976" s="152" t="s">
        <v>1560</v>
      </c>
      <c r="BO976" s="152" t="s">
        <v>4004</v>
      </c>
      <c r="BP976" s="152" t="s">
        <v>5140</v>
      </c>
      <c r="BQ976" s="152" t="s">
        <v>5254</v>
      </c>
      <c r="BR976" s="152" t="s">
        <v>5255</v>
      </c>
      <c r="BS976" s="152" t="n">
        <v>203248.732</v>
      </c>
      <c r="BT976" s="152" t="n">
        <v>8237066.6</v>
      </c>
      <c r="BU976" s="152" t="n">
        <v>203156.466</v>
      </c>
      <c r="BV976" s="152" t="n">
        <v>8236962.291</v>
      </c>
      <c r="BW976" s="152" t="n">
        <v>-15.9283785</v>
      </c>
      <c r="BX976" s="152" t="n">
        <v>-47.7721235</v>
      </c>
      <c r="BY976" s="152" t="s">
        <v>5140</v>
      </c>
    </row>
    <row r="977" customFormat="false" ht="13.8" hidden="false" customHeight="false" outlineLevel="0" collapsed="false">
      <c r="A977" s="149" t="n">
        <f aca="false">IF(C977&lt;&gt;"",ROW(A972),"")</f>
        <v>972</v>
      </c>
      <c r="B977" s="150" t="str">
        <f aca="false">HYPERLINK("https://www.google.com/maps/dir/-15.917302,-47.760003/-15.9284982,-47.7695427/data=!4m3!4m2!3e0!5i2")</f>
        <v>https://www.google.com/maps/dir/-15.917302,-47.760003/-15.9284982,-47.7695427/data=!4m3!4m2!3e0!5i2</v>
      </c>
      <c r="C977" s="151" t="s">
        <v>117</v>
      </c>
      <c r="D977" s="152" t="s">
        <v>112</v>
      </c>
      <c r="E977" s="152" t="s">
        <v>113</v>
      </c>
      <c r="F977" s="152" t="s">
        <v>117</v>
      </c>
      <c r="G977" s="152" t="s">
        <v>114</v>
      </c>
      <c r="H977" s="152" t="n">
        <v>160</v>
      </c>
      <c r="I977" s="152" t="s">
        <v>115</v>
      </c>
      <c r="J977" s="152" t="s">
        <v>6</v>
      </c>
      <c r="K977" s="152" t="s">
        <v>5106</v>
      </c>
      <c r="L977" s="152" t="s">
        <v>120</v>
      </c>
      <c r="M977" s="153" t="n">
        <f aca="false">6.78</f>
        <v>6.78</v>
      </c>
      <c r="N977" s="152" t="s">
        <v>1548</v>
      </c>
      <c r="O977" s="152" t="s">
        <v>1549</v>
      </c>
      <c r="P977" s="152" t="s">
        <v>1550</v>
      </c>
      <c r="Q977" s="152" t="s">
        <v>1551</v>
      </c>
      <c r="R977" s="154" t="s">
        <v>5256</v>
      </c>
      <c r="S977" s="154" t="s">
        <v>1593</v>
      </c>
      <c r="T977" s="155" t="s">
        <v>4002</v>
      </c>
      <c r="U977" s="152" t="str">
        <f aca="false">RIGHT(T977,7)</f>
        <v>015/037</v>
      </c>
      <c r="V977" s="152" t="s">
        <v>1555</v>
      </c>
      <c r="W977" s="156" t="n">
        <v>45882</v>
      </c>
      <c r="X977" s="152" t="s">
        <v>1594</v>
      </c>
      <c r="Y977" s="152" t="s">
        <v>5146</v>
      </c>
      <c r="Z977" s="152" t="s">
        <v>1557</v>
      </c>
      <c r="AA977" s="153" t="n">
        <v>4.2</v>
      </c>
      <c r="AB977" s="151" t="s">
        <v>5122</v>
      </c>
      <c r="AC977" s="151" t="s">
        <v>505</v>
      </c>
      <c r="AD977" s="151" t="str">
        <f aca="false">CONCATENATE($C977,$I977,$H977,$N977,$J977,$K977)</f>
        <v>TUBO PEADPEAD160VCAREDESZona09</v>
      </c>
      <c r="AE977" s="153" t="n">
        <f aca="false">IFERROR(INDEX(APOIO_REDES!$A:$W,MATCH($C977&amp;$I977&amp;$H977&amp;$N977&amp;$O977,APOIO_REDES!$W:$W,0),MATCH(AE$5,APOIO_REDES!$5:$5,0)),0)</f>
        <v>1.2</v>
      </c>
      <c r="AF977" s="153" t="n">
        <f aca="false">IFERROR(INDEX(APOIO_REDES!$A:$W,MATCH($C977&amp;$I977&amp;$H977&amp;$N977&amp;$O977,APOIO_REDES!$W:$W,0),MATCH(AF$5,APOIO_REDES!$5:$5,0)),0)</f>
        <v>1.46</v>
      </c>
      <c r="AG977" s="153" t="n">
        <f aca="false">IFERROR(INDEX(APOIO_REDES!$A:$W,MATCH($C977&amp;$I977&amp;$H977&amp;$N977&amp;$O977,APOIO_REDES!$W:$W,0),MATCH(AG$5,APOIO_REDES!$5:$5,0)),0)</f>
        <v>0.75</v>
      </c>
      <c r="AH977" s="153" t="n">
        <f aca="false">IFERROR(INDEX(APOIO_REDES!$A:$W,MATCH($C977&amp;$I977&amp;$H977&amp;$N977&amp;$O977,APOIO_REDES!$W:$W,0),MATCH(AH$5,APOIO_REDES!$5:$5,0)),0)</f>
        <v>0.1</v>
      </c>
      <c r="AI977" s="153" t="n">
        <f aca="false">IFERROR(IF($H977&lt;&gt;"",(((($H977/1000)/2)^2)*PI()*$M977),0),0)</f>
        <v>0.136319988424568</v>
      </c>
      <c r="AJ977" s="153" t="n">
        <f aca="false">IFERROR(IF(AND($H977&lt;&gt;"",$I977="FoFo",OR($N977="MND",$N977="VCA"),$Q977="LINEAR"),0,IF(AND($H977&lt;&gt;"",$I977="PEAD",$N977="VCA",$Q977="LINEAR"),($H977/1000)+0.3,IF(AND($H977&lt;&gt;"",$I977="PEAD",$N977="MND",$Q977="EMBOQUE"),0,IF(AND($H977&lt;&gt;"",$I977="PVC",$N977="VCA",$Q977="LINEAR"),($H977/1000)+0.2,IF(AND($H977&lt;&gt;"",$I977="PVC",$N977="MND",$Q977="EMBOQUE"),0,IF(AND($H977&lt;&gt;"",$I977="PEAD",$N977="VCA",$Q977="PREDIAL"),0,0)))))),0)</f>
        <v>0.46</v>
      </c>
      <c r="AK977" s="153" t="n">
        <f aca="false">IF(AA977&lt;&gt;"",AA977,0)</f>
        <v>4.2</v>
      </c>
      <c r="AL977" s="153" t="n">
        <f aca="false">IF(AND($N977="MND",$Q977="EMBOQUE"),$M977,IF(AND($N977="VCA",$Q977="LINEAR"),$M977,IF(AND($N977="VCA",$Q977="PREDIAL"),0,0)))</f>
        <v>6.78</v>
      </c>
      <c r="AM977" s="153" t="n">
        <f aca="false">IF(AND($N977="MND",$Q977="EMBOQUE"),$M977,IF(AND($N977="VCA",$Q977="LINEAR"),$M977,IF(AND($N977="VCA",$Q977="PREDIAL"),0,0)))</f>
        <v>6.78</v>
      </c>
      <c r="AN977" s="153" t="n">
        <f aca="false">ROUND(IF(AND($N977="VCA",$M977&lt;&gt;"",$Q977="LINEAR"),$M977/100,IF(AND($N977="MND",$M977&gt;100,$Q977="EMBOQUE"),$M977/100,0)),0)</f>
        <v>0</v>
      </c>
      <c r="AO977" s="153" t="n">
        <f aca="false">IF(AND($N977="MND",$Q977="EMBOQUE"),$AN977*2*2,IF(AND($N977="VCA",$Q977="LINEAR"),$M977*2,IF(AND($N977="VCA",$Q977="PREDIAL"),0,0)))</f>
        <v>13.56</v>
      </c>
      <c r="AP977" s="153" t="n">
        <f aca="false">IFERROR($M977*$AF977*$AG977,0)</f>
        <v>7.4241</v>
      </c>
      <c r="AQ977" s="153" t="n">
        <f aca="false">IFERROR(IF(AND($N977="VCA",$AH977&gt;0),$M977*$AG977*$AH977,0),0)</f>
        <v>0.5085</v>
      </c>
      <c r="AR977" s="153" t="n">
        <f aca="false">IFERROR(IF(AND($N977="VCA",$AJ977&gt;0),($M977*$AG977*$AJ977)-$AI977,0),0)</f>
        <v>2.20278001157543</v>
      </c>
      <c r="AS977" s="153" t="n">
        <f aca="false">IFERROR(IF(AND($N977="VCA",$AP977&gt;0),$AP977-$AI977-$AQ977-$AR977,0),0)</f>
        <v>4.5765</v>
      </c>
      <c r="AT977" s="153" t="n">
        <f aca="false">IFERROR(IF($N977="VCA",INDEX(APOIO_REDES!$A:$W,MATCH($C977&amp;$I977&amp;$H977&amp;$N977&amp;$O977,APOIO_REDES!$W:$W,0),MATCH(AT$5,APOIO_REDES!$5:$5,0)),0)*$AP977,0)</f>
        <v>0.0807764054214329</v>
      </c>
      <c r="AU977" s="153" t="n">
        <f aca="false">IFERROR(IF($N977="VCA",INDEX(APOIO_REDES!$A:$W,MATCH($C977&amp;$I977&amp;$H977&amp;$N977&amp;$O977,APOIO_REDES!$W:$W,0),MATCH(AU$5,APOIO_REDES!$5:$5,0)),0)*$AP977,0)</f>
        <v>0.064505849667052</v>
      </c>
      <c r="AV977" s="153" t="n">
        <f aca="false">IFERROR(IF($N977="VCA",INDEX(APOIO_REDES!$A:$W,MATCH($C977&amp;$I977&amp;$H977&amp;$N977&amp;$O977,APOIO_REDES!$W:$W,0),MATCH(AV$5,APOIO_REDES!$5:$5,0)),0)*$AP977,0)</f>
        <v>0.0089271032031455</v>
      </c>
      <c r="AW977" s="153" t="n">
        <f aca="false">IFERROR(IF($N977="VCA",INDEX(APOIO_REDES!$A:$W,MATCH($C977&amp;$I977&amp;$H977&amp;$N977&amp;$O977,APOIO_REDES!$W:$W,0),MATCH(AW$5,APOIO_REDES!$5:$5,0)),0)*$AP977,0)</f>
        <v>5.09595976473387</v>
      </c>
      <c r="AX977" s="153" t="n">
        <f aca="false">IFERROR(IF($N977="VCA",INDEX(APOIO_REDES!$A:$W,MATCH($C977&amp;$I977&amp;$H977&amp;$N977&amp;$O977,APOIO_REDES!$W:$W,0),MATCH(AX$5,APOIO_REDES!$5:$5,0)),0)*$AP977,0)</f>
        <v>0.705266315323003</v>
      </c>
      <c r="AY977" s="153" t="n">
        <f aca="false">IFERROR(IF($N977="VCA",INDEX(APOIO_REDES!$A:$W,MATCH($C977&amp;$I977&amp;$H977&amp;$N977&amp;$O977,APOIO_REDES!$W:$W,0),MATCH(AY$5,APOIO_REDES!$5:$5,0)),0)*$AP977,0)</f>
        <v>1.29011620701996</v>
      </c>
      <c r="AZ977" s="153" t="n">
        <f aca="false">IFERROR(IF($N977="VCA",INDEX(APOIO_REDES!$A:$W,MATCH($C977&amp;$I977&amp;$H977&amp;$N977&amp;$O977,APOIO_REDES!$W:$W,0),MATCH(AZ$5,APOIO_REDES!$5:$5,0)),0)*$AP977,0)</f>
        <v>0.178548354631537</v>
      </c>
      <c r="BA977" s="153" t="n">
        <f aca="false">IFERROR(IF(AND($N977="VCA",$Q977="LINEAR"),INDEX(APOIO_REDES!$A:$W,MATCH($C977&amp;$I977&amp;$H977&amp;$N977&amp;$O977,APOIO_REDES!$W:$W,0),MATCH(BA$5,APOIO_REDES!$5:$5,0)),IF(AND($N977="MND",$Q977="EMBOQUE"),INDEX(APOIO_REDES!$A:$W,MATCH($C977&amp;$I977&amp;$H977&amp;$N977&amp;$O977,APOIO_REDES!$W:$W,0),MATCH(BA$5,APOIO_REDES!$5:$5,0)),0))*$M977/10,0)</f>
        <v>0.54645089799091</v>
      </c>
      <c r="BB977" s="153" t="n">
        <f aca="false">IFERROR(IF($N977="VCA",INDEX(APOIO_REDES!$A:$W,MATCH($C977&amp;$I977&amp;$H977&amp;$N977&amp;$O977,APOIO_REDES!$W:$W,0),MATCH(BB$5,APOIO_REDES!$5:$5,0)),0)*($AI977+$AQ977+$AR977),0)</f>
        <v>2.81661726915342</v>
      </c>
      <c r="BC977" s="153" t="n">
        <f aca="false">IFERROR(IF($N977="VCA",INDEX(APOIO_REDES!$A:$W,MATCH($C977&amp;$I977&amp;$H977&amp;$N977&amp;$O977,APOIO_REDES!$W:$W,0),MATCH(BC$5,APOIO_REDES!$5:$5,0)),0)*($AI977+$AQ977+$AR977),0)</f>
        <v>0.030982730846577</v>
      </c>
      <c r="BD977" s="153" t="n">
        <f aca="false">IF(AND($N977="VCA",$AF977&gt;=1.25,$AF977&lt;1.5),$M977*$AF977*2,0)</f>
        <v>19.7976</v>
      </c>
      <c r="BE977" s="153" t="n">
        <f aca="false">IF(AND($N977="VCA",$AF977&gt;=1.5,$AF977&lt;3),$M977*$AF977*2,0)</f>
        <v>0</v>
      </c>
      <c r="BF977" s="153" t="n">
        <f aca="false">IF(AND($N977="VCA",$AF977&gt;=3),$M977*$AF977*2,0)</f>
        <v>0</v>
      </c>
      <c r="BG977" s="153" t="n">
        <f aca="false">($BB977+$BC977)*$AK977</f>
        <v>11.95992</v>
      </c>
      <c r="BH977" s="153" t="n">
        <f aca="false">IF(AND($M977&lt;&gt;"",$N977="VCA",$Q977="LINEAR"),($M977*2)/100,IF(AND($M977&lt;&gt;"",$N977="MND",$Q977="EMBOQUE"),($AN977*2)/100,0))</f>
        <v>0.1356</v>
      </c>
      <c r="BI977" s="153" t="n">
        <f aca="false">IF(AND($M977&lt;&gt;"",$N977="VCA",$Q977="LINEAR"),$M977,IF(AND($M977&lt;&gt;"",$N977="MND",$Q977="EMBOQUE"),$AN977*2,0))</f>
        <v>6.78</v>
      </c>
      <c r="BJ977" s="153" t="n">
        <f aca="false">IF(AND($M977&lt;&gt;"",$N977="VCA",$Q977="LINEAR"),($M977*6.8)/100,IF(AND($M977&lt;&gt;"",$N977="MND",$Q977="EMBOQUE"),($AN977*2*6.8)/100,0))</f>
        <v>0.46104</v>
      </c>
      <c r="BK977" s="153" t="n">
        <f aca="false">IF(AND($M977&lt;&gt;"",$N977="VCA",$Q977="LINEAR"),($M977*2.5)/50,IF(AND($M977&lt;&gt;"",$N977="MND",$Q977="EMBOQUE"),($AN977*2*2.5)/50,0))</f>
        <v>0.339</v>
      </c>
      <c r="BL977" s="157" t="str">
        <f aca="false">K977&amp;J977</f>
        <v>Zona09REDES</v>
      </c>
      <c r="BM977" s="152" t="s">
        <v>5109</v>
      </c>
      <c r="BN977" s="152" t="s">
        <v>1560</v>
      </c>
      <c r="BO977" s="152" t="s">
        <v>4004</v>
      </c>
      <c r="BP977" s="152" t="s">
        <v>2032</v>
      </c>
      <c r="BQ977" s="152" t="s">
        <v>2032</v>
      </c>
      <c r="BR977" s="152" t="s">
        <v>5123</v>
      </c>
      <c r="BS977" s="152" t="n">
        <v>203474.05</v>
      </c>
      <c r="BT977" s="152" t="n">
        <v>8237005.837</v>
      </c>
      <c r="BU977" s="152" t="n">
        <v>203476.872</v>
      </c>
      <c r="BV977" s="152" t="n">
        <v>8236999.667</v>
      </c>
      <c r="BW977" s="152" t="n">
        <v>-15.9285258</v>
      </c>
      <c r="BX977" s="152" t="n">
        <v>-47.7695703</v>
      </c>
      <c r="BY977" s="152" t="s">
        <v>5257</v>
      </c>
    </row>
    <row r="978" customFormat="false" ht="13.8" hidden="false" customHeight="false" outlineLevel="0" collapsed="false">
      <c r="A978" s="149" t="n">
        <f aca="false">IF(C978&lt;&gt;"",ROW(A973),"")</f>
        <v>973</v>
      </c>
      <c r="B978" s="150" t="str">
        <f aca="false">HYPERLINK("https://www.google.com/maps/dir/-15.917302,-47.760003/-15.9279304,-47.7716509/data=!4m3!4m2!3e0!5i0")</f>
        <v>https://www.google.com/maps/dir/-15.917302,-47.760003/-15.9279304,-47.7716509/data=!4m3!4m2!3e0!5i0</v>
      </c>
      <c r="C978" s="151" t="s">
        <v>117</v>
      </c>
      <c r="D978" s="152" t="s">
        <v>112</v>
      </c>
      <c r="E978" s="152" t="s">
        <v>113</v>
      </c>
      <c r="F978" s="152" t="s">
        <v>117</v>
      </c>
      <c r="G978" s="152" t="s">
        <v>782</v>
      </c>
      <c r="H978" s="152" t="n">
        <v>90</v>
      </c>
      <c r="I978" s="152" t="s">
        <v>115</v>
      </c>
      <c r="J978" s="152" t="s">
        <v>6</v>
      </c>
      <c r="K978" s="152" t="s">
        <v>5106</v>
      </c>
      <c r="L978" s="152" t="s">
        <v>120</v>
      </c>
      <c r="M978" s="153" t="n">
        <f aca="false">210.93</f>
        <v>210.93</v>
      </c>
      <c r="N978" s="152" t="s">
        <v>1548</v>
      </c>
      <c r="O978" s="152" t="s">
        <v>1549</v>
      </c>
      <c r="P978" s="152" t="s">
        <v>1550</v>
      </c>
      <c r="Q978" s="152" t="s">
        <v>1551</v>
      </c>
      <c r="R978" s="154" t="s">
        <v>5258</v>
      </c>
      <c r="S978" s="154" t="s">
        <v>1593</v>
      </c>
      <c r="T978" s="155" t="s">
        <v>4002</v>
      </c>
      <c r="U978" s="152" t="str">
        <f aca="false">RIGHT(T978,7)</f>
        <v>015/037</v>
      </c>
      <c r="V978" s="152" t="s">
        <v>1555</v>
      </c>
      <c r="W978" s="156" t="n">
        <v>45882</v>
      </c>
      <c r="X978" s="152" t="s">
        <v>1594</v>
      </c>
      <c r="Y978" s="152" t="s">
        <v>5121</v>
      </c>
      <c r="Z978" s="152" t="s">
        <v>1557</v>
      </c>
      <c r="AA978" s="153" t="n">
        <v>3.1</v>
      </c>
      <c r="AB978" s="151" t="s">
        <v>5259</v>
      </c>
      <c r="AC978" s="151" t="s">
        <v>526</v>
      </c>
      <c r="AD978" s="151" t="str">
        <f aca="false">CONCATENATE($C978,$I978,$H978,$N978,$J978,$K978)</f>
        <v>TUBO PEADPEAD90VCAREDESZona09</v>
      </c>
      <c r="AE978" s="153" t="n">
        <f aca="false">IFERROR(INDEX(APOIO_REDES!$A:$W,MATCH($C978&amp;$I978&amp;$H978&amp;$N978&amp;$O978,APOIO_REDES!$W:$W,0),MATCH(AE$5,APOIO_REDES!$5:$5,0)),0)</f>
        <v>1.2</v>
      </c>
      <c r="AF978" s="153" t="n">
        <f aca="false">IFERROR(INDEX(APOIO_REDES!$A:$W,MATCH($C978&amp;$I978&amp;$H978&amp;$N978&amp;$O978,APOIO_REDES!$W:$W,0),MATCH(AF$5,APOIO_REDES!$5:$5,0)),0)</f>
        <v>1.39</v>
      </c>
      <c r="AG978" s="153" t="n">
        <f aca="false">IFERROR(INDEX(APOIO_REDES!$A:$W,MATCH($C978&amp;$I978&amp;$H978&amp;$N978&amp;$O978,APOIO_REDES!$W:$W,0),MATCH(AG$5,APOIO_REDES!$5:$5,0)),0)</f>
        <v>0.75</v>
      </c>
      <c r="AH978" s="153" t="n">
        <f aca="false">IFERROR(INDEX(APOIO_REDES!$A:$W,MATCH($C978&amp;$I978&amp;$H978&amp;$N978&amp;$O978,APOIO_REDES!$W:$W,0),MATCH(AH$5,APOIO_REDES!$5:$5,0)),0)</f>
        <v>0.1</v>
      </c>
      <c r="AI978" s="153" t="n">
        <f aca="false">IFERROR(IF($H978&lt;&gt;"",(((($H978/1000)/2)^2)*PI()*$M978),0),0)</f>
        <v>1.34187868030393</v>
      </c>
      <c r="AJ978" s="153" t="n">
        <f aca="false">IFERROR(IF(AND($H978&lt;&gt;"",$I978="FoFo",OR($N978="MND",$N978="VCA"),$Q978="LINEAR"),0,IF(AND($H978&lt;&gt;"",$I978="PEAD",$N978="VCA",$Q978="LINEAR"),($H978/1000)+0.3,IF(AND($H978&lt;&gt;"",$I978="PEAD",$N978="MND",$Q978="EMBOQUE"),0,IF(AND($H978&lt;&gt;"",$I978="PVC",$N978="VCA",$Q978="LINEAR"),($H978/1000)+0.2,IF(AND($H978&lt;&gt;"",$I978="PVC",$N978="MND",$Q978="EMBOQUE"),0,IF(AND($H978&lt;&gt;"",$I978="PEAD",$N978="VCA",$Q978="PREDIAL"),0,0)))))),0)</f>
        <v>0.39</v>
      </c>
      <c r="AK978" s="153" t="n">
        <f aca="false">IF(AA978&lt;&gt;"",AA978,0)</f>
        <v>3.1</v>
      </c>
      <c r="AL978" s="153" t="n">
        <f aca="false">IF(AND($N978="MND",$Q978="EMBOQUE"),$M978,IF(AND($N978="VCA",$Q978="LINEAR"),$M978,IF(AND($N978="VCA",$Q978="PREDIAL"),0,0)))</f>
        <v>210.93</v>
      </c>
      <c r="AM978" s="153" t="n">
        <f aca="false">IF(AND($N978="MND",$Q978="EMBOQUE"),$M978,IF(AND($N978="VCA",$Q978="LINEAR"),$M978,IF(AND($N978="VCA",$Q978="PREDIAL"),0,0)))</f>
        <v>210.93</v>
      </c>
      <c r="AN978" s="153" t="n">
        <f aca="false">ROUND(IF(AND($N978="VCA",$M978&lt;&gt;"",$Q978="LINEAR"),$M978/100,IF(AND($N978="MND",$M978&gt;100,$Q978="EMBOQUE"),$M978/100,0)),0)</f>
        <v>2</v>
      </c>
      <c r="AO978" s="153" t="n">
        <f aca="false">IF(AND($N978="MND",$Q978="EMBOQUE"),$AN978*2*2,IF(AND($N978="VCA",$Q978="LINEAR"),$M978*2,IF(AND($N978="VCA",$Q978="PREDIAL"),0,0)))</f>
        <v>421.86</v>
      </c>
      <c r="AP978" s="153" t="n">
        <f aca="false">IFERROR($M978*$AF978*$AG978,0)</f>
        <v>219.894525</v>
      </c>
      <c r="AQ978" s="153" t="n">
        <f aca="false">IFERROR(IF(AND($N978="VCA",$AH978&gt;0),$M978*$AG978*$AH978,0),0)</f>
        <v>15.81975</v>
      </c>
      <c r="AR978" s="153" t="n">
        <f aca="false">IFERROR(IF(AND($N978="VCA",$AJ978&gt;0),($M978*$AG978*$AJ978)-$AI978,0),0)</f>
        <v>60.3551463196961</v>
      </c>
      <c r="AS978" s="153" t="n">
        <f aca="false">IFERROR(IF(AND($N978="VCA",$AP978&gt;0),$AP978-$AI978-$AQ978-$AR978,0),0)</f>
        <v>142.37775</v>
      </c>
      <c r="AT978" s="153" t="n">
        <f aca="false">IFERROR(IF($N978="VCA",INDEX(APOIO_REDES!$A:$W,MATCH($C978&amp;$I978&amp;$H978&amp;$N978&amp;$O978,APOIO_REDES!$W:$W,0),MATCH(AT$5,APOIO_REDES!$5:$5,0)),0)*$AP978,0)</f>
        <v>2.39251751745712</v>
      </c>
      <c r="AU978" s="153" t="n">
        <f aca="false">IFERROR(IF($N978="VCA",INDEX(APOIO_REDES!$A:$W,MATCH($C978&amp;$I978&amp;$H978&amp;$N978&amp;$O978,APOIO_REDES!$W:$W,0),MATCH(AU$5,APOIO_REDES!$5:$5,0)),0)*$AP978,0)</f>
        <v>1.91059969184922</v>
      </c>
      <c r="AV978" s="153" t="n">
        <f aca="false">IFERROR(IF($N978="VCA",INDEX(APOIO_REDES!$A:$W,MATCH($C978&amp;$I978&amp;$H978&amp;$N978&amp;$O978,APOIO_REDES!$W:$W,0),MATCH(AV$5,APOIO_REDES!$5:$5,0)),0)*$AP978,0)</f>
        <v>0.264411998556277</v>
      </c>
      <c r="AW978" s="153" t="n">
        <f aca="false">IFERROR(IF($N978="VCA",INDEX(APOIO_REDES!$A:$W,MATCH($C978&amp;$I978&amp;$H978&amp;$N978&amp;$O978,APOIO_REDES!$W:$W,0),MATCH(AW$5,APOIO_REDES!$5:$5,0)),0)*$AP978,0)</f>
        <v>150.937305785922</v>
      </c>
      <c r="AX978" s="153" t="n">
        <f aca="false">IFERROR(IF($N978="VCA",INDEX(APOIO_REDES!$A:$W,MATCH($C978&amp;$I978&amp;$H978&amp;$N978&amp;$O978,APOIO_REDES!$W:$W,0),MATCH(AX$5,APOIO_REDES!$5:$5,0)),0)*$AP978,0)</f>
        <v>20.8892931677176</v>
      </c>
      <c r="AY978" s="153" t="n">
        <f aca="false">IFERROR(IF($N978="VCA",INDEX(APOIO_REDES!$A:$W,MATCH($C978&amp;$I978&amp;$H978&amp;$N978&amp;$O978,APOIO_REDES!$W:$W,0),MATCH(AY$5,APOIO_REDES!$5:$5,0)),0)*$AP978,0)</f>
        <v>38.2119705469291</v>
      </c>
      <c r="AZ978" s="153" t="n">
        <f aca="false">IFERROR(IF($N978="VCA",INDEX(APOIO_REDES!$A:$W,MATCH($C978&amp;$I978&amp;$H978&amp;$N978&amp;$O978,APOIO_REDES!$W:$W,0),MATCH(AZ$5,APOIO_REDES!$5:$5,0)),0)*$AP978,0)</f>
        <v>5.28842629156846</v>
      </c>
      <c r="BA978" s="153" t="n">
        <f aca="false">IFERROR(IF(AND($N978="VCA",$Q978="LINEAR"),INDEX(APOIO_REDES!$A:$W,MATCH($C978&amp;$I978&amp;$H978&amp;$N978&amp;$O978,APOIO_REDES!$W:$W,0),MATCH(BA$5,APOIO_REDES!$5:$5,0)),IF(AND($N978="MND",$Q978="EMBOQUE"),INDEX(APOIO_REDES!$A:$W,MATCH($C978&amp;$I978&amp;$H978&amp;$N978&amp;$O978,APOIO_REDES!$W:$W,0),MATCH(BA$5,APOIO_REDES!$5:$5,0)),0))*$M978/10,0)</f>
        <v>17.0004259459031</v>
      </c>
      <c r="BB978" s="153" t="n">
        <f aca="false">IFERROR(IF($N978="VCA",INDEX(APOIO_REDES!$A:$W,MATCH($C978&amp;$I978&amp;$H978&amp;$N978&amp;$O978,APOIO_REDES!$W:$W,0),MATCH(BB$5,APOIO_REDES!$5:$5,0)),0)*($AI978+$AQ978+$AR978),0)</f>
        <v>76.6733695442058</v>
      </c>
      <c r="BC978" s="153" t="n">
        <f aca="false">IFERROR(IF($N978="VCA",INDEX(APOIO_REDES!$A:$W,MATCH($C978&amp;$I978&amp;$H978&amp;$N978&amp;$O978,APOIO_REDES!$W:$W,0),MATCH(BC$5,APOIO_REDES!$5:$5,0)),0)*($AI978+$AQ978+$AR978),0)</f>
        <v>0.843405455794237</v>
      </c>
      <c r="BD978" s="153" t="n">
        <f aca="false">IF(AND($N978="VCA",$AF978&gt;=1.25,$AF978&lt;1.5),$M978*$AF978*2,0)</f>
        <v>586.3854</v>
      </c>
      <c r="BE978" s="153" t="n">
        <f aca="false">IF(AND($N978="VCA",$AF978&gt;=1.5,$AF978&lt;3),$M978*$AF978*2,0)</f>
        <v>0</v>
      </c>
      <c r="BF978" s="153" t="n">
        <f aca="false">IF(AND($N978="VCA",$AF978&gt;=3),$M978*$AF978*2,0)</f>
        <v>0</v>
      </c>
      <c r="BG978" s="153" t="n">
        <f aca="false">($BB978+$BC978)*$AK978</f>
        <v>240.3020025</v>
      </c>
      <c r="BH978" s="153" t="n">
        <f aca="false">IF(AND($M978&lt;&gt;"",$N978="VCA",$Q978="LINEAR"),($M978*2)/100,IF(AND($M978&lt;&gt;"",$N978="MND",$Q978="EMBOQUE"),($AN978*2)/100,0))</f>
        <v>4.2186</v>
      </c>
      <c r="BI978" s="153" t="n">
        <f aca="false">IF(AND($M978&lt;&gt;"",$N978="VCA",$Q978="LINEAR"),$M978,IF(AND($M978&lt;&gt;"",$N978="MND",$Q978="EMBOQUE"),$AN978*2,0))</f>
        <v>210.93</v>
      </c>
      <c r="BJ978" s="153" t="n">
        <f aca="false">IF(AND($M978&lt;&gt;"",$N978="VCA",$Q978="LINEAR"),($M978*6.8)/100,IF(AND($M978&lt;&gt;"",$N978="MND",$Q978="EMBOQUE"),($AN978*2*6.8)/100,0))</f>
        <v>14.34324</v>
      </c>
      <c r="BK978" s="153" t="n">
        <f aca="false">IF(AND($M978&lt;&gt;"",$N978="VCA",$Q978="LINEAR"),($M978*2.5)/50,IF(AND($M978&lt;&gt;"",$N978="MND",$Q978="EMBOQUE"),($AN978*2*2.5)/50,0))</f>
        <v>10.5465</v>
      </c>
      <c r="BL978" s="157" t="str">
        <f aca="false">K978&amp;J978</f>
        <v>Zona09REDES</v>
      </c>
      <c r="BM978" s="152" t="s">
        <v>5109</v>
      </c>
      <c r="BN978" s="152" t="s">
        <v>1560</v>
      </c>
      <c r="BO978" s="152" t="s">
        <v>4004</v>
      </c>
      <c r="BP978" s="152" t="s">
        <v>5144</v>
      </c>
      <c r="BQ978" s="152" t="s">
        <v>5260</v>
      </c>
      <c r="BR978" s="152" t="s">
        <v>5261</v>
      </c>
      <c r="BS978" s="152" t="n">
        <v>203251.673</v>
      </c>
      <c r="BT978" s="152" t="n">
        <v>8237065.711</v>
      </c>
      <c r="BU978" s="152" t="n">
        <v>203272.253</v>
      </c>
      <c r="BV978" s="152" t="n">
        <v>8236865.181</v>
      </c>
      <c r="BW978" s="152" t="n">
        <v>-15.9288558</v>
      </c>
      <c r="BX978" s="152" t="n">
        <v>-47.7714873</v>
      </c>
      <c r="BY978" s="152" t="s">
        <v>5144</v>
      </c>
    </row>
    <row r="979" customFormat="false" ht="13.8" hidden="false" customHeight="false" outlineLevel="0" collapsed="false">
      <c r="A979" s="149" t="n">
        <f aca="false">IF(C979&lt;&gt;"",ROW(A974),"")</f>
        <v>974</v>
      </c>
      <c r="B979" s="150" t="str">
        <f aca="false">HYPERLINK("https://www.google.com/maps/dir/-15.917302,-47.760003/-15.9297436,-47.7714837/data=!4m3!4m2!3e0!5i2")</f>
        <v>https://www.google.com/maps/dir/-15.917302,-47.760003/-15.9297436,-47.7714837/data=!4m3!4m2!3e0!5i2</v>
      </c>
      <c r="C979" s="151" t="s">
        <v>117</v>
      </c>
      <c r="D979" s="152" t="s">
        <v>112</v>
      </c>
      <c r="E979" s="152" t="s">
        <v>113</v>
      </c>
      <c r="F979" s="152" t="s">
        <v>117</v>
      </c>
      <c r="G979" s="152" t="s">
        <v>782</v>
      </c>
      <c r="H979" s="152" t="n">
        <v>90</v>
      </c>
      <c r="I979" s="152" t="s">
        <v>115</v>
      </c>
      <c r="J979" s="152" t="s">
        <v>6</v>
      </c>
      <c r="K979" s="152" t="s">
        <v>5106</v>
      </c>
      <c r="L979" s="152" t="s">
        <v>120</v>
      </c>
      <c r="M979" s="153" t="n">
        <f aca="false">47.83</f>
        <v>47.83</v>
      </c>
      <c r="N979" s="152" t="s">
        <v>1548</v>
      </c>
      <c r="O979" s="152" t="s">
        <v>1549</v>
      </c>
      <c r="P979" s="152" t="s">
        <v>1550</v>
      </c>
      <c r="Q979" s="152" t="s">
        <v>1551</v>
      </c>
      <c r="R979" s="154" t="s">
        <v>5262</v>
      </c>
      <c r="S979" s="154" t="s">
        <v>1593</v>
      </c>
      <c r="T979" s="155" t="s">
        <v>4002</v>
      </c>
      <c r="U979" s="152" t="str">
        <f aca="false">RIGHT(T979,7)</f>
        <v>015/037</v>
      </c>
      <c r="V979" s="152" t="s">
        <v>1555</v>
      </c>
      <c r="W979" s="156" t="n">
        <v>45882</v>
      </c>
      <c r="X979" s="152" t="s">
        <v>1594</v>
      </c>
      <c r="Y979" s="152"/>
      <c r="Z979" s="152" t="s">
        <v>1557</v>
      </c>
      <c r="AA979" s="153" t="n">
        <v>4.7</v>
      </c>
      <c r="AB979" s="151" t="s">
        <v>5263</v>
      </c>
      <c r="AC979" s="151" t="s">
        <v>526</v>
      </c>
      <c r="AD979" s="151" t="str">
        <f aca="false">CONCATENATE($C979,$I979,$H979,$N979,$J979,$K979)</f>
        <v>TUBO PEADPEAD90VCAREDESZona09</v>
      </c>
      <c r="AE979" s="153" t="n">
        <f aca="false">IFERROR(INDEX(APOIO_REDES!$A:$W,MATCH($C979&amp;$I979&amp;$H979&amp;$N979&amp;$O979,APOIO_REDES!$W:$W,0),MATCH(AE$5,APOIO_REDES!$5:$5,0)),0)</f>
        <v>1.2</v>
      </c>
      <c r="AF979" s="153" t="n">
        <f aca="false">IFERROR(INDEX(APOIO_REDES!$A:$W,MATCH($C979&amp;$I979&amp;$H979&amp;$N979&amp;$O979,APOIO_REDES!$W:$W,0),MATCH(AF$5,APOIO_REDES!$5:$5,0)),0)</f>
        <v>1.39</v>
      </c>
      <c r="AG979" s="153" t="n">
        <f aca="false">IFERROR(INDEX(APOIO_REDES!$A:$W,MATCH($C979&amp;$I979&amp;$H979&amp;$N979&amp;$O979,APOIO_REDES!$W:$W,0),MATCH(AG$5,APOIO_REDES!$5:$5,0)),0)</f>
        <v>0.75</v>
      </c>
      <c r="AH979" s="153" t="n">
        <f aca="false">IFERROR(INDEX(APOIO_REDES!$A:$W,MATCH($C979&amp;$I979&amp;$H979&amp;$N979&amp;$O979,APOIO_REDES!$W:$W,0),MATCH(AH$5,APOIO_REDES!$5:$5,0)),0)</f>
        <v>0.1</v>
      </c>
      <c r="AI979" s="153" t="n">
        <f aca="false">IFERROR(IF($H979&lt;&gt;"",(((($H979/1000)/2)^2)*PI()*$M979),0),0)</f>
        <v>0.30428131265793</v>
      </c>
      <c r="AJ979" s="153" t="n">
        <f aca="false">IFERROR(IF(AND($H979&lt;&gt;"",$I979="FoFo",OR($N979="MND",$N979="VCA"),$Q979="LINEAR"),0,IF(AND($H979&lt;&gt;"",$I979="PEAD",$N979="VCA",$Q979="LINEAR"),($H979/1000)+0.3,IF(AND($H979&lt;&gt;"",$I979="PEAD",$N979="MND",$Q979="EMBOQUE"),0,IF(AND($H979&lt;&gt;"",$I979="PVC",$N979="VCA",$Q979="LINEAR"),($H979/1000)+0.2,IF(AND($H979&lt;&gt;"",$I979="PVC",$N979="MND",$Q979="EMBOQUE"),0,IF(AND($H979&lt;&gt;"",$I979="PEAD",$N979="VCA",$Q979="PREDIAL"),0,0)))))),0)</f>
        <v>0.39</v>
      </c>
      <c r="AK979" s="153" t="n">
        <f aca="false">IF(AA979&lt;&gt;"",AA979,0)</f>
        <v>4.7</v>
      </c>
      <c r="AL979" s="153" t="n">
        <f aca="false">IF(AND($N979="MND",$Q979="EMBOQUE"),$M979,IF(AND($N979="VCA",$Q979="LINEAR"),$M979,IF(AND($N979="VCA",$Q979="PREDIAL"),0,0)))</f>
        <v>47.83</v>
      </c>
      <c r="AM979" s="153" t="n">
        <f aca="false">IF(AND($N979="MND",$Q979="EMBOQUE"),$M979,IF(AND($N979="VCA",$Q979="LINEAR"),$M979,IF(AND($N979="VCA",$Q979="PREDIAL"),0,0)))</f>
        <v>47.83</v>
      </c>
      <c r="AN979" s="153" t="n">
        <f aca="false">ROUND(IF(AND($N979="VCA",$M979&lt;&gt;"",$Q979="LINEAR"),$M979/100,IF(AND($N979="MND",$M979&gt;100,$Q979="EMBOQUE"),$M979/100,0)),0)</f>
        <v>0</v>
      </c>
      <c r="AO979" s="153" t="n">
        <f aca="false">IF(AND($N979="MND",$Q979="EMBOQUE"),$AN979*2*2,IF(AND($N979="VCA",$Q979="LINEAR"),$M979*2,IF(AND($N979="VCA",$Q979="PREDIAL"),0,0)))</f>
        <v>95.66</v>
      </c>
      <c r="AP979" s="153" t="n">
        <f aca="false">IFERROR($M979*$AF979*$AG979,0)</f>
        <v>49.862775</v>
      </c>
      <c r="AQ979" s="153" t="n">
        <f aca="false">IFERROR(IF(AND($N979="VCA",$AH979&gt;0),$M979*$AG979*$AH979,0),0)</f>
        <v>3.58725</v>
      </c>
      <c r="AR979" s="153" t="n">
        <f aca="false">IFERROR(IF(AND($N979="VCA",$AJ979&gt;0),($M979*$AG979*$AJ979)-$AI979,0),0)</f>
        <v>13.6859936873421</v>
      </c>
      <c r="AS979" s="153" t="n">
        <f aca="false">IFERROR(IF(AND($N979="VCA",$AP979&gt;0),$AP979-$AI979-$AQ979-$AR979,0),0)</f>
        <v>32.28525</v>
      </c>
      <c r="AT979" s="153" t="n">
        <f aca="false">IFERROR(IF($N979="VCA",INDEX(APOIO_REDES!$A:$W,MATCH($C979&amp;$I979&amp;$H979&amp;$N979&amp;$O979,APOIO_REDES!$W:$W,0),MATCH(AT$5,APOIO_REDES!$5:$5,0)),0)*$AP979,0)</f>
        <v>0.542521750628047</v>
      </c>
      <c r="AU979" s="153" t="n">
        <f aca="false">IFERROR(IF($N979="VCA",INDEX(APOIO_REDES!$A:$W,MATCH($C979&amp;$I979&amp;$H979&amp;$N979&amp;$O979,APOIO_REDES!$W:$W,0),MATCH(AU$5,APOIO_REDES!$5:$5,0)),0)*$AP979,0)</f>
        <v>0.433243176699133</v>
      </c>
      <c r="AV979" s="153" t="n">
        <f aca="false">IFERROR(IF($N979="VCA",INDEX(APOIO_REDES!$A:$W,MATCH($C979&amp;$I979&amp;$H979&amp;$N979&amp;$O979,APOIO_REDES!$W:$W,0),MATCH(AV$5,APOIO_REDES!$5:$5,0)),0)*$AP979,0)</f>
        <v>0.0599574545628727</v>
      </c>
      <c r="AW979" s="153" t="n">
        <f aca="false">IFERROR(IF($N979="VCA",INDEX(APOIO_REDES!$A:$W,MATCH($C979&amp;$I979&amp;$H979&amp;$N979&amp;$O979,APOIO_REDES!$W:$W,0),MATCH(AW$5,APOIO_REDES!$5:$5,0)),0)*$AP979,0)</f>
        <v>34.2261951156339</v>
      </c>
      <c r="AX979" s="153" t="n">
        <f aca="false">IFERROR(IF($N979="VCA",INDEX(APOIO_REDES!$A:$W,MATCH($C979&amp;$I979&amp;$H979&amp;$N979&amp;$O979,APOIO_REDES!$W:$W,0),MATCH(AX$5,APOIO_REDES!$5:$5,0)),0)*$AP979,0)</f>
        <v>4.73680790884147</v>
      </c>
      <c r="AY979" s="153" t="n">
        <f aca="false">IFERROR(IF($N979="VCA",INDEX(APOIO_REDES!$A:$W,MATCH($C979&amp;$I979&amp;$H979&amp;$N979&amp;$O979,APOIO_REDES!$W:$W,0),MATCH(AY$5,APOIO_REDES!$5:$5,0)),0)*$AP979,0)</f>
        <v>8.66485825278346</v>
      </c>
      <c r="AZ979" s="153" t="n">
        <f aca="false">IFERROR(IF($N979="VCA",INDEX(APOIO_REDES!$A:$W,MATCH($C979&amp;$I979&amp;$H979&amp;$N979&amp;$O979,APOIO_REDES!$W:$W,0),MATCH(AZ$5,APOIO_REDES!$5:$5,0)),0)*$AP979,0)</f>
        <v>1.19919134085109</v>
      </c>
      <c r="BA979" s="153" t="n">
        <f aca="false">IFERROR(IF(AND($N979="VCA",$Q979="LINEAR"),INDEX(APOIO_REDES!$A:$W,MATCH($C979&amp;$I979&amp;$H979&amp;$N979&amp;$O979,APOIO_REDES!$W:$W,0),MATCH(BA$5,APOIO_REDES!$5:$5,0)),IF(AND($N979="MND",$Q979="EMBOQUE"),INDEX(APOIO_REDES!$A:$W,MATCH($C979&amp;$I979&amp;$H979&amp;$N979&amp;$O979,APOIO_REDES!$W:$W,0),MATCH(BA$5,APOIO_REDES!$5:$5,0)),0))*$M979/10,0)</f>
        <v>3.85497735264089</v>
      </c>
      <c r="BB979" s="153" t="n">
        <f aca="false">IFERROR(IF($N979="VCA",INDEX(APOIO_REDES!$A:$W,MATCH($C979&amp;$I979&amp;$H979&amp;$N979&amp;$O979,APOIO_REDES!$W:$W,0),MATCH(BB$5,APOIO_REDES!$5:$5,0)),0)*($AI979+$AQ979+$AR979),0)</f>
        <v>17.3862763253182</v>
      </c>
      <c r="BC979" s="153" t="n">
        <f aca="false">IFERROR(IF($N979="VCA",INDEX(APOIO_REDES!$A:$W,MATCH($C979&amp;$I979&amp;$H979&amp;$N979&amp;$O979,APOIO_REDES!$W:$W,0),MATCH(BC$5,APOIO_REDES!$5:$5,0)),0)*($AI979+$AQ979+$AR979),0)</f>
        <v>0.19124867468183</v>
      </c>
      <c r="BD979" s="153" t="n">
        <f aca="false">IF(AND($N979="VCA",$AF979&gt;=1.25,$AF979&lt;1.5),$M979*$AF979*2,0)</f>
        <v>132.9674</v>
      </c>
      <c r="BE979" s="153" t="n">
        <f aca="false">IF(AND($N979="VCA",$AF979&gt;=1.5,$AF979&lt;3),$M979*$AF979*2,0)</f>
        <v>0</v>
      </c>
      <c r="BF979" s="153" t="n">
        <f aca="false">IF(AND($N979="VCA",$AF979&gt;=3),$M979*$AF979*2,0)</f>
        <v>0</v>
      </c>
      <c r="BG979" s="153" t="n">
        <f aca="false">($BB979+$BC979)*$AK979</f>
        <v>82.6143675</v>
      </c>
      <c r="BH979" s="153" t="n">
        <f aca="false">IF(AND($M979&lt;&gt;"",$N979="VCA",$Q979="LINEAR"),($M979*2)/100,IF(AND($M979&lt;&gt;"",$N979="MND",$Q979="EMBOQUE"),($AN979*2)/100,0))</f>
        <v>0.9566</v>
      </c>
      <c r="BI979" s="153" t="n">
        <f aca="false">IF(AND($M979&lt;&gt;"",$N979="VCA",$Q979="LINEAR"),$M979,IF(AND($M979&lt;&gt;"",$N979="MND",$Q979="EMBOQUE"),$AN979*2,0))</f>
        <v>47.83</v>
      </c>
      <c r="BJ979" s="153" t="n">
        <f aca="false">IF(AND($M979&lt;&gt;"",$N979="VCA",$Q979="LINEAR"),($M979*6.8)/100,IF(AND($M979&lt;&gt;"",$N979="MND",$Q979="EMBOQUE"),($AN979*2*6.8)/100,0))</f>
        <v>3.25244</v>
      </c>
      <c r="BK979" s="153" t="n">
        <f aca="false">IF(AND($M979&lt;&gt;"",$N979="VCA",$Q979="LINEAR"),($M979*2.5)/50,IF(AND($M979&lt;&gt;"",$N979="MND",$Q979="EMBOQUE"),($AN979*2*2.5)/50,0))</f>
        <v>2.3915</v>
      </c>
      <c r="BL979" s="157" t="str">
        <f aca="false">K979&amp;J979</f>
        <v>Zona09REDES</v>
      </c>
      <c r="BM979" s="152" t="s">
        <v>5109</v>
      </c>
      <c r="BN979" s="152" t="s">
        <v>1560</v>
      </c>
      <c r="BO979" s="152" t="s">
        <v>4004</v>
      </c>
      <c r="BP979" s="152" t="s">
        <v>5260</v>
      </c>
      <c r="BQ979" s="152" t="s">
        <v>5264</v>
      </c>
      <c r="BR979" s="152" t="s">
        <v>5265</v>
      </c>
      <c r="BS979" s="152" t="n">
        <v>203272.253</v>
      </c>
      <c r="BT979" s="152" t="n">
        <v>8236865.181</v>
      </c>
      <c r="BU979" s="152" t="n">
        <v>203251.849</v>
      </c>
      <c r="BV979" s="152" t="n">
        <v>8236822.046</v>
      </c>
      <c r="BW979" s="152" t="n">
        <v>-15.9299415</v>
      </c>
      <c r="BX979" s="152" t="n">
        <v>-47.771573</v>
      </c>
      <c r="BY979" s="152" t="s">
        <v>5260</v>
      </c>
    </row>
    <row r="980" customFormat="false" ht="13.8" hidden="false" customHeight="false" outlineLevel="0" collapsed="false">
      <c r="A980" s="149" t="n">
        <f aca="false">IF(C980&lt;&gt;"",ROW(A975),"")</f>
        <v>975</v>
      </c>
      <c r="B980" s="150" t="str">
        <f aca="false">HYPERLINK("https://www.google.com/maps/dir/-15.917302,-47.760003/-15.9302260,-47.7706902/data=!4m3!4m2!3e0!5i2")</f>
        <v>https://www.google.com/maps/dir/-15.917302,-47.760003/-15.9302260,-47.7706902/data=!4m3!4m2!3e0!5i2</v>
      </c>
      <c r="C980" s="151" t="s">
        <v>117</v>
      </c>
      <c r="D980" s="152" t="s">
        <v>112</v>
      </c>
      <c r="E980" s="152" t="s">
        <v>113</v>
      </c>
      <c r="F980" s="152" t="s">
        <v>117</v>
      </c>
      <c r="G980" s="152" t="s">
        <v>782</v>
      </c>
      <c r="H980" s="152" t="n">
        <v>90</v>
      </c>
      <c r="I980" s="152" t="s">
        <v>115</v>
      </c>
      <c r="J980" s="152" t="s">
        <v>6</v>
      </c>
      <c r="K980" s="152" t="s">
        <v>5106</v>
      </c>
      <c r="L980" s="152" t="s">
        <v>120</v>
      </c>
      <c r="M980" s="153" t="n">
        <f aca="false">100.45</f>
        <v>100.45</v>
      </c>
      <c r="N980" s="152" t="s">
        <v>1548</v>
      </c>
      <c r="O980" s="152" t="s">
        <v>1549</v>
      </c>
      <c r="P980" s="152" t="s">
        <v>1550</v>
      </c>
      <c r="Q980" s="152" t="s">
        <v>1551</v>
      </c>
      <c r="R980" s="154" t="s">
        <v>5266</v>
      </c>
      <c r="S980" s="154" t="s">
        <v>1593</v>
      </c>
      <c r="T980" s="155" t="s">
        <v>4002</v>
      </c>
      <c r="U980" s="152" t="str">
        <f aca="false">RIGHT(T980,7)</f>
        <v>015/037</v>
      </c>
      <c r="V980" s="152" t="s">
        <v>1555</v>
      </c>
      <c r="W980" s="156" t="n">
        <v>45882</v>
      </c>
      <c r="X980" s="152" t="s">
        <v>1594</v>
      </c>
      <c r="Y980" s="152" t="s">
        <v>5267</v>
      </c>
      <c r="Z980" s="152" t="s">
        <v>1557</v>
      </c>
      <c r="AA980" s="153" t="n">
        <v>4.6</v>
      </c>
      <c r="AB980" s="151" t="s">
        <v>5268</v>
      </c>
      <c r="AC980" s="151" t="s">
        <v>526</v>
      </c>
      <c r="AD980" s="151" t="str">
        <f aca="false">CONCATENATE($C980,$I980,$H980,$N980,$J980,$K980)</f>
        <v>TUBO PEADPEAD90VCAREDESZona09</v>
      </c>
      <c r="AE980" s="153" t="n">
        <f aca="false">IFERROR(INDEX(APOIO_REDES!$A:$W,MATCH($C980&amp;$I980&amp;$H980&amp;$N980&amp;$O980,APOIO_REDES!$W:$W,0),MATCH(AE$5,APOIO_REDES!$5:$5,0)),0)</f>
        <v>1.2</v>
      </c>
      <c r="AF980" s="153" t="n">
        <f aca="false">IFERROR(INDEX(APOIO_REDES!$A:$W,MATCH($C980&amp;$I980&amp;$H980&amp;$N980&amp;$O980,APOIO_REDES!$W:$W,0),MATCH(AF$5,APOIO_REDES!$5:$5,0)),0)</f>
        <v>1.39</v>
      </c>
      <c r="AG980" s="153" t="n">
        <f aca="false">IFERROR(INDEX(APOIO_REDES!$A:$W,MATCH($C980&amp;$I980&amp;$H980&amp;$N980&amp;$O980,APOIO_REDES!$W:$W,0),MATCH(AG$5,APOIO_REDES!$5:$5,0)),0)</f>
        <v>0.75</v>
      </c>
      <c r="AH980" s="153" t="n">
        <f aca="false">IFERROR(INDEX(APOIO_REDES!$A:$W,MATCH($C980&amp;$I980&amp;$H980&amp;$N980&amp;$O980,APOIO_REDES!$W:$W,0),MATCH(AH$5,APOIO_REDES!$5:$5,0)),0)</f>
        <v>0.1</v>
      </c>
      <c r="AI980" s="153" t="n">
        <f aca="false">IFERROR(IF($H980&lt;&gt;"",(((($H980/1000)/2)^2)*PI()*$M980),0),0)</f>
        <v>0.639035288657517</v>
      </c>
      <c r="AJ980" s="153" t="n">
        <f aca="false">IFERROR(IF(AND($H980&lt;&gt;"",$I980="FoFo",OR($N980="MND",$N980="VCA"),$Q980="LINEAR"),0,IF(AND($H980&lt;&gt;"",$I980="PEAD",$N980="VCA",$Q980="LINEAR"),($H980/1000)+0.3,IF(AND($H980&lt;&gt;"",$I980="PEAD",$N980="MND",$Q980="EMBOQUE"),0,IF(AND($H980&lt;&gt;"",$I980="PVC",$N980="VCA",$Q980="LINEAR"),($H980/1000)+0.2,IF(AND($H980&lt;&gt;"",$I980="PVC",$N980="MND",$Q980="EMBOQUE"),0,IF(AND($H980&lt;&gt;"",$I980="PEAD",$N980="VCA",$Q980="PREDIAL"),0,0)))))),0)</f>
        <v>0.39</v>
      </c>
      <c r="AK980" s="153" t="n">
        <f aca="false">IF(AA980&lt;&gt;"",AA980,0)</f>
        <v>4.6</v>
      </c>
      <c r="AL980" s="153" t="n">
        <f aca="false">IF(AND($N980="MND",$Q980="EMBOQUE"),$M980,IF(AND($N980="VCA",$Q980="LINEAR"),$M980,IF(AND($N980="VCA",$Q980="PREDIAL"),0,0)))</f>
        <v>100.45</v>
      </c>
      <c r="AM980" s="153" t="n">
        <f aca="false">IF(AND($N980="MND",$Q980="EMBOQUE"),$M980,IF(AND($N980="VCA",$Q980="LINEAR"),$M980,IF(AND($N980="VCA",$Q980="PREDIAL"),0,0)))</f>
        <v>100.45</v>
      </c>
      <c r="AN980" s="153" t="n">
        <f aca="false">ROUND(IF(AND($N980="VCA",$M980&lt;&gt;"",$Q980="LINEAR"),$M980/100,IF(AND($N980="MND",$M980&gt;100,$Q980="EMBOQUE"),$M980/100,0)),0)</f>
        <v>1</v>
      </c>
      <c r="AO980" s="153" t="n">
        <f aca="false">IF(AND($N980="MND",$Q980="EMBOQUE"),$AN980*2*2,IF(AND($N980="VCA",$Q980="LINEAR"),$M980*2,IF(AND($N980="VCA",$Q980="PREDIAL"),0,0)))</f>
        <v>200.9</v>
      </c>
      <c r="AP980" s="153" t="n">
        <f aca="false">IFERROR($M980*$AF980*$AG980,0)</f>
        <v>104.719125</v>
      </c>
      <c r="AQ980" s="153" t="n">
        <f aca="false">IFERROR(IF(AND($N980="VCA",$AH980&gt;0),$M980*$AG980*$AH980,0),0)</f>
        <v>7.53375</v>
      </c>
      <c r="AR980" s="153" t="n">
        <f aca="false">IFERROR(IF(AND($N980="VCA",$AJ980&gt;0),($M980*$AG980*$AJ980)-$AI980,0),0)</f>
        <v>28.7425897113425</v>
      </c>
      <c r="AS980" s="153" t="n">
        <f aca="false">IFERROR(IF(AND($N980="VCA",$AP980&gt;0),$AP980-$AI980-$AQ980-$AR980,0),0)</f>
        <v>67.80375</v>
      </c>
      <c r="AT980" s="153" t="n">
        <f aca="false">IFERROR(IF($N980="VCA",INDEX(APOIO_REDES!$A:$W,MATCH($C980&amp;$I980&amp;$H980&amp;$N980&amp;$O980,APOIO_REDES!$W:$W,0),MATCH(AT$5,APOIO_REDES!$5:$5,0)),0)*$AP980,0)</f>
        <v>1.13937507527885</v>
      </c>
      <c r="AU980" s="153" t="n">
        <f aca="false">IFERROR(IF($N980="VCA",INDEX(APOIO_REDES!$A:$W,MATCH($C980&amp;$I980&amp;$H980&amp;$N980&amp;$O980,APOIO_REDES!$W:$W,0),MATCH(AU$5,APOIO_REDES!$5:$5,0)),0)*$AP980,0)</f>
        <v>0.9098740769272</v>
      </c>
      <c r="AV980" s="153" t="n">
        <f aca="false">IFERROR(IF($N980="VCA",INDEX(APOIO_REDES!$A:$W,MATCH($C980&amp;$I980&amp;$H980&amp;$N980&amp;$O980,APOIO_REDES!$W:$W,0),MATCH(AV$5,APOIO_REDES!$5:$5,0)),0)*$AP980,0)</f>
        <v>0.125919429455165</v>
      </c>
      <c r="AW980" s="153" t="n">
        <f aca="false">IFERROR(IF($N980="VCA",INDEX(APOIO_REDES!$A:$W,MATCH($C980&amp;$I980&amp;$H980&amp;$N980&amp;$O980,APOIO_REDES!$W:$W,0),MATCH(AW$5,APOIO_REDES!$5:$5,0)),0)*$AP980,0)</f>
        <v>71.8800188033751</v>
      </c>
      <c r="AX980" s="153" t="n">
        <f aca="false">IFERROR(IF($N980="VCA",INDEX(APOIO_REDES!$A:$W,MATCH($C980&amp;$I980&amp;$H980&amp;$N980&amp;$O980,APOIO_REDES!$W:$W,0),MATCH(AX$5,APOIO_REDES!$5:$5,0)),0)*$AP980,0)</f>
        <v>9.94798984827777</v>
      </c>
      <c r="AY980" s="153" t="n">
        <f aca="false">IFERROR(IF($N980="VCA",INDEX(APOIO_REDES!$A:$W,MATCH($C980&amp;$I980&amp;$H980&amp;$N980&amp;$O980,APOIO_REDES!$W:$W,0),MATCH(AY$5,APOIO_REDES!$5:$5,0)),0)*$AP980,0)</f>
        <v>18.1974704472528</v>
      </c>
      <c r="AZ980" s="153" t="n">
        <f aca="false">IFERROR(IF($N980="VCA",INDEX(APOIO_REDES!$A:$W,MATCH($C980&amp;$I980&amp;$H980&amp;$N980&amp;$O980,APOIO_REDES!$W:$W,0),MATCH(AZ$5,APOIO_REDES!$5:$5,0)),0)*$AP980,0)</f>
        <v>2.51847731943323</v>
      </c>
      <c r="BA980" s="153" t="n">
        <f aca="false">IFERROR(IF(AND($N980="VCA",$Q980="LINEAR"),INDEX(APOIO_REDES!$A:$W,MATCH($C980&amp;$I980&amp;$H980&amp;$N980&amp;$O980,APOIO_REDES!$W:$W,0),MATCH(BA$5,APOIO_REDES!$5:$5,0)),IF(AND($N980="MND",$Q980="EMBOQUE"),INDEX(APOIO_REDES!$A:$W,MATCH($C980&amp;$I980&amp;$H980&amp;$N980&amp;$O980,APOIO_REDES!$W:$W,0),MATCH(BA$5,APOIO_REDES!$5:$5,0)),0))*$M980/10,0)</f>
        <v>8.09601662288893</v>
      </c>
      <c r="BB980" s="153" t="n">
        <f aca="false">IFERROR(IF($N980="VCA",INDEX(APOIO_REDES!$A:$W,MATCH($C980&amp;$I980&amp;$H980&amp;$N980&amp;$O980,APOIO_REDES!$W:$W,0),MATCH(BB$5,APOIO_REDES!$5:$5,0)),0)*($AI980+$AQ980+$AR980),0)</f>
        <v>36.5137247936067</v>
      </c>
      <c r="BC980" s="153" t="n">
        <f aca="false">IFERROR(IF($N980="VCA",INDEX(APOIO_REDES!$A:$W,MATCH($C980&amp;$I980&amp;$H980&amp;$N980&amp;$O980,APOIO_REDES!$W:$W,0),MATCH(BC$5,APOIO_REDES!$5:$5,0)),0)*($AI980+$AQ980+$AR980),0)</f>
        <v>0.401650206393264</v>
      </c>
      <c r="BD980" s="153" t="n">
        <f aca="false">IF(AND($N980="VCA",$AF980&gt;=1.25,$AF980&lt;1.5),$M980*$AF980*2,0)</f>
        <v>279.251</v>
      </c>
      <c r="BE980" s="153" t="n">
        <f aca="false">IF(AND($N980="VCA",$AF980&gt;=1.5,$AF980&lt;3),$M980*$AF980*2,0)</f>
        <v>0</v>
      </c>
      <c r="BF980" s="153" t="n">
        <f aca="false">IF(AND($N980="VCA",$AF980&gt;=3),$M980*$AF980*2,0)</f>
        <v>0</v>
      </c>
      <c r="BG980" s="153" t="n">
        <f aca="false">($BB980+$BC980)*$AK980</f>
        <v>169.810725</v>
      </c>
      <c r="BH980" s="153" t="n">
        <f aca="false">IF(AND($M980&lt;&gt;"",$N980="VCA",$Q980="LINEAR"),($M980*2)/100,IF(AND($M980&lt;&gt;"",$N980="MND",$Q980="EMBOQUE"),($AN980*2)/100,0))</f>
        <v>2.009</v>
      </c>
      <c r="BI980" s="153" t="n">
        <f aca="false">IF(AND($M980&lt;&gt;"",$N980="VCA",$Q980="LINEAR"),$M980,IF(AND($M980&lt;&gt;"",$N980="MND",$Q980="EMBOQUE"),$AN980*2,0))</f>
        <v>100.45</v>
      </c>
      <c r="BJ980" s="153" t="n">
        <f aca="false">IF(AND($M980&lt;&gt;"",$N980="VCA",$Q980="LINEAR"),($M980*6.8)/100,IF(AND($M980&lt;&gt;"",$N980="MND",$Q980="EMBOQUE"),($AN980*2*6.8)/100,0))</f>
        <v>6.8306</v>
      </c>
      <c r="BK980" s="153" t="n">
        <f aca="false">IF(AND($M980&lt;&gt;"",$N980="VCA",$Q980="LINEAR"),($M980*2.5)/50,IF(AND($M980&lt;&gt;"",$N980="MND",$Q980="EMBOQUE"),($AN980*2*2.5)/50,0))</f>
        <v>5.0225</v>
      </c>
      <c r="BL980" s="157" t="str">
        <f aca="false">K980&amp;J980</f>
        <v>Zona09REDES</v>
      </c>
      <c r="BM980" s="152" t="s">
        <v>5109</v>
      </c>
      <c r="BN980" s="152" t="s">
        <v>1560</v>
      </c>
      <c r="BO980" s="152" t="s">
        <v>4004</v>
      </c>
      <c r="BP980" s="152" t="s">
        <v>5269</v>
      </c>
      <c r="BQ980" s="152" t="s">
        <v>5260</v>
      </c>
      <c r="BR980" s="152" t="s">
        <v>5270</v>
      </c>
      <c r="BS980" s="152" t="n">
        <v>203358.225</v>
      </c>
      <c r="BT980" s="152" t="n">
        <v>8236813.227</v>
      </c>
      <c r="BU980" s="152" t="n">
        <v>203272.253</v>
      </c>
      <c r="BV980" s="152" t="n">
        <v>8236865.181</v>
      </c>
      <c r="BW980" s="152" t="n">
        <v>-15.929983</v>
      </c>
      <c r="BX980" s="152" t="n">
        <v>-47.7710856</v>
      </c>
      <c r="BY980" s="152" t="s">
        <v>5269</v>
      </c>
    </row>
    <row r="981" customFormat="false" ht="13.8" hidden="false" customHeight="false" outlineLevel="0" collapsed="false">
      <c r="A981" s="149" t="n">
        <f aca="false">IF(C981&lt;&gt;"",ROW(A976),"")</f>
        <v>976</v>
      </c>
      <c r="B981" s="150" t="str">
        <f aca="false">HYPERLINK("https://www.google.com/maps/dir/-15.917302,-47.760003/-15.9301520,-47.7695453/data=!4m3!4m2!3e0!5i2")</f>
        <v>https://www.google.com/maps/dir/-15.917302,-47.760003/-15.9301520,-47.7695453/data=!4m3!4m2!3e0!5i2</v>
      </c>
      <c r="C981" s="151" t="s">
        <v>117</v>
      </c>
      <c r="D981" s="152" t="s">
        <v>112</v>
      </c>
      <c r="E981" s="152" t="s">
        <v>113</v>
      </c>
      <c r="F981" s="152" t="s">
        <v>117</v>
      </c>
      <c r="G981" s="152" t="s">
        <v>782</v>
      </c>
      <c r="H981" s="152" t="n">
        <v>90</v>
      </c>
      <c r="I981" s="152" t="s">
        <v>115</v>
      </c>
      <c r="J981" s="152" t="s">
        <v>6</v>
      </c>
      <c r="K981" s="152" t="s">
        <v>5106</v>
      </c>
      <c r="L981" s="152" t="s">
        <v>120</v>
      </c>
      <c r="M981" s="153" t="n">
        <f aca="false">122.1</f>
        <v>122.1</v>
      </c>
      <c r="N981" s="152" t="s">
        <v>1548</v>
      </c>
      <c r="O981" s="152" t="s">
        <v>1549</v>
      </c>
      <c r="P981" s="152" t="s">
        <v>1550</v>
      </c>
      <c r="Q981" s="152" t="s">
        <v>1551</v>
      </c>
      <c r="R981" s="154" t="s">
        <v>5271</v>
      </c>
      <c r="S981" s="154" t="s">
        <v>1593</v>
      </c>
      <c r="T981" s="155" t="s">
        <v>4002</v>
      </c>
      <c r="U981" s="152" t="str">
        <f aca="false">RIGHT(T981,7)</f>
        <v>015/037</v>
      </c>
      <c r="V981" s="152" t="s">
        <v>1555</v>
      </c>
      <c r="W981" s="156" t="n">
        <v>45882</v>
      </c>
      <c r="X981" s="152" t="s">
        <v>1594</v>
      </c>
      <c r="Y981" s="152" t="s">
        <v>2387</v>
      </c>
      <c r="Z981" s="152" t="s">
        <v>1557</v>
      </c>
      <c r="AA981" s="153" t="n">
        <v>4.5</v>
      </c>
      <c r="AB981" s="151" t="s">
        <v>5272</v>
      </c>
      <c r="AC981" s="151" t="s">
        <v>526</v>
      </c>
      <c r="AD981" s="151" t="str">
        <f aca="false">CONCATENATE($C981,$I981,$H981,$N981,$J981,$K981)</f>
        <v>TUBO PEADPEAD90VCAREDESZona09</v>
      </c>
      <c r="AE981" s="153" t="n">
        <f aca="false">IFERROR(INDEX(APOIO_REDES!$A:$W,MATCH($C981&amp;$I981&amp;$H981&amp;$N981&amp;$O981,APOIO_REDES!$W:$W,0),MATCH(AE$5,APOIO_REDES!$5:$5,0)),0)</f>
        <v>1.2</v>
      </c>
      <c r="AF981" s="153" t="n">
        <f aca="false">IFERROR(INDEX(APOIO_REDES!$A:$W,MATCH($C981&amp;$I981&amp;$H981&amp;$N981&amp;$O981,APOIO_REDES!$W:$W,0),MATCH(AF$5,APOIO_REDES!$5:$5,0)),0)</f>
        <v>1.39</v>
      </c>
      <c r="AG981" s="153" t="n">
        <f aca="false">IFERROR(INDEX(APOIO_REDES!$A:$W,MATCH($C981&amp;$I981&amp;$H981&amp;$N981&amp;$O981,APOIO_REDES!$W:$W,0),MATCH(AG$5,APOIO_REDES!$5:$5,0)),0)</f>
        <v>0.75</v>
      </c>
      <c r="AH981" s="153" t="n">
        <f aca="false">IFERROR(INDEX(APOIO_REDES!$A:$W,MATCH($C981&amp;$I981&amp;$H981&amp;$N981&amp;$O981,APOIO_REDES!$W:$W,0),MATCH(AH$5,APOIO_REDES!$5:$5,0)),0)</f>
        <v>0.1</v>
      </c>
      <c r="AI981" s="153" t="n">
        <f aca="false">IFERROR(IF($H981&lt;&gt;"",(((($H981/1000)/2)^2)*PI()*$M981),0),0)</f>
        <v>0.77676663758171</v>
      </c>
      <c r="AJ981" s="153" t="n">
        <f aca="false">IFERROR(IF(AND($H981&lt;&gt;"",$I981="FoFo",OR($N981="MND",$N981="VCA"),$Q981="LINEAR"),0,IF(AND($H981&lt;&gt;"",$I981="PEAD",$N981="VCA",$Q981="LINEAR"),($H981/1000)+0.3,IF(AND($H981&lt;&gt;"",$I981="PEAD",$N981="MND",$Q981="EMBOQUE"),0,IF(AND($H981&lt;&gt;"",$I981="PVC",$N981="VCA",$Q981="LINEAR"),($H981/1000)+0.2,IF(AND($H981&lt;&gt;"",$I981="PVC",$N981="MND",$Q981="EMBOQUE"),0,IF(AND($H981&lt;&gt;"",$I981="PEAD",$N981="VCA",$Q981="PREDIAL"),0,0)))))),0)</f>
        <v>0.39</v>
      </c>
      <c r="AK981" s="153" t="n">
        <f aca="false">IF(AA981&lt;&gt;"",AA981,0)</f>
        <v>4.5</v>
      </c>
      <c r="AL981" s="153" t="n">
        <f aca="false">IF(AND($N981="MND",$Q981="EMBOQUE"),$M981,IF(AND($N981="VCA",$Q981="LINEAR"),$M981,IF(AND($N981="VCA",$Q981="PREDIAL"),0,0)))</f>
        <v>122.1</v>
      </c>
      <c r="AM981" s="153" t="n">
        <f aca="false">IF(AND($N981="MND",$Q981="EMBOQUE"),$M981,IF(AND($N981="VCA",$Q981="LINEAR"),$M981,IF(AND($N981="VCA",$Q981="PREDIAL"),0,0)))</f>
        <v>122.1</v>
      </c>
      <c r="AN981" s="153" t="n">
        <f aca="false">ROUND(IF(AND($N981="VCA",$M981&lt;&gt;"",$Q981="LINEAR"),$M981/100,IF(AND($N981="MND",$M981&gt;100,$Q981="EMBOQUE"),$M981/100,0)),0)</f>
        <v>1</v>
      </c>
      <c r="AO981" s="153" t="n">
        <f aca="false">IF(AND($N981="MND",$Q981="EMBOQUE"),$AN981*2*2,IF(AND($N981="VCA",$Q981="LINEAR"),$M981*2,IF(AND($N981="VCA",$Q981="PREDIAL"),0,0)))</f>
        <v>244.2</v>
      </c>
      <c r="AP981" s="153" t="n">
        <f aca="false">IFERROR($M981*$AF981*$AG981,0)</f>
        <v>127.28925</v>
      </c>
      <c r="AQ981" s="153" t="n">
        <f aca="false">IFERROR(IF(AND($N981="VCA",$AH981&gt;0),$M981*$AG981*$AH981,0),0)</f>
        <v>9.1575</v>
      </c>
      <c r="AR981" s="153" t="n">
        <f aca="false">IFERROR(IF(AND($N981="VCA",$AJ981&gt;0),($M981*$AG981*$AJ981)-$AI981,0),0)</f>
        <v>34.9374833624183</v>
      </c>
      <c r="AS981" s="153" t="n">
        <f aca="false">IFERROR(IF(AND($N981="VCA",$AP981&gt;0),$AP981-$AI981-$AQ981-$AR981,0),0)</f>
        <v>82.4175</v>
      </c>
      <c r="AT981" s="153" t="n">
        <f aca="false">IFERROR(IF($N981="VCA",INDEX(APOIO_REDES!$A:$W,MATCH($C981&amp;$I981&amp;$H981&amp;$N981&amp;$O981,APOIO_REDES!$W:$W,0),MATCH(AT$5,APOIO_REDES!$5:$5,0)),0)*$AP981,0)</f>
        <v>1.38494471569485</v>
      </c>
      <c r="AU981" s="153" t="n">
        <f aca="false">IFERROR(IF($N981="VCA",INDEX(APOIO_REDES!$A:$W,MATCH($C981&amp;$I981&amp;$H981&amp;$N981&amp;$O981,APOIO_REDES!$W:$W,0),MATCH(AU$5,APOIO_REDES!$5:$5,0)),0)*$AP981,0)</f>
        <v>1.10597934089409</v>
      </c>
      <c r="AV981" s="153" t="n">
        <f aca="false">IFERROR(IF($N981="VCA",INDEX(APOIO_REDES!$A:$W,MATCH($C981&amp;$I981&amp;$H981&amp;$N981&amp;$O981,APOIO_REDES!$W:$W,0),MATCH(AV$5,APOIO_REDES!$5:$5,0)),0)*$AP981,0)</f>
        <v>0.1530588585015</v>
      </c>
      <c r="AW981" s="153" t="n">
        <f aca="false">IFERROR(IF($N981="VCA",INDEX(APOIO_REDES!$A:$W,MATCH($C981&amp;$I981&amp;$H981&amp;$N981&amp;$O981,APOIO_REDES!$W:$W,0),MATCH(AW$5,APOIO_REDES!$5:$5,0)),0)*$AP981,0)</f>
        <v>87.3723274852374</v>
      </c>
      <c r="AX981" s="153" t="n">
        <f aca="false">IFERROR(IF($N981="VCA",INDEX(APOIO_REDES!$A:$W,MATCH($C981&amp;$I981&amp;$H981&amp;$N981&amp;$O981,APOIO_REDES!$W:$W,0),MATCH(AX$5,APOIO_REDES!$5:$5,0)),0)*$AP981,0)</f>
        <v>12.0920812391709</v>
      </c>
      <c r="AY981" s="153" t="n">
        <f aca="false">IFERROR(IF($N981="VCA",INDEX(APOIO_REDES!$A:$W,MATCH($C981&amp;$I981&amp;$H981&amp;$N981&amp;$O981,APOIO_REDES!$W:$W,0),MATCH(AY$5,APOIO_REDES!$5:$5,0)),0)*$AP981,0)</f>
        <v>22.1195733360832</v>
      </c>
      <c r="AZ981" s="153" t="n">
        <f aca="false">IFERROR(IF($N981="VCA",INDEX(APOIO_REDES!$A:$W,MATCH($C981&amp;$I981&amp;$H981&amp;$N981&amp;$O981,APOIO_REDES!$W:$W,0),MATCH(AZ$5,APOIO_REDES!$5:$5,0)),0)*$AP981,0)</f>
        <v>3.0612850244181</v>
      </c>
      <c r="BA981" s="153" t="n">
        <f aca="false">IFERROR(IF(AND($N981="VCA",$Q981="LINEAR"),INDEX(APOIO_REDES!$A:$W,MATCH($C981&amp;$I981&amp;$H981&amp;$N981&amp;$O981,APOIO_REDES!$W:$W,0),MATCH(BA$5,APOIO_REDES!$5:$5,0)),IF(AND($N981="MND",$Q981="EMBOQUE"),INDEX(APOIO_REDES!$A:$W,MATCH($C981&amp;$I981&amp;$H981&amp;$N981&amp;$O981,APOIO_REDES!$W:$W,0),MATCH(BA$5,APOIO_REDES!$5:$5,0)),0))*$M981/10,0)</f>
        <v>9.84095201249117</v>
      </c>
      <c r="BB981" s="153" t="n">
        <f aca="false">IFERROR(IF($N981="VCA",INDEX(APOIO_REDES!$A:$W,MATCH($C981&amp;$I981&amp;$H981&amp;$N981&amp;$O981,APOIO_REDES!$W:$W,0),MATCH(BB$5,APOIO_REDES!$5:$5,0)),0)*($AI981+$AQ981+$AR981),0)</f>
        <v>44.3835320786399</v>
      </c>
      <c r="BC981" s="153" t="n">
        <f aca="false">IFERROR(IF($N981="VCA",INDEX(APOIO_REDES!$A:$W,MATCH($C981&amp;$I981&amp;$H981&amp;$N981&amp;$O981,APOIO_REDES!$W:$W,0),MATCH(BC$5,APOIO_REDES!$5:$5,0)),0)*($AI981+$AQ981+$AR981),0)</f>
        <v>0.488217921360054</v>
      </c>
      <c r="BD981" s="153" t="n">
        <f aca="false">IF(AND($N981="VCA",$AF981&gt;=1.25,$AF981&lt;1.5),$M981*$AF981*2,0)</f>
        <v>339.438</v>
      </c>
      <c r="BE981" s="153" t="n">
        <f aca="false">IF(AND($N981="VCA",$AF981&gt;=1.5,$AF981&lt;3),$M981*$AF981*2,0)</f>
        <v>0</v>
      </c>
      <c r="BF981" s="153" t="n">
        <f aca="false">IF(AND($N981="VCA",$AF981&gt;=3),$M981*$AF981*2,0)</f>
        <v>0</v>
      </c>
      <c r="BG981" s="153" t="n">
        <f aca="false">($BB981+$BC981)*$AK981</f>
        <v>201.922875</v>
      </c>
      <c r="BH981" s="153" t="n">
        <f aca="false">IF(AND($M981&lt;&gt;"",$N981="VCA",$Q981="LINEAR"),($M981*2)/100,IF(AND($M981&lt;&gt;"",$N981="MND",$Q981="EMBOQUE"),($AN981*2)/100,0))</f>
        <v>2.442</v>
      </c>
      <c r="BI981" s="153" t="n">
        <f aca="false">IF(AND($M981&lt;&gt;"",$N981="VCA",$Q981="LINEAR"),$M981,IF(AND($M981&lt;&gt;"",$N981="MND",$Q981="EMBOQUE"),$AN981*2,0))</f>
        <v>122.1</v>
      </c>
      <c r="BJ981" s="153" t="n">
        <f aca="false">IF(AND($M981&lt;&gt;"",$N981="VCA",$Q981="LINEAR"),($M981*6.8)/100,IF(AND($M981&lt;&gt;"",$N981="MND",$Q981="EMBOQUE"),($AN981*2*6.8)/100,0))</f>
        <v>8.3028</v>
      </c>
      <c r="BK981" s="153" t="n">
        <f aca="false">IF(AND($M981&lt;&gt;"",$N981="VCA",$Q981="LINEAR"),($M981*2.5)/50,IF(AND($M981&lt;&gt;"",$N981="MND",$Q981="EMBOQUE"),($AN981*2*2.5)/50,0))</f>
        <v>6.105</v>
      </c>
      <c r="BL981" s="157" t="str">
        <f aca="false">K981&amp;J981</f>
        <v>Zona09REDES</v>
      </c>
      <c r="BM981" s="152" t="s">
        <v>5109</v>
      </c>
      <c r="BN981" s="152" t="s">
        <v>1560</v>
      </c>
      <c r="BO981" s="152" t="s">
        <v>4004</v>
      </c>
      <c r="BP981" s="152" t="s">
        <v>5273</v>
      </c>
      <c r="BQ981" s="152" t="s">
        <v>5274</v>
      </c>
      <c r="BR981" s="152" t="s">
        <v>5275</v>
      </c>
      <c r="BS981" s="152" t="n">
        <v>203480.525</v>
      </c>
      <c r="BT981" s="152" t="n">
        <v>8236822.719</v>
      </c>
      <c r="BU981" s="152" t="n">
        <v>203359.329</v>
      </c>
      <c r="BV981" s="152" t="n">
        <v>8236809.807</v>
      </c>
      <c r="BW981" s="152" t="n">
        <v>-15.9302275</v>
      </c>
      <c r="BX981" s="152" t="n">
        <v>-47.7701097</v>
      </c>
      <c r="BY981" s="152" t="s">
        <v>5273</v>
      </c>
    </row>
    <row r="982" customFormat="false" ht="13.8" hidden="false" customHeight="false" outlineLevel="0" collapsed="false">
      <c r="A982" s="149" t="n">
        <f aca="false">IF(C982&lt;&gt;"",ROW(A977),"")</f>
        <v>977</v>
      </c>
      <c r="B982" s="150" t="str">
        <f aca="false">HYPERLINK("https://www.google.com/maps/dir/-15.917302,-47.760003/-15.9302269,-47.7706737/data=!4m3!4m2!3e0!5i2")</f>
        <v>https://www.google.com/maps/dir/-15.917302,-47.760003/-15.9302269,-47.7706737/data=!4m3!4m2!3e0!5i2</v>
      </c>
      <c r="C982" s="151" t="s">
        <v>117</v>
      </c>
      <c r="D982" s="152" t="s">
        <v>112</v>
      </c>
      <c r="E982" s="152" t="s">
        <v>113</v>
      </c>
      <c r="F982" s="152" t="s">
        <v>117</v>
      </c>
      <c r="G982" s="152" t="s">
        <v>782</v>
      </c>
      <c r="H982" s="152" t="n">
        <v>90</v>
      </c>
      <c r="I982" s="152" t="s">
        <v>115</v>
      </c>
      <c r="J982" s="152" t="s">
        <v>6</v>
      </c>
      <c r="K982" s="152" t="s">
        <v>5106</v>
      </c>
      <c r="L982" s="152" t="s">
        <v>120</v>
      </c>
      <c r="M982" s="153" t="n">
        <f aca="false">1.57</f>
        <v>1.57</v>
      </c>
      <c r="N982" s="152" t="s">
        <v>1548</v>
      </c>
      <c r="O982" s="152" t="s">
        <v>1549</v>
      </c>
      <c r="P982" s="152" t="s">
        <v>1550</v>
      </c>
      <c r="Q982" s="152" t="s">
        <v>1551</v>
      </c>
      <c r="R982" s="154" t="s">
        <v>5276</v>
      </c>
      <c r="S982" s="154" t="s">
        <v>1593</v>
      </c>
      <c r="T982" s="155" t="s">
        <v>4002</v>
      </c>
      <c r="U982" s="152" t="str">
        <f aca="false">RIGHT(T982,7)</f>
        <v>015/037</v>
      </c>
      <c r="V982" s="152" t="s">
        <v>1555</v>
      </c>
      <c r="W982" s="156" t="n">
        <v>45882</v>
      </c>
      <c r="X982" s="152" t="s">
        <v>1594</v>
      </c>
      <c r="Y982" s="152" t="s">
        <v>5267</v>
      </c>
      <c r="Z982" s="152" t="s">
        <v>1557</v>
      </c>
      <c r="AA982" s="153" t="n">
        <v>4.6</v>
      </c>
      <c r="AB982" s="151" t="s">
        <v>5277</v>
      </c>
      <c r="AC982" s="151" t="s">
        <v>526</v>
      </c>
      <c r="AD982" s="151" t="str">
        <f aca="false">CONCATENATE($C982,$I982,$H982,$N982,$J982,$K982)</f>
        <v>TUBO PEADPEAD90VCAREDESZona09</v>
      </c>
      <c r="AE982" s="153" t="n">
        <f aca="false">IFERROR(INDEX(APOIO_REDES!$A:$W,MATCH($C982&amp;$I982&amp;$H982&amp;$N982&amp;$O982,APOIO_REDES!$W:$W,0),MATCH(AE$5,APOIO_REDES!$5:$5,0)),0)</f>
        <v>1.2</v>
      </c>
      <c r="AF982" s="153" t="n">
        <f aca="false">IFERROR(INDEX(APOIO_REDES!$A:$W,MATCH($C982&amp;$I982&amp;$H982&amp;$N982&amp;$O982,APOIO_REDES!$W:$W,0),MATCH(AF$5,APOIO_REDES!$5:$5,0)),0)</f>
        <v>1.39</v>
      </c>
      <c r="AG982" s="153" t="n">
        <f aca="false">IFERROR(INDEX(APOIO_REDES!$A:$W,MATCH($C982&amp;$I982&amp;$H982&amp;$N982&amp;$O982,APOIO_REDES!$W:$W,0),MATCH(AG$5,APOIO_REDES!$5:$5,0)),0)</f>
        <v>0.75</v>
      </c>
      <c r="AH982" s="153" t="n">
        <f aca="false">IFERROR(INDEX(APOIO_REDES!$A:$W,MATCH($C982&amp;$I982&amp;$H982&amp;$N982&amp;$O982,APOIO_REDES!$W:$W,0),MATCH(AH$5,APOIO_REDES!$5:$5,0)),0)</f>
        <v>0.1</v>
      </c>
      <c r="AI982" s="153" t="n">
        <f aca="false">IFERROR(IF($H982&lt;&gt;"",(((($H982/1000)/2)^2)*PI()*$M982),0),0)</f>
        <v>0.00998790844392535</v>
      </c>
      <c r="AJ982" s="153" t="n">
        <f aca="false">IFERROR(IF(AND($H982&lt;&gt;"",$I982="FoFo",OR($N982="MND",$N982="VCA"),$Q982="LINEAR"),0,IF(AND($H982&lt;&gt;"",$I982="PEAD",$N982="VCA",$Q982="LINEAR"),($H982/1000)+0.3,IF(AND($H982&lt;&gt;"",$I982="PEAD",$N982="MND",$Q982="EMBOQUE"),0,IF(AND($H982&lt;&gt;"",$I982="PVC",$N982="VCA",$Q982="LINEAR"),($H982/1000)+0.2,IF(AND($H982&lt;&gt;"",$I982="PVC",$N982="MND",$Q982="EMBOQUE"),0,IF(AND($H982&lt;&gt;"",$I982="PEAD",$N982="VCA",$Q982="PREDIAL"),0,0)))))),0)</f>
        <v>0.39</v>
      </c>
      <c r="AK982" s="153" t="n">
        <f aca="false">IF(AA982&lt;&gt;"",AA982,0)</f>
        <v>4.6</v>
      </c>
      <c r="AL982" s="153" t="n">
        <f aca="false">IF(AND($N982="MND",$Q982="EMBOQUE"),$M982,IF(AND($N982="VCA",$Q982="LINEAR"),$M982,IF(AND($N982="VCA",$Q982="PREDIAL"),0,0)))</f>
        <v>1.57</v>
      </c>
      <c r="AM982" s="153" t="n">
        <f aca="false">IF(AND($N982="MND",$Q982="EMBOQUE"),$M982,IF(AND($N982="VCA",$Q982="LINEAR"),$M982,IF(AND($N982="VCA",$Q982="PREDIAL"),0,0)))</f>
        <v>1.57</v>
      </c>
      <c r="AN982" s="153" t="n">
        <f aca="false">ROUND(IF(AND($N982="VCA",$M982&lt;&gt;"",$Q982="LINEAR"),$M982/100,IF(AND($N982="MND",$M982&gt;100,$Q982="EMBOQUE"),$M982/100,0)),0)</f>
        <v>0</v>
      </c>
      <c r="AO982" s="153" t="n">
        <f aca="false">IF(AND($N982="MND",$Q982="EMBOQUE"),$AN982*2*2,IF(AND($N982="VCA",$Q982="LINEAR"),$M982*2,IF(AND($N982="VCA",$Q982="PREDIAL"),0,0)))</f>
        <v>3.14</v>
      </c>
      <c r="AP982" s="153" t="n">
        <f aca="false">IFERROR($M982*$AF982*$AG982,0)</f>
        <v>1.636725</v>
      </c>
      <c r="AQ982" s="153" t="n">
        <f aca="false">IFERROR(IF(AND($N982="VCA",$AH982&gt;0),$M982*$AG982*$AH982,0),0)</f>
        <v>0.11775</v>
      </c>
      <c r="AR982" s="153" t="n">
        <f aca="false">IFERROR(IF(AND($N982="VCA",$AJ982&gt;0),($M982*$AG982*$AJ982)-$AI982,0),0)</f>
        <v>0.449237091556075</v>
      </c>
      <c r="AS982" s="153" t="n">
        <f aca="false">IFERROR(IF(AND($N982="VCA",$AP982&gt;0),$AP982-$AI982-$AQ982-$AR982,0),0)</f>
        <v>1.05975</v>
      </c>
      <c r="AT982" s="153" t="n">
        <f aca="false">IFERROR(IF($N982="VCA",INDEX(APOIO_REDES!$A:$W,MATCH($C982&amp;$I982&amp;$H982&amp;$N982&amp;$O982,APOIO_REDES!$W:$W,0),MATCH(AT$5,APOIO_REDES!$5:$5,0)),0)*$AP982,0)</f>
        <v>0.0178080524458715</v>
      </c>
      <c r="AU982" s="153" t="n">
        <f aca="false">IFERROR(IF($N982="VCA",INDEX(APOIO_REDES!$A:$W,MATCH($C982&amp;$I982&amp;$H982&amp;$N982&amp;$O982,APOIO_REDES!$W:$W,0),MATCH(AU$5,APOIO_REDES!$5:$5,0)),0)*$AP982,0)</f>
        <v>0.0142210283800468</v>
      </c>
      <c r="AV982" s="153" t="n">
        <f aca="false">IFERROR(IF($N982="VCA",INDEX(APOIO_REDES!$A:$W,MATCH($C982&amp;$I982&amp;$H982&amp;$N982&amp;$O982,APOIO_REDES!$W:$W,0),MATCH(AV$5,APOIO_REDES!$5:$5,0)),0)*$AP982,0)</f>
        <v>0.00196807868834853</v>
      </c>
      <c r="AW982" s="153" t="n">
        <f aca="false">IFERROR(IF($N982="VCA",INDEX(APOIO_REDES!$A:$W,MATCH($C982&amp;$I982&amp;$H982&amp;$N982&amp;$O982,APOIO_REDES!$W:$W,0),MATCH(AW$5,APOIO_REDES!$5:$5,0)),0)*$AP982,0)</f>
        <v>1.12346072196415</v>
      </c>
      <c r="AX982" s="153" t="n">
        <f aca="false">IFERROR(IF($N982="VCA",INDEX(APOIO_REDES!$A:$W,MATCH($C982&amp;$I982&amp;$H982&amp;$N982&amp;$O982,APOIO_REDES!$W:$W,0),MATCH(AX$5,APOIO_REDES!$5:$5,0)),0)*$AP982,0)</f>
        <v>0.155483763681395</v>
      </c>
      <c r="AY982" s="153" t="n">
        <f aca="false">IFERROR(IF($N982="VCA",INDEX(APOIO_REDES!$A:$W,MATCH($C982&amp;$I982&amp;$H982&amp;$N982&amp;$O982,APOIO_REDES!$W:$W,0),MATCH(AY$5,APOIO_REDES!$5:$5,0)),0)*$AP982,0)</f>
        <v>0.284420394247753</v>
      </c>
      <c r="AZ982" s="153" t="n">
        <f aca="false">IFERROR(IF($N982="VCA",INDEX(APOIO_REDES!$A:$W,MATCH($C982&amp;$I982&amp;$H982&amp;$N982&amp;$O982,APOIO_REDES!$W:$W,0),MATCH(AZ$5,APOIO_REDES!$5:$5,0)),0)*$AP982,0)</f>
        <v>0.0393629605924358</v>
      </c>
      <c r="BA982" s="153" t="n">
        <f aca="false">IFERROR(IF(AND($N982="VCA",$Q982="LINEAR"),INDEX(APOIO_REDES!$A:$W,MATCH($C982&amp;$I982&amp;$H982&amp;$N982&amp;$O982,APOIO_REDES!$W:$W,0),MATCH(BA$5,APOIO_REDES!$5:$5,0)),IF(AND($N982="MND",$Q982="EMBOQUE"),INDEX(APOIO_REDES!$A:$W,MATCH($C982&amp;$I982&amp;$H982&amp;$N982&amp;$O982,APOIO_REDES!$W:$W,0),MATCH(BA$5,APOIO_REDES!$5:$5,0)),0))*$M982/10,0)</f>
        <v>0.126538039800255</v>
      </c>
      <c r="BB982" s="153" t="n">
        <f aca="false">IFERROR(IF($N982="VCA",INDEX(APOIO_REDES!$A:$W,MATCH($C982&amp;$I982&amp;$H982&amp;$N982&amp;$O982,APOIO_REDES!$W:$W,0),MATCH(BB$5,APOIO_REDES!$5:$5,0)),0)*($AI982+$AQ982+$AR982),0)</f>
        <v>0.570697341224117</v>
      </c>
      <c r="BC982" s="153" t="n">
        <f aca="false">IFERROR(IF($N982="VCA",INDEX(APOIO_REDES!$A:$W,MATCH($C982&amp;$I982&amp;$H982&amp;$N982&amp;$O982,APOIO_REDES!$W:$W,0),MATCH(BC$5,APOIO_REDES!$5:$5,0)),0)*($AI982+$AQ982+$AR982),0)</f>
        <v>0.00627765877588276</v>
      </c>
      <c r="BD982" s="153" t="n">
        <f aca="false">IF(AND($N982="VCA",$AF982&gt;=1.25,$AF982&lt;1.5),$M982*$AF982*2,0)</f>
        <v>4.3646</v>
      </c>
      <c r="BE982" s="153" t="n">
        <f aca="false">IF(AND($N982="VCA",$AF982&gt;=1.5,$AF982&lt;3),$M982*$AF982*2,0)</f>
        <v>0</v>
      </c>
      <c r="BF982" s="153" t="n">
        <f aca="false">IF(AND($N982="VCA",$AF982&gt;=3),$M982*$AF982*2,0)</f>
        <v>0</v>
      </c>
      <c r="BG982" s="153" t="n">
        <f aca="false">($BB982+$BC982)*$AK982</f>
        <v>2.654085</v>
      </c>
      <c r="BH982" s="153" t="n">
        <f aca="false">IF(AND($M982&lt;&gt;"",$N982="VCA",$Q982="LINEAR"),($M982*2)/100,IF(AND($M982&lt;&gt;"",$N982="MND",$Q982="EMBOQUE"),($AN982*2)/100,0))</f>
        <v>0.0314</v>
      </c>
      <c r="BI982" s="153" t="n">
        <f aca="false">IF(AND($M982&lt;&gt;"",$N982="VCA",$Q982="LINEAR"),$M982,IF(AND($M982&lt;&gt;"",$N982="MND",$Q982="EMBOQUE"),$AN982*2,0))</f>
        <v>1.57</v>
      </c>
      <c r="BJ982" s="153" t="n">
        <f aca="false">IF(AND($M982&lt;&gt;"",$N982="VCA",$Q982="LINEAR"),($M982*6.8)/100,IF(AND($M982&lt;&gt;"",$N982="MND",$Q982="EMBOQUE"),($AN982*2*6.8)/100,0))</f>
        <v>0.10676</v>
      </c>
      <c r="BK982" s="153" t="n">
        <f aca="false">IF(AND($M982&lt;&gt;"",$N982="VCA",$Q982="LINEAR"),($M982*2.5)/50,IF(AND($M982&lt;&gt;"",$N982="MND",$Q982="EMBOQUE"),($AN982*2*2.5)/50,0))</f>
        <v>0.0785</v>
      </c>
      <c r="BL982" s="157" t="str">
        <f aca="false">K982&amp;J982</f>
        <v>Zona09REDES</v>
      </c>
      <c r="BM982" s="152" t="s">
        <v>5109</v>
      </c>
      <c r="BN982" s="152" t="s">
        <v>1560</v>
      </c>
      <c r="BO982" s="152" t="s">
        <v>4004</v>
      </c>
      <c r="BP982" s="152" t="s">
        <v>5278</v>
      </c>
      <c r="BQ982" s="152" t="s">
        <v>5269</v>
      </c>
      <c r="BR982" s="152" t="s">
        <v>5275</v>
      </c>
      <c r="BS982" s="152" t="n">
        <v>203359.746</v>
      </c>
      <c r="BT982" s="152" t="n">
        <v>8236812.822</v>
      </c>
      <c r="BU982" s="152" t="n">
        <v>203358.225</v>
      </c>
      <c r="BV982" s="152" t="n">
        <v>8236813.227</v>
      </c>
      <c r="BW982" s="152" t="n">
        <v>-15.930225</v>
      </c>
      <c r="BX982" s="152" t="n">
        <v>-47.7706807</v>
      </c>
      <c r="BY982" s="152" t="s">
        <v>5278</v>
      </c>
    </row>
    <row r="983" customFormat="false" ht="13.8" hidden="false" customHeight="false" outlineLevel="0" collapsed="false">
      <c r="A983" s="149" t="n">
        <f aca="false">IF(C983&lt;&gt;"",ROW(A978),"")</f>
        <v>978</v>
      </c>
      <c r="B983" s="150" t="str">
        <f aca="false">HYPERLINK("https://www.google.com/maps/dir/-15.917302,-47.760003/-15.9302541,-47.7706779/data=!4m3!4m2!3e0!5i2")</f>
        <v>https://www.google.com/maps/dir/-15.917302,-47.760003/-15.9302541,-47.7706779/data=!4m3!4m2!3e0!5i2</v>
      </c>
      <c r="C983" s="151" t="s">
        <v>117</v>
      </c>
      <c r="D983" s="152" t="s">
        <v>112</v>
      </c>
      <c r="E983" s="152" t="s">
        <v>113</v>
      </c>
      <c r="F983" s="152" t="s">
        <v>117</v>
      </c>
      <c r="G983" s="152" t="s">
        <v>782</v>
      </c>
      <c r="H983" s="152" t="n">
        <v>90</v>
      </c>
      <c r="I983" s="152" t="s">
        <v>115</v>
      </c>
      <c r="J983" s="152" t="s">
        <v>6</v>
      </c>
      <c r="K983" s="152" t="s">
        <v>5106</v>
      </c>
      <c r="L983" s="152" t="s">
        <v>120</v>
      </c>
      <c r="M983" s="153" t="n">
        <f aca="false">3.04</f>
        <v>3.04</v>
      </c>
      <c r="N983" s="152" t="s">
        <v>1548</v>
      </c>
      <c r="O983" s="152" t="s">
        <v>1549</v>
      </c>
      <c r="P983" s="152" t="s">
        <v>1550</v>
      </c>
      <c r="Q983" s="152" t="s">
        <v>1551</v>
      </c>
      <c r="R983" s="154" t="s">
        <v>5279</v>
      </c>
      <c r="S983" s="154" t="s">
        <v>1593</v>
      </c>
      <c r="T983" s="155" t="s">
        <v>4002</v>
      </c>
      <c r="U983" s="152" t="str">
        <f aca="false">RIGHT(T983,7)</f>
        <v>015/037</v>
      </c>
      <c r="V983" s="152" t="s">
        <v>1555</v>
      </c>
      <c r="W983" s="156" t="n">
        <v>45882</v>
      </c>
      <c r="X983" s="152" t="s">
        <v>1594</v>
      </c>
      <c r="Y983" s="152" t="s">
        <v>5267</v>
      </c>
      <c r="Z983" s="152" t="s">
        <v>1557</v>
      </c>
      <c r="AA983" s="153" t="n">
        <v>4.6</v>
      </c>
      <c r="AB983" s="151" t="s">
        <v>5280</v>
      </c>
      <c r="AC983" s="151" t="s">
        <v>526</v>
      </c>
      <c r="AD983" s="151" t="str">
        <f aca="false">CONCATENATE($C983,$I983,$H983,$N983,$J983,$K983)</f>
        <v>TUBO PEADPEAD90VCAREDESZona09</v>
      </c>
      <c r="AE983" s="153" t="n">
        <f aca="false">IFERROR(INDEX(APOIO_REDES!$A:$W,MATCH($C983&amp;$I983&amp;$H983&amp;$N983&amp;$O983,APOIO_REDES!$W:$W,0),MATCH(AE$5,APOIO_REDES!$5:$5,0)),0)</f>
        <v>1.2</v>
      </c>
      <c r="AF983" s="153" t="n">
        <f aca="false">IFERROR(INDEX(APOIO_REDES!$A:$W,MATCH($C983&amp;$I983&amp;$H983&amp;$N983&amp;$O983,APOIO_REDES!$W:$W,0),MATCH(AF$5,APOIO_REDES!$5:$5,0)),0)</f>
        <v>1.39</v>
      </c>
      <c r="AG983" s="153" t="n">
        <f aca="false">IFERROR(INDEX(APOIO_REDES!$A:$W,MATCH($C983&amp;$I983&amp;$H983&amp;$N983&amp;$O983,APOIO_REDES!$W:$W,0),MATCH(AG$5,APOIO_REDES!$5:$5,0)),0)</f>
        <v>0.75</v>
      </c>
      <c r="AH983" s="153" t="n">
        <f aca="false">IFERROR(INDEX(APOIO_REDES!$A:$W,MATCH($C983&amp;$I983&amp;$H983&amp;$N983&amp;$O983,APOIO_REDES!$W:$W,0),MATCH(AH$5,APOIO_REDES!$5:$5,0)),0)</f>
        <v>0.1</v>
      </c>
      <c r="AI983" s="153" t="n">
        <f aca="false">IFERROR(IF($H983&lt;&gt;"",(((($H983/1000)/2)^2)*PI()*$M983),0),0)</f>
        <v>0.0193396443754988</v>
      </c>
      <c r="AJ983" s="153" t="n">
        <f aca="false">IFERROR(IF(AND($H983&lt;&gt;"",$I983="FoFo",OR($N983="MND",$N983="VCA"),$Q983="LINEAR"),0,IF(AND($H983&lt;&gt;"",$I983="PEAD",$N983="VCA",$Q983="LINEAR"),($H983/1000)+0.3,IF(AND($H983&lt;&gt;"",$I983="PEAD",$N983="MND",$Q983="EMBOQUE"),0,IF(AND($H983&lt;&gt;"",$I983="PVC",$N983="VCA",$Q983="LINEAR"),($H983/1000)+0.2,IF(AND($H983&lt;&gt;"",$I983="PVC",$N983="MND",$Q983="EMBOQUE"),0,IF(AND($H983&lt;&gt;"",$I983="PEAD",$N983="VCA",$Q983="PREDIAL"),0,0)))))),0)</f>
        <v>0.39</v>
      </c>
      <c r="AK983" s="153" t="n">
        <f aca="false">IF(AA983&lt;&gt;"",AA983,0)</f>
        <v>4.6</v>
      </c>
      <c r="AL983" s="153" t="n">
        <f aca="false">IF(AND($N983="MND",$Q983="EMBOQUE"),$M983,IF(AND($N983="VCA",$Q983="LINEAR"),$M983,IF(AND($N983="VCA",$Q983="PREDIAL"),0,0)))</f>
        <v>3.04</v>
      </c>
      <c r="AM983" s="153" t="n">
        <f aca="false">IF(AND($N983="MND",$Q983="EMBOQUE"),$M983,IF(AND($N983="VCA",$Q983="LINEAR"),$M983,IF(AND($N983="VCA",$Q983="PREDIAL"),0,0)))</f>
        <v>3.04</v>
      </c>
      <c r="AN983" s="153" t="n">
        <f aca="false">ROUND(IF(AND($N983="VCA",$M983&lt;&gt;"",$Q983="LINEAR"),$M983/100,IF(AND($N983="MND",$M983&gt;100,$Q983="EMBOQUE"),$M983/100,0)),0)</f>
        <v>0</v>
      </c>
      <c r="AO983" s="153" t="n">
        <f aca="false">IF(AND($N983="MND",$Q983="EMBOQUE"),$AN983*2*2,IF(AND($N983="VCA",$Q983="LINEAR"),$M983*2,IF(AND($N983="VCA",$Q983="PREDIAL"),0,0)))</f>
        <v>6.08</v>
      </c>
      <c r="AP983" s="153" t="n">
        <f aca="false">IFERROR($M983*$AF983*$AG983,0)</f>
        <v>3.1692</v>
      </c>
      <c r="AQ983" s="153" t="n">
        <f aca="false">IFERROR(IF(AND($N983="VCA",$AH983&gt;0),$M983*$AG983*$AH983,0),0)</f>
        <v>0.228</v>
      </c>
      <c r="AR983" s="153" t="n">
        <f aca="false">IFERROR(IF(AND($N983="VCA",$AJ983&gt;0),($M983*$AG983*$AJ983)-$AI983,0),0)</f>
        <v>0.869860355624501</v>
      </c>
      <c r="AS983" s="153" t="n">
        <f aca="false">IFERROR(IF(AND($N983="VCA",$AP983&gt;0),$AP983-$AI983-$AQ983-$AR983,0),0)</f>
        <v>2.052</v>
      </c>
      <c r="AT983" s="153" t="n">
        <f aca="false">IFERROR(IF($N983="VCA",INDEX(APOIO_REDES!$A:$W,MATCH($C983&amp;$I983&amp;$H983&amp;$N983&amp;$O983,APOIO_REDES!$W:$W,0),MATCH(AT$5,APOIO_REDES!$5:$5,0)),0)*$AP983,0)</f>
        <v>0.0344818340353181</v>
      </c>
      <c r="AU983" s="153" t="n">
        <f aca="false">IFERROR(IF($N983="VCA",INDEX(APOIO_REDES!$A:$W,MATCH($C983&amp;$I983&amp;$H983&amp;$N983&amp;$O983,APOIO_REDES!$W:$W,0),MATCH(AU$5,APOIO_REDES!$5:$5,0)),0)*$AP983,0)</f>
        <v>0.0275362587741034</v>
      </c>
      <c r="AV983" s="153" t="n">
        <f aca="false">IFERROR(IF($N983="VCA",INDEX(APOIO_REDES!$A:$W,MATCH($C983&amp;$I983&amp;$H983&amp;$N983&amp;$O983,APOIO_REDES!$W:$W,0),MATCH(AV$5,APOIO_REDES!$5:$5,0)),0)*$AP983,0)</f>
        <v>0.003810802046229</v>
      </c>
      <c r="AW983" s="153" t="n">
        <f aca="false">IFERROR(IF($N983="VCA",INDEX(APOIO_REDES!$A:$W,MATCH($C983&amp;$I983&amp;$H983&amp;$N983&amp;$O983,APOIO_REDES!$W:$W,0),MATCH(AW$5,APOIO_REDES!$5:$5,0)),0)*$AP983,0)</f>
        <v>2.17536343615988</v>
      </c>
      <c r="AX983" s="153" t="n">
        <f aca="false">IFERROR(IF($N983="VCA",INDEX(APOIO_REDES!$A:$W,MATCH($C983&amp;$I983&amp;$H983&amp;$N983&amp;$O983,APOIO_REDES!$W:$W,0),MATCH(AX$5,APOIO_REDES!$5:$5,0)),0)*$AP983,0)</f>
        <v>0.301064102924484</v>
      </c>
      <c r="AY983" s="153" t="n">
        <f aca="false">IFERROR(IF($N983="VCA",INDEX(APOIO_REDES!$A:$W,MATCH($C983&amp;$I983&amp;$H983&amp;$N983&amp;$O983,APOIO_REDES!$W:$W,0),MATCH(AY$5,APOIO_REDES!$5:$5,0)),0)*$AP983,0)</f>
        <v>0.550724839817306</v>
      </c>
      <c r="AZ983" s="153" t="n">
        <f aca="false">IFERROR(IF($N983="VCA",INDEX(APOIO_REDES!$A:$W,MATCH($C983&amp;$I983&amp;$H983&amp;$N983&amp;$O983,APOIO_REDES!$W:$W,0),MATCH(AZ$5,APOIO_REDES!$5:$5,0)),0)*$AP983,0)</f>
        <v>0.0762187262426783</v>
      </c>
      <c r="BA983" s="153" t="n">
        <f aca="false">IFERROR(IF(AND($N983="VCA",$Q983="LINEAR"),INDEX(APOIO_REDES!$A:$W,MATCH($C983&amp;$I983&amp;$H983&amp;$N983&amp;$O983,APOIO_REDES!$W:$W,0),MATCH(BA$5,APOIO_REDES!$5:$5,0)),IF(AND($N983="MND",$Q983="EMBOQUE"),INDEX(APOIO_REDES!$A:$W,MATCH($C983&amp;$I983&amp;$H983&amp;$N983&amp;$O983,APOIO_REDES!$W:$W,0),MATCH(BA$5,APOIO_REDES!$5:$5,0)),0))*$M983/10,0)</f>
        <v>0.245016331842532</v>
      </c>
      <c r="BB983" s="153" t="n">
        <f aca="false">IFERROR(IF($N983="VCA",INDEX(APOIO_REDES!$A:$W,MATCH($C983&amp;$I983&amp;$H983&amp;$N983&amp;$O983,APOIO_REDES!$W:$W,0),MATCH(BB$5,APOIO_REDES!$5:$5,0)),0)*($AI983+$AQ983+$AR983),0)</f>
        <v>1.10504453332568</v>
      </c>
      <c r="BC983" s="153" t="n">
        <f aca="false">IFERROR(IF($N983="VCA",INDEX(APOIO_REDES!$A:$W,MATCH($C983&amp;$I983&amp;$H983&amp;$N983&amp;$O983,APOIO_REDES!$W:$W,0),MATCH(BC$5,APOIO_REDES!$5:$5,0)),0)*($AI983+$AQ983+$AR983),0)</f>
        <v>0.0121554666743208</v>
      </c>
      <c r="BD983" s="153" t="n">
        <f aca="false">IF(AND($N983="VCA",$AF983&gt;=1.25,$AF983&lt;1.5),$M983*$AF983*2,0)</f>
        <v>8.4512</v>
      </c>
      <c r="BE983" s="153" t="n">
        <f aca="false">IF(AND($N983="VCA",$AF983&gt;=1.5,$AF983&lt;3),$M983*$AF983*2,0)</f>
        <v>0</v>
      </c>
      <c r="BF983" s="153" t="n">
        <f aca="false">IF(AND($N983="VCA",$AF983&gt;=3),$M983*$AF983*2,0)</f>
        <v>0</v>
      </c>
      <c r="BG983" s="153" t="n">
        <f aca="false">($BB983+$BC983)*$AK983</f>
        <v>5.13912</v>
      </c>
      <c r="BH983" s="153" t="n">
        <f aca="false">IF(AND($M983&lt;&gt;"",$N983="VCA",$Q983="LINEAR"),($M983*2)/100,IF(AND($M983&lt;&gt;"",$N983="MND",$Q983="EMBOQUE"),($AN983*2)/100,0))</f>
        <v>0.0608</v>
      </c>
      <c r="BI983" s="153" t="n">
        <f aca="false">IF(AND($M983&lt;&gt;"",$N983="VCA",$Q983="LINEAR"),$M983,IF(AND($M983&lt;&gt;"",$N983="MND",$Q983="EMBOQUE"),$AN983*2,0))</f>
        <v>3.04</v>
      </c>
      <c r="BJ983" s="153" t="n">
        <f aca="false">IF(AND($M983&lt;&gt;"",$N983="VCA",$Q983="LINEAR"),($M983*6.8)/100,IF(AND($M983&lt;&gt;"",$N983="MND",$Q983="EMBOQUE"),($AN983*2*6.8)/100,0))</f>
        <v>0.20672</v>
      </c>
      <c r="BK983" s="153" t="n">
        <f aca="false">IF(AND($M983&lt;&gt;"",$N983="VCA",$Q983="LINEAR"),($M983*2.5)/50,IF(AND($M983&lt;&gt;"",$N983="MND",$Q983="EMBOQUE"),($AN983*2*2.5)/50,0))</f>
        <v>0.152</v>
      </c>
      <c r="BL983" s="157" t="str">
        <f aca="false">K983&amp;J983</f>
        <v>Zona09REDES</v>
      </c>
      <c r="BM983" s="152" t="s">
        <v>5109</v>
      </c>
      <c r="BN983" s="152" t="s">
        <v>1560</v>
      </c>
      <c r="BO983" s="152" t="s">
        <v>4004</v>
      </c>
      <c r="BP983" s="152" t="s">
        <v>5274</v>
      </c>
      <c r="BQ983" s="152" t="s">
        <v>5278</v>
      </c>
      <c r="BR983" s="152" t="s">
        <v>5275</v>
      </c>
      <c r="BS983" s="152" t="n">
        <v>203359.329</v>
      </c>
      <c r="BT983" s="152" t="n">
        <v>8236809.807</v>
      </c>
      <c r="BU983" s="152" t="n">
        <v>203359.746</v>
      </c>
      <c r="BV983" s="152" t="n">
        <v>8236812.822</v>
      </c>
      <c r="BW983" s="152" t="n">
        <v>-15.9302405</v>
      </c>
      <c r="BX983" s="152" t="n">
        <v>-47.7706758</v>
      </c>
      <c r="BY983" s="152" t="s">
        <v>5274</v>
      </c>
    </row>
    <row r="984" customFormat="false" ht="13.8" hidden="false" customHeight="false" outlineLevel="0" collapsed="false">
      <c r="A984" s="149" t="n">
        <f aca="false">IF(C984&lt;&gt;"",ROW(A979),"")</f>
        <v>979</v>
      </c>
      <c r="B984" s="150" t="str">
        <f aca="false">HYPERLINK("https://www.google.com/maps/dir/-15.917302,-47.760003/-15.9301334,-47.7716817/data=!4m3!4m2!3e0!5i2")</f>
        <v>https://www.google.com/maps/dir/-15.917302,-47.760003/-15.9301334,-47.7716817/data=!4m3!4m2!3e0!5i2</v>
      </c>
      <c r="C984" s="151" t="s">
        <v>117</v>
      </c>
      <c r="D984" s="152" t="s">
        <v>112</v>
      </c>
      <c r="E984" s="152" t="s">
        <v>113</v>
      </c>
      <c r="F984" s="152" t="s">
        <v>117</v>
      </c>
      <c r="G984" s="152" t="s">
        <v>782</v>
      </c>
      <c r="H984" s="152" t="n">
        <v>90</v>
      </c>
      <c r="I984" s="152" t="s">
        <v>115</v>
      </c>
      <c r="J984" s="152" t="s">
        <v>6</v>
      </c>
      <c r="K984" s="152" t="s">
        <v>5106</v>
      </c>
      <c r="L984" s="152" t="s">
        <v>120</v>
      </c>
      <c r="M984" s="153" t="n">
        <f aca="false">48.74+0.07</f>
        <v>48.81</v>
      </c>
      <c r="N984" s="152" t="s">
        <v>1548</v>
      </c>
      <c r="O984" s="152" t="s">
        <v>1549</v>
      </c>
      <c r="P984" s="152" t="s">
        <v>1550</v>
      </c>
      <c r="Q984" s="152" t="s">
        <v>1551</v>
      </c>
      <c r="R984" s="154" t="s">
        <v>5281</v>
      </c>
      <c r="S984" s="154" t="s">
        <v>1593</v>
      </c>
      <c r="T984" s="155" t="s">
        <v>4002</v>
      </c>
      <c r="U984" s="152" t="str">
        <f aca="false">RIGHT(T984,7)</f>
        <v>015/037</v>
      </c>
      <c r="V984" s="152" t="s">
        <v>1555</v>
      </c>
      <c r="W984" s="156" t="n">
        <v>45882</v>
      </c>
      <c r="X984" s="152" t="s">
        <v>1594</v>
      </c>
      <c r="Y984" s="152" t="s">
        <v>1860</v>
      </c>
      <c r="Z984" s="152" t="s">
        <v>1557</v>
      </c>
      <c r="AA984" s="153" t="n">
        <v>4.7</v>
      </c>
      <c r="AB984" s="151" t="s">
        <v>5282</v>
      </c>
      <c r="AC984" s="151" t="s">
        <v>526</v>
      </c>
      <c r="AD984" s="151" t="str">
        <f aca="false">CONCATENATE($C984,$I984,$H984,$N984,$J984,$K984)</f>
        <v>TUBO PEADPEAD90VCAREDESZona09</v>
      </c>
      <c r="AE984" s="153" t="n">
        <f aca="false">IFERROR(INDEX(APOIO_REDES!$A:$W,MATCH($C984&amp;$I984&amp;$H984&amp;$N984&amp;$O984,APOIO_REDES!$W:$W,0),MATCH(AE$5,APOIO_REDES!$5:$5,0)),0)</f>
        <v>1.2</v>
      </c>
      <c r="AF984" s="153" t="n">
        <f aca="false">IFERROR(INDEX(APOIO_REDES!$A:$W,MATCH($C984&amp;$I984&amp;$H984&amp;$N984&amp;$O984,APOIO_REDES!$W:$W,0),MATCH(AF$5,APOIO_REDES!$5:$5,0)),0)</f>
        <v>1.39</v>
      </c>
      <c r="AG984" s="153" t="n">
        <f aca="false">IFERROR(INDEX(APOIO_REDES!$A:$W,MATCH($C984&amp;$I984&amp;$H984&amp;$N984&amp;$O984,APOIO_REDES!$W:$W,0),MATCH(AG$5,APOIO_REDES!$5:$5,0)),0)</f>
        <v>0.75</v>
      </c>
      <c r="AH984" s="153" t="n">
        <f aca="false">IFERROR(INDEX(APOIO_REDES!$A:$W,MATCH($C984&amp;$I984&amp;$H984&amp;$N984&amp;$O984,APOIO_REDES!$W:$W,0),MATCH(AH$5,APOIO_REDES!$5:$5,0)),0)</f>
        <v>0.1</v>
      </c>
      <c r="AI984" s="153" t="n">
        <f aca="false">IFERROR(IF($H984&lt;&gt;"",(((($H984/1000)/2)^2)*PI()*$M984),0),0)</f>
        <v>0.310515803278979</v>
      </c>
      <c r="AJ984" s="153" t="n">
        <f aca="false">IFERROR(IF(AND($H984&lt;&gt;"",$I984="FoFo",OR($N984="MND",$N984="VCA"),$Q984="LINEAR"),0,IF(AND($H984&lt;&gt;"",$I984="PEAD",$N984="VCA",$Q984="LINEAR"),($H984/1000)+0.3,IF(AND($H984&lt;&gt;"",$I984="PEAD",$N984="MND",$Q984="EMBOQUE"),0,IF(AND($H984&lt;&gt;"",$I984="PVC",$N984="VCA",$Q984="LINEAR"),($H984/1000)+0.2,IF(AND($H984&lt;&gt;"",$I984="PVC",$N984="MND",$Q984="EMBOQUE"),0,IF(AND($H984&lt;&gt;"",$I984="PEAD",$N984="VCA",$Q984="PREDIAL"),0,0)))))),0)</f>
        <v>0.39</v>
      </c>
      <c r="AK984" s="153" t="n">
        <f aca="false">IF(AA984&lt;&gt;"",AA984,0)</f>
        <v>4.7</v>
      </c>
      <c r="AL984" s="153" t="n">
        <f aca="false">IF(AND($N984="MND",$Q984="EMBOQUE"),$M984,IF(AND($N984="VCA",$Q984="LINEAR"),$M984,IF(AND($N984="VCA",$Q984="PREDIAL"),0,0)))</f>
        <v>48.81</v>
      </c>
      <c r="AM984" s="153" t="n">
        <f aca="false">IF(AND($N984="MND",$Q984="EMBOQUE"),$M984,IF(AND($N984="VCA",$Q984="LINEAR"),$M984,IF(AND($N984="VCA",$Q984="PREDIAL"),0,0)))</f>
        <v>48.81</v>
      </c>
      <c r="AN984" s="153" t="n">
        <f aca="false">ROUND(IF(AND($N984="VCA",$M984&lt;&gt;"",$Q984="LINEAR"),$M984/100,IF(AND($N984="MND",$M984&gt;100,$Q984="EMBOQUE"),$M984/100,0)),0)</f>
        <v>0</v>
      </c>
      <c r="AO984" s="153" t="n">
        <f aca="false">IF(AND($N984="MND",$Q984="EMBOQUE"),$AN984*2*2,IF(AND($N984="VCA",$Q984="LINEAR"),$M984*2,IF(AND($N984="VCA",$Q984="PREDIAL"),0,0)))</f>
        <v>97.62</v>
      </c>
      <c r="AP984" s="153" t="n">
        <f aca="false">IFERROR($M984*$AF984*$AG984,0)</f>
        <v>50.884425</v>
      </c>
      <c r="AQ984" s="153" t="n">
        <f aca="false">IFERROR(IF(AND($N984="VCA",$AH984&gt;0),$M984*$AG984*$AH984,0),0)</f>
        <v>3.66075</v>
      </c>
      <c r="AR984" s="153" t="n">
        <f aca="false">IFERROR(IF(AND($N984="VCA",$AJ984&gt;0),($M984*$AG984*$AJ984)-$AI984,0),0)</f>
        <v>13.966409196721</v>
      </c>
      <c r="AS984" s="153" t="n">
        <f aca="false">IFERROR(IF(AND($N984="VCA",$AP984&gt;0),$AP984-$AI984-$AQ984-$AR984,0),0)</f>
        <v>32.94675</v>
      </c>
      <c r="AT984" s="153" t="n">
        <f aca="false">IFERROR(IF($N984="VCA",INDEX(APOIO_REDES!$A:$W,MATCH($C984&amp;$I984&amp;$H984&amp;$N984&amp;$O984,APOIO_REDES!$W:$W,0),MATCH(AT$5,APOIO_REDES!$5:$5,0)),0)*$AP984,0)</f>
        <v>0.553637605021012</v>
      </c>
      <c r="AU984" s="153" t="n">
        <f aca="false">IFERROR(IF($N984="VCA",INDEX(APOIO_REDES!$A:$W,MATCH($C984&amp;$I984&amp;$H984&amp;$N984&amp;$O984,APOIO_REDES!$W:$W,0),MATCH(AU$5,APOIO_REDES!$5:$5,0)),0)*$AP984,0)</f>
        <v>0.442119996961838</v>
      </c>
      <c r="AV984" s="153" t="n">
        <f aca="false">IFERROR(IF($N984="VCA",INDEX(APOIO_REDES!$A:$W,MATCH($C984&amp;$I984&amp;$H984&amp;$N984&amp;$O984,APOIO_REDES!$W:$W,0),MATCH(AV$5,APOIO_REDES!$5:$5,0)),0)*$AP984,0)</f>
        <v>0.0611859368014597</v>
      </c>
      <c r="AW984" s="153" t="n">
        <f aca="false">IFERROR(IF($N984="VCA",INDEX(APOIO_REDES!$A:$W,MATCH($C984&amp;$I984&amp;$H984&amp;$N984&amp;$O984,APOIO_REDES!$W:$W,0),MATCH(AW$5,APOIO_REDES!$5:$5,0)),0)*$AP984,0)</f>
        <v>34.9274635917644</v>
      </c>
      <c r="AX984" s="153" t="n">
        <f aca="false">IFERROR(IF($N984="VCA",INDEX(APOIO_REDES!$A:$W,MATCH($C984&amp;$I984&amp;$H984&amp;$N984&amp;$O984,APOIO_REDES!$W:$W,0),MATCH(AX$5,APOIO_REDES!$5:$5,0)),0)*$AP984,0)</f>
        <v>4.83386146833686</v>
      </c>
      <c r="AY984" s="153" t="n">
        <f aca="false">IFERROR(IF($N984="VCA",INDEX(APOIO_REDES!$A:$W,MATCH($C984&amp;$I984&amp;$H984&amp;$N984&amp;$O984,APOIO_REDES!$W:$W,0),MATCH(AY$5,APOIO_REDES!$5:$5,0)),0)*$AP984,0)</f>
        <v>8.84239454982983</v>
      </c>
      <c r="AZ984" s="153" t="n">
        <f aca="false">IFERROR(IF($N984="VCA",INDEX(APOIO_REDES!$A:$W,MATCH($C984&amp;$I984&amp;$H984&amp;$N984&amp;$O984,APOIO_REDES!$W:$W,0),MATCH(AZ$5,APOIO_REDES!$5:$5,0)),0)*$AP984,0)</f>
        <v>1.22376185128458</v>
      </c>
      <c r="BA984" s="153" t="n">
        <f aca="false">IFERROR(IF(AND($N984="VCA",$Q984="LINEAR"),INDEX(APOIO_REDES!$A:$W,MATCH($C984&amp;$I984&amp;$H984&amp;$N984&amp;$O984,APOIO_REDES!$W:$W,0),MATCH(BA$5,APOIO_REDES!$5:$5,0)),IF(AND($N984="MND",$Q984="EMBOQUE"),INDEX(APOIO_REDES!$A:$W,MATCH($C984&amp;$I984&amp;$H984&amp;$N984&amp;$O984,APOIO_REDES!$W:$W,0),MATCH(BA$5,APOIO_REDES!$5:$5,0)),0))*$M984/10,0)</f>
        <v>3.93396288066908</v>
      </c>
      <c r="BB984" s="153" t="n">
        <f aca="false">IFERROR(IF($N984="VCA",INDEX(APOIO_REDES!$A:$W,MATCH($C984&amp;$I984&amp;$H984&amp;$N984&amp;$O984,APOIO_REDES!$W:$W,0),MATCH(BB$5,APOIO_REDES!$5:$5,0)),0)*($AI984+$AQ984+$AR984),0)</f>
        <v>17.7425077867192</v>
      </c>
      <c r="BC984" s="153" t="n">
        <f aca="false">IFERROR(IF($N984="VCA",INDEX(APOIO_REDES!$A:$W,MATCH($C984&amp;$I984&amp;$H984&amp;$N984&amp;$O984,APOIO_REDES!$W:$W,0),MATCH(BC$5,APOIO_REDES!$5:$5,0)),0)*($AI984+$AQ984+$AR984),0)</f>
        <v>0.195167213280788</v>
      </c>
      <c r="BD984" s="153" t="n">
        <f aca="false">IF(AND($N984="VCA",$AF984&gt;=1.25,$AF984&lt;1.5),$M984*$AF984*2,0)</f>
        <v>135.6918</v>
      </c>
      <c r="BE984" s="153" t="n">
        <f aca="false">IF(AND($N984="VCA",$AF984&gt;=1.5,$AF984&lt;3),$M984*$AF984*2,0)</f>
        <v>0</v>
      </c>
      <c r="BF984" s="153" t="n">
        <f aca="false">IF(AND($N984="VCA",$AF984&gt;=3),$M984*$AF984*2,0)</f>
        <v>0</v>
      </c>
      <c r="BG984" s="153" t="n">
        <f aca="false">($BB984+$BC984)*$AK984</f>
        <v>84.3070725</v>
      </c>
      <c r="BH984" s="153" t="n">
        <f aca="false">IF(AND($M984&lt;&gt;"",$N984="VCA",$Q984="LINEAR"),($M984*2)/100,IF(AND($M984&lt;&gt;"",$N984="MND",$Q984="EMBOQUE"),($AN984*2)/100,0))</f>
        <v>0.9762</v>
      </c>
      <c r="BI984" s="153" t="n">
        <f aca="false">IF(AND($M984&lt;&gt;"",$N984="VCA",$Q984="LINEAR"),$M984,IF(AND($M984&lt;&gt;"",$N984="MND",$Q984="EMBOQUE"),$AN984*2,0))</f>
        <v>48.81</v>
      </c>
      <c r="BJ984" s="153" t="n">
        <f aca="false">IF(AND($M984&lt;&gt;"",$N984="VCA",$Q984="LINEAR"),($M984*6.8)/100,IF(AND($M984&lt;&gt;"",$N984="MND",$Q984="EMBOQUE"),($AN984*2*6.8)/100,0))</f>
        <v>3.31908</v>
      </c>
      <c r="BK984" s="153" t="n">
        <f aca="false">IF(AND($M984&lt;&gt;"",$N984="VCA",$Q984="LINEAR"),($M984*2.5)/50,IF(AND($M984&lt;&gt;"",$N984="MND",$Q984="EMBOQUE"),($AN984*2*2.5)/50,0))</f>
        <v>2.4405</v>
      </c>
      <c r="BL984" s="157" t="str">
        <f aca="false">K984&amp;J984</f>
        <v>Zona09REDES</v>
      </c>
      <c r="BM984" s="152" t="s">
        <v>5109</v>
      </c>
      <c r="BN984" s="152" t="s">
        <v>1560</v>
      </c>
      <c r="BO984" s="152" t="s">
        <v>4004</v>
      </c>
      <c r="BP984" s="152" t="s">
        <v>5264</v>
      </c>
      <c r="BQ984" s="152" t="s">
        <v>5283</v>
      </c>
      <c r="BR984" s="152" t="s">
        <v>5284</v>
      </c>
      <c r="BS984" s="152" t="n">
        <v>203251.896</v>
      </c>
      <c r="BT984" s="152" t="n">
        <v>8236821.991</v>
      </c>
      <c r="BU984" s="152" t="n">
        <v>203290.998</v>
      </c>
      <c r="BV984" s="152" t="n">
        <v>8236793.229</v>
      </c>
      <c r="BW984" s="152" t="n">
        <v>-15.9302728</v>
      </c>
      <c r="BX984" s="152" t="n">
        <v>-47.7715064</v>
      </c>
      <c r="BY984" s="152" t="s">
        <v>5264</v>
      </c>
    </row>
    <row r="985" customFormat="false" ht="13.8" hidden="false" customHeight="false" outlineLevel="0" collapsed="false">
      <c r="A985" s="149" t="n">
        <f aca="false">IF(C985&lt;&gt;"",ROW(A980),"")</f>
        <v>980</v>
      </c>
      <c r="B985" s="150" t="str">
        <f aca="false">HYPERLINK("https://www.google.com/maps/dir/-15.917302,-47.760003/-15.9301520,-47.7695453/data=!4m3!4m2!3e0!5i2")</f>
        <v>https://www.google.com/maps/dir/-15.917302,-47.760003/-15.9301520,-47.7695453/data=!4m3!4m2!3e0!5i2</v>
      </c>
      <c r="C985" s="151" t="s">
        <v>117</v>
      </c>
      <c r="D985" s="152" t="s">
        <v>112</v>
      </c>
      <c r="E985" s="152" t="s">
        <v>113</v>
      </c>
      <c r="F985" s="152" t="s">
        <v>117</v>
      </c>
      <c r="G985" s="152" t="s">
        <v>782</v>
      </c>
      <c r="H985" s="152" t="n">
        <v>90</v>
      </c>
      <c r="I985" s="152" t="s">
        <v>115</v>
      </c>
      <c r="J985" s="152" t="s">
        <v>6</v>
      </c>
      <c r="K985" s="152" t="s">
        <v>5106</v>
      </c>
      <c r="L985" s="152" t="s">
        <v>120</v>
      </c>
      <c r="M985" s="153" t="n">
        <f aca="false">47.36</f>
        <v>47.36</v>
      </c>
      <c r="N985" s="152" t="s">
        <v>1548</v>
      </c>
      <c r="O985" s="152" t="s">
        <v>1549</v>
      </c>
      <c r="P985" s="152" t="s">
        <v>1550</v>
      </c>
      <c r="Q985" s="152" t="s">
        <v>1551</v>
      </c>
      <c r="R985" s="154" t="s">
        <v>5285</v>
      </c>
      <c r="S985" s="154" t="s">
        <v>1593</v>
      </c>
      <c r="T985" s="155" t="s">
        <v>4002</v>
      </c>
      <c r="U985" s="152" t="str">
        <f aca="false">RIGHT(T985,7)</f>
        <v>015/037</v>
      </c>
      <c r="V985" s="152" t="s">
        <v>1555</v>
      </c>
      <c r="W985" s="156" t="n">
        <v>45882</v>
      </c>
      <c r="X985" s="152" t="s">
        <v>1594</v>
      </c>
      <c r="Y985" s="152" t="s">
        <v>2387</v>
      </c>
      <c r="Z985" s="152" t="s">
        <v>1557</v>
      </c>
      <c r="AA985" s="153" t="n">
        <v>4.5</v>
      </c>
      <c r="AB985" s="151" t="s">
        <v>5286</v>
      </c>
      <c r="AC985" s="151" t="s">
        <v>526</v>
      </c>
      <c r="AD985" s="151" t="str">
        <f aca="false">CONCATENATE($C985,$I985,$H985,$N985,$J985,$K985)</f>
        <v>TUBO PEADPEAD90VCAREDESZona09</v>
      </c>
      <c r="AE985" s="153" t="n">
        <f aca="false">IFERROR(INDEX(APOIO_REDES!$A:$W,MATCH($C985&amp;$I985&amp;$H985&amp;$N985&amp;$O985,APOIO_REDES!$W:$W,0),MATCH(AE$5,APOIO_REDES!$5:$5,0)),0)</f>
        <v>1.2</v>
      </c>
      <c r="AF985" s="153" t="n">
        <f aca="false">IFERROR(INDEX(APOIO_REDES!$A:$W,MATCH($C985&amp;$I985&amp;$H985&amp;$N985&amp;$O985,APOIO_REDES!$W:$W,0),MATCH(AF$5,APOIO_REDES!$5:$5,0)),0)</f>
        <v>1.39</v>
      </c>
      <c r="AG985" s="153" t="n">
        <f aca="false">IFERROR(INDEX(APOIO_REDES!$A:$W,MATCH($C985&amp;$I985&amp;$H985&amp;$N985&amp;$O985,APOIO_REDES!$W:$W,0),MATCH(AG$5,APOIO_REDES!$5:$5,0)),0)</f>
        <v>0.75</v>
      </c>
      <c r="AH985" s="153" t="n">
        <f aca="false">IFERROR(INDEX(APOIO_REDES!$A:$W,MATCH($C985&amp;$I985&amp;$H985&amp;$N985&amp;$O985,APOIO_REDES!$W:$W,0),MATCH(AH$5,APOIO_REDES!$5:$5,0)),0)</f>
        <v>0.1</v>
      </c>
      <c r="AI985" s="153" t="n">
        <f aca="false">IFERROR(IF($H985&lt;&gt;"",(((($H985/1000)/2)^2)*PI()*$M985),0),0)</f>
        <v>0.301291301849876</v>
      </c>
      <c r="AJ985" s="153" t="n">
        <f aca="false">IFERROR(IF(AND($H985&lt;&gt;"",$I985="FoFo",OR($N985="MND",$N985="VCA"),$Q985="LINEAR"),0,IF(AND($H985&lt;&gt;"",$I985="PEAD",$N985="VCA",$Q985="LINEAR"),($H985/1000)+0.3,IF(AND($H985&lt;&gt;"",$I985="PEAD",$N985="MND",$Q985="EMBOQUE"),0,IF(AND($H985&lt;&gt;"",$I985="PVC",$N985="VCA",$Q985="LINEAR"),($H985/1000)+0.2,IF(AND($H985&lt;&gt;"",$I985="PVC",$N985="MND",$Q985="EMBOQUE"),0,IF(AND($H985&lt;&gt;"",$I985="PEAD",$N985="VCA",$Q985="PREDIAL"),0,0)))))),0)</f>
        <v>0.39</v>
      </c>
      <c r="AK985" s="153" t="n">
        <f aca="false">IF(AA985&lt;&gt;"",AA985,0)</f>
        <v>4.5</v>
      </c>
      <c r="AL985" s="153" t="n">
        <f aca="false">IF(AND($N985="MND",$Q985="EMBOQUE"),$M985,IF(AND($N985="VCA",$Q985="LINEAR"),$M985,IF(AND($N985="VCA",$Q985="PREDIAL"),0,0)))</f>
        <v>47.36</v>
      </c>
      <c r="AM985" s="153" t="n">
        <f aca="false">IF(AND($N985="MND",$Q985="EMBOQUE"),$M985,IF(AND($N985="VCA",$Q985="LINEAR"),$M985,IF(AND($N985="VCA",$Q985="PREDIAL"),0,0)))</f>
        <v>47.36</v>
      </c>
      <c r="AN985" s="153" t="n">
        <f aca="false">ROUND(IF(AND($N985="VCA",$M985&lt;&gt;"",$Q985="LINEAR"),$M985/100,IF(AND($N985="MND",$M985&gt;100,$Q985="EMBOQUE"),$M985/100,0)),0)</f>
        <v>0</v>
      </c>
      <c r="AO985" s="153" t="n">
        <f aca="false">IF(AND($N985="MND",$Q985="EMBOQUE"),$AN985*2*2,IF(AND($N985="VCA",$Q985="LINEAR"),$M985*2,IF(AND($N985="VCA",$Q985="PREDIAL"),0,0)))</f>
        <v>94.72</v>
      </c>
      <c r="AP985" s="153" t="n">
        <f aca="false">IFERROR($M985*$AF985*$AG985,0)</f>
        <v>49.3728</v>
      </c>
      <c r="AQ985" s="153" t="n">
        <f aca="false">IFERROR(IF(AND($N985="VCA",$AH985&gt;0),$M985*$AG985*$AH985,0),0)</f>
        <v>3.552</v>
      </c>
      <c r="AR985" s="153" t="n">
        <f aca="false">IFERROR(IF(AND($N985="VCA",$AJ985&gt;0),($M985*$AG985*$AJ985)-$AI985,0),0)</f>
        <v>13.5515086981501</v>
      </c>
      <c r="AS985" s="153" t="n">
        <f aca="false">IFERROR(IF(AND($N985="VCA",$AP985&gt;0),$AP985-$AI985-$AQ985-$AR985,0),0)</f>
        <v>31.968</v>
      </c>
      <c r="AT985" s="153" t="n">
        <f aca="false">IFERROR(IF($N985="VCA",INDEX(APOIO_REDES!$A:$W,MATCH($C985&amp;$I985&amp;$H985&amp;$N985&amp;$O985,APOIO_REDES!$W:$W,0),MATCH(AT$5,APOIO_REDES!$5:$5,0)),0)*$AP985,0)</f>
        <v>0.53719067760285</v>
      </c>
      <c r="AU985" s="153" t="n">
        <f aca="false">IFERROR(IF($N985="VCA",INDEX(APOIO_REDES!$A:$W,MATCH($C985&amp;$I985&amp;$H985&amp;$N985&amp;$O985,APOIO_REDES!$W:$W,0),MATCH(AU$5,APOIO_REDES!$5:$5,0)),0)*$AP985,0)</f>
        <v>0.428985926164979</v>
      </c>
      <c r="AV985" s="153" t="n">
        <f aca="false">IFERROR(IF($N985="VCA",INDEX(APOIO_REDES!$A:$W,MATCH($C985&amp;$I985&amp;$H985&amp;$N985&amp;$O985,APOIO_REDES!$W:$W,0),MATCH(AV$5,APOIO_REDES!$5:$5,0)),0)*$AP985,0)</f>
        <v>0.0593682845096728</v>
      </c>
      <c r="AW985" s="153" t="n">
        <f aca="false">IFERROR(IF($N985="VCA",INDEX(APOIO_REDES!$A:$W,MATCH($C985&amp;$I985&amp;$H985&amp;$N985&amp;$O985,APOIO_REDES!$W:$W,0),MATCH(AW$5,APOIO_REDES!$5:$5,0)),0)*$AP985,0)</f>
        <v>33.8898724791224</v>
      </c>
      <c r="AX985" s="153" t="n">
        <f aca="false">IFERROR(IF($N985="VCA",INDEX(APOIO_REDES!$A:$W,MATCH($C985&amp;$I985&amp;$H985&amp;$N985&amp;$O985,APOIO_REDES!$W:$W,0),MATCH(AX$5,APOIO_REDES!$5:$5,0)),0)*$AP985,0)</f>
        <v>4.69026181398144</v>
      </c>
      <c r="AY985" s="153" t="n">
        <f aca="false">IFERROR(IF($N985="VCA",INDEX(APOIO_REDES!$A:$W,MATCH($C985&amp;$I985&amp;$H985&amp;$N985&amp;$O985,APOIO_REDES!$W:$W,0),MATCH(AY$5,APOIO_REDES!$5:$5,0)),0)*$AP985,0)</f>
        <v>8.57971329399592</v>
      </c>
      <c r="AZ985" s="153" t="n">
        <f aca="false">IFERROR(IF($N985="VCA",INDEX(APOIO_REDES!$A:$W,MATCH($C985&amp;$I985&amp;$H985&amp;$N985&amp;$O985,APOIO_REDES!$W:$W,0),MATCH(AZ$5,APOIO_REDES!$5:$5,0)),0)*$AP985,0)</f>
        <v>1.18740752462278</v>
      </c>
      <c r="BA985" s="153" t="n">
        <f aca="false">IFERROR(IF(AND($N985="VCA",$Q985="LINEAR"),INDEX(APOIO_REDES!$A:$W,MATCH($C985&amp;$I985&amp;$H985&amp;$N985&amp;$O985,APOIO_REDES!$W:$W,0),MATCH(BA$5,APOIO_REDES!$5:$5,0)),IF(AND($N985="MND",$Q985="EMBOQUE"),INDEX(APOIO_REDES!$A:$W,MATCH($C985&amp;$I985&amp;$H985&amp;$N985&amp;$O985,APOIO_REDES!$W:$W,0),MATCH(BA$5,APOIO_REDES!$5:$5,0)),0))*$M985/10,0)</f>
        <v>3.81709653817839</v>
      </c>
      <c r="BB985" s="153" t="n">
        <f aca="false">IFERROR(IF($N985="VCA",INDEX(APOIO_REDES!$A:$W,MATCH($C985&amp;$I985&amp;$H985&amp;$N985&amp;$O985,APOIO_REDES!$W:$W,0),MATCH(BB$5,APOIO_REDES!$5:$5,0)),0)*($AI985+$AQ985+$AR985),0)</f>
        <v>17.2154306244422</v>
      </c>
      <c r="BC985" s="153" t="n">
        <f aca="false">IFERROR(IF($N985="VCA",INDEX(APOIO_REDES!$A:$W,MATCH($C985&amp;$I985&amp;$H985&amp;$N985&amp;$O985,APOIO_REDES!$W:$W,0),MATCH(BC$5,APOIO_REDES!$5:$5,0)),0)*($AI985+$AQ985+$AR985),0)</f>
        <v>0.189369375557839</v>
      </c>
      <c r="BD985" s="153" t="n">
        <f aca="false">IF(AND($N985="VCA",$AF985&gt;=1.25,$AF985&lt;1.5),$M985*$AF985*2,0)</f>
        <v>131.6608</v>
      </c>
      <c r="BE985" s="153" t="n">
        <f aca="false">IF(AND($N985="VCA",$AF985&gt;=1.5,$AF985&lt;3),$M985*$AF985*2,0)</f>
        <v>0</v>
      </c>
      <c r="BF985" s="153" t="n">
        <f aca="false">IF(AND($N985="VCA",$AF985&gt;=3),$M985*$AF985*2,0)</f>
        <v>0</v>
      </c>
      <c r="BG985" s="153" t="n">
        <f aca="false">($BB985+$BC985)*$AK985</f>
        <v>78.3216</v>
      </c>
      <c r="BH985" s="153" t="n">
        <f aca="false">IF(AND($M985&lt;&gt;"",$N985="VCA",$Q985="LINEAR"),($M985*2)/100,IF(AND($M985&lt;&gt;"",$N985="MND",$Q985="EMBOQUE"),($AN985*2)/100,0))</f>
        <v>0.9472</v>
      </c>
      <c r="BI985" s="153" t="n">
        <f aca="false">IF(AND($M985&lt;&gt;"",$N985="VCA",$Q985="LINEAR"),$M985,IF(AND($M985&lt;&gt;"",$N985="MND",$Q985="EMBOQUE"),$AN985*2,0))</f>
        <v>47.36</v>
      </c>
      <c r="BJ985" s="153" t="n">
        <f aca="false">IF(AND($M985&lt;&gt;"",$N985="VCA",$Q985="LINEAR"),($M985*6.8)/100,IF(AND($M985&lt;&gt;"",$N985="MND",$Q985="EMBOQUE"),($AN985*2*6.8)/100,0))</f>
        <v>3.22048</v>
      </c>
      <c r="BK985" s="153" t="n">
        <f aca="false">IF(AND($M985&lt;&gt;"",$N985="VCA",$Q985="LINEAR"),($M985*2.5)/50,IF(AND($M985&lt;&gt;"",$N985="MND",$Q985="EMBOQUE"),($AN985*2*2.5)/50,0))</f>
        <v>2.368</v>
      </c>
      <c r="BL985" s="157" t="str">
        <f aca="false">K985&amp;J985</f>
        <v>Zona09REDES</v>
      </c>
      <c r="BM985" s="152" t="s">
        <v>5109</v>
      </c>
      <c r="BN985" s="152" t="s">
        <v>1560</v>
      </c>
      <c r="BO985" s="152" t="s">
        <v>4004</v>
      </c>
      <c r="BP985" s="152" t="s">
        <v>5273</v>
      </c>
      <c r="BQ985" s="152" t="s">
        <v>5287</v>
      </c>
      <c r="BR985" s="152" t="s">
        <v>5288</v>
      </c>
      <c r="BS985" s="152" t="n">
        <v>203480.525</v>
      </c>
      <c r="BT985" s="152" t="n">
        <v>8236822.719</v>
      </c>
      <c r="BU985" s="152" t="n">
        <v>203489.109</v>
      </c>
      <c r="BV985" s="152" t="n">
        <v>8236776.141</v>
      </c>
      <c r="BW985" s="152" t="n">
        <v>-15.930363</v>
      </c>
      <c r="BX985" s="152" t="n">
        <v>-47.7695088</v>
      </c>
      <c r="BY985" s="152" t="s">
        <v>5273</v>
      </c>
    </row>
    <row r="986" customFormat="false" ht="13.8" hidden="false" customHeight="false" outlineLevel="0" collapsed="false">
      <c r="A986" s="149" t="n">
        <f aca="false">IF(C986&lt;&gt;"",ROW(A981),"")</f>
        <v>981</v>
      </c>
      <c r="B986" s="150" t="str">
        <f aca="false">HYPERLINK("https://www.google.com/maps/dir/-15.917302,-47.760003/-15.9306017,-47.7710070/data=!4m3!4m2!3e0!5i2")</f>
        <v>https://www.google.com/maps/dir/-15.917302,-47.760003/-15.9306017,-47.7710070/data=!4m3!4m2!3e0!5i2</v>
      </c>
      <c r="C986" s="151" t="s">
        <v>117</v>
      </c>
      <c r="D986" s="152" t="s">
        <v>112</v>
      </c>
      <c r="E986" s="152" t="s">
        <v>113</v>
      </c>
      <c r="F986" s="152" t="s">
        <v>117</v>
      </c>
      <c r="G986" s="152" t="s">
        <v>782</v>
      </c>
      <c r="H986" s="152" t="n">
        <v>63</v>
      </c>
      <c r="I986" s="152" t="s">
        <v>115</v>
      </c>
      <c r="J986" s="152" t="s">
        <v>6</v>
      </c>
      <c r="K986" s="152" t="s">
        <v>5106</v>
      </c>
      <c r="L986" s="152" t="s">
        <v>120</v>
      </c>
      <c r="M986" s="153" t="n">
        <f aca="false">53.71+0.41</f>
        <v>54.12</v>
      </c>
      <c r="N986" s="152" t="s">
        <v>1548</v>
      </c>
      <c r="O986" s="152" t="s">
        <v>1549</v>
      </c>
      <c r="P986" s="152" t="s">
        <v>1550</v>
      </c>
      <c r="Q986" s="152" t="s">
        <v>1551</v>
      </c>
      <c r="R986" s="154" t="s">
        <v>5289</v>
      </c>
      <c r="S986" s="154" t="s">
        <v>1553</v>
      </c>
      <c r="T986" s="155" t="s">
        <v>4002</v>
      </c>
      <c r="U986" s="152" t="str">
        <f aca="false">RIGHT(T986,7)</f>
        <v>015/037</v>
      </c>
      <c r="V986" s="152" t="s">
        <v>1555</v>
      </c>
      <c r="W986" s="156" t="n">
        <v>45882</v>
      </c>
      <c r="X986" s="152" t="s">
        <v>1594</v>
      </c>
      <c r="Y986" s="152"/>
      <c r="Z986" s="152" t="s">
        <v>1557</v>
      </c>
      <c r="AA986" s="153" t="n">
        <v>4.6</v>
      </c>
      <c r="AB986" s="151" t="s">
        <v>5290</v>
      </c>
      <c r="AC986" s="151" t="s">
        <v>186</v>
      </c>
      <c r="AD986" s="151" t="str">
        <f aca="false">CONCATENATE($C986,$I986,$H986,$N986,$J986,$K986)</f>
        <v>TUBO PEADPEAD63VCAREDESZona09</v>
      </c>
      <c r="AE986" s="153" t="n">
        <f aca="false">IFERROR(INDEX(APOIO_REDES!$A:$W,MATCH($C986&amp;$I986&amp;$H986&amp;$N986&amp;$O986,APOIO_REDES!$W:$W,0),MATCH(AE$5,APOIO_REDES!$5:$5,0)),0)</f>
        <v>1.2</v>
      </c>
      <c r="AF986" s="153" t="n">
        <f aca="false">IFERROR(INDEX(APOIO_REDES!$A:$W,MATCH($C986&amp;$I986&amp;$H986&amp;$N986&amp;$O986,APOIO_REDES!$W:$W,0),MATCH(AF$5,APOIO_REDES!$5:$5,0)),0)</f>
        <v>1.363</v>
      </c>
      <c r="AG986" s="153" t="n">
        <f aca="false">IFERROR(INDEX(APOIO_REDES!$A:$W,MATCH($C986&amp;$I986&amp;$H986&amp;$N986&amp;$O986,APOIO_REDES!$W:$W,0),MATCH(AG$5,APOIO_REDES!$5:$5,0)),0)</f>
        <v>0.65</v>
      </c>
      <c r="AH986" s="153" t="n">
        <f aca="false">IFERROR(INDEX(APOIO_REDES!$A:$W,MATCH($C986&amp;$I986&amp;$H986&amp;$N986&amp;$O986,APOIO_REDES!$W:$W,0),MATCH(AH$5,APOIO_REDES!$5:$5,0)),0)</f>
        <v>0.1</v>
      </c>
      <c r="AI986" s="153" t="n">
        <f aca="false">IFERROR(IF($H986&lt;&gt;"",(((($H986/1000)/2)^2)*PI()*$M986),0),0)</f>
        <v>0.168705316205584</v>
      </c>
      <c r="AJ986" s="153" t="n">
        <f aca="false">IFERROR(IF(AND($H986&lt;&gt;"",$I986="FoFo",OR($N986="MND",$N986="VCA"),$Q986="LINEAR"),0,IF(AND($H986&lt;&gt;"",$I986="PEAD",$N986="VCA",$Q986="LINEAR"),($H986/1000)+0.3,IF(AND($H986&lt;&gt;"",$I986="PEAD",$N986="MND",$Q986="EMBOQUE"),0,IF(AND($H986&lt;&gt;"",$I986="PVC",$N986="VCA",$Q986="LINEAR"),($H986/1000)+0.2,IF(AND($H986&lt;&gt;"",$I986="PVC",$N986="MND",$Q986="EMBOQUE"),0,IF(AND($H986&lt;&gt;"",$I986="PEAD",$N986="VCA",$Q986="PREDIAL"),0,0)))))),0)</f>
        <v>0.363</v>
      </c>
      <c r="AK986" s="153" t="n">
        <f aca="false">IF(AA986&lt;&gt;"",AA986,0)</f>
        <v>4.6</v>
      </c>
      <c r="AL986" s="153" t="n">
        <f aca="false">IF(AND($N986="MND",$Q986="EMBOQUE"),$M986,IF(AND($N986="VCA",$Q986="LINEAR"),$M986,IF(AND($N986="VCA",$Q986="PREDIAL"),0,0)))</f>
        <v>54.12</v>
      </c>
      <c r="AM986" s="153" t="n">
        <f aca="false">IF(AND($N986="MND",$Q986="EMBOQUE"),$M986,IF(AND($N986="VCA",$Q986="LINEAR"),$M986,IF(AND($N986="VCA",$Q986="PREDIAL"),0,0)))</f>
        <v>54.12</v>
      </c>
      <c r="AN986" s="153" t="n">
        <f aca="false">ROUND(IF(AND($N986="VCA",$M986&lt;&gt;"",$Q986="LINEAR"),$M986/100,IF(AND($N986="MND",$M986&gt;100,$Q986="EMBOQUE"),$M986/100,0)),0)</f>
        <v>1</v>
      </c>
      <c r="AO986" s="153" t="n">
        <f aca="false">IF(AND($N986="MND",$Q986="EMBOQUE"),$AN986*2*2,IF(AND($N986="VCA",$Q986="LINEAR"),$M986*2,IF(AND($N986="VCA",$Q986="PREDIAL"),0,0)))</f>
        <v>108.24</v>
      </c>
      <c r="AP986" s="153" t="n">
        <f aca="false">IFERROR($M986*$AF986*$AG986,0)</f>
        <v>47.947614</v>
      </c>
      <c r="AQ986" s="153" t="n">
        <f aca="false">IFERROR(IF(AND($N986="VCA",$AH986&gt;0),$M986*$AG986*$AH986,0),0)</f>
        <v>3.5178</v>
      </c>
      <c r="AR986" s="153" t="n">
        <f aca="false">IFERROR(IF(AND($N986="VCA",$AJ986&gt;0),($M986*$AG986*$AJ986)-$AI986,0),0)</f>
        <v>12.6009086837944</v>
      </c>
      <c r="AS986" s="153" t="n">
        <f aca="false">IFERROR(IF(AND($N986="VCA",$AP986&gt;0),$AP986-$AI986-$AQ986-$AR986,0),0)</f>
        <v>31.6602</v>
      </c>
      <c r="AT986" s="153" t="n">
        <f aca="false">IFERROR(IF($N986="VCA",INDEX(APOIO_REDES!$A:$W,MATCH($C986&amp;$I986&amp;$H986&amp;$N986&amp;$O986,APOIO_REDES!$W:$W,0),MATCH(AT$5,APOIO_REDES!$5:$5,0)),0)*$AP986,0)</f>
        <v>0.521684232089327</v>
      </c>
      <c r="AU986" s="153" t="n">
        <f aca="false">IFERROR(IF($N986="VCA",INDEX(APOIO_REDES!$A:$W,MATCH($C986&amp;$I986&amp;$H986&amp;$N986&amp;$O986,APOIO_REDES!$W:$W,0),MATCH(AU$5,APOIO_REDES!$5:$5,0)),0)*$AP986,0)</f>
        <v>0.416602898745684</v>
      </c>
      <c r="AV986" s="153" t="n">
        <f aca="false">IFERROR(IF($N986="VCA",INDEX(APOIO_REDES!$A:$W,MATCH($C986&amp;$I986&amp;$H986&amp;$N986&amp;$O986,APOIO_REDES!$W:$W,0),MATCH(AV$5,APOIO_REDES!$5:$5,0)),0)*$AP986,0)</f>
        <v>0.0576545707254191</v>
      </c>
      <c r="AW986" s="153" t="n">
        <f aca="false">IFERROR(IF($N986="VCA",INDEX(APOIO_REDES!$A:$W,MATCH($C986&amp;$I986&amp;$H986&amp;$N986&amp;$O986,APOIO_REDES!$W:$W,0),MATCH(AW$5,APOIO_REDES!$5:$5,0)),0)*$AP986,0)</f>
        <v>32.9116137658424</v>
      </c>
      <c r="AX986" s="153" t="n">
        <f aca="false">IFERROR(IF($N986="VCA",INDEX(APOIO_REDES!$A:$W,MATCH($C986&amp;$I986&amp;$H986&amp;$N986&amp;$O986,APOIO_REDES!$W:$W,0),MATCH(AX$5,APOIO_REDES!$5:$5,0)),0)*$AP986,0)</f>
        <v>4.55487359468618</v>
      </c>
      <c r="AY986" s="153" t="n">
        <f aca="false">IFERROR(IF($N986="VCA",INDEX(APOIO_REDES!$A:$W,MATCH($C986&amp;$I986&amp;$H986&amp;$N986&amp;$O986,APOIO_REDES!$W:$W,0),MATCH(AY$5,APOIO_REDES!$5:$5,0)),0)*$AP986,0)</f>
        <v>8.33205289655812</v>
      </c>
      <c r="AZ986" s="153" t="n">
        <f aca="false">IFERROR(IF($N986="VCA",INDEX(APOIO_REDES!$A:$W,MATCH($C986&amp;$I986&amp;$H986&amp;$N986&amp;$O986,APOIO_REDES!$W:$W,0),MATCH(AZ$5,APOIO_REDES!$5:$5,0)),0)*$AP986,0)</f>
        <v>1.1531320413529</v>
      </c>
      <c r="BA986" s="153" t="n">
        <f aca="false">IFERROR(IF(AND($N986="VCA",$Q986="LINEAR"),INDEX(APOIO_REDES!$A:$W,MATCH($C986&amp;$I986&amp;$H986&amp;$N986&amp;$O986,APOIO_REDES!$W:$W,0),MATCH(BA$5,APOIO_REDES!$5:$5,0)),IF(AND($N986="MND",$Q986="EMBOQUE"),INDEX(APOIO_REDES!$A:$W,MATCH($C986&amp;$I986&amp;$H986&amp;$N986&amp;$O986,APOIO_REDES!$W:$W,0),MATCH(BA$5,APOIO_REDES!$5:$5,0)),0))*$M986/10,0)</f>
        <v>4.36193548661771</v>
      </c>
      <c r="BB986" s="153" t="n">
        <f aca="false">IFERROR(IF($N986="VCA",INDEX(APOIO_REDES!$A:$W,MATCH($C986&amp;$I986&amp;$H986&amp;$N986&amp;$O986,APOIO_REDES!$W:$W,0),MATCH(BB$5,APOIO_REDES!$5:$5,0)),0)*($AI986+$AQ986+$AR986),0)</f>
        <v>16.1102021148515</v>
      </c>
      <c r="BC986" s="153" t="n">
        <f aca="false">IFERROR(IF($N986="VCA",INDEX(APOIO_REDES!$A:$W,MATCH($C986&amp;$I986&amp;$H986&amp;$N986&amp;$O986,APOIO_REDES!$W:$W,0),MATCH(BC$5,APOIO_REDES!$5:$5,0)),0)*($AI986+$AQ986+$AR986),0)</f>
        <v>0.177211885148465</v>
      </c>
      <c r="BD986" s="153" t="n">
        <f aca="false">IF(AND($N986="VCA",$AF986&gt;=1.25,$AF986&lt;1.5),$M986*$AF986*2,0)</f>
        <v>147.53112</v>
      </c>
      <c r="BE986" s="153" t="n">
        <f aca="false">IF(AND($N986="VCA",$AF986&gt;=1.5,$AF986&lt;3),$M986*$AF986*2,0)</f>
        <v>0</v>
      </c>
      <c r="BF986" s="153" t="n">
        <f aca="false">IF(AND($N986="VCA",$AF986&gt;=3),$M986*$AF986*2,0)</f>
        <v>0</v>
      </c>
      <c r="BG986" s="153" t="n">
        <f aca="false">($BB986+$BC986)*$AK986</f>
        <v>74.9221044</v>
      </c>
      <c r="BH986" s="153" t="n">
        <f aca="false">IF(AND($M986&lt;&gt;"",$N986="VCA",$Q986="LINEAR"),($M986*2)/100,IF(AND($M986&lt;&gt;"",$N986="MND",$Q986="EMBOQUE"),($AN986*2)/100,0))</f>
        <v>1.0824</v>
      </c>
      <c r="BI986" s="153" t="n">
        <f aca="false">IF(AND($M986&lt;&gt;"",$N986="VCA",$Q986="LINEAR"),$M986,IF(AND($M986&lt;&gt;"",$N986="MND",$Q986="EMBOQUE"),$AN986*2,0))</f>
        <v>54.12</v>
      </c>
      <c r="BJ986" s="153" t="n">
        <f aca="false">IF(AND($M986&lt;&gt;"",$N986="VCA",$Q986="LINEAR"),($M986*6.8)/100,IF(AND($M986&lt;&gt;"",$N986="MND",$Q986="EMBOQUE"),($AN986*2*6.8)/100,0))</f>
        <v>3.68016</v>
      </c>
      <c r="BK986" s="153" t="n">
        <f aca="false">IF(AND($M986&lt;&gt;"",$N986="VCA",$Q986="LINEAR"),($M986*2.5)/50,IF(AND($M986&lt;&gt;"",$N986="MND",$Q986="EMBOQUE"),($AN986*2*2.5)/50,0))</f>
        <v>2.706</v>
      </c>
      <c r="BL986" s="157" t="str">
        <f aca="false">K986&amp;J986</f>
        <v>Zona09REDES</v>
      </c>
      <c r="BM986" s="152" t="s">
        <v>5109</v>
      </c>
      <c r="BN986" s="152" t="s">
        <v>1560</v>
      </c>
      <c r="BO986" s="152" t="s">
        <v>4004</v>
      </c>
      <c r="BP986" s="152" t="s">
        <v>5291</v>
      </c>
      <c r="BQ986" s="152" t="s">
        <v>5269</v>
      </c>
      <c r="BR986" s="152" t="s">
        <v>5292</v>
      </c>
      <c r="BS986" s="152" t="n">
        <v>203324.587</v>
      </c>
      <c r="BT986" s="152" t="n">
        <v>8236770.848</v>
      </c>
      <c r="BU986" s="152" t="n">
        <v>203357.977</v>
      </c>
      <c r="BV986" s="152" t="n">
        <v>8236812.898</v>
      </c>
      <c r="BW986" s="152" t="n">
        <v>-15.9304169</v>
      </c>
      <c r="BX986" s="152" t="n">
        <v>-47.7708448</v>
      </c>
      <c r="BY986" s="152" t="s">
        <v>5291</v>
      </c>
    </row>
    <row r="987" customFormat="false" ht="13.8" hidden="false" customHeight="false" outlineLevel="0" collapsed="false">
      <c r="A987" s="149" t="n">
        <f aca="false">IF(C987&lt;&gt;"",ROW(A982),"")</f>
        <v>982</v>
      </c>
      <c r="B987" s="150" t="str">
        <f aca="false">HYPERLINK("https://www.google.com/maps/dir/-15.917302,-47.760003/-15.9303984,-47.7713191/data=!4m3!4m2!3e0!5i2")</f>
        <v>https://www.google.com/maps/dir/-15.917302,-47.760003/-15.9303984,-47.7713191/data=!4m3!4m2!3e0!5i2</v>
      </c>
      <c r="C987" s="151" t="s">
        <v>117</v>
      </c>
      <c r="D987" s="152" t="s">
        <v>112</v>
      </c>
      <c r="E987" s="152" t="s">
        <v>113</v>
      </c>
      <c r="F987" s="152" t="s">
        <v>117</v>
      </c>
      <c r="G987" s="152" t="s">
        <v>782</v>
      </c>
      <c r="H987" s="152" t="n">
        <v>90</v>
      </c>
      <c r="I987" s="152" t="s">
        <v>115</v>
      </c>
      <c r="J987" s="152" t="s">
        <v>6</v>
      </c>
      <c r="K987" s="152" t="s">
        <v>5106</v>
      </c>
      <c r="L987" s="152" t="s">
        <v>120</v>
      </c>
      <c r="M987" s="153" t="n">
        <f aca="false">40.36</f>
        <v>40.36</v>
      </c>
      <c r="N987" s="152" t="s">
        <v>1548</v>
      </c>
      <c r="O987" s="152" t="s">
        <v>1549</v>
      </c>
      <c r="P987" s="152" t="s">
        <v>1550</v>
      </c>
      <c r="Q987" s="152" t="s">
        <v>1551</v>
      </c>
      <c r="R987" s="154" t="s">
        <v>5293</v>
      </c>
      <c r="S987" s="154" t="s">
        <v>1593</v>
      </c>
      <c r="T987" s="155" t="s">
        <v>4002</v>
      </c>
      <c r="U987" s="152" t="str">
        <f aca="false">RIGHT(T987,7)</f>
        <v>015/037</v>
      </c>
      <c r="V987" s="152" t="s">
        <v>1555</v>
      </c>
      <c r="W987" s="156" t="n">
        <v>45882</v>
      </c>
      <c r="X987" s="152" t="s">
        <v>1594</v>
      </c>
      <c r="Y987" s="152" t="s">
        <v>1860</v>
      </c>
      <c r="Z987" s="152" t="s">
        <v>1557</v>
      </c>
      <c r="AA987" s="153" t="n">
        <v>4.6</v>
      </c>
      <c r="AB987" s="151" t="s">
        <v>5294</v>
      </c>
      <c r="AC987" s="151" t="s">
        <v>526</v>
      </c>
      <c r="AD987" s="151" t="str">
        <f aca="false">CONCATENATE($C987,$I987,$H987,$N987,$J987,$K987)</f>
        <v>TUBO PEADPEAD90VCAREDESZona09</v>
      </c>
      <c r="AE987" s="153" t="n">
        <f aca="false">IFERROR(INDEX(APOIO_REDES!$A:$W,MATCH($C987&amp;$I987&amp;$H987&amp;$N987&amp;$O987,APOIO_REDES!$W:$W,0),MATCH(AE$5,APOIO_REDES!$5:$5,0)),0)</f>
        <v>1.2</v>
      </c>
      <c r="AF987" s="153" t="n">
        <f aca="false">IFERROR(INDEX(APOIO_REDES!$A:$W,MATCH($C987&amp;$I987&amp;$H987&amp;$N987&amp;$O987,APOIO_REDES!$W:$W,0),MATCH(AF$5,APOIO_REDES!$5:$5,0)),0)</f>
        <v>1.39</v>
      </c>
      <c r="AG987" s="153" t="n">
        <f aca="false">IFERROR(INDEX(APOIO_REDES!$A:$W,MATCH($C987&amp;$I987&amp;$H987&amp;$N987&amp;$O987,APOIO_REDES!$W:$W,0),MATCH(AG$5,APOIO_REDES!$5:$5,0)),0)</f>
        <v>0.75</v>
      </c>
      <c r="AH987" s="153" t="n">
        <f aca="false">IFERROR(INDEX(APOIO_REDES!$A:$W,MATCH($C987&amp;$I987&amp;$H987&amp;$N987&amp;$O987,APOIO_REDES!$W:$W,0),MATCH(AH$5,APOIO_REDES!$5:$5,0)),0)</f>
        <v>0.1</v>
      </c>
      <c r="AI987" s="153" t="n">
        <f aca="false">IFERROR(IF($H987&lt;&gt;"",(((($H987/1000)/2)^2)*PI()*$M987),0),0)</f>
        <v>0.25675922598524</v>
      </c>
      <c r="AJ987" s="153" t="n">
        <f aca="false">IFERROR(IF(AND($H987&lt;&gt;"",$I987="FoFo",OR($N987="MND",$N987="VCA"),$Q987="LINEAR"),0,IF(AND($H987&lt;&gt;"",$I987="PEAD",$N987="VCA",$Q987="LINEAR"),($H987/1000)+0.3,IF(AND($H987&lt;&gt;"",$I987="PEAD",$N987="MND",$Q987="EMBOQUE"),0,IF(AND($H987&lt;&gt;"",$I987="PVC",$N987="VCA",$Q987="LINEAR"),($H987/1000)+0.2,IF(AND($H987&lt;&gt;"",$I987="PVC",$N987="MND",$Q987="EMBOQUE"),0,IF(AND($H987&lt;&gt;"",$I987="PEAD",$N987="VCA",$Q987="PREDIAL"),0,0)))))),0)</f>
        <v>0.39</v>
      </c>
      <c r="AK987" s="153" t="n">
        <f aca="false">IF(AA987&lt;&gt;"",AA987,0)</f>
        <v>4.6</v>
      </c>
      <c r="AL987" s="153" t="n">
        <f aca="false">IF(AND($N987="MND",$Q987="EMBOQUE"),$M987,IF(AND($N987="VCA",$Q987="LINEAR"),$M987,IF(AND($N987="VCA",$Q987="PREDIAL"),0,0)))</f>
        <v>40.36</v>
      </c>
      <c r="AM987" s="153" t="n">
        <f aca="false">IF(AND($N987="MND",$Q987="EMBOQUE"),$M987,IF(AND($N987="VCA",$Q987="LINEAR"),$M987,IF(AND($N987="VCA",$Q987="PREDIAL"),0,0)))</f>
        <v>40.36</v>
      </c>
      <c r="AN987" s="153" t="n">
        <f aca="false">ROUND(IF(AND($N987="VCA",$M987&lt;&gt;"",$Q987="LINEAR"),$M987/100,IF(AND($N987="MND",$M987&gt;100,$Q987="EMBOQUE"),$M987/100,0)),0)</f>
        <v>0</v>
      </c>
      <c r="AO987" s="153" t="n">
        <f aca="false">IF(AND($N987="MND",$Q987="EMBOQUE"),$AN987*2*2,IF(AND($N987="VCA",$Q987="LINEAR"),$M987*2,IF(AND($N987="VCA",$Q987="PREDIAL"),0,0)))</f>
        <v>80.72</v>
      </c>
      <c r="AP987" s="153" t="n">
        <f aca="false">IFERROR($M987*$AF987*$AG987,0)</f>
        <v>42.0753</v>
      </c>
      <c r="AQ987" s="153" t="n">
        <f aca="false">IFERROR(IF(AND($N987="VCA",$AH987&gt;0),$M987*$AG987*$AH987,0),0)</f>
        <v>3.027</v>
      </c>
      <c r="AR987" s="153" t="n">
        <f aca="false">IFERROR(IF(AND($N987="VCA",$AJ987&gt;0),($M987*$AG987*$AJ987)-$AI987,0),0)</f>
        <v>11.5485407740148</v>
      </c>
      <c r="AS987" s="153" t="n">
        <f aca="false">IFERROR(IF(AND($N987="VCA",$AP987&gt;0),$AP987-$AI987-$AQ987-$AR987,0),0)</f>
        <v>27.243</v>
      </c>
      <c r="AT987" s="153" t="n">
        <f aca="false">IFERROR(IF($N987="VCA",INDEX(APOIO_REDES!$A:$W,MATCH($C987&amp;$I987&amp;$H987&amp;$N987&amp;$O987,APOIO_REDES!$W:$W,0),MATCH(AT$5,APOIO_REDES!$5:$5,0)),0)*$AP987,0)</f>
        <v>0.457791717653105</v>
      </c>
      <c r="AU987" s="153" t="n">
        <f aca="false">IFERROR(IF($N987="VCA",INDEX(APOIO_REDES!$A:$W,MATCH($C987&amp;$I987&amp;$H987&amp;$N987&amp;$O987,APOIO_REDES!$W:$W,0),MATCH(AU$5,APOIO_REDES!$5:$5,0)),0)*$AP987,0)</f>
        <v>0.365580067145662</v>
      </c>
      <c r="AV987" s="153" t="n">
        <f aca="false">IFERROR(IF($N987="VCA",INDEX(APOIO_REDES!$A:$W,MATCH($C987&amp;$I987&amp;$H987&amp;$N987&amp;$O987,APOIO_REDES!$W:$W,0),MATCH(AV$5,APOIO_REDES!$5:$5,0)),0)*$AP987,0)</f>
        <v>0.0505934113769087</v>
      </c>
      <c r="AW987" s="153" t="n">
        <f aca="false">IFERROR(IF($N987="VCA",INDEX(APOIO_REDES!$A:$W,MATCH($C987&amp;$I987&amp;$H987&amp;$N987&amp;$O987,APOIO_REDES!$W:$W,0),MATCH(AW$5,APOIO_REDES!$5:$5,0)),0)*$AP987,0)</f>
        <v>28.8808119353332</v>
      </c>
      <c r="AX987" s="153" t="n">
        <f aca="false">IFERROR(IF($N987="VCA",INDEX(APOIO_REDES!$A:$W,MATCH($C987&amp;$I987&amp;$H987&amp;$N987&amp;$O987,APOIO_REDES!$W:$W,0),MATCH(AX$5,APOIO_REDES!$5:$5,0)),0)*$AP987,0)</f>
        <v>3.99702210330006</v>
      </c>
      <c r="AY987" s="153" t="n">
        <f aca="false">IFERROR(IF($N987="VCA",INDEX(APOIO_REDES!$A:$W,MATCH($C987&amp;$I987&amp;$H987&amp;$N987&amp;$O987,APOIO_REDES!$W:$W,0),MATCH(AY$5,APOIO_REDES!$5:$5,0)),0)*$AP987,0)</f>
        <v>7.31159688652186</v>
      </c>
      <c r="AZ987" s="153" t="n">
        <f aca="false">IFERROR(IF($N987="VCA",INDEX(APOIO_REDES!$A:$W,MATCH($C987&amp;$I987&amp;$H987&amp;$N987&amp;$O987,APOIO_REDES!$W:$W,0),MATCH(AZ$5,APOIO_REDES!$5:$5,0)),0)*$AP987,0)</f>
        <v>1.01190387866924</v>
      </c>
      <c r="BA987" s="153" t="n">
        <f aca="false">IFERROR(IF(AND($N987="VCA",$Q987="LINEAR"),INDEX(APOIO_REDES!$A:$W,MATCH($C987&amp;$I987&amp;$H987&amp;$N987&amp;$O987,APOIO_REDES!$W:$W,0),MATCH(BA$5,APOIO_REDES!$5:$5,0)),IF(AND($N987="MND",$Q987="EMBOQUE"),INDEX(APOIO_REDES!$A:$W,MATCH($C987&amp;$I987&amp;$H987&amp;$N987&amp;$O987,APOIO_REDES!$W:$W,0),MATCH(BA$5,APOIO_REDES!$5:$5,0)),0))*$M987/10,0)</f>
        <v>3.25291419511993</v>
      </c>
      <c r="BB987" s="153" t="n">
        <f aca="false">IFERROR(IF($N987="VCA",INDEX(APOIO_REDES!$A:$W,MATCH($C987&amp;$I987&amp;$H987&amp;$N987&amp;$O987,APOIO_REDES!$W:$W,0),MATCH(BB$5,APOIO_REDES!$5:$5,0)),0)*($AI987+$AQ987+$AR987),0)</f>
        <v>14.6709201858633</v>
      </c>
      <c r="BC987" s="153" t="n">
        <f aca="false">IFERROR(IF($N987="VCA",INDEX(APOIO_REDES!$A:$W,MATCH($C987&amp;$I987&amp;$H987&amp;$N987&amp;$O987,APOIO_REDES!$W:$W,0),MATCH(BC$5,APOIO_REDES!$5:$5,0)),0)*($AI987+$AQ987+$AR987),0)</f>
        <v>0.161379814136706</v>
      </c>
      <c r="BD987" s="153" t="n">
        <f aca="false">IF(AND($N987="VCA",$AF987&gt;=1.25,$AF987&lt;1.5),$M987*$AF987*2,0)</f>
        <v>112.2008</v>
      </c>
      <c r="BE987" s="153" t="n">
        <f aca="false">IF(AND($N987="VCA",$AF987&gt;=1.5,$AF987&lt;3),$M987*$AF987*2,0)</f>
        <v>0</v>
      </c>
      <c r="BF987" s="153" t="n">
        <f aca="false">IF(AND($N987="VCA",$AF987&gt;=3),$M987*$AF987*2,0)</f>
        <v>0</v>
      </c>
      <c r="BG987" s="153" t="n">
        <f aca="false">($BB987+$BC987)*$AK987</f>
        <v>68.22858</v>
      </c>
      <c r="BH987" s="153" t="n">
        <f aca="false">IF(AND($M987&lt;&gt;"",$N987="VCA",$Q987="LINEAR"),($M987*2)/100,IF(AND($M987&lt;&gt;"",$N987="MND",$Q987="EMBOQUE"),($AN987*2)/100,0))</f>
        <v>0.8072</v>
      </c>
      <c r="BI987" s="153" t="n">
        <f aca="false">IF(AND($M987&lt;&gt;"",$N987="VCA",$Q987="LINEAR"),$M987,IF(AND($M987&lt;&gt;"",$N987="MND",$Q987="EMBOQUE"),$AN987*2,0))</f>
        <v>40.36</v>
      </c>
      <c r="BJ987" s="153" t="n">
        <f aca="false">IF(AND($M987&lt;&gt;"",$N987="VCA",$Q987="LINEAR"),($M987*6.8)/100,IF(AND($M987&lt;&gt;"",$N987="MND",$Q987="EMBOQUE"),($AN987*2*6.8)/100,0))</f>
        <v>2.74448</v>
      </c>
      <c r="BK987" s="153" t="n">
        <f aca="false">IF(AND($M987&lt;&gt;"",$N987="VCA",$Q987="LINEAR"),($M987*2.5)/50,IF(AND($M987&lt;&gt;"",$N987="MND",$Q987="EMBOQUE"),($AN987*2*2.5)/50,0))</f>
        <v>2.018</v>
      </c>
      <c r="BL987" s="157" t="str">
        <f aca="false">K987&amp;J987</f>
        <v>Zona09REDES</v>
      </c>
      <c r="BM987" s="152" t="s">
        <v>5109</v>
      </c>
      <c r="BN987" s="152" t="s">
        <v>1560</v>
      </c>
      <c r="BO987" s="152" t="s">
        <v>4004</v>
      </c>
      <c r="BP987" s="152" t="s">
        <v>5283</v>
      </c>
      <c r="BQ987" s="152" t="s">
        <v>5291</v>
      </c>
      <c r="BR987" s="152" t="s">
        <v>5295</v>
      </c>
      <c r="BS987" s="152" t="n">
        <v>203290.998</v>
      </c>
      <c r="BT987" s="152" t="n">
        <v>8236793.229</v>
      </c>
      <c r="BU987" s="152" t="n">
        <v>203324.584</v>
      </c>
      <c r="BV987" s="152" t="n">
        <v>8236770.85</v>
      </c>
      <c r="BW987" s="152" t="n">
        <v>-15.9304993</v>
      </c>
      <c r="BX987" s="152" t="n">
        <v>-47.7711628</v>
      </c>
      <c r="BY987" s="152" t="s">
        <v>5283</v>
      </c>
    </row>
    <row r="988" customFormat="false" ht="13.8" hidden="false" customHeight="false" outlineLevel="0" collapsed="false">
      <c r="A988" s="149" t="n">
        <f aca="false">IF(C988&lt;&gt;"",ROW(A983),"")</f>
        <v>983</v>
      </c>
      <c r="B988" s="150" t="str">
        <f aca="false">HYPERLINK("https://www.google.com/maps/dir/-15.917302,-47.760003/-15.9300600,-47.7721599/data=!4m3!4m2!3e0!5i2")</f>
        <v>https://www.google.com/maps/dir/-15.917302,-47.760003/-15.9300600,-47.7721599/data=!4m3!4m2!3e0!5i2</v>
      </c>
      <c r="C988" s="151" t="s">
        <v>117</v>
      </c>
      <c r="D988" s="152" t="s">
        <v>112</v>
      </c>
      <c r="E988" s="152" t="s">
        <v>113</v>
      </c>
      <c r="F988" s="152" t="s">
        <v>117</v>
      </c>
      <c r="G988" s="152" t="s">
        <v>782</v>
      </c>
      <c r="H988" s="152" t="n">
        <v>63</v>
      </c>
      <c r="I988" s="152" t="s">
        <v>115</v>
      </c>
      <c r="J988" s="152" t="s">
        <v>6</v>
      </c>
      <c r="K988" s="152" t="s">
        <v>5106</v>
      </c>
      <c r="L988" s="152" t="s">
        <v>120</v>
      </c>
      <c r="M988" s="153" t="n">
        <f aca="false">133.19+4</f>
        <v>137.19</v>
      </c>
      <c r="N988" s="152" t="s">
        <v>1548</v>
      </c>
      <c r="O988" s="152" t="s">
        <v>1549</v>
      </c>
      <c r="P988" s="152" t="s">
        <v>1550</v>
      </c>
      <c r="Q988" s="152" t="s">
        <v>1551</v>
      </c>
      <c r="R988" s="154" t="s">
        <v>5296</v>
      </c>
      <c r="S988" s="154" t="s">
        <v>1553</v>
      </c>
      <c r="T988" s="155" t="s">
        <v>4002</v>
      </c>
      <c r="U988" s="152" t="str">
        <f aca="false">RIGHT(T988,7)</f>
        <v>015/037</v>
      </c>
      <c r="V988" s="152" t="s">
        <v>1555</v>
      </c>
      <c r="W988" s="156" t="n">
        <v>45882</v>
      </c>
      <c r="X988" s="152" t="s">
        <v>1594</v>
      </c>
      <c r="Y988" s="152"/>
      <c r="Z988" s="152" t="s">
        <v>1557</v>
      </c>
      <c r="AA988" s="153" t="n">
        <v>5</v>
      </c>
      <c r="AB988" s="151" t="s">
        <v>5297</v>
      </c>
      <c r="AC988" s="151" t="s">
        <v>186</v>
      </c>
      <c r="AD988" s="151" t="str">
        <f aca="false">CONCATENATE($C988,$I988,$H988,$N988,$J988,$K988)</f>
        <v>TUBO PEADPEAD63VCAREDESZona09</v>
      </c>
      <c r="AE988" s="153" t="n">
        <f aca="false">IFERROR(INDEX(APOIO_REDES!$A:$W,MATCH($C988&amp;$I988&amp;$H988&amp;$N988&amp;$O988,APOIO_REDES!$W:$W,0),MATCH(AE$5,APOIO_REDES!$5:$5,0)),0)</f>
        <v>1.2</v>
      </c>
      <c r="AF988" s="153" t="n">
        <f aca="false">IFERROR(INDEX(APOIO_REDES!$A:$W,MATCH($C988&amp;$I988&amp;$H988&amp;$N988&amp;$O988,APOIO_REDES!$W:$W,0),MATCH(AF$5,APOIO_REDES!$5:$5,0)),0)</f>
        <v>1.363</v>
      </c>
      <c r="AG988" s="153" t="n">
        <f aca="false">IFERROR(INDEX(APOIO_REDES!$A:$W,MATCH($C988&amp;$I988&amp;$H988&amp;$N988&amp;$O988,APOIO_REDES!$W:$W,0),MATCH(AG$5,APOIO_REDES!$5:$5,0)),0)</f>
        <v>0.65</v>
      </c>
      <c r="AH988" s="153" t="n">
        <f aca="false">IFERROR(INDEX(APOIO_REDES!$A:$W,MATCH($C988&amp;$I988&amp;$H988&amp;$N988&amp;$O988,APOIO_REDES!$W:$W,0),MATCH(AH$5,APOIO_REDES!$5:$5,0)),0)</f>
        <v>0.1</v>
      </c>
      <c r="AI988" s="153" t="n">
        <f aca="false">IFERROR(IF($H988&lt;&gt;"",(((($H988/1000)/2)^2)*PI()*$M988),0),0)</f>
        <v>0.427654884150852</v>
      </c>
      <c r="AJ988" s="153" t="n">
        <f aca="false">IFERROR(IF(AND($H988&lt;&gt;"",$I988="FoFo",OR($N988="MND",$N988="VCA"),$Q988="LINEAR"),0,IF(AND($H988&lt;&gt;"",$I988="PEAD",$N988="VCA",$Q988="LINEAR"),($H988/1000)+0.3,IF(AND($H988&lt;&gt;"",$I988="PEAD",$N988="MND",$Q988="EMBOQUE"),0,IF(AND($H988&lt;&gt;"",$I988="PVC",$N988="VCA",$Q988="LINEAR"),($H988/1000)+0.2,IF(AND($H988&lt;&gt;"",$I988="PVC",$N988="MND",$Q988="EMBOQUE"),0,IF(AND($H988&lt;&gt;"",$I988="PEAD",$N988="VCA",$Q988="PREDIAL"),0,0)))))),0)</f>
        <v>0.363</v>
      </c>
      <c r="AK988" s="153" t="n">
        <f aca="false">IF(AA988&lt;&gt;"",AA988,0)</f>
        <v>5</v>
      </c>
      <c r="AL988" s="153" t="n">
        <f aca="false">IF(AND($N988="MND",$Q988="EMBOQUE"),$M988,IF(AND($N988="VCA",$Q988="LINEAR"),$M988,IF(AND($N988="VCA",$Q988="PREDIAL"),0,0)))</f>
        <v>137.19</v>
      </c>
      <c r="AM988" s="153" t="n">
        <f aca="false">IF(AND($N988="MND",$Q988="EMBOQUE"),$M988,IF(AND($N988="VCA",$Q988="LINEAR"),$M988,IF(AND($N988="VCA",$Q988="PREDIAL"),0,0)))</f>
        <v>137.19</v>
      </c>
      <c r="AN988" s="153" t="n">
        <f aca="false">ROUND(IF(AND($N988="VCA",$M988&lt;&gt;"",$Q988="LINEAR"),$M988/100,IF(AND($N988="MND",$M988&gt;100,$Q988="EMBOQUE"),$M988/100,0)),0)</f>
        <v>1</v>
      </c>
      <c r="AO988" s="153" t="n">
        <f aca="false">IF(AND($N988="MND",$Q988="EMBOQUE"),$AN988*2*2,IF(AND($N988="VCA",$Q988="LINEAR"),$M988*2,IF(AND($N988="VCA",$Q988="PREDIAL"),0,0)))</f>
        <v>274.38</v>
      </c>
      <c r="AP988" s="153" t="n">
        <f aca="false">IFERROR($M988*$AF988*$AG988,0)</f>
        <v>121.5434805</v>
      </c>
      <c r="AQ988" s="153" t="n">
        <f aca="false">IFERROR(IF(AND($N988="VCA",$AH988&gt;0),$M988*$AG988*$AH988,0),0)</f>
        <v>8.91735</v>
      </c>
      <c r="AR988" s="153" t="n">
        <f aca="false">IFERROR(IF(AND($N988="VCA",$AJ988&gt;0),($M988*$AG988*$AJ988)-$AI988,0),0)</f>
        <v>31.9423256158492</v>
      </c>
      <c r="AS988" s="153" t="n">
        <f aca="false">IFERROR(IF(AND($N988="VCA",$AP988&gt;0),$AP988-$AI988-$AQ988-$AR988,0),0)</f>
        <v>80.25615</v>
      </c>
      <c r="AT988" s="153" t="n">
        <f aca="false">IFERROR(IF($N988="VCA",INDEX(APOIO_REDES!$A:$W,MATCH($C988&amp;$I988&amp;$H988&amp;$N988&amp;$O988,APOIO_REDES!$W:$W,0),MATCH(AT$5,APOIO_REDES!$5:$5,0)),0)*$AP988,0)</f>
        <v>1.32242904287389</v>
      </c>
      <c r="AU988" s="153" t="n">
        <f aca="false">IFERROR(IF($N988="VCA",INDEX(APOIO_REDES!$A:$W,MATCH($C988&amp;$I988&amp;$H988&amp;$N988&amp;$O988,APOIO_REDES!$W:$W,0),MATCH(AU$5,APOIO_REDES!$5:$5,0)),0)*$AP988,0)</f>
        <v>1.05605601771841</v>
      </c>
      <c r="AV988" s="153" t="n">
        <f aca="false">IFERROR(IF($N988="VCA",INDEX(APOIO_REDES!$A:$W,MATCH($C988&amp;$I988&amp;$H988&amp;$N988&amp;$O988,APOIO_REDES!$W:$W,0),MATCH(AV$5,APOIO_REDES!$5:$5,0)),0)*$AP988,0)</f>
        <v>0.14614986248744</v>
      </c>
      <c r="AW988" s="153" t="n">
        <f aca="false">IFERROR(IF($N988="VCA",INDEX(APOIO_REDES!$A:$W,MATCH($C988&amp;$I988&amp;$H988&amp;$N988&amp;$O988,APOIO_REDES!$W:$W,0),MATCH(AW$5,APOIO_REDES!$5:$5,0)),0)*$AP988,0)</f>
        <v>83.4283867800428</v>
      </c>
      <c r="AX988" s="153" t="n">
        <f aca="false">IFERROR(IF($N988="VCA",INDEX(APOIO_REDES!$A:$W,MATCH($C988&amp;$I988&amp;$H988&amp;$N988&amp;$O988,APOIO_REDES!$W:$W,0),MATCH(AX$5,APOIO_REDES!$5:$5,0)),0)*$AP988,0)</f>
        <v>11.5462510800997</v>
      </c>
      <c r="AY988" s="153" t="n">
        <f aca="false">IFERROR(IF($N988="VCA",INDEX(APOIO_REDES!$A:$W,MATCH($C988&amp;$I988&amp;$H988&amp;$N988&amp;$O988,APOIO_REDES!$W:$W,0),MATCH(AY$5,APOIO_REDES!$5:$5,0)),0)*$AP988,0)</f>
        <v>21.121107481131</v>
      </c>
      <c r="AZ988" s="153" t="n">
        <f aca="false">IFERROR(IF($N988="VCA",INDEX(APOIO_REDES!$A:$W,MATCH($C988&amp;$I988&amp;$H988&amp;$N988&amp;$O988,APOIO_REDES!$W:$W,0),MATCH(AZ$5,APOIO_REDES!$5:$5,0)),0)*$AP988,0)</f>
        <v>2.92310023564679</v>
      </c>
      <c r="BA988" s="153" t="n">
        <f aca="false">IFERROR(IF(AND($N988="VCA",$Q988="LINEAR"),INDEX(APOIO_REDES!$A:$W,MATCH($C988&amp;$I988&amp;$H988&amp;$N988&amp;$O988,APOIO_REDES!$W:$W,0),MATCH(BA$5,APOIO_REDES!$5:$5,0)),IF(AND($N988="MND",$Q988="EMBOQUE"),INDEX(APOIO_REDES!$A:$W,MATCH($C988&amp;$I988&amp;$H988&amp;$N988&amp;$O988,APOIO_REDES!$W:$W,0),MATCH(BA$5,APOIO_REDES!$5:$5,0)),0))*$M988/10,0)</f>
        <v>11.0571679491701</v>
      </c>
      <c r="BB988" s="153" t="n">
        <f aca="false">IFERROR(IF($N988="VCA",INDEX(APOIO_REDES!$A:$W,MATCH($C988&amp;$I988&amp;$H988&amp;$N988&amp;$O988,APOIO_REDES!$W:$W,0),MATCH(BB$5,APOIO_REDES!$5:$5,0)),0)*($AI988+$AQ988+$AR988),0)</f>
        <v>40.838112123734</v>
      </c>
      <c r="BC988" s="153" t="n">
        <f aca="false">IFERROR(IF($N988="VCA",INDEX(APOIO_REDES!$A:$W,MATCH($C988&amp;$I988&amp;$H988&amp;$N988&amp;$O988,APOIO_REDES!$W:$W,0),MATCH(BC$5,APOIO_REDES!$5:$5,0)),0)*($AI988+$AQ988+$AR988),0)</f>
        <v>0.449218376266038</v>
      </c>
      <c r="BD988" s="153" t="n">
        <f aca="false">IF(AND($N988="VCA",$AF988&gt;=1.25,$AF988&lt;1.5),$M988*$AF988*2,0)</f>
        <v>373.97994</v>
      </c>
      <c r="BE988" s="153" t="n">
        <f aca="false">IF(AND($N988="VCA",$AF988&gt;=1.5,$AF988&lt;3),$M988*$AF988*2,0)</f>
        <v>0</v>
      </c>
      <c r="BF988" s="153" t="n">
        <f aca="false">IF(AND($N988="VCA",$AF988&gt;=3),$M988*$AF988*2,0)</f>
        <v>0</v>
      </c>
      <c r="BG988" s="153" t="n">
        <f aca="false">($BB988+$BC988)*$AK988</f>
        <v>206.4366525</v>
      </c>
      <c r="BH988" s="153" t="n">
        <f aca="false">IF(AND($M988&lt;&gt;"",$N988="VCA",$Q988="LINEAR"),($M988*2)/100,IF(AND($M988&lt;&gt;"",$N988="MND",$Q988="EMBOQUE"),($AN988*2)/100,0))</f>
        <v>2.7438</v>
      </c>
      <c r="BI988" s="153" t="n">
        <f aca="false">IF(AND($M988&lt;&gt;"",$N988="VCA",$Q988="LINEAR"),$M988,IF(AND($M988&lt;&gt;"",$N988="MND",$Q988="EMBOQUE"),$AN988*2,0))</f>
        <v>137.19</v>
      </c>
      <c r="BJ988" s="153" t="n">
        <f aca="false">IF(AND($M988&lt;&gt;"",$N988="VCA",$Q988="LINEAR"),($M988*6.8)/100,IF(AND($M988&lt;&gt;"",$N988="MND",$Q988="EMBOQUE"),($AN988*2*6.8)/100,0))</f>
        <v>9.32892</v>
      </c>
      <c r="BK988" s="153" t="n">
        <f aca="false">IF(AND($M988&lt;&gt;"",$N988="VCA",$Q988="LINEAR"),($M988*2.5)/50,IF(AND($M988&lt;&gt;"",$N988="MND",$Q988="EMBOQUE"),($AN988*2*2.5)/50,0))</f>
        <v>6.8595</v>
      </c>
      <c r="BL988" s="157" t="str">
        <f aca="false">K988&amp;J988</f>
        <v>Zona09REDES</v>
      </c>
      <c r="BM988" s="152" t="s">
        <v>5109</v>
      </c>
      <c r="BN988" s="152" t="s">
        <v>1560</v>
      </c>
      <c r="BO988" s="152" t="s">
        <v>4004</v>
      </c>
      <c r="BP988" s="152" t="s">
        <v>5298</v>
      </c>
      <c r="BQ988" s="152" t="s">
        <v>5215</v>
      </c>
      <c r="BR988" s="152" t="s">
        <v>5299</v>
      </c>
      <c r="BS988" s="152" t="n">
        <v>203200.277</v>
      </c>
      <c r="BT988" s="152" t="n">
        <v>8236829.194</v>
      </c>
      <c r="BU988" s="152" t="n">
        <v>203145.79</v>
      </c>
      <c r="BV988" s="152" t="n">
        <v>8236707.66</v>
      </c>
      <c r="BW988" s="152" t="n">
        <v>-15.9306056</v>
      </c>
      <c r="BX988" s="152" t="n">
        <v>-47.7724212</v>
      </c>
      <c r="BY988" s="152" t="s">
        <v>5298</v>
      </c>
    </row>
    <row r="989" customFormat="false" ht="13.8" hidden="false" customHeight="false" outlineLevel="0" collapsed="false">
      <c r="A989" s="149" t="n">
        <f aca="false">IF(C989&lt;&gt;"",ROW(A984),"")</f>
        <v>984</v>
      </c>
      <c r="B989" s="150" t="str">
        <f aca="false">HYPERLINK("https://www.google.com/maps/dir/-15.917302,-47.760003/-15.9308586,-47.7706764/data=!4m3!4m2!3e0!5i2")</f>
        <v>https://www.google.com/maps/dir/-15.917302,-47.760003/-15.9308586,-47.7706764/data=!4m3!4m2!3e0!5i2</v>
      </c>
      <c r="C989" s="151" t="s">
        <v>117</v>
      </c>
      <c r="D989" s="152" t="s">
        <v>112</v>
      </c>
      <c r="E989" s="152" t="s">
        <v>113</v>
      </c>
      <c r="F989" s="152" t="s">
        <v>117</v>
      </c>
      <c r="G989" s="152" t="s">
        <v>782</v>
      </c>
      <c r="H989" s="152" t="n">
        <v>63</v>
      </c>
      <c r="I989" s="152" t="s">
        <v>115</v>
      </c>
      <c r="J989" s="152" t="s">
        <v>6</v>
      </c>
      <c r="K989" s="152" t="s">
        <v>5106</v>
      </c>
      <c r="L989" s="152" t="s">
        <v>120</v>
      </c>
      <c r="M989" s="153" t="n">
        <f aca="false">134.5+0.87</f>
        <v>135.37</v>
      </c>
      <c r="N989" s="152" t="s">
        <v>1548</v>
      </c>
      <c r="O989" s="152" t="s">
        <v>1549</v>
      </c>
      <c r="P989" s="152" t="s">
        <v>1550</v>
      </c>
      <c r="Q989" s="152" t="s">
        <v>1551</v>
      </c>
      <c r="R989" s="154" t="s">
        <v>5300</v>
      </c>
      <c r="S989" s="154" t="s">
        <v>1553</v>
      </c>
      <c r="T989" s="155" t="s">
        <v>4002</v>
      </c>
      <c r="U989" s="152" t="str">
        <f aca="false">RIGHT(T989,7)</f>
        <v>015/037</v>
      </c>
      <c r="V989" s="152" t="s">
        <v>1555</v>
      </c>
      <c r="W989" s="156" t="n">
        <v>45882</v>
      </c>
      <c r="X989" s="152" t="s">
        <v>1594</v>
      </c>
      <c r="Y989" s="152"/>
      <c r="Z989" s="152" t="s">
        <v>1557</v>
      </c>
      <c r="AA989" s="153" t="n">
        <v>4.5</v>
      </c>
      <c r="AB989" s="151" t="s">
        <v>5301</v>
      </c>
      <c r="AC989" s="151" t="s">
        <v>186</v>
      </c>
      <c r="AD989" s="151" t="str">
        <f aca="false">CONCATENATE($C989,$I989,$H989,$N989,$J989,$K989)</f>
        <v>TUBO PEADPEAD63VCAREDESZona09</v>
      </c>
      <c r="AE989" s="153" t="n">
        <f aca="false">IFERROR(INDEX(APOIO_REDES!$A:$W,MATCH($C989&amp;$I989&amp;$H989&amp;$N989&amp;$O989,APOIO_REDES!$W:$W,0),MATCH(AE$5,APOIO_REDES!$5:$5,0)),0)</f>
        <v>1.2</v>
      </c>
      <c r="AF989" s="153" t="n">
        <f aca="false">IFERROR(INDEX(APOIO_REDES!$A:$W,MATCH($C989&amp;$I989&amp;$H989&amp;$N989&amp;$O989,APOIO_REDES!$W:$W,0),MATCH(AF$5,APOIO_REDES!$5:$5,0)),0)</f>
        <v>1.363</v>
      </c>
      <c r="AG989" s="153" t="n">
        <f aca="false">IFERROR(INDEX(APOIO_REDES!$A:$W,MATCH($C989&amp;$I989&amp;$H989&amp;$N989&amp;$O989,APOIO_REDES!$W:$W,0),MATCH(AG$5,APOIO_REDES!$5:$5,0)),0)</f>
        <v>0.65</v>
      </c>
      <c r="AH989" s="153" t="n">
        <f aca="false">IFERROR(INDEX(APOIO_REDES!$A:$W,MATCH($C989&amp;$I989&amp;$H989&amp;$N989&amp;$O989,APOIO_REDES!$W:$W,0),MATCH(AH$5,APOIO_REDES!$5:$5,0)),0)</f>
        <v>0.1</v>
      </c>
      <c r="AI989" s="153" t="n">
        <f aca="false">IFERROR(IF($H989&lt;&gt;"",(((($H989/1000)/2)^2)*PI()*$M989),0),0)</f>
        <v>0.421981497685698</v>
      </c>
      <c r="AJ989" s="153" t="n">
        <f aca="false">IFERROR(IF(AND($H989&lt;&gt;"",$I989="FoFo",OR($N989="MND",$N989="VCA"),$Q989="LINEAR"),0,IF(AND($H989&lt;&gt;"",$I989="PEAD",$N989="VCA",$Q989="LINEAR"),($H989/1000)+0.3,IF(AND($H989&lt;&gt;"",$I989="PEAD",$N989="MND",$Q989="EMBOQUE"),0,IF(AND($H989&lt;&gt;"",$I989="PVC",$N989="VCA",$Q989="LINEAR"),($H989/1000)+0.2,IF(AND($H989&lt;&gt;"",$I989="PVC",$N989="MND",$Q989="EMBOQUE"),0,IF(AND($H989&lt;&gt;"",$I989="PEAD",$N989="VCA",$Q989="PREDIAL"),0,0)))))),0)</f>
        <v>0.363</v>
      </c>
      <c r="AK989" s="153" t="n">
        <f aca="false">IF(AA989&lt;&gt;"",AA989,0)</f>
        <v>4.5</v>
      </c>
      <c r="AL989" s="153" t="n">
        <f aca="false">IF(AND($N989="MND",$Q989="EMBOQUE"),$M989,IF(AND($N989="VCA",$Q989="LINEAR"),$M989,IF(AND($N989="VCA",$Q989="PREDIAL"),0,0)))</f>
        <v>135.37</v>
      </c>
      <c r="AM989" s="153" t="n">
        <f aca="false">IF(AND($N989="MND",$Q989="EMBOQUE"),$M989,IF(AND($N989="VCA",$Q989="LINEAR"),$M989,IF(AND($N989="VCA",$Q989="PREDIAL"),0,0)))</f>
        <v>135.37</v>
      </c>
      <c r="AN989" s="153" t="n">
        <f aca="false">ROUND(IF(AND($N989="VCA",$M989&lt;&gt;"",$Q989="LINEAR"),$M989/100,IF(AND($N989="MND",$M989&gt;100,$Q989="EMBOQUE"),$M989/100,0)),0)</f>
        <v>1</v>
      </c>
      <c r="AO989" s="153" t="n">
        <f aca="false">IF(AND($N989="MND",$Q989="EMBOQUE"),$AN989*2*2,IF(AND($N989="VCA",$Q989="LINEAR"),$M989*2,IF(AND($N989="VCA",$Q989="PREDIAL"),0,0)))</f>
        <v>270.74</v>
      </c>
      <c r="AP989" s="153" t="n">
        <f aca="false">IFERROR($M989*$AF989*$AG989,0)</f>
        <v>119.9310515</v>
      </c>
      <c r="AQ989" s="153" t="n">
        <f aca="false">IFERROR(IF(AND($N989="VCA",$AH989&gt;0),$M989*$AG989*$AH989,0),0)</f>
        <v>8.79905</v>
      </c>
      <c r="AR989" s="153" t="n">
        <f aca="false">IFERROR(IF(AND($N989="VCA",$AJ989&gt;0),($M989*$AG989*$AJ989)-$AI989,0),0)</f>
        <v>31.5185700023143</v>
      </c>
      <c r="AS989" s="153" t="n">
        <f aca="false">IFERROR(IF(AND($N989="VCA",$AP989&gt;0),$AP989-$AI989-$AQ989-$AR989,0),0)</f>
        <v>79.19145</v>
      </c>
      <c r="AT989" s="153" t="n">
        <f aca="false">IFERROR(IF($N989="VCA",INDEX(APOIO_REDES!$A:$W,MATCH($C989&amp;$I989&amp;$H989&amp;$N989&amp;$O989,APOIO_REDES!$W:$W,0),MATCH(AT$5,APOIO_REDES!$5:$5,0)),0)*$AP989,0)</f>
        <v>1.30488533809926</v>
      </c>
      <c r="AU989" s="153" t="n">
        <f aca="false">IFERROR(IF($N989="VCA",INDEX(APOIO_REDES!$A:$W,MATCH($C989&amp;$I989&amp;$H989&amp;$N989&amp;$O989,APOIO_REDES!$W:$W,0),MATCH(AU$5,APOIO_REDES!$5:$5,0)),0)*$AP989,0)</f>
        <v>1.04204609022918</v>
      </c>
      <c r="AV989" s="153" t="n">
        <f aca="false">IFERROR(IF($N989="VCA",INDEX(APOIO_REDES!$A:$W,MATCH($C989&amp;$I989&amp;$H989&amp;$N989&amp;$O989,APOIO_REDES!$W:$W,0),MATCH(AV$5,APOIO_REDES!$5:$5,0)),0)*$AP989,0)</f>
        <v>0.144210998505173</v>
      </c>
      <c r="AW989" s="153" t="n">
        <f aca="false">IFERROR(IF($N989="VCA",INDEX(APOIO_REDES!$A:$W,MATCH($C989&amp;$I989&amp;$H989&amp;$N989&amp;$O989,APOIO_REDES!$W:$W,0),MATCH(AW$5,APOIO_REDES!$5:$5,0)),0)*$AP989,0)</f>
        <v>82.3216030207332</v>
      </c>
      <c r="AX989" s="153" t="n">
        <f aca="false">IFERROR(IF($N989="VCA",INDEX(APOIO_REDES!$A:$W,MATCH($C989&amp;$I989&amp;$H989&amp;$N989&amp;$O989,APOIO_REDES!$W:$W,0),MATCH(AX$5,APOIO_REDES!$5:$5,0)),0)*$AP989,0)</f>
        <v>11.3930753605445</v>
      </c>
      <c r="AY989" s="153" t="n">
        <f aca="false">IFERROR(IF($N989="VCA",INDEX(APOIO_REDES!$A:$W,MATCH($C989&amp;$I989&amp;$H989&amp;$N989&amp;$O989,APOIO_REDES!$W:$W,0),MATCH(AY$5,APOIO_REDES!$5:$5,0)),0)*$AP989,0)</f>
        <v>20.8409091021263</v>
      </c>
      <c r="AZ989" s="153" t="n">
        <f aca="false">IFERROR(IF($N989="VCA",INDEX(APOIO_REDES!$A:$W,MATCH($C989&amp;$I989&amp;$H989&amp;$N989&amp;$O989,APOIO_REDES!$W:$W,0),MATCH(AZ$5,APOIO_REDES!$5:$5,0)),0)*$AP989,0)</f>
        <v>2.88432158976242</v>
      </c>
      <c r="BA989" s="153" t="n">
        <f aca="false">IFERROR(IF(AND($N989="VCA",$Q989="LINEAR"),INDEX(APOIO_REDES!$A:$W,MATCH($C989&amp;$I989&amp;$H989&amp;$N989&amp;$O989,APOIO_REDES!$W:$W,0),MATCH(BA$5,APOIO_REDES!$5:$5,0)),IF(AND($N989="MND",$Q989="EMBOQUE"),INDEX(APOIO_REDES!$A:$W,MATCH($C989&amp;$I989&amp;$H989&amp;$N989&amp;$O989,APOIO_REDES!$W:$W,0),MATCH(BA$5,APOIO_REDES!$5:$5,0)),0))*$M989/10,0)</f>
        <v>10.9104805399749</v>
      </c>
      <c r="BB989" s="153" t="n">
        <f aca="false">IFERROR(IF($N989="VCA",INDEX(APOIO_REDES!$A:$W,MATCH($C989&amp;$I989&amp;$H989&amp;$N989&amp;$O989,APOIO_REDES!$W:$W,0),MATCH(BB$5,APOIO_REDES!$5:$5,0)),0)*($AI989+$AQ989+$AR989),0)</f>
        <v>40.2963425773735</v>
      </c>
      <c r="BC989" s="153" t="n">
        <f aca="false">IFERROR(IF($N989="VCA",INDEX(APOIO_REDES!$A:$W,MATCH($C989&amp;$I989&amp;$H989&amp;$N989&amp;$O989,APOIO_REDES!$W:$W,0),MATCH(BC$5,APOIO_REDES!$5:$5,0)),0)*($AI989+$AQ989+$AR989),0)</f>
        <v>0.443258922626529</v>
      </c>
      <c r="BD989" s="153" t="n">
        <f aca="false">IF(AND($N989="VCA",$AF989&gt;=1.25,$AF989&lt;1.5),$M989*$AF989*2,0)</f>
        <v>369.01862</v>
      </c>
      <c r="BE989" s="153" t="n">
        <f aca="false">IF(AND($N989="VCA",$AF989&gt;=1.5,$AF989&lt;3),$M989*$AF989*2,0)</f>
        <v>0</v>
      </c>
      <c r="BF989" s="153" t="n">
        <f aca="false">IF(AND($N989="VCA",$AF989&gt;=3),$M989*$AF989*2,0)</f>
        <v>0</v>
      </c>
      <c r="BG989" s="153" t="n">
        <f aca="false">($BB989+$BC989)*$AK989</f>
        <v>183.32820675</v>
      </c>
      <c r="BH989" s="153" t="n">
        <f aca="false">IF(AND($M989&lt;&gt;"",$N989="VCA",$Q989="LINEAR"),($M989*2)/100,IF(AND($M989&lt;&gt;"",$N989="MND",$Q989="EMBOQUE"),($AN989*2)/100,0))</f>
        <v>2.7074</v>
      </c>
      <c r="BI989" s="153" t="n">
        <f aca="false">IF(AND($M989&lt;&gt;"",$N989="VCA",$Q989="LINEAR"),$M989,IF(AND($M989&lt;&gt;"",$N989="MND",$Q989="EMBOQUE"),$AN989*2,0))</f>
        <v>135.37</v>
      </c>
      <c r="BJ989" s="153" t="n">
        <f aca="false">IF(AND($M989&lt;&gt;"",$N989="VCA",$Q989="LINEAR"),($M989*6.8)/100,IF(AND($M989&lt;&gt;"",$N989="MND",$Q989="EMBOQUE"),($AN989*2*6.8)/100,0))</f>
        <v>9.20516</v>
      </c>
      <c r="BK989" s="153" t="n">
        <f aca="false">IF(AND($M989&lt;&gt;"",$N989="VCA",$Q989="LINEAR"),($M989*2.5)/50,IF(AND($M989&lt;&gt;"",$N989="MND",$Q989="EMBOQUE"),($AN989*2*2.5)/50,0))</f>
        <v>6.7685</v>
      </c>
      <c r="BL989" s="157" t="str">
        <f aca="false">K989&amp;J989</f>
        <v>Zona09REDES</v>
      </c>
      <c r="BM989" s="152" t="s">
        <v>5109</v>
      </c>
      <c r="BN989" s="152" t="s">
        <v>1560</v>
      </c>
      <c r="BO989" s="152" t="s">
        <v>4004</v>
      </c>
      <c r="BP989" s="152" t="s">
        <v>5302</v>
      </c>
      <c r="BQ989" s="152" t="s">
        <v>5287</v>
      </c>
      <c r="BR989" s="152" t="s">
        <v>5303</v>
      </c>
      <c r="BS989" s="152" t="n">
        <v>203360.393</v>
      </c>
      <c r="BT989" s="152" t="n">
        <v>8236742.863</v>
      </c>
      <c r="BU989" s="152" t="n">
        <v>203488.607</v>
      </c>
      <c r="BV989" s="152" t="n">
        <v>8236775.948</v>
      </c>
      <c r="BW989" s="152" t="n">
        <v>-15.9306602</v>
      </c>
      <c r="BX989" s="152" t="n">
        <v>-47.7700955</v>
      </c>
      <c r="BY989" s="152" t="s">
        <v>5302</v>
      </c>
    </row>
    <row r="990" customFormat="false" ht="13.8" hidden="false" customHeight="false" outlineLevel="0" collapsed="false">
      <c r="A990" s="149" t="n">
        <f aca="false">IF(C990&lt;&gt;"",ROW(A985),"")</f>
        <v>985</v>
      </c>
      <c r="B990" s="150" t="str">
        <f aca="false">HYPERLINK("https://www.google.com/maps/dir/-15.917302,-47.760003/-15.9305754,-47.7694757/data=!4m3!4m2!3e0!5i1")</f>
        <v>https://www.google.com/maps/dir/-15.917302,-47.760003/-15.9305754,-47.7694757/data=!4m3!4m2!3e0!5i1</v>
      </c>
      <c r="C990" s="151" t="s">
        <v>117</v>
      </c>
      <c r="D990" s="152" t="s">
        <v>112</v>
      </c>
      <c r="E990" s="152" t="s">
        <v>113</v>
      </c>
      <c r="F990" s="152" t="s">
        <v>117</v>
      </c>
      <c r="G990" s="152" t="s">
        <v>782</v>
      </c>
      <c r="H990" s="152" t="n">
        <v>90</v>
      </c>
      <c r="I990" s="152" t="s">
        <v>115</v>
      </c>
      <c r="J990" s="152" t="s">
        <v>6</v>
      </c>
      <c r="K990" s="152" t="s">
        <v>5106</v>
      </c>
      <c r="L990" s="152" t="s">
        <v>120</v>
      </c>
      <c r="M990" s="153" t="n">
        <f aca="false">38.6</f>
        <v>38.6</v>
      </c>
      <c r="N990" s="152" t="s">
        <v>1548</v>
      </c>
      <c r="O990" s="152" t="s">
        <v>1549</v>
      </c>
      <c r="P990" s="152" t="s">
        <v>1550</v>
      </c>
      <c r="Q990" s="152" t="s">
        <v>1551</v>
      </c>
      <c r="R990" s="154" t="s">
        <v>5304</v>
      </c>
      <c r="S990" s="154" t="s">
        <v>1593</v>
      </c>
      <c r="T990" s="155" t="s">
        <v>4002</v>
      </c>
      <c r="U990" s="152" t="str">
        <f aca="false">RIGHT(T990,7)</f>
        <v>015/037</v>
      </c>
      <c r="V990" s="152" t="s">
        <v>1555</v>
      </c>
      <c r="W990" s="156" t="n">
        <v>45882</v>
      </c>
      <c r="X990" s="152" t="s">
        <v>1594</v>
      </c>
      <c r="Y990" s="152" t="s">
        <v>5267</v>
      </c>
      <c r="Z990" s="152" t="s">
        <v>1557</v>
      </c>
      <c r="AA990" s="153" t="n">
        <v>4.5</v>
      </c>
      <c r="AB990" s="151" t="s">
        <v>5305</v>
      </c>
      <c r="AC990" s="151" t="s">
        <v>526</v>
      </c>
      <c r="AD990" s="151" t="str">
        <f aca="false">CONCATENATE($C990,$I990,$H990,$N990,$J990,$K990)</f>
        <v>TUBO PEADPEAD90VCAREDESZona09</v>
      </c>
      <c r="AE990" s="153" t="n">
        <f aca="false">IFERROR(INDEX(APOIO_REDES!$A:$W,MATCH($C990&amp;$I990&amp;$H990&amp;$N990&amp;$O990,APOIO_REDES!$W:$W,0),MATCH(AE$5,APOIO_REDES!$5:$5,0)),0)</f>
        <v>1.2</v>
      </c>
      <c r="AF990" s="153" t="n">
        <f aca="false">IFERROR(INDEX(APOIO_REDES!$A:$W,MATCH($C990&amp;$I990&amp;$H990&amp;$N990&amp;$O990,APOIO_REDES!$W:$W,0),MATCH(AF$5,APOIO_REDES!$5:$5,0)),0)</f>
        <v>1.39</v>
      </c>
      <c r="AG990" s="153" t="n">
        <f aca="false">IFERROR(INDEX(APOIO_REDES!$A:$W,MATCH($C990&amp;$I990&amp;$H990&amp;$N990&amp;$O990,APOIO_REDES!$W:$W,0),MATCH(AG$5,APOIO_REDES!$5:$5,0)),0)</f>
        <v>0.75</v>
      </c>
      <c r="AH990" s="153" t="n">
        <f aca="false">IFERROR(INDEX(APOIO_REDES!$A:$W,MATCH($C990&amp;$I990&amp;$H990&amp;$N990&amp;$O990,APOIO_REDES!$W:$W,0),MATCH(AH$5,APOIO_REDES!$5:$5,0)),0)</f>
        <v>0.1</v>
      </c>
      <c r="AI990" s="153" t="n">
        <f aca="false">IFERROR(IF($H990&lt;&gt;"",(((($H990/1000)/2)^2)*PI()*$M990),0),0)</f>
        <v>0.245562589767846</v>
      </c>
      <c r="AJ990" s="153" t="n">
        <f aca="false">IFERROR(IF(AND($H990&lt;&gt;"",$I990="FoFo",OR($N990="MND",$N990="VCA"),$Q990="LINEAR"),0,IF(AND($H990&lt;&gt;"",$I990="PEAD",$N990="VCA",$Q990="LINEAR"),($H990/1000)+0.3,IF(AND($H990&lt;&gt;"",$I990="PEAD",$N990="MND",$Q990="EMBOQUE"),0,IF(AND($H990&lt;&gt;"",$I990="PVC",$N990="VCA",$Q990="LINEAR"),($H990/1000)+0.2,IF(AND($H990&lt;&gt;"",$I990="PVC",$N990="MND",$Q990="EMBOQUE"),0,IF(AND($H990&lt;&gt;"",$I990="PEAD",$N990="VCA",$Q990="PREDIAL"),0,0)))))),0)</f>
        <v>0.39</v>
      </c>
      <c r="AK990" s="153" t="n">
        <f aca="false">IF(AA990&lt;&gt;"",AA990,0)</f>
        <v>4.5</v>
      </c>
      <c r="AL990" s="153" t="n">
        <f aca="false">IF(AND($N990="MND",$Q990="EMBOQUE"),$M990,IF(AND($N990="VCA",$Q990="LINEAR"),$M990,IF(AND($N990="VCA",$Q990="PREDIAL"),0,0)))</f>
        <v>38.6</v>
      </c>
      <c r="AM990" s="153" t="n">
        <f aca="false">IF(AND($N990="MND",$Q990="EMBOQUE"),$M990,IF(AND($N990="VCA",$Q990="LINEAR"),$M990,IF(AND($N990="VCA",$Q990="PREDIAL"),0,0)))</f>
        <v>38.6</v>
      </c>
      <c r="AN990" s="153" t="n">
        <f aca="false">ROUND(IF(AND($N990="VCA",$M990&lt;&gt;"",$Q990="LINEAR"),$M990/100,IF(AND($N990="MND",$M990&gt;100,$Q990="EMBOQUE"),$M990/100,0)),0)</f>
        <v>0</v>
      </c>
      <c r="AO990" s="153" t="n">
        <f aca="false">IF(AND($N990="MND",$Q990="EMBOQUE"),$AN990*2*2,IF(AND($N990="VCA",$Q990="LINEAR"),$M990*2,IF(AND($N990="VCA",$Q990="PREDIAL"),0,0)))</f>
        <v>77.2</v>
      </c>
      <c r="AP990" s="153" t="n">
        <f aca="false">IFERROR($M990*$AF990*$AG990,0)</f>
        <v>40.2405</v>
      </c>
      <c r="AQ990" s="153" t="n">
        <f aca="false">IFERROR(IF(AND($N990="VCA",$AH990&gt;0),$M990*$AG990*$AH990,0),0)</f>
        <v>2.895</v>
      </c>
      <c r="AR990" s="153" t="n">
        <f aca="false">IFERROR(IF(AND($N990="VCA",$AJ990&gt;0),($M990*$AG990*$AJ990)-$AI990,0),0)</f>
        <v>11.0449374102322</v>
      </c>
      <c r="AS990" s="153" t="n">
        <f aca="false">IFERROR(IF(AND($N990="VCA",$AP990&gt;0),$AP990-$AI990-$AQ990-$AR990,0),0)</f>
        <v>26.055</v>
      </c>
      <c r="AT990" s="153" t="n">
        <f aca="false">IFERROR(IF($N990="VCA",INDEX(APOIO_REDES!$A:$W,MATCH($C990&amp;$I990&amp;$H990&amp;$N990&amp;$O990,APOIO_REDES!$W:$W,0),MATCH(AT$5,APOIO_REDES!$5:$5,0)),0)*$AP990,0)</f>
        <v>0.437828550580026</v>
      </c>
      <c r="AU990" s="153" t="n">
        <f aca="false">IFERROR(IF($N990="VCA",INDEX(APOIO_REDES!$A:$W,MATCH($C990&amp;$I990&amp;$H990&amp;$N990&amp;$O990,APOIO_REDES!$W:$W,0),MATCH(AU$5,APOIO_REDES!$5:$5,0)),0)*$AP990,0)</f>
        <v>0.349638022592234</v>
      </c>
      <c r="AV990" s="153" t="n">
        <f aca="false">IFERROR(IF($N990="VCA",INDEX(APOIO_REDES!$A:$W,MATCH($C990&amp;$I990&amp;$H990&amp;$N990&amp;$O990,APOIO_REDES!$W:$W,0),MATCH(AV$5,APOIO_REDES!$5:$5,0)),0)*$AP990,0)</f>
        <v>0.0483871575606708</v>
      </c>
      <c r="AW990" s="153" t="n">
        <f aca="false">IFERROR(IF($N990="VCA",INDEX(APOIO_REDES!$A:$W,MATCH($C990&amp;$I990&amp;$H990&amp;$N990&amp;$O990,APOIO_REDES!$W:$W,0),MATCH(AW$5,APOIO_REDES!$5:$5,0)),0)*$AP990,0)</f>
        <v>27.621390998609</v>
      </c>
      <c r="AX990" s="153" t="n">
        <f aca="false">IFERROR(IF($N990="VCA",INDEX(APOIO_REDES!$A:$W,MATCH($C990&amp;$I990&amp;$H990&amp;$N990&amp;$O990,APOIO_REDES!$W:$W,0),MATCH(AX$5,APOIO_REDES!$5:$5,0)),0)*$AP990,0)</f>
        <v>3.82272183318588</v>
      </c>
      <c r="AY990" s="153" t="n">
        <f aca="false">IFERROR(IF($N990="VCA",INDEX(APOIO_REDES!$A:$W,MATCH($C990&amp;$I990&amp;$H990&amp;$N990&amp;$O990,APOIO_REDES!$W:$W,0),MATCH(AY$5,APOIO_REDES!$5:$5,0)),0)*$AP990,0)</f>
        <v>6.99275618978553</v>
      </c>
      <c r="AZ990" s="153" t="n">
        <f aca="false">IFERROR(IF($N990="VCA",INDEX(APOIO_REDES!$A:$W,MATCH($C990&amp;$I990&amp;$H990&amp;$N990&amp;$O990,APOIO_REDES!$W:$W,0),MATCH(AZ$5,APOIO_REDES!$5:$5,0)),0)*$AP990,0)</f>
        <v>0.967777247686638</v>
      </c>
      <c r="BA990" s="153" t="n">
        <f aca="false">IFERROR(IF(AND($N990="VCA",$Q990="LINEAR"),INDEX(APOIO_REDES!$A:$W,MATCH($C990&amp;$I990&amp;$H990&amp;$N990&amp;$O990,APOIO_REDES!$W:$W,0),MATCH(BA$5,APOIO_REDES!$5:$5,0)),IF(AND($N990="MND",$Q990="EMBOQUE"),INDEX(APOIO_REDES!$A:$W,MATCH($C990&amp;$I990&amp;$H990&amp;$N990&amp;$O990,APOIO_REDES!$W:$W,0),MATCH(BA$5,APOIO_REDES!$5:$5,0)),0))*$M990/10,0)</f>
        <v>3.11106263457952</v>
      </c>
      <c r="BB990" s="153" t="n">
        <f aca="false">IFERROR(IF($N990="VCA",INDEX(APOIO_REDES!$A:$W,MATCH($C990&amp;$I990&amp;$H990&amp;$N990&amp;$O990,APOIO_REDES!$W:$W,0),MATCH(BB$5,APOIO_REDES!$5:$5,0)),0)*($AI990+$AQ990+$AR990),0)</f>
        <v>14.0311575613063</v>
      </c>
      <c r="BC990" s="153" t="n">
        <f aca="false">IFERROR(IF($N990="VCA",INDEX(APOIO_REDES!$A:$W,MATCH($C990&amp;$I990&amp;$H990&amp;$N990&amp;$O990,APOIO_REDES!$W:$W,0),MATCH(BC$5,APOIO_REDES!$5:$5,0)),0)*($AI990+$AQ990+$AR990),0)</f>
        <v>0.154342438693678</v>
      </c>
      <c r="BD990" s="153" t="n">
        <f aca="false">IF(AND($N990="VCA",$AF990&gt;=1.25,$AF990&lt;1.5),$M990*$AF990*2,0)</f>
        <v>107.308</v>
      </c>
      <c r="BE990" s="153" t="n">
        <f aca="false">IF(AND($N990="VCA",$AF990&gt;=1.5,$AF990&lt;3),$M990*$AF990*2,0)</f>
        <v>0</v>
      </c>
      <c r="BF990" s="153" t="n">
        <f aca="false">IF(AND($N990="VCA",$AF990&gt;=3),$M990*$AF990*2,0)</f>
        <v>0</v>
      </c>
      <c r="BG990" s="153" t="n">
        <f aca="false">($BB990+$BC990)*$AK990</f>
        <v>63.83475</v>
      </c>
      <c r="BH990" s="153" t="n">
        <f aca="false">IF(AND($M990&lt;&gt;"",$N990="VCA",$Q990="LINEAR"),($M990*2)/100,IF(AND($M990&lt;&gt;"",$N990="MND",$Q990="EMBOQUE"),($AN990*2)/100,0))</f>
        <v>0.772</v>
      </c>
      <c r="BI990" s="153" t="n">
        <f aca="false">IF(AND($M990&lt;&gt;"",$N990="VCA",$Q990="LINEAR"),$M990,IF(AND($M990&lt;&gt;"",$N990="MND",$Q990="EMBOQUE"),$AN990*2,0))</f>
        <v>38.6</v>
      </c>
      <c r="BJ990" s="153" t="n">
        <f aca="false">IF(AND($M990&lt;&gt;"",$N990="VCA",$Q990="LINEAR"),($M990*6.8)/100,IF(AND($M990&lt;&gt;"",$N990="MND",$Q990="EMBOQUE"),($AN990*2*6.8)/100,0))</f>
        <v>2.6248</v>
      </c>
      <c r="BK990" s="153" t="n">
        <f aca="false">IF(AND($M990&lt;&gt;"",$N990="VCA",$Q990="LINEAR"),($M990*2.5)/50,IF(AND($M990&lt;&gt;"",$N990="MND",$Q990="EMBOQUE"),($AN990*2*2.5)/50,0))</f>
        <v>1.93</v>
      </c>
      <c r="BL990" s="157" t="str">
        <f aca="false">K990&amp;J990</f>
        <v>Zona09REDES</v>
      </c>
      <c r="BM990" s="152" t="s">
        <v>5109</v>
      </c>
      <c r="BN990" s="152" t="s">
        <v>1560</v>
      </c>
      <c r="BO990" s="152" t="s">
        <v>4004</v>
      </c>
      <c r="BP990" s="152" t="s">
        <v>5287</v>
      </c>
      <c r="BQ990" s="152" t="s">
        <v>5306</v>
      </c>
      <c r="BR990" s="152" t="s">
        <v>5307</v>
      </c>
      <c r="BS990" s="152" t="n">
        <v>203489.109</v>
      </c>
      <c r="BT990" s="152" t="n">
        <v>8236776.141</v>
      </c>
      <c r="BU990" s="152" t="n">
        <v>203503.155</v>
      </c>
      <c r="BV990" s="152" t="n">
        <v>8236740.208</v>
      </c>
      <c r="BW990" s="152" t="n">
        <v>-15.9307374</v>
      </c>
      <c r="BX990" s="152" t="n">
        <v>-47.7694094</v>
      </c>
      <c r="BY990" s="152" t="s">
        <v>5287</v>
      </c>
    </row>
    <row r="991" customFormat="false" ht="13.8" hidden="false" customHeight="false" outlineLevel="0" collapsed="false">
      <c r="A991" s="149" t="n">
        <f aca="false">IF(C991&lt;&gt;"",ROW(A986),"")</f>
        <v>986</v>
      </c>
      <c r="B991" s="150" t="str">
        <f aca="false">HYPERLINK("https://www.google.com/maps/dir/-15.917302,-47.760003/-15.9306017,-47.7710070/data=!4m3!4m2!3e0!5i2")</f>
        <v>https://www.google.com/maps/dir/-15.917302,-47.760003/-15.9306017,-47.7710070/data=!4m3!4m2!3e0!5i2</v>
      </c>
      <c r="C991" s="151" t="s">
        <v>117</v>
      </c>
      <c r="D991" s="152" t="s">
        <v>112</v>
      </c>
      <c r="E991" s="152" t="s">
        <v>113</v>
      </c>
      <c r="F991" s="152" t="s">
        <v>117</v>
      </c>
      <c r="G991" s="152" t="s">
        <v>782</v>
      </c>
      <c r="H991" s="152" t="n">
        <v>90</v>
      </c>
      <c r="I991" s="152" t="s">
        <v>115</v>
      </c>
      <c r="J991" s="152" t="s">
        <v>6</v>
      </c>
      <c r="K991" s="152" t="s">
        <v>5106</v>
      </c>
      <c r="L991" s="152" t="s">
        <v>120</v>
      </c>
      <c r="M991" s="153" t="n">
        <f aca="false">45.11+0.23</f>
        <v>45.34</v>
      </c>
      <c r="N991" s="152" t="s">
        <v>1548</v>
      </c>
      <c r="O991" s="152" t="s">
        <v>1549</v>
      </c>
      <c r="P991" s="152" t="s">
        <v>1550</v>
      </c>
      <c r="Q991" s="152" t="s">
        <v>1551</v>
      </c>
      <c r="R991" s="154" t="s">
        <v>5308</v>
      </c>
      <c r="S991" s="154" t="s">
        <v>1593</v>
      </c>
      <c r="T991" s="155" t="s">
        <v>4002</v>
      </c>
      <c r="U991" s="152" t="str">
        <f aca="false">RIGHT(T991,7)</f>
        <v>015/037</v>
      </c>
      <c r="V991" s="152" t="s">
        <v>1555</v>
      </c>
      <c r="W991" s="156" t="n">
        <v>45882</v>
      </c>
      <c r="X991" s="152" t="s">
        <v>1594</v>
      </c>
      <c r="Y991" s="152"/>
      <c r="Z991" s="152" t="s">
        <v>1557</v>
      </c>
      <c r="AA991" s="153" t="n">
        <v>4.6</v>
      </c>
      <c r="AB991" s="151" t="s">
        <v>5309</v>
      </c>
      <c r="AC991" s="151" t="s">
        <v>526</v>
      </c>
      <c r="AD991" s="151" t="str">
        <f aca="false">CONCATENATE($C991,$I991,$H991,$N991,$J991,$K991)</f>
        <v>TUBO PEADPEAD90VCAREDESZona09</v>
      </c>
      <c r="AE991" s="153" t="n">
        <f aca="false">IFERROR(INDEX(APOIO_REDES!$A:$W,MATCH($C991&amp;$I991&amp;$H991&amp;$N991&amp;$O991,APOIO_REDES!$W:$W,0),MATCH(AE$5,APOIO_REDES!$5:$5,0)),0)</f>
        <v>1.2</v>
      </c>
      <c r="AF991" s="153" t="n">
        <f aca="false">IFERROR(INDEX(APOIO_REDES!$A:$W,MATCH($C991&amp;$I991&amp;$H991&amp;$N991&amp;$O991,APOIO_REDES!$W:$W,0),MATCH(AF$5,APOIO_REDES!$5:$5,0)),0)</f>
        <v>1.39</v>
      </c>
      <c r="AG991" s="153" t="n">
        <f aca="false">IFERROR(INDEX(APOIO_REDES!$A:$W,MATCH($C991&amp;$I991&amp;$H991&amp;$N991&amp;$O991,APOIO_REDES!$W:$W,0),MATCH(AG$5,APOIO_REDES!$5:$5,0)),0)</f>
        <v>0.75</v>
      </c>
      <c r="AH991" s="153" t="n">
        <f aca="false">IFERROR(INDEX(APOIO_REDES!$A:$W,MATCH($C991&amp;$I991&amp;$H991&amp;$N991&amp;$O991,APOIO_REDES!$W:$W,0),MATCH(AH$5,APOIO_REDES!$5:$5,0)),0)</f>
        <v>0.1</v>
      </c>
      <c r="AI991" s="153" t="n">
        <f aca="false">IFERROR(IF($H991&lt;&gt;"",(((($H991/1000)/2)^2)*PI()*$M991),0),0)</f>
        <v>0.288440617100366</v>
      </c>
      <c r="AJ991" s="153" t="n">
        <f aca="false">IFERROR(IF(AND($H991&lt;&gt;"",$I991="FoFo",OR($N991="MND",$N991="VCA"),$Q991="LINEAR"),0,IF(AND($H991&lt;&gt;"",$I991="PEAD",$N991="VCA",$Q991="LINEAR"),($H991/1000)+0.3,IF(AND($H991&lt;&gt;"",$I991="PEAD",$N991="MND",$Q991="EMBOQUE"),0,IF(AND($H991&lt;&gt;"",$I991="PVC",$N991="VCA",$Q991="LINEAR"),($H991/1000)+0.2,IF(AND($H991&lt;&gt;"",$I991="PVC",$N991="MND",$Q991="EMBOQUE"),0,IF(AND($H991&lt;&gt;"",$I991="PEAD",$N991="VCA",$Q991="PREDIAL"),0,0)))))),0)</f>
        <v>0.39</v>
      </c>
      <c r="AK991" s="153" t="n">
        <f aca="false">IF(AA991&lt;&gt;"",AA991,0)</f>
        <v>4.6</v>
      </c>
      <c r="AL991" s="153" t="n">
        <f aca="false">IF(AND($N991="MND",$Q991="EMBOQUE"),$M991,IF(AND($N991="VCA",$Q991="LINEAR"),$M991,IF(AND($N991="VCA",$Q991="PREDIAL"),0,0)))</f>
        <v>45.34</v>
      </c>
      <c r="AM991" s="153" t="n">
        <f aca="false">IF(AND($N991="MND",$Q991="EMBOQUE"),$M991,IF(AND($N991="VCA",$Q991="LINEAR"),$M991,IF(AND($N991="VCA",$Q991="PREDIAL"),0,0)))</f>
        <v>45.34</v>
      </c>
      <c r="AN991" s="153" t="n">
        <f aca="false">ROUND(IF(AND($N991="VCA",$M991&lt;&gt;"",$Q991="LINEAR"),$M991/100,IF(AND($N991="MND",$M991&gt;100,$Q991="EMBOQUE"),$M991/100,0)),0)</f>
        <v>0</v>
      </c>
      <c r="AO991" s="153" t="n">
        <f aca="false">IF(AND($N991="MND",$Q991="EMBOQUE"),$AN991*2*2,IF(AND($N991="VCA",$Q991="LINEAR"),$M991*2,IF(AND($N991="VCA",$Q991="PREDIAL"),0,0)))</f>
        <v>90.68</v>
      </c>
      <c r="AP991" s="153" t="n">
        <f aca="false">IFERROR($M991*$AF991*$AG991,0)</f>
        <v>47.26695</v>
      </c>
      <c r="AQ991" s="153" t="n">
        <f aca="false">IFERROR(IF(AND($N991="VCA",$AH991&gt;0),$M991*$AG991*$AH991,0),0)</f>
        <v>3.4005</v>
      </c>
      <c r="AR991" s="153" t="n">
        <f aca="false">IFERROR(IF(AND($N991="VCA",$AJ991&gt;0),($M991*$AG991*$AJ991)-$AI991,0),0)</f>
        <v>12.9735093828996</v>
      </c>
      <c r="AS991" s="153" t="n">
        <f aca="false">IFERROR(IF(AND($N991="VCA",$AP991&gt;0),$AP991-$AI991-$AQ991-$AR991,0),0)</f>
        <v>30.6045</v>
      </c>
      <c r="AT991" s="153" t="n">
        <f aca="false">IFERROR(IF($N991="VCA",INDEX(APOIO_REDES!$A:$W,MATCH($C991&amp;$I991&amp;$H991&amp;$N991&amp;$O991,APOIO_REDES!$W:$W,0),MATCH(AT$5,APOIO_REDES!$5:$5,0)),0)*$AP991,0)</f>
        <v>0.514278406303066</v>
      </c>
      <c r="AU991" s="153" t="n">
        <f aca="false">IFERROR(IF($N991="VCA",INDEX(APOIO_REDES!$A:$W,MATCH($C991&amp;$I991&amp;$H991&amp;$N991&amp;$O991,APOIO_REDES!$W:$W,0),MATCH(AU$5,APOIO_REDES!$5:$5,0)),0)*$AP991,0)</f>
        <v>0.410688806847976</v>
      </c>
      <c r="AV991" s="153" t="n">
        <f aca="false">IFERROR(IF($N991="VCA",INDEX(APOIO_REDES!$A:$W,MATCH($C991&amp;$I991&amp;$H991&amp;$N991&amp;$O991,APOIO_REDES!$W:$W,0),MATCH(AV$5,APOIO_REDES!$5:$5,0)),0)*$AP991,0)</f>
        <v>0.056836106834218</v>
      </c>
      <c r="AW991" s="153" t="n">
        <f aca="false">IFERROR(IF($N991="VCA",INDEX(APOIO_REDES!$A:$W,MATCH($C991&amp;$I991&amp;$H991&amp;$N991&amp;$O991,APOIO_REDES!$W:$W,0),MATCH(AW$5,APOIO_REDES!$5:$5,0)),0)*$AP991,0)</f>
        <v>32.4444007222003</v>
      </c>
      <c r="AX991" s="153" t="n">
        <f aca="false">IFERROR(IF($N991="VCA",INDEX(APOIO_REDES!$A:$W,MATCH($C991&amp;$I991&amp;$H991&amp;$N991&amp;$O991,APOIO_REDES!$W:$W,0),MATCH(AX$5,APOIO_REDES!$5:$5,0)),0)*$AP991,0)</f>
        <v>4.49021264032767</v>
      </c>
      <c r="AY991" s="153" t="n">
        <f aca="false">IFERROR(IF($N991="VCA",INDEX(APOIO_REDES!$A:$W,MATCH($C991&amp;$I991&amp;$H991&amp;$N991&amp;$O991,APOIO_REDES!$W:$W,0),MATCH(AY$5,APOIO_REDES!$5:$5,0)),0)*$AP991,0)</f>
        <v>8.21377113069626</v>
      </c>
      <c r="AZ991" s="153" t="n">
        <f aca="false">IFERROR(IF($N991="VCA",INDEX(APOIO_REDES!$A:$W,MATCH($C991&amp;$I991&amp;$H991&amp;$N991&amp;$O991,APOIO_REDES!$W:$W,0),MATCH(AZ$5,APOIO_REDES!$5:$5,0)),0)*$AP991,0)</f>
        <v>1.13676218679047</v>
      </c>
      <c r="BA991" s="153" t="n">
        <f aca="false">IFERROR(IF(AND($N991="VCA",$Q991="LINEAR"),INDEX(APOIO_REDES!$A:$W,MATCH($C991&amp;$I991&amp;$H991&amp;$N991&amp;$O991,APOIO_REDES!$W:$W,0),MATCH(BA$5,APOIO_REDES!$5:$5,0)),IF(AND($N991="MND",$Q991="EMBOQUE"),INDEX(APOIO_REDES!$A:$W,MATCH($C991&amp;$I991&amp;$H991&amp;$N991&amp;$O991,APOIO_REDES!$W:$W,0),MATCH(BA$5,APOIO_REDES!$5:$5,0)),0))*$M991/10,0)</f>
        <v>3.65428963346724</v>
      </c>
      <c r="BB991" s="153" t="n">
        <f aca="false">IFERROR(IF($N991="VCA",INDEX(APOIO_REDES!$A:$W,MATCH($C991&amp;$I991&amp;$H991&amp;$N991&amp;$O991,APOIO_REDES!$W:$W,0),MATCH(BB$5,APOIO_REDES!$5:$5,0)),0)*($AI991+$AQ991+$AR991),0)</f>
        <v>16.4811576121665</v>
      </c>
      <c r="BC991" s="153" t="n">
        <f aca="false">IFERROR(IF($N991="VCA",INDEX(APOIO_REDES!$A:$W,MATCH($C991&amp;$I991&amp;$H991&amp;$N991&amp;$O991,APOIO_REDES!$W:$W,0),MATCH(BC$5,APOIO_REDES!$5:$5,0)),0)*($AI991+$AQ991+$AR991),0)</f>
        <v>0.181292387833455</v>
      </c>
      <c r="BD991" s="153" t="n">
        <f aca="false">IF(AND($N991="VCA",$AF991&gt;=1.25,$AF991&lt;1.5),$M991*$AF991*2,0)</f>
        <v>126.0452</v>
      </c>
      <c r="BE991" s="153" t="n">
        <f aca="false">IF(AND($N991="VCA",$AF991&gt;=1.5,$AF991&lt;3),$M991*$AF991*2,0)</f>
        <v>0</v>
      </c>
      <c r="BF991" s="153" t="n">
        <f aca="false">IF(AND($N991="VCA",$AF991&gt;=3),$M991*$AF991*2,0)</f>
        <v>0</v>
      </c>
      <c r="BG991" s="153" t="n">
        <f aca="false">($BB991+$BC991)*$AK991</f>
        <v>76.64727</v>
      </c>
      <c r="BH991" s="153" t="n">
        <f aca="false">IF(AND($M991&lt;&gt;"",$N991="VCA",$Q991="LINEAR"),($M991*2)/100,IF(AND($M991&lt;&gt;"",$N991="MND",$Q991="EMBOQUE"),($AN991*2)/100,0))</f>
        <v>0.9068</v>
      </c>
      <c r="BI991" s="153" t="n">
        <f aca="false">IF(AND($M991&lt;&gt;"",$N991="VCA",$Q991="LINEAR"),$M991,IF(AND($M991&lt;&gt;"",$N991="MND",$Q991="EMBOQUE"),$AN991*2,0))</f>
        <v>45.34</v>
      </c>
      <c r="BJ991" s="153" t="n">
        <f aca="false">IF(AND($M991&lt;&gt;"",$N991="VCA",$Q991="LINEAR"),($M991*6.8)/100,IF(AND($M991&lt;&gt;"",$N991="MND",$Q991="EMBOQUE"),($AN991*2*6.8)/100,0))</f>
        <v>3.08312</v>
      </c>
      <c r="BK991" s="153" t="n">
        <f aca="false">IF(AND($M991&lt;&gt;"",$N991="VCA",$Q991="LINEAR"),($M991*2.5)/50,IF(AND($M991&lt;&gt;"",$N991="MND",$Q991="EMBOQUE"),($AN991*2*2.5)/50,0))</f>
        <v>2.267</v>
      </c>
      <c r="BL991" s="157" t="str">
        <f aca="false">K991&amp;J991</f>
        <v>Zona09REDES</v>
      </c>
      <c r="BM991" s="152" t="s">
        <v>5109</v>
      </c>
      <c r="BN991" s="152" t="s">
        <v>1560</v>
      </c>
      <c r="BO991" s="152" t="s">
        <v>4004</v>
      </c>
      <c r="BP991" s="152" t="s">
        <v>5291</v>
      </c>
      <c r="BQ991" s="152" t="s">
        <v>5302</v>
      </c>
      <c r="BR991" s="152" t="s">
        <v>5310</v>
      </c>
      <c r="BS991" s="152" t="n">
        <v>203324.767</v>
      </c>
      <c r="BT991" s="152" t="n">
        <v>8236770.713</v>
      </c>
      <c r="BU991" s="152" t="n">
        <v>203360.116</v>
      </c>
      <c r="BV991" s="152" t="n">
        <v>8236742.686</v>
      </c>
      <c r="BW991" s="152" t="n">
        <v>-15.9307316</v>
      </c>
      <c r="BX991" s="152" t="n">
        <v>-47.7708421</v>
      </c>
      <c r="BY991" s="152" t="s">
        <v>5291</v>
      </c>
    </row>
    <row r="992" customFormat="false" ht="13.8" hidden="false" customHeight="false" outlineLevel="0" collapsed="false">
      <c r="A992" s="149" t="n">
        <f aca="false">IF(C992&lt;&gt;"",ROW(A987),"")</f>
        <v>987</v>
      </c>
      <c r="B992" s="150" t="str">
        <f aca="false">HYPERLINK("https://www.google.com/maps/dir/-15.917302,-47.760003/-15.9313387,-47.7723305/data=!4m3!4m2!3e0!5i2")</f>
        <v>https://www.google.com/maps/dir/-15.917302,-47.760003/-15.9313387,-47.7723305/data=!4m3!4m2!3e0!5i2</v>
      </c>
      <c r="C992" s="151" t="s">
        <v>117</v>
      </c>
      <c r="D992" s="152" t="s">
        <v>112</v>
      </c>
      <c r="E992" s="152" t="s">
        <v>113</v>
      </c>
      <c r="F992" s="152" t="s">
        <v>117</v>
      </c>
      <c r="G992" s="152" t="s">
        <v>782</v>
      </c>
      <c r="H992" s="152" t="n">
        <v>63</v>
      </c>
      <c r="I992" s="152" t="s">
        <v>115</v>
      </c>
      <c r="J992" s="152" t="s">
        <v>6</v>
      </c>
      <c r="K992" s="152" t="s">
        <v>5106</v>
      </c>
      <c r="L992" s="152" t="s">
        <v>120</v>
      </c>
      <c r="M992" s="153" t="n">
        <f aca="false">151.42+1.07</f>
        <v>152.49</v>
      </c>
      <c r="N992" s="152" t="s">
        <v>1548</v>
      </c>
      <c r="O992" s="152" t="s">
        <v>1549</v>
      </c>
      <c r="P992" s="152" t="s">
        <v>1550</v>
      </c>
      <c r="Q992" s="152" t="s">
        <v>1551</v>
      </c>
      <c r="R992" s="154" t="s">
        <v>5311</v>
      </c>
      <c r="S992" s="154" t="s">
        <v>1553</v>
      </c>
      <c r="T992" s="155" t="s">
        <v>4002</v>
      </c>
      <c r="U992" s="152" t="str">
        <f aca="false">RIGHT(T992,7)</f>
        <v>015/037</v>
      </c>
      <c r="V992" s="152" t="s">
        <v>1555</v>
      </c>
      <c r="W992" s="156" t="n">
        <v>45882</v>
      </c>
      <c r="X992" s="152" t="s">
        <v>1594</v>
      </c>
      <c r="Y992" s="152" t="s">
        <v>5232</v>
      </c>
      <c r="Z992" s="152" t="s">
        <v>1557</v>
      </c>
      <c r="AA992" s="153" t="n">
        <v>4.8</v>
      </c>
      <c r="AB992" s="151" t="s">
        <v>5312</v>
      </c>
      <c r="AC992" s="151" t="s">
        <v>186</v>
      </c>
      <c r="AD992" s="151" t="str">
        <f aca="false">CONCATENATE($C992,$I992,$H992,$N992,$J992,$K992)</f>
        <v>TUBO PEADPEAD63VCAREDESZona09</v>
      </c>
      <c r="AE992" s="153" t="n">
        <f aca="false">IFERROR(INDEX(APOIO_REDES!$A:$W,MATCH($C992&amp;$I992&amp;$H992&amp;$N992&amp;$O992,APOIO_REDES!$W:$W,0),MATCH(AE$5,APOIO_REDES!$5:$5,0)),0)</f>
        <v>1.2</v>
      </c>
      <c r="AF992" s="153" t="n">
        <f aca="false">IFERROR(INDEX(APOIO_REDES!$A:$W,MATCH($C992&amp;$I992&amp;$H992&amp;$N992&amp;$O992,APOIO_REDES!$W:$W,0),MATCH(AF$5,APOIO_REDES!$5:$5,0)),0)</f>
        <v>1.363</v>
      </c>
      <c r="AG992" s="153" t="n">
        <f aca="false">IFERROR(INDEX(APOIO_REDES!$A:$W,MATCH($C992&amp;$I992&amp;$H992&amp;$N992&amp;$O992,APOIO_REDES!$W:$W,0),MATCH(AG$5,APOIO_REDES!$5:$5,0)),0)</f>
        <v>0.65</v>
      </c>
      <c r="AH992" s="153" t="n">
        <f aca="false">IFERROR(INDEX(APOIO_REDES!$A:$W,MATCH($C992&amp;$I992&amp;$H992&amp;$N992&amp;$O992,APOIO_REDES!$W:$W,0),MATCH(AH$5,APOIO_REDES!$5:$5,0)),0)</f>
        <v>0.1</v>
      </c>
      <c r="AI992" s="153" t="n">
        <f aca="false">IFERROR(IF($H992&lt;&gt;"",(((($H992/1000)/2)^2)*PI()*$M992),0),0)</f>
        <v>0.475348737401877</v>
      </c>
      <c r="AJ992" s="153" t="n">
        <f aca="false">IFERROR(IF(AND($H992&lt;&gt;"",$I992="FoFo",OR($N992="MND",$N992="VCA"),$Q992="LINEAR"),0,IF(AND($H992&lt;&gt;"",$I992="PEAD",$N992="VCA",$Q992="LINEAR"),($H992/1000)+0.3,IF(AND($H992&lt;&gt;"",$I992="PEAD",$N992="MND",$Q992="EMBOQUE"),0,IF(AND($H992&lt;&gt;"",$I992="PVC",$N992="VCA",$Q992="LINEAR"),($H992/1000)+0.2,IF(AND($H992&lt;&gt;"",$I992="PVC",$N992="MND",$Q992="EMBOQUE"),0,IF(AND($H992&lt;&gt;"",$I992="PEAD",$N992="VCA",$Q992="PREDIAL"),0,0)))))),0)</f>
        <v>0.363</v>
      </c>
      <c r="AK992" s="153" t="n">
        <f aca="false">IF(AA992&lt;&gt;"",AA992,0)</f>
        <v>4.8</v>
      </c>
      <c r="AL992" s="153" t="n">
        <f aca="false">IF(AND($N992="MND",$Q992="EMBOQUE"),$M992,IF(AND($N992="VCA",$Q992="LINEAR"),$M992,IF(AND($N992="VCA",$Q992="PREDIAL"),0,0)))</f>
        <v>152.49</v>
      </c>
      <c r="AM992" s="153" t="n">
        <f aca="false">IF(AND($N992="MND",$Q992="EMBOQUE"),$M992,IF(AND($N992="VCA",$Q992="LINEAR"),$M992,IF(AND($N992="VCA",$Q992="PREDIAL"),0,0)))</f>
        <v>152.49</v>
      </c>
      <c r="AN992" s="153" t="n">
        <f aca="false">ROUND(IF(AND($N992="VCA",$M992&lt;&gt;"",$Q992="LINEAR"),$M992/100,IF(AND($N992="MND",$M992&gt;100,$Q992="EMBOQUE"),$M992/100,0)),0)</f>
        <v>2</v>
      </c>
      <c r="AO992" s="153" t="n">
        <f aca="false">IF(AND($N992="MND",$Q992="EMBOQUE"),$AN992*2*2,IF(AND($N992="VCA",$Q992="LINEAR"),$M992*2,IF(AND($N992="VCA",$Q992="PREDIAL"),0,0)))</f>
        <v>304.98</v>
      </c>
      <c r="AP992" s="153" t="n">
        <f aca="false">IFERROR($M992*$AF992*$AG992,0)</f>
        <v>135.0985155</v>
      </c>
      <c r="AQ992" s="153" t="n">
        <f aca="false">IFERROR(IF(AND($N992="VCA",$AH992&gt;0),$M992*$AG992*$AH992,0),0)</f>
        <v>9.91185</v>
      </c>
      <c r="AR992" s="153" t="n">
        <f aca="false">IFERROR(IF(AND($N992="VCA",$AJ992&gt;0),($M992*$AG992*$AJ992)-$AI992,0),0)</f>
        <v>35.5046667625981</v>
      </c>
      <c r="AS992" s="153" t="n">
        <f aca="false">IFERROR(IF(AND($N992="VCA",$AP992&gt;0),$AP992-$AI992-$AQ992-$AR992,0),0)</f>
        <v>89.20665</v>
      </c>
      <c r="AT992" s="153" t="n">
        <f aca="false">IFERROR(IF($N992="VCA",INDEX(APOIO_REDES!$A:$W,MATCH($C992&amp;$I992&amp;$H992&amp;$N992&amp;$O992,APOIO_REDES!$W:$W,0),MATCH(AT$5,APOIO_REDES!$5:$5,0)),0)*$AP992,0)</f>
        <v>1.46991183575945</v>
      </c>
      <c r="AU992" s="153" t="n">
        <f aca="false">IFERROR(IF($N992="VCA",INDEX(APOIO_REDES!$A:$W,MATCH($C992&amp;$I992&amp;$H992&amp;$N992&amp;$O992,APOIO_REDES!$W:$W,0),MATCH(AU$5,APOIO_REDES!$5:$5,0)),0)*$AP992,0)</f>
        <v>1.17383178177623</v>
      </c>
      <c r="AV992" s="153" t="n">
        <f aca="false">IFERROR(IF($N992="VCA",INDEX(APOIO_REDES!$A:$W,MATCH($C992&amp;$I992&amp;$H992&amp;$N992&amp;$O992,APOIO_REDES!$W:$W,0),MATCH(AV$5,APOIO_REDES!$5:$5,0)),0)*$AP992,0)</f>
        <v>0.162449103657043</v>
      </c>
      <c r="AW992" s="153" t="n">
        <f aca="false">IFERROR(IF($N992="VCA",INDEX(APOIO_REDES!$A:$W,MATCH($C992&amp;$I992&amp;$H992&amp;$N992&amp;$O992,APOIO_REDES!$W:$W,0),MATCH(AW$5,APOIO_REDES!$5:$5,0)),0)*$AP992,0)</f>
        <v>92.7326678335791</v>
      </c>
      <c r="AX992" s="153" t="n">
        <f aca="false">IFERROR(IF($N992="VCA",INDEX(APOIO_REDES!$A:$W,MATCH($C992&amp;$I992&amp;$H992&amp;$N992&amp;$O992,APOIO_REDES!$W:$W,0),MATCH(AX$5,APOIO_REDES!$5:$5,0)),0)*$AP992,0)</f>
        <v>12.8339370741629</v>
      </c>
      <c r="AY992" s="153" t="n">
        <f aca="false">IFERROR(IF($N992="VCA",INDEX(APOIO_REDES!$A:$W,MATCH($C992&amp;$I992&amp;$H992&amp;$N992&amp;$O992,APOIO_REDES!$W:$W,0),MATCH(AY$5,APOIO_REDES!$5:$5,0)),0)*$AP992,0)</f>
        <v>23.4766213266103</v>
      </c>
      <c r="AZ992" s="153" t="n">
        <f aca="false">IFERROR(IF($N992="VCA",INDEX(APOIO_REDES!$A:$W,MATCH($C992&amp;$I992&amp;$H992&amp;$N992&amp;$O992,APOIO_REDES!$W:$W,0),MATCH(AZ$5,APOIO_REDES!$5:$5,0)),0)*$AP992,0)</f>
        <v>3.24909654445498</v>
      </c>
      <c r="BA992" s="153" t="n">
        <f aca="false">IFERROR(IF(AND($N992="VCA",$Q992="LINEAR"),INDEX(APOIO_REDES!$A:$W,MATCH($C992&amp;$I992&amp;$H992&amp;$N992&amp;$O992,APOIO_REDES!$W:$W,0),MATCH(BA$5,APOIO_REDES!$5:$5,0)),IF(AND($N992="MND",$Q992="EMBOQUE"),INDEX(APOIO_REDES!$A:$W,MATCH($C992&amp;$I992&amp;$H992&amp;$N992&amp;$O992,APOIO_REDES!$W:$W,0),MATCH(BA$5,APOIO_REDES!$5:$5,0)),0))*$M992/10,0)</f>
        <v>12.2903093561407</v>
      </c>
      <c r="BB992" s="153" t="n">
        <f aca="false">IFERROR(IF($N992="VCA",INDEX(APOIO_REDES!$A:$W,MATCH($C992&amp;$I992&amp;$H992&amp;$N992&amp;$O992,APOIO_REDES!$W:$W,0),MATCH(BB$5,APOIO_REDES!$5:$5,0)),0)*($AI992+$AQ992+$AR992),0)</f>
        <v>45.3925484200612</v>
      </c>
      <c r="BC992" s="153" t="n">
        <f aca="false">IFERROR(IF($N992="VCA",INDEX(APOIO_REDES!$A:$W,MATCH($C992&amp;$I992&amp;$H992&amp;$N992&amp;$O992,APOIO_REDES!$W:$W,0),MATCH(BC$5,APOIO_REDES!$5:$5,0)),0)*($AI992+$AQ992+$AR992),0)</f>
        <v>0.49931707993883</v>
      </c>
      <c r="BD992" s="153" t="n">
        <f aca="false">IF(AND($N992="VCA",$AF992&gt;=1.25,$AF992&lt;1.5),$M992*$AF992*2,0)</f>
        <v>415.68774</v>
      </c>
      <c r="BE992" s="153" t="n">
        <f aca="false">IF(AND($N992="VCA",$AF992&gt;=1.5,$AF992&lt;3),$M992*$AF992*2,0)</f>
        <v>0</v>
      </c>
      <c r="BF992" s="153" t="n">
        <f aca="false">IF(AND($N992="VCA",$AF992&gt;=3),$M992*$AF992*2,0)</f>
        <v>0</v>
      </c>
      <c r="BG992" s="153" t="n">
        <f aca="false">($BB992+$BC992)*$AK992</f>
        <v>220.2809544</v>
      </c>
      <c r="BH992" s="153" t="n">
        <f aca="false">IF(AND($M992&lt;&gt;"",$N992="VCA",$Q992="LINEAR"),($M992*2)/100,IF(AND($M992&lt;&gt;"",$N992="MND",$Q992="EMBOQUE"),($AN992*2)/100,0))</f>
        <v>3.0498</v>
      </c>
      <c r="BI992" s="153" t="n">
        <f aca="false">IF(AND($M992&lt;&gt;"",$N992="VCA",$Q992="LINEAR"),$M992,IF(AND($M992&lt;&gt;"",$N992="MND",$Q992="EMBOQUE"),$AN992*2,0))</f>
        <v>152.49</v>
      </c>
      <c r="BJ992" s="153" t="n">
        <f aca="false">IF(AND($M992&lt;&gt;"",$N992="VCA",$Q992="LINEAR"),($M992*6.8)/100,IF(AND($M992&lt;&gt;"",$N992="MND",$Q992="EMBOQUE"),($AN992*2*6.8)/100,0))</f>
        <v>10.36932</v>
      </c>
      <c r="BK992" s="153" t="n">
        <f aca="false">IF(AND($M992&lt;&gt;"",$N992="VCA",$Q992="LINEAR"),($M992*2.5)/50,IF(AND($M992&lt;&gt;"",$N992="MND",$Q992="EMBOQUE"),($AN992*2*2.5)/50,0))</f>
        <v>7.6245</v>
      </c>
      <c r="BL992" s="157" t="str">
        <f aca="false">K992&amp;J992</f>
        <v>Zona09REDES</v>
      </c>
      <c r="BM992" s="152" t="s">
        <v>5109</v>
      </c>
      <c r="BN992" s="152" t="s">
        <v>1560</v>
      </c>
      <c r="BO992" s="152" t="s">
        <v>4004</v>
      </c>
      <c r="BP992" s="152" t="s">
        <v>5313</v>
      </c>
      <c r="BQ992" s="152" t="s">
        <v>5264</v>
      </c>
      <c r="BR992" s="152" t="s">
        <v>5314</v>
      </c>
      <c r="BS992" s="152" t="n">
        <v>203183.876</v>
      </c>
      <c r="BT992" s="152" t="n">
        <v>8236687.368</v>
      </c>
      <c r="BU992" s="152" t="n">
        <v>203251.611</v>
      </c>
      <c r="BV992" s="152" t="n">
        <v>8236821.746</v>
      </c>
      <c r="BW992" s="152" t="n">
        <v>-15.9307287</v>
      </c>
      <c r="BX992" s="152" t="n">
        <v>-47.772018</v>
      </c>
      <c r="BY992" s="152" t="s">
        <v>5313</v>
      </c>
    </row>
    <row r="993" customFormat="false" ht="13.8" hidden="false" customHeight="false" outlineLevel="0" collapsed="false">
      <c r="A993" s="149" t="n">
        <f aca="false">IF(C993&lt;&gt;"",ROW(A988),"")</f>
        <v>988</v>
      </c>
      <c r="B993" s="150" t="str">
        <f aca="false">HYPERLINK("https://www.google.com/maps/dir/-15.917302,-47.760003/-15.9308994,-47.7693434/data=!4m3!4m2!3e0!5i1")</f>
        <v>https://www.google.com/maps/dir/-15.917302,-47.760003/-15.9308994,-47.7693434/data=!4m3!4m2!3e0!5i1</v>
      </c>
      <c r="C993" s="151" t="s">
        <v>117</v>
      </c>
      <c r="D993" s="152" t="s">
        <v>112</v>
      </c>
      <c r="E993" s="152" t="s">
        <v>113</v>
      </c>
      <c r="F993" s="152" t="s">
        <v>117</v>
      </c>
      <c r="G993" s="152" t="s">
        <v>782</v>
      </c>
      <c r="H993" s="152" t="n">
        <v>90</v>
      </c>
      <c r="I993" s="152" t="s">
        <v>115</v>
      </c>
      <c r="J993" s="152" t="s">
        <v>6</v>
      </c>
      <c r="K993" s="152" t="s">
        <v>5106</v>
      </c>
      <c r="L993" s="152" t="s">
        <v>120</v>
      </c>
      <c r="M993" s="153" t="n">
        <f aca="false">8.79</f>
        <v>8.79</v>
      </c>
      <c r="N993" s="152" t="s">
        <v>1548</v>
      </c>
      <c r="O993" s="152" t="s">
        <v>1549</v>
      </c>
      <c r="P993" s="152" t="s">
        <v>1550</v>
      </c>
      <c r="Q993" s="152" t="s">
        <v>1551</v>
      </c>
      <c r="R993" s="154" t="s">
        <v>5315</v>
      </c>
      <c r="S993" s="154" t="s">
        <v>1593</v>
      </c>
      <c r="T993" s="155" t="s">
        <v>4002</v>
      </c>
      <c r="U993" s="152" t="str">
        <f aca="false">RIGHT(T993,7)</f>
        <v>015/037</v>
      </c>
      <c r="V993" s="152" t="s">
        <v>1555</v>
      </c>
      <c r="W993" s="156" t="n">
        <v>45882</v>
      </c>
      <c r="X993" s="152" t="s">
        <v>1594</v>
      </c>
      <c r="Y993" s="152" t="s">
        <v>2387</v>
      </c>
      <c r="Z993" s="152" t="s">
        <v>1557</v>
      </c>
      <c r="AA993" s="153" t="n">
        <v>4.5</v>
      </c>
      <c r="AB993" s="151" t="s">
        <v>5316</v>
      </c>
      <c r="AC993" s="151" t="s">
        <v>526</v>
      </c>
      <c r="AD993" s="151" t="str">
        <f aca="false">CONCATENATE($C993,$I993,$H993,$N993,$J993,$K993)</f>
        <v>TUBO PEADPEAD90VCAREDESZona09</v>
      </c>
      <c r="AE993" s="153" t="n">
        <f aca="false">IFERROR(INDEX(APOIO_REDES!$A:$W,MATCH($C993&amp;$I993&amp;$H993&amp;$N993&amp;$O993,APOIO_REDES!$W:$W,0),MATCH(AE$5,APOIO_REDES!$5:$5,0)),0)</f>
        <v>1.2</v>
      </c>
      <c r="AF993" s="153" t="n">
        <f aca="false">IFERROR(INDEX(APOIO_REDES!$A:$W,MATCH($C993&amp;$I993&amp;$H993&amp;$N993&amp;$O993,APOIO_REDES!$W:$W,0),MATCH(AF$5,APOIO_REDES!$5:$5,0)),0)</f>
        <v>1.39</v>
      </c>
      <c r="AG993" s="153" t="n">
        <f aca="false">IFERROR(INDEX(APOIO_REDES!$A:$W,MATCH($C993&amp;$I993&amp;$H993&amp;$N993&amp;$O993,APOIO_REDES!$W:$W,0),MATCH(AG$5,APOIO_REDES!$5:$5,0)),0)</f>
        <v>0.75</v>
      </c>
      <c r="AH993" s="153" t="n">
        <f aca="false">IFERROR(INDEX(APOIO_REDES!$A:$W,MATCH($C993&amp;$I993&amp;$H993&amp;$N993&amp;$O993,APOIO_REDES!$W:$W,0),MATCH(AH$5,APOIO_REDES!$5:$5,0)),0)</f>
        <v>0.1</v>
      </c>
      <c r="AI993" s="153" t="n">
        <f aca="false">IFERROR(IF($H993&lt;&gt;"",(((($H993/1000)/2)^2)*PI()*$M993),0),0)</f>
        <v>0.0559195638357349</v>
      </c>
      <c r="AJ993" s="153" t="n">
        <f aca="false">IFERROR(IF(AND($H993&lt;&gt;"",$I993="FoFo",OR($N993="MND",$N993="VCA"),$Q993="LINEAR"),0,IF(AND($H993&lt;&gt;"",$I993="PEAD",$N993="VCA",$Q993="LINEAR"),($H993/1000)+0.3,IF(AND($H993&lt;&gt;"",$I993="PEAD",$N993="MND",$Q993="EMBOQUE"),0,IF(AND($H993&lt;&gt;"",$I993="PVC",$N993="VCA",$Q993="LINEAR"),($H993/1000)+0.2,IF(AND($H993&lt;&gt;"",$I993="PVC",$N993="MND",$Q993="EMBOQUE"),0,IF(AND($H993&lt;&gt;"",$I993="PEAD",$N993="VCA",$Q993="PREDIAL"),0,0)))))),0)</f>
        <v>0.39</v>
      </c>
      <c r="AK993" s="153" t="n">
        <f aca="false">IF(AA993&lt;&gt;"",AA993,0)</f>
        <v>4.5</v>
      </c>
      <c r="AL993" s="153" t="n">
        <f aca="false">IF(AND($N993="MND",$Q993="EMBOQUE"),$M993,IF(AND($N993="VCA",$Q993="LINEAR"),$M993,IF(AND($N993="VCA",$Q993="PREDIAL"),0,0)))</f>
        <v>8.79</v>
      </c>
      <c r="AM993" s="153" t="n">
        <f aca="false">IF(AND($N993="MND",$Q993="EMBOQUE"),$M993,IF(AND($N993="VCA",$Q993="LINEAR"),$M993,IF(AND($N993="VCA",$Q993="PREDIAL"),0,0)))</f>
        <v>8.79</v>
      </c>
      <c r="AN993" s="153" t="n">
        <f aca="false">ROUND(IF(AND($N993="VCA",$M993&lt;&gt;"",$Q993="LINEAR"),$M993/100,IF(AND($N993="MND",$M993&gt;100,$Q993="EMBOQUE"),$M993/100,0)),0)</f>
        <v>0</v>
      </c>
      <c r="AO993" s="153" t="n">
        <f aca="false">IF(AND($N993="MND",$Q993="EMBOQUE"),$AN993*2*2,IF(AND($N993="VCA",$Q993="LINEAR"),$M993*2,IF(AND($N993="VCA",$Q993="PREDIAL"),0,0)))</f>
        <v>17.58</v>
      </c>
      <c r="AP993" s="153" t="n">
        <f aca="false">IFERROR($M993*$AF993*$AG993,0)</f>
        <v>9.163575</v>
      </c>
      <c r="AQ993" s="153" t="n">
        <f aca="false">IFERROR(IF(AND($N993="VCA",$AH993&gt;0),$M993*$AG993*$AH993,0),0)</f>
        <v>0.65925</v>
      </c>
      <c r="AR993" s="153" t="n">
        <f aca="false">IFERROR(IF(AND($N993="VCA",$AJ993&gt;0),($M993*$AG993*$AJ993)-$AI993,0),0)</f>
        <v>2.51515543616427</v>
      </c>
      <c r="AS993" s="153" t="n">
        <f aca="false">IFERROR(IF(AND($N993="VCA",$AP993&gt;0),$AP993-$AI993-$AQ993-$AR993,0),0)</f>
        <v>5.93325</v>
      </c>
      <c r="AT993" s="153" t="n">
        <f aca="false">IFERROR(IF($N993="VCA",INDEX(APOIO_REDES!$A:$W,MATCH($C993&amp;$I993&amp;$H993&amp;$N993&amp;$O993,APOIO_REDES!$W:$W,0),MATCH(AT$5,APOIO_REDES!$5:$5,0)),0)*$AP993,0)</f>
        <v>0.099702408279752</v>
      </c>
      <c r="AU993" s="153" t="n">
        <f aca="false">IFERROR(IF($N993="VCA",INDEX(APOIO_REDES!$A:$W,MATCH($C993&amp;$I993&amp;$H993&amp;$N993&amp;$O993,APOIO_REDES!$W:$W,0),MATCH(AU$5,APOIO_REDES!$5:$5,0)),0)*$AP993,0)</f>
        <v>0.0796196429685424</v>
      </c>
      <c r="AV993" s="153" t="n">
        <f aca="false">IFERROR(IF($N993="VCA",INDEX(APOIO_REDES!$A:$W,MATCH($C993&amp;$I993&amp;$H993&amp;$N993&amp;$O993,APOIO_REDES!$W:$W,0),MATCH(AV$5,APOIO_REDES!$5:$5,0)),0)*$AP993,0)</f>
        <v>0.0110187335481424</v>
      </c>
      <c r="AW993" s="153" t="n">
        <f aca="false">IFERROR(IF($N993="VCA",INDEX(APOIO_REDES!$A:$W,MATCH($C993&amp;$I993&amp;$H993&amp;$N993&amp;$O993,APOIO_REDES!$W:$W,0),MATCH(AW$5,APOIO_REDES!$5:$5,0)),0)*$AP993,0)</f>
        <v>6.28994888284387</v>
      </c>
      <c r="AX993" s="153" t="n">
        <f aca="false">IFERROR(IF($N993="VCA",INDEX(APOIO_REDES!$A:$W,MATCH($C993&amp;$I993&amp;$H993&amp;$N993&amp;$O993,APOIO_REDES!$W:$W,0),MATCH(AX$5,APOIO_REDES!$5:$5,0)),0)*$AP993,0)</f>
        <v>0.870511008127044</v>
      </c>
      <c r="AY993" s="153" t="n">
        <f aca="false">IFERROR(IF($N993="VCA",INDEX(APOIO_REDES!$A:$W,MATCH($C993&amp;$I993&amp;$H993&amp;$N993&amp;$O993,APOIO_REDES!$W:$W,0),MATCH(AY$5,APOIO_REDES!$5:$5,0)),0)*$AP993,0)</f>
        <v>1.59239188881385</v>
      </c>
      <c r="AZ993" s="153" t="n">
        <f aca="false">IFERROR(IF($N993="VCA",INDEX(APOIO_REDES!$A:$W,MATCH($C993&amp;$I993&amp;$H993&amp;$N993&amp;$O993,APOIO_REDES!$W:$W,0),MATCH(AZ$5,APOIO_REDES!$5:$5,0)),0)*$AP993,0)</f>
        <v>0.220382435418797</v>
      </c>
      <c r="BA993" s="153" t="n">
        <f aca="false">IFERROR(IF(AND($N993="VCA",$Q993="LINEAR"),INDEX(APOIO_REDES!$A:$W,MATCH($C993&amp;$I993&amp;$H993&amp;$N993&amp;$O993,APOIO_REDES!$W:$W,0),MATCH(BA$5,APOIO_REDES!$5:$5,0)),IF(AND($N993="MND",$Q993="EMBOQUE"),INDEX(APOIO_REDES!$A:$W,MATCH($C993&amp;$I993&amp;$H993&amp;$N993&amp;$O993,APOIO_REDES!$W:$W,0),MATCH(BA$5,APOIO_REDES!$5:$5,0)),0))*$M993/10,0)</f>
        <v>0.708451827926269</v>
      </c>
      <c r="BB993" s="153" t="n">
        <f aca="false">IFERROR(IF($N993="VCA",INDEX(APOIO_REDES!$A:$W,MATCH($C993&amp;$I993&amp;$H993&amp;$N993&amp;$O993,APOIO_REDES!$W:$W,0),MATCH(BB$5,APOIO_REDES!$5:$5,0)),0)*($AI993+$AQ993+$AR993),0)</f>
        <v>3.19517810787261</v>
      </c>
      <c r="BC993" s="153" t="n">
        <f aca="false">IFERROR(IF($N993="VCA",INDEX(APOIO_REDES!$A:$W,MATCH($C993&amp;$I993&amp;$H993&amp;$N993&amp;$O993,APOIO_REDES!$W:$W,0),MATCH(BC$5,APOIO_REDES!$5:$5,0)),0)*($AI993+$AQ993+$AR993),0)</f>
        <v>0.0351468921273946</v>
      </c>
      <c r="BD993" s="153" t="n">
        <f aca="false">IF(AND($N993="VCA",$AF993&gt;=1.25,$AF993&lt;1.5),$M993*$AF993*2,0)</f>
        <v>24.4362</v>
      </c>
      <c r="BE993" s="153" t="n">
        <f aca="false">IF(AND($N993="VCA",$AF993&gt;=1.5,$AF993&lt;3),$M993*$AF993*2,0)</f>
        <v>0</v>
      </c>
      <c r="BF993" s="153" t="n">
        <f aca="false">IF(AND($N993="VCA",$AF993&gt;=3),$M993*$AF993*2,0)</f>
        <v>0</v>
      </c>
      <c r="BG993" s="153" t="n">
        <f aca="false">($BB993+$BC993)*$AK993</f>
        <v>14.5364625</v>
      </c>
      <c r="BH993" s="153" t="n">
        <f aca="false">IF(AND($M993&lt;&gt;"",$N993="VCA",$Q993="LINEAR"),($M993*2)/100,IF(AND($M993&lt;&gt;"",$N993="MND",$Q993="EMBOQUE"),($AN993*2)/100,0))</f>
        <v>0.1758</v>
      </c>
      <c r="BI993" s="153" t="n">
        <f aca="false">IF(AND($M993&lt;&gt;"",$N993="VCA",$Q993="LINEAR"),$M993,IF(AND($M993&lt;&gt;"",$N993="MND",$Q993="EMBOQUE"),$AN993*2,0))</f>
        <v>8.79</v>
      </c>
      <c r="BJ993" s="153" t="n">
        <f aca="false">IF(AND($M993&lt;&gt;"",$N993="VCA",$Q993="LINEAR"),($M993*6.8)/100,IF(AND($M993&lt;&gt;"",$N993="MND",$Q993="EMBOQUE"),($AN993*2*6.8)/100,0))</f>
        <v>0.59772</v>
      </c>
      <c r="BK993" s="153" t="n">
        <f aca="false">IF(AND($M993&lt;&gt;"",$N993="VCA",$Q993="LINEAR"),($M993*2.5)/50,IF(AND($M993&lt;&gt;"",$N993="MND",$Q993="EMBOQUE"),($AN993*2*2.5)/50,0))</f>
        <v>0.4395</v>
      </c>
      <c r="BL993" s="157" t="str">
        <f aca="false">K993&amp;J993</f>
        <v>Zona09REDES</v>
      </c>
      <c r="BM993" s="152" t="s">
        <v>5109</v>
      </c>
      <c r="BN993" s="152" t="s">
        <v>1560</v>
      </c>
      <c r="BO993" s="152" t="s">
        <v>4004</v>
      </c>
      <c r="BP993" s="152" t="s">
        <v>5306</v>
      </c>
      <c r="BQ993" s="152" t="s">
        <v>5317</v>
      </c>
      <c r="BR993" s="152" t="s">
        <v>5307</v>
      </c>
      <c r="BS993" s="152" t="n">
        <v>203503.155</v>
      </c>
      <c r="BT993" s="152" t="n">
        <v>8236740.208</v>
      </c>
      <c r="BU993" s="152" t="n">
        <v>203507.014</v>
      </c>
      <c r="BV993" s="152" t="n">
        <v>8236732.312</v>
      </c>
      <c r="BW993" s="152" t="n">
        <v>-15.9309357</v>
      </c>
      <c r="BX993" s="152" t="n">
        <v>-47.7693268</v>
      </c>
      <c r="BY993" s="152" t="s">
        <v>5306</v>
      </c>
    </row>
    <row r="994" customFormat="false" ht="13.8" hidden="false" customHeight="false" outlineLevel="0" collapsed="false">
      <c r="A994" s="149" t="n">
        <f aca="false">IF(C994&lt;&gt;"",ROW(A989),"")</f>
        <v>989</v>
      </c>
      <c r="B994" s="150" t="str">
        <f aca="false">HYPERLINK("https://www.google.com/maps/dir/-15.917302,-47.760003/-15.9309715,-47.7693092/data=!4m3!4m2!3e0!5i1")</f>
        <v>https://www.google.com/maps/dir/-15.917302,-47.760003/-15.9309715,-47.7693092/data=!4m3!4m2!3e0!5i1</v>
      </c>
      <c r="C994" s="151" t="s">
        <v>117</v>
      </c>
      <c r="D994" s="152" t="s">
        <v>112</v>
      </c>
      <c r="E994" s="152" t="s">
        <v>113</v>
      </c>
      <c r="F994" s="152" t="s">
        <v>117</v>
      </c>
      <c r="G994" s="152" t="s">
        <v>782</v>
      </c>
      <c r="H994" s="152" t="n">
        <v>90</v>
      </c>
      <c r="I994" s="152" t="s">
        <v>115</v>
      </c>
      <c r="J994" s="152" t="s">
        <v>6</v>
      </c>
      <c r="K994" s="152" t="s">
        <v>5106</v>
      </c>
      <c r="L994" s="152" t="s">
        <v>120</v>
      </c>
      <c r="M994" s="153" t="n">
        <f aca="false">7.97</f>
        <v>7.97</v>
      </c>
      <c r="N994" s="152" t="s">
        <v>1548</v>
      </c>
      <c r="O994" s="152" t="s">
        <v>1549</v>
      </c>
      <c r="P994" s="152" t="s">
        <v>1550</v>
      </c>
      <c r="Q994" s="152" t="s">
        <v>1551</v>
      </c>
      <c r="R994" s="154" t="s">
        <v>5318</v>
      </c>
      <c r="S994" s="154" t="s">
        <v>1593</v>
      </c>
      <c r="T994" s="155" t="s">
        <v>4002</v>
      </c>
      <c r="U994" s="152" t="str">
        <f aca="false">RIGHT(T994,7)</f>
        <v>015/037</v>
      </c>
      <c r="V994" s="152" t="s">
        <v>1555</v>
      </c>
      <c r="W994" s="156" t="n">
        <v>45882</v>
      </c>
      <c r="X994" s="152" t="s">
        <v>1594</v>
      </c>
      <c r="Y994" s="152" t="s">
        <v>2387</v>
      </c>
      <c r="Z994" s="152" t="s">
        <v>1557</v>
      </c>
      <c r="AA994" s="153" t="n">
        <v>4.5</v>
      </c>
      <c r="AB994" s="151" t="s">
        <v>5319</v>
      </c>
      <c r="AC994" s="151" t="s">
        <v>526</v>
      </c>
      <c r="AD994" s="151" t="str">
        <f aca="false">CONCATENATE($C994,$I994,$H994,$N994,$J994,$K994)</f>
        <v>TUBO PEADPEAD90VCAREDESZona09</v>
      </c>
      <c r="AE994" s="153" t="n">
        <f aca="false">IFERROR(INDEX(APOIO_REDES!$A:$W,MATCH($C994&amp;$I994&amp;$H994&amp;$N994&amp;$O994,APOIO_REDES!$W:$W,0),MATCH(AE$5,APOIO_REDES!$5:$5,0)),0)</f>
        <v>1.2</v>
      </c>
      <c r="AF994" s="153" t="n">
        <f aca="false">IFERROR(INDEX(APOIO_REDES!$A:$W,MATCH($C994&amp;$I994&amp;$H994&amp;$N994&amp;$O994,APOIO_REDES!$W:$W,0),MATCH(AF$5,APOIO_REDES!$5:$5,0)),0)</f>
        <v>1.39</v>
      </c>
      <c r="AG994" s="153" t="n">
        <f aca="false">IFERROR(INDEX(APOIO_REDES!$A:$W,MATCH($C994&amp;$I994&amp;$H994&amp;$N994&amp;$O994,APOIO_REDES!$W:$W,0),MATCH(AG$5,APOIO_REDES!$5:$5,0)),0)</f>
        <v>0.75</v>
      </c>
      <c r="AH994" s="153" t="n">
        <f aca="false">IFERROR(INDEX(APOIO_REDES!$A:$W,MATCH($C994&amp;$I994&amp;$H994&amp;$N994&amp;$O994,APOIO_REDES!$W:$W,0),MATCH(AH$5,APOIO_REDES!$5:$5,0)),0)</f>
        <v>0.1</v>
      </c>
      <c r="AI994" s="153" t="n">
        <f aca="false">IFERROR(IF($H994&lt;&gt;"",(((($H994/1000)/2)^2)*PI()*$M994),0),0)</f>
        <v>0.0507029492344491</v>
      </c>
      <c r="AJ994" s="153" t="n">
        <f aca="false">IFERROR(IF(AND($H994&lt;&gt;"",$I994="FoFo",OR($N994="MND",$N994="VCA"),$Q994="LINEAR"),0,IF(AND($H994&lt;&gt;"",$I994="PEAD",$N994="VCA",$Q994="LINEAR"),($H994/1000)+0.3,IF(AND($H994&lt;&gt;"",$I994="PEAD",$N994="MND",$Q994="EMBOQUE"),0,IF(AND($H994&lt;&gt;"",$I994="PVC",$N994="VCA",$Q994="LINEAR"),($H994/1000)+0.2,IF(AND($H994&lt;&gt;"",$I994="PVC",$N994="MND",$Q994="EMBOQUE"),0,IF(AND($H994&lt;&gt;"",$I994="PEAD",$N994="VCA",$Q994="PREDIAL"),0,0)))))),0)</f>
        <v>0.39</v>
      </c>
      <c r="AK994" s="153" t="n">
        <f aca="false">IF(AA994&lt;&gt;"",AA994,0)</f>
        <v>4.5</v>
      </c>
      <c r="AL994" s="153" t="n">
        <f aca="false">IF(AND($N994="MND",$Q994="EMBOQUE"),$M994,IF(AND($N994="VCA",$Q994="LINEAR"),$M994,IF(AND($N994="VCA",$Q994="PREDIAL"),0,0)))</f>
        <v>7.97</v>
      </c>
      <c r="AM994" s="153" t="n">
        <f aca="false">IF(AND($N994="MND",$Q994="EMBOQUE"),$M994,IF(AND($N994="VCA",$Q994="LINEAR"),$M994,IF(AND($N994="VCA",$Q994="PREDIAL"),0,0)))</f>
        <v>7.97</v>
      </c>
      <c r="AN994" s="153" t="n">
        <f aca="false">ROUND(IF(AND($N994="VCA",$M994&lt;&gt;"",$Q994="LINEAR"),$M994/100,IF(AND($N994="MND",$M994&gt;100,$Q994="EMBOQUE"),$M994/100,0)),0)</f>
        <v>0</v>
      </c>
      <c r="AO994" s="153" t="n">
        <f aca="false">IF(AND($N994="MND",$Q994="EMBOQUE"),$AN994*2*2,IF(AND($N994="VCA",$Q994="LINEAR"),$M994*2,IF(AND($N994="VCA",$Q994="PREDIAL"),0,0)))</f>
        <v>15.94</v>
      </c>
      <c r="AP994" s="153" t="n">
        <f aca="false">IFERROR($M994*$AF994*$AG994,0)</f>
        <v>8.308725</v>
      </c>
      <c r="AQ994" s="153" t="n">
        <f aca="false">IFERROR(IF(AND($N994="VCA",$AH994&gt;0),$M994*$AG994*$AH994,0),0)</f>
        <v>0.59775</v>
      </c>
      <c r="AR994" s="153" t="n">
        <f aca="false">IFERROR(IF(AND($N994="VCA",$AJ994&gt;0),($M994*$AG994*$AJ994)-$AI994,0),0)</f>
        <v>2.28052205076555</v>
      </c>
      <c r="AS994" s="153" t="n">
        <f aca="false">IFERROR(IF(AND($N994="VCA",$AP994&gt;0),$AP994-$AI994-$AQ994-$AR994,0),0)</f>
        <v>5.37975</v>
      </c>
      <c r="AT994" s="153" t="n">
        <f aca="false">IFERROR(IF($N994="VCA",INDEX(APOIO_REDES!$A:$W,MATCH($C994&amp;$I994&amp;$H994&amp;$N994&amp;$O994,APOIO_REDES!$W:$W,0),MATCH(AT$5,APOIO_REDES!$5:$5,0)),0)*$AP994,0)</f>
        <v>0.0904013872570675</v>
      </c>
      <c r="AU994" s="153" t="n">
        <f aca="false">IFERROR(IF($N994="VCA",INDEX(APOIO_REDES!$A:$W,MATCH($C994&amp;$I994&amp;$H994&amp;$N994&amp;$O994,APOIO_REDES!$W:$W,0),MATCH(AU$5,APOIO_REDES!$5:$5,0)),0)*$AP994,0)</f>
        <v>0.0721920994834224</v>
      </c>
      <c r="AV994" s="153" t="n">
        <f aca="false">IFERROR(IF($N994="VCA",INDEX(APOIO_REDES!$A:$W,MATCH($C994&amp;$I994&amp;$H994&amp;$N994&amp;$O994,APOIO_REDES!$W:$W,0),MATCH(AV$5,APOIO_REDES!$5:$5,0)),0)*$AP994,0)</f>
        <v>0.00999081983830432</v>
      </c>
      <c r="AW994" s="153" t="n">
        <f aca="false">IFERROR(IF($N994="VCA",INDEX(APOIO_REDES!$A:$W,MATCH($C994&amp;$I994&amp;$H994&amp;$N994&amp;$O994,APOIO_REDES!$W:$W,0),MATCH(AW$5,APOIO_REDES!$5:$5,0)),0)*$AP994,0)</f>
        <v>5.70317321914285</v>
      </c>
      <c r="AX994" s="153" t="n">
        <f aca="false">IFERROR(IF($N994="VCA",INDEX(APOIO_REDES!$A:$W,MATCH($C994&amp;$I994&amp;$H994&amp;$N994&amp;$O994,APOIO_REDES!$W:$W,0),MATCH(AX$5,APOIO_REDES!$5:$5,0)),0)*$AP994,0)</f>
        <v>0.78930292773294</v>
      </c>
      <c r="AY994" s="153" t="n">
        <f aca="false">IFERROR(IF($N994="VCA",INDEX(APOIO_REDES!$A:$W,MATCH($C994&amp;$I994&amp;$H994&amp;$N994&amp;$O994,APOIO_REDES!$W:$W,0),MATCH(AY$5,APOIO_REDES!$5:$5,0)),0)*$AP994,0)</f>
        <v>1.44384110965261</v>
      </c>
      <c r="AZ994" s="153" t="n">
        <f aca="false">IFERROR(IF($N994="VCA",INDEX(APOIO_REDES!$A:$W,MATCH($C994&amp;$I994&amp;$H994&amp;$N994&amp;$O994,APOIO_REDES!$W:$W,0),MATCH(AZ$5,APOIO_REDES!$5:$5,0)),0)*$AP994,0)</f>
        <v>0.199823436892811</v>
      </c>
      <c r="BA994" s="153" t="n">
        <f aca="false">IFERROR(IF(AND($N994="VCA",$Q994="LINEAR"),INDEX(APOIO_REDES!$A:$W,MATCH($C994&amp;$I994&amp;$H994&amp;$N994&amp;$O994,APOIO_REDES!$W:$W,0),MATCH(BA$5,APOIO_REDES!$5:$5,0)),IF(AND($N994="MND",$Q994="EMBOQUE"),INDEX(APOIO_REDES!$A:$W,MATCH($C994&amp;$I994&amp;$H994&amp;$N994&amp;$O994,APOIO_REDES!$W:$W,0),MATCH(BA$5,APOIO_REDES!$5:$5,0)),0))*$M994/10,0)</f>
        <v>0.642361896310849</v>
      </c>
      <c r="BB994" s="153" t="n">
        <f aca="false">IFERROR(IF($N994="VCA",INDEX(APOIO_REDES!$A:$W,MATCH($C994&amp;$I994&amp;$H994&amp;$N994&amp;$O994,APOIO_REDES!$W:$W,0),MATCH(BB$5,APOIO_REDES!$5:$5,0)),0)*($AI994+$AQ994+$AR994),0)</f>
        <v>2.89710688506765</v>
      </c>
      <c r="BC994" s="153" t="n">
        <f aca="false">IFERROR(IF($N994="VCA",INDEX(APOIO_REDES!$A:$W,MATCH($C994&amp;$I994&amp;$H994&amp;$N994&amp;$O994,APOIO_REDES!$W:$W,0),MATCH(BC$5,APOIO_REDES!$5:$5,0)),0)*($AI994+$AQ994+$AR994),0)</f>
        <v>0.0318681149323475</v>
      </c>
      <c r="BD994" s="153" t="n">
        <f aca="false">IF(AND($N994="VCA",$AF994&gt;=1.25,$AF994&lt;1.5),$M994*$AF994*2,0)</f>
        <v>22.1566</v>
      </c>
      <c r="BE994" s="153" t="n">
        <f aca="false">IF(AND($N994="VCA",$AF994&gt;=1.5,$AF994&lt;3),$M994*$AF994*2,0)</f>
        <v>0</v>
      </c>
      <c r="BF994" s="153" t="n">
        <f aca="false">IF(AND($N994="VCA",$AF994&gt;=3),$M994*$AF994*2,0)</f>
        <v>0</v>
      </c>
      <c r="BG994" s="153" t="n">
        <f aca="false">($BB994+$BC994)*$AK994</f>
        <v>13.1803875</v>
      </c>
      <c r="BH994" s="153" t="n">
        <f aca="false">IF(AND($M994&lt;&gt;"",$N994="VCA",$Q994="LINEAR"),($M994*2)/100,IF(AND($M994&lt;&gt;"",$N994="MND",$Q994="EMBOQUE"),($AN994*2)/100,0))</f>
        <v>0.1594</v>
      </c>
      <c r="BI994" s="153" t="n">
        <f aca="false">IF(AND($M994&lt;&gt;"",$N994="VCA",$Q994="LINEAR"),$M994,IF(AND($M994&lt;&gt;"",$N994="MND",$Q994="EMBOQUE"),$AN994*2,0))</f>
        <v>7.97</v>
      </c>
      <c r="BJ994" s="153" t="n">
        <f aca="false">IF(AND($M994&lt;&gt;"",$N994="VCA",$Q994="LINEAR"),($M994*6.8)/100,IF(AND($M994&lt;&gt;"",$N994="MND",$Q994="EMBOQUE"),($AN994*2*6.8)/100,0))</f>
        <v>0.54196</v>
      </c>
      <c r="BK994" s="153" t="n">
        <f aca="false">IF(AND($M994&lt;&gt;"",$N994="VCA",$Q994="LINEAR"),($M994*2.5)/50,IF(AND($M994&lt;&gt;"",$N994="MND",$Q994="EMBOQUE"),($AN994*2*2.5)/50,0))</f>
        <v>0.3985</v>
      </c>
      <c r="BL994" s="157" t="str">
        <f aca="false">K994&amp;J994</f>
        <v>Zona09REDES</v>
      </c>
      <c r="BM994" s="152" t="s">
        <v>5109</v>
      </c>
      <c r="BN994" s="152" t="s">
        <v>1560</v>
      </c>
      <c r="BO994" s="152" t="s">
        <v>4004</v>
      </c>
      <c r="BP994" s="152" t="s">
        <v>5317</v>
      </c>
      <c r="BQ994" s="152" t="s">
        <v>5320</v>
      </c>
      <c r="BR994" s="152" t="s">
        <v>5307</v>
      </c>
      <c r="BS994" s="152" t="n">
        <v>203507.014</v>
      </c>
      <c r="BT994" s="152" t="n">
        <v>8236732.312</v>
      </c>
      <c r="BU994" s="152" t="n">
        <v>203510.512</v>
      </c>
      <c r="BV994" s="152" t="n">
        <v>8236725.153</v>
      </c>
      <c r="BW994" s="152" t="n">
        <v>-15.9310041</v>
      </c>
      <c r="BX994" s="152" t="n">
        <v>-47.7692934</v>
      </c>
      <c r="BY994" s="152" t="s">
        <v>5317</v>
      </c>
    </row>
    <row r="995" customFormat="false" ht="13.8" hidden="false" customHeight="false" outlineLevel="0" collapsed="false">
      <c r="A995" s="149" t="n">
        <f aca="false">IF(C995&lt;&gt;"",ROW(A990),"")</f>
        <v>990</v>
      </c>
      <c r="B995" s="150" t="str">
        <f aca="false">HYPERLINK("https://www.google.com/maps/dir/-15.917302,-47.760003/-15.9310534,-47.7692725/data=!4m3!4m2!3e0!5i2")</f>
        <v>https://www.google.com/maps/dir/-15.917302,-47.760003/-15.9310534,-47.7692725/data=!4m3!4m2!3e0!5i2</v>
      </c>
      <c r="C995" s="151" t="s">
        <v>117</v>
      </c>
      <c r="D995" s="152" t="s">
        <v>112</v>
      </c>
      <c r="E995" s="152" t="s">
        <v>113</v>
      </c>
      <c r="F995" s="152" t="s">
        <v>117</v>
      </c>
      <c r="G995" s="152" t="s">
        <v>114</v>
      </c>
      <c r="H995" s="152" t="n">
        <v>160</v>
      </c>
      <c r="I995" s="152" t="s">
        <v>115</v>
      </c>
      <c r="J995" s="152" t="s">
        <v>6</v>
      </c>
      <c r="K995" s="152" t="s">
        <v>5106</v>
      </c>
      <c r="L995" s="152" t="s">
        <v>120</v>
      </c>
      <c r="M995" s="153" t="n">
        <f aca="false">1.93</f>
        <v>1.93</v>
      </c>
      <c r="N995" s="152" t="s">
        <v>1548</v>
      </c>
      <c r="O995" s="152" t="s">
        <v>1549</v>
      </c>
      <c r="P995" s="152" t="s">
        <v>1550</v>
      </c>
      <c r="Q995" s="152" t="s">
        <v>1551</v>
      </c>
      <c r="R995" s="154" t="s">
        <v>5321</v>
      </c>
      <c r="S995" s="154" t="s">
        <v>1593</v>
      </c>
      <c r="T995" s="155" t="s">
        <v>4002</v>
      </c>
      <c r="U995" s="152" t="str">
        <f aca="false">RIGHT(T995,7)</f>
        <v>015/037</v>
      </c>
      <c r="V995" s="152" t="s">
        <v>1555</v>
      </c>
      <c r="W995" s="156" t="n">
        <v>45882</v>
      </c>
      <c r="X995" s="152" t="s">
        <v>1594</v>
      </c>
      <c r="Y995" s="152" t="s">
        <v>2387</v>
      </c>
      <c r="Z995" s="152" t="s">
        <v>1557</v>
      </c>
      <c r="AA995" s="153" t="n">
        <v>4.4</v>
      </c>
      <c r="AB995" s="151" t="s">
        <v>5322</v>
      </c>
      <c r="AC995" s="151" t="s">
        <v>505</v>
      </c>
      <c r="AD995" s="151" t="str">
        <f aca="false">CONCATENATE($C995,$I995,$H995,$N995,$J995,$K995)</f>
        <v>TUBO PEADPEAD160VCAREDESZona09</v>
      </c>
      <c r="AE995" s="153" t="n">
        <f aca="false">IFERROR(INDEX(APOIO_REDES!$A:$W,MATCH($C995&amp;$I995&amp;$H995&amp;$N995&amp;$O995,APOIO_REDES!$W:$W,0),MATCH(AE$5,APOIO_REDES!$5:$5,0)),0)</f>
        <v>1.2</v>
      </c>
      <c r="AF995" s="153" t="n">
        <f aca="false">IFERROR(INDEX(APOIO_REDES!$A:$W,MATCH($C995&amp;$I995&amp;$H995&amp;$N995&amp;$O995,APOIO_REDES!$W:$W,0),MATCH(AF$5,APOIO_REDES!$5:$5,0)),0)</f>
        <v>1.46</v>
      </c>
      <c r="AG995" s="153" t="n">
        <f aca="false">IFERROR(INDEX(APOIO_REDES!$A:$W,MATCH($C995&amp;$I995&amp;$H995&amp;$N995&amp;$O995,APOIO_REDES!$W:$W,0),MATCH(AG$5,APOIO_REDES!$5:$5,0)),0)</f>
        <v>0.75</v>
      </c>
      <c r="AH995" s="153" t="n">
        <f aca="false">IFERROR(INDEX(APOIO_REDES!$A:$W,MATCH($C995&amp;$I995&amp;$H995&amp;$N995&amp;$O995,APOIO_REDES!$W:$W,0),MATCH(AH$5,APOIO_REDES!$5:$5,0)),0)</f>
        <v>0.1</v>
      </c>
      <c r="AI995" s="153" t="n">
        <f aca="false">IFERROR(IF($H995&lt;&gt;"",(((($H995/1000)/2)^2)*PI()*$M995),0),0)</f>
        <v>0.0388049524571411</v>
      </c>
      <c r="AJ995" s="153" t="n">
        <f aca="false">IFERROR(IF(AND($H995&lt;&gt;"",$I995="FoFo",OR($N995="MND",$N995="VCA"),$Q995="LINEAR"),0,IF(AND($H995&lt;&gt;"",$I995="PEAD",$N995="VCA",$Q995="LINEAR"),($H995/1000)+0.3,IF(AND($H995&lt;&gt;"",$I995="PEAD",$N995="MND",$Q995="EMBOQUE"),0,IF(AND($H995&lt;&gt;"",$I995="PVC",$N995="VCA",$Q995="LINEAR"),($H995/1000)+0.2,IF(AND($H995&lt;&gt;"",$I995="PVC",$N995="MND",$Q995="EMBOQUE"),0,IF(AND($H995&lt;&gt;"",$I995="PEAD",$N995="VCA",$Q995="PREDIAL"),0,0)))))),0)</f>
        <v>0.46</v>
      </c>
      <c r="AK995" s="153" t="n">
        <f aca="false">IF(AA995&lt;&gt;"",AA995,0)</f>
        <v>4.4</v>
      </c>
      <c r="AL995" s="153" t="n">
        <f aca="false">IF(AND($N995="MND",$Q995="EMBOQUE"),$M995,IF(AND($N995="VCA",$Q995="LINEAR"),$M995,IF(AND($N995="VCA",$Q995="PREDIAL"),0,0)))</f>
        <v>1.93</v>
      </c>
      <c r="AM995" s="153" t="n">
        <f aca="false">IF(AND($N995="MND",$Q995="EMBOQUE"),$M995,IF(AND($N995="VCA",$Q995="LINEAR"),$M995,IF(AND($N995="VCA",$Q995="PREDIAL"),0,0)))</f>
        <v>1.93</v>
      </c>
      <c r="AN995" s="153" t="n">
        <f aca="false">ROUND(IF(AND($N995="VCA",$M995&lt;&gt;"",$Q995="LINEAR"),$M995/100,IF(AND($N995="MND",$M995&gt;100,$Q995="EMBOQUE"),$M995/100,0)),0)</f>
        <v>0</v>
      </c>
      <c r="AO995" s="153" t="n">
        <f aca="false">IF(AND($N995="MND",$Q995="EMBOQUE"),$AN995*2*2,IF(AND($N995="VCA",$Q995="LINEAR"),$M995*2,IF(AND($N995="VCA",$Q995="PREDIAL"),0,0)))</f>
        <v>3.86</v>
      </c>
      <c r="AP995" s="153" t="n">
        <f aca="false">IFERROR($M995*$AF995*$AG995,0)</f>
        <v>2.11335</v>
      </c>
      <c r="AQ995" s="153" t="n">
        <f aca="false">IFERROR(IF(AND($N995="VCA",$AH995&gt;0),$M995*$AG995*$AH995,0),0)</f>
        <v>0.14475</v>
      </c>
      <c r="AR995" s="153" t="n">
        <f aca="false">IFERROR(IF(AND($N995="VCA",$AJ995&gt;0),($M995*$AG995*$AJ995)-$AI995,0),0)</f>
        <v>0.627045047542859</v>
      </c>
      <c r="AS995" s="153" t="n">
        <f aca="false">IFERROR(IF(AND($N995="VCA",$AP995&gt;0),$AP995-$AI995-$AQ995-$AR995,0),0)</f>
        <v>1.30275</v>
      </c>
      <c r="AT995" s="153" t="n">
        <f aca="false">IFERROR(IF($N995="VCA",INDEX(APOIO_REDES!$A:$W,MATCH($C995&amp;$I995&amp;$H995&amp;$N995&amp;$O995,APOIO_REDES!$W:$W,0),MATCH(AT$5,APOIO_REDES!$5:$5,0)),0)*$AP995,0)</f>
        <v>0.0229938735196704</v>
      </c>
      <c r="AU995" s="153" t="n">
        <f aca="false">IFERROR(IF($N995="VCA",INDEX(APOIO_REDES!$A:$W,MATCH($C995&amp;$I995&amp;$H995&amp;$N995&amp;$O995,APOIO_REDES!$W:$W,0),MATCH(AU$5,APOIO_REDES!$5:$5,0)),0)*$AP995,0)</f>
        <v>0.018362284639736</v>
      </c>
      <c r="AV995" s="153" t="n">
        <f aca="false">IFERROR(IF($N995="VCA",INDEX(APOIO_REDES!$A:$W,MATCH($C995&amp;$I995&amp;$H995&amp;$N995&amp;$O995,APOIO_REDES!$W:$W,0),MATCH(AV$5,APOIO_REDES!$5:$5,0)),0)*$AP995,0)</f>
        <v>0.00254119604455322</v>
      </c>
      <c r="AW995" s="153" t="n">
        <f aca="false">IFERROR(IF($N995="VCA",INDEX(APOIO_REDES!$A:$W,MATCH($C995&amp;$I995&amp;$H995&amp;$N995&amp;$O995,APOIO_REDES!$W:$W,0),MATCH(AW$5,APOIO_REDES!$5:$5,0)),0)*$AP995,0)</f>
        <v>1.45061981503486</v>
      </c>
      <c r="AX995" s="153" t="n">
        <f aca="false">IFERROR(IF($N995="VCA",INDEX(APOIO_REDES!$A:$W,MATCH($C995&amp;$I995&amp;$H995&amp;$N995&amp;$O995,APOIO_REDES!$W:$W,0),MATCH(AX$5,APOIO_REDES!$5:$5,0)),0)*$AP995,0)</f>
        <v>0.200761650232064</v>
      </c>
      <c r="AY995" s="153" t="n">
        <f aca="false">IFERROR(IF($N995="VCA",INDEX(APOIO_REDES!$A:$W,MATCH($C995&amp;$I995&amp;$H995&amp;$N995&amp;$O995,APOIO_REDES!$W:$W,0),MATCH(AY$5,APOIO_REDES!$5:$5,0)),0)*$AP995,0)</f>
        <v>0.367245468959959</v>
      </c>
      <c r="AZ995" s="153" t="n">
        <f aca="false">IFERROR(IF($N995="VCA",INDEX(APOIO_REDES!$A:$W,MATCH($C995&amp;$I995&amp;$H995&amp;$N995&amp;$O995,APOIO_REDES!$W:$W,0),MATCH(AZ$5,APOIO_REDES!$5:$5,0)),0)*$AP995,0)</f>
        <v>0.0508257115691544</v>
      </c>
      <c r="BA995" s="153" t="n">
        <f aca="false">IFERROR(IF(AND($N995="VCA",$Q995="LINEAR"),INDEX(APOIO_REDES!$A:$W,MATCH($C995&amp;$I995&amp;$H995&amp;$N995&amp;$O995,APOIO_REDES!$W:$W,0),MATCH(BA$5,APOIO_REDES!$5:$5,0)),IF(AND($N995="MND",$Q995="EMBOQUE"),INDEX(APOIO_REDES!$A:$W,MATCH($C995&amp;$I995&amp;$H995&amp;$N995&amp;$O995,APOIO_REDES!$W:$W,0),MATCH(BA$5,APOIO_REDES!$5:$5,0)),0))*$M995/10,0)</f>
        <v>0.155553131728976</v>
      </c>
      <c r="BB995" s="153" t="n">
        <f aca="false">IFERROR(IF($N995="VCA",INDEX(APOIO_REDES!$A:$W,MATCH($C995&amp;$I995&amp;$H995&amp;$N995&amp;$O995,APOIO_REDES!$W:$W,0),MATCH(BB$5,APOIO_REDES!$5:$5,0)),0)*($AI995+$AQ995+$AR995),0)</f>
        <v>0.801780432074647</v>
      </c>
      <c r="BC995" s="153" t="n">
        <f aca="false">IFERROR(IF($N995="VCA",INDEX(APOIO_REDES!$A:$W,MATCH($C995&amp;$I995&amp;$H995&amp;$N995&amp;$O995,APOIO_REDES!$W:$W,0),MATCH(BC$5,APOIO_REDES!$5:$5,0)),0)*($AI995+$AQ995+$AR995),0)</f>
        <v>0.00881956792535304</v>
      </c>
      <c r="BD995" s="153" t="n">
        <f aca="false">IF(AND($N995="VCA",$AF995&gt;=1.25,$AF995&lt;1.5),$M995*$AF995*2,0)</f>
        <v>5.6356</v>
      </c>
      <c r="BE995" s="153" t="n">
        <f aca="false">IF(AND($N995="VCA",$AF995&gt;=1.5,$AF995&lt;3),$M995*$AF995*2,0)</f>
        <v>0</v>
      </c>
      <c r="BF995" s="153" t="n">
        <f aca="false">IF(AND($N995="VCA",$AF995&gt;=3),$M995*$AF995*2,0)</f>
        <v>0</v>
      </c>
      <c r="BG995" s="153" t="n">
        <f aca="false">($BB995+$BC995)*$AK995</f>
        <v>3.56664</v>
      </c>
      <c r="BH995" s="153" t="n">
        <f aca="false">IF(AND($M995&lt;&gt;"",$N995="VCA",$Q995="LINEAR"),($M995*2)/100,IF(AND($M995&lt;&gt;"",$N995="MND",$Q995="EMBOQUE"),($AN995*2)/100,0))</f>
        <v>0.0386</v>
      </c>
      <c r="BI995" s="153" t="n">
        <f aca="false">IF(AND($M995&lt;&gt;"",$N995="VCA",$Q995="LINEAR"),$M995,IF(AND($M995&lt;&gt;"",$N995="MND",$Q995="EMBOQUE"),$AN995*2,0))</f>
        <v>1.93</v>
      </c>
      <c r="BJ995" s="153" t="n">
        <f aca="false">IF(AND($M995&lt;&gt;"",$N995="VCA",$Q995="LINEAR"),($M995*6.8)/100,IF(AND($M995&lt;&gt;"",$N995="MND",$Q995="EMBOQUE"),($AN995*2*6.8)/100,0))</f>
        <v>0.13124</v>
      </c>
      <c r="BK995" s="153" t="n">
        <f aca="false">IF(AND($M995&lt;&gt;"",$N995="VCA",$Q995="LINEAR"),($M995*2.5)/50,IF(AND($M995&lt;&gt;"",$N995="MND",$Q995="EMBOQUE"),($AN995*2*2.5)/50,0))</f>
        <v>0.0965</v>
      </c>
      <c r="BL995" s="157" t="str">
        <f aca="false">K995&amp;J995</f>
        <v>Zona09REDES</v>
      </c>
      <c r="BM995" s="152" t="s">
        <v>5109</v>
      </c>
      <c r="BN995" s="152" t="s">
        <v>1560</v>
      </c>
      <c r="BO995" s="152" t="s">
        <v>4004</v>
      </c>
      <c r="BP995" s="152" t="s">
        <v>5323</v>
      </c>
      <c r="BQ995" s="152" t="s">
        <v>5320</v>
      </c>
      <c r="BR995" s="152" t="s">
        <v>5324</v>
      </c>
      <c r="BS995" s="152" t="n">
        <v>203511.073</v>
      </c>
      <c r="BT995" s="152" t="n">
        <v>8236723.309</v>
      </c>
      <c r="BU995" s="152" t="n">
        <v>203510.512</v>
      </c>
      <c r="BV995" s="152" t="n">
        <v>8236725.153</v>
      </c>
      <c r="BW995" s="152" t="n">
        <v>-15.931045</v>
      </c>
      <c r="BX995" s="152" t="n">
        <v>-47.769275</v>
      </c>
      <c r="BY995" s="152" t="s">
        <v>5323</v>
      </c>
    </row>
    <row r="996" customFormat="false" ht="13.8" hidden="false" customHeight="false" outlineLevel="0" collapsed="false">
      <c r="A996" s="149" t="n">
        <f aca="false">IF(C996&lt;&gt;"",ROW(A991),"")</f>
        <v>991</v>
      </c>
      <c r="B996" s="150" t="str">
        <f aca="false">HYPERLINK("https://www.google.com/maps/dir/-15.917302,-47.760003/-15.9303984,-47.7713191/data=!4m3!4m2!3e0!5i2")</f>
        <v>https://www.google.com/maps/dir/-15.917302,-47.760003/-15.9303984,-47.7713191/data=!4m3!4m2!3e0!5i2</v>
      </c>
      <c r="C996" s="151" t="s">
        <v>117</v>
      </c>
      <c r="D996" s="152" t="s">
        <v>112</v>
      </c>
      <c r="E996" s="152" t="s">
        <v>113</v>
      </c>
      <c r="F996" s="152" t="s">
        <v>117</v>
      </c>
      <c r="G996" s="152" t="s">
        <v>782</v>
      </c>
      <c r="H996" s="152" t="n">
        <v>63</v>
      </c>
      <c r="I996" s="152" t="s">
        <v>115</v>
      </c>
      <c r="J996" s="152" t="s">
        <v>6</v>
      </c>
      <c r="K996" s="152" t="s">
        <v>5106</v>
      </c>
      <c r="L996" s="152" t="s">
        <v>120</v>
      </c>
      <c r="M996" s="153" t="n">
        <f aca="false">152.99+0.34</f>
        <v>153.33</v>
      </c>
      <c r="N996" s="152" t="s">
        <v>1548</v>
      </c>
      <c r="O996" s="152" t="s">
        <v>1549</v>
      </c>
      <c r="P996" s="152" t="s">
        <v>1550</v>
      </c>
      <c r="Q996" s="152" t="s">
        <v>1551</v>
      </c>
      <c r="R996" s="154" t="s">
        <v>5325</v>
      </c>
      <c r="S996" s="154" t="s">
        <v>1553</v>
      </c>
      <c r="T996" s="155" t="s">
        <v>4002</v>
      </c>
      <c r="U996" s="152" t="str">
        <f aca="false">RIGHT(T996,7)</f>
        <v>015/037</v>
      </c>
      <c r="V996" s="152" t="s">
        <v>1555</v>
      </c>
      <c r="W996" s="156" t="n">
        <v>45882</v>
      </c>
      <c r="X996" s="152" t="s">
        <v>1594</v>
      </c>
      <c r="Y996" s="152" t="s">
        <v>1860</v>
      </c>
      <c r="Z996" s="152" t="s">
        <v>1557</v>
      </c>
      <c r="AA996" s="153" t="n">
        <v>4.6</v>
      </c>
      <c r="AB996" s="151" t="s">
        <v>5326</v>
      </c>
      <c r="AC996" s="151" t="s">
        <v>186</v>
      </c>
      <c r="AD996" s="151" t="str">
        <f aca="false">CONCATENATE($C996,$I996,$H996,$N996,$J996,$K996)</f>
        <v>TUBO PEADPEAD63VCAREDESZona09</v>
      </c>
      <c r="AE996" s="153" t="n">
        <f aca="false">IFERROR(INDEX(APOIO_REDES!$A:$W,MATCH($C996&amp;$I996&amp;$H996&amp;$N996&amp;$O996,APOIO_REDES!$W:$W,0),MATCH(AE$5,APOIO_REDES!$5:$5,0)),0)</f>
        <v>1.2</v>
      </c>
      <c r="AF996" s="153" t="n">
        <f aca="false">IFERROR(INDEX(APOIO_REDES!$A:$W,MATCH($C996&amp;$I996&amp;$H996&amp;$N996&amp;$O996,APOIO_REDES!$W:$W,0),MATCH(AF$5,APOIO_REDES!$5:$5,0)),0)</f>
        <v>1.363</v>
      </c>
      <c r="AG996" s="153" t="n">
        <f aca="false">IFERROR(INDEX(APOIO_REDES!$A:$W,MATCH($C996&amp;$I996&amp;$H996&amp;$N996&amp;$O996,APOIO_REDES!$W:$W,0),MATCH(AG$5,APOIO_REDES!$5:$5,0)),0)</f>
        <v>0.65</v>
      </c>
      <c r="AH996" s="153" t="n">
        <f aca="false">IFERROR(INDEX(APOIO_REDES!$A:$W,MATCH($C996&amp;$I996&amp;$H996&amp;$N996&amp;$O996,APOIO_REDES!$W:$W,0),MATCH(AH$5,APOIO_REDES!$5:$5,0)),0)</f>
        <v>0.1</v>
      </c>
      <c r="AI996" s="153" t="n">
        <f aca="false">IFERROR(IF($H996&lt;&gt;"",(((($H996/1000)/2)^2)*PI()*$M996),0),0)</f>
        <v>0.477967223462717</v>
      </c>
      <c r="AJ996" s="153" t="n">
        <f aca="false">IFERROR(IF(AND($H996&lt;&gt;"",$I996="FoFo",OR($N996="MND",$N996="VCA"),$Q996="LINEAR"),0,IF(AND($H996&lt;&gt;"",$I996="PEAD",$N996="VCA",$Q996="LINEAR"),($H996/1000)+0.3,IF(AND($H996&lt;&gt;"",$I996="PEAD",$N996="MND",$Q996="EMBOQUE"),0,IF(AND($H996&lt;&gt;"",$I996="PVC",$N996="VCA",$Q996="LINEAR"),($H996/1000)+0.2,IF(AND($H996&lt;&gt;"",$I996="PVC",$N996="MND",$Q996="EMBOQUE"),0,IF(AND($H996&lt;&gt;"",$I996="PEAD",$N996="VCA",$Q996="PREDIAL"),0,0)))))),0)</f>
        <v>0.363</v>
      </c>
      <c r="AK996" s="153" t="n">
        <f aca="false">IF(AA996&lt;&gt;"",AA996,0)</f>
        <v>4.6</v>
      </c>
      <c r="AL996" s="153" t="n">
        <f aca="false">IF(AND($N996="MND",$Q996="EMBOQUE"),$M996,IF(AND($N996="VCA",$Q996="LINEAR"),$M996,IF(AND($N996="VCA",$Q996="PREDIAL"),0,0)))</f>
        <v>153.33</v>
      </c>
      <c r="AM996" s="153" t="n">
        <f aca="false">IF(AND($N996="MND",$Q996="EMBOQUE"),$M996,IF(AND($N996="VCA",$Q996="LINEAR"),$M996,IF(AND($N996="VCA",$Q996="PREDIAL"),0,0)))</f>
        <v>153.33</v>
      </c>
      <c r="AN996" s="153" t="n">
        <f aca="false">ROUND(IF(AND($N996="VCA",$M996&lt;&gt;"",$Q996="LINEAR"),$M996/100,IF(AND($N996="MND",$M996&gt;100,$Q996="EMBOQUE"),$M996/100,0)),0)</f>
        <v>2</v>
      </c>
      <c r="AO996" s="153" t="n">
        <f aca="false">IF(AND($N996="MND",$Q996="EMBOQUE"),$AN996*2*2,IF(AND($N996="VCA",$Q996="LINEAR"),$M996*2,IF(AND($N996="VCA",$Q996="PREDIAL"),0,0)))</f>
        <v>306.66</v>
      </c>
      <c r="AP996" s="153" t="n">
        <f aca="false">IFERROR($M996*$AF996*$AG996,0)</f>
        <v>135.8427135</v>
      </c>
      <c r="AQ996" s="153" t="n">
        <f aca="false">IFERROR(IF(AND($N996="VCA",$AH996&gt;0),$M996*$AG996*$AH996,0),0)</f>
        <v>9.96645</v>
      </c>
      <c r="AR996" s="153" t="n">
        <f aca="false">IFERROR(IF(AND($N996="VCA",$AJ996&gt;0),($M996*$AG996*$AJ996)-$AI996,0),0)</f>
        <v>35.7002462765373</v>
      </c>
      <c r="AS996" s="153" t="n">
        <f aca="false">IFERROR(IF(AND($N996="VCA",$AP996&gt;0),$AP996-$AI996-$AQ996-$AR996,0),0)</f>
        <v>89.69805</v>
      </c>
      <c r="AT996" s="153" t="n">
        <f aca="false">IFERROR(IF($N996="VCA",INDEX(APOIO_REDES!$A:$W,MATCH($C996&amp;$I996&amp;$H996&amp;$N996&amp;$O996,APOIO_REDES!$W:$W,0),MATCH(AT$5,APOIO_REDES!$5:$5,0)),0)*$AP996,0)</f>
        <v>1.47800893027081</v>
      </c>
      <c r="AU996" s="153" t="n">
        <f aca="false">IFERROR(IF($N996="VCA",INDEX(APOIO_REDES!$A:$W,MATCH($C996&amp;$I996&amp;$H996&amp;$N996&amp;$O996,APOIO_REDES!$W:$W,0),MATCH(AU$5,APOIO_REDES!$5:$5,0)),0)*$AP996,0)</f>
        <v>1.18029790215587</v>
      </c>
      <c r="AV996" s="153" t="n">
        <f aca="false">IFERROR(IF($N996="VCA",INDEX(APOIO_REDES!$A:$W,MATCH($C996&amp;$I996&amp;$H996&amp;$N996&amp;$O996,APOIO_REDES!$W:$W,0),MATCH(AV$5,APOIO_REDES!$5:$5,0)),0)*$AP996,0)</f>
        <v>0.16334396395655</v>
      </c>
      <c r="AW996" s="153" t="n">
        <f aca="false">IFERROR(IF($N996="VCA",INDEX(APOIO_REDES!$A:$W,MATCH($C996&amp;$I996&amp;$H996&amp;$N996&amp;$O996,APOIO_REDES!$W:$W,0),MATCH(AW$5,APOIO_REDES!$5:$5,0)),0)*$AP996,0)</f>
        <v>93.2434911071067</v>
      </c>
      <c r="AX996" s="153" t="n">
        <f aca="false">IFERROR(IF($N996="VCA",INDEX(APOIO_REDES!$A:$W,MATCH($C996&amp;$I996&amp;$H996&amp;$N996&amp;$O996,APOIO_REDES!$W:$W,0),MATCH(AX$5,APOIO_REDES!$5:$5,0)),0)*$AP996,0)</f>
        <v>12.9046335601115</v>
      </c>
      <c r="AY996" s="153" t="n">
        <f aca="false">IFERROR(IF($N996="VCA",INDEX(APOIO_REDES!$A:$W,MATCH($C996&amp;$I996&amp;$H996&amp;$N996&amp;$O996,APOIO_REDES!$W:$W,0),MATCH(AY$5,APOIO_REDES!$5:$5,0)),0)*$AP996,0)</f>
        <v>23.6059436553817</v>
      </c>
      <c r="AZ996" s="153" t="n">
        <f aca="false">IFERROR(IF($N996="VCA",INDEX(APOIO_REDES!$A:$W,MATCH($C996&amp;$I996&amp;$H996&amp;$N996&amp;$O996,APOIO_REDES!$W:$W,0),MATCH(AZ$5,APOIO_REDES!$5:$5,0)),0)*$AP996,0)</f>
        <v>3.266994381017</v>
      </c>
      <c r="BA996" s="153" t="n">
        <f aca="false">IFERROR(IF(AND($N996="VCA",$Q996="LINEAR"),INDEX(APOIO_REDES!$A:$W,MATCH($C996&amp;$I996&amp;$H996&amp;$N996&amp;$O996,APOIO_REDES!$W:$W,0),MATCH(BA$5,APOIO_REDES!$5:$5,0)),IF(AND($N996="MND",$Q996="EMBOQUE"),INDEX(APOIO_REDES!$A:$W,MATCH($C996&amp;$I996&amp;$H996&amp;$N996&amp;$O996,APOIO_REDES!$W:$W,0),MATCH(BA$5,APOIO_REDES!$5:$5,0)),0))*$M996/10,0)</f>
        <v>12.3580112373077</v>
      </c>
      <c r="BB996" s="153" t="n">
        <f aca="false">IFERROR(IF($N996="VCA",INDEX(APOIO_REDES!$A:$W,MATCH($C996&amp;$I996&amp;$H996&amp;$N996&amp;$O996,APOIO_REDES!$W:$W,0),MATCH(BB$5,APOIO_REDES!$5:$5,0)),0)*($AI996+$AQ996+$AR996),0)</f>
        <v>45.6425959029968</v>
      </c>
      <c r="BC996" s="153" t="n">
        <f aca="false">IFERROR(IF($N996="VCA",INDEX(APOIO_REDES!$A:$W,MATCH($C996&amp;$I996&amp;$H996&amp;$N996&amp;$O996,APOIO_REDES!$W:$W,0),MATCH(BC$5,APOIO_REDES!$5:$5,0)),0)*($AI996+$AQ996+$AR996),0)</f>
        <v>0.502067597003219</v>
      </c>
      <c r="BD996" s="153" t="n">
        <f aca="false">IF(AND($N996="VCA",$AF996&gt;=1.25,$AF996&lt;1.5),$M996*$AF996*2,0)</f>
        <v>417.97758</v>
      </c>
      <c r="BE996" s="153" t="n">
        <f aca="false">IF(AND($N996="VCA",$AF996&gt;=1.5,$AF996&lt;3),$M996*$AF996*2,0)</f>
        <v>0</v>
      </c>
      <c r="BF996" s="153" t="n">
        <f aca="false">IF(AND($N996="VCA",$AF996&gt;=3),$M996*$AF996*2,0)</f>
        <v>0</v>
      </c>
      <c r="BG996" s="153" t="n">
        <f aca="false">($BB996+$BC996)*$AK996</f>
        <v>212.2654521</v>
      </c>
      <c r="BH996" s="153" t="n">
        <f aca="false">IF(AND($M996&lt;&gt;"",$N996="VCA",$Q996="LINEAR"),($M996*2)/100,IF(AND($M996&lt;&gt;"",$N996="MND",$Q996="EMBOQUE"),($AN996*2)/100,0))</f>
        <v>3.0666</v>
      </c>
      <c r="BI996" s="153" t="n">
        <f aca="false">IF(AND($M996&lt;&gt;"",$N996="VCA",$Q996="LINEAR"),$M996,IF(AND($M996&lt;&gt;"",$N996="MND",$Q996="EMBOQUE"),$AN996*2,0))</f>
        <v>153.33</v>
      </c>
      <c r="BJ996" s="153" t="n">
        <f aca="false">IF(AND($M996&lt;&gt;"",$N996="VCA",$Q996="LINEAR"),($M996*6.8)/100,IF(AND($M996&lt;&gt;"",$N996="MND",$Q996="EMBOQUE"),($AN996*2*6.8)/100,0))</f>
        <v>10.42644</v>
      </c>
      <c r="BK996" s="153" t="n">
        <f aca="false">IF(AND($M996&lt;&gt;"",$N996="VCA",$Q996="LINEAR"),($M996*2.5)/50,IF(AND($M996&lt;&gt;"",$N996="MND",$Q996="EMBOQUE"),($AN996*2*2.5)/50,0))</f>
        <v>7.6665</v>
      </c>
      <c r="BL996" s="157" t="str">
        <f aca="false">K996&amp;J996</f>
        <v>Zona09REDES</v>
      </c>
      <c r="BM996" s="152" t="s">
        <v>5109</v>
      </c>
      <c r="BN996" s="152" t="s">
        <v>1560</v>
      </c>
      <c r="BO996" s="152" t="s">
        <v>4004</v>
      </c>
      <c r="BP996" s="152" t="s">
        <v>5283</v>
      </c>
      <c r="BQ996" s="152" t="s">
        <v>5327</v>
      </c>
      <c r="BR996" s="152" t="s">
        <v>5328</v>
      </c>
      <c r="BS996" s="152" t="n">
        <v>203290.85</v>
      </c>
      <c r="BT996" s="152" t="n">
        <v>8236792.92</v>
      </c>
      <c r="BU996" s="152" t="n">
        <v>203224.345</v>
      </c>
      <c r="BV996" s="152" t="n">
        <v>8236655.141</v>
      </c>
      <c r="BW996" s="152" t="n">
        <v>-15.931017</v>
      </c>
      <c r="BX996" s="152" t="n">
        <v>-47.7716368</v>
      </c>
      <c r="BY996" s="152" t="s">
        <v>5283</v>
      </c>
    </row>
    <row r="997" customFormat="false" ht="13.8" hidden="false" customHeight="false" outlineLevel="0" collapsed="false">
      <c r="A997" s="149" t="n">
        <f aca="false">IF(C997&lt;&gt;"",ROW(A992),"")</f>
        <v>992</v>
      </c>
      <c r="B997" s="150" t="str">
        <f aca="false">HYPERLINK("https://www.google.com/maps/dir/-15.917302,-47.760003/-15.9310581,-47.7692982/data=!4m3!4m2!3e0!5i1")</f>
        <v>https://www.google.com/maps/dir/-15.917302,-47.760003/-15.9310581,-47.7692982/data=!4m3!4m2!3e0!5i1</v>
      </c>
      <c r="C997" s="151" t="s">
        <v>117</v>
      </c>
      <c r="D997" s="152" t="s">
        <v>112</v>
      </c>
      <c r="E997" s="152" t="s">
        <v>113</v>
      </c>
      <c r="F997" s="152" t="s">
        <v>117</v>
      </c>
      <c r="G997" s="152" t="s">
        <v>114</v>
      </c>
      <c r="H997" s="152" t="n">
        <v>160</v>
      </c>
      <c r="I997" s="152" t="s">
        <v>115</v>
      </c>
      <c r="J997" s="152" t="s">
        <v>6</v>
      </c>
      <c r="K997" s="152" t="s">
        <v>5106</v>
      </c>
      <c r="L997" s="152" t="s">
        <v>120</v>
      </c>
      <c r="M997" s="153" t="n">
        <f aca="false">2.8</f>
        <v>2.8</v>
      </c>
      <c r="N997" s="152" t="s">
        <v>1548</v>
      </c>
      <c r="O997" s="152" t="s">
        <v>1549</v>
      </c>
      <c r="P997" s="152" t="s">
        <v>1550</v>
      </c>
      <c r="Q997" s="152" t="s">
        <v>1551</v>
      </c>
      <c r="R997" s="154" t="s">
        <v>5329</v>
      </c>
      <c r="S997" s="154" t="s">
        <v>1593</v>
      </c>
      <c r="T997" s="155" t="s">
        <v>4002</v>
      </c>
      <c r="U997" s="152" t="str">
        <f aca="false">RIGHT(T997,7)</f>
        <v>015/037</v>
      </c>
      <c r="V997" s="152" t="s">
        <v>1555</v>
      </c>
      <c r="W997" s="156" t="n">
        <v>45882</v>
      </c>
      <c r="X997" s="152" t="s">
        <v>1594</v>
      </c>
      <c r="Y997" s="152" t="s">
        <v>2387</v>
      </c>
      <c r="Z997" s="152" t="s">
        <v>1557</v>
      </c>
      <c r="AA997" s="153" t="n">
        <v>4.5</v>
      </c>
      <c r="AB997" s="151" t="s">
        <v>5330</v>
      </c>
      <c r="AC997" s="151" t="s">
        <v>505</v>
      </c>
      <c r="AD997" s="151" t="str">
        <f aca="false">CONCATENATE($C997,$I997,$H997,$N997,$J997,$K997)</f>
        <v>TUBO PEADPEAD160VCAREDESZona09</v>
      </c>
      <c r="AE997" s="153" t="n">
        <f aca="false">IFERROR(INDEX(APOIO_REDES!$A:$W,MATCH($C997&amp;$I997&amp;$H997&amp;$N997&amp;$O997,APOIO_REDES!$W:$W,0),MATCH(AE$5,APOIO_REDES!$5:$5,0)),0)</f>
        <v>1.2</v>
      </c>
      <c r="AF997" s="153" t="n">
        <f aca="false">IFERROR(INDEX(APOIO_REDES!$A:$W,MATCH($C997&amp;$I997&amp;$H997&amp;$N997&amp;$O997,APOIO_REDES!$W:$W,0),MATCH(AF$5,APOIO_REDES!$5:$5,0)),0)</f>
        <v>1.46</v>
      </c>
      <c r="AG997" s="153" t="n">
        <f aca="false">IFERROR(INDEX(APOIO_REDES!$A:$W,MATCH($C997&amp;$I997&amp;$H997&amp;$N997&amp;$O997,APOIO_REDES!$W:$W,0),MATCH(AG$5,APOIO_REDES!$5:$5,0)),0)</f>
        <v>0.75</v>
      </c>
      <c r="AH997" s="153" t="n">
        <f aca="false">IFERROR(INDEX(APOIO_REDES!$A:$W,MATCH($C997&amp;$I997&amp;$H997&amp;$N997&amp;$O997,APOIO_REDES!$W:$W,0),MATCH(AH$5,APOIO_REDES!$5:$5,0)),0)</f>
        <v>0.1</v>
      </c>
      <c r="AI997" s="153" t="n">
        <f aca="false">IFERROR(IF($H997&lt;&gt;"",(((($H997/1000)/2)^2)*PI()*$M997),0),0)</f>
        <v>0.0562973403523291</v>
      </c>
      <c r="AJ997" s="153" t="n">
        <f aca="false">IFERROR(IF(AND($H997&lt;&gt;"",$I997="FoFo",OR($N997="MND",$N997="VCA"),$Q997="LINEAR"),0,IF(AND($H997&lt;&gt;"",$I997="PEAD",$N997="VCA",$Q997="LINEAR"),($H997/1000)+0.3,IF(AND($H997&lt;&gt;"",$I997="PEAD",$N997="MND",$Q997="EMBOQUE"),0,IF(AND($H997&lt;&gt;"",$I997="PVC",$N997="VCA",$Q997="LINEAR"),($H997/1000)+0.2,IF(AND($H997&lt;&gt;"",$I997="PVC",$N997="MND",$Q997="EMBOQUE"),0,IF(AND($H997&lt;&gt;"",$I997="PEAD",$N997="VCA",$Q997="PREDIAL"),0,0)))))),0)</f>
        <v>0.46</v>
      </c>
      <c r="AK997" s="153" t="n">
        <f aca="false">IF(AA997&lt;&gt;"",AA997,0)</f>
        <v>4.5</v>
      </c>
      <c r="AL997" s="153" t="n">
        <f aca="false">IF(AND($N997="MND",$Q997="EMBOQUE"),$M997,IF(AND($N997="VCA",$Q997="LINEAR"),$M997,IF(AND($N997="VCA",$Q997="PREDIAL"),0,0)))</f>
        <v>2.8</v>
      </c>
      <c r="AM997" s="153" t="n">
        <f aca="false">IF(AND($N997="MND",$Q997="EMBOQUE"),$M997,IF(AND($N997="VCA",$Q997="LINEAR"),$M997,IF(AND($N997="VCA",$Q997="PREDIAL"),0,0)))</f>
        <v>2.8</v>
      </c>
      <c r="AN997" s="153" t="n">
        <f aca="false">ROUND(IF(AND($N997="VCA",$M997&lt;&gt;"",$Q997="LINEAR"),$M997/100,IF(AND($N997="MND",$M997&gt;100,$Q997="EMBOQUE"),$M997/100,0)),0)</f>
        <v>0</v>
      </c>
      <c r="AO997" s="153" t="n">
        <f aca="false">IF(AND($N997="MND",$Q997="EMBOQUE"),$AN997*2*2,IF(AND($N997="VCA",$Q997="LINEAR"),$M997*2,IF(AND($N997="VCA",$Q997="PREDIAL"),0,0)))</f>
        <v>5.6</v>
      </c>
      <c r="AP997" s="153" t="n">
        <f aca="false">IFERROR($M997*$AF997*$AG997,0)</f>
        <v>3.066</v>
      </c>
      <c r="AQ997" s="153" t="n">
        <f aca="false">IFERROR(IF(AND($N997="VCA",$AH997&gt;0),$M997*$AG997*$AH997,0),0)</f>
        <v>0.21</v>
      </c>
      <c r="AR997" s="153" t="n">
        <f aca="false">IFERROR(IF(AND($N997="VCA",$AJ997&gt;0),($M997*$AG997*$AJ997)-$AI997,0),0)</f>
        <v>0.909702659647671</v>
      </c>
      <c r="AS997" s="153" t="n">
        <f aca="false">IFERROR(IF(AND($N997="VCA",$AP997&gt;0),$AP997-$AI997-$AQ997-$AR997,0),0)</f>
        <v>1.89</v>
      </c>
      <c r="AT997" s="153" t="n">
        <f aca="false">IFERROR(IF($N997="VCA",INDEX(APOIO_REDES!$A:$W,MATCH($C997&amp;$I997&amp;$H997&amp;$N997&amp;$O997,APOIO_REDES!$W:$W,0),MATCH(AT$5,APOIO_REDES!$5:$5,0)),0)*$AP997,0)</f>
        <v>0.0333589874896773</v>
      </c>
      <c r="AU997" s="153" t="n">
        <f aca="false">IFERROR(IF($N997="VCA",INDEX(APOIO_REDES!$A:$W,MATCH($C997&amp;$I997&amp;$H997&amp;$N997&amp;$O997,APOIO_REDES!$W:$W,0),MATCH(AU$5,APOIO_REDES!$5:$5,0)),0)*$AP997,0)</f>
        <v>0.0266395839332958</v>
      </c>
      <c r="AV997" s="153" t="n">
        <f aca="false">IFERROR(IF($N997="VCA",INDEX(APOIO_REDES!$A:$W,MATCH($C997&amp;$I997&amp;$H997&amp;$N997&amp;$O997,APOIO_REDES!$W:$W,0),MATCH(AV$5,APOIO_REDES!$5:$5,0)),0)*$AP997,0)</f>
        <v>0.00368670928743472</v>
      </c>
      <c r="AW997" s="153" t="n">
        <f aca="false">IFERROR(IF($N997="VCA",INDEX(APOIO_REDES!$A:$W,MATCH($C997&amp;$I997&amp;$H997&amp;$N997&amp;$O997,APOIO_REDES!$W:$W,0),MATCH(AW$5,APOIO_REDES!$5:$5,0)),0)*$AP997,0)</f>
        <v>2.10452615652726</v>
      </c>
      <c r="AX997" s="153" t="n">
        <f aca="false">IFERROR(IF($N997="VCA",INDEX(APOIO_REDES!$A:$W,MATCH($C997&amp;$I997&amp;$H997&amp;$N997&amp;$O997,APOIO_REDES!$W:$W,0),MATCH(AX$5,APOIO_REDES!$5:$5,0)),0)*$AP997,0)</f>
        <v>0.29126042520714</v>
      </c>
      <c r="AY997" s="153" t="n">
        <f aca="false">IFERROR(IF($N997="VCA",INDEX(APOIO_REDES!$A:$W,MATCH($C997&amp;$I997&amp;$H997&amp;$N997&amp;$O997,APOIO_REDES!$W:$W,0),MATCH(AY$5,APOIO_REDES!$5:$5,0)),0)*$AP997,0)</f>
        <v>0.532791353931547</v>
      </c>
      <c r="AZ997" s="153" t="n">
        <f aca="false">IFERROR(IF($N997="VCA",INDEX(APOIO_REDES!$A:$W,MATCH($C997&amp;$I997&amp;$H997&amp;$N997&amp;$O997,APOIO_REDES!$W:$W,0),MATCH(AZ$5,APOIO_REDES!$5:$5,0)),0)*$AP997,0)</f>
        <v>0.0737367836236437</v>
      </c>
      <c r="BA997" s="153" t="n">
        <f aca="false">IFERROR(IF(AND($N997="VCA",$Q997="LINEAR"),INDEX(APOIO_REDES!$A:$W,MATCH($C997&amp;$I997&amp;$H997&amp;$N997&amp;$O997,APOIO_REDES!$W:$W,0),MATCH(BA$5,APOIO_REDES!$5:$5,0)),IF(AND($N997="MND",$Q997="EMBOQUE"),INDEX(APOIO_REDES!$A:$W,MATCH($C997&amp;$I997&amp;$H997&amp;$N997&amp;$O997,APOIO_REDES!$W:$W,0),MATCH(BA$5,APOIO_REDES!$5:$5,0)),0))*$M997/10,0)</f>
        <v>0.225672937223385</v>
      </c>
      <c r="BB997" s="153" t="n">
        <f aca="false">IFERROR(IF($N997="VCA",INDEX(APOIO_REDES!$A:$W,MATCH($C997&amp;$I997&amp;$H997&amp;$N997&amp;$O997,APOIO_REDES!$W:$W,0),MATCH(BB$5,APOIO_REDES!$5:$5,0)),0)*($AI997+$AQ997+$AR997),0)</f>
        <v>1.16320477192177</v>
      </c>
      <c r="BC997" s="153" t="n">
        <f aca="false">IFERROR(IF($N997="VCA",INDEX(APOIO_REDES!$A:$W,MATCH($C997&amp;$I997&amp;$H997&amp;$N997&amp;$O997,APOIO_REDES!$W:$W,0),MATCH(BC$5,APOIO_REDES!$5:$5,0)),0)*($AI997+$AQ997+$AR997),0)</f>
        <v>0.0127952280782324</v>
      </c>
      <c r="BD997" s="153" t="n">
        <f aca="false">IF(AND($N997="VCA",$AF997&gt;=1.25,$AF997&lt;1.5),$M997*$AF997*2,0)</f>
        <v>8.176</v>
      </c>
      <c r="BE997" s="153" t="n">
        <f aca="false">IF(AND($N997="VCA",$AF997&gt;=1.5,$AF997&lt;3),$M997*$AF997*2,0)</f>
        <v>0</v>
      </c>
      <c r="BF997" s="153" t="n">
        <f aca="false">IF(AND($N997="VCA",$AF997&gt;=3),$M997*$AF997*2,0)</f>
        <v>0</v>
      </c>
      <c r="BG997" s="153" t="n">
        <f aca="false">($BB997+$BC997)*$AK997</f>
        <v>5.292</v>
      </c>
      <c r="BH997" s="153" t="n">
        <f aca="false">IF(AND($M997&lt;&gt;"",$N997="VCA",$Q997="LINEAR"),($M997*2)/100,IF(AND($M997&lt;&gt;"",$N997="MND",$Q997="EMBOQUE"),($AN997*2)/100,0))</f>
        <v>0.056</v>
      </c>
      <c r="BI997" s="153" t="n">
        <f aca="false">IF(AND($M997&lt;&gt;"",$N997="VCA",$Q997="LINEAR"),$M997,IF(AND($M997&lt;&gt;"",$N997="MND",$Q997="EMBOQUE"),$AN997*2,0))</f>
        <v>2.8</v>
      </c>
      <c r="BJ997" s="153" t="n">
        <f aca="false">IF(AND($M997&lt;&gt;"",$N997="VCA",$Q997="LINEAR"),($M997*6.8)/100,IF(AND($M997&lt;&gt;"",$N997="MND",$Q997="EMBOQUE"),($AN997*2*6.8)/100,0))</f>
        <v>0.1904</v>
      </c>
      <c r="BK997" s="153" t="n">
        <f aca="false">IF(AND($M997&lt;&gt;"",$N997="VCA",$Q997="LINEAR"),($M997*2.5)/50,IF(AND($M997&lt;&gt;"",$N997="MND",$Q997="EMBOQUE"),($AN997*2*2.5)/50,0))</f>
        <v>0.14</v>
      </c>
      <c r="BL997" s="157" t="str">
        <f aca="false">K997&amp;J997</f>
        <v>Zona09REDES</v>
      </c>
      <c r="BM997" s="152" t="s">
        <v>5109</v>
      </c>
      <c r="BN997" s="152" t="s">
        <v>1560</v>
      </c>
      <c r="BO997" s="152" t="s">
        <v>4004</v>
      </c>
      <c r="BP997" s="152" t="s">
        <v>5331</v>
      </c>
      <c r="BQ997" s="152" t="s">
        <v>5323</v>
      </c>
      <c r="BR997" s="152" t="s">
        <v>5332</v>
      </c>
      <c r="BS997" s="152" t="n">
        <v>203508.341</v>
      </c>
      <c r="BT997" s="152" t="n">
        <v>8236722.7</v>
      </c>
      <c r="BU997" s="152" t="n">
        <v>203511.07</v>
      </c>
      <c r="BV997" s="152" t="n">
        <v>8236723.308</v>
      </c>
      <c r="BW997" s="152" t="n">
        <v>-15.931056</v>
      </c>
      <c r="BX997" s="152" t="n">
        <v>-47.7692853</v>
      </c>
      <c r="BY997" s="152" t="s">
        <v>5331</v>
      </c>
    </row>
    <row r="998" customFormat="false" ht="13.8" hidden="false" customHeight="false" outlineLevel="0" collapsed="false">
      <c r="A998" s="149" t="n">
        <f aca="false">IF(C998&lt;&gt;"",ROW(A993),"")</f>
        <v>993</v>
      </c>
      <c r="B998" s="150" t="str">
        <f aca="false">HYPERLINK("https://www.google.com/maps/dir/-15.917302,-47.760003/-15.9310581,-47.7692982/data=!4m3!4m2!3e0!5i1")</f>
        <v>https://www.google.com/maps/dir/-15.917302,-47.760003/-15.9310581,-47.7692982/data=!4m3!4m2!3e0!5i1</v>
      </c>
      <c r="C998" s="151" t="s">
        <v>117</v>
      </c>
      <c r="D998" s="152" t="s">
        <v>112</v>
      </c>
      <c r="E998" s="152" t="s">
        <v>113</v>
      </c>
      <c r="F998" s="152" t="s">
        <v>117</v>
      </c>
      <c r="G998" s="152" t="s">
        <v>114</v>
      </c>
      <c r="H998" s="152" t="n">
        <v>160</v>
      </c>
      <c r="I998" s="152" t="s">
        <v>115</v>
      </c>
      <c r="J998" s="152" t="s">
        <v>6</v>
      </c>
      <c r="K998" s="152" t="s">
        <v>5106</v>
      </c>
      <c r="L998" s="152" t="s">
        <v>120</v>
      </c>
      <c r="M998" s="153" t="n">
        <f aca="false">17.98</f>
        <v>17.98</v>
      </c>
      <c r="N998" s="152" t="s">
        <v>1548</v>
      </c>
      <c r="O998" s="152" t="s">
        <v>1549</v>
      </c>
      <c r="P998" s="152" t="s">
        <v>1550</v>
      </c>
      <c r="Q998" s="152" t="s">
        <v>1551</v>
      </c>
      <c r="R998" s="154" t="s">
        <v>5333</v>
      </c>
      <c r="S998" s="154" t="s">
        <v>1593</v>
      </c>
      <c r="T998" s="155" t="s">
        <v>4002</v>
      </c>
      <c r="U998" s="152" t="str">
        <f aca="false">RIGHT(T998,7)</f>
        <v>015/037</v>
      </c>
      <c r="V998" s="152" t="s">
        <v>1555</v>
      </c>
      <c r="W998" s="156" t="n">
        <v>45882</v>
      </c>
      <c r="X998" s="152" t="s">
        <v>1594</v>
      </c>
      <c r="Y998" s="152" t="s">
        <v>2387</v>
      </c>
      <c r="Z998" s="152" t="s">
        <v>1557</v>
      </c>
      <c r="AA998" s="153" t="n">
        <v>4.5</v>
      </c>
      <c r="AB998" s="151" t="s">
        <v>5334</v>
      </c>
      <c r="AC998" s="151" t="s">
        <v>505</v>
      </c>
      <c r="AD998" s="151" t="str">
        <f aca="false">CONCATENATE($C998,$I998,$H998,$N998,$J998,$K998)</f>
        <v>TUBO PEADPEAD160VCAREDESZona09</v>
      </c>
      <c r="AE998" s="153" t="n">
        <f aca="false">IFERROR(INDEX(APOIO_REDES!$A:$W,MATCH($C998&amp;$I998&amp;$H998&amp;$N998&amp;$O998,APOIO_REDES!$W:$W,0),MATCH(AE$5,APOIO_REDES!$5:$5,0)),0)</f>
        <v>1.2</v>
      </c>
      <c r="AF998" s="153" t="n">
        <f aca="false">IFERROR(INDEX(APOIO_REDES!$A:$W,MATCH($C998&amp;$I998&amp;$H998&amp;$N998&amp;$O998,APOIO_REDES!$W:$W,0),MATCH(AF$5,APOIO_REDES!$5:$5,0)),0)</f>
        <v>1.46</v>
      </c>
      <c r="AG998" s="153" t="n">
        <f aca="false">IFERROR(INDEX(APOIO_REDES!$A:$W,MATCH($C998&amp;$I998&amp;$H998&amp;$N998&amp;$O998,APOIO_REDES!$W:$W,0),MATCH(AG$5,APOIO_REDES!$5:$5,0)),0)</f>
        <v>0.75</v>
      </c>
      <c r="AH998" s="153" t="n">
        <f aca="false">IFERROR(INDEX(APOIO_REDES!$A:$W,MATCH($C998&amp;$I998&amp;$H998&amp;$N998&amp;$O998,APOIO_REDES!$W:$W,0),MATCH(AH$5,APOIO_REDES!$5:$5,0)),0)</f>
        <v>0.1</v>
      </c>
      <c r="AI998" s="153" t="n">
        <f aca="false">IFERROR(IF($H998&lt;&gt;"",(((($H998/1000)/2)^2)*PI()*$M998),0),0)</f>
        <v>0.361509349833885</v>
      </c>
      <c r="AJ998" s="153" t="n">
        <f aca="false">IFERROR(IF(AND($H998&lt;&gt;"",$I998="FoFo",OR($N998="MND",$N998="VCA"),$Q998="LINEAR"),0,IF(AND($H998&lt;&gt;"",$I998="PEAD",$N998="VCA",$Q998="LINEAR"),($H998/1000)+0.3,IF(AND($H998&lt;&gt;"",$I998="PEAD",$N998="MND",$Q998="EMBOQUE"),0,IF(AND($H998&lt;&gt;"",$I998="PVC",$N998="VCA",$Q998="LINEAR"),($H998/1000)+0.2,IF(AND($H998&lt;&gt;"",$I998="PVC",$N998="MND",$Q998="EMBOQUE"),0,IF(AND($H998&lt;&gt;"",$I998="PEAD",$N998="VCA",$Q998="PREDIAL"),0,0)))))),0)</f>
        <v>0.46</v>
      </c>
      <c r="AK998" s="153" t="n">
        <f aca="false">IF(AA998&lt;&gt;"",AA998,0)</f>
        <v>4.5</v>
      </c>
      <c r="AL998" s="153" t="n">
        <f aca="false">IF(AND($N998="MND",$Q998="EMBOQUE"),$M998,IF(AND($N998="VCA",$Q998="LINEAR"),$M998,IF(AND($N998="VCA",$Q998="PREDIAL"),0,0)))</f>
        <v>17.98</v>
      </c>
      <c r="AM998" s="153" t="n">
        <f aca="false">IF(AND($N998="MND",$Q998="EMBOQUE"),$M998,IF(AND($N998="VCA",$Q998="LINEAR"),$M998,IF(AND($N998="VCA",$Q998="PREDIAL"),0,0)))</f>
        <v>17.98</v>
      </c>
      <c r="AN998" s="153" t="n">
        <f aca="false">ROUND(IF(AND($N998="VCA",$M998&lt;&gt;"",$Q998="LINEAR"),$M998/100,IF(AND($N998="MND",$M998&gt;100,$Q998="EMBOQUE"),$M998/100,0)),0)</f>
        <v>0</v>
      </c>
      <c r="AO998" s="153" t="n">
        <f aca="false">IF(AND($N998="MND",$Q998="EMBOQUE"),$AN998*2*2,IF(AND($N998="VCA",$Q998="LINEAR"),$M998*2,IF(AND($N998="VCA",$Q998="PREDIAL"),0,0)))</f>
        <v>35.96</v>
      </c>
      <c r="AP998" s="153" t="n">
        <f aca="false">IFERROR($M998*$AF998*$AG998,0)</f>
        <v>19.6881</v>
      </c>
      <c r="AQ998" s="153" t="n">
        <f aca="false">IFERROR(IF(AND($N998="VCA",$AH998&gt;0),$M998*$AG998*$AH998,0),0)</f>
        <v>1.3485</v>
      </c>
      <c r="AR998" s="153" t="n">
        <f aca="false">IFERROR(IF(AND($N998="VCA",$AJ998&gt;0),($M998*$AG998*$AJ998)-$AI998,0),0)</f>
        <v>5.84159065016612</v>
      </c>
      <c r="AS998" s="153" t="n">
        <f aca="false">IFERROR(IF(AND($N998="VCA",$AP998&gt;0),$AP998-$AI998-$AQ998-$AR998,0),0)</f>
        <v>12.1365</v>
      </c>
      <c r="AT998" s="153" t="n">
        <f aca="false">IFERROR(IF($N998="VCA",INDEX(APOIO_REDES!$A:$W,MATCH($C998&amp;$I998&amp;$H998&amp;$N998&amp;$O998,APOIO_REDES!$W:$W,0),MATCH(AT$5,APOIO_REDES!$5:$5,0)),0)*$AP998,0)</f>
        <v>0.214212355380142</v>
      </c>
      <c r="AU998" s="153" t="n">
        <f aca="false">IFERROR(IF($N998="VCA",INDEX(APOIO_REDES!$A:$W,MATCH($C998&amp;$I998&amp;$H998&amp;$N998&amp;$O998,APOIO_REDES!$W:$W,0),MATCH(AU$5,APOIO_REDES!$5:$5,0)),0)*$AP998,0)</f>
        <v>0.171064185400235</v>
      </c>
      <c r="AV998" s="153" t="n">
        <f aca="false">IFERROR(IF($N998="VCA",INDEX(APOIO_REDES!$A:$W,MATCH($C998&amp;$I998&amp;$H998&amp;$N998&amp;$O998,APOIO_REDES!$W:$W,0),MATCH(AV$5,APOIO_REDES!$5:$5,0)),0)*$AP998,0)</f>
        <v>0.0236739403528844</v>
      </c>
      <c r="AW998" s="153" t="n">
        <f aca="false">IFERROR(IF($N998="VCA",INDEX(APOIO_REDES!$A:$W,MATCH($C998&amp;$I998&amp;$H998&amp;$N998&amp;$O998,APOIO_REDES!$W:$W,0),MATCH(AW$5,APOIO_REDES!$5:$5,0)),0)*$AP998,0)</f>
        <v>13.5140643908429</v>
      </c>
      <c r="AX998" s="153" t="n">
        <f aca="false">IFERROR(IF($N998="VCA",INDEX(APOIO_REDES!$A:$W,MATCH($C998&amp;$I998&amp;$H998&amp;$N998&amp;$O998,APOIO_REDES!$W:$W,0),MATCH(AX$5,APOIO_REDES!$5:$5,0)),0)*$AP998,0)</f>
        <v>1.87030801615156</v>
      </c>
      <c r="AY998" s="153" t="n">
        <f aca="false">IFERROR(IF($N998="VCA",INDEX(APOIO_REDES!$A:$W,MATCH($C998&amp;$I998&amp;$H998&amp;$N998&amp;$O998,APOIO_REDES!$W:$W,0),MATCH(AY$5,APOIO_REDES!$5:$5,0)),0)*$AP998,0)</f>
        <v>3.42128162274615</v>
      </c>
      <c r="AZ998" s="153" t="n">
        <f aca="false">IFERROR(IF($N998="VCA",INDEX(APOIO_REDES!$A:$W,MATCH($C998&amp;$I998&amp;$H998&amp;$N998&amp;$O998,APOIO_REDES!$W:$W,0),MATCH(AZ$5,APOIO_REDES!$5:$5,0)),0)*$AP998,0)</f>
        <v>0.473495489126112</v>
      </c>
      <c r="BA998" s="153" t="n">
        <f aca="false">IFERROR(IF(AND($N998="VCA",$Q998="LINEAR"),INDEX(APOIO_REDES!$A:$W,MATCH($C998&amp;$I998&amp;$H998&amp;$N998&amp;$O998,APOIO_REDES!$W:$W,0),MATCH(BA$5,APOIO_REDES!$5:$5,0)),IF(AND($N998="MND",$Q998="EMBOQUE"),INDEX(APOIO_REDES!$A:$W,MATCH($C998&amp;$I998&amp;$H998&amp;$N998&amp;$O998,APOIO_REDES!$W:$W,0),MATCH(BA$5,APOIO_REDES!$5:$5,0)),0))*$M998/10,0)</f>
        <v>1.44914264688445</v>
      </c>
      <c r="BB998" s="153" t="n">
        <f aca="false">IFERROR(IF($N998="VCA",INDEX(APOIO_REDES!$A:$W,MATCH($C998&amp;$I998&amp;$H998&amp;$N998&amp;$O998,APOIO_REDES!$W:$W,0),MATCH(BB$5,APOIO_REDES!$5:$5,0)),0)*($AI998+$AQ998+$AR998),0)</f>
        <v>7.46943635684049</v>
      </c>
      <c r="BC998" s="153" t="n">
        <f aca="false">IFERROR(IF($N998="VCA",INDEX(APOIO_REDES!$A:$W,MATCH($C998&amp;$I998&amp;$H998&amp;$N998&amp;$O998,APOIO_REDES!$W:$W,0),MATCH(BC$5,APOIO_REDES!$5:$5,0)),0)*($AI998+$AQ998+$AR998),0)</f>
        <v>0.0821636431595065</v>
      </c>
      <c r="BD998" s="153" t="n">
        <f aca="false">IF(AND($N998="VCA",$AF998&gt;=1.25,$AF998&lt;1.5),$M998*$AF998*2,0)</f>
        <v>52.5016</v>
      </c>
      <c r="BE998" s="153" t="n">
        <f aca="false">IF(AND($N998="VCA",$AF998&gt;=1.5,$AF998&lt;3),$M998*$AF998*2,0)</f>
        <v>0</v>
      </c>
      <c r="BF998" s="153" t="n">
        <f aca="false">IF(AND($N998="VCA",$AF998&gt;=3),$M998*$AF998*2,0)</f>
        <v>0</v>
      </c>
      <c r="BG998" s="153" t="n">
        <f aca="false">($BB998+$BC998)*$AK998</f>
        <v>33.9822</v>
      </c>
      <c r="BH998" s="153" t="n">
        <f aca="false">IF(AND($M998&lt;&gt;"",$N998="VCA",$Q998="LINEAR"),($M998*2)/100,IF(AND($M998&lt;&gt;"",$N998="MND",$Q998="EMBOQUE"),($AN998*2)/100,0))</f>
        <v>0.3596</v>
      </c>
      <c r="BI998" s="153" t="n">
        <f aca="false">IF(AND($M998&lt;&gt;"",$N998="VCA",$Q998="LINEAR"),$M998,IF(AND($M998&lt;&gt;"",$N998="MND",$Q998="EMBOQUE"),$AN998*2,0))</f>
        <v>17.98</v>
      </c>
      <c r="BJ998" s="153" t="n">
        <f aca="false">IF(AND($M998&lt;&gt;"",$N998="VCA",$Q998="LINEAR"),($M998*6.8)/100,IF(AND($M998&lt;&gt;"",$N998="MND",$Q998="EMBOQUE"),($AN998*2*6.8)/100,0))</f>
        <v>1.22264</v>
      </c>
      <c r="BK998" s="153" t="n">
        <f aca="false">IF(AND($M998&lt;&gt;"",$N998="VCA",$Q998="LINEAR"),($M998*2.5)/50,IF(AND($M998&lt;&gt;"",$N998="MND",$Q998="EMBOQUE"),($AN998*2*2.5)/50,0))</f>
        <v>0.899</v>
      </c>
      <c r="BL998" s="157" t="str">
        <f aca="false">K998&amp;J998</f>
        <v>Zona09REDES</v>
      </c>
      <c r="BM998" s="152" t="s">
        <v>5109</v>
      </c>
      <c r="BN998" s="152" t="s">
        <v>1560</v>
      </c>
      <c r="BO998" s="152" t="s">
        <v>4004</v>
      </c>
      <c r="BP998" s="152" t="s">
        <v>5331</v>
      </c>
      <c r="BQ998" s="152" t="s">
        <v>5335</v>
      </c>
      <c r="BR998" s="152" t="s">
        <v>5336</v>
      </c>
      <c r="BS998" s="152" t="n">
        <v>203508.341</v>
      </c>
      <c r="BT998" s="152" t="n">
        <v>8236722.7</v>
      </c>
      <c r="BU998" s="152" t="n">
        <v>203490.434</v>
      </c>
      <c r="BV998" s="152" t="n">
        <v>8236721.648</v>
      </c>
      <c r="BW998" s="152" t="n">
        <v>-15.931064</v>
      </c>
      <c r="BX998" s="152" t="n">
        <v>-47.7693815</v>
      </c>
      <c r="BY998" s="152" t="s">
        <v>5331</v>
      </c>
    </row>
    <row r="999" customFormat="false" ht="13.8" hidden="false" customHeight="false" outlineLevel="0" collapsed="false">
      <c r="A999" s="149" t="n">
        <f aca="false">IF(C999&lt;&gt;"",ROW(A994),"")</f>
        <v>994</v>
      </c>
      <c r="B999" s="150" t="str">
        <f aca="false">HYPERLINK("https://www.google.com/maps/dir/-15.917302,-47.760003/-15.9311001,-47.7692660/data=!4m3!4m2!3e0!5i1")</f>
        <v>https://www.google.com/maps/dir/-15.917302,-47.760003/-15.9311001,-47.7692660/data=!4m3!4m2!3e0!5i1</v>
      </c>
      <c r="C999" s="151" t="s">
        <v>117</v>
      </c>
      <c r="D999" s="152" t="s">
        <v>112</v>
      </c>
      <c r="E999" s="152" t="s">
        <v>113</v>
      </c>
      <c r="F999" s="152" t="s">
        <v>117</v>
      </c>
      <c r="G999" s="152" t="s">
        <v>114</v>
      </c>
      <c r="H999" s="152" t="n">
        <v>160</v>
      </c>
      <c r="I999" s="152" t="s">
        <v>115</v>
      </c>
      <c r="J999" s="152" t="s">
        <v>6</v>
      </c>
      <c r="K999" s="152" t="s">
        <v>5106</v>
      </c>
      <c r="L999" s="152" t="s">
        <v>120</v>
      </c>
      <c r="M999" s="153" t="n">
        <f aca="false">5.17</f>
        <v>5.17</v>
      </c>
      <c r="N999" s="152" t="s">
        <v>1548</v>
      </c>
      <c r="O999" s="152" t="s">
        <v>1549</v>
      </c>
      <c r="P999" s="152" t="s">
        <v>1550</v>
      </c>
      <c r="Q999" s="152" t="s">
        <v>1551</v>
      </c>
      <c r="R999" s="154" t="s">
        <v>5337</v>
      </c>
      <c r="S999" s="154" t="s">
        <v>1593</v>
      </c>
      <c r="T999" s="155" t="s">
        <v>4002</v>
      </c>
      <c r="U999" s="152" t="str">
        <f aca="false">RIGHT(T999,7)</f>
        <v>015/037</v>
      </c>
      <c r="V999" s="152" t="s">
        <v>1555</v>
      </c>
      <c r="W999" s="156" t="n">
        <v>45882</v>
      </c>
      <c r="X999" s="152" t="s">
        <v>1594</v>
      </c>
      <c r="Y999" s="152" t="s">
        <v>2387</v>
      </c>
      <c r="Z999" s="152" t="s">
        <v>1557</v>
      </c>
      <c r="AA999" s="153" t="n">
        <v>4.5</v>
      </c>
      <c r="AB999" s="151" t="s">
        <v>5338</v>
      </c>
      <c r="AC999" s="151" t="s">
        <v>505</v>
      </c>
      <c r="AD999" s="151" t="str">
        <f aca="false">CONCATENATE($C999,$I999,$H999,$N999,$J999,$K999)</f>
        <v>TUBO PEADPEAD160VCAREDESZona09</v>
      </c>
      <c r="AE999" s="153" t="n">
        <f aca="false">IFERROR(INDEX(APOIO_REDES!$A:$W,MATCH($C999&amp;$I999&amp;$H999&amp;$N999&amp;$O999,APOIO_REDES!$W:$W,0),MATCH(AE$5,APOIO_REDES!$5:$5,0)),0)</f>
        <v>1.2</v>
      </c>
      <c r="AF999" s="153" t="n">
        <f aca="false">IFERROR(INDEX(APOIO_REDES!$A:$W,MATCH($C999&amp;$I999&amp;$H999&amp;$N999&amp;$O999,APOIO_REDES!$W:$W,0),MATCH(AF$5,APOIO_REDES!$5:$5,0)),0)</f>
        <v>1.46</v>
      </c>
      <c r="AG999" s="153" t="n">
        <f aca="false">IFERROR(INDEX(APOIO_REDES!$A:$W,MATCH($C999&amp;$I999&amp;$H999&amp;$N999&amp;$O999,APOIO_REDES!$W:$W,0),MATCH(AG$5,APOIO_REDES!$5:$5,0)),0)</f>
        <v>0.75</v>
      </c>
      <c r="AH999" s="153" t="n">
        <f aca="false">IFERROR(INDEX(APOIO_REDES!$A:$W,MATCH($C999&amp;$I999&amp;$H999&amp;$N999&amp;$O999,APOIO_REDES!$W:$W,0),MATCH(AH$5,APOIO_REDES!$5:$5,0)),0)</f>
        <v>0.1</v>
      </c>
      <c r="AI999" s="153" t="n">
        <f aca="false">IFERROR(IF($H999&lt;&gt;"",(((($H999/1000)/2)^2)*PI()*$M999),0),0)</f>
        <v>0.103949017721979</v>
      </c>
      <c r="AJ999" s="153" t="n">
        <f aca="false">IFERROR(IF(AND($H999&lt;&gt;"",$I999="FoFo",OR($N999="MND",$N999="VCA"),$Q999="LINEAR"),0,IF(AND($H999&lt;&gt;"",$I999="PEAD",$N999="VCA",$Q999="LINEAR"),($H999/1000)+0.3,IF(AND($H999&lt;&gt;"",$I999="PEAD",$N999="MND",$Q999="EMBOQUE"),0,IF(AND($H999&lt;&gt;"",$I999="PVC",$N999="VCA",$Q999="LINEAR"),($H999/1000)+0.2,IF(AND($H999&lt;&gt;"",$I999="PVC",$N999="MND",$Q999="EMBOQUE"),0,IF(AND($H999&lt;&gt;"",$I999="PEAD",$N999="VCA",$Q999="PREDIAL"),0,0)))))),0)</f>
        <v>0.46</v>
      </c>
      <c r="AK999" s="153" t="n">
        <f aca="false">IF(AA999&lt;&gt;"",AA999,0)</f>
        <v>4.5</v>
      </c>
      <c r="AL999" s="153" t="n">
        <f aca="false">IF(AND($N999="MND",$Q999="EMBOQUE"),$M999,IF(AND($N999="VCA",$Q999="LINEAR"),$M999,IF(AND($N999="VCA",$Q999="PREDIAL"),0,0)))</f>
        <v>5.17</v>
      </c>
      <c r="AM999" s="153" t="n">
        <f aca="false">IF(AND($N999="MND",$Q999="EMBOQUE"),$M999,IF(AND($N999="VCA",$Q999="LINEAR"),$M999,IF(AND($N999="VCA",$Q999="PREDIAL"),0,0)))</f>
        <v>5.17</v>
      </c>
      <c r="AN999" s="153" t="n">
        <f aca="false">ROUND(IF(AND($N999="VCA",$M999&lt;&gt;"",$Q999="LINEAR"),$M999/100,IF(AND($N999="MND",$M999&gt;100,$Q999="EMBOQUE"),$M999/100,0)),0)</f>
        <v>0</v>
      </c>
      <c r="AO999" s="153" t="n">
        <f aca="false">IF(AND($N999="MND",$Q999="EMBOQUE"),$AN999*2*2,IF(AND($N999="VCA",$Q999="LINEAR"),$M999*2,IF(AND($N999="VCA",$Q999="PREDIAL"),0,0)))</f>
        <v>10.34</v>
      </c>
      <c r="AP999" s="153" t="n">
        <f aca="false">IFERROR($M999*$AF999*$AG999,0)</f>
        <v>5.66115</v>
      </c>
      <c r="AQ999" s="153" t="n">
        <f aca="false">IFERROR(IF(AND($N999="VCA",$AH999&gt;0),$M999*$AG999*$AH999,0),0)</f>
        <v>0.38775</v>
      </c>
      <c r="AR999" s="153" t="n">
        <f aca="false">IFERROR(IF(AND($N999="VCA",$AJ999&gt;0),($M999*$AG999*$AJ999)-$AI999,0),0)</f>
        <v>1.67970098227802</v>
      </c>
      <c r="AS999" s="153" t="n">
        <f aca="false">IFERROR(IF(AND($N999="VCA",$AP999&gt;0),$AP999-$AI999-$AQ999-$AR999,0),0)</f>
        <v>3.48975</v>
      </c>
      <c r="AT999" s="153" t="n">
        <f aca="false">IFERROR(IF($N999="VCA",INDEX(APOIO_REDES!$A:$W,MATCH($C999&amp;$I999&amp;$H999&amp;$N999&amp;$O999,APOIO_REDES!$W:$W,0),MATCH(AT$5,APOIO_REDES!$5:$5,0)),0)*$AP999,0)</f>
        <v>0.0615949876148684</v>
      </c>
      <c r="AU999" s="153" t="n">
        <f aca="false">IFERROR(IF($N999="VCA",INDEX(APOIO_REDES!$A:$W,MATCH($C999&amp;$I999&amp;$H999&amp;$N999&amp;$O999,APOIO_REDES!$W:$W,0),MATCH(AU$5,APOIO_REDES!$5:$5,0)),0)*$AP999,0)</f>
        <v>0.0491880889054069</v>
      </c>
      <c r="AV999" s="153" t="n">
        <f aca="false">IFERROR(IF($N999="VCA",INDEX(APOIO_REDES!$A:$W,MATCH($C999&amp;$I999&amp;$H999&amp;$N999&amp;$O999,APOIO_REDES!$W:$W,0),MATCH(AV$5,APOIO_REDES!$5:$5,0)),0)*$AP999,0)</f>
        <v>0.00680724536287053</v>
      </c>
      <c r="AW999" s="153" t="n">
        <f aca="false">IFERROR(IF($N999="VCA",INDEX(APOIO_REDES!$A:$W,MATCH($C999&amp;$I999&amp;$H999&amp;$N999&amp;$O999,APOIO_REDES!$W:$W,0),MATCH(AW$5,APOIO_REDES!$5:$5,0)),0)*$AP999,0)</f>
        <v>3.88585722473069</v>
      </c>
      <c r="AX999" s="153" t="n">
        <f aca="false">IFERROR(IF($N999="VCA",INDEX(APOIO_REDES!$A:$W,MATCH($C999&amp;$I999&amp;$H999&amp;$N999&amp;$O999,APOIO_REDES!$W:$W,0),MATCH(AX$5,APOIO_REDES!$5:$5,0)),0)*$AP999,0)</f>
        <v>0.537791570828898</v>
      </c>
      <c r="AY999" s="153" t="n">
        <f aca="false">IFERROR(IF($N999="VCA",INDEX(APOIO_REDES!$A:$W,MATCH($C999&amp;$I999&amp;$H999&amp;$N999&amp;$O999,APOIO_REDES!$W:$W,0),MATCH(AY$5,APOIO_REDES!$5:$5,0)),0)*$AP999,0)</f>
        <v>0.983761178509321</v>
      </c>
      <c r="AZ999" s="153" t="n">
        <f aca="false">IFERROR(IF($N999="VCA",INDEX(APOIO_REDES!$A:$W,MATCH($C999&amp;$I999&amp;$H999&amp;$N999&amp;$O999,APOIO_REDES!$W:$W,0),MATCH(AZ$5,APOIO_REDES!$5:$5,0)),0)*$AP999,0)</f>
        <v>0.136149704047942</v>
      </c>
      <c r="BA999" s="153" t="n">
        <f aca="false">IFERROR(IF(AND($N999="VCA",$Q999="LINEAR"),INDEX(APOIO_REDES!$A:$W,MATCH($C999&amp;$I999&amp;$H999&amp;$N999&amp;$O999,APOIO_REDES!$W:$W,0),MATCH(BA$5,APOIO_REDES!$5:$5,0)),IF(AND($N999="MND",$Q999="EMBOQUE"),INDEX(APOIO_REDES!$A:$W,MATCH($C999&amp;$I999&amp;$H999&amp;$N999&amp;$O999,APOIO_REDES!$W:$W,0),MATCH(BA$5,APOIO_REDES!$5:$5,0)),0))*$M999/10,0)</f>
        <v>0.416688959087464</v>
      </c>
      <c r="BB999" s="153" t="n">
        <f aca="false">IFERROR(IF($N999="VCA",INDEX(APOIO_REDES!$A:$W,MATCH($C999&amp;$I999&amp;$H999&amp;$N999&amp;$O999,APOIO_REDES!$W:$W,0),MATCH(BB$5,APOIO_REDES!$5:$5,0)),0)*($AI999+$AQ999+$AR999),0)</f>
        <v>2.14777452529841</v>
      </c>
      <c r="BC999" s="153" t="n">
        <f aca="false">IFERROR(IF($N999="VCA",INDEX(APOIO_REDES!$A:$W,MATCH($C999&amp;$I999&amp;$H999&amp;$N999&amp;$O999,APOIO_REDES!$W:$W,0),MATCH(BC$5,APOIO_REDES!$5:$5,0)),0)*($AI999+$AQ999+$AR999),0)</f>
        <v>0.0236254747015934</v>
      </c>
      <c r="BD999" s="153" t="n">
        <f aca="false">IF(AND($N999="VCA",$AF999&gt;=1.25,$AF999&lt;1.5),$M999*$AF999*2,0)</f>
        <v>15.0964</v>
      </c>
      <c r="BE999" s="153" t="n">
        <f aca="false">IF(AND($N999="VCA",$AF999&gt;=1.5,$AF999&lt;3),$M999*$AF999*2,0)</f>
        <v>0</v>
      </c>
      <c r="BF999" s="153" t="n">
        <f aca="false">IF(AND($N999="VCA",$AF999&gt;=3),$M999*$AF999*2,0)</f>
        <v>0</v>
      </c>
      <c r="BG999" s="153" t="n">
        <f aca="false">($BB999+$BC999)*$AK999</f>
        <v>9.7713</v>
      </c>
      <c r="BH999" s="153" t="n">
        <f aca="false">IF(AND($M999&lt;&gt;"",$N999="VCA",$Q999="LINEAR"),($M999*2)/100,IF(AND($M999&lt;&gt;"",$N999="MND",$Q999="EMBOQUE"),($AN999*2)/100,0))</f>
        <v>0.1034</v>
      </c>
      <c r="BI999" s="153" t="n">
        <f aca="false">IF(AND($M999&lt;&gt;"",$N999="VCA",$Q999="LINEAR"),$M999,IF(AND($M999&lt;&gt;"",$N999="MND",$Q999="EMBOQUE"),$AN999*2,0))</f>
        <v>5.17</v>
      </c>
      <c r="BJ999" s="153" t="n">
        <f aca="false">IF(AND($M999&lt;&gt;"",$N999="VCA",$Q999="LINEAR"),($M999*6.8)/100,IF(AND($M999&lt;&gt;"",$N999="MND",$Q999="EMBOQUE"),($AN999*2*6.8)/100,0))</f>
        <v>0.35156</v>
      </c>
      <c r="BK999" s="153" t="n">
        <f aca="false">IF(AND($M999&lt;&gt;"",$N999="VCA",$Q999="LINEAR"),($M999*2.5)/50,IF(AND($M999&lt;&gt;"",$N999="MND",$Q999="EMBOQUE"),($AN999*2*2.5)/50,0))</f>
        <v>0.2585</v>
      </c>
      <c r="BL999" s="157" t="str">
        <f aca="false">K999&amp;J999</f>
        <v>Zona09REDES</v>
      </c>
      <c r="BM999" s="152" t="s">
        <v>5109</v>
      </c>
      <c r="BN999" s="152" t="s">
        <v>1560</v>
      </c>
      <c r="BO999" s="152" t="s">
        <v>4004</v>
      </c>
      <c r="BP999" s="152" t="s">
        <v>5339</v>
      </c>
      <c r="BQ999" s="152" t="s">
        <v>5323</v>
      </c>
      <c r="BR999" s="152" t="s">
        <v>5324</v>
      </c>
      <c r="BS999" s="152" t="n">
        <v>203512.577</v>
      </c>
      <c r="BT999" s="152" t="n">
        <v>8236718.364</v>
      </c>
      <c r="BU999" s="152" t="n">
        <v>203511.073</v>
      </c>
      <c r="BV999" s="152" t="n">
        <v>8236723.309</v>
      </c>
      <c r="BW999" s="152" t="n">
        <v>-15.9310758</v>
      </c>
      <c r="BX999" s="152" t="n">
        <v>-47.7692658</v>
      </c>
      <c r="BY999" s="152" t="s">
        <v>5339</v>
      </c>
    </row>
    <row r="1000" customFormat="false" ht="13.8" hidden="false" customHeight="false" outlineLevel="0" collapsed="false">
      <c r="A1000" s="149" t="n">
        <f aca="false">IF(C1000&lt;&gt;"",ROW(A995),"")</f>
        <v>995</v>
      </c>
      <c r="B1000" s="150" t="str">
        <f aca="false">HYPERLINK("https://www.google.com/maps/dir/-15.917302,-47.760003/-15.9310672,-47.7694653/data=!4m3!4m2!3e0!5i1")</f>
        <v>https://www.google.com/maps/dir/-15.917302,-47.760003/-15.9310672,-47.7694653/data=!4m3!4m2!3e0!5i1</v>
      </c>
      <c r="C1000" s="151" t="s">
        <v>117</v>
      </c>
      <c r="D1000" s="152" t="s">
        <v>112</v>
      </c>
      <c r="E1000" s="152" t="s">
        <v>113</v>
      </c>
      <c r="F1000" s="152" t="s">
        <v>117</v>
      </c>
      <c r="G1000" s="152" t="s">
        <v>114</v>
      </c>
      <c r="H1000" s="152" t="n">
        <v>160</v>
      </c>
      <c r="I1000" s="152" t="s">
        <v>115</v>
      </c>
      <c r="J1000" s="152" t="s">
        <v>6</v>
      </c>
      <c r="K1000" s="152" t="s">
        <v>5106</v>
      </c>
      <c r="L1000" s="152" t="s">
        <v>120</v>
      </c>
      <c r="M1000" s="153" t="n">
        <f aca="false">56.36+0.06</f>
        <v>56.42</v>
      </c>
      <c r="N1000" s="152" t="s">
        <v>1548</v>
      </c>
      <c r="O1000" s="152" t="s">
        <v>1549</v>
      </c>
      <c r="P1000" s="152" t="s">
        <v>1550</v>
      </c>
      <c r="Q1000" s="152" t="s">
        <v>1551</v>
      </c>
      <c r="R1000" s="154" t="s">
        <v>5340</v>
      </c>
      <c r="S1000" s="154" t="s">
        <v>1593</v>
      </c>
      <c r="T1000" s="155" t="s">
        <v>4002</v>
      </c>
      <c r="U1000" s="152" t="str">
        <f aca="false">RIGHT(T1000,7)</f>
        <v>015/037</v>
      </c>
      <c r="V1000" s="152" t="s">
        <v>1555</v>
      </c>
      <c r="W1000" s="156" t="n">
        <v>45882</v>
      </c>
      <c r="X1000" s="152" t="s">
        <v>1594</v>
      </c>
      <c r="Y1000" s="152" t="s">
        <v>5267</v>
      </c>
      <c r="Z1000" s="152" t="s">
        <v>1557</v>
      </c>
      <c r="AA1000" s="153" t="n">
        <v>4.5</v>
      </c>
      <c r="AB1000" s="151" t="s">
        <v>5341</v>
      </c>
      <c r="AC1000" s="151" t="s">
        <v>505</v>
      </c>
      <c r="AD1000" s="151" t="str">
        <f aca="false">CONCATENATE($C1000,$I1000,$H1000,$N1000,$J1000,$K1000)</f>
        <v>TUBO PEADPEAD160VCAREDESZona09</v>
      </c>
      <c r="AE1000" s="153" t="n">
        <f aca="false">IFERROR(INDEX(APOIO_REDES!$A:$W,MATCH($C1000&amp;$I1000&amp;$H1000&amp;$N1000&amp;$O1000,APOIO_REDES!$W:$W,0),MATCH(AE$5,APOIO_REDES!$5:$5,0)),0)</f>
        <v>1.2</v>
      </c>
      <c r="AF1000" s="153" t="n">
        <f aca="false">IFERROR(INDEX(APOIO_REDES!$A:$W,MATCH($C1000&amp;$I1000&amp;$H1000&amp;$N1000&amp;$O1000,APOIO_REDES!$W:$W,0),MATCH(AF$5,APOIO_REDES!$5:$5,0)),0)</f>
        <v>1.46</v>
      </c>
      <c r="AG1000" s="153" t="n">
        <f aca="false">IFERROR(INDEX(APOIO_REDES!$A:$W,MATCH($C1000&amp;$I1000&amp;$H1000&amp;$N1000&amp;$O1000,APOIO_REDES!$W:$W,0),MATCH(AG$5,APOIO_REDES!$5:$5,0)),0)</f>
        <v>0.75</v>
      </c>
      <c r="AH1000" s="153" t="n">
        <f aca="false">IFERROR(INDEX(APOIO_REDES!$A:$W,MATCH($C1000&amp;$I1000&amp;$H1000&amp;$N1000&amp;$O1000,APOIO_REDES!$W:$W,0),MATCH(AH$5,APOIO_REDES!$5:$5,0)),0)</f>
        <v>0.1</v>
      </c>
      <c r="AI1000" s="153" t="n">
        <f aca="false">IFERROR(IF($H1000&lt;&gt;"",(((($H1000/1000)/2)^2)*PI()*$M1000),0),0)</f>
        <v>1.13439140809943</v>
      </c>
      <c r="AJ1000" s="153" t="n">
        <f aca="false">IFERROR(IF(AND($H1000&lt;&gt;"",$I1000="FoFo",OR($N1000="MND",$N1000="VCA"),$Q1000="LINEAR"),0,IF(AND($H1000&lt;&gt;"",$I1000="PEAD",$N1000="VCA",$Q1000="LINEAR"),($H1000/1000)+0.3,IF(AND($H1000&lt;&gt;"",$I1000="PEAD",$N1000="MND",$Q1000="EMBOQUE"),0,IF(AND($H1000&lt;&gt;"",$I1000="PVC",$N1000="VCA",$Q1000="LINEAR"),($H1000/1000)+0.2,IF(AND($H1000&lt;&gt;"",$I1000="PVC",$N1000="MND",$Q1000="EMBOQUE"),0,IF(AND($H1000&lt;&gt;"",$I1000="PEAD",$N1000="VCA",$Q1000="PREDIAL"),0,0)))))),0)</f>
        <v>0.46</v>
      </c>
      <c r="AK1000" s="153" t="n">
        <f aca="false">IF(AA1000&lt;&gt;"",AA1000,0)</f>
        <v>4.5</v>
      </c>
      <c r="AL1000" s="153" t="n">
        <f aca="false">IF(AND($N1000="MND",$Q1000="EMBOQUE"),$M1000,IF(AND($N1000="VCA",$Q1000="LINEAR"),$M1000,IF(AND($N1000="VCA",$Q1000="PREDIAL"),0,0)))</f>
        <v>56.42</v>
      </c>
      <c r="AM1000" s="153" t="n">
        <f aca="false">IF(AND($N1000="MND",$Q1000="EMBOQUE"),$M1000,IF(AND($N1000="VCA",$Q1000="LINEAR"),$M1000,IF(AND($N1000="VCA",$Q1000="PREDIAL"),0,0)))</f>
        <v>56.42</v>
      </c>
      <c r="AN1000" s="153" t="n">
        <f aca="false">ROUND(IF(AND($N1000="VCA",$M1000&lt;&gt;"",$Q1000="LINEAR"),$M1000/100,IF(AND($N1000="MND",$M1000&gt;100,$Q1000="EMBOQUE"),$M1000/100,0)),0)</f>
        <v>1</v>
      </c>
      <c r="AO1000" s="153" t="n">
        <f aca="false">IF(AND($N1000="MND",$Q1000="EMBOQUE"),$AN1000*2*2,IF(AND($N1000="VCA",$Q1000="LINEAR"),$M1000*2,IF(AND($N1000="VCA",$Q1000="PREDIAL"),0,0)))</f>
        <v>112.84</v>
      </c>
      <c r="AP1000" s="153" t="n">
        <f aca="false">IFERROR($M1000*$AF1000*$AG1000,0)</f>
        <v>61.7799</v>
      </c>
      <c r="AQ1000" s="153" t="n">
        <f aca="false">IFERROR(IF(AND($N1000="VCA",$AH1000&gt;0),$M1000*$AG1000*$AH1000,0),0)</f>
        <v>4.2315</v>
      </c>
      <c r="AR1000" s="153" t="n">
        <f aca="false">IFERROR(IF(AND($N1000="VCA",$AJ1000&gt;0),($M1000*$AG1000*$AJ1000)-$AI1000,0),0)</f>
        <v>18.3305085919006</v>
      </c>
      <c r="AS1000" s="153" t="n">
        <f aca="false">IFERROR(IF(AND($N1000="VCA",$AP1000&gt;0),$AP1000-$AI1000-$AQ1000-$AR1000,0),0)</f>
        <v>38.0835</v>
      </c>
      <c r="AT1000" s="153" t="n">
        <f aca="false">IFERROR(IF($N1000="VCA",INDEX(APOIO_REDES!$A:$W,MATCH($C1000&amp;$I1000&amp;$H1000&amp;$N1000&amp;$O1000,APOIO_REDES!$W:$W,0),MATCH(AT$5,APOIO_REDES!$5:$5,0)),0)*$AP1000,0)</f>
        <v>0.672183597916997</v>
      </c>
      <c r="AU1000" s="153" t="n">
        <f aca="false">IFERROR(IF($N1000="VCA",INDEX(APOIO_REDES!$A:$W,MATCH($C1000&amp;$I1000&amp;$H1000&amp;$N1000&amp;$O1000,APOIO_REDES!$W:$W,0),MATCH(AU$5,APOIO_REDES!$5:$5,0)),0)*$AP1000,0)</f>
        <v>0.53678761625591</v>
      </c>
      <c r="AV1000" s="153" t="n">
        <f aca="false">IFERROR(IF($N1000="VCA",INDEX(APOIO_REDES!$A:$W,MATCH($C1000&amp;$I1000&amp;$H1000&amp;$N1000&amp;$O1000,APOIO_REDES!$W:$W,0),MATCH(AV$5,APOIO_REDES!$5:$5,0)),0)*$AP1000,0)</f>
        <v>0.0742871921418096</v>
      </c>
      <c r="AW1000" s="153" t="n">
        <f aca="false">IFERROR(IF($N1000="VCA",INDEX(APOIO_REDES!$A:$W,MATCH($C1000&amp;$I1000&amp;$H1000&amp;$N1000&amp;$O1000,APOIO_REDES!$W:$W,0),MATCH(AW$5,APOIO_REDES!$5:$5,0)),0)*$AP1000,0)</f>
        <v>42.4062020540243</v>
      </c>
      <c r="AX1000" s="153" t="n">
        <f aca="false">IFERROR(IF($N1000="VCA",INDEX(APOIO_REDES!$A:$W,MATCH($C1000&amp;$I1000&amp;$H1000&amp;$N1000&amp;$O1000,APOIO_REDES!$W:$W,0),MATCH(AX$5,APOIO_REDES!$5:$5,0)),0)*$AP1000,0)</f>
        <v>5.86889756792387</v>
      </c>
      <c r="AY1000" s="153" t="n">
        <f aca="false">IFERROR(IF($N1000="VCA",INDEX(APOIO_REDES!$A:$W,MATCH($C1000&amp;$I1000&amp;$H1000&amp;$N1000&amp;$O1000,APOIO_REDES!$W:$W,0),MATCH(AY$5,APOIO_REDES!$5:$5,0)),0)*$AP1000,0)</f>
        <v>10.7357457817207</v>
      </c>
      <c r="AZ1000" s="153" t="n">
        <f aca="false">IFERROR(IF($N1000="VCA",INDEX(APOIO_REDES!$A:$W,MATCH($C1000&amp;$I1000&amp;$H1000&amp;$N1000&amp;$O1000,APOIO_REDES!$W:$W,0),MATCH(AZ$5,APOIO_REDES!$5:$5,0)),0)*$AP1000,0)</f>
        <v>1.48579619001642</v>
      </c>
      <c r="BA1000" s="153" t="n">
        <f aca="false">IFERROR(IF(AND($N1000="VCA",$Q1000="LINEAR"),INDEX(APOIO_REDES!$A:$W,MATCH($C1000&amp;$I1000&amp;$H1000&amp;$N1000&amp;$O1000,APOIO_REDES!$W:$W,0),MATCH(BA$5,APOIO_REDES!$5:$5,0)),IF(AND($N1000="MND",$Q1000="EMBOQUE"),INDEX(APOIO_REDES!$A:$W,MATCH($C1000&amp;$I1000&amp;$H1000&amp;$N1000&amp;$O1000,APOIO_REDES!$W:$W,0),MATCH(BA$5,APOIO_REDES!$5:$5,0)),0))*$M1000/10,0)</f>
        <v>4.5473096850512</v>
      </c>
      <c r="BB1000" s="153" t="n">
        <f aca="false">IFERROR(IF($N1000="VCA",INDEX(APOIO_REDES!$A:$W,MATCH($C1000&amp;$I1000&amp;$H1000&amp;$N1000&amp;$O1000,APOIO_REDES!$W:$W,0),MATCH(BB$5,APOIO_REDES!$5:$5,0)),0)*($AI1000+$AQ1000+$AR1000),0)</f>
        <v>23.4385761542236</v>
      </c>
      <c r="BC1000" s="153" t="n">
        <f aca="false">IFERROR(IF($N1000="VCA",INDEX(APOIO_REDES!$A:$W,MATCH($C1000&amp;$I1000&amp;$H1000&amp;$N1000&amp;$O1000,APOIO_REDES!$W:$W,0),MATCH(BC$5,APOIO_REDES!$5:$5,0)),0)*($AI1000+$AQ1000+$AR1000),0)</f>
        <v>0.257823845776383</v>
      </c>
      <c r="BD1000" s="153" t="n">
        <f aca="false">IF(AND($N1000="VCA",$AF1000&gt;=1.25,$AF1000&lt;1.5),$M1000*$AF1000*2,0)</f>
        <v>164.7464</v>
      </c>
      <c r="BE1000" s="153" t="n">
        <f aca="false">IF(AND($N1000="VCA",$AF1000&gt;=1.5,$AF1000&lt;3),$M1000*$AF1000*2,0)</f>
        <v>0</v>
      </c>
      <c r="BF1000" s="153" t="n">
        <f aca="false">IF(AND($N1000="VCA",$AF1000&gt;=3),$M1000*$AF1000*2,0)</f>
        <v>0</v>
      </c>
      <c r="BG1000" s="153" t="n">
        <f aca="false">($BB1000+$BC1000)*$AK1000</f>
        <v>106.6338</v>
      </c>
      <c r="BH1000" s="153" t="n">
        <f aca="false">IF(AND($M1000&lt;&gt;"",$N1000="VCA",$Q1000="LINEAR"),($M1000*2)/100,IF(AND($M1000&lt;&gt;"",$N1000="MND",$Q1000="EMBOQUE"),($AN1000*2)/100,0))</f>
        <v>1.1284</v>
      </c>
      <c r="BI1000" s="153" t="n">
        <f aca="false">IF(AND($M1000&lt;&gt;"",$N1000="VCA",$Q1000="LINEAR"),$M1000,IF(AND($M1000&lt;&gt;"",$N1000="MND",$Q1000="EMBOQUE"),$AN1000*2,0))</f>
        <v>56.42</v>
      </c>
      <c r="BJ1000" s="153" t="n">
        <f aca="false">IF(AND($M1000&lt;&gt;"",$N1000="VCA",$Q1000="LINEAR"),($M1000*6.8)/100,IF(AND($M1000&lt;&gt;"",$N1000="MND",$Q1000="EMBOQUE"),($AN1000*2*6.8)/100,0))</f>
        <v>3.83656</v>
      </c>
      <c r="BK1000" s="153" t="n">
        <f aca="false">IF(AND($M1000&lt;&gt;"",$N1000="VCA",$Q1000="LINEAR"),($M1000*2.5)/50,IF(AND($M1000&lt;&gt;"",$N1000="MND",$Q1000="EMBOQUE"),($AN1000*2*2.5)/50,0))</f>
        <v>2.821</v>
      </c>
      <c r="BL1000" s="157" t="str">
        <f aca="false">K1000&amp;J1000</f>
        <v>Zona09REDES</v>
      </c>
      <c r="BM1000" s="152" t="s">
        <v>5109</v>
      </c>
      <c r="BN1000" s="152" t="s">
        <v>1560</v>
      </c>
      <c r="BO1000" s="152" t="s">
        <v>4004</v>
      </c>
      <c r="BP1000" s="152" t="s">
        <v>5335</v>
      </c>
      <c r="BQ1000" s="152" t="s">
        <v>5342</v>
      </c>
      <c r="BR1000" s="152" t="s">
        <v>5343</v>
      </c>
      <c r="BS1000" s="152" t="n">
        <v>203490.434</v>
      </c>
      <c r="BT1000" s="152" t="n">
        <v>8236721.648</v>
      </c>
      <c r="BU1000" s="152" t="n">
        <v>203434.122</v>
      </c>
      <c r="BV1000" s="152" t="n">
        <v>8236719.197</v>
      </c>
      <c r="BW1000" s="152" t="n">
        <v>-15.9310736</v>
      </c>
      <c r="BX1000" s="152" t="n">
        <v>-47.7697283</v>
      </c>
      <c r="BY1000" s="152" t="s">
        <v>5335</v>
      </c>
    </row>
    <row r="1001" customFormat="false" ht="13.8" hidden="false" customHeight="false" outlineLevel="0" collapsed="false">
      <c r="A1001" s="149" t="n">
        <f aca="false">IF(C1001&lt;&gt;"",ROW(A996),"")</f>
        <v>996</v>
      </c>
      <c r="B1001" s="150" t="str">
        <f aca="false">HYPERLINK("https://www.google.com/maps/dir/-15.917302,-47.760003/-15.9310955,-47.7691644/data=!4m3!4m2!3e0!5i0")</f>
        <v>https://www.google.com/maps/dir/-15.917302,-47.760003/-15.9310955,-47.7691644/data=!4m3!4m2!3e0!5i0</v>
      </c>
      <c r="C1001" s="151" t="s">
        <v>117</v>
      </c>
      <c r="D1001" s="152" t="s">
        <v>112</v>
      </c>
      <c r="E1001" s="152" t="s">
        <v>113</v>
      </c>
      <c r="F1001" s="152" t="s">
        <v>117</v>
      </c>
      <c r="G1001" s="152" t="s">
        <v>114</v>
      </c>
      <c r="H1001" s="152" t="n">
        <v>160</v>
      </c>
      <c r="I1001" s="152" t="s">
        <v>115</v>
      </c>
      <c r="J1001" s="152" t="s">
        <v>6</v>
      </c>
      <c r="K1001" s="152" t="s">
        <v>5106</v>
      </c>
      <c r="L1001" s="152" t="s">
        <v>120</v>
      </c>
      <c r="M1001" s="153" t="n">
        <f aca="false">5.12</f>
        <v>5.12</v>
      </c>
      <c r="N1001" s="152" t="s">
        <v>1548</v>
      </c>
      <c r="O1001" s="152" t="s">
        <v>1549</v>
      </c>
      <c r="P1001" s="152" t="s">
        <v>1550</v>
      </c>
      <c r="Q1001" s="152" t="s">
        <v>1551</v>
      </c>
      <c r="R1001" s="154" t="s">
        <v>5344</v>
      </c>
      <c r="S1001" s="154" t="s">
        <v>1593</v>
      </c>
      <c r="T1001" s="155" t="s">
        <v>4002</v>
      </c>
      <c r="U1001" s="152" t="str">
        <f aca="false">RIGHT(T1001,7)</f>
        <v>015/037</v>
      </c>
      <c r="V1001" s="152" t="s">
        <v>1555</v>
      </c>
      <c r="W1001" s="156" t="n">
        <v>45882</v>
      </c>
      <c r="X1001" s="152" t="s">
        <v>1594</v>
      </c>
      <c r="Y1001" s="152" t="s">
        <v>2387</v>
      </c>
      <c r="Z1001" s="152" t="s">
        <v>1557</v>
      </c>
      <c r="AA1001" s="153" t="n">
        <v>2.5</v>
      </c>
      <c r="AB1001" s="151" t="s">
        <v>5345</v>
      </c>
      <c r="AC1001" s="151" t="s">
        <v>505</v>
      </c>
      <c r="AD1001" s="151" t="str">
        <f aca="false">CONCATENATE($C1001,$I1001,$H1001,$N1001,$J1001,$K1001)</f>
        <v>TUBO PEADPEAD160VCAREDESZona09</v>
      </c>
      <c r="AE1001" s="153" t="n">
        <f aca="false">IFERROR(INDEX(APOIO_REDES!$A:$W,MATCH($C1001&amp;$I1001&amp;$H1001&amp;$N1001&amp;$O1001,APOIO_REDES!$W:$W,0),MATCH(AE$5,APOIO_REDES!$5:$5,0)),0)</f>
        <v>1.2</v>
      </c>
      <c r="AF1001" s="153" t="n">
        <f aca="false">IFERROR(INDEX(APOIO_REDES!$A:$W,MATCH($C1001&amp;$I1001&amp;$H1001&amp;$N1001&amp;$O1001,APOIO_REDES!$W:$W,0),MATCH(AF$5,APOIO_REDES!$5:$5,0)),0)</f>
        <v>1.46</v>
      </c>
      <c r="AG1001" s="153" t="n">
        <f aca="false">IFERROR(INDEX(APOIO_REDES!$A:$W,MATCH($C1001&amp;$I1001&amp;$H1001&amp;$N1001&amp;$O1001,APOIO_REDES!$W:$W,0),MATCH(AG$5,APOIO_REDES!$5:$5,0)),0)</f>
        <v>0.75</v>
      </c>
      <c r="AH1001" s="153" t="n">
        <f aca="false">IFERROR(INDEX(APOIO_REDES!$A:$W,MATCH($C1001&amp;$I1001&amp;$H1001&amp;$N1001&amp;$O1001,APOIO_REDES!$W:$W,0),MATCH(AH$5,APOIO_REDES!$5:$5,0)),0)</f>
        <v>0.1</v>
      </c>
      <c r="AI1001" s="153" t="n">
        <f aca="false">IFERROR(IF($H1001&lt;&gt;"",(((($H1001/1000)/2)^2)*PI()*$M1001),0),0)</f>
        <v>0.10294370807283</v>
      </c>
      <c r="AJ1001" s="153" t="n">
        <f aca="false">IFERROR(IF(AND($H1001&lt;&gt;"",$I1001="FoFo",OR($N1001="MND",$N1001="VCA"),$Q1001="LINEAR"),0,IF(AND($H1001&lt;&gt;"",$I1001="PEAD",$N1001="VCA",$Q1001="LINEAR"),($H1001/1000)+0.3,IF(AND($H1001&lt;&gt;"",$I1001="PEAD",$N1001="MND",$Q1001="EMBOQUE"),0,IF(AND($H1001&lt;&gt;"",$I1001="PVC",$N1001="VCA",$Q1001="LINEAR"),($H1001/1000)+0.2,IF(AND($H1001&lt;&gt;"",$I1001="PVC",$N1001="MND",$Q1001="EMBOQUE"),0,IF(AND($H1001&lt;&gt;"",$I1001="PEAD",$N1001="VCA",$Q1001="PREDIAL"),0,0)))))),0)</f>
        <v>0.46</v>
      </c>
      <c r="AK1001" s="153" t="n">
        <f aca="false">IF(AA1001&lt;&gt;"",AA1001,0)</f>
        <v>2.5</v>
      </c>
      <c r="AL1001" s="153" t="n">
        <f aca="false">IF(AND($N1001="MND",$Q1001="EMBOQUE"),$M1001,IF(AND($N1001="VCA",$Q1001="LINEAR"),$M1001,IF(AND($N1001="VCA",$Q1001="PREDIAL"),0,0)))</f>
        <v>5.12</v>
      </c>
      <c r="AM1001" s="153" t="n">
        <f aca="false">IF(AND($N1001="MND",$Q1001="EMBOQUE"),$M1001,IF(AND($N1001="VCA",$Q1001="LINEAR"),$M1001,IF(AND($N1001="VCA",$Q1001="PREDIAL"),0,0)))</f>
        <v>5.12</v>
      </c>
      <c r="AN1001" s="153" t="n">
        <f aca="false">ROUND(IF(AND($N1001="VCA",$M1001&lt;&gt;"",$Q1001="LINEAR"),$M1001/100,IF(AND($N1001="MND",$M1001&gt;100,$Q1001="EMBOQUE"),$M1001/100,0)),0)</f>
        <v>0</v>
      </c>
      <c r="AO1001" s="153" t="n">
        <f aca="false">IF(AND($N1001="MND",$Q1001="EMBOQUE"),$AN1001*2*2,IF(AND($N1001="VCA",$Q1001="LINEAR"),$M1001*2,IF(AND($N1001="VCA",$Q1001="PREDIAL"),0,0)))</f>
        <v>10.24</v>
      </c>
      <c r="AP1001" s="153" t="n">
        <f aca="false">IFERROR($M1001*$AF1001*$AG1001,0)</f>
        <v>5.6064</v>
      </c>
      <c r="AQ1001" s="153" t="n">
        <f aca="false">IFERROR(IF(AND($N1001="VCA",$AH1001&gt;0),$M1001*$AG1001*$AH1001,0),0)</f>
        <v>0.384</v>
      </c>
      <c r="AR1001" s="153" t="n">
        <f aca="false">IFERROR(IF(AND($N1001="VCA",$AJ1001&gt;0),($M1001*$AG1001*$AJ1001)-$AI1001,0),0)</f>
        <v>1.66345629192717</v>
      </c>
      <c r="AS1001" s="153" t="n">
        <f aca="false">IFERROR(IF(AND($N1001="VCA",$AP1001&gt;0),$AP1001-$AI1001-$AQ1001-$AR1001,0),0)</f>
        <v>3.456</v>
      </c>
      <c r="AT1001" s="153" t="n">
        <f aca="false">IFERROR(IF($N1001="VCA",INDEX(APOIO_REDES!$A:$W,MATCH($C1001&amp;$I1001&amp;$H1001&amp;$N1001&amp;$O1001,APOIO_REDES!$W:$W,0),MATCH(AT$5,APOIO_REDES!$5:$5,0)),0)*$AP1001,0)</f>
        <v>0.0609992914096956</v>
      </c>
      <c r="AU1001" s="153" t="n">
        <f aca="false">IFERROR(IF($N1001="VCA",INDEX(APOIO_REDES!$A:$W,MATCH($C1001&amp;$I1001&amp;$H1001&amp;$N1001&amp;$O1001,APOIO_REDES!$W:$W,0),MATCH(AU$5,APOIO_REDES!$5:$5,0)),0)*$AP1001,0)</f>
        <v>0.0487123820494552</v>
      </c>
      <c r="AV1001" s="153" t="n">
        <f aca="false">IFERROR(IF($N1001="VCA",INDEX(APOIO_REDES!$A:$W,MATCH($C1001&amp;$I1001&amp;$H1001&amp;$N1001&amp;$O1001,APOIO_REDES!$W:$W,0),MATCH(AV$5,APOIO_REDES!$5:$5,0)),0)*$AP1001,0)</f>
        <v>0.00674141126845206</v>
      </c>
      <c r="AW1001" s="153" t="n">
        <f aca="false">IFERROR(IF($N1001="VCA",INDEX(APOIO_REDES!$A:$W,MATCH($C1001&amp;$I1001&amp;$H1001&amp;$N1001&amp;$O1001,APOIO_REDES!$W:$W,0),MATCH(AW$5,APOIO_REDES!$5:$5,0)),0)*$AP1001,0)</f>
        <v>3.84827640050699</v>
      </c>
      <c r="AX1001" s="153" t="n">
        <f aca="false">IFERROR(IF($N1001="VCA",INDEX(APOIO_REDES!$A:$W,MATCH($C1001&amp;$I1001&amp;$H1001&amp;$N1001&amp;$O1001,APOIO_REDES!$W:$W,0),MATCH(AX$5,APOIO_REDES!$5:$5,0)),0)*$AP1001,0)</f>
        <v>0.532590491807342</v>
      </c>
      <c r="AY1001" s="153" t="n">
        <f aca="false">IFERROR(IF($N1001="VCA",INDEX(APOIO_REDES!$A:$W,MATCH($C1001&amp;$I1001&amp;$H1001&amp;$N1001&amp;$O1001,APOIO_REDES!$W:$W,0),MATCH(AY$5,APOIO_REDES!$5:$5,0)),0)*$AP1001,0)</f>
        <v>0.974247047189115</v>
      </c>
      <c r="AZ1001" s="153" t="n">
        <f aca="false">IFERROR(IF($N1001="VCA",INDEX(APOIO_REDES!$A:$W,MATCH($C1001&amp;$I1001&amp;$H1001&amp;$N1001&amp;$O1001,APOIO_REDES!$W:$W,0),MATCH(AZ$5,APOIO_REDES!$5:$5,0)),0)*$AP1001,0)</f>
        <v>0.134832975768948</v>
      </c>
      <c r="BA1001" s="153" t="n">
        <f aca="false">IFERROR(IF(AND($N1001="VCA",$Q1001="LINEAR"),INDEX(APOIO_REDES!$A:$W,MATCH($C1001&amp;$I1001&amp;$H1001&amp;$N1001&amp;$O1001,APOIO_REDES!$W:$W,0),MATCH(BA$5,APOIO_REDES!$5:$5,0)),IF(AND($N1001="MND",$Q1001="EMBOQUE"),INDEX(APOIO_REDES!$A:$W,MATCH($C1001&amp;$I1001&amp;$H1001&amp;$N1001&amp;$O1001,APOIO_REDES!$W:$W,0),MATCH(BA$5,APOIO_REDES!$5:$5,0)),0))*$M1001/10,0)</f>
        <v>0.412659085208475</v>
      </c>
      <c r="BB1001" s="153" t="n">
        <f aca="false">IFERROR(IF($N1001="VCA",INDEX(APOIO_REDES!$A:$W,MATCH($C1001&amp;$I1001&amp;$H1001&amp;$N1001&amp;$O1001,APOIO_REDES!$W:$W,0),MATCH(BB$5,APOIO_REDES!$5:$5,0)),0)*($AI1001+$AQ1001+$AR1001),0)</f>
        <v>2.12700301151409</v>
      </c>
      <c r="BC1001" s="153" t="n">
        <f aca="false">IFERROR(IF($N1001="VCA",INDEX(APOIO_REDES!$A:$W,MATCH($C1001&amp;$I1001&amp;$H1001&amp;$N1001&amp;$O1001,APOIO_REDES!$W:$W,0),MATCH(BC$5,APOIO_REDES!$5:$5,0)),0)*($AI1001+$AQ1001+$AR1001),0)</f>
        <v>0.0233969884859106</v>
      </c>
      <c r="BD1001" s="153" t="n">
        <f aca="false">IF(AND($N1001="VCA",$AF1001&gt;=1.25,$AF1001&lt;1.5),$M1001*$AF1001*2,0)</f>
        <v>14.9504</v>
      </c>
      <c r="BE1001" s="153" t="n">
        <f aca="false">IF(AND($N1001="VCA",$AF1001&gt;=1.5,$AF1001&lt;3),$M1001*$AF1001*2,0)</f>
        <v>0</v>
      </c>
      <c r="BF1001" s="153" t="n">
        <f aca="false">IF(AND($N1001="VCA",$AF1001&gt;=3),$M1001*$AF1001*2,0)</f>
        <v>0</v>
      </c>
      <c r="BG1001" s="153" t="n">
        <f aca="false">($BB1001+$BC1001)*$AK1001</f>
        <v>5.376</v>
      </c>
      <c r="BH1001" s="153" t="n">
        <f aca="false">IF(AND($M1001&lt;&gt;"",$N1001="VCA",$Q1001="LINEAR"),($M1001*2)/100,IF(AND($M1001&lt;&gt;"",$N1001="MND",$Q1001="EMBOQUE"),($AN1001*2)/100,0))</f>
        <v>0.1024</v>
      </c>
      <c r="BI1001" s="153" t="n">
        <f aca="false">IF(AND($M1001&lt;&gt;"",$N1001="VCA",$Q1001="LINEAR"),$M1001,IF(AND($M1001&lt;&gt;"",$N1001="MND",$Q1001="EMBOQUE"),$AN1001*2,0))</f>
        <v>5.12</v>
      </c>
      <c r="BJ1001" s="153" t="n">
        <f aca="false">IF(AND($M1001&lt;&gt;"",$N1001="VCA",$Q1001="LINEAR"),($M1001*6.8)/100,IF(AND($M1001&lt;&gt;"",$N1001="MND",$Q1001="EMBOQUE"),($AN1001*2*6.8)/100,0))</f>
        <v>0.34816</v>
      </c>
      <c r="BK1001" s="153" t="n">
        <f aca="false">IF(AND($M1001&lt;&gt;"",$N1001="VCA",$Q1001="LINEAR"),($M1001*2.5)/50,IF(AND($M1001&lt;&gt;"",$N1001="MND",$Q1001="EMBOQUE"),($AN1001*2*2.5)/50,0))</f>
        <v>0.256</v>
      </c>
      <c r="BL1001" s="157" t="str">
        <f aca="false">K1001&amp;J1001</f>
        <v>Zona09REDES</v>
      </c>
      <c r="BM1001" s="152" t="s">
        <v>5109</v>
      </c>
      <c r="BN1001" s="152" t="s">
        <v>1560</v>
      </c>
      <c r="BO1001" s="152" t="s">
        <v>4004</v>
      </c>
      <c r="BP1001" s="152" t="s">
        <v>4089</v>
      </c>
      <c r="BQ1001" s="152" t="s">
        <v>4078</v>
      </c>
      <c r="BR1001" s="152" t="s">
        <v>5346</v>
      </c>
      <c r="BS1001" s="152" t="n">
        <v>203522.715</v>
      </c>
      <c r="BT1001" s="152" t="n">
        <v>8236718.801</v>
      </c>
      <c r="BU1001" s="152" t="n">
        <v>203526.669</v>
      </c>
      <c r="BV1001" s="152" t="n">
        <v>8236715.549</v>
      </c>
      <c r="BW1001" s="152" t="n">
        <v>-15.9311104</v>
      </c>
      <c r="BX1001" s="152" t="n">
        <v>-47.7691462</v>
      </c>
      <c r="BY1001" s="152" t="s">
        <v>4089</v>
      </c>
    </row>
    <row r="1002" customFormat="false" ht="13.8" hidden="false" customHeight="false" outlineLevel="0" collapsed="false">
      <c r="A1002" s="149" t="n">
        <f aca="false">IF(C1002&lt;&gt;"",ROW(A997),"")</f>
        <v>997</v>
      </c>
      <c r="B1002" s="150" t="str">
        <f aca="false">HYPERLINK("https://www.google.com/maps/dir/-15.917302,-47.760003/-15.9311646,-47.7692392/data=!4m3!4m2!3e0!5i1")</f>
        <v>https://www.google.com/maps/dir/-15.917302,-47.760003/-15.9311646,-47.7692392/data=!4m3!4m2!3e0!5i1</v>
      </c>
      <c r="C1002" s="151" t="s">
        <v>117</v>
      </c>
      <c r="D1002" s="152" t="s">
        <v>112</v>
      </c>
      <c r="E1002" s="152" t="s">
        <v>113</v>
      </c>
      <c r="F1002" s="152" t="s">
        <v>117</v>
      </c>
      <c r="G1002" s="152" t="s">
        <v>114</v>
      </c>
      <c r="H1002" s="152" t="n">
        <v>160</v>
      </c>
      <c r="I1002" s="152" t="s">
        <v>115</v>
      </c>
      <c r="J1002" s="152" t="s">
        <v>6</v>
      </c>
      <c r="K1002" s="152" t="s">
        <v>5106</v>
      </c>
      <c r="L1002" s="152" t="s">
        <v>120</v>
      </c>
      <c r="M1002" s="153" t="n">
        <f aca="false">7.61</f>
        <v>7.61</v>
      </c>
      <c r="N1002" s="152" t="s">
        <v>1548</v>
      </c>
      <c r="O1002" s="152" t="s">
        <v>1549</v>
      </c>
      <c r="P1002" s="152" t="s">
        <v>1550</v>
      </c>
      <c r="Q1002" s="152" t="s">
        <v>1551</v>
      </c>
      <c r="R1002" s="154" t="s">
        <v>5347</v>
      </c>
      <c r="S1002" s="154" t="s">
        <v>1593</v>
      </c>
      <c r="T1002" s="155" t="s">
        <v>4002</v>
      </c>
      <c r="U1002" s="152" t="str">
        <f aca="false">RIGHT(T1002,7)</f>
        <v>015/037</v>
      </c>
      <c r="V1002" s="152" t="s">
        <v>1555</v>
      </c>
      <c r="W1002" s="156" t="n">
        <v>45882</v>
      </c>
      <c r="X1002" s="152" t="s">
        <v>1594</v>
      </c>
      <c r="Y1002" s="152" t="s">
        <v>2387</v>
      </c>
      <c r="Z1002" s="152" t="s">
        <v>1557</v>
      </c>
      <c r="AA1002" s="153" t="n">
        <v>4.5</v>
      </c>
      <c r="AB1002" s="151" t="s">
        <v>5348</v>
      </c>
      <c r="AC1002" s="151" t="s">
        <v>505</v>
      </c>
      <c r="AD1002" s="151" t="str">
        <f aca="false">CONCATENATE($C1002,$I1002,$H1002,$N1002,$J1002,$K1002)</f>
        <v>TUBO PEADPEAD160VCAREDESZona09</v>
      </c>
      <c r="AE1002" s="153" t="n">
        <f aca="false">IFERROR(INDEX(APOIO_REDES!$A:$W,MATCH($C1002&amp;$I1002&amp;$H1002&amp;$N1002&amp;$O1002,APOIO_REDES!$W:$W,0),MATCH(AE$5,APOIO_REDES!$5:$5,0)),0)</f>
        <v>1.2</v>
      </c>
      <c r="AF1002" s="153" t="n">
        <f aca="false">IFERROR(INDEX(APOIO_REDES!$A:$W,MATCH($C1002&amp;$I1002&amp;$H1002&amp;$N1002&amp;$O1002,APOIO_REDES!$W:$W,0),MATCH(AF$5,APOIO_REDES!$5:$5,0)),0)</f>
        <v>1.46</v>
      </c>
      <c r="AG1002" s="153" t="n">
        <f aca="false">IFERROR(INDEX(APOIO_REDES!$A:$W,MATCH($C1002&amp;$I1002&amp;$H1002&amp;$N1002&amp;$O1002,APOIO_REDES!$W:$W,0),MATCH(AG$5,APOIO_REDES!$5:$5,0)),0)</f>
        <v>0.75</v>
      </c>
      <c r="AH1002" s="153" t="n">
        <f aca="false">IFERROR(INDEX(APOIO_REDES!$A:$W,MATCH($C1002&amp;$I1002&amp;$H1002&amp;$N1002&amp;$O1002,APOIO_REDES!$W:$W,0),MATCH(AH$5,APOIO_REDES!$5:$5,0)),0)</f>
        <v>0.1</v>
      </c>
      <c r="AI1002" s="153" t="n">
        <f aca="false">IFERROR(IF($H1002&lt;&gt;"",(((($H1002/1000)/2)^2)*PI()*$M1002),0),0)</f>
        <v>0.153008128600437</v>
      </c>
      <c r="AJ1002" s="153" t="n">
        <f aca="false">IFERROR(IF(AND($H1002&lt;&gt;"",$I1002="FoFo",OR($N1002="MND",$N1002="VCA"),$Q1002="LINEAR"),0,IF(AND($H1002&lt;&gt;"",$I1002="PEAD",$N1002="VCA",$Q1002="LINEAR"),($H1002/1000)+0.3,IF(AND($H1002&lt;&gt;"",$I1002="PEAD",$N1002="MND",$Q1002="EMBOQUE"),0,IF(AND($H1002&lt;&gt;"",$I1002="PVC",$N1002="VCA",$Q1002="LINEAR"),($H1002/1000)+0.2,IF(AND($H1002&lt;&gt;"",$I1002="PVC",$N1002="MND",$Q1002="EMBOQUE"),0,IF(AND($H1002&lt;&gt;"",$I1002="PEAD",$N1002="VCA",$Q1002="PREDIAL"),0,0)))))),0)</f>
        <v>0.46</v>
      </c>
      <c r="AK1002" s="153" t="n">
        <f aca="false">IF(AA1002&lt;&gt;"",AA1002,0)</f>
        <v>4.5</v>
      </c>
      <c r="AL1002" s="153" t="n">
        <f aca="false">IF(AND($N1002="MND",$Q1002="EMBOQUE"),$M1002,IF(AND($N1002="VCA",$Q1002="LINEAR"),$M1002,IF(AND($N1002="VCA",$Q1002="PREDIAL"),0,0)))</f>
        <v>7.61</v>
      </c>
      <c r="AM1002" s="153" t="n">
        <f aca="false">IF(AND($N1002="MND",$Q1002="EMBOQUE"),$M1002,IF(AND($N1002="VCA",$Q1002="LINEAR"),$M1002,IF(AND($N1002="VCA",$Q1002="PREDIAL"),0,0)))</f>
        <v>7.61</v>
      </c>
      <c r="AN1002" s="153" t="n">
        <f aca="false">ROUND(IF(AND($N1002="VCA",$M1002&lt;&gt;"",$Q1002="LINEAR"),$M1002/100,IF(AND($N1002="MND",$M1002&gt;100,$Q1002="EMBOQUE"),$M1002/100,0)),0)</f>
        <v>0</v>
      </c>
      <c r="AO1002" s="153" t="n">
        <f aca="false">IF(AND($N1002="MND",$Q1002="EMBOQUE"),$AN1002*2*2,IF(AND($N1002="VCA",$Q1002="LINEAR"),$M1002*2,IF(AND($N1002="VCA",$Q1002="PREDIAL"),0,0)))</f>
        <v>15.22</v>
      </c>
      <c r="AP1002" s="153" t="n">
        <f aca="false">IFERROR($M1002*$AF1002*$AG1002,0)</f>
        <v>8.33295</v>
      </c>
      <c r="AQ1002" s="153" t="n">
        <f aca="false">IFERROR(IF(AND($N1002="VCA",$AH1002&gt;0),$M1002*$AG1002*$AH1002,0),0)</f>
        <v>0.57075</v>
      </c>
      <c r="AR1002" s="153" t="n">
        <f aca="false">IFERROR(IF(AND($N1002="VCA",$AJ1002&gt;0),($M1002*$AG1002*$AJ1002)-$AI1002,0),0)</f>
        <v>2.47244187139956</v>
      </c>
      <c r="AS1002" s="153" t="n">
        <f aca="false">IFERROR(IF(AND($N1002="VCA",$AP1002&gt;0),$AP1002-$AI1002-$AQ1002-$AR1002,0),0)</f>
        <v>5.13675</v>
      </c>
      <c r="AT1002" s="153" t="n">
        <f aca="false">IFERROR(IF($N1002="VCA",INDEX(APOIO_REDES!$A:$W,MATCH($C1002&amp;$I1002&amp;$H1002&amp;$N1002&amp;$O1002,APOIO_REDES!$W:$W,0),MATCH(AT$5,APOIO_REDES!$5:$5,0)),0)*$AP1002,0)</f>
        <v>0.0906649624273015</v>
      </c>
      <c r="AU1002" s="153" t="n">
        <f aca="false">IFERROR(IF($N1002="VCA",INDEX(APOIO_REDES!$A:$W,MATCH($C1002&amp;$I1002&amp;$H1002&amp;$N1002&amp;$O1002,APOIO_REDES!$W:$W,0),MATCH(AU$5,APOIO_REDES!$5:$5,0)),0)*$AP1002,0)</f>
        <v>0.0724025834758504</v>
      </c>
      <c r="AV1002" s="153" t="n">
        <f aca="false">IFERROR(IF($N1002="VCA",INDEX(APOIO_REDES!$A:$W,MATCH($C1002&amp;$I1002&amp;$H1002&amp;$N1002&amp;$O1002,APOIO_REDES!$W:$W,0),MATCH(AV$5,APOIO_REDES!$5:$5,0)),0)*$AP1002,0)</f>
        <v>0.0100199491704922</v>
      </c>
      <c r="AW1002" s="153" t="n">
        <f aca="false">IFERROR(IF($N1002="VCA",INDEX(APOIO_REDES!$A:$W,MATCH($C1002&amp;$I1002&amp;$H1002&amp;$N1002&amp;$O1002,APOIO_REDES!$W:$W,0),MATCH(AW$5,APOIO_REDES!$5:$5,0)),0)*$AP1002,0)</f>
        <v>5.71980144684731</v>
      </c>
      <c r="AX1002" s="153" t="n">
        <f aca="false">IFERROR(IF($N1002="VCA",INDEX(APOIO_REDES!$A:$W,MATCH($C1002&amp;$I1002&amp;$H1002&amp;$N1002&amp;$O1002,APOIO_REDES!$W:$W,0),MATCH(AX$5,APOIO_REDES!$5:$5,0)),0)*$AP1002,0)</f>
        <v>0.791604227080834</v>
      </c>
      <c r="AY1002" s="153" t="n">
        <f aca="false">IFERROR(IF($N1002="VCA",INDEX(APOIO_REDES!$A:$W,MATCH($C1002&amp;$I1002&amp;$H1002&amp;$N1002&amp;$O1002,APOIO_REDES!$W:$W,0),MATCH(AY$5,APOIO_REDES!$5:$5,0)),0)*$AP1002,0)</f>
        <v>1.44805078693538</v>
      </c>
      <c r="AZ1002" s="153" t="n">
        <f aca="false">IFERROR(IF($N1002="VCA",INDEX(APOIO_REDES!$A:$W,MATCH($C1002&amp;$I1002&amp;$H1002&amp;$N1002&amp;$O1002,APOIO_REDES!$W:$W,0),MATCH(AZ$5,APOIO_REDES!$5:$5,0)),0)*$AP1002,0)</f>
        <v>0.200406044062832</v>
      </c>
      <c r="BA1002" s="153" t="n">
        <f aca="false">IFERROR(IF(AND($N1002="VCA",$Q1002="LINEAR"),INDEX(APOIO_REDES!$A:$W,MATCH($C1002&amp;$I1002&amp;$H1002&amp;$N1002&amp;$O1002,APOIO_REDES!$W:$W,0),MATCH(BA$5,APOIO_REDES!$5:$5,0)),IF(AND($N1002="MND",$Q1002="EMBOQUE"),INDEX(APOIO_REDES!$A:$W,MATCH($C1002&amp;$I1002&amp;$H1002&amp;$N1002&amp;$O1002,APOIO_REDES!$W:$W,0),MATCH(BA$5,APOIO_REDES!$5:$5,0)),0))*$M1002/10,0)</f>
        <v>0.613346804382128</v>
      </c>
      <c r="BB1002" s="153" t="n">
        <f aca="false">IFERROR(IF($N1002="VCA",INDEX(APOIO_REDES!$A:$W,MATCH($C1002&amp;$I1002&amp;$H1002&amp;$N1002&amp;$O1002,APOIO_REDES!$W:$W,0),MATCH(BB$5,APOIO_REDES!$5:$5,0)),0)*($AI1002+$AQ1002+$AR1002),0)</f>
        <v>3.16142439797309</v>
      </c>
      <c r="BC1002" s="153" t="n">
        <f aca="false">IFERROR(IF($N1002="VCA",INDEX(APOIO_REDES!$A:$W,MATCH($C1002&amp;$I1002&amp;$H1002&amp;$N1002&amp;$O1002,APOIO_REDES!$W:$W,0),MATCH(BC$5,APOIO_REDES!$5:$5,0)),0)*($AI1002+$AQ1002+$AR1002),0)</f>
        <v>0.0347756020269102</v>
      </c>
      <c r="BD1002" s="153" t="n">
        <f aca="false">IF(AND($N1002="VCA",$AF1002&gt;=1.25,$AF1002&lt;1.5),$M1002*$AF1002*2,0)</f>
        <v>22.2212</v>
      </c>
      <c r="BE1002" s="153" t="n">
        <f aca="false">IF(AND($N1002="VCA",$AF1002&gt;=1.5,$AF1002&lt;3),$M1002*$AF1002*2,0)</f>
        <v>0</v>
      </c>
      <c r="BF1002" s="153" t="n">
        <f aca="false">IF(AND($N1002="VCA",$AF1002&gt;=3),$M1002*$AF1002*2,0)</f>
        <v>0</v>
      </c>
      <c r="BG1002" s="153" t="n">
        <f aca="false">($BB1002+$BC1002)*$AK1002</f>
        <v>14.3829</v>
      </c>
      <c r="BH1002" s="153" t="n">
        <f aca="false">IF(AND($M1002&lt;&gt;"",$N1002="VCA",$Q1002="LINEAR"),($M1002*2)/100,IF(AND($M1002&lt;&gt;"",$N1002="MND",$Q1002="EMBOQUE"),($AN1002*2)/100,0))</f>
        <v>0.1522</v>
      </c>
      <c r="BI1002" s="153" t="n">
        <f aca="false">IF(AND($M1002&lt;&gt;"",$N1002="VCA",$Q1002="LINEAR"),$M1002,IF(AND($M1002&lt;&gt;"",$N1002="MND",$Q1002="EMBOQUE"),$AN1002*2,0))</f>
        <v>7.61</v>
      </c>
      <c r="BJ1002" s="153" t="n">
        <f aca="false">IF(AND($M1002&lt;&gt;"",$N1002="VCA",$Q1002="LINEAR"),($M1002*6.8)/100,IF(AND($M1002&lt;&gt;"",$N1002="MND",$Q1002="EMBOQUE"),($AN1002*2*6.8)/100,0))</f>
        <v>0.51748</v>
      </c>
      <c r="BK1002" s="153" t="n">
        <f aca="false">IF(AND($M1002&lt;&gt;"",$N1002="VCA",$Q1002="LINEAR"),($M1002*2.5)/50,IF(AND($M1002&lt;&gt;"",$N1002="MND",$Q1002="EMBOQUE"),($AN1002*2*2.5)/50,0))</f>
        <v>0.3805</v>
      </c>
      <c r="BL1002" s="157" t="str">
        <f aca="false">K1002&amp;J1002</f>
        <v>Zona09REDES</v>
      </c>
      <c r="BM1002" s="152" t="s">
        <v>5109</v>
      </c>
      <c r="BN1002" s="152" t="s">
        <v>1560</v>
      </c>
      <c r="BO1002" s="152" t="s">
        <v>4004</v>
      </c>
      <c r="BP1002" s="152" t="s">
        <v>5251</v>
      </c>
      <c r="BQ1002" s="152" t="s">
        <v>5339</v>
      </c>
      <c r="BR1002" s="152" t="s">
        <v>5324</v>
      </c>
      <c r="BS1002" s="152" t="n">
        <v>203514.791</v>
      </c>
      <c r="BT1002" s="152" t="n">
        <v>8236711.087</v>
      </c>
      <c r="BU1002" s="152" t="n">
        <v>203512.577</v>
      </c>
      <c r="BV1002" s="152" t="n">
        <v>8236718.364</v>
      </c>
      <c r="BW1002" s="152" t="n">
        <v>-15.9311312</v>
      </c>
      <c r="BX1002" s="152" t="n">
        <v>-47.7692492</v>
      </c>
      <c r="BY1002" s="152" t="s">
        <v>5251</v>
      </c>
    </row>
    <row r="1003" customFormat="false" ht="13.8" hidden="false" customHeight="false" outlineLevel="0" collapsed="false">
      <c r="A1003" s="149" t="n">
        <f aca="false">IF(C1003&lt;&gt;"",ROW(A998),"")</f>
        <v>998</v>
      </c>
      <c r="B1003" s="150" t="str">
        <f aca="false">HYPERLINK("https://www.google.com/maps/dir/-15.917302,-47.760003/-15.9311690,-47.7691671/data=!4m3!4m2!3e0!5i1")</f>
        <v>https://www.google.com/maps/dir/-15.917302,-47.760003/-15.9311690,-47.7691671/data=!4m3!4m2!3e0!5i1</v>
      </c>
      <c r="C1003" s="151" t="s">
        <v>117</v>
      </c>
      <c r="D1003" s="152" t="s">
        <v>112</v>
      </c>
      <c r="E1003" s="152" t="s">
        <v>113</v>
      </c>
      <c r="F1003" s="152" t="s">
        <v>117</v>
      </c>
      <c r="G1003" s="152" t="s">
        <v>114</v>
      </c>
      <c r="H1003" s="152" t="n">
        <v>225</v>
      </c>
      <c r="I1003" s="152" t="s">
        <v>115</v>
      </c>
      <c r="J1003" s="152" t="s">
        <v>6</v>
      </c>
      <c r="K1003" s="152" t="s">
        <v>5106</v>
      </c>
      <c r="L1003" s="152" t="s">
        <v>120</v>
      </c>
      <c r="M1003" s="153" t="n">
        <f aca="false">6.41</f>
        <v>6.41</v>
      </c>
      <c r="N1003" s="152" t="s">
        <v>1548</v>
      </c>
      <c r="O1003" s="152" t="s">
        <v>1549</v>
      </c>
      <c r="P1003" s="152" t="s">
        <v>1550</v>
      </c>
      <c r="Q1003" s="152" t="s">
        <v>1551</v>
      </c>
      <c r="R1003" s="154" t="s">
        <v>5349</v>
      </c>
      <c r="S1003" s="154" t="s">
        <v>1593</v>
      </c>
      <c r="T1003" s="155" t="s">
        <v>4002</v>
      </c>
      <c r="U1003" s="152" t="str">
        <f aca="false">RIGHT(T1003,7)</f>
        <v>015/037</v>
      </c>
      <c r="V1003" s="152" t="s">
        <v>1555</v>
      </c>
      <c r="W1003" s="156" t="n">
        <v>45882</v>
      </c>
      <c r="X1003" s="152" t="s">
        <v>1594</v>
      </c>
      <c r="Y1003" s="152" t="s">
        <v>2387</v>
      </c>
      <c r="Z1003" s="152" t="s">
        <v>1557</v>
      </c>
      <c r="AA1003" s="153" t="n">
        <v>4.5</v>
      </c>
      <c r="AB1003" s="151" t="s">
        <v>5350</v>
      </c>
      <c r="AC1003" s="151" t="s">
        <v>508</v>
      </c>
      <c r="AD1003" s="151" t="str">
        <f aca="false">CONCATENATE($C1003,$I1003,$H1003,$N1003,$J1003,$K1003)</f>
        <v>TUBO PEADPEAD225VCAREDESZona09</v>
      </c>
      <c r="AE1003" s="153" t="n">
        <f aca="false">IFERROR(INDEX(APOIO_REDES!$A:$W,MATCH($C1003&amp;$I1003&amp;$H1003&amp;$N1003&amp;$O1003,APOIO_REDES!$W:$W,0),MATCH(AE$5,APOIO_REDES!$5:$5,0)),0)</f>
        <v>1.2</v>
      </c>
      <c r="AF1003" s="153" t="n">
        <f aca="false">IFERROR(INDEX(APOIO_REDES!$A:$W,MATCH($C1003&amp;$I1003&amp;$H1003&amp;$N1003&amp;$O1003,APOIO_REDES!$W:$W,0),MATCH(AF$5,APOIO_REDES!$5:$5,0)),0)</f>
        <v>1.525</v>
      </c>
      <c r="AG1003" s="153" t="n">
        <f aca="false">IFERROR(INDEX(APOIO_REDES!$A:$W,MATCH($C1003&amp;$I1003&amp;$H1003&amp;$N1003&amp;$O1003,APOIO_REDES!$W:$W,0),MATCH(AG$5,APOIO_REDES!$5:$5,0)),0)</f>
        <v>0.8</v>
      </c>
      <c r="AH1003" s="153" t="n">
        <f aca="false">IFERROR(INDEX(APOIO_REDES!$A:$W,MATCH($C1003&amp;$I1003&amp;$H1003&amp;$N1003&amp;$O1003,APOIO_REDES!$W:$W,0),MATCH(AH$5,APOIO_REDES!$5:$5,0)),0)</f>
        <v>0.1</v>
      </c>
      <c r="AI1003" s="153" t="n">
        <f aca="false">IFERROR(IF($H1003&lt;&gt;"",(((($H1003/1000)/2)^2)*PI()*$M1003),0),0)</f>
        <v>0.254866612760993</v>
      </c>
      <c r="AJ1003" s="153" t="n">
        <f aca="false">IFERROR(IF(AND($H1003&lt;&gt;"",$I1003="FoFo",OR($N1003="MND",$N1003="VCA"),$Q1003="LINEAR"),0,IF(AND($H1003&lt;&gt;"",$I1003="PEAD",$N1003="VCA",$Q1003="LINEAR"),($H1003/1000)+0.3,IF(AND($H1003&lt;&gt;"",$I1003="PEAD",$N1003="MND",$Q1003="EMBOQUE"),0,IF(AND($H1003&lt;&gt;"",$I1003="PVC",$N1003="VCA",$Q1003="LINEAR"),($H1003/1000)+0.2,IF(AND($H1003&lt;&gt;"",$I1003="PVC",$N1003="MND",$Q1003="EMBOQUE"),0,IF(AND($H1003&lt;&gt;"",$I1003="PEAD",$N1003="VCA",$Q1003="PREDIAL"),0,0)))))),0)</f>
        <v>0.525</v>
      </c>
      <c r="AK1003" s="153" t="n">
        <f aca="false">IF(AA1003&lt;&gt;"",AA1003,0)</f>
        <v>4.5</v>
      </c>
      <c r="AL1003" s="153" t="n">
        <f aca="false">IF(AND($N1003="MND",$Q1003="EMBOQUE"),$M1003,IF(AND($N1003="VCA",$Q1003="LINEAR"),$M1003,IF(AND($N1003="VCA",$Q1003="PREDIAL"),0,0)))</f>
        <v>6.41</v>
      </c>
      <c r="AM1003" s="153" t="n">
        <f aca="false">IF(AND($N1003="MND",$Q1003="EMBOQUE"),$M1003,IF(AND($N1003="VCA",$Q1003="LINEAR"),$M1003,IF(AND($N1003="VCA",$Q1003="PREDIAL"),0,0)))</f>
        <v>6.41</v>
      </c>
      <c r="AN1003" s="153" t="n">
        <f aca="false">ROUND(IF(AND($N1003="VCA",$M1003&lt;&gt;"",$Q1003="LINEAR"),$M1003/100,IF(AND($N1003="MND",$M1003&gt;100,$Q1003="EMBOQUE"),$M1003/100,0)),0)</f>
        <v>0</v>
      </c>
      <c r="AO1003" s="153" t="n">
        <f aca="false">IF(AND($N1003="MND",$Q1003="EMBOQUE"),$AN1003*2*2,IF(AND($N1003="VCA",$Q1003="LINEAR"),$M1003*2,IF(AND($N1003="VCA",$Q1003="PREDIAL"),0,0)))</f>
        <v>12.82</v>
      </c>
      <c r="AP1003" s="153" t="n">
        <f aca="false">IFERROR($M1003*$AF1003*$AG1003,0)</f>
        <v>7.8202</v>
      </c>
      <c r="AQ1003" s="153" t="n">
        <f aca="false">IFERROR(IF(AND($N1003="VCA",$AH1003&gt;0),$M1003*$AG1003*$AH1003,0),0)</f>
        <v>0.5128</v>
      </c>
      <c r="AR1003" s="153" t="n">
        <f aca="false">IFERROR(IF(AND($N1003="VCA",$AJ1003&gt;0),($M1003*$AG1003*$AJ1003)-$AI1003,0),0)</f>
        <v>2.43733338723901</v>
      </c>
      <c r="AS1003" s="153" t="n">
        <f aca="false">IFERROR(IF(AND($N1003="VCA",$AP1003&gt;0),$AP1003-$AI1003-$AQ1003-$AR1003,0),0)</f>
        <v>4.6152</v>
      </c>
      <c r="AT1003" s="153" t="n">
        <f aca="false">IFERROR(IF($N1003="VCA",INDEX(APOIO_REDES!$A:$W,MATCH($C1003&amp;$I1003&amp;$H1003&amp;$N1003&amp;$O1003,APOIO_REDES!$W:$W,0),MATCH(AT$5,APOIO_REDES!$5:$5,0)),0)*$AP1003,0)</f>
        <v>0.0850860906610484</v>
      </c>
      <c r="AU1003" s="153" t="n">
        <f aca="false">IFERROR(IF($N1003="VCA",INDEX(APOIO_REDES!$A:$W,MATCH($C1003&amp;$I1003&amp;$H1003&amp;$N1003&amp;$O1003,APOIO_REDES!$W:$W,0),MATCH(AU$5,APOIO_REDES!$5:$5,0)),0)*$AP1003,0)</f>
        <v>0.06794744757833</v>
      </c>
      <c r="AV1003" s="153" t="n">
        <f aca="false">IFERROR(IF($N1003="VCA",INDEX(APOIO_REDES!$A:$W,MATCH($C1003&amp;$I1003&amp;$H1003&amp;$N1003&amp;$O1003,APOIO_REDES!$W:$W,0),MATCH(AV$5,APOIO_REDES!$5:$5,0)),0)*$AP1003,0)</f>
        <v>0.00940339333646347</v>
      </c>
      <c r="AW1003" s="153" t="n">
        <f aca="false">IFERROR(IF($N1003="VCA",INDEX(APOIO_REDES!$A:$W,MATCH($C1003&amp;$I1003&amp;$H1003&amp;$N1003&amp;$O1003,APOIO_REDES!$W:$W,0),MATCH(AW$5,APOIO_REDES!$5:$5,0)),0)*$AP1003,0)</f>
        <v>5.36784587386644</v>
      </c>
      <c r="AX1003" s="153" t="n">
        <f aca="false">IFERROR(IF($N1003="VCA",INDEX(APOIO_REDES!$A:$W,MATCH($C1003&amp;$I1003&amp;$H1003&amp;$N1003&amp;$O1003,APOIO_REDES!$W:$W,0),MATCH(AX$5,APOIO_REDES!$5:$5,0)),0)*$AP1003,0)</f>
        <v>0.742894578344709</v>
      </c>
      <c r="AY1003" s="153" t="n">
        <f aca="false">IFERROR(IF($N1003="VCA",INDEX(APOIO_REDES!$A:$W,MATCH($C1003&amp;$I1003&amp;$H1003&amp;$N1003&amp;$O1003,APOIO_REDES!$W:$W,0),MATCH(AY$5,APOIO_REDES!$5:$5,0)),0)*$AP1003,0)</f>
        <v>1.35894812329272</v>
      </c>
      <c r="AZ1003" s="153" t="n">
        <f aca="false">IFERROR(IF($N1003="VCA",INDEX(APOIO_REDES!$A:$W,MATCH($C1003&amp;$I1003&amp;$H1003&amp;$N1003&amp;$O1003,APOIO_REDES!$W:$W,0),MATCH(AZ$5,APOIO_REDES!$5:$5,0)),0)*$AP1003,0)</f>
        <v>0.188074492920293</v>
      </c>
      <c r="BA1003" s="153" t="n">
        <f aca="false">IFERROR(IF(AND($N1003="VCA",$Q1003="LINEAR"),INDEX(APOIO_REDES!$A:$W,MATCH($C1003&amp;$I1003&amp;$H1003&amp;$N1003&amp;$O1003,APOIO_REDES!$W:$W,0),MATCH(BA$5,APOIO_REDES!$5:$5,0)),IF(AND($N1003="MND",$Q1003="EMBOQUE"),INDEX(APOIO_REDES!$A:$W,MATCH($C1003&amp;$I1003&amp;$H1003&amp;$N1003&amp;$O1003,APOIO_REDES!$W:$W,0),MATCH(BA$5,APOIO_REDES!$5:$5,0)),0))*$M1003/10,0)</f>
        <v>0.516629831286392</v>
      </c>
      <c r="BB1003" s="153" t="n">
        <f aca="false">IFERROR(IF($N1003="VCA",INDEX(APOIO_REDES!$A:$W,MATCH($C1003&amp;$I1003&amp;$H1003&amp;$N1003&amp;$O1003,APOIO_REDES!$W:$W,0),MATCH(BB$5,APOIO_REDES!$5:$5,0)),0)*($AI1003+$AQ1003+$AR1003),0)</f>
        <v>3.17012865136842</v>
      </c>
      <c r="BC1003" s="153" t="n">
        <f aca="false">IFERROR(IF($N1003="VCA",INDEX(APOIO_REDES!$A:$W,MATCH($C1003&amp;$I1003&amp;$H1003&amp;$N1003&amp;$O1003,APOIO_REDES!$W:$W,0),MATCH(BC$5,APOIO_REDES!$5:$5,0)),0)*($AI1003+$AQ1003+$AR1003),0)</f>
        <v>0.0348713486315772</v>
      </c>
      <c r="BD1003" s="153" t="n">
        <f aca="false">IF(AND($N1003="VCA",$AF1003&gt;=1.25,$AF1003&lt;1.5),$M1003*$AF1003*2,0)</f>
        <v>0</v>
      </c>
      <c r="BE1003" s="153" t="n">
        <f aca="false">IF(AND($N1003="VCA",$AF1003&gt;=1.5,$AF1003&lt;3),$M1003*$AF1003*2,0)</f>
        <v>19.5505</v>
      </c>
      <c r="BF1003" s="153" t="n">
        <f aca="false">IF(AND($N1003="VCA",$AF1003&gt;=3),$M1003*$AF1003*2,0)</f>
        <v>0</v>
      </c>
      <c r="BG1003" s="153" t="n">
        <f aca="false">($BB1003+$BC1003)*$AK1003</f>
        <v>14.4225</v>
      </c>
      <c r="BH1003" s="153" t="n">
        <f aca="false">IF(AND($M1003&lt;&gt;"",$N1003="VCA",$Q1003="LINEAR"),($M1003*2)/100,IF(AND($M1003&lt;&gt;"",$N1003="MND",$Q1003="EMBOQUE"),($AN1003*2)/100,0))</f>
        <v>0.1282</v>
      </c>
      <c r="BI1003" s="153" t="n">
        <f aca="false">IF(AND($M1003&lt;&gt;"",$N1003="VCA",$Q1003="LINEAR"),$M1003,IF(AND($M1003&lt;&gt;"",$N1003="MND",$Q1003="EMBOQUE"),$AN1003*2,0))</f>
        <v>6.41</v>
      </c>
      <c r="BJ1003" s="153" t="n">
        <f aca="false">IF(AND($M1003&lt;&gt;"",$N1003="VCA",$Q1003="LINEAR"),($M1003*6.8)/100,IF(AND($M1003&lt;&gt;"",$N1003="MND",$Q1003="EMBOQUE"),($AN1003*2*6.8)/100,0))</f>
        <v>0.43588</v>
      </c>
      <c r="BK1003" s="153" t="n">
        <f aca="false">IF(AND($M1003&lt;&gt;"",$N1003="VCA",$Q1003="LINEAR"),($M1003*2.5)/50,IF(AND($M1003&lt;&gt;"",$N1003="MND",$Q1003="EMBOQUE"),($AN1003*2*2.5)/50,0))</f>
        <v>0.3205</v>
      </c>
      <c r="BL1003" s="157" t="str">
        <f aca="false">K1003&amp;J1003</f>
        <v>Zona09REDES</v>
      </c>
      <c r="BM1003" s="152" t="s">
        <v>5109</v>
      </c>
      <c r="BN1003" s="152" t="s">
        <v>1560</v>
      </c>
      <c r="BO1003" s="152" t="s">
        <v>4004</v>
      </c>
      <c r="BP1003" s="152" t="s">
        <v>5351</v>
      </c>
      <c r="BQ1003" s="152" t="s">
        <v>4078</v>
      </c>
      <c r="BR1003" s="152" t="s">
        <v>5352</v>
      </c>
      <c r="BS1003" s="152" t="n">
        <v>203522.538</v>
      </c>
      <c r="BT1003" s="152" t="n">
        <v>8236710.653</v>
      </c>
      <c r="BU1003" s="152" t="n">
        <v>203526.669</v>
      </c>
      <c r="BV1003" s="152" t="n">
        <v>8236715.549</v>
      </c>
      <c r="BW1003" s="152" t="n">
        <v>-15.9311472</v>
      </c>
      <c r="BX1003" s="152" t="n">
        <v>-47.7691475</v>
      </c>
      <c r="BY1003" s="152" t="s">
        <v>5351</v>
      </c>
    </row>
    <row r="1004" customFormat="false" ht="13.8" hidden="false" customHeight="false" outlineLevel="0" collapsed="false">
      <c r="A1004" s="149" t="n">
        <f aca="false">IF(C1004&lt;&gt;"",ROW(A999),"")</f>
        <v>999</v>
      </c>
      <c r="B1004" s="150" t="str">
        <f aca="false">HYPERLINK("https://www.google.com/maps/dir/-15.917302,-47.760003/-15.9310854,-47.7699912/data=!4m3!4m2!3e0!5i1")</f>
        <v>https://www.google.com/maps/dir/-15.917302,-47.760003/-15.9310854,-47.7699912/data=!4m3!4m2!3e0!5i1</v>
      </c>
      <c r="C1004" s="151" t="s">
        <v>117</v>
      </c>
      <c r="D1004" s="152" t="s">
        <v>112</v>
      </c>
      <c r="E1004" s="152" t="s">
        <v>113</v>
      </c>
      <c r="F1004" s="152" t="s">
        <v>117</v>
      </c>
      <c r="G1004" s="152" t="s">
        <v>114</v>
      </c>
      <c r="H1004" s="152" t="n">
        <v>160</v>
      </c>
      <c r="I1004" s="152" t="s">
        <v>115</v>
      </c>
      <c r="J1004" s="152" t="s">
        <v>6</v>
      </c>
      <c r="K1004" s="152" t="s">
        <v>5106</v>
      </c>
      <c r="L1004" s="152" t="s">
        <v>120</v>
      </c>
      <c r="M1004" s="153" t="n">
        <f aca="false">49.43</f>
        <v>49.43</v>
      </c>
      <c r="N1004" s="152" t="s">
        <v>1548</v>
      </c>
      <c r="O1004" s="152" t="s">
        <v>1549</v>
      </c>
      <c r="P1004" s="152" t="s">
        <v>1550</v>
      </c>
      <c r="Q1004" s="152" t="s">
        <v>1551</v>
      </c>
      <c r="R1004" s="154" t="s">
        <v>5353</v>
      </c>
      <c r="S1004" s="154" t="s">
        <v>1593</v>
      </c>
      <c r="T1004" s="155" t="s">
        <v>4002</v>
      </c>
      <c r="U1004" s="152" t="str">
        <f aca="false">RIGHT(T1004,7)</f>
        <v>015/037</v>
      </c>
      <c r="V1004" s="152" t="s">
        <v>1555</v>
      </c>
      <c r="W1004" s="156" t="n">
        <v>45882</v>
      </c>
      <c r="X1004" s="152" t="s">
        <v>1594</v>
      </c>
      <c r="Y1004" s="152" t="s">
        <v>5354</v>
      </c>
      <c r="Z1004" s="152" t="s">
        <v>1557</v>
      </c>
      <c r="AA1004" s="153" t="n">
        <v>4.6</v>
      </c>
      <c r="AB1004" s="151" t="s">
        <v>5355</v>
      </c>
      <c r="AC1004" s="151" t="s">
        <v>505</v>
      </c>
      <c r="AD1004" s="151" t="str">
        <f aca="false">CONCATENATE($C1004,$I1004,$H1004,$N1004,$J1004,$K1004)</f>
        <v>TUBO PEADPEAD160VCAREDESZona09</v>
      </c>
      <c r="AE1004" s="153" t="n">
        <f aca="false">IFERROR(INDEX(APOIO_REDES!$A:$W,MATCH($C1004&amp;$I1004&amp;$H1004&amp;$N1004&amp;$O1004,APOIO_REDES!$W:$W,0),MATCH(AE$5,APOIO_REDES!$5:$5,0)),0)</f>
        <v>1.2</v>
      </c>
      <c r="AF1004" s="153" t="n">
        <f aca="false">IFERROR(INDEX(APOIO_REDES!$A:$W,MATCH($C1004&amp;$I1004&amp;$H1004&amp;$N1004&amp;$O1004,APOIO_REDES!$W:$W,0),MATCH(AF$5,APOIO_REDES!$5:$5,0)),0)</f>
        <v>1.46</v>
      </c>
      <c r="AG1004" s="153" t="n">
        <f aca="false">IFERROR(INDEX(APOIO_REDES!$A:$W,MATCH($C1004&amp;$I1004&amp;$H1004&amp;$N1004&amp;$O1004,APOIO_REDES!$W:$W,0),MATCH(AG$5,APOIO_REDES!$5:$5,0)),0)</f>
        <v>0.75</v>
      </c>
      <c r="AH1004" s="153" t="n">
        <f aca="false">IFERROR(INDEX(APOIO_REDES!$A:$W,MATCH($C1004&amp;$I1004&amp;$H1004&amp;$N1004&amp;$O1004,APOIO_REDES!$W:$W,0),MATCH(AH$5,APOIO_REDES!$5:$5,0)),0)</f>
        <v>0.1</v>
      </c>
      <c r="AI1004" s="153" t="n">
        <f aca="false">IFERROR(IF($H1004&lt;&gt;"",(((($H1004/1000)/2)^2)*PI()*$M1004),0),0)</f>
        <v>0.993849119148438</v>
      </c>
      <c r="AJ1004" s="153" t="n">
        <f aca="false">IFERROR(IF(AND($H1004&lt;&gt;"",$I1004="FoFo",OR($N1004="MND",$N1004="VCA"),$Q1004="LINEAR"),0,IF(AND($H1004&lt;&gt;"",$I1004="PEAD",$N1004="VCA",$Q1004="LINEAR"),($H1004/1000)+0.3,IF(AND($H1004&lt;&gt;"",$I1004="PEAD",$N1004="MND",$Q1004="EMBOQUE"),0,IF(AND($H1004&lt;&gt;"",$I1004="PVC",$N1004="VCA",$Q1004="LINEAR"),($H1004/1000)+0.2,IF(AND($H1004&lt;&gt;"",$I1004="PVC",$N1004="MND",$Q1004="EMBOQUE"),0,IF(AND($H1004&lt;&gt;"",$I1004="PEAD",$N1004="VCA",$Q1004="PREDIAL"),0,0)))))),0)</f>
        <v>0.46</v>
      </c>
      <c r="AK1004" s="153" t="n">
        <f aca="false">IF(AA1004&lt;&gt;"",AA1004,0)</f>
        <v>4.6</v>
      </c>
      <c r="AL1004" s="153" t="n">
        <f aca="false">IF(AND($N1004="MND",$Q1004="EMBOQUE"),$M1004,IF(AND($N1004="VCA",$Q1004="LINEAR"),$M1004,IF(AND($N1004="VCA",$Q1004="PREDIAL"),0,0)))</f>
        <v>49.43</v>
      </c>
      <c r="AM1004" s="153" t="n">
        <f aca="false">IF(AND($N1004="MND",$Q1004="EMBOQUE"),$M1004,IF(AND($N1004="VCA",$Q1004="LINEAR"),$M1004,IF(AND($N1004="VCA",$Q1004="PREDIAL"),0,0)))</f>
        <v>49.43</v>
      </c>
      <c r="AN1004" s="153" t="n">
        <f aca="false">ROUND(IF(AND($N1004="VCA",$M1004&lt;&gt;"",$Q1004="LINEAR"),$M1004/100,IF(AND($N1004="MND",$M1004&gt;100,$Q1004="EMBOQUE"),$M1004/100,0)),0)</f>
        <v>0</v>
      </c>
      <c r="AO1004" s="153" t="n">
        <f aca="false">IF(AND($N1004="MND",$Q1004="EMBOQUE"),$AN1004*2*2,IF(AND($N1004="VCA",$Q1004="LINEAR"),$M1004*2,IF(AND($N1004="VCA",$Q1004="PREDIAL"),0,0)))</f>
        <v>98.86</v>
      </c>
      <c r="AP1004" s="153" t="n">
        <f aca="false">IFERROR($M1004*$AF1004*$AG1004,0)</f>
        <v>54.12585</v>
      </c>
      <c r="AQ1004" s="153" t="n">
        <f aca="false">IFERROR(IF(AND($N1004="VCA",$AH1004&gt;0),$M1004*$AG1004*$AH1004,0),0)</f>
        <v>3.70725</v>
      </c>
      <c r="AR1004" s="153" t="n">
        <f aca="false">IFERROR(IF(AND($N1004="VCA",$AJ1004&gt;0),($M1004*$AG1004*$AJ1004)-$AI1004,0),0)</f>
        <v>16.0595008808516</v>
      </c>
      <c r="AS1004" s="153" t="n">
        <f aca="false">IFERROR(IF(AND($N1004="VCA",$AP1004&gt;0),$AP1004-$AI1004-$AQ1004-$AR1004,0),0)</f>
        <v>33.36525</v>
      </c>
      <c r="AT1004" s="153" t="n">
        <f aca="false">IFERROR(IF($N1004="VCA",INDEX(APOIO_REDES!$A:$W,MATCH($C1004&amp;$I1004&amp;$H1004&amp;$N1004&amp;$O1004,APOIO_REDES!$W:$W,0),MATCH(AT$5,APOIO_REDES!$5:$5,0)),0)*$AP1004,0)</f>
        <v>0.588905268433839</v>
      </c>
      <c r="AU1004" s="153" t="n">
        <f aca="false">IFERROR(IF($N1004="VCA",INDEX(APOIO_REDES!$A:$W,MATCH($C1004&amp;$I1004&amp;$H1004&amp;$N1004&amp;$O1004,APOIO_REDES!$W:$W,0),MATCH(AU$5,APOIO_REDES!$5:$5,0)),0)*$AP1004,0)</f>
        <v>0.470283797793861</v>
      </c>
      <c r="AV1004" s="153" t="n">
        <f aca="false">IFERROR(IF($N1004="VCA",INDEX(APOIO_REDES!$A:$W,MATCH($C1004&amp;$I1004&amp;$H1004&amp;$N1004&amp;$O1004,APOIO_REDES!$W:$W,0),MATCH(AV$5,APOIO_REDES!$5:$5,0)),0)*$AP1004,0)</f>
        <v>0.0650835857421065</v>
      </c>
      <c r="AW1004" s="153" t="n">
        <f aca="false">IFERROR(IF($N1004="VCA",INDEX(APOIO_REDES!$A:$W,MATCH($C1004&amp;$I1004&amp;$H1004&amp;$N1004&amp;$O1004,APOIO_REDES!$W:$W,0),MATCH(AW$5,APOIO_REDES!$5:$5,0)),0)*$AP1004,0)</f>
        <v>37.1524028275509</v>
      </c>
      <c r="AX1004" s="153" t="n">
        <f aca="false">IFERROR(IF($N1004="VCA",INDEX(APOIO_REDES!$A:$W,MATCH($C1004&amp;$I1004&amp;$H1004&amp;$N1004&amp;$O1004,APOIO_REDES!$W:$W,0),MATCH(AX$5,APOIO_REDES!$5:$5,0)),0)*$AP1004,0)</f>
        <v>5.14178672071033</v>
      </c>
      <c r="AY1004" s="153" t="n">
        <f aca="false">IFERROR(IF($N1004="VCA",INDEX(APOIO_REDES!$A:$W,MATCH($C1004&amp;$I1004&amp;$H1004&amp;$N1004&amp;$O1004,APOIO_REDES!$W:$W,0),MATCH(AY$5,APOIO_REDES!$5:$5,0)),0)*$AP1004,0)</f>
        <v>9.40567022315585</v>
      </c>
      <c r="AZ1004" s="153" t="n">
        <f aca="false">IFERROR(IF($N1004="VCA",INDEX(APOIO_REDES!$A:$W,MATCH($C1004&amp;$I1004&amp;$H1004&amp;$N1004&amp;$O1004,APOIO_REDES!$W:$W,0),MATCH(AZ$5,APOIO_REDES!$5:$5,0)),0)*$AP1004,0)</f>
        <v>1.30171757661311</v>
      </c>
      <c r="BA1004" s="153" t="n">
        <f aca="false">IFERROR(IF(AND($N1004="VCA",$Q1004="LINEAR"),INDEX(APOIO_REDES!$A:$W,MATCH($C1004&amp;$I1004&amp;$H1004&amp;$N1004&amp;$O1004,APOIO_REDES!$W:$W,0),MATCH(BA$5,APOIO_REDES!$5:$5,0)),IF(AND($N1004="MND",$Q1004="EMBOQUE"),INDEX(APOIO_REDES!$A:$W,MATCH($C1004&amp;$I1004&amp;$H1004&amp;$N1004&amp;$O1004,APOIO_REDES!$W:$W,0),MATCH(BA$5,APOIO_REDES!$5:$5,0)),0))*$M1004/10,0)</f>
        <v>3.98393331676854</v>
      </c>
      <c r="BB1004" s="153" t="n">
        <f aca="false">IFERROR(IF($N1004="VCA",INDEX(APOIO_REDES!$A:$W,MATCH($C1004&amp;$I1004&amp;$H1004&amp;$N1004&amp;$O1004,APOIO_REDES!$W:$W,0),MATCH(BB$5,APOIO_REDES!$5:$5,0)),0)*($AI1004+$AQ1004+$AR1004),0)</f>
        <v>20.5347185271761</v>
      </c>
      <c r="BC1004" s="153" t="n">
        <f aca="false">IFERROR(IF($N1004="VCA",INDEX(APOIO_REDES!$A:$W,MATCH($C1004&amp;$I1004&amp;$H1004&amp;$N1004&amp;$O1004,APOIO_REDES!$W:$W,0),MATCH(BC$5,APOIO_REDES!$5:$5,0)),0)*($AI1004+$AQ1004+$AR1004),0)</f>
        <v>0.225881472823938</v>
      </c>
      <c r="BD1004" s="153" t="n">
        <f aca="false">IF(AND($N1004="VCA",$AF1004&gt;=1.25,$AF1004&lt;1.5),$M1004*$AF1004*2,0)</f>
        <v>144.3356</v>
      </c>
      <c r="BE1004" s="153" t="n">
        <f aca="false">IF(AND($N1004="VCA",$AF1004&gt;=1.5,$AF1004&lt;3),$M1004*$AF1004*2,0)</f>
        <v>0</v>
      </c>
      <c r="BF1004" s="153" t="n">
        <f aca="false">IF(AND($N1004="VCA",$AF1004&gt;=3),$M1004*$AF1004*2,0)</f>
        <v>0</v>
      </c>
      <c r="BG1004" s="153" t="n">
        <f aca="false">($BB1004+$BC1004)*$AK1004</f>
        <v>95.49876</v>
      </c>
      <c r="BH1004" s="153" t="n">
        <f aca="false">IF(AND($M1004&lt;&gt;"",$N1004="VCA",$Q1004="LINEAR"),($M1004*2)/100,IF(AND($M1004&lt;&gt;"",$N1004="MND",$Q1004="EMBOQUE"),($AN1004*2)/100,0))</f>
        <v>0.9886</v>
      </c>
      <c r="BI1004" s="153" t="n">
        <f aca="false">IF(AND($M1004&lt;&gt;"",$N1004="VCA",$Q1004="LINEAR"),$M1004,IF(AND($M1004&lt;&gt;"",$N1004="MND",$Q1004="EMBOQUE"),$AN1004*2,0))</f>
        <v>49.43</v>
      </c>
      <c r="BJ1004" s="153" t="n">
        <f aca="false">IF(AND($M1004&lt;&gt;"",$N1004="VCA",$Q1004="LINEAR"),($M1004*6.8)/100,IF(AND($M1004&lt;&gt;"",$N1004="MND",$Q1004="EMBOQUE"),($AN1004*2*6.8)/100,0))</f>
        <v>3.36124</v>
      </c>
      <c r="BK1004" s="153" t="n">
        <f aca="false">IF(AND($M1004&lt;&gt;"",$N1004="VCA",$Q1004="LINEAR"),($M1004*2.5)/50,IF(AND($M1004&lt;&gt;"",$N1004="MND",$Q1004="EMBOQUE"),($AN1004*2*2.5)/50,0))</f>
        <v>2.4715</v>
      </c>
      <c r="BL1004" s="157" t="str">
        <f aca="false">K1004&amp;J1004</f>
        <v>Zona09REDES</v>
      </c>
      <c r="BM1004" s="152" t="s">
        <v>5109</v>
      </c>
      <c r="BN1004" s="152" t="s">
        <v>1560</v>
      </c>
      <c r="BO1004" s="152" t="s">
        <v>4004</v>
      </c>
      <c r="BP1004" s="152" t="s">
        <v>5342</v>
      </c>
      <c r="BQ1004" s="152" t="s">
        <v>5356</v>
      </c>
      <c r="BR1004" s="152" t="s">
        <v>5357</v>
      </c>
      <c r="BS1004" s="152" t="n">
        <v>203434.066</v>
      </c>
      <c r="BT1004" s="152" t="n">
        <v>8236719.19</v>
      </c>
      <c r="BU1004" s="152" t="n">
        <v>203389.204</v>
      </c>
      <c r="BV1004" s="152" t="n">
        <v>8236700.327</v>
      </c>
      <c r="BW1004" s="152" t="n">
        <v>-15.9311385</v>
      </c>
      <c r="BX1004" s="152" t="n">
        <v>-47.7702133</v>
      </c>
      <c r="BY1004" s="152" t="s">
        <v>5342</v>
      </c>
    </row>
    <row r="1005" customFormat="false" ht="13.8" hidden="false" customHeight="false" outlineLevel="0" collapsed="false">
      <c r="A1005" s="149" t="n">
        <f aca="false">IF(C1005&lt;&gt;"",ROW(A1000),"")</f>
        <v>1000</v>
      </c>
      <c r="B1005" s="150" t="str">
        <f aca="false">HYPERLINK("https://www.google.com/maps/dir/-15.917302,-47.760003/-15.9311442,-47.7691731/data=!4m3!4m2!3e0!5i1")</f>
        <v>https://www.google.com/maps/dir/-15.917302,-47.760003/-15.9311442,-47.7691731/data=!4m3!4m2!3e0!5i1</v>
      </c>
      <c r="C1005" s="151" t="s">
        <v>117</v>
      </c>
      <c r="D1005" s="152" t="s">
        <v>112</v>
      </c>
      <c r="E1005" s="152" t="s">
        <v>113</v>
      </c>
      <c r="F1005" s="152" t="s">
        <v>117</v>
      </c>
      <c r="G1005" s="152" t="s">
        <v>114</v>
      </c>
      <c r="H1005" s="152" t="n">
        <v>250</v>
      </c>
      <c r="I1005" s="152" t="s">
        <v>115</v>
      </c>
      <c r="J1005" s="152" t="s">
        <v>6</v>
      </c>
      <c r="K1005" s="152" t="s">
        <v>5106</v>
      </c>
      <c r="L1005" s="152" t="s">
        <v>120</v>
      </c>
      <c r="M1005" s="153" t="n">
        <f aca="false">2.82</f>
        <v>2.82</v>
      </c>
      <c r="N1005" s="152" t="s">
        <v>1548</v>
      </c>
      <c r="O1005" s="152" t="s">
        <v>1549</v>
      </c>
      <c r="P1005" s="152" t="s">
        <v>1550</v>
      </c>
      <c r="Q1005" s="152" t="s">
        <v>1551</v>
      </c>
      <c r="R1005" s="154" t="s">
        <v>5358</v>
      </c>
      <c r="S1005" s="154" t="s">
        <v>1593</v>
      </c>
      <c r="T1005" s="155" t="s">
        <v>4002</v>
      </c>
      <c r="U1005" s="152" t="str">
        <f aca="false">RIGHT(T1005,7)</f>
        <v>015/037</v>
      </c>
      <c r="V1005" s="152" t="s">
        <v>1555</v>
      </c>
      <c r="W1005" s="156" t="n">
        <v>45882</v>
      </c>
      <c r="X1005" s="152" t="s">
        <v>1594</v>
      </c>
      <c r="Y1005" s="152" t="s">
        <v>2387</v>
      </c>
      <c r="Z1005" s="152" t="s">
        <v>1557</v>
      </c>
      <c r="AA1005" s="153" t="n">
        <v>4.5</v>
      </c>
      <c r="AB1005" s="151" t="s">
        <v>5359</v>
      </c>
      <c r="AC1005" s="151" t="s">
        <v>511</v>
      </c>
      <c r="AD1005" s="151" t="str">
        <f aca="false">CONCATENATE($C1005,$I1005,$H1005,$N1005,$J1005,$K1005)</f>
        <v>TUBO PEADPEAD250VCAREDESZona09</v>
      </c>
      <c r="AE1005" s="153" t="n">
        <f aca="false">IFERROR(INDEX(APOIO_REDES!$A:$W,MATCH($C1005&amp;$I1005&amp;$H1005&amp;$N1005&amp;$O1005,APOIO_REDES!$W:$W,0),MATCH(AE$5,APOIO_REDES!$5:$5,0)),0)</f>
        <v>1.2</v>
      </c>
      <c r="AF1005" s="153" t="n">
        <f aca="false">IFERROR(INDEX(APOIO_REDES!$A:$W,MATCH($C1005&amp;$I1005&amp;$H1005&amp;$N1005&amp;$O1005,APOIO_REDES!$W:$W,0),MATCH(AF$5,APOIO_REDES!$5:$5,0)),0)</f>
        <v>1.55</v>
      </c>
      <c r="AG1005" s="153" t="n">
        <f aca="false">IFERROR(INDEX(APOIO_REDES!$A:$W,MATCH($C1005&amp;$I1005&amp;$H1005&amp;$N1005&amp;$O1005,APOIO_REDES!$W:$W,0),MATCH(AG$5,APOIO_REDES!$5:$5,0)),0)</f>
        <v>0.85</v>
      </c>
      <c r="AH1005" s="153" t="n">
        <f aca="false">IFERROR(INDEX(APOIO_REDES!$A:$W,MATCH($C1005&amp;$I1005&amp;$H1005&amp;$N1005&amp;$O1005,APOIO_REDES!$W:$W,0),MATCH(AH$5,APOIO_REDES!$5:$5,0)),0)</f>
        <v>0.1</v>
      </c>
      <c r="AI1005" s="153" t="n">
        <f aca="false">IFERROR(IF($H1005&lt;&gt;"",(((($H1005/1000)/2)^2)*PI()*$M1005),0),0)</f>
        <v>0.1384264262988</v>
      </c>
      <c r="AJ1005" s="153" t="n">
        <f aca="false">IFERROR(IF(AND($H1005&lt;&gt;"",$I1005="FoFo",OR($N1005="MND",$N1005="VCA"),$Q1005="LINEAR"),0,IF(AND($H1005&lt;&gt;"",$I1005="PEAD",$N1005="VCA",$Q1005="LINEAR"),($H1005/1000)+0.3,IF(AND($H1005&lt;&gt;"",$I1005="PEAD",$N1005="MND",$Q1005="EMBOQUE"),0,IF(AND($H1005&lt;&gt;"",$I1005="PVC",$N1005="VCA",$Q1005="LINEAR"),($H1005/1000)+0.2,IF(AND($H1005&lt;&gt;"",$I1005="PVC",$N1005="MND",$Q1005="EMBOQUE"),0,IF(AND($H1005&lt;&gt;"",$I1005="PEAD",$N1005="VCA",$Q1005="PREDIAL"),0,0)))))),0)</f>
        <v>0.55</v>
      </c>
      <c r="AK1005" s="153" t="n">
        <f aca="false">IF(AA1005&lt;&gt;"",AA1005,0)</f>
        <v>4.5</v>
      </c>
      <c r="AL1005" s="153" t="n">
        <f aca="false">IF(AND($N1005="MND",$Q1005="EMBOQUE"),$M1005,IF(AND($N1005="VCA",$Q1005="LINEAR"),$M1005,IF(AND($N1005="VCA",$Q1005="PREDIAL"),0,0)))</f>
        <v>2.82</v>
      </c>
      <c r="AM1005" s="153" t="n">
        <f aca="false">IF(AND($N1005="MND",$Q1005="EMBOQUE"),$M1005,IF(AND($N1005="VCA",$Q1005="LINEAR"),$M1005,IF(AND($N1005="VCA",$Q1005="PREDIAL"),0,0)))</f>
        <v>2.82</v>
      </c>
      <c r="AN1005" s="153" t="n">
        <f aca="false">ROUND(IF(AND($N1005="VCA",$M1005&lt;&gt;"",$Q1005="LINEAR"),$M1005/100,IF(AND($N1005="MND",$M1005&gt;100,$Q1005="EMBOQUE"),$M1005/100,0)),0)</f>
        <v>0</v>
      </c>
      <c r="AO1005" s="153" t="n">
        <f aca="false">IF(AND($N1005="MND",$Q1005="EMBOQUE"),$AN1005*2*2,IF(AND($N1005="VCA",$Q1005="LINEAR"),$M1005*2,IF(AND($N1005="VCA",$Q1005="PREDIAL"),0,0)))</f>
        <v>5.64</v>
      </c>
      <c r="AP1005" s="153" t="n">
        <f aca="false">IFERROR($M1005*$AF1005*$AG1005,0)</f>
        <v>3.71535</v>
      </c>
      <c r="AQ1005" s="153" t="n">
        <f aca="false">IFERROR(IF(AND($N1005="VCA",$AH1005&gt;0),$M1005*$AG1005*$AH1005,0),0)</f>
        <v>0.2397</v>
      </c>
      <c r="AR1005" s="153" t="n">
        <f aca="false">IFERROR(IF(AND($N1005="VCA",$AJ1005&gt;0),($M1005*$AG1005*$AJ1005)-$AI1005,0),0)</f>
        <v>1.1799235737012</v>
      </c>
      <c r="AS1005" s="153" t="n">
        <f aca="false">IFERROR(IF(AND($N1005="VCA",$AP1005&gt;0),$AP1005-$AI1005-$AQ1005-$AR1005,0),0)</f>
        <v>2.1573</v>
      </c>
      <c r="AT1005" s="153" t="n">
        <f aca="false">IFERROR(IF($N1005="VCA",INDEX(APOIO_REDES!$A:$W,MATCH($C1005&amp;$I1005&amp;$H1005&amp;$N1005&amp;$O1005,APOIO_REDES!$W:$W,0),MATCH(AT$5,APOIO_REDES!$5:$5,0)),0)*$AP1005,0)</f>
        <v>0.0404241076874666</v>
      </c>
      <c r="AU1005" s="153" t="n">
        <f aca="false">IFERROR(IF($N1005="VCA",INDEX(APOIO_REDES!$A:$W,MATCH($C1005&amp;$I1005&amp;$H1005&amp;$N1005&amp;$O1005,APOIO_REDES!$W:$W,0),MATCH(AU$5,APOIO_REDES!$5:$5,0)),0)*$AP1005,0)</f>
        <v>0.0322815975755285</v>
      </c>
      <c r="AV1005" s="153" t="n">
        <f aca="false">IFERROR(IF($N1005="VCA",INDEX(APOIO_REDES!$A:$W,MATCH($C1005&amp;$I1005&amp;$H1005&amp;$N1005&amp;$O1005,APOIO_REDES!$W:$W,0),MATCH(AV$5,APOIO_REDES!$5:$5,0)),0)*$AP1005,0)</f>
        <v>0.00446751968397605</v>
      </c>
      <c r="AW1005" s="153" t="n">
        <f aca="false">IFERROR(IF($N1005="VCA",INDEX(APOIO_REDES!$A:$W,MATCH($C1005&amp;$I1005&amp;$H1005&amp;$N1005&amp;$O1005,APOIO_REDES!$W:$W,0),MATCH(AW$5,APOIO_REDES!$5:$5,0)),0)*$AP1005,0)</f>
        <v>2.55024502793658</v>
      </c>
      <c r="AX1005" s="153" t="n">
        <f aca="false">IFERROR(IF($N1005="VCA",INDEX(APOIO_REDES!$A:$W,MATCH($C1005&amp;$I1005&amp;$H1005&amp;$N1005&amp;$O1005,APOIO_REDES!$W:$W,0),MATCH(AX$5,APOIO_REDES!$5:$5,0)),0)*$AP1005,0)</f>
        <v>0.352946647355952</v>
      </c>
      <c r="AY1005" s="153" t="n">
        <f aca="false">IFERROR(IF($N1005="VCA",INDEX(APOIO_REDES!$A:$W,MATCH($C1005&amp;$I1005&amp;$H1005&amp;$N1005&amp;$O1005,APOIO_REDES!$W:$W,0),MATCH(AY$5,APOIO_REDES!$5:$5,0)),0)*$AP1005,0)</f>
        <v>0.645631558000513</v>
      </c>
      <c r="AZ1005" s="153" t="n">
        <f aca="false">IFERROR(IF($N1005="VCA",INDEX(APOIO_REDES!$A:$W,MATCH($C1005&amp;$I1005&amp;$H1005&amp;$N1005&amp;$O1005,APOIO_REDES!$W:$W,0),MATCH(AZ$5,APOIO_REDES!$5:$5,0)),0)*$AP1005,0)</f>
        <v>0.0893535417599819</v>
      </c>
      <c r="BA1005" s="153" t="n">
        <f aca="false">IFERROR(IF(AND($N1005="VCA",$Q1005="LINEAR"),INDEX(APOIO_REDES!$A:$W,MATCH($C1005&amp;$I1005&amp;$H1005&amp;$N1005&amp;$O1005,APOIO_REDES!$W:$W,0),MATCH(BA$5,APOIO_REDES!$5:$5,0)),IF(AND($N1005="MND",$Q1005="EMBOQUE"),INDEX(APOIO_REDES!$A:$W,MATCH($C1005&amp;$I1005&amp;$H1005&amp;$N1005&amp;$O1005,APOIO_REDES!$W:$W,0),MATCH(BA$5,APOIO_REDES!$5:$5,0)),0))*$M1005/10,0)</f>
        <v>0.22728488677498</v>
      </c>
      <c r="BB1005" s="153" t="n">
        <f aca="false">IFERROR(IF($N1005="VCA",INDEX(APOIO_REDES!$A:$W,MATCH($C1005&amp;$I1005&amp;$H1005&amp;$N1005&amp;$O1005,APOIO_REDES!$W:$W,0),MATCH(BB$5,APOIO_REDES!$5:$5,0)),0)*($AI1005+$AQ1005+$AR1005),0)</f>
        <v>1.54109795484074</v>
      </c>
      <c r="BC1005" s="153" t="n">
        <f aca="false">IFERROR(IF($N1005="VCA",INDEX(APOIO_REDES!$A:$W,MATCH($C1005&amp;$I1005&amp;$H1005&amp;$N1005&amp;$O1005,APOIO_REDES!$W:$W,0),MATCH(BC$5,APOIO_REDES!$5:$5,0)),0)*($AI1005+$AQ1005+$AR1005),0)</f>
        <v>0.0169520451592602</v>
      </c>
      <c r="BD1005" s="153" t="n">
        <f aca="false">IF(AND($N1005="VCA",$AF1005&gt;=1.25,$AF1005&lt;1.5),$M1005*$AF1005*2,0)</f>
        <v>0</v>
      </c>
      <c r="BE1005" s="153" t="n">
        <f aca="false">IF(AND($N1005="VCA",$AF1005&gt;=1.5,$AF1005&lt;3),$M1005*$AF1005*2,0)</f>
        <v>8.742</v>
      </c>
      <c r="BF1005" s="153" t="n">
        <f aca="false">IF(AND($N1005="VCA",$AF1005&gt;=3),$M1005*$AF1005*2,0)</f>
        <v>0</v>
      </c>
      <c r="BG1005" s="153" t="n">
        <f aca="false">($BB1005+$BC1005)*$AK1005</f>
        <v>7.011225</v>
      </c>
      <c r="BH1005" s="153" t="n">
        <f aca="false">IF(AND($M1005&lt;&gt;"",$N1005="VCA",$Q1005="LINEAR"),($M1005*2)/100,IF(AND($M1005&lt;&gt;"",$N1005="MND",$Q1005="EMBOQUE"),($AN1005*2)/100,0))</f>
        <v>0.0564</v>
      </c>
      <c r="BI1005" s="153" t="n">
        <f aca="false">IF(AND($M1005&lt;&gt;"",$N1005="VCA",$Q1005="LINEAR"),$M1005,IF(AND($M1005&lt;&gt;"",$N1005="MND",$Q1005="EMBOQUE"),$AN1005*2,0))</f>
        <v>2.82</v>
      </c>
      <c r="BJ1005" s="153" t="n">
        <f aca="false">IF(AND($M1005&lt;&gt;"",$N1005="VCA",$Q1005="LINEAR"),($M1005*6.8)/100,IF(AND($M1005&lt;&gt;"",$N1005="MND",$Q1005="EMBOQUE"),($AN1005*2*6.8)/100,0))</f>
        <v>0.19176</v>
      </c>
      <c r="BK1005" s="153" t="n">
        <f aca="false">IF(AND($M1005&lt;&gt;"",$N1005="VCA",$Q1005="LINEAR"),($M1005*2.5)/50,IF(AND($M1005&lt;&gt;"",$N1005="MND",$Q1005="EMBOQUE"),($AN1005*2*2.5)/50,0))</f>
        <v>0.141</v>
      </c>
      <c r="BL1005" s="157" t="str">
        <f aca="false">K1005&amp;J1005</f>
        <v>Zona09REDES</v>
      </c>
      <c r="BM1005" s="152" t="s">
        <v>5109</v>
      </c>
      <c r="BN1005" s="152" t="s">
        <v>1560</v>
      </c>
      <c r="BO1005" s="152" t="s">
        <v>4004</v>
      </c>
      <c r="BP1005" s="152" t="s">
        <v>5239</v>
      </c>
      <c r="BQ1005" s="152" t="s">
        <v>5351</v>
      </c>
      <c r="BR1005" s="152" t="s">
        <v>5360</v>
      </c>
      <c r="BS1005" s="152" t="n">
        <v>203521.858</v>
      </c>
      <c r="BT1005" s="152" t="n">
        <v>8236713.391</v>
      </c>
      <c r="BU1005" s="152" t="n">
        <v>203522.538</v>
      </c>
      <c r="BV1005" s="152" t="n">
        <v>8236710.653</v>
      </c>
      <c r="BW1005" s="152" t="n">
        <v>-15.9311566</v>
      </c>
      <c r="BX1005" s="152" t="n">
        <v>-47.7691701</v>
      </c>
      <c r="BY1005" s="152" t="s">
        <v>5239</v>
      </c>
    </row>
    <row r="1006" customFormat="false" ht="13.8" hidden="false" customHeight="false" outlineLevel="0" collapsed="false">
      <c r="A1006" s="149" t="n">
        <f aca="false">IF(C1006&lt;&gt;"",ROW(A1001),"")</f>
        <v>1001</v>
      </c>
      <c r="B1006" s="150" t="str">
        <f aca="false">HYPERLINK("https://www.google.com/maps/dir/-15.917302,-47.760003/-15.9311690,-47.7691671/data=!4m3!4m2!3e0!5i1")</f>
        <v>https://www.google.com/maps/dir/-15.917302,-47.760003/-15.9311690,-47.7691671/data=!4m3!4m2!3e0!5i1</v>
      </c>
      <c r="C1006" s="151" t="s">
        <v>117</v>
      </c>
      <c r="D1006" s="152" t="s">
        <v>112</v>
      </c>
      <c r="E1006" s="152" t="s">
        <v>113</v>
      </c>
      <c r="F1006" s="152" t="s">
        <v>117</v>
      </c>
      <c r="G1006" s="152" t="s">
        <v>114</v>
      </c>
      <c r="H1006" s="152" t="n">
        <v>250</v>
      </c>
      <c r="I1006" s="152" t="s">
        <v>115</v>
      </c>
      <c r="J1006" s="152" t="s">
        <v>6</v>
      </c>
      <c r="K1006" s="152" t="s">
        <v>5106</v>
      </c>
      <c r="L1006" s="152" t="s">
        <v>120</v>
      </c>
      <c r="M1006" s="153" t="n">
        <f aca="false">4.24</f>
        <v>4.24</v>
      </c>
      <c r="N1006" s="152" t="s">
        <v>1548</v>
      </c>
      <c r="O1006" s="152" t="s">
        <v>1549</v>
      </c>
      <c r="P1006" s="152" t="s">
        <v>1550</v>
      </c>
      <c r="Q1006" s="152" t="s">
        <v>1551</v>
      </c>
      <c r="R1006" s="154" t="s">
        <v>5361</v>
      </c>
      <c r="S1006" s="154" t="s">
        <v>1593</v>
      </c>
      <c r="T1006" s="155" t="s">
        <v>4002</v>
      </c>
      <c r="U1006" s="152" t="str">
        <f aca="false">RIGHT(T1006,7)</f>
        <v>015/037</v>
      </c>
      <c r="V1006" s="152" t="s">
        <v>1555</v>
      </c>
      <c r="W1006" s="156" t="n">
        <v>45882</v>
      </c>
      <c r="X1006" s="152" t="s">
        <v>1594</v>
      </c>
      <c r="Y1006" s="152" t="s">
        <v>2387</v>
      </c>
      <c r="Z1006" s="152" t="s">
        <v>1557</v>
      </c>
      <c r="AA1006" s="153" t="n">
        <v>4.5</v>
      </c>
      <c r="AB1006" s="151" t="s">
        <v>5362</v>
      </c>
      <c r="AC1006" s="151" t="s">
        <v>511</v>
      </c>
      <c r="AD1006" s="151" t="str">
        <f aca="false">CONCATENATE($C1006,$I1006,$H1006,$N1006,$J1006,$K1006)</f>
        <v>TUBO PEADPEAD250VCAREDESZona09</v>
      </c>
      <c r="AE1006" s="153" t="n">
        <f aca="false">IFERROR(INDEX(APOIO_REDES!$A:$W,MATCH($C1006&amp;$I1006&amp;$H1006&amp;$N1006&amp;$O1006,APOIO_REDES!$W:$W,0),MATCH(AE$5,APOIO_REDES!$5:$5,0)),0)</f>
        <v>1.2</v>
      </c>
      <c r="AF1006" s="153" t="n">
        <f aca="false">IFERROR(INDEX(APOIO_REDES!$A:$W,MATCH($C1006&amp;$I1006&amp;$H1006&amp;$N1006&amp;$O1006,APOIO_REDES!$W:$W,0),MATCH(AF$5,APOIO_REDES!$5:$5,0)),0)</f>
        <v>1.55</v>
      </c>
      <c r="AG1006" s="153" t="n">
        <f aca="false">IFERROR(INDEX(APOIO_REDES!$A:$W,MATCH($C1006&amp;$I1006&amp;$H1006&amp;$N1006&amp;$O1006,APOIO_REDES!$W:$W,0),MATCH(AG$5,APOIO_REDES!$5:$5,0)),0)</f>
        <v>0.85</v>
      </c>
      <c r="AH1006" s="153" t="n">
        <f aca="false">IFERROR(INDEX(APOIO_REDES!$A:$W,MATCH($C1006&amp;$I1006&amp;$H1006&amp;$N1006&amp;$O1006,APOIO_REDES!$W:$W,0),MATCH(AH$5,APOIO_REDES!$5:$5,0)),0)</f>
        <v>0.1</v>
      </c>
      <c r="AI1006" s="153" t="n">
        <f aca="false">IFERROR(IF($H1006&lt;&gt;"",(((($H1006/1000)/2)^2)*PI()*$M1006),0),0)</f>
        <v>0.208130513300324</v>
      </c>
      <c r="AJ1006" s="153" t="n">
        <f aca="false">IFERROR(IF(AND($H1006&lt;&gt;"",$I1006="FoFo",OR($N1006="MND",$N1006="VCA"),$Q1006="LINEAR"),0,IF(AND($H1006&lt;&gt;"",$I1006="PEAD",$N1006="VCA",$Q1006="LINEAR"),($H1006/1000)+0.3,IF(AND($H1006&lt;&gt;"",$I1006="PEAD",$N1006="MND",$Q1006="EMBOQUE"),0,IF(AND($H1006&lt;&gt;"",$I1006="PVC",$N1006="VCA",$Q1006="LINEAR"),($H1006/1000)+0.2,IF(AND($H1006&lt;&gt;"",$I1006="PVC",$N1006="MND",$Q1006="EMBOQUE"),0,IF(AND($H1006&lt;&gt;"",$I1006="PEAD",$N1006="VCA",$Q1006="PREDIAL"),0,0)))))),0)</f>
        <v>0.55</v>
      </c>
      <c r="AK1006" s="153" t="n">
        <f aca="false">IF(AA1006&lt;&gt;"",AA1006,0)</f>
        <v>4.5</v>
      </c>
      <c r="AL1006" s="153" t="n">
        <f aca="false">IF(AND($N1006="MND",$Q1006="EMBOQUE"),$M1006,IF(AND($N1006="VCA",$Q1006="LINEAR"),$M1006,IF(AND($N1006="VCA",$Q1006="PREDIAL"),0,0)))</f>
        <v>4.24</v>
      </c>
      <c r="AM1006" s="153" t="n">
        <f aca="false">IF(AND($N1006="MND",$Q1006="EMBOQUE"),$M1006,IF(AND($N1006="VCA",$Q1006="LINEAR"),$M1006,IF(AND($N1006="VCA",$Q1006="PREDIAL"),0,0)))</f>
        <v>4.24</v>
      </c>
      <c r="AN1006" s="153" t="n">
        <f aca="false">ROUND(IF(AND($N1006="VCA",$M1006&lt;&gt;"",$Q1006="LINEAR"),$M1006/100,IF(AND($N1006="MND",$M1006&gt;100,$Q1006="EMBOQUE"),$M1006/100,0)),0)</f>
        <v>0</v>
      </c>
      <c r="AO1006" s="153" t="n">
        <f aca="false">IF(AND($N1006="MND",$Q1006="EMBOQUE"),$AN1006*2*2,IF(AND($N1006="VCA",$Q1006="LINEAR"),$M1006*2,IF(AND($N1006="VCA",$Q1006="PREDIAL"),0,0)))</f>
        <v>8.48</v>
      </c>
      <c r="AP1006" s="153" t="n">
        <f aca="false">IFERROR($M1006*$AF1006*$AG1006,0)</f>
        <v>5.5862</v>
      </c>
      <c r="AQ1006" s="153" t="n">
        <f aca="false">IFERROR(IF(AND($N1006="VCA",$AH1006&gt;0),$M1006*$AG1006*$AH1006,0),0)</f>
        <v>0.3604</v>
      </c>
      <c r="AR1006" s="153" t="n">
        <f aca="false">IFERROR(IF(AND($N1006="VCA",$AJ1006&gt;0),($M1006*$AG1006*$AJ1006)-$AI1006,0),0)</f>
        <v>1.77406948669968</v>
      </c>
      <c r="AS1006" s="153" t="n">
        <f aca="false">IFERROR(IF(AND($N1006="VCA",$AP1006&gt;0),$AP1006-$AI1006-$AQ1006-$AR1006,0),0)</f>
        <v>3.2436</v>
      </c>
      <c r="AT1006" s="153" t="n">
        <f aca="false">IFERROR(IF($N1006="VCA",INDEX(APOIO_REDES!$A:$W,MATCH($C1006&amp;$I1006&amp;$H1006&amp;$N1006&amp;$O1006,APOIO_REDES!$W:$W,0),MATCH(AT$5,APOIO_REDES!$5:$5,0)),0)*$AP1006,0)</f>
        <v>0.0607795094308008</v>
      </c>
      <c r="AU1006" s="153" t="n">
        <f aca="false">IFERROR(IF($N1006="VCA",INDEX(APOIO_REDES!$A:$W,MATCH($C1006&amp;$I1006&amp;$H1006&amp;$N1006&amp;$O1006,APOIO_REDES!$W:$W,0),MATCH(AU$5,APOIO_REDES!$5:$5,0)),0)*$AP1006,0)</f>
        <v>0.0485368701135607</v>
      </c>
      <c r="AV1006" s="153" t="n">
        <f aca="false">IFERROR(IF($N1006="VCA",INDEX(APOIO_REDES!$A:$W,MATCH($C1006&amp;$I1006&amp;$H1006&amp;$N1006&amp;$O1006,APOIO_REDES!$W:$W,0),MATCH(AV$5,APOIO_REDES!$5:$5,0)),0)*$AP1006,0)</f>
        <v>0.00671712179434698</v>
      </c>
      <c r="AW1006" s="153" t="n">
        <f aca="false">IFERROR(IF($N1006="VCA",INDEX(APOIO_REDES!$A:$W,MATCH($C1006&amp;$I1006&amp;$H1006&amp;$N1006&amp;$O1006,APOIO_REDES!$W:$W,0),MATCH(AW$5,APOIO_REDES!$5:$5,0)),0)*$AP1006,0)</f>
        <v>3.83441096398976</v>
      </c>
      <c r="AX1006" s="153" t="n">
        <f aca="false">IFERROR(IF($N1006="VCA",INDEX(APOIO_REDES!$A:$W,MATCH($C1006&amp;$I1006&amp;$H1006&amp;$N1006&amp;$O1006,APOIO_REDES!$W:$W,0),MATCH(AX$5,APOIO_REDES!$5:$5,0)),0)*$AP1006,0)</f>
        <v>0.5306715548898</v>
      </c>
      <c r="AY1006" s="153" t="n">
        <f aca="false">IFERROR(IF($N1006="VCA",INDEX(APOIO_REDES!$A:$W,MATCH($C1006&amp;$I1006&amp;$H1006&amp;$N1006&amp;$O1006,APOIO_REDES!$W:$W,0),MATCH(AY$5,APOIO_REDES!$5:$5,0)),0)*$AP1006,0)</f>
        <v>0.970736810610701</v>
      </c>
      <c r="AZ1006" s="153" t="n">
        <f aca="false">IFERROR(IF($N1006="VCA",INDEX(APOIO_REDES!$A:$W,MATCH($C1006&amp;$I1006&amp;$H1006&amp;$N1006&amp;$O1006,APOIO_REDES!$W:$W,0),MATCH(AZ$5,APOIO_REDES!$5:$5,0)),0)*$AP1006,0)</f>
        <v>0.134347169171037</v>
      </c>
      <c r="BA1006" s="153" t="n">
        <f aca="false">IFERROR(IF(AND($N1006="VCA",$Q1006="LINEAR"),INDEX(APOIO_REDES!$A:$W,MATCH($C1006&amp;$I1006&amp;$H1006&amp;$N1006&amp;$O1006,APOIO_REDES!$W:$W,0),MATCH(BA$5,APOIO_REDES!$5:$5,0)),IF(AND($N1006="MND",$Q1006="EMBOQUE"),INDEX(APOIO_REDES!$A:$W,MATCH($C1006&amp;$I1006&amp;$H1006&amp;$N1006&amp;$O1006,APOIO_REDES!$W:$W,0),MATCH(BA$5,APOIO_REDES!$5:$5,0)),0))*$M1006/10,0)</f>
        <v>0.341733304938268</v>
      </c>
      <c r="BB1006" s="153" t="n">
        <f aca="false">IFERROR(IF($N1006="VCA",INDEX(APOIO_REDES!$A:$W,MATCH($C1006&amp;$I1006&amp;$H1006&amp;$N1006&amp;$O1006,APOIO_REDES!$W:$W,0),MATCH(BB$5,APOIO_REDES!$5:$5,0)),0)*($AI1006+$AQ1006+$AR1006),0)</f>
        <v>2.31711181862579</v>
      </c>
      <c r="BC1006" s="153" t="n">
        <f aca="false">IFERROR(IF($N1006="VCA",INDEX(APOIO_REDES!$A:$W,MATCH($C1006&amp;$I1006&amp;$H1006&amp;$N1006&amp;$O1006,APOIO_REDES!$W:$W,0),MATCH(BC$5,APOIO_REDES!$5:$5,0)),0)*($AI1006+$AQ1006+$AR1006),0)</f>
        <v>0.0254881813742068</v>
      </c>
      <c r="BD1006" s="153" t="n">
        <f aca="false">IF(AND($N1006="VCA",$AF1006&gt;=1.25,$AF1006&lt;1.5),$M1006*$AF1006*2,0)</f>
        <v>0</v>
      </c>
      <c r="BE1006" s="153" t="n">
        <f aca="false">IF(AND($N1006="VCA",$AF1006&gt;=1.5,$AF1006&lt;3),$M1006*$AF1006*2,0)</f>
        <v>13.144</v>
      </c>
      <c r="BF1006" s="153" t="n">
        <f aca="false">IF(AND($N1006="VCA",$AF1006&gt;=3),$M1006*$AF1006*2,0)</f>
        <v>0</v>
      </c>
      <c r="BG1006" s="153" t="n">
        <f aca="false">($BB1006+$BC1006)*$AK1006</f>
        <v>10.5417</v>
      </c>
      <c r="BH1006" s="153" t="n">
        <f aca="false">IF(AND($M1006&lt;&gt;"",$N1006="VCA",$Q1006="LINEAR"),($M1006*2)/100,IF(AND($M1006&lt;&gt;"",$N1006="MND",$Q1006="EMBOQUE"),($AN1006*2)/100,0))</f>
        <v>0.0848</v>
      </c>
      <c r="BI1006" s="153" t="n">
        <f aca="false">IF(AND($M1006&lt;&gt;"",$N1006="VCA",$Q1006="LINEAR"),$M1006,IF(AND($M1006&lt;&gt;"",$N1006="MND",$Q1006="EMBOQUE"),$AN1006*2,0))</f>
        <v>4.24</v>
      </c>
      <c r="BJ1006" s="153" t="n">
        <f aca="false">IF(AND($M1006&lt;&gt;"",$N1006="VCA",$Q1006="LINEAR"),($M1006*6.8)/100,IF(AND($M1006&lt;&gt;"",$N1006="MND",$Q1006="EMBOQUE"),($AN1006*2*6.8)/100,0))</f>
        <v>0.28832</v>
      </c>
      <c r="BK1006" s="153" t="n">
        <f aca="false">IF(AND($M1006&lt;&gt;"",$N1006="VCA",$Q1006="LINEAR"),($M1006*2.5)/50,IF(AND($M1006&lt;&gt;"",$N1006="MND",$Q1006="EMBOQUE"),($AN1006*2*2.5)/50,0))</f>
        <v>0.212</v>
      </c>
      <c r="BL1006" s="157" t="str">
        <f aca="false">K1006&amp;J1006</f>
        <v>Zona09REDES</v>
      </c>
      <c r="BM1006" s="152" t="s">
        <v>5109</v>
      </c>
      <c r="BN1006" s="152" t="s">
        <v>1560</v>
      </c>
      <c r="BO1006" s="152" t="s">
        <v>4004</v>
      </c>
      <c r="BP1006" s="152" t="s">
        <v>5351</v>
      </c>
      <c r="BQ1006" s="152" t="s">
        <v>5363</v>
      </c>
      <c r="BR1006" s="152" t="s">
        <v>5360</v>
      </c>
      <c r="BS1006" s="152" t="n">
        <v>203522.538</v>
      </c>
      <c r="BT1006" s="152" t="n">
        <v>8236710.653</v>
      </c>
      <c r="BU1006" s="152" t="n">
        <v>203523.56</v>
      </c>
      <c r="BV1006" s="152" t="n">
        <v>8236706.543</v>
      </c>
      <c r="BW1006" s="152" t="n">
        <v>-15.9311876</v>
      </c>
      <c r="BX1006" s="152" t="n">
        <v>-47.7691626</v>
      </c>
      <c r="BY1006" s="152" t="s">
        <v>5351</v>
      </c>
    </row>
    <row r="1007" customFormat="false" ht="13.8" hidden="false" customHeight="false" outlineLevel="0" collapsed="false">
      <c r="A1007" s="149" t="n">
        <f aca="false">IF(C1007&lt;&gt;"",ROW(A1002),"")</f>
        <v>1002</v>
      </c>
      <c r="B1007" s="150" t="str">
        <f aca="false">HYPERLINK("https://www.google.com/maps/dir/-15.917302,-47.760003/-15.9312063,-47.7691581/data=!4m3!4m2!3e0!5i1")</f>
        <v>https://www.google.com/maps/dir/-15.917302,-47.760003/-15.9312063,-47.7691581/data=!4m3!4m2!3e0!5i1</v>
      </c>
      <c r="C1007" s="151" t="s">
        <v>117</v>
      </c>
      <c r="D1007" s="152" t="s">
        <v>112</v>
      </c>
      <c r="E1007" s="152" t="s">
        <v>113</v>
      </c>
      <c r="F1007" s="152" t="s">
        <v>117</v>
      </c>
      <c r="G1007" s="152" t="s">
        <v>114</v>
      </c>
      <c r="H1007" s="152" t="n">
        <v>160</v>
      </c>
      <c r="I1007" s="152" t="s">
        <v>115</v>
      </c>
      <c r="J1007" s="152" t="s">
        <v>6</v>
      </c>
      <c r="K1007" s="152" t="s">
        <v>5106</v>
      </c>
      <c r="L1007" s="152" t="s">
        <v>120</v>
      </c>
      <c r="M1007" s="153" t="n">
        <f aca="false">5.6</f>
        <v>5.6</v>
      </c>
      <c r="N1007" s="152" t="s">
        <v>1548</v>
      </c>
      <c r="O1007" s="152" t="s">
        <v>1549</v>
      </c>
      <c r="P1007" s="152" t="s">
        <v>1550</v>
      </c>
      <c r="Q1007" s="152" t="s">
        <v>1551</v>
      </c>
      <c r="R1007" s="154" t="s">
        <v>5364</v>
      </c>
      <c r="S1007" s="154" t="s">
        <v>1593</v>
      </c>
      <c r="T1007" s="155" t="s">
        <v>4002</v>
      </c>
      <c r="U1007" s="152" t="str">
        <f aca="false">RIGHT(T1007,7)</f>
        <v>015/037</v>
      </c>
      <c r="V1007" s="152" t="s">
        <v>1555</v>
      </c>
      <c r="W1007" s="156" t="n">
        <v>45882</v>
      </c>
      <c r="X1007" s="152" t="s">
        <v>1594</v>
      </c>
      <c r="Y1007" s="152" t="s">
        <v>2387</v>
      </c>
      <c r="Z1007" s="152" t="s">
        <v>1557</v>
      </c>
      <c r="AA1007" s="153" t="n">
        <v>4.5</v>
      </c>
      <c r="AB1007" s="151" t="s">
        <v>5365</v>
      </c>
      <c r="AC1007" s="151" t="s">
        <v>505</v>
      </c>
      <c r="AD1007" s="151" t="str">
        <f aca="false">CONCATENATE($C1007,$I1007,$H1007,$N1007,$J1007,$K1007)</f>
        <v>TUBO PEADPEAD160VCAREDESZona09</v>
      </c>
      <c r="AE1007" s="153" t="n">
        <f aca="false">IFERROR(INDEX(APOIO_REDES!$A:$W,MATCH($C1007&amp;$I1007&amp;$H1007&amp;$N1007&amp;$O1007,APOIO_REDES!$W:$W,0),MATCH(AE$5,APOIO_REDES!$5:$5,0)),0)</f>
        <v>1.2</v>
      </c>
      <c r="AF1007" s="153" t="n">
        <f aca="false">IFERROR(INDEX(APOIO_REDES!$A:$W,MATCH($C1007&amp;$I1007&amp;$H1007&amp;$N1007&amp;$O1007,APOIO_REDES!$W:$W,0),MATCH(AF$5,APOIO_REDES!$5:$5,0)),0)</f>
        <v>1.46</v>
      </c>
      <c r="AG1007" s="153" t="n">
        <f aca="false">IFERROR(INDEX(APOIO_REDES!$A:$W,MATCH($C1007&amp;$I1007&amp;$H1007&amp;$N1007&amp;$O1007,APOIO_REDES!$W:$W,0),MATCH(AG$5,APOIO_REDES!$5:$5,0)),0)</f>
        <v>0.75</v>
      </c>
      <c r="AH1007" s="153" t="n">
        <f aca="false">IFERROR(INDEX(APOIO_REDES!$A:$W,MATCH($C1007&amp;$I1007&amp;$H1007&amp;$N1007&amp;$O1007,APOIO_REDES!$W:$W,0),MATCH(AH$5,APOIO_REDES!$5:$5,0)),0)</f>
        <v>0.1</v>
      </c>
      <c r="AI1007" s="153" t="n">
        <f aca="false">IFERROR(IF($H1007&lt;&gt;"",(((($H1007/1000)/2)^2)*PI()*$M1007),0),0)</f>
        <v>0.112594680704658</v>
      </c>
      <c r="AJ1007" s="153" t="n">
        <f aca="false">IFERROR(IF(AND($H1007&lt;&gt;"",$I1007="FoFo",OR($N1007="MND",$N1007="VCA"),$Q1007="LINEAR"),0,IF(AND($H1007&lt;&gt;"",$I1007="PEAD",$N1007="VCA",$Q1007="LINEAR"),($H1007/1000)+0.3,IF(AND($H1007&lt;&gt;"",$I1007="PEAD",$N1007="MND",$Q1007="EMBOQUE"),0,IF(AND($H1007&lt;&gt;"",$I1007="PVC",$N1007="VCA",$Q1007="LINEAR"),($H1007/1000)+0.2,IF(AND($H1007&lt;&gt;"",$I1007="PVC",$N1007="MND",$Q1007="EMBOQUE"),0,IF(AND($H1007&lt;&gt;"",$I1007="PEAD",$N1007="VCA",$Q1007="PREDIAL"),0,0)))))),0)</f>
        <v>0.46</v>
      </c>
      <c r="AK1007" s="153" t="n">
        <f aca="false">IF(AA1007&lt;&gt;"",AA1007,0)</f>
        <v>4.5</v>
      </c>
      <c r="AL1007" s="153" t="n">
        <f aca="false">IF(AND($N1007="MND",$Q1007="EMBOQUE"),$M1007,IF(AND($N1007="VCA",$Q1007="LINEAR"),$M1007,IF(AND($N1007="VCA",$Q1007="PREDIAL"),0,0)))</f>
        <v>5.6</v>
      </c>
      <c r="AM1007" s="153" t="n">
        <f aca="false">IF(AND($N1007="MND",$Q1007="EMBOQUE"),$M1007,IF(AND($N1007="VCA",$Q1007="LINEAR"),$M1007,IF(AND($N1007="VCA",$Q1007="PREDIAL"),0,0)))</f>
        <v>5.6</v>
      </c>
      <c r="AN1007" s="153" t="n">
        <f aca="false">ROUND(IF(AND($N1007="VCA",$M1007&lt;&gt;"",$Q1007="LINEAR"),$M1007/100,IF(AND($N1007="MND",$M1007&gt;100,$Q1007="EMBOQUE"),$M1007/100,0)),0)</f>
        <v>0</v>
      </c>
      <c r="AO1007" s="153" t="n">
        <f aca="false">IF(AND($N1007="MND",$Q1007="EMBOQUE"),$AN1007*2*2,IF(AND($N1007="VCA",$Q1007="LINEAR"),$M1007*2,IF(AND($N1007="VCA",$Q1007="PREDIAL"),0,0)))</f>
        <v>11.2</v>
      </c>
      <c r="AP1007" s="153" t="n">
        <f aca="false">IFERROR($M1007*$AF1007*$AG1007,0)</f>
        <v>6.132</v>
      </c>
      <c r="AQ1007" s="153" t="n">
        <f aca="false">IFERROR(IF(AND($N1007="VCA",$AH1007&gt;0),$M1007*$AG1007*$AH1007,0),0)</f>
        <v>0.42</v>
      </c>
      <c r="AR1007" s="153" t="n">
        <f aca="false">IFERROR(IF(AND($N1007="VCA",$AJ1007&gt;0),($M1007*$AG1007*$AJ1007)-$AI1007,0),0)</f>
        <v>1.81940531929534</v>
      </c>
      <c r="AS1007" s="153" t="n">
        <f aca="false">IFERROR(IF(AND($N1007="VCA",$AP1007&gt;0),$AP1007-$AI1007-$AQ1007-$AR1007,0),0)</f>
        <v>3.78</v>
      </c>
      <c r="AT1007" s="153" t="n">
        <f aca="false">IFERROR(IF($N1007="VCA",INDEX(APOIO_REDES!$A:$W,MATCH($C1007&amp;$I1007&amp;$H1007&amp;$N1007&amp;$O1007,APOIO_REDES!$W:$W,0),MATCH(AT$5,APOIO_REDES!$5:$5,0)),0)*$AP1007,0)</f>
        <v>0.0667179749793546</v>
      </c>
      <c r="AU1007" s="153" t="n">
        <f aca="false">IFERROR(IF($N1007="VCA",INDEX(APOIO_REDES!$A:$W,MATCH($C1007&amp;$I1007&amp;$H1007&amp;$N1007&amp;$O1007,APOIO_REDES!$W:$W,0),MATCH(AU$5,APOIO_REDES!$5:$5,0)),0)*$AP1007,0)</f>
        <v>0.0532791678665916</v>
      </c>
      <c r="AV1007" s="153" t="n">
        <f aca="false">IFERROR(IF($N1007="VCA",INDEX(APOIO_REDES!$A:$W,MATCH($C1007&amp;$I1007&amp;$H1007&amp;$N1007&amp;$O1007,APOIO_REDES!$W:$W,0),MATCH(AV$5,APOIO_REDES!$5:$5,0)),0)*$AP1007,0)</f>
        <v>0.00737341857486944</v>
      </c>
      <c r="AW1007" s="153" t="n">
        <f aca="false">IFERROR(IF($N1007="VCA",INDEX(APOIO_REDES!$A:$W,MATCH($C1007&amp;$I1007&amp;$H1007&amp;$N1007&amp;$O1007,APOIO_REDES!$W:$W,0),MATCH(AW$5,APOIO_REDES!$5:$5,0)),0)*$AP1007,0)</f>
        <v>4.20905231305452</v>
      </c>
      <c r="AX1007" s="153" t="n">
        <f aca="false">IFERROR(IF($N1007="VCA",INDEX(APOIO_REDES!$A:$W,MATCH($C1007&amp;$I1007&amp;$H1007&amp;$N1007&amp;$O1007,APOIO_REDES!$W:$W,0),MATCH(AX$5,APOIO_REDES!$5:$5,0)),0)*$AP1007,0)</f>
        <v>0.58252085041428</v>
      </c>
      <c r="AY1007" s="153" t="n">
        <f aca="false">IFERROR(IF($N1007="VCA",INDEX(APOIO_REDES!$A:$W,MATCH($C1007&amp;$I1007&amp;$H1007&amp;$N1007&amp;$O1007,APOIO_REDES!$W:$W,0),MATCH(AY$5,APOIO_REDES!$5:$5,0)),0)*$AP1007,0)</f>
        <v>1.06558270786309</v>
      </c>
      <c r="AZ1007" s="153" t="n">
        <f aca="false">IFERROR(IF($N1007="VCA",INDEX(APOIO_REDES!$A:$W,MATCH($C1007&amp;$I1007&amp;$H1007&amp;$N1007&amp;$O1007,APOIO_REDES!$W:$W,0),MATCH(AZ$5,APOIO_REDES!$5:$5,0)),0)*$AP1007,0)</f>
        <v>0.147473567247287</v>
      </c>
      <c r="BA1007" s="153" t="n">
        <f aca="false">IFERROR(IF(AND($N1007="VCA",$Q1007="LINEAR"),INDEX(APOIO_REDES!$A:$W,MATCH($C1007&amp;$I1007&amp;$H1007&amp;$N1007&amp;$O1007,APOIO_REDES!$W:$W,0),MATCH(BA$5,APOIO_REDES!$5:$5,0)),IF(AND($N1007="MND",$Q1007="EMBOQUE"),INDEX(APOIO_REDES!$A:$W,MATCH($C1007&amp;$I1007&amp;$H1007&amp;$N1007&amp;$O1007,APOIO_REDES!$W:$W,0),MATCH(BA$5,APOIO_REDES!$5:$5,0)),0))*$M1007/10,0)</f>
        <v>0.45134587444677</v>
      </c>
      <c r="BB1007" s="153" t="n">
        <f aca="false">IFERROR(IF($N1007="VCA",INDEX(APOIO_REDES!$A:$W,MATCH($C1007&amp;$I1007&amp;$H1007&amp;$N1007&amp;$O1007,APOIO_REDES!$W:$W,0),MATCH(BB$5,APOIO_REDES!$5:$5,0)),0)*($AI1007+$AQ1007+$AR1007),0)</f>
        <v>2.32640954384353</v>
      </c>
      <c r="BC1007" s="153" t="n">
        <f aca="false">IFERROR(IF($N1007="VCA",INDEX(APOIO_REDES!$A:$W,MATCH($C1007&amp;$I1007&amp;$H1007&amp;$N1007&amp;$O1007,APOIO_REDES!$W:$W,0),MATCH(BC$5,APOIO_REDES!$5:$5,0)),0)*($AI1007+$AQ1007+$AR1007),0)</f>
        <v>0.0255904561564648</v>
      </c>
      <c r="BD1007" s="153" t="n">
        <f aca="false">IF(AND($N1007="VCA",$AF1007&gt;=1.25,$AF1007&lt;1.5),$M1007*$AF1007*2,0)</f>
        <v>16.352</v>
      </c>
      <c r="BE1007" s="153" t="n">
        <f aca="false">IF(AND($N1007="VCA",$AF1007&gt;=1.5,$AF1007&lt;3),$M1007*$AF1007*2,0)</f>
        <v>0</v>
      </c>
      <c r="BF1007" s="153" t="n">
        <f aca="false">IF(AND($N1007="VCA",$AF1007&gt;=3),$M1007*$AF1007*2,0)</f>
        <v>0</v>
      </c>
      <c r="BG1007" s="153" t="n">
        <f aca="false">($BB1007+$BC1007)*$AK1007</f>
        <v>10.584</v>
      </c>
      <c r="BH1007" s="153" t="n">
        <f aca="false">IF(AND($M1007&lt;&gt;"",$N1007="VCA",$Q1007="LINEAR"),($M1007*2)/100,IF(AND($M1007&lt;&gt;"",$N1007="MND",$Q1007="EMBOQUE"),($AN1007*2)/100,0))</f>
        <v>0.112</v>
      </c>
      <c r="BI1007" s="153" t="n">
        <f aca="false">IF(AND($M1007&lt;&gt;"",$N1007="VCA",$Q1007="LINEAR"),$M1007,IF(AND($M1007&lt;&gt;"",$N1007="MND",$Q1007="EMBOQUE"),$AN1007*2,0))</f>
        <v>5.6</v>
      </c>
      <c r="BJ1007" s="153" t="n">
        <f aca="false">IF(AND($M1007&lt;&gt;"",$N1007="VCA",$Q1007="LINEAR"),($M1007*6.8)/100,IF(AND($M1007&lt;&gt;"",$N1007="MND",$Q1007="EMBOQUE"),($AN1007*2*6.8)/100,0))</f>
        <v>0.3808</v>
      </c>
      <c r="BK1007" s="153" t="n">
        <f aca="false">IF(AND($M1007&lt;&gt;"",$N1007="VCA",$Q1007="LINEAR"),($M1007*2.5)/50,IF(AND($M1007&lt;&gt;"",$N1007="MND",$Q1007="EMBOQUE"),($AN1007*2*2.5)/50,0))</f>
        <v>0.28</v>
      </c>
      <c r="BL1007" s="157" t="str">
        <f aca="false">K1007&amp;J1007</f>
        <v>Zona09REDES</v>
      </c>
      <c r="BM1007" s="152" t="s">
        <v>5109</v>
      </c>
      <c r="BN1007" s="152" t="s">
        <v>1560</v>
      </c>
      <c r="BO1007" s="152" t="s">
        <v>4004</v>
      </c>
      <c r="BP1007" s="152" t="s">
        <v>5363</v>
      </c>
      <c r="BQ1007" s="152" t="s">
        <v>4235</v>
      </c>
      <c r="BR1007" s="152" t="s">
        <v>4237</v>
      </c>
      <c r="BS1007" s="152" t="n">
        <v>203523.56</v>
      </c>
      <c r="BT1007" s="152" t="n">
        <v>8236706.543</v>
      </c>
      <c r="BU1007" s="152" t="n">
        <v>203525.246</v>
      </c>
      <c r="BV1007" s="152" t="n">
        <v>8236701.207</v>
      </c>
      <c r="BW1007" s="152" t="n">
        <v>-15.9312304</v>
      </c>
      <c r="BX1007" s="152" t="n">
        <v>-47.7691505</v>
      </c>
      <c r="BY1007" s="152" t="s">
        <v>5363</v>
      </c>
    </row>
    <row r="1008" customFormat="false" ht="13.8" hidden="false" customHeight="false" outlineLevel="0" collapsed="false">
      <c r="A1008" s="149" t="n">
        <f aca="false">IF(C1008&lt;&gt;"",ROW(A1003),"")</f>
        <v>1003</v>
      </c>
      <c r="B1008" s="150" t="str">
        <f aca="false">HYPERLINK("https://www.google.com/maps/dir/-15.917302,-47.760003/-15.9313387,-47.7723305/data=!4m3!4m2!3e0!5i2")</f>
        <v>https://www.google.com/maps/dir/-15.917302,-47.760003/-15.9313387,-47.7723305/data=!4m3!4m2!3e0!5i2</v>
      </c>
      <c r="C1008" s="151" t="s">
        <v>117</v>
      </c>
      <c r="D1008" s="152" t="s">
        <v>112</v>
      </c>
      <c r="E1008" s="152" t="s">
        <v>113</v>
      </c>
      <c r="F1008" s="152" t="s">
        <v>117</v>
      </c>
      <c r="G1008" s="152" t="s">
        <v>782</v>
      </c>
      <c r="H1008" s="152" t="n">
        <v>63</v>
      </c>
      <c r="I1008" s="152" t="s">
        <v>115</v>
      </c>
      <c r="J1008" s="152" t="s">
        <v>6</v>
      </c>
      <c r="K1008" s="152" t="s">
        <v>5106</v>
      </c>
      <c r="L1008" s="152" t="s">
        <v>120</v>
      </c>
      <c r="M1008" s="153" t="n">
        <f aca="false">42.77</f>
        <v>42.77</v>
      </c>
      <c r="N1008" s="152" t="s">
        <v>1548</v>
      </c>
      <c r="O1008" s="152" t="s">
        <v>1549</v>
      </c>
      <c r="P1008" s="152" t="s">
        <v>1550</v>
      </c>
      <c r="Q1008" s="152" t="s">
        <v>1551</v>
      </c>
      <c r="R1008" s="154" t="s">
        <v>5366</v>
      </c>
      <c r="S1008" s="154" t="s">
        <v>1553</v>
      </c>
      <c r="T1008" s="155" t="s">
        <v>4002</v>
      </c>
      <c r="U1008" s="152" t="str">
        <f aca="false">RIGHT(T1008,7)</f>
        <v>015/037</v>
      </c>
      <c r="V1008" s="152" t="s">
        <v>1555</v>
      </c>
      <c r="W1008" s="156" t="n">
        <v>45882</v>
      </c>
      <c r="X1008" s="152" t="s">
        <v>1594</v>
      </c>
      <c r="Y1008" s="152" t="s">
        <v>5232</v>
      </c>
      <c r="Z1008" s="152" t="s">
        <v>1557</v>
      </c>
      <c r="AA1008" s="153" t="n">
        <v>4.8</v>
      </c>
      <c r="AB1008" s="151" t="s">
        <v>5367</v>
      </c>
      <c r="AC1008" s="151" t="s">
        <v>186</v>
      </c>
      <c r="AD1008" s="151" t="str">
        <f aca="false">CONCATENATE($C1008,$I1008,$H1008,$N1008,$J1008,$K1008)</f>
        <v>TUBO PEADPEAD63VCAREDESZona09</v>
      </c>
      <c r="AE1008" s="153" t="n">
        <f aca="false">IFERROR(INDEX(APOIO_REDES!$A:$W,MATCH($C1008&amp;$I1008&amp;$H1008&amp;$N1008&amp;$O1008,APOIO_REDES!$W:$W,0),MATCH(AE$5,APOIO_REDES!$5:$5,0)),0)</f>
        <v>1.2</v>
      </c>
      <c r="AF1008" s="153" t="n">
        <f aca="false">IFERROR(INDEX(APOIO_REDES!$A:$W,MATCH($C1008&amp;$I1008&amp;$H1008&amp;$N1008&amp;$O1008,APOIO_REDES!$W:$W,0),MATCH(AF$5,APOIO_REDES!$5:$5,0)),0)</f>
        <v>1.363</v>
      </c>
      <c r="AG1008" s="153" t="n">
        <f aca="false">IFERROR(INDEX(APOIO_REDES!$A:$W,MATCH($C1008&amp;$I1008&amp;$H1008&amp;$N1008&amp;$O1008,APOIO_REDES!$W:$W,0),MATCH(AG$5,APOIO_REDES!$5:$5,0)),0)</f>
        <v>0.65</v>
      </c>
      <c r="AH1008" s="153" t="n">
        <f aca="false">IFERROR(INDEX(APOIO_REDES!$A:$W,MATCH($C1008&amp;$I1008&amp;$H1008&amp;$N1008&amp;$O1008,APOIO_REDES!$W:$W,0),MATCH(AH$5,APOIO_REDES!$5:$5,0)),0)</f>
        <v>0.1</v>
      </c>
      <c r="AI1008" s="153" t="n">
        <f aca="false">IFERROR(IF($H1008&lt;&gt;"",(((($H1008/1000)/2)^2)*PI()*$M1008),0),0)</f>
        <v>0.133324581931132</v>
      </c>
      <c r="AJ1008" s="153" t="n">
        <f aca="false">IFERROR(IF(AND($H1008&lt;&gt;"",$I1008="FoFo",OR($N1008="MND",$N1008="VCA"),$Q1008="LINEAR"),0,IF(AND($H1008&lt;&gt;"",$I1008="PEAD",$N1008="VCA",$Q1008="LINEAR"),($H1008/1000)+0.3,IF(AND($H1008&lt;&gt;"",$I1008="PEAD",$N1008="MND",$Q1008="EMBOQUE"),0,IF(AND($H1008&lt;&gt;"",$I1008="PVC",$N1008="VCA",$Q1008="LINEAR"),($H1008/1000)+0.2,IF(AND($H1008&lt;&gt;"",$I1008="PVC",$N1008="MND",$Q1008="EMBOQUE"),0,IF(AND($H1008&lt;&gt;"",$I1008="PEAD",$N1008="VCA",$Q1008="PREDIAL"),0,0)))))),0)</f>
        <v>0.363</v>
      </c>
      <c r="AK1008" s="153" t="n">
        <f aca="false">IF(AA1008&lt;&gt;"",AA1008,0)</f>
        <v>4.8</v>
      </c>
      <c r="AL1008" s="153" t="n">
        <f aca="false">IF(AND($N1008="MND",$Q1008="EMBOQUE"),$M1008,IF(AND($N1008="VCA",$Q1008="LINEAR"),$M1008,IF(AND($N1008="VCA",$Q1008="PREDIAL"),0,0)))</f>
        <v>42.77</v>
      </c>
      <c r="AM1008" s="153" t="n">
        <f aca="false">IF(AND($N1008="MND",$Q1008="EMBOQUE"),$M1008,IF(AND($N1008="VCA",$Q1008="LINEAR"),$M1008,IF(AND($N1008="VCA",$Q1008="PREDIAL"),0,0)))</f>
        <v>42.77</v>
      </c>
      <c r="AN1008" s="153" t="n">
        <f aca="false">ROUND(IF(AND($N1008="VCA",$M1008&lt;&gt;"",$Q1008="LINEAR"),$M1008/100,IF(AND($N1008="MND",$M1008&gt;100,$Q1008="EMBOQUE"),$M1008/100,0)),0)</f>
        <v>0</v>
      </c>
      <c r="AO1008" s="153" t="n">
        <f aca="false">IF(AND($N1008="MND",$Q1008="EMBOQUE"),$AN1008*2*2,IF(AND($N1008="VCA",$Q1008="LINEAR"),$M1008*2,IF(AND($N1008="VCA",$Q1008="PREDIAL"),0,0)))</f>
        <v>85.54</v>
      </c>
      <c r="AP1008" s="153" t="n">
        <f aca="false">IFERROR($M1008*$AF1008*$AG1008,0)</f>
        <v>37.8920815</v>
      </c>
      <c r="AQ1008" s="153" t="n">
        <f aca="false">IFERROR(IF(AND($N1008="VCA",$AH1008&gt;0),$M1008*$AG1008*$AH1008,0),0)</f>
        <v>2.78005</v>
      </c>
      <c r="AR1008" s="153" t="n">
        <f aca="false">IFERROR(IF(AND($N1008="VCA",$AJ1008&gt;0),($M1008*$AG1008*$AJ1008)-$AI1008,0),0)</f>
        <v>9.95825691806887</v>
      </c>
      <c r="AS1008" s="153" t="n">
        <f aca="false">IFERROR(IF(AND($N1008="VCA",$AP1008&gt;0),$AP1008-$AI1008-$AQ1008-$AR1008,0),0)</f>
        <v>25.02045</v>
      </c>
      <c r="AT1008" s="153" t="n">
        <f aca="false">IFERROR(IF($N1008="VCA",INDEX(APOIO_REDES!$A:$W,MATCH($C1008&amp;$I1008&amp;$H1008&amp;$N1008&amp;$O1008,APOIO_REDES!$W:$W,0),MATCH(AT$5,APOIO_REDES!$5:$5,0)),0)*$AP1008,0)</f>
        <v>0.412277062203631</v>
      </c>
      <c r="AU1008" s="153" t="n">
        <f aca="false">IFERROR(IF($N1008="VCA",INDEX(APOIO_REDES!$A:$W,MATCH($C1008&amp;$I1008&amp;$H1008&amp;$N1008&amp;$O1008,APOIO_REDES!$W:$W,0),MATCH(AU$5,APOIO_REDES!$5:$5,0)),0)*$AP1008,0)</f>
        <v>0.329233295996913</v>
      </c>
      <c r="AV1008" s="153" t="n">
        <f aca="false">IFERROR(IF($N1008="VCA",INDEX(APOIO_REDES!$A:$W,MATCH($C1008&amp;$I1008&amp;$H1008&amp;$N1008&amp;$O1008,APOIO_REDES!$W:$W,0),MATCH(AV$5,APOIO_REDES!$5:$5,0)),0)*$AP1008,0)</f>
        <v>0.0455633035832626</v>
      </c>
      <c r="AW1008" s="153" t="n">
        <f aca="false">IFERROR(IF($N1008="VCA",INDEX(APOIO_REDES!$A:$W,MATCH($C1008&amp;$I1008&amp;$H1008&amp;$N1008&amp;$O1008,APOIO_REDES!$W:$W,0),MATCH(AW$5,APOIO_REDES!$5:$5,0)),0)*$AP1008,0)</f>
        <v>26.0094183437745</v>
      </c>
      <c r="AX1008" s="153" t="n">
        <f aca="false">IFERROR(IF($N1008="VCA",INDEX(APOIO_REDES!$A:$W,MATCH($C1008&amp;$I1008&amp;$H1008&amp;$N1008&amp;$O1008,APOIO_REDES!$W:$W,0),MATCH(AX$5,APOIO_REDES!$5:$5,0)),0)*$AP1008,0)</f>
        <v>3.59962940954782</v>
      </c>
      <c r="AY1008" s="153" t="n">
        <f aca="false">IFERROR(IF($N1008="VCA",INDEX(APOIO_REDES!$A:$W,MATCH($C1008&amp;$I1008&amp;$H1008&amp;$N1008&amp;$O1008,APOIO_REDES!$W:$W,0),MATCH(AY$5,APOIO_REDES!$5:$5,0)),0)*$AP1008,0)</f>
        <v>6.58466190661107</v>
      </c>
      <c r="AZ1008" s="153" t="n">
        <f aca="false">IFERROR(IF($N1008="VCA",INDEX(APOIO_REDES!$A:$W,MATCH($C1008&amp;$I1008&amp;$H1008&amp;$N1008&amp;$O1008,APOIO_REDES!$W:$W,0),MATCH(AZ$5,APOIO_REDES!$5:$5,0)),0)*$AP1008,0)</f>
        <v>0.91129817828277</v>
      </c>
      <c r="BA1008" s="153" t="n">
        <f aca="false">IFERROR(IF(AND($N1008="VCA",$Q1008="LINEAR"),INDEX(APOIO_REDES!$A:$W,MATCH($C1008&amp;$I1008&amp;$H1008&amp;$N1008&amp;$O1008,APOIO_REDES!$W:$W,0),MATCH(BA$5,APOIO_REDES!$5:$5,0)),IF(AND($N1008="MND",$Q1008="EMBOQUE"),INDEX(APOIO_REDES!$A:$W,MATCH($C1008&amp;$I1008&amp;$H1008&amp;$N1008&amp;$O1008,APOIO_REDES!$W:$W,0),MATCH(BA$5,APOIO_REDES!$5:$5,0)),0))*$M1008/10,0)</f>
        <v>3.4471541160872</v>
      </c>
      <c r="BB1008" s="153" t="n">
        <f aca="false">IFERROR(IF($N1008="VCA",INDEX(APOIO_REDES!$A:$W,MATCH($C1008&amp;$I1008&amp;$H1008&amp;$N1008&amp;$O1008,APOIO_REDES!$W:$W,0),MATCH(BB$5,APOIO_REDES!$5:$5,0)),0)*($AI1008+$AQ1008+$AR1008),0)</f>
        <v>12.7315843394715</v>
      </c>
      <c r="BC1008" s="153" t="n">
        <f aca="false">IFERROR(IF($N1008="VCA",INDEX(APOIO_REDES!$A:$W,MATCH($C1008&amp;$I1008&amp;$H1008&amp;$N1008&amp;$O1008,APOIO_REDES!$W:$W,0),MATCH(BC$5,APOIO_REDES!$5:$5,0)),0)*($AI1008+$AQ1008+$AR1008),0)</f>
        <v>0.140047160528453</v>
      </c>
      <c r="BD1008" s="153" t="n">
        <f aca="false">IF(AND($N1008="VCA",$AF1008&gt;=1.25,$AF1008&lt;1.5),$M1008*$AF1008*2,0)</f>
        <v>116.59102</v>
      </c>
      <c r="BE1008" s="153" t="n">
        <f aca="false">IF(AND($N1008="VCA",$AF1008&gt;=1.5,$AF1008&lt;3),$M1008*$AF1008*2,0)</f>
        <v>0</v>
      </c>
      <c r="BF1008" s="153" t="n">
        <f aca="false">IF(AND($N1008="VCA",$AF1008&gt;=3),$M1008*$AF1008*2,0)</f>
        <v>0</v>
      </c>
      <c r="BG1008" s="153" t="n">
        <f aca="false">($BB1008+$BC1008)*$AK1008</f>
        <v>61.7838312</v>
      </c>
      <c r="BH1008" s="153" t="n">
        <f aca="false">IF(AND($M1008&lt;&gt;"",$N1008="VCA",$Q1008="LINEAR"),($M1008*2)/100,IF(AND($M1008&lt;&gt;"",$N1008="MND",$Q1008="EMBOQUE"),($AN1008*2)/100,0))</f>
        <v>0.8554</v>
      </c>
      <c r="BI1008" s="153" t="n">
        <f aca="false">IF(AND($M1008&lt;&gt;"",$N1008="VCA",$Q1008="LINEAR"),$M1008,IF(AND($M1008&lt;&gt;"",$N1008="MND",$Q1008="EMBOQUE"),$AN1008*2,0))</f>
        <v>42.77</v>
      </c>
      <c r="BJ1008" s="153" t="n">
        <f aca="false">IF(AND($M1008&lt;&gt;"",$N1008="VCA",$Q1008="LINEAR"),($M1008*6.8)/100,IF(AND($M1008&lt;&gt;"",$N1008="MND",$Q1008="EMBOQUE"),($AN1008*2*6.8)/100,0))</f>
        <v>2.90836</v>
      </c>
      <c r="BK1008" s="153" t="n">
        <f aca="false">IF(AND($M1008&lt;&gt;"",$N1008="VCA",$Q1008="LINEAR"),($M1008*2.5)/50,IF(AND($M1008&lt;&gt;"",$N1008="MND",$Q1008="EMBOQUE"),($AN1008*2*2.5)/50,0))</f>
        <v>2.1385</v>
      </c>
      <c r="BL1008" s="157" t="str">
        <f aca="false">K1008&amp;J1008</f>
        <v>Zona09REDES</v>
      </c>
      <c r="BM1008" s="152" t="s">
        <v>5109</v>
      </c>
      <c r="BN1008" s="152" t="s">
        <v>1560</v>
      </c>
      <c r="BO1008" s="152" t="s">
        <v>4004</v>
      </c>
      <c r="BP1008" s="152" t="s">
        <v>5313</v>
      </c>
      <c r="BQ1008" s="152" t="s">
        <v>5215</v>
      </c>
      <c r="BR1008" s="152" t="s">
        <v>5368</v>
      </c>
      <c r="BS1008" s="152" t="n">
        <v>203183.57</v>
      </c>
      <c r="BT1008" s="152" t="n">
        <v>8236687.613</v>
      </c>
      <c r="BU1008" s="152" t="n">
        <v>203145.79</v>
      </c>
      <c r="BV1008" s="152" t="n">
        <v>8236707.66</v>
      </c>
      <c r="BW1008" s="152" t="n">
        <v>-15.9312431</v>
      </c>
      <c r="BX1008" s="152" t="n">
        <v>-47.7725081</v>
      </c>
      <c r="BY1008" s="152" t="s">
        <v>5313</v>
      </c>
    </row>
    <row r="1009" customFormat="false" ht="13.8" hidden="false" customHeight="false" outlineLevel="0" collapsed="false">
      <c r="A1009" s="149" t="n">
        <f aca="false">IF(C1009&lt;&gt;"",ROW(A1004),"")</f>
        <v>1004</v>
      </c>
      <c r="B1009" s="150" t="str">
        <f aca="false">HYPERLINK("https://www.google.com/maps/dir/-15.917302,-47.760003/-15.9308586,-47.7706764/data=!4m3!4m2!3e0!5i2")</f>
        <v>https://www.google.com/maps/dir/-15.917302,-47.760003/-15.9308586,-47.7706764/data=!4m3!4m2!3e0!5i2</v>
      </c>
      <c r="C1009" s="151" t="s">
        <v>117</v>
      </c>
      <c r="D1009" s="152" t="s">
        <v>112</v>
      </c>
      <c r="E1009" s="152" t="s">
        <v>113</v>
      </c>
      <c r="F1009" s="152" t="s">
        <v>117</v>
      </c>
      <c r="G1009" s="152" t="s">
        <v>782</v>
      </c>
      <c r="H1009" s="152" t="n">
        <v>90</v>
      </c>
      <c r="I1009" s="152" t="s">
        <v>115</v>
      </c>
      <c r="J1009" s="152" t="s">
        <v>6</v>
      </c>
      <c r="K1009" s="152" t="s">
        <v>5106</v>
      </c>
      <c r="L1009" s="152" t="s">
        <v>120</v>
      </c>
      <c r="M1009" s="153" t="n">
        <f aca="false">183.37+0.09</f>
        <v>183.46</v>
      </c>
      <c r="N1009" s="152" t="s">
        <v>1548</v>
      </c>
      <c r="O1009" s="152" t="s">
        <v>1549</v>
      </c>
      <c r="P1009" s="152" t="s">
        <v>1550</v>
      </c>
      <c r="Q1009" s="152" t="s">
        <v>1551</v>
      </c>
      <c r="R1009" s="154" t="s">
        <v>5369</v>
      </c>
      <c r="S1009" s="154" t="s">
        <v>1593</v>
      </c>
      <c r="T1009" s="155" t="s">
        <v>4002</v>
      </c>
      <c r="U1009" s="152" t="str">
        <f aca="false">RIGHT(T1009,7)</f>
        <v>015/037</v>
      </c>
      <c r="V1009" s="152" t="s">
        <v>1555</v>
      </c>
      <c r="W1009" s="156" t="n">
        <v>45882</v>
      </c>
      <c r="X1009" s="152" t="s">
        <v>1594</v>
      </c>
      <c r="Y1009" s="152"/>
      <c r="Z1009" s="152" t="s">
        <v>1557</v>
      </c>
      <c r="AA1009" s="153" t="n">
        <v>4.5</v>
      </c>
      <c r="AB1009" s="151" t="s">
        <v>5370</v>
      </c>
      <c r="AC1009" s="151" t="s">
        <v>526</v>
      </c>
      <c r="AD1009" s="151" t="str">
        <f aca="false">CONCATENATE($C1009,$I1009,$H1009,$N1009,$J1009,$K1009)</f>
        <v>TUBO PEADPEAD90VCAREDESZona09</v>
      </c>
      <c r="AE1009" s="153" t="n">
        <f aca="false">IFERROR(INDEX(APOIO_REDES!$A:$W,MATCH($C1009&amp;$I1009&amp;$H1009&amp;$N1009&amp;$O1009,APOIO_REDES!$W:$W,0),MATCH(AE$5,APOIO_REDES!$5:$5,0)),0)</f>
        <v>1.2</v>
      </c>
      <c r="AF1009" s="153" t="n">
        <f aca="false">IFERROR(INDEX(APOIO_REDES!$A:$W,MATCH($C1009&amp;$I1009&amp;$H1009&amp;$N1009&amp;$O1009,APOIO_REDES!$W:$W,0),MATCH(AF$5,APOIO_REDES!$5:$5,0)),0)</f>
        <v>1.39</v>
      </c>
      <c r="AG1009" s="153" t="n">
        <f aca="false">IFERROR(INDEX(APOIO_REDES!$A:$W,MATCH($C1009&amp;$I1009&amp;$H1009&amp;$N1009&amp;$O1009,APOIO_REDES!$W:$W,0),MATCH(AG$5,APOIO_REDES!$5:$5,0)),0)</f>
        <v>0.75</v>
      </c>
      <c r="AH1009" s="153" t="n">
        <f aca="false">IFERROR(INDEX(APOIO_REDES!$A:$W,MATCH($C1009&amp;$I1009&amp;$H1009&amp;$N1009&amp;$O1009,APOIO_REDES!$W:$W,0),MATCH(AH$5,APOIO_REDES!$5:$5,0)),0)</f>
        <v>0.1</v>
      </c>
      <c r="AI1009" s="153" t="n">
        <f aca="false">IFERROR(IF($H1009&lt;&gt;"",(((($H1009/1000)/2)^2)*PI()*$M1009),0),0)</f>
        <v>1.16712209116086</v>
      </c>
      <c r="AJ1009" s="153" t="n">
        <f aca="false">IFERROR(IF(AND($H1009&lt;&gt;"",$I1009="FoFo",OR($N1009="MND",$N1009="VCA"),$Q1009="LINEAR"),0,IF(AND($H1009&lt;&gt;"",$I1009="PEAD",$N1009="VCA",$Q1009="LINEAR"),($H1009/1000)+0.3,IF(AND($H1009&lt;&gt;"",$I1009="PEAD",$N1009="MND",$Q1009="EMBOQUE"),0,IF(AND($H1009&lt;&gt;"",$I1009="PVC",$N1009="VCA",$Q1009="LINEAR"),($H1009/1000)+0.2,IF(AND($H1009&lt;&gt;"",$I1009="PVC",$N1009="MND",$Q1009="EMBOQUE"),0,IF(AND($H1009&lt;&gt;"",$I1009="PEAD",$N1009="VCA",$Q1009="PREDIAL"),0,0)))))),0)</f>
        <v>0.39</v>
      </c>
      <c r="AK1009" s="153" t="n">
        <f aca="false">IF(AA1009&lt;&gt;"",AA1009,0)</f>
        <v>4.5</v>
      </c>
      <c r="AL1009" s="153" t="n">
        <f aca="false">IF(AND($N1009="MND",$Q1009="EMBOQUE"),$M1009,IF(AND($N1009="VCA",$Q1009="LINEAR"),$M1009,IF(AND($N1009="VCA",$Q1009="PREDIAL"),0,0)))</f>
        <v>183.46</v>
      </c>
      <c r="AM1009" s="153" t="n">
        <f aca="false">IF(AND($N1009="MND",$Q1009="EMBOQUE"),$M1009,IF(AND($N1009="VCA",$Q1009="LINEAR"),$M1009,IF(AND($N1009="VCA",$Q1009="PREDIAL"),0,0)))</f>
        <v>183.46</v>
      </c>
      <c r="AN1009" s="153" t="n">
        <f aca="false">ROUND(IF(AND($N1009="VCA",$M1009&lt;&gt;"",$Q1009="LINEAR"),$M1009/100,IF(AND($N1009="MND",$M1009&gt;100,$Q1009="EMBOQUE"),$M1009/100,0)),0)</f>
        <v>2</v>
      </c>
      <c r="AO1009" s="153" t="n">
        <f aca="false">IF(AND($N1009="MND",$Q1009="EMBOQUE"),$AN1009*2*2,IF(AND($N1009="VCA",$Q1009="LINEAR"),$M1009*2,IF(AND($N1009="VCA",$Q1009="PREDIAL"),0,0)))</f>
        <v>366.92</v>
      </c>
      <c r="AP1009" s="153" t="n">
        <f aca="false">IFERROR($M1009*$AF1009*$AG1009,0)</f>
        <v>191.25705</v>
      </c>
      <c r="AQ1009" s="153" t="n">
        <f aca="false">IFERROR(IF(AND($N1009="VCA",$AH1009&gt;0),$M1009*$AG1009*$AH1009,0),0)</f>
        <v>13.7595</v>
      </c>
      <c r="AR1009" s="153" t="n">
        <f aca="false">IFERROR(IF(AND($N1009="VCA",$AJ1009&gt;0),($M1009*$AG1009*$AJ1009)-$AI1009,0),0)</f>
        <v>52.4949279088391</v>
      </c>
      <c r="AS1009" s="153" t="n">
        <f aca="false">IFERROR(IF(AND($N1009="VCA",$AP1009&gt;0),$AP1009-$AI1009-$AQ1009-$AR1009,0),0)</f>
        <v>123.8355</v>
      </c>
      <c r="AT1009" s="153" t="n">
        <f aca="false">IFERROR(IF($N1009="VCA",INDEX(APOIO_REDES!$A:$W,MATCH($C1009&amp;$I1009&amp;$H1009&amp;$N1009&amp;$O1009,APOIO_REDES!$W:$W,0),MATCH(AT$5,APOIO_REDES!$5:$5,0)),0)*$AP1009,0)</f>
        <v>2.08093331319719</v>
      </c>
      <c r="AU1009" s="153" t="n">
        <f aca="false">IFERROR(IF($N1009="VCA",INDEX(APOIO_REDES!$A:$W,MATCH($C1009&amp;$I1009&amp;$H1009&amp;$N1009&amp;$O1009,APOIO_REDES!$W:$W,0),MATCH(AU$5,APOIO_REDES!$5:$5,0)),0)*$AP1009,0)</f>
        <v>1.6617769850977</v>
      </c>
      <c r="AV1009" s="153" t="n">
        <f aca="false">IFERROR(IF($N1009="VCA",INDEX(APOIO_REDES!$A:$W,MATCH($C1009&amp;$I1009&amp;$H1009&amp;$N1009&amp;$O1009,APOIO_REDES!$W:$W,0),MATCH(AV$5,APOIO_REDES!$5:$5,0)),0)*$AP1009,0)</f>
        <v>0.229976889276701</v>
      </c>
      <c r="AW1009" s="153" t="n">
        <f aca="false">IFERROR(IF($N1009="VCA",INDEX(APOIO_REDES!$A:$W,MATCH($C1009&amp;$I1009&amp;$H1009&amp;$N1009&amp;$O1009,APOIO_REDES!$W:$W,0),MATCH(AW$5,APOIO_REDES!$5:$5,0)),0)*$AP1009,0)</f>
        <v>131.280321051938</v>
      </c>
      <c r="AX1009" s="153" t="n">
        <f aca="false">IFERROR(IF($N1009="VCA",INDEX(APOIO_REDES!$A:$W,MATCH($C1009&amp;$I1009&amp;$H1009&amp;$N1009&amp;$O1009,APOIO_REDES!$W:$W,0),MATCH(AX$5,APOIO_REDES!$5:$5,0)),0)*$AP1009,0)</f>
        <v>18.1688224745151</v>
      </c>
      <c r="AY1009" s="153" t="n">
        <f aca="false">IFERROR(IF($N1009="VCA",INDEX(APOIO_REDES!$A:$W,MATCH($C1009&amp;$I1009&amp;$H1009&amp;$N1009&amp;$O1009,APOIO_REDES!$W:$W,0),MATCH(AY$5,APOIO_REDES!$5:$5,0)),0)*$AP1009,0)</f>
        <v>33.2355194450273</v>
      </c>
      <c r="AZ1009" s="153" t="n">
        <f aca="false">IFERROR(IF($N1009="VCA",INDEX(APOIO_REDES!$A:$W,MATCH($C1009&amp;$I1009&amp;$H1009&amp;$N1009&amp;$O1009,APOIO_REDES!$W:$W,0),MATCH(AZ$5,APOIO_REDES!$5:$5,0)),0)*$AP1009,0)</f>
        <v>4.59969984094795</v>
      </c>
      <c r="BA1009" s="153" t="n">
        <f aca="false">IFERROR(IF(AND($N1009="VCA",$Q1009="LINEAR"),INDEX(APOIO_REDES!$A:$W,MATCH($C1009&amp;$I1009&amp;$H1009&amp;$N1009&amp;$O1009,APOIO_REDES!$W:$W,0),MATCH(BA$5,APOIO_REDES!$5:$5,0)),IF(AND($N1009="MND",$Q1009="EMBOQUE"),INDEX(APOIO_REDES!$A:$W,MATCH($C1009&amp;$I1009&amp;$H1009&amp;$N1009&amp;$O1009,APOIO_REDES!$W:$W,0),MATCH(BA$5,APOIO_REDES!$5:$5,0)),0))*$M1009/10,0)</f>
        <v>14.7864132367865</v>
      </c>
      <c r="BB1009" s="153" t="n">
        <f aca="false">IFERROR(IF($N1009="VCA",INDEX(APOIO_REDES!$A:$W,MATCH($C1009&amp;$I1009&amp;$H1009&amp;$N1009&amp;$O1009,APOIO_REDES!$W:$W,0),MATCH(BB$5,APOIO_REDES!$5:$5,0)),0)*($AI1009+$AQ1009+$AR1009),0)</f>
        <v>66.6879835802398</v>
      </c>
      <c r="BC1009" s="153" t="n">
        <f aca="false">IFERROR(IF($N1009="VCA",INDEX(APOIO_REDES!$A:$W,MATCH($C1009&amp;$I1009&amp;$H1009&amp;$N1009&amp;$O1009,APOIO_REDES!$W:$W,0),MATCH(BC$5,APOIO_REDES!$5:$5,0)),0)*($AI1009+$AQ1009+$AR1009),0)</f>
        <v>0.733566419760161</v>
      </c>
      <c r="BD1009" s="153" t="n">
        <f aca="false">IF(AND($N1009="VCA",$AF1009&gt;=1.25,$AF1009&lt;1.5),$M1009*$AF1009*2,0)</f>
        <v>510.0188</v>
      </c>
      <c r="BE1009" s="153" t="n">
        <f aca="false">IF(AND($N1009="VCA",$AF1009&gt;=1.5,$AF1009&lt;3),$M1009*$AF1009*2,0)</f>
        <v>0</v>
      </c>
      <c r="BF1009" s="153" t="n">
        <f aca="false">IF(AND($N1009="VCA",$AF1009&gt;=3),$M1009*$AF1009*2,0)</f>
        <v>0</v>
      </c>
      <c r="BG1009" s="153" t="n">
        <f aca="false">($BB1009+$BC1009)*$AK1009</f>
        <v>303.396975</v>
      </c>
      <c r="BH1009" s="153" t="n">
        <f aca="false">IF(AND($M1009&lt;&gt;"",$N1009="VCA",$Q1009="LINEAR"),($M1009*2)/100,IF(AND($M1009&lt;&gt;"",$N1009="MND",$Q1009="EMBOQUE"),($AN1009*2)/100,0))</f>
        <v>3.6692</v>
      </c>
      <c r="BI1009" s="153" t="n">
        <f aca="false">IF(AND($M1009&lt;&gt;"",$N1009="VCA",$Q1009="LINEAR"),$M1009,IF(AND($M1009&lt;&gt;"",$N1009="MND",$Q1009="EMBOQUE"),$AN1009*2,0))</f>
        <v>183.46</v>
      </c>
      <c r="BJ1009" s="153" t="n">
        <f aca="false">IF(AND($M1009&lt;&gt;"",$N1009="VCA",$Q1009="LINEAR"),($M1009*6.8)/100,IF(AND($M1009&lt;&gt;"",$N1009="MND",$Q1009="EMBOQUE"),($AN1009*2*6.8)/100,0))</f>
        <v>12.47528</v>
      </c>
      <c r="BK1009" s="153" t="n">
        <f aca="false">IF(AND($M1009&lt;&gt;"",$N1009="VCA",$Q1009="LINEAR"),($M1009*2.5)/50,IF(AND($M1009&lt;&gt;"",$N1009="MND",$Q1009="EMBOQUE"),($AN1009*2*2.5)/50,0))</f>
        <v>9.173</v>
      </c>
      <c r="BL1009" s="157" t="str">
        <f aca="false">K1009&amp;J1009</f>
        <v>Zona09REDES</v>
      </c>
      <c r="BM1009" s="152" t="s">
        <v>5109</v>
      </c>
      <c r="BN1009" s="152" t="s">
        <v>1560</v>
      </c>
      <c r="BO1009" s="152" t="s">
        <v>4004</v>
      </c>
      <c r="BP1009" s="152" t="s">
        <v>5302</v>
      </c>
      <c r="BQ1009" s="152" t="s">
        <v>5371</v>
      </c>
      <c r="BR1009" s="152" t="s">
        <v>5372</v>
      </c>
      <c r="BS1009" s="152" t="n">
        <v>203360.187</v>
      </c>
      <c r="BT1009" s="152" t="n">
        <v>8236742.629</v>
      </c>
      <c r="BU1009" s="152" t="n">
        <v>203304.669</v>
      </c>
      <c r="BV1009" s="152" t="n">
        <v>8236597.683</v>
      </c>
      <c r="BW1009" s="152" t="n">
        <v>-15.9315029</v>
      </c>
      <c r="BX1009" s="152" t="n">
        <v>-47.7706983</v>
      </c>
      <c r="BY1009" s="152" t="s">
        <v>5302</v>
      </c>
    </row>
    <row r="1010" customFormat="false" ht="13.8" hidden="false" customHeight="false" outlineLevel="0" collapsed="false">
      <c r="A1010" s="149" t="n">
        <f aca="false">IF(C1010&lt;&gt;"",ROW(A1005),"")</f>
        <v>1005</v>
      </c>
      <c r="B1010" s="150" t="str">
        <f aca="false">HYPERLINK("https://www.google.com/maps/dir/-15.917302,-47.760003/-15.9316345,-47.7719568/data=!4m3!4m2!3e0!5i2")</f>
        <v>https://www.google.com/maps/dir/-15.917302,-47.760003/-15.9316345,-47.7719568/data=!4m3!4m2!3e0!5i2</v>
      </c>
      <c r="C1010" s="151" t="s">
        <v>117</v>
      </c>
      <c r="D1010" s="152" t="s">
        <v>112</v>
      </c>
      <c r="E1010" s="152" t="s">
        <v>113</v>
      </c>
      <c r="F1010" s="152" t="s">
        <v>117</v>
      </c>
      <c r="G1010" s="152" t="s">
        <v>782</v>
      </c>
      <c r="H1010" s="152" t="n">
        <v>63</v>
      </c>
      <c r="I1010" s="152" t="s">
        <v>115</v>
      </c>
      <c r="J1010" s="152" t="s">
        <v>6</v>
      </c>
      <c r="K1010" s="152" t="s">
        <v>5106</v>
      </c>
      <c r="L1010" s="152" t="s">
        <v>120</v>
      </c>
      <c r="M1010" s="153" t="n">
        <f aca="false">51.74</f>
        <v>51.74</v>
      </c>
      <c r="N1010" s="152" t="s">
        <v>1548</v>
      </c>
      <c r="O1010" s="152" t="s">
        <v>1549</v>
      </c>
      <c r="P1010" s="152" t="s">
        <v>1550</v>
      </c>
      <c r="Q1010" s="152" t="s">
        <v>1551</v>
      </c>
      <c r="R1010" s="154" t="s">
        <v>5373</v>
      </c>
      <c r="S1010" s="154" t="s">
        <v>1553</v>
      </c>
      <c r="T1010" s="155" t="s">
        <v>4002</v>
      </c>
      <c r="U1010" s="152" t="str">
        <f aca="false">RIGHT(T1010,7)</f>
        <v>015/037</v>
      </c>
      <c r="V1010" s="152" t="s">
        <v>1555</v>
      </c>
      <c r="W1010" s="156" t="n">
        <v>45882</v>
      </c>
      <c r="X1010" s="152" t="s">
        <v>1594</v>
      </c>
      <c r="Y1010" s="152" t="s">
        <v>5232</v>
      </c>
      <c r="Z1010" s="152" t="s">
        <v>1557</v>
      </c>
      <c r="AA1010" s="153" t="n">
        <v>4.7</v>
      </c>
      <c r="AB1010" s="151" t="s">
        <v>5374</v>
      </c>
      <c r="AC1010" s="151" t="s">
        <v>186</v>
      </c>
      <c r="AD1010" s="151" t="str">
        <f aca="false">CONCATENATE($C1010,$I1010,$H1010,$N1010,$J1010,$K1010)</f>
        <v>TUBO PEADPEAD63VCAREDESZona09</v>
      </c>
      <c r="AE1010" s="153" t="n">
        <f aca="false">IFERROR(INDEX(APOIO_REDES!$A:$W,MATCH($C1010&amp;$I1010&amp;$H1010&amp;$N1010&amp;$O1010,APOIO_REDES!$W:$W,0),MATCH(AE$5,APOIO_REDES!$5:$5,0)),0)</f>
        <v>1.2</v>
      </c>
      <c r="AF1010" s="153" t="n">
        <f aca="false">IFERROR(INDEX(APOIO_REDES!$A:$W,MATCH($C1010&amp;$I1010&amp;$H1010&amp;$N1010&amp;$O1010,APOIO_REDES!$W:$W,0),MATCH(AF$5,APOIO_REDES!$5:$5,0)),0)</f>
        <v>1.363</v>
      </c>
      <c r="AG1010" s="153" t="n">
        <f aca="false">IFERROR(INDEX(APOIO_REDES!$A:$W,MATCH($C1010&amp;$I1010&amp;$H1010&amp;$N1010&amp;$O1010,APOIO_REDES!$W:$W,0),MATCH(AG$5,APOIO_REDES!$5:$5,0)),0)</f>
        <v>0.65</v>
      </c>
      <c r="AH1010" s="153" t="n">
        <f aca="false">IFERROR(INDEX(APOIO_REDES!$A:$W,MATCH($C1010&amp;$I1010&amp;$H1010&amp;$N1010&amp;$O1010,APOIO_REDES!$W:$W,0),MATCH(AH$5,APOIO_REDES!$5:$5,0)),0)</f>
        <v>0.1</v>
      </c>
      <c r="AI1010" s="153" t="n">
        <f aca="false">IFERROR(IF($H1010&lt;&gt;"",(((($H1010/1000)/2)^2)*PI()*$M1010),0),0)</f>
        <v>0.161286272366536</v>
      </c>
      <c r="AJ1010" s="153" t="n">
        <f aca="false">IFERROR(IF(AND($H1010&lt;&gt;"",$I1010="FoFo",OR($N1010="MND",$N1010="VCA"),$Q1010="LINEAR"),0,IF(AND($H1010&lt;&gt;"",$I1010="PEAD",$N1010="VCA",$Q1010="LINEAR"),($H1010/1000)+0.3,IF(AND($H1010&lt;&gt;"",$I1010="PEAD",$N1010="MND",$Q1010="EMBOQUE"),0,IF(AND($H1010&lt;&gt;"",$I1010="PVC",$N1010="VCA",$Q1010="LINEAR"),($H1010/1000)+0.2,IF(AND($H1010&lt;&gt;"",$I1010="PVC",$N1010="MND",$Q1010="EMBOQUE"),0,IF(AND($H1010&lt;&gt;"",$I1010="PEAD",$N1010="VCA",$Q1010="PREDIAL"),0,0)))))),0)</f>
        <v>0.363</v>
      </c>
      <c r="AK1010" s="153" t="n">
        <f aca="false">IF(AA1010&lt;&gt;"",AA1010,0)</f>
        <v>4.7</v>
      </c>
      <c r="AL1010" s="153" t="n">
        <f aca="false">IF(AND($N1010="MND",$Q1010="EMBOQUE"),$M1010,IF(AND($N1010="VCA",$Q1010="LINEAR"),$M1010,IF(AND($N1010="VCA",$Q1010="PREDIAL"),0,0)))</f>
        <v>51.74</v>
      </c>
      <c r="AM1010" s="153" t="n">
        <f aca="false">IF(AND($N1010="MND",$Q1010="EMBOQUE"),$M1010,IF(AND($N1010="VCA",$Q1010="LINEAR"),$M1010,IF(AND($N1010="VCA",$Q1010="PREDIAL"),0,0)))</f>
        <v>51.74</v>
      </c>
      <c r="AN1010" s="153" t="n">
        <f aca="false">ROUND(IF(AND($N1010="VCA",$M1010&lt;&gt;"",$Q1010="LINEAR"),$M1010/100,IF(AND($N1010="MND",$M1010&gt;100,$Q1010="EMBOQUE"),$M1010/100,0)),0)</f>
        <v>1</v>
      </c>
      <c r="AO1010" s="153" t="n">
        <f aca="false">IF(AND($N1010="MND",$Q1010="EMBOQUE"),$AN1010*2*2,IF(AND($N1010="VCA",$Q1010="LINEAR"),$M1010*2,IF(AND($N1010="VCA",$Q1010="PREDIAL"),0,0)))</f>
        <v>103.48</v>
      </c>
      <c r="AP1010" s="153" t="n">
        <f aca="false">IFERROR($M1010*$AF1010*$AG1010,0)</f>
        <v>45.839053</v>
      </c>
      <c r="AQ1010" s="153" t="n">
        <f aca="false">IFERROR(IF(AND($N1010="VCA",$AH1010&gt;0),$M1010*$AG1010*$AH1010,0),0)</f>
        <v>3.3631</v>
      </c>
      <c r="AR1010" s="153" t="n">
        <f aca="false">IFERROR(IF(AND($N1010="VCA",$AJ1010&gt;0),($M1010*$AG1010*$AJ1010)-$AI1010,0),0)</f>
        <v>12.0467667276335</v>
      </c>
      <c r="AS1010" s="153" t="n">
        <f aca="false">IFERROR(IF(AND($N1010="VCA",$AP1010&gt;0),$AP1010-$AI1010-$AQ1010-$AR1010,0),0)</f>
        <v>30.2679</v>
      </c>
      <c r="AT1010" s="153" t="n">
        <f aca="false">IFERROR(IF($N1010="VCA",INDEX(APOIO_REDES!$A:$W,MATCH($C1010&amp;$I1010&amp;$H1010&amp;$N1010&amp;$O1010,APOIO_REDES!$W:$W,0),MATCH(AT$5,APOIO_REDES!$5:$5,0)),0)*$AP1010,0)</f>
        <v>0.498742464307128</v>
      </c>
      <c r="AU1010" s="153" t="n">
        <f aca="false">IFERROR(IF($N1010="VCA",INDEX(APOIO_REDES!$A:$W,MATCH($C1010&amp;$I1010&amp;$H1010&amp;$N1010&amp;$O1010,APOIO_REDES!$W:$W,0),MATCH(AU$5,APOIO_REDES!$5:$5,0)),0)*$AP1010,0)</f>
        <v>0.398282224336691</v>
      </c>
      <c r="AV1010" s="153" t="n">
        <f aca="false">IFERROR(IF($N1010="VCA",INDEX(APOIO_REDES!$A:$W,MATCH($C1010&amp;$I1010&amp;$H1010&amp;$N1010&amp;$O1010,APOIO_REDES!$W:$W,0),MATCH(AV$5,APOIO_REDES!$5:$5,0)),0)*$AP1010,0)</f>
        <v>0.0551191332101475</v>
      </c>
      <c r="AW1010" s="153" t="n">
        <f aca="false">IFERROR(IF($N1010="VCA",INDEX(APOIO_REDES!$A:$W,MATCH($C1010&amp;$I1010&amp;$H1010&amp;$N1010&amp;$O1010,APOIO_REDES!$W:$W,0),MATCH(AW$5,APOIO_REDES!$5:$5,0)),0)*$AP1010,0)</f>
        <v>31.4642811575145</v>
      </c>
      <c r="AX1010" s="153" t="n">
        <f aca="false">IFERROR(IF($N1010="VCA",INDEX(APOIO_REDES!$A:$W,MATCH($C1010&amp;$I1010&amp;$H1010&amp;$N1010&amp;$O1010,APOIO_REDES!$W:$W,0),MATCH(AX$5,APOIO_REDES!$5:$5,0)),0)*$AP1010,0)</f>
        <v>4.35456688449857</v>
      </c>
      <c r="AY1010" s="153" t="n">
        <f aca="false">IFERROR(IF($N1010="VCA",INDEX(APOIO_REDES!$A:$W,MATCH($C1010&amp;$I1010&amp;$H1010&amp;$N1010&amp;$O1010,APOIO_REDES!$W:$W,0),MATCH(AY$5,APOIO_REDES!$5:$5,0)),0)*$AP1010,0)</f>
        <v>7.96563963170579</v>
      </c>
      <c r="AZ1010" s="153" t="n">
        <f aca="false">IFERROR(IF($N1010="VCA",INDEX(APOIO_REDES!$A:$W,MATCH($C1010&amp;$I1010&amp;$H1010&amp;$N1010&amp;$O1010,APOIO_REDES!$W:$W,0),MATCH(AZ$5,APOIO_REDES!$5:$5,0)),0)*$AP1010,0)</f>
        <v>1.10242150442718</v>
      </c>
      <c r="BA1010" s="153" t="n">
        <f aca="false">IFERROR(IF(AND($N1010="VCA",$Q1010="LINEAR"),INDEX(APOIO_REDES!$A:$W,MATCH($C1010&amp;$I1010&amp;$H1010&amp;$N1010&amp;$O1010,APOIO_REDES!$W:$W,0),MATCH(BA$5,APOIO_REDES!$5:$5,0)),IF(AND($N1010="MND",$Q1010="EMBOQUE"),INDEX(APOIO_REDES!$A:$W,MATCH($C1010&amp;$I1010&amp;$H1010&amp;$N1010&amp;$O1010,APOIO_REDES!$W:$W,0),MATCH(BA$5,APOIO_REDES!$5:$5,0)),0))*$M1010/10,0)</f>
        <v>4.17011348997783</v>
      </c>
      <c r="BB1010" s="153" t="n">
        <f aca="false">IFERROR(IF($N1010="VCA",INDEX(APOIO_REDES!$A:$W,MATCH($C1010&amp;$I1010&amp;$H1010&amp;$N1010&amp;$O1010,APOIO_REDES!$W:$W,0),MATCH(BB$5,APOIO_REDES!$5:$5,0)),0)*($AI1010+$AQ1010+$AR1010),0)</f>
        <v>15.401734246534</v>
      </c>
      <c r="BC1010" s="153" t="n">
        <f aca="false">IFERROR(IF($N1010="VCA",INDEX(APOIO_REDES!$A:$W,MATCH($C1010&amp;$I1010&amp;$H1010&amp;$N1010&amp;$O1010,APOIO_REDES!$W:$W,0),MATCH(BC$5,APOIO_REDES!$5:$5,0)),0)*($AI1010+$AQ1010+$AR1010),0)</f>
        <v>0.169418753466031</v>
      </c>
      <c r="BD1010" s="153" t="n">
        <f aca="false">IF(AND($N1010="VCA",$AF1010&gt;=1.25,$AF1010&lt;1.5),$M1010*$AF1010*2,0)</f>
        <v>141.04324</v>
      </c>
      <c r="BE1010" s="153" t="n">
        <f aca="false">IF(AND($N1010="VCA",$AF1010&gt;=1.5,$AF1010&lt;3),$M1010*$AF1010*2,0)</f>
        <v>0</v>
      </c>
      <c r="BF1010" s="153" t="n">
        <f aca="false">IF(AND($N1010="VCA",$AF1010&gt;=3),$M1010*$AF1010*2,0)</f>
        <v>0</v>
      </c>
      <c r="BG1010" s="153" t="n">
        <f aca="false">($BB1010+$BC1010)*$AK1010</f>
        <v>73.1844191</v>
      </c>
      <c r="BH1010" s="153" t="n">
        <f aca="false">IF(AND($M1010&lt;&gt;"",$N1010="VCA",$Q1010="LINEAR"),($M1010*2)/100,IF(AND($M1010&lt;&gt;"",$N1010="MND",$Q1010="EMBOQUE"),($AN1010*2)/100,0))</f>
        <v>1.0348</v>
      </c>
      <c r="BI1010" s="153" t="n">
        <f aca="false">IF(AND($M1010&lt;&gt;"",$N1010="VCA",$Q1010="LINEAR"),$M1010,IF(AND($M1010&lt;&gt;"",$N1010="MND",$Q1010="EMBOQUE"),$AN1010*2,0))</f>
        <v>51.74</v>
      </c>
      <c r="BJ1010" s="153" t="n">
        <f aca="false">IF(AND($M1010&lt;&gt;"",$N1010="VCA",$Q1010="LINEAR"),($M1010*6.8)/100,IF(AND($M1010&lt;&gt;"",$N1010="MND",$Q1010="EMBOQUE"),($AN1010*2*6.8)/100,0))</f>
        <v>3.51832</v>
      </c>
      <c r="BK1010" s="153" t="n">
        <f aca="false">IF(AND($M1010&lt;&gt;"",$N1010="VCA",$Q1010="LINEAR"),($M1010*2.5)/50,IF(AND($M1010&lt;&gt;"",$N1010="MND",$Q1010="EMBOQUE"),($AN1010*2*2.5)/50,0))</f>
        <v>2.587</v>
      </c>
      <c r="BL1010" s="157" t="str">
        <f aca="false">K1010&amp;J1010</f>
        <v>Zona09REDES</v>
      </c>
      <c r="BM1010" s="152" t="s">
        <v>5109</v>
      </c>
      <c r="BN1010" s="152" t="s">
        <v>1560</v>
      </c>
      <c r="BO1010" s="152" t="s">
        <v>4004</v>
      </c>
      <c r="BP1010" s="152" t="s">
        <v>5327</v>
      </c>
      <c r="BQ1010" s="152" t="s">
        <v>5313</v>
      </c>
      <c r="BR1010" s="152" t="s">
        <v>5375</v>
      </c>
      <c r="BS1010" s="152" t="n">
        <v>203224.345</v>
      </c>
      <c r="BT1010" s="152" t="n">
        <v>8236655.141</v>
      </c>
      <c r="BU1010" s="152" t="n">
        <v>203183.876</v>
      </c>
      <c r="BV1010" s="152" t="n">
        <v>8236687.368</v>
      </c>
      <c r="BW1010" s="152" t="n">
        <v>-15.9314871</v>
      </c>
      <c r="BX1010" s="152" t="n">
        <v>-47.7721441</v>
      </c>
      <c r="BY1010" s="152" t="s">
        <v>5327</v>
      </c>
    </row>
    <row r="1011" customFormat="false" ht="13.8" hidden="false" customHeight="false" outlineLevel="0" collapsed="false">
      <c r="A1011" s="149" t="n">
        <f aca="false">IF(C1011&lt;&gt;"",ROW(A1006),"")</f>
        <v>1006</v>
      </c>
      <c r="B1011" s="150" t="str">
        <f aca="false">HYPERLINK("https://www.google.com/maps/dir/-15.917302,-47.760003/-15.9316345,-47.7719568/data=!4m3!4m2!3e0!5i2")</f>
        <v>https://www.google.com/maps/dir/-15.917302,-47.760003/-15.9316345,-47.7719568/data=!4m3!4m2!3e0!5i2</v>
      </c>
      <c r="C1011" s="151" t="s">
        <v>117</v>
      </c>
      <c r="D1011" s="152" t="s">
        <v>112</v>
      </c>
      <c r="E1011" s="152" t="s">
        <v>113</v>
      </c>
      <c r="F1011" s="152" t="s">
        <v>117</v>
      </c>
      <c r="G1011" s="152" t="s">
        <v>782</v>
      </c>
      <c r="H1011" s="152" t="n">
        <v>63</v>
      </c>
      <c r="I1011" s="152" t="s">
        <v>115</v>
      </c>
      <c r="J1011" s="152" t="s">
        <v>6</v>
      </c>
      <c r="K1011" s="152" t="s">
        <v>5106</v>
      </c>
      <c r="L1011" s="152" t="s">
        <v>120</v>
      </c>
      <c r="M1011" s="153" t="n">
        <f aca="false">5.56</f>
        <v>5.56</v>
      </c>
      <c r="N1011" s="152" t="s">
        <v>1548</v>
      </c>
      <c r="O1011" s="152" t="s">
        <v>1549</v>
      </c>
      <c r="P1011" s="152" t="s">
        <v>1550</v>
      </c>
      <c r="Q1011" s="152" t="s">
        <v>1551</v>
      </c>
      <c r="R1011" s="154" t="s">
        <v>5376</v>
      </c>
      <c r="S1011" s="154" t="s">
        <v>1553</v>
      </c>
      <c r="T1011" s="155" t="s">
        <v>4002</v>
      </c>
      <c r="U1011" s="152" t="str">
        <f aca="false">RIGHT(T1011,7)</f>
        <v>015/037</v>
      </c>
      <c r="V1011" s="152" t="s">
        <v>1555</v>
      </c>
      <c r="W1011" s="156" t="n">
        <v>45882</v>
      </c>
      <c r="X1011" s="152" t="s">
        <v>1594</v>
      </c>
      <c r="Y1011" s="152" t="s">
        <v>5232</v>
      </c>
      <c r="Z1011" s="152" t="s">
        <v>1557</v>
      </c>
      <c r="AA1011" s="153" t="n">
        <v>4.7</v>
      </c>
      <c r="AB1011" s="151" t="s">
        <v>5377</v>
      </c>
      <c r="AC1011" s="151" t="s">
        <v>186</v>
      </c>
      <c r="AD1011" s="151" t="str">
        <f aca="false">CONCATENATE($C1011,$I1011,$H1011,$N1011,$J1011,$K1011)</f>
        <v>TUBO PEADPEAD63VCAREDESZona09</v>
      </c>
      <c r="AE1011" s="153" t="n">
        <f aca="false">IFERROR(INDEX(APOIO_REDES!$A:$W,MATCH($C1011&amp;$I1011&amp;$H1011&amp;$N1011&amp;$O1011,APOIO_REDES!$W:$W,0),MATCH(AE$5,APOIO_REDES!$5:$5,0)),0)</f>
        <v>1.2</v>
      </c>
      <c r="AF1011" s="153" t="n">
        <f aca="false">IFERROR(INDEX(APOIO_REDES!$A:$W,MATCH($C1011&amp;$I1011&amp;$H1011&amp;$N1011&amp;$O1011,APOIO_REDES!$W:$W,0),MATCH(AF$5,APOIO_REDES!$5:$5,0)),0)</f>
        <v>1.363</v>
      </c>
      <c r="AG1011" s="153" t="n">
        <f aca="false">IFERROR(INDEX(APOIO_REDES!$A:$W,MATCH($C1011&amp;$I1011&amp;$H1011&amp;$N1011&amp;$O1011,APOIO_REDES!$W:$W,0),MATCH(AG$5,APOIO_REDES!$5:$5,0)),0)</f>
        <v>0.65</v>
      </c>
      <c r="AH1011" s="153" t="n">
        <f aca="false">IFERROR(INDEX(APOIO_REDES!$A:$W,MATCH($C1011&amp;$I1011&amp;$H1011&amp;$N1011&amp;$O1011,APOIO_REDES!$W:$W,0),MATCH(AH$5,APOIO_REDES!$5:$5,0)),0)</f>
        <v>0.1</v>
      </c>
      <c r="AI1011" s="153" t="n">
        <f aca="false">IFERROR(IF($H1011&lt;&gt;"",(((($H1011/1000)/2)^2)*PI()*$M1011),0),0)</f>
        <v>0.0173318839265161</v>
      </c>
      <c r="AJ1011" s="153" t="n">
        <f aca="false">IFERROR(IF(AND($H1011&lt;&gt;"",$I1011="FoFo",OR($N1011="MND",$N1011="VCA"),$Q1011="LINEAR"),0,IF(AND($H1011&lt;&gt;"",$I1011="PEAD",$N1011="VCA",$Q1011="LINEAR"),($H1011/1000)+0.3,IF(AND($H1011&lt;&gt;"",$I1011="PEAD",$N1011="MND",$Q1011="EMBOQUE"),0,IF(AND($H1011&lt;&gt;"",$I1011="PVC",$N1011="VCA",$Q1011="LINEAR"),($H1011/1000)+0.2,IF(AND($H1011&lt;&gt;"",$I1011="PVC",$N1011="MND",$Q1011="EMBOQUE"),0,IF(AND($H1011&lt;&gt;"",$I1011="PEAD",$N1011="VCA",$Q1011="PREDIAL"),0,0)))))),0)</f>
        <v>0.363</v>
      </c>
      <c r="AK1011" s="153" t="n">
        <f aca="false">IF(AA1011&lt;&gt;"",AA1011,0)</f>
        <v>4.7</v>
      </c>
      <c r="AL1011" s="153" t="n">
        <f aca="false">IF(AND($N1011="MND",$Q1011="EMBOQUE"),$M1011,IF(AND($N1011="VCA",$Q1011="LINEAR"),$M1011,IF(AND($N1011="VCA",$Q1011="PREDIAL"),0,0)))</f>
        <v>5.56</v>
      </c>
      <c r="AM1011" s="153" t="n">
        <f aca="false">IF(AND($N1011="MND",$Q1011="EMBOQUE"),$M1011,IF(AND($N1011="VCA",$Q1011="LINEAR"),$M1011,IF(AND($N1011="VCA",$Q1011="PREDIAL"),0,0)))</f>
        <v>5.56</v>
      </c>
      <c r="AN1011" s="153" t="n">
        <f aca="false">ROUND(IF(AND($N1011="VCA",$M1011&lt;&gt;"",$Q1011="LINEAR"),$M1011/100,IF(AND($N1011="MND",$M1011&gt;100,$Q1011="EMBOQUE"),$M1011/100,0)),0)</f>
        <v>0</v>
      </c>
      <c r="AO1011" s="153" t="n">
        <f aca="false">IF(AND($N1011="MND",$Q1011="EMBOQUE"),$AN1011*2*2,IF(AND($N1011="VCA",$Q1011="LINEAR"),$M1011*2,IF(AND($N1011="VCA",$Q1011="PREDIAL"),0,0)))</f>
        <v>11.12</v>
      </c>
      <c r="AP1011" s="153" t="n">
        <f aca="false">IFERROR($M1011*$AF1011*$AG1011,0)</f>
        <v>4.925882</v>
      </c>
      <c r="AQ1011" s="153" t="n">
        <f aca="false">IFERROR(IF(AND($N1011="VCA",$AH1011&gt;0),$M1011*$AG1011*$AH1011,0),0)</f>
        <v>0.3614</v>
      </c>
      <c r="AR1011" s="153" t="n">
        <f aca="false">IFERROR(IF(AND($N1011="VCA",$AJ1011&gt;0),($M1011*$AG1011*$AJ1011)-$AI1011,0),0)</f>
        <v>1.29455011607348</v>
      </c>
      <c r="AS1011" s="153" t="n">
        <f aca="false">IFERROR(IF(AND($N1011="VCA",$AP1011&gt;0),$AP1011-$AI1011-$AQ1011-$AR1011,0),0)</f>
        <v>3.2526</v>
      </c>
      <c r="AT1011" s="153" t="n">
        <f aca="false">IFERROR(IF($N1011="VCA",INDEX(APOIO_REDES!$A:$W,MATCH($C1011&amp;$I1011&amp;$H1011&amp;$N1011&amp;$O1011,APOIO_REDES!$W:$W,0),MATCH(AT$5,APOIO_REDES!$5:$5,0)),0)*$AP1011,0)</f>
        <v>0.0535950541466492</v>
      </c>
      <c r="AU1011" s="153" t="n">
        <f aca="false">IFERROR(IF($N1011="VCA",INDEX(APOIO_REDES!$A:$W,MATCH($C1011&amp;$I1011&amp;$H1011&amp;$N1011&amp;$O1011,APOIO_REDES!$W:$W,0),MATCH(AU$5,APOIO_REDES!$5:$5,0)),0)*$AP1011,0)</f>
        <v>0.042799558703363</v>
      </c>
      <c r="AV1011" s="153" t="n">
        <f aca="false">IFERROR(IF($N1011="VCA",INDEX(APOIO_REDES!$A:$W,MATCH($C1011&amp;$I1011&amp;$H1011&amp;$N1011&amp;$O1011,APOIO_REDES!$W:$W,0),MATCH(AV$5,APOIO_REDES!$5:$5,0)),0)*$AP1011,0)</f>
        <v>0.00592312293483611</v>
      </c>
      <c r="AW1011" s="153" t="n">
        <f aca="false">IFERROR(IF($N1011="VCA",INDEX(APOIO_REDES!$A:$W,MATCH($C1011&amp;$I1011&amp;$H1011&amp;$N1011&amp;$O1011,APOIO_REDES!$W:$W,0),MATCH(AW$5,APOIO_REDES!$5:$5,0)),0)*$AP1011,0)</f>
        <v>3.38116357239622</v>
      </c>
      <c r="AX1011" s="153" t="n">
        <f aca="false">IFERROR(IF($N1011="VCA",INDEX(APOIO_REDES!$A:$W,MATCH($C1011&amp;$I1011&amp;$H1011&amp;$N1011&amp;$O1011,APOIO_REDES!$W:$W,0),MATCH(AX$5,APOIO_REDES!$5:$5,0)),0)*$AP1011,0)</f>
        <v>0.467943406992889</v>
      </c>
      <c r="AY1011" s="153" t="n">
        <f aca="false">IFERROR(IF($N1011="VCA",INDEX(APOIO_REDES!$A:$W,MATCH($C1011&amp;$I1011&amp;$H1011&amp;$N1011&amp;$O1011,APOIO_REDES!$W:$W,0),MATCH(AY$5,APOIO_REDES!$5:$5,0)),0)*$AP1011,0)</f>
        <v>0.855990652344109</v>
      </c>
      <c r="AZ1011" s="153" t="n">
        <f aca="false">IFERROR(IF($N1011="VCA",INDEX(APOIO_REDES!$A:$W,MATCH($C1011&amp;$I1011&amp;$H1011&amp;$N1011&amp;$O1011,APOIO_REDES!$W:$W,0),MATCH(AZ$5,APOIO_REDES!$5:$5,0)),0)*$AP1011,0)</f>
        <v>0.118466632481931</v>
      </c>
      <c r="BA1011" s="153" t="n">
        <f aca="false">IFERROR(IF(AND($N1011="VCA",$Q1011="LINEAR"),INDEX(APOIO_REDES!$A:$W,MATCH($C1011&amp;$I1011&amp;$H1011&amp;$N1011&amp;$O1011,APOIO_REDES!$W:$W,0),MATCH(BA$5,APOIO_REDES!$5:$5,0)),IF(AND($N1011="MND",$Q1011="EMBOQUE"),INDEX(APOIO_REDES!$A:$W,MATCH($C1011&amp;$I1011&amp;$H1011&amp;$N1011&amp;$O1011,APOIO_REDES!$W:$W,0),MATCH(BA$5,APOIO_REDES!$5:$5,0)),0))*$M1011/10,0)</f>
        <v>0.448121975343578</v>
      </c>
      <c r="BB1011" s="153" t="n">
        <f aca="false">IFERROR(IF($N1011="VCA",INDEX(APOIO_REDES!$A:$W,MATCH($C1011&amp;$I1011&amp;$H1011&amp;$N1011&amp;$O1011,APOIO_REDES!$W:$W,0),MATCH(BB$5,APOIO_REDES!$5:$5,0)),0)*($AI1011+$AQ1011+$AR1011),0)</f>
        <v>1.65507619657381</v>
      </c>
      <c r="BC1011" s="153" t="n">
        <f aca="false">IFERROR(IF($N1011="VCA",INDEX(APOIO_REDES!$A:$W,MATCH($C1011&amp;$I1011&amp;$H1011&amp;$N1011&amp;$O1011,APOIO_REDES!$W:$W,0),MATCH(BC$5,APOIO_REDES!$5:$5,0)),0)*($AI1011+$AQ1011+$AR1011),0)</f>
        <v>0.0182058034261912</v>
      </c>
      <c r="BD1011" s="153" t="n">
        <f aca="false">IF(AND($N1011="VCA",$AF1011&gt;=1.25,$AF1011&lt;1.5),$M1011*$AF1011*2,0)</f>
        <v>15.15656</v>
      </c>
      <c r="BE1011" s="153" t="n">
        <f aca="false">IF(AND($N1011="VCA",$AF1011&gt;=1.5,$AF1011&lt;3),$M1011*$AF1011*2,0)</f>
        <v>0</v>
      </c>
      <c r="BF1011" s="153" t="n">
        <f aca="false">IF(AND($N1011="VCA",$AF1011&gt;=3),$M1011*$AF1011*2,0)</f>
        <v>0</v>
      </c>
      <c r="BG1011" s="153" t="n">
        <f aca="false">($BB1011+$BC1011)*$AK1011</f>
        <v>7.8644254</v>
      </c>
      <c r="BH1011" s="153" t="n">
        <f aca="false">IF(AND($M1011&lt;&gt;"",$N1011="VCA",$Q1011="LINEAR"),($M1011*2)/100,IF(AND($M1011&lt;&gt;"",$N1011="MND",$Q1011="EMBOQUE"),($AN1011*2)/100,0))</f>
        <v>0.1112</v>
      </c>
      <c r="BI1011" s="153" t="n">
        <f aca="false">IF(AND($M1011&lt;&gt;"",$N1011="VCA",$Q1011="LINEAR"),$M1011,IF(AND($M1011&lt;&gt;"",$N1011="MND",$Q1011="EMBOQUE"),$AN1011*2,0))</f>
        <v>5.56</v>
      </c>
      <c r="BJ1011" s="153" t="n">
        <f aca="false">IF(AND($M1011&lt;&gt;"",$N1011="VCA",$Q1011="LINEAR"),($M1011*6.8)/100,IF(AND($M1011&lt;&gt;"",$N1011="MND",$Q1011="EMBOQUE"),($AN1011*2*6.8)/100,0))</f>
        <v>0.37808</v>
      </c>
      <c r="BK1011" s="153" t="n">
        <f aca="false">IF(AND($M1011&lt;&gt;"",$N1011="VCA",$Q1011="LINEAR"),($M1011*2.5)/50,IF(AND($M1011&lt;&gt;"",$N1011="MND",$Q1011="EMBOQUE"),($AN1011*2*2.5)/50,0))</f>
        <v>0.278</v>
      </c>
      <c r="BL1011" s="157" t="str">
        <f aca="false">K1011&amp;J1011</f>
        <v>Zona09REDES</v>
      </c>
      <c r="BM1011" s="152" t="s">
        <v>5109</v>
      </c>
      <c r="BN1011" s="152" t="s">
        <v>1560</v>
      </c>
      <c r="BO1011" s="152" t="s">
        <v>4004</v>
      </c>
      <c r="BP1011" s="152" t="s">
        <v>5327</v>
      </c>
      <c r="BQ1011" s="152" t="s">
        <v>5378</v>
      </c>
      <c r="BR1011" s="152" t="s">
        <v>5379</v>
      </c>
      <c r="BS1011" s="152" t="n">
        <v>203224.345</v>
      </c>
      <c r="BT1011" s="152" t="n">
        <v>8236655.141</v>
      </c>
      <c r="BU1011" s="152" t="n">
        <v>203228.671</v>
      </c>
      <c r="BV1011" s="152" t="n">
        <v>8236651.641</v>
      </c>
      <c r="BW1011" s="152" t="n">
        <v>-15.9316505</v>
      </c>
      <c r="BX1011" s="152" t="n">
        <v>-47.7719368</v>
      </c>
      <c r="BY1011" s="152" t="s">
        <v>5327</v>
      </c>
    </row>
    <row r="1012" customFormat="false" ht="13.8" hidden="false" customHeight="false" outlineLevel="0" collapsed="false">
      <c r="A1012" s="149" t="n">
        <f aca="false">IF(C1012&lt;&gt;"",ROW(A1007),"")</f>
        <v>1007</v>
      </c>
      <c r="B1012" s="150" t="str">
        <f aca="false">HYPERLINK("https://www.google.com/maps/dir/-15.917302,-47.760003/-15.9312511,-47.7704120/data=!4m3!4m2!3e0!5i1")</f>
        <v>https://www.google.com/maps/dir/-15.917302,-47.760003/-15.9312511,-47.7704120/data=!4m3!4m2!3e0!5i1</v>
      </c>
      <c r="C1012" s="151" t="s">
        <v>117</v>
      </c>
      <c r="D1012" s="152" t="s">
        <v>112</v>
      </c>
      <c r="E1012" s="152" t="s">
        <v>113</v>
      </c>
      <c r="F1012" s="152" t="s">
        <v>117</v>
      </c>
      <c r="G1012" s="152" t="s">
        <v>114</v>
      </c>
      <c r="H1012" s="152" t="n">
        <v>160</v>
      </c>
      <c r="I1012" s="152" t="s">
        <v>115</v>
      </c>
      <c r="J1012" s="152" t="s">
        <v>6</v>
      </c>
      <c r="K1012" s="152" t="s">
        <v>5106</v>
      </c>
      <c r="L1012" s="152" t="s">
        <v>120</v>
      </c>
      <c r="M1012" s="153" t="n">
        <f aca="false">135.8+0.77</f>
        <v>136.57</v>
      </c>
      <c r="N1012" s="152" t="s">
        <v>1548</v>
      </c>
      <c r="O1012" s="152" t="s">
        <v>1549</v>
      </c>
      <c r="P1012" s="152" t="s">
        <v>1550</v>
      </c>
      <c r="Q1012" s="152" t="s">
        <v>1551</v>
      </c>
      <c r="R1012" s="154" t="s">
        <v>5380</v>
      </c>
      <c r="S1012" s="154" t="s">
        <v>1593</v>
      </c>
      <c r="T1012" s="155" t="s">
        <v>4002</v>
      </c>
      <c r="U1012" s="152" t="str">
        <f aca="false">RIGHT(T1012,7)</f>
        <v>015/037</v>
      </c>
      <c r="V1012" s="152" t="s">
        <v>1555</v>
      </c>
      <c r="W1012" s="156" t="n">
        <v>45882</v>
      </c>
      <c r="X1012" s="152" t="s">
        <v>1594</v>
      </c>
      <c r="Y1012" s="152"/>
      <c r="Z1012" s="152" t="s">
        <v>1557</v>
      </c>
      <c r="AA1012" s="153" t="n">
        <v>4.7</v>
      </c>
      <c r="AB1012" s="151" t="s">
        <v>5381</v>
      </c>
      <c r="AC1012" s="151" t="s">
        <v>505</v>
      </c>
      <c r="AD1012" s="151" t="str">
        <f aca="false">CONCATENATE($C1012,$I1012,$H1012,$N1012,$J1012,$K1012)</f>
        <v>TUBO PEADPEAD160VCAREDESZona09</v>
      </c>
      <c r="AE1012" s="153" t="n">
        <f aca="false">IFERROR(INDEX(APOIO_REDES!$A:$W,MATCH($C1012&amp;$I1012&amp;$H1012&amp;$N1012&amp;$O1012,APOIO_REDES!$W:$W,0),MATCH(AE$5,APOIO_REDES!$5:$5,0)),0)</f>
        <v>1.2</v>
      </c>
      <c r="AF1012" s="153" t="n">
        <f aca="false">IFERROR(INDEX(APOIO_REDES!$A:$W,MATCH($C1012&amp;$I1012&amp;$H1012&amp;$N1012&amp;$O1012,APOIO_REDES!$W:$W,0),MATCH(AF$5,APOIO_REDES!$5:$5,0)),0)</f>
        <v>1.46</v>
      </c>
      <c r="AG1012" s="153" t="n">
        <f aca="false">IFERROR(INDEX(APOIO_REDES!$A:$W,MATCH($C1012&amp;$I1012&amp;$H1012&amp;$N1012&amp;$O1012,APOIO_REDES!$W:$W,0),MATCH(AG$5,APOIO_REDES!$5:$5,0)),0)</f>
        <v>0.75</v>
      </c>
      <c r="AH1012" s="153" t="n">
        <f aca="false">IFERROR(INDEX(APOIO_REDES!$A:$W,MATCH($C1012&amp;$I1012&amp;$H1012&amp;$N1012&amp;$O1012,APOIO_REDES!$W:$W,0),MATCH(AH$5,APOIO_REDES!$5:$5,0)),0)</f>
        <v>0.1</v>
      </c>
      <c r="AI1012" s="153" t="n">
        <f aca="false">IFERROR(IF($H1012&lt;&gt;"",(((($H1012/1000)/2)^2)*PI()*$M1012),0),0)</f>
        <v>2.74590277568485</v>
      </c>
      <c r="AJ1012" s="153" t="n">
        <f aca="false">IFERROR(IF(AND($H1012&lt;&gt;"",$I1012="FoFo",OR($N1012="MND",$N1012="VCA"),$Q1012="LINEAR"),0,IF(AND($H1012&lt;&gt;"",$I1012="PEAD",$N1012="VCA",$Q1012="LINEAR"),($H1012/1000)+0.3,IF(AND($H1012&lt;&gt;"",$I1012="PEAD",$N1012="MND",$Q1012="EMBOQUE"),0,IF(AND($H1012&lt;&gt;"",$I1012="PVC",$N1012="VCA",$Q1012="LINEAR"),($H1012/1000)+0.2,IF(AND($H1012&lt;&gt;"",$I1012="PVC",$N1012="MND",$Q1012="EMBOQUE"),0,IF(AND($H1012&lt;&gt;"",$I1012="PEAD",$N1012="VCA",$Q1012="PREDIAL"),0,0)))))),0)</f>
        <v>0.46</v>
      </c>
      <c r="AK1012" s="153" t="n">
        <f aca="false">IF(AA1012&lt;&gt;"",AA1012,0)</f>
        <v>4.7</v>
      </c>
      <c r="AL1012" s="153" t="n">
        <f aca="false">IF(AND($N1012="MND",$Q1012="EMBOQUE"),$M1012,IF(AND($N1012="VCA",$Q1012="LINEAR"),$M1012,IF(AND($N1012="VCA",$Q1012="PREDIAL"),0,0)))</f>
        <v>136.57</v>
      </c>
      <c r="AM1012" s="153" t="n">
        <f aca="false">IF(AND($N1012="MND",$Q1012="EMBOQUE"),$M1012,IF(AND($N1012="VCA",$Q1012="LINEAR"),$M1012,IF(AND($N1012="VCA",$Q1012="PREDIAL"),0,0)))</f>
        <v>136.57</v>
      </c>
      <c r="AN1012" s="153" t="n">
        <f aca="false">ROUND(IF(AND($N1012="VCA",$M1012&lt;&gt;"",$Q1012="LINEAR"),$M1012/100,IF(AND($N1012="MND",$M1012&gt;100,$Q1012="EMBOQUE"),$M1012/100,0)),0)</f>
        <v>1</v>
      </c>
      <c r="AO1012" s="153" t="n">
        <f aca="false">IF(AND($N1012="MND",$Q1012="EMBOQUE"),$AN1012*2*2,IF(AND($N1012="VCA",$Q1012="LINEAR"),$M1012*2,IF(AND($N1012="VCA",$Q1012="PREDIAL"),0,0)))</f>
        <v>273.14</v>
      </c>
      <c r="AP1012" s="153" t="n">
        <f aca="false">IFERROR($M1012*$AF1012*$AG1012,0)</f>
        <v>149.54415</v>
      </c>
      <c r="AQ1012" s="153" t="n">
        <f aca="false">IFERROR(IF(AND($N1012="VCA",$AH1012&gt;0),$M1012*$AG1012*$AH1012,0),0)</f>
        <v>10.24275</v>
      </c>
      <c r="AR1012" s="153" t="n">
        <f aca="false">IFERROR(IF(AND($N1012="VCA",$AJ1012&gt;0),($M1012*$AG1012*$AJ1012)-$AI1012,0),0)</f>
        <v>44.3707472243151</v>
      </c>
      <c r="AS1012" s="153" t="n">
        <f aca="false">IFERROR(IF(AND($N1012="VCA",$AP1012&gt;0),$AP1012-$AI1012-$AQ1012-$AR1012,0),0)</f>
        <v>92.18475</v>
      </c>
      <c r="AT1012" s="153" t="n">
        <f aca="false">IFERROR(IF($N1012="VCA",INDEX(APOIO_REDES!$A:$W,MATCH($C1012&amp;$I1012&amp;$H1012&amp;$N1012&amp;$O1012,APOIO_REDES!$W:$W,0),MATCH(AT$5,APOIO_REDES!$5:$5,0)),0)*$AP1012,0)</f>
        <v>1.62708461480901</v>
      </c>
      <c r="AU1012" s="153" t="n">
        <f aca="false">IFERROR(IF($N1012="VCA",INDEX(APOIO_REDES!$A:$W,MATCH($C1012&amp;$I1012&amp;$H1012&amp;$N1012&amp;$O1012,APOIO_REDES!$W:$W,0),MATCH(AU$5,APOIO_REDES!$5:$5,0)),0)*$AP1012,0)</f>
        <v>1.2993457063465</v>
      </c>
      <c r="AV1012" s="153" t="n">
        <f aca="false">IFERROR(IF($N1012="VCA",INDEX(APOIO_REDES!$A:$W,MATCH($C1012&amp;$I1012&amp;$H1012&amp;$N1012&amp;$O1012,APOIO_REDES!$W:$W,0),MATCH(AV$5,APOIO_REDES!$5:$5,0)),0)*$AP1012,0)</f>
        <v>0.179819245494628</v>
      </c>
      <c r="AW1012" s="153" t="n">
        <f aca="false">IFERROR(IF($N1012="VCA",INDEX(APOIO_REDES!$A:$W,MATCH($C1012&amp;$I1012&amp;$H1012&amp;$N1012&amp;$O1012,APOIO_REDES!$W:$W,0),MATCH(AW$5,APOIO_REDES!$5:$5,0)),0)*$AP1012,0)</f>
        <v>102.648263284617</v>
      </c>
      <c r="AX1012" s="153" t="n">
        <f aca="false">IFERROR(IF($N1012="VCA",INDEX(APOIO_REDES!$A:$W,MATCH($C1012&amp;$I1012&amp;$H1012&amp;$N1012&amp;$O1012,APOIO_REDES!$W:$W,0),MATCH(AX$5,APOIO_REDES!$5:$5,0)),0)*$AP1012,0)</f>
        <v>14.2062272394783</v>
      </c>
      <c r="AY1012" s="153" t="n">
        <f aca="false">IFERROR(IF($N1012="VCA",INDEX(APOIO_REDES!$A:$W,MATCH($C1012&amp;$I1012&amp;$H1012&amp;$N1012&amp;$O1012,APOIO_REDES!$W:$W,0),MATCH(AY$5,APOIO_REDES!$5:$5,0)),0)*$AP1012,0)</f>
        <v>25.9868982880112</v>
      </c>
      <c r="AZ1012" s="153" t="n">
        <f aca="false">IFERROR(IF($N1012="VCA",INDEX(APOIO_REDES!$A:$W,MATCH($C1012&amp;$I1012&amp;$H1012&amp;$N1012&amp;$O1012,APOIO_REDES!$W:$W,0),MATCH(AZ$5,APOIO_REDES!$5:$5,0)),0)*$AP1012,0)</f>
        <v>3.59651162124322</v>
      </c>
      <c r="BA1012" s="153" t="n">
        <f aca="false">IFERROR(IF(AND($N1012="VCA",$Q1012="LINEAR"),INDEX(APOIO_REDES!$A:$W,MATCH($C1012&amp;$I1012&amp;$H1012&amp;$N1012&amp;$O1012,APOIO_REDES!$W:$W,0),MATCH(BA$5,APOIO_REDES!$5:$5,0)),IF(AND($N1012="MND",$Q1012="EMBOQUE"),INDEX(APOIO_REDES!$A:$W,MATCH($C1012&amp;$I1012&amp;$H1012&amp;$N1012&amp;$O1012,APOIO_REDES!$W:$W,0),MATCH(BA$5,APOIO_REDES!$5:$5,0)),0))*$M1012/10,0)</f>
        <v>11.0071975130706</v>
      </c>
      <c r="BB1012" s="153" t="n">
        <f aca="false">IFERROR(IF($N1012="VCA",INDEX(APOIO_REDES!$A:$W,MATCH($C1012&amp;$I1012&amp;$H1012&amp;$N1012&amp;$O1012,APOIO_REDES!$W:$W,0),MATCH(BB$5,APOIO_REDES!$5:$5,0)),0)*($AI1012+$AQ1012+$AR1012),0)</f>
        <v>56.7353127504842</v>
      </c>
      <c r="BC1012" s="153" t="n">
        <f aca="false">IFERROR(IF($N1012="VCA",INDEX(APOIO_REDES!$A:$W,MATCH($C1012&amp;$I1012&amp;$H1012&amp;$N1012&amp;$O1012,APOIO_REDES!$W:$W,0),MATCH(BC$5,APOIO_REDES!$5:$5,0)),0)*($AI1012+$AQ1012+$AR1012),0)</f>
        <v>0.624087249515785</v>
      </c>
      <c r="BD1012" s="153" t="n">
        <f aca="false">IF(AND($N1012="VCA",$AF1012&gt;=1.25,$AF1012&lt;1.5),$M1012*$AF1012*2,0)</f>
        <v>398.7844</v>
      </c>
      <c r="BE1012" s="153" t="n">
        <f aca="false">IF(AND($N1012="VCA",$AF1012&gt;=1.5,$AF1012&lt;3),$M1012*$AF1012*2,0)</f>
        <v>0</v>
      </c>
      <c r="BF1012" s="153" t="n">
        <f aca="false">IF(AND($N1012="VCA",$AF1012&gt;=3),$M1012*$AF1012*2,0)</f>
        <v>0</v>
      </c>
      <c r="BG1012" s="153" t="n">
        <f aca="false">($BB1012+$BC1012)*$AK1012</f>
        <v>269.58918</v>
      </c>
      <c r="BH1012" s="153" t="n">
        <f aca="false">IF(AND($M1012&lt;&gt;"",$N1012="VCA",$Q1012="LINEAR"),($M1012*2)/100,IF(AND($M1012&lt;&gt;"",$N1012="MND",$Q1012="EMBOQUE"),($AN1012*2)/100,0))</f>
        <v>2.7314</v>
      </c>
      <c r="BI1012" s="153" t="n">
        <f aca="false">IF(AND($M1012&lt;&gt;"",$N1012="VCA",$Q1012="LINEAR"),$M1012,IF(AND($M1012&lt;&gt;"",$N1012="MND",$Q1012="EMBOQUE"),$AN1012*2,0))</f>
        <v>136.57</v>
      </c>
      <c r="BJ1012" s="153" t="n">
        <f aca="false">IF(AND($M1012&lt;&gt;"",$N1012="VCA",$Q1012="LINEAR"),($M1012*6.8)/100,IF(AND($M1012&lt;&gt;"",$N1012="MND",$Q1012="EMBOQUE"),($AN1012*2*6.8)/100,0))</f>
        <v>9.28676</v>
      </c>
      <c r="BK1012" s="153" t="n">
        <f aca="false">IF(AND($M1012&lt;&gt;"",$N1012="VCA",$Q1012="LINEAR"),($M1012*2.5)/50,IF(AND($M1012&lt;&gt;"",$N1012="MND",$Q1012="EMBOQUE"),($AN1012*2*2.5)/50,0))</f>
        <v>6.8285</v>
      </c>
      <c r="BL1012" s="157" t="str">
        <f aca="false">K1012&amp;J1012</f>
        <v>Zona09REDES</v>
      </c>
      <c r="BM1012" s="152" t="s">
        <v>5109</v>
      </c>
      <c r="BN1012" s="152" t="s">
        <v>1560</v>
      </c>
      <c r="BO1012" s="152" t="s">
        <v>4004</v>
      </c>
      <c r="BP1012" s="152" t="s">
        <v>5356</v>
      </c>
      <c r="BQ1012" s="152" t="s">
        <v>5382</v>
      </c>
      <c r="BR1012" s="152" t="s">
        <v>5383</v>
      </c>
      <c r="BS1012" s="152" t="n">
        <v>203389.057</v>
      </c>
      <c r="BT1012" s="152" t="n">
        <v>8236699.916</v>
      </c>
      <c r="BU1012" s="152" t="n">
        <v>203306.325</v>
      </c>
      <c r="BV1012" s="152" t="n">
        <v>8236592.722</v>
      </c>
      <c r="BW1012" s="152" t="n">
        <v>-15.9317208</v>
      </c>
      <c r="BX1012" s="152" t="n">
        <v>-47.7708147</v>
      </c>
      <c r="BY1012" s="152" t="s">
        <v>5356</v>
      </c>
    </row>
    <row r="1013" customFormat="false" ht="13.8" hidden="false" customHeight="false" outlineLevel="0" collapsed="false">
      <c r="A1013" s="149" t="n">
        <f aca="false">IF(C1013&lt;&gt;"",ROW(A1008),"")</f>
        <v>1008</v>
      </c>
      <c r="B1013" s="150" t="str">
        <f aca="false">HYPERLINK("https://www.google.com/maps/dir/-15.917302,-47.760003/-15.9324527,-47.7698003/data=!4m3!4m2!3e0!5i2")</f>
        <v>https://www.google.com/maps/dir/-15.917302,-47.760003/-15.9324527,-47.7698003/data=!4m3!4m2!3e0!5i2</v>
      </c>
      <c r="C1013" s="151" t="s">
        <v>117</v>
      </c>
      <c r="D1013" s="152" t="s">
        <v>112</v>
      </c>
      <c r="E1013" s="152" t="s">
        <v>113</v>
      </c>
      <c r="F1013" s="152" t="s">
        <v>117</v>
      </c>
      <c r="G1013" s="152" t="s">
        <v>782</v>
      </c>
      <c r="H1013" s="152" t="n">
        <v>63</v>
      </c>
      <c r="I1013" s="152" t="s">
        <v>115</v>
      </c>
      <c r="J1013" s="152" t="s">
        <v>6</v>
      </c>
      <c r="K1013" s="152" t="s">
        <v>5106</v>
      </c>
      <c r="L1013" s="152" t="s">
        <v>120</v>
      </c>
      <c r="M1013" s="153" t="n">
        <f aca="false">152.94+4.46</f>
        <v>157.4</v>
      </c>
      <c r="N1013" s="152" t="s">
        <v>1548</v>
      </c>
      <c r="O1013" s="152" t="s">
        <v>1549</v>
      </c>
      <c r="P1013" s="152" t="s">
        <v>1550</v>
      </c>
      <c r="Q1013" s="152" t="s">
        <v>1551</v>
      </c>
      <c r="R1013" s="154" t="s">
        <v>5384</v>
      </c>
      <c r="S1013" s="154" t="s">
        <v>1553</v>
      </c>
      <c r="T1013" s="155" t="s">
        <v>4002</v>
      </c>
      <c r="U1013" s="152" t="str">
        <f aca="false">RIGHT(T1013,7)</f>
        <v>015/037</v>
      </c>
      <c r="V1013" s="152" t="s">
        <v>1555</v>
      </c>
      <c r="W1013" s="156" t="n">
        <v>45882</v>
      </c>
      <c r="X1013" s="152"/>
      <c r="Y1013" s="152"/>
      <c r="Z1013" s="152" t="s">
        <v>1557</v>
      </c>
      <c r="AA1013" s="153" t="n">
        <v>4.6</v>
      </c>
      <c r="AB1013" s="151" t="s">
        <v>5385</v>
      </c>
      <c r="AC1013" s="151" t="s">
        <v>186</v>
      </c>
      <c r="AD1013" s="151" t="str">
        <f aca="false">CONCATENATE($C1013,$I1013,$H1013,$N1013,$J1013,$K1013)</f>
        <v>TUBO PEADPEAD63VCAREDESZona09</v>
      </c>
      <c r="AE1013" s="153" t="n">
        <f aca="false">IFERROR(INDEX(APOIO_REDES!$A:$W,MATCH($C1013&amp;$I1013&amp;$H1013&amp;$N1013&amp;$O1013,APOIO_REDES!$W:$W,0),MATCH(AE$5,APOIO_REDES!$5:$5,0)),0)</f>
        <v>1.2</v>
      </c>
      <c r="AF1013" s="153" t="n">
        <f aca="false">IFERROR(INDEX(APOIO_REDES!$A:$W,MATCH($C1013&amp;$I1013&amp;$H1013&amp;$N1013&amp;$O1013,APOIO_REDES!$W:$W,0),MATCH(AF$5,APOIO_REDES!$5:$5,0)),0)</f>
        <v>1.363</v>
      </c>
      <c r="AG1013" s="153" t="n">
        <f aca="false">IFERROR(INDEX(APOIO_REDES!$A:$W,MATCH($C1013&amp;$I1013&amp;$H1013&amp;$N1013&amp;$O1013,APOIO_REDES!$W:$W,0),MATCH(AG$5,APOIO_REDES!$5:$5,0)),0)</f>
        <v>0.65</v>
      </c>
      <c r="AH1013" s="153" t="n">
        <f aca="false">IFERROR(INDEX(APOIO_REDES!$A:$W,MATCH($C1013&amp;$I1013&amp;$H1013&amp;$N1013&amp;$O1013,APOIO_REDES!$W:$W,0),MATCH(AH$5,APOIO_REDES!$5:$5,0)),0)</f>
        <v>0.1</v>
      </c>
      <c r="AI1013" s="153" t="n">
        <f aca="false">IFERROR(IF($H1013&lt;&gt;"",(((($H1013/1000)/2)^2)*PI()*$M1013),0),0)</f>
        <v>0.490654411876552</v>
      </c>
      <c r="AJ1013" s="153" t="n">
        <f aca="false">IFERROR(IF(AND($H1013&lt;&gt;"",$I1013="FoFo",OR($N1013="MND",$N1013="VCA"),$Q1013="LINEAR"),0,IF(AND($H1013&lt;&gt;"",$I1013="PEAD",$N1013="VCA",$Q1013="LINEAR"),($H1013/1000)+0.3,IF(AND($H1013&lt;&gt;"",$I1013="PEAD",$N1013="MND",$Q1013="EMBOQUE"),0,IF(AND($H1013&lt;&gt;"",$I1013="PVC",$N1013="VCA",$Q1013="LINEAR"),($H1013/1000)+0.2,IF(AND($H1013&lt;&gt;"",$I1013="PVC",$N1013="MND",$Q1013="EMBOQUE"),0,IF(AND($H1013&lt;&gt;"",$I1013="PEAD",$N1013="VCA",$Q1013="PREDIAL"),0,0)))))),0)</f>
        <v>0.363</v>
      </c>
      <c r="AK1013" s="153" t="n">
        <f aca="false">IF(AA1013&lt;&gt;"",AA1013,0)</f>
        <v>4.6</v>
      </c>
      <c r="AL1013" s="153" t="n">
        <f aca="false">IF(AND($N1013="MND",$Q1013="EMBOQUE"),$M1013,IF(AND($N1013="VCA",$Q1013="LINEAR"),$M1013,IF(AND($N1013="VCA",$Q1013="PREDIAL"),0,0)))</f>
        <v>157.4</v>
      </c>
      <c r="AM1013" s="153" t="n">
        <f aca="false">IF(AND($N1013="MND",$Q1013="EMBOQUE"),$M1013,IF(AND($N1013="VCA",$Q1013="LINEAR"),$M1013,IF(AND($N1013="VCA",$Q1013="PREDIAL"),0,0)))</f>
        <v>157.4</v>
      </c>
      <c r="AN1013" s="153" t="n">
        <f aca="false">ROUND(IF(AND($N1013="VCA",$M1013&lt;&gt;"",$Q1013="LINEAR"),$M1013/100,IF(AND($N1013="MND",$M1013&gt;100,$Q1013="EMBOQUE"),$M1013/100,0)),0)</f>
        <v>2</v>
      </c>
      <c r="AO1013" s="153" t="n">
        <f aca="false">IF(AND($N1013="MND",$Q1013="EMBOQUE"),$AN1013*2*2,IF(AND($N1013="VCA",$Q1013="LINEAR"),$M1013*2,IF(AND($N1013="VCA",$Q1013="PREDIAL"),0,0)))</f>
        <v>314.8</v>
      </c>
      <c r="AP1013" s="153" t="n">
        <f aca="false">IFERROR($M1013*$AF1013*$AG1013,0)</f>
        <v>139.44853</v>
      </c>
      <c r="AQ1013" s="153" t="n">
        <f aca="false">IFERROR(IF(AND($N1013="VCA",$AH1013&gt;0),$M1013*$AG1013*$AH1013,0),0)</f>
        <v>10.231</v>
      </c>
      <c r="AR1013" s="153" t="n">
        <f aca="false">IFERROR(IF(AND($N1013="VCA",$AJ1013&gt;0),($M1013*$AG1013*$AJ1013)-$AI1013,0),0)</f>
        <v>36.6478755881235</v>
      </c>
      <c r="AS1013" s="153" t="n">
        <f aca="false">IFERROR(IF(AND($N1013="VCA",$AP1013&gt;0),$AP1013-$AI1013-$AQ1013-$AR1013,0),0)</f>
        <v>92.079</v>
      </c>
      <c r="AT1013" s="153" t="n">
        <f aca="false">IFERROR(IF($N1013="VCA",INDEX(APOIO_REDES!$A:$W,MATCH($C1013&amp;$I1013&amp;$H1013&amp;$N1013&amp;$O1013,APOIO_REDES!$W:$W,0),MATCH(AT$5,APOIO_REDES!$5:$5,0)),0)*$AP1013,0)</f>
        <v>1.51724128105802</v>
      </c>
      <c r="AU1013" s="153" t="n">
        <f aca="false">IFERROR(IF($N1013="VCA",INDEX(APOIO_REDES!$A:$W,MATCH($C1013&amp;$I1013&amp;$H1013&amp;$N1013&amp;$O1013,APOIO_REDES!$W:$W,0),MATCH(AU$5,APOIO_REDES!$5:$5,0)),0)*$AP1013,0)</f>
        <v>1.21162779494772</v>
      </c>
      <c r="AV1013" s="153" t="n">
        <f aca="false">IFERROR(IF($N1013="VCA",INDEX(APOIO_REDES!$A:$W,MATCH($C1013&amp;$I1013&amp;$H1013&amp;$N1013&amp;$O1013,APOIO_REDES!$W:$W,0),MATCH(AV$5,APOIO_REDES!$5:$5,0)),0)*$AP1013,0)</f>
        <v>0.167679775169641</v>
      </c>
      <c r="AW1013" s="153" t="n">
        <f aca="false">IFERROR(IF($N1013="VCA",INDEX(APOIO_REDES!$A:$W,MATCH($C1013&amp;$I1013&amp;$H1013&amp;$N1013&amp;$O1013,APOIO_REDES!$W:$W,0),MATCH(AW$5,APOIO_REDES!$5:$5,0)),0)*$AP1013,0)</f>
        <v>95.7185514919363</v>
      </c>
      <c r="AX1013" s="153" t="n">
        <f aca="false">IFERROR(IF($N1013="VCA",INDEX(APOIO_REDES!$A:$W,MATCH($C1013&amp;$I1013&amp;$H1013&amp;$N1013&amp;$O1013,APOIO_REDES!$W:$W,0),MATCH(AX$5,APOIO_REDES!$5:$5,0)),0)*$AP1013,0)</f>
        <v>13.2471748670289</v>
      </c>
      <c r="AY1013" s="153" t="n">
        <f aca="false">IFERROR(IF($N1013="VCA",INDEX(APOIO_REDES!$A:$W,MATCH($C1013&amp;$I1013&amp;$H1013&amp;$N1013&amp;$O1013,APOIO_REDES!$W:$W,0),MATCH(AY$5,APOIO_REDES!$5:$5,0)),0)*$AP1013,0)</f>
        <v>24.2325411293098</v>
      </c>
      <c r="AZ1013" s="153" t="n">
        <f aca="false">IFERROR(IF($N1013="VCA",INDEX(APOIO_REDES!$A:$W,MATCH($C1013&amp;$I1013&amp;$H1013&amp;$N1013&amp;$O1013,APOIO_REDES!$W:$W,0),MATCH(AZ$5,APOIO_REDES!$5:$5,0)),0)*$AP1013,0)</f>
        <v>3.35371366054964</v>
      </c>
      <c r="BA1013" s="153" t="n">
        <f aca="false">IFERROR(IF(AND($N1013="VCA",$Q1013="LINEAR"),INDEX(APOIO_REDES!$A:$W,MATCH($C1013&amp;$I1013&amp;$H1013&amp;$N1013&amp;$O1013,APOIO_REDES!$W:$W,0),MATCH(BA$5,APOIO_REDES!$5:$5,0)),IF(AND($N1013="MND",$Q1013="EMBOQUE"),INDEX(APOIO_REDES!$A:$W,MATCH($C1013&amp;$I1013&amp;$H1013&amp;$N1013&amp;$O1013,APOIO_REDES!$W:$W,0),MATCH(BA$5,APOIO_REDES!$5:$5,0)),0))*$M1013/10,0)</f>
        <v>12.6860429710574</v>
      </c>
      <c r="BB1013" s="153" t="n">
        <f aca="false">IFERROR(IF($N1013="VCA",INDEX(APOIO_REDES!$A:$W,MATCH($C1013&amp;$I1013&amp;$H1013&amp;$N1013&amp;$O1013,APOIO_REDES!$W:$W,0),MATCH(BB$5,APOIO_REDES!$5:$5,0)),0)*($AI1013+$AQ1013+$AR1013),0)</f>
        <v>46.8541354929348</v>
      </c>
      <c r="BC1013" s="153" t="n">
        <f aca="false">IFERROR(IF($N1013="VCA",INDEX(APOIO_REDES!$A:$W,MATCH($C1013&amp;$I1013&amp;$H1013&amp;$N1013&amp;$O1013,APOIO_REDES!$W:$W,0),MATCH(BC$5,APOIO_REDES!$5:$5,0)),0)*($AI1013+$AQ1013+$AR1013),0)</f>
        <v>0.515394507065197</v>
      </c>
      <c r="BD1013" s="153" t="n">
        <f aca="false">IF(AND($N1013="VCA",$AF1013&gt;=1.25,$AF1013&lt;1.5),$M1013*$AF1013*2,0)</f>
        <v>429.0724</v>
      </c>
      <c r="BE1013" s="153" t="n">
        <f aca="false">IF(AND($N1013="VCA",$AF1013&gt;=1.5,$AF1013&lt;3),$M1013*$AF1013*2,0)</f>
        <v>0</v>
      </c>
      <c r="BF1013" s="153" t="n">
        <f aca="false">IF(AND($N1013="VCA",$AF1013&gt;=3),$M1013*$AF1013*2,0)</f>
        <v>0</v>
      </c>
      <c r="BG1013" s="153" t="n">
        <f aca="false">($BB1013+$BC1013)*$AK1013</f>
        <v>217.899838</v>
      </c>
      <c r="BH1013" s="153" t="n">
        <f aca="false">IF(AND($M1013&lt;&gt;"",$N1013="VCA",$Q1013="LINEAR"),($M1013*2)/100,IF(AND($M1013&lt;&gt;"",$N1013="MND",$Q1013="EMBOQUE"),($AN1013*2)/100,0))</f>
        <v>3.148</v>
      </c>
      <c r="BI1013" s="153" t="n">
        <f aca="false">IF(AND($M1013&lt;&gt;"",$N1013="VCA",$Q1013="LINEAR"),$M1013,IF(AND($M1013&lt;&gt;"",$N1013="MND",$Q1013="EMBOQUE"),$AN1013*2,0))</f>
        <v>157.4</v>
      </c>
      <c r="BJ1013" s="153" t="n">
        <f aca="false">IF(AND($M1013&lt;&gt;"",$N1013="VCA",$Q1013="LINEAR"),($M1013*6.8)/100,IF(AND($M1013&lt;&gt;"",$N1013="MND",$Q1013="EMBOQUE"),($AN1013*2*6.8)/100,0))</f>
        <v>10.7032</v>
      </c>
      <c r="BK1013" s="153" t="n">
        <f aca="false">IF(AND($M1013&lt;&gt;"",$N1013="VCA",$Q1013="LINEAR"),($M1013*2.5)/50,IF(AND($M1013&lt;&gt;"",$N1013="MND",$Q1013="EMBOQUE"),($AN1013*2*2.5)/50,0))</f>
        <v>7.87</v>
      </c>
      <c r="BL1013" s="157" t="str">
        <f aca="false">K1013&amp;J1013</f>
        <v>Zona09REDES</v>
      </c>
      <c r="BM1013" s="152" t="s">
        <v>5109</v>
      </c>
      <c r="BN1013" s="152" t="s">
        <v>1560</v>
      </c>
      <c r="BO1013" s="152" t="s">
        <v>4004</v>
      </c>
      <c r="BP1013" s="152" t="s">
        <v>5386</v>
      </c>
      <c r="BQ1013" s="152" t="s">
        <v>5342</v>
      </c>
      <c r="BR1013" s="152" t="s">
        <v>5387</v>
      </c>
      <c r="BS1013" s="152" t="n">
        <v>203456.589</v>
      </c>
      <c r="BT1013" s="152" t="n">
        <v>8236567.623</v>
      </c>
      <c r="BU1013" s="152" t="n">
        <v>203434.151</v>
      </c>
      <c r="BV1013" s="152" t="n">
        <v>8236718.736</v>
      </c>
      <c r="BW1013" s="152" t="n">
        <v>-15.9317663</v>
      </c>
      <c r="BX1013" s="152" t="n">
        <v>-47.7698771</v>
      </c>
      <c r="BY1013" s="152" t="s">
        <v>5386</v>
      </c>
    </row>
    <row r="1014" customFormat="false" ht="13.8" hidden="false" customHeight="false" outlineLevel="0" collapsed="false">
      <c r="A1014" s="149" t="n">
        <f aca="false">IF(C1014&lt;&gt;"",ROW(A1009),"")</f>
        <v>1009</v>
      </c>
      <c r="B1014" s="150" t="str">
        <f aca="false">HYPERLINK("https://www.google.com/maps/dir/-15.917302,-47.760003/-15.9323090,-47.7702221/data=!4m3!4m2!3e0!5i2")</f>
        <v>https://www.google.com/maps/dir/-15.917302,-47.760003/-15.9323090,-47.7702221/data=!4m3!4m2!3e0!5i2</v>
      </c>
      <c r="C1014" s="151" t="s">
        <v>117</v>
      </c>
      <c r="D1014" s="152" t="s">
        <v>112</v>
      </c>
      <c r="E1014" s="152" t="s">
        <v>113</v>
      </c>
      <c r="F1014" s="152" t="s">
        <v>117</v>
      </c>
      <c r="G1014" s="152" t="s">
        <v>782</v>
      </c>
      <c r="H1014" s="152" t="n">
        <v>63</v>
      </c>
      <c r="I1014" s="152" t="s">
        <v>115</v>
      </c>
      <c r="J1014" s="152" t="s">
        <v>6</v>
      </c>
      <c r="K1014" s="152" t="s">
        <v>5106</v>
      </c>
      <c r="L1014" s="152" t="s">
        <v>120</v>
      </c>
      <c r="M1014" s="153" t="n">
        <f aca="false">118.98+4.55</f>
        <v>123.53</v>
      </c>
      <c r="N1014" s="152" t="s">
        <v>1548</v>
      </c>
      <c r="O1014" s="152" t="s">
        <v>1549</v>
      </c>
      <c r="P1014" s="152" t="s">
        <v>1550</v>
      </c>
      <c r="Q1014" s="152" t="s">
        <v>1551</v>
      </c>
      <c r="R1014" s="154" t="s">
        <v>5388</v>
      </c>
      <c r="S1014" s="154" t="s">
        <v>1553</v>
      </c>
      <c r="T1014" s="155" t="s">
        <v>4002</v>
      </c>
      <c r="U1014" s="152" t="str">
        <f aca="false">RIGHT(T1014,7)</f>
        <v>015/037</v>
      </c>
      <c r="V1014" s="152" t="s">
        <v>1555</v>
      </c>
      <c r="W1014" s="156" t="n">
        <v>45882</v>
      </c>
      <c r="X1014" s="152" t="s">
        <v>1594</v>
      </c>
      <c r="Y1014" s="152"/>
      <c r="Z1014" s="152" t="s">
        <v>1557</v>
      </c>
      <c r="AA1014" s="153" t="n">
        <v>4.6</v>
      </c>
      <c r="AB1014" s="151" t="s">
        <v>5389</v>
      </c>
      <c r="AC1014" s="151" t="s">
        <v>186</v>
      </c>
      <c r="AD1014" s="151" t="str">
        <f aca="false">CONCATENATE($C1014,$I1014,$H1014,$N1014,$J1014,$K1014)</f>
        <v>TUBO PEADPEAD63VCAREDESZona09</v>
      </c>
      <c r="AE1014" s="153" t="n">
        <f aca="false">IFERROR(INDEX(APOIO_REDES!$A:$W,MATCH($C1014&amp;$I1014&amp;$H1014&amp;$N1014&amp;$O1014,APOIO_REDES!$W:$W,0),MATCH(AE$5,APOIO_REDES!$5:$5,0)),0)</f>
        <v>1.2</v>
      </c>
      <c r="AF1014" s="153" t="n">
        <f aca="false">IFERROR(INDEX(APOIO_REDES!$A:$W,MATCH($C1014&amp;$I1014&amp;$H1014&amp;$N1014&amp;$O1014,APOIO_REDES!$W:$W,0),MATCH(AF$5,APOIO_REDES!$5:$5,0)),0)</f>
        <v>1.363</v>
      </c>
      <c r="AG1014" s="153" t="n">
        <f aca="false">IFERROR(INDEX(APOIO_REDES!$A:$W,MATCH($C1014&amp;$I1014&amp;$H1014&amp;$N1014&amp;$O1014,APOIO_REDES!$W:$W,0),MATCH(AG$5,APOIO_REDES!$5:$5,0)),0)</f>
        <v>0.65</v>
      </c>
      <c r="AH1014" s="153" t="n">
        <f aca="false">IFERROR(INDEX(APOIO_REDES!$A:$W,MATCH($C1014&amp;$I1014&amp;$H1014&amp;$N1014&amp;$O1014,APOIO_REDES!$W:$W,0),MATCH(AH$5,APOIO_REDES!$5:$5,0)),0)</f>
        <v>0.1</v>
      </c>
      <c r="AI1014" s="153" t="n">
        <f aca="false">IFERROR(IF($H1014&lt;&gt;"",(((($H1014/1000)/2)^2)*PI()*$M1014),0),0)</f>
        <v>0.385073313209088</v>
      </c>
      <c r="AJ1014" s="153" t="n">
        <f aca="false">IFERROR(IF(AND($H1014&lt;&gt;"",$I1014="FoFo",OR($N1014="MND",$N1014="VCA"),$Q1014="LINEAR"),0,IF(AND($H1014&lt;&gt;"",$I1014="PEAD",$N1014="VCA",$Q1014="LINEAR"),($H1014/1000)+0.3,IF(AND($H1014&lt;&gt;"",$I1014="PEAD",$N1014="MND",$Q1014="EMBOQUE"),0,IF(AND($H1014&lt;&gt;"",$I1014="PVC",$N1014="VCA",$Q1014="LINEAR"),($H1014/1000)+0.2,IF(AND($H1014&lt;&gt;"",$I1014="PVC",$N1014="MND",$Q1014="EMBOQUE"),0,IF(AND($H1014&lt;&gt;"",$I1014="PEAD",$N1014="VCA",$Q1014="PREDIAL"),0,0)))))),0)</f>
        <v>0.363</v>
      </c>
      <c r="AK1014" s="153" t="n">
        <f aca="false">IF(AA1014&lt;&gt;"",AA1014,0)</f>
        <v>4.6</v>
      </c>
      <c r="AL1014" s="153" t="n">
        <f aca="false">IF(AND($N1014="MND",$Q1014="EMBOQUE"),$M1014,IF(AND($N1014="VCA",$Q1014="LINEAR"),$M1014,IF(AND($N1014="VCA",$Q1014="PREDIAL"),0,0)))</f>
        <v>123.53</v>
      </c>
      <c r="AM1014" s="153" t="n">
        <f aca="false">IF(AND($N1014="MND",$Q1014="EMBOQUE"),$M1014,IF(AND($N1014="VCA",$Q1014="LINEAR"),$M1014,IF(AND($N1014="VCA",$Q1014="PREDIAL"),0,0)))</f>
        <v>123.53</v>
      </c>
      <c r="AN1014" s="153" t="n">
        <f aca="false">ROUND(IF(AND($N1014="VCA",$M1014&lt;&gt;"",$Q1014="LINEAR"),$M1014/100,IF(AND($N1014="MND",$M1014&gt;100,$Q1014="EMBOQUE"),$M1014/100,0)),0)</f>
        <v>1</v>
      </c>
      <c r="AO1014" s="153" t="n">
        <f aca="false">IF(AND($N1014="MND",$Q1014="EMBOQUE"),$AN1014*2*2,IF(AND($N1014="VCA",$Q1014="LINEAR"),$M1014*2,IF(AND($N1014="VCA",$Q1014="PREDIAL"),0,0)))</f>
        <v>247.06</v>
      </c>
      <c r="AP1014" s="153" t="n">
        <f aca="false">IFERROR($M1014*$AF1014*$AG1014,0)</f>
        <v>109.4414035</v>
      </c>
      <c r="AQ1014" s="153" t="n">
        <f aca="false">IFERROR(IF(AND($N1014="VCA",$AH1014&gt;0),$M1014*$AG1014*$AH1014,0),0)</f>
        <v>8.02945</v>
      </c>
      <c r="AR1014" s="153" t="n">
        <f aca="false">IFERROR(IF(AND($N1014="VCA",$AJ1014&gt;0),($M1014*$AG1014*$AJ1014)-$AI1014,0),0)</f>
        <v>28.7618301867909</v>
      </c>
      <c r="AS1014" s="153" t="n">
        <f aca="false">IFERROR(IF(AND($N1014="VCA",$AP1014&gt;0),$AP1014-$AI1014-$AQ1014-$AR1014,0),0)</f>
        <v>72.26505</v>
      </c>
      <c r="AT1014" s="153" t="n">
        <f aca="false">IFERROR(IF($N1014="VCA",INDEX(APOIO_REDES!$A:$W,MATCH($C1014&amp;$I1014&amp;$H1014&amp;$N1014&amp;$O1014,APOIO_REDES!$W:$W,0),MATCH(AT$5,APOIO_REDES!$5:$5,0)),0)*$AP1014,0)</f>
        <v>1.19075486308194</v>
      </c>
      <c r="AU1014" s="153" t="n">
        <f aca="false">IFERROR(IF($N1014="VCA",INDEX(APOIO_REDES!$A:$W,MATCH($C1014&amp;$I1014&amp;$H1014&amp;$N1014&amp;$O1014,APOIO_REDES!$W:$W,0),MATCH(AU$5,APOIO_REDES!$5:$5,0)),0)*$AP1014,0)</f>
        <v>0.950904583925617</v>
      </c>
      <c r="AV1014" s="153" t="n">
        <f aca="false">IFERROR(IF($N1014="VCA",INDEX(APOIO_REDES!$A:$W,MATCH($C1014&amp;$I1014&amp;$H1014&amp;$N1014&amp;$O1014,APOIO_REDES!$W:$W,0),MATCH(AV$5,APOIO_REDES!$5:$5,0)),0)*$AP1014,0)</f>
        <v>0.131597729521637</v>
      </c>
      <c r="AW1014" s="153" t="n">
        <f aca="false">IFERROR(IF($N1014="VCA",INDEX(APOIO_REDES!$A:$W,MATCH($C1014&amp;$I1014&amp;$H1014&amp;$N1014&amp;$O1014,APOIO_REDES!$W:$W,0),MATCH(AW$5,APOIO_REDES!$5:$5,0)),0)*$AP1014,0)</f>
        <v>75.1214273557744</v>
      </c>
      <c r="AX1014" s="153" t="n">
        <f aca="false">IFERROR(IF($N1014="VCA",INDEX(APOIO_REDES!$A:$W,MATCH($C1014&amp;$I1014&amp;$H1014&amp;$N1014&amp;$O1014,APOIO_REDES!$W:$W,0),MATCH(AX$5,APOIO_REDES!$5:$5,0)),0)*$AP1014,0)</f>
        <v>10.3965915586028</v>
      </c>
      <c r="AY1014" s="153" t="n">
        <f aca="false">IFERROR(IF($N1014="VCA",INDEX(APOIO_REDES!$A:$W,MATCH($C1014&amp;$I1014&amp;$H1014&amp;$N1014&amp;$O1014,APOIO_REDES!$W:$W,0),MATCH(AY$5,APOIO_REDES!$5:$5,0)),0)*$AP1014,0)</f>
        <v>19.0180800870625</v>
      </c>
      <c r="AZ1014" s="153" t="n">
        <f aca="false">IFERROR(IF($N1014="VCA",INDEX(APOIO_REDES!$A:$W,MATCH($C1014&amp;$I1014&amp;$H1014&amp;$N1014&amp;$O1014,APOIO_REDES!$W:$W,0),MATCH(AZ$5,APOIO_REDES!$5:$5,0)),0)*$AP1014,0)</f>
        <v>2.63204732203111</v>
      </c>
      <c r="BA1014" s="153" t="n">
        <f aca="false">IFERROR(IF(AND($N1014="VCA",$Q1014="LINEAR"),INDEX(APOIO_REDES!$A:$W,MATCH($C1014&amp;$I1014&amp;$H1014&amp;$N1014&amp;$O1014,APOIO_REDES!$W:$W,0),MATCH(BA$5,APOIO_REDES!$5:$5,0)),IF(AND($N1014="MND",$Q1014="EMBOQUE"),INDEX(APOIO_REDES!$A:$W,MATCH($C1014&amp;$I1014&amp;$H1014&amp;$N1014&amp;$O1014,APOIO_REDES!$W:$W,0),MATCH(BA$5,APOIO_REDES!$5:$5,0)),0))*$M1014/10,0)</f>
        <v>9.95620640543026</v>
      </c>
      <c r="BB1014" s="153" t="n">
        <f aca="false">IFERROR(IF($N1014="VCA",INDEX(APOIO_REDES!$A:$W,MATCH($C1014&amp;$I1014&amp;$H1014&amp;$N1014&amp;$O1014,APOIO_REDES!$W:$W,0),MATCH(BB$5,APOIO_REDES!$5:$5,0)),0)*($AI1014+$AQ1014+$AR1014),0)</f>
        <v>36.7718637702811</v>
      </c>
      <c r="BC1014" s="153" t="n">
        <f aca="false">IFERROR(IF($N1014="VCA",INDEX(APOIO_REDES!$A:$W,MATCH($C1014&amp;$I1014&amp;$H1014&amp;$N1014&amp;$O1014,APOIO_REDES!$W:$W,0),MATCH(BC$5,APOIO_REDES!$5:$5,0)),0)*($AI1014+$AQ1014+$AR1014),0)</f>
        <v>0.404489729718957</v>
      </c>
      <c r="BD1014" s="153" t="n">
        <f aca="false">IF(AND($N1014="VCA",$AF1014&gt;=1.25,$AF1014&lt;1.5),$M1014*$AF1014*2,0)</f>
        <v>336.74278</v>
      </c>
      <c r="BE1014" s="153" t="n">
        <f aca="false">IF(AND($N1014="VCA",$AF1014&gt;=1.5,$AF1014&lt;3),$M1014*$AF1014*2,0)</f>
        <v>0</v>
      </c>
      <c r="BF1014" s="153" t="n">
        <f aca="false">IF(AND($N1014="VCA",$AF1014&gt;=3),$M1014*$AF1014*2,0)</f>
        <v>0</v>
      </c>
      <c r="BG1014" s="153" t="n">
        <f aca="false">($BB1014+$BC1014)*$AK1014</f>
        <v>171.0112261</v>
      </c>
      <c r="BH1014" s="153" t="n">
        <f aca="false">IF(AND($M1014&lt;&gt;"",$N1014="VCA",$Q1014="LINEAR"),($M1014*2)/100,IF(AND($M1014&lt;&gt;"",$N1014="MND",$Q1014="EMBOQUE"),($AN1014*2)/100,0))</f>
        <v>2.4706</v>
      </c>
      <c r="BI1014" s="153" t="n">
        <f aca="false">IF(AND($M1014&lt;&gt;"",$N1014="VCA",$Q1014="LINEAR"),$M1014,IF(AND($M1014&lt;&gt;"",$N1014="MND",$Q1014="EMBOQUE"),$AN1014*2,0))</f>
        <v>123.53</v>
      </c>
      <c r="BJ1014" s="153" t="n">
        <f aca="false">IF(AND($M1014&lt;&gt;"",$N1014="VCA",$Q1014="LINEAR"),($M1014*6.8)/100,IF(AND($M1014&lt;&gt;"",$N1014="MND",$Q1014="EMBOQUE"),($AN1014*2*6.8)/100,0))</f>
        <v>8.40004</v>
      </c>
      <c r="BK1014" s="153" t="n">
        <f aca="false">IF(AND($M1014&lt;&gt;"",$N1014="VCA",$Q1014="LINEAR"),($M1014*2.5)/50,IF(AND($M1014&lt;&gt;"",$N1014="MND",$Q1014="EMBOQUE"),($AN1014*2*2.5)/50,0))</f>
        <v>6.1765</v>
      </c>
      <c r="BL1014" s="157" t="str">
        <f aca="false">K1014&amp;J1014</f>
        <v>Zona09REDES</v>
      </c>
      <c r="BM1014" s="152" t="s">
        <v>5109</v>
      </c>
      <c r="BN1014" s="152" t="s">
        <v>1560</v>
      </c>
      <c r="BO1014" s="152" t="s">
        <v>4004</v>
      </c>
      <c r="BP1014" s="152" t="s">
        <v>5390</v>
      </c>
      <c r="BQ1014" s="152" t="s">
        <v>5356</v>
      </c>
      <c r="BR1014" s="152" t="s">
        <v>5391</v>
      </c>
      <c r="BS1014" s="152" t="n">
        <v>203411.191</v>
      </c>
      <c r="BT1014" s="152" t="n">
        <v>8236582.932</v>
      </c>
      <c r="BU1014" s="152" t="n">
        <v>203389.286</v>
      </c>
      <c r="BV1014" s="152" t="n">
        <v>8236699.79</v>
      </c>
      <c r="BW1014" s="152" t="n">
        <v>-15.9317795</v>
      </c>
      <c r="BX1014" s="152" t="n">
        <v>-47.7703132</v>
      </c>
      <c r="BY1014" s="152" t="s">
        <v>5390</v>
      </c>
    </row>
    <row r="1015" customFormat="false" ht="13.8" hidden="false" customHeight="false" outlineLevel="0" collapsed="false">
      <c r="A1015" s="149" t="n">
        <f aca="false">IF(C1015&lt;&gt;"",ROW(A1010),"")</f>
        <v>1010</v>
      </c>
      <c r="B1015" s="150" t="str">
        <f aca="false">HYPERLINK("https://www.google.com/maps/dir/-15.917302,-47.760003/-15.9320117,-47.7721648/data=!4m3!4m2!3e0!5i2")</f>
        <v>https://www.google.com/maps/dir/-15.917302,-47.760003/-15.9320117,-47.7721648/data=!4m3!4m2!3e0!5i2</v>
      </c>
      <c r="C1015" s="151" t="s">
        <v>117</v>
      </c>
      <c r="D1015" s="152" t="s">
        <v>112</v>
      </c>
      <c r="E1015" s="152" t="s">
        <v>113</v>
      </c>
      <c r="F1015" s="152" t="s">
        <v>117</v>
      </c>
      <c r="G1015" s="152" t="s">
        <v>782</v>
      </c>
      <c r="H1015" s="152" t="n">
        <v>63</v>
      </c>
      <c r="I1015" s="152" t="s">
        <v>115</v>
      </c>
      <c r="J1015" s="152" t="s">
        <v>6</v>
      </c>
      <c r="K1015" s="152" t="s">
        <v>5106</v>
      </c>
      <c r="L1015" s="152" t="s">
        <v>120</v>
      </c>
      <c r="M1015" s="153" t="n">
        <f aca="false">92.6+0.79</f>
        <v>93.39</v>
      </c>
      <c r="N1015" s="152" t="s">
        <v>1548</v>
      </c>
      <c r="O1015" s="152" t="s">
        <v>1549</v>
      </c>
      <c r="P1015" s="152" t="s">
        <v>1550</v>
      </c>
      <c r="Q1015" s="152" t="s">
        <v>1551</v>
      </c>
      <c r="R1015" s="154" t="s">
        <v>5392</v>
      </c>
      <c r="S1015" s="154" t="s">
        <v>1553</v>
      </c>
      <c r="T1015" s="155" t="s">
        <v>4002</v>
      </c>
      <c r="U1015" s="152" t="str">
        <f aca="false">RIGHT(T1015,7)</f>
        <v>015/037</v>
      </c>
      <c r="V1015" s="152" t="s">
        <v>1555</v>
      </c>
      <c r="W1015" s="156" t="n">
        <v>45882</v>
      </c>
      <c r="X1015" s="152" t="s">
        <v>1594</v>
      </c>
      <c r="Y1015" s="152" t="s">
        <v>5232</v>
      </c>
      <c r="Z1015" s="152" t="s">
        <v>1557</v>
      </c>
      <c r="AA1015" s="153" t="n">
        <v>4.8</v>
      </c>
      <c r="AB1015" s="151" t="s">
        <v>5393</v>
      </c>
      <c r="AC1015" s="151" t="s">
        <v>186</v>
      </c>
      <c r="AD1015" s="151" t="str">
        <f aca="false">CONCATENATE($C1015,$I1015,$H1015,$N1015,$J1015,$K1015)</f>
        <v>TUBO PEADPEAD63VCAREDESZona09</v>
      </c>
      <c r="AE1015" s="153" t="n">
        <f aca="false">IFERROR(INDEX(APOIO_REDES!$A:$W,MATCH($C1015&amp;$I1015&amp;$H1015&amp;$N1015&amp;$O1015,APOIO_REDES!$W:$W,0),MATCH(AE$5,APOIO_REDES!$5:$5,0)),0)</f>
        <v>1.2</v>
      </c>
      <c r="AF1015" s="153" t="n">
        <f aca="false">IFERROR(INDEX(APOIO_REDES!$A:$W,MATCH($C1015&amp;$I1015&amp;$H1015&amp;$N1015&amp;$O1015,APOIO_REDES!$W:$W,0),MATCH(AF$5,APOIO_REDES!$5:$5,0)),0)</f>
        <v>1.363</v>
      </c>
      <c r="AG1015" s="153" t="n">
        <f aca="false">IFERROR(INDEX(APOIO_REDES!$A:$W,MATCH($C1015&amp;$I1015&amp;$H1015&amp;$N1015&amp;$O1015,APOIO_REDES!$W:$W,0),MATCH(AG$5,APOIO_REDES!$5:$5,0)),0)</f>
        <v>0.65</v>
      </c>
      <c r="AH1015" s="153" t="n">
        <f aca="false">IFERROR(INDEX(APOIO_REDES!$A:$W,MATCH($C1015&amp;$I1015&amp;$H1015&amp;$N1015&amp;$O1015,APOIO_REDES!$W:$W,0),MATCH(AH$5,APOIO_REDES!$5:$5,0)),0)</f>
        <v>0.1</v>
      </c>
      <c r="AI1015" s="153" t="n">
        <f aca="false">IFERROR(IF($H1015&lt;&gt;"",(((($H1015/1000)/2)^2)*PI()*$M1015),0),0)</f>
        <v>0.29111953954988</v>
      </c>
      <c r="AJ1015" s="153" t="n">
        <f aca="false">IFERROR(IF(AND($H1015&lt;&gt;"",$I1015="FoFo",OR($N1015="MND",$N1015="VCA"),$Q1015="LINEAR"),0,IF(AND($H1015&lt;&gt;"",$I1015="PEAD",$N1015="VCA",$Q1015="LINEAR"),($H1015/1000)+0.3,IF(AND($H1015&lt;&gt;"",$I1015="PEAD",$N1015="MND",$Q1015="EMBOQUE"),0,IF(AND($H1015&lt;&gt;"",$I1015="PVC",$N1015="VCA",$Q1015="LINEAR"),($H1015/1000)+0.2,IF(AND($H1015&lt;&gt;"",$I1015="PVC",$N1015="MND",$Q1015="EMBOQUE"),0,IF(AND($H1015&lt;&gt;"",$I1015="PEAD",$N1015="VCA",$Q1015="PREDIAL"),0,0)))))),0)</f>
        <v>0.363</v>
      </c>
      <c r="AK1015" s="153" t="n">
        <f aca="false">IF(AA1015&lt;&gt;"",AA1015,0)</f>
        <v>4.8</v>
      </c>
      <c r="AL1015" s="153" t="n">
        <f aca="false">IF(AND($N1015="MND",$Q1015="EMBOQUE"),$M1015,IF(AND($N1015="VCA",$Q1015="LINEAR"),$M1015,IF(AND($N1015="VCA",$Q1015="PREDIAL"),0,0)))</f>
        <v>93.39</v>
      </c>
      <c r="AM1015" s="153" t="n">
        <f aca="false">IF(AND($N1015="MND",$Q1015="EMBOQUE"),$M1015,IF(AND($N1015="VCA",$Q1015="LINEAR"),$M1015,IF(AND($N1015="VCA",$Q1015="PREDIAL"),0,0)))</f>
        <v>93.39</v>
      </c>
      <c r="AN1015" s="153" t="n">
        <f aca="false">ROUND(IF(AND($N1015="VCA",$M1015&lt;&gt;"",$Q1015="LINEAR"),$M1015/100,IF(AND($N1015="MND",$M1015&gt;100,$Q1015="EMBOQUE"),$M1015/100,0)),0)</f>
        <v>1</v>
      </c>
      <c r="AO1015" s="153" t="n">
        <f aca="false">IF(AND($N1015="MND",$Q1015="EMBOQUE"),$AN1015*2*2,IF(AND($N1015="VCA",$Q1015="LINEAR"),$M1015*2,IF(AND($N1015="VCA",$Q1015="PREDIAL"),0,0)))</f>
        <v>186.78</v>
      </c>
      <c r="AP1015" s="153" t="n">
        <f aca="false">IFERROR($M1015*$AF1015*$AG1015,0)</f>
        <v>82.7388705</v>
      </c>
      <c r="AQ1015" s="153" t="n">
        <f aca="false">IFERROR(IF(AND($N1015="VCA",$AH1015&gt;0),$M1015*$AG1015*$AH1015,0),0)</f>
        <v>6.07035</v>
      </c>
      <c r="AR1015" s="153" t="n">
        <f aca="false">IFERROR(IF(AND($N1015="VCA",$AJ1015&gt;0),($M1015*$AG1015*$AJ1015)-$AI1015,0),0)</f>
        <v>21.7442509604501</v>
      </c>
      <c r="AS1015" s="153" t="n">
        <f aca="false">IFERROR(IF(AND($N1015="VCA",$AP1015&gt;0),$AP1015-$AI1015-$AQ1015-$AR1015,0),0)</f>
        <v>54.63315</v>
      </c>
      <c r="AT1015" s="153" t="n">
        <f aca="false">IFERROR(IF($N1015="VCA",INDEX(APOIO_REDES!$A:$W,MATCH($C1015&amp;$I1015&amp;$H1015&amp;$N1015&amp;$O1015,APOIO_REDES!$W:$W,0),MATCH(AT$5,APOIO_REDES!$5:$5,0)),0)*$AP1015,0)</f>
        <v>0.900223400495607</v>
      </c>
      <c r="AU1015" s="153" t="n">
        <f aca="false">IFERROR(IF($N1015="VCA",INDEX(APOIO_REDES!$A:$W,MATCH($C1015&amp;$I1015&amp;$H1015&amp;$N1015&amp;$O1015,APOIO_REDES!$W:$W,0),MATCH(AU$5,APOIO_REDES!$5:$5,0)),0)*$AP1015,0)</f>
        <v>0.718894026494077</v>
      </c>
      <c r="AV1015" s="153" t="n">
        <f aca="false">IFERROR(IF($N1015="VCA",INDEX(APOIO_REDES!$A:$W,MATCH($C1015&amp;$I1015&amp;$H1015&amp;$N1015&amp;$O1015,APOIO_REDES!$W:$W,0),MATCH(AV$5,APOIO_REDES!$5:$5,0)),0)*$AP1015,0)</f>
        <v>0.0994892897274</v>
      </c>
      <c r="AW1015" s="153" t="n">
        <f aca="false">IFERROR(IF($N1015="VCA",INDEX(APOIO_REDES!$A:$W,MATCH($C1015&amp;$I1015&amp;$H1015&amp;$N1015&amp;$O1015,APOIO_REDES!$W:$W,0),MATCH(AW$5,APOIO_REDES!$5:$5,0)),0)*$AP1015,0)</f>
        <v>56.7926018032524</v>
      </c>
      <c r="AX1015" s="153" t="n">
        <f aca="false">IFERROR(IF($N1015="VCA",INDEX(APOIO_REDES!$A:$W,MATCH($C1015&amp;$I1015&amp;$H1015&amp;$N1015&amp;$O1015,APOIO_REDES!$W:$W,0),MATCH(AX$5,APOIO_REDES!$5:$5,0)),0)*$AP1015,0)</f>
        <v>7.85993431278163</v>
      </c>
      <c r="AY1015" s="153" t="n">
        <f aca="false">IFERROR(IF($N1015="VCA",INDEX(APOIO_REDES!$A:$W,MATCH($C1015&amp;$I1015&amp;$H1015&amp;$N1015&amp;$O1015,APOIO_REDES!$W:$W,0),MATCH(AY$5,APOIO_REDES!$5:$5,0)),0)*$AP1015,0)</f>
        <v>14.3778717666216</v>
      </c>
      <c r="AZ1015" s="153" t="n">
        <f aca="false">IFERROR(IF($N1015="VCA",INDEX(APOIO_REDES!$A:$W,MATCH($C1015&amp;$I1015&amp;$H1015&amp;$N1015&amp;$O1015,APOIO_REDES!$W:$W,0),MATCH(AZ$5,APOIO_REDES!$5:$5,0)),0)*$AP1015,0)</f>
        <v>1.98985590062726</v>
      </c>
      <c r="BA1015" s="153" t="n">
        <f aca="false">IFERROR(IF(AND($N1015="VCA",$Q1015="LINEAR"),INDEX(APOIO_REDES!$A:$W,MATCH($C1015&amp;$I1015&amp;$H1015&amp;$N1015&amp;$O1015,APOIO_REDES!$W:$W,0),MATCH(BA$5,APOIO_REDES!$5:$5,0)),IF(AND($N1015="MND",$Q1015="EMBOQUE"),INDEX(APOIO_REDES!$A:$W,MATCH($C1015&amp;$I1015&amp;$H1015&amp;$N1015&amp;$O1015,APOIO_REDES!$W:$W,0),MATCH(BA$5,APOIO_REDES!$5:$5,0)),0))*$M1015/10,0)</f>
        <v>7.52699843117568</v>
      </c>
      <c r="BB1015" s="153" t="n">
        <f aca="false">IFERROR(IF($N1015="VCA",INDEX(APOIO_REDES!$A:$W,MATCH($C1015&amp;$I1015&amp;$H1015&amp;$N1015&amp;$O1015,APOIO_REDES!$W:$W,0),MATCH(BB$5,APOIO_REDES!$5:$5,0)),0)*($AI1015+$AQ1015+$AR1015),0)</f>
        <v>27.7999219420914</v>
      </c>
      <c r="BC1015" s="153" t="n">
        <f aca="false">IFERROR(IF($N1015="VCA",INDEX(APOIO_REDES!$A:$W,MATCH($C1015&amp;$I1015&amp;$H1015&amp;$N1015&amp;$O1015,APOIO_REDES!$W:$W,0),MATCH(BC$5,APOIO_REDES!$5:$5,0)),0)*($AI1015+$AQ1015+$AR1015),0)</f>
        <v>0.305798557908632</v>
      </c>
      <c r="BD1015" s="153" t="n">
        <f aca="false">IF(AND($N1015="VCA",$AF1015&gt;=1.25,$AF1015&lt;1.5),$M1015*$AF1015*2,0)</f>
        <v>254.58114</v>
      </c>
      <c r="BE1015" s="153" t="n">
        <f aca="false">IF(AND($N1015="VCA",$AF1015&gt;=1.5,$AF1015&lt;3),$M1015*$AF1015*2,0)</f>
        <v>0</v>
      </c>
      <c r="BF1015" s="153" t="n">
        <f aca="false">IF(AND($N1015="VCA",$AF1015&gt;=3),$M1015*$AF1015*2,0)</f>
        <v>0</v>
      </c>
      <c r="BG1015" s="153" t="n">
        <f aca="false">($BB1015+$BC1015)*$AK1015</f>
        <v>134.9074584</v>
      </c>
      <c r="BH1015" s="153" t="n">
        <f aca="false">IF(AND($M1015&lt;&gt;"",$N1015="VCA",$Q1015="LINEAR"),($M1015*2)/100,IF(AND($M1015&lt;&gt;"",$N1015="MND",$Q1015="EMBOQUE"),($AN1015*2)/100,0))</f>
        <v>1.8678</v>
      </c>
      <c r="BI1015" s="153" t="n">
        <f aca="false">IF(AND($M1015&lt;&gt;"",$N1015="VCA",$Q1015="LINEAR"),$M1015,IF(AND($M1015&lt;&gt;"",$N1015="MND",$Q1015="EMBOQUE"),$AN1015*2,0))</f>
        <v>93.39</v>
      </c>
      <c r="BJ1015" s="153" t="n">
        <f aca="false">IF(AND($M1015&lt;&gt;"",$N1015="VCA",$Q1015="LINEAR"),($M1015*6.8)/100,IF(AND($M1015&lt;&gt;"",$N1015="MND",$Q1015="EMBOQUE"),($AN1015*2*6.8)/100,0))</f>
        <v>6.35052</v>
      </c>
      <c r="BK1015" s="153" t="n">
        <f aca="false">IF(AND($M1015&lt;&gt;"",$N1015="VCA",$Q1015="LINEAR"),($M1015*2.5)/50,IF(AND($M1015&lt;&gt;"",$N1015="MND",$Q1015="EMBOQUE"),($AN1015*2*2.5)/50,0))</f>
        <v>4.6695</v>
      </c>
      <c r="BL1015" s="157" t="str">
        <f aca="false">K1015&amp;J1015</f>
        <v>Zona09REDES</v>
      </c>
      <c r="BM1015" s="152" t="s">
        <v>5109</v>
      </c>
      <c r="BN1015" s="152" t="s">
        <v>1560</v>
      </c>
      <c r="BO1015" s="152" t="s">
        <v>4004</v>
      </c>
      <c r="BP1015" s="152" t="s">
        <v>5394</v>
      </c>
      <c r="BQ1015" s="152" t="s">
        <v>5234</v>
      </c>
      <c r="BR1015" s="152" t="s">
        <v>5395</v>
      </c>
      <c r="BS1015" s="152" t="n">
        <v>203201.966</v>
      </c>
      <c r="BT1015" s="152" t="n">
        <v>8236613.529</v>
      </c>
      <c r="BU1015" s="152" t="n">
        <v>203127.071</v>
      </c>
      <c r="BV1015" s="152" t="n">
        <v>8236667.478</v>
      </c>
      <c r="BW1015" s="152" t="n">
        <v>-15.9317636</v>
      </c>
      <c r="BX1015" s="152" t="n">
        <v>-47.7725188</v>
      </c>
      <c r="BY1015" s="152" t="s">
        <v>5394</v>
      </c>
    </row>
    <row r="1016" customFormat="false" ht="13.8" hidden="false" customHeight="false" outlineLevel="0" collapsed="false">
      <c r="A1016" s="149" t="n">
        <f aca="false">IF(C1016&lt;&gt;"",ROW(A1011),"")</f>
        <v>1011</v>
      </c>
      <c r="B1016" s="150" t="str">
        <f aca="false">HYPERLINK("https://www.google.com/maps/dir/-15.917302,-47.760003/-15.9316666,-47.7719169/data=!4m3!4m2!3e0!5i2")</f>
        <v>https://www.google.com/maps/dir/-15.917302,-47.760003/-15.9316666,-47.7719169/data=!4m3!4m2!3e0!5i2</v>
      </c>
      <c r="C1016" s="151" t="s">
        <v>117</v>
      </c>
      <c r="D1016" s="152" t="s">
        <v>112</v>
      </c>
      <c r="E1016" s="152" t="s">
        <v>113</v>
      </c>
      <c r="F1016" s="152" t="s">
        <v>117</v>
      </c>
      <c r="G1016" s="152" t="s">
        <v>782</v>
      </c>
      <c r="H1016" s="152" t="n">
        <v>63</v>
      </c>
      <c r="I1016" s="152" t="s">
        <v>115</v>
      </c>
      <c r="J1016" s="152" t="s">
        <v>6</v>
      </c>
      <c r="K1016" s="152" t="s">
        <v>5106</v>
      </c>
      <c r="L1016" s="152" t="s">
        <v>120</v>
      </c>
      <c r="M1016" s="153" t="n">
        <f aca="false">46.54</f>
        <v>46.54</v>
      </c>
      <c r="N1016" s="152" t="s">
        <v>1548</v>
      </c>
      <c r="O1016" s="152" t="s">
        <v>1549</v>
      </c>
      <c r="P1016" s="152" t="s">
        <v>1550</v>
      </c>
      <c r="Q1016" s="152" t="s">
        <v>1551</v>
      </c>
      <c r="R1016" s="154" t="s">
        <v>5396</v>
      </c>
      <c r="S1016" s="154" t="s">
        <v>1553</v>
      </c>
      <c r="T1016" s="155" t="s">
        <v>4002</v>
      </c>
      <c r="U1016" s="152" t="str">
        <f aca="false">RIGHT(T1016,7)</f>
        <v>015/037</v>
      </c>
      <c r="V1016" s="152" t="s">
        <v>1555</v>
      </c>
      <c r="W1016" s="156" t="n">
        <v>45882</v>
      </c>
      <c r="X1016" s="152" t="s">
        <v>1594</v>
      </c>
      <c r="Y1016" s="152" t="s">
        <v>5232</v>
      </c>
      <c r="Z1016" s="152" t="s">
        <v>1557</v>
      </c>
      <c r="AA1016" s="153" t="n">
        <v>4.7</v>
      </c>
      <c r="AB1016" s="151" t="s">
        <v>5397</v>
      </c>
      <c r="AC1016" s="151" t="s">
        <v>186</v>
      </c>
      <c r="AD1016" s="151" t="str">
        <f aca="false">CONCATENATE($C1016,$I1016,$H1016,$N1016,$J1016,$K1016)</f>
        <v>TUBO PEADPEAD63VCAREDESZona09</v>
      </c>
      <c r="AE1016" s="153" t="n">
        <f aca="false">IFERROR(INDEX(APOIO_REDES!$A:$W,MATCH($C1016&amp;$I1016&amp;$H1016&amp;$N1016&amp;$O1016,APOIO_REDES!$W:$W,0),MATCH(AE$5,APOIO_REDES!$5:$5,0)),0)</f>
        <v>1.2</v>
      </c>
      <c r="AF1016" s="153" t="n">
        <f aca="false">IFERROR(INDEX(APOIO_REDES!$A:$W,MATCH($C1016&amp;$I1016&amp;$H1016&amp;$N1016&amp;$O1016,APOIO_REDES!$W:$W,0),MATCH(AF$5,APOIO_REDES!$5:$5,0)),0)</f>
        <v>1.363</v>
      </c>
      <c r="AG1016" s="153" t="n">
        <f aca="false">IFERROR(INDEX(APOIO_REDES!$A:$W,MATCH($C1016&amp;$I1016&amp;$H1016&amp;$N1016&amp;$O1016,APOIO_REDES!$W:$W,0),MATCH(AG$5,APOIO_REDES!$5:$5,0)),0)</f>
        <v>0.65</v>
      </c>
      <c r="AH1016" s="153" t="n">
        <f aca="false">IFERROR(INDEX(APOIO_REDES!$A:$W,MATCH($C1016&amp;$I1016&amp;$H1016&amp;$N1016&amp;$O1016,APOIO_REDES!$W:$W,0),MATCH(AH$5,APOIO_REDES!$5:$5,0)),0)</f>
        <v>0.1</v>
      </c>
      <c r="AI1016" s="153" t="n">
        <f aca="false">IFERROR(IF($H1016&lt;&gt;"",(((($H1016/1000)/2)^2)*PI()*$M1016),0),0)</f>
        <v>0.145076596751809</v>
      </c>
      <c r="AJ1016" s="153" t="n">
        <f aca="false">IFERROR(IF(AND($H1016&lt;&gt;"",$I1016="FoFo",OR($N1016="MND",$N1016="VCA"),$Q1016="LINEAR"),0,IF(AND($H1016&lt;&gt;"",$I1016="PEAD",$N1016="VCA",$Q1016="LINEAR"),($H1016/1000)+0.3,IF(AND($H1016&lt;&gt;"",$I1016="PEAD",$N1016="MND",$Q1016="EMBOQUE"),0,IF(AND($H1016&lt;&gt;"",$I1016="PVC",$N1016="VCA",$Q1016="LINEAR"),($H1016/1000)+0.2,IF(AND($H1016&lt;&gt;"",$I1016="PVC",$N1016="MND",$Q1016="EMBOQUE"),0,IF(AND($H1016&lt;&gt;"",$I1016="PEAD",$N1016="VCA",$Q1016="PREDIAL"),0,0)))))),0)</f>
        <v>0.363</v>
      </c>
      <c r="AK1016" s="153" t="n">
        <f aca="false">IF(AA1016&lt;&gt;"",AA1016,0)</f>
        <v>4.7</v>
      </c>
      <c r="AL1016" s="153" t="n">
        <f aca="false">IF(AND($N1016="MND",$Q1016="EMBOQUE"),$M1016,IF(AND($N1016="VCA",$Q1016="LINEAR"),$M1016,IF(AND($N1016="VCA",$Q1016="PREDIAL"),0,0)))</f>
        <v>46.54</v>
      </c>
      <c r="AM1016" s="153" t="n">
        <f aca="false">IF(AND($N1016="MND",$Q1016="EMBOQUE"),$M1016,IF(AND($N1016="VCA",$Q1016="LINEAR"),$M1016,IF(AND($N1016="VCA",$Q1016="PREDIAL"),0,0)))</f>
        <v>46.54</v>
      </c>
      <c r="AN1016" s="153" t="n">
        <f aca="false">ROUND(IF(AND($N1016="VCA",$M1016&lt;&gt;"",$Q1016="LINEAR"),$M1016/100,IF(AND($N1016="MND",$M1016&gt;100,$Q1016="EMBOQUE"),$M1016/100,0)),0)</f>
        <v>0</v>
      </c>
      <c r="AO1016" s="153" t="n">
        <f aca="false">IF(AND($N1016="MND",$Q1016="EMBOQUE"),$AN1016*2*2,IF(AND($N1016="VCA",$Q1016="LINEAR"),$M1016*2,IF(AND($N1016="VCA",$Q1016="PREDIAL"),0,0)))</f>
        <v>93.08</v>
      </c>
      <c r="AP1016" s="153" t="n">
        <f aca="false">IFERROR($M1016*$AF1016*$AG1016,0)</f>
        <v>41.232113</v>
      </c>
      <c r="AQ1016" s="153" t="n">
        <f aca="false">IFERROR(IF(AND($N1016="VCA",$AH1016&gt;0),$M1016*$AG1016*$AH1016,0),0)</f>
        <v>3.0251</v>
      </c>
      <c r="AR1016" s="153" t="n">
        <f aca="false">IFERROR(IF(AND($N1016="VCA",$AJ1016&gt;0),($M1016*$AG1016*$AJ1016)-$AI1016,0),0)</f>
        <v>10.8360364032482</v>
      </c>
      <c r="AS1016" s="153" t="n">
        <f aca="false">IFERROR(IF(AND($N1016="VCA",$AP1016&gt;0),$AP1016-$AI1016-$AQ1016-$AR1016,0),0)</f>
        <v>27.2259</v>
      </c>
      <c r="AT1016" s="153" t="n">
        <f aca="false">IFERROR(IF($N1016="VCA",INDEX(APOIO_REDES!$A:$W,MATCH($C1016&amp;$I1016&amp;$H1016&amp;$N1016&amp;$O1016,APOIO_REDES!$W:$W,0),MATCH(AT$5,APOIO_REDES!$5:$5,0)),0)*$AP1016,0)</f>
        <v>0.448617593522492</v>
      </c>
      <c r="AU1016" s="153" t="n">
        <f aca="false">IFERROR(IF($N1016="VCA",INDEX(APOIO_REDES!$A:$W,MATCH($C1016&amp;$I1016&amp;$H1016&amp;$N1016&amp;$O1016,APOIO_REDES!$W:$W,0),MATCH(AU$5,APOIO_REDES!$5:$5,0)),0)*$AP1016,0)</f>
        <v>0.358253860081747</v>
      </c>
      <c r="AV1016" s="153" t="n">
        <f aca="false">IFERROR(IF($N1016="VCA",INDEX(APOIO_REDES!$A:$W,MATCH($C1016&amp;$I1016&amp;$H1016&amp;$N1016&amp;$O1016,APOIO_REDES!$W:$W,0),MATCH(AV$5,APOIO_REDES!$5:$5,0)),0)*$AP1016,0)</f>
        <v>0.0495795218322432</v>
      </c>
      <c r="AW1016" s="153" t="n">
        <f aca="false">IFERROR(IF($N1016="VCA",INDEX(APOIO_REDES!$A:$W,MATCH($C1016&amp;$I1016&amp;$H1016&amp;$N1016&amp;$O1016,APOIO_REDES!$W:$W,0),MATCH(AW$5,APOIO_REDES!$5:$5,0)),0)*$AP1016,0)</f>
        <v>28.3020418452015</v>
      </c>
      <c r="AX1016" s="153" t="n">
        <f aca="false">IFERROR(IF($N1016="VCA",INDEX(APOIO_REDES!$A:$W,MATCH($C1016&amp;$I1016&amp;$H1016&amp;$N1016&amp;$O1016,APOIO_REDES!$W:$W,0),MATCH(AX$5,APOIO_REDES!$5:$5,0)),0)*$AP1016,0)</f>
        <v>3.91692197148364</v>
      </c>
      <c r="AY1016" s="153" t="n">
        <f aca="false">IFERROR(IF($N1016="VCA",INDEX(APOIO_REDES!$A:$W,MATCH($C1016&amp;$I1016&amp;$H1016&amp;$N1016&amp;$O1016,APOIO_REDES!$W:$W,0),MATCH(AY$5,APOIO_REDES!$5:$5,0)),0)*$AP1016,0)</f>
        <v>7.16507283454943</v>
      </c>
      <c r="AZ1016" s="153" t="n">
        <f aca="false">IFERROR(IF($N1016="VCA",INDEX(APOIO_REDES!$A:$W,MATCH($C1016&amp;$I1016&amp;$H1016&amp;$N1016&amp;$O1016,APOIO_REDES!$W:$W,0),MATCH(AZ$5,APOIO_REDES!$5:$5,0)),0)*$AP1016,0)</f>
        <v>0.991625373328971</v>
      </c>
      <c r="BA1016" s="153" t="n">
        <f aca="false">IFERROR(IF(AND($N1016="VCA",$Q1016="LINEAR"),INDEX(APOIO_REDES!$A:$W,MATCH($C1016&amp;$I1016&amp;$H1016&amp;$N1016&amp;$O1016,APOIO_REDES!$W:$W,0),MATCH(BA$5,APOIO_REDES!$5:$5,0)),IF(AND($N1016="MND",$Q1016="EMBOQUE"),INDEX(APOIO_REDES!$A:$W,MATCH($C1016&amp;$I1016&amp;$H1016&amp;$N1016&amp;$O1016,APOIO_REDES!$W:$W,0),MATCH(BA$5,APOIO_REDES!$5:$5,0)),0))*$M1016/10,0)</f>
        <v>3.75100660656297</v>
      </c>
      <c r="BB1016" s="153" t="n">
        <f aca="false">IFERROR(IF($N1016="VCA",INDEX(APOIO_REDES!$A:$W,MATCH($C1016&amp;$I1016&amp;$H1016&amp;$N1016&amp;$O1016,APOIO_REDES!$W:$W,0),MATCH(BB$5,APOIO_REDES!$5:$5,0)),0)*($AI1016+$AQ1016+$AR1016),0)</f>
        <v>13.8538212569326</v>
      </c>
      <c r="BC1016" s="153" t="n">
        <f aca="false">IFERROR(IF($N1016="VCA",INDEX(APOIO_REDES!$A:$W,MATCH($C1016&amp;$I1016&amp;$H1016&amp;$N1016&amp;$O1016,APOIO_REDES!$W:$W,0),MATCH(BC$5,APOIO_REDES!$5:$5,0)),0)*($AI1016+$AQ1016+$AR1016),0)</f>
        <v>0.152391743067435</v>
      </c>
      <c r="BD1016" s="153" t="n">
        <f aca="false">IF(AND($N1016="VCA",$AF1016&gt;=1.25,$AF1016&lt;1.5),$M1016*$AF1016*2,0)</f>
        <v>126.86804</v>
      </c>
      <c r="BE1016" s="153" t="n">
        <f aca="false">IF(AND($N1016="VCA",$AF1016&gt;=1.5,$AF1016&lt;3),$M1016*$AF1016*2,0)</f>
        <v>0</v>
      </c>
      <c r="BF1016" s="153" t="n">
        <f aca="false">IF(AND($N1016="VCA",$AF1016&gt;=3),$M1016*$AF1016*2,0)</f>
        <v>0</v>
      </c>
      <c r="BG1016" s="153" t="n">
        <f aca="false">($BB1016+$BC1016)*$AK1016</f>
        <v>65.8292011</v>
      </c>
      <c r="BH1016" s="153" t="n">
        <f aca="false">IF(AND($M1016&lt;&gt;"",$N1016="VCA",$Q1016="LINEAR"),($M1016*2)/100,IF(AND($M1016&lt;&gt;"",$N1016="MND",$Q1016="EMBOQUE"),($AN1016*2)/100,0))</f>
        <v>0.9308</v>
      </c>
      <c r="BI1016" s="153" t="n">
        <f aca="false">IF(AND($M1016&lt;&gt;"",$N1016="VCA",$Q1016="LINEAR"),$M1016,IF(AND($M1016&lt;&gt;"",$N1016="MND",$Q1016="EMBOQUE"),$AN1016*2,0))</f>
        <v>46.54</v>
      </c>
      <c r="BJ1016" s="153" t="n">
        <f aca="false">IF(AND($M1016&lt;&gt;"",$N1016="VCA",$Q1016="LINEAR"),($M1016*6.8)/100,IF(AND($M1016&lt;&gt;"",$N1016="MND",$Q1016="EMBOQUE"),($AN1016*2*6.8)/100,0))</f>
        <v>3.16472</v>
      </c>
      <c r="BK1016" s="153" t="n">
        <f aca="false">IF(AND($M1016&lt;&gt;"",$N1016="VCA",$Q1016="LINEAR"),($M1016*2.5)/50,IF(AND($M1016&lt;&gt;"",$N1016="MND",$Q1016="EMBOQUE"),($AN1016*2*2.5)/50,0))</f>
        <v>2.327</v>
      </c>
      <c r="BL1016" s="157" t="str">
        <f aca="false">K1016&amp;J1016</f>
        <v>Zona09REDES</v>
      </c>
      <c r="BM1016" s="152" t="s">
        <v>5109</v>
      </c>
      <c r="BN1016" s="152" t="s">
        <v>1560</v>
      </c>
      <c r="BO1016" s="152" t="s">
        <v>4004</v>
      </c>
      <c r="BP1016" s="152" t="s">
        <v>5378</v>
      </c>
      <c r="BQ1016" s="152" t="s">
        <v>5394</v>
      </c>
      <c r="BR1016" s="152" t="s">
        <v>5398</v>
      </c>
      <c r="BS1016" s="152" t="n">
        <v>203228.671</v>
      </c>
      <c r="BT1016" s="152" t="n">
        <v>8236651.641</v>
      </c>
      <c r="BU1016" s="152" t="n">
        <v>203202.625</v>
      </c>
      <c r="BV1016" s="152" t="n">
        <v>8236613.086</v>
      </c>
      <c r="BW1016" s="152" t="n">
        <v>-15.9318389</v>
      </c>
      <c r="BX1016" s="152" t="n">
        <v>-47.7720411</v>
      </c>
      <c r="BY1016" s="152" t="s">
        <v>5378</v>
      </c>
    </row>
    <row r="1017" customFormat="false" ht="13.8" hidden="false" customHeight="false" outlineLevel="0" collapsed="false">
      <c r="A1017" s="149" t="n">
        <f aca="false">IF(C1017&lt;&gt;"",ROW(A1012),"")</f>
        <v>1012</v>
      </c>
      <c r="B1017" s="150" t="str">
        <f aca="false">HYPERLINK("https://www.google.com/maps/dir/-15.917302,-47.760003/-15.9321630,-47.7712144/data=!4m3!4m2!3e0!5i1")</f>
        <v>https://www.google.com/maps/dir/-15.917302,-47.760003/-15.9321630,-47.7712144/data=!4m3!4m2!3e0!5i1</v>
      </c>
      <c r="C1017" s="151" t="s">
        <v>117</v>
      </c>
      <c r="D1017" s="152" t="s">
        <v>112</v>
      </c>
      <c r="E1017" s="152" t="s">
        <v>113</v>
      </c>
      <c r="F1017" s="152" t="s">
        <v>117</v>
      </c>
      <c r="G1017" s="152" t="s">
        <v>782</v>
      </c>
      <c r="H1017" s="152" t="n">
        <v>63</v>
      </c>
      <c r="I1017" s="152" t="s">
        <v>115</v>
      </c>
      <c r="J1017" s="152" t="s">
        <v>6</v>
      </c>
      <c r="K1017" s="152" t="s">
        <v>5106</v>
      </c>
      <c r="L1017" s="152" t="s">
        <v>120</v>
      </c>
      <c r="M1017" s="153" t="n">
        <f aca="false">93.28</f>
        <v>93.28</v>
      </c>
      <c r="N1017" s="152" t="s">
        <v>1548</v>
      </c>
      <c r="O1017" s="152" t="s">
        <v>1549</v>
      </c>
      <c r="P1017" s="152" t="s">
        <v>1550</v>
      </c>
      <c r="Q1017" s="152" t="s">
        <v>1551</v>
      </c>
      <c r="R1017" s="154" t="s">
        <v>5399</v>
      </c>
      <c r="S1017" s="154" t="s">
        <v>1553</v>
      </c>
      <c r="T1017" s="155" t="s">
        <v>4002</v>
      </c>
      <c r="U1017" s="152" t="str">
        <f aca="false">RIGHT(T1017,7)</f>
        <v>015/037</v>
      </c>
      <c r="V1017" s="152" t="s">
        <v>1555</v>
      </c>
      <c r="W1017" s="156" t="n">
        <v>45882</v>
      </c>
      <c r="X1017" s="152" t="s">
        <v>1594</v>
      </c>
      <c r="Y1017" s="152"/>
      <c r="Z1017" s="152" t="s">
        <v>1557</v>
      </c>
      <c r="AA1017" s="153" t="n">
        <v>4.8</v>
      </c>
      <c r="AB1017" s="151" t="s">
        <v>5400</v>
      </c>
      <c r="AC1017" s="151" t="s">
        <v>186</v>
      </c>
      <c r="AD1017" s="151" t="str">
        <f aca="false">CONCATENATE($C1017,$I1017,$H1017,$N1017,$J1017,$K1017)</f>
        <v>TUBO PEADPEAD63VCAREDESZona09</v>
      </c>
      <c r="AE1017" s="153" t="n">
        <f aca="false">IFERROR(INDEX(APOIO_REDES!$A:$W,MATCH($C1017&amp;$I1017&amp;$H1017&amp;$N1017&amp;$O1017,APOIO_REDES!$W:$W,0),MATCH(AE$5,APOIO_REDES!$5:$5,0)),0)</f>
        <v>1.2</v>
      </c>
      <c r="AF1017" s="153" t="n">
        <f aca="false">IFERROR(INDEX(APOIO_REDES!$A:$W,MATCH($C1017&amp;$I1017&amp;$H1017&amp;$N1017&amp;$O1017,APOIO_REDES!$W:$W,0),MATCH(AF$5,APOIO_REDES!$5:$5,0)),0)</f>
        <v>1.363</v>
      </c>
      <c r="AG1017" s="153" t="n">
        <f aca="false">IFERROR(INDEX(APOIO_REDES!$A:$W,MATCH($C1017&amp;$I1017&amp;$H1017&amp;$N1017&amp;$O1017,APOIO_REDES!$W:$W,0),MATCH(AG$5,APOIO_REDES!$5:$5,0)),0)</f>
        <v>0.65</v>
      </c>
      <c r="AH1017" s="153" t="n">
        <f aca="false">IFERROR(INDEX(APOIO_REDES!$A:$W,MATCH($C1017&amp;$I1017&amp;$H1017&amp;$N1017&amp;$O1017,APOIO_REDES!$W:$W,0),MATCH(AH$5,APOIO_REDES!$5:$5,0)),0)</f>
        <v>0.1</v>
      </c>
      <c r="AI1017" s="153" t="n">
        <f aca="false">IFERROR(IF($H1017&lt;&gt;"",(((($H1017/1000)/2)^2)*PI()*$M1017),0),0)</f>
        <v>0.290776642565723</v>
      </c>
      <c r="AJ1017" s="153" t="n">
        <f aca="false">IFERROR(IF(AND($H1017&lt;&gt;"",$I1017="FoFo",OR($N1017="MND",$N1017="VCA"),$Q1017="LINEAR"),0,IF(AND($H1017&lt;&gt;"",$I1017="PEAD",$N1017="VCA",$Q1017="LINEAR"),($H1017/1000)+0.3,IF(AND($H1017&lt;&gt;"",$I1017="PEAD",$N1017="MND",$Q1017="EMBOQUE"),0,IF(AND($H1017&lt;&gt;"",$I1017="PVC",$N1017="VCA",$Q1017="LINEAR"),($H1017/1000)+0.2,IF(AND($H1017&lt;&gt;"",$I1017="PVC",$N1017="MND",$Q1017="EMBOQUE"),0,IF(AND($H1017&lt;&gt;"",$I1017="PEAD",$N1017="VCA",$Q1017="PREDIAL"),0,0)))))),0)</f>
        <v>0.363</v>
      </c>
      <c r="AK1017" s="153" t="n">
        <f aca="false">IF(AA1017&lt;&gt;"",AA1017,0)</f>
        <v>4.8</v>
      </c>
      <c r="AL1017" s="153" t="n">
        <f aca="false">IF(AND($N1017="MND",$Q1017="EMBOQUE"),$M1017,IF(AND($N1017="VCA",$Q1017="LINEAR"),$M1017,IF(AND($N1017="VCA",$Q1017="PREDIAL"),0,0)))</f>
        <v>93.28</v>
      </c>
      <c r="AM1017" s="153" t="n">
        <f aca="false">IF(AND($N1017="MND",$Q1017="EMBOQUE"),$M1017,IF(AND($N1017="VCA",$Q1017="LINEAR"),$M1017,IF(AND($N1017="VCA",$Q1017="PREDIAL"),0,0)))</f>
        <v>93.28</v>
      </c>
      <c r="AN1017" s="153" t="n">
        <f aca="false">ROUND(IF(AND($N1017="VCA",$M1017&lt;&gt;"",$Q1017="LINEAR"),$M1017/100,IF(AND($N1017="MND",$M1017&gt;100,$Q1017="EMBOQUE"),$M1017/100,0)),0)</f>
        <v>1</v>
      </c>
      <c r="AO1017" s="153" t="n">
        <f aca="false">IF(AND($N1017="MND",$Q1017="EMBOQUE"),$AN1017*2*2,IF(AND($N1017="VCA",$Q1017="LINEAR"),$M1017*2,IF(AND($N1017="VCA",$Q1017="PREDIAL"),0,0)))</f>
        <v>186.56</v>
      </c>
      <c r="AP1017" s="153" t="n">
        <f aca="false">IFERROR($M1017*$AF1017*$AG1017,0)</f>
        <v>82.641416</v>
      </c>
      <c r="AQ1017" s="153" t="n">
        <f aca="false">IFERROR(IF(AND($N1017="VCA",$AH1017&gt;0),$M1017*$AG1017*$AH1017,0),0)</f>
        <v>6.0632</v>
      </c>
      <c r="AR1017" s="153" t="n">
        <f aca="false">IFERROR(IF(AND($N1017="VCA",$AJ1017&gt;0),($M1017*$AG1017*$AJ1017)-$AI1017,0),0)</f>
        <v>21.7186393574343</v>
      </c>
      <c r="AS1017" s="153" t="n">
        <f aca="false">IFERROR(IF(AND($N1017="VCA",$AP1017&gt;0),$AP1017-$AI1017-$AQ1017-$AR1017,0),0)</f>
        <v>54.5688</v>
      </c>
      <c r="AT1017" s="153" t="n">
        <f aca="false">IFERROR(IF($N1017="VCA",INDEX(APOIO_REDES!$A:$W,MATCH($C1017&amp;$I1017&amp;$H1017&amp;$N1017&amp;$O1017,APOIO_REDES!$W:$W,0),MATCH(AT$5,APOIO_REDES!$5:$5,0)),0)*$AP1017,0)</f>
        <v>0.899163066690547</v>
      </c>
      <c r="AU1017" s="153" t="n">
        <f aca="false">IFERROR(IF($N1017="VCA",INDEX(APOIO_REDES!$A:$W,MATCH($C1017&amp;$I1017&amp;$H1017&amp;$N1017&amp;$O1017,APOIO_REDES!$W:$W,0),MATCH(AU$5,APOIO_REDES!$5:$5,0)),0)*$AP1017,0)</f>
        <v>0.718047272634838</v>
      </c>
      <c r="AV1017" s="153" t="n">
        <f aca="false">IFERROR(IF($N1017="VCA",INDEX(APOIO_REDES!$A:$W,MATCH($C1017&amp;$I1017&amp;$H1017&amp;$N1017&amp;$O1017,APOIO_REDES!$W:$W,0),MATCH(AV$5,APOIO_REDES!$5:$5,0)),0)*$AP1017,0)</f>
        <v>0.0993721056405597</v>
      </c>
      <c r="AW1017" s="153" t="n">
        <f aca="false">IFERROR(IF($N1017="VCA",INDEX(APOIO_REDES!$A:$W,MATCH($C1017&amp;$I1017&amp;$H1017&amp;$N1017&amp;$O1017,APOIO_REDES!$W:$W,0),MATCH(AW$5,APOIO_REDES!$5:$5,0)),0)*$AP1017,0)</f>
        <v>56.7257082793381</v>
      </c>
      <c r="AX1017" s="153" t="n">
        <f aca="false">IFERROR(IF($N1017="VCA",INDEX(APOIO_REDES!$A:$W,MATCH($C1017&amp;$I1017&amp;$H1017&amp;$N1017&amp;$O1017,APOIO_REDES!$W:$W,0),MATCH(AX$5,APOIO_REDES!$5:$5,0)),0)*$AP1017,0)</f>
        <v>7.8506764396217</v>
      </c>
      <c r="AY1017" s="153" t="n">
        <f aca="false">IFERROR(IF($N1017="VCA",INDEX(APOIO_REDES!$A:$W,MATCH($C1017&amp;$I1017&amp;$H1017&amp;$N1017&amp;$O1017,APOIO_REDES!$W:$W,0),MATCH(AY$5,APOIO_REDES!$5:$5,0)),0)*$AP1017,0)</f>
        <v>14.3609366997587</v>
      </c>
      <c r="AZ1017" s="153" t="n">
        <f aca="false">IFERROR(IF($N1017="VCA",INDEX(APOIO_REDES!$A:$W,MATCH($C1017&amp;$I1017&amp;$H1017&amp;$N1017&amp;$O1017,APOIO_REDES!$W:$W,0),MATCH(AZ$5,APOIO_REDES!$5:$5,0)),0)*$AP1017,0)</f>
        <v>1.98751213631557</v>
      </c>
      <c r="BA1017" s="153" t="n">
        <f aca="false">IFERROR(IF(AND($N1017="VCA",$Q1017="LINEAR"),INDEX(APOIO_REDES!$A:$W,MATCH($C1017&amp;$I1017&amp;$H1017&amp;$N1017&amp;$O1017,APOIO_REDES!$W:$W,0),MATCH(BA$5,APOIO_REDES!$5:$5,0)),IF(AND($N1017="MND",$Q1017="EMBOQUE"),INDEX(APOIO_REDES!$A:$W,MATCH($C1017&amp;$I1017&amp;$H1017&amp;$N1017&amp;$O1017,APOIO_REDES!$W:$W,0),MATCH(BA$5,APOIO_REDES!$5:$5,0)),0))*$M1017/10,0)</f>
        <v>7.51813270864191</v>
      </c>
      <c r="BB1017" s="153" t="n">
        <f aca="false">IFERROR(IF($N1017="VCA",INDEX(APOIO_REDES!$A:$W,MATCH($C1017&amp;$I1017&amp;$H1017&amp;$N1017&amp;$O1017,APOIO_REDES!$W:$W,0),MATCH(BB$5,APOIO_REDES!$5:$5,0)),0)*($AI1017+$AQ1017+$AR1017),0)</f>
        <v>27.7671776288498</v>
      </c>
      <c r="BC1017" s="153" t="n">
        <f aca="false">IFERROR(IF($N1017="VCA",INDEX(APOIO_REDES!$A:$W,MATCH($C1017&amp;$I1017&amp;$H1017&amp;$N1017&amp;$O1017,APOIO_REDES!$W:$W,0),MATCH(BC$5,APOIO_REDES!$5:$5,0)),0)*($AI1017+$AQ1017+$AR1017),0)</f>
        <v>0.3054383711502</v>
      </c>
      <c r="BD1017" s="153" t="n">
        <f aca="false">IF(AND($N1017="VCA",$AF1017&gt;=1.25,$AF1017&lt;1.5),$M1017*$AF1017*2,0)</f>
        <v>254.28128</v>
      </c>
      <c r="BE1017" s="153" t="n">
        <f aca="false">IF(AND($N1017="VCA",$AF1017&gt;=1.5,$AF1017&lt;3),$M1017*$AF1017*2,0)</f>
        <v>0</v>
      </c>
      <c r="BF1017" s="153" t="n">
        <f aca="false">IF(AND($N1017="VCA",$AF1017&gt;=3),$M1017*$AF1017*2,0)</f>
        <v>0</v>
      </c>
      <c r="BG1017" s="153" t="n">
        <f aca="false">($BB1017+$BC1017)*$AK1017</f>
        <v>134.7485568</v>
      </c>
      <c r="BH1017" s="153" t="n">
        <f aca="false">IF(AND($M1017&lt;&gt;"",$N1017="VCA",$Q1017="LINEAR"),($M1017*2)/100,IF(AND($M1017&lt;&gt;"",$N1017="MND",$Q1017="EMBOQUE"),($AN1017*2)/100,0))</f>
        <v>1.8656</v>
      </c>
      <c r="BI1017" s="153" t="n">
        <f aca="false">IF(AND($M1017&lt;&gt;"",$N1017="VCA",$Q1017="LINEAR"),$M1017,IF(AND($M1017&lt;&gt;"",$N1017="MND",$Q1017="EMBOQUE"),$AN1017*2,0))</f>
        <v>93.28</v>
      </c>
      <c r="BJ1017" s="153" t="n">
        <f aca="false">IF(AND($M1017&lt;&gt;"",$N1017="VCA",$Q1017="LINEAR"),($M1017*6.8)/100,IF(AND($M1017&lt;&gt;"",$N1017="MND",$Q1017="EMBOQUE"),($AN1017*2*6.8)/100,0))</f>
        <v>6.34304</v>
      </c>
      <c r="BK1017" s="153" t="n">
        <f aca="false">IF(AND($M1017&lt;&gt;"",$N1017="VCA",$Q1017="LINEAR"),($M1017*2.5)/50,IF(AND($M1017&lt;&gt;"",$N1017="MND",$Q1017="EMBOQUE"),($AN1017*2*2.5)/50,0))</f>
        <v>4.664</v>
      </c>
      <c r="BL1017" s="157" t="str">
        <f aca="false">K1017&amp;J1017</f>
        <v>Zona09REDES</v>
      </c>
      <c r="BM1017" s="152" t="s">
        <v>5109</v>
      </c>
      <c r="BN1017" s="152" t="s">
        <v>1560</v>
      </c>
      <c r="BO1017" s="152" t="s">
        <v>4004</v>
      </c>
      <c r="BP1017" s="152" t="s">
        <v>5371</v>
      </c>
      <c r="BQ1017" s="152" t="s">
        <v>5378</v>
      </c>
      <c r="BR1017" s="152" t="s">
        <v>5401</v>
      </c>
      <c r="BS1017" s="152" t="n">
        <v>203304.669</v>
      </c>
      <c r="BT1017" s="152" t="n">
        <v>8236597.683</v>
      </c>
      <c r="BU1017" s="152" t="n">
        <v>203228.671</v>
      </c>
      <c r="BV1017" s="152" t="n">
        <v>8236651.641</v>
      </c>
      <c r="BW1017" s="152" t="n">
        <v>-15.9319156</v>
      </c>
      <c r="BX1017" s="152" t="n">
        <v>-47.771566</v>
      </c>
      <c r="BY1017" s="152" t="s">
        <v>5371</v>
      </c>
    </row>
    <row r="1018" customFormat="false" ht="13.8" hidden="false" customHeight="false" outlineLevel="0" collapsed="false">
      <c r="A1018" s="149" t="n">
        <f aca="false">IF(C1018&lt;&gt;"",ROW(A1013),"")</f>
        <v>1013</v>
      </c>
      <c r="B1018" s="150" t="str">
        <f aca="false">HYPERLINK("https://www.google.com/maps/dir/-15.917302,-47.760003/-15.9322080,-47.7711995/data=!4m3!4m2!3e0!5i1")</f>
        <v>https://www.google.com/maps/dir/-15.917302,-47.760003/-15.9322080,-47.7711995/data=!4m3!4m2!3e0!5i1</v>
      </c>
      <c r="C1018" s="151" t="s">
        <v>117</v>
      </c>
      <c r="D1018" s="152" t="s">
        <v>112</v>
      </c>
      <c r="E1018" s="152" t="s">
        <v>113</v>
      </c>
      <c r="F1018" s="152" t="s">
        <v>117</v>
      </c>
      <c r="G1018" s="152" t="s">
        <v>114</v>
      </c>
      <c r="H1018" s="152" t="n">
        <v>160</v>
      </c>
      <c r="I1018" s="152" t="s">
        <v>115</v>
      </c>
      <c r="J1018" s="152" t="s">
        <v>6</v>
      </c>
      <c r="K1018" s="152" t="s">
        <v>5106</v>
      </c>
      <c r="L1018" s="152" t="s">
        <v>120</v>
      </c>
      <c r="M1018" s="153" t="n">
        <f aca="false">4.41</f>
        <v>4.41</v>
      </c>
      <c r="N1018" s="152" t="s">
        <v>1548</v>
      </c>
      <c r="O1018" s="152" t="s">
        <v>1549</v>
      </c>
      <c r="P1018" s="152" t="s">
        <v>1550</v>
      </c>
      <c r="Q1018" s="152" t="s">
        <v>1551</v>
      </c>
      <c r="R1018" s="154" t="s">
        <v>5402</v>
      </c>
      <c r="S1018" s="154" t="s">
        <v>1593</v>
      </c>
      <c r="T1018" s="155" t="s">
        <v>4002</v>
      </c>
      <c r="U1018" s="152" t="str">
        <f aca="false">RIGHT(T1018,7)</f>
        <v>015/037</v>
      </c>
      <c r="V1018" s="152" t="s">
        <v>1555</v>
      </c>
      <c r="W1018" s="156" t="n">
        <v>45882</v>
      </c>
      <c r="X1018" s="152" t="s">
        <v>1594</v>
      </c>
      <c r="Y1018" s="152"/>
      <c r="Z1018" s="152" t="s">
        <v>1557</v>
      </c>
      <c r="AA1018" s="153" t="n">
        <v>4.8</v>
      </c>
      <c r="AB1018" s="151" t="s">
        <v>5403</v>
      </c>
      <c r="AC1018" s="151" t="s">
        <v>505</v>
      </c>
      <c r="AD1018" s="151" t="str">
        <f aca="false">CONCATENATE($C1018,$I1018,$H1018,$N1018,$J1018,$K1018)</f>
        <v>TUBO PEADPEAD160VCAREDESZona09</v>
      </c>
      <c r="AE1018" s="153" t="n">
        <f aca="false">IFERROR(INDEX(APOIO_REDES!$A:$W,MATCH($C1018&amp;$I1018&amp;$H1018&amp;$N1018&amp;$O1018,APOIO_REDES!$W:$W,0),MATCH(AE$5,APOIO_REDES!$5:$5,0)),0)</f>
        <v>1.2</v>
      </c>
      <c r="AF1018" s="153" t="n">
        <f aca="false">IFERROR(INDEX(APOIO_REDES!$A:$W,MATCH($C1018&amp;$I1018&amp;$H1018&amp;$N1018&amp;$O1018,APOIO_REDES!$W:$W,0),MATCH(AF$5,APOIO_REDES!$5:$5,0)),0)</f>
        <v>1.46</v>
      </c>
      <c r="AG1018" s="153" t="n">
        <f aca="false">IFERROR(INDEX(APOIO_REDES!$A:$W,MATCH($C1018&amp;$I1018&amp;$H1018&amp;$N1018&amp;$O1018,APOIO_REDES!$W:$W,0),MATCH(AG$5,APOIO_REDES!$5:$5,0)),0)</f>
        <v>0.75</v>
      </c>
      <c r="AH1018" s="153" t="n">
        <f aca="false">IFERROR(INDEX(APOIO_REDES!$A:$W,MATCH($C1018&amp;$I1018&amp;$H1018&amp;$N1018&amp;$O1018,APOIO_REDES!$W:$W,0),MATCH(AH$5,APOIO_REDES!$5:$5,0)),0)</f>
        <v>0.1</v>
      </c>
      <c r="AI1018" s="153" t="n">
        <f aca="false">IFERROR(IF($H1018&lt;&gt;"",(((($H1018/1000)/2)^2)*PI()*$M1018),0),0)</f>
        <v>0.0886683110549183</v>
      </c>
      <c r="AJ1018" s="153" t="n">
        <f aca="false">IFERROR(IF(AND($H1018&lt;&gt;"",$I1018="FoFo",OR($N1018="MND",$N1018="VCA"),$Q1018="LINEAR"),0,IF(AND($H1018&lt;&gt;"",$I1018="PEAD",$N1018="VCA",$Q1018="LINEAR"),($H1018/1000)+0.3,IF(AND($H1018&lt;&gt;"",$I1018="PEAD",$N1018="MND",$Q1018="EMBOQUE"),0,IF(AND($H1018&lt;&gt;"",$I1018="PVC",$N1018="VCA",$Q1018="LINEAR"),($H1018/1000)+0.2,IF(AND($H1018&lt;&gt;"",$I1018="PVC",$N1018="MND",$Q1018="EMBOQUE"),0,IF(AND($H1018&lt;&gt;"",$I1018="PEAD",$N1018="VCA",$Q1018="PREDIAL"),0,0)))))),0)</f>
        <v>0.46</v>
      </c>
      <c r="AK1018" s="153" t="n">
        <f aca="false">IF(AA1018&lt;&gt;"",AA1018,0)</f>
        <v>4.8</v>
      </c>
      <c r="AL1018" s="153" t="n">
        <f aca="false">IF(AND($N1018="MND",$Q1018="EMBOQUE"),$M1018,IF(AND($N1018="VCA",$Q1018="LINEAR"),$M1018,IF(AND($N1018="VCA",$Q1018="PREDIAL"),0,0)))</f>
        <v>4.41</v>
      </c>
      <c r="AM1018" s="153" t="n">
        <f aca="false">IF(AND($N1018="MND",$Q1018="EMBOQUE"),$M1018,IF(AND($N1018="VCA",$Q1018="LINEAR"),$M1018,IF(AND($N1018="VCA",$Q1018="PREDIAL"),0,0)))</f>
        <v>4.41</v>
      </c>
      <c r="AN1018" s="153" t="n">
        <f aca="false">ROUND(IF(AND($N1018="VCA",$M1018&lt;&gt;"",$Q1018="LINEAR"),$M1018/100,IF(AND($N1018="MND",$M1018&gt;100,$Q1018="EMBOQUE"),$M1018/100,0)),0)</f>
        <v>0</v>
      </c>
      <c r="AO1018" s="153" t="n">
        <f aca="false">IF(AND($N1018="MND",$Q1018="EMBOQUE"),$AN1018*2*2,IF(AND($N1018="VCA",$Q1018="LINEAR"),$M1018*2,IF(AND($N1018="VCA",$Q1018="PREDIAL"),0,0)))</f>
        <v>8.82</v>
      </c>
      <c r="AP1018" s="153" t="n">
        <f aca="false">IFERROR($M1018*$AF1018*$AG1018,0)</f>
        <v>4.82895</v>
      </c>
      <c r="AQ1018" s="153" t="n">
        <f aca="false">IFERROR(IF(AND($N1018="VCA",$AH1018&gt;0),$M1018*$AG1018*$AH1018,0),0)</f>
        <v>0.33075</v>
      </c>
      <c r="AR1018" s="153" t="n">
        <f aca="false">IFERROR(IF(AND($N1018="VCA",$AJ1018&gt;0),($M1018*$AG1018*$AJ1018)-$AI1018,0),0)</f>
        <v>1.43278168894508</v>
      </c>
      <c r="AS1018" s="153" t="n">
        <f aca="false">IFERROR(IF(AND($N1018="VCA",$AP1018&gt;0),$AP1018-$AI1018-$AQ1018-$AR1018,0),0)</f>
        <v>2.97675</v>
      </c>
      <c r="AT1018" s="153" t="n">
        <f aca="false">IFERROR(IF($N1018="VCA",INDEX(APOIO_REDES!$A:$W,MATCH($C1018&amp;$I1018&amp;$H1018&amp;$N1018&amp;$O1018,APOIO_REDES!$W:$W,0),MATCH(AT$5,APOIO_REDES!$5:$5,0)),0)*$AP1018,0)</f>
        <v>0.0525404052962417</v>
      </c>
      <c r="AU1018" s="153" t="n">
        <f aca="false">IFERROR(IF($N1018="VCA",INDEX(APOIO_REDES!$A:$W,MATCH($C1018&amp;$I1018&amp;$H1018&amp;$N1018&amp;$O1018,APOIO_REDES!$W:$W,0),MATCH(AU$5,APOIO_REDES!$5:$5,0)),0)*$AP1018,0)</f>
        <v>0.0419573446949409</v>
      </c>
      <c r="AV1018" s="153" t="n">
        <f aca="false">IFERROR(IF($N1018="VCA",INDEX(APOIO_REDES!$A:$W,MATCH($C1018&amp;$I1018&amp;$H1018&amp;$N1018&amp;$O1018,APOIO_REDES!$W:$W,0),MATCH(AV$5,APOIO_REDES!$5:$5,0)),0)*$AP1018,0)</f>
        <v>0.00580656712770968</v>
      </c>
      <c r="AW1018" s="153" t="n">
        <f aca="false">IFERROR(IF($N1018="VCA",INDEX(APOIO_REDES!$A:$W,MATCH($C1018&amp;$I1018&amp;$H1018&amp;$N1018&amp;$O1018,APOIO_REDES!$W:$W,0),MATCH(AW$5,APOIO_REDES!$5:$5,0)),0)*$AP1018,0)</f>
        <v>3.31462869653044</v>
      </c>
      <c r="AX1018" s="153" t="n">
        <f aca="false">IFERROR(IF($N1018="VCA",INDEX(APOIO_REDES!$A:$W,MATCH($C1018&amp;$I1018&amp;$H1018&amp;$N1018&amp;$O1018,APOIO_REDES!$W:$W,0),MATCH(AX$5,APOIO_REDES!$5:$5,0)),0)*$AP1018,0)</f>
        <v>0.458735169701245</v>
      </c>
      <c r="AY1018" s="153" t="n">
        <f aca="false">IFERROR(IF($N1018="VCA",INDEX(APOIO_REDES!$A:$W,MATCH($C1018&amp;$I1018&amp;$H1018&amp;$N1018&amp;$O1018,APOIO_REDES!$W:$W,0),MATCH(AY$5,APOIO_REDES!$5:$5,0)),0)*$AP1018,0)</f>
        <v>0.839146382442187</v>
      </c>
      <c r="AZ1018" s="153" t="n">
        <f aca="false">IFERROR(IF($N1018="VCA",INDEX(APOIO_REDES!$A:$W,MATCH($C1018&amp;$I1018&amp;$H1018&amp;$N1018&amp;$O1018,APOIO_REDES!$W:$W,0),MATCH(AZ$5,APOIO_REDES!$5:$5,0)),0)*$AP1018,0)</f>
        <v>0.116135434207239</v>
      </c>
      <c r="BA1018" s="153" t="n">
        <f aca="false">IFERROR(IF(AND($N1018="VCA",$Q1018="LINEAR"),INDEX(APOIO_REDES!$A:$W,MATCH($C1018&amp;$I1018&amp;$H1018&amp;$N1018&amp;$O1018,APOIO_REDES!$W:$W,0),MATCH(BA$5,APOIO_REDES!$5:$5,0)),IF(AND($N1018="MND",$Q1018="EMBOQUE"),INDEX(APOIO_REDES!$A:$W,MATCH($C1018&amp;$I1018&amp;$H1018&amp;$N1018&amp;$O1018,APOIO_REDES!$W:$W,0),MATCH(BA$5,APOIO_REDES!$5:$5,0)),0))*$M1018/10,0)</f>
        <v>0.355434876126831</v>
      </c>
      <c r="BB1018" s="153" t="n">
        <f aca="false">IFERROR(IF($N1018="VCA",INDEX(APOIO_REDES!$A:$W,MATCH($C1018&amp;$I1018&amp;$H1018&amp;$N1018&amp;$O1018,APOIO_REDES!$W:$W,0),MATCH(BB$5,APOIO_REDES!$5:$5,0)),0)*($AI1018+$AQ1018+$AR1018),0)</f>
        <v>1.83204751577678</v>
      </c>
      <c r="BC1018" s="153" t="n">
        <f aca="false">IFERROR(IF($N1018="VCA",INDEX(APOIO_REDES!$A:$W,MATCH($C1018&amp;$I1018&amp;$H1018&amp;$N1018&amp;$O1018,APOIO_REDES!$W:$W,0),MATCH(BC$5,APOIO_REDES!$5:$5,0)),0)*($AI1018+$AQ1018+$AR1018),0)</f>
        <v>0.020152484223216</v>
      </c>
      <c r="BD1018" s="153" t="n">
        <f aca="false">IF(AND($N1018="VCA",$AF1018&gt;=1.25,$AF1018&lt;1.5),$M1018*$AF1018*2,0)</f>
        <v>12.8772</v>
      </c>
      <c r="BE1018" s="153" t="n">
        <f aca="false">IF(AND($N1018="VCA",$AF1018&gt;=1.5,$AF1018&lt;3),$M1018*$AF1018*2,0)</f>
        <v>0</v>
      </c>
      <c r="BF1018" s="153" t="n">
        <f aca="false">IF(AND($N1018="VCA",$AF1018&gt;=3),$M1018*$AF1018*2,0)</f>
        <v>0</v>
      </c>
      <c r="BG1018" s="153" t="n">
        <f aca="false">($BB1018+$BC1018)*$AK1018</f>
        <v>8.89056</v>
      </c>
      <c r="BH1018" s="153" t="n">
        <f aca="false">IF(AND($M1018&lt;&gt;"",$N1018="VCA",$Q1018="LINEAR"),($M1018*2)/100,IF(AND($M1018&lt;&gt;"",$N1018="MND",$Q1018="EMBOQUE"),($AN1018*2)/100,0))</f>
        <v>0.0882</v>
      </c>
      <c r="BI1018" s="153" t="n">
        <f aca="false">IF(AND($M1018&lt;&gt;"",$N1018="VCA",$Q1018="LINEAR"),$M1018,IF(AND($M1018&lt;&gt;"",$N1018="MND",$Q1018="EMBOQUE"),$AN1018*2,0))</f>
        <v>4.41</v>
      </c>
      <c r="BJ1018" s="153" t="n">
        <f aca="false">IF(AND($M1018&lt;&gt;"",$N1018="VCA",$Q1018="LINEAR"),($M1018*6.8)/100,IF(AND($M1018&lt;&gt;"",$N1018="MND",$Q1018="EMBOQUE"),($AN1018*2*6.8)/100,0))</f>
        <v>0.29988</v>
      </c>
      <c r="BK1018" s="153" t="n">
        <f aca="false">IF(AND($M1018&lt;&gt;"",$N1018="VCA",$Q1018="LINEAR"),($M1018*2.5)/50,IF(AND($M1018&lt;&gt;"",$N1018="MND",$Q1018="EMBOQUE"),($AN1018*2*2.5)/50,0))</f>
        <v>0.2205</v>
      </c>
      <c r="BL1018" s="157" t="str">
        <f aca="false">K1018&amp;J1018</f>
        <v>Zona09REDES</v>
      </c>
      <c r="BM1018" s="152" t="s">
        <v>5109</v>
      </c>
      <c r="BN1018" s="152" t="s">
        <v>1560</v>
      </c>
      <c r="BO1018" s="152" t="s">
        <v>4004</v>
      </c>
      <c r="BP1018" s="152" t="s">
        <v>5382</v>
      </c>
      <c r="BQ1018" s="152" t="s">
        <v>5404</v>
      </c>
      <c r="BR1018" s="152" t="s">
        <v>5405</v>
      </c>
      <c r="BS1018" s="152" t="n">
        <v>203306.015</v>
      </c>
      <c r="BT1018" s="152" t="n">
        <v>8236592.548</v>
      </c>
      <c r="BU1018" s="152" t="n">
        <v>203301.918</v>
      </c>
      <c r="BV1018" s="152" t="n">
        <v>8236594.167</v>
      </c>
      <c r="BW1018" s="152" t="n">
        <v>-15.932202</v>
      </c>
      <c r="BX1018" s="152" t="n">
        <v>-47.7712214</v>
      </c>
      <c r="BY1018" s="152" t="s">
        <v>5382</v>
      </c>
    </row>
    <row r="1019" customFormat="false" ht="13.8" hidden="false" customHeight="false" outlineLevel="0" collapsed="false">
      <c r="A1019" s="149" t="n">
        <f aca="false">IF(C1019&lt;&gt;"",ROW(A1014),"")</f>
        <v>1014</v>
      </c>
      <c r="B1019" s="150" t="str">
        <f aca="false">HYPERLINK("https://www.google.com/maps/dir/-15.917302,-47.760003/-15.9322080,-47.7711995/data=!4m3!4m2!3e0!5i1")</f>
        <v>https://www.google.com/maps/dir/-15.917302,-47.760003/-15.9322080,-47.7711995/data=!4m3!4m2!3e0!5i1</v>
      </c>
      <c r="C1019" s="151" t="s">
        <v>117</v>
      </c>
      <c r="D1019" s="152" t="s">
        <v>112</v>
      </c>
      <c r="E1019" s="152" t="s">
        <v>113</v>
      </c>
      <c r="F1019" s="152" t="s">
        <v>117</v>
      </c>
      <c r="G1019" s="152" t="s">
        <v>782</v>
      </c>
      <c r="H1019" s="152" t="n">
        <v>63</v>
      </c>
      <c r="I1019" s="152" t="s">
        <v>115</v>
      </c>
      <c r="J1019" s="152" t="s">
        <v>6</v>
      </c>
      <c r="K1019" s="152" t="s">
        <v>5106</v>
      </c>
      <c r="L1019" s="152" t="s">
        <v>120</v>
      </c>
      <c r="M1019" s="153" t="n">
        <f aca="false">0.6</f>
        <v>0.6</v>
      </c>
      <c r="N1019" s="152" t="s">
        <v>1548</v>
      </c>
      <c r="O1019" s="152" t="s">
        <v>1549</v>
      </c>
      <c r="P1019" s="152" t="s">
        <v>1550</v>
      </c>
      <c r="Q1019" s="152" t="s">
        <v>1551</v>
      </c>
      <c r="R1019" s="154" t="s">
        <v>5406</v>
      </c>
      <c r="S1019" s="154" t="s">
        <v>1553</v>
      </c>
      <c r="T1019" s="155" t="s">
        <v>4002</v>
      </c>
      <c r="U1019" s="152" t="str">
        <f aca="false">RIGHT(T1019,7)</f>
        <v>015/037</v>
      </c>
      <c r="V1019" s="152" t="s">
        <v>1555</v>
      </c>
      <c r="W1019" s="156" t="n">
        <v>45882</v>
      </c>
      <c r="X1019" s="152" t="s">
        <v>1594</v>
      </c>
      <c r="Y1019" s="152"/>
      <c r="Z1019" s="152" t="s">
        <v>1557</v>
      </c>
      <c r="AA1019" s="153" t="n">
        <v>4.8</v>
      </c>
      <c r="AB1019" s="151" t="s">
        <v>5407</v>
      </c>
      <c r="AC1019" s="151" t="s">
        <v>186</v>
      </c>
      <c r="AD1019" s="151" t="str">
        <f aca="false">CONCATENATE($C1019,$I1019,$H1019,$N1019,$J1019,$K1019)</f>
        <v>TUBO PEADPEAD63VCAREDESZona09</v>
      </c>
      <c r="AE1019" s="153" t="n">
        <f aca="false">IFERROR(INDEX(APOIO_REDES!$A:$W,MATCH($C1019&amp;$I1019&amp;$H1019&amp;$N1019&amp;$O1019,APOIO_REDES!$W:$W,0),MATCH(AE$5,APOIO_REDES!$5:$5,0)),0)</f>
        <v>1.2</v>
      </c>
      <c r="AF1019" s="153" t="n">
        <f aca="false">IFERROR(INDEX(APOIO_REDES!$A:$W,MATCH($C1019&amp;$I1019&amp;$H1019&amp;$N1019&amp;$O1019,APOIO_REDES!$W:$W,0),MATCH(AF$5,APOIO_REDES!$5:$5,0)),0)</f>
        <v>1.363</v>
      </c>
      <c r="AG1019" s="153" t="n">
        <f aca="false">IFERROR(INDEX(APOIO_REDES!$A:$W,MATCH($C1019&amp;$I1019&amp;$H1019&amp;$N1019&amp;$O1019,APOIO_REDES!$W:$W,0),MATCH(AG$5,APOIO_REDES!$5:$5,0)),0)</f>
        <v>0.65</v>
      </c>
      <c r="AH1019" s="153" t="n">
        <f aca="false">IFERROR(INDEX(APOIO_REDES!$A:$W,MATCH($C1019&amp;$I1019&amp;$H1019&amp;$N1019&amp;$O1019,APOIO_REDES!$W:$W,0),MATCH(AH$5,APOIO_REDES!$5:$5,0)),0)</f>
        <v>0.1</v>
      </c>
      <c r="AI1019" s="153" t="n">
        <f aca="false">IFERROR(IF($H1019&lt;&gt;"",(((($H1019/1000)/2)^2)*PI()*$M1019),0),0)</f>
        <v>0.00187034718631468</v>
      </c>
      <c r="AJ1019" s="153" t="n">
        <f aca="false">IFERROR(IF(AND($H1019&lt;&gt;"",$I1019="FoFo",OR($N1019="MND",$N1019="VCA"),$Q1019="LINEAR"),0,IF(AND($H1019&lt;&gt;"",$I1019="PEAD",$N1019="VCA",$Q1019="LINEAR"),($H1019/1000)+0.3,IF(AND($H1019&lt;&gt;"",$I1019="PEAD",$N1019="MND",$Q1019="EMBOQUE"),0,IF(AND($H1019&lt;&gt;"",$I1019="PVC",$N1019="VCA",$Q1019="LINEAR"),($H1019/1000)+0.2,IF(AND($H1019&lt;&gt;"",$I1019="PVC",$N1019="MND",$Q1019="EMBOQUE"),0,IF(AND($H1019&lt;&gt;"",$I1019="PEAD",$N1019="VCA",$Q1019="PREDIAL"),0,0)))))),0)</f>
        <v>0.363</v>
      </c>
      <c r="AK1019" s="153" t="n">
        <f aca="false">IF(AA1019&lt;&gt;"",AA1019,0)</f>
        <v>4.8</v>
      </c>
      <c r="AL1019" s="153" t="n">
        <f aca="false">IF(AND($N1019="MND",$Q1019="EMBOQUE"),$M1019,IF(AND($N1019="VCA",$Q1019="LINEAR"),$M1019,IF(AND($N1019="VCA",$Q1019="PREDIAL"),0,0)))</f>
        <v>0.6</v>
      </c>
      <c r="AM1019" s="153" t="n">
        <f aca="false">IF(AND($N1019="MND",$Q1019="EMBOQUE"),$M1019,IF(AND($N1019="VCA",$Q1019="LINEAR"),$M1019,IF(AND($N1019="VCA",$Q1019="PREDIAL"),0,0)))</f>
        <v>0.6</v>
      </c>
      <c r="AN1019" s="153" t="n">
        <f aca="false">ROUND(IF(AND($N1019="VCA",$M1019&lt;&gt;"",$Q1019="LINEAR"),$M1019/100,IF(AND($N1019="MND",$M1019&gt;100,$Q1019="EMBOQUE"),$M1019/100,0)),0)</f>
        <v>0</v>
      </c>
      <c r="AO1019" s="153" t="n">
        <f aca="false">IF(AND($N1019="MND",$Q1019="EMBOQUE"),$AN1019*2*2,IF(AND($N1019="VCA",$Q1019="LINEAR"),$M1019*2,IF(AND($N1019="VCA",$Q1019="PREDIAL"),0,0)))</f>
        <v>1.2</v>
      </c>
      <c r="AP1019" s="153" t="n">
        <f aca="false">IFERROR($M1019*$AF1019*$AG1019,0)</f>
        <v>0.53157</v>
      </c>
      <c r="AQ1019" s="153" t="n">
        <f aca="false">IFERROR(IF(AND($N1019="VCA",$AH1019&gt;0),$M1019*$AG1019*$AH1019,0),0)</f>
        <v>0.039</v>
      </c>
      <c r="AR1019" s="153" t="n">
        <f aca="false">IFERROR(IF(AND($N1019="VCA",$AJ1019&gt;0),($M1019*$AG1019*$AJ1019)-$AI1019,0),0)</f>
        <v>0.139699652813685</v>
      </c>
      <c r="AS1019" s="153" t="n">
        <f aca="false">IFERROR(IF(AND($N1019="VCA",$AP1019&gt;0),$AP1019-$AI1019-$AQ1019-$AR1019,0),0)</f>
        <v>0.351</v>
      </c>
      <c r="AT1019" s="153" t="n">
        <f aca="false">IFERROR(IF($N1019="VCA",INDEX(APOIO_REDES!$A:$W,MATCH($C1019&amp;$I1019&amp;$H1019&amp;$N1019&amp;$O1019,APOIO_REDES!$W:$W,0),MATCH(AT$5,APOIO_REDES!$5:$5,0)),0)*$AP1019,0)</f>
        <v>0.00578363893668877</v>
      </c>
      <c r="AU1019" s="153" t="n">
        <f aca="false">IFERROR(IF($N1019="VCA",INDEX(APOIO_REDES!$A:$W,MATCH($C1019&amp;$I1019&amp;$H1019&amp;$N1019&amp;$O1019,APOIO_REDES!$W:$W,0),MATCH(AU$5,APOIO_REDES!$5:$5,0)),0)*$AP1019,0)</f>
        <v>0.00461865741403198</v>
      </c>
      <c r="AV1019" s="153" t="n">
        <f aca="false">IFERROR(IF($N1019="VCA",INDEX(APOIO_REDES!$A:$W,MATCH($C1019&amp;$I1019&amp;$H1019&amp;$N1019&amp;$O1019,APOIO_REDES!$W:$W,0),MATCH(AV$5,APOIO_REDES!$5:$5,0)),0)*$AP1019,0)</f>
        <v>0.000639185928219724</v>
      </c>
      <c r="AW1019" s="153" t="n">
        <f aca="false">IFERROR(IF($N1019="VCA",INDEX(APOIO_REDES!$A:$W,MATCH($C1019&amp;$I1019&amp;$H1019&amp;$N1019&amp;$O1019,APOIO_REDES!$W:$W,0),MATCH(AW$5,APOIO_REDES!$5:$5,0)),0)*$AP1019,0)</f>
        <v>0.364873766805348</v>
      </c>
      <c r="AX1019" s="153" t="n">
        <f aca="false">IFERROR(IF($N1019="VCA",INDEX(APOIO_REDES!$A:$W,MATCH($C1019&amp;$I1019&amp;$H1019&amp;$N1019&amp;$O1019,APOIO_REDES!$W:$W,0),MATCH(AX$5,APOIO_REDES!$5:$5,0)),0)*$AP1019,0)</f>
        <v>0.0504974899632614</v>
      </c>
      <c r="AY1019" s="153" t="n">
        <f aca="false">IFERROR(IF($N1019="VCA",INDEX(APOIO_REDES!$A:$W,MATCH($C1019&amp;$I1019&amp;$H1019&amp;$N1019&amp;$O1019,APOIO_REDES!$W:$W,0),MATCH(AY$5,APOIO_REDES!$5:$5,0)),0)*$AP1019,0)</f>
        <v>0.0923730919795801</v>
      </c>
      <c r="AZ1019" s="153" t="n">
        <f aca="false">IFERROR(IF($N1019="VCA",INDEX(APOIO_REDES!$A:$W,MATCH($C1019&amp;$I1019&amp;$H1019&amp;$N1019&amp;$O1019,APOIO_REDES!$W:$W,0),MATCH(AZ$5,APOIO_REDES!$5:$5,0)),0)*$AP1019,0)</f>
        <v>0.0127841689728703</v>
      </c>
      <c r="BA1019" s="153" t="n">
        <f aca="false">IFERROR(IF(AND($N1019="VCA",$Q1019="LINEAR"),INDEX(APOIO_REDES!$A:$W,MATCH($C1019&amp;$I1019&amp;$H1019&amp;$N1019&amp;$O1019,APOIO_REDES!$W:$W,0),MATCH(BA$5,APOIO_REDES!$5:$5,0)),IF(AND($N1019="MND",$Q1019="EMBOQUE"),INDEX(APOIO_REDES!$A:$W,MATCH($C1019&amp;$I1019&amp;$H1019&amp;$N1019&amp;$O1019,APOIO_REDES!$W:$W,0),MATCH(BA$5,APOIO_REDES!$5:$5,0)),0))*$M1019/10,0)</f>
        <v>0.0483584865478682</v>
      </c>
      <c r="BB1019" s="153" t="n">
        <f aca="false">IFERROR(IF($N1019="VCA",INDEX(APOIO_REDES!$A:$W,MATCH($C1019&amp;$I1019&amp;$H1019&amp;$N1019&amp;$O1019,APOIO_REDES!$W:$W,0),MATCH(BB$5,APOIO_REDES!$5:$5,0)),0)*($AI1019+$AQ1019+$AR1019),0)</f>
        <v>0.178605344954008</v>
      </c>
      <c r="BC1019" s="153" t="n">
        <f aca="false">IFERROR(IF($N1019="VCA",INDEX(APOIO_REDES!$A:$W,MATCH($C1019&amp;$I1019&amp;$H1019&amp;$N1019&amp;$O1019,APOIO_REDES!$W:$W,0),MATCH(BC$5,APOIO_REDES!$5:$5,0)),0)*($AI1019+$AQ1019+$AR1019),0)</f>
        <v>0.00196465504599186</v>
      </c>
      <c r="BD1019" s="153" t="n">
        <f aca="false">IF(AND($N1019="VCA",$AF1019&gt;=1.25,$AF1019&lt;1.5),$M1019*$AF1019*2,0)</f>
        <v>1.6356</v>
      </c>
      <c r="BE1019" s="153" t="n">
        <f aca="false">IF(AND($N1019="VCA",$AF1019&gt;=1.5,$AF1019&lt;3),$M1019*$AF1019*2,0)</f>
        <v>0</v>
      </c>
      <c r="BF1019" s="153" t="n">
        <f aca="false">IF(AND($N1019="VCA",$AF1019&gt;=3),$M1019*$AF1019*2,0)</f>
        <v>0</v>
      </c>
      <c r="BG1019" s="153" t="n">
        <f aca="false">($BB1019+$BC1019)*$AK1019</f>
        <v>0.866736</v>
      </c>
      <c r="BH1019" s="153" t="n">
        <f aca="false">IF(AND($M1019&lt;&gt;"",$N1019="VCA",$Q1019="LINEAR"),($M1019*2)/100,IF(AND($M1019&lt;&gt;"",$N1019="MND",$Q1019="EMBOQUE"),($AN1019*2)/100,0))</f>
        <v>0.012</v>
      </c>
      <c r="BI1019" s="153" t="n">
        <f aca="false">IF(AND($M1019&lt;&gt;"",$N1019="VCA",$Q1019="LINEAR"),$M1019,IF(AND($M1019&lt;&gt;"",$N1019="MND",$Q1019="EMBOQUE"),$AN1019*2,0))</f>
        <v>0.6</v>
      </c>
      <c r="BJ1019" s="153" t="n">
        <f aca="false">IF(AND($M1019&lt;&gt;"",$N1019="VCA",$Q1019="LINEAR"),($M1019*6.8)/100,IF(AND($M1019&lt;&gt;"",$N1019="MND",$Q1019="EMBOQUE"),($AN1019*2*6.8)/100,0))</f>
        <v>0.0408</v>
      </c>
      <c r="BK1019" s="153" t="n">
        <f aca="false">IF(AND($M1019&lt;&gt;"",$N1019="VCA",$Q1019="LINEAR"),($M1019*2.5)/50,IF(AND($M1019&lt;&gt;"",$N1019="MND",$Q1019="EMBOQUE"),($AN1019*2*2.5)/50,0))</f>
        <v>0.03</v>
      </c>
      <c r="BL1019" s="157" t="str">
        <f aca="false">K1019&amp;J1019</f>
        <v>Zona09REDES</v>
      </c>
      <c r="BM1019" s="152" t="s">
        <v>5109</v>
      </c>
      <c r="BN1019" s="152" t="s">
        <v>1560</v>
      </c>
      <c r="BO1019" s="152" t="s">
        <v>4004</v>
      </c>
      <c r="BP1019" s="152" t="s">
        <v>5382</v>
      </c>
      <c r="BQ1019" s="152" t="s">
        <v>5408</v>
      </c>
      <c r="BR1019" s="152" t="s">
        <v>5409</v>
      </c>
      <c r="BS1019" s="152" t="n">
        <v>203306.149</v>
      </c>
      <c r="BT1019" s="152" t="n">
        <v>8236592.495</v>
      </c>
      <c r="BU1019" s="152" t="n">
        <v>203305.779</v>
      </c>
      <c r="BV1019" s="152" t="n">
        <v>8236592.017</v>
      </c>
      <c r="BW1019" s="152" t="n">
        <v>-15.9322121</v>
      </c>
      <c r="BX1019" s="152" t="n">
        <v>-47.7712029</v>
      </c>
      <c r="BY1019" s="152" t="s">
        <v>5382</v>
      </c>
    </row>
    <row r="1020" customFormat="false" ht="13.8" hidden="false" customHeight="false" outlineLevel="0" collapsed="false">
      <c r="A1020" s="149" t="n">
        <f aca="false">IF(C1020&lt;&gt;"",ROW(A1015),"")</f>
        <v>1015</v>
      </c>
      <c r="B1020" s="150" t="str">
        <f aca="false">HYPERLINK("https://www.google.com/maps/dir/-15.917302,-47.760003/-15.9317519,-47.7749427/data=!4m3!4m2!3e0!5i2")</f>
        <v>https://www.google.com/maps/dir/-15.917302,-47.760003/-15.9317519,-47.7749427/data=!4m3!4m2!3e0!5i2</v>
      </c>
      <c r="C1020" s="151" t="s">
        <v>117</v>
      </c>
      <c r="D1020" s="152" t="s">
        <v>112</v>
      </c>
      <c r="E1020" s="152" t="s">
        <v>113</v>
      </c>
      <c r="F1020" s="152" t="s">
        <v>117</v>
      </c>
      <c r="G1020" s="152" t="s">
        <v>782</v>
      </c>
      <c r="H1020" s="152" t="n">
        <v>110</v>
      </c>
      <c r="I1020" s="152" t="s">
        <v>115</v>
      </c>
      <c r="J1020" s="152" t="s">
        <v>6</v>
      </c>
      <c r="K1020" s="152" t="s">
        <v>5106</v>
      </c>
      <c r="L1020" s="152" t="s">
        <v>120</v>
      </c>
      <c r="M1020" s="153" t="n">
        <f aca="false">113.29+0.07</f>
        <v>113.36</v>
      </c>
      <c r="N1020" s="152" t="s">
        <v>1548</v>
      </c>
      <c r="O1020" s="152" t="s">
        <v>1549</v>
      </c>
      <c r="P1020" s="152" t="s">
        <v>1550</v>
      </c>
      <c r="Q1020" s="152" t="s">
        <v>1551</v>
      </c>
      <c r="R1020" s="154" t="s">
        <v>5410</v>
      </c>
      <c r="S1020" s="154" t="s">
        <v>1593</v>
      </c>
      <c r="T1020" s="155" t="s">
        <v>5411</v>
      </c>
      <c r="U1020" s="152" t="str">
        <f aca="false">RIGHT(T1020,7)</f>
        <v>017/037</v>
      </c>
      <c r="V1020" s="152" t="s">
        <v>1555</v>
      </c>
      <c r="W1020" s="156" t="n">
        <v>45882</v>
      </c>
      <c r="X1020" s="152" t="s">
        <v>1594</v>
      </c>
      <c r="Y1020" s="152"/>
      <c r="Z1020" s="152" t="s">
        <v>1557</v>
      </c>
      <c r="AA1020" s="153" t="n">
        <v>5.4</v>
      </c>
      <c r="AB1020" s="151" t="s">
        <v>5412</v>
      </c>
      <c r="AC1020" s="151" t="s">
        <v>502</v>
      </c>
      <c r="AD1020" s="151" t="str">
        <f aca="false">CONCATENATE($C1020,$I1020,$H1020,$N1020,$J1020,$K1020)</f>
        <v>TUBO PEADPEAD110VCAREDESZona09</v>
      </c>
      <c r="AE1020" s="153" t="n">
        <f aca="false">IFERROR(INDEX(APOIO_REDES!$A:$W,MATCH($C1020&amp;$I1020&amp;$H1020&amp;$N1020&amp;$O1020,APOIO_REDES!$W:$W,0),MATCH(AE$5,APOIO_REDES!$5:$5,0)),0)</f>
        <v>1.2</v>
      </c>
      <c r="AF1020" s="153" t="n">
        <f aca="false">IFERROR(INDEX(APOIO_REDES!$A:$W,MATCH($C1020&amp;$I1020&amp;$H1020&amp;$N1020&amp;$O1020,APOIO_REDES!$W:$W,0),MATCH(AF$5,APOIO_REDES!$5:$5,0)),0)</f>
        <v>1.41</v>
      </c>
      <c r="AG1020" s="153" t="n">
        <f aca="false">IFERROR(INDEX(APOIO_REDES!$A:$W,MATCH($C1020&amp;$I1020&amp;$H1020&amp;$N1020&amp;$O1020,APOIO_REDES!$W:$W,0),MATCH(AG$5,APOIO_REDES!$5:$5,0)),0)</f>
        <v>0.75</v>
      </c>
      <c r="AH1020" s="153" t="n">
        <f aca="false">IFERROR(INDEX(APOIO_REDES!$A:$W,MATCH($C1020&amp;$I1020&amp;$H1020&amp;$N1020&amp;$O1020,APOIO_REDES!$W:$W,0),MATCH(AH$5,APOIO_REDES!$5:$5,0)),0)</f>
        <v>0.1</v>
      </c>
      <c r="AI1020" s="153" t="n">
        <f aca="false">IFERROR(IF($H1020&lt;&gt;"",(((($H1020/1000)/2)^2)*PI()*$M1020),0),0)</f>
        <v>1.07729610321309</v>
      </c>
      <c r="AJ1020" s="153" t="n">
        <f aca="false">IFERROR(IF(AND($H1020&lt;&gt;"",$I1020="FoFo",OR($N1020="MND",$N1020="VCA"),$Q1020="LINEAR"),0,IF(AND($H1020&lt;&gt;"",$I1020="PEAD",$N1020="VCA",$Q1020="LINEAR"),($H1020/1000)+0.3,IF(AND($H1020&lt;&gt;"",$I1020="PEAD",$N1020="MND",$Q1020="EMBOQUE"),0,IF(AND($H1020&lt;&gt;"",$I1020="PVC",$N1020="VCA",$Q1020="LINEAR"),($H1020/1000)+0.2,IF(AND($H1020&lt;&gt;"",$I1020="PVC",$N1020="MND",$Q1020="EMBOQUE"),0,IF(AND($H1020&lt;&gt;"",$I1020="PEAD",$N1020="VCA",$Q1020="PREDIAL"),0,0)))))),0)</f>
        <v>0.41</v>
      </c>
      <c r="AK1020" s="153" t="n">
        <f aca="false">IF(AA1020&lt;&gt;"",AA1020,0)</f>
        <v>5.4</v>
      </c>
      <c r="AL1020" s="153" t="n">
        <f aca="false">IF(AND($N1020="MND",$Q1020="EMBOQUE"),$M1020,IF(AND($N1020="VCA",$Q1020="LINEAR"),$M1020,IF(AND($N1020="VCA",$Q1020="PREDIAL"),0,0)))</f>
        <v>113.36</v>
      </c>
      <c r="AM1020" s="153" t="n">
        <f aca="false">IF(AND($N1020="MND",$Q1020="EMBOQUE"),$M1020,IF(AND($N1020="VCA",$Q1020="LINEAR"),$M1020,IF(AND($N1020="VCA",$Q1020="PREDIAL"),0,0)))</f>
        <v>113.36</v>
      </c>
      <c r="AN1020" s="153" t="n">
        <f aca="false">ROUND(IF(AND($N1020="VCA",$M1020&lt;&gt;"",$Q1020="LINEAR"),$M1020/100,IF(AND($N1020="MND",$M1020&gt;100,$Q1020="EMBOQUE"),$M1020/100,0)),0)</f>
        <v>1</v>
      </c>
      <c r="AO1020" s="153" t="n">
        <f aca="false">IF(AND($N1020="MND",$Q1020="EMBOQUE"),$AN1020*2*2,IF(AND($N1020="VCA",$Q1020="LINEAR"),$M1020*2,IF(AND($N1020="VCA",$Q1020="PREDIAL"),0,0)))</f>
        <v>226.72</v>
      </c>
      <c r="AP1020" s="153" t="n">
        <f aca="false">IFERROR($M1020*$AF1020*$AG1020,0)</f>
        <v>119.8782</v>
      </c>
      <c r="AQ1020" s="153" t="n">
        <f aca="false">IFERROR(IF(AND($N1020="VCA",$AH1020&gt;0),$M1020*$AG1020*$AH1020,0),0)</f>
        <v>8.502</v>
      </c>
      <c r="AR1020" s="153" t="n">
        <f aca="false">IFERROR(IF(AND($N1020="VCA",$AJ1020&gt;0),($M1020*$AG1020*$AJ1020)-$AI1020,0),0)</f>
        <v>33.7809038967869</v>
      </c>
      <c r="AS1020" s="153" t="n">
        <f aca="false">IFERROR(IF(AND($N1020="VCA",$AP1020&gt;0),$AP1020-$AI1020-$AQ1020-$AR1020,0),0)</f>
        <v>76.518</v>
      </c>
      <c r="AT1020" s="153" t="n">
        <f aca="false">IFERROR(IF($N1020="VCA",INDEX(APOIO_REDES!$A:$W,MATCH($C1020&amp;$I1020&amp;$H1020&amp;$N1020&amp;$O1020,APOIO_REDES!$W:$W,0),MATCH(AT$5,APOIO_REDES!$5:$5,0)),0)*$AP1020,0)</f>
        <v>1.30431029813602</v>
      </c>
      <c r="AU1020" s="153" t="n">
        <f aca="false">IFERROR(IF($N1020="VCA",INDEX(APOIO_REDES!$A:$W,MATCH($C1020&amp;$I1020&amp;$H1020&amp;$N1020&amp;$O1020,APOIO_REDES!$W:$W,0),MATCH(AU$5,APOIO_REDES!$5:$5,0)),0)*$AP1020,0)</f>
        <v>1.04158687888859</v>
      </c>
      <c r="AV1020" s="153" t="n">
        <f aca="false">IFERROR(IF($N1020="VCA",INDEX(APOIO_REDES!$A:$W,MATCH($C1020&amp;$I1020&amp;$H1020&amp;$N1020&amp;$O1020,APOIO_REDES!$W:$W,0),MATCH(AV$5,APOIO_REDES!$5:$5,0)),0)*$AP1020,0)</f>
        <v>0.144147447260586</v>
      </c>
      <c r="AW1020" s="153" t="n">
        <f aca="false">IFERROR(IF($N1020="VCA",INDEX(APOIO_REDES!$A:$W,MATCH($C1020&amp;$I1020&amp;$H1020&amp;$N1020&amp;$O1020,APOIO_REDES!$W:$W,0),MATCH(AW$5,APOIO_REDES!$5:$5,0)),0)*$AP1020,0)</f>
        <v>82.2853253416198</v>
      </c>
      <c r="AX1020" s="153" t="n">
        <f aca="false">IFERROR(IF($N1020="VCA",INDEX(APOIO_REDES!$A:$W,MATCH($C1020&amp;$I1020&amp;$H1020&amp;$N1020&amp;$O1020,APOIO_REDES!$W:$W,0),MATCH(AX$5,APOIO_REDES!$5:$5,0)),0)*$AP1020,0)</f>
        <v>11.3880546330941</v>
      </c>
      <c r="AY1020" s="153" t="n">
        <f aca="false">IFERROR(IF($N1020="VCA",INDEX(APOIO_REDES!$A:$W,MATCH($C1020&amp;$I1020&amp;$H1020&amp;$N1020&amp;$O1020,APOIO_REDES!$W:$W,0),MATCH(AY$5,APOIO_REDES!$5:$5,0)),0)*$AP1020,0)</f>
        <v>20.8317248809122</v>
      </c>
      <c r="AZ1020" s="153" t="n">
        <f aca="false">IFERROR(IF($N1020="VCA",INDEX(APOIO_REDES!$A:$W,MATCH($C1020&amp;$I1020&amp;$H1020&amp;$N1020&amp;$O1020,APOIO_REDES!$W:$W,0),MATCH(AZ$5,APOIO_REDES!$5:$5,0)),0)*$AP1020,0)</f>
        <v>2.88305052008868</v>
      </c>
      <c r="BA1020" s="153" t="n">
        <f aca="false">IFERROR(IF(AND($N1020="VCA",$Q1020="LINEAR"),INDEX(APOIO_REDES!$A:$W,MATCH($C1020&amp;$I1020&amp;$H1020&amp;$N1020&amp;$O1020,APOIO_REDES!$W:$W,0),MATCH(BA$5,APOIO_REDES!$5:$5,0)),IF(AND($N1020="MND",$Q1020="EMBOQUE"),INDEX(APOIO_REDES!$A:$W,MATCH($C1020&amp;$I1020&amp;$H1020&amp;$N1020&amp;$O1020,APOIO_REDES!$W:$W,0),MATCH(BA$5,APOIO_REDES!$5:$5,0)),0))*$M1020/10,0)</f>
        <v>9.13653005844389</v>
      </c>
      <c r="BB1020" s="153" t="n">
        <f aca="false">IFERROR(IF($N1020="VCA",INDEX(APOIO_REDES!$A:$W,MATCH($C1020&amp;$I1020&amp;$H1020&amp;$N1020&amp;$O1020,APOIO_REDES!$W:$W,0),MATCH(BB$5,APOIO_REDES!$5:$5,0)),0)*($AI1020+$AQ1020+$AR1020),0)</f>
        <v>42.8884281900359</v>
      </c>
      <c r="BC1020" s="153" t="n">
        <f aca="false">IFERROR(IF($N1020="VCA",INDEX(APOIO_REDES!$A:$W,MATCH($C1020&amp;$I1020&amp;$H1020&amp;$N1020&amp;$O1020,APOIO_REDES!$W:$W,0),MATCH(BC$5,APOIO_REDES!$5:$5,0)),0)*($AI1020+$AQ1020+$AR1020),0)</f>
        <v>0.471771809964092</v>
      </c>
      <c r="BD1020" s="153" t="n">
        <f aca="false">IF(AND($N1020="VCA",$AF1020&gt;=1.25,$AF1020&lt;1.5),$M1020*$AF1020*2,0)</f>
        <v>319.6752</v>
      </c>
      <c r="BE1020" s="153" t="n">
        <f aca="false">IF(AND($N1020="VCA",$AF1020&gt;=1.5,$AF1020&lt;3),$M1020*$AF1020*2,0)</f>
        <v>0</v>
      </c>
      <c r="BF1020" s="153" t="n">
        <f aca="false">IF(AND($N1020="VCA",$AF1020&gt;=3),$M1020*$AF1020*2,0)</f>
        <v>0</v>
      </c>
      <c r="BG1020" s="153" t="n">
        <f aca="false">($BB1020+$BC1020)*$AK1020</f>
        <v>234.14508</v>
      </c>
      <c r="BH1020" s="153" t="n">
        <f aca="false">IF(AND($M1020&lt;&gt;"",$N1020="VCA",$Q1020="LINEAR"),($M1020*2)/100,IF(AND($M1020&lt;&gt;"",$N1020="MND",$Q1020="EMBOQUE"),($AN1020*2)/100,0))</f>
        <v>2.2672</v>
      </c>
      <c r="BI1020" s="153" t="n">
        <f aca="false">IF(AND($M1020&lt;&gt;"",$N1020="VCA",$Q1020="LINEAR"),$M1020,IF(AND($M1020&lt;&gt;"",$N1020="MND",$Q1020="EMBOQUE"),$AN1020*2,0))</f>
        <v>113.36</v>
      </c>
      <c r="BJ1020" s="153" t="n">
        <f aca="false">IF(AND($M1020&lt;&gt;"",$N1020="VCA",$Q1020="LINEAR"),($M1020*6.8)/100,IF(AND($M1020&lt;&gt;"",$N1020="MND",$Q1020="EMBOQUE"),($AN1020*2*6.8)/100,0))</f>
        <v>7.70848</v>
      </c>
      <c r="BK1020" s="153" t="n">
        <f aca="false">IF(AND($M1020&lt;&gt;"",$N1020="VCA",$Q1020="LINEAR"),($M1020*2.5)/50,IF(AND($M1020&lt;&gt;"",$N1020="MND",$Q1020="EMBOQUE"),($AN1020*2*2.5)/50,0))</f>
        <v>5.668</v>
      </c>
      <c r="BL1020" s="157" t="str">
        <f aca="false">K1020&amp;J1020</f>
        <v>Zona09REDES</v>
      </c>
      <c r="BM1020" s="152" t="s">
        <v>5109</v>
      </c>
      <c r="BN1020" s="152" t="s">
        <v>1560</v>
      </c>
      <c r="BO1020" s="152" t="s">
        <v>5413</v>
      </c>
      <c r="BP1020" s="152" t="s">
        <v>5225</v>
      </c>
      <c r="BQ1020" s="152" t="s">
        <v>5414</v>
      </c>
      <c r="BR1020" s="152" t="s">
        <v>5415</v>
      </c>
      <c r="BS1020" s="152" t="n">
        <v>202904.528</v>
      </c>
      <c r="BT1020" s="152" t="n">
        <v>8236637.864</v>
      </c>
      <c r="BU1020" s="152" t="n">
        <v>202927.288</v>
      </c>
      <c r="BV1020" s="152" t="n">
        <v>8236527.012</v>
      </c>
      <c r="BW1020" s="152" t="n">
        <v>-15.9322528</v>
      </c>
      <c r="BX1020" s="152" t="n">
        <v>-47.7748371</v>
      </c>
      <c r="BY1020" s="152" t="s">
        <v>5225</v>
      </c>
    </row>
    <row r="1021" customFormat="false" ht="13.8" hidden="false" customHeight="false" outlineLevel="0" collapsed="false">
      <c r="A1021" s="149" t="n">
        <f aca="false">IF(C1021&lt;&gt;"",ROW(A1016),"")</f>
        <v>1016</v>
      </c>
      <c r="B1021" s="150" t="str">
        <f aca="false">HYPERLINK("https://www.google.com/maps/dir/-15.917302,-47.760003/-15.9331100,-47.7778625/data=!4m3!4m2!3e0!5i2")</f>
        <v>https://www.google.com/maps/dir/-15.917302,-47.760003/-15.9331100,-47.7778625/data=!4m3!4m2!3e0!5i2</v>
      </c>
      <c r="C1021" s="151" t="s">
        <v>117</v>
      </c>
      <c r="D1021" s="152" t="s">
        <v>112</v>
      </c>
      <c r="E1021" s="152" t="s">
        <v>113</v>
      </c>
      <c r="F1021" s="152" t="s">
        <v>117</v>
      </c>
      <c r="G1021" s="152" t="s">
        <v>782</v>
      </c>
      <c r="H1021" s="152" t="n">
        <v>63</v>
      </c>
      <c r="I1021" s="152" t="s">
        <v>115</v>
      </c>
      <c r="J1021" s="152" t="s">
        <v>6</v>
      </c>
      <c r="K1021" s="152" t="s">
        <v>5106</v>
      </c>
      <c r="L1021" s="152" t="s">
        <v>120</v>
      </c>
      <c r="M1021" s="153" t="n">
        <f aca="false">54.36</f>
        <v>54.36</v>
      </c>
      <c r="N1021" s="152" t="s">
        <v>2173</v>
      </c>
      <c r="O1021" s="152" t="s">
        <v>1549</v>
      </c>
      <c r="P1021" s="152" t="s">
        <v>1550</v>
      </c>
      <c r="Q1021" s="152" t="s">
        <v>1551</v>
      </c>
      <c r="R1021" s="154" t="s">
        <v>5416</v>
      </c>
      <c r="S1021" s="154" t="s">
        <v>1553</v>
      </c>
      <c r="T1021" s="155" t="s">
        <v>5411</v>
      </c>
      <c r="U1021" s="152" t="str">
        <f aca="false">RIGHT(T1021,7)</f>
        <v>017/037</v>
      </c>
      <c r="V1021" s="152" t="s">
        <v>1555</v>
      </c>
      <c r="W1021" s="156" t="n">
        <v>45882</v>
      </c>
      <c r="X1021" s="152" t="s">
        <v>1594</v>
      </c>
      <c r="Y1021" s="152" t="s">
        <v>5417</v>
      </c>
      <c r="Z1021" s="152" t="s">
        <v>1557</v>
      </c>
      <c r="AA1021" s="153" t="n">
        <v>5.6</v>
      </c>
      <c r="AB1021" s="151" t="s">
        <v>5418</v>
      </c>
      <c r="AC1021" s="151" t="s">
        <v>186</v>
      </c>
      <c r="AD1021" s="151" t="str">
        <f aca="false">CONCATENATE($C1021,$I1021,$H1021,$N1021,$J1021,$K1021)</f>
        <v>TUBO PEADPEAD63MNDREDESZona09</v>
      </c>
      <c r="AE1021" s="153" t="n">
        <f aca="false">IFERROR(INDEX(APOIO_REDES!$A:$W,MATCH($C1021&amp;$I1021&amp;$H1021&amp;$N1021&amp;$O1021,APOIO_REDES!$W:$W,0),MATCH(AE$5,APOIO_REDES!$5:$5,0)),0)</f>
        <v>0</v>
      </c>
      <c r="AF1021" s="153" t="n">
        <f aca="false">IFERROR(INDEX(APOIO_REDES!$A:$W,MATCH($C1021&amp;$I1021&amp;$H1021&amp;$N1021&amp;$O1021,APOIO_REDES!$W:$W,0),MATCH(AF$5,APOIO_REDES!$5:$5,0)),0)</f>
        <v>0</v>
      </c>
      <c r="AG1021" s="153" t="n">
        <f aca="false">IFERROR(INDEX(APOIO_REDES!$A:$W,MATCH($C1021&amp;$I1021&amp;$H1021&amp;$N1021&amp;$O1021,APOIO_REDES!$W:$W,0),MATCH(AG$5,APOIO_REDES!$5:$5,0)),0)</f>
        <v>0</v>
      </c>
      <c r="AH1021" s="153" t="n">
        <f aca="false">IFERROR(INDEX(APOIO_REDES!$A:$W,MATCH($C1021&amp;$I1021&amp;$H1021&amp;$N1021&amp;$O1021,APOIO_REDES!$W:$W,0),MATCH(AH$5,APOIO_REDES!$5:$5,0)),0)</f>
        <v>0</v>
      </c>
      <c r="AI1021" s="153" t="n">
        <f aca="false">IFERROR(IF($H1021&lt;&gt;"",(((($H1021/1000)/2)^2)*PI()*$M1021),0),0)</f>
        <v>0.16945345508011</v>
      </c>
      <c r="AJ1021" s="153" t="n">
        <f aca="false">IFERROR(IF(AND($H1021&lt;&gt;"",$I1021="FoFo",OR($N1021="MND",$N1021="VCA"),$Q1021="LINEAR"),0,IF(AND($H1021&lt;&gt;"",$I1021="PEAD",$N1021="VCA",$Q1021="LINEAR"),($H1021/1000)+0.3,IF(AND($H1021&lt;&gt;"",$I1021="PEAD",$N1021="MND",$Q1021="EMBOQUE"),0,IF(AND($H1021&lt;&gt;"",$I1021="PVC",$N1021="VCA",$Q1021="LINEAR"),($H1021/1000)+0.2,IF(AND($H1021&lt;&gt;"",$I1021="PVC",$N1021="MND",$Q1021="EMBOQUE"),0,IF(AND($H1021&lt;&gt;"",$I1021="PEAD",$N1021="VCA",$Q1021="PREDIAL"),0,0)))))),0)</f>
        <v>0</v>
      </c>
      <c r="AK1021" s="153" t="n">
        <f aca="false">IF(AA1021&lt;&gt;"",AA1021,0)</f>
        <v>5.6</v>
      </c>
      <c r="AL1021" s="153" t="n">
        <f aca="false">IF(AND($N1021="MND",$Q1021="EMBOQUE"),$M1021,IF(AND($N1021="VCA",$Q1021="LINEAR"),$M1021,IF(AND($N1021="VCA",$Q1021="PREDIAL"),0,0)))</f>
        <v>0</v>
      </c>
      <c r="AM1021" s="153" t="n">
        <f aca="false">IF(AND($N1021="MND",$Q1021="EMBOQUE"),$M1021,IF(AND($N1021="VCA",$Q1021="LINEAR"),$M1021,IF(AND($N1021="VCA",$Q1021="PREDIAL"),0,0)))</f>
        <v>0</v>
      </c>
      <c r="AN1021" s="153" t="n">
        <f aca="false">ROUND(IF(AND($N1021="VCA",$M1021&lt;&gt;"",$Q1021="LINEAR"),$M1021/100,IF(AND($N1021="MND",$M1021&gt;100,$Q1021="EMBOQUE"),$M1021/100,0)),0)</f>
        <v>0</v>
      </c>
      <c r="AO1021" s="153" t="n">
        <f aca="false">IF(AND($N1021="MND",$Q1021="EMBOQUE"),$AN1021*2*2,IF(AND($N1021="VCA",$Q1021="LINEAR"),$M1021*2,IF(AND($N1021="VCA",$Q1021="PREDIAL"),0,0)))</f>
        <v>0</v>
      </c>
      <c r="AP1021" s="153" t="n">
        <f aca="false">IFERROR($M1021*$AF1021*$AG1021,0)</f>
        <v>0</v>
      </c>
      <c r="AQ1021" s="153" t="n">
        <f aca="false">IFERROR(IF(AND($N1021="VCA",$AH1021&gt;0),$M1021*$AG1021*$AH1021,0),0)</f>
        <v>0</v>
      </c>
      <c r="AR1021" s="153" t="n">
        <f aca="false">IFERROR(IF(AND($N1021="VCA",$AJ1021&gt;0),($M1021*$AG1021*$AJ1021)-$AI1021,0),0)</f>
        <v>0</v>
      </c>
      <c r="AS1021" s="153" t="n">
        <f aca="false">IFERROR(IF(AND($N1021="VCA",$AP1021&gt;0),$AP1021-$AI1021-$AQ1021-$AR1021,0),0)</f>
        <v>0</v>
      </c>
      <c r="AT1021" s="153" t="n">
        <f aca="false">IFERROR(IF($N1021="VCA",INDEX(APOIO_REDES!$A:$W,MATCH($C1021&amp;$I1021&amp;$H1021&amp;$N1021&amp;$O1021,APOIO_REDES!$W:$W,0),MATCH(AT$5,APOIO_REDES!$5:$5,0)),0)*$AP1021,0)</f>
        <v>0</v>
      </c>
      <c r="AU1021" s="153" t="n">
        <f aca="false">IFERROR(IF($N1021="VCA",INDEX(APOIO_REDES!$A:$W,MATCH($C1021&amp;$I1021&amp;$H1021&amp;$N1021&amp;$O1021,APOIO_REDES!$W:$W,0),MATCH(AU$5,APOIO_REDES!$5:$5,0)),0)*$AP1021,0)</f>
        <v>0</v>
      </c>
      <c r="AV1021" s="153" t="n">
        <f aca="false">IFERROR(IF($N1021="VCA",INDEX(APOIO_REDES!$A:$W,MATCH($C1021&amp;$I1021&amp;$H1021&amp;$N1021&amp;$O1021,APOIO_REDES!$W:$W,0),MATCH(AV$5,APOIO_REDES!$5:$5,0)),0)*$AP1021,0)</f>
        <v>0</v>
      </c>
      <c r="AW1021" s="153" t="n">
        <f aca="false">IFERROR(IF($N1021="VCA",INDEX(APOIO_REDES!$A:$W,MATCH($C1021&amp;$I1021&amp;$H1021&amp;$N1021&amp;$O1021,APOIO_REDES!$W:$W,0),MATCH(AW$5,APOIO_REDES!$5:$5,0)),0)*$AP1021,0)</f>
        <v>0</v>
      </c>
      <c r="AX1021" s="153" t="n">
        <f aca="false">IFERROR(IF($N1021="VCA",INDEX(APOIO_REDES!$A:$W,MATCH($C1021&amp;$I1021&amp;$H1021&amp;$N1021&amp;$O1021,APOIO_REDES!$W:$W,0),MATCH(AX$5,APOIO_REDES!$5:$5,0)),0)*$AP1021,0)</f>
        <v>0</v>
      </c>
      <c r="AY1021" s="153" t="n">
        <f aca="false">IFERROR(IF($N1021="VCA",INDEX(APOIO_REDES!$A:$W,MATCH($C1021&amp;$I1021&amp;$H1021&amp;$N1021&amp;$O1021,APOIO_REDES!$W:$W,0),MATCH(AY$5,APOIO_REDES!$5:$5,0)),0)*$AP1021,0)</f>
        <v>0</v>
      </c>
      <c r="AZ1021" s="153" t="n">
        <f aca="false">IFERROR(IF($N1021="VCA",INDEX(APOIO_REDES!$A:$W,MATCH($C1021&amp;$I1021&amp;$H1021&amp;$N1021&amp;$O1021,APOIO_REDES!$W:$W,0),MATCH(AZ$5,APOIO_REDES!$5:$5,0)),0)*$AP1021,0)</f>
        <v>0</v>
      </c>
      <c r="BA1021" s="153" t="n">
        <f aca="false">IFERROR(IF(AND($N1021="VCA",$Q1021="LINEAR"),INDEX(APOIO_REDES!$A:$W,MATCH($C1021&amp;$I1021&amp;$H1021&amp;$N1021&amp;$O1021,APOIO_REDES!$W:$W,0),MATCH(BA$5,APOIO_REDES!$5:$5,0)),IF(AND($N1021="MND",$Q1021="EMBOQUE"),INDEX(APOIO_REDES!$A:$W,MATCH($C1021&amp;$I1021&amp;$H1021&amp;$N1021&amp;$O1021,APOIO_REDES!$W:$W,0),MATCH(BA$5,APOIO_REDES!$5:$5,0)),0))*$M1021/10,0)</f>
        <v>0</v>
      </c>
      <c r="BB1021" s="153" t="n">
        <f aca="false">IFERROR(IF($N1021="VCA",INDEX(APOIO_REDES!$A:$W,MATCH($C1021&amp;$I1021&amp;$H1021&amp;$N1021&amp;$O1021,APOIO_REDES!$W:$W,0),MATCH(BB$5,APOIO_REDES!$5:$5,0)),0)*($AI1021+$AQ1021+$AR1021),0)</f>
        <v>0</v>
      </c>
      <c r="BC1021" s="153" t="n">
        <f aca="false">IFERROR(IF($N1021="VCA",INDEX(APOIO_REDES!$A:$W,MATCH($C1021&amp;$I1021&amp;$H1021&amp;$N1021&amp;$O1021,APOIO_REDES!$W:$W,0),MATCH(BC$5,APOIO_REDES!$5:$5,0)),0)*($AI1021+$AQ1021+$AR1021),0)</f>
        <v>0</v>
      </c>
      <c r="BD1021" s="153" t="n">
        <f aca="false">IF(AND($N1021="VCA",$AF1021&gt;=1.25,$AF1021&lt;1.5),$M1021*$AF1021*2,0)</f>
        <v>0</v>
      </c>
      <c r="BE1021" s="153" t="n">
        <f aca="false">IF(AND($N1021="VCA",$AF1021&gt;=1.5,$AF1021&lt;3),$M1021*$AF1021*2,0)</f>
        <v>0</v>
      </c>
      <c r="BF1021" s="153" t="n">
        <f aca="false">IF(AND($N1021="VCA",$AF1021&gt;=3),$M1021*$AF1021*2,0)</f>
        <v>0</v>
      </c>
      <c r="BG1021" s="153" t="n">
        <f aca="false">($BB1021+$BC1021)*$AK1021</f>
        <v>0</v>
      </c>
      <c r="BH1021" s="153" t="n">
        <f aca="false">IF(AND($M1021&lt;&gt;"",$N1021="VCA",$Q1021="LINEAR"),($M1021*2)/100,IF(AND($M1021&lt;&gt;"",$N1021="MND",$Q1021="EMBOQUE"),($AN1021*2)/100,0))</f>
        <v>0</v>
      </c>
      <c r="BI1021" s="153" t="n">
        <f aca="false">IF(AND($M1021&lt;&gt;"",$N1021="VCA",$Q1021="LINEAR"),$M1021,IF(AND($M1021&lt;&gt;"",$N1021="MND",$Q1021="EMBOQUE"),$AN1021*2,0))</f>
        <v>0</v>
      </c>
      <c r="BJ1021" s="153" t="n">
        <f aca="false">IF(AND($M1021&lt;&gt;"",$N1021="VCA",$Q1021="LINEAR"),($M1021*6.8)/100,IF(AND($M1021&lt;&gt;"",$N1021="MND",$Q1021="EMBOQUE"),($AN1021*2*6.8)/100,0))</f>
        <v>0</v>
      </c>
      <c r="BK1021" s="153" t="n">
        <f aca="false">IF(AND($M1021&lt;&gt;"",$N1021="VCA",$Q1021="LINEAR"),($M1021*2.5)/50,IF(AND($M1021&lt;&gt;"",$N1021="MND",$Q1021="EMBOQUE"),($AN1021*2*2.5)/50,0))</f>
        <v>0</v>
      </c>
      <c r="BL1021" s="157" t="str">
        <f aca="false">K1021&amp;J1021</f>
        <v>Zona09REDES</v>
      </c>
      <c r="BM1021" s="152" t="s">
        <v>5109</v>
      </c>
      <c r="BN1021" s="152" t="s">
        <v>1560</v>
      </c>
      <c r="BO1021" s="152" t="s">
        <v>5413</v>
      </c>
      <c r="BP1021" s="152" t="s">
        <v>2176</v>
      </c>
      <c r="BQ1021" s="152" t="s">
        <v>2176</v>
      </c>
      <c r="BR1021" s="152" t="s">
        <v>5419</v>
      </c>
      <c r="BS1021" s="152" t="n">
        <v>202679.856</v>
      </c>
      <c r="BT1021" s="152" t="n">
        <v>8236528.82</v>
      </c>
      <c r="BU1021" s="152" t="n">
        <v>202625.539</v>
      </c>
      <c r="BV1021" s="152" t="n">
        <v>8236531.024</v>
      </c>
      <c r="BW1021" s="152" t="n">
        <v>-15.9326965</v>
      </c>
      <c r="BX1021" s="152" t="n">
        <v>-47.7773072</v>
      </c>
      <c r="BY1021" s="152" t="s">
        <v>5420</v>
      </c>
    </row>
    <row r="1022" customFormat="false" ht="13.8" hidden="false" customHeight="false" outlineLevel="0" collapsed="false">
      <c r="A1022" s="149" t="n">
        <f aca="false">IF(C1022&lt;&gt;"",ROW(A1017),"")</f>
        <v>1017</v>
      </c>
      <c r="B1022" s="150" t="str">
        <f aca="false">HYPERLINK("https://www.google.com/maps/dir/-15.917302,-47.760003/-15.9336398,-47.7756660/data=!4m3!4m2!3e0!5i2")</f>
        <v>https://www.google.com/maps/dir/-15.917302,-47.760003/-15.9336398,-47.7756660/data=!4m3!4m2!3e0!5i2</v>
      </c>
      <c r="C1022" s="151" t="s">
        <v>117</v>
      </c>
      <c r="D1022" s="152" t="s">
        <v>112</v>
      </c>
      <c r="E1022" s="152" t="s">
        <v>113</v>
      </c>
      <c r="F1022" s="152" t="s">
        <v>117</v>
      </c>
      <c r="G1022" s="152" t="s">
        <v>782</v>
      </c>
      <c r="H1022" s="152" t="n">
        <v>63</v>
      </c>
      <c r="I1022" s="152" t="s">
        <v>115</v>
      </c>
      <c r="J1022" s="152" t="s">
        <v>6</v>
      </c>
      <c r="K1022" s="152" t="s">
        <v>5106</v>
      </c>
      <c r="L1022" s="152" t="s">
        <v>120</v>
      </c>
      <c r="M1022" s="153" t="n">
        <f aca="false">114</f>
        <v>114</v>
      </c>
      <c r="N1022" s="152" t="s">
        <v>1548</v>
      </c>
      <c r="O1022" s="152" t="s">
        <v>1549</v>
      </c>
      <c r="P1022" s="152" t="s">
        <v>1550</v>
      </c>
      <c r="Q1022" s="152" t="s">
        <v>1551</v>
      </c>
      <c r="R1022" s="154" t="s">
        <v>5421</v>
      </c>
      <c r="S1022" s="154" t="s">
        <v>1553</v>
      </c>
      <c r="T1022" s="155" t="s">
        <v>5411</v>
      </c>
      <c r="U1022" s="152" t="str">
        <f aca="false">RIGHT(T1022,7)</f>
        <v>017/037</v>
      </c>
      <c r="V1022" s="152" t="s">
        <v>1555</v>
      </c>
      <c r="W1022" s="156" t="n">
        <v>45882</v>
      </c>
      <c r="X1022" s="152" t="s">
        <v>1594</v>
      </c>
      <c r="Y1022" s="152" t="s">
        <v>5417</v>
      </c>
      <c r="Z1022" s="152" t="s">
        <v>1557</v>
      </c>
      <c r="AA1022" s="153" t="n">
        <v>5.3</v>
      </c>
      <c r="AB1022" s="151" t="s">
        <v>5422</v>
      </c>
      <c r="AC1022" s="151" t="s">
        <v>186</v>
      </c>
      <c r="AD1022" s="151" t="str">
        <f aca="false">CONCATENATE($C1022,$I1022,$H1022,$N1022,$J1022,$K1022)</f>
        <v>TUBO PEADPEAD63VCAREDESZona09</v>
      </c>
      <c r="AE1022" s="153" t="n">
        <f aca="false">IFERROR(INDEX(APOIO_REDES!$A:$W,MATCH($C1022&amp;$I1022&amp;$H1022&amp;$N1022&amp;$O1022,APOIO_REDES!$W:$W,0),MATCH(AE$5,APOIO_REDES!$5:$5,0)),0)</f>
        <v>1.2</v>
      </c>
      <c r="AF1022" s="153" t="n">
        <f aca="false">IFERROR(INDEX(APOIO_REDES!$A:$W,MATCH($C1022&amp;$I1022&amp;$H1022&amp;$N1022&amp;$O1022,APOIO_REDES!$W:$W,0),MATCH(AF$5,APOIO_REDES!$5:$5,0)),0)</f>
        <v>1.363</v>
      </c>
      <c r="AG1022" s="153" t="n">
        <f aca="false">IFERROR(INDEX(APOIO_REDES!$A:$W,MATCH($C1022&amp;$I1022&amp;$H1022&amp;$N1022&amp;$O1022,APOIO_REDES!$W:$W,0),MATCH(AG$5,APOIO_REDES!$5:$5,0)),0)</f>
        <v>0.65</v>
      </c>
      <c r="AH1022" s="153" t="n">
        <f aca="false">IFERROR(INDEX(APOIO_REDES!$A:$W,MATCH($C1022&amp;$I1022&amp;$H1022&amp;$N1022&amp;$O1022,APOIO_REDES!$W:$W,0),MATCH(AH$5,APOIO_REDES!$5:$5,0)),0)</f>
        <v>0.1</v>
      </c>
      <c r="AI1022" s="153" t="n">
        <f aca="false">IFERROR(IF($H1022&lt;&gt;"",(((($H1022/1000)/2)^2)*PI()*$M1022),0),0)</f>
        <v>0.35536596539979</v>
      </c>
      <c r="AJ1022" s="153" t="n">
        <f aca="false">IFERROR(IF(AND($H1022&lt;&gt;"",$I1022="FoFo",OR($N1022="MND",$N1022="VCA"),$Q1022="LINEAR"),0,IF(AND($H1022&lt;&gt;"",$I1022="PEAD",$N1022="VCA",$Q1022="LINEAR"),($H1022/1000)+0.3,IF(AND($H1022&lt;&gt;"",$I1022="PEAD",$N1022="MND",$Q1022="EMBOQUE"),0,IF(AND($H1022&lt;&gt;"",$I1022="PVC",$N1022="VCA",$Q1022="LINEAR"),($H1022/1000)+0.2,IF(AND($H1022&lt;&gt;"",$I1022="PVC",$N1022="MND",$Q1022="EMBOQUE"),0,IF(AND($H1022&lt;&gt;"",$I1022="PEAD",$N1022="VCA",$Q1022="PREDIAL"),0,0)))))),0)</f>
        <v>0.363</v>
      </c>
      <c r="AK1022" s="153" t="n">
        <f aca="false">IF(AA1022&lt;&gt;"",AA1022,0)</f>
        <v>5.3</v>
      </c>
      <c r="AL1022" s="153" t="n">
        <f aca="false">IF(AND($N1022="MND",$Q1022="EMBOQUE"),$M1022,IF(AND($N1022="VCA",$Q1022="LINEAR"),$M1022,IF(AND($N1022="VCA",$Q1022="PREDIAL"),0,0)))</f>
        <v>114</v>
      </c>
      <c r="AM1022" s="153" t="n">
        <f aca="false">IF(AND($N1022="MND",$Q1022="EMBOQUE"),$M1022,IF(AND($N1022="VCA",$Q1022="LINEAR"),$M1022,IF(AND($N1022="VCA",$Q1022="PREDIAL"),0,0)))</f>
        <v>114</v>
      </c>
      <c r="AN1022" s="153" t="n">
        <f aca="false">ROUND(IF(AND($N1022="VCA",$M1022&lt;&gt;"",$Q1022="LINEAR"),$M1022/100,IF(AND($N1022="MND",$M1022&gt;100,$Q1022="EMBOQUE"),$M1022/100,0)),0)</f>
        <v>1</v>
      </c>
      <c r="AO1022" s="153" t="n">
        <f aca="false">IF(AND($N1022="MND",$Q1022="EMBOQUE"),$AN1022*2*2,IF(AND($N1022="VCA",$Q1022="LINEAR"),$M1022*2,IF(AND($N1022="VCA",$Q1022="PREDIAL"),0,0)))</f>
        <v>228</v>
      </c>
      <c r="AP1022" s="153" t="n">
        <f aca="false">IFERROR($M1022*$AF1022*$AG1022,0)</f>
        <v>100.9983</v>
      </c>
      <c r="AQ1022" s="153" t="n">
        <f aca="false">IFERROR(IF(AND($N1022="VCA",$AH1022&gt;0),$M1022*$AG1022*$AH1022,0),0)</f>
        <v>7.41</v>
      </c>
      <c r="AR1022" s="153" t="n">
        <f aca="false">IFERROR(IF(AND($N1022="VCA",$AJ1022&gt;0),($M1022*$AG1022*$AJ1022)-$AI1022,0),0)</f>
        <v>26.5429340346002</v>
      </c>
      <c r="AS1022" s="153" t="n">
        <f aca="false">IFERROR(IF(AND($N1022="VCA",$AP1022&gt;0),$AP1022-$AI1022-$AQ1022-$AR1022,0),0)</f>
        <v>66.69</v>
      </c>
      <c r="AT1022" s="153" t="n">
        <f aca="false">IFERROR(IF($N1022="VCA",INDEX(APOIO_REDES!$A:$W,MATCH($C1022&amp;$I1022&amp;$H1022&amp;$N1022&amp;$O1022,APOIO_REDES!$W:$W,0),MATCH(AT$5,APOIO_REDES!$5:$5,0)),0)*$AP1022,0)</f>
        <v>1.09889139797087</v>
      </c>
      <c r="AU1022" s="153" t="n">
        <f aca="false">IFERROR(IF($N1022="VCA",INDEX(APOIO_REDES!$A:$W,MATCH($C1022&amp;$I1022&amp;$H1022&amp;$N1022&amp;$O1022,APOIO_REDES!$W:$W,0),MATCH(AU$5,APOIO_REDES!$5:$5,0)),0)*$AP1022,0)</f>
        <v>0.877544908666076</v>
      </c>
      <c r="AV1022" s="153" t="n">
        <f aca="false">IFERROR(IF($N1022="VCA",INDEX(APOIO_REDES!$A:$W,MATCH($C1022&amp;$I1022&amp;$H1022&amp;$N1022&amp;$O1022,APOIO_REDES!$W:$W,0),MATCH(AV$5,APOIO_REDES!$5:$5,0)),0)*$AP1022,0)</f>
        <v>0.121445326361748</v>
      </c>
      <c r="AW1022" s="153" t="n">
        <f aca="false">IFERROR(IF($N1022="VCA",INDEX(APOIO_REDES!$A:$W,MATCH($C1022&amp;$I1022&amp;$H1022&amp;$N1022&amp;$O1022,APOIO_REDES!$W:$W,0),MATCH(AW$5,APOIO_REDES!$5:$5,0)),0)*$AP1022,0)</f>
        <v>69.3260156930161</v>
      </c>
      <c r="AX1022" s="153" t="n">
        <f aca="false">IFERROR(IF($N1022="VCA",INDEX(APOIO_REDES!$A:$W,MATCH($C1022&amp;$I1022&amp;$H1022&amp;$N1022&amp;$O1022,APOIO_REDES!$W:$W,0),MATCH(AX$5,APOIO_REDES!$5:$5,0)),0)*$AP1022,0)</f>
        <v>9.59452309301966</v>
      </c>
      <c r="AY1022" s="153" t="n">
        <f aca="false">IFERROR(IF($N1022="VCA",INDEX(APOIO_REDES!$A:$W,MATCH($C1022&amp;$I1022&amp;$H1022&amp;$N1022&amp;$O1022,APOIO_REDES!$W:$W,0),MATCH(AY$5,APOIO_REDES!$5:$5,0)),0)*$AP1022,0)</f>
        <v>17.5508874761202</v>
      </c>
      <c r="AZ1022" s="153" t="n">
        <f aca="false">IFERROR(IF($N1022="VCA",INDEX(APOIO_REDES!$A:$W,MATCH($C1022&amp;$I1022&amp;$H1022&amp;$N1022&amp;$O1022,APOIO_REDES!$W:$W,0),MATCH(AZ$5,APOIO_REDES!$5:$5,0)),0)*$AP1022,0)</f>
        <v>2.42899210484535</v>
      </c>
      <c r="BA1022" s="153" t="n">
        <f aca="false">IFERROR(IF(AND($N1022="VCA",$Q1022="LINEAR"),INDEX(APOIO_REDES!$A:$W,MATCH($C1022&amp;$I1022&amp;$H1022&amp;$N1022&amp;$O1022,APOIO_REDES!$W:$W,0),MATCH(BA$5,APOIO_REDES!$5:$5,0)),IF(AND($N1022="MND",$Q1022="EMBOQUE"),INDEX(APOIO_REDES!$A:$W,MATCH($C1022&amp;$I1022&amp;$H1022&amp;$N1022&amp;$O1022,APOIO_REDES!$W:$W,0),MATCH(BA$5,APOIO_REDES!$5:$5,0)),0))*$M1022/10,0)</f>
        <v>9.18811244409495</v>
      </c>
      <c r="BB1022" s="153" t="n">
        <f aca="false">IFERROR(IF($N1022="VCA",INDEX(APOIO_REDES!$A:$W,MATCH($C1022&amp;$I1022&amp;$H1022&amp;$N1022&amp;$O1022,APOIO_REDES!$W:$W,0),MATCH(BB$5,APOIO_REDES!$5:$5,0)),0)*($AI1022+$AQ1022+$AR1022),0)</f>
        <v>33.9350155412616</v>
      </c>
      <c r="BC1022" s="153" t="n">
        <f aca="false">IFERROR(IF($N1022="VCA",INDEX(APOIO_REDES!$A:$W,MATCH($C1022&amp;$I1022&amp;$H1022&amp;$N1022&amp;$O1022,APOIO_REDES!$W:$W,0),MATCH(BC$5,APOIO_REDES!$5:$5,0)),0)*($AI1022+$AQ1022+$AR1022),0)</f>
        <v>0.373284458738453</v>
      </c>
      <c r="BD1022" s="153" t="n">
        <f aca="false">IF(AND($N1022="VCA",$AF1022&gt;=1.25,$AF1022&lt;1.5),$M1022*$AF1022*2,0)</f>
        <v>310.764</v>
      </c>
      <c r="BE1022" s="153" t="n">
        <f aca="false">IF(AND($N1022="VCA",$AF1022&gt;=1.5,$AF1022&lt;3),$M1022*$AF1022*2,0)</f>
        <v>0</v>
      </c>
      <c r="BF1022" s="153" t="n">
        <f aca="false">IF(AND($N1022="VCA",$AF1022&gt;=3),$M1022*$AF1022*2,0)</f>
        <v>0</v>
      </c>
      <c r="BG1022" s="153" t="n">
        <f aca="false">($BB1022+$BC1022)*$AK1022</f>
        <v>181.83399</v>
      </c>
      <c r="BH1022" s="153" t="n">
        <f aca="false">IF(AND($M1022&lt;&gt;"",$N1022="VCA",$Q1022="LINEAR"),($M1022*2)/100,IF(AND($M1022&lt;&gt;"",$N1022="MND",$Q1022="EMBOQUE"),($AN1022*2)/100,0))</f>
        <v>2.28</v>
      </c>
      <c r="BI1022" s="153" t="n">
        <f aca="false">IF(AND($M1022&lt;&gt;"",$N1022="VCA",$Q1022="LINEAR"),$M1022,IF(AND($M1022&lt;&gt;"",$N1022="MND",$Q1022="EMBOQUE"),$AN1022*2,0))</f>
        <v>114</v>
      </c>
      <c r="BJ1022" s="153" t="n">
        <f aca="false">IF(AND($M1022&lt;&gt;"",$N1022="VCA",$Q1022="LINEAR"),($M1022*6.8)/100,IF(AND($M1022&lt;&gt;"",$N1022="MND",$Q1022="EMBOQUE"),($AN1022*2*6.8)/100,0))</f>
        <v>7.752</v>
      </c>
      <c r="BK1022" s="153" t="n">
        <f aca="false">IF(AND($M1022&lt;&gt;"",$N1022="VCA",$Q1022="LINEAR"),($M1022*2.5)/50,IF(AND($M1022&lt;&gt;"",$N1022="MND",$Q1022="EMBOQUE"),($AN1022*2*2.5)/50,0))</f>
        <v>5.7</v>
      </c>
      <c r="BL1022" s="157" t="str">
        <f aca="false">K1022&amp;J1022</f>
        <v>Zona09REDES</v>
      </c>
      <c r="BM1022" s="152" t="s">
        <v>5109</v>
      </c>
      <c r="BN1022" s="152" t="s">
        <v>1560</v>
      </c>
      <c r="BO1022" s="152" t="s">
        <v>5413</v>
      </c>
      <c r="BP1022" s="152" t="s">
        <v>2232</v>
      </c>
      <c r="BQ1022" s="152" t="s">
        <v>2176</v>
      </c>
      <c r="BR1022" s="152" t="s">
        <v>5423</v>
      </c>
      <c r="BS1022" s="152" t="n">
        <v>202793.798</v>
      </c>
      <c r="BT1022" s="152" t="n">
        <v>8236525.303</v>
      </c>
      <c r="BU1022" s="152" t="n">
        <v>202679.856</v>
      </c>
      <c r="BV1022" s="152" t="n">
        <v>8236528.82</v>
      </c>
      <c r="BW1022" s="152" t="n">
        <v>-15.9327301</v>
      </c>
      <c r="BX1022" s="152" t="n">
        <v>-47.7765223</v>
      </c>
      <c r="BY1022" s="152" t="s">
        <v>5424</v>
      </c>
    </row>
    <row r="1023" customFormat="false" ht="13.8" hidden="false" customHeight="false" outlineLevel="0" collapsed="false">
      <c r="A1023" s="149" t="n">
        <f aca="false">IF(C1023&lt;&gt;"",ROW(A1018),"")</f>
        <v>1018</v>
      </c>
      <c r="B1023" s="150" t="str">
        <f aca="false">HYPERLINK("https://www.google.com/maps/dir/-15.917302,-47.760003/-15.9327558,-47.7747449/data=!4m3!4m2!3e0!5i2")</f>
        <v>https://www.google.com/maps/dir/-15.917302,-47.760003/-15.9327558,-47.7747449/data=!4m3!4m2!3e0!5i2</v>
      </c>
      <c r="C1023" s="151" t="s">
        <v>117</v>
      </c>
      <c r="D1023" s="152" t="s">
        <v>112</v>
      </c>
      <c r="E1023" s="152" t="s">
        <v>113</v>
      </c>
      <c r="F1023" s="152" t="s">
        <v>117</v>
      </c>
      <c r="G1023" s="152" t="s">
        <v>782</v>
      </c>
      <c r="H1023" s="152" t="n">
        <v>63</v>
      </c>
      <c r="I1023" s="152" t="s">
        <v>115</v>
      </c>
      <c r="J1023" s="152" t="s">
        <v>6</v>
      </c>
      <c r="K1023" s="152" t="s">
        <v>5106</v>
      </c>
      <c r="L1023" s="152" t="s">
        <v>120</v>
      </c>
      <c r="M1023" s="153" t="n">
        <f aca="false">133.51</f>
        <v>133.51</v>
      </c>
      <c r="N1023" s="152" t="s">
        <v>1548</v>
      </c>
      <c r="O1023" s="152" t="s">
        <v>1549</v>
      </c>
      <c r="P1023" s="152" t="s">
        <v>1550</v>
      </c>
      <c r="Q1023" s="152" t="s">
        <v>1551</v>
      </c>
      <c r="R1023" s="154" t="s">
        <v>5425</v>
      </c>
      <c r="S1023" s="154" t="s">
        <v>1553</v>
      </c>
      <c r="T1023" s="155" t="s">
        <v>5411</v>
      </c>
      <c r="U1023" s="152" t="str">
        <f aca="false">RIGHT(T1023,7)</f>
        <v>017/037</v>
      </c>
      <c r="V1023" s="152" t="s">
        <v>1555</v>
      </c>
      <c r="W1023" s="156" t="n">
        <v>45882</v>
      </c>
      <c r="X1023" s="152" t="s">
        <v>1594</v>
      </c>
      <c r="Y1023" s="152"/>
      <c r="Z1023" s="152" t="s">
        <v>1557</v>
      </c>
      <c r="AA1023" s="153" t="n">
        <v>5.3</v>
      </c>
      <c r="AB1023" s="151" t="s">
        <v>5426</v>
      </c>
      <c r="AC1023" s="151" t="s">
        <v>186</v>
      </c>
      <c r="AD1023" s="151" t="str">
        <f aca="false">CONCATENATE($C1023,$I1023,$H1023,$N1023,$J1023,$K1023)</f>
        <v>TUBO PEADPEAD63VCAREDESZona09</v>
      </c>
      <c r="AE1023" s="153" t="n">
        <f aca="false">IFERROR(INDEX(APOIO_REDES!$A:$W,MATCH($C1023&amp;$I1023&amp;$H1023&amp;$N1023&amp;$O1023,APOIO_REDES!$W:$W,0),MATCH(AE$5,APOIO_REDES!$5:$5,0)),0)</f>
        <v>1.2</v>
      </c>
      <c r="AF1023" s="153" t="n">
        <f aca="false">IFERROR(INDEX(APOIO_REDES!$A:$W,MATCH($C1023&amp;$I1023&amp;$H1023&amp;$N1023&amp;$O1023,APOIO_REDES!$W:$W,0),MATCH(AF$5,APOIO_REDES!$5:$5,0)),0)</f>
        <v>1.363</v>
      </c>
      <c r="AG1023" s="153" t="n">
        <f aca="false">IFERROR(INDEX(APOIO_REDES!$A:$W,MATCH($C1023&amp;$I1023&amp;$H1023&amp;$N1023&amp;$O1023,APOIO_REDES!$W:$W,0),MATCH(AG$5,APOIO_REDES!$5:$5,0)),0)</f>
        <v>0.65</v>
      </c>
      <c r="AH1023" s="153" t="n">
        <f aca="false">IFERROR(INDEX(APOIO_REDES!$A:$W,MATCH($C1023&amp;$I1023&amp;$H1023&amp;$N1023&amp;$O1023,APOIO_REDES!$W:$W,0),MATCH(AH$5,APOIO_REDES!$5:$5,0)),0)</f>
        <v>0.1</v>
      </c>
      <c r="AI1023" s="153" t="n">
        <f aca="false">IFERROR(IF($H1023&lt;&gt;"",(((($H1023/1000)/2)^2)*PI()*$M1023),0),0)</f>
        <v>0.416183421408122</v>
      </c>
      <c r="AJ1023" s="153" t="n">
        <f aca="false">IFERROR(IF(AND($H1023&lt;&gt;"",$I1023="FoFo",OR($N1023="MND",$N1023="VCA"),$Q1023="LINEAR"),0,IF(AND($H1023&lt;&gt;"",$I1023="PEAD",$N1023="VCA",$Q1023="LINEAR"),($H1023/1000)+0.3,IF(AND($H1023&lt;&gt;"",$I1023="PEAD",$N1023="MND",$Q1023="EMBOQUE"),0,IF(AND($H1023&lt;&gt;"",$I1023="PVC",$N1023="VCA",$Q1023="LINEAR"),($H1023/1000)+0.2,IF(AND($H1023&lt;&gt;"",$I1023="PVC",$N1023="MND",$Q1023="EMBOQUE"),0,IF(AND($H1023&lt;&gt;"",$I1023="PEAD",$N1023="VCA",$Q1023="PREDIAL"),0,0)))))),0)</f>
        <v>0.363</v>
      </c>
      <c r="AK1023" s="153" t="n">
        <f aca="false">IF(AA1023&lt;&gt;"",AA1023,0)</f>
        <v>5.3</v>
      </c>
      <c r="AL1023" s="153" t="n">
        <f aca="false">IF(AND($N1023="MND",$Q1023="EMBOQUE"),$M1023,IF(AND($N1023="VCA",$Q1023="LINEAR"),$M1023,IF(AND($N1023="VCA",$Q1023="PREDIAL"),0,0)))</f>
        <v>133.51</v>
      </c>
      <c r="AM1023" s="153" t="n">
        <f aca="false">IF(AND($N1023="MND",$Q1023="EMBOQUE"),$M1023,IF(AND($N1023="VCA",$Q1023="LINEAR"),$M1023,IF(AND($N1023="VCA",$Q1023="PREDIAL"),0,0)))</f>
        <v>133.51</v>
      </c>
      <c r="AN1023" s="153" t="n">
        <f aca="false">ROUND(IF(AND($N1023="VCA",$M1023&lt;&gt;"",$Q1023="LINEAR"),$M1023/100,IF(AND($N1023="MND",$M1023&gt;100,$Q1023="EMBOQUE"),$M1023/100,0)),0)</f>
        <v>1</v>
      </c>
      <c r="AO1023" s="153" t="n">
        <f aca="false">IF(AND($N1023="MND",$Q1023="EMBOQUE"),$AN1023*2*2,IF(AND($N1023="VCA",$Q1023="LINEAR"),$M1023*2,IF(AND($N1023="VCA",$Q1023="PREDIAL"),0,0)))</f>
        <v>267.02</v>
      </c>
      <c r="AP1023" s="153" t="n">
        <f aca="false">IFERROR($M1023*$AF1023*$AG1023,0)</f>
        <v>118.2831845</v>
      </c>
      <c r="AQ1023" s="153" t="n">
        <f aca="false">IFERROR(IF(AND($N1023="VCA",$AH1023&gt;0),$M1023*$AG1023*$AH1023,0),0)</f>
        <v>8.67815</v>
      </c>
      <c r="AR1023" s="153" t="n">
        <f aca="false">IFERROR(IF(AND($N1023="VCA",$AJ1023&gt;0),($M1023*$AG1023*$AJ1023)-$AI1023,0),0)</f>
        <v>31.0855010785919</v>
      </c>
      <c r="AS1023" s="153" t="n">
        <f aca="false">IFERROR(IF(AND($N1023="VCA",$AP1023&gt;0),$AP1023-$AI1023-$AQ1023-$AR1023,0),0)</f>
        <v>78.10335</v>
      </c>
      <c r="AT1023" s="153" t="n">
        <f aca="false">IFERROR(IF($N1023="VCA",INDEX(APOIO_REDES!$A:$W,MATCH($C1023&amp;$I1023&amp;$H1023&amp;$N1023&amp;$O1023,APOIO_REDES!$W:$W,0),MATCH(AT$5,APOIO_REDES!$5:$5,0)),0)*$AP1023,0)</f>
        <v>1.28695605739553</v>
      </c>
      <c r="AU1023" s="153" t="n">
        <f aca="false">IFERROR(IF($N1023="VCA",INDEX(APOIO_REDES!$A:$W,MATCH($C1023&amp;$I1023&amp;$H1023&amp;$N1023&amp;$O1023,APOIO_REDES!$W:$W,0),MATCH(AU$5,APOIO_REDES!$5:$5,0)),0)*$AP1023,0)</f>
        <v>1.02772825224568</v>
      </c>
      <c r="AV1023" s="153" t="n">
        <f aca="false">IFERROR(IF($N1023="VCA",INDEX(APOIO_REDES!$A:$W,MATCH($C1023&amp;$I1023&amp;$H1023&amp;$N1023&amp;$O1023,APOIO_REDES!$W:$W,0),MATCH(AV$5,APOIO_REDES!$5:$5,0)),0)*$AP1023,0)</f>
        <v>0.142229522127692</v>
      </c>
      <c r="AW1023" s="153" t="n">
        <f aca="false">IFERROR(IF($N1023="VCA",INDEX(APOIO_REDES!$A:$W,MATCH($C1023&amp;$I1023&amp;$H1023&amp;$N1023&amp;$O1023,APOIO_REDES!$W:$W,0),MATCH(AW$5,APOIO_REDES!$5:$5,0)),0)*$AP1023,0)</f>
        <v>81.1904943436366</v>
      </c>
      <c r="AX1023" s="153" t="n">
        <f aca="false">IFERROR(IF($N1023="VCA",INDEX(APOIO_REDES!$A:$W,MATCH($C1023&amp;$I1023&amp;$H1023&amp;$N1023&amp;$O1023,APOIO_REDES!$W:$W,0),MATCH(AX$5,APOIO_REDES!$5:$5,0)),0)*$AP1023,0)</f>
        <v>11.2365331416584</v>
      </c>
      <c r="AY1023" s="153" t="n">
        <f aca="false">IFERROR(IF($N1023="VCA",INDEX(APOIO_REDES!$A:$W,MATCH($C1023&amp;$I1023&amp;$H1023&amp;$N1023&amp;$O1023,APOIO_REDES!$W:$W,0),MATCH(AY$5,APOIO_REDES!$5:$5,0)),0)*$AP1023,0)</f>
        <v>20.5545525169896</v>
      </c>
      <c r="AZ1023" s="153" t="n">
        <f aca="false">IFERROR(IF($N1023="VCA",INDEX(APOIO_REDES!$A:$W,MATCH($C1023&amp;$I1023&amp;$H1023&amp;$N1023&amp;$O1023,APOIO_REDES!$W:$W,0),MATCH(AZ$5,APOIO_REDES!$5:$5,0)),0)*$AP1023,0)</f>
        <v>2.84469066594652</v>
      </c>
      <c r="BA1023" s="153" t="n">
        <f aca="false">IFERROR(IF(AND($N1023="VCA",$Q1023="LINEAR"),INDEX(APOIO_REDES!$A:$W,MATCH($C1023&amp;$I1023&amp;$H1023&amp;$N1023&amp;$O1023,APOIO_REDES!$W:$W,0),MATCH(BA$5,APOIO_REDES!$5:$5,0)),IF(AND($N1023="MND",$Q1023="EMBOQUE"),INDEX(APOIO_REDES!$A:$W,MATCH($C1023&amp;$I1023&amp;$H1023&amp;$N1023&amp;$O1023,APOIO_REDES!$W:$W,0),MATCH(BA$5,APOIO_REDES!$5:$5,0)),0))*$M1023/10,0)</f>
        <v>10.7605692316765</v>
      </c>
      <c r="BB1023" s="153" t="n">
        <f aca="false">IFERROR(IF($N1023="VCA",INDEX(APOIO_REDES!$A:$W,MATCH($C1023&amp;$I1023&amp;$H1023&amp;$N1023&amp;$O1023,APOIO_REDES!$W:$W,0),MATCH(BB$5,APOIO_REDES!$5:$5,0)),0)*($AI1023+$AQ1023+$AR1023),0)</f>
        <v>39.742666008016</v>
      </c>
      <c r="BC1023" s="153" t="n">
        <f aca="false">IFERROR(IF($N1023="VCA",INDEX(APOIO_REDES!$A:$W,MATCH($C1023&amp;$I1023&amp;$H1023&amp;$N1023&amp;$O1023,APOIO_REDES!$W:$W,0),MATCH(BC$5,APOIO_REDES!$5:$5,0)),0)*($AI1023+$AQ1023+$AR1023),0)</f>
        <v>0.437168491983954</v>
      </c>
      <c r="BD1023" s="153" t="n">
        <f aca="false">IF(AND($N1023="VCA",$AF1023&gt;=1.25,$AF1023&lt;1.5),$M1023*$AF1023*2,0)</f>
        <v>363.94826</v>
      </c>
      <c r="BE1023" s="153" t="n">
        <f aca="false">IF(AND($N1023="VCA",$AF1023&gt;=1.5,$AF1023&lt;3),$M1023*$AF1023*2,0)</f>
        <v>0</v>
      </c>
      <c r="BF1023" s="153" t="n">
        <f aca="false">IF(AND($N1023="VCA",$AF1023&gt;=3),$M1023*$AF1023*2,0)</f>
        <v>0</v>
      </c>
      <c r="BG1023" s="153" t="n">
        <f aca="false">($BB1023+$BC1023)*$AK1023</f>
        <v>212.95312285</v>
      </c>
      <c r="BH1023" s="153" t="n">
        <f aca="false">IF(AND($M1023&lt;&gt;"",$N1023="VCA",$Q1023="LINEAR"),($M1023*2)/100,IF(AND($M1023&lt;&gt;"",$N1023="MND",$Q1023="EMBOQUE"),($AN1023*2)/100,0))</f>
        <v>2.6702</v>
      </c>
      <c r="BI1023" s="153" t="n">
        <f aca="false">IF(AND($M1023&lt;&gt;"",$N1023="VCA",$Q1023="LINEAR"),$M1023,IF(AND($M1023&lt;&gt;"",$N1023="MND",$Q1023="EMBOQUE"),$AN1023*2,0))</f>
        <v>133.51</v>
      </c>
      <c r="BJ1023" s="153" t="n">
        <f aca="false">IF(AND($M1023&lt;&gt;"",$N1023="VCA",$Q1023="LINEAR"),($M1023*6.8)/100,IF(AND($M1023&lt;&gt;"",$N1023="MND",$Q1023="EMBOQUE"),($AN1023*2*6.8)/100,0))</f>
        <v>9.07868</v>
      </c>
      <c r="BK1023" s="153" t="n">
        <f aca="false">IF(AND($M1023&lt;&gt;"",$N1023="VCA",$Q1023="LINEAR"),($M1023*2.5)/50,IF(AND($M1023&lt;&gt;"",$N1023="MND",$Q1023="EMBOQUE"),($AN1023*2*2.5)/50,0))</f>
        <v>6.6755</v>
      </c>
      <c r="BL1023" s="157" t="str">
        <f aca="false">K1023&amp;J1023</f>
        <v>Zona09REDES</v>
      </c>
      <c r="BM1023" s="152" t="s">
        <v>5109</v>
      </c>
      <c r="BN1023" s="152" t="s">
        <v>1560</v>
      </c>
      <c r="BO1023" s="152" t="s">
        <v>5413</v>
      </c>
      <c r="BP1023" s="152" t="s">
        <v>2232</v>
      </c>
      <c r="BQ1023" s="152" t="s">
        <v>5414</v>
      </c>
      <c r="BR1023" s="152" t="s">
        <v>5427</v>
      </c>
      <c r="BS1023" s="152" t="n">
        <v>202793.834</v>
      </c>
      <c r="BT1023" s="152" t="n">
        <v>8236525.302</v>
      </c>
      <c r="BU1023" s="152" t="n">
        <v>202927.296</v>
      </c>
      <c r="BV1023" s="152" t="n">
        <v>8236526.944</v>
      </c>
      <c r="BW1023" s="152" t="n">
        <v>-15.9327692</v>
      </c>
      <c r="BX1023" s="152" t="n">
        <v>-47.7753678</v>
      </c>
      <c r="BY1023" s="152" t="s">
        <v>5414</v>
      </c>
    </row>
    <row r="1024" customFormat="false" ht="13.8" hidden="false" customHeight="false" outlineLevel="0" collapsed="false">
      <c r="A1024" s="149" t="n">
        <f aca="false">IF(C1024&lt;&gt;"",ROW(A1019),"")</f>
        <v>1019</v>
      </c>
      <c r="B1024" s="150" t="str">
        <f aca="false">HYPERLINK("https://www.google.com/maps/dir/-15.917302,-47.760003/-15.9329142,-47.7746941/data=!4m3!4m2!3e0!5i2")</f>
        <v>https://www.google.com/maps/dir/-15.917302,-47.760003/-15.9329142,-47.7746941/data=!4m3!4m2!3e0!5i2</v>
      </c>
      <c r="C1024" s="151" t="s">
        <v>117</v>
      </c>
      <c r="D1024" s="152" t="s">
        <v>112</v>
      </c>
      <c r="E1024" s="152" t="s">
        <v>113</v>
      </c>
      <c r="F1024" s="152" t="s">
        <v>117</v>
      </c>
      <c r="G1024" s="152" t="s">
        <v>782</v>
      </c>
      <c r="H1024" s="152" t="n">
        <v>63</v>
      </c>
      <c r="I1024" s="152" t="s">
        <v>115</v>
      </c>
      <c r="J1024" s="152" t="s">
        <v>6</v>
      </c>
      <c r="K1024" s="152" t="s">
        <v>5106</v>
      </c>
      <c r="L1024" s="152" t="s">
        <v>120</v>
      </c>
      <c r="M1024" s="153" t="n">
        <f aca="false">37.9+4</f>
        <v>41.9</v>
      </c>
      <c r="N1024" s="152" t="s">
        <v>1548</v>
      </c>
      <c r="O1024" s="152" t="s">
        <v>1549</v>
      </c>
      <c r="P1024" s="152" t="s">
        <v>1550</v>
      </c>
      <c r="Q1024" s="152" t="s">
        <v>1551</v>
      </c>
      <c r="R1024" s="154" t="s">
        <v>5428</v>
      </c>
      <c r="S1024" s="154" t="s">
        <v>1553</v>
      </c>
      <c r="T1024" s="155" t="s">
        <v>5411</v>
      </c>
      <c r="U1024" s="152" t="str">
        <f aca="false">RIGHT(T1024,7)</f>
        <v>017/037</v>
      </c>
      <c r="V1024" s="152" t="s">
        <v>1555</v>
      </c>
      <c r="W1024" s="156" t="n">
        <v>45882</v>
      </c>
      <c r="X1024" s="152" t="s">
        <v>1594</v>
      </c>
      <c r="Y1024" s="152"/>
      <c r="Z1024" s="152" t="s">
        <v>1557</v>
      </c>
      <c r="AA1024" s="153" t="n">
        <v>5.2</v>
      </c>
      <c r="AB1024" s="151" t="s">
        <v>5429</v>
      </c>
      <c r="AC1024" s="151" t="s">
        <v>186</v>
      </c>
      <c r="AD1024" s="151" t="str">
        <f aca="false">CONCATENATE($C1024,$I1024,$H1024,$N1024,$J1024,$K1024)</f>
        <v>TUBO PEADPEAD63VCAREDESZona09</v>
      </c>
      <c r="AE1024" s="153" t="n">
        <f aca="false">IFERROR(INDEX(APOIO_REDES!$A:$W,MATCH($C1024&amp;$I1024&amp;$H1024&amp;$N1024&amp;$O1024,APOIO_REDES!$W:$W,0),MATCH(AE$5,APOIO_REDES!$5:$5,0)),0)</f>
        <v>1.2</v>
      </c>
      <c r="AF1024" s="153" t="n">
        <f aca="false">IFERROR(INDEX(APOIO_REDES!$A:$W,MATCH($C1024&amp;$I1024&amp;$H1024&amp;$N1024&amp;$O1024,APOIO_REDES!$W:$W,0),MATCH(AF$5,APOIO_REDES!$5:$5,0)),0)</f>
        <v>1.363</v>
      </c>
      <c r="AG1024" s="153" t="n">
        <f aca="false">IFERROR(INDEX(APOIO_REDES!$A:$W,MATCH($C1024&amp;$I1024&amp;$H1024&amp;$N1024&amp;$O1024,APOIO_REDES!$W:$W,0),MATCH(AG$5,APOIO_REDES!$5:$5,0)),0)</f>
        <v>0.65</v>
      </c>
      <c r="AH1024" s="153" t="n">
        <f aca="false">IFERROR(INDEX(APOIO_REDES!$A:$W,MATCH($C1024&amp;$I1024&amp;$H1024&amp;$N1024&amp;$O1024,APOIO_REDES!$W:$W,0),MATCH(AH$5,APOIO_REDES!$5:$5,0)),0)</f>
        <v>0.1</v>
      </c>
      <c r="AI1024" s="153" t="n">
        <f aca="false">IFERROR(IF($H1024&lt;&gt;"",(((($H1024/1000)/2)^2)*PI()*$M1024),0),0)</f>
        <v>0.130612578510975</v>
      </c>
      <c r="AJ1024" s="153" t="n">
        <f aca="false">IFERROR(IF(AND($H1024&lt;&gt;"",$I1024="FoFo",OR($N1024="MND",$N1024="VCA"),$Q1024="LINEAR"),0,IF(AND($H1024&lt;&gt;"",$I1024="PEAD",$N1024="VCA",$Q1024="LINEAR"),($H1024/1000)+0.3,IF(AND($H1024&lt;&gt;"",$I1024="PEAD",$N1024="MND",$Q1024="EMBOQUE"),0,IF(AND($H1024&lt;&gt;"",$I1024="PVC",$N1024="VCA",$Q1024="LINEAR"),($H1024/1000)+0.2,IF(AND($H1024&lt;&gt;"",$I1024="PVC",$N1024="MND",$Q1024="EMBOQUE"),0,IF(AND($H1024&lt;&gt;"",$I1024="PEAD",$N1024="VCA",$Q1024="PREDIAL"),0,0)))))),0)</f>
        <v>0.363</v>
      </c>
      <c r="AK1024" s="153" t="n">
        <f aca="false">IF(AA1024&lt;&gt;"",AA1024,0)</f>
        <v>5.2</v>
      </c>
      <c r="AL1024" s="153" t="n">
        <f aca="false">IF(AND($N1024="MND",$Q1024="EMBOQUE"),$M1024,IF(AND($N1024="VCA",$Q1024="LINEAR"),$M1024,IF(AND($N1024="VCA",$Q1024="PREDIAL"),0,0)))</f>
        <v>41.9</v>
      </c>
      <c r="AM1024" s="153" t="n">
        <f aca="false">IF(AND($N1024="MND",$Q1024="EMBOQUE"),$M1024,IF(AND($N1024="VCA",$Q1024="LINEAR"),$M1024,IF(AND($N1024="VCA",$Q1024="PREDIAL"),0,0)))</f>
        <v>41.9</v>
      </c>
      <c r="AN1024" s="153" t="n">
        <f aca="false">ROUND(IF(AND($N1024="VCA",$M1024&lt;&gt;"",$Q1024="LINEAR"),$M1024/100,IF(AND($N1024="MND",$M1024&gt;100,$Q1024="EMBOQUE"),$M1024/100,0)),0)</f>
        <v>0</v>
      </c>
      <c r="AO1024" s="153" t="n">
        <f aca="false">IF(AND($N1024="MND",$Q1024="EMBOQUE"),$AN1024*2*2,IF(AND($N1024="VCA",$Q1024="LINEAR"),$M1024*2,IF(AND($N1024="VCA",$Q1024="PREDIAL"),0,0)))</f>
        <v>83.8</v>
      </c>
      <c r="AP1024" s="153" t="n">
        <f aca="false">IFERROR($M1024*$AF1024*$AG1024,0)</f>
        <v>37.121305</v>
      </c>
      <c r="AQ1024" s="153" t="n">
        <f aca="false">IFERROR(IF(AND($N1024="VCA",$AH1024&gt;0),$M1024*$AG1024*$AH1024,0),0)</f>
        <v>2.7235</v>
      </c>
      <c r="AR1024" s="153" t="n">
        <f aca="false">IFERROR(IF(AND($N1024="VCA",$AJ1024&gt;0),($M1024*$AG1024*$AJ1024)-$AI1024,0),0)</f>
        <v>9.75569242148903</v>
      </c>
      <c r="AS1024" s="153" t="n">
        <f aca="false">IFERROR(IF(AND($N1024="VCA",$AP1024&gt;0),$AP1024-$AI1024-$AQ1024-$AR1024,0),0)</f>
        <v>24.5115</v>
      </c>
      <c r="AT1024" s="153" t="n">
        <f aca="false">IFERROR(IF($N1024="VCA",INDEX(APOIO_REDES!$A:$W,MATCH($C1024&amp;$I1024&amp;$H1024&amp;$N1024&amp;$O1024,APOIO_REDES!$W:$W,0),MATCH(AT$5,APOIO_REDES!$5:$5,0)),0)*$AP1024,0)</f>
        <v>0.403890785745432</v>
      </c>
      <c r="AU1024" s="153" t="n">
        <f aca="false">IFERROR(IF($N1024="VCA",INDEX(APOIO_REDES!$A:$W,MATCH($C1024&amp;$I1024&amp;$H1024&amp;$N1024&amp;$O1024,APOIO_REDES!$W:$W,0),MATCH(AU$5,APOIO_REDES!$5:$5,0)),0)*$AP1024,0)</f>
        <v>0.322536242746566</v>
      </c>
      <c r="AV1024" s="153" t="n">
        <f aca="false">IFERROR(IF($N1024="VCA",INDEX(APOIO_REDES!$A:$W,MATCH($C1024&amp;$I1024&amp;$H1024&amp;$N1024&amp;$O1024,APOIO_REDES!$W:$W,0),MATCH(AV$5,APOIO_REDES!$5:$5,0)),0)*$AP1024,0)</f>
        <v>0.044636483987344</v>
      </c>
      <c r="AW1024" s="153" t="n">
        <f aca="false">IFERROR(IF($N1024="VCA",INDEX(APOIO_REDES!$A:$W,MATCH($C1024&amp;$I1024&amp;$H1024&amp;$N1024&amp;$O1024,APOIO_REDES!$W:$W,0),MATCH(AW$5,APOIO_REDES!$5:$5,0)),0)*$AP1024,0)</f>
        <v>25.4803513819068</v>
      </c>
      <c r="AX1024" s="153" t="n">
        <f aca="false">IFERROR(IF($N1024="VCA",INDEX(APOIO_REDES!$A:$W,MATCH($C1024&amp;$I1024&amp;$H1024&amp;$N1024&amp;$O1024,APOIO_REDES!$W:$W,0),MATCH(AX$5,APOIO_REDES!$5:$5,0)),0)*$AP1024,0)</f>
        <v>3.52640804910109</v>
      </c>
      <c r="AY1024" s="153" t="n">
        <f aca="false">IFERROR(IF($N1024="VCA",INDEX(APOIO_REDES!$A:$W,MATCH($C1024&amp;$I1024&amp;$H1024&amp;$N1024&amp;$O1024,APOIO_REDES!$W:$W,0),MATCH(AY$5,APOIO_REDES!$5:$5,0)),0)*$AP1024,0)</f>
        <v>6.45072092324068</v>
      </c>
      <c r="AZ1024" s="153" t="n">
        <f aca="false">IFERROR(IF($N1024="VCA",INDEX(APOIO_REDES!$A:$W,MATCH($C1024&amp;$I1024&amp;$H1024&amp;$N1024&amp;$O1024,APOIO_REDES!$W:$W,0),MATCH(AZ$5,APOIO_REDES!$5:$5,0)),0)*$AP1024,0)</f>
        <v>0.892761133272108</v>
      </c>
      <c r="BA1024" s="153" t="n">
        <f aca="false">IFERROR(IF(AND($N1024="VCA",$Q1024="LINEAR"),INDEX(APOIO_REDES!$A:$W,MATCH($C1024&amp;$I1024&amp;$H1024&amp;$N1024&amp;$O1024,APOIO_REDES!$W:$W,0),MATCH(BA$5,APOIO_REDES!$5:$5,0)),IF(AND($N1024="MND",$Q1024="EMBOQUE"),INDEX(APOIO_REDES!$A:$W,MATCH($C1024&amp;$I1024&amp;$H1024&amp;$N1024&amp;$O1024,APOIO_REDES!$W:$W,0),MATCH(BA$5,APOIO_REDES!$5:$5,0)),0))*$M1024/10,0)</f>
        <v>3.37703431059279</v>
      </c>
      <c r="BB1024" s="153" t="n">
        <f aca="false">IFERROR(IF($N1024="VCA",INDEX(APOIO_REDES!$A:$W,MATCH($C1024&amp;$I1024&amp;$H1024&amp;$N1024&amp;$O1024,APOIO_REDES!$W:$W,0),MATCH(BB$5,APOIO_REDES!$5:$5,0)),0)*($AI1024+$AQ1024+$AR1024),0)</f>
        <v>12.4726065892882</v>
      </c>
      <c r="BC1024" s="153" t="n">
        <f aca="false">IFERROR(IF($N1024="VCA",INDEX(APOIO_REDES!$A:$W,MATCH($C1024&amp;$I1024&amp;$H1024&amp;$N1024&amp;$O1024,APOIO_REDES!$W:$W,0),MATCH(BC$5,APOIO_REDES!$5:$5,0)),0)*($AI1024+$AQ1024+$AR1024),0)</f>
        <v>0.137198410711765</v>
      </c>
      <c r="BD1024" s="153" t="n">
        <f aca="false">IF(AND($N1024="VCA",$AF1024&gt;=1.25,$AF1024&lt;1.5),$M1024*$AF1024*2,0)</f>
        <v>114.2194</v>
      </c>
      <c r="BE1024" s="153" t="n">
        <f aca="false">IF(AND($N1024="VCA",$AF1024&gt;=1.5,$AF1024&lt;3),$M1024*$AF1024*2,0)</f>
        <v>0</v>
      </c>
      <c r="BF1024" s="153" t="n">
        <f aca="false">IF(AND($N1024="VCA",$AF1024&gt;=3),$M1024*$AF1024*2,0)</f>
        <v>0</v>
      </c>
      <c r="BG1024" s="153" t="n">
        <f aca="false">($BB1024+$BC1024)*$AK1024</f>
        <v>65.570986</v>
      </c>
      <c r="BH1024" s="153" t="n">
        <f aca="false">IF(AND($M1024&lt;&gt;"",$N1024="VCA",$Q1024="LINEAR"),($M1024*2)/100,IF(AND($M1024&lt;&gt;"",$N1024="MND",$Q1024="EMBOQUE"),($AN1024*2)/100,0))</f>
        <v>0.838</v>
      </c>
      <c r="BI1024" s="153" t="n">
        <f aca="false">IF(AND($M1024&lt;&gt;"",$N1024="VCA",$Q1024="LINEAR"),$M1024,IF(AND($M1024&lt;&gt;"",$N1024="MND",$Q1024="EMBOQUE"),$AN1024*2,0))</f>
        <v>41.9</v>
      </c>
      <c r="BJ1024" s="153" t="n">
        <f aca="false">IF(AND($M1024&lt;&gt;"",$N1024="VCA",$Q1024="LINEAR"),($M1024*6.8)/100,IF(AND($M1024&lt;&gt;"",$N1024="MND",$Q1024="EMBOQUE"),($AN1024*2*6.8)/100,0))</f>
        <v>2.8492</v>
      </c>
      <c r="BK1024" s="153" t="n">
        <f aca="false">IF(AND($M1024&lt;&gt;"",$N1024="VCA",$Q1024="LINEAR"),($M1024*2.5)/50,IF(AND($M1024&lt;&gt;"",$N1024="MND",$Q1024="EMBOQUE"),($AN1024*2*2.5)/50,0))</f>
        <v>2.095</v>
      </c>
      <c r="BL1024" s="157" t="str">
        <f aca="false">K1024&amp;J1024</f>
        <v>Zona09REDES</v>
      </c>
      <c r="BM1024" s="152" t="s">
        <v>5109</v>
      </c>
      <c r="BN1024" s="152" t="s">
        <v>1560</v>
      </c>
      <c r="BO1024" s="152" t="s">
        <v>5413</v>
      </c>
      <c r="BP1024" s="152" t="s">
        <v>5430</v>
      </c>
      <c r="BQ1024" s="152" t="s">
        <v>5431</v>
      </c>
      <c r="BR1024" s="152" t="s">
        <v>5432</v>
      </c>
      <c r="BS1024" s="152" t="n">
        <v>202932.978</v>
      </c>
      <c r="BT1024" s="152" t="n">
        <v>8236509.548</v>
      </c>
      <c r="BU1024" s="152" t="n">
        <v>202964.132</v>
      </c>
      <c r="BV1024" s="152" t="n">
        <v>8236531.139</v>
      </c>
      <c r="BW1024" s="152" t="n">
        <v>-15.9328186</v>
      </c>
      <c r="BX1024" s="152" t="n">
        <v>-47.7745473</v>
      </c>
      <c r="BY1024" s="152" t="s">
        <v>5430</v>
      </c>
    </row>
    <row r="1025" customFormat="false" ht="13.8" hidden="false" customHeight="false" outlineLevel="0" collapsed="false">
      <c r="A1025" s="149" t="n">
        <f aca="false">IF(C1025&lt;&gt;"",ROW(A1020),"")</f>
        <v>1020</v>
      </c>
      <c r="B1025" s="150" t="str">
        <f aca="false">HYPERLINK("https://www.google.com/maps/dir/-15.917302,-47.760003/-15.9329142,-47.7746941/data=!4m3!4m2!3e0!5i2")</f>
        <v>https://www.google.com/maps/dir/-15.917302,-47.760003/-15.9329142,-47.7746941/data=!4m3!4m2!3e0!5i2</v>
      </c>
      <c r="C1025" s="151" t="s">
        <v>117</v>
      </c>
      <c r="D1025" s="152" t="s">
        <v>112</v>
      </c>
      <c r="E1025" s="152" t="s">
        <v>113</v>
      </c>
      <c r="F1025" s="152" t="s">
        <v>117</v>
      </c>
      <c r="G1025" s="152" t="s">
        <v>782</v>
      </c>
      <c r="H1025" s="152" t="n">
        <v>110</v>
      </c>
      <c r="I1025" s="152" t="s">
        <v>115</v>
      </c>
      <c r="J1025" s="152" t="s">
        <v>6</v>
      </c>
      <c r="K1025" s="152" t="s">
        <v>5106</v>
      </c>
      <c r="L1025" s="152" t="s">
        <v>120</v>
      </c>
      <c r="M1025" s="153" t="n">
        <f aca="false">18.77</f>
        <v>18.77</v>
      </c>
      <c r="N1025" s="152" t="s">
        <v>1548</v>
      </c>
      <c r="O1025" s="152" t="s">
        <v>1549</v>
      </c>
      <c r="P1025" s="152" t="s">
        <v>1550</v>
      </c>
      <c r="Q1025" s="152" t="s">
        <v>1551</v>
      </c>
      <c r="R1025" s="154" t="s">
        <v>5433</v>
      </c>
      <c r="S1025" s="154" t="s">
        <v>1593</v>
      </c>
      <c r="T1025" s="155" t="s">
        <v>5411</v>
      </c>
      <c r="U1025" s="152" t="str">
        <f aca="false">RIGHT(T1025,7)</f>
        <v>017/037</v>
      </c>
      <c r="V1025" s="152" t="s">
        <v>1555</v>
      </c>
      <c r="W1025" s="156" t="n">
        <v>45882</v>
      </c>
      <c r="X1025" s="152" t="s">
        <v>1594</v>
      </c>
      <c r="Y1025" s="152"/>
      <c r="Z1025" s="152" t="s">
        <v>1557</v>
      </c>
      <c r="AA1025" s="153" t="n">
        <v>5.2</v>
      </c>
      <c r="AB1025" s="151" t="s">
        <v>5434</v>
      </c>
      <c r="AC1025" s="151" t="s">
        <v>502</v>
      </c>
      <c r="AD1025" s="151" t="str">
        <f aca="false">CONCATENATE($C1025,$I1025,$H1025,$N1025,$J1025,$K1025)</f>
        <v>TUBO PEADPEAD110VCAREDESZona09</v>
      </c>
      <c r="AE1025" s="153" t="n">
        <f aca="false">IFERROR(INDEX(APOIO_REDES!$A:$W,MATCH($C1025&amp;$I1025&amp;$H1025&amp;$N1025&amp;$O1025,APOIO_REDES!$W:$W,0),MATCH(AE$5,APOIO_REDES!$5:$5,0)),0)</f>
        <v>1.2</v>
      </c>
      <c r="AF1025" s="153" t="n">
        <f aca="false">IFERROR(INDEX(APOIO_REDES!$A:$W,MATCH($C1025&amp;$I1025&amp;$H1025&amp;$N1025&amp;$O1025,APOIO_REDES!$W:$W,0),MATCH(AF$5,APOIO_REDES!$5:$5,0)),0)</f>
        <v>1.41</v>
      </c>
      <c r="AG1025" s="153" t="n">
        <f aca="false">IFERROR(INDEX(APOIO_REDES!$A:$W,MATCH($C1025&amp;$I1025&amp;$H1025&amp;$N1025&amp;$O1025,APOIO_REDES!$W:$W,0),MATCH(AG$5,APOIO_REDES!$5:$5,0)),0)</f>
        <v>0.75</v>
      </c>
      <c r="AH1025" s="153" t="n">
        <f aca="false">IFERROR(INDEX(APOIO_REDES!$A:$W,MATCH($C1025&amp;$I1025&amp;$H1025&amp;$N1025&amp;$O1025,APOIO_REDES!$W:$W,0),MATCH(AH$5,APOIO_REDES!$5:$5,0)),0)</f>
        <v>0.1</v>
      </c>
      <c r="AI1025" s="153" t="n">
        <f aca="false">IFERROR(IF($H1025&lt;&gt;"",(((($H1025/1000)/2)^2)*PI()*$M1025),0),0)</f>
        <v>0.178377274676338</v>
      </c>
      <c r="AJ1025" s="153" t="n">
        <f aca="false">IFERROR(IF(AND($H1025&lt;&gt;"",$I1025="FoFo",OR($N1025="MND",$N1025="VCA"),$Q1025="LINEAR"),0,IF(AND($H1025&lt;&gt;"",$I1025="PEAD",$N1025="VCA",$Q1025="LINEAR"),($H1025/1000)+0.3,IF(AND($H1025&lt;&gt;"",$I1025="PEAD",$N1025="MND",$Q1025="EMBOQUE"),0,IF(AND($H1025&lt;&gt;"",$I1025="PVC",$N1025="VCA",$Q1025="LINEAR"),($H1025/1000)+0.2,IF(AND($H1025&lt;&gt;"",$I1025="PVC",$N1025="MND",$Q1025="EMBOQUE"),0,IF(AND($H1025&lt;&gt;"",$I1025="PEAD",$N1025="VCA",$Q1025="PREDIAL"),0,0)))))),0)</f>
        <v>0.41</v>
      </c>
      <c r="AK1025" s="153" t="n">
        <f aca="false">IF(AA1025&lt;&gt;"",AA1025,0)</f>
        <v>5.2</v>
      </c>
      <c r="AL1025" s="153" t="n">
        <f aca="false">IF(AND($N1025="MND",$Q1025="EMBOQUE"),$M1025,IF(AND($N1025="VCA",$Q1025="LINEAR"),$M1025,IF(AND($N1025="VCA",$Q1025="PREDIAL"),0,0)))</f>
        <v>18.77</v>
      </c>
      <c r="AM1025" s="153" t="n">
        <f aca="false">IF(AND($N1025="MND",$Q1025="EMBOQUE"),$M1025,IF(AND($N1025="VCA",$Q1025="LINEAR"),$M1025,IF(AND($N1025="VCA",$Q1025="PREDIAL"),0,0)))</f>
        <v>18.77</v>
      </c>
      <c r="AN1025" s="153" t="n">
        <f aca="false">ROUND(IF(AND($N1025="VCA",$M1025&lt;&gt;"",$Q1025="LINEAR"),$M1025/100,IF(AND($N1025="MND",$M1025&gt;100,$Q1025="EMBOQUE"),$M1025/100,0)),0)</f>
        <v>0</v>
      </c>
      <c r="AO1025" s="153" t="n">
        <f aca="false">IF(AND($N1025="MND",$Q1025="EMBOQUE"),$AN1025*2*2,IF(AND($N1025="VCA",$Q1025="LINEAR"),$M1025*2,IF(AND($N1025="VCA",$Q1025="PREDIAL"),0,0)))</f>
        <v>37.54</v>
      </c>
      <c r="AP1025" s="153" t="n">
        <f aca="false">IFERROR($M1025*$AF1025*$AG1025,0)</f>
        <v>19.849275</v>
      </c>
      <c r="AQ1025" s="153" t="n">
        <f aca="false">IFERROR(IF(AND($N1025="VCA",$AH1025&gt;0),$M1025*$AG1025*$AH1025,0),0)</f>
        <v>1.40775</v>
      </c>
      <c r="AR1025" s="153" t="n">
        <f aca="false">IFERROR(IF(AND($N1025="VCA",$AJ1025&gt;0),($M1025*$AG1025*$AJ1025)-$AI1025,0),0)</f>
        <v>5.59339772532366</v>
      </c>
      <c r="AS1025" s="153" t="n">
        <f aca="false">IFERROR(IF(AND($N1025="VCA",$AP1025&gt;0),$AP1025-$AI1025-$AQ1025-$AR1025,0),0)</f>
        <v>12.66975</v>
      </c>
      <c r="AT1025" s="153" t="n">
        <f aca="false">IFERROR(IF($N1025="VCA",INDEX(APOIO_REDES!$A:$W,MATCH($C1025&amp;$I1025&amp;$H1025&amp;$N1025&amp;$O1025,APOIO_REDES!$W:$W,0),MATCH(AT$5,APOIO_REDES!$5:$5,0)),0)*$AP1025,0)</f>
        <v>0.215965987085507</v>
      </c>
      <c r="AU1025" s="153" t="n">
        <f aca="false">IFERROR(IF($N1025="VCA",INDEX(APOIO_REDES!$A:$W,MATCH($C1025&amp;$I1025&amp;$H1025&amp;$N1025&amp;$O1025,APOIO_REDES!$W:$W,0),MATCH(AU$5,APOIO_REDES!$5:$5,0)),0)*$AP1025,0)</f>
        <v>0.17246458818577</v>
      </c>
      <c r="AV1025" s="153" t="n">
        <f aca="false">IFERROR(IF($N1025="VCA",INDEX(APOIO_REDES!$A:$W,MATCH($C1025&amp;$I1025&amp;$H1025&amp;$N1025&amp;$O1025,APOIO_REDES!$W:$W,0),MATCH(AV$5,APOIO_REDES!$5:$5,0)),0)*$AP1025,0)</f>
        <v>0.0238677451048095</v>
      </c>
      <c r="AW1025" s="153" t="n">
        <f aca="false">IFERROR(IF($N1025="VCA",INDEX(APOIO_REDES!$A:$W,MATCH($C1025&amp;$I1025&amp;$H1025&amp;$N1025&amp;$O1025,APOIO_REDES!$W:$W,0),MATCH(AW$5,APOIO_REDES!$5:$5,0)),0)*$AP1025,0)</f>
        <v>13.6246961596878</v>
      </c>
      <c r="AX1025" s="153" t="n">
        <f aca="false">IFERROR(IF($N1025="VCA",INDEX(APOIO_REDES!$A:$W,MATCH($C1025&amp;$I1025&amp;$H1025&amp;$N1025&amp;$O1025,APOIO_REDES!$W:$W,0),MATCH(AX$5,APOIO_REDES!$5:$5,0)),0)*$AP1025,0)</f>
        <v>1.88561913781913</v>
      </c>
      <c r="AY1025" s="153" t="n">
        <f aca="false">IFERROR(IF($N1025="VCA",INDEX(APOIO_REDES!$A:$W,MATCH($C1025&amp;$I1025&amp;$H1025&amp;$N1025&amp;$O1025,APOIO_REDES!$W:$W,0),MATCH(AY$5,APOIO_REDES!$5:$5,0)),0)*$AP1025,0)</f>
        <v>3.44928966138604</v>
      </c>
      <c r="AZ1025" s="153" t="n">
        <f aca="false">IFERROR(IF($N1025="VCA",INDEX(APOIO_REDES!$A:$W,MATCH($C1025&amp;$I1025&amp;$H1025&amp;$N1025&amp;$O1025,APOIO_REDES!$W:$W,0),MATCH(AZ$5,APOIO_REDES!$5:$5,0)),0)*$AP1025,0)</f>
        <v>0.477371720730985</v>
      </c>
      <c r="BA1025" s="153" t="n">
        <f aca="false">IFERROR(IF(AND($N1025="VCA",$Q1025="LINEAR"),INDEX(APOIO_REDES!$A:$W,MATCH($C1025&amp;$I1025&amp;$H1025&amp;$N1025&amp;$O1025,APOIO_REDES!$W:$W,0),MATCH(BA$5,APOIO_REDES!$5:$5,0)),IF(AND($N1025="MND",$Q1025="EMBOQUE"),INDEX(APOIO_REDES!$A:$W,MATCH($C1025&amp;$I1025&amp;$H1025&amp;$N1025&amp;$O1025,APOIO_REDES!$W:$W,0),MATCH(BA$5,APOIO_REDES!$5:$5,0)),0))*$M1025/10,0)</f>
        <v>1.51281465417248</v>
      </c>
      <c r="BB1025" s="153" t="n">
        <f aca="false">IFERROR(IF($N1025="VCA",INDEX(APOIO_REDES!$A:$W,MATCH($C1025&amp;$I1025&amp;$H1025&amp;$N1025&amp;$O1025,APOIO_REDES!$W:$W,0),MATCH(BB$5,APOIO_REDES!$5:$5,0)),0)*($AI1025+$AQ1025+$AR1025),0)</f>
        <v>7.10140964296907</v>
      </c>
      <c r="BC1025" s="153" t="n">
        <f aca="false">IFERROR(IF($N1025="VCA",INDEX(APOIO_REDES!$A:$W,MATCH($C1025&amp;$I1025&amp;$H1025&amp;$N1025&amp;$O1025,APOIO_REDES!$W:$W,0),MATCH(BC$5,APOIO_REDES!$5:$5,0)),0)*($AI1025+$AQ1025+$AR1025),0)</f>
        <v>0.078115357030928</v>
      </c>
      <c r="BD1025" s="153" t="n">
        <f aca="false">IF(AND($N1025="VCA",$AF1025&gt;=1.25,$AF1025&lt;1.5),$M1025*$AF1025*2,0)</f>
        <v>52.9314</v>
      </c>
      <c r="BE1025" s="153" t="n">
        <f aca="false">IF(AND($N1025="VCA",$AF1025&gt;=1.5,$AF1025&lt;3),$M1025*$AF1025*2,0)</f>
        <v>0</v>
      </c>
      <c r="BF1025" s="153" t="n">
        <f aca="false">IF(AND($N1025="VCA",$AF1025&gt;=3),$M1025*$AF1025*2,0)</f>
        <v>0</v>
      </c>
      <c r="BG1025" s="153" t="n">
        <f aca="false">($BB1025+$BC1025)*$AK1025</f>
        <v>37.33353</v>
      </c>
      <c r="BH1025" s="153" t="n">
        <f aca="false">IF(AND($M1025&lt;&gt;"",$N1025="VCA",$Q1025="LINEAR"),($M1025*2)/100,IF(AND($M1025&lt;&gt;"",$N1025="MND",$Q1025="EMBOQUE"),($AN1025*2)/100,0))</f>
        <v>0.3754</v>
      </c>
      <c r="BI1025" s="153" t="n">
        <f aca="false">IF(AND($M1025&lt;&gt;"",$N1025="VCA",$Q1025="LINEAR"),$M1025,IF(AND($M1025&lt;&gt;"",$N1025="MND",$Q1025="EMBOQUE"),$AN1025*2,0))</f>
        <v>18.77</v>
      </c>
      <c r="BJ1025" s="153" t="n">
        <f aca="false">IF(AND($M1025&lt;&gt;"",$N1025="VCA",$Q1025="LINEAR"),($M1025*6.8)/100,IF(AND($M1025&lt;&gt;"",$N1025="MND",$Q1025="EMBOQUE"),($AN1025*2*6.8)/100,0))</f>
        <v>1.27636</v>
      </c>
      <c r="BK1025" s="153" t="n">
        <f aca="false">IF(AND($M1025&lt;&gt;"",$N1025="VCA",$Q1025="LINEAR"),($M1025*2.5)/50,IF(AND($M1025&lt;&gt;"",$N1025="MND",$Q1025="EMBOQUE"),($AN1025*2*2.5)/50,0))</f>
        <v>0.9385</v>
      </c>
      <c r="BL1025" s="157" t="str">
        <f aca="false">K1025&amp;J1025</f>
        <v>Zona09REDES</v>
      </c>
      <c r="BM1025" s="152" t="s">
        <v>5109</v>
      </c>
      <c r="BN1025" s="152" t="s">
        <v>1560</v>
      </c>
      <c r="BO1025" s="152" t="s">
        <v>5413</v>
      </c>
      <c r="BP1025" s="152" t="s">
        <v>5430</v>
      </c>
      <c r="BQ1025" s="152" t="s">
        <v>5414</v>
      </c>
      <c r="BR1025" s="152" t="s">
        <v>5435</v>
      </c>
      <c r="BS1025" s="152" t="n">
        <v>202932.978</v>
      </c>
      <c r="BT1025" s="152" t="n">
        <v>8236509.548</v>
      </c>
      <c r="BU1025" s="152" t="n">
        <v>202927.296</v>
      </c>
      <c r="BV1025" s="152" t="n">
        <v>8236526.944</v>
      </c>
      <c r="BW1025" s="152" t="n">
        <v>-15.9328307</v>
      </c>
      <c r="BX1025" s="152" t="n">
        <v>-47.7747093</v>
      </c>
      <c r="BY1025" s="152" t="s">
        <v>5430</v>
      </c>
    </row>
    <row r="1026" customFormat="false" ht="13.8" hidden="false" customHeight="false" outlineLevel="0" collapsed="false">
      <c r="A1026" s="149" t="n">
        <f aca="false">IF(C1026&lt;&gt;"",ROW(A1021),"")</f>
        <v>1021</v>
      </c>
      <c r="B1026" s="150" t="str">
        <f aca="false">HYPERLINK("https://www.google.com/maps/dir/-15.917302,-47.760003/-15.9331313,-47.7746567/data=!4m3!4m2!3e0!5i2")</f>
        <v>https://www.google.com/maps/dir/-15.917302,-47.760003/-15.9331313,-47.7746567/data=!4m3!4m2!3e0!5i2</v>
      </c>
      <c r="C1026" s="151" t="s">
        <v>117</v>
      </c>
      <c r="D1026" s="152" t="s">
        <v>112</v>
      </c>
      <c r="E1026" s="152" t="s">
        <v>113</v>
      </c>
      <c r="F1026" s="152" t="s">
        <v>117</v>
      </c>
      <c r="G1026" s="152" t="s">
        <v>782</v>
      </c>
      <c r="H1026" s="152" t="n">
        <v>110</v>
      </c>
      <c r="I1026" s="152" t="s">
        <v>115</v>
      </c>
      <c r="J1026" s="152" t="s">
        <v>6</v>
      </c>
      <c r="K1026" s="152" t="s">
        <v>5106</v>
      </c>
      <c r="L1026" s="152" t="s">
        <v>120</v>
      </c>
      <c r="M1026" s="153" t="n">
        <f aca="false">24.38</f>
        <v>24.38</v>
      </c>
      <c r="N1026" s="152" t="s">
        <v>1548</v>
      </c>
      <c r="O1026" s="152" t="s">
        <v>1549</v>
      </c>
      <c r="P1026" s="152" t="s">
        <v>1550</v>
      </c>
      <c r="Q1026" s="152" t="s">
        <v>1551</v>
      </c>
      <c r="R1026" s="154" t="s">
        <v>5436</v>
      </c>
      <c r="S1026" s="154" t="s">
        <v>1593</v>
      </c>
      <c r="T1026" s="155" t="s">
        <v>5411</v>
      </c>
      <c r="U1026" s="152" t="str">
        <f aca="false">RIGHT(T1026,7)</f>
        <v>017/037</v>
      </c>
      <c r="V1026" s="152" t="s">
        <v>1555</v>
      </c>
      <c r="W1026" s="156" t="n">
        <v>45882</v>
      </c>
      <c r="X1026" s="152" t="s">
        <v>1594</v>
      </c>
      <c r="Y1026" s="152"/>
      <c r="Z1026" s="152" t="s">
        <v>1557</v>
      </c>
      <c r="AA1026" s="153" t="n">
        <v>5.2</v>
      </c>
      <c r="AB1026" s="151" t="s">
        <v>5437</v>
      </c>
      <c r="AC1026" s="151" t="s">
        <v>502</v>
      </c>
      <c r="AD1026" s="151" t="str">
        <f aca="false">CONCATENATE($C1026,$I1026,$H1026,$N1026,$J1026,$K1026)</f>
        <v>TUBO PEADPEAD110VCAREDESZona09</v>
      </c>
      <c r="AE1026" s="153" t="n">
        <f aca="false">IFERROR(INDEX(APOIO_REDES!$A:$W,MATCH($C1026&amp;$I1026&amp;$H1026&amp;$N1026&amp;$O1026,APOIO_REDES!$W:$W,0),MATCH(AE$5,APOIO_REDES!$5:$5,0)),0)</f>
        <v>1.2</v>
      </c>
      <c r="AF1026" s="153" t="n">
        <f aca="false">IFERROR(INDEX(APOIO_REDES!$A:$W,MATCH($C1026&amp;$I1026&amp;$H1026&amp;$N1026&amp;$O1026,APOIO_REDES!$W:$W,0),MATCH(AF$5,APOIO_REDES!$5:$5,0)),0)</f>
        <v>1.41</v>
      </c>
      <c r="AG1026" s="153" t="n">
        <f aca="false">IFERROR(INDEX(APOIO_REDES!$A:$W,MATCH($C1026&amp;$I1026&amp;$H1026&amp;$N1026&amp;$O1026,APOIO_REDES!$W:$W,0),MATCH(AG$5,APOIO_REDES!$5:$5,0)),0)</f>
        <v>0.75</v>
      </c>
      <c r="AH1026" s="153" t="n">
        <f aca="false">IFERROR(INDEX(APOIO_REDES!$A:$W,MATCH($C1026&amp;$I1026&amp;$H1026&amp;$N1026&amp;$O1026,APOIO_REDES!$W:$W,0),MATCH(AH$5,APOIO_REDES!$5:$5,0)),0)</f>
        <v>0.1</v>
      </c>
      <c r="AI1026" s="153" t="n">
        <f aca="false">IFERROR(IF($H1026&lt;&gt;"",(((($H1026/1000)/2)^2)*PI()*$M1026),0),0)</f>
        <v>0.23169088740592</v>
      </c>
      <c r="AJ1026" s="153" t="n">
        <f aca="false">IFERROR(IF(AND($H1026&lt;&gt;"",$I1026="FoFo",OR($N1026="MND",$N1026="VCA"),$Q1026="LINEAR"),0,IF(AND($H1026&lt;&gt;"",$I1026="PEAD",$N1026="VCA",$Q1026="LINEAR"),($H1026/1000)+0.3,IF(AND($H1026&lt;&gt;"",$I1026="PEAD",$N1026="MND",$Q1026="EMBOQUE"),0,IF(AND($H1026&lt;&gt;"",$I1026="PVC",$N1026="VCA",$Q1026="LINEAR"),($H1026/1000)+0.2,IF(AND($H1026&lt;&gt;"",$I1026="PVC",$N1026="MND",$Q1026="EMBOQUE"),0,IF(AND($H1026&lt;&gt;"",$I1026="PEAD",$N1026="VCA",$Q1026="PREDIAL"),0,0)))))),0)</f>
        <v>0.41</v>
      </c>
      <c r="AK1026" s="153" t="n">
        <f aca="false">IF(AA1026&lt;&gt;"",AA1026,0)</f>
        <v>5.2</v>
      </c>
      <c r="AL1026" s="153" t="n">
        <f aca="false">IF(AND($N1026="MND",$Q1026="EMBOQUE"),$M1026,IF(AND($N1026="VCA",$Q1026="LINEAR"),$M1026,IF(AND($N1026="VCA",$Q1026="PREDIAL"),0,0)))</f>
        <v>24.38</v>
      </c>
      <c r="AM1026" s="153" t="n">
        <f aca="false">IF(AND($N1026="MND",$Q1026="EMBOQUE"),$M1026,IF(AND($N1026="VCA",$Q1026="LINEAR"),$M1026,IF(AND($N1026="VCA",$Q1026="PREDIAL"),0,0)))</f>
        <v>24.38</v>
      </c>
      <c r="AN1026" s="153" t="n">
        <f aca="false">ROUND(IF(AND($N1026="VCA",$M1026&lt;&gt;"",$Q1026="LINEAR"),$M1026/100,IF(AND($N1026="MND",$M1026&gt;100,$Q1026="EMBOQUE"),$M1026/100,0)),0)</f>
        <v>0</v>
      </c>
      <c r="AO1026" s="153" t="n">
        <f aca="false">IF(AND($N1026="MND",$Q1026="EMBOQUE"),$AN1026*2*2,IF(AND($N1026="VCA",$Q1026="LINEAR"),$M1026*2,IF(AND($N1026="VCA",$Q1026="PREDIAL"),0,0)))</f>
        <v>48.76</v>
      </c>
      <c r="AP1026" s="153" t="n">
        <f aca="false">IFERROR($M1026*$AF1026*$AG1026,0)</f>
        <v>25.78185</v>
      </c>
      <c r="AQ1026" s="153" t="n">
        <f aca="false">IFERROR(IF(AND($N1026="VCA",$AH1026&gt;0),$M1026*$AG1026*$AH1026,0),0)</f>
        <v>1.8285</v>
      </c>
      <c r="AR1026" s="153" t="n">
        <f aca="false">IFERROR(IF(AND($N1026="VCA",$AJ1026&gt;0),($M1026*$AG1026*$AJ1026)-$AI1026,0),0)</f>
        <v>7.26515911259408</v>
      </c>
      <c r="AS1026" s="153" t="n">
        <f aca="false">IFERROR(IF(AND($N1026="VCA",$AP1026&gt;0),$AP1026-$AI1026-$AQ1026-$AR1026,0),0)</f>
        <v>16.4565</v>
      </c>
      <c r="AT1026" s="153" t="n">
        <f aca="false">IFERROR(IF($N1026="VCA",INDEX(APOIO_REDES!$A:$W,MATCH($C1026&amp;$I1026&amp;$H1026&amp;$N1026&amp;$O1026,APOIO_REDES!$W:$W,0),MATCH(AT$5,APOIO_REDES!$5:$5,0)),0)*$AP1026,0)</f>
        <v>0.280514159038075</v>
      </c>
      <c r="AU1026" s="153" t="n">
        <f aca="false">IFERROR(IF($N1026="VCA",INDEX(APOIO_REDES!$A:$W,MATCH($C1026&amp;$I1026&amp;$H1026&amp;$N1026&amp;$O1026,APOIO_REDES!$W:$W,0),MATCH(AU$5,APOIO_REDES!$5:$5,0)),0)*$AP1026,0)</f>
        <v>0.224011010120888</v>
      </c>
      <c r="AV1026" s="153" t="n">
        <f aca="false">IFERROR(IF($N1026="VCA",INDEX(APOIO_REDES!$A:$W,MATCH($C1026&amp;$I1026&amp;$H1026&amp;$N1026&amp;$O1026,APOIO_REDES!$W:$W,0),MATCH(AV$5,APOIO_REDES!$5:$5,0)),0)*$AP1026,0)</f>
        <v>0.0310013652453519</v>
      </c>
      <c r="AW1026" s="153" t="n">
        <f aca="false">IFERROR(IF($N1026="VCA",INDEX(APOIO_REDES!$A:$W,MATCH($C1026&amp;$I1026&amp;$H1026&amp;$N1026&amp;$O1026,APOIO_REDES!$W:$W,0),MATCH(AW$5,APOIO_REDES!$5:$5,0)),0)*$AP1026,0)</f>
        <v>17.696861607522</v>
      </c>
      <c r="AX1026" s="153" t="n">
        <f aca="false">IFERROR(IF($N1026="VCA",INDEX(APOIO_REDES!$A:$W,MATCH($C1026&amp;$I1026&amp;$H1026&amp;$N1026&amp;$O1026,APOIO_REDES!$W:$W,0),MATCH(AX$5,APOIO_REDES!$5:$5,0)),0)*$AP1026,0)</f>
        <v>2.44919523601654</v>
      </c>
      <c r="AY1026" s="153" t="n">
        <f aca="false">IFERROR(IF($N1026="VCA",INDEX(APOIO_REDES!$A:$W,MATCH($C1026&amp;$I1026&amp;$H1026&amp;$N1026&amp;$O1026,APOIO_REDES!$W:$W,0),MATCH(AY$5,APOIO_REDES!$5:$5,0)),0)*$AP1026,0)</f>
        <v>4.4802174717417</v>
      </c>
      <c r="AZ1026" s="153" t="n">
        <f aca="false">IFERROR(IF($N1026="VCA",INDEX(APOIO_REDES!$A:$W,MATCH($C1026&amp;$I1026&amp;$H1026&amp;$N1026&amp;$O1026,APOIO_REDES!$W:$W,0),MATCH(AZ$5,APOIO_REDES!$5:$5,0)),0)*$AP1026,0)</f>
        <v>0.620049150315472</v>
      </c>
      <c r="BA1026" s="153" t="n">
        <f aca="false">IFERROR(IF(AND($N1026="VCA",$Q1026="LINEAR"),INDEX(APOIO_REDES!$A:$W,MATCH($C1026&amp;$I1026&amp;$H1026&amp;$N1026&amp;$O1026,APOIO_REDES!$W:$W,0),MATCH(BA$5,APOIO_REDES!$5:$5,0)),IF(AND($N1026="MND",$Q1026="EMBOQUE"),INDEX(APOIO_REDES!$A:$W,MATCH($C1026&amp;$I1026&amp;$H1026&amp;$N1026&amp;$O1026,APOIO_REDES!$W:$W,0),MATCH(BA$5,APOIO_REDES!$5:$5,0)),0))*$M1026/10,0)</f>
        <v>1.96496650339504</v>
      </c>
      <c r="BB1026" s="153" t="n">
        <f aca="false">IFERROR(IF($N1026="VCA",INDEX(APOIO_REDES!$A:$W,MATCH($C1026&amp;$I1026&amp;$H1026&amp;$N1026&amp;$O1026,APOIO_REDES!$W:$W,0),MATCH(BB$5,APOIO_REDES!$5:$5,0)),0)*($AI1026+$AQ1026+$AR1026),0)</f>
        <v>9.22388743183729</v>
      </c>
      <c r="BC1026" s="153" t="n">
        <f aca="false">IFERROR(IF($N1026="VCA",INDEX(APOIO_REDES!$A:$W,MATCH($C1026&amp;$I1026&amp;$H1026&amp;$N1026&amp;$O1026,APOIO_REDES!$W:$W,0),MATCH(BC$5,APOIO_REDES!$5:$5,0)),0)*($AI1026+$AQ1026+$AR1026),0)</f>
        <v>0.101462568162708</v>
      </c>
      <c r="BD1026" s="153" t="n">
        <f aca="false">IF(AND($N1026="VCA",$AF1026&gt;=1.25,$AF1026&lt;1.5),$M1026*$AF1026*2,0)</f>
        <v>68.7516</v>
      </c>
      <c r="BE1026" s="153" t="n">
        <f aca="false">IF(AND($N1026="VCA",$AF1026&gt;=1.5,$AF1026&lt;3),$M1026*$AF1026*2,0)</f>
        <v>0</v>
      </c>
      <c r="BF1026" s="153" t="n">
        <f aca="false">IF(AND($N1026="VCA",$AF1026&gt;=3),$M1026*$AF1026*2,0)</f>
        <v>0</v>
      </c>
      <c r="BG1026" s="153" t="n">
        <f aca="false">($BB1026+$BC1026)*$AK1026</f>
        <v>48.49182</v>
      </c>
      <c r="BH1026" s="153" t="n">
        <f aca="false">IF(AND($M1026&lt;&gt;"",$N1026="VCA",$Q1026="LINEAR"),($M1026*2)/100,IF(AND($M1026&lt;&gt;"",$N1026="MND",$Q1026="EMBOQUE"),($AN1026*2)/100,0))</f>
        <v>0.4876</v>
      </c>
      <c r="BI1026" s="153" t="n">
        <f aca="false">IF(AND($M1026&lt;&gt;"",$N1026="VCA",$Q1026="LINEAR"),$M1026,IF(AND($M1026&lt;&gt;"",$N1026="MND",$Q1026="EMBOQUE"),$AN1026*2,0))</f>
        <v>24.38</v>
      </c>
      <c r="BJ1026" s="153" t="n">
        <f aca="false">IF(AND($M1026&lt;&gt;"",$N1026="VCA",$Q1026="LINEAR"),($M1026*6.8)/100,IF(AND($M1026&lt;&gt;"",$N1026="MND",$Q1026="EMBOQUE"),($AN1026*2*6.8)/100,0))</f>
        <v>1.65784</v>
      </c>
      <c r="BK1026" s="153" t="n">
        <f aca="false">IF(AND($M1026&lt;&gt;"",$N1026="VCA",$Q1026="LINEAR"),($M1026*2.5)/50,IF(AND($M1026&lt;&gt;"",$N1026="MND",$Q1026="EMBOQUE"),($AN1026*2*2.5)/50,0))</f>
        <v>1.219</v>
      </c>
      <c r="BL1026" s="157" t="str">
        <f aca="false">K1026&amp;J1026</f>
        <v>Zona09REDES</v>
      </c>
      <c r="BM1026" s="152" t="s">
        <v>5109</v>
      </c>
      <c r="BN1026" s="152" t="s">
        <v>1560</v>
      </c>
      <c r="BO1026" s="152" t="s">
        <v>5413</v>
      </c>
      <c r="BP1026" s="152" t="s">
        <v>5438</v>
      </c>
      <c r="BQ1026" s="152" t="s">
        <v>5430</v>
      </c>
      <c r="BR1026" s="152" t="s">
        <v>5439</v>
      </c>
      <c r="BS1026" s="152" t="n">
        <v>202937.301</v>
      </c>
      <c r="BT1026" s="152" t="n">
        <v>8236485.563</v>
      </c>
      <c r="BU1026" s="152" t="n">
        <v>202932.978</v>
      </c>
      <c r="BV1026" s="152" t="n">
        <v>8236509.548</v>
      </c>
      <c r="BW1026" s="152" t="n">
        <v>-15.9330226</v>
      </c>
      <c r="BX1026" s="152" t="n">
        <v>-47.7746743</v>
      </c>
      <c r="BY1026" s="152" t="s">
        <v>5438</v>
      </c>
    </row>
    <row r="1027" customFormat="false" ht="13.8" hidden="false" customHeight="false" outlineLevel="0" collapsed="false">
      <c r="A1027" s="149" t="n">
        <f aca="false">IF(C1027&lt;&gt;"",ROW(A1022),"")</f>
        <v>1022</v>
      </c>
      <c r="B1027" s="150" t="str">
        <f aca="false">HYPERLINK("https://www.google.com/maps/dir/-15.917302,-47.760003/-15.9331100,-47.7778625/data=!4m3!4m2!3e0!5i2")</f>
        <v>https://www.google.com/maps/dir/-15.917302,-47.760003/-15.9331100,-47.7778625/data=!4m3!4m2!3e0!5i2</v>
      </c>
      <c r="C1027" s="151" t="s">
        <v>117</v>
      </c>
      <c r="D1027" s="152" t="s">
        <v>112</v>
      </c>
      <c r="E1027" s="152" t="s">
        <v>113</v>
      </c>
      <c r="F1027" s="152" t="s">
        <v>117</v>
      </c>
      <c r="G1027" s="152" t="s">
        <v>782</v>
      </c>
      <c r="H1027" s="152" t="n">
        <v>63</v>
      </c>
      <c r="I1027" s="152" t="s">
        <v>115</v>
      </c>
      <c r="J1027" s="152" t="s">
        <v>6</v>
      </c>
      <c r="K1027" s="152" t="s">
        <v>5106</v>
      </c>
      <c r="L1027" s="152" t="s">
        <v>120</v>
      </c>
      <c r="M1027" s="153" t="n">
        <f aca="false">345.1</f>
        <v>345.1</v>
      </c>
      <c r="N1027" s="152" t="s">
        <v>1548</v>
      </c>
      <c r="O1027" s="152" t="s">
        <v>1549</v>
      </c>
      <c r="P1027" s="152" t="s">
        <v>1550</v>
      </c>
      <c r="Q1027" s="152" t="s">
        <v>1551</v>
      </c>
      <c r="R1027" s="154" t="s">
        <v>5440</v>
      </c>
      <c r="S1027" s="154" t="s">
        <v>1553</v>
      </c>
      <c r="T1027" s="155" t="s">
        <v>5411</v>
      </c>
      <c r="U1027" s="152" t="str">
        <f aca="false">RIGHT(T1027,7)</f>
        <v>017/037</v>
      </c>
      <c r="V1027" s="152" t="s">
        <v>1555</v>
      </c>
      <c r="W1027" s="156" t="n">
        <v>45882</v>
      </c>
      <c r="X1027" s="152" t="s">
        <v>1594</v>
      </c>
      <c r="Y1027" s="152" t="s">
        <v>5417</v>
      </c>
      <c r="Z1027" s="152" t="s">
        <v>1557</v>
      </c>
      <c r="AA1027" s="153" t="n">
        <v>5.6</v>
      </c>
      <c r="AB1027" s="151" t="s">
        <v>5441</v>
      </c>
      <c r="AC1027" s="151" t="s">
        <v>186</v>
      </c>
      <c r="AD1027" s="151" t="str">
        <f aca="false">CONCATENATE($C1027,$I1027,$H1027,$N1027,$J1027,$K1027)</f>
        <v>TUBO PEADPEAD63VCAREDESZona09</v>
      </c>
      <c r="AE1027" s="153" t="n">
        <f aca="false">IFERROR(INDEX(APOIO_REDES!$A:$W,MATCH($C1027&amp;$I1027&amp;$H1027&amp;$N1027&amp;$O1027,APOIO_REDES!$W:$W,0),MATCH(AE$5,APOIO_REDES!$5:$5,0)),0)</f>
        <v>1.2</v>
      </c>
      <c r="AF1027" s="153" t="n">
        <f aca="false">IFERROR(INDEX(APOIO_REDES!$A:$W,MATCH($C1027&amp;$I1027&amp;$H1027&amp;$N1027&amp;$O1027,APOIO_REDES!$W:$W,0),MATCH(AF$5,APOIO_REDES!$5:$5,0)),0)</f>
        <v>1.363</v>
      </c>
      <c r="AG1027" s="153" t="n">
        <f aca="false">IFERROR(INDEX(APOIO_REDES!$A:$W,MATCH($C1027&amp;$I1027&amp;$H1027&amp;$N1027&amp;$O1027,APOIO_REDES!$W:$W,0),MATCH(AG$5,APOIO_REDES!$5:$5,0)),0)</f>
        <v>0.65</v>
      </c>
      <c r="AH1027" s="153" t="n">
        <f aca="false">IFERROR(INDEX(APOIO_REDES!$A:$W,MATCH($C1027&amp;$I1027&amp;$H1027&amp;$N1027&amp;$O1027,APOIO_REDES!$W:$W,0),MATCH(AH$5,APOIO_REDES!$5:$5,0)),0)</f>
        <v>0.1</v>
      </c>
      <c r="AI1027" s="153" t="n">
        <f aca="false">IFERROR(IF($H1027&lt;&gt;"",(((($H1027/1000)/2)^2)*PI()*$M1027),0),0)</f>
        <v>1.075761356662</v>
      </c>
      <c r="AJ1027" s="153" t="n">
        <f aca="false">IFERROR(IF(AND($H1027&lt;&gt;"",$I1027="FoFo",OR($N1027="MND",$N1027="VCA"),$Q1027="LINEAR"),0,IF(AND($H1027&lt;&gt;"",$I1027="PEAD",$N1027="VCA",$Q1027="LINEAR"),($H1027/1000)+0.3,IF(AND($H1027&lt;&gt;"",$I1027="PEAD",$N1027="MND",$Q1027="EMBOQUE"),0,IF(AND($H1027&lt;&gt;"",$I1027="PVC",$N1027="VCA",$Q1027="LINEAR"),($H1027/1000)+0.2,IF(AND($H1027&lt;&gt;"",$I1027="PVC",$N1027="MND",$Q1027="EMBOQUE"),0,IF(AND($H1027&lt;&gt;"",$I1027="PEAD",$N1027="VCA",$Q1027="PREDIAL"),0,0)))))),0)</f>
        <v>0.363</v>
      </c>
      <c r="AK1027" s="153" t="n">
        <f aca="false">IF(AA1027&lt;&gt;"",AA1027,0)</f>
        <v>5.6</v>
      </c>
      <c r="AL1027" s="153" t="n">
        <f aca="false">IF(AND($N1027="MND",$Q1027="EMBOQUE"),$M1027,IF(AND($N1027="VCA",$Q1027="LINEAR"),$M1027,IF(AND($N1027="VCA",$Q1027="PREDIAL"),0,0)))</f>
        <v>345.1</v>
      </c>
      <c r="AM1027" s="153" t="n">
        <f aca="false">IF(AND($N1027="MND",$Q1027="EMBOQUE"),$M1027,IF(AND($N1027="VCA",$Q1027="LINEAR"),$M1027,IF(AND($N1027="VCA",$Q1027="PREDIAL"),0,0)))</f>
        <v>345.1</v>
      </c>
      <c r="AN1027" s="153" t="n">
        <f aca="false">ROUND(IF(AND($N1027="VCA",$M1027&lt;&gt;"",$Q1027="LINEAR"),$M1027/100,IF(AND($N1027="MND",$M1027&gt;100,$Q1027="EMBOQUE"),$M1027/100,0)),0)</f>
        <v>3</v>
      </c>
      <c r="AO1027" s="153" t="n">
        <f aca="false">IF(AND($N1027="MND",$Q1027="EMBOQUE"),$AN1027*2*2,IF(AND($N1027="VCA",$Q1027="LINEAR"),$M1027*2,IF(AND($N1027="VCA",$Q1027="PREDIAL"),0,0)))</f>
        <v>690.2</v>
      </c>
      <c r="AP1027" s="153" t="n">
        <f aca="false">IFERROR($M1027*$AF1027*$AG1027,0)</f>
        <v>305.741345</v>
      </c>
      <c r="AQ1027" s="153" t="n">
        <f aca="false">IFERROR(IF(AND($N1027="VCA",$AH1027&gt;0),$M1027*$AG1027*$AH1027,0),0)</f>
        <v>22.4315</v>
      </c>
      <c r="AR1027" s="153" t="n">
        <f aca="false">IFERROR(IF(AND($N1027="VCA",$AJ1027&gt;0),($M1027*$AG1027*$AJ1027)-$AI1027,0),0)</f>
        <v>80.350583643338</v>
      </c>
      <c r="AS1027" s="153" t="n">
        <f aca="false">IFERROR(IF(AND($N1027="VCA",$AP1027&gt;0),$AP1027-$AI1027-$AQ1027-$AR1027,0),0)</f>
        <v>201.8835</v>
      </c>
      <c r="AT1027" s="153" t="n">
        <f aca="false">IFERROR(IF($N1027="VCA",INDEX(APOIO_REDES!$A:$W,MATCH($C1027&amp;$I1027&amp;$H1027&amp;$N1027&amp;$O1027,APOIO_REDES!$W:$W,0),MATCH(AT$5,APOIO_REDES!$5:$5,0)),0)*$AP1027,0)</f>
        <v>3.32655632841882</v>
      </c>
      <c r="AU1027" s="153" t="n">
        <f aca="false">IFERROR(IF($N1027="VCA",INDEX(APOIO_REDES!$A:$W,MATCH($C1027&amp;$I1027&amp;$H1027&amp;$N1027&amp;$O1027,APOIO_REDES!$W:$W,0),MATCH(AU$5,APOIO_REDES!$5:$5,0)),0)*$AP1027,0)</f>
        <v>2.65649778930406</v>
      </c>
      <c r="AV1027" s="153" t="n">
        <f aca="false">IFERROR(IF($N1027="VCA",INDEX(APOIO_REDES!$A:$W,MATCH($C1027&amp;$I1027&amp;$H1027&amp;$N1027&amp;$O1027,APOIO_REDES!$W:$W,0),MATCH(AV$5,APOIO_REDES!$5:$5,0)),0)*$AP1027,0)</f>
        <v>0.367638439714378</v>
      </c>
      <c r="AW1027" s="153" t="n">
        <f aca="false">IFERROR(IF($N1027="VCA",INDEX(APOIO_REDES!$A:$W,MATCH($C1027&amp;$I1027&amp;$H1027&amp;$N1027&amp;$O1027,APOIO_REDES!$W:$W,0),MATCH(AW$5,APOIO_REDES!$5:$5,0)),0)*$AP1027,0)</f>
        <v>209.863228207543</v>
      </c>
      <c r="AX1027" s="153" t="n">
        <f aca="false">IFERROR(IF($N1027="VCA",INDEX(APOIO_REDES!$A:$W,MATCH($C1027&amp;$I1027&amp;$H1027&amp;$N1027&amp;$O1027,APOIO_REDES!$W:$W,0),MATCH(AX$5,APOIO_REDES!$5:$5,0)),0)*$AP1027,0)</f>
        <v>29.0444729772025</v>
      </c>
      <c r="AY1027" s="153" t="n">
        <f aca="false">IFERROR(IF($N1027="VCA",INDEX(APOIO_REDES!$A:$W,MATCH($C1027&amp;$I1027&amp;$H1027&amp;$N1027&amp;$O1027,APOIO_REDES!$W:$W,0),MATCH(AY$5,APOIO_REDES!$5:$5,0)),0)*$AP1027,0)</f>
        <v>53.1299234035885</v>
      </c>
      <c r="AZ1027" s="153" t="n">
        <f aca="false">IFERROR(IF($N1027="VCA",INDEX(APOIO_REDES!$A:$W,MATCH($C1027&amp;$I1027&amp;$H1027&amp;$N1027&amp;$O1027,APOIO_REDES!$W:$W,0),MATCH(AZ$5,APOIO_REDES!$5:$5,0)),0)*$AP1027,0)</f>
        <v>7.35302785422922</v>
      </c>
      <c r="BA1027" s="153" t="n">
        <f aca="false">IFERROR(IF(AND($N1027="VCA",$Q1027="LINEAR"),INDEX(APOIO_REDES!$A:$W,MATCH($C1027&amp;$I1027&amp;$H1027&amp;$N1027&amp;$O1027,APOIO_REDES!$W:$W,0),MATCH(BA$5,APOIO_REDES!$5:$5,0)),IF(AND($N1027="MND",$Q1027="EMBOQUE"),INDEX(APOIO_REDES!$A:$W,MATCH($C1027&amp;$I1027&amp;$H1027&amp;$N1027&amp;$O1027,APOIO_REDES!$W:$W,0),MATCH(BA$5,APOIO_REDES!$5:$5,0)),0))*$M1027/10,0)</f>
        <v>27.8141895127822</v>
      </c>
      <c r="BB1027" s="153" t="n">
        <f aca="false">IFERROR(IF($N1027="VCA",INDEX(APOIO_REDES!$A:$W,MATCH($C1027&amp;$I1027&amp;$H1027&amp;$N1027&amp;$O1027,APOIO_REDES!$W:$W,0),MATCH(BB$5,APOIO_REDES!$5:$5,0)),0)*($AI1027+$AQ1027+$AR1027),0)</f>
        <v>102.727840906047</v>
      </c>
      <c r="BC1027" s="153" t="n">
        <f aca="false">IFERROR(IF($N1027="VCA",INDEX(APOIO_REDES!$A:$W,MATCH($C1027&amp;$I1027&amp;$H1027&amp;$N1027&amp;$O1027,APOIO_REDES!$W:$W,0),MATCH(BC$5,APOIO_REDES!$5:$5,0)),0)*($AI1027+$AQ1027+$AR1027),0)</f>
        <v>1.13000409395298</v>
      </c>
      <c r="BD1027" s="153" t="n">
        <f aca="false">IF(AND($N1027="VCA",$AF1027&gt;=1.25,$AF1027&lt;1.5),$M1027*$AF1027*2,0)</f>
        <v>940.7426</v>
      </c>
      <c r="BE1027" s="153" t="n">
        <f aca="false">IF(AND($N1027="VCA",$AF1027&gt;=1.5,$AF1027&lt;3),$M1027*$AF1027*2,0)</f>
        <v>0</v>
      </c>
      <c r="BF1027" s="153" t="n">
        <f aca="false">IF(AND($N1027="VCA",$AF1027&gt;=3),$M1027*$AF1027*2,0)</f>
        <v>0</v>
      </c>
      <c r="BG1027" s="153" t="n">
        <f aca="false">($BB1027+$BC1027)*$AK1027</f>
        <v>581.603932</v>
      </c>
      <c r="BH1027" s="153" t="n">
        <f aca="false">IF(AND($M1027&lt;&gt;"",$N1027="VCA",$Q1027="LINEAR"),($M1027*2)/100,IF(AND($M1027&lt;&gt;"",$N1027="MND",$Q1027="EMBOQUE"),($AN1027*2)/100,0))</f>
        <v>6.902</v>
      </c>
      <c r="BI1027" s="153" t="n">
        <f aca="false">IF(AND($M1027&lt;&gt;"",$N1027="VCA",$Q1027="LINEAR"),$M1027,IF(AND($M1027&lt;&gt;"",$N1027="MND",$Q1027="EMBOQUE"),$AN1027*2,0))</f>
        <v>345.1</v>
      </c>
      <c r="BJ1027" s="153" t="n">
        <f aca="false">IF(AND($M1027&lt;&gt;"",$N1027="VCA",$Q1027="LINEAR"),($M1027*6.8)/100,IF(AND($M1027&lt;&gt;"",$N1027="MND",$Q1027="EMBOQUE"),($AN1027*2*6.8)/100,0))</f>
        <v>23.4668</v>
      </c>
      <c r="BK1027" s="153" t="n">
        <f aca="false">IF(AND($M1027&lt;&gt;"",$N1027="VCA",$Q1027="LINEAR"),($M1027*2.5)/50,IF(AND($M1027&lt;&gt;"",$N1027="MND",$Q1027="EMBOQUE"),($AN1027*2*2.5)/50,0))</f>
        <v>17.255</v>
      </c>
      <c r="BL1027" s="157" t="str">
        <f aca="false">K1027&amp;J1027</f>
        <v>Zona09REDES</v>
      </c>
      <c r="BM1027" s="152" t="s">
        <v>5109</v>
      </c>
      <c r="BN1027" s="152" t="s">
        <v>1560</v>
      </c>
      <c r="BO1027" s="152" t="s">
        <v>5413</v>
      </c>
      <c r="BP1027" s="152" t="s">
        <v>5420</v>
      </c>
      <c r="BQ1027" s="152" t="s">
        <v>5438</v>
      </c>
      <c r="BR1027" s="152" t="s">
        <v>5442</v>
      </c>
      <c r="BS1027" s="152" t="n">
        <v>202593.823</v>
      </c>
      <c r="BT1027" s="152" t="n">
        <v>8236482.588</v>
      </c>
      <c r="BU1027" s="152" t="n">
        <v>202937.301</v>
      </c>
      <c r="BV1027" s="152" t="n">
        <v>8236485.563</v>
      </c>
      <c r="BW1027" s="152" t="n">
        <v>-15.9331757</v>
      </c>
      <c r="BX1027" s="152" t="n">
        <v>-47.7762532</v>
      </c>
      <c r="BY1027" s="152" t="s">
        <v>5420</v>
      </c>
    </row>
    <row r="1028" customFormat="false" ht="13.8" hidden="false" customHeight="false" outlineLevel="0" collapsed="false">
      <c r="A1028" s="149" t="n">
        <f aca="false">IF(C1028&lt;&gt;"",ROW(A1023),"")</f>
        <v>1023</v>
      </c>
      <c r="B1028" s="150" t="str">
        <f aca="false">HYPERLINK("https://www.google.com/maps/dir/-15.917302,-47.760003/-15.9331313,-47.7746567/data=!4m3!4m2!3e0!5i2")</f>
        <v>https://www.google.com/maps/dir/-15.917302,-47.760003/-15.9331313,-47.7746567/data=!4m3!4m2!3e0!5i2</v>
      </c>
      <c r="C1028" s="151" t="s">
        <v>117</v>
      </c>
      <c r="D1028" s="152" t="s">
        <v>112</v>
      </c>
      <c r="E1028" s="152" t="s">
        <v>113</v>
      </c>
      <c r="F1028" s="152" t="s">
        <v>117</v>
      </c>
      <c r="G1028" s="152" t="s">
        <v>782</v>
      </c>
      <c r="H1028" s="152" t="n">
        <v>110</v>
      </c>
      <c r="I1028" s="152" t="s">
        <v>115</v>
      </c>
      <c r="J1028" s="152" t="s">
        <v>6</v>
      </c>
      <c r="K1028" s="152" t="s">
        <v>5106</v>
      </c>
      <c r="L1028" s="152" t="s">
        <v>120</v>
      </c>
      <c r="M1028" s="153" t="n">
        <f aca="false">62.14</f>
        <v>62.14</v>
      </c>
      <c r="N1028" s="152" t="s">
        <v>1548</v>
      </c>
      <c r="O1028" s="152" t="s">
        <v>1549</v>
      </c>
      <c r="P1028" s="152" t="s">
        <v>1550</v>
      </c>
      <c r="Q1028" s="152" t="s">
        <v>1551</v>
      </c>
      <c r="R1028" s="154" t="s">
        <v>5443</v>
      </c>
      <c r="S1028" s="154" t="s">
        <v>1593</v>
      </c>
      <c r="T1028" s="155" t="s">
        <v>5411</v>
      </c>
      <c r="U1028" s="152" t="str">
        <f aca="false">RIGHT(T1028,7)</f>
        <v>017/037</v>
      </c>
      <c r="V1028" s="152" t="s">
        <v>1555</v>
      </c>
      <c r="W1028" s="156" t="n">
        <v>45882</v>
      </c>
      <c r="X1028" s="152" t="s">
        <v>1594</v>
      </c>
      <c r="Y1028" s="152"/>
      <c r="Z1028" s="152" t="s">
        <v>1557</v>
      </c>
      <c r="AA1028" s="153" t="n">
        <v>5.2</v>
      </c>
      <c r="AB1028" s="151" t="s">
        <v>5444</v>
      </c>
      <c r="AC1028" s="151" t="s">
        <v>502</v>
      </c>
      <c r="AD1028" s="151" t="str">
        <f aca="false">CONCATENATE($C1028,$I1028,$H1028,$N1028,$J1028,$K1028)</f>
        <v>TUBO PEADPEAD110VCAREDESZona09</v>
      </c>
      <c r="AE1028" s="153" t="n">
        <f aca="false">IFERROR(INDEX(APOIO_REDES!$A:$W,MATCH($C1028&amp;$I1028&amp;$H1028&amp;$N1028&amp;$O1028,APOIO_REDES!$W:$W,0),MATCH(AE$5,APOIO_REDES!$5:$5,0)),0)</f>
        <v>1.2</v>
      </c>
      <c r="AF1028" s="153" t="n">
        <f aca="false">IFERROR(INDEX(APOIO_REDES!$A:$W,MATCH($C1028&amp;$I1028&amp;$H1028&amp;$N1028&amp;$O1028,APOIO_REDES!$W:$W,0),MATCH(AF$5,APOIO_REDES!$5:$5,0)),0)</f>
        <v>1.41</v>
      </c>
      <c r="AG1028" s="153" t="n">
        <f aca="false">IFERROR(INDEX(APOIO_REDES!$A:$W,MATCH($C1028&amp;$I1028&amp;$H1028&amp;$N1028&amp;$O1028,APOIO_REDES!$W:$W,0),MATCH(AG$5,APOIO_REDES!$5:$5,0)),0)</f>
        <v>0.75</v>
      </c>
      <c r="AH1028" s="153" t="n">
        <f aca="false">IFERROR(INDEX(APOIO_REDES!$A:$W,MATCH($C1028&amp;$I1028&amp;$H1028&amp;$N1028&amp;$O1028,APOIO_REDES!$W:$W,0),MATCH(AH$5,APOIO_REDES!$5:$5,0)),0)</f>
        <v>0.1</v>
      </c>
      <c r="AI1028" s="153" t="n">
        <f aca="false">IFERROR(IF($H1028&lt;&gt;"",(((($H1028/1000)/2)^2)*PI()*$M1028),0),0)</f>
        <v>0.590536166669561</v>
      </c>
      <c r="AJ1028" s="153" t="n">
        <f aca="false">IFERROR(IF(AND($H1028&lt;&gt;"",$I1028="FoFo",OR($N1028="MND",$N1028="VCA"),$Q1028="LINEAR"),0,IF(AND($H1028&lt;&gt;"",$I1028="PEAD",$N1028="VCA",$Q1028="LINEAR"),($H1028/1000)+0.3,IF(AND($H1028&lt;&gt;"",$I1028="PEAD",$N1028="MND",$Q1028="EMBOQUE"),0,IF(AND($H1028&lt;&gt;"",$I1028="PVC",$N1028="VCA",$Q1028="LINEAR"),($H1028/1000)+0.2,IF(AND($H1028&lt;&gt;"",$I1028="PVC",$N1028="MND",$Q1028="EMBOQUE"),0,IF(AND($H1028&lt;&gt;"",$I1028="PEAD",$N1028="VCA",$Q1028="PREDIAL"),0,0)))))),0)</f>
        <v>0.41</v>
      </c>
      <c r="AK1028" s="153" t="n">
        <f aca="false">IF(AA1028&lt;&gt;"",AA1028,0)</f>
        <v>5.2</v>
      </c>
      <c r="AL1028" s="153" t="n">
        <f aca="false">IF(AND($N1028="MND",$Q1028="EMBOQUE"),$M1028,IF(AND($N1028="VCA",$Q1028="LINEAR"),$M1028,IF(AND($N1028="VCA",$Q1028="PREDIAL"),0,0)))</f>
        <v>62.14</v>
      </c>
      <c r="AM1028" s="153" t="n">
        <f aca="false">IF(AND($N1028="MND",$Q1028="EMBOQUE"),$M1028,IF(AND($N1028="VCA",$Q1028="LINEAR"),$M1028,IF(AND($N1028="VCA",$Q1028="PREDIAL"),0,0)))</f>
        <v>62.14</v>
      </c>
      <c r="AN1028" s="153" t="n">
        <f aca="false">ROUND(IF(AND($N1028="VCA",$M1028&lt;&gt;"",$Q1028="LINEAR"),$M1028/100,IF(AND($N1028="MND",$M1028&gt;100,$Q1028="EMBOQUE"),$M1028/100,0)),0)</f>
        <v>1</v>
      </c>
      <c r="AO1028" s="153" t="n">
        <f aca="false">IF(AND($N1028="MND",$Q1028="EMBOQUE"),$AN1028*2*2,IF(AND($N1028="VCA",$Q1028="LINEAR"),$M1028*2,IF(AND($N1028="VCA",$Q1028="PREDIAL"),0,0)))</f>
        <v>124.28</v>
      </c>
      <c r="AP1028" s="153" t="n">
        <f aca="false">IFERROR($M1028*$AF1028*$AG1028,0)</f>
        <v>65.71305</v>
      </c>
      <c r="AQ1028" s="153" t="n">
        <f aca="false">IFERROR(IF(AND($N1028="VCA",$AH1028&gt;0),$M1028*$AG1028*$AH1028,0),0)</f>
        <v>4.6605</v>
      </c>
      <c r="AR1028" s="153" t="n">
        <f aca="false">IFERROR(IF(AND($N1028="VCA",$AJ1028&gt;0),($M1028*$AG1028*$AJ1028)-$AI1028,0),0)</f>
        <v>18.5175138333304</v>
      </c>
      <c r="AS1028" s="153" t="n">
        <f aca="false">IFERROR(IF(AND($N1028="VCA",$AP1028&gt;0),$AP1028-$AI1028-$AQ1028-$AR1028,0),0)</f>
        <v>41.9445</v>
      </c>
      <c r="AT1028" s="153" t="n">
        <f aca="false">IFERROR(IF($N1028="VCA",INDEX(APOIO_REDES!$A:$W,MATCH($C1028&amp;$I1028&amp;$H1028&amp;$N1028&amp;$O1028,APOIO_REDES!$W:$W,0),MATCH(AT$5,APOIO_REDES!$5:$5,0)),0)*$AP1028,0)</f>
        <v>0.714977434069974</v>
      </c>
      <c r="AU1028" s="153" t="n">
        <f aca="false">IFERROR(IF($N1028="VCA",INDEX(APOIO_REDES!$A:$W,MATCH($C1028&amp;$I1028&amp;$H1028&amp;$N1028&amp;$O1028,APOIO_REDES!$W:$W,0),MATCH(AU$5,APOIO_REDES!$5:$5,0)),0)*$AP1028,0)</f>
        <v>0.570961614803608</v>
      </c>
      <c r="AV1028" s="153" t="n">
        <f aca="false">IFERROR(IF($N1028="VCA",INDEX(APOIO_REDES!$A:$W,MATCH($C1028&amp;$I1028&amp;$H1028&amp;$N1028&amp;$O1028,APOIO_REDES!$W:$W,0),MATCH(AV$5,APOIO_REDES!$5:$5,0)),0)*$AP1028,0)</f>
        <v>0.0790166052644038</v>
      </c>
      <c r="AW1028" s="153" t="n">
        <f aca="false">IFERROR(IF($N1028="VCA",INDEX(APOIO_REDES!$A:$W,MATCH($C1028&amp;$I1028&amp;$H1028&amp;$N1028&amp;$O1028,APOIO_REDES!$W:$W,0),MATCH(AW$5,APOIO_REDES!$5:$5,0)),0)*$AP1028,0)</f>
        <v>45.1059466895577</v>
      </c>
      <c r="AX1028" s="153" t="n">
        <f aca="false">IFERROR(IF($N1028="VCA",INDEX(APOIO_REDES!$A:$W,MATCH($C1028&amp;$I1028&amp;$H1028&amp;$N1028&amp;$O1028,APOIO_REDES!$W:$W,0),MATCH(AX$5,APOIO_REDES!$5:$5,0)),0)*$AP1028,0)</f>
        <v>6.24253453511352</v>
      </c>
      <c r="AY1028" s="153" t="n">
        <f aca="false">IFERROR(IF($N1028="VCA",INDEX(APOIO_REDES!$A:$W,MATCH($C1028&amp;$I1028&amp;$H1028&amp;$N1028&amp;$O1028,APOIO_REDES!$W:$W,0),MATCH(AY$5,APOIO_REDES!$5:$5,0)),0)*$AP1028,0)</f>
        <v>11.4192253360964</v>
      </c>
      <c r="AZ1028" s="153" t="n">
        <f aca="false">IFERROR(IF($N1028="VCA",INDEX(APOIO_REDES!$A:$W,MATCH($C1028&amp;$I1028&amp;$H1028&amp;$N1028&amp;$O1028,APOIO_REDES!$W:$W,0),MATCH(AZ$5,APOIO_REDES!$5:$5,0)),0)*$AP1028,0)</f>
        <v>1.58038778509448</v>
      </c>
      <c r="BA1028" s="153" t="n">
        <f aca="false">IFERROR(IF(AND($N1028="VCA",$Q1028="LINEAR"),INDEX(APOIO_REDES!$A:$W,MATCH($C1028&amp;$I1028&amp;$H1028&amp;$N1028&amp;$O1028,APOIO_REDES!$W:$W,0),MATCH(BA$5,APOIO_REDES!$5:$5,0)),IF(AND($N1028="MND",$Q1028="EMBOQUE"),INDEX(APOIO_REDES!$A:$W,MATCH($C1028&amp;$I1028&amp;$H1028&amp;$N1028&amp;$O1028,APOIO_REDES!$W:$W,0),MATCH(BA$5,APOIO_REDES!$5:$5,0)),0))*$M1028/10,0)</f>
        <v>5.00832725680755</v>
      </c>
      <c r="BB1028" s="153" t="n">
        <f aca="false">IFERROR(IF($N1028="VCA",INDEX(APOIO_REDES!$A:$W,MATCH($C1028&amp;$I1028&amp;$H1028&amp;$N1028&amp;$O1028,APOIO_REDES!$W:$W,0),MATCH(BB$5,APOIO_REDES!$5:$5,0)),0)*($AI1028+$AQ1028+$AR1028),0)</f>
        <v>23.5099411408683</v>
      </c>
      <c r="BC1028" s="153" t="n">
        <f aca="false">IFERROR(IF($N1028="VCA",INDEX(APOIO_REDES!$A:$W,MATCH($C1028&amp;$I1028&amp;$H1028&amp;$N1028&amp;$O1028,APOIO_REDES!$W:$W,0),MATCH(BC$5,APOIO_REDES!$5:$5,0)),0)*($AI1028+$AQ1028+$AR1028),0)</f>
        <v>0.258608859131693</v>
      </c>
      <c r="BD1028" s="153" t="n">
        <f aca="false">IF(AND($N1028="VCA",$AF1028&gt;=1.25,$AF1028&lt;1.5),$M1028*$AF1028*2,0)</f>
        <v>175.2348</v>
      </c>
      <c r="BE1028" s="153" t="n">
        <f aca="false">IF(AND($N1028="VCA",$AF1028&gt;=1.5,$AF1028&lt;3),$M1028*$AF1028*2,0)</f>
        <v>0</v>
      </c>
      <c r="BF1028" s="153" t="n">
        <f aca="false">IF(AND($N1028="VCA",$AF1028&gt;=3),$M1028*$AF1028*2,0)</f>
        <v>0</v>
      </c>
      <c r="BG1028" s="153" t="n">
        <f aca="false">($BB1028+$BC1028)*$AK1028</f>
        <v>123.59646</v>
      </c>
      <c r="BH1028" s="153" t="n">
        <f aca="false">IF(AND($M1028&lt;&gt;"",$N1028="VCA",$Q1028="LINEAR"),($M1028*2)/100,IF(AND($M1028&lt;&gt;"",$N1028="MND",$Q1028="EMBOQUE"),($AN1028*2)/100,0))</f>
        <v>1.2428</v>
      </c>
      <c r="BI1028" s="153" t="n">
        <f aca="false">IF(AND($M1028&lt;&gt;"",$N1028="VCA",$Q1028="LINEAR"),$M1028,IF(AND($M1028&lt;&gt;"",$N1028="MND",$Q1028="EMBOQUE"),$AN1028*2,0))</f>
        <v>62.14</v>
      </c>
      <c r="BJ1028" s="153" t="n">
        <f aca="false">IF(AND($M1028&lt;&gt;"",$N1028="VCA",$Q1028="LINEAR"),($M1028*6.8)/100,IF(AND($M1028&lt;&gt;"",$N1028="MND",$Q1028="EMBOQUE"),($AN1028*2*6.8)/100,0))</f>
        <v>4.22552</v>
      </c>
      <c r="BK1028" s="153" t="n">
        <f aca="false">IF(AND($M1028&lt;&gt;"",$N1028="VCA",$Q1028="LINEAR"),($M1028*2.5)/50,IF(AND($M1028&lt;&gt;"",$N1028="MND",$Q1028="EMBOQUE"),($AN1028*2*2.5)/50,0))</f>
        <v>3.107</v>
      </c>
      <c r="BL1028" s="157" t="str">
        <f aca="false">K1028&amp;J1028</f>
        <v>Zona09REDES</v>
      </c>
      <c r="BM1028" s="152" t="s">
        <v>5109</v>
      </c>
      <c r="BN1028" s="152" t="s">
        <v>1560</v>
      </c>
      <c r="BO1028" s="152" t="s">
        <v>5413</v>
      </c>
      <c r="BP1028" s="152" t="s">
        <v>5438</v>
      </c>
      <c r="BQ1028" s="152" t="s">
        <v>5445</v>
      </c>
      <c r="BR1028" s="152" t="s">
        <v>5446</v>
      </c>
      <c r="BS1028" s="152" t="n">
        <v>202937.301</v>
      </c>
      <c r="BT1028" s="152" t="n">
        <v>8236485.563</v>
      </c>
      <c r="BU1028" s="152" t="n">
        <v>202949.572</v>
      </c>
      <c r="BV1028" s="152" t="n">
        <v>8236424.669</v>
      </c>
      <c r="BW1028" s="152" t="n">
        <v>-15.9334059</v>
      </c>
      <c r="BX1028" s="152" t="n">
        <v>-47.7745977</v>
      </c>
      <c r="BY1028" s="152" t="s">
        <v>5438</v>
      </c>
    </row>
    <row r="1029" customFormat="false" ht="13.8" hidden="false" customHeight="false" outlineLevel="0" collapsed="false">
      <c r="A1029" s="149" t="n">
        <f aca="false">IF(C1029&lt;&gt;"",ROW(A1024),"")</f>
        <v>1024</v>
      </c>
      <c r="B1029" s="150" t="str">
        <f aca="false">HYPERLINK("https://www.google.com/maps/dir/-15.917302,-47.760003/-15.9336398,-47.7756660/data=!4m3!4m2!3e0!5i2")</f>
        <v>https://www.google.com/maps/dir/-15.917302,-47.760003/-15.9336398,-47.7756660/data=!4m3!4m2!3e0!5i2</v>
      </c>
      <c r="C1029" s="151" t="s">
        <v>117</v>
      </c>
      <c r="D1029" s="152" t="s">
        <v>112</v>
      </c>
      <c r="E1029" s="152" t="s">
        <v>113</v>
      </c>
      <c r="F1029" s="152" t="s">
        <v>117</v>
      </c>
      <c r="G1029" s="152" t="s">
        <v>782</v>
      </c>
      <c r="H1029" s="152" t="n">
        <v>63</v>
      </c>
      <c r="I1029" s="152" t="s">
        <v>115</v>
      </c>
      <c r="J1029" s="152" t="s">
        <v>6</v>
      </c>
      <c r="K1029" s="152" t="s">
        <v>5106</v>
      </c>
      <c r="L1029" s="152" t="s">
        <v>120</v>
      </c>
      <c r="M1029" s="153" t="n">
        <f aca="false">119.71+4</f>
        <v>123.71</v>
      </c>
      <c r="N1029" s="152" t="s">
        <v>1548</v>
      </c>
      <c r="O1029" s="152" t="s">
        <v>1549</v>
      </c>
      <c r="P1029" s="152" t="s">
        <v>1550</v>
      </c>
      <c r="Q1029" s="152" t="s">
        <v>1551</v>
      </c>
      <c r="R1029" s="154" t="s">
        <v>5447</v>
      </c>
      <c r="S1029" s="154" t="s">
        <v>1553</v>
      </c>
      <c r="T1029" s="155" t="s">
        <v>5411</v>
      </c>
      <c r="U1029" s="152" t="str">
        <f aca="false">RIGHT(T1029,7)</f>
        <v>017/037</v>
      </c>
      <c r="V1029" s="152" t="s">
        <v>1555</v>
      </c>
      <c r="W1029" s="156" t="n">
        <v>45882</v>
      </c>
      <c r="X1029" s="152" t="s">
        <v>1594</v>
      </c>
      <c r="Y1029" s="152" t="s">
        <v>5417</v>
      </c>
      <c r="Z1029" s="152" t="s">
        <v>1557</v>
      </c>
      <c r="AA1029" s="153" t="n">
        <v>5.3</v>
      </c>
      <c r="AB1029" s="151" t="s">
        <v>5448</v>
      </c>
      <c r="AC1029" s="151" t="s">
        <v>186</v>
      </c>
      <c r="AD1029" s="151" t="str">
        <f aca="false">CONCATENATE($C1029,$I1029,$H1029,$N1029,$J1029,$K1029)</f>
        <v>TUBO PEADPEAD63VCAREDESZona09</v>
      </c>
      <c r="AE1029" s="153" t="n">
        <f aca="false">IFERROR(INDEX(APOIO_REDES!$A:$W,MATCH($C1029&amp;$I1029&amp;$H1029&amp;$N1029&amp;$O1029,APOIO_REDES!$W:$W,0),MATCH(AE$5,APOIO_REDES!$5:$5,0)),0)</f>
        <v>1.2</v>
      </c>
      <c r="AF1029" s="153" t="n">
        <f aca="false">IFERROR(INDEX(APOIO_REDES!$A:$W,MATCH($C1029&amp;$I1029&amp;$H1029&amp;$N1029&amp;$O1029,APOIO_REDES!$W:$W,0),MATCH(AF$5,APOIO_REDES!$5:$5,0)),0)</f>
        <v>1.363</v>
      </c>
      <c r="AG1029" s="153" t="n">
        <f aca="false">IFERROR(INDEX(APOIO_REDES!$A:$W,MATCH($C1029&amp;$I1029&amp;$H1029&amp;$N1029&amp;$O1029,APOIO_REDES!$W:$W,0),MATCH(AG$5,APOIO_REDES!$5:$5,0)),0)</f>
        <v>0.65</v>
      </c>
      <c r="AH1029" s="153" t="n">
        <f aca="false">IFERROR(INDEX(APOIO_REDES!$A:$W,MATCH($C1029&amp;$I1029&amp;$H1029&amp;$N1029&amp;$O1029,APOIO_REDES!$W:$W,0),MATCH(AH$5,APOIO_REDES!$5:$5,0)),0)</f>
        <v>0.1</v>
      </c>
      <c r="AI1029" s="153" t="n">
        <f aca="false">IFERROR(IF($H1029&lt;&gt;"",(((($H1029/1000)/2)^2)*PI()*$M1029),0),0)</f>
        <v>0.385634417364982</v>
      </c>
      <c r="AJ1029" s="153" t="n">
        <f aca="false">IFERROR(IF(AND($H1029&lt;&gt;"",$I1029="FoFo",OR($N1029="MND",$N1029="VCA"),$Q1029="LINEAR"),0,IF(AND($H1029&lt;&gt;"",$I1029="PEAD",$N1029="VCA",$Q1029="LINEAR"),($H1029/1000)+0.3,IF(AND($H1029&lt;&gt;"",$I1029="PEAD",$N1029="MND",$Q1029="EMBOQUE"),0,IF(AND($H1029&lt;&gt;"",$I1029="PVC",$N1029="VCA",$Q1029="LINEAR"),($H1029/1000)+0.2,IF(AND($H1029&lt;&gt;"",$I1029="PVC",$N1029="MND",$Q1029="EMBOQUE"),0,IF(AND($H1029&lt;&gt;"",$I1029="PEAD",$N1029="VCA",$Q1029="PREDIAL"),0,0)))))),0)</f>
        <v>0.363</v>
      </c>
      <c r="AK1029" s="153" t="n">
        <f aca="false">IF(AA1029&lt;&gt;"",AA1029,0)</f>
        <v>5.3</v>
      </c>
      <c r="AL1029" s="153" t="n">
        <f aca="false">IF(AND($N1029="MND",$Q1029="EMBOQUE"),$M1029,IF(AND($N1029="VCA",$Q1029="LINEAR"),$M1029,IF(AND($N1029="VCA",$Q1029="PREDIAL"),0,0)))</f>
        <v>123.71</v>
      </c>
      <c r="AM1029" s="153" t="n">
        <f aca="false">IF(AND($N1029="MND",$Q1029="EMBOQUE"),$M1029,IF(AND($N1029="VCA",$Q1029="LINEAR"),$M1029,IF(AND($N1029="VCA",$Q1029="PREDIAL"),0,0)))</f>
        <v>123.71</v>
      </c>
      <c r="AN1029" s="153" t="n">
        <f aca="false">ROUND(IF(AND($N1029="VCA",$M1029&lt;&gt;"",$Q1029="LINEAR"),$M1029/100,IF(AND($N1029="MND",$M1029&gt;100,$Q1029="EMBOQUE"),$M1029/100,0)),0)</f>
        <v>1</v>
      </c>
      <c r="AO1029" s="153" t="n">
        <f aca="false">IF(AND($N1029="MND",$Q1029="EMBOQUE"),$AN1029*2*2,IF(AND($N1029="VCA",$Q1029="LINEAR"),$M1029*2,IF(AND($N1029="VCA",$Q1029="PREDIAL"),0,0)))</f>
        <v>247.42</v>
      </c>
      <c r="AP1029" s="153" t="n">
        <f aca="false">IFERROR($M1029*$AF1029*$AG1029,0)</f>
        <v>109.6008745</v>
      </c>
      <c r="AQ1029" s="153" t="n">
        <f aca="false">IFERROR(IF(AND($N1029="VCA",$AH1029&gt;0),$M1029*$AG1029*$AH1029,0),0)</f>
        <v>8.04115</v>
      </c>
      <c r="AR1029" s="153" t="n">
        <f aca="false">IFERROR(IF(AND($N1029="VCA",$AJ1029&gt;0),($M1029*$AG1029*$AJ1029)-$AI1029,0),0)</f>
        <v>28.803740082635</v>
      </c>
      <c r="AS1029" s="153" t="n">
        <f aca="false">IFERROR(IF(AND($N1029="VCA",$AP1029&gt;0),$AP1029-$AI1029-$AQ1029-$AR1029,0),0)</f>
        <v>72.37035</v>
      </c>
      <c r="AT1029" s="153" t="n">
        <f aca="false">IFERROR(IF($N1029="VCA",INDEX(APOIO_REDES!$A:$W,MATCH($C1029&amp;$I1029&amp;$H1029&amp;$N1029&amp;$O1029,APOIO_REDES!$W:$W,0),MATCH(AT$5,APOIO_REDES!$5:$5,0)),0)*$AP1029,0)</f>
        <v>1.19248995476295</v>
      </c>
      <c r="AU1029" s="153" t="n">
        <f aca="false">IFERROR(IF($N1029="VCA",INDEX(APOIO_REDES!$A:$W,MATCH($C1029&amp;$I1029&amp;$H1029&amp;$N1029&amp;$O1029,APOIO_REDES!$W:$W,0),MATCH(AU$5,APOIO_REDES!$5:$5,0)),0)*$AP1029,0)</f>
        <v>0.952290181149827</v>
      </c>
      <c r="AV1029" s="153" t="n">
        <f aca="false">IFERROR(IF($N1029="VCA",INDEX(APOIO_REDES!$A:$W,MATCH($C1029&amp;$I1029&amp;$H1029&amp;$N1029&amp;$O1029,APOIO_REDES!$W:$W,0),MATCH(AV$5,APOIO_REDES!$5:$5,0)),0)*$AP1029,0)</f>
        <v>0.131789485300103</v>
      </c>
      <c r="AW1029" s="153" t="n">
        <f aca="false">IFERROR(IF($N1029="VCA",INDEX(APOIO_REDES!$A:$W,MATCH($C1029&amp;$I1029&amp;$H1029&amp;$N1029&amp;$O1029,APOIO_REDES!$W:$W,0),MATCH(AW$5,APOIO_REDES!$5:$5,0)),0)*$AP1029,0)</f>
        <v>75.230889485816</v>
      </c>
      <c r="AX1029" s="153" t="n">
        <f aca="false">IFERROR(IF($N1029="VCA",INDEX(APOIO_REDES!$A:$W,MATCH($C1029&amp;$I1029&amp;$H1029&amp;$N1029&amp;$O1029,APOIO_REDES!$W:$W,0),MATCH(AX$5,APOIO_REDES!$5:$5,0)),0)*$AP1029,0)</f>
        <v>10.4117408055918</v>
      </c>
      <c r="AY1029" s="153" t="n">
        <f aca="false">IFERROR(IF($N1029="VCA",INDEX(APOIO_REDES!$A:$W,MATCH($C1029&amp;$I1029&amp;$H1029&amp;$N1029&amp;$O1029,APOIO_REDES!$W:$W,0),MATCH(AY$5,APOIO_REDES!$5:$5,0)),0)*$AP1029,0)</f>
        <v>19.0457920146564</v>
      </c>
      <c r="AZ1029" s="153" t="n">
        <f aca="false">IFERROR(IF($N1029="VCA",INDEX(APOIO_REDES!$A:$W,MATCH($C1029&amp;$I1029&amp;$H1029&amp;$N1029&amp;$O1029,APOIO_REDES!$W:$W,0),MATCH(AZ$5,APOIO_REDES!$5:$5,0)),0)*$AP1029,0)</f>
        <v>2.63588257272297</v>
      </c>
      <c r="BA1029" s="153" t="n">
        <f aca="false">IFERROR(IF(AND($N1029="VCA",$Q1029="LINEAR"),INDEX(APOIO_REDES!$A:$W,MATCH($C1029&amp;$I1029&amp;$H1029&amp;$N1029&amp;$O1029,APOIO_REDES!$W:$W,0),MATCH(BA$5,APOIO_REDES!$5:$5,0)),IF(AND($N1029="MND",$Q1029="EMBOQUE"),INDEX(APOIO_REDES!$A:$W,MATCH($C1029&amp;$I1029&amp;$H1029&amp;$N1029&amp;$O1029,APOIO_REDES!$W:$W,0),MATCH(BA$5,APOIO_REDES!$5:$5,0)),0))*$M1029/10,0)</f>
        <v>9.97071395139462</v>
      </c>
      <c r="BB1029" s="153" t="n">
        <f aca="false">IFERROR(IF($N1029="VCA",INDEX(APOIO_REDES!$A:$W,MATCH($C1029&amp;$I1029&amp;$H1029&amp;$N1029&amp;$O1029,APOIO_REDES!$W:$W,0),MATCH(BB$5,APOIO_REDES!$5:$5,0)),0)*($AI1029+$AQ1029+$AR1029),0)</f>
        <v>36.8254453737672</v>
      </c>
      <c r="BC1029" s="153" t="n">
        <f aca="false">IFERROR(IF($N1029="VCA",INDEX(APOIO_REDES!$A:$W,MATCH($C1029&amp;$I1029&amp;$H1029&amp;$N1029&amp;$O1029,APOIO_REDES!$W:$W,0),MATCH(BC$5,APOIO_REDES!$5:$5,0)),0)*($AI1029+$AQ1029+$AR1029),0)</f>
        <v>0.405079126232754</v>
      </c>
      <c r="BD1029" s="153" t="n">
        <f aca="false">IF(AND($N1029="VCA",$AF1029&gt;=1.25,$AF1029&lt;1.5),$M1029*$AF1029*2,0)</f>
        <v>337.23346</v>
      </c>
      <c r="BE1029" s="153" t="n">
        <f aca="false">IF(AND($N1029="VCA",$AF1029&gt;=1.5,$AF1029&lt;3),$M1029*$AF1029*2,0)</f>
        <v>0</v>
      </c>
      <c r="BF1029" s="153" t="n">
        <f aca="false">IF(AND($N1029="VCA",$AF1029&gt;=3),$M1029*$AF1029*2,0)</f>
        <v>0</v>
      </c>
      <c r="BG1029" s="153" t="n">
        <f aca="false">($BB1029+$BC1029)*$AK1029</f>
        <v>197.32177985</v>
      </c>
      <c r="BH1029" s="153" t="n">
        <f aca="false">IF(AND($M1029&lt;&gt;"",$N1029="VCA",$Q1029="LINEAR"),($M1029*2)/100,IF(AND($M1029&lt;&gt;"",$N1029="MND",$Q1029="EMBOQUE"),($AN1029*2)/100,0))</f>
        <v>2.4742</v>
      </c>
      <c r="BI1029" s="153" t="n">
        <f aca="false">IF(AND($M1029&lt;&gt;"",$N1029="VCA",$Q1029="LINEAR"),$M1029,IF(AND($M1029&lt;&gt;"",$N1029="MND",$Q1029="EMBOQUE"),$AN1029*2,0))</f>
        <v>123.71</v>
      </c>
      <c r="BJ1029" s="153" t="n">
        <f aca="false">IF(AND($M1029&lt;&gt;"",$N1029="VCA",$Q1029="LINEAR"),($M1029*6.8)/100,IF(AND($M1029&lt;&gt;"",$N1029="MND",$Q1029="EMBOQUE"),($AN1029*2*6.8)/100,0))</f>
        <v>8.41228</v>
      </c>
      <c r="BK1029" s="153" t="n">
        <f aca="false">IF(AND($M1029&lt;&gt;"",$N1029="VCA",$Q1029="LINEAR"),($M1029*2.5)/50,IF(AND($M1029&lt;&gt;"",$N1029="MND",$Q1029="EMBOQUE"),($AN1029*2*2.5)/50,0))</f>
        <v>6.1855</v>
      </c>
      <c r="BL1029" s="157" t="str">
        <f aca="false">K1029&amp;J1029</f>
        <v>Zona09REDES</v>
      </c>
      <c r="BM1029" s="152" t="s">
        <v>5109</v>
      </c>
      <c r="BN1029" s="152" t="s">
        <v>1560</v>
      </c>
      <c r="BO1029" s="152" t="s">
        <v>5413</v>
      </c>
      <c r="BP1029" s="152" t="s">
        <v>5424</v>
      </c>
      <c r="BQ1029" s="152" t="s">
        <v>5445</v>
      </c>
      <c r="BR1029" s="152" t="s">
        <v>5449</v>
      </c>
      <c r="BS1029" s="152" t="n">
        <v>202829.923</v>
      </c>
      <c r="BT1029" s="152" t="n">
        <v>8236427.82</v>
      </c>
      <c r="BU1029" s="152" t="n">
        <v>202949.572</v>
      </c>
      <c r="BV1029" s="152" t="n">
        <v>8236424.669</v>
      </c>
      <c r="BW1029" s="152" t="n">
        <v>-15.9336602</v>
      </c>
      <c r="BX1029" s="152" t="n">
        <v>-47.7751079</v>
      </c>
      <c r="BY1029" s="152" t="s">
        <v>5424</v>
      </c>
    </row>
    <row r="1030" customFormat="false" ht="13.8" hidden="false" customHeight="false" outlineLevel="0" collapsed="false">
      <c r="A1030" s="149" t="n">
        <f aca="false">IF(C1030&lt;&gt;"",ROW(A1025),"")</f>
        <v>1025</v>
      </c>
      <c r="B1030" s="150" t="str">
        <f aca="false">HYPERLINK("https://www.google.com/maps/dir/-15.917302,-47.760003/-15.9348681,-47.7779642/data=!4m3!4m2!3e0!5i2")</f>
        <v>https://www.google.com/maps/dir/-15.917302,-47.760003/-15.9348681,-47.7779642/data=!4m3!4m2!3e0!5i2</v>
      </c>
      <c r="C1030" s="151" t="s">
        <v>117</v>
      </c>
      <c r="D1030" s="152" t="s">
        <v>112</v>
      </c>
      <c r="E1030" s="152" t="s">
        <v>113</v>
      </c>
      <c r="F1030" s="152" t="s">
        <v>117</v>
      </c>
      <c r="G1030" s="152" t="s">
        <v>782</v>
      </c>
      <c r="H1030" s="152" t="n">
        <v>63</v>
      </c>
      <c r="I1030" s="152" t="s">
        <v>115</v>
      </c>
      <c r="J1030" s="152" t="s">
        <v>6</v>
      </c>
      <c r="K1030" s="152" t="s">
        <v>5106</v>
      </c>
      <c r="L1030" s="152" t="s">
        <v>120</v>
      </c>
      <c r="M1030" s="153" t="n">
        <f aca="false">265.83</f>
        <v>265.83</v>
      </c>
      <c r="N1030" s="152" t="s">
        <v>1548</v>
      </c>
      <c r="O1030" s="152" t="s">
        <v>1549</v>
      </c>
      <c r="P1030" s="152" t="s">
        <v>1550</v>
      </c>
      <c r="Q1030" s="152" t="s">
        <v>1551</v>
      </c>
      <c r="R1030" s="154" t="s">
        <v>5450</v>
      </c>
      <c r="S1030" s="154" t="s">
        <v>1553</v>
      </c>
      <c r="T1030" s="155" t="s">
        <v>5411</v>
      </c>
      <c r="U1030" s="152" t="str">
        <f aca="false">RIGHT(T1030,7)</f>
        <v>017/037</v>
      </c>
      <c r="V1030" s="152" t="s">
        <v>1555</v>
      </c>
      <c r="W1030" s="156" t="n">
        <v>45882</v>
      </c>
      <c r="X1030" s="152" t="s">
        <v>1594</v>
      </c>
      <c r="Y1030" s="152"/>
      <c r="Z1030" s="152" t="s">
        <v>1557</v>
      </c>
      <c r="AA1030" s="153" t="n">
        <v>5.5</v>
      </c>
      <c r="AB1030" s="151" t="s">
        <v>5451</v>
      </c>
      <c r="AC1030" s="151" t="s">
        <v>186</v>
      </c>
      <c r="AD1030" s="151" t="str">
        <f aca="false">CONCATENATE($C1030,$I1030,$H1030,$N1030,$J1030,$K1030)</f>
        <v>TUBO PEADPEAD63VCAREDESZona09</v>
      </c>
      <c r="AE1030" s="153" t="n">
        <f aca="false">IFERROR(INDEX(APOIO_REDES!$A:$W,MATCH($C1030&amp;$I1030&amp;$H1030&amp;$N1030&amp;$O1030,APOIO_REDES!$W:$W,0),MATCH(AE$5,APOIO_REDES!$5:$5,0)),0)</f>
        <v>1.2</v>
      </c>
      <c r="AF1030" s="153" t="n">
        <f aca="false">IFERROR(INDEX(APOIO_REDES!$A:$W,MATCH($C1030&amp;$I1030&amp;$H1030&amp;$N1030&amp;$O1030,APOIO_REDES!$W:$W,0),MATCH(AF$5,APOIO_REDES!$5:$5,0)),0)</f>
        <v>1.363</v>
      </c>
      <c r="AG1030" s="153" t="n">
        <f aca="false">IFERROR(INDEX(APOIO_REDES!$A:$W,MATCH($C1030&amp;$I1030&amp;$H1030&amp;$N1030&amp;$O1030,APOIO_REDES!$W:$W,0),MATCH(AG$5,APOIO_REDES!$5:$5,0)),0)</f>
        <v>0.65</v>
      </c>
      <c r="AH1030" s="153" t="n">
        <f aca="false">IFERROR(INDEX(APOIO_REDES!$A:$W,MATCH($C1030&amp;$I1030&amp;$H1030&amp;$N1030&amp;$O1030,APOIO_REDES!$W:$W,0),MATCH(AH$5,APOIO_REDES!$5:$5,0)),0)</f>
        <v>0.1</v>
      </c>
      <c r="AI1030" s="153" t="n">
        <f aca="false">IFERROR(IF($H1030&lt;&gt;"",(((($H1030/1000)/2)^2)*PI()*$M1030),0),0)</f>
        <v>0.82865732089672</v>
      </c>
      <c r="AJ1030" s="153" t="n">
        <f aca="false">IFERROR(IF(AND($H1030&lt;&gt;"",$I1030="FoFo",OR($N1030="MND",$N1030="VCA"),$Q1030="LINEAR"),0,IF(AND($H1030&lt;&gt;"",$I1030="PEAD",$N1030="VCA",$Q1030="LINEAR"),($H1030/1000)+0.3,IF(AND($H1030&lt;&gt;"",$I1030="PEAD",$N1030="MND",$Q1030="EMBOQUE"),0,IF(AND($H1030&lt;&gt;"",$I1030="PVC",$N1030="VCA",$Q1030="LINEAR"),($H1030/1000)+0.2,IF(AND($H1030&lt;&gt;"",$I1030="PVC",$N1030="MND",$Q1030="EMBOQUE"),0,IF(AND($H1030&lt;&gt;"",$I1030="PEAD",$N1030="VCA",$Q1030="PREDIAL"),0,0)))))),0)</f>
        <v>0.363</v>
      </c>
      <c r="AK1030" s="153" t="n">
        <f aca="false">IF(AA1030&lt;&gt;"",AA1030,0)</f>
        <v>5.5</v>
      </c>
      <c r="AL1030" s="153" t="n">
        <f aca="false">IF(AND($N1030="MND",$Q1030="EMBOQUE"),$M1030,IF(AND($N1030="VCA",$Q1030="LINEAR"),$M1030,IF(AND($N1030="VCA",$Q1030="PREDIAL"),0,0)))</f>
        <v>265.83</v>
      </c>
      <c r="AM1030" s="153" t="n">
        <f aca="false">IF(AND($N1030="MND",$Q1030="EMBOQUE"),$M1030,IF(AND($N1030="VCA",$Q1030="LINEAR"),$M1030,IF(AND($N1030="VCA",$Q1030="PREDIAL"),0,0)))</f>
        <v>265.83</v>
      </c>
      <c r="AN1030" s="153" t="n">
        <f aca="false">ROUND(IF(AND($N1030="VCA",$M1030&lt;&gt;"",$Q1030="LINEAR"),$M1030/100,IF(AND($N1030="MND",$M1030&gt;100,$Q1030="EMBOQUE"),$M1030/100,0)),0)</f>
        <v>3</v>
      </c>
      <c r="AO1030" s="153" t="n">
        <f aca="false">IF(AND($N1030="MND",$Q1030="EMBOQUE"),$AN1030*2*2,IF(AND($N1030="VCA",$Q1030="LINEAR"),$M1030*2,IF(AND($N1030="VCA",$Q1030="PREDIAL"),0,0)))</f>
        <v>531.66</v>
      </c>
      <c r="AP1030" s="153" t="n">
        <f aca="false">IFERROR($M1030*$AF1030*$AG1030,0)</f>
        <v>235.5120885</v>
      </c>
      <c r="AQ1030" s="153" t="n">
        <f aca="false">IFERROR(IF(AND($N1030="VCA",$AH1030&gt;0),$M1030*$AG1030*$AH1030,0),0)</f>
        <v>17.27895</v>
      </c>
      <c r="AR1030" s="153" t="n">
        <f aca="false">IFERROR(IF(AND($N1030="VCA",$AJ1030&gt;0),($M1030*$AG1030*$AJ1030)-$AI1030,0),0)</f>
        <v>61.8939311791033</v>
      </c>
      <c r="AS1030" s="153" t="n">
        <f aca="false">IFERROR(IF(AND($N1030="VCA",$AP1030&gt;0),$AP1030-$AI1030-$AQ1030-$AR1030,0),0)</f>
        <v>155.51055</v>
      </c>
      <c r="AT1030" s="153" t="n">
        <f aca="false">IFERROR(IF($N1030="VCA",INDEX(APOIO_REDES!$A:$W,MATCH($C1030&amp;$I1030&amp;$H1030&amp;$N1030&amp;$O1030,APOIO_REDES!$W:$W,0),MATCH(AT$5,APOIO_REDES!$5:$5,0)),0)*$AP1030,0)</f>
        <v>2.56244123089996</v>
      </c>
      <c r="AU1030" s="153" t="n">
        <f aca="false">IFERROR(IF($N1030="VCA",INDEX(APOIO_REDES!$A:$W,MATCH($C1030&amp;$I1030&amp;$H1030&amp;$N1030&amp;$O1030,APOIO_REDES!$W:$W,0),MATCH(AU$5,APOIO_REDES!$5:$5,0)),0)*$AP1030,0)</f>
        <v>2.04629616728687</v>
      </c>
      <c r="AV1030" s="153" t="n">
        <f aca="false">IFERROR(IF($N1030="VCA",INDEX(APOIO_REDES!$A:$W,MATCH($C1030&amp;$I1030&amp;$H1030&amp;$N1030&amp;$O1030,APOIO_REDES!$W:$W,0),MATCH(AV$5,APOIO_REDES!$5:$5,0)),0)*$AP1030,0)</f>
        <v>0.283191325497749</v>
      </c>
      <c r="AW1030" s="153" t="n">
        <f aca="false">IFERROR(IF($N1030="VCA",INDEX(APOIO_REDES!$A:$W,MATCH($C1030&amp;$I1030&amp;$H1030&amp;$N1030&amp;$O1030,APOIO_REDES!$W:$W,0),MATCH(AW$5,APOIO_REDES!$5:$5,0)),0)*$AP1030,0)</f>
        <v>161.657322383109</v>
      </c>
      <c r="AX1030" s="153" t="n">
        <f aca="false">IFERROR(IF($N1030="VCA",INDEX(APOIO_REDES!$A:$W,MATCH($C1030&amp;$I1030&amp;$H1030&amp;$N1030&amp;$O1030,APOIO_REDES!$W:$W,0),MATCH(AX$5,APOIO_REDES!$5:$5,0)),0)*$AP1030,0)</f>
        <v>22.372912928223</v>
      </c>
      <c r="AY1030" s="153" t="n">
        <f aca="false">IFERROR(IF($N1030="VCA",INDEX(APOIO_REDES!$A:$W,MATCH($C1030&amp;$I1030&amp;$H1030&amp;$N1030&amp;$O1030,APOIO_REDES!$W:$W,0),MATCH(AY$5,APOIO_REDES!$5:$5,0)),0)*$AP1030,0)</f>
        <v>40.925898401553</v>
      </c>
      <c r="AZ1030" s="153" t="n">
        <f aca="false">IFERROR(IF($N1030="VCA",INDEX(APOIO_REDES!$A:$W,MATCH($C1030&amp;$I1030&amp;$H1030&amp;$N1030&amp;$O1030,APOIO_REDES!$W:$W,0),MATCH(AZ$5,APOIO_REDES!$5:$5,0)),0)*$AP1030,0)</f>
        <v>5.66402606343018</v>
      </c>
      <c r="BA1030" s="153" t="n">
        <f aca="false">IFERROR(IF(AND($N1030="VCA",$Q1030="LINEAR"),INDEX(APOIO_REDES!$A:$W,MATCH($C1030&amp;$I1030&amp;$H1030&amp;$N1030&amp;$O1030,APOIO_REDES!$W:$W,0),MATCH(BA$5,APOIO_REDES!$5:$5,0)),IF(AND($N1030="MND",$Q1030="EMBOQUE"),INDEX(APOIO_REDES!$A:$W,MATCH($C1030&amp;$I1030&amp;$H1030&amp;$N1030&amp;$O1030,APOIO_REDES!$W:$W,0),MATCH(BA$5,APOIO_REDES!$5:$5,0)),0))*$M1030/10,0)</f>
        <v>21.425227465033</v>
      </c>
      <c r="BB1030" s="153" t="n">
        <f aca="false">IFERROR(IF($N1030="VCA",INDEX(APOIO_REDES!$A:$W,MATCH($C1030&amp;$I1030&amp;$H1030&amp;$N1030&amp;$O1030,APOIO_REDES!$W:$W,0),MATCH(BB$5,APOIO_REDES!$5:$5,0)),0)*($AI1030+$AQ1030+$AR1030),0)</f>
        <v>79.1310980818733</v>
      </c>
      <c r="BC1030" s="153" t="n">
        <f aca="false">IFERROR(IF($N1030="VCA",INDEX(APOIO_REDES!$A:$W,MATCH($C1030&amp;$I1030&amp;$H1030&amp;$N1030&amp;$O1030,APOIO_REDES!$W:$W,0),MATCH(BC$5,APOIO_REDES!$5:$5,0)),0)*($AI1030+$AQ1030+$AR1030),0)</f>
        <v>0.870440418126692</v>
      </c>
      <c r="BD1030" s="153" t="n">
        <f aca="false">IF(AND($N1030="VCA",$AF1030&gt;=1.25,$AF1030&lt;1.5),$M1030*$AF1030*2,0)</f>
        <v>724.65258</v>
      </c>
      <c r="BE1030" s="153" t="n">
        <f aca="false">IF(AND($N1030="VCA",$AF1030&gt;=1.5,$AF1030&lt;3),$M1030*$AF1030*2,0)</f>
        <v>0</v>
      </c>
      <c r="BF1030" s="153" t="n">
        <f aca="false">IF(AND($N1030="VCA",$AF1030&gt;=3),$M1030*$AF1030*2,0)</f>
        <v>0</v>
      </c>
      <c r="BG1030" s="153" t="n">
        <f aca="false">($BB1030+$BC1030)*$AK1030</f>
        <v>440.00846175</v>
      </c>
      <c r="BH1030" s="153" t="n">
        <f aca="false">IF(AND($M1030&lt;&gt;"",$N1030="VCA",$Q1030="LINEAR"),($M1030*2)/100,IF(AND($M1030&lt;&gt;"",$N1030="MND",$Q1030="EMBOQUE"),($AN1030*2)/100,0))</f>
        <v>5.3166</v>
      </c>
      <c r="BI1030" s="153" t="n">
        <f aca="false">IF(AND($M1030&lt;&gt;"",$N1030="VCA",$Q1030="LINEAR"),$M1030,IF(AND($M1030&lt;&gt;"",$N1030="MND",$Q1030="EMBOQUE"),$AN1030*2,0))</f>
        <v>265.83</v>
      </c>
      <c r="BJ1030" s="153" t="n">
        <f aca="false">IF(AND($M1030&lt;&gt;"",$N1030="VCA",$Q1030="LINEAR"),($M1030*6.8)/100,IF(AND($M1030&lt;&gt;"",$N1030="MND",$Q1030="EMBOQUE"),($AN1030*2*6.8)/100,0))</f>
        <v>18.07644</v>
      </c>
      <c r="BK1030" s="153" t="n">
        <f aca="false">IF(AND($M1030&lt;&gt;"",$N1030="VCA",$Q1030="LINEAR"),($M1030*2.5)/50,IF(AND($M1030&lt;&gt;"",$N1030="MND",$Q1030="EMBOQUE"),($AN1030*2*2.5)/50,0))</f>
        <v>13.2915</v>
      </c>
      <c r="BL1030" s="157" t="str">
        <f aca="false">K1030&amp;J1030</f>
        <v>Zona09REDES</v>
      </c>
      <c r="BM1030" s="152" t="s">
        <v>5109</v>
      </c>
      <c r="BN1030" s="152" t="s">
        <v>1560</v>
      </c>
      <c r="BO1030" s="152" t="s">
        <v>5413</v>
      </c>
      <c r="BP1030" s="152" t="s">
        <v>2176</v>
      </c>
      <c r="BQ1030" s="152" t="s">
        <v>5452</v>
      </c>
      <c r="BR1030" s="152" t="s">
        <v>5453</v>
      </c>
      <c r="BS1030" s="152" t="n">
        <v>202625.539</v>
      </c>
      <c r="BT1030" s="152" t="n">
        <v>8236531.024</v>
      </c>
      <c r="BU1030" s="152" t="n">
        <v>202585.515</v>
      </c>
      <c r="BV1030" s="152" t="n">
        <v>8236288.536</v>
      </c>
      <c r="BW1030" s="152" t="n">
        <v>-15.9336741</v>
      </c>
      <c r="BX1030" s="152" t="n">
        <v>-47.7780049</v>
      </c>
      <c r="BY1030" s="152" t="s">
        <v>5452</v>
      </c>
    </row>
    <row r="1031" customFormat="false" ht="13.8" hidden="false" customHeight="false" outlineLevel="0" collapsed="false">
      <c r="A1031" s="149" t="n">
        <f aca="false">IF(C1031&lt;&gt;"",ROW(A1026),"")</f>
        <v>1026</v>
      </c>
      <c r="B1031" s="150" t="str">
        <f aca="false">HYPERLINK("https://www.google.com/maps/dir/-15.917302,-47.760003/-15.9338166,-47.7721815/data=!4m3!4m2!3e0!5i2")</f>
        <v>https://www.google.com/maps/dir/-15.917302,-47.760003/-15.9338166,-47.7721815/data=!4m3!4m2!3e0!5i2</v>
      </c>
      <c r="C1031" s="151" t="s">
        <v>117</v>
      </c>
      <c r="D1031" s="152" t="s">
        <v>112</v>
      </c>
      <c r="E1031" s="152" t="s">
        <v>113</v>
      </c>
      <c r="F1031" s="152" t="s">
        <v>117</v>
      </c>
      <c r="G1031" s="152" t="s">
        <v>114</v>
      </c>
      <c r="H1031" s="152" t="n">
        <v>160</v>
      </c>
      <c r="I1031" s="152" t="s">
        <v>115</v>
      </c>
      <c r="J1031" s="152" t="s">
        <v>6</v>
      </c>
      <c r="K1031" s="152" t="s">
        <v>5106</v>
      </c>
      <c r="L1031" s="152" t="s">
        <v>120</v>
      </c>
      <c r="M1031" s="153" t="n">
        <f aca="false">11.62</f>
        <v>11.62</v>
      </c>
      <c r="N1031" s="152" t="s">
        <v>1548</v>
      </c>
      <c r="O1031" s="152" t="s">
        <v>1549</v>
      </c>
      <c r="P1031" s="152" t="s">
        <v>1550</v>
      </c>
      <c r="Q1031" s="152" t="s">
        <v>1551</v>
      </c>
      <c r="R1031" s="154" t="s">
        <v>5454</v>
      </c>
      <c r="S1031" s="154" t="s">
        <v>1593</v>
      </c>
      <c r="T1031" s="155" t="s">
        <v>5411</v>
      </c>
      <c r="U1031" s="152" t="str">
        <f aca="false">RIGHT(T1031,7)</f>
        <v>017/037</v>
      </c>
      <c r="V1031" s="152" t="s">
        <v>1555</v>
      </c>
      <c r="W1031" s="156" t="n">
        <v>45882</v>
      </c>
      <c r="X1031" s="152" t="s">
        <v>1594</v>
      </c>
      <c r="Y1031" s="152"/>
      <c r="Z1031" s="152" t="s">
        <v>1557</v>
      </c>
      <c r="AA1031" s="153" t="n">
        <v>5</v>
      </c>
      <c r="AB1031" s="151" t="s">
        <v>5455</v>
      </c>
      <c r="AC1031" s="151" t="s">
        <v>505</v>
      </c>
      <c r="AD1031" s="151" t="str">
        <f aca="false">CONCATENATE($C1031,$I1031,$H1031,$N1031,$J1031,$K1031)</f>
        <v>TUBO PEADPEAD160VCAREDESZona09</v>
      </c>
      <c r="AE1031" s="153" t="n">
        <f aca="false">IFERROR(INDEX(APOIO_REDES!$A:$W,MATCH($C1031&amp;$I1031&amp;$H1031&amp;$N1031&amp;$O1031,APOIO_REDES!$W:$W,0),MATCH(AE$5,APOIO_REDES!$5:$5,0)),0)</f>
        <v>1.2</v>
      </c>
      <c r="AF1031" s="153" t="n">
        <f aca="false">IFERROR(INDEX(APOIO_REDES!$A:$W,MATCH($C1031&amp;$I1031&amp;$H1031&amp;$N1031&amp;$O1031,APOIO_REDES!$W:$W,0),MATCH(AF$5,APOIO_REDES!$5:$5,0)),0)</f>
        <v>1.46</v>
      </c>
      <c r="AG1031" s="153" t="n">
        <f aca="false">IFERROR(INDEX(APOIO_REDES!$A:$W,MATCH($C1031&amp;$I1031&amp;$H1031&amp;$N1031&amp;$O1031,APOIO_REDES!$W:$W,0),MATCH(AG$5,APOIO_REDES!$5:$5,0)),0)</f>
        <v>0.75</v>
      </c>
      <c r="AH1031" s="153" t="n">
        <f aca="false">IFERROR(INDEX(APOIO_REDES!$A:$W,MATCH($C1031&amp;$I1031&amp;$H1031&amp;$N1031&amp;$O1031,APOIO_REDES!$W:$W,0),MATCH(AH$5,APOIO_REDES!$5:$5,0)),0)</f>
        <v>0.1</v>
      </c>
      <c r="AI1031" s="153" t="n">
        <f aca="false">IFERROR(IF($H1031&lt;&gt;"",(((($H1031/1000)/2)^2)*PI()*$M1031),0),0)</f>
        <v>0.233633962462166</v>
      </c>
      <c r="AJ1031" s="153" t="n">
        <f aca="false">IFERROR(IF(AND($H1031&lt;&gt;"",$I1031="FoFo",OR($N1031="MND",$N1031="VCA"),$Q1031="LINEAR"),0,IF(AND($H1031&lt;&gt;"",$I1031="PEAD",$N1031="VCA",$Q1031="LINEAR"),($H1031/1000)+0.3,IF(AND($H1031&lt;&gt;"",$I1031="PEAD",$N1031="MND",$Q1031="EMBOQUE"),0,IF(AND($H1031&lt;&gt;"",$I1031="PVC",$N1031="VCA",$Q1031="LINEAR"),($H1031/1000)+0.2,IF(AND($H1031&lt;&gt;"",$I1031="PVC",$N1031="MND",$Q1031="EMBOQUE"),0,IF(AND($H1031&lt;&gt;"",$I1031="PEAD",$N1031="VCA",$Q1031="PREDIAL"),0,0)))))),0)</f>
        <v>0.46</v>
      </c>
      <c r="AK1031" s="153" t="n">
        <f aca="false">IF(AA1031&lt;&gt;"",AA1031,0)</f>
        <v>5</v>
      </c>
      <c r="AL1031" s="153" t="n">
        <f aca="false">IF(AND($N1031="MND",$Q1031="EMBOQUE"),$M1031,IF(AND($N1031="VCA",$Q1031="LINEAR"),$M1031,IF(AND($N1031="VCA",$Q1031="PREDIAL"),0,0)))</f>
        <v>11.62</v>
      </c>
      <c r="AM1031" s="153" t="n">
        <f aca="false">IF(AND($N1031="MND",$Q1031="EMBOQUE"),$M1031,IF(AND($N1031="VCA",$Q1031="LINEAR"),$M1031,IF(AND($N1031="VCA",$Q1031="PREDIAL"),0,0)))</f>
        <v>11.62</v>
      </c>
      <c r="AN1031" s="153" t="n">
        <f aca="false">ROUND(IF(AND($N1031="VCA",$M1031&lt;&gt;"",$Q1031="LINEAR"),$M1031/100,IF(AND($N1031="MND",$M1031&gt;100,$Q1031="EMBOQUE"),$M1031/100,0)),0)</f>
        <v>0</v>
      </c>
      <c r="AO1031" s="153" t="n">
        <f aca="false">IF(AND($N1031="MND",$Q1031="EMBOQUE"),$AN1031*2*2,IF(AND($N1031="VCA",$Q1031="LINEAR"),$M1031*2,IF(AND($N1031="VCA",$Q1031="PREDIAL"),0,0)))</f>
        <v>23.24</v>
      </c>
      <c r="AP1031" s="153" t="n">
        <f aca="false">IFERROR($M1031*$AF1031*$AG1031,0)</f>
        <v>12.7239</v>
      </c>
      <c r="AQ1031" s="153" t="n">
        <f aca="false">IFERROR(IF(AND($N1031="VCA",$AH1031&gt;0),$M1031*$AG1031*$AH1031,0),0)</f>
        <v>0.8715</v>
      </c>
      <c r="AR1031" s="153" t="n">
        <f aca="false">IFERROR(IF(AND($N1031="VCA",$AJ1031&gt;0),($M1031*$AG1031*$AJ1031)-$AI1031,0),0)</f>
        <v>3.77526603753783</v>
      </c>
      <c r="AS1031" s="153" t="n">
        <f aca="false">IFERROR(IF(AND($N1031="VCA",$AP1031&gt;0),$AP1031-$AI1031-$AQ1031-$AR1031,0),0)</f>
        <v>7.8435</v>
      </c>
      <c r="AT1031" s="153" t="n">
        <f aca="false">IFERROR(IF($N1031="VCA",INDEX(APOIO_REDES!$A:$W,MATCH($C1031&amp;$I1031&amp;$H1031&amp;$N1031&amp;$O1031,APOIO_REDES!$W:$W,0),MATCH(AT$5,APOIO_REDES!$5:$5,0)),0)*$AP1031,0)</f>
        <v>0.138439798082161</v>
      </c>
      <c r="AU1031" s="153" t="n">
        <f aca="false">IFERROR(IF($N1031="VCA",INDEX(APOIO_REDES!$A:$W,MATCH($C1031&amp;$I1031&amp;$H1031&amp;$N1031&amp;$O1031,APOIO_REDES!$W:$W,0),MATCH(AU$5,APOIO_REDES!$5:$5,0)),0)*$AP1031,0)</f>
        <v>0.110554273323178</v>
      </c>
      <c r="AV1031" s="153" t="n">
        <f aca="false">IFERROR(IF($N1031="VCA",INDEX(APOIO_REDES!$A:$W,MATCH($C1031&amp;$I1031&amp;$H1031&amp;$N1031&amp;$O1031,APOIO_REDES!$W:$W,0),MATCH(AV$5,APOIO_REDES!$5:$5,0)),0)*$AP1031,0)</f>
        <v>0.0152998435428541</v>
      </c>
      <c r="AW1031" s="153" t="n">
        <f aca="false">IFERROR(IF($N1031="VCA",INDEX(APOIO_REDES!$A:$W,MATCH($C1031&amp;$I1031&amp;$H1031&amp;$N1031&amp;$O1031,APOIO_REDES!$W:$W,0),MATCH(AW$5,APOIO_REDES!$5:$5,0)),0)*$AP1031,0)</f>
        <v>8.73378354958814</v>
      </c>
      <c r="AX1031" s="153" t="n">
        <f aca="false">IFERROR(IF($N1031="VCA",INDEX(APOIO_REDES!$A:$W,MATCH($C1031&amp;$I1031&amp;$H1031&amp;$N1031&amp;$O1031,APOIO_REDES!$W:$W,0),MATCH(AX$5,APOIO_REDES!$5:$5,0)),0)*$AP1031,0)</f>
        <v>1.20873076460963</v>
      </c>
      <c r="AY1031" s="153" t="n">
        <f aca="false">IFERROR(IF($N1031="VCA",INDEX(APOIO_REDES!$A:$W,MATCH($C1031&amp;$I1031&amp;$H1031&amp;$N1031&amp;$O1031,APOIO_REDES!$W:$W,0),MATCH(AY$5,APOIO_REDES!$5:$5,0)),0)*$AP1031,0)</f>
        <v>2.21108411881592</v>
      </c>
      <c r="AZ1031" s="153" t="n">
        <f aca="false">IFERROR(IF($N1031="VCA",INDEX(APOIO_REDES!$A:$W,MATCH($C1031&amp;$I1031&amp;$H1031&amp;$N1031&amp;$O1031,APOIO_REDES!$W:$W,0),MATCH(AZ$5,APOIO_REDES!$5:$5,0)),0)*$AP1031,0)</f>
        <v>0.306007652038121</v>
      </c>
      <c r="BA1031" s="153" t="n">
        <f aca="false">IFERROR(IF(AND($N1031="VCA",$Q1031="LINEAR"),INDEX(APOIO_REDES!$A:$W,MATCH($C1031&amp;$I1031&amp;$H1031&amp;$N1031&amp;$O1031,APOIO_REDES!$W:$W,0),MATCH(BA$5,APOIO_REDES!$5:$5,0)),IF(AND($N1031="MND",$Q1031="EMBOQUE"),INDEX(APOIO_REDES!$A:$W,MATCH($C1031&amp;$I1031&amp;$H1031&amp;$N1031&amp;$O1031,APOIO_REDES!$W:$W,0),MATCH(BA$5,APOIO_REDES!$5:$5,0)),0))*$M1031/10,0)</f>
        <v>0.936542689477047</v>
      </c>
      <c r="BB1031" s="153" t="n">
        <f aca="false">IFERROR(IF($N1031="VCA",INDEX(APOIO_REDES!$A:$W,MATCH($C1031&amp;$I1031&amp;$H1031&amp;$N1031&amp;$O1031,APOIO_REDES!$W:$W,0),MATCH(BB$5,APOIO_REDES!$5:$5,0)),0)*($AI1031+$AQ1031+$AR1031),0)</f>
        <v>4.82729980347534</v>
      </c>
      <c r="BC1031" s="153" t="n">
        <f aca="false">IFERROR(IF($N1031="VCA",INDEX(APOIO_REDES!$A:$W,MATCH($C1031&amp;$I1031&amp;$H1031&amp;$N1031&amp;$O1031,APOIO_REDES!$W:$W,0),MATCH(BC$5,APOIO_REDES!$5:$5,0)),0)*($AI1031+$AQ1031+$AR1031),0)</f>
        <v>0.0531001965246644</v>
      </c>
      <c r="BD1031" s="153" t="n">
        <f aca="false">IF(AND($N1031="VCA",$AF1031&gt;=1.25,$AF1031&lt;1.5),$M1031*$AF1031*2,0)</f>
        <v>33.9304</v>
      </c>
      <c r="BE1031" s="153" t="n">
        <f aca="false">IF(AND($N1031="VCA",$AF1031&gt;=1.5,$AF1031&lt;3),$M1031*$AF1031*2,0)</f>
        <v>0</v>
      </c>
      <c r="BF1031" s="153" t="n">
        <f aca="false">IF(AND($N1031="VCA",$AF1031&gt;=3),$M1031*$AF1031*2,0)</f>
        <v>0</v>
      </c>
      <c r="BG1031" s="153" t="n">
        <f aca="false">($BB1031+$BC1031)*$AK1031</f>
        <v>24.402</v>
      </c>
      <c r="BH1031" s="153" t="n">
        <f aca="false">IF(AND($M1031&lt;&gt;"",$N1031="VCA",$Q1031="LINEAR"),($M1031*2)/100,IF(AND($M1031&lt;&gt;"",$N1031="MND",$Q1031="EMBOQUE"),($AN1031*2)/100,0))</f>
        <v>0.2324</v>
      </c>
      <c r="BI1031" s="153" t="n">
        <f aca="false">IF(AND($M1031&lt;&gt;"",$N1031="VCA",$Q1031="LINEAR"),$M1031,IF(AND($M1031&lt;&gt;"",$N1031="MND",$Q1031="EMBOQUE"),$AN1031*2,0))</f>
        <v>11.62</v>
      </c>
      <c r="BJ1031" s="153" t="n">
        <f aca="false">IF(AND($M1031&lt;&gt;"",$N1031="VCA",$Q1031="LINEAR"),($M1031*6.8)/100,IF(AND($M1031&lt;&gt;"",$N1031="MND",$Q1031="EMBOQUE"),($AN1031*2*6.8)/100,0))</f>
        <v>0.79016</v>
      </c>
      <c r="BK1031" s="153" t="n">
        <f aca="false">IF(AND($M1031&lt;&gt;"",$N1031="VCA",$Q1031="LINEAR"),($M1031*2.5)/50,IF(AND($M1031&lt;&gt;"",$N1031="MND",$Q1031="EMBOQUE"),($AN1031*2*2.5)/50,0))</f>
        <v>0.581</v>
      </c>
      <c r="BL1031" s="157" t="str">
        <f aca="false">K1031&amp;J1031</f>
        <v>Zona09REDES</v>
      </c>
      <c r="BM1031" s="152" t="s">
        <v>5109</v>
      </c>
      <c r="BN1031" s="152" t="s">
        <v>1560</v>
      </c>
      <c r="BO1031" s="152" t="s">
        <v>5413</v>
      </c>
      <c r="BP1031" s="152" t="s">
        <v>5456</v>
      </c>
      <c r="BQ1031" s="152" t="s">
        <v>5457</v>
      </c>
      <c r="BR1031" s="152" t="s">
        <v>5458</v>
      </c>
      <c r="BS1031" s="152" t="n">
        <v>203203.487</v>
      </c>
      <c r="BT1031" s="152" t="n">
        <v>8236413.228</v>
      </c>
      <c r="BU1031" s="152" t="n">
        <v>203192.023</v>
      </c>
      <c r="BV1031" s="152" t="n">
        <v>8236411.315</v>
      </c>
      <c r="BW1031" s="152" t="n">
        <v>-15.9338242</v>
      </c>
      <c r="BX1031" s="152" t="n">
        <v>-47.7722351</v>
      </c>
      <c r="BY1031" s="152" t="s">
        <v>5456</v>
      </c>
    </row>
    <row r="1032" customFormat="false" ht="13.8" hidden="false" customHeight="false" outlineLevel="0" collapsed="false">
      <c r="A1032" s="149" t="n">
        <f aca="false">IF(C1032&lt;&gt;"",ROW(A1027),"")</f>
        <v>1027</v>
      </c>
      <c r="B1032" s="150" t="str">
        <f aca="false">HYPERLINK("https://www.google.com/maps/dir/-15.917302,-47.760003/-15.9336826,-47.7745497/data=!4m3!4m2!3e0!5i2")</f>
        <v>https://www.google.com/maps/dir/-15.917302,-47.760003/-15.9336826,-47.7745497/data=!4m3!4m2!3e0!5i2</v>
      </c>
      <c r="C1032" s="151" t="s">
        <v>117</v>
      </c>
      <c r="D1032" s="152" t="s">
        <v>112</v>
      </c>
      <c r="E1032" s="152" t="s">
        <v>113</v>
      </c>
      <c r="F1032" s="152" t="s">
        <v>117</v>
      </c>
      <c r="G1032" s="152" t="s">
        <v>782</v>
      </c>
      <c r="H1032" s="152" t="n">
        <v>110</v>
      </c>
      <c r="I1032" s="152" t="s">
        <v>115</v>
      </c>
      <c r="J1032" s="152" t="s">
        <v>6</v>
      </c>
      <c r="K1032" s="152" t="s">
        <v>5106</v>
      </c>
      <c r="L1032" s="152" t="s">
        <v>120</v>
      </c>
      <c r="M1032" s="153" t="n">
        <f aca="false">58.24</f>
        <v>58.24</v>
      </c>
      <c r="N1032" s="152" t="s">
        <v>1548</v>
      </c>
      <c r="O1032" s="152" t="s">
        <v>1549</v>
      </c>
      <c r="P1032" s="152" t="s">
        <v>1550</v>
      </c>
      <c r="Q1032" s="152" t="s">
        <v>1551</v>
      </c>
      <c r="R1032" s="154" t="s">
        <v>5459</v>
      </c>
      <c r="S1032" s="154" t="s">
        <v>1593</v>
      </c>
      <c r="T1032" s="155" t="s">
        <v>5411</v>
      </c>
      <c r="U1032" s="152" t="str">
        <f aca="false">RIGHT(T1032,7)</f>
        <v>017/037</v>
      </c>
      <c r="V1032" s="152" t="s">
        <v>1555</v>
      </c>
      <c r="W1032" s="156" t="n">
        <v>45882</v>
      </c>
      <c r="X1032" s="152" t="s">
        <v>1594</v>
      </c>
      <c r="Y1032" s="152" t="s">
        <v>5417</v>
      </c>
      <c r="Z1032" s="152" t="s">
        <v>1557</v>
      </c>
      <c r="AA1032" s="153" t="n">
        <v>5.2</v>
      </c>
      <c r="AB1032" s="151" t="s">
        <v>5460</v>
      </c>
      <c r="AC1032" s="151" t="s">
        <v>502</v>
      </c>
      <c r="AD1032" s="151" t="str">
        <f aca="false">CONCATENATE($C1032,$I1032,$H1032,$N1032,$J1032,$K1032)</f>
        <v>TUBO PEADPEAD110VCAREDESZona09</v>
      </c>
      <c r="AE1032" s="153" t="n">
        <f aca="false">IFERROR(INDEX(APOIO_REDES!$A:$W,MATCH($C1032&amp;$I1032&amp;$H1032&amp;$N1032&amp;$O1032,APOIO_REDES!$W:$W,0),MATCH(AE$5,APOIO_REDES!$5:$5,0)),0)</f>
        <v>1.2</v>
      </c>
      <c r="AF1032" s="153" t="n">
        <f aca="false">IFERROR(INDEX(APOIO_REDES!$A:$W,MATCH($C1032&amp;$I1032&amp;$H1032&amp;$N1032&amp;$O1032,APOIO_REDES!$W:$W,0),MATCH(AF$5,APOIO_REDES!$5:$5,0)),0)</f>
        <v>1.41</v>
      </c>
      <c r="AG1032" s="153" t="n">
        <f aca="false">IFERROR(INDEX(APOIO_REDES!$A:$W,MATCH($C1032&amp;$I1032&amp;$H1032&amp;$N1032&amp;$O1032,APOIO_REDES!$W:$W,0),MATCH(AG$5,APOIO_REDES!$5:$5,0)),0)</f>
        <v>0.75</v>
      </c>
      <c r="AH1032" s="153" t="n">
        <f aca="false">IFERROR(INDEX(APOIO_REDES!$A:$W,MATCH($C1032&amp;$I1032&amp;$H1032&amp;$N1032&amp;$O1032,APOIO_REDES!$W:$W,0),MATCH(AH$5,APOIO_REDES!$5:$5,0)),0)</f>
        <v>0.1</v>
      </c>
      <c r="AI1032" s="153" t="n">
        <f aca="false">IFERROR(IF($H1032&lt;&gt;"",(((($H1032/1000)/2)^2)*PI()*$M1032),0),0)</f>
        <v>0.553473227338835</v>
      </c>
      <c r="AJ1032" s="153" t="n">
        <f aca="false">IFERROR(IF(AND($H1032&lt;&gt;"",$I1032="FoFo",OR($N1032="MND",$N1032="VCA"),$Q1032="LINEAR"),0,IF(AND($H1032&lt;&gt;"",$I1032="PEAD",$N1032="VCA",$Q1032="LINEAR"),($H1032/1000)+0.3,IF(AND($H1032&lt;&gt;"",$I1032="PEAD",$N1032="MND",$Q1032="EMBOQUE"),0,IF(AND($H1032&lt;&gt;"",$I1032="PVC",$N1032="VCA",$Q1032="LINEAR"),($H1032/1000)+0.2,IF(AND($H1032&lt;&gt;"",$I1032="PVC",$N1032="MND",$Q1032="EMBOQUE"),0,IF(AND($H1032&lt;&gt;"",$I1032="PEAD",$N1032="VCA",$Q1032="PREDIAL"),0,0)))))),0)</f>
        <v>0.41</v>
      </c>
      <c r="AK1032" s="153" t="n">
        <f aca="false">IF(AA1032&lt;&gt;"",AA1032,0)</f>
        <v>5.2</v>
      </c>
      <c r="AL1032" s="153" t="n">
        <f aca="false">IF(AND($N1032="MND",$Q1032="EMBOQUE"),$M1032,IF(AND($N1032="VCA",$Q1032="LINEAR"),$M1032,IF(AND($N1032="VCA",$Q1032="PREDIAL"),0,0)))</f>
        <v>58.24</v>
      </c>
      <c r="AM1032" s="153" t="n">
        <f aca="false">IF(AND($N1032="MND",$Q1032="EMBOQUE"),$M1032,IF(AND($N1032="VCA",$Q1032="LINEAR"),$M1032,IF(AND($N1032="VCA",$Q1032="PREDIAL"),0,0)))</f>
        <v>58.24</v>
      </c>
      <c r="AN1032" s="153" t="n">
        <f aca="false">ROUND(IF(AND($N1032="VCA",$M1032&lt;&gt;"",$Q1032="LINEAR"),$M1032/100,IF(AND($N1032="MND",$M1032&gt;100,$Q1032="EMBOQUE"),$M1032/100,0)),0)</f>
        <v>1</v>
      </c>
      <c r="AO1032" s="153" t="n">
        <f aca="false">IF(AND($N1032="MND",$Q1032="EMBOQUE"),$AN1032*2*2,IF(AND($N1032="VCA",$Q1032="LINEAR"),$M1032*2,IF(AND($N1032="VCA",$Q1032="PREDIAL"),0,0)))</f>
        <v>116.48</v>
      </c>
      <c r="AP1032" s="153" t="n">
        <f aca="false">IFERROR($M1032*$AF1032*$AG1032,0)</f>
        <v>61.5888</v>
      </c>
      <c r="AQ1032" s="153" t="n">
        <f aca="false">IFERROR(IF(AND($N1032="VCA",$AH1032&gt;0),$M1032*$AG1032*$AH1032,0),0)</f>
        <v>4.368</v>
      </c>
      <c r="AR1032" s="153" t="n">
        <f aca="false">IFERROR(IF(AND($N1032="VCA",$AJ1032&gt;0),($M1032*$AG1032*$AJ1032)-$AI1032,0),0)</f>
        <v>17.3553267726612</v>
      </c>
      <c r="AS1032" s="153" t="n">
        <f aca="false">IFERROR(IF(AND($N1032="VCA",$AP1032&gt;0),$AP1032-$AI1032-$AQ1032-$AR1032,0),0)</f>
        <v>39.312</v>
      </c>
      <c r="AT1032" s="153" t="n">
        <f aca="false">IFERROR(IF($N1032="VCA",INDEX(APOIO_REDES!$A:$W,MATCH($C1032&amp;$I1032&amp;$H1032&amp;$N1032&amp;$O1032,APOIO_REDES!$W:$W,0),MATCH(AT$5,APOIO_REDES!$5:$5,0)),0)*$AP1032,0)</f>
        <v>0.670104373354285</v>
      </c>
      <c r="AU1032" s="153" t="n">
        <f aca="false">IFERROR(IF($N1032="VCA",INDEX(APOIO_REDES!$A:$W,MATCH($C1032&amp;$I1032&amp;$H1032&amp;$N1032&amp;$O1032,APOIO_REDES!$W:$W,0),MATCH(AU$5,APOIO_REDES!$5:$5,0)),0)*$AP1032,0)</f>
        <v>0.535127203832671</v>
      </c>
      <c r="AV1032" s="153" t="n">
        <f aca="false">IFERROR(IF($N1032="VCA",INDEX(APOIO_REDES!$A:$W,MATCH($C1032&amp;$I1032&amp;$H1032&amp;$N1032&amp;$O1032,APOIO_REDES!$W:$W,0),MATCH(AV$5,APOIO_REDES!$5:$5,0)),0)*$AP1032,0)</f>
        <v>0.0740574040971818</v>
      </c>
      <c r="AW1032" s="153" t="n">
        <f aca="false">IFERROR(IF($N1032="VCA",INDEX(APOIO_REDES!$A:$W,MATCH($C1032&amp;$I1032&amp;$H1032&amp;$N1032&amp;$O1032,APOIO_REDES!$W:$W,0),MATCH(AW$5,APOIO_REDES!$5:$5,0)),0)*$AP1032,0)</f>
        <v>42.2750295333093</v>
      </c>
      <c r="AX1032" s="153" t="n">
        <f aca="false">IFERROR(IF($N1032="VCA",INDEX(APOIO_REDES!$A:$W,MATCH($C1032&amp;$I1032&amp;$H1032&amp;$N1032&amp;$O1032,APOIO_REDES!$W:$W,0),MATCH(AX$5,APOIO_REDES!$5:$5,0)),0)*$AP1032,0)</f>
        <v>5.85074366470891</v>
      </c>
      <c r="AY1032" s="153" t="n">
        <f aca="false">IFERROR(IF($N1032="VCA",INDEX(APOIO_REDES!$A:$W,MATCH($C1032&amp;$I1032&amp;$H1032&amp;$N1032&amp;$O1032,APOIO_REDES!$W:$W,0),MATCH(AY$5,APOIO_REDES!$5:$5,0)),0)*$AP1032,0)</f>
        <v>10.7025375534962</v>
      </c>
      <c r="AZ1032" s="153" t="n">
        <f aca="false">IFERROR(IF($N1032="VCA",INDEX(APOIO_REDES!$A:$W,MATCH($C1032&amp;$I1032&amp;$H1032&amp;$N1032&amp;$O1032,APOIO_REDES!$W:$W,0),MATCH(AZ$5,APOIO_REDES!$5:$5,0)),0)*$AP1032,0)</f>
        <v>1.48120026720152</v>
      </c>
      <c r="BA1032" s="153" t="n">
        <f aca="false">IFERROR(IF(AND($N1032="VCA",$Q1032="LINEAR"),INDEX(APOIO_REDES!$A:$W,MATCH($C1032&amp;$I1032&amp;$H1032&amp;$N1032&amp;$O1032,APOIO_REDES!$W:$W,0),MATCH(BA$5,APOIO_REDES!$5:$5,0)),IF(AND($N1032="MND",$Q1032="EMBOQUE"),INDEX(APOIO_REDES!$A:$W,MATCH($C1032&amp;$I1032&amp;$H1032&amp;$N1032&amp;$O1032,APOIO_REDES!$W:$W,0),MATCH(BA$5,APOIO_REDES!$5:$5,0)),0))*$M1032/10,0)</f>
        <v>4.6939970942464</v>
      </c>
      <c r="BB1032" s="153" t="n">
        <f aca="false">IFERROR(IF($N1032="VCA",INDEX(APOIO_REDES!$A:$W,MATCH($C1032&amp;$I1032&amp;$H1032&amp;$N1032&amp;$O1032,APOIO_REDES!$W:$W,0),MATCH(BB$5,APOIO_REDES!$5:$5,0)),0)*($AI1032+$AQ1032+$AR1032),0)</f>
        <v>22.0344218224038</v>
      </c>
      <c r="BC1032" s="153" t="n">
        <f aca="false">IFERROR(IF($N1032="VCA",INDEX(APOIO_REDES!$A:$W,MATCH($C1032&amp;$I1032&amp;$H1032&amp;$N1032&amp;$O1032,APOIO_REDES!$W:$W,0),MATCH(BC$5,APOIO_REDES!$5:$5,0)),0)*($AI1032+$AQ1032+$AR1032),0)</f>
        <v>0.242378177596231</v>
      </c>
      <c r="BD1032" s="153" t="n">
        <f aca="false">IF(AND($N1032="VCA",$AF1032&gt;=1.25,$AF1032&lt;1.5),$M1032*$AF1032*2,0)</f>
        <v>164.2368</v>
      </c>
      <c r="BE1032" s="153" t="n">
        <f aca="false">IF(AND($N1032="VCA",$AF1032&gt;=1.5,$AF1032&lt;3),$M1032*$AF1032*2,0)</f>
        <v>0</v>
      </c>
      <c r="BF1032" s="153" t="n">
        <f aca="false">IF(AND($N1032="VCA",$AF1032&gt;=3),$M1032*$AF1032*2,0)</f>
        <v>0</v>
      </c>
      <c r="BG1032" s="153" t="n">
        <f aca="false">($BB1032+$BC1032)*$AK1032</f>
        <v>115.83936</v>
      </c>
      <c r="BH1032" s="153" t="n">
        <f aca="false">IF(AND($M1032&lt;&gt;"",$N1032="VCA",$Q1032="LINEAR"),($M1032*2)/100,IF(AND($M1032&lt;&gt;"",$N1032="MND",$Q1032="EMBOQUE"),($AN1032*2)/100,0))</f>
        <v>1.1648</v>
      </c>
      <c r="BI1032" s="153" t="n">
        <f aca="false">IF(AND($M1032&lt;&gt;"",$N1032="VCA",$Q1032="LINEAR"),$M1032,IF(AND($M1032&lt;&gt;"",$N1032="MND",$Q1032="EMBOQUE"),$AN1032*2,0))</f>
        <v>58.24</v>
      </c>
      <c r="BJ1032" s="153" t="n">
        <f aca="false">IF(AND($M1032&lt;&gt;"",$N1032="VCA",$Q1032="LINEAR"),($M1032*6.8)/100,IF(AND($M1032&lt;&gt;"",$N1032="MND",$Q1032="EMBOQUE"),($AN1032*2*6.8)/100,0))</f>
        <v>3.96032</v>
      </c>
      <c r="BK1032" s="153" t="n">
        <f aca="false">IF(AND($M1032&lt;&gt;"",$N1032="VCA",$Q1032="LINEAR"),($M1032*2.5)/50,IF(AND($M1032&lt;&gt;"",$N1032="MND",$Q1032="EMBOQUE"),($AN1032*2*2.5)/50,0))</f>
        <v>2.912</v>
      </c>
      <c r="BL1032" s="157" t="str">
        <f aca="false">K1032&amp;J1032</f>
        <v>Zona09REDES</v>
      </c>
      <c r="BM1032" s="152" t="s">
        <v>5109</v>
      </c>
      <c r="BN1032" s="152" t="s">
        <v>1560</v>
      </c>
      <c r="BO1032" s="152" t="s">
        <v>5413</v>
      </c>
      <c r="BP1032" s="152" t="s">
        <v>5445</v>
      </c>
      <c r="BQ1032" s="152" t="s">
        <v>5461</v>
      </c>
      <c r="BR1032" s="152" t="s">
        <v>5462</v>
      </c>
      <c r="BS1032" s="152" t="n">
        <v>202949.572</v>
      </c>
      <c r="BT1032" s="152" t="n">
        <v>8236424.669</v>
      </c>
      <c r="BU1032" s="152" t="n">
        <v>202961.856</v>
      </c>
      <c r="BV1032" s="152" t="n">
        <v>8236367.766</v>
      </c>
      <c r="BW1032" s="152" t="n">
        <v>-15.9339393</v>
      </c>
      <c r="BX1032" s="152" t="n">
        <v>-47.7744911</v>
      </c>
      <c r="BY1032" s="152" t="s">
        <v>5445</v>
      </c>
    </row>
    <row r="1033" customFormat="false" ht="13.8" hidden="false" customHeight="false" outlineLevel="0" collapsed="false">
      <c r="A1033" s="149" t="n">
        <f aca="false">IF(C1033&lt;&gt;"",ROW(A1028),"")</f>
        <v>1028</v>
      </c>
      <c r="B1033" s="150" t="str">
        <f aca="false">HYPERLINK("https://www.google.com/maps/dir/-15.917302,-47.760003/-15.9341974,-47.7744385/data=!4m3!4m2!3e0!5i2")</f>
        <v>https://www.google.com/maps/dir/-15.917302,-47.760003/-15.9341974,-47.7744385/data=!4m3!4m2!3e0!5i2</v>
      </c>
      <c r="C1033" s="151" t="s">
        <v>117</v>
      </c>
      <c r="D1033" s="152" t="s">
        <v>112</v>
      </c>
      <c r="E1033" s="152" t="s">
        <v>113</v>
      </c>
      <c r="F1033" s="152" t="s">
        <v>117</v>
      </c>
      <c r="G1033" s="152" t="s">
        <v>114</v>
      </c>
      <c r="H1033" s="152" t="n">
        <v>160</v>
      </c>
      <c r="I1033" s="152" t="s">
        <v>115</v>
      </c>
      <c r="J1033" s="152" t="s">
        <v>6</v>
      </c>
      <c r="K1033" s="152" t="s">
        <v>5106</v>
      </c>
      <c r="L1033" s="152" t="s">
        <v>120</v>
      </c>
      <c r="M1033" s="153" t="n">
        <f aca="false">233.92+0.55</f>
        <v>234.47</v>
      </c>
      <c r="N1033" s="152" t="s">
        <v>1548</v>
      </c>
      <c r="O1033" s="152" t="s">
        <v>1549</v>
      </c>
      <c r="P1033" s="152" t="s">
        <v>1550</v>
      </c>
      <c r="Q1033" s="152" t="s">
        <v>1551</v>
      </c>
      <c r="R1033" s="154" t="s">
        <v>5463</v>
      </c>
      <c r="S1033" s="154" t="s">
        <v>1593</v>
      </c>
      <c r="T1033" s="155" t="s">
        <v>5411</v>
      </c>
      <c r="U1033" s="152" t="str">
        <f aca="false">RIGHT(T1033,7)</f>
        <v>017/037</v>
      </c>
      <c r="V1033" s="152" t="s">
        <v>1555</v>
      </c>
      <c r="W1033" s="156" t="n">
        <v>45882</v>
      </c>
      <c r="X1033" s="152" t="s">
        <v>1594</v>
      </c>
      <c r="Y1033" s="152"/>
      <c r="Z1033" s="152" t="s">
        <v>1557</v>
      </c>
      <c r="AA1033" s="153" t="n">
        <v>5.1</v>
      </c>
      <c r="AB1033" s="151" t="s">
        <v>5464</v>
      </c>
      <c r="AC1033" s="151" t="s">
        <v>505</v>
      </c>
      <c r="AD1033" s="151" t="str">
        <f aca="false">CONCATENATE($C1033,$I1033,$H1033,$N1033,$J1033,$K1033)</f>
        <v>TUBO PEADPEAD160VCAREDESZona09</v>
      </c>
      <c r="AE1033" s="153" t="n">
        <f aca="false">IFERROR(INDEX(APOIO_REDES!$A:$W,MATCH($C1033&amp;$I1033&amp;$H1033&amp;$N1033&amp;$O1033,APOIO_REDES!$W:$W,0),MATCH(AE$5,APOIO_REDES!$5:$5,0)),0)</f>
        <v>1.2</v>
      </c>
      <c r="AF1033" s="153" t="n">
        <f aca="false">IFERROR(INDEX(APOIO_REDES!$A:$W,MATCH($C1033&amp;$I1033&amp;$H1033&amp;$N1033&amp;$O1033,APOIO_REDES!$W:$W,0),MATCH(AF$5,APOIO_REDES!$5:$5,0)),0)</f>
        <v>1.46</v>
      </c>
      <c r="AG1033" s="153" t="n">
        <f aca="false">IFERROR(INDEX(APOIO_REDES!$A:$W,MATCH($C1033&amp;$I1033&amp;$H1033&amp;$N1033&amp;$O1033,APOIO_REDES!$W:$W,0),MATCH(AG$5,APOIO_REDES!$5:$5,0)),0)</f>
        <v>0.75</v>
      </c>
      <c r="AH1033" s="153" t="n">
        <f aca="false">IFERROR(INDEX(APOIO_REDES!$A:$W,MATCH($C1033&amp;$I1033&amp;$H1033&amp;$N1033&amp;$O1033,APOIO_REDES!$W:$W,0),MATCH(AH$5,APOIO_REDES!$5:$5,0)),0)</f>
        <v>0.1</v>
      </c>
      <c r="AI1033" s="153" t="n">
        <f aca="false">IFERROR(IF($H1033&lt;&gt;"",(((($H1033/1000)/2)^2)*PI()*$M1033),0),0)</f>
        <v>4.71429906871807</v>
      </c>
      <c r="AJ1033" s="153" t="n">
        <f aca="false">IFERROR(IF(AND($H1033&lt;&gt;"",$I1033="FoFo",OR($N1033="MND",$N1033="VCA"),$Q1033="LINEAR"),0,IF(AND($H1033&lt;&gt;"",$I1033="PEAD",$N1033="VCA",$Q1033="LINEAR"),($H1033/1000)+0.3,IF(AND($H1033&lt;&gt;"",$I1033="PEAD",$N1033="MND",$Q1033="EMBOQUE"),0,IF(AND($H1033&lt;&gt;"",$I1033="PVC",$N1033="VCA",$Q1033="LINEAR"),($H1033/1000)+0.2,IF(AND($H1033&lt;&gt;"",$I1033="PVC",$N1033="MND",$Q1033="EMBOQUE"),0,IF(AND($H1033&lt;&gt;"",$I1033="PEAD",$N1033="VCA",$Q1033="PREDIAL"),0,0)))))),0)</f>
        <v>0.46</v>
      </c>
      <c r="AK1033" s="153" t="n">
        <f aca="false">IF(AA1033&lt;&gt;"",AA1033,0)</f>
        <v>5.1</v>
      </c>
      <c r="AL1033" s="153" t="n">
        <f aca="false">IF(AND($N1033="MND",$Q1033="EMBOQUE"),$M1033,IF(AND($N1033="VCA",$Q1033="LINEAR"),$M1033,IF(AND($N1033="VCA",$Q1033="PREDIAL"),0,0)))</f>
        <v>234.47</v>
      </c>
      <c r="AM1033" s="153" t="n">
        <f aca="false">IF(AND($N1033="MND",$Q1033="EMBOQUE"),$M1033,IF(AND($N1033="VCA",$Q1033="LINEAR"),$M1033,IF(AND($N1033="VCA",$Q1033="PREDIAL"),0,0)))</f>
        <v>234.47</v>
      </c>
      <c r="AN1033" s="153" t="n">
        <f aca="false">ROUND(IF(AND($N1033="VCA",$M1033&lt;&gt;"",$Q1033="LINEAR"),$M1033/100,IF(AND($N1033="MND",$M1033&gt;100,$Q1033="EMBOQUE"),$M1033/100,0)),0)</f>
        <v>2</v>
      </c>
      <c r="AO1033" s="153" t="n">
        <f aca="false">IF(AND($N1033="MND",$Q1033="EMBOQUE"),$AN1033*2*2,IF(AND($N1033="VCA",$Q1033="LINEAR"),$M1033*2,IF(AND($N1033="VCA",$Q1033="PREDIAL"),0,0)))</f>
        <v>468.94</v>
      </c>
      <c r="AP1033" s="153" t="n">
        <f aca="false">IFERROR($M1033*$AF1033*$AG1033,0)</f>
        <v>256.74465</v>
      </c>
      <c r="AQ1033" s="153" t="n">
        <f aca="false">IFERROR(IF(AND($N1033="VCA",$AH1033&gt;0),$M1033*$AG1033*$AH1033,0),0)</f>
        <v>17.58525</v>
      </c>
      <c r="AR1033" s="153" t="n">
        <f aca="false">IFERROR(IF(AND($N1033="VCA",$AJ1033&gt;0),($M1033*$AG1033*$AJ1033)-$AI1033,0),0)</f>
        <v>76.1778509312819</v>
      </c>
      <c r="AS1033" s="153" t="n">
        <f aca="false">IFERROR(IF(AND($N1033="VCA",$AP1033&gt;0),$AP1033-$AI1033-$AQ1033-$AR1033,0),0)</f>
        <v>158.26725</v>
      </c>
      <c r="AT1033" s="153" t="n">
        <f aca="false">IFERROR(IF($N1033="VCA",INDEX(APOIO_REDES!$A:$W,MATCH($C1033&amp;$I1033&amp;$H1033&amp;$N1033&amp;$O1033,APOIO_REDES!$W:$W,0),MATCH(AT$5,APOIO_REDES!$5:$5,0)),0)*$AP1033,0)</f>
        <v>2.79345778453737</v>
      </c>
      <c r="AU1033" s="153" t="n">
        <f aca="false">IFERROR(IF($N1033="VCA",INDEX(APOIO_REDES!$A:$W,MATCH($C1033&amp;$I1033&amp;$H1033&amp;$N1033&amp;$O1033,APOIO_REDES!$W:$W,0),MATCH(AU$5,APOIO_REDES!$5:$5,0)),0)*$AP1033,0)</f>
        <v>2.23077973029995</v>
      </c>
      <c r="AV1033" s="153" t="n">
        <f aca="false">IFERROR(IF($N1033="VCA",INDEX(APOIO_REDES!$A:$W,MATCH($C1033&amp;$I1033&amp;$H1033&amp;$N1033&amp;$O1033,APOIO_REDES!$W:$W,0),MATCH(AV$5,APOIO_REDES!$5:$5,0)),0)*$AP1033,0)</f>
        <v>0.308722402366007</v>
      </c>
      <c r="AW1033" s="153" t="n">
        <f aca="false">IFERROR(IF($N1033="VCA",INDEX(APOIO_REDES!$A:$W,MATCH($C1033&amp;$I1033&amp;$H1033&amp;$N1033&amp;$O1033,APOIO_REDES!$W:$W,0),MATCH(AW$5,APOIO_REDES!$5:$5,0)),0)*$AP1033,0)</f>
        <v>176.231517114624</v>
      </c>
      <c r="AX1033" s="153" t="n">
        <f aca="false">IFERROR(IF($N1033="VCA",INDEX(APOIO_REDES!$A:$W,MATCH($C1033&amp;$I1033&amp;$H1033&amp;$N1033&amp;$O1033,APOIO_REDES!$W:$W,0),MATCH(AX$5,APOIO_REDES!$5:$5,0)),0)*$AP1033,0)</f>
        <v>24.389939963685</v>
      </c>
      <c r="AY1033" s="153" t="n">
        <f aca="false">IFERROR(IF($N1033="VCA",INDEX(APOIO_REDES!$A:$W,MATCH($C1033&amp;$I1033&amp;$H1033&amp;$N1033&amp;$O1033,APOIO_REDES!$W:$W,0),MATCH(AY$5,APOIO_REDES!$5:$5,0)),0)*$AP1033,0)</f>
        <v>44.615567412975</v>
      </c>
      <c r="AZ1033" s="153" t="n">
        <f aca="false">IFERROR(IF($N1033="VCA",INDEX(APOIO_REDES!$A:$W,MATCH($C1033&amp;$I1033&amp;$H1033&amp;$N1033&amp;$O1033,APOIO_REDES!$W:$W,0),MATCH(AZ$5,APOIO_REDES!$5:$5,0)),0)*$AP1033,0)</f>
        <v>6.17466559151276</v>
      </c>
      <c r="BA1033" s="153" t="n">
        <f aca="false">IFERROR(IF(AND($N1033="VCA",$Q1033="LINEAR"),INDEX(APOIO_REDES!$A:$W,MATCH($C1033&amp;$I1033&amp;$H1033&amp;$N1033&amp;$O1033,APOIO_REDES!$W:$W,0),MATCH(BA$5,APOIO_REDES!$5:$5,0)),IF(AND($N1033="MND",$Q1033="EMBOQUE"),INDEX(APOIO_REDES!$A:$W,MATCH($C1033&amp;$I1033&amp;$H1033&amp;$N1033&amp;$O1033,APOIO_REDES!$W:$W,0),MATCH(BA$5,APOIO_REDES!$5:$5,0)),0))*$M1033/10,0)</f>
        <v>18.8976905681311</v>
      </c>
      <c r="BB1033" s="153" t="n">
        <f aca="false">IFERROR(IF($N1033="VCA",INDEX(APOIO_REDES!$A:$W,MATCH($C1033&amp;$I1033&amp;$H1033&amp;$N1033&amp;$O1033,APOIO_REDES!$W:$W,0),MATCH(BB$5,APOIO_REDES!$5:$5,0)),0)*($AI1033+$AQ1033+$AR1033),0)</f>
        <v>97.4059367401774</v>
      </c>
      <c r="BC1033" s="153" t="n">
        <f aca="false">IFERROR(IF($N1033="VCA",INDEX(APOIO_REDES!$A:$W,MATCH($C1033&amp;$I1033&amp;$H1033&amp;$N1033&amp;$O1033,APOIO_REDES!$W:$W,0),MATCH(BC$5,APOIO_REDES!$5:$5,0)),0)*($AI1033+$AQ1033+$AR1033),0)</f>
        <v>1.07146325982255</v>
      </c>
      <c r="BD1033" s="153" t="n">
        <f aca="false">IF(AND($N1033="VCA",$AF1033&gt;=1.25,$AF1033&lt;1.5),$M1033*$AF1033*2,0)</f>
        <v>684.6524</v>
      </c>
      <c r="BE1033" s="153" t="n">
        <f aca="false">IF(AND($N1033="VCA",$AF1033&gt;=1.5,$AF1033&lt;3),$M1033*$AF1033*2,0)</f>
        <v>0</v>
      </c>
      <c r="BF1033" s="153" t="n">
        <f aca="false">IF(AND($N1033="VCA",$AF1033&gt;=3),$M1033*$AF1033*2,0)</f>
        <v>0</v>
      </c>
      <c r="BG1033" s="153" t="n">
        <f aca="false">($BB1033+$BC1033)*$AK1033</f>
        <v>502.23474</v>
      </c>
      <c r="BH1033" s="153" t="n">
        <f aca="false">IF(AND($M1033&lt;&gt;"",$N1033="VCA",$Q1033="LINEAR"),($M1033*2)/100,IF(AND($M1033&lt;&gt;"",$N1033="MND",$Q1033="EMBOQUE"),($AN1033*2)/100,0))</f>
        <v>4.6894</v>
      </c>
      <c r="BI1033" s="153" t="n">
        <f aca="false">IF(AND($M1033&lt;&gt;"",$N1033="VCA",$Q1033="LINEAR"),$M1033,IF(AND($M1033&lt;&gt;"",$N1033="MND",$Q1033="EMBOQUE"),$AN1033*2,0))</f>
        <v>234.47</v>
      </c>
      <c r="BJ1033" s="153" t="n">
        <f aca="false">IF(AND($M1033&lt;&gt;"",$N1033="VCA",$Q1033="LINEAR"),($M1033*6.8)/100,IF(AND($M1033&lt;&gt;"",$N1033="MND",$Q1033="EMBOQUE"),($AN1033*2*6.8)/100,0))</f>
        <v>15.94396</v>
      </c>
      <c r="BK1033" s="153" t="n">
        <f aca="false">IF(AND($M1033&lt;&gt;"",$N1033="VCA",$Q1033="LINEAR"),($M1033*2.5)/50,IF(AND($M1033&lt;&gt;"",$N1033="MND",$Q1033="EMBOQUE"),($AN1033*2*2.5)/50,0))</f>
        <v>11.7235</v>
      </c>
      <c r="BL1033" s="157" t="str">
        <f aca="false">K1033&amp;J1033</f>
        <v>Zona09REDES</v>
      </c>
      <c r="BM1033" s="152" t="s">
        <v>5109</v>
      </c>
      <c r="BN1033" s="152" t="s">
        <v>1560</v>
      </c>
      <c r="BO1033" s="152" t="s">
        <v>5413</v>
      </c>
      <c r="BP1033" s="152" t="s">
        <v>5461</v>
      </c>
      <c r="BQ1033" s="152" t="s">
        <v>5457</v>
      </c>
      <c r="BR1033" s="152" t="s">
        <v>5465</v>
      </c>
      <c r="BS1033" s="152" t="n">
        <v>202962.248</v>
      </c>
      <c r="BT1033" s="152" t="n">
        <v>8236367.835</v>
      </c>
      <c r="BU1033" s="152" t="n">
        <v>203192.023</v>
      </c>
      <c r="BV1033" s="152" t="n">
        <v>8236411.315</v>
      </c>
      <c r="BW1033" s="152" t="n">
        <v>-15.9340075</v>
      </c>
      <c r="BX1033" s="152" t="n">
        <v>-47.7733649</v>
      </c>
      <c r="BY1033" s="152" t="s">
        <v>5461</v>
      </c>
    </row>
    <row r="1034" customFormat="false" ht="13.8" hidden="false" customHeight="false" outlineLevel="0" collapsed="false">
      <c r="A1034" s="149" t="n">
        <f aca="false">IF(C1034&lt;&gt;"",ROW(A1029),"")</f>
        <v>1029</v>
      </c>
      <c r="B1034" s="150" t="str">
        <f aca="false">HYPERLINK("https://www.google.com/maps/dir/-15.917302,-47.760003/-15.9341974,-47.7744385/data=!4m3!4m2!3e0!5i2")</f>
        <v>https://www.google.com/maps/dir/-15.917302,-47.760003/-15.9341974,-47.7744385/data=!4m3!4m2!3e0!5i2</v>
      </c>
      <c r="C1034" s="151" t="s">
        <v>117</v>
      </c>
      <c r="D1034" s="152" t="s">
        <v>112</v>
      </c>
      <c r="E1034" s="152" t="s">
        <v>113</v>
      </c>
      <c r="F1034" s="152" t="s">
        <v>117</v>
      </c>
      <c r="G1034" s="152" t="s">
        <v>782</v>
      </c>
      <c r="H1034" s="152" t="n">
        <v>110</v>
      </c>
      <c r="I1034" s="152" t="s">
        <v>115</v>
      </c>
      <c r="J1034" s="152" t="s">
        <v>6</v>
      </c>
      <c r="K1034" s="152" t="s">
        <v>5106</v>
      </c>
      <c r="L1034" s="152" t="s">
        <v>120</v>
      </c>
      <c r="M1034" s="153" t="n">
        <f aca="false">36.59</f>
        <v>36.59</v>
      </c>
      <c r="N1034" s="152" t="s">
        <v>1548</v>
      </c>
      <c r="O1034" s="152" t="s">
        <v>1549</v>
      </c>
      <c r="P1034" s="152" t="s">
        <v>1550</v>
      </c>
      <c r="Q1034" s="152" t="s">
        <v>1551</v>
      </c>
      <c r="R1034" s="154" t="s">
        <v>5466</v>
      </c>
      <c r="S1034" s="154" t="s">
        <v>1593</v>
      </c>
      <c r="T1034" s="155" t="s">
        <v>5411</v>
      </c>
      <c r="U1034" s="152" t="str">
        <f aca="false">RIGHT(T1034,7)</f>
        <v>017/037</v>
      </c>
      <c r="V1034" s="152" t="s">
        <v>1555</v>
      </c>
      <c r="W1034" s="156" t="n">
        <v>45882</v>
      </c>
      <c r="X1034" s="152" t="s">
        <v>1594</v>
      </c>
      <c r="Y1034" s="152"/>
      <c r="Z1034" s="152" t="s">
        <v>1557</v>
      </c>
      <c r="AA1034" s="153" t="n">
        <v>5.1</v>
      </c>
      <c r="AB1034" s="151" t="s">
        <v>5467</v>
      </c>
      <c r="AC1034" s="151" t="s">
        <v>502</v>
      </c>
      <c r="AD1034" s="151" t="str">
        <f aca="false">CONCATENATE($C1034,$I1034,$H1034,$N1034,$J1034,$K1034)</f>
        <v>TUBO PEADPEAD110VCAREDESZona09</v>
      </c>
      <c r="AE1034" s="153" t="n">
        <f aca="false">IFERROR(INDEX(APOIO_REDES!$A:$W,MATCH($C1034&amp;$I1034&amp;$H1034&amp;$N1034&amp;$O1034,APOIO_REDES!$W:$W,0),MATCH(AE$5,APOIO_REDES!$5:$5,0)),0)</f>
        <v>1.2</v>
      </c>
      <c r="AF1034" s="153" t="n">
        <f aca="false">IFERROR(INDEX(APOIO_REDES!$A:$W,MATCH($C1034&amp;$I1034&amp;$H1034&amp;$N1034&amp;$O1034,APOIO_REDES!$W:$W,0),MATCH(AF$5,APOIO_REDES!$5:$5,0)),0)</f>
        <v>1.41</v>
      </c>
      <c r="AG1034" s="153" t="n">
        <f aca="false">IFERROR(INDEX(APOIO_REDES!$A:$W,MATCH($C1034&amp;$I1034&amp;$H1034&amp;$N1034&amp;$O1034,APOIO_REDES!$W:$W,0),MATCH(AG$5,APOIO_REDES!$5:$5,0)),0)</f>
        <v>0.75</v>
      </c>
      <c r="AH1034" s="153" t="n">
        <f aca="false">IFERROR(INDEX(APOIO_REDES!$A:$W,MATCH($C1034&amp;$I1034&amp;$H1034&amp;$N1034&amp;$O1034,APOIO_REDES!$W:$W,0),MATCH(AH$5,APOIO_REDES!$5:$5,0)),0)</f>
        <v>0.1</v>
      </c>
      <c r="AI1034" s="153" t="n">
        <f aca="false">IFERROR(IF($H1034&lt;&gt;"",(((($H1034/1000)/2)^2)*PI()*$M1034),0),0)</f>
        <v>0.347726397464423</v>
      </c>
      <c r="AJ1034" s="153" t="n">
        <f aca="false">IFERROR(IF(AND($H1034&lt;&gt;"",$I1034="FoFo",OR($N1034="MND",$N1034="VCA"),$Q1034="LINEAR"),0,IF(AND($H1034&lt;&gt;"",$I1034="PEAD",$N1034="VCA",$Q1034="LINEAR"),($H1034/1000)+0.3,IF(AND($H1034&lt;&gt;"",$I1034="PEAD",$N1034="MND",$Q1034="EMBOQUE"),0,IF(AND($H1034&lt;&gt;"",$I1034="PVC",$N1034="VCA",$Q1034="LINEAR"),($H1034/1000)+0.2,IF(AND($H1034&lt;&gt;"",$I1034="PVC",$N1034="MND",$Q1034="EMBOQUE"),0,IF(AND($H1034&lt;&gt;"",$I1034="PEAD",$N1034="VCA",$Q1034="PREDIAL"),0,0)))))),0)</f>
        <v>0.41</v>
      </c>
      <c r="AK1034" s="153" t="n">
        <f aca="false">IF(AA1034&lt;&gt;"",AA1034,0)</f>
        <v>5.1</v>
      </c>
      <c r="AL1034" s="153" t="n">
        <f aca="false">IF(AND($N1034="MND",$Q1034="EMBOQUE"),$M1034,IF(AND($N1034="VCA",$Q1034="LINEAR"),$M1034,IF(AND($N1034="VCA",$Q1034="PREDIAL"),0,0)))</f>
        <v>36.59</v>
      </c>
      <c r="AM1034" s="153" t="n">
        <f aca="false">IF(AND($N1034="MND",$Q1034="EMBOQUE"),$M1034,IF(AND($N1034="VCA",$Q1034="LINEAR"),$M1034,IF(AND($N1034="VCA",$Q1034="PREDIAL"),0,0)))</f>
        <v>36.59</v>
      </c>
      <c r="AN1034" s="153" t="n">
        <f aca="false">ROUND(IF(AND($N1034="VCA",$M1034&lt;&gt;"",$Q1034="LINEAR"),$M1034/100,IF(AND($N1034="MND",$M1034&gt;100,$Q1034="EMBOQUE"),$M1034/100,0)),0)</f>
        <v>0</v>
      </c>
      <c r="AO1034" s="153" t="n">
        <f aca="false">IF(AND($N1034="MND",$Q1034="EMBOQUE"),$AN1034*2*2,IF(AND($N1034="VCA",$Q1034="LINEAR"),$M1034*2,IF(AND($N1034="VCA",$Q1034="PREDIAL"),0,0)))</f>
        <v>73.18</v>
      </c>
      <c r="AP1034" s="153" t="n">
        <f aca="false">IFERROR($M1034*$AF1034*$AG1034,0)</f>
        <v>38.693925</v>
      </c>
      <c r="AQ1034" s="153" t="n">
        <f aca="false">IFERROR(IF(AND($N1034="VCA",$AH1034&gt;0),$M1034*$AG1034*$AH1034,0),0)</f>
        <v>2.74425</v>
      </c>
      <c r="AR1034" s="153" t="n">
        <f aca="false">IFERROR(IF(AND($N1034="VCA",$AJ1034&gt;0),($M1034*$AG1034*$AJ1034)-$AI1034,0),0)</f>
        <v>10.9036986025356</v>
      </c>
      <c r="AS1034" s="153" t="n">
        <f aca="false">IFERROR(IF(AND($N1034="VCA",$AP1034&gt;0),$AP1034-$AI1034-$AQ1034-$AR1034,0),0)</f>
        <v>24.69825</v>
      </c>
      <c r="AT1034" s="153" t="n">
        <f aca="false">IFERROR(IF($N1034="VCA",INDEX(APOIO_REDES!$A:$W,MATCH($C1034&amp;$I1034&amp;$H1034&amp;$N1034&amp;$O1034,APOIO_REDES!$W:$W,0),MATCH(AT$5,APOIO_REDES!$5:$5,0)),0)*$AP1034,0)</f>
        <v>0.421001356817192</v>
      </c>
      <c r="AU1034" s="153" t="n">
        <f aca="false">IFERROR(IF($N1034="VCA",INDEX(APOIO_REDES!$A:$W,MATCH($C1034&amp;$I1034&amp;$H1034&amp;$N1034&amp;$O1034,APOIO_REDES!$W:$W,0),MATCH(AU$5,APOIO_REDES!$5:$5,0)),0)*$AP1034,0)</f>
        <v>0.336200281391439</v>
      </c>
      <c r="AV1034" s="153" t="n">
        <f aca="false">IFERROR(IF($N1034="VCA",INDEX(APOIO_REDES!$A:$W,MATCH($C1034&amp;$I1034&amp;$H1034&amp;$N1034&amp;$O1034,APOIO_REDES!$W:$W,0),MATCH(AV$5,APOIO_REDES!$5:$5,0)),0)*$AP1034,0)</f>
        <v>0.0465274796688853</v>
      </c>
      <c r="AW1034" s="153" t="n">
        <f aca="false">IFERROR(IF($N1034="VCA",INDEX(APOIO_REDES!$A:$W,MATCH($C1034&amp;$I1034&amp;$H1034&amp;$N1034&amp;$O1034,APOIO_REDES!$W:$W,0),MATCH(AW$5,APOIO_REDES!$5:$5,0)),0)*$AP1034,0)</f>
        <v>26.5598099351612</v>
      </c>
      <c r="AX1034" s="153" t="n">
        <f aca="false">IFERROR(IF($N1034="VCA",INDEX(APOIO_REDES!$A:$W,MATCH($C1034&amp;$I1034&amp;$H1034&amp;$N1034&amp;$O1034,APOIO_REDES!$W:$W,0),MATCH(AX$5,APOIO_REDES!$5:$5,0)),0)*$AP1034,0)</f>
        <v>3.6758020379756</v>
      </c>
      <c r="AY1034" s="153" t="n">
        <f aca="false">IFERROR(IF($N1034="VCA",INDEX(APOIO_REDES!$A:$W,MATCH($C1034&amp;$I1034&amp;$H1034&amp;$N1034&amp;$O1034,APOIO_REDES!$W:$W,0),MATCH(AY$5,APOIO_REDES!$5:$5,0)),0)*$AP1034,0)</f>
        <v>6.72400152957461</v>
      </c>
      <c r="AZ1034" s="153" t="n">
        <f aca="false">IFERROR(IF($N1034="VCA",INDEX(APOIO_REDES!$A:$W,MATCH($C1034&amp;$I1034&amp;$H1034&amp;$N1034&amp;$O1034,APOIO_REDES!$W:$W,0),MATCH(AZ$5,APOIO_REDES!$5:$5,0)),0)*$AP1034,0)</f>
        <v>0.930582379411121</v>
      </c>
      <c r="BA1034" s="153" t="n">
        <f aca="false">IFERROR(IF(AND($N1034="VCA",$Q1034="LINEAR"),INDEX(APOIO_REDES!$A:$W,MATCH($C1034&amp;$I1034&amp;$H1034&amp;$N1034&amp;$O1034,APOIO_REDES!$W:$W,0),MATCH(BA$5,APOIO_REDES!$5:$5,0)),IF(AND($N1034="MND",$Q1034="EMBOQUE"),INDEX(APOIO_REDES!$A:$W,MATCH($C1034&amp;$I1034&amp;$H1034&amp;$N1034&amp;$O1034,APOIO_REDES!$W:$W,0),MATCH(BA$5,APOIO_REDES!$5:$5,0)),0))*$M1034/10,0)</f>
        <v>2.94906170464416</v>
      </c>
      <c r="BB1034" s="153" t="n">
        <f aca="false">IFERROR(IF($N1034="VCA",INDEX(APOIO_REDES!$A:$W,MATCH($C1034&amp;$I1034&amp;$H1034&amp;$N1034&amp;$O1034,APOIO_REDES!$W:$W,0),MATCH(BB$5,APOIO_REDES!$5:$5,0)),0)*($AI1034+$AQ1034+$AR1034),0)</f>
        <v>13.8433979134917</v>
      </c>
      <c r="BC1034" s="153" t="n">
        <f aca="false">IFERROR(IF($N1034="VCA",INDEX(APOIO_REDES!$A:$W,MATCH($C1034&amp;$I1034&amp;$H1034&amp;$N1034&amp;$O1034,APOIO_REDES!$W:$W,0),MATCH(BC$5,APOIO_REDES!$5:$5,0)),0)*($AI1034+$AQ1034+$AR1034),0)</f>
        <v>0.152277086508346</v>
      </c>
      <c r="BD1034" s="153" t="n">
        <f aca="false">IF(AND($N1034="VCA",$AF1034&gt;=1.25,$AF1034&lt;1.5),$M1034*$AF1034*2,0)</f>
        <v>103.1838</v>
      </c>
      <c r="BE1034" s="153" t="n">
        <f aca="false">IF(AND($N1034="VCA",$AF1034&gt;=1.5,$AF1034&lt;3),$M1034*$AF1034*2,0)</f>
        <v>0</v>
      </c>
      <c r="BF1034" s="153" t="n">
        <f aca="false">IF(AND($N1034="VCA",$AF1034&gt;=3),$M1034*$AF1034*2,0)</f>
        <v>0</v>
      </c>
      <c r="BG1034" s="153" t="n">
        <f aca="false">($BB1034+$BC1034)*$AK1034</f>
        <v>71.3779425</v>
      </c>
      <c r="BH1034" s="153" t="n">
        <f aca="false">IF(AND($M1034&lt;&gt;"",$N1034="VCA",$Q1034="LINEAR"),($M1034*2)/100,IF(AND($M1034&lt;&gt;"",$N1034="MND",$Q1034="EMBOQUE"),($AN1034*2)/100,0))</f>
        <v>0.7318</v>
      </c>
      <c r="BI1034" s="153" t="n">
        <f aca="false">IF(AND($M1034&lt;&gt;"",$N1034="VCA",$Q1034="LINEAR"),$M1034,IF(AND($M1034&lt;&gt;"",$N1034="MND",$Q1034="EMBOQUE"),$AN1034*2,0))</f>
        <v>36.59</v>
      </c>
      <c r="BJ1034" s="153" t="n">
        <f aca="false">IF(AND($M1034&lt;&gt;"",$N1034="VCA",$Q1034="LINEAR"),($M1034*6.8)/100,IF(AND($M1034&lt;&gt;"",$N1034="MND",$Q1034="EMBOQUE"),($AN1034*2*6.8)/100,0))</f>
        <v>2.48812</v>
      </c>
      <c r="BK1034" s="153" t="n">
        <f aca="false">IF(AND($M1034&lt;&gt;"",$N1034="VCA",$Q1034="LINEAR"),($M1034*2.5)/50,IF(AND($M1034&lt;&gt;"",$N1034="MND",$Q1034="EMBOQUE"),($AN1034*2*2.5)/50,0))</f>
        <v>1.8295</v>
      </c>
      <c r="BL1034" s="157" t="str">
        <f aca="false">K1034&amp;J1034</f>
        <v>Zona09REDES</v>
      </c>
      <c r="BM1034" s="152" t="s">
        <v>5109</v>
      </c>
      <c r="BN1034" s="152" t="s">
        <v>1560</v>
      </c>
      <c r="BO1034" s="152" t="s">
        <v>5413</v>
      </c>
      <c r="BP1034" s="152" t="s">
        <v>5461</v>
      </c>
      <c r="BQ1034" s="152" t="s">
        <v>5468</v>
      </c>
      <c r="BR1034" s="152" t="s">
        <v>5469</v>
      </c>
      <c r="BS1034" s="152" t="n">
        <v>202961.856</v>
      </c>
      <c r="BT1034" s="152" t="n">
        <v>8236367.766</v>
      </c>
      <c r="BU1034" s="152" t="n">
        <v>202969.95</v>
      </c>
      <c r="BV1034" s="152" t="n">
        <v>8236332.098</v>
      </c>
      <c r="BW1034" s="152" t="n">
        <v>-15.9343604</v>
      </c>
      <c r="BX1034" s="152" t="n">
        <v>-47.7744111</v>
      </c>
      <c r="BY1034" s="152" t="s">
        <v>5461</v>
      </c>
    </row>
    <row r="1035" customFormat="false" ht="13.8" hidden="false" customHeight="false" outlineLevel="0" collapsed="false">
      <c r="A1035" s="149" t="n">
        <f aca="false">IF(C1035&lt;&gt;"",ROW(A1030),"")</f>
        <v>1030</v>
      </c>
      <c r="B1035" s="150" t="str">
        <f aca="false">HYPERLINK("https://www.google.com/maps/dir/-15.917302,-47.760003/-15.9345210,-47.7743710/data=!4m3!4m2!3e0!5i2")</f>
        <v>https://www.google.com/maps/dir/-15.917302,-47.760003/-15.9345210,-47.7743710/data=!4m3!4m2!3e0!5i2</v>
      </c>
      <c r="C1035" s="151" t="s">
        <v>117</v>
      </c>
      <c r="D1035" s="152" t="s">
        <v>112</v>
      </c>
      <c r="E1035" s="152" t="s">
        <v>113</v>
      </c>
      <c r="F1035" s="152" t="s">
        <v>117</v>
      </c>
      <c r="G1035" s="152" t="s">
        <v>782</v>
      </c>
      <c r="H1035" s="152" t="n">
        <v>63</v>
      </c>
      <c r="I1035" s="152" t="s">
        <v>115</v>
      </c>
      <c r="J1035" s="152" t="s">
        <v>6</v>
      </c>
      <c r="K1035" s="152" t="s">
        <v>5106</v>
      </c>
      <c r="L1035" s="152" t="s">
        <v>120</v>
      </c>
      <c r="M1035" s="153" t="n">
        <f aca="false">253.74+4</f>
        <v>257.74</v>
      </c>
      <c r="N1035" s="152" t="s">
        <v>1548</v>
      </c>
      <c r="O1035" s="152" t="s">
        <v>1549</v>
      </c>
      <c r="P1035" s="152" t="s">
        <v>1550</v>
      </c>
      <c r="Q1035" s="152" t="s">
        <v>1551</v>
      </c>
      <c r="R1035" s="154" t="s">
        <v>5470</v>
      </c>
      <c r="S1035" s="154" t="s">
        <v>1553</v>
      </c>
      <c r="T1035" s="155" t="s">
        <v>5411</v>
      </c>
      <c r="U1035" s="152" t="str">
        <f aca="false">RIGHT(T1035,7)</f>
        <v>017/037</v>
      </c>
      <c r="V1035" s="152" t="s">
        <v>1555</v>
      </c>
      <c r="W1035" s="156" t="n">
        <v>45882</v>
      </c>
      <c r="X1035" s="152" t="s">
        <v>1594</v>
      </c>
      <c r="Y1035" s="152" t="s">
        <v>2035</v>
      </c>
      <c r="Z1035" s="152" t="s">
        <v>1557</v>
      </c>
      <c r="AA1035" s="153" t="n">
        <v>5.1</v>
      </c>
      <c r="AB1035" s="151" t="s">
        <v>5471</v>
      </c>
      <c r="AC1035" s="151" t="s">
        <v>186</v>
      </c>
      <c r="AD1035" s="151" t="str">
        <f aca="false">CONCATENATE($C1035,$I1035,$H1035,$N1035,$J1035,$K1035)</f>
        <v>TUBO PEADPEAD63VCAREDESZona09</v>
      </c>
      <c r="AE1035" s="153" t="n">
        <f aca="false">IFERROR(INDEX(APOIO_REDES!$A:$W,MATCH($C1035&amp;$I1035&amp;$H1035&amp;$N1035&amp;$O1035,APOIO_REDES!$W:$W,0),MATCH(AE$5,APOIO_REDES!$5:$5,0)),0)</f>
        <v>1.2</v>
      </c>
      <c r="AF1035" s="153" t="n">
        <f aca="false">IFERROR(INDEX(APOIO_REDES!$A:$W,MATCH($C1035&amp;$I1035&amp;$H1035&amp;$N1035&amp;$O1035,APOIO_REDES!$W:$W,0),MATCH(AF$5,APOIO_REDES!$5:$5,0)),0)</f>
        <v>1.363</v>
      </c>
      <c r="AG1035" s="153" t="n">
        <f aca="false">IFERROR(INDEX(APOIO_REDES!$A:$W,MATCH($C1035&amp;$I1035&amp;$H1035&amp;$N1035&amp;$O1035,APOIO_REDES!$W:$W,0),MATCH(AG$5,APOIO_REDES!$5:$5,0)),0)</f>
        <v>0.65</v>
      </c>
      <c r="AH1035" s="153" t="n">
        <f aca="false">IFERROR(INDEX(APOIO_REDES!$A:$W,MATCH($C1035&amp;$I1035&amp;$H1035&amp;$N1035&amp;$O1035,APOIO_REDES!$W:$W,0),MATCH(AH$5,APOIO_REDES!$5:$5,0)),0)</f>
        <v>0.1</v>
      </c>
      <c r="AI1035" s="153" t="n">
        <f aca="false">IFERROR(IF($H1035&lt;&gt;"",(((($H1035/1000)/2)^2)*PI()*$M1035),0),0)</f>
        <v>0.803438806334578</v>
      </c>
      <c r="AJ1035" s="153" t="n">
        <f aca="false">IFERROR(IF(AND($H1035&lt;&gt;"",$I1035="FoFo",OR($N1035="MND",$N1035="VCA"),$Q1035="LINEAR"),0,IF(AND($H1035&lt;&gt;"",$I1035="PEAD",$N1035="VCA",$Q1035="LINEAR"),($H1035/1000)+0.3,IF(AND($H1035&lt;&gt;"",$I1035="PEAD",$N1035="MND",$Q1035="EMBOQUE"),0,IF(AND($H1035&lt;&gt;"",$I1035="PVC",$N1035="VCA",$Q1035="LINEAR"),($H1035/1000)+0.2,IF(AND($H1035&lt;&gt;"",$I1035="PVC",$N1035="MND",$Q1035="EMBOQUE"),0,IF(AND($H1035&lt;&gt;"",$I1035="PEAD",$N1035="VCA",$Q1035="PREDIAL"),0,0)))))),0)</f>
        <v>0.363</v>
      </c>
      <c r="AK1035" s="153" t="n">
        <f aca="false">IF(AA1035&lt;&gt;"",AA1035,0)</f>
        <v>5.1</v>
      </c>
      <c r="AL1035" s="153" t="n">
        <f aca="false">IF(AND($N1035="MND",$Q1035="EMBOQUE"),$M1035,IF(AND($N1035="VCA",$Q1035="LINEAR"),$M1035,IF(AND($N1035="VCA",$Q1035="PREDIAL"),0,0)))</f>
        <v>257.74</v>
      </c>
      <c r="AM1035" s="153" t="n">
        <f aca="false">IF(AND($N1035="MND",$Q1035="EMBOQUE"),$M1035,IF(AND($N1035="VCA",$Q1035="LINEAR"),$M1035,IF(AND($N1035="VCA",$Q1035="PREDIAL"),0,0)))</f>
        <v>257.74</v>
      </c>
      <c r="AN1035" s="153" t="n">
        <f aca="false">ROUND(IF(AND($N1035="VCA",$M1035&lt;&gt;"",$Q1035="LINEAR"),$M1035/100,IF(AND($N1035="MND",$M1035&gt;100,$Q1035="EMBOQUE"),$M1035/100,0)),0)</f>
        <v>3</v>
      </c>
      <c r="AO1035" s="153" t="n">
        <f aca="false">IF(AND($N1035="MND",$Q1035="EMBOQUE"),$AN1035*2*2,IF(AND($N1035="VCA",$Q1035="LINEAR"),$M1035*2,IF(AND($N1035="VCA",$Q1035="PREDIAL"),0,0)))</f>
        <v>515.48</v>
      </c>
      <c r="AP1035" s="153" t="n">
        <f aca="false">IFERROR($M1035*$AF1035*$AG1035,0)</f>
        <v>228.344753</v>
      </c>
      <c r="AQ1035" s="153" t="n">
        <f aca="false">IFERROR(IF(AND($N1035="VCA",$AH1035&gt;0),$M1035*$AG1035*$AH1035,0),0)</f>
        <v>16.7531</v>
      </c>
      <c r="AR1035" s="153" t="n">
        <f aca="false">IFERROR(IF(AND($N1035="VCA",$AJ1035&gt;0),($M1035*$AG1035*$AJ1035)-$AI1035,0),0)</f>
        <v>60.0103141936654</v>
      </c>
      <c r="AS1035" s="153" t="n">
        <f aca="false">IFERROR(IF(AND($N1035="VCA",$AP1035&gt;0),$AP1035-$AI1035-$AQ1035-$AR1035,0),0)</f>
        <v>150.7779</v>
      </c>
      <c r="AT1035" s="153" t="n">
        <f aca="false">IFERROR(IF($N1035="VCA",INDEX(APOIO_REDES!$A:$W,MATCH($C1035&amp;$I1035&amp;$H1035&amp;$N1035&amp;$O1035,APOIO_REDES!$W:$W,0),MATCH(AT$5,APOIO_REDES!$5:$5,0)),0)*$AP1035,0)</f>
        <v>2.48445849923694</v>
      </c>
      <c r="AU1035" s="153" t="n">
        <f aca="false">IFERROR(IF($N1035="VCA",INDEX(APOIO_REDES!$A:$W,MATCH($C1035&amp;$I1035&amp;$H1035&amp;$N1035&amp;$O1035,APOIO_REDES!$W:$W,0),MATCH(AU$5,APOIO_REDES!$5:$5,0)),0)*$AP1035,0)</f>
        <v>1.984021269821</v>
      </c>
      <c r="AV1035" s="153" t="n">
        <f aca="false">IFERROR(IF($N1035="VCA",INDEX(APOIO_REDES!$A:$W,MATCH($C1035&amp;$I1035&amp;$H1035&amp;$N1035&amp;$O1035,APOIO_REDES!$W:$W,0),MATCH(AV$5,APOIO_REDES!$5:$5,0)),0)*$AP1035,0)</f>
        <v>0.274572968565586</v>
      </c>
      <c r="AW1035" s="153" t="n">
        <f aca="false">IFERROR(IF($N1035="VCA",INDEX(APOIO_REDES!$A:$W,MATCH($C1035&amp;$I1035&amp;$H1035&amp;$N1035&amp;$O1035,APOIO_REDES!$W:$W,0),MATCH(AW$5,APOIO_REDES!$5:$5,0)),0)*$AP1035,0)</f>
        <v>156.737607760684</v>
      </c>
      <c r="AX1035" s="153" t="n">
        <f aca="false">IFERROR(IF($N1035="VCA",INDEX(APOIO_REDES!$A:$W,MATCH($C1035&amp;$I1035&amp;$H1035&amp;$N1035&amp;$O1035,APOIO_REDES!$W:$W,0),MATCH(AX$5,APOIO_REDES!$5:$5,0)),0)*$AP1035,0)</f>
        <v>21.6920384385517</v>
      </c>
      <c r="AY1035" s="153" t="n">
        <f aca="false">IFERROR(IF($N1035="VCA",INDEX(APOIO_REDES!$A:$W,MATCH($C1035&amp;$I1035&amp;$H1035&amp;$N1035&amp;$O1035,APOIO_REDES!$W:$W,0),MATCH(AY$5,APOIO_REDES!$5:$5,0)),0)*$AP1035,0)</f>
        <v>39.6804012113616</v>
      </c>
      <c r="AZ1035" s="153" t="n">
        <f aca="false">IFERROR(IF($N1035="VCA",INDEX(APOIO_REDES!$A:$W,MATCH($C1035&amp;$I1035&amp;$H1035&amp;$N1035&amp;$O1035,APOIO_REDES!$W:$W,0),MATCH(AZ$5,APOIO_REDES!$5:$5,0)),0)*$AP1035,0)</f>
        <v>5.49165285177931</v>
      </c>
      <c r="BA1035" s="153" t="n">
        <f aca="false">IFERROR(IF(AND($N1035="VCA",$Q1035="LINEAR"),INDEX(APOIO_REDES!$A:$W,MATCH($C1035&amp;$I1035&amp;$H1035&amp;$N1035&amp;$O1035,APOIO_REDES!$W:$W,0),MATCH(BA$5,APOIO_REDES!$5:$5,0)),IF(AND($N1035="MND",$Q1035="EMBOQUE"),INDEX(APOIO_REDES!$A:$W,MATCH($C1035&amp;$I1035&amp;$H1035&amp;$N1035&amp;$O1035,APOIO_REDES!$W:$W,0),MATCH(BA$5,APOIO_REDES!$5:$5,0)),0))*$M1035/10,0)</f>
        <v>20.7731938714126</v>
      </c>
      <c r="BB1035" s="153" t="n">
        <f aca="false">IFERROR(IF($N1035="VCA",INDEX(APOIO_REDES!$A:$W,MATCH($C1035&amp;$I1035&amp;$H1035&amp;$N1035&amp;$O1035,APOIO_REDES!$W:$W,0),MATCH(BB$5,APOIO_REDES!$5:$5,0)),0)*($AI1035+$AQ1035+$AR1035),0)</f>
        <v>76.7229026807434</v>
      </c>
      <c r="BC1035" s="153" t="n">
        <f aca="false">IFERROR(IF($N1035="VCA",INDEX(APOIO_REDES!$A:$W,MATCH($C1035&amp;$I1035&amp;$H1035&amp;$N1035&amp;$O1035,APOIO_REDES!$W:$W,0),MATCH(BC$5,APOIO_REDES!$5:$5,0)),0)*($AI1035+$AQ1035+$AR1035),0)</f>
        <v>0.843950319256568</v>
      </c>
      <c r="BD1035" s="153" t="n">
        <f aca="false">IF(AND($N1035="VCA",$AF1035&gt;=1.25,$AF1035&lt;1.5),$M1035*$AF1035*2,0)</f>
        <v>702.59924</v>
      </c>
      <c r="BE1035" s="153" t="n">
        <f aca="false">IF(AND($N1035="VCA",$AF1035&gt;=1.5,$AF1035&lt;3),$M1035*$AF1035*2,0)</f>
        <v>0</v>
      </c>
      <c r="BF1035" s="153" t="n">
        <f aca="false">IF(AND($N1035="VCA",$AF1035&gt;=3),$M1035*$AF1035*2,0)</f>
        <v>0</v>
      </c>
      <c r="BG1035" s="153" t="n">
        <f aca="false">($BB1035+$BC1035)*$AK1035</f>
        <v>395.5909503</v>
      </c>
      <c r="BH1035" s="153" t="n">
        <f aca="false">IF(AND($M1035&lt;&gt;"",$N1035="VCA",$Q1035="LINEAR"),($M1035*2)/100,IF(AND($M1035&lt;&gt;"",$N1035="MND",$Q1035="EMBOQUE"),($AN1035*2)/100,0))</f>
        <v>5.1548</v>
      </c>
      <c r="BI1035" s="153" t="n">
        <f aca="false">IF(AND($M1035&lt;&gt;"",$N1035="VCA",$Q1035="LINEAR"),$M1035,IF(AND($M1035&lt;&gt;"",$N1035="MND",$Q1035="EMBOQUE"),$AN1035*2,0))</f>
        <v>257.74</v>
      </c>
      <c r="BJ1035" s="153" t="n">
        <f aca="false">IF(AND($M1035&lt;&gt;"",$N1035="VCA",$Q1035="LINEAR"),($M1035*6.8)/100,IF(AND($M1035&lt;&gt;"",$N1035="MND",$Q1035="EMBOQUE"),($AN1035*2*6.8)/100,0))</f>
        <v>17.52632</v>
      </c>
      <c r="BK1035" s="153" t="n">
        <f aca="false">IF(AND($M1035&lt;&gt;"",$N1035="VCA",$Q1035="LINEAR"),($M1035*2.5)/50,IF(AND($M1035&lt;&gt;"",$N1035="MND",$Q1035="EMBOQUE"),($AN1035*2*2.5)/50,0))</f>
        <v>12.887</v>
      </c>
      <c r="BL1035" s="157" t="str">
        <f aca="false">K1035&amp;J1035</f>
        <v>Zona09REDES</v>
      </c>
      <c r="BM1035" s="152" t="s">
        <v>5109</v>
      </c>
      <c r="BN1035" s="152" t="s">
        <v>1560</v>
      </c>
      <c r="BO1035" s="152" t="s">
        <v>5413</v>
      </c>
      <c r="BP1035" s="152" t="s">
        <v>5468</v>
      </c>
      <c r="BQ1035" s="152" t="s">
        <v>5472</v>
      </c>
      <c r="BR1035" s="152" t="s">
        <v>5473</v>
      </c>
      <c r="BS1035" s="152" t="n">
        <v>202969.95</v>
      </c>
      <c r="BT1035" s="152" t="n">
        <v>8236332.098</v>
      </c>
      <c r="BU1035" s="152" t="n">
        <v>202716.804</v>
      </c>
      <c r="BV1035" s="152" t="n">
        <v>8236348.914</v>
      </c>
      <c r="BW1035" s="152" t="n">
        <v>-15.9344304</v>
      </c>
      <c r="BX1035" s="152" t="n">
        <v>-47.7755512</v>
      </c>
      <c r="BY1035" s="152" t="s">
        <v>5468</v>
      </c>
    </row>
    <row r="1036" customFormat="false" ht="13.8" hidden="false" customHeight="false" outlineLevel="0" collapsed="false">
      <c r="A1036" s="149" t="n">
        <f aca="false">IF(C1036&lt;&gt;"",ROW(A1031),"")</f>
        <v>1031</v>
      </c>
      <c r="B1036" s="150" t="str">
        <f aca="false">HYPERLINK("https://www.google.com/maps/dir/-15.917302,-47.760003/-15.9345210,-47.7743710/data=!4m3!4m2!3e0!5i2")</f>
        <v>https://www.google.com/maps/dir/-15.917302,-47.760003/-15.9345210,-47.7743710/data=!4m3!4m2!3e0!5i2</v>
      </c>
      <c r="C1036" s="151" t="s">
        <v>117</v>
      </c>
      <c r="D1036" s="152" t="s">
        <v>112</v>
      </c>
      <c r="E1036" s="152" t="s">
        <v>113</v>
      </c>
      <c r="F1036" s="152" t="s">
        <v>117</v>
      </c>
      <c r="G1036" s="152" t="s">
        <v>782</v>
      </c>
      <c r="H1036" s="152" t="n">
        <v>110</v>
      </c>
      <c r="I1036" s="152" t="s">
        <v>115</v>
      </c>
      <c r="J1036" s="152" t="s">
        <v>6</v>
      </c>
      <c r="K1036" s="152" t="s">
        <v>5106</v>
      </c>
      <c r="L1036" s="152" t="s">
        <v>120</v>
      </c>
      <c r="M1036" s="153" t="n">
        <f aca="false">26.15</f>
        <v>26.15</v>
      </c>
      <c r="N1036" s="152" t="s">
        <v>1548</v>
      </c>
      <c r="O1036" s="152" t="s">
        <v>1549</v>
      </c>
      <c r="P1036" s="152" t="s">
        <v>1550</v>
      </c>
      <c r="Q1036" s="152" t="s">
        <v>1551</v>
      </c>
      <c r="R1036" s="154" t="s">
        <v>5474</v>
      </c>
      <c r="S1036" s="154" t="s">
        <v>1593</v>
      </c>
      <c r="T1036" s="155" t="s">
        <v>5411</v>
      </c>
      <c r="U1036" s="152" t="str">
        <f aca="false">RIGHT(T1036,7)</f>
        <v>017/037</v>
      </c>
      <c r="V1036" s="152" t="s">
        <v>1555</v>
      </c>
      <c r="W1036" s="156" t="n">
        <v>45882</v>
      </c>
      <c r="X1036" s="152" t="s">
        <v>1594</v>
      </c>
      <c r="Y1036" s="152" t="s">
        <v>2035</v>
      </c>
      <c r="Z1036" s="152" t="s">
        <v>1557</v>
      </c>
      <c r="AA1036" s="153" t="n">
        <v>5.1</v>
      </c>
      <c r="AB1036" s="151" t="s">
        <v>5475</v>
      </c>
      <c r="AC1036" s="151" t="s">
        <v>502</v>
      </c>
      <c r="AD1036" s="151" t="str">
        <f aca="false">CONCATENATE($C1036,$I1036,$H1036,$N1036,$J1036,$K1036)</f>
        <v>TUBO PEADPEAD110VCAREDESZona09</v>
      </c>
      <c r="AE1036" s="153" t="n">
        <f aca="false">IFERROR(INDEX(APOIO_REDES!$A:$W,MATCH($C1036&amp;$I1036&amp;$H1036&amp;$N1036&amp;$O1036,APOIO_REDES!$W:$W,0),MATCH(AE$5,APOIO_REDES!$5:$5,0)),0)</f>
        <v>1.2</v>
      </c>
      <c r="AF1036" s="153" t="n">
        <f aca="false">IFERROR(INDEX(APOIO_REDES!$A:$W,MATCH($C1036&amp;$I1036&amp;$H1036&amp;$N1036&amp;$O1036,APOIO_REDES!$W:$W,0),MATCH(AF$5,APOIO_REDES!$5:$5,0)),0)</f>
        <v>1.41</v>
      </c>
      <c r="AG1036" s="153" t="n">
        <f aca="false">IFERROR(INDEX(APOIO_REDES!$A:$W,MATCH($C1036&amp;$I1036&amp;$H1036&amp;$N1036&amp;$O1036,APOIO_REDES!$W:$W,0),MATCH(AG$5,APOIO_REDES!$5:$5,0)),0)</f>
        <v>0.75</v>
      </c>
      <c r="AH1036" s="153" t="n">
        <f aca="false">IFERROR(INDEX(APOIO_REDES!$A:$W,MATCH($C1036&amp;$I1036&amp;$H1036&amp;$N1036&amp;$O1036,APOIO_REDES!$W:$W,0),MATCH(AH$5,APOIO_REDES!$5:$5,0)),0)</f>
        <v>0.1</v>
      </c>
      <c r="AI1036" s="153" t="n">
        <f aca="false">IFERROR(IF($H1036&lt;&gt;"",(((($H1036/1000)/2)^2)*PI()*$M1036),0),0)</f>
        <v>0.248511759871404</v>
      </c>
      <c r="AJ1036" s="153" t="n">
        <f aca="false">IFERROR(IF(AND($H1036&lt;&gt;"",$I1036="FoFo",OR($N1036="MND",$N1036="VCA"),$Q1036="LINEAR"),0,IF(AND($H1036&lt;&gt;"",$I1036="PEAD",$N1036="VCA",$Q1036="LINEAR"),($H1036/1000)+0.3,IF(AND($H1036&lt;&gt;"",$I1036="PEAD",$N1036="MND",$Q1036="EMBOQUE"),0,IF(AND($H1036&lt;&gt;"",$I1036="PVC",$N1036="VCA",$Q1036="LINEAR"),($H1036/1000)+0.2,IF(AND($H1036&lt;&gt;"",$I1036="PVC",$N1036="MND",$Q1036="EMBOQUE"),0,IF(AND($H1036&lt;&gt;"",$I1036="PEAD",$N1036="VCA",$Q1036="PREDIAL"),0,0)))))),0)</f>
        <v>0.41</v>
      </c>
      <c r="AK1036" s="153" t="n">
        <f aca="false">IF(AA1036&lt;&gt;"",AA1036,0)</f>
        <v>5.1</v>
      </c>
      <c r="AL1036" s="153" t="n">
        <f aca="false">IF(AND($N1036="MND",$Q1036="EMBOQUE"),$M1036,IF(AND($N1036="VCA",$Q1036="LINEAR"),$M1036,IF(AND($N1036="VCA",$Q1036="PREDIAL"),0,0)))</f>
        <v>26.15</v>
      </c>
      <c r="AM1036" s="153" t="n">
        <f aca="false">IF(AND($N1036="MND",$Q1036="EMBOQUE"),$M1036,IF(AND($N1036="VCA",$Q1036="LINEAR"),$M1036,IF(AND($N1036="VCA",$Q1036="PREDIAL"),0,0)))</f>
        <v>26.15</v>
      </c>
      <c r="AN1036" s="153" t="n">
        <f aca="false">ROUND(IF(AND($N1036="VCA",$M1036&lt;&gt;"",$Q1036="LINEAR"),$M1036/100,IF(AND($N1036="MND",$M1036&gt;100,$Q1036="EMBOQUE"),$M1036/100,0)),0)</f>
        <v>0</v>
      </c>
      <c r="AO1036" s="153" t="n">
        <f aca="false">IF(AND($N1036="MND",$Q1036="EMBOQUE"),$AN1036*2*2,IF(AND($N1036="VCA",$Q1036="LINEAR"),$M1036*2,IF(AND($N1036="VCA",$Q1036="PREDIAL"),0,0)))</f>
        <v>52.3</v>
      </c>
      <c r="AP1036" s="153" t="n">
        <f aca="false">IFERROR($M1036*$AF1036*$AG1036,0)</f>
        <v>27.653625</v>
      </c>
      <c r="AQ1036" s="153" t="n">
        <f aca="false">IFERROR(IF(AND($N1036="VCA",$AH1036&gt;0),$M1036*$AG1036*$AH1036,0),0)</f>
        <v>1.96125</v>
      </c>
      <c r="AR1036" s="153" t="n">
        <f aca="false">IFERROR(IF(AND($N1036="VCA",$AJ1036&gt;0),($M1036*$AG1036*$AJ1036)-$AI1036,0),0)</f>
        <v>7.7926132401286</v>
      </c>
      <c r="AS1036" s="153" t="n">
        <f aca="false">IFERROR(IF(AND($N1036="VCA",$AP1036&gt;0),$AP1036-$AI1036-$AQ1036-$AR1036,0),0)</f>
        <v>17.65125</v>
      </c>
      <c r="AT1036" s="153" t="n">
        <f aca="false">IFERROR(IF($N1036="VCA",INDEX(APOIO_REDES!$A:$W,MATCH($C1036&amp;$I1036&amp;$H1036&amp;$N1036&amp;$O1036,APOIO_REDES!$W:$W,0),MATCH(AT$5,APOIO_REDES!$5:$5,0)),0)*$AP1036,0)</f>
        <v>0.300879625055195</v>
      </c>
      <c r="AU1036" s="153" t="n">
        <f aca="false">IFERROR(IF($N1036="VCA",INDEX(APOIO_REDES!$A:$W,MATCH($C1036&amp;$I1036&amp;$H1036&amp;$N1036&amp;$O1036,APOIO_REDES!$W:$W,0),MATCH(AU$5,APOIO_REDES!$5:$5,0)),0)*$AP1036,0)</f>
        <v>0.24027431971539</v>
      </c>
      <c r="AV1036" s="153" t="n">
        <f aca="false">IFERROR(IF($N1036="VCA",INDEX(APOIO_REDES!$A:$W,MATCH($C1036&amp;$I1036&amp;$H1036&amp;$N1036&amp;$O1036,APOIO_REDES!$W:$W,0),MATCH(AV$5,APOIO_REDES!$5:$5,0)),0)*$AP1036,0)</f>
        <v>0.0332520796212449</v>
      </c>
      <c r="AW1036" s="153" t="n">
        <f aca="false">IFERROR(IF($N1036="VCA",INDEX(APOIO_REDES!$A:$W,MATCH($C1036&amp;$I1036&amp;$H1036&amp;$N1036&amp;$O1036,APOIO_REDES!$W:$W,0),MATCH(AW$5,APOIO_REDES!$5:$5,0)),0)*$AP1036,0)</f>
        <v>18.9816624707424</v>
      </c>
      <c r="AX1036" s="153" t="n">
        <f aca="false">IFERROR(IF($N1036="VCA",INDEX(APOIO_REDES!$A:$W,MATCH($C1036&amp;$I1036&amp;$H1036&amp;$N1036&amp;$O1036,APOIO_REDES!$W:$W,0),MATCH(AX$5,APOIO_REDES!$5:$5,0)),0)*$AP1036,0)</f>
        <v>2.62700801566171</v>
      </c>
      <c r="AY1036" s="153" t="n">
        <f aca="false">IFERROR(IF($N1036="VCA",INDEX(APOIO_REDES!$A:$W,MATCH($C1036&amp;$I1036&amp;$H1036&amp;$N1036&amp;$O1036,APOIO_REDES!$W:$W,0),MATCH(AY$5,APOIO_REDES!$5:$5,0)),0)*$AP1036,0)</f>
        <v>4.80548346538333</v>
      </c>
      <c r="AZ1036" s="153" t="n">
        <f aca="false">IFERROR(IF($N1036="VCA",INDEX(APOIO_REDES!$A:$W,MATCH($C1036&amp;$I1036&amp;$H1036&amp;$N1036&amp;$O1036,APOIO_REDES!$W:$W,0),MATCH(AZ$5,APOIO_REDES!$5:$5,0)),0)*$AP1036,0)</f>
        <v>0.665065023820738</v>
      </c>
      <c r="BA1036" s="153" t="n">
        <f aca="false">IFERROR(IF(AND($N1036="VCA",$Q1036="LINEAR"),INDEX(APOIO_REDES!$A:$W,MATCH($C1036&amp;$I1036&amp;$H1036&amp;$N1036&amp;$O1036,APOIO_REDES!$W:$W,0),MATCH(BA$5,APOIO_REDES!$5:$5,0)),IF(AND($N1036="MND",$Q1036="EMBOQUE"),INDEX(APOIO_REDES!$A:$W,MATCH($C1036&amp;$I1036&amp;$H1036&amp;$N1036&amp;$O1036,APOIO_REDES!$W:$W,0),MATCH(BA$5,APOIO_REDES!$5:$5,0)),0))*$M1036/10,0)</f>
        <v>2.10762403871125</v>
      </c>
      <c r="BB1036" s="153" t="n">
        <f aca="false">IFERROR(IF($N1036="VCA",INDEX(APOIO_REDES!$A:$W,MATCH($C1036&amp;$I1036&amp;$H1036&amp;$N1036&amp;$O1036,APOIO_REDES!$W:$W,0),MATCH(BB$5,APOIO_REDES!$5:$5,0)),0)*($AI1036+$AQ1036+$AR1036),0)</f>
        <v>9.89354619944812</v>
      </c>
      <c r="BC1036" s="153" t="n">
        <f aca="false">IFERROR(IF($N1036="VCA",INDEX(APOIO_REDES!$A:$W,MATCH($C1036&amp;$I1036&amp;$H1036&amp;$N1036&amp;$O1036,APOIO_REDES!$W:$W,0),MATCH(BC$5,APOIO_REDES!$5:$5,0)),0)*($AI1036+$AQ1036+$AR1036),0)</f>
        <v>0.108828800551879</v>
      </c>
      <c r="BD1036" s="153" t="n">
        <f aca="false">IF(AND($N1036="VCA",$AF1036&gt;=1.25,$AF1036&lt;1.5),$M1036*$AF1036*2,0)</f>
        <v>73.743</v>
      </c>
      <c r="BE1036" s="153" t="n">
        <f aca="false">IF(AND($N1036="VCA",$AF1036&gt;=1.5,$AF1036&lt;3),$M1036*$AF1036*2,0)</f>
        <v>0</v>
      </c>
      <c r="BF1036" s="153" t="n">
        <f aca="false">IF(AND($N1036="VCA",$AF1036&gt;=3),$M1036*$AF1036*2,0)</f>
        <v>0</v>
      </c>
      <c r="BG1036" s="153" t="n">
        <f aca="false">($BB1036+$BC1036)*$AK1036</f>
        <v>51.0121125</v>
      </c>
      <c r="BH1036" s="153" t="n">
        <f aca="false">IF(AND($M1036&lt;&gt;"",$N1036="VCA",$Q1036="LINEAR"),($M1036*2)/100,IF(AND($M1036&lt;&gt;"",$N1036="MND",$Q1036="EMBOQUE"),($AN1036*2)/100,0))</f>
        <v>0.523</v>
      </c>
      <c r="BI1036" s="153" t="n">
        <f aca="false">IF(AND($M1036&lt;&gt;"",$N1036="VCA",$Q1036="LINEAR"),$M1036,IF(AND($M1036&lt;&gt;"",$N1036="MND",$Q1036="EMBOQUE"),$AN1036*2,0))</f>
        <v>26.15</v>
      </c>
      <c r="BJ1036" s="153" t="n">
        <f aca="false">IF(AND($M1036&lt;&gt;"",$N1036="VCA",$Q1036="LINEAR"),($M1036*6.8)/100,IF(AND($M1036&lt;&gt;"",$N1036="MND",$Q1036="EMBOQUE"),($AN1036*2*6.8)/100,0))</f>
        <v>1.7782</v>
      </c>
      <c r="BK1036" s="153" t="n">
        <f aca="false">IF(AND($M1036&lt;&gt;"",$N1036="VCA",$Q1036="LINEAR"),($M1036*2.5)/50,IF(AND($M1036&lt;&gt;"",$N1036="MND",$Q1036="EMBOQUE"),($AN1036*2*2.5)/50,0))</f>
        <v>1.3075</v>
      </c>
      <c r="BL1036" s="157" t="str">
        <f aca="false">K1036&amp;J1036</f>
        <v>Zona09REDES</v>
      </c>
      <c r="BM1036" s="152" t="s">
        <v>5109</v>
      </c>
      <c r="BN1036" s="152" t="s">
        <v>1560</v>
      </c>
      <c r="BO1036" s="152" t="s">
        <v>5413</v>
      </c>
      <c r="BP1036" s="152" t="s">
        <v>5468</v>
      </c>
      <c r="BQ1036" s="152" t="s">
        <v>5476</v>
      </c>
      <c r="BR1036" s="152" t="s">
        <v>5477</v>
      </c>
      <c r="BS1036" s="152" t="n">
        <v>202969.95</v>
      </c>
      <c r="BT1036" s="152" t="n">
        <v>8236332.098</v>
      </c>
      <c r="BU1036" s="152" t="n">
        <v>202972.957</v>
      </c>
      <c r="BV1036" s="152" t="n">
        <v>8236307.509</v>
      </c>
      <c r="BW1036" s="152" t="n">
        <v>-15.9346357</v>
      </c>
      <c r="BX1036" s="152" t="n">
        <v>-47.7743425</v>
      </c>
      <c r="BY1036" s="152" t="s">
        <v>5468</v>
      </c>
    </row>
    <row r="1037" customFormat="false" ht="13.8" hidden="false" customHeight="false" outlineLevel="0" collapsed="false">
      <c r="A1037" s="149" t="n">
        <f aca="false">IF(C1037&lt;&gt;"",ROW(A1032),"")</f>
        <v>1032</v>
      </c>
      <c r="B1037" s="150" t="str">
        <f aca="false">HYPERLINK("https://www.google.com/maps/dir/-15.917302,-47.760003/-15.9347434,-47.7743460/data=!4m3!4m2!3e0!5i2")</f>
        <v>https://www.google.com/maps/dir/-15.917302,-47.760003/-15.9347434,-47.7743460/data=!4m3!4m2!3e0!5i2</v>
      </c>
      <c r="C1037" s="151" t="s">
        <v>117</v>
      </c>
      <c r="D1037" s="152" t="s">
        <v>112</v>
      </c>
      <c r="E1037" s="152" t="s">
        <v>113</v>
      </c>
      <c r="F1037" s="152" t="s">
        <v>117</v>
      </c>
      <c r="G1037" s="152" t="s">
        <v>782</v>
      </c>
      <c r="H1037" s="152" t="n">
        <v>63</v>
      </c>
      <c r="I1037" s="152" t="s">
        <v>115</v>
      </c>
      <c r="J1037" s="152" t="s">
        <v>6</v>
      </c>
      <c r="K1037" s="152" t="s">
        <v>5106</v>
      </c>
      <c r="L1037" s="152" t="s">
        <v>120</v>
      </c>
      <c r="M1037" s="153" t="n">
        <f aca="false">182.26+3.99</f>
        <v>186.25</v>
      </c>
      <c r="N1037" s="152" t="s">
        <v>1548</v>
      </c>
      <c r="O1037" s="152" t="s">
        <v>1549</v>
      </c>
      <c r="P1037" s="152" t="s">
        <v>1550</v>
      </c>
      <c r="Q1037" s="152" t="s">
        <v>1551</v>
      </c>
      <c r="R1037" s="154" t="s">
        <v>5478</v>
      </c>
      <c r="S1037" s="154" t="s">
        <v>1553</v>
      </c>
      <c r="T1037" s="155" t="s">
        <v>5411</v>
      </c>
      <c r="U1037" s="152" t="str">
        <f aca="false">RIGHT(T1037,7)</f>
        <v>017/037</v>
      </c>
      <c r="V1037" s="152" t="s">
        <v>1555</v>
      </c>
      <c r="W1037" s="156" t="n">
        <v>45882</v>
      </c>
      <c r="X1037" s="152" t="s">
        <v>1594</v>
      </c>
      <c r="Y1037" s="152" t="s">
        <v>2035</v>
      </c>
      <c r="Z1037" s="152" t="s">
        <v>1557</v>
      </c>
      <c r="AA1037" s="153" t="n">
        <v>5.2</v>
      </c>
      <c r="AB1037" s="151" t="s">
        <v>5479</v>
      </c>
      <c r="AC1037" s="151" t="s">
        <v>186</v>
      </c>
      <c r="AD1037" s="151" t="str">
        <f aca="false">CONCATENATE($C1037,$I1037,$H1037,$N1037,$J1037,$K1037)</f>
        <v>TUBO PEADPEAD63VCAREDESZona09</v>
      </c>
      <c r="AE1037" s="153" t="n">
        <f aca="false">IFERROR(INDEX(APOIO_REDES!$A:$W,MATCH($C1037&amp;$I1037&amp;$H1037&amp;$N1037&amp;$O1037,APOIO_REDES!$W:$W,0),MATCH(AE$5,APOIO_REDES!$5:$5,0)),0)</f>
        <v>1.2</v>
      </c>
      <c r="AF1037" s="153" t="n">
        <f aca="false">IFERROR(INDEX(APOIO_REDES!$A:$W,MATCH($C1037&amp;$I1037&amp;$H1037&amp;$N1037&amp;$O1037,APOIO_REDES!$W:$W,0),MATCH(AF$5,APOIO_REDES!$5:$5,0)),0)</f>
        <v>1.363</v>
      </c>
      <c r="AG1037" s="153" t="n">
        <f aca="false">IFERROR(INDEX(APOIO_REDES!$A:$W,MATCH($C1037&amp;$I1037&amp;$H1037&amp;$N1037&amp;$O1037,APOIO_REDES!$W:$W,0),MATCH(AG$5,APOIO_REDES!$5:$5,0)),0)</f>
        <v>0.65</v>
      </c>
      <c r="AH1037" s="153" t="n">
        <f aca="false">IFERROR(INDEX(APOIO_REDES!$A:$W,MATCH($C1037&amp;$I1037&amp;$H1037&amp;$N1037&amp;$O1037,APOIO_REDES!$W:$W,0),MATCH(AH$5,APOIO_REDES!$5:$5,0)),0)</f>
        <v>0.1</v>
      </c>
      <c r="AI1037" s="153" t="n">
        <f aca="false">IFERROR(IF($H1037&lt;&gt;"",(((($H1037/1000)/2)^2)*PI()*$M1037),0),0)</f>
        <v>0.580586939085183</v>
      </c>
      <c r="AJ1037" s="153" t="n">
        <f aca="false">IFERROR(IF(AND($H1037&lt;&gt;"",$I1037="FoFo",OR($N1037="MND",$N1037="VCA"),$Q1037="LINEAR"),0,IF(AND($H1037&lt;&gt;"",$I1037="PEAD",$N1037="VCA",$Q1037="LINEAR"),($H1037/1000)+0.3,IF(AND($H1037&lt;&gt;"",$I1037="PEAD",$N1037="MND",$Q1037="EMBOQUE"),0,IF(AND($H1037&lt;&gt;"",$I1037="PVC",$N1037="VCA",$Q1037="LINEAR"),($H1037/1000)+0.2,IF(AND($H1037&lt;&gt;"",$I1037="PVC",$N1037="MND",$Q1037="EMBOQUE"),0,IF(AND($H1037&lt;&gt;"",$I1037="PEAD",$N1037="VCA",$Q1037="PREDIAL"),0,0)))))),0)</f>
        <v>0.363</v>
      </c>
      <c r="AK1037" s="153" t="n">
        <f aca="false">IF(AA1037&lt;&gt;"",AA1037,0)</f>
        <v>5.2</v>
      </c>
      <c r="AL1037" s="153" t="n">
        <f aca="false">IF(AND($N1037="MND",$Q1037="EMBOQUE"),$M1037,IF(AND($N1037="VCA",$Q1037="LINEAR"),$M1037,IF(AND($N1037="VCA",$Q1037="PREDIAL"),0,0)))</f>
        <v>186.25</v>
      </c>
      <c r="AM1037" s="153" t="n">
        <f aca="false">IF(AND($N1037="MND",$Q1037="EMBOQUE"),$M1037,IF(AND($N1037="VCA",$Q1037="LINEAR"),$M1037,IF(AND($N1037="VCA",$Q1037="PREDIAL"),0,0)))</f>
        <v>186.25</v>
      </c>
      <c r="AN1037" s="153" t="n">
        <f aca="false">ROUND(IF(AND($N1037="VCA",$M1037&lt;&gt;"",$Q1037="LINEAR"),$M1037/100,IF(AND($N1037="MND",$M1037&gt;100,$Q1037="EMBOQUE"),$M1037/100,0)),0)</f>
        <v>2</v>
      </c>
      <c r="AO1037" s="153" t="n">
        <f aca="false">IF(AND($N1037="MND",$Q1037="EMBOQUE"),$AN1037*2*2,IF(AND($N1037="VCA",$Q1037="LINEAR"),$M1037*2,IF(AND($N1037="VCA",$Q1037="PREDIAL"),0,0)))</f>
        <v>372.5</v>
      </c>
      <c r="AP1037" s="153" t="n">
        <f aca="false">IFERROR($M1037*$AF1037*$AG1037,0)</f>
        <v>165.0081875</v>
      </c>
      <c r="AQ1037" s="153" t="n">
        <f aca="false">IFERROR(IF(AND($N1037="VCA",$AH1037&gt;0),$M1037*$AG1037*$AH1037,0),0)</f>
        <v>12.10625</v>
      </c>
      <c r="AR1037" s="153" t="n">
        <f aca="false">IFERROR(IF(AND($N1037="VCA",$AJ1037&gt;0),($M1037*$AG1037*$AJ1037)-$AI1037,0),0)</f>
        <v>43.3651005609148</v>
      </c>
      <c r="AS1037" s="153" t="n">
        <f aca="false">IFERROR(IF(AND($N1037="VCA",$AP1037&gt;0),$AP1037-$AI1037-$AQ1037-$AR1037,0),0)</f>
        <v>108.95625</v>
      </c>
      <c r="AT1037" s="153" t="n">
        <f aca="false">IFERROR(IF($N1037="VCA",INDEX(APOIO_REDES!$A:$W,MATCH($C1037&amp;$I1037&amp;$H1037&amp;$N1037&amp;$O1037,APOIO_REDES!$W:$W,0),MATCH(AT$5,APOIO_REDES!$5:$5,0)),0)*$AP1037,0)</f>
        <v>1.79533791993047</v>
      </c>
      <c r="AU1037" s="153" t="n">
        <f aca="false">IFERROR(IF($N1037="VCA",INDEX(APOIO_REDES!$A:$W,MATCH($C1037&amp;$I1037&amp;$H1037&amp;$N1037&amp;$O1037,APOIO_REDES!$W:$W,0),MATCH(AU$5,APOIO_REDES!$5:$5,0)),0)*$AP1037,0)</f>
        <v>1.43370823893909</v>
      </c>
      <c r="AV1037" s="153" t="n">
        <f aca="false">IFERROR(IF($N1037="VCA",INDEX(APOIO_REDES!$A:$W,MATCH($C1037&amp;$I1037&amp;$H1037&amp;$N1037&amp;$O1037,APOIO_REDES!$W:$W,0),MATCH(AV$5,APOIO_REDES!$5:$5,0)),0)*$AP1037,0)</f>
        <v>0.198413965218206</v>
      </c>
      <c r="AW1037" s="153" t="n">
        <f aca="false">IFERROR(IF($N1037="VCA",INDEX(APOIO_REDES!$A:$W,MATCH($C1037&amp;$I1037&amp;$H1037&amp;$N1037&amp;$O1037,APOIO_REDES!$W:$W,0),MATCH(AW$5,APOIO_REDES!$5:$5,0)),0)*$AP1037,0)</f>
        <v>113.262898445827</v>
      </c>
      <c r="AX1037" s="153" t="n">
        <f aca="false">IFERROR(IF($N1037="VCA",INDEX(APOIO_REDES!$A:$W,MATCH($C1037&amp;$I1037&amp;$H1037&amp;$N1037&amp;$O1037,APOIO_REDES!$W:$W,0),MATCH(AX$5,APOIO_REDES!$5:$5,0)),0)*$AP1037,0)</f>
        <v>15.6752625094291</v>
      </c>
      <c r="AY1037" s="153" t="n">
        <f aca="false">IFERROR(IF($N1037="VCA",INDEX(APOIO_REDES!$A:$W,MATCH($C1037&amp;$I1037&amp;$H1037&amp;$N1037&amp;$O1037,APOIO_REDES!$W:$W,0),MATCH(AY$5,APOIO_REDES!$5:$5,0)),0)*$AP1037,0)</f>
        <v>28.6741473019946</v>
      </c>
      <c r="AZ1037" s="153" t="n">
        <f aca="false">IFERROR(IF($N1037="VCA",INDEX(APOIO_REDES!$A:$W,MATCH($C1037&amp;$I1037&amp;$H1037&amp;$N1037&amp;$O1037,APOIO_REDES!$W:$W,0),MATCH(AZ$5,APOIO_REDES!$5:$5,0)),0)*$AP1037,0)</f>
        <v>3.96841911866181</v>
      </c>
      <c r="BA1037" s="153" t="n">
        <f aca="false">IFERROR(IF(AND($N1037="VCA",$Q1037="LINEAR"),INDEX(APOIO_REDES!$A:$W,MATCH($C1037&amp;$I1037&amp;$H1037&amp;$N1037&amp;$O1037,APOIO_REDES!$W:$W,0),MATCH(BA$5,APOIO_REDES!$5:$5,0)),IF(AND($N1037="MND",$Q1037="EMBOQUE"),INDEX(APOIO_REDES!$A:$W,MATCH($C1037&amp;$I1037&amp;$H1037&amp;$N1037&amp;$O1037,APOIO_REDES!$W:$W,0),MATCH(BA$5,APOIO_REDES!$5:$5,0)),0))*$M1037/10,0)</f>
        <v>15.0112801992341</v>
      </c>
      <c r="BB1037" s="153" t="n">
        <f aca="false">IFERROR(IF($N1037="VCA",INDEX(APOIO_REDES!$A:$W,MATCH($C1037&amp;$I1037&amp;$H1037&amp;$N1037&amp;$O1037,APOIO_REDES!$W:$W,0),MATCH(BB$5,APOIO_REDES!$5:$5,0)),0)*($AI1037+$AQ1037+$AR1037),0)</f>
        <v>55.4420758294734</v>
      </c>
      <c r="BC1037" s="153" t="n">
        <f aca="false">IFERROR(IF($N1037="VCA",INDEX(APOIO_REDES!$A:$W,MATCH($C1037&amp;$I1037&amp;$H1037&amp;$N1037&amp;$O1037,APOIO_REDES!$W:$W,0),MATCH(BC$5,APOIO_REDES!$5:$5,0)),0)*($AI1037+$AQ1037+$AR1037),0)</f>
        <v>0.609861670526638</v>
      </c>
      <c r="BD1037" s="153" t="n">
        <f aca="false">IF(AND($N1037="VCA",$AF1037&gt;=1.25,$AF1037&lt;1.5),$M1037*$AF1037*2,0)</f>
        <v>507.7175</v>
      </c>
      <c r="BE1037" s="153" t="n">
        <f aca="false">IF(AND($N1037="VCA",$AF1037&gt;=1.5,$AF1037&lt;3),$M1037*$AF1037*2,0)</f>
        <v>0</v>
      </c>
      <c r="BF1037" s="153" t="n">
        <f aca="false">IF(AND($N1037="VCA",$AF1037&gt;=3),$M1037*$AF1037*2,0)</f>
        <v>0</v>
      </c>
      <c r="BG1037" s="153" t="n">
        <f aca="false">($BB1037+$BC1037)*$AK1037</f>
        <v>291.470075</v>
      </c>
      <c r="BH1037" s="153" t="n">
        <f aca="false">IF(AND($M1037&lt;&gt;"",$N1037="VCA",$Q1037="LINEAR"),($M1037*2)/100,IF(AND($M1037&lt;&gt;"",$N1037="MND",$Q1037="EMBOQUE"),($AN1037*2)/100,0))</f>
        <v>3.725</v>
      </c>
      <c r="BI1037" s="153" t="n">
        <f aca="false">IF(AND($M1037&lt;&gt;"",$N1037="VCA",$Q1037="LINEAR"),$M1037,IF(AND($M1037&lt;&gt;"",$N1037="MND",$Q1037="EMBOQUE"),$AN1037*2,0))</f>
        <v>186.25</v>
      </c>
      <c r="BJ1037" s="153" t="n">
        <f aca="false">IF(AND($M1037&lt;&gt;"",$N1037="VCA",$Q1037="LINEAR"),($M1037*6.8)/100,IF(AND($M1037&lt;&gt;"",$N1037="MND",$Q1037="EMBOQUE"),($AN1037*2*6.8)/100,0))</f>
        <v>12.665</v>
      </c>
      <c r="BK1037" s="153" t="n">
        <f aca="false">IF(AND($M1037&lt;&gt;"",$N1037="VCA",$Q1037="LINEAR"),($M1037*2.5)/50,IF(AND($M1037&lt;&gt;"",$N1037="MND",$Q1037="EMBOQUE"),($AN1037*2*2.5)/50,0))</f>
        <v>9.3125</v>
      </c>
      <c r="BL1037" s="157" t="str">
        <f aca="false">K1037&amp;J1037</f>
        <v>Zona09REDES</v>
      </c>
      <c r="BM1037" s="152" t="s">
        <v>5109</v>
      </c>
      <c r="BN1037" s="152" t="s">
        <v>1560</v>
      </c>
      <c r="BO1037" s="152" t="s">
        <v>5413</v>
      </c>
      <c r="BP1037" s="152" t="s">
        <v>5476</v>
      </c>
      <c r="BQ1037" s="152" t="s">
        <v>5480</v>
      </c>
      <c r="BR1037" s="152" t="s">
        <v>5481</v>
      </c>
      <c r="BS1037" s="152" t="n">
        <v>202972.957</v>
      </c>
      <c r="BT1037" s="152" t="n">
        <v>8236307.509</v>
      </c>
      <c r="BU1037" s="152" t="n">
        <v>202791.206</v>
      </c>
      <c r="BV1037" s="152" t="n">
        <v>8236318.065</v>
      </c>
      <c r="BW1037" s="152" t="n">
        <v>-15.9346933</v>
      </c>
      <c r="BX1037" s="152" t="n">
        <v>-47.7751933</v>
      </c>
      <c r="BY1037" s="152" t="s">
        <v>5476</v>
      </c>
    </row>
    <row r="1038" customFormat="false" ht="13.8" hidden="false" customHeight="false" outlineLevel="0" collapsed="false">
      <c r="A1038" s="149" t="n">
        <f aca="false">IF(C1038&lt;&gt;"",ROW(A1033),"")</f>
        <v>1033</v>
      </c>
      <c r="B1038" s="150" t="str">
        <f aca="false">HYPERLINK("https://www.google.com/maps/dir/-15.917302,-47.760003/-15.9350910,-47.7742668/data=!4m3!4m2!3e0!5i2")</f>
        <v>https://www.google.com/maps/dir/-15.917302,-47.760003/-15.9350910,-47.7742668/data=!4m3!4m2!3e0!5i2</v>
      </c>
      <c r="C1038" s="151" t="s">
        <v>117</v>
      </c>
      <c r="D1038" s="152" t="s">
        <v>112</v>
      </c>
      <c r="E1038" s="152" t="s">
        <v>113</v>
      </c>
      <c r="F1038" s="152" t="s">
        <v>117</v>
      </c>
      <c r="G1038" s="152" t="s">
        <v>782</v>
      </c>
      <c r="H1038" s="152" t="n">
        <v>110</v>
      </c>
      <c r="I1038" s="152" t="s">
        <v>115</v>
      </c>
      <c r="J1038" s="152" t="s">
        <v>6</v>
      </c>
      <c r="K1038" s="152" t="s">
        <v>5106</v>
      </c>
      <c r="L1038" s="152" t="s">
        <v>120</v>
      </c>
      <c r="M1038" s="153" t="n">
        <f aca="false">39.42+0.47</f>
        <v>39.89</v>
      </c>
      <c r="N1038" s="152" t="s">
        <v>1548</v>
      </c>
      <c r="O1038" s="152" t="s">
        <v>1549</v>
      </c>
      <c r="P1038" s="152" t="s">
        <v>1550</v>
      </c>
      <c r="Q1038" s="152" t="s">
        <v>1551</v>
      </c>
      <c r="R1038" s="154" t="s">
        <v>5482</v>
      </c>
      <c r="S1038" s="154" t="s">
        <v>1593</v>
      </c>
      <c r="T1038" s="155" t="s">
        <v>5411</v>
      </c>
      <c r="U1038" s="152" t="str">
        <f aca="false">RIGHT(T1038,7)</f>
        <v>017/037</v>
      </c>
      <c r="V1038" s="152" t="s">
        <v>1555</v>
      </c>
      <c r="W1038" s="156" t="n">
        <v>45882</v>
      </c>
      <c r="X1038" s="152" t="s">
        <v>1594</v>
      </c>
      <c r="Y1038" s="152" t="s">
        <v>2035</v>
      </c>
      <c r="Z1038" s="152" t="s">
        <v>1557</v>
      </c>
      <c r="AA1038" s="153" t="n">
        <v>5.2</v>
      </c>
      <c r="AB1038" s="151" t="s">
        <v>5483</v>
      </c>
      <c r="AC1038" s="151" t="s">
        <v>502</v>
      </c>
      <c r="AD1038" s="151" t="str">
        <f aca="false">CONCATENATE($C1038,$I1038,$H1038,$N1038,$J1038,$K1038)</f>
        <v>TUBO PEADPEAD110VCAREDESZona09</v>
      </c>
      <c r="AE1038" s="153" t="n">
        <f aca="false">IFERROR(INDEX(APOIO_REDES!$A:$W,MATCH($C1038&amp;$I1038&amp;$H1038&amp;$N1038&amp;$O1038,APOIO_REDES!$W:$W,0),MATCH(AE$5,APOIO_REDES!$5:$5,0)),0)</f>
        <v>1.2</v>
      </c>
      <c r="AF1038" s="153" t="n">
        <f aca="false">IFERROR(INDEX(APOIO_REDES!$A:$W,MATCH($C1038&amp;$I1038&amp;$H1038&amp;$N1038&amp;$O1038,APOIO_REDES!$W:$W,0),MATCH(AF$5,APOIO_REDES!$5:$5,0)),0)</f>
        <v>1.41</v>
      </c>
      <c r="AG1038" s="153" t="n">
        <f aca="false">IFERROR(INDEX(APOIO_REDES!$A:$W,MATCH($C1038&amp;$I1038&amp;$H1038&amp;$N1038&amp;$O1038,APOIO_REDES!$W:$W,0),MATCH(AG$5,APOIO_REDES!$5:$5,0)),0)</f>
        <v>0.75</v>
      </c>
      <c r="AH1038" s="153" t="n">
        <f aca="false">IFERROR(INDEX(APOIO_REDES!$A:$W,MATCH($C1038&amp;$I1038&amp;$H1038&amp;$N1038&amp;$O1038,APOIO_REDES!$W:$W,0),MATCH(AH$5,APOIO_REDES!$5:$5,0)),0)</f>
        <v>0.1</v>
      </c>
      <c r="AI1038" s="153" t="n">
        <f aca="false">IFERROR(IF($H1038&lt;&gt;"",(((($H1038/1000)/2)^2)*PI()*$M1038),0),0)</f>
        <v>0.379087346128883</v>
      </c>
      <c r="AJ1038" s="153" t="n">
        <f aca="false">IFERROR(IF(AND($H1038&lt;&gt;"",$I1038="FoFo",OR($N1038="MND",$N1038="VCA"),$Q1038="LINEAR"),0,IF(AND($H1038&lt;&gt;"",$I1038="PEAD",$N1038="VCA",$Q1038="LINEAR"),($H1038/1000)+0.3,IF(AND($H1038&lt;&gt;"",$I1038="PEAD",$N1038="MND",$Q1038="EMBOQUE"),0,IF(AND($H1038&lt;&gt;"",$I1038="PVC",$N1038="VCA",$Q1038="LINEAR"),($H1038/1000)+0.2,IF(AND($H1038&lt;&gt;"",$I1038="PVC",$N1038="MND",$Q1038="EMBOQUE"),0,IF(AND($H1038&lt;&gt;"",$I1038="PEAD",$N1038="VCA",$Q1038="PREDIAL"),0,0)))))),0)</f>
        <v>0.41</v>
      </c>
      <c r="AK1038" s="153" t="n">
        <f aca="false">IF(AA1038&lt;&gt;"",AA1038,0)</f>
        <v>5.2</v>
      </c>
      <c r="AL1038" s="153" t="n">
        <f aca="false">IF(AND($N1038="MND",$Q1038="EMBOQUE"),$M1038,IF(AND($N1038="VCA",$Q1038="LINEAR"),$M1038,IF(AND($N1038="VCA",$Q1038="PREDIAL"),0,0)))</f>
        <v>39.89</v>
      </c>
      <c r="AM1038" s="153" t="n">
        <f aca="false">IF(AND($N1038="MND",$Q1038="EMBOQUE"),$M1038,IF(AND($N1038="VCA",$Q1038="LINEAR"),$M1038,IF(AND($N1038="VCA",$Q1038="PREDIAL"),0,0)))</f>
        <v>39.89</v>
      </c>
      <c r="AN1038" s="153" t="n">
        <f aca="false">ROUND(IF(AND($N1038="VCA",$M1038&lt;&gt;"",$Q1038="LINEAR"),$M1038/100,IF(AND($N1038="MND",$M1038&gt;100,$Q1038="EMBOQUE"),$M1038/100,0)),0)</f>
        <v>0</v>
      </c>
      <c r="AO1038" s="153" t="n">
        <f aca="false">IF(AND($N1038="MND",$Q1038="EMBOQUE"),$AN1038*2*2,IF(AND($N1038="VCA",$Q1038="LINEAR"),$M1038*2,IF(AND($N1038="VCA",$Q1038="PREDIAL"),0,0)))</f>
        <v>79.78</v>
      </c>
      <c r="AP1038" s="153" t="n">
        <f aca="false">IFERROR($M1038*$AF1038*$AG1038,0)</f>
        <v>42.183675</v>
      </c>
      <c r="AQ1038" s="153" t="n">
        <f aca="false">IFERROR(IF(AND($N1038="VCA",$AH1038&gt;0),$M1038*$AG1038*$AH1038,0),0)</f>
        <v>2.99175</v>
      </c>
      <c r="AR1038" s="153" t="n">
        <f aca="false">IFERROR(IF(AND($N1038="VCA",$AJ1038&gt;0),($M1038*$AG1038*$AJ1038)-$AI1038,0),0)</f>
        <v>11.8870876538711</v>
      </c>
      <c r="AS1038" s="153" t="n">
        <f aca="false">IFERROR(IF(AND($N1038="VCA",$AP1038&gt;0),$AP1038-$AI1038-$AQ1038-$AR1038,0),0)</f>
        <v>26.92575</v>
      </c>
      <c r="AT1038" s="153" t="n">
        <f aca="false">IFERROR(IF($N1038="VCA",INDEX(APOIO_REDES!$A:$W,MATCH($C1038&amp;$I1038&amp;$H1038&amp;$N1038&amp;$O1038,APOIO_REDES!$W:$W,0),MATCH(AT$5,APOIO_REDES!$5:$5,0)),0)*$AP1038,0)</f>
        <v>0.458970869730467</v>
      </c>
      <c r="AU1038" s="153" t="n">
        <f aca="false">IFERROR(IF($N1038="VCA",INDEX(APOIO_REDES!$A:$W,MATCH($C1038&amp;$I1038&amp;$H1038&amp;$N1038&amp;$O1038,APOIO_REDES!$W:$W,0),MATCH(AU$5,APOIO_REDES!$5:$5,0)),0)*$AP1038,0)</f>
        <v>0.366521706059156</v>
      </c>
      <c r="AV1038" s="153" t="n">
        <f aca="false">IFERROR(IF($N1038="VCA",INDEX(APOIO_REDES!$A:$W,MATCH($C1038&amp;$I1038&amp;$H1038&amp;$N1038&amp;$O1038,APOIO_REDES!$W:$W,0),MATCH(AV$5,APOIO_REDES!$5:$5,0)),0)*$AP1038,0)</f>
        <v>0.0507237268103809</v>
      </c>
      <c r="AW1038" s="153" t="n">
        <f aca="false">IFERROR(IF($N1038="VCA",INDEX(APOIO_REDES!$A:$W,MATCH($C1038&amp;$I1038&amp;$H1038&amp;$N1038&amp;$O1038,APOIO_REDES!$W:$W,0),MATCH(AW$5,APOIO_REDES!$5:$5,0)),0)*$AP1038,0)</f>
        <v>28.9552013750637</v>
      </c>
      <c r="AX1038" s="153" t="n">
        <f aca="false">IFERROR(IF($N1038="VCA",INDEX(APOIO_REDES!$A:$W,MATCH($C1038&amp;$I1038&amp;$H1038&amp;$N1038&amp;$O1038,APOIO_REDES!$W:$W,0),MATCH(AX$5,APOIO_REDES!$5:$5,0)),0)*$AP1038,0)</f>
        <v>4.00731738985643</v>
      </c>
      <c r="AY1038" s="153" t="n">
        <f aca="false">IFERROR(IF($N1038="VCA",INDEX(APOIO_REDES!$A:$W,MATCH($C1038&amp;$I1038&amp;$H1038&amp;$N1038&amp;$O1038,APOIO_REDES!$W:$W,0),MATCH(AY$5,APOIO_REDES!$5:$5,0)),0)*$AP1038,0)</f>
        <v>7.33042965331323</v>
      </c>
      <c r="AZ1038" s="153" t="n">
        <f aca="false">IFERROR(IF($N1038="VCA",INDEX(APOIO_REDES!$A:$W,MATCH($C1038&amp;$I1038&amp;$H1038&amp;$N1038&amp;$O1038,APOIO_REDES!$W:$W,0),MATCH(AZ$5,APOIO_REDES!$5:$5,0)),0)*$AP1038,0)</f>
        <v>1.0145102791667</v>
      </c>
      <c r="BA1038" s="153" t="n">
        <f aca="false">IFERROR(IF(AND($N1038="VCA",$Q1038="LINEAR"),INDEX(APOIO_REDES!$A:$W,MATCH($C1038&amp;$I1038&amp;$H1038&amp;$N1038&amp;$O1038,APOIO_REDES!$W:$W,0),MATCH(BA$5,APOIO_REDES!$5:$5,0)),IF(AND($N1038="MND",$Q1038="EMBOQUE"),INDEX(APOIO_REDES!$A:$W,MATCH($C1038&amp;$I1038&amp;$H1038&amp;$N1038&amp;$O1038,APOIO_REDES!$W:$W,0),MATCH(BA$5,APOIO_REDES!$5:$5,0)),0))*$M1038/10,0)</f>
        <v>3.21503338065744</v>
      </c>
      <c r="BB1038" s="153" t="n">
        <f aca="false">IFERROR(IF($N1038="VCA",INDEX(APOIO_REDES!$A:$W,MATCH($C1038&amp;$I1038&amp;$H1038&amp;$N1038&amp;$O1038,APOIO_REDES!$W:$W,0),MATCH(BB$5,APOIO_REDES!$5:$5,0)),0)*($AI1038+$AQ1038+$AR1038),0)</f>
        <v>15.0919142598847</v>
      </c>
      <c r="BC1038" s="153" t="n">
        <f aca="false">IFERROR(IF($N1038="VCA",INDEX(APOIO_REDES!$A:$W,MATCH($C1038&amp;$I1038&amp;$H1038&amp;$N1038&amp;$O1038,APOIO_REDES!$W:$W,0),MATCH(BC$5,APOIO_REDES!$5:$5,0)),0)*($AI1038+$AQ1038+$AR1038),0)</f>
        <v>0.166010740115275</v>
      </c>
      <c r="BD1038" s="153" t="n">
        <f aca="false">IF(AND($N1038="VCA",$AF1038&gt;=1.25,$AF1038&lt;1.5),$M1038*$AF1038*2,0)</f>
        <v>112.4898</v>
      </c>
      <c r="BE1038" s="153" t="n">
        <f aca="false">IF(AND($N1038="VCA",$AF1038&gt;=1.5,$AF1038&lt;3),$M1038*$AF1038*2,0)</f>
        <v>0</v>
      </c>
      <c r="BF1038" s="153" t="n">
        <f aca="false">IF(AND($N1038="VCA",$AF1038&gt;=3),$M1038*$AF1038*2,0)</f>
        <v>0</v>
      </c>
      <c r="BG1038" s="153" t="n">
        <f aca="false">($BB1038+$BC1038)*$AK1038</f>
        <v>79.34121</v>
      </c>
      <c r="BH1038" s="153" t="n">
        <f aca="false">IF(AND($M1038&lt;&gt;"",$N1038="VCA",$Q1038="LINEAR"),($M1038*2)/100,IF(AND($M1038&lt;&gt;"",$N1038="MND",$Q1038="EMBOQUE"),($AN1038*2)/100,0))</f>
        <v>0.7978</v>
      </c>
      <c r="BI1038" s="153" t="n">
        <f aca="false">IF(AND($M1038&lt;&gt;"",$N1038="VCA",$Q1038="LINEAR"),$M1038,IF(AND($M1038&lt;&gt;"",$N1038="MND",$Q1038="EMBOQUE"),$AN1038*2,0))</f>
        <v>39.89</v>
      </c>
      <c r="BJ1038" s="153" t="n">
        <f aca="false">IF(AND($M1038&lt;&gt;"",$N1038="VCA",$Q1038="LINEAR"),($M1038*6.8)/100,IF(AND($M1038&lt;&gt;"",$N1038="MND",$Q1038="EMBOQUE"),($AN1038*2*6.8)/100,0))</f>
        <v>2.71252</v>
      </c>
      <c r="BK1038" s="153" t="n">
        <f aca="false">IF(AND($M1038&lt;&gt;"",$N1038="VCA",$Q1038="LINEAR"),($M1038*2.5)/50,IF(AND($M1038&lt;&gt;"",$N1038="MND",$Q1038="EMBOQUE"),($AN1038*2*2.5)/50,0))</f>
        <v>1.9945</v>
      </c>
      <c r="BL1038" s="157" t="str">
        <f aca="false">K1038&amp;J1038</f>
        <v>Zona09REDES</v>
      </c>
      <c r="BM1038" s="152" t="s">
        <v>5109</v>
      </c>
      <c r="BN1038" s="152" t="s">
        <v>1560</v>
      </c>
      <c r="BO1038" s="152" t="s">
        <v>5413</v>
      </c>
      <c r="BP1038" s="152" t="s">
        <v>5484</v>
      </c>
      <c r="BQ1038" s="152" t="s">
        <v>5476</v>
      </c>
      <c r="BR1038" s="152" t="s">
        <v>5485</v>
      </c>
      <c r="BS1038" s="152" t="n">
        <v>202981.958</v>
      </c>
      <c r="BT1038" s="152" t="n">
        <v>8236269.127</v>
      </c>
      <c r="BU1038" s="152" t="n">
        <v>202972.957</v>
      </c>
      <c r="BV1038" s="152" t="n">
        <v>8236307.509</v>
      </c>
      <c r="BW1038" s="152" t="n">
        <v>-15.9349172</v>
      </c>
      <c r="BX1038" s="152" t="n">
        <v>-47.7743064</v>
      </c>
      <c r="BY1038" s="152" t="s">
        <v>5484</v>
      </c>
    </row>
    <row r="1039" customFormat="false" ht="13.8" hidden="false" customHeight="false" outlineLevel="0" collapsed="false">
      <c r="A1039" s="149" t="n">
        <f aca="false">IF(C1039&lt;&gt;"",ROW(A1034),"")</f>
        <v>1034</v>
      </c>
      <c r="B1039" s="150" t="str">
        <f aca="false">HYPERLINK("https://www.google.com/maps/dir/-15.917302,-47.760003/-15.9348681,-47.7779642/data=!4m3!4m2!3e0!5i2")</f>
        <v>https://www.google.com/maps/dir/-15.917302,-47.760003/-15.9348681,-47.7779642/data=!4m3!4m2!3e0!5i2</v>
      </c>
      <c r="C1039" s="151" t="s">
        <v>117</v>
      </c>
      <c r="D1039" s="152" t="s">
        <v>112</v>
      </c>
      <c r="E1039" s="152" t="s">
        <v>113</v>
      </c>
      <c r="F1039" s="152" t="s">
        <v>117</v>
      </c>
      <c r="G1039" s="152" t="s">
        <v>782</v>
      </c>
      <c r="H1039" s="152" t="n">
        <v>63</v>
      </c>
      <c r="I1039" s="152" t="s">
        <v>115</v>
      </c>
      <c r="J1039" s="152" t="s">
        <v>6</v>
      </c>
      <c r="K1039" s="152" t="s">
        <v>5106</v>
      </c>
      <c r="L1039" s="152" t="s">
        <v>120</v>
      </c>
      <c r="M1039" s="153" t="n">
        <f aca="false">2.68</f>
        <v>2.68</v>
      </c>
      <c r="N1039" s="152" t="s">
        <v>1548</v>
      </c>
      <c r="O1039" s="152" t="s">
        <v>1549</v>
      </c>
      <c r="P1039" s="152" t="s">
        <v>1550</v>
      </c>
      <c r="Q1039" s="152" t="s">
        <v>1551</v>
      </c>
      <c r="R1039" s="154" t="s">
        <v>5486</v>
      </c>
      <c r="S1039" s="154" t="s">
        <v>1553</v>
      </c>
      <c r="T1039" s="155" t="s">
        <v>5411</v>
      </c>
      <c r="U1039" s="152" t="str">
        <f aca="false">RIGHT(T1039,7)</f>
        <v>017/037</v>
      </c>
      <c r="V1039" s="152" t="s">
        <v>1555</v>
      </c>
      <c r="W1039" s="156" t="n">
        <v>45882</v>
      </c>
      <c r="X1039" s="152" t="s">
        <v>1594</v>
      </c>
      <c r="Y1039" s="152"/>
      <c r="Z1039" s="152" t="s">
        <v>1557</v>
      </c>
      <c r="AA1039" s="153" t="n">
        <v>5.5</v>
      </c>
      <c r="AB1039" s="151" t="s">
        <v>5487</v>
      </c>
      <c r="AC1039" s="151" t="s">
        <v>186</v>
      </c>
      <c r="AD1039" s="151" t="str">
        <f aca="false">CONCATENATE($C1039,$I1039,$H1039,$N1039,$J1039,$K1039)</f>
        <v>TUBO PEADPEAD63VCAREDESZona09</v>
      </c>
      <c r="AE1039" s="153" t="n">
        <f aca="false">IFERROR(INDEX(APOIO_REDES!$A:$W,MATCH($C1039&amp;$I1039&amp;$H1039&amp;$N1039&amp;$O1039,APOIO_REDES!$W:$W,0),MATCH(AE$5,APOIO_REDES!$5:$5,0)),0)</f>
        <v>1.2</v>
      </c>
      <c r="AF1039" s="153" t="n">
        <f aca="false">IFERROR(INDEX(APOIO_REDES!$A:$W,MATCH($C1039&amp;$I1039&amp;$H1039&amp;$N1039&amp;$O1039,APOIO_REDES!$W:$W,0),MATCH(AF$5,APOIO_REDES!$5:$5,0)),0)</f>
        <v>1.363</v>
      </c>
      <c r="AG1039" s="153" t="n">
        <f aca="false">IFERROR(INDEX(APOIO_REDES!$A:$W,MATCH($C1039&amp;$I1039&amp;$H1039&amp;$N1039&amp;$O1039,APOIO_REDES!$W:$W,0),MATCH(AG$5,APOIO_REDES!$5:$5,0)),0)</f>
        <v>0.65</v>
      </c>
      <c r="AH1039" s="153" t="n">
        <f aca="false">IFERROR(INDEX(APOIO_REDES!$A:$W,MATCH($C1039&amp;$I1039&amp;$H1039&amp;$N1039&amp;$O1039,APOIO_REDES!$W:$W,0),MATCH(AH$5,APOIO_REDES!$5:$5,0)),0)</f>
        <v>0.1</v>
      </c>
      <c r="AI1039" s="153" t="n">
        <f aca="false">IFERROR(IF($H1039&lt;&gt;"",(((($H1039/1000)/2)^2)*PI()*$M1039),0),0)</f>
        <v>0.00835421743220559</v>
      </c>
      <c r="AJ1039" s="153" t="n">
        <f aca="false">IFERROR(IF(AND($H1039&lt;&gt;"",$I1039="FoFo",OR($N1039="MND",$N1039="VCA"),$Q1039="LINEAR"),0,IF(AND($H1039&lt;&gt;"",$I1039="PEAD",$N1039="VCA",$Q1039="LINEAR"),($H1039/1000)+0.3,IF(AND($H1039&lt;&gt;"",$I1039="PEAD",$N1039="MND",$Q1039="EMBOQUE"),0,IF(AND($H1039&lt;&gt;"",$I1039="PVC",$N1039="VCA",$Q1039="LINEAR"),($H1039/1000)+0.2,IF(AND($H1039&lt;&gt;"",$I1039="PVC",$N1039="MND",$Q1039="EMBOQUE"),0,IF(AND($H1039&lt;&gt;"",$I1039="PEAD",$N1039="VCA",$Q1039="PREDIAL"),0,0)))))),0)</f>
        <v>0.363</v>
      </c>
      <c r="AK1039" s="153" t="n">
        <f aca="false">IF(AA1039&lt;&gt;"",AA1039,0)</f>
        <v>5.5</v>
      </c>
      <c r="AL1039" s="153" t="n">
        <f aca="false">IF(AND($N1039="MND",$Q1039="EMBOQUE"),$M1039,IF(AND($N1039="VCA",$Q1039="LINEAR"),$M1039,IF(AND($N1039="VCA",$Q1039="PREDIAL"),0,0)))</f>
        <v>2.68</v>
      </c>
      <c r="AM1039" s="153" t="n">
        <f aca="false">IF(AND($N1039="MND",$Q1039="EMBOQUE"),$M1039,IF(AND($N1039="VCA",$Q1039="LINEAR"),$M1039,IF(AND($N1039="VCA",$Q1039="PREDIAL"),0,0)))</f>
        <v>2.68</v>
      </c>
      <c r="AN1039" s="153" t="n">
        <f aca="false">ROUND(IF(AND($N1039="VCA",$M1039&lt;&gt;"",$Q1039="LINEAR"),$M1039/100,IF(AND($N1039="MND",$M1039&gt;100,$Q1039="EMBOQUE"),$M1039/100,0)),0)</f>
        <v>0</v>
      </c>
      <c r="AO1039" s="153" t="n">
        <f aca="false">IF(AND($N1039="MND",$Q1039="EMBOQUE"),$AN1039*2*2,IF(AND($N1039="VCA",$Q1039="LINEAR"),$M1039*2,IF(AND($N1039="VCA",$Q1039="PREDIAL"),0,0)))</f>
        <v>5.36</v>
      </c>
      <c r="AP1039" s="153" t="n">
        <f aca="false">IFERROR($M1039*$AF1039*$AG1039,0)</f>
        <v>2.374346</v>
      </c>
      <c r="AQ1039" s="153" t="n">
        <f aca="false">IFERROR(IF(AND($N1039="VCA",$AH1039&gt;0),$M1039*$AG1039*$AH1039,0),0)</f>
        <v>0.1742</v>
      </c>
      <c r="AR1039" s="153" t="n">
        <f aca="false">IFERROR(IF(AND($N1039="VCA",$AJ1039&gt;0),($M1039*$AG1039*$AJ1039)-$AI1039,0),0)</f>
        <v>0.623991782567795</v>
      </c>
      <c r="AS1039" s="153" t="n">
        <f aca="false">IFERROR(IF(AND($N1039="VCA",$AP1039&gt;0),$AP1039-$AI1039-$AQ1039-$AR1039,0),0)</f>
        <v>1.5678</v>
      </c>
      <c r="AT1039" s="153" t="n">
        <f aca="false">IFERROR(IF($N1039="VCA",INDEX(APOIO_REDES!$A:$W,MATCH($C1039&amp;$I1039&amp;$H1039&amp;$N1039&amp;$O1039,APOIO_REDES!$W:$W,0),MATCH(AT$5,APOIO_REDES!$5:$5,0)),0)*$AP1039,0)</f>
        <v>0.0258335872505432</v>
      </c>
      <c r="AU1039" s="153" t="n">
        <f aca="false">IFERROR(IF($N1039="VCA",INDEX(APOIO_REDES!$A:$W,MATCH($C1039&amp;$I1039&amp;$H1039&amp;$N1039&amp;$O1039,APOIO_REDES!$W:$W,0),MATCH(AU$5,APOIO_REDES!$5:$5,0)),0)*$AP1039,0)</f>
        <v>0.0206300031160095</v>
      </c>
      <c r="AV1039" s="153" t="n">
        <f aca="false">IFERROR(IF($N1039="VCA",INDEX(APOIO_REDES!$A:$W,MATCH($C1039&amp;$I1039&amp;$H1039&amp;$N1039&amp;$O1039,APOIO_REDES!$W:$W,0),MATCH(AV$5,APOIO_REDES!$5:$5,0)),0)*$AP1039,0)</f>
        <v>0.00285503047938143</v>
      </c>
      <c r="AW1039" s="153" t="n">
        <f aca="false">IFERROR(IF($N1039="VCA",INDEX(APOIO_REDES!$A:$W,MATCH($C1039&amp;$I1039&amp;$H1039&amp;$N1039&amp;$O1039,APOIO_REDES!$W:$W,0),MATCH(AW$5,APOIO_REDES!$5:$5,0)),0)*$AP1039,0)</f>
        <v>1.62976949173055</v>
      </c>
      <c r="AX1039" s="153" t="n">
        <f aca="false">IFERROR(IF($N1039="VCA",INDEX(APOIO_REDES!$A:$W,MATCH($C1039&amp;$I1039&amp;$H1039&amp;$N1039&amp;$O1039,APOIO_REDES!$W:$W,0),MATCH(AX$5,APOIO_REDES!$5:$5,0)),0)*$AP1039,0)</f>
        <v>0.225555455169234</v>
      </c>
      <c r="AY1039" s="153" t="n">
        <f aca="false">IFERROR(IF($N1039="VCA",INDEX(APOIO_REDES!$A:$W,MATCH($C1039&amp;$I1039&amp;$H1039&amp;$N1039&amp;$O1039,APOIO_REDES!$W:$W,0),MATCH(AY$5,APOIO_REDES!$5:$5,0)),0)*$AP1039,0)</f>
        <v>0.412599810842124</v>
      </c>
      <c r="AZ1039" s="153" t="n">
        <f aca="false">IFERROR(IF($N1039="VCA",INDEX(APOIO_REDES!$A:$W,MATCH($C1039&amp;$I1039&amp;$H1039&amp;$N1039&amp;$O1039,APOIO_REDES!$W:$W,0),MATCH(AZ$5,APOIO_REDES!$5:$5,0)),0)*$AP1039,0)</f>
        <v>0.0571026214121539</v>
      </c>
      <c r="BA1039" s="153" t="n">
        <f aca="false">IFERROR(IF(AND($N1039="VCA",$Q1039="LINEAR"),INDEX(APOIO_REDES!$A:$W,MATCH($C1039&amp;$I1039&amp;$H1039&amp;$N1039&amp;$O1039,APOIO_REDES!$W:$W,0),MATCH(BA$5,APOIO_REDES!$5:$5,0)),IF(AND($N1039="MND",$Q1039="EMBOQUE"),INDEX(APOIO_REDES!$A:$W,MATCH($C1039&amp;$I1039&amp;$H1039&amp;$N1039&amp;$O1039,APOIO_REDES!$W:$W,0),MATCH(BA$5,APOIO_REDES!$5:$5,0)),0))*$M1039/10,0)</f>
        <v>0.216001239913811</v>
      </c>
      <c r="BB1039" s="153" t="n">
        <f aca="false">IFERROR(IF($N1039="VCA",INDEX(APOIO_REDES!$A:$W,MATCH($C1039&amp;$I1039&amp;$H1039&amp;$N1039&amp;$O1039,APOIO_REDES!$W:$W,0),MATCH(BB$5,APOIO_REDES!$5:$5,0)),0)*($AI1039+$AQ1039+$AR1039),0)</f>
        <v>0.79777054079457</v>
      </c>
      <c r="BC1039" s="153" t="n">
        <f aca="false">IFERROR(IF($N1039="VCA",INDEX(APOIO_REDES!$A:$W,MATCH($C1039&amp;$I1039&amp;$H1039&amp;$N1039&amp;$O1039,APOIO_REDES!$W:$W,0),MATCH(BC$5,APOIO_REDES!$5:$5,0)),0)*($AI1039+$AQ1039+$AR1039),0)</f>
        <v>0.00877545920543029</v>
      </c>
      <c r="BD1039" s="153" t="n">
        <f aca="false">IF(AND($N1039="VCA",$AF1039&gt;=1.25,$AF1039&lt;1.5),$M1039*$AF1039*2,0)</f>
        <v>7.30568</v>
      </c>
      <c r="BE1039" s="153" t="n">
        <f aca="false">IF(AND($N1039="VCA",$AF1039&gt;=1.5,$AF1039&lt;3),$M1039*$AF1039*2,0)</f>
        <v>0</v>
      </c>
      <c r="BF1039" s="153" t="n">
        <f aca="false">IF(AND($N1039="VCA",$AF1039&gt;=3),$M1039*$AF1039*2,0)</f>
        <v>0</v>
      </c>
      <c r="BG1039" s="153" t="n">
        <f aca="false">($BB1039+$BC1039)*$AK1039</f>
        <v>4.436003</v>
      </c>
      <c r="BH1039" s="153" t="n">
        <f aca="false">IF(AND($M1039&lt;&gt;"",$N1039="VCA",$Q1039="LINEAR"),($M1039*2)/100,IF(AND($M1039&lt;&gt;"",$N1039="MND",$Q1039="EMBOQUE"),($AN1039*2)/100,0))</f>
        <v>0.0536</v>
      </c>
      <c r="BI1039" s="153" t="n">
        <f aca="false">IF(AND($M1039&lt;&gt;"",$N1039="VCA",$Q1039="LINEAR"),$M1039,IF(AND($M1039&lt;&gt;"",$N1039="MND",$Q1039="EMBOQUE"),$AN1039*2,0))</f>
        <v>2.68</v>
      </c>
      <c r="BJ1039" s="153" t="n">
        <f aca="false">IF(AND($M1039&lt;&gt;"",$N1039="VCA",$Q1039="LINEAR"),($M1039*6.8)/100,IF(AND($M1039&lt;&gt;"",$N1039="MND",$Q1039="EMBOQUE"),($AN1039*2*6.8)/100,0))</f>
        <v>0.18224</v>
      </c>
      <c r="BK1039" s="153" t="n">
        <f aca="false">IF(AND($M1039&lt;&gt;"",$N1039="VCA",$Q1039="LINEAR"),($M1039*2.5)/50,IF(AND($M1039&lt;&gt;"",$N1039="MND",$Q1039="EMBOQUE"),($AN1039*2*2.5)/50,0))</f>
        <v>0.134</v>
      </c>
      <c r="BL1039" s="157" t="str">
        <f aca="false">K1039&amp;J1039</f>
        <v>Zona09REDES</v>
      </c>
      <c r="BM1039" s="152" t="s">
        <v>5109</v>
      </c>
      <c r="BN1039" s="152" t="s">
        <v>1560</v>
      </c>
      <c r="BO1039" s="152" t="s">
        <v>5413</v>
      </c>
      <c r="BP1039" s="152" t="s">
        <v>5452</v>
      </c>
      <c r="BQ1039" s="152" t="s">
        <v>5488</v>
      </c>
      <c r="BR1039" s="152" t="s">
        <v>5453</v>
      </c>
      <c r="BS1039" s="152" t="n">
        <v>202585.515</v>
      </c>
      <c r="BT1039" s="152" t="n">
        <v>8236288.536</v>
      </c>
      <c r="BU1039" s="152" t="n">
        <v>202586.374</v>
      </c>
      <c r="BV1039" s="152" t="n">
        <v>8236285.997</v>
      </c>
      <c r="BW1039" s="152" t="n">
        <v>-15.9348796</v>
      </c>
      <c r="BX1039" s="152" t="n">
        <v>-47.7779603</v>
      </c>
      <c r="BY1039" s="152" t="s">
        <v>5452</v>
      </c>
    </row>
    <row r="1040" customFormat="false" ht="13.8" hidden="false" customHeight="false" outlineLevel="0" collapsed="false">
      <c r="A1040" s="149" t="n">
        <f aca="false">IF(C1040&lt;&gt;"",ROW(A1035),"")</f>
        <v>1035</v>
      </c>
      <c r="B1040" s="150" t="str">
        <f aca="false">HYPERLINK("https://www.google.com/maps/dir/-15.917302,-47.760003/-15.9348681,-47.7779642/data=!4m3!4m2!3e0!5i2")</f>
        <v>https://www.google.com/maps/dir/-15.917302,-47.760003/-15.9348681,-47.7779642/data=!4m3!4m2!3e0!5i2</v>
      </c>
      <c r="C1040" s="151" t="s">
        <v>117</v>
      </c>
      <c r="D1040" s="152" t="s">
        <v>112</v>
      </c>
      <c r="E1040" s="152" t="s">
        <v>113</v>
      </c>
      <c r="F1040" s="152" t="s">
        <v>117</v>
      </c>
      <c r="G1040" s="152" t="s">
        <v>782</v>
      </c>
      <c r="H1040" s="152" t="n">
        <v>63</v>
      </c>
      <c r="I1040" s="152" t="s">
        <v>115</v>
      </c>
      <c r="J1040" s="152" t="s">
        <v>6</v>
      </c>
      <c r="K1040" s="152" t="s">
        <v>5106</v>
      </c>
      <c r="L1040" s="152" t="s">
        <v>120</v>
      </c>
      <c r="M1040" s="153" t="n">
        <f aca="false">108.12</f>
        <v>108.12</v>
      </c>
      <c r="N1040" s="152" t="s">
        <v>2173</v>
      </c>
      <c r="O1040" s="152" t="s">
        <v>1549</v>
      </c>
      <c r="P1040" s="152" t="s">
        <v>1550</v>
      </c>
      <c r="Q1040" s="152" t="s">
        <v>1551</v>
      </c>
      <c r="R1040" s="154" t="s">
        <v>5489</v>
      </c>
      <c r="S1040" s="154" t="s">
        <v>1553</v>
      </c>
      <c r="T1040" s="155" t="s">
        <v>5411</v>
      </c>
      <c r="U1040" s="152" t="str">
        <f aca="false">RIGHT(T1040,7)</f>
        <v>017/037</v>
      </c>
      <c r="V1040" s="152" t="s">
        <v>1555</v>
      </c>
      <c r="W1040" s="156" t="n">
        <v>45882</v>
      </c>
      <c r="X1040" s="152" t="s">
        <v>1594</v>
      </c>
      <c r="Y1040" s="152"/>
      <c r="Z1040" s="152" t="s">
        <v>1557</v>
      </c>
      <c r="AA1040" s="153" t="n">
        <v>5.5</v>
      </c>
      <c r="AB1040" s="151" t="s">
        <v>5490</v>
      </c>
      <c r="AC1040" s="151" t="s">
        <v>186</v>
      </c>
      <c r="AD1040" s="151" t="str">
        <f aca="false">CONCATENATE($C1040,$I1040,$H1040,$N1040,$J1040,$K1040)</f>
        <v>TUBO PEADPEAD63MNDREDESZona09</v>
      </c>
      <c r="AE1040" s="153" t="n">
        <f aca="false">IFERROR(INDEX(APOIO_REDES!$A:$W,MATCH($C1040&amp;$I1040&amp;$H1040&amp;$N1040&amp;$O1040,APOIO_REDES!$W:$W,0),MATCH(AE$5,APOIO_REDES!$5:$5,0)),0)</f>
        <v>0</v>
      </c>
      <c r="AF1040" s="153" t="n">
        <f aca="false">IFERROR(INDEX(APOIO_REDES!$A:$W,MATCH($C1040&amp;$I1040&amp;$H1040&amp;$N1040&amp;$O1040,APOIO_REDES!$W:$W,0),MATCH(AF$5,APOIO_REDES!$5:$5,0)),0)</f>
        <v>0</v>
      </c>
      <c r="AG1040" s="153" t="n">
        <f aca="false">IFERROR(INDEX(APOIO_REDES!$A:$W,MATCH($C1040&amp;$I1040&amp;$H1040&amp;$N1040&amp;$O1040,APOIO_REDES!$W:$W,0),MATCH(AG$5,APOIO_REDES!$5:$5,0)),0)</f>
        <v>0</v>
      </c>
      <c r="AH1040" s="153" t="n">
        <f aca="false">IFERROR(INDEX(APOIO_REDES!$A:$W,MATCH($C1040&amp;$I1040&amp;$H1040&amp;$N1040&amp;$O1040,APOIO_REDES!$W:$W,0),MATCH(AH$5,APOIO_REDES!$5:$5,0)),0)</f>
        <v>0</v>
      </c>
      <c r="AI1040" s="153" t="n">
        <f aca="false">IFERROR(IF($H1040&lt;&gt;"",(((($H1040/1000)/2)^2)*PI()*$M1040),0),0)</f>
        <v>0.337036562973906</v>
      </c>
      <c r="AJ1040" s="153" t="n">
        <f aca="false">IFERROR(IF(AND($H1040&lt;&gt;"",$I1040="FoFo",OR($N1040="MND",$N1040="VCA"),$Q1040="LINEAR"),0,IF(AND($H1040&lt;&gt;"",$I1040="PEAD",$N1040="VCA",$Q1040="LINEAR"),($H1040/1000)+0.3,IF(AND($H1040&lt;&gt;"",$I1040="PEAD",$N1040="MND",$Q1040="EMBOQUE"),0,IF(AND($H1040&lt;&gt;"",$I1040="PVC",$N1040="VCA",$Q1040="LINEAR"),($H1040/1000)+0.2,IF(AND($H1040&lt;&gt;"",$I1040="PVC",$N1040="MND",$Q1040="EMBOQUE"),0,IF(AND($H1040&lt;&gt;"",$I1040="PEAD",$N1040="VCA",$Q1040="PREDIAL"),0,0)))))),0)</f>
        <v>0</v>
      </c>
      <c r="AK1040" s="153" t="n">
        <f aca="false">IF(AA1040&lt;&gt;"",AA1040,0)</f>
        <v>5.5</v>
      </c>
      <c r="AL1040" s="153" t="n">
        <f aca="false">IF(AND($N1040="MND",$Q1040="EMBOQUE"),$M1040,IF(AND($N1040="VCA",$Q1040="LINEAR"),$M1040,IF(AND($N1040="VCA",$Q1040="PREDIAL"),0,0)))</f>
        <v>0</v>
      </c>
      <c r="AM1040" s="153" t="n">
        <f aca="false">IF(AND($N1040="MND",$Q1040="EMBOQUE"),$M1040,IF(AND($N1040="VCA",$Q1040="LINEAR"),$M1040,IF(AND($N1040="VCA",$Q1040="PREDIAL"),0,0)))</f>
        <v>0</v>
      </c>
      <c r="AN1040" s="153" t="n">
        <f aca="false">ROUND(IF(AND($N1040="VCA",$M1040&lt;&gt;"",$Q1040="LINEAR"),$M1040/100,IF(AND($N1040="MND",$M1040&gt;100,$Q1040="EMBOQUE"),$M1040/100,0)),0)</f>
        <v>0</v>
      </c>
      <c r="AO1040" s="153" t="n">
        <f aca="false">IF(AND($N1040="MND",$Q1040="EMBOQUE"),$AN1040*2*2,IF(AND($N1040="VCA",$Q1040="LINEAR"),$M1040*2,IF(AND($N1040="VCA",$Q1040="PREDIAL"),0,0)))</f>
        <v>0</v>
      </c>
      <c r="AP1040" s="153" t="n">
        <f aca="false">IFERROR($M1040*$AF1040*$AG1040,0)</f>
        <v>0</v>
      </c>
      <c r="AQ1040" s="153" t="n">
        <f aca="false">IFERROR(IF(AND($N1040="VCA",$AH1040&gt;0),$M1040*$AG1040*$AH1040,0),0)</f>
        <v>0</v>
      </c>
      <c r="AR1040" s="153" t="n">
        <f aca="false">IFERROR(IF(AND($N1040="VCA",$AJ1040&gt;0),($M1040*$AG1040*$AJ1040)-$AI1040,0),0)</f>
        <v>0</v>
      </c>
      <c r="AS1040" s="153" t="n">
        <f aca="false">IFERROR(IF(AND($N1040="VCA",$AP1040&gt;0),$AP1040-$AI1040-$AQ1040-$AR1040,0),0)</f>
        <v>0</v>
      </c>
      <c r="AT1040" s="153" t="n">
        <f aca="false">IFERROR(IF($N1040="VCA",INDEX(APOIO_REDES!$A:$W,MATCH($C1040&amp;$I1040&amp;$H1040&amp;$N1040&amp;$O1040,APOIO_REDES!$W:$W,0),MATCH(AT$5,APOIO_REDES!$5:$5,0)),0)*$AP1040,0)</f>
        <v>0</v>
      </c>
      <c r="AU1040" s="153" t="n">
        <f aca="false">IFERROR(IF($N1040="VCA",INDEX(APOIO_REDES!$A:$W,MATCH($C1040&amp;$I1040&amp;$H1040&amp;$N1040&amp;$O1040,APOIO_REDES!$W:$W,0),MATCH(AU$5,APOIO_REDES!$5:$5,0)),0)*$AP1040,0)</f>
        <v>0</v>
      </c>
      <c r="AV1040" s="153" t="n">
        <f aca="false">IFERROR(IF($N1040="VCA",INDEX(APOIO_REDES!$A:$W,MATCH($C1040&amp;$I1040&amp;$H1040&amp;$N1040&amp;$O1040,APOIO_REDES!$W:$W,0),MATCH(AV$5,APOIO_REDES!$5:$5,0)),0)*$AP1040,0)</f>
        <v>0</v>
      </c>
      <c r="AW1040" s="153" t="n">
        <f aca="false">IFERROR(IF($N1040="VCA",INDEX(APOIO_REDES!$A:$W,MATCH($C1040&amp;$I1040&amp;$H1040&amp;$N1040&amp;$O1040,APOIO_REDES!$W:$W,0),MATCH(AW$5,APOIO_REDES!$5:$5,0)),0)*$AP1040,0)</f>
        <v>0</v>
      </c>
      <c r="AX1040" s="153" t="n">
        <f aca="false">IFERROR(IF($N1040="VCA",INDEX(APOIO_REDES!$A:$W,MATCH($C1040&amp;$I1040&amp;$H1040&amp;$N1040&amp;$O1040,APOIO_REDES!$W:$W,0),MATCH(AX$5,APOIO_REDES!$5:$5,0)),0)*$AP1040,0)</f>
        <v>0</v>
      </c>
      <c r="AY1040" s="153" t="n">
        <f aca="false">IFERROR(IF($N1040="VCA",INDEX(APOIO_REDES!$A:$W,MATCH($C1040&amp;$I1040&amp;$H1040&amp;$N1040&amp;$O1040,APOIO_REDES!$W:$W,0),MATCH(AY$5,APOIO_REDES!$5:$5,0)),0)*$AP1040,0)</f>
        <v>0</v>
      </c>
      <c r="AZ1040" s="153" t="n">
        <f aca="false">IFERROR(IF($N1040="VCA",INDEX(APOIO_REDES!$A:$W,MATCH($C1040&amp;$I1040&amp;$H1040&amp;$N1040&amp;$O1040,APOIO_REDES!$W:$W,0),MATCH(AZ$5,APOIO_REDES!$5:$5,0)),0)*$AP1040,0)</f>
        <v>0</v>
      </c>
      <c r="BA1040" s="153" t="n">
        <f aca="false">IFERROR(IF(AND($N1040="VCA",$Q1040="LINEAR"),INDEX(APOIO_REDES!$A:$W,MATCH($C1040&amp;$I1040&amp;$H1040&amp;$N1040&amp;$O1040,APOIO_REDES!$W:$W,0),MATCH(BA$5,APOIO_REDES!$5:$5,0)),IF(AND($N1040="MND",$Q1040="EMBOQUE"),INDEX(APOIO_REDES!$A:$W,MATCH($C1040&amp;$I1040&amp;$H1040&amp;$N1040&amp;$O1040,APOIO_REDES!$W:$W,0),MATCH(BA$5,APOIO_REDES!$5:$5,0)),0))*$M1040/10,0)</f>
        <v>0</v>
      </c>
      <c r="BB1040" s="153" t="n">
        <f aca="false">IFERROR(IF($N1040="VCA",INDEX(APOIO_REDES!$A:$W,MATCH($C1040&amp;$I1040&amp;$H1040&amp;$N1040&amp;$O1040,APOIO_REDES!$W:$W,0),MATCH(BB$5,APOIO_REDES!$5:$5,0)),0)*($AI1040+$AQ1040+$AR1040),0)</f>
        <v>0</v>
      </c>
      <c r="BC1040" s="153" t="n">
        <f aca="false">IFERROR(IF($N1040="VCA",INDEX(APOIO_REDES!$A:$W,MATCH($C1040&amp;$I1040&amp;$H1040&amp;$N1040&amp;$O1040,APOIO_REDES!$W:$W,0),MATCH(BC$5,APOIO_REDES!$5:$5,0)),0)*($AI1040+$AQ1040+$AR1040),0)</f>
        <v>0</v>
      </c>
      <c r="BD1040" s="153" t="n">
        <f aca="false">IF(AND($N1040="VCA",$AF1040&gt;=1.25,$AF1040&lt;1.5),$M1040*$AF1040*2,0)</f>
        <v>0</v>
      </c>
      <c r="BE1040" s="153" t="n">
        <f aca="false">IF(AND($N1040="VCA",$AF1040&gt;=1.5,$AF1040&lt;3),$M1040*$AF1040*2,0)</f>
        <v>0</v>
      </c>
      <c r="BF1040" s="153" t="n">
        <f aca="false">IF(AND($N1040="VCA",$AF1040&gt;=3),$M1040*$AF1040*2,0)</f>
        <v>0</v>
      </c>
      <c r="BG1040" s="153" t="n">
        <f aca="false">($BB1040+$BC1040)*$AK1040</f>
        <v>0</v>
      </c>
      <c r="BH1040" s="153" t="n">
        <f aca="false">IF(AND($M1040&lt;&gt;"",$N1040="VCA",$Q1040="LINEAR"),($M1040*2)/100,IF(AND($M1040&lt;&gt;"",$N1040="MND",$Q1040="EMBOQUE"),($AN1040*2)/100,0))</f>
        <v>0</v>
      </c>
      <c r="BI1040" s="153" t="n">
        <f aca="false">IF(AND($M1040&lt;&gt;"",$N1040="VCA",$Q1040="LINEAR"),$M1040,IF(AND($M1040&lt;&gt;"",$N1040="MND",$Q1040="EMBOQUE"),$AN1040*2,0))</f>
        <v>0</v>
      </c>
      <c r="BJ1040" s="153" t="n">
        <f aca="false">IF(AND($M1040&lt;&gt;"",$N1040="VCA",$Q1040="LINEAR"),($M1040*6.8)/100,IF(AND($M1040&lt;&gt;"",$N1040="MND",$Q1040="EMBOQUE"),($AN1040*2*6.8)/100,0))</f>
        <v>0</v>
      </c>
      <c r="BK1040" s="153" t="n">
        <f aca="false">IF(AND($M1040&lt;&gt;"",$N1040="VCA",$Q1040="LINEAR"),($M1040*2.5)/50,IF(AND($M1040&lt;&gt;"",$N1040="MND",$Q1040="EMBOQUE"),($AN1040*2*2.5)/50,0))</f>
        <v>0</v>
      </c>
      <c r="BL1040" s="157" t="str">
        <f aca="false">K1040&amp;J1040</f>
        <v>Zona09REDES</v>
      </c>
      <c r="BM1040" s="152" t="s">
        <v>5109</v>
      </c>
      <c r="BN1040" s="152" t="s">
        <v>1560</v>
      </c>
      <c r="BO1040" s="152" t="s">
        <v>5413</v>
      </c>
      <c r="BP1040" s="152" t="s">
        <v>5452</v>
      </c>
      <c r="BQ1040" s="152" t="s">
        <v>2176</v>
      </c>
      <c r="BR1040" s="152" t="s">
        <v>5491</v>
      </c>
      <c r="BS1040" s="152" t="n">
        <v>202585.515</v>
      </c>
      <c r="BT1040" s="152" t="n">
        <v>8236288.536</v>
      </c>
      <c r="BU1040" s="152" t="n">
        <v>202693.298</v>
      </c>
      <c r="BV1040" s="152" t="n">
        <v>8236280</v>
      </c>
      <c r="BW1040" s="152" t="n">
        <v>-15.9349131</v>
      </c>
      <c r="BX1040" s="152" t="n">
        <v>-47.7774618</v>
      </c>
      <c r="BY1040" s="152" t="s">
        <v>5452</v>
      </c>
    </row>
    <row r="1041" customFormat="false" ht="13.8" hidden="false" customHeight="false" outlineLevel="0" collapsed="false">
      <c r="A1041" s="149" t="n">
        <f aca="false">IF(C1041&lt;&gt;"",ROW(A1036),"")</f>
        <v>1036</v>
      </c>
      <c r="B1041" s="150" t="str">
        <f aca="false">HYPERLINK("https://www.google.com/maps/dir/-15.917302,-47.760003/-15.9349037,-47.7719077/data=!4m3!4m2!3e0!5i2")</f>
        <v>https://www.google.com/maps/dir/-15.917302,-47.760003/-15.9349037,-47.7719077/data=!4m3!4m2!3e0!5i2</v>
      </c>
      <c r="C1041" s="151" t="s">
        <v>117</v>
      </c>
      <c r="D1041" s="152" t="s">
        <v>112</v>
      </c>
      <c r="E1041" s="152" t="s">
        <v>113</v>
      </c>
      <c r="F1041" s="152" t="s">
        <v>117</v>
      </c>
      <c r="G1041" s="152" t="s">
        <v>782</v>
      </c>
      <c r="H1041" s="152" t="n">
        <v>63</v>
      </c>
      <c r="I1041" s="152" t="s">
        <v>115</v>
      </c>
      <c r="J1041" s="152" t="s">
        <v>6</v>
      </c>
      <c r="K1041" s="152" t="s">
        <v>5106</v>
      </c>
      <c r="L1041" s="152" t="s">
        <v>120</v>
      </c>
      <c r="M1041" s="153" t="n">
        <f aca="false">101.07+4</f>
        <v>105.07</v>
      </c>
      <c r="N1041" s="152" t="s">
        <v>1548</v>
      </c>
      <c r="O1041" s="152" t="s">
        <v>1549</v>
      </c>
      <c r="P1041" s="152" t="s">
        <v>1550</v>
      </c>
      <c r="Q1041" s="152" t="s">
        <v>1551</v>
      </c>
      <c r="R1041" s="154" t="s">
        <v>5492</v>
      </c>
      <c r="S1041" s="154" t="s">
        <v>1553</v>
      </c>
      <c r="T1041" s="155" t="s">
        <v>5411</v>
      </c>
      <c r="U1041" s="152" t="str">
        <f aca="false">RIGHT(T1041,7)</f>
        <v>017/037</v>
      </c>
      <c r="V1041" s="152" t="s">
        <v>1555</v>
      </c>
      <c r="W1041" s="156" t="n">
        <v>45882</v>
      </c>
      <c r="X1041" s="152" t="s">
        <v>1594</v>
      </c>
      <c r="Y1041" s="152" t="s">
        <v>5493</v>
      </c>
      <c r="Z1041" s="152" t="s">
        <v>1557</v>
      </c>
      <c r="AA1041" s="153" t="n">
        <v>5</v>
      </c>
      <c r="AB1041" s="151" t="s">
        <v>5494</v>
      </c>
      <c r="AC1041" s="151" t="s">
        <v>186</v>
      </c>
      <c r="AD1041" s="151" t="str">
        <f aca="false">CONCATENATE($C1041,$I1041,$H1041,$N1041,$J1041,$K1041)</f>
        <v>TUBO PEADPEAD63VCAREDESZona09</v>
      </c>
      <c r="AE1041" s="153" t="n">
        <f aca="false">IFERROR(INDEX(APOIO_REDES!$A:$W,MATCH($C1041&amp;$I1041&amp;$H1041&amp;$N1041&amp;$O1041,APOIO_REDES!$W:$W,0),MATCH(AE$5,APOIO_REDES!$5:$5,0)),0)</f>
        <v>1.2</v>
      </c>
      <c r="AF1041" s="153" t="n">
        <f aca="false">IFERROR(INDEX(APOIO_REDES!$A:$W,MATCH($C1041&amp;$I1041&amp;$H1041&amp;$N1041&amp;$O1041,APOIO_REDES!$W:$W,0),MATCH(AF$5,APOIO_REDES!$5:$5,0)),0)</f>
        <v>1.363</v>
      </c>
      <c r="AG1041" s="153" t="n">
        <f aca="false">IFERROR(INDEX(APOIO_REDES!$A:$W,MATCH($C1041&amp;$I1041&amp;$H1041&amp;$N1041&amp;$O1041,APOIO_REDES!$W:$W,0),MATCH(AG$5,APOIO_REDES!$5:$5,0)),0)</f>
        <v>0.65</v>
      </c>
      <c r="AH1041" s="153" t="n">
        <f aca="false">IFERROR(INDEX(APOIO_REDES!$A:$W,MATCH($C1041&amp;$I1041&amp;$H1041&amp;$N1041&amp;$O1041,APOIO_REDES!$W:$W,0),MATCH(AH$5,APOIO_REDES!$5:$5,0)),0)</f>
        <v>0.1</v>
      </c>
      <c r="AI1041" s="153" t="n">
        <f aca="false">IFERROR(IF($H1041&lt;&gt;"",(((($H1041/1000)/2)^2)*PI()*$M1041),0),0)</f>
        <v>0.327528964776806</v>
      </c>
      <c r="AJ1041" s="153" t="n">
        <f aca="false">IFERROR(IF(AND($H1041&lt;&gt;"",$I1041="FoFo",OR($N1041="MND",$N1041="VCA"),$Q1041="LINEAR"),0,IF(AND($H1041&lt;&gt;"",$I1041="PEAD",$N1041="VCA",$Q1041="LINEAR"),($H1041/1000)+0.3,IF(AND($H1041&lt;&gt;"",$I1041="PEAD",$N1041="MND",$Q1041="EMBOQUE"),0,IF(AND($H1041&lt;&gt;"",$I1041="PVC",$N1041="VCA",$Q1041="LINEAR"),($H1041/1000)+0.2,IF(AND($H1041&lt;&gt;"",$I1041="PVC",$N1041="MND",$Q1041="EMBOQUE"),0,IF(AND($H1041&lt;&gt;"",$I1041="PEAD",$N1041="VCA",$Q1041="PREDIAL"),0,0)))))),0)</f>
        <v>0.363</v>
      </c>
      <c r="AK1041" s="153" t="n">
        <f aca="false">IF(AA1041&lt;&gt;"",AA1041,0)</f>
        <v>5</v>
      </c>
      <c r="AL1041" s="153" t="n">
        <f aca="false">IF(AND($N1041="MND",$Q1041="EMBOQUE"),$M1041,IF(AND($N1041="VCA",$Q1041="LINEAR"),$M1041,IF(AND($N1041="VCA",$Q1041="PREDIAL"),0,0)))</f>
        <v>105.07</v>
      </c>
      <c r="AM1041" s="153" t="n">
        <f aca="false">IF(AND($N1041="MND",$Q1041="EMBOQUE"),$M1041,IF(AND($N1041="VCA",$Q1041="LINEAR"),$M1041,IF(AND($N1041="VCA",$Q1041="PREDIAL"),0,0)))</f>
        <v>105.07</v>
      </c>
      <c r="AN1041" s="153" t="n">
        <f aca="false">ROUND(IF(AND($N1041="VCA",$M1041&lt;&gt;"",$Q1041="LINEAR"),$M1041/100,IF(AND($N1041="MND",$M1041&gt;100,$Q1041="EMBOQUE"),$M1041/100,0)),0)</f>
        <v>1</v>
      </c>
      <c r="AO1041" s="153" t="n">
        <f aca="false">IF(AND($N1041="MND",$Q1041="EMBOQUE"),$AN1041*2*2,IF(AND($N1041="VCA",$Q1041="LINEAR"),$M1041*2,IF(AND($N1041="VCA",$Q1041="PREDIAL"),0,0)))</f>
        <v>210.14</v>
      </c>
      <c r="AP1041" s="153" t="n">
        <f aca="false">IFERROR($M1041*$AF1041*$AG1041,0)</f>
        <v>93.0867665</v>
      </c>
      <c r="AQ1041" s="153" t="n">
        <f aca="false">IFERROR(IF(AND($N1041="VCA",$AH1041&gt;0),$M1041*$AG1041*$AH1041,0),0)</f>
        <v>6.82955</v>
      </c>
      <c r="AR1041" s="153" t="n">
        <f aca="false">IFERROR(IF(AND($N1041="VCA",$AJ1041&gt;0),($M1041*$AG1041*$AJ1041)-$AI1041,0),0)</f>
        <v>24.4637375352232</v>
      </c>
      <c r="AS1041" s="153" t="n">
        <f aca="false">IFERROR(IF(AND($N1041="VCA",$AP1041&gt;0),$AP1041-$AI1041-$AQ1041-$AR1041,0),0)</f>
        <v>61.46595</v>
      </c>
      <c r="AT1041" s="153" t="n">
        <f aca="false">IFERROR(IF($N1041="VCA",INDEX(APOIO_REDES!$A:$W,MATCH($C1041&amp;$I1041&amp;$H1041&amp;$N1041&amp;$O1041,APOIO_REDES!$W:$W,0),MATCH(AT$5,APOIO_REDES!$5:$5,0)),0)*$AP1041,0)</f>
        <v>1.01281157179648</v>
      </c>
      <c r="AU1041" s="153" t="n">
        <f aca="false">IFERROR(IF($N1041="VCA",INDEX(APOIO_REDES!$A:$W,MATCH($C1041&amp;$I1041&amp;$H1041&amp;$N1041&amp;$O1041,APOIO_REDES!$W:$W,0),MATCH(AU$5,APOIO_REDES!$5:$5,0)),0)*$AP1041,0)</f>
        <v>0.808803890820567</v>
      </c>
      <c r="AV1041" s="153" t="n">
        <f aca="false">IFERROR(IF($N1041="VCA",INDEX(APOIO_REDES!$A:$W,MATCH($C1041&amp;$I1041&amp;$H1041&amp;$N1041&amp;$O1041,APOIO_REDES!$W:$W,0),MATCH(AV$5,APOIO_REDES!$5:$5,0)),0)*$AP1041,0)</f>
        <v>0.111932109130077</v>
      </c>
      <c r="AW1041" s="153" t="n">
        <f aca="false">IFERROR(IF($N1041="VCA",INDEX(APOIO_REDES!$A:$W,MATCH($C1041&amp;$I1041&amp;$H1041&amp;$N1041&amp;$O1041,APOIO_REDES!$W:$W,0),MATCH(AW$5,APOIO_REDES!$5:$5,0)),0)*$AP1041,0)</f>
        <v>63.8954777970632</v>
      </c>
      <c r="AX1041" s="153" t="n">
        <f aca="false">IFERROR(IF($N1041="VCA",INDEX(APOIO_REDES!$A:$W,MATCH($C1041&amp;$I1041&amp;$H1041&amp;$N1041&amp;$O1041,APOIO_REDES!$W:$W,0),MATCH(AX$5,APOIO_REDES!$5:$5,0)),0)*$AP1041,0)</f>
        <v>8.84295211739979</v>
      </c>
      <c r="AY1041" s="153" t="n">
        <f aca="false">IFERROR(IF($N1041="VCA",INDEX(APOIO_REDES!$A:$W,MATCH($C1041&amp;$I1041&amp;$H1041&amp;$N1041&amp;$O1041,APOIO_REDES!$W:$W,0),MATCH(AY$5,APOIO_REDES!$5:$5,0)),0)*$AP1041,0)</f>
        <v>16.1760679571575</v>
      </c>
      <c r="AZ1041" s="153" t="n">
        <f aca="false">IFERROR(IF($N1041="VCA",INDEX(APOIO_REDES!$A:$W,MATCH($C1041&amp;$I1041&amp;$H1041&amp;$N1041&amp;$O1041,APOIO_REDES!$W:$W,0),MATCH(AZ$5,APOIO_REDES!$5:$5,0)),0)*$AP1041,0)</f>
        <v>2.23872105663247</v>
      </c>
      <c r="BA1041" s="153" t="n">
        <f aca="false">IFERROR(IF(AND($N1041="VCA",$Q1041="LINEAR"),INDEX(APOIO_REDES!$A:$W,MATCH($C1041&amp;$I1041&amp;$H1041&amp;$N1041&amp;$O1041,APOIO_REDES!$W:$W,0),MATCH(BA$5,APOIO_REDES!$5:$5,0)),IF(AND($N1041="MND",$Q1041="EMBOQUE"),INDEX(APOIO_REDES!$A:$W,MATCH($C1041&amp;$I1041&amp;$H1041&amp;$N1041&amp;$O1041,APOIO_REDES!$W:$W,0),MATCH(BA$5,APOIO_REDES!$5:$5,0)),0))*$M1041/10,0)</f>
        <v>8.46837696930751</v>
      </c>
      <c r="BB1041" s="153" t="n">
        <f aca="false">IFERROR(IF($N1041="VCA",INDEX(APOIO_REDES!$A:$W,MATCH($C1041&amp;$I1041&amp;$H1041&amp;$N1041&amp;$O1041,APOIO_REDES!$W:$W,0),MATCH(BB$5,APOIO_REDES!$5:$5,0)),0)*($AI1041+$AQ1041+$AR1041),0)</f>
        <v>31.2767726571961</v>
      </c>
      <c r="BC1041" s="153" t="n">
        <f aca="false">IFERROR(IF($N1041="VCA",INDEX(APOIO_REDES!$A:$W,MATCH($C1041&amp;$I1041&amp;$H1041&amp;$N1041&amp;$O1041,APOIO_REDES!$W:$W,0),MATCH(BC$5,APOIO_REDES!$5:$5,0)),0)*($AI1041+$AQ1041+$AR1041),0)</f>
        <v>0.34404384280394</v>
      </c>
      <c r="BD1041" s="153" t="n">
        <f aca="false">IF(AND($N1041="VCA",$AF1041&gt;=1.25,$AF1041&lt;1.5),$M1041*$AF1041*2,0)</f>
        <v>286.42082</v>
      </c>
      <c r="BE1041" s="153" t="n">
        <f aca="false">IF(AND($N1041="VCA",$AF1041&gt;=1.5,$AF1041&lt;3),$M1041*$AF1041*2,0)</f>
        <v>0</v>
      </c>
      <c r="BF1041" s="153" t="n">
        <f aca="false">IF(AND($N1041="VCA",$AF1041&gt;=3),$M1041*$AF1041*2,0)</f>
        <v>0</v>
      </c>
      <c r="BG1041" s="153" t="n">
        <f aca="false">($BB1041+$BC1041)*$AK1041</f>
        <v>158.1040825</v>
      </c>
      <c r="BH1041" s="153" t="n">
        <f aca="false">IF(AND($M1041&lt;&gt;"",$N1041="VCA",$Q1041="LINEAR"),($M1041*2)/100,IF(AND($M1041&lt;&gt;"",$N1041="MND",$Q1041="EMBOQUE"),($AN1041*2)/100,0))</f>
        <v>2.1014</v>
      </c>
      <c r="BI1041" s="153" t="n">
        <f aca="false">IF(AND($M1041&lt;&gt;"",$N1041="VCA",$Q1041="LINEAR"),$M1041,IF(AND($M1041&lt;&gt;"",$N1041="MND",$Q1041="EMBOQUE"),$AN1041*2,0))</f>
        <v>105.07</v>
      </c>
      <c r="BJ1041" s="153" t="n">
        <f aca="false">IF(AND($M1041&lt;&gt;"",$N1041="VCA",$Q1041="LINEAR"),($M1041*6.8)/100,IF(AND($M1041&lt;&gt;"",$N1041="MND",$Q1041="EMBOQUE"),($AN1041*2*6.8)/100,0))</f>
        <v>7.14476</v>
      </c>
      <c r="BK1041" s="153" t="n">
        <f aca="false">IF(AND($M1041&lt;&gt;"",$N1041="VCA",$Q1041="LINEAR"),($M1041*2.5)/50,IF(AND($M1041&lt;&gt;"",$N1041="MND",$Q1041="EMBOQUE"),($AN1041*2*2.5)/50,0))</f>
        <v>5.2535</v>
      </c>
      <c r="BL1041" s="157" t="str">
        <f aca="false">K1041&amp;J1041</f>
        <v>Zona09REDES</v>
      </c>
      <c r="BM1041" s="152" t="s">
        <v>5109</v>
      </c>
      <c r="BN1041" s="152" t="s">
        <v>1560</v>
      </c>
      <c r="BO1041" s="152" t="s">
        <v>5413</v>
      </c>
      <c r="BP1041" s="152" t="s">
        <v>5495</v>
      </c>
      <c r="BQ1041" s="152" t="s">
        <v>5496</v>
      </c>
      <c r="BR1041" s="152" t="s">
        <v>5497</v>
      </c>
      <c r="BS1041" s="152" t="n">
        <v>203234.419</v>
      </c>
      <c r="BT1041" s="152" t="n">
        <v>8236293.234</v>
      </c>
      <c r="BU1041" s="152" t="n">
        <v>203135.437</v>
      </c>
      <c r="BV1041" s="152" t="n">
        <v>8236272.974</v>
      </c>
      <c r="BW1041" s="152" t="n">
        <v>-15.9349918</v>
      </c>
      <c r="BX1041" s="152" t="n">
        <v>-47.7723702</v>
      </c>
      <c r="BY1041" s="152" t="s">
        <v>5495</v>
      </c>
    </row>
    <row r="1042" customFormat="false" ht="13.8" hidden="false" customHeight="false" outlineLevel="0" collapsed="false">
      <c r="A1042" s="149" t="n">
        <f aca="false">IF(C1042&lt;&gt;"",ROW(A1037),"")</f>
        <v>1037</v>
      </c>
      <c r="B1042" s="150" t="str">
        <f aca="false">HYPERLINK("https://www.google.com/maps/dir/-15.917302,-47.760003/-15.9350910,-47.7742668/data=!4m3!4m2!3e0!5i2")</f>
        <v>https://www.google.com/maps/dir/-15.917302,-47.760003/-15.9350910,-47.7742668/data=!4m3!4m2!3e0!5i2</v>
      </c>
      <c r="C1042" s="151" t="s">
        <v>117</v>
      </c>
      <c r="D1042" s="152" t="s">
        <v>112</v>
      </c>
      <c r="E1042" s="152" t="s">
        <v>113</v>
      </c>
      <c r="F1042" s="152" t="s">
        <v>117</v>
      </c>
      <c r="G1042" s="152" t="s">
        <v>782</v>
      </c>
      <c r="H1042" s="152" t="n">
        <v>63</v>
      </c>
      <c r="I1042" s="152" t="s">
        <v>115</v>
      </c>
      <c r="J1042" s="152" t="s">
        <v>6</v>
      </c>
      <c r="K1042" s="152" t="s">
        <v>5106</v>
      </c>
      <c r="L1042" s="152" t="s">
        <v>120</v>
      </c>
      <c r="M1042" s="153" t="n">
        <f aca="false">89.14+3.93</f>
        <v>93.07</v>
      </c>
      <c r="N1042" s="152" t="s">
        <v>1548</v>
      </c>
      <c r="O1042" s="152" t="s">
        <v>1549</v>
      </c>
      <c r="P1042" s="152" t="s">
        <v>1550</v>
      </c>
      <c r="Q1042" s="152" t="s">
        <v>1551</v>
      </c>
      <c r="R1042" s="154" t="s">
        <v>5498</v>
      </c>
      <c r="S1042" s="154" t="s">
        <v>1553</v>
      </c>
      <c r="T1042" s="155" t="s">
        <v>5411</v>
      </c>
      <c r="U1042" s="152" t="str">
        <f aca="false">RIGHT(T1042,7)</f>
        <v>017/037</v>
      </c>
      <c r="V1042" s="152" t="s">
        <v>1555</v>
      </c>
      <c r="W1042" s="156" t="n">
        <v>45882</v>
      </c>
      <c r="X1042" s="152" t="s">
        <v>1594</v>
      </c>
      <c r="Y1042" s="152" t="s">
        <v>2035</v>
      </c>
      <c r="Z1042" s="152" t="s">
        <v>1557</v>
      </c>
      <c r="AA1042" s="153" t="n">
        <v>5.2</v>
      </c>
      <c r="AB1042" s="151" t="s">
        <v>5499</v>
      </c>
      <c r="AC1042" s="151" t="s">
        <v>186</v>
      </c>
      <c r="AD1042" s="151" t="str">
        <f aca="false">CONCATENATE($C1042,$I1042,$H1042,$N1042,$J1042,$K1042)</f>
        <v>TUBO PEADPEAD63VCAREDESZona09</v>
      </c>
      <c r="AE1042" s="153" t="n">
        <f aca="false">IFERROR(INDEX(APOIO_REDES!$A:$W,MATCH($C1042&amp;$I1042&amp;$H1042&amp;$N1042&amp;$O1042,APOIO_REDES!$W:$W,0),MATCH(AE$5,APOIO_REDES!$5:$5,0)),0)</f>
        <v>1.2</v>
      </c>
      <c r="AF1042" s="153" t="n">
        <f aca="false">IFERROR(INDEX(APOIO_REDES!$A:$W,MATCH($C1042&amp;$I1042&amp;$H1042&amp;$N1042&amp;$O1042,APOIO_REDES!$W:$W,0),MATCH(AF$5,APOIO_REDES!$5:$5,0)),0)</f>
        <v>1.363</v>
      </c>
      <c r="AG1042" s="153" t="n">
        <f aca="false">IFERROR(INDEX(APOIO_REDES!$A:$W,MATCH($C1042&amp;$I1042&amp;$H1042&amp;$N1042&amp;$O1042,APOIO_REDES!$W:$W,0),MATCH(AG$5,APOIO_REDES!$5:$5,0)),0)</f>
        <v>0.65</v>
      </c>
      <c r="AH1042" s="153" t="n">
        <f aca="false">IFERROR(INDEX(APOIO_REDES!$A:$W,MATCH($C1042&amp;$I1042&amp;$H1042&amp;$N1042&amp;$O1042,APOIO_REDES!$W:$W,0),MATCH(AH$5,APOIO_REDES!$5:$5,0)),0)</f>
        <v>0.1</v>
      </c>
      <c r="AI1042" s="153" t="n">
        <f aca="false">IFERROR(IF($H1042&lt;&gt;"",(((($H1042/1000)/2)^2)*PI()*$M1042),0),0)</f>
        <v>0.290122021050513</v>
      </c>
      <c r="AJ1042" s="153" t="n">
        <f aca="false">IFERROR(IF(AND($H1042&lt;&gt;"",$I1042="FoFo",OR($N1042="MND",$N1042="VCA"),$Q1042="LINEAR"),0,IF(AND($H1042&lt;&gt;"",$I1042="PEAD",$N1042="VCA",$Q1042="LINEAR"),($H1042/1000)+0.3,IF(AND($H1042&lt;&gt;"",$I1042="PEAD",$N1042="MND",$Q1042="EMBOQUE"),0,IF(AND($H1042&lt;&gt;"",$I1042="PVC",$N1042="VCA",$Q1042="LINEAR"),($H1042/1000)+0.2,IF(AND($H1042&lt;&gt;"",$I1042="PVC",$N1042="MND",$Q1042="EMBOQUE"),0,IF(AND($H1042&lt;&gt;"",$I1042="PEAD",$N1042="VCA",$Q1042="PREDIAL"),0,0)))))),0)</f>
        <v>0.363</v>
      </c>
      <c r="AK1042" s="153" t="n">
        <f aca="false">IF(AA1042&lt;&gt;"",AA1042,0)</f>
        <v>5.2</v>
      </c>
      <c r="AL1042" s="153" t="n">
        <f aca="false">IF(AND($N1042="MND",$Q1042="EMBOQUE"),$M1042,IF(AND($N1042="VCA",$Q1042="LINEAR"),$M1042,IF(AND($N1042="VCA",$Q1042="PREDIAL"),0,0)))</f>
        <v>93.07</v>
      </c>
      <c r="AM1042" s="153" t="n">
        <f aca="false">IF(AND($N1042="MND",$Q1042="EMBOQUE"),$M1042,IF(AND($N1042="VCA",$Q1042="LINEAR"),$M1042,IF(AND($N1042="VCA",$Q1042="PREDIAL"),0,0)))</f>
        <v>93.07</v>
      </c>
      <c r="AN1042" s="153" t="n">
        <f aca="false">ROUND(IF(AND($N1042="VCA",$M1042&lt;&gt;"",$Q1042="LINEAR"),$M1042/100,IF(AND($N1042="MND",$M1042&gt;100,$Q1042="EMBOQUE"),$M1042/100,0)),0)</f>
        <v>1</v>
      </c>
      <c r="AO1042" s="153" t="n">
        <f aca="false">IF(AND($N1042="MND",$Q1042="EMBOQUE"),$AN1042*2*2,IF(AND($N1042="VCA",$Q1042="LINEAR"),$M1042*2,IF(AND($N1042="VCA",$Q1042="PREDIAL"),0,0)))</f>
        <v>186.14</v>
      </c>
      <c r="AP1042" s="153" t="n">
        <f aca="false">IFERROR($M1042*$AF1042*$AG1042,0)</f>
        <v>82.4553665</v>
      </c>
      <c r="AQ1042" s="153" t="n">
        <f aca="false">IFERROR(IF(AND($N1042="VCA",$AH1042&gt;0),$M1042*$AG1042*$AH1042,0),0)</f>
        <v>6.04955</v>
      </c>
      <c r="AR1042" s="153" t="n">
        <f aca="false">IFERROR(IF(AND($N1042="VCA",$AJ1042&gt;0),($M1042*$AG1042*$AJ1042)-$AI1042,0),0)</f>
        <v>21.6697444789495</v>
      </c>
      <c r="AS1042" s="153" t="n">
        <f aca="false">IFERROR(IF(AND($N1042="VCA",$AP1042&gt;0),$AP1042-$AI1042-$AQ1042-$AR1042,0),0)</f>
        <v>54.44595</v>
      </c>
      <c r="AT1042" s="153" t="n">
        <f aca="false">IFERROR(IF($N1042="VCA",INDEX(APOIO_REDES!$A:$W,MATCH($C1042&amp;$I1042&amp;$H1042&amp;$N1042&amp;$O1042,APOIO_REDES!$W:$W,0),MATCH(AT$5,APOIO_REDES!$5:$5,0)),0)*$AP1042,0)</f>
        <v>0.897138793062706</v>
      </c>
      <c r="AU1042" s="153" t="n">
        <f aca="false">IFERROR(IF($N1042="VCA",INDEX(APOIO_REDES!$A:$W,MATCH($C1042&amp;$I1042&amp;$H1042&amp;$N1042&amp;$O1042,APOIO_REDES!$W:$W,0),MATCH(AU$5,APOIO_REDES!$5:$5,0)),0)*$AP1042,0)</f>
        <v>0.716430742539927</v>
      </c>
      <c r="AV1042" s="153" t="n">
        <f aca="false">IFERROR(IF($N1042="VCA",INDEX(APOIO_REDES!$A:$W,MATCH($C1042&amp;$I1042&amp;$H1042&amp;$N1042&amp;$O1042,APOIO_REDES!$W:$W,0),MATCH(AV$5,APOIO_REDES!$5:$5,0)),0)*$AP1042,0)</f>
        <v>0.0991483905656828</v>
      </c>
      <c r="AW1042" s="153" t="n">
        <f aca="false">IFERROR(IF($N1042="VCA",INDEX(APOIO_REDES!$A:$W,MATCH($C1042&amp;$I1042&amp;$H1042&amp;$N1042&amp;$O1042,APOIO_REDES!$W:$W,0),MATCH(AW$5,APOIO_REDES!$5:$5,0)),0)*$AP1042,0)</f>
        <v>56.5980024609562</v>
      </c>
      <c r="AX1042" s="153" t="n">
        <f aca="false">IFERROR(IF($N1042="VCA",INDEX(APOIO_REDES!$A:$W,MATCH($C1042&amp;$I1042&amp;$H1042&amp;$N1042&amp;$O1042,APOIO_REDES!$W:$W,0),MATCH(AX$5,APOIO_REDES!$5:$5,0)),0)*$AP1042,0)</f>
        <v>7.83300231813456</v>
      </c>
      <c r="AY1042" s="153" t="n">
        <f aca="false">IFERROR(IF($N1042="VCA",INDEX(APOIO_REDES!$A:$W,MATCH($C1042&amp;$I1042&amp;$H1042&amp;$N1042&amp;$O1042,APOIO_REDES!$W:$W,0),MATCH(AY$5,APOIO_REDES!$5:$5,0)),0)*$AP1042,0)</f>
        <v>14.3286061175659</v>
      </c>
      <c r="AZ1042" s="153" t="n">
        <f aca="false">IFERROR(IF($N1042="VCA",INDEX(APOIO_REDES!$A:$W,MATCH($C1042&amp;$I1042&amp;$H1042&amp;$N1042&amp;$O1042,APOIO_REDES!$W:$W,0),MATCH(AZ$5,APOIO_REDES!$5:$5,0)),0)*$AP1042,0)</f>
        <v>1.98303767717506</v>
      </c>
      <c r="BA1042" s="153" t="n">
        <f aca="false">IFERROR(IF(AND($N1042="VCA",$Q1042="LINEAR"),INDEX(APOIO_REDES!$A:$W,MATCH($C1042&amp;$I1042&amp;$H1042&amp;$N1042&amp;$O1042,APOIO_REDES!$W:$W,0),MATCH(BA$5,APOIO_REDES!$5:$5,0)),IF(AND($N1042="MND",$Q1042="EMBOQUE"),INDEX(APOIO_REDES!$A:$W,MATCH($C1042&amp;$I1042&amp;$H1042&amp;$N1042&amp;$O1042,APOIO_REDES!$W:$W,0),MATCH(BA$5,APOIO_REDES!$5:$5,0)),0))*$M1042/10,0)</f>
        <v>7.50120723835015</v>
      </c>
      <c r="BB1042" s="153" t="n">
        <f aca="false">IFERROR(IF($N1042="VCA",INDEX(APOIO_REDES!$A:$W,MATCH($C1042&amp;$I1042&amp;$H1042&amp;$N1042&amp;$O1042,APOIO_REDES!$W:$W,0),MATCH(BB$5,APOIO_REDES!$5:$5,0)),0)*($AI1042+$AQ1042+$AR1042),0)</f>
        <v>27.7046657581159</v>
      </c>
      <c r="BC1042" s="153" t="n">
        <f aca="false">IFERROR(IF($N1042="VCA",INDEX(APOIO_REDES!$A:$W,MATCH($C1042&amp;$I1042&amp;$H1042&amp;$N1042&amp;$O1042,APOIO_REDES!$W:$W,0),MATCH(BC$5,APOIO_REDES!$5:$5,0)),0)*($AI1042+$AQ1042+$AR1042),0)</f>
        <v>0.304750741884103</v>
      </c>
      <c r="BD1042" s="153" t="n">
        <f aca="false">IF(AND($N1042="VCA",$AF1042&gt;=1.25,$AF1042&lt;1.5),$M1042*$AF1042*2,0)</f>
        <v>253.70882</v>
      </c>
      <c r="BE1042" s="153" t="n">
        <f aca="false">IF(AND($N1042="VCA",$AF1042&gt;=1.5,$AF1042&lt;3),$M1042*$AF1042*2,0)</f>
        <v>0</v>
      </c>
      <c r="BF1042" s="153" t="n">
        <f aca="false">IF(AND($N1042="VCA",$AF1042&gt;=3),$M1042*$AF1042*2,0)</f>
        <v>0</v>
      </c>
      <c r="BG1042" s="153" t="n">
        <f aca="false">($BB1042+$BC1042)*$AK1042</f>
        <v>145.6489658</v>
      </c>
      <c r="BH1042" s="153" t="n">
        <f aca="false">IF(AND($M1042&lt;&gt;"",$N1042="VCA",$Q1042="LINEAR"),($M1042*2)/100,IF(AND($M1042&lt;&gt;"",$N1042="MND",$Q1042="EMBOQUE"),($AN1042*2)/100,0))</f>
        <v>1.8614</v>
      </c>
      <c r="BI1042" s="153" t="n">
        <f aca="false">IF(AND($M1042&lt;&gt;"",$N1042="VCA",$Q1042="LINEAR"),$M1042,IF(AND($M1042&lt;&gt;"",$N1042="MND",$Q1042="EMBOQUE"),$AN1042*2,0))</f>
        <v>93.07</v>
      </c>
      <c r="BJ1042" s="153" t="n">
        <f aca="false">IF(AND($M1042&lt;&gt;"",$N1042="VCA",$Q1042="LINEAR"),($M1042*6.8)/100,IF(AND($M1042&lt;&gt;"",$N1042="MND",$Q1042="EMBOQUE"),($AN1042*2*6.8)/100,0))</f>
        <v>6.32876</v>
      </c>
      <c r="BK1042" s="153" t="n">
        <f aca="false">IF(AND($M1042&lt;&gt;"",$N1042="VCA",$Q1042="LINEAR"),($M1042*2.5)/50,IF(AND($M1042&lt;&gt;"",$N1042="MND",$Q1042="EMBOQUE"),($AN1042*2*2.5)/50,0))</f>
        <v>4.6535</v>
      </c>
      <c r="BL1042" s="157" t="str">
        <f aca="false">K1042&amp;J1042</f>
        <v>Zona09REDES</v>
      </c>
      <c r="BM1042" s="152" t="s">
        <v>5109</v>
      </c>
      <c r="BN1042" s="152" t="s">
        <v>1560</v>
      </c>
      <c r="BO1042" s="152" t="s">
        <v>5413</v>
      </c>
      <c r="BP1042" s="152" t="s">
        <v>5484</v>
      </c>
      <c r="BQ1042" s="152" t="s">
        <v>5500</v>
      </c>
      <c r="BR1042" s="152" t="s">
        <v>5501</v>
      </c>
      <c r="BS1042" s="152" t="n">
        <v>202982.064</v>
      </c>
      <c r="BT1042" s="152" t="n">
        <v>8236268.673</v>
      </c>
      <c r="BU1042" s="152" t="n">
        <v>203068.598</v>
      </c>
      <c r="BV1042" s="152" t="n">
        <v>8236288.95</v>
      </c>
      <c r="BW1042" s="152" t="n">
        <v>-15.9349932</v>
      </c>
      <c r="BX1042" s="152" t="n">
        <v>-47.7738644</v>
      </c>
      <c r="BY1042" s="152" t="s">
        <v>5484</v>
      </c>
    </row>
    <row r="1043" customFormat="false" ht="13.8" hidden="false" customHeight="false" outlineLevel="0" collapsed="false">
      <c r="A1043" s="149" t="n">
        <f aca="false">IF(C1043&lt;&gt;"",ROW(A1038),"")</f>
        <v>1038</v>
      </c>
      <c r="B1043" s="150" t="str">
        <f aca="false">HYPERLINK("https://www.google.com/maps/dir/-15.917302,-47.760003/-15.9352429,-47.7742322/data=!4m3!4m2!3e0!5i2")</f>
        <v>https://www.google.com/maps/dir/-15.917302,-47.760003/-15.9352429,-47.7742322/data=!4m3!4m2!3e0!5i2</v>
      </c>
      <c r="C1043" s="151" t="s">
        <v>117</v>
      </c>
      <c r="D1043" s="152" t="s">
        <v>112</v>
      </c>
      <c r="E1043" s="152" t="s">
        <v>113</v>
      </c>
      <c r="F1043" s="152" t="s">
        <v>117</v>
      </c>
      <c r="G1043" s="152" t="s">
        <v>782</v>
      </c>
      <c r="H1043" s="152" t="n">
        <v>63</v>
      </c>
      <c r="I1043" s="152" t="s">
        <v>115</v>
      </c>
      <c r="J1043" s="152" t="s">
        <v>6</v>
      </c>
      <c r="K1043" s="152" t="s">
        <v>5106</v>
      </c>
      <c r="L1043" s="152" t="s">
        <v>120</v>
      </c>
      <c r="M1043" s="153" t="n">
        <f aca="false">293.92</f>
        <v>293.92</v>
      </c>
      <c r="N1043" s="152" t="s">
        <v>1548</v>
      </c>
      <c r="O1043" s="152" t="s">
        <v>1549</v>
      </c>
      <c r="P1043" s="152" t="s">
        <v>1550</v>
      </c>
      <c r="Q1043" s="152" t="s">
        <v>1551</v>
      </c>
      <c r="R1043" s="154" t="s">
        <v>5502</v>
      </c>
      <c r="S1043" s="154" t="s">
        <v>1553</v>
      </c>
      <c r="T1043" s="155" t="s">
        <v>5411</v>
      </c>
      <c r="U1043" s="152" t="str">
        <f aca="false">RIGHT(T1043,7)</f>
        <v>017/037</v>
      </c>
      <c r="V1043" s="152" t="s">
        <v>1555</v>
      </c>
      <c r="W1043" s="156" t="n">
        <v>45882</v>
      </c>
      <c r="X1043" s="152" t="s">
        <v>1594</v>
      </c>
      <c r="Y1043" s="152" t="s">
        <v>2035</v>
      </c>
      <c r="Z1043" s="152" t="s">
        <v>1557</v>
      </c>
      <c r="AA1043" s="153" t="n">
        <v>5.2</v>
      </c>
      <c r="AB1043" s="151" t="s">
        <v>5503</v>
      </c>
      <c r="AC1043" s="151" t="s">
        <v>186</v>
      </c>
      <c r="AD1043" s="151" t="str">
        <f aca="false">CONCATENATE($C1043,$I1043,$H1043,$N1043,$J1043,$K1043)</f>
        <v>TUBO PEADPEAD63VCAREDESZona09</v>
      </c>
      <c r="AE1043" s="153" t="n">
        <f aca="false">IFERROR(INDEX(APOIO_REDES!$A:$W,MATCH($C1043&amp;$I1043&amp;$H1043&amp;$N1043&amp;$O1043,APOIO_REDES!$W:$W,0),MATCH(AE$5,APOIO_REDES!$5:$5,0)),0)</f>
        <v>1.2</v>
      </c>
      <c r="AF1043" s="153" t="n">
        <f aca="false">IFERROR(INDEX(APOIO_REDES!$A:$W,MATCH($C1043&amp;$I1043&amp;$H1043&amp;$N1043&amp;$O1043,APOIO_REDES!$W:$W,0),MATCH(AF$5,APOIO_REDES!$5:$5,0)),0)</f>
        <v>1.363</v>
      </c>
      <c r="AG1043" s="153" t="n">
        <f aca="false">IFERROR(INDEX(APOIO_REDES!$A:$W,MATCH($C1043&amp;$I1043&amp;$H1043&amp;$N1043&amp;$O1043,APOIO_REDES!$W:$W,0),MATCH(AG$5,APOIO_REDES!$5:$5,0)),0)</f>
        <v>0.65</v>
      </c>
      <c r="AH1043" s="153" t="n">
        <f aca="false">IFERROR(INDEX(APOIO_REDES!$A:$W,MATCH($C1043&amp;$I1043&amp;$H1043&amp;$N1043&amp;$O1043,APOIO_REDES!$W:$W,0),MATCH(AH$5,APOIO_REDES!$5:$5,0)),0)</f>
        <v>0.1</v>
      </c>
      <c r="AI1043" s="153" t="n">
        <f aca="false">IFERROR(IF($H1043&lt;&gt;"",(((($H1043/1000)/2)^2)*PI()*$M1043),0),0)</f>
        <v>0.916220741669353</v>
      </c>
      <c r="AJ1043" s="153" t="n">
        <f aca="false">IFERROR(IF(AND($H1043&lt;&gt;"",$I1043="FoFo",OR($N1043="MND",$N1043="VCA"),$Q1043="LINEAR"),0,IF(AND($H1043&lt;&gt;"",$I1043="PEAD",$N1043="VCA",$Q1043="LINEAR"),($H1043/1000)+0.3,IF(AND($H1043&lt;&gt;"",$I1043="PEAD",$N1043="MND",$Q1043="EMBOQUE"),0,IF(AND($H1043&lt;&gt;"",$I1043="PVC",$N1043="VCA",$Q1043="LINEAR"),($H1043/1000)+0.2,IF(AND($H1043&lt;&gt;"",$I1043="PVC",$N1043="MND",$Q1043="EMBOQUE"),0,IF(AND($H1043&lt;&gt;"",$I1043="PEAD",$N1043="VCA",$Q1043="PREDIAL"),0,0)))))),0)</f>
        <v>0.363</v>
      </c>
      <c r="AK1043" s="153" t="n">
        <f aca="false">IF(AA1043&lt;&gt;"",AA1043,0)</f>
        <v>5.2</v>
      </c>
      <c r="AL1043" s="153" t="n">
        <f aca="false">IF(AND($N1043="MND",$Q1043="EMBOQUE"),$M1043,IF(AND($N1043="VCA",$Q1043="LINEAR"),$M1043,IF(AND($N1043="VCA",$Q1043="PREDIAL"),0,0)))</f>
        <v>293.92</v>
      </c>
      <c r="AM1043" s="153" t="n">
        <f aca="false">IF(AND($N1043="MND",$Q1043="EMBOQUE"),$M1043,IF(AND($N1043="VCA",$Q1043="LINEAR"),$M1043,IF(AND($N1043="VCA",$Q1043="PREDIAL"),0,0)))</f>
        <v>293.92</v>
      </c>
      <c r="AN1043" s="153" t="n">
        <f aca="false">ROUND(IF(AND($N1043="VCA",$M1043&lt;&gt;"",$Q1043="LINEAR"),$M1043/100,IF(AND($N1043="MND",$M1043&gt;100,$Q1043="EMBOQUE"),$M1043/100,0)),0)</f>
        <v>3</v>
      </c>
      <c r="AO1043" s="153" t="n">
        <f aca="false">IF(AND($N1043="MND",$Q1043="EMBOQUE"),$AN1043*2*2,IF(AND($N1043="VCA",$Q1043="LINEAR"),$M1043*2,IF(AND($N1043="VCA",$Q1043="PREDIAL"),0,0)))</f>
        <v>587.84</v>
      </c>
      <c r="AP1043" s="153" t="n">
        <f aca="false">IFERROR($M1043*$AF1043*$AG1043,0)</f>
        <v>260.398424</v>
      </c>
      <c r="AQ1043" s="153" t="n">
        <f aca="false">IFERROR(IF(AND($N1043="VCA",$AH1043&gt;0),$M1043*$AG1043*$AH1043,0),0)</f>
        <v>19.1048</v>
      </c>
      <c r="AR1043" s="153" t="n">
        <f aca="false">IFERROR(IF(AND($N1043="VCA",$AJ1043&gt;0),($M1043*$AG1043*$AJ1043)-$AI1043,0),0)</f>
        <v>68.4342032583307</v>
      </c>
      <c r="AS1043" s="153" t="n">
        <f aca="false">IFERROR(IF(AND($N1043="VCA",$AP1043&gt;0),$AP1043-$AI1043-$AQ1043-$AR1043,0),0)</f>
        <v>171.9432</v>
      </c>
      <c r="AT1043" s="153" t="n">
        <f aca="false">IFERROR(IF($N1043="VCA",INDEX(APOIO_REDES!$A:$W,MATCH($C1043&amp;$I1043&amp;$H1043&amp;$N1043&amp;$O1043,APOIO_REDES!$W:$W,0),MATCH(AT$5,APOIO_REDES!$5:$5,0)),0)*$AP1043,0)</f>
        <v>2.83321192711927</v>
      </c>
      <c r="AU1043" s="153" t="n">
        <f aca="false">IFERROR(IF($N1043="VCA",INDEX(APOIO_REDES!$A:$W,MATCH($C1043&amp;$I1043&amp;$H1043&amp;$N1043&amp;$O1043,APOIO_REDES!$W:$W,0),MATCH(AU$5,APOIO_REDES!$5:$5,0)),0)*$AP1043,0)</f>
        <v>2.26252631188713</v>
      </c>
      <c r="AV1043" s="153" t="n">
        <f aca="false">IFERROR(IF($N1043="VCA",INDEX(APOIO_REDES!$A:$W,MATCH($C1043&amp;$I1043&amp;$H1043&amp;$N1043&amp;$O1043,APOIO_REDES!$W:$W,0),MATCH(AV$5,APOIO_REDES!$5:$5,0)),0)*$AP1043,0)</f>
        <v>0.313115880037235</v>
      </c>
      <c r="AW1043" s="153" t="n">
        <f aca="false">IFERROR(IF($N1043="VCA",INDEX(APOIO_REDES!$A:$W,MATCH($C1043&amp;$I1043&amp;$H1043&amp;$N1043&amp;$O1043,APOIO_REDES!$W:$W,0),MATCH(AW$5,APOIO_REDES!$5:$5,0)),0)*$AP1043,0)</f>
        <v>178.739495899046</v>
      </c>
      <c r="AX1043" s="153" t="n">
        <f aca="false">IFERROR(IF($N1043="VCA",INDEX(APOIO_REDES!$A:$W,MATCH($C1043&amp;$I1043&amp;$H1043&amp;$N1043&amp;$O1043,APOIO_REDES!$W:$W,0),MATCH(AX$5,APOIO_REDES!$5:$5,0)),0)*$AP1043,0)</f>
        <v>24.7370370833363</v>
      </c>
      <c r="AY1043" s="153" t="n">
        <f aca="false">IFERROR(IF($N1043="VCA",INDEX(APOIO_REDES!$A:$W,MATCH($C1043&amp;$I1043&amp;$H1043&amp;$N1043&amp;$O1043,APOIO_REDES!$W:$W,0),MATCH(AY$5,APOIO_REDES!$5:$5,0)),0)*$AP1043,0)</f>
        <v>45.2504986577303</v>
      </c>
      <c r="AZ1043" s="153" t="n">
        <f aca="false">IFERROR(IF($N1043="VCA",INDEX(APOIO_REDES!$A:$W,MATCH($C1043&amp;$I1043&amp;$H1043&amp;$N1043&amp;$O1043,APOIO_REDES!$W:$W,0),MATCH(AZ$5,APOIO_REDES!$5:$5,0)),0)*$AP1043,0)</f>
        <v>6.26253824084339</v>
      </c>
      <c r="BA1043" s="153" t="n">
        <f aca="false">IFERROR(IF(AND($N1043="VCA",$Q1043="LINEAR"),INDEX(APOIO_REDES!$A:$W,MATCH($C1043&amp;$I1043&amp;$H1043&amp;$N1043&amp;$O1043,APOIO_REDES!$W:$W,0),MATCH(BA$5,APOIO_REDES!$5:$5,0)),IF(AND($N1043="MND",$Q1043="EMBOQUE"),INDEX(APOIO_REDES!$A:$W,MATCH($C1043&amp;$I1043&amp;$H1043&amp;$N1043&amp;$O1043,APOIO_REDES!$W:$W,0),MATCH(BA$5,APOIO_REDES!$5:$5,0)),0))*$M1043/10,0)</f>
        <v>23.689210610249</v>
      </c>
      <c r="BB1043" s="153" t="n">
        <f aca="false">IFERROR(IF($N1043="VCA",INDEX(APOIO_REDES!$A:$W,MATCH($C1043&amp;$I1043&amp;$H1043&amp;$N1043&amp;$O1043,APOIO_REDES!$W:$W,0),MATCH(BB$5,APOIO_REDES!$5:$5,0)),0)*($AI1043+$AQ1043+$AR1043),0)</f>
        <v>87.4928049814701</v>
      </c>
      <c r="BC1043" s="153" t="n">
        <f aca="false">IFERROR(IF($N1043="VCA",INDEX(APOIO_REDES!$A:$W,MATCH($C1043&amp;$I1043&amp;$H1043&amp;$N1043&amp;$O1043,APOIO_REDES!$W:$W,0),MATCH(BC$5,APOIO_REDES!$5:$5,0)),0)*($AI1043+$AQ1043+$AR1043),0)</f>
        <v>0.962419018529877</v>
      </c>
      <c r="BD1043" s="153" t="n">
        <f aca="false">IF(AND($N1043="VCA",$AF1043&gt;=1.25,$AF1043&lt;1.5),$M1043*$AF1043*2,0)</f>
        <v>801.22592</v>
      </c>
      <c r="BE1043" s="153" t="n">
        <f aca="false">IF(AND($N1043="VCA",$AF1043&gt;=1.5,$AF1043&lt;3),$M1043*$AF1043*2,0)</f>
        <v>0</v>
      </c>
      <c r="BF1043" s="153" t="n">
        <f aca="false">IF(AND($N1043="VCA",$AF1043&gt;=3),$M1043*$AF1043*2,0)</f>
        <v>0</v>
      </c>
      <c r="BG1043" s="153" t="n">
        <f aca="false">($BB1043+$BC1043)*$AK1043</f>
        <v>459.9671648</v>
      </c>
      <c r="BH1043" s="153" t="n">
        <f aca="false">IF(AND($M1043&lt;&gt;"",$N1043="VCA",$Q1043="LINEAR"),($M1043*2)/100,IF(AND($M1043&lt;&gt;"",$N1043="MND",$Q1043="EMBOQUE"),($AN1043*2)/100,0))</f>
        <v>5.8784</v>
      </c>
      <c r="BI1043" s="153" t="n">
        <f aca="false">IF(AND($M1043&lt;&gt;"",$N1043="VCA",$Q1043="LINEAR"),$M1043,IF(AND($M1043&lt;&gt;"",$N1043="MND",$Q1043="EMBOQUE"),$AN1043*2,0))</f>
        <v>293.92</v>
      </c>
      <c r="BJ1043" s="153" t="n">
        <f aca="false">IF(AND($M1043&lt;&gt;"",$N1043="VCA",$Q1043="LINEAR"),($M1043*6.8)/100,IF(AND($M1043&lt;&gt;"",$N1043="MND",$Q1043="EMBOQUE"),($AN1043*2*6.8)/100,0))</f>
        <v>19.98656</v>
      </c>
      <c r="BK1043" s="153" t="n">
        <f aca="false">IF(AND($M1043&lt;&gt;"",$N1043="VCA",$Q1043="LINEAR"),($M1043*2.5)/50,IF(AND($M1043&lt;&gt;"",$N1043="MND",$Q1043="EMBOQUE"),($AN1043*2*2.5)/50,0))</f>
        <v>14.696</v>
      </c>
      <c r="BL1043" s="157" t="str">
        <f aca="false">K1043&amp;J1043</f>
        <v>Zona09REDES</v>
      </c>
      <c r="BM1043" s="152" t="s">
        <v>5109</v>
      </c>
      <c r="BN1043" s="152" t="s">
        <v>1560</v>
      </c>
      <c r="BO1043" s="152" t="s">
        <v>5413</v>
      </c>
      <c r="BP1043" s="152" t="s">
        <v>2176</v>
      </c>
      <c r="BQ1043" s="152" t="s">
        <v>5504</v>
      </c>
      <c r="BR1043" s="152" t="s">
        <v>5505</v>
      </c>
      <c r="BS1043" s="152" t="n">
        <v>202693.298</v>
      </c>
      <c r="BT1043" s="152" t="n">
        <v>8236280</v>
      </c>
      <c r="BU1043" s="152" t="n">
        <v>202985.89</v>
      </c>
      <c r="BV1043" s="152" t="n">
        <v>8236252.358</v>
      </c>
      <c r="BW1043" s="152" t="n">
        <v>-15.9350971</v>
      </c>
      <c r="BX1043" s="152" t="n">
        <v>-47.7755955</v>
      </c>
      <c r="BY1043" s="152" t="s">
        <v>5504</v>
      </c>
    </row>
    <row r="1044" customFormat="false" ht="13.8" hidden="false" customHeight="false" outlineLevel="0" collapsed="false">
      <c r="A1044" s="149" t="n">
        <f aca="false">IF(C1044&lt;&gt;"",ROW(A1039),"")</f>
        <v>1039</v>
      </c>
      <c r="B1044" s="150" t="str">
        <f aca="false">HYPERLINK("https://www.google.com/maps/dir/-15.917302,-47.760003/-15.9352429,-47.7742322/data=!4m3!4m2!3e0!5i2")</f>
        <v>https://www.google.com/maps/dir/-15.917302,-47.760003/-15.9352429,-47.7742322/data=!4m3!4m2!3e0!5i2</v>
      </c>
      <c r="C1044" s="151" t="s">
        <v>117</v>
      </c>
      <c r="D1044" s="152" t="s">
        <v>112</v>
      </c>
      <c r="E1044" s="152" t="s">
        <v>113</v>
      </c>
      <c r="F1044" s="152" t="s">
        <v>117</v>
      </c>
      <c r="G1044" s="152" t="s">
        <v>782</v>
      </c>
      <c r="H1044" s="152" t="n">
        <v>63</v>
      </c>
      <c r="I1044" s="152" t="s">
        <v>115</v>
      </c>
      <c r="J1044" s="152" t="s">
        <v>6</v>
      </c>
      <c r="K1044" s="152" t="s">
        <v>5106</v>
      </c>
      <c r="L1044" s="152" t="s">
        <v>120</v>
      </c>
      <c r="M1044" s="153" t="n">
        <f aca="false">16.76</f>
        <v>16.76</v>
      </c>
      <c r="N1044" s="152" t="s">
        <v>1548</v>
      </c>
      <c r="O1044" s="152" t="s">
        <v>1549</v>
      </c>
      <c r="P1044" s="152" t="s">
        <v>1550</v>
      </c>
      <c r="Q1044" s="152" t="s">
        <v>1551</v>
      </c>
      <c r="R1044" s="154" t="s">
        <v>5506</v>
      </c>
      <c r="S1044" s="154" t="s">
        <v>1553</v>
      </c>
      <c r="T1044" s="155" t="s">
        <v>5411</v>
      </c>
      <c r="U1044" s="152" t="str">
        <f aca="false">RIGHT(T1044,7)</f>
        <v>017/037</v>
      </c>
      <c r="V1044" s="152" t="s">
        <v>1555</v>
      </c>
      <c r="W1044" s="156" t="n">
        <v>45882</v>
      </c>
      <c r="X1044" s="152" t="s">
        <v>1594</v>
      </c>
      <c r="Y1044" s="152" t="s">
        <v>2035</v>
      </c>
      <c r="Z1044" s="152" t="s">
        <v>1557</v>
      </c>
      <c r="AA1044" s="153" t="n">
        <v>5.2</v>
      </c>
      <c r="AB1044" s="151" t="s">
        <v>5507</v>
      </c>
      <c r="AC1044" s="151" t="s">
        <v>186</v>
      </c>
      <c r="AD1044" s="151" t="str">
        <f aca="false">CONCATENATE($C1044,$I1044,$H1044,$N1044,$J1044,$K1044)</f>
        <v>TUBO PEADPEAD63VCAREDESZona09</v>
      </c>
      <c r="AE1044" s="153" t="n">
        <f aca="false">IFERROR(INDEX(APOIO_REDES!$A:$W,MATCH($C1044&amp;$I1044&amp;$H1044&amp;$N1044&amp;$O1044,APOIO_REDES!$W:$W,0),MATCH(AE$5,APOIO_REDES!$5:$5,0)),0)</f>
        <v>1.2</v>
      </c>
      <c r="AF1044" s="153" t="n">
        <f aca="false">IFERROR(INDEX(APOIO_REDES!$A:$W,MATCH($C1044&amp;$I1044&amp;$H1044&amp;$N1044&amp;$O1044,APOIO_REDES!$W:$W,0),MATCH(AF$5,APOIO_REDES!$5:$5,0)),0)</f>
        <v>1.363</v>
      </c>
      <c r="AG1044" s="153" t="n">
        <f aca="false">IFERROR(INDEX(APOIO_REDES!$A:$W,MATCH($C1044&amp;$I1044&amp;$H1044&amp;$N1044&amp;$O1044,APOIO_REDES!$W:$W,0),MATCH(AG$5,APOIO_REDES!$5:$5,0)),0)</f>
        <v>0.65</v>
      </c>
      <c r="AH1044" s="153" t="n">
        <f aca="false">IFERROR(INDEX(APOIO_REDES!$A:$W,MATCH($C1044&amp;$I1044&amp;$H1044&amp;$N1044&amp;$O1044,APOIO_REDES!$W:$W,0),MATCH(AH$5,APOIO_REDES!$5:$5,0)),0)</f>
        <v>0.1</v>
      </c>
      <c r="AI1044" s="153" t="n">
        <f aca="false">IFERROR(IF($H1044&lt;&gt;"",(((($H1044/1000)/2)^2)*PI()*$M1044),0),0)</f>
        <v>0.0522450314043902</v>
      </c>
      <c r="AJ1044" s="153" t="n">
        <f aca="false">IFERROR(IF(AND($H1044&lt;&gt;"",$I1044="FoFo",OR($N1044="MND",$N1044="VCA"),$Q1044="LINEAR"),0,IF(AND($H1044&lt;&gt;"",$I1044="PEAD",$N1044="VCA",$Q1044="LINEAR"),($H1044/1000)+0.3,IF(AND($H1044&lt;&gt;"",$I1044="PEAD",$N1044="MND",$Q1044="EMBOQUE"),0,IF(AND($H1044&lt;&gt;"",$I1044="PVC",$N1044="VCA",$Q1044="LINEAR"),($H1044/1000)+0.2,IF(AND($H1044&lt;&gt;"",$I1044="PVC",$N1044="MND",$Q1044="EMBOQUE"),0,IF(AND($H1044&lt;&gt;"",$I1044="PEAD",$N1044="VCA",$Q1044="PREDIAL"),0,0)))))),0)</f>
        <v>0.363</v>
      </c>
      <c r="AK1044" s="153" t="n">
        <f aca="false">IF(AA1044&lt;&gt;"",AA1044,0)</f>
        <v>5.2</v>
      </c>
      <c r="AL1044" s="153" t="n">
        <f aca="false">IF(AND($N1044="MND",$Q1044="EMBOQUE"),$M1044,IF(AND($N1044="VCA",$Q1044="LINEAR"),$M1044,IF(AND($N1044="VCA",$Q1044="PREDIAL"),0,0)))</f>
        <v>16.76</v>
      </c>
      <c r="AM1044" s="153" t="n">
        <f aca="false">IF(AND($N1044="MND",$Q1044="EMBOQUE"),$M1044,IF(AND($N1044="VCA",$Q1044="LINEAR"),$M1044,IF(AND($N1044="VCA",$Q1044="PREDIAL"),0,0)))</f>
        <v>16.76</v>
      </c>
      <c r="AN1044" s="153" t="n">
        <f aca="false">ROUND(IF(AND($N1044="VCA",$M1044&lt;&gt;"",$Q1044="LINEAR"),$M1044/100,IF(AND($N1044="MND",$M1044&gt;100,$Q1044="EMBOQUE"),$M1044/100,0)),0)</f>
        <v>0</v>
      </c>
      <c r="AO1044" s="153" t="n">
        <f aca="false">IF(AND($N1044="MND",$Q1044="EMBOQUE"),$AN1044*2*2,IF(AND($N1044="VCA",$Q1044="LINEAR"),$M1044*2,IF(AND($N1044="VCA",$Q1044="PREDIAL"),0,0)))</f>
        <v>33.52</v>
      </c>
      <c r="AP1044" s="153" t="n">
        <f aca="false">IFERROR($M1044*$AF1044*$AG1044,0)</f>
        <v>14.848522</v>
      </c>
      <c r="AQ1044" s="153" t="n">
        <f aca="false">IFERROR(IF(AND($N1044="VCA",$AH1044&gt;0),$M1044*$AG1044*$AH1044,0),0)</f>
        <v>1.0894</v>
      </c>
      <c r="AR1044" s="153" t="n">
        <f aca="false">IFERROR(IF(AND($N1044="VCA",$AJ1044&gt;0),($M1044*$AG1044*$AJ1044)-$AI1044,0),0)</f>
        <v>3.90227696859561</v>
      </c>
      <c r="AS1044" s="153" t="n">
        <f aca="false">IFERROR(IF(AND($N1044="VCA",$AP1044&gt;0),$AP1044-$AI1044-$AQ1044-$AR1044,0),0)</f>
        <v>9.8046</v>
      </c>
      <c r="AT1044" s="153" t="n">
        <f aca="false">IFERROR(IF($N1044="VCA",INDEX(APOIO_REDES!$A:$W,MATCH($C1044&amp;$I1044&amp;$H1044&amp;$N1044&amp;$O1044,APOIO_REDES!$W:$W,0),MATCH(AT$5,APOIO_REDES!$5:$5,0)),0)*$AP1044,0)</f>
        <v>0.161556314298173</v>
      </c>
      <c r="AU1044" s="153" t="n">
        <f aca="false">IFERROR(IF($N1044="VCA",INDEX(APOIO_REDES!$A:$W,MATCH($C1044&amp;$I1044&amp;$H1044&amp;$N1044&amp;$O1044,APOIO_REDES!$W:$W,0),MATCH(AU$5,APOIO_REDES!$5:$5,0)),0)*$AP1044,0)</f>
        <v>0.129014497098627</v>
      </c>
      <c r="AV1044" s="153" t="n">
        <f aca="false">IFERROR(IF($N1044="VCA",INDEX(APOIO_REDES!$A:$W,MATCH($C1044&amp;$I1044&amp;$H1044&amp;$N1044&amp;$O1044,APOIO_REDES!$W:$W,0),MATCH(AV$5,APOIO_REDES!$5:$5,0)),0)*$AP1044,0)</f>
        <v>0.0178545935949376</v>
      </c>
      <c r="AW1044" s="153" t="n">
        <f aca="false">IFERROR(IF($N1044="VCA",INDEX(APOIO_REDES!$A:$W,MATCH($C1044&amp;$I1044&amp;$H1044&amp;$N1044&amp;$O1044,APOIO_REDES!$W:$W,0),MATCH(AW$5,APOIO_REDES!$5:$5,0)),0)*$AP1044,0)</f>
        <v>10.1921405527627</v>
      </c>
      <c r="AX1044" s="153" t="n">
        <f aca="false">IFERROR(IF($N1044="VCA",INDEX(APOIO_REDES!$A:$W,MATCH($C1044&amp;$I1044&amp;$H1044&amp;$N1044&amp;$O1044,APOIO_REDES!$W:$W,0),MATCH(AX$5,APOIO_REDES!$5:$5,0)),0)*$AP1044,0)</f>
        <v>1.41056321964043</v>
      </c>
      <c r="AY1044" s="153" t="n">
        <f aca="false">IFERROR(IF($N1044="VCA",INDEX(APOIO_REDES!$A:$W,MATCH($C1044&amp;$I1044&amp;$H1044&amp;$N1044&amp;$O1044,APOIO_REDES!$W:$W,0),MATCH(AY$5,APOIO_REDES!$5:$5,0)),0)*$AP1044,0)</f>
        <v>2.58028836929627</v>
      </c>
      <c r="AZ1044" s="153" t="n">
        <f aca="false">IFERROR(IF($N1044="VCA",INDEX(APOIO_REDES!$A:$W,MATCH($C1044&amp;$I1044&amp;$H1044&amp;$N1044&amp;$O1044,APOIO_REDES!$W:$W,0),MATCH(AZ$5,APOIO_REDES!$5:$5,0)),0)*$AP1044,0)</f>
        <v>0.357104453308843</v>
      </c>
      <c r="BA1044" s="153" t="n">
        <f aca="false">IFERROR(IF(AND($N1044="VCA",$Q1044="LINEAR"),INDEX(APOIO_REDES!$A:$W,MATCH($C1044&amp;$I1044&amp;$H1044&amp;$N1044&amp;$O1044,APOIO_REDES!$W:$W,0),MATCH(BA$5,APOIO_REDES!$5:$5,0)),IF(AND($N1044="MND",$Q1044="EMBOQUE"),INDEX(APOIO_REDES!$A:$W,MATCH($C1044&amp;$I1044&amp;$H1044&amp;$N1044&amp;$O1044,APOIO_REDES!$W:$W,0),MATCH(BA$5,APOIO_REDES!$5:$5,0)),0))*$M1044/10,0)</f>
        <v>1.35081372423712</v>
      </c>
      <c r="BB1044" s="153" t="n">
        <f aca="false">IFERROR(IF($N1044="VCA",INDEX(APOIO_REDES!$A:$W,MATCH($C1044&amp;$I1044&amp;$H1044&amp;$N1044&amp;$O1044,APOIO_REDES!$W:$W,0),MATCH(BB$5,APOIO_REDES!$5:$5,0)),0)*($AI1044+$AQ1044+$AR1044),0)</f>
        <v>4.98904263571529</v>
      </c>
      <c r="BC1044" s="153" t="n">
        <f aca="false">IFERROR(IF($N1044="VCA",INDEX(APOIO_REDES!$A:$W,MATCH($C1044&amp;$I1044&amp;$H1044&amp;$N1044&amp;$O1044,APOIO_REDES!$W:$W,0),MATCH(BC$5,APOIO_REDES!$5:$5,0)),0)*($AI1044+$AQ1044+$AR1044),0)</f>
        <v>0.0548793642847058</v>
      </c>
      <c r="BD1044" s="153" t="n">
        <f aca="false">IF(AND($N1044="VCA",$AF1044&gt;=1.25,$AF1044&lt;1.5),$M1044*$AF1044*2,0)</f>
        <v>45.68776</v>
      </c>
      <c r="BE1044" s="153" t="n">
        <f aca="false">IF(AND($N1044="VCA",$AF1044&gt;=1.5,$AF1044&lt;3),$M1044*$AF1044*2,0)</f>
        <v>0</v>
      </c>
      <c r="BF1044" s="153" t="n">
        <f aca="false">IF(AND($N1044="VCA",$AF1044&gt;=3),$M1044*$AF1044*2,0)</f>
        <v>0</v>
      </c>
      <c r="BG1044" s="153" t="n">
        <f aca="false">($BB1044+$BC1044)*$AK1044</f>
        <v>26.2283944</v>
      </c>
      <c r="BH1044" s="153" t="n">
        <f aca="false">IF(AND($M1044&lt;&gt;"",$N1044="VCA",$Q1044="LINEAR"),($M1044*2)/100,IF(AND($M1044&lt;&gt;"",$N1044="MND",$Q1044="EMBOQUE"),($AN1044*2)/100,0))</f>
        <v>0.3352</v>
      </c>
      <c r="BI1044" s="153" t="n">
        <f aca="false">IF(AND($M1044&lt;&gt;"",$N1044="VCA",$Q1044="LINEAR"),$M1044,IF(AND($M1044&lt;&gt;"",$N1044="MND",$Q1044="EMBOQUE"),$AN1044*2,0))</f>
        <v>16.76</v>
      </c>
      <c r="BJ1044" s="153" t="n">
        <f aca="false">IF(AND($M1044&lt;&gt;"",$N1044="VCA",$Q1044="LINEAR"),($M1044*6.8)/100,IF(AND($M1044&lt;&gt;"",$N1044="MND",$Q1044="EMBOQUE"),($AN1044*2*6.8)/100,0))</f>
        <v>1.13968</v>
      </c>
      <c r="BK1044" s="153" t="n">
        <f aca="false">IF(AND($M1044&lt;&gt;"",$N1044="VCA",$Q1044="LINEAR"),($M1044*2.5)/50,IF(AND($M1044&lt;&gt;"",$N1044="MND",$Q1044="EMBOQUE"),($AN1044*2*2.5)/50,0))</f>
        <v>0.838</v>
      </c>
      <c r="BL1044" s="157" t="str">
        <f aca="false">K1044&amp;J1044</f>
        <v>Zona09REDES</v>
      </c>
      <c r="BM1044" s="152" t="s">
        <v>5109</v>
      </c>
      <c r="BN1044" s="152" t="s">
        <v>1560</v>
      </c>
      <c r="BO1044" s="152" t="s">
        <v>5413</v>
      </c>
      <c r="BP1044" s="152" t="s">
        <v>5504</v>
      </c>
      <c r="BQ1044" s="152" t="s">
        <v>5484</v>
      </c>
      <c r="BR1044" s="152" t="s">
        <v>5508</v>
      </c>
      <c r="BS1044" s="152" t="n">
        <v>202985.89</v>
      </c>
      <c r="BT1044" s="152" t="n">
        <v>8236252.358</v>
      </c>
      <c r="BU1044" s="152" t="n">
        <v>202982.064</v>
      </c>
      <c r="BV1044" s="152" t="n">
        <v>8236268.673</v>
      </c>
      <c r="BW1044" s="152" t="n">
        <v>-15.935169</v>
      </c>
      <c r="BX1044" s="152" t="n">
        <v>-47.774249</v>
      </c>
      <c r="BY1044" s="152" t="s">
        <v>5504</v>
      </c>
    </row>
    <row r="1045" customFormat="false" ht="13.8" hidden="false" customHeight="false" outlineLevel="0" collapsed="false">
      <c r="A1045" s="149" t="n">
        <f aca="false">IF(C1045&lt;&gt;"",ROW(A1040),"")</f>
        <v>1040</v>
      </c>
      <c r="B1045" s="150" t="str">
        <f aca="false">HYPERLINK("https://www.google.com/maps/dir/-15.917302,-47.760003/-15.9348904,-47.7779542/data=!4m3!4m2!3e0!5i2")</f>
        <v>https://www.google.com/maps/dir/-15.917302,-47.760003/-15.9348904,-47.7779542/data=!4m3!4m2!3e0!5i2</v>
      </c>
      <c r="C1045" s="151" t="s">
        <v>117</v>
      </c>
      <c r="D1045" s="152" t="s">
        <v>112</v>
      </c>
      <c r="E1045" s="152" t="s">
        <v>113</v>
      </c>
      <c r="F1045" s="152" t="s">
        <v>117</v>
      </c>
      <c r="G1045" s="152" t="s">
        <v>782</v>
      </c>
      <c r="H1045" s="152" t="n">
        <v>63</v>
      </c>
      <c r="I1045" s="152" t="s">
        <v>115</v>
      </c>
      <c r="J1045" s="152" t="s">
        <v>6</v>
      </c>
      <c r="K1045" s="152" t="s">
        <v>5106</v>
      </c>
      <c r="L1045" s="152" t="s">
        <v>120</v>
      </c>
      <c r="M1045" s="153" t="n">
        <f aca="false">219.59</f>
        <v>219.59</v>
      </c>
      <c r="N1045" s="152" t="s">
        <v>1548</v>
      </c>
      <c r="O1045" s="152" t="s">
        <v>1549</v>
      </c>
      <c r="P1045" s="152" t="s">
        <v>1550</v>
      </c>
      <c r="Q1045" s="152" t="s">
        <v>1551</v>
      </c>
      <c r="R1045" s="154" t="s">
        <v>5509</v>
      </c>
      <c r="S1045" s="154" t="s">
        <v>1553</v>
      </c>
      <c r="T1045" s="155" t="s">
        <v>5411</v>
      </c>
      <c r="U1045" s="152" t="str">
        <f aca="false">RIGHT(T1045,7)</f>
        <v>017/037</v>
      </c>
      <c r="V1045" s="152" t="s">
        <v>1555</v>
      </c>
      <c r="W1045" s="156" t="n">
        <v>45882</v>
      </c>
      <c r="X1045" s="152" t="s">
        <v>1594</v>
      </c>
      <c r="Y1045" s="152"/>
      <c r="Z1045" s="152" t="s">
        <v>1557</v>
      </c>
      <c r="AA1045" s="153" t="n">
        <v>5.5</v>
      </c>
      <c r="AB1045" s="151" t="s">
        <v>5510</v>
      </c>
      <c r="AC1045" s="151" t="s">
        <v>186</v>
      </c>
      <c r="AD1045" s="151" t="str">
        <f aca="false">CONCATENATE($C1045,$I1045,$H1045,$N1045,$J1045,$K1045)</f>
        <v>TUBO PEADPEAD63VCAREDESZona09</v>
      </c>
      <c r="AE1045" s="153" t="n">
        <f aca="false">IFERROR(INDEX(APOIO_REDES!$A:$W,MATCH($C1045&amp;$I1045&amp;$H1045&amp;$N1045&amp;$O1045,APOIO_REDES!$W:$W,0),MATCH(AE$5,APOIO_REDES!$5:$5,0)),0)</f>
        <v>1.2</v>
      </c>
      <c r="AF1045" s="153" t="n">
        <f aca="false">IFERROR(INDEX(APOIO_REDES!$A:$W,MATCH($C1045&amp;$I1045&amp;$H1045&amp;$N1045&amp;$O1045,APOIO_REDES!$W:$W,0),MATCH(AF$5,APOIO_REDES!$5:$5,0)),0)</f>
        <v>1.363</v>
      </c>
      <c r="AG1045" s="153" t="n">
        <f aca="false">IFERROR(INDEX(APOIO_REDES!$A:$W,MATCH($C1045&amp;$I1045&amp;$H1045&amp;$N1045&amp;$O1045,APOIO_REDES!$W:$W,0),MATCH(AG$5,APOIO_REDES!$5:$5,0)),0)</f>
        <v>0.65</v>
      </c>
      <c r="AH1045" s="153" t="n">
        <f aca="false">IFERROR(INDEX(APOIO_REDES!$A:$W,MATCH($C1045&amp;$I1045&amp;$H1045&amp;$N1045&amp;$O1045,APOIO_REDES!$W:$W,0),MATCH(AH$5,APOIO_REDES!$5:$5,0)),0)</f>
        <v>0.1</v>
      </c>
      <c r="AI1045" s="153" t="n">
        <f aca="false">IFERROR(IF($H1045&lt;&gt;"",(((($H1045/1000)/2)^2)*PI()*$M1045),0),0)</f>
        <v>0.684515897738069</v>
      </c>
      <c r="AJ1045" s="153" t="n">
        <f aca="false">IFERROR(IF(AND($H1045&lt;&gt;"",$I1045="FoFo",OR($N1045="MND",$N1045="VCA"),$Q1045="LINEAR"),0,IF(AND($H1045&lt;&gt;"",$I1045="PEAD",$N1045="VCA",$Q1045="LINEAR"),($H1045/1000)+0.3,IF(AND($H1045&lt;&gt;"",$I1045="PEAD",$N1045="MND",$Q1045="EMBOQUE"),0,IF(AND($H1045&lt;&gt;"",$I1045="PVC",$N1045="VCA",$Q1045="LINEAR"),($H1045/1000)+0.2,IF(AND($H1045&lt;&gt;"",$I1045="PVC",$N1045="MND",$Q1045="EMBOQUE"),0,IF(AND($H1045&lt;&gt;"",$I1045="PEAD",$N1045="VCA",$Q1045="PREDIAL"),0,0)))))),0)</f>
        <v>0.363</v>
      </c>
      <c r="AK1045" s="153" t="n">
        <f aca="false">IF(AA1045&lt;&gt;"",AA1045,0)</f>
        <v>5.5</v>
      </c>
      <c r="AL1045" s="153" t="n">
        <f aca="false">IF(AND($N1045="MND",$Q1045="EMBOQUE"),$M1045,IF(AND($N1045="VCA",$Q1045="LINEAR"),$M1045,IF(AND($N1045="VCA",$Q1045="PREDIAL"),0,0)))</f>
        <v>219.59</v>
      </c>
      <c r="AM1045" s="153" t="n">
        <f aca="false">IF(AND($N1045="MND",$Q1045="EMBOQUE"),$M1045,IF(AND($N1045="VCA",$Q1045="LINEAR"),$M1045,IF(AND($N1045="VCA",$Q1045="PREDIAL"),0,0)))</f>
        <v>219.59</v>
      </c>
      <c r="AN1045" s="153" t="n">
        <f aca="false">ROUND(IF(AND($N1045="VCA",$M1045&lt;&gt;"",$Q1045="LINEAR"),$M1045/100,IF(AND($N1045="MND",$M1045&gt;100,$Q1045="EMBOQUE"),$M1045/100,0)),0)</f>
        <v>2</v>
      </c>
      <c r="AO1045" s="153" t="n">
        <f aca="false">IF(AND($N1045="MND",$Q1045="EMBOQUE"),$AN1045*2*2,IF(AND($N1045="VCA",$Q1045="LINEAR"),$M1045*2,IF(AND($N1045="VCA",$Q1045="PREDIAL"),0,0)))</f>
        <v>439.18</v>
      </c>
      <c r="AP1045" s="153" t="n">
        <f aca="false">IFERROR($M1045*$AF1045*$AG1045,0)</f>
        <v>194.5457605</v>
      </c>
      <c r="AQ1045" s="153" t="n">
        <f aca="false">IFERROR(IF(AND($N1045="VCA",$AH1045&gt;0),$M1045*$AG1045*$AH1045,0),0)</f>
        <v>14.27335</v>
      </c>
      <c r="AR1045" s="153" t="n">
        <f aca="false">IFERROR(IF(AND($N1045="VCA",$AJ1045&gt;0),($M1045*$AG1045*$AJ1045)-$AI1045,0),0)</f>
        <v>51.1277446022619</v>
      </c>
      <c r="AS1045" s="153" t="n">
        <f aca="false">IFERROR(IF(AND($N1045="VCA",$AP1045&gt;0),$AP1045-$AI1045-$AQ1045-$AR1045,0),0)</f>
        <v>128.46015</v>
      </c>
      <c r="AT1045" s="153" t="n">
        <f aca="false">IFERROR(IF($N1045="VCA",INDEX(APOIO_REDES!$A:$W,MATCH($C1045&amp;$I1045&amp;$H1045&amp;$N1045&amp;$O1045,APOIO_REDES!$W:$W,0),MATCH(AT$5,APOIO_REDES!$5:$5,0)),0)*$AP1045,0)</f>
        <v>2.11671545684581</v>
      </c>
      <c r="AU1045" s="153" t="n">
        <f aca="false">IFERROR(IF($N1045="VCA",INDEX(APOIO_REDES!$A:$W,MATCH($C1045&amp;$I1045&amp;$H1045&amp;$N1045&amp;$O1045,APOIO_REDES!$W:$W,0),MATCH(AU$5,APOIO_REDES!$5:$5,0)),0)*$AP1045,0)</f>
        <v>1.69035163591214</v>
      </c>
      <c r="AV1045" s="153" t="n">
        <f aca="false">IFERROR(IF($N1045="VCA",INDEX(APOIO_REDES!$A:$W,MATCH($C1045&amp;$I1045&amp;$H1045&amp;$N1045&amp;$O1045,APOIO_REDES!$W:$W,0),MATCH(AV$5,APOIO_REDES!$5:$5,0)),0)*$AP1045,0)</f>
        <v>0.233931396629615</v>
      </c>
      <c r="AW1045" s="153" t="n">
        <f aca="false">IFERROR(IF($N1045="VCA",INDEX(APOIO_REDES!$A:$W,MATCH($C1045&amp;$I1045&amp;$H1045&amp;$N1045&amp;$O1045,APOIO_REDES!$W:$W,0),MATCH(AW$5,APOIO_REDES!$5:$5,0)),0)*$AP1045,0)</f>
        <v>133.537717421311</v>
      </c>
      <c r="AX1045" s="153" t="n">
        <f aca="false">IFERROR(IF($N1045="VCA",INDEX(APOIO_REDES!$A:$W,MATCH($C1045&amp;$I1045&amp;$H1045&amp;$N1045&amp;$O1045,APOIO_REDES!$W:$W,0),MATCH(AX$5,APOIO_REDES!$5:$5,0)),0)*$AP1045,0)</f>
        <v>18.481239701721</v>
      </c>
      <c r="AY1045" s="153" t="n">
        <f aca="false">IFERROR(IF($N1045="VCA",INDEX(APOIO_REDES!$A:$W,MATCH($C1045&amp;$I1045&amp;$H1045&amp;$N1045&amp;$O1045,APOIO_REDES!$W:$W,0),MATCH(AY$5,APOIO_REDES!$5:$5,0)),0)*$AP1045,0)</f>
        <v>33.8070121129933</v>
      </c>
      <c r="AZ1045" s="153" t="n">
        <f aca="false">IFERROR(IF($N1045="VCA",INDEX(APOIO_REDES!$A:$W,MATCH($C1045&amp;$I1045&amp;$H1045&amp;$N1045&amp;$O1045,APOIO_REDES!$W:$W,0),MATCH(AZ$5,APOIO_REDES!$5:$5,0)),0)*$AP1045,0)</f>
        <v>4.67879277458764</v>
      </c>
      <c r="BA1045" s="153" t="n">
        <f aca="false">IFERROR(IF(AND($N1045="VCA",$Q1045="LINEAR"),INDEX(APOIO_REDES!$A:$W,MATCH($C1045&amp;$I1045&amp;$H1045&amp;$N1045&amp;$O1045,APOIO_REDES!$W:$W,0),MATCH(BA$5,APOIO_REDES!$5:$5,0)),IF(AND($N1045="MND",$Q1045="EMBOQUE"),INDEX(APOIO_REDES!$A:$W,MATCH($C1045&amp;$I1045&amp;$H1045&amp;$N1045&amp;$O1045,APOIO_REDES!$W:$W,0),MATCH(BA$5,APOIO_REDES!$5:$5,0)),0))*$M1045/10,0)</f>
        <v>17.698400101744</v>
      </c>
      <c r="BB1045" s="153" t="n">
        <f aca="false">IFERROR(IF($N1045="VCA",INDEX(APOIO_REDES!$A:$W,MATCH($C1045&amp;$I1045&amp;$H1045&amp;$N1045&amp;$O1045,APOIO_REDES!$W:$W,0),MATCH(BB$5,APOIO_REDES!$5:$5,0)),0)*($AI1045+$AQ1045+$AR1045),0)</f>
        <v>65.3665794974178</v>
      </c>
      <c r="BC1045" s="153" t="n">
        <f aca="false">IFERROR(IF($N1045="VCA",INDEX(APOIO_REDES!$A:$W,MATCH($C1045&amp;$I1045&amp;$H1045&amp;$N1045&amp;$O1045,APOIO_REDES!$W:$W,0),MATCH(BC$5,APOIO_REDES!$5:$5,0)),0)*($AI1045+$AQ1045+$AR1045),0)</f>
        <v>0.719031002582253</v>
      </c>
      <c r="BD1045" s="153" t="n">
        <f aca="false">IF(AND($N1045="VCA",$AF1045&gt;=1.25,$AF1045&lt;1.5),$M1045*$AF1045*2,0)</f>
        <v>598.60234</v>
      </c>
      <c r="BE1045" s="153" t="n">
        <f aca="false">IF(AND($N1045="VCA",$AF1045&gt;=1.5,$AF1045&lt;3),$M1045*$AF1045*2,0)</f>
        <v>0</v>
      </c>
      <c r="BF1045" s="153" t="n">
        <f aca="false">IF(AND($N1045="VCA",$AF1045&gt;=3),$M1045*$AF1045*2,0)</f>
        <v>0</v>
      </c>
      <c r="BG1045" s="153" t="n">
        <f aca="false">($BB1045+$BC1045)*$AK1045</f>
        <v>363.47085775</v>
      </c>
      <c r="BH1045" s="153" t="n">
        <f aca="false">IF(AND($M1045&lt;&gt;"",$N1045="VCA",$Q1045="LINEAR"),($M1045*2)/100,IF(AND($M1045&lt;&gt;"",$N1045="MND",$Q1045="EMBOQUE"),($AN1045*2)/100,0))</f>
        <v>4.3918</v>
      </c>
      <c r="BI1045" s="153" t="n">
        <f aca="false">IF(AND($M1045&lt;&gt;"",$N1045="VCA",$Q1045="LINEAR"),$M1045,IF(AND($M1045&lt;&gt;"",$N1045="MND",$Q1045="EMBOQUE"),$AN1045*2,0))</f>
        <v>219.59</v>
      </c>
      <c r="BJ1045" s="153" t="n">
        <f aca="false">IF(AND($M1045&lt;&gt;"",$N1045="VCA",$Q1045="LINEAR"),($M1045*6.8)/100,IF(AND($M1045&lt;&gt;"",$N1045="MND",$Q1045="EMBOQUE"),($AN1045*2*6.8)/100,0))</f>
        <v>14.93212</v>
      </c>
      <c r="BK1045" s="153" t="n">
        <f aca="false">IF(AND($M1045&lt;&gt;"",$N1045="VCA",$Q1045="LINEAR"),($M1045*2.5)/50,IF(AND($M1045&lt;&gt;"",$N1045="MND",$Q1045="EMBOQUE"),($AN1045*2*2.5)/50,0))</f>
        <v>10.9795</v>
      </c>
      <c r="BL1045" s="157" t="str">
        <f aca="false">K1045&amp;J1045</f>
        <v>Zona09REDES</v>
      </c>
      <c r="BM1045" s="152" t="s">
        <v>5109</v>
      </c>
      <c r="BN1045" s="152" t="s">
        <v>1560</v>
      </c>
      <c r="BO1045" s="152" t="s">
        <v>5413</v>
      </c>
      <c r="BP1045" s="152" t="s">
        <v>5488</v>
      </c>
      <c r="BQ1045" s="152" t="s">
        <v>2232</v>
      </c>
      <c r="BR1045" s="152" t="s">
        <v>5453</v>
      </c>
      <c r="BS1045" s="152" t="n">
        <v>202586.374</v>
      </c>
      <c r="BT1045" s="152" t="n">
        <v>8236285.997</v>
      </c>
      <c r="BU1045" s="152" t="n">
        <v>202789.364</v>
      </c>
      <c r="BV1045" s="152" t="n">
        <v>8236240.476</v>
      </c>
      <c r="BW1045" s="152" t="n">
        <v>-15.935193</v>
      </c>
      <c r="BX1045" s="152" t="n">
        <v>-47.7770831</v>
      </c>
      <c r="BY1045" s="152" t="s">
        <v>5488</v>
      </c>
    </row>
    <row r="1046" customFormat="false" ht="13.8" hidden="false" customHeight="false" outlineLevel="0" collapsed="false">
      <c r="A1046" s="149" t="n">
        <f aca="false">IF(C1046&lt;&gt;"",ROW(A1041),"")</f>
        <v>1041</v>
      </c>
      <c r="B1046" s="150" t="str">
        <f aca="false">HYPERLINK("https://www.google.com/maps/dir/-15.917302,-47.760003/-15.9352429,-47.7742322/data=!4m3!4m2!3e0!5i2")</f>
        <v>https://www.google.com/maps/dir/-15.917302,-47.760003/-15.9352429,-47.7742322/data=!4m3!4m2!3e0!5i2</v>
      </c>
      <c r="C1046" s="151" t="s">
        <v>117</v>
      </c>
      <c r="D1046" s="152" t="s">
        <v>112</v>
      </c>
      <c r="E1046" s="152" t="s">
        <v>113</v>
      </c>
      <c r="F1046" s="152" t="s">
        <v>117</v>
      </c>
      <c r="G1046" s="152" t="s">
        <v>782</v>
      </c>
      <c r="H1046" s="152" t="n">
        <v>63</v>
      </c>
      <c r="I1046" s="152" t="s">
        <v>115</v>
      </c>
      <c r="J1046" s="152" t="s">
        <v>6</v>
      </c>
      <c r="K1046" s="152" t="s">
        <v>5106</v>
      </c>
      <c r="L1046" s="152" t="s">
        <v>120</v>
      </c>
      <c r="M1046" s="153" t="n">
        <f aca="false">33.98</f>
        <v>33.98</v>
      </c>
      <c r="N1046" s="152" t="s">
        <v>1548</v>
      </c>
      <c r="O1046" s="152" t="s">
        <v>1549</v>
      </c>
      <c r="P1046" s="152" t="s">
        <v>1550</v>
      </c>
      <c r="Q1046" s="152" t="s">
        <v>1551</v>
      </c>
      <c r="R1046" s="154" t="s">
        <v>5511</v>
      </c>
      <c r="S1046" s="154" t="s">
        <v>1553</v>
      </c>
      <c r="T1046" s="155" t="s">
        <v>5411</v>
      </c>
      <c r="U1046" s="152" t="str">
        <f aca="false">RIGHT(T1046,7)</f>
        <v>017/037</v>
      </c>
      <c r="V1046" s="152" t="s">
        <v>1555</v>
      </c>
      <c r="W1046" s="156" t="n">
        <v>45882</v>
      </c>
      <c r="X1046" s="152" t="s">
        <v>1594</v>
      </c>
      <c r="Y1046" s="152" t="s">
        <v>2035</v>
      </c>
      <c r="Z1046" s="152" t="s">
        <v>1557</v>
      </c>
      <c r="AA1046" s="153" t="n">
        <v>5.2</v>
      </c>
      <c r="AB1046" s="151" t="s">
        <v>5512</v>
      </c>
      <c r="AC1046" s="151" t="s">
        <v>186</v>
      </c>
      <c r="AD1046" s="151" t="str">
        <f aca="false">CONCATENATE($C1046,$I1046,$H1046,$N1046,$J1046,$K1046)</f>
        <v>TUBO PEADPEAD63VCAREDESZona09</v>
      </c>
      <c r="AE1046" s="153" t="n">
        <f aca="false">IFERROR(INDEX(APOIO_REDES!$A:$W,MATCH($C1046&amp;$I1046&amp;$H1046&amp;$N1046&amp;$O1046,APOIO_REDES!$W:$W,0),MATCH(AE$5,APOIO_REDES!$5:$5,0)),0)</f>
        <v>1.2</v>
      </c>
      <c r="AF1046" s="153" t="n">
        <f aca="false">IFERROR(INDEX(APOIO_REDES!$A:$W,MATCH($C1046&amp;$I1046&amp;$H1046&amp;$N1046&amp;$O1046,APOIO_REDES!$W:$W,0),MATCH(AF$5,APOIO_REDES!$5:$5,0)),0)</f>
        <v>1.363</v>
      </c>
      <c r="AG1046" s="153" t="n">
        <f aca="false">IFERROR(INDEX(APOIO_REDES!$A:$W,MATCH($C1046&amp;$I1046&amp;$H1046&amp;$N1046&amp;$O1046,APOIO_REDES!$W:$W,0),MATCH(AG$5,APOIO_REDES!$5:$5,0)),0)</f>
        <v>0.65</v>
      </c>
      <c r="AH1046" s="153" t="n">
        <f aca="false">IFERROR(INDEX(APOIO_REDES!$A:$W,MATCH($C1046&amp;$I1046&amp;$H1046&amp;$N1046&amp;$O1046,APOIO_REDES!$W:$W,0),MATCH(AH$5,APOIO_REDES!$5:$5,0)),0)</f>
        <v>0.1</v>
      </c>
      <c r="AI1046" s="153" t="n">
        <f aca="false">IFERROR(IF($H1046&lt;&gt;"",(((($H1046/1000)/2)^2)*PI()*$M1046),0),0)</f>
        <v>0.105923995651622</v>
      </c>
      <c r="AJ1046" s="153" t="n">
        <f aca="false">IFERROR(IF(AND($H1046&lt;&gt;"",$I1046="FoFo",OR($N1046="MND",$N1046="VCA"),$Q1046="LINEAR"),0,IF(AND($H1046&lt;&gt;"",$I1046="PEAD",$N1046="VCA",$Q1046="LINEAR"),($H1046/1000)+0.3,IF(AND($H1046&lt;&gt;"",$I1046="PEAD",$N1046="MND",$Q1046="EMBOQUE"),0,IF(AND($H1046&lt;&gt;"",$I1046="PVC",$N1046="VCA",$Q1046="LINEAR"),($H1046/1000)+0.2,IF(AND($H1046&lt;&gt;"",$I1046="PVC",$N1046="MND",$Q1046="EMBOQUE"),0,IF(AND($H1046&lt;&gt;"",$I1046="PEAD",$N1046="VCA",$Q1046="PREDIAL"),0,0)))))),0)</f>
        <v>0.363</v>
      </c>
      <c r="AK1046" s="153" t="n">
        <f aca="false">IF(AA1046&lt;&gt;"",AA1046,0)</f>
        <v>5.2</v>
      </c>
      <c r="AL1046" s="153" t="n">
        <f aca="false">IF(AND($N1046="MND",$Q1046="EMBOQUE"),$M1046,IF(AND($N1046="VCA",$Q1046="LINEAR"),$M1046,IF(AND($N1046="VCA",$Q1046="PREDIAL"),0,0)))</f>
        <v>33.98</v>
      </c>
      <c r="AM1046" s="153" t="n">
        <f aca="false">IF(AND($N1046="MND",$Q1046="EMBOQUE"),$M1046,IF(AND($N1046="VCA",$Q1046="LINEAR"),$M1046,IF(AND($N1046="VCA",$Q1046="PREDIAL"),0,0)))</f>
        <v>33.98</v>
      </c>
      <c r="AN1046" s="153" t="n">
        <f aca="false">ROUND(IF(AND($N1046="VCA",$M1046&lt;&gt;"",$Q1046="LINEAR"),$M1046/100,IF(AND($N1046="MND",$M1046&gt;100,$Q1046="EMBOQUE"),$M1046/100,0)),0)</f>
        <v>0</v>
      </c>
      <c r="AO1046" s="153" t="n">
        <f aca="false">IF(AND($N1046="MND",$Q1046="EMBOQUE"),$AN1046*2*2,IF(AND($N1046="VCA",$Q1046="LINEAR"),$M1046*2,IF(AND($N1046="VCA",$Q1046="PREDIAL"),0,0)))</f>
        <v>67.96</v>
      </c>
      <c r="AP1046" s="153" t="n">
        <f aca="false">IFERROR($M1046*$AF1046*$AG1046,0)</f>
        <v>30.104581</v>
      </c>
      <c r="AQ1046" s="153" t="n">
        <f aca="false">IFERROR(IF(AND($N1046="VCA",$AH1046&gt;0),$M1046*$AG1046*$AH1046,0),0)</f>
        <v>2.2087</v>
      </c>
      <c r="AR1046" s="153" t="n">
        <f aca="false">IFERROR(IF(AND($N1046="VCA",$AJ1046&gt;0),($M1046*$AG1046*$AJ1046)-$AI1046,0),0)</f>
        <v>7.91165700434838</v>
      </c>
      <c r="AS1046" s="153" t="n">
        <f aca="false">IFERROR(IF(AND($N1046="VCA",$AP1046&gt;0),$AP1046-$AI1046-$AQ1046-$AR1046,0),0)</f>
        <v>19.8783</v>
      </c>
      <c r="AT1046" s="153" t="n">
        <f aca="false">IFERROR(IF($N1046="VCA",INDEX(APOIO_REDES!$A:$W,MATCH($C1046&amp;$I1046&amp;$H1046&amp;$N1046&amp;$O1046,APOIO_REDES!$W:$W,0),MATCH(AT$5,APOIO_REDES!$5:$5,0)),0)*$AP1046,0)</f>
        <v>0.32754675178114</v>
      </c>
      <c r="AU1046" s="153" t="n">
        <f aca="false">IFERROR(IF($N1046="VCA",INDEX(APOIO_REDES!$A:$W,MATCH($C1046&amp;$I1046&amp;$H1046&amp;$N1046&amp;$O1046,APOIO_REDES!$W:$W,0),MATCH(AU$5,APOIO_REDES!$5:$5,0)),0)*$AP1046,0)</f>
        <v>0.261569964881344</v>
      </c>
      <c r="AV1046" s="153" t="n">
        <f aca="false">IFERROR(IF($N1046="VCA",INDEX(APOIO_REDES!$A:$W,MATCH($C1046&amp;$I1046&amp;$H1046&amp;$N1046&amp;$O1046,APOIO_REDES!$W:$W,0),MATCH(AV$5,APOIO_REDES!$5:$5,0)),0)*$AP1046,0)</f>
        <v>0.0361992297348437</v>
      </c>
      <c r="AW1046" s="153" t="n">
        <f aca="false">IFERROR(IF($N1046="VCA",INDEX(APOIO_REDES!$A:$W,MATCH($C1046&amp;$I1046&amp;$H1046&amp;$N1046&amp;$O1046,APOIO_REDES!$W:$W,0),MATCH(AW$5,APOIO_REDES!$5:$5,0)),0)*$AP1046,0)</f>
        <v>20.6640176600762</v>
      </c>
      <c r="AX1046" s="153" t="n">
        <f aca="false">IFERROR(IF($N1046="VCA",INDEX(APOIO_REDES!$A:$W,MATCH($C1046&amp;$I1046&amp;$H1046&amp;$N1046&amp;$O1046,APOIO_REDES!$W:$W,0),MATCH(AX$5,APOIO_REDES!$5:$5,0)),0)*$AP1046,0)</f>
        <v>2.85984118158604</v>
      </c>
      <c r="AY1046" s="153" t="n">
        <f aca="false">IFERROR(IF($N1046="VCA",INDEX(APOIO_REDES!$A:$W,MATCH($C1046&amp;$I1046&amp;$H1046&amp;$N1046&amp;$O1046,APOIO_REDES!$W:$W,0),MATCH(AY$5,APOIO_REDES!$5:$5,0)),0)*$AP1046,0)</f>
        <v>5.23139610911022</v>
      </c>
      <c r="AZ1046" s="153" t="n">
        <f aca="false">IFERROR(IF($N1046="VCA",INDEX(APOIO_REDES!$A:$W,MATCH($C1046&amp;$I1046&amp;$H1046&amp;$N1046&amp;$O1046,APOIO_REDES!$W:$W,0),MATCH(AZ$5,APOIO_REDES!$5:$5,0)),0)*$AP1046,0)</f>
        <v>0.72401010283022</v>
      </c>
      <c r="BA1046" s="153" t="n">
        <f aca="false">IFERROR(IF(AND($N1046="VCA",$Q1046="LINEAR"),INDEX(APOIO_REDES!$A:$W,MATCH($C1046&amp;$I1046&amp;$H1046&amp;$N1046&amp;$O1046,APOIO_REDES!$W:$W,0),MATCH(BA$5,APOIO_REDES!$5:$5,0)),IF(AND($N1046="MND",$Q1046="EMBOQUE"),INDEX(APOIO_REDES!$A:$W,MATCH($C1046&amp;$I1046&amp;$H1046&amp;$N1046&amp;$O1046,APOIO_REDES!$W:$W,0),MATCH(BA$5,APOIO_REDES!$5:$5,0)),0))*$M1046/10,0)</f>
        <v>2.73870228816093</v>
      </c>
      <c r="BB1046" s="153" t="n">
        <f aca="false">IFERROR(IF($N1046="VCA",INDEX(APOIO_REDES!$A:$W,MATCH($C1046&amp;$I1046&amp;$H1046&amp;$N1046&amp;$O1046,APOIO_REDES!$W:$W,0),MATCH(BB$5,APOIO_REDES!$5:$5,0)),0)*($AI1046+$AQ1046+$AR1046),0)</f>
        <v>10.1150160358953</v>
      </c>
      <c r="BC1046" s="153" t="n">
        <f aca="false">IFERROR(IF($N1046="VCA",INDEX(APOIO_REDES!$A:$W,MATCH($C1046&amp;$I1046&amp;$H1046&amp;$N1046&amp;$O1046,APOIO_REDES!$W:$W,0),MATCH(BC$5,APOIO_REDES!$5:$5,0)),0)*($AI1046+$AQ1046+$AR1046),0)</f>
        <v>0.111264964104672</v>
      </c>
      <c r="BD1046" s="153" t="n">
        <f aca="false">IF(AND($N1046="VCA",$AF1046&gt;=1.25,$AF1046&lt;1.5),$M1046*$AF1046*2,0)</f>
        <v>92.62948</v>
      </c>
      <c r="BE1046" s="153" t="n">
        <f aca="false">IF(AND($N1046="VCA",$AF1046&gt;=1.5,$AF1046&lt;3),$M1046*$AF1046*2,0)</f>
        <v>0</v>
      </c>
      <c r="BF1046" s="153" t="n">
        <f aca="false">IF(AND($N1046="VCA",$AF1046&gt;=3),$M1046*$AF1046*2,0)</f>
        <v>0</v>
      </c>
      <c r="BG1046" s="153" t="n">
        <f aca="false">($BB1046+$BC1046)*$AK1046</f>
        <v>53.1766612</v>
      </c>
      <c r="BH1046" s="153" t="n">
        <f aca="false">IF(AND($M1046&lt;&gt;"",$N1046="VCA",$Q1046="LINEAR"),($M1046*2)/100,IF(AND($M1046&lt;&gt;"",$N1046="MND",$Q1046="EMBOQUE"),($AN1046*2)/100,0))</f>
        <v>0.6796</v>
      </c>
      <c r="BI1046" s="153" t="n">
        <f aca="false">IF(AND($M1046&lt;&gt;"",$N1046="VCA",$Q1046="LINEAR"),$M1046,IF(AND($M1046&lt;&gt;"",$N1046="MND",$Q1046="EMBOQUE"),$AN1046*2,0))</f>
        <v>33.98</v>
      </c>
      <c r="BJ1046" s="153" t="n">
        <f aca="false">IF(AND($M1046&lt;&gt;"",$N1046="VCA",$Q1046="LINEAR"),($M1046*6.8)/100,IF(AND($M1046&lt;&gt;"",$N1046="MND",$Q1046="EMBOQUE"),($AN1046*2*6.8)/100,0))</f>
        <v>2.31064</v>
      </c>
      <c r="BK1046" s="153" t="n">
        <f aca="false">IF(AND($M1046&lt;&gt;"",$N1046="VCA",$Q1046="LINEAR"),($M1046*2.5)/50,IF(AND($M1046&lt;&gt;"",$N1046="MND",$Q1046="EMBOQUE"),($AN1046*2*2.5)/50,0))</f>
        <v>1.699</v>
      </c>
      <c r="BL1046" s="157" t="str">
        <f aca="false">K1046&amp;J1046</f>
        <v>Zona09REDES</v>
      </c>
      <c r="BM1046" s="152" t="s">
        <v>5109</v>
      </c>
      <c r="BN1046" s="152" t="s">
        <v>1560</v>
      </c>
      <c r="BO1046" s="152" t="s">
        <v>5413</v>
      </c>
      <c r="BP1046" s="152" t="s">
        <v>5504</v>
      </c>
      <c r="BQ1046" s="152" t="s">
        <v>5513</v>
      </c>
      <c r="BR1046" s="152" t="s">
        <v>5514</v>
      </c>
      <c r="BS1046" s="152" t="n">
        <v>202985.89</v>
      </c>
      <c r="BT1046" s="152" t="n">
        <v>8236252.358</v>
      </c>
      <c r="BU1046" s="152" t="n">
        <v>202993.642</v>
      </c>
      <c r="BV1046" s="152" t="n">
        <v>8236219.622</v>
      </c>
      <c r="BW1046" s="152" t="n">
        <v>-15.9353887</v>
      </c>
      <c r="BX1046" s="152" t="n">
        <v>-47.7741936</v>
      </c>
      <c r="BY1046" s="152" t="s">
        <v>5504</v>
      </c>
    </row>
    <row r="1047" customFormat="false" ht="13.8" hidden="false" customHeight="false" outlineLevel="0" collapsed="false">
      <c r="A1047" s="149" t="n">
        <f aca="false">IF(C1047&lt;&gt;"",ROW(A1042),"")</f>
        <v>1042</v>
      </c>
      <c r="B1047" s="150" t="str">
        <f aca="false">HYPERLINK("https://www.google.com/maps/dir/-15.917302,-47.760003/-15.9354557,-47.7750060/data=!4m3!4m2!3e0!5i2")</f>
        <v>https://www.google.com/maps/dir/-15.917302,-47.760003/-15.9354557,-47.7750060/data=!4m3!4m2!3e0!5i2</v>
      </c>
      <c r="C1047" s="151" t="s">
        <v>117</v>
      </c>
      <c r="D1047" s="152" t="s">
        <v>112</v>
      </c>
      <c r="E1047" s="152" t="s">
        <v>113</v>
      </c>
      <c r="F1047" s="152" t="s">
        <v>117</v>
      </c>
      <c r="G1047" s="152" t="s">
        <v>782</v>
      </c>
      <c r="H1047" s="152" t="n">
        <v>63</v>
      </c>
      <c r="I1047" s="152" t="s">
        <v>115</v>
      </c>
      <c r="J1047" s="152" t="s">
        <v>6</v>
      </c>
      <c r="K1047" s="152" t="s">
        <v>5106</v>
      </c>
      <c r="L1047" s="152" t="s">
        <v>120</v>
      </c>
      <c r="M1047" s="153" t="n">
        <f aca="false">114.81</f>
        <v>114.81</v>
      </c>
      <c r="N1047" s="152" t="s">
        <v>1548</v>
      </c>
      <c r="O1047" s="152" t="s">
        <v>1549</v>
      </c>
      <c r="P1047" s="152" t="s">
        <v>1550</v>
      </c>
      <c r="Q1047" s="152" t="s">
        <v>1551</v>
      </c>
      <c r="R1047" s="154" t="s">
        <v>5515</v>
      </c>
      <c r="S1047" s="154" t="s">
        <v>1553</v>
      </c>
      <c r="T1047" s="155" t="s">
        <v>5411</v>
      </c>
      <c r="U1047" s="152" t="str">
        <f aca="false">RIGHT(T1047,7)</f>
        <v>017/037</v>
      </c>
      <c r="V1047" s="152" t="s">
        <v>1555</v>
      </c>
      <c r="W1047" s="156" t="n">
        <v>45882</v>
      </c>
      <c r="X1047" s="152" t="s">
        <v>1594</v>
      </c>
      <c r="Y1047" s="152" t="s">
        <v>2035</v>
      </c>
      <c r="Z1047" s="152" t="s">
        <v>1557</v>
      </c>
      <c r="AA1047" s="153" t="n">
        <v>5.3</v>
      </c>
      <c r="AB1047" s="151" t="s">
        <v>5516</v>
      </c>
      <c r="AC1047" s="151" t="s">
        <v>186</v>
      </c>
      <c r="AD1047" s="151" t="str">
        <f aca="false">CONCATENATE($C1047,$I1047,$H1047,$N1047,$J1047,$K1047)</f>
        <v>TUBO PEADPEAD63VCAREDESZona09</v>
      </c>
      <c r="AE1047" s="153" t="n">
        <f aca="false">IFERROR(INDEX(APOIO_REDES!$A:$W,MATCH($C1047&amp;$I1047&amp;$H1047&amp;$N1047&amp;$O1047,APOIO_REDES!$W:$W,0),MATCH(AE$5,APOIO_REDES!$5:$5,0)),0)</f>
        <v>1.2</v>
      </c>
      <c r="AF1047" s="153" t="n">
        <f aca="false">IFERROR(INDEX(APOIO_REDES!$A:$W,MATCH($C1047&amp;$I1047&amp;$H1047&amp;$N1047&amp;$O1047,APOIO_REDES!$W:$W,0),MATCH(AF$5,APOIO_REDES!$5:$5,0)),0)</f>
        <v>1.363</v>
      </c>
      <c r="AG1047" s="153" t="n">
        <f aca="false">IFERROR(INDEX(APOIO_REDES!$A:$W,MATCH($C1047&amp;$I1047&amp;$H1047&amp;$N1047&amp;$O1047,APOIO_REDES!$W:$W,0),MATCH(AG$5,APOIO_REDES!$5:$5,0)),0)</f>
        <v>0.65</v>
      </c>
      <c r="AH1047" s="153" t="n">
        <f aca="false">IFERROR(INDEX(APOIO_REDES!$A:$W,MATCH($C1047&amp;$I1047&amp;$H1047&amp;$N1047&amp;$O1047,APOIO_REDES!$W:$W,0),MATCH(AH$5,APOIO_REDES!$5:$5,0)),0)</f>
        <v>0.1</v>
      </c>
      <c r="AI1047" s="153" t="n">
        <f aca="false">IFERROR(IF($H1047&lt;&gt;"",(((($H1047/1000)/2)^2)*PI()*$M1047),0),0)</f>
        <v>0.357890934101315</v>
      </c>
      <c r="AJ1047" s="153" t="n">
        <f aca="false">IFERROR(IF(AND($H1047&lt;&gt;"",$I1047="FoFo",OR($N1047="MND",$N1047="VCA"),$Q1047="LINEAR"),0,IF(AND($H1047&lt;&gt;"",$I1047="PEAD",$N1047="VCA",$Q1047="LINEAR"),($H1047/1000)+0.3,IF(AND($H1047&lt;&gt;"",$I1047="PEAD",$N1047="MND",$Q1047="EMBOQUE"),0,IF(AND($H1047&lt;&gt;"",$I1047="PVC",$N1047="VCA",$Q1047="LINEAR"),($H1047/1000)+0.2,IF(AND($H1047&lt;&gt;"",$I1047="PVC",$N1047="MND",$Q1047="EMBOQUE"),0,IF(AND($H1047&lt;&gt;"",$I1047="PEAD",$N1047="VCA",$Q1047="PREDIAL"),0,0)))))),0)</f>
        <v>0.363</v>
      </c>
      <c r="AK1047" s="153" t="n">
        <f aca="false">IF(AA1047&lt;&gt;"",AA1047,0)</f>
        <v>5.3</v>
      </c>
      <c r="AL1047" s="153" t="n">
        <f aca="false">IF(AND($N1047="MND",$Q1047="EMBOQUE"),$M1047,IF(AND($N1047="VCA",$Q1047="LINEAR"),$M1047,IF(AND($N1047="VCA",$Q1047="PREDIAL"),0,0)))</f>
        <v>114.81</v>
      </c>
      <c r="AM1047" s="153" t="n">
        <f aca="false">IF(AND($N1047="MND",$Q1047="EMBOQUE"),$M1047,IF(AND($N1047="VCA",$Q1047="LINEAR"),$M1047,IF(AND($N1047="VCA",$Q1047="PREDIAL"),0,0)))</f>
        <v>114.81</v>
      </c>
      <c r="AN1047" s="153" t="n">
        <f aca="false">ROUND(IF(AND($N1047="VCA",$M1047&lt;&gt;"",$Q1047="LINEAR"),$M1047/100,IF(AND($N1047="MND",$M1047&gt;100,$Q1047="EMBOQUE"),$M1047/100,0)),0)</f>
        <v>1</v>
      </c>
      <c r="AO1047" s="153" t="n">
        <f aca="false">IF(AND($N1047="MND",$Q1047="EMBOQUE"),$AN1047*2*2,IF(AND($N1047="VCA",$Q1047="LINEAR"),$M1047*2,IF(AND($N1047="VCA",$Q1047="PREDIAL"),0,0)))</f>
        <v>229.62</v>
      </c>
      <c r="AP1047" s="153" t="n">
        <f aca="false">IFERROR($M1047*$AF1047*$AG1047,0)</f>
        <v>101.7159195</v>
      </c>
      <c r="AQ1047" s="153" t="n">
        <f aca="false">IFERROR(IF(AND($N1047="VCA",$AH1047&gt;0),$M1047*$AG1047*$AH1047,0),0)</f>
        <v>7.46265</v>
      </c>
      <c r="AR1047" s="153" t="n">
        <f aca="false">IFERROR(IF(AND($N1047="VCA",$AJ1047&gt;0),($M1047*$AG1047*$AJ1047)-$AI1047,0),0)</f>
        <v>26.7315285658987</v>
      </c>
      <c r="AS1047" s="153" t="n">
        <f aca="false">IFERROR(IF(AND($N1047="VCA",$AP1047&gt;0),$AP1047-$AI1047-$AQ1047-$AR1047,0),0)</f>
        <v>67.16385</v>
      </c>
      <c r="AT1047" s="153" t="n">
        <f aca="false">IFERROR(IF($N1047="VCA",INDEX(APOIO_REDES!$A:$W,MATCH($C1047&amp;$I1047&amp;$H1047&amp;$N1047&amp;$O1047,APOIO_REDES!$W:$W,0),MATCH(AT$5,APOIO_REDES!$5:$5,0)),0)*$AP1047,0)</f>
        <v>1.1066993105354</v>
      </c>
      <c r="AU1047" s="153" t="n">
        <f aca="false">IFERROR(IF($N1047="VCA",INDEX(APOIO_REDES!$A:$W,MATCH($C1047&amp;$I1047&amp;$H1047&amp;$N1047&amp;$O1047,APOIO_REDES!$W:$W,0),MATCH(AU$5,APOIO_REDES!$5:$5,0)),0)*$AP1047,0)</f>
        <v>0.883780096175019</v>
      </c>
      <c r="AV1047" s="153" t="n">
        <f aca="false">IFERROR(IF($N1047="VCA",INDEX(APOIO_REDES!$A:$W,MATCH($C1047&amp;$I1047&amp;$H1047&amp;$N1047&amp;$O1047,APOIO_REDES!$W:$W,0),MATCH(AV$5,APOIO_REDES!$5:$5,0)),0)*$AP1047,0)</f>
        <v>0.122308227364844</v>
      </c>
      <c r="AW1047" s="153" t="n">
        <f aca="false">IFERROR(IF($N1047="VCA",INDEX(APOIO_REDES!$A:$W,MATCH($C1047&amp;$I1047&amp;$H1047&amp;$N1047&amp;$O1047,APOIO_REDES!$W:$W,0),MATCH(AW$5,APOIO_REDES!$5:$5,0)),0)*$AP1047,0)</f>
        <v>69.8185952782033</v>
      </c>
      <c r="AX1047" s="153" t="n">
        <f aca="false">IFERROR(IF($N1047="VCA",INDEX(APOIO_REDES!$A:$W,MATCH($C1047&amp;$I1047&amp;$H1047&amp;$N1047&amp;$O1047,APOIO_REDES!$W:$W,0),MATCH(AX$5,APOIO_REDES!$5:$5,0)),0)*$AP1047,0)</f>
        <v>9.66269470447007</v>
      </c>
      <c r="AY1047" s="153" t="n">
        <f aca="false">IFERROR(IF($N1047="VCA",INDEX(APOIO_REDES!$A:$W,MATCH($C1047&amp;$I1047&amp;$H1047&amp;$N1047&amp;$O1047,APOIO_REDES!$W:$W,0),MATCH(AY$5,APOIO_REDES!$5:$5,0)),0)*$AP1047,0)</f>
        <v>17.6755911502926</v>
      </c>
      <c r="AZ1047" s="153" t="n">
        <f aca="false">IFERROR(IF($N1047="VCA",INDEX(APOIO_REDES!$A:$W,MATCH($C1047&amp;$I1047&amp;$H1047&amp;$N1047&amp;$O1047,APOIO_REDES!$W:$W,0),MATCH(AZ$5,APOIO_REDES!$5:$5,0)),0)*$AP1047,0)</f>
        <v>2.44625073295873</v>
      </c>
      <c r="BA1047" s="153" t="n">
        <f aca="false">IFERROR(IF(AND($N1047="VCA",$Q1047="LINEAR"),INDEX(APOIO_REDES!$A:$W,MATCH($C1047&amp;$I1047&amp;$H1047&amp;$N1047&amp;$O1047,APOIO_REDES!$W:$W,0),MATCH(BA$5,APOIO_REDES!$5:$5,0)),IF(AND($N1047="MND",$Q1047="EMBOQUE"),INDEX(APOIO_REDES!$A:$W,MATCH($C1047&amp;$I1047&amp;$H1047&amp;$N1047&amp;$O1047,APOIO_REDES!$W:$W,0),MATCH(BA$5,APOIO_REDES!$5:$5,0)),0))*$M1047/10,0)</f>
        <v>9.25339640093458</v>
      </c>
      <c r="BB1047" s="153" t="n">
        <f aca="false">IFERROR(IF($N1047="VCA",INDEX(APOIO_REDES!$A:$W,MATCH($C1047&amp;$I1047&amp;$H1047&amp;$N1047&amp;$O1047,APOIO_REDES!$W:$W,0),MATCH(BB$5,APOIO_REDES!$5:$5,0)),0)*($AI1047+$AQ1047+$AR1047),0)</f>
        <v>34.1761327569495</v>
      </c>
      <c r="BC1047" s="153" t="n">
        <f aca="false">IFERROR(IF($N1047="VCA",INDEX(APOIO_REDES!$A:$W,MATCH($C1047&amp;$I1047&amp;$H1047&amp;$N1047&amp;$O1047,APOIO_REDES!$W:$W,0),MATCH(BC$5,APOIO_REDES!$5:$5,0)),0)*($AI1047+$AQ1047+$AR1047),0)</f>
        <v>0.375936743050542</v>
      </c>
      <c r="BD1047" s="153" t="n">
        <f aca="false">IF(AND($N1047="VCA",$AF1047&gt;=1.25,$AF1047&lt;1.5),$M1047*$AF1047*2,0)</f>
        <v>312.97206</v>
      </c>
      <c r="BE1047" s="153" t="n">
        <f aca="false">IF(AND($N1047="VCA",$AF1047&gt;=1.5,$AF1047&lt;3),$M1047*$AF1047*2,0)</f>
        <v>0</v>
      </c>
      <c r="BF1047" s="153" t="n">
        <f aca="false">IF(AND($N1047="VCA",$AF1047&gt;=3),$M1047*$AF1047*2,0)</f>
        <v>0</v>
      </c>
      <c r="BG1047" s="153" t="n">
        <f aca="false">($BB1047+$BC1047)*$AK1047</f>
        <v>183.12596835</v>
      </c>
      <c r="BH1047" s="153" t="n">
        <f aca="false">IF(AND($M1047&lt;&gt;"",$N1047="VCA",$Q1047="LINEAR"),($M1047*2)/100,IF(AND($M1047&lt;&gt;"",$N1047="MND",$Q1047="EMBOQUE"),($AN1047*2)/100,0))</f>
        <v>2.2962</v>
      </c>
      <c r="BI1047" s="153" t="n">
        <f aca="false">IF(AND($M1047&lt;&gt;"",$N1047="VCA",$Q1047="LINEAR"),$M1047,IF(AND($M1047&lt;&gt;"",$N1047="MND",$Q1047="EMBOQUE"),$AN1047*2,0))</f>
        <v>114.81</v>
      </c>
      <c r="BJ1047" s="153" t="n">
        <f aca="false">IF(AND($M1047&lt;&gt;"",$N1047="VCA",$Q1047="LINEAR"),($M1047*6.8)/100,IF(AND($M1047&lt;&gt;"",$N1047="MND",$Q1047="EMBOQUE"),($AN1047*2*6.8)/100,0))</f>
        <v>7.80708</v>
      </c>
      <c r="BK1047" s="153" t="n">
        <f aca="false">IF(AND($M1047&lt;&gt;"",$N1047="VCA",$Q1047="LINEAR"),($M1047*2.5)/50,IF(AND($M1047&lt;&gt;"",$N1047="MND",$Q1047="EMBOQUE"),($AN1047*2*2.5)/50,0))</f>
        <v>5.7405</v>
      </c>
      <c r="BL1047" s="157" t="str">
        <f aca="false">K1047&amp;J1047</f>
        <v>Zona09REDES</v>
      </c>
      <c r="BM1047" s="152" t="s">
        <v>5109</v>
      </c>
      <c r="BN1047" s="152" t="s">
        <v>1560</v>
      </c>
      <c r="BO1047" s="152" t="s">
        <v>5413</v>
      </c>
      <c r="BP1047" s="152" t="s">
        <v>2232</v>
      </c>
      <c r="BQ1047" s="152" t="s">
        <v>5517</v>
      </c>
      <c r="BR1047" s="152" t="s">
        <v>5518</v>
      </c>
      <c r="BS1047" s="152" t="n">
        <v>202789.364</v>
      </c>
      <c r="BT1047" s="152" t="n">
        <v>8236240.474</v>
      </c>
      <c r="BU1047" s="152" t="n">
        <v>202903.3</v>
      </c>
      <c r="BV1047" s="152" t="n">
        <v>8236227.695</v>
      </c>
      <c r="BW1047" s="152" t="n">
        <v>-15.935404</v>
      </c>
      <c r="BX1047" s="152" t="n">
        <v>-47.7755386</v>
      </c>
      <c r="BY1047" s="152" t="s">
        <v>5517</v>
      </c>
    </row>
    <row r="1048" customFormat="false" ht="13.8" hidden="false" customHeight="false" outlineLevel="0" collapsed="false">
      <c r="A1048" s="149" t="n">
        <f aca="false">IF(C1048&lt;&gt;"",ROW(A1043),"")</f>
        <v>1043</v>
      </c>
      <c r="B1048" s="150" t="str">
        <f aca="false">HYPERLINK("https://www.google.com/maps/dir/-15.917302,-47.760003/-15.9354131,-47.7735041/data=!4m3!4m2!3e0!5i2")</f>
        <v>https://www.google.com/maps/dir/-15.917302,-47.760003/-15.9354131,-47.7735041/data=!4m3!4m2!3e0!5i2</v>
      </c>
      <c r="C1048" s="151" t="s">
        <v>117</v>
      </c>
      <c r="D1048" s="152" t="s">
        <v>112</v>
      </c>
      <c r="E1048" s="152" t="s">
        <v>113</v>
      </c>
      <c r="F1048" s="152" t="s">
        <v>117</v>
      </c>
      <c r="G1048" s="152" t="s">
        <v>782</v>
      </c>
      <c r="H1048" s="152" t="n">
        <v>63</v>
      </c>
      <c r="I1048" s="152" t="s">
        <v>115</v>
      </c>
      <c r="J1048" s="152" t="s">
        <v>6</v>
      </c>
      <c r="K1048" s="152" t="s">
        <v>5106</v>
      </c>
      <c r="L1048" s="152" t="s">
        <v>120</v>
      </c>
      <c r="M1048" s="153" t="n">
        <f aca="false">72.06+4</f>
        <v>76.06</v>
      </c>
      <c r="N1048" s="152" t="s">
        <v>1548</v>
      </c>
      <c r="O1048" s="152" t="s">
        <v>1549</v>
      </c>
      <c r="P1048" s="152" t="s">
        <v>1550</v>
      </c>
      <c r="Q1048" s="152" t="s">
        <v>1551</v>
      </c>
      <c r="R1048" s="154" t="s">
        <v>5519</v>
      </c>
      <c r="S1048" s="154" t="s">
        <v>1553</v>
      </c>
      <c r="T1048" s="155" t="s">
        <v>5411</v>
      </c>
      <c r="U1048" s="152" t="str">
        <f aca="false">RIGHT(T1048,7)</f>
        <v>017/037</v>
      </c>
      <c r="V1048" s="152" t="s">
        <v>1555</v>
      </c>
      <c r="W1048" s="156" t="n">
        <v>45882</v>
      </c>
      <c r="X1048" s="152" t="s">
        <v>1594</v>
      </c>
      <c r="Y1048" s="152" t="s">
        <v>5493</v>
      </c>
      <c r="Z1048" s="152" t="s">
        <v>1557</v>
      </c>
      <c r="AA1048" s="153" t="n">
        <v>5.3</v>
      </c>
      <c r="AB1048" s="151" t="s">
        <v>5520</v>
      </c>
      <c r="AC1048" s="151" t="s">
        <v>186</v>
      </c>
      <c r="AD1048" s="151" t="str">
        <f aca="false">CONCATENATE($C1048,$I1048,$H1048,$N1048,$J1048,$K1048)</f>
        <v>TUBO PEADPEAD63VCAREDESZona09</v>
      </c>
      <c r="AE1048" s="153" t="n">
        <f aca="false">IFERROR(INDEX(APOIO_REDES!$A:$W,MATCH($C1048&amp;$I1048&amp;$H1048&amp;$N1048&amp;$O1048,APOIO_REDES!$W:$W,0),MATCH(AE$5,APOIO_REDES!$5:$5,0)),0)</f>
        <v>1.2</v>
      </c>
      <c r="AF1048" s="153" t="n">
        <f aca="false">IFERROR(INDEX(APOIO_REDES!$A:$W,MATCH($C1048&amp;$I1048&amp;$H1048&amp;$N1048&amp;$O1048,APOIO_REDES!$W:$W,0),MATCH(AF$5,APOIO_REDES!$5:$5,0)),0)</f>
        <v>1.363</v>
      </c>
      <c r="AG1048" s="153" t="n">
        <f aca="false">IFERROR(INDEX(APOIO_REDES!$A:$W,MATCH($C1048&amp;$I1048&amp;$H1048&amp;$N1048&amp;$O1048,APOIO_REDES!$W:$W,0),MATCH(AG$5,APOIO_REDES!$5:$5,0)),0)</f>
        <v>0.65</v>
      </c>
      <c r="AH1048" s="153" t="n">
        <f aca="false">IFERROR(INDEX(APOIO_REDES!$A:$W,MATCH($C1048&amp;$I1048&amp;$H1048&amp;$N1048&amp;$O1048,APOIO_REDES!$W:$W,0),MATCH(AH$5,APOIO_REDES!$5:$5,0)),0)</f>
        <v>0.1</v>
      </c>
      <c r="AI1048" s="153" t="n">
        <f aca="false">IFERROR(IF($H1048&lt;&gt;"",(((($H1048/1000)/2)^2)*PI()*$M1048),0),0)</f>
        <v>0.237097678318491</v>
      </c>
      <c r="AJ1048" s="153" t="n">
        <f aca="false">IFERROR(IF(AND($H1048&lt;&gt;"",$I1048="FoFo",OR($N1048="MND",$N1048="VCA"),$Q1048="LINEAR"),0,IF(AND($H1048&lt;&gt;"",$I1048="PEAD",$N1048="VCA",$Q1048="LINEAR"),($H1048/1000)+0.3,IF(AND($H1048&lt;&gt;"",$I1048="PEAD",$N1048="MND",$Q1048="EMBOQUE"),0,IF(AND($H1048&lt;&gt;"",$I1048="PVC",$N1048="VCA",$Q1048="LINEAR"),($H1048/1000)+0.2,IF(AND($H1048&lt;&gt;"",$I1048="PVC",$N1048="MND",$Q1048="EMBOQUE"),0,IF(AND($H1048&lt;&gt;"",$I1048="PEAD",$N1048="VCA",$Q1048="PREDIAL"),0,0)))))),0)</f>
        <v>0.363</v>
      </c>
      <c r="AK1048" s="153" t="n">
        <f aca="false">IF(AA1048&lt;&gt;"",AA1048,0)</f>
        <v>5.3</v>
      </c>
      <c r="AL1048" s="153" t="n">
        <f aca="false">IF(AND($N1048="MND",$Q1048="EMBOQUE"),$M1048,IF(AND($N1048="VCA",$Q1048="LINEAR"),$M1048,IF(AND($N1048="VCA",$Q1048="PREDIAL"),0,0)))</f>
        <v>76.06</v>
      </c>
      <c r="AM1048" s="153" t="n">
        <f aca="false">IF(AND($N1048="MND",$Q1048="EMBOQUE"),$M1048,IF(AND($N1048="VCA",$Q1048="LINEAR"),$M1048,IF(AND($N1048="VCA",$Q1048="PREDIAL"),0,0)))</f>
        <v>76.06</v>
      </c>
      <c r="AN1048" s="153" t="n">
        <f aca="false">ROUND(IF(AND($N1048="VCA",$M1048&lt;&gt;"",$Q1048="LINEAR"),$M1048/100,IF(AND($N1048="MND",$M1048&gt;100,$Q1048="EMBOQUE"),$M1048/100,0)),0)</f>
        <v>1</v>
      </c>
      <c r="AO1048" s="153" t="n">
        <f aca="false">IF(AND($N1048="MND",$Q1048="EMBOQUE"),$AN1048*2*2,IF(AND($N1048="VCA",$Q1048="LINEAR"),$M1048*2,IF(AND($N1048="VCA",$Q1048="PREDIAL"),0,0)))</f>
        <v>152.12</v>
      </c>
      <c r="AP1048" s="153" t="n">
        <f aca="false">IFERROR($M1048*$AF1048*$AG1048,0)</f>
        <v>67.385357</v>
      </c>
      <c r="AQ1048" s="153" t="n">
        <f aca="false">IFERROR(IF(AND($N1048="VCA",$AH1048&gt;0),$M1048*$AG1048*$AH1048,0),0)</f>
        <v>4.9439</v>
      </c>
      <c r="AR1048" s="153" t="n">
        <f aca="false">IFERROR(IF(AND($N1048="VCA",$AJ1048&gt;0),($M1048*$AG1048*$AJ1048)-$AI1048,0),0)</f>
        <v>17.7092593216815</v>
      </c>
      <c r="AS1048" s="153" t="n">
        <f aca="false">IFERROR(IF(AND($N1048="VCA",$AP1048&gt;0),$AP1048-$AI1048-$AQ1048-$AR1048,0),0)</f>
        <v>44.4951</v>
      </c>
      <c r="AT1048" s="153" t="n">
        <f aca="false">IFERROR(IF($N1048="VCA",INDEX(APOIO_REDES!$A:$W,MATCH($C1048&amp;$I1048&amp;$H1048&amp;$N1048&amp;$O1048,APOIO_REDES!$W:$W,0),MATCH(AT$5,APOIO_REDES!$5:$5,0)),0)*$AP1048,0)</f>
        <v>0.733172629207579</v>
      </c>
      <c r="AU1048" s="153" t="n">
        <f aca="false">IFERROR(IF($N1048="VCA",INDEX(APOIO_REDES!$A:$W,MATCH($C1048&amp;$I1048&amp;$H1048&amp;$N1048&amp;$O1048,APOIO_REDES!$W:$W,0),MATCH(AU$5,APOIO_REDES!$5:$5,0)),0)*$AP1048,0)</f>
        <v>0.58549180485212</v>
      </c>
      <c r="AV1048" s="153" t="n">
        <f aca="false">IFERROR(IF($N1048="VCA",INDEX(APOIO_REDES!$A:$W,MATCH($C1048&amp;$I1048&amp;$H1048&amp;$N1048&amp;$O1048,APOIO_REDES!$W:$W,0),MATCH(AV$5,APOIO_REDES!$5:$5,0)),0)*$AP1048,0)</f>
        <v>0.0810274695006537</v>
      </c>
      <c r="AW1048" s="153" t="n">
        <f aca="false">IFERROR(IF($N1048="VCA",INDEX(APOIO_REDES!$A:$W,MATCH($C1048&amp;$I1048&amp;$H1048&amp;$N1048&amp;$O1048,APOIO_REDES!$W:$W,0),MATCH(AW$5,APOIO_REDES!$5:$5,0)),0)*$AP1048,0)</f>
        <v>46.2538311720246</v>
      </c>
      <c r="AX1048" s="153" t="n">
        <f aca="false">IFERROR(IF($N1048="VCA",INDEX(APOIO_REDES!$A:$W,MATCH($C1048&amp;$I1048&amp;$H1048&amp;$N1048&amp;$O1048,APOIO_REDES!$W:$W,0),MATCH(AX$5,APOIO_REDES!$5:$5,0)),0)*$AP1048,0)</f>
        <v>6.4013984776761</v>
      </c>
      <c r="AY1048" s="153" t="n">
        <f aca="false">IFERROR(IF($N1048="VCA",INDEX(APOIO_REDES!$A:$W,MATCH($C1048&amp;$I1048&amp;$H1048&amp;$N1048&amp;$O1048,APOIO_REDES!$W:$W,0),MATCH(AY$5,APOIO_REDES!$5:$5,0)),0)*$AP1048,0)</f>
        <v>11.7098289599448</v>
      </c>
      <c r="AZ1048" s="153" t="n">
        <f aca="false">IFERROR(IF($N1048="VCA",INDEX(APOIO_REDES!$A:$W,MATCH($C1048&amp;$I1048&amp;$H1048&amp;$N1048&amp;$O1048,APOIO_REDES!$W:$W,0),MATCH(AZ$5,APOIO_REDES!$5:$5,0)),0)*$AP1048,0)</f>
        <v>1.62060648679419</v>
      </c>
      <c r="BA1048" s="153" t="n">
        <f aca="false">IFERROR(IF(AND($N1048="VCA",$Q1048="LINEAR"),INDEX(APOIO_REDES!$A:$W,MATCH($C1048&amp;$I1048&amp;$H1048&amp;$N1048&amp;$O1048,APOIO_REDES!$W:$W,0),MATCH(BA$5,APOIO_REDES!$5:$5,0)),IF(AND($N1048="MND",$Q1048="EMBOQUE"),INDEX(APOIO_REDES!$A:$W,MATCH($C1048&amp;$I1048&amp;$H1048&amp;$N1048&amp;$O1048,APOIO_REDES!$W:$W,0),MATCH(BA$5,APOIO_REDES!$5:$5,0)),0))*$M1048/10,0)</f>
        <v>6.13024414471809</v>
      </c>
      <c r="BB1048" s="153" t="n">
        <f aca="false">IFERROR(IF($N1048="VCA",INDEX(APOIO_REDES!$A:$W,MATCH($C1048&amp;$I1048&amp;$H1048&amp;$N1048&amp;$O1048,APOIO_REDES!$W:$W,0),MATCH(BB$5,APOIO_REDES!$5:$5,0)),0)*($AI1048+$AQ1048+$AR1048),0)</f>
        <v>22.6412042286698</v>
      </c>
      <c r="BC1048" s="153" t="n">
        <f aca="false">IFERROR(IF($N1048="VCA",INDEX(APOIO_REDES!$A:$W,MATCH($C1048&amp;$I1048&amp;$H1048&amp;$N1048&amp;$O1048,APOIO_REDES!$W:$W,0),MATCH(BC$5,APOIO_REDES!$5:$5,0)),0)*($AI1048+$AQ1048+$AR1048),0)</f>
        <v>0.249052771330234</v>
      </c>
      <c r="BD1048" s="153" t="n">
        <f aca="false">IF(AND($N1048="VCA",$AF1048&gt;=1.25,$AF1048&lt;1.5),$M1048*$AF1048*2,0)</f>
        <v>207.33956</v>
      </c>
      <c r="BE1048" s="153" t="n">
        <f aca="false">IF(AND($N1048="VCA",$AF1048&gt;=1.5,$AF1048&lt;3),$M1048*$AF1048*2,0)</f>
        <v>0</v>
      </c>
      <c r="BF1048" s="153" t="n">
        <f aca="false">IF(AND($N1048="VCA",$AF1048&gt;=3),$M1048*$AF1048*2,0)</f>
        <v>0</v>
      </c>
      <c r="BG1048" s="153" t="n">
        <f aca="false">($BB1048+$BC1048)*$AK1048</f>
        <v>121.3183621</v>
      </c>
      <c r="BH1048" s="153" t="n">
        <f aca="false">IF(AND($M1048&lt;&gt;"",$N1048="VCA",$Q1048="LINEAR"),($M1048*2)/100,IF(AND($M1048&lt;&gt;"",$N1048="MND",$Q1048="EMBOQUE"),($AN1048*2)/100,0))</f>
        <v>1.5212</v>
      </c>
      <c r="BI1048" s="153" t="n">
        <f aca="false">IF(AND($M1048&lt;&gt;"",$N1048="VCA",$Q1048="LINEAR"),$M1048,IF(AND($M1048&lt;&gt;"",$N1048="MND",$Q1048="EMBOQUE"),$AN1048*2,0))</f>
        <v>76.06</v>
      </c>
      <c r="BJ1048" s="153" t="n">
        <f aca="false">IF(AND($M1048&lt;&gt;"",$N1048="VCA",$Q1048="LINEAR"),($M1048*6.8)/100,IF(AND($M1048&lt;&gt;"",$N1048="MND",$Q1048="EMBOQUE"),($AN1048*2*6.8)/100,0))</f>
        <v>5.17208</v>
      </c>
      <c r="BK1048" s="153" t="n">
        <f aca="false">IF(AND($M1048&lt;&gt;"",$N1048="VCA",$Q1048="LINEAR"),($M1048*2.5)/50,IF(AND($M1048&lt;&gt;"",$N1048="MND",$Q1048="EMBOQUE"),($AN1048*2*2.5)/50,0))</f>
        <v>3.803</v>
      </c>
      <c r="BL1048" s="157" t="str">
        <f aca="false">K1048&amp;J1048</f>
        <v>Zona09REDES</v>
      </c>
      <c r="BM1048" s="152" t="s">
        <v>5109</v>
      </c>
      <c r="BN1048" s="152" t="s">
        <v>1560</v>
      </c>
      <c r="BO1048" s="152" t="s">
        <v>5413</v>
      </c>
      <c r="BP1048" s="152" t="s">
        <v>5521</v>
      </c>
      <c r="BQ1048" s="152" t="s">
        <v>5513</v>
      </c>
      <c r="BR1048" s="152" t="s">
        <v>5522</v>
      </c>
      <c r="BS1048" s="152" t="n">
        <v>203064.141</v>
      </c>
      <c r="BT1048" s="152" t="n">
        <v>8236234.558</v>
      </c>
      <c r="BU1048" s="152" t="n">
        <v>202993.642</v>
      </c>
      <c r="BV1048" s="152" t="n">
        <v>8236219.622</v>
      </c>
      <c r="BW1048" s="152" t="n">
        <v>-15.9354763</v>
      </c>
      <c r="BX1048" s="152" t="n">
        <v>-47.773834</v>
      </c>
      <c r="BY1048" s="152" t="s">
        <v>5521</v>
      </c>
    </row>
    <row r="1049" customFormat="false" ht="13.8" hidden="false" customHeight="false" outlineLevel="0" collapsed="false">
      <c r="A1049" s="149" t="n">
        <f aca="false">IF(C1049&lt;&gt;"",ROW(A1044),"")</f>
        <v>1044</v>
      </c>
      <c r="B1049" s="150" t="str">
        <f aca="false">HYPERLINK("https://www.google.com/maps/dir/-15.917302,-47.760003/-15.9355395,-47.7741639/data=!4m3!4m2!3e0!5i2")</f>
        <v>https://www.google.com/maps/dir/-15.917302,-47.760003/-15.9355395,-47.7741639/data=!4m3!4m2!3e0!5i2</v>
      </c>
      <c r="C1049" s="151" t="s">
        <v>117</v>
      </c>
      <c r="D1049" s="152" t="s">
        <v>112</v>
      </c>
      <c r="E1049" s="152" t="s">
        <v>113</v>
      </c>
      <c r="F1049" s="152" t="s">
        <v>117</v>
      </c>
      <c r="G1049" s="152" t="s">
        <v>782</v>
      </c>
      <c r="H1049" s="152" t="n">
        <v>63</v>
      </c>
      <c r="I1049" s="152" t="s">
        <v>115</v>
      </c>
      <c r="J1049" s="152" t="s">
        <v>6</v>
      </c>
      <c r="K1049" s="152" t="s">
        <v>5106</v>
      </c>
      <c r="L1049" s="152" t="s">
        <v>120</v>
      </c>
      <c r="M1049" s="153" t="n">
        <f aca="false">91.5</f>
        <v>91.5</v>
      </c>
      <c r="N1049" s="152" t="s">
        <v>1548</v>
      </c>
      <c r="O1049" s="152" t="s">
        <v>1549</v>
      </c>
      <c r="P1049" s="152" t="s">
        <v>1550</v>
      </c>
      <c r="Q1049" s="152" t="s">
        <v>1551</v>
      </c>
      <c r="R1049" s="154" t="s">
        <v>5523</v>
      </c>
      <c r="S1049" s="154" t="s">
        <v>1553</v>
      </c>
      <c r="T1049" s="155" t="s">
        <v>5411</v>
      </c>
      <c r="U1049" s="152" t="str">
        <f aca="false">RIGHT(T1049,7)</f>
        <v>017/037</v>
      </c>
      <c r="V1049" s="152" t="s">
        <v>1555</v>
      </c>
      <c r="W1049" s="156" t="n">
        <v>45882</v>
      </c>
      <c r="X1049" s="152" t="s">
        <v>1594</v>
      </c>
      <c r="Y1049" s="152"/>
      <c r="Z1049" s="152" t="s">
        <v>1557</v>
      </c>
      <c r="AA1049" s="153" t="n">
        <v>5.2</v>
      </c>
      <c r="AB1049" s="151" t="s">
        <v>5524</v>
      </c>
      <c r="AC1049" s="151" t="s">
        <v>186</v>
      </c>
      <c r="AD1049" s="151" t="str">
        <f aca="false">CONCATENATE($C1049,$I1049,$H1049,$N1049,$J1049,$K1049)</f>
        <v>TUBO PEADPEAD63VCAREDESZona09</v>
      </c>
      <c r="AE1049" s="153" t="n">
        <f aca="false">IFERROR(INDEX(APOIO_REDES!$A:$W,MATCH($C1049&amp;$I1049&amp;$H1049&amp;$N1049&amp;$O1049,APOIO_REDES!$W:$W,0),MATCH(AE$5,APOIO_REDES!$5:$5,0)),0)</f>
        <v>1.2</v>
      </c>
      <c r="AF1049" s="153" t="n">
        <f aca="false">IFERROR(INDEX(APOIO_REDES!$A:$W,MATCH($C1049&amp;$I1049&amp;$H1049&amp;$N1049&amp;$O1049,APOIO_REDES!$W:$W,0),MATCH(AF$5,APOIO_REDES!$5:$5,0)),0)</f>
        <v>1.363</v>
      </c>
      <c r="AG1049" s="153" t="n">
        <f aca="false">IFERROR(INDEX(APOIO_REDES!$A:$W,MATCH($C1049&amp;$I1049&amp;$H1049&amp;$N1049&amp;$O1049,APOIO_REDES!$W:$W,0),MATCH(AG$5,APOIO_REDES!$5:$5,0)),0)</f>
        <v>0.65</v>
      </c>
      <c r="AH1049" s="153" t="n">
        <f aca="false">IFERROR(INDEX(APOIO_REDES!$A:$W,MATCH($C1049&amp;$I1049&amp;$H1049&amp;$N1049&amp;$O1049,APOIO_REDES!$W:$W,0),MATCH(AH$5,APOIO_REDES!$5:$5,0)),0)</f>
        <v>0.1</v>
      </c>
      <c r="AI1049" s="153" t="n">
        <f aca="false">IFERROR(IF($H1049&lt;&gt;"",(((($H1049/1000)/2)^2)*PI()*$M1049),0),0)</f>
        <v>0.285227945912989</v>
      </c>
      <c r="AJ1049" s="153" t="n">
        <f aca="false">IFERROR(IF(AND($H1049&lt;&gt;"",$I1049="FoFo",OR($N1049="MND",$N1049="VCA"),$Q1049="LINEAR"),0,IF(AND($H1049&lt;&gt;"",$I1049="PEAD",$N1049="VCA",$Q1049="LINEAR"),($H1049/1000)+0.3,IF(AND($H1049&lt;&gt;"",$I1049="PEAD",$N1049="MND",$Q1049="EMBOQUE"),0,IF(AND($H1049&lt;&gt;"",$I1049="PVC",$N1049="VCA",$Q1049="LINEAR"),($H1049/1000)+0.2,IF(AND($H1049&lt;&gt;"",$I1049="PVC",$N1049="MND",$Q1049="EMBOQUE"),0,IF(AND($H1049&lt;&gt;"",$I1049="PEAD",$N1049="VCA",$Q1049="PREDIAL"),0,0)))))),0)</f>
        <v>0.363</v>
      </c>
      <c r="AK1049" s="153" t="n">
        <f aca="false">IF(AA1049&lt;&gt;"",AA1049,0)</f>
        <v>5.2</v>
      </c>
      <c r="AL1049" s="153" t="n">
        <f aca="false">IF(AND($N1049="MND",$Q1049="EMBOQUE"),$M1049,IF(AND($N1049="VCA",$Q1049="LINEAR"),$M1049,IF(AND($N1049="VCA",$Q1049="PREDIAL"),0,0)))</f>
        <v>91.5</v>
      </c>
      <c r="AM1049" s="153" t="n">
        <f aca="false">IF(AND($N1049="MND",$Q1049="EMBOQUE"),$M1049,IF(AND($N1049="VCA",$Q1049="LINEAR"),$M1049,IF(AND($N1049="VCA",$Q1049="PREDIAL"),0,0)))</f>
        <v>91.5</v>
      </c>
      <c r="AN1049" s="153" t="n">
        <f aca="false">ROUND(IF(AND($N1049="VCA",$M1049&lt;&gt;"",$Q1049="LINEAR"),$M1049/100,IF(AND($N1049="MND",$M1049&gt;100,$Q1049="EMBOQUE"),$M1049/100,0)),0)</f>
        <v>1</v>
      </c>
      <c r="AO1049" s="153" t="n">
        <f aca="false">IF(AND($N1049="MND",$Q1049="EMBOQUE"),$AN1049*2*2,IF(AND($N1049="VCA",$Q1049="LINEAR"),$M1049*2,IF(AND($N1049="VCA",$Q1049="PREDIAL"),0,0)))</f>
        <v>183</v>
      </c>
      <c r="AP1049" s="153" t="n">
        <f aca="false">IFERROR($M1049*$AF1049*$AG1049,0)</f>
        <v>81.064425</v>
      </c>
      <c r="AQ1049" s="153" t="n">
        <f aca="false">IFERROR(IF(AND($N1049="VCA",$AH1049&gt;0),$M1049*$AG1049*$AH1049,0),0)</f>
        <v>5.9475</v>
      </c>
      <c r="AR1049" s="153" t="n">
        <f aca="false">IFERROR(IF(AND($N1049="VCA",$AJ1049&gt;0),($M1049*$AG1049*$AJ1049)-$AI1049,0),0)</f>
        <v>21.304197054087</v>
      </c>
      <c r="AS1049" s="153" t="n">
        <f aca="false">IFERROR(IF(AND($N1049="VCA",$AP1049&gt;0),$AP1049-$AI1049-$AQ1049-$AR1049,0),0)</f>
        <v>53.5275</v>
      </c>
      <c r="AT1049" s="153" t="n">
        <f aca="false">IFERROR(IF($N1049="VCA",INDEX(APOIO_REDES!$A:$W,MATCH($C1049&amp;$I1049&amp;$H1049&amp;$N1049&amp;$O1049,APOIO_REDES!$W:$W,0),MATCH(AT$5,APOIO_REDES!$5:$5,0)),0)*$AP1049,0)</f>
        <v>0.882004937845037</v>
      </c>
      <c r="AU1049" s="153" t="n">
        <f aca="false">IFERROR(IF($N1049="VCA",INDEX(APOIO_REDES!$A:$W,MATCH($C1049&amp;$I1049&amp;$H1049&amp;$N1049&amp;$O1049,APOIO_REDES!$W:$W,0),MATCH(AU$5,APOIO_REDES!$5:$5,0)),0)*$AP1049,0)</f>
        <v>0.704345255639877</v>
      </c>
      <c r="AV1049" s="153" t="n">
        <f aca="false">IFERROR(IF($N1049="VCA",INDEX(APOIO_REDES!$A:$W,MATCH($C1049&amp;$I1049&amp;$H1049&amp;$N1049&amp;$O1049,APOIO_REDES!$W:$W,0),MATCH(AV$5,APOIO_REDES!$5:$5,0)),0)*$AP1049,0)</f>
        <v>0.0974758540535079</v>
      </c>
      <c r="AW1049" s="153" t="n">
        <f aca="false">IFERROR(IF($N1049="VCA",INDEX(APOIO_REDES!$A:$W,MATCH($C1049&amp;$I1049&amp;$H1049&amp;$N1049&amp;$O1049,APOIO_REDES!$W:$W,0),MATCH(AW$5,APOIO_REDES!$5:$5,0)),0)*$AP1049,0)</f>
        <v>55.6432494378155</v>
      </c>
      <c r="AX1049" s="153" t="n">
        <f aca="false">IFERROR(IF($N1049="VCA",INDEX(APOIO_REDES!$A:$W,MATCH($C1049&amp;$I1049&amp;$H1049&amp;$N1049&amp;$O1049,APOIO_REDES!$W:$W,0),MATCH(AX$5,APOIO_REDES!$5:$5,0)),0)*$AP1049,0)</f>
        <v>7.70086721939736</v>
      </c>
      <c r="AY1049" s="153" t="n">
        <f aca="false">IFERROR(IF($N1049="VCA",INDEX(APOIO_REDES!$A:$W,MATCH($C1049&amp;$I1049&amp;$H1049&amp;$N1049&amp;$O1049,APOIO_REDES!$W:$W,0),MATCH(AY$5,APOIO_REDES!$5:$5,0)),0)*$AP1049,0)</f>
        <v>14.086896526886</v>
      </c>
      <c r="AZ1049" s="153" t="n">
        <f aca="false">IFERROR(IF($N1049="VCA",INDEX(APOIO_REDES!$A:$W,MATCH($C1049&amp;$I1049&amp;$H1049&amp;$N1049&amp;$O1049,APOIO_REDES!$W:$W,0),MATCH(AZ$5,APOIO_REDES!$5:$5,0)),0)*$AP1049,0)</f>
        <v>1.94958576836272</v>
      </c>
      <c r="BA1049" s="153" t="n">
        <f aca="false">IFERROR(IF(AND($N1049="VCA",$Q1049="LINEAR"),INDEX(APOIO_REDES!$A:$W,MATCH($C1049&amp;$I1049&amp;$H1049&amp;$N1049&amp;$O1049,APOIO_REDES!$W:$W,0),MATCH(BA$5,APOIO_REDES!$5:$5,0)),IF(AND($N1049="MND",$Q1049="EMBOQUE"),INDEX(APOIO_REDES!$A:$W,MATCH($C1049&amp;$I1049&amp;$H1049&amp;$N1049&amp;$O1049,APOIO_REDES!$W:$W,0),MATCH(BA$5,APOIO_REDES!$5:$5,0)),0))*$M1049/10,0)</f>
        <v>7.3746691985499</v>
      </c>
      <c r="BB1049" s="153" t="n">
        <f aca="false">IFERROR(IF($N1049="VCA",INDEX(APOIO_REDES!$A:$W,MATCH($C1049&amp;$I1049&amp;$H1049&amp;$N1049&amp;$O1049,APOIO_REDES!$W:$W,0),MATCH(BB$5,APOIO_REDES!$5:$5,0)),0)*($AI1049+$AQ1049+$AR1049),0)</f>
        <v>27.2373151054862</v>
      </c>
      <c r="BC1049" s="153" t="n">
        <f aca="false">IFERROR(IF($N1049="VCA",INDEX(APOIO_REDES!$A:$W,MATCH($C1049&amp;$I1049&amp;$H1049&amp;$N1049&amp;$O1049,APOIO_REDES!$W:$W,0),MATCH(BC$5,APOIO_REDES!$5:$5,0)),0)*($AI1049+$AQ1049+$AR1049),0)</f>
        <v>0.299609894513758</v>
      </c>
      <c r="BD1049" s="153" t="n">
        <f aca="false">IF(AND($N1049="VCA",$AF1049&gt;=1.25,$AF1049&lt;1.5),$M1049*$AF1049*2,0)</f>
        <v>249.429</v>
      </c>
      <c r="BE1049" s="153" t="n">
        <f aca="false">IF(AND($N1049="VCA",$AF1049&gt;=1.5,$AF1049&lt;3),$M1049*$AF1049*2,0)</f>
        <v>0</v>
      </c>
      <c r="BF1049" s="153" t="n">
        <f aca="false">IF(AND($N1049="VCA",$AF1049&gt;=3),$M1049*$AF1049*2,0)</f>
        <v>0</v>
      </c>
      <c r="BG1049" s="153" t="n">
        <f aca="false">($BB1049+$BC1049)*$AK1049</f>
        <v>143.19201</v>
      </c>
      <c r="BH1049" s="153" t="n">
        <f aca="false">IF(AND($M1049&lt;&gt;"",$N1049="VCA",$Q1049="LINEAR"),($M1049*2)/100,IF(AND($M1049&lt;&gt;"",$N1049="MND",$Q1049="EMBOQUE"),($AN1049*2)/100,0))</f>
        <v>1.83</v>
      </c>
      <c r="BI1049" s="153" t="n">
        <f aca="false">IF(AND($M1049&lt;&gt;"",$N1049="VCA",$Q1049="LINEAR"),$M1049,IF(AND($M1049&lt;&gt;"",$N1049="MND",$Q1049="EMBOQUE"),$AN1049*2,0))</f>
        <v>91.5</v>
      </c>
      <c r="BJ1049" s="153" t="n">
        <f aca="false">IF(AND($M1049&lt;&gt;"",$N1049="VCA",$Q1049="LINEAR"),($M1049*6.8)/100,IF(AND($M1049&lt;&gt;"",$N1049="MND",$Q1049="EMBOQUE"),($AN1049*2*6.8)/100,0))</f>
        <v>6.222</v>
      </c>
      <c r="BK1049" s="153" t="n">
        <f aca="false">IF(AND($M1049&lt;&gt;"",$N1049="VCA",$Q1049="LINEAR"),($M1049*2.5)/50,IF(AND($M1049&lt;&gt;"",$N1049="MND",$Q1049="EMBOQUE"),($AN1049*2*2.5)/50,0))</f>
        <v>4.575</v>
      </c>
      <c r="BL1049" s="157" t="str">
        <f aca="false">K1049&amp;J1049</f>
        <v>Zona09REDES</v>
      </c>
      <c r="BM1049" s="152" t="s">
        <v>5109</v>
      </c>
      <c r="BN1049" s="152" t="s">
        <v>1560</v>
      </c>
      <c r="BO1049" s="152" t="s">
        <v>5413</v>
      </c>
      <c r="BP1049" s="152" t="s">
        <v>5513</v>
      </c>
      <c r="BQ1049" s="152" t="s">
        <v>5517</v>
      </c>
      <c r="BR1049" s="152" t="s">
        <v>5525</v>
      </c>
      <c r="BS1049" s="152" t="n">
        <v>202993.642</v>
      </c>
      <c r="BT1049" s="152" t="n">
        <v>8236219.622</v>
      </c>
      <c r="BU1049" s="152" t="n">
        <v>202903.3</v>
      </c>
      <c r="BV1049" s="152" t="n">
        <v>8236227.695</v>
      </c>
      <c r="BW1049" s="152" t="n">
        <v>-15.9355077</v>
      </c>
      <c r="BX1049" s="152" t="n">
        <v>-47.7745824</v>
      </c>
      <c r="BY1049" s="152" t="s">
        <v>5513</v>
      </c>
    </row>
    <row r="1050" customFormat="false" ht="13.8" hidden="false" customHeight="false" outlineLevel="0" collapsed="false">
      <c r="A1050" s="149" t="n">
        <f aca="false">IF(C1050&lt;&gt;"",ROW(A1045),"")</f>
        <v>1045</v>
      </c>
      <c r="B1050" s="150" t="str">
        <f aca="false">HYPERLINK("https://www.google.com/maps/dir/-15.917302,-47.760003/-15.9355193,-47.7717764/data=!4m3!4m2!3e0!5i2")</f>
        <v>https://www.google.com/maps/dir/-15.917302,-47.760003/-15.9355193,-47.7717764/data=!4m3!4m2!3e0!5i2</v>
      </c>
      <c r="C1050" s="151" t="s">
        <v>117</v>
      </c>
      <c r="D1050" s="152" t="s">
        <v>112</v>
      </c>
      <c r="E1050" s="152" t="s">
        <v>113</v>
      </c>
      <c r="F1050" s="152" t="s">
        <v>117</v>
      </c>
      <c r="G1050" s="152" t="s">
        <v>782</v>
      </c>
      <c r="H1050" s="152" t="n">
        <v>63</v>
      </c>
      <c r="I1050" s="152" t="s">
        <v>115</v>
      </c>
      <c r="J1050" s="152" t="s">
        <v>6</v>
      </c>
      <c r="K1050" s="152" t="s">
        <v>5106</v>
      </c>
      <c r="L1050" s="152" t="s">
        <v>120</v>
      </c>
      <c r="M1050" s="153" t="n">
        <f aca="false">235.48+5.41</f>
        <v>240.89</v>
      </c>
      <c r="N1050" s="152" t="s">
        <v>1548</v>
      </c>
      <c r="O1050" s="152" t="s">
        <v>1549</v>
      </c>
      <c r="P1050" s="152" t="s">
        <v>1550</v>
      </c>
      <c r="Q1050" s="152" t="s">
        <v>1551</v>
      </c>
      <c r="R1050" s="154" t="s">
        <v>5526</v>
      </c>
      <c r="S1050" s="154" t="s">
        <v>1553</v>
      </c>
      <c r="T1050" s="155" t="s">
        <v>5411</v>
      </c>
      <c r="U1050" s="152" t="str">
        <f aca="false">RIGHT(T1050,7)</f>
        <v>017/037</v>
      </c>
      <c r="V1050" s="152" t="s">
        <v>1555</v>
      </c>
      <c r="W1050" s="156" t="n">
        <v>45882</v>
      </c>
      <c r="X1050" s="152" t="s">
        <v>1594</v>
      </c>
      <c r="Y1050" s="152" t="s">
        <v>5527</v>
      </c>
      <c r="Z1050" s="152" t="s">
        <v>1557</v>
      </c>
      <c r="AA1050" s="153" t="n">
        <v>4.8</v>
      </c>
      <c r="AB1050" s="151" t="s">
        <v>5528</v>
      </c>
      <c r="AC1050" s="151" t="s">
        <v>186</v>
      </c>
      <c r="AD1050" s="151" t="str">
        <f aca="false">CONCATENATE($C1050,$I1050,$H1050,$N1050,$J1050,$K1050)</f>
        <v>TUBO PEADPEAD63VCAREDESZona09</v>
      </c>
      <c r="AE1050" s="153" t="n">
        <f aca="false">IFERROR(INDEX(APOIO_REDES!$A:$W,MATCH($C1050&amp;$I1050&amp;$H1050&amp;$N1050&amp;$O1050,APOIO_REDES!$W:$W,0),MATCH(AE$5,APOIO_REDES!$5:$5,0)),0)</f>
        <v>1.2</v>
      </c>
      <c r="AF1050" s="153" t="n">
        <f aca="false">IFERROR(INDEX(APOIO_REDES!$A:$W,MATCH($C1050&amp;$I1050&amp;$H1050&amp;$N1050&amp;$O1050,APOIO_REDES!$W:$W,0),MATCH(AF$5,APOIO_REDES!$5:$5,0)),0)</f>
        <v>1.363</v>
      </c>
      <c r="AG1050" s="153" t="n">
        <f aca="false">IFERROR(INDEX(APOIO_REDES!$A:$W,MATCH($C1050&amp;$I1050&amp;$H1050&amp;$N1050&amp;$O1050,APOIO_REDES!$W:$W,0),MATCH(AG$5,APOIO_REDES!$5:$5,0)),0)</f>
        <v>0.65</v>
      </c>
      <c r="AH1050" s="153" t="n">
        <f aca="false">IFERROR(INDEX(APOIO_REDES!$A:$W,MATCH($C1050&amp;$I1050&amp;$H1050&amp;$N1050&amp;$O1050,APOIO_REDES!$W:$W,0),MATCH(AH$5,APOIO_REDES!$5:$5,0)),0)</f>
        <v>0.1</v>
      </c>
      <c r="AI1050" s="153" t="n">
        <f aca="false">IFERROR(IF($H1050&lt;&gt;"",(((($H1050/1000)/2)^2)*PI()*$M1050),0),0)</f>
        <v>0.75091322285224</v>
      </c>
      <c r="AJ1050" s="153" t="n">
        <f aca="false">IFERROR(IF(AND($H1050&lt;&gt;"",$I1050="FoFo",OR($N1050="MND",$N1050="VCA"),$Q1050="LINEAR"),0,IF(AND($H1050&lt;&gt;"",$I1050="PEAD",$N1050="VCA",$Q1050="LINEAR"),($H1050/1000)+0.3,IF(AND($H1050&lt;&gt;"",$I1050="PEAD",$N1050="MND",$Q1050="EMBOQUE"),0,IF(AND($H1050&lt;&gt;"",$I1050="PVC",$N1050="VCA",$Q1050="LINEAR"),($H1050/1000)+0.2,IF(AND($H1050&lt;&gt;"",$I1050="PVC",$N1050="MND",$Q1050="EMBOQUE"),0,IF(AND($H1050&lt;&gt;"",$I1050="PEAD",$N1050="VCA",$Q1050="PREDIAL"),0,0)))))),0)</f>
        <v>0.363</v>
      </c>
      <c r="AK1050" s="153" t="n">
        <f aca="false">IF(AA1050&lt;&gt;"",AA1050,0)</f>
        <v>4.8</v>
      </c>
      <c r="AL1050" s="153" t="n">
        <f aca="false">IF(AND($N1050="MND",$Q1050="EMBOQUE"),$M1050,IF(AND($N1050="VCA",$Q1050="LINEAR"),$M1050,IF(AND($N1050="VCA",$Q1050="PREDIAL"),0,0)))</f>
        <v>240.89</v>
      </c>
      <c r="AM1050" s="153" t="n">
        <f aca="false">IF(AND($N1050="MND",$Q1050="EMBOQUE"),$M1050,IF(AND($N1050="VCA",$Q1050="LINEAR"),$M1050,IF(AND($N1050="VCA",$Q1050="PREDIAL"),0,0)))</f>
        <v>240.89</v>
      </c>
      <c r="AN1050" s="153" t="n">
        <f aca="false">ROUND(IF(AND($N1050="VCA",$M1050&lt;&gt;"",$Q1050="LINEAR"),$M1050/100,IF(AND($N1050="MND",$M1050&gt;100,$Q1050="EMBOQUE"),$M1050/100,0)),0)</f>
        <v>2</v>
      </c>
      <c r="AO1050" s="153" t="n">
        <f aca="false">IF(AND($N1050="MND",$Q1050="EMBOQUE"),$AN1050*2*2,IF(AND($N1050="VCA",$Q1050="LINEAR"),$M1050*2,IF(AND($N1050="VCA",$Q1050="PREDIAL"),0,0)))</f>
        <v>481.78</v>
      </c>
      <c r="AP1050" s="153" t="n">
        <f aca="false">IFERROR($M1050*$AF1050*$AG1050,0)</f>
        <v>213.4164955</v>
      </c>
      <c r="AQ1050" s="153" t="n">
        <f aca="false">IFERROR(IF(AND($N1050="VCA",$AH1050&gt;0),$M1050*$AG1050*$AH1050,0),0)</f>
        <v>15.65785</v>
      </c>
      <c r="AR1050" s="153" t="n">
        <f aca="false">IFERROR(IF(AND($N1050="VCA",$AJ1050&gt;0),($M1050*$AG1050*$AJ1050)-$AI1050,0),0)</f>
        <v>56.0870822771478</v>
      </c>
      <c r="AS1050" s="153" t="n">
        <f aca="false">IFERROR(IF(AND($N1050="VCA",$AP1050&gt;0),$AP1050-$AI1050-$AQ1050-$AR1050,0),0)</f>
        <v>140.92065</v>
      </c>
      <c r="AT1050" s="153" t="n">
        <f aca="false">IFERROR(IF($N1050="VCA",INDEX(APOIO_REDES!$A:$W,MATCH($C1050&amp;$I1050&amp;$H1050&amp;$N1050&amp;$O1050,APOIO_REDES!$W:$W,0),MATCH(AT$5,APOIO_REDES!$5:$5,0)),0)*$AP1050,0)</f>
        <v>2.32203463909826</v>
      </c>
      <c r="AU1050" s="153" t="n">
        <f aca="false">IFERROR(IF($N1050="VCA",INDEX(APOIO_REDES!$A:$W,MATCH($C1050&amp;$I1050&amp;$H1050&amp;$N1050&amp;$O1050,APOIO_REDES!$W:$W,0),MATCH(AU$5,APOIO_REDES!$5:$5,0)),0)*$AP1050,0)</f>
        <v>1.85431397411027</v>
      </c>
      <c r="AV1050" s="153" t="n">
        <f aca="false">IFERROR(IF($N1050="VCA",INDEX(APOIO_REDES!$A:$W,MATCH($C1050&amp;$I1050&amp;$H1050&amp;$N1050&amp;$O1050,APOIO_REDES!$W:$W,0),MATCH(AV$5,APOIO_REDES!$5:$5,0)),0)*$AP1050,0)</f>
        <v>0.256622497081415</v>
      </c>
      <c r="AW1050" s="153" t="n">
        <f aca="false">IFERROR(IF($N1050="VCA",INDEX(APOIO_REDES!$A:$W,MATCH($C1050&amp;$I1050&amp;$H1050&amp;$N1050&amp;$O1050,APOIO_REDES!$W:$W,0),MATCH(AW$5,APOIO_REDES!$5:$5,0)),0)*$AP1050,0)</f>
        <v>146.4907361429</v>
      </c>
      <c r="AX1050" s="153" t="n">
        <f aca="false">IFERROR(IF($N1050="VCA",INDEX(APOIO_REDES!$A:$W,MATCH($C1050&amp;$I1050&amp;$H1050&amp;$N1050&amp;$O1050,APOIO_REDES!$W:$W,0),MATCH(AX$5,APOIO_REDES!$5:$5,0)),0)*$AP1050,0)</f>
        <v>20.2739005954167</v>
      </c>
      <c r="AY1050" s="153" t="n">
        <f aca="false">IFERROR(IF($N1050="VCA",INDEX(APOIO_REDES!$A:$W,MATCH($C1050&amp;$I1050&amp;$H1050&amp;$N1050&amp;$O1050,APOIO_REDES!$W:$W,0),MATCH(AY$5,APOIO_REDES!$5:$5,0)),0)*$AP1050,0)</f>
        <v>37.0862568782684</v>
      </c>
      <c r="AZ1050" s="153" t="n">
        <f aca="false">IFERROR(IF($N1050="VCA",INDEX(APOIO_REDES!$A:$W,MATCH($C1050&amp;$I1050&amp;$H1050&amp;$N1050&amp;$O1050,APOIO_REDES!$W:$W,0),MATCH(AZ$5,APOIO_REDES!$5:$5,0)),0)*$AP1050,0)</f>
        <v>5.13263077312453</v>
      </c>
      <c r="BA1050" s="153" t="n">
        <f aca="false">IFERROR(IF(AND($N1050="VCA",$Q1050="LINEAR"),INDEX(APOIO_REDES!$A:$W,MATCH($C1050&amp;$I1050&amp;$H1050&amp;$N1050&amp;$O1050,APOIO_REDES!$W:$W,0),MATCH(BA$5,APOIO_REDES!$5:$5,0)),IF(AND($N1050="MND",$Q1050="EMBOQUE"),INDEX(APOIO_REDES!$A:$W,MATCH($C1050&amp;$I1050&amp;$H1050&amp;$N1050&amp;$O1050,APOIO_REDES!$W:$W,0),MATCH(BA$5,APOIO_REDES!$5:$5,0)),0))*$M1050/10,0)</f>
        <v>19.4151263741933</v>
      </c>
      <c r="BB1050" s="153" t="n">
        <f aca="false">IFERROR(IF($N1050="VCA",INDEX(APOIO_REDES!$A:$W,MATCH($C1050&amp;$I1050&amp;$H1050&amp;$N1050&amp;$O1050,APOIO_REDES!$W:$W,0),MATCH(BB$5,APOIO_REDES!$5:$5,0)),0)*($AI1050+$AQ1050+$AR1050),0)</f>
        <v>71.707069243285</v>
      </c>
      <c r="BC1050" s="153" t="n">
        <f aca="false">IFERROR(IF($N1050="VCA",INDEX(APOIO_REDES!$A:$W,MATCH($C1050&amp;$I1050&amp;$H1050&amp;$N1050&amp;$O1050,APOIO_REDES!$W:$W,0),MATCH(BC$5,APOIO_REDES!$5:$5,0)),0)*($AI1050+$AQ1050+$AR1050),0)</f>
        <v>0.788776256714963</v>
      </c>
      <c r="BD1050" s="153" t="n">
        <f aca="false">IF(AND($N1050="VCA",$AF1050&gt;=1.25,$AF1050&lt;1.5),$M1050*$AF1050*2,0)</f>
        <v>656.66614</v>
      </c>
      <c r="BE1050" s="153" t="n">
        <f aca="false">IF(AND($N1050="VCA",$AF1050&gt;=1.5,$AF1050&lt;3),$M1050*$AF1050*2,0)</f>
        <v>0</v>
      </c>
      <c r="BF1050" s="153" t="n">
        <f aca="false">IF(AND($N1050="VCA",$AF1050&gt;=3),$M1050*$AF1050*2,0)</f>
        <v>0</v>
      </c>
      <c r="BG1050" s="153" t="n">
        <f aca="false">($BB1050+$BC1050)*$AK1050</f>
        <v>347.9800584</v>
      </c>
      <c r="BH1050" s="153" t="n">
        <f aca="false">IF(AND($M1050&lt;&gt;"",$N1050="VCA",$Q1050="LINEAR"),($M1050*2)/100,IF(AND($M1050&lt;&gt;"",$N1050="MND",$Q1050="EMBOQUE"),($AN1050*2)/100,0))</f>
        <v>4.8178</v>
      </c>
      <c r="BI1050" s="153" t="n">
        <f aca="false">IF(AND($M1050&lt;&gt;"",$N1050="VCA",$Q1050="LINEAR"),$M1050,IF(AND($M1050&lt;&gt;"",$N1050="MND",$Q1050="EMBOQUE"),$AN1050*2,0))</f>
        <v>240.89</v>
      </c>
      <c r="BJ1050" s="153" t="n">
        <f aca="false">IF(AND($M1050&lt;&gt;"",$N1050="VCA",$Q1050="LINEAR"),($M1050*6.8)/100,IF(AND($M1050&lt;&gt;"",$N1050="MND",$Q1050="EMBOQUE"),($AN1050*2*6.8)/100,0))</f>
        <v>16.38052</v>
      </c>
      <c r="BK1050" s="153" t="n">
        <f aca="false">IF(AND($M1050&lt;&gt;"",$N1050="VCA",$Q1050="LINEAR"),($M1050*2.5)/50,IF(AND($M1050&lt;&gt;"",$N1050="MND",$Q1050="EMBOQUE"),($AN1050*2*2.5)/50,0))</f>
        <v>12.0445</v>
      </c>
      <c r="BL1050" s="157" t="str">
        <f aca="false">K1050&amp;J1050</f>
        <v>Zona09REDES</v>
      </c>
      <c r="BM1050" s="152" t="s">
        <v>5109</v>
      </c>
      <c r="BN1050" s="152" t="s">
        <v>1560</v>
      </c>
      <c r="BO1050" s="152" t="s">
        <v>5413</v>
      </c>
      <c r="BP1050" s="152" t="s">
        <v>5529</v>
      </c>
      <c r="BQ1050" s="152" t="s">
        <v>5530</v>
      </c>
      <c r="BR1050" s="152" t="s">
        <v>5531</v>
      </c>
      <c r="BS1050" s="152" t="n">
        <v>203249.391</v>
      </c>
      <c r="BT1050" s="152" t="n">
        <v>8236225.254</v>
      </c>
      <c r="BU1050" s="152" t="n">
        <v>203029.221</v>
      </c>
      <c r="BV1050" s="152" t="n">
        <v>8236161.159</v>
      </c>
      <c r="BW1050" s="152" t="n">
        <v>-15.9357417</v>
      </c>
      <c r="BX1050" s="152" t="n">
        <v>-47.7728431</v>
      </c>
      <c r="BY1050" s="152" t="s">
        <v>5529</v>
      </c>
    </row>
    <row r="1051" customFormat="false" ht="13.8" hidden="false" customHeight="false" outlineLevel="0" collapsed="false">
      <c r="A1051" s="149" t="n">
        <f aca="false">IF(C1051&lt;&gt;"",ROW(A1046),"")</f>
        <v>1046</v>
      </c>
      <c r="B1051" s="150" t="str">
        <f aca="false">HYPERLINK("https://www.google.com/maps/dir/-15.917302,-47.760003/-15.9354557,-47.7750060/data=!4m3!4m2!3e0!5i2")</f>
        <v>https://www.google.com/maps/dir/-15.917302,-47.760003/-15.9354557,-47.7750060/data=!4m3!4m2!3e0!5i2</v>
      </c>
      <c r="C1051" s="151" t="s">
        <v>117</v>
      </c>
      <c r="D1051" s="152" t="s">
        <v>112</v>
      </c>
      <c r="E1051" s="152" t="s">
        <v>113</v>
      </c>
      <c r="F1051" s="152" t="s">
        <v>117</v>
      </c>
      <c r="G1051" s="152" t="s">
        <v>782</v>
      </c>
      <c r="H1051" s="152" t="n">
        <v>63</v>
      </c>
      <c r="I1051" s="152" t="s">
        <v>115</v>
      </c>
      <c r="J1051" s="152" t="s">
        <v>6</v>
      </c>
      <c r="K1051" s="152" t="s">
        <v>5106</v>
      </c>
      <c r="L1051" s="152" t="s">
        <v>120</v>
      </c>
      <c r="M1051" s="153" t="n">
        <f aca="false">70.73+4</f>
        <v>74.73</v>
      </c>
      <c r="N1051" s="152" t="s">
        <v>1548</v>
      </c>
      <c r="O1051" s="152" t="s">
        <v>1549</v>
      </c>
      <c r="P1051" s="152" t="s">
        <v>1550</v>
      </c>
      <c r="Q1051" s="152" t="s">
        <v>1551</v>
      </c>
      <c r="R1051" s="154" t="s">
        <v>5532</v>
      </c>
      <c r="S1051" s="154" t="s">
        <v>1553</v>
      </c>
      <c r="T1051" s="155" t="s">
        <v>5411</v>
      </c>
      <c r="U1051" s="152" t="str">
        <f aca="false">RIGHT(T1051,7)</f>
        <v>017/037</v>
      </c>
      <c r="V1051" s="152" t="s">
        <v>1555</v>
      </c>
      <c r="W1051" s="156" t="n">
        <v>45882</v>
      </c>
      <c r="X1051" s="152" t="s">
        <v>1594</v>
      </c>
      <c r="Y1051" s="152" t="s">
        <v>2035</v>
      </c>
      <c r="Z1051" s="152" t="s">
        <v>1557</v>
      </c>
      <c r="AA1051" s="153" t="n">
        <v>5.3</v>
      </c>
      <c r="AB1051" s="151" t="s">
        <v>5533</v>
      </c>
      <c r="AC1051" s="151" t="s">
        <v>186</v>
      </c>
      <c r="AD1051" s="151" t="str">
        <f aca="false">CONCATENATE($C1051,$I1051,$H1051,$N1051,$J1051,$K1051)</f>
        <v>TUBO PEADPEAD63VCAREDESZona09</v>
      </c>
      <c r="AE1051" s="153" t="n">
        <f aca="false">IFERROR(INDEX(APOIO_REDES!$A:$W,MATCH($C1051&amp;$I1051&amp;$H1051&amp;$N1051&amp;$O1051,APOIO_REDES!$W:$W,0),MATCH(AE$5,APOIO_REDES!$5:$5,0)),0)</f>
        <v>1.2</v>
      </c>
      <c r="AF1051" s="153" t="n">
        <f aca="false">IFERROR(INDEX(APOIO_REDES!$A:$W,MATCH($C1051&amp;$I1051&amp;$H1051&amp;$N1051&amp;$O1051,APOIO_REDES!$W:$W,0),MATCH(AF$5,APOIO_REDES!$5:$5,0)),0)</f>
        <v>1.363</v>
      </c>
      <c r="AG1051" s="153" t="n">
        <f aca="false">IFERROR(INDEX(APOIO_REDES!$A:$W,MATCH($C1051&amp;$I1051&amp;$H1051&amp;$N1051&amp;$O1051,APOIO_REDES!$W:$W,0),MATCH(AG$5,APOIO_REDES!$5:$5,0)),0)</f>
        <v>0.65</v>
      </c>
      <c r="AH1051" s="153" t="n">
        <f aca="false">IFERROR(INDEX(APOIO_REDES!$A:$W,MATCH($C1051&amp;$I1051&amp;$H1051&amp;$N1051&amp;$O1051,APOIO_REDES!$W:$W,0),MATCH(AH$5,APOIO_REDES!$5:$5,0)),0)</f>
        <v>0.1</v>
      </c>
      <c r="AI1051" s="153" t="n">
        <f aca="false">IFERROR(IF($H1051&lt;&gt;"",(((($H1051/1000)/2)^2)*PI()*$M1051),0),0)</f>
        <v>0.232951742055494</v>
      </c>
      <c r="AJ1051" s="153" t="n">
        <f aca="false">IFERROR(IF(AND($H1051&lt;&gt;"",$I1051="FoFo",OR($N1051="MND",$N1051="VCA"),$Q1051="LINEAR"),0,IF(AND($H1051&lt;&gt;"",$I1051="PEAD",$N1051="VCA",$Q1051="LINEAR"),($H1051/1000)+0.3,IF(AND($H1051&lt;&gt;"",$I1051="PEAD",$N1051="MND",$Q1051="EMBOQUE"),0,IF(AND($H1051&lt;&gt;"",$I1051="PVC",$N1051="VCA",$Q1051="LINEAR"),($H1051/1000)+0.2,IF(AND($H1051&lt;&gt;"",$I1051="PVC",$N1051="MND",$Q1051="EMBOQUE"),0,IF(AND($H1051&lt;&gt;"",$I1051="PEAD",$N1051="VCA",$Q1051="PREDIAL"),0,0)))))),0)</f>
        <v>0.363</v>
      </c>
      <c r="AK1051" s="153" t="n">
        <f aca="false">IF(AA1051&lt;&gt;"",AA1051,0)</f>
        <v>5.3</v>
      </c>
      <c r="AL1051" s="153" t="n">
        <f aca="false">IF(AND($N1051="MND",$Q1051="EMBOQUE"),$M1051,IF(AND($N1051="VCA",$Q1051="LINEAR"),$M1051,IF(AND($N1051="VCA",$Q1051="PREDIAL"),0,0)))</f>
        <v>74.73</v>
      </c>
      <c r="AM1051" s="153" t="n">
        <f aca="false">IF(AND($N1051="MND",$Q1051="EMBOQUE"),$M1051,IF(AND($N1051="VCA",$Q1051="LINEAR"),$M1051,IF(AND($N1051="VCA",$Q1051="PREDIAL"),0,0)))</f>
        <v>74.73</v>
      </c>
      <c r="AN1051" s="153" t="n">
        <f aca="false">ROUND(IF(AND($N1051="VCA",$M1051&lt;&gt;"",$Q1051="LINEAR"),$M1051/100,IF(AND($N1051="MND",$M1051&gt;100,$Q1051="EMBOQUE"),$M1051/100,0)),0)</f>
        <v>1</v>
      </c>
      <c r="AO1051" s="153" t="n">
        <f aca="false">IF(AND($N1051="MND",$Q1051="EMBOQUE"),$AN1051*2*2,IF(AND($N1051="VCA",$Q1051="LINEAR"),$M1051*2,IF(AND($N1051="VCA",$Q1051="PREDIAL"),0,0)))</f>
        <v>149.46</v>
      </c>
      <c r="AP1051" s="153" t="n">
        <f aca="false">IFERROR($M1051*$AF1051*$AG1051,0)</f>
        <v>66.2070435</v>
      </c>
      <c r="AQ1051" s="153" t="n">
        <f aca="false">IFERROR(IF(AND($N1051="VCA",$AH1051&gt;0),$M1051*$AG1051*$AH1051,0),0)</f>
        <v>4.85745</v>
      </c>
      <c r="AR1051" s="153" t="n">
        <f aca="false">IFERROR(IF(AND($N1051="VCA",$AJ1051&gt;0),($M1051*$AG1051*$AJ1051)-$AI1051,0),0)</f>
        <v>17.3995917579445</v>
      </c>
      <c r="AS1051" s="153" t="n">
        <f aca="false">IFERROR(IF(AND($N1051="VCA",$AP1051&gt;0),$AP1051-$AI1051-$AQ1051-$AR1051,0),0)</f>
        <v>43.71705</v>
      </c>
      <c r="AT1051" s="153" t="n">
        <f aca="false">IFERROR(IF($N1051="VCA",INDEX(APOIO_REDES!$A:$W,MATCH($C1051&amp;$I1051&amp;$H1051&amp;$N1051&amp;$O1051,APOIO_REDES!$W:$W,0),MATCH(AT$5,APOIO_REDES!$5:$5,0)),0)*$AP1051,0)</f>
        <v>0.720352229564586</v>
      </c>
      <c r="AU1051" s="153" t="n">
        <f aca="false">IFERROR(IF($N1051="VCA",INDEX(APOIO_REDES!$A:$W,MATCH($C1051&amp;$I1051&amp;$H1051&amp;$N1051&amp;$O1051,APOIO_REDES!$W:$W,0),MATCH(AU$5,APOIO_REDES!$5:$5,0)),0)*$AP1051,0)</f>
        <v>0.575253780917683</v>
      </c>
      <c r="AV1051" s="153" t="n">
        <f aca="false">IFERROR(IF($N1051="VCA",INDEX(APOIO_REDES!$A:$W,MATCH($C1051&amp;$I1051&amp;$H1051&amp;$N1051&amp;$O1051,APOIO_REDES!$W:$W,0),MATCH(AV$5,APOIO_REDES!$5:$5,0)),0)*$AP1051,0)</f>
        <v>0.0796106073597666</v>
      </c>
      <c r="AW1051" s="153" t="n">
        <f aca="false">IFERROR(IF($N1051="VCA",INDEX(APOIO_REDES!$A:$W,MATCH($C1051&amp;$I1051&amp;$H1051&amp;$N1051&amp;$O1051,APOIO_REDES!$W:$W,0),MATCH(AW$5,APOIO_REDES!$5:$5,0)),0)*$AP1051,0)</f>
        <v>45.4450276556061</v>
      </c>
      <c r="AX1051" s="153" t="n">
        <f aca="false">IFERROR(IF($N1051="VCA",INDEX(APOIO_REDES!$A:$W,MATCH($C1051&amp;$I1051&amp;$H1051&amp;$N1051&amp;$O1051,APOIO_REDES!$W:$W,0),MATCH(AX$5,APOIO_REDES!$5:$5,0)),0)*$AP1051,0)</f>
        <v>6.28946237492421</v>
      </c>
      <c r="AY1051" s="153" t="n">
        <f aca="false">IFERROR(IF($N1051="VCA",INDEX(APOIO_REDES!$A:$W,MATCH($C1051&amp;$I1051&amp;$H1051&amp;$N1051&amp;$O1051,APOIO_REDES!$W:$W,0),MATCH(AY$5,APOIO_REDES!$5:$5,0)),0)*$AP1051,0)</f>
        <v>11.5050686060567</v>
      </c>
      <c r="AZ1051" s="153" t="n">
        <f aca="false">IFERROR(IF($N1051="VCA",INDEX(APOIO_REDES!$A:$W,MATCH($C1051&amp;$I1051&amp;$H1051&amp;$N1051&amp;$O1051,APOIO_REDES!$W:$W,0),MATCH(AZ$5,APOIO_REDES!$5:$5,0)),0)*$AP1051,0)</f>
        <v>1.59226824557099</v>
      </c>
      <c r="BA1051" s="153" t="n">
        <f aca="false">IFERROR(IF(AND($N1051="VCA",$Q1051="LINEAR"),INDEX(APOIO_REDES!$A:$W,MATCH($C1051&amp;$I1051&amp;$H1051&amp;$N1051&amp;$O1051,APOIO_REDES!$W:$W,0),MATCH(BA$5,APOIO_REDES!$5:$5,0)),IF(AND($N1051="MND",$Q1051="EMBOQUE"),INDEX(APOIO_REDES!$A:$W,MATCH($C1051&amp;$I1051&amp;$H1051&amp;$N1051&amp;$O1051,APOIO_REDES!$W:$W,0),MATCH(BA$5,APOIO_REDES!$5:$5,0)),0))*$M1051/10,0)</f>
        <v>6.02304949953698</v>
      </c>
      <c r="BB1051" s="153" t="n">
        <f aca="false">IFERROR(IF($N1051="VCA",INDEX(APOIO_REDES!$A:$W,MATCH($C1051&amp;$I1051&amp;$H1051&amp;$N1051&amp;$O1051,APOIO_REDES!$W:$W,0),MATCH(BB$5,APOIO_REDES!$5:$5,0)),0)*($AI1051+$AQ1051+$AR1051),0)</f>
        <v>22.2452957140217</v>
      </c>
      <c r="BC1051" s="153" t="n">
        <f aca="false">IFERROR(IF($N1051="VCA",INDEX(APOIO_REDES!$A:$W,MATCH($C1051&amp;$I1051&amp;$H1051&amp;$N1051&amp;$O1051,APOIO_REDES!$W:$W,0),MATCH(BC$5,APOIO_REDES!$5:$5,0)),0)*($AI1051+$AQ1051+$AR1051),0)</f>
        <v>0.244697785978286</v>
      </c>
      <c r="BD1051" s="153" t="n">
        <f aca="false">IF(AND($N1051="VCA",$AF1051&gt;=1.25,$AF1051&lt;1.5),$M1051*$AF1051*2,0)</f>
        <v>203.71398</v>
      </c>
      <c r="BE1051" s="153" t="n">
        <f aca="false">IF(AND($N1051="VCA",$AF1051&gt;=1.5,$AF1051&lt;3),$M1051*$AF1051*2,0)</f>
        <v>0</v>
      </c>
      <c r="BF1051" s="153" t="n">
        <f aca="false">IF(AND($N1051="VCA",$AF1051&gt;=3),$M1051*$AF1051*2,0)</f>
        <v>0</v>
      </c>
      <c r="BG1051" s="153" t="n">
        <f aca="false">($BB1051+$BC1051)*$AK1051</f>
        <v>119.19696555</v>
      </c>
      <c r="BH1051" s="153" t="n">
        <f aca="false">IF(AND($M1051&lt;&gt;"",$N1051="VCA",$Q1051="LINEAR"),($M1051*2)/100,IF(AND($M1051&lt;&gt;"",$N1051="MND",$Q1051="EMBOQUE"),($AN1051*2)/100,0))</f>
        <v>1.4946</v>
      </c>
      <c r="BI1051" s="153" t="n">
        <f aca="false">IF(AND($M1051&lt;&gt;"",$N1051="VCA",$Q1051="LINEAR"),$M1051,IF(AND($M1051&lt;&gt;"",$N1051="MND",$Q1051="EMBOQUE"),$AN1051*2,0))</f>
        <v>74.73</v>
      </c>
      <c r="BJ1051" s="153" t="n">
        <f aca="false">IF(AND($M1051&lt;&gt;"",$N1051="VCA",$Q1051="LINEAR"),($M1051*6.8)/100,IF(AND($M1051&lt;&gt;"",$N1051="MND",$Q1051="EMBOQUE"),($AN1051*2*6.8)/100,0))</f>
        <v>5.08164</v>
      </c>
      <c r="BK1051" s="153" t="n">
        <f aca="false">IF(AND($M1051&lt;&gt;"",$N1051="VCA",$Q1051="LINEAR"),($M1051*2.5)/50,IF(AND($M1051&lt;&gt;"",$N1051="MND",$Q1051="EMBOQUE"),($AN1051*2*2.5)/50,0))</f>
        <v>3.7365</v>
      </c>
      <c r="BL1051" s="157" t="str">
        <f aca="false">K1051&amp;J1051</f>
        <v>Zona09REDES</v>
      </c>
      <c r="BM1051" s="152" t="s">
        <v>5109</v>
      </c>
      <c r="BN1051" s="152" t="s">
        <v>1560</v>
      </c>
      <c r="BO1051" s="152" t="s">
        <v>5413</v>
      </c>
      <c r="BP1051" s="152" t="s">
        <v>5517</v>
      </c>
      <c r="BQ1051" s="152" t="s">
        <v>5534</v>
      </c>
      <c r="BR1051" s="152" t="s">
        <v>5535</v>
      </c>
      <c r="BS1051" s="152" t="n">
        <v>202903.3</v>
      </c>
      <c r="BT1051" s="152" t="n">
        <v>8236227.695</v>
      </c>
      <c r="BU1051" s="152" t="n">
        <v>202906.8</v>
      </c>
      <c r="BV1051" s="152" t="n">
        <v>8236157.273</v>
      </c>
      <c r="BW1051" s="152" t="n">
        <v>-15.9357741</v>
      </c>
      <c r="BX1051" s="152" t="n">
        <v>-47.7750132</v>
      </c>
      <c r="BY1051" s="152" t="s">
        <v>5517</v>
      </c>
    </row>
    <row r="1052" customFormat="false" ht="13.8" hidden="false" customHeight="false" outlineLevel="0" collapsed="false">
      <c r="A1052" s="149" t="n">
        <f aca="false">IF(C1052&lt;&gt;"",ROW(A1047),"")</f>
        <v>1047</v>
      </c>
      <c r="B1052" s="150" t="str">
        <f aca="false">HYPERLINK("https://www.google.com/maps/dir/-15.917302,-47.760003/-15.9326155,-47.7715529/data=!4m3!4m2!3e0!5i2")</f>
        <v>https://www.google.com/maps/dir/-15.917302,-47.760003/-15.9326155,-47.7715529/data=!4m3!4m2!3e0!5i2</v>
      </c>
      <c r="C1052" s="151" t="s">
        <v>117</v>
      </c>
      <c r="D1052" s="152" t="s">
        <v>112</v>
      </c>
      <c r="E1052" s="152" t="s">
        <v>113</v>
      </c>
      <c r="F1052" s="152" t="s">
        <v>117</v>
      </c>
      <c r="G1052" s="152" t="s">
        <v>782</v>
      </c>
      <c r="H1052" s="152" t="n">
        <v>63</v>
      </c>
      <c r="I1052" s="152" t="s">
        <v>115</v>
      </c>
      <c r="J1052" s="152" t="s">
        <v>6</v>
      </c>
      <c r="K1052" s="152" t="s">
        <v>5106</v>
      </c>
      <c r="L1052" s="152" t="s">
        <v>120</v>
      </c>
      <c r="M1052" s="153" t="n">
        <f aca="false">58.48</f>
        <v>58.48</v>
      </c>
      <c r="N1052" s="152" t="s">
        <v>1548</v>
      </c>
      <c r="O1052" s="152" t="s">
        <v>1549</v>
      </c>
      <c r="P1052" s="152" t="s">
        <v>1550</v>
      </c>
      <c r="Q1052" s="152" t="s">
        <v>1551</v>
      </c>
      <c r="R1052" s="154" t="s">
        <v>5536</v>
      </c>
      <c r="S1052" s="154" t="s">
        <v>1553</v>
      </c>
      <c r="T1052" s="155" t="s">
        <v>4451</v>
      </c>
      <c r="U1052" s="152" t="str">
        <f aca="false">RIGHT(T1052,7)</f>
        <v>018/037</v>
      </c>
      <c r="V1052" s="152" t="s">
        <v>1555</v>
      </c>
      <c r="W1052" s="156" t="n">
        <v>45882</v>
      </c>
      <c r="X1052" s="152" t="s">
        <v>1594</v>
      </c>
      <c r="Y1052" s="152" t="s">
        <v>5232</v>
      </c>
      <c r="Z1052" s="152" t="s">
        <v>1557</v>
      </c>
      <c r="AA1052" s="153" t="n">
        <v>4.7</v>
      </c>
      <c r="AB1052" s="151" t="s">
        <v>5537</v>
      </c>
      <c r="AC1052" s="151" t="s">
        <v>186</v>
      </c>
      <c r="AD1052" s="151" t="str">
        <f aca="false">CONCATENATE($C1052,$I1052,$H1052,$N1052,$J1052,$K1052)</f>
        <v>TUBO PEADPEAD63VCAREDESZona09</v>
      </c>
      <c r="AE1052" s="153" t="n">
        <f aca="false">IFERROR(INDEX(APOIO_REDES!$A:$W,MATCH($C1052&amp;$I1052&amp;$H1052&amp;$N1052&amp;$O1052,APOIO_REDES!$W:$W,0),MATCH(AE$5,APOIO_REDES!$5:$5,0)),0)</f>
        <v>1.2</v>
      </c>
      <c r="AF1052" s="153" t="n">
        <f aca="false">IFERROR(INDEX(APOIO_REDES!$A:$W,MATCH($C1052&amp;$I1052&amp;$H1052&amp;$N1052&amp;$O1052,APOIO_REDES!$W:$W,0),MATCH(AF$5,APOIO_REDES!$5:$5,0)),0)</f>
        <v>1.363</v>
      </c>
      <c r="AG1052" s="153" t="n">
        <f aca="false">IFERROR(INDEX(APOIO_REDES!$A:$W,MATCH($C1052&amp;$I1052&amp;$H1052&amp;$N1052&amp;$O1052,APOIO_REDES!$W:$W,0),MATCH(AG$5,APOIO_REDES!$5:$5,0)),0)</f>
        <v>0.65</v>
      </c>
      <c r="AH1052" s="153" t="n">
        <f aca="false">IFERROR(INDEX(APOIO_REDES!$A:$W,MATCH($C1052&amp;$I1052&amp;$H1052&amp;$N1052&amp;$O1052,APOIO_REDES!$W:$W,0),MATCH(AH$5,APOIO_REDES!$5:$5,0)),0)</f>
        <v>0.1</v>
      </c>
      <c r="AI1052" s="153" t="n">
        <f aca="false">IFERROR(IF($H1052&lt;&gt;"",(((($H1052/1000)/2)^2)*PI()*$M1052),0),0)</f>
        <v>0.182296505759471</v>
      </c>
      <c r="AJ1052" s="153" t="n">
        <f aca="false">IFERROR(IF(AND($H1052&lt;&gt;"",$I1052="FoFo",OR($N1052="MND",$N1052="VCA"),$Q1052="LINEAR"),0,IF(AND($H1052&lt;&gt;"",$I1052="PEAD",$N1052="VCA",$Q1052="LINEAR"),($H1052/1000)+0.3,IF(AND($H1052&lt;&gt;"",$I1052="PEAD",$N1052="MND",$Q1052="EMBOQUE"),0,IF(AND($H1052&lt;&gt;"",$I1052="PVC",$N1052="VCA",$Q1052="LINEAR"),($H1052/1000)+0.2,IF(AND($H1052&lt;&gt;"",$I1052="PVC",$N1052="MND",$Q1052="EMBOQUE"),0,IF(AND($H1052&lt;&gt;"",$I1052="PEAD",$N1052="VCA",$Q1052="PREDIAL"),0,0)))))),0)</f>
        <v>0.363</v>
      </c>
      <c r="AK1052" s="153" t="n">
        <f aca="false">IF(AA1052&lt;&gt;"",AA1052,0)</f>
        <v>4.7</v>
      </c>
      <c r="AL1052" s="153" t="n">
        <f aca="false">IF(AND($N1052="MND",$Q1052="EMBOQUE"),$M1052,IF(AND($N1052="VCA",$Q1052="LINEAR"),$M1052,IF(AND($N1052="VCA",$Q1052="PREDIAL"),0,0)))</f>
        <v>58.48</v>
      </c>
      <c r="AM1052" s="153" t="n">
        <f aca="false">IF(AND($N1052="MND",$Q1052="EMBOQUE"),$M1052,IF(AND($N1052="VCA",$Q1052="LINEAR"),$M1052,IF(AND($N1052="VCA",$Q1052="PREDIAL"),0,0)))</f>
        <v>58.48</v>
      </c>
      <c r="AN1052" s="153" t="n">
        <f aca="false">ROUND(IF(AND($N1052="VCA",$M1052&lt;&gt;"",$Q1052="LINEAR"),$M1052/100,IF(AND($N1052="MND",$M1052&gt;100,$Q1052="EMBOQUE"),$M1052/100,0)),0)</f>
        <v>1</v>
      </c>
      <c r="AO1052" s="153" t="n">
        <f aca="false">IF(AND($N1052="MND",$Q1052="EMBOQUE"),$AN1052*2*2,IF(AND($N1052="VCA",$Q1052="LINEAR"),$M1052*2,IF(AND($N1052="VCA",$Q1052="PREDIAL"),0,0)))</f>
        <v>116.96</v>
      </c>
      <c r="AP1052" s="153" t="n">
        <f aca="false">IFERROR($M1052*$AF1052*$AG1052,0)</f>
        <v>51.810356</v>
      </c>
      <c r="AQ1052" s="153" t="n">
        <f aca="false">IFERROR(IF(AND($N1052="VCA",$AH1052&gt;0),$M1052*$AG1052*$AH1052,0),0)</f>
        <v>3.8012</v>
      </c>
      <c r="AR1052" s="153" t="n">
        <f aca="false">IFERROR(IF(AND($N1052="VCA",$AJ1052&gt;0),($M1052*$AG1052*$AJ1052)-$AI1052,0),0)</f>
        <v>13.6160594942405</v>
      </c>
      <c r="AS1052" s="153" t="n">
        <f aca="false">IFERROR(IF(AND($N1052="VCA",$AP1052&gt;0),$AP1052-$AI1052-$AQ1052-$AR1052,0),0)</f>
        <v>34.2108</v>
      </c>
      <c r="AT1052" s="153" t="n">
        <f aca="false">IFERROR(IF($N1052="VCA",INDEX(APOIO_REDES!$A:$W,MATCH($C1052&amp;$I1052&amp;$H1052&amp;$N1052&amp;$O1052,APOIO_REDES!$W:$W,0),MATCH(AT$5,APOIO_REDES!$5:$5,0)),0)*$AP1052,0)</f>
        <v>0.563712008362598</v>
      </c>
      <c r="AU1052" s="153" t="n">
        <f aca="false">IFERROR(IF($N1052="VCA",INDEX(APOIO_REDES!$A:$W,MATCH($C1052&amp;$I1052&amp;$H1052&amp;$N1052&amp;$O1052,APOIO_REDES!$W:$W,0),MATCH(AU$5,APOIO_REDES!$5:$5,0)),0)*$AP1052,0)</f>
        <v>0.450165142620983</v>
      </c>
      <c r="AV1052" s="153" t="n">
        <f aca="false">IFERROR(IF($N1052="VCA",INDEX(APOIO_REDES!$A:$W,MATCH($C1052&amp;$I1052&amp;$H1052&amp;$N1052&amp;$O1052,APOIO_REDES!$W:$W,0),MATCH(AV$5,APOIO_REDES!$5:$5,0)),0)*$AP1052,0)</f>
        <v>0.0622993218038157</v>
      </c>
      <c r="AW1052" s="153" t="n">
        <f aca="false">IFERROR(IF($N1052="VCA",INDEX(APOIO_REDES!$A:$W,MATCH($C1052&amp;$I1052&amp;$H1052&amp;$N1052&amp;$O1052,APOIO_REDES!$W:$W,0),MATCH(AW$5,APOIO_REDES!$5:$5,0)),0)*$AP1052,0)</f>
        <v>35.5630298046279</v>
      </c>
      <c r="AX1052" s="153" t="n">
        <f aca="false">IFERROR(IF($N1052="VCA",INDEX(APOIO_REDES!$A:$W,MATCH($C1052&amp;$I1052&amp;$H1052&amp;$N1052&amp;$O1052,APOIO_REDES!$W:$W,0),MATCH(AX$5,APOIO_REDES!$5:$5,0)),0)*$AP1052,0)</f>
        <v>4.92182202175254</v>
      </c>
      <c r="AY1052" s="153" t="n">
        <f aca="false">IFERROR(IF($N1052="VCA",INDEX(APOIO_REDES!$A:$W,MATCH($C1052&amp;$I1052&amp;$H1052&amp;$N1052&amp;$O1052,APOIO_REDES!$W:$W,0),MATCH(AY$5,APOIO_REDES!$5:$5,0)),0)*$AP1052,0)</f>
        <v>9.00329736494307</v>
      </c>
      <c r="AZ1052" s="153" t="n">
        <f aca="false">IFERROR(IF($N1052="VCA",INDEX(APOIO_REDES!$A:$W,MATCH($C1052&amp;$I1052&amp;$H1052&amp;$N1052&amp;$O1052,APOIO_REDES!$W:$W,0),MATCH(AZ$5,APOIO_REDES!$5:$5,0)),0)*$AP1052,0)</f>
        <v>1.24603033588909</v>
      </c>
      <c r="BA1052" s="153" t="n">
        <f aca="false">IFERROR(IF(AND($N1052="VCA",$Q1052="LINEAR"),INDEX(APOIO_REDES!$A:$W,MATCH($C1052&amp;$I1052&amp;$H1052&amp;$N1052&amp;$O1052,APOIO_REDES!$W:$W,0),MATCH(BA$5,APOIO_REDES!$5:$5,0)),IF(AND($N1052="MND",$Q1052="EMBOQUE"),INDEX(APOIO_REDES!$A:$W,MATCH($C1052&amp;$I1052&amp;$H1052&amp;$N1052&amp;$O1052,APOIO_REDES!$W:$W,0),MATCH(BA$5,APOIO_REDES!$5:$5,0)),0))*$M1052/10,0)</f>
        <v>4.71334048886555</v>
      </c>
      <c r="BB1052" s="153" t="n">
        <f aca="false">IFERROR(IF($N1052="VCA",INDEX(APOIO_REDES!$A:$W,MATCH($C1052&amp;$I1052&amp;$H1052&amp;$N1052&amp;$O1052,APOIO_REDES!$W:$W,0),MATCH(BB$5,APOIO_REDES!$5:$5,0)),0)*($AI1052+$AQ1052+$AR1052),0)</f>
        <v>17.4080676215173</v>
      </c>
      <c r="BC1052" s="153" t="n">
        <f aca="false">IFERROR(IF($N1052="VCA",INDEX(APOIO_REDES!$A:$W,MATCH($C1052&amp;$I1052&amp;$H1052&amp;$N1052&amp;$O1052,APOIO_REDES!$W:$W,0),MATCH(BC$5,APOIO_REDES!$5:$5,0)),0)*($AI1052+$AQ1052+$AR1052),0)</f>
        <v>0.191488378482673</v>
      </c>
      <c r="BD1052" s="153" t="n">
        <f aca="false">IF(AND($N1052="VCA",$AF1052&gt;=1.25,$AF1052&lt;1.5),$M1052*$AF1052*2,0)</f>
        <v>159.41648</v>
      </c>
      <c r="BE1052" s="153" t="n">
        <f aca="false">IF(AND($N1052="VCA",$AF1052&gt;=1.5,$AF1052&lt;3),$M1052*$AF1052*2,0)</f>
        <v>0</v>
      </c>
      <c r="BF1052" s="153" t="n">
        <f aca="false">IF(AND($N1052="VCA",$AF1052&gt;=3),$M1052*$AF1052*2,0)</f>
        <v>0</v>
      </c>
      <c r="BG1052" s="153" t="n">
        <f aca="false">($BB1052+$BC1052)*$AK1052</f>
        <v>82.7179132</v>
      </c>
      <c r="BH1052" s="153" t="n">
        <f aca="false">IF(AND($M1052&lt;&gt;"",$N1052="VCA",$Q1052="LINEAR"),($M1052*2)/100,IF(AND($M1052&lt;&gt;"",$N1052="MND",$Q1052="EMBOQUE"),($AN1052*2)/100,0))</f>
        <v>1.1696</v>
      </c>
      <c r="BI1052" s="153" t="n">
        <f aca="false">IF(AND($M1052&lt;&gt;"",$N1052="VCA",$Q1052="LINEAR"),$M1052,IF(AND($M1052&lt;&gt;"",$N1052="MND",$Q1052="EMBOQUE"),$AN1052*2,0))</f>
        <v>58.48</v>
      </c>
      <c r="BJ1052" s="153" t="n">
        <f aca="false">IF(AND($M1052&lt;&gt;"",$N1052="VCA",$Q1052="LINEAR"),($M1052*6.8)/100,IF(AND($M1052&lt;&gt;"",$N1052="MND",$Q1052="EMBOQUE"),($AN1052*2*6.8)/100,0))</f>
        <v>3.97664</v>
      </c>
      <c r="BK1052" s="153" t="n">
        <f aca="false">IF(AND($M1052&lt;&gt;"",$N1052="VCA",$Q1052="LINEAR"),($M1052*2.5)/50,IF(AND($M1052&lt;&gt;"",$N1052="MND",$Q1052="EMBOQUE"),($AN1052*2*2.5)/50,0))</f>
        <v>2.924</v>
      </c>
      <c r="BL1052" s="157" t="str">
        <f aca="false">K1052&amp;J1052</f>
        <v>Zona09REDES</v>
      </c>
      <c r="BM1052" s="152" t="s">
        <v>5109</v>
      </c>
      <c r="BN1052" s="152" t="s">
        <v>1560</v>
      </c>
      <c r="BO1052" s="152" t="s">
        <v>4454</v>
      </c>
      <c r="BP1052" s="152" t="s">
        <v>5538</v>
      </c>
      <c r="BQ1052" s="152" t="s">
        <v>5408</v>
      </c>
      <c r="BR1052" s="152" t="s">
        <v>5539</v>
      </c>
      <c r="BS1052" s="152" t="n">
        <v>203269.066</v>
      </c>
      <c r="BT1052" s="152" t="n">
        <v>8236547.094</v>
      </c>
      <c r="BU1052" s="152" t="n">
        <v>203305.765</v>
      </c>
      <c r="BV1052" s="152" t="n">
        <v>8236592.023</v>
      </c>
      <c r="BW1052" s="152" t="n">
        <v>-15.9324097</v>
      </c>
      <c r="BX1052" s="152" t="n">
        <v>-47.7713819</v>
      </c>
      <c r="BY1052" s="152" t="s">
        <v>5538</v>
      </c>
    </row>
    <row r="1053" customFormat="false" ht="13.8" hidden="false" customHeight="false" outlineLevel="0" collapsed="false">
      <c r="A1053" s="149" t="n">
        <f aca="false">IF(C1053&lt;&gt;"",ROW(A1048),"")</f>
        <v>1048</v>
      </c>
      <c r="B1053" s="150" t="str">
        <f aca="false">HYPERLINK("https://www.google.com/maps/dir/-15.917302,-47.760003/-15.9330875,-47.7710314/data=!4m3!4m2!3e0!5i2")</f>
        <v>https://www.google.com/maps/dir/-15.917302,-47.760003/-15.9330875,-47.7710314/data=!4m3!4m2!3e0!5i2</v>
      </c>
      <c r="C1053" s="151" t="s">
        <v>117</v>
      </c>
      <c r="D1053" s="152" t="s">
        <v>112</v>
      </c>
      <c r="E1053" s="152" t="s">
        <v>113</v>
      </c>
      <c r="F1053" s="152" t="s">
        <v>117</v>
      </c>
      <c r="G1053" s="152" t="s">
        <v>782</v>
      </c>
      <c r="H1053" s="152" t="n">
        <v>63</v>
      </c>
      <c r="I1053" s="152" t="s">
        <v>115</v>
      </c>
      <c r="J1053" s="152" t="s">
        <v>6</v>
      </c>
      <c r="K1053" s="152" t="s">
        <v>5106</v>
      </c>
      <c r="L1053" s="152" t="s">
        <v>120</v>
      </c>
      <c r="M1053" s="153" t="n">
        <f aca="false">98.81+4.1</f>
        <v>102.91</v>
      </c>
      <c r="N1053" s="152" t="s">
        <v>1548</v>
      </c>
      <c r="O1053" s="152" t="s">
        <v>1549</v>
      </c>
      <c r="P1053" s="152" t="s">
        <v>1550</v>
      </c>
      <c r="Q1053" s="152" t="s">
        <v>1551</v>
      </c>
      <c r="R1053" s="154" t="s">
        <v>5540</v>
      </c>
      <c r="S1053" s="154" t="s">
        <v>1553</v>
      </c>
      <c r="T1053" s="155" t="s">
        <v>4451</v>
      </c>
      <c r="U1053" s="152" t="str">
        <f aca="false">RIGHT(T1053,7)</f>
        <v>018/037</v>
      </c>
      <c r="V1053" s="152" t="s">
        <v>1555</v>
      </c>
      <c r="W1053" s="156" t="n">
        <v>45882</v>
      </c>
      <c r="X1053" s="152" t="s">
        <v>1594</v>
      </c>
      <c r="Y1053" s="152" t="s">
        <v>5541</v>
      </c>
      <c r="Z1053" s="152" t="s">
        <v>1557</v>
      </c>
      <c r="AA1053" s="153" t="n">
        <v>4.7</v>
      </c>
      <c r="AB1053" s="151" t="s">
        <v>5542</v>
      </c>
      <c r="AC1053" s="151" t="s">
        <v>186</v>
      </c>
      <c r="AD1053" s="151" t="str">
        <f aca="false">CONCATENATE($C1053,$I1053,$H1053,$N1053,$J1053,$K1053)</f>
        <v>TUBO PEADPEAD63VCAREDESZona09</v>
      </c>
      <c r="AE1053" s="153" t="n">
        <f aca="false">IFERROR(INDEX(APOIO_REDES!$A:$W,MATCH($C1053&amp;$I1053&amp;$H1053&amp;$N1053&amp;$O1053,APOIO_REDES!$W:$W,0),MATCH(AE$5,APOIO_REDES!$5:$5,0)),0)</f>
        <v>1.2</v>
      </c>
      <c r="AF1053" s="153" t="n">
        <f aca="false">IFERROR(INDEX(APOIO_REDES!$A:$W,MATCH($C1053&amp;$I1053&amp;$H1053&amp;$N1053&amp;$O1053,APOIO_REDES!$W:$W,0),MATCH(AF$5,APOIO_REDES!$5:$5,0)),0)</f>
        <v>1.363</v>
      </c>
      <c r="AG1053" s="153" t="n">
        <f aca="false">IFERROR(INDEX(APOIO_REDES!$A:$W,MATCH($C1053&amp;$I1053&amp;$H1053&amp;$N1053&amp;$O1053,APOIO_REDES!$W:$W,0),MATCH(AG$5,APOIO_REDES!$5:$5,0)),0)</f>
        <v>0.65</v>
      </c>
      <c r="AH1053" s="153" t="n">
        <f aca="false">IFERROR(INDEX(APOIO_REDES!$A:$W,MATCH($C1053&amp;$I1053&amp;$H1053&amp;$N1053&amp;$O1053,APOIO_REDES!$W:$W,0),MATCH(AH$5,APOIO_REDES!$5:$5,0)),0)</f>
        <v>0.1</v>
      </c>
      <c r="AI1053" s="153" t="n">
        <f aca="false">IFERROR(IF($H1053&lt;&gt;"",(((($H1053/1000)/2)^2)*PI()*$M1053),0),0)</f>
        <v>0.320795714906073</v>
      </c>
      <c r="AJ1053" s="153" t="n">
        <f aca="false">IFERROR(IF(AND($H1053&lt;&gt;"",$I1053="FoFo",OR($N1053="MND",$N1053="VCA"),$Q1053="LINEAR"),0,IF(AND($H1053&lt;&gt;"",$I1053="PEAD",$N1053="VCA",$Q1053="LINEAR"),($H1053/1000)+0.3,IF(AND($H1053&lt;&gt;"",$I1053="PEAD",$N1053="MND",$Q1053="EMBOQUE"),0,IF(AND($H1053&lt;&gt;"",$I1053="PVC",$N1053="VCA",$Q1053="LINEAR"),($H1053/1000)+0.2,IF(AND($H1053&lt;&gt;"",$I1053="PVC",$N1053="MND",$Q1053="EMBOQUE"),0,IF(AND($H1053&lt;&gt;"",$I1053="PEAD",$N1053="VCA",$Q1053="PREDIAL"),0,0)))))),0)</f>
        <v>0.363</v>
      </c>
      <c r="AK1053" s="153" t="n">
        <f aca="false">IF(AA1053&lt;&gt;"",AA1053,0)</f>
        <v>4.7</v>
      </c>
      <c r="AL1053" s="153" t="n">
        <f aca="false">IF(AND($N1053="MND",$Q1053="EMBOQUE"),$M1053,IF(AND($N1053="VCA",$Q1053="LINEAR"),$M1053,IF(AND($N1053="VCA",$Q1053="PREDIAL"),0,0)))</f>
        <v>102.91</v>
      </c>
      <c r="AM1053" s="153" t="n">
        <f aca="false">IF(AND($N1053="MND",$Q1053="EMBOQUE"),$M1053,IF(AND($N1053="VCA",$Q1053="LINEAR"),$M1053,IF(AND($N1053="VCA",$Q1053="PREDIAL"),0,0)))</f>
        <v>102.91</v>
      </c>
      <c r="AN1053" s="153" t="n">
        <f aca="false">ROUND(IF(AND($N1053="VCA",$M1053&lt;&gt;"",$Q1053="LINEAR"),$M1053/100,IF(AND($N1053="MND",$M1053&gt;100,$Q1053="EMBOQUE"),$M1053/100,0)),0)</f>
        <v>1</v>
      </c>
      <c r="AO1053" s="153" t="n">
        <f aca="false">IF(AND($N1053="MND",$Q1053="EMBOQUE"),$AN1053*2*2,IF(AND($N1053="VCA",$Q1053="LINEAR"),$M1053*2,IF(AND($N1053="VCA",$Q1053="PREDIAL"),0,0)))</f>
        <v>205.82</v>
      </c>
      <c r="AP1053" s="153" t="n">
        <f aca="false">IFERROR($M1053*$AF1053*$AG1053,0)</f>
        <v>91.1731145</v>
      </c>
      <c r="AQ1053" s="153" t="n">
        <f aca="false">IFERROR(IF(AND($N1053="VCA",$AH1053&gt;0),$M1053*$AG1053*$AH1053,0),0)</f>
        <v>6.68915</v>
      </c>
      <c r="AR1053" s="153" t="n">
        <f aca="false">IFERROR(IF(AND($N1053="VCA",$AJ1053&gt;0),($M1053*$AG1053*$AJ1053)-$AI1053,0),0)</f>
        <v>23.9608187850939</v>
      </c>
      <c r="AS1053" s="153" t="n">
        <f aca="false">IFERROR(IF(AND($N1053="VCA",$AP1053&gt;0),$AP1053-$AI1053-$AQ1053-$AR1053,0),0)</f>
        <v>60.20235</v>
      </c>
      <c r="AT1053" s="153" t="n">
        <f aca="false">IFERROR(IF($N1053="VCA",INDEX(APOIO_REDES!$A:$W,MATCH($C1053&amp;$I1053&amp;$H1053&amp;$N1053&amp;$O1053,APOIO_REDES!$W:$W,0),MATCH(AT$5,APOIO_REDES!$5:$5,0)),0)*$AP1053,0)</f>
        <v>0.991990471624402</v>
      </c>
      <c r="AU1053" s="153" t="n">
        <f aca="false">IFERROR(IF($N1053="VCA",INDEX(APOIO_REDES!$A:$W,MATCH($C1053&amp;$I1053&amp;$H1053&amp;$N1053&amp;$O1053,APOIO_REDES!$W:$W,0),MATCH(AU$5,APOIO_REDES!$5:$5,0)),0)*$AP1053,0)</f>
        <v>0.792176724130051</v>
      </c>
      <c r="AV1053" s="153" t="n">
        <f aca="false">IFERROR(IF($N1053="VCA",INDEX(APOIO_REDES!$A:$W,MATCH($C1053&amp;$I1053&amp;$H1053&amp;$N1053&amp;$O1053,APOIO_REDES!$W:$W,0),MATCH(AV$5,APOIO_REDES!$5:$5,0)),0)*$AP1053,0)</f>
        <v>0.109631039788486</v>
      </c>
      <c r="AW1053" s="153" t="n">
        <f aca="false">IFERROR(IF($N1053="VCA",INDEX(APOIO_REDES!$A:$W,MATCH($C1053&amp;$I1053&amp;$H1053&amp;$N1053&amp;$O1053,APOIO_REDES!$W:$W,0),MATCH(AW$5,APOIO_REDES!$5:$5,0)),0)*$AP1053,0)</f>
        <v>62.5819322365639</v>
      </c>
      <c r="AX1053" s="153" t="n">
        <f aca="false">IFERROR(IF($N1053="VCA",INDEX(APOIO_REDES!$A:$W,MATCH($C1053&amp;$I1053&amp;$H1053&amp;$N1053&amp;$O1053,APOIO_REDES!$W:$W,0),MATCH(AX$5,APOIO_REDES!$5:$5,0)),0)*$AP1053,0)</f>
        <v>8.66116115353205</v>
      </c>
      <c r="AY1053" s="153" t="n">
        <f aca="false">IFERROR(IF($N1053="VCA",INDEX(APOIO_REDES!$A:$W,MATCH($C1053&amp;$I1053&amp;$H1053&amp;$N1053&amp;$O1053,APOIO_REDES!$W:$W,0),MATCH(AY$5,APOIO_REDES!$5:$5,0)),0)*$AP1053,0)</f>
        <v>15.843524826031</v>
      </c>
      <c r="AZ1053" s="153" t="n">
        <f aca="false">IFERROR(IF($N1053="VCA",INDEX(APOIO_REDES!$A:$W,MATCH($C1053&amp;$I1053&amp;$H1053&amp;$N1053&amp;$O1053,APOIO_REDES!$W:$W,0),MATCH(AZ$5,APOIO_REDES!$5:$5,0)),0)*$AP1053,0)</f>
        <v>2.19269804833013</v>
      </c>
      <c r="BA1053" s="153" t="n">
        <f aca="false">IFERROR(IF(AND($N1053="VCA",$Q1053="LINEAR"),INDEX(APOIO_REDES!$A:$W,MATCH($C1053&amp;$I1053&amp;$H1053&amp;$N1053&amp;$O1053,APOIO_REDES!$W:$W,0),MATCH(BA$5,APOIO_REDES!$5:$5,0)),IF(AND($N1053="MND",$Q1053="EMBOQUE"),INDEX(APOIO_REDES!$A:$W,MATCH($C1053&amp;$I1053&amp;$H1053&amp;$N1053&amp;$O1053,APOIO_REDES!$W:$W,0),MATCH(BA$5,APOIO_REDES!$5:$5,0)),0))*$M1053/10,0)</f>
        <v>8.29428641773519</v>
      </c>
      <c r="BB1053" s="153" t="n">
        <f aca="false">IFERROR(IF($N1053="VCA",INDEX(APOIO_REDES!$A:$W,MATCH($C1053&amp;$I1053&amp;$H1053&amp;$N1053&amp;$O1053,APOIO_REDES!$W:$W,0),MATCH(BB$5,APOIO_REDES!$5:$5,0)),0)*($AI1053+$AQ1053+$AR1053),0)</f>
        <v>30.6337934153616</v>
      </c>
      <c r="BC1053" s="153" t="n">
        <f aca="false">IFERROR(IF($N1053="VCA",INDEX(APOIO_REDES!$A:$W,MATCH($C1053&amp;$I1053&amp;$H1053&amp;$N1053&amp;$O1053,APOIO_REDES!$W:$W,0),MATCH(BC$5,APOIO_REDES!$5:$5,0)),0)*($AI1053+$AQ1053+$AR1053),0)</f>
        <v>0.33697108463837</v>
      </c>
      <c r="BD1053" s="153" t="n">
        <f aca="false">IF(AND($N1053="VCA",$AF1053&gt;=1.25,$AF1053&lt;1.5),$M1053*$AF1053*2,0)</f>
        <v>280.53266</v>
      </c>
      <c r="BE1053" s="153" t="n">
        <f aca="false">IF(AND($N1053="VCA",$AF1053&gt;=1.5,$AF1053&lt;3),$M1053*$AF1053*2,0)</f>
        <v>0</v>
      </c>
      <c r="BF1053" s="153" t="n">
        <f aca="false">IF(AND($N1053="VCA",$AF1053&gt;=3),$M1053*$AF1053*2,0)</f>
        <v>0</v>
      </c>
      <c r="BG1053" s="153" t="n">
        <f aca="false">($BB1053+$BC1053)*$AK1053</f>
        <v>145.56259315</v>
      </c>
      <c r="BH1053" s="153" t="n">
        <f aca="false">IF(AND($M1053&lt;&gt;"",$N1053="VCA",$Q1053="LINEAR"),($M1053*2)/100,IF(AND($M1053&lt;&gt;"",$N1053="MND",$Q1053="EMBOQUE"),($AN1053*2)/100,0))</f>
        <v>2.0582</v>
      </c>
      <c r="BI1053" s="153" t="n">
        <f aca="false">IF(AND($M1053&lt;&gt;"",$N1053="VCA",$Q1053="LINEAR"),$M1053,IF(AND($M1053&lt;&gt;"",$N1053="MND",$Q1053="EMBOQUE"),$AN1053*2,0))</f>
        <v>102.91</v>
      </c>
      <c r="BJ1053" s="153" t="n">
        <f aca="false">IF(AND($M1053&lt;&gt;"",$N1053="VCA",$Q1053="LINEAR"),($M1053*6.8)/100,IF(AND($M1053&lt;&gt;"",$N1053="MND",$Q1053="EMBOQUE"),($AN1053*2*6.8)/100,0))</f>
        <v>6.99788</v>
      </c>
      <c r="BK1053" s="153" t="n">
        <f aca="false">IF(AND($M1053&lt;&gt;"",$N1053="VCA",$Q1053="LINEAR"),($M1053*2.5)/50,IF(AND($M1053&lt;&gt;"",$N1053="MND",$Q1053="EMBOQUE"),($AN1053*2*2.5)/50,0))</f>
        <v>5.1455</v>
      </c>
      <c r="BL1053" s="157" t="str">
        <f aca="false">K1053&amp;J1053</f>
        <v>Zona09REDES</v>
      </c>
      <c r="BM1053" s="152" t="s">
        <v>5109</v>
      </c>
      <c r="BN1053" s="152" t="s">
        <v>1560</v>
      </c>
      <c r="BO1053" s="152" t="s">
        <v>4454</v>
      </c>
      <c r="BP1053" s="152" t="s">
        <v>5543</v>
      </c>
      <c r="BQ1053" s="152" t="s">
        <v>5408</v>
      </c>
      <c r="BR1053" s="152" t="s">
        <v>5544</v>
      </c>
      <c r="BS1053" s="152" t="n">
        <v>203325.632</v>
      </c>
      <c r="BT1053" s="152" t="n">
        <v>8236495.581</v>
      </c>
      <c r="BU1053" s="152" t="n">
        <v>203305.865</v>
      </c>
      <c r="BV1053" s="152" t="n">
        <v>8236591.976</v>
      </c>
      <c r="BW1053" s="152" t="n">
        <v>-15.9326469</v>
      </c>
      <c r="BX1053" s="152" t="n">
        <v>-47.7711036</v>
      </c>
      <c r="BY1053" s="152" t="s">
        <v>5543</v>
      </c>
    </row>
    <row r="1054" customFormat="false" ht="13.8" hidden="false" customHeight="false" outlineLevel="0" collapsed="false">
      <c r="A1054" s="149" t="n">
        <f aca="false">IF(C1054&lt;&gt;"",ROW(A1049),"")</f>
        <v>1049</v>
      </c>
      <c r="B1054" s="150" t="str">
        <f aca="false">HYPERLINK("https://www.google.com/maps/dir/-15.917302,-47.760003/-15.9321944,-47.7712405/data=!4m3!4m2!3e0!5i1")</f>
        <v>https://www.google.com/maps/dir/-15.917302,-47.760003/-15.9321944,-47.7712405/data=!4m3!4m2!3e0!5i1</v>
      </c>
      <c r="C1054" s="151" t="s">
        <v>117</v>
      </c>
      <c r="D1054" s="152" t="s">
        <v>112</v>
      </c>
      <c r="E1054" s="152" t="s">
        <v>113</v>
      </c>
      <c r="F1054" s="152" t="s">
        <v>117</v>
      </c>
      <c r="G1054" s="152" t="s">
        <v>114</v>
      </c>
      <c r="H1054" s="152" t="n">
        <v>160</v>
      </c>
      <c r="I1054" s="152" t="s">
        <v>115</v>
      </c>
      <c r="J1054" s="152" t="s">
        <v>6</v>
      </c>
      <c r="K1054" s="152" t="s">
        <v>5106</v>
      </c>
      <c r="L1054" s="152" t="s">
        <v>120</v>
      </c>
      <c r="M1054" s="153" t="n">
        <f aca="false">215.78</f>
        <v>215.78</v>
      </c>
      <c r="N1054" s="152" t="s">
        <v>1548</v>
      </c>
      <c r="O1054" s="152" t="s">
        <v>1549</v>
      </c>
      <c r="P1054" s="152" t="s">
        <v>1550</v>
      </c>
      <c r="Q1054" s="152" t="s">
        <v>1551</v>
      </c>
      <c r="R1054" s="154" t="s">
        <v>5545</v>
      </c>
      <c r="S1054" s="154" t="s">
        <v>1593</v>
      </c>
      <c r="T1054" s="155" t="s">
        <v>4451</v>
      </c>
      <c r="U1054" s="152" t="str">
        <f aca="false">RIGHT(T1054,7)</f>
        <v>018/037</v>
      </c>
      <c r="V1054" s="152" t="s">
        <v>1555</v>
      </c>
      <c r="W1054" s="156" t="n">
        <v>45882</v>
      </c>
      <c r="X1054" s="152" t="s">
        <v>1594</v>
      </c>
      <c r="Y1054" s="152"/>
      <c r="Z1054" s="152" t="s">
        <v>1557</v>
      </c>
      <c r="AA1054" s="153" t="n">
        <v>4.8</v>
      </c>
      <c r="AB1054" s="151" t="s">
        <v>5546</v>
      </c>
      <c r="AC1054" s="151" t="s">
        <v>505</v>
      </c>
      <c r="AD1054" s="151" t="str">
        <f aca="false">CONCATENATE($C1054,$I1054,$H1054,$N1054,$J1054,$K1054)</f>
        <v>TUBO PEADPEAD160VCAREDESZona09</v>
      </c>
      <c r="AE1054" s="153" t="n">
        <f aca="false">IFERROR(INDEX(APOIO_REDES!$A:$W,MATCH($C1054&amp;$I1054&amp;$H1054&amp;$N1054&amp;$O1054,APOIO_REDES!$W:$W,0),MATCH(AE$5,APOIO_REDES!$5:$5,0)),0)</f>
        <v>1.2</v>
      </c>
      <c r="AF1054" s="153" t="n">
        <f aca="false">IFERROR(INDEX(APOIO_REDES!$A:$W,MATCH($C1054&amp;$I1054&amp;$H1054&amp;$N1054&amp;$O1054,APOIO_REDES!$W:$W,0),MATCH(AF$5,APOIO_REDES!$5:$5,0)),0)</f>
        <v>1.46</v>
      </c>
      <c r="AG1054" s="153" t="n">
        <f aca="false">IFERROR(INDEX(APOIO_REDES!$A:$W,MATCH($C1054&amp;$I1054&amp;$H1054&amp;$N1054&amp;$O1054,APOIO_REDES!$W:$W,0),MATCH(AG$5,APOIO_REDES!$5:$5,0)),0)</f>
        <v>0.75</v>
      </c>
      <c r="AH1054" s="153" t="n">
        <f aca="false">IFERROR(INDEX(APOIO_REDES!$A:$W,MATCH($C1054&amp;$I1054&amp;$H1054&amp;$N1054&amp;$O1054,APOIO_REDES!$W:$W,0),MATCH(AH$5,APOIO_REDES!$5:$5,0)),0)</f>
        <v>0.1</v>
      </c>
      <c r="AI1054" s="153" t="n">
        <f aca="false">IFERROR(IF($H1054&lt;&gt;"",(((($H1054/1000)/2)^2)*PI()*$M1054),0),0)</f>
        <v>4.33851432186628</v>
      </c>
      <c r="AJ1054" s="153" t="n">
        <f aca="false">IFERROR(IF(AND($H1054&lt;&gt;"",$I1054="FoFo",OR($N1054="MND",$N1054="VCA"),$Q1054="LINEAR"),0,IF(AND($H1054&lt;&gt;"",$I1054="PEAD",$N1054="VCA",$Q1054="LINEAR"),($H1054/1000)+0.3,IF(AND($H1054&lt;&gt;"",$I1054="PEAD",$N1054="MND",$Q1054="EMBOQUE"),0,IF(AND($H1054&lt;&gt;"",$I1054="PVC",$N1054="VCA",$Q1054="LINEAR"),($H1054/1000)+0.2,IF(AND($H1054&lt;&gt;"",$I1054="PVC",$N1054="MND",$Q1054="EMBOQUE"),0,IF(AND($H1054&lt;&gt;"",$I1054="PEAD",$N1054="VCA",$Q1054="PREDIAL"),0,0)))))),0)</f>
        <v>0.46</v>
      </c>
      <c r="AK1054" s="153" t="n">
        <f aca="false">IF(AA1054&lt;&gt;"",AA1054,0)</f>
        <v>4.8</v>
      </c>
      <c r="AL1054" s="153" t="n">
        <f aca="false">IF(AND($N1054="MND",$Q1054="EMBOQUE"),$M1054,IF(AND($N1054="VCA",$Q1054="LINEAR"),$M1054,IF(AND($N1054="VCA",$Q1054="PREDIAL"),0,0)))</f>
        <v>215.78</v>
      </c>
      <c r="AM1054" s="153" t="n">
        <f aca="false">IF(AND($N1054="MND",$Q1054="EMBOQUE"),$M1054,IF(AND($N1054="VCA",$Q1054="LINEAR"),$M1054,IF(AND($N1054="VCA",$Q1054="PREDIAL"),0,0)))</f>
        <v>215.78</v>
      </c>
      <c r="AN1054" s="153" t="n">
        <f aca="false">ROUND(IF(AND($N1054="VCA",$M1054&lt;&gt;"",$Q1054="LINEAR"),$M1054/100,IF(AND($N1054="MND",$M1054&gt;100,$Q1054="EMBOQUE"),$M1054/100,0)),0)</f>
        <v>2</v>
      </c>
      <c r="AO1054" s="153" t="n">
        <f aca="false">IF(AND($N1054="MND",$Q1054="EMBOQUE"),$AN1054*2*2,IF(AND($N1054="VCA",$Q1054="LINEAR"),$M1054*2,IF(AND($N1054="VCA",$Q1054="PREDIAL"),0,0)))</f>
        <v>431.56</v>
      </c>
      <c r="AP1054" s="153" t="n">
        <f aca="false">IFERROR($M1054*$AF1054*$AG1054,0)</f>
        <v>236.2791</v>
      </c>
      <c r="AQ1054" s="153" t="n">
        <f aca="false">IFERROR(IF(AND($N1054="VCA",$AH1054&gt;0),$M1054*$AG1054*$AH1054,0),0)</f>
        <v>16.1835</v>
      </c>
      <c r="AR1054" s="153" t="n">
        <f aca="false">IFERROR(IF(AND($N1054="VCA",$AJ1054&gt;0),($M1054*$AG1054*$AJ1054)-$AI1054,0),0)</f>
        <v>70.1055856781337</v>
      </c>
      <c r="AS1054" s="153" t="n">
        <f aca="false">IFERROR(IF(AND($N1054="VCA",$AP1054&gt;0),$AP1054-$AI1054-$AQ1054-$AR1054,0),0)</f>
        <v>145.6515</v>
      </c>
      <c r="AT1054" s="153" t="n">
        <f aca="false">IFERROR(IF($N1054="VCA",INDEX(APOIO_REDES!$A:$W,MATCH($C1054&amp;$I1054&amp;$H1054&amp;$N1054&amp;$O1054,APOIO_REDES!$W:$W,0),MATCH(AT$5,APOIO_REDES!$5:$5,0)),0)*$AP1054,0)</f>
        <v>2.57078654304377</v>
      </c>
      <c r="AU1054" s="153" t="n">
        <f aca="false">IFERROR(IF($N1054="VCA",INDEX(APOIO_REDES!$A:$W,MATCH($C1054&amp;$I1054&amp;$H1054&amp;$N1054&amp;$O1054,APOIO_REDES!$W:$W,0),MATCH(AU$5,APOIO_REDES!$5:$5,0)),0)*$AP1054,0)</f>
        <v>2.0529605075452</v>
      </c>
      <c r="AV1054" s="153" t="n">
        <f aca="false">IFERROR(IF($N1054="VCA",INDEX(APOIO_REDES!$A:$W,MATCH($C1054&amp;$I1054&amp;$H1054&amp;$N1054&amp;$O1054,APOIO_REDES!$W:$W,0),MATCH(AV$5,APOIO_REDES!$5:$5,0)),0)*$AP1054,0)</f>
        <v>0.28411361787238</v>
      </c>
      <c r="AW1054" s="153" t="n">
        <f aca="false">IFERROR(IF($N1054="VCA",INDEX(APOIO_REDES!$A:$W,MATCH($C1054&amp;$I1054&amp;$H1054&amp;$N1054&amp;$O1054,APOIO_REDES!$W:$W,0),MATCH(AW$5,APOIO_REDES!$5:$5,0)),0)*$AP1054,0)</f>
        <v>162.183805019804</v>
      </c>
      <c r="AX1054" s="153" t="n">
        <f aca="false">IFERROR(IF($N1054="VCA",INDEX(APOIO_REDES!$A:$W,MATCH($C1054&amp;$I1054&amp;$H1054&amp;$N1054&amp;$O1054,APOIO_REDES!$W:$W,0),MATCH(AX$5,APOIO_REDES!$5:$5,0)),0)*$AP1054,0)</f>
        <v>22.4457766254274</v>
      </c>
      <c r="AY1054" s="153" t="n">
        <f aca="false">IFERROR(IF($N1054="VCA",INDEX(APOIO_REDES!$A:$W,MATCH($C1054&amp;$I1054&amp;$H1054&amp;$N1054&amp;$O1054,APOIO_REDES!$W:$W,0),MATCH(AY$5,APOIO_REDES!$5:$5,0)),0)*$AP1054,0)</f>
        <v>41.0591851254819</v>
      </c>
      <c r="AZ1054" s="153" t="n">
        <f aca="false">IFERROR(IF($N1054="VCA",INDEX(APOIO_REDES!$A:$W,MATCH($C1054&amp;$I1054&amp;$H1054&amp;$N1054&amp;$O1054,APOIO_REDES!$W:$W,0),MATCH(AZ$5,APOIO_REDES!$5:$5,0)),0)*$AP1054,0)</f>
        <v>5.68247256082494</v>
      </c>
      <c r="BA1054" s="153" t="n">
        <f aca="false">IFERROR(IF(AND($N1054="VCA",$Q1054="LINEAR"),INDEX(APOIO_REDES!$A:$W,MATCH($C1054&amp;$I1054&amp;$H1054&amp;$N1054&amp;$O1054,APOIO_REDES!$W:$W,0),MATCH(BA$5,APOIO_REDES!$5:$5,0)),IF(AND($N1054="MND",$Q1054="EMBOQUE"),INDEX(APOIO_REDES!$A:$W,MATCH($C1054&amp;$I1054&amp;$H1054&amp;$N1054&amp;$O1054,APOIO_REDES!$W:$W,0),MATCH(BA$5,APOIO_REDES!$5:$5,0)),0))*$M1054/10,0)</f>
        <v>17.391323712165</v>
      </c>
      <c r="BB1054" s="153" t="n">
        <f aca="false">IFERROR(IF($N1054="VCA",INDEX(APOIO_REDES!$A:$W,MATCH($C1054&amp;$I1054&amp;$H1054&amp;$N1054&amp;$O1054,APOIO_REDES!$W:$W,0),MATCH(BB$5,APOIO_REDES!$5:$5,0)),0)*($AI1054+$AQ1054+$AR1054),0)</f>
        <v>89.6415448875997</v>
      </c>
      <c r="BC1054" s="153" t="n">
        <f aca="false">IFERROR(IF($N1054="VCA",INDEX(APOIO_REDES!$A:$W,MATCH($C1054&amp;$I1054&amp;$H1054&amp;$N1054&amp;$O1054,APOIO_REDES!$W:$W,0),MATCH(BC$5,APOIO_REDES!$5:$5,0)),0)*($AI1054+$AQ1054+$AR1054),0)</f>
        <v>0.986055112400352</v>
      </c>
      <c r="BD1054" s="153" t="n">
        <f aca="false">IF(AND($N1054="VCA",$AF1054&gt;=1.25,$AF1054&lt;1.5),$M1054*$AF1054*2,0)</f>
        <v>630.0776</v>
      </c>
      <c r="BE1054" s="153" t="n">
        <f aca="false">IF(AND($N1054="VCA",$AF1054&gt;=1.5,$AF1054&lt;3),$M1054*$AF1054*2,0)</f>
        <v>0</v>
      </c>
      <c r="BF1054" s="153" t="n">
        <f aca="false">IF(AND($N1054="VCA",$AF1054&gt;=3),$M1054*$AF1054*2,0)</f>
        <v>0</v>
      </c>
      <c r="BG1054" s="153" t="n">
        <f aca="false">($BB1054+$BC1054)*$AK1054</f>
        <v>435.01248</v>
      </c>
      <c r="BH1054" s="153" t="n">
        <f aca="false">IF(AND($M1054&lt;&gt;"",$N1054="VCA",$Q1054="LINEAR"),($M1054*2)/100,IF(AND($M1054&lt;&gt;"",$N1054="MND",$Q1054="EMBOQUE"),($AN1054*2)/100,0))</f>
        <v>4.3156</v>
      </c>
      <c r="BI1054" s="153" t="n">
        <f aca="false">IF(AND($M1054&lt;&gt;"",$N1054="VCA",$Q1054="LINEAR"),$M1054,IF(AND($M1054&lt;&gt;"",$N1054="MND",$Q1054="EMBOQUE"),$AN1054*2,0))</f>
        <v>215.78</v>
      </c>
      <c r="BJ1054" s="153" t="n">
        <f aca="false">IF(AND($M1054&lt;&gt;"",$N1054="VCA",$Q1054="LINEAR"),($M1054*6.8)/100,IF(AND($M1054&lt;&gt;"",$N1054="MND",$Q1054="EMBOQUE"),($AN1054*2*6.8)/100,0))</f>
        <v>14.67304</v>
      </c>
      <c r="BK1054" s="153" t="n">
        <f aca="false">IF(AND($M1054&lt;&gt;"",$N1054="VCA",$Q1054="LINEAR"),($M1054*2.5)/50,IF(AND($M1054&lt;&gt;"",$N1054="MND",$Q1054="EMBOQUE"),($AN1054*2*2.5)/50,0))</f>
        <v>10.789</v>
      </c>
      <c r="BL1054" s="157" t="str">
        <f aca="false">K1054&amp;J1054</f>
        <v>Zona09REDES</v>
      </c>
      <c r="BM1054" s="152" t="s">
        <v>5109</v>
      </c>
      <c r="BN1054" s="152" t="s">
        <v>1560</v>
      </c>
      <c r="BO1054" s="152" t="s">
        <v>4454</v>
      </c>
      <c r="BP1054" s="152" t="s">
        <v>5404</v>
      </c>
      <c r="BQ1054" s="152" t="s">
        <v>5547</v>
      </c>
      <c r="BR1054" s="152" t="s">
        <v>5548</v>
      </c>
      <c r="BS1054" s="152" t="n">
        <v>203301.918</v>
      </c>
      <c r="BT1054" s="152" t="n">
        <v>8236594.167</v>
      </c>
      <c r="BU1054" s="152" t="n">
        <v>203207.908</v>
      </c>
      <c r="BV1054" s="152" t="n">
        <v>8236413.89</v>
      </c>
      <c r="BW1054" s="152" t="n">
        <v>-15.9329476</v>
      </c>
      <c r="BX1054" s="152" t="n">
        <v>-47.7718788</v>
      </c>
      <c r="BY1054" s="152" t="s">
        <v>5404</v>
      </c>
    </row>
    <row r="1055" customFormat="false" ht="13.8" hidden="false" customHeight="false" outlineLevel="0" collapsed="false">
      <c r="A1055" s="149" t="n">
        <f aca="false">IF(C1055&lt;&gt;"",ROW(A1050),"")</f>
        <v>1050</v>
      </c>
      <c r="B1055" s="150" t="str">
        <f aca="false">HYPERLINK("https://www.google.com/maps/dir/-15.917302,-47.760003/-15.9326155,-47.7715529/data=!4m3!4m2!3e0!5i2")</f>
        <v>https://www.google.com/maps/dir/-15.917302,-47.760003/-15.9326155,-47.7715529/data=!4m3!4m2!3e0!5i2</v>
      </c>
      <c r="C1055" s="151" t="s">
        <v>117</v>
      </c>
      <c r="D1055" s="152" t="s">
        <v>112</v>
      </c>
      <c r="E1055" s="152" t="s">
        <v>113</v>
      </c>
      <c r="F1055" s="152" t="s">
        <v>117</v>
      </c>
      <c r="G1055" s="152" t="s">
        <v>782</v>
      </c>
      <c r="H1055" s="152" t="n">
        <v>63</v>
      </c>
      <c r="I1055" s="152" t="s">
        <v>115</v>
      </c>
      <c r="J1055" s="152" t="s">
        <v>6</v>
      </c>
      <c r="K1055" s="152" t="s">
        <v>5106</v>
      </c>
      <c r="L1055" s="152" t="s">
        <v>120</v>
      </c>
      <c r="M1055" s="153" t="n">
        <f aca="false">84.66+4.04</f>
        <v>88.7</v>
      </c>
      <c r="N1055" s="152" t="s">
        <v>1548</v>
      </c>
      <c r="O1055" s="152" t="s">
        <v>1549</v>
      </c>
      <c r="P1055" s="152" t="s">
        <v>1550</v>
      </c>
      <c r="Q1055" s="152" t="s">
        <v>1551</v>
      </c>
      <c r="R1055" s="154" t="s">
        <v>5549</v>
      </c>
      <c r="S1055" s="154" t="s">
        <v>1553</v>
      </c>
      <c r="T1055" s="155" t="s">
        <v>4451</v>
      </c>
      <c r="U1055" s="152" t="str">
        <f aca="false">RIGHT(T1055,7)</f>
        <v>018/037</v>
      </c>
      <c r="V1055" s="152" t="s">
        <v>1555</v>
      </c>
      <c r="W1055" s="156" t="n">
        <v>45882</v>
      </c>
      <c r="X1055" s="152" t="s">
        <v>1594</v>
      </c>
      <c r="Y1055" s="152" t="s">
        <v>5232</v>
      </c>
      <c r="Z1055" s="152" t="s">
        <v>1557</v>
      </c>
      <c r="AA1055" s="153" t="n">
        <v>4.7</v>
      </c>
      <c r="AB1055" s="151" t="s">
        <v>5550</v>
      </c>
      <c r="AC1055" s="151" t="s">
        <v>186</v>
      </c>
      <c r="AD1055" s="151" t="str">
        <f aca="false">CONCATENATE($C1055,$I1055,$H1055,$N1055,$J1055,$K1055)</f>
        <v>TUBO PEADPEAD63VCAREDESZona09</v>
      </c>
      <c r="AE1055" s="153" t="n">
        <f aca="false">IFERROR(INDEX(APOIO_REDES!$A:$W,MATCH($C1055&amp;$I1055&amp;$H1055&amp;$N1055&amp;$O1055,APOIO_REDES!$W:$W,0),MATCH(AE$5,APOIO_REDES!$5:$5,0)),0)</f>
        <v>1.2</v>
      </c>
      <c r="AF1055" s="153" t="n">
        <f aca="false">IFERROR(INDEX(APOIO_REDES!$A:$W,MATCH($C1055&amp;$I1055&amp;$H1055&amp;$N1055&amp;$O1055,APOIO_REDES!$W:$W,0),MATCH(AF$5,APOIO_REDES!$5:$5,0)),0)</f>
        <v>1.363</v>
      </c>
      <c r="AG1055" s="153" t="n">
        <f aca="false">IFERROR(INDEX(APOIO_REDES!$A:$W,MATCH($C1055&amp;$I1055&amp;$H1055&amp;$N1055&amp;$O1055,APOIO_REDES!$W:$W,0),MATCH(AG$5,APOIO_REDES!$5:$5,0)),0)</f>
        <v>0.65</v>
      </c>
      <c r="AH1055" s="153" t="n">
        <f aca="false">IFERROR(INDEX(APOIO_REDES!$A:$W,MATCH($C1055&amp;$I1055&amp;$H1055&amp;$N1055&amp;$O1055,APOIO_REDES!$W:$W,0),MATCH(AH$5,APOIO_REDES!$5:$5,0)),0)</f>
        <v>0.1</v>
      </c>
      <c r="AI1055" s="153" t="n">
        <f aca="false">IFERROR(IF($H1055&lt;&gt;"",(((($H1055/1000)/2)^2)*PI()*$M1055),0),0)</f>
        <v>0.276499659043521</v>
      </c>
      <c r="AJ1055" s="153" t="n">
        <f aca="false">IFERROR(IF(AND($H1055&lt;&gt;"",$I1055="FoFo",OR($N1055="MND",$N1055="VCA"),$Q1055="LINEAR"),0,IF(AND($H1055&lt;&gt;"",$I1055="PEAD",$N1055="VCA",$Q1055="LINEAR"),($H1055/1000)+0.3,IF(AND($H1055&lt;&gt;"",$I1055="PEAD",$N1055="MND",$Q1055="EMBOQUE"),0,IF(AND($H1055&lt;&gt;"",$I1055="PVC",$N1055="VCA",$Q1055="LINEAR"),($H1055/1000)+0.2,IF(AND($H1055&lt;&gt;"",$I1055="PVC",$N1055="MND",$Q1055="EMBOQUE"),0,IF(AND($H1055&lt;&gt;"",$I1055="PEAD",$N1055="VCA",$Q1055="PREDIAL"),0,0)))))),0)</f>
        <v>0.363</v>
      </c>
      <c r="AK1055" s="153" t="n">
        <f aca="false">IF(AA1055&lt;&gt;"",AA1055,0)</f>
        <v>4.7</v>
      </c>
      <c r="AL1055" s="153" t="n">
        <f aca="false">IF(AND($N1055="MND",$Q1055="EMBOQUE"),$M1055,IF(AND($N1055="VCA",$Q1055="LINEAR"),$M1055,IF(AND($N1055="VCA",$Q1055="PREDIAL"),0,0)))</f>
        <v>88.7</v>
      </c>
      <c r="AM1055" s="153" t="n">
        <f aca="false">IF(AND($N1055="MND",$Q1055="EMBOQUE"),$M1055,IF(AND($N1055="VCA",$Q1055="LINEAR"),$M1055,IF(AND($N1055="VCA",$Q1055="PREDIAL"),0,0)))</f>
        <v>88.7</v>
      </c>
      <c r="AN1055" s="153" t="n">
        <f aca="false">ROUND(IF(AND($N1055="VCA",$M1055&lt;&gt;"",$Q1055="LINEAR"),$M1055/100,IF(AND($N1055="MND",$M1055&gt;100,$Q1055="EMBOQUE"),$M1055/100,0)),0)</f>
        <v>1</v>
      </c>
      <c r="AO1055" s="153" t="n">
        <f aca="false">IF(AND($N1055="MND",$Q1055="EMBOQUE"),$AN1055*2*2,IF(AND($N1055="VCA",$Q1055="LINEAR"),$M1055*2,IF(AND($N1055="VCA",$Q1055="PREDIAL"),0,0)))</f>
        <v>177.4</v>
      </c>
      <c r="AP1055" s="153" t="n">
        <f aca="false">IFERROR($M1055*$AF1055*$AG1055,0)</f>
        <v>78.583765</v>
      </c>
      <c r="AQ1055" s="153" t="n">
        <f aca="false">IFERROR(IF(AND($N1055="VCA",$AH1055&gt;0),$M1055*$AG1055*$AH1055,0),0)</f>
        <v>5.7655</v>
      </c>
      <c r="AR1055" s="153" t="n">
        <f aca="false">IFERROR(IF(AND($N1055="VCA",$AJ1055&gt;0),($M1055*$AG1055*$AJ1055)-$AI1055,0),0)</f>
        <v>20.6522653409565</v>
      </c>
      <c r="AS1055" s="153" t="n">
        <f aca="false">IFERROR(IF(AND($N1055="VCA",$AP1055&gt;0),$AP1055-$AI1055-$AQ1055-$AR1055,0),0)</f>
        <v>51.8895</v>
      </c>
      <c r="AT1055" s="153" t="n">
        <f aca="false">IFERROR(IF($N1055="VCA",INDEX(APOIO_REDES!$A:$W,MATCH($C1055&amp;$I1055&amp;$H1055&amp;$N1055&amp;$O1055,APOIO_REDES!$W:$W,0),MATCH(AT$5,APOIO_REDES!$5:$5,0)),0)*$AP1055,0)</f>
        <v>0.855014622807156</v>
      </c>
      <c r="AU1055" s="153" t="n">
        <f aca="false">IFERROR(IF($N1055="VCA",INDEX(APOIO_REDES!$A:$W,MATCH($C1055&amp;$I1055&amp;$H1055&amp;$N1055&amp;$O1055,APOIO_REDES!$W:$W,0),MATCH(AU$5,APOIO_REDES!$5:$5,0)),0)*$AP1055,0)</f>
        <v>0.682791521041061</v>
      </c>
      <c r="AV1055" s="153" t="n">
        <f aca="false">IFERROR(IF($N1055="VCA",INDEX(APOIO_REDES!$A:$W,MATCH($C1055&amp;$I1055&amp;$H1055&amp;$N1055&amp;$O1055,APOIO_REDES!$W:$W,0),MATCH(AV$5,APOIO_REDES!$5:$5,0)),0)*$AP1055,0)</f>
        <v>0.0944929863884825</v>
      </c>
      <c r="AW1055" s="153" t="n">
        <f aca="false">IFERROR(IF($N1055="VCA",INDEX(APOIO_REDES!$A:$W,MATCH($C1055&amp;$I1055&amp;$H1055&amp;$N1055&amp;$O1055,APOIO_REDES!$W:$W,0),MATCH(AW$5,APOIO_REDES!$5:$5,0)),0)*$AP1055,0)</f>
        <v>53.9405051927239</v>
      </c>
      <c r="AX1055" s="153" t="n">
        <f aca="false">IFERROR(IF($N1055="VCA",INDEX(APOIO_REDES!$A:$W,MATCH($C1055&amp;$I1055&amp;$H1055&amp;$N1055&amp;$O1055,APOIO_REDES!$W:$W,0),MATCH(AX$5,APOIO_REDES!$5:$5,0)),0)*$AP1055,0)</f>
        <v>7.46521226623547</v>
      </c>
      <c r="AY1055" s="153" t="n">
        <f aca="false">IFERROR(IF($N1055="VCA",INDEX(APOIO_REDES!$A:$W,MATCH($C1055&amp;$I1055&amp;$H1055&amp;$N1055&amp;$O1055,APOIO_REDES!$W:$W,0),MATCH(AY$5,APOIO_REDES!$5:$5,0)),0)*$AP1055,0)</f>
        <v>13.6558220976479</v>
      </c>
      <c r="AZ1055" s="153" t="n">
        <f aca="false">IFERROR(IF($N1055="VCA",INDEX(APOIO_REDES!$A:$W,MATCH($C1055&amp;$I1055&amp;$H1055&amp;$N1055&amp;$O1055,APOIO_REDES!$W:$W,0),MATCH(AZ$5,APOIO_REDES!$5:$5,0)),0)*$AP1055,0)</f>
        <v>1.88992631315599</v>
      </c>
      <c r="BA1055" s="153" t="n">
        <f aca="false">IFERROR(IF(AND($N1055="VCA",$Q1055="LINEAR"),INDEX(APOIO_REDES!$A:$W,MATCH($C1055&amp;$I1055&amp;$H1055&amp;$N1055&amp;$O1055,APOIO_REDES!$W:$W,0),MATCH(BA$5,APOIO_REDES!$5:$5,0)),IF(AND($N1055="MND",$Q1055="EMBOQUE"),INDEX(APOIO_REDES!$A:$W,MATCH($C1055&amp;$I1055&amp;$H1055&amp;$N1055&amp;$O1055,APOIO_REDES!$W:$W,0),MATCH(BA$5,APOIO_REDES!$5:$5,0)),0))*$M1055/10,0)</f>
        <v>7.14899626132651</v>
      </c>
      <c r="BB1055" s="153" t="n">
        <f aca="false">IFERROR(IF($N1055="VCA",INDEX(APOIO_REDES!$A:$W,MATCH($C1055&amp;$I1055&amp;$H1055&amp;$N1055&amp;$O1055,APOIO_REDES!$W:$W,0),MATCH(BB$5,APOIO_REDES!$5:$5,0)),0)*($AI1055+$AQ1055+$AR1055),0)</f>
        <v>26.4038234957009</v>
      </c>
      <c r="BC1055" s="153" t="n">
        <f aca="false">IFERROR(IF($N1055="VCA",INDEX(APOIO_REDES!$A:$W,MATCH($C1055&amp;$I1055&amp;$H1055&amp;$N1055&amp;$O1055,APOIO_REDES!$W:$W,0),MATCH(BC$5,APOIO_REDES!$5:$5,0)),0)*($AI1055+$AQ1055+$AR1055),0)</f>
        <v>0.290441504299129</v>
      </c>
      <c r="BD1055" s="153" t="n">
        <f aca="false">IF(AND($N1055="VCA",$AF1055&gt;=1.25,$AF1055&lt;1.5),$M1055*$AF1055*2,0)</f>
        <v>241.7962</v>
      </c>
      <c r="BE1055" s="153" t="n">
        <f aca="false">IF(AND($N1055="VCA",$AF1055&gt;=1.5,$AF1055&lt;3),$M1055*$AF1055*2,0)</f>
        <v>0</v>
      </c>
      <c r="BF1055" s="153" t="n">
        <f aca="false">IF(AND($N1055="VCA",$AF1055&gt;=3),$M1055*$AF1055*2,0)</f>
        <v>0</v>
      </c>
      <c r="BG1055" s="153" t="n">
        <f aca="false">($BB1055+$BC1055)*$AK1055</f>
        <v>125.4630455</v>
      </c>
      <c r="BH1055" s="153" t="n">
        <f aca="false">IF(AND($M1055&lt;&gt;"",$N1055="VCA",$Q1055="LINEAR"),($M1055*2)/100,IF(AND($M1055&lt;&gt;"",$N1055="MND",$Q1055="EMBOQUE"),($AN1055*2)/100,0))</f>
        <v>1.774</v>
      </c>
      <c r="BI1055" s="153" t="n">
        <f aca="false">IF(AND($M1055&lt;&gt;"",$N1055="VCA",$Q1055="LINEAR"),$M1055,IF(AND($M1055&lt;&gt;"",$N1055="MND",$Q1055="EMBOQUE"),$AN1055*2,0))</f>
        <v>88.7</v>
      </c>
      <c r="BJ1055" s="153" t="n">
        <f aca="false">IF(AND($M1055&lt;&gt;"",$N1055="VCA",$Q1055="LINEAR"),($M1055*6.8)/100,IF(AND($M1055&lt;&gt;"",$N1055="MND",$Q1055="EMBOQUE"),($AN1055*2*6.8)/100,0))</f>
        <v>6.0316</v>
      </c>
      <c r="BK1055" s="153" t="n">
        <f aca="false">IF(AND($M1055&lt;&gt;"",$N1055="VCA",$Q1055="LINEAR"),($M1055*2.5)/50,IF(AND($M1055&lt;&gt;"",$N1055="MND",$Q1055="EMBOQUE"),($AN1055*2*2.5)/50,0))</f>
        <v>4.435</v>
      </c>
      <c r="BL1055" s="157" t="str">
        <f aca="false">K1055&amp;J1055</f>
        <v>Zona09REDES</v>
      </c>
      <c r="BM1055" s="152" t="s">
        <v>5109</v>
      </c>
      <c r="BN1055" s="152" t="s">
        <v>1560</v>
      </c>
      <c r="BO1055" s="152" t="s">
        <v>4454</v>
      </c>
      <c r="BP1055" s="152" t="s">
        <v>5538</v>
      </c>
      <c r="BQ1055" s="152" t="s">
        <v>5551</v>
      </c>
      <c r="BR1055" s="152" t="s">
        <v>5552</v>
      </c>
      <c r="BS1055" s="152" t="n">
        <v>203269.066</v>
      </c>
      <c r="BT1055" s="152" t="n">
        <v>8236547.094</v>
      </c>
      <c r="BU1055" s="152" t="n">
        <v>203281.109</v>
      </c>
      <c r="BV1055" s="152" t="n">
        <v>8236463.31</v>
      </c>
      <c r="BW1055" s="152" t="n">
        <v>-15.9329952</v>
      </c>
      <c r="BX1055" s="152" t="n">
        <v>-47.7715075</v>
      </c>
      <c r="BY1055" s="152" t="s">
        <v>5538</v>
      </c>
    </row>
    <row r="1056" customFormat="false" ht="13.8" hidden="false" customHeight="false" outlineLevel="0" collapsed="false">
      <c r="A1056" s="149" t="n">
        <f aca="false">IF(C1056&lt;&gt;"",ROW(A1051),"")</f>
        <v>1051</v>
      </c>
      <c r="B1056" s="150" t="str">
        <f aca="false">HYPERLINK("https://www.google.com/maps/dir/-15.917302,-47.760003/-15.9326155,-47.7715529/data=!4m3!4m2!3e0!5i2")</f>
        <v>https://www.google.com/maps/dir/-15.917302,-47.760003/-15.9326155,-47.7715529/data=!4m3!4m2!3e0!5i2</v>
      </c>
      <c r="C1056" s="151" t="s">
        <v>117</v>
      </c>
      <c r="D1056" s="152" t="s">
        <v>112</v>
      </c>
      <c r="E1056" s="152" t="s">
        <v>113</v>
      </c>
      <c r="F1056" s="152" t="s">
        <v>117</v>
      </c>
      <c r="G1056" s="152" t="s">
        <v>782</v>
      </c>
      <c r="H1056" s="152" t="n">
        <v>63</v>
      </c>
      <c r="I1056" s="152" t="s">
        <v>115</v>
      </c>
      <c r="J1056" s="152" t="s">
        <v>6</v>
      </c>
      <c r="K1056" s="152" t="s">
        <v>5106</v>
      </c>
      <c r="L1056" s="152" t="s">
        <v>120</v>
      </c>
      <c r="M1056" s="153" t="n">
        <f aca="false">113.48+3.94</f>
        <v>117.42</v>
      </c>
      <c r="N1056" s="152" t="s">
        <v>1548</v>
      </c>
      <c r="O1056" s="152" t="s">
        <v>1549</v>
      </c>
      <c r="P1056" s="152" t="s">
        <v>1550</v>
      </c>
      <c r="Q1056" s="152" t="s">
        <v>1551</v>
      </c>
      <c r="R1056" s="154" t="s">
        <v>5553</v>
      </c>
      <c r="S1056" s="154" t="s">
        <v>1553</v>
      </c>
      <c r="T1056" s="155" t="s">
        <v>4451</v>
      </c>
      <c r="U1056" s="152" t="str">
        <f aca="false">RIGHT(T1056,7)</f>
        <v>018/037</v>
      </c>
      <c r="V1056" s="152" t="s">
        <v>1555</v>
      </c>
      <c r="W1056" s="156" t="n">
        <v>45882</v>
      </c>
      <c r="X1056" s="152" t="s">
        <v>1594</v>
      </c>
      <c r="Y1056" s="152" t="s">
        <v>5232</v>
      </c>
      <c r="Z1056" s="152" t="s">
        <v>1557</v>
      </c>
      <c r="AA1056" s="153" t="n">
        <v>4.7</v>
      </c>
      <c r="AB1056" s="151" t="s">
        <v>5554</v>
      </c>
      <c r="AC1056" s="151" t="s">
        <v>186</v>
      </c>
      <c r="AD1056" s="151" t="str">
        <f aca="false">CONCATENATE($C1056,$I1056,$H1056,$N1056,$J1056,$K1056)</f>
        <v>TUBO PEADPEAD63VCAREDESZona09</v>
      </c>
      <c r="AE1056" s="153" t="n">
        <f aca="false">IFERROR(INDEX(APOIO_REDES!$A:$W,MATCH($C1056&amp;$I1056&amp;$H1056&amp;$N1056&amp;$O1056,APOIO_REDES!$W:$W,0),MATCH(AE$5,APOIO_REDES!$5:$5,0)),0)</f>
        <v>1.2</v>
      </c>
      <c r="AF1056" s="153" t="n">
        <f aca="false">IFERROR(INDEX(APOIO_REDES!$A:$W,MATCH($C1056&amp;$I1056&amp;$H1056&amp;$N1056&amp;$O1056,APOIO_REDES!$W:$W,0),MATCH(AF$5,APOIO_REDES!$5:$5,0)),0)</f>
        <v>1.363</v>
      </c>
      <c r="AG1056" s="153" t="n">
        <f aca="false">IFERROR(INDEX(APOIO_REDES!$A:$W,MATCH($C1056&amp;$I1056&amp;$H1056&amp;$N1056&amp;$O1056,APOIO_REDES!$W:$W,0),MATCH(AG$5,APOIO_REDES!$5:$5,0)),0)</f>
        <v>0.65</v>
      </c>
      <c r="AH1056" s="153" t="n">
        <f aca="false">IFERROR(INDEX(APOIO_REDES!$A:$W,MATCH($C1056&amp;$I1056&amp;$H1056&amp;$N1056&amp;$O1056,APOIO_REDES!$W:$W,0),MATCH(AH$5,APOIO_REDES!$5:$5,0)),0)</f>
        <v>0.1</v>
      </c>
      <c r="AI1056" s="153" t="n">
        <f aca="false">IFERROR(IF($H1056&lt;&gt;"",(((($H1056/1000)/2)^2)*PI()*$M1056),0),0)</f>
        <v>0.366026944361784</v>
      </c>
      <c r="AJ1056" s="153" t="n">
        <f aca="false">IFERROR(IF(AND($H1056&lt;&gt;"",$I1056="FoFo",OR($N1056="MND",$N1056="VCA"),$Q1056="LINEAR"),0,IF(AND($H1056&lt;&gt;"",$I1056="PEAD",$N1056="VCA",$Q1056="LINEAR"),($H1056/1000)+0.3,IF(AND($H1056&lt;&gt;"",$I1056="PEAD",$N1056="MND",$Q1056="EMBOQUE"),0,IF(AND($H1056&lt;&gt;"",$I1056="PVC",$N1056="VCA",$Q1056="LINEAR"),($H1056/1000)+0.2,IF(AND($H1056&lt;&gt;"",$I1056="PVC",$N1056="MND",$Q1056="EMBOQUE"),0,IF(AND($H1056&lt;&gt;"",$I1056="PEAD",$N1056="VCA",$Q1056="PREDIAL"),0,0)))))),0)</f>
        <v>0.363</v>
      </c>
      <c r="AK1056" s="153" t="n">
        <f aca="false">IF(AA1056&lt;&gt;"",AA1056,0)</f>
        <v>4.7</v>
      </c>
      <c r="AL1056" s="153" t="n">
        <f aca="false">IF(AND($N1056="MND",$Q1056="EMBOQUE"),$M1056,IF(AND($N1056="VCA",$Q1056="LINEAR"),$M1056,IF(AND($N1056="VCA",$Q1056="PREDIAL"),0,0)))</f>
        <v>117.42</v>
      </c>
      <c r="AM1056" s="153" t="n">
        <f aca="false">IF(AND($N1056="MND",$Q1056="EMBOQUE"),$M1056,IF(AND($N1056="VCA",$Q1056="LINEAR"),$M1056,IF(AND($N1056="VCA",$Q1056="PREDIAL"),0,0)))</f>
        <v>117.42</v>
      </c>
      <c r="AN1056" s="153" t="n">
        <f aca="false">ROUND(IF(AND($N1056="VCA",$M1056&lt;&gt;"",$Q1056="LINEAR"),$M1056/100,IF(AND($N1056="MND",$M1056&gt;100,$Q1056="EMBOQUE"),$M1056/100,0)),0)</f>
        <v>1</v>
      </c>
      <c r="AO1056" s="153" t="n">
        <f aca="false">IF(AND($N1056="MND",$Q1056="EMBOQUE"),$AN1056*2*2,IF(AND($N1056="VCA",$Q1056="LINEAR"),$M1056*2,IF(AND($N1056="VCA",$Q1056="PREDIAL"),0,0)))</f>
        <v>234.84</v>
      </c>
      <c r="AP1056" s="153" t="n">
        <f aca="false">IFERROR($M1056*$AF1056*$AG1056,0)</f>
        <v>104.028249</v>
      </c>
      <c r="AQ1056" s="153" t="n">
        <f aca="false">IFERROR(IF(AND($N1056="VCA",$AH1056&gt;0),$M1056*$AG1056*$AH1056,0),0)</f>
        <v>7.6323</v>
      </c>
      <c r="AR1056" s="153" t="n">
        <f aca="false">IFERROR(IF(AND($N1056="VCA",$AJ1056&gt;0),($M1056*$AG1056*$AJ1056)-$AI1056,0),0)</f>
        <v>27.3392220556382</v>
      </c>
      <c r="AS1056" s="153" t="n">
        <f aca="false">IFERROR(IF(AND($N1056="VCA",$AP1056&gt;0),$AP1056-$AI1056-$AQ1056-$AR1056,0),0)</f>
        <v>68.6907</v>
      </c>
      <c r="AT1056" s="153" t="n">
        <f aca="false">IFERROR(IF($N1056="VCA",INDEX(APOIO_REDES!$A:$W,MATCH($C1056&amp;$I1056&amp;$H1056&amp;$N1056&amp;$O1056,APOIO_REDES!$W:$W,0),MATCH(AT$5,APOIO_REDES!$5:$5,0)),0)*$AP1056,0)</f>
        <v>1.13185813990999</v>
      </c>
      <c r="AU1056" s="153" t="n">
        <f aca="false">IFERROR(IF($N1056="VCA",INDEX(APOIO_REDES!$A:$W,MATCH($C1056&amp;$I1056&amp;$H1056&amp;$N1056&amp;$O1056,APOIO_REDES!$W:$W,0),MATCH(AU$5,APOIO_REDES!$5:$5,0)),0)*$AP1056,0)</f>
        <v>0.903871255926058</v>
      </c>
      <c r="AV1056" s="153" t="n">
        <f aca="false">IFERROR(IF($N1056="VCA",INDEX(APOIO_REDES!$A:$W,MATCH($C1056&amp;$I1056&amp;$H1056&amp;$N1056&amp;$O1056,APOIO_REDES!$W:$W,0),MATCH(AV$5,APOIO_REDES!$5:$5,0)),0)*$AP1056,0)</f>
        <v>0.1250886861526</v>
      </c>
      <c r="AW1056" s="153" t="n">
        <f aca="false">IFERROR(IF($N1056="VCA",INDEX(APOIO_REDES!$A:$W,MATCH($C1056&amp;$I1056&amp;$H1056&amp;$N1056&amp;$O1056,APOIO_REDES!$W:$W,0),MATCH(AW$5,APOIO_REDES!$5:$5,0)),0)*$AP1056,0)</f>
        <v>71.4057961638066</v>
      </c>
      <c r="AX1056" s="153" t="n">
        <f aca="false">IFERROR(IF($N1056="VCA",INDEX(APOIO_REDES!$A:$W,MATCH($C1056&amp;$I1056&amp;$H1056&amp;$N1056&amp;$O1056,APOIO_REDES!$W:$W,0),MATCH(AX$5,APOIO_REDES!$5:$5,0)),0)*$AP1056,0)</f>
        <v>9.88235878581025</v>
      </c>
      <c r="AY1056" s="153" t="n">
        <f aca="false">IFERROR(IF($N1056="VCA",INDEX(APOIO_REDES!$A:$W,MATCH($C1056&amp;$I1056&amp;$H1056&amp;$N1056&amp;$O1056,APOIO_REDES!$W:$W,0),MATCH(AY$5,APOIO_REDES!$5:$5,0)),0)*$AP1056,0)</f>
        <v>18.0774141004038</v>
      </c>
      <c r="AZ1056" s="153" t="n">
        <f aca="false">IFERROR(IF($N1056="VCA",INDEX(APOIO_REDES!$A:$W,MATCH($C1056&amp;$I1056&amp;$H1056&amp;$N1056&amp;$O1056,APOIO_REDES!$W:$W,0),MATCH(AZ$5,APOIO_REDES!$5:$5,0)),0)*$AP1056,0)</f>
        <v>2.50186186799071</v>
      </c>
      <c r="BA1056" s="153" t="n">
        <f aca="false">IFERROR(IF(AND($N1056="VCA",$Q1056="LINEAR"),INDEX(APOIO_REDES!$A:$W,MATCH($C1056&amp;$I1056&amp;$H1056&amp;$N1056&amp;$O1056,APOIO_REDES!$W:$W,0),MATCH(BA$5,APOIO_REDES!$5:$5,0)),IF(AND($N1056="MND",$Q1056="EMBOQUE"),INDEX(APOIO_REDES!$A:$W,MATCH($C1056&amp;$I1056&amp;$H1056&amp;$N1056&amp;$O1056,APOIO_REDES!$W:$W,0),MATCH(BA$5,APOIO_REDES!$5:$5,0)),0))*$M1056/10,0)</f>
        <v>9.4637558174178</v>
      </c>
      <c r="BB1056" s="153" t="n">
        <f aca="false">IFERROR(IF($N1056="VCA",INDEX(APOIO_REDES!$A:$W,MATCH($C1056&amp;$I1056&amp;$H1056&amp;$N1056&amp;$O1056,APOIO_REDES!$W:$W,0),MATCH(BB$5,APOIO_REDES!$5:$5,0)),0)*($AI1056+$AQ1056+$AR1056),0)</f>
        <v>34.9530660074994</v>
      </c>
      <c r="BC1056" s="153" t="n">
        <f aca="false">IFERROR(IF($N1056="VCA",INDEX(APOIO_REDES!$A:$W,MATCH($C1056&amp;$I1056&amp;$H1056&amp;$N1056&amp;$O1056,APOIO_REDES!$W:$W,0),MATCH(BC$5,APOIO_REDES!$5:$5,0)),0)*($AI1056+$AQ1056+$AR1056),0)</f>
        <v>0.384482992500606</v>
      </c>
      <c r="BD1056" s="153" t="n">
        <f aca="false">IF(AND($N1056="VCA",$AF1056&gt;=1.25,$AF1056&lt;1.5),$M1056*$AF1056*2,0)</f>
        <v>320.08692</v>
      </c>
      <c r="BE1056" s="153" t="n">
        <f aca="false">IF(AND($N1056="VCA",$AF1056&gt;=1.5,$AF1056&lt;3),$M1056*$AF1056*2,0)</f>
        <v>0</v>
      </c>
      <c r="BF1056" s="153" t="n">
        <f aca="false">IF(AND($N1056="VCA",$AF1056&gt;=3),$M1056*$AF1056*2,0)</f>
        <v>0</v>
      </c>
      <c r="BG1056" s="153" t="n">
        <f aca="false">($BB1056+$BC1056)*$AK1056</f>
        <v>166.0864803</v>
      </c>
      <c r="BH1056" s="153" t="n">
        <f aca="false">IF(AND($M1056&lt;&gt;"",$N1056="VCA",$Q1056="LINEAR"),($M1056*2)/100,IF(AND($M1056&lt;&gt;"",$N1056="MND",$Q1056="EMBOQUE"),($AN1056*2)/100,0))</f>
        <v>2.3484</v>
      </c>
      <c r="BI1056" s="153" t="n">
        <f aca="false">IF(AND($M1056&lt;&gt;"",$N1056="VCA",$Q1056="LINEAR"),$M1056,IF(AND($M1056&lt;&gt;"",$N1056="MND",$Q1056="EMBOQUE"),$AN1056*2,0))</f>
        <v>117.42</v>
      </c>
      <c r="BJ1056" s="153" t="n">
        <f aca="false">IF(AND($M1056&lt;&gt;"",$N1056="VCA",$Q1056="LINEAR"),($M1056*6.8)/100,IF(AND($M1056&lt;&gt;"",$N1056="MND",$Q1056="EMBOQUE"),($AN1056*2*6.8)/100,0))</f>
        <v>7.98456</v>
      </c>
      <c r="BK1056" s="153" t="n">
        <f aca="false">IF(AND($M1056&lt;&gt;"",$N1056="VCA",$Q1056="LINEAR"),($M1056*2.5)/50,IF(AND($M1056&lt;&gt;"",$N1056="MND",$Q1056="EMBOQUE"),($AN1056*2*2.5)/50,0))</f>
        <v>5.871</v>
      </c>
      <c r="BL1056" s="157" t="str">
        <f aca="false">K1056&amp;J1056</f>
        <v>Zona09REDES</v>
      </c>
      <c r="BM1056" s="152" t="s">
        <v>5109</v>
      </c>
      <c r="BN1056" s="152" t="s">
        <v>1560</v>
      </c>
      <c r="BO1056" s="152" t="s">
        <v>4454</v>
      </c>
      <c r="BP1056" s="152" t="s">
        <v>5538</v>
      </c>
      <c r="BQ1056" s="152" t="s">
        <v>5555</v>
      </c>
      <c r="BR1056" s="152" t="s">
        <v>5556</v>
      </c>
      <c r="BS1056" s="152" t="n">
        <v>203269.066</v>
      </c>
      <c r="BT1056" s="152" t="n">
        <v>8236547.094</v>
      </c>
      <c r="BU1056" s="152" t="n">
        <v>203233.641</v>
      </c>
      <c r="BV1056" s="152" t="n">
        <v>8236446.777</v>
      </c>
      <c r="BW1056" s="152" t="n">
        <v>-15.9330153</v>
      </c>
      <c r="BX1056" s="152" t="n">
        <v>-47.7718842</v>
      </c>
      <c r="BY1056" s="152" t="s">
        <v>5538</v>
      </c>
    </row>
    <row r="1057" customFormat="false" ht="13.8" hidden="false" customHeight="false" outlineLevel="0" collapsed="false">
      <c r="A1057" s="149" t="n">
        <f aca="false">IF(C1057&lt;&gt;"",ROW(A1052),"")</f>
        <v>1052</v>
      </c>
      <c r="B1057" s="150" t="str">
        <f aca="false">HYPERLINK("https://www.google.com/maps/dir/-15.917302,-47.760003/-15.9338110,-47.7721402/data=!4m3!4m2!3e0!5i2")</f>
        <v>https://www.google.com/maps/dir/-15.917302,-47.760003/-15.9338110,-47.7721402/data=!4m3!4m2!3e0!5i2</v>
      </c>
      <c r="C1057" s="151" t="s">
        <v>117</v>
      </c>
      <c r="D1057" s="152" t="s">
        <v>112</v>
      </c>
      <c r="E1057" s="152" t="s">
        <v>113</v>
      </c>
      <c r="F1057" s="152" t="s">
        <v>117</v>
      </c>
      <c r="G1057" s="152" t="s">
        <v>114</v>
      </c>
      <c r="H1057" s="152" t="n">
        <v>160</v>
      </c>
      <c r="I1057" s="152" t="s">
        <v>115</v>
      </c>
      <c r="J1057" s="152" t="s">
        <v>6</v>
      </c>
      <c r="K1057" s="152" t="s">
        <v>5106</v>
      </c>
      <c r="L1057" s="152" t="s">
        <v>120</v>
      </c>
      <c r="M1057" s="153" t="n">
        <f aca="false">4.47</f>
        <v>4.47</v>
      </c>
      <c r="N1057" s="152" t="s">
        <v>1548</v>
      </c>
      <c r="O1057" s="152" t="s">
        <v>1549</v>
      </c>
      <c r="P1057" s="152" t="s">
        <v>1550</v>
      </c>
      <c r="Q1057" s="152" t="s">
        <v>1551</v>
      </c>
      <c r="R1057" s="154" t="s">
        <v>5557</v>
      </c>
      <c r="S1057" s="154" t="s">
        <v>1593</v>
      </c>
      <c r="T1057" s="155" t="s">
        <v>4451</v>
      </c>
      <c r="U1057" s="152" t="str">
        <f aca="false">RIGHT(T1057,7)</f>
        <v>018/037</v>
      </c>
      <c r="V1057" s="152" t="s">
        <v>1555</v>
      </c>
      <c r="W1057" s="156" t="n">
        <v>45882</v>
      </c>
      <c r="X1057" s="152" t="s">
        <v>1594</v>
      </c>
      <c r="Y1057" s="152" t="s">
        <v>5558</v>
      </c>
      <c r="Z1057" s="152" t="s">
        <v>1557</v>
      </c>
      <c r="AA1057" s="153" t="n">
        <v>4.9</v>
      </c>
      <c r="AB1057" s="151" t="s">
        <v>5559</v>
      </c>
      <c r="AC1057" s="151" t="s">
        <v>505</v>
      </c>
      <c r="AD1057" s="151" t="str">
        <f aca="false">CONCATENATE($C1057,$I1057,$H1057,$N1057,$J1057,$K1057)</f>
        <v>TUBO PEADPEAD160VCAREDESZona09</v>
      </c>
      <c r="AE1057" s="153" t="n">
        <f aca="false">IFERROR(INDEX(APOIO_REDES!$A:$W,MATCH($C1057&amp;$I1057&amp;$H1057&amp;$N1057&amp;$O1057,APOIO_REDES!$W:$W,0),MATCH(AE$5,APOIO_REDES!$5:$5,0)),0)</f>
        <v>1.2</v>
      </c>
      <c r="AF1057" s="153" t="n">
        <f aca="false">IFERROR(INDEX(APOIO_REDES!$A:$W,MATCH($C1057&amp;$I1057&amp;$H1057&amp;$N1057&amp;$O1057,APOIO_REDES!$W:$W,0),MATCH(AF$5,APOIO_REDES!$5:$5,0)),0)</f>
        <v>1.46</v>
      </c>
      <c r="AG1057" s="153" t="n">
        <f aca="false">IFERROR(INDEX(APOIO_REDES!$A:$W,MATCH($C1057&amp;$I1057&amp;$H1057&amp;$N1057&amp;$O1057,APOIO_REDES!$W:$W,0),MATCH(AG$5,APOIO_REDES!$5:$5,0)),0)</f>
        <v>0.75</v>
      </c>
      <c r="AH1057" s="153" t="n">
        <f aca="false">IFERROR(INDEX(APOIO_REDES!$A:$W,MATCH($C1057&amp;$I1057&amp;$H1057&amp;$N1057&amp;$O1057,APOIO_REDES!$W:$W,0),MATCH(AH$5,APOIO_REDES!$5:$5,0)),0)</f>
        <v>0.1</v>
      </c>
      <c r="AI1057" s="153" t="n">
        <f aca="false">IFERROR(IF($H1057&lt;&gt;"",(((($H1057/1000)/2)^2)*PI()*$M1057),0),0)</f>
        <v>0.0898746826338968</v>
      </c>
      <c r="AJ1057" s="153" t="n">
        <f aca="false">IFERROR(IF(AND($H1057&lt;&gt;"",$I1057="FoFo",OR($N1057="MND",$N1057="VCA"),$Q1057="LINEAR"),0,IF(AND($H1057&lt;&gt;"",$I1057="PEAD",$N1057="VCA",$Q1057="LINEAR"),($H1057/1000)+0.3,IF(AND($H1057&lt;&gt;"",$I1057="PEAD",$N1057="MND",$Q1057="EMBOQUE"),0,IF(AND($H1057&lt;&gt;"",$I1057="PVC",$N1057="VCA",$Q1057="LINEAR"),($H1057/1000)+0.2,IF(AND($H1057&lt;&gt;"",$I1057="PVC",$N1057="MND",$Q1057="EMBOQUE"),0,IF(AND($H1057&lt;&gt;"",$I1057="PEAD",$N1057="VCA",$Q1057="PREDIAL"),0,0)))))),0)</f>
        <v>0.46</v>
      </c>
      <c r="AK1057" s="153" t="n">
        <f aca="false">IF(AA1057&lt;&gt;"",AA1057,0)</f>
        <v>4.9</v>
      </c>
      <c r="AL1057" s="153" t="n">
        <f aca="false">IF(AND($N1057="MND",$Q1057="EMBOQUE"),$M1057,IF(AND($N1057="VCA",$Q1057="LINEAR"),$M1057,IF(AND($N1057="VCA",$Q1057="PREDIAL"),0,0)))</f>
        <v>4.47</v>
      </c>
      <c r="AM1057" s="153" t="n">
        <f aca="false">IF(AND($N1057="MND",$Q1057="EMBOQUE"),$M1057,IF(AND($N1057="VCA",$Q1057="LINEAR"),$M1057,IF(AND($N1057="VCA",$Q1057="PREDIAL"),0,0)))</f>
        <v>4.47</v>
      </c>
      <c r="AN1057" s="153" t="n">
        <f aca="false">ROUND(IF(AND($N1057="VCA",$M1057&lt;&gt;"",$Q1057="LINEAR"),$M1057/100,IF(AND($N1057="MND",$M1057&gt;100,$Q1057="EMBOQUE"),$M1057/100,0)),0)</f>
        <v>0</v>
      </c>
      <c r="AO1057" s="153" t="n">
        <f aca="false">IF(AND($N1057="MND",$Q1057="EMBOQUE"),$AN1057*2*2,IF(AND($N1057="VCA",$Q1057="LINEAR"),$M1057*2,IF(AND($N1057="VCA",$Q1057="PREDIAL"),0,0)))</f>
        <v>8.94</v>
      </c>
      <c r="AP1057" s="153" t="n">
        <f aca="false">IFERROR($M1057*$AF1057*$AG1057,0)</f>
        <v>4.89465</v>
      </c>
      <c r="AQ1057" s="153" t="n">
        <f aca="false">IFERROR(IF(AND($N1057="VCA",$AH1057&gt;0),$M1057*$AG1057*$AH1057,0),0)</f>
        <v>0.33525</v>
      </c>
      <c r="AR1057" s="153" t="n">
        <f aca="false">IFERROR(IF(AND($N1057="VCA",$AJ1057&gt;0),($M1057*$AG1057*$AJ1057)-$AI1057,0),0)</f>
        <v>1.4522753173661</v>
      </c>
      <c r="AS1057" s="153" t="n">
        <f aca="false">IFERROR(IF(AND($N1057="VCA",$AP1057&gt;0),$AP1057-$AI1057-$AQ1057-$AR1057,0),0)</f>
        <v>3.01725</v>
      </c>
      <c r="AT1057" s="153" t="n">
        <f aca="false">IFERROR(IF($N1057="VCA",INDEX(APOIO_REDES!$A:$W,MATCH($C1057&amp;$I1057&amp;$H1057&amp;$N1057&amp;$O1057,APOIO_REDES!$W:$W,0),MATCH(AT$5,APOIO_REDES!$5:$5,0)),0)*$AP1057,0)</f>
        <v>0.0532552407424491</v>
      </c>
      <c r="AU1057" s="153" t="n">
        <f aca="false">IFERROR(IF($N1057="VCA",INDEX(APOIO_REDES!$A:$W,MATCH($C1057&amp;$I1057&amp;$H1057&amp;$N1057&amp;$O1057,APOIO_REDES!$W:$W,0),MATCH(AU$5,APOIO_REDES!$5:$5,0)),0)*$AP1057,0)</f>
        <v>0.0425281929220829</v>
      </c>
      <c r="AV1057" s="153" t="n">
        <f aca="false">IFERROR(IF($N1057="VCA",INDEX(APOIO_REDES!$A:$W,MATCH($C1057&amp;$I1057&amp;$H1057&amp;$N1057&amp;$O1057,APOIO_REDES!$W:$W,0),MATCH(AV$5,APOIO_REDES!$5:$5,0)),0)*$AP1057,0)</f>
        <v>0.00588556804101185</v>
      </c>
      <c r="AW1057" s="153" t="n">
        <f aca="false">IFERROR(IF($N1057="VCA",INDEX(APOIO_REDES!$A:$W,MATCH($C1057&amp;$I1057&amp;$H1057&amp;$N1057&amp;$O1057,APOIO_REDES!$W:$W,0),MATCH(AW$5,APOIO_REDES!$5:$5,0)),0)*$AP1057,0)</f>
        <v>3.35972568559888</v>
      </c>
      <c r="AX1057" s="153" t="n">
        <f aca="false">IFERROR(IF($N1057="VCA",INDEX(APOIO_REDES!$A:$W,MATCH($C1057&amp;$I1057&amp;$H1057&amp;$N1057&amp;$O1057,APOIO_REDES!$W:$W,0),MATCH(AX$5,APOIO_REDES!$5:$5,0)),0)*$AP1057,0)</f>
        <v>0.464976464527113</v>
      </c>
      <c r="AY1057" s="153" t="n">
        <f aca="false">IFERROR(IF($N1057="VCA",INDEX(APOIO_REDES!$A:$W,MATCH($C1057&amp;$I1057&amp;$H1057&amp;$N1057&amp;$O1057,APOIO_REDES!$W:$W,0),MATCH(AY$5,APOIO_REDES!$5:$5,0)),0)*$AP1057,0)</f>
        <v>0.850563340026434</v>
      </c>
      <c r="AZ1057" s="153" t="n">
        <f aca="false">IFERROR(IF($N1057="VCA",INDEX(APOIO_REDES!$A:$W,MATCH($C1057&amp;$I1057&amp;$H1057&amp;$N1057&amp;$O1057,APOIO_REDES!$W:$W,0),MATCH(AZ$5,APOIO_REDES!$5:$5,0)),0)*$AP1057,0)</f>
        <v>0.117715508142031</v>
      </c>
      <c r="BA1057" s="153" t="n">
        <f aca="false">IFERROR(IF(AND($N1057="VCA",$Q1057="LINEAR"),INDEX(APOIO_REDES!$A:$W,MATCH($C1057&amp;$I1057&amp;$H1057&amp;$N1057&amp;$O1057,APOIO_REDES!$W:$W,0),MATCH(BA$5,APOIO_REDES!$5:$5,0)),IF(AND($N1057="MND",$Q1057="EMBOQUE"),INDEX(APOIO_REDES!$A:$W,MATCH($C1057&amp;$I1057&amp;$H1057&amp;$N1057&amp;$O1057,APOIO_REDES!$W:$W,0),MATCH(BA$5,APOIO_REDES!$5:$5,0)),0))*$M1057/10,0)</f>
        <v>0.360270724781618</v>
      </c>
      <c r="BB1057" s="153" t="n">
        <f aca="false">IFERROR(IF($N1057="VCA",INDEX(APOIO_REDES!$A:$W,MATCH($C1057&amp;$I1057&amp;$H1057&amp;$N1057&amp;$O1057,APOIO_REDES!$W:$W,0),MATCH(BB$5,APOIO_REDES!$5:$5,0)),0)*($AI1057+$AQ1057+$AR1057),0)</f>
        <v>1.85697333231796</v>
      </c>
      <c r="BC1057" s="153" t="n">
        <f aca="false">IFERROR(IF($N1057="VCA",INDEX(APOIO_REDES!$A:$W,MATCH($C1057&amp;$I1057&amp;$H1057&amp;$N1057&amp;$O1057,APOIO_REDES!$W:$W,0),MATCH(BC$5,APOIO_REDES!$5:$5,0)),0)*($AI1057+$AQ1057+$AR1057),0)</f>
        <v>0.0204266676820353</v>
      </c>
      <c r="BD1057" s="153" t="n">
        <f aca="false">IF(AND($N1057="VCA",$AF1057&gt;=1.25,$AF1057&lt;1.5),$M1057*$AF1057*2,0)</f>
        <v>13.0524</v>
      </c>
      <c r="BE1057" s="153" t="n">
        <f aca="false">IF(AND($N1057="VCA",$AF1057&gt;=1.5,$AF1057&lt;3),$M1057*$AF1057*2,0)</f>
        <v>0</v>
      </c>
      <c r="BF1057" s="153" t="n">
        <f aca="false">IF(AND($N1057="VCA",$AF1057&gt;=3),$M1057*$AF1057*2,0)</f>
        <v>0</v>
      </c>
      <c r="BG1057" s="153" t="n">
        <f aca="false">($BB1057+$BC1057)*$AK1057</f>
        <v>9.19926</v>
      </c>
      <c r="BH1057" s="153" t="n">
        <f aca="false">IF(AND($M1057&lt;&gt;"",$N1057="VCA",$Q1057="LINEAR"),($M1057*2)/100,IF(AND($M1057&lt;&gt;"",$N1057="MND",$Q1057="EMBOQUE"),($AN1057*2)/100,0))</f>
        <v>0.0894</v>
      </c>
      <c r="BI1057" s="153" t="n">
        <f aca="false">IF(AND($M1057&lt;&gt;"",$N1057="VCA",$Q1057="LINEAR"),$M1057,IF(AND($M1057&lt;&gt;"",$N1057="MND",$Q1057="EMBOQUE"),$AN1057*2,0))</f>
        <v>4.47</v>
      </c>
      <c r="BJ1057" s="153" t="n">
        <f aca="false">IF(AND($M1057&lt;&gt;"",$N1057="VCA",$Q1057="LINEAR"),($M1057*6.8)/100,IF(AND($M1057&lt;&gt;"",$N1057="MND",$Q1057="EMBOQUE"),($AN1057*2*6.8)/100,0))</f>
        <v>0.30396</v>
      </c>
      <c r="BK1057" s="153" t="n">
        <f aca="false">IF(AND($M1057&lt;&gt;"",$N1057="VCA",$Q1057="LINEAR"),($M1057*2.5)/50,IF(AND($M1057&lt;&gt;"",$N1057="MND",$Q1057="EMBOQUE"),($AN1057*2*2.5)/50,0))</f>
        <v>0.2235</v>
      </c>
      <c r="BL1057" s="157" t="str">
        <f aca="false">K1057&amp;J1057</f>
        <v>Zona09REDES</v>
      </c>
      <c r="BM1057" s="152" t="s">
        <v>5109</v>
      </c>
      <c r="BN1057" s="152" t="s">
        <v>1560</v>
      </c>
      <c r="BO1057" s="152" t="s">
        <v>4454</v>
      </c>
      <c r="BP1057" s="152" t="s">
        <v>5547</v>
      </c>
      <c r="BQ1057" s="152" t="s">
        <v>5456</v>
      </c>
      <c r="BR1057" s="152" t="s">
        <v>5458</v>
      </c>
      <c r="BS1057" s="152" t="n">
        <v>203207.908</v>
      </c>
      <c r="BT1057" s="152" t="n">
        <v>8236413.89</v>
      </c>
      <c r="BU1057" s="152" t="n">
        <v>203203.487</v>
      </c>
      <c r="BV1057" s="152" t="n">
        <v>8236413.228</v>
      </c>
      <c r="BW1057" s="152" t="n">
        <v>-15.9338137</v>
      </c>
      <c r="BX1057" s="152" t="n">
        <v>-47.7721608</v>
      </c>
      <c r="BY1057" s="152" t="s">
        <v>5547</v>
      </c>
    </row>
    <row r="1058" customFormat="false" ht="13.8" hidden="false" customHeight="false" outlineLevel="0" collapsed="false">
      <c r="A1058" s="149" t="n">
        <f aca="false">IF(C1058&lt;&gt;"",ROW(A1053),"")</f>
        <v>1053</v>
      </c>
      <c r="B1058" s="150" t="str">
        <f aca="false">HYPERLINK("https://www.google.com/maps/dir/-15.917302,-47.760003/-15.9338110,-47.7721402/data=!4m3!4m2!3e0!5i2")</f>
        <v>https://www.google.com/maps/dir/-15.917302,-47.760003/-15.9338110,-47.7721402/data=!4m3!4m2!3e0!5i2</v>
      </c>
      <c r="C1058" s="151" t="s">
        <v>117</v>
      </c>
      <c r="D1058" s="152" t="s">
        <v>112</v>
      </c>
      <c r="E1058" s="152" t="s">
        <v>113</v>
      </c>
      <c r="F1058" s="152" t="s">
        <v>117</v>
      </c>
      <c r="G1058" s="152" t="s">
        <v>782</v>
      </c>
      <c r="H1058" s="152" t="n">
        <v>110</v>
      </c>
      <c r="I1058" s="152" t="s">
        <v>115</v>
      </c>
      <c r="J1058" s="152" t="s">
        <v>6</v>
      </c>
      <c r="K1058" s="152" t="s">
        <v>5106</v>
      </c>
      <c r="L1058" s="152" t="s">
        <v>120</v>
      </c>
      <c r="M1058" s="153" t="n">
        <f aca="false">123.55</f>
        <v>123.55</v>
      </c>
      <c r="N1058" s="152" t="s">
        <v>1548</v>
      </c>
      <c r="O1058" s="152" t="s">
        <v>1549</v>
      </c>
      <c r="P1058" s="152" t="s">
        <v>1550</v>
      </c>
      <c r="Q1058" s="152" t="s">
        <v>1551</v>
      </c>
      <c r="R1058" s="154" t="s">
        <v>5560</v>
      </c>
      <c r="S1058" s="154" t="s">
        <v>1593</v>
      </c>
      <c r="T1058" s="155" t="s">
        <v>4451</v>
      </c>
      <c r="U1058" s="152" t="str">
        <f aca="false">RIGHT(T1058,7)</f>
        <v>018/037</v>
      </c>
      <c r="V1058" s="152" t="s">
        <v>1555</v>
      </c>
      <c r="W1058" s="156" t="n">
        <v>45882</v>
      </c>
      <c r="X1058" s="152" t="s">
        <v>1594</v>
      </c>
      <c r="Y1058" s="152" t="s">
        <v>5558</v>
      </c>
      <c r="Z1058" s="152" t="s">
        <v>1557</v>
      </c>
      <c r="AA1058" s="153" t="n">
        <v>4.9</v>
      </c>
      <c r="AB1058" s="151" t="s">
        <v>5561</v>
      </c>
      <c r="AC1058" s="151" t="s">
        <v>502</v>
      </c>
      <c r="AD1058" s="151" t="str">
        <f aca="false">CONCATENATE($C1058,$I1058,$H1058,$N1058,$J1058,$K1058)</f>
        <v>TUBO PEADPEAD110VCAREDESZona09</v>
      </c>
      <c r="AE1058" s="153" t="n">
        <f aca="false">IFERROR(INDEX(APOIO_REDES!$A:$W,MATCH($C1058&amp;$I1058&amp;$H1058&amp;$N1058&amp;$O1058,APOIO_REDES!$W:$W,0),MATCH(AE$5,APOIO_REDES!$5:$5,0)),0)</f>
        <v>1.2</v>
      </c>
      <c r="AF1058" s="153" t="n">
        <f aca="false">IFERROR(INDEX(APOIO_REDES!$A:$W,MATCH($C1058&amp;$I1058&amp;$H1058&amp;$N1058&amp;$O1058,APOIO_REDES!$W:$W,0),MATCH(AF$5,APOIO_REDES!$5:$5,0)),0)</f>
        <v>1.41</v>
      </c>
      <c r="AG1058" s="153" t="n">
        <f aca="false">IFERROR(INDEX(APOIO_REDES!$A:$W,MATCH($C1058&amp;$I1058&amp;$H1058&amp;$N1058&amp;$O1058,APOIO_REDES!$W:$W,0),MATCH(AG$5,APOIO_REDES!$5:$5,0)),0)</f>
        <v>0.75</v>
      </c>
      <c r="AH1058" s="153" t="n">
        <f aca="false">IFERROR(INDEX(APOIO_REDES!$A:$W,MATCH($C1058&amp;$I1058&amp;$H1058&amp;$N1058&amp;$O1058,APOIO_REDES!$W:$W,0),MATCH(AH$5,APOIO_REDES!$5:$5,0)),0)</f>
        <v>0.1</v>
      </c>
      <c r="AI1058" s="153" t="n">
        <f aca="false">IFERROR(IF($H1058&lt;&gt;"",(((($H1058/1000)/2)^2)*PI()*$M1058),0),0)</f>
        <v>1.17413491136183</v>
      </c>
      <c r="AJ1058" s="153" t="n">
        <f aca="false">IFERROR(IF(AND($H1058&lt;&gt;"",$I1058="FoFo",OR($N1058="MND",$N1058="VCA"),$Q1058="LINEAR"),0,IF(AND($H1058&lt;&gt;"",$I1058="PEAD",$N1058="VCA",$Q1058="LINEAR"),($H1058/1000)+0.3,IF(AND($H1058&lt;&gt;"",$I1058="PEAD",$N1058="MND",$Q1058="EMBOQUE"),0,IF(AND($H1058&lt;&gt;"",$I1058="PVC",$N1058="VCA",$Q1058="LINEAR"),($H1058/1000)+0.2,IF(AND($H1058&lt;&gt;"",$I1058="PVC",$N1058="MND",$Q1058="EMBOQUE"),0,IF(AND($H1058&lt;&gt;"",$I1058="PEAD",$N1058="VCA",$Q1058="PREDIAL"),0,0)))))),0)</f>
        <v>0.41</v>
      </c>
      <c r="AK1058" s="153" t="n">
        <f aca="false">IF(AA1058&lt;&gt;"",AA1058,0)</f>
        <v>4.9</v>
      </c>
      <c r="AL1058" s="153" t="n">
        <f aca="false">IF(AND($N1058="MND",$Q1058="EMBOQUE"),$M1058,IF(AND($N1058="VCA",$Q1058="LINEAR"),$M1058,IF(AND($N1058="VCA",$Q1058="PREDIAL"),0,0)))</f>
        <v>123.55</v>
      </c>
      <c r="AM1058" s="153" t="n">
        <f aca="false">IF(AND($N1058="MND",$Q1058="EMBOQUE"),$M1058,IF(AND($N1058="VCA",$Q1058="LINEAR"),$M1058,IF(AND($N1058="VCA",$Q1058="PREDIAL"),0,0)))</f>
        <v>123.55</v>
      </c>
      <c r="AN1058" s="153" t="n">
        <f aca="false">ROUND(IF(AND($N1058="VCA",$M1058&lt;&gt;"",$Q1058="LINEAR"),$M1058/100,IF(AND($N1058="MND",$M1058&gt;100,$Q1058="EMBOQUE"),$M1058/100,0)),0)</f>
        <v>1</v>
      </c>
      <c r="AO1058" s="153" t="n">
        <f aca="false">IF(AND($N1058="MND",$Q1058="EMBOQUE"),$AN1058*2*2,IF(AND($N1058="VCA",$Q1058="LINEAR"),$M1058*2,IF(AND($N1058="VCA",$Q1058="PREDIAL"),0,0)))</f>
        <v>247.1</v>
      </c>
      <c r="AP1058" s="153" t="n">
        <f aca="false">IFERROR($M1058*$AF1058*$AG1058,0)</f>
        <v>130.654125</v>
      </c>
      <c r="AQ1058" s="153" t="n">
        <f aca="false">IFERROR(IF(AND($N1058="VCA",$AH1058&gt;0),$M1058*$AG1058*$AH1058,0),0)</f>
        <v>9.26625</v>
      </c>
      <c r="AR1058" s="153" t="n">
        <f aca="false">IFERROR(IF(AND($N1058="VCA",$AJ1058&gt;0),($M1058*$AG1058*$AJ1058)-$AI1058,0),0)</f>
        <v>36.8174900886382</v>
      </c>
      <c r="AS1058" s="153" t="n">
        <f aca="false">IFERROR(IF(AND($N1058="VCA",$AP1058&gt;0),$AP1058-$AI1058-$AQ1058-$AR1058,0),0)</f>
        <v>83.39625</v>
      </c>
      <c r="AT1058" s="153" t="n">
        <f aca="false">IFERROR(IF($N1058="VCA",INDEX(APOIO_REDES!$A:$W,MATCH($C1058&amp;$I1058&amp;$H1058&amp;$N1058&amp;$O1058,APOIO_REDES!$W:$W,0),MATCH(AT$5,APOIO_REDES!$5:$5,0)),0)*$AP1058,0)</f>
        <v>1.42155555164701</v>
      </c>
      <c r="AU1058" s="153" t="n">
        <f aca="false">IFERROR(IF($N1058="VCA",INDEX(APOIO_REDES!$A:$W,MATCH($C1058&amp;$I1058&amp;$H1058&amp;$N1058&amp;$O1058,APOIO_REDES!$W:$W,0),MATCH(AU$5,APOIO_REDES!$5:$5,0)),0)*$AP1058,0)</f>
        <v>1.1352157629383</v>
      </c>
      <c r="AV1058" s="153" t="n">
        <f aca="false">IFERROR(IF($N1058="VCA",INDEX(APOIO_REDES!$A:$W,MATCH($C1058&amp;$I1058&amp;$H1058&amp;$N1058&amp;$O1058,APOIO_REDES!$W:$W,0),MATCH(AV$5,APOIO_REDES!$5:$5,0)),0)*$AP1058,0)</f>
        <v>0.157104949797507</v>
      </c>
      <c r="AW1058" s="153" t="n">
        <f aca="false">IFERROR(IF($N1058="VCA",INDEX(APOIO_REDES!$A:$W,MATCH($C1058&amp;$I1058&amp;$H1058&amp;$N1058&amp;$O1058,APOIO_REDES!$W:$W,0),MATCH(AW$5,APOIO_REDES!$5:$5,0)),0)*$AP1058,0)</f>
        <v>89.6820037575611</v>
      </c>
      <c r="AX1058" s="153" t="n">
        <f aca="false">IFERROR(IF($N1058="VCA",INDEX(APOIO_REDES!$A:$W,MATCH($C1058&amp;$I1058&amp;$H1058&amp;$N1058&amp;$O1058,APOIO_REDES!$W:$W,0),MATCH(AX$5,APOIO_REDES!$5:$5,0)),0)*$AP1058,0)</f>
        <v>12.4117338560231</v>
      </c>
      <c r="AY1058" s="153" t="n">
        <f aca="false">IFERROR(IF($N1058="VCA",INDEX(APOIO_REDES!$A:$W,MATCH($C1058&amp;$I1058&amp;$H1058&amp;$N1058&amp;$O1058,APOIO_REDES!$W:$W,0),MATCH(AY$5,APOIO_REDES!$5:$5,0)),0)*$AP1058,0)</f>
        <v>22.7043014205778</v>
      </c>
      <c r="AZ1058" s="153" t="n">
        <f aca="false">IFERROR(IF($N1058="VCA",INDEX(APOIO_REDES!$A:$W,MATCH($C1058&amp;$I1058&amp;$H1058&amp;$N1058&amp;$O1058,APOIO_REDES!$W:$W,0),MATCH(AZ$5,APOIO_REDES!$5:$5,0)),0)*$AP1058,0)</f>
        <v>3.14220970145515</v>
      </c>
      <c r="BA1058" s="153" t="n">
        <f aca="false">IFERROR(IF(AND($N1058="VCA",$Q1058="LINEAR"),INDEX(APOIO_REDES!$A:$W,MATCH($C1058&amp;$I1058&amp;$H1058&amp;$N1058&amp;$O1058,APOIO_REDES!$W:$W,0),MATCH(BA$5,APOIO_REDES!$5:$5,0)),IF(AND($N1058="MND",$Q1058="EMBOQUE"),INDEX(APOIO_REDES!$A:$W,MATCH($C1058&amp;$I1058&amp;$H1058&amp;$N1058&amp;$O1058,APOIO_REDES!$W:$W,0),MATCH(BA$5,APOIO_REDES!$5:$5,0)),0))*$M1058/10,0)</f>
        <v>9.95781835498186</v>
      </c>
      <c r="BB1058" s="153" t="n">
        <f aca="false">IFERROR(IF($N1058="VCA",INDEX(APOIO_REDES!$A:$W,MATCH($C1058&amp;$I1058&amp;$H1058&amp;$N1058&amp;$O1058,APOIO_REDES!$W:$W,0),MATCH(BB$5,APOIO_REDES!$5:$5,0)),0)*($AI1058+$AQ1058+$AR1058),0)</f>
        <v>46.743695332383</v>
      </c>
      <c r="BC1058" s="153" t="n">
        <f aca="false">IFERROR(IF($N1058="VCA",INDEX(APOIO_REDES!$A:$W,MATCH($C1058&amp;$I1058&amp;$H1058&amp;$N1058&amp;$O1058,APOIO_REDES!$W:$W,0),MATCH(BC$5,APOIO_REDES!$5:$5,0)),0)*($AI1058+$AQ1058+$AR1058),0)</f>
        <v>0.514179667617004</v>
      </c>
      <c r="BD1058" s="153" t="n">
        <f aca="false">IF(AND($N1058="VCA",$AF1058&gt;=1.25,$AF1058&lt;1.5),$M1058*$AF1058*2,0)</f>
        <v>348.411</v>
      </c>
      <c r="BE1058" s="153" t="n">
        <f aca="false">IF(AND($N1058="VCA",$AF1058&gt;=1.5,$AF1058&lt;3),$M1058*$AF1058*2,0)</f>
        <v>0</v>
      </c>
      <c r="BF1058" s="153" t="n">
        <f aca="false">IF(AND($N1058="VCA",$AF1058&gt;=3),$M1058*$AF1058*2,0)</f>
        <v>0</v>
      </c>
      <c r="BG1058" s="153" t="n">
        <f aca="false">($BB1058+$BC1058)*$AK1058</f>
        <v>231.5635875</v>
      </c>
      <c r="BH1058" s="153" t="n">
        <f aca="false">IF(AND($M1058&lt;&gt;"",$N1058="VCA",$Q1058="LINEAR"),($M1058*2)/100,IF(AND($M1058&lt;&gt;"",$N1058="MND",$Q1058="EMBOQUE"),($AN1058*2)/100,0))</f>
        <v>2.471</v>
      </c>
      <c r="BI1058" s="153" t="n">
        <f aca="false">IF(AND($M1058&lt;&gt;"",$N1058="VCA",$Q1058="LINEAR"),$M1058,IF(AND($M1058&lt;&gt;"",$N1058="MND",$Q1058="EMBOQUE"),$AN1058*2,0))</f>
        <v>123.55</v>
      </c>
      <c r="BJ1058" s="153" t="n">
        <f aca="false">IF(AND($M1058&lt;&gt;"",$N1058="VCA",$Q1058="LINEAR"),($M1058*6.8)/100,IF(AND($M1058&lt;&gt;"",$N1058="MND",$Q1058="EMBOQUE"),($AN1058*2*6.8)/100,0))</f>
        <v>8.4014</v>
      </c>
      <c r="BK1058" s="153" t="n">
        <f aca="false">IF(AND($M1058&lt;&gt;"",$N1058="VCA",$Q1058="LINEAR"),($M1058*2.5)/50,IF(AND($M1058&lt;&gt;"",$N1058="MND",$Q1058="EMBOQUE"),($AN1058*2*2.5)/50,0))</f>
        <v>6.1775</v>
      </c>
      <c r="BL1058" s="157" t="str">
        <f aca="false">K1058&amp;J1058</f>
        <v>Zona09REDES</v>
      </c>
      <c r="BM1058" s="152" t="s">
        <v>5109</v>
      </c>
      <c r="BN1058" s="152" t="s">
        <v>1560</v>
      </c>
      <c r="BO1058" s="152" t="s">
        <v>4454</v>
      </c>
      <c r="BP1058" s="152" t="s">
        <v>5547</v>
      </c>
      <c r="BQ1058" s="152" t="s">
        <v>5495</v>
      </c>
      <c r="BR1058" s="152" t="s">
        <v>5562</v>
      </c>
      <c r="BS1058" s="152" t="n">
        <v>203207.908</v>
      </c>
      <c r="BT1058" s="152" t="n">
        <v>8236413.89</v>
      </c>
      <c r="BU1058" s="152" t="n">
        <v>203234.419</v>
      </c>
      <c r="BV1058" s="152" t="n">
        <v>8236293.234</v>
      </c>
      <c r="BW1058" s="152" t="n">
        <v>-15.9343559</v>
      </c>
      <c r="BX1058" s="152" t="n">
        <v>-47.772017</v>
      </c>
      <c r="BY1058" s="152" t="s">
        <v>5547</v>
      </c>
    </row>
    <row r="1059" customFormat="false" ht="13.8" hidden="false" customHeight="false" outlineLevel="0" collapsed="false">
      <c r="A1059" s="149" t="n">
        <f aca="false">IF(C1059&lt;&gt;"",ROW(A1054),"")</f>
        <v>1054</v>
      </c>
      <c r="B1059" s="150" t="str">
        <f aca="false">HYPERLINK("https://www.google.com/maps/dir/-15.917302,-47.760003/-15.9349037,-47.7719077/data=!4m3!4m2!3e0!5i2")</f>
        <v>https://www.google.com/maps/dir/-15.917302,-47.760003/-15.9349037,-47.7719077/data=!4m3!4m2!3e0!5i2</v>
      </c>
      <c r="C1059" s="151" t="s">
        <v>117</v>
      </c>
      <c r="D1059" s="152" t="s">
        <v>112</v>
      </c>
      <c r="E1059" s="152" t="s">
        <v>113</v>
      </c>
      <c r="F1059" s="152" t="s">
        <v>117</v>
      </c>
      <c r="G1059" s="152" t="s">
        <v>782</v>
      </c>
      <c r="H1059" s="152" t="n">
        <v>110</v>
      </c>
      <c r="I1059" s="152" t="s">
        <v>115</v>
      </c>
      <c r="J1059" s="152" t="s">
        <v>6</v>
      </c>
      <c r="K1059" s="152" t="s">
        <v>5106</v>
      </c>
      <c r="L1059" s="152" t="s">
        <v>120</v>
      </c>
      <c r="M1059" s="153" t="n">
        <f aca="false">69.62</f>
        <v>69.62</v>
      </c>
      <c r="N1059" s="152" t="s">
        <v>1548</v>
      </c>
      <c r="O1059" s="152" t="s">
        <v>1549</v>
      </c>
      <c r="P1059" s="152" t="s">
        <v>1550</v>
      </c>
      <c r="Q1059" s="152" t="s">
        <v>1551</v>
      </c>
      <c r="R1059" s="154" t="s">
        <v>5563</v>
      </c>
      <c r="S1059" s="154" t="s">
        <v>1593</v>
      </c>
      <c r="T1059" s="155" t="s">
        <v>4451</v>
      </c>
      <c r="U1059" s="152" t="str">
        <f aca="false">RIGHT(T1059,7)</f>
        <v>018/037</v>
      </c>
      <c r="V1059" s="152" t="s">
        <v>1555</v>
      </c>
      <c r="W1059" s="156" t="n">
        <v>45882</v>
      </c>
      <c r="X1059" s="152" t="s">
        <v>1594</v>
      </c>
      <c r="Y1059" s="152" t="s">
        <v>5493</v>
      </c>
      <c r="Z1059" s="152" t="s">
        <v>1557</v>
      </c>
      <c r="AA1059" s="153" t="n">
        <v>5</v>
      </c>
      <c r="AB1059" s="151" t="s">
        <v>5564</v>
      </c>
      <c r="AC1059" s="151" t="s">
        <v>502</v>
      </c>
      <c r="AD1059" s="151" t="str">
        <f aca="false">CONCATENATE($C1059,$I1059,$H1059,$N1059,$J1059,$K1059)</f>
        <v>TUBO PEADPEAD110VCAREDESZona09</v>
      </c>
      <c r="AE1059" s="153" t="n">
        <f aca="false">IFERROR(INDEX(APOIO_REDES!$A:$W,MATCH($C1059&amp;$I1059&amp;$H1059&amp;$N1059&amp;$O1059,APOIO_REDES!$W:$W,0),MATCH(AE$5,APOIO_REDES!$5:$5,0)),0)</f>
        <v>1.2</v>
      </c>
      <c r="AF1059" s="153" t="n">
        <f aca="false">IFERROR(INDEX(APOIO_REDES!$A:$W,MATCH($C1059&amp;$I1059&amp;$H1059&amp;$N1059&amp;$O1059,APOIO_REDES!$W:$W,0),MATCH(AF$5,APOIO_REDES!$5:$5,0)),0)</f>
        <v>1.41</v>
      </c>
      <c r="AG1059" s="153" t="n">
        <f aca="false">IFERROR(INDEX(APOIO_REDES!$A:$W,MATCH($C1059&amp;$I1059&amp;$H1059&amp;$N1059&amp;$O1059,APOIO_REDES!$W:$W,0),MATCH(AG$5,APOIO_REDES!$5:$5,0)),0)</f>
        <v>0.75</v>
      </c>
      <c r="AH1059" s="153" t="n">
        <f aca="false">IFERROR(INDEX(APOIO_REDES!$A:$W,MATCH($C1059&amp;$I1059&amp;$H1059&amp;$N1059&amp;$O1059,APOIO_REDES!$W:$W,0),MATCH(AH$5,APOIO_REDES!$5:$5,0)),0)</f>
        <v>0.1</v>
      </c>
      <c r="AI1059" s="153" t="n">
        <f aca="false">IFERROR(IF($H1059&lt;&gt;"",(((($H1059/1000)/2)^2)*PI()*$M1059),0),0)</f>
        <v>0.661620983642337</v>
      </c>
      <c r="AJ1059" s="153" t="n">
        <f aca="false">IFERROR(IF(AND($H1059&lt;&gt;"",$I1059="FoFo",OR($N1059="MND",$N1059="VCA"),$Q1059="LINEAR"),0,IF(AND($H1059&lt;&gt;"",$I1059="PEAD",$N1059="VCA",$Q1059="LINEAR"),($H1059/1000)+0.3,IF(AND($H1059&lt;&gt;"",$I1059="PEAD",$N1059="MND",$Q1059="EMBOQUE"),0,IF(AND($H1059&lt;&gt;"",$I1059="PVC",$N1059="VCA",$Q1059="LINEAR"),($H1059/1000)+0.2,IF(AND($H1059&lt;&gt;"",$I1059="PVC",$N1059="MND",$Q1059="EMBOQUE"),0,IF(AND($H1059&lt;&gt;"",$I1059="PEAD",$N1059="VCA",$Q1059="PREDIAL"),0,0)))))),0)</f>
        <v>0.41</v>
      </c>
      <c r="AK1059" s="153" t="n">
        <f aca="false">IF(AA1059&lt;&gt;"",AA1059,0)</f>
        <v>5</v>
      </c>
      <c r="AL1059" s="153" t="n">
        <f aca="false">IF(AND($N1059="MND",$Q1059="EMBOQUE"),$M1059,IF(AND($N1059="VCA",$Q1059="LINEAR"),$M1059,IF(AND($N1059="VCA",$Q1059="PREDIAL"),0,0)))</f>
        <v>69.62</v>
      </c>
      <c r="AM1059" s="153" t="n">
        <f aca="false">IF(AND($N1059="MND",$Q1059="EMBOQUE"),$M1059,IF(AND($N1059="VCA",$Q1059="LINEAR"),$M1059,IF(AND($N1059="VCA",$Q1059="PREDIAL"),0,0)))</f>
        <v>69.62</v>
      </c>
      <c r="AN1059" s="153" t="n">
        <f aca="false">ROUND(IF(AND($N1059="VCA",$M1059&lt;&gt;"",$Q1059="LINEAR"),$M1059/100,IF(AND($N1059="MND",$M1059&gt;100,$Q1059="EMBOQUE"),$M1059/100,0)),0)</f>
        <v>1</v>
      </c>
      <c r="AO1059" s="153" t="n">
        <f aca="false">IF(AND($N1059="MND",$Q1059="EMBOQUE"),$AN1059*2*2,IF(AND($N1059="VCA",$Q1059="LINEAR"),$M1059*2,IF(AND($N1059="VCA",$Q1059="PREDIAL"),0,0)))</f>
        <v>139.24</v>
      </c>
      <c r="AP1059" s="153" t="n">
        <f aca="false">IFERROR($M1059*$AF1059*$AG1059,0)</f>
        <v>73.62315</v>
      </c>
      <c r="AQ1059" s="153" t="n">
        <f aca="false">IFERROR(IF(AND($N1059="VCA",$AH1059&gt;0),$M1059*$AG1059*$AH1059,0),0)</f>
        <v>5.2215</v>
      </c>
      <c r="AR1059" s="153" t="n">
        <f aca="false">IFERROR(IF(AND($N1059="VCA",$AJ1059&gt;0),($M1059*$AG1059*$AJ1059)-$AI1059,0),0)</f>
        <v>20.7465290163577</v>
      </c>
      <c r="AS1059" s="153" t="n">
        <f aca="false">IFERROR(IF(AND($N1059="VCA",$AP1059&gt;0),$AP1059-$AI1059-$AQ1059-$AR1059,0),0)</f>
        <v>46.9935</v>
      </c>
      <c r="AT1059" s="153" t="n">
        <f aca="false">IFERROR(IF($N1059="VCA",INDEX(APOIO_REDES!$A:$W,MATCH($C1059&amp;$I1059&amp;$H1059&amp;$N1059&amp;$O1059,APOIO_REDES!$W:$W,0),MATCH(AT$5,APOIO_REDES!$5:$5,0)),0)*$AP1059,0)</f>
        <v>0.801041663340064</v>
      </c>
      <c r="AU1059" s="153" t="n">
        <f aca="false">IFERROR(IF($N1059="VCA",INDEX(APOIO_REDES!$A:$W,MATCH($C1059&amp;$I1059&amp;$H1059&amp;$N1059&amp;$O1059,APOIO_REDES!$W:$W,0),MATCH(AU$5,APOIO_REDES!$5:$5,0)),0)*$AP1059,0)</f>
        <v>0.639690177383766</v>
      </c>
      <c r="AV1059" s="153" t="n">
        <f aca="false">IFERROR(IF($N1059="VCA",INDEX(APOIO_REDES!$A:$W,MATCH($C1059&amp;$I1059&amp;$H1059&amp;$N1059&amp;$O1059,APOIO_REDES!$W:$W,0),MATCH(AV$5,APOIO_REDES!$5:$5,0)),0)*$AP1059,0)</f>
        <v>0.088528098785127</v>
      </c>
      <c r="AW1059" s="153" t="n">
        <f aca="false">IFERROR(IF($N1059="VCA",INDEX(APOIO_REDES!$A:$W,MATCH($C1059&amp;$I1059&amp;$H1059&amp;$N1059&amp;$O1059,APOIO_REDES!$W:$W,0),MATCH(AW$5,APOIO_REDES!$5:$5,0)),0)*$AP1059,0)</f>
        <v>50.5355006200033</v>
      </c>
      <c r="AX1059" s="153" t="n">
        <f aca="false">IFERROR(IF($N1059="VCA",INDEX(APOIO_REDES!$A:$W,MATCH($C1059&amp;$I1059&amp;$H1059&amp;$N1059&amp;$O1059,APOIO_REDES!$W:$W,0),MATCH(AX$5,APOIO_REDES!$5:$5,0)),0)*$AP1059,0)</f>
        <v>6.99396933271006</v>
      </c>
      <c r="AY1059" s="153" t="n">
        <f aca="false">IFERROR(IF($N1059="VCA",INDEX(APOIO_REDES!$A:$W,MATCH($C1059&amp;$I1059&amp;$H1059&amp;$N1059&amp;$O1059,APOIO_REDES!$W:$W,0),MATCH(AY$5,APOIO_REDES!$5:$5,0)),0)*$AP1059,0)</f>
        <v>12.7937957499039</v>
      </c>
      <c r="AZ1059" s="153" t="n">
        <f aca="false">IFERROR(IF($N1059="VCA",INDEX(APOIO_REDES!$A:$W,MATCH($C1059&amp;$I1059&amp;$H1059&amp;$N1059&amp;$O1059,APOIO_REDES!$W:$W,0),MATCH(AZ$5,APOIO_REDES!$5:$5,0)),0)*$AP1059,0)</f>
        <v>1.7706243578738</v>
      </c>
      <c r="BA1059" s="153" t="n">
        <f aca="false">IFERROR(IF(AND($N1059="VCA",$Q1059="LINEAR"),INDEX(APOIO_REDES!$A:$W,MATCH($C1059&amp;$I1059&amp;$H1059&amp;$N1059&amp;$O1059,APOIO_REDES!$W:$W,0),MATCH(BA$5,APOIO_REDES!$5:$5,0)),IF(AND($N1059="MND",$Q1059="EMBOQUE"),INDEX(APOIO_REDES!$A:$W,MATCH($C1059&amp;$I1059&amp;$H1059&amp;$N1059&amp;$O1059,APOIO_REDES!$W:$W,0),MATCH(BA$5,APOIO_REDES!$5:$5,0)),0))*$M1059/10,0)</f>
        <v>5.6111963891043</v>
      </c>
      <c r="BB1059" s="153" t="n">
        <f aca="false">IFERROR(IF($N1059="VCA",INDEX(APOIO_REDES!$A:$W,MATCH($C1059&amp;$I1059&amp;$H1059&amp;$N1059&amp;$O1059,APOIO_REDES!$W:$W,0),MATCH(BB$5,APOIO_REDES!$5:$5,0)),0)*($AI1059+$AQ1059+$AR1059),0)</f>
        <v>26.3399115260259</v>
      </c>
      <c r="BC1059" s="153" t="n">
        <f aca="false">IFERROR(IF($N1059="VCA",INDEX(APOIO_REDES!$A:$W,MATCH($C1059&amp;$I1059&amp;$H1059&amp;$N1059&amp;$O1059,APOIO_REDES!$W:$W,0),MATCH(BC$5,APOIO_REDES!$5:$5,0)),0)*($AI1059+$AQ1059+$AR1059),0)</f>
        <v>0.289738473974066</v>
      </c>
      <c r="BD1059" s="153" t="n">
        <f aca="false">IF(AND($N1059="VCA",$AF1059&gt;=1.25,$AF1059&lt;1.5),$M1059*$AF1059*2,0)</f>
        <v>196.3284</v>
      </c>
      <c r="BE1059" s="153" t="n">
        <f aca="false">IF(AND($N1059="VCA",$AF1059&gt;=1.5,$AF1059&lt;3),$M1059*$AF1059*2,0)</f>
        <v>0</v>
      </c>
      <c r="BF1059" s="153" t="n">
        <f aca="false">IF(AND($N1059="VCA",$AF1059&gt;=3),$M1059*$AF1059*2,0)</f>
        <v>0</v>
      </c>
      <c r="BG1059" s="153" t="n">
        <f aca="false">($BB1059+$BC1059)*$AK1059</f>
        <v>133.14825</v>
      </c>
      <c r="BH1059" s="153" t="n">
        <f aca="false">IF(AND($M1059&lt;&gt;"",$N1059="VCA",$Q1059="LINEAR"),($M1059*2)/100,IF(AND($M1059&lt;&gt;"",$N1059="MND",$Q1059="EMBOQUE"),($AN1059*2)/100,0))</f>
        <v>1.3924</v>
      </c>
      <c r="BI1059" s="153" t="n">
        <f aca="false">IF(AND($M1059&lt;&gt;"",$N1059="VCA",$Q1059="LINEAR"),$M1059,IF(AND($M1059&lt;&gt;"",$N1059="MND",$Q1059="EMBOQUE"),$AN1059*2,0))</f>
        <v>69.62</v>
      </c>
      <c r="BJ1059" s="153" t="n">
        <f aca="false">IF(AND($M1059&lt;&gt;"",$N1059="VCA",$Q1059="LINEAR"),($M1059*6.8)/100,IF(AND($M1059&lt;&gt;"",$N1059="MND",$Q1059="EMBOQUE"),($AN1059*2*6.8)/100,0))</f>
        <v>4.73416</v>
      </c>
      <c r="BK1059" s="153" t="n">
        <f aca="false">IF(AND($M1059&lt;&gt;"",$N1059="VCA",$Q1059="LINEAR"),($M1059*2.5)/50,IF(AND($M1059&lt;&gt;"",$N1059="MND",$Q1059="EMBOQUE"),($AN1059*2*2.5)/50,0))</f>
        <v>3.481</v>
      </c>
      <c r="BL1059" s="157" t="str">
        <f aca="false">K1059&amp;J1059</f>
        <v>Zona09REDES</v>
      </c>
      <c r="BM1059" s="152" t="s">
        <v>5109</v>
      </c>
      <c r="BN1059" s="152" t="s">
        <v>1560</v>
      </c>
      <c r="BO1059" s="152" t="s">
        <v>4454</v>
      </c>
      <c r="BP1059" s="152" t="s">
        <v>5495</v>
      </c>
      <c r="BQ1059" s="152" t="s">
        <v>5529</v>
      </c>
      <c r="BR1059" s="152" t="s">
        <v>5565</v>
      </c>
      <c r="BS1059" s="152" t="n">
        <v>203234.419</v>
      </c>
      <c r="BT1059" s="152" t="n">
        <v>8236293.234</v>
      </c>
      <c r="BU1059" s="152" t="n">
        <v>203249.391</v>
      </c>
      <c r="BV1059" s="152" t="n">
        <v>8236225.254</v>
      </c>
      <c r="BW1059" s="152" t="n">
        <v>-15.9352122</v>
      </c>
      <c r="BX1059" s="152" t="n">
        <v>-47.7718453</v>
      </c>
      <c r="BY1059" s="152" t="s">
        <v>5495</v>
      </c>
    </row>
    <row r="1060" customFormat="false" ht="13.8" hidden="false" customHeight="false" outlineLevel="0" collapsed="false">
      <c r="A1060" s="149" t="n">
        <f aca="false">IF(C1060&lt;&gt;"",ROW(A1055),"")</f>
        <v>1055</v>
      </c>
      <c r="B1060" s="150" t="str">
        <f aca="false">HYPERLINK("https://www.google.com/maps/dir/-15.917302,-47.760003/-15.9355193,-47.7717764/data=!4m3!4m2!3e0!5i2")</f>
        <v>https://www.google.com/maps/dir/-15.917302,-47.760003/-15.9355193,-47.7717764/data=!4m3!4m2!3e0!5i2</v>
      </c>
      <c r="C1060" s="151" t="s">
        <v>117</v>
      </c>
      <c r="D1060" s="152" t="s">
        <v>112</v>
      </c>
      <c r="E1060" s="152" t="s">
        <v>113</v>
      </c>
      <c r="F1060" s="152" t="s">
        <v>117</v>
      </c>
      <c r="G1060" s="152" t="s">
        <v>782</v>
      </c>
      <c r="H1060" s="152" t="n">
        <v>110</v>
      </c>
      <c r="I1060" s="152" t="s">
        <v>115</v>
      </c>
      <c r="J1060" s="152" t="s">
        <v>6</v>
      </c>
      <c r="K1060" s="152" t="s">
        <v>5106</v>
      </c>
      <c r="L1060" s="152" t="s">
        <v>120</v>
      </c>
      <c r="M1060" s="153" t="n">
        <f aca="false">90.89</f>
        <v>90.89</v>
      </c>
      <c r="N1060" s="152" t="s">
        <v>1548</v>
      </c>
      <c r="O1060" s="152" t="s">
        <v>1549</v>
      </c>
      <c r="P1060" s="152" t="s">
        <v>1550</v>
      </c>
      <c r="Q1060" s="152" t="s">
        <v>1551</v>
      </c>
      <c r="R1060" s="154" t="s">
        <v>5566</v>
      </c>
      <c r="S1060" s="154" t="s">
        <v>1593</v>
      </c>
      <c r="T1060" s="155" t="s">
        <v>4451</v>
      </c>
      <c r="U1060" s="152" t="str">
        <f aca="false">RIGHT(T1060,7)</f>
        <v>018/037</v>
      </c>
      <c r="V1060" s="152" t="s">
        <v>1555</v>
      </c>
      <c r="W1060" s="156" t="n">
        <v>45882</v>
      </c>
      <c r="X1060" s="152" t="s">
        <v>1594</v>
      </c>
      <c r="Y1060" s="152" t="s">
        <v>5527</v>
      </c>
      <c r="Z1060" s="152" t="s">
        <v>1557</v>
      </c>
      <c r="AA1060" s="153" t="n">
        <v>4.8</v>
      </c>
      <c r="AB1060" s="151" t="s">
        <v>5567</v>
      </c>
      <c r="AC1060" s="151" t="s">
        <v>502</v>
      </c>
      <c r="AD1060" s="151" t="str">
        <f aca="false">CONCATENATE($C1060,$I1060,$H1060,$N1060,$J1060,$K1060)</f>
        <v>TUBO PEADPEAD110VCAREDESZona09</v>
      </c>
      <c r="AE1060" s="153" t="n">
        <f aca="false">IFERROR(INDEX(APOIO_REDES!$A:$W,MATCH($C1060&amp;$I1060&amp;$H1060&amp;$N1060&amp;$O1060,APOIO_REDES!$W:$W,0),MATCH(AE$5,APOIO_REDES!$5:$5,0)),0)</f>
        <v>1.2</v>
      </c>
      <c r="AF1060" s="153" t="n">
        <f aca="false">IFERROR(INDEX(APOIO_REDES!$A:$W,MATCH($C1060&amp;$I1060&amp;$H1060&amp;$N1060&amp;$O1060,APOIO_REDES!$W:$W,0),MATCH(AF$5,APOIO_REDES!$5:$5,0)),0)</f>
        <v>1.41</v>
      </c>
      <c r="AG1060" s="153" t="n">
        <f aca="false">IFERROR(INDEX(APOIO_REDES!$A:$W,MATCH($C1060&amp;$I1060&amp;$H1060&amp;$N1060&amp;$O1060,APOIO_REDES!$W:$W,0),MATCH(AG$5,APOIO_REDES!$5:$5,0)),0)</f>
        <v>0.75</v>
      </c>
      <c r="AH1060" s="153" t="n">
        <f aca="false">IFERROR(INDEX(APOIO_REDES!$A:$W,MATCH($C1060&amp;$I1060&amp;$H1060&amp;$N1060&amp;$O1060,APOIO_REDES!$W:$W,0),MATCH(AH$5,APOIO_REDES!$5:$5,0)),0)</f>
        <v>0.1</v>
      </c>
      <c r="AI1060" s="153" t="n">
        <f aca="false">IFERROR(IF($H1060&lt;&gt;"",(((($H1060/1000)/2)^2)*PI()*$M1060),0),0)</f>
        <v>0.863756552761448</v>
      </c>
      <c r="AJ1060" s="153" t="n">
        <f aca="false">IFERROR(IF(AND($H1060&lt;&gt;"",$I1060="FoFo",OR($N1060="MND",$N1060="VCA"),$Q1060="LINEAR"),0,IF(AND($H1060&lt;&gt;"",$I1060="PEAD",$N1060="VCA",$Q1060="LINEAR"),($H1060/1000)+0.3,IF(AND($H1060&lt;&gt;"",$I1060="PEAD",$N1060="MND",$Q1060="EMBOQUE"),0,IF(AND($H1060&lt;&gt;"",$I1060="PVC",$N1060="VCA",$Q1060="LINEAR"),($H1060/1000)+0.2,IF(AND($H1060&lt;&gt;"",$I1060="PVC",$N1060="MND",$Q1060="EMBOQUE"),0,IF(AND($H1060&lt;&gt;"",$I1060="PEAD",$N1060="VCA",$Q1060="PREDIAL"),0,0)))))),0)</f>
        <v>0.41</v>
      </c>
      <c r="AK1060" s="153" t="n">
        <f aca="false">IF(AA1060&lt;&gt;"",AA1060,0)</f>
        <v>4.8</v>
      </c>
      <c r="AL1060" s="153" t="n">
        <f aca="false">IF(AND($N1060="MND",$Q1060="EMBOQUE"),$M1060,IF(AND($N1060="VCA",$Q1060="LINEAR"),$M1060,IF(AND($N1060="VCA",$Q1060="PREDIAL"),0,0)))</f>
        <v>90.89</v>
      </c>
      <c r="AM1060" s="153" t="n">
        <f aca="false">IF(AND($N1060="MND",$Q1060="EMBOQUE"),$M1060,IF(AND($N1060="VCA",$Q1060="LINEAR"),$M1060,IF(AND($N1060="VCA",$Q1060="PREDIAL"),0,0)))</f>
        <v>90.89</v>
      </c>
      <c r="AN1060" s="153" t="n">
        <f aca="false">ROUND(IF(AND($N1060="VCA",$M1060&lt;&gt;"",$Q1060="LINEAR"),$M1060/100,IF(AND($N1060="MND",$M1060&gt;100,$Q1060="EMBOQUE"),$M1060/100,0)),0)</f>
        <v>1</v>
      </c>
      <c r="AO1060" s="153" t="n">
        <f aca="false">IF(AND($N1060="MND",$Q1060="EMBOQUE"),$AN1060*2*2,IF(AND($N1060="VCA",$Q1060="LINEAR"),$M1060*2,IF(AND($N1060="VCA",$Q1060="PREDIAL"),0,0)))</f>
        <v>181.78</v>
      </c>
      <c r="AP1060" s="153" t="n">
        <f aca="false">IFERROR($M1060*$AF1060*$AG1060,0)</f>
        <v>96.116175</v>
      </c>
      <c r="AQ1060" s="153" t="n">
        <f aca="false">IFERROR(IF(AND($N1060="VCA",$AH1060&gt;0),$M1060*$AG1060*$AH1060,0),0)</f>
        <v>6.81675</v>
      </c>
      <c r="AR1060" s="153" t="n">
        <f aca="false">IFERROR(IF(AND($N1060="VCA",$AJ1060&gt;0),($M1060*$AG1060*$AJ1060)-$AI1060,0),0)</f>
        <v>27.0849184472386</v>
      </c>
      <c r="AS1060" s="153" t="n">
        <f aca="false">IFERROR(IF(AND($N1060="VCA",$AP1060&gt;0),$AP1060-$AI1060-$AQ1060-$AR1060,0),0)</f>
        <v>61.35075</v>
      </c>
      <c r="AT1060" s="153" t="n">
        <f aca="false">IFERROR(IF($N1060="VCA",INDEX(APOIO_REDES!$A:$W,MATCH($C1060&amp;$I1060&amp;$H1060&amp;$N1060&amp;$O1060,APOIO_REDES!$W:$W,0),MATCH(AT$5,APOIO_REDES!$5:$5,0)),0)*$AP1060,0)</f>
        <v>1.04577243293563</v>
      </c>
      <c r="AU1060" s="153" t="n">
        <f aca="false">IFERROR(IF($N1060="VCA",INDEX(APOIO_REDES!$A:$W,MATCH($C1060&amp;$I1060&amp;$H1060&amp;$N1060&amp;$O1060,APOIO_REDES!$W:$W,0),MATCH(AU$5,APOIO_REDES!$5:$5,0)),0)*$AP1060,0)</f>
        <v>0.835125541832957</v>
      </c>
      <c r="AV1060" s="153" t="n">
        <f aca="false">IFERROR(IF($N1060="VCA",INDEX(APOIO_REDES!$A:$W,MATCH($C1060&amp;$I1060&amp;$H1060&amp;$N1060&amp;$O1060,APOIO_REDES!$W:$W,0),MATCH(AV$5,APOIO_REDES!$5:$5,0)),0)*$AP1060,0)</f>
        <v>0.11557481899713</v>
      </c>
      <c r="AW1060" s="153" t="n">
        <f aca="false">IFERROR(IF($N1060="VCA",INDEX(APOIO_REDES!$A:$W,MATCH($C1060&amp;$I1060&amp;$H1060&amp;$N1060&amp;$O1060,APOIO_REDES!$W:$W,0),MATCH(AW$5,APOIO_REDES!$5:$5,0)),0)*$AP1060,0)</f>
        <v>65.9748872644657</v>
      </c>
      <c r="AX1060" s="153" t="n">
        <f aca="false">IFERROR(IF($N1060="VCA",INDEX(APOIO_REDES!$A:$W,MATCH($C1060&amp;$I1060&amp;$H1060&amp;$N1060&amp;$O1060,APOIO_REDES!$W:$W,0),MATCH(AX$5,APOIO_REDES!$5:$5,0)),0)*$AP1060,0)</f>
        <v>9.13073646437831</v>
      </c>
      <c r="AY1060" s="153" t="n">
        <f aca="false">IFERROR(IF($N1060="VCA",INDEX(APOIO_REDES!$A:$W,MATCH($C1060&amp;$I1060&amp;$H1060&amp;$N1060&amp;$O1060,APOIO_REDES!$W:$W,0),MATCH(AY$5,APOIO_REDES!$5:$5,0)),0)*$AP1060,0)</f>
        <v>16.7025006565465</v>
      </c>
      <c r="AZ1060" s="153" t="n">
        <f aca="false">IFERROR(IF($N1060="VCA",INDEX(APOIO_REDES!$A:$W,MATCH($C1060&amp;$I1060&amp;$H1060&amp;$N1060&amp;$O1060,APOIO_REDES!$W:$W,0),MATCH(AZ$5,APOIO_REDES!$5:$5,0)),0)*$AP1060,0)</f>
        <v>2.31157782084386</v>
      </c>
      <c r="BA1060" s="153" t="n">
        <f aca="false">IFERROR(IF(AND($N1060="VCA",$Q1060="LINEAR"),INDEX(APOIO_REDES!$A:$W,MATCH($C1060&amp;$I1060&amp;$H1060&amp;$N1060&amp;$O1060,APOIO_REDES!$W:$W,0),MATCH(BA$5,APOIO_REDES!$5:$5,0)),IF(AND($N1060="MND",$Q1060="EMBOQUE"),INDEX(APOIO_REDES!$A:$W,MATCH($C1060&amp;$I1060&amp;$H1060&amp;$N1060&amp;$O1060,APOIO_REDES!$W:$W,0),MATCH(BA$5,APOIO_REDES!$5:$5,0)),0))*$M1060/10,0)</f>
        <v>7.32550473722623</v>
      </c>
      <c r="BB1060" s="153" t="n">
        <f aca="false">IFERROR(IF($N1060="VCA",INDEX(APOIO_REDES!$A:$W,MATCH($C1060&amp;$I1060&amp;$H1060&amp;$N1060&amp;$O1060,APOIO_REDES!$W:$W,0),MATCH(BB$5,APOIO_REDES!$5:$5,0)),0)*($AI1060+$AQ1060+$AR1060),0)</f>
        <v>34.3871668859595</v>
      </c>
      <c r="BC1060" s="153" t="n">
        <f aca="false">IFERROR(IF($N1060="VCA",INDEX(APOIO_REDES!$A:$W,MATCH($C1060&amp;$I1060&amp;$H1060&amp;$N1060&amp;$O1060,APOIO_REDES!$W:$W,0),MATCH(BC$5,APOIO_REDES!$5:$5,0)),0)*($AI1060+$AQ1060+$AR1060),0)</f>
        <v>0.378258114040546</v>
      </c>
      <c r="BD1060" s="153" t="n">
        <f aca="false">IF(AND($N1060="VCA",$AF1060&gt;=1.25,$AF1060&lt;1.5),$M1060*$AF1060*2,0)</f>
        <v>256.3098</v>
      </c>
      <c r="BE1060" s="153" t="n">
        <f aca="false">IF(AND($N1060="VCA",$AF1060&gt;=1.5,$AF1060&lt;3),$M1060*$AF1060*2,0)</f>
        <v>0</v>
      </c>
      <c r="BF1060" s="153" t="n">
        <f aca="false">IF(AND($N1060="VCA",$AF1060&gt;=3),$M1060*$AF1060*2,0)</f>
        <v>0</v>
      </c>
      <c r="BG1060" s="153" t="n">
        <f aca="false">($BB1060+$BC1060)*$AK1060</f>
        <v>166.87404</v>
      </c>
      <c r="BH1060" s="153" t="n">
        <f aca="false">IF(AND($M1060&lt;&gt;"",$N1060="VCA",$Q1060="LINEAR"),($M1060*2)/100,IF(AND($M1060&lt;&gt;"",$N1060="MND",$Q1060="EMBOQUE"),($AN1060*2)/100,0))</f>
        <v>1.8178</v>
      </c>
      <c r="BI1060" s="153" t="n">
        <f aca="false">IF(AND($M1060&lt;&gt;"",$N1060="VCA",$Q1060="LINEAR"),$M1060,IF(AND($M1060&lt;&gt;"",$N1060="MND",$Q1060="EMBOQUE"),$AN1060*2,0))</f>
        <v>90.89</v>
      </c>
      <c r="BJ1060" s="153" t="n">
        <f aca="false">IF(AND($M1060&lt;&gt;"",$N1060="VCA",$Q1060="LINEAR"),($M1060*6.8)/100,IF(AND($M1060&lt;&gt;"",$N1060="MND",$Q1060="EMBOQUE"),($AN1060*2*6.8)/100,0))</f>
        <v>6.18052</v>
      </c>
      <c r="BK1060" s="153" t="n">
        <f aca="false">IF(AND($M1060&lt;&gt;"",$N1060="VCA",$Q1060="LINEAR"),($M1060*2.5)/50,IF(AND($M1060&lt;&gt;"",$N1060="MND",$Q1060="EMBOQUE"),($AN1060*2*2.5)/50,0))</f>
        <v>4.5445</v>
      </c>
      <c r="BL1060" s="157" t="str">
        <f aca="false">K1060&amp;J1060</f>
        <v>Zona09REDES</v>
      </c>
      <c r="BM1060" s="152" t="s">
        <v>5109</v>
      </c>
      <c r="BN1060" s="152" t="s">
        <v>1560</v>
      </c>
      <c r="BO1060" s="152" t="s">
        <v>4454</v>
      </c>
      <c r="BP1060" s="152" t="s">
        <v>5529</v>
      </c>
      <c r="BQ1060" s="152" t="s">
        <v>5568</v>
      </c>
      <c r="BR1060" s="152" t="s">
        <v>5569</v>
      </c>
      <c r="BS1060" s="152" t="n">
        <v>203249.391</v>
      </c>
      <c r="BT1060" s="152" t="n">
        <v>8236225.254</v>
      </c>
      <c r="BU1060" s="152" t="n">
        <v>203269.128</v>
      </c>
      <c r="BV1060" s="152" t="n">
        <v>8236136.554</v>
      </c>
      <c r="BW1060" s="152" t="n">
        <v>-15.9359213</v>
      </c>
      <c r="BX1060" s="152" t="n">
        <v>-47.7716918</v>
      </c>
      <c r="BY1060" s="152" t="s">
        <v>5529</v>
      </c>
    </row>
    <row r="1061" customFormat="false" ht="13.8" hidden="false" customHeight="false" outlineLevel="0" collapsed="false">
      <c r="A1061" s="149" t="n">
        <f aca="false">IF(C1061&lt;&gt;"",ROW(A1056),"")</f>
        <v>1056</v>
      </c>
      <c r="B1061" s="150" t="str">
        <f aca="false">HYPERLINK("https://www.google.com/maps/dir/-15.917302,-47.760003/-15.9359137,-47.7698499/data=!4m3!4m2!3e0!5i2")</f>
        <v>https://www.google.com/maps/dir/-15.917302,-47.760003/-15.9359137,-47.7698499/data=!4m3!4m2!3e0!5i2</v>
      </c>
      <c r="C1061" s="151" t="s">
        <v>117</v>
      </c>
      <c r="D1061" s="152" t="s">
        <v>112</v>
      </c>
      <c r="E1061" s="152" t="s">
        <v>113</v>
      </c>
      <c r="F1061" s="152" t="s">
        <v>117</v>
      </c>
      <c r="G1061" s="152" t="s">
        <v>782</v>
      </c>
      <c r="H1061" s="152" t="n">
        <v>63</v>
      </c>
      <c r="I1061" s="152" t="s">
        <v>115</v>
      </c>
      <c r="J1061" s="152" t="s">
        <v>6</v>
      </c>
      <c r="K1061" s="152" t="s">
        <v>5106</v>
      </c>
      <c r="L1061" s="152" t="s">
        <v>120</v>
      </c>
      <c r="M1061" s="153" t="n">
        <f aca="false">35.93+0.12</f>
        <v>36.05</v>
      </c>
      <c r="N1061" s="152" t="s">
        <v>1548</v>
      </c>
      <c r="O1061" s="152" t="s">
        <v>1549</v>
      </c>
      <c r="P1061" s="152" t="s">
        <v>1550</v>
      </c>
      <c r="Q1061" s="152" t="s">
        <v>1551</v>
      </c>
      <c r="R1061" s="154" t="s">
        <v>5570</v>
      </c>
      <c r="S1061" s="154" t="s">
        <v>1553</v>
      </c>
      <c r="T1061" s="155" t="s">
        <v>4451</v>
      </c>
      <c r="U1061" s="152" t="str">
        <f aca="false">RIGHT(T1061,7)</f>
        <v>018/037</v>
      </c>
      <c r="V1061" s="152" t="s">
        <v>1555</v>
      </c>
      <c r="W1061" s="156" t="n">
        <v>45882</v>
      </c>
      <c r="X1061" s="152" t="s">
        <v>1594</v>
      </c>
      <c r="Y1061" s="152"/>
      <c r="Z1061" s="152" t="s">
        <v>1557</v>
      </c>
      <c r="AA1061" s="153" t="n">
        <v>6.2</v>
      </c>
      <c r="AB1061" s="151" t="s">
        <v>5571</v>
      </c>
      <c r="AC1061" s="151" t="s">
        <v>186</v>
      </c>
      <c r="AD1061" s="151" t="str">
        <f aca="false">CONCATENATE($C1061,$I1061,$H1061,$N1061,$J1061,$K1061)</f>
        <v>TUBO PEADPEAD63VCAREDESZona09</v>
      </c>
      <c r="AE1061" s="153" t="n">
        <f aca="false">IFERROR(INDEX(APOIO_REDES!$A:$W,MATCH($C1061&amp;$I1061&amp;$H1061&amp;$N1061&amp;$O1061,APOIO_REDES!$W:$W,0),MATCH(AE$5,APOIO_REDES!$5:$5,0)),0)</f>
        <v>1.2</v>
      </c>
      <c r="AF1061" s="153" t="n">
        <f aca="false">IFERROR(INDEX(APOIO_REDES!$A:$W,MATCH($C1061&amp;$I1061&amp;$H1061&amp;$N1061&amp;$O1061,APOIO_REDES!$W:$W,0),MATCH(AF$5,APOIO_REDES!$5:$5,0)),0)</f>
        <v>1.363</v>
      </c>
      <c r="AG1061" s="153" t="n">
        <f aca="false">IFERROR(INDEX(APOIO_REDES!$A:$W,MATCH($C1061&amp;$I1061&amp;$H1061&amp;$N1061&amp;$O1061,APOIO_REDES!$W:$W,0),MATCH(AG$5,APOIO_REDES!$5:$5,0)),0)</f>
        <v>0.65</v>
      </c>
      <c r="AH1061" s="153" t="n">
        <f aca="false">IFERROR(INDEX(APOIO_REDES!$A:$W,MATCH($C1061&amp;$I1061&amp;$H1061&amp;$N1061&amp;$O1061,APOIO_REDES!$W:$W,0),MATCH(AH$5,APOIO_REDES!$5:$5,0)),0)</f>
        <v>0.1</v>
      </c>
      <c r="AI1061" s="153" t="n">
        <f aca="false">IFERROR(IF($H1061&lt;&gt;"",(((($H1061/1000)/2)^2)*PI()*$M1061),0),0)</f>
        <v>0.112376693444407</v>
      </c>
      <c r="AJ1061" s="153" t="n">
        <f aca="false">IFERROR(IF(AND($H1061&lt;&gt;"",$I1061="FoFo",OR($N1061="MND",$N1061="VCA"),$Q1061="LINEAR"),0,IF(AND($H1061&lt;&gt;"",$I1061="PEAD",$N1061="VCA",$Q1061="LINEAR"),($H1061/1000)+0.3,IF(AND($H1061&lt;&gt;"",$I1061="PEAD",$N1061="MND",$Q1061="EMBOQUE"),0,IF(AND($H1061&lt;&gt;"",$I1061="PVC",$N1061="VCA",$Q1061="LINEAR"),($H1061/1000)+0.2,IF(AND($H1061&lt;&gt;"",$I1061="PVC",$N1061="MND",$Q1061="EMBOQUE"),0,IF(AND($H1061&lt;&gt;"",$I1061="PEAD",$N1061="VCA",$Q1061="PREDIAL"),0,0)))))),0)</f>
        <v>0.363</v>
      </c>
      <c r="AK1061" s="153" t="n">
        <f aca="false">IF(AA1061&lt;&gt;"",AA1061,0)</f>
        <v>6.2</v>
      </c>
      <c r="AL1061" s="153" t="n">
        <f aca="false">IF(AND($N1061="MND",$Q1061="EMBOQUE"),$M1061,IF(AND($N1061="VCA",$Q1061="LINEAR"),$M1061,IF(AND($N1061="VCA",$Q1061="PREDIAL"),0,0)))</f>
        <v>36.05</v>
      </c>
      <c r="AM1061" s="153" t="n">
        <f aca="false">IF(AND($N1061="MND",$Q1061="EMBOQUE"),$M1061,IF(AND($N1061="VCA",$Q1061="LINEAR"),$M1061,IF(AND($N1061="VCA",$Q1061="PREDIAL"),0,0)))</f>
        <v>36.05</v>
      </c>
      <c r="AN1061" s="153" t="n">
        <f aca="false">ROUND(IF(AND($N1061="VCA",$M1061&lt;&gt;"",$Q1061="LINEAR"),$M1061/100,IF(AND($N1061="MND",$M1061&gt;100,$Q1061="EMBOQUE"),$M1061/100,0)),0)</f>
        <v>0</v>
      </c>
      <c r="AO1061" s="153" t="n">
        <f aca="false">IF(AND($N1061="MND",$Q1061="EMBOQUE"),$AN1061*2*2,IF(AND($N1061="VCA",$Q1061="LINEAR"),$M1061*2,IF(AND($N1061="VCA",$Q1061="PREDIAL"),0,0)))</f>
        <v>72.1</v>
      </c>
      <c r="AP1061" s="153" t="n">
        <f aca="false">IFERROR($M1061*$AF1061*$AG1061,0)</f>
        <v>31.9384975</v>
      </c>
      <c r="AQ1061" s="153" t="n">
        <f aca="false">IFERROR(IF(AND($N1061="VCA",$AH1061&gt;0),$M1061*$AG1061*$AH1061,0),0)</f>
        <v>2.34325</v>
      </c>
      <c r="AR1061" s="153" t="n">
        <f aca="false">IFERROR(IF(AND($N1061="VCA",$AJ1061&gt;0),($M1061*$AG1061*$AJ1061)-$AI1061,0),0)</f>
        <v>8.39362080655559</v>
      </c>
      <c r="AS1061" s="153" t="n">
        <f aca="false">IFERROR(IF(AND($N1061="VCA",$AP1061&gt;0),$AP1061-$AI1061-$AQ1061-$AR1061,0),0)</f>
        <v>21.08925</v>
      </c>
      <c r="AT1061" s="153" t="n">
        <f aca="false">IFERROR(IF($N1061="VCA",INDEX(APOIO_REDES!$A:$W,MATCH($C1061&amp;$I1061&amp;$H1061&amp;$N1061&amp;$O1061,APOIO_REDES!$W:$W,0),MATCH(AT$5,APOIO_REDES!$5:$5,0)),0)*$AP1061,0)</f>
        <v>0.347500306112717</v>
      </c>
      <c r="AU1061" s="153" t="n">
        <f aca="false">IFERROR(IF($N1061="VCA",INDEX(APOIO_REDES!$A:$W,MATCH($C1061&amp;$I1061&amp;$H1061&amp;$N1061&amp;$O1061,APOIO_REDES!$W:$W,0),MATCH(AU$5,APOIO_REDES!$5:$5,0)),0)*$AP1061,0)</f>
        <v>0.277504332959755</v>
      </c>
      <c r="AV1061" s="153" t="n">
        <f aca="false">IFERROR(IF($N1061="VCA",INDEX(APOIO_REDES!$A:$W,MATCH($C1061&amp;$I1061&amp;$H1061&amp;$N1061&amp;$O1061,APOIO_REDES!$W:$W,0),MATCH(AV$5,APOIO_REDES!$5:$5,0)),0)*$AP1061,0)</f>
        <v>0.0384044211872017</v>
      </c>
      <c r="AW1061" s="153" t="n">
        <f aca="false">IFERROR(IF($N1061="VCA",INDEX(APOIO_REDES!$A:$W,MATCH($C1061&amp;$I1061&amp;$H1061&amp;$N1061&amp;$O1061,APOIO_REDES!$W:$W,0),MATCH(AW$5,APOIO_REDES!$5:$5,0)),0)*$AP1061,0)</f>
        <v>21.9228321555546</v>
      </c>
      <c r="AX1061" s="153" t="n">
        <f aca="false">IFERROR(IF($N1061="VCA",INDEX(APOIO_REDES!$A:$W,MATCH($C1061&amp;$I1061&amp;$H1061&amp;$N1061&amp;$O1061,APOIO_REDES!$W:$W,0),MATCH(AX$5,APOIO_REDES!$5:$5,0)),0)*$AP1061,0)</f>
        <v>3.03405752195929</v>
      </c>
      <c r="AY1061" s="153" t="n">
        <f aca="false">IFERROR(IF($N1061="VCA",INDEX(APOIO_REDES!$A:$W,MATCH($C1061&amp;$I1061&amp;$H1061&amp;$N1061&amp;$O1061,APOIO_REDES!$W:$W,0),MATCH(AY$5,APOIO_REDES!$5:$5,0)),0)*$AP1061,0)</f>
        <v>5.55008327643977</v>
      </c>
      <c r="AZ1061" s="153" t="n">
        <f aca="false">IFERROR(IF($N1061="VCA",INDEX(APOIO_REDES!$A:$W,MATCH($C1061&amp;$I1061&amp;$H1061&amp;$N1061&amp;$O1061,APOIO_REDES!$W:$W,0),MATCH(AZ$5,APOIO_REDES!$5:$5,0)),0)*$AP1061,0)</f>
        <v>0.768115485786622</v>
      </c>
      <c r="BA1061" s="153" t="n">
        <f aca="false">IFERROR(IF(AND($N1061="VCA",$Q1061="LINEAR"),INDEX(APOIO_REDES!$A:$W,MATCH($C1061&amp;$I1061&amp;$H1061&amp;$N1061&amp;$O1061,APOIO_REDES!$W:$W,0),MATCH(BA$5,APOIO_REDES!$5:$5,0)),IF(AND($N1061="MND",$Q1061="EMBOQUE"),INDEX(APOIO_REDES!$A:$W,MATCH($C1061&amp;$I1061&amp;$H1061&amp;$N1061&amp;$O1061,APOIO_REDES!$W:$W,0),MATCH(BA$5,APOIO_REDES!$5:$5,0)),0))*$M1061/10,0)</f>
        <v>2.90553906675108</v>
      </c>
      <c r="BB1061" s="153" t="n">
        <f aca="false">IFERROR(IF($N1061="VCA",INDEX(APOIO_REDES!$A:$W,MATCH($C1061&amp;$I1061&amp;$H1061&amp;$N1061&amp;$O1061,APOIO_REDES!$W:$W,0),MATCH(BB$5,APOIO_REDES!$5:$5,0)),0)*($AI1061+$AQ1061+$AR1061),0)</f>
        <v>10.7312044759867</v>
      </c>
      <c r="BC1061" s="153" t="n">
        <f aca="false">IFERROR(IF($N1061="VCA",INDEX(APOIO_REDES!$A:$W,MATCH($C1061&amp;$I1061&amp;$H1061&amp;$N1061&amp;$O1061,APOIO_REDES!$W:$W,0),MATCH(BC$5,APOIO_REDES!$5:$5,0)),0)*($AI1061+$AQ1061+$AR1061),0)</f>
        <v>0.118043024013344</v>
      </c>
      <c r="BD1061" s="153" t="n">
        <f aca="false">IF(AND($N1061="VCA",$AF1061&gt;=1.25,$AF1061&lt;1.5),$M1061*$AF1061*2,0)</f>
        <v>98.2723</v>
      </c>
      <c r="BE1061" s="153" t="n">
        <f aca="false">IF(AND($N1061="VCA",$AF1061&gt;=1.5,$AF1061&lt;3),$M1061*$AF1061*2,0)</f>
        <v>0</v>
      </c>
      <c r="BF1061" s="153" t="n">
        <f aca="false">IF(AND($N1061="VCA",$AF1061&gt;=3),$M1061*$AF1061*2,0)</f>
        <v>0</v>
      </c>
      <c r="BG1061" s="153" t="n">
        <f aca="false">($BB1061+$BC1061)*$AK1061</f>
        <v>67.2653345</v>
      </c>
      <c r="BH1061" s="153" t="n">
        <f aca="false">IF(AND($M1061&lt;&gt;"",$N1061="VCA",$Q1061="LINEAR"),($M1061*2)/100,IF(AND($M1061&lt;&gt;"",$N1061="MND",$Q1061="EMBOQUE"),($AN1061*2)/100,0))</f>
        <v>0.721</v>
      </c>
      <c r="BI1061" s="153" t="n">
        <f aca="false">IF(AND($M1061&lt;&gt;"",$N1061="VCA",$Q1061="LINEAR"),$M1061,IF(AND($M1061&lt;&gt;"",$N1061="MND",$Q1061="EMBOQUE"),$AN1061*2,0))</f>
        <v>36.05</v>
      </c>
      <c r="BJ1061" s="153" t="n">
        <f aca="false">IF(AND($M1061&lt;&gt;"",$N1061="VCA",$Q1061="LINEAR"),($M1061*6.8)/100,IF(AND($M1061&lt;&gt;"",$N1061="MND",$Q1061="EMBOQUE"),($AN1061*2*6.8)/100,0))</f>
        <v>2.4514</v>
      </c>
      <c r="BK1061" s="153" t="n">
        <f aca="false">IF(AND($M1061&lt;&gt;"",$N1061="VCA",$Q1061="LINEAR"),($M1061*2.5)/50,IF(AND($M1061&lt;&gt;"",$N1061="MND",$Q1061="EMBOQUE"),($AN1061*2*2.5)/50,0))</f>
        <v>1.8025</v>
      </c>
      <c r="BL1061" s="157" t="str">
        <f aca="false">K1061&amp;J1061</f>
        <v>Zona09REDES</v>
      </c>
      <c r="BM1061" s="152" t="s">
        <v>5109</v>
      </c>
      <c r="BN1061" s="152" t="s">
        <v>1560</v>
      </c>
      <c r="BO1061" s="152" t="s">
        <v>4454</v>
      </c>
      <c r="BP1061" s="152" t="s">
        <v>5572</v>
      </c>
      <c r="BQ1061" s="152" t="s">
        <v>5573</v>
      </c>
      <c r="BR1061" s="152" t="s">
        <v>5574</v>
      </c>
      <c r="BS1061" s="152" t="n">
        <v>203456.366</v>
      </c>
      <c r="BT1061" s="152" t="n">
        <v>8236184.329</v>
      </c>
      <c r="BU1061" s="152" t="n">
        <v>203465.343</v>
      </c>
      <c r="BV1061" s="152" t="n">
        <v>8236149.543</v>
      </c>
      <c r="BW1061" s="152" t="n">
        <v>-15.9360713</v>
      </c>
      <c r="BX1061" s="152" t="n">
        <v>-47.7698102</v>
      </c>
      <c r="BY1061" s="152" t="s">
        <v>5572</v>
      </c>
    </row>
    <row r="1062" customFormat="false" ht="13.8" hidden="false" customHeight="false" outlineLevel="0" collapsed="false">
      <c r="A1062" s="149" t="n">
        <f aca="false">IF(C1062&lt;&gt;"",ROW(A1057),"")</f>
        <v>1057</v>
      </c>
      <c r="B1062" s="150" t="str">
        <f aca="false">HYPERLINK("https://www.google.com/maps/dir/-15.917302,-47.760003/-15.9363226,-47.7716032/data=!4m3!4m2!3e0!5i1")</f>
        <v>https://www.google.com/maps/dir/-15.917302,-47.760003/-15.9363226,-47.7716032/data=!4m3!4m2!3e0!5i1</v>
      </c>
      <c r="C1062" s="151" t="s">
        <v>117</v>
      </c>
      <c r="D1062" s="152" t="s">
        <v>112</v>
      </c>
      <c r="E1062" s="152" t="s">
        <v>113</v>
      </c>
      <c r="F1062" s="152" t="s">
        <v>117</v>
      </c>
      <c r="G1062" s="152" t="s">
        <v>782</v>
      </c>
      <c r="H1062" s="152" t="n">
        <v>63</v>
      </c>
      <c r="I1062" s="152" t="s">
        <v>115</v>
      </c>
      <c r="J1062" s="152" t="s">
        <v>6</v>
      </c>
      <c r="K1062" s="152" t="s">
        <v>5106</v>
      </c>
      <c r="L1062" s="152" t="s">
        <v>120</v>
      </c>
      <c r="M1062" s="153" t="n">
        <f aca="false">193.55</f>
        <v>193.55</v>
      </c>
      <c r="N1062" s="152" t="s">
        <v>1548</v>
      </c>
      <c r="O1062" s="152" t="s">
        <v>1549</v>
      </c>
      <c r="P1062" s="152" t="s">
        <v>1550</v>
      </c>
      <c r="Q1062" s="152" t="s">
        <v>1551</v>
      </c>
      <c r="R1062" s="154" t="s">
        <v>5575</v>
      </c>
      <c r="S1062" s="154" t="s">
        <v>1553</v>
      </c>
      <c r="T1062" s="155" t="s">
        <v>4451</v>
      </c>
      <c r="U1062" s="152" t="str">
        <f aca="false">RIGHT(T1062,7)</f>
        <v>018/037</v>
      </c>
      <c r="V1062" s="152" t="s">
        <v>1555</v>
      </c>
      <c r="W1062" s="156" t="n">
        <v>45882</v>
      </c>
      <c r="X1062" s="152" t="s">
        <v>1594</v>
      </c>
      <c r="Y1062" s="152"/>
      <c r="Z1062" s="152" t="s">
        <v>1557</v>
      </c>
      <c r="AA1062" s="153" t="n">
        <v>6</v>
      </c>
      <c r="AB1062" s="151" t="s">
        <v>5576</v>
      </c>
      <c r="AC1062" s="151" t="s">
        <v>186</v>
      </c>
      <c r="AD1062" s="151" t="str">
        <f aca="false">CONCATENATE($C1062,$I1062,$H1062,$N1062,$J1062,$K1062)</f>
        <v>TUBO PEADPEAD63VCAREDESZona09</v>
      </c>
      <c r="AE1062" s="153" t="n">
        <f aca="false">IFERROR(INDEX(APOIO_REDES!$A:$W,MATCH($C1062&amp;$I1062&amp;$H1062&amp;$N1062&amp;$O1062,APOIO_REDES!$W:$W,0),MATCH(AE$5,APOIO_REDES!$5:$5,0)),0)</f>
        <v>1.2</v>
      </c>
      <c r="AF1062" s="153" t="n">
        <f aca="false">IFERROR(INDEX(APOIO_REDES!$A:$W,MATCH($C1062&amp;$I1062&amp;$H1062&amp;$N1062&amp;$O1062,APOIO_REDES!$W:$W,0),MATCH(AF$5,APOIO_REDES!$5:$5,0)),0)</f>
        <v>1.363</v>
      </c>
      <c r="AG1062" s="153" t="n">
        <f aca="false">IFERROR(INDEX(APOIO_REDES!$A:$W,MATCH($C1062&amp;$I1062&amp;$H1062&amp;$N1062&amp;$O1062,APOIO_REDES!$W:$W,0),MATCH(AG$5,APOIO_REDES!$5:$5,0)),0)</f>
        <v>0.65</v>
      </c>
      <c r="AH1062" s="153" t="n">
        <f aca="false">IFERROR(INDEX(APOIO_REDES!$A:$W,MATCH($C1062&amp;$I1062&amp;$H1062&amp;$N1062&amp;$O1062,APOIO_REDES!$W:$W,0),MATCH(AH$5,APOIO_REDES!$5:$5,0)),0)</f>
        <v>0.1</v>
      </c>
      <c r="AI1062" s="153" t="n">
        <f aca="false">IFERROR(IF($H1062&lt;&gt;"",(((($H1062/1000)/2)^2)*PI()*$M1062),0),0)</f>
        <v>0.603342829852012</v>
      </c>
      <c r="AJ1062" s="153" t="n">
        <f aca="false">IFERROR(IF(AND($H1062&lt;&gt;"",$I1062="FoFo",OR($N1062="MND",$N1062="VCA"),$Q1062="LINEAR"),0,IF(AND($H1062&lt;&gt;"",$I1062="PEAD",$N1062="VCA",$Q1062="LINEAR"),($H1062/1000)+0.3,IF(AND($H1062&lt;&gt;"",$I1062="PEAD",$N1062="MND",$Q1062="EMBOQUE"),0,IF(AND($H1062&lt;&gt;"",$I1062="PVC",$N1062="VCA",$Q1062="LINEAR"),($H1062/1000)+0.2,IF(AND($H1062&lt;&gt;"",$I1062="PVC",$N1062="MND",$Q1062="EMBOQUE"),0,IF(AND($H1062&lt;&gt;"",$I1062="PEAD",$N1062="VCA",$Q1062="PREDIAL"),0,0)))))),0)</f>
        <v>0.363</v>
      </c>
      <c r="AK1062" s="153" t="n">
        <f aca="false">IF(AA1062&lt;&gt;"",AA1062,0)</f>
        <v>6</v>
      </c>
      <c r="AL1062" s="153" t="n">
        <f aca="false">IF(AND($N1062="MND",$Q1062="EMBOQUE"),$M1062,IF(AND($N1062="VCA",$Q1062="LINEAR"),$M1062,IF(AND($N1062="VCA",$Q1062="PREDIAL"),0,0)))</f>
        <v>193.55</v>
      </c>
      <c r="AM1062" s="153" t="n">
        <f aca="false">IF(AND($N1062="MND",$Q1062="EMBOQUE"),$M1062,IF(AND($N1062="VCA",$Q1062="LINEAR"),$M1062,IF(AND($N1062="VCA",$Q1062="PREDIAL"),0,0)))</f>
        <v>193.55</v>
      </c>
      <c r="AN1062" s="153" t="n">
        <f aca="false">ROUND(IF(AND($N1062="VCA",$M1062&lt;&gt;"",$Q1062="LINEAR"),$M1062/100,IF(AND($N1062="MND",$M1062&gt;100,$Q1062="EMBOQUE"),$M1062/100,0)),0)</f>
        <v>2</v>
      </c>
      <c r="AO1062" s="153" t="n">
        <f aca="false">IF(AND($N1062="MND",$Q1062="EMBOQUE"),$AN1062*2*2,IF(AND($N1062="VCA",$Q1062="LINEAR"),$M1062*2,IF(AND($N1062="VCA",$Q1062="PREDIAL"),0,0)))</f>
        <v>387.1</v>
      </c>
      <c r="AP1062" s="153" t="n">
        <f aca="false">IFERROR($M1062*$AF1062*$AG1062,0)</f>
        <v>171.4756225</v>
      </c>
      <c r="AQ1062" s="153" t="n">
        <f aca="false">IFERROR(IF(AND($N1062="VCA",$AH1062&gt;0),$M1062*$AG1062*$AH1062,0),0)</f>
        <v>12.58075</v>
      </c>
      <c r="AR1062" s="153" t="n">
        <f aca="false">IFERROR(IF(AND($N1062="VCA",$AJ1062&gt;0),($M1062*$AG1062*$AJ1062)-$AI1062,0),0)</f>
        <v>45.064779670148</v>
      </c>
      <c r="AS1062" s="153" t="n">
        <f aca="false">IFERROR(IF(AND($N1062="VCA",$AP1062&gt;0),$AP1062-$AI1062-$AQ1062-$AR1062,0),0)</f>
        <v>113.22675</v>
      </c>
      <c r="AT1062" s="153" t="n">
        <f aca="false">IFERROR(IF($N1062="VCA",INDEX(APOIO_REDES!$A:$W,MATCH($C1062&amp;$I1062&amp;$H1062&amp;$N1062&amp;$O1062,APOIO_REDES!$W:$W,0),MATCH(AT$5,APOIO_REDES!$5:$5,0)),0)*$AP1062,0)</f>
        <v>1.86570552699352</v>
      </c>
      <c r="AU1062" s="153" t="n">
        <f aca="false">IFERROR(IF($N1062="VCA",INDEX(APOIO_REDES!$A:$W,MATCH($C1062&amp;$I1062&amp;$H1062&amp;$N1062&amp;$O1062,APOIO_REDES!$W:$W,0),MATCH(AU$5,APOIO_REDES!$5:$5,0)),0)*$AP1062,0)</f>
        <v>1.48990190414315</v>
      </c>
      <c r="AV1062" s="153" t="n">
        <f aca="false">IFERROR(IF($N1062="VCA",INDEX(APOIO_REDES!$A:$W,MATCH($C1062&amp;$I1062&amp;$H1062&amp;$N1062&amp;$O1062,APOIO_REDES!$W:$W,0),MATCH(AV$5,APOIO_REDES!$5:$5,0)),0)*$AP1062,0)</f>
        <v>0.206190727344879</v>
      </c>
      <c r="AW1062" s="153" t="n">
        <f aca="false">IFERROR(IF($N1062="VCA",INDEX(APOIO_REDES!$A:$W,MATCH($C1062&amp;$I1062&amp;$H1062&amp;$N1062&amp;$O1062,APOIO_REDES!$W:$W,0),MATCH(AW$5,APOIO_REDES!$5:$5,0)),0)*$AP1062,0)</f>
        <v>117.702195941958</v>
      </c>
      <c r="AX1062" s="153" t="n">
        <f aca="false">IFERROR(IF($N1062="VCA",INDEX(APOIO_REDES!$A:$W,MATCH($C1062&amp;$I1062&amp;$H1062&amp;$N1062&amp;$O1062,APOIO_REDES!$W:$W,0),MATCH(AX$5,APOIO_REDES!$5:$5,0)),0)*$AP1062,0)</f>
        <v>16.2896486373154</v>
      </c>
      <c r="AY1062" s="153" t="n">
        <f aca="false">IFERROR(IF($N1062="VCA",INDEX(APOIO_REDES!$A:$W,MATCH($C1062&amp;$I1062&amp;$H1062&amp;$N1062&amp;$O1062,APOIO_REDES!$W:$W,0),MATCH(AY$5,APOIO_REDES!$5:$5,0)),0)*$AP1062,0)</f>
        <v>29.7980199210795</v>
      </c>
      <c r="AZ1062" s="153" t="n">
        <f aca="false">IFERROR(IF($N1062="VCA",INDEX(APOIO_REDES!$A:$W,MATCH($C1062&amp;$I1062&amp;$H1062&amp;$N1062&amp;$O1062,APOIO_REDES!$W:$W,0),MATCH(AZ$5,APOIO_REDES!$5:$5,0)),0)*$AP1062,0)</f>
        <v>4.12395984116507</v>
      </c>
      <c r="BA1062" s="153" t="n">
        <f aca="false">IFERROR(IF(AND($N1062="VCA",$Q1062="LINEAR"),INDEX(APOIO_REDES!$A:$W,MATCH($C1062&amp;$I1062&amp;$H1062&amp;$N1062&amp;$O1062,APOIO_REDES!$W:$W,0),MATCH(BA$5,APOIO_REDES!$5:$5,0)),IF(AND($N1062="MND",$Q1062="EMBOQUE"),INDEX(APOIO_REDES!$A:$W,MATCH($C1062&amp;$I1062&amp;$H1062&amp;$N1062&amp;$O1062,APOIO_REDES!$W:$W,0),MATCH(BA$5,APOIO_REDES!$5:$5,0)),0))*$M1062/10,0)</f>
        <v>15.5996417855665</v>
      </c>
      <c r="BB1062" s="153" t="n">
        <f aca="false">IFERROR(IF($N1062="VCA",INDEX(APOIO_REDES!$A:$W,MATCH($C1062&amp;$I1062&amp;$H1062&amp;$N1062&amp;$O1062,APOIO_REDES!$W:$W,0),MATCH(BB$5,APOIO_REDES!$5:$5,0)),0)*($AI1062+$AQ1062+$AR1062),0)</f>
        <v>57.6151075264138</v>
      </c>
      <c r="BC1062" s="153" t="n">
        <f aca="false">IFERROR(IF($N1062="VCA",INDEX(APOIO_REDES!$A:$W,MATCH($C1062&amp;$I1062&amp;$H1062&amp;$N1062&amp;$O1062,APOIO_REDES!$W:$W,0),MATCH(BC$5,APOIO_REDES!$5:$5,0)),0)*($AI1062+$AQ1062+$AR1062),0)</f>
        <v>0.633764973586206</v>
      </c>
      <c r="BD1062" s="153" t="n">
        <f aca="false">IF(AND($N1062="VCA",$AF1062&gt;=1.25,$AF1062&lt;1.5),$M1062*$AF1062*2,0)</f>
        <v>527.6173</v>
      </c>
      <c r="BE1062" s="153" t="n">
        <f aca="false">IF(AND($N1062="VCA",$AF1062&gt;=1.5,$AF1062&lt;3),$M1062*$AF1062*2,0)</f>
        <v>0</v>
      </c>
      <c r="BF1062" s="153" t="n">
        <f aca="false">IF(AND($N1062="VCA",$AF1062&gt;=3),$M1062*$AF1062*2,0)</f>
        <v>0</v>
      </c>
      <c r="BG1062" s="153" t="n">
        <f aca="false">($BB1062+$BC1062)*$AK1062</f>
        <v>349.493235</v>
      </c>
      <c r="BH1062" s="153" t="n">
        <f aca="false">IF(AND($M1062&lt;&gt;"",$N1062="VCA",$Q1062="LINEAR"),($M1062*2)/100,IF(AND($M1062&lt;&gt;"",$N1062="MND",$Q1062="EMBOQUE"),($AN1062*2)/100,0))</f>
        <v>3.871</v>
      </c>
      <c r="BI1062" s="153" t="n">
        <f aca="false">IF(AND($M1062&lt;&gt;"",$N1062="VCA",$Q1062="LINEAR"),$M1062,IF(AND($M1062&lt;&gt;"",$N1062="MND",$Q1062="EMBOQUE"),$AN1062*2,0))</f>
        <v>193.55</v>
      </c>
      <c r="BJ1062" s="153" t="n">
        <f aca="false">IF(AND($M1062&lt;&gt;"",$N1062="VCA",$Q1062="LINEAR"),($M1062*6.8)/100,IF(AND($M1062&lt;&gt;"",$N1062="MND",$Q1062="EMBOQUE"),($AN1062*2*6.8)/100,0))</f>
        <v>13.1614</v>
      </c>
      <c r="BK1062" s="153" t="n">
        <f aca="false">IF(AND($M1062&lt;&gt;"",$N1062="VCA",$Q1062="LINEAR"),($M1062*2.5)/50,IF(AND($M1062&lt;&gt;"",$N1062="MND",$Q1062="EMBOQUE"),($AN1062*2*2.5)/50,0))</f>
        <v>9.6775</v>
      </c>
      <c r="BL1062" s="157" t="str">
        <f aca="false">K1062&amp;J1062</f>
        <v>Zona09REDES</v>
      </c>
      <c r="BM1062" s="152" t="s">
        <v>5109</v>
      </c>
      <c r="BN1062" s="152" t="s">
        <v>1560</v>
      </c>
      <c r="BO1062" s="152" t="s">
        <v>4454</v>
      </c>
      <c r="BP1062" s="152" t="s">
        <v>5568</v>
      </c>
      <c r="BQ1062" s="152" t="s">
        <v>5572</v>
      </c>
      <c r="BR1062" s="152" t="s">
        <v>5577</v>
      </c>
      <c r="BS1062" s="152" t="n">
        <v>203269.128</v>
      </c>
      <c r="BT1062" s="152" t="n">
        <v>8236136.554</v>
      </c>
      <c r="BU1062" s="152" t="n">
        <v>203456.366</v>
      </c>
      <c r="BV1062" s="152" t="n">
        <v>8236184.329</v>
      </c>
      <c r="BW1062" s="152" t="n">
        <v>-15.9361049</v>
      </c>
      <c r="BX1062" s="152" t="n">
        <v>-47.7707297</v>
      </c>
      <c r="BY1062" s="152" t="s">
        <v>5568</v>
      </c>
    </row>
    <row r="1063" customFormat="false" ht="13.8" hidden="false" customHeight="false" outlineLevel="0" collapsed="false">
      <c r="A1063" s="149" t="n">
        <f aca="false">IF(C1063&lt;&gt;"",ROW(A1058),"")</f>
        <v>1058</v>
      </c>
      <c r="B1063" s="150" t="str">
        <f aca="false">HYPERLINK("https://www.google.com/maps/dir/-15.917302,-47.760003/-15.9371521,-47.7728633/data=!4m3!4m2!3e0!5i2")</f>
        <v>https://www.google.com/maps/dir/-15.917302,-47.760003/-15.9371521,-47.7728633/data=!4m3!4m2!3e0!5i2</v>
      </c>
      <c r="C1063" s="151" t="s">
        <v>117</v>
      </c>
      <c r="D1063" s="152" t="s">
        <v>112</v>
      </c>
      <c r="E1063" s="152" t="s">
        <v>113</v>
      </c>
      <c r="F1063" s="152" t="s">
        <v>117</v>
      </c>
      <c r="G1063" s="152" t="s">
        <v>782</v>
      </c>
      <c r="H1063" s="152" t="n">
        <v>63</v>
      </c>
      <c r="I1063" s="152" t="s">
        <v>115</v>
      </c>
      <c r="J1063" s="152" t="s">
        <v>6</v>
      </c>
      <c r="K1063" s="152" t="s">
        <v>5106</v>
      </c>
      <c r="L1063" s="152" t="s">
        <v>120</v>
      </c>
      <c r="M1063" s="153" t="n">
        <f aca="false">50.97+4.02</f>
        <v>54.99</v>
      </c>
      <c r="N1063" s="152" t="s">
        <v>1548</v>
      </c>
      <c r="O1063" s="152" t="s">
        <v>1549</v>
      </c>
      <c r="P1063" s="152" t="s">
        <v>1550</v>
      </c>
      <c r="Q1063" s="152" t="s">
        <v>1551</v>
      </c>
      <c r="R1063" s="154" t="s">
        <v>5578</v>
      </c>
      <c r="S1063" s="154" t="s">
        <v>1553</v>
      </c>
      <c r="T1063" s="155" t="s">
        <v>5579</v>
      </c>
      <c r="U1063" s="152" t="str">
        <f aca="false">RIGHT(T1063,7)</f>
        <v>022/037</v>
      </c>
      <c r="V1063" s="152" t="s">
        <v>1555</v>
      </c>
      <c r="W1063" s="156" t="n">
        <v>45882</v>
      </c>
      <c r="X1063" s="152" t="s">
        <v>1594</v>
      </c>
      <c r="Y1063" s="152" t="s">
        <v>5580</v>
      </c>
      <c r="Z1063" s="152" t="s">
        <v>1557</v>
      </c>
      <c r="AA1063" s="153" t="n">
        <v>6.1</v>
      </c>
      <c r="AB1063" s="151" t="s">
        <v>5581</v>
      </c>
      <c r="AC1063" s="151" t="s">
        <v>186</v>
      </c>
      <c r="AD1063" s="151" t="str">
        <f aca="false">CONCATENATE($C1063,$I1063,$H1063,$N1063,$J1063,$K1063)</f>
        <v>TUBO PEADPEAD63VCAREDESZona09</v>
      </c>
      <c r="AE1063" s="153" t="n">
        <f aca="false">IFERROR(INDEX(APOIO_REDES!$A:$W,MATCH($C1063&amp;$I1063&amp;$H1063&amp;$N1063&amp;$O1063,APOIO_REDES!$W:$W,0),MATCH(AE$5,APOIO_REDES!$5:$5,0)),0)</f>
        <v>1.2</v>
      </c>
      <c r="AF1063" s="153" t="n">
        <f aca="false">IFERROR(INDEX(APOIO_REDES!$A:$W,MATCH($C1063&amp;$I1063&amp;$H1063&amp;$N1063&amp;$O1063,APOIO_REDES!$W:$W,0),MATCH(AF$5,APOIO_REDES!$5:$5,0)),0)</f>
        <v>1.363</v>
      </c>
      <c r="AG1063" s="153" t="n">
        <f aca="false">IFERROR(INDEX(APOIO_REDES!$A:$W,MATCH($C1063&amp;$I1063&amp;$H1063&amp;$N1063&amp;$O1063,APOIO_REDES!$W:$W,0),MATCH(AG$5,APOIO_REDES!$5:$5,0)),0)</f>
        <v>0.65</v>
      </c>
      <c r="AH1063" s="153" t="n">
        <f aca="false">IFERROR(INDEX(APOIO_REDES!$A:$W,MATCH($C1063&amp;$I1063&amp;$H1063&amp;$N1063&amp;$O1063,APOIO_REDES!$W:$W,0),MATCH(AH$5,APOIO_REDES!$5:$5,0)),0)</f>
        <v>0.1</v>
      </c>
      <c r="AI1063" s="153" t="n">
        <f aca="false">IFERROR(IF($H1063&lt;&gt;"",(((($H1063/1000)/2)^2)*PI()*$M1063),0),0)</f>
        <v>0.171417319625741</v>
      </c>
      <c r="AJ1063" s="153" t="n">
        <f aca="false">IFERROR(IF(AND($H1063&lt;&gt;"",$I1063="FoFo",OR($N1063="MND",$N1063="VCA"),$Q1063="LINEAR"),0,IF(AND($H1063&lt;&gt;"",$I1063="PEAD",$N1063="VCA",$Q1063="LINEAR"),($H1063/1000)+0.3,IF(AND($H1063&lt;&gt;"",$I1063="PEAD",$N1063="MND",$Q1063="EMBOQUE"),0,IF(AND($H1063&lt;&gt;"",$I1063="PVC",$N1063="VCA",$Q1063="LINEAR"),($H1063/1000)+0.2,IF(AND($H1063&lt;&gt;"",$I1063="PVC",$N1063="MND",$Q1063="EMBOQUE"),0,IF(AND($H1063&lt;&gt;"",$I1063="PEAD",$N1063="VCA",$Q1063="PREDIAL"),0,0)))))),0)</f>
        <v>0.363</v>
      </c>
      <c r="AK1063" s="153" t="n">
        <f aca="false">IF(AA1063&lt;&gt;"",AA1063,0)</f>
        <v>6.1</v>
      </c>
      <c r="AL1063" s="153" t="n">
        <f aca="false">IF(AND($N1063="MND",$Q1063="EMBOQUE"),$M1063,IF(AND($N1063="VCA",$Q1063="LINEAR"),$M1063,IF(AND($N1063="VCA",$Q1063="PREDIAL"),0,0)))</f>
        <v>54.99</v>
      </c>
      <c r="AM1063" s="153" t="n">
        <f aca="false">IF(AND($N1063="MND",$Q1063="EMBOQUE"),$M1063,IF(AND($N1063="VCA",$Q1063="LINEAR"),$M1063,IF(AND($N1063="VCA",$Q1063="PREDIAL"),0,0)))</f>
        <v>54.99</v>
      </c>
      <c r="AN1063" s="153" t="n">
        <f aca="false">ROUND(IF(AND($N1063="VCA",$M1063&lt;&gt;"",$Q1063="LINEAR"),$M1063/100,IF(AND($N1063="MND",$M1063&gt;100,$Q1063="EMBOQUE"),$M1063/100,0)),0)</f>
        <v>1</v>
      </c>
      <c r="AO1063" s="153" t="n">
        <f aca="false">IF(AND($N1063="MND",$Q1063="EMBOQUE"),$AN1063*2*2,IF(AND($N1063="VCA",$Q1063="LINEAR"),$M1063*2,IF(AND($N1063="VCA",$Q1063="PREDIAL"),0,0)))</f>
        <v>109.98</v>
      </c>
      <c r="AP1063" s="153" t="n">
        <f aca="false">IFERROR($M1063*$AF1063*$AG1063,0)</f>
        <v>48.7183905</v>
      </c>
      <c r="AQ1063" s="153" t="n">
        <f aca="false">IFERROR(IF(AND($N1063="VCA",$AH1063&gt;0),$M1063*$AG1063*$AH1063,0),0)</f>
        <v>3.57435</v>
      </c>
      <c r="AR1063" s="153" t="n">
        <f aca="false">IFERROR(IF(AND($N1063="VCA",$AJ1063&gt;0),($M1063*$AG1063*$AJ1063)-$AI1063,0),0)</f>
        <v>12.8034731803743</v>
      </c>
      <c r="AS1063" s="153" t="n">
        <f aca="false">IFERROR(IF(AND($N1063="VCA",$AP1063&gt;0),$AP1063-$AI1063-$AQ1063-$AR1063,0),0)</f>
        <v>32.16915</v>
      </c>
      <c r="AT1063" s="153" t="n">
        <f aca="false">IFERROR(IF($N1063="VCA",INDEX(APOIO_REDES!$A:$W,MATCH($C1063&amp;$I1063&amp;$H1063&amp;$N1063&amp;$O1063,APOIO_REDES!$W:$W,0),MATCH(AT$5,APOIO_REDES!$5:$5,0)),0)*$AP1063,0)</f>
        <v>0.530070508547525</v>
      </c>
      <c r="AU1063" s="153" t="n">
        <f aca="false">IFERROR(IF($N1063="VCA",INDEX(APOIO_REDES!$A:$W,MATCH($C1063&amp;$I1063&amp;$H1063&amp;$N1063&amp;$O1063,APOIO_REDES!$W:$W,0),MATCH(AU$5,APOIO_REDES!$5:$5,0)),0)*$AP1063,0)</f>
        <v>0.423299951996031</v>
      </c>
      <c r="AV1063" s="153" t="n">
        <f aca="false">IFERROR(IF($N1063="VCA",INDEX(APOIO_REDES!$A:$W,MATCH($C1063&amp;$I1063&amp;$H1063&amp;$N1063&amp;$O1063,APOIO_REDES!$W:$W,0),MATCH(AV$5,APOIO_REDES!$5:$5,0)),0)*$AP1063,0)</f>
        <v>0.0585813903213377</v>
      </c>
      <c r="AW1063" s="153" t="n">
        <f aca="false">IFERROR(IF($N1063="VCA",INDEX(APOIO_REDES!$A:$W,MATCH($C1063&amp;$I1063&amp;$H1063&amp;$N1063&amp;$O1063,APOIO_REDES!$W:$W,0),MATCH(AW$5,APOIO_REDES!$5:$5,0)),0)*$AP1063,0)</f>
        <v>33.4406807277101</v>
      </c>
      <c r="AX1063" s="153" t="n">
        <f aca="false">IFERROR(IF($N1063="VCA",INDEX(APOIO_REDES!$A:$W,MATCH($C1063&amp;$I1063&amp;$H1063&amp;$N1063&amp;$O1063,APOIO_REDES!$W:$W,0),MATCH(AX$5,APOIO_REDES!$5:$5,0)),0)*$AP1063,0)</f>
        <v>4.62809495513291</v>
      </c>
      <c r="AY1063" s="153" t="n">
        <f aca="false">IFERROR(IF($N1063="VCA",INDEX(APOIO_REDES!$A:$W,MATCH($C1063&amp;$I1063&amp;$H1063&amp;$N1063&amp;$O1063,APOIO_REDES!$W:$W,0),MATCH(AY$5,APOIO_REDES!$5:$5,0)),0)*$AP1063,0)</f>
        <v>8.46599387992851</v>
      </c>
      <c r="AZ1063" s="153" t="n">
        <f aca="false">IFERROR(IF($N1063="VCA",INDEX(APOIO_REDES!$A:$W,MATCH($C1063&amp;$I1063&amp;$H1063&amp;$N1063&amp;$O1063,APOIO_REDES!$W:$W,0),MATCH(AZ$5,APOIO_REDES!$5:$5,0)),0)*$AP1063,0)</f>
        <v>1.17166908636356</v>
      </c>
      <c r="BA1063" s="153" t="n">
        <f aca="false">IFERROR(IF(AND($N1063="VCA",$Q1063="LINEAR"),INDEX(APOIO_REDES!$A:$W,MATCH($C1063&amp;$I1063&amp;$H1063&amp;$N1063&amp;$O1063,APOIO_REDES!$W:$W,0),MATCH(BA$5,APOIO_REDES!$5:$5,0)),IF(AND($N1063="MND",$Q1063="EMBOQUE"),INDEX(APOIO_REDES!$A:$W,MATCH($C1063&amp;$I1063&amp;$H1063&amp;$N1063&amp;$O1063,APOIO_REDES!$W:$W,0),MATCH(BA$5,APOIO_REDES!$5:$5,0)),0))*$M1063/10,0)</f>
        <v>4.43205529211212</v>
      </c>
      <c r="BB1063" s="153" t="n">
        <f aca="false">IFERROR(IF($N1063="VCA",INDEX(APOIO_REDES!$A:$W,MATCH($C1063&amp;$I1063&amp;$H1063&amp;$N1063&amp;$O1063,APOIO_REDES!$W:$W,0),MATCH(BB$5,APOIO_REDES!$5:$5,0)),0)*($AI1063+$AQ1063+$AR1063),0)</f>
        <v>16.3691798650348</v>
      </c>
      <c r="BC1063" s="153" t="n">
        <f aca="false">IFERROR(IF($N1063="VCA",INDEX(APOIO_REDES!$A:$W,MATCH($C1063&amp;$I1063&amp;$H1063&amp;$N1063&amp;$O1063,APOIO_REDES!$W:$W,0),MATCH(BC$5,APOIO_REDES!$5:$5,0)),0)*($AI1063+$AQ1063+$AR1063),0)</f>
        <v>0.180060634965154</v>
      </c>
      <c r="BD1063" s="153" t="n">
        <f aca="false">IF(AND($N1063="VCA",$AF1063&gt;=1.25,$AF1063&lt;1.5),$M1063*$AF1063*2,0)</f>
        <v>149.90274</v>
      </c>
      <c r="BE1063" s="153" t="n">
        <f aca="false">IF(AND($N1063="VCA",$AF1063&gt;=1.5,$AF1063&lt;3),$M1063*$AF1063*2,0)</f>
        <v>0</v>
      </c>
      <c r="BF1063" s="153" t="n">
        <f aca="false">IF(AND($N1063="VCA",$AF1063&gt;=3),$M1063*$AF1063*2,0)</f>
        <v>0</v>
      </c>
      <c r="BG1063" s="153" t="n">
        <f aca="false">($BB1063+$BC1063)*$AK1063</f>
        <v>100.95036705</v>
      </c>
      <c r="BH1063" s="153" t="n">
        <f aca="false">IF(AND($M1063&lt;&gt;"",$N1063="VCA",$Q1063="LINEAR"),($M1063*2)/100,IF(AND($M1063&lt;&gt;"",$N1063="MND",$Q1063="EMBOQUE"),($AN1063*2)/100,0))</f>
        <v>1.0998</v>
      </c>
      <c r="BI1063" s="153" t="n">
        <f aca="false">IF(AND($M1063&lt;&gt;"",$N1063="VCA",$Q1063="LINEAR"),$M1063,IF(AND($M1063&lt;&gt;"",$N1063="MND",$Q1063="EMBOQUE"),$AN1063*2,0))</f>
        <v>54.99</v>
      </c>
      <c r="BJ1063" s="153" t="n">
        <f aca="false">IF(AND($M1063&lt;&gt;"",$N1063="VCA",$Q1063="LINEAR"),($M1063*6.8)/100,IF(AND($M1063&lt;&gt;"",$N1063="MND",$Q1063="EMBOQUE"),($AN1063*2*6.8)/100,0))</f>
        <v>3.73932</v>
      </c>
      <c r="BK1063" s="153" t="n">
        <f aca="false">IF(AND($M1063&lt;&gt;"",$N1063="VCA",$Q1063="LINEAR"),($M1063*2.5)/50,IF(AND($M1063&lt;&gt;"",$N1063="MND",$Q1063="EMBOQUE"),($AN1063*2*2.5)/50,0))</f>
        <v>2.7495</v>
      </c>
      <c r="BL1063" s="157" t="str">
        <f aca="false">K1063&amp;J1063</f>
        <v>Zona09REDES</v>
      </c>
      <c r="BM1063" s="152" t="s">
        <v>5109</v>
      </c>
      <c r="BN1063" s="152" t="s">
        <v>1560</v>
      </c>
      <c r="BO1063" s="152" t="s">
        <v>5582</v>
      </c>
      <c r="BP1063" s="152" t="s">
        <v>5583</v>
      </c>
      <c r="BQ1063" s="152" t="s">
        <v>5584</v>
      </c>
      <c r="BR1063" s="152" t="s">
        <v>5585</v>
      </c>
      <c r="BS1063" s="152" t="n">
        <v>203135.35</v>
      </c>
      <c r="BT1063" s="152" t="n">
        <v>8236042.917</v>
      </c>
      <c r="BU1063" s="152" t="n">
        <v>203123.511</v>
      </c>
      <c r="BV1063" s="152" t="n">
        <v>8236092.494</v>
      </c>
      <c r="BW1063" s="152" t="n">
        <v>-15.9369276</v>
      </c>
      <c r="BX1063" s="152" t="n">
        <v>-47.7729155</v>
      </c>
      <c r="BY1063" s="152" t="s">
        <v>5583</v>
      </c>
    </row>
    <row r="1064" customFormat="false" ht="13.8" hidden="false" customHeight="false" outlineLevel="0" collapsed="false">
      <c r="A1064" s="149" t="n">
        <f aca="false">IF(C1064&lt;&gt;"",ROW(A1059),"")</f>
        <v>1059</v>
      </c>
      <c r="B1064" s="150" t="str">
        <f aca="false">HYPERLINK("https://www.google.com/maps/dir/-15.917302,-47.760003/-15.9370949,-47.7743986/data=!4m3!4m2!3e0!5i2")</f>
        <v>https://www.google.com/maps/dir/-15.917302,-47.760003/-15.9370949,-47.7743986/data=!4m3!4m2!3e0!5i2</v>
      </c>
      <c r="C1064" s="151" t="s">
        <v>117</v>
      </c>
      <c r="D1064" s="152" t="s">
        <v>112</v>
      </c>
      <c r="E1064" s="152" t="s">
        <v>113</v>
      </c>
      <c r="F1064" s="152" t="s">
        <v>117</v>
      </c>
      <c r="G1064" s="152" t="s">
        <v>782</v>
      </c>
      <c r="H1064" s="152" t="n">
        <v>63</v>
      </c>
      <c r="I1064" s="152" t="s">
        <v>115</v>
      </c>
      <c r="J1064" s="152" t="s">
        <v>6</v>
      </c>
      <c r="K1064" s="152" t="s">
        <v>5106</v>
      </c>
      <c r="L1064" s="152" t="s">
        <v>120</v>
      </c>
      <c r="M1064" s="153" t="n">
        <f aca="false">109.5</f>
        <v>109.5</v>
      </c>
      <c r="N1064" s="152" t="s">
        <v>1548</v>
      </c>
      <c r="O1064" s="152" t="s">
        <v>1549</v>
      </c>
      <c r="P1064" s="152" t="s">
        <v>1550</v>
      </c>
      <c r="Q1064" s="152" t="s">
        <v>1551</v>
      </c>
      <c r="R1064" s="154" t="s">
        <v>5586</v>
      </c>
      <c r="S1064" s="154" t="s">
        <v>1553</v>
      </c>
      <c r="T1064" s="155" t="s">
        <v>5579</v>
      </c>
      <c r="U1064" s="152" t="str">
        <f aca="false">RIGHT(T1064,7)</f>
        <v>022/037</v>
      </c>
      <c r="V1064" s="152" t="s">
        <v>1555</v>
      </c>
      <c r="W1064" s="156" t="n">
        <v>45882</v>
      </c>
      <c r="X1064" s="152" t="s">
        <v>1594</v>
      </c>
      <c r="Y1064" s="152"/>
      <c r="Z1064" s="152" t="s">
        <v>1557</v>
      </c>
      <c r="AA1064" s="153" t="n">
        <v>6.4</v>
      </c>
      <c r="AB1064" s="151" t="s">
        <v>5587</v>
      </c>
      <c r="AC1064" s="151" t="s">
        <v>186</v>
      </c>
      <c r="AD1064" s="151" t="str">
        <f aca="false">CONCATENATE($C1064,$I1064,$H1064,$N1064,$J1064,$K1064)</f>
        <v>TUBO PEADPEAD63VCAREDESZona09</v>
      </c>
      <c r="AE1064" s="153" t="n">
        <f aca="false">IFERROR(INDEX(APOIO_REDES!$A:$W,MATCH($C1064&amp;$I1064&amp;$H1064&amp;$N1064&amp;$O1064,APOIO_REDES!$W:$W,0),MATCH(AE$5,APOIO_REDES!$5:$5,0)),0)</f>
        <v>1.2</v>
      </c>
      <c r="AF1064" s="153" t="n">
        <f aca="false">IFERROR(INDEX(APOIO_REDES!$A:$W,MATCH($C1064&amp;$I1064&amp;$H1064&amp;$N1064&amp;$O1064,APOIO_REDES!$W:$W,0),MATCH(AF$5,APOIO_REDES!$5:$5,0)),0)</f>
        <v>1.363</v>
      </c>
      <c r="AG1064" s="153" t="n">
        <f aca="false">IFERROR(INDEX(APOIO_REDES!$A:$W,MATCH($C1064&amp;$I1064&amp;$H1064&amp;$N1064&amp;$O1064,APOIO_REDES!$W:$W,0),MATCH(AG$5,APOIO_REDES!$5:$5,0)),0)</f>
        <v>0.65</v>
      </c>
      <c r="AH1064" s="153" t="n">
        <f aca="false">IFERROR(INDEX(APOIO_REDES!$A:$W,MATCH($C1064&amp;$I1064&amp;$H1064&amp;$N1064&amp;$O1064,APOIO_REDES!$W:$W,0),MATCH(AH$5,APOIO_REDES!$5:$5,0)),0)</f>
        <v>0.1</v>
      </c>
      <c r="AI1064" s="153" t="n">
        <f aca="false">IFERROR(IF($H1064&lt;&gt;"",(((($H1064/1000)/2)^2)*PI()*$M1064),0),0)</f>
        <v>0.34133836150243</v>
      </c>
      <c r="AJ1064" s="153" t="n">
        <f aca="false">IFERROR(IF(AND($H1064&lt;&gt;"",$I1064="FoFo",OR($N1064="MND",$N1064="VCA"),$Q1064="LINEAR"),0,IF(AND($H1064&lt;&gt;"",$I1064="PEAD",$N1064="VCA",$Q1064="LINEAR"),($H1064/1000)+0.3,IF(AND($H1064&lt;&gt;"",$I1064="PEAD",$N1064="MND",$Q1064="EMBOQUE"),0,IF(AND($H1064&lt;&gt;"",$I1064="PVC",$N1064="VCA",$Q1064="LINEAR"),($H1064/1000)+0.2,IF(AND($H1064&lt;&gt;"",$I1064="PVC",$N1064="MND",$Q1064="EMBOQUE"),0,IF(AND($H1064&lt;&gt;"",$I1064="PEAD",$N1064="VCA",$Q1064="PREDIAL"),0,0)))))),0)</f>
        <v>0.363</v>
      </c>
      <c r="AK1064" s="153" t="n">
        <f aca="false">IF(AA1064&lt;&gt;"",AA1064,0)</f>
        <v>6.4</v>
      </c>
      <c r="AL1064" s="153" t="n">
        <f aca="false">IF(AND($N1064="MND",$Q1064="EMBOQUE"),$M1064,IF(AND($N1064="VCA",$Q1064="LINEAR"),$M1064,IF(AND($N1064="VCA",$Q1064="PREDIAL"),0,0)))</f>
        <v>109.5</v>
      </c>
      <c r="AM1064" s="153" t="n">
        <f aca="false">IF(AND($N1064="MND",$Q1064="EMBOQUE"),$M1064,IF(AND($N1064="VCA",$Q1064="LINEAR"),$M1064,IF(AND($N1064="VCA",$Q1064="PREDIAL"),0,0)))</f>
        <v>109.5</v>
      </c>
      <c r="AN1064" s="153" t="n">
        <f aca="false">ROUND(IF(AND($N1064="VCA",$M1064&lt;&gt;"",$Q1064="LINEAR"),$M1064/100,IF(AND($N1064="MND",$M1064&gt;100,$Q1064="EMBOQUE"),$M1064/100,0)),0)</f>
        <v>1</v>
      </c>
      <c r="AO1064" s="153" t="n">
        <f aca="false">IF(AND($N1064="MND",$Q1064="EMBOQUE"),$AN1064*2*2,IF(AND($N1064="VCA",$Q1064="LINEAR"),$M1064*2,IF(AND($N1064="VCA",$Q1064="PREDIAL"),0,0)))</f>
        <v>219</v>
      </c>
      <c r="AP1064" s="153" t="n">
        <f aca="false">IFERROR($M1064*$AF1064*$AG1064,0)</f>
        <v>97.011525</v>
      </c>
      <c r="AQ1064" s="153" t="n">
        <f aca="false">IFERROR(IF(AND($N1064="VCA",$AH1064&gt;0),$M1064*$AG1064*$AH1064,0),0)</f>
        <v>7.1175</v>
      </c>
      <c r="AR1064" s="153" t="n">
        <f aca="false">IFERROR(IF(AND($N1064="VCA",$AJ1064&gt;0),($M1064*$AG1064*$AJ1064)-$AI1064,0),0)</f>
        <v>25.4951866384976</v>
      </c>
      <c r="AS1064" s="153" t="n">
        <f aca="false">IFERROR(IF(AND($N1064="VCA",$AP1064&gt;0),$AP1064-$AI1064-$AQ1064-$AR1064,0),0)</f>
        <v>64.0575</v>
      </c>
      <c r="AT1064" s="153" t="n">
        <f aca="false">IFERROR(IF($N1064="VCA",INDEX(APOIO_REDES!$A:$W,MATCH($C1064&amp;$I1064&amp;$H1064&amp;$N1064&amp;$O1064,APOIO_REDES!$W:$W,0),MATCH(AT$5,APOIO_REDES!$5:$5,0)),0)*$AP1064,0)</f>
        <v>1.0555141059457</v>
      </c>
      <c r="AU1064" s="153" t="n">
        <f aca="false">IFERROR(IF($N1064="VCA",INDEX(APOIO_REDES!$A:$W,MATCH($C1064&amp;$I1064&amp;$H1064&amp;$N1064&amp;$O1064,APOIO_REDES!$W:$W,0),MATCH(AU$5,APOIO_REDES!$5:$5,0)),0)*$AP1064,0)</f>
        <v>0.842904978060836</v>
      </c>
      <c r="AV1064" s="153" t="n">
        <f aca="false">IFERROR(IF($N1064="VCA",INDEX(APOIO_REDES!$A:$W,MATCH($C1064&amp;$I1064&amp;$H1064&amp;$N1064&amp;$O1064,APOIO_REDES!$W:$W,0),MATCH(AV$5,APOIO_REDES!$5:$5,0)),0)*$AP1064,0)</f>
        <v>0.1166514319001</v>
      </c>
      <c r="AW1064" s="153" t="n">
        <f aca="false">IFERROR(IF($N1064="VCA",INDEX(APOIO_REDES!$A:$W,MATCH($C1064&amp;$I1064&amp;$H1064&amp;$N1064&amp;$O1064,APOIO_REDES!$W:$W,0),MATCH(AW$5,APOIO_REDES!$5:$5,0)),0)*$AP1064,0)</f>
        <v>66.589462441976</v>
      </c>
      <c r="AX1064" s="153" t="n">
        <f aca="false">IFERROR(IF($N1064="VCA",INDEX(APOIO_REDES!$A:$W,MATCH($C1064&amp;$I1064&amp;$H1064&amp;$N1064&amp;$O1064,APOIO_REDES!$W:$W,0),MATCH(AX$5,APOIO_REDES!$5:$5,0)),0)*$AP1064,0)</f>
        <v>9.2157919182952</v>
      </c>
      <c r="AY1064" s="153" t="n">
        <f aca="false">IFERROR(IF($N1064="VCA",INDEX(APOIO_REDES!$A:$W,MATCH($C1064&amp;$I1064&amp;$H1064&amp;$N1064&amp;$O1064,APOIO_REDES!$W:$W,0),MATCH(AY$5,APOIO_REDES!$5:$5,0)),0)*$AP1064,0)</f>
        <v>16.8580892862734</v>
      </c>
      <c r="AZ1064" s="153" t="n">
        <f aca="false">IFERROR(IF($N1064="VCA",INDEX(APOIO_REDES!$A:$W,MATCH($C1064&amp;$I1064&amp;$H1064&amp;$N1064&amp;$O1064,APOIO_REDES!$W:$W,0),MATCH(AZ$5,APOIO_REDES!$5:$5,0)),0)*$AP1064,0)</f>
        <v>2.33311083754883</v>
      </c>
      <c r="BA1064" s="153" t="n">
        <f aca="false">IFERROR(IF(AND($N1064="VCA",$Q1064="LINEAR"),INDEX(APOIO_REDES!$A:$W,MATCH($C1064&amp;$I1064&amp;$H1064&amp;$N1064&amp;$O1064,APOIO_REDES!$W:$W,0),MATCH(BA$5,APOIO_REDES!$5:$5,0)),IF(AND($N1064="MND",$Q1064="EMBOQUE"),INDEX(APOIO_REDES!$A:$W,MATCH($C1064&amp;$I1064&amp;$H1064&amp;$N1064&amp;$O1064,APOIO_REDES!$W:$W,0),MATCH(BA$5,APOIO_REDES!$5:$5,0)),0))*$M1064/10,0)</f>
        <v>8.82542379498594</v>
      </c>
      <c r="BB1064" s="153" t="n">
        <f aca="false">IFERROR(IF($N1064="VCA",INDEX(APOIO_REDES!$A:$W,MATCH($C1064&amp;$I1064&amp;$H1064&amp;$N1064&amp;$O1064,APOIO_REDES!$W:$W,0),MATCH(BB$5,APOIO_REDES!$5:$5,0)),0)*($AI1064+$AQ1064+$AR1064),0)</f>
        <v>32.5954754541065</v>
      </c>
      <c r="BC1064" s="153" t="n">
        <f aca="false">IFERROR(IF($N1064="VCA",INDEX(APOIO_REDES!$A:$W,MATCH($C1064&amp;$I1064&amp;$H1064&amp;$N1064&amp;$O1064,APOIO_REDES!$W:$W,0),MATCH(BC$5,APOIO_REDES!$5:$5,0)),0)*($AI1064+$AQ1064+$AR1064),0)</f>
        <v>0.358549545893514</v>
      </c>
      <c r="BD1064" s="153" t="n">
        <f aca="false">IF(AND($N1064="VCA",$AF1064&gt;=1.25,$AF1064&lt;1.5),$M1064*$AF1064*2,0)</f>
        <v>298.497</v>
      </c>
      <c r="BE1064" s="153" t="n">
        <f aca="false">IF(AND($N1064="VCA",$AF1064&gt;=1.5,$AF1064&lt;3),$M1064*$AF1064*2,0)</f>
        <v>0</v>
      </c>
      <c r="BF1064" s="153" t="n">
        <f aca="false">IF(AND($N1064="VCA",$AF1064&gt;=3),$M1064*$AF1064*2,0)</f>
        <v>0</v>
      </c>
      <c r="BG1064" s="153" t="n">
        <f aca="false">($BB1064+$BC1064)*$AK1064</f>
        <v>210.90576</v>
      </c>
      <c r="BH1064" s="153" t="n">
        <f aca="false">IF(AND($M1064&lt;&gt;"",$N1064="VCA",$Q1064="LINEAR"),($M1064*2)/100,IF(AND($M1064&lt;&gt;"",$N1064="MND",$Q1064="EMBOQUE"),($AN1064*2)/100,0))</f>
        <v>2.19</v>
      </c>
      <c r="BI1064" s="153" t="n">
        <f aca="false">IF(AND($M1064&lt;&gt;"",$N1064="VCA",$Q1064="LINEAR"),$M1064,IF(AND($M1064&lt;&gt;"",$N1064="MND",$Q1064="EMBOQUE"),$AN1064*2,0))</f>
        <v>109.5</v>
      </c>
      <c r="BJ1064" s="153" t="n">
        <f aca="false">IF(AND($M1064&lt;&gt;"",$N1064="VCA",$Q1064="LINEAR"),($M1064*6.8)/100,IF(AND($M1064&lt;&gt;"",$N1064="MND",$Q1064="EMBOQUE"),($AN1064*2*6.8)/100,0))</f>
        <v>7.446</v>
      </c>
      <c r="BK1064" s="153" t="n">
        <f aca="false">IF(AND($M1064&lt;&gt;"",$N1064="VCA",$Q1064="LINEAR"),($M1064*2.5)/50,IF(AND($M1064&lt;&gt;"",$N1064="MND",$Q1064="EMBOQUE"),($AN1064*2*2.5)/50,0))</f>
        <v>5.475</v>
      </c>
      <c r="BL1064" s="157" t="str">
        <f aca="false">K1064&amp;J1064</f>
        <v>Zona09REDES</v>
      </c>
      <c r="BM1064" s="152" t="s">
        <v>5109</v>
      </c>
      <c r="BN1064" s="152" t="s">
        <v>1560</v>
      </c>
      <c r="BO1064" s="152" t="s">
        <v>5582</v>
      </c>
      <c r="BP1064" s="152" t="s">
        <v>5588</v>
      </c>
      <c r="BQ1064" s="152" t="s">
        <v>5589</v>
      </c>
      <c r="BR1064" s="152" t="s">
        <v>5590</v>
      </c>
      <c r="BS1064" s="152" t="n">
        <v>202970.859</v>
      </c>
      <c r="BT1064" s="152" t="n">
        <v>8236047.057</v>
      </c>
      <c r="BU1064" s="152" t="n">
        <v>203072.611</v>
      </c>
      <c r="BV1064" s="152" t="n">
        <v>8236080.546</v>
      </c>
      <c r="BW1064" s="152" t="n">
        <v>-15.9369281</v>
      </c>
      <c r="BX1064" s="152" t="n">
        <v>-47.773939</v>
      </c>
      <c r="BY1064" s="152" t="s">
        <v>5588</v>
      </c>
    </row>
    <row r="1065" customFormat="false" ht="13.8" hidden="false" customHeight="false" outlineLevel="0" collapsed="false">
      <c r="A1065" s="149" t="n">
        <f aca="false">IF(C1065&lt;&gt;"",ROW(A1060),"")</f>
        <v>1060</v>
      </c>
      <c r="B1065" s="150" t="str">
        <f aca="false">HYPERLINK("https://www.google.com/maps/dir/-15.917302,-47.760003/-15.9369458,-47.7719715/data=!4m3!4m2!3e0!5i2")</f>
        <v>https://www.google.com/maps/dir/-15.917302,-47.760003/-15.9369458,-47.7719715/data=!4m3!4m2!3e0!5i2</v>
      </c>
      <c r="C1065" s="151" t="s">
        <v>117</v>
      </c>
      <c r="D1065" s="152" t="s">
        <v>112</v>
      </c>
      <c r="E1065" s="152" t="s">
        <v>113</v>
      </c>
      <c r="F1065" s="152" t="s">
        <v>117</v>
      </c>
      <c r="G1065" s="152" t="s">
        <v>782</v>
      </c>
      <c r="H1065" s="152" t="n">
        <v>63</v>
      </c>
      <c r="I1065" s="152" t="s">
        <v>115</v>
      </c>
      <c r="J1065" s="152" t="s">
        <v>6</v>
      </c>
      <c r="K1065" s="152" t="s">
        <v>5106</v>
      </c>
      <c r="L1065" s="152" t="s">
        <v>120</v>
      </c>
      <c r="M1065" s="153" t="n">
        <f aca="false">98.3+1.03</f>
        <v>99.33</v>
      </c>
      <c r="N1065" s="152" t="s">
        <v>1548</v>
      </c>
      <c r="O1065" s="152" t="s">
        <v>1549</v>
      </c>
      <c r="P1065" s="152" t="s">
        <v>1550</v>
      </c>
      <c r="Q1065" s="152" t="s">
        <v>1551</v>
      </c>
      <c r="R1065" s="154" t="s">
        <v>5591</v>
      </c>
      <c r="S1065" s="154" t="s">
        <v>1553</v>
      </c>
      <c r="T1065" s="155" t="s">
        <v>5579</v>
      </c>
      <c r="U1065" s="152" t="str">
        <f aca="false">RIGHT(T1065,7)</f>
        <v>022/037</v>
      </c>
      <c r="V1065" s="152" t="s">
        <v>1555</v>
      </c>
      <c r="W1065" s="156" t="n">
        <v>45882</v>
      </c>
      <c r="X1065" s="152" t="s">
        <v>1594</v>
      </c>
      <c r="Y1065" s="152" t="s">
        <v>5580</v>
      </c>
      <c r="Z1065" s="152" t="s">
        <v>1557</v>
      </c>
      <c r="AA1065" s="153" t="n">
        <v>6</v>
      </c>
      <c r="AB1065" s="151" t="s">
        <v>5592</v>
      </c>
      <c r="AC1065" s="151" t="s">
        <v>186</v>
      </c>
      <c r="AD1065" s="151" t="str">
        <f aca="false">CONCATENATE($C1065,$I1065,$H1065,$N1065,$J1065,$K1065)</f>
        <v>TUBO PEADPEAD63VCAREDESZona09</v>
      </c>
      <c r="AE1065" s="153" t="n">
        <f aca="false">IFERROR(INDEX(APOIO_REDES!$A:$W,MATCH($C1065&amp;$I1065&amp;$H1065&amp;$N1065&amp;$O1065,APOIO_REDES!$W:$W,0),MATCH(AE$5,APOIO_REDES!$5:$5,0)),0)</f>
        <v>1.2</v>
      </c>
      <c r="AF1065" s="153" t="n">
        <f aca="false">IFERROR(INDEX(APOIO_REDES!$A:$W,MATCH($C1065&amp;$I1065&amp;$H1065&amp;$N1065&amp;$O1065,APOIO_REDES!$W:$W,0),MATCH(AF$5,APOIO_REDES!$5:$5,0)),0)</f>
        <v>1.363</v>
      </c>
      <c r="AG1065" s="153" t="n">
        <f aca="false">IFERROR(INDEX(APOIO_REDES!$A:$W,MATCH($C1065&amp;$I1065&amp;$H1065&amp;$N1065&amp;$O1065,APOIO_REDES!$W:$W,0),MATCH(AG$5,APOIO_REDES!$5:$5,0)),0)</f>
        <v>0.65</v>
      </c>
      <c r="AH1065" s="153" t="n">
        <f aca="false">IFERROR(INDEX(APOIO_REDES!$A:$W,MATCH($C1065&amp;$I1065&amp;$H1065&amp;$N1065&amp;$O1065,APOIO_REDES!$W:$W,0),MATCH(AH$5,APOIO_REDES!$5:$5,0)),0)</f>
        <v>0.1</v>
      </c>
      <c r="AI1065" s="153" t="n">
        <f aca="false">IFERROR(IF($H1065&lt;&gt;"",(((($H1065/1000)/2)^2)*PI()*$M1065),0),0)</f>
        <v>0.309635976694396</v>
      </c>
      <c r="AJ1065" s="153" t="n">
        <f aca="false">IFERROR(IF(AND($H1065&lt;&gt;"",$I1065="FoFo",OR($N1065="MND",$N1065="VCA"),$Q1065="LINEAR"),0,IF(AND($H1065&lt;&gt;"",$I1065="PEAD",$N1065="VCA",$Q1065="LINEAR"),($H1065/1000)+0.3,IF(AND($H1065&lt;&gt;"",$I1065="PEAD",$N1065="MND",$Q1065="EMBOQUE"),0,IF(AND($H1065&lt;&gt;"",$I1065="PVC",$N1065="VCA",$Q1065="LINEAR"),($H1065/1000)+0.2,IF(AND($H1065&lt;&gt;"",$I1065="PVC",$N1065="MND",$Q1065="EMBOQUE"),0,IF(AND($H1065&lt;&gt;"",$I1065="PEAD",$N1065="VCA",$Q1065="PREDIAL"),0,0)))))),0)</f>
        <v>0.363</v>
      </c>
      <c r="AK1065" s="153" t="n">
        <f aca="false">IF(AA1065&lt;&gt;"",AA1065,0)</f>
        <v>6</v>
      </c>
      <c r="AL1065" s="153" t="n">
        <f aca="false">IF(AND($N1065="MND",$Q1065="EMBOQUE"),$M1065,IF(AND($N1065="VCA",$Q1065="LINEAR"),$M1065,IF(AND($N1065="VCA",$Q1065="PREDIAL"),0,0)))</f>
        <v>99.33</v>
      </c>
      <c r="AM1065" s="153" t="n">
        <f aca="false">IF(AND($N1065="MND",$Q1065="EMBOQUE"),$M1065,IF(AND($N1065="VCA",$Q1065="LINEAR"),$M1065,IF(AND($N1065="VCA",$Q1065="PREDIAL"),0,0)))</f>
        <v>99.33</v>
      </c>
      <c r="AN1065" s="153" t="n">
        <f aca="false">ROUND(IF(AND($N1065="VCA",$M1065&lt;&gt;"",$Q1065="LINEAR"),$M1065/100,IF(AND($N1065="MND",$M1065&gt;100,$Q1065="EMBOQUE"),$M1065/100,0)),0)</f>
        <v>1</v>
      </c>
      <c r="AO1065" s="153" t="n">
        <f aca="false">IF(AND($N1065="MND",$Q1065="EMBOQUE"),$AN1065*2*2,IF(AND($N1065="VCA",$Q1065="LINEAR"),$M1065*2,IF(AND($N1065="VCA",$Q1065="PREDIAL"),0,0)))</f>
        <v>198.66</v>
      </c>
      <c r="AP1065" s="153" t="n">
        <f aca="false">IFERROR($M1065*$AF1065*$AG1065,0)</f>
        <v>88.0014135</v>
      </c>
      <c r="AQ1065" s="153" t="n">
        <f aca="false">IFERROR(IF(AND($N1065="VCA",$AH1065&gt;0),$M1065*$AG1065*$AH1065,0),0)</f>
        <v>6.45645</v>
      </c>
      <c r="AR1065" s="153" t="n">
        <f aca="false">IFERROR(IF(AND($N1065="VCA",$AJ1065&gt;0),($M1065*$AG1065*$AJ1065)-$AI1065,0),0)</f>
        <v>23.1272775233056</v>
      </c>
      <c r="AS1065" s="153" t="n">
        <f aca="false">IFERROR(IF(AND($N1065="VCA",$AP1065&gt;0),$AP1065-$AI1065-$AQ1065-$AR1065,0),0)</f>
        <v>58.10805</v>
      </c>
      <c r="AT1065" s="153" t="n">
        <f aca="false">IFERROR(IF($N1065="VCA",INDEX(APOIO_REDES!$A:$W,MATCH($C1065&amp;$I1065&amp;$H1065&amp;$N1065&amp;$O1065,APOIO_REDES!$W:$W,0),MATCH(AT$5,APOIO_REDES!$5:$5,0)),0)*$AP1065,0)</f>
        <v>0.957481425968825</v>
      </c>
      <c r="AU1065" s="153" t="n">
        <f aca="false">IFERROR(IF($N1065="VCA",INDEX(APOIO_REDES!$A:$W,MATCH($C1065&amp;$I1065&amp;$H1065&amp;$N1065&amp;$O1065,APOIO_REDES!$W:$W,0),MATCH(AU$5,APOIO_REDES!$5:$5,0)),0)*$AP1065,0)</f>
        <v>0.764618734892994</v>
      </c>
      <c r="AV1065" s="153" t="n">
        <f aca="false">IFERROR(IF($N1065="VCA",INDEX(APOIO_REDES!$A:$W,MATCH($C1065&amp;$I1065&amp;$H1065&amp;$N1065&amp;$O1065,APOIO_REDES!$W:$W,0),MATCH(AV$5,APOIO_REDES!$5:$5,0)),0)*$AP1065,0)</f>
        <v>0.105817230416775</v>
      </c>
      <c r="AW1065" s="153" t="n">
        <f aca="false">IFERROR(IF($N1065="VCA",INDEX(APOIO_REDES!$A:$W,MATCH($C1065&amp;$I1065&amp;$H1065&amp;$N1065&amp;$O1065,APOIO_REDES!$W:$W,0),MATCH(AW$5,APOIO_REDES!$5:$5,0)),0)*$AP1065,0)</f>
        <v>60.4048520946253</v>
      </c>
      <c r="AX1065" s="153" t="n">
        <f aca="false">IFERROR(IF($N1065="VCA",INDEX(APOIO_REDES!$A:$W,MATCH($C1065&amp;$I1065&amp;$H1065&amp;$N1065&amp;$O1065,APOIO_REDES!$W:$W,0),MATCH(AX$5,APOIO_REDES!$5:$5,0)),0)*$AP1065,0)</f>
        <v>8.35985946341792</v>
      </c>
      <c r="AY1065" s="153" t="n">
        <f aca="false">IFERROR(IF($N1065="VCA",INDEX(APOIO_REDES!$A:$W,MATCH($C1065&amp;$I1065&amp;$H1065&amp;$N1065&amp;$O1065,APOIO_REDES!$W:$W,0),MATCH(AY$5,APOIO_REDES!$5:$5,0)),0)*$AP1065,0)</f>
        <v>15.2923653772195</v>
      </c>
      <c r="AZ1065" s="153" t="n">
        <f aca="false">IFERROR(IF($N1065="VCA",INDEX(APOIO_REDES!$A:$W,MATCH($C1065&amp;$I1065&amp;$H1065&amp;$N1065&amp;$O1065,APOIO_REDES!$W:$W,0),MATCH(AZ$5,APOIO_REDES!$5:$5,0)),0)*$AP1065,0)</f>
        <v>2.11641917345867</v>
      </c>
      <c r="BA1065" s="153" t="n">
        <f aca="false">IFERROR(IF(AND($N1065="VCA",$Q1065="LINEAR"),INDEX(APOIO_REDES!$A:$W,MATCH($C1065&amp;$I1065&amp;$H1065&amp;$N1065&amp;$O1065,APOIO_REDES!$W:$W,0),MATCH(BA$5,APOIO_REDES!$5:$5,0)),IF(AND($N1065="MND",$Q1065="EMBOQUE"),INDEX(APOIO_REDES!$A:$W,MATCH($C1065&amp;$I1065&amp;$H1065&amp;$N1065&amp;$O1065,APOIO_REDES!$W:$W,0),MATCH(BA$5,APOIO_REDES!$5:$5,0)),0))*$M1065/10,0)</f>
        <v>8.00574744799958</v>
      </c>
      <c r="BB1065" s="153" t="n">
        <f aca="false">IFERROR(IF($N1065="VCA",INDEX(APOIO_REDES!$A:$W,MATCH($C1065&amp;$I1065&amp;$H1065&amp;$N1065&amp;$O1065,APOIO_REDES!$W:$W,0),MATCH(BB$5,APOIO_REDES!$5:$5,0)),0)*($AI1065+$AQ1065+$AR1065),0)</f>
        <v>29.5681148571361</v>
      </c>
      <c r="BC1065" s="153" t="n">
        <f aca="false">IFERROR(IF($N1065="VCA",INDEX(APOIO_REDES!$A:$W,MATCH($C1065&amp;$I1065&amp;$H1065&amp;$N1065&amp;$O1065,APOIO_REDES!$W:$W,0),MATCH(BC$5,APOIO_REDES!$5:$5,0)),0)*($AI1065+$AQ1065+$AR1065),0)</f>
        <v>0.325248642863952</v>
      </c>
      <c r="BD1065" s="153" t="n">
        <f aca="false">IF(AND($N1065="VCA",$AF1065&gt;=1.25,$AF1065&lt;1.5),$M1065*$AF1065*2,0)</f>
        <v>270.77358</v>
      </c>
      <c r="BE1065" s="153" t="n">
        <f aca="false">IF(AND($N1065="VCA",$AF1065&gt;=1.5,$AF1065&lt;3),$M1065*$AF1065*2,0)</f>
        <v>0</v>
      </c>
      <c r="BF1065" s="153" t="n">
        <f aca="false">IF(AND($N1065="VCA",$AF1065&gt;=3),$M1065*$AF1065*2,0)</f>
        <v>0</v>
      </c>
      <c r="BG1065" s="153" t="n">
        <f aca="false">($BB1065+$BC1065)*$AK1065</f>
        <v>179.360181</v>
      </c>
      <c r="BH1065" s="153" t="n">
        <f aca="false">IF(AND($M1065&lt;&gt;"",$N1065="VCA",$Q1065="LINEAR"),($M1065*2)/100,IF(AND($M1065&lt;&gt;"",$N1065="MND",$Q1065="EMBOQUE"),($AN1065*2)/100,0))</f>
        <v>1.9866</v>
      </c>
      <c r="BI1065" s="153" t="n">
        <f aca="false">IF(AND($M1065&lt;&gt;"",$N1065="VCA",$Q1065="LINEAR"),$M1065,IF(AND($M1065&lt;&gt;"",$N1065="MND",$Q1065="EMBOQUE"),$AN1065*2,0))</f>
        <v>99.33</v>
      </c>
      <c r="BJ1065" s="153" t="n">
        <f aca="false">IF(AND($M1065&lt;&gt;"",$N1065="VCA",$Q1065="LINEAR"),($M1065*6.8)/100,IF(AND($M1065&lt;&gt;"",$N1065="MND",$Q1065="EMBOQUE"),($AN1065*2*6.8)/100,0))</f>
        <v>6.75444</v>
      </c>
      <c r="BK1065" s="153" t="n">
        <f aca="false">IF(AND($M1065&lt;&gt;"",$N1065="VCA",$Q1065="LINEAR"),($M1065*2.5)/50,IF(AND($M1065&lt;&gt;"",$N1065="MND",$Q1065="EMBOQUE"),($AN1065*2*2.5)/50,0))</f>
        <v>4.9665</v>
      </c>
      <c r="BL1065" s="157" t="str">
        <f aca="false">K1065&amp;J1065</f>
        <v>Zona09REDES</v>
      </c>
      <c r="BM1065" s="152" t="s">
        <v>5109</v>
      </c>
      <c r="BN1065" s="152" t="s">
        <v>1560</v>
      </c>
      <c r="BO1065" s="152" t="s">
        <v>5582</v>
      </c>
      <c r="BP1065" s="152" t="s">
        <v>5593</v>
      </c>
      <c r="BQ1065" s="152" t="s">
        <v>5583</v>
      </c>
      <c r="BR1065" s="152" t="s">
        <v>5594</v>
      </c>
      <c r="BS1065" s="152" t="n">
        <v>203230.595</v>
      </c>
      <c r="BT1065" s="152" t="n">
        <v>8236067.035</v>
      </c>
      <c r="BU1065" s="152" t="n">
        <v>203135.35</v>
      </c>
      <c r="BV1065" s="152" t="n">
        <v>8236042.917</v>
      </c>
      <c r="BW1065" s="152" t="n">
        <v>-15.9370434</v>
      </c>
      <c r="BX1065" s="152" t="n">
        <v>-47.7724186</v>
      </c>
      <c r="BY1065" s="152" t="s">
        <v>5593</v>
      </c>
    </row>
    <row r="1066" customFormat="false" ht="13.8" hidden="false" customHeight="false" outlineLevel="0" collapsed="false">
      <c r="A1066" s="149" t="n">
        <f aca="false">IF(C1066&lt;&gt;"",ROW(A1061),"")</f>
        <v>1061</v>
      </c>
      <c r="B1066" s="150" t="str">
        <f aca="false">HYPERLINK("https://www.google.com/maps/dir/-15.917302,-47.760003/-15.9372668,-47.7733326/data=!4m3!4m2!3e0!5i2")</f>
        <v>https://www.google.com/maps/dir/-15.917302,-47.760003/-15.9372668,-47.7733326/data=!4m3!4m2!3e0!5i2</v>
      </c>
      <c r="C1066" s="151" t="s">
        <v>117</v>
      </c>
      <c r="D1066" s="152" t="s">
        <v>112</v>
      </c>
      <c r="E1066" s="152" t="s">
        <v>113</v>
      </c>
      <c r="F1066" s="152" t="s">
        <v>117</v>
      </c>
      <c r="G1066" s="152" t="s">
        <v>782</v>
      </c>
      <c r="H1066" s="152" t="n">
        <v>63</v>
      </c>
      <c r="I1066" s="152" t="s">
        <v>115</v>
      </c>
      <c r="J1066" s="152" t="s">
        <v>6</v>
      </c>
      <c r="K1066" s="152" t="s">
        <v>5106</v>
      </c>
      <c r="L1066" s="152" t="s">
        <v>120</v>
      </c>
      <c r="M1066" s="153" t="n">
        <f aca="false">52.54+1.15</f>
        <v>53.69</v>
      </c>
      <c r="N1066" s="152" t="s">
        <v>1548</v>
      </c>
      <c r="O1066" s="152" t="s">
        <v>1549</v>
      </c>
      <c r="P1066" s="152" t="s">
        <v>1550</v>
      </c>
      <c r="Q1066" s="152" t="s">
        <v>1551</v>
      </c>
      <c r="R1066" s="154" t="s">
        <v>5595</v>
      </c>
      <c r="S1066" s="154" t="s">
        <v>1553</v>
      </c>
      <c r="T1066" s="155" t="s">
        <v>5579</v>
      </c>
      <c r="U1066" s="152" t="str">
        <f aca="false">RIGHT(T1066,7)</f>
        <v>022/037</v>
      </c>
      <c r="V1066" s="152" t="s">
        <v>1555</v>
      </c>
      <c r="W1066" s="156" t="n">
        <v>45882</v>
      </c>
      <c r="X1066" s="152" t="s">
        <v>1594</v>
      </c>
      <c r="Y1066" s="152" t="s">
        <v>5580</v>
      </c>
      <c r="Z1066" s="152" t="s">
        <v>1557</v>
      </c>
      <c r="AA1066" s="153" t="n">
        <v>6.2</v>
      </c>
      <c r="AB1066" s="151" t="s">
        <v>5596</v>
      </c>
      <c r="AC1066" s="151" t="s">
        <v>186</v>
      </c>
      <c r="AD1066" s="151" t="str">
        <f aca="false">CONCATENATE($C1066,$I1066,$H1066,$N1066,$J1066,$K1066)</f>
        <v>TUBO PEADPEAD63VCAREDESZona09</v>
      </c>
      <c r="AE1066" s="153" t="n">
        <f aca="false">IFERROR(INDEX(APOIO_REDES!$A:$W,MATCH($C1066&amp;$I1066&amp;$H1066&amp;$N1066&amp;$O1066,APOIO_REDES!$W:$W,0),MATCH(AE$5,APOIO_REDES!$5:$5,0)),0)</f>
        <v>1.2</v>
      </c>
      <c r="AF1066" s="153" t="n">
        <f aca="false">IFERROR(INDEX(APOIO_REDES!$A:$W,MATCH($C1066&amp;$I1066&amp;$H1066&amp;$N1066&amp;$O1066,APOIO_REDES!$W:$W,0),MATCH(AF$5,APOIO_REDES!$5:$5,0)),0)</f>
        <v>1.363</v>
      </c>
      <c r="AG1066" s="153" t="n">
        <f aca="false">IFERROR(INDEX(APOIO_REDES!$A:$W,MATCH($C1066&amp;$I1066&amp;$H1066&amp;$N1066&amp;$O1066,APOIO_REDES!$W:$W,0),MATCH(AG$5,APOIO_REDES!$5:$5,0)),0)</f>
        <v>0.65</v>
      </c>
      <c r="AH1066" s="153" t="n">
        <f aca="false">IFERROR(INDEX(APOIO_REDES!$A:$W,MATCH($C1066&amp;$I1066&amp;$H1066&amp;$N1066&amp;$O1066,APOIO_REDES!$W:$W,0),MATCH(AH$5,APOIO_REDES!$5:$5,0)),0)</f>
        <v>0.1</v>
      </c>
      <c r="AI1066" s="153" t="n">
        <f aca="false">IFERROR(IF($H1066&lt;&gt;"",(((($H1066/1000)/2)^2)*PI()*$M1066),0),0)</f>
        <v>0.167364900722059</v>
      </c>
      <c r="AJ1066" s="153" t="n">
        <f aca="false">IFERROR(IF(AND($H1066&lt;&gt;"",$I1066="FoFo",OR($N1066="MND",$N1066="VCA"),$Q1066="LINEAR"),0,IF(AND($H1066&lt;&gt;"",$I1066="PEAD",$N1066="VCA",$Q1066="LINEAR"),($H1066/1000)+0.3,IF(AND($H1066&lt;&gt;"",$I1066="PEAD",$N1066="MND",$Q1066="EMBOQUE"),0,IF(AND($H1066&lt;&gt;"",$I1066="PVC",$N1066="VCA",$Q1066="LINEAR"),($H1066/1000)+0.2,IF(AND($H1066&lt;&gt;"",$I1066="PVC",$N1066="MND",$Q1066="EMBOQUE"),0,IF(AND($H1066&lt;&gt;"",$I1066="PEAD",$N1066="VCA",$Q1066="PREDIAL"),0,0)))))),0)</f>
        <v>0.363</v>
      </c>
      <c r="AK1066" s="153" t="n">
        <f aca="false">IF(AA1066&lt;&gt;"",AA1066,0)</f>
        <v>6.2</v>
      </c>
      <c r="AL1066" s="153" t="n">
        <f aca="false">IF(AND($N1066="MND",$Q1066="EMBOQUE"),$M1066,IF(AND($N1066="VCA",$Q1066="LINEAR"),$M1066,IF(AND($N1066="VCA",$Q1066="PREDIAL"),0,0)))</f>
        <v>53.69</v>
      </c>
      <c r="AM1066" s="153" t="n">
        <f aca="false">IF(AND($N1066="MND",$Q1066="EMBOQUE"),$M1066,IF(AND($N1066="VCA",$Q1066="LINEAR"),$M1066,IF(AND($N1066="VCA",$Q1066="PREDIAL"),0,0)))</f>
        <v>53.69</v>
      </c>
      <c r="AN1066" s="153" t="n">
        <f aca="false">ROUND(IF(AND($N1066="VCA",$M1066&lt;&gt;"",$Q1066="LINEAR"),$M1066/100,IF(AND($N1066="MND",$M1066&gt;100,$Q1066="EMBOQUE"),$M1066/100,0)),0)</f>
        <v>1</v>
      </c>
      <c r="AO1066" s="153" t="n">
        <f aca="false">IF(AND($N1066="MND",$Q1066="EMBOQUE"),$AN1066*2*2,IF(AND($N1066="VCA",$Q1066="LINEAR"),$M1066*2,IF(AND($N1066="VCA",$Q1066="PREDIAL"),0,0)))</f>
        <v>107.38</v>
      </c>
      <c r="AP1066" s="153" t="n">
        <f aca="false">IFERROR($M1066*$AF1066*$AG1066,0)</f>
        <v>47.5666555</v>
      </c>
      <c r="AQ1066" s="153" t="n">
        <f aca="false">IFERROR(IF(AND($N1066="VCA",$AH1066&gt;0),$M1066*$AG1066*$AH1066,0),0)</f>
        <v>3.48985</v>
      </c>
      <c r="AR1066" s="153" t="n">
        <f aca="false">IFERROR(IF(AND($N1066="VCA",$AJ1066&gt;0),($M1066*$AG1066*$AJ1066)-$AI1066,0),0)</f>
        <v>12.5007905992779</v>
      </c>
      <c r="AS1066" s="153" t="n">
        <f aca="false">IFERROR(IF(AND($N1066="VCA",$AP1066&gt;0),$AP1066-$AI1066-$AQ1066-$AR1066,0),0)</f>
        <v>31.40865</v>
      </c>
      <c r="AT1066" s="153" t="n">
        <f aca="false">IFERROR(IF($N1066="VCA",INDEX(APOIO_REDES!$A:$W,MATCH($C1066&amp;$I1066&amp;$H1066&amp;$N1066&amp;$O1066,APOIO_REDES!$W:$W,0),MATCH(AT$5,APOIO_REDES!$5:$5,0)),0)*$AP1066,0)</f>
        <v>0.517539290851366</v>
      </c>
      <c r="AU1066" s="153" t="n">
        <f aca="false">IFERROR(IF($N1066="VCA",INDEX(APOIO_REDES!$A:$W,MATCH($C1066&amp;$I1066&amp;$H1066&amp;$N1066&amp;$O1066,APOIO_REDES!$W:$W,0),MATCH(AU$5,APOIO_REDES!$5:$5,0)),0)*$AP1066,0)</f>
        <v>0.413292860932295</v>
      </c>
      <c r="AV1066" s="153" t="n">
        <f aca="false">IFERROR(IF($N1066="VCA",INDEX(APOIO_REDES!$A:$W,MATCH($C1066&amp;$I1066&amp;$H1066&amp;$N1066&amp;$O1066,APOIO_REDES!$W:$W,0),MATCH(AV$5,APOIO_REDES!$5:$5,0)),0)*$AP1066,0)</f>
        <v>0.0571964874768616</v>
      </c>
      <c r="AW1066" s="153" t="n">
        <f aca="false">IFERROR(IF($N1066="VCA",INDEX(APOIO_REDES!$A:$W,MATCH($C1066&amp;$I1066&amp;$H1066&amp;$N1066&amp;$O1066,APOIO_REDES!$W:$W,0),MATCH(AW$5,APOIO_REDES!$5:$5,0)),0)*$AP1066,0)</f>
        <v>32.6501208996319</v>
      </c>
      <c r="AX1066" s="153" t="n">
        <f aca="false">IFERROR(IF($N1066="VCA",INDEX(APOIO_REDES!$A:$W,MATCH($C1066&amp;$I1066&amp;$H1066&amp;$N1066&amp;$O1066,APOIO_REDES!$W:$W,0),MATCH(AX$5,APOIO_REDES!$5:$5,0)),0)*$AP1066,0)</f>
        <v>4.51868372687917</v>
      </c>
      <c r="AY1066" s="153" t="n">
        <f aca="false">IFERROR(IF($N1066="VCA",INDEX(APOIO_REDES!$A:$W,MATCH($C1066&amp;$I1066&amp;$H1066&amp;$N1066&amp;$O1066,APOIO_REDES!$W:$W,0),MATCH(AY$5,APOIO_REDES!$5:$5,0)),0)*$AP1066,0)</f>
        <v>8.26585218063942</v>
      </c>
      <c r="AZ1066" s="153" t="n">
        <f aca="false">IFERROR(IF($N1066="VCA",INDEX(APOIO_REDES!$A:$W,MATCH($C1066&amp;$I1066&amp;$H1066&amp;$N1066&amp;$O1066,APOIO_REDES!$W:$W,0),MATCH(AZ$5,APOIO_REDES!$5:$5,0)),0)*$AP1066,0)</f>
        <v>1.14397005358901</v>
      </c>
      <c r="BA1066" s="153" t="n">
        <f aca="false">IFERROR(IF(AND($N1066="VCA",$Q1066="LINEAR"),INDEX(APOIO_REDES!$A:$W,MATCH($C1066&amp;$I1066&amp;$H1066&amp;$N1066&amp;$O1066,APOIO_REDES!$W:$W,0),MATCH(BA$5,APOIO_REDES!$5:$5,0)),IF(AND($N1066="MND",$Q1066="EMBOQUE"),INDEX(APOIO_REDES!$A:$W,MATCH($C1066&amp;$I1066&amp;$H1066&amp;$N1066&amp;$O1066,APOIO_REDES!$W:$W,0),MATCH(BA$5,APOIO_REDES!$5:$5,0)),0))*$M1066/10,0)</f>
        <v>4.3272785712584</v>
      </c>
      <c r="BB1066" s="153" t="n">
        <f aca="false">IFERROR(IF($N1066="VCA",INDEX(APOIO_REDES!$A:$W,MATCH($C1066&amp;$I1066&amp;$H1066&amp;$N1066&amp;$O1066,APOIO_REDES!$W:$W,0),MATCH(BB$5,APOIO_REDES!$5:$5,0)),0)*($AI1066+$AQ1066+$AR1066),0)</f>
        <v>15.9822016176345</v>
      </c>
      <c r="BC1066" s="153" t="n">
        <f aca="false">IFERROR(IF($N1066="VCA",INDEX(APOIO_REDES!$A:$W,MATCH($C1066&amp;$I1066&amp;$H1066&amp;$N1066&amp;$O1066,APOIO_REDES!$W:$W,0),MATCH(BC$5,APOIO_REDES!$5:$5,0)),0)*($AI1066+$AQ1066+$AR1066),0)</f>
        <v>0.175803882365505</v>
      </c>
      <c r="BD1066" s="153" t="n">
        <f aca="false">IF(AND($N1066="VCA",$AF1066&gt;=1.25,$AF1066&lt;1.5),$M1066*$AF1066*2,0)</f>
        <v>146.35894</v>
      </c>
      <c r="BE1066" s="153" t="n">
        <f aca="false">IF(AND($N1066="VCA",$AF1066&gt;=1.5,$AF1066&lt;3),$M1066*$AF1066*2,0)</f>
        <v>0</v>
      </c>
      <c r="BF1066" s="153" t="n">
        <f aca="false">IF(AND($N1066="VCA",$AF1066&gt;=3),$M1066*$AF1066*2,0)</f>
        <v>0</v>
      </c>
      <c r="BG1066" s="153" t="n">
        <f aca="false">($BB1066+$BC1066)*$AK1066</f>
        <v>100.1796341</v>
      </c>
      <c r="BH1066" s="153" t="n">
        <f aca="false">IF(AND($M1066&lt;&gt;"",$N1066="VCA",$Q1066="LINEAR"),($M1066*2)/100,IF(AND($M1066&lt;&gt;"",$N1066="MND",$Q1066="EMBOQUE"),($AN1066*2)/100,0))</f>
        <v>1.0738</v>
      </c>
      <c r="BI1066" s="153" t="n">
        <f aca="false">IF(AND($M1066&lt;&gt;"",$N1066="VCA",$Q1066="LINEAR"),$M1066,IF(AND($M1066&lt;&gt;"",$N1066="MND",$Q1066="EMBOQUE"),$AN1066*2,0))</f>
        <v>53.69</v>
      </c>
      <c r="BJ1066" s="153" t="n">
        <f aca="false">IF(AND($M1066&lt;&gt;"",$N1066="VCA",$Q1066="LINEAR"),($M1066*6.8)/100,IF(AND($M1066&lt;&gt;"",$N1066="MND",$Q1066="EMBOQUE"),($AN1066*2*6.8)/100,0))</f>
        <v>3.65092</v>
      </c>
      <c r="BK1066" s="153" t="n">
        <f aca="false">IF(AND($M1066&lt;&gt;"",$N1066="VCA",$Q1066="LINEAR"),($M1066*2.5)/50,IF(AND($M1066&lt;&gt;"",$N1066="MND",$Q1066="EMBOQUE"),($AN1066*2*2.5)/50,0))</f>
        <v>2.6845</v>
      </c>
      <c r="BL1066" s="157" t="str">
        <f aca="false">K1066&amp;J1066</f>
        <v>Zona09REDES</v>
      </c>
      <c r="BM1066" s="152" t="s">
        <v>5109</v>
      </c>
      <c r="BN1066" s="152" t="s">
        <v>1560</v>
      </c>
      <c r="BO1066" s="152" t="s">
        <v>5582</v>
      </c>
      <c r="BP1066" s="152" t="s">
        <v>5597</v>
      </c>
      <c r="BQ1066" s="152" t="s">
        <v>5589</v>
      </c>
      <c r="BR1066" s="152" t="s">
        <v>5598</v>
      </c>
      <c r="BS1066" s="152" t="n">
        <v>203085.248</v>
      </c>
      <c r="BT1066" s="152" t="n">
        <v>8236029.551</v>
      </c>
      <c r="BU1066" s="152" t="n">
        <v>203072.611</v>
      </c>
      <c r="BV1066" s="152" t="n">
        <v>8236080.546</v>
      </c>
      <c r="BW1066" s="152" t="n">
        <v>-15.9370355</v>
      </c>
      <c r="BX1066" s="152" t="n">
        <v>-47.7733873</v>
      </c>
      <c r="BY1066" s="152" t="s">
        <v>5597</v>
      </c>
    </row>
    <row r="1067" customFormat="false" ht="13.8" hidden="false" customHeight="false" outlineLevel="0" collapsed="false">
      <c r="A1067" s="149" t="n">
        <f aca="false">IF(C1067&lt;&gt;"",ROW(A1062),"")</f>
        <v>1062</v>
      </c>
      <c r="B1067" s="150" t="str">
        <f aca="false">HYPERLINK("https://www.google.com/maps/dir/-15.917302,-47.760003/-15.9371521,-47.7728633/data=!4m3!4m2!3e0!5i2")</f>
        <v>https://www.google.com/maps/dir/-15.917302,-47.760003/-15.9371521,-47.7728633/data=!4m3!4m2!3e0!5i2</v>
      </c>
      <c r="C1067" s="151" t="s">
        <v>117</v>
      </c>
      <c r="D1067" s="152" t="s">
        <v>112</v>
      </c>
      <c r="E1067" s="152" t="s">
        <v>113</v>
      </c>
      <c r="F1067" s="152" t="s">
        <v>117</v>
      </c>
      <c r="G1067" s="152" t="s">
        <v>782</v>
      </c>
      <c r="H1067" s="152" t="n">
        <v>63</v>
      </c>
      <c r="I1067" s="152" t="s">
        <v>115</v>
      </c>
      <c r="J1067" s="152" t="s">
        <v>6</v>
      </c>
      <c r="K1067" s="152" t="s">
        <v>5106</v>
      </c>
      <c r="L1067" s="152" t="s">
        <v>120</v>
      </c>
      <c r="M1067" s="153" t="n">
        <f aca="false">51.86</f>
        <v>51.86</v>
      </c>
      <c r="N1067" s="152" t="s">
        <v>1548</v>
      </c>
      <c r="O1067" s="152" t="s">
        <v>1549</v>
      </c>
      <c r="P1067" s="152" t="s">
        <v>1550</v>
      </c>
      <c r="Q1067" s="152" t="s">
        <v>1551</v>
      </c>
      <c r="R1067" s="154" t="s">
        <v>5599</v>
      </c>
      <c r="S1067" s="154" t="s">
        <v>1553</v>
      </c>
      <c r="T1067" s="155" t="s">
        <v>5579</v>
      </c>
      <c r="U1067" s="152" t="str">
        <f aca="false">RIGHT(T1067,7)</f>
        <v>022/037</v>
      </c>
      <c r="V1067" s="152" t="s">
        <v>1555</v>
      </c>
      <c r="W1067" s="156" t="n">
        <v>45882</v>
      </c>
      <c r="X1067" s="152" t="s">
        <v>1594</v>
      </c>
      <c r="Y1067" s="152" t="s">
        <v>5580</v>
      </c>
      <c r="Z1067" s="152" t="s">
        <v>1557</v>
      </c>
      <c r="AA1067" s="153" t="n">
        <v>6.1</v>
      </c>
      <c r="AB1067" s="151" t="s">
        <v>5600</v>
      </c>
      <c r="AC1067" s="151" t="s">
        <v>186</v>
      </c>
      <c r="AD1067" s="151" t="str">
        <f aca="false">CONCATENATE($C1067,$I1067,$H1067,$N1067,$J1067,$K1067)</f>
        <v>TUBO PEADPEAD63VCAREDESZona09</v>
      </c>
      <c r="AE1067" s="153" t="n">
        <f aca="false">IFERROR(INDEX(APOIO_REDES!$A:$W,MATCH($C1067&amp;$I1067&amp;$H1067&amp;$N1067&amp;$O1067,APOIO_REDES!$W:$W,0),MATCH(AE$5,APOIO_REDES!$5:$5,0)),0)</f>
        <v>1.2</v>
      </c>
      <c r="AF1067" s="153" t="n">
        <f aca="false">IFERROR(INDEX(APOIO_REDES!$A:$W,MATCH($C1067&amp;$I1067&amp;$H1067&amp;$N1067&amp;$O1067,APOIO_REDES!$W:$W,0),MATCH(AF$5,APOIO_REDES!$5:$5,0)),0)</f>
        <v>1.363</v>
      </c>
      <c r="AG1067" s="153" t="n">
        <f aca="false">IFERROR(INDEX(APOIO_REDES!$A:$W,MATCH($C1067&amp;$I1067&amp;$H1067&amp;$N1067&amp;$O1067,APOIO_REDES!$W:$W,0),MATCH(AG$5,APOIO_REDES!$5:$5,0)),0)</f>
        <v>0.65</v>
      </c>
      <c r="AH1067" s="153" t="n">
        <f aca="false">IFERROR(INDEX(APOIO_REDES!$A:$W,MATCH($C1067&amp;$I1067&amp;$H1067&amp;$N1067&amp;$O1067,APOIO_REDES!$W:$W,0),MATCH(AH$5,APOIO_REDES!$5:$5,0)),0)</f>
        <v>0.1</v>
      </c>
      <c r="AI1067" s="153" t="n">
        <f aca="false">IFERROR(IF($H1067&lt;&gt;"",(((($H1067/1000)/2)^2)*PI()*$M1067),0),0)</f>
        <v>0.161660341803799</v>
      </c>
      <c r="AJ1067" s="153" t="n">
        <f aca="false">IFERROR(IF(AND($H1067&lt;&gt;"",$I1067="FoFo",OR($N1067="MND",$N1067="VCA"),$Q1067="LINEAR"),0,IF(AND($H1067&lt;&gt;"",$I1067="PEAD",$N1067="VCA",$Q1067="LINEAR"),($H1067/1000)+0.3,IF(AND($H1067&lt;&gt;"",$I1067="PEAD",$N1067="MND",$Q1067="EMBOQUE"),0,IF(AND($H1067&lt;&gt;"",$I1067="PVC",$N1067="VCA",$Q1067="LINEAR"),($H1067/1000)+0.2,IF(AND($H1067&lt;&gt;"",$I1067="PVC",$N1067="MND",$Q1067="EMBOQUE"),0,IF(AND($H1067&lt;&gt;"",$I1067="PEAD",$N1067="VCA",$Q1067="PREDIAL"),0,0)))))),0)</f>
        <v>0.363</v>
      </c>
      <c r="AK1067" s="153" t="n">
        <f aca="false">IF(AA1067&lt;&gt;"",AA1067,0)</f>
        <v>6.1</v>
      </c>
      <c r="AL1067" s="153" t="n">
        <f aca="false">IF(AND($N1067="MND",$Q1067="EMBOQUE"),$M1067,IF(AND($N1067="VCA",$Q1067="LINEAR"),$M1067,IF(AND($N1067="VCA",$Q1067="PREDIAL"),0,0)))</f>
        <v>51.86</v>
      </c>
      <c r="AM1067" s="153" t="n">
        <f aca="false">IF(AND($N1067="MND",$Q1067="EMBOQUE"),$M1067,IF(AND($N1067="VCA",$Q1067="LINEAR"),$M1067,IF(AND($N1067="VCA",$Q1067="PREDIAL"),0,0)))</f>
        <v>51.86</v>
      </c>
      <c r="AN1067" s="153" t="n">
        <f aca="false">ROUND(IF(AND($N1067="VCA",$M1067&lt;&gt;"",$Q1067="LINEAR"),$M1067/100,IF(AND($N1067="MND",$M1067&gt;100,$Q1067="EMBOQUE"),$M1067/100,0)),0)</f>
        <v>1</v>
      </c>
      <c r="AO1067" s="153" t="n">
        <f aca="false">IF(AND($N1067="MND",$Q1067="EMBOQUE"),$AN1067*2*2,IF(AND($N1067="VCA",$Q1067="LINEAR"),$M1067*2,IF(AND($N1067="VCA",$Q1067="PREDIAL"),0,0)))</f>
        <v>103.72</v>
      </c>
      <c r="AP1067" s="153" t="n">
        <f aca="false">IFERROR($M1067*$AF1067*$AG1067,0)</f>
        <v>45.945367</v>
      </c>
      <c r="AQ1067" s="153" t="n">
        <f aca="false">IFERROR(IF(AND($N1067="VCA",$AH1067&gt;0),$M1067*$AG1067*$AH1067,0),0)</f>
        <v>3.3709</v>
      </c>
      <c r="AR1067" s="153" t="n">
        <f aca="false">IFERROR(IF(AND($N1067="VCA",$AJ1067&gt;0),($M1067*$AG1067*$AJ1067)-$AI1067,0),0)</f>
        <v>12.0747066581962</v>
      </c>
      <c r="AS1067" s="153" t="n">
        <f aca="false">IFERROR(IF(AND($N1067="VCA",$AP1067&gt;0),$AP1067-$AI1067-$AQ1067-$AR1067,0),0)</f>
        <v>30.3381</v>
      </c>
      <c r="AT1067" s="153" t="n">
        <f aca="false">IFERROR(IF($N1067="VCA",INDEX(APOIO_REDES!$A:$W,MATCH($C1067&amp;$I1067&amp;$H1067&amp;$N1067&amp;$O1067,APOIO_REDES!$W:$W,0),MATCH(AT$5,APOIO_REDES!$5:$5,0)),0)*$AP1067,0)</f>
        <v>0.499899192094466</v>
      </c>
      <c r="AU1067" s="153" t="n">
        <f aca="false">IFERROR(IF($N1067="VCA",INDEX(APOIO_REDES!$A:$W,MATCH($C1067&amp;$I1067&amp;$H1067&amp;$N1067&amp;$O1067,APOIO_REDES!$W:$W,0),MATCH(AU$5,APOIO_REDES!$5:$5,0)),0)*$AP1067,0)</f>
        <v>0.399205955819497</v>
      </c>
      <c r="AV1067" s="153" t="n">
        <f aca="false">IFERROR(IF($N1067="VCA",INDEX(APOIO_REDES!$A:$W,MATCH($C1067&amp;$I1067&amp;$H1067&amp;$N1067&amp;$O1067,APOIO_REDES!$W:$W,0),MATCH(AV$5,APOIO_REDES!$5:$5,0)),0)*$AP1067,0)</f>
        <v>0.0552469703957915</v>
      </c>
      <c r="AW1067" s="153" t="n">
        <f aca="false">IFERROR(IF($N1067="VCA",INDEX(APOIO_REDES!$A:$W,MATCH($C1067&amp;$I1067&amp;$H1067&amp;$N1067&amp;$O1067,APOIO_REDES!$W:$W,0),MATCH(AW$5,APOIO_REDES!$5:$5,0)),0)*$AP1067,0)</f>
        <v>31.5372559108756</v>
      </c>
      <c r="AX1067" s="153" t="n">
        <f aca="false">IFERROR(IF($N1067="VCA",INDEX(APOIO_REDES!$A:$W,MATCH($C1067&amp;$I1067&amp;$H1067&amp;$N1067&amp;$O1067,APOIO_REDES!$W:$W,0),MATCH(AX$5,APOIO_REDES!$5:$5,0)),0)*$AP1067,0)</f>
        <v>4.36466638249123</v>
      </c>
      <c r="AY1067" s="153" t="n">
        <f aca="false">IFERROR(IF($N1067="VCA",INDEX(APOIO_REDES!$A:$W,MATCH($C1067&amp;$I1067&amp;$H1067&amp;$N1067&amp;$O1067,APOIO_REDES!$W:$W,0),MATCH(AY$5,APOIO_REDES!$5:$5,0)),0)*$AP1067,0)</f>
        <v>7.98411425010171</v>
      </c>
      <c r="AZ1067" s="153" t="n">
        <f aca="false">IFERROR(IF($N1067="VCA",INDEX(APOIO_REDES!$A:$W,MATCH($C1067&amp;$I1067&amp;$H1067&amp;$N1067&amp;$O1067,APOIO_REDES!$W:$W,0),MATCH(AZ$5,APOIO_REDES!$5:$5,0)),0)*$AP1067,0)</f>
        <v>1.10497833822175</v>
      </c>
      <c r="BA1067" s="153" t="n">
        <f aca="false">IFERROR(IF(AND($N1067="VCA",$Q1067="LINEAR"),INDEX(APOIO_REDES!$A:$W,MATCH($C1067&amp;$I1067&amp;$H1067&amp;$N1067&amp;$O1067,APOIO_REDES!$W:$W,0),MATCH(BA$5,APOIO_REDES!$5:$5,0)),IF(AND($N1067="MND",$Q1067="EMBOQUE"),INDEX(APOIO_REDES!$A:$W,MATCH($C1067&amp;$I1067&amp;$H1067&amp;$N1067&amp;$O1067,APOIO_REDES!$W:$W,0),MATCH(BA$5,APOIO_REDES!$5:$5,0)),0))*$M1067/10,0)</f>
        <v>4.17978518728741</v>
      </c>
      <c r="BB1067" s="153" t="n">
        <f aca="false">IFERROR(IF($N1067="VCA",INDEX(APOIO_REDES!$A:$W,MATCH($C1067&amp;$I1067&amp;$H1067&amp;$N1067&amp;$O1067,APOIO_REDES!$W:$W,0),MATCH(BB$5,APOIO_REDES!$5:$5,0)),0)*($AI1067+$AQ1067+$AR1067),0)</f>
        <v>15.4374553155248</v>
      </c>
      <c r="BC1067" s="153" t="n">
        <f aca="false">IFERROR(IF($N1067="VCA",INDEX(APOIO_REDES!$A:$W,MATCH($C1067&amp;$I1067&amp;$H1067&amp;$N1067&amp;$O1067,APOIO_REDES!$W:$W,0),MATCH(BC$5,APOIO_REDES!$5:$5,0)),0)*($AI1067+$AQ1067+$AR1067),0)</f>
        <v>0.169811684475229</v>
      </c>
      <c r="BD1067" s="153" t="n">
        <f aca="false">IF(AND($N1067="VCA",$AF1067&gt;=1.25,$AF1067&lt;1.5),$M1067*$AF1067*2,0)</f>
        <v>141.37036</v>
      </c>
      <c r="BE1067" s="153" t="n">
        <f aca="false">IF(AND($N1067="VCA",$AF1067&gt;=1.5,$AF1067&lt;3),$M1067*$AF1067*2,0)</f>
        <v>0</v>
      </c>
      <c r="BF1067" s="153" t="n">
        <f aca="false">IF(AND($N1067="VCA",$AF1067&gt;=3),$M1067*$AF1067*2,0)</f>
        <v>0</v>
      </c>
      <c r="BG1067" s="153" t="n">
        <f aca="false">($BB1067+$BC1067)*$AK1067</f>
        <v>95.2043287</v>
      </c>
      <c r="BH1067" s="153" t="n">
        <f aca="false">IF(AND($M1067&lt;&gt;"",$N1067="VCA",$Q1067="LINEAR"),($M1067*2)/100,IF(AND($M1067&lt;&gt;"",$N1067="MND",$Q1067="EMBOQUE"),($AN1067*2)/100,0))</f>
        <v>1.0372</v>
      </c>
      <c r="BI1067" s="153" t="n">
        <f aca="false">IF(AND($M1067&lt;&gt;"",$N1067="VCA",$Q1067="LINEAR"),$M1067,IF(AND($M1067&lt;&gt;"",$N1067="MND",$Q1067="EMBOQUE"),$AN1067*2,0))</f>
        <v>51.86</v>
      </c>
      <c r="BJ1067" s="153" t="n">
        <f aca="false">IF(AND($M1067&lt;&gt;"",$N1067="VCA",$Q1067="LINEAR"),($M1067*6.8)/100,IF(AND($M1067&lt;&gt;"",$N1067="MND",$Q1067="EMBOQUE"),($AN1067*2*6.8)/100,0))</f>
        <v>3.52648</v>
      </c>
      <c r="BK1067" s="153" t="n">
        <f aca="false">IF(AND($M1067&lt;&gt;"",$N1067="VCA",$Q1067="LINEAR"),($M1067*2.5)/50,IF(AND($M1067&lt;&gt;"",$N1067="MND",$Q1067="EMBOQUE"),($AN1067*2*2.5)/50,0))</f>
        <v>2.593</v>
      </c>
      <c r="BL1067" s="157" t="str">
        <f aca="false">K1067&amp;J1067</f>
        <v>Zona09REDES</v>
      </c>
      <c r="BM1067" s="152" t="s">
        <v>5109</v>
      </c>
      <c r="BN1067" s="152" t="s">
        <v>1560</v>
      </c>
      <c r="BO1067" s="152" t="s">
        <v>5582</v>
      </c>
      <c r="BP1067" s="152" t="s">
        <v>5583</v>
      </c>
      <c r="BQ1067" s="152" t="s">
        <v>5597</v>
      </c>
      <c r="BR1067" s="152" t="s">
        <v>5601</v>
      </c>
      <c r="BS1067" s="152" t="n">
        <v>203135.35</v>
      </c>
      <c r="BT1067" s="152" t="n">
        <v>8236042.917</v>
      </c>
      <c r="BU1067" s="152" t="n">
        <v>203085.248</v>
      </c>
      <c r="BV1067" s="152" t="n">
        <v>8236029.551</v>
      </c>
      <c r="BW1067" s="152" t="n">
        <v>-15.937213</v>
      </c>
      <c r="BX1067" s="152" t="n">
        <v>-47.7730971</v>
      </c>
      <c r="BY1067" s="152" t="s">
        <v>5583</v>
      </c>
    </row>
    <row r="1068" customFormat="false" ht="13.8" hidden="false" customHeight="false" outlineLevel="0" collapsed="false">
      <c r="A1068" s="149" t="n">
        <f aca="false">IF(C1068&lt;&gt;"",ROW(A1063),"")</f>
        <v>1063</v>
      </c>
      <c r="B1068" s="150" t="str">
        <f aca="false">HYPERLINK("https://www.google.com/maps/dir/-15.917302,-47.760003/-15.9372668,-47.7733326/data=!4m3!4m2!3e0!5i2")</f>
        <v>https://www.google.com/maps/dir/-15.917302,-47.760003/-15.9372668,-47.7733326/data=!4m3!4m2!3e0!5i2</v>
      </c>
      <c r="C1068" s="151" t="s">
        <v>117</v>
      </c>
      <c r="D1068" s="152" t="s">
        <v>112</v>
      </c>
      <c r="E1068" s="152" t="s">
        <v>113</v>
      </c>
      <c r="F1068" s="152" t="s">
        <v>117</v>
      </c>
      <c r="G1068" s="152" t="s">
        <v>782</v>
      </c>
      <c r="H1068" s="152" t="n">
        <v>63</v>
      </c>
      <c r="I1068" s="152" t="s">
        <v>115</v>
      </c>
      <c r="J1068" s="152" t="s">
        <v>6</v>
      </c>
      <c r="K1068" s="152" t="s">
        <v>5106</v>
      </c>
      <c r="L1068" s="152" t="s">
        <v>120</v>
      </c>
      <c r="M1068" s="153" t="n">
        <f aca="false">14.53</f>
        <v>14.53</v>
      </c>
      <c r="N1068" s="152" t="s">
        <v>1548</v>
      </c>
      <c r="O1068" s="152" t="s">
        <v>1549</v>
      </c>
      <c r="P1068" s="152" t="s">
        <v>1550</v>
      </c>
      <c r="Q1068" s="152" t="s">
        <v>1551</v>
      </c>
      <c r="R1068" s="154" t="s">
        <v>5602</v>
      </c>
      <c r="S1068" s="154" t="s">
        <v>1553</v>
      </c>
      <c r="T1068" s="155" t="s">
        <v>5579</v>
      </c>
      <c r="U1068" s="152" t="str">
        <f aca="false">RIGHT(T1068,7)</f>
        <v>022/037</v>
      </c>
      <c r="V1068" s="152" t="s">
        <v>1555</v>
      </c>
      <c r="W1068" s="156" t="n">
        <v>45882</v>
      </c>
      <c r="X1068" s="152" t="s">
        <v>1594</v>
      </c>
      <c r="Y1068" s="152" t="s">
        <v>5580</v>
      </c>
      <c r="Z1068" s="152" t="s">
        <v>1557</v>
      </c>
      <c r="AA1068" s="153" t="n">
        <v>6.2</v>
      </c>
      <c r="AB1068" s="151" t="s">
        <v>5603</v>
      </c>
      <c r="AC1068" s="151" t="s">
        <v>186</v>
      </c>
      <c r="AD1068" s="151" t="str">
        <f aca="false">CONCATENATE($C1068,$I1068,$H1068,$N1068,$J1068,$K1068)</f>
        <v>TUBO PEADPEAD63VCAREDESZona09</v>
      </c>
      <c r="AE1068" s="153" t="n">
        <f aca="false">IFERROR(INDEX(APOIO_REDES!$A:$W,MATCH($C1068&amp;$I1068&amp;$H1068&amp;$N1068&amp;$O1068,APOIO_REDES!$W:$W,0),MATCH(AE$5,APOIO_REDES!$5:$5,0)),0)</f>
        <v>1.2</v>
      </c>
      <c r="AF1068" s="153" t="n">
        <f aca="false">IFERROR(INDEX(APOIO_REDES!$A:$W,MATCH($C1068&amp;$I1068&amp;$H1068&amp;$N1068&amp;$O1068,APOIO_REDES!$W:$W,0),MATCH(AF$5,APOIO_REDES!$5:$5,0)),0)</f>
        <v>1.363</v>
      </c>
      <c r="AG1068" s="153" t="n">
        <f aca="false">IFERROR(INDEX(APOIO_REDES!$A:$W,MATCH($C1068&amp;$I1068&amp;$H1068&amp;$N1068&amp;$O1068,APOIO_REDES!$W:$W,0),MATCH(AG$5,APOIO_REDES!$5:$5,0)),0)</f>
        <v>0.65</v>
      </c>
      <c r="AH1068" s="153" t="n">
        <f aca="false">IFERROR(INDEX(APOIO_REDES!$A:$W,MATCH($C1068&amp;$I1068&amp;$H1068&amp;$N1068&amp;$O1068,APOIO_REDES!$W:$W,0),MATCH(AH$5,APOIO_REDES!$5:$5,0)),0)</f>
        <v>0.1</v>
      </c>
      <c r="AI1068" s="153" t="n">
        <f aca="false">IFERROR(IF($H1068&lt;&gt;"",(((($H1068/1000)/2)^2)*PI()*$M1068),0),0)</f>
        <v>0.0452935743619206</v>
      </c>
      <c r="AJ1068" s="153" t="n">
        <f aca="false">IFERROR(IF(AND($H1068&lt;&gt;"",$I1068="FoFo",OR($N1068="MND",$N1068="VCA"),$Q1068="LINEAR"),0,IF(AND($H1068&lt;&gt;"",$I1068="PEAD",$N1068="VCA",$Q1068="LINEAR"),($H1068/1000)+0.3,IF(AND($H1068&lt;&gt;"",$I1068="PEAD",$N1068="MND",$Q1068="EMBOQUE"),0,IF(AND($H1068&lt;&gt;"",$I1068="PVC",$N1068="VCA",$Q1068="LINEAR"),($H1068/1000)+0.2,IF(AND($H1068&lt;&gt;"",$I1068="PVC",$N1068="MND",$Q1068="EMBOQUE"),0,IF(AND($H1068&lt;&gt;"",$I1068="PEAD",$N1068="VCA",$Q1068="PREDIAL"),0,0)))))),0)</f>
        <v>0.363</v>
      </c>
      <c r="AK1068" s="153" t="n">
        <f aca="false">IF(AA1068&lt;&gt;"",AA1068,0)</f>
        <v>6.2</v>
      </c>
      <c r="AL1068" s="153" t="n">
        <f aca="false">IF(AND($N1068="MND",$Q1068="EMBOQUE"),$M1068,IF(AND($N1068="VCA",$Q1068="LINEAR"),$M1068,IF(AND($N1068="VCA",$Q1068="PREDIAL"),0,0)))</f>
        <v>14.53</v>
      </c>
      <c r="AM1068" s="153" t="n">
        <f aca="false">IF(AND($N1068="MND",$Q1068="EMBOQUE"),$M1068,IF(AND($N1068="VCA",$Q1068="LINEAR"),$M1068,IF(AND($N1068="VCA",$Q1068="PREDIAL"),0,0)))</f>
        <v>14.53</v>
      </c>
      <c r="AN1068" s="153" t="n">
        <f aca="false">ROUND(IF(AND($N1068="VCA",$M1068&lt;&gt;"",$Q1068="LINEAR"),$M1068/100,IF(AND($N1068="MND",$M1068&gt;100,$Q1068="EMBOQUE"),$M1068/100,0)),0)</f>
        <v>0</v>
      </c>
      <c r="AO1068" s="153" t="n">
        <f aca="false">IF(AND($N1068="MND",$Q1068="EMBOQUE"),$AN1068*2*2,IF(AND($N1068="VCA",$Q1068="LINEAR"),$M1068*2,IF(AND($N1068="VCA",$Q1068="PREDIAL"),0,0)))</f>
        <v>29.06</v>
      </c>
      <c r="AP1068" s="153" t="n">
        <f aca="false">IFERROR($M1068*$AF1068*$AG1068,0)</f>
        <v>12.8728535</v>
      </c>
      <c r="AQ1068" s="153" t="n">
        <f aca="false">IFERROR(IF(AND($N1068="VCA",$AH1068&gt;0),$M1068*$AG1068*$AH1068,0),0)</f>
        <v>0.94445</v>
      </c>
      <c r="AR1068" s="153" t="n">
        <f aca="false">IFERROR(IF(AND($N1068="VCA",$AJ1068&gt;0),($M1068*$AG1068*$AJ1068)-$AI1068,0),0)</f>
        <v>3.38305992563808</v>
      </c>
      <c r="AS1068" s="153" t="n">
        <f aca="false">IFERROR(IF(AND($N1068="VCA",$AP1068&gt;0),$AP1068-$AI1068-$AQ1068-$AR1068,0),0)</f>
        <v>8.50005</v>
      </c>
      <c r="AT1068" s="153" t="n">
        <f aca="false">IFERROR(IF($N1068="VCA",INDEX(APOIO_REDES!$A:$W,MATCH($C1068&amp;$I1068&amp;$H1068&amp;$N1068&amp;$O1068,APOIO_REDES!$W:$W,0),MATCH(AT$5,APOIO_REDES!$5:$5,0)),0)*$AP1068,0)</f>
        <v>0.140060456250146</v>
      </c>
      <c r="AU1068" s="153" t="n">
        <f aca="false">IFERROR(IF($N1068="VCA",INDEX(APOIO_REDES!$A:$W,MATCH($C1068&amp;$I1068&amp;$H1068&amp;$N1068&amp;$O1068,APOIO_REDES!$W:$W,0),MATCH(AU$5,APOIO_REDES!$5:$5,0)),0)*$AP1068,0)</f>
        <v>0.111848487043141</v>
      </c>
      <c r="AV1068" s="153" t="n">
        <f aca="false">IFERROR(IF($N1068="VCA",INDEX(APOIO_REDES!$A:$W,MATCH($C1068&amp;$I1068&amp;$H1068&amp;$N1068&amp;$O1068,APOIO_REDES!$W:$W,0),MATCH(AV$5,APOIO_REDES!$5:$5,0)),0)*$AP1068,0)</f>
        <v>0.015478952561721</v>
      </c>
      <c r="AW1068" s="153" t="n">
        <f aca="false">IFERROR(IF($N1068="VCA",INDEX(APOIO_REDES!$A:$W,MATCH($C1068&amp;$I1068&amp;$H1068&amp;$N1068&amp;$O1068,APOIO_REDES!$W:$W,0),MATCH(AW$5,APOIO_REDES!$5:$5,0)),0)*$AP1068,0)</f>
        <v>8.83602638613617</v>
      </c>
      <c r="AX1068" s="153" t="n">
        <f aca="false">IFERROR(IF($N1068="VCA",INDEX(APOIO_REDES!$A:$W,MATCH($C1068&amp;$I1068&amp;$H1068&amp;$N1068&amp;$O1068,APOIO_REDES!$W:$W,0),MATCH(AX$5,APOIO_REDES!$5:$5,0)),0)*$AP1068,0)</f>
        <v>1.22288088194365</v>
      </c>
      <c r="AY1068" s="153" t="n">
        <f aca="false">IFERROR(IF($N1068="VCA",INDEX(APOIO_REDES!$A:$W,MATCH($C1068&amp;$I1068&amp;$H1068&amp;$N1068&amp;$O1068,APOIO_REDES!$W:$W,0),MATCH(AY$5,APOIO_REDES!$5:$5,0)),0)*$AP1068,0)</f>
        <v>2.23696837743883</v>
      </c>
      <c r="AZ1068" s="153" t="n">
        <f aca="false">IFERROR(IF($N1068="VCA",INDEX(APOIO_REDES!$A:$W,MATCH($C1068&amp;$I1068&amp;$H1068&amp;$N1068&amp;$O1068,APOIO_REDES!$W:$W,0),MATCH(AZ$5,APOIO_REDES!$5:$5,0)),0)*$AP1068,0)</f>
        <v>0.309589958626342</v>
      </c>
      <c r="BA1068" s="153" t="n">
        <f aca="false">IFERROR(IF(AND($N1068="VCA",$Q1068="LINEAR"),INDEX(APOIO_REDES!$A:$W,MATCH($C1068&amp;$I1068&amp;$H1068&amp;$N1068&amp;$O1068,APOIO_REDES!$W:$W,0),MATCH(BA$5,APOIO_REDES!$5:$5,0)),IF(AND($N1068="MND",$Q1068="EMBOQUE"),INDEX(APOIO_REDES!$A:$W,MATCH($C1068&amp;$I1068&amp;$H1068&amp;$N1068&amp;$O1068,APOIO_REDES!$W:$W,0),MATCH(BA$5,APOIO_REDES!$5:$5,0)),0))*$M1068/10,0)</f>
        <v>1.17108134923421</v>
      </c>
      <c r="BB1068" s="153" t="n">
        <f aca="false">IFERROR(IF($N1068="VCA",INDEX(APOIO_REDES!$A:$W,MATCH($C1068&amp;$I1068&amp;$H1068&amp;$N1068&amp;$O1068,APOIO_REDES!$W:$W,0),MATCH(BB$5,APOIO_REDES!$5:$5,0)),0)*($AI1068+$AQ1068+$AR1068),0)</f>
        <v>4.32522610363623</v>
      </c>
      <c r="BC1068" s="153" t="n">
        <f aca="false">IFERROR(IF($N1068="VCA",INDEX(APOIO_REDES!$A:$W,MATCH($C1068&amp;$I1068&amp;$H1068&amp;$N1068&amp;$O1068,APOIO_REDES!$W:$W,0),MATCH(BC$5,APOIO_REDES!$5:$5,0)),0)*($AI1068+$AQ1068+$AR1068),0)</f>
        <v>0.0475773963637694</v>
      </c>
      <c r="BD1068" s="153" t="n">
        <f aca="false">IF(AND($N1068="VCA",$AF1068&gt;=1.25,$AF1068&lt;1.5),$M1068*$AF1068*2,0)</f>
        <v>39.60878</v>
      </c>
      <c r="BE1068" s="153" t="n">
        <f aca="false">IF(AND($N1068="VCA",$AF1068&gt;=1.5,$AF1068&lt;3),$M1068*$AF1068*2,0)</f>
        <v>0</v>
      </c>
      <c r="BF1068" s="153" t="n">
        <f aca="false">IF(AND($N1068="VCA",$AF1068&gt;=3),$M1068*$AF1068*2,0)</f>
        <v>0</v>
      </c>
      <c r="BG1068" s="153" t="n">
        <f aca="false">($BB1068+$BC1068)*$AK1068</f>
        <v>27.1113817</v>
      </c>
      <c r="BH1068" s="153" t="n">
        <f aca="false">IF(AND($M1068&lt;&gt;"",$N1068="VCA",$Q1068="LINEAR"),($M1068*2)/100,IF(AND($M1068&lt;&gt;"",$N1068="MND",$Q1068="EMBOQUE"),($AN1068*2)/100,0))</f>
        <v>0.2906</v>
      </c>
      <c r="BI1068" s="153" t="n">
        <f aca="false">IF(AND($M1068&lt;&gt;"",$N1068="VCA",$Q1068="LINEAR"),$M1068,IF(AND($M1068&lt;&gt;"",$N1068="MND",$Q1068="EMBOQUE"),$AN1068*2,0))</f>
        <v>14.53</v>
      </c>
      <c r="BJ1068" s="153" t="n">
        <f aca="false">IF(AND($M1068&lt;&gt;"",$N1068="VCA",$Q1068="LINEAR"),($M1068*6.8)/100,IF(AND($M1068&lt;&gt;"",$N1068="MND",$Q1068="EMBOQUE"),($AN1068*2*6.8)/100,0))</f>
        <v>0.98804</v>
      </c>
      <c r="BK1068" s="153" t="n">
        <f aca="false">IF(AND($M1068&lt;&gt;"",$N1068="VCA",$Q1068="LINEAR"),($M1068*2.5)/50,IF(AND($M1068&lt;&gt;"",$N1068="MND",$Q1068="EMBOQUE"),($AN1068*2*2.5)/50,0))</f>
        <v>0.7265</v>
      </c>
      <c r="BL1068" s="157" t="str">
        <f aca="false">K1068&amp;J1068</f>
        <v>Zona09REDES</v>
      </c>
      <c r="BM1068" s="152" t="s">
        <v>5109</v>
      </c>
      <c r="BN1068" s="152" t="s">
        <v>1560</v>
      </c>
      <c r="BO1068" s="152" t="s">
        <v>5582</v>
      </c>
      <c r="BP1068" s="152" t="s">
        <v>5597</v>
      </c>
      <c r="BQ1068" s="152" t="s">
        <v>5604</v>
      </c>
      <c r="BR1068" s="152" t="s">
        <v>5605</v>
      </c>
      <c r="BS1068" s="152" t="n">
        <v>203084.139</v>
      </c>
      <c r="BT1068" s="152" t="n">
        <v>8236029.259</v>
      </c>
      <c r="BU1068" s="152" t="n">
        <v>203070.068</v>
      </c>
      <c r="BV1068" s="152" t="n">
        <v>8236025.657</v>
      </c>
      <c r="BW1068" s="152" t="n">
        <v>-15.9372848</v>
      </c>
      <c r="BX1068" s="152" t="n">
        <v>-47.7734088</v>
      </c>
      <c r="BY1068" s="152" t="s">
        <v>5597</v>
      </c>
    </row>
    <row r="1069" customFormat="false" ht="13.8" hidden="false" customHeight="false" outlineLevel="0" collapsed="false">
      <c r="A1069" s="149" t="n">
        <f aca="false">IF(C1069&lt;&gt;"",ROW(A1064),"")</f>
        <v>1064</v>
      </c>
      <c r="B1069" s="150" t="str">
        <f aca="false">HYPERLINK("https://www.google.com/maps/dir/-15.917302,-47.760003/-15.9374968,-47.7741791/data=!4m3!4m2!3e0!5i2")</f>
        <v>https://www.google.com/maps/dir/-15.917302,-47.760003/-15.9374968,-47.7741791/data=!4m3!4m2!3e0!5i2</v>
      </c>
      <c r="C1069" s="151" t="s">
        <v>117</v>
      </c>
      <c r="D1069" s="152" t="s">
        <v>112</v>
      </c>
      <c r="E1069" s="152" t="s">
        <v>113</v>
      </c>
      <c r="F1069" s="152" t="s">
        <v>117</v>
      </c>
      <c r="G1069" s="152" t="s">
        <v>782</v>
      </c>
      <c r="H1069" s="152" t="n">
        <v>63</v>
      </c>
      <c r="I1069" s="152" t="s">
        <v>115</v>
      </c>
      <c r="J1069" s="152" t="s">
        <v>6</v>
      </c>
      <c r="K1069" s="152" t="s">
        <v>5106</v>
      </c>
      <c r="L1069" s="152" t="s">
        <v>120</v>
      </c>
      <c r="M1069" s="153" t="n">
        <f aca="false">50.52</f>
        <v>50.52</v>
      </c>
      <c r="N1069" s="152" t="s">
        <v>1548</v>
      </c>
      <c r="O1069" s="152" t="s">
        <v>1549</v>
      </c>
      <c r="P1069" s="152" t="s">
        <v>1550</v>
      </c>
      <c r="Q1069" s="152" t="s">
        <v>1551</v>
      </c>
      <c r="R1069" s="154" t="s">
        <v>5606</v>
      </c>
      <c r="S1069" s="154" t="s">
        <v>1553</v>
      </c>
      <c r="T1069" s="155" t="s">
        <v>5579</v>
      </c>
      <c r="U1069" s="152" t="str">
        <f aca="false">RIGHT(T1069,7)</f>
        <v>022/037</v>
      </c>
      <c r="V1069" s="152" t="s">
        <v>1555</v>
      </c>
      <c r="W1069" s="156" t="n">
        <v>45882</v>
      </c>
      <c r="X1069" s="152" t="s">
        <v>1594</v>
      </c>
      <c r="Y1069" s="152"/>
      <c r="Z1069" s="152" t="s">
        <v>1557</v>
      </c>
      <c r="AA1069" s="153" t="n">
        <v>6.2</v>
      </c>
      <c r="AB1069" s="151" t="s">
        <v>5607</v>
      </c>
      <c r="AC1069" s="151" t="s">
        <v>186</v>
      </c>
      <c r="AD1069" s="151" t="str">
        <f aca="false">CONCATENATE($C1069,$I1069,$H1069,$N1069,$J1069,$K1069)</f>
        <v>TUBO PEADPEAD63VCAREDESZona09</v>
      </c>
      <c r="AE1069" s="153" t="n">
        <f aca="false">IFERROR(INDEX(APOIO_REDES!$A:$W,MATCH($C1069&amp;$I1069&amp;$H1069&amp;$N1069&amp;$O1069,APOIO_REDES!$W:$W,0),MATCH(AE$5,APOIO_REDES!$5:$5,0)),0)</f>
        <v>1.2</v>
      </c>
      <c r="AF1069" s="153" t="n">
        <f aca="false">IFERROR(INDEX(APOIO_REDES!$A:$W,MATCH($C1069&amp;$I1069&amp;$H1069&amp;$N1069&amp;$O1069,APOIO_REDES!$W:$W,0),MATCH(AF$5,APOIO_REDES!$5:$5,0)),0)</f>
        <v>1.363</v>
      </c>
      <c r="AG1069" s="153" t="n">
        <f aca="false">IFERROR(INDEX(APOIO_REDES!$A:$W,MATCH($C1069&amp;$I1069&amp;$H1069&amp;$N1069&amp;$O1069,APOIO_REDES!$W:$W,0),MATCH(AG$5,APOIO_REDES!$5:$5,0)),0)</f>
        <v>0.65</v>
      </c>
      <c r="AH1069" s="153" t="n">
        <f aca="false">IFERROR(INDEX(APOIO_REDES!$A:$W,MATCH($C1069&amp;$I1069&amp;$H1069&amp;$N1069&amp;$O1069,APOIO_REDES!$W:$W,0),MATCH(AH$5,APOIO_REDES!$5:$5,0)),0)</f>
        <v>0.1</v>
      </c>
      <c r="AI1069" s="153" t="n">
        <f aca="false">IFERROR(IF($H1069&lt;&gt;"",(((($H1069/1000)/2)^2)*PI()*$M1069),0),0)</f>
        <v>0.157483233087696</v>
      </c>
      <c r="AJ1069" s="153" t="n">
        <f aca="false">IFERROR(IF(AND($H1069&lt;&gt;"",$I1069="FoFo",OR($N1069="MND",$N1069="VCA"),$Q1069="LINEAR"),0,IF(AND($H1069&lt;&gt;"",$I1069="PEAD",$N1069="VCA",$Q1069="LINEAR"),($H1069/1000)+0.3,IF(AND($H1069&lt;&gt;"",$I1069="PEAD",$N1069="MND",$Q1069="EMBOQUE"),0,IF(AND($H1069&lt;&gt;"",$I1069="PVC",$N1069="VCA",$Q1069="LINEAR"),($H1069/1000)+0.2,IF(AND($H1069&lt;&gt;"",$I1069="PVC",$N1069="MND",$Q1069="EMBOQUE"),0,IF(AND($H1069&lt;&gt;"",$I1069="PEAD",$N1069="VCA",$Q1069="PREDIAL"),0,0)))))),0)</f>
        <v>0.363</v>
      </c>
      <c r="AK1069" s="153" t="n">
        <f aca="false">IF(AA1069&lt;&gt;"",AA1069,0)</f>
        <v>6.2</v>
      </c>
      <c r="AL1069" s="153" t="n">
        <f aca="false">IF(AND($N1069="MND",$Q1069="EMBOQUE"),$M1069,IF(AND($N1069="VCA",$Q1069="LINEAR"),$M1069,IF(AND($N1069="VCA",$Q1069="PREDIAL"),0,0)))</f>
        <v>50.52</v>
      </c>
      <c r="AM1069" s="153" t="n">
        <f aca="false">IF(AND($N1069="MND",$Q1069="EMBOQUE"),$M1069,IF(AND($N1069="VCA",$Q1069="LINEAR"),$M1069,IF(AND($N1069="VCA",$Q1069="PREDIAL"),0,0)))</f>
        <v>50.52</v>
      </c>
      <c r="AN1069" s="153" t="n">
        <f aca="false">ROUND(IF(AND($N1069="VCA",$M1069&lt;&gt;"",$Q1069="LINEAR"),$M1069/100,IF(AND($N1069="MND",$M1069&gt;100,$Q1069="EMBOQUE"),$M1069/100,0)),0)</f>
        <v>1</v>
      </c>
      <c r="AO1069" s="153" t="n">
        <f aca="false">IF(AND($N1069="MND",$Q1069="EMBOQUE"),$AN1069*2*2,IF(AND($N1069="VCA",$Q1069="LINEAR"),$M1069*2,IF(AND($N1069="VCA",$Q1069="PREDIAL"),0,0)))</f>
        <v>101.04</v>
      </c>
      <c r="AP1069" s="153" t="n">
        <f aca="false">IFERROR($M1069*$AF1069*$AG1069,0)</f>
        <v>44.758194</v>
      </c>
      <c r="AQ1069" s="153" t="n">
        <f aca="false">IFERROR(IF(AND($N1069="VCA",$AH1069&gt;0),$M1069*$AG1069*$AH1069,0),0)</f>
        <v>3.2838</v>
      </c>
      <c r="AR1069" s="153" t="n">
        <f aca="false">IFERROR(IF(AND($N1069="VCA",$AJ1069&gt;0),($M1069*$AG1069*$AJ1069)-$AI1069,0),0)</f>
        <v>11.7627107669123</v>
      </c>
      <c r="AS1069" s="153" t="n">
        <f aca="false">IFERROR(IF(AND($N1069="VCA",$AP1069&gt;0),$AP1069-$AI1069-$AQ1069-$AR1069,0),0)</f>
        <v>29.5542</v>
      </c>
      <c r="AT1069" s="153" t="n">
        <f aca="false">IFERROR(IF($N1069="VCA",INDEX(APOIO_REDES!$A:$W,MATCH($C1069&amp;$I1069&amp;$H1069&amp;$N1069&amp;$O1069,APOIO_REDES!$W:$W,0),MATCH(AT$5,APOIO_REDES!$5:$5,0)),0)*$AP1069,0)</f>
        <v>0.486982398469194</v>
      </c>
      <c r="AU1069" s="153" t="n">
        <f aca="false">IFERROR(IF($N1069="VCA",INDEX(APOIO_REDES!$A:$W,MATCH($C1069&amp;$I1069&amp;$H1069&amp;$N1069&amp;$O1069,APOIO_REDES!$W:$W,0),MATCH(AU$5,APOIO_REDES!$5:$5,0)),0)*$AP1069,0)</f>
        <v>0.388890954261493</v>
      </c>
      <c r="AV1069" s="153" t="n">
        <f aca="false">IFERROR(IF($N1069="VCA",INDEX(APOIO_REDES!$A:$W,MATCH($C1069&amp;$I1069&amp;$H1069&amp;$N1069&amp;$O1069,APOIO_REDES!$W:$W,0),MATCH(AV$5,APOIO_REDES!$5:$5,0)),0)*$AP1069,0)</f>
        <v>0.0538194551561007</v>
      </c>
      <c r="AW1069" s="153" t="n">
        <f aca="false">IFERROR(IF($N1069="VCA",INDEX(APOIO_REDES!$A:$W,MATCH($C1069&amp;$I1069&amp;$H1069&amp;$N1069&amp;$O1069,APOIO_REDES!$W:$W,0),MATCH(AW$5,APOIO_REDES!$5:$5,0)),0)*$AP1069,0)</f>
        <v>30.7223711650103</v>
      </c>
      <c r="AX1069" s="153" t="n">
        <f aca="false">IFERROR(IF($N1069="VCA",INDEX(APOIO_REDES!$A:$W,MATCH($C1069&amp;$I1069&amp;$H1069&amp;$N1069&amp;$O1069,APOIO_REDES!$W:$W,0),MATCH(AX$5,APOIO_REDES!$5:$5,0)),0)*$AP1069,0)</f>
        <v>4.25188865490661</v>
      </c>
      <c r="AY1069" s="153" t="n">
        <f aca="false">IFERROR(IF($N1069="VCA",INDEX(APOIO_REDES!$A:$W,MATCH($C1069&amp;$I1069&amp;$H1069&amp;$N1069&amp;$O1069,APOIO_REDES!$W:$W,0),MATCH(AY$5,APOIO_REDES!$5:$5,0)),0)*$AP1069,0)</f>
        <v>7.77781434468064</v>
      </c>
      <c r="AZ1069" s="153" t="n">
        <f aca="false">IFERROR(IF($N1069="VCA",INDEX(APOIO_REDES!$A:$W,MATCH($C1069&amp;$I1069&amp;$H1069&amp;$N1069&amp;$O1069,APOIO_REDES!$W:$W,0),MATCH(AZ$5,APOIO_REDES!$5:$5,0)),0)*$AP1069,0)</f>
        <v>1.07642702751568</v>
      </c>
      <c r="BA1069" s="153" t="n">
        <f aca="false">IFERROR(IF(AND($N1069="VCA",$Q1069="LINEAR"),INDEX(APOIO_REDES!$A:$W,MATCH($C1069&amp;$I1069&amp;$H1069&amp;$N1069&amp;$O1069,APOIO_REDES!$W:$W,0),MATCH(BA$5,APOIO_REDES!$5:$5,0)),IF(AND($N1069="MND",$Q1069="EMBOQUE"),INDEX(APOIO_REDES!$A:$W,MATCH($C1069&amp;$I1069&amp;$H1069&amp;$N1069&amp;$O1069,APOIO_REDES!$W:$W,0),MATCH(BA$5,APOIO_REDES!$5:$5,0)),0))*$M1069/10,0)</f>
        <v>4.0717845673305</v>
      </c>
      <c r="BB1069" s="153" t="n">
        <f aca="false">IFERROR(IF($N1069="VCA",INDEX(APOIO_REDES!$A:$W,MATCH($C1069&amp;$I1069&amp;$H1069&amp;$N1069&amp;$O1069,APOIO_REDES!$W:$W,0),MATCH(BB$5,APOIO_REDES!$5:$5,0)),0)*($AI1069+$AQ1069+$AR1069),0)</f>
        <v>15.0385700451275</v>
      </c>
      <c r="BC1069" s="153" t="n">
        <f aca="false">IFERROR(IF($N1069="VCA",INDEX(APOIO_REDES!$A:$W,MATCH($C1069&amp;$I1069&amp;$H1069&amp;$N1069&amp;$O1069,APOIO_REDES!$W:$W,0),MATCH(BC$5,APOIO_REDES!$5:$5,0)),0)*($AI1069+$AQ1069+$AR1069),0)</f>
        <v>0.165423954872514</v>
      </c>
      <c r="BD1069" s="153" t="n">
        <f aca="false">IF(AND($N1069="VCA",$AF1069&gt;=1.25,$AF1069&lt;1.5),$M1069*$AF1069*2,0)</f>
        <v>137.71752</v>
      </c>
      <c r="BE1069" s="153" t="n">
        <f aca="false">IF(AND($N1069="VCA",$AF1069&gt;=1.5,$AF1069&lt;3),$M1069*$AF1069*2,0)</f>
        <v>0</v>
      </c>
      <c r="BF1069" s="153" t="n">
        <f aca="false">IF(AND($N1069="VCA",$AF1069&gt;=3),$M1069*$AF1069*2,0)</f>
        <v>0</v>
      </c>
      <c r="BG1069" s="153" t="n">
        <f aca="false">($BB1069+$BC1069)*$AK1069</f>
        <v>94.2647628</v>
      </c>
      <c r="BH1069" s="153" t="n">
        <f aca="false">IF(AND($M1069&lt;&gt;"",$N1069="VCA",$Q1069="LINEAR"),($M1069*2)/100,IF(AND($M1069&lt;&gt;"",$N1069="MND",$Q1069="EMBOQUE"),($AN1069*2)/100,0))</f>
        <v>1.0104</v>
      </c>
      <c r="BI1069" s="153" t="n">
        <f aca="false">IF(AND($M1069&lt;&gt;"",$N1069="VCA",$Q1069="LINEAR"),$M1069,IF(AND($M1069&lt;&gt;"",$N1069="MND",$Q1069="EMBOQUE"),$AN1069*2,0))</f>
        <v>50.52</v>
      </c>
      <c r="BJ1069" s="153" t="n">
        <f aca="false">IF(AND($M1069&lt;&gt;"",$N1069="VCA",$Q1069="LINEAR"),($M1069*6.8)/100,IF(AND($M1069&lt;&gt;"",$N1069="MND",$Q1069="EMBOQUE"),($AN1069*2*6.8)/100,0))</f>
        <v>3.43536</v>
      </c>
      <c r="BK1069" s="153" t="n">
        <f aca="false">IF(AND($M1069&lt;&gt;"",$N1069="VCA",$Q1069="LINEAR"),($M1069*2.5)/50,IF(AND($M1069&lt;&gt;"",$N1069="MND",$Q1069="EMBOQUE"),($AN1069*2*2.5)/50,0))</f>
        <v>2.526</v>
      </c>
      <c r="BL1069" s="157" t="str">
        <f aca="false">K1069&amp;J1069</f>
        <v>Zona09REDES</v>
      </c>
      <c r="BM1069" s="152" t="s">
        <v>5109</v>
      </c>
      <c r="BN1069" s="152" t="s">
        <v>1560</v>
      </c>
      <c r="BO1069" s="152" t="s">
        <v>5582</v>
      </c>
      <c r="BP1069" s="152" t="s">
        <v>5608</v>
      </c>
      <c r="BQ1069" s="152" t="s">
        <v>5588</v>
      </c>
      <c r="BR1069" s="152" t="s">
        <v>5590</v>
      </c>
      <c r="BS1069" s="152" t="n">
        <v>202994.898</v>
      </c>
      <c r="BT1069" s="152" t="n">
        <v>8236002.872</v>
      </c>
      <c r="BU1069" s="152" t="n">
        <v>202970.859</v>
      </c>
      <c r="BV1069" s="152" t="n">
        <v>8236047.057</v>
      </c>
      <c r="BW1069" s="152" t="n">
        <v>-15.9372977</v>
      </c>
      <c r="BX1069" s="152" t="n">
        <v>-47.774294</v>
      </c>
      <c r="BY1069" s="152" t="s">
        <v>5608</v>
      </c>
    </row>
    <row r="1070" customFormat="false" ht="13.8" hidden="false" customHeight="false" outlineLevel="0" collapsed="false">
      <c r="A1070" s="149" t="n">
        <f aca="false">IF(C1070&lt;&gt;"",ROW(A1065),"")</f>
        <v>1065</v>
      </c>
      <c r="B1070" s="150" t="str">
        <f aca="false">HYPERLINK("https://www.google.com/maps/dir/-15.917302,-47.760003/-15.9372993,-47.7734750/data=!4m3!4m2!3e0!5i2")</f>
        <v>https://www.google.com/maps/dir/-15.917302,-47.760003/-15.9372993,-47.7734750/data=!4m3!4m2!3e0!5i2</v>
      </c>
      <c r="C1070" s="151" t="s">
        <v>117</v>
      </c>
      <c r="D1070" s="152" t="s">
        <v>112</v>
      </c>
      <c r="E1070" s="152" t="s">
        <v>113</v>
      </c>
      <c r="F1070" s="152" t="s">
        <v>117</v>
      </c>
      <c r="G1070" s="152" t="s">
        <v>782</v>
      </c>
      <c r="H1070" s="152" t="n">
        <v>63</v>
      </c>
      <c r="I1070" s="152" t="s">
        <v>115</v>
      </c>
      <c r="J1070" s="152" t="s">
        <v>6</v>
      </c>
      <c r="K1070" s="152" t="s">
        <v>5106</v>
      </c>
      <c r="L1070" s="152" t="s">
        <v>120</v>
      </c>
      <c r="M1070" s="153" t="n">
        <f aca="false">79.06+0.09</f>
        <v>79.15</v>
      </c>
      <c r="N1070" s="152" t="s">
        <v>1548</v>
      </c>
      <c r="O1070" s="152" t="s">
        <v>1549</v>
      </c>
      <c r="P1070" s="152" t="s">
        <v>1550</v>
      </c>
      <c r="Q1070" s="152" t="s">
        <v>1551</v>
      </c>
      <c r="R1070" s="154" t="s">
        <v>5609</v>
      </c>
      <c r="S1070" s="154" t="s">
        <v>1553</v>
      </c>
      <c r="T1070" s="155" t="s">
        <v>5579</v>
      </c>
      <c r="U1070" s="152" t="str">
        <f aca="false">RIGHT(T1070,7)</f>
        <v>022/037</v>
      </c>
      <c r="V1070" s="152" t="s">
        <v>1555</v>
      </c>
      <c r="W1070" s="156" t="n">
        <v>45882</v>
      </c>
      <c r="X1070" s="152" t="s">
        <v>1594</v>
      </c>
      <c r="Y1070" s="152" t="s">
        <v>5580</v>
      </c>
      <c r="Z1070" s="152" t="s">
        <v>1557</v>
      </c>
      <c r="AA1070" s="153" t="n">
        <v>6.2</v>
      </c>
      <c r="AB1070" s="151" t="s">
        <v>5610</v>
      </c>
      <c r="AC1070" s="151" t="s">
        <v>186</v>
      </c>
      <c r="AD1070" s="151" t="str">
        <f aca="false">CONCATENATE($C1070,$I1070,$H1070,$N1070,$J1070,$K1070)</f>
        <v>TUBO PEADPEAD63VCAREDESZona09</v>
      </c>
      <c r="AE1070" s="153" t="n">
        <f aca="false">IFERROR(INDEX(APOIO_REDES!$A:$W,MATCH($C1070&amp;$I1070&amp;$H1070&amp;$N1070&amp;$O1070,APOIO_REDES!$W:$W,0),MATCH(AE$5,APOIO_REDES!$5:$5,0)),0)</f>
        <v>1.2</v>
      </c>
      <c r="AF1070" s="153" t="n">
        <f aca="false">IFERROR(INDEX(APOIO_REDES!$A:$W,MATCH($C1070&amp;$I1070&amp;$H1070&amp;$N1070&amp;$O1070,APOIO_REDES!$W:$W,0),MATCH(AF$5,APOIO_REDES!$5:$5,0)),0)</f>
        <v>1.363</v>
      </c>
      <c r="AG1070" s="153" t="n">
        <f aca="false">IFERROR(INDEX(APOIO_REDES!$A:$W,MATCH($C1070&amp;$I1070&amp;$H1070&amp;$N1070&amp;$O1070,APOIO_REDES!$W:$W,0),MATCH(AG$5,APOIO_REDES!$5:$5,0)),0)</f>
        <v>0.65</v>
      </c>
      <c r="AH1070" s="153" t="n">
        <f aca="false">IFERROR(INDEX(APOIO_REDES!$A:$W,MATCH($C1070&amp;$I1070&amp;$H1070&amp;$N1070&amp;$O1070,APOIO_REDES!$W:$W,0),MATCH(AH$5,APOIO_REDES!$5:$5,0)),0)</f>
        <v>0.1</v>
      </c>
      <c r="AI1070" s="153" t="n">
        <f aca="false">IFERROR(IF($H1070&lt;&gt;"",(((($H1070/1000)/2)^2)*PI()*$M1070),0),0)</f>
        <v>0.246729966328012</v>
      </c>
      <c r="AJ1070" s="153" t="n">
        <f aca="false">IFERROR(IF(AND($H1070&lt;&gt;"",$I1070="FoFo",OR($N1070="MND",$N1070="VCA"),$Q1070="LINEAR"),0,IF(AND($H1070&lt;&gt;"",$I1070="PEAD",$N1070="VCA",$Q1070="LINEAR"),($H1070/1000)+0.3,IF(AND($H1070&lt;&gt;"",$I1070="PEAD",$N1070="MND",$Q1070="EMBOQUE"),0,IF(AND($H1070&lt;&gt;"",$I1070="PVC",$N1070="VCA",$Q1070="LINEAR"),($H1070/1000)+0.2,IF(AND($H1070&lt;&gt;"",$I1070="PVC",$N1070="MND",$Q1070="EMBOQUE"),0,IF(AND($H1070&lt;&gt;"",$I1070="PEAD",$N1070="VCA",$Q1070="PREDIAL"),0,0)))))),0)</f>
        <v>0.363</v>
      </c>
      <c r="AK1070" s="153" t="n">
        <f aca="false">IF(AA1070&lt;&gt;"",AA1070,0)</f>
        <v>6.2</v>
      </c>
      <c r="AL1070" s="153" t="n">
        <f aca="false">IF(AND($N1070="MND",$Q1070="EMBOQUE"),$M1070,IF(AND($N1070="VCA",$Q1070="LINEAR"),$M1070,IF(AND($N1070="VCA",$Q1070="PREDIAL"),0,0)))</f>
        <v>79.15</v>
      </c>
      <c r="AM1070" s="153" t="n">
        <f aca="false">IF(AND($N1070="MND",$Q1070="EMBOQUE"),$M1070,IF(AND($N1070="VCA",$Q1070="LINEAR"),$M1070,IF(AND($N1070="VCA",$Q1070="PREDIAL"),0,0)))</f>
        <v>79.15</v>
      </c>
      <c r="AN1070" s="153" t="n">
        <f aca="false">ROUND(IF(AND($N1070="VCA",$M1070&lt;&gt;"",$Q1070="LINEAR"),$M1070/100,IF(AND($N1070="MND",$M1070&gt;100,$Q1070="EMBOQUE"),$M1070/100,0)),0)</f>
        <v>1</v>
      </c>
      <c r="AO1070" s="153" t="n">
        <f aca="false">IF(AND($N1070="MND",$Q1070="EMBOQUE"),$AN1070*2*2,IF(AND($N1070="VCA",$Q1070="LINEAR"),$M1070*2,IF(AND($N1070="VCA",$Q1070="PREDIAL"),0,0)))</f>
        <v>158.3</v>
      </c>
      <c r="AP1070" s="153" t="n">
        <f aca="false">IFERROR($M1070*$AF1070*$AG1070,0)</f>
        <v>70.1229425</v>
      </c>
      <c r="AQ1070" s="153" t="n">
        <f aca="false">IFERROR(IF(AND($N1070="VCA",$AH1070&gt;0),$M1070*$AG1070*$AH1070,0),0)</f>
        <v>5.14475</v>
      </c>
      <c r="AR1070" s="153" t="n">
        <f aca="false">IFERROR(IF(AND($N1070="VCA",$AJ1070&gt;0),($M1070*$AG1070*$AJ1070)-$AI1070,0),0)</f>
        <v>18.428712533672</v>
      </c>
      <c r="AS1070" s="153" t="n">
        <f aca="false">IFERROR(IF(AND($N1070="VCA",$AP1070&gt;0),$AP1070-$AI1070-$AQ1070-$AR1070,0),0)</f>
        <v>46.30275</v>
      </c>
      <c r="AT1070" s="153" t="n">
        <f aca="false">IFERROR(IF($N1070="VCA",INDEX(APOIO_REDES!$A:$W,MATCH($C1070&amp;$I1070&amp;$H1070&amp;$N1070&amp;$O1070,APOIO_REDES!$W:$W,0),MATCH(AT$5,APOIO_REDES!$5:$5,0)),0)*$AP1070,0)</f>
        <v>0.762958369731527</v>
      </c>
      <c r="AU1070" s="153" t="n">
        <f aca="false">IFERROR(IF($N1070="VCA",INDEX(APOIO_REDES!$A:$W,MATCH($C1070&amp;$I1070&amp;$H1070&amp;$N1070&amp;$O1070,APOIO_REDES!$W:$W,0),MATCH(AU$5,APOIO_REDES!$5:$5,0)),0)*$AP1070,0)</f>
        <v>0.609277890534385</v>
      </c>
      <c r="AV1070" s="153" t="n">
        <f aca="false">IFERROR(IF($N1070="VCA",INDEX(APOIO_REDES!$A:$W,MATCH($C1070&amp;$I1070&amp;$H1070&amp;$N1070&amp;$O1070,APOIO_REDES!$W:$W,0),MATCH(AV$5,APOIO_REDES!$5:$5,0)),0)*$AP1070,0)</f>
        <v>0.0843192770309852</v>
      </c>
      <c r="AW1070" s="153" t="n">
        <f aca="false">IFERROR(IF($N1070="VCA",INDEX(APOIO_REDES!$A:$W,MATCH($C1070&amp;$I1070&amp;$H1070&amp;$N1070&amp;$O1070,APOIO_REDES!$W:$W,0),MATCH(AW$5,APOIO_REDES!$5:$5,0)),0)*$AP1070,0)</f>
        <v>48.1329310710721</v>
      </c>
      <c r="AX1070" s="153" t="n">
        <f aca="false">IFERROR(IF($N1070="VCA",INDEX(APOIO_REDES!$A:$W,MATCH($C1070&amp;$I1070&amp;$H1070&amp;$N1070&amp;$O1070,APOIO_REDES!$W:$W,0),MATCH(AX$5,APOIO_REDES!$5:$5,0)),0)*$AP1070,0)</f>
        <v>6.6614605509869</v>
      </c>
      <c r="AY1070" s="153" t="n">
        <f aca="false">IFERROR(IF($N1070="VCA",INDEX(APOIO_REDES!$A:$W,MATCH($C1070&amp;$I1070&amp;$H1070&amp;$N1070&amp;$O1070,APOIO_REDES!$W:$W,0),MATCH(AY$5,APOIO_REDES!$5:$5,0)),0)*$AP1070,0)</f>
        <v>12.1855503836396</v>
      </c>
      <c r="AZ1070" s="153" t="n">
        <f aca="false">IFERROR(IF($N1070="VCA",INDEX(APOIO_REDES!$A:$W,MATCH($C1070&amp;$I1070&amp;$H1070&amp;$N1070&amp;$O1070,APOIO_REDES!$W:$W,0),MATCH(AZ$5,APOIO_REDES!$5:$5,0)),0)*$AP1070,0)</f>
        <v>1.68644495700447</v>
      </c>
      <c r="BA1070" s="153" t="n">
        <f aca="false">IFERROR(IF(AND($N1070="VCA",$Q1070="LINEAR"),INDEX(APOIO_REDES!$A:$W,MATCH($C1070&amp;$I1070&amp;$H1070&amp;$N1070&amp;$O1070,APOIO_REDES!$W:$W,0),MATCH(BA$5,APOIO_REDES!$5:$5,0)),IF(AND($N1070="MND",$Q1070="EMBOQUE"),INDEX(APOIO_REDES!$A:$W,MATCH($C1070&amp;$I1070&amp;$H1070&amp;$N1070&amp;$O1070,APOIO_REDES!$W:$W,0),MATCH(BA$5,APOIO_REDES!$5:$5,0)),0))*$M1070/10,0)</f>
        <v>6.37929035043961</v>
      </c>
      <c r="BB1070" s="153" t="n">
        <f aca="false">IFERROR(IF($N1070="VCA",INDEX(APOIO_REDES!$A:$W,MATCH($C1070&amp;$I1070&amp;$H1070&amp;$N1070&amp;$O1070,APOIO_REDES!$W:$W,0),MATCH(BB$5,APOIO_REDES!$5:$5,0)),0)*($AI1070+$AQ1070+$AR1070),0)</f>
        <v>23.5610217551829</v>
      </c>
      <c r="BC1070" s="153" t="n">
        <f aca="false">IFERROR(IF($N1070="VCA",INDEX(APOIO_REDES!$A:$W,MATCH($C1070&amp;$I1070&amp;$H1070&amp;$N1070&amp;$O1070,APOIO_REDES!$W:$W,0),MATCH(BC$5,APOIO_REDES!$5:$5,0)),0)*($AI1070+$AQ1070+$AR1070),0)</f>
        <v>0.259170744817092</v>
      </c>
      <c r="BD1070" s="153" t="n">
        <f aca="false">IF(AND($N1070="VCA",$AF1070&gt;=1.25,$AF1070&lt;1.5),$M1070*$AF1070*2,0)</f>
        <v>215.7629</v>
      </c>
      <c r="BE1070" s="153" t="n">
        <f aca="false">IF(AND($N1070="VCA",$AF1070&gt;=1.5,$AF1070&lt;3),$M1070*$AF1070*2,0)</f>
        <v>0</v>
      </c>
      <c r="BF1070" s="153" t="n">
        <f aca="false">IF(AND($N1070="VCA",$AF1070&gt;=3),$M1070*$AF1070*2,0)</f>
        <v>0</v>
      </c>
      <c r="BG1070" s="153" t="n">
        <f aca="false">($BB1070+$BC1070)*$AK1070</f>
        <v>147.6851935</v>
      </c>
      <c r="BH1070" s="153" t="n">
        <f aca="false">IF(AND($M1070&lt;&gt;"",$N1070="VCA",$Q1070="LINEAR"),($M1070*2)/100,IF(AND($M1070&lt;&gt;"",$N1070="MND",$Q1070="EMBOQUE"),($AN1070*2)/100,0))</f>
        <v>1.583</v>
      </c>
      <c r="BI1070" s="153" t="n">
        <f aca="false">IF(AND($M1070&lt;&gt;"",$N1070="VCA",$Q1070="LINEAR"),$M1070,IF(AND($M1070&lt;&gt;"",$N1070="MND",$Q1070="EMBOQUE"),$AN1070*2,0))</f>
        <v>79.15</v>
      </c>
      <c r="BJ1070" s="153" t="n">
        <f aca="false">IF(AND($M1070&lt;&gt;"",$N1070="VCA",$Q1070="LINEAR"),($M1070*6.8)/100,IF(AND($M1070&lt;&gt;"",$N1070="MND",$Q1070="EMBOQUE"),($AN1070*2*6.8)/100,0))</f>
        <v>5.3822</v>
      </c>
      <c r="BK1070" s="153" t="n">
        <f aca="false">IF(AND($M1070&lt;&gt;"",$N1070="VCA",$Q1070="LINEAR"),($M1070*2.5)/50,IF(AND($M1070&lt;&gt;"",$N1070="MND",$Q1070="EMBOQUE"),($AN1070*2*2.5)/50,0))</f>
        <v>3.9575</v>
      </c>
      <c r="BL1070" s="157" t="str">
        <f aca="false">K1070&amp;J1070</f>
        <v>Zona09REDES</v>
      </c>
      <c r="BM1070" s="152" t="s">
        <v>5109</v>
      </c>
      <c r="BN1070" s="152" t="s">
        <v>1560</v>
      </c>
      <c r="BO1070" s="152" t="s">
        <v>5582</v>
      </c>
      <c r="BP1070" s="152" t="s">
        <v>5604</v>
      </c>
      <c r="BQ1070" s="152" t="s">
        <v>5608</v>
      </c>
      <c r="BR1070" s="152" t="s">
        <v>5605</v>
      </c>
      <c r="BS1070" s="152" t="n">
        <v>203070.068</v>
      </c>
      <c r="BT1070" s="152" t="n">
        <v>8236025.657</v>
      </c>
      <c r="BU1070" s="152" t="n">
        <v>202994.898</v>
      </c>
      <c r="BV1070" s="152" t="n">
        <v>8236002.872</v>
      </c>
      <c r="BW1070" s="152" t="n">
        <v>-15.9374113</v>
      </c>
      <c r="BX1070" s="152" t="n">
        <v>-47.7738209</v>
      </c>
      <c r="BY1070" s="152" t="s">
        <v>5604</v>
      </c>
    </row>
    <row r="1071" customFormat="false" ht="13.8" hidden="false" customHeight="false" outlineLevel="0" collapsed="false">
      <c r="A1071" s="149" t="n">
        <f aca="false">IF(C1071&lt;&gt;"",ROW(A1066),"")</f>
        <v>1066</v>
      </c>
      <c r="B1071" s="150" t="str">
        <f aca="false">HYPERLINK("https://www.google.com/maps/dir/-15.917302,-47.760003/-15.9372993,-47.7734750/data=!4m3!4m2!3e0!5i2")</f>
        <v>https://www.google.com/maps/dir/-15.917302,-47.760003/-15.9372993,-47.7734750/data=!4m3!4m2!3e0!5i2</v>
      </c>
      <c r="C1071" s="151" t="s">
        <v>117</v>
      </c>
      <c r="D1071" s="152" t="s">
        <v>112</v>
      </c>
      <c r="E1071" s="152" t="s">
        <v>113</v>
      </c>
      <c r="F1071" s="152" t="s">
        <v>117</v>
      </c>
      <c r="G1071" s="152" t="s">
        <v>782</v>
      </c>
      <c r="H1071" s="152" t="n">
        <v>63</v>
      </c>
      <c r="I1071" s="152" t="s">
        <v>115</v>
      </c>
      <c r="J1071" s="152" t="s">
        <v>6</v>
      </c>
      <c r="K1071" s="152" t="s">
        <v>5106</v>
      </c>
      <c r="L1071" s="152" t="s">
        <v>120</v>
      </c>
      <c r="M1071" s="153" t="n">
        <f aca="false">54.36</f>
        <v>54.36</v>
      </c>
      <c r="N1071" s="152" t="s">
        <v>1548</v>
      </c>
      <c r="O1071" s="152" t="s">
        <v>1549</v>
      </c>
      <c r="P1071" s="152" t="s">
        <v>1550</v>
      </c>
      <c r="Q1071" s="152" t="s">
        <v>1551</v>
      </c>
      <c r="R1071" s="154" t="s">
        <v>5611</v>
      </c>
      <c r="S1071" s="154" t="s">
        <v>1553</v>
      </c>
      <c r="T1071" s="155" t="s">
        <v>5579</v>
      </c>
      <c r="U1071" s="152" t="str">
        <f aca="false">RIGHT(T1071,7)</f>
        <v>022/037</v>
      </c>
      <c r="V1071" s="152" t="s">
        <v>1555</v>
      </c>
      <c r="W1071" s="156" t="n">
        <v>45882</v>
      </c>
      <c r="X1071" s="152" t="s">
        <v>1594</v>
      </c>
      <c r="Y1071" s="152" t="s">
        <v>5580</v>
      </c>
      <c r="Z1071" s="152" t="s">
        <v>1557</v>
      </c>
      <c r="AA1071" s="153" t="n">
        <v>6.2</v>
      </c>
      <c r="AB1071" s="151" t="s">
        <v>5612</v>
      </c>
      <c r="AC1071" s="151" t="s">
        <v>186</v>
      </c>
      <c r="AD1071" s="151" t="str">
        <f aca="false">CONCATENATE($C1071,$I1071,$H1071,$N1071,$J1071,$K1071)</f>
        <v>TUBO PEADPEAD63VCAREDESZona09</v>
      </c>
      <c r="AE1071" s="153" t="n">
        <f aca="false">IFERROR(INDEX(APOIO_REDES!$A:$W,MATCH($C1071&amp;$I1071&amp;$H1071&amp;$N1071&amp;$O1071,APOIO_REDES!$W:$W,0),MATCH(AE$5,APOIO_REDES!$5:$5,0)),0)</f>
        <v>1.2</v>
      </c>
      <c r="AF1071" s="153" t="n">
        <f aca="false">IFERROR(INDEX(APOIO_REDES!$A:$W,MATCH($C1071&amp;$I1071&amp;$H1071&amp;$N1071&amp;$O1071,APOIO_REDES!$W:$W,0),MATCH(AF$5,APOIO_REDES!$5:$5,0)),0)</f>
        <v>1.363</v>
      </c>
      <c r="AG1071" s="153" t="n">
        <f aca="false">IFERROR(INDEX(APOIO_REDES!$A:$W,MATCH($C1071&amp;$I1071&amp;$H1071&amp;$N1071&amp;$O1071,APOIO_REDES!$W:$W,0),MATCH(AG$5,APOIO_REDES!$5:$5,0)),0)</f>
        <v>0.65</v>
      </c>
      <c r="AH1071" s="153" t="n">
        <f aca="false">IFERROR(INDEX(APOIO_REDES!$A:$W,MATCH($C1071&amp;$I1071&amp;$H1071&amp;$N1071&amp;$O1071,APOIO_REDES!$W:$W,0),MATCH(AH$5,APOIO_REDES!$5:$5,0)),0)</f>
        <v>0.1</v>
      </c>
      <c r="AI1071" s="153" t="n">
        <f aca="false">IFERROR(IF($H1071&lt;&gt;"",(((($H1071/1000)/2)^2)*PI()*$M1071),0),0)</f>
        <v>0.16945345508011</v>
      </c>
      <c r="AJ1071" s="153" t="n">
        <f aca="false">IFERROR(IF(AND($H1071&lt;&gt;"",$I1071="FoFo",OR($N1071="MND",$N1071="VCA"),$Q1071="LINEAR"),0,IF(AND($H1071&lt;&gt;"",$I1071="PEAD",$N1071="VCA",$Q1071="LINEAR"),($H1071/1000)+0.3,IF(AND($H1071&lt;&gt;"",$I1071="PEAD",$N1071="MND",$Q1071="EMBOQUE"),0,IF(AND($H1071&lt;&gt;"",$I1071="PVC",$N1071="VCA",$Q1071="LINEAR"),($H1071/1000)+0.2,IF(AND($H1071&lt;&gt;"",$I1071="PVC",$N1071="MND",$Q1071="EMBOQUE"),0,IF(AND($H1071&lt;&gt;"",$I1071="PEAD",$N1071="VCA",$Q1071="PREDIAL"),0,0)))))),0)</f>
        <v>0.363</v>
      </c>
      <c r="AK1071" s="153" t="n">
        <f aca="false">IF(AA1071&lt;&gt;"",AA1071,0)</f>
        <v>6.2</v>
      </c>
      <c r="AL1071" s="153" t="n">
        <f aca="false">IF(AND($N1071="MND",$Q1071="EMBOQUE"),$M1071,IF(AND($N1071="VCA",$Q1071="LINEAR"),$M1071,IF(AND($N1071="VCA",$Q1071="PREDIAL"),0,0)))</f>
        <v>54.36</v>
      </c>
      <c r="AM1071" s="153" t="n">
        <f aca="false">IF(AND($N1071="MND",$Q1071="EMBOQUE"),$M1071,IF(AND($N1071="VCA",$Q1071="LINEAR"),$M1071,IF(AND($N1071="VCA",$Q1071="PREDIAL"),0,0)))</f>
        <v>54.36</v>
      </c>
      <c r="AN1071" s="153" t="n">
        <f aca="false">ROUND(IF(AND($N1071="VCA",$M1071&lt;&gt;"",$Q1071="LINEAR"),$M1071/100,IF(AND($N1071="MND",$M1071&gt;100,$Q1071="EMBOQUE"),$M1071/100,0)),0)</f>
        <v>1</v>
      </c>
      <c r="AO1071" s="153" t="n">
        <f aca="false">IF(AND($N1071="MND",$Q1071="EMBOQUE"),$AN1071*2*2,IF(AND($N1071="VCA",$Q1071="LINEAR"),$M1071*2,IF(AND($N1071="VCA",$Q1071="PREDIAL"),0,0)))</f>
        <v>108.72</v>
      </c>
      <c r="AP1071" s="153" t="n">
        <f aca="false">IFERROR($M1071*$AF1071*$AG1071,0)</f>
        <v>48.160242</v>
      </c>
      <c r="AQ1071" s="153" t="n">
        <f aca="false">IFERROR(IF(AND($N1071="VCA",$AH1071&gt;0),$M1071*$AG1071*$AH1071,0),0)</f>
        <v>3.5334</v>
      </c>
      <c r="AR1071" s="153" t="n">
        <f aca="false">IFERROR(IF(AND($N1071="VCA",$AJ1071&gt;0),($M1071*$AG1071*$AJ1071)-$AI1071,0),0)</f>
        <v>12.6567885449199</v>
      </c>
      <c r="AS1071" s="153" t="n">
        <f aca="false">IFERROR(IF(AND($N1071="VCA",$AP1071&gt;0),$AP1071-$AI1071-$AQ1071-$AR1071,0),0)</f>
        <v>31.8006</v>
      </c>
      <c r="AT1071" s="153" t="n">
        <f aca="false">IFERROR(IF($N1071="VCA",INDEX(APOIO_REDES!$A:$W,MATCH($C1071&amp;$I1071&amp;$H1071&amp;$N1071&amp;$O1071,APOIO_REDES!$W:$W,0),MATCH(AT$5,APOIO_REDES!$5:$5,0)),0)*$AP1071,0)</f>
        <v>0.523997687664002</v>
      </c>
      <c r="AU1071" s="153" t="n">
        <f aca="false">IFERROR(IF($N1071="VCA",INDEX(APOIO_REDES!$A:$W,MATCH($C1071&amp;$I1071&amp;$H1071&amp;$N1071&amp;$O1071,APOIO_REDES!$W:$W,0),MATCH(AU$5,APOIO_REDES!$5:$5,0)),0)*$AP1071,0)</f>
        <v>0.418450361711297</v>
      </c>
      <c r="AV1071" s="153" t="n">
        <f aca="false">IFERROR(IF($N1071="VCA",INDEX(APOIO_REDES!$A:$W,MATCH($C1071&amp;$I1071&amp;$H1071&amp;$N1071&amp;$O1071,APOIO_REDES!$W:$W,0),MATCH(AV$5,APOIO_REDES!$5:$5,0)),0)*$AP1071,0)</f>
        <v>0.057910245096707</v>
      </c>
      <c r="AW1071" s="153" t="n">
        <f aca="false">IFERROR(IF($N1071="VCA",INDEX(APOIO_REDES!$A:$W,MATCH($C1071&amp;$I1071&amp;$H1071&amp;$N1071&amp;$O1071,APOIO_REDES!$W:$W,0),MATCH(AW$5,APOIO_REDES!$5:$5,0)),0)*$AP1071,0)</f>
        <v>33.0575632725645</v>
      </c>
      <c r="AX1071" s="153" t="n">
        <f aca="false">IFERROR(IF($N1071="VCA",INDEX(APOIO_REDES!$A:$W,MATCH($C1071&amp;$I1071&amp;$H1071&amp;$N1071&amp;$O1071,APOIO_REDES!$W:$W,0),MATCH(AX$5,APOIO_REDES!$5:$5,0)),0)*$AP1071,0)</f>
        <v>4.57507259067148</v>
      </c>
      <c r="AY1071" s="153" t="n">
        <f aca="false">IFERROR(IF($N1071="VCA",INDEX(APOIO_REDES!$A:$W,MATCH($C1071&amp;$I1071&amp;$H1071&amp;$N1071&amp;$O1071,APOIO_REDES!$W:$W,0),MATCH(AY$5,APOIO_REDES!$5:$5,0)),0)*$AP1071,0)</f>
        <v>8.36900213334996</v>
      </c>
      <c r="AZ1071" s="153" t="n">
        <f aca="false">IFERROR(IF($N1071="VCA",INDEX(APOIO_REDES!$A:$W,MATCH($C1071&amp;$I1071&amp;$H1071&amp;$N1071&amp;$O1071,APOIO_REDES!$W:$W,0),MATCH(AZ$5,APOIO_REDES!$5:$5,0)),0)*$AP1071,0)</f>
        <v>1.15824570894205</v>
      </c>
      <c r="BA1071" s="153" t="n">
        <f aca="false">IFERROR(IF(AND($N1071="VCA",$Q1071="LINEAR"),INDEX(APOIO_REDES!$A:$W,MATCH($C1071&amp;$I1071&amp;$H1071&amp;$N1071&amp;$O1071,APOIO_REDES!$W:$W,0),MATCH(BA$5,APOIO_REDES!$5:$5,0)),IF(AND($N1071="MND",$Q1071="EMBOQUE"),INDEX(APOIO_REDES!$A:$W,MATCH($C1071&amp;$I1071&amp;$H1071&amp;$N1071&amp;$O1071,APOIO_REDES!$W:$W,0),MATCH(BA$5,APOIO_REDES!$5:$5,0)),0))*$M1071/10,0)</f>
        <v>4.38127888123686</v>
      </c>
      <c r="BB1071" s="153" t="n">
        <f aca="false">IFERROR(IF($N1071="VCA",INDEX(APOIO_REDES!$A:$W,MATCH($C1071&amp;$I1071&amp;$H1071&amp;$N1071&amp;$O1071,APOIO_REDES!$W:$W,0),MATCH(BB$5,APOIO_REDES!$5:$5,0)),0)*($AI1071+$AQ1071+$AR1071),0)</f>
        <v>16.1816442528331</v>
      </c>
      <c r="BC1071" s="153" t="n">
        <f aca="false">IFERROR(IF($N1071="VCA",INDEX(APOIO_REDES!$A:$W,MATCH($C1071&amp;$I1071&amp;$H1071&amp;$N1071&amp;$O1071,APOIO_REDES!$W:$W,0),MATCH(BC$5,APOIO_REDES!$5:$5,0)),0)*($AI1071+$AQ1071+$AR1071),0)</f>
        <v>0.177997747166862</v>
      </c>
      <c r="BD1071" s="153" t="n">
        <f aca="false">IF(AND($N1071="VCA",$AF1071&gt;=1.25,$AF1071&lt;1.5),$M1071*$AF1071*2,0)</f>
        <v>148.18536</v>
      </c>
      <c r="BE1071" s="153" t="n">
        <f aca="false">IF(AND($N1071="VCA",$AF1071&gt;=1.5,$AF1071&lt;3),$M1071*$AF1071*2,0)</f>
        <v>0</v>
      </c>
      <c r="BF1071" s="153" t="n">
        <f aca="false">IF(AND($N1071="VCA",$AF1071&gt;=3),$M1071*$AF1071*2,0)</f>
        <v>0</v>
      </c>
      <c r="BG1071" s="153" t="n">
        <f aca="false">($BB1071+$BC1071)*$AK1071</f>
        <v>101.4297804</v>
      </c>
      <c r="BH1071" s="153" t="n">
        <f aca="false">IF(AND($M1071&lt;&gt;"",$N1071="VCA",$Q1071="LINEAR"),($M1071*2)/100,IF(AND($M1071&lt;&gt;"",$N1071="MND",$Q1071="EMBOQUE"),($AN1071*2)/100,0))</f>
        <v>1.0872</v>
      </c>
      <c r="BI1071" s="153" t="n">
        <f aca="false">IF(AND($M1071&lt;&gt;"",$N1071="VCA",$Q1071="LINEAR"),$M1071,IF(AND($M1071&lt;&gt;"",$N1071="MND",$Q1071="EMBOQUE"),$AN1071*2,0))</f>
        <v>54.36</v>
      </c>
      <c r="BJ1071" s="153" t="n">
        <f aca="false">IF(AND($M1071&lt;&gt;"",$N1071="VCA",$Q1071="LINEAR"),($M1071*6.8)/100,IF(AND($M1071&lt;&gt;"",$N1071="MND",$Q1071="EMBOQUE"),($AN1071*2*6.8)/100,0))</f>
        <v>3.69648</v>
      </c>
      <c r="BK1071" s="153" t="n">
        <f aca="false">IF(AND($M1071&lt;&gt;"",$N1071="VCA",$Q1071="LINEAR"),($M1071*2.5)/50,IF(AND($M1071&lt;&gt;"",$N1071="MND",$Q1071="EMBOQUE"),($AN1071*2*2.5)/50,0))</f>
        <v>2.718</v>
      </c>
      <c r="BL1071" s="157" t="str">
        <f aca="false">K1071&amp;J1071</f>
        <v>Zona09REDES</v>
      </c>
      <c r="BM1071" s="152" t="s">
        <v>5109</v>
      </c>
      <c r="BN1071" s="152" t="s">
        <v>1560</v>
      </c>
      <c r="BO1071" s="152" t="s">
        <v>5582</v>
      </c>
      <c r="BP1071" s="152" t="s">
        <v>5604</v>
      </c>
      <c r="BQ1071" s="152" t="s">
        <v>5613</v>
      </c>
      <c r="BR1071" s="152" t="s">
        <v>5614</v>
      </c>
      <c r="BS1071" s="152" t="n">
        <v>203070.068</v>
      </c>
      <c r="BT1071" s="152" t="n">
        <v>8236025.657</v>
      </c>
      <c r="BU1071" s="152" t="n">
        <v>203088.965</v>
      </c>
      <c r="BV1071" s="152" t="n">
        <v>8235974.692</v>
      </c>
      <c r="BW1071" s="152" t="n">
        <v>-15.9375314</v>
      </c>
      <c r="BX1071" s="152" t="n">
        <v>-47.7733897</v>
      </c>
      <c r="BY1071" s="152" t="s">
        <v>5604</v>
      </c>
    </row>
    <row r="1072" customFormat="false" ht="13.8" hidden="false" customHeight="false" outlineLevel="0" collapsed="false">
      <c r="A1072" s="149" t="n">
        <f aca="false">IF(C1072&lt;&gt;"",ROW(A1067),"")</f>
        <v>1067</v>
      </c>
      <c r="B1072" s="150" t="str">
        <f aca="false">HYPERLINK("https://www.google.com/maps/dir/-15.917302,-47.760003/-15.9375884,-47.7723794/data=!4m3!4m2!3e0!5i2")</f>
        <v>https://www.google.com/maps/dir/-15.917302,-47.760003/-15.9375884,-47.7723794/data=!4m3!4m2!3e0!5i2</v>
      </c>
      <c r="C1072" s="151" t="s">
        <v>117</v>
      </c>
      <c r="D1072" s="152" t="s">
        <v>112</v>
      </c>
      <c r="E1072" s="152" t="s">
        <v>113</v>
      </c>
      <c r="F1072" s="152" t="s">
        <v>117</v>
      </c>
      <c r="G1072" s="152" t="s">
        <v>782</v>
      </c>
      <c r="H1072" s="152" t="n">
        <v>63</v>
      </c>
      <c r="I1072" s="152" t="s">
        <v>115</v>
      </c>
      <c r="J1072" s="152" t="s">
        <v>6</v>
      </c>
      <c r="K1072" s="152" t="s">
        <v>5106</v>
      </c>
      <c r="L1072" s="152" t="s">
        <v>120</v>
      </c>
      <c r="M1072" s="153" t="n">
        <f aca="false">101.01</f>
        <v>101.01</v>
      </c>
      <c r="N1072" s="152" t="s">
        <v>1548</v>
      </c>
      <c r="O1072" s="152" t="s">
        <v>1549</v>
      </c>
      <c r="P1072" s="152" t="s">
        <v>1550</v>
      </c>
      <c r="Q1072" s="152" t="s">
        <v>1551</v>
      </c>
      <c r="R1072" s="154" t="s">
        <v>5615</v>
      </c>
      <c r="S1072" s="154" t="s">
        <v>1553</v>
      </c>
      <c r="T1072" s="155" t="s">
        <v>5579</v>
      </c>
      <c r="U1072" s="152" t="str">
        <f aca="false">RIGHT(T1072,7)</f>
        <v>022/037</v>
      </c>
      <c r="V1072" s="152" t="s">
        <v>1555</v>
      </c>
      <c r="W1072" s="156" t="n">
        <v>45882</v>
      </c>
      <c r="X1072" s="152" t="s">
        <v>1594</v>
      </c>
      <c r="Y1072" s="152" t="s">
        <v>5580</v>
      </c>
      <c r="Z1072" s="152" t="s">
        <v>1557</v>
      </c>
      <c r="AA1072" s="153" t="n">
        <v>6</v>
      </c>
      <c r="AB1072" s="151" t="s">
        <v>5616</v>
      </c>
      <c r="AC1072" s="151" t="s">
        <v>186</v>
      </c>
      <c r="AD1072" s="151" t="str">
        <f aca="false">CONCATENATE($C1072,$I1072,$H1072,$N1072,$J1072,$K1072)</f>
        <v>TUBO PEADPEAD63VCAREDESZona09</v>
      </c>
      <c r="AE1072" s="153" t="n">
        <f aca="false">IFERROR(INDEX(APOIO_REDES!$A:$W,MATCH($C1072&amp;$I1072&amp;$H1072&amp;$N1072&amp;$O1072,APOIO_REDES!$W:$W,0),MATCH(AE$5,APOIO_REDES!$5:$5,0)),0)</f>
        <v>1.2</v>
      </c>
      <c r="AF1072" s="153" t="n">
        <f aca="false">IFERROR(INDEX(APOIO_REDES!$A:$W,MATCH($C1072&amp;$I1072&amp;$H1072&amp;$N1072&amp;$O1072,APOIO_REDES!$W:$W,0),MATCH(AF$5,APOIO_REDES!$5:$5,0)),0)</f>
        <v>1.363</v>
      </c>
      <c r="AG1072" s="153" t="n">
        <f aca="false">IFERROR(INDEX(APOIO_REDES!$A:$W,MATCH($C1072&amp;$I1072&amp;$H1072&amp;$N1072&amp;$O1072,APOIO_REDES!$W:$W,0),MATCH(AG$5,APOIO_REDES!$5:$5,0)),0)</f>
        <v>0.65</v>
      </c>
      <c r="AH1072" s="153" t="n">
        <f aca="false">IFERROR(INDEX(APOIO_REDES!$A:$W,MATCH($C1072&amp;$I1072&amp;$H1072&amp;$N1072&amp;$O1072,APOIO_REDES!$W:$W,0),MATCH(AH$5,APOIO_REDES!$5:$5,0)),0)</f>
        <v>0.1</v>
      </c>
      <c r="AI1072" s="153" t="n">
        <f aca="false">IFERROR(IF($H1072&lt;&gt;"",(((($H1072/1000)/2)^2)*PI()*$M1072),0),0)</f>
        <v>0.314872948816077</v>
      </c>
      <c r="AJ1072" s="153" t="n">
        <f aca="false">IFERROR(IF(AND($H1072&lt;&gt;"",$I1072="FoFo",OR($N1072="MND",$N1072="VCA"),$Q1072="LINEAR"),0,IF(AND($H1072&lt;&gt;"",$I1072="PEAD",$N1072="VCA",$Q1072="LINEAR"),($H1072/1000)+0.3,IF(AND($H1072&lt;&gt;"",$I1072="PEAD",$N1072="MND",$Q1072="EMBOQUE"),0,IF(AND($H1072&lt;&gt;"",$I1072="PVC",$N1072="VCA",$Q1072="LINEAR"),($H1072/1000)+0.2,IF(AND($H1072&lt;&gt;"",$I1072="PVC",$N1072="MND",$Q1072="EMBOQUE"),0,IF(AND($H1072&lt;&gt;"",$I1072="PEAD",$N1072="VCA",$Q1072="PREDIAL"),0,0)))))),0)</f>
        <v>0.363</v>
      </c>
      <c r="AK1072" s="153" t="n">
        <f aca="false">IF(AA1072&lt;&gt;"",AA1072,0)</f>
        <v>6</v>
      </c>
      <c r="AL1072" s="153" t="n">
        <f aca="false">IF(AND($N1072="MND",$Q1072="EMBOQUE"),$M1072,IF(AND($N1072="VCA",$Q1072="LINEAR"),$M1072,IF(AND($N1072="VCA",$Q1072="PREDIAL"),0,0)))</f>
        <v>101.01</v>
      </c>
      <c r="AM1072" s="153" t="n">
        <f aca="false">IF(AND($N1072="MND",$Q1072="EMBOQUE"),$M1072,IF(AND($N1072="VCA",$Q1072="LINEAR"),$M1072,IF(AND($N1072="VCA",$Q1072="PREDIAL"),0,0)))</f>
        <v>101.01</v>
      </c>
      <c r="AN1072" s="153" t="n">
        <f aca="false">ROUND(IF(AND($N1072="VCA",$M1072&lt;&gt;"",$Q1072="LINEAR"),$M1072/100,IF(AND($N1072="MND",$M1072&gt;100,$Q1072="EMBOQUE"),$M1072/100,0)),0)</f>
        <v>1</v>
      </c>
      <c r="AO1072" s="153" t="n">
        <f aca="false">IF(AND($N1072="MND",$Q1072="EMBOQUE"),$AN1072*2*2,IF(AND($N1072="VCA",$Q1072="LINEAR"),$M1072*2,IF(AND($N1072="VCA",$Q1072="PREDIAL"),0,0)))</f>
        <v>202.02</v>
      </c>
      <c r="AP1072" s="153" t="n">
        <f aca="false">IFERROR($M1072*$AF1072*$AG1072,0)</f>
        <v>89.4898095</v>
      </c>
      <c r="AQ1072" s="153" t="n">
        <f aca="false">IFERROR(IF(AND($N1072="VCA",$AH1072&gt;0),$M1072*$AG1072*$AH1072,0),0)</f>
        <v>6.56565</v>
      </c>
      <c r="AR1072" s="153" t="n">
        <f aca="false">IFERROR(IF(AND($N1072="VCA",$AJ1072&gt;0),($M1072*$AG1072*$AJ1072)-$AI1072,0),0)</f>
        <v>23.5184365511839</v>
      </c>
      <c r="AS1072" s="153" t="n">
        <f aca="false">IFERROR(IF(AND($N1072="VCA",$AP1072&gt;0),$AP1072-$AI1072-$AQ1072-$AR1072,0),0)</f>
        <v>59.09085</v>
      </c>
      <c r="AT1072" s="153" t="n">
        <f aca="false">IFERROR(IF($N1072="VCA",INDEX(APOIO_REDES!$A:$W,MATCH($C1072&amp;$I1072&amp;$H1072&amp;$N1072&amp;$O1072,APOIO_REDES!$W:$W,0),MATCH(AT$5,APOIO_REDES!$5:$5,0)),0)*$AP1072,0)</f>
        <v>0.973675614991554</v>
      </c>
      <c r="AU1072" s="153" t="n">
        <f aca="false">IFERROR(IF($N1072="VCA",INDEX(APOIO_REDES!$A:$W,MATCH($C1072&amp;$I1072&amp;$H1072&amp;$N1072&amp;$O1072,APOIO_REDES!$W:$W,0),MATCH(AU$5,APOIO_REDES!$5:$5,0)),0)*$AP1072,0)</f>
        <v>0.777550975652284</v>
      </c>
      <c r="AV1072" s="153" t="n">
        <f aca="false">IFERROR(IF($N1072="VCA",INDEX(APOIO_REDES!$A:$W,MATCH($C1072&amp;$I1072&amp;$H1072&amp;$N1072&amp;$O1072,APOIO_REDES!$W:$W,0),MATCH(AV$5,APOIO_REDES!$5:$5,0)),0)*$AP1072,0)</f>
        <v>0.107606951015791</v>
      </c>
      <c r="AW1072" s="153" t="n">
        <f aca="false">IFERROR(IF($N1072="VCA",INDEX(APOIO_REDES!$A:$W,MATCH($C1072&amp;$I1072&amp;$H1072&amp;$N1072&amp;$O1072,APOIO_REDES!$W:$W,0),MATCH(AW$5,APOIO_REDES!$5:$5,0)),0)*$AP1072,0)</f>
        <v>61.4264986416803</v>
      </c>
      <c r="AX1072" s="153" t="n">
        <f aca="false">IFERROR(IF($N1072="VCA",INDEX(APOIO_REDES!$A:$W,MATCH($C1072&amp;$I1072&amp;$H1072&amp;$N1072&amp;$O1072,APOIO_REDES!$W:$W,0),MATCH(AX$5,APOIO_REDES!$5:$5,0)),0)*$AP1072,0)</f>
        <v>8.50125243531506</v>
      </c>
      <c r="AY1072" s="153" t="n">
        <f aca="false">IFERROR(IF($N1072="VCA",INDEX(APOIO_REDES!$A:$W,MATCH($C1072&amp;$I1072&amp;$H1072&amp;$N1072&amp;$O1072,APOIO_REDES!$W:$W,0),MATCH(AY$5,APOIO_REDES!$5:$5,0)),0)*$AP1072,0)</f>
        <v>15.5510100347623</v>
      </c>
      <c r="AZ1072" s="153" t="n">
        <f aca="false">IFERROR(IF($N1072="VCA",INDEX(APOIO_REDES!$A:$W,MATCH($C1072&amp;$I1072&amp;$H1072&amp;$N1072&amp;$O1072,APOIO_REDES!$W:$W,0),MATCH(AZ$5,APOIO_REDES!$5:$5,0)),0)*$AP1072,0)</f>
        <v>2.15221484658271</v>
      </c>
      <c r="BA1072" s="153" t="n">
        <f aca="false">IFERROR(IF(AND($N1072="VCA",$Q1072="LINEAR"),INDEX(APOIO_REDES!$A:$W,MATCH($C1072&amp;$I1072&amp;$H1072&amp;$N1072&amp;$O1072,APOIO_REDES!$W:$W,0),MATCH(BA$5,APOIO_REDES!$5:$5,0)),IF(AND($N1072="MND",$Q1072="EMBOQUE"),INDEX(APOIO_REDES!$A:$W,MATCH($C1072&amp;$I1072&amp;$H1072&amp;$N1072&amp;$O1072,APOIO_REDES!$W:$W,0),MATCH(BA$5,APOIO_REDES!$5:$5,0)),0))*$M1072/10,0)</f>
        <v>8.14115121033361</v>
      </c>
      <c r="BB1072" s="153" t="n">
        <f aca="false">IFERROR(IF($N1072="VCA",INDEX(APOIO_REDES!$A:$W,MATCH($C1072&amp;$I1072&amp;$H1072&amp;$N1072&amp;$O1072,APOIO_REDES!$W:$W,0),MATCH(BB$5,APOIO_REDES!$5:$5,0)),0)*($AI1072+$AQ1072+$AR1072),0)</f>
        <v>30.0682098230073</v>
      </c>
      <c r="BC1072" s="153" t="n">
        <f aca="false">IFERROR(IF($N1072="VCA",INDEX(APOIO_REDES!$A:$W,MATCH($C1072&amp;$I1072&amp;$H1072&amp;$N1072&amp;$O1072,APOIO_REDES!$W:$W,0),MATCH(BC$5,APOIO_REDES!$5:$5,0)),0)*($AI1072+$AQ1072+$AR1072),0)</f>
        <v>0.330749676992729</v>
      </c>
      <c r="BD1072" s="153" t="n">
        <f aca="false">IF(AND($N1072="VCA",$AF1072&gt;=1.25,$AF1072&lt;1.5),$M1072*$AF1072*2,0)</f>
        <v>275.35326</v>
      </c>
      <c r="BE1072" s="153" t="n">
        <f aca="false">IF(AND($N1072="VCA",$AF1072&gt;=1.5,$AF1072&lt;3),$M1072*$AF1072*2,0)</f>
        <v>0</v>
      </c>
      <c r="BF1072" s="153" t="n">
        <f aca="false">IF(AND($N1072="VCA",$AF1072&gt;=3),$M1072*$AF1072*2,0)</f>
        <v>0</v>
      </c>
      <c r="BG1072" s="153" t="n">
        <f aca="false">($BB1072+$BC1072)*$AK1072</f>
        <v>182.393757</v>
      </c>
      <c r="BH1072" s="153" t="n">
        <f aca="false">IF(AND($M1072&lt;&gt;"",$N1072="VCA",$Q1072="LINEAR"),($M1072*2)/100,IF(AND($M1072&lt;&gt;"",$N1072="MND",$Q1072="EMBOQUE"),($AN1072*2)/100,0))</f>
        <v>2.0202</v>
      </c>
      <c r="BI1072" s="153" t="n">
        <f aca="false">IF(AND($M1072&lt;&gt;"",$N1072="VCA",$Q1072="LINEAR"),$M1072,IF(AND($M1072&lt;&gt;"",$N1072="MND",$Q1072="EMBOQUE"),$AN1072*2,0))</f>
        <v>101.01</v>
      </c>
      <c r="BJ1072" s="153" t="n">
        <f aca="false">IF(AND($M1072&lt;&gt;"",$N1072="VCA",$Q1072="LINEAR"),($M1072*6.8)/100,IF(AND($M1072&lt;&gt;"",$N1072="MND",$Q1072="EMBOQUE"),($AN1072*2*6.8)/100,0))</f>
        <v>6.86868</v>
      </c>
      <c r="BK1072" s="153" t="n">
        <f aca="false">IF(AND($M1072&lt;&gt;"",$N1072="VCA",$Q1072="LINEAR"),($M1072*2.5)/50,IF(AND($M1072&lt;&gt;"",$N1072="MND",$Q1072="EMBOQUE"),($AN1072*2*2.5)/50,0))</f>
        <v>5.0505</v>
      </c>
      <c r="BL1072" s="157" t="str">
        <f aca="false">K1072&amp;J1072</f>
        <v>Zona09REDES</v>
      </c>
      <c r="BM1072" s="152" t="s">
        <v>5109</v>
      </c>
      <c r="BN1072" s="152" t="s">
        <v>1560</v>
      </c>
      <c r="BO1072" s="152" t="s">
        <v>5582</v>
      </c>
      <c r="BP1072" s="152" t="s">
        <v>5617</v>
      </c>
      <c r="BQ1072" s="152" t="s">
        <v>5613</v>
      </c>
      <c r="BR1072" s="152" t="s">
        <v>5590</v>
      </c>
      <c r="BS1072" s="152" t="n">
        <v>203187.838</v>
      </c>
      <c r="BT1072" s="152" t="n">
        <v>8235995.303</v>
      </c>
      <c r="BU1072" s="152" t="n">
        <v>203088.965</v>
      </c>
      <c r="BV1072" s="152" t="n">
        <v>8235974.692</v>
      </c>
      <c r="BW1072" s="152" t="n">
        <v>-15.9376784</v>
      </c>
      <c r="BX1072" s="152" t="n">
        <v>-47.7728414</v>
      </c>
      <c r="BY1072" s="152" t="s">
        <v>5617</v>
      </c>
    </row>
    <row r="1073" customFormat="false" ht="13.8" hidden="false" customHeight="false" outlineLevel="0" collapsed="false">
      <c r="A1073" s="149" t="n">
        <f aca="false">IF(C1073&lt;&gt;"",ROW(A1068),"")</f>
        <v>1068</v>
      </c>
      <c r="B1073" s="150" t="str">
        <f aca="false">HYPERLINK("https://www.google.com/maps/dir/-15.917302,-47.760003/-15.9377628,-47.7733049/data=!4m3!4m2!3e0!5i2")</f>
        <v>https://www.google.com/maps/dir/-15.917302,-47.760003/-15.9377628,-47.7733049/data=!4m3!4m2!3e0!5i2</v>
      </c>
      <c r="C1073" s="151" t="s">
        <v>117</v>
      </c>
      <c r="D1073" s="152" t="s">
        <v>112</v>
      </c>
      <c r="E1073" s="152" t="s">
        <v>113</v>
      </c>
      <c r="F1073" s="152" t="s">
        <v>117</v>
      </c>
      <c r="G1073" s="152" t="s">
        <v>782</v>
      </c>
      <c r="H1073" s="152" t="n">
        <v>63</v>
      </c>
      <c r="I1073" s="152" t="s">
        <v>115</v>
      </c>
      <c r="J1073" s="152" t="s">
        <v>6</v>
      </c>
      <c r="K1073" s="152" t="s">
        <v>5106</v>
      </c>
      <c r="L1073" s="152" t="s">
        <v>120</v>
      </c>
      <c r="M1073" s="153" t="n">
        <f aca="false">118.35</f>
        <v>118.35</v>
      </c>
      <c r="N1073" s="152" t="s">
        <v>1548</v>
      </c>
      <c r="O1073" s="152" t="s">
        <v>1549</v>
      </c>
      <c r="P1073" s="152" t="s">
        <v>1550</v>
      </c>
      <c r="Q1073" s="152" t="s">
        <v>1551</v>
      </c>
      <c r="R1073" s="154" t="s">
        <v>5618</v>
      </c>
      <c r="S1073" s="154" t="s">
        <v>1553</v>
      </c>
      <c r="T1073" s="155" t="s">
        <v>5579</v>
      </c>
      <c r="U1073" s="152" t="str">
        <f aca="false">RIGHT(T1073,7)</f>
        <v>022/037</v>
      </c>
      <c r="V1073" s="152" t="s">
        <v>1555</v>
      </c>
      <c r="W1073" s="156" t="n">
        <v>45882</v>
      </c>
      <c r="X1073" s="152" t="s">
        <v>1594</v>
      </c>
      <c r="Y1073" s="152" t="s">
        <v>5580</v>
      </c>
      <c r="Z1073" s="152" t="s">
        <v>1557</v>
      </c>
      <c r="AA1073" s="153" t="n">
        <v>6.2</v>
      </c>
      <c r="AB1073" s="151" t="s">
        <v>5619</v>
      </c>
      <c r="AC1073" s="151" t="s">
        <v>186</v>
      </c>
      <c r="AD1073" s="151" t="str">
        <f aca="false">CONCATENATE($C1073,$I1073,$H1073,$N1073,$J1073,$K1073)</f>
        <v>TUBO PEADPEAD63VCAREDESZona09</v>
      </c>
      <c r="AE1073" s="153" t="n">
        <f aca="false">IFERROR(INDEX(APOIO_REDES!$A:$W,MATCH($C1073&amp;$I1073&amp;$H1073&amp;$N1073&amp;$O1073,APOIO_REDES!$W:$W,0),MATCH(AE$5,APOIO_REDES!$5:$5,0)),0)</f>
        <v>1.2</v>
      </c>
      <c r="AF1073" s="153" t="n">
        <f aca="false">IFERROR(INDEX(APOIO_REDES!$A:$W,MATCH($C1073&amp;$I1073&amp;$H1073&amp;$N1073&amp;$O1073,APOIO_REDES!$W:$W,0),MATCH(AF$5,APOIO_REDES!$5:$5,0)),0)</f>
        <v>1.363</v>
      </c>
      <c r="AG1073" s="153" t="n">
        <f aca="false">IFERROR(INDEX(APOIO_REDES!$A:$W,MATCH($C1073&amp;$I1073&amp;$H1073&amp;$N1073&amp;$O1073,APOIO_REDES!$W:$W,0),MATCH(AG$5,APOIO_REDES!$5:$5,0)),0)</f>
        <v>0.65</v>
      </c>
      <c r="AH1073" s="153" t="n">
        <f aca="false">IFERROR(INDEX(APOIO_REDES!$A:$W,MATCH($C1073&amp;$I1073&amp;$H1073&amp;$N1073&amp;$O1073,APOIO_REDES!$W:$W,0),MATCH(AH$5,APOIO_REDES!$5:$5,0)),0)</f>
        <v>0.1</v>
      </c>
      <c r="AI1073" s="153" t="n">
        <f aca="false">IFERROR(IF($H1073&lt;&gt;"",(((($H1073/1000)/2)^2)*PI()*$M1073),0),0)</f>
        <v>0.368925982500571</v>
      </c>
      <c r="AJ1073" s="153" t="n">
        <f aca="false">IFERROR(IF(AND($H1073&lt;&gt;"",$I1073="FoFo",OR($N1073="MND",$N1073="VCA"),$Q1073="LINEAR"),0,IF(AND($H1073&lt;&gt;"",$I1073="PEAD",$N1073="VCA",$Q1073="LINEAR"),($H1073/1000)+0.3,IF(AND($H1073&lt;&gt;"",$I1073="PEAD",$N1073="MND",$Q1073="EMBOQUE"),0,IF(AND($H1073&lt;&gt;"",$I1073="PVC",$N1073="VCA",$Q1073="LINEAR"),($H1073/1000)+0.2,IF(AND($H1073&lt;&gt;"",$I1073="PVC",$N1073="MND",$Q1073="EMBOQUE"),0,IF(AND($H1073&lt;&gt;"",$I1073="PEAD",$N1073="VCA",$Q1073="PREDIAL"),0,0)))))),0)</f>
        <v>0.363</v>
      </c>
      <c r="AK1073" s="153" t="n">
        <f aca="false">IF(AA1073&lt;&gt;"",AA1073,0)</f>
        <v>6.2</v>
      </c>
      <c r="AL1073" s="153" t="n">
        <f aca="false">IF(AND($N1073="MND",$Q1073="EMBOQUE"),$M1073,IF(AND($N1073="VCA",$Q1073="LINEAR"),$M1073,IF(AND($N1073="VCA",$Q1073="PREDIAL"),0,0)))</f>
        <v>118.35</v>
      </c>
      <c r="AM1073" s="153" t="n">
        <f aca="false">IF(AND($N1073="MND",$Q1073="EMBOQUE"),$M1073,IF(AND($N1073="VCA",$Q1073="LINEAR"),$M1073,IF(AND($N1073="VCA",$Q1073="PREDIAL"),0,0)))</f>
        <v>118.35</v>
      </c>
      <c r="AN1073" s="153" t="n">
        <f aca="false">ROUND(IF(AND($N1073="VCA",$M1073&lt;&gt;"",$Q1073="LINEAR"),$M1073/100,IF(AND($N1073="MND",$M1073&gt;100,$Q1073="EMBOQUE"),$M1073/100,0)),0)</f>
        <v>1</v>
      </c>
      <c r="AO1073" s="153" t="n">
        <f aca="false">IF(AND($N1073="MND",$Q1073="EMBOQUE"),$AN1073*2*2,IF(AND($N1073="VCA",$Q1073="LINEAR"),$M1073*2,IF(AND($N1073="VCA",$Q1073="PREDIAL"),0,0)))</f>
        <v>236.7</v>
      </c>
      <c r="AP1073" s="153" t="n">
        <f aca="false">IFERROR($M1073*$AF1073*$AG1073,0)</f>
        <v>104.8521825</v>
      </c>
      <c r="AQ1073" s="153" t="n">
        <f aca="false">IFERROR(IF(AND($N1073="VCA",$AH1073&gt;0),$M1073*$AG1073*$AH1073,0),0)</f>
        <v>7.69275</v>
      </c>
      <c r="AR1073" s="153" t="n">
        <f aca="false">IFERROR(IF(AND($N1073="VCA",$AJ1073&gt;0),($M1073*$AG1073*$AJ1073)-$AI1073,0),0)</f>
        <v>27.5557565174994</v>
      </c>
      <c r="AS1073" s="153" t="n">
        <f aca="false">IFERROR(IF(AND($N1073="VCA",$AP1073&gt;0),$AP1073-$AI1073-$AQ1073-$AR1073,0),0)</f>
        <v>69.23475</v>
      </c>
      <c r="AT1073" s="153" t="n">
        <f aca="false">IFERROR(IF($N1073="VCA",INDEX(APOIO_REDES!$A:$W,MATCH($C1073&amp;$I1073&amp;$H1073&amp;$N1073&amp;$O1073,APOIO_REDES!$W:$W,0),MATCH(AT$5,APOIO_REDES!$5:$5,0)),0)*$AP1073,0)</f>
        <v>1.14082278026186</v>
      </c>
      <c r="AU1073" s="153" t="n">
        <f aca="false">IFERROR(IF($N1073="VCA",INDEX(APOIO_REDES!$A:$W,MATCH($C1073&amp;$I1073&amp;$H1073&amp;$N1073&amp;$O1073,APOIO_REDES!$W:$W,0),MATCH(AU$5,APOIO_REDES!$5:$5,0)),0)*$AP1073,0)</f>
        <v>0.911030174917808</v>
      </c>
      <c r="AV1073" s="153" t="n">
        <f aca="false">IFERROR(IF($N1073="VCA",INDEX(APOIO_REDES!$A:$W,MATCH($C1073&amp;$I1073&amp;$H1073&amp;$N1073&amp;$O1073,APOIO_REDES!$W:$W,0),MATCH(AV$5,APOIO_REDES!$5:$5,0)),0)*$AP1073,0)</f>
        <v>0.126079424341341</v>
      </c>
      <c r="AW1073" s="153" t="n">
        <f aca="false">IFERROR(IF($N1073="VCA",INDEX(APOIO_REDES!$A:$W,MATCH($C1073&amp;$I1073&amp;$H1073&amp;$N1073&amp;$O1073,APOIO_REDES!$W:$W,0),MATCH(AW$5,APOIO_REDES!$5:$5,0)),0)*$AP1073,0)</f>
        <v>71.9713505023549</v>
      </c>
      <c r="AX1073" s="153" t="n">
        <f aca="false">IFERROR(IF($N1073="VCA",INDEX(APOIO_REDES!$A:$W,MATCH($C1073&amp;$I1073&amp;$H1073&amp;$N1073&amp;$O1073,APOIO_REDES!$W:$W,0),MATCH(AX$5,APOIO_REDES!$5:$5,0)),0)*$AP1073,0)</f>
        <v>9.96062989525331</v>
      </c>
      <c r="AY1073" s="153" t="n">
        <f aca="false">IFERROR(IF($N1073="VCA",INDEX(APOIO_REDES!$A:$W,MATCH($C1073&amp;$I1073&amp;$H1073&amp;$N1073&amp;$O1073,APOIO_REDES!$W:$W,0),MATCH(AY$5,APOIO_REDES!$5:$5,0)),0)*$AP1073,0)</f>
        <v>18.2205923929722</v>
      </c>
      <c r="AZ1073" s="153" t="n">
        <f aca="false">IFERROR(IF($N1073="VCA",INDEX(APOIO_REDES!$A:$W,MATCH($C1073&amp;$I1073&amp;$H1073&amp;$N1073&amp;$O1073,APOIO_REDES!$W:$W,0),MATCH(AZ$5,APOIO_REDES!$5:$5,0)),0)*$AP1073,0)</f>
        <v>2.52167732989866</v>
      </c>
      <c r="BA1073" s="153" t="n">
        <f aca="false">IFERROR(IF(AND($N1073="VCA",$Q1073="LINEAR"),INDEX(APOIO_REDES!$A:$W,MATCH($C1073&amp;$I1073&amp;$H1073&amp;$N1073&amp;$O1073,APOIO_REDES!$W:$W,0),MATCH(BA$5,APOIO_REDES!$5:$5,0)),IF(AND($N1073="MND",$Q1073="EMBOQUE"),INDEX(APOIO_REDES!$A:$W,MATCH($C1073&amp;$I1073&amp;$H1073&amp;$N1073&amp;$O1073,APOIO_REDES!$W:$W,0),MATCH(BA$5,APOIO_REDES!$5:$5,0)),0))*$M1073/10,0)</f>
        <v>9.538711471567</v>
      </c>
      <c r="BB1073" s="153" t="n">
        <f aca="false">IFERROR(IF($N1073="VCA",INDEX(APOIO_REDES!$A:$W,MATCH($C1073&amp;$I1073&amp;$H1073&amp;$N1073&amp;$O1073,APOIO_REDES!$W:$W,0),MATCH(BB$5,APOIO_REDES!$5:$5,0)),0)*($AI1073+$AQ1073+$AR1073),0)</f>
        <v>35.2299042921781</v>
      </c>
      <c r="BC1073" s="153" t="n">
        <f aca="false">IFERROR(IF($N1073="VCA",INDEX(APOIO_REDES!$A:$W,MATCH($C1073&amp;$I1073&amp;$H1073&amp;$N1073&amp;$O1073,APOIO_REDES!$W:$W,0),MATCH(BC$5,APOIO_REDES!$5:$5,0)),0)*($AI1073+$AQ1073+$AR1073),0)</f>
        <v>0.387528207821893</v>
      </c>
      <c r="BD1073" s="153" t="n">
        <f aca="false">IF(AND($N1073="VCA",$AF1073&gt;=1.25,$AF1073&lt;1.5),$M1073*$AF1073*2,0)</f>
        <v>322.6221</v>
      </c>
      <c r="BE1073" s="153" t="n">
        <f aca="false">IF(AND($N1073="VCA",$AF1073&gt;=1.5,$AF1073&lt;3),$M1073*$AF1073*2,0)</f>
        <v>0</v>
      </c>
      <c r="BF1073" s="153" t="n">
        <f aca="false">IF(AND($N1073="VCA",$AF1073&gt;=3),$M1073*$AF1073*2,0)</f>
        <v>0</v>
      </c>
      <c r="BG1073" s="153" t="n">
        <f aca="false">($BB1073+$BC1073)*$AK1073</f>
        <v>220.8280815</v>
      </c>
      <c r="BH1073" s="153" t="n">
        <f aca="false">IF(AND($M1073&lt;&gt;"",$N1073="VCA",$Q1073="LINEAR"),($M1073*2)/100,IF(AND($M1073&lt;&gt;"",$N1073="MND",$Q1073="EMBOQUE"),($AN1073*2)/100,0))</f>
        <v>2.367</v>
      </c>
      <c r="BI1073" s="153" t="n">
        <f aca="false">IF(AND($M1073&lt;&gt;"",$N1073="VCA",$Q1073="LINEAR"),$M1073,IF(AND($M1073&lt;&gt;"",$N1073="MND",$Q1073="EMBOQUE"),$AN1073*2,0))</f>
        <v>118.35</v>
      </c>
      <c r="BJ1073" s="153" t="n">
        <f aca="false">IF(AND($M1073&lt;&gt;"",$N1073="VCA",$Q1073="LINEAR"),($M1073*6.8)/100,IF(AND($M1073&lt;&gt;"",$N1073="MND",$Q1073="EMBOQUE"),($AN1073*2*6.8)/100,0))</f>
        <v>8.0478</v>
      </c>
      <c r="BK1073" s="153" t="n">
        <f aca="false">IF(AND($M1073&lt;&gt;"",$N1073="VCA",$Q1073="LINEAR"),($M1073*2.5)/50,IF(AND($M1073&lt;&gt;"",$N1073="MND",$Q1073="EMBOQUE"),($AN1073*2*2.5)/50,0))</f>
        <v>5.9175</v>
      </c>
      <c r="BL1073" s="157" t="str">
        <f aca="false">K1073&amp;J1073</f>
        <v>Zona09REDES</v>
      </c>
      <c r="BM1073" s="152" t="s">
        <v>5109</v>
      </c>
      <c r="BN1073" s="152" t="s">
        <v>1560</v>
      </c>
      <c r="BO1073" s="152" t="s">
        <v>5582</v>
      </c>
      <c r="BP1073" s="152" t="s">
        <v>5613</v>
      </c>
      <c r="BQ1073" s="152" t="s">
        <v>5608</v>
      </c>
      <c r="BR1073" s="152" t="s">
        <v>5590</v>
      </c>
      <c r="BS1073" s="152" t="n">
        <v>203088.965</v>
      </c>
      <c r="BT1073" s="152" t="n">
        <v>8235974.692</v>
      </c>
      <c r="BU1073" s="152" t="n">
        <v>202994.898</v>
      </c>
      <c r="BV1073" s="152" t="n">
        <v>8236002.872</v>
      </c>
      <c r="BW1073" s="152" t="n">
        <v>-15.9378612</v>
      </c>
      <c r="BX1073" s="152" t="n">
        <v>-47.7738475</v>
      </c>
      <c r="BY1073" s="152" t="s">
        <v>5613</v>
      </c>
    </row>
    <row r="1074" customFormat="false" ht="13.8" hidden="false" customHeight="false" outlineLevel="0" collapsed="false">
      <c r="A1074" s="149" t="n">
        <f aca="false">IF(C1074&lt;&gt;"",ROW(A1069),"")</f>
        <v>1069</v>
      </c>
      <c r="B1074" s="150" t="str">
        <f aca="false">HYPERLINK("https://www.google.com/maps/dir/-15.917302,-47.760003/-15.9375884,-47.7723794/data=!4m3!4m2!3e0!5i2")</f>
        <v>https://www.google.com/maps/dir/-15.917302,-47.760003/-15.9375884,-47.7723794/data=!4m3!4m2!3e0!5i2</v>
      </c>
      <c r="C1074" s="151" t="s">
        <v>117</v>
      </c>
      <c r="D1074" s="152" t="s">
        <v>112</v>
      </c>
      <c r="E1074" s="152" t="s">
        <v>113</v>
      </c>
      <c r="F1074" s="152" t="s">
        <v>117</v>
      </c>
      <c r="G1074" s="152" t="s">
        <v>782</v>
      </c>
      <c r="H1074" s="152" t="n">
        <v>63</v>
      </c>
      <c r="I1074" s="152" t="s">
        <v>115</v>
      </c>
      <c r="J1074" s="152" t="s">
        <v>6</v>
      </c>
      <c r="K1074" s="152" t="s">
        <v>5106</v>
      </c>
      <c r="L1074" s="152" t="s">
        <v>120</v>
      </c>
      <c r="M1074" s="153" t="n">
        <f aca="false">88.4</f>
        <v>88.4</v>
      </c>
      <c r="N1074" s="152" t="s">
        <v>1548</v>
      </c>
      <c r="O1074" s="152" t="s">
        <v>1549</v>
      </c>
      <c r="P1074" s="152" t="s">
        <v>1550</v>
      </c>
      <c r="Q1074" s="152" t="s">
        <v>1551</v>
      </c>
      <c r="R1074" s="154" t="s">
        <v>5620</v>
      </c>
      <c r="S1074" s="154" t="s">
        <v>1553</v>
      </c>
      <c r="T1074" s="155" t="s">
        <v>5579</v>
      </c>
      <c r="U1074" s="152" t="str">
        <f aca="false">RIGHT(T1074,7)</f>
        <v>022/037</v>
      </c>
      <c r="V1074" s="152" t="s">
        <v>1555</v>
      </c>
      <c r="W1074" s="156" t="n">
        <v>45882</v>
      </c>
      <c r="X1074" s="152" t="s">
        <v>1594</v>
      </c>
      <c r="Y1074" s="152" t="s">
        <v>5580</v>
      </c>
      <c r="Z1074" s="152" t="s">
        <v>1557</v>
      </c>
      <c r="AA1074" s="153" t="n">
        <v>6</v>
      </c>
      <c r="AB1074" s="151" t="s">
        <v>5621</v>
      </c>
      <c r="AC1074" s="151" t="s">
        <v>186</v>
      </c>
      <c r="AD1074" s="151" t="str">
        <f aca="false">CONCATENATE($C1074,$I1074,$H1074,$N1074,$J1074,$K1074)</f>
        <v>TUBO PEADPEAD63VCAREDESZona09</v>
      </c>
      <c r="AE1074" s="153" t="n">
        <f aca="false">IFERROR(INDEX(APOIO_REDES!$A:$W,MATCH($C1074&amp;$I1074&amp;$H1074&amp;$N1074&amp;$O1074,APOIO_REDES!$W:$W,0),MATCH(AE$5,APOIO_REDES!$5:$5,0)),0)</f>
        <v>1.2</v>
      </c>
      <c r="AF1074" s="153" t="n">
        <f aca="false">IFERROR(INDEX(APOIO_REDES!$A:$W,MATCH($C1074&amp;$I1074&amp;$H1074&amp;$N1074&amp;$O1074,APOIO_REDES!$W:$W,0),MATCH(AF$5,APOIO_REDES!$5:$5,0)),0)</f>
        <v>1.363</v>
      </c>
      <c r="AG1074" s="153" t="n">
        <f aca="false">IFERROR(INDEX(APOIO_REDES!$A:$W,MATCH($C1074&amp;$I1074&amp;$H1074&amp;$N1074&amp;$O1074,APOIO_REDES!$W:$W,0),MATCH(AG$5,APOIO_REDES!$5:$5,0)),0)</f>
        <v>0.65</v>
      </c>
      <c r="AH1074" s="153" t="n">
        <f aca="false">IFERROR(INDEX(APOIO_REDES!$A:$W,MATCH($C1074&amp;$I1074&amp;$H1074&amp;$N1074&amp;$O1074,APOIO_REDES!$W:$W,0),MATCH(AH$5,APOIO_REDES!$5:$5,0)),0)</f>
        <v>0.1</v>
      </c>
      <c r="AI1074" s="153" t="n">
        <f aca="false">IFERROR(IF($H1074&lt;&gt;"",(((($H1074/1000)/2)^2)*PI()*$M1074),0),0)</f>
        <v>0.275564485450363</v>
      </c>
      <c r="AJ1074" s="153" t="n">
        <f aca="false">IFERROR(IF(AND($H1074&lt;&gt;"",$I1074="FoFo",OR($N1074="MND",$N1074="VCA"),$Q1074="LINEAR"),0,IF(AND($H1074&lt;&gt;"",$I1074="PEAD",$N1074="VCA",$Q1074="LINEAR"),($H1074/1000)+0.3,IF(AND($H1074&lt;&gt;"",$I1074="PEAD",$N1074="MND",$Q1074="EMBOQUE"),0,IF(AND($H1074&lt;&gt;"",$I1074="PVC",$N1074="VCA",$Q1074="LINEAR"),($H1074/1000)+0.2,IF(AND($H1074&lt;&gt;"",$I1074="PVC",$N1074="MND",$Q1074="EMBOQUE"),0,IF(AND($H1074&lt;&gt;"",$I1074="PEAD",$N1074="VCA",$Q1074="PREDIAL"),0,0)))))),0)</f>
        <v>0.363</v>
      </c>
      <c r="AK1074" s="153" t="n">
        <f aca="false">IF(AA1074&lt;&gt;"",AA1074,0)</f>
        <v>6</v>
      </c>
      <c r="AL1074" s="153" t="n">
        <f aca="false">IF(AND($N1074="MND",$Q1074="EMBOQUE"),$M1074,IF(AND($N1074="VCA",$Q1074="LINEAR"),$M1074,IF(AND($N1074="VCA",$Q1074="PREDIAL"),0,0)))</f>
        <v>88.4</v>
      </c>
      <c r="AM1074" s="153" t="n">
        <f aca="false">IF(AND($N1074="MND",$Q1074="EMBOQUE"),$M1074,IF(AND($N1074="VCA",$Q1074="LINEAR"),$M1074,IF(AND($N1074="VCA",$Q1074="PREDIAL"),0,0)))</f>
        <v>88.4</v>
      </c>
      <c r="AN1074" s="153" t="n">
        <f aca="false">ROUND(IF(AND($N1074="VCA",$M1074&lt;&gt;"",$Q1074="LINEAR"),$M1074/100,IF(AND($N1074="MND",$M1074&gt;100,$Q1074="EMBOQUE"),$M1074/100,0)),0)</f>
        <v>1</v>
      </c>
      <c r="AO1074" s="153" t="n">
        <f aca="false">IF(AND($N1074="MND",$Q1074="EMBOQUE"),$AN1074*2*2,IF(AND($N1074="VCA",$Q1074="LINEAR"),$M1074*2,IF(AND($N1074="VCA",$Q1074="PREDIAL"),0,0)))</f>
        <v>176.8</v>
      </c>
      <c r="AP1074" s="153" t="n">
        <f aca="false">IFERROR($M1074*$AF1074*$AG1074,0)</f>
        <v>78.31798</v>
      </c>
      <c r="AQ1074" s="153" t="n">
        <f aca="false">IFERROR(IF(AND($N1074="VCA",$AH1074&gt;0),$M1074*$AG1074*$AH1074,0),0)</f>
        <v>5.746</v>
      </c>
      <c r="AR1074" s="153" t="n">
        <f aca="false">IFERROR(IF(AND($N1074="VCA",$AJ1074&gt;0),($M1074*$AG1074*$AJ1074)-$AI1074,0),0)</f>
        <v>20.5824155145496</v>
      </c>
      <c r="AS1074" s="153" t="n">
        <f aca="false">IFERROR(IF(AND($N1074="VCA",$AP1074&gt;0),$AP1074-$AI1074-$AQ1074-$AR1074,0),0)</f>
        <v>51.714</v>
      </c>
      <c r="AT1074" s="153" t="n">
        <f aca="false">IFERROR(IF($N1074="VCA",INDEX(APOIO_REDES!$A:$W,MATCH($C1074&amp;$I1074&amp;$H1074&amp;$N1074&amp;$O1074,APOIO_REDES!$W:$W,0),MATCH(AT$5,APOIO_REDES!$5:$5,0)),0)*$AP1074,0)</f>
        <v>0.852122803338812</v>
      </c>
      <c r="AU1074" s="153" t="n">
        <f aca="false">IFERROR(IF($N1074="VCA",INDEX(APOIO_REDES!$A:$W,MATCH($C1074&amp;$I1074&amp;$H1074&amp;$N1074&amp;$O1074,APOIO_REDES!$W:$W,0),MATCH(AU$5,APOIO_REDES!$5:$5,0)),0)*$AP1074,0)</f>
        <v>0.680482192334045</v>
      </c>
      <c r="AV1074" s="153" t="n">
        <f aca="false">IFERROR(IF($N1074="VCA",INDEX(APOIO_REDES!$A:$W,MATCH($C1074&amp;$I1074&amp;$H1074&amp;$N1074&amp;$O1074,APOIO_REDES!$W:$W,0),MATCH(AV$5,APOIO_REDES!$5:$5,0)),0)*$AP1074,0)</f>
        <v>0.0941733934243726</v>
      </c>
      <c r="AW1074" s="153" t="n">
        <f aca="false">IFERROR(IF($N1074="VCA",INDEX(APOIO_REDES!$A:$W,MATCH($C1074&amp;$I1074&amp;$H1074&amp;$N1074&amp;$O1074,APOIO_REDES!$W:$W,0),MATCH(AW$5,APOIO_REDES!$5:$5,0)),0)*$AP1074,0)</f>
        <v>53.7580683093212</v>
      </c>
      <c r="AX1074" s="153" t="n">
        <f aca="false">IFERROR(IF($N1074="VCA",INDEX(APOIO_REDES!$A:$W,MATCH($C1074&amp;$I1074&amp;$H1074&amp;$N1074&amp;$O1074,APOIO_REDES!$W:$W,0),MATCH(AX$5,APOIO_REDES!$5:$5,0)),0)*$AP1074,0)</f>
        <v>7.43996352125384</v>
      </c>
      <c r="AY1074" s="153" t="n">
        <f aca="false">IFERROR(IF($N1074="VCA",INDEX(APOIO_REDES!$A:$W,MATCH($C1074&amp;$I1074&amp;$H1074&amp;$N1074&amp;$O1074,APOIO_REDES!$W:$W,0),MATCH(AY$5,APOIO_REDES!$5:$5,0)),0)*$AP1074,0)</f>
        <v>13.6096355516581</v>
      </c>
      <c r="AZ1074" s="153" t="n">
        <f aca="false">IFERROR(IF($N1074="VCA",INDEX(APOIO_REDES!$A:$W,MATCH($C1074&amp;$I1074&amp;$H1074&amp;$N1074&amp;$O1074,APOIO_REDES!$W:$W,0),MATCH(AZ$5,APOIO_REDES!$5:$5,0)),0)*$AP1074,0)</f>
        <v>1.88353422866955</v>
      </c>
      <c r="BA1074" s="153" t="n">
        <f aca="false">IFERROR(IF(AND($N1074="VCA",$Q1074="LINEAR"),INDEX(APOIO_REDES!$A:$W,MATCH($C1074&amp;$I1074&amp;$H1074&amp;$N1074&amp;$O1074,APOIO_REDES!$W:$W,0),MATCH(BA$5,APOIO_REDES!$5:$5,0)),IF(AND($N1074="MND",$Q1074="EMBOQUE"),INDEX(APOIO_REDES!$A:$W,MATCH($C1074&amp;$I1074&amp;$H1074&amp;$N1074&amp;$O1074,APOIO_REDES!$W:$W,0),MATCH(BA$5,APOIO_REDES!$5:$5,0)),0))*$M1074/10,0)</f>
        <v>7.12481701805258</v>
      </c>
      <c r="BB1074" s="153" t="n">
        <f aca="false">IFERROR(IF($N1074="VCA",INDEX(APOIO_REDES!$A:$W,MATCH($C1074&amp;$I1074&amp;$H1074&amp;$N1074&amp;$O1074,APOIO_REDES!$W:$W,0),MATCH(BB$5,APOIO_REDES!$5:$5,0)),0)*($AI1074+$AQ1074+$AR1074),0)</f>
        <v>26.3145208232239</v>
      </c>
      <c r="BC1074" s="153" t="n">
        <f aca="false">IFERROR(IF($N1074="VCA",INDEX(APOIO_REDES!$A:$W,MATCH($C1074&amp;$I1074&amp;$H1074&amp;$N1074&amp;$O1074,APOIO_REDES!$W:$W,0),MATCH(BC$5,APOIO_REDES!$5:$5,0)),0)*($AI1074+$AQ1074+$AR1074),0)</f>
        <v>0.289459176776133</v>
      </c>
      <c r="BD1074" s="153" t="n">
        <f aca="false">IF(AND($N1074="VCA",$AF1074&gt;=1.25,$AF1074&lt;1.5),$M1074*$AF1074*2,0)</f>
        <v>240.9784</v>
      </c>
      <c r="BE1074" s="153" t="n">
        <f aca="false">IF(AND($N1074="VCA",$AF1074&gt;=1.5,$AF1074&lt;3),$M1074*$AF1074*2,0)</f>
        <v>0</v>
      </c>
      <c r="BF1074" s="153" t="n">
        <f aca="false">IF(AND($N1074="VCA",$AF1074&gt;=3),$M1074*$AF1074*2,0)</f>
        <v>0</v>
      </c>
      <c r="BG1074" s="153" t="n">
        <f aca="false">($BB1074+$BC1074)*$AK1074</f>
        <v>159.62388</v>
      </c>
      <c r="BH1074" s="153" t="n">
        <f aca="false">IF(AND($M1074&lt;&gt;"",$N1074="VCA",$Q1074="LINEAR"),($M1074*2)/100,IF(AND($M1074&lt;&gt;"",$N1074="MND",$Q1074="EMBOQUE"),($AN1074*2)/100,0))</f>
        <v>1.768</v>
      </c>
      <c r="BI1074" s="153" t="n">
        <f aca="false">IF(AND($M1074&lt;&gt;"",$N1074="VCA",$Q1074="LINEAR"),$M1074,IF(AND($M1074&lt;&gt;"",$N1074="MND",$Q1074="EMBOQUE"),$AN1074*2,0))</f>
        <v>88.4</v>
      </c>
      <c r="BJ1074" s="153" t="n">
        <f aca="false">IF(AND($M1074&lt;&gt;"",$N1074="VCA",$Q1074="LINEAR"),($M1074*6.8)/100,IF(AND($M1074&lt;&gt;"",$N1074="MND",$Q1074="EMBOQUE"),($AN1074*2*6.8)/100,0))</f>
        <v>6.0112</v>
      </c>
      <c r="BK1074" s="153" t="n">
        <f aca="false">IF(AND($M1074&lt;&gt;"",$N1074="VCA",$Q1074="LINEAR"),($M1074*2.5)/50,IF(AND($M1074&lt;&gt;"",$N1074="MND",$Q1074="EMBOQUE"),($AN1074*2*2.5)/50,0))</f>
        <v>4.42</v>
      </c>
      <c r="BL1074" s="157" t="str">
        <f aca="false">K1074&amp;J1074</f>
        <v>Zona09REDES</v>
      </c>
      <c r="BM1074" s="152" t="s">
        <v>5109</v>
      </c>
      <c r="BN1074" s="152" t="s">
        <v>1560</v>
      </c>
      <c r="BO1074" s="152" t="s">
        <v>5582</v>
      </c>
      <c r="BP1074" s="152" t="s">
        <v>5617</v>
      </c>
      <c r="BQ1074" s="152" t="s">
        <v>5622</v>
      </c>
      <c r="BR1074" s="152" t="s">
        <v>5623</v>
      </c>
      <c r="BS1074" s="152" t="n">
        <v>203187.838</v>
      </c>
      <c r="BT1074" s="152" t="n">
        <v>8235995.303</v>
      </c>
      <c r="BU1074" s="152" t="n">
        <v>203213.594</v>
      </c>
      <c r="BV1074" s="152" t="n">
        <v>8235910.739</v>
      </c>
      <c r="BW1074" s="152" t="n">
        <v>-15.9379717</v>
      </c>
      <c r="BX1074" s="152" t="n">
        <v>-47.7722645</v>
      </c>
      <c r="BY1074" s="152" t="s">
        <v>5617</v>
      </c>
    </row>
    <row r="1075" customFormat="false" ht="13.8" hidden="false" customHeight="false" outlineLevel="0" collapsed="false">
      <c r="A1075" s="149" t="n">
        <f aca="false">IF(C1075&lt;&gt;"",ROW(A1070),"")</f>
        <v>1070</v>
      </c>
      <c r="B1075" s="150" t="str">
        <f aca="false">HYPERLINK("https://www.google.com/maps/dir/-15.917302,-47.760003/-15.9362291,-47.7697715/data=!4m3!4m2!3e0!5i1")</f>
        <v>https://www.google.com/maps/dir/-15.917302,-47.760003/-15.9362291,-47.7697715/data=!4m3!4m2!3e0!5i1</v>
      </c>
      <c r="C1075" s="151" t="s">
        <v>117</v>
      </c>
      <c r="D1075" s="152" t="s">
        <v>112</v>
      </c>
      <c r="E1075" s="152" t="s">
        <v>113</v>
      </c>
      <c r="F1075" s="152" t="s">
        <v>117</v>
      </c>
      <c r="G1075" s="152" t="s">
        <v>782</v>
      </c>
      <c r="H1075" s="152" t="n">
        <v>63</v>
      </c>
      <c r="I1075" s="152" t="s">
        <v>115</v>
      </c>
      <c r="J1075" s="152" t="s">
        <v>6</v>
      </c>
      <c r="K1075" s="152" t="s">
        <v>5106</v>
      </c>
      <c r="L1075" s="152" t="s">
        <v>120</v>
      </c>
      <c r="M1075" s="153" t="n">
        <f aca="false">32.5</f>
        <v>32.5</v>
      </c>
      <c r="N1075" s="152" t="s">
        <v>1548</v>
      </c>
      <c r="O1075" s="152" t="s">
        <v>1549</v>
      </c>
      <c r="P1075" s="152" t="s">
        <v>1550</v>
      </c>
      <c r="Q1075" s="152" t="s">
        <v>1551</v>
      </c>
      <c r="R1075" s="154" t="s">
        <v>5624</v>
      </c>
      <c r="S1075" s="154" t="s">
        <v>1553</v>
      </c>
      <c r="T1075" s="155" t="s">
        <v>5625</v>
      </c>
      <c r="U1075" s="152" t="str">
        <f aca="false">RIGHT(T1075,7)</f>
        <v>023/037</v>
      </c>
      <c r="V1075" s="152" t="s">
        <v>1555</v>
      </c>
      <c r="W1075" s="156" t="n">
        <v>45882</v>
      </c>
      <c r="X1075" s="152" t="s">
        <v>1594</v>
      </c>
      <c r="Y1075" s="152"/>
      <c r="Z1075" s="152" t="s">
        <v>1557</v>
      </c>
      <c r="AA1075" s="153" t="n">
        <v>4.5</v>
      </c>
      <c r="AB1075" s="151" t="s">
        <v>5626</v>
      </c>
      <c r="AC1075" s="151" t="s">
        <v>186</v>
      </c>
      <c r="AD1075" s="151" t="str">
        <f aca="false">CONCATENATE($C1075,$I1075,$H1075,$N1075,$J1075,$K1075)</f>
        <v>TUBO PEADPEAD63VCAREDESZona09</v>
      </c>
      <c r="AE1075" s="153" t="n">
        <f aca="false">IFERROR(INDEX(APOIO_REDES!$A:$W,MATCH($C1075&amp;$I1075&amp;$H1075&amp;$N1075&amp;$O1075,APOIO_REDES!$W:$W,0),MATCH(AE$5,APOIO_REDES!$5:$5,0)),0)</f>
        <v>1.2</v>
      </c>
      <c r="AF1075" s="153" t="n">
        <f aca="false">IFERROR(INDEX(APOIO_REDES!$A:$W,MATCH($C1075&amp;$I1075&amp;$H1075&amp;$N1075&amp;$O1075,APOIO_REDES!$W:$W,0),MATCH(AF$5,APOIO_REDES!$5:$5,0)),0)</f>
        <v>1.363</v>
      </c>
      <c r="AG1075" s="153" t="n">
        <f aca="false">IFERROR(INDEX(APOIO_REDES!$A:$W,MATCH($C1075&amp;$I1075&amp;$H1075&amp;$N1075&amp;$O1075,APOIO_REDES!$W:$W,0),MATCH(AG$5,APOIO_REDES!$5:$5,0)),0)</f>
        <v>0.65</v>
      </c>
      <c r="AH1075" s="153" t="n">
        <f aca="false">IFERROR(INDEX(APOIO_REDES!$A:$W,MATCH($C1075&amp;$I1075&amp;$H1075&amp;$N1075&amp;$O1075,APOIO_REDES!$W:$W,0),MATCH(AH$5,APOIO_REDES!$5:$5,0)),0)</f>
        <v>0.1</v>
      </c>
      <c r="AI1075" s="153" t="n">
        <f aca="false">IFERROR(IF($H1075&lt;&gt;"",(((($H1075/1000)/2)^2)*PI()*$M1075),0),0)</f>
        <v>0.101310472592045</v>
      </c>
      <c r="AJ1075" s="153" t="n">
        <f aca="false">IFERROR(IF(AND($H1075&lt;&gt;"",$I1075="FoFo",OR($N1075="MND",$N1075="VCA"),$Q1075="LINEAR"),0,IF(AND($H1075&lt;&gt;"",$I1075="PEAD",$N1075="VCA",$Q1075="LINEAR"),($H1075/1000)+0.3,IF(AND($H1075&lt;&gt;"",$I1075="PEAD",$N1075="MND",$Q1075="EMBOQUE"),0,IF(AND($H1075&lt;&gt;"",$I1075="PVC",$N1075="VCA",$Q1075="LINEAR"),($H1075/1000)+0.2,IF(AND($H1075&lt;&gt;"",$I1075="PVC",$N1075="MND",$Q1075="EMBOQUE"),0,IF(AND($H1075&lt;&gt;"",$I1075="PEAD",$N1075="VCA",$Q1075="PREDIAL"),0,0)))))),0)</f>
        <v>0.363</v>
      </c>
      <c r="AK1075" s="153" t="n">
        <f aca="false">IF(AA1075&lt;&gt;"",AA1075,0)</f>
        <v>4.5</v>
      </c>
      <c r="AL1075" s="153" t="n">
        <f aca="false">IF(AND($N1075="MND",$Q1075="EMBOQUE"),$M1075,IF(AND($N1075="VCA",$Q1075="LINEAR"),$M1075,IF(AND($N1075="VCA",$Q1075="PREDIAL"),0,0)))</f>
        <v>32.5</v>
      </c>
      <c r="AM1075" s="153" t="n">
        <f aca="false">IF(AND($N1075="MND",$Q1075="EMBOQUE"),$M1075,IF(AND($N1075="VCA",$Q1075="LINEAR"),$M1075,IF(AND($N1075="VCA",$Q1075="PREDIAL"),0,0)))</f>
        <v>32.5</v>
      </c>
      <c r="AN1075" s="153" t="n">
        <f aca="false">ROUND(IF(AND($N1075="VCA",$M1075&lt;&gt;"",$Q1075="LINEAR"),$M1075/100,IF(AND($N1075="MND",$M1075&gt;100,$Q1075="EMBOQUE"),$M1075/100,0)),0)</f>
        <v>0</v>
      </c>
      <c r="AO1075" s="153" t="n">
        <f aca="false">IF(AND($N1075="MND",$Q1075="EMBOQUE"),$AN1075*2*2,IF(AND($N1075="VCA",$Q1075="LINEAR"),$M1075*2,IF(AND($N1075="VCA",$Q1075="PREDIAL"),0,0)))</f>
        <v>65</v>
      </c>
      <c r="AP1075" s="153" t="n">
        <f aca="false">IFERROR($M1075*$AF1075*$AG1075,0)</f>
        <v>28.793375</v>
      </c>
      <c r="AQ1075" s="153" t="n">
        <f aca="false">IFERROR(IF(AND($N1075="VCA",$AH1075&gt;0),$M1075*$AG1075*$AH1075,0),0)</f>
        <v>2.1125</v>
      </c>
      <c r="AR1075" s="153" t="n">
        <f aca="false">IFERROR(IF(AND($N1075="VCA",$AJ1075&gt;0),($M1075*$AG1075*$AJ1075)-$AI1075,0),0)</f>
        <v>7.56706452740796</v>
      </c>
      <c r="AS1075" s="153" t="n">
        <f aca="false">IFERROR(IF(AND($N1075="VCA",$AP1075&gt;0),$AP1075-$AI1075-$AQ1075-$AR1075,0),0)</f>
        <v>19.0125</v>
      </c>
      <c r="AT1075" s="153" t="n">
        <f aca="false">IFERROR(IF($N1075="VCA",INDEX(APOIO_REDES!$A:$W,MATCH($C1075&amp;$I1075&amp;$H1075&amp;$N1075&amp;$O1075,APOIO_REDES!$W:$W,0),MATCH(AT$5,APOIO_REDES!$5:$5,0)),0)*$AP1075,0)</f>
        <v>0.313280442403975</v>
      </c>
      <c r="AU1075" s="153" t="n">
        <f aca="false">IFERROR(IF($N1075="VCA",INDEX(APOIO_REDES!$A:$W,MATCH($C1075&amp;$I1075&amp;$H1075&amp;$N1075&amp;$O1075,APOIO_REDES!$W:$W,0),MATCH(AU$5,APOIO_REDES!$5:$5,0)),0)*$AP1075,0)</f>
        <v>0.250177276593399</v>
      </c>
      <c r="AV1075" s="153" t="n">
        <f aca="false">IFERROR(IF($N1075="VCA",INDEX(APOIO_REDES!$A:$W,MATCH($C1075&amp;$I1075&amp;$H1075&amp;$N1075&amp;$O1075,APOIO_REDES!$W:$W,0),MATCH(AV$5,APOIO_REDES!$5:$5,0)),0)*$AP1075,0)</f>
        <v>0.0346225711119017</v>
      </c>
      <c r="AW1075" s="153" t="n">
        <f aca="false">IFERROR(IF($N1075="VCA",INDEX(APOIO_REDES!$A:$W,MATCH($C1075&amp;$I1075&amp;$H1075&amp;$N1075&amp;$O1075,APOIO_REDES!$W:$W,0),MATCH(AW$5,APOIO_REDES!$5:$5,0)),0)*$AP1075,0)</f>
        <v>19.7639957019563</v>
      </c>
      <c r="AX1075" s="153" t="n">
        <f aca="false">IFERROR(IF($N1075="VCA",INDEX(APOIO_REDES!$A:$W,MATCH($C1075&amp;$I1075&amp;$H1075&amp;$N1075&amp;$O1075,APOIO_REDES!$W:$W,0),MATCH(AX$5,APOIO_REDES!$5:$5,0)),0)*$AP1075,0)</f>
        <v>2.73528070634333</v>
      </c>
      <c r="AY1075" s="153" t="n">
        <f aca="false">IFERROR(IF($N1075="VCA",INDEX(APOIO_REDES!$A:$W,MATCH($C1075&amp;$I1075&amp;$H1075&amp;$N1075&amp;$O1075,APOIO_REDES!$W:$W,0),MATCH(AY$5,APOIO_REDES!$5:$5,0)),0)*$AP1075,0)</f>
        <v>5.00354248222725</v>
      </c>
      <c r="AZ1075" s="153" t="n">
        <f aca="false">IFERROR(IF($N1075="VCA",INDEX(APOIO_REDES!$A:$W,MATCH($C1075&amp;$I1075&amp;$H1075&amp;$N1075&amp;$O1075,APOIO_REDES!$W:$W,0),MATCH(AZ$5,APOIO_REDES!$5:$5,0)),0)*$AP1075,0)</f>
        <v>0.692475819363807</v>
      </c>
      <c r="BA1075" s="153" t="n">
        <f aca="false">IFERROR(IF(AND($N1075="VCA",$Q1075="LINEAR"),INDEX(APOIO_REDES!$A:$W,MATCH($C1075&amp;$I1075&amp;$H1075&amp;$N1075&amp;$O1075,APOIO_REDES!$W:$W,0),MATCH(BA$5,APOIO_REDES!$5:$5,0)),IF(AND($N1075="MND",$Q1075="EMBOQUE"),INDEX(APOIO_REDES!$A:$W,MATCH($C1075&amp;$I1075&amp;$H1075&amp;$N1075&amp;$O1075,APOIO_REDES!$W:$W,0),MATCH(BA$5,APOIO_REDES!$5:$5,0)),0))*$M1075/10,0)</f>
        <v>2.61941802134286</v>
      </c>
      <c r="BB1075" s="153" t="n">
        <f aca="false">IFERROR(IF($N1075="VCA",INDEX(APOIO_REDES!$A:$W,MATCH($C1075&amp;$I1075&amp;$H1075&amp;$N1075&amp;$O1075,APOIO_REDES!$W:$W,0),MATCH(BB$5,APOIO_REDES!$5:$5,0)),0)*($AI1075+$AQ1075+$AR1075),0)</f>
        <v>9.67445618500877</v>
      </c>
      <c r="BC1075" s="153" t="n">
        <f aca="false">IFERROR(IF($N1075="VCA",INDEX(APOIO_REDES!$A:$W,MATCH($C1075&amp;$I1075&amp;$H1075&amp;$N1075&amp;$O1075,APOIO_REDES!$W:$W,0),MATCH(BC$5,APOIO_REDES!$5:$5,0)),0)*($AI1075+$AQ1075+$AR1075),0)</f>
        <v>0.106418814991225</v>
      </c>
      <c r="BD1075" s="153" t="n">
        <f aca="false">IF(AND($N1075="VCA",$AF1075&gt;=1.25,$AF1075&lt;1.5),$M1075*$AF1075*2,0)</f>
        <v>88.595</v>
      </c>
      <c r="BE1075" s="153" t="n">
        <f aca="false">IF(AND($N1075="VCA",$AF1075&gt;=1.5,$AF1075&lt;3),$M1075*$AF1075*2,0)</f>
        <v>0</v>
      </c>
      <c r="BF1075" s="153" t="n">
        <f aca="false">IF(AND($N1075="VCA",$AF1075&gt;=3),$M1075*$AF1075*2,0)</f>
        <v>0</v>
      </c>
      <c r="BG1075" s="153" t="n">
        <f aca="false">($BB1075+$BC1075)*$AK1075</f>
        <v>44.0139375</v>
      </c>
      <c r="BH1075" s="153" t="n">
        <f aca="false">IF(AND($M1075&lt;&gt;"",$N1075="VCA",$Q1075="LINEAR"),($M1075*2)/100,IF(AND($M1075&lt;&gt;"",$N1075="MND",$Q1075="EMBOQUE"),($AN1075*2)/100,0))</f>
        <v>0.65</v>
      </c>
      <c r="BI1075" s="153" t="n">
        <f aca="false">IF(AND($M1075&lt;&gt;"",$N1075="VCA",$Q1075="LINEAR"),$M1075,IF(AND($M1075&lt;&gt;"",$N1075="MND",$Q1075="EMBOQUE"),$AN1075*2,0))</f>
        <v>32.5</v>
      </c>
      <c r="BJ1075" s="153" t="n">
        <f aca="false">IF(AND($M1075&lt;&gt;"",$N1075="VCA",$Q1075="LINEAR"),($M1075*6.8)/100,IF(AND($M1075&lt;&gt;"",$N1075="MND",$Q1075="EMBOQUE"),($AN1075*2*6.8)/100,0))</f>
        <v>2.21</v>
      </c>
      <c r="BK1075" s="153" t="n">
        <f aca="false">IF(AND($M1075&lt;&gt;"",$N1075="VCA",$Q1075="LINEAR"),($M1075*2.5)/50,IF(AND($M1075&lt;&gt;"",$N1075="MND",$Q1075="EMBOQUE"),($AN1075*2*2.5)/50,0))</f>
        <v>1.625</v>
      </c>
      <c r="BL1075" s="157" t="str">
        <f aca="false">K1075&amp;J1075</f>
        <v>Zona09REDES</v>
      </c>
      <c r="BM1075" s="152" t="s">
        <v>5109</v>
      </c>
      <c r="BN1075" s="152" t="s">
        <v>1560</v>
      </c>
      <c r="BO1075" s="152" t="s">
        <v>5627</v>
      </c>
      <c r="BP1075" s="152" t="s">
        <v>5573</v>
      </c>
      <c r="BQ1075" s="152" t="s">
        <v>5628</v>
      </c>
      <c r="BR1075" s="152" t="s">
        <v>5629</v>
      </c>
      <c r="BS1075" s="152" t="n">
        <v>203465.343</v>
      </c>
      <c r="BT1075" s="152" t="n">
        <v>8236149.543</v>
      </c>
      <c r="BU1075" s="152" t="n">
        <v>203497.118</v>
      </c>
      <c r="BV1075" s="152" t="n">
        <v>8236156.37</v>
      </c>
      <c r="BW1075" s="152" t="n">
        <v>-15.9362</v>
      </c>
      <c r="BX1075" s="152" t="n">
        <v>-47.7696217</v>
      </c>
      <c r="BY1075" s="152" t="s">
        <v>5573</v>
      </c>
    </row>
    <row r="1076" customFormat="false" ht="13.8" hidden="false" customHeight="false" outlineLevel="0" collapsed="false">
      <c r="A1076" s="149" t="n">
        <f aca="false">IF(C1076&lt;&gt;"",ROW(A1071),"")</f>
        <v>1071</v>
      </c>
      <c r="B1076" s="150" t="str">
        <f aca="false">HYPERLINK("https://www.google.com/maps/dir/-15.917302,-47.760003/-15.9362291,-47.7697715/data=!4m3!4m2!3e0!5i1")</f>
        <v>https://www.google.com/maps/dir/-15.917302,-47.760003/-15.9362291,-47.7697715/data=!4m3!4m2!3e0!5i1</v>
      </c>
      <c r="C1076" s="151" t="s">
        <v>117</v>
      </c>
      <c r="D1076" s="152" t="s">
        <v>112</v>
      </c>
      <c r="E1076" s="152" t="s">
        <v>113</v>
      </c>
      <c r="F1076" s="152" t="s">
        <v>117</v>
      </c>
      <c r="G1076" s="152" t="s">
        <v>782</v>
      </c>
      <c r="H1076" s="152" t="n">
        <v>63</v>
      </c>
      <c r="I1076" s="152" t="s">
        <v>115</v>
      </c>
      <c r="J1076" s="152" t="s">
        <v>6</v>
      </c>
      <c r="K1076" s="152" t="s">
        <v>5106</v>
      </c>
      <c r="L1076" s="152" t="s">
        <v>120</v>
      </c>
      <c r="M1076" s="153" t="n">
        <f aca="false">32.58</f>
        <v>32.58</v>
      </c>
      <c r="N1076" s="152" t="s">
        <v>1548</v>
      </c>
      <c r="O1076" s="152" t="s">
        <v>1549</v>
      </c>
      <c r="P1076" s="152" t="s">
        <v>1550</v>
      </c>
      <c r="Q1076" s="152" t="s">
        <v>1551</v>
      </c>
      <c r="R1076" s="154" t="s">
        <v>5630</v>
      </c>
      <c r="S1076" s="154" t="s">
        <v>1553</v>
      </c>
      <c r="T1076" s="155" t="s">
        <v>5625</v>
      </c>
      <c r="U1076" s="152" t="str">
        <f aca="false">RIGHT(T1076,7)</f>
        <v>023/037</v>
      </c>
      <c r="V1076" s="152" t="s">
        <v>1555</v>
      </c>
      <c r="W1076" s="156" t="n">
        <v>45882</v>
      </c>
      <c r="X1076" s="152" t="s">
        <v>1594</v>
      </c>
      <c r="Y1076" s="152"/>
      <c r="Z1076" s="152" t="s">
        <v>1557</v>
      </c>
      <c r="AA1076" s="153" t="n">
        <v>4.5</v>
      </c>
      <c r="AB1076" s="151" t="s">
        <v>5631</v>
      </c>
      <c r="AC1076" s="151" t="s">
        <v>186</v>
      </c>
      <c r="AD1076" s="151" t="str">
        <f aca="false">CONCATENATE($C1076,$I1076,$H1076,$N1076,$J1076,$K1076)</f>
        <v>TUBO PEADPEAD63VCAREDESZona09</v>
      </c>
      <c r="AE1076" s="153" t="n">
        <f aca="false">IFERROR(INDEX(APOIO_REDES!$A:$W,MATCH($C1076&amp;$I1076&amp;$H1076&amp;$N1076&amp;$O1076,APOIO_REDES!$W:$W,0),MATCH(AE$5,APOIO_REDES!$5:$5,0)),0)</f>
        <v>1.2</v>
      </c>
      <c r="AF1076" s="153" t="n">
        <f aca="false">IFERROR(INDEX(APOIO_REDES!$A:$W,MATCH($C1076&amp;$I1076&amp;$H1076&amp;$N1076&amp;$O1076,APOIO_REDES!$W:$W,0),MATCH(AF$5,APOIO_REDES!$5:$5,0)),0)</f>
        <v>1.363</v>
      </c>
      <c r="AG1076" s="153" t="n">
        <f aca="false">IFERROR(INDEX(APOIO_REDES!$A:$W,MATCH($C1076&amp;$I1076&amp;$H1076&amp;$N1076&amp;$O1076,APOIO_REDES!$W:$W,0),MATCH(AG$5,APOIO_REDES!$5:$5,0)),0)</f>
        <v>0.65</v>
      </c>
      <c r="AH1076" s="153" t="n">
        <f aca="false">IFERROR(INDEX(APOIO_REDES!$A:$W,MATCH($C1076&amp;$I1076&amp;$H1076&amp;$N1076&amp;$O1076,APOIO_REDES!$W:$W,0),MATCH(AH$5,APOIO_REDES!$5:$5,0)),0)</f>
        <v>0.1</v>
      </c>
      <c r="AI1076" s="153" t="n">
        <f aca="false">IFERROR(IF($H1076&lt;&gt;"",(((($H1076/1000)/2)^2)*PI()*$M1076),0),0)</f>
        <v>0.101559852216887</v>
      </c>
      <c r="AJ1076" s="153" t="n">
        <f aca="false">IFERROR(IF(AND($H1076&lt;&gt;"",$I1076="FoFo",OR($N1076="MND",$N1076="VCA"),$Q1076="LINEAR"),0,IF(AND($H1076&lt;&gt;"",$I1076="PEAD",$N1076="VCA",$Q1076="LINEAR"),($H1076/1000)+0.3,IF(AND($H1076&lt;&gt;"",$I1076="PEAD",$N1076="MND",$Q1076="EMBOQUE"),0,IF(AND($H1076&lt;&gt;"",$I1076="PVC",$N1076="VCA",$Q1076="LINEAR"),($H1076/1000)+0.2,IF(AND($H1076&lt;&gt;"",$I1076="PVC",$N1076="MND",$Q1076="EMBOQUE"),0,IF(AND($H1076&lt;&gt;"",$I1076="PEAD",$N1076="VCA",$Q1076="PREDIAL"),0,0)))))),0)</f>
        <v>0.363</v>
      </c>
      <c r="AK1076" s="153" t="n">
        <f aca="false">IF(AA1076&lt;&gt;"",AA1076,0)</f>
        <v>4.5</v>
      </c>
      <c r="AL1076" s="153" t="n">
        <f aca="false">IF(AND($N1076="MND",$Q1076="EMBOQUE"),$M1076,IF(AND($N1076="VCA",$Q1076="LINEAR"),$M1076,IF(AND($N1076="VCA",$Q1076="PREDIAL"),0,0)))</f>
        <v>32.58</v>
      </c>
      <c r="AM1076" s="153" t="n">
        <f aca="false">IF(AND($N1076="MND",$Q1076="EMBOQUE"),$M1076,IF(AND($N1076="VCA",$Q1076="LINEAR"),$M1076,IF(AND($N1076="VCA",$Q1076="PREDIAL"),0,0)))</f>
        <v>32.58</v>
      </c>
      <c r="AN1076" s="153" t="n">
        <f aca="false">ROUND(IF(AND($N1076="VCA",$M1076&lt;&gt;"",$Q1076="LINEAR"),$M1076/100,IF(AND($N1076="MND",$M1076&gt;100,$Q1076="EMBOQUE"),$M1076/100,0)),0)</f>
        <v>0</v>
      </c>
      <c r="AO1076" s="153" t="n">
        <f aca="false">IF(AND($N1076="MND",$Q1076="EMBOQUE"),$AN1076*2*2,IF(AND($N1076="VCA",$Q1076="LINEAR"),$M1076*2,IF(AND($N1076="VCA",$Q1076="PREDIAL"),0,0)))</f>
        <v>65.16</v>
      </c>
      <c r="AP1076" s="153" t="n">
        <f aca="false">IFERROR($M1076*$AF1076*$AG1076,0)</f>
        <v>28.864251</v>
      </c>
      <c r="AQ1076" s="153" t="n">
        <f aca="false">IFERROR(IF(AND($N1076="VCA",$AH1076&gt;0),$M1076*$AG1076*$AH1076,0),0)</f>
        <v>2.1177</v>
      </c>
      <c r="AR1076" s="153" t="n">
        <f aca="false">IFERROR(IF(AND($N1076="VCA",$AJ1076&gt;0),($M1076*$AG1076*$AJ1076)-$AI1076,0),0)</f>
        <v>7.58569114778311</v>
      </c>
      <c r="AS1076" s="153" t="n">
        <f aca="false">IFERROR(IF(AND($N1076="VCA",$AP1076&gt;0),$AP1076-$AI1076-$AQ1076-$AR1076,0),0)</f>
        <v>19.0593</v>
      </c>
      <c r="AT1076" s="153" t="n">
        <f aca="false">IFERROR(IF($N1076="VCA",INDEX(APOIO_REDES!$A:$W,MATCH($C1076&amp;$I1076&amp;$H1076&amp;$N1076&amp;$O1076,APOIO_REDES!$W:$W,0),MATCH(AT$5,APOIO_REDES!$5:$5,0)),0)*$AP1076,0)</f>
        <v>0.3140515942622</v>
      </c>
      <c r="AU1076" s="153" t="n">
        <f aca="false">IFERROR(IF($N1076="VCA",INDEX(APOIO_REDES!$A:$W,MATCH($C1076&amp;$I1076&amp;$H1076&amp;$N1076&amp;$O1076,APOIO_REDES!$W:$W,0),MATCH(AU$5,APOIO_REDES!$5:$5,0)),0)*$AP1076,0)</f>
        <v>0.250793097581936</v>
      </c>
      <c r="AV1076" s="153" t="n">
        <f aca="false">IFERROR(IF($N1076="VCA",INDEX(APOIO_REDES!$A:$W,MATCH($C1076&amp;$I1076&amp;$H1076&amp;$N1076&amp;$O1076,APOIO_REDES!$W:$W,0),MATCH(AV$5,APOIO_REDES!$5:$5,0)),0)*$AP1076,0)</f>
        <v>0.034707795902331</v>
      </c>
      <c r="AW1076" s="153" t="n">
        <f aca="false">IFERROR(IF($N1076="VCA",INDEX(APOIO_REDES!$A:$W,MATCH($C1076&amp;$I1076&amp;$H1076&amp;$N1076&amp;$O1076,APOIO_REDES!$W:$W,0),MATCH(AW$5,APOIO_REDES!$5:$5,0)),0)*$AP1076,0)</f>
        <v>19.8126455375304</v>
      </c>
      <c r="AX1076" s="153" t="n">
        <f aca="false">IFERROR(IF($N1076="VCA",INDEX(APOIO_REDES!$A:$W,MATCH($C1076&amp;$I1076&amp;$H1076&amp;$N1076&amp;$O1076,APOIO_REDES!$W:$W,0),MATCH(AX$5,APOIO_REDES!$5:$5,0)),0)*$AP1076,0)</f>
        <v>2.74201370500509</v>
      </c>
      <c r="AY1076" s="153" t="n">
        <f aca="false">IFERROR(IF($N1076="VCA",INDEX(APOIO_REDES!$A:$W,MATCH($C1076&amp;$I1076&amp;$H1076&amp;$N1076&amp;$O1076,APOIO_REDES!$W:$W,0),MATCH(AY$5,APOIO_REDES!$5:$5,0)),0)*$AP1076,0)</f>
        <v>5.0158588944912</v>
      </c>
      <c r="AZ1076" s="153" t="n">
        <f aca="false">IFERROR(IF($N1076="VCA",INDEX(APOIO_REDES!$A:$W,MATCH($C1076&amp;$I1076&amp;$H1076&amp;$N1076&amp;$O1076,APOIO_REDES!$W:$W,0),MATCH(AZ$5,APOIO_REDES!$5:$5,0)),0)*$AP1076,0)</f>
        <v>0.694180375226856</v>
      </c>
      <c r="BA1076" s="153" t="n">
        <f aca="false">IFERROR(IF(AND($N1076="VCA",$Q1076="LINEAR"),INDEX(APOIO_REDES!$A:$W,MATCH($C1076&amp;$I1076&amp;$H1076&amp;$N1076&amp;$O1076,APOIO_REDES!$W:$W,0),MATCH(BA$5,APOIO_REDES!$5:$5,0)),IF(AND($N1076="MND",$Q1076="EMBOQUE"),INDEX(APOIO_REDES!$A:$W,MATCH($C1076&amp;$I1076&amp;$H1076&amp;$N1076&amp;$O1076,APOIO_REDES!$W:$W,0),MATCH(BA$5,APOIO_REDES!$5:$5,0)),0))*$M1076/10,0)</f>
        <v>2.62586581954924</v>
      </c>
      <c r="BB1076" s="153" t="n">
        <f aca="false">IFERROR(IF($N1076="VCA",INDEX(APOIO_REDES!$A:$W,MATCH($C1076&amp;$I1076&amp;$H1076&amp;$N1076&amp;$O1076,APOIO_REDES!$W:$W,0),MATCH(BB$5,APOIO_REDES!$5:$5,0)),0)*($AI1076+$AQ1076+$AR1076),0)</f>
        <v>9.69827023100264</v>
      </c>
      <c r="BC1076" s="153" t="n">
        <f aca="false">IFERROR(IF($N1076="VCA",INDEX(APOIO_REDES!$A:$W,MATCH($C1076&amp;$I1076&amp;$H1076&amp;$N1076&amp;$O1076,APOIO_REDES!$W:$W,0),MATCH(BC$5,APOIO_REDES!$5:$5,0)),0)*($AI1076+$AQ1076+$AR1076),0)</f>
        <v>0.106680768997358</v>
      </c>
      <c r="BD1076" s="153" t="n">
        <f aca="false">IF(AND($N1076="VCA",$AF1076&gt;=1.25,$AF1076&lt;1.5),$M1076*$AF1076*2,0)</f>
        <v>88.81308</v>
      </c>
      <c r="BE1076" s="153" t="n">
        <f aca="false">IF(AND($N1076="VCA",$AF1076&gt;=1.5,$AF1076&lt;3),$M1076*$AF1076*2,0)</f>
        <v>0</v>
      </c>
      <c r="BF1076" s="153" t="n">
        <f aca="false">IF(AND($N1076="VCA",$AF1076&gt;=3),$M1076*$AF1076*2,0)</f>
        <v>0</v>
      </c>
      <c r="BG1076" s="153" t="n">
        <f aca="false">($BB1076+$BC1076)*$AK1076</f>
        <v>44.1222795</v>
      </c>
      <c r="BH1076" s="153" t="n">
        <f aca="false">IF(AND($M1076&lt;&gt;"",$N1076="VCA",$Q1076="LINEAR"),($M1076*2)/100,IF(AND($M1076&lt;&gt;"",$N1076="MND",$Q1076="EMBOQUE"),($AN1076*2)/100,0))</f>
        <v>0.6516</v>
      </c>
      <c r="BI1076" s="153" t="n">
        <f aca="false">IF(AND($M1076&lt;&gt;"",$N1076="VCA",$Q1076="LINEAR"),$M1076,IF(AND($M1076&lt;&gt;"",$N1076="MND",$Q1076="EMBOQUE"),$AN1076*2,0))</f>
        <v>32.58</v>
      </c>
      <c r="BJ1076" s="153" t="n">
        <f aca="false">IF(AND($M1076&lt;&gt;"",$N1076="VCA",$Q1076="LINEAR"),($M1076*6.8)/100,IF(AND($M1076&lt;&gt;"",$N1076="MND",$Q1076="EMBOQUE"),($AN1076*2*6.8)/100,0))</f>
        <v>2.21544</v>
      </c>
      <c r="BK1076" s="153" t="n">
        <f aca="false">IF(AND($M1076&lt;&gt;"",$N1076="VCA",$Q1076="LINEAR"),($M1076*2.5)/50,IF(AND($M1076&lt;&gt;"",$N1076="MND",$Q1076="EMBOQUE"),($AN1076*2*2.5)/50,0))</f>
        <v>1.629</v>
      </c>
      <c r="BL1076" s="157" t="str">
        <f aca="false">K1076&amp;J1076</f>
        <v>Zona09REDES</v>
      </c>
      <c r="BM1076" s="152" t="s">
        <v>5109</v>
      </c>
      <c r="BN1076" s="152" t="s">
        <v>1560</v>
      </c>
      <c r="BO1076" s="152" t="s">
        <v>5627</v>
      </c>
      <c r="BP1076" s="152" t="s">
        <v>5573</v>
      </c>
      <c r="BQ1076" s="152" t="s">
        <v>2232</v>
      </c>
      <c r="BR1076" s="152" t="s">
        <v>5574</v>
      </c>
      <c r="BS1076" s="152" t="n">
        <v>203465.23</v>
      </c>
      <c r="BT1076" s="152" t="n">
        <v>8236149.514</v>
      </c>
      <c r="BU1076" s="152" t="n">
        <v>203433.654</v>
      </c>
      <c r="BV1076" s="152" t="n">
        <v>8236141.476</v>
      </c>
      <c r="BW1076" s="152" t="n">
        <v>-15.9362635</v>
      </c>
      <c r="BX1076" s="152" t="n">
        <v>-47.7699193</v>
      </c>
      <c r="BY1076" s="152" t="s">
        <v>5573</v>
      </c>
    </row>
    <row r="1077" customFormat="false" ht="13.8" hidden="false" customHeight="false" outlineLevel="0" collapsed="false">
      <c r="A1077" s="149" t="n">
        <f aca="false">IF(C1077&lt;&gt;"",ROW(A1072),"")</f>
        <v>1072</v>
      </c>
      <c r="B1077" s="150" t="str">
        <f aca="false">HYPERLINK("https://www.google.com/maps/dir/-15.917302,-47.760003/-15.9361711,-47.7694730/data=!4m3!4m2!3e0!5i1")</f>
        <v>https://www.google.com/maps/dir/-15.917302,-47.760003/-15.9361711,-47.7694730/data=!4m3!4m2!3e0!5i1</v>
      </c>
      <c r="C1077" s="151" t="s">
        <v>117</v>
      </c>
      <c r="D1077" s="152" t="s">
        <v>112</v>
      </c>
      <c r="E1077" s="152" t="s">
        <v>113</v>
      </c>
      <c r="F1077" s="152" t="s">
        <v>117</v>
      </c>
      <c r="G1077" s="152" t="s">
        <v>782</v>
      </c>
      <c r="H1077" s="152" t="n">
        <v>63</v>
      </c>
      <c r="I1077" s="152" t="s">
        <v>115</v>
      </c>
      <c r="J1077" s="152" t="s">
        <v>6</v>
      </c>
      <c r="K1077" s="152" t="s">
        <v>5106</v>
      </c>
      <c r="L1077" s="152" t="s">
        <v>120</v>
      </c>
      <c r="M1077" s="153" t="n">
        <f aca="false">42.32</f>
        <v>42.32</v>
      </c>
      <c r="N1077" s="152" t="s">
        <v>1548</v>
      </c>
      <c r="O1077" s="152" t="s">
        <v>1549</v>
      </c>
      <c r="P1077" s="152" t="s">
        <v>1550</v>
      </c>
      <c r="Q1077" s="152" t="s">
        <v>1551</v>
      </c>
      <c r="R1077" s="154" t="s">
        <v>5632</v>
      </c>
      <c r="S1077" s="154" t="s">
        <v>1553</v>
      </c>
      <c r="T1077" s="155" t="s">
        <v>5625</v>
      </c>
      <c r="U1077" s="152" t="str">
        <f aca="false">RIGHT(T1077,7)</f>
        <v>023/037</v>
      </c>
      <c r="V1077" s="152" t="s">
        <v>1555</v>
      </c>
      <c r="W1077" s="156" t="n">
        <v>45882</v>
      </c>
      <c r="X1077" s="152" t="s">
        <v>1594</v>
      </c>
      <c r="Y1077" s="152"/>
      <c r="Z1077" s="152" t="s">
        <v>1557</v>
      </c>
      <c r="AA1077" s="153" t="n">
        <v>4.4</v>
      </c>
      <c r="AB1077" s="151" t="s">
        <v>5633</v>
      </c>
      <c r="AC1077" s="151" t="s">
        <v>186</v>
      </c>
      <c r="AD1077" s="151" t="str">
        <f aca="false">CONCATENATE($C1077,$I1077,$H1077,$N1077,$J1077,$K1077)</f>
        <v>TUBO PEADPEAD63VCAREDESZona09</v>
      </c>
      <c r="AE1077" s="153" t="n">
        <f aca="false">IFERROR(INDEX(APOIO_REDES!$A:$W,MATCH($C1077&amp;$I1077&amp;$H1077&amp;$N1077&amp;$O1077,APOIO_REDES!$W:$W,0),MATCH(AE$5,APOIO_REDES!$5:$5,0)),0)</f>
        <v>1.2</v>
      </c>
      <c r="AF1077" s="153" t="n">
        <f aca="false">IFERROR(INDEX(APOIO_REDES!$A:$W,MATCH($C1077&amp;$I1077&amp;$H1077&amp;$N1077&amp;$O1077,APOIO_REDES!$W:$W,0),MATCH(AF$5,APOIO_REDES!$5:$5,0)),0)</f>
        <v>1.363</v>
      </c>
      <c r="AG1077" s="153" t="n">
        <f aca="false">IFERROR(INDEX(APOIO_REDES!$A:$W,MATCH($C1077&amp;$I1077&amp;$H1077&amp;$N1077&amp;$O1077,APOIO_REDES!$W:$W,0),MATCH(AG$5,APOIO_REDES!$5:$5,0)),0)</f>
        <v>0.65</v>
      </c>
      <c r="AH1077" s="153" t="n">
        <f aca="false">IFERROR(INDEX(APOIO_REDES!$A:$W,MATCH($C1077&amp;$I1077&amp;$H1077&amp;$N1077&amp;$O1077,APOIO_REDES!$W:$W,0),MATCH(AH$5,APOIO_REDES!$5:$5,0)),0)</f>
        <v>0.1</v>
      </c>
      <c r="AI1077" s="153" t="n">
        <f aca="false">IFERROR(IF($H1077&lt;&gt;"",(((($H1077/1000)/2)^2)*PI()*$M1077),0),0)</f>
        <v>0.131921821541396</v>
      </c>
      <c r="AJ1077" s="153" t="n">
        <f aca="false">IFERROR(IF(AND($H1077&lt;&gt;"",$I1077="FoFo",OR($N1077="MND",$N1077="VCA"),$Q1077="LINEAR"),0,IF(AND($H1077&lt;&gt;"",$I1077="PEAD",$N1077="VCA",$Q1077="LINEAR"),($H1077/1000)+0.3,IF(AND($H1077&lt;&gt;"",$I1077="PEAD",$N1077="MND",$Q1077="EMBOQUE"),0,IF(AND($H1077&lt;&gt;"",$I1077="PVC",$N1077="VCA",$Q1077="LINEAR"),($H1077/1000)+0.2,IF(AND($H1077&lt;&gt;"",$I1077="PVC",$N1077="MND",$Q1077="EMBOQUE"),0,IF(AND($H1077&lt;&gt;"",$I1077="PEAD",$N1077="VCA",$Q1077="PREDIAL"),0,0)))))),0)</f>
        <v>0.363</v>
      </c>
      <c r="AK1077" s="153" t="n">
        <f aca="false">IF(AA1077&lt;&gt;"",AA1077,0)</f>
        <v>4.4</v>
      </c>
      <c r="AL1077" s="153" t="n">
        <f aca="false">IF(AND($N1077="MND",$Q1077="EMBOQUE"),$M1077,IF(AND($N1077="VCA",$Q1077="LINEAR"),$M1077,IF(AND($N1077="VCA",$Q1077="PREDIAL"),0,0)))</f>
        <v>42.32</v>
      </c>
      <c r="AM1077" s="153" t="n">
        <f aca="false">IF(AND($N1077="MND",$Q1077="EMBOQUE"),$M1077,IF(AND($N1077="VCA",$Q1077="LINEAR"),$M1077,IF(AND($N1077="VCA",$Q1077="PREDIAL"),0,0)))</f>
        <v>42.32</v>
      </c>
      <c r="AN1077" s="153" t="n">
        <f aca="false">ROUND(IF(AND($N1077="VCA",$M1077&lt;&gt;"",$Q1077="LINEAR"),$M1077/100,IF(AND($N1077="MND",$M1077&gt;100,$Q1077="EMBOQUE"),$M1077/100,0)),0)</f>
        <v>0</v>
      </c>
      <c r="AO1077" s="153" t="n">
        <f aca="false">IF(AND($N1077="MND",$Q1077="EMBOQUE"),$AN1077*2*2,IF(AND($N1077="VCA",$Q1077="LINEAR"),$M1077*2,IF(AND($N1077="VCA",$Q1077="PREDIAL"),0,0)))</f>
        <v>84.64</v>
      </c>
      <c r="AP1077" s="153" t="n">
        <f aca="false">IFERROR($M1077*$AF1077*$AG1077,0)</f>
        <v>37.493404</v>
      </c>
      <c r="AQ1077" s="153" t="n">
        <f aca="false">IFERROR(IF(AND($N1077="VCA",$AH1077&gt;0),$M1077*$AG1077*$AH1077,0),0)</f>
        <v>2.7508</v>
      </c>
      <c r="AR1077" s="153" t="n">
        <f aca="false">IFERROR(IF(AND($N1077="VCA",$AJ1077&gt;0),($M1077*$AG1077*$AJ1077)-$AI1077,0),0)</f>
        <v>9.85348217845861</v>
      </c>
      <c r="AS1077" s="153" t="n">
        <f aca="false">IFERROR(IF(AND($N1077="VCA",$AP1077&gt;0),$AP1077-$AI1077-$AQ1077-$AR1077,0),0)</f>
        <v>24.7572</v>
      </c>
      <c r="AT1077" s="153" t="n">
        <f aca="false">IFERROR(IF($N1077="VCA",INDEX(APOIO_REDES!$A:$W,MATCH($C1077&amp;$I1077&amp;$H1077&amp;$N1077&amp;$O1077,APOIO_REDES!$W:$W,0),MATCH(AT$5,APOIO_REDES!$5:$5,0)),0)*$AP1077,0)</f>
        <v>0.407939333001114</v>
      </c>
      <c r="AU1077" s="153" t="n">
        <f aca="false">IFERROR(IF($N1077="VCA",INDEX(APOIO_REDES!$A:$W,MATCH($C1077&amp;$I1077&amp;$H1077&amp;$N1077&amp;$O1077,APOIO_REDES!$W:$W,0),MATCH(AU$5,APOIO_REDES!$5:$5,0)),0)*$AP1077,0)</f>
        <v>0.325769302936389</v>
      </c>
      <c r="AV1077" s="153" t="n">
        <f aca="false">IFERROR(IF($N1077="VCA",INDEX(APOIO_REDES!$A:$W,MATCH($C1077&amp;$I1077&amp;$H1077&amp;$N1077&amp;$O1077,APOIO_REDES!$W:$W,0),MATCH(AV$5,APOIO_REDES!$5:$5,0)),0)*$AP1077,0)</f>
        <v>0.0450839141370979</v>
      </c>
      <c r="AW1077" s="153" t="n">
        <f aca="false">IFERROR(IF($N1077="VCA",INDEX(APOIO_REDES!$A:$W,MATCH($C1077&amp;$I1077&amp;$H1077&amp;$N1077&amp;$O1077,APOIO_REDES!$W:$W,0),MATCH(AW$5,APOIO_REDES!$5:$5,0)),0)*$AP1077,0)</f>
        <v>25.7357630186705</v>
      </c>
      <c r="AX1077" s="153" t="n">
        <f aca="false">IFERROR(IF($N1077="VCA",INDEX(APOIO_REDES!$A:$W,MATCH($C1077&amp;$I1077&amp;$H1077&amp;$N1077&amp;$O1077,APOIO_REDES!$W:$W,0),MATCH(AX$5,APOIO_REDES!$5:$5,0)),0)*$AP1077,0)</f>
        <v>3.56175629207537</v>
      </c>
      <c r="AY1077" s="153" t="n">
        <f aca="false">IFERROR(IF($N1077="VCA",INDEX(APOIO_REDES!$A:$W,MATCH($C1077&amp;$I1077&amp;$H1077&amp;$N1077&amp;$O1077,APOIO_REDES!$W:$W,0),MATCH(AY$5,APOIO_REDES!$5:$5,0)),0)*$AP1077,0)</f>
        <v>6.51538208762638</v>
      </c>
      <c r="AZ1077" s="153" t="n">
        <f aca="false">IFERROR(IF($N1077="VCA",INDEX(APOIO_REDES!$A:$W,MATCH($C1077&amp;$I1077&amp;$H1077&amp;$N1077&amp;$O1077,APOIO_REDES!$W:$W,0),MATCH(AZ$5,APOIO_REDES!$5:$5,0)),0)*$AP1077,0)</f>
        <v>0.901710051553117</v>
      </c>
      <c r="BA1077" s="153" t="n">
        <f aca="false">IFERROR(IF(AND($N1077="VCA",$Q1077="LINEAR"),INDEX(APOIO_REDES!$A:$W,MATCH($C1077&amp;$I1077&amp;$H1077&amp;$N1077&amp;$O1077,APOIO_REDES!$W:$W,0),MATCH(BA$5,APOIO_REDES!$5:$5,0)),IF(AND($N1077="MND",$Q1077="EMBOQUE"),INDEX(APOIO_REDES!$A:$W,MATCH($C1077&amp;$I1077&amp;$H1077&amp;$N1077&amp;$O1077,APOIO_REDES!$W:$W,0),MATCH(BA$5,APOIO_REDES!$5:$5,0)),0))*$M1077/10,0)</f>
        <v>3.4108852511763</v>
      </c>
      <c r="BB1077" s="153" t="n">
        <f aca="false">IFERROR(IF($N1077="VCA",INDEX(APOIO_REDES!$A:$W,MATCH($C1077&amp;$I1077&amp;$H1077&amp;$N1077&amp;$O1077,APOIO_REDES!$W:$W,0),MATCH(BB$5,APOIO_REDES!$5:$5,0)),0)*($AI1077+$AQ1077+$AR1077),0)</f>
        <v>12.597630330756</v>
      </c>
      <c r="BC1077" s="153" t="n">
        <f aca="false">IFERROR(IF($N1077="VCA",INDEX(APOIO_REDES!$A:$W,MATCH($C1077&amp;$I1077&amp;$H1077&amp;$N1077&amp;$O1077,APOIO_REDES!$W:$W,0),MATCH(BC$5,APOIO_REDES!$5:$5,0)),0)*($AI1077+$AQ1077+$AR1077),0)</f>
        <v>0.138573669243959</v>
      </c>
      <c r="BD1077" s="153" t="n">
        <f aca="false">IF(AND($N1077="VCA",$AF1077&gt;=1.25,$AF1077&lt;1.5),$M1077*$AF1077*2,0)</f>
        <v>115.36432</v>
      </c>
      <c r="BE1077" s="153" t="n">
        <f aca="false">IF(AND($N1077="VCA",$AF1077&gt;=1.5,$AF1077&lt;3),$M1077*$AF1077*2,0)</f>
        <v>0</v>
      </c>
      <c r="BF1077" s="153" t="n">
        <f aca="false">IF(AND($N1077="VCA",$AF1077&gt;=3),$M1077*$AF1077*2,0)</f>
        <v>0</v>
      </c>
      <c r="BG1077" s="153" t="n">
        <f aca="false">($BB1077+$BC1077)*$AK1077</f>
        <v>56.0392976</v>
      </c>
      <c r="BH1077" s="153" t="n">
        <f aca="false">IF(AND($M1077&lt;&gt;"",$N1077="VCA",$Q1077="LINEAR"),($M1077*2)/100,IF(AND($M1077&lt;&gt;"",$N1077="MND",$Q1077="EMBOQUE"),($AN1077*2)/100,0))</f>
        <v>0.8464</v>
      </c>
      <c r="BI1077" s="153" t="n">
        <f aca="false">IF(AND($M1077&lt;&gt;"",$N1077="VCA",$Q1077="LINEAR"),$M1077,IF(AND($M1077&lt;&gt;"",$N1077="MND",$Q1077="EMBOQUE"),$AN1077*2,0))</f>
        <v>42.32</v>
      </c>
      <c r="BJ1077" s="153" t="n">
        <f aca="false">IF(AND($M1077&lt;&gt;"",$N1077="VCA",$Q1077="LINEAR"),($M1077*6.8)/100,IF(AND($M1077&lt;&gt;"",$N1077="MND",$Q1077="EMBOQUE"),($AN1077*2*6.8)/100,0))</f>
        <v>2.87776</v>
      </c>
      <c r="BK1077" s="153" t="n">
        <f aca="false">IF(AND($M1077&lt;&gt;"",$N1077="VCA",$Q1077="LINEAR"),($M1077*2.5)/50,IF(AND($M1077&lt;&gt;"",$N1077="MND",$Q1077="EMBOQUE"),($AN1077*2*2.5)/50,0))</f>
        <v>2.116</v>
      </c>
      <c r="BL1077" s="157" t="str">
        <f aca="false">K1077&amp;J1077</f>
        <v>Zona09REDES</v>
      </c>
      <c r="BM1077" s="152" t="s">
        <v>5109</v>
      </c>
      <c r="BN1077" s="152" t="s">
        <v>1560</v>
      </c>
      <c r="BO1077" s="152" t="s">
        <v>5627</v>
      </c>
      <c r="BP1077" s="152" t="s">
        <v>5628</v>
      </c>
      <c r="BQ1077" s="152" t="s">
        <v>5634</v>
      </c>
      <c r="BR1077" s="152" t="s">
        <v>5629</v>
      </c>
      <c r="BS1077" s="152" t="n">
        <v>203497.118</v>
      </c>
      <c r="BT1077" s="152" t="n">
        <v>8236156.37</v>
      </c>
      <c r="BU1077" s="152" t="n">
        <v>203506.472</v>
      </c>
      <c r="BV1077" s="152" t="n">
        <v>8236115.099</v>
      </c>
      <c r="BW1077" s="152" t="n">
        <v>-15.936358</v>
      </c>
      <c r="BX1077" s="152" t="n">
        <v>-47.7694319</v>
      </c>
      <c r="BY1077" s="152" t="s">
        <v>5628</v>
      </c>
    </row>
    <row r="1078" customFormat="false" ht="13.8" hidden="false" customHeight="false" outlineLevel="0" collapsed="false">
      <c r="A1078" s="149" t="n">
        <f aca="false">IF(C1078&lt;&gt;"",ROW(A1073),"")</f>
        <v>1073</v>
      </c>
      <c r="B1078" s="150" t="str">
        <f aca="false">HYPERLINK("https://www.google.com/maps/dir/-15.917302,-47.760003/-15.9366175,-47.7715380/data=!4m3!4m2!3e0!5i1")</f>
        <v>https://www.google.com/maps/dir/-15.917302,-47.760003/-15.9366175,-47.7715380/data=!4m3!4m2!3e0!5i1</v>
      </c>
      <c r="C1078" s="151" t="s">
        <v>117</v>
      </c>
      <c r="D1078" s="152" t="s">
        <v>112</v>
      </c>
      <c r="E1078" s="152" t="s">
        <v>113</v>
      </c>
      <c r="F1078" s="152" t="s">
        <v>117</v>
      </c>
      <c r="G1078" s="152" t="s">
        <v>782</v>
      </c>
      <c r="H1078" s="152" t="n">
        <v>63</v>
      </c>
      <c r="I1078" s="152" t="s">
        <v>115</v>
      </c>
      <c r="J1078" s="152" t="s">
        <v>6</v>
      </c>
      <c r="K1078" s="152" t="s">
        <v>5106</v>
      </c>
      <c r="L1078" s="152" t="s">
        <v>120</v>
      </c>
      <c r="M1078" s="153" t="n">
        <f aca="false">161.54</f>
        <v>161.54</v>
      </c>
      <c r="N1078" s="152" t="s">
        <v>1548</v>
      </c>
      <c r="O1078" s="152" t="s">
        <v>1549</v>
      </c>
      <c r="P1078" s="152" t="s">
        <v>1550</v>
      </c>
      <c r="Q1078" s="152" t="s">
        <v>1551</v>
      </c>
      <c r="R1078" s="154" t="s">
        <v>5635</v>
      </c>
      <c r="S1078" s="154" t="s">
        <v>1553</v>
      </c>
      <c r="T1078" s="155" t="s">
        <v>5625</v>
      </c>
      <c r="U1078" s="152" t="str">
        <f aca="false">RIGHT(T1078,7)</f>
        <v>023/037</v>
      </c>
      <c r="V1078" s="152" t="s">
        <v>1555</v>
      </c>
      <c r="W1078" s="156" t="n">
        <v>45882</v>
      </c>
      <c r="X1078" s="152" t="s">
        <v>1594</v>
      </c>
      <c r="Y1078" s="152"/>
      <c r="Z1078" s="152" t="s">
        <v>1557</v>
      </c>
      <c r="AA1078" s="153" t="n">
        <v>6</v>
      </c>
      <c r="AB1078" s="151" t="s">
        <v>5636</v>
      </c>
      <c r="AC1078" s="151" t="s">
        <v>186</v>
      </c>
      <c r="AD1078" s="151" t="str">
        <f aca="false">CONCATENATE($C1078,$I1078,$H1078,$N1078,$J1078,$K1078)</f>
        <v>TUBO PEADPEAD63VCAREDESZona09</v>
      </c>
      <c r="AE1078" s="153" t="n">
        <f aca="false">IFERROR(INDEX(APOIO_REDES!$A:$W,MATCH($C1078&amp;$I1078&amp;$H1078&amp;$N1078&amp;$O1078,APOIO_REDES!$W:$W,0),MATCH(AE$5,APOIO_REDES!$5:$5,0)),0)</f>
        <v>1.2</v>
      </c>
      <c r="AF1078" s="153" t="n">
        <f aca="false">IFERROR(INDEX(APOIO_REDES!$A:$W,MATCH($C1078&amp;$I1078&amp;$H1078&amp;$N1078&amp;$O1078,APOIO_REDES!$W:$W,0),MATCH(AF$5,APOIO_REDES!$5:$5,0)),0)</f>
        <v>1.363</v>
      </c>
      <c r="AG1078" s="153" t="n">
        <f aca="false">IFERROR(INDEX(APOIO_REDES!$A:$W,MATCH($C1078&amp;$I1078&amp;$H1078&amp;$N1078&amp;$O1078,APOIO_REDES!$W:$W,0),MATCH(AG$5,APOIO_REDES!$5:$5,0)),0)</f>
        <v>0.65</v>
      </c>
      <c r="AH1078" s="153" t="n">
        <f aca="false">IFERROR(INDEX(APOIO_REDES!$A:$W,MATCH($C1078&amp;$I1078&amp;$H1078&amp;$N1078&amp;$O1078,APOIO_REDES!$W:$W,0),MATCH(AH$5,APOIO_REDES!$5:$5,0)),0)</f>
        <v>0.1</v>
      </c>
      <c r="AI1078" s="153" t="n">
        <f aca="false">IFERROR(IF($H1078&lt;&gt;"",(((($H1078/1000)/2)^2)*PI()*$M1078),0),0)</f>
        <v>0.503559807462123</v>
      </c>
      <c r="AJ1078" s="153" t="n">
        <f aca="false">IFERROR(IF(AND($H1078&lt;&gt;"",$I1078="FoFo",OR($N1078="MND",$N1078="VCA"),$Q1078="LINEAR"),0,IF(AND($H1078&lt;&gt;"",$I1078="PEAD",$N1078="VCA",$Q1078="LINEAR"),($H1078/1000)+0.3,IF(AND($H1078&lt;&gt;"",$I1078="PEAD",$N1078="MND",$Q1078="EMBOQUE"),0,IF(AND($H1078&lt;&gt;"",$I1078="PVC",$N1078="VCA",$Q1078="LINEAR"),($H1078/1000)+0.2,IF(AND($H1078&lt;&gt;"",$I1078="PVC",$N1078="MND",$Q1078="EMBOQUE"),0,IF(AND($H1078&lt;&gt;"",$I1078="PEAD",$N1078="VCA",$Q1078="PREDIAL"),0,0)))))),0)</f>
        <v>0.363</v>
      </c>
      <c r="AK1078" s="153" t="n">
        <f aca="false">IF(AA1078&lt;&gt;"",AA1078,0)</f>
        <v>6</v>
      </c>
      <c r="AL1078" s="153" t="n">
        <f aca="false">IF(AND($N1078="MND",$Q1078="EMBOQUE"),$M1078,IF(AND($N1078="VCA",$Q1078="LINEAR"),$M1078,IF(AND($N1078="VCA",$Q1078="PREDIAL"),0,0)))</f>
        <v>161.54</v>
      </c>
      <c r="AM1078" s="153" t="n">
        <f aca="false">IF(AND($N1078="MND",$Q1078="EMBOQUE"),$M1078,IF(AND($N1078="VCA",$Q1078="LINEAR"),$M1078,IF(AND($N1078="VCA",$Q1078="PREDIAL"),0,0)))</f>
        <v>161.54</v>
      </c>
      <c r="AN1078" s="153" t="n">
        <f aca="false">ROUND(IF(AND($N1078="VCA",$M1078&lt;&gt;"",$Q1078="LINEAR"),$M1078/100,IF(AND($N1078="MND",$M1078&gt;100,$Q1078="EMBOQUE"),$M1078/100,0)),0)</f>
        <v>2</v>
      </c>
      <c r="AO1078" s="153" t="n">
        <f aca="false">IF(AND($N1078="MND",$Q1078="EMBOQUE"),$AN1078*2*2,IF(AND($N1078="VCA",$Q1078="LINEAR"),$M1078*2,IF(AND($N1078="VCA",$Q1078="PREDIAL"),0,0)))</f>
        <v>323.08</v>
      </c>
      <c r="AP1078" s="153" t="n">
        <f aca="false">IFERROR($M1078*$AF1078*$AG1078,0)</f>
        <v>143.116363</v>
      </c>
      <c r="AQ1078" s="153" t="n">
        <f aca="false">IFERROR(IF(AND($N1078="VCA",$AH1078&gt;0),$M1078*$AG1078*$AH1078,0),0)</f>
        <v>10.5001</v>
      </c>
      <c r="AR1078" s="153" t="n">
        <f aca="false">IFERROR(IF(AND($N1078="VCA",$AJ1078&gt;0),($M1078*$AG1078*$AJ1078)-$AI1078,0),0)</f>
        <v>37.6118031925379</v>
      </c>
      <c r="AS1078" s="153" t="n">
        <f aca="false">IFERROR(IF(AND($N1078="VCA",$AP1078&gt;0),$AP1078-$AI1078-$AQ1078-$AR1078,0),0)</f>
        <v>94.5009</v>
      </c>
      <c r="AT1078" s="153" t="n">
        <f aca="false">IFERROR(IF($N1078="VCA",INDEX(APOIO_REDES!$A:$W,MATCH($C1078&amp;$I1078&amp;$H1078&amp;$N1078&amp;$O1078,APOIO_REDES!$W:$W,0),MATCH(AT$5,APOIO_REDES!$5:$5,0)),0)*$AP1078,0)</f>
        <v>1.55714838972117</v>
      </c>
      <c r="AU1078" s="153" t="n">
        <f aca="false">IFERROR(IF($N1078="VCA",INDEX(APOIO_REDES!$A:$W,MATCH($C1078&amp;$I1078&amp;$H1078&amp;$N1078&amp;$O1078,APOIO_REDES!$W:$W,0),MATCH(AU$5,APOIO_REDES!$5:$5,0)),0)*$AP1078,0)</f>
        <v>1.24349653110454</v>
      </c>
      <c r="AV1078" s="153" t="n">
        <f aca="false">IFERROR(IF($N1078="VCA",INDEX(APOIO_REDES!$A:$W,MATCH($C1078&amp;$I1078&amp;$H1078&amp;$N1078&amp;$O1078,APOIO_REDES!$W:$W,0),MATCH(AV$5,APOIO_REDES!$5:$5,0)),0)*$AP1078,0)</f>
        <v>0.172090158074357</v>
      </c>
      <c r="AW1078" s="153" t="n">
        <f aca="false">IFERROR(IF($N1078="VCA",INDEX(APOIO_REDES!$A:$W,MATCH($C1078&amp;$I1078&amp;$H1078&amp;$N1078&amp;$O1078,APOIO_REDES!$W:$W,0),MATCH(AW$5,APOIO_REDES!$5:$5,0)),0)*$AP1078,0)</f>
        <v>98.2361804828931</v>
      </c>
      <c r="AX1078" s="153" t="n">
        <f aca="false">IFERROR(IF($N1078="VCA",INDEX(APOIO_REDES!$A:$W,MATCH($C1078&amp;$I1078&amp;$H1078&amp;$N1078&amp;$O1078,APOIO_REDES!$W:$W,0),MATCH(AX$5,APOIO_REDES!$5:$5,0)),0)*$AP1078,0)</f>
        <v>13.5956075477754</v>
      </c>
      <c r="AY1078" s="153" t="n">
        <f aca="false">IFERROR(IF($N1078="VCA",INDEX(APOIO_REDES!$A:$W,MATCH($C1078&amp;$I1078&amp;$H1078&amp;$N1078&amp;$O1078,APOIO_REDES!$W:$W,0),MATCH(AY$5,APOIO_REDES!$5:$5,0)),0)*$AP1078,0)</f>
        <v>24.8699154639689</v>
      </c>
      <c r="AZ1078" s="153" t="n">
        <f aca="false">IFERROR(IF($N1078="VCA",INDEX(APOIO_REDES!$A:$W,MATCH($C1078&amp;$I1078&amp;$H1078&amp;$N1078&amp;$O1078,APOIO_REDES!$W:$W,0),MATCH(AZ$5,APOIO_REDES!$5:$5,0)),0)*$AP1078,0)</f>
        <v>3.44192442646244</v>
      </c>
      <c r="BA1078" s="153" t="n">
        <f aca="false">IFERROR(IF(AND($N1078="VCA",$Q1078="LINEAR"),INDEX(APOIO_REDES!$A:$W,MATCH($C1078&amp;$I1078&amp;$H1078&amp;$N1078&amp;$O1078,APOIO_REDES!$W:$W,0),MATCH(BA$5,APOIO_REDES!$5:$5,0)),IF(AND($N1078="MND",$Q1078="EMBOQUE"),INDEX(APOIO_REDES!$A:$W,MATCH($C1078&amp;$I1078&amp;$H1078&amp;$N1078&amp;$O1078,APOIO_REDES!$W:$W,0),MATCH(BA$5,APOIO_REDES!$5:$5,0)),0))*$M1078/10,0)</f>
        <v>13.0197165282377</v>
      </c>
      <c r="BB1078" s="153" t="n">
        <f aca="false">IFERROR(IF($N1078="VCA",INDEX(APOIO_REDES!$A:$W,MATCH($C1078&amp;$I1078&amp;$H1078&amp;$N1078&amp;$O1078,APOIO_REDES!$W:$W,0),MATCH(BB$5,APOIO_REDES!$5:$5,0)),0)*($AI1078+$AQ1078+$AR1078),0)</f>
        <v>48.0865123731175</v>
      </c>
      <c r="BC1078" s="153" t="n">
        <f aca="false">IFERROR(IF($N1078="VCA",INDEX(APOIO_REDES!$A:$W,MATCH($C1078&amp;$I1078&amp;$H1078&amp;$N1078&amp;$O1078,APOIO_REDES!$W:$W,0),MATCH(BC$5,APOIO_REDES!$5:$5,0)),0)*($AI1078+$AQ1078+$AR1078),0)</f>
        <v>0.528950626882541</v>
      </c>
      <c r="BD1078" s="153" t="n">
        <f aca="false">IF(AND($N1078="VCA",$AF1078&gt;=1.25,$AF1078&lt;1.5),$M1078*$AF1078*2,0)</f>
        <v>440.35804</v>
      </c>
      <c r="BE1078" s="153" t="n">
        <f aca="false">IF(AND($N1078="VCA",$AF1078&gt;=1.5,$AF1078&lt;3),$M1078*$AF1078*2,0)</f>
        <v>0</v>
      </c>
      <c r="BF1078" s="153" t="n">
        <f aca="false">IF(AND($N1078="VCA",$AF1078&gt;=3),$M1078*$AF1078*2,0)</f>
        <v>0</v>
      </c>
      <c r="BG1078" s="153" t="n">
        <f aca="false">($BB1078+$BC1078)*$AK1078</f>
        <v>291.692778</v>
      </c>
      <c r="BH1078" s="153" t="n">
        <f aca="false">IF(AND($M1078&lt;&gt;"",$N1078="VCA",$Q1078="LINEAR"),($M1078*2)/100,IF(AND($M1078&lt;&gt;"",$N1078="MND",$Q1078="EMBOQUE"),($AN1078*2)/100,0))</f>
        <v>3.2308</v>
      </c>
      <c r="BI1078" s="153" t="n">
        <f aca="false">IF(AND($M1078&lt;&gt;"",$N1078="VCA",$Q1078="LINEAR"),$M1078,IF(AND($M1078&lt;&gt;"",$N1078="MND",$Q1078="EMBOQUE"),$AN1078*2,0))</f>
        <v>161.54</v>
      </c>
      <c r="BJ1078" s="153" t="n">
        <f aca="false">IF(AND($M1078&lt;&gt;"",$N1078="VCA",$Q1078="LINEAR"),($M1078*6.8)/100,IF(AND($M1078&lt;&gt;"",$N1078="MND",$Q1078="EMBOQUE"),($AN1078*2*6.8)/100,0))</f>
        <v>10.98472</v>
      </c>
      <c r="BK1078" s="153" t="n">
        <f aca="false">IF(AND($M1078&lt;&gt;"",$N1078="VCA",$Q1078="LINEAR"),($M1078*2.5)/50,IF(AND($M1078&lt;&gt;"",$N1078="MND",$Q1078="EMBOQUE"),($AN1078*2*2.5)/50,0))</f>
        <v>8.077</v>
      </c>
      <c r="BL1078" s="157" t="str">
        <f aca="false">K1078&amp;J1078</f>
        <v>Zona09REDES</v>
      </c>
      <c r="BM1078" s="152" t="s">
        <v>5109</v>
      </c>
      <c r="BN1078" s="152" t="s">
        <v>1560</v>
      </c>
      <c r="BO1078" s="152" t="s">
        <v>5627</v>
      </c>
      <c r="BP1078" s="152" t="s">
        <v>5637</v>
      </c>
      <c r="BQ1078" s="152" t="s">
        <v>2232</v>
      </c>
      <c r="BR1078" s="152" t="s">
        <v>5638</v>
      </c>
      <c r="BS1078" s="152" t="n">
        <v>203276.552</v>
      </c>
      <c r="BT1078" s="152" t="n">
        <v>8236104.003</v>
      </c>
      <c r="BU1078" s="152" t="n">
        <v>203433.647</v>
      </c>
      <c r="BV1078" s="152" t="n">
        <v>8236141.499</v>
      </c>
      <c r="BW1078" s="152" t="n">
        <v>-15.9364535</v>
      </c>
      <c r="BX1078" s="152" t="n">
        <v>-47.7708034</v>
      </c>
      <c r="BY1078" s="152" t="s">
        <v>5637</v>
      </c>
    </row>
    <row r="1079" customFormat="false" ht="13.8" hidden="false" customHeight="false" outlineLevel="0" collapsed="false">
      <c r="A1079" s="149" t="n">
        <f aca="false">IF(C1079&lt;&gt;"",ROW(A1074),"")</f>
        <v>1074</v>
      </c>
      <c r="B1079" s="150" t="str">
        <f aca="false">HYPERLINK("https://www.google.com/maps/dir/-15.917302,-47.760003/-15.9363226,-47.7716032/data=!4m3!4m2!3e0!5i1")</f>
        <v>https://www.google.com/maps/dir/-15.917302,-47.760003/-15.9363226,-47.7716032/data=!4m3!4m2!3e0!5i1</v>
      </c>
      <c r="C1079" s="151" t="s">
        <v>117</v>
      </c>
      <c r="D1079" s="152" t="s">
        <v>112</v>
      </c>
      <c r="E1079" s="152" t="s">
        <v>113</v>
      </c>
      <c r="F1079" s="152" t="s">
        <v>117</v>
      </c>
      <c r="G1079" s="152" t="s">
        <v>782</v>
      </c>
      <c r="H1079" s="152" t="n">
        <v>110</v>
      </c>
      <c r="I1079" s="152" t="s">
        <v>115</v>
      </c>
      <c r="J1079" s="152" t="s">
        <v>6</v>
      </c>
      <c r="K1079" s="152" t="s">
        <v>5106</v>
      </c>
      <c r="L1079" s="152" t="s">
        <v>120</v>
      </c>
      <c r="M1079" s="153" t="n">
        <f aca="false">33.39</f>
        <v>33.39</v>
      </c>
      <c r="N1079" s="152" t="s">
        <v>1548</v>
      </c>
      <c r="O1079" s="152" t="s">
        <v>1549</v>
      </c>
      <c r="P1079" s="152" t="s">
        <v>1550</v>
      </c>
      <c r="Q1079" s="152" t="s">
        <v>1551</v>
      </c>
      <c r="R1079" s="154" t="s">
        <v>5639</v>
      </c>
      <c r="S1079" s="154" t="s">
        <v>1593</v>
      </c>
      <c r="T1079" s="155" t="s">
        <v>5625</v>
      </c>
      <c r="U1079" s="152" t="str">
        <f aca="false">RIGHT(T1079,7)</f>
        <v>023/037</v>
      </c>
      <c r="V1079" s="152" t="s">
        <v>1555</v>
      </c>
      <c r="W1079" s="156" t="n">
        <v>45882</v>
      </c>
      <c r="X1079" s="152" t="s">
        <v>1594</v>
      </c>
      <c r="Y1079" s="152"/>
      <c r="Z1079" s="152" t="s">
        <v>1557</v>
      </c>
      <c r="AA1079" s="153" t="n">
        <v>6</v>
      </c>
      <c r="AB1079" s="151" t="s">
        <v>5640</v>
      </c>
      <c r="AC1079" s="151" t="s">
        <v>502</v>
      </c>
      <c r="AD1079" s="151" t="str">
        <f aca="false">CONCATENATE($C1079,$I1079,$H1079,$N1079,$J1079,$K1079)</f>
        <v>TUBO PEADPEAD110VCAREDESZona09</v>
      </c>
      <c r="AE1079" s="153" t="n">
        <f aca="false">IFERROR(INDEX(APOIO_REDES!$A:$W,MATCH($C1079&amp;$I1079&amp;$H1079&amp;$N1079&amp;$O1079,APOIO_REDES!$W:$W,0),MATCH(AE$5,APOIO_REDES!$5:$5,0)),0)</f>
        <v>1.2</v>
      </c>
      <c r="AF1079" s="153" t="n">
        <f aca="false">IFERROR(INDEX(APOIO_REDES!$A:$W,MATCH($C1079&amp;$I1079&amp;$H1079&amp;$N1079&amp;$O1079,APOIO_REDES!$W:$W,0),MATCH(AF$5,APOIO_REDES!$5:$5,0)),0)</f>
        <v>1.41</v>
      </c>
      <c r="AG1079" s="153" t="n">
        <f aca="false">IFERROR(INDEX(APOIO_REDES!$A:$W,MATCH($C1079&amp;$I1079&amp;$H1079&amp;$N1079&amp;$O1079,APOIO_REDES!$W:$W,0),MATCH(AG$5,APOIO_REDES!$5:$5,0)),0)</f>
        <v>0.75</v>
      </c>
      <c r="AH1079" s="153" t="n">
        <f aca="false">IFERROR(INDEX(APOIO_REDES!$A:$W,MATCH($C1079&amp;$I1079&amp;$H1079&amp;$N1079&amp;$O1079,APOIO_REDES!$W:$W,0),MATCH(AH$5,APOIO_REDES!$5:$5,0)),0)</f>
        <v>0.1</v>
      </c>
      <c r="AI1079" s="153" t="n">
        <f aca="false">IFERROR(IF($H1079&lt;&gt;"",(((($H1079/1000)/2)^2)*PI()*$M1079),0),0)</f>
        <v>0.317315780577674</v>
      </c>
      <c r="AJ1079" s="153" t="n">
        <f aca="false">IFERROR(IF(AND($H1079&lt;&gt;"",$I1079="FoFo",OR($N1079="MND",$N1079="VCA"),$Q1079="LINEAR"),0,IF(AND($H1079&lt;&gt;"",$I1079="PEAD",$N1079="VCA",$Q1079="LINEAR"),($H1079/1000)+0.3,IF(AND($H1079&lt;&gt;"",$I1079="PEAD",$N1079="MND",$Q1079="EMBOQUE"),0,IF(AND($H1079&lt;&gt;"",$I1079="PVC",$N1079="VCA",$Q1079="LINEAR"),($H1079/1000)+0.2,IF(AND($H1079&lt;&gt;"",$I1079="PVC",$N1079="MND",$Q1079="EMBOQUE"),0,IF(AND($H1079&lt;&gt;"",$I1079="PEAD",$N1079="VCA",$Q1079="PREDIAL"),0,0)))))),0)</f>
        <v>0.41</v>
      </c>
      <c r="AK1079" s="153" t="n">
        <f aca="false">IF(AA1079&lt;&gt;"",AA1079,0)</f>
        <v>6</v>
      </c>
      <c r="AL1079" s="153" t="n">
        <f aca="false">IF(AND($N1079="MND",$Q1079="EMBOQUE"),$M1079,IF(AND($N1079="VCA",$Q1079="LINEAR"),$M1079,IF(AND($N1079="VCA",$Q1079="PREDIAL"),0,0)))</f>
        <v>33.39</v>
      </c>
      <c r="AM1079" s="153" t="n">
        <f aca="false">IF(AND($N1079="MND",$Q1079="EMBOQUE"),$M1079,IF(AND($N1079="VCA",$Q1079="LINEAR"),$M1079,IF(AND($N1079="VCA",$Q1079="PREDIAL"),0,0)))</f>
        <v>33.39</v>
      </c>
      <c r="AN1079" s="153" t="n">
        <f aca="false">ROUND(IF(AND($N1079="VCA",$M1079&lt;&gt;"",$Q1079="LINEAR"),$M1079/100,IF(AND($N1079="MND",$M1079&gt;100,$Q1079="EMBOQUE"),$M1079/100,0)),0)</f>
        <v>0</v>
      </c>
      <c r="AO1079" s="153" t="n">
        <f aca="false">IF(AND($N1079="MND",$Q1079="EMBOQUE"),$AN1079*2*2,IF(AND($N1079="VCA",$Q1079="LINEAR"),$M1079*2,IF(AND($N1079="VCA",$Q1079="PREDIAL"),0,0)))</f>
        <v>66.78</v>
      </c>
      <c r="AP1079" s="153" t="n">
        <f aca="false">IFERROR($M1079*$AF1079*$AG1079,0)</f>
        <v>35.309925</v>
      </c>
      <c r="AQ1079" s="153" t="n">
        <f aca="false">IFERROR(IF(AND($N1079="VCA",$AH1079&gt;0),$M1079*$AG1079*$AH1079,0),0)</f>
        <v>2.50425</v>
      </c>
      <c r="AR1079" s="153" t="n">
        <f aca="false">IFERROR(IF(AND($N1079="VCA",$AJ1079&gt;0),($M1079*$AG1079*$AJ1079)-$AI1079,0),0)</f>
        <v>9.95010921942233</v>
      </c>
      <c r="AS1079" s="153" t="n">
        <f aca="false">IFERROR(IF(AND($N1079="VCA",$AP1079&gt;0),$AP1079-$AI1079-$AQ1079-$AR1079,0),0)</f>
        <v>22.53825</v>
      </c>
      <c r="AT1079" s="153" t="n">
        <f aca="false">IFERROR(IF($N1079="VCA",INDEX(APOIO_REDES!$A:$W,MATCH($C1079&amp;$I1079&amp;$H1079&amp;$N1079&amp;$O1079,APOIO_REDES!$W:$W,0),MATCH(AT$5,APOIO_REDES!$5:$5,0)),0)*$AP1079,0)</f>
        <v>0.384182435204319</v>
      </c>
      <c r="AU1079" s="153" t="n">
        <f aca="false">IFERROR(IF($N1079="VCA",INDEX(APOIO_REDES!$A:$W,MATCH($C1079&amp;$I1079&amp;$H1079&amp;$N1079&amp;$O1079,APOIO_REDES!$W:$W,0),MATCH(AU$5,APOIO_REDES!$5:$5,0)),0)*$AP1079,0)</f>
        <v>0.306797687774259</v>
      </c>
      <c r="AV1079" s="153" t="n">
        <f aca="false">IFERROR(IF($N1079="VCA",INDEX(APOIO_REDES!$A:$W,MATCH($C1079&amp;$I1079&amp;$H1079&amp;$N1079&amp;$O1079,APOIO_REDES!$W:$W,0),MATCH(AV$5,APOIO_REDES!$5:$5,0)),0)*$AP1079,0)</f>
        <v>0.0424583915316775</v>
      </c>
      <c r="AW1079" s="153" t="n">
        <f aca="false">IFERROR(IF($N1079="VCA",INDEX(APOIO_REDES!$A:$W,MATCH($C1079&amp;$I1079&amp;$H1079&amp;$N1079&amp;$O1079,APOIO_REDES!$W:$W,0),MATCH(AW$5,APOIO_REDES!$5:$5,0)),0)*$AP1079,0)</f>
        <v>24.2370061146497</v>
      </c>
      <c r="AX1079" s="153" t="n">
        <f aca="false">IFERROR(IF($N1079="VCA",INDEX(APOIO_REDES!$A:$W,MATCH($C1079&amp;$I1079&amp;$H1079&amp;$N1079&amp;$O1079,APOIO_REDES!$W:$W,0),MATCH(AX$5,APOIO_REDES!$5:$5,0)),0)*$AP1079,0)</f>
        <v>3.35433260584874</v>
      </c>
      <c r="AY1079" s="153" t="n">
        <f aca="false">IFERROR(IF($N1079="VCA",INDEX(APOIO_REDES!$A:$W,MATCH($C1079&amp;$I1079&amp;$H1079&amp;$N1079&amp;$O1079,APOIO_REDES!$W:$W,0),MATCH(AY$5,APOIO_REDES!$5:$5,0)),0)*$AP1079,0)</f>
        <v>6.13595001564624</v>
      </c>
      <c r="AZ1079" s="153" t="n">
        <f aca="false">IFERROR(IF($N1079="VCA",INDEX(APOIO_REDES!$A:$W,MATCH($C1079&amp;$I1079&amp;$H1079&amp;$N1079&amp;$O1079,APOIO_REDES!$W:$W,0),MATCH(AZ$5,APOIO_REDES!$5:$5,0)),0)*$AP1079,0)</f>
        <v>0.849197749345103</v>
      </c>
      <c r="BA1079" s="153" t="n">
        <f aca="false">IFERROR(IF(AND($N1079="VCA",$Q1079="LINEAR"),INDEX(APOIO_REDES!$A:$W,MATCH($C1079&amp;$I1079&amp;$H1079&amp;$N1079&amp;$O1079,APOIO_REDES!$W:$W,0),MATCH(BA$5,APOIO_REDES!$5:$5,0)),IF(AND($N1079="MND",$Q1079="EMBOQUE"),INDEX(APOIO_REDES!$A:$W,MATCH($C1079&amp;$I1079&amp;$H1079&amp;$N1079&amp;$O1079,APOIO_REDES!$W:$W,0),MATCH(BA$5,APOIO_REDES!$5:$5,0)),0))*$M1079/10,0)</f>
        <v>2.69114977638886</v>
      </c>
      <c r="BB1079" s="153" t="n">
        <f aca="false">IFERROR(IF($N1079="VCA",INDEX(APOIO_REDES!$A:$W,MATCH($C1079&amp;$I1079&amp;$H1079&amp;$N1079&amp;$O1079,APOIO_REDES!$W:$W,0),MATCH(BB$5,APOIO_REDES!$5:$5,0)),0)*($AI1079+$AQ1079+$AR1079),0)</f>
        <v>12.6327153957772</v>
      </c>
      <c r="BC1079" s="153" t="n">
        <f aca="false">IFERROR(IF($N1079="VCA",INDEX(APOIO_REDES!$A:$W,MATCH($C1079&amp;$I1079&amp;$H1079&amp;$N1079&amp;$O1079,APOIO_REDES!$W:$W,0),MATCH(BC$5,APOIO_REDES!$5:$5,0)),0)*($AI1079+$AQ1079+$AR1079),0)</f>
        <v>0.138959604222839</v>
      </c>
      <c r="BD1079" s="153" t="n">
        <f aca="false">IF(AND($N1079="VCA",$AF1079&gt;=1.25,$AF1079&lt;1.5),$M1079*$AF1079*2,0)</f>
        <v>94.1598</v>
      </c>
      <c r="BE1079" s="153" t="n">
        <f aca="false">IF(AND($N1079="VCA",$AF1079&gt;=1.5,$AF1079&lt;3),$M1079*$AF1079*2,0)</f>
        <v>0</v>
      </c>
      <c r="BF1079" s="153" t="n">
        <f aca="false">IF(AND($N1079="VCA",$AF1079&gt;=3),$M1079*$AF1079*2,0)</f>
        <v>0</v>
      </c>
      <c r="BG1079" s="153" t="n">
        <f aca="false">($BB1079+$BC1079)*$AK1079</f>
        <v>76.63005</v>
      </c>
      <c r="BH1079" s="153" t="n">
        <f aca="false">IF(AND($M1079&lt;&gt;"",$N1079="VCA",$Q1079="LINEAR"),($M1079*2)/100,IF(AND($M1079&lt;&gt;"",$N1079="MND",$Q1079="EMBOQUE"),($AN1079*2)/100,0))</f>
        <v>0.6678</v>
      </c>
      <c r="BI1079" s="153" t="n">
        <f aca="false">IF(AND($M1079&lt;&gt;"",$N1079="VCA",$Q1079="LINEAR"),$M1079,IF(AND($M1079&lt;&gt;"",$N1079="MND",$Q1079="EMBOQUE"),$AN1079*2,0))</f>
        <v>33.39</v>
      </c>
      <c r="BJ1079" s="153" t="n">
        <f aca="false">IF(AND($M1079&lt;&gt;"",$N1079="VCA",$Q1079="LINEAR"),($M1079*6.8)/100,IF(AND($M1079&lt;&gt;"",$N1079="MND",$Q1079="EMBOQUE"),($AN1079*2*6.8)/100,0))</f>
        <v>2.27052</v>
      </c>
      <c r="BK1079" s="153" t="n">
        <f aca="false">IF(AND($M1079&lt;&gt;"",$N1079="VCA",$Q1079="LINEAR"),($M1079*2.5)/50,IF(AND($M1079&lt;&gt;"",$N1079="MND",$Q1079="EMBOQUE"),($AN1079*2*2.5)/50,0))</f>
        <v>1.6695</v>
      </c>
      <c r="BL1079" s="157" t="str">
        <f aca="false">K1079&amp;J1079</f>
        <v>Zona09REDES</v>
      </c>
      <c r="BM1079" s="152" t="s">
        <v>5109</v>
      </c>
      <c r="BN1079" s="152" t="s">
        <v>1560</v>
      </c>
      <c r="BO1079" s="152" t="s">
        <v>5627</v>
      </c>
      <c r="BP1079" s="152" t="s">
        <v>5568</v>
      </c>
      <c r="BQ1079" s="152" t="s">
        <v>5637</v>
      </c>
      <c r="BR1079" s="152" t="s">
        <v>5641</v>
      </c>
      <c r="BS1079" s="152" t="n">
        <v>203269.128</v>
      </c>
      <c r="BT1079" s="152" t="n">
        <v>8236136.554</v>
      </c>
      <c r="BU1079" s="152" t="n">
        <v>203276.552</v>
      </c>
      <c r="BV1079" s="152" t="n">
        <v>8236104.003</v>
      </c>
      <c r="BW1079" s="152" t="n">
        <v>-15.9364702</v>
      </c>
      <c r="BX1079" s="152" t="n">
        <v>-47.7715715</v>
      </c>
      <c r="BY1079" s="152" t="s">
        <v>5568</v>
      </c>
    </row>
    <row r="1080" customFormat="false" ht="13.8" hidden="false" customHeight="false" outlineLevel="0" collapsed="false">
      <c r="A1080" s="149" t="n">
        <f aca="false">IF(C1080&lt;&gt;"",ROW(A1075),"")</f>
        <v>1075</v>
      </c>
      <c r="B1080" s="150" t="str">
        <f aca="false">HYPERLINK("https://www.google.com/maps/dir/-15.917302,-47.760003/-15.9366175,-47.7715380/data=!4m3!4m2!3e0!5i1")</f>
        <v>https://www.google.com/maps/dir/-15.917302,-47.760003/-15.9366175,-47.7715380/data=!4m3!4m2!3e0!5i1</v>
      </c>
      <c r="C1080" s="151" t="s">
        <v>117</v>
      </c>
      <c r="D1080" s="152" t="s">
        <v>112</v>
      </c>
      <c r="E1080" s="152" t="s">
        <v>113</v>
      </c>
      <c r="F1080" s="152" t="s">
        <v>117</v>
      </c>
      <c r="G1080" s="152" t="s">
        <v>782</v>
      </c>
      <c r="H1080" s="152" t="n">
        <v>110</v>
      </c>
      <c r="I1080" s="152" t="s">
        <v>115</v>
      </c>
      <c r="J1080" s="152" t="s">
        <v>6</v>
      </c>
      <c r="K1080" s="152" t="s">
        <v>5106</v>
      </c>
      <c r="L1080" s="152" t="s">
        <v>120</v>
      </c>
      <c r="M1080" s="153" t="n">
        <f aca="false">23.51</f>
        <v>23.51</v>
      </c>
      <c r="N1080" s="152" t="s">
        <v>1548</v>
      </c>
      <c r="O1080" s="152" t="s">
        <v>1549</v>
      </c>
      <c r="P1080" s="152" t="s">
        <v>1550</v>
      </c>
      <c r="Q1080" s="152" t="s">
        <v>1551</v>
      </c>
      <c r="R1080" s="154" t="s">
        <v>5642</v>
      </c>
      <c r="S1080" s="154" t="s">
        <v>1593</v>
      </c>
      <c r="T1080" s="155" t="s">
        <v>5625</v>
      </c>
      <c r="U1080" s="152" t="str">
        <f aca="false">RIGHT(T1080,7)</f>
        <v>023/037</v>
      </c>
      <c r="V1080" s="152" t="s">
        <v>1555</v>
      </c>
      <c r="W1080" s="156" t="n">
        <v>45882</v>
      </c>
      <c r="X1080" s="152" t="s">
        <v>1594</v>
      </c>
      <c r="Y1080" s="152"/>
      <c r="Z1080" s="152" t="s">
        <v>1557</v>
      </c>
      <c r="AA1080" s="153" t="n">
        <v>6</v>
      </c>
      <c r="AB1080" s="151" t="s">
        <v>5643</v>
      </c>
      <c r="AC1080" s="151" t="s">
        <v>502</v>
      </c>
      <c r="AD1080" s="151" t="str">
        <f aca="false">CONCATENATE($C1080,$I1080,$H1080,$N1080,$J1080,$K1080)</f>
        <v>TUBO PEADPEAD110VCAREDESZona09</v>
      </c>
      <c r="AE1080" s="153" t="n">
        <f aca="false">IFERROR(INDEX(APOIO_REDES!$A:$W,MATCH($C1080&amp;$I1080&amp;$H1080&amp;$N1080&amp;$O1080,APOIO_REDES!$W:$W,0),MATCH(AE$5,APOIO_REDES!$5:$5,0)),0)</f>
        <v>1.2</v>
      </c>
      <c r="AF1080" s="153" t="n">
        <f aca="false">IFERROR(INDEX(APOIO_REDES!$A:$W,MATCH($C1080&amp;$I1080&amp;$H1080&amp;$N1080&amp;$O1080,APOIO_REDES!$W:$W,0),MATCH(AF$5,APOIO_REDES!$5:$5,0)),0)</f>
        <v>1.41</v>
      </c>
      <c r="AG1080" s="153" t="n">
        <f aca="false">IFERROR(INDEX(APOIO_REDES!$A:$W,MATCH($C1080&amp;$I1080&amp;$H1080&amp;$N1080&amp;$O1080,APOIO_REDES!$W:$W,0),MATCH(AG$5,APOIO_REDES!$5:$5,0)),0)</f>
        <v>0.75</v>
      </c>
      <c r="AH1080" s="153" t="n">
        <f aca="false">IFERROR(INDEX(APOIO_REDES!$A:$W,MATCH($C1080&amp;$I1080&amp;$H1080&amp;$N1080&amp;$O1080,APOIO_REDES!$W:$W,0),MATCH(AH$5,APOIO_REDES!$5:$5,0)),0)</f>
        <v>0.1</v>
      </c>
      <c r="AI1080" s="153" t="n">
        <f aca="false">IFERROR(IF($H1080&lt;&gt;"",(((($H1080/1000)/2)^2)*PI()*$M1080),0),0)</f>
        <v>0.223423000939836</v>
      </c>
      <c r="AJ1080" s="153" t="n">
        <f aca="false">IFERROR(IF(AND($H1080&lt;&gt;"",$I1080="FoFo",OR($N1080="MND",$N1080="VCA"),$Q1080="LINEAR"),0,IF(AND($H1080&lt;&gt;"",$I1080="PEAD",$N1080="VCA",$Q1080="LINEAR"),($H1080/1000)+0.3,IF(AND($H1080&lt;&gt;"",$I1080="PEAD",$N1080="MND",$Q1080="EMBOQUE"),0,IF(AND($H1080&lt;&gt;"",$I1080="PVC",$N1080="VCA",$Q1080="LINEAR"),($H1080/1000)+0.2,IF(AND($H1080&lt;&gt;"",$I1080="PVC",$N1080="MND",$Q1080="EMBOQUE"),0,IF(AND($H1080&lt;&gt;"",$I1080="PEAD",$N1080="VCA",$Q1080="PREDIAL"),0,0)))))),0)</f>
        <v>0.41</v>
      </c>
      <c r="AK1080" s="153" t="n">
        <f aca="false">IF(AA1080&lt;&gt;"",AA1080,0)</f>
        <v>6</v>
      </c>
      <c r="AL1080" s="153" t="n">
        <f aca="false">IF(AND($N1080="MND",$Q1080="EMBOQUE"),$M1080,IF(AND($N1080="VCA",$Q1080="LINEAR"),$M1080,IF(AND($N1080="VCA",$Q1080="PREDIAL"),0,0)))</f>
        <v>23.51</v>
      </c>
      <c r="AM1080" s="153" t="n">
        <f aca="false">IF(AND($N1080="MND",$Q1080="EMBOQUE"),$M1080,IF(AND($N1080="VCA",$Q1080="LINEAR"),$M1080,IF(AND($N1080="VCA",$Q1080="PREDIAL"),0,0)))</f>
        <v>23.51</v>
      </c>
      <c r="AN1080" s="153" t="n">
        <f aca="false">ROUND(IF(AND($N1080="VCA",$M1080&lt;&gt;"",$Q1080="LINEAR"),$M1080/100,IF(AND($N1080="MND",$M1080&gt;100,$Q1080="EMBOQUE"),$M1080/100,0)),0)</f>
        <v>0</v>
      </c>
      <c r="AO1080" s="153" t="n">
        <f aca="false">IF(AND($N1080="MND",$Q1080="EMBOQUE"),$AN1080*2*2,IF(AND($N1080="VCA",$Q1080="LINEAR"),$M1080*2,IF(AND($N1080="VCA",$Q1080="PREDIAL"),0,0)))</f>
        <v>47.02</v>
      </c>
      <c r="AP1080" s="153" t="n">
        <f aca="false">IFERROR($M1080*$AF1080*$AG1080,0)</f>
        <v>24.861825</v>
      </c>
      <c r="AQ1080" s="153" t="n">
        <f aca="false">IFERROR(IF(AND($N1080="VCA",$AH1080&gt;0),$M1080*$AG1080*$AH1080,0),0)</f>
        <v>1.76325</v>
      </c>
      <c r="AR1080" s="153" t="n">
        <f aca="false">IFERROR(IF(AND($N1080="VCA",$AJ1080&gt;0),($M1080*$AG1080*$AJ1080)-$AI1080,0),0)</f>
        <v>7.00590199906016</v>
      </c>
      <c r="AS1080" s="153" t="n">
        <f aca="false">IFERROR(IF(AND($N1080="VCA",$AP1080&gt;0),$AP1080-$AI1080-$AQ1080-$AR1080,0),0)</f>
        <v>15.86925</v>
      </c>
      <c r="AT1080" s="153" t="n">
        <f aca="false">IFERROR(IF($N1080="VCA",INDEX(APOIO_REDES!$A:$W,MATCH($C1080&amp;$I1080&amp;$H1080&amp;$N1080&amp;$O1080,APOIO_REDES!$W:$W,0),MATCH(AT$5,APOIO_REDES!$5:$5,0)),0)*$AP1080,0)</f>
        <v>0.270504014724575</v>
      </c>
      <c r="AU1080" s="153" t="n">
        <f aca="false">IFERROR(IF($N1080="VCA",INDEX(APOIO_REDES!$A:$W,MATCH($C1080&amp;$I1080&amp;$H1080&amp;$N1080&amp;$O1080,APOIO_REDES!$W:$W,0),MATCH(AU$5,APOIO_REDES!$5:$5,0)),0)*$AP1080,0)</f>
        <v>0.216017179981217</v>
      </c>
      <c r="AV1080" s="153" t="n">
        <f aca="false">IFERROR(IF($N1080="VCA",INDEX(APOIO_REDES!$A:$W,MATCH($C1080&amp;$I1080&amp;$H1080&amp;$N1080&amp;$O1080,APOIO_REDES!$W:$W,0),MATCH(AV$5,APOIO_REDES!$5:$5,0)),0)*$AP1080,0)</f>
        <v>0.0298950819080485</v>
      </c>
      <c r="AW1080" s="153" t="n">
        <f aca="false">IFERROR(IF($N1080="VCA",INDEX(APOIO_REDES!$A:$W,MATCH($C1080&amp;$I1080&amp;$H1080&amp;$N1080&amp;$O1080,APOIO_REDES!$W:$W,0),MATCH(AW$5,APOIO_REDES!$5:$5,0)),0)*$AP1080,0)</f>
        <v>17.0653493188204</v>
      </c>
      <c r="AX1080" s="153" t="n">
        <f aca="false">IFERROR(IF($N1080="VCA",INDEX(APOIO_REDES!$A:$W,MATCH($C1080&amp;$I1080&amp;$H1080&amp;$N1080&amp;$O1080,APOIO_REDES!$W:$W,0),MATCH(AX$5,APOIO_REDES!$5:$5,0)),0)*$AP1080,0)</f>
        <v>2.36179573415705</v>
      </c>
      <c r="AY1080" s="153" t="n">
        <f aca="false">IFERROR(IF($N1080="VCA",INDEX(APOIO_REDES!$A:$W,MATCH($C1080&amp;$I1080&amp;$H1080&amp;$N1080&amp;$O1080,APOIO_REDES!$W:$W,0),MATCH(AY$5,APOIO_REDES!$5:$5,0)),0)*$AP1080,0)</f>
        <v>4.32034096639243</v>
      </c>
      <c r="AZ1080" s="153" t="n">
        <f aca="false">IFERROR(IF($N1080="VCA",INDEX(APOIO_REDES!$A:$W,MATCH($C1080&amp;$I1080&amp;$H1080&amp;$N1080&amp;$O1080,APOIO_REDES!$W:$W,0),MATCH(AZ$5,APOIO_REDES!$5:$5,0)),0)*$AP1080,0)</f>
        <v>0.597922704016274</v>
      </c>
      <c r="BA1080" s="153" t="n">
        <f aca="false">IFERROR(IF(AND($N1080="VCA",$Q1080="LINEAR"),INDEX(APOIO_REDES!$A:$W,MATCH($C1080&amp;$I1080&amp;$H1080&amp;$N1080&amp;$O1080,APOIO_REDES!$W:$W,0),MATCH(BA$5,APOIO_REDES!$5:$5,0)),IF(AND($N1080="MND",$Q1080="EMBOQUE"),INDEX(APOIO_REDES!$A:$W,MATCH($C1080&amp;$I1080&amp;$H1080&amp;$N1080&amp;$O1080,APOIO_REDES!$W:$W,0),MATCH(BA$5,APOIO_REDES!$5:$5,0)),0))*$M1080/10,0)</f>
        <v>1.89484669790063</v>
      </c>
      <c r="BB1080" s="153" t="n">
        <f aca="false">IFERROR(IF($N1080="VCA",INDEX(APOIO_REDES!$A:$W,MATCH($C1080&amp;$I1080&amp;$H1080&amp;$N1080&amp;$O1080,APOIO_REDES!$W:$W,0),MATCH(BB$5,APOIO_REDES!$5:$5,0)),0)*($AI1080+$AQ1080+$AR1080),0)</f>
        <v>8.89473312233367</v>
      </c>
      <c r="BC1080" s="153" t="n">
        <f aca="false">IFERROR(IF($N1080="VCA",INDEX(APOIO_REDES!$A:$W,MATCH($C1080&amp;$I1080&amp;$H1080&amp;$N1080&amp;$O1080,APOIO_REDES!$W:$W,0),MATCH(BC$5,APOIO_REDES!$5:$5,0)),0)*($AI1080+$AQ1080+$AR1080),0)</f>
        <v>0.0978418776663356</v>
      </c>
      <c r="BD1080" s="153" t="n">
        <f aca="false">IF(AND($N1080="VCA",$AF1080&gt;=1.25,$AF1080&lt;1.5),$M1080*$AF1080*2,0)</f>
        <v>66.2982</v>
      </c>
      <c r="BE1080" s="153" t="n">
        <f aca="false">IF(AND($N1080="VCA",$AF1080&gt;=1.5,$AF1080&lt;3),$M1080*$AF1080*2,0)</f>
        <v>0</v>
      </c>
      <c r="BF1080" s="153" t="n">
        <f aca="false">IF(AND($N1080="VCA",$AF1080&gt;=3),$M1080*$AF1080*2,0)</f>
        <v>0</v>
      </c>
      <c r="BG1080" s="153" t="n">
        <f aca="false">($BB1080+$BC1080)*$AK1080</f>
        <v>53.95545</v>
      </c>
      <c r="BH1080" s="153" t="n">
        <f aca="false">IF(AND($M1080&lt;&gt;"",$N1080="VCA",$Q1080="LINEAR"),($M1080*2)/100,IF(AND($M1080&lt;&gt;"",$N1080="MND",$Q1080="EMBOQUE"),($AN1080*2)/100,0))</f>
        <v>0.4702</v>
      </c>
      <c r="BI1080" s="153" t="n">
        <f aca="false">IF(AND($M1080&lt;&gt;"",$N1080="VCA",$Q1080="LINEAR"),$M1080,IF(AND($M1080&lt;&gt;"",$N1080="MND",$Q1080="EMBOQUE"),$AN1080*2,0))</f>
        <v>23.51</v>
      </c>
      <c r="BJ1080" s="153" t="n">
        <f aca="false">IF(AND($M1080&lt;&gt;"",$N1080="VCA",$Q1080="LINEAR"),($M1080*6.8)/100,IF(AND($M1080&lt;&gt;"",$N1080="MND",$Q1080="EMBOQUE"),($AN1080*2*6.8)/100,0))</f>
        <v>1.59868</v>
      </c>
      <c r="BK1080" s="153" t="n">
        <f aca="false">IF(AND($M1080&lt;&gt;"",$N1080="VCA",$Q1080="LINEAR"),($M1080*2.5)/50,IF(AND($M1080&lt;&gt;"",$N1080="MND",$Q1080="EMBOQUE"),($AN1080*2*2.5)/50,0))</f>
        <v>1.1755</v>
      </c>
      <c r="BL1080" s="157" t="str">
        <f aca="false">K1080&amp;J1080</f>
        <v>Zona09REDES</v>
      </c>
      <c r="BM1080" s="152" t="s">
        <v>5109</v>
      </c>
      <c r="BN1080" s="152" t="s">
        <v>1560</v>
      </c>
      <c r="BO1080" s="152" t="s">
        <v>5627</v>
      </c>
      <c r="BP1080" s="152" t="s">
        <v>5637</v>
      </c>
      <c r="BQ1080" s="152" t="s">
        <v>5644</v>
      </c>
      <c r="BR1080" s="152" t="s">
        <v>5645</v>
      </c>
      <c r="BS1080" s="152" t="n">
        <v>203276.552</v>
      </c>
      <c r="BT1080" s="152" t="n">
        <v>8236104.003</v>
      </c>
      <c r="BU1080" s="152" t="n">
        <v>203280.914</v>
      </c>
      <c r="BV1080" s="152" t="n">
        <v>8236080.899</v>
      </c>
      <c r="BW1080" s="152" t="n">
        <v>-15.936722</v>
      </c>
      <c r="BX1080" s="152" t="n">
        <v>-47.7715191</v>
      </c>
      <c r="BY1080" s="152" t="s">
        <v>5637</v>
      </c>
    </row>
    <row r="1081" customFormat="false" ht="13.8" hidden="false" customHeight="false" outlineLevel="0" collapsed="false">
      <c r="A1081" s="149" t="n">
        <f aca="false">IF(C1081&lt;&gt;"",ROW(A1076),"")</f>
        <v>1076</v>
      </c>
      <c r="B1081" s="150" t="str">
        <f aca="false">HYPERLINK("https://www.google.com/maps/dir/-15.917302,-47.760003/-15.9364949,-47.7720876/data=!4m3!4m2!3e0!5i2")</f>
        <v>https://www.google.com/maps/dir/-15.917302,-47.760003/-15.9364949,-47.7720876/data=!4m3!4m2!3e0!5i2</v>
      </c>
      <c r="C1081" s="151" t="s">
        <v>117</v>
      </c>
      <c r="D1081" s="152" t="s">
        <v>112</v>
      </c>
      <c r="E1081" s="152" t="s">
        <v>113</v>
      </c>
      <c r="F1081" s="152" t="s">
        <v>117</v>
      </c>
      <c r="G1081" s="152" t="s">
        <v>782</v>
      </c>
      <c r="H1081" s="152" t="n">
        <v>63</v>
      </c>
      <c r="I1081" s="152" t="s">
        <v>115</v>
      </c>
      <c r="J1081" s="152" t="s">
        <v>6</v>
      </c>
      <c r="K1081" s="152" t="s">
        <v>5106</v>
      </c>
      <c r="L1081" s="152" t="s">
        <v>120</v>
      </c>
      <c r="M1081" s="153" t="n">
        <f aca="false">51.46+4.02</f>
        <v>55.48</v>
      </c>
      <c r="N1081" s="152" t="s">
        <v>1548</v>
      </c>
      <c r="O1081" s="152" t="s">
        <v>1549</v>
      </c>
      <c r="P1081" s="152" t="s">
        <v>1550</v>
      </c>
      <c r="Q1081" s="152" t="s">
        <v>1551</v>
      </c>
      <c r="R1081" s="154" t="s">
        <v>5646</v>
      </c>
      <c r="S1081" s="154" t="s">
        <v>1553</v>
      </c>
      <c r="T1081" s="155" t="s">
        <v>5625</v>
      </c>
      <c r="U1081" s="152" t="str">
        <f aca="false">RIGHT(T1081,7)</f>
        <v>023/037</v>
      </c>
      <c r="V1081" s="152" t="s">
        <v>1555</v>
      </c>
      <c r="W1081" s="156" t="n">
        <v>45882</v>
      </c>
      <c r="X1081" s="152" t="s">
        <v>1594</v>
      </c>
      <c r="Y1081" s="152"/>
      <c r="Z1081" s="152" t="s">
        <v>1557</v>
      </c>
      <c r="AA1081" s="153" t="n">
        <v>6.1</v>
      </c>
      <c r="AB1081" s="151" t="s">
        <v>5647</v>
      </c>
      <c r="AC1081" s="151" t="s">
        <v>186</v>
      </c>
      <c r="AD1081" s="151" t="str">
        <f aca="false">CONCATENATE($C1081,$I1081,$H1081,$N1081,$J1081,$K1081)</f>
        <v>TUBO PEADPEAD63VCAREDESZona09</v>
      </c>
      <c r="AE1081" s="153" t="n">
        <f aca="false">IFERROR(INDEX(APOIO_REDES!$A:$W,MATCH($C1081&amp;$I1081&amp;$H1081&amp;$N1081&amp;$O1081,APOIO_REDES!$W:$W,0),MATCH(AE$5,APOIO_REDES!$5:$5,0)),0)</f>
        <v>1.2</v>
      </c>
      <c r="AF1081" s="153" t="n">
        <f aca="false">IFERROR(INDEX(APOIO_REDES!$A:$W,MATCH($C1081&amp;$I1081&amp;$H1081&amp;$N1081&amp;$O1081,APOIO_REDES!$W:$W,0),MATCH(AF$5,APOIO_REDES!$5:$5,0)),0)</f>
        <v>1.363</v>
      </c>
      <c r="AG1081" s="153" t="n">
        <f aca="false">IFERROR(INDEX(APOIO_REDES!$A:$W,MATCH($C1081&amp;$I1081&amp;$H1081&amp;$N1081&amp;$O1081,APOIO_REDES!$W:$W,0),MATCH(AG$5,APOIO_REDES!$5:$5,0)),0)</f>
        <v>0.65</v>
      </c>
      <c r="AH1081" s="153" t="n">
        <f aca="false">IFERROR(INDEX(APOIO_REDES!$A:$W,MATCH($C1081&amp;$I1081&amp;$H1081&amp;$N1081&amp;$O1081,APOIO_REDES!$W:$W,0),MATCH(AH$5,APOIO_REDES!$5:$5,0)),0)</f>
        <v>0.1</v>
      </c>
      <c r="AI1081" s="153" t="n">
        <f aca="false">IFERROR(IF($H1081&lt;&gt;"",(((($H1081/1000)/2)^2)*PI()*$M1081),0),0)</f>
        <v>0.172944769827898</v>
      </c>
      <c r="AJ1081" s="153" t="n">
        <f aca="false">IFERROR(IF(AND($H1081&lt;&gt;"",$I1081="FoFo",OR($N1081="MND",$N1081="VCA"),$Q1081="LINEAR"),0,IF(AND($H1081&lt;&gt;"",$I1081="PEAD",$N1081="VCA",$Q1081="LINEAR"),($H1081/1000)+0.3,IF(AND($H1081&lt;&gt;"",$I1081="PEAD",$N1081="MND",$Q1081="EMBOQUE"),0,IF(AND($H1081&lt;&gt;"",$I1081="PVC",$N1081="VCA",$Q1081="LINEAR"),($H1081/1000)+0.2,IF(AND($H1081&lt;&gt;"",$I1081="PVC",$N1081="MND",$Q1081="EMBOQUE"),0,IF(AND($H1081&lt;&gt;"",$I1081="PEAD",$N1081="VCA",$Q1081="PREDIAL"),0,0)))))),0)</f>
        <v>0.363</v>
      </c>
      <c r="AK1081" s="153" t="n">
        <f aca="false">IF(AA1081&lt;&gt;"",AA1081,0)</f>
        <v>6.1</v>
      </c>
      <c r="AL1081" s="153" t="n">
        <f aca="false">IF(AND($N1081="MND",$Q1081="EMBOQUE"),$M1081,IF(AND($N1081="VCA",$Q1081="LINEAR"),$M1081,IF(AND($N1081="VCA",$Q1081="PREDIAL"),0,0)))</f>
        <v>55.48</v>
      </c>
      <c r="AM1081" s="153" t="n">
        <f aca="false">IF(AND($N1081="MND",$Q1081="EMBOQUE"),$M1081,IF(AND($N1081="VCA",$Q1081="LINEAR"),$M1081,IF(AND($N1081="VCA",$Q1081="PREDIAL"),0,0)))</f>
        <v>55.48</v>
      </c>
      <c r="AN1081" s="153" t="n">
        <f aca="false">ROUND(IF(AND($N1081="VCA",$M1081&lt;&gt;"",$Q1081="LINEAR"),$M1081/100,IF(AND($N1081="MND",$M1081&gt;100,$Q1081="EMBOQUE"),$M1081/100,0)),0)</f>
        <v>1</v>
      </c>
      <c r="AO1081" s="153" t="n">
        <f aca="false">IF(AND($N1081="MND",$Q1081="EMBOQUE"),$AN1081*2*2,IF(AND($N1081="VCA",$Q1081="LINEAR"),$M1081*2,IF(AND($N1081="VCA",$Q1081="PREDIAL"),0,0)))</f>
        <v>110.96</v>
      </c>
      <c r="AP1081" s="153" t="n">
        <f aca="false">IFERROR($M1081*$AF1081*$AG1081,0)</f>
        <v>49.152506</v>
      </c>
      <c r="AQ1081" s="153" t="n">
        <f aca="false">IFERROR(IF(AND($N1081="VCA",$AH1081&gt;0),$M1081*$AG1081*$AH1081,0),0)</f>
        <v>3.6062</v>
      </c>
      <c r="AR1081" s="153" t="n">
        <f aca="false">IFERROR(IF(AND($N1081="VCA",$AJ1081&gt;0),($M1081*$AG1081*$AJ1081)-$AI1081,0),0)</f>
        <v>12.9175612301721</v>
      </c>
      <c r="AS1081" s="153" t="n">
        <f aca="false">IFERROR(IF(AND($N1081="VCA",$AP1081&gt;0),$AP1081-$AI1081-$AQ1081-$AR1081,0),0)</f>
        <v>32.4558</v>
      </c>
      <c r="AT1081" s="153" t="n">
        <f aca="false">IFERROR(IF($N1081="VCA",INDEX(APOIO_REDES!$A:$W,MATCH($C1081&amp;$I1081&amp;$H1081&amp;$N1081&amp;$O1081,APOIO_REDES!$W:$W,0),MATCH(AT$5,APOIO_REDES!$5:$5,0)),0)*$AP1081,0)</f>
        <v>0.534793813679155</v>
      </c>
      <c r="AU1081" s="153" t="n">
        <f aca="false">IFERROR(IF($N1081="VCA",INDEX(APOIO_REDES!$A:$W,MATCH($C1081&amp;$I1081&amp;$H1081&amp;$N1081&amp;$O1081,APOIO_REDES!$W:$W,0),MATCH(AU$5,APOIO_REDES!$5:$5,0)),0)*$AP1081,0)</f>
        <v>0.427071855550824</v>
      </c>
      <c r="AV1081" s="153" t="n">
        <f aca="false">IFERROR(IF($N1081="VCA",INDEX(APOIO_REDES!$A:$W,MATCH($C1081&amp;$I1081&amp;$H1081&amp;$N1081&amp;$O1081,APOIO_REDES!$W:$W,0),MATCH(AV$5,APOIO_REDES!$5:$5,0)),0)*$AP1081,0)</f>
        <v>0.0591033921627171</v>
      </c>
      <c r="AW1081" s="153" t="n">
        <f aca="false">IFERROR(IF($N1081="VCA",INDEX(APOIO_REDES!$A:$W,MATCH($C1081&amp;$I1081&amp;$H1081&amp;$N1081&amp;$O1081,APOIO_REDES!$W:$W,0),MATCH(AW$5,APOIO_REDES!$5:$5,0)),0)*$AP1081,0)</f>
        <v>33.7386609706012</v>
      </c>
      <c r="AX1081" s="153" t="n">
        <f aca="false">IFERROR(IF($N1081="VCA",INDEX(APOIO_REDES!$A:$W,MATCH($C1081&amp;$I1081&amp;$H1081&amp;$N1081&amp;$O1081,APOIO_REDES!$W:$W,0),MATCH(AX$5,APOIO_REDES!$5:$5,0)),0)*$AP1081,0)</f>
        <v>4.66933457193624</v>
      </c>
      <c r="AY1081" s="153" t="n">
        <f aca="false">IFERROR(IF($N1081="VCA",INDEX(APOIO_REDES!$A:$W,MATCH($C1081&amp;$I1081&amp;$H1081&amp;$N1081&amp;$O1081,APOIO_REDES!$W:$W,0),MATCH(AY$5,APOIO_REDES!$5:$5,0)),0)*$AP1081,0)</f>
        <v>8.54143190504517</v>
      </c>
      <c r="AZ1081" s="153" t="n">
        <f aca="false">IFERROR(IF($N1081="VCA",INDEX(APOIO_REDES!$A:$W,MATCH($C1081&amp;$I1081&amp;$H1081&amp;$N1081&amp;$O1081,APOIO_REDES!$W:$W,0),MATCH(AZ$5,APOIO_REDES!$5:$5,0)),0)*$AP1081,0)</f>
        <v>1.18210949102474</v>
      </c>
      <c r="BA1081" s="153" t="n">
        <f aca="false">IFERROR(IF(AND($N1081="VCA",$Q1081="LINEAR"),INDEX(APOIO_REDES!$A:$W,MATCH($C1081&amp;$I1081&amp;$H1081&amp;$N1081&amp;$O1081,APOIO_REDES!$W:$W,0),MATCH(BA$5,APOIO_REDES!$5:$5,0)),IF(AND($N1081="MND",$Q1081="EMBOQUE"),INDEX(APOIO_REDES!$A:$W,MATCH($C1081&amp;$I1081&amp;$H1081&amp;$N1081&amp;$O1081,APOIO_REDES!$W:$W,0),MATCH(BA$5,APOIO_REDES!$5:$5,0)),0))*$M1081/10,0)</f>
        <v>4.47154805612621</v>
      </c>
      <c r="BB1081" s="153" t="n">
        <f aca="false">IFERROR(IF($N1081="VCA",INDEX(APOIO_REDES!$A:$W,MATCH($C1081&amp;$I1081&amp;$H1081&amp;$N1081&amp;$O1081,APOIO_REDES!$W:$W,0),MATCH(BB$5,APOIO_REDES!$5:$5,0)),0)*($AI1081+$AQ1081+$AR1081),0)</f>
        <v>16.5150408967473</v>
      </c>
      <c r="BC1081" s="153" t="n">
        <f aca="false">IFERROR(IF($N1081="VCA",INDEX(APOIO_REDES!$A:$W,MATCH($C1081&amp;$I1081&amp;$H1081&amp;$N1081&amp;$O1081,APOIO_REDES!$W:$W,0),MATCH(BC$5,APOIO_REDES!$5:$5,0)),0)*($AI1081+$AQ1081+$AR1081),0)</f>
        <v>0.181665103252714</v>
      </c>
      <c r="BD1081" s="153" t="n">
        <f aca="false">IF(AND($N1081="VCA",$AF1081&gt;=1.25,$AF1081&lt;1.5),$M1081*$AF1081*2,0)</f>
        <v>151.23848</v>
      </c>
      <c r="BE1081" s="153" t="n">
        <f aca="false">IF(AND($N1081="VCA",$AF1081&gt;=1.5,$AF1081&lt;3),$M1081*$AF1081*2,0)</f>
        <v>0</v>
      </c>
      <c r="BF1081" s="153" t="n">
        <f aca="false">IF(AND($N1081="VCA",$AF1081&gt;=3),$M1081*$AF1081*2,0)</f>
        <v>0</v>
      </c>
      <c r="BG1081" s="153" t="n">
        <f aca="false">($BB1081+$BC1081)*$AK1081</f>
        <v>101.8499066</v>
      </c>
      <c r="BH1081" s="153" t="n">
        <f aca="false">IF(AND($M1081&lt;&gt;"",$N1081="VCA",$Q1081="LINEAR"),($M1081*2)/100,IF(AND($M1081&lt;&gt;"",$N1081="MND",$Q1081="EMBOQUE"),($AN1081*2)/100,0))</f>
        <v>1.1096</v>
      </c>
      <c r="BI1081" s="153" t="n">
        <f aca="false">IF(AND($M1081&lt;&gt;"",$N1081="VCA",$Q1081="LINEAR"),$M1081,IF(AND($M1081&lt;&gt;"",$N1081="MND",$Q1081="EMBOQUE"),$AN1081*2,0))</f>
        <v>55.48</v>
      </c>
      <c r="BJ1081" s="153" t="n">
        <f aca="false">IF(AND($M1081&lt;&gt;"",$N1081="VCA",$Q1081="LINEAR"),($M1081*6.8)/100,IF(AND($M1081&lt;&gt;"",$N1081="MND",$Q1081="EMBOQUE"),($AN1081*2*6.8)/100,0))</f>
        <v>3.77264</v>
      </c>
      <c r="BK1081" s="153" t="n">
        <f aca="false">IF(AND($M1081&lt;&gt;"",$N1081="VCA",$Q1081="LINEAR"),($M1081*2.5)/50,IF(AND($M1081&lt;&gt;"",$N1081="MND",$Q1081="EMBOQUE"),($AN1081*2*2.5)/50,0))</f>
        <v>2.774</v>
      </c>
      <c r="BL1081" s="157" t="str">
        <f aca="false">K1081&amp;J1081</f>
        <v>Zona09REDES</v>
      </c>
      <c r="BM1081" s="152" t="s">
        <v>5109</v>
      </c>
      <c r="BN1081" s="152" t="s">
        <v>1560</v>
      </c>
      <c r="BO1081" s="152" t="s">
        <v>5627</v>
      </c>
      <c r="BP1081" s="152" t="s">
        <v>5648</v>
      </c>
      <c r="BQ1081" s="152" t="s">
        <v>5593</v>
      </c>
      <c r="BR1081" s="152" t="s">
        <v>5649</v>
      </c>
      <c r="BS1081" s="152" t="n">
        <v>203217.486</v>
      </c>
      <c r="BT1081" s="152" t="n">
        <v>8236116.795</v>
      </c>
      <c r="BU1081" s="152" t="n">
        <v>203230.595</v>
      </c>
      <c r="BV1081" s="152" t="n">
        <v>8236067.035</v>
      </c>
      <c r="BW1081" s="152" t="n">
        <v>-15.9367203</v>
      </c>
      <c r="BX1081" s="152" t="n">
        <v>-47.7720295</v>
      </c>
      <c r="BY1081" s="152" t="s">
        <v>5648</v>
      </c>
    </row>
    <row r="1082" customFormat="false" ht="13.8" hidden="false" customHeight="false" outlineLevel="0" collapsed="false">
      <c r="A1082" s="149" t="n">
        <f aca="false">IF(C1082&lt;&gt;"",ROW(A1077),"")</f>
        <v>1077</v>
      </c>
      <c r="B1082" s="150" t="str">
        <f aca="false">HYPERLINK("https://www.google.com/maps/dir/-15.917302,-47.760003/-15.9369736,-47.7714735/data=!4m3!4m2!3e0!5i1")</f>
        <v>https://www.google.com/maps/dir/-15.917302,-47.760003/-15.9369736,-47.7714735/data=!4m3!4m2!3e0!5i1</v>
      </c>
      <c r="C1082" s="151" t="s">
        <v>117</v>
      </c>
      <c r="D1082" s="152" t="s">
        <v>112</v>
      </c>
      <c r="E1082" s="152" t="s">
        <v>113</v>
      </c>
      <c r="F1082" s="152" t="s">
        <v>117</v>
      </c>
      <c r="G1082" s="152" t="s">
        <v>782</v>
      </c>
      <c r="H1082" s="152" t="n">
        <v>63</v>
      </c>
      <c r="I1082" s="152" t="s">
        <v>115</v>
      </c>
      <c r="J1082" s="152" t="s">
        <v>6</v>
      </c>
      <c r="K1082" s="152" t="s">
        <v>5106</v>
      </c>
      <c r="L1082" s="152" t="s">
        <v>120</v>
      </c>
      <c r="M1082" s="153" t="n">
        <f aca="false">228.18</f>
        <v>228.18</v>
      </c>
      <c r="N1082" s="152" t="s">
        <v>1548</v>
      </c>
      <c r="O1082" s="152" t="s">
        <v>1549</v>
      </c>
      <c r="P1082" s="152" t="s">
        <v>1550</v>
      </c>
      <c r="Q1082" s="152" t="s">
        <v>1551</v>
      </c>
      <c r="R1082" s="154" t="s">
        <v>5650</v>
      </c>
      <c r="S1082" s="154" t="s">
        <v>1553</v>
      </c>
      <c r="T1082" s="155" t="s">
        <v>5625</v>
      </c>
      <c r="U1082" s="152" t="str">
        <f aca="false">RIGHT(T1082,7)</f>
        <v>023/037</v>
      </c>
      <c r="V1082" s="152" t="s">
        <v>1555</v>
      </c>
      <c r="W1082" s="156" t="n">
        <v>45882</v>
      </c>
      <c r="X1082" s="152" t="s">
        <v>1594</v>
      </c>
      <c r="Y1082" s="152" t="s">
        <v>5580</v>
      </c>
      <c r="Z1082" s="152" t="s">
        <v>1557</v>
      </c>
      <c r="AA1082" s="153" t="n">
        <v>6</v>
      </c>
      <c r="AB1082" s="151" t="s">
        <v>5651</v>
      </c>
      <c r="AC1082" s="151" t="s">
        <v>186</v>
      </c>
      <c r="AD1082" s="151" t="str">
        <f aca="false">CONCATENATE($C1082,$I1082,$H1082,$N1082,$J1082,$K1082)</f>
        <v>TUBO PEADPEAD63VCAREDESZona09</v>
      </c>
      <c r="AE1082" s="153" t="n">
        <f aca="false">IFERROR(INDEX(APOIO_REDES!$A:$W,MATCH($C1082&amp;$I1082&amp;$H1082&amp;$N1082&amp;$O1082,APOIO_REDES!$W:$W,0),MATCH(AE$5,APOIO_REDES!$5:$5,0)),0)</f>
        <v>1.2</v>
      </c>
      <c r="AF1082" s="153" t="n">
        <f aca="false">IFERROR(INDEX(APOIO_REDES!$A:$W,MATCH($C1082&amp;$I1082&amp;$H1082&amp;$N1082&amp;$O1082,APOIO_REDES!$W:$W,0),MATCH(AF$5,APOIO_REDES!$5:$5,0)),0)</f>
        <v>1.363</v>
      </c>
      <c r="AG1082" s="153" t="n">
        <f aca="false">IFERROR(INDEX(APOIO_REDES!$A:$W,MATCH($C1082&amp;$I1082&amp;$H1082&amp;$N1082&amp;$O1082,APOIO_REDES!$W:$W,0),MATCH(AG$5,APOIO_REDES!$5:$5,0)),0)</f>
        <v>0.65</v>
      </c>
      <c r="AH1082" s="153" t="n">
        <f aca="false">IFERROR(INDEX(APOIO_REDES!$A:$W,MATCH($C1082&amp;$I1082&amp;$H1082&amp;$N1082&amp;$O1082,APOIO_REDES!$W:$W,0),MATCH(AH$5,APOIO_REDES!$5:$5,0)),0)</f>
        <v>0.1</v>
      </c>
      <c r="AI1082" s="153" t="n">
        <f aca="false">IFERROR(IF($H1082&lt;&gt;"",(((($H1082/1000)/2)^2)*PI()*$M1082),0),0)</f>
        <v>0.711293034955474</v>
      </c>
      <c r="AJ1082" s="153" t="n">
        <f aca="false">IFERROR(IF(AND($H1082&lt;&gt;"",$I1082="FoFo",OR($N1082="MND",$N1082="VCA"),$Q1082="LINEAR"),0,IF(AND($H1082&lt;&gt;"",$I1082="PEAD",$N1082="VCA",$Q1082="LINEAR"),($H1082/1000)+0.3,IF(AND($H1082&lt;&gt;"",$I1082="PEAD",$N1082="MND",$Q1082="EMBOQUE"),0,IF(AND($H1082&lt;&gt;"",$I1082="PVC",$N1082="VCA",$Q1082="LINEAR"),($H1082/1000)+0.2,IF(AND($H1082&lt;&gt;"",$I1082="PVC",$N1082="MND",$Q1082="EMBOQUE"),0,IF(AND($H1082&lt;&gt;"",$I1082="PEAD",$N1082="VCA",$Q1082="PREDIAL"),0,0)))))),0)</f>
        <v>0.363</v>
      </c>
      <c r="AK1082" s="153" t="n">
        <f aca="false">IF(AA1082&lt;&gt;"",AA1082,0)</f>
        <v>6</v>
      </c>
      <c r="AL1082" s="153" t="n">
        <f aca="false">IF(AND($N1082="MND",$Q1082="EMBOQUE"),$M1082,IF(AND($N1082="VCA",$Q1082="LINEAR"),$M1082,IF(AND($N1082="VCA",$Q1082="PREDIAL"),0,0)))</f>
        <v>228.18</v>
      </c>
      <c r="AM1082" s="153" t="n">
        <f aca="false">IF(AND($N1082="MND",$Q1082="EMBOQUE"),$M1082,IF(AND($N1082="VCA",$Q1082="LINEAR"),$M1082,IF(AND($N1082="VCA",$Q1082="PREDIAL"),0,0)))</f>
        <v>228.18</v>
      </c>
      <c r="AN1082" s="153" t="n">
        <f aca="false">ROUND(IF(AND($N1082="VCA",$M1082&lt;&gt;"",$Q1082="LINEAR"),$M1082/100,IF(AND($N1082="MND",$M1082&gt;100,$Q1082="EMBOQUE"),$M1082/100,0)),0)</f>
        <v>2</v>
      </c>
      <c r="AO1082" s="153" t="n">
        <f aca="false">IF(AND($N1082="MND",$Q1082="EMBOQUE"),$AN1082*2*2,IF(AND($N1082="VCA",$Q1082="LINEAR"),$M1082*2,IF(AND($N1082="VCA",$Q1082="PREDIAL"),0,0)))</f>
        <v>456.36</v>
      </c>
      <c r="AP1082" s="153" t="n">
        <f aca="false">IFERROR($M1082*$AF1082*$AG1082,0)</f>
        <v>202.156071</v>
      </c>
      <c r="AQ1082" s="153" t="n">
        <f aca="false">IFERROR(IF(AND($N1082="VCA",$AH1082&gt;0),$M1082*$AG1082*$AH1082,0),0)</f>
        <v>14.8317</v>
      </c>
      <c r="AR1082" s="153" t="n">
        <f aca="false">IFERROR(IF(AND($N1082="VCA",$AJ1082&gt;0),($M1082*$AG1082*$AJ1082)-$AI1082,0),0)</f>
        <v>53.1277779650445</v>
      </c>
      <c r="AS1082" s="153" t="n">
        <f aca="false">IFERROR(IF(AND($N1082="VCA",$AP1082&gt;0),$AP1082-$AI1082-$AQ1082-$AR1082,0),0)</f>
        <v>133.4853</v>
      </c>
      <c r="AT1082" s="153" t="n">
        <f aca="false">IFERROR(IF($N1082="VCA",INDEX(APOIO_REDES!$A:$W,MATCH($C1082&amp;$I1082&amp;$H1082&amp;$N1082&amp;$O1082,APOIO_REDES!$W:$W,0),MATCH(AT$5,APOIO_REDES!$5:$5,0)),0)*$AP1082,0)</f>
        <v>2.19951788762274</v>
      </c>
      <c r="AU1082" s="153" t="n">
        <f aca="false">IFERROR(IF($N1082="VCA",INDEX(APOIO_REDES!$A:$W,MATCH($C1082&amp;$I1082&amp;$H1082&amp;$N1082&amp;$O1082,APOIO_REDES!$W:$W,0),MATCH(AU$5,APOIO_REDES!$5:$5,0)),0)*$AP1082,0)</f>
        <v>1.75647541455636</v>
      </c>
      <c r="AV1082" s="153" t="n">
        <f aca="false">IFERROR(IF($N1082="VCA",INDEX(APOIO_REDES!$A:$W,MATCH($C1082&amp;$I1082&amp;$H1082&amp;$N1082&amp;$O1082,APOIO_REDES!$W:$W,0),MATCH(AV$5,APOIO_REDES!$5:$5,0)),0)*$AP1082,0)</f>
        <v>0.243082408501961</v>
      </c>
      <c r="AW1082" s="153" t="n">
        <f aca="false">IFERROR(IF($N1082="VCA",INDEX(APOIO_REDES!$A:$W,MATCH($C1082&amp;$I1082&amp;$H1082&amp;$N1082&amp;$O1082,APOIO_REDES!$W:$W,0),MATCH(AW$5,APOIO_REDES!$5:$5,0)),0)*$AP1082,0)</f>
        <v>138.761493516074</v>
      </c>
      <c r="AX1082" s="153" t="n">
        <f aca="false">IFERROR(IF($N1082="VCA",INDEX(APOIO_REDES!$A:$W,MATCH($C1082&amp;$I1082&amp;$H1082&amp;$N1082&amp;$O1082,APOIO_REDES!$W:$W,0),MATCH(AX$5,APOIO_REDES!$5:$5,0)),0)*$AP1082,0)</f>
        <v>19.2041954330283</v>
      </c>
      <c r="AY1082" s="153" t="n">
        <f aca="false">IFERROR(IF($N1082="VCA",INDEX(APOIO_REDES!$A:$W,MATCH($C1082&amp;$I1082&amp;$H1082&amp;$N1082&amp;$O1082,APOIO_REDES!$W:$W,0),MATCH(AY$5,APOIO_REDES!$5:$5,0)),0)*$AP1082,0)</f>
        <v>35.1294868798343</v>
      </c>
      <c r="AZ1082" s="153" t="n">
        <f aca="false">IFERROR(IF($N1082="VCA",INDEX(APOIO_REDES!$A:$W,MATCH($C1082&amp;$I1082&amp;$H1082&amp;$N1082&amp;$O1082,APOIO_REDES!$W:$W,0),MATCH(AZ$5,APOIO_REDES!$5:$5,0)),0)*$AP1082,0)</f>
        <v>4.86181946038257</v>
      </c>
      <c r="BA1082" s="153" t="n">
        <f aca="false">IFERROR(IF(AND($N1082="VCA",$Q1082="LINEAR"),INDEX(APOIO_REDES!$A:$W,MATCH($C1082&amp;$I1082&amp;$H1082&amp;$N1082&amp;$O1082,APOIO_REDES!$W:$W,0),MATCH(BA$5,APOIO_REDES!$5:$5,0)),IF(AND($N1082="MND",$Q1082="EMBOQUE"),INDEX(APOIO_REDES!$A:$W,MATCH($C1082&amp;$I1082&amp;$H1082&amp;$N1082&amp;$O1082,APOIO_REDES!$W:$W,0),MATCH(BA$5,APOIO_REDES!$5:$5,0)),0))*$M1082/10,0)</f>
        <v>18.3907324341543</v>
      </c>
      <c r="BB1082" s="153" t="n">
        <f aca="false">IFERROR(IF($N1082="VCA",INDEX(APOIO_REDES!$A:$W,MATCH($C1082&amp;$I1082&amp;$H1082&amp;$N1082&amp;$O1082,APOIO_REDES!$W:$W,0),MATCH(BB$5,APOIO_REDES!$5:$5,0)),0)*($AI1082+$AQ1082+$AR1082),0)</f>
        <v>67.9236126860093</v>
      </c>
      <c r="BC1082" s="153" t="n">
        <f aca="false">IFERROR(IF($N1082="VCA",INDEX(APOIO_REDES!$A:$W,MATCH($C1082&amp;$I1082&amp;$H1082&amp;$N1082&amp;$O1082,APOIO_REDES!$W:$W,0),MATCH(BC$5,APOIO_REDES!$5:$5,0)),0)*($AI1082+$AQ1082+$AR1082),0)</f>
        <v>0.747158313990703</v>
      </c>
      <c r="BD1082" s="153" t="n">
        <f aca="false">IF(AND($N1082="VCA",$AF1082&gt;=1.25,$AF1082&lt;1.5),$M1082*$AF1082*2,0)</f>
        <v>622.01868</v>
      </c>
      <c r="BE1082" s="153" t="n">
        <f aca="false">IF(AND($N1082="VCA",$AF1082&gt;=1.5,$AF1082&lt;3),$M1082*$AF1082*2,0)</f>
        <v>0</v>
      </c>
      <c r="BF1082" s="153" t="n">
        <f aca="false">IF(AND($N1082="VCA",$AF1082&gt;=3),$M1082*$AF1082*2,0)</f>
        <v>0</v>
      </c>
      <c r="BG1082" s="153" t="n">
        <f aca="false">($BB1082+$BC1082)*$AK1082</f>
        <v>412.024626</v>
      </c>
      <c r="BH1082" s="153" t="n">
        <f aca="false">IF(AND($M1082&lt;&gt;"",$N1082="VCA",$Q1082="LINEAR"),($M1082*2)/100,IF(AND($M1082&lt;&gt;"",$N1082="MND",$Q1082="EMBOQUE"),($AN1082*2)/100,0))</f>
        <v>4.5636</v>
      </c>
      <c r="BI1082" s="153" t="n">
        <f aca="false">IF(AND($M1082&lt;&gt;"",$N1082="VCA",$Q1082="LINEAR"),$M1082,IF(AND($M1082&lt;&gt;"",$N1082="MND",$Q1082="EMBOQUE"),$AN1082*2,0))</f>
        <v>228.18</v>
      </c>
      <c r="BJ1082" s="153" t="n">
        <f aca="false">IF(AND($M1082&lt;&gt;"",$N1082="VCA",$Q1082="LINEAR"),($M1082*6.8)/100,IF(AND($M1082&lt;&gt;"",$N1082="MND",$Q1082="EMBOQUE"),($AN1082*2*6.8)/100,0))</f>
        <v>15.51624</v>
      </c>
      <c r="BK1082" s="153" t="n">
        <f aca="false">IF(AND($M1082&lt;&gt;"",$N1082="VCA",$Q1082="LINEAR"),($M1082*2.5)/50,IF(AND($M1082&lt;&gt;"",$N1082="MND",$Q1082="EMBOQUE"),($AN1082*2*2.5)/50,0))</f>
        <v>11.409</v>
      </c>
      <c r="BL1082" s="157" t="str">
        <f aca="false">K1082&amp;J1082</f>
        <v>Zona09REDES</v>
      </c>
      <c r="BM1082" s="152" t="s">
        <v>5109</v>
      </c>
      <c r="BN1082" s="152" t="s">
        <v>1560</v>
      </c>
      <c r="BO1082" s="152" t="s">
        <v>5627</v>
      </c>
      <c r="BP1082" s="152" t="s">
        <v>5652</v>
      </c>
      <c r="BQ1082" s="152" t="s">
        <v>5634</v>
      </c>
      <c r="BR1082" s="152" t="s">
        <v>5653</v>
      </c>
      <c r="BS1082" s="152" t="n">
        <v>203283.98</v>
      </c>
      <c r="BT1082" s="152" t="n">
        <v>8236064.657</v>
      </c>
      <c r="BU1082" s="152" t="n">
        <v>203506.472</v>
      </c>
      <c r="BV1082" s="152" t="n">
        <v>8236115.099</v>
      </c>
      <c r="BW1082" s="152" t="n">
        <v>-15.9367513</v>
      </c>
      <c r="BX1082" s="152" t="n">
        <v>-47.770434</v>
      </c>
      <c r="BY1082" s="152" t="s">
        <v>5652</v>
      </c>
    </row>
    <row r="1083" customFormat="false" ht="13.8" hidden="false" customHeight="false" outlineLevel="0" collapsed="false">
      <c r="A1083" s="149" t="n">
        <f aca="false">IF(C1083&lt;&gt;"",ROW(A1078),"")</f>
        <v>1078</v>
      </c>
      <c r="B1083" s="150" t="str">
        <f aca="false">HYPERLINK("https://www.google.com/maps/dir/-15.917302,-47.760003/-15.9368266,-47.7715001/data=!4m3!4m2!3e0!5i1")</f>
        <v>https://www.google.com/maps/dir/-15.917302,-47.760003/-15.9368266,-47.7715001/data=!4m3!4m2!3e0!5i1</v>
      </c>
      <c r="C1083" s="151" t="s">
        <v>117</v>
      </c>
      <c r="D1083" s="152" t="s">
        <v>112</v>
      </c>
      <c r="E1083" s="152" t="s">
        <v>113</v>
      </c>
      <c r="F1083" s="152" t="s">
        <v>117</v>
      </c>
      <c r="G1083" s="152" t="s">
        <v>782</v>
      </c>
      <c r="H1083" s="152" t="n">
        <v>110</v>
      </c>
      <c r="I1083" s="152" t="s">
        <v>115</v>
      </c>
      <c r="J1083" s="152" t="s">
        <v>6</v>
      </c>
      <c r="K1083" s="152" t="s">
        <v>5106</v>
      </c>
      <c r="L1083" s="152" t="s">
        <v>120</v>
      </c>
      <c r="M1083" s="153" t="n">
        <f aca="false">16.53</f>
        <v>16.53</v>
      </c>
      <c r="N1083" s="152" t="s">
        <v>1548</v>
      </c>
      <c r="O1083" s="152" t="s">
        <v>1549</v>
      </c>
      <c r="P1083" s="152" t="s">
        <v>1550</v>
      </c>
      <c r="Q1083" s="152" t="s">
        <v>1551</v>
      </c>
      <c r="R1083" s="154" t="s">
        <v>5654</v>
      </c>
      <c r="S1083" s="154" t="s">
        <v>1593</v>
      </c>
      <c r="T1083" s="155" t="s">
        <v>5625</v>
      </c>
      <c r="U1083" s="152" t="str">
        <f aca="false">RIGHT(T1083,7)</f>
        <v>023/037</v>
      </c>
      <c r="V1083" s="152" t="s">
        <v>1555</v>
      </c>
      <c r="W1083" s="156" t="n">
        <v>45882</v>
      </c>
      <c r="X1083" s="152" t="s">
        <v>1594</v>
      </c>
      <c r="Y1083" s="152"/>
      <c r="Z1083" s="152" t="s">
        <v>1557</v>
      </c>
      <c r="AA1083" s="153" t="n">
        <v>6</v>
      </c>
      <c r="AB1083" s="151" t="s">
        <v>5655</v>
      </c>
      <c r="AC1083" s="151" t="s">
        <v>502</v>
      </c>
      <c r="AD1083" s="151" t="str">
        <f aca="false">CONCATENATE($C1083,$I1083,$H1083,$N1083,$J1083,$K1083)</f>
        <v>TUBO PEADPEAD110VCAREDESZona09</v>
      </c>
      <c r="AE1083" s="153" t="n">
        <f aca="false">IFERROR(INDEX(APOIO_REDES!$A:$W,MATCH($C1083&amp;$I1083&amp;$H1083&amp;$N1083&amp;$O1083,APOIO_REDES!$W:$W,0),MATCH(AE$5,APOIO_REDES!$5:$5,0)),0)</f>
        <v>1.2</v>
      </c>
      <c r="AF1083" s="153" t="n">
        <f aca="false">IFERROR(INDEX(APOIO_REDES!$A:$W,MATCH($C1083&amp;$I1083&amp;$H1083&amp;$N1083&amp;$O1083,APOIO_REDES!$W:$W,0),MATCH(AF$5,APOIO_REDES!$5:$5,0)),0)</f>
        <v>1.41</v>
      </c>
      <c r="AG1083" s="153" t="n">
        <f aca="false">IFERROR(INDEX(APOIO_REDES!$A:$W,MATCH($C1083&amp;$I1083&amp;$H1083&amp;$N1083&amp;$O1083,APOIO_REDES!$W:$W,0),MATCH(AG$5,APOIO_REDES!$5:$5,0)),0)</f>
        <v>0.75</v>
      </c>
      <c r="AH1083" s="153" t="n">
        <f aca="false">IFERROR(INDEX(APOIO_REDES!$A:$W,MATCH($C1083&amp;$I1083&amp;$H1083&amp;$N1083&amp;$O1083,APOIO_REDES!$W:$W,0),MATCH(AH$5,APOIO_REDES!$5:$5,0)),0)</f>
        <v>0.1</v>
      </c>
      <c r="AI1083" s="153" t="n">
        <f aca="false">IFERROR(IF($H1083&lt;&gt;"",(((($H1083/1000)/2)^2)*PI()*$M1083),0),0)</f>
        <v>0.157089842855614</v>
      </c>
      <c r="AJ1083" s="153" t="n">
        <f aca="false">IFERROR(IF(AND($H1083&lt;&gt;"",$I1083="FoFo",OR($N1083="MND",$N1083="VCA"),$Q1083="LINEAR"),0,IF(AND($H1083&lt;&gt;"",$I1083="PEAD",$N1083="VCA",$Q1083="LINEAR"),($H1083/1000)+0.3,IF(AND($H1083&lt;&gt;"",$I1083="PEAD",$N1083="MND",$Q1083="EMBOQUE"),0,IF(AND($H1083&lt;&gt;"",$I1083="PVC",$N1083="VCA",$Q1083="LINEAR"),($H1083/1000)+0.2,IF(AND($H1083&lt;&gt;"",$I1083="PVC",$N1083="MND",$Q1083="EMBOQUE"),0,IF(AND($H1083&lt;&gt;"",$I1083="PEAD",$N1083="VCA",$Q1083="PREDIAL"),0,0)))))),0)</f>
        <v>0.41</v>
      </c>
      <c r="AK1083" s="153" t="n">
        <f aca="false">IF(AA1083&lt;&gt;"",AA1083,0)</f>
        <v>6</v>
      </c>
      <c r="AL1083" s="153" t="n">
        <f aca="false">IF(AND($N1083="MND",$Q1083="EMBOQUE"),$M1083,IF(AND($N1083="VCA",$Q1083="LINEAR"),$M1083,IF(AND($N1083="VCA",$Q1083="PREDIAL"),0,0)))</f>
        <v>16.53</v>
      </c>
      <c r="AM1083" s="153" t="n">
        <f aca="false">IF(AND($N1083="MND",$Q1083="EMBOQUE"),$M1083,IF(AND($N1083="VCA",$Q1083="LINEAR"),$M1083,IF(AND($N1083="VCA",$Q1083="PREDIAL"),0,0)))</f>
        <v>16.53</v>
      </c>
      <c r="AN1083" s="153" t="n">
        <f aca="false">ROUND(IF(AND($N1083="VCA",$M1083&lt;&gt;"",$Q1083="LINEAR"),$M1083/100,IF(AND($N1083="MND",$M1083&gt;100,$Q1083="EMBOQUE"),$M1083/100,0)),0)</f>
        <v>0</v>
      </c>
      <c r="AO1083" s="153" t="n">
        <f aca="false">IF(AND($N1083="MND",$Q1083="EMBOQUE"),$AN1083*2*2,IF(AND($N1083="VCA",$Q1083="LINEAR"),$M1083*2,IF(AND($N1083="VCA",$Q1083="PREDIAL"),0,0)))</f>
        <v>33.06</v>
      </c>
      <c r="AP1083" s="153" t="n">
        <f aca="false">IFERROR($M1083*$AF1083*$AG1083,0)</f>
        <v>17.480475</v>
      </c>
      <c r="AQ1083" s="153" t="n">
        <f aca="false">IFERROR(IF(AND($N1083="VCA",$AH1083&gt;0),$M1083*$AG1083*$AH1083,0),0)</f>
        <v>1.23975</v>
      </c>
      <c r="AR1083" s="153" t="n">
        <f aca="false">IFERROR(IF(AND($N1083="VCA",$AJ1083&gt;0),($M1083*$AG1083*$AJ1083)-$AI1083,0),0)</f>
        <v>4.92588515714439</v>
      </c>
      <c r="AS1083" s="153" t="n">
        <f aca="false">IFERROR(IF(AND($N1083="VCA",$AP1083&gt;0),$AP1083-$AI1083-$AQ1083-$AR1083,0),0)</f>
        <v>11.15775</v>
      </c>
      <c r="AT1083" s="153" t="n">
        <f aca="false">IFERROR(IF($N1083="VCA",INDEX(APOIO_REDES!$A:$W,MATCH($C1083&amp;$I1083&amp;$H1083&amp;$N1083&amp;$O1083,APOIO_REDES!$W:$W,0),MATCH(AT$5,APOIO_REDES!$5:$5,0)),0)*$AP1083,0)</f>
        <v>0.190192741956496</v>
      </c>
      <c r="AU1083" s="153" t="n">
        <f aca="false">IFERROR(IF($N1083="VCA",INDEX(APOIO_REDES!$A:$W,MATCH($C1083&amp;$I1083&amp;$H1083&amp;$N1083&amp;$O1083,APOIO_REDES!$W:$W,0),MATCH(AU$5,APOIO_REDES!$5:$5,0)),0)*$AP1083,0)</f>
        <v>0.151882772653744</v>
      </c>
      <c r="AV1083" s="153" t="n">
        <f aca="false">IFERROR(IF($N1083="VCA",INDEX(APOIO_REDES!$A:$W,MATCH($C1083&amp;$I1083&amp;$H1083&amp;$N1083&amp;$O1083,APOIO_REDES!$W:$W,0),MATCH(AV$5,APOIO_REDES!$5:$5,0)),0)*$AP1083,0)</f>
        <v>0.021019383408764</v>
      </c>
      <c r="AW1083" s="153" t="n">
        <f aca="false">IFERROR(IF($N1083="VCA",INDEX(APOIO_REDES!$A:$W,MATCH($C1083&amp;$I1083&amp;$H1083&amp;$N1083&amp;$O1083,APOIO_REDES!$W:$W,0),MATCH(AW$5,APOIO_REDES!$5:$5,0)),0)*$AP1083,0)</f>
        <v>11.9987334853297</v>
      </c>
      <c r="AX1083" s="153" t="n">
        <f aca="false">IFERROR(IF($N1083="VCA",INDEX(APOIO_REDES!$A:$W,MATCH($C1083&amp;$I1083&amp;$H1083&amp;$N1083&amp;$O1083,APOIO_REDES!$W:$W,0),MATCH(AX$5,APOIO_REDES!$5:$5,0)),0)*$AP1083,0)</f>
        <v>1.66059053533033</v>
      </c>
      <c r="AY1083" s="153" t="n">
        <f aca="false">IFERROR(IF($N1083="VCA",INDEX(APOIO_REDES!$A:$W,MATCH($C1083&amp;$I1083&amp;$H1083&amp;$N1083&amp;$O1083,APOIO_REDES!$W:$W,0),MATCH(AY$5,APOIO_REDES!$5:$5,0)),0)*$AP1083,0)</f>
        <v>3.03765360163619</v>
      </c>
      <c r="AZ1083" s="153" t="n">
        <f aca="false">IFERROR(IF($N1083="VCA",INDEX(APOIO_REDES!$A:$W,MATCH($C1083&amp;$I1083&amp;$H1083&amp;$N1083&amp;$O1083,APOIO_REDES!$W:$W,0),MATCH(AZ$5,APOIO_REDES!$5:$5,0)),0)*$AP1083,0)</f>
        <v>0.420402479684773</v>
      </c>
      <c r="BA1083" s="153" t="n">
        <f aca="false">IFERROR(IF(AND($N1083="VCA",$Q1083="LINEAR"),INDEX(APOIO_REDES!$A:$W,MATCH($C1083&amp;$I1083&amp;$H1083&amp;$N1083&amp;$O1083,APOIO_REDES!$W:$W,0),MATCH(BA$5,APOIO_REDES!$5:$5,0)),IF(AND($N1083="MND",$Q1083="EMBOQUE"),INDEX(APOIO_REDES!$A:$W,MATCH($C1083&amp;$I1083&amp;$H1083&amp;$N1083&amp;$O1083,APOIO_REDES!$W:$W,0),MATCH(BA$5,APOIO_REDES!$5:$5,0)),0))*$M1083/10,0)</f>
        <v>1.33227630439377</v>
      </c>
      <c r="BB1083" s="153" t="n">
        <f aca="false">IFERROR(IF($N1083="VCA",INDEX(APOIO_REDES!$A:$W,MATCH($C1083&amp;$I1083&amp;$H1083&amp;$N1083&amp;$O1083,APOIO_REDES!$W:$W,0),MATCH(BB$5,APOIO_REDES!$5:$5,0)),0)*($AI1083+$AQ1083+$AR1083),0)</f>
        <v>6.25393188056893</v>
      </c>
      <c r="BC1083" s="153" t="n">
        <f aca="false">IFERROR(IF($N1083="VCA",INDEX(APOIO_REDES!$A:$W,MATCH($C1083&amp;$I1083&amp;$H1083&amp;$N1083&amp;$O1083,APOIO_REDES!$W:$W,0),MATCH(BC$5,APOIO_REDES!$5:$5,0)),0)*($AI1083+$AQ1083+$AR1083),0)</f>
        <v>0.068793119431073</v>
      </c>
      <c r="BD1083" s="153" t="n">
        <f aca="false">IF(AND($N1083="VCA",$AF1083&gt;=1.25,$AF1083&lt;1.5),$M1083*$AF1083*2,0)</f>
        <v>46.6146</v>
      </c>
      <c r="BE1083" s="153" t="n">
        <f aca="false">IF(AND($N1083="VCA",$AF1083&gt;=1.5,$AF1083&lt;3),$M1083*$AF1083*2,0)</f>
        <v>0</v>
      </c>
      <c r="BF1083" s="153" t="n">
        <f aca="false">IF(AND($N1083="VCA",$AF1083&gt;=3),$M1083*$AF1083*2,0)</f>
        <v>0</v>
      </c>
      <c r="BG1083" s="153" t="n">
        <f aca="false">($BB1083+$BC1083)*$AK1083</f>
        <v>37.93635</v>
      </c>
      <c r="BH1083" s="153" t="n">
        <f aca="false">IF(AND($M1083&lt;&gt;"",$N1083="VCA",$Q1083="LINEAR"),($M1083*2)/100,IF(AND($M1083&lt;&gt;"",$N1083="MND",$Q1083="EMBOQUE"),($AN1083*2)/100,0))</f>
        <v>0.3306</v>
      </c>
      <c r="BI1083" s="153" t="n">
        <f aca="false">IF(AND($M1083&lt;&gt;"",$N1083="VCA",$Q1083="LINEAR"),$M1083,IF(AND($M1083&lt;&gt;"",$N1083="MND",$Q1083="EMBOQUE"),$AN1083*2,0))</f>
        <v>16.53</v>
      </c>
      <c r="BJ1083" s="153" t="n">
        <f aca="false">IF(AND($M1083&lt;&gt;"",$N1083="VCA",$Q1083="LINEAR"),($M1083*6.8)/100,IF(AND($M1083&lt;&gt;"",$N1083="MND",$Q1083="EMBOQUE"),($AN1083*2*6.8)/100,0))</f>
        <v>1.12404</v>
      </c>
      <c r="BK1083" s="153" t="n">
        <f aca="false">IF(AND($M1083&lt;&gt;"",$N1083="VCA",$Q1083="LINEAR"),($M1083*2.5)/50,IF(AND($M1083&lt;&gt;"",$N1083="MND",$Q1083="EMBOQUE"),($AN1083*2*2.5)/50,0))</f>
        <v>0.8265</v>
      </c>
      <c r="BL1083" s="157" t="str">
        <f aca="false">K1083&amp;J1083</f>
        <v>Zona09REDES</v>
      </c>
      <c r="BM1083" s="152" t="s">
        <v>5109</v>
      </c>
      <c r="BN1083" s="152" t="s">
        <v>1560</v>
      </c>
      <c r="BO1083" s="152" t="s">
        <v>5627</v>
      </c>
      <c r="BP1083" s="152" t="s">
        <v>5644</v>
      </c>
      <c r="BQ1083" s="152" t="s">
        <v>5652</v>
      </c>
      <c r="BR1083" s="152" t="s">
        <v>5645</v>
      </c>
      <c r="BS1083" s="152" t="n">
        <v>203280.914</v>
      </c>
      <c r="BT1083" s="152" t="n">
        <v>8236080.899</v>
      </c>
      <c r="BU1083" s="152" t="n">
        <v>203283.98</v>
      </c>
      <c r="BV1083" s="152" t="n">
        <v>8236064.657</v>
      </c>
      <c r="BW1083" s="152" t="n">
        <v>-15.9369001</v>
      </c>
      <c r="BX1083" s="152" t="n">
        <v>-47.7714868</v>
      </c>
      <c r="BY1083" s="152" t="s">
        <v>5644</v>
      </c>
    </row>
    <row r="1084" customFormat="false" ht="13.8" hidden="false" customHeight="false" outlineLevel="0" collapsed="false">
      <c r="A1084" s="149" t="n">
        <f aca="false">IF(C1084&lt;&gt;"",ROW(A1079),"")</f>
        <v>1079</v>
      </c>
      <c r="B1084" s="150" t="str">
        <f aca="false">HYPERLINK("https://www.google.com/maps/dir/-15.917302,-47.760003/-15.9368266,-47.7715001/data=!4m3!4m2!3e0!5i1")</f>
        <v>https://www.google.com/maps/dir/-15.917302,-47.760003/-15.9368266,-47.7715001/data=!4m3!4m2!3e0!5i1</v>
      </c>
      <c r="C1084" s="151" t="s">
        <v>117</v>
      </c>
      <c r="D1084" s="152" t="s">
        <v>112</v>
      </c>
      <c r="E1084" s="152" t="s">
        <v>113</v>
      </c>
      <c r="F1084" s="152" t="s">
        <v>117</v>
      </c>
      <c r="G1084" s="152" t="s">
        <v>782</v>
      </c>
      <c r="H1084" s="152" t="n">
        <v>63</v>
      </c>
      <c r="I1084" s="152" t="s">
        <v>115</v>
      </c>
      <c r="J1084" s="152" t="s">
        <v>6</v>
      </c>
      <c r="K1084" s="152" t="s">
        <v>5106</v>
      </c>
      <c r="L1084" s="152" t="s">
        <v>120</v>
      </c>
      <c r="M1084" s="153" t="n">
        <f aca="false">49.92+1.4</f>
        <v>51.32</v>
      </c>
      <c r="N1084" s="152" t="s">
        <v>1548</v>
      </c>
      <c r="O1084" s="152" t="s">
        <v>1549</v>
      </c>
      <c r="P1084" s="152" t="s">
        <v>1550</v>
      </c>
      <c r="Q1084" s="152" t="s">
        <v>1551</v>
      </c>
      <c r="R1084" s="154" t="s">
        <v>5656</v>
      </c>
      <c r="S1084" s="154" t="s">
        <v>1553</v>
      </c>
      <c r="T1084" s="155" t="s">
        <v>5625</v>
      </c>
      <c r="U1084" s="152" t="str">
        <f aca="false">RIGHT(T1084,7)</f>
        <v>023/037</v>
      </c>
      <c r="V1084" s="152" t="s">
        <v>1555</v>
      </c>
      <c r="W1084" s="156" t="n">
        <v>45882</v>
      </c>
      <c r="X1084" s="152" t="s">
        <v>1594</v>
      </c>
      <c r="Y1084" s="152"/>
      <c r="Z1084" s="152" t="s">
        <v>1557</v>
      </c>
      <c r="AA1084" s="153" t="n">
        <v>6</v>
      </c>
      <c r="AB1084" s="151" t="s">
        <v>5657</v>
      </c>
      <c r="AC1084" s="151" t="s">
        <v>186</v>
      </c>
      <c r="AD1084" s="151" t="str">
        <f aca="false">CONCATENATE($C1084,$I1084,$H1084,$N1084,$J1084,$K1084)</f>
        <v>TUBO PEADPEAD63VCAREDESZona09</v>
      </c>
      <c r="AE1084" s="153" t="n">
        <f aca="false">IFERROR(INDEX(APOIO_REDES!$A:$W,MATCH($C1084&amp;$I1084&amp;$H1084&amp;$N1084&amp;$O1084,APOIO_REDES!$W:$W,0),MATCH(AE$5,APOIO_REDES!$5:$5,0)),0)</f>
        <v>1.2</v>
      </c>
      <c r="AF1084" s="153" t="n">
        <f aca="false">IFERROR(INDEX(APOIO_REDES!$A:$W,MATCH($C1084&amp;$I1084&amp;$H1084&amp;$N1084&amp;$O1084,APOIO_REDES!$W:$W,0),MATCH(AF$5,APOIO_REDES!$5:$5,0)),0)</f>
        <v>1.363</v>
      </c>
      <c r="AG1084" s="153" t="n">
        <f aca="false">IFERROR(INDEX(APOIO_REDES!$A:$W,MATCH($C1084&amp;$I1084&amp;$H1084&amp;$N1084&amp;$O1084,APOIO_REDES!$W:$W,0),MATCH(AG$5,APOIO_REDES!$5:$5,0)),0)</f>
        <v>0.65</v>
      </c>
      <c r="AH1084" s="153" t="n">
        <f aca="false">IFERROR(INDEX(APOIO_REDES!$A:$W,MATCH($C1084&amp;$I1084&amp;$H1084&amp;$N1084&amp;$O1084,APOIO_REDES!$W:$W,0),MATCH(AH$5,APOIO_REDES!$5:$5,0)),0)</f>
        <v>0.1</v>
      </c>
      <c r="AI1084" s="153" t="n">
        <f aca="false">IFERROR(IF($H1084&lt;&gt;"",(((($H1084/1000)/2)^2)*PI()*$M1084),0),0)</f>
        <v>0.159977029336116</v>
      </c>
      <c r="AJ1084" s="153" t="n">
        <f aca="false">IFERROR(IF(AND($H1084&lt;&gt;"",$I1084="FoFo",OR($N1084="MND",$N1084="VCA"),$Q1084="LINEAR"),0,IF(AND($H1084&lt;&gt;"",$I1084="PEAD",$N1084="VCA",$Q1084="LINEAR"),($H1084/1000)+0.3,IF(AND($H1084&lt;&gt;"",$I1084="PEAD",$N1084="MND",$Q1084="EMBOQUE"),0,IF(AND($H1084&lt;&gt;"",$I1084="PVC",$N1084="VCA",$Q1084="LINEAR"),($H1084/1000)+0.2,IF(AND($H1084&lt;&gt;"",$I1084="PVC",$N1084="MND",$Q1084="EMBOQUE"),0,IF(AND($H1084&lt;&gt;"",$I1084="PEAD",$N1084="VCA",$Q1084="PREDIAL"),0,0)))))),0)</f>
        <v>0.363</v>
      </c>
      <c r="AK1084" s="153" t="n">
        <f aca="false">IF(AA1084&lt;&gt;"",AA1084,0)</f>
        <v>6</v>
      </c>
      <c r="AL1084" s="153" t="n">
        <f aca="false">IF(AND($N1084="MND",$Q1084="EMBOQUE"),$M1084,IF(AND($N1084="VCA",$Q1084="LINEAR"),$M1084,IF(AND($N1084="VCA",$Q1084="PREDIAL"),0,0)))</f>
        <v>51.32</v>
      </c>
      <c r="AM1084" s="153" t="n">
        <f aca="false">IF(AND($N1084="MND",$Q1084="EMBOQUE"),$M1084,IF(AND($N1084="VCA",$Q1084="LINEAR"),$M1084,IF(AND($N1084="VCA",$Q1084="PREDIAL"),0,0)))</f>
        <v>51.32</v>
      </c>
      <c r="AN1084" s="153" t="n">
        <f aca="false">ROUND(IF(AND($N1084="VCA",$M1084&lt;&gt;"",$Q1084="LINEAR"),$M1084/100,IF(AND($N1084="MND",$M1084&gt;100,$Q1084="EMBOQUE"),$M1084/100,0)),0)</f>
        <v>1</v>
      </c>
      <c r="AO1084" s="153" t="n">
        <f aca="false">IF(AND($N1084="MND",$Q1084="EMBOQUE"),$AN1084*2*2,IF(AND($N1084="VCA",$Q1084="LINEAR"),$M1084*2,IF(AND($N1084="VCA",$Q1084="PREDIAL"),0,0)))</f>
        <v>102.64</v>
      </c>
      <c r="AP1084" s="153" t="n">
        <f aca="false">IFERROR($M1084*$AF1084*$AG1084,0)</f>
        <v>45.466954</v>
      </c>
      <c r="AQ1084" s="153" t="n">
        <f aca="false">IFERROR(IF(AND($N1084="VCA",$AH1084&gt;0),$M1084*$AG1084*$AH1084,0),0)</f>
        <v>3.3358</v>
      </c>
      <c r="AR1084" s="153" t="n">
        <f aca="false">IFERROR(IF(AND($N1084="VCA",$AJ1084&gt;0),($M1084*$AG1084*$AJ1084)-$AI1084,0),0)</f>
        <v>11.9489769706639</v>
      </c>
      <c r="AS1084" s="153" t="n">
        <f aca="false">IFERROR(IF(AND($N1084="VCA",$AP1084&gt;0),$AP1084-$AI1084-$AQ1084-$AR1084,0),0)</f>
        <v>30.0222</v>
      </c>
      <c r="AT1084" s="153" t="n">
        <f aca="false">IFERROR(IF($N1084="VCA",INDEX(APOIO_REDES!$A:$W,MATCH($C1084&amp;$I1084&amp;$H1084&amp;$N1084&amp;$O1084,APOIO_REDES!$W:$W,0),MATCH(AT$5,APOIO_REDES!$5:$5,0)),0)*$AP1084,0)</f>
        <v>0.494693917051446</v>
      </c>
      <c r="AU1084" s="153" t="n">
        <f aca="false">IFERROR(IF($N1084="VCA",INDEX(APOIO_REDES!$A:$W,MATCH($C1084&amp;$I1084&amp;$H1084&amp;$N1084&amp;$O1084,APOIO_REDES!$W:$W,0),MATCH(AU$5,APOIO_REDES!$5:$5,0)),0)*$AP1084,0)</f>
        <v>0.395049164146869</v>
      </c>
      <c r="AV1084" s="153" t="n">
        <f aca="false">IFERROR(IF($N1084="VCA",INDEX(APOIO_REDES!$A:$W,MATCH($C1084&amp;$I1084&amp;$H1084&amp;$N1084&amp;$O1084,APOIO_REDES!$W:$W,0),MATCH(AV$5,APOIO_REDES!$5:$5,0)),0)*$AP1084,0)</f>
        <v>0.0546717030603937</v>
      </c>
      <c r="AW1084" s="153" t="n">
        <f aca="false">IFERROR(IF($N1084="VCA",INDEX(APOIO_REDES!$A:$W,MATCH($C1084&amp;$I1084&amp;$H1084&amp;$N1084&amp;$O1084,APOIO_REDES!$W:$W,0),MATCH(AW$5,APOIO_REDES!$5:$5,0)),0)*$AP1084,0)</f>
        <v>31.2088695207508</v>
      </c>
      <c r="AX1084" s="153" t="n">
        <f aca="false">IFERROR(IF($N1084="VCA",INDEX(APOIO_REDES!$A:$W,MATCH($C1084&amp;$I1084&amp;$H1084&amp;$N1084&amp;$O1084,APOIO_REDES!$W:$W,0),MATCH(AX$5,APOIO_REDES!$5:$5,0)),0)*$AP1084,0)</f>
        <v>4.31921864152429</v>
      </c>
      <c r="AY1084" s="153" t="n">
        <f aca="false">IFERROR(IF($N1084="VCA",INDEX(APOIO_REDES!$A:$W,MATCH($C1084&amp;$I1084&amp;$H1084&amp;$N1084&amp;$O1084,APOIO_REDES!$W:$W,0),MATCH(AY$5,APOIO_REDES!$5:$5,0)),0)*$AP1084,0)</f>
        <v>7.90097846732008</v>
      </c>
      <c r="AZ1084" s="153" t="n">
        <f aca="false">IFERROR(IF($N1084="VCA",INDEX(APOIO_REDES!$A:$W,MATCH($C1084&amp;$I1084&amp;$H1084&amp;$N1084&amp;$O1084,APOIO_REDES!$W:$W,0),MATCH(AZ$5,APOIO_REDES!$5:$5,0)),0)*$AP1084,0)</f>
        <v>1.09347258614617</v>
      </c>
      <c r="BA1084" s="153" t="n">
        <f aca="false">IFERROR(IF(AND($N1084="VCA",$Q1084="LINEAR"),INDEX(APOIO_REDES!$A:$W,MATCH($C1084&amp;$I1084&amp;$H1084&amp;$N1084&amp;$O1084,APOIO_REDES!$W:$W,0),MATCH(BA$5,APOIO_REDES!$5:$5,0)),IF(AND($N1084="MND",$Q1084="EMBOQUE"),INDEX(APOIO_REDES!$A:$W,MATCH($C1084&amp;$I1084&amp;$H1084&amp;$N1084&amp;$O1084,APOIO_REDES!$W:$W,0),MATCH(BA$5,APOIO_REDES!$5:$5,0)),0))*$M1084/10,0)</f>
        <v>4.13626254939432</v>
      </c>
      <c r="BB1084" s="153" t="n">
        <f aca="false">IFERROR(IF($N1084="VCA",INDEX(APOIO_REDES!$A:$W,MATCH($C1084&amp;$I1084&amp;$H1084&amp;$N1084&amp;$O1084,APOIO_REDES!$W:$W,0),MATCH(BB$5,APOIO_REDES!$5:$5,0)),0)*($AI1084+$AQ1084+$AR1084),0)</f>
        <v>15.2767105050662</v>
      </c>
      <c r="BC1084" s="153" t="n">
        <f aca="false">IFERROR(IF($N1084="VCA",INDEX(APOIO_REDES!$A:$W,MATCH($C1084&amp;$I1084&amp;$H1084&amp;$N1084&amp;$O1084,APOIO_REDES!$W:$W,0),MATCH(BC$5,APOIO_REDES!$5:$5,0)),0)*($AI1084+$AQ1084+$AR1084),0)</f>
        <v>0.168043494933837</v>
      </c>
      <c r="BD1084" s="153" t="n">
        <f aca="false">IF(AND($N1084="VCA",$AF1084&gt;=1.25,$AF1084&lt;1.5),$M1084*$AF1084*2,0)</f>
        <v>139.89832</v>
      </c>
      <c r="BE1084" s="153" t="n">
        <f aca="false">IF(AND($N1084="VCA",$AF1084&gt;=1.5,$AF1084&lt;3),$M1084*$AF1084*2,0)</f>
        <v>0</v>
      </c>
      <c r="BF1084" s="153" t="n">
        <f aca="false">IF(AND($N1084="VCA",$AF1084&gt;=3),$M1084*$AF1084*2,0)</f>
        <v>0</v>
      </c>
      <c r="BG1084" s="153" t="n">
        <f aca="false">($BB1084+$BC1084)*$AK1084</f>
        <v>92.668524</v>
      </c>
      <c r="BH1084" s="153" t="n">
        <f aca="false">IF(AND($M1084&lt;&gt;"",$N1084="VCA",$Q1084="LINEAR"),($M1084*2)/100,IF(AND($M1084&lt;&gt;"",$N1084="MND",$Q1084="EMBOQUE"),($AN1084*2)/100,0))</f>
        <v>1.0264</v>
      </c>
      <c r="BI1084" s="153" t="n">
        <f aca="false">IF(AND($M1084&lt;&gt;"",$N1084="VCA",$Q1084="LINEAR"),$M1084,IF(AND($M1084&lt;&gt;"",$N1084="MND",$Q1084="EMBOQUE"),$AN1084*2,0))</f>
        <v>51.32</v>
      </c>
      <c r="BJ1084" s="153" t="n">
        <f aca="false">IF(AND($M1084&lt;&gt;"",$N1084="VCA",$Q1084="LINEAR"),($M1084*6.8)/100,IF(AND($M1084&lt;&gt;"",$N1084="MND",$Q1084="EMBOQUE"),($AN1084*2*6.8)/100,0))</f>
        <v>3.48976</v>
      </c>
      <c r="BK1084" s="153" t="n">
        <f aca="false">IF(AND($M1084&lt;&gt;"",$N1084="VCA",$Q1084="LINEAR"),($M1084*2.5)/50,IF(AND($M1084&lt;&gt;"",$N1084="MND",$Q1084="EMBOQUE"),($AN1084*2*2.5)/50,0))</f>
        <v>2.566</v>
      </c>
      <c r="BL1084" s="157" t="str">
        <f aca="false">K1084&amp;J1084</f>
        <v>Zona09REDES</v>
      </c>
      <c r="BM1084" s="152" t="s">
        <v>5109</v>
      </c>
      <c r="BN1084" s="152" t="s">
        <v>1560</v>
      </c>
      <c r="BO1084" s="152" t="s">
        <v>5627</v>
      </c>
      <c r="BP1084" s="152" t="s">
        <v>5644</v>
      </c>
      <c r="BQ1084" s="152" t="s">
        <v>5593</v>
      </c>
      <c r="BR1084" s="152" t="s">
        <v>5658</v>
      </c>
      <c r="BS1084" s="152" t="n">
        <v>203279.612</v>
      </c>
      <c r="BT1084" s="152" t="n">
        <v>8236080.393</v>
      </c>
      <c r="BU1084" s="152" t="n">
        <v>203231.588</v>
      </c>
      <c r="BV1084" s="152" t="n">
        <v>8236067.291</v>
      </c>
      <c r="BW1084" s="152" t="n">
        <v>-15.9368982</v>
      </c>
      <c r="BX1084" s="152" t="n">
        <v>-47.7717341</v>
      </c>
      <c r="BY1084" s="152" t="s">
        <v>5644</v>
      </c>
    </row>
    <row r="1085" customFormat="false" ht="13.8" hidden="false" customHeight="false" outlineLevel="0" collapsed="false">
      <c r="A1085" s="149" t="n">
        <f aca="false">IF(C1085&lt;&gt;"",ROW(A1080),"")</f>
        <v>1080</v>
      </c>
      <c r="B1085" s="150" t="str">
        <f aca="false">HYPERLINK("https://www.google.com/maps/dir/-15.917302,-47.760003/-15.9369736,-47.7714735/data=!4m3!4m2!3e0!5i1")</f>
        <v>https://www.google.com/maps/dir/-15.917302,-47.760003/-15.9369736,-47.7714735/data=!4m3!4m2!3e0!5i1</v>
      </c>
      <c r="C1085" s="151" t="s">
        <v>117</v>
      </c>
      <c r="D1085" s="152" t="s">
        <v>112</v>
      </c>
      <c r="E1085" s="152" t="s">
        <v>113</v>
      </c>
      <c r="F1085" s="152" t="s">
        <v>117</v>
      </c>
      <c r="G1085" s="152" t="s">
        <v>782</v>
      </c>
      <c r="H1085" s="152" t="n">
        <v>110</v>
      </c>
      <c r="I1085" s="152" t="s">
        <v>115</v>
      </c>
      <c r="J1085" s="152" t="s">
        <v>6</v>
      </c>
      <c r="K1085" s="152" t="s">
        <v>5106</v>
      </c>
      <c r="L1085" s="152" t="s">
        <v>120</v>
      </c>
      <c r="M1085" s="153" t="n">
        <f aca="false">45.94</f>
        <v>45.94</v>
      </c>
      <c r="N1085" s="152" t="s">
        <v>1548</v>
      </c>
      <c r="O1085" s="152" t="s">
        <v>1549</v>
      </c>
      <c r="P1085" s="152" t="s">
        <v>1550</v>
      </c>
      <c r="Q1085" s="152" t="s">
        <v>1551</v>
      </c>
      <c r="R1085" s="154" t="s">
        <v>5659</v>
      </c>
      <c r="S1085" s="154" t="s">
        <v>1593</v>
      </c>
      <c r="T1085" s="155" t="s">
        <v>5625</v>
      </c>
      <c r="U1085" s="152" t="str">
        <f aca="false">RIGHT(T1085,7)</f>
        <v>023/037</v>
      </c>
      <c r="V1085" s="152" t="s">
        <v>1555</v>
      </c>
      <c r="W1085" s="156" t="n">
        <v>45882</v>
      </c>
      <c r="X1085" s="152" t="s">
        <v>1594</v>
      </c>
      <c r="Y1085" s="152" t="s">
        <v>5580</v>
      </c>
      <c r="Z1085" s="152" t="s">
        <v>1557</v>
      </c>
      <c r="AA1085" s="153" t="n">
        <v>6</v>
      </c>
      <c r="AB1085" s="151" t="s">
        <v>5660</v>
      </c>
      <c r="AC1085" s="151" t="s">
        <v>502</v>
      </c>
      <c r="AD1085" s="151" t="str">
        <f aca="false">CONCATENATE($C1085,$I1085,$H1085,$N1085,$J1085,$K1085)</f>
        <v>TUBO PEADPEAD110VCAREDESZona09</v>
      </c>
      <c r="AE1085" s="153" t="n">
        <f aca="false">IFERROR(INDEX(APOIO_REDES!$A:$W,MATCH($C1085&amp;$I1085&amp;$H1085&amp;$N1085&amp;$O1085,APOIO_REDES!$W:$W,0),MATCH(AE$5,APOIO_REDES!$5:$5,0)),0)</f>
        <v>1.2</v>
      </c>
      <c r="AF1085" s="153" t="n">
        <f aca="false">IFERROR(INDEX(APOIO_REDES!$A:$W,MATCH($C1085&amp;$I1085&amp;$H1085&amp;$N1085&amp;$O1085,APOIO_REDES!$W:$W,0),MATCH(AF$5,APOIO_REDES!$5:$5,0)),0)</f>
        <v>1.41</v>
      </c>
      <c r="AG1085" s="153" t="n">
        <f aca="false">IFERROR(INDEX(APOIO_REDES!$A:$W,MATCH($C1085&amp;$I1085&amp;$H1085&amp;$N1085&amp;$O1085,APOIO_REDES!$W:$W,0),MATCH(AG$5,APOIO_REDES!$5:$5,0)),0)</f>
        <v>0.75</v>
      </c>
      <c r="AH1085" s="153" t="n">
        <f aca="false">IFERROR(INDEX(APOIO_REDES!$A:$W,MATCH($C1085&amp;$I1085&amp;$H1085&amp;$N1085&amp;$O1085,APOIO_REDES!$W:$W,0),MATCH(AH$5,APOIO_REDES!$5:$5,0)),0)</f>
        <v>0.1</v>
      </c>
      <c r="AI1085" s="153" t="n">
        <f aca="false">IFERROR(IF($H1085&lt;&gt;"",(((($H1085/1000)/2)^2)*PI()*$M1085),0),0)</f>
        <v>0.436582418680393</v>
      </c>
      <c r="AJ1085" s="153" t="n">
        <f aca="false">IFERROR(IF(AND($H1085&lt;&gt;"",$I1085="FoFo",OR($N1085="MND",$N1085="VCA"),$Q1085="LINEAR"),0,IF(AND($H1085&lt;&gt;"",$I1085="PEAD",$N1085="VCA",$Q1085="LINEAR"),($H1085/1000)+0.3,IF(AND($H1085&lt;&gt;"",$I1085="PEAD",$N1085="MND",$Q1085="EMBOQUE"),0,IF(AND($H1085&lt;&gt;"",$I1085="PVC",$N1085="VCA",$Q1085="LINEAR"),($H1085/1000)+0.2,IF(AND($H1085&lt;&gt;"",$I1085="PVC",$N1085="MND",$Q1085="EMBOQUE"),0,IF(AND($H1085&lt;&gt;"",$I1085="PEAD",$N1085="VCA",$Q1085="PREDIAL"),0,0)))))),0)</f>
        <v>0.41</v>
      </c>
      <c r="AK1085" s="153" t="n">
        <f aca="false">IF(AA1085&lt;&gt;"",AA1085,0)</f>
        <v>6</v>
      </c>
      <c r="AL1085" s="153" t="n">
        <f aca="false">IF(AND($N1085="MND",$Q1085="EMBOQUE"),$M1085,IF(AND($N1085="VCA",$Q1085="LINEAR"),$M1085,IF(AND($N1085="VCA",$Q1085="PREDIAL"),0,0)))</f>
        <v>45.94</v>
      </c>
      <c r="AM1085" s="153" t="n">
        <f aca="false">IF(AND($N1085="MND",$Q1085="EMBOQUE"),$M1085,IF(AND($N1085="VCA",$Q1085="LINEAR"),$M1085,IF(AND($N1085="VCA",$Q1085="PREDIAL"),0,0)))</f>
        <v>45.94</v>
      </c>
      <c r="AN1085" s="153" t="n">
        <f aca="false">ROUND(IF(AND($N1085="VCA",$M1085&lt;&gt;"",$Q1085="LINEAR"),$M1085/100,IF(AND($N1085="MND",$M1085&gt;100,$Q1085="EMBOQUE"),$M1085/100,0)),0)</f>
        <v>0</v>
      </c>
      <c r="AO1085" s="153" t="n">
        <f aca="false">IF(AND($N1085="MND",$Q1085="EMBOQUE"),$AN1085*2*2,IF(AND($N1085="VCA",$Q1085="LINEAR"),$M1085*2,IF(AND($N1085="VCA",$Q1085="PREDIAL"),0,0)))</f>
        <v>91.88</v>
      </c>
      <c r="AP1085" s="153" t="n">
        <f aca="false">IFERROR($M1085*$AF1085*$AG1085,0)</f>
        <v>48.58155</v>
      </c>
      <c r="AQ1085" s="153" t="n">
        <f aca="false">IFERROR(IF(AND($N1085="VCA",$AH1085&gt;0),$M1085*$AG1085*$AH1085,0),0)</f>
        <v>3.4455</v>
      </c>
      <c r="AR1085" s="153" t="n">
        <f aca="false">IFERROR(IF(AND($N1085="VCA",$AJ1085&gt;0),($M1085*$AG1085*$AJ1085)-$AI1085,0),0)</f>
        <v>13.6899675813196</v>
      </c>
      <c r="AS1085" s="153" t="n">
        <f aca="false">IFERROR(IF(AND($N1085="VCA",$AP1085&gt;0),$AP1085-$AI1085-$AQ1085-$AR1085,0),0)</f>
        <v>31.0095</v>
      </c>
      <c r="AT1085" s="153" t="n">
        <f aca="false">IFERROR(IF($N1085="VCA",INDEX(APOIO_REDES!$A:$W,MATCH($C1085&amp;$I1085&amp;$H1085&amp;$N1085&amp;$O1085,APOIO_REDES!$W:$W,0),MATCH(AT$5,APOIO_REDES!$5:$5,0)),0)*$AP1085,0)</f>
        <v>0.528581643404805</v>
      </c>
      <c r="AU1085" s="153" t="n">
        <f aca="false">IFERROR(IF($N1085="VCA",INDEX(APOIO_REDES!$A:$W,MATCH($C1085&amp;$I1085&amp;$H1085&amp;$N1085&amp;$O1085,APOIO_REDES!$W:$W,0),MATCH(AU$5,APOIO_REDES!$5:$5,0)),0)*$AP1085,0)</f>
        <v>0.422110984616636</v>
      </c>
      <c r="AV1085" s="153" t="n">
        <f aca="false">IFERROR(IF($N1085="VCA",INDEX(APOIO_REDES!$A:$W,MATCH($C1085&amp;$I1085&amp;$H1085&amp;$N1085&amp;$O1085,APOIO_REDES!$W:$W,0),MATCH(AV$5,APOIO_REDES!$5:$5,0)),0)*$AP1085,0)</f>
        <v>0.0584168465697894</v>
      </c>
      <c r="AW1085" s="153" t="n">
        <f aca="false">IFERROR(IF($N1085="VCA",INDEX(APOIO_REDES!$A:$W,MATCH($C1085&amp;$I1085&amp;$H1085&amp;$N1085&amp;$O1085,APOIO_REDES!$W:$W,0),MATCH(AW$5,APOIO_REDES!$5:$5,0)),0)*$AP1085,0)</f>
        <v>33.3467523482182</v>
      </c>
      <c r="AX1085" s="153" t="n">
        <f aca="false">IFERROR(IF($N1085="VCA",INDEX(APOIO_REDES!$A:$W,MATCH($C1085&amp;$I1085&amp;$H1085&amp;$N1085&amp;$O1085,APOIO_REDES!$W:$W,0),MATCH(AX$5,APOIO_REDES!$5:$5,0)),0)*$AP1085,0)</f>
        <v>4.61509553497128</v>
      </c>
      <c r="AY1085" s="153" t="n">
        <f aca="false">IFERROR(IF($N1085="VCA",INDEX(APOIO_REDES!$A:$W,MATCH($C1085&amp;$I1085&amp;$H1085&amp;$N1085&amp;$O1085,APOIO_REDES!$W:$W,0),MATCH(AY$5,APOIO_REDES!$5:$5,0)),0)*$AP1085,0)</f>
        <v>8.44221454683404</v>
      </c>
      <c r="AZ1085" s="153" t="n">
        <f aca="false">IFERROR(IF($N1085="VCA",INDEX(APOIO_REDES!$A:$W,MATCH($C1085&amp;$I1085&amp;$H1085&amp;$N1085&amp;$O1085,APOIO_REDES!$W:$W,0),MATCH(AZ$5,APOIO_REDES!$5:$5,0)),0)*$AP1085,0)</f>
        <v>1.16837809538527</v>
      </c>
      <c r="BA1085" s="153" t="n">
        <f aca="false">IFERROR(IF(AND($N1085="VCA",$Q1085="LINEAR"),INDEX(APOIO_REDES!$A:$W,MATCH($C1085&amp;$I1085&amp;$H1085&amp;$N1085&amp;$O1085,APOIO_REDES!$W:$W,0),MATCH(BA$5,APOIO_REDES!$5:$5,0)),IF(AND($N1085="MND",$Q1085="EMBOQUE"),INDEX(APOIO_REDES!$A:$W,MATCH($C1085&amp;$I1085&amp;$H1085&amp;$N1085&amp;$O1085,APOIO_REDES!$W:$W,0),MATCH(BA$5,APOIO_REDES!$5:$5,0)),0))*$M1085/10,0)</f>
        <v>3.70264812001511</v>
      </c>
      <c r="BB1085" s="153" t="n">
        <f aca="false">IFERROR(IF($N1085="VCA",INDEX(APOIO_REDES!$A:$W,MATCH($C1085&amp;$I1085&amp;$H1085&amp;$N1085&amp;$O1085,APOIO_REDES!$W:$W,0),MATCH(BB$5,APOIO_REDES!$5:$5,0)),0)*($AI1085+$AQ1085+$AR1085),0)</f>
        <v>17.3808608949387</v>
      </c>
      <c r="BC1085" s="153" t="n">
        <f aca="false">IFERROR(IF($N1085="VCA",INDEX(APOIO_REDES!$A:$W,MATCH($C1085&amp;$I1085&amp;$H1085&amp;$N1085&amp;$O1085,APOIO_REDES!$W:$W,0),MATCH(BC$5,APOIO_REDES!$5:$5,0)),0)*($AI1085+$AQ1085+$AR1085),0)</f>
        <v>0.191189105061312</v>
      </c>
      <c r="BD1085" s="153" t="n">
        <f aca="false">IF(AND($N1085="VCA",$AF1085&gt;=1.25,$AF1085&lt;1.5),$M1085*$AF1085*2,0)</f>
        <v>129.5508</v>
      </c>
      <c r="BE1085" s="153" t="n">
        <f aca="false">IF(AND($N1085="VCA",$AF1085&gt;=1.5,$AF1085&lt;3),$M1085*$AF1085*2,0)</f>
        <v>0</v>
      </c>
      <c r="BF1085" s="153" t="n">
        <f aca="false">IF(AND($N1085="VCA",$AF1085&gt;=3),$M1085*$AF1085*2,0)</f>
        <v>0</v>
      </c>
      <c r="BG1085" s="153" t="n">
        <f aca="false">($BB1085+$BC1085)*$AK1085</f>
        <v>105.4323</v>
      </c>
      <c r="BH1085" s="153" t="n">
        <f aca="false">IF(AND($M1085&lt;&gt;"",$N1085="VCA",$Q1085="LINEAR"),($M1085*2)/100,IF(AND($M1085&lt;&gt;"",$N1085="MND",$Q1085="EMBOQUE"),($AN1085*2)/100,0))</f>
        <v>0.9188</v>
      </c>
      <c r="BI1085" s="153" t="n">
        <f aca="false">IF(AND($M1085&lt;&gt;"",$N1085="VCA",$Q1085="LINEAR"),$M1085,IF(AND($M1085&lt;&gt;"",$N1085="MND",$Q1085="EMBOQUE"),$AN1085*2,0))</f>
        <v>45.94</v>
      </c>
      <c r="BJ1085" s="153" t="n">
        <f aca="false">IF(AND($M1085&lt;&gt;"",$N1085="VCA",$Q1085="LINEAR"),($M1085*6.8)/100,IF(AND($M1085&lt;&gt;"",$N1085="MND",$Q1085="EMBOQUE"),($AN1085*2*6.8)/100,0))</f>
        <v>3.12392</v>
      </c>
      <c r="BK1085" s="153" t="n">
        <f aca="false">IF(AND($M1085&lt;&gt;"",$N1085="VCA",$Q1085="LINEAR"),($M1085*2.5)/50,IF(AND($M1085&lt;&gt;"",$N1085="MND",$Q1085="EMBOQUE"),($AN1085*2*2.5)/50,0))</f>
        <v>2.297</v>
      </c>
      <c r="BL1085" s="157" t="str">
        <f aca="false">K1085&amp;J1085</f>
        <v>Zona09REDES</v>
      </c>
      <c r="BM1085" s="152" t="s">
        <v>5109</v>
      </c>
      <c r="BN1085" s="152" t="s">
        <v>1560</v>
      </c>
      <c r="BO1085" s="152" t="s">
        <v>5627</v>
      </c>
      <c r="BP1085" s="152" t="s">
        <v>5652</v>
      </c>
      <c r="BQ1085" s="152" t="s">
        <v>5661</v>
      </c>
      <c r="BR1085" s="152" t="s">
        <v>5662</v>
      </c>
      <c r="BS1085" s="152" t="n">
        <v>203283.98</v>
      </c>
      <c r="BT1085" s="152" t="n">
        <v>8236064.657</v>
      </c>
      <c r="BU1085" s="152" t="n">
        <v>203294.283</v>
      </c>
      <c r="BV1085" s="152" t="n">
        <v>8236019.901</v>
      </c>
      <c r="BW1085" s="152" t="n">
        <v>-15.9371756</v>
      </c>
      <c r="BX1085" s="152" t="n">
        <v>-47.7714249</v>
      </c>
      <c r="BY1085" s="152" t="s">
        <v>5652</v>
      </c>
    </row>
    <row r="1086" customFormat="false" ht="13.8" hidden="false" customHeight="false" outlineLevel="0" collapsed="false">
      <c r="A1086" s="149" t="n">
        <f aca="false">IF(C1086&lt;&gt;"",ROW(A1081),"")</f>
        <v>1081</v>
      </c>
      <c r="B1086" s="150" t="str">
        <f aca="false">HYPERLINK("https://www.google.com/maps/dir/-15.917302,-47.760003/-15.9374757,-47.7719019/data=!4m3!4m2!3e0!5i2")</f>
        <v>https://www.google.com/maps/dir/-15.917302,-47.760003/-15.9374757,-47.7719019/data=!4m3!4m2!3e0!5i2</v>
      </c>
      <c r="C1086" s="151" t="s">
        <v>117</v>
      </c>
      <c r="D1086" s="152" t="s">
        <v>112</v>
      </c>
      <c r="E1086" s="152" t="s">
        <v>113</v>
      </c>
      <c r="F1086" s="152" t="s">
        <v>117</v>
      </c>
      <c r="G1086" s="152" t="s">
        <v>782</v>
      </c>
      <c r="H1086" s="152" t="n">
        <v>63</v>
      </c>
      <c r="I1086" s="152" t="s">
        <v>115</v>
      </c>
      <c r="J1086" s="152" t="s">
        <v>6</v>
      </c>
      <c r="K1086" s="152" t="s">
        <v>5106</v>
      </c>
      <c r="L1086" s="152" t="s">
        <v>120</v>
      </c>
      <c r="M1086" s="153" t="n">
        <f aca="false">35.72+3.97</f>
        <v>39.69</v>
      </c>
      <c r="N1086" s="152" t="s">
        <v>1548</v>
      </c>
      <c r="O1086" s="152" t="s">
        <v>1549</v>
      </c>
      <c r="P1086" s="152" t="s">
        <v>1550</v>
      </c>
      <c r="Q1086" s="152" t="s">
        <v>1551</v>
      </c>
      <c r="R1086" s="154" t="s">
        <v>5663</v>
      </c>
      <c r="S1086" s="154" t="s">
        <v>1553</v>
      </c>
      <c r="T1086" s="155" t="s">
        <v>5625</v>
      </c>
      <c r="U1086" s="152" t="str">
        <f aca="false">RIGHT(T1086,7)</f>
        <v>023/037</v>
      </c>
      <c r="V1086" s="152" t="s">
        <v>1555</v>
      </c>
      <c r="W1086" s="156" t="n">
        <v>45882</v>
      </c>
      <c r="X1086" s="152" t="s">
        <v>1594</v>
      </c>
      <c r="Y1086" s="152" t="s">
        <v>5580</v>
      </c>
      <c r="Z1086" s="152" t="s">
        <v>1557</v>
      </c>
      <c r="AA1086" s="153" t="n">
        <v>6</v>
      </c>
      <c r="AB1086" s="151" t="s">
        <v>5664</v>
      </c>
      <c r="AC1086" s="151" t="s">
        <v>186</v>
      </c>
      <c r="AD1086" s="151" t="str">
        <f aca="false">CONCATENATE($C1086,$I1086,$H1086,$N1086,$J1086,$K1086)</f>
        <v>TUBO PEADPEAD63VCAREDESZona09</v>
      </c>
      <c r="AE1086" s="153" t="n">
        <f aca="false">IFERROR(INDEX(APOIO_REDES!$A:$W,MATCH($C1086&amp;$I1086&amp;$H1086&amp;$N1086&amp;$O1086,APOIO_REDES!$W:$W,0),MATCH(AE$5,APOIO_REDES!$5:$5,0)),0)</f>
        <v>1.2</v>
      </c>
      <c r="AF1086" s="153" t="n">
        <f aca="false">IFERROR(INDEX(APOIO_REDES!$A:$W,MATCH($C1086&amp;$I1086&amp;$H1086&amp;$N1086&amp;$O1086,APOIO_REDES!$W:$W,0),MATCH(AF$5,APOIO_REDES!$5:$5,0)),0)</f>
        <v>1.363</v>
      </c>
      <c r="AG1086" s="153" t="n">
        <f aca="false">IFERROR(INDEX(APOIO_REDES!$A:$W,MATCH($C1086&amp;$I1086&amp;$H1086&amp;$N1086&amp;$O1086,APOIO_REDES!$W:$W,0),MATCH(AG$5,APOIO_REDES!$5:$5,0)),0)</f>
        <v>0.65</v>
      </c>
      <c r="AH1086" s="153" t="n">
        <f aca="false">IFERROR(INDEX(APOIO_REDES!$A:$W,MATCH($C1086&amp;$I1086&amp;$H1086&amp;$N1086&amp;$O1086,APOIO_REDES!$W:$W,0),MATCH(AH$5,APOIO_REDES!$5:$5,0)),0)</f>
        <v>0.1</v>
      </c>
      <c r="AI1086" s="153" t="n">
        <f aca="false">IFERROR(IF($H1086&lt;&gt;"",(((($H1086/1000)/2)^2)*PI()*$M1086),0),0)</f>
        <v>0.123723466374716</v>
      </c>
      <c r="AJ1086" s="153" t="n">
        <f aca="false">IFERROR(IF(AND($H1086&lt;&gt;"",$I1086="FoFo",OR($N1086="MND",$N1086="VCA"),$Q1086="LINEAR"),0,IF(AND($H1086&lt;&gt;"",$I1086="PEAD",$N1086="VCA",$Q1086="LINEAR"),($H1086/1000)+0.3,IF(AND($H1086&lt;&gt;"",$I1086="PEAD",$N1086="MND",$Q1086="EMBOQUE"),0,IF(AND($H1086&lt;&gt;"",$I1086="PVC",$N1086="VCA",$Q1086="LINEAR"),($H1086/1000)+0.2,IF(AND($H1086&lt;&gt;"",$I1086="PVC",$N1086="MND",$Q1086="EMBOQUE"),0,IF(AND($H1086&lt;&gt;"",$I1086="PEAD",$N1086="VCA",$Q1086="PREDIAL"),0,0)))))),0)</f>
        <v>0.363</v>
      </c>
      <c r="AK1086" s="153" t="n">
        <f aca="false">IF(AA1086&lt;&gt;"",AA1086,0)</f>
        <v>6</v>
      </c>
      <c r="AL1086" s="153" t="n">
        <f aca="false">IF(AND($N1086="MND",$Q1086="EMBOQUE"),$M1086,IF(AND($N1086="VCA",$Q1086="LINEAR"),$M1086,IF(AND($N1086="VCA",$Q1086="PREDIAL"),0,0)))</f>
        <v>39.69</v>
      </c>
      <c r="AM1086" s="153" t="n">
        <f aca="false">IF(AND($N1086="MND",$Q1086="EMBOQUE"),$M1086,IF(AND($N1086="VCA",$Q1086="LINEAR"),$M1086,IF(AND($N1086="VCA",$Q1086="PREDIAL"),0,0)))</f>
        <v>39.69</v>
      </c>
      <c r="AN1086" s="153" t="n">
        <f aca="false">ROUND(IF(AND($N1086="VCA",$M1086&lt;&gt;"",$Q1086="LINEAR"),$M1086/100,IF(AND($N1086="MND",$M1086&gt;100,$Q1086="EMBOQUE"),$M1086/100,0)),0)</f>
        <v>0</v>
      </c>
      <c r="AO1086" s="153" t="n">
        <f aca="false">IF(AND($N1086="MND",$Q1086="EMBOQUE"),$AN1086*2*2,IF(AND($N1086="VCA",$Q1086="LINEAR"),$M1086*2,IF(AND($N1086="VCA",$Q1086="PREDIAL"),0,0)))</f>
        <v>79.38</v>
      </c>
      <c r="AP1086" s="153" t="n">
        <f aca="false">IFERROR($M1086*$AF1086*$AG1086,0)</f>
        <v>35.1633555</v>
      </c>
      <c r="AQ1086" s="153" t="n">
        <f aca="false">IFERROR(IF(AND($N1086="VCA",$AH1086&gt;0),$M1086*$AG1086*$AH1086,0),0)</f>
        <v>2.57985</v>
      </c>
      <c r="AR1086" s="153" t="n">
        <f aca="false">IFERROR(IF(AND($N1086="VCA",$AJ1086&gt;0),($M1086*$AG1086*$AJ1086)-$AI1086,0),0)</f>
        <v>9.24113203362528</v>
      </c>
      <c r="AS1086" s="153" t="n">
        <f aca="false">IFERROR(IF(AND($N1086="VCA",$AP1086&gt;0),$AP1086-$AI1086-$AQ1086-$AR1086,0),0)</f>
        <v>23.21865</v>
      </c>
      <c r="AT1086" s="153" t="n">
        <f aca="false">IFERROR(IF($N1086="VCA",INDEX(APOIO_REDES!$A:$W,MATCH($C1086&amp;$I1086&amp;$H1086&amp;$N1086&amp;$O1086,APOIO_REDES!$W:$W,0),MATCH(AT$5,APOIO_REDES!$5:$5,0)),0)*$AP1086,0)</f>
        <v>0.382587715661962</v>
      </c>
      <c r="AU1086" s="153" t="n">
        <f aca="false">IFERROR(IF($N1086="VCA",INDEX(APOIO_REDES!$A:$W,MATCH($C1086&amp;$I1086&amp;$H1086&amp;$N1086&amp;$O1086,APOIO_REDES!$W:$W,0),MATCH(AU$5,APOIO_REDES!$5:$5,0)),0)*$AP1086,0)</f>
        <v>0.305524187938215</v>
      </c>
      <c r="AV1086" s="153" t="n">
        <f aca="false">IFERROR(IF($N1086="VCA",INDEX(APOIO_REDES!$A:$W,MATCH($C1086&amp;$I1086&amp;$H1086&amp;$N1086&amp;$O1086,APOIO_REDES!$W:$W,0),MATCH(AV$5,APOIO_REDES!$5:$5,0)),0)*$AP1086,0)</f>
        <v>0.0422821491517347</v>
      </c>
      <c r="AW1086" s="153" t="n">
        <f aca="false">IFERROR(IF($N1086="VCA",INDEX(APOIO_REDES!$A:$W,MATCH($C1086&amp;$I1086&amp;$H1086&amp;$N1086&amp;$O1086,APOIO_REDES!$W:$W,0),MATCH(AW$5,APOIO_REDES!$5:$5,0)),0)*$AP1086,0)</f>
        <v>24.1363996741738</v>
      </c>
      <c r="AX1086" s="153" t="n">
        <f aca="false">IFERROR(IF($N1086="VCA",INDEX(APOIO_REDES!$A:$W,MATCH($C1086&amp;$I1086&amp;$H1086&amp;$N1086&amp;$O1086,APOIO_REDES!$W:$W,0),MATCH(AX$5,APOIO_REDES!$5:$5,0)),0)*$AP1086,0)</f>
        <v>3.34040896106974</v>
      </c>
      <c r="AY1086" s="153" t="n">
        <f aca="false">IFERROR(IF($N1086="VCA",INDEX(APOIO_REDES!$A:$W,MATCH($C1086&amp;$I1086&amp;$H1086&amp;$N1086&amp;$O1086,APOIO_REDES!$W:$W,0),MATCH(AY$5,APOIO_REDES!$5:$5,0)),0)*$AP1086,0)</f>
        <v>6.11048003444922</v>
      </c>
      <c r="AZ1086" s="153" t="n">
        <f aca="false">IFERROR(IF($N1086="VCA",INDEX(APOIO_REDES!$A:$W,MATCH($C1086&amp;$I1086&amp;$H1086&amp;$N1086&amp;$O1086,APOIO_REDES!$W:$W,0),MATCH(AZ$5,APOIO_REDES!$5:$5,0)),0)*$AP1086,0)</f>
        <v>0.845672777555369</v>
      </c>
      <c r="BA1086" s="153" t="n">
        <f aca="false">IFERROR(IF(AND($N1086="VCA",$Q1086="LINEAR"),INDEX(APOIO_REDES!$A:$W,MATCH($C1086&amp;$I1086&amp;$H1086&amp;$N1086&amp;$O1086,APOIO_REDES!$W:$W,0),MATCH(BA$5,APOIO_REDES!$5:$5,0)),IF(AND($N1086="MND",$Q1086="EMBOQUE"),INDEX(APOIO_REDES!$A:$W,MATCH($C1086&amp;$I1086&amp;$H1086&amp;$N1086&amp;$O1086,APOIO_REDES!$W:$W,0),MATCH(BA$5,APOIO_REDES!$5:$5,0)),0))*$M1086/10,0)</f>
        <v>3.19891388514148</v>
      </c>
      <c r="BB1086" s="153" t="n">
        <f aca="false">IFERROR(IF($N1086="VCA",INDEX(APOIO_REDES!$A:$W,MATCH($C1086&amp;$I1086&amp;$H1086&amp;$N1086&amp;$O1086,APOIO_REDES!$W:$W,0),MATCH(BB$5,APOIO_REDES!$5:$5,0)),0)*($AI1086+$AQ1086+$AR1086),0)</f>
        <v>11.8147435687076</v>
      </c>
      <c r="BC1086" s="153" t="n">
        <f aca="false">IFERROR(IF($N1086="VCA",INDEX(APOIO_REDES!$A:$W,MATCH($C1086&amp;$I1086&amp;$H1086&amp;$N1086&amp;$O1086,APOIO_REDES!$W:$W,0),MATCH(BC$5,APOIO_REDES!$5:$5,0)),0)*($AI1086+$AQ1086+$AR1086),0)</f>
        <v>0.129961931292361</v>
      </c>
      <c r="BD1086" s="153" t="n">
        <f aca="false">IF(AND($N1086="VCA",$AF1086&gt;=1.25,$AF1086&lt;1.5),$M1086*$AF1086*2,0)</f>
        <v>108.19494</v>
      </c>
      <c r="BE1086" s="153" t="n">
        <f aca="false">IF(AND($N1086="VCA",$AF1086&gt;=1.5,$AF1086&lt;3),$M1086*$AF1086*2,0)</f>
        <v>0</v>
      </c>
      <c r="BF1086" s="153" t="n">
        <f aca="false">IF(AND($N1086="VCA",$AF1086&gt;=3),$M1086*$AF1086*2,0)</f>
        <v>0</v>
      </c>
      <c r="BG1086" s="153" t="n">
        <f aca="false">($BB1086+$BC1086)*$AK1086</f>
        <v>71.668233</v>
      </c>
      <c r="BH1086" s="153" t="n">
        <f aca="false">IF(AND($M1086&lt;&gt;"",$N1086="VCA",$Q1086="LINEAR"),($M1086*2)/100,IF(AND($M1086&lt;&gt;"",$N1086="MND",$Q1086="EMBOQUE"),($AN1086*2)/100,0))</f>
        <v>0.7938</v>
      </c>
      <c r="BI1086" s="153" t="n">
        <f aca="false">IF(AND($M1086&lt;&gt;"",$N1086="VCA",$Q1086="LINEAR"),$M1086,IF(AND($M1086&lt;&gt;"",$N1086="MND",$Q1086="EMBOQUE"),$AN1086*2,0))</f>
        <v>39.69</v>
      </c>
      <c r="BJ1086" s="153" t="n">
        <f aca="false">IF(AND($M1086&lt;&gt;"",$N1086="VCA",$Q1086="LINEAR"),($M1086*6.8)/100,IF(AND($M1086&lt;&gt;"",$N1086="MND",$Q1086="EMBOQUE"),($AN1086*2*6.8)/100,0))</f>
        <v>2.69892</v>
      </c>
      <c r="BK1086" s="153" t="n">
        <f aca="false">IF(AND($M1086&lt;&gt;"",$N1086="VCA",$Q1086="LINEAR"),($M1086*2.5)/50,IF(AND($M1086&lt;&gt;"",$N1086="MND",$Q1086="EMBOQUE"),($AN1086*2*2.5)/50,0))</f>
        <v>1.9845</v>
      </c>
      <c r="BL1086" s="157" t="str">
        <f aca="false">K1086&amp;J1086</f>
        <v>Zona09REDES</v>
      </c>
      <c r="BM1086" s="152" t="s">
        <v>5109</v>
      </c>
      <c r="BN1086" s="152" t="s">
        <v>1560</v>
      </c>
      <c r="BO1086" s="152" t="s">
        <v>5627</v>
      </c>
      <c r="BP1086" s="152" t="s">
        <v>5665</v>
      </c>
      <c r="BQ1086" s="152" t="s">
        <v>5666</v>
      </c>
      <c r="BR1086" s="152" t="s">
        <v>5667</v>
      </c>
      <c r="BS1086" s="152" t="n">
        <v>203238.889</v>
      </c>
      <c r="BT1086" s="152" t="n">
        <v>8236008.565</v>
      </c>
      <c r="BU1086" s="152" t="n">
        <v>203220.928</v>
      </c>
      <c r="BV1086" s="152" t="n">
        <v>8236039.156</v>
      </c>
      <c r="BW1086" s="152" t="n">
        <v>-15.9373387</v>
      </c>
      <c r="BX1086" s="152" t="n">
        <v>-47.7719896</v>
      </c>
      <c r="BY1086" s="152" t="s">
        <v>5665</v>
      </c>
    </row>
    <row r="1087" customFormat="false" ht="13.8" hidden="false" customHeight="false" outlineLevel="0" collapsed="false">
      <c r="A1087" s="149" t="n">
        <f aca="false">IF(C1087&lt;&gt;"",ROW(A1082),"")</f>
        <v>1082</v>
      </c>
      <c r="B1087" s="150" t="str">
        <f aca="false">HYPERLINK("https://www.google.com/maps/dir/-15.917302,-47.760003/-15.9373790,-47.7713829/data=!4m3!4m2!3e0!5i1")</f>
        <v>https://www.google.com/maps/dir/-15.917302,-47.760003/-15.9373790,-47.7713829/data=!4m3!4m2!3e0!5i1</v>
      </c>
      <c r="C1087" s="151" t="s">
        <v>117</v>
      </c>
      <c r="D1087" s="152" t="s">
        <v>112</v>
      </c>
      <c r="E1087" s="152" t="s">
        <v>113</v>
      </c>
      <c r="F1087" s="152" t="s">
        <v>117</v>
      </c>
      <c r="G1087" s="152" t="s">
        <v>782</v>
      </c>
      <c r="H1087" s="152" t="n">
        <v>63</v>
      </c>
      <c r="I1087" s="152" t="s">
        <v>115</v>
      </c>
      <c r="J1087" s="152" t="s">
        <v>6</v>
      </c>
      <c r="K1087" s="152" t="s">
        <v>5106</v>
      </c>
      <c r="L1087" s="152" t="s">
        <v>120</v>
      </c>
      <c r="M1087" s="153" t="n">
        <f aca="false">56.51+0.25</f>
        <v>56.76</v>
      </c>
      <c r="N1087" s="152" t="s">
        <v>1548</v>
      </c>
      <c r="O1087" s="152" t="s">
        <v>1549</v>
      </c>
      <c r="P1087" s="152" t="s">
        <v>1550</v>
      </c>
      <c r="Q1087" s="152" t="s">
        <v>1551</v>
      </c>
      <c r="R1087" s="154" t="s">
        <v>5668</v>
      </c>
      <c r="S1087" s="154" t="s">
        <v>1553</v>
      </c>
      <c r="T1087" s="155" t="s">
        <v>5625</v>
      </c>
      <c r="U1087" s="152" t="str">
        <f aca="false">RIGHT(T1087,7)</f>
        <v>023/037</v>
      </c>
      <c r="V1087" s="152" t="s">
        <v>1555</v>
      </c>
      <c r="W1087" s="156" t="n">
        <v>45882</v>
      </c>
      <c r="X1087" s="152" t="s">
        <v>1594</v>
      </c>
      <c r="Y1087" s="152" t="s">
        <v>5580</v>
      </c>
      <c r="Z1087" s="152" t="s">
        <v>1557</v>
      </c>
      <c r="AA1087" s="153" t="n">
        <v>5.9</v>
      </c>
      <c r="AB1087" s="151" t="s">
        <v>5669</v>
      </c>
      <c r="AC1087" s="151" t="s">
        <v>186</v>
      </c>
      <c r="AD1087" s="151" t="str">
        <f aca="false">CONCATENATE($C1087,$I1087,$H1087,$N1087,$J1087,$K1087)</f>
        <v>TUBO PEADPEAD63VCAREDESZona09</v>
      </c>
      <c r="AE1087" s="153" t="n">
        <f aca="false">IFERROR(INDEX(APOIO_REDES!$A:$W,MATCH($C1087&amp;$I1087&amp;$H1087&amp;$N1087&amp;$O1087,APOIO_REDES!$W:$W,0),MATCH(AE$5,APOIO_REDES!$5:$5,0)),0)</f>
        <v>1.2</v>
      </c>
      <c r="AF1087" s="153" t="n">
        <f aca="false">IFERROR(INDEX(APOIO_REDES!$A:$W,MATCH($C1087&amp;$I1087&amp;$H1087&amp;$N1087&amp;$O1087,APOIO_REDES!$W:$W,0),MATCH(AF$5,APOIO_REDES!$5:$5,0)),0)</f>
        <v>1.363</v>
      </c>
      <c r="AG1087" s="153" t="n">
        <f aca="false">IFERROR(INDEX(APOIO_REDES!$A:$W,MATCH($C1087&amp;$I1087&amp;$H1087&amp;$N1087&amp;$O1087,APOIO_REDES!$W:$W,0),MATCH(AG$5,APOIO_REDES!$5:$5,0)),0)</f>
        <v>0.65</v>
      </c>
      <c r="AH1087" s="153" t="n">
        <f aca="false">IFERROR(INDEX(APOIO_REDES!$A:$W,MATCH($C1087&amp;$I1087&amp;$H1087&amp;$N1087&amp;$O1087,APOIO_REDES!$W:$W,0),MATCH(AH$5,APOIO_REDES!$5:$5,0)),0)</f>
        <v>0.1</v>
      </c>
      <c r="AI1087" s="153" t="n">
        <f aca="false">IFERROR(IF($H1087&lt;&gt;"",(((($H1087/1000)/2)^2)*PI()*$M1087),0),0)</f>
        <v>0.176934843825369</v>
      </c>
      <c r="AJ1087" s="153" t="n">
        <f aca="false">IFERROR(IF(AND($H1087&lt;&gt;"",$I1087="FoFo",OR($N1087="MND",$N1087="VCA"),$Q1087="LINEAR"),0,IF(AND($H1087&lt;&gt;"",$I1087="PEAD",$N1087="VCA",$Q1087="LINEAR"),($H1087/1000)+0.3,IF(AND($H1087&lt;&gt;"",$I1087="PEAD",$N1087="MND",$Q1087="EMBOQUE"),0,IF(AND($H1087&lt;&gt;"",$I1087="PVC",$N1087="VCA",$Q1087="LINEAR"),($H1087/1000)+0.2,IF(AND($H1087&lt;&gt;"",$I1087="PVC",$N1087="MND",$Q1087="EMBOQUE"),0,IF(AND($H1087&lt;&gt;"",$I1087="PEAD",$N1087="VCA",$Q1087="PREDIAL"),0,0)))))),0)</f>
        <v>0.363</v>
      </c>
      <c r="AK1087" s="153" t="n">
        <f aca="false">IF(AA1087&lt;&gt;"",AA1087,0)</f>
        <v>5.9</v>
      </c>
      <c r="AL1087" s="153" t="n">
        <f aca="false">IF(AND($N1087="MND",$Q1087="EMBOQUE"),$M1087,IF(AND($N1087="VCA",$Q1087="LINEAR"),$M1087,IF(AND($N1087="VCA",$Q1087="PREDIAL"),0,0)))</f>
        <v>56.76</v>
      </c>
      <c r="AM1087" s="153" t="n">
        <f aca="false">IF(AND($N1087="MND",$Q1087="EMBOQUE"),$M1087,IF(AND($N1087="VCA",$Q1087="LINEAR"),$M1087,IF(AND($N1087="VCA",$Q1087="PREDIAL"),0,0)))</f>
        <v>56.76</v>
      </c>
      <c r="AN1087" s="153" t="n">
        <f aca="false">ROUND(IF(AND($N1087="VCA",$M1087&lt;&gt;"",$Q1087="LINEAR"),$M1087/100,IF(AND($N1087="MND",$M1087&gt;100,$Q1087="EMBOQUE"),$M1087/100,0)),0)</f>
        <v>1</v>
      </c>
      <c r="AO1087" s="153" t="n">
        <f aca="false">IF(AND($N1087="MND",$Q1087="EMBOQUE"),$AN1087*2*2,IF(AND($N1087="VCA",$Q1087="LINEAR"),$M1087*2,IF(AND($N1087="VCA",$Q1087="PREDIAL"),0,0)))</f>
        <v>113.52</v>
      </c>
      <c r="AP1087" s="153" t="n">
        <f aca="false">IFERROR($M1087*$AF1087*$AG1087,0)</f>
        <v>50.286522</v>
      </c>
      <c r="AQ1087" s="153" t="n">
        <f aca="false">IFERROR(IF(AND($N1087="VCA",$AH1087&gt;0),$M1087*$AG1087*$AH1087,0),0)</f>
        <v>3.6894</v>
      </c>
      <c r="AR1087" s="153" t="n">
        <f aca="false">IFERROR(IF(AND($N1087="VCA",$AJ1087&gt;0),($M1087*$AG1087*$AJ1087)-$AI1087,0),0)</f>
        <v>13.2155871561746</v>
      </c>
      <c r="AS1087" s="153" t="n">
        <f aca="false">IFERROR(IF(AND($N1087="VCA",$AP1087&gt;0),$AP1087-$AI1087-$AQ1087-$AR1087,0),0)</f>
        <v>33.2046</v>
      </c>
      <c r="AT1087" s="153" t="n">
        <f aca="false">IFERROR(IF($N1087="VCA",INDEX(APOIO_REDES!$A:$W,MATCH($C1087&amp;$I1087&amp;$H1087&amp;$N1087&amp;$O1087,APOIO_REDES!$W:$W,0),MATCH(AT$5,APOIO_REDES!$5:$5,0)),0)*$AP1087,0)</f>
        <v>0.547132243410757</v>
      </c>
      <c r="AU1087" s="153" t="n">
        <f aca="false">IFERROR(IF($N1087="VCA",INDEX(APOIO_REDES!$A:$W,MATCH($C1087&amp;$I1087&amp;$H1087&amp;$N1087&amp;$O1087,APOIO_REDES!$W:$W,0),MATCH(AU$5,APOIO_REDES!$5:$5,0)),0)*$AP1087,0)</f>
        <v>0.436924991367425</v>
      </c>
      <c r="AV1087" s="153" t="n">
        <f aca="false">IFERROR(IF($N1087="VCA",INDEX(APOIO_REDES!$A:$W,MATCH($C1087&amp;$I1087&amp;$H1087&amp;$N1087&amp;$O1087,APOIO_REDES!$W:$W,0),MATCH(AV$5,APOIO_REDES!$5:$5,0)),0)*$AP1087,0)</f>
        <v>0.0604669888095859</v>
      </c>
      <c r="AW1087" s="153" t="n">
        <f aca="false">IFERROR(IF($N1087="VCA",INDEX(APOIO_REDES!$A:$W,MATCH($C1087&amp;$I1087&amp;$H1087&amp;$N1087&amp;$O1087,APOIO_REDES!$W:$W,0),MATCH(AW$5,APOIO_REDES!$5:$5,0)),0)*$AP1087,0)</f>
        <v>34.5170583397859</v>
      </c>
      <c r="AX1087" s="153" t="n">
        <f aca="false">IFERROR(IF($N1087="VCA",INDEX(APOIO_REDES!$A:$W,MATCH($C1087&amp;$I1087&amp;$H1087&amp;$N1087&amp;$O1087,APOIO_REDES!$W:$W,0),MATCH(AX$5,APOIO_REDES!$5:$5,0)),0)*$AP1087,0)</f>
        <v>4.77706255052453</v>
      </c>
      <c r="AY1087" s="153" t="n">
        <f aca="false">IFERROR(IF($N1087="VCA",INDEX(APOIO_REDES!$A:$W,MATCH($C1087&amp;$I1087&amp;$H1087&amp;$N1087&amp;$O1087,APOIO_REDES!$W:$W,0),MATCH(AY$5,APOIO_REDES!$5:$5,0)),0)*$AP1087,0)</f>
        <v>8.73849450126827</v>
      </c>
      <c r="AZ1087" s="153" t="n">
        <f aca="false">IFERROR(IF($N1087="VCA",INDEX(APOIO_REDES!$A:$W,MATCH($C1087&amp;$I1087&amp;$H1087&amp;$N1087&amp;$O1087,APOIO_REDES!$W:$W,0),MATCH(AZ$5,APOIO_REDES!$5:$5,0)),0)*$AP1087,0)</f>
        <v>1.20938238483353</v>
      </c>
      <c r="BA1087" s="153" t="n">
        <f aca="false">IFERROR(IF(AND($N1087="VCA",$Q1087="LINEAR"),INDEX(APOIO_REDES!$A:$W,MATCH($C1087&amp;$I1087&amp;$H1087&amp;$N1087&amp;$O1087,APOIO_REDES!$W:$W,0),MATCH(BA$5,APOIO_REDES!$5:$5,0)),IF(AND($N1087="MND",$Q1087="EMBOQUE"),INDEX(APOIO_REDES!$A:$W,MATCH($C1087&amp;$I1087&amp;$H1087&amp;$N1087&amp;$O1087,APOIO_REDES!$W:$W,0),MATCH(BA$5,APOIO_REDES!$5:$5,0)),0))*$M1087/10,0)</f>
        <v>4.57471282742833</v>
      </c>
      <c r="BB1087" s="153" t="n">
        <f aca="false">IFERROR(IF($N1087="VCA",INDEX(APOIO_REDES!$A:$W,MATCH($C1087&amp;$I1087&amp;$H1087&amp;$N1087&amp;$O1087,APOIO_REDES!$W:$W,0),MATCH(BB$5,APOIO_REDES!$5:$5,0)),0)*($AI1087+$AQ1087+$AR1087),0)</f>
        <v>16.8960656326492</v>
      </c>
      <c r="BC1087" s="153" t="n">
        <f aca="false">IFERROR(IF($N1087="VCA",INDEX(APOIO_REDES!$A:$W,MATCH($C1087&amp;$I1087&amp;$H1087&amp;$N1087&amp;$O1087,APOIO_REDES!$W:$W,0),MATCH(BC$5,APOIO_REDES!$5:$5,0)),0)*($AI1087+$AQ1087+$AR1087),0)</f>
        <v>0.18585636735083</v>
      </c>
      <c r="BD1087" s="153" t="n">
        <f aca="false">IF(AND($N1087="VCA",$AF1087&gt;=1.25,$AF1087&lt;1.5),$M1087*$AF1087*2,0)</f>
        <v>154.72776</v>
      </c>
      <c r="BE1087" s="153" t="n">
        <f aca="false">IF(AND($N1087="VCA",$AF1087&gt;=1.5,$AF1087&lt;3),$M1087*$AF1087*2,0)</f>
        <v>0</v>
      </c>
      <c r="BF1087" s="153" t="n">
        <f aca="false">IF(AND($N1087="VCA",$AF1087&gt;=3),$M1087*$AF1087*2,0)</f>
        <v>0</v>
      </c>
      <c r="BG1087" s="153" t="n">
        <f aca="false">($BB1087+$BC1087)*$AK1087</f>
        <v>100.7833398</v>
      </c>
      <c r="BH1087" s="153" t="n">
        <f aca="false">IF(AND($M1087&lt;&gt;"",$N1087="VCA",$Q1087="LINEAR"),($M1087*2)/100,IF(AND($M1087&lt;&gt;"",$N1087="MND",$Q1087="EMBOQUE"),($AN1087*2)/100,0))</f>
        <v>1.1352</v>
      </c>
      <c r="BI1087" s="153" t="n">
        <f aca="false">IF(AND($M1087&lt;&gt;"",$N1087="VCA",$Q1087="LINEAR"),$M1087,IF(AND($M1087&lt;&gt;"",$N1087="MND",$Q1087="EMBOQUE"),$AN1087*2,0))</f>
        <v>56.76</v>
      </c>
      <c r="BJ1087" s="153" t="n">
        <f aca="false">IF(AND($M1087&lt;&gt;"",$N1087="VCA",$Q1087="LINEAR"),($M1087*6.8)/100,IF(AND($M1087&lt;&gt;"",$N1087="MND",$Q1087="EMBOQUE"),($AN1087*2*6.8)/100,0))</f>
        <v>3.85968</v>
      </c>
      <c r="BK1087" s="153" t="n">
        <f aca="false">IF(AND($M1087&lt;&gt;"",$N1087="VCA",$Q1087="LINEAR"),($M1087*2.5)/50,IF(AND($M1087&lt;&gt;"",$N1087="MND",$Q1087="EMBOQUE"),($AN1087*2*2.5)/50,0))</f>
        <v>2.838</v>
      </c>
      <c r="BL1087" s="157" t="str">
        <f aca="false">K1087&amp;J1087</f>
        <v>Zona09REDES</v>
      </c>
      <c r="BM1087" s="152" t="s">
        <v>5109</v>
      </c>
      <c r="BN1087" s="152" t="s">
        <v>1560</v>
      </c>
      <c r="BO1087" s="152" t="s">
        <v>5627</v>
      </c>
      <c r="BP1087" s="152" t="s">
        <v>5661</v>
      </c>
      <c r="BQ1087" s="152" t="s">
        <v>5665</v>
      </c>
      <c r="BR1087" s="152" t="s">
        <v>5670</v>
      </c>
      <c r="BS1087" s="152" t="n">
        <v>203294.283</v>
      </c>
      <c r="BT1087" s="152" t="n">
        <v>8236019.901</v>
      </c>
      <c r="BU1087" s="152" t="n">
        <v>203238.96</v>
      </c>
      <c r="BV1087" s="152" t="n">
        <v>8236008.474</v>
      </c>
      <c r="BW1087" s="152" t="n">
        <v>-15.9374287</v>
      </c>
      <c r="BX1087" s="152" t="n">
        <v>-47.7716415</v>
      </c>
      <c r="BY1087" s="152" t="s">
        <v>5661</v>
      </c>
    </row>
    <row r="1088" customFormat="false" ht="13.8" hidden="false" customHeight="false" outlineLevel="0" collapsed="false">
      <c r="A1088" s="149" t="n">
        <f aca="false">IF(C1088&lt;&gt;"",ROW(A1083),"")</f>
        <v>1083</v>
      </c>
      <c r="B1088" s="150" t="str">
        <f aca="false">HYPERLINK("https://www.google.com/maps/dir/-15.917302,-47.760003/-15.9374757,-47.7719019/data=!4m3!4m2!3e0!5i2")</f>
        <v>https://www.google.com/maps/dir/-15.917302,-47.760003/-15.9374757,-47.7719019/data=!4m3!4m2!3e0!5i2</v>
      </c>
      <c r="C1088" s="151" t="s">
        <v>117</v>
      </c>
      <c r="D1088" s="152" t="s">
        <v>112</v>
      </c>
      <c r="E1088" s="152" t="s">
        <v>113</v>
      </c>
      <c r="F1088" s="152" t="s">
        <v>117</v>
      </c>
      <c r="G1088" s="152" t="s">
        <v>782</v>
      </c>
      <c r="H1088" s="152" t="n">
        <v>63</v>
      </c>
      <c r="I1088" s="152" t="s">
        <v>115</v>
      </c>
      <c r="J1088" s="152" t="s">
        <v>6</v>
      </c>
      <c r="K1088" s="152" t="s">
        <v>5106</v>
      </c>
      <c r="L1088" s="152" t="s">
        <v>120</v>
      </c>
      <c r="M1088" s="153" t="n">
        <f aca="false">52.68</f>
        <v>52.68</v>
      </c>
      <c r="N1088" s="152" t="s">
        <v>1548</v>
      </c>
      <c r="O1088" s="152" t="s">
        <v>1549</v>
      </c>
      <c r="P1088" s="152" t="s">
        <v>1550</v>
      </c>
      <c r="Q1088" s="152" t="s">
        <v>1551</v>
      </c>
      <c r="R1088" s="154" t="s">
        <v>5671</v>
      </c>
      <c r="S1088" s="154" t="s">
        <v>1553</v>
      </c>
      <c r="T1088" s="155" t="s">
        <v>5625</v>
      </c>
      <c r="U1088" s="152" t="str">
        <f aca="false">RIGHT(T1088,7)</f>
        <v>023/037</v>
      </c>
      <c r="V1088" s="152" t="s">
        <v>1555</v>
      </c>
      <c r="W1088" s="156" t="n">
        <v>45882</v>
      </c>
      <c r="X1088" s="152" t="s">
        <v>1594</v>
      </c>
      <c r="Y1088" s="152" t="s">
        <v>5580</v>
      </c>
      <c r="Z1088" s="152" t="s">
        <v>1557</v>
      </c>
      <c r="AA1088" s="153" t="n">
        <v>6</v>
      </c>
      <c r="AB1088" s="151" t="s">
        <v>5672</v>
      </c>
      <c r="AC1088" s="151" t="s">
        <v>186</v>
      </c>
      <c r="AD1088" s="151" t="str">
        <f aca="false">CONCATENATE($C1088,$I1088,$H1088,$N1088,$J1088,$K1088)</f>
        <v>TUBO PEADPEAD63VCAREDESZona09</v>
      </c>
      <c r="AE1088" s="153" t="n">
        <f aca="false">IFERROR(INDEX(APOIO_REDES!$A:$W,MATCH($C1088&amp;$I1088&amp;$H1088&amp;$N1088&amp;$O1088,APOIO_REDES!$W:$W,0),MATCH(AE$5,APOIO_REDES!$5:$5,0)),0)</f>
        <v>1.2</v>
      </c>
      <c r="AF1088" s="153" t="n">
        <f aca="false">IFERROR(INDEX(APOIO_REDES!$A:$W,MATCH($C1088&amp;$I1088&amp;$H1088&amp;$N1088&amp;$O1088,APOIO_REDES!$W:$W,0),MATCH(AF$5,APOIO_REDES!$5:$5,0)),0)</f>
        <v>1.363</v>
      </c>
      <c r="AG1088" s="153" t="n">
        <f aca="false">IFERROR(INDEX(APOIO_REDES!$A:$W,MATCH($C1088&amp;$I1088&amp;$H1088&amp;$N1088&amp;$O1088,APOIO_REDES!$W:$W,0),MATCH(AG$5,APOIO_REDES!$5:$5,0)),0)</f>
        <v>0.65</v>
      </c>
      <c r="AH1088" s="153" t="n">
        <f aca="false">IFERROR(INDEX(APOIO_REDES!$A:$W,MATCH($C1088&amp;$I1088&amp;$H1088&amp;$N1088&amp;$O1088,APOIO_REDES!$W:$W,0),MATCH(AH$5,APOIO_REDES!$5:$5,0)),0)</f>
        <v>0.1</v>
      </c>
      <c r="AI1088" s="153" t="n">
        <f aca="false">IFERROR(IF($H1088&lt;&gt;"",(((($H1088/1000)/2)^2)*PI()*$M1088),0),0)</f>
        <v>0.164216482958429</v>
      </c>
      <c r="AJ1088" s="153" t="n">
        <f aca="false">IFERROR(IF(AND($H1088&lt;&gt;"",$I1088="FoFo",OR($N1088="MND",$N1088="VCA"),$Q1088="LINEAR"),0,IF(AND($H1088&lt;&gt;"",$I1088="PEAD",$N1088="VCA",$Q1088="LINEAR"),($H1088/1000)+0.3,IF(AND($H1088&lt;&gt;"",$I1088="PEAD",$N1088="MND",$Q1088="EMBOQUE"),0,IF(AND($H1088&lt;&gt;"",$I1088="PVC",$N1088="VCA",$Q1088="LINEAR"),($H1088/1000)+0.2,IF(AND($H1088&lt;&gt;"",$I1088="PVC",$N1088="MND",$Q1088="EMBOQUE"),0,IF(AND($H1088&lt;&gt;"",$I1088="PEAD",$N1088="VCA",$Q1088="PREDIAL"),0,0)))))),0)</f>
        <v>0.363</v>
      </c>
      <c r="AK1088" s="153" t="n">
        <f aca="false">IF(AA1088&lt;&gt;"",AA1088,0)</f>
        <v>6</v>
      </c>
      <c r="AL1088" s="153" t="n">
        <f aca="false">IF(AND($N1088="MND",$Q1088="EMBOQUE"),$M1088,IF(AND($N1088="VCA",$Q1088="LINEAR"),$M1088,IF(AND($N1088="VCA",$Q1088="PREDIAL"),0,0)))</f>
        <v>52.68</v>
      </c>
      <c r="AM1088" s="153" t="n">
        <f aca="false">IF(AND($N1088="MND",$Q1088="EMBOQUE"),$M1088,IF(AND($N1088="VCA",$Q1088="LINEAR"),$M1088,IF(AND($N1088="VCA",$Q1088="PREDIAL"),0,0)))</f>
        <v>52.68</v>
      </c>
      <c r="AN1088" s="153" t="n">
        <f aca="false">ROUND(IF(AND($N1088="VCA",$M1088&lt;&gt;"",$Q1088="LINEAR"),$M1088/100,IF(AND($N1088="MND",$M1088&gt;100,$Q1088="EMBOQUE"),$M1088/100,0)),0)</f>
        <v>1</v>
      </c>
      <c r="AO1088" s="153" t="n">
        <f aca="false">IF(AND($N1088="MND",$Q1088="EMBOQUE"),$AN1088*2*2,IF(AND($N1088="VCA",$Q1088="LINEAR"),$M1088*2,IF(AND($N1088="VCA",$Q1088="PREDIAL"),0,0)))</f>
        <v>105.36</v>
      </c>
      <c r="AP1088" s="153" t="n">
        <f aca="false">IFERROR($M1088*$AF1088*$AG1088,0)</f>
        <v>46.671846</v>
      </c>
      <c r="AQ1088" s="153" t="n">
        <f aca="false">IFERROR(IF(AND($N1088="VCA",$AH1088&gt;0),$M1088*$AG1088*$AH1088,0),0)</f>
        <v>3.4242</v>
      </c>
      <c r="AR1088" s="153" t="n">
        <f aca="false">IFERROR(IF(AND($N1088="VCA",$AJ1088&gt;0),($M1088*$AG1088*$AJ1088)-$AI1088,0),0)</f>
        <v>12.2656295170416</v>
      </c>
      <c r="AS1088" s="153" t="n">
        <f aca="false">IFERROR(IF(AND($N1088="VCA",$AP1088&gt;0),$AP1088-$AI1088-$AQ1088-$AR1088,0),0)</f>
        <v>30.8178</v>
      </c>
      <c r="AT1088" s="153" t="n">
        <f aca="false">IFERROR(IF($N1088="VCA",INDEX(APOIO_REDES!$A:$W,MATCH($C1088&amp;$I1088&amp;$H1088&amp;$N1088&amp;$O1088,APOIO_REDES!$W:$W,0),MATCH(AT$5,APOIO_REDES!$5:$5,0)),0)*$AP1088,0)</f>
        <v>0.507803498641274</v>
      </c>
      <c r="AU1088" s="153" t="n">
        <f aca="false">IFERROR(IF($N1088="VCA",INDEX(APOIO_REDES!$A:$W,MATCH($C1088&amp;$I1088&amp;$H1088&amp;$N1088&amp;$O1088,APOIO_REDES!$W:$W,0),MATCH(AU$5,APOIO_REDES!$5:$5,0)),0)*$AP1088,0)</f>
        <v>0.405518120952008</v>
      </c>
      <c r="AV1088" s="153" t="n">
        <f aca="false">IFERROR(IF($N1088="VCA",INDEX(APOIO_REDES!$A:$W,MATCH($C1088&amp;$I1088&amp;$H1088&amp;$N1088&amp;$O1088,APOIO_REDES!$W:$W,0),MATCH(AV$5,APOIO_REDES!$5:$5,0)),0)*$AP1088,0)</f>
        <v>0.0561205244976918</v>
      </c>
      <c r="AW1088" s="153" t="n">
        <f aca="false">IFERROR(IF($N1088="VCA",INDEX(APOIO_REDES!$A:$W,MATCH($C1088&amp;$I1088&amp;$H1088&amp;$N1088&amp;$O1088,APOIO_REDES!$W:$W,0),MATCH(AW$5,APOIO_REDES!$5:$5,0)),0)*$AP1088,0)</f>
        <v>32.0359167255095</v>
      </c>
      <c r="AX1088" s="153" t="n">
        <f aca="false">IFERROR(IF($N1088="VCA",INDEX(APOIO_REDES!$A:$W,MATCH($C1088&amp;$I1088&amp;$H1088&amp;$N1088&amp;$O1088,APOIO_REDES!$W:$W,0),MATCH(AX$5,APOIO_REDES!$5:$5,0)),0)*$AP1088,0)</f>
        <v>4.43367961877435</v>
      </c>
      <c r="AY1088" s="153" t="n">
        <f aca="false">IFERROR(IF($N1088="VCA",INDEX(APOIO_REDES!$A:$W,MATCH($C1088&amp;$I1088&amp;$H1088&amp;$N1088&amp;$O1088,APOIO_REDES!$W:$W,0),MATCH(AY$5,APOIO_REDES!$5:$5,0)),0)*$AP1088,0)</f>
        <v>8.11035747580713</v>
      </c>
      <c r="AZ1088" s="153" t="n">
        <f aca="false">IFERROR(IF($N1088="VCA",INDEX(APOIO_REDES!$A:$W,MATCH($C1088&amp;$I1088&amp;$H1088&amp;$N1088&amp;$O1088,APOIO_REDES!$W:$W,0),MATCH(AZ$5,APOIO_REDES!$5:$5,0)),0)*$AP1088,0)</f>
        <v>1.12245003581801</v>
      </c>
      <c r="BA1088" s="153" t="n">
        <f aca="false">IFERROR(IF(AND($N1088="VCA",$Q1088="LINEAR"),INDEX(APOIO_REDES!$A:$W,MATCH($C1088&amp;$I1088&amp;$H1088&amp;$N1088&amp;$O1088,APOIO_REDES!$W:$W,0),MATCH(BA$5,APOIO_REDES!$5:$5,0)),IF(AND($N1088="MND",$Q1088="EMBOQUE"),INDEX(APOIO_REDES!$A:$W,MATCH($C1088&amp;$I1088&amp;$H1088&amp;$N1088&amp;$O1088,APOIO_REDES!$W:$W,0),MATCH(BA$5,APOIO_REDES!$5:$5,0)),0))*$M1088/10,0)</f>
        <v>4.24587511890283</v>
      </c>
      <c r="BB1088" s="153" t="n">
        <f aca="false">IFERROR(IF($N1088="VCA",INDEX(APOIO_REDES!$A:$W,MATCH($C1088&amp;$I1088&amp;$H1088&amp;$N1088&amp;$O1088,APOIO_REDES!$W:$W,0),MATCH(BB$5,APOIO_REDES!$5:$5,0)),0)*($AI1088+$AQ1088+$AR1088),0)</f>
        <v>15.6815492869619</v>
      </c>
      <c r="BC1088" s="153" t="n">
        <f aca="false">IFERROR(IF($N1088="VCA",INDEX(APOIO_REDES!$A:$W,MATCH($C1088&amp;$I1088&amp;$H1088&amp;$N1088&amp;$O1088,APOIO_REDES!$W:$W,0),MATCH(BC$5,APOIO_REDES!$5:$5,0)),0)*($AI1088+$AQ1088+$AR1088),0)</f>
        <v>0.172496713038085</v>
      </c>
      <c r="BD1088" s="153" t="n">
        <f aca="false">IF(AND($N1088="VCA",$AF1088&gt;=1.25,$AF1088&lt;1.5),$M1088*$AF1088*2,0)</f>
        <v>143.60568</v>
      </c>
      <c r="BE1088" s="153" t="n">
        <f aca="false">IF(AND($N1088="VCA",$AF1088&gt;=1.5,$AF1088&lt;3),$M1088*$AF1088*2,0)</f>
        <v>0</v>
      </c>
      <c r="BF1088" s="153" t="n">
        <f aca="false">IF(AND($N1088="VCA",$AF1088&gt;=3),$M1088*$AF1088*2,0)</f>
        <v>0</v>
      </c>
      <c r="BG1088" s="153" t="n">
        <f aca="false">($BB1088+$BC1088)*$AK1088</f>
        <v>95.124276</v>
      </c>
      <c r="BH1088" s="153" t="n">
        <f aca="false">IF(AND($M1088&lt;&gt;"",$N1088="VCA",$Q1088="LINEAR"),($M1088*2)/100,IF(AND($M1088&lt;&gt;"",$N1088="MND",$Q1088="EMBOQUE"),($AN1088*2)/100,0))</f>
        <v>1.0536</v>
      </c>
      <c r="BI1088" s="153" t="n">
        <f aca="false">IF(AND($M1088&lt;&gt;"",$N1088="VCA",$Q1088="LINEAR"),$M1088,IF(AND($M1088&lt;&gt;"",$N1088="MND",$Q1088="EMBOQUE"),$AN1088*2,0))</f>
        <v>52.68</v>
      </c>
      <c r="BJ1088" s="153" t="n">
        <f aca="false">IF(AND($M1088&lt;&gt;"",$N1088="VCA",$Q1088="LINEAR"),($M1088*6.8)/100,IF(AND($M1088&lt;&gt;"",$N1088="MND",$Q1088="EMBOQUE"),($AN1088*2*6.8)/100,0))</f>
        <v>3.58224</v>
      </c>
      <c r="BK1088" s="153" t="n">
        <f aca="false">IF(AND($M1088&lt;&gt;"",$N1088="VCA",$Q1088="LINEAR"),($M1088*2.5)/50,IF(AND($M1088&lt;&gt;"",$N1088="MND",$Q1088="EMBOQUE"),($AN1088*2*2.5)/50,0))</f>
        <v>2.634</v>
      </c>
      <c r="BL1088" s="157" t="str">
        <f aca="false">K1088&amp;J1088</f>
        <v>Zona09REDES</v>
      </c>
      <c r="BM1088" s="152" t="s">
        <v>5109</v>
      </c>
      <c r="BN1088" s="152" t="s">
        <v>1560</v>
      </c>
      <c r="BO1088" s="152" t="s">
        <v>5627</v>
      </c>
      <c r="BP1088" s="152" t="s">
        <v>5665</v>
      </c>
      <c r="BQ1088" s="152" t="s">
        <v>5617</v>
      </c>
      <c r="BR1088" s="152" t="s">
        <v>5590</v>
      </c>
      <c r="BS1088" s="152" t="n">
        <v>203238.823</v>
      </c>
      <c r="BT1088" s="152" t="n">
        <v>8236008.454</v>
      </c>
      <c r="BU1088" s="152" t="n">
        <v>203187.838</v>
      </c>
      <c r="BV1088" s="152" t="n">
        <v>8235995.303</v>
      </c>
      <c r="BW1088" s="152" t="n">
        <v>-15.9375392</v>
      </c>
      <c r="BX1088" s="152" t="n">
        <v>-47.7721388</v>
      </c>
      <c r="BY1088" s="152" t="s">
        <v>5665</v>
      </c>
    </row>
    <row r="1089" customFormat="false" ht="13.8" hidden="false" customHeight="false" outlineLevel="0" collapsed="false">
      <c r="A1089" s="149" t="n">
        <f aca="false">IF(C1089&lt;&gt;"",ROW(A1084),"")</f>
        <v>1084</v>
      </c>
      <c r="B1089" s="150" t="str">
        <f aca="false">HYPERLINK("https://www.google.com/maps/dir/-15.917302,-47.760003/-15.9371756,-47.7711189/data=!4m3!4m2!3e0!5i1")</f>
        <v>https://www.google.com/maps/dir/-15.917302,-47.760003/-15.9371756,-47.7711189/data=!4m3!4m2!3e0!5i1</v>
      </c>
      <c r="C1089" s="151" t="s">
        <v>117</v>
      </c>
      <c r="D1089" s="152" t="s">
        <v>112</v>
      </c>
      <c r="E1089" s="152" t="s">
        <v>113</v>
      </c>
      <c r="F1089" s="152" t="s">
        <v>117</v>
      </c>
      <c r="G1089" s="152" t="s">
        <v>782</v>
      </c>
      <c r="H1089" s="152" t="n">
        <v>63</v>
      </c>
      <c r="I1089" s="152" t="s">
        <v>115</v>
      </c>
      <c r="J1089" s="152" t="s">
        <v>6</v>
      </c>
      <c r="K1089" s="152" t="s">
        <v>5106</v>
      </c>
      <c r="L1089" s="152" t="s">
        <v>120</v>
      </c>
      <c r="M1089" s="153" t="n">
        <f aca="false">89.08+4.07</f>
        <v>93.15</v>
      </c>
      <c r="N1089" s="152" t="s">
        <v>1548</v>
      </c>
      <c r="O1089" s="152" t="s">
        <v>1549</v>
      </c>
      <c r="P1089" s="152" t="s">
        <v>1550</v>
      </c>
      <c r="Q1089" s="152" t="s">
        <v>1551</v>
      </c>
      <c r="R1089" s="154" t="s">
        <v>5673</v>
      </c>
      <c r="S1089" s="154" t="s">
        <v>1553</v>
      </c>
      <c r="T1089" s="155" t="s">
        <v>5625</v>
      </c>
      <c r="U1089" s="152" t="str">
        <f aca="false">RIGHT(T1089,7)</f>
        <v>023/037</v>
      </c>
      <c r="V1089" s="152" t="s">
        <v>1555</v>
      </c>
      <c r="W1089" s="156" t="n">
        <v>45882</v>
      </c>
      <c r="X1089" s="152" t="s">
        <v>1594</v>
      </c>
      <c r="Y1089" s="152"/>
      <c r="Z1089" s="152" t="s">
        <v>1557</v>
      </c>
      <c r="AA1089" s="153" t="n">
        <v>5.9</v>
      </c>
      <c r="AB1089" s="151" t="s">
        <v>5674</v>
      </c>
      <c r="AC1089" s="151" t="s">
        <v>186</v>
      </c>
      <c r="AD1089" s="151" t="str">
        <f aca="false">CONCATENATE($C1089,$I1089,$H1089,$N1089,$J1089,$K1089)</f>
        <v>TUBO PEADPEAD63VCAREDESZona09</v>
      </c>
      <c r="AE1089" s="153" t="n">
        <f aca="false">IFERROR(INDEX(APOIO_REDES!$A:$W,MATCH($C1089&amp;$I1089&amp;$H1089&amp;$N1089&amp;$O1089,APOIO_REDES!$W:$W,0),MATCH(AE$5,APOIO_REDES!$5:$5,0)),0)</f>
        <v>1.2</v>
      </c>
      <c r="AF1089" s="153" t="n">
        <f aca="false">IFERROR(INDEX(APOIO_REDES!$A:$W,MATCH($C1089&amp;$I1089&amp;$H1089&amp;$N1089&amp;$O1089,APOIO_REDES!$W:$W,0),MATCH(AF$5,APOIO_REDES!$5:$5,0)),0)</f>
        <v>1.363</v>
      </c>
      <c r="AG1089" s="153" t="n">
        <f aca="false">IFERROR(INDEX(APOIO_REDES!$A:$W,MATCH($C1089&amp;$I1089&amp;$H1089&amp;$N1089&amp;$O1089,APOIO_REDES!$W:$W,0),MATCH(AG$5,APOIO_REDES!$5:$5,0)),0)</f>
        <v>0.65</v>
      </c>
      <c r="AH1089" s="153" t="n">
        <f aca="false">IFERROR(INDEX(APOIO_REDES!$A:$W,MATCH($C1089&amp;$I1089&amp;$H1089&amp;$N1089&amp;$O1089,APOIO_REDES!$W:$W,0),MATCH(AH$5,APOIO_REDES!$5:$5,0)),0)</f>
        <v>0.1</v>
      </c>
      <c r="AI1089" s="153" t="n">
        <f aca="false">IFERROR(IF($H1089&lt;&gt;"",(((($H1089/1000)/2)^2)*PI()*$M1089),0),0)</f>
        <v>0.290371400675355</v>
      </c>
      <c r="AJ1089" s="153" t="n">
        <f aca="false">IFERROR(IF(AND($H1089&lt;&gt;"",$I1089="FoFo",OR($N1089="MND",$N1089="VCA"),$Q1089="LINEAR"),0,IF(AND($H1089&lt;&gt;"",$I1089="PEAD",$N1089="VCA",$Q1089="LINEAR"),($H1089/1000)+0.3,IF(AND($H1089&lt;&gt;"",$I1089="PEAD",$N1089="MND",$Q1089="EMBOQUE"),0,IF(AND($H1089&lt;&gt;"",$I1089="PVC",$N1089="VCA",$Q1089="LINEAR"),($H1089/1000)+0.2,IF(AND($H1089&lt;&gt;"",$I1089="PVC",$N1089="MND",$Q1089="EMBOQUE"),0,IF(AND($H1089&lt;&gt;"",$I1089="PEAD",$N1089="VCA",$Q1089="PREDIAL"),0,0)))))),0)</f>
        <v>0.363</v>
      </c>
      <c r="AK1089" s="153" t="n">
        <f aca="false">IF(AA1089&lt;&gt;"",AA1089,0)</f>
        <v>5.9</v>
      </c>
      <c r="AL1089" s="153" t="n">
        <f aca="false">IF(AND($N1089="MND",$Q1089="EMBOQUE"),$M1089,IF(AND($N1089="VCA",$Q1089="LINEAR"),$M1089,IF(AND($N1089="VCA",$Q1089="PREDIAL"),0,0)))</f>
        <v>93.15</v>
      </c>
      <c r="AM1089" s="153" t="n">
        <f aca="false">IF(AND($N1089="MND",$Q1089="EMBOQUE"),$M1089,IF(AND($N1089="VCA",$Q1089="LINEAR"),$M1089,IF(AND($N1089="VCA",$Q1089="PREDIAL"),0,0)))</f>
        <v>93.15</v>
      </c>
      <c r="AN1089" s="153" t="n">
        <f aca="false">ROUND(IF(AND($N1089="VCA",$M1089&lt;&gt;"",$Q1089="LINEAR"),$M1089/100,IF(AND($N1089="MND",$M1089&gt;100,$Q1089="EMBOQUE"),$M1089/100,0)),0)</f>
        <v>1</v>
      </c>
      <c r="AO1089" s="153" t="n">
        <f aca="false">IF(AND($N1089="MND",$Q1089="EMBOQUE"),$AN1089*2*2,IF(AND($N1089="VCA",$Q1089="LINEAR"),$M1089*2,IF(AND($N1089="VCA",$Q1089="PREDIAL"),0,0)))</f>
        <v>186.3</v>
      </c>
      <c r="AP1089" s="153" t="n">
        <f aca="false">IFERROR($M1089*$AF1089*$AG1089,0)</f>
        <v>82.5262425</v>
      </c>
      <c r="AQ1089" s="153" t="n">
        <f aca="false">IFERROR(IF(AND($N1089="VCA",$AH1089&gt;0),$M1089*$AG1089*$AH1089,0),0)</f>
        <v>6.05475</v>
      </c>
      <c r="AR1089" s="153" t="n">
        <f aca="false">IFERROR(IF(AND($N1089="VCA",$AJ1089&gt;0),($M1089*$AG1089*$AJ1089)-$AI1089,0),0)</f>
        <v>21.6883710993246</v>
      </c>
      <c r="AS1089" s="153" t="n">
        <f aca="false">IFERROR(IF(AND($N1089="VCA",$AP1089&gt;0),$AP1089-$AI1089-$AQ1089-$AR1089,0),0)</f>
        <v>54.49275</v>
      </c>
      <c r="AT1089" s="153" t="n">
        <f aca="false">IFERROR(IF($N1089="VCA",INDEX(APOIO_REDES!$A:$W,MATCH($C1089&amp;$I1089&amp;$H1089&amp;$N1089&amp;$O1089,APOIO_REDES!$W:$W,0),MATCH(AT$5,APOIO_REDES!$5:$5,0)),0)*$AP1089,0)</f>
        <v>0.897909944920931</v>
      </c>
      <c r="AU1089" s="153" t="n">
        <f aca="false">IFERROR(IF($N1089="VCA",INDEX(APOIO_REDES!$A:$W,MATCH($C1089&amp;$I1089&amp;$H1089&amp;$N1089&amp;$O1089,APOIO_REDES!$W:$W,0),MATCH(AU$5,APOIO_REDES!$5:$5,0)),0)*$AP1089,0)</f>
        <v>0.717046563528465</v>
      </c>
      <c r="AV1089" s="153" t="n">
        <f aca="false">IFERROR(IF($N1089="VCA",INDEX(APOIO_REDES!$A:$W,MATCH($C1089&amp;$I1089&amp;$H1089&amp;$N1089&amp;$O1089,APOIO_REDES!$W:$W,0),MATCH(AV$5,APOIO_REDES!$5:$5,0)),0)*$AP1089,0)</f>
        <v>0.0992336153561121</v>
      </c>
      <c r="AW1089" s="153" t="n">
        <f aca="false">IFERROR(IF($N1089="VCA",INDEX(APOIO_REDES!$A:$W,MATCH($C1089&amp;$I1089&amp;$H1089&amp;$N1089&amp;$O1089,APOIO_REDES!$W:$W,0),MATCH(AW$5,APOIO_REDES!$5:$5,0)),0)*$AP1089,0)</f>
        <v>56.6466522965303</v>
      </c>
      <c r="AX1089" s="153" t="n">
        <f aca="false">IFERROR(IF($N1089="VCA",INDEX(APOIO_REDES!$A:$W,MATCH($C1089&amp;$I1089&amp;$H1089&amp;$N1089&amp;$O1089,APOIO_REDES!$W:$W,0),MATCH(AX$5,APOIO_REDES!$5:$5,0)),0)*$AP1089,0)</f>
        <v>7.83973531679633</v>
      </c>
      <c r="AY1089" s="153" t="n">
        <f aca="false">IFERROR(IF($N1089="VCA",INDEX(APOIO_REDES!$A:$W,MATCH($C1089&amp;$I1089&amp;$H1089&amp;$N1089&amp;$O1089,APOIO_REDES!$W:$W,0),MATCH(AY$5,APOIO_REDES!$5:$5,0)),0)*$AP1089,0)</f>
        <v>14.3409225298298</v>
      </c>
      <c r="AZ1089" s="153" t="n">
        <f aca="false">IFERROR(IF($N1089="VCA",INDEX(APOIO_REDES!$A:$W,MATCH($C1089&amp;$I1089&amp;$H1089&amp;$N1089&amp;$O1089,APOIO_REDES!$W:$W,0),MATCH(AZ$5,APOIO_REDES!$5:$5,0)),0)*$AP1089,0)</f>
        <v>1.98474223303811</v>
      </c>
      <c r="BA1089" s="153" t="n">
        <f aca="false">IFERROR(IF(AND($N1089="VCA",$Q1089="LINEAR"),INDEX(APOIO_REDES!$A:$W,MATCH($C1089&amp;$I1089&amp;$H1089&amp;$N1089&amp;$O1089,APOIO_REDES!$W:$W,0),MATCH(BA$5,APOIO_REDES!$5:$5,0)),IF(AND($N1089="MND",$Q1089="EMBOQUE"),INDEX(APOIO_REDES!$A:$W,MATCH($C1089&amp;$I1089&amp;$H1089&amp;$N1089&amp;$O1089,APOIO_REDES!$W:$W,0),MATCH(BA$5,APOIO_REDES!$5:$5,0)),0))*$M1089/10,0)</f>
        <v>7.50765503655653</v>
      </c>
      <c r="BB1089" s="153" t="n">
        <f aca="false">IFERROR(IF($N1089="VCA",INDEX(APOIO_REDES!$A:$W,MATCH($C1089&amp;$I1089&amp;$H1089&amp;$N1089&amp;$O1089,APOIO_REDES!$W:$W,0),MATCH(BB$5,APOIO_REDES!$5:$5,0)),0)*($AI1089+$AQ1089+$AR1089),0)</f>
        <v>27.7284798041098</v>
      </c>
      <c r="BC1089" s="153" t="n">
        <f aca="false">IFERROR(IF($N1089="VCA",INDEX(APOIO_REDES!$A:$W,MATCH($C1089&amp;$I1089&amp;$H1089&amp;$N1089&amp;$O1089,APOIO_REDES!$W:$W,0),MATCH(BC$5,APOIO_REDES!$5:$5,0)),0)*($AI1089+$AQ1089+$AR1089),0)</f>
        <v>0.305012695890236</v>
      </c>
      <c r="BD1089" s="153" t="n">
        <f aca="false">IF(AND($N1089="VCA",$AF1089&gt;=1.25,$AF1089&lt;1.5),$M1089*$AF1089*2,0)</f>
        <v>253.9269</v>
      </c>
      <c r="BE1089" s="153" t="n">
        <f aca="false">IF(AND($N1089="VCA",$AF1089&gt;=1.5,$AF1089&lt;3),$M1089*$AF1089*2,0)</f>
        <v>0</v>
      </c>
      <c r="BF1089" s="153" t="n">
        <f aca="false">IF(AND($N1089="VCA",$AF1089&gt;=3),$M1089*$AF1089*2,0)</f>
        <v>0</v>
      </c>
      <c r="BG1089" s="153" t="n">
        <f aca="false">($BB1089+$BC1089)*$AK1089</f>
        <v>165.39760575</v>
      </c>
      <c r="BH1089" s="153" t="n">
        <f aca="false">IF(AND($M1089&lt;&gt;"",$N1089="VCA",$Q1089="LINEAR"),($M1089*2)/100,IF(AND($M1089&lt;&gt;"",$N1089="MND",$Q1089="EMBOQUE"),($AN1089*2)/100,0))</f>
        <v>1.863</v>
      </c>
      <c r="BI1089" s="153" t="n">
        <f aca="false">IF(AND($M1089&lt;&gt;"",$N1089="VCA",$Q1089="LINEAR"),$M1089,IF(AND($M1089&lt;&gt;"",$N1089="MND",$Q1089="EMBOQUE"),$AN1089*2,0))</f>
        <v>93.15</v>
      </c>
      <c r="BJ1089" s="153" t="n">
        <f aca="false">IF(AND($M1089&lt;&gt;"",$N1089="VCA",$Q1089="LINEAR"),($M1089*6.8)/100,IF(AND($M1089&lt;&gt;"",$N1089="MND",$Q1089="EMBOQUE"),($AN1089*2*6.8)/100,0))</f>
        <v>6.3342</v>
      </c>
      <c r="BK1089" s="153" t="n">
        <f aca="false">IF(AND($M1089&lt;&gt;"",$N1089="VCA",$Q1089="LINEAR"),($M1089*2.5)/50,IF(AND($M1089&lt;&gt;"",$N1089="MND",$Q1089="EMBOQUE"),($AN1089*2*2.5)/50,0))</f>
        <v>4.6575</v>
      </c>
      <c r="BL1089" s="157" t="str">
        <f aca="false">K1089&amp;J1089</f>
        <v>Zona09REDES</v>
      </c>
      <c r="BM1089" s="152" t="s">
        <v>5109</v>
      </c>
      <c r="BN1089" s="152" t="s">
        <v>1560</v>
      </c>
      <c r="BO1089" s="152" t="s">
        <v>5627</v>
      </c>
      <c r="BP1089" s="152" t="s">
        <v>5675</v>
      </c>
      <c r="BQ1089" s="152" t="s">
        <v>5676</v>
      </c>
      <c r="BR1089" s="152" t="s">
        <v>5677</v>
      </c>
      <c r="BS1089" s="152" t="n">
        <v>203322.271</v>
      </c>
      <c r="BT1089" s="152" t="n">
        <v>8236042.803</v>
      </c>
      <c r="BU1089" s="152" t="n">
        <v>203343.402</v>
      </c>
      <c r="BV1089" s="152" t="n">
        <v>8235956.367</v>
      </c>
      <c r="BW1089" s="152" t="n">
        <v>-15.9375658</v>
      </c>
      <c r="BX1089" s="152" t="n">
        <v>-47.7710216</v>
      </c>
      <c r="BY1089" s="152" t="s">
        <v>5675</v>
      </c>
    </row>
    <row r="1090" customFormat="false" ht="13.8" hidden="false" customHeight="false" outlineLevel="0" collapsed="false">
      <c r="A1090" s="149" t="n">
        <f aca="false">IF(C1090&lt;&gt;"",ROW(A1085),"")</f>
        <v>1085</v>
      </c>
      <c r="B1090" s="150" t="str">
        <f aca="false">HYPERLINK("https://www.google.com/maps/dir/-15.917302,-47.760003/-15.9373790,-47.7713829/data=!4m3!4m2!3e0!5i1")</f>
        <v>https://www.google.com/maps/dir/-15.917302,-47.760003/-15.9373790,-47.7713829/data=!4m3!4m2!3e0!5i1</v>
      </c>
      <c r="C1090" s="151" t="s">
        <v>117</v>
      </c>
      <c r="D1090" s="152" t="s">
        <v>112</v>
      </c>
      <c r="E1090" s="152" t="s">
        <v>113</v>
      </c>
      <c r="F1090" s="152" t="s">
        <v>117</v>
      </c>
      <c r="G1090" s="152" t="s">
        <v>782</v>
      </c>
      <c r="H1090" s="152" t="n">
        <v>110</v>
      </c>
      <c r="I1090" s="152" t="s">
        <v>115</v>
      </c>
      <c r="J1090" s="152" t="s">
        <v>6</v>
      </c>
      <c r="K1090" s="152" t="s">
        <v>5106</v>
      </c>
      <c r="L1090" s="152" t="s">
        <v>120</v>
      </c>
      <c r="M1090" s="153" t="n">
        <f aca="false">72.87</f>
        <v>72.87</v>
      </c>
      <c r="N1090" s="152" t="s">
        <v>1548</v>
      </c>
      <c r="O1090" s="152" t="s">
        <v>1549</v>
      </c>
      <c r="P1090" s="152" t="s">
        <v>1550</v>
      </c>
      <c r="Q1090" s="152" t="s">
        <v>1551</v>
      </c>
      <c r="R1090" s="154" t="s">
        <v>5678</v>
      </c>
      <c r="S1090" s="154" t="s">
        <v>1593</v>
      </c>
      <c r="T1090" s="155" t="s">
        <v>5625</v>
      </c>
      <c r="U1090" s="152" t="str">
        <f aca="false">RIGHT(T1090,7)</f>
        <v>023/037</v>
      </c>
      <c r="V1090" s="152" t="s">
        <v>1555</v>
      </c>
      <c r="W1090" s="156" t="n">
        <v>45882</v>
      </c>
      <c r="X1090" s="152" t="s">
        <v>1594</v>
      </c>
      <c r="Y1090" s="152" t="s">
        <v>5580</v>
      </c>
      <c r="Z1090" s="152" t="s">
        <v>1557</v>
      </c>
      <c r="AA1090" s="153" t="n">
        <v>5.9</v>
      </c>
      <c r="AB1090" s="151" t="s">
        <v>5679</v>
      </c>
      <c r="AC1090" s="151" t="s">
        <v>502</v>
      </c>
      <c r="AD1090" s="151" t="str">
        <f aca="false">CONCATENATE($C1090,$I1090,$H1090,$N1090,$J1090,$K1090)</f>
        <v>TUBO PEADPEAD110VCAREDESZona09</v>
      </c>
      <c r="AE1090" s="153" t="n">
        <f aca="false">IFERROR(INDEX(APOIO_REDES!$A:$W,MATCH($C1090&amp;$I1090&amp;$H1090&amp;$N1090&amp;$O1090,APOIO_REDES!$W:$W,0),MATCH(AE$5,APOIO_REDES!$5:$5,0)),0)</f>
        <v>1.2</v>
      </c>
      <c r="AF1090" s="153" t="n">
        <f aca="false">IFERROR(INDEX(APOIO_REDES!$A:$W,MATCH($C1090&amp;$I1090&amp;$H1090&amp;$N1090&amp;$O1090,APOIO_REDES!$W:$W,0),MATCH(AF$5,APOIO_REDES!$5:$5,0)),0)</f>
        <v>1.41</v>
      </c>
      <c r="AG1090" s="153" t="n">
        <f aca="false">IFERROR(INDEX(APOIO_REDES!$A:$W,MATCH($C1090&amp;$I1090&amp;$H1090&amp;$N1090&amp;$O1090,APOIO_REDES!$W:$W,0),MATCH(AG$5,APOIO_REDES!$5:$5,0)),0)</f>
        <v>0.75</v>
      </c>
      <c r="AH1090" s="153" t="n">
        <f aca="false">IFERROR(INDEX(APOIO_REDES!$A:$W,MATCH($C1090&amp;$I1090&amp;$H1090&amp;$N1090&amp;$O1090,APOIO_REDES!$W:$W,0),MATCH(AH$5,APOIO_REDES!$5:$5,0)),0)</f>
        <v>0.1</v>
      </c>
      <c r="AI1090" s="153" t="n">
        <f aca="false">IFERROR(IF($H1090&lt;&gt;"",(((($H1090/1000)/2)^2)*PI()*$M1090),0),0)</f>
        <v>0.692506766417942</v>
      </c>
      <c r="AJ1090" s="153" t="n">
        <f aca="false">IFERROR(IF(AND($H1090&lt;&gt;"",$I1090="FoFo",OR($N1090="MND",$N1090="VCA"),$Q1090="LINEAR"),0,IF(AND($H1090&lt;&gt;"",$I1090="PEAD",$N1090="VCA",$Q1090="LINEAR"),($H1090/1000)+0.3,IF(AND($H1090&lt;&gt;"",$I1090="PEAD",$N1090="MND",$Q1090="EMBOQUE"),0,IF(AND($H1090&lt;&gt;"",$I1090="PVC",$N1090="VCA",$Q1090="LINEAR"),($H1090/1000)+0.2,IF(AND($H1090&lt;&gt;"",$I1090="PVC",$N1090="MND",$Q1090="EMBOQUE"),0,IF(AND($H1090&lt;&gt;"",$I1090="PEAD",$N1090="VCA",$Q1090="PREDIAL"),0,0)))))),0)</f>
        <v>0.41</v>
      </c>
      <c r="AK1090" s="153" t="n">
        <f aca="false">IF(AA1090&lt;&gt;"",AA1090,0)</f>
        <v>5.9</v>
      </c>
      <c r="AL1090" s="153" t="n">
        <f aca="false">IF(AND($N1090="MND",$Q1090="EMBOQUE"),$M1090,IF(AND($N1090="VCA",$Q1090="LINEAR"),$M1090,IF(AND($N1090="VCA",$Q1090="PREDIAL"),0,0)))</f>
        <v>72.87</v>
      </c>
      <c r="AM1090" s="153" t="n">
        <f aca="false">IF(AND($N1090="MND",$Q1090="EMBOQUE"),$M1090,IF(AND($N1090="VCA",$Q1090="LINEAR"),$M1090,IF(AND($N1090="VCA",$Q1090="PREDIAL"),0,0)))</f>
        <v>72.87</v>
      </c>
      <c r="AN1090" s="153" t="n">
        <f aca="false">ROUND(IF(AND($N1090="VCA",$M1090&lt;&gt;"",$Q1090="LINEAR"),$M1090/100,IF(AND($N1090="MND",$M1090&gt;100,$Q1090="EMBOQUE"),$M1090/100,0)),0)</f>
        <v>1</v>
      </c>
      <c r="AO1090" s="153" t="n">
        <f aca="false">IF(AND($N1090="MND",$Q1090="EMBOQUE"),$AN1090*2*2,IF(AND($N1090="VCA",$Q1090="LINEAR"),$M1090*2,IF(AND($N1090="VCA",$Q1090="PREDIAL"),0,0)))</f>
        <v>145.74</v>
      </c>
      <c r="AP1090" s="153" t="n">
        <f aca="false">IFERROR($M1090*$AF1090*$AG1090,0)</f>
        <v>77.060025</v>
      </c>
      <c r="AQ1090" s="153" t="n">
        <f aca="false">IFERROR(IF(AND($N1090="VCA",$AH1090&gt;0),$M1090*$AG1090*$AH1090,0),0)</f>
        <v>5.46525</v>
      </c>
      <c r="AR1090" s="153" t="n">
        <f aca="false">IFERROR(IF(AND($N1090="VCA",$AJ1090&gt;0),($M1090*$AG1090*$AJ1090)-$AI1090,0),0)</f>
        <v>21.7150182335821</v>
      </c>
      <c r="AS1090" s="153" t="n">
        <f aca="false">IFERROR(IF(AND($N1090="VCA",$AP1090&gt;0),$AP1090-$AI1090-$AQ1090-$AR1090,0),0)</f>
        <v>49.18725</v>
      </c>
      <c r="AT1090" s="153" t="n">
        <f aca="false">IFERROR(IF($N1090="VCA",INDEX(APOIO_REDES!$A:$W,MATCH($C1090&amp;$I1090&amp;$H1090&amp;$N1090&amp;$O1090,APOIO_REDES!$W:$W,0),MATCH(AT$5,APOIO_REDES!$5:$5,0)),0)*$AP1090,0)</f>
        <v>0.838435880603138</v>
      </c>
      <c r="AU1090" s="153" t="n">
        <f aca="false">IFERROR(IF($N1090="VCA",INDEX(APOIO_REDES!$A:$W,MATCH($C1090&amp;$I1090&amp;$H1090&amp;$N1090&amp;$O1090,APOIO_REDES!$W:$W,0),MATCH(AU$5,APOIO_REDES!$5:$5,0)),0)*$AP1090,0)</f>
        <v>0.669552186526214</v>
      </c>
      <c r="AV1090" s="153" t="n">
        <f aca="false">IFERROR(IF($N1090="VCA",INDEX(APOIO_REDES!$A:$W,MATCH($C1090&amp;$I1090&amp;$H1090&amp;$N1090&amp;$O1090,APOIO_REDES!$W:$W,0),MATCH(AV$5,APOIO_REDES!$5:$5,0)),0)*$AP1090,0)</f>
        <v>0.0926607664244787</v>
      </c>
      <c r="AW1090" s="153" t="n">
        <f aca="false">IFERROR(IF($N1090="VCA",INDEX(APOIO_REDES!$A:$W,MATCH($C1090&amp;$I1090&amp;$H1090&amp;$N1090&amp;$O1090,APOIO_REDES!$W:$W,0),MATCH(AW$5,APOIO_REDES!$5:$5,0)),0)*$AP1090,0)</f>
        <v>52.8945982502103</v>
      </c>
      <c r="AX1090" s="153" t="n">
        <f aca="false">IFERROR(IF($N1090="VCA",INDEX(APOIO_REDES!$A:$W,MATCH($C1090&amp;$I1090&amp;$H1090&amp;$N1090&amp;$O1090,APOIO_REDES!$W:$W,0),MATCH(AX$5,APOIO_REDES!$5:$5,0)),0)*$AP1090,0)</f>
        <v>7.32046172471391</v>
      </c>
      <c r="AY1090" s="153" t="n">
        <f aca="false">IFERROR(IF($N1090="VCA",INDEX(APOIO_REDES!$A:$W,MATCH($C1090&amp;$I1090&amp;$H1090&amp;$N1090&amp;$O1090,APOIO_REDES!$W:$W,0),MATCH(AY$5,APOIO_REDES!$5:$5,0)),0)*$AP1090,0)</f>
        <v>13.3910355687374</v>
      </c>
      <c r="AZ1090" s="153" t="n">
        <f aca="false">IFERROR(IF($N1090="VCA",INDEX(APOIO_REDES!$A:$W,MATCH($C1090&amp;$I1090&amp;$H1090&amp;$N1090&amp;$O1090,APOIO_REDES!$W:$W,0),MATCH(AZ$5,APOIO_REDES!$5:$5,0)),0)*$AP1090,0)</f>
        <v>1.8532806227846</v>
      </c>
      <c r="BA1090" s="153" t="n">
        <f aca="false">IFERROR(IF(AND($N1090="VCA",$Q1090="LINEAR"),INDEX(APOIO_REDES!$A:$W,MATCH($C1090&amp;$I1090&amp;$H1090&amp;$N1090&amp;$O1090,APOIO_REDES!$W:$W,0),MATCH(BA$5,APOIO_REDES!$5:$5,0)),IF(AND($N1090="MND",$Q1090="EMBOQUE"),INDEX(APOIO_REDES!$A:$W,MATCH($C1090&amp;$I1090&amp;$H1090&amp;$N1090&amp;$O1090,APOIO_REDES!$W:$W,0),MATCH(BA$5,APOIO_REDES!$5:$5,0)),0))*$M1090/10,0)</f>
        <v>5.87313819123859</v>
      </c>
      <c r="BB1090" s="153" t="n">
        <f aca="false">IFERROR(IF($N1090="VCA",INDEX(APOIO_REDES!$A:$W,MATCH($C1090&amp;$I1090&amp;$H1090&amp;$N1090&amp;$O1090,APOIO_REDES!$W:$W,0),MATCH(BB$5,APOIO_REDES!$5:$5,0)),0)*($AI1090+$AQ1090+$AR1090),0)</f>
        <v>27.5695109580797</v>
      </c>
      <c r="BC1090" s="153" t="n">
        <f aca="false">IFERROR(IF($N1090="VCA",INDEX(APOIO_REDES!$A:$W,MATCH($C1090&amp;$I1090&amp;$H1090&amp;$N1090&amp;$O1090,APOIO_REDES!$W:$W,0),MATCH(BC$5,APOIO_REDES!$5:$5,0)),0)*($AI1090+$AQ1090+$AR1090),0)</f>
        <v>0.303264041920284</v>
      </c>
      <c r="BD1090" s="153" t="n">
        <f aca="false">IF(AND($N1090="VCA",$AF1090&gt;=1.25,$AF1090&lt;1.5),$M1090*$AF1090*2,0)</f>
        <v>205.4934</v>
      </c>
      <c r="BE1090" s="153" t="n">
        <f aca="false">IF(AND($N1090="VCA",$AF1090&gt;=1.5,$AF1090&lt;3),$M1090*$AF1090*2,0)</f>
        <v>0</v>
      </c>
      <c r="BF1090" s="153" t="n">
        <f aca="false">IF(AND($N1090="VCA",$AF1090&gt;=3),$M1090*$AF1090*2,0)</f>
        <v>0</v>
      </c>
      <c r="BG1090" s="153" t="n">
        <f aca="false">($BB1090+$BC1090)*$AK1090</f>
        <v>164.4493725</v>
      </c>
      <c r="BH1090" s="153" t="n">
        <f aca="false">IF(AND($M1090&lt;&gt;"",$N1090="VCA",$Q1090="LINEAR"),($M1090*2)/100,IF(AND($M1090&lt;&gt;"",$N1090="MND",$Q1090="EMBOQUE"),($AN1090*2)/100,0))</f>
        <v>1.4574</v>
      </c>
      <c r="BI1090" s="153" t="n">
        <f aca="false">IF(AND($M1090&lt;&gt;"",$N1090="VCA",$Q1090="LINEAR"),$M1090,IF(AND($M1090&lt;&gt;"",$N1090="MND",$Q1090="EMBOQUE"),$AN1090*2,0))</f>
        <v>72.87</v>
      </c>
      <c r="BJ1090" s="153" t="n">
        <f aca="false">IF(AND($M1090&lt;&gt;"",$N1090="VCA",$Q1090="LINEAR"),($M1090*6.8)/100,IF(AND($M1090&lt;&gt;"",$N1090="MND",$Q1090="EMBOQUE"),($AN1090*2*6.8)/100,0))</f>
        <v>4.95516</v>
      </c>
      <c r="BK1090" s="153" t="n">
        <f aca="false">IF(AND($M1090&lt;&gt;"",$N1090="VCA",$Q1090="LINEAR"),($M1090*2.5)/50,IF(AND($M1090&lt;&gt;"",$N1090="MND",$Q1090="EMBOQUE"),($AN1090*2*2.5)/50,0))</f>
        <v>3.6435</v>
      </c>
      <c r="BL1090" s="157" t="str">
        <f aca="false">K1090&amp;J1090</f>
        <v>Zona09REDES</v>
      </c>
      <c r="BM1090" s="152" t="s">
        <v>5109</v>
      </c>
      <c r="BN1090" s="152" t="s">
        <v>1560</v>
      </c>
      <c r="BO1090" s="152" t="s">
        <v>5627</v>
      </c>
      <c r="BP1090" s="152" t="s">
        <v>5661</v>
      </c>
      <c r="BQ1090" s="152" t="s">
        <v>5680</v>
      </c>
      <c r="BR1090" s="152" t="s">
        <v>5681</v>
      </c>
      <c r="BS1090" s="152" t="n">
        <v>203294.283</v>
      </c>
      <c r="BT1090" s="152" t="n">
        <v>8236019.901</v>
      </c>
      <c r="BU1090" s="152" t="n">
        <v>203309.921</v>
      </c>
      <c r="BV1090" s="152" t="n">
        <v>8235948.733</v>
      </c>
      <c r="BW1090" s="152" t="n">
        <v>-15.9377013</v>
      </c>
      <c r="BX1090" s="152" t="n">
        <v>-47.7713143</v>
      </c>
      <c r="BY1090" s="152" t="s">
        <v>5661</v>
      </c>
    </row>
    <row r="1091" customFormat="false" ht="13.8" hidden="false" customHeight="false" outlineLevel="0" collapsed="false">
      <c r="A1091" s="149" t="n">
        <f aca="false">IF(C1091&lt;&gt;"",ROW(A1086),"")</f>
        <v>1086</v>
      </c>
      <c r="B1091" s="150" t="str">
        <f aca="false">HYPERLINK("https://www.google.com/maps/dir/-15.917302,-47.760003/-15.9379586,-47.7709324/data=!4m3!4m2!3e0!5i1")</f>
        <v>https://www.google.com/maps/dir/-15.917302,-47.760003/-15.9379586,-47.7709324/data=!4m3!4m2!3e0!5i1</v>
      </c>
      <c r="C1091" s="151" t="s">
        <v>117</v>
      </c>
      <c r="D1091" s="152" t="s">
        <v>112</v>
      </c>
      <c r="E1091" s="152" t="s">
        <v>113</v>
      </c>
      <c r="F1091" s="152" t="s">
        <v>117</v>
      </c>
      <c r="G1091" s="152" t="s">
        <v>782</v>
      </c>
      <c r="H1091" s="152" t="n">
        <v>110</v>
      </c>
      <c r="I1091" s="152" t="s">
        <v>115</v>
      </c>
      <c r="J1091" s="152" t="s">
        <v>6</v>
      </c>
      <c r="K1091" s="152" t="s">
        <v>5106</v>
      </c>
      <c r="L1091" s="152" t="s">
        <v>120</v>
      </c>
      <c r="M1091" s="153" t="n">
        <f aca="false">34.36</f>
        <v>34.36</v>
      </c>
      <c r="N1091" s="152" t="s">
        <v>1548</v>
      </c>
      <c r="O1091" s="152" t="s">
        <v>1549</v>
      </c>
      <c r="P1091" s="152" t="s">
        <v>1550</v>
      </c>
      <c r="Q1091" s="152" t="s">
        <v>1551</v>
      </c>
      <c r="R1091" s="154" t="s">
        <v>5682</v>
      </c>
      <c r="S1091" s="154" t="s">
        <v>1593</v>
      </c>
      <c r="T1091" s="155" t="s">
        <v>5625</v>
      </c>
      <c r="U1091" s="152" t="str">
        <f aca="false">RIGHT(T1091,7)</f>
        <v>023/037</v>
      </c>
      <c r="V1091" s="152" t="s">
        <v>1555</v>
      </c>
      <c r="W1091" s="156" t="n">
        <v>45882</v>
      </c>
      <c r="X1091" s="152" t="s">
        <v>1594</v>
      </c>
      <c r="Y1091" s="152"/>
      <c r="Z1091" s="152" t="s">
        <v>1557</v>
      </c>
      <c r="AA1091" s="153" t="n">
        <v>5.8</v>
      </c>
      <c r="AB1091" s="151" t="s">
        <v>5683</v>
      </c>
      <c r="AC1091" s="151" t="s">
        <v>502</v>
      </c>
      <c r="AD1091" s="151" t="str">
        <f aca="false">CONCATENATE($C1091,$I1091,$H1091,$N1091,$J1091,$K1091)</f>
        <v>TUBO PEADPEAD110VCAREDESZona09</v>
      </c>
      <c r="AE1091" s="153" t="n">
        <f aca="false">IFERROR(INDEX(APOIO_REDES!$A:$W,MATCH($C1091&amp;$I1091&amp;$H1091&amp;$N1091&amp;$O1091,APOIO_REDES!$W:$W,0),MATCH(AE$5,APOIO_REDES!$5:$5,0)),0)</f>
        <v>1.2</v>
      </c>
      <c r="AF1091" s="153" t="n">
        <f aca="false">IFERROR(INDEX(APOIO_REDES!$A:$W,MATCH($C1091&amp;$I1091&amp;$H1091&amp;$N1091&amp;$O1091,APOIO_REDES!$W:$W,0),MATCH(AF$5,APOIO_REDES!$5:$5,0)),0)</f>
        <v>1.41</v>
      </c>
      <c r="AG1091" s="153" t="n">
        <f aca="false">IFERROR(INDEX(APOIO_REDES!$A:$W,MATCH($C1091&amp;$I1091&amp;$H1091&amp;$N1091&amp;$O1091,APOIO_REDES!$W:$W,0),MATCH(AG$5,APOIO_REDES!$5:$5,0)),0)</f>
        <v>0.75</v>
      </c>
      <c r="AH1091" s="153" t="n">
        <f aca="false">IFERROR(INDEX(APOIO_REDES!$A:$W,MATCH($C1091&amp;$I1091&amp;$H1091&amp;$N1091&amp;$O1091,APOIO_REDES!$W:$W,0),MATCH(AH$5,APOIO_REDES!$5:$5,0)),0)</f>
        <v>0.1</v>
      </c>
      <c r="AI1091" s="153" t="n">
        <f aca="false">IFERROR(IF($H1091&lt;&gt;"",(((($H1091/1000)/2)^2)*PI()*$M1091),0),0)</f>
        <v>0.32653399882147</v>
      </c>
      <c r="AJ1091" s="153" t="n">
        <f aca="false">IFERROR(IF(AND($H1091&lt;&gt;"",$I1091="FoFo",OR($N1091="MND",$N1091="VCA"),$Q1091="LINEAR"),0,IF(AND($H1091&lt;&gt;"",$I1091="PEAD",$N1091="VCA",$Q1091="LINEAR"),($H1091/1000)+0.3,IF(AND($H1091&lt;&gt;"",$I1091="PEAD",$N1091="MND",$Q1091="EMBOQUE"),0,IF(AND($H1091&lt;&gt;"",$I1091="PVC",$N1091="VCA",$Q1091="LINEAR"),($H1091/1000)+0.2,IF(AND($H1091&lt;&gt;"",$I1091="PVC",$N1091="MND",$Q1091="EMBOQUE"),0,IF(AND($H1091&lt;&gt;"",$I1091="PEAD",$N1091="VCA",$Q1091="PREDIAL"),0,0)))))),0)</f>
        <v>0.41</v>
      </c>
      <c r="AK1091" s="153" t="n">
        <f aca="false">IF(AA1091&lt;&gt;"",AA1091,0)</f>
        <v>5.8</v>
      </c>
      <c r="AL1091" s="153" t="n">
        <f aca="false">IF(AND($N1091="MND",$Q1091="EMBOQUE"),$M1091,IF(AND($N1091="VCA",$Q1091="LINEAR"),$M1091,IF(AND($N1091="VCA",$Q1091="PREDIAL"),0,0)))</f>
        <v>34.36</v>
      </c>
      <c r="AM1091" s="153" t="n">
        <f aca="false">IF(AND($N1091="MND",$Q1091="EMBOQUE"),$M1091,IF(AND($N1091="VCA",$Q1091="LINEAR"),$M1091,IF(AND($N1091="VCA",$Q1091="PREDIAL"),0,0)))</f>
        <v>34.36</v>
      </c>
      <c r="AN1091" s="153" t="n">
        <f aca="false">ROUND(IF(AND($N1091="VCA",$M1091&lt;&gt;"",$Q1091="LINEAR"),$M1091/100,IF(AND($N1091="MND",$M1091&gt;100,$Q1091="EMBOQUE"),$M1091/100,0)),0)</f>
        <v>0</v>
      </c>
      <c r="AO1091" s="153" t="n">
        <f aca="false">IF(AND($N1091="MND",$Q1091="EMBOQUE"),$AN1091*2*2,IF(AND($N1091="VCA",$Q1091="LINEAR"),$M1091*2,IF(AND($N1091="VCA",$Q1091="PREDIAL"),0,0)))</f>
        <v>68.72</v>
      </c>
      <c r="AP1091" s="153" t="n">
        <f aca="false">IFERROR($M1091*$AF1091*$AG1091,0)</f>
        <v>36.3357</v>
      </c>
      <c r="AQ1091" s="153" t="n">
        <f aca="false">IFERROR(IF(AND($N1091="VCA",$AH1091&gt;0),$M1091*$AG1091*$AH1091,0),0)</f>
        <v>2.577</v>
      </c>
      <c r="AR1091" s="153" t="n">
        <f aca="false">IFERROR(IF(AND($N1091="VCA",$AJ1091&gt;0),($M1091*$AG1091*$AJ1091)-$AI1091,0),0)</f>
        <v>10.2391660011785</v>
      </c>
      <c r="AS1091" s="153" t="n">
        <f aca="false">IFERROR(IF(AND($N1091="VCA",$AP1091&gt;0),$AP1091-$AI1091-$AQ1091-$AR1091,0),0)</f>
        <v>23.193</v>
      </c>
      <c r="AT1091" s="153" t="n">
        <f aca="false">IFERROR(IF($N1091="VCA",INDEX(APOIO_REDES!$A:$W,MATCH($C1091&amp;$I1091&amp;$H1091&amp;$N1091&amp;$O1091,APOIO_REDES!$W:$W,0),MATCH(AT$5,APOIO_REDES!$5:$5,0)),0)*$AP1091,0)</f>
        <v>0.395343170818222</v>
      </c>
      <c r="AU1091" s="153" t="n">
        <f aca="false">IFERROR(IF($N1091="VCA",INDEX(APOIO_REDES!$A:$W,MATCH($C1091&amp;$I1091&amp;$H1091&amp;$N1091&amp;$O1091,APOIO_REDES!$W:$W,0),MATCH(AU$5,APOIO_REDES!$5:$5,0)),0)*$AP1091,0)</f>
        <v>0.315710348964467</v>
      </c>
      <c r="AV1091" s="153" t="n">
        <f aca="false">IFERROR(IF($N1091="VCA",INDEX(APOIO_REDES!$A:$W,MATCH($C1091&amp;$I1091&amp;$H1091&amp;$N1091&amp;$O1091,APOIO_REDES!$W:$W,0),MATCH(AV$5,APOIO_REDES!$5:$5,0)),0)*$AP1091,0)</f>
        <v>0.0436918338732687</v>
      </c>
      <c r="AW1091" s="153" t="n">
        <f aca="false">IFERROR(IF($N1091="VCA",INDEX(APOIO_REDES!$A:$W,MATCH($C1091&amp;$I1091&amp;$H1091&amp;$N1091&amp;$O1091,APOIO_REDES!$W:$W,0),MATCH(AW$5,APOIO_REDES!$5:$5,0)),0)*$AP1091,0)</f>
        <v>24.9411060227422</v>
      </c>
      <c r="AX1091" s="153" t="n">
        <f aca="false">IFERROR(IF($N1091="VCA",INDEX(APOIO_REDES!$A:$W,MATCH($C1091&amp;$I1091&amp;$H1091&amp;$N1091&amp;$O1091,APOIO_REDES!$W:$W,0),MATCH(AX$5,APOIO_REDES!$5:$5,0)),0)*$AP1091,0)</f>
        <v>3.45177802746219</v>
      </c>
      <c r="AY1091" s="153" t="n">
        <f aca="false">IFERROR(IF($N1091="VCA",INDEX(APOIO_REDES!$A:$W,MATCH($C1091&amp;$I1091&amp;$H1091&amp;$N1091&amp;$O1091,APOIO_REDES!$W:$W,0),MATCH(AY$5,APOIO_REDES!$5:$5,0)),0)*$AP1091,0)</f>
        <v>6.31420313080578</v>
      </c>
      <c r="AZ1091" s="153" t="n">
        <f aca="false">IFERROR(IF($N1091="VCA",INDEX(APOIO_REDES!$A:$W,MATCH($C1091&amp;$I1091&amp;$H1091&amp;$N1091&amp;$O1091,APOIO_REDES!$W:$W,0),MATCH(AZ$5,APOIO_REDES!$5:$5,0)),0)*$AP1091,0)</f>
        <v>0.873867465333865</v>
      </c>
      <c r="BA1091" s="153" t="n">
        <f aca="false">IFERROR(IF(AND($N1091="VCA",$Q1091="LINEAR"),INDEX(APOIO_REDES!$A:$W,MATCH($C1091&amp;$I1091&amp;$H1091&amp;$N1091&amp;$O1091,APOIO_REDES!$W:$W,0),MATCH(BA$5,APOIO_REDES!$5:$5,0)),IF(AND($N1091="MND",$Q1091="EMBOQUE"),INDEX(APOIO_REDES!$A:$W,MATCH($C1091&amp;$I1091&amp;$H1091&amp;$N1091&amp;$O1091,APOIO_REDES!$W:$W,0),MATCH(BA$5,APOIO_REDES!$5:$5,0)),0))*$M1091/10,0)</f>
        <v>2.76932932964125</v>
      </c>
      <c r="BB1091" s="153" t="n">
        <f aca="false">IFERROR(IF($N1091="VCA",INDEX(APOIO_REDES!$A:$W,MATCH($C1091&amp;$I1091&amp;$H1091&amp;$N1091&amp;$O1091,APOIO_REDES!$W:$W,0),MATCH(BB$5,APOIO_REDES!$5:$5,0)),0)*($AI1091+$AQ1091+$AR1091),0)</f>
        <v>12.9997035339594</v>
      </c>
      <c r="BC1091" s="153" t="n">
        <f aca="false">IFERROR(IF($N1091="VCA",INDEX(APOIO_REDES!$A:$W,MATCH($C1091&amp;$I1091&amp;$H1091&amp;$N1091&amp;$O1091,APOIO_REDES!$W:$W,0),MATCH(BC$5,APOIO_REDES!$5:$5,0)),0)*($AI1091+$AQ1091+$AR1091),0)</f>
        <v>0.142996466040633</v>
      </c>
      <c r="BD1091" s="153" t="n">
        <f aca="false">IF(AND($N1091="VCA",$AF1091&gt;=1.25,$AF1091&lt;1.5),$M1091*$AF1091*2,0)</f>
        <v>96.8952</v>
      </c>
      <c r="BE1091" s="153" t="n">
        <f aca="false">IF(AND($N1091="VCA",$AF1091&gt;=1.5,$AF1091&lt;3),$M1091*$AF1091*2,0)</f>
        <v>0</v>
      </c>
      <c r="BF1091" s="153" t="n">
        <f aca="false">IF(AND($N1091="VCA",$AF1091&gt;=3),$M1091*$AF1091*2,0)</f>
        <v>0</v>
      </c>
      <c r="BG1091" s="153" t="n">
        <f aca="false">($BB1091+$BC1091)*$AK1091</f>
        <v>76.22766</v>
      </c>
      <c r="BH1091" s="153" t="n">
        <f aca="false">IF(AND($M1091&lt;&gt;"",$N1091="VCA",$Q1091="LINEAR"),($M1091*2)/100,IF(AND($M1091&lt;&gt;"",$N1091="MND",$Q1091="EMBOQUE"),($AN1091*2)/100,0))</f>
        <v>0.6872</v>
      </c>
      <c r="BI1091" s="153" t="n">
        <f aca="false">IF(AND($M1091&lt;&gt;"",$N1091="VCA",$Q1091="LINEAR"),$M1091,IF(AND($M1091&lt;&gt;"",$N1091="MND",$Q1091="EMBOQUE"),$AN1091*2,0))</f>
        <v>34.36</v>
      </c>
      <c r="BJ1091" s="153" t="n">
        <f aca="false">IF(AND($M1091&lt;&gt;"",$N1091="VCA",$Q1091="LINEAR"),($M1091*6.8)/100,IF(AND($M1091&lt;&gt;"",$N1091="MND",$Q1091="EMBOQUE"),($AN1091*2*6.8)/100,0))</f>
        <v>2.33648</v>
      </c>
      <c r="BK1091" s="153" t="n">
        <f aca="false">IF(AND($M1091&lt;&gt;"",$N1091="VCA",$Q1091="LINEAR"),($M1091*2.5)/50,IF(AND($M1091&lt;&gt;"",$N1091="MND",$Q1091="EMBOQUE"),($AN1091*2*2.5)/50,0))</f>
        <v>1.718</v>
      </c>
      <c r="BL1091" s="157" t="str">
        <f aca="false">K1091&amp;J1091</f>
        <v>Zona09REDES</v>
      </c>
      <c r="BM1091" s="152" t="s">
        <v>5109</v>
      </c>
      <c r="BN1091" s="152" t="s">
        <v>1560</v>
      </c>
      <c r="BO1091" s="152" t="s">
        <v>5627</v>
      </c>
      <c r="BP1091" s="152" t="s">
        <v>5676</v>
      </c>
      <c r="BQ1091" s="152" t="s">
        <v>5680</v>
      </c>
      <c r="BR1091" s="152" t="s">
        <v>5684</v>
      </c>
      <c r="BS1091" s="152" t="n">
        <v>203343.402</v>
      </c>
      <c r="BT1091" s="152" t="n">
        <v>8235956.367</v>
      </c>
      <c r="BU1091" s="152" t="n">
        <v>203309.921</v>
      </c>
      <c r="BV1091" s="152" t="n">
        <v>8235948.733</v>
      </c>
      <c r="BW1091" s="152" t="n">
        <v>-15.9379882</v>
      </c>
      <c r="BX1091" s="152" t="n">
        <v>-47.7710897</v>
      </c>
      <c r="BY1091" s="152" t="s">
        <v>5676</v>
      </c>
    </row>
    <row r="1092" customFormat="false" ht="13.8" hidden="false" customHeight="false" outlineLevel="0" collapsed="false">
      <c r="A1092" s="149" t="n">
        <f aca="false">IF(C1092&lt;&gt;"",ROW(A1087),"")</f>
        <v>1087</v>
      </c>
      <c r="B1092" s="150" t="str">
        <f aca="false">HYPERLINK("https://www.google.com/maps/dir/-15.917302,-47.760003/-15.9380436,-47.7709430/data=!4m3!4m2!3e0!5i2")</f>
        <v>https://www.google.com/maps/dir/-15.917302,-47.760003/-15.9380436,-47.7709430/data=!4m3!4m2!3e0!5i2</v>
      </c>
      <c r="C1092" s="151" t="s">
        <v>117</v>
      </c>
      <c r="D1092" s="152" t="s">
        <v>112</v>
      </c>
      <c r="E1092" s="152" t="s">
        <v>113</v>
      </c>
      <c r="F1092" s="152" t="s">
        <v>117</v>
      </c>
      <c r="G1092" s="152" t="s">
        <v>782</v>
      </c>
      <c r="H1092" s="152" t="n">
        <v>63</v>
      </c>
      <c r="I1092" s="152" t="s">
        <v>115</v>
      </c>
      <c r="J1092" s="152" t="s">
        <v>6</v>
      </c>
      <c r="K1092" s="152" t="s">
        <v>5106</v>
      </c>
      <c r="L1092" s="152" t="s">
        <v>120</v>
      </c>
      <c r="M1092" s="153" t="n">
        <f aca="false">32.73</f>
        <v>32.73</v>
      </c>
      <c r="N1092" s="152" t="s">
        <v>1548</v>
      </c>
      <c r="O1092" s="152" t="s">
        <v>1549</v>
      </c>
      <c r="P1092" s="152" t="s">
        <v>1550</v>
      </c>
      <c r="Q1092" s="152" t="s">
        <v>1551</v>
      </c>
      <c r="R1092" s="154" t="s">
        <v>5685</v>
      </c>
      <c r="S1092" s="154" t="s">
        <v>1553</v>
      </c>
      <c r="T1092" s="155" t="s">
        <v>5625</v>
      </c>
      <c r="U1092" s="152" t="str">
        <f aca="false">RIGHT(T1092,7)</f>
        <v>023/037</v>
      </c>
      <c r="V1092" s="152" t="s">
        <v>1555</v>
      </c>
      <c r="W1092" s="156" t="n">
        <v>45882</v>
      </c>
      <c r="X1092" s="152" t="s">
        <v>1594</v>
      </c>
      <c r="Y1092" s="152"/>
      <c r="Z1092" s="152" t="s">
        <v>1557</v>
      </c>
      <c r="AA1092" s="153" t="n">
        <v>5.8</v>
      </c>
      <c r="AB1092" s="151" t="s">
        <v>5686</v>
      </c>
      <c r="AC1092" s="151" t="s">
        <v>186</v>
      </c>
      <c r="AD1092" s="151" t="str">
        <f aca="false">CONCATENATE($C1092,$I1092,$H1092,$N1092,$J1092,$K1092)</f>
        <v>TUBO PEADPEAD63VCAREDESZona09</v>
      </c>
      <c r="AE1092" s="153" t="n">
        <f aca="false">IFERROR(INDEX(APOIO_REDES!$A:$W,MATCH($C1092&amp;$I1092&amp;$H1092&amp;$N1092&amp;$O1092,APOIO_REDES!$W:$W,0),MATCH(AE$5,APOIO_REDES!$5:$5,0)),0)</f>
        <v>1.2</v>
      </c>
      <c r="AF1092" s="153" t="n">
        <f aca="false">IFERROR(INDEX(APOIO_REDES!$A:$W,MATCH($C1092&amp;$I1092&amp;$H1092&amp;$N1092&amp;$O1092,APOIO_REDES!$W:$W,0),MATCH(AF$5,APOIO_REDES!$5:$5,0)),0)</f>
        <v>1.363</v>
      </c>
      <c r="AG1092" s="153" t="n">
        <f aca="false">IFERROR(INDEX(APOIO_REDES!$A:$W,MATCH($C1092&amp;$I1092&amp;$H1092&amp;$N1092&amp;$O1092,APOIO_REDES!$W:$W,0),MATCH(AG$5,APOIO_REDES!$5:$5,0)),0)</f>
        <v>0.65</v>
      </c>
      <c r="AH1092" s="153" t="n">
        <f aca="false">IFERROR(INDEX(APOIO_REDES!$A:$W,MATCH($C1092&amp;$I1092&amp;$H1092&amp;$N1092&amp;$O1092,APOIO_REDES!$W:$W,0),MATCH(AH$5,APOIO_REDES!$5:$5,0)),0)</f>
        <v>0.1</v>
      </c>
      <c r="AI1092" s="153" t="n">
        <f aca="false">IFERROR(IF($H1092&lt;&gt;"",(((($H1092/1000)/2)^2)*PI()*$M1092),0),0)</f>
        <v>0.102027439013466</v>
      </c>
      <c r="AJ1092" s="153" t="n">
        <f aca="false">IFERROR(IF(AND($H1092&lt;&gt;"",$I1092="FoFo",OR($N1092="MND",$N1092="VCA"),$Q1092="LINEAR"),0,IF(AND($H1092&lt;&gt;"",$I1092="PEAD",$N1092="VCA",$Q1092="LINEAR"),($H1092/1000)+0.3,IF(AND($H1092&lt;&gt;"",$I1092="PEAD",$N1092="MND",$Q1092="EMBOQUE"),0,IF(AND($H1092&lt;&gt;"",$I1092="PVC",$N1092="VCA",$Q1092="LINEAR"),($H1092/1000)+0.2,IF(AND($H1092&lt;&gt;"",$I1092="PVC",$N1092="MND",$Q1092="EMBOQUE"),0,IF(AND($H1092&lt;&gt;"",$I1092="PEAD",$N1092="VCA",$Q1092="PREDIAL"),0,0)))))),0)</f>
        <v>0.363</v>
      </c>
      <c r="AK1092" s="153" t="n">
        <f aca="false">IF(AA1092&lt;&gt;"",AA1092,0)</f>
        <v>5.8</v>
      </c>
      <c r="AL1092" s="153" t="n">
        <f aca="false">IF(AND($N1092="MND",$Q1092="EMBOQUE"),$M1092,IF(AND($N1092="VCA",$Q1092="LINEAR"),$M1092,IF(AND($N1092="VCA",$Q1092="PREDIAL"),0,0)))</f>
        <v>32.73</v>
      </c>
      <c r="AM1092" s="153" t="n">
        <f aca="false">IF(AND($N1092="MND",$Q1092="EMBOQUE"),$M1092,IF(AND($N1092="VCA",$Q1092="LINEAR"),$M1092,IF(AND($N1092="VCA",$Q1092="PREDIAL"),0,0)))</f>
        <v>32.73</v>
      </c>
      <c r="AN1092" s="153" t="n">
        <f aca="false">ROUND(IF(AND($N1092="VCA",$M1092&lt;&gt;"",$Q1092="LINEAR"),$M1092/100,IF(AND($N1092="MND",$M1092&gt;100,$Q1092="EMBOQUE"),$M1092/100,0)),0)</f>
        <v>0</v>
      </c>
      <c r="AO1092" s="153" t="n">
        <f aca="false">IF(AND($N1092="MND",$Q1092="EMBOQUE"),$AN1092*2*2,IF(AND($N1092="VCA",$Q1092="LINEAR"),$M1092*2,IF(AND($N1092="VCA",$Q1092="PREDIAL"),0,0)))</f>
        <v>65.46</v>
      </c>
      <c r="AP1092" s="153" t="n">
        <f aca="false">IFERROR($M1092*$AF1092*$AG1092,0)</f>
        <v>28.9971435</v>
      </c>
      <c r="AQ1092" s="153" t="n">
        <f aca="false">IFERROR(IF(AND($N1092="VCA",$AH1092&gt;0),$M1092*$AG1092*$AH1092,0),0)</f>
        <v>2.12745</v>
      </c>
      <c r="AR1092" s="153" t="n">
        <f aca="false">IFERROR(IF(AND($N1092="VCA",$AJ1092&gt;0),($M1092*$AG1092*$AJ1092)-$AI1092,0),0)</f>
        <v>7.62061606098653</v>
      </c>
      <c r="AS1092" s="153" t="n">
        <f aca="false">IFERROR(IF(AND($N1092="VCA",$AP1092&gt;0),$AP1092-$AI1092-$AQ1092-$AR1092,0),0)</f>
        <v>19.14705</v>
      </c>
      <c r="AT1092" s="153" t="n">
        <f aca="false">IFERROR(IF($N1092="VCA",INDEX(APOIO_REDES!$A:$W,MATCH($C1092&amp;$I1092&amp;$H1092&amp;$N1092&amp;$O1092,APOIO_REDES!$W:$W,0),MATCH(AT$5,APOIO_REDES!$5:$5,0)),0)*$AP1092,0)</f>
        <v>0.315497503996372</v>
      </c>
      <c r="AU1092" s="153" t="n">
        <f aca="false">IFERROR(IF($N1092="VCA",INDEX(APOIO_REDES!$A:$W,MATCH($C1092&amp;$I1092&amp;$H1092&amp;$N1092&amp;$O1092,APOIO_REDES!$W:$W,0),MATCH(AU$5,APOIO_REDES!$5:$5,0)),0)*$AP1092,0)</f>
        <v>0.251947761935444</v>
      </c>
      <c r="AV1092" s="153" t="n">
        <f aca="false">IFERROR(IF($N1092="VCA",INDEX(APOIO_REDES!$A:$W,MATCH($C1092&amp;$I1092&amp;$H1092&amp;$N1092&amp;$O1092,APOIO_REDES!$W:$W,0),MATCH(AV$5,APOIO_REDES!$5:$5,0)),0)*$AP1092,0)</f>
        <v>0.0348675923843859</v>
      </c>
      <c r="AW1092" s="153" t="n">
        <f aca="false">IFERROR(IF($N1092="VCA",INDEX(APOIO_REDES!$A:$W,MATCH($C1092&amp;$I1092&amp;$H1092&amp;$N1092&amp;$O1092,APOIO_REDES!$W:$W,0),MATCH(AW$5,APOIO_REDES!$5:$5,0)),0)*$AP1092,0)</f>
        <v>19.9038639792317</v>
      </c>
      <c r="AX1092" s="153" t="n">
        <f aca="false">IFERROR(IF($N1092="VCA",INDEX(APOIO_REDES!$A:$W,MATCH($C1092&amp;$I1092&amp;$H1092&amp;$N1092&amp;$O1092,APOIO_REDES!$W:$W,0),MATCH(AX$5,APOIO_REDES!$5:$5,0)),0)*$AP1092,0)</f>
        <v>2.75463807749591</v>
      </c>
      <c r="AY1092" s="153" t="n">
        <f aca="false">IFERROR(IF($N1092="VCA",INDEX(APOIO_REDES!$A:$W,MATCH($C1092&amp;$I1092&amp;$H1092&amp;$N1092&amp;$O1092,APOIO_REDES!$W:$W,0),MATCH(AY$5,APOIO_REDES!$5:$5,0)),0)*$AP1092,0)</f>
        <v>5.03895216748609</v>
      </c>
      <c r="AZ1092" s="153" t="n">
        <f aca="false">IFERROR(IF($N1092="VCA",INDEX(APOIO_REDES!$A:$W,MATCH($C1092&amp;$I1092&amp;$H1092&amp;$N1092&amp;$O1092,APOIO_REDES!$W:$W,0),MATCH(AZ$5,APOIO_REDES!$5:$5,0)),0)*$AP1092,0)</f>
        <v>0.697376417470073</v>
      </c>
      <c r="BA1092" s="153" t="n">
        <f aca="false">IFERROR(IF(AND($N1092="VCA",$Q1092="LINEAR"),INDEX(APOIO_REDES!$A:$W,MATCH($C1092&amp;$I1092&amp;$H1092&amp;$N1092&amp;$O1092,APOIO_REDES!$W:$W,0),MATCH(BA$5,APOIO_REDES!$5:$5,0)),IF(AND($N1092="MND",$Q1092="EMBOQUE"),INDEX(APOIO_REDES!$A:$W,MATCH($C1092&amp;$I1092&amp;$H1092&amp;$N1092&amp;$O1092,APOIO_REDES!$W:$W,0),MATCH(BA$5,APOIO_REDES!$5:$5,0)),0))*$M1092/10,0)</f>
        <v>2.63795544118621</v>
      </c>
      <c r="BB1092" s="153" t="n">
        <f aca="false">IFERROR(IF($N1092="VCA",INDEX(APOIO_REDES!$A:$W,MATCH($C1092&amp;$I1092&amp;$H1092&amp;$N1092&amp;$O1092,APOIO_REDES!$W:$W,0),MATCH(BB$5,APOIO_REDES!$5:$5,0)),0)*($AI1092+$AQ1092+$AR1092),0)</f>
        <v>9.74292156724114</v>
      </c>
      <c r="BC1092" s="153" t="n">
        <f aca="false">IFERROR(IF($N1092="VCA",INDEX(APOIO_REDES!$A:$W,MATCH($C1092&amp;$I1092&amp;$H1092&amp;$N1092&amp;$O1092,APOIO_REDES!$W:$W,0),MATCH(BC$5,APOIO_REDES!$5:$5,0)),0)*($AI1092+$AQ1092+$AR1092),0)</f>
        <v>0.107171932758856</v>
      </c>
      <c r="BD1092" s="153" t="n">
        <f aca="false">IF(AND($N1092="VCA",$AF1092&gt;=1.25,$AF1092&lt;1.5),$M1092*$AF1092*2,0)</f>
        <v>89.22198</v>
      </c>
      <c r="BE1092" s="153" t="n">
        <f aca="false">IF(AND($N1092="VCA",$AF1092&gt;=1.5,$AF1092&lt;3),$M1092*$AF1092*2,0)</f>
        <v>0</v>
      </c>
      <c r="BF1092" s="153" t="n">
        <f aca="false">IF(AND($N1092="VCA",$AF1092&gt;=3),$M1092*$AF1092*2,0)</f>
        <v>0</v>
      </c>
      <c r="BG1092" s="153" t="n">
        <f aca="false">($BB1092+$BC1092)*$AK1092</f>
        <v>57.1305423</v>
      </c>
      <c r="BH1092" s="153" t="n">
        <f aca="false">IF(AND($M1092&lt;&gt;"",$N1092="VCA",$Q1092="LINEAR"),($M1092*2)/100,IF(AND($M1092&lt;&gt;"",$N1092="MND",$Q1092="EMBOQUE"),($AN1092*2)/100,0))</f>
        <v>0.6546</v>
      </c>
      <c r="BI1092" s="153" t="n">
        <f aca="false">IF(AND($M1092&lt;&gt;"",$N1092="VCA",$Q1092="LINEAR"),$M1092,IF(AND($M1092&lt;&gt;"",$N1092="MND",$Q1092="EMBOQUE"),$AN1092*2,0))</f>
        <v>32.73</v>
      </c>
      <c r="BJ1092" s="153" t="n">
        <f aca="false">IF(AND($M1092&lt;&gt;"",$N1092="VCA",$Q1092="LINEAR"),($M1092*6.8)/100,IF(AND($M1092&lt;&gt;"",$N1092="MND",$Q1092="EMBOQUE"),($AN1092*2*6.8)/100,0))</f>
        <v>2.22564</v>
      </c>
      <c r="BK1092" s="153" t="n">
        <f aca="false">IF(AND($M1092&lt;&gt;"",$N1092="VCA",$Q1092="LINEAR"),($M1092*2.5)/50,IF(AND($M1092&lt;&gt;"",$N1092="MND",$Q1092="EMBOQUE"),($AN1092*2*2.5)/50,0))</f>
        <v>1.6365</v>
      </c>
      <c r="BL1092" s="157" t="str">
        <f aca="false">K1092&amp;J1092</f>
        <v>Zona09REDES</v>
      </c>
      <c r="BM1092" s="152" t="s">
        <v>5109</v>
      </c>
      <c r="BN1092" s="152" t="s">
        <v>1560</v>
      </c>
      <c r="BO1092" s="152" t="s">
        <v>5627</v>
      </c>
      <c r="BP1092" s="152" t="s">
        <v>5687</v>
      </c>
      <c r="BQ1092" s="152" t="s">
        <v>5688</v>
      </c>
      <c r="BR1092" s="152" t="s">
        <v>5689</v>
      </c>
      <c r="BS1092" s="152" t="n">
        <v>203342.398</v>
      </c>
      <c r="BT1092" s="152" t="n">
        <v>8235946.942</v>
      </c>
      <c r="BU1092" s="152" t="n">
        <v>203313.507</v>
      </c>
      <c r="BV1092" s="152" t="n">
        <v>8235932.422</v>
      </c>
      <c r="BW1092" s="152" t="n">
        <v>-15.9380964</v>
      </c>
      <c r="BX1092" s="152" t="n">
        <v>-47.7710856</v>
      </c>
      <c r="BY1092" s="152" t="s">
        <v>5687</v>
      </c>
    </row>
    <row r="1093" customFormat="false" ht="13.8" hidden="false" customHeight="false" outlineLevel="0" collapsed="false">
      <c r="A1093" s="149" t="n">
        <f aca="false">IF(C1093&lt;&gt;"",ROW(A1088),"")</f>
        <v>1088</v>
      </c>
      <c r="B1093" s="150" t="str">
        <f aca="false">HYPERLINK("https://www.google.com/maps/dir/-15.917302,-47.760003/-15.9380235,-47.7712458/data=!4m3!4m2!3e0!5i0")</f>
        <v>https://www.google.com/maps/dir/-15.917302,-47.760003/-15.9380235,-47.7712458/data=!4m3!4m2!3e0!5i0</v>
      </c>
      <c r="C1093" s="151" t="s">
        <v>117</v>
      </c>
      <c r="D1093" s="152" t="s">
        <v>112</v>
      </c>
      <c r="E1093" s="152" t="s">
        <v>113</v>
      </c>
      <c r="F1093" s="152" t="s">
        <v>117</v>
      </c>
      <c r="G1093" s="152" t="s">
        <v>782</v>
      </c>
      <c r="H1093" s="152" t="n">
        <v>63</v>
      </c>
      <c r="I1093" s="152" t="s">
        <v>115</v>
      </c>
      <c r="J1093" s="152" t="s">
        <v>6</v>
      </c>
      <c r="K1093" s="152" t="s">
        <v>5106</v>
      </c>
      <c r="L1093" s="152" t="s">
        <v>120</v>
      </c>
      <c r="M1093" s="153" t="n">
        <f aca="false">16.7</f>
        <v>16.7</v>
      </c>
      <c r="N1093" s="152" t="s">
        <v>1548</v>
      </c>
      <c r="O1093" s="152" t="s">
        <v>1549</v>
      </c>
      <c r="P1093" s="152" t="s">
        <v>1550</v>
      </c>
      <c r="Q1093" s="152" t="s">
        <v>1551</v>
      </c>
      <c r="R1093" s="154" t="s">
        <v>5690</v>
      </c>
      <c r="S1093" s="154" t="s">
        <v>1553</v>
      </c>
      <c r="T1093" s="155" t="s">
        <v>5625</v>
      </c>
      <c r="U1093" s="152" t="str">
        <f aca="false">RIGHT(T1093,7)</f>
        <v>023/037</v>
      </c>
      <c r="V1093" s="152" t="s">
        <v>1555</v>
      </c>
      <c r="W1093" s="156" t="n">
        <v>45882</v>
      </c>
      <c r="X1093" s="152" t="s">
        <v>1594</v>
      </c>
      <c r="Y1093" s="152" t="s">
        <v>5580</v>
      </c>
      <c r="Z1093" s="152" t="s">
        <v>1557</v>
      </c>
      <c r="AA1093" s="153" t="n">
        <v>5.9</v>
      </c>
      <c r="AB1093" s="151" t="s">
        <v>5691</v>
      </c>
      <c r="AC1093" s="151" t="s">
        <v>186</v>
      </c>
      <c r="AD1093" s="151" t="str">
        <f aca="false">CONCATENATE($C1093,$I1093,$H1093,$N1093,$J1093,$K1093)</f>
        <v>TUBO PEADPEAD63VCAREDESZona09</v>
      </c>
      <c r="AE1093" s="153" t="n">
        <f aca="false">IFERROR(INDEX(APOIO_REDES!$A:$W,MATCH($C1093&amp;$I1093&amp;$H1093&amp;$N1093&amp;$O1093,APOIO_REDES!$W:$W,0),MATCH(AE$5,APOIO_REDES!$5:$5,0)),0)</f>
        <v>1.2</v>
      </c>
      <c r="AF1093" s="153" t="n">
        <f aca="false">IFERROR(INDEX(APOIO_REDES!$A:$W,MATCH($C1093&amp;$I1093&amp;$H1093&amp;$N1093&amp;$O1093,APOIO_REDES!$W:$W,0),MATCH(AF$5,APOIO_REDES!$5:$5,0)),0)</f>
        <v>1.363</v>
      </c>
      <c r="AG1093" s="153" t="n">
        <f aca="false">IFERROR(INDEX(APOIO_REDES!$A:$W,MATCH($C1093&amp;$I1093&amp;$H1093&amp;$N1093&amp;$O1093,APOIO_REDES!$W:$W,0),MATCH(AG$5,APOIO_REDES!$5:$5,0)),0)</f>
        <v>0.65</v>
      </c>
      <c r="AH1093" s="153" t="n">
        <f aca="false">IFERROR(INDEX(APOIO_REDES!$A:$W,MATCH($C1093&amp;$I1093&amp;$H1093&amp;$N1093&amp;$O1093,APOIO_REDES!$W:$W,0),MATCH(AH$5,APOIO_REDES!$5:$5,0)),0)</f>
        <v>0.1</v>
      </c>
      <c r="AI1093" s="153" t="n">
        <f aca="false">IFERROR(IF($H1093&lt;&gt;"",(((($H1093/1000)/2)^2)*PI()*$M1093),0),0)</f>
        <v>0.0520579966857587</v>
      </c>
      <c r="AJ1093" s="153" t="n">
        <f aca="false">IFERROR(IF(AND($H1093&lt;&gt;"",$I1093="FoFo",OR($N1093="MND",$N1093="VCA"),$Q1093="LINEAR"),0,IF(AND($H1093&lt;&gt;"",$I1093="PEAD",$N1093="VCA",$Q1093="LINEAR"),($H1093/1000)+0.3,IF(AND($H1093&lt;&gt;"",$I1093="PEAD",$N1093="MND",$Q1093="EMBOQUE"),0,IF(AND($H1093&lt;&gt;"",$I1093="PVC",$N1093="VCA",$Q1093="LINEAR"),($H1093/1000)+0.2,IF(AND($H1093&lt;&gt;"",$I1093="PVC",$N1093="MND",$Q1093="EMBOQUE"),0,IF(AND($H1093&lt;&gt;"",$I1093="PEAD",$N1093="VCA",$Q1093="PREDIAL"),0,0)))))),0)</f>
        <v>0.363</v>
      </c>
      <c r="AK1093" s="153" t="n">
        <f aca="false">IF(AA1093&lt;&gt;"",AA1093,0)</f>
        <v>5.9</v>
      </c>
      <c r="AL1093" s="153" t="n">
        <f aca="false">IF(AND($N1093="MND",$Q1093="EMBOQUE"),$M1093,IF(AND($N1093="VCA",$Q1093="LINEAR"),$M1093,IF(AND($N1093="VCA",$Q1093="PREDIAL"),0,0)))</f>
        <v>16.7</v>
      </c>
      <c r="AM1093" s="153" t="n">
        <f aca="false">IF(AND($N1093="MND",$Q1093="EMBOQUE"),$M1093,IF(AND($N1093="VCA",$Q1093="LINEAR"),$M1093,IF(AND($N1093="VCA",$Q1093="PREDIAL"),0,0)))</f>
        <v>16.7</v>
      </c>
      <c r="AN1093" s="153" t="n">
        <f aca="false">ROUND(IF(AND($N1093="VCA",$M1093&lt;&gt;"",$Q1093="LINEAR"),$M1093/100,IF(AND($N1093="MND",$M1093&gt;100,$Q1093="EMBOQUE"),$M1093/100,0)),0)</f>
        <v>0</v>
      </c>
      <c r="AO1093" s="153" t="n">
        <f aca="false">IF(AND($N1093="MND",$Q1093="EMBOQUE"),$AN1093*2*2,IF(AND($N1093="VCA",$Q1093="LINEAR"),$M1093*2,IF(AND($N1093="VCA",$Q1093="PREDIAL"),0,0)))</f>
        <v>33.4</v>
      </c>
      <c r="AP1093" s="153" t="n">
        <f aca="false">IFERROR($M1093*$AF1093*$AG1093,0)</f>
        <v>14.795365</v>
      </c>
      <c r="AQ1093" s="153" t="n">
        <f aca="false">IFERROR(IF(AND($N1093="VCA",$AH1093&gt;0),$M1093*$AG1093*$AH1093,0),0)</f>
        <v>1.0855</v>
      </c>
      <c r="AR1093" s="153" t="n">
        <f aca="false">IFERROR(IF(AND($N1093="VCA",$AJ1093&gt;0),($M1093*$AG1093*$AJ1093)-$AI1093,0),0)</f>
        <v>3.88830700331424</v>
      </c>
      <c r="AS1093" s="153" t="n">
        <f aca="false">IFERROR(IF(AND($N1093="VCA",$AP1093&gt;0),$AP1093-$AI1093-$AQ1093-$AR1093,0),0)</f>
        <v>9.7695</v>
      </c>
      <c r="AT1093" s="153" t="n">
        <f aca="false">IFERROR(IF($N1093="VCA",INDEX(APOIO_REDES!$A:$W,MATCH($C1093&amp;$I1093&amp;$H1093&amp;$N1093&amp;$O1093,APOIO_REDES!$W:$W,0),MATCH(AT$5,APOIO_REDES!$5:$5,0)),0)*$AP1093,0)</f>
        <v>0.160977950404504</v>
      </c>
      <c r="AU1093" s="153" t="n">
        <f aca="false">IFERROR(IF($N1093="VCA",INDEX(APOIO_REDES!$A:$W,MATCH($C1093&amp;$I1093&amp;$H1093&amp;$N1093&amp;$O1093,APOIO_REDES!$W:$W,0),MATCH(AU$5,APOIO_REDES!$5:$5,0)),0)*$AP1093,0)</f>
        <v>0.128552631357223</v>
      </c>
      <c r="AV1093" s="153" t="n">
        <f aca="false">IFERROR(IF($N1093="VCA",INDEX(APOIO_REDES!$A:$W,MATCH($C1093&amp;$I1093&amp;$H1093&amp;$N1093&amp;$O1093,APOIO_REDES!$W:$W,0),MATCH(AV$5,APOIO_REDES!$5:$5,0)),0)*$AP1093,0)</f>
        <v>0.0177906750021156</v>
      </c>
      <c r="AW1093" s="153" t="n">
        <f aca="false">IFERROR(IF($N1093="VCA",INDEX(APOIO_REDES!$A:$W,MATCH($C1093&amp;$I1093&amp;$H1093&amp;$N1093&amp;$O1093,APOIO_REDES!$W:$W,0),MATCH(AW$5,APOIO_REDES!$5:$5,0)),0)*$AP1093,0)</f>
        <v>10.1556531760822</v>
      </c>
      <c r="AX1093" s="153" t="n">
        <f aca="false">IFERROR(IF($N1093="VCA",INDEX(APOIO_REDES!$A:$W,MATCH($C1093&amp;$I1093&amp;$H1093&amp;$N1093&amp;$O1093,APOIO_REDES!$W:$W,0),MATCH(AX$5,APOIO_REDES!$5:$5,0)),0)*$AP1093,0)</f>
        <v>1.40551347064411</v>
      </c>
      <c r="AY1093" s="153" t="n">
        <f aca="false">IFERROR(IF($N1093="VCA",INDEX(APOIO_REDES!$A:$W,MATCH($C1093&amp;$I1093&amp;$H1093&amp;$N1093&amp;$O1093,APOIO_REDES!$W:$W,0),MATCH(AY$5,APOIO_REDES!$5:$5,0)),0)*$AP1093,0)</f>
        <v>2.57105106009831</v>
      </c>
      <c r="AZ1093" s="153" t="n">
        <f aca="false">IFERROR(IF($N1093="VCA",INDEX(APOIO_REDES!$A:$W,MATCH($C1093&amp;$I1093&amp;$H1093&amp;$N1093&amp;$O1093,APOIO_REDES!$W:$W,0),MATCH(AZ$5,APOIO_REDES!$5:$5,0)),0)*$AP1093,0)</f>
        <v>0.355826036411556</v>
      </c>
      <c r="BA1093" s="153" t="n">
        <f aca="false">IFERROR(IF(AND($N1093="VCA",$Q1093="LINEAR"),INDEX(APOIO_REDES!$A:$W,MATCH($C1093&amp;$I1093&amp;$H1093&amp;$N1093&amp;$O1093,APOIO_REDES!$W:$W,0),MATCH(BA$5,APOIO_REDES!$5:$5,0)),IF(AND($N1093="MND",$Q1093="EMBOQUE"),INDEX(APOIO_REDES!$A:$W,MATCH($C1093&amp;$I1093&amp;$H1093&amp;$N1093&amp;$O1093,APOIO_REDES!$W:$W,0),MATCH(BA$5,APOIO_REDES!$5:$5,0)),0))*$M1093/10,0)</f>
        <v>1.34597787558233</v>
      </c>
      <c r="BB1093" s="153" t="n">
        <f aca="false">IFERROR(IF($N1093="VCA",INDEX(APOIO_REDES!$A:$W,MATCH($C1093&amp;$I1093&amp;$H1093&amp;$N1093&amp;$O1093,APOIO_REDES!$W:$W,0),MATCH(BB$5,APOIO_REDES!$5:$5,0)),0)*($AI1093+$AQ1093+$AR1093),0)</f>
        <v>4.97118210121989</v>
      </c>
      <c r="BC1093" s="153" t="n">
        <f aca="false">IFERROR(IF($N1093="VCA",INDEX(APOIO_REDES!$A:$W,MATCH($C1093&amp;$I1093&amp;$H1093&amp;$N1093&amp;$O1093,APOIO_REDES!$W:$W,0),MATCH(BC$5,APOIO_REDES!$5:$5,0)),0)*($AI1093+$AQ1093+$AR1093),0)</f>
        <v>0.0546828987801066</v>
      </c>
      <c r="BD1093" s="153" t="n">
        <f aca="false">IF(AND($N1093="VCA",$AF1093&gt;=1.25,$AF1093&lt;1.5),$M1093*$AF1093*2,0)</f>
        <v>45.5242</v>
      </c>
      <c r="BE1093" s="153" t="n">
        <f aca="false">IF(AND($N1093="VCA",$AF1093&gt;=1.5,$AF1093&lt;3),$M1093*$AF1093*2,0)</f>
        <v>0</v>
      </c>
      <c r="BF1093" s="153" t="n">
        <f aca="false">IF(AND($N1093="VCA",$AF1093&gt;=3),$M1093*$AF1093*2,0)</f>
        <v>0</v>
      </c>
      <c r="BG1093" s="153" t="n">
        <f aca="false">($BB1093+$BC1093)*$AK1093</f>
        <v>29.6526035</v>
      </c>
      <c r="BH1093" s="153" t="n">
        <f aca="false">IF(AND($M1093&lt;&gt;"",$N1093="VCA",$Q1093="LINEAR"),($M1093*2)/100,IF(AND($M1093&lt;&gt;"",$N1093="MND",$Q1093="EMBOQUE"),($AN1093*2)/100,0))</f>
        <v>0.334</v>
      </c>
      <c r="BI1093" s="153" t="n">
        <f aca="false">IF(AND($M1093&lt;&gt;"",$N1093="VCA",$Q1093="LINEAR"),$M1093,IF(AND($M1093&lt;&gt;"",$N1093="MND",$Q1093="EMBOQUE"),$AN1093*2,0))</f>
        <v>16.7</v>
      </c>
      <c r="BJ1093" s="153" t="n">
        <f aca="false">IF(AND($M1093&lt;&gt;"",$N1093="VCA",$Q1093="LINEAR"),($M1093*6.8)/100,IF(AND($M1093&lt;&gt;"",$N1093="MND",$Q1093="EMBOQUE"),($AN1093*2*6.8)/100,0))</f>
        <v>1.1356</v>
      </c>
      <c r="BK1093" s="153" t="n">
        <f aca="false">IF(AND($M1093&lt;&gt;"",$N1093="VCA",$Q1093="LINEAR"),($M1093*2.5)/50,IF(AND($M1093&lt;&gt;"",$N1093="MND",$Q1093="EMBOQUE"),($AN1093*2*2.5)/50,0))</f>
        <v>0.835</v>
      </c>
      <c r="BL1093" s="157" t="str">
        <f aca="false">K1093&amp;J1093</f>
        <v>Zona09REDES</v>
      </c>
      <c r="BM1093" s="152" t="s">
        <v>5109</v>
      </c>
      <c r="BN1093" s="152" t="s">
        <v>1560</v>
      </c>
      <c r="BO1093" s="152" t="s">
        <v>5627</v>
      </c>
      <c r="BP1093" s="152" t="s">
        <v>5680</v>
      </c>
      <c r="BQ1093" s="152" t="s">
        <v>5688</v>
      </c>
      <c r="BR1093" s="152" t="s">
        <v>5692</v>
      </c>
      <c r="BS1093" s="152" t="n">
        <v>203309.921</v>
      </c>
      <c r="BT1093" s="152" t="n">
        <v>8235948.733</v>
      </c>
      <c r="BU1093" s="152" t="n">
        <v>203313.507</v>
      </c>
      <c r="BV1093" s="152" t="n">
        <v>8235932.422</v>
      </c>
      <c r="BW1093" s="152" t="n">
        <v>-15.9380974</v>
      </c>
      <c r="BX1093" s="152" t="n">
        <v>-47.7712301</v>
      </c>
      <c r="BY1093" s="152" t="s">
        <v>5680</v>
      </c>
    </row>
    <row r="1094" customFormat="false" ht="13.8" hidden="false" customHeight="false" outlineLevel="0" collapsed="false">
      <c r="A1094" s="149" t="n">
        <f aca="false">IF(C1094&lt;&gt;"",ROW(A1089),"")</f>
        <v>1089</v>
      </c>
      <c r="B1094" s="150" t="str">
        <f aca="false">HYPERLINK("https://www.google.com/maps/dir/-15.917302,-47.760003/-15.9381712,-47.7712144/data=!4m3!4m2!3e0!5i2")</f>
        <v>https://www.google.com/maps/dir/-15.917302,-47.760003/-15.9381712,-47.7712144/data=!4m3!4m2!3e0!5i2</v>
      </c>
      <c r="C1094" s="151" t="s">
        <v>117</v>
      </c>
      <c r="D1094" s="152" t="s">
        <v>112</v>
      </c>
      <c r="E1094" s="152" t="s">
        <v>113</v>
      </c>
      <c r="F1094" s="152" t="s">
        <v>117</v>
      </c>
      <c r="G1094" s="152" t="s">
        <v>782</v>
      </c>
      <c r="H1094" s="152" t="n">
        <v>63</v>
      </c>
      <c r="I1094" s="152" t="s">
        <v>115</v>
      </c>
      <c r="J1094" s="152" t="s">
        <v>6</v>
      </c>
      <c r="K1094" s="152" t="s">
        <v>5106</v>
      </c>
      <c r="L1094" s="152" t="s">
        <v>120</v>
      </c>
      <c r="M1094" s="153" t="n">
        <f aca="false">102.28</f>
        <v>102.28</v>
      </c>
      <c r="N1094" s="152" t="s">
        <v>1548</v>
      </c>
      <c r="O1094" s="152" t="s">
        <v>1549</v>
      </c>
      <c r="P1094" s="152" t="s">
        <v>1550</v>
      </c>
      <c r="Q1094" s="152" t="s">
        <v>1551</v>
      </c>
      <c r="R1094" s="154" t="s">
        <v>5693</v>
      </c>
      <c r="S1094" s="154" t="s">
        <v>1553</v>
      </c>
      <c r="T1094" s="155" t="s">
        <v>5625</v>
      </c>
      <c r="U1094" s="152" t="str">
        <f aca="false">RIGHT(T1094,7)</f>
        <v>023/037</v>
      </c>
      <c r="V1094" s="152" t="s">
        <v>1555</v>
      </c>
      <c r="W1094" s="156" t="n">
        <v>45882</v>
      </c>
      <c r="X1094" s="152" t="s">
        <v>1594</v>
      </c>
      <c r="Y1094" s="152" t="s">
        <v>5580</v>
      </c>
      <c r="Z1094" s="152" t="s">
        <v>1557</v>
      </c>
      <c r="AA1094" s="153" t="n">
        <v>5.8</v>
      </c>
      <c r="AB1094" s="151" t="s">
        <v>5694</v>
      </c>
      <c r="AC1094" s="151" t="s">
        <v>186</v>
      </c>
      <c r="AD1094" s="151" t="str">
        <f aca="false">CONCATENATE($C1094,$I1094,$H1094,$N1094,$J1094,$K1094)</f>
        <v>TUBO PEADPEAD63VCAREDESZona09</v>
      </c>
      <c r="AE1094" s="153" t="n">
        <f aca="false">IFERROR(INDEX(APOIO_REDES!$A:$W,MATCH($C1094&amp;$I1094&amp;$H1094&amp;$N1094&amp;$O1094,APOIO_REDES!$W:$W,0),MATCH(AE$5,APOIO_REDES!$5:$5,0)),0)</f>
        <v>1.2</v>
      </c>
      <c r="AF1094" s="153" t="n">
        <f aca="false">IFERROR(INDEX(APOIO_REDES!$A:$W,MATCH($C1094&amp;$I1094&amp;$H1094&amp;$N1094&amp;$O1094,APOIO_REDES!$W:$W,0),MATCH(AF$5,APOIO_REDES!$5:$5,0)),0)</f>
        <v>1.363</v>
      </c>
      <c r="AG1094" s="153" t="n">
        <f aca="false">IFERROR(INDEX(APOIO_REDES!$A:$W,MATCH($C1094&amp;$I1094&amp;$H1094&amp;$N1094&amp;$O1094,APOIO_REDES!$W:$W,0),MATCH(AG$5,APOIO_REDES!$5:$5,0)),0)</f>
        <v>0.65</v>
      </c>
      <c r="AH1094" s="153" t="n">
        <f aca="false">IFERROR(INDEX(APOIO_REDES!$A:$W,MATCH($C1094&amp;$I1094&amp;$H1094&amp;$N1094&amp;$O1094,APOIO_REDES!$W:$W,0),MATCH(AH$5,APOIO_REDES!$5:$5,0)),0)</f>
        <v>0.1</v>
      </c>
      <c r="AI1094" s="153" t="n">
        <f aca="false">IFERROR(IF($H1094&lt;&gt;"",(((($H1094/1000)/2)^2)*PI()*$M1094),0),0)</f>
        <v>0.318831850360443</v>
      </c>
      <c r="AJ1094" s="153" t="n">
        <f aca="false">IFERROR(IF(AND($H1094&lt;&gt;"",$I1094="FoFo",OR($N1094="MND",$N1094="VCA"),$Q1094="LINEAR"),0,IF(AND($H1094&lt;&gt;"",$I1094="PEAD",$N1094="VCA",$Q1094="LINEAR"),($H1094/1000)+0.3,IF(AND($H1094&lt;&gt;"",$I1094="PEAD",$N1094="MND",$Q1094="EMBOQUE"),0,IF(AND($H1094&lt;&gt;"",$I1094="PVC",$N1094="VCA",$Q1094="LINEAR"),($H1094/1000)+0.2,IF(AND($H1094&lt;&gt;"",$I1094="PVC",$N1094="MND",$Q1094="EMBOQUE"),0,IF(AND($H1094&lt;&gt;"",$I1094="PEAD",$N1094="VCA",$Q1094="PREDIAL"),0,0)))))),0)</f>
        <v>0.363</v>
      </c>
      <c r="AK1094" s="153" t="n">
        <f aca="false">IF(AA1094&lt;&gt;"",AA1094,0)</f>
        <v>5.8</v>
      </c>
      <c r="AL1094" s="153" t="n">
        <f aca="false">IF(AND($N1094="MND",$Q1094="EMBOQUE"),$M1094,IF(AND($N1094="VCA",$Q1094="LINEAR"),$M1094,IF(AND($N1094="VCA",$Q1094="PREDIAL"),0,0)))</f>
        <v>102.28</v>
      </c>
      <c r="AM1094" s="153" t="n">
        <f aca="false">IF(AND($N1094="MND",$Q1094="EMBOQUE"),$M1094,IF(AND($N1094="VCA",$Q1094="LINEAR"),$M1094,IF(AND($N1094="VCA",$Q1094="PREDIAL"),0,0)))</f>
        <v>102.28</v>
      </c>
      <c r="AN1094" s="153" t="n">
        <f aca="false">ROUND(IF(AND($N1094="VCA",$M1094&lt;&gt;"",$Q1094="LINEAR"),$M1094/100,IF(AND($N1094="MND",$M1094&gt;100,$Q1094="EMBOQUE"),$M1094/100,0)),0)</f>
        <v>1</v>
      </c>
      <c r="AO1094" s="153" t="n">
        <f aca="false">IF(AND($N1094="MND",$Q1094="EMBOQUE"),$AN1094*2*2,IF(AND($N1094="VCA",$Q1094="LINEAR"),$M1094*2,IF(AND($N1094="VCA",$Q1094="PREDIAL"),0,0)))</f>
        <v>204.56</v>
      </c>
      <c r="AP1094" s="153" t="n">
        <f aca="false">IFERROR($M1094*$AF1094*$AG1094,0)</f>
        <v>90.614966</v>
      </c>
      <c r="AQ1094" s="153" t="n">
        <f aca="false">IFERROR(IF(AND($N1094="VCA",$AH1094&gt;0),$M1094*$AG1094*$AH1094,0),0)</f>
        <v>6.6482</v>
      </c>
      <c r="AR1094" s="153" t="n">
        <f aca="false">IFERROR(IF(AND($N1094="VCA",$AJ1094&gt;0),($M1094*$AG1094*$AJ1094)-$AI1094,0),0)</f>
        <v>23.8141341496396</v>
      </c>
      <c r="AS1094" s="153" t="n">
        <f aca="false">IFERROR(IF(AND($N1094="VCA",$AP1094&gt;0),$AP1094-$AI1094-$AQ1094-$AR1094,0),0)</f>
        <v>59.8338</v>
      </c>
      <c r="AT1094" s="153" t="n">
        <f aca="false">IFERROR(IF($N1094="VCA",INDEX(APOIO_REDES!$A:$W,MATCH($C1094&amp;$I1094&amp;$H1094&amp;$N1094&amp;$O1094,APOIO_REDES!$W:$W,0),MATCH(AT$5,APOIO_REDES!$5:$5,0)),0)*$AP1094,0)</f>
        <v>0.985917650740878</v>
      </c>
      <c r="AU1094" s="153" t="n">
        <f aca="false">IFERROR(IF($N1094="VCA",INDEX(APOIO_REDES!$A:$W,MATCH($C1094&amp;$I1094&amp;$H1094&amp;$N1094&amp;$O1094,APOIO_REDES!$W:$W,0),MATCH(AU$5,APOIO_REDES!$5:$5,0)),0)*$AP1094,0)</f>
        <v>0.787327133845318</v>
      </c>
      <c r="AV1094" s="153" t="n">
        <f aca="false">IFERROR(IF($N1094="VCA",INDEX(APOIO_REDES!$A:$W,MATCH($C1094&amp;$I1094&amp;$H1094&amp;$N1094&amp;$O1094,APOIO_REDES!$W:$W,0),MATCH(AV$5,APOIO_REDES!$5:$5,0)),0)*$AP1094,0)</f>
        <v>0.108959894563856</v>
      </c>
      <c r="AW1094" s="153" t="n">
        <f aca="false">IFERROR(IF($N1094="VCA",INDEX(APOIO_REDES!$A:$W,MATCH($C1094&amp;$I1094&amp;$H1094&amp;$N1094&amp;$O1094,APOIO_REDES!$W:$W,0),MATCH(AW$5,APOIO_REDES!$5:$5,0)),0)*$AP1094,0)</f>
        <v>62.1988147814183</v>
      </c>
      <c r="AX1094" s="153" t="n">
        <f aca="false">IFERROR(IF($N1094="VCA",INDEX(APOIO_REDES!$A:$W,MATCH($C1094&amp;$I1094&amp;$H1094&amp;$N1094&amp;$O1094,APOIO_REDES!$W:$W,0),MATCH(AX$5,APOIO_REDES!$5:$5,0)),0)*$AP1094,0)</f>
        <v>8.60813878907062</v>
      </c>
      <c r="AY1094" s="153" t="n">
        <f aca="false">IFERROR(IF($N1094="VCA",INDEX(APOIO_REDES!$A:$W,MATCH($C1094&amp;$I1094&amp;$H1094&amp;$N1094&amp;$O1094,APOIO_REDES!$W:$W,0),MATCH(AY$5,APOIO_REDES!$5:$5,0)),0)*$AP1094,0)</f>
        <v>15.7465330794524</v>
      </c>
      <c r="AZ1094" s="153" t="n">
        <f aca="false">IFERROR(IF($N1094="VCA",INDEX(APOIO_REDES!$A:$W,MATCH($C1094&amp;$I1094&amp;$H1094&amp;$N1094&amp;$O1094,APOIO_REDES!$W:$W,0),MATCH(AZ$5,APOIO_REDES!$5:$5,0)),0)*$AP1094,0)</f>
        <v>2.17927467090862</v>
      </c>
      <c r="BA1094" s="153" t="n">
        <f aca="false">IFERROR(IF(AND($N1094="VCA",$Q1094="LINEAR"),INDEX(APOIO_REDES!$A:$W,MATCH($C1094&amp;$I1094&amp;$H1094&amp;$N1094&amp;$O1094,APOIO_REDES!$W:$W,0),MATCH(BA$5,APOIO_REDES!$5:$5,0)),IF(AND($N1094="MND",$Q1094="EMBOQUE"),INDEX(APOIO_REDES!$A:$W,MATCH($C1094&amp;$I1094&amp;$H1094&amp;$N1094&amp;$O1094,APOIO_REDES!$W:$W,0),MATCH(BA$5,APOIO_REDES!$5:$5,0)),0))*$M1094/10,0)</f>
        <v>8.24351000685993</v>
      </c>
      <c r="BB1094" s="153" t="n">
        <f aca="false">IFERROR(IF($N1094="VCA",INDEX(APOIO_REDES!$A:$W,MATCH($C1094&amp;$I1094&amp;$H1094&amp;$N1094&amp;$O1094,APOIO_REDES!$W:$W,0),MATCH(BB$5,APOIO_REDES!$5:$5,0)),0)*($AI1094+$AQ1094+$AR1094),0)</f>
        <v>30.4462578031599</v>
      </c>
      <c r="BC1094" s="153" t="n">
        <f aca="false">IFERROR(IF($N1094="VCA",INDEX(APOIO_REDES!$A:$W,MATCH($C1094&amp;$I1094&amp;$H1094&amp;$N1094&amp;$O1094,APOIO_REDES!$W:$W,0),MATCH(BC$5,APOIO_REDES!$5:$5,0)),0)*($AI1094+$AQ1094+$AR1094),0)</f>
        <v>0.334908196840078</v>
      </c>
      <c r="BD1094" s="153" t="n">
        <f aca="false">IF(AND($N1094="VCA",$AF1094&gt;=1.25,$AF1094&lt;1.5),$M1094*$AF1094*2,0)</f>
        <v>278.81528</v>
      </c>
      <c r="BE1094" s="153" t="n">
        <f aca="false">IF(AND($N1094="VCA",$AF1094&gt;=1.5,$AF1094&lt;3),$M1094*$AF1094*2,0)</f>
        <v>0</v>
      </c>
      <c r="BF1094" s="153" t="n">
        <f aca="false">IF(AND($N1094="VCA",$AF1094&gt;=3),$M1094*$AF1094*2,0)</f>
        <v>0</v>
      </c>
      <c r="BG1094" s="153" t="n">
        <f aca="false">($BB1094+$BC1094)*$AK1094</f>
        <v>178.5307628</v>
      </c>
      <c r="BH1094" s="153" t="n">
        <f aca="false">IF(AND($M1094&lt;&gt;"",$N1094="VCA",$Q1094="LINEAR"),($M1094*2)/100,IF(AND($M1094&lt;&gt;"",$N1094="MND",$Q1094="EMBOQUE"),($AN1094*2)/100,0))</f>
        <v>2.0456</v>
      </c>
      <c r="BI1094" s="153" t="n">
        <f aca="false">IF(AND($M1094&lt;&gt;"",$N1094="VCA",$Q1094="LINEAR"),$M1094,IF(AND($M1094&lt;&gt;"",$N1094="MND",$Q1094="EMBOQUE"),$AN1094*2,0))</f>
        <v>102.28</v>
      </c>
      <c r="BJ1094" s="153" t="n">
        <f aca="false">IF(AND($M1094&lt;&gt;"",$N1094="VCA",$Q1094="LINEAR"),($M1094*6.8)/100,IF(AND($M1094&lt;&gt;"",$N1094="MND",$Q1094="EMBOQUE"),($AN1094*2*6.8)/100,0))</f>
        <v>6.95504</v>
      </c>
      <c r="BK1094" s="153" t="n">
        <f aca="false">IF(AND($M1094&lt;&gt;"",$N1094="VCA",$Q1094="LINEAR"),($M1094*2.5)/50,IF(AND($M1094&lt;&gt;"",$N1094="MND",$Q1094="EMBOQUE"),($AN1094*2*2.5)/50,0))</f>
        <v>5.114</v>
      </c>
      <c r="BL1094" s="157" t="str">
        <f aca="false">K1094&amp;J1094</f>
        <v>Zona09REDES</v>
      </c>
      <c r="BM1094" s="152" t="s">
        <v>5109</v>
      </c>
      <c r="BN1094" s="152" t="s">
        <v>1560</v>
      </c>
      <c r="BO1094" s="152" t="s">
        <v>5627</v>
      </c>
      <c r="BP1094" s="152" t="s">
        <v>5688</v>
      </c>
      <c r="BQ1094" s="152" t="s">
        <v>5622</v>
      </c>
      <c r="BR1094" s="152" t="s">
        <v>5695</v>
      </c>
      <c r="BS1094" s="152" t="n">
        <v>203313.507</v>
      </c>
      <c r="BT1094" s="152" t="n">
        <v>8235932.422</v>
      </c>
      <c r="BU1094" s="152" t="n">
        <v>203213.594</v>
      </c>
      <c r="BV1094" s="152" t="n">
        <v>8235910.739</v>
      </c>
      <c r="BW1094" s="152" t="n">
        <v>-15.9382697</v>
      </c>
      <c r="BX1094" s="152" t="n">
        <v>-47.7716804</v>
      </c>
      <c r="BY1094" s="152" t="s">
        <v>5688</v>
      </c>
    </row>
    <row r="1095" customFormat="false" ht="13.8" hidden="false" customHeight="false" outlineLevel="0" collapsed="false">
      <c r="A1095" s="149" t="n">
        <f aca="false">IF(C1095&lt;&gt;"",ROW(A1090),"")</f>
        <v>1090</v>
      </c>
      <c r="B1095" s="150" t="str">
        <f aca="false">HYPERLINK("https://www.google.com/maps/dir/-15.917302,-47.760003/-15.9386435,-47.7708473/data=!4m3!4m2!3e0!5i1")</f>
        <v>https://www.google.com/maps/dir/-15.917302,-47.760003/-15.9386435,-47.7708473/data=!4m3!4m2!3e0!5i1</v>
      </c>
      <c r="C1095" s="151" t="s">
        <v>117</v>
      </c>
      <c r="D1095" s="152" t="s">
        <v>112</v>
      </c>
      <c r="E1095" s="152" t="s">
        <v>113</v>
      </c>
      <c r="F1095" s="152" t="s">
        <v>117</v>
      </c>
      <c r="G1095" s="152" t="s">
        <v>782</v>
      </c>
      <c r="H1095" s="152" t="n">
        <v>63</v>
      </c>
      <c r="I1095" s="152" t="s">
        <v>115</v>
      </c>
      <c r="J1095" s="152" t="s">
        <v>6</v>
      </c>
      <c r="K1095" s="152" t="s">
        <v>5106</v>
      </c>
      <c r="L1095" s="152" t="s">
        <v>120</v>
      </c>
      <c r="M1095" s="153" t="n">
        <f aca="false">67.22+3.98</f>
        <v>71.2</v>
      </c>
      <c r="N1095" s="152" t="s">
        <v>1548</v>
      </c>
      <c r="O1095" s="152" t="s">
        <v>1549</v>
      </c>
      <c r="P1095" s="152" t="s">
        <v>1550</v>
      </c>
      <c r="Q1095" s="152" t="s">
        <v>1551</v>
      </c>
      <c r="R1095" s="154" t="s">
        <v>5696</v>
      </c>
      <c r="S1095" s="154" t="s">
        <v>1553</v>
      </c>
      <c r="T1095" s="155" t="s">
        <v>5625</v>
      </c>
      <c r="U1095" s="152" t="str">
        <f aca="false">RIGHT(T1095,7)</f>
        <v>023/037</v>
      </c>
      <c r="V1095" s="152" t="s">
        <v>1555</v>
      </c>
      <c r="W1095" s="156" t="n">
        <v>45882</v>
      </c>
      <c r="X1095" s="152" t="s">
        <v>1594</v>
      </c>
      <c r="Y1095" s="152"/>
      <c r="Z1095" s="152" t="s">
        <v>1557</v>
      </c>
      <c r="AA1095" s="153" t="n">
        <v>5.9</v>
      </c>
      <c r="AB1095" s="151" t="s">
        <v>5697</v>
      </c>
      <c r="AC1095" s="151" t="s">
        <v>186</v>
      </c>
      <c r="AD1095" s="151" t="str">
        <f aca="false">CONCATENATE($C1095,$I1095,$H1095,$N1095,$J1095,$K1095)</f>
        <v>TUBO PEADPEAD63VCAREDESZona09</v>
      </c>
      <c r="AE1095" s="153" t="n">
        <f aca="false">IFERROR(INDEX(APOIO_REDES!$A:$W,MATCH($C1095&amp;$I1095&amp;$H1095&amp;$N1095&amp;$O1095,APOIO_REDES!$W:$W,0),MATCH(AE$5,APOIO_REDES!$5:$5,0)),0)</f>
        <v>1.2</v>
      </c>
      <c r="AF1095" s="153" t="n">
        <f aca="false">IFERROR(INDEX(APOIO_REDES!$A:$W,MATCH($C1095&amp;$I1095&amp;$H1095&amp;$N1095&amp;$O1095,APOIO_REDES!$W:$W,0),MATCH(AF$5,APOIO_REDES!$5:$5,0)),0)</f>
        <v>1.363</v>
      </c>
      <c r="AG1095" s="153" t="n">
        <f aca="false">IFERROR(INDEX(APOIO_REDES!$A:$W,MATCH($C1095&amp;$I1095&amp;$H1095&amp;$N1095&amp;$O1095,APOIO_REDES!$W:$W,0),MATCH(AG$5,APOIO_REDES!$5:$5,0)),0)</f>
        <v>0.65</v>
      </c>
      <c r="AH1095" s="153" t="n">
        <f aca="false">IFERROR(INDEX(APOIO_REDES!$A:$W,MATCH($C1095&amp;$I1095&amp;$H1095&amp;$N1095&amp;$O1095,APOIO_REDES!$W:$W,0),MATCH(AH$5,APOIO_REDES!$5:$5,0)),0)</f>
        <v>0.1</v>
      </c>
      <c r="AI1095" s="153" t="n">
        <f aca="false">IFERROR(IF($H1095&lt;&gt;"",(((($H1095/1000)/2)^2)*PI()*$M1095),0),0)</f>
        <v>0.221947866109342</v>
      </c>
      <c r="AJ1095" s="153" t="n">
        <f aca="false">IFERROR(IF(AND($H1095&lt;&gt;"",$I1095="FoFo",OR($N1095="MND",$N1095="VCA"),$Q1095="LINEAR"),0,IF(AND($H1095&lt;&gt;"",$I1095="PEAD",$N1095="VCA",$Q1095="LINEAR"),($H1095/1000)+0.3,IF(AND($H1095&lt;&gt;"",$I1095="PEAD",$N1095="MND",$Q1095="EMBOQUE"),0,IF(AND($H1095&lt;&gt;"",$I1095="PVC",$N1095="VCA",$Q1095="LINEAR"),($H1095/1000)+0.2,IF(AND($H1095&lt;&gt;"",$I1095="PVC",$N1095="MND",$Q1095="EMBOQUE"),0,IF(AND($H1095&lt;&gt;"",$I1095="PEAD",$N1095="VCA",$Q1095="PREDIAL"),0,0)))))),0)</f>
        <v>0.363</v>
      </c>
      <c r="AK1095" s="153" t="n">
        <f aca="false">IF(AA1095&lt;&gt;"",AA1095,0)</f>
        <v>5.9</v>
      </c>
      <c r="AL1095" s="153" t="n">
        <f aca="false">IF(AND($N1095="MND",$Q1095="EMBOQUE"),$M1095,IF(AND($N1095="VCA",$Q1095="LINEAR"),$M1095,IF(AND($N1095="VCA",$Q1095="PREDIAL"),0,0)))</f>
        <v>71.2</v>
      </c>
      <c r="AM1095" s="153" t="n">
        <f aca="false">IF(AND($N1095="MND",$Q1095="EMBOQUE"),$M1095,IF(AND($N1095="VCA",$Q1095="LINEAR"),$M1095,IF(AND($N1095="VCA",$Q1095="PREDIAL"),0,0)))</f>
        <v>71.2</v>
      </c>
      <c r="AN1095" s="153" t="n">
        <f aca="false">ROUND(IF(AND($N1095="VCA",$M1095&lt;&gt;"",$Q1095="LINEAR"),$M1095/100,IF(AND($N1095="MND",$M1095&gt;100,$Q1095="EMBOQUE"),$M1095/100,0)),0)</f>
        <v>1</v>
      </c>
      <c r="AO1095" s="153" t="n">
        <f aca="false">IF(AND($N1095="MND",$Q1095="EMBOQUE"),$AN1095*2*2,IF(AND($N1095="VCA",$Q1095="LINEAR"),$M1095*2,IF(AND($N1095="VCA",$Q1095="PREDIAL"),0,0)))</f>
        <v>142.4</v>
      </c>
      <c r="AP1095" s="153" t="n">
        <f aca="false">IFERROR($M1095*$AF1095*$AG1095,0)</f>
        <v>63.07964</v>
      </c>
      <c r="AQ1095" s="153" t="n">
        <f aca="false">IFERROR(IF(AND($N1095="VCA",$AH1095&gt;0),$M1095*$AG1095*$AH1095,0),0)</f>
        <v>4.628</v>
      </c>
      <c r="AR1095" s="153" t="n">
        <f aca="false">IFERROR(IF(AND($N1095="VCA",$AJ1095&gt;0),($M1095*$AG1095*$AJ1095)-$AI1095,0),0)</f>
        <v>16.5776921338907</v>
      </c>
      <c r="AS1095" s="153" t="n">
        <f aca="false">IFERROR(IF(AND($N1095="VCA",$AP1095&gt;0),$AP1095-$AI1095-$AQ1095-$AR1095,0),0)</f>
        <v>41.652</v>
      </c>
      <c r="AT1095" s="153" t="n">
        <f aca="false">IFERROR(IF($N1095="VCA",INDEX(APOIO_REDES!$A:$W,MATCH($C1095&amp;$I1095&amp;$H1095&amp;$N1095&amp;$O1095,APOIO_REDES!$W:$W,0),MATCH(AT$5,APOIO_REDES!$5:$5,0)),0)*$AP1095,0)</f>
        <v>0.6863251538204</v>
      </c>
      <c r="AU1095" s="153" t="n">
        <f aca="false">IFERROR(IF($N1095="VCA",INDEX(APOIO_REDES!$A:$W,MATCH($C1095&amp;$I1095&amp;$H1095&amp;$N1095&amp;$O1095,APOIO_REDES!$W:$W,0),MATCH(AU$5,APOIO_REDES!$5:$5,0)),0)*$AP1095,0)</f>
        <v>0.548080679798461</v>
      </c>
      <c r="AV1095" s="153" t="n">
        <f aca="false">IFERROR(IF($N1095="VCA",INDEX(APOIO_REDES!$A:$W,MATCH($C1095&amp;$I1095&amp;$H1095&amp;$N1095&amp;$O1095,APOIO_REDES!$W:$W,0),MATCH(AV$5,APOIO_REDES!$5:$5,0)),0)*$AP1095,0)</f>
        <v>0.0758500634820739</v>
      </c>
      <c r="AW1095" s="153" t="n">
        <f aca="false">IFERROR(IF($N1095="VCA",INDEX(APOIO_REDES!$A:$W,MATCH($C1095&amp;$I1095&amp;$H1095&amp;$N1095&amp;$O1095,APOIO_REDES!$W:$W,0),MATCH(AW$5,APOIO_REDES!$5:$5,0)),0)*$AP1095,0)</f>
        <v>43.2983536609013</v>
      </c>
      <c r="AX1095" s="153" t="n">
        <f aca="false">IFERROR(IF($N1095="VCA",INDEX(APOIO_REDES!$A:$W,MATCH($C1095&amp;$I1095&amp;$H1095&amp;$N1095&amp;$O1095,APOIO_REDES!$W:$W,0),MATCH(AX$5,APOIO_REDES!$5:$5,0)),0)*$AP1095,0)</f>
        <v>5.99236880897368</v>
      </c>
      <c r="AY1095" s="153" t="n">
        <f aca="false">IFERROR(IF($N1095="VCA",INDEX(APOIO_REDES!$A:$W,MATCH($C1095&amp;$I1095&amp;$H1095&amp;$N1095&amp;$O1095,APOIO_REDES!$W:$W,0),MATCH(AY$5,APOIO_REDES!$5:$5,0)),0)*$AP1095,0)</f>
        <v>10.9616069149102</v>
      </c>
      <c r="AZ1095" s="153" t="n">
        <f aca="false">IFERROR(IF($N1095="VCA",INDEX(APOIO_REDES!$A:$W,MATCH($C1095&amp;$I1095&amp;$H1095&amp;$N1095&amp;$O1095,APOIO_REDES!$W:$W,0),MATCH(AZ$5,APOIO_REDES!$5:$5,0)),0)*$AP1095,0)</f>
        <v>1.51705471811394</v>
      </c>
      <c r="BA1095" s="153" t="n">
        <f aca="false">IFERROR(IF(AND($N1095="VCA",$Q1095="LINEAR"),INDEX(APOIO_REDES!$A:$W,MATCH($C1095&amp;$I1095&amp;$H1095&amp;$N1095&amp;$O1095,APOIO_REDES!$W:$W,0),MATCH(BA$5,APOIO_REDES!$5:$5,0)),IF(AND($N1095="MND",$Q1095="EMBOQUE"),INDEX(APOIO_REDES!$A:$W,MATCH($C1095&amp;$I1095&amp;$H1095&amp;$N1095&amp;$O1095,APOIO_REDES!$W:$W,0),MATCH(BA$5,APOIO_REDES!$5:$5,0)),0))*$M1095/10,0)</f>
        <v>5.73854040368036</v>
      </c>
      <c r="BB1095" s="153" t="n">
        <f aca="false">IFERROR(IF($N1095="VCA",INDEX(APOIO_REDES!$A:$W,MATCH($C1095&amp;$I1095&amp;$H1095&amp;$N1095&amp;$O1095,APOIO_REDES!$W:$W,0),MATCH(BB$5,APOIO_REDES!$5:$5,0)),0)*($AI1095+$AQ1095+$AR1095),0)</f>
        <v>21.1945009345423</v>
      </c>
      <c r="BC1095" s="153" t="n">
        <f aca="false">IFERROR(IF($N1095="VCA",INDEX(APOIO_REDES!$A:$W,MATCH($C1095&amp;$I1095&amp;$H1095&amp;$N1095&amp;$O1095,APOIO_REDES!$W:$W,0),MATCH(BC$5,APOIO_REDES!$5:$5,0)),0)*($AI1095+$AQ1095+$AR1095),0)</f>
        <v>0.2331390654577</v>
      </c>
      <c r="BD1095" s="153" t="n">
        <f aca="false">IF(AND($N1095="VCA",$AF1095&gt;=1.25,$AF1095&lt;1.5),$M1095*$AF1095*2,0)</f>
        <v>194.0912</v>
      </c>
      <c r="BE1095" s="153" t="n">
        <f aca="false">IF(AND($N1095="VCA",$AF1095&gt;=1.5,$AF1095&lt;3),$M1095*$AF1095*2,0)</f>
        <v>0</v>
      </c>
      <c r="BF1095" s="153" t="n">
        <f aca="false">IF(AND($N1095="VCA",$AF1095&gt;=3),$M1095*$AF1095*2,0)</f>
        <v>0</v>
      </c>
      <c r="BG1095" s="153" t="n">
        <f aca="false">($BB1095+$BC1095)*$AK1095</f>
        <v>126.423076</v>
      </c>
      <c r="BH1095" s="153" t="n">
        <f aca="false">IF(AND($M1095&lt;&gt;"",$N1095="VCA",$Q1095="LINEAR"),($M1095*2)/100,IF(AND($M1095&lt;&gt;"",$N1095="MND",$Q1095="EMBOQUE"),($AN1095*2)/100,0))</f>
        <v>1.424</v>
      </c>
      <c r="BI1095" s="153" t="n">
        <f aca="false">IF(AND($M1095&lt;&gt;"",$N1095="VCA",$Q1095="LINEAR"),$M1095,IF(AND($M1095&lt;&gt;"",$N1095="MND",$Q1095="EMBOQUE"),$AN1095*2,0))</f>
        <v>71.2</v>
      </c>
      <c r="BJ1095" s="153" t="n">
        <f aca="false">IF(AND($M1095&lt;&gt;"",$N1095="VCA",$Q1095="LINEAR"),($M1095*6.8)/100,IF(AND($M1095&lt;&gt;"",$N1095="MND",$Q1095="EMBOQUE"),($AN1095*2*6.8)/100,0))</f>
        <v>4.8416</v>
      </c>
      <c r="BK1095" s="153" t="n">
        <f aca="false">IF(AND($M1095&lt;&gt;"",$N1095="VCA",$Q1095="LINEAR"),($M1095*2.5)/50,IF(AND($M1095&lt;&gt;"",$N1095="MND",$Q1095="EMBOQUE"),($AN1095*2*2.5)/50,0))</f>
        <v>3.56</v>
      </c>
      <c r="BL1095" s="157" t="str">
        <f aca="false">K1095&amp;J1095</f>
        <v>Zona09REDES</v>
      </c>
      <c r="BM1095" s="152" t="s">
        <v>5109</v>
      </c>
      <c r="BN1095" s="152" t="s">
        <v>1560</v>
      </c>
      <c r="BO1095" s="152" t="s">
        <v>5627</v>
      </c>
      <c r="BP1095" s="152" t="s">
        <v>5698</v>
      </c>
      <c r="BQ1095" s="152" t="s">
        <v>5687</v>
      </c>
      <c r="BR1095" s="152" t="s">
        <v>5699</v>
      </c>
      <c r="BS1095" s="152" t="n">
        <v>203353.529</v>
      </c>
      <c r="BT1095" s="152" t="n">
        <v>8235880.651</v>
      </c>
      <c r="BU1095" s="152" t="n">
        <v>203342.398</v>
      </c>
      <c r="BV1095" s="152" t="n">
        <v>8235946.942</v>
      </c>
      <c r="BW1095" s="152" t="n">
        <v>-15.9383436</v>
      </c>
      <c r="BX1095" s="152" t="n">
        <v>-47.7708951</v>
      </c>
      <c r="BY1095" s="152" t="s">
        <v>5698</v>
      </c>
    </row>
    <row r="1096" customFormat="false" ht="13.8" hidden="false" customHeight="false" outlineLevel="0" collapsed="false">
      <c r="A1096" s="149" t="n">
        <f aca="false">IF(C1096&lt;&gt;"",ROW(A1091),"")</f>
        <v>1091</v>
      </c>
      <c r="B1096" s="150" t="str">
        <f aca="false">HYPERLINK("https://www.google.com/maps/dir/-15.917302,-47.760003/-15.9229040,-47.7729996/data=!4m3!4m2!3e0!5i2")</f>
        <v>https://www.google.com/maps/dir/-15.917302,-47.760003/-15.9229040,-47.7729996/data=!4m3!4m2!3e0!5i2</v>
      </c>
      <c r="C1096" s="151" t="s">
        <v>117</v>
      </c>
      <c r="D1096" s="152" t="s">
        <v>112</v>
      </c>
      <c r="E1096" s="152" t="s">
        <v>113</v>
      </c>
      <c r="F1096" s="152" t="s">
        <v>117</v>
      </c>
      <c r="G1096" s="152" t="s">
        <v>782</v>
      </c>
      <c r="H1096" s="152" t="n">
        <v>63</v>
      </c>
      <c r="I1096" s="152" t="s">
        <v>115</v>
      </c>
      <c r="J1096" s="152" t="s">
        <v>6</v>
      </c>
      <c r="K1096" s="152" t="s">
        <v>5700</v>
      </c>
      <c r="L1096" s="152" t="s">
        <v>120</v>
      </c>
      <c r="M1096" s="153" t="n">
        <f aca="false">353.2+4</f>
        <v>357.2</v>
      </c>
      <c r="N1096" s="152" t="s">
        <v>1548</v>
      </c>
      <c r="O1096" s="152" t="s">
        <v>1549</v>
      </c>
      <c r="P1096" s="152" t="s">
        <v>1550</v>
      </c>
      <c r="Q1096" s="152" t="s">
        <v>1551</v>
      </c>
      <c r="R1096" s="154" t="s">
        <v>5701</v>
      </c>
      <c r="S1096" s="154" t="s">
        <v>1553</v>
      </c>
      <c r="T1096" s="155" t="s">
        <v>2487</v>
      </c>
      <c r="U1096" s="152" t="str">
        <f aca="false">RIGHT(T1096,7)</f>
        <v>011/037</v>
      </c>
      <c r="V1096" s="152" t="s">
        <v>1555</v>
      </c>
      <c r="W1096" s="156" t="n">
        <v>45882</v>
      </c>
      <c r="X1096" s="152" t="s">
        <v>1594</v>
      </c>
      <c r="Y1096" s="152" t="s">
        <v>3365</v>
      </c>
      <c r="Z1096" s="152" t="s">
        <v>1557</v>
      </c>
      <c r="AA1096" s="153" t="n">
        <v>4.5</v>
      </c>
      <c r="AB1096" s="151" t="s">
        <v>5702</v>
      </c>
      <c r="AC1096" s="151" t="s">
        <v>186</v>
      </c>
      <c r="AD1096" s="151" t="str">
        <f aca="false">CONCATENATE($C1096,$I1096,$H1096,$N1096,$J1096,$K1096)</f>
        <v>TUBO PEADPEAD63VCAREDESZona10</v>
      </c>
      <c r="AE1096" s="153" t="n">
        <f aca="false">IFERROR(INDEX(APOIO_REDES!$A:$W,MATCH($C1096&amp;$I1096&amp;$H1096&amp;$N1096&amp;$O1096,APOIO_REDES!$W:$W,0),MATCH(AE$5,APOIO_REDES!$5:$5,0)),0)</f>
        <v>1.2</v>
      </c>
      <c r="AF1096" s="153" t="n">
        <f aca="false">IFERROR(INDEX(APOIO_REDES!$A:$W,MATCH($C1096&amp;$I1096&amp;$H1096&amp;$N1096&amp;$O1096,APOIO_REDES!$W:$W,0),MATCH(AF$5,APOIO_REDES!$5:$5,0)),0)</f>
        <v>1.363</v>
      </c>
      <c r="AG1096" s="153" t="n">
        <f aca="false">IFERROR(INDEX(APOIO_REDES!$A:$W,MATCH($C1096&amp;$I1096&amp;$H1096&amp;$N1096&amp;$O1096,APOIO_REDES!$W:$W,0),MATCH(AG$5,APOIO_REDES!$5:$5,0)),0)</f>
        <v>0.65</v>
      </c>
      <c r="AH1096" s="153" t="n">
        <f aca="false">IFERROR(INDEX(APOIO_REDES!$A:$W,MATCH($C1096&amp;$I1096&amp;$H1096&amp;$N1096&amp;$O1096,APOIO_REDES!$W:$W,0),MATCH(AH$5,APOIO_REDES!$5:$5,0)),0)</f>
        <v>0.1</v>
      </c>
      <c r="AI1096" s="153" t="n">
        <f aca="false">IFERROR(IF($H1096&lt;&gt;"",(((($H1096/1000)/2)^2)*PI()*$M1096),0),0)</f>
        <v>1.11348002491934</v>
      </c>
      <c r="AJ1096" s="153" t="n">
        <f aca="false">IFERROR(IF(AND($H1096&lt;&gt;"",$I1096="FoFo",OR($N1096="MND",$N1096="VCA"),$Q1096="LINEAR"),0,IF(AND($H1096&lt;&gt;"",$I1096="PEAD",$N1096="VCA",$Q1096="LINEAR"),($H1096/1000)+0.3,IF(AND($H1096&lt;&gt;"",$I1096="PEAD",$N1096="MND",$Q1096="EMBOQUE"),0,IF(AND($H1096&lt;&gt;"",$I1096="PVC",$N1096="VCA",$Q1096="LINEAR"),($H1096/1000)+0.2,IF(AND($H1096&lt;&gt;"",$I1096="PVC",$N1096="MND",$Q1096="EMBOQUE"),0,IF(AND($H1096&lt;&gt;"",$I1096="PEAD",$N1096="VCA",$Q1096="PREDIAL"),0,0)))))),0)</f>
        <v>0.363</v>
      </c>
      <c r="AK1096" s="153" t="n">
        <f aca="false">IF(AA1096&lt;&gt;"",AA1096,0)</f>
        <v>4.5</v>
      </c>
      <c r="AL1096" s="153" t="n">
        <f aca="false">IF(AND($N1096="MND",$Q1096="EMBOQUE"),$M1096,IF(AND($N1096="VCA",$Q1096="LINEAR"),$M1096,IF(AND($N1096="VCA",$Q1096="PREDIAL"),0,0)))</f>
        <v>357.2</v>
      </c>
      <c r="AM1096" s="153" t="n">
        <f aca="false">IF(AND($N1096="MND",$Q1096="EMBOQUE"),$M1096,IF(AND($N1096="VCA",$Q1096="LINEAR"),$M1096,IF(AND($N1096="VCA",$Q1096="PREDIAL"),0,0)))</f>
        <v>357.2</v>
      </c>
      <c r="AN1096" s="153" t="n">
        <f aca="false">ROUND(IF(AND($N1096="VCA",$M1096&lt;&gt;"",$Q1096="LINEAR"),$M1096/100,IF(AND($N1096="MND",$M1096&gt;100,$Q1096="EMBOQUE"),$M1096/100,0)),0)</f>
        <v>4</v>
      </c>
      <c r="AO1096" s="153" t="n">
        <f aca="false">IF(AND($N1096="MND",$Q1096="EMBOQUE"),$AN1096*2*2,IF(AND($N1096="VCA",$Q1096="LINEAR"),$M1096*2,IF(AND($N1096="VCA",$Q1096="PREDIAL"),0,0)))</f>
        <v>714.4</v>
      </c>
      <c r="AP1096" s="153" t="n">
        <f aca="false">IFERROR($M1096*$AF1096*$AG1096,0)</f>
        <v>316.46134</v>
      </c>
      <c r="AQ1096" s="153" t="n">
        <f aca="false">IFERROR(IF(AND($N1096="VCA",$AH1096&gt;0),$M1096*$AG1096*$AH1096,0),0)</f>
        <v>23.218</v>
      </c>
      <c r="AR1096" s="153" t="n">
        <f aca="false">IFERROR(IF(AND($N1096="VCA",$AJ1096&gt;0),($M1096*$AG1096*$AJ1096)-$AI1096,0),0)</f>
        <v>83.1678599750807</v>
      </c>
      <c r="AS1096" s="153" t="n">
        <f aca="false">IFERROR(IF(AND($N1096="VCA",$AP1096&gt;0),$AP1096-$AI1096-$AQ1096-$AR1096,0),0)</f>
        <v>208.962</v>
      </c>
      <c r="AT1096" s="153" t="n">
        <f aca="false">IFERROR(IF($N1096="VCA",INDEX(APOIO_REDES!$A:$W,MATCH($C1096&amp;$I1096&amp;$H1096&amp;$N1096&amp;$O1096,APOIO_REDES!$W:$W,0),MATCH(AT$5,APOIO_REDES!$5:$5,0)),0)*$AP1096,0)</f>
        <v>3.44319304697538</v>
      </c>
      <c r="AU1096" s="153" t="n">
        <f aca="false">IFERROR(IF($N1096="VCA",INDEX(APOIO_REDES!$A:$W,MATCH($C1096&amp;$I1096&amp;$H1096&amp;$N1096&amp;$O1096,APOIO_REDES!$W:$W,0),MATCH(AU$5,APOIO_REDES!$5:$5,0)),0)*$AP1096,0)</f>
        <v>2.74964071382037</v>
      </c>
      <c r="AV1096" s="153" t="n">
        <f aca="false">IFERROR(IF($N1096="VCA",INDEX(APOIO_REDES!$A:$W,MATCH($C1096&amp;$I1096&amp;$H1096&amp;$N1096&amp;$O1096,APOIO_REDES!$W:$W,0),MATCH(AV$5,APOIO_REDES!$5:$5,0)),0)*$AP1096,0)</f>
        <v>0.380528689266809</v>
      </c>
      <c r="AW1096" s="153" t="n">
        <f aca="false">IFERROR(IF($N1096="VCA",INDEX(APOIO_REDES!$A:$W,MATCH($C1096&amp;$I1096&amp;$H1096&amp;$N1096&amp;$O1096,APOIO_REDES!$W:$W,0),MATCH(AW$5,APOIO_REDES!$5:$5,0)),0)*$AP1096,0)</f>
        <v>217.221515838117</v>
      </c>
      <c r="AX1096" s="153" t="n">
        <f aca="false">IFERROR(IF($N1096="VCA",INDEX(APOIO_REDES!$A:$W,MATCH($C1096&amp;$I1096&amp;$H1096&amp;$N1096&amp;$O1096,APOIO_REDES!$W:$W,0),MATCH(AX$5,APOIO_REDES!$5:$5,0)),0)*$AP1096,0)</f>
        <v>30.0628390247949</v>
      </c>
      <c r="AY1096" s="153" t="n">
        <f aca="false">IFERROR(IF($N1096="VCA",INDEX(APOIO_REDES!$A:$W,MATCH($C1096&amp;$I1096&amp;$H1096&amp;$N1096&amp;$O1096,APOIO_REDES!$W:$W,0),MATCH(AY$5,APOIO_REDES!$5:$5,0)),0)*$AP1096,0)</f>
        <v>54.99278075851</v>
      </c>
      <c r="AZ1096" s="153" t="n">
        <f aca="false">IFERROR(IF($N1096="VCA",INDEX(APOIO_REDES!$A:$W,MATCH($C1096&amp;$I1096&amp;$H1096&amp;$N1096&amp;$O1096,APOIO_REDES!$W:$W,0),MATCH(AZ$5,APOIO_REDES!$5:$5,0)),0)*$AP1096,0)</f>
        <v>7.61084192851544</v>
      </c>
      <c r="BA1096" s="153" t="n">
        <f aca="false">IFERROR(IF(AND($N1096="VCA",$Q1096="LINEAR"),INDEX(APOIO_REDES!$A:$W,MATCH($C1096&amp;$I1096&amp;$H1096&amp;$N1096&amp;$O1096,APOIO_REDES!$W:$W,0),MATCH(BA$5,APOIO_REDES!$5:$5,0)),IF(AND($N1096="MND",$Q1096="EMBOQUE"),INDEX(APOIO_REDES!$A:$W,MATCH($C1096&amp;$I1096&amp;$H1096&amp;$N1096&amp;$O1096,APOIO_REDES!$W:$W,0),MATCH(BA$5,APOIO_REDES!$5:$5,0)),0))*$M1096/10,0)</f>
        <v>28.7894189914975</v>
      </c>
      <c r="BB1096" s="153" t="n">
        <f aca="false">IFERROR(IF($N1096="VCA",INDEX(APOIO_REDES!$A:$W,MATCH($C1096&amp;$I1096&amp;$H1096&amp;$N1096&amp;$O1096,APOIO_REDES!$W:$W,0),MATCH(BB$5,APOIO_REDES!$5:$5,0)),0)*($AI1096+$AQ1096+$AR1096),0)</f>
        <v>106.32971536262</v>
      </c>
      <c r="BC1096" s="153" t="n">
        <f aca="false">IFERROR(IF($N1096="VCA",INDEX(APOIO_REDES!$A:$W,MATCH($C1096&amp;$I1096&amp;$H1096&amp;$N1096&amp;$O1096,APOIO_REDES!$W:$W,0),MATCH(BC$5,APOIO_REDES!$5:$5,0)),0)*($AI1096+$AQ1096+$AR1096),0)</f>
        <v>1.16962463738048</v>
      </c>
      <c r="BD1096" s="153" t="n">
        <f aca="false">IF(AND($N1096="VCA",$AF1096&gt;=1.25,$AF1096&lt;1.5),$M1096*$AF1096*2,0)</f>
        <v>973.7272</v>
      </c>
      <c r="BE1096" s="153" t="n">
        <f aca="false">IF(AND($N1096="VCA",$AF1096&gt;=1.5,$AF1096&lt;3),$M1096*$AF1096*2,0)</f>
        <v>0</v>
      </c>
      <c r="BF1096" s="153" t="n">
        <f aca="false">IF(AND($N1096="VCA",$AF1096&gt;=3),$M1096*$AF1096*2,0)</f>
        <v>0</v>
      </c>
      <c r="BG1096" s="153" t="n">
        <f aca="false">($BB1096+$BC1096)*$AK1096</f>
        <v>483.74703</v>
      </c>
      <c r="BH1096" s="153" t="n">
        <f aca="false">IF(AND($M1096&lt;&gt;"",$N1096="VCA",$Q1096="LINEAR"),($M1096*2)/100,IF(AND($M1096&lt;&gt;"",$N1096="MND",$Q1096="EMBOQUE"),($AN1096*2)/100,0))</f>
        <v>7.144</v>
      </c>
      <c r="BI1096" s="153" t="n">
        <f aca="false">IF(AND($M1096&lt;&gt;"",$N1096="VCA",$Q1096="LINEAR"),$M1096,IF(AND($M1096&lt;&gt;"",$N1096="MND",$Q1096="EMBOQUE"),$AN1096*2,0))</f>
        <v>357.2</v>
      </c>
      <c r="BJ1096" s="153" t="n">
        <f aca="false">IF(AND($M1096&lt;&gt;"",$N1096="VCA",$Q1096="LINEAR"),($M1096*6.8)/100,IF(AND($M1096&lt;&gt;"",$N1096="MND",$Q1096="EMBOQUE"),($AN1096*2*6.8)/100,0))</f>
        <v>24.2896</v>
      </c>
      <c r="BK1096" s="153" t="n">
        <f aca="false">IF(AND($M1096&lt;&gt;"",$N1096="VCA",$Q1096="LINEAR"),($M1096*2.5)/50,IF(AND($M1096&lt;&gt;"",$N1096="MND",$Q1096="EMBOQUE"),($AN1096*2*2.5)/50,0))</f>
        <v>17.86</v>
      </c>
      <c r="BL1096" s="157" t="str">
        <f aca="false">K1096&amp;J1096</f>
        <v>Zona10REDES</v>
      </c>
      <c r="BM1096" s="152" t="s">
        <v>5703</v>
      </c>
      <c r="BN1096" s="152" t="s">
        <v>1560</v>
      </c>
      <c r="BO1096" s="152" t="s">
        <v>2489</v>
      </c>
      <c r="BP1096" s="152" t="s">
        <v>5704</v>
      </c>
      <c r="BQ1096" s="152" t="s">
        <v>5705</v>
      </c>
      <c r="BR1096" s="152" t="s">
        <v>5706</v>
      </c>
      <c r="BS1096" s="152" t="n">
        <v>203099.778</v>
      </c>
      <c r="BT1096" s="152" t="n">
        <v>8237620.341</v>
      </c>
      <c r="BU1096" s="152" t="n">
        <v>202924.635</v>
      </c>
      <c r="BV1096" s="152" t="n">
        <v>8237313.896</v>
      </c>
      <c r="BW1096" s="152" t="n">
        <v>-15.9242926</v>
      </c>
      <c r="BX1096" s="152" t="n">
        <v>-47.7738083</v>
      </c>
      <c r="BY1096" s="152" t="s">
        <v>5704</v>
      </c>
    </row>
    <row r="1097" customFormat="false" ht="13.8" hidden="false" customHeight="false" outlineLevel="0" collapsed="false">
      <c r="A1097" s="149" t="n">
        <f aca="false">IF(C1097&lt;&gt;"",ROW(A1092),"")</f>
        <v>1092</v>
      </c>
      <c r="B1097" s="150" t="str">
        <f aca="false">HYPERLINK("https://www.google.com/maps/dir/-15.917302,-47.760003/-15.9254461,-47.7748408/data=!4m3!4m2!3e0!5i2")</f>
        <v>https://www.google.com/maps/dir/-15.917302,-47.760003/-15.9254461,-47.7748408/data=!4m3!4m2!3e0!5i2</v>
      </c>
      <c r="C1097" s="151" t="s">
        <v>117</v>
      </c>
      <c r="D1097" s="152" t="s">
        <v>112</v>
      </c>
      <c r="E1097" s="152" t="s">
        <v>113</v>
      </c>
      <c r="F1097" s="152" t="s">
        <v>117</v>
      </c>
      <c r="G1097" s="152" t="s">
        <v>782</v>
      </c>
      <c r="H1097" s="152" t="n">
        <v>63</v>
      </c>
      <c r="I1097" s="152" t="s">
        <v>115</v>
      </c>
      <c r="J1097" s="152" t="s">
        <v>6</v>
      </c>
      <c r="K1097" s="152" t="s">
        <v>5700</v>
      </c>
      <c r="L1097" s="152" t="s">
        <v>120</v>
      </c>
      <c r="M1097" s="153" t="n">
        <f aca="false">186.06+3.99</f>
        <v>190.05</v>
      </c>
      <c r="N1097" s="152" t="s">
        <v>1548</v>
      </c>
      <c r="O1097" s="152" t="s">
        <v>1549</v>
      </c>
      <c r="P1097" s="152" t="s">
        <v>1550</v>
      </c>
      <c r="Q1097" s="152" t="s">
        <v>1551</v>
      </c>
      <c r="R1097" s="154" t="s">
        <v>5707</v>
      </c>
      <c r="S1097" s="154" t="s">
        <v>1553</v>
      </c>
      <c r="T1097" s="155" t="s">
        <v>2487</v>
      </c>
      <c r="U1097" s="152" t="str">
        <f aca="false">RIGHT(T1097,7)</f>
        <v>011/037</v>
      </c>
      <c r="V1097" s="152" t="s">
        <v>1555</v>
      </c>
      <c r="W1097" s="156" t="n">
        <v>45882</v>
      </c>
      <c r="X1097" s="152" t="s">
        <v>1594</v>
      </c>
      <c r="Y1097" s="152" t="s">
        <v>3516</v>
      </c>
      <c r="Z1097" s="152" t="s">
        <v>1557</v>
      </c>
      <c r="AA1097" s="153" t="n">
        <v>3.9</v>
      </c>
      <c r="AB1097" s="151" t="s">
        <v>5708</v>
      </c>
      <c r="AC1097" s="151" t="s">
        <v>186</v>
      </c>
      <c r="AD1097" s="151" t="str">
        <f aca="false">CONCATENATE($C1097,$I1097,$H1097,$N1097,$J1097,$K1097)</f>
        <v>TUBO PEADPEAD63VCAREDESZona10</v>
      </c>
      <c r="AE1097" s="153" t="n">
        <f aca="false">IFERROR(INDEX(APOIO_REDES!$A:$W,MATCH($C1097&amp;$I1097&amp;$H1097&amp;$N1097&amp;$O1097,APOIO_REDES!$W:$W,0),MATCH(AE$5,APOIO_REDES!$5:$5,0)),0)</f>
        <v>1.2</v>
      </c>
      <c r="AF1097" s="153" t="n">
        <f aca="false">IFERROR(INDEX(APOIO_REDES!$A:$W,MATCH($C1097&amp;$I1097&amp;$H1097&amp;$N1097&amp;$O1097,APOIO_REDES!$W:$W,0),MATCH(AF$5,APOIO_REDES!$5:$5,0)),0)</f>
        <v>1.363</v>
      </c>
      <c r="AG1097" s="153" t="n">
        <f aca="false">IFERROR(INDEX(APOIO_REDES!$A:$W,MATCH($C1097&amp;$I1097&amp;$H1097&amp;$N1097&amp;$O1097,APOIO_REDES!$W:$W,0),MATCH(AG$5,APOIO_REDES!$5:$5,0)),0)</f>
        <v>0.65</v>
      </c>
      <c r="AH1097" s="153" t="n">
        <f aca="false">IFERROR(INDEX(APOIO_REDES!$A:$W,MATCH($C1097&amp;$I1097&amp;$H1097&amp;$N1097&amp;$O1097,APOIO_REDES!$W:$W,0),MATCH(AH$5,APOIO_REDES!$5:$5,0)),0)</f>
        <v>0.1</v>
      </c>
      <c r="AI1097" s="153" t="n">
        <f aca="false">IFERROR(IF($H1097&lt;&gt;"",(((($H1097/1000)/2)^2)*PI()*$M1097),0),0)</f>
        <v>0.592432471265176</v>
      </c>
      <c r="AJ1097" s="153" t="n">
        <f aca="false">IFERROR(IF(AND($H1097&lt;&gt;"",$I1097="FoFo",OR($N1097="MND",$N1097="VCA"),$Q1097="LINEAR"),0,IF(AND($H1097&lt;&gt;"",$I1097="PEAD",$N1097="VCA",$Q1097="LINEAR"),($H1097/1000)+0.3,IF(AND($H1097&lt;&gt;"",$I1097="PEAD",$N1097="MND",$Q1097="EMBOQUE"),0,IF(AND($H1097&lt;&gt;"",$I1097="PVC",$N1097="VCA",$Q1097="LINEAR"),($H1097/1000)+0.2,IF(AND($H1097&lt;&gt;"",$I1097="PVC",$N1097="MND",$Q1097="EMBOQUE"),0,IF(AND($H1097&lt;&gt;"",$I1097="PEAD",$N1097="VCA",$Q1097="PREDIAL"),0,0)))))),0)</f>
        <v>0.363</v>
      </c>
      <c r="AK1097" s="153" t="n">
        <f aca="false">IF(AA1097&lt;&gt;"",AA1097,0)</f>
        <v>3.9</v>
      </c>
      <c r="AL1097" s="153" t="n">
        <f aca="false">IF(AND($N1097="MND",$Q1097="EMBOQUE"),$M1097,IF(AND($N1097="VCA",$Q1097="LINEAR"),$M1097,IF(AND($N1097="VCA",$Q1097="PREDIAL"),0,0)))</f>
        <v>190.05</v>
      </c>
      <c r="AM1097" s="153" t="n">
        <f aca="false">IF(AND($N1097="MND",$Q1097="EMBOQUE"),$M1097,IF(AND($N1097="VCA",$Q1097="LINEAR"),$M1097,IF(AND($N1097="VCA",$Q1097="PREDIAL"),0,0)))</f>
        <v>190.05</v>
      </c>
      <c r="AN1097" s="153" t="n">
        <f aca="false">ROUND(IF(AND($N1097="VCA",$M1097&lt;&gt;"",$Q1097="LINEAR"),$M1097/100,IF(AND($N1097="MND",$M1097&gt;100,$Q1097="EMBOQUE"),$M1097/100,0)),0)</f>
        <v>2</v>
      </c>
      <c r="AO1097" s="153" t="n">
        <f aca="false">IF(AND($N1097="MND",$Q1097="EMBOQUE"),$AN1097*2*2,IF(AND($N1097="VCA",$Q1097="LINEAR"),$M1097*2,IF(AND($N1097="VCA",$Q1097="PREDIAL"),0,0)))</f>
        <v>380.1</v>
      </c>
      <c r="AP1097" s="153" t="n">
        <f aca="false">IFERROR($M1097*$AF1097*$AG1097,0)</f>
        <v>168.3747975</v>
      </c>
      <c r="AQ1097" s="153" t="n">
        <f aca="false">IFERROR(IF(AND($N1097="VCA",$AH1097&gt;0),$M1097*$AG1097*$AH1097,0),0)</f>
        <v>12.35325</v>
      </c>
      <c r="AR1097" s="153" t="n">
        <f aca="false">IFERROR(IF(AND($N1097="VCA",$AJ1097&gt;0),($M1097*$AG1097*$AJ1097)-$AI1097,0),0)</f>
        <v>44.2498650287348</v>
      </c>
      <c r="AS1097" s="153" t="n">
        <f aca="false">IFERROR(IF(AND($N1097="VCA",$AP1097&gt;0),$AP1097-$AI1097-$AQ1097-$AR1097,0),0)</f>
        <v>111.17925</v>
      </c>
      <c r="AT1097" s="153" t="n">
        <f aca="false">IFERROR(IF($N1097="VCA",INDEX(APOIO_REDES!$A:$W,MATCH($C1097&amp;$I1097&amp;$H1097&amp;$N1097&amp;$O1097,APOIO_REDES!$W:$W,0),MATCH(AT$5,APOIO_REDES!$5:$5,0)),0)*$AP1097,0)</f>
        <v>1.83196763319617</v>
      </c>
      <c r="AU1097" s="153" t="n">
        <f aca="false">IFERROR(IF($N1097="VCA",INDEX(APOIO_REDES!$A:$W,MATCH($C1097&amp;$I1097&amp;$H1097&amp;$N1097&amp;$O1097,APOIO_REDES!$W:$W,0),MATCH(AU$5,APOIO_REDES!$5:$5,0)),0)*$AP1097,0)</f>
        <v>1.46295973589463</v>
      </c>
      <c r="AV1097" s="153" t="n">
        <f aca="false">IFERROR(IF($N1097="VCA",INDEX(APOIO_REDES!$A:$W,MATCH($C1097&amp;$I1097&amp;$H1097&amp;$N1097&amp;$O1097,APOIO_REDES!$W:$W,0),MATCH(AV$5,APOIO_REDES!$5:$5,0)),0)*$AP1097,0)</f>
        <v>0.202462142763598</v>
      </c>
      <c r="AW1097" s="153" t="n">
        <f aca="false">IFERROR(IF($N1097="VCA",INDEX(APOIO_REDES!$A:$W,MATCH($C1097&amp;$I1097&amp;$H1097&amp;$N1097&amp;$O1097,APOIO_REDES!$W:$W,0),MATCH(AW$5,APOIO_REDES!$5:$5,0)),0)*$AP1097,0)</f>
        <v>115.573765635594</v>
      </c>
      <c r="AX1097" s="153" t="n">
        <f aca="false">IFERROR(IF($N1097="VCA",INDEX(APOIO_REDES!$A:$W,MATCH($C1097&amp;$I1097&amp;$H1097&amp;$N1097&amp;$O1097,APOIO_REDES!$W:$W,0),MATCH(AX$5,APOIO_REDES!$5:$5,0)),0)*$AP1097,0)</f>
        <v>15.995079945863</v>
      </c>
      <c r="AY1097" s="153" t="n">
        <f aca="false">IFERROR(IF($N1097="VCA",INDEX(APOIO_REDES!$A:$W,MATCH($C1097&amp;$I1097&amp;$H1097&amp;$N1097&amp;$O1097,APOIO_REDES!$W:$W,0),MATCH(AY$5,APOIO_REDES!$5:$5,0)),0)*$AP1097,0)</f>
        <v>29.259176884532</v>
      </c>
      <c r="AZ1097" s="153" t="n">
        <f aca="false">IFERROR(IF($N1097="VCA",INDEX(APOIO_REDES!$A:$W,MATCH($C1097&amp;$I1097&amp;$H1097&amp;$N1097&amp;$O1097,APOIO_REDES!$W:$W,0),MATCH(AZ$5,APOIO_REDES!$5:$5,0)),0)*$AP1097,0)</f>
        <v>4.04938552215666</v>
      </c>
      <c r="BA1097" s="153" t="n">
        <f aca="false">IFERROR(IF(AND($N1097="VCA",$Q1097="LINEAR"),INDEX(APOIO_REDES!$A:$W,MATCH($C1097&amp;$I1097&amp;$H1097&amp;$N1097&amp;$O1097,APOIO_REDES!$W:$W,0),MATCH(BA$5,APOIO_REDES!$5:$5,0)),IF(AND($N1097="MND",$Q1097="EMBOQUE"),INDEX(APOIO_REDES!$A:$W,MATCH($C1097&amp;$I1097&amp;$H1097&amp;$N1097&amp;$O1097,APOIO_REDES!$W:$W,0),MATCH(BA$5,APOIO_REDES!$5:$5,0)),0))*$M1097/10,0)</f>
        <v>15.3175506140372</v>
      </c>
      <c r="BB1097" s="153" t="n">
        <f aca="false">IFERROR(IF($N1097="VCA",INDEX(APOIO_REDES!$A:$W,MATCH($C1097&amp;$I1097&amp;$H1097&amp;$N1097&amp;$O1097,APOIO_REDES!$W:$W,0),MATCH(BB$5,APOIO_REDES!$5:$5,0)),0)*($AI1097+$AQ1097+$AR1097),0)</f>
        <v>56.5732430141821</v>
      </c>
      <c r="BC1097" s="153" t="n">
        <f aca="false">IFERROR(IF($N1097="VCA",INDEX(APOIO_REDES!$A:$W,MATCH($C1097&amp;$I1097&amp;$H1097&amp;$N1097&amp;$O1097,APOIO_REDES!$W:$W,0),MATCH(BC$5,APOIO_REDES!$5:$5,0)),0)*($AI1097+$AQ1097+$AR1097),0)</f>
        <v>0.62230448581792</v>
      </c>
      <c r="BD1097" s="153" t="n">
        <f aca="false">IF(AND($N1097="VCA",$AF1097&gt;=1.25,$AF1097&lt;1.5),$M1097*$AF1097*2,0)</f>
        <v>518.0763</v>
      </c>
      <c r="BE1097" s="153" t="n">
        <f aca="false">IF(AND($N1097="VCA",$AF1097&gt;=1.5,$AF1097&lt;3),$M1097*$AF1097*2,0)</f>
        <v>0</v>
      </c>
      <c r="BF1097" s="153" t="n">
        <f aca="false">IF(AND($N1097="VCA",$AF1097&gt;=3),$M1097*$AF1097*2,0)</f>
        <v>0</v>
      </c>
      <c r="BG1097" s="153" t="n">
        <f aca="false">($BB1097+$BC1097)*$AK1097</f>
        <v>223.06263525</v>
      </c>
      <c r="BH1097" s="153" t="n">
        <f aca="false">IF(AND($M1097&lt;&gt;"",$N1097="VCA",$Q1097="LINEAR"),($M1097*2)/100,IF(AND($M1097&lt;&gt;"",$N1097="MND",$Q1097="EMBOQUE"),($AN1097*2)/100,0))</f>
        <v>3.801</v>
      </c>
      <c r="BI1097" s="153" t="n">
        <f aca="false">IF(AND($M1097&lt;&gt;"",$N1097="VCA",$Q1097="LINEAR"),$M1097,IF(AND($M1097&lt;&gt;"",$N1097="MND",$Q1097="EMBOQUE"),$AN1097*2,0))</f>
        <v>190.05</v>
      </c>
      <c r="BJ1097" s="153" t="n">
        <f aca="false">IF(AND($M1097&lt;&gt;"",$N1097="VCA",$Q1097="LINEAR"),($M1097*6.8)/100,IF(AND($M1097&lt;&gt;"",$N1097="MND",$Q1097="EMBOQUE"),($AN1097*2*6.8)/100,0))</f>
        <v>12.9234</v>
      </c>
      <c r="BK1097" s="153" t="n">
        <f aca="false">IF(AND($M1097&lt;&gt;"",$N1097="VCA",$Q1097="LINEAR"),($M1097*2.5)/50,IF(AND($M1097&lt;&gt;"",$N1097="MND",$Q1097="EMBOQUE"),($AN1097*2*2.5)/50,0))</f>
        <v>9.5025</v>
      </c>
      <c r="BL1097" s="157" t="str">
        <f aca="false">K1097&amp;J1097</f>
        <v>Zona10REDES</v>
      </c>
      <c r="BM1097" s="152" t="s">
        <v>5703</v>
      </c>
      <c r="BN1097" s="152" t="s">
        <v>1560</v>
      </c>
      <c r="BO1097" s="152" t="s">
        <v>2489</v>
      </c>
      <c r="BP1097" s="152" t="s">
        <v>5709</v>
      </c>
      <c r="BQ1097" s="152" t="s">
        <v>5710</v>
      </c>
      <c r="BR1097" s="152" t="s">
        <v>5711</v>
      </c>
      <c r="BS1097" s="152" t="n">
        <v>202906.604</v>
      </c>
      <c r="BT1097" s="152" t="n">
        <v>8237336.023</v>
      </c>
      <c r="BU1097" s="152" t="n">
        <v>202999.156</v>
      </c>
      <c r="BV1097" s="152" t="n">
        <v>8237497.312</v>
      </c>
      <c r="BW1097" s="152" t="n">
        <v>-15.9247192</v>
      </c>
      <c r="BX1097" s="152" t="n">
        <v>-47.7744071</v>
      </c>
      <c r="BY1097" s="152" t="s">
        <v>5709</v>
      </c>
    </row>
    <row r="1098" customFormat="false" ht="13.8" hidden="false" customHeight="false" outlineLevel="0" collapsed="false">
      <c r="A1098" s="149" t="n">
        <f aca="false">IF(C1098&lt;&gt;"",ROW(A1093),"")</f>
        <v>1093</v>
      </c>
      <c r="B1098" s="150" t="str">
        <f aca="false">HYPERLINK("https://www.google.com/maps/dir/-15.917302,-47.760003/-15.9243270,-47.7734947/data=!4m3!4m2!3e0!5i0")</f>
        <v>https://www.google.com/maps/dir/-15.917302,-47.760003/-15.9243270,-47.7734947/data=!4m3!4m2!3e0!5i0</v>
      </c>
      <c r="C1098" s="151" t="s">
        <v>117</v>
      </c>
      <c r="D1098" s="152" t="s">
        <v>112</v>
      </c>
      <c r="E1098" s="152" t="s">
        <v>113</v>
      </c>
      <c r="F1098" s="152" t="s">
        <v>117</v>
      </c>
      <c r="G1098" s="152" t="s">
        <v>782</v>
      </c>
      <c r="H1098" s="152" t="n">
        <v>63</v>
      </c>
      <c r="I1098" s="152" t="s">
        <v>115</v>
      </c>
      <c r="J1098" s="152" t="s">
        <v>6</v>
      </c>
      <c r="K1098" s="152" t="s">
        <v>5700</v>
      </c>
      <c r="L1098" s="152" t="s">
        <v>120</v>
      </c>
      <c r="M1098" s="153" t="n">
        <f aca="false">196.63+4.08</f>
        <v>200.71</v>
      </c>
      <c r="N1098" s="152" t="s">
        <v>1548</v>
      </c>
      <c r="O1098" s="152" t="s">
        <v>1549</v>
      </c>
      <c r="P1098" s="152" t="s">
        <v>1550</v>
      </c>
      <c r="Q1098" s="152" t="s">
        <v>1551</v>
      </c>
      <c r="R1098" s="154" t="s">
        <v>5712</v>
      </c>
      <c r="S1098" s="154" t="s">
        <v>1553</v>
      </c>
      <c r="T1098" s="155" t="s">
        <v>2487</v>
      </c>
      <c r="U1098" s="152" t="str">
        <f aca="false">RIGHT(T1098,7)</f>
        <v>011/037</v>
      </c>
      <c r="V1098" s="152" t="s">
        <v>1555</v>
      </c>
      <c r="W1098" s="156" t="n">
        <v>45882</v>
      </c>
      <c r="X1098" s="152" t="s">
        <v>1594</v>
      </c>
      <c r="Y1098" s="152" t="s">
        <v>3365</v>
      </c>
      <c r="Z1098" s="152" t="s">
        <v>1557</v>
      </c>
      <c r="AA1098" s="153" t="n">
        <v>3.6</v>
      </c>
      <c r="AB1098" s="151" t="s">
        <v>5713</v>
      </c>
      <c r="AC1098" s="151" t="s">
        <v>186</v>
      </c>
      <c r="AD1098" s="151" t="str">
        <f aca="false">CONCATENATE($C1098,$I1098,$H1098,$N1098,$J1098,$K1098)</f>
        <v>TUBO PEADPEAD63VCAREDESZona10</v>
      </c>
      <c r="AE1098" s="153" t="n">
        <f aca="false">IFERROR(INDEX(APOIO_REDES!$A:$W,MATCH($C1098&amp;$I1098&amp;$H1098&amp;$N1098&amp;$O1098,APOIO_REDES!$W:$W,0),MATCH(AE$5,APOIO_REDES!$5:$5,0)),0)</f>
        <v>1.2</v>
      </c>
      <c r="AF1098" s="153" t="n">
        <f aca="false">IFERROR(INDEX(APOIO_REDES!$A:$W,MATCH($C1098&amp;$I1098&amp;$H1098&amp;$N1098&amp;$O1098,APOIO_REDES!$W:$W,0),MATCH(AF$5,APOIO_REDES!$5:$5,0)),0)</f>
        <v>1.363</v>
      </c>
      <c r="AG1098" s="153" t="n">
        <f aca="false">IFERROR(INDEX(APOIO_REDES!$A:$W,MATCH($C1098&amp;$I1098&amp;$H1098&amp;$N1098&amp;$O1098,APOIO_REDES!$W:$W,0),MATCH(AG$5,APOIO_REDES!$5:$5,0)),0)</f>
        <v>0.65</v>
      </c>
      <c r="AH1098" s="153" t="n">
        <f aca="false">IFERROR(INDEX(APOIO_REDES!$A:$W,MATCH($C1098&amp;$I1098&amp;$H1098&amp;$N1098&amp;$O1098,APOIO_REDES!$W:$W,0),MATCH(AH$5,APOIO_REDES!$5:$5,0)),0)</f>
        <v>0.1</v>
      </c>
      <c r="AI1098" s="153" t="n">
        <f aca="false">IFERROR(IF($H1098&lt;&gt;"",(((($H1098/1000)/2)^2)*PI()*$M1098),0),0)</f>
        <v>0.625662306275367</v>
      </c>
      <c r="AJ1098" s="153" t="n">
        <f aca="false">IFERROR(IF(AND($H1098&lt;&gt;"",$I1098="FoFo",OR($N1098="MND",$N1098="VCA"),$Q1098="LINEAR"),0,IF(AND($H1098&lt;&gt;"",$I1098="PEAD",$N1098="VCA",$Q1098="LINEAR"),($H1098/1000)+0.3,IF(AND($H1098&lt;&gt;"",$I1098="PEAD",$N1098="MND",$Q1098="EMBOQUE"),0,IF(AND($H1098&lt;&gt;"",$I1098="PVC",$N1098="VCA",$Q1098="LINEAR"),($H1098/1000)+0.2,IF(AND($H1098&lt;&gt;"",$I1098="PVC",$N1098="MND",$Q1098="EMBOQUE"),0,IF(AND($H1098&lt;&gt;"",$I1098="PEAD",$N1098="VCA",$Q1098="PREDIAL"),0,0)))))),0)</f>
        <v>0.363</v>
      </c>
      <c r="AK1098" s="153" t="n">
        <f aca="false">IF(AA1098&lt;&gt;"",AA1098,0)</f>
        <v>3.6</v>
      </c>
      <c r="AL1098" s="153" t="n">
        <f aca="false">IF(AND($N1098="MND",$Q1098="EMBOQUE"),$M1098,IF(AND($N1098="VCA",$Q1098="LINEAR"),$M1098,IF(AND($N1098="VCA",$Q1098="PREDIAL"),0,0)))</f>
        <v>200.71</v>
      </c>
      <c r="AM1098" s="153" t="n">
        <f aca="false">IF(AND($N1098="MND",$Q1098="EMBOQUE"),$M1098,IF(AND($N1098="VCA",$Q1098="LINEAR"),$M1098,IF(AND($N1098="VCA",$Q1098="PREDIAL"),0,0)))</f>
        <v>200.71</v>
      </c>
      <c r="AN1098" s="153" t="n">
        <f aca="false">ROUND(IF(AND($N1098="VCA",$M1098&lt;&gt;"",$Q1098="LINEAR"),$M1098/100,IF(AND($N1098="MND",$M1098&gt;100,$Q1098="EMBOQUE"),$M1098/100,0)),0)</f>
        <v>2</v>
      </c>
      <c r="AO1098" s="153" t="n">
        <f aca="false">IF(AND($N1098="MND",$Q1098="EMBOQUE"),$AN1098*2*2,IF(AND($N1098="VCA",$Q1098="LINEAR"),$M1098*2,IF(AND($N1098="VCA",$Q1098="PREDIAL"),0,0)))</f>
        <v>401.42</v>
      </c>
      <c r="AP1098" s="153" t="n">
        <f aca="false">IFERROR($M1098*$AF1098*$AG1098,0)</f>
        <v>177.8190245</v>
      </c>
      <c r="AQ1098" s="153" t="n">
        <f aca="false">IFERROR(IF(AND($N1098="VCA",$AH1098&gt;0),$M1098*$AG1098*$AH1098,0),0)</f>
        <v>13.04615</v>
      </c>
      <c r="AR1098" s="153" t="n">
        <f aca="false">IFERROR(IF(AND($N1098="VCA",$AJ1098&gt;0),($M1098*$AG1098*$AJ1098)-$AI1098,0),0)</f>
        <v>46.7318621937246</v>
      </c>
      <c r="AS1098" s="153" t="n">
        <f aca="false">IFERROR(IF(AND($N1098="VCA",$AP1098&gt;0),$AP1098-$AI1098-$AQ1098-$AR1098,0),0)</f>
        <v>117.41535</v>
      </c>
      <c r="AT1098" s="153" t="n">
        <f aca="false">IFERROR(IF($N1098="VCA",INDEX(APOIO_REDES!$A:$W,MATCH($C1098&amp;$I1098&amp;$H1098&amp;$N1098&amp;$O1098,APOIO_REDES!$W:$W,0),MATCH(AT$5,APOIO_REDES!$5:$5,0)),0)*$AP1098,0)</f>
        <v>1.93472361830467</v>
      </c>
      <c r="AU1098" s="153" t="n">
        <f aca="false">IFERROR(IF($N1098="VCA",INDEX(APOIO_REDES!$A:$W,MATCH($C1098&amp;$I1098&amp;$H1098&amp;$N1098&amp;$O1098,APOIO_REDES!$W:$W,0),MATCH(AU$5,APOIO_REDES!$5:$5,0)),0)*$AP1098,0)</f>
        <v>1.54501788261726</v>
      </c>
      <c r="AV1098" s="153" t="n">
        <f aca="false">IFERROR(IF($N1098="VCA",INDEX(APOIO_REDES!$A:$W,MATCH($C1098&amp;$I1098&amp;$H1098&amp;$N1098&amp;$O1098,APOIO_REDES!$W:$W,0),MATCH(AV$5,APOIO_REDES!$5:$5,0)),0)*$AP1098,0)</f>
        <v>0.213818346088301</v>
      </c>
      <c r="AW1098" s="153" t="n">
        <f aca="false">IFERROR(IF($N1098="VCA",INDEX(APOIO_REDES!$A:$W,MATCH($C1098&amp;$I1098&amp;$H1098&amp;$N1098&amp;$O1098,APOIO_REDES!$W:$W,0),MATCH(AW$5,APOIO_REDES!$5:$5,0)),0)*$AP1098,0)</f>
        <v>122.056356225836</v>
      </c>
      <c r="AX1098" s="153" t="n">
        <f aca="false">IFERROR(IF($N1098="VCA",INDEX(APOIO_REDES!$A:$W,MATCH($C1098&amp;$I1098&amp;$H1098&amp;$N1098&amp;$O1098,APOIO_REDES!$W:$W,0),MATCH(AX$5,APOIO_REDES!$5:$5,0)),0)*$AP1098,0)</f>
        <v>16.8922520175437</v>
      </c>
      <c r="AY1098" s="153" t="n">
        <f aca="false">IFERROR(IF($N1098="VCA",INDEX(APOIO_REDES!$A:$W,MATCH($C1098&amp;$I1098&amp;$H1098&amp;$N1098&amp;$O1098,APOIO_REDES!$W:$W,0),MATCH(AY$5,APOIO_REDES!$5:$5,0)),0)*$AP1098,0)</f>
        <v>30.9003388187025</v>
      </c>
      <c r="AZ1098" s="153" t="n">
        <f aca="false">IFERROR(IF($N1098="VCA",INDEX(APOIO_REDES!$A:$W,MATCH($C1098&amp;$I1098&amp;$H1098&amp;$N1098&amp;$O1098,APOIO_REDES!$W:$W,0),MATCH(AZ$5,APOIO_REDES!$5:$5,0)),0)*$AP1098,0)</f>
        <v>4.27651759090799</v>
      </c>
      <c r="BA1098" s="153" t="n">
        <f aca="false">IFERROR(IF(AND($N1098="VCA",$Q1098="LINEAR"),INDEX(APOIO_REDES!$A:$W,MATCH($C1098&amp;$I1098&amp;$H1098&amp;$N1098&amp;$O1098,APOIO_REDES!$W:$W,0),MATCH(BA$5,APOIO_REDES!$5:$5,0)),IF(AND($N1098="MND",$Q1098="EMBOQUE"),INDEX(APOIO_REDES!$A:$W,MATCH($C1098&amp;$I1098&amp;$H1098&amp;$N1098&amp;$O1098,APOIO_REDES!$W:$W,0),MATCH(BA$5,APOIO_REDES!$5:$5,0)),0))*$M1098/10,0)</f>
        <v>16.1767197250377</v>
      </c>
      <c r="BB1098" s="153" t="n">
        <f aca="false">IFERROR(IF($N1098="VCA",INDEX(APOIO_REDES!$A:$W,MATCH($C1098&amp;$I1098&amp;$H1098&amp;$N1098&amp;$O1098,APOIO_REDES!$W:$W,0),MATCH(BB$5,APOIO_REDES!$5:$5,0)),0)*($AI1098+$AQ1098+$AR1098),0)</f>
        <v>59.746464642865</v>
      </c>
      <c r="BC1098" s="153" t="n">
        <f aca="false">IFERROR(IF($N1098="VCA",INDEX(APOIO_REDES!$A:$W,MATCH($C1098&amp;$I1098&amp;$H1098&amp;$N1098&amp;$O1098,APOIO_REDES!$W:$W,0),MATCH(BC$5,APOIO_REDES!$5:$5,0)),0)*($AI1098+$AQ1098+$AR1098),0)</f>
        <v>0.657209857135042</v>
      </c>
      <c r="BD1098" s="153" t="n">
        <f aca="false">IF(AND($N1098="VCA",$AF1098&gt;=1.25,$AF1098&lt;1.5),$M1098*$AF1098*2,0)</f>
        <v>547.13546</v>
      </c>
      <c r="BE1098" s="153" t="n">
        <f aca="false">IF(AND($N1098="VCA",$AF1098&gt;=1.5,$AF1098&lt;3),$M1098*$AF1098*2,0)</f>
        <v>0</v>
      </c>
      <c r="BF1098" s="153" t="n">
        <f aca="false">IF(AND($N1098="VCA",$AF1098&gt;=3),$M1098*$AF1098*2,0)</f>
        <v>0</v>
      </c>
      <c r="BG1098" s="153" t="n">
        <f aca="false">($BB1098+$BC1098)*$AK1098</f>
        <v>217.4532282</v>
      </c>
      <c r="BH1098" s="153" t="n">
        <f aca="false">IF(AND($M1098&lt;&gt;"",$N1098="VCA",$Q1098="LINEAR"),($M1098*2)/100,IF(AND($M1098&lt;&gt;"",$N1098="MND",$Q1098="EMBOQUE"),($AN1098*2)/100,0))</f>
        <v>4.0142</v>
      </c>
      <c r="BI1098" s="153" t="n">
        <f aca="false">IF(AND($M1098&lt;&gt;"",$N1098="VCA",$Q1098="LINEAR"),$M1098,IF(AND($M1098&lt;&gt;"",$N1098="MND",$Q1098="EMBOQUE"),$AN1098*2,0))</f>
        <v>200.71</v>
      </c>
      <c r="BJ1098" s="153" t="n">
        <f aca="false">IF(AND($M1098&lt;&gt;"",$N1098="VCA",$Q1098="LINEAR"),($M1098*6.8)/100,IF(AND($M1098&lt;&gt;"",$N1098="MND",$Q1098="EMBOQUE"),($AN1098*2*6.8)/100,0))</f>
        <v>13.64828</v>
      </c>
      <c r="BK1098" s="153" t="n">
        <f aca="false">IF(AND($M1098&lt;&gt;"",$N1098="VCA",$Q1098="LINEAR"),($M1098*2.5)/50,IF(AND($M1098&lt;&gt;"",$N1098="MND",$Q1098="EMBOQUE"),($AN1098*2*2.5)/50,0))</f>
        <v>10.0355</v>
      </c>
      <c r="BL1098" s="157" t="str">
        <f aca="false">K1098&amp;J1098</f>
        <v>Zona10REDES</v>
      </c>
      <c r="BM1098" s="152" t="s">
        <v>5703</v>
      </c>
      <c r="BN1098" s="152" t="s">
        <v>1560</v>
      </c>
      <c r="BO1098" s="152" t="s">
        <v>2489</v>
      </c>
      <c r="BP1098" s="152" t="s">
        <v>5714</v>
      </c>
      <c r="BQ1098" s="152" t="s">
        <v>5715</v>
      </c>
      <c r="BR1098" s="152" t="s">
        <v>5716</v>
      </c>
      <c r="BS1098" s="152" t="n">
        <v>203048.893</v>
      </c>
      <c r="BT1098" s="152" t="n">
        <v>8237462.04</v>
      </c>
      <c r="BU1098" s="152" t="n">
        <v>202952.429</v>
      </c>
      <c r="BV1098" s="152" t="n">
        <v>8237290.805</v>
      </c>
      <c r="BW1098" s="152" t="n">
        <v>-15.9250891</v>
      </c>
      <c r="BX1098" s="152" t="n">
        <v>-47.7739647</v>
      </c>
      <c r="BY1098" s="152" t="s">
        <v>5714</v>
      </c>
    </row>
    <row r="1099" customFormat="false" ht="13.8" hidden="false" customHeight="false" outlineLevel="0" collapsed="false">
      <c r="A1099" s="149" t="n">
        <f aca="false">IF(C1099&lt;&gt;"",ROW(A1094),"")</f>
        <v>1094</v>
      </c>
      <c r="B1099" s="150" t="str">
        <f aca="false">HYPERLINK("https://www.google.com/maps/dir/-15.917302,-47.760003/-15.9244946,-47.7731280/data=!4m3!4m2!3e0!5i0")</f>
        <v>https://www.google.com/maps/dir/-15.917302,-47.760003/-15.9244946,-47.7731280/data=!4m3!4m2!3e0!5i0</v>
      </c>
      <c r="C1099" s="151" t="s">
        <v>117</v>
      </c>
      <c r="D1099" s="152" t="s">
        <v>112</v>
      </c>
      <c r="E1099" s="152" t="s">
        <v>113</v>
      </c>
      <c r="F1099" s="152" t="s">
        <v>117</v>
      </c>
      <c r="G1099" s="152" t="s">
        <v>782</v>
      </c>
      <c r="H1099" s="152" t="n">
        <v>63</v>
      </c>
      <c r="I1099" s="152" t="s">
        <v>115</v>
      </c>
      <c r="J1099" s="152" t="s">
        <v>6</v>
      </c>
      <c r="K1099" s="152" t="s">
        <v>5700</v>
      </c>
      <c r="L1099" s="152" t="s">
        <v>120</v>
      </c>
      <c r="M1099" s="153" t="n">
        <f aca="false">204.81+4.07</f>
        <v>208.88</v>
      </c>
      <c r="N1099" s="152" t="s">
        <v>1548</v>
      </c>
      <c r="O1099" s="152" t="s">
        <v>1549</v>
      </c>
      <c r="P1099" s="152" t="s">
        <v>1550</v>
      </c>
      <c r="Q1099" s="152" t="s">
        <v>1551</v>
      </c>
      <c r="R1099" s="154" t="s">
        <v>5717</v>
      </c>
      <c r="S1099" s="154" t="s">
        <v>1553</v>
      </c>
      <c r="T1099" s="155" t="s">
        <v>2487</v>
      </c>
      <c r="U1099" s="152" t="str">
        <f aca="false">RIGHT(T1099,7)</f>
        <v>011/037</v>
      </c>
      <c r="V1099" s="152" t="s">
        <v>1555</v>
      </c>
      <c r="W1099" s="156" t="n">
        <v>45882</v>
      </c>
      <c r="X1099" s="152" t="s">
        <v>1594</v>
      </c>
      <c r="Y1099" s="152" t="s">
        <v>3494</v>
      </c>
      <c r="Z1099" s="152" t="s">
        <v>1557</v>
      </c>
      <c r="AA1099" s="153" t="n">
        <v>3.6</v>
      </c>
      <c r="AB1099" s="151" t="s">
        <v>5718</v>
      </c>
      <c r="AC1099" s="151" t="s">
        <v>186</v>
      </c>
      <c r="AD1099" s="151" t="str">
        <f aca="false">CONCATENATE($C1099,$I1099,$H1099,$N1099,$J1099,$K1099)</f>
        <v>TUBO PEADPEAD63VCAREDESZona10</v>
      </c>
      <c r="AE1099" s="153" t="n">
        <f aca="false">IFERROR(INDEX(APOIO_REDES!$A:$W,MATCH($C1099&amp;$I1099&amp;$H1099&amp;$N1099&amp;$O1099,APOIO_REDES!$W:$W,0),MATCH(AE$5,APOIO_REDES!$5:$5,0)),0)</f>
        <v>1.2</v>
      </c>
      <c r="AF1099" s="153" t="n">
        <f aca="false">IFERROR(INDEX(APOIO_REDES!$A:$W,MATCH($C1099&amp;$I1099&amp;$H1099&amp;$N1099&amp;$O1099,APOIO_REDES!$W:$W,0),MATCH(AF$5,APOIO_REDES!$5:$5,0)),0)</f>
        <v>1.363</v>
      </c>
      <c r="AG1099" s="153" t="n">
        <f aca="false">IFERROR(INDEX(APOIO_REDES!$A:$W,MATCH($C1099&amp;$I1099&amp;$H1099&amp;$N1099&amp;$O1099,APOIO_REDES!$W:$W,0),MATCH(AG$5,APOIO_REDES!$5:$5,0)),0)</f>
        <v>0.65</v>
      </c>
      <c r="AH1099" s="153" t="n">
        <f aca="false">IFERROR(INDEX(APOIO_REDES!$A:$W,MATCH($C1099&amp;$I1099&amp;$H1099&amp;$N1099&amp;$O1099,APOIO_REDES!$W:$W,0),MATCH(AH$5,APOIO_REDES!$5:$5,0)),0)</f>
        <v>0.1</v>
      </c>
      <c r="AI1099" s="153" t="n">
        <f aca="false">IFERROR(IF($H1099&lt;&gt;"",(((($H1099/1000)/2)^2)*PI()*$M1099),0),0)</f>
        <v>0.651130200462352</v>
      </c>
      <c r="AJ1099" s="153" t="n">
        <f aca="false">IFERROR(IF(AND($H1099&lt;&gt;"",$I1099="FoFo",OR($N1099="MND",$N1099="VCA"),$Q1099="LINEAR"),0,IF(AND($H1099&lt;&gt;"",$I1099="PEAD",$N1099="VCA",$Q1099="LINEAR"),($H1099/1000)+0.3,IF(AND($H1099&lt;&gt;"",$I1099="PEAD",$N1099="MND",$Q1099="EMBOQUE"),0,IF(AND($H1099&lt;&gt;"",$I1099="PVC",$N1099="VCA",$Q1099="LINEAR"),($H1099/1000)+0.2,IF(AND($H1099&lt;&gt;"",$I1099="PVC",$N1099="MND",$Q1099="EMBOQUE"),0,IF(AND($H1099&lt;&gt;"",$I1099="PEAD",$N1099="VCA",$Q1099="PREDIAL"),0,0)))))),0)</f>
        <v>0.363</v>
      </c>
      <c r="AK1099" s="153" t="n">
        <f aca="false">IF(AA1099&lt;&gt;"",AA1099,0)</f>
        <v>3.6</v>
      </c>
      <c r="AL1099" s="153" t="n">
        <f aca="false">IF(AND($N1099="MND",$Q1099="EMBOQUE"),$M1099,IF(AND($N1099="VCA",$Q1099="LINEAR"),$M1099,IF(AND($N1099="VCA",$Q1099="PREDIAL"),0,0)))</f>
        <v>208.88</v>
      </c>
      <c r="AM1099" s="153" t="n">
        <f aca="false">IF(AND($N1099="MND",$Q1099="EMBOQUE"),$M1099,IF(AND($N1099="VCA",$Q1099="LINEAR"),$M1099,IF(AND($N1099="VCA",$Q1099="PREDIAL"),0,0)))</f>
        <v>208.88</v>
      </c>
      <c r="AN1099" s="153" t="n">
        <f aca="false">ROUND(IF(AND($N1099="VCA",$M1099&lt;&gt;"",$Q1099="LINEAR"),$M1099/100,IF(AND($N1099="MND",$M1099&gt;100,$Q1099="EMBOQUE"),$M1099/100,0)),0)</f>
        <v>2</v>
      </c>
      <c r="AO1099" s="153" t="n">
        <f aca="false">IF(AND($N1099="MND",$Q1099="EMBOQUE"),$AN1099*2*2,IF(AND($N1099="VCA",$Q1099="LINEAR"),$M1099*2,IF(AND($N1099="VCA",$Q1099="PREDIAL"),0,0)))</f>
        <v>417.76</v>
      </c>
      <c r="AP1099" s="153" t="n">
        <f aca="false">IFERROR($M1099*$AF1099*$AG1099,0)</f>
        <v>185.057236</v>
      </c>
      <c r="AQ1099" s="153" t="n">
        <f aca="false">IFERROR(IF(AND($N1099="VCA",$AH1099&gt;0),$M1099*$AG1099*$AH1099,0),0)</f>
        <v>13.5772</v>
      </c>
      <c r="AR1099" s="153" t="n">
        <f aca="false">IFERROR(IF(AND($N1099="VCA",$AJ1099&gt;0),($M1099*$AG1099*$AJ1099)-$AI1099,0),0)</f>
        <v>48.6341057995376</v>
      </c>
      <c r="AS1099" s="153" t="n">
        <f aca="false">IFERROR(IF(AND($N1099="VCA",$AP1099&gt;0),$AP1099-$AI1099-$AQ1099-$AR1099,0),0)</f>
        <v>122.1948</v>
      </c>
      <c r="AT1099" s="153" t="n">
        <f aca="false">IFERROR(IF($N1099="VCA",INDEX(APOIO_REDES!$A:$W,MATCH($C1099&amp;$I1099&amp;$H1099&amp;$N1099&amp;$O1099,APOIO_REDES!$W:$W,0),MATCH(AT$5,APOIO_REDES!$5:$5,0)),0)*$AP1099,0)</f>
        <v>2.01347750182592</v>
      </c>
      <c r="AU1099" s="153" t="n">
        <f aca="false">IFERROR(IF($N1099="VCA",INDEX(APOIO_REDES!$A:$W,MATCH($C1099&amp;$I1099&amp;$H1099&amp;$N1099&amp;$O1099,APOIO_REDES!$W:$W,0),MATCH(AU$5,APOIO_REDES!$5:$5,0)),0)*$AP1099,0)</f>
        <v>1.60790860107167</v>
      </c>
      <c r="AV1099" s="153" t="n">
        <f aca="false">IFERROR(IF($N1099="VCA",INDEX(APOIO_REDES!$A:$W,MATCH($C1099&amp;$I1099&amp;$H1099&amp;$N1099&amp;$O1099,APOIO_REDES!$W:$W,0),MATCH(AV$5,APOIO_REDES!$5:$5,0)),0)*$AP1099,0)</f>
        <v>0.222521927810893</v>
      </c>
      <c r="AW1099" s="153" t="n">
        <f aca="false">IFERROR(IF($N1099="VCA",INDEX(APOIO_REDES!$A:$W,MATCH($C1099&amp;$I1099&amp;$H1099&amp;$N1099&amp;$O1099,APOIO_REDES!$W:$W,0),MATCH(AW$5,APOIO_REDES!$5:$5,0)),0)*$AP1099,0)</f>
        <v>127.024720683835</v>
      </c>
      <c r="AX1099" s="153" t="n">
        <f aca="false">IFERROR(IF($N1099="VCA",INDEX(APOIO_REDES!$A:$W,MATCH($C1099&amp;$I1099&amp;$H1099&amp;$N1099&amp;$O1099,APOIO_REDES!$W:$W,0),MATCH(AX$5,APOIO_REDES!$5:$5,0)),0)*$AP1099,0)</f>
        <v>17.5798595058767</v>
      </c>
      <c r="AY1099" s="153" t="n">
        <f aca="false">IFERROR(IF($N1099="VCA",INDEX(APOIO_REDES!$A:$W,MATCH($C1099&amp;$I1099&amp;$H1099&amp;$N1099&amp;$O1099,APOIO_REDES!$W:$W,0),MATCH(AY$5,APOIO_REDES!$5:$5,0)),0)*$AP1099,0)</f>
        <v>32.1581524211578</v>
      </c>
      <c r="AZ1099" s="153" t="n">
        <f aca="false">IFERROR(IF($N1099="VCA",INDEX(APOIO_REDES!$A:$W,MATCH($C1099&amp;$I1099&amp;$H1099&amp;$N1099&amp;$O1099,APOIO_REDES!$W:$W,0),MATCH(AZ$5,APOIO_REDES!$5:$5,0)),0)*$AP1099,0)</f>
        <v>4.45059535842191</v>
      </c>
      <c r="BA1099" s="153" t="n">
        <f aca="false">IFERROR(IF(AND($N1099="VCA",$Q1099="LINEAR"),INDEX(APOIO_REDES!$A:$W,MATCH($C1099&amp;$I1099&amp;$H1099&amp;$N1099&amp;$O1099,APOIO_REDES!$W:$W,0),MATCH(BA$5,APOIO_REDES!$5:$5,0)),IF(AND($N1099="MND",$Q1099="EMBOQUE"),INDEX(APOIO_REDES!$A:$W,MATCH($C1099&amp;$I1099&amp;$H1099&amp;$N1099&amp;$O1099,APOIO_REDES!$W:$W,0),MATCH(BA$5,APOIO_REDES!$5:$5,0)),0))*$M1099/10,0)</f>
        <v>16.8352011168645</v>
      </c>
      <c r="BB1099" s="153" t="n">
        <f aca="false">IFERROR(IF($N1099="VCA",INDEX(APOIO_REDES!$A:$W,MATCH($C1099&amp;$I1099&amp;$H1099&amp;$N1099&amp;$O1099,APOIO_REDES!$W:$W,0),MATCH(BB$5,APOIO_REDES!$5:$5,0)),0)*($AI1099+$AQ1099+$AR1099),0)</f>
        <v>62.1784740899887</v>
      </c>
      <c r="BC1099" s="153" t="n">
        <f aca="false">IFERROR(IF($N1099="VCA",INDEX(APOIO_REDES!$A:$W,MATCH($C1099&amp;$I1099&amp;$H1099&amp;$N1099&amp;$O1099,APOIO_REDES!$W:$W,0),MATCH(BC$5,APOIO_REDES!$5:$5,0)),0)*($AI1099+$AQ1099+$AR1099),0)</f>
        <v>0.683961910011298</v>
      </c>
      <c r="BD1099" s="153" t="n">
        <f aca="false">IF(AND($N1099="VCA",$AF1099&gt;=1.25,$AF1099&lt;1.5),$M1099*$AF1099*2,0)</f>
        <v>569.40688</v>
      </c>
      <c r="BE1099" s="153" t="n">
        <f aca="false">IF(AND($N1099="VCA",$AF1099&gt;=1.5,$AF1099&lt;3),$M1099*$AF1099*2,0)</f>
        <v>0</v>
      </c>
      <c r="BF1099" s="153" t="n">
        <f aca="false">IF(AND($N1099="VCA",$AF1099&gt;=3),$M1099*$AF1099*2,0)</f>
        <v>0</v>
      </c>
      <c r="BG1099" s="153" t="n">
        <f aca="false">($BB1099+$BC1099)*$AK1099</f>
        <v>226.3047696</v>
      </c>
      <c r="BH1099" s="153" t="n">
        <f aca="false">IF(AND($M1099&lt;&gt;"",$N1099="VCA",$Q1099="LINEAR"),($M1099*2)/100,IF(AND($M1099&lt;&gt;"",$N1099="MND",$Q1099="EMBOQUE"),($AN1099*2)/100,0))</f>
        <v>4.1776</v>
      </c>
      <c r="BI1099" s="153" t="n">
        <f aca="false">IF(AND($M1099&lt;&gt;"",$N1099="VCA",$Q1099="LINEAR"),$M1099,IF(AND($M1099&lt;&gt;"",$N1099="MND",$Q1099="EMBOQUE"),$AN1099*2,0))</f>
        <v>208.88</v>
      </c>
      <c r="BJ1099" s="153" t="n">
        <f aca="false">IF(AND($M1099&lt;&gt;"",$N1099="VCA",$Q1099="LINEAR"),($M1099*6.8)/100,IF(AND($M1099&lt;&gt;"",$N1099="MND",$Q1099="EMBOQUE"),($AN1099*2*6.8)/100,0))</f>
        <v>14.20384</v>
      </c>
      <c r="BK1099" s="153" t="n">
        <f aca="false">IF(AND($M1099&lt;&gt;"",$N1099="VCA",$Q1099="LINEAR"),($M1099*2.5)/50,IF(AND($M1099&lt;&gt;"",$N1099="MND",$Q1099="EMBOQUE"),($AN1099*2*2.5)/50,0))</f>
        <v>10.444</v>
      </c>
      <c r="BL1099" s="157" t="str">
        <f aca="false">K1099&amp;J1099</f>
        <v>Zona10REDES</v>
      </c>
      <c r="BM1099" s="152" t="s">
        <v>5703</v>
      </c>
      <c r="BN1099" s="152" t="s">
        <v>1560</v>
      </c>
      <c r="BO1099" s="152" t="s">
        <v>2489</v>
      </c>
      <c r="BP1099" s="152" t="s">
        <v>5719</v>
      </c>
      <c r="BQ1099" s="152" t="s">
        <v>5720</v>
      </c>
      <c r="BR1099" s="152" t="s">
        <v>5721</v>
      </c>
      <c r="BS1099" s="152" t="n">
        <v>203088.328</v>
      </c>
      <c r="BT1099" s="152" t="n">
        <v>8237444.055</v>
      </c>
      <c r="BU1099" s="152" t="n">
        <v>202987.248</v>
      </c>
      <c r="BV1099" s="152" t="n">
        <v>8237265.944</v>
      </c>
      <c r="BW1099" s="152" t="n">
        <v>-15.9252931</v>
      </c>
      <c r="BX1099" s="152" t="n">
        <v>-47.77361</v>
      </c>
      <c r="BY1099" s="152" t="s">
        <v>5719</v>
      </c>
    </row>
    <row r="1100" customFormat="false" ht="13.8" hidden="false" customHeight="false" outlineLevel="0" collapsed="false">
      <c r="A1100" s="149" t="n">
        <f aca="false">IF(C1100&lt;&gt;"",ROW(A1095),"")</f>
        <v>1095</v>
      </c>
      <c r="B1100" s="150" t="str">
        <f aca="false">HYPERLINK("https://www.google.com/maps/dir/-15.917302,-47.760003/-15.9254494,-47.7748811/data=!4m3!4m2!3e0!5i0")</f>
        <v>https://www.google.com/maps/dir/-15.917302,-47.760003/-15.9254494,-47.7748811/data=!4m3!4m2!3e0!5i0</v>
      </c>
      <c r="C1100" s="151" t="s">
        <v>117</v>
      </c>
      <c r="D1100" s="152" t="s">
        <v>112</v>
      </c>
      <c r="E1100" s="152" t="s">
        <v>113</v>
      </c>
      <c r="F1100" s="152" t="s">
        <v>117</v>
      </c>
      <c r="G1100" s="152" t="s">
        <v>114</v>
      </c>
      <c r="H1100" s="152" t="n">
        <v>250</v>
      </c>
      <c r="I1100" s="152" t="s">
        <v>115</v>
      </c>
      <c r="J1100" s="152" t="s">
        <v>6</v>
      </c>
      <c r="K1100" s="152" t="s">
        <v>5700</v>
      </c>
      <c r="L1100" s="152" t="s">
        <v>120</v>
      </c>
      <c r="M1100" s="153" t="n">
        <f aca="false">19.38</f>
        <v>19.38</v>
      </c>
      <c r="N1100" s="152" t="s">
        <v>1548</v>
      </c>
      <c r="O1100" s="152" t="s">
        <v>1549</v>
      </c>
      <c r="P1100" s="152" t="s">
        <v>1550</v>
      </c>
      <c r="Q1100" s="152" t="s">
        <v>1551</v>
      </c>
      <c r="R1100" s="154" t="s">
        <v>5722</v>
      </c>
      <c r="S1100" s="154" t="s">
        <v>1593</v>
      </c>
      <c r="T1100" s="155" t="s">
        <v>2487</v>
      </c>
      <c r="U1100" s="152" t="str">
        <f aca="false">RIGHT(T1100,7)</f>
        <v>011/037</v>
      </c>
      <c r="V1100" s="152" t="s">
        <v>1555</v>
      </c>
      <c r="W1100" s="156" t="n">
        <v>45882</v>
      </c>
      <c r="X1100" s="152" t="s">
        <v>1594</v>
      </c>
      <c r="Y1100" s="152" t="s">
        <v>3516</v>
      </c>
      <c r="Z1100" s="152" t="s">
        <v>1557</v>
      </c>
      <c r="AA1100" s="153" t="n">
        <v>3.5</v>
      </c>
      <c r="AB1100" s="151" t="s">
        <v>5723</v>
      </c>
      <c r="AC1100" s="151" t="s">
        <v>511</v>
      </c>
      <c r="AD1100" s="151" t="str">
        <f aca="false">CONCATENATE($C1100,$I1100,$H1100,$N1100,$J1100,$K1100)</f>
        <v>TUBO PEADPEAD250VCAREDESZona10</v>
      </c>
      <c r="AE1100" s="153" t="n">
        <f aca="false">IFERROR(INDEX(APOIO_REDES!$A:$W,MATCH($C1100&amp;$I1100&amp;$H1100&amp;$N1100&amp;$O1100,APOIO_REDES!$W:$W,0),MATCH(AE$5,APOIO_REDES!$5:$5,0)),0)</f>
        <v>1.2</v>
      </c>
      <c r="AF1100" s="153" t="n">
        <f aca="false">IFERROR(INDEX(APOIO_REDES!$A:$W,MATCH($C1100&amp;$I1100&amp;$H1100&amp;$N1100&amp;$O1100,APOIO_REDES!$W:$W,0),MATCH(AF$5,APOIO_REDES!$5:$5,0)),0)</f>
        <v>1.55</v>
      </c>
      <c r="AG1100" s="153" t="n">
        <f aca="false">IFERROR(INDEX(APOIO_REDES!$A:$W,MATCH($C1100&amp;$I1100&amp;$H1100&amp;$N1100&amp;$O1100,APOIO_REDES!$W:$W,0),MATCH(AG$5,APOIO_REDES!$5:$5,0)),0)</f>
        <v>0.85</v>
      </c>
      <c r="AH1100" s="153" t="n">
        <f aca="false">IFERROR(INDEX(APOIO_REDES!$A:$W,MATCH($C1100&amp;$I1100&amp;$H1100&amp;$N1100&amp;$O1100,APOIO_REDES!$W:$W,0),MATCH(AH$5,APOIO_REDES!$5:$5,0)),0)</f>
        <v>0.1</v>
      </c>
      <c r="AI1100" s="153" t="n">
        <f aca="false">IFERROR(IF($H1100&lt;&gt;"",(((($H1100/1000)/2)^2)*PI()*$M1100),0),0)</f>
        <v>0.951313525415159</v>
      </c>
      <c r="AJ1100" s="153" t="n">
        <f aca="false">IFERROR(IF(AND($H1100&lt;&gt;"",$I1100="FoFo",OR($N1100="MND",$N1100="VCA"),$Q1100="LINEAR"),0,IF(AND($H1100&lt;&gt;"",$I1100="PEAD",$N1100="VCA",$Q1100="LINEAR"),($H1100/1000)+0.3,IF(AND($H1100&lt;&gt;"",$I1100="PEAD",$N1100="MND",$Q1100="EMBOQUE"),0,IF(AND($H1100&lt;&gt;"",$I1100="PVC",$N1100="VCA",$Q1100="LINEAR"),($H1100/1000)+0.2,IF(AND($H1100&lt;&gt;"",$I1100="PVC",$N1100="MND",$Q1100="EMBOQUE"),0,IF(AND($H1100&lt;&gt;"",$I1100="PEAD",$N1100="VCA",$Q1100="PREDIAL"),0,0)))))),0)</f>
        <v>0.55</v>
      </c>
      <c r="AK1100" s="153" t="n">
        <f aca="false">IF(AA1100&lt;&gt;"",AA1100,0)</f>
        <v>3.5</v>
      </c>
      <c r="AL1100" s="153" t="n">
        <f aca="false">IF(AND($N1100="MND",$Q1100="EMBOQUE"),$M1100,IF(AND($N1100="VCA",$Q1100="LINEAR"),$M1100,IF(AND($N1100="VCA",$Q1100="PREDIAL"),0,0)))</f>
        <v>19.38</v>
      </c>
      <c r="AM1100" s="153" t="n">
        <f aca="false">IF(AND($N1100="MND",$Q1100="EMBOQUE"),$M1100,IF(AND($N1100="VCA",$Q1100="LINEAR"),$M1100,IF(AND($N1100="VCA",$Q1100="PREDIAL"),0,0)))</f>
        <v>19.38</v>
      </c>
      <c r="AN1100" s="153" t="n">
        <f aca="false">ROUND(IF(AND($N1100="VCA",$M1100&lt;&gt;"",$Q1100="LINEAR"),$M1100/100,IF(AND($N1100="MND",$M1100&gt;100,$Q1100="EMBOQUE"),$M1100/100,0)),0)</f>
        <v>0</v>
      </c>
      <c r="AO1100" s="153" t="n">
        <f aca="false">IF(AND($N1100="MND",$Q1100="EMBOQUE"),$AN1100*2*2,IF(AND($N1100="VCA",$Q1100="LINEAR"),$M1100*2,IF(AND($N1100="VCA",$Q1100="PREDIAL"),0,0)))</f>
        <v>38.76</v>
      </c>
      <c r="AP1100" s="153" t="n">
        <f aca="false">IFERROR($M1100*$AF1100*$AG1100,0)</f>
        <v>25.53315</v>
      </c>
      <c r="AQ1100" s="153" t="n">
        <f aca="false">IFERROR(IF(AND($N1100="VCA",$AH1100&gt;0),$M1100*$AG1100*$AH1100,0),0)</f>
        <v>1.6473</v>
      </c>
      <c r="AR1100" s="153" t="n">
        <f aca="false">IFERROR(IF(AND($N1100="VCA",$AJ1100&gt;0),($M1100*$AG1100*$AJ1100)-$AI1100,0),0)</f>
        <v>8.10883647458484</v>
      </c>
      <c r="AS1100" s="153" t="n">
        <f aca="false">IFERROR(IF(AND($N1100="VCA",$AP1100&gt;0),$AP1100-$AI1100-$AQ1100-$AR1100,0),0)</f>
        <v>14.8257</v>
      </c>
      <c r="AT1100" s="153" t="n">
        <f aca="false">IFERROR(IF($N1100="VCA",INDEX(APOIO_REDES!$A:$W,MATCH($C1100&amp;$I1100&amp;$H1100&amp;$N1100&amp;$O1100,APOIO_REDES!$W:$W,0),MATCH(AT$5,APOIO_REDES!$5:$5,0)),0)*$AP1100,0)</f>
        <v>0.277808229426632</v>
      </c>
      <c r="AU1100" s="153" t="n">
        <f aca="false">IFERROR(IF($N1100="VCA",INDEX(APOIO_REDES!$A:$W,MATCH($C1100&amp;$I1100&amp;$H1100&amp;$N1100&amp;$O1100,APOIO_REDES!$W:$W,0),MATCH(AU$5,APOIO_REDES!$5:$5,0)),0)*$AP1100,0)</f>
        <v>0.221850128019058</v>
      </c>
      <c r="AV1100" s="153" t="n">
        <f aca="false">IFERROR(IF($N1100="VCA",INDEX(APOIO_REDES!$A:$W,MATCH($C1100&amp;$I1100&amp;$H1100&amp;$N1100&amp;$O1100,APOIO_REDES!$W:$W,0),MATCH(AV$5,APOIO_REDES!$5:$5,0)),0)*$AP1100,0)</f>
        <v>0.0307023161260482</v>
      </c>
      <c r="AW1100" s="153" t="n">
        <f aca="false">IFERROR(IF($N1100="VCA",INDEX(APOIO_REDES!$A:$W,MATCH($C1100&amp;$I1100&amp;$H1100&amp;$N1100&amp;$O1100,APOIO_REDES!$W:$W,0),MATCH(AW$5,APOIO_REDES!$5:$5,0)),0)*$AP1100,0)</f>
        <v>17.5261520005003</v>
      </c>
      <c r="AX1100" s="153" t="n">
        <f aca="false">IFERROR(IF($N1100="VCA",INDEX(APOIO_REDES!$A:$W,MATCH($C1100&amp;$I1100&amp;$H1100&amp;$N1100&amp;$O1100,APOIO_REDES!$W:$W,0),MATCH(AX$5,APOIO_REDES!$5:$5,0)),0)*$AP1100,0)</f>
        <v>2.42556951268026</v>
      </c>
      <c r="AY1100" s="153" t="n">
        <f aca="false">IFERROR(IF($N1100="VCA",INDEX(APOIO_REDES!$A:$W,MATCH($C1100&amp;$I1100&amp;$H1100&amp;$N1100&amp;$O1100,APOIO_REDES!$W:$W,0),MATCH(AY$5,APOIO_REDES!$5:$5,0)),0)*$AP1100,0)</f>
        <v>4.43699985604608</v>
      </c>
      <c r="AZ1100" s="153" t="n">
        <f aca="false">IFERROR(IF($N1100="VCA",INDEX(APOIO_REDES!$A:$W,MATCH($C1100&amp;$I1100&amp;$H1100&amp;$N1100&amp;$O1100,APOIO_REDES!$W:$W,0),MATCH(AZ$5,APOIO_REDES!$5:$5,0)),0)*$AP1100,0)</f>
        <v>0.614067957201578</v>
      </c>
      <c r="BA1100" s="153" t="n">
        <f aca="false">IFERROR(IF(AND($N1100="VCA",$Q1100="LINEAR"),INDEX(APOIO_REDES!$A:$W,MATCH($C1100&amp;$I1100&amp;$H1100&amp;$N1100&amp;$O1100,APOIO_REDES!$W:$W,0),MATCH(BA$5,APOIO_REDES!$5:$5,0)),IF(AND($N1100="MND",$Q1100="EMBOQUE"),INDEX(APOIO_REDES!$A:$W,MATCH($C1100&amp;$I1100&amp;$H1100&amp;$N1100&amp;$O1100,APOIO_REDES!$W:$W,0),MATCH(BA$5,APOIO_REDES!$5:$5,0)),0))*$M1100/10,0)</f>
        <v>1.56197911549614</v>
      </c>
      <c r="BB1100" s="153" t="n">
        <f aca="false">IFERROR(IF($N1100="VCA",INDEX(APOIO_REDES!$A:$W,MATCH($C1100&amp;$I1100&amp;$H1100&amp;$N1100&amp;$O1100,APOIO_REDES!$W:$W,0),MATCH(BB$5,APOIO_REDES!$5:$5,0)),0)*($AI1100+$AQ1100+$AR1100),0)</f>
        <v>10.5909497747566</v>
      </c>
      <c r="BC1100" s="153" t="n">
        <f aca="false">IFERROR(IF($N1100="VCA",INDEX(APOIO_REDES!$A:$W,MATCH($C1100&amp;$I1100&amp;$H1100&amp;$N1100&amp;$O1100,APOIO_REDES!$W:$W,0),MATCH(BC$5,APOIO_REDES!$5:$5,0)),0)*($AI1100+$AQ1100+$AR1100),0)</f>
        <v>0.116500225243426</v>
      </c>
      <c r="BD1100" s="153" t="n">
        <f aca="false">IF(AND($N1100="VCA",$AF1100&gt;=1.25,$AF1100&lt;1.5),$M1100*$AF1100*2,0)</f>
        <v>0</v>
      </c>
      <c r="BE1100" s="153" t="n">
        <f aca="false">IF(AND($N1100="VCA",$AF1100&gt;=1.5,$AF1100&lt;3),$M1100*$AF1100*2,0)</f>
        <v>60.078</v>
      </c>
      <c r="BF1100" s="153" t="n">
        <f aca="false">IF(AND($N1100="VCA",$AF1100&gt;=3),$M1100*$AF1100*2,0)</f>
        <v>0</v>
      </c>
      <c r="BG1100" s="153" t="n">
        <f aca="false">($BB1100+$BC1100)*$AK1100</f>
        <v>37.476075</v>
      </c>
      <c r="BH1100" s="153" t="n">
        <f aca="false">IF(AND($M1100&lt;&gt;"",$N1100="VCA",$Q1100="LINEAR"),($M1100*2)/100,IF(AND($M1100&lt;&gt;"",$N1100="MND",$Q1100="EMBOQUE"),($AN1100*2)/100,0))</f>
        <v>0.3876</v>
      </c>
      <c r="BI1100" s="153" t="n">
        <f aca="false">IF(AND($M1100&lt;&gt;"",$N1100="VCA",$Q1100="LINEAR"),$M1100,IF(AND($M1100&lt;&gt;"",$N1100="MND",$Q1100="EMBOQUE"),$AN1100*2,0))</f>
        <v>19.38</v>
      </c>
      <c r="BJ1100" s="153" t="n">
        <f aca="false">IF(AND($M1100&lt;&gt;"",$N1100="VCA",$Q1100="LINEAR"),($M1100*6.8)/100,IF(AND($M1100&lt;&gt;"",$N1100="MND",$Q1100="EMBOQUE"),($AN1100*2*6.8)/100,0))</f>
        <v>1.31784</v>
      </c>
      <c r="BK1100" s="153" t="n">
        <f aca="false">IF(AND($M1100&lt;&gt;"",$N1100="VCA",$Q1100="LINEAR"),($M1100*2.5)/50,IF(AND($M1100&lt;&gt;"",$N1100="MND",$Q1100="EMBOQUE"),($AN1100*2*2.5)/50,0))</f>
        <v>0.969</v>
      </c>
      <c r="BL1100" s="157" t="str">
        <f aca="false">K1100&amp;J1100</f>
        <v>Zona10REDES</v>
      </c>
      <c r="BM1100" s="152" t="s">
        <v>5703</v>
      </c>
      <c r="BN1100" s="152" t="s">
        <v>1560</v>
      </c>
      <c r="BO1100" s="152" t="s">
        <v>2489</v>
      </c>
      <c r="BP1100" s="152" t="s">
        <v>2032</v>
      </c>
      <c r="BQ1100" s="152" t="s">
        <v>5724</v>
      </c>
      <c r="BR1100" s="152" t="s">
        <v>5725</v>
      </c>
      <c r="BS1100" s="152" t="n">
        <v>202888.661</v>
      </c>
      <c r="BT1100" s="152" t="n">
        <v>8237349.941</v>
      </c>
      <c r="BU1100" s="152" t="n">
        <v>202901.94</v>
      </c>
      <c r="BV1100" s="152" t="n">
        <v>8237335.82</v>
      </c>
      <c r="BW1100" s="152" t="n">
        <v>-15.9253851</v>
      </c>
      <c r="BX1100" s="152" t="n">
        <v>-47.7749425</v>
      </c>
      <c r="BY1100" s="152" t="s">
        <v>5724</v>
      </c>
    </row>
    <row r="1101" customFormat="false" ht="13.8" hidden="false" customHeight="false" outlineLevel="0" collapsed="false">
      <c r="A1101" s="149" t="n">
        <f aca="false">IF(C1101&lt;&gt;"",ROW(A1096),"")</f>
        <v>1096</v>
      </c>
      <c r="B1101" s="150" t="str">
        <f aca="false">HYPERLINK("https://www.google.com/maps/dir/-15.917302,-47.760003/-15.9254728,-47.7748542/data=!4m3!4m2!3e0!5i2")</f>
        <v>https://www.google.com/maps/dir/-15.917302,-47.760003/-15.9254728,-47.7748542/data=!4m3!4m2!3e0!5i2</v>
      </c>
      <c r="C1101" s="151" t="s">
        <v>117</v>
      </c>
      <c r="D1101" s="152" t="s">
        <v>112</v>
      </c>
      <c r="E1101" s="152" t="s">
        <v>113</v>
      </c>
      <c r="F1101" s="152" t="s">
        <v>117</v>
      </c>
      <c r="G1101" s="152" t="s">
        <v>782</v>
      </c>
      <c r="H1101" s="152" t="n">
        <v>63</v>
      </c>
      <c r="I1101" s="152" t="s">
        <v>115</v>
      </c>
      <c r="J1101" s="152" t="s">
        <v>6</v>
      </c>
      <c r="K1101" s="152" t="s">
        <v>5700</v>
      </c>
      <c r="L1101" s="152" t="s">
        <v>120</v>
      </c>
      <c r="M1101" s="153" t="n">
        <f aca="false">3.26</f>
        <v>3.26</v>
      </c>
      <c r="N1101" s="152" t="s">
        <v>1548</v>
      </c>
      <c r="O1101" s="152" t="s">
        <v>1549</v>
      </c>
      <c r="P1101" s="152" t="s">
        <v>1550</v>
      </c>
      <c r="Q1101" s="152" t="s">
        <v>1551</v>
      </c>
      <c r="R1101" s="154" t="s">
        <v>5726</v>
      </c>
      <c r="S1101" s="154" t="s">
        <v>1553</v>
      </c>
      <c r="T1101" s="155" t="s">
        <v>2487</v>
      </c>
      <c r="U1101" s="152" t="str">
        <f aca="false">RIGHT(T1101,7)</f>
        <v>011/037</v>
      </c>
      <c r="V1101" s="152" t="s">
        <v>1555</v>
      </c>
      <c r="W1101" s="156" t="n">
        <v>45882</v>
      </c>
      <c r="X1101" s="152" t="s">
        <v>1594</v>
      </c>
      <c r="Y1101" s="152" t="s">
        <v>3516</v>
      </c>
      <c r="Z1101" s="152" t="s">
        <v>1557</v>
      </c>
      <c r="AA1101" s="153" t="n">
        <v>3.9</v>
      </c>
      <c r="AB1101" s="151" t="s">
        <v>5727</v>
      </c>
      <c r="AC1101" s="151" t="s">
        <v>186</v>
      </c>
      <c r="AD1101" s="151" t="str">
        <f aca="false">CONCATENATE($C1101,$I1101,$H1101,$N1101,$J1101,$K1101)</f>
        <v>TUBO PEADPEAD63VCAREDESZona10</v>
      </c>
      <c r="AE1101" s="153" t="n">
        <f aca="false">IFERROR(INDEX(APOIO_REDES!$A:$W,MATCH($C1101&amp;$I1101&amp;$H1101&amp;$N1101&amp;$O1101,APOIO_REDES!$W:$W,0),MATCH(AE$5,APOIO_REDES!$5:$5,0)),0)</f>
        <v>1.2</v>
      </c>
      <c r="AF1101" s="153" t="n">
        <f aca="false">IFERROR(INDEX(APOIO_REDES!$A:$W,MATCH($C1101&amp;$I1101&amp;$H1101&amp;$N1101&amp;$O1101,APOIO_REDES!$W:$W,0),MATCH(AF$5,APOIO_REDES!$5:$5,0)),0)</f>
        <v>1.363</v>
      </c>
      <c r="AG1101" s="153" t="n">
        <f aca="false">IFERROR(INDEX(APOIO_REDES!$A:$W,MATCH($C1101&amp;$I1101&amp;$H1101&amp;$N1101&amp;$O1101,APOIO_REDES!$W:$W,0),MATCH(AG$5,APOIO_REDES!$5:$5,0)),0)</f>
        <v>0.65</v>
      </c>
      <c r="AH1101" s="153" t="n">
        <f aca="false">IFERROR(INDEX(APOIO_REDES!$A:$W,MATCH($C1101&amp;$I1101&amp;$H1101&amp;$N1101&amp;$O1101,APOIO_REDES!$W:$W,0),MATCH(AH$5,APOIO_REDES!$5:$5,0)),0)</f>
        <v>0.1</v>
      </c>
      <c r="AI1101" s="153" t="n">
        <f aca="false">IFERROR(IF($H1101&lt;&gt;"",(((($H1101/1000)/2)^2)*PI()*$M1101),0),0)</f>
        <v>0.0101622197123098</v>
      </c>
      <c r="AJ1101" s="153" t="n">
        <f aca="false">IFERROR(IF(AND($H1101&lt;&gt;"",$I1101="FoFo",OR($N1101="MND",$N1101="VCA"),$Q1101="LINEAR"),0,IF(AND($H1101&lt;&gt;"",$I1101="PEAD",$N1101="VCA",$Q1101="LINEAR"),($H1101/1000)+0.3,IF(AND($H1101&lt;&gt;"",$I1101="PEAD",$N1101="MND",$Q1101="EMBOQUE"),0,IF(AND($H1101&lt;&gt;"",$I1101="PVC",$N1101="VCA",$Q1101="LINEAR"),($H1101/1000)+0.2,IF(AND($H1101&lt;&gt;"",$I1101="PVC",$N1101="MND",$Q1101="EMBOQUE"),0,IF(AND($H1101&lt;&gt;"",$I1101="PEAD",$N1101="VCA",$Q1101="PREDIAL"),0,0)))))),0)</f>
        <v>0.363</v>
      </c>
      <c r="AK1101" s="153" t="n">
        <f aca="false">IF(AA1101&lt;&gt;"",AA1101,0)</f>
        <v>3.9</v>
      </c>
      <c r="AL1101" s="153" t="n">
        <f aca="false">IF(AND($N1101="MND",$Q1101="EMBOQUE"),$M1101,IF(AND($N1101="VCA",$Q1101="LINEAR"),$M1101,IF(AND($N1101="VCA",$Q1101="PREDIAL"),0,0)))</f>
        <v>3.26</v>
      </c>
      <c r="AM1101" s="153" t="n">
        <f aca="false">IF(AND($N1101="MND",$Q1101="EMBOQUE"),$M1101,IF(AND($N1101="VCA",$Q1101="LINEAR"),$M1101,IF(AND($N1101="VCA",$Q1101="PREDIAL"),0,0)))</f>
        <v>3.26</v>
      </c>
      <c r="AN1101" s="153" t="n">
        <f aca="false">ROUND(IF(AND($N1101="VCA",$M1101&lt;&gt;"",$Q1101="LINEAR"),$M1101/100,IF(AND($N1101="MND",$M1101&gt;100,$Q1101="EMBOQUE"),$M1101/100,0)),0)</f>
        <v>0</v>
      </c>
      <c r="AO1101" s="153" t="n">
        <f aca="false">IF(AND($N1101="MND",$Q1101="EMBOQUE"),$AN1101*2*2,IF(AND($N1101="VCA",$Q1101="LINEAR"),$M1101*2,IF(AND($N1101="VCA",$Q1101="PREDIAL"),0,0)))</f>
        <v>6.52</v>
      </c>
      <c r="AP1101" s="153" t="n">
        <f aca="false">IFERROR($M1101*$AF1101*$AG1101,0)</f>
        <v>2.888197</v>
      </c>
      <c r="AQ1101" s="153" t="n">
        <f aca="false">IFERROR(IF(AND($N1101="VCA",$AH1101&gt;0),$M1101*$AG1101*$AH1101,0),0)</f>
        <v>0.2119</v>
      </c>
      <c r="AR1101" s="153" t="n">
        <f aca="false">IFERROR(IF(AND($N1101="VCA",$AJ1101&gt;0),($M1101*$AG1101*$AJ1101)-$AI1101,0),0)</f>
        <v>0.75903478028769</v>
      </c>
      <c r="AS1101" s="153" t="n">
        <f aca="false">IFERROR(IF(AND($N1101="VCA",$AP1101&gt;0),$AP1101-$AI1101-$AQ1101-$AR1101,0),0)</f>
        <v>1.9071</v>
      </c>
      <c r="AT1101" s="153" t="n">
        <f aca="false">IFERROR(IF($N1101="VCA",INDEX(APOIO_REDES!$A:$W,MATCH($C1101&amp;$I1101&amp;$H1101&amp;$N1101&amp;$O1101,APOIO_REDES!$W:$W,0),MATCH(AT$5,APOIO_REDES!$5:$5,0)),0)*$AP1101,0)</f>
        <v>0.0314244382226756</v>
      </c>
      <c r="AU1101" s="153" t="n">
        <f aca="false">IFERROR(IF($N1101="VCA",INDEX(APOIO_REDES!$A:$W,MATCH($C1101&amp;$I1101&amp;$H1101&amp;$N1101&amp;$O1101,APOIO_REDES!$W:$W,0),MATCH(AU$5,APOIO_REDES!$5:$5,0)),0)*$AP1101,0)</f>
        <v>0.0250947052829071</v>
      </c>
      <c r="AV1101" s="153" t="n">
        <f aca="false">IFERROR(IF($N1101="VCA",INDEX(APOIO_REDES!$A:$W,MATCH($C1101&amp;$I1101&amp;$H1101&amp;$N1101&amp;$O1101,APOIO_REDES!$W:$W,0),MATCH(AV$5,APOIO_REDES!$5:$5,0)),0)*$AP1101,0)</f>
        <v>0.00347291020999383</v>
      </c>
      <c r="AW1101" s="153" t="n">
        <f aca="false">IFERROR(IF($N1101="VCA",INDEX(APOIO_REDES!$A:$W,MATCH($C1101&amp;$I1101&amp;$H1101&amp;$N1101&amp;$O1101,APOIO_REDES!$W:$W,0),MATCH(AW$5,APOIO_REDES!$5:$5,0)),0)*$AP1101,0)</f>
        <v>1.98248079964239</v>
      </c>
      <c r="AX1101" s="153" t="n">
        <f aca="false">IFERROR(IF($N1101="VCA",INDEX(APOIO_REDES!$A:$W,MATCH($C1101&amp;$I1101&amp;$H1101&amp;$N1101&amp;$O1101,APOIO_REDES!$W:$W,0),MATCH(AX$5,APOIO_REDES!$5:$5,0)),0)*$AP1101,0)</f>
        <v>0.274369695467054</v>
      </c>
      <c r="AY1101" s="153" t="n">
        <f aca="false">IFERROR(IF($N1101="VCA",INDEX(APOIO_REDES!$A:$W,MATCH($C1101&amp;$I1101&amp;$H1101&amp;$N1101&amp;$O1101,APOIO_REDES!$W:$W,0),MATCH(AY$5,APOIO_REDES!$5:$5,0)),0)*$AP1101,0)</f>
        <v>0.501893799755718</v>
      </c>
      <c r="AZ1101" s="153" t="n">
        <f aca="false">IFERROR(IF($N1101="VCA",INDEX(APOIO_REDES!$A:$W,MATCH($C1101&amp;$I1101&amp;$H1101&amp;$N1101&amp;$O1101,APOIO_REDES!$W:$W,0),MATCH(AZ$5,APOIO_REDES!$5:$5,0)),0)*$AP1101,0)</f>
        <v>0.0694606514192618</v>
      </c>
      <c r="BA1101" s="153" t="n">
        <f aca="false">IFERROR(IF(AND($N1101="VCA",$Q1101="LINEAR"),INDEX(APOIO_REDES!$A:$W,MATCH($C1101&amp;$I1101&amp;$H1101&amp;$N1101&amp;$O1101,APOIO_REDES!$W:$W,0),MATCH(BA$5,APOIO_REDES!$5:$5,0)),IF(AND($N1101="MND",$Q1101="EMBOQUE"),INDEX(APOIO_REDES!$A:$W,MATCH($C1101&amp;$I1101&amp;$H1101&amp;$N1101&amp;$O1101,APOIO_REDES!$W:$W,0),MATCH(BA$5,APOIO_REDES!$5:$5,0)),0))*$M1101/10,0)</f>
        <v>0.262747776910084</v>
      </c>
      <c r="BB1101" s="153" t="n">
        <f aca="false">IFERROR(IF($N1101="VCA",INDEX(APOIO_REDES!$A:$W,MATCH($C1101&amp;$I1101&amp;$H1101&amp;$N1101&amp;$O1101,APOIO_REDES!$W:$W,0),MATCH(BB$5,APOIO_REDES!$5:$5,0)),0)*($AI1101+$AQ1101+$AR1101),0)</f>
        <v>0.970422374250111</v>
      </c>
      <c r="BC1101" s="153" t="n">
        <f aca="false">IFERROR(IF($N1101="VCA",INDEX(APOIO_REDES!$A:$W,MATCH($C1101&amp;$I1101&amp;$H1101&amp;$N1101&amp;$O1101,APOIO_REDES!$W:$W,0),MATCH(BC$5,APOIO_REDES!$5:$5,0)),0)*($AI1101+$AQ1101+$AR1101),0)</f>
        <v>0.0106746257498891</v>
      </c>
      <c r="BD1101" s="153" t="n">
        <f aca="false">IF(AND($N1101="VCA",$AF1101&gt;=1.25,$AF1101&lt;1.5),$M1101*$AF1101*2,0)</f>
        <v>8.88676</v>
      </c>
      <c r="BE1101" s="153" t="n">
        <f aca="false">IF(AND($N1101="VCA",$AF1101&gt;=1.5,$AF1101&lt;3),$M1101*$AF1101*2,0)</f>
        <v>0</v>
      </c>
      <c r="BF1101" s="153" t="n">
        <f aca="false">IF(AND($N1101="VCA",$AF1101&gt;=3),$M1101*$AF1101*2,0)</f>
        <v>0</v>
      </c>
      <c r="BG1101" s="153" t="n">
        <f aca="false">($BB1101+$BC1101)*$AK1101</f>
        <v>3.8262783</v>
      </c>
      <c r="BH1101" s="153" t="n">
        <f aca="false">IF(AND($M1101&lt;&gt;"",$N1101="VCA",$Q1101="LINEAR"),($M1101*2)/100,IF(AND($M1101&lt;&gt;"",$N1101="MND",$Q1101="EMBOQUE"),($AN1101*2)/100,0))</f>
        <v>0.0652</v>
      </c>
      <c r="BI1101" s="153" t="n">
        <f aca="false">IF(AND($M1101&lt;&gt;"",$N1101="VCA",$Q1101="LINEAR"),$M1101,IF(AND($M1101&lt;&gt;"",$N1101="MND",$Q1101="EMBOQUE"),$AN1101*2,0))</f>
        <v>3.26</v>
      </c>
      <c r="BJ1101" s="153" t="n">
        <f aca="false">IF(AND($M1101&lt;&gt;"",$N1101="VCA",$Q1101="LINEAR"),($M1101*6.8)/100,IF(AND($M1101&lt;&gt;"",$N1101="MND",$Q1101="EMBOQUE"),($AN1101*2*6.8)/100,0))</f>
        <v>0.22168</v>
      </c>
      <c r="BK1101" s="153" t="n">
        <f aca="false">IF(AND($M1101&lt;&gt;"",$N1101="VCA",$Q1101="LINEAR"),($M1101*2.5)/50,IF(AND($M1101&lt;&gt;"",$N1101="MND",$Q1101="EMBOQUE"),($AN1101*2*2.5)/50,0))</f>
        <v>0.163</v>
      </c>
      <c r="BL1101" s="157" t="str">
        <f aca="false">K1101&amp;J1101</f>
        <v>Zona10REDES</v>
      </c>
      <c r="BM1101" s="152" t="s">
        <v>5703</v>
      </c>
      <c r="BN1101" s="152" t="s">
        <v>1560</v>
      </c>
      <c r="BO1101" s="152" t="s">
        <v>2489</v>
      </c>
      <c r="BP1101" s="152" t="s">
        <v>5728</v>
      </c>
      <c r="BQ1101" s="152" t="s">
        <v>5709</v>
      </c>
      <c r="BR1101" s="152" t="s">
        <v>5729</v>
      </c>
      <c r="BS1101" s="152" t="n">
        <v>202904.863</v>
      </c>
      <c r="BT1101" s="152" t="n">
        <v>8237333.263</v>
      </c>
      <c r="BU1101" s="152" t="n">
        <v>202906.604</v>
      </c>
      <c r="BV1101" s="152" t="n">
        <v>8237336.023</v>
      </c>
      <c r="BW1101" s="152" t="n">
        <v>-15.9254605</v>
      </c>
      <c r="BX1101" s="152" t="n">
        <v>-47.7748459</v>
      </c>
      <c r="BY1101" s="152" t="s">
        <v>5728</v>
      </c>
    </row>
    <row r="1102" customFormat="false" ht="13.8" hidden="false" customHeight="false" outlineLevel="0" collapsed="false">
      <c r="A1102" s="149" t="n">
        <f aca="false">IF(C1102&lt;&gt;"",ROW(A1097),"")</f>
        <v>1097</v>
      </c>
      <c r="B1102" s="150" t="str">
        <f aca="false">HYPERLINK("https://www.google.com/maps/dir/-15.917302,-47.760003/-15.9254881,-47.7749144/data=!4m3!4m2!3e0!5i0")</f>
        <v>https://www.google.com/maps/dir/-15.917302,-47.760003/-15.9254881,-47.7749144/data=!4m3!4m2!3e0!5i0</v>
      </c>
      <c r="C1102" s="151" t="s">
        <v>117</v>
      </c>
      <c r="D1102" s="152" t="s">
        <v>112</v>
      </c>
      <c r="E1102" s="152" t="s">
        <v>113</v>
      </c>
      <c r="F1102" s="152" t="s">
        <v>117</v>
      </c>
      <c r="G1102" s="152" t="s">
        <v>114</v>
      </c>
      <c r="H1102" s="152" t="n">
        <v>250</v>
      </c>
      <c r="I1102" s="152" t="s">
        <v>115</v>
      </c>
      <c r="J1102" s="152" t="s">
        <v>6</v>
      </c>
      <c r="K1102" s="152" t="s">
        <v>5700</v>
      </c>
      <c r="L1102" s="152" t="s">
        <v>120</v>
      </c>
      <c r="M1102" s="153" t="n">
        <f aca="false">5.58</f>
        <v>5.58</v>
      </c>
      <c r="N1102" s="152" t="s">
        <v>1548</v>
      </c>
      <c r="O1102" s="152" t="s">
        <v>1549</v>
      </c>
      <c r="P1102" s="152" t="s">
        <v>1550</v>
      </c>
      <c r="Q1102" s="152" t="s">
        <v>1551</v>
      </c>
      <c r="R1102" s="154" t="s">
        <v>5730</v>
      </c>
      <c r="S1102" s="154" t="s">
        <v>1593</v>
      </c>
      <c r="T1102" s="155" t="s">
        <v>2487</v>
      </c>
      <c r="U1102" s="152" t="str">
        <f aca="false">RIGHT(T1102,7)</f>
        <v>011/037</v>
      </c>
      <c r="V1102" s="152" t="s">
        <v>1555</v>
      </c>
      <c r="W1102" s="156" t="n">
        <v>45882</v>
      </c>
      <c r="X1102" s="152" t="s">
        <v>1594</v>
      </c>
      <c r="Y1102" s="152" t="s">
        <v>3516</v>
      </c>
      <c r="Z1102" s="152" t="s">
        <v>1557</v>
      </c>
      <c r="AA1102" s="153" t="n">
        <v>3.5</v>
      </c>
      <c r="AB1102" s="151" t="s">
        <v>5731</v>
      </c>
      <c r="AC1102" s="151" t="s">
        <v>511</v>
      </c>
      <c r="AD1102" s="151" t="str">
        <f aca="false">CONCATENATE($C1102,$I1102,$H1102,$N1102,$J1102,$K1102)</f>
        <v>TUBO PEADPEAD250VCAREDESZona10</v>
      </c>
      <c r="AE1102" s="153" t="n">
        <f aca="false">IFERROR(INDEX(APOIO_REDES!$A:$W,MATCH($C1102&amp;$I1102&amp;$H1102&amp;$N1102&amp;$O1102,APOIO_REDES!$W:$W,0),MATCH(AE$5,APOIO_REDES!$5:$5,0)),0)</f>
        <v>1.2</v>
      </c>
      <c r="AF1102" s="153" t="n">
        <f aca="false">IFERROR(INDEX(APOIO_REDES!$A:$W,MATCH($C1102&amp;$I1102&amp;$H1102&amp;$N1102&amp;$O1102,APOIO_REDES!$W:$W,0),MATCH(AF$5,APOIO_REDES!$5:$5,0)),0)</f>
        <v>1.55</v>
      </c>
      <c r="AG1102" s="153" t="n">
        <f aca="false">IFERROR(INDEX(APOIO_REDES!$A:$W,MATCH($C1102&amp;$I1102&amp;$H1102&amp;$N1102&amp;$O1102,APOIO_REDES!$W:$W,0),MATCH(AG$5,APOIO_REDES!$5:$5,0)),0)</f>
        <v>0.85</v>
      </c>
      <c r="AH1102" s="153" t="n">
        <f aca="false">IFERROR(INDEX(APOIO_REDES!$A:$W,MATCH($C1102&amp;$I1102&amp;$H1102&amp;$N1102&amp;$O1102,APOIO_REDES!$W:$W,0),MATCH(AH$5,APOIO_REDES!$5:$5,0)),0)</f>
        <v>0.1</v>
      </c>
      <c r="AI1102" s="153" t="n">
        <f aca="false">IFERROR(IF($H1102&lt;&gt;"",(((($H1102/1000)/2)^2)*PI()*$M1102),0),0)</f>
        <v>0.27390760948486</v>
      </c>
      <c r="AJ1102" s="153" t="n">
        <f aca="false">IFERROR(IF(AND($H1102&lt;&gt;"",$I1102="FoFo",OR($N1102="MND",$N1102="VCA"),$Q1102="LINEAR"),0,IF(AND($H1102&lt;&gt;"",$I1102="PEAD",$N1102="VCA",$Q1102="LINEAR"),($H1102/1000)+0.3,IF(AND($H1102&lt;&gt;"",$I1102="PEAD",$N1102="MND",$Q1102="EMBOQUE"),0,IF(AND($H1102&lt;&gt;"",$I1102="PVC",$N1102="VCA",$Q1102="LINEAR"),($H1102/1000)+0.2,IF(AND($H1102&lt;&gt;"",$I1102="PVC",$N1102="MND",$Q1102="EMBOQUE"),0,IF(AND($H1102&lt;&gt;"",$I1102="PEAD",$N1102="VCA",$Q1102="PREDIAL"),0,0)))))),0)</f>
        <v>0.55</v>
      </c>
      <c r="AK1102" s="153" t="n">
        <f aca="false">IF(AA1102&lt;&gt;"",AA1102,0)</f>
        <v>3.5</v>
      </c>
      <c r="AL1102" s="153" t="n">
        <f aca="false">IF(AND($N1102="MND",$Q1102="EMBOQUE"),$M1102,IF(AND($N1102="VCA",$Q1102="LINEAR"),$M1102,IF(AND($N1102="VCA",$Q1102="PREDIAL"),0,0)))</f>
        <v>5.58</v>
      </c>
      <c r="AM1102" s="153" t="n">
        <f aca="false">IF(AND($N1102="MND",$Q1102="EMBOQUE"),$M1102,IF(AND($N1102="VCA",$Q1102="LINEAR"),$M1102,IF(AND($N1102="VCA",$Q1102="PREDIAL"),0,0)))</f>
        <v>5.58</v>
      </c>
      <c r="AN1102" s="153" t="n">
        <f aca="false">ROUND(IF(AND($N1102="VCA",$M1102&lt;&gt;"",$Q1102="LINEAR"),$M1102/100,IF(AND($N1102="MND",$M1102&gt;100,$Q1102="EMBOQUE"),$M1102/100,0)),0)</f>
        <v>0</v>
      </c>
      <c r="AO1102" s="153" t="n">
        <f aca="false">IF(AND($N1102="MND",$Q1102="EMBOQUE"),$AN1102*2*2,IF(AND($N1102="VCA",$Q1102="LINEAR"),$M1102*2,IF(AND($N1102="VCA",$Q1102="PREDIAL"),0,0)))</f>
        <v>11.16</v>
      </c>
      <c r="AP1102" s="153" t="n">
        <f aca="false">IFERROR($M1102*$AF1102*$AG1102,0)</f>
        <v>7.35165</v>
      </c>
      <c r="AQ1102" s="153" t="n">
        <f aca="false">IFERROR(IF(AND($N1102="VCA",$AH1102&gt;0),$M1102*$AG1102*$AH1102,0),0)</f>
        <v>0.4743</v>
      </c>
      <c r="AR1102" s="153" t="n">
        <f aca="false">IFERROR(IF(AND($N1102="VCA",$AJ1102&gt;0),($M1102*$AG1102*$AJ1102)-$AI1102,0),0)</f>
        <v>2.33474239051514</v>
      </c>
      <c r="AS1102" s="153" t="n">
        <f aca="false">IFERROR(IF(AND($N1102="VCA",$AP1102&gt;0),$AP1102-$AI1102-$AQ1102-$AR1102,0),0)</f>
        <v>4.2687</v>
      </c>
      <c r="AT1102" s="153" t="n">
        <f aca="false">IFERROR(IF($N1102="VCA",INDEX(APOIO_REDES!$A:$W,MATCH($C1102&amp;$I1102&amp;$H1102&amp;$N1102&amp;$O1102,APOIO_REDES!$W:$W,0),MATCH(AT$5,APOIO_REDES!$5:$5,0)),0)*$AP1102,0)</f>
        <v>0.0799881279773275</v>
      </c>
      <c r="AU1102" s="153" t="n">
        <f aca="false">IFERROR(IF($N1102="VCA",INDEX(APOIO_REDES!$A:$W,MATCH($C1102&amp;$I1102&amp;$H1102&amp;$N1102&amp;$O1102,APOIO_REDES!$W:$W,0),MATCH(AU$5,APOIO_REDES!$5:$5,0)),0)*$AP1102,0)</f>
        <v>0.0638763526494501</v>
      </c>
      <c r="AV1102" s="153" t="n">
        <f aca="false">IFERROR(IF($N1102="VCA",INDEX(APOIO_REDES!$A:$W,MATCH($C1102&amp;$I1102&amp;$H1102&amp;$N1102&amp;$O1102,APOIO_REDES!$W:$W,0),MATCH(AV$5,APOIO_REDES!$5:$5,0)),0)*$AP1102,0)</f>
        <v>0.00883998575765474</v>
      </c>
      <c r="AW1102" s="153" t="n">
        <f aca="false">IFERROR(IF($N1102="VCA",INDEX(APOIO_REDES!$A:$W,MATCH($C1102&amp;$I1102&amp;$H1102&amp;$N1102&amp;$O1102,APOIO_REDES!$W:$W,0),MATCH(AW$5,APOIO_REDES!$5:$5,0)),0)*$AP1102,0)</f>
        <v>5.04622952336388</v>
      </c>
      <c r="AX1102" s="153" t="n">
        <f aca="false">IFERROR(IF($N1102="VCA",INDEX(APOIO_REDES!$A:$W,MATCH($C1102&amp;$I1102&amp;$H1102&amp;$N1102&amp;$O1102,APOIO_REDES!$W:$W,0),MATCH(AX$5,APOIO_REDES!$5:$5,0)),0)*$AP1102,0)</f>
        <v>0.69838379157667</v>
      </c>
      <c r="AY1102" s="153" t="n">
        <f aca="false">IFERROR(IF($N1102="VCA",INDEX(APOIO_REDES!$A:$W,MATCH($C1102&amp;$I1102&amp;$H1102&amp;$N1102&amp;$O1102,APOIO_REDES!$W:$W,0),MATCH(AY$5,APOIO_REDES!$5:$5,0)),0)*$AP1102,0)</f>
        <v>1.27752627434144</v>
      </c>
      <c r="AZ1102" s="153" t="n">
        <f aca="false">IFERROR(IF($N1102="VCA",INDEX(APOIO_REDES!$A:$W,MATCH($C1102&amp;$I1102&amp;$H1102&amp;$N1102&amp;$O1102,APOIO_REDES!$W:$W,0),MATCH(AZ$5,APOIO_REDES!$5:$5,0)),0)*$AP1102,0)</f>
        <v>0.176805944333581</v>
      </c>
      <c r="BA1102" s="153" t="n">
        <f aca="false">IFERROR(IF(AND($N1102="VCA",$Q1102="LINEAR"),INDEX(APOIO_REDES!$A:$W,MATCH($C1102&amp;$I1102&amp;$H1102&amp;$N1102&amp;$O1102,APOIO_REDES!$W:$W,0),MATCH(BA$5,APOIO_REDES!$5:$5,0)),IF(AND($N1102="MND",$Q1102="EMBOQUE"),INDEX(APOIO_REDES!$A:$W,MATCH($C1102&amp;$I1102&amp;$H1102&amp;$N1102&amp;$O1102,APOIO_REDES!$W:$W,0),MATCH(BA$5,APOIO_REDES!$5:$5,0)),0))*$M1102/10,0)</f>
        <v>0.449733924895174</v>
      </c>
      <c r="BB1102" s="153" t="n">
        <f aca="false">IFERROR(IF($N1102="VCA",INDEX(APOIO_REDES!$A:$W,MATCH($C1102&amp;$I1102&amp;$H1102&amp;$N1102&amp;$O1102,APOIO_REDES!$W:$W,0),MATCH(BB$5,APOIO_REDES!$5:$5,0)),0)*($AI1102+$AQ1102+$AR1102),0)</f>
        <v>3.04940659149338</v>
      </c>
      <c r="BC1102" s="153" t="n">
        <f aca="false">IFERROR(IF($N1102="VCA",INDEX(APOIO_REDES!$A:$W,MATCH($C1102&amp;$I1102&amp;$H1102&amp;$N1102&amp;$O1102,APOIO_REDES!$W:$W,0),MATCH(BC$5,APOIO_REDES!$5:$5,0)),0)*($AI1102+$AQ1102+$AR1102),0)</f>
        <v>0.0335434085066212</v>
      </c>
      <c r="BD1102" s="153" t="n">
        <f aca="false">IF(AND($N1102="VCA",$AF1102&gt;=1.25,$AF1102&lt;1.5),$M1102*$AF1102*2,0)</f>
        <v>0</v>
      </c>
      <c r="BE1102" s="153" t="n">
        <f aca="false">IF(AND($N1102="VCA",$AF1102&gt;=1.5,$AF1102&lt;3),$M1102*$AF1102*2,0)</f>
        <v>17.298</v>
      </c>
      <c r="BF1102" s="153" t="n">
        <f aca="false">IF(AND($N1102="VCA",$AF1102&gt;=3),$M1102*$AF1102*2,0)</f>
        <v>0</v>
      </c>
      <c r="BG1102" s="153" t="n">
        <f aca="false">($BB1102+$BC1102)*$AK1102</f>
        <v>10.790325</v>
      </c>
      <c r="BH1102" s="153" t="n">
        <f aca="false">IF(AND($M1102&lt;&gt;"",$N1102="VCA",$Q1102="LINEAR"),($M1102*2)/100,IF(AND($M1102&lt;&gt;"",$N1102="MND",$Q1102="EMBOQUE"),($AN1102*2)/100,0))</f>
        <v>0.1116</v>
      </c>
      <c r="BI1102" s="153" t="n">
        <f aca="false">IF(AND($M1102&lt;&gt;"",$N1102="VCA",$Q1102="LINEAR"),$M1102,IF(AND($M1102&lt;&gt;"",$N1102="MND",$Q1102="EMBOQUE"),$AN1102*2,0))</f>
        <v>5.58</v>
      </c>
      <c r="BJ1102" s="153" t="n">
        <f aca="false">IF(AND($M1102&lt;&gt;"",$N1102="VCA",$Q1102="LINEAR"),($M1102*6.8)/100,IF(AND($M1102&lt;&gt;"",$N1102="MND",$Q1102="EMBOQUE"),($AN1102*2*6.8)/100,0))</f>
        <v>0.37944</v>
      </c>
      <c r="BK1102" s="153" t="n">
        <f aca="false">IF(AND($M1102&lt;&gt;"",$N1102="VCA",$Q1102="LINEAR"),($M1102*2.5)/50,IF(AND($M1102&lt;&gt;"",$N1102="MND",$Q1102="EMBOQUE"),($AN1102*2*2.5)/50,0))</f>
        <v>0.279</v>
      </c>
      <c r="BL1102" s="157" t="str">
        <f aca="false">K1102&amp;J1102</f>
        <v>Zona10REDES</v>
      </c>
      <c r="BM1102" s="152" t="s">
        <v>5703</v>
      </c>
      <c r="BN1102" s="152" t="s">
        <v>1560</v>
      </c>
      <c r="BO1102" s="152" t="s">
        <v>2489</v>
      </c>
      <c r="BP1102" s="152" t="s">
        <v>4823</v>
      </c>
      <c r="BQ1102" s="152" t="s">
        <v>5724</v>
      </c>
      <c r="BR1102" s="152" t="s">
        <v>5732</v>
      </c>
      <c r="BS1102" s="152" t="n">
        <v>202898.436</v>
      </c>
      <c r="BT1102" s="152" t="n">
        <v>8237331.483</v>
      </c>
      <c r="BU1102" s="152" t="n">
        <v>202901.94</v>
      </c>
      <c r="BV1102" s="152" t="n">
        <v>8237335.82</v>
      </c>
      <c r="BW1102" s="152" t="n">
        <v>-15.9254688</v>
      </c>
      <c r="BX1102" s="152" t="n">
        <v>-47.7748978</v>
      </c>
      <c r="BY1102" s="152" t="s">
        <v>4823</v>
      </c>
    </row>
    <row r="1103" customFormat="false" ht="13.8" hidden="false" customHeight="false" outlineLevel="0" collapsed="false">
      <c r="A1103" s="149" t="n">
        <f aca="false">IF(C1103&lt;&gt;"",ROW(A1098),"")</f>
        <v>1098</v>
      </c>
      <c r="B1103" s="150" t="str">
        <f aca="false">HYPERLINK("https://www.google.com/maps/dir/-15.917302,-47.760003/-15.9254728,-47.7748542/data=!4m3!4m2!3e0!5i2")</f>
        <v>https://www.google.com/maps/dir/-15.917302,-47.760003/-15.9254728,-47.7748542/data=!4m3!4m2!3e0!5i2</v>
      </c>
      <c r="C1103" s="151" t="s">
        <v>117</v>
      </c>
      <c r="D1103" s="152" t="s">
        <v>112</v>
      </c>
      <c r="E1103" s="152" t="s">
        <v>113</v>
      </c>
      <c r="F1103" s="152" t="s">
        <v>117</v>
      </c>
      <c r="G1103" s="152" t="s">
        <v>782</v>
      </c>
      <c r="H1103" s="152" t="n">
        <v>110</v>
      </c>
      <c r="I1103" s="152" t="s">
        <v>115</v>
      </c>
      <c r="J1103" s="152" t="s">
        <v>6</v>
      </c>
      <c r="K1103" s="152" t="s">
        <v>5700</v>
      </c>
      <c r="L1103" s="152" t="s">
        <v>120</v>
      </c>
      <c r="M1103" s="153" t="n">
        <f aca="false">27.68</f>
        <v>27.68</v>
      </c>
      <c r="N1103" s="152" t="s">
        <v>1548</v>
      </c>
      <c r="O1103" s="152" t="s">
        <v>1549</v>
      </c>
      <c r="P1103" s="152" t="s">
        <v>1550</v>
      </c>
      <c r="Q1103" s="152" t="s">
        <v>1551</v>
      </c>
      <c r="R1103" s="154" t="s">
        <v>5733</v>
      </c>
      <c r="S1103" s="154" t="s">
        <v>1593</v>
      </c>
      <c r="T1103" s="155" t="s">
        <v>2487</v>
      </c>
      <c r="U1103" s="152" t="str">
        <f aca="false">RIGHT(T1103,7)</f>
        <v>011/037</v>
      </c>
      <c r="V1103" s="152" t="s">
        <v>1555</v>
      </c>
      <c r="W1103" s="156" t="n">
        <v>45882</v>
      </c>
      <c r="X1103" s="152" t="s">
        <v>1594</v>
      </c>
      <c r="Y1103" s="152" t="s">
        <v>3516</v>
      </c>
      <c r="Z1103" s="152" t="s">
        <v>1557</v>
      </c>
      <c r="AA1103" s="153" t="n">
        <v>3.9</v>
      </c>
      <c r="AB1103" s="151" t="s">
        <v>5734</v>
      </c>
      <c r="AC1103" s="151" t="s">
        <v>502</v>
      </c>
      <c r="AD1103" s="151" t="str">
        <f aca="false">CONCATENATE($C1103,$I1103,$H1103,$N1103,$J1103,$K1103)</f>
        <v>TUBO PEADPEAD110VCAREDESZona10</v>
      </c>
      <c r="AE1103" s="153" t="n">
        <f aca="false">IFERROR(INDEX(APOIO_REDES!$A:$W,MATCH($C1103&amp;$I1103&amp;$H1103&amp;$N1103&amp;$O1103,APOIO_REDES!$W:$W,0),MATCH(AE$5,APOIO_REDES!$5:$5,0)),0)</f>
        <v>1.2</v>
      </c>
      <c r="AF1103" s="153" t="n">
        <f aca="false">IFERROR(INDEX(APOIO_REDES!$A:$W,MATCH($C1103&amp;$I1103&amp;$H1103&amp;$N1103&amp;$O1103,APOIO_REDES!$W:$W,0),MATCH(AF$5,APOIO_REDES!$5:$5,0)),0)</f>
        <v>1.41</v>
      </c>
      <c r="AG1103" s="153" t="n">
        <f aca="false">IFERROR(INDEX(APOIO_REDES!$A:$W,MATCH($C1103&amp;$I1103&amp;$H1103&amp;$N1103&amp;$O1103,APOIO_REDES!$W:$W,0),MATCH(AG$5,APOIO_REDES!$5:$5,0)),0)</f>
        <v>0.75</v>
      </c>
      <c r="AH1103" s="153" t="n">
        <f aca="false">IFERROR(INDEX(APOIO_REDES!$A:$W,MATCH($C1103&amp;$I1103&amp;$H1103&amp;$N1103&amp;$O1103,APOIO_REDES!$W:$W,0),MATCH(AH$5,APOIO_REDES!$5:$5,0)),0)</f>
        <v>0.1</v>
      </c>
      <c r="AI1103" s="153" t="n">
        <f aca="false">IFERROR(IF($H1103&lt;&gt;"",(((($H1103/1000)/2)^2)*PI()*$M1103),0),0)</f>
        <v>0.263051836070381</v>
      </c>
      <c r="AJ1103" s="153" t="n">
        <f aca="false">IFERROR(IF(AND($H1103&lt;&gt;"",$I1103="FoFo",OR($N1103="MND",$N1103="VCA"),$Q1103="LINEAR"),0,IF(AND($H1103&lt;&gt;"",$I1103="PEAD",$N1103="VCA",$Q1103="LINEAR"),($H1103/1000)+0.3,IF(AND($H1103&lt;&gt;"",$I1103="PEAD",$N1103="MND",$Q1103="EMBOQUE"),0,IF(AND($H1103&lt;&gt;"",$I1103="PVC",$N1103="VCA",$Q1103="LINEAR"),($H1103/1000)+0.2,IF(AND($H1103&lt;&gt;"",$I1103="PVC",$N1103="MND",$Q1103="EMBOQUE"),0,IF(AND($H1103&lt;&gt;"",$I1103="PEAD",$N1103="VCA",$Q1103="PREDIAL"),0,0)))))),0)</f>
        <v>0.41</v>
      </c>
      <c r="AK1103" s="153" t="n">
        <f aca="false">IF(AA1103&lt;&gt;"",AA1103,0)</f>
        <v>3.9</v>
      </c>
      <c r="AL1103" s="153" t="n">
        <f aca="false">IF(AND($N1103="MND",$Q1103="EMBOQUE"),$M1103,IF(AND($N1103="VCA",$Q1103="LINEAR"),$M1103,IF(AND($N1103="VCA",$Q1103="PREDIAL"),0,0)))</f>
        <v>27.68</v>
      </c>
      <c r="AM1103" s="153" t="n">
        <f aca="false">IF(AND($N1103="MND",$Q1103="EMBOQUE"),$M1103,IF(AND($N1103="VCA",$Q1103="LINEAR"),$M1103,IF(AND($N1103="VCA",$Q1103="PREDIAL"),0,0)))</f>
        <v>27.68</v>
      </c>
      <c r="AN1103" s="153" t="n">
        <f aca="false">ROUND(IF(AND($N1103="VCA",$M1103&lt;&gt;"",$Q1103="LINEAR"),$M1103/100,IF(AND($N1103="MND",$M1103&gt;100,$Q1103="EMBOQUE"),$M1103/100,0)),0)</f>
        <v>0</v>
      </c>
      <c r="AO1103" s="153" t="n">
        <f aca="false">IF(AND($N1103="MND",$Q1103="EMBOQUE"),$AN1103*2*2,IF(AND($N1103="VCA",$Q1103="LINEAR"),$M1103*2,IF(AND($N1103="VCA",$Q1103="PREDIAL"),0,0)))</f>
        <v>55.36</v>
      </c>
      <c r="AP1103" s="153" t="n">
        <f aca="false">IFERROR($M1103*$AF1103*$AG1103,0)</f>
        <v>29.2716</v>
      </c>
      <c r="AQ1103" s="153" t="n">
        <f aca="false">IFERROR(IF(AND($N1103="VCA",$AH1103&gt;0),$M1103*$AG1103*$AH1103,0),0)</f>
        <v>2.076</v>
      </c>
      <c r="AR1103" s="153" t="n">
        <f aca="false">IFERROR(IF(AND($N1103="VCA",$AJ1103&gt;0),($M1103*$AG1103*$AJ1103)-$AI1103,0),0)</f>
        <v>8.24854816392962</v>
      </c>
      <c r="AS1103" s="153" t="n">
        <f aca="false">IFERROR(IF(AND($N1103="VCA",$AP1103&gt;0),$AP1103-$AI1103-$AQ1103-$AR1103,0),0)</f>
        <v>18.684</v>
      </c>
      <c r="AT1103" s="153" t="n">
        <f aca="false">IFERROR(IF($N1103="VCA",INDEX(APOIO_REDES!$A:$W,MATCH($C1103&amp;$I1103&amp;$H1103&amp;$N1103&amp;$O1103,APOIO_REDES!$W:$W,0),MATCH(AT$5,APOIO_REDES!$5:$5,0)),0)*$AP1103,0)</f>
        <v>0.31848367195135</v>
      </c>
      <c r="AU1103" s="153" t="n">
        <f aca="false">IFERROR(IF($N1103="VCA",INDEX(APOIO_REDES!$A:$W,MATCH($C1103&amp;$I1103&amp;$H1103&amp;$N1103&amp;$O1103,APOIO_REDES!$W:$W,0),MATCH(AU$5,APOIO_REDES!$5:$5,0)),0)*$AP1103,0)</f>
        <v>0.254332434788604</v>
      </c>
      <c r="AV1103" s="153" t="n">
        <f aca="false">IFERROR(IF($N1103="VCA",INDEX(APOIO_REDES!$A:$W,MATCH($C1103&amp;$I1103&amp;$H1103&amp;$N1103&amp;$O1103,APOIO_REDES!$W:$W,0),MATCH(AV$5,APOIO_REDES!$5:$5,0)),0)*$AP1103,0)</f>
        <v>0.0351976123868474</v>
      </c>
      <c r="AW1103" s="153" t="n">
        <f aca="false">IFERROR(IF($N1103="VCA",INDEX(APOIO_REDES!$A:$W,MATCH($C1103&amp;$I1103&amp;$H1103&amp;$N1103&amp;$O1103,APOIO_REDES!$W:$W,0),MATCH(AW$5,APOIO_REDES!$5:$5,0)),0)*$AP1103,0)</f>
        <v>20.0922530474245</v>
      </c>
      <c r="AX1103" s="153" t="n">
        <f aca="false">IFERROR(IF($N1103="VCA",INDEX(APOIO_REDES!$A:$W,MATCH($C1103&amp;$I1103&amp;$H1103&amp;$N1103&amp;$O1103,APOIO_REDES!$W:$W,0),MATCH(AX$5,APOIO_REDES!$5:$5,0)),0)*$AP1103,0)</f>
        <v>2.78071058789736</v>
      </c>
      <c r="AY1103" s="153" t="n">
        <f aca="false">IFERROR(IF($N1103="VCA",INDEX(APOIO_REDES!$A:$W,MATCH($C1103&amp;$I1103&amp;$H1103&amp;$N1103&amp;$O1103,APOIO_REDES!$W:$W,0),MATCH(AY$5,APOIO_REDES!$5:$5,0)),0)*$AP1103,0)</f>
        <v>5.08664559548033</v>
      </c>
      <c r="AZ1103" s="153" t="n">
        <f aca="false">IFERROR(IF($N1103="VCA",INDEX(APOIO_REDES!$A:$W,MATCH($C1103&amp;$I1103&amp;$H1103&amp;$N1103&amp;$O1103,APOIO_REDES!$W:$W,0),MATCH(AZ$5,APOIO_REDES!$5:$5,0)),0)*$AP1103,0)</f>
        <v>0.703977050071053</v>
      </c>
      <c r="BA1103" s="153" t="n">
        <f aca="false">IFERROR(IF(AND($N1103="VCA",$Q1103="LINEAR"),INDEX(APOIO_REDES!$A:$W,MATCH($C1103&amp;$I1103&amp;$H1103&amp;$N1103&amp;$O1103,APOIO_REDES!$W:$W,0),MATCH(BA$5,APOIO_REDES!$5:$5,0)),IF(AND($N1103="MND",$Q1103="EMBOQUE"),INDEX(APOIO_REDES!$A:$W,MATCH($C1103&amp;$I1103&amp;$H1103&amp;$N1103&amp;$O1103,APOIO_REDES!$W:$W,0),MATCH(BA$5,APOIO_REDES!$5:$5,0)),0))*$M1103/10,0)</f>
        <v>2.23093817940832</v>
      </c>
      <c r="BB1103" s="153" t="n">
        <f aca="false">IFERROR(IF($N1103="VCA",INDEX(APOIO_REDES!$A:$W,MATCH($C1103&amp;$I1103&amp;$H1103&amp;$N1103&amp;$O1103,APOIO_REDES!$W:$W,0),MATCH(BB$5,APOIO_REDES!$5:$5,0)),0)*($AI1103+$AQ1103+$AR1103),0)</f>
        <v>10.4724037782304</v>
      </c>
      <c r="BC1103" s="153" t="n">
        <f aca="false">IFERROR(IF($N1103="VCA",INDEX(APOIO_REDES!$A:$W,MATCH($C1103&amp;$I1103&amp;$H1103&amp;$N1103&amp;$O1103,APOIO_REDES!$W:$W,0),MATCH(BC$5,APOIO_REDES!$5:$5,0)),0)*($AI1103+$AQ1103+$AR1103),0)</f>
        <v>0.115196221769637</v>
      </c>
      <c r="BD1103" s="153" t="n">
        <f aca="false">IF(AND($N1103="VCA",$AF1103&gt;=1.25,$AF1103&lt;1.5),$M1103*$AF1103*2,0)</f>
        <v>78.0576</v>
      </c>
      <c r="BE1103" s="153" t="n">
        <f aca="false">IF(AND($N1103="VCA",$AF1103&gt;=1.5,$AF1103&lt;3),$M1103*$AF1103*2,0)</f>
        <v>0</v>
      </c>
      <c r="BF1103" s="153" t="n">
        <f aca="false">IF(AND($N1103="VCA",$AF1103&gt;=3),$M1103*$AF1103*2,0)</f>
        <v>0</v>
      </c>
      <c r="BG1103" s="153" t="n">
        <f aca="false">($BB1103+$BC1103)*$AK1103</f>
        <v>41.29164</v>
      </c>
      <c r="BH1103" s="153" t="n">
        <f aca="false">IF(AND($M1103&lt;&gt;"",$N1103="VCA",$Q1103="LINEAR"),($M1103*2)/100,IF(AND($M1103&lt;&gt;"",$N1103="MND",$Q1103="EMBOQUE"),($AN1103*2)/100,0))</f>
        <v>0.5536</v>
      </c>
      <c r="BI1103" s="153" t="n">
        <f aca="false">IF(AND($M1103&lt;&gt;"",$N1103="VCA",$Q1103="LINEAR"),$M1103,IF(AND($M1103&lt;&gt;"",$N1103="MND",$Q1103="EMBOQUE"),$AN1103*2,0))</f>
        <v>27.68</v>
      </c>
      <c r="BJ1103" s="153" t="n">
        <f aca="false">IF(AND($M1103&lt;&gt;"",$N1103="VCA",$Q1103="LINEAR"),($M1103*6.8)/100,IF(AND($M1103&lt;&gt;"",$N1103="MND",$Q1103="EMBOQUE"),($AN1103*2*6.8)/100,0))</f>
        <v>1.88224</v>
      </c>
      <c r="BK1103" s="153" t="n">
        <f aca="false">IF(AND($M1103&lt;&gt;"",$N1103="VCA",$Q1103="LINEAR"),($M1103*2.5)/50,IF(AND($M1103&lt;&gt;"",$N1103="MND",$Q1103="EMBOQUE"),($AN1103*2*2.5)/50,0))</f>
        <v>1.384</v>
      </c>
      <c r="BL1103" s="157" t="str">
        <f aca="false">K1103&amp;J1103</f>
        <v>Zona10REDES</v>
      </c>
      <c r="BM1103" s="152" t="s">
        <v>5703</v>
      </c>
      <c r="BN1103" s="152" t="s">
        <v>1560</v>
      </c>
      <c r="BO1103" s="152" t="s">
        <v>2489</v>
      </c>
      <c r="BP1103" s="152" t="s">
        <v>5728</v>
      </c>
      <c r="BQ1103" s="152" t="s">
        <v>5705</v>
      </c>
      <c r="BR1103" s="152" t="s">
        <v>5735</v>
      </c>
      <c r="BS1103" s="152" t="n">
        <v>202904.863</v>
      </c>
      <c r="BT1103" s="152" t="n">
        <v>8237333.263</v>
      </c>
      <c r="BU1103" s="152" t="n">
        <v>202924.635</v>
      </c>
      <c r="BV1103" s="152" t="n">
        <v>8237313.896</v>
      </c>
      <c r="BW1103" s="152" t="n">
        <v>-15.9255626</v>
      </c>
      <c r="BX1103" s="152" t="n">
        <v>-47.7747643</v>
      </c>
      <c r="BY1103" s="152" t="s">
        <v>5728</v>
      </c>
    </row>
    <row r="1104" customFormat="false" ht="13.8" hidden="false" customHeight="false" outlineLevel="0" collapsed="false">
      <c r="A1104" s="149" t="n">
        <f aca="false">IF(C1104&lt;&gt;"",ROW(A1099),"")</f>
        <v>1099</v>
      </c>
      <c r="B1104" s="150" t="str">
        <f aca="false">HYPERLINK("https://www.google.com/maps/dir/-15.917302,-47.760003/-15.9247383,-47.7723931/data=!4m3!4m2!3e0!5i2")</f>
        <v>https://www.google.com/maps/dir/-15.917302,-47.760003/-15.9247383,-47.7723931/data=!4m3!4m2!3e0!5i2</v>
      </c>
      <c r="C1104" s="151" t="s">
        <v>117</v>
      </c>
      <c r="D1104" s="152" t="s">
        <v>112</v>
      </c>
      <c r="E1104" s="152" t="s">
        <v>113</v>
      </c>
      <c r="F1104" s="152" t="s">
        <v>117</v>
      </c>
      <c r="G1104" s="152" t="s">
        <v>782</v>
      </c>
      <c r="H1104" s="152" t="n">
        <v>63</v>
      </c>
      <c r="I1104" s="152" t="s">
        <v>115</v>
      </c>
      <c r="J1104" s="152" t="s">
        <v>6</v>
      </c>
      <c r="K1104" s="152" t="s">
        <v>5700</v>
      </c>
      <c r="L1104" s="152" t="s">
        <v>120</v>
      </c>
      <c r="M1104" s="153" t="n">
        <f aca="false">227.84+3.94</f>
        <v>231.78</v>
      </c>
      <c r="N1104" s="152" t="s">
        <v>1548</v>
      </c>
      <c r="O1104" s="152" t="s">
        <v>1549</v>
      </c>
      <c r="P1104" s="152" t="s">
        <v>1550</v>
      </c>
      <c r="Q1104" s="152" t="s">
        <v>1551</v>
      </c>
      <c r="R1104" s="154" t="s">
        <v>5736</v>
      </c>
      <c r="S1104" s="154" t="s">
        <v>1553</v>
      </c>
      <c r="T1104" s="155" t="s">
        <v>2487</v>
      </c>
      <c r="U1104" s="152" t="str">
        <f aca="false">RIGHT(T1104,7)</f>
        <v>011/037</v>
      </c>
      <c r="V1104" s="152" t="s">
        <v>1555</v>
      </c>
      <c r="W1104" s="156" t="n">
        <v>45882</v>
      </c>
      <c r="X1104" s="152" t="s">
        <v>1594</v>
      </c>
      <c r="Y1104" s="152" t="s">
        <v>3499</v>
      </c>
      <c r="Z1104" s="152" t="s">
        <v>1557</v>
      </c>
      <c r="AA1104" s="153" t="n">
        <v>3.6</v>
      </c>
      <c r="AB1104" s="151" t="s">
        <v>5737</v>
      </c>
      <c r="AC1104" s="151" t="s">
        <v>186</v>
      </c>
      <c r="AD1104" s="151" t="str">
        <f aca="false">CONCATENATE($C1104,$I1104,$H1104,$N1104,$J1104,$K1104)</f>
        <v>TUBO PEADPEAD63VCAREDESZona10</v>
      </c>
      <c r="AE1104" s="153" t="n">
        <f aca="false">IFERROR(INDEX(APOIO_REDES!$A:$W,MATCH($C1104&amp;$I1104&amp;$H1104&amp;$N1104&amp;$O1104,APOIO_REDES!$W:$W,0),MATCH(AE$5,APOIO_REDES!$5:$5,0)),0)</f>
        <v>1.2</v>
      </c>
      <c r="AF1104" s="153" t="n">
        <f aca="false">IFERROR(INDEX(APOIO_REDES!$A:$W,MATCH($C1104&amp;$I1104&amp;$H1104&amp;$N1104&amp;$O1104,APOIO_REDES!$W:$W,0),MATCH(AF$5,APOIO_REDES!$5:$5,0)),0)</f>
        <v>1.363</v>
      </c>
      <c r="AG1104" s="153" t="n">
        <f aca="false">IFERROR(INDEX(APOIO_REDES!$A:$W,MATCH($C1104&amp;$I1104&amp;$H1104&amp;$N1104&amp;$O1104,APOIO_REDES!$W:$W,0),MATCH(AG$5,APOIO_REDES!$5:$5,0)),0)</f>
        <v>0.65</v>
      </c>
      <c r="AH1104" s="153" t="n">
        <f aca="false">IFERROR(INDEX(APOIO_REDES!$A:$W,MATCH($C1104&amp;$I1104&amp;$H1104&amp;$N1104&amp;$O1104,APOIO_REDES!$W:$W,0),MATCH(AH$5,APOIO_REDES!$5:$5,0)),0)</f>
        <v>0.1</v>
      </c>
      <c r="AI1104" s="153" t="n">
        <f aca="false">IFERROR(IF($H1104&lt;&gt;"",(((($H1104/1000)/2)^2)*PI()*$M1104),0),0)</f>
        <v>0.722515118073362</v>
      </c>
      <c r="AJ1104" s="153" t="n">
        <f aca="false">IFERROR(IF(AND($H1104&lt;&gt;"",$I1104="FoFo",OR($N1104="MND",$N1104="VCA"),$Q1104="LINEAR"),0,IF(AND($H1104&lt;&gt;"",$I1104="PEAD",$N1104="VCA",$Q1104="LINEAR"),($H1104/1000)+0.3,IF(AND($H1104&lt;&gt;"",$I1104="PEAD",$N1104="MND",$Q1104="EMBOQUE"),0,IF(AND($H1104&lt;&gt;"",$I1104="PVC",$N1104="VCA",$Q1104="LINEAR"),($H1104/1000)+0.2,IF(AND($H1104&lt;&gt;"",$I1104="PVC",$N1104="MND",$Q1104="EMBOQUE"),0,IF(AND($H1104&lt;&gt;"",$I1104="PEAD",$N1104="VCA",$Q1104="PREDIAL"),0,0)))))),0)</f>
        <v>0.363</v>
      </c>
      <c r="AK1104" s="153" t="n">
        <f aca="false">IF(AA1104&lt;&gt;"",AA1104,0)</f>
        <v>3.6</v>
      </c>
      <c r="AL1104" s="153" t="n">
        <f aca="false">IF(AND($N1104="MND",$Q1104="EMBOQUE"),$M1104,IF(AND($N1104="VCA",$Q1104="LINEAR"),$M1104,IF(AND($N1104="VCA",$Q1104="PREDIAL"),0,0)))</f>
        <v>231.78</v>
      </c>
      <c r="AM1104" s="153" t="n">
        <f aca="false">IF(AND($N1104="MND",$Q1104="EMBOQUE"),$M1104,IF(AND($N1104="VCA",$Q1104="LINEAR"),$M1104,IF(AND($N1104="VCA",$Q1104="PREDIAL"),0,0)))</f>
        <v>231.78</v>
      </c>
      <c r="AN1104" s="153" t="n">
        <f aca="false">ROUND(IF(AND($N1104="VCA",$M1104&lt;&gt;"",$Q1104="LINEAR"),$M1104/100,IF(AND($N1104="MND",$M1104&gt;100,$Q1104="EMBOQUE"),$M1104/100,0)),0)</f>
        <v>2</v>
      </c>
      <c r="AO1104" s="153" t="n">
        <f aca="false">IF(AND($N1104="MND",$Q1104="EMBOQUE"),$AN1104*2*2,IF(AND($N1104="VCA",$Q1104="LINEAR"),$M1104*2,IF(AND($N1104="VCA",$Q1104="PREDIAL"),0,0)))</f>
        <v>463.56</v>
      </c>
      <c r="AP1104" s="153" t="n">
        <f aca="false">IFERROR($M1104*$AF1104*$AG1104,0)</f>
        <v>205.345491</v>
      </c>
      <c r="AQ1104" s="153" t="n">
        <f aca="false">IFERROR(IF(AND($N1104="VCA",$AH1104&gt;0),$M1104*$AG1104*$AH1104,0),0)</f>
        <v>15.0657</v>
      </c>
      <c r="AR1104" s="153" t="n">
        <f aca="false">IFERROR(IF(AND($N1104="VCA",$AJ1104&gt;0),($M1104*$AG1104*$AJ1104)-$AI1104,0),0)</f>
        <v>53.9659758819266</v>
      </c>
      <c r="AS1104" s="153" t="n">
        <f aca="false">IFERROR(IF(AND($N1104="VCA",$AP1104&gt;0),$AP1104-$AI1104-$AQ1104-$AR1104,0),0)</f>
        <v>135.5913</v>
      </c>
      <c r="AT1104" s="153" t="n">
        <f aca="false">IFERROR(IF($N1104="VCA",INDEX(APOIO_REDES!$A:$W,MATCH($C1104&amp;$I1104&amp;$H1104&amp;$N1104&amp;$O1104,APOIO_REDES!$W:$W,0),MATCH(AT$5,APOIO_REDES!$5:$5,0)),0)*$AP1104,0)</f>
        <v>2.23421972124287</v>
      </c>
      <c r="AU1104" s="153" t="n">
        <f aca="false">IFERROR(IF($N1104="VCA",INDEX(APOIO_REDES!$A:$W,MATCH($C1104&amp;$I1104&amp;$H1104&amp;$N1104&amp;$O1104,APOIO_REDES!$W:$W,0),MATCH(AU$5,APOIO_REDES!$5:$5,0)),0)*$AP1104,0)</f>
        <v>1.78418735904055</v>
      </c>
      <c r="AV1104" s="153" t="n">
        <f aca="false">IFERROR(IF($N1104="VCA",INDEX(APOIO_REDES!$A:$W,MATCH($C1104&amp;$I1104&amp;$H1104&amp;$N1104&amp;$O1104,APOIO_REDES!$W:$W,0),MATCH(AV$5,APOIO_REDES!$5:$5,0)),0)*$AP1104,0)</f>
        <v>0.246917524071279</v>
      </c>
      <c r="AW1104" s="153" t="n">
        <f aca="false">IFERROR(IF($N1104="VCA",INDEX(APOIO_REDES!$A:$W,MATCH($C1104&amp;$I1104&amp;$H1104&amp;$N1104&amp;$O1104,APOIO_REDES!$W:$W,0),MATCH(AW$5,APOIO_REDES!$5:$5,0)),0)*$AP1104,0)</f>
        <v>140.950736116906</v>
      </c>
      <c r="AX1104" s="153" t="n">
        <f aca="false">IFERROR(IF($N1104="VCA",INDEX(APOIO_REDES!$A:$W,MATCH($C1104&amp;$I1104&amp;$H1104&amp;$N1104&amp;$O1104,APOIO_REDES!$W:$W,0),MATCH(AX$5,APOIO_REDES!$5:$5,0)),0)*$AP1104,0)</f>
        <v>19.5071803728079</v>
      </c>
      <c r="AY1104" s="153" t="n">
        <f aca="false">IFERROR(IF($N1104="VCA",INDEX(APOIO_REDES!$A:$W,MATCH($C1104&amp;$I1104&amp;$H1104&amp;$N1104&amp;$O1104,APOIO_REDES!$W:$W,0),MATCH(AY$5,APOIO_REDES!$5:$5,0)),0)*$AP1104,0)</f>
        <v>35.6837254317118</v>
      </c>
      <c r="AZ1104" s="153" t="n">
        <f aca="false">IFERROR(IF($N1104="VCA",INDEX(APOIO_REDES!$A:$W,MATCH($C1104&amp;$I1104&amp;$H1104&amp;$N1104&amp;$O1104,APOIO_REDES!$W:$W,0),MATCH(AZ$5,APOIO_REDES!$5:$5,0)),0)*$AP1104,0)</f>
        <v>4.93852447421979</v>
      </c>
      <c r="BA1104" s="153" t="n">
        <f aca="false">IFERROR(IF(AND($N1104="VCA",$Q1104="LINEAR"),INDEX(APOIO_REDES!$A:$W,MATCH($C1104&amp;$I1104&amp;$H1104&amp;$N1104&amp;$O1104,APOIO_REDES!$W:$W,0),MATCH(BA$5,APOIO_REDES!$5:$5,0)),IF(AND($N1104="MND",$Q1104="EMBOQUE"),INDEX(APOIO_REDES!$A:$W,MATCH($C1104&amp;$I1104&amp;$H1104&amp;$N1104&amp;$O1104,APOIO_REDES!$W:$W,0),MATCH(BA$5,APOIO_REDES!$5:$5,0)),0))*$M1104/10,0)</f>
        <v>18.6808833534415</v>
      </c>
      <c r="BB1104" s="153" t="n">
        <f aca="false">IFERROR(IF($N1104="VCA",INDEX(APOIO_REDES!$A:$W,MATCH($C1104&amp;$I1104&amp;$H1104&amp;$N1104&amp;$O1104,APOIO_REDES!$W:$W,0),MATCH(BB$5,APOIO_REDES!$5:$5,0)),0)*($AI1104+$AQ1104+$AR1104),0)</f>
        <v>68.9952447557334</v>
      </c>
      <c r="BC1104" s="153" t="n">
        <f aca="false">IFERROR(IF($N1104="VCA",INDEX(APOIO_REDES!$A:$W,MATCH($C1104&amp;$I1104&amp;$H1104&amp;$N1104&amp;$O1104,APOIO_REDES!$W:$W,0),MATCH(BC$5,APOIO_REDES!$5:$5,0)),0)*($AI1104+$AQ1104+$AR1104),0)</f>
        <v>0.758946244266654</v>
      </c>
      <c r="BD1104" s="153" t="n">
        <f aca="false">IF(AND($N1104="VCA",$AF1104&gt;=1.25,$AF1104&lt;1.5),$M1104*$AF1104*2,0)</f>
        <v>631.83228</v>
      </c>
      <c r="BE1104" s="153" t="n">
        <f aca="false">IF(AND($N1104="VCA",$AF1104&gt;=1.5,$AF1104&lt;3),$M1104*$AF1104*2,0)</f>
        <v>0</v>
      </c>
      <c r="BF1104" s="153" t="n">
        <f aca="false">IF(AND($N1104="VCA",$AF1104&gt;=3),$M1104*$AF1104*2,0)</f>
        <v>0</v>
      </c>
      <c r="BG1104" s="153" t="n">
        <f aca="false">($BB1104+$BC1104)*$AK1104</f>
        <v>251.1150876</v>
      </c>
      <c r="BH1104" s="153" t="n">
        <f aca="false">IF(AND($M1104&lt;&gt;"",$N1104="VCA",$Q1104="LINEAR"),($M1104*2)/100,IF(AND($M1104&lt;&gt;"",$N1104="MND",$Q1104="EMBOQUE"),($AN1104*2)/100,0))</f>
        <v>4.6356</v>
      </c>
      <c r="BI1104" s="153" t="n">
        <f aca="false">IF(AND($M1104&lt;&gt;"",$N1104="VCA",$Q1104="LINEAR"),$M1104,IF(AND($M1104&lt;&gt;"",$N1104="MND",$Q1104="EMBOQUE"),$AN1104*2,0))</f>
        <v>231.78</v>
      </c>
      <c r="BJ1104" s="153" t="n">
        <f aca="false">IF(AND($M1104&lt;&gt;"",$N1104="VCA",$Q1104="LINEAR"),($M1104*6.8)/100,IF(AND($M1104&lt;&gt;"",$N1104="MND",$Q1104="EMBOQUE"),($AN1104*2*6.8)/100,0))</f>
        <v>15.76104</v>
      </c>
      <c r="BK1104" s="153" t="n">
        <f aca="false">IF(AND($M1104&lt;&gt;"",$N1104="VCA",$Q1104="LINEAR"),($M1104*2.5)/50,IF(AND($M1104&lt;&gt;"",$N1104="MND",$Q1104="EMBOQUE"),($AN1104*2*2.5)/50,0))</f>
        <v>11.589</v>
      </c>
      <c r="BL1104" s="157" t="str">
        <f aca="false">K1104&amp;J1104</f>
        <v>Zona10REDES</v>
      </c>
      <c r="BM1104" s="152" t="s">
        <v>5703</v>
      </c>
      <c r="BN1104" s="152" t="s">
        <v>1560</v>
      </c>
      <c r="BO1104" s="152" t="s">
        <v>2489</v>
      </c>
      <c r="BP1104" s="152" t="s">
        <v>5738</v>
      </c>
      <c r="BQ1104" s="152" t="s">
        <v>5739</v>
      </c>
      <c r="BR1104" s="152" t="s">
        <v>5740</v>
      </c>
      <c r="BS1104" s="152" t="n">
        <v>203167.454</v>
      </c>
      <c r="BT1104" s="152" t="n">
        <v>8237418.103</v>
      </c>
      <c r="BU1104" s="152" t="n">
        <v>203053.487</v>
      </c>
      <c r="BV1104" s="152" t="n">
        <v>8237220.869</v>
      </c>
      <c r="BW1104" s="152" t="n">
        <v>-15.9256181</v>
      </c>
      <c r="BX1104" s="152" t="n">
        <v>-47.772944</v>
      </c>
      <c r="BY1104" s="152" t="s">
        <v>5738</v>
      </c>
    </row>
    <row r="1105" customFormat="false" ht="13.8" hidden="false" customHeight="false" outlineLevel="0" collapsed="false">
      <c r="A1105" s="149" t="n">
        <f aca="false">IF(C1105&lt;&gt;"",ROW(A1100),"")</f>
        <v>1100</v>
      </c>
      <c r="B1105" s="150" t="str">
        <f aca="false">HYPERLINK("https://www.google.com/maps/dir/-15.917302,-47.760003/-15.9248137,-47.7721609/data=!4m3!4m2!3e0!5i2")</f>
        <v>https://www.google.com/maps/dir/-15.917302,-47.760003/-15.9248137,-47.7721609/data=!4m3!4m2!3e0!5i2</v>
      </c>
      <c r="C1105" s="151" t="s">
        <v>117</v>
      </c>
      <c r="D1105" s="152" t="s">
        <v>112</v>
      </c>
      <c r="E1105" s="152" t="s">
        <v>113</v>
      </c>
      <c r="F1105" s="152" t="s">
        <v>117</v>
      </c>
      <c r="G1105" s="152" t="s">
        <v>782</v>
      </c>
      <c r="H1105" s="152" t="n">
        <v>63</v>
      </c>
      <c r="I1105" s="152" t="s">
        <v>115</v>
      </c>
      <c r="J1105" s="152" t="s">
        <v>6</v>
      </c>
      <c r="K1105" s="152" t="s">
        <v>5700</v>
      </c>
      <c r="L1105" s="152" t="s">
        <v>120</v>
      </c>
      <c r="M1105" s="153" t="n">
        <f aca="false">235.77+3.99</f>
        <v>239.76</v>
      </c>
      <c r="N1105" s="152" t="s">
        <v>1548</v>
      </c>
      <c r="O1105" s="152" t="s">
        <v>1549</v>
      </c>
      <c r="P1105" s="152" t="s">
        <v>1550</v>
      </c>
      <c r="Q1105" s="152" t="s">
        <v>1551</v>
      </c>
      <c r="R1105" s="154" t="s">
        <v>5741</v>
      </c>
      <c r="S1105" s="154" t="s">
        <v>1553</v>
      </c>
      <c r="T1105" s="155" t="s">
        <v>2487</v>
      </c>
      <c r="U1105" s="152" t="str">
        <f aca="false">RIGHT(T1105,7)</f>
        <v>011/037</v>
      </c>
      <c r="V1105" s="152" t="s">
        <v>1555</v>
      </c>
      <c r="W1105" s="156" t="n">
        <v>45882</v>
      </c>
      <c r="X1105" s="152" t="s">
        <v>1594</v>
      </c>
      <c r="Y1105" s="152" t="s">
        <v>3499</v>
      </c>
      <c r="Z1105" s="152" t="s">
        <v>1557</v>
      </c>
      <c r="AA1105" s="153" t="n">
        <v>3.7</v>
      </c>
      <c r="AB1105" s="151" t="s">
        <v>5742</v>
      </c>
      <c r="AC1105" s="151" t="s">
        <v>186</v>
      </c>
      <c r="AD1105" s="151" t="str">
        <f aca="false">CONCATENATE($C1105,$I1105,$H1105,$N1105,$J1105,$K1105)</f>
        <v>TUBO PEADPEAD63VCAREDESZona10</v>
      </c>
      <c r="AE1105" s="153" t="n">
        <f aca="false">IFERROR(INDEX(APOIO_REDES!$A:$W,MATCH($C1105&amp;$I1105&amp;$H1105&amp;$N1105&amp;$O1105,APOIO_REDES!$W:$W,0),MATCH(AE$5,APOIO_REDES!$5:$5,0)),0)</f>
        <v>1.2</v>
      </c>
      <c r="AF1105" s="153" t="n">
        <f aca="false">IFERROR(INDEX(APOIO_REDES!$A:$W,MATCH($C1105&amp;$I1105&amp;$H1105&amp;$N1105&amp;$O1105,APOIO_REDES!$W:$W,0),MATCH(AF$5,APOIO_REDES!$5:$5,0)),0)</f>
        <v>1.363</v>
      </c>
      <c r="AG1105" s="153" t="n">
        <f aca="false">IFERROR(INDEX(APOIO_REDES!$A:$W,MATCH($C1105&amp;$I1105&amp;$H1105&amp;$N1105&amp;$O1105,APOIO_REDES!$W:$W,0),MATCH(AG$5,APOIO_REDES!$5:$5,0)),0)</f>
        <v>0.65</v>
      </c>
      <c r="AH1105" s="153" t="n">
        <f aca="false">IFERROR(INDEX(APOIO_REDES!$A:$W,MATCH($C1105&amp;$I1105&amp;$H1105&amp;$N1105&amp;$O1105,APOIO_REDES!$W:$W,0),MATCH(AH$5,APOIO_REDES!$5:$5,0)),0)</f>
        <v>0.1</v>
      </c>
      <c r="AI1105" s="153" t="n">
        <f aca="false">IFERROR(IF($H1105&lt;&gt;"",(((($H1105/1000)/2)^2)*PI()*$M1105),0),0)</f>
        <v>0.747390735651348</v>
      </c>
      <c r="AJ1105" s="153" t="n">
        <f aca="false">IFERROR(IF(AND($H1105&lt;&gt;"",$I1105="FoFo",OR($N1105="MND",$N1105="VCA"),$Q1105="LINEAR"),0,IF(AND($H1105&lt;&gt;"",$I1105="PEAD",$N1105="VCA",$Q1105="LINEAR"),($H1105/1000)+0.3,IF(AND($H1105&lt;&gt;"",$I1105="PEAD",$N1105="MND",$Q1105="EMBOQUE"),0,IF(AND($H1105&lt;&gt;"",$I1105="PVC",$N1105="VCA",$Q1105="LINEAR"),($H1105/1000)+0.2,IF(AND($H1105&lt;&gt;"",$I1105="PVC",$N1105="MND",$Q1105="EMBOQUE"),0,IF(AND($H1105&lt;&gt;"",$I1105="PEAD",$N1105="VCA",$Q1105="PREDIAL"),0,0)))))),0)</f>
        <v>0.363</v>
      </c>
      <c r="AK1105" s="153" t="n">
        <f aca="false">IF(AA1105&lt;&gt;"",AA1105,0)</f>
        <v>3.7</v>
      </c>
      <c r="AL1105" s="153" t="n">
        <f aca="false">IF(AND($N1105="MND",$Q1105="EMBOQUE"),$M1105,IF(AND($N1105="VCA",$Q1105="LINEAR"),$M1105,IF(AND($N1105="VCA",$Q1105="PREDIAL"),0,0)))</f>
        <v>239.76</v>
      </c>
      <c r="AM1105" s="153" t="n">
        <f aca="false">IF(AND($N1105="MND",$Q1105="EMBOQUE"),$M1105,IF(AND($N1105="VCA",$Q1105="LINEAR"),$M1105,IF(AND($N1105="VCA",$Q1105="PREDIAL"),0,0)))</f>
        <v>239.76</v>
      </c>
      <c r="AN1105" s="153" t="n">
        <f aca="false">ROUND(IF(AND($N1105="VCA",$M1105&lt;&gt;"",$Q1105="LINEAR"),$M1105/100,IF(AND($N1105="MND",$M1105&gt;100,$Q1105="EMBOQUE"),$M1105/100,0)),0)</f>
        <v>2</v>
      </c>
      <c r="AO1105" s="153" t="n">
        <f aca="false">IF(AND($N1105="MND",$Q1105="EMBOQUE"),$AN1105*2*2,IF(AND($N1105="VCA",$Q1105="LINEAR"),$M1105*2,IF(AND($N1105="VCA",$Q1105="PREDIAL"),0,0)))</f>
        <v>479.52</v>
      </c>
      <c r="AP1105" s="153" t="n">
        <f aca="false">IFERROR($M1105*$AF1105*$AG1105,0)</f>
        <v>212.415372</v>
      </c>
      <c r="AQ1105" s="153" t="n">
        <f aca="false">IFERROR(IF(AND($N1105="VCA",$AH1105&gt;0),$M1105*$AG1105*$AH1105,0),0)</f>
        <v>15.5844</v>
      </c>
      <c r="AR1105" s="153" t="n">
        <f aca="false">IFERROR(IF(AND($N1105="VCA",$AJ1105&gt;0),($M1105*$AG1105*$AJ1105)-$AI1105,0),0)</f>
        <v>55.8239812643487</v>
      </c>
      <c r="AS1105" s="153" t="n">
        <f aca="false">IFERROR(IF(AND($N1105="VCA",$AP1105&gt;0),$AP1105-$AI1105-$AQ1105-$AR1105,0),0)</f>
        <v>140.2596</v>
      </c>
      <c r="AT1105" s="153" t="n">
        <f aca="false">IFERROR(IF($N1105="VCA",INDEX(APOIO_REDES!$A:$W,MATCH($C1105&amp;$I1105&amp;$H1105&amp;$N1105&amp;$O1105,APOIO_REDES!$W:$W,0),MATCH(AT$5,APOIO_REDES!$5:$5,0)),0)*$AP1105,0)</f>
        <v>2.31114211910083</v>
      </c>
      <c r="AU1105" s="153" t="n">
        <f aca="false">IFERROR(IF($N1105="VCA",INDEX(APOIO_REDES!$A:$W,MATCH($C1105&amp;$I1105&amp;$H1105&amp;$N1105&amp;$O1105,APOIO_REDES!$W:$W,0),MATCH(AU$5,APOIO_REDES!$5:$5,0)),0)*$AP1105,0)</f>
        <v>1.84561550264718</v>
      </c>
      <c r="AV1105" s="153" t="n">
        <f aca="false">IFERROR(IF($N1105="VCA",INDEX(APOIO_REDES!$A:$W,MATCH($C1105&amp;$I1105&amp;$H1105&amp;$N1105&amp;$O1105,APOIO_REDES!$W:$W,0),MATCH(AV$5,APOIO_REDES!$5:$5,0)),0)*$AP1105,0)</f>
        <v>0.255418696916602</v>
      </c>
      <c r="AW1105" s="153" t="n">
        <f aca="false">IFERROR(IF($N1105="VCA",INDEX(APOIO_REDES!$A:$W,MATCH($C1105&amp;$I1105&amp;$H1105&amp;$N1105&amp;$O1105,APOIO_REDES!$W:$W,0),MATCH(AW$5,APOIO_REDES!$5:$5,0)),0)*$AP1105,0)</f>
        <v>145.803557215417</v>
      </c>
      <c r="AX1105" s="153" t="n">
        <f aca="false">IFERROR(IF($N1105="VCA",INDEX(APOIO_REDES!$A:$W,MATCH($C1105&amp;$I1105&amp;$H1105&amp;$N1105&amp;$O1105,APOIO_REDES!$W:$W,0),MATCH(AX$5,APOIO_REDES!$5:$5,0)),0)*$AP1105,0)</f>
        <v>20.1787969893193</v>
      </c>
      <c r="AY1105" s="153" t="n">
        <f aca="false">IFERROR(IF($N1105="VCA",INDEX(APOIO_REDES!$A:$W,MATCH($C1105&amp;$I1105&amp;$H1105&amp;$N1105&amp;$O1105,APOIO_REDES!$W:$W,0),MATCH(AY$5,APOIO_REDES!$5:$5,0)),0)*$AP1105,0)</f>
        <v>36.9122875550402</v>
      </c>
      <c r="AZ1105" s="153" t="n">
        <f aca="false">IFERROR(IF($N1105="VCA",INDEX(APOIO_REDES!$A:$W,MATCH($C1105&amp;$I1105&amp;$H1105&amp;$N1105&amp;$O1105,APOIO_REDES!$W:$W,0),MATCH(AZ$5,APOIO_REDES!$5:$5,0)),0)*$AP1105,0)</f>
        <v>5.10855392155896</v>
      </c>
      <c r="BA1105" s="153" t="n">
        <f aca="false">IFERROR(IF(AND($N1105="VCA",$Q1105="LINEAR"),INDEX(APOIO_REDES!$A:$W,MATCH($C1105&amp;$I1105&amp;$H1105&amp;$N1105&amp;$O1105,APOIO_REDES!$W:$W,0),MATCH(BA$5,APOIO_REDES!$5:$5,0)),IF(AND($N1105="MND",$Q1105="EMBOQUE"),INDEX(APOIO_REDES!$A:$W,MATCH($C1105&amp;$I1105&amp;$H1105&amp;$N1105&amp;$O1105,APOIO_REDES!$W:$W,0),MATCH(BA$5,APOIO_REDES!$5:$5,0)),0))*$M1105/10,0)</f>
        <v>19.3240512245281</v>
      </c>
      <c r="BB1105" s="153" t="n">
        <f aca="false">IFERROR(IF($N1105="VCA",INDEX(APOIO_REDES!$A:$W,MATCH($C1105&amp;$I1105&amp;$H1105&amp;$N1105&amp;$O1105,APOIO_REDES!$W:$W,0),MATCH(BB$5,APOIO_REDES!$5:$5,0)),0)*($AI1105+$AQ1105+$AR1105),0)</f>
        <v>71.3706958436217</v>
      </c>
      <c r="BC1105" s="153" t="n">
        <f aca="false">IFERROR(IF($N1105="VCA",INDEX(APOIO_REDES!$A:$W,MATCH($C1105&amp;$I1105&amp;$H1105&amp;$N1105&amp;$O1105,APOIO_REDES!$W:$W,0),MATCH(BC$5,APOIO_REDES!$5:$5,0)),0)*($AI1105+$AQ1105+$AR1105),0)</f>
        <v>0.785076156378345</v>
      </c>
      <c r="BD1105" s="153" t="n">
        <f aca="false">IF(AND($N1105="VCA",$AF1105&gt;=1.25,$AF1105&lt;1.5),$M1105*$AF1105*2,0)</f>
        <v>653.58576</v>
      </c>
      <c r="BE1105" s="153" t="n">
        <f aca="false">IF(AND($N1105="VCA",$AF1105&gt;=1.5,$AF1105&lt;3),$M1105*$AF1105*2,0)</f>
        <v>0</v>
      </c>
      <c r="BF1105" s="153" t="n">
        <f aca="false">IF(AND($N1105="VCA",$AF1105&gt;=3),$M1105*$AF1105*2,0)</f>
        <v>0</v>
      </c>
      <c r="BG1105" s="153" t="n">
        <f aca="false">($BB1105+$BC1105)*$AK1105</f>
        <v>266.9763564</v>
      </c>
      <c r="BH1105" s="153" t="n">
        <f aca="false">IF(AND($M1105&lt;&gt;"",$N1105="VCA",$Q1105="LINEAR"),($M1105*2)/100,IF(AND($M1105&lt;&gt;"",$N1105="MND",$Q1105="EMBOQUE"),($AN1105*2)/100,0))</f>
        <v>4.7952</v>
      </c>
      <c r="BI1105" s="153" t="n">
        <f aca="false">IF(AND($M1105&lt;&gt;"",$N1105="VCA",$Q1105="LINEAR"),$M1105,IF(AND($M1105&lt;&gt;"",$N1105="MND",$Q1105="EMBOQUE"),$AN1105*2,0))</f>
        <v>239.76</v>
      </c>
      <c r="BJ1105" s="153" t="n">
        <f aca="false">IF(AND($M1105&lt;&gt;"",$N1105="VCA",$Q1105="LINEAR"),($M1105*6.8)/100,IF(AND($M1105&lt;&gt;"",$N1105="MND",$Q1105="EMBOQUE"),($AN1105*2*6.8)/100,0))</f>
        <v>16.30368</v>
      </c>
      <c r="BK1105" s="153" t="n">
        <f aca="false">IF(AND($M1105&lt;&gt;"",$N1105="VCA",$Q1105="LINEAR"),($M1105*2.5)/50,IF(AND($M1105&lt;&gt;"",$N1105="MND",$Q1105="EMBOQUE"),($AN1105*2*2.5)/50,0))</f>
        <v>11.988</v>
      </c>
      <c r="BL1105" s="157" t="str">
        <f aca="false">K1105&amp;J1105</f>
        <v>Zona10REDES</v>
      </c>
      <c r="BM1105" s="152" t="s">
        <v>5703</v>
      </c>
      <c r="BN1105" s="152" t="s">
        <v>1560</v>
      </c>
      <c r="BO1105" s="152" t="s">
        <v>2489</v>
      </c>
      <c r="BP1105" s="152" t="s">
        <v>5743</v>
      </c>
      <c r="BQ1105" s="152" t="s">
        <v>5744</v>
      </c>
      <c r="BR1105" s="152" t="s">
        <v>5745</v>
      </c>
      <c r="BS1105" s="152" t="n">
        <v>203192.448</v>
      </c>
      <c r="BT1105" s="152" t="n">
        <v>8237410.079</v>
      </c>
      <c r="BU1105" s="152" t="n">
        <v>203074.831</v>
      </c>
      <c r="BV1105" s="152" t="n">
        <v>8237205.968</v>
      </c>
      <c r="BW1105" s="152" t="n">
        <v>-15.9257377</v>
      </c>
      <c r="BX1105" s="152" t="n">
        <v>-47.7727068</v>
      </c>
      <c r="BY1105" s="152" t="s">
        <v>5743</v>
      </c>
    </row>
    <row r="1106" customFormat="false" ht="13.8" hidden="false" customHeight="false" outlineLevel="0" collapsed="false">
      <c r="A1106" s="149" t="n">
        <f aca="false">IF(C1106&lt;&gt;"",ROW(A1101),"")</f>
        <v>1101</v>
      </c>
      <c r="B1106" s="150" t="str">
        <f aca="false">HYPERLINK("https://www.google.com/maps/dir/-15.917302,-47.760003/-15.9256501,-47.7746721/data=!4m3!4m2!3e0!5i2")</f>
        <v>https://www.google.com/maps/dir/-15.917302,-47.760003/-15.9256501,-47.7746721/data=!4m3!4m2!3e0!5i2</v>
      </c>
      <c r="C1106" s="151" t="s">
        <v>117</v>
      </c>
      <c r="D1106" s="152" t="s">
        <v>112</v>
      </c>
      <c r="E1106" s="152" t="s">
        <v>113</v>
      </c>
      <c r="F1106" s="152" t="s">
        <v>117</v>
      </c>
      <c r="G1106" s="152" t="s">
        <v>782</v>
      </c>
      <c r="H1106" s="152" t="n">
        <v>110</v>
      </c>
      <c r="I1106" s="152" t="s">
        <v>115</v>
      </c>
      <c r="J1106" s="152" t="s">
        <v>6</v>
      </c>
      <c r="K1106" s="152" t="s">
        <v>5700</v>
      </c>
      <c r="L1106" s="152" t="s">
        <v>120</v>
      </c>
      <c r="M1106" s="153" t="n">
        <f aca="false">36.17</f>
        <v>36.17</v>
      </c>
      <c r="N1106" s="152" t="s">
        <v>1548</v>
      </c>
      <c r="O1106" s="152" t="s">
        <v>1549</v>
      </c>
      <c r="P1106" s="152" t="s">
        <v>1550</v>
      </c>
      <c r="Q1106" s="152" t="s">
        <v>1551</v>
      </c>
      <c r="R1106" s="154" t="s">
        <v>5746</v>
      </c>
      <c r="S1106" s="154" t="s">
        <v>1593</v>
      </c>
      <c r="T1106" s="155" t="s">
        <v>2487</v>
      </c>
      <c r="U1106" s="152" t="str">
        <f aca="false">RIGHT(T1106,7)</f>
        <v>011/037</v>
      </c>
      <c r="V1106" s="152" t="s">
        <v>1555</v>
      </c>
      <c r="W1106" s="156" t="n">
        <v>45882</v>
      </c>
      <c r="X1106" s="152" t="s">
        <v>1594</v>
      </c>
      <c r="Y1106" s="152" t="s">
        <v>3365</v>
      </c>
      <c r="Z1106" s="152" t="s">
        <v>1557</v>
      </c>
      <c r="AA1106" s="153" t="n">
        <v>3.5</v>
      </c>
      <c r="AB1106" s="151" t="s">
        <v>5747</v>
      </c>
      <c r="AC1106" s="151" t="s">
        <v>502</v>
      </c>
      <c r="AD1106" s="151" t="str">
        <f aca="false">CONCATENATE($C1106,$I1106,$H1106,$N1106,$J1106,$K1106)</f>
        <v>TUBO PEADPEAD110VCAREDESZona10</v>
      </c>
      <c r="AE1106" s="153" t="n">
        <f aca="false">IFERROR(INDEX(APOIO_REDES!$A:$W,MATCH($C1106&amp;$I1106&amp;$H1106&amp;$N1106&amp;$O1106,APOIO_REDES!$W:$W,0),MATCH(AE$5,APOIO_REDES!$5:$5,0)),0)</f>
        <v>1.2</v>
      </c>
      <c r="AF1106" s="153" t="n">
        <f aca="false">IFERROR(INDEX(APOIO_REDES!$A:$W,MATCH($C1106&amp;$I1106&amp;$H1106&amp;$N1106&amp;$O1106,APOIO_REDES!$W:$W,0),MATCH(AF$5,APOIO_REDES!$5:$5,0)),0)</f>
        <v>1.41</v>
      </c>
      <c r="AG1106" s="153" t="n">
        <f aca="false">IFERROR(INDEX(APOIO_REDES!$A:$W,MATCH($C1106&amp;$I1106&amp;$H1106&amp;$N1106&amp;$O1106,APOIO_REDES!$W:$W,0),MATCH(AG$5,APOIO_REDES!$5:$5,0)),0)</f>
        <v>0.75</v>
      </c>
      <c r="AH1106" s="153" t="n">
        <f aca="false">IFERROR(INDEX(APOIO_REDES!$A:$W,MATCH($C1106&amp;$I1106&amp;$H1106&amp;$N1106&amp;$O1106,APOIO_REDES!$W:$W,0),MATCH(AH$5,APOIO_REDES!$5:$5,0)),0)</f>
        <v>0.1</v>
      </c>
      <c r="AI1106" s="153" t="n">
        <f aca="false">IFERROR(IF($H1106&lt;&gt;"",(((($H1106/1000)/2)^2)*PI()*$M1106),0),0)</f>
        <v>0.343735003998037</v>
      </c>
      <c r="AJ1106" s="153" t="n">
        <f aca="false">IFERROR(IF(AND($H1106&lt;&gt;"",$I1106="FoFo",OR($N1106="MND",$N1106="VCA"),$Q1106="LINEAR"),0,IF(AND($H1106&lt;&gt;"",$I1106="PEAD",$N1106="VCA",$Q1106="LINEAR"),($H1106/1000)+0.3,IF(AND($H1106&lt;&gt;"",$I1106="PEAD",$N1106="MND",$Q1106="EMBOQUE"),0,IF(AND($H1106&lt;&gt;"",$I1106="PVC",$N1106="VCA",$Q1106="LINEAR"),($H1106/1000)+0.2,IF(AND($H1106&lt;&gt;"",$I1106="PVC",$N1106="MND",$Q1106="EMBOQUE"),0,IF(AND($H1106&lt;&gt;"",$I1106="PEAD",$N1106="VCA",$Q1106="PREDIAL"),0,0)))))),0)</f>
        <v>0.41</v>
      </c>
      <c r="AK1106" s="153" t="n">
        <f aca="false">IF(AA1106&lt;&gt;"",AA1106,0)</f>
        <v>3.5</v>
      </c>
      <c r="AL1106" s="153" t="n">
        <f aca="false">IF(AND($N1106="MND",$Q1106="EMBOQUE"),$M1106,IF(AND($N1106="VCA",$Q1106="LINEAR"),$M1106,IF(AND($N1106="VCA",$Q1106="PREDIAL"),0,0)))</f>
        <v>36.17</v>
      </c>
      <c r="AM1106" s="153" t="n">
        <f aca="false">IF(AND($N1106="MND",$Q1106="EMBOQUE"),$M1106,IF(AND($N1106="VCA",$Q1106="LINEAR"),$M1106,IF(AND($N1106="VCA",$Q1106="PREDIAL"),0,0)))</f>
        <v>36.17</v>
      </c>
      <c r="AN1106" s="153" t="n">
        <f aca="false">ROUND(IF(AND($N1106="VCA",$M1106&lt;&gt;"",$Q1106="LINEAR"),$M1106/100,IF(AND($N1106="MND",$M1106&gt;100,$Q1106="EMBOQUE"),$M1106/100,0)),0)</f>
        <v>0</v>
      </c>
      <c r="AO1106" s="153" t="n">
        <f aca="false">IF(AND($N1106="MND",$Q1106="EMBOQUE"),$AN1106*2*2,IF(AND($N1106="VCA",$Q1106="LINEAR"),$M1106*2,IF(AND($N1106="VCA",$Q1106="PREDIAL"),0,0)))</f>
        <v>72.34</v>
      </c>
      <c r="AP1106" s="153" t="n">
        <f aca="false">IFERROR($M1106*$AF1106*$AG1106,0)</f>
        <v>38.249775</v>
      </c>
      <c r="AQ1106" s="153" t="n">
        <f aca="false">IFERROR(IF(AND($N1106="VCA",$AH1106&gt;0),$M1106*$AG1106*$AH1106,0),0)</f>
        <v>2.71275</v>
      </c>
      <c r="AR1106" s="153" t="n">
        <f aca="false">IFERROR(IF(AND($N1106="VCA",$AJ1106&gt;0),($M1106*$AG1106*$AJ1106)-$AI1106,0),0)</f>
        <v>10.778539996002</v>
      </c>
      <c r="AS1106" s="153" t="n">
        <f aca="false">IFERROR(IF(AND($N1106="VCA",$AP1106&gt;0),$AP1106-$AI1106-$AQ1106-$AR1106,0),0)</f>
        <v>24.41475</v>
      </c>
      <c r="AT1106" s="153" t="n">
        <f aca="false">IFERROR(IF($N1106="VCA",INDEX(APOIO_REDES!$A:$W,MATCH($C1106&amp;$I1106&amp;$H1106&amp;$N1106&amp;$O1106,APOIO_REDES!$W:$W,0),MATCH(AT$5,APOIO_REDES!$5:$5,0)),0)*$AP1106,0)</f>
        <v>0.416168873355503</v>
      </c>
      <c r="AU1106" s="153" t="n">
        <f aca="false">IFERROR(IF($N1106="VCA",INDEX(APOIO_REDES!$A:$W,MATCH($C1106&amp;$I1106&amp;$H1106&amp;$N1106&amp;$O1106,APOIO_REDES!$W:$W,0),MATCH(AU$5,APOIO_REDES!$5:$5,0)),0)*$AP1106,0)</f>
        <v>0.332341190979184</v>
      </c>
      <c r="AV1106" s="153" t="n">
        <f aca="false">IFERROR(IF($N1106="VCA",INDEX(APOIO_REDES!$A:$W,MATCH($C1106&amp;$I1106&amp;$H1106&amp;$N1106&amp;$O1106,APOIO_REDES!$W:$W,0),MATCH(AV$5,APOIO_REDES!$5:$5,0)),0)*$AP1106,0)</f>
        <v>0.0459934118508768</v>
      </c>
      <c r="AW1106" s="153" t="n">
        <f aca="false">IFERROR(IF($N1106="VCA",INDEX(APOIO_REDES!$A:$W,MATCH($C1106&amp;$I1106&amp;$H1106&amp;$N1106&amp;$O1106,APOIO_REDES!$W:$W,0),MATCH(AW$5,APOIO_REDES!$5:$5,0)),0)*$AP1106,0)</f>
        <v>26.254941933719</v>
      </c>
      <c r="AX1106" s="153" t="n">
        <f aca="false">IFERROR(IF($N1106="VCA",INDEX(APOIO_REDES!$A:$W,MATCH($C1106&amp;$I1106&amp;$H1106&amp;$N1106&amp;$O1106,APOIO_REDES!$W:$W,0),MATCH(AX$5,APOIO_REDES!$5:$5,0)),0)*$AP1106,0)</f>
        <v>3.63360917500895</v>
      </c>
      <c r="AY1106" s="153" t="n">
        <f aca="false">IFERROR(IF($N1106="VCA",INDEX(APOIO_REDES!$A:$W,MATCH($C1106&amp;$I1106&amp;$H1106&amp;$N1106&amp;$O1106,APOIO_REDES!$W:$W,0),MATCH(AY$5,APOIO_REDES!$5:$5,0)),0)*$AP1106,0)</f>
        <v>6.64681976837151</v>
      </c>
      <c r="AZ1106" s="153" t="n">
        <f aca="false">IFERROR(IF($N1106="VCA",INDEX(APOIO_REDES!$A:$W,MATCH($C1106&amp;$I1106&amp;$H1106&amp;$N1106&amp;$O1106,APOIO_REDES!$W:$W,0),MATCH(AZ$5,APOIO_REDES!$5:$5,0)),0)*$AP1106,0)</f>
        <v>0.919900646714956</v>
      </c>
      <c r="BA1106" s="153" t="n">
        <f aca="false">IFERROR(IF(AND($N1106="VCA",$Q1106="LINEAR"),INDEX(APOIO_REDES!$A:$W,MATCH($C1106&amp;$I1106&amp;$H1106&amp;$N1106&amp;$O1106,APOIO_REDES!$W:$W,0),MATCH(BA$5,APOIO_REDES!$5:$5,0)),IF(AND($N1106="MND",$Q1106="EMBOQUE"),INDEX(APOIO_REDES!$A:$W,MATCH($C1106&amp;$I1106&amp;$H1106&amp;$N1106&amp;$O1106,APOIO_REDES!$W:$W,0),MATCH(BA$5,APOIO_REDES!$5:$5,0)),0))*$M1106/10,0)</f>
        <v>2.91521076406065</v>
      </c>
      <c r="BB1106" s="153" t="n">
        <f aca="false">IFERROR(IF($N1106="VCA",INDEX(APOIO_REDES!$A:$W,MATCH($C1106&amp;$I1106&amp;$H1106&amp;$N1106&amp;$O1106,APOIO_REDES!$W:$W,0),MATCH(BB$5,APOIO_REDES!$5:$5,0)),0)*($AI1106+$AQ1106+$AR1106),0)</f>
        <v>13.6844958330416</v>
      </c>
      <c r="BC1106" s="153" t="n">
        <f aca="false">IFERROR(IF($N1106="VCA",INDEX(APOIO_REDES!$A:$W,MATCH($C1106&amp;$I1106&amp;$H1106&amp;$N1106&amp;$O1106,APOIO_REDES!$W:$W,0),MATCH(BC$5,APOIO_REDES!$5:$5,0)),0)*($AI1106+$AQ1106+$AR1106),0)</f>
        <v>0.150529166958373</v>
      </c>
      <c r="BD1106" s="153" t="n">
        <f aca="false">IF(AND($N1106="VCA",$AF1106&gt;=1.25,$AF1106&lt;1.5),$M1106*$AF1106*2,0)</f>
        <v>101.9994</v>
      </c>
      <c r="BE1106" s="153" t="n">
        <f aca="false">IF(AND($N1106="VCA",$AF1106&gt;=1.5,$AF1106&lt;3),$M1106*$AF1106*2,0)</f>
        <v>0</v>
      </c>
      <c r="BF1106" s="153" t="n">
        <f aca="false">IF(AND($N1106="VCA",$AF1106&gt;=3),$M1106*$AF1106*2,0)</f>
        <v>0</v>
      </c>
      <c r="BG1106" s="153" t="n">
        <f aca="false">($BB1106+$BC1106)*$AK1106</f>
        <v>48.4225875</v>
      </c>
      <c r="BH1106" s="153" t="n">
        <f aca="false">IF(AND($M1106&lt;&gt;"",$N1106="VCA",$Q1106="LINEAR"),($M1106*2)/100,IF(AND($M1106&lt;&gt;"",$N1106="MND",$Q1106="EMBOQUE"),($AN1106*2)/100,0))</f>
        <v>0.7234</v>
      </c>
      <c r="BI1106" s="153" t="n">
        <f aca="false">IF(AND($M1106&lt;&gt;"",$N1106="VCA",$Q1106="LINEAR"),$M1106,IF(AND($M1106&lt;&gt;"",$N1106="MND",$Q1106="EMBOQUE"),$AN1106*2,0))</f>
        <v>36.17</v>
      </c>
      <c r="BJ1106" s="153" t="n">
        <f aca="false">IF(AND($M1106&lt;&gt;"",$N1106="VCA",$Q1106="LINEAR"),($M1106*6.8)/100,IF(AND($M1106&lt;&gt;"",$N1106="MND",$Q1106="EMBOQUE"),($AN1106*2*6.8)/100,0))</f>
        <v>2.45956</v>
      </c>
      <c r="BK1106" s="153" t="n">
        <f aca="false">IF(AND($M1106&lt;&gt;"",$N1106="VCA",$Q1106="LINEAR"),($M1106*2.5)/50,IF(AND($M1106&lt;&gt;"",$N1106="MND",$Q1106="EMBOQUE"),($AN1106*2*2.5)/50,0))</f>
        <v>1.8085</v>
      </c>
      <c r="BL1106" s="157" t="str">
        <f aca="false">K1106&amp;J1106</f>
        <v>Zona10REDES</v>
      </c>
      <c r="BM1106" s="152" t="s">
        <v>5703</v>
      </c>
      <c r="BN1106" s="152" t="s">
        <v>1560</v>
      </c>
      <c r="BO1106" s="152" t="s">
        <v>2489</v>
      </c>
      <c r="BP1106" s="152" t="s">
        <v>5705</v>
      </c>
      <c r="BQ1106" s="152" t="s">
        <v>5715</v>
      </c>
      <c r="BR1106" s="152" t="s">
        <v>5748</v>
      </c>
      <c r="BS1106" s="152" t="n">
        <v>202924.635</v>
      </c>
      <c r="BT1106" s="152" t="n">
        <v>8237313.896</v>
      </c>
      <c r="BU1106" s="152" t="n">
        <v>202952.429</v>
      </c>
      <c r="BV1106" s="152" t="n">
        <v>8237290.805</v>
      </c>
      <c r="BW1106" s="152" t="n">
        <v>-15.9257599</v>
      </c>
      <c r="BX1106" s="152" t="n">
        <v>-47.7745473</v>
      </c>
      <c r="BY1106" s="152" t="s">
        <v>5705</v>
      </c>
    </row>
    <row r="1107" customFormat="false" ht="13.8" hidden="false" customHeight="false" outlineLevel="0" collapsed="false">
      <c r="A1107" s="149" t="n">
        <f aca="false">IF(C1107&lt;&gt;"",ROW(A1102),"")</f>
        <v>1102</v>
      </c>
      <c r="B1107" s="150" t="str">
        <f aca="false">HYPERLINK("https://www.google.com/maps/dir/-15.917302,-47.760003/-15.9258619,-47.7744156/data=!4m3!4m2!3e0!5i2")</f>
        <v>https://www.google.com/maps/dir/-15.917302,-47.760003/-15.9258619,-47.7744156/data=!4m3!4m2!3e0!5i2</v>
      </c>
      <c r="C1107" s="151" t="s">
        <v>117</v>
      </c>
      <c r="D1107" s="152" t="s">
        <v>112</v>
      </c>
      <c r="E1107" s="152" t="s">
        <v>113</v>
      </c>
      <c r="F1107" s="152" t="s">
        <v>117</v>
      </c>
      <c r="G1107" s="152" t="s">
        <v>782</v>
      </c>
      <c r="H1107" s="152" t="n">
        <v>110</v>
      </c>
      <c r="I1107" s="152" t="s">
        <v>115</v>
      </c>
      <c r="J1107" s="152" t="s">
        <v>6</v>
      </c>
      <c r="K1107" s="152" t="s">
        <v>5700</v>
      </c>
      <c r="L1107" s="152" t="s">
        <v>120</v>
      </c>
      <c r="M1107" s="153" t="n">
        <f aca="false">42.79</f>
        <v>42.79</v>
      </c>
      <c r="N1107" s="152" t="s">
        <v>1548</v>
      </c>
      <c r="O1107" s="152" t="s">
        <v>1549</v>
      </c>
      <c r="P1107" s="152" t="s">
        <v>1550</v>
      </c>
      <c r="Q1107" s="152" t="s">
        <v>1551</v>
      </c>
      <c r="R1107" s="154" t="s">
        <v>5749</v>
      </c>
      <c r="S1107" s="154" t="s">
        <v>1593</v>
      </c>
      <c r="T1107" s="155" t="s">
        <v>2487</v>
      </c>
      <c r="U1107" s="152" t="str">
        <f aca="false">RIGHT(T1107,7)</f>
        <v>011/037</v>
      </c>
      <c r="V1107" s="152" t="s">
        <v>1555</v>
      </c>
      <c r="W1107" s="156" t="n">
        <v>45882</v>
      </c>
      <c r="X1107" s="152" t="s">
        <v>1594</v>
      </c>
      <c r="Y1107" s="152" t="s">
        <v>3365</v>
      </c>
      <c r="Z1107" s="152" t="s">
        <v>1557</v>
      </c>
      <c r="AA1107" s="153" t="n">
        <v>3.6</v>
      </c>
      <c r="AB1107" s="151" t="s">
        <v>5750</v>
      </c>
      <c r="AC1107" s="151" t="s">
        <v>502</v>
      </c>
      <c r="AD1107" s="151" t="str">
        <f aca="false">CONCATENATE($C1107,$I1107,$H1107,$N1107,$J1107,$K1107)</f>
        <v>TUBO PEADPEAD110VCAREDESZona10</v>
      </c>
      <c r="AE1107" s="153" t="n">
        <f aca="false">IFERROR(INDEX(APOIO_REDES!$A:$W,MATCH($C1107&amp;$I1107&amp;$H1107&amp;$N1107&amp;$O1107,APOIO_REDES!$W:$W,0),MATCH(AE$5,APOIO_REDES!$5:$5,0)),0)</f>
        <v>1.2</v>
      </c>
      <c r="AF1107" s="153" t="n">
        <f aca="false">IFERROR(INDEX(APOIO_REDES!$A:$W,MATCH($C1107&amp;$I1107&amp;$H1107&amp;$N1107&amp;$O1107,APOIO_REDES!$W:$W,0),MATCH(AF$5,APOIO_REDES!$5:$5,0)),0)</f>
        <v>1.41</v>
      </c>
      <c r="AG1107" s="153" t="n">
        <f aca="false">IFERROR(INDEX(APOIO_REDES!$A:$W,MATCH($C1107&amp;$I1107&amp;$H1107&amp;$N1107&amp;$O1107,APOIO_REDES!$W:$W,0),MATCH(AG$5,APOIO_REDES!$5:$5,0)),0)</f>
        <v>0.75</v>
      </c>
      <c r="AH1107" s="153" t="n">
        <f aca="false">IFERROR(INDEX(APOIO_REDES!$A:$W,MATCH($C1107&amp;$I1107&amp;$H1107&amp;$N1107&amp;$O1107,APOIO_REDES!$W:$W,0),MATCH(AH$5,APOIO_REDES!$5:$5,0)),0)</f>
        <v>0.1</v>
      </c>
      <c r="AI1107" s="153" t="n">
        <f aca="false">IFERROR(IF($H1107&lt;&gt;"",(((($H1107/1000)/2)^2)*PI()*$M1107),0),0)</f>
        <v>0.406646967682499</v>
      </c>
      <c r="AJ1107" s="153" t="n">
        <f aca="false">IFERROR(IF(AND($H1107&lt;&gt;"",$I1107="FoFo",OR($N1107="MND",$N1107="VCA"),$Q1107="LINEAR"),0,IF(AND($H1107&lt;&gt;"",$I1107="PEAD",$N1107="VCA",$Q1107="LINEAR"),($H1107/1000)+0.3,IF(AND($H1107&lt;&gt;"",$I1107="PEAD",$N1107="MND",$Q1107="EMBOQUE"),0,IF(AND($H1107&lt;&gt;"",$I1107="PVC",$N1107="VCA",$Q1107="LINEAR"),($H1107/1000)+0.2,IF(AND($H1107&lt;&gt;"",$I1107="PVC",$N1107="MND",$Q1107="EMBOQUE"),0,IF(AND($H1107&lt;&gt;"",$I1107="PEAD",$N1107="VCA",$Q1107="PREDIAL"),0,0)))))),0)</f>
        <v>0.41</v>
      </c>
      <c r="AK1107" s="153" t="n">
        <f aca="false">IF(AA1107&lt;&gt;"",AA1107,0)</f>
        <v>3.6</v>
      </c>
      <c r="AL1107" s="153" t="n">
        <f aca="false">IF(AND($N1107="MND",$Q1107="EMBOQUE"),$M1107,IF(AND($N1107="VCA",$Q1107="LINEAR"),$M1107,IF(AND($N1107="VCA",$Q1107="PREDIAL"),0,0)))</f>
        <v>42.79</v>
      </c>
      <c r="AM1107" s="153" t="n">
        <f aca="false">IF(AND($N1107="MND",$Q1107="EMBOQUE"),$M1107,IF(AND($N1107="VCA",$Q1107="LINEAR"),$M1107,IF(AND($N1107="VCA",$Q1107="PREDIAL"),0,0)))</f>
        <v>42.79</v>
      </c>
      <c r="AN1107" s="153" t="n">
        <f aca="false">ROUND(IF(AND($N1107="VCA",$M1107&lt;&gt;"",$Q1107="LINEAR"),$M1107/100,IF(AND($N1107="MND",$M1107&gt;100,$Q1107="EMBOQUE"),$M1107/100,0)),0)</f>
        <v>0</v>
      </c>
      <c r="AO1107" s="153" t="n">
        <f aca="false">IF(AND($N1107="MND",$Q1107="EMBOQUE"),$AN1107*2*2,IF(AND($N1107="VCA",$Q1107="LINEAR"),$M1107*2,IF(AND($N1107="VCA",$Q1107="PREDIAL"),0,0)))</f>
        <v>85.58</v>
      </c>
      <c r="AP1107" s="153" t="n">
        <f aca="false">IFERROR($M1107*$AF1107*$AG1107,0)</f>
        <v>45.250425</v>
      </c>
      <c r="AQ1107" s="153" t="n">
        <f aca="false">IFERROR(IF(AND($N1107="VCA",$AH1107&gt;0),$M1107*$AG1107*$AH1107,0),0)</f>
        <v>3.20925</v>
      </c>
      <c r="AR1107" s="153" t="n">
        <f aca="false">IFERROR(IF(AND($N1107="VCA",$AJ1107&gt;0),($M1107*$AG1107*$AJ1107)-$AI1107,0),0)</f>
        <v>12.7512780323175</v>
      </c>
      <c r="AS1107" s="153" t="n">
        <f aca="false">IFERROR(IF(AND($N1107="VCA",$AP1107&gt;0),$AP1107-$AI1107-$AQ1107-$AR1107,0),0)</f>
        <v>28.88325</v>
      </c>
      <c r="AT1107" s="153" t="n">
        <f aca="false">IFERROR(IF($N1107="VCA",INDEX(APOIO_REDES!$A:$W,MATCH($C1107&amp;$I1107&amp;$H1107&amp;$N1107&amp;$O1107,APOIO_REDES!$W:$W,0),MATCH(AT$5,APOIO_REDES!$5:$5,0)),0)*$AP1107,0)</f>
        <v>0.492338017442133</v>
      </c>
      <c r="AU1107" s="153" t="n">
        <f aca="false">IFERROR(IF($N1107="VCA",INDEX(APOIO_REDES!$A:$W,MATCH($C1107&amp;$I1107&amp;$H1107&amp;$N1107&amp;$O1107,APOIO_REDES!$W:$W,0),MATCH(AU$5,APOIO_REDES!$5:$5,0)),0)*$AP1107,0)</f>
        <v>0.393167806524725</v>
      </c>
      <c r="AV1107" s="153" t="n">
        <f aca="false">IFERROR(IF($N1107="VCA",INDEX(APOIO_REDES!$A:$W,MATCH($C1107&amp;$I1107&amp;$H1107&amp;$N1107&amp;$O1107,APOIO_REDES!$W:$W,0),MATCH(AV$5,APOIO_REDES!$5:$5,0)),0)*$AP1107,0)</f>
        <v>0.0544113379347254</v>
      </c>
      <c r="AW1107" s="153" t="n">
        <f aca="false">IFERROR(IF($N1107="VCA",INDEX(APOIO_REDES!$A:$W,MATCH($C1107&amp;$I1107&amp;$H1107&amp;$N1107&amp;$O1107,APOIO_REDES!$W:$W,0),MATCH(AW$5,APOIO_REDES!$5:$5,0)),0)*$AP1107,0)</f>
        <v>31.0602423374022</v>
      </c>
      <c r="AX1107" s="153" t="n">
        <f aca="false">IFERROR(IF($N1107="VCA",INDEX(APOIO_REDES!$A:$W,MATCH($C1107&amp;$I1107&amp;$H1107&amp;$N1107&amp;$O1107,APOIO_REDES!$W:$W,0),MATCH(AX$5,APOIO_REDES!$5:$5,0)),0)*$AP1107,0)</f>
        <v>4.2986490627214</v>
      </c>
      <c r="AY1107" s="153" t="n">
        <f aca="false">IFERROR(IF($N1107="VCA",INDEX(APOIO_REDES!$A:$W,MATCH($C1107&amp;$I1107&amp;$H1107&amp;$N1107&amp;$O1107,APOIO_REDES!$W:$W,0),MATCH(AY$5,APOIO_REDES!$5:$5,0)),0)*$AP1107,0)</f>
        <v>7.86335133781081</v>
      </c>
      <c r="AZ1107" s="153" t="n">
        <f aca="false">IFERROR(IF($N1107="VCA",INDEX(APOIO_REDES!$A:$W,MATCH($C1107&amp;$I1107&amp;$H1107&amp;$N1107&amp;$O1107,APOIO_REDES!$W:$W,0),MATCH(AZ$5,APOIO_REDES!$5:$5,0)),0)*$AP1107,0)</f>
        <v>1.08826510016403</v>
      </c>
      <c r="BA1107" s="153" t="n">
        <f aca="false">IFERROR(IF(AND($N1107="VCA",$Q1107="LINEAR"),INDEX(APOIO_REDES!$A:$W,MATCH($C1107&amp;$I1107&amp;$H1107&amp;$N1107&amp;$O1107,APOIO_REDES!$W:$W,0),MATCH(BA$5,APOIO_REDES!$5:$5,0)),IF(AND($N1107="MND",$Q1107="EMBOQUE"),INDEX(APOIO_REDES!$A:$W,MATCH($C1107&amp;$I1107&amp;$H1107&amp;$N1107&amp;$O1107,APOIO_REDES!$W:$W,0),MATCH(BA$5,APOIO_REDES!$5:$5,0)),0))*$M1107/10,0)</f>
        <v>3.4487660656388</v>
      </c>
      <c r="BB1107" s="153" t="n">
        <f aca="false">IFERROR(IF($N1107="VCA",INDEX(APOIO_REDES!$A:$W,MATCH($C1107&amp;$I1107&amp;$H1107&amp;$N1107&amp;$O1107,APOIO_REDES!$W:$W,0),MATCH(BB$5,APOIO_REDES!$5:$5,0)),0)*($AI1107+$AQ1107+$AR1107),0)</f>
        <v>16.1890952915635</v>
      </c>
      <c r="BC1107" s="153" t="n">
        <f aca="false">IFERROR(IF($N1107="VCA",INDEX(APOIO_REDES!$A:$W,MATCH($C1107&amp;$I1107&amp;$H1107&amp;$N1107&amp;$O1107,APOIO_REDES!$W:$W,0),MATCH(BC$5,APOIO_REDES!$5:$5,0)),0)*($AI1107+$AQ1107+$AR1107),0)</f>
        <v>0.178079708436516</v>
      </c>
      <c r="BD1107" s="153" t="n">
        <f aca="false">IF(AND($N1107="VCA",$AF1107&gt;=1.25,$AF1107&lt;1.5),$M1107*$AF1107*2,0)</f>
        <v>120.6678</v>
      </c>
      <c r="BE1107" s="153" t="n">
        <f aca="false">IF(AND($N1107="VCA",$AF1107&gt;=1.5,$AF1107&lt;3),$M1107*$AF1107*2,0)</f>
        <v>0</v>
      </c>
      <c r="BF1107" s="153" t="n">
        <f aca="false">IF(AND($N1107="VCA",$AF1107&gt;=3),$M1107*$AF1107*2,0)</f>
        <v>0</v>
      </c>
      <c r="BG1107" s="153" t="n">
        <f aca="false">($BB1107+$BC1107)*$AK1107</f>
        <v>58.92183</v>
      </c>
      <c r="BH1107" s="153" t="n">
        <f aca="false">IF(AND($M1107&lt;&gt;"",$N1107="VCA",$Q1107="LINEAR"),($M1107*2)/100,IF(AND($M1107&lt;&gt;"",$N1107="MND",$Q1107="EMBOQUE"),($AN1107*2)/100,0))</f>
        <v>0.8558</v>
      </c>
      <c r="BI1107" s="153" t="n">
        <f aca="false">IF(AND($M1107&lt;&gt;"",$N1107="VCA",$Q1107="LINEAR"),$M1107,IF(AND($M1107&lt;&gt;"",$N1107="MND",$Q1107="EMBOQUE"),$AN1107*2,0))</f>
        <v>42.79</v>
      </c>
      <c r="BJ1107" s="153" t="n">
        <f aca="false">IF(AND($M1107&lt;&gt;"",$N1107="VCA",$Q1107="LINEAR"),($M1107*6.8)/100,IF(AND($M1107&lt;&gt;"",$N1107="MND",$Q1107="EMBOQUE"),($AN1107*2*6.8)/100,0))</f>
        <v>2.90972</v>
      </c>
      <c r="BK1107" s="153" t="n">
        <f aca="false">IF(AND($M1107&lt;&gt;"",$N1107="VCA",$Q1107="LINEAR"),($M1107*2.5)/50,IF(AND($M1107&lt;&gt;"",$N1107="MND",$Q1107="EMBOQUE"),($AN1107*2*2.5)/50,0))</f>
        <v>2.1395</v>
      </c>
      <c r="BL1107" s="157" t="str">
        <f aca="false">K1107&amp;J1107</f>
        <v>Zona10REDES</v>
      </c>
      <c r="BM1107" s="152" t="s">
        <v>5703</v>
      </c>
      <c r="BN1107" s="152" t="s">
        <v>1560</v>
      </c>
      <c r="BO1107" s="152" t="s">
        <v>2489</v>
      </c>
      <c r="BP1107" s="152" t="s">
        <v>5715</v>
      </c>
      <c r="BQ1107" s="152" t="s">
        <v>5720</v>
      </c>
      <c r="BR1107" s="152" t="s">
        <v>5751</v>
      </c>
      <c r="BS1107" s="152" t="n">
        <v>202952.429</v>
      </c>
      <c r="BT1107" s="152" t="n">
        <v>8237290.805</v>
      </c>
      <c r="BU1107" s="152" t="n">
        <v>202987.248</v>
      </c>
      <c r="BV1107" s="152" t="n">
        <v>8237265.944</v>
      </c>
      <c r="BW1107" s="152" t="n">
        <v>-15.9259791</v>
      </c>
      <c r="BX1107" s="152" t="n">
        <v>-47.7742568</v>
      </c>
      <c r="BY1107" s="152" t="s">
        <v>5715</v>
      </c>
    </row>
    <row r="1108" customFormat="false" ht="13.8" hidden="false" customHeight="false" outlineLevel="0" collapsed="false">
      <c r="A1108" s="149" t="n">
        <f aca="false">IF(C1108&lt;&gt;"",ROW(A1103),"")</f>
        <v>1103</v>
      </c>
      <c r="B1108" s="150" t="str">
        <f aca="false">HYPERLINK("https://www.google.com/maps/dir/-15.917302,-47.760003/-15.9260906,-47.7740937/data=!4m3!4m2!3e0!5i2")</f>
        <v>https://www.google.com/maps/dir/-15.917302,-47.760003/-15.9260906,-47.7740937/data=!4m3!4m2!3e0!5i2</v>
      </c>
      <c r="C1108" s="151" t="s">
        <v>117</v>
      </c>
      <c r="D1108" s="152" t="s">
        <v>112</v>
      </c>
      <c r="E1108" s="152" t="s">
        <v>113</v>
      </c>
      <c r="F1108" s="152" t="s">
        <v>117</v>
      </c>
      <c r="G1108" s="152" t="s">
        <v>782</v>
      </c>
      <c r="H1108" s="152" t="n">
        <v>110</v>
      </c>
      <c r="I1108" s="152" t="s">
        <v>115</v>
      </c>
      <c r="J1108" s="152" t="s">
        <v>6</v>
      </c>
      <c r="K1108" s="152" t="s">
        <v>5700</v>
      </c>
      <c r="L1108" s="152" t="s">
        <v>120</v>
      </c>
      <c r="M1108" s="153" t="n">
        <f aca="false">80.15</f>
        <v>80.15</v>
      </c>
      <c r="N1108" s="152" t="s">
        <v>1548</v>
      </c>
      <c r="O1108" s="152" t="s">
        <v>1549</v>
      </c>
      <c r="P1108" s="152" t="s">
        <v>1550</v>
      </c>
      <c r="Q1108" s="152" t="s">
        <v>1551</v>
      </c>
      <c r="R1108" s="154" t="s">
        <v>5752</v>
      </c>
      <c r="S1108" s="154" t="s">
        <v>1593</v>
      </c>
      <c r="T1108" s="155" t="s">
        <v>2487</v>
      </c>
      <c r="U1108" s="152" t="str">
        <f aca="false">RIGHT(T1108,7)</f>
        <v>011/037</v>
      </c>
      <c r="V1108" s="152" t="s">
        <v>1555</v>
      </c>
      <c r="W1108" s="156" t="n">
        <v>45882</v>
      </c>
      <c r="X1108" s="152" t="s">
        <v>1594</v>
      </c>
      <c r="Y1108" s="152" t="s">
        <v>3365</v>
      </c>
      <c r="Z1108" s="152" t="s">
        <v>1557</v>
      </c>
      <c r="AA1108" s="153" t="n">
        <v>3.6</v>
      </c>
      <c r="AB1108" s="151" t="s">
        <v>5753</v>
      </c>
      <c r="AC1108" s="151" t="s">
        <v>502</v>
      </c>
      <c r="AD1108" s="151" t="str">
        <f aca="false">CONCATENATE($C1108,$I1108,$H1108,$N1108,$J1108,$K1108)</f>
        <v>TUBO PEADPEAD110VCAREDESZona10</v>
      </c>
      <c r="AE1108" s="153" t="n">
        <f aca="false">IFERROR(INDEX(APOIO_REDES!$A:$W,MATCH($C1108&amp;$I1108&amp;$H1108&amp;$N1108&amp;$O1108,APOIO_REDES!$W:$W,0),MATCH(AE$5,APOIO_REDES!$5:$5,0)),0)</f>
        <v>1.2</v>
      </c>
      <c r="AF1108" s="153" t="n">
        <f aca="false">IFERROR(INDEX(APOIO_REDES!$A:$W,MATCH($C1108&amp;$I1108&amp;$H1108&amp;$N1108&amp;$O1108,APOIO_REDES!$W:$W,0),MATCH(AF$5,APOIO_REDES!$5:$5,0)),0)</f>
        <v>1.41</v>
      </c>
      <c r="AG1108" s="153" t="n">
        <f aca="false">IFERROR(INDEX(APOIO_REDES!$A:$W,MATCH($C1108&amp;$I1108&amp;$H1108&amp;$N1108&amp;$O1108,APOIO_REDES!$W:$W,0),MATCH(AG$5,APOIO_REDES!$5:$5,0)),0)</f>
        <v>0.75</v>
      </c>
      <c r="AH1108" s="153" t="n">
        <f aca="false">IFERROR(INDEX(APOIO_REDES!$A:$W,MATCH($C1108&amp;$I1108&amp;$H1108&amp;$N1108&amp;$O1108,APOIO_REDES!$W:$W,0),MATCH(AH$5,APOIO_REDES!$5:$5,0)),0)</f>
        <v>0.1</v>
      </c>
      <c r="AI1108" s="153" t="n">
        <f aca="false">IFERROR(IF($H1108&lt;&gt;"",(((($H1108/1000)/2)^2)*PI()*$M1108),0),0)</f>
        <v>0.761690919835296</v>
      </c>
      <c r="AJ1108" s="153" t="n">
        <f aca="false">IFERROR(IF(AND($H1108&lt;&gt;"",$I1108="FoFo",OR($N1108="MND",$N1108="VCA"),$Q1108="LINEAR"),0,IF(AND($H1108&lt;&gt;"",$I1108="PEAD",$N1108="VCA",$Q1108="LINEAR"),($H1108/1000)+0.3,IF(AND($H1108&lt;&gt;"",$I1108="PEAD",$N1108="MND",$Q1108="EMBOQUE"),0,IF(AND($H1108&lt;&gt;"",$I1108="PVC",$N1108="VCA",$Q1108="LINEAR"),($H1108/1000)+0.2,IF(AND($H1108&lt;&gt;"",$I1108="PVC",$N1108="MND",$Q1108="EMBOQUE"),0,IF(AND($H1108&lt;&gt;"",$I1108="PEAD",$N1108="VCA",$Q1108="PREDIAL"),0,0)))))),0)</f>
        <v>0.41</v>
      </c>
      <c r="AK1108" s="153" t="n">
        <f aca="false">IF(AA1108&lt;&gt;"",AA1108,0)</f>
        <v>3.6</v>
      </c>
      <c r="AL1108" s="153" t="n">
        <f aca="false">IF(AND($N1108="MND",$Q1108="EMBOQUE"),$M1108,IF(AND($N1108="VCA",$Q1108="LINEAR"),$M1108,IF(AND($N1108="VCA",$Q1108="PREDIAL"),0,0)))</f>
        <v>80.15</v>
      </c>
      <c r="AM1108" s="153" t="n">
        <f aca="false">IF(AND($N1108="MND",$Q1108="EMBOQUE"),$M1108,IF(AND($N1108="VCA",$Q1108="LINEAR"),$M1108,IF(AND($N1108="VCA",$Q1108="PREDIAL"),0,0)))</f>
        <v>80.15</v>
      </c>
      <c r="AN1108" s="153" t="n">
        <f aca="false">ROUND(IF(AND($N1108="VCA",$M1108&lt;&gt;"",$Q1108="LINEAR"),$M1108/100,IF(AND($N1108="MND",$M1108&gt;100,$Q1108="EMBOQUE"),$M1108/100,0)),0)</f>
        <v>1</v>
      </c>
      <c r="AO1108" s="153" t="n">
        <f aca="false">IF(AND($N1108="MND",$Q1108="EMBOQUE"),$AN1108*2*2,IF(AND($N1108="VCA",$Q1108="LINEAR"),$M1108*2,IF(AND($N1108="VCA",$Q1108="PREDIAL"),0,0)))</f>
        <v>160.3</v>
      </c>
      <c r="AP1108" s="153" t="n">
        <f aca="false">IFERROR($M1108*$AF1108*$AG1108,0)</f>
        <v>84.758625</v>
      </c>
      <c r="AQ1108" s="153" t="n">
        <f aca="false">IFERROR(IF(AND($N1108="VCA",$AH1108&gt;0),$M1108*$AG1108*$AH1108,0),0)</f>
        <v>6.01125</v>
      </c>
      <c r="AR1108" s="153" t="n">
        <f aca="false">IFERROR(IF(AND($N1108="VCA",$AJ1108&gt;0),($M1108*$AG1108*$AJ1108)-$AI1108,0),0)</f>
        <v>23.8844340801647</v>
      </c>
      <c r="AS1108" s="153" t="n">
        <f aca="false">IFERROR(IF(AND($N1108="VCA",$AP1108&gt;0),$AP1108-$AI1108-$AQ1108-$AR1108,0),0)</f>
        <v>54.10125</v>
      </c>
      <c r="AT1108" s="153" t="n">
        <f aca="false">IFERROR(IF($N1108="VCA",INDEX(APOIO_REDES!$A:$W,MATCH($C1108&amp;$I1108&amp;$H1108&amp;$N1108&amp;$O1108,APOIO_REDES!$W:$W,0),MATCH(AT$5,APOIO_REDES!$5:$5,0)),0)*$AP1108,0)</f>
        <v>0.922198927272423</v>
      </c>
      <c r="AU1108" s="153" t="n">
        <f aca="false">IFERROR(IF($N1108="VCA",INDEX(APOIO_REDES!$A:$W,MATCH($C1108&amp;$I1108&amp;$H1108&amp;$N1108&amp;$O1108,APOIO_REDES!$W:$W,0),MATCH(AU$5,APOIO_REDES!$5:$5,0)),0)*$AP1108,0)</f>
        <v>0.736443087005298</v>
      </c>
      <c r="AV1108" s="153" t="n">
        <f aca="false">IFERROR(IF($N1108="VCA",INDEX(APOIO_REDES!$A:$W,MATCH($C1108&amp;$I1108&amp;$H1108&amp;$N1108&amp;$O1108,APOIO_REDES!$W:$W,0),MATCH(AV$5,APOIO_REDES!$5:$5,0)),0)*$AP1108,0)</f>
        <v>0.101917941936626</v>
      </c>
      <c r="AW1108" s="153" t="n">
        <f aca="false">IFERROR(IF($N1108="VCA",INDEX(APOIO_REDES!$A:$W,MATCH($C1108&amp;$I1108&amp;$H1108&amp;$N1108&amp;$O1108,APOIO_REDES!$W:$W,0),MATCH(AW$5,APOIO_REDES!$5:$5,0)),0)*$AP1108,0)</f>
        <v>58.1789769418739</v>
      </c>
      <c r="AX1108" s="153" t="n">
        <f aca="false">IFERROR(IF($N1108="VCA",INDEX(APOIO_REDES!$A:$W,MATCH($C1108&amp;$I1108&amp;$H1108&amp;$N1108&amp;$O1108,APOIO_REDES!$W:$W,0),MATCH(AX$5,APOIO_REDES!$5:$5,0)),0)*$AP1108,0)</f>
        <v>8.05180468280252</v>
      </c>
      <c r="AY1108" s="153" t="n">
        <f aca="false">IFERROR(IF($N1108="VCA",INDEX(APOIO_REDES!$A:$W,MATCH($C1108&amp;$I1108&amp;$H1108&amp;$N1108&amp;$O1108,APOIO_REDES!$W:$W,0),MATCH(AY$5,APOIO_REDES!$5:$5,0)),0)*$AP1108,0)</f>
        <v>14.7288527629244</v>
      </c>
      <c r="AZ1108" s="153" t="n">
        <f aca="false">IFERROR(IF($N1108="VCA",INDEX(APOIO_REDES!$A:$W,MATCH($C1108&amp;$I1108&amp;$H1108&amp;$N1108&amp;$O1108,APOIO_REDES!$W:$W,0),MATCH(AZ$5,APOIO_REDES!$5:$5,0)),0)*$AP1108,0)</f>
        <v>2.03843065618479</v>
      </c>
      <c r="BA1108" s="153" t="n">
        <f aca="false">IFERROR(IF(AND($N1108="VCA",$Q1108="LINEAR"),INDEX(APOIO_REDES!$A:$W,MATCH($C1108&amp;$I1108&amp;$H1108&amp;$N1108&amp;$O1108,APOIO_REDES!$W:$W,0),MATCH(BA$5,APOIO_REDES!$5:$5,0)),IF(AND($N1108="MND",$Q1108="EMBOQUE"),INDEX(APOIO_REDES!$A:$W,MATCH($C1108&amp;$I1108&amp;$H1108&amp;$N1108&amp;$O1108,APOIO_REDES!$W:$W,0),MATCH(BA$5,APOIO_REDES!$5:$5,0)),0))*$M1108/10,0)</f>
        <v>6.45988782801939</v>
      </c>
      <c r="BB1108" s="153" t="n">
        <f aca="false">IFERROR(IF($N1108="VCA",INDEX(APOIO_REDES!$A:$W,MATCH($C1108&amp;$I1108&amp;$H1108&amp;$N1108&amp;$O1108,APOIO_REDES!$W:$W,0),MATCH(BB$5,APOIO_REDES!$5:$5,0)),0)*($AI1108+$AQ1108+$AR1108),0)</f>
        <v>30.3238136858802</v>
      </c>
      <c r="BC1108" s="153" t="n">
        <f aca="false">IFERROR(IF($N1108="VCA",INDEX(APOIO_REDES!$A:$W,MATCH($C1108&amp;$I1108&amp;$H1108&amp;$N1108&amp;$O1108,APOIO_REDES!$W:$W,0),MATCH(BC$5,APOIO_REDES!$5:$5,0)),0)*($AI1108+$AQ1108+$AR1108),0)</f>
        <v>0.333561314119813</v>
      </c>
      <c r="BD1108" s="153" t="n">
        <f aca="false">IF(AND($N1108="VCA",$AF1108&gt;=1.25,$AF1108&lt;1.5),$M1108*$AF1108*2,0)</f>
        <v>226.023</v>
      </c>
      <c r="BE1108" s="153" t="n">
        <f aca="false">IF(AND($N1108="VCA",$AF1108&gt;=1.5,$AF1108&lt;3),$M1108*$AF1108*2,0)</f>
        <v>0</v>
      </c>
      <c r="BF1108" s="153" t="n">
        <f aca="false">IF(AND($N1108="VCA",$AF1108&gt;=3),$M1108*$AF1108*2,0)</f>
        <v>0</v>
      </c>
      <c r="BG1108" s="153" t="n">
        <f aca="false">($BB1108+$BC1108)*$AK1108</f>
        <v>110.36655</v>
      </c>
      <c r="BH1108" s="153" t="n">
        <f aca="false">IF(AND($M1108&lt;&gt;"",$N1108="VCA",$Q1108="LINEAR"),($M1108*2)/100,IF(AND($M1108&lt;&gt;"",$N1108="MND",$Q1108="EMBOQUE"),($AN1108*2)/100,0))</f>
        <v>1.603</v>
      </c>
      <c r="BI1108" s="153" t="n">
        <f aca="false">IF(AND($M1108&lt;&gt;"",$N1108="VCA",$Q1108="LINEAR"),$M1108,IF(AND($M1108&lt;&gt;"",$N1108="MND",$Q1108="EMBOQUE"),$AN1108*2,0))</f>
        <v>80.15</v>
      </c>
      <c r="BJ1108" s="153" t="n">
        <f aca="false">IF(AND($M1108&lt;&gt;"",$N1108="VCA",$Q1108="LINEAR"),($M1108*6.8)/100,IF(AND($M1108&lt;&gt;"",$N1108="MND",$Q1108="EMBOQUE"),($AN1108*2*6.8)/100,0))</f>
        <v>5.4502</v>
      </c>
      <c r="BK1108" s="153" t="n">
        <f aca="false">IF(AND($M1108&lt;&gt;"",$N1108="VCA",$Q1108="LINEAR"),($M1108*2.5)/50,IF(AND($M1108&lt;&gt;"",$N1108="MND",$Q1108="EMBOQUE"),($AN1108*2*2.5)/50,0))</f>
        <v>4.0075</v>
      </c>
      <c r="BL1108" s="157" t="str">
        <f aca="false">K1108&amp;J1108</f>
        <v>Zona10REDES</v>
      </c>
      <c r="BM1108" s="152" t="s">
        <v>5703</v>
      </c>
      <c r="BN1108" s="152" t="s">
        <v>1560</v>
      </c>
      <c r="BO1108" s="152" t="s">
        <v>2489</v>
      </c>
      <c r="BP1108" s="152" t="s">
        <v>5720</v>
      </c>
      <c r="BQ1108" s="152" t="s">
        <v>5739</v>
      </c>
      <c r="BR1108" s="152" t="s">
        <v>5754</v>
      </c>
      <c r="BS1108" s="152" t="n">
        <v>202987.248</v>
      </c>
      <c r="BT1108" s="152" t="n">
        <v>8237265.944</v>
      </c>
      <c r="BU1108" s="152" t="n">
        <v>203053.487</v>
      </c>
      <c r="BV1108" s="152" t="n">
        <v>8237220.869</v>
      </c>
      <c r="BW1108" s="152" t="n">
        <v>-15.9263012</v>
      </c>
      <c r="BX1108" s="152" t="n">
        <v>-47.7737897</v>
      </c>
      <c r="BY1108" s="152" t="s">
        <v>5720</v>
      </c>
    </row>
    <row r="1109" customFormat="false" ht="13.8" hidden="false" customHeight="false" outlineLevel="0" collapsed="false">
      <c r="A1109" s="149" t="n">
        <f aca="false">IF(C1109&lt;&gt;"",ROW(A1104),"")</f>
        <v>1104</v>
      </c>
      <c r="B1109" s="150" t="str">
        <f aca="false">HYPERLINK("https://www.google.com/maps/dir/-15.917302,-47.760003/-15.9265056,-47.7734811/data=!4m3!4m2!3e0!5i2")</f>
        <v>https://www.google.com/maps/dir/-15.917302,-47.760003/-15.9265056,-47.7734811/data=!4m3!4m2!3e0!5i2</v>
      </c>
      <c r="C1109" s="151" t="s">
        <v>117</v>
      </c>
      <c r="D1109" s="152" t="s">
        <v>112</v>
      </c>
      <c r="E1109" s="152" t="s">
        <v>113</v>
      </c>
      <c r="F1109" s="152" t="s">
        <v>117</v>
      </c>
      <c r="G1109" s="152" t="s">
        <v>782</v>
      </c>
      <c r="H1109" s="152" t="n">
        <v>110</v>
      </c>
      <c r="I1109" s="152" t="s">
        <v>115</v>
      </c>
      <c r="J1109" s="152" t="s">
        <v>6</v>
      </c>
      <c r="K1109" s="152" t="s">
        <v>5700</v>
      </c>
      <c r="L1109" s="152" t="s">
        <v>120</v>
      </c>
      <c r="M1109" s="153" t="n">
        <f aca="false">26.04</f>
        <v>26.04</v>
      </c>
      <c r="N1109" s="152" t="s">
        <v>1548</v>
      </c>
      <c r="O1109" s="152" t="s">
        <v>1549</v>
      </c>
      <c r="P1109" s="152" t="s">
        <v>1550</v>
      </c>
      <c r="Q1109" s="152" t="s">
        <v>1551</v>
      </c>
      <c r="R1109" s="154" t="s">
        <v>5755</v>
      </c>
      <c r="S1109" s="154" t="s">
        <v>1593</v>
      </c>
      <c r="T1109" s="155" t="s">
        <v>2487</v>
      </c>
      <c r="U1109" s="152" t="str">
        <f aca="false">RIGHT(T1109,7)</f>
        <v>011/037</v>
      </c>
      <c r="V1109" s="152" t="s">
        <v>1555</v>
      </c>
      <c r="W1109" s="156" t="n">
        <v>45882</v>
      </c>
      <c r="X1109" s="152" t="s">
        <v>1594</v>
      </c>
      <c r="Y1109" s="152" t="s">
        <v>4828</v>
      </c>
      <c r="Z1109" s="152" t="s">
        <v>1557</v>
      </c>
      <c r="AA1109" s="153" t="n">
        <v>3.7</v>
      </c>
      <c r="AB1109" s="151" t="s">
        <v>5756</v>
      </c>
      <c r="AC1109" s="151" t="s">
        <v>502</v>
      </c>
      <c r="AD1109" s="151" t="str">
        <f aca="false">CONCATENATE($C1109,$I1109,$H1109,$N1109,$J1109,$K1109)</f>
        <v>TUBO PEADPEAD110VCAREDESZona10</v>
      </c>
      <c r="AE1109" s="153" t="n">
        <f aca="false">IFERROR(INDEX(APOIO_REDES!$A:$W,MATCH($C1109&amp;$I1109&amp;$H1109&amp;$N1109&amp;$O1109,APOIO_REDES!$W:$W,0),MATCH(AE$5,APOIO_REDES!$5:$5,0)),0)</f>
        <v>1.2</v>
      </c>
      <c r="AF1109" s="153" t="n">
        <f aca="false">IFERROR(INDEX(APOIO_REDES!$A:$W,MATCH($C1109&amp;$I1109&amp;$H1109&amp;$N1109&amp;$O1109,APOIO_REDES!$W:$W,0),MATCH(AF$5,APOIO_REDES!$5:$5,0)),0)</f>
        <v>1.41</v>
      </c>
      <c r="AG1109" s="153" t="n">
        <f aca="false">IFERROR(INDEX(APOIO_REDES!$A:$W,MATCH($C1109&amp;$I1109&amp;$H1109&amp;$N1109&amp;$O1109,APOIO_REDES!$W:$W,0),MATCH(AG$5,APOIO_REDES!$5:$5,0)),0)</f>
        <v>0.75</v>
      </c>
      <c r="AH1109" s="153" t="n">
        <f aca="false">IFERROR(INDEX(APOIO_REDES!$A:$W,MATCH($C1109&amp;$I1109&amp;$H1109&amp;$N1109&amp;$O1109,APOIO_REDES!$W:$W,0),MATCH(AH$5,APOIO_REDES!$5:$5,0)),0)</f>
        <v>0.1</v>
      </c>
      <c r="AI1109" s="153" t="n">
        <f aca="false">IFERROR(IF($H1109&lt;&gt;"",(((($H1109/1000)/2)^2)*PI()*$M1109),0),0)</f>
        <v>0.247466394915922</v>
      </c>
      <c r="AJ1109" s="153" t="n">
        <f aca="false">IFERROR(IF(AND($H1109&lt;&gt;"",$I1109="FoFo",OR($N1109="MND",$N1109="VCA"),$Q1109="LINEAR"),0,IF(AND($H1109&lt;&gt;"",$I1109="PEAD",$N1109="VCA",$Q1109="LINEAR"),($H1109/1000)+0.3,IF(AND($H1109&lt;&gt;"",$I1109="PEAD",$N1109="MND",$Q1109="EMBOQUE"),0,IF(AND($H1109&lt;&gt;"",$I1109="PVC",$N1109="VCA",$Q1109="LINEAR"),($H1109/1000)+0.2,IF(AND($H1109&lt;&gt;"",$I1109="PVC",$N1109="MND",$Q1109="EMBOQUE"),0,IF(AND($H1109&lt;&gt;"",$I1109="PEAD",$N1109="VCA",$Q1109="PREDIAL"),0,0)))))),0)</f>
        <v>0.41</v>
      </c>
      <c r="AK1109" s="153" t="n">
        <f aca="false">IF(AA1109&lt;&gt;"",AA1109,0)</f>
        <v>3.7</v>
      </c>
      <c r="AL1109" s="153" t="n">
        <f aca="false">IF(AND($N1109="MND",$Q1109="EMBOQUE"),$M1109,IF(AND($N1109="VCA",$Q1109="LINEAR"),$M1109,IF(AND($N1109="VCA",$Q1109="PREDIAL"),0,0)))</f>
        <v>26.04</v>
      </c>
      <c r="AM1109" s="153" t="n">
        <f aca="false">IF(AND($N1109="MND",$Q1109="EMBOQUE"),$M1109,IF(AND($N1109="VCA",$Q1109="LINEAR"),$M1109,IF(AND($N1109="VCA",$Q1109="PREDIAL"),0,0)))</f>
        <v>26.04</v>
      </c>
      <c r="AN1109" s="153" t="n">
        <f aca="false">ROUND(IF(AND($N1109="VCA",$M1109&lt;&gt;"",$Q1109="LINEAR"),$M1109/100,IF(AND($N1109="MND",$M1109&gt;100,$Q1109="EMBOQUE"),$M1109/100,0)),0)</f>
        <v>0</v>
      </c>
      <c r="AO1109" s="153" t="n">
        <f aca="false">IF(AND($N1109="MND",$Q1109="EMBOQUE"),$AN1109*2*2,IF(AND($N1109="VCA",$Q1109="LINEAR"),$M1109*2,IF(AND($N1109="VCA",$Q1109="PREDIAL"),0,0)))</f>
        <v>52.08</v>
      </c>
      <c r="AP1109" s="153" t="n">
        <f aca="false">IFERROR($M1109*$AF1109*$AG1109,0)</f>
        <v>27.5373</v>
      </c>
      <c r="AQ1109" s="153" t="n">
        <f aca="false">IFERROR(IF(AND($N1109="VCA",$AH1109&gt;0),$M1109*$AG1109*$AH1109,0),0)</f>
        <v>1.953</v>
      </c>
      <c r="AR1109" s="153" t="n">
        <f aca="false">IFERROR(IF(AND($N1109="VCA",$AJ1109&gt;0),($M1109*$AG1109*$AJ1109)-$AI1109,0),0)</f>
        <v>7.75983360508408</v>
      </c>
      <c r="AS1109" s="153" t="n">
        <f aca="false">IFERROR(IF(AND($N1109="VCA",$AP1109&gt;0),$AP1109-$AI1109-$AQ1109-$AR1109,0),0)</f>
        <v>17.577</v>
      </c>
      <c r="AT1109" s="153" t="n">
        <f aca="false">IFERROR(IF($N1109="VCA",INDEX(APOIO_REDES!$A:$W,MATCH($C1109&amp;$I1109&amp;$H1109&amp;$N1109&amp;$O1109,APOIO_REDES!$W:$W,0),MATCH(AT$5,APOIO_REDES!$5:$5,0)),0)*$AP1109,0)</f>
        <v>0.299613974624752</v>
      </c>
      <c r="AU1109" s="153" t="n">
        <f aca="false">IFERROR(IF($N1109="VCA",INDEX(APOIO_REDES!$A:$W,MATCH($C1109&amp;$I1109&amp;$H1109&amp;$N1109&amp;$O1109,APOIO_REDES!$W:$W,0),MATCH(AU$5,APOIO_REDES!$5:$5,0)),0)*$AP1109,0)</f>
        <v>0.2392636055598</v>
      </c>
      <c r="AV1109" s="153" t="n">
        <f aca="false">IFERROR(IF($N1109="VCA",INDEX(APOIO_REDES!$A:$W,MATCH($C1109&amp;$I1109&amp;$H1109&amp;$N1109&amp;$O1109,APOIO_REDES!$W:$W,0),MATCH(AV$5,APOIO_REDES!$5:$5,0)),0)*$AP1109,0)</f>
        <v>0.0331122047165284</v>
      </c>
      <c r="AW1109" s="153" t="n">
        <f aca="false">IFERROR(IF($N1109="VCA",INDEX(APOIO_REDES!$A:$W,MATCH($C1109&amp;$I1109&amp;$H1109&amp;$N1109&amp;$O1109,APOIO_REDES!$W:$W,0),MATCH(AW$5,APOIO_REDES!$5:$5,0)),0)*$AP1109,0)</f>
        <v>18.9018160894123</v>
      </c>
      <c r="AX1109" s="153" t="n">
        <f aca="false">IFERROR(IF($N1109="VCA",INDEX(APOIO_REDES!$A:$W,MATCH($C1109&amp;$I1109&amp;$H1109&amp;$N1109&amp;$O1109,APOIO_REDES!$W:$W,0),MATCH(AX$5,APOIO_REDES!$5:$5,0)),0)*$AP1109,0)</f>
        <v>2.61595750393235</v>
      </c>
      <c r="AY1109" s="153" t="n">
        <f aca="false">IFERROR(IF($N1109="VCA",INDEX(APOIO_REDES!$A:$W,MATCH($C1109&amp;$I1109&amp;$H1109&amp;$N1109&amp;$O1109,APOIO_REDES!$W:$W,0),MATCH(AY$5,APOIO_REDES!$5:$5,0)),0)*$AP1109,0)</f>
        <v>4.78526919459204</v>
      </c>
      <c r="AZ1109" s="153" t="n">
        <f aca="false">IFERROR(IF($N1109="VCA",INDEX(APOIO_REDES!$A:$W,MATCH($C1109&amp;$I1109&amp;$H1109&amp;$N1109&amp;$O1109,APOIO_REDES!$W:$W,0),MATCH(AZ$5,APOIO_REDES!$5:$5,0)),0)*$AP1109,0)</f>
        <v>0.662267427162219</v>
      </c>
      <c r="BA1109" s="153" t="n">
        <f aca="false">IFERROR(IF(AND($N1109="VCA",$Q1109="LINEAR"),INDEX(APOIO_REDES!$A:$W,MATCH($C1109&amp;$I1109&amp;$H1109&amp;$N1109&amp;$O1109,APOIO_REDES!$W:$W,0),MATCH(BA$5,APOIO_REDES!$5:$5,0)),IF(AND($N1109="MND",$Q1109="EMBOQUE"),INDEX(APOIO_REDES!$A:$W,MATCH($C1109&amp;$I1109&amp;$H1109&amp;$N1109&amp;$O1109,APOIO_REDES!$W:$W,0),MATCH(BA$5,APOIO_REDES!$5:$5,0)),0))*$M1109/10,0)</f>
        <v>2.09875831617748</v>
      </c>
      <c r="BB1109" s="153" t="n">
        <f aca="false">IFERROR(IF($N1109="VCA",INDEX(APOIO_REDES!$A:$W,MATCH($C1109&amp;$I1109&amp;$H1109&amp;$N1109&amp;$O1109,APOIO_REDES!$W:$W,0),MATCH(BB$5,APOIO_REDES!$5:$5,0)),0)*($AI1109+$AQ1109+$AR1109),0)</f>
        <v>9.85192898790169</v>
      </c>
      <c r="BC1109" s="153" t="n">
        <f aca="false">IFERROR(IF($N1109="VCA",INDEX(APOIO_REDES!$A:$W,MATCH($C1109&amp;$I1109&amp;$H1109&amp;$N1109&amp;$O1109,APOIO_REDES!$W:$W,0),MATCH(BC$5,APOIO_REDES!$5:$5,0)),0)*($AI1109+$AQ1109+$AR1109),0)</f>
        <v>0.108371012098315</v>
      </c>
      <c r="BD1109" s="153" t="n">
        <f aca="false">IF(AND($N1109="VCA",$AF1109&gt;=1.25,$AF1109&lt;1.5),$M1109*$AF1109*2,0)</f>
        <v>73.4328</v>
      </c>
      <c r="BE1109" s="153" t="n">
        <f aca="false">IF(AND($N1109="VCA",$AF1109&gt;=1.5,$AF1109&lt;3),$M1109*$AF1109*2,0)</f>
        <v>0</v>
      </c>
      <c r="BF1109" s="153" t="n">
        <f aca="false">IF(AND($N1109="VCA",$AF1109&gt;=3),$M1109*$AF1109*2,0)</f>
        <v>0</v>
      </c>
      <c r="BG1109" s="153" t="n">
        <f aca="false">($BB1109+$BC1109)*$AK1109</f>
        <v>36.85311</v>
      </c>
      <c r="BH1109" s="153" t="n">
        <f aca="false">IF(AND($M1109&lt;&gt;"",$N1109="VCA",$Q1109="LINEAR"),($M1109*2)/100,IF(AND($M1109&lt;&gt;"",$N1109="MND",$Q1109="EMBOQUE"),($AN1109*2)/100,0))</f>
        <v>0.5208</v>
      </c>
      <c r="BI1109" s="153" t="n">
        <f aca="false">IF(AND($M1109&lt;&gt;"",$N1109="VCA",$Q1109="LINEAR"),$M1109,IF(AND($M1109&lt;&gt;"",$N1109="MND",$Q1109="EMBOQUE"),$AN1109*2,0))</f>
        <v>26.04</v>
      </c>
      <c r="BJ1109" s="153" t="n">
        <f aca="false">IF(AND($M1109&lt;&gt;"",$N1109="VCA",$Q1109="LINEAR"),($M1109*6.8)/100,IF(AND($M1109&lt;&gt;"",$N1109="MND",$Q1109="EMBOQUE"),($AN1109*2*6.8)/100,0))</f>
        <v>1.77072</v>
      </c>
      <c r="BK1109" s="153" t="n">
        <f aca="false">IF(AND($M1109&lt;&gt;"",$N1109="VCA",$Q1109="LINEAR"),($M1109*2.5)/50,IF(AND($M1109&lt;&gt;"",$N1109="MND",$Q1109="EMBOQUE"),($AN1109*2*2.5)/50,0))</f>
        <v>1.302</v>
      </c>
      <c r="BL1109" s="157" t="str">
        <f aca="false">K1109&amp;J1109</f>
        <v>Zona10REDES</v>
      </c>
      <c r="BM1109" s="152" t="s">
        <v>5703</v>
      </c>
      <c r="BN1109" s="152" t="s">
        <v>1560</v>
      </c>
      <c r="BO1109" s="152" t="s">
        <v>2489</v>
      </c>
      <c r="BP1109" s="152" t="s">
        <v>5739</v>
      </c>
      <c r="BQ1109" s="152" t="s">
        <v>5744</v>
      </c>
      <c r="BR1109" s="152" t="s">
        <v>5757</v>
      </c>
      <c r="BS1109" s="152" t="n">
        <v>203053.487</v>
      </c>
      <c r="BT1109" s="152" t="n">
        <v>8237220.869</v>
      </c>
      <c r="BU1109" s="152" t="n">
        <v>203074.831</v>
      </c>
      <c r="BV1109" s="152" t="n">
        <v>8237205.968</v>
      </c>
      <c r="BW1109" s="152" t="n">
        <v>-15.9265721</v>
      </c>
      <c r="BX1109" s="152" t="n">
        <v>-47.773381</v>
      </c>
      <c r="BY1109" s="152" t="s">
        <v>5739</v>
      </c>
    </row>
    <row r="1110" customFormat="false" ht="13.8" hidden="false" customHeight="false" outlineLevel="0" collapsed="false">
      <c r="A1110" s="149" t="n">
        <f aca="false">IF(C1110&lt;&gt;"",ROW(A1105),"")</f>
        <v>1105</v>
      </c>
      <c r="B1110" s="150" t="str">
        <f aca="false">HYPERLINK("https://www.google.com/maps/dir/-15.917302,-47.760003/-15.9266427,-47.7732838/data=!4m3!4m2!3e0!5i2")</f>
        <v>https://www.google.com/maps/dir/-15.917302,-47.760003/-15.9266427,-47.7732838/data=!4m3!4m2!3e0!5i2</v>
      </c>
      <c r="C1110" s="151" t="s">
        <v>117</v>
      </c>
      <c r="D1110" s="152" t="s">
        <v>112</v>
      </c>
      <c r="E1110" s="152" t="s">
        <v>113</v>
      </c>
      <c r="F1110" s="152" t="s">
        <v>117</v>
      </c>
      <c r="G1110" s="152" t="s">
        <v>782</v>
      </c>
      <c r="H1110" s="152" t="n">
        <v>110</v>
      </c>
      <c r="I1110" s="152" t="s">
        <v>115</v>
      </c>
      <c r="J1110" s="152" t="s">
        <v>6</v>
      </c>
      <c r="K1110" s="152" t="s">
        <v>5700</v>
      </c>
      <c r="L1110" s="152" t="s">
        <v>120</v>
      </c>
      <c r="M1110" s="153" t="n">
        <f aca="false">48.77</f>
        <v>48.77</v>
      </c>
      <c r="N1110" s="152" t="s">
        <v>1548</v>
      </c>
      <c r="O1110" s="152" t="s">
        <v>1549</v>
      </c>
      <c r="P1110" s="152" t="s">
        <v>1550</v>
      </c>
      <c r="Q1110" s="152" t="s">
        <v>1551</v>
      </c>
      <c r="R1110" s="154" t="s">
        <v>5758</v>
      </c>
      <c r="S1110" s="154" t="s">
        <v>1593</v>
      </c>
      <c r="T1110" s="155" t="s">
        <v>2487</v>
      </c>
      <c r="U1110" s="152" t="str">
        <f aca="false">RIGHT(T1110,7)</f>
        <v>011/037</v>
      </c>
      <c r="V1110" s="152" t="s">
        <v>1555</v>
      </c>
      <c r="W1110" s="156" t="n">
        <v>45882</v>
      </c>
      <c r="X1110" s="152" t="s">
        <v>1594</v>
      </c>
      <c r="Y1110" s="152" t="s">
        <v>3499</v>
      </c>
      <c r="Z1110" s="152" t="s">
        <v>1557</v>
      </c>
      <c r="AA1110" s="153" t="n">
        <v>3.7</v>
      </c>
      <c r="AB1110" s="151" t="s">
        <v>5759</v>
      </c>
      <c r="AC1110" s="151" t="s">
        <v>502</v>
      </c>
      <c r="AD1110" s="151" t="str">
        <f aca="false">CONCATENATE($C1110,$I1110,$H1110,$N1110,$J1110,$K1110)</f>
        <v>TUBO PEADPEAD110VCAREDESZona10</v>
      </c>
      <c r="AE1110" s="153" t="n">
        <f aca="false">IFERROR(INDEX(APOIO_REDES!$A:$W,MATCH($C1110&amp;$I1110&amp;$H1110&amp;$N1110&amp;$O1110,APOIO_REDES!$W:$W,0),MATCH(AE$5,APOIO_REDES!$5:$5,0)),0)</f>
        <v>1.2</v>
      </c>
      <c r="AF1110" s="153" t="n">
        <f aca="false">IFERROR(INDEX(APOIO_REDES!$A:$W,MATCH($C1110&amp;$I1110&amp;$H1110&amp;$N1110&amp;$O1110,APOIO_REDES!$W:$W,0),MATCH(AF$5,APOIO_REDES!$5:$5,0)),0)</f>
        <v>1.41</v>
      </c>
      <c r="AG1110" s="153" t="n">
        <f aca="false">IFERROR(INDEX(APOIO_REDES!$A:$W,MATCH($C1110&amp;$I1110&amp;$H1110&amp;$N1110&amp;$O1110,APOIO_REDES!$W:$W,0),MATCH(AG$5,APOIO_REDES!$5:$5,0)),0)</f>
        <v>0.75</v>
      </c>
      <c r="AH1110" s="153" t="n">
        <f aca="false">IFERROR(INDEX(APOIO_REDES!$A:$W,MATCH($C1110&amp;$I1110&amp;$H1110&amp;$N1110&amp;$O1110,APOIO_REDES!$W:$W,0),MATCH(AH$5,APOIO_REDES!$5:$5,0)),0)</f>
        <v>0.1</v>
      </c>
      <c r="AI1110" s="153" t="n">
        <f aca="false">IFERROR(IF($H1110&lt;&gt;"",(((($H1110/1000)/2)^2)*PI()*$M1110),0),0)</f>
        <v>0.463476807989612</v>
      </c>
      <c r="AJ1110" s="153" t="n">
        <f aca="false">IFERROR(IF(AND($H1110&lt;&gt;"",$I1110="FoFo",OR($N1110="MND",$N1110="VCA"),$Q1110="LINEAR"),0,IF(AND($H1110&lt;&gt;"",$I1110="PEAD",$N1110="VCA",$Q1110="LINEAR"),($H1110/1000)+0.3,IF(AND($H1110&lt;&gt;"",$I1110="PEAD",$N1110="MND",$Q1110="EMBOQUE"),0,IF(AND($H1110&lt;&gt;"",$I1110="PVC",$N1110="VCA",$Q1110="LINEAR"),($H1110/1000)+0.2,IF(AND($H1110&lt;&gt;"",$I1110="PVC",$N1110="MND",$Q1110="EMBOQUE"),0,IF(AND($H1110&lt;&gt;"",$I1110="PEAD",$N1110="VCA",$Q1110="PREDIAL"),0,0)))))),0)</f>
        <v>0.41</v>
      </c>
      <c r="AK1110" s="153" t="n">
        <f aca="false">IF(AA1110&lt;&gt;"",AA1110,0)</f>
        <v>3.7</v>
      </c>
      <c r="AL1110" s="153" t="n">
        <f aca="false">IF(AND($N1110="MND",$Q1110="EMBOQUE"),$M1110,IF(AND($N1110="VCA",$Q1110="LINEAR"),$M1110,IF(AND($N1110="VCA",$Q1110="PREDIAL"),0,0)))</f>
        <v>48.77</v>
      </c>
      <c r="AM1110" s="153" t="n">
        <f aca="false">IF(AND($N1110="MND",$Q1110="EMBOQUE"),$M1110,IF(AND($N1110="VCA",$Q1110="LINEAR"),$M1110,IF(AND($N1110="VCA",$Q1110="PREDIAL"),0,0)))</f>
        <v>48.77</v>
      </c>
      <c r="AN1110" s="153" t="n">
        <f aca="false">ROUND(IF(AND($N1110="VCA",$M1110&lt;&gt;"",$Q1110="LINEAR"),$M1110/100,IF(AND($N1110="MND",$M1110&gt;100,$Q1110="EMBOQUE"),$M1110/100,0)),0)</f>
        <v>0</v>
      </c>
      <c r="AO1110" s="153" t="n">
        <f aca="false">IF(AND($N1110="MND",$Q1110="EMBOQUE"),$AN1110*2*2,IF(AND($N1110="VCA",$Q1110="LINEAR"),$M1110*2,IF(AND($N1110="VCA",$Q1110="PREDIAL"),0,0)))</f>
        <v>97.54</v>
      </c>
      <c r="AP1110" s="153" t="n">
        <f aca="false">IFERROR($M1110*$AF1110*$AG1110,0)</f>
        <v>51.574275</v>
      </c>
      <c r="AQ1110" s="153" t="n">
        <f aca="false">IFERROR(IF(AND($N1110="VCA",$AH1110&gt;0),$M1110*$AG1110*$AH1110,0),0)</f>
        <v>3.65775</v>
      </c>
      <c r="AR1110" s="153" t="n">
        <f aca="false">IFERROR(IF(AND($N1110="VCA",$AJ1110&gt;0),($M1110*$AG1110*$AJ1110)-$AI1110,0),0)</f>
        <v>14.5332981920104</v>
      </c>
      <c r="AS1110" s="153" t="n">
        <f aca="false">IFERROR(IF(AND($N1110="VCA",$AP1110&gt;0),$AP1110-$AI1110-$AQ1110-$AR1110,0),0)</f>
        <v>32.91975</v>
      </c>
      <c r="AT1110" s="153" t="n">
        <f aca="false">IFERROR(IF($N1110="VCA",INDEX(APOIO_REDES!$A:$W,MATCH($C1110&amp;$I1110&amp;$H1110&amp;$N1110&amp;$O1110,APOIO_REDES!$W:$W,0),MATCH(AT$5,APOIO_REDES!$5:$5,0)),0)*$AP1110,0)</f>
        <v>0.561143377206189</v>
      </c>
      <c r="AU1110" s="153" t="n">
        <f aca="false">IFERROR(IF($N1110="VCA",INDEX(APOIO_REDES!$A:$W,MATCH($C1110&amp;$I1110&amp;$H1110&amp;$N1110&amp;$O1110,APOIO_REDES!$W:$W,0),MATCH(AU$5,APOIO_REDES!$5:$5,0)),0)*$AP1110,0)</f>
        <v>0.448113903346829</v>
      </c>
      <c r="AV1110" s="153" t="n">
        <f aca="false">IFERROR(IF($N1110="VCA",INDEX(APOIO_REDES!$A:$W,MATCH($C1110&amp;$I1110&amp;$H1110&amp;$N1110&amp;$O1110,APOIO_REDES!$W:$W,0),MATCH(AV$5,APOIO_REDES!$5:$5,0)),0)*$AP1110,0)</f>
        <v>0.0620154463911325</v>
      </c>
      <c r="AW1110" s="153" t="n">
        <f aca="false">IFERROR(IF($N1110="VCA",INDEX(APOIO_REDES!$A:$W,MATCH($C1110&amp;$I1110&amp;$H1110&amp;$N1110&amp;$O1110,APOIO_REDES!$W:$W,0),MATCH(AW$5,APOIO_REDES!$5:$5,0)),0)*$AP1110,0)</f>
        <v>35.4009819769831</v>
      </c>
      <c r="AX1110" s="153" t="n">
        <f aca="false">IFERROR(IF($N1110="VCA",INDEX(APOIO_REDES!$A:$W,MATCH($C1110&amp;$I1110&amp;$H1110&amp;$N1110&amp;$O1110,APOIO_REDES!$W:$W,0),MATCH(AX$5,APOIO_REDES!$5:$5,0)),0)*$AP1110,0)</f>
        <v>4.89939506400847</v>
      </c>
      <c r="AY1110" s="153" t="n">
        <f aca="false">IFERROR(IF($N1110="VCA",INDEX(APOIO_REDES!$A:$W,MATCH($C1110&amp;$I1110&amp;$H1110&amp;$N1110&amp;$O1110,APOIO_REDES!$W:$W,0),MATCH(AY$5,APOIO_REDES!$5:$5,0)),0)*$AP1110,0)</f>
        <v>8.96227260446443</v>
      </c>
      <c r="AZ1110" s="153" t="n">
        <f aca="false">IFERROR(IF($N1110="VCA",INDEX(APOIO_REDES!$A:$W,MATCH($C1110&amp;$I1110&amp;$H1110&amp;$N1110&amp;$O1110,APOIO_REDES!$W:$W,0),MATCH(AZ$5,APOIO_REDES!$5:$5,0)),0)*$AP1110,0)</f>
        <v>1.2403526275999</v>
      </c>
      <c r="BA1110" s="153" t="n">
        <f aca="false">IFERROR(IF(AND($N1110="VCA",$Q1110="LINEAR"),INDEX(APOIO_REDES!$A:$W,MATCH($C1110&amp;$I1110&amp;$H1110&amp;$N1110&amp;$O1110,APOIO_REDES!$W:$W,0),MATCH(BA$5,APOIO_REDES!$5:$5,0)),IF(AND($N1110="MND",$Q1110="EMBOQUE"),INDEX(APOIO_REDES!$A:$W,MATCH($C1110&amp;$I1110&amp;$H1110&amp;$N1110&amp;$O1110,APOIO_REDES!$W:$W,0),MATCH(BA$5,APOIO_REDES!$5:$5,0)),0))*$M1110/10,0)</f>
        <v>3.93073898156589</v>
      </c>
      <c r="BB1110" s="153" t="n">
        <f aca="false">IFERROR(IF($N1110="VCA",INDEX(APOIO_REDES!$A:$W,MATCH($C1110&amp;$I1110&amp;$H1110&amp;$N1110&amp;$O1110,APOIO_REDES!$W:$W,0),MATCH(BB$5,APOIO_REDES!$5:$5,0)),0)*($AI1110+$AQ1110+$AR1110),0)</f>
        <v>18.4515582465424</v>
      </c>
      <c r="BC1110" s="153" t="n">
        <f aca="false">IFERROR(IF($N1110="VCA",INDEX(APOIO_REDES!$A:$W,MATCH($C1110&amp;$I1110&amp;$H1110&amp;$N1110&amp;$O1110,APOIO_REDES!$W:$W,0),MATCH(BC$5,APOIO_REDES!$5:$5,0)),0)*($AI1110+$AQ1110+$AR1110),0)</f>
        <v>0.202966753457558</v>
      </c>
      <c r="BD1110" s="153" t="n">
        <f aca="false">IF(AND($N1110="VCA",$AF1110&gt;=1.25,$AF1110&lt;1.5),$M1110*$AF1110*2,0)</f>
        <v>137.5314</v>
      </c>
      <c r="BE1110" s="153" t="n">
        <f aca="false">IF(AND($N1110="VCA",$AF1110&gt;=1.5,$AF1110&lt;3),$M1110*$AF1110*2,0)</f>
        <v>0</v>
      </c>
      <c r="BF1110" s="153" t="n">
        <f aca="false">IF(AND($N1110="VCA",$AF1110&gt;=3),$M1110*$AF1110*2,0)</f>
        <v>0</v>
      </c>
      <c r="BG1110" s="153" t="n">
        <f aca="false">($BB1110+$BC1110)*$AK1110</f>
        <v>69.0217425</v>
      </c>
      <c r="BH1110" s="153" t="n">
        <f aca="false">IF(AND($M1110&lt;&gt;"",$N1110="VCA",$Q1110="LINEAR"),($M1110*2)/100,IF(AND($M1110&lt;&gt;"",$N1110="MND",$Q1110="EMBOQUE"),($AN1110*2)/100,0))</f>
        <v>0.9754</v>
      </c>
      <c r="BI1110" s="153" t="n">
        <f aca="false">IF(AND($M1110&lt;&gt;"",$N1110="VCA",$Q1110="LINEAR"),$M1110,IF(AND($M1110&lt;&gt;"",$N1110="MND",$Q1110="EMBOQUE"),$AN1110*2,0))</f>
        <v>48.77</v>
      </c>
      <c r="BJ1110" s="153" t="n">
        <f aca="false">IF(AND($M1110&lt;&gt;"",$N1110="VCA",$Q1110="LINEAR"),($M1110*6.8)/100,IF(AND($M1110&lt;&gt;"",$N1110="MND",$Q1110="EMBOQUE"),($AN1110*2*6.8)/100,0))</f>
        <v>3.31636</v>
      </c>
      <c r="BK1110" s="153" t="n">
        <f aca="false">IF(AND($M1110&lt;&gt;"",$N1110="VCA",$Q1110="LINEAR"),($M1110*2.5)/50,IF(AND($M1110&lt;&gt;"",$N1110="MND",$Q1110="EMBOQUE"),($AN1110*2*2.5)/50,0))</f>
        <v>2.4385</v>
      </c>
      <c r="BL1110" s="157" t="str">
        <f aca="false">K1110&amp;J1110</f>
        <v>Zona10REDES</v>
      </c>
      <c r="BM1110" s="152" t="s">
        <v>5703</v>
      </c>
      <c r="BN1110" s="152" t="s">
        <v>1560</v>
      </c>
      <c r="BO1110" s="152" t="s">
        <v>2489</v>
      </c>
      <c r="BP1110" s="152" t="s">
        <v>5744</v>
      </c>
      <c r="BQ1110" s="152" t="s">
        <v>5760</v>
      </c>
      <c r="BR1110" s="152" t="s">
        <v>5761</v>
      </c>
      <c r="BS1110" s="152" t="n">
        <v>203074.831</v>
      </c>
      <c r="BT1110" s="152" t="n">
        <v>8237205.968</v>
      </c>
      <c r="BU1110" s="152" t="n">
        <v>203114.599</v>
      </c>
      <c r="BV1110" s="152" t="n">
        <v>8237177.749</v>
      </c>
      <c r="BW1110" s="152" t="n">
        <v>-15.926772</v>
      </c>
      <c r="BX1110" s="152" t="n">
        <v>-47.7730996</v>
      </c>
      <c r="BY1110" s="152" t="s">
        <v>5744</v>
      </c>
    </row>
    <row r="1111" customFormat="false" ht="13.8" hidden="false" customHeight="false" outlineLevel="0" collapsed="false">
      <c r="A1111" s="149" t="n">
        <f aca="false">IF(C1111&lt;&gt;"",ROW(A1106),"")</f>
        <v>1106</v>
      </c>
      <c r="B1111" s="150" t="str">
        <f aca="false">HYPERLINK("https://www.google.com/maps/dir/-15.917302,-47.760003/-15.9269023,-47.7729162/data=!4m3!4m2!3e0!5i2")</f>
        <v>https://www.google.com/maps/dir/-15.917302,-47.760003/-15.9269023,-47.7729162/data=!4m3!4m2!3e0!5i2</v>
      </c>
      <c r="C1111" s="151" t="s">
        <v>117</v>
      </c>
      <c r="D1111" s="152" t="s">
        <v>112</v>
      </c>
      <c r="E1111" s="152" t="s">
        <v>113</v>
      </c>
      <c r="F1111" s="152" t="s">
        <v>117</v>
      </c>
      <c r="G1111" s="152" t="s">
        <v>114</v>
      </c>
      <c r="H1111" s="152" t="n">
        <v>160</v>
      </c>
      <c r="I1111" s="152" t="s">
        <v>115</v>
      </c>
      <c r="J1111" s="152" t="s">
        <v>6</v>
      </c>
      <c r="K1111" s="152" t="s">
        <v>5700</v>
      </c>
      <c r="L1111" s="152" t="s">
        <v>120</v>
      </c>
      <c r="M1111" s="153" t="n">
        <f aca="false">16.69</f>
        <v>16.69</v>
      </c>
      <c r="N1111" s="152" t="s">
        <v>1548</v>
      </c>
      <c r="O1111" s="152" t="s">
        <v>1549</v>
      </c>
      <c r="P1111" s="152" t="s">
        <v>1550</v>
      </c>
      <c r="Q1111" s="152" t="s">
        <v>1551</v>
      </c>
      <c r="R1111" s="154" t="s">
        <v>5762</v>
      </c>
      <c r="S1111" s="154" t="s">
        <v>1593</v>
      </c>
      <c r="T1111" s="155" t="s">
        <v>2487</v>
      </c>
      <c r="U1111" s="152" t="str">
        <f aca="false">RIGHT(T1111,7)</f>
        <v>011/037</v>
      </c>
      <c r="V1111" s="152" t="s">
        <v>1555</v>
      </c>
      <c r="W1111" s="156" t="n">
        <v>45882</v>
      </c>
      <c r="X1111" s="152" t="s">
        <v>1594</v>
      </c>
      <c r="Y1111" s="152" t="s">
        <v>3516</v>
      </c>
      <c r="Z1111" s="152" t="s">
        <v>1557</v>
      </c>
      <c r="AA1111" s="153" t="n">
        <v>3.8</v>
      </c>
      <c r="AB1111" s="151" t="s">
        <v>5763</v>
      </c>
      <c r="AC1111" s="151" t="s">
        <v>505</v>
      </c>
      <c r="AD1111" s="151" t="str">
        <f aca="false">CONCATENATE($C1111,$I1111,$H1111,$N1111,$J1111,$K1111)</f>
        <v>TUBO PEADPEAD160VCAREDESZona10</v>
      </c>
      <c r="AE1111" s="153" t="n">
        <f aca="false">IFERROR(INDEX(APOIO_REDES!$A:$W,MATCH($C1111&amp;$I1111&amp;$H1111&amp;$N1111&amp;$O1111,APOIO_REDES!$W:$W,0),MATCH(AE$5,APOIO_REDES!$5:$5,0)),0)</f>
        <v>1.2</v>
      </c>
      <c r="AF1111" s="153" t="n">
        <f aca="false">IFERROR(INDEX(APOIO_REDES!$A:$W,MATCH($C1111&amp;$I1111&amp;$H1111&amp;$N1111&amp;$O1111,APOIO_REDES!$W:$W,0),MATCH(AF$5,APOIO_REDES!$5:$5,0)),0)</f>
        <v>1.46</v>
      </c>
      <c r="AG1111" s="153" t="n">
        <f aca="false">IFERROR(INDEX(APOIO_REDES!$A:$W,MATCH($C1111&amp;$I1111&amp;$H1111&amp;$N1111&amp;$O1111,APOIO_REDES!$W:$W,0),MATCH(AG$5,APOIO_REDES!$5:$5,0)),0)</f>
        <v>0.75</v>
      </c>
      <c r="AH1111" s="153" t="n">
        <f aca="false">IFERROR(INDEX(APOIO_REDES!$A:$W,MATCH($C1111&amp;$I1111&amp;$H1111&amp;$N1111&amp;$O1111,APOIO_REDES!$W:$W,0),MATCH(AH$5,APOIO_REDES!$5:$5,0)),0)</f>
        <v>0.1</v>
      </c>
      <c r="AI1111" s="153" t="n">
        <f aca="false">IFERROR(IF($H1111&lt;&gt;"",(((($H1111/1000)/2)^2)*PI()*$M1111),0),0)</f>
        <v>0.335572360885847</v>
      </c>
      <c r="AJ1111" s="153" t="n">
        <f aca="false">IFERROR(IF(AND($H1111&lt;&gt;"",$I1111="FoFo",OR($N1111="MND",$N1111="VCA"),$Q1111="LINEAR"),0,IF(AND($H1111&lt;&gt;"",$I1111="PEAD",$N1111="VCA",$Q1111="LINEAR"),($H1111/1000)+0.3,IF(AND($H1111&lt;&gt;"",$I1111="PEAD",$N1111="MND",$Q1111="EMBOQUE"),0,IF(AND($H1111&lt;&gt;"",$I1111="PVC",$N1111="VCA",$Q1111="LINEAR"),($H1111/1000)+0.2,IF(AND($H1111&lt;&gt;"",$I1111="PVC",$N1111="MND",$Q1111="EMBOQUE"),0,IF(AND($H1111&lt;&gt;"",$I1111="PEAD",$N1111="VCA",$Q1111="PREDIAL"),0,0)))))),0)</f>
        <v>0.46</v>
      </c>
      <c r="AK1111" s="153" t="n">
        <f aca="false">IF(AA1111&lt;&gt;"",AA1111,0)</f>
        <v>3.8</v>
      </c>
      <c r="AL1111" s="153" t="n">
        <f aca="false">IF(AND($N1111="MND",$Q1111="EMBOQUE"),$M1111,IF(AND($N1111="VCA",$Q1111="LINEAR"),$M1111,IF(AND($N1111="VCA",$Q1111="PREDIAL"),0,0)))</f>
        <v>16.69</v>
      </c>
      <c r="AM1111" s="153" t="n">
        <f aca="false">IF(AND($N1111="MND",$Q1111="EMBOQUE"),$M1111,IF(AND($N1111="VCA",$Q1111="LINEAR"),$M1111,IF(AND($N1111="VCA",$Q1111="PREDIAL"),0,0)))</f>
        <v>16.69</v>
      </c>
      <c r="AN1111" s="153" t="n">
        <f aca="false">ROUND(IF(AND($N1111="VCA",$M1111&lt;&gt;"",$Q1111="LINEAR"),$M1111/100,IF(AND($N1111="MND",$M1111&gt;100,$Q1111="EMBOQUE"),$M1111/100,0)),0)</f>
        <v>0</v>
      </c>
      <c r="AO1111" s="153" t="n">
        <f aca="false">IF(AND($N1111="MND",$Q1111="EMBOQUE"),$AN1111*2*2,IF(AND($N1111="VCA",$Q1111="LINEAR"),$M1111*2,IF(AND($N1111="VCA",$Q1111="PREDIAL"),0,0)))</f>
        <v>33.38</v>
      </c>
      <c r="AP1111" s="153" t="n">
        <f aca="false">IFERROR($M1111*$AF1111*$AG1111,0)</f>
        <v>18.27555</v>
      </c>
      <c r="AQ1111" s="153" t="n">
        <f aca="false">IFERROR(IF(AND($N1111="VCA",$AH1111&gt;0),$M1111*$AG1111*$AH1111,0),0)</f>
        <v>1.25175</v>
      </c>
      <c r="AR1111" s="153" t="n">
        <f aca="false">IFERROR(IF(AND($N1111="VCA",$AJ1111&gt;0),($M1111*$AG1111*$AJ1111)-$AI1111,0),0)</f>
        <v>5.42247763911415</v>
      </c>
      <c r="AS1111" s="153" t="n">
        <f aca="false">IFERROR(IF(AND($N1111="VCA",$AP1111&gt;0),$AP1111-$AI1111-$AQ1111-$AR1111,0),0)</f>
        <v>11.26575</v>
      </c>
      <c r="AT1111" s="153" t="n">
        <f aca="false">IFERROR(IF($N1111="VCA",INDEX(APOIO_REDES!$A:$W,MATCH($C1111&amp;$I1111&amp;$H1111&amp;$N1111&amp;$O1111,APOIO_REDES!$W:$W,0),MATCH(AT$5,APOIO_REDES!$5:$5,0)),0)*$AP1111,0)</f>
        <v>0.198843393286684</v>
      </c>
      <c r="AU1111" s="153" t="n">
        <f aca="false">IFERROR(IF($N1111="VCA",INDEX(APOIO_REDES!$A:$W,MATCH($C1111&amp;$I1111&amp;$H1111&amp;$N1111&amp;$O1111,APOIO_REDES!$W:$W,0),MATCH(AU$5,APOIO_REDES!$5:$5,0)),0)*$AP1111,0)</f>
        <v>0.158790948516681</v>
      </c>
      <c r="AV1111" s="153" t="n">
        <f aca="false">IFERROR(IF($N1111="VCA",INDEX(APOIO_REDES!$A:$W,MATCH($C1111&amp;$I1111&amp;$H1111&amp;$N1111&amp;$O1111,APOIO_REDES!$W:$W,0),MATCH(AV$5,APOIO_REDES!$5:$5,0)),0)*$AP1111,0)</f>
        <v>0.0219754207168877</v>
      </c>
      <c r="AW1111" s="153" t="n">
        <f aca="false">IFERROR(IF($N1111="VCA",INDEX(APOIO_REDES!$A:$W,MATCH($C1111&amp;$I1111&amp;$H1111&amp;$N1111&amp;$O1111,APOIO_REDES!$W:$W,0),MATCH(AW$5,APOIO_REDES!$5:$5,0)),0)*$AP1111,0)</f>
        <v>12.5444791258714</v>
      </c>
      <c r="AX1111" s="153" t="n">
        <f aca="false">IFERROR(IF($N1111="VCA",INDEX(APOIO_REDES!$A:$W,MATCH($C1111&amp;$I1111&amp;$H1111&amp;$N1111&amp;$O1111,APOIO_REDES!$W:$W,0),MATCH(AX$5,APOIO_REDES!$5:$5,0)),0)*$AP1111,0)</f>
        <v>1.73612017739542</v>
      </c>
      <c r="AY1111" s="153" t="n">
        <f aca="false">IFERROR(IF($N1111="VCA",INDEX(APOIO_REDES!$A:$W,MATCH($C1111&amp;$I1111&amp;$H1111&amp;$N1111&amp;$O1111,APOIO_REDES!$W:$W,0),MATCH(AY$5,APOIO_REDES!$5:$5,0)),0)*$AP1111,0)</f>
        <v>3.17581703468483</v>
      </c>
      <c r="AZ1111" s="153" t="n">
        <f aca="false">IFERROR(IF($N1111="VCA",INDEX(APOIO_REDES!$A:$W,MATCH($C1111&amp;$I1111&amp;$H1111&amp;$N1111&amp;$O1111,APOIO_REDES!$W:$W,0),MATCH(AZ$5,APOIO_REDES!$5:$5,0)),0)*$AP1111,0)</f>
        <v>0.439523899528076</v>
      </c>
      <c r="BA1111" s="153" t="n">
        <f aca="false">IFERROR(IF(AND($N1111="VCA",$Q1111="LINEAR"),INDEX(APOIO_REDES!$A:$W,MATCH($C1111&amp;$I1111&amp;$H1111&amp;$N1111&amp;$O1111,APOIO_REDES!$W:$W,0),MATCH(BA$5,APOIO_REDES!$5:$5,0)),IF(AND($N1111="MND",$Q1111="EMBOQUE"),INDEX(APOIO_REDES!$A:$W,MATCH($C1111&amp;$I1111&amp;$H1111&amp;$N1111&amp;$O1111,APOIO_REDES!$W:$W,0),MATCH(BA$5,APOIO_REDES!$5:$5,0)),0))*$M1111/10,0)</f>
        <v>1.34517190080653</v>
      </c>
      <c r="BB1111" s="153" t="n">
        <f aca="false">IFERROR(IF($N1111="VCA",INDEX(APOIO_REDES!$A:$W,MATCH($C1111&amp;$I1111&amp;$H1111&amp;$N1111&amp;$O1111,APOIO_REDES!$W:$W,0),MATCH(BB$5,APOIO_REDES!$5:$5,0)),0)*($AI1111+$AQ1111+$AR1111),0)</f>
        <v>6.93353130120511</v>
      </c>
      <c r="BC1111" s="153" t="n">
        <f aca="false">IFERROR(IF($N1111="VCA",INDEX(APOIO_REDES!$A:$W,MATCH($C1111&amp;$I1111&amp;$H1111&amp;$N1111&amp;$O1111,APOIO_REDES!$W:$W,0),MATCH(BC$5,APOIO_REDES!$5:$5,0)),0)*($AI1111+$AQ1111+$AR1111),0)</f>
        <v>0.0762686987948923</v>
      </c>
      <c r="BD1111" s="153" t="n">
        <f aca="false">IF(AND($N1111="VCA",$AF1111&gt;=1.25,$AF1111&lt;1.5),$M1111*$AF1111*2,0)</f>
        <v>48.7348</v>
      </c>
      <c r="BE1111" s="153" t="n">
        <f aca="false">IF(AND($N1111="VCA",$AF1111&gt;=1.5,$AF1111&lt;3),$M1111*$AF1111*2,0)</f>
        <v>0</v>
      </c>
      <c r="BF1111" s="153" t="n">
        <f aca="false">IF(AND($N1111="VCA",$AF1111&gt;=3),$M1111*$AF1111*2,0)</f>
        <v>0</v>
      </c>
      <c r="BG1111" s="153" t="n">
        <f aca="false">($BB1111+$BC1111)*$AK1111</f>
        <v>26.63724</v>
      </c>
      <c r="BH1111" s="153" t="n">
        <f aca="false">IF(AND($M1111&lt;&gt;"",$N1111="VCA",$Q1111="LINEAR"),($M1111*2)/100,IF(AND($M1111&lt;&gt;"",$N1111="MND",$Q1111="EMBOQUE"),($AN1111*2)/100,0))</f>
        <v>0.3338</v>
      </c>
      <c r="BI1111" s="153" t="n">
        <f aca="false">IF(AND($M1111&lt;&gt;"",$N1111="VCA",$Q1111="LINEAR"),$M1111,IF(AND($M1111&lt;&gt;"",$N1111="MND",$Q1111="EMBOQUE"),$AN1111*2,0))</f>
        <v>16.69</v>
      </c>
      <c r="BJ1111" s="153" t="n">
        <f aca="false">IF(AND($M1111&lt;&gt;"",$N1111="VCA",$Q1111="LINEAR"),($M1111*6.8)/100,IF(AND($M1111&lt;&gt;"",$N1111="MND",$Q1111="EMBOQUE"),($AN1111*2*6.8)/100,0))</f>
        <v>1.13492</v>
      </c>
      <c r="BK1111" s="153" t="n">
        <f aca="false">IF(AND($M1111&lt;&gt;"",$N1111="VCA",$Q1111="LINEAR"),($M1111*2.5)/50,IF(AND($M1111&lt;&gt;"",$N1111="MND",$Q1111="EMBOQUE"),($AN1111*2*2.5)/50,0))</f>
        <v>0.8345</v>
      </c>
      <c r="BL1111" s="157" t="str">
        <f aca="false">K1111&amp;J1111</f>
        <v>Zona10REDES</v>
      </c>
      <c r="BM1111" s="152" t="s">
        <v>5703</v>
      </c>
      <c r="BN1111" s="152" t="s">
        <v>1560</v>
      </c>
      <c r="BO1111" s="152" t="s">
        <v>2489</v>
      </c>
      <c r="BP1111" s="152" t="s">
        <v>5760</v>
      </c>
      <c r="BQ1111" s="152" t="s">
        <v>5764</v>
      </c>
      <c r="BR1111" s="152" t="s">
        <v>5765</v>
      </c>
      <c r="BS1111" s="152" t="n">
        <v>203114.599</v>
      </c>
      <c r="BT1111" s="152" t="n">
        <v>8237177.749</v>
      </c>
      <c r="BU1111" s="152" t="n">
        <v>203127.584</v>
      </c>
      <c r="BV1111" s="152" t="n">
        <v>8237167.336</v>
      </c>
      <c r="BW1111" s="152" t="n">
        <v>-15.9269475</v>
      </c>
      <c r="BX1111" s="152" t="n">
        <v>-47.7728539</v>
      </c>
      <c r="BY1111" s="152" t="s">
        <v>5760</v>
      </c>
    </row>
    <row r="1112" customFormat="false" ht="13.8" hidden="false" customHeight="false" outlineLevel="0" collapsed="false">
      <c r="A1112" s="149" t="n">
        <f aca="false">IF(C1112&lt;&gt;"",ROW(A1107),"")</f>
        <v>1107</v>
      </c>
      <c r="B1112" s="150" t="str">
        <f aca="false">HYPERLINK("https://www.google.com/maps/dir/-15.917302,-47.760003/-15.9269979,-47.7727963/data=!4m3!4m2!3e0!5i2")</f>
        <v>https://www.google.com/maps/dir/-15.917302,-47.760003/-15.9269979,-47.7727963/data=!4m3!4m2!3e0!5i2</v>
      </c>
      <c r="C1112" s="151" t="s">
        <v>117</v>
      </c>
      <c r="D1112" s="152" t="s">
        <v>112</v>
      </c>
      <c r="E1112" s="152" t="s">
        <v>113</v>
      </c>
      <c r="F1112" s="152" t="s">
        <v>117</v>
      </c>
      <c r="G1112" s="152" t="s">
        <v>114</v>
      </c>
      <c r="H1112" s="152" t="n">
        <v>160</v>
      </c>
      <c r="I1112" s="152" t="s">
        <v>115</v>
      </c>
      <c r="J1112" s="152" t="s">
        <v>6</v>
      </c>
      <c r="K1112" s="152" t="s">
        <v>5700</v>
      </c>
      <c r="L1112" s="152" t="s">
        <v>120</v>
      </c>
      <c r="M1112" s="153" t="n">
        <f aca="false">29.09</f>
        <v>29.09</v>
      </c>
      <c r="N1112" s="152" t="s">
        <v>1548</v>
      </c>
      <c r="O1112" s="152" t="s">
        <v>1549</v>
      </c>
      <c r="P1112" s="152" t="s">
        <v>1550</v>
      </c>
      <c r="Q1112" s="152" t="s">
        <v>1551</v>
      </c>
      <c r="R1112" s="154" t="s">
        <v>5766</v>
      </c>
      <c r="S1112" s="154" t="s">
        <v>1593</v>
      </c>
      <c r="T1112" s="155" t="s">
        <v>2487</v>
      </c>
      <c r="U1112" s="152" t="str">
        <f aca="false">RIGHT(T1112,7)</f>
        <v>011/037</v>
      </c>
      <c r="V1112" s="152" t="s">
        <v>1555</v>
      </c>
      <c r="W1112" s="156" t="n">
        <v>45882</v>
      </c>
      <c r="X1112" s="152" t="s">
        <v>1594</v>
      </c>
      <c r="Y1112" s="152" t="s">
        <v>3516</v>
      </c>
      <c r="Z1112" s="152" t="s">
        <v>1557</v>
      </c>
      <c r="AA1112" s="153" t="n">
        <v>3.8</v>
      </c>
      <c r="AB1112" s="151" t="s">
        <v>5767</v>
      </c>
      <c r="AC1112" s="151" t="s">
        <v>505</v>
      </c>
      <c r="AD1112" s="151" t="str">
        <f aca="false">CONCATENATE($C1112,$I1112,$H1112,$N1112,$J1112,$K1112)</f>
        <v>TUBO PEADPEAD160VCAREDESZona10</v>
      </c>
      <c r="AE1112" s="153" t="n">
        <f aca="false">IFERROR(INDEX(APOIO_REDES!$A:$W,MATCH($C1112&amp;$I1112&amp;$H1112&amp;$N1112&amp;$O1112,APOIO_REDES!$W:$W,0),MATCH(AE$5,APOIO_REDES!$5:$5,0)),0)</f>
        <v>1.2</v>
      </c>
      <c r="AF1112" s="153" t="n">
        <f aca="false">IFERROR(INDEX(APOIO_REDES!$A:$W,MATCH($C1112&amp;$I1112&amp;$H1112&amp;$N1112&amp;$O1112,APOIO_REDES!$W:$W,0),MATCH(AF$5,APOIO_REDES!$5:$5,0)),0)</f>
        <v>1.46</v>
      </c>
      <c r="AG1112" s="153" t="n">
        <f aca="false">IFERROR(INDEX(APOIO_REDES!$A:$W,MATCH($C1112&amp;$I1112&amp;$H1112&amp;$N1112&amp;$O1112,APOIO_REDES!$W:$W,0),MATCH(AG$5,APOIO_REDES!$5:$5,0)),0)</f>
        <v>0.75</v>
      </c>
      <c r="AH1112" s="153" t="n">
        <f aca="false">IFERROR(INDEX(APOIO_REDES!$A:$W,MATCH($C1112&amp;$I1112&amp;$H1112&amp;$N1112&amp;$O1112,APOIO_REDES!$W:$W,0),MATCH(AH$5,APOIO_REDES!$5:$5,0)),0)</f>
        <v>0.1</v>
      </c>
      <c r="AI1112" s="153" t="n">
        <f aca="false">IFERROR(IF($H1112&lt;&gt;"",(((($H1112/1000)/2)^2)*PI()*$M1112),0),0)</f>
        <v>0.584889153874733</v>
      </c>
      <c r="AJ1112" s="153" t="n">
        <f aca="false">IFERROR(IF(AND($H1112&lt;&gt;"",$I1112="FoFo",OR($N1112="MND",$N1112="VCA"),$Q1112="LINEAR"),0,IF(AND($H1112&lt;&gt;"",$I1112="PEAD",$N1112="VCA",$Q1112="LINEAR"),($H1112/1000)+0.3,IF(AND($H1112&lt;&gt;"",$I1112="PEAD",$N1112="MND",$Q1112="EMBOQUE"),0,IF(AND($H1112&lt;&gt;"",$I1112="PVC",$N1112="VCA",$Q1112="LINEAR"),($H1112/1000)+0.2,IF(AND($H1112&lt;&gt;"",$I1112="PVC",$N1112="MND",$Q1112="EMBOQUE"),0,IF(AND($H1112&lt;&gt;"",$I1112="PEAD",$N1112="VCA",$Q1112="PREDIAL"),0,0)))))),0)</f>
        <v>0.46</v>
      </c>
      <c r="AK1112" s="153" t="n">
        <f aca="false">IF(AA1112&lt;&gt;"",AA1112,0)</f>
        <v>3.8</v>
      </c>
      <c r="AL1112" s="153" t="n">
        <f aca="false">IF(AND($N1112="MND",$Q1112="EMBOQUE"),$M1112,IF(AND($N1112="VCA",$Q1112="LINEAR"),$M1112,IF(AND($N1112="VCA",$Q1112="PREDIAL"),0,0)))</f>
        <v>29.09</v>
      </c>
      <c r="AM1112" s="153" t="n">
        <f aca="false">IF(AND($N1112="MND",$Q1112="EMBOQUE"),$M1112,IF(AND($N1112="VCA",$Q1112="LINEAR"),$M1112,IF(AND($N1112="VCA",$Q1112="PREDIAL"),0,0)))</f>
        <v>29.09</v>
      </c>
      <c r="AN1112" s="153" t="n">
        <f aca="false">ROUND(IF(AND($N1112="VCA",$M1112&lt;&gt;"",$Q1112="LINEAR"),$M1112/100,IF(AND($N1112="MND",$M1112&gt;100,$Q1112="EMBOQUE"),$M1112/100,0)),0)</f>
        <v>0</v>
      </c>
      <c r="AO1112" s="153" t="n">
        <f aca="false">IF(AND($N1112="MND",$Q1112="EMBOQUE"),$AN1112*2*2,IF(AND($N1112="VCA",$Q1112="LINEAR"),$M1112*2,IF(AND($N1112="VCA",$Q1112="PREDIAL"),0,0)))</f>
        <v>58.18</v>
      </c>
      <c r="AP1112" s="153" t="n">
        <f aca="false">IFERROR($M1112*$AF1112*$AG1112,0)</f>
        <v>31.85355</v>
      </c>
      <c r="AQ1112" s="153" t="n">
        <f aca="false">IFERROR(IF(AND($N1112="VCA",$AH1112&gt;0),$M1112*$AG1112*$AH1112,0),0)</f>
        <v>2.18175</v>
      </c>
      <c r="AR1112" s="153" t="n">
        <f aca="false">IFERROR(IF(AND($N1112="VCA",$AJ1112&gt;0),($M1112*$AG1112*$AJ1112)-$AI1112,0),0)</f>
        <v>9.45116084612527</v>
      </c>
      <c r="AS1112" s="153" t="n">
        <f aca="false">IFERROR(IF(AND($N1112="VCA",$AP1112&gt;0),$AP1112-$AI1112-$AQ1112-$AR1112,0),0)</f>
        <v>19.63575</v>
      </c>
      <c r="AT1112" s="153" t="n">
        <f aca="false">IFERROR(IF($N1112="VCA",INDEX(APOIO_REDES!$A:$W,MATCH($C1112&amp;$I1112&amp;$H1112&amp;$N1112&amp;$O1112,APOIO_REDES!$W:$W,0),MATCH(AT$5,APOIO_REDES!$5:$5,0)),0)*$AP1112,0)</f>
        <v>0.34657605216954</v>
      </c>
      <c r="AU1112" s="153" t="n">
        <f aca="false">IFERROR(IF($N1112="VCA",INDEX(APOIO_REDES!$A:$W,MATCH($C1112&amp;$I1112&amp;$H1112&amp;$N1112&amp;$O1112,APOIO_REDES!$W:$W,0),MATCH(AU$5,APOIO_REDES!$5:$5,0)),0)*$AP1112,0)</f>
        <v>0.276766248792705</v>
      </c>
      <c r="AV1112" s="153" t="n">
        <f aca="false">IFERROR(IF($N1112="VCA",INDEX(APOIO_REDES!$A:$W,MATCH($C1112&amp;$I1112&amp;$H1112&amp;$N1112&amp;$O1112,APOIO_REDES!$W:$W,0),MATCH(AV$5,APOIO_REDES!$5:$5,0)),0)*$AP1112,0)</f>
        <v>0.03830227613267</v>
      </c>
      <c r="AW1112" s="153" t="n">
        <f aca="false">IFERROR(IF($N1112="VCA",INDEX(APOIO_REDES!$A:$W,MATCH($C1112&amp;$I1112&amp;$H1112&amp;$N1112&amp;$O1112,APOIO_REDES!$W:$W,0),MATCH(AW$5,APOIO_REDES!$5:$5,0)),0)*$AP1112,0)</f>
        <v>21.8645235333493</v>
      </c>
      <c r="AX1112" s="153" t="n">
        <f aca="false">IFERROR(IF($N1112="VCA",INDEX(APOIO_REDES!$A:$W,MATCH($C1112&amp;$I1112&amp;$H1112&amp;$N1112&amp;$O1112,APOIO_REDES!$W:$W,0),MATCH(AX$5,APOIO_REDES!$5:$5,0)),0)*$AP1112,0)</f>
        <v>3.02598777474132</v>
      </c>
      <c r="AY1112" s="153" t="n">
        <f aca="false">IFERROR(IF($N1112="VCA",INDEX(APOIO_REDES!$A:$W,MATCH($C1112&amp;$I1112&amp;$H1112&amp;$N1112&amp;$O1112,APOIO_REDES!$W:$W,0),MATCH(AY$5,APOIO_REDES!$5:$5,0)),0)*$AP1112,0)</f>
        <v>5.53532160209597</v>
      </c>
      <c r="AZ1112" s="153" t="n">
        <f aca="false">IFERROR(IF($N1112="VCA",INDEX(APOIO_REDES!$A:$W,MATCH($C1112&amp;$I1112&amp;$H1112&amp;$N1112&amp;$O1112,APOIO_REDES!$W:$W,0),MATCH(AZ$5,APOIO_REDES!$5:$5,0)),0)*$AP1112,0)</f>
        <v>0.766072512718498</v>
      </c>
      <c r="BA1112" s="153" t="n">
        <f aca="false">IFERROR(IF(AND($N1112="VCA",$Q1112="LINEAR"),INDEX(APOIO_REDES!$A:$W,MATCH($C1112&amp;$I1112&amp;$H1112&amp;$N1112&amp;$O1112,APOIO_REDES!$W:$W,0),MATCH(BA$5,APOIO_REDES!$5:$5,0)),IF(AND($N1112="MND",$Q1112="EMBOQUE"),INDEX(APOIO_REDES!$A:$W,MATCH($C1112&amp;$I1112&amp;$H1112&amp;$N1112&amp;$O1112,APOIO_REDES!$W:$W,0),MATCH(BA$5,APOIO_REDES!$5:$5,0)),0))*$M1112/10,0)</f>
        <v>2.34458062279581</v>
      </c>
      <c r="BB1112" s="153" t="n">
        <f aca="false">IFERROR(IF($N1112="VCA",INDEX(APOIO_REDES!$A:$W,MATCH($C1112&amp;$I1112&amp;$H1112&amp;$N1112&amp;$O1112,APOIO_REDES!$W:$W,0),MATCH(BB$5,APOIO_REDES!$5:$5,0)),0)*($AI1112+$AQ1112+$AR1112),0)</f>
        <v>12.0848667197158</v>
      </c>
      <c r="BC1112" s="153" t="n">
        <f aca="false">IFERROR(IF($N1112="VCA",INDEX(APOIO_REDES!$A:$W,MATCH($C1112&amp;$I1112&amp;$H1112&amp;$N1112&amp;$O1112,APOIO_REDES!$W:$W,0),MATCH(BC$5,APOIO_REDES!$5:$5,0)),0)*($AI1112+$AQ1112+$AR1112),0)</f>
        <v>0.132933280284207</v>
      </c>
      <c r="BD1112" s="153" t="n">
        <f aca="false">IF(AND($N1112="VCA",$AF1112&gt;=1.25,$AF1112&lt;1.5),$M1112*$AF1112*2,0)</f>
        <v>84.9428</v>
      </c>
      <c r="BE1112" s="153" t="n">
        <f aca="false">IF(AND($N1112="VCA",$AF1112&gt;=1.5,$AF1112&lt;3),$M1112*$AF1112*2,0)</f>
        <v>0</v>
      </c>
      <c r="BF1112" s="153" t="n">
        <f aca="false">IF(AND($N1112="VCA",$AF1112&gt;=3),$M1112*$AF1112*2,0)</f>
        <v>0</v>
      </c>
      <c r="BG1112" s="153" t="n">
        <f aca="false">($BB1112+$BC1112)*$AK1112</f>
        <v>46.42764</v>
      </c>
      <c r="BH1112" s="153" t="n">
        <f aca="false">IF(AND($M1112&lt;&gt;"",$N1112="VCA",$Q1112="LINEAR"),($M1112*2)/100,IF(AND($M1112&lt;&gt;"",$N1112="MND",$Q1112="EMBOQUE"),($AN1112*2)/100,0))</f>
        <v>0.5818</v>
      </c>
      <c r="BI1112" s="153" t="n">
        <f aca="false">IF(AND($M1112&lt;&gt;"",$N1112="VCA",$Q1112="LINEAR"),$M1112,IF(AND($M1112&lt;&gt;"",$N1112="MND",$Q1112="EMBOQUE"),$AN1112*2,0))</f>
        <v>29.09</v>
      </c>
      <c r="BJ1112" s="153" t="n">
        <f aca="false">IF(AND($M1112&lt;&gt;"",$N1112="VCA",$Q1112="LINEAR"),($M1112*6.8)/100,IF(AND($M1112&lt;&gt;"",$N1112="MND",$Q1112="EMBOQUE"),($AN1112*2*6.8)/100,0))</f>
        <v>1.97812</v>
      </c>
      <c r="BK1112" s="153" t="n">
        <f aca="false">IF(AND($M1112&lt;&gt;"",$N1112="VCA",$Q1112="LINEAR"),($M1112*2.5)/50,IF(AND($M1112&lt;&gt;"",$N1112="MND",$Q1112="EMBOQUE"),($AN1112*2*2.5)/50,0))</f>
        <v>1.4545</v>
      </c>
      <c r="BL1112" s="157" t="str">
        <f aca="false">K1112&amp;J1112</f>
        <v>Zona10REDES</v>
      </c>
      <c r="BM1112" s="152" t="s">
        <v>5703</v>
      </c>
      <c r="BN1112" s="152" t="s">
        <v>1560</v>
      </c>
      <c r="BO1112" s="152" t="s">
        <v>2489</v>
      </c>
      <c r="BP1112" s="152" t="s">
        <v>5764</v>
      </c>
      <c r="BQ1112" s="152" t="s">
        <v>5768</v>
      </c>
      <c r="BR1112" s="152" t="s">
        <v>5769</v>
      </c>
      <c r="BS1112" s="152" t="n">
        <v>203127.584</v>
      </c>
      <c r="BT1112" s="152" t="n">
        <v>8237167.336</v>
      </c>
      <c r="BU1112" s="152" t="n">
        <v>203150.264</v>
      </c>
      <c r="BV1112" s="152" t="n">
        <v>8237149.198</v>
      </c>
      <c r="BW1112" s="152" t="n">
        <v>-15.9270853</v>
      </c>
      <c r="BX1112" s="152" t="n">
        <v>-47.7726953</v>
      </c>
      <c r="BY1112" s="152" t="s">
        <v>5764</v>
      </c>
    </row>
    <row r="1113" customFormat="false" ht="13.8" hidden="false" customHeight="false" outlineLevel="0" collapsed="false">
      <c r="A1113" s="149" t="n">
        <f aca="false">IF(C1113&lt;&gt;"",ROW(A1108),"")</f>
        <v>1108</v>
      </c>
      <c r="B1113" s="150" t="str">
        <f aca="false">HYPERLINK("https://www.google.com/maps/dir/-15.917302,-47.760003/-15.9254331,-47.7712888/data=!4m3!4m2!3e0!5i2")</f>
        <v>https://www.google.com/maps/dir/-15.917302,-47.760003/-15.9254331,-47.7712888/data=!4m3!4m2!3e0!5i2</v>
      </c>
      <c r="C1113" s="151" t="s">
        <v>117</v>
      </c>
      <c r="D1113" s="152" t="s">
        <v>112</v>
      </c>
      <c r="E1113" s="152" t="s">
        <v>113</v>
      </c>
      <c r="F1113" s="152" t="s">
        <v>117</v>
      </c>
      <c r="G1113" s="152" t="s">
        <v>782</v>
      </c>
      <c r="H1113" s="152" t="n">
        <v>63</v>
      </c>
      <c r="I1113" s="152" t="s">
        <v>115</v>
      </c>
      <c r="J1113" s="152" t="s">
        <v>6</v>
      </c>
      <c r="K1113" s="152" t="s">
        <v>5700</v>
      </c>
      <c r="L1113" s="152" t="s">
        <v>120</v>
      </c>
      <c r="M1113" s="153" t="n">
        <f aca="false">132.78+0.51</f>
        <v>133.29</v>
      </c>
      <c r="N1113" s="152" t="s">
        <v>1548</v>
      </c>
      <c r="O1113" s="152" t="s">
        <v>1549</v>
      </c>
      <c r="P1113" s="152" t="s">
        <v>1550</v>
      </c>
      <c r="Q1113" s="152" t="s">
        <v>1551</v>
      </c>
      <c r="R1113" s="154" t="s">
        <v>5770</v>
      </c>
      <c r="S1113" s="154" t="s">
        <v>1553</v>
      </c>
      <c r="T1113" s="155" t="s">
        <v>3685</v>
      </c>
      <c r="U1113" s="152" t="str">
        <f aca="false">RIGHT(T1113,7)</f>
        <v>012/037</v>
      </c>
      <c r="V1113" s="152" t="s">
        <v>1555</v>
      </c>
      <c r="W1113" s="156" t="n">
        <v>45882</v>
      </c>
      <c r="X1113" s="152" t="s">
        <v>1594</v>
      </c>
      <c r="Y1113" s="152" t="s">
        <v>3721</v>
      </c>
      <c r="Z1113" s="152" t="s">
        <v>1557</v>
      </c>
      <c r="AA1113" s="153" t="n">
        <v>3.4</v>
      </c>
      <c r="AB1113" s="151" t="s">
        <v>5771</v>
      </c>
      <c r="AC1113" s="151" t="s">
        <v>186</v>
      </c>
      <c r="AD1113" s="151" t="str">
        <f aca="false">CONCATENATE($C1113,$I1113,$H1113,$N1113,$J1113,$K1113)</f>
        <v>TUBO PEADPEAD63VCAREDESZona10</v>
      </c>
      <c r="AE1113" s="153" t="n">
        <f aca="false">IFERROR(INDEX(APOIO_REDES!$A:$W,MATCH($C1113&amp;$I1113&amp;$H1113&amp;$N1113&amp;$O1113,APOIO_REDES!$W:$W,0),MATCH(AE$5,APOIO_REDES!$5:$5,0)),0)</f>
        <v>1.2</v>
      </c>
      <c r="AF1113" s="153" t="n">
        <f aca="false">IFERROR(INDEX(APOIO_REDES!$A:$W,MATCH($C1113&amp;$I1113&amp;$H1113&amp;$N1113&amp;$O1113,APOIO_REDES!$W:$W,0),MATCH(AF$5,APOIO_REDES!$5:$5,0)),0)</f>
        <v>1.363</v>
      </c>
      <c r="AG1113" s="153" t="n">
        <f aca="false">IFERROR(INDEX(APOIO_REDES!$A:$W,MATCH($C1113&amp;$I1113&amp;$H1113&amp;$N1113&amp;$O1113,APOIO_REDES!$W:$W,0),MATCH(AG$5,APOIO_REDES!$5:$5,0)),0)</f>
        <v>0.65</v>
      </c>
      <c r="AH1113" s="153" t="n">
        <f aca="false">IFERROR(INDEX(APOIO_REDES!$A:$W,MATCH($C1113&amp;$I1113&amp;$H1113&amp;$N1113&amp;$O1113,APOIO_REDES!$W:$W,0),MATCH(AH$5,APOIO_REDES!$5:$5,0)),0)</f>
        <v>0.1</v>
      </c>
      <c r="AI1113" s="153" t="n">
        <f aca="false">IFERROR(IF($H1113&lt;&gt;"",(((($H1113/1000)/2)^2)*PI()*$M1113),0),0)</f>
        <v>0.415497627439807</v>
      </c>
      <c r="AJ1113" s="153" t="n">
        <f aca="false">IFERROR(IF(AND($H1113&lt;&gt;"",$I1113="FoFo",OR($N1113="MND",$N1113="VCA"),$Q1113="LINEAR"),0,IF(AND($H1113&lt;&gt;"",$I1113="PEAD",$N1113="VCA",$Q1113="LINEAR"),($H1113/1000)+0.3,IF(AND($H1113&lt;&gt;"",$I1113="PEAD",$N1113="MND",$Q1113="EMBOQUE"),0,IF(AND($H1113&lt;&gt;"",$I1113="PVC",$N1113="VCA",$Q1113="LINEAR"),($H1113/1000)+0.2,IF(AND($H1113&lt;&gt;"",$I1113="PVC",$N1113="MND",$Q1113="EMBOQUE"),0,IF(AND($H1113&lt;&gt;"",$I1113="PEAD",$N1113="VCA",$Q1113="PREDIAL"),0,0)))))),0)</f>
        <v>0.363</v>
      </c>
      <c r="AK1113" s="153" t="n">
        <f aca="false">IF(AA1113&lt;&gt;"",AA1113,0)</f>
        <v>3.4</v>
      </c>
      <c r="AL1113" s="153" t="n">
        <f aca="false">IF(AND($N1113="MND",$Q1113="EMBOQUE"),$M1113,IF(AND($N1113="VCA",$Q1113="LINEAR"),$M1113,IF(AND($N1113="VCA",$Q1113="PREDIAL"),0,0)))</f>
        <v>133.29</v>
      </c>
      <c r="AM1113" s="153" t="n">
        <f aca="false">IF(AND($N1113="MND",$Q1113="EMBOQUE"),$M1113,IF(AND($N1113="VCA",$Q1113="LINEAR"),$M1113,IF(AND($N1113="VCA",$Q1113="PREDIAL"),0,0)))</f>
        <v>133.29</v>
      </c>
      <c r="AN1113" s="153" t="n">
        <f aca="false">ROUND(IF(AND($N1113="VCA",$M1113&lt;&gt;"",$Q1113="LINEAR"),$M1113/100,IF(AND($N1113="MND",$M1113&gt;100,$Q1113="EMBOQUE"),$M1113/100,0)),0)</f>
        <v>1</v>
      </c>
      <c r="AO1113" s="153" t="n">
        <f aca="false">IF(AND($N1113="MND",$Q1113="EMBOQUE"),$AN1113*2*2,IF(AND($N1113="VCA",$Q1113="LINEAR"),$M1113*2,IF(AND($N1113="VCA",$Q1113="PREDIAL"),0,0)))</f>
        <v>266.58</v>
      </c>
      <c r="AP1113" s="153" t="n">
        <f aca="false">IFERROR($M1113*$AF1113*$AG1113,0)</f>
        <v>118.0882755</v>
      </c>
      <c r="AQ1113" s="153" t="n">
        <f aca="false">IFERROR(IF(AND($N1113="VCA",$AH1113&gt;0),$M1113*$AG1113*$AH1113,0),0)</f>
        <v>8.66385</v>
      </c>
      <c r="AR1113" s="153" t="n">
        <f aca="false">IFERROR(IF(AND($N1113="VCA",$AJ1113&gt;0),($M1113*$AG1113*$AJ1113)-$AI1113,0),0)</f>
        <v>31.0342778725602</v>
      </c>
      <c r="AS1113" s="153" t="n">
        <f aca="false">IFERROR(IF(AND($N1113="VCA",$AP1113&gt;0),$AP1113-$AI1113-$AQ1113-$AR1113,0),0)</f>
        <v>77.97465</v>
      </c>
      <c r="AT1113" s="153" t="n">
        <f aca="false">IFERROR(IF($N1113="VCA",INDEX(APOIO_REDES!$A:$W,MATCH($C1113&amp;$I1113&amp;$H1113&amp;$N1113&amp;$O1113,APOIO_REDES!$W:$W,0),MATCH(AT$5,APOIO_REDES!$5:$5,0)),0)*$AP1113,0)</f>
        <v>1.28483538978541</v>
      </c>
      <c r="AU1113" s="153" t="n">
        <f aca="false">IFERROR(IF($N1113="VCA",INDEX(APOIO_REDES!$A:$W,MATCH($C1113&amp;$I1113&amp;$H1113&amp;$N1113&amp;$O1113,APOIO_REDES!$W:$W,0),MATCH(AU$5,APOIO_REDES!$5:$5,0)),0)*$AP1113,0)</f>
        <v>1.0260347445272</v>
      </c>
      <c r="AV1113" s="153" t="n">
        <f aca="false">IFERROR(IF($N1113="VCA",INDEX(APOIO_REDES!$A:$W,MATCH($C1113&amp;$I1113&amp;$H1113&amp;$N1113&amp;$O1113,APOIO_REDES!$W:$W,0),MATCH(AV$5,APOIO_REDES!$5:$5,0)),0)*$AP1113,0)</f>
        <v>0.141995153954012</v>
      </c>
      <c r="AW1113" s="153" t="n">
        <f aca="false">IFERROR(IF($N1113="VCA",INDEX(APOIO_REDES!$A:$W,MATCH($C1113&amp;$I1113&amp;$H1113&amp;$N1113&amp;$O1113,APOIO_REDES!$W:$W,0),MATCH(AW$5,APOIO_REDES!$5:$5,0)),0)*$AP1113,0)</f>
        <v>81.056707295808</v>
      </c>
      <c r="AX1113" s="153" t="n">
        <f aca="false">IFERROR(IF($N1113="VCA",INDEX(APOIO_REDES!$A:$W,MATCH($C1113&amp;$I1113&amp;$H1113&amp;$N1113&amp;$O1113,APOIO_REDES!$W:$W,0),MATCH(AX$5,APOIO_REDES!$5:$5,0)),0)*$AP1113,0)</f>
        <v>11.2180173953385</v>
      </c>
      <c r="AY1113" s="153" t="n">
        <f aca="false">IFERROR(IF($N1113="VCA",INDEX(APOIO_REDES!$A:$W,MATCH($C1113&amp;$I1113&amp;$H1113&amp;$N1113&amp;$O1113,APOIO_REDES!$W:$W,0),MATCH(AY$5,APOIO_REDES!$5:$5,0)),0)*$AP1113,0)</f>
        <v>20.5206823832637</v>
      </c>
      <c r="AZ1113" s="153" t="n">
        <f aca="false">IFERROR(IF($N1113="VCA",INDEX(APOIO_REDES!$A:$W,MATCH($C1113&amp;$I1113&amp;$H1113&amp;$N1113&amp;$O1113,APOIO_REDES!$W:$W,0),MATCH(AZ$5,APOIO_REDES!$5:$5,0)),0)*$AP1113,0)</f>
        <v>2.84000313732313</v>
      </c>
      <c r="BA1113" s="153" t="n">
        <f aca="false">IFERROR(IF(AND($N1113="VCA",$Q1113="LINEAR"),INDEX(APOIO_REDES!$A:$W,MATCH($C1113&amp;$I1113&amp;$H1113&amp;$N1113&amp;$O1113,APOIO_REDES!$W:$W,0),MATCH(BA$5,APOIO_REDES!$5:$5,0)),IF(AND($N1113="MND",$Q1113="EMBOQUE"),INDEX(APOIO_REDES!$A:$W,MATCH($C1113&amp;$I1113&amp;$H1113&amp;$N1113&amp;$O1113,APOIO_REDES!$W:$W,0),MATCH(BA$5,APOIO_REDES!$5:$5,0)),0))*$M1113/10,0)</f>
        <v>10.7428377866089</v>
      </c>
      <c r="BB1113" s="153" t="n">
        <f aca="false">IFERROR(IF($N1113="VCA",INDEX(APOIO_REDES!$A:$W,MATCH($C1113&amp;$I1113&amp;$H1113&amp;$N1113&amp;$O1113,APOIO_REDES!$W:$W,0),MATCH(BB$5,APOIO_REDES!$5:$5,0)),0)*($AI1113+$AQ1113+$AR1113),0)</f>
        <v>39.6771773815329</v>
      </c>
      <c r="BC1113" s="153" t="n">
        <f aca="false">IFERROR(IF($N1113="VCA",INDEX(APOIO_REDES!$A:$W,MATCH($C1113&amp;$I1113&amp;$H1113&amp;$N1113&amp;$O1113,APOIO_REDES!$W:$W,0),MATCH(BC$5,APOIO_REDES!$5:$5,0)),0)*($AI1113+$AQ1113+$AR1113),0)</f>
        <v>0.436448118467091</v>
      </c>
      <c r="BD1113" s="153" t="n">
        <f aca="false">IF(AND($N1113="VCA",$AF1113&gt;=1.25,$AF1113&lt;1.5),$M1113*$AF1113*2,0)</f>
        <v>363.34854</v>
      </c>
      <c r="BE1113" s="153" t="n">
        <f aca="false">IF(AND($N1113="VCA",$AF1113&gt;=1.5,$AF1113&lt;3),$M1113*$AF1113*2,0)</f>
        <v>0</v>
      </c>
      <c r="BF1113" s="153" t="n">
        <f aca="false">IF(AND($N1113="VCA",$AF1113&gt;=3),$M1113*$AF1113*2,0)</f>
        <v>0</v>
      </c>
      <c r="BG1113" s="153" t="n">
        <f aca="false">($BB1113+$BC1113)*$AK1113</f>
        <v>136.3863267</v>
      </c>
      <c r="BH1113" s="153" t="n">
        <f aca="false">IF(AND($M1113&lt;&gt;"",$N1113="VCA",$Q1113="LINEAR"),($M1113*2)/100,IF(AND($M1113&lt;&gt;"",$N1113="MND",$Q1113="EMBOQUE"),($AN1113*2)/100,0))</f>
        <v>2.6658</v>
      </c>
      <c r="BI1113" s="153" t="n">
        <f aca="false">IF(AND($M1113&lt;&gt;"",$N1113="VCA",$Q1113="LINEAR"),$M1113,IF(AND($M1113&lt;&gt;"",$N1113="MND",$Q1113="EMBOQUE"),$AN1113*2,0))</f>
        <v>133.29</v>
      </c>
      <c r="BJ1113" s="153" t="n">
        <f aca="false">IF(AND($M1113&lt;&gt;"",$N1113="VCA",$Q1113="LINEAR"),($M1113*6.8)/100,IF(AND($M1113&lt;&gt;"",$N1113="MND",$Q1113="EMBOQUE"),($AN1113*2*6.8)/100,0))</f>
        <v>9.06372</v>
      </c>
      <c r="BK1113" s="153" t="n">
        <f aca="false">IF(AND($M1113&lt;&gt;"",$N1113="VCA",$Q1113="LINEAR"),($M1113*2.5)/50,IF(AND($M1113&lt;&gt;"",$N1113="MND",$Q1113="EMBOQUE"),($AN1113*2*2.5)/50,0))</f>
        <v>6.6645</v>
      </c>
      <c r="BL1113" s="157" t="str">
        <f aca="false">K1113&amp;J1113</f>
        <v>Zona10REDES</v>
      </c>
      <c r="BM1113" s="152" t="s">
        <v>5703</v>
      </c>
      <c r="BN1113" s="152" t="s">
        <v>1560</v>
      </c>
      <c r="BO1113" s="152" t="s">
        <v>3688</v>
      </c>
      <c r="BP1113" s="152" t="s">
        <v>5772</v>
      </c>
      <c r="BQ1113" s="152" t="s">
        <v>5773</v>
      </c>
      <c r="BR1113" s="152" t="s">
        <v>5774</v>
      </c>
      <c r="BS1113" s="152" t="n">
        <v>203286.795</v>
      </c>
      <c r="BT1113" s="152" t="n">
        <v>8237342.742</v>
      </c>
      <c r="BU1113" s="152" t="n">
        <v>203354.163</v>
      </c>
      <c r="BV1113" s="152" t="n">
        <v>8237364.666</v>
      </c>
      <c r="BW1113" s="152" t="n">
        <v>-15.924962</v>
      </c>
      <c r="BX1113" s="152" t="n">
        <v>-47.7712013</v>
      </c>
      <c r="BY1113" s="152" t="s">
        <v>5772</v>
      </c>
    </row>
    <row r="1114" customFormat="false" ht="13.8" hidden="false" customHeight="false" outlineLevel="0" collapsed="false">
      <c r="A1114" s="149" t="n">
        <f aca="false">IF(C1114&lt;&gt;"",ROW(A1109),"")</f>
        <v>1109</v>
      </c>
      <c r="B1114" s="150" t="str">
        <f aca="false">HYPERLINK("https://www.google.com/maps/dir/-15.917302,-47.760003/-15.9254078,-47.7722446/data=!4m3!4m2!3e0!5i2")</f>
        <v>https://www.google.com/maps/dir/-15.917302,-47.760003/-15.9254078,-47.7722446/data=!4m3!4m2!3e0!5i2</v>
      </c>
      <c r="C1114" s="151" t="s">
        <v>117</v>
      </c>
      <c r="D1114" s="152" t="s">
        <v>112</v>
      </c>
      <c r="E1114" s="152" t="s">
        <v>113</v>
      </c>
      <c r="F1114" s="152" t="s">
        <v>117</v>
      </c>
      <c r="G1114" s="152" t="s">
        <v>782</v>
      </c>
      <c r="H1114" s="152" t="n">
        <v>63</v>
      </c>
      <c r="I1114" s="152" t="s">
        <v>115</v>
      </c>
      <c r="J1114" s="152" t="s">
        <v>6</v>
      </c>
      <c r="K1114" s="152" t="s">
        <v>5700</v>
      </c>
      <c r="L1114" s="152" t="s">
        <v>120</v>
      </c>
      <c r="M1114" s="153" t="n">
        <f aca="false">69.1</f>
        <v>69.1</v>
      </c>
      <c r="N1114" s="152" t="s">
        <v>1548</v>
      </c>
      <c r="O1114" s="152" t="s">
        <v>1549</v>
      </c>
      <c r="P1114" s="152" t="s">
        <v>1550</v>
      </c>
      <c r="Q1114" s="152" t="s">
        <v>1551</v>
      </c>
      <c r="R1114" s="154" t="s">
        <v>5775</v>
      </c>
      <c r="S1114" s="154" t="s">
        <v>1553</v>
      </c>
      <c r="T1114" s="155" t="s">
        <v>3685</v>
      </c>
      <c r="U1114" s="152" t="str">
        <f aca="false">RIGHT(T1114,7)</f>
        <v>012/037</v>
      </c>
      <c r="V1114" s="152" t="s">
        <v>1555</v>
      </c>
      <c r="W1114" s="156" t="n">
        <v>45882</v>
      </c>
      <c r="X1114" s="152" t="s">
        <v>1594</v>
      </c>
      <c r="Y1114" s="152" t="s">
        <v>3516</v>
      </c>
      <c r="Z1114" s="152" t="s">
        <v>1557</v>
      </c>
      <c r="AA1114" s="153" t="n">
        <v>3.8</v>
      </c>
      <c r="AB1114" s="151" t="s">
        <v>5776</v>
      </c>
      <c r="AC1114" s="151" t="s">
        <v>186</v>
      </c>
      <c r="AD1114" s="151" t="str">
        <f aca="false">CONCATENATE($C1114,$I1114,$H1114,$N1114,$J1114,$K1114)</f>
        <v>TUBO PEADPEAD63VCAREDESZona10</v>
      </c>
      <c r="AE1114" s="153" t="n">
        <f aca="false">IFERROR(INDEX(APOIO_REDES!$A:$W,MATCH($C1114&amp;$I1114&amp;$H1114&amp;$N1114&amp;$O1114,APOIO_REDES!$W:$W,0),MATCH(AE$5,APOIO_REDES!$5:$5,0)),0)</f>
        <v>1.2</v>
      </c>
      <c r="AF1114" s="153" t="n">
        <f aca="false">IFERROR(INDEX(APOIO_REDES!$A:$W,MATCH($C1114&amp;$I1114&amp;$H1114&amp;$N1114&amp;$O1114,APOIO_REDES!$W:$W,0),MATCH(AF$5,APOIO_REDES!$5:$5,0)),0)</f>
        <v>1.363</v>
      </c>
      <c r="AG1114" s="153" t="n">
        <f aca="false">IFERROR(INDEX(APOIO_REDES!$A:$W,MATCH($C1114&amp;$I1114&amp;$H1114&amp;$N1114&amp;$O1114,APOIO_REDES!$W:$W,0),MATCH(AG$5,APOIO_REDES!$5:$5,0)),0)</f>
        <v>0.65</v>
      </c>
      <c r="AH1114" s="153" t="n">
        <f aca="false">IFERROR(INDEX(APOIO_REDES!$A:$W,MATCH($C1114&amp;$I1114&amp;$H1114&amp;$N1114&amp;$O1114,APOIO_REDES!$W:$W,0),MATCH(AH$5,APOIO_REDES!$5:$5,0)),0)</f>
        <v>0.1</v>
      </c>
      <c r="AI1114" s="153" t="n">
        <f aca="false">IFERROR(IF($H1114&lt;&gt;"",(((($H1114/1000)/2)^2)*PI()*$M1114),0),0)</f>
        <v>0.215401650957241</v>
      </c>
      <c r="AJ1114" s="153" t="n">
        <f aca="false">IFERROR(IF(AND($H1114&lt;&gt;"",$I1114="FoFo",OR($N1114="MND",$N1114="VCA"),$Q1114="LINEAR"),0,IF(AND($H1114&lt;&gt;"",$I1114="PEAD",$N1114="VCA",$Q1114="LINEAR"),($H1114/1000)+0.3,IF(AND($H1114&lt;&gt;"",$I1114="PEAD",$N1114="MND",$Q1114="EMBOQUE"),0,IF(AND($H1114&lt;&gt;"",$I1114="PVC",$N1114="VCA",$Q1114="LINEAR"),($H1114/1000)+0.2,IF(AND($H1114&lt;&gt;"",$I1114="PVC",$N1114="MND",$Q1114="EMBOQUE"),0,IF(AND($H1114&lt;&gt;"",$I1114="PEAD",$N1114="VCA",$Q1114="PREDIAL"),0,0)))))),0)</f>
        <v>0.363</v>
      </c>
      <c r="AK1114" s="153" t="n">
        <f aca="false">IF(AA1114&lt;&gt;"",AA1114,0)</f>
        <v>3.8</v>
      </c>
      <c r="AL1114" s="153" t="n">
        <f aca="false">IF(AND($N1114="MND",$Q1114="EMBOQUE"),$M1114,IF(AND($N1114="VCA",$Q1114="LINEAR"),$M1114,IF(AND($N1114="VCA",$Q1114="PREDIAL"),0,0)))</f>
        <v>69.1</v>
      </c>
      <c r="AM1114" s="153" t="n">
        <f aca="false">IF(AND($N1114="MND",$Q1114="EMBOQUE"),$M1114,IF(AND($N1114="VCA",$Q1114="LINEAR"),$M1114,IF(AND($N1114="VCA",$Q1114="PREDIAL"),0,0)))</f>
        <v>69.1</v>
      </c>
      <c r="AN1114" s="153" t="n">
        <f aca="false">ROUND(IF(AND($N1114="VCA",$M1114&lt;&gt;"",$Q1114="LINEAR"),$M1114/100,IF(AND($N1114="MND",$M1114&gt;100,$Q1114="EMBOQUE"),$M1114/100,0)),0)</f>
        <v>1</v>
      </c>
      <c r="AO1114" s="153" t="n">
        <f aca="false">IF(AND($N1114="MND",$Q1114="EMBOQUE"),$AN1114*2*2,IF(AND($N1114="VCA",$Q1114="LINEAR"),$M1114*2,IF(AND($N1114="VCA",$Q1114="PREDIAL"),0,0)))</f>
        <v>138.2</v>
      </c>
      <c r="AP1114" s="153" t="n">
        <f aca="false">IFERROR($M1114*$AF1114*$AG1114,0)</f>
        <v>61.219145</v>
      </c>
      <c r="AQ1114" s="153" t="n">
        <f aca="false">IFERROR(IF(AND($N1114="VCA",$AH1114&gt;0),$M1114*$AG1114*$AH1114,0),0)</f>
        <v>4.4915</v>
      </c>
      <c r="AR1114" s="153" t="n">
        <f aca="false">IFERROR(IF(AND($N1114="VCA",$AJ1114&gt;0),($M1114*$AG1114*$AJ1114)-$AI1114,0),0)</f>
        <v>16.0887433490428</v>
      </c>
      <c r="AS1114" s="153" t="n">
        <f aca="false">IFERROR(IF(AND($N1114="VCA",$AP1114&gt;0),$AP1114-$AI1114-$AQ1114-$AR1114,0),0)</f>
        <v>40.4235</v>
      </c>
      <c r="AT1114" s="153" t="n">
        <f aca="false">IFERROR(IF($N1114="VCA",INDEX(APOIO_REDES!$A:$W,MATCH($C1114&amp;$I1114&amp;$H1114&amp;$N1114&amp;$O1114,APOIO_REDES!$W:$W,0),MATCH(AT$5,APOIO_REDES!$5:$5,0)),0)*$AP1114,0)</f>
        <v>0.66608241754199</v>
      </c>
      <c r="AU1114" s="153" t="n">
        <f aca="false">IFERROR(IF($N1114="VCA",INDEX(APOIO_REDES!$A:$W,MATCH($C1114&amp;$I1114&amp;$H1114&amp;$N1114&amp;$O1114,APOIO_REDES!$W:$W,0),MATCH(AU$5,APOIO_REDES!$5:$5,0)),0)*$AP1114,0)</f>
        <v>0.531915378849349</v>
      </c>
      <c r="AV1114" s="153" t="n">
        <f aca="false">IFERROR(IF($N1114="VCA",INDEX(APOIO_REDES!$A:$W,MATCH($C1114&amp;$I1114&amp;$H1114&amp;$N1114&amp;$O1114,APOIO_REDES!$W:$W,0),MATCH(AV$5,APOIO_REDES!$5:$5,0)),0)*$AP1114,0)</f>
        <v>0.0736129127333049</v>
      </c>
      <c r="AW1114" s="153" t="n">
        <f aca="false">IFERROR(IF($N1114="VCA",INDEX(APOIO_REDES!$A:$W,MATCH($C1114&amp;$I1114&amp;$H1114&amp;$N1114&amp;$O1114,APOIO_REDES!$W:$W,0),MATCH(AW$5,APOIO_REDES!$5:$5,0)),0)*$AP1114,0)</f>
        <v>42.0212954770826</v>
      </c>
      <c r="AX1114" s="153" t="n">
        <f aca="false">IFERROR(IF($N1114="VCA",INDEX(APOIO_REDES!$A:$W,MATCH($C1114&amp;$I1114&amp;$H1114&amp;$N1114&amp;$O1114,APOIO_REDES!$W:$W,0),MATCH(AX$5,APOIO_REDES!$5:$5,0)),0)*$AP1114,0)</f>
        <v>5.81562759410227</v>
      </c>
      <c r="AY1114" s="153" t="n">
        <f aca="false">IFERROR(IF($N1114="VCA",INDEX(APOIO_REDES!$A:$W,MATCH($C1114&amp;$I1114&amp;$H1114&amp;$N1114&amp;$O1114,APOIO_REDES!$W:$W,0),MATCH(AY$5,APOIO_REDES!$5:$5,0)),0)*$AP1114,0)</f>
        <v>10.6383010929816</v>
      </c>
      <c r="AZ1114" s="153" t="n">
        <f aca="false">IFERROR(IF($N1114="VCA",INDEX(APOIO_REDES!$A:$W,MATCH($C1114&amp;$I1114&amp;$H1114&amp;$N1114&amp;$O1114,APOIO_REDES!$W:$W,0),MATCH(AZ$5,APOIO_REDES!$5:$5,0)),0)*$AP1114,0)</f>
        <v>1.47231012670889</v>
      </c>
      <c r="BA1114" s="153" t="n">
        <f aca="false">IFERROR(IF(AND($N1114="VCA",$Q1114="LINEAR"),INDEX(APOIO_REDES!$A:$W,MATCH($C1114&amp;$I1114&amp;$H1114&amp;$N1114&amp;$O1114,APOIO_REDES!$W:$W,0),MATCH(BA$5,APOIO_REDES!$5:$5,0)),IF(AND($N1114="MND",$Q1114="EMBOQUE"),INDEX(APOIO_REDES!$A:$W,MATCH($C1114&amp;$I1114&amp;$H1114&amp;$N1114&amp;$O1114,APOIO_REDES!$W:$W,0),MATCH(BA$5,APOIO_REDES!$5:$5,0)),0))*$M1114/10,0)</f>
        <v>5.56928570076282</v>
      </c>
      <c r="BB1114" s="153" t="n">
        <f aca="false">IFERROR(IF($N1114="VCA",INDEX(APOIO_REDES!$A:$W,MATCH($C1114&amp;$I1114&amp;$H1114&amp;$N1114&amp;$O1114,APOIO_REDES!$W:$W,0),MATCH(BB$5,APOIO_REDES!$5:$5,0)),0)*($AI1114+$AQ1114+$AR1114),0)</f>
        <v>20.5693822272033</v>
      </c>
      <c r="BC1114" s="153" t="n">
        <f aca="false">IFERROR(IF($N1114="VCA",INDEX(APOIO_REDES!$A:$W,MATCH($C1114&amp;$I1114&amp;$H1114&amp;$N1114&amp;$O1114,APOIO_REDES!$W:$W,0),MATCH(BC$5,APOIO_REDES!$5:$5,0)),0)*($AI1114+$AQ1114+$AR1114),0)</f>
        <v>0.226262772796729</v>
      </c>
      <c r="BD1114" s="153" t="n">
        <f aca="false">IF(AND($N1114="VCA",$AF1114&gt;=1.25,$AF1114&lt;1.5),$M1114*$AF1114*2,0)</f>
        <v>188.3666</v>
      </c>
      <c r="BE1114" s="153" t="n">
        <f aca="false">IF(AND($N1114="VCA",$AF1114&gt;=1.5,$AF1114&lt;3),$M1114*$AF1114*2,0)</f>
        <v>0</v>
      </c>
      <c r="BF1114" s="153" t="n">
        <f aca="false">IF(AND($N1114="VCA",$AF1114&gt;=3),$M1114*$AF1114*2,0)</f>
        <v>0</v>
      </c>
      <c r="BG1114" s="153" t="n">
        <f aca="false">($BB1114+$BC1114)*$AK1114</f>
        <v>79.023451</v>
      </c>
      <c r="BH1114" s="153" t="n">
        <f aca="false">IF(AND($M1114&lt;&gt;"",$N1114="VCA",$Q1114="LINEAR"),($M1114*2)/100,IF(AND($M1114&lt;&gt;"",$N1114="MND",$Q1114="EMBOQUE"),($AN1114*2)/100,0))</f>
        <v>1.382</v>
      </c>
      <c r="BI1114" s="153" t="n">
        <f aca="false">IF(AND($M1114&lt;&gt;"",$N1114="VCA",$Q1114="LINEAR"),$M1114,IF(AND($M1114&lt;&gt;"",$N1114="MND",$Q1114="EMBOQUE"),$AN1114*2,0))</f>
        <v>69.1</v>
      </c>
      <c r="BJ1114" s="153" t="n">
        <f aca="false">IF(AND($M1114&lt;&gt;"",$N1114="VCA",$Q1114="LINEAR"),($M1114*6.8)/100,IF(AND($M1114&lt;&gt;"",$N1114="MND",$Q1114="EMBOQUE"),($AN1114*2*6.8)/100,0))</f>
        <v>4.6988</v>
      </c>
      <c r="BK1114" s="153" t="n">
        <f aca="false">IF(AND($M1114&lt;&gt;"",$N1114="VCA",$Q1114="LINEAR"),($M1114*2.5)/50,IF(AND($M1114&lt;&gt;"",$N1114="MND",$Q1114="EMBOQUE"),($AN1114*2*2.5)/50,0))</f>
        <v>3.455</v>
      </c>
      <c r="BL1114" s="157" t="str">
        <f aca="false">K1114&amp;J1114</f>
        <v>Zona10REDES</v>
      </c>
      <c r="BM1114" s="152" t="s">
        <v>5703</v>
      </c>
      <c r="BN1114" s="152" t="s">
        <v>1560</v>
      </c>
      <c r="BO1114" s="152" t="s">
        <v>3688</v>
      </c>
      <c r="BP1114" s="152" t="s">
        <v>2032</v>
      </c>
      <c r="BQ1114" s="152" t="s">
        <v>5777</v>
      </c>
      <c r="BR1114" s="152" t="s">
        <v>3711</v>
      </c>
      <c r="BS1114" s="152" t="n">
        <v>203220.061</v>
      </c>
      <c r="BT1114" s="152" t="n">
        <v>8237403.308</v>
      </c>
      <c r="BU1114" s="152" t="n">
        <v>203184.357</v>
      </c>
      <c r="BV1114" s="152" t="n">
        <v>8237344.183</v>
      </c>
      <c r="BW1114" s="152" t="n">
        <v>-15.9251435</v>
      </c>
      <c r="BX1114" s="152" t="n">
        <v>-47.7720732</v>
      </c>
      <c r="BY1114" s="152" t="s">
        <v>5777</v>
      </c>
    </row>
    <row r="1115" customFormat="false" ht="13.8" hidden="false" customHeight="false" outlineLevel="0" collapsed="false">
      <c r="A1115" s="149" t="n">
        <f aca="false">IF(C1115&lt;&gt;"",ROW(A1110),"")</f>
        <v>1110</v>
      </c>
      <c r="B1115" s="150" t="str">
        <f aca="false">HYPERLINK("https://www.google.com/maps/dir/-15.917302,-47.760003/-15.9254078,-47.7722446/data=!4m3!4m2!3e0!5i2")</f>
        <v>https://www.google.com/maps/dir/-15.917302,-47.760003/-15.9254078,-47.7722446/data=!4m3!4m2!3e0!5i2</v>
      </c>
      <c r="C1115" s="151" t="s">
        <v>117</v>
      </c>
      <c r="D1115" s="152" t="s">
        <v>112</v>
      </c>
      <c r="E1115" s="152" t="s">
        <v>113</v>
      </c>
      <c r="F1115" s="152" t="s">
        <v>117</v>
      </c>
      <c r="G1115" s="152" t="s">
        <v>782</v>
      </c>
      <c r="H1115" s="152" t="n">
        <v>63</v>
      </c>
      <c r="I1115" s="152" t="s">
        <v>115</v>
      </c>
      <c r="J1115" s="152" t="s">
        <v>6</v>
      </c>
      <c r="K1115" s="152" t="s">
        <v>5700</v>
      </c>
      <c r="L1115" s="152" t="s">
        <v>120</v>
      </c>
      <c r="M1115" s="153" t="n">
        <f aca="false">22.97</f>
        <v>22.97</v>
      </c>
      <c r="N1115" s="152" t="s">
        <v>1548</v>
      </c>
      <c r="O1115" s="152" t="s">
        <v>1549</v>
      </c>
      <c r="P1115" s="152" t="s">
        <v>1550</v>
      </c>
      <c r="Q1115" s="152" t="s">
        <v>1551</v>
      </c>
      <c r="R1115" s="154" t="s">
        <v>5778</v>
      </c>
      <c r="S1115" s="154" t="s">
        <v>1553</v>
      </c>
      <c r="T1115" s="155" t="s">
        <v>3685</v>
      </c>
      <c r="U1115" s="152" t="str">
        <f aca="false">RIGHT(T1115,7)</f>
        <v>012/037</v>
      </c>
      <c r="V1115" s="152" t="s">
        <v>1555</v>
      </c>
      <c r="W1115" s="156" t="n">
        <v>45882</v>
      </c>
      <c r="X1115" s="152" t="s">
        <v>1594</v>
      </c>
      <c r="Y1115" s="152" t="s">
        <v>3516</v>
      </c>
      <c r="Z1115" s="152" t="s">
        <v>1557</v>
      </c>
      <c r="AA1115" s="153" t="n">
        <v>3.8</v>
      </c>
      <c r="AB1115" s="151" t="s">
        <v>5779</v>
      </c>
      <c r="AC1115" s="151" t="s">
        <v>186</v>
      </c>
      <c r="AD1115" s="151" t="str">
        <f aca="false">CONCATENATE($C1115,$I1115,$H1115,$N1115,$J1115,$K1115)</f>
        <v>TUBO PEADPEAD63VCAREDESZona10</v>
      </c>
      <c r="AE1115" s="153" t="n">
        <f aca="false">IFERROR(INDEX(APOIO_REDES!$A:$W,MATCH($C1115&amp;$I1115&amp;$H1115&amp;$N1115&amp;$O1115,APOIO_REDES!$W:$W,0),MATCH(AE$5,APOIO_REDES!$5:$5,0)),0)</f>
        <v>1.2</v>
      </c>
      <c r="AF1115" s="153" t="n">
        <f aca="false">IFERROR(INDEX(APOIO_REDES!$A:$W,MATCH($C1115&amp;$I1115&amp;$H1115&amp;$N1115&amp;$O1115,APOIO_REDES!$W:$W,0),MATCH(AF$5,APOIO_REDES!$5:$5,0)),0)</f>
        <v>1.363</v>
      </c>
      <c r="AG1115" s="153" t="n">
        <f aca="false">IFERROR(INDEX(APOIO_REDES!$A:$W,MATCH($C1115&amp;$I1115&amp;$H1115&amp;$N1115&amp;$O1115,APOIO_REDES!$W:$W,0),MATCH(AG$5,APOIO_REDES!$5:$5,0)),0)</f>
        <v>0.65</v>
      </c>
      <c r="AH1115" s="153" t="n">
        <f aca="false">IFERROR(INDEX(APOIO_REDES!$A:$W,MATCH($C1115&amp;$I1115&amp;$H1115&amp;$N1115&amp;$O1115,APOIO_REDES!$W:$W,0),MATCH(AH$5,APOIO_REDES!$5:$5,0)),0)</f>
        <v>0.1</v>
      </c>
      <c r="AI1115" s="153" t="n">
        <f aca="false">IFERROR(IF($H1115&lt;&gt;"",(((($H1115/1000)/2)^2)*PI()*$M1115),0),0)</f>
        <v>0.0716031247827471</v>
      </c>
      <c r="AJ1115" s="153" t="n">
        <f aca="false">IFERROR(IF(AND($H1115&lt;&gt;"",$I1115="FoFo",OR($N1115="MND",$N1115="VCA"),$Q1115="LINEAR"),0,IF(AND($H1115&lt;&gt;"",$I1115="PEAD",$N1115="VCA",$Q1115="LINEAR"),($H1115/1000)+0.3,IF(AND($H1115&lt;&gt;"",$I1115="PEAD",$N1115="MND",$Q1115="EMBOQUE"),0,IF(AND($H1115&lt;&gt;"",$I1115="PVC",$N1115="VCA",$Q1115="LINEAR"),($H1115/1000)+0.2,IF(AND($H1115&lt;&gt;"",$I1115="PVC",$N1115="MND",$Q1115="EMBOQUE"),0,IF(AND($H1115&lt;&gt;"",$I1115="PEAD",$N1115="VCA",$Q1115="PREDIAL"),0,0)))))),0)</f>
        <v>0.363</v>
      </c>
      <c r="AK1115" s="153" t="n">
        <f aca="false">IF(AA1115&lt;&gt;"",AA1115,0)</f>
        <v>3.8</v>
      </c>
      <c r="AL1115" s="153" t="n">
        <f aca="false">IF(AND($N1115="MND",$Q1115="EMBOQUE"),$M1115,IF(AND($N1115="VCA",$Q1115="LINEAR"),$M1115,IF(AND($N1115="VCA",$Q1115="PREDIAL"),0,0)))</f>
        <v>22.97</v>
      </c>
      <c r="AM1115" s="153" t="n">
        <f aca="false">IF(AND($N1115="MND",$Q1115="EMBOQUE"),$M1115,IF(AND($N1115="VCA",$Q1115="LINEAR"),$M1115,IF(AND($N1115="VCA",$Q1115="PREDIAL"),0,0)))</f>
        <v>22.97</v>
      </c>
      <c r="AN1115" s="153" t="n">
        <f aca="false">ROUND(IF(AND($N1115="VCA",$M1115&lt;&gt;"",$Q1115="LINEAR"),$M1115/100,IF(AND($N1115="MND",$M1115&gt;100,$Q1115="EMBOQUE"),$M1115/100,0)),0)</f>
        <v>0</v>
      </c>
      <c r="AO1115" s="153" t="n">
        <f aca="false">IF(AND($N1115="MND",$Q1115="EMBOQUE"),$AN1115*2*2,IF(AND($N1115="VCA",$Q1115="LINEAR"),$M1115*2,IF(AND($N1115="VCA",$Q1115="PREDIAL"),0,0)))</f>
        <v>45.94</v>
      </c>
      <c r="AP1115" s="153" t="n">
        <f aca="false">IFERROR($M1115*$AF1115*$AG1115,0)</f>
        <v>20.3502715</v>
      </c>
      <c r="AQ1115" s="153" t="n">
        <f aca="false">IFERROR(IF(AND($N1115="VCA",$AH1115&gt;0),$M1115*$AG1115*$AH1115,0),0)</f>
        <v>1.49305</v>
      </c>
      <c r="AR1115" s="153" t="n">
        <f aca="false">IFERROR(IF(AND($N1115="VCA",$AJ1115&gt;0),($M1115*$AG1115*$AJ1115)-$AI1115,0),0)</f>
        <v>5.34816837521725</v>
      </c>
      <c r="AS1115" s="153" t="n">
        <f aca="false">IFERROR(IF(AND($N1115="VCA",$AP1115&gt;0),$AP1115-$AI1115-$AQ1115-$AR1115,0),0)</f>
        <v>13.43745</v>
      </c>
      <c r="AT1115" s="153" t="n">
        <f aca="false">IFERROR(IF($N1115="VCA",INDEX(APOIO_REDES!$A:$W,MATCH($C1115&amp;$I1115&amp;$H1115&amp;$N1115&amp;$O1115,APOIO_REDES!$W:$W,0),MATCH(AT$5,APOIO_REDES!$5:$5,0)),0)*$AP1115,0)</f>
        <v>0.221416977292902</v>
      </c>
      <c r="AU1115" s="153" t="n">
        <f aca="false">IFERROR(IF($N1115="VCA",INDEX(APOIO_REDES!$A:$W,MATCH($C1115&amp;$I1115&amp;$H1115&amp;$N1115&amp;$O1115,APOIO_REDES!$W:$W,0),MATCH(AU$5,APOIO_REDES!$5:$5,0)),0)*$AP1115,0)</f>
        <v>0.176817601333858</v>
      </c>
      <c r="AV1115" s="153" t="n">
        <f aca="false">IFERROR(IF($N1115="VCA",INDEX(APOIO_REDES!$A:$W,MATCH($C1115&amp;$I1115&amp;$H1115&amp;$N1115&amp;$O1115,APOIO_REDES!$W:$W,0),MATCH(AV$5,APOIO_REDES!$5:$5,0)),0)*$AP1115,0)</f>
        <v>0.0244701679520118</v>
      </c>
      <c r="AW1115" s="153" t="n">
        <f aca="false">IFERROR(IF($N1115="VCA",INDEX(APOIO_REDES!$A:$W,MATCH($C1115&amp;$I1115&amp;$H1115&amp;$N1115&amp;$O1115,APOIO_REDES!$W:$W,0),MATCH(AW$5,APOIO_REDES!$5:$5,0)),0)*$AP1115,0)</f>
        <v>13.9685840391981</v>
      </c>
      <c r="AX1115" s="153" t="n">
        <f aca="false">IFERROR(IF($N1115="VCA",INDEX(APOIO_REDES!$A:$W,MATCH($C1115&amp;$I1115&amp;$H1115&amp;$N1115&amp;$O1115,APOIO_REDES!$W:$W,0),MATCH(AX$5,APOIO_REDES!$5:$5,0)),0)*$AP1115,0)</f>
        <v>1.93321224076019</v>
      </c>
      <c r="AY1115" s="153" t="n">
        <f aca="false">IFERROR(IF($N1115="VCA",INDEX(APOIO_REDES!$A:$W,MATCH($C1115&amp;$I1115&amp;$H1115&amp;$N1115&amp;$O1115,APOIO_REDES!$W:$W,0),MATCH(AY$5,APOIO_REDES!$5:$5,0)),0)*$AP1115,0)</f>
        <v>3.53634987128492</v>
      </c>
      <c r="AZ1115" s="153" t="n">
        <f aca="false">IFERROR(IF($N1115="VCA",INDEX(APOIO_REDES!$A:$W,MATCH($C1115&amp;$I1115&amp;$H1115&amp;$N1115&amp;$O1115,APOIO_REDES!$W:$W,0),MATCH(AZ$5,APOIO_REDES!$5:$5,0)),0)*$AP1115,0)</f>
        <v>0.48942060217805</v>
      </c>
      <c r="BA1115" s="153" t="n">
        <f aca="false">IFERROR(IF(AND($N1115="VCA",$Q1115="LINEAR"),INDEX(APOIO_REDES!$A:$W,MATCH($C1115&amp;$I1115&amp;$H1115&amp;$N1115&amp;$O1115,APOIO_REDES!$W:$W,0),MATCH(BA$5,APOIO_REDES!$5:$5,0)),IF(AND($N1115="MND",$Q1115="EMBOQUE"),INDEX(APOIO_REDES!$A:$W,MATCH($C1115&amp;$I1115&amp;$H1115&amp;$N1115&amp;$O1115,APOIO_REDES!$W:$W,0),MATCH(BA$5,APOIO_REDES!$5:$5,0)),0))*$M1115/10,0)</f>
        <v>1.85132406000755</v>
      </c>
      <c r="BB1115" s="153" t="n">
        <f aca="false">IFERROR(IF($N1115="VCA",INDEX(APOIO_REDES!$A:$W,MATCH($C1115&amp;$I1115&amp;$H1115&amp;$N1115&amp;$O1115,APOIO_REDES!$W:$W,0),MATCH(BB$5,APOIO_REDES!$5:$5,0)),0)*($AI1115+$AQ1115+$AR1115),0)</f>
        <v>6.83760795598928</v>
      </c>
      <c r="BC1115" s="153" t="n">
        <f aca="false">IFERROR(IF($N1115="VCA",INDEX(APOIO_REDES!$A:$W,MATCH($C1115&amp;$I1115&amp;$H1115&amp;$N1115&amp;$O1115,APOIO_REDES!$W:$W,0),MATCH(BC$5,APOIO_REDES!$5:$5,0)),0)*($AI1115+$AQ1115+$AR1115),0)</f>
        <v>0.0752135440107215</v>
      </c>
      <c r="BD1115" s="153" t="n">
        <f aca="false">IF(AND($N1115="VCA",$AF1115&gt;=1.25,$AF1115&lt;1.5),$M1115*$AF1115*2,0)</f>
        <v>62.61622</v>
      </c>
      <c r="BE1115" s="153" t="n">
        <f aca="false">IF(AND($N1115="VCA",$AF1115&gt;=1.5,$AF1115&lt;3),$M1115*$AF1115*2,0)</f>
        <v>0</v>
      </c>
      <c r="BF1115" s="153" t="n">
        <f aca="false">IF(AND($N1115="VCA",$AF1115&gt;=3),$M1115*$AF1115*2,0)</f>
        <v>0</v>
      </c>
      <c r="BG1115" s="153" t="n">
        <f aca="false">($BB1115+$BC1115)*$AK1115</f>
        <v>26.2687217</v>
      </c>
      <c r="BH1115" s="153" t="n">
        <f aca="false">IF(AND($M1115&lt;&gt;"",$N1115="VCA",$Q1115="LINEAR"),($M1115*2)/100,IF(AND($M1115&lt;&gt;"",$N1115="MND",$Q1115="EMBOQUE"),($AN1115*2)/100,0))</f>
        <v>0.4594</v>
      </c>
      <c r="BI1115" s="153" t="n">
        <f aca="false">IF(AND($M1115&lt;&gt;"",$N1115="VCA",$Q1115="LINEAR"),$M1115,IF(AND($M1115&lt;&gt;"",$N1115="MND",$Q1115="EMBOQUE"),$AN1115*2,0))</f>
        <v>22.97</v>
      </c>
      <c r="BJ1115" s="153" t="n">
        <f aca="false">IF(AND($M1115&lt;&gt;"",$N1115="VCA",$Q1115="LINEAR"),($M1115*6.8)/100,IF(AND($M1115&lt;&gt;"",$N1115="MND",$Q1115="EMBOQUE"),($AN1115*2*6.8)/100,0))</f>
        <v>1.56196</v>
      </c>
      <c r="BK1115" s="153" t="n">
        <f aca="false">IF(AND($M1115&lt;&gt;"",$N1115="VCA",$Q1115="LINEAR"),($M1115*2.5)/50,IF(AND($M1115&lt;&gt;"",$N1115="MND",$Q1115="EMBOQUE"),($AN1115*2*2.5)/50,0))</f>
        <v>1.1485</v>
      </c>
      <c r="BL1115" s="157" t="str">
        <f aca="false">K1115&amp;J1115</f>
        <v>Zona10REDES</v>
      </c>
      <c r="BM1115" s="152" t="s">
        <v>5703</v>
      </c>
      <c r="BN1115" s="152" t="s">
        <v>1560</v>
      </c>
      <c r="BO1115" s="152" t="s">
        <v>3688</v>
      </c>
      <c r="BP1115" s="152" t="s">
        <v>5777</v>
      </c>
      <c r="BQ1115" s="152" t="s">
        <v>5780</v>
      </c>
      <c r="BR1115" s="152" t="s">
        <v>5781</v>
      </c>
      <c r="BS1115" s="152" t="n">
        <v>203184.357</v>
      </c>
      <c r="BT1115" s="152" t="n">
        <v>8237344.183</v>
      </c>
      <c r="BU1115" s="152" t="n">
        <v>203199.905</v>
      </c>
      <c r="BV1115" s="152" t="n">
        <v>8237327.318</v>
      </c>
      <c r="BW1115" s="152" t="n">
        <v>-15.9254824</v>
      </c>
      <c r="BX1115" s="152" t="n">
        <v>-47.7721704</v>
      </c>
      <c r="BY1115" s="152" t="s">
        <v>5777</v>
      </c>
    </row>
    <row r="1116" customFormat="false" ht="13.8" hidden="false" customHeight="false" outlineLevel="0" collapsed="false">
      <c r="A1116" s="149" t="n">
        <f aca="false">IF(C1116&lt;&gt;"",ROW(A1111),"")</f>
        <v>1111</v>
      </c>
      <c r="B1116" s="150" t="str">
        <f aca="false">HYPERLINK("https://www.google.com/maps/dir/-15.917302,-47.760003/-15.9260821,-47.7721538/data=!4m3!4m2!3e0!5i2")</f>
        <v>https://www.google.com/maps/dir/-15.917302,-47.760003/-15.9260821,-47.7721538/data=!4m3!4m2!3e0!5i2</v>
      </c>
      <c r="C1116" s="151" t="s">
        <v>117</v>
      </c>
      <c r="D1116" s="152" t="s">
        <v>112</v>
      </c>
      <c r="E1116" s="152" t="s">
        <v>113</v>
      </c>
      <c r="F1116" s="152" t="s">
        <v>117</v>
      </c>
      <c r="G1116" s="152" t="s">
        <v>782</v>
      </c>
      <c r="H1116" s="152" t="n">
        <v>63</v>
      </c>
      <c r="I1116" s="152" t="s">
        <v>115</v>
      </c>
      <c r="J1116" s="152" t="s">
        <v>6</v>
      </c>
      <c r="K1116" s="152" t="s">
        <v>5700</v>
      </c>
      <c r="L1116" s="152" t="s">
        <v>120</v>
      </c>
      <c r="M1116" s="153" t="n">
        <f aca="false">145.64+4.05</f>
        <v>149.69</v>
      </c>
      <c r="N1116" s="152" t="s">
        <v>1548</v>
      </c>
      <c r="O1116" s="152" t="s">
        <v>1549</v>
      </c>
      <c r="P1116" s="152" t="s">
        <v>1550</v>
      </c>
      <c r="Q1116" s="152" t="s">
        <v>1551</v>
      </c>
      <c r="R1116" s="154" t="s">
        <v>5782</v>
      </c>
      <c r="S1116" s="154" t="s">
        <v>1553</v>
      </c>
      <c r="T1116" s="155" t="s">
        <v>3685</v>
      </c>
      <c r="U1116" s="152" t="str">
        <f aca="false">RIGHT(T1116,7)</f>
        <v>012/037</v>
      </c>
      <c r="V1116" s="152" t="s">
        <v>1555</v>
      </c>
      <c r="W1116" s="156" t="n">
        <v>45882</v>
      </c>
      <c r="X1116" s="152" t="s">
        <v>1594</v>
      </c>
      <c r="Y1116" s="152" t="s">
        <v>3516</v>
      </c>
      <c r="Z1116" s="152" t="s">
        <v>1557</v>
      </c>
      <c r="AA1116" s="153" t="n">
        <v>3.9</v>
      </c>
      <c r="AB1116" s="151" t="s">
        <v>5783</v>
      </c>
      <c r="AC1116" s="151" t="s">
        <v>186</v>
      </c>
      <c r="AD1116" s="151" t="str">
        <f aca="false">CONCATENATE($C1116,$I1116,$H1116,$N1116,$J1116,$K1116)</f>
        <v>TUBO PEADPEAD63VCAREDESZona10</v>
      </c>
      <c r="AE1116" s="153" t="n">
        <f aca="false">IFERROR(INDEX(APOIO_REDES!$A:$W,MATCH($C1116&amp;$I1116&amp;$H1116&amp;$N1116&amp;$O1116,APOIO_REDES!$W:$W,0),MATCH(AE$5,APOIO_REDES!$5:$5,0)),0)</f>
        <v>1.2</v>
      </c>
      <c r="AF1116" s="153" t="n">
        <f aca="false">IFERROR(INDEX(APOIO_REDES!$A:$W,MATCH($C1116&amp;$I1116&amp;$H1116&amp;$N1116&amp;$O1116,APOIO_REDES!$W:$W,0),MATCH(AF$5,APOIO_REDES!$5:$5,0)),0)</f>
        <v>1.363</v>
      </c>
      <c r="AG1116" s="153" t="n">
        <f aca="false">IFERROR(INDEX(APOIO_REDES!$A:$W,MATCH($C1116&amp;$I1116&amp;$H1116&amp;$N1116&amp;$O1116,APOIO_REDES!$W:$W,0),MATCH(AG$5,APOIO_REDES!$5:$5,0)),0)</f>
        <v>0.65</v>
      </c>
      <c r="AH1116" s="153" t="n">
        <f aca="false">IFERROR(INDEX(APOIO_REDES!$A:$W,MATCH($C1116&amp;$I1116&amp;$H1116&amp;$N1116&amp;$O1116,APOIO_REDES!$W:$W,0),MATCH(AH$5,APOIO_REDES!$5:$5,0)),0)</f>
        <v>0.1</v>
      </c>
      <c r="AI1116" s="153" t="n">
        <f aca="false">IFERROR(IF($H1116&lt;&gt;"",(((($H1116/1000)/2)^2)*PI()*$M1116),0),0)</f>
        <v>0.466620450532408</v>
      </c>
      <c r="AJ1116" s="153" t="n">
        <f aca="false">IFERROR(IF(AND($H1116&lt;&gt;"",$I1116="FoFo",OR($N1116="MND",$N1116="VCA"),$Q1116="LINEAR"),0,IF(AND($H1116&lt;&gt;"",$I1116="PEAD",$N1116="VCA",$Q1116="LINEAR"),($H1116/1000)+0.3,IF(AND($H1116&lt;&gt;"",$I1116="PEAD",$N1116="MND",$Q1116="EMBOQUE"),0,IF(AND($H1116&lt;&gt;"",$I1116="PVC",$N1116="VCA",$Q1116="LINEAR"),($H1116/1000)+0.2,IF(AND($H1116&lt;&gt;"",$I1116="PVC",$N1116="MND",$Q1116="EMBOQUE"),0,IF(AND($H1116&lt;&gt;"",$I1116="PEAD",$N1116="VCA",$Q1116="PREDIAL"),0,0)))))),0)</f>
        <v>0.363</v>
      </c>
      <c r="AK1116" s="153" t="n">
        <f aca="false">IF(AA1116&lt;&gt;"",AA1116,0)</f>
        <v>3.9</v>
      </c>
      <c r="AL1116" s="153" t="n">
        <f aca="false">IF(AND($N1116="MND",$Q1116="EMBOQUE"),$M1116,IF(AND($N1116="VCA",$Q1116="LINEAR"),$M1116,IF(AND($N1116="VCA",$Q1116="PREDIAL"),0,0)))</f>
        <v>149.69</v>
      </c>
      <c r="AM1116" s="153" t="n">
        <f aca="false">IF(AND($N1116="MND",$Q1116="EMBOQUE"),$M1116,IF(AND($N1116="VCA",$Q1116="LINEAR"),$M1116,IF(AND($N1116="VCA",$Q1116="PREDIAL"),0,0)))</f>
        <v>149.69</v>
      </c>
      <c r="AN1116" s="153" t="n">
        <f aca="false">ROUND(IF(AND($N1116="VCA",$M1116&lt;&gt;"",$Q1116="LINEAR"),$M1116/100,IF(AND($N1116="MND",$M1116&gt;100,$Q1116="EMBOQUE"),$M1116/100,0)),0)</f>
        <v>1</v>
      </c>
      <c r="AO1116" s="153" t="n">
        <f aca="false">IF(AND($N1116="MND",$Q1116="EMBOQUE"),$AN1116*2*2,IF(AND($N1116="VCA",$Q1116="LINEAR"),$M1116*2,IF(AND($N1116="VCA",$Q1116="PREDIAL"),0,0)))</f>
        <v>299.38</v>
      </c>
      <c r="AP1116" s="153" t="n">
        <f aca="false">IFERROR($M1116*$AF1116*$AG1116,0)</f>
        <v>132.6178555</v>
      </c>
      <c r="AQ1116" s="153" t="n">
        <f aca="false">IFERROR(IF(AND($N1116="VCA",$AH1116&gt;0),$M1116*$AG1116*$AH1116,0),0)</f>
        <v>9.72985</v>
      </c>
      <c r="AR1116" s="153" t="n">
        <f aca="false">IFERROR(IF(AND($N1116="VCA",$AJ1116&gt;0),($M1116*$AG1116*$AJ1116)-$AI1116,0),0)</f>
        <v>34.8527350494676</v>
      </c>
      <c r="AS1116" s="153" t="n">
        <f aca="false">IFERROR(IF(AND($N1116="VCA",$AP1116&gt;0),$AP1116-$AI1116-$AQ1116-$AR1116,0),0)</f>
        <v>87.56865</v>
      </c>
      <c r="AT1116" s="153" t="n">
        <f aca="false">IFERROR(IF($N1116="VCA",INDEX(APOIO_REDES!$A:$W,MATCH($C1116&amp;$I1116&amp;$H1116&amp;$N1116&amp;$O1116,APOIO_REDES!$W:$W,0),MATCH(AT$5,APOIO_REDES!$5:$5,0)),0)*$AP1116,0)</f>
        <v>1.44292152072157</v>
      </c>
      <c r="AU1116" s="153" t="n">
        <f aca="false">IFERROR(IF($N1116="VCA",INDEX(APOIO_REDES!$A:$W,MATCH($C1116&amp;$I1116&amp;$H1116&amp;$N1116&amp;$O1116,APOIO_REDES!$W:$W,0),MATCH(AU$5,APOIO_REDES!$5:$5,0)),0)*$AP1116,0)</f>
        <v>1.15227804717741</v>
      </c>
      <c r="AV1116" s="153" t="n">
        <f aca="false">IFERROR(IF($N1116="VCA",INDEX(APOIO_REDES!$A:$W,MATCH($C1116&amp;$I1116&amp;$H1116&amp;$N1116&amp;$O1116,APOIO_REDES!$W:$W,0),MATCH(AV$5,APOIO_REDES!$5:$5,0)),0)*$AP1116,0)</f>
        <v>0.159466235992017</v>
      </c>
      <c r="AW1116" s="153" t="n">
        <f aca="false">IFERROR(IF($N1116="VCA",INDEX(APOIO_REDES!$A:$W,MATCH($C1116&amp;$I1116&amp;$H1116&amp;$N1116&amp;$O1116,APOIO_REDES!$W:$W,0),MATCH(AW$5,APOIO_REDES!$5:$5,0)),0)*$AP1116,0)</f>
        <v>91.0299235884875</v>
      </c>
      <c r="AX1116" s="153" t="n">
        <f aca="false">IFERROR(IF($N1116="VCA",INDEX(APOIO_REDES!$A:$W,MATCH($C1116&amp;$I1116&amp;$H1116&amp;$N1116&amp;$O1116,APOIO_REDES!$W:$W,0),MATCH(AX$5,APOIO_REDES!$5:$5,0)),0)*$AP1116,0)</f>
        <v>12.598282121001</v>
      </c>
      <c r="AY1116" s="153" t="n">
        <f aca="false">IFERROR(IF($N1116="VCA",INDEX(APOIO_REDES!$A:$W,MATCH($C1116&amp;$I1116&amp;$H1116&amp;$N1116&amp;$O1116,APOIO_REDES!$W:$W,0),MATCH(AY$5,APOIO_REDES!$5:$5,0)),0)*$AP1116,0)</f>
        <v>23.0455468973722</v>
      </c>
      <c r="AZ1116" s="153" t="n">
        <f aca="false">IFERROR(IF($N1116="VCA",INDEX(APOIO_REDES!$A:$W,MATCH($C1116&amp;$I1116&amp;$H1116&amp;$N1116&amp;$O1116,APOIO_REDES!$W:$W,0),MATCH(AZ$5,APOIO_REDES!$5:$5,0)),0)*$AP1116,0)</f>
        <v>3.18943708924825</v>
      </c>
      <c r="BA1116" s="153" t="n">
        <f aca="false">IFERROR(IF(AND($N1116="VCA",$Q1116="LINEAR"),INDEX(APOIO_REDES!$A:$W,MATCH($C1116&amp;$I1116&amp;$H1116&amp;$N1116&amp;$O1116,APOIO_REDES!$W:$W,0),MATCH(BA$5,APOIO_REDES!$5:$5,0)),IF(AND($N1116="MND",$Q1116="EMBOQUE"),INDEX(APOIO_REDES!$A:$W,MATCH($C1116&amp;$I1116&amp;$H1116&amp;$N1116&amp;$O1116,APOIO_REDES!$W:$W,0),MATCH(BA$5,APOIO_REDES!$5:$5,0)),0))*$M1116/10,0)</f>
        <v>12.0646364189173</v>
      </c>
      <c r="BB1116" s="153" t="n">
        <f aca="false">IFERROR(IF($N1116="VCA",INDEX(APOIO_REDES!$A:$W,MATCH($C1116&amp;$I1116&amp;$H1116&amp;$N1116&amp;$O1116,APOIO_REDES!$W:$W,0),MATCH(BB$5,APOIO_REDES!$5:$5,0)),0)*($AI1116+$AQ1116+$AR1116),0)</f>
        <v>44.5590568102758</v>
      </c>
      <c r="BC1116" s="153" t="n">
        <f aca="false">IFERROR(IF($N1116="VCA",INDEX(APOIO_REDES!$A:$W,MATCH($C1116&amp;$I1116&amp;$H1116&amp;$N1116&amp;$O1116,APOIO_REDES!$W:$W,0),MATCH(BC$5,APOIO_REDES!$5:$5,0)),0)*($AI1116+$AQ1116+$AR1116),0)</f>
        <v>0.490148689724201</v>
      </c>
      <c r="BD1116" s="153" t="n">
        <f aca="false">IF(AND($N1116="VCA",$AF1116&gt;=1.25,$AF1116&lt;1.5),$M1116*$AF1116*2,0)</f>
        <v>408.05494</v>
      </c>
      <c r="BE1116" s="153" t="n">
        <f aca="false">IF(AND($N1116="VCA",$AF1116&gt;=1.5,$AF1116&lt;3),$M1116*$AF1116*2,0)</f>
        <v>0</v>
      </c>
      <c r="BF1116" s="153" t="n">
        <f aca="false">IF(AND($N1116="VCA",$AF1116&gt;=3),$M1116*$AF1116*2,0)</f>
        <v>0</v>
      </c>
      <c r="BG1116" s="153" t="n">
        <f aca="false">($BB1116+$BC1116)*$AK1116</f>
        <v>175.69190145</v>
      </c>
      <c r="BH1116" s="153" t="n">
        <f aca="false">IF(AND($M1116&lt;&gt;"",$N1116="VCA",$Q1116="LINEAR"),($M1116*2)/100,IF(AND($M1116&lt;&gt;"",$N1116="MND",$Q1116="EMBOQUE"),($AN1116*2)/100,0))</f>
        <v>2.9938</v>
      </c>
      <c r="BI1116" s="153" t="n">
        <f aca="false">IF(AND($M1116&lt;&gt;"",$N1116="VCA",$Q1116="LINEAR"),$M1116,IF(AND($M1116&lt;&gt;"",$N1116="MND",$Q1116="EMBOQUE"),$AN1116*2,0))</f>
        <v>149.69</v>
      </c>
      <c r="BJ1116" s="153" t="n">
        <f aca="false">IF(AND($M1116&lt;&gt;"",$N1116="VCA",$Q1116="LINEAR"),($M1116*6.8)/100,IF(AND($M1116&lt;&gt;"",$N1116="MND",$Q1116="EMBOQUE"),($AN1116*2*6.8)/100,0))</f>
        <v>10.17892</v>
      </c>
      <c r="BK1116" s="153" t="n">
        <f aca="false">IF(AND($M1116&lt;&gt;"",$N1116="VCA",$Q1116="LINEAR"),($M1116*2.5)/50,IF(AND($M1116&lt;&gt;"",$N1116="MND",$Q1116="EMBOQUE"),($AN1116*2*2.5)/50,0))</f>
        <v>7.4845</v>
      </c>
      <c r="BL1116" s="157" t="str">
        <f aca="false">K1116&amp;J1116</f>
        <v>Zona10REDES</v>
      </c>
      <c r="BM1116" s="152" t="s">
        <v>5703</v>
      </c>
      <c r="BN1116" s="152" t="s">
        <v>1560</v>
      </c>
      <c r="BO1116" s="152" t="s">
        <v>3688</v>
      </c>
      <c r="BP1116" s="152" t="s">
        <v>2032</v>
      </c>
      <c r="BQ1116" s="152" t="s">
        <v>5784</v>
      </c>
      <c r="BR1116" s="152" t="s">
        <v>5785</v>
      </c>
      <c r="BS1116" s="152" t="n">
        <v>203267.706</v>
      </c>
      <c r="BT1116" s="152" t="n">
        <v>8237395.831</v>
      </c>
      <c r="BU1116" s="152" t="n">
        <v>203194.971</v>
      </c>
      <c r="BV1116" s="152" t="n">
        <v>8237269.712</v>
      </c>
      <c r="BW1116" s="152" t="n">
        <v>-15.9255216</v>
      </c>
      <c r="BX1116" s="152" t="n">
        <v>-47.7717985</v>
      </c>
      <c r="BY1116" s="152" t="s">
        <v>5784</v>
      </c>
    </row>
    <row r="1117" customFormat="false" ht="13.8" hidden="false" customHeight="false" outlineLevel="0" collapsed="false">
      <c r="A1117" s="149" t="n">
        <f aca="false">IF(C1117&lt;&gt;"",ROW(A1112),"")</f>
        <v>1112</v>
      </c>
      <c r="B1117" s="150" t="str">
        <f aca="false">HYPERLINK("https://www.google.com/maps/dir/-15.917302,-47.760003/-15.9256588,-47.7708830/data=!4m3!4m2!3e0!5i2")</f>
        <v>https://www.google.com/maps/dir/-15.917302,-47.760003/-15.9256588,-47.7708830/data=!4m3!4m2!3e0!5i2</v>
      </c>
      <c r="C1117" s="151" t="s">
        <v>117</v>
      </c>
      <c r="D1117" s="152" t="s">
        <v>112</v>
      </c>
      <c r="E1117" s="152" t="s">
        <v>113</v>
      </c>
      <c r="F1117" s="152" t="s">
        <v>117</v>
      </c>
      <c r="G1117" s="152" t="s">
        <v>782</v>
      </c>
      <c r="H1117" s="152" t="n">
        <v>63</v>
      </c>
      <c r="I1117" s="152" t="s">
        <v>115</v>
      </c>
      <c r="J1117" s="152" t="s">
        <v>6</v>
      </c>
      <c r="K1117" s="152" t="s">
        <v>5700</v>
      </c>
      <c r="L1117" s="152" t="s">
        <v>120</v>
      </c>
      <c r="M1117" s="153" t="n">
        <f aca="false">50.15</f>
        <v>50.15</v>
      </c>
      <c r="N1117" s="152" t="s">
        <v>1548</v>
      </c>
      <c r="O1117" s="152" t="s">
        <v>1549</v>
      </c>
      <c r="P1117" s="152" t="s">
        <v>1550</v>
      </c>
      <c r="Q1117" s="152" t="s">
        <v>1551</v>
      </c>
      <c r="R1117" s="154" t="s">
        <v>5786</v>
      </c>
      <c r="S1117" s="154" t="s">
        <v>1553</v>
      </c>
      <c r="T1117" s="155" t="s">
        <v>3685</v>
      </c>
      <c r="U1117" s="152" t="str">
        <f aca="false">RIGHT(T1117,7)</f>
        <v>012/037</v>
      </c>
      <c r="V1117" s="152" t="s">
        <v>1555</v>
      </c>
      <c r="W1117" s="156" t="n">
        <v>45882</v>
      </c>
      <c r="X1117" s="152" t="s">
        <v>1594</v>
      </c>
      <c r="Y1117" s="152" t="s">
        <v>3721</v>
      </c>
      <c r="Z1117" s="152" t="s">
        <v>1557</v>
      </c>
      <c r="AA1117" s="153" t="n">
        <v>3.2</v>
      </c>
      <c r="AB1117" s="151" t="s">
        <v>5787</v>
      </c>
      <c r="AC1117" s="151" t="s">
        <v>186</v>
      </c>
      <c r="AD1117" s="151" t="str">
        <f aca="false">CONCATENATE($C1117,$I1117,$H1117,$N1117,$J1117,$K1117)</f>
        <v>TUBO PEADPEAD63VCAREDESZona10</v>
      </c>
      <c r="AE1117" s="153" t="n">
        <f aca="false">IFERROR(INDEX(APOIO_REDES!$A:$W,MATCH($C1117&amp;$I1117&amp;$H1117&amp;$N1117&amp;$O1117,APOIO_REDES!$W:$W,0),MATCH(AE$5,APOIO_REDES!$5:$5,0)),0)</f>
        <v>1.2</v>
      </c>
      <c r="AF1117" s="153" t="n">
        <f aca="false">IFERROR(INDEX(APOIO_REDES!$A:$W,MATCH($C1117&amp;$I1117&amp;$H1117&amp;$N1117&amp;$O1117,APOIO_REDES!$W:$W,0),MATCH(AF$5,APOIO_REDES!$5:$5,0)),0)</f>
        <v>1.363</v>
      </c>
      <c r="AG1117" s="153" t="n">
        <f aca="false">IFERROR(INDEX(APOIO_REDES!$A:$W,MATCH($C1117&amp;$I1117&amp;$H1117&amp;$N1117&amp;$O1117,APOIO_REDES!$W:$W,0),MATCH(AG$5,APOIO_REDES!$5:$5,0)),0)</f>
        <v>0.65</v>
      </c>
      <c r="AH1117" s="153" t="n">
        <f aca="false">IFERROR(INDEX(APOIO_REDES!$A:$W,MATCH($C1117&amp;$I1117&amp;$H1117&amp;$N1117&amp;$O1117,APOIO_REDES!$W:$W,0),MATCH(AH$5,APOIO_REDES!$5:$5,0)),0)</f>
        <v>0.1</v>
      </c>
      <c r="AI1117" s="153" t="n">
        <f aca="false">IFERROR(IF($H1117&lt;&gt;"",(((($H1117/1000)/2)^2)*PI()*$M1117),0),0)</f>
        <v>0.156329852322802</v>
      </c>
      <c r="AJ1117" s="153" t="n">
        <f aca="false">IFERROR(IF(AND($H1117&lt;&gt;"",$I1117="FoFo",OR($N1117="MND",$N1117="VCA"),$Q1117="LINEAR"),0,IF(AND($H1117&lt;&gt;"",$I1117="PEAD",$N1117="VCA",$Q1117="LINEAR"),($H1117/1000)+0.3,IF(AND($H1117&lt;&gt;"",$I1117="PEAD",$N1117="MND",$Q1117="EMBOQUE"),0,IF(AND($H1117&lt;&gt;"",$I1117="PVC",$N1117="VCA",$Q1117="LINEAR"),($H1117/1000)+0.2,IF(AND($H1117&lt;&gt;"",$I1117="PVC",$N1117="MND",$Q1117="EMBOQUE"),0,IF(AND($H1117&lt;&gt;"",$I1117="PEAD",$N1117="VCA",$Q1117="PREDIAL"),0,0)))))),0)</f>
        <v>0.363</v>
      </c>
      <c r="AK1117" s="153" t="n">
        <f aca="false">IF(AA1117&lt;&gt;"",AA1117,0)</f>
        <v>3.2</v>
      </c>
      <c r="AL1117" s="153" t="n">
        <f aca="false">IF(AND($N1117="MND",$Q1117="EMBOQUE"),$M1117,IF(AND($N1117="VCA",$Q1117="LINEAR"),$M1117,IF(AND($N1117="VCA",$Q1117="PREDIAL"),0,0)))</f>
        <v>50.15</v>
      </c>
      <c r="AM1117" s="153" t="n">
        <f aca="false">IF(AND($N1117="MND",$Q1117="EMBOQUE"),$M1117,IF(AND($N1117="VCA",$Q1117="LINEAR"),$M1117,IF(AND($N1117="VCA",$Q1117="PREDIAL"),0,0)))</f>
        <v>50.15</v>
      </c>
      <c r="AN1117" s="153" t="n">
        <f aca="false">ROUND(IF(AND($N1117="VCA",$M1117&lt;&gt;"",$Q1117="LINEAR"),$M1117/100,IF(AND($N1117="MND",$M1117&gt;100,$Q1117="EMBOQUE"),$M1117/100,0)),0)</f>
        <v>1</v>
      </c>
      <c r="AO1117" s="153" t="n">
        <f aca="false">IF(AND($N1117="MND",$Q1117="EMBOQUE"),$AN1117*2*2,IF(AND($N1117="VCA",$Q1117="LINEAR"),$M1117*2,IF(AND($N1117="VCA",$Q1117="PREDIAL"),0,0)))</f>
        <v>100.3</v>
      </c>
      <c r="AP1117" s="153" t="n">
        <f aca="false">IFERROR($M1117*$AF1117*$AG1117,0)</f>
        <v>44.4303925</v>
      </c>
      <c r="AQ1117" s="153" t="n">
        <f aca="false">IFERROR(IF(AND($N1117="VCA",$AH1117&gt;0),$M1117*$AG1117*$AH1117,0),0)</f>
        <v>3.25975</v>
      </c>
      <c r="AR1117" s="153" t="n">
        <f aca="false">IFERROR(IF(AND($N1117="VCA",$AJ1117&gt;0),($M1117*$AG1117*$AJ1117)-$AI1117,0),0)</f>
        <v>11.6765626476772</v>
      </c>
      <c r="AS1117" s="153" t="n">
        <f aca="false">IFERROR(IF(AND($N1117="VCA",$AP1117&gt;0),$AP1117-$AI1117-$AQ1117-$AR1117,0),0)</f>
        <v>29.33775</v>
      </c>
      <c r="AT1117" s="153" t="n">
        <f aca="false">IFERROR(IF($N1117="VCA",INDEX(APOIO_REDES!$A:$W,MATCH($C1117&amp;$I1117&amp;$H1117&amp;$N1117&amp;$O1117,APOIO_REDES!$W:$W,0),MATCH(AT$5,APOIO_REDES!$5:$5,0)),0)*$AP1117,0)</f>
        <v>0.483415821124903</v>
      </c>
      <c r="AU1117" s="153" t="n">
        <f aca="false">IFERROR(IF($N1117="VCA",INDEX(APOIO_REDES!$A:$W,MATCH($C1117&amp;$I1117&amp;$H1117&amp;$N1117&amp;$O1117,APOIO_REDES!$W:$W,0),MATCH(AU$5,APOIO_REDES!$5:$5,0)),0)*$AP1117,0)</f>
        <v>0.386042782189506</v>
      </c>
      <c r="AV1117" s="153" t="n">
        <f aca="false">IFERROR(IF($N1117="VCA",INDEX(APOIO_REDES!$A:$W,MATCH($C1117&amp;$I1117&amp;$H1117&amp;$N1117&amp;$O1117,APOIO_REDES!$W:$W,0),MATCH(AV$5,APOIO_REDES!$5:$5,0)),0)*$AP1117,0)</f>
        <v>0.0534252905003653</v>
      </c>
      <c r="AW1117" s="153" t="n">
        <f aca="false">IFERROR(IF($N1117="VCA",INDEX(APOIO_REDES!$A:$W,MATCH($C1117&amp;$I1117&amp;$H1117&amp;$N1117&amp;$O1117,APOIO_REDES!$W:$W,0),MATCH(AW$5,APOIO_REDES!$5:$5,0)),0)*$AP1117,0)</f>
        <v>30.4973656754803</v>
      </c>
      <c r="AX1117" s="153" t="n">
        <f aca="false">IFERROR(IF($N1117="VCA",INDEX(APOIO_REDES!$A:$W,MATCH($C1117&amp;$I1117&amp;$H1117&amp;$N1117&amp;$O1117,APOIO_REDES!$W:$W,0),MATCH(AX$5,APOIO_REDES!$5:$5,0)),0)*$AP1117,0)</f>
        <v>4.22074853609593</v>
      </c>
      <c r="AY1117" s="153" t="n">
        <f aca="false">IFERROR(IF($N1117="VCA",INDEX(APOIO_REDES!$A:$W,MATCH($C1117&amp;$I1117&amp;$H1117&amp;$N1117&amp;$O1117,APOIO_REDES!$W:$W,0),MATCH(AY$5,APOIO_REDES!$5:$5,0)),0)*$AP1117,0)</f>
        <v>7.7208509379599</v>
      </c>
      <c r="AZ1117" s="153" t="n">
        <f aca="false">IFERROR(IF($N1117="VCA",INDEX(APOIO_REDES!$A:$W,MATCH($C1117&amp;$I1117&amp;$H1117&amp;$N1117&amp;$O1117,APOIO_REDES!$W:$W,0),MATCH(AZ$5,APOIO_REDES!$5:$5,0)),0)*$AP1117,0)</f>
        <v>1.06854345664907</v>
      </c>
      <c r="BA1117" s="153" t="n">
        <f aca="false">IFERROR(IF(AND($N1117="VCA",$Q1117="LINEAR"),INDEX(APOIO_REDES!$A:$W,MATCH($C1117&amp;$I1117&amp;$H1117&amp;$N1117&amp;$O1117,APOIO_REDES!$W:$W,0),MATCH(BA$5,APOIO_REDES!$5:$5,0)),IF(AND($N1117="MND",$Q1117="EMBOQUE"),INDEX(APOIO_REDES!$A:$W,MATCH($C1117&amp;$I1117&amp;$H1117&amp;$N1117&amp;$O1117,APOIO_REDES!$W:$W,0),MATCH(BA$5,APOIO_REDES!$5:$5,0)),0))*$M1117/10,0)</f>
        <v>4.04196350062598</v>
      </c>
      <c r="BB1117" s="153" t="n">
        <f aca="false">IFERROR(IF($N1117="VCA",INDEX(APOIO_REDES!$A:$W,MATCH($C1117&amp;$I1117&amp;$H1117&amp;$N1117&amp;$O1117,APOIO_REDES!$W:$W,0),MATCH(BB$5,APOIO_REDES!$5:$5,0)),0)*($AI1117+$AQ1117+$AR1117),0)</f>
        <v>14.9284300824059</v>
      </c>
      <c r="BC1117" s="153" t="n">
        <f aca="false">IFERROR(IF($N1117="VCA",INDEX(APOIO_REDES!$A:$W,MATCH($C1117&amp;$I1117&amp;$H1117&amp;$N1117&amp;$O1117,APOIO_REDES!$W:$W,0),MATCH(BC$5,APOIO_REDES!$5:$5,0)),0)*($AI1117+$AQ1117+$AR1117),0)</f>
        <v>0.164212417594153</v>
      </c>
      <c r="BD1117" s="153" t="n">
        <f aca="false">IF(AND($N1117="VCA",$AF1117&gt;=1.25,$AF1117&lt;1.5),$M1117*$AF1117*2,0)</f>
        <v>136.7089</v>
      </c>
      <c r="BE1117" s="153" t="n">
        <f aca="false">IF(AND($N1117="VCA",$AF1117&gt;=1.5,$AF1117&lt;3),$M1117*$AF1117*2,0)</f>
        <v>0</v>
      </c>
      <c r="BF1117" s="153" t="n">
        <f aca="false">IF(AND($N1117="VCA",$AF1117&gt;=3),$M1117*$AF1117*2,0)</f>
        <v>0</v>
      </c>
      <c r="BG1117" s="153" t="n">
        <f aca="false">($BB1117+$BC1117)*$AK1117</f>
        <v>48.296456</v>
      </c>
      <c r="BH1117" s="153" t="n">
        <f aca="false">IF(AND($M1117&lt;&gt;"",$N1117="VCA",$Q1117="LINEAR"),($M1117*2)/100,IF(AND($M1117&lt;&gt;"",$N1117="MND",$Q1117="EMBOQUE"),($AN1117*2)/100,0))</f>
        <v>1.003</v>
      </c>
      <c r="BI1117" s="153" t="n">
        <f aca="false">IF(AND($M1117&lt;&gt;"",$N1117="VCA",$Q1117="LINEAR"),$M1117,IF(AND($M1117&lt;&gt;"",$N1117="MND",$Q1117="EMBOQUE"),$AN1117*2,0))</f>
        <v>50.15</v>
      </c>
      <c r="BJ1117" s="153" t="n">
        <f aca="false">IF(AND($M1117&lt;&gt;"",$N1117="VCA",$Q1117="LINEAR"),($M1117*6.8)/100,IF(AND($M1117&lt;&gt;"",$N1117="MND",$Q1117="EMBOQUE"),($AN1117*2*6.8)/100,0))</f>
        <v>3.4102</v>
      </c>
      <c r="BK1117" s="153" t="n">
        <f aca="false">IF(AND($M1117&lt;&gt;"",$N1117="VCA",$Q1117="LINEAR"),($M1117*2.5)/50,IF(AND($M1117&lt;&gt;"",$N1117="MND",$Q1117="EMBOQUE"),($AN1117*2*2.5)/50,0))</f>
        <v>2.5075</v>
      </c>
      <c r="BL1117" s="157" t="str">
        <f aca="false">K1117&amp;J1117</f>
        <v>Zona10REDES</v>
      </c>
      <c r="BM1117" s="152" t="s">
        <v>5703</v>
      </c>
      <c r="BN1117" s="152" t="s">
        <v>1560</v>
      </c>
      <c r="BO1117" s="152" t="s">
        <v>3688</v>
      </c>
      <c r="BP1117" s="152" t="s">
        <v>5788</v>
      </c>
      <c r="BQ1117" s="152" t="s">
        <v>5772</v>
      </c>
      <c r="BR1117" s="152" t="s">
        <v>5789</v>
      </c>
      <c r="BS1117" s="152" t="n">
        <v>203330.604</v>
      </c>
      <c r="BT1117" s="152" t="n">
        <v>8237318.327</v>
      </c>
      <c r="BU1117" s="152" t="n">
        <v>203286.795</v>
      </c>
      <c r="BV1117" s="152" t="n">
        <v>8237342.742</v>
      </c>
      <c r="BW1117" s="152" t="n">
        <v>-15.9255459</v>
      </c>
      <c r="BX1117" s="152" t="n">
        <v>-47.7710859</v>
      </c>
      <c r="BY1117" s="152" t="s">
        <v>5788</v>
      </c>
    </row>
    <row r="1118" customFormat="false" ht="13.8" hidden="false" customHeight="false" outlineLevel="0" collapsed="false">
      <c r="A1118" s="149" t="n">
        <f aca="false">IF(C1118&lt;&gt;"",ROW(A1113),"")</f>
        <v>1113</v>
      </c>
      <c r="B1118" s="150" t="str">
        <f aca="false">HYPERLINK("https://www.google.com/maps/dir/-15.917302,-47.760003/-15.9256588,-47.7708830/data=!4m3!4m2!3e0!5i2")</f>
        <v>https://www.google.com/maps/dir/-15.917302,-47.760003/-15.9256588,-47.7708830/data=!4m3!4m2!3e0!5i2</v>
      </c>
      <c r="C1118" s="151" t="s">
        <v>117</v>
      </c>
      <c r="D1118" s="152" t="s">
        <v>112</v>
      </c>
      <c r="E1118" s="152" t="s">
        <v>113</v>
      </c>
      <c r="F1118" s="152" t="s">
        <v>117</v>
      </c>
      <c r="G1118" s="152" t="s">
        <v>782</v>
      </c>
      <c r="H1118" s="152" t="n">
        <v>63</v>
      </c>
      <c r="I1118" s="152" t="s">
        <v>115</v>
      </c>
      <c r="J1118" s="152" t="s">
        <v>6</v>
      </c>
      <c r="K1118" s="152" t="s">
        <v>5700</v>
      </c>
      <c r="L1118" s="152" t="s">
        <v>120</v>
      </c>
      <c r="M1118" s="153" t="n">
        <f aca="false">44.94</f>
        <v>44.94</v>
      </c>
      <c r="N1118" s="152" t="s">
        <v>1548</v>
      </c>
      <c r="O1118" s="152" t="s">
        <v>1549</v>
      </c>
      <c r="P1118" s="152" t="s">
        <v>1550</v>
      </c>
      <c r="Q1118" s="152" t="s">
        <v>1551</v>
      </c>
      <c r="R1118" s="154" t="s">
        <v>5790</v>
      </c>
      <c r="S1118" s="154" t="s">
        <v>1553</v>
      </c>
      <c r="T1118" s="155" t="s">
        <v>3685</v>
      </c>
      <c r="U1118" s="152" t="str">
        <f aca="false">RIGHT(T1118,7)</f>
        <v>012/037</v>
      </c>
      <c r="V1118" s="152" t="s">
        <v>1555</v>
      </c>
      <c r="W1118" s="156" t="n">
        <v>45882</v>
      </c>
      <c r="X1118" s="152" t="s">
        <v>1594</v>
      </c>
      <c r="Y1118" s="152" t="s">
        <v>3721</v>
      </c>
      <c r="Z1118" s="152" t="s">
        <v>1557</v>
      </c>
      <c r="AA1118" s="153" t="n">
        <v>3.2</v>
      </c>
      <c r="AB1118" s="151" t="s">
        <v>5791</v>
      </c>
      <c r="AC1118" s="151" t="s">
        <v>186</v>
      </c>
      <c r="AD1118" s="151" t="str">
        <f aca="false">CONCATENATE($C1118,$I1118,$H1118,$N1118,$J1118,$K1118)</f>
        <v>TUBO PEADPEAD63VCAREDESZona10</v>
      </c>
      <c r="AE1118" s="153" t="n">
        <f aca="false">IFERROR(INDEX(APOIO_REDES!$A:$W,MATCH($C1118&amp;$I1118&amp;$H1118&amp;$N1118&amp;$O1118,APOIO_REDES!$W:$W,0),MATCH(AE$5,APOIO_REDES!$5:$5,0)),0)</f>
        <v>1.2</v>
      </c>
      <c r="AF1118" s="153" t="n">
        <f aca="false">IFERROR(INDEX(APOIO_REDES!$A:$W,MATCH($C1118&amp;$I1118&amp;$H1118&amp;$N1118&amp;$O1118,APOIO_REDES!$W:$W,0),MATCH(AF$5,APOIO_REDES!$5:$5,0)),0)</f>
        <v>1.363</v>
      </c>
      <c r="AG1118" s="153" t="n">
        <f aca="false">IFERROR(INDEX(APOIO_REDES!$A:$W,MATCH($C1118&amp;$I1118&amp;$H1118&amp;$N1118&amp;$O1118,APOIO_REDES!$W:$W,0),MATCH(AG$5,APOIO_REDES!$5:$5,0)),0)</f>
        <v>0.65</v>
      </c>
      <c r="AH1118" s="153" t="n">
        <f aca="false">IFERROR(INDEX(APOIO_REDES!$A:$W,MATCH($C1118&amp;$I1118&amp;$H1118&amp;$N1118&amp;$O1118,APOIO_REDES!$W:$W,0),MATCH(AH$5,APOIO_REDES!$5:$5,0)),0)</f>
        <v>0.1</v>
      </c>
      <c r="AI1118" s="153" t="n">
        <f aca="false">IFERROR(IF($H1118&lt;&gt;"",(((($H1118/1000)/2)^2)*PI()*$M1118),0),0)</f>
        <v>0.14008900425497</v>
      </c>
      <c r="AJ1118" s="153" t="n">
        <f aca="false">IFERROR(IF(AND($H1118&lt;&gt;"",$I1118="FoFo",OR($N1118="MND",$N1118="VCA"),$Q1118="LINEAR"),0,IF(AND($H1118&lt;&gt;"",$I1118="PEAD",$N1118="VCA",$Q1118="LINEAR"),($H1118/1000)+0.3,IF(AND($H1118&lt;&gt;"",$I1118="PEAD",$N1118="MND",$Q1118="EMBOQUE"),0,IF(AND($H1118&lt;&gt;"",$I1118="PVC",$N1118="VCA",$Q1118="LINEAR"),($H1118/1000)+0.2,IF(AND($H1118&lt;&gt;"",$I1118="PVC",$N1118="MND",$Q1118="EMBOQUE"),0,IF(AND($H1118&lt;&gt;"",$I1118="PEAD",$N1118="VCA",$Q1118="PREDIAL"),0,0)))))),0)</f>
        <v>0.363</v>
      </c>
      <c r="AK1118" s="153" t="n">
        <f aca="false">IF(AA1118&lt;&gt;"",AA1118,0)</f>
        <v>3.2</v>
      </c>
      <c r="AL1118" s="153" t="n">
        <f aca="false">IF(AND($N1118="MND",$Q1118="EMBOQUE"),$M1118,IF(AND($N1118="VCA",$Q1118="LINEAR"),$M1118,IF(AND($N1118="VCA",$Q1118="PREDIAL"),0,0)))</f>
        <v>44.94</v>
      </c>
      <c r="AM1118" s="153" t="n">
        <f aca="false">IF(AND($N1118="MND",$Q1118="EMBOQUE"),$M1118,IF(AND($N1118="VCA",$Q1118="LINEAR"),$M1118,IF(AND($N1118="VCA",$Q1118="PREDIAL"),0,0)))</f>
        <v>44.94</v>
      </c>
      <c r="AN1118" s="153" t="n">
        <f aca="false">ROUND(IF(AND($N1118="VCA",$M1118&lt;&gt;"",$Q1118="LINEAR"),$M1118/100,IF(AND($N1118="MND",$M1118&gt;100,$Q1118="EMBOQUE"),$M1118/100,0)),0)</f>
        <v>0</v>
      </c>
      <c r="AO1118" s="153" t="n">
        <f aca="false">IF(AND($N1118="MND",$Q1118="EMBOQUE"),$AN1118*2*2,IF(AND($N1118="VCA",$Q1118="LINEAR"),$M1118*2,IF(AND($N1118="VCA",$Q1118="PREDIAL"),0,0)))</f>
        <v>89.88</v>
      </c>
      <c r="AP1118" s="153" t="n">
        <f aca="false">IFERROR($M1118*$AF1118*$AG1118,0)</f>
        <v>39.814593</v>
      </c>
      <c r="AQ1118" s="153" t="n">
        <f aca="false">IFERROR(IF(AND($N1118="VCA",$AH1118&gt;0),$M1118*$AG1118*$AH1118,0),0)</f>
        <v>2.9211</v>
      </c>
      <c r="AR1118" s="153" t="n">
        <f aca="false">IFERROR(IF(AND($N1118="VCA",$AJ1118&gt;0),($M1118*$AG1118*$AJ1118)-$AI1118,0),0)</f>
        <v>10.463503995745</v>
      </c>
      <c r="AS1118" s="153" t="n">
        <f aca="false">IFERROR(IF(AND($N1118="VCA",$AP1118&gt;0),$AP1118-$AI1118-$AQ1118-$AR1118,0),0)</f>
        <v>26.2899</v>
      </c>
      <c r="AT1118" s="153" t="n">
        <f aca="false">IFERROR(IF($N1118="VCA",INDEX(APOIO_REDES!$A:$W,MATCH($C1118&amp;$I1118&amp;$H1118&amp;$N1118&amp;$O1118,APOIO_REDES!$W:$W,0),MATCH(AT$5,APOIO_REDES!$5:$5,0)),0)*$AP1118,0)</f>
        <v>0.433194556357989</v>
      </c>
      <c r="AU1118" s="153" t="n">
        <f aca="false">IFERROR(IF($N1118="VCA",INDEX(APOIO_REDES!$A:$W,MATCH($C1118&amp;$I1118&amp;$H1118&amp;$N1118&amp;$O1118,APOIO_REDES!$W:$W,0),MATCH(AU$5,APOIO_REDES!$5:$5,0)),0)*$AP1118,0)</f>
        <v>0.345937440310995</v>
      </c>
      <c r="AV1118" s="153" t="n">
        <f aca="false">IFERROR(IF($N1118="VCA",INDEX(APOIO_REDES!$A:$W,MATCH($C1118&amp;$I1118&amp;$H1118&amp;$N1118&amp;$O1118,APOIO_REDES!$W:$W,0),MATCH(AV$5,APOIO_REDES!$5:$5,0)),0)*$AP1118,0)</f>
        <v>0.0478750260236573</v>
      </c>
      <c r="AW1118" s="153" t="n">
        <f aca="false">IFERROR(IF($N1118="VCA",INDEX(APOIO_REDES!$A:$W,MATCH($C1118&amp;$I1118&amp;$H1118&amp;$N1118&amp;$O1118,APOIO_REDES!$W:$W,0),MATCH(AW$5,APOIO_REDES!$5:$5,0)),0)*$AP1118,0)</f>
        <v>27.3290451337206</v>
      </c>
      <c r="AX1118" s="153" t="n">
        <f aca="false">IFERROR(IF($N1118="VCA",INDEX(APOIO_REDES!$A:$W,MATCH($C1118&amp;$I1118&amp;$H1118&amp;$N1118&amp;$O1118,APOIO_REDES!$W:$W,0),MATCH(AX$5,APOIO_REDES!$5:$5,0)),0)*$AP1118,0)</f>
        <v>3.78226199824828</v>
      </c>
      <c r="AY1118" s="153" t="n">
        <f aca="false">IFERROR(IF($N1118="VCA",INDEX(APOIO_REDES!$A:$W,MATCH($C1118&amp;$I1118&amp;$H1118&amp;$N1118&amp;$O1118,APOIO_REDES!$W:$W,0),MATCH(AY$5,APOIO_REDES!$5:$5,0)),0)*$AP1118,0)</f>
        <v>6.91874458927055</v>
      </c>
      <c r="AZ1118" s="153" t="n">
        <f aca="false">IFERROR(IF($N1118="VCA",INDEX(APOIO_REDES!$A:$W,MATCH($C1118&amp;$I1118&amp;$H1118&amp;$N1118&amp;$O1118,APOIO_REDES!$W:$W,0),MATCH(AZ$5,APOIO_REDES!$5:$5,0)),0)*$AP1118,0)</f>
        <v>0.957534256067984</v>
      </c>
      <c r="BA1118" s="153" t="n">
        <f aca="false">IFERROR(IF(AND($N1118="VCA",$Q1118="LINEAR"),INDEX(APOIO_REDES!$A:$W,MATCH($C1118&amp;$I1118&amp;$H1118&amp;$N1118&amp;$O1118,APOIO_REDES!$W:$W,0),MATCH(BA$5,APOIO_REDES!$5:$5,0)),IF(AND($N1118="MND",$Q1118="EMBOQUE"),INDEX(APOIO_REDES!$A:$W,MATCH($C1118&amp;$I1118&amp;$H1118&amp;$N1118&amp;$O1118,APOIO_REDES!$W:$W,0),MATCH(BA$5,APOIO_REDES!$5:$5,0)),0))*$M1118/10,0)</f>
        <v>3.62205064243533</v>
      </c>
      <c r="BB1118" s="153" t="n">
        <f aca="false">IFERROR(IF($N1118="VCA",INDEX(APOIO_REDES!$A:$W,MATCH($C1118&amp;$I1118&amp;$H1118&amp;$N1118&amp;$O1118,APOIO_REDES!$W:$W,0),MATCH(BB$5,APOIO_REDES!$5:$5,0)),0)*($AI1118+$AQ1118+$AR1118),0)</f>
        <v>13.3775403370552</v>
      </c>
      <c r="BC1118" s="153" t="n">
        <f aca="false">IFERROR(IF($N1118="VCA",INDEX(APOIO_REDES!$A:$W,MATCH($C1118&amp;$I1118&amp;$H1118&amp;$N1118&amp;$O1118,APOIO_REDES!$W:$W,0),MATCH(BC$5,APOIO_REDES!$5:$5,0)),0)*($AI1118+$AQ1118+$AR1118),0)</f>
        <v>0.14715266294479</v>
      </c>
      <c r="BD1118" s="153" t="n">
        <f aca="false">IF(AND($N1118="VCA",$AF1118&gt;=1.25,$AF1118&lt;1.5),$M1118*$AF1118*2,0)</f>
        <v>122.50644</v>
      </c>
      <c r="BE1118" s="153" t="n">
        <f aca="false">IF(AND($N1118="VCA",$AF1118&gt;=1.5,$AF1118&lt;3),$M1118*$AF1118*2,0)</f>
        <v>0</v>
      </c>
      <c r="BF1118" s="153" t="n">
        <f aca="false">IF(AND($N1118="VCA",$AF1118&gt;=3),$M1118*$AF1118*2,0)</f>
        <v>0</v>
      </c>
      <c r="BG1118" s="153" t="n">
        <f aca="false">($BB1118+$BC1118)*$AK1118</f>
        <v>43.2790176</v>
      </c>
      <c r="BH1118" s="153" t="n">
        <f aca="false">IF(AND($M1118&lt;&gt;"",$N1118="VCA",$Q1118="LINEAR"),($M1118*2)/100,IF(AND($M1118&lt;&gt;"",$N1118="MND",$Q1118="EMBOQUE"),($AN1118*2)/100,0))</f>
        <v>0.8988</v>
      </c>
      <c r="BI1118" s="153" t="n">
        <f aca="false">IF(AND($M1118&lt;&gt;"",$N1118="VCA",$Q1118="LINEAR"),$M1118,IF(AND($M1118&lt;&gt;"",$N1118="MND",$Q1118="EMBOQUE"),$AN1118*2,0))</f>
        <v>44.94</v>
      </c>
      <c r="BJ1118" s="153" t="n">
        <f aca="false">IF(AND($M1118&lt;&gt;"",$N1118="VCA",$Q1118="LINEAR"),($M1118*6.8)/100,IF(AND($M1118&lt;&gt;"",$N1118="MND",$Q1118="EMBOQUE"),($AN1118*2*6.8)/100,0))</f>
        <v>3.05592</v>
      </c>
      <c r="BK1118" s="153" t="n">
        <f aca="false">IF(AND($M1118&lt;&gt;"",$N1118="VCA",$Q1118="LINEAR"),($M1118*2.5)/50,IF(AND($M1118&lt;&gt;"",$N1118="MND",$Q1118="EMBOQUE"),($AN1118*2*2.5)/50,0))</f>
        <v>2.247</v>
      </c>
      <c r="BL1118" s="157" t="str">
        <f aca="false">K1118&amp;J1118</f>
        <v>Zona10REDES</v>
      </c>
      <c r="BM1118" s="152" t="s">
        <v>5703</v>
      </c>
      <c r="BN1118" s="152" t="s">
        <v>1560</v>
      </c>
      <c r="BO1118" s="152" t="s">
        <v>3688</v>
      </c>
      <c r="BP1118" s="152" t="s">
        <v>5788</v>
      </c>
      <c r="BQ1118" s="152" t="s">
        <v>5792</v>
      </c>
      <c r="BR1118" s="152" t="s">
        <v>5793</v>
      </c>
      <c r="BS1118" s="152" t="n">
        <v>203331.686</v>
      </c>
      <c r="BT1118" s="152" t="n">
        <v>8237317.724</v>
      </c>
      <c r="BU1118" s="152" t="n">
        <v>203370.083</v>
      </c>
      <c r="BV1118" s="152" t="n">
        <v>8237294.365</v>
      </c>
      <c r="BW1118" s="152" t="n">
        <v>-15.9257721</v>
      </c>
      <c r="BX1118" s="152" t="n">
        <v>-47.7706952</v>
      </c>
      <c r="BY1118" s="152" t="s">
        <v>5788</v>
      </c>
    </row>
    <row r="1119" customFormat="false" ht="13.8" hidden="false" customHeight="false" outlineLevel="0" collapsed="false">
      <c r="A1119" s="149" t="n">
        <f aca="false">IF(C1119&lt;&gt;"",ROW(A1114),"")</f>
        <v>1114</v>
      </c>
      <c r="B1119" s="150" t="str">
        <f aca="false">HYPERLINK("https://www.google.com/maps/dir/-15.917302,-47.760003/-15.9254331,-47.7712888/data=!4m3!4m2!3e0!5i2")</f>
        <v>https://www.google.com/maps/dir/-15.917302,-47.760003/-15.9254331,-47.7712888/data=!4m3!4m2!3e0!5i2</v>
      </c>
      <c r="C1119" s="151" t="s">
        <v>117</v>
      </c>
      <c r="D1119" s="152" t="s">
        <v>112</v>
      </c>
      <c r="E1119" s="152" t="s">
        <v>113</v>
      </c>
      <c r="F1119" s="152" t="s">
        <v>117</v>
      </c>
      <c r="G1119" s="152" t="s">
        <v>782</v>
      </c>
      <c r="H1119" s="152" t="n">
        <v>63</v>
      </c>
      <c r="I1119" s="152" t="s">
        <v>115</v>
      </c>
      <c r="J1119" s="152" t="s">
        <v>6</v>
      </c>
      <c r="K1119" s="152" t="s">
        <v>5700</v>
      </c>
      <c r="L1119" s="152" t="s">
        <v>120</v>
      </c>
      <c r="M1119" s="153" t="n">
        <f aca="false">92.6</f>
        <v>92.6</v>
      </c>
      <c r="N1119" s="152" t="s">
        <v>1548</v>
      </c>
      <c r="O1119" s="152" t="s">
        <v>1549</v>
      </c>
      <c r="P1119" s="152" t="s">
        <v>1550</v>
      </c>
      <c r="Q1119" s="152" t="s">
        <v>1551</v>
      </c>
      <c r="R1119" s="154" t="s">
        <v>5794</v>
      </c>
      <c r="S1119" s="154" t="s">
        <v>1553</v>
      </c>
      <c r="T1119" s="155" t="s">
        <v>3685</v>
      </c>
      <c r="U1119" s="152" t="str">
        <f aca="false">RIGHT(T1119,7)</f>
        <v>012/037</v>
      </c>
      <c r="V1119" s="152" t="s">
        <v>1555</v>
      </c>
      <c r="W1119" s="156" t="n">
        <v>45882</v>
      </c>
      <c r="X1119" s="152" t="s">
        <v>1594</v>
      </c>
      <c r="Y1119" s="152" t="s">
        <v>3721</v>
      </c>
      <c r="Z1119" s="152" t="s">
        <v>1557</v>
      </c>
      <c r="AA1119" s="153" t="n">
        <v>3.4</v>
      </c>
      <c r="AB1119" s="151" t="s">
        <v>5795</v>
      </c>
      <c r="AC1119" s="151" t="s">
        <v>186</v>
      </c>
      <c r="AD1119" s="151" t="str">
        <f aca="false">CONCATENATE($C1119,$I1119,$H1119,$N1119,$J1119,$K1119)</f>
        <v>TUBO PEADPEAD63VCAREDESZona10</v>
      </c>
      <c r="AE1119" s="153" t="n">
        <f aca="false">IFERROR(INDEX(APOIO_REDES!$A:$W,MATCH($C1119&amp;$I1119&amp;$H1119&amp;$N1119&amp;$O1119,APOIO_REDES!$W:$W,0),MATCH(AE$5,APOIO_REDES!$5:$5,0)),0)</f>
        <v>1.2</v>
      </c>
      <c r="AF1119" s="153" t="n">
        <f aca="false">IFERROR(INDEX(APOIO_REDES!$A:$W,MATCH($C1119&amp;$I1119&amp;$H1119&amp;$N1119&amp;$O1119,APOIO_REDES!$W:$W,0),MATCH(AF$5,APOIO_REDES!$5:$5,0)),0)</f>
        <v>1.363</v>
      </c>
      <c r="AG1119" s="153" t="n">
        <f aca="false">IFERROR(INDEX(APOIO_REDES!$A:$W,MATCH($C1119&amp;$I1119&amp;$H1119&amp;$N1119&amp;$O1119,APOIO_REDES!$W:$W,0),MATCH(AG$5,APOIO_REDES!$5:$5,0)),0)</f>
        <v>0.65</v>
      </c>
      <c r="AH1119" s="153" t="n">
        <f aca="false">IFERROR(INDEX(APOIO_REDES!$A:$W,MATCH($C1119&amp;$I1119&amp;$H1119&amp;$N1119&amp;$O1119,APOIO_REDES!$W:$W,0),MATCH(AH$5,APOIO_REDES!$5:$5,0)),0)</f>
        <v>0.1</v>
      </c>
      <c r="AI1119" s="153" t="n">
        <f aca="false">IFERROR(IF($H1119&lt;&gt;"",(((($H1119/1000)/2)^2)*PI()*$M1119),0),0)</f>
        <v>0.288656915754566</v>
      </c>
      <c r="AJ1119" s="153" t="n">
        <f aca="false">IFERROR(IF(AND($H1119&lt;&gt;"",$I1119="FoFo",OR($N1119="MND",$N1119="VCA"),$Q1119="LINEAR"),0,IF(AND($H1119&lt;&gt;"",$I1119="PEAD",$N1119="VCA",$Q1119="LINEAR"),($H1119/1000)+0.3,IF(AND($H1119&lt;&gt;"",$I1119="PEAD",$N1119="MND",$Q1119="EMBOQUE"),0,IF(AND($H1119&lt;&gt;"",$I1119="PVC",$N1119="VCA",$Q1119="LINEAR"),($H1119/1000)+0.2,IF(AND($H1119&lt;&gt;"",$I1119="PVC",$N1119="MND",$Q1119="EMBOQUE"),0,IF(AND($H1119&lt;&gt;"",$I1119="PEAD",$N1119="VCA",$Q1119="PREDIAL"),0,0)))))),0)</f>
        <v>0.363</v>
      </c>
      <c r="AK1119" s="153" t="n">
        <f aca="false">IF(AA1119&lt;&gt;"",AA1119,0)</f>
        <v>3.4</v>
      </c>
      <c r="AL1119" s="153" t="n">
        <f aca="false">IF(AND($N1119="MND",$Q1119="EMBOQUE"),$M1119,IF(AND($N1119="VCA",$Q1119="LINEAR"),$M1119,IF(AND($N1119="VCA",$Q1119="PREDIAL"),0,0)))</f>
        <v>92.6</v>
      </c>
      <c r="AM1119" s="153" t="n">
        <f aca="false">IF(AND($N1119="MND",$Q1119="EMBOQUE"),$M1119,IF(AND($N1119="VCA",$Q1119="LINEAR"),$M1119,IF(AND($N1119="VCA",$Q1119="PREDIAL"),0,0)))</f>
        <v>92.6</v>
      </c>
      <c r="AN1119" s="153" t="n">
        <f aca="false">ROUND(IF(AND($N1119="VCA",$M1119&lt;&gt;"",$Q1119="LINEAR"),$M1119/100,IF(AND($N1119="MND",$M1119&gt;100,$Q1119="EMBOQUE"),$M1119/100,0)),0)</f>
        <v>1</v>
      </c>
      <c r="AO1119" s="153" t="n">
        <f aca="false">IF(AND($N1119="MND",$Q1119="EMBOQUE"),$AN1119*2*2,IF(AND($N1119="VCA",$Q1119="LINEAR"),$M1119*2,IF(AND($N1119="VCA",$Q1119="PREDIAL"),0,0)))</f>
        <v>185.2</v>
      </c>
      <c r="AP1119" s="153" t="n">
        <f aca="false">IFERROR($M1119*$AF1119*$AG1119,0)</f>
        <v>82.03897</v>
      </c>
      <c r="AQ1119" s="153" t="n">
        <f aca="false">IFERROR(IF(AND($N1119="VCA",$AH1119&gt;0),$M1119*$AG1119*$AH1119,0),0)</f>
        <v>6.019</v>
      </c>
      <c r="AR1119" s="153" t="n">
        <f aca="false">IFERROR(IF(AND($N1119="VCA",$AJ1119&gt;0),($M1119*$AG1119*$AJ1119)-$AI1119,0),0)</f>
        <v>21.5603130842454</v>
      </c>
      <c r="AS1119" s="153" t="n">
        <f aca="false">IFERROR(IF(AND($N1119="VCA",$AP1119&gt;0),$AP1119-$AI1119-$AQ1119-$AR1119,0),0)</f>
        <v>54.171</v>
      </c>
      <c r="AT1119" s="153" t="n">
        <f aca="false">IFERROR(IF($N1119="VCA",INDEX(APOIO_REDES!$A:$W,MATCH($C1119&amp;$I1119&amp;$H1119&amp;$N1119&amp;$O1119,APOIO_REDES!$W:$W,0),MATCH(AT$5,APOIO_REDES!$5:$5,0)),0)*$AP1119,0)</f>
        <v>0.892608275895633</v>
      </c>
      <c r="AU1119" s="153" t="n">
        <f aca="false">IFERROR(IF($N1119="VCA",INDEX(APOIO_REDES!$A:$W,MATCH($C1119&amp;$I1119&amp;$H1119&amp;$N1119&amp;$O1119,APOIO_REDES!$W:$W,0),MATCH(AU$5,APOIO_REDES!$5:$5,0)),0)*$AP1119,0)</f>
        <v>0.712812794232269</v>
      </c>
      <c r="AV1119" s="153" t="n">
        <f aca="false">IFERROR(IF($N1119="VCA",INDEX(APOIO_REDES!$A:$W,MATCH($C1119&amp;$I1119&amp;$H1119&amp;$N1119&amp;$O1119,APOIO_REDES!$W:$W,0),MATCH(AV$5,APOIO_REDES!$5:$5,0)),0)*$AP1119,0)</f>
        <v>0.0986476949219107</v>
      </c>
      <c r="AW1119" s="153" t="n">
        <f aca="false">IFERROR(IF($N1119="VCA",INDEX(APOIO_REDES!$A:$W,MATCH($C1119&amp;$I1119&amp;$H1119&amp;$N1119&amp;$O1119,APOIO_REDES!$W:$W,0),MATCH(AW$5,APOIO_REDES!$5:$5,0)),0)*$AP1119,0)</f>
        <v>56.3121846769587</v>
      </c>
      <c r="AX1119" s="153" t="n">
        <f aca="false">IFERROR(IF($N1119="VCA",INDEX(APOIO_REDES!$A:$W,MATCH($C1119&amp;$I1119&amp;$H1119&amp;$N1119&amp;$O1119,APOIO_REDES!$W:$W,0),MATCH(AX$5,APOIO_REDES!$5:$5,0)),0)*$AP1119,0)</f>
        <v>7.79344595099667</v>
      </c>
      <c r="AY1119" s="153" t="n">
        <f aca="false">IFERROR(IF($N1119="VCA",INDEX(APOIO_REDES!$A:$W,MATCH($C1119&amp;$I1119&amp;$H1119&amp;$N1119&amp;$O1119,APOIO_REDES!$W:$W,0),MATCH(AY$5,APOIO_REDES!$5:$5,0)),0)*$AP1119,0)</f>
        <v>14.2562471955152</v>
      </c>
      <c r="AZ1119" s="153" t="n">
        <f aca="false">IFERROR(IF($N1119="VCA",INDEX(APOIO_REDES!$A:$W,MATCH($C1119&amp;$I1119&amp;$H1119&amp;$N1119&amp;$O1119,APOIO_REDES!$W:$W,0),MATCH(AZ$5,APOIO_REDES!$5:$5,0)),0)*$AP1119,0)</f>
        <v>1.97302341147965</v>
      </c>
      <c r="BA1119" s="153" t="n">
        <f aca="false">IFERROR(IF(AND($N1119="VCA",$Q1119="LINEAR"),INDEX(APOIO_REDES!$A:$W,MATCH($C1119&amp;$I1119&amp;$H1119&amp;$N1119&amp;$O1119,APOIO_REDES!$W:$W,0),MATCH(BA$5,APOIO_REDES!$5:$5,0)),IF(AND($N1119="MND",$Q1119="EMBOQUE"),INDEX(APOIO_REDES!$A:$W,MATCH($C1119&amp;$I1119&amp;$H1119&amp;$N1119&amp;$O1119,APOIO_REDES!$W:$W,0),MATCH(BA$5,APOIO_REDES!$5:$5,0)),0))*$M1119/10,0)</f>
        <v>7.46332642388765</v>
      </c>
      <c r="BB1119" s="153" t="n">
        <f aca="false">IFERROR(IF($N1119="VCA",INDEX(APOIO_REDES!$A:$W,MATCH($C1119&amp;$I1119&amp;$H1119&amp;$N1119&amp;$O1119,APOIO_REDES!$W:$W,0),MATCH(BB$5,APOIO_REDES!$5:$5,0)),0)*($AI1119+$AQ1119+$AR1119),0)</f>
        <v>27.5647582379019</v>
      </c>
      <c r="BC1119" s="153" t="n">
        <f aca="false">IFERROR(IF($N1119="VCA",INDEX(APOIO_REDES!$A:$W,MATCH($C1119&amp;$I1119&amp;$H1119&amp;$N1119&amp;$O1119,APOIO_REDES!$W:$W,0),MATCH(BC$5,APOIO_REDES!$5:$5,0)),0)*($AI1119+$AQ1119+$AR1119),0)</f>
        <v>0.303211762098076</v>
      </c>
      <c r="BD1119" s="153" t="n">
        <f aca="false">IF(AND($N1119="VCA",$AF1119&gt;=1.25,$AF1119&lt;1.5),$M1119*$AF1119*2,0)</f>
        <v>252.4276</v>
      </c>
      <c r="BE1119" s="153" t="n">
        <f aca="false">IF(AND($N1119="VCA",$AF1119&gt;=1.5,$AF1119&lt;3),$M1119*$AF1119*2,0)</f>
        <v>0</v>
      </c>
      <c r="BF1119" s="153" t="n">
        <f aca="false">IF(AND($N1119="VCA",$AF1119&gt;=3),$M1119*$AF1119*2,0)</f>
        <v>0</v>
      </c>
      <c r="BG1119" s="153" t="n">
        <f aca="false">($BB1119+$BC1119)*$AK1119</f>
        <v>94.751098</v>
      </c>
      <c r="BH1119" s="153" t="n">
        <f aca="false">IF(AND($M1119&lt;&gt;"",$N1119="VCA",$Q1119="LINEAR"),($M1119*2)/100,IF(AND($M1119&lt;&gt;"",$N1119="MND",$Q1119="EMBOQUE"),($AN1119*2)/100,0))</f>
        <v>1.852</v>
      </c>
      <c r="BI1119" s="153" t="n">
        <f aca="false">IF(AND($M1119&lt;&gt;"",$N1119="VCA",$Q1119="LINEAR"),$M1119,IF(AND($M1119&lt;&gt;"",$N1119="MND",$Q1119="EMBOQUE"),$AN1119*2,0))</f>
        <v>92.6</v>
      </c>
      <c r="BJ1119" s="153" t="n">
        <f aca="false">IF(AND($M1119&lt;&gt;"",$N1119="VCA",$Q1119="LINEAR"),($M1119*6.8)/100,IF(AND($M1119&lt;&gt;"",$N1119="MND",$Q1119="EMBOQUE"),($AN1119*2*6.8)/100,0))</f>
        <v>6.2968</v>
      </c>
      <c r="BK1119" s="153" t="n">
        <f aca="false">IF(AND($M1119&lt;&gt;"",$N1119="VCA",$Q1119="LINEAR"),($M1119*2.5)/50,IF(AND($M1119&lt;&gt;"",$N1119="MND",$Q1119="EMBOQUE"),($AN1119*2*2.5)/50,0))</f>
        <v>4.63</v>
      </c>
      <c r="BL1119" s="157" t="str">
        <f aca="false">K1119&amp;J1119</f>
        <v>Zona10REDES</v>
      </c>
      <c r="BM1119" s="152" t="s">
        <v>5703</v>
      </c>
      <c r="BN1119" s="152" t="s">
        <v>1560</v>
      </c>
      <c r="BO1119" s="152" t="s">
        <v>3688</v>
      </c>
      <c r="BP1119" s="152" t="s">
        <v>5772</v>
      </c>
      <c r="BQ1119" s="152" t="s">
        <v>5796</v>
      </c>
      <c r="BR1119" s="152" t="s">
        <v>5797</v>
      </c>
      <c r="BS1119" s="152" t="n">
        <v>203286.795</v>
      </c>
      <c r="BT1119" s="152" t="n">
        <v>8237342.742</v>
      </c>
      <c r="BU1119" s="152" t="n">
        <v>203241.409</v>
      </c>
      <c r="BV1119" s="152" t="n">
        <v>8237262.047</v>
      </c>
      <c r="BW1119" s="152" t="n">
        <v>-15.9257921</v>
      </c>
      <c r="BX1119" s="152" t="n">
        <v>-47.7715102</v>
      </c>
      <c r="BY1119" s="152" t="s">
        <v>5772</v>
      </c>
    </row>
    <row r="1120" customFormat="false" ht="13.8" hidden="false" customHeight="false" outlineLevel="0" collapsed="false">
      <c r="A1120" s="149" t="n">
        <f aca="false">IF(C1120&lt;&gt;"",ROW(A1115),"")</f>
        <v>1115</v>
      </c>
      <c r="B1120" s="150" t="str">
        <f aca="false">HYPERLINK("https://www.google.com/maps/dir/-15.917302,-47.760003/-15.9258799,-47.7705175/data=!4m3!4m2!3e0!5i2")</f>
        <v>https://www.google.com/maps/dir/-15.917302,-47.760003/-15.9258799,-47.7705175/data=!4m3!4m2!3e0!5i2</v>
      </c>
      <c r="C1120" s="151" t="s">
        <v>117</v>
      </c>
      <c r="D1120" s="152" t="s">
        <v>112</v>
      </c>
      <c r="E1120" s="152" t="s">
        <v>113</v>
      </c>
      <c r="F1120" s="152" t="s">
        <v>117</v>
      </c>
      <c r="G1120" s="152" t="s">
        <v>782</v>
      </c>
      <c r="H1120" s="152" t="n">
        <v>63</v>
      </c>
      <c r="I1120" s="152" t="s">
        <v>115</v>
      </c>
      <c r="J1120" s="152" t="s">
        <v>6</v>
      </c>
      <c r="K1120" s="152" t="s">
        <v>5700</v>
      </c>
      <c r="L1120" s="152" t="s">
        <v>120</v>
      </c>
      <c r="M1120" s="153" t="n">
        <f aca="false">22.04</f>
        <v>22.04</v>
      </c>
      <c r="N1120" s="152" t="s">
        <v>1548</v>
      </c>
      <c r="O1120" s="152" t="s">
        <v>1549</v>
      </c>
      <c r="P1120" s="152" t="s">
        <v>1550</v>
      </c>
      <c r="Q1120" s="152" t="s">
        <v>1551</v>
      </c>
      <c r="R1120" s="154" t="s">
        <v>5798</v>
      </c>
      <c r="S1120" s="154" t="s">
        <v>1553</v>
      </c>
      <c r="T1120" s="155" t="s">
        <v>3685</v>
      </c>
      <c r="U1120" s="152" t="str">
        <f aca="false">RIGHT(T1120,7)</f>
        <v>012/037</v>
      </c>
      <c r="V1120" s="152" t="s">
        <v>1555</v>
      </c>
      <c r="W1120" s="156" t="n">
        <v>45882</v>
      </c>
      <c r="X1120" s="152" t="s">
        <v>1594</v>
      </c>
      <c r="Y1120" s="152" t="s">
        <v>5799</v>
      </c>
      <c r="Z1120" s="152" t="s">
        <v>1557</v>
      </c>
      <c r="AA1120" s="153" t="n">
        <v>3.2</v>
      </c>
      <c r="AB1120" s="151" t="s">
        <v>5800</v>
      </c>
      <c r="AC1120" s="151" t="s">
        <v>186</v>
      </c>
      <c r="AD1120" s="151" t="str">
        <f aca="false">CONCATENATE($C1120,$I1120,$H1120,$N1120,$J1120,$K1120)</f>
        <v>TUBO PEADPEAD63VCAREDESZona10</v>
      </c>
      <c r="AE1120" s="153" t="n">
        <f aca="false">IFERROR(INDEX(APOIO_REDES!$A:$W,MATCH($C1120&amp;$I1120&amp;$H1120&amp;$N1120&amp;$O1120,APOIO_REDES!$W:$W,0),MATCH(AE$5,APOIO_REDES!$5:$5,0)),0)</f>
        <v>1.2</v>
      </c>
      <c r="AF1120" s="153" t="n">
        <f aca="false">IFERROR(INDEX(APOIO_REDES!$A:$W,MATCH($C1120&amp;$I1120&amp;$H1120&amp;$N1120&amp;$O1120,APOIO_REDES!$W:$W,0),MATCH(AF$5,APOIO_REDES!$5:$5,0)),0)</f>
        <v>1.363</v>
      </c>
      <c r="AG1120" s="153" t="n">
        <f aca="false">IFERROR(INDEX(APOIO_REDES!$A:$W,MATCH($C1120&amp;$I1120&amp;$H1120&amp;$N1120&amp;$O1120,APOIO_REDES!$W:$W,0),MATCH(AG$5,APOIO_REDES!$5:$5,0)),0)</f>
        <v>0.65</v>
      </c>
      <c r="AH1120" s="153" t="n">
        <f aca="false">IFERROR(INDEX(APOIO_REDES!$A:$W,MATCH($C1120&amp;$I1120&amp;$H1120&amp;$N1120&amp;$O1120,APOIO_REDES!$W:$W,0),MATCH(AH$5,APOIO_REDES!$5:$5,0)),0)</f>
        <v>0.1</v>
      </c>
      <c r="AI1120" s="153" t="n">
        <f aca="false">IFERROR(IF($H1120&lt;&gt;"",(((($H1120/1000)/2)^2)*PI()*$M1120),0),0)</f>
        <v>0.0687040866439594</v>
      </c>
      <c r="AJ1120" s="153" t="n">
        <f aca="false">IFERROR(IF(AND($H1120&lt;&gt;"",$I1120="FoFo",OR($N1120="MND",$N1120="VCA"),$Q1120="LINEAR"),0,IF(AND($H1120&lt;&gt;"",$I1120="PEAD",$N1120="VCA",$Q1120="LINEAR"),($H1120/1000)+0.3,IF(AND($H1120&lt;&gt;"",$I1120="PEAD",$N1120="MND",$Q1120="EMBOQUE"),0,IF(AND($H1120&lt;&gt;"",$I1120="PVC",$N1120="VCA",$Q1120="LINEAR"),($H1120/1000)+0.2,IF(AND($H1120&lt;&gt;"",$I1120="PVC",$N1120="MND",$Q1120="EMBOQUE"),0,IF(AND($H1120&lt;&gt;"",$I1120="PEAD",$N1120="VCA",$Q1120="PREDIAL"),0,0)))))),0)</f>
        <v>0.363</v>
      </c>
      <c r="AK1120" s="153" t="n">
        <f aca="false">IF(AA1120&lt;&gt;"",AA1120,0)</f>
        <v>3.2</v>
      </c>
      <c r="AL1120" s="153" t="n">
        <f aca="false">IF(AND($N1120="MND",$Q1120="EMBOQUE"),$M1120,IF(AND($N1120="VCA",$Q1120="LINEAR"),$M1120,IF(AND($N1120="VCA",$Q1120="PREDIAL"),0,0)))</f>
        <v>22.04</v>
      </c>
      <c r="AM1120" s="153" t="n">
        <f aca="false">IF(AND($N1120="MND",$Q1120="EMBOQUE"),$M1120,IF(AND($N1120="VCA",$Q1120="LINEAR"),$M1120,IF(AND($N1120="VCA",$Q1120="PREDIAL"),0,0)))</f>
        <v>22.04</v>
      </c>
      <c r="AN1120" s="153" t="n">
        <f aca="false">ROUND(IF(AND($N1120="VCA",$M1120&lt;&gt;"",$Q1120="LINEAR"),$M1120/100,IF(AND($N1120="MND",$M1120&gt;100,$Q1120="EMBOQUE"),$M1120/100,0)),0)</f>
        <v>0</v>
      </c>
      <c r="AO1120" s="153" t="n">
        <f aca="false">IF(AND($N1120="MND",$Q1120="EMBOQUE"),$AN1120*2*2,IF(AND($N1120="VCA",$Q1120="LINEAR"),$M1120*2,IF(AND($N1120="VCA",$Q1120="PREDIAL"),0,0)))</f>
        <v>44.08</v>
      </c>
      <c r="AP1120" s="153" t="n">
        <f aca="false">IFERROR($M1120*$AF1120*$AG1120,0)</f>
        <v>19.526338</v>
      </c>
      <c r="AQ1120" s="153" t="n">
        <f aca="false">IFERROR(IF(AND($N1120="VCA",$AH1120&gt;0),$M1120*$AG1120*$AH1120,0),0)</f>
        <v>1.4326</v>
      </c>
      <c r="AR1120" s="153" t="n">
        <f aca="false">IFERROR(IF(AND($N1120="VCA",$AJ1120&gt;0),($M1120*$AG1120*$AJ1120)-$AI1120,0),0)</f>
        <v>5.13163391335604</v>
      </c>
      <c r="AS1120" s="153" t="n">
        <f aca="false">IFERROR(IF(AND($N1120="VCA",$AP1120&gt;0),$AP1120-$AI1120-$AQ1120-$AR1120,0),0)</f>
        <v>12.8934</v>
      </c>
      <c r="AT1120" s="153" t="n">
        <f aca="false">IFERROR(IF($N1120="VCA",INDEX(APOIO_REDES!$A:$W,MATCH($C1120&amp;$I1120&amp;$H1120&amp;$N1120&amp;$O1120,APOIO_REDES!$W:$W,0),MATCH(AT$5,APOIO_REDES!$5:$5,0)),0)*$AP1120,0)</f>
        <v>0.212452336941034</v>
      </c>
      <c r="AU1120" s="153" t="n">
        <f aca="false">IFERROR(IF($N1120="VCA",INDEX(APOIO_REDES!$A:$W,MATCH($C1120&amp;$I1120&amp;$H1120&amp;$N1120&amp;$O1120,APOIO_REDES!$W:$W,0),MATCH(AU$5,APOIO_REDES!$5:$5,0)),0)*$AP1120,0)</f>
        <v>0.169658682342108</v>
      </c>
      <c r="AV1120" s="153" t="n">
        <f aca="false">IFERROR(IF($N1120="VCA",INDEX(APOIO_REDES!$A:$W,MATCH($C1120&amp;$I1120&amp;$H1120&amp;$N1120&amp;$O1120,APOIO_REDES!$W:$W,0),MATCH(AV$5,APOIO_REDES!$5:$5,0)),0)*$AP1120,0)</f>
        <v>0.0234794297632712</v>
      </c>
      <c r="AW1120" s="153" t="n">
        <f aca="false">IFERROR(IF($N1120="VCA",INDEX(APOIO_REDES!$A:$W,MATCH($C1120&amp;$I1120&amp;$H1120&amp;$N1120&amp;$O1120,APOIO_REDES!$W:$W,0),MATCH(AW$5,APOIO_REDES!$5:$5,0)),0)*$AP1120,0)</f>
        <v>13.4030297006498</v>
      </c>
      <c r="AX1120" s="153" t="n">
        <f aca="false">IFERROR(IF($N1120="VCA",INDEX(APOIO_REDES!$A:$W,MATCH($C1120&amp;$I1120&amp;$H1120&amp;$N1120&amp;$O1120,APOIO_REDES!$W:$W,0),MATCH(AX$5,APOIO_REDES!$5:$5,0)),0)*$AP1120,0)</f>
        <v>1.85494113131713</v>
      </c>
      <c r="AY1120" s="153" t="n">
        <f aca="false">IFERROR(IF($N1120="VCA",INDEX(APOIO_REDES!$A:$W,MATCH($C1120&amp;$I1120&amp;$H1120&amp;$N1120&amp;$O1120,APOIO_REDES!$W:$W,0),MATCH(AY$5,APOIO_REDES!$5:$5,0)),0)*$AP1120,0)</f>
        <v>3.39317157871658</v>
      </c>
      <c r="AZ1120" s="153" t="n">
        <f aca="false">IFERROR(IF($N1120="VCA",INDEX(APOIO_REDES!$A:$W,MATCH($C1120&amp;$I1120&amp;$H1120&amp;$N1120&amp;$O1120,APOIO_REDES!$W:$W,0),MATCH(AZ$5,APOIO_REDES!$5:$5,0)),0)*$AP1120,0)</f>
        <v>0.469605140270101</v>
      </c>
      <c r="BA1120" s="153" t="n">
        <f aca="false">IFERROR(IF(AND($N1120="VCA",$Q1120="LINEAR"),INDEX(APOIO_REDES!$A:$W,MATCH($C1120&amp;$I1120&amp;$H1120&amp;$N1120&amp;$O1120,APOIO_REDES!$W:$W,0),MATCH(BA$5,APOIO_REDES!$5:$5,0)),IF(AND($N1120="MND",$Q1120="EMBOQUE"),INDEX(APOIO_REDES!$A:$W,MATCH($C1120&amp;$I1120&amp;$H1120&amp;$N1120&amp;$O1120,APOIO_REDES!$W:$W,0),MATCH(BA$5,APOIO_REDES!$5:$5,0)),0))*$M1120/10,0)</f>
        <v>1.77636840585836</v>
      </c>
      <c r="BB1120" s="153" t="n">
        <f aca="false">IFERROR(IF($N1120="VCA",INDEX(APOIO_REDES!$A:$W,MATCH($C1120&amp;$I1120&amp;$H1120&amp;$N1120&amp;$O1120,APOIO_REDES!$W:$W,0),MATCH(BB$5,APOIO_REDES!$5:$5,0)),0)*($AI1120+$AQ1120+$AR1120),0)</f>
        <v>6.56076967131057</v>
      </c>
      <c r="BC1120" s="153" t="n">
        <f aca="false">IFERROR(IF($N1120="VCA",INDEX(APOIO_REDES!$A:$W,MATCH($C1120&amp;$I1120&amp;$H1120&amp;$N1120&amp;$O1120,APOIO_REDES!$W:$W,0),MATCH(BC$5,APOIO_REDES!$5:$5,0)),0)*($AI1120+$AQ1120+$AR1120),0)</f>
        <v>0.0721683286894342</v>
      </c>
      <c r="BD1120" s="153" t="n">
        <f aca="false">IF(AND($N1120="VCA",$AF1120&gt;=1.25,$AF1120&lt;1.5),$M1120*$AF1120*2,0)</f>
        <v>60.08104</v>
      </c>
      <c r="BE1120" s="153" t="n">
        <f aca="false">IF(AND($N1120="VCA",$AF1120&gt;=1.5,$AF1120&lt;3),$M1120*$AF1120*2,0)</f>
        <v>0</v>
      </c>
      <c r="BF1120" s="153" t="n">
        <f aca="false">IF(AND($N1120="VCA",$AF1120&gt;=3),$M1120*$AF1120*2,0)</f>
        <v>0</v>
      </c>
      <c r="BG1120" s="153" t="n">
        <f aca="false">($BB1120+$BC1120)*$AK1120</f>
        <v>21.2254016</v>
      </c>
      <c r="BH1120" s="153" t="n">
        <f aca="false">IF(AND($M1120&lt;&gt;"",$N1120="VCA",$Q1120="LINEAR"),($M1120*2)/100,IF(AND($M1120&lt;&gt;"",$N1120="MND",$Q1120="EMBOQUE"),($AN1120*2)/100,0))</f>
        <v>0.4408</v>
      </c>
      <c r="BI1120" s="153" t="n">
        <f aca="false">IF(AND($M1120&lt;&gt;"",$N1120="VCA",$Q1120="LINEAR"),$M1120,IF(AND($M1120&lt;&gt;"",$N1120="MND",$Q1120="EMBOQUE"),$AN1120*2,0))</f>
        <v>22.04</v>
      </c>
      <c r="BJ1120" s="153" t="n">
        <f aca="false">IF(AND($M1120&lt;&gt;"",$N1120="VCA",$Q1120="LINEAR"),($M1120*6.8)/100,IF(AND($M1120&lt;&gt;"",$N1120="MND",$Q1120="EMBOQUE"),($AN1120*2*6.8)/100,0))</f>
        <v>1.49872</v>
      </c>
      <c r="BK1120" s="153" t="n">
        <f aca="false">IF(AND($M1120&lt;&gt;"",$N1120="VCA",$Q1120="LINEAR"),($M1120*2.5)/50,IF(AND($M1120&lt;&gt;"",$N1120="MND",$Q1120="EMBOQUE"),($AN1120*2*2.5)/50,0))</f>
        <v>1.102</v>
      </c>
      <c r="BL1120" s="157" t="str">
        <f aca="false">K1120&amp;J1120</f>
        <v>Zona10REDES</v>
      </c>
      <c r="BM1120" s="152" t="s">
        <v>5703</v>
      </c>
      <c r="BN1120" s="152" t="s">
        <v>1560</v>
      </c>
      <c r="BO1120" s="152" t="s">
        <v>3688</v>
      </c>
      <c r="BP1120" s="152" t="s">
        <v>5792</v>
      </c>
      <c r="BQ1120" s="152" t="s">
        <v>5801</v>
      </c>
      <c r="BR1120" s="152" t="s">
        <v>5793</v>
      </c>
      <c r="BS1120" s="152" t="n">
        <v>203370.083</v>
      </c>
      <c r="BT1120" s="152" t="n">
        <v>8237294.365</v>
      </c>
      <c r="BU1120" s="152" t="n">
        <v>203388.74</v>
      </c>
      <c r="BV1120" s="152" t="n">
        <v>8237282.642</v>
      </c>
      <c r="BW1120" s="152" t="n">
        <v>-15.9259335</v>
      </c>
      <c r="BX1120" s="152" t="n">
        <v>-47.7704309</v>
      </c>
      <c r="BY1120" s="152" t="s">
        <v>5792</v>
      </c>
    </row>
    <row r="1121" customFormat="false" ht="13.8" hidden="false" customHeight="false" outlineLevel="0" collapsed="false">
      <c r="A1121" s="149" t="n">
        <f aca="false">IF(C1121&lt;&gt;"",ROW(A1116),"")</f>
        <v>1116</v>
      </c>
      <c r="B1121" s="150" t="str">
        <f aca="false">HYPERLINK("https://www.google.com/maps/dir/-15.917302,-47.760003/-15.9252382,-47.7706542/data=!4m3!4m2!3e0!5i2")</f>
        <v>https://www.google.com/maps/dir/-15.917302,-47.760003/-15.9252382,-47.7706542/data=!4m3!4m2!3e0!5i2</v>
      </c>
      <c r="C1121" s="151" t="s">
        <v>117</v>
      </c>
      <c r="D1121" s="152" t="s">
        <v>112</v>
      </c>
      <c r="E1121" s="152" t="s">
        <v>113</v>
      </c>
      <c r="F1121" s="152" t="s">
        <v>117</v>
      </c>
      <c r="G1121" s="152" t="s">
        <v>782</v>
      </c>
      <c r="H1121" s="152" t="n">
        <v>63</v>
      </c>
      <c r="I1121" s="152" t="s">
        <v>115</v>
      </c>
      <c r="J1121" s="152" t="s">
        <v>6</v>
      </c>
      <c r="K1121" s="152" t="s">
        <v>5700</v>
      </c>
      <c r="L1121" s="152" t="s">
        <v>120</v>
      </c>
      <c r="M1121" s="153" t="n">
        <f aca="false">307.77</f>
        <v>307.77</v>
      </c>
      <c r="N1121" s="152" t="s">
        <v>1548</v>
      </c>
      <c r="O1121" s="152" t="s">
        <v>1549</v>
      </c>
      <c r="P1121" s="152" t="s">
        <v>1550</v>
      </c>
      <c r="Q1121" s="152" t="s">
        <v>1551</v>
      </c>
      <c r="R1121" s="154" t="s">
        <v>5802</v>
      </c>
      <c r="S1121" s="154" t="s">
        <v>1553</v>
      </c>
      <c r="T1121" s="155" t="s">
        <v>3685</v>
      </c>
      <c r="U1121" s="152" t="str">
        <f aca="false">RIGHT(T1121,7)</f>
        <v>012/037</v>
      </c>
      <c r="V1121" s="152" t="s">
        <v>1555</v>
      </c>
      <c r="W1121" s="156" t="n">
        <v>45882</v>
      </c>
      <c r="X1121" s="152" t="s">
        <v>1594</v>
      </c>
      <c r="Y1121" s="152" t="s">
        <v>3721</v>
      </c>
      <c r="Z1121" s="152" t="s">
        <v>1557</v>
      </c>
      <c r="AA1121" s="153" t="n">
        <v>3.5</v>
      </c>
      <c r="AB1121" s="151" t="s">
        <v>5803</v>
      </c>
      <c r="AC1121" s="151" t="s">
        <v>186</v>
      </c>
      <c r="AD1121" s="151" t="str">
        <f aca="false">CONCATENATE($C1121,$I1121,$H1121,$N1121,$J1121,$K1121)</f>
        <v>TUBO PEADPEAD63VCAREDESZona10</v>
      </c>
      <c r="AE1121" s="153" t="n">
        <f aca="false">IFERROR(INDEX(APOIO_REDES!$A:$W,MATCH($C1121&amp;$I1121&amp;$H1121&amp;$N1121&amp;$O1121,APOIO_REDES!$W:$W,0),MATCH(AE$5,APOIO_REDES!$5:$5,0)),0)</f>
        <v>1.2</v>
      </c>
      <c r="AF1121" s="153" t="n">
        <f aca="false">IFERROR(INDEX(APOIO_REDES!$A:$W,MATCH($C1121&amp;$I1121&amp;$H1121&amp;$N1121&amp;$O1121,APOIO_REDES!$W:$W,0),MATCH(AF$5,APOIO_REDES!$5:$5,0)),0)</f>
        <v>1.363</v>
      </c>
      <c r="AG1121" s="153" t="n">
        <f aca="false">IFERROR(INDEX(APOIO_REDES!$A:$W,MATCH($C1121&amp;$I1121&amp;$H1121&amp;$N1121&amp;$O1121,APOIO_REDES!$W:$W,0),MATCH(AG$5,APOIO_REDES!$5:$5,0)),0)</f>
        <v>0.65</v>
      </c>
      <c r="AH1121" s="153" t="n">
        <f aca="false">IFERROR(INDEX(APOIO_REDES!$A:$W,MATCH($C1121&amp;$I1121&amp;$H1121&amp;$N1121&amp;$O1121,APOIO_REDES!$W:$W,0),MATCH(AH$5,APOIO_REDES!$5:$5,0)),0)</f>
        <v>0.1</v>
      </c>
      <c r="AI1121" s="153" t="n">
        <f aca="false">IFERROR(IF($H1121&lt;&gt;"",(((($H1121/1000)/2)^2)*PI()*$M1121),0),0)</f>
        <v>0.959394589220117</v>
      </c>
      <c r="AJ1121" s="153" t="n">
        <f aca="false">IFERROR(IF(AND($H1121&lt;&gt;"",$I1121="FoFo",OR($N1121="MND",$N1121="VCA"),$Q1121="LINEAR"),0,IF(AND($H1121&lt;&gt;"",$I1121="PEAD",$N1121="VCA",$Q1121="LINEAR"),($H1121/1000)+0.3,IF(AND($H1121&lt;&gt;"",$I1121="PEAD",$N1121="MND",$Q1121="EMBOQUE"),0,IF(AND($H1121&lt;&gt;"",$I1121="PVC",$N1121="VCA",$Q1121="LINEAR"),($H1121/1000)+0.2,IF(AND($H1121&lt;&gt;"",$I1121="PVC",$N1121="MND",$Q1121="EMBOQUE"),0,IF(AND($H1121&lt;&gt;"",$I1121="PEAD",$N1121="VCA",$Q1121="PREDIAL"),0,0)))))),0)</f>
        <v>0.363</v>
      </c>
      <c r="AK1121" s="153" t="n">
        <f aca="false">IF(AA1121&lt;&gt;"",AA1121,0)</f>
        <v>3.5</v>
      </c>
      <c r="AL1121" s="153" t="n">
        <f aca="false">IF(AND($N1121="MND",$Q1121="EMBOQUE"),$M1121,IF(AND($N1121="VCA",$Q1121="LINEAR"),$M1121,IF(AND($N1121="VCA",$Q1121="PREDIAL"),0,0)))</f>
        <v>307.77</v>
      </c>
      <c r="AM1121" s="153" t="n">
        <f aca="false">IF(AND($N1121="MND",$Q1121="EMBOQUE"),$M1121,IF(AND($N1121="VCA",$Q1121="LINEAR"),$M1121,IF(AND($N1121="VCA",$Q1121="PREDIAL"),0,0)))</f>
        <v>307.77</v>
      </c>
      <c r="AN1121" s="153" t="n">
        <f aca="false">ROUND(IF(AND($N1121="VCA",$M1121&lt;&gt;"",$Q1121="LINEAR"),$M1121/100,IF(AND($N1121="MND",$M1121&gt;100,$Q1121="EMBOQUE"),$M1121/100,0)),0)</f>
        <v>3</v>
      </c>
      <c r="AO1121" s="153" t="n">
        <f aca="false">IF(AND($N1121="MND",$Q1121="EMBOQUE"),$AN1121*2*2,IF(AND($N1121="VCA",$Q1121="LINEAR"),$M1121*2,IF(AND($N1121="VCA",$Q1121="PREDIAL"),0,0)))</f>
        <v>615.54</v>
      </c>
      <c r="AP1121" s="153" t="n">
        <f aca="false">IFERROR($M1121*$AF1121*$AG1121,0)</f>
        <v>272.6688315</v>
      </c>
      <c r="AQ1121" s="153" t="n">
        <f aca="false">IFERROR(IF(AND($N1121="VCA",$AH1121&gt;0),$M1121*$AG1121*$AH1121,0),0)</f>
        <v>20.00505</v>
      </c>
      <c r="AR1121" s="153" t="n">
        <f aca="false">IFERROR(IF(AND($N1121="VCA",$AJ1121&gt;0),($M1121*$AG1121*$AJ1121)-$AI1121,0),0)</f>
        <v>71.6589369107799</v>
      </c>
      <c r="AS1121" s="153" t="n">
        <f aca="false">IFERROR(IF(AND($N1121="VCA",$AP1121&gt;0),$AP1121-$AI1121-$AQ1121-$AR1121,0),0)</f>
        <v>180.04545</v>
      </c>
      <c r="AT1121" s="153" t="n">
        <f aca="false">IFERROR(IF($N1121="VCA",INDEX(APOIO_REDES!$A:$W,MATCH($C1121&amp;$I1121&amp;$H1121&amp;$N1121&amp;$O1121,APOIO_REDES!$W:$W,0),MATCH(AT$5,APOIO_REDES!$5:$5,0)),0)*$AP1121,0)</f>
        <v>2.9667175925745</v>
      </c>
      <c r="AU1121" s="153" t="n">
        <f aca="false">IFERROR(IF($N1121="VCA",INDEX(APOIO_REDES!$A:$W,MATCH($C1121&amp;$I1121&amp;$H1121&amp;$N1121&amp;$O1121,APOIO_REDES!$W:$W,0),MATCH(AU$5,APOIO_REDES!$5:$5,0)),0)*$AP1121,0)</f>
        <v>2.3691403205277</v>
      </c>
      <c r="AV1121" s="153" t="n">
        <f aca="false">IFERROR(IF($N1121="VCA",INDEX(APOIO_REDES!$A:$W,MATCH($C1121&amp;$I1121&amp;$H1121&amp;$N1121&amp;$O1121,APOIO_REDES!$W:$W,0),MATCH(AV$5,APOIO_REDES!$5:$5,0)),0)*$AP1121,0)</f>
        <v>0.327870421880307</v>
      </c>
      <c r="AW1121" s="153" t="n">
        <f aca="false">IFERROR(IF($N1121="VCA",INDEX(APOIO_REDES!$A:$W,MATCH($C1121&amp;$I1121&amp;$H1121&amp;$N1121&amp;$O1121,APOIO_REDES!$W:$W,0),MATCH(AW$5,APOIO_REDES!$5:$5,0)),0)*$AP1121,0)</f>
        <v>187.161998682803</v>
      </c>
      <c r="AX1121" s="153" t="n">
        <f aca="false">IFERROR(IF($N1121="VCA",INDEX(APOIO_REDES!$A:$W,MATCH($C1121&amp;$I1121&amp;$H1121&amp;$N1121&amp;$O1121,APOIO_REDES!$W:$W,0),MATCH(AX$5,APOIO_REDES!$5:$5,0)),0)*$AP1121,0)</f>
        <v>25.9026874766549</v>
      </c>
      <c r="AY1121" s="153" t="n">
        <f aca="false">IFERROR(IF($N1121="VCA",INDEX(APOIO_REDES!$A:$W,MATCH($C1121&amp;$I1121&amp;$H1121&amp;$N1121&amp;$O1121,APOIO_REDES!$W:$W,0),MATCH(AY$5,APOIO_REDES!$5:$5,0)),0)*$AP1121,0)</f>
        <v>47.3827775309256</v>
      </c>
      <c r="AZ1121" s="153" t="n">
        <f aca="false">IFERROR(IF($N1121="VCA",INDEX(APOIO_REDES!$A:$W,MATCH($C1121&amp;$I1121&amp;$H1121&amp;$N1121&amp;$O1121,APOIO_REDES!$W:$W,0),MATCH(AZ$5,APOIO_REDES!$5:$5,0)),0)*$AP1121,0)</f>
        <v>6.55763947463381</v>
      </c>
      <c r="BA1121" s="153" t="n">
        <f aca="false">IFERROR(IF(AND($N1121="VCA",$Q1121="LINEAR"),INDEX(APOIO_REDES!$A:$W,MATCH($C1121&amp;$I1121&amp;$H1121&amp;$N1121&amp;$O1121,APOIO_REDES!$W:$W,0),MATCH(BA$5,APOIO_REDES!$5:$5,0)),IF(AND($N1121="MND",$Q1121="EMBOQUE"),INDEX(APOIO_REDES!$A:$W,MATCH($C1121&amp;$I1121&amp;$H1121&amp;$N1121&amp;$O1121,APOIO_REDES!$W:$W,0),MATCH(BA$5,APOIO_REDES!$5:$5,0)),0))*$M1121/10,0)</f>
        <v>24.805485674729</v>
      </c>
      <c r="BB1121" s="153" t="n">
        <f aca="false">IFERROR(IF($N1121="VCA",INDEX(APOIO_REDES!$A:$W,MATCH($C1121&amp;$I1121&amp;$H1121&amp;$N1121&amp;$O1121,APOIO_REDES!$W:$W,0),MATCH(BB$5,APOIO_REDES!$5:$5,0)),0)*($AI1121+$AQ1121+$AR1121),0)</f>
        <v>91.6156116941585</v>
      </c>
      <c r="BC1121" s="153" t="n">
        <f aca="false">IFERROR(IF($N1121="VCA",INDEX(APOIO_REDES!$A:$W,MATCH($C1121&amp;$I1121&amp;$H1121&amp;$N1121&amp;$O1121,APOIO_REDES!$W:$W,0),MATCH(BC$5,APOIO_REDES!$5:$5,0)),0)*($AI1121+$AQ1121+$AR1121),0)</f>
        <v>1.00776980584152</v>
      </c>
      <c r="BD1121" s="153" t="n">
        <f aca="false">IF(AND($N1121="VCA",$AF1121&gt;=1.25,$AF1121&lt;1.5),$M1121*$AF1121*2,0)</f>
        <v>838.98102</v>
      </c>
      <c r="BE1121" s="153" t="n">
        <f aca="false">IF(AND($N1121="VCA",$AF1121&gt;=1.5,$AF1121&lt;3),$M1121*$AF1121*2,0)</f>
        <v>0</v>
      </c>
      <c r="BF1121" s="153" t="n">
        <f aca="false">IF(AND($N1121="VCA",$AF1121&gt;=3),$M1121*$AF1121*2,0)</f>
        <v>0</v>
      </c>
      <c r="BG1121" s="153" t="n">
        <f aca="false">($BB1121+$BC1121)*$AK1121</f>
        <v>324.18183525</v>
      </c>
      <c r="BH1121" s="153" t="n">
        <f aca="false">IF(AND($M1121&lt;&gt;"",$N1121="VCA",$Q1121="LINEAR"),($M1121*2)/100,IF(AND($M1121&lt;&gt;"",$N1121="MND",$Q1121="EMBOQUE"),($AN1121*2)/100,0))</f>
        <v>6.1554</v>
      </c>
      <c r="BI1121" s="153" t="n">
        <f aca="false">IF(AND($M1121&lt;&gt;"",$N1121="VCA",$Q1121="LINEAR"),$M1121,IF(AND($M1121&lt;&gt;"",$N1121="MND",$Q1121="EMBOQUE"),$AN1121*2,0))</f>
        <v>307.77</v>
      </c>
      <c r="BJ1121" s="153" t="n">
        <f aca="false">IF(AND($M1121&lt;&gt;"",$N1121="VCA",$Q1121="LINEAR"),($M1121*6.8)/100,IF(AND($M1121&lt;&gt;"",$N1121="MND",$Q1121="EMBOQUE"),($AN1121*2*6.8)/100,0))</f>
        <v>20.92836</v>
      </c>
      <c r="BK1121" s="153" t="n">
        <f aca="false">IF(AND($M1121&lt;&gt;"",$N1121="VCA",$Q1121="LINEAR"),($M1121*2.5)/50,IF(AND($M1121&lt;&gt;"",$N1121="MND",$Q1121="EMBOQUE"),($AN1121*2*2.5)/50,0))</f>
        <v>15.3885</v>
      </c>
      <c r="BL1121" s="157" t="str">
        <f aca="false">K1121&amp;J1121</f>
        <v>Zona10REDES</v>
      </c>
      <c r="BM1121" s="152" t="s">
        <v>5703</v>
      </c>
      <c r="BN1121" s="152" t="s">
        <v>1560</v>
      </c>
      <c r="BO1121" s="152" t="s">
        <v>3688</v>
      </c>
      <c r="BP1121" s="152" t="s">
        <v>5773</v>
      </c>
      <c r="BQ1121" s="152" t="s">
        <v>5804</v>
      </c>
      <c r="BR1121" s="152" t="s">
        <v>5805</v>
      </c>
      <c r="BS1121" s="152" t="n">
        <v>203354.163</v>
      </c>
      <c r="BT1121" s="152" t="n">
        <v>8237364.666</v>
      </c>
      <c r="BU1121" s="152" t="n">
        <v>203620.588</v>
      </c>
      <c r="BV1121" s="152" t="n">
        <v>8237210.881</v>
      </c>
      <c r="BW1121" s="152" t="n">
        <v>-15.9259525</v>
      </c>
      <c r="BX1121" s="152" t="n">
        <v>-47.7694237</v>
      </c>
      <c r="BY1121" s="152" t="s">
        <v>5773</v>
      </c>
    </row>
    <row r="1122" customFormat="false" ht="13.8" hidden="false" customHeight="false" outlineLevel="0" collapsed="false">
      <c r="A1122" s="149" t="n">
        <f aca="false">IF(C1122&lt;&gt;"",ROW(A1117),"")</f>
        <v>1117</v>
      </c>
      <c r="B1122" s="150" t="str">
        <f aca="false">HYPERLINK("https://www.google.com/maps/dir/-15.917302,-47.760003/-15.9264174,-47.7713348/data=!4m3!4m2!3e0!5i2")</f>
        <v>https://www.google.com/maps/dir/-15.917302,-47.760003/-15.9264174,-47.7713348/data=!4m3!4m2!3e0!5i2</v>
      </c>
      <c r="C1122" s="151" t="s">
        <v>117</v>
      </c>
      <c r="D1122" s="152" t="s">
        <v>112</v>
      </c>
      <c r="E1122" s="152" t="s">
        <v>113</v>
      </c>
      <c r="F1122" s="152" t="s">
        <v>117</v>
      </c>
      <c r="G1122" s="152" t="s">
        <v>782</v>
      </c>
      <c r="H1122" s="152" t="n">
        <v>63</v>
      </c>
      <c r="I1122" s="152" t="s">
        <v>115</v>
      </c>
      <c r="J1122" s="152" t="s">
        <v>6</v>
      </c>
      <c r="K1122" s="152" t="s">
        <v>5700</v>
      </c>
      <c r="L1122" s="152" t="s">
        <v>120</v>
      </c>
      <c r="M1122" s="153" t="n">
        <f aca="false">96.86+1.68</f>
        <v>98.54</v>
      </c>
      <c r="N1122" s="152" t="s">
        <v>1548</v>
      </c>
      <c r="O1122" s="152" t="s">
        <v>1549</v>
      </c>
      <c r="P1122" s="152" t="s">
        <v>1550</v>
      </c>
      <c r="Q1122" s="152" t="s">
        <v>1551</v>
      </c>
      <c r="R1122" s="154" t="s">
        <v>5806</v>
      </c>
      <c r="S1122" s="154" t="s">
        <v>1553</v>
      </c>
      <c r="T1122" s="155" t="s">
        <v>3685</v>
      </c>
      <c r="U1122" s="152" t="str">
        <f aca="false">RIGHT(T1122,7)</f>
        <v>012/037</v>
      </c>
      <c r="V1122" s="152" t="s">
        <v>1555</v>
      </c>
      <c r="W1122" s="156" t="n">
        <v>45882</v>
      </c>
      <c r="X1122" s="152" t="s">
        <v>1594</v>
      </c>
      <c r="Y1122" s="152" t="s">
        <v>5799</v>
      </c>
      <c r="Z1122" s="152" t="s">
        <v>1557</v>
      </c>
      <c r="AA1122" s="153" t="n">
        <v>4</v>
      </c>
      <c r="AB1122" s="151" t="s">
        <v>5807</v>
      </c>
      <c r="AC1122" s="151" t="s">
        <v>186</v>
      </c>
      <c r="AD1122" s="151" t="str">
        <f aca="false">CONCATENATE($C1122,$I1122,$H1122,$N1122,$J1122,$K1122)</f>
        <v>TUBO PEADPEAD63VCAREDESZona10</v>
      </c>
      <c r="AE1122" s="153" t="n">
        <f aca="false">IFERROR(INDEX(APOIO_REDES!$A:$W,MATCH($C1122&amp;$I1122&amp;$H1122&amp;$N1122&amp;$O1122,APOIO_REDES!$W:$W,0),MATCH(AE$5,APOIO_REDES!$5:$5,0)),0)</f>
        <v>1.2</v>
      </c>
      <c r="AF1122" s="153" t="n">
        <f aca="false">IFERROR(INDEX(APOIO_REDES!$A:$W,MATCH($C1122&amp;$I1122&amp;$H1122&amp;$N1122&amp;$O1122,APOIO_REDES!$W:$W,0),MATCH(AF$5,APOIO_REDES!$5:$5,0)),0)</f>
        <v>1.363</v>
      </c>
      <c r="AG1122" s="153" t="n">
        <f aca="false">IFERROR(INDEX(APOIO_REDES!$A:$W,MATCH($C1122&amp;$I1122&amp;$H1122&amp;$N1122&amp;$O1122,APOIO_REDES!$W:$W,0),MATCH(AG$5,APOIO_REDES!$5:$5,0)),0)</f>
        <v>0.65</v>
      </c>
      <c r="AH1122" s="153" t="n">
        <f aca="false">IFERROR(INDEX(APOIO_REDES!$A:$W,MATCH($C1122&amp;$I1122&amp;$H1122&amp;$N1122&amp;$O1122,APOIO_REDES!$W:$W,0),MATCH(AH$5,APOIO_REDES!$5:$5,0)),0)</f>
        <v>0.1</v>
      </c>
      <c r="AI1122" s="153" t="n">
        <f aca="false">IFERROR(IF($H1122&lt;&gt;"",(((($H1122/1000)/2)^2)*PI()*$M1122),0),0)</f>
        <v>0.307173352899082</v>
      </c>
      <c r="AJ1122" s="153" t="n">
        <f aca="false">IFERROR(IF(AND($H1122&lt;&gt;"",$I1122="FoFo",OR($N1122="MND",$N1122="VCA"),$Q1122="LINEAR"),0,IF(AND($H1122&lt;&gt;"",$I1122="PEAD",$N1122="VCA",$Q1122="LINEAR"),($H1122/1000)+0.3,IF(AND($H1122&lt;&gt;"",$I1122="PEAD",$N1122="MND",$Q1122="EMBOQUE"),0,IF(AND($H1122&lt;&gt;"",$I1122="PVC",$N1122="VCA",$Q1122="LINEAR"),($H1122/1000)+0.2,IF(AND($H1122&lt;&gt;"",$I1122="PVC",$N1122="MND",$Q1122="EMBOQUE"),0,IF(AND($H1122&lt;&gt;"",$I1122="PEAD",$N1122="VCA",$Q1122="PREDIAL"),0,0)))))),0)</f>
        <v>0.363</v>
      </c>
      <c r="AK1122" s="153" t="n">
        <f aca="false">IF(AA1122&lt;&gt;"",AA1122,0)</f>
        <v>4</v>
      </c>
      <c r="AL1122" s="153" t="n">
        <f aca="false">IF(AND($N1122="MND",$Q1122="EMBOQUE"),$M1122,IF(AND($N1122="VCA",$Q1122="LINEAR"),$M1122,IF(AND($N1122="VCA",$Q1122="PREDIAL"),0,0)))</f>
        <v>98.54</v>
      </c>
      <c r="AM1122" s="153" t="n">
        <f aca="false">IF(AND($N1122="MND",$Q1122="EMBOQUE"),$M1122,IF(AND($N1122="VCA",$Q1122="LINEAR"),$M1122,IF(AND($N1122="VCA",$Q1122="PREDIAL"),0,0)))</f>
        <v>98.54</v>
      </c>
      <c r="AN1122" s="153" t="n">
        <f aca="false">ROUND(IF(AND($N1122="VCA",$M1122&lt;&gt;"",$Q1122="LINEAR"),$M1122/100,IF(AND($N1122="MND",$M1122&gt;100,$Q1122="EMBOQUE"),$M1122/100,0)),0)</f>
        <v>1</v>
      </c>
      <c r="AO1122" s="153" t="n">
        <f aca="false">IF(AND($N1122="MND",$Q1122="EMBOQUE"),$AN1122*2*2,IF(AND($N1122="VCA",$Q1122="LINEAR"),$M1122*2,IF(AND($N1122="VCA",$Q1122="PREDIAL"),0,0)))</f>
        <v>197.08</v>
      </c>
      <c r="AP1122" s="153" t="n">
        <f aca="false">IFERROR($M1122*$AF1122*$AG1122,0)</f>
        <v>87.301513</v>
      </c>
      <c r="AQ1122" s="153" t="n">
        <f aca="false">IFERROR(IF(AND($N1122="VCA",$AH1122&gt;0),$M1122*$AG1122*$AH1122,0),0)</f>
        <v>6.4051</v>
      </c>
      <c r="AR1122" s="153" t="n">
        <f aca="false">IFERROR(IF(AND($N1122="VCA",$AJ1122&gt;0),($M1122*$AG1122*$AJ1122)-$AI1122,0),0)</f>
        <v>22.9433396471009</v>
      </c>
      <c r="AS1122" s="153" t="n">
        <f aca="false">IFERROR(IF(AND($N1122="VCA",$AP1122&gt;0),$AP1122-$AI1122-$AQ1122-$AR1122,0),0)</f>
        <v>57.6459</v>
      </c>
      <c r="AT1122" s="153" t="n">
        <f aca="false">IFERROR(IF($N1122="VCA",INDEX(APOIO_REDES!$A:$W,MATCH($C1122&amp;$I1122&amp;$H1122&amp;$N1122&amp;$O1122,APOIO_REDES!$W:$W,0),MATCH(AT$5,APOIO_REDES!$5:$5,0)),0)*$AP1122,0)</f>
        <v>0.949866301368852</v>
      </c>
      <c r="AU1122" s="153" t="n">
        <f aca="false">IFERROR(IF($N1122="VCA",INDEX(APOIO_REDES!$A:$W,MATCH($C1122&amp;$I1122&amp;$H1122&amp;$N1122&amp;$O1122,APOIO_REDES!$W:$W,0),MATCH(AU$5,APOIO_REDES!$5:$5,0)),0)*$AP1122,0)</f>
        <v>0.758537502631185</v>
      </c>
      <c r="AV1122" s="153" t="n">
        <f aca="false">IFERROR(IF($N1122="VCA",INDEX(APOIO_REDES!$A:$W,MATCH($C1122&amp;$I1122&amp;$H1122&amp;$N1122&amp;$O1122,APOIO_REDES!$W:$W,0),MATCH(AV$5,APOIO_REDES!$5:$5,0)),0)*$AP1122,0)</f>
        <v>0.104975635611286</v>
      </c>
      <c r="AW1122" s="153" t="n">
        <f aca="false">IFERROR(IF($N1122="VCA",INDEX(APOIO_REDES!$A:$W,MATCH($C1122&amp;$I1122&amp;$H1122&amp;$N1122&amp;$O1122,APOIO_REDES!$W:$W,0),MATCH(AW$5,APOIO_REDES!$5:$5,0)),0)*$AP1122,0)</f>
        <v>59.9244349683316</v>
      </c>
      <c r="AX1122" s="153" t="n">
        <f aca="false">IFERROR(IF($N1122="VCA",INDEX(APOIO_REDES!$A:$W,MATCH($C1122&amp;$I1122&amp;$H1122&amp;$N1122&amp;$O1122,APOIO_REDES!$W:$W,0),MATCH(AX$5,APOIO_REDES!$5:$5,0)),0)*$AP1122,0)</f>
        <v>8.29337110163296</v>
      </c>
      <c r="AY1122" s="153" t="n">
        <f aca="false">IFERROR(IF($N1122="VCA",INDEX(APOIO_REDES!$A:$W,MATCH($C1122&amp;$I1122&amp;$H1122&amp;$N1122&amp;$O1122,APOIO_REDES!$W:$W,0),MATCH(AY$5,APOIO_REDES!$5:$5,0)),0)*$AP1122,0)</f>
        <v>15.170740806113</v>
      </c>
      <c r="AZ1122" s="153" t="n">
        <f aca="false">IFERROR(IF($N1122="VCA",INDEX(APOIO_REDES!$A:$W,MATCH($C1122&amp;$I1122&amp;$H1122&amp;$N1122&amp;$O1122,APOIO_REDES!$W:$W,0),MATCH(AZ$5,APOIO_REDES!$5:$5,0)),0)*$AP1122,0)</f>
        <v>2.09958668431106</v>
      </c>
      <c r="BA1122" s="153" t="n">
        <f aca="false">IFERROR(IF(AND($N1122="VCA",$Q1122="LINEAR"),INDEX(APOIO_REDES!$A:$W,MATCH($C1122&amp;$I1122&amp;$H1122&amp;$N1122&amp;$O1122,APOIO_REDES!$W:$W,0),MATCH(BA$5,APOIO_REDES!$5:$5,0)),IF(AND($N1122="MND",$Q1122="EMBOQUE"),INDEX(APOIO_REDES!$A:$W,MATCH($C1122&amp;$I1122&amp;$H1122&amp;$N1122&amp;$O1122,APOIO_REDES!$W:$W,0),MATCH(BA$5,APOIO_REDES!$5:$5,0)),0))*$M1122/10,0)</f>
        <v>7.94207544071155</v>
      </c>
      <c r="BB1122" s="153" t="n">
        <f aca="false">IFERROR(IF($N1122="VCA",INDEX(APOIO_REDES!$A:$W,MATCH($C1122&amp;$I1122&amp;$H1122&amp;$N1122&amp;$O1122,APOIO_REDES!$W:$W,0),MATCH(BB$5,APOIO_REDES!$5:$5,0)),0)*($AI1122+$AQ1122+$AR1122),0)</f>
        <v>29.3329511529466</v>
      </c>
      <c r="BC1122" s="153" t="n">
        <f aca="false">IFERROR(IF($N1122="VCA",INDEX(APOIO_REDES!$A:$W,MATCH($C1122&amp;$I1122&amp;$H1122&amp;$N1122&amp;$O1122,APOIO_REDES!$W:$W,0),MATCH(BC$5,APOIO_REDES!$5:$5,0)),0)*($AI1122+$AQ1122+$AR1122),0)</f>
        <v>0.322661847053396</v>
      </c>
      <c r="BD1122" s="153" t="n">
        <f aca="false">IF(AND($N1122="VCA",$AF1122&gt;=1.25,$AF1122&lt;1.5),$M1122*$AF1122*2,0)</f>
        <v>268.62004</v>
      </c>
      <c r="BE1122" s="153" t="n">
        <f aca="false">IF(AND($N1122="VCA",$AF1122&gt;=1.5,$AF1122&lt;3),$M1122*$AF1122*2,0)</f>
        <v>0</v>
      </c>
      <c r="BF1122" s="153" t="n">
        <f aca="false">IF(AND($N1122="VCA",$AF1122&gt;=3),$M1122*$AF1122*2,0)</f>
        <v>0</v>
      </c>
      <c r="BG1122" s="153" t="n">
        <f aca="false">($BB1122+$BC1122)*$AK1122</f>
        <v>118.622452</v>
      </c>
      <c r="BH1122" s="153" t="n">
        <f aca="false">IF(AND($M1122&lt;&gt;"",$N1122="VCA",$Q1122="LINEAR"),($M1122*2)/100,IF(AND($M1122&lt;&gt;"",$N1122="MND",$Q1122="EMBOQUE"),($AN1122*2)/100,0))</f>
        <v>1.9708</v>
      </c>
      <c r="BI1122" s="153" t="n">
        <f aca="false">IF(AND($M1122&lt;&gt;"",$N1122="VCA",$Q1122="LINEAR"),$M1122,IF(AND($M1122&lt;&gt;"",$N1122="MND",$Q1122="EMBOQUE"),$AN1122*2,0))</f>
        <v>98.54</v>
      </c>
      <c r="BJ1122" s="153" t="n">
        <f aca="false">IF(AND($M1122&lt;&gt;"",$N1122="VCA",$Q1122="LINEAR"),($M1122*6.8)/100,IF(AND($M1122&lt;&gt;"",$N1122="MND",$Q1122="EMBOQUE"),($AN1122*2*6.8)/100,0))</f>
        <v>6.70072</v>
      </c>
      <c r="BK1122" s="153" t="n">
        <f aca="false">IF(AND($M1122&lt;&gt;"",$N1122="VCA",$Q1122="LINEAR"),($M1122*2.5)/50,IF(AND($M1122&lt;&gt;"",$N1122="MND",$Q1122="EMBOQUE"),($AN1122*2*2.5)/50,0))</f>
        <v>4.927</v>
      </c>
      <c r="BL1122" s="157" t="str">
        <f aca="false">K1122&amp;J1122</f>
        <v>Zona10REDES</v>
      </c>
      <c r="BM1122" s="152" t="s">
        <v>5703</v>
      </c>
      <c r="BN1122" s="152" t="s">
        <v>1560</v>
      </c>
      <c r="BO1122" s="152" t="s">
        <v>3688</v>
      </c>
      <c r="BP1122" s="152" t="s">
        <v>5808</v>
      </c>
      <c r="BQ1122" s="152" t="s">
        <v>5788</v>
      </c>
      <c r="BR1122" s="152" t="s">
        <v>5809</v>
      </c>
      <c r="BS1122" s="152" t="n">
        <v>203283.066</v>
      </c>
      <c r="BT1122" s="152" t="n">
        <v>8237233.954</v>
      </c>
      <c r="BU1122" s="152" t="n">
        <v>203330.604</v>
      </c>
      <c r="BV1122" s="152" t="n">
        <v>8237318.327</v>
      </c>
      <c r="BW1122" s="152" t="n">
        <v>-15.9260345</v>
      </c>
      <c r="BX1122" s="152" t="n">
        <v>-47.7711143</v>
      </c>
      <c r="BY1122" s="152" t="s">
        <v>5808</v>
      </c>
    </row>
    <row r="1123" customFormat="false" ht="13.8" hidden="false" customHeight="false" outlineLevel="0" collapsed="false">
      <c r="A1123" s="149" t="n">
        <f aca="false">IF(C1123&lt;&gt;"",ROW(A1118),"")</f>
        <v>1118</v>
      </c>
      <c r="B1123" s="150" t="str">
        <f aca="false">HYPERLINK("https://www.google.com/maps/dir/-15.917302,-47.760003/-15.9259880,-47.7703449/data=!4m3!4m2!3e0!5i2")</f>
        <v>https://www.google.com/maps/dir/-15.917302,-47.760003/-15.9259880,-47.7703449/data=!4m3!4m2!3e0!5i2</v>
      </c>
      <c r="C1123" s="151" t="s">
        <v>117</v>
      </c>
      <c r="D1123" s="152" t="s">
        <v>112</v>
      </c>
      <c r="E1123" s="152" t="s">
        <v>113</v>
      </c>
      <c r="F1123" s="152" t="s">
        <v>117</v>
      </c>
      <c r="G1123" s="152" t="s">
        <v>782</v>
      </c>
      <c r="H1123" s="152" t="n">
        <v>63</v>
      </c>
      <c r="I1123" s="152" t="s">
        <v>115</v>
      </c>
      <c r="J1123" s="152" t="s">
        <v>6</v>
      </c>
      <c r="K1123" s="152" t="s">
        <v>5700</v>
      </c>
      <c r="L1123" s="152" t="s">
        <v>120</v>
      </c>
      <c r="M1123" s="153" t="n">
        <f aca="false">47.3</f>
        <v>47.3</v>
      </c>
      <c r="N1123" s="152" t="s">
        <v>1548</v>
      </c>
      <c r="O1123" s="152" t="s">
        <v>1549</v>
      </c>
      <c r="P1123" s="152" t="s">
        <v>1550</v>
      </c>
      <c r="Q1123" s="152" t="s">
        <v>1551</v>
      </c>
      <c r="R1123" s="154" t="s">
        <v>5810</v>
      </c>
      <c r="S1123" s="154" t="s">
        <v>1553</v>
      </c>
      <c r="T1123" s="155" t="s">
        <v>3685</v>
      </c>
      <c r="U1123" s="152" t="str">
        <f aca="false">RIGHT(T1123,7)</f>
        <v>012/037</v>
      </c>
      <c r="V1123" s="152" t="s">
        <v>1555</v>
      </c>
      <c r="W1123" s="156" t="n">
        <v>45882</v>
      </c>
      <c r="X1123" s="152" t="s">
        <v>1594</v>
      </c>
      <c r="Y1123" s="152" t="s">
        <v>5799</v>
      </c>
      <c r="Z1123" s="152" t="s">
        <v>1557</v>
      </c>
      <c r="AA1123" s="153" t="n">
        <v>3.1</v>
      </c>
      <c r="AB1123" s="151" t="s">
        <v>5811</v>
      </c>
      <c r="AC1123" s="151" t="s">
        <v>186</v>
      </c>
      <c r="AD1123" s="151" t="str">
        <f aca="false">CONCATENATE($C1123,$I1123,$H1123,$N1123,$J1123,$K1123)</f>
        <v>TUBO PEADPEAD63VCAREDESZona10</v>
      </c>
      <c r="AE1123" s="153" t="n">
        <f aca="false">IFERROR(INDEX(APOIO_REDES!$A:$W,MATCH($C1123&amp;$I1123&amp;$H1123&amp;$N1123&amp;$O1123,APOIO_REDES!$W:$W,0),MATCH(AE$5,APOIO_REDES!$5:$5,0)),0)</f>
        <v>1.2</v>
      </c>
      <c r="AF1123" s="153" t="n">
        <f aca="false">IFERROR(INDEX(APOIO_REDES!$A:$W,MATCH($C1123&amp;$I1123&amp;$H1123&amp;$N1123&amp;$O1123,APOIO_REDES!$W:$W,0),MATCH(AF$5,APOIO_REDES!$5:$5,0)),0)</f>
        <v>1.363</v>
      </c>
      <c r="AG1123" s="153" t="n">
        <f aca="false">IFERROR(INDEX(APOIO_REDES!$A:$W,MATCH($C1123&amp;$I1123&amp;$H1123&amp;$N1123&amp;$O1123,APOIO_REDES!$W:$W,0),MATCH(AG$5,APOIO_REDES!$5:$5,0)),0)</f>
        <v>0.65</v>
      </c>
      <c r="AH1123" s="153" t="n">
        <f aca="false">IFERROR(INDEX(APOIO_REDES!$A:$W,MATCH($C1123&amp;$I1123&amp;$H1123&amp;$N1123&amp;$O1123,APOIO_REDES!$W:$W,0),MATCH(AH$5,APOIO_REDES!$5:$5,0)),0)</f>
        <v>0.1</v>
      </c>
      <c r="AI1123" s="153" t="n">
        <f aca="false">IFERROR(IF($H1123&lt;&gt;"",(((($H1123/1000)/2)^2)*PI()*$M1123),0),0)</f>
        <v>0.147445703187808</v>
      </c>
      <c r="AJ1123" s="153" t="n">
        <f aca="false">IFERROR(IF(AND($H1123&lt;&gt;"",$I1123="FoFo",OR($N1123="MND",$N1123="VCA"),$Q1123="LINEAR"),0,IF(AND($H1123&lt;&gt;"",$I1123="PEAD",$N1123="VCA",$Q1123="LINEAR"),($H1123/1000)+0.3,IF(AND($H1123&lt;&gt;"",$I1123="PEAD",$N1123="MND",$Q1123="EMBOQUE"),0,IF(AND($H1123&lt;&gt;"",$I1123="PVC",$N1123="VCA",$Q1123="LINEAR"),($H1123/1000)+0.2,IF(AND($H1123&lt;&gt;"",$I1123="PVC",$N1123="MND",$Q1123="EMBOQUE"),0,IF(AND($H1123&lt;&gt;"",$I1123="PEAD",$N1123="VCA",$Q1123="PREDIAL"),0,0)))))),0)</f>
        <v>0.363</v>
      </c>
      <c r="AK1123" s="153" t="n">
        <f aca="false">IF(AA1123&lt;&gt;"",AA1123,0)</f>
        <v>3.1</v>
      </c>
      <c r="AL1123" s="153" t="n">
        <f aca="false">IF(AND($N1123="MND",$Q1123="EMBOQUE"),$M1123,IF(AND($N1123="VCA",$Q1123="LINEAR"),$M1123,IF(AND($N1123="VCA",$Q1123="PREDIAL"),0,0)))</f>
        <v>47.3</v>
      </c>
      <c r="AM1123" s="153" t="n">
        <f aca="false">IF(AND($N1123="MND",$Q1123="EMBOQUE"),$M1123,IF(AND($N1123="VCA",$Q1123="LINEAR"),$M1123,IF(AND($N1123="VCA",$Q1123="PREDIAL"),0,0)))</f>
        <v>47.3</v>
      </c>
      <c r="AN1123" s="153" t="n">
        <f aca="false">ROUND(IF(AND($N1123="VCA",$M1123&lt;&gt;"",$Q1123="LINEAR"),$M1123/100,IF(AND($N1123="MND",$M1123&gt;100,$Q1123="EMBOQUE"),$M1123/100,0)),0)</f>
        <v>0</v>
      </c>
      <c r="AO1123" s="153" t="n">
        <f aca="false">IF(AND($N1123="MND",$Q1123="EMBOQUE"),$AN1123*2*2,IF(AND($N1123="VCA",$Q1123="LINEAR"),$M1123*2,IF(AND($N1123="VCA",$Q1123="PREDIAL"),0,0)))</f>
        <v>94.6</v>
      </c>
      <c r="AP1123" s="153" t="n">
        <f aca="false">IFERROR($M1123*$AF1123*$AG1123,0)</f>
        <v>41.905435</v>
      </c>
      <c r="AQ1123" s="153" t="n">
        <f aca="false">IFERROR(IF(AND($N1123="VCA",$AH1123&gt;0),$M1123*$AG1123*$AH1123,0),0)</f>
        <v>3.0745</v>
      </c>
      <c r="AR1123" s="153" t="n">
        <f aca="false">IFERROR(IF(AND($N1123="VCA",$AJ1123&gt;0),($M1123*$AG1123*$AJ1123)-$AI1123,0),0)</f>
        <v>11.0129892968122</v>
      </c>
      <c r="AS1123" s="153" t="n">
        <f aca="false">IFERROR(IF(AND($N1123="VCA",$AP1123&gt;0),$AP1123-$AI1123-$AQ1123-$AR1123,0),0)</f>
        <v>27.6705</v>
      </c>
      <c r="AT1123" s="153" t="n">
        <f aca="false">IFERROR(IF($N1123="VCA",INDEX(APOIO_REDES!$A:$W,MATCH($C1123&amp;$I1123&amp;$H1123&amp;$N1123&amp;$O1123,APOIO_REDES!$W:$W,0),MATCH(AT$5,APOIO_REDES!$5:$5,0)),0)*$AP1123,0)</f>
        <v>0.455943536175631</v>
      </c>
      <c r="AU1123" s="153" t="n">
        <f aca="false">IFERROR(IF($N1123="VCA",INDEX(APOIO_REDES!$A:$W,MATCH($C1123&amp;$I1123&amp;$H1123&amp;$N1123&amp;$O1123,APOIO_REDES!$W:$W,0),MATCH(AU$5,APOIO_REDES!$5:$5,0)),0)*$AP1123,0)</f>
        <v>0.364104159472854</v>
      </c>
      <c r="AV1123" s="153" t="n">
        <f aca="false">IFERROR(IF($N1123="VCA",INDEX(APOIO_REDES!$A:$W,MATCH($C1123&amp;$I1123&amp;$H1123&amp;$N1123&amp;$O1123,APOIO_REDES!$W:$W,0),MATCH(AV$5,APOIO_REDES!$5:$5,0)),0)*$AP1123,0)</f>
        <v>0.0503891573413216</v>
      </c>
      <c r="AW1123" s="153" t="n">
        <f aca="false">IFERROR(IF($N1123="VCA",INDEX(APOIO_REDES!$A:$W,MATCH($C1123&amp;$I1123&amp;$H1123&amp;$N1123&amp;$O1123,APOIO_REDES!$W:$W,0),MATCH(AW$5,APOIO_REDES!$5:$5,0)),0)*$AP1123,0)</f>
        <v>28.7642152831549</v>
      </c>
      <c r="AX1123" s="153" t="n">
        <f aca="false">IFERROR(IF($N1123="VCA",INDEX(APOIO_REDES!$A:$W,MATCH($C1123&amp;$I1123&amp;$H1123&amp;$N1123&amp;$O1123,APOIO_REDES!$W:$W,0),MATCH(AX$5,APOIO_REDES!$5:$5,0)),0)*$AP1123,0)</f>
        <v>3.98088545877044</v>
      </c>
      <c r="AY1123" s="153" t="n">
        <f aca="false">IFERROR(IF($N1123="VCA",INDEX(APOIO_REDES!$A:$W,MATCH($C1123&amp;$I1123&amp;$H1123&amp;$N1123&amp;$O1123,APOIO_REDES!$W:$W,0),MATCH(AY$5,APOIO_REDES!$5:$5,0)),0)*$AP1123,0)</f>
        <v>7.2820787510569</v>
      </c>
      <c r="AZ1123" s="153" t="n">
        <f aca="false">IFERROR(IF($N1123="VCA",INDEX(APOIO_REDES!$A:$W,MATCH($C1123&amp;$I1123&amp;$H1123&amp;$N1123&amp;$O1123,APOIO_REDES!$W:$W,0),MATCH(AZ$5,APOIO_REDES!$5:$5,0)),0)*$AP1123,0)</f>
        <v>1.00781865402794</v>
      </c>
      <c r="BA1123" s="153" t="n">
        <f aca="false">IFERROR(IF(AND($N1123="VCA",$Q1123="LINEAR"),INDEX(APOIO_REDES!$A:$W,MATCH($C1123&amp;$I1123&amp;$H1123&amp;$N1123&amp;$O1123,APOIO_REDES!$W:$W,0),MATCH(BA$5,APOIO_REDES!$5:$5,0)),IF(AND($N1123="MND",$Q1123="EMBOQUE"),INDEX(APOIO_REDES!$A:$W,MATCH($C1123&amp;$I1123&amp;$H1123&amp;$N1123&amp;$O1123,APOIO_REDES!$W:$W,0),MATCH(BA$5,APOIO_REDES!$5:$5,0)),0))*$M1123/10,0)</f>
        <v>3.81226068952361</v>
      </c>
      <c r="BB1123" s="153" t="n">
        <f aca="false">IFERROR(IF($N1123="VCA",INDEX(APOIO_REDES!$A:$W,MATCH($C1123&amp;$I1123&amp;$H1123&amp;$N1123&amp;$O1123,APOIO_REDES!$W:$W,0),MATCH(BB$5,APOIO_REDES!$5:$5,0)),0)*($AI1123+$AQ1123+$AR1123),0)</f>
        <v>14.0800546938743</v>
      </c>
      <c r="BC1123" s="153" t="n">
        <f aca="false">IFERROR(IF($N1123="VCA",INDEX(APOIO_REDES!$A:$W,MATCH($C1123&amp;$I1123&amp;$H1123&amp;$N1123&amp;$O1123,APOIO_REDES!$W:$W,0),MATCH(BC$5,APOIO_REDES!$5:$5,0)),0)*($AI1123+$AQ1123+$AR1123),0)</f>
        <v>0.154880306125691</v>
      </c>
      <c r="BD1123" s="153" t="n">
        <f aca="false">IF(AND($N1123="VCA",$AF1123&gt;=1.25,$AF1123&lt;1.5),$M1123*$AF1123*2,0)</f>
        <v>128.9398</v>
      </c>
      <c r="BE1123" s="153" t="n">
        <f aca="false">IF(AND($N1123="VCA",$AF1123&gt;=1.5,$AF1123&lt;3),$M1123*$AF1123*2,0)</f>
        <v>0</v>
      </c>
      <c r="BF1123" s="153" t="n">
        <f aca="false">IF(AND($N1123="VCA",$AF1123&gt;=3),$M1123*$AF1123*2,0)</f>
        <v>0</v>
      </c>
      <c r="BG1123" s="153" t="n">
        <f aca="false">($BB1123+$BC1123)*$AK1123</f>
        <v>44.1282985</v>
      </c>
      <c r="BH1123" s="153" t="n">
        <f aca="false">IF(AND($M1123&lt;&gt;"",$N1123="VCA",$Q1123="LINEAR"),($M1123*2)/100,IF(AND($M1123&lt;&gt;"",$N1123="MND",$Q1123="EMBOQUE"),($AN1123*2)/100,0))</f>
        <v>0.946</v>
      </c>
      <c r="BI1123" s="153" t="n">
        <f aca="false">IF(AND($M1123&lt;&gt;"",$N1123="VCA",$Q1123="LINEAR"),$M1123,IF(AND($M1123&lt;&gt;"",$N1123="MND",$Q1123="EMBOQUE"),$AN1123*2,0))</f>
        <v>47.3</v>
      </c>
      <c r="BJ1123" s="153" t="n">
        <f aca="false">IF(AND($M1123&lt;&gt;"",$N1123="VCA",$Q1123="LINEAR"),($M1123*6.8)/100,IF(AND($M1123&lt;&gt;"",$N1123="MND",$Q1123="EMBOQUE"),($AN1123*2*6.8)/100,0))</f>
        <v>3.2164</v>
      </c>
      <c r="BK1123" s="153" t="n">
        <f aca="false">IF(AND($M1123&lt;&gt;"",$N1123="VCA",$Q1123="LINEAR"),($M1123*2.5)/50,IF(AND($M1123&lt;&gt;"",$N1123="MND",$Q1123="EMBOQUE"),($AN1123*2*2.5)/50,0))</f>
        <v>2.365</v>
      </c>
      <c r="BL1123" s="157" t="str">
        <f aca="false">K1123&amp;J1123</f>
        <v>Zona10REDES</v>
      </c>
      <c r="BM1123" s="152" t="s">
        <v>5703</v>
      </c>
      <c r="BN1123" s="152" t="s">
        <v>1560</v>
      </c>
      <c r="BO1123" s="152" t="s">
        <v>3688</v>
      </c>
      <c r="BP1123" s="152" t="s">
        <v>5801</v>
      </c>
      <c r="BQ1123" s="152" t="s">
        <v>5812</v>
      </c>
      <c r="BR1123" s="152" t="s">
        <v>5793</v>
      </c>
      <c r="BS1123" s="152" t="n">
        <v>203388.74</v>
      </c>
      <c r="BT1123" s="152" t="n">
        <v>8237282.642</v>
      </c>
      <c r="BU1123" s="152" t="n">
        <v>203429.009</v>
      </c>
      <c r="BV1123" s="152" t="n">
        <v>8237258.002</v>
      </c>
      <c r="BW1123" s="152" t="n">
        <v>-15.9261103</v>
      </c>
      <c r="BX1123" s="152" t="n">
        <v>-47.7701639</v>
      </c>
      <c r="BY1123" s="152" t="s">
        <v>5801</v>
      </c>
    </row>
    <row r="1124" customFormat="false" ht="13.8" hidden="false" customHeight="false" outlineLevel="0" collapsed="false">
      <c r="A1124" s="149" t="n">
        <f aca="false">IF(C1124&lt;&gt;"",ROW(A1119),"")</f>
        <v>1119</v>
      </c>
      <c r="B1124" s="150" t="str">
        <f aca="false">HYPERLINK("https://www.google.com/maps/dir/-15.917302,-47.760003/-15.9258799,-47.7705175/data=!4m3!4m2!3e0!5i2")</f>
        <v>https://www.google.com/maps/dir/-15.917302,-47.760003/-15.9258799,-47.7705175/data=!4m3!4m2!3e0!5i2</v>
      </c>
      <c r="C1124" s="151" t="s">
        <v>117</v>
      </c>
      <c r="D1124" s="152" t="s">
        <v>112</v>
      </c>
      <c r="E1124" s="152" t="s">
        <v>113</v>
      </c>
      <c r="F1124" s="152" t="s">
        <v>117</v>
      </c>
      <c r="G1124" s="152" t="s">
        <v>782</v>
      </c>
      <c r="H1124" s="152" t="n">
        <v>63</v>
      </c>
      <c r="I1124" s="152" t="s">
        <v>115</v>
      </c>
      <c r="J1124" s="152" t="s">
        <v>6</v>
      </c>
      <c r="K1124" s="152" t="s">
        <v>5700</v>
      </c>
      <c r="L1124" s="152" t="s">
        <v>120</v>
      </c>
      <c r="M1124" s="153" t="n">
        <f aca="false">94.21</f>
        <v>94.21</v>
      </c>
      <c r="N1124" s="152" t="s">
        <v>1548</v>
      </c>
      <c r="O1124" s="152" t="s">
        <v>1549</v>
      </c>
      <c r="P1124" s="152" t="s">
        <v>1550</v>
      </c>
      <c r="Q1124" s="152" t="s">
        <v>1551</v>
      </c>
      <c r="R1124" s="154" t="s">
        <v>5813</v>
      </c>
      <c r="S1124" s="154" t="s">
        <v>1553</v>
      </c>
      <c r="T1124" s="155" t="s">
        <v>3685</v>
      </c>
      <c r="U1124" s="152" t="str">
        <f aca="false">RIGHT(T1124,7)</f>
        <v>012/037</v>
      </c>
      <c r="V1124" s="152" t="s">
        <v>1555</v>
      </c>
      <c r="W1124" s="156" t="n">
        <v>45882</v>
      </c>
      <c r="X1124" s="152" t="s">
        <v>1594</v>
      </c>
      <c r="Y1124" s="152" t="s">
        <v>5799</v>
      </c>
      <c r="Z1124" s="152" t="s">
        <v>1557</v>
      </c>
      <c r="AA1124" s="153" t="n">
        <v>3.2</v>
      </c>
      <c r="AB1124" s="151" t="s">
        <v>5814</v>
      </c>
      <c r="AC1124" s="151" t="s">
        <v>186</v>
      </c>
      <c r="AD1124" s="151" t="str">
        <f aca="false">CONCATENATE($C1124,$I1124,$H1124,$N1124,$J1124,$K1124)</f>
        <v>TUBO PEADPEAD63VCAREDESZona10</v>
      </c>
      <c r="AE1124" s="153" t="n">
        <f aca="false">IFERROR(INDEX(APOIO_REDES!$A:$W,MATCH($C1124&amp;$I1124&amp;$H1124&amp;$N1124&amp;$O1124,APOIO_REDES!$W:$W,0),MATCH(AE$5,APOIO_REDES!$5:$5,0)),0)</f>
        <v>1.2</v>
      </c>
      <c r="AF1124" s="153" t="n">
        <f aca="false">IFERROR(INDEX(APOIO_REDES!$A:$W,MATCH($C1124&amp;$I1124&amp;$H1124&amp;$N1124&amp;$O1124,APOIO_REDES!$W:$W,0),MATCH(AF$5,APOIO_REDES!$5:$5,0)),0)</f>
        <v>1.363</v>
      </c>
      <c r="AG1124" s="153" t="n">
        <f aca="false">IFERROR(INDEX(APOIO_REDES!$A:$W,MATCH($C1124&amp;$I1124&amp;$H1124&amp;$N1124&amp;$O1124,APOIO_REDES!$W:$W,0),MATCH(AG$5,APOIO_REDES!$5:$5,0)),0)</f>
        <v>0.65</v>
      </c>
      <c r="AH1124" s="153" t="n">
        <f aca="false">IFERROR(INDEX(APOIO_REDES!$A:$W,MATCH($C1124&amp;$I1124&amp;$H1124&amp;$N1124&amp;$O1124,APOIO_REDES!$W:$W,0),MATCH(AH$5,APOIO_REDES!$5:$5,0)),0)</f>
        <v>0.1</v>
      </c>
      <c r="AI1124" s="153" t="n">
        <f aca="false">IFERROR(IF($H1124&lt;&gt;"",(((($H1124/1000)/2)^2)*PI()*$M1124),0),0)</f>
        <v>0.293675680704511</v>
      </c>
      <c r="AJ1124" s="153" t="n">
        <f aca="false">IFERROR(IF(AND($H1124&lt;&gt;"",$I1124="FoFo",OR($N1124="MND",$N1124="VCA"),$Q1124="LINEAR"),0,IF(AND($H1124&lt;&gt;"",$I1124="PEAD",$N1124="VCA",$Q1124="LINEAR"),($H1124/1000)+0.3,IF(AND($H1124&lt;&gt;"",$I1124="PEAD",$N1124="MND",$Q1124="EMBOQUE"),0,IF(AND($H1124&lt;&gt;"",$I1124="PVC",$N1124="VCA",$Q1124="LINEAR"),($H1124/1000)+0.2,IF(AND($H1124&lt;&gt;"",$I1124="PVC",$N1124="MND",$Q1124="EMBOQUE"),0,IF(AND($H1124&lt;&gt;"",$I1124="PEAD",$N1124="VCA",$Q1124="PREDIAL"),0,0)))))),0)</f>
        <v>0.363</v>
      </c>
      <c r="AK1124" s="153" t="n">
        <f aca="false">IF(AA1124&lt;&gt;"",AA1124,0)</f>
        <v>3.2</v>
      </c>
      <c r="AL1124" s="153" t="n">
        <f aca="false">IF(AND($N1124="MND",$Q1124="EMBOQUE"),$M1124,IF(AND($N1124="VCA",$Q1124="LINEAR"),$M1124,IF(AND($N1124="VCA",$Q1124="PREDIAL"),0,0)))</f>
        <v>94.21</v>
      </c>
      <c r="AM1124" s="153" t="n">
        <f aca="false">IF(AND($N1124="MND",$Q1124="EMBOQUE"),$M1124,IF(AND($N1124="VCA",$Q1124="LINEAR"),$M1124,IF(AND($N1124="VCA",$Q1124="PREDIAL"),0,0)))</f>
        <v>94.21</v>
      </c>
      <c r="AN1124" s="153" t="n">
        <f aca="false">ROUND(IF(AND($N1124="VCA",$M1124&lt;&gt;"",$Q1124="LINEAR"),$M1124/100,IF(AND($N1124="MND",$M1124&gt;100,$Q1124="EMBOQUE"),$M1124/100,0)),0)</f>
        <v>1</v>
      </c>
      <c r="AO1124" s="153" t="n">
        <f aca="false">IF(AND($N1124="MND",$Q1124="EMBOQUE"),$AN1124*2*2,IF(AND($N1124="VCA",$Q1124="LINEAR"),$M1124*2,IF(AND($N1124="VCA",$Q1124="PREDIAL"),0,0)))</f>
        <v>188.42</v>
      </c>
      <c r="AP1124" s="153" t="n">
        <f aca="false">IFERROR($M1124*$AF1124*$AG1124,0)</f>
        <v>83.4653495</v>
      </c>
      <c r="AQ1124" s="153" t="n">
        <f aca="false">IFERROR(IF(AND($N1124="VCA",$AH1124&gt;0),$M1124*$AG1124*$AH1124,0),0)</f>
        <v>6.12365</v>
      </c>
      <c r="AR1124" s="153" t="n">
        <f aca="false">IFERROR(IF(AND($N1124="VCA",$AJ1124&gt;0),($M1124*$AG1124*$AJ1124)-$AI1124,0),0)</f>
        <v>21.9351738192955</v>
      </c>
      <c r="AS1124" s="153" t="n">
        <f aca="false">IFERROR(IF(AND($N1124="VCA",$AP1124&gt;0),$AP1124-$AI1124-$AQ1124-$AR1124,0),0)</f>
        <v>55.11285</v>
      </c>
      <c r="AT1124" s="153" t="n">
        <f aca="false">IFERROR(IF($N1124="VCA",INDEX(APOIO_REDES!$A:$W,MATCH($C1124&amp;$I1124&amp;$H1124&amp;$N1124&amp;$O1124,APOIO_REDES!$W:$W,0),MATCH(AT$5,APOIO_REDES!$5:$5,0)),0)*$AP1124,0)</f>
        <v>0.908127707042415</v>
      </c>
      <c r="AU1124" s="153" t="n">
        <f aca="false">IFERROR(IF($N1124="VCA",INDEX(APOIO_REDES!$A:$W,MATCH($C1124&amp;$I1124&amp;$H1124&amp;$N1124&amp;$O1124,APOIO_REDES!$W:$W,0),MATCH(AU$5,APOIO_REDES!$5:$5,0)),0)*$AP1124,0)</f>
        <v>0.725206191626588</v>
      </c>
      <c r="AV1124" s="153" t="n">
        <f aca="false">IFERROR(IF($N1124="VCA",INDEX(APOIO_REDES!$A:$W,MATCH($C1124&amp;$I1124&amp;$H1124&amp;$N1124&amp;$O1124,APOIO_REDES!$W:$W,0),MATCH(AV$5,APOIO_REDES!$5:$5,0)),0)*$AP1124,0)</f>
        <v>0.1003628438293</v>
      </c>
      <c r="AW1124" s="153" t="n">
        <f aca="false">IFERROR(IF($N1124="VCA",INDEX(APOIO_REDES!$A:$W,MATCH($C1124&amp;$I1124&amp;$H1124&amp;$N1124&amp;$O1124,APOIO_REDES!$W:$W,0),MATCH(AW$5,APOIO_REDES!$5:$5,0)),0)*$AP1124,0)</f>
        <v>57.2912626178864</v>
      </c>
      <c r="AX1124" s="153" t="n">
        <f aca="false">IFERROR(IF($N1124="VCA",INDEX(APOIO_REDES!$A:$W,MATCH($C1124&amp;$I1124&amp;$H1124&amp;$N1124&amp;$O1124,APOIO_REDES!$W:$W,0),MATCH(AX$5,APOIO_REDES!$5:$5,0)),0)*$AP1124,0)</f>
        <v>7.92894754906476</v>
      </c>
      <c r="AY1124" s="153" t="n">
        <f aca="false">IFERROR(IF($N1124="VCA",INDEX(APOIO_REDES!$A:$W,MATCH($C1124&amp;$I1124&amp;$H1124&amp;$N1124&amp;$O1124,APOIO_REDES!$W:$W,0),MATCH(AY$5,APOIO_REDES!$5:$5,0)),0)*$AP1124,0)</f>
        <v>14.5041149923271</v>
      </c>
      <c r="AZ1124" s="153" t="n">
        <f aca="false">IFERROR(IF($N1124="VCA",INDEX(APOIO_REDES!$A:$W,MATCH($C1124&amp;$I1124&amp;$H1124&amp;$N1124&amp;$O1124,APOIO_REDES!$W:$W,0),MATCH(AZ$5,APOIO_REDES!$5:$5,0)),0)*$AP1124,0)</f>
        <v>2.00732759822351</v>
      </c>
      <c r="BA1124" s="153" t="n">
        <f aca="false">IFERROR(IF(AND($N1124="VCA",$Q1124="LINEAR"),INDEX(APOIO_REDES!$A:$W,MATCH($C1124&amp;$I1124&amp;$H1124&amp;$N1124&amp;$O1124,APOIO_REDES!$W:$W,0),MATCH(BA$5,APOIO_REDES!$5:$5,0)),IF(AND($N1124="MND",$Q1124="EMBOQUE"),INDEX(APOIO_REDES!$A:$W,MATCH($C1124&amp;$I1124&amp;$H1124&amp;$N1124&amp;$O1124,APOIO_REDES!$W:$W,0),MATCH(BA$5,APOIO_REDES!$5:$5,0)),0))*$M1124/10,0)</f>
        <v>7.5930883627911</v>
      </c>
      <c r="BB1124" s="153" t="n">
        <f aca="false">IFERROR(IF($N1124="VCA",INDEX(APOIO_REDES!$A:$W,MATCH($C1124&amp;$I1124&amp;$H1124&amp;$N1124&amp;$O1124,APOIO_REDES!$W:$W,0),MATCH(BB$5,APOIO_REDES!$5:$5,0)),0)*($AI1124+$AQ1124+$AR1124),0)</f>
        <v>28.0440159135285</v>
      </c>
      <c r="BC1124" s="153" t="n">
        <f aca="false">IFERROR(IF($N1124="VCA",INDEX(APOIO_REDES!$A:$W,MATCH($C1124&amp;$I1124&amp;$H1124&amp;$N1124&amp;$O1124,APOIO_REDES!$W:$W,0),MATCH(BC$5,APOIO_REDES!$5:$5,0)),0)*($AI1124+$AQ1124+$AR1124),0)</f>
        <v>0.308483586471488</v>
      </c>
      <c r="BD1124" s="153" t="n">
        <f aca="false">IF(AND($N1124="VCA",$AF1124&gt;=1.25,$AF1124&lt;1.5),$M1124*$AF1124*2,0)</f>
        <v>256.81646</v>
      </c>
      <c r="BE1124" s="153" t="n">
        <f aca="false">IF(AND($N1124="VCA",$AF1124&gt;=1.5,$AF1124&lt;3),$M1124*$AF1124*2,0)</f>
        <v>0</v>
      </c>
      <c r="BF1124" s="153" t="n">
        <f aca="false">IF(AND($N1124="VCA",$AF1124&gt;=3),$M1124*$AF1124*2,0)</f>
        <v>0</v>
      </c>
      <c r="BG1124" s="153" t="n">
        <f aca="false">($BB1124+$BC1124)*$AK1124</f>
        <v>90.7279984</v>
      </c>
      <c r="BH1124" s="153" t="n">
        <f aca="false">IF(AND($M1124&lt;&gt;"",$N1124="VCA",$Q1124="LINEAR"),($M1124*2)/100,IF(AND($M1124&lt;&gt;"",$N1124="MND",$Q1124="EMBOQUE"),($AN1124*2)/100,0))</f>
        <v>1.8842</v>
      </c>
      <c r="BI1124" s="153" t="n">
        <f aca="false">IF(AND($M1124&lt;&gt;"",$N1124="VCA",$Q1124="LINEAR"),$M1124,IF(AND($M1124&lt;&gt;"",$N1124="MND",$Q1124="EMBOQUE"),$AN1124*2,0))</f>
        <v>94.21</v>
      </c>
      <c r="BJ1124" s="153" t="n">
        <f aca="false">IF(AND($M1124&lt;&gt;"",$N1124="VCA",$Q1124="LINEAR"),($M1124*6.8)/100,IF(AND($M1124&lt;&gt;"",$N1124="MND",$Q1124="EMBOQUE"),($AN1124*2*6.8)/100,0))</f>
        <v>6.40628</v>
      </c>
      <c r="BK1124" s="153" t="n">
        <f aca="false">IF(AND($M1124&lt;&gt;"",$N1124="VCA",$Q1124="LINEAR"),($M1124*2.5)/50,IF(AND($M1124&lt;&gt;"",$N1124="MND",$Q1124="EMBOQUE"),($AN1124*2*2.5)/50,0))</f>
        <v>4.7105</v>
      </c>
      <c r="BL1124" s="157" t="str">
        <f aca="false">K1124&amp;J1124</f>
        <v>Zona10REDES</v>
      </c>
      <c r="BM1124" s="152" t="s">
        <v>5703</v>
      </c>
      <c r="BN1124" s="152" t="s">
        <v>1560</v>
      </c>
      <c r="BO1124" s="152" t="s">
        <v>3688</v>
      </c>
      <c r="BP1124" s="152" t="s">
        <v>5792</v>
      </c>
      <c r="BQ1124" s="152" t="s">
        <v>5815</v>
      </c>
      <c r="BR1124" s="152" t="s">
        <v>5816</v>
      </c>
      <c r="BS1124" s="152" t="n">
        <v>203370.083</v>
      </c>
      <c r="BT1124" s="152" t="n">
        <v>8237294.365</v>
      </c>
      <c r="BU1124" s="152" t="n">
        <v>203324.438</v>
      </c>
      <c r="BV1124" s="152" t="n">
        <v>8237211.968</v>
      </c>
      <c r="BW1124" s="152" t="n">
        <v>-15.9262526</v>
      </c>
      <c r="BX1124" s="152" t="n">
        <v>-47.7707295</v>
      </c>
      <c r="BY1124" s="152" t="s">
        <v>5792</v>
      </c>
    </row>
    <row r="1125" customFormat="false" ht="13.8" hidden="false" customHeight="false" outlineLevel="0" collapsed="false">
      <c r="A1125" s="149" t="n">
        <f aca="false">IF(C1125&lt;&gt;"",ROW(A1120),"")</f>
        <v>1120</v>
      </c>
      <c r="B1125" s="150" t="str">
        <f aca="false">HYPERLINK("https://www.google.com/maps/dir/-15.917302,-47.760003/-15.9255619,-47.7721016/data=!4m3!4m2!3e0!5i2")</f>
        <v>https://www.google.com/maps/dir/-15.917302,-47.760003/-15.9255619,-47.7721016/data=!4m3!4m2!3e0!5i2</v>
      </c>
      <c r="C1125" s="151" t="s">
        <v>117</v>
      </c>
      <c r="D1125" s="152" t="s">
        <v>112</v>
      </c>
      <c r="E1125" s="152" t="s">
        <v>113</v>
      </c>
      <c r="F1125" s="152" t="s">
        <v>117</v>
      </c>
      <c r="G1125" s="152" t="s">
        <v>782</v>
      </c>
      <c r="H1125" s="152" t="n">
        <v>63</v>
      </c>
      <c r="I1125" s="152" t="s">
        <v>115</v>
      </c>
      <c r="J1125" s="152" t="s">
        <v>6</v>
      </c>
      <c r="K1125" s="152" t="s">
        <v>5700</v>
      </c>
      <c r="L1125" s="152" t="s">
        <v>120</v>
      </c>
      <c r="M1125" s="153" t="n">
        <f aca="false">172.43+0.21</f>
        <v>172.64</v>
      </c>
      <c r="N1125" s="152" t="s">
        <v>1548</v>
      </c>
      <c r="O1125" s="152" t="s">
        <v>1549</v>
      </c>
      <c r="P1125" s="152" t="s">
        <v>1550</v>
      </c>
      <c r="Q1125" s="152" t="s">
        <v>1551</v>
      </c>
      <c r="R1125" s="154" t="s">
        <v>5817</v>
      </c>
      <c r="S1125" s="154" t="s">
        <v>1553</v>
      </c>
      <c r="T1125" s="155" t="s">
        <v>3685</v>
      </c>
      <c r="U1125" s="152" t="str">
        <f aca="false">RIGHT(T1125,7)</f>
        <v>012/037</v>
      </c>
      <c r="V1125" s="152" t="s">
        <v>1555</v>
      </c>
      <c r="W1125" s="156" t="n">
        <v>45882</v>
      </c>
      <c r="X1125" s="152" t="s">
        <v>1594</v>
      </c>
      <c r="Y1125" s="152" t="s">
        <v>3516</v>
      </c>
      <c r="Z1125" s="152" t="s">
        <v>1557</v>
      </c>
      <c r="AA1125" s="153" t="n">
        <v>4</v>
      </c>
      <c r="AB1125" s="151" t="s">
        <v>5818</v>
      </c>
      <c r="AC1125" s="151" t="s">
        <v>186</v>
      </c>
      <c r="AD1125" s="151" t="str">
        <f aca="false">CONCATENATE($C1125,$I1125,$H1125,$N1125,$J1125,$K1125)</f>
        <v>TUBO PEADPEAD63VCAREDESZona10</v>
      </c>
      <c r="AE1125" s="153" t="n">
        <f aca="false">IFERROR(INDEX(APOIO_REDES!$A:$W,MATCH($C1125&amp;$I1125&amp;$H1125&amp;$N1125&amp;$O1125,APOIO_REDES!$W:$W,0),MATCH(AE$5,APOIO_REDES!$5:$5,0)),0)</f>
        <v>1.2</v>
      </c>
      <c r="AF1125" s="153" t="n">
        <f aca="false">IFERROR(INDEX(APOIO_REDES!$A:$W,MATCH($C1125&amp;$I1125&amp;$H1125&amp;$N1125&amp;$O1125,APOIO_REDES!$W:$W,0),MATCH(AF$5,APOIO_REDES!$5:$5,0)),0)</f>
        <v>1.363</v>
      </c>
      <c r="AG1125" s="153" t="n">
        <f aca="false">IFERROR(INDEX(APOIO_REDES!$A:$W,MATCH($C1125&amp;$I1125&amp;$H1125&amp;$N1125&amp;$O1125,APOIO_REDES!$W:$W,0),MATCH(AG$5,APOIO_REDES!$5:$5,0)),0)</f>
        <v>0.65</v>
      </c>
      <c r="AH1125" s="153" t="n">
        <f aca="false">IFERROR(INDEX(APOIO_REDES!$A:$W,MATCH($C1125&amp;$I1125&amp;$H1125&amp;$N1125&amp;$O1125,APOIO_REDES!$W:$W,0),MATCH(AH$5,APOIO_REDES!$5:$5,0)),0)</f>
        <v>0.1</v>
      </c>
      <c r="AI1125" s="153" t="n">
        <f aca="false">IFERROR(IF($H1125&lt;&gt;"",(((($H1125/1000)/2)^2)*PI()*$M1125),0),0)</f>
        <v>0.538161230408945</v>
      </c>
      <c r="AJ1125" s="153" t="n">
        <f aca="false">IFERROR(IF(AND($H1125&lt;&gt;"",$I1125="FoFo",OR($N1125="MND",$N1125="VCA"),$Q1125="LINEAR"),0,IF(AND($H1125&lt;&gt;"",$I1125="PEAD",$N1125="VCA",$Q1125="LINEAR"),($H1125/1000)+0.3,IF(AND($H1125&lt;&gt;"",$I1125="PEAD",$N1125="MND",$Q1125="EMBOQUE"),0,IF(AND($H1125&lt;&gt;"",$I1125="PVC",$N1125="VCA",$Q1125="LINEAR"),($H1125/1000)+0.2,IF(AND($H1125&lt;&gt;"",$I1125="PVC",$N1125="MND",$Q1125="EMBOQUE"),0,IF(AND($H1125&lt;&gt;"",$I1125="PEAD",$N1125="VCA",$Q1125="PREDIAL"),0,0)))))),0)</f>
        <v>0.363</v>
      </c>
      <c r="AK1125" s="153" t="n">
        <f aca="false">IF(AA1125&lt;&gt;"",AA1125,0)</f>
        <v>4</v>
      </c>
      <c r="AL1125" s="153" t="n">
        <f aca="false">IF(AND($N1125="MND",$Q1125="EMBOQUE"),$M1125,IF(AND($N1125="VCA",$Q1125="LINEAR"),$M1125,IF(AND($N1125="VCA",$Q1125="PREDIAL"),0,0)))</f>
        <v>172.64</v>
      </c>
      <c r="AM1125" s="153" t="n">
        <f aca="false">IF(AND($N1125="MND",$Q1125="EMBOQUE"),$M1125,IF(AND($N1125="VCA",$Q1125="LINEAR"),$M1125,IF(AND($N1125="VCA",$Q1125="PREDIAL"),0,0)))</f>
        <v>172.64</v>
      </c>
      <c r="AN1125" s="153" t="n">
        <f aca="false">ROUND(IF(AND($N1125="VCA",$M1125&lt;&gt;"",$Q1125="LINEAR"),$M1125/100,IF(AND($N1125="MND",$M1125&gt;100,$Q1125="EMBOQUE"),$M1125/100,0)),0)</f>
        <v>2</v>
      </c>
      <c r="AO1125" s="153" t="n">
        <f aca="false">IF(AND($N1125="MND",$Q1125="EMBOQUE"),$AN1125*2*2,IF(AND($N1125="VCA",$Q1125="LINEAR"),$M1125*2,IF(AND($N1125="VCA",$Q1125="PREDIAL"),0,0)))</f>
        <v>345.28</v>
      </c>
      <c r="AP1125" s="153" t="n">
        <f aca="false">IFERROR($M1125*$AF1125*$AG1125,0)</f>
        <v>152.950408</v>
      </c>
      <c r="AQ1125" s="153" t="n">
        <f aca="false">IFERROR(IF(AND($N1125="VCA",$AH1125&gt;0),$M1125*$AG1125*$AH1125,0),0)</f>
        <v>11.2216</v>
      </c>
      <c r="AR1125" s="153" t="n">
        <f aca="false">IFERROR(IF(AND($N1125="VCA",$AJ1125&gt;0),($M1125*$AG1125*$AJ1125)-$AI1125,0),0)</f>
        <v>40.1962467695911</v>
      </c>
      <c r="AS1125" s="153" t="n">
        <f aca="false">IFERROR(IF(AND($N1125="VCA",$AP1125&gt;0),$AP1125-$AI1125-$AQ1125-$AR1125,0),0)</f>
        <v>100.9944</v>
      </c>
      <c r="AT1125" s="153" t="n">
        <f aca="false">IFERROR(IF($N1125="VCA",INDEX(APOIO_REDES!$A:$W,MATCH($C1125&amp;$I1125&amp;$H1125&amp;$N1125&amp;$O1125,APOIO_REDES!$W:$W,0),MATCH(AT$5,APOIO_REDES!$5:$5,0)),0)*$AP1125,0)</f>
        <v>1.66414571004991</v>
      </c>
      <c r="AU1125" s="153" t="n">
        <f aca="false">IFERROR(IF($N1125="VCA",INDEX(APOIO_REDES!$A:$W,MATCH($C1125&amp;$I1125&amp;$H1125&amp;$N1125&amp;$O1125,APOIO_REDES!$W:$W,0),MATCH(AU$5,APOIO_REDES!$5:$5,0)),0)*$AP1125,0)</f>
        <v>1.32894169326413</v>
      </c>
      <c r="AV1125" s="153" t="n">
        <f aca="false">IFERROR(IF($N1125="VCA",INDEX(APOIO_REDES!$A:$W,MATCH($C1125&amp;$I1125&amp;$H1125&amp;$N1125&amp;$O1125,APOIO_REDES!$W:$W,0),MATCH(AV$5,APOIO_REDES!$5:$5,0)),0)*$AP1125,0)</f>
        <v>0.183915097746422</v>
      </c>
      <c r="AW1125" s="153" t="n">
        <f aca="false">IFERROR(IF($N1125="VCA",INDEX(APOIO_REDES!$A:$W,MATCH($C1125&amp;$I1125&amp;$H1125&amp;$N1125&amp;$O1125,APOIO_REDES!$W:$W,0),MATCH(AW$5,APOIO_REDES!$5:$5,0)),0)*$AP1125,0)</f>
        <v>104.986345168792</v>
      </c>
      <c r="AX1125" s="153" t="n">
        <f aca="false">IFERROR(IF($N1125="VCA",INDEX(APOIO_REDES!$A:$W,MATCH($C1125&amp;$I1125&amp;$H1125&amp;$N1125&amp;$O1125,APOIO_REDES!$W:$W,0),MATCH(AX$5,APOIO_REDES!$5:$5,0)),0)*$AP1125,0)</f>
        <v>14.5298111120957</v>
      </c>
      <c r="AY1125" s="153" t="n">
        <f aca="false">IFERROR(IF($N1125="VCA",INDEX(APOIO_REDES!$A:$W,MATCH($C1125&amp;$I1125&amp;$H1125&amp;$N1125&amp;$O1125,APOIO_REDES!$W:$W,0),MATCH(AY$5,APOIO_REDES!$5:$5,0)),0)*$AP1125,0)</f>
        <v>26.5788176655912</v>
      </c>
      <c r="AZ1125" s="153" t="n">
        <f aca="false">IFERROR(IF($N1125="VCA",INDEX(APOIO_REDES!$A:$W,MATCH($C1125&amp;$I1125&amp;$H1125&amp;$N1125&amp;$O1125,APOIO_REDES!$W:$W,0),MATCH(AZ$5,APOIO_REDES!$5:$5,0)),0)*$AP1125,0)</f>
        <v>3.67843155246054</v>
      </c>
      <c r="BA1125" s="153" t="n">
        <f aca="false">IFERROR(IF(AND($N1125="VCA",$Q1125="LINEAR"),INDEX(APOIO_REDES!$A:$W,MATCH($C1125&amp;$I1125&amp;$H1125&amp;$N1125&amp;$O1125,APOIO_REDES!$W:$W,0),MATCH(BA$5,APOIO_REDES!$5:$5,0)),IF(AND($N1125="MND",$Q1125="EMBOQUE"),INDEX(APOIO_REDES!$A:$W,MATCH($C1125&amp;$I1125&amp;$H1125&amp;$N1125&amp;$O1125,APOIO_REDES!$W:$W,0),MATCH(BA$5,APOIO_REDES!$5:$5,0)),0))*$M1125/10,0)</f>
        <v>13.9143485293733</v>
      </c>
      <c r="BB1125" s="153" t="n">
        <f aca="false">IFERROR(IF($N1125="VCA",INDEX(APOIO_REDES!$A:$W,MATCH($C1125&amp;$I1125&amp;$H1125&amp;$N1125&amp;$O1125,APOIO_REDES!$W:$W,0),MATCH(BB$5,APOIO_REDES!$5:$5,0)),0)*($AI1125+$AQ1125+$AR1125),0)</f>
        <v>51.3907112547666</v>
      </c>
      <c r="BC1125" s="153" t="n">
        <f aca="false">IFERROR(IF($N1125="VCA",INDEX(APOIO_REDES!$A:$W,MATCH($C1125&amp;$I1125&amp;$H1125&amp;$N1125&amp;$O1125,APOIO_REDES!$W:$W,0),MATCH(BC$5,APOIO_REDES!$5:$5,0)),0)*($AI1125+$AQ1125+$AR1125),0)</f>
        <v>0.56529674523339</v>
      </c>
      <c r="BD1125" s="153" t="n">
        <f aca="false">IF(AND($N1125="VCA",$AF1125&gt;=1.25,$AF1125&lt;1.5),$M1125*$AF1125*2,0)</f>
        <v>470.61664</v>
      </c>
      <c r="BE1125" s="153" t="n">
        <f aca="false">IF(AND($N1125="VCA",$AF1125&gt;=1.5,$AF1125&lt;3),$M1125*$AF1125*2,0)</f>
        <v>0</v>
      </c>
      <c r="BF1125" s="153" t="n">
        <f aca="false">IF(AND($N1125="VCA",$AF1125&gt;=3),$M1125*$AF1125*2,0)</f>
        <v>0</v>
      </c>
      <c r="BG1125" s="153" t="n">
        <f aca="false">($BB1125+$BC1125)*$AK1125</f>
        <v>207.824032</v>
      </c>
      <c r="BH1125" s="153" t="n">
        <f aca="false">IF(AND($M1125&lt;&gt;"",$N1125="VCA",$Q1125="LINEAR"),($M1125*2)/100,IF(AND($M1125&lt;&gt;"",$N1125="MND",$Q1125="EMBOQUE"),($AN1125*2)/100,0))</f>
        <v>3.4528</v>
      </c>
      <c r="BI1125" s="153" t="n">
        <f aca="false">IF(AND($M1125&lt;&gt;"",$N1125="VCA",$Q1125="LINEAR"),$M1125,IF(AND($M1125&lt;&gt;"",$N1125="MND",$Q1125="EMBOQUE"),$AN1125*2,0))</f>
        <v>172.64</v>
      </c>
      <c r="BJ1125" s="153" t="n">
        <f aca="false">IF(AND($M1125&lt;&gt;"",$N1125="VCA",$Q1125="LINEAR"),($M1125*6.8)/100,IF(AND($M1125&lt;&gt;"",$N1125="MND",$Q1125="EMBOQUE"),($AN1125*2*6.8)/100,0))</f>
        <v>11.73952</v>
      </c>
      <c r="BK1125" s="153" t="n">
        <f aca="false">IF(AND($M1125&lt;&gt;"",$N1125="VCA",$Q1125="LINEAR"),($M1125*2.5)/50,IF(AND($M1125&lt;&gt;"",$N1125="MND",$Q1125="EMBOQUE"),($AN1125*2*2.5)/50,0))</f>
        <v>8.632</v>
      </c>
      <c r="BL1125" s="157" t="str">
        <f aca="false">K1125&amp;J1125</f>
        <v>Zona10REDES</v>
      </c>
      <c r="BM1125" s="152" t="s">
        <v>5703</v>
      </c>
      <c r="BN1125" s="152" t="s">
        <v>1560</v>
      </c>
      <c r="BO1125" s="152" t="s">
        <v>3688</v>
      </c>
      <c r="BP1125" s="152" t="s">
        <v>5780</v>
      </c>
      <c r="BQ1125" s="152" t="s">
        <v>5760</v>
      </c>
      <c r="BR1125" s="152" t="s">
        <v>5819</v>
      </c>
      <c r="BS1125" s="152" t="n">
        <v>203199.905</v>
      </c>
      <c r="BT1125" s="152" t="n">
        <v>8237327.318</v>
      </c>
      <c r="BU1125" s="152" t="n">
        <v>203114.599</v>
      </c>
      <c r="BV1125" s="152" t="n">
        <v>8237177.749</v>
      </c>
      <c r="BW1125" s="152" t="n">
        <v>-15.9262376</v>
      </c>
      <c r="BX1125" s="152" t="n">
        <v>-47.7724999</v>
      </c>
      <c r="BY1125" s="152" t="s">
        <v>5780</v>
      </c>
    </row>
    <row r="1126" customFormat="false" ht="13.8" hidden="false" customHeight="false" outlineLevel="0" collapsed="false">
      <c r="A1126" s="149" t="n">
        <f aca="false">IF(C1126&lt;&gt;"",ROW(A1121),"")</f>
        <v>1121</v>
      </c>
      <c r="B1126" s="150" t="str">
        <f aca="false">HYPERLINK("https://www.google.com/maps/dir/-15.917302,-47.760003/-15.9261563,-47.7717223/data=!4m3!4m2!3e0!5i2")</f>
        <v>https://www.google.com/maps/dir/-15.917302,-47.760003/-15.9261563,-47.7717223/data=!4m3!4m2!3e0!5i2</v>
      </c>
      <c r="C1126" s="151" t="s">
        <v>117</v>
      </c>
      <c r="D1126" s="152" t="s">
        <v>112</v>
      </c>
      <c r="E1126" s="152" t="s">
        <v>113</v>
      </c>
      <c r="F1126" s="152" t="s">
        <v>117</v>
      </c>
      <c r="G1126" s="152" t="s">
        <v>782</v>
      </c>
      <c r="H1126" s="152" t="n">
        <v>63</v>
      </c>
      <c r="I1126" s="152" t="s">
        <v>115</v>
      </c>
      <c r="J1126" s="152" t="s">
        <v>6</v>
      </c>
      <c r="K1126" s="152" t="s">
        <v>5700</v>
      </c>
      <c r="L1126" s="152" t="s">
        <v>120</v>
      </c>
      <c r="M1126" s="153" t="n">
        <f aca="false">49.02</f>
        <v>49.02</v>
      </c>
      <c r="N1126" s="152" t="s">
        <v>1548</v>
      </c>
      <c r="O1126" s="152" t="s">
        <v>1549</v>
      </c>
      <c r="P1126" s="152" t="s">
        <v>1550</v>
      </c>
      <c r="Q1126" s="152" t="s">
        <v>1551</v>
      </c>
      <c r="R1126" s="154" t="s">
        <v>5820</v>
      </c>
      <c r="S1126" s="154" t="s">
        <v>1553</v>
      </c>
      <c r="T1126" s="155" t="s">
        <v>3685</v>
      </c>
      <c r="U1126" s="152" t="str">
        <f aca="false">RIGHT(T1126,7)</f>
        <v>012/037</v>
      </c>
      <c r="V1126" s="152" t="s">
        <v>1555</v>
      </c>
      <c r="W1126" s="156" t="n">
        <v>45882</v>
      </c>
      <c r="X1126" s="152" t="s">
        <v>1594</v>
      </c>
      <c r="Y1126" s="152" t="s">
        <v>3721</v>
      </c>
      <c r="Z1126" s="152" t="s">
        <v>1557</v>
      </c>
      <c r="AA1126" s="153" t="n">
        <v>4</v>
      </c>
      <c r="AB1126" s="151" t="s">
        <v>5821</v>
      </c>
      <c r="AC1126" s="151" t="s">
        <v>186</v>
      </c>
      <c r="AD1126" s="151" t="str">
        <f aca="false">CONCATENATE($C1126,$I1126,$H1126,$N1126,$J1126,$K1126)</f>
        <v>TUBO PEADPEAD63VCAREDESZona10</v>
      </c>
      <c r="AE1126" s="153" t="n">
        <f aca="false">IFERROR(INDEX(APOIO_REDES!$A:$W,MATCH($C1126&amp;$I1126&amp;$H1126&amp;$N1126&amp;$O1126,APOIO_REDES!$W:$W,0),MATCH(AE$5,APOIO_REDES!$5:$5,0)),0)</f>
        <v>1.2</v>
      </c>
      <c r="AF1126" s="153" t="n">
        <f aca="false">IFERROR(INDEX(APOIO_REDES!$A:$W,MATCH($C1126&amp;$I1126&amp;$H1126&amp;$N1126&amp;$O1126,APOIO_REDES!$W:$W,0),MATCH(AF$5,APOIO_REDES!$5:$5,0)),0)</f>
        <v>1.363</v>
      </c>
      <c r="AG1126" s="153" t="n">
        <f aca="false">IFERROR(INDEX(APOIO_REDES!$A:$W,MATCH($C1126&amp;$I1126&amp;$H1126&amp;$N1126&amp;$O1126,APOIO_REDES!$W:$W,0),MATCH(AG$5,APOIO_REDES!$5:$5,0)),0)</f>
        <v>0.65</v>
      </c>
      <c r="AH1126" s="153" t="n">
        <f aca="false">IFERROR(INDEX(APOIO_REDES!$A:$W,MATCH($C1126&amp;$I1126&amp;$H1126&amp;$N1126&amp;$O1126,APOIO_REDES!$W:$W,0),MATCH(AH$5,APOIO_REDES!$5:$5,0)),0)</f>
        <v>0.1</v>
      </c>
      <c r="AI1126" s="153" t="n">
        <f aca="false">IFERROR(IF($H1126&lt;&gt;"",(((($H1126/1000)/2)^2)*PI()*$M1126),0),0)</f>
        <v>0.15280736512191</v>
      </c>
      <c r="AJ1126" s="153" t="n">
        <f aca="false">IFERROR(IF(AND($H1126&lt;&gt;"",$I1126="FoFo",OR($N1126="MND",$N1126="VCA"),$Q1126="LINEAR"),0,IF(AND($H1126&lt;&gt;"",$I1126="PEAD",$N1126="VCA",$Q1126="LINEAR"),($H1126/1000)+0.3,IF(AND($H1126&lt;&gt;"",$I1126="PEAD",$N1126="MND",$Q1126="EMBOQUE"),0,IF(AND($H1126&lt;&gt;"",$I1126="PVC",$N1126="VCA",$Q1126="LINEAR"),($H1126/1000)+0.2,IF(AND($H1126&lt;&gt;"",$I1126="PVC",$N1126="MND",$Q1126="EMBOQUE"),0,IF(AND($H1126&lt;&gt;"",$I1126="PEAD",$N1126="VCA",$Q1126="PREDIAL"),0,0)))))),0)</f>
        <v>0.363</v>
      </c>
      <c r="AK1126" s="153" t="n">
        <f aca="false">IF(AA1126&lt;&gt;"",AA1126,0)</f>
        <v>4</v>
      </c>
      <c r="AL1126" s="153" t="n">
        <f aca="false">IF(AND($N1126="MND",$Q1126="EMBOQUE"),$M1126,IF(AND($N1126="VCA",$Q1126="LINEAR"),$M1126,IF(AND($N1126="VCA",$Q1126="PREDIAL"),0,0)))</f>
        <v>49.02</v>
      </c>
      <c r="AM1126" s="153" t="n">
        <f aca="false">IF(AND($N1126="MND",$Q1126="EMBOQUE"),$M1126,IF(AND($N1126="VCA",$Q1126="LINEAR"),$M1126,IF(AND($N1126="VCA",$Q1126="PREDIAL"),0,0)))</f>
        <v>49.02</v>
      </c>
      <c r="AN1126" s="153" t="n">
        <f aca="false">ROUND(IF(AND($N1126="VCA",$M1126&lt;&gt;"",$Q1126="LINEAR"),$M1126/100,IF(AND($N1126="MND",$M1126&gt;100,$Q1126="EMBOQUE"),$M1126/100,0)),0)</f>
        <v>0</v>
      </c>
      <c r="AO1126" s="153" t="n">
        <f aca="false">IF(AND($N1126="MND",$Q1126="EMBOQUE"),$AN1126*2*2,IF(AND($N1126="VCA",$Q1126="LINEAR"),$M1126*2,IF(AND($N1126="VCA",$Q1126="PREDIAL"),0,0)))</f>
        <v>98.04</v>
      </c>
      <c r="AP1126" s="153" t="n">
        <f aca="false">IFERROR($M1126*$AF1126*$AG1126,0)</f>
        <v>43.429269</v>
      </c>
      <c r="AQ1126" s="153" t="n">
        <f aca="false">IFERROR(IF(AND($N1126="VCA",$AH1126&gt;0),$M1126*$AG1126*$AH1126,0),0)</f>
        <v>3.1863</v>
      </c>
      <c r="AR1126" s="153" t="n">
        <f aca="false">IFERROR(IF(AND($N1126="VCA",$AJ1126&gt;0),($M1126*$AG1126*$AJ1126)-$AI1126,0),0)</f>
        <v>11.4134616348781</v>
      </c>
      <c r="AS1126" s="153" t="n">
        <f aca="false">IFERROR(IF(AND($N1126="VCA",$AP1126&gt;0),$AP1126-$AI1126-$AQ1126-$AR1126,0),0)</f>
        <v>28.6767</v>
      </c>
      <c r="AT1126" s="153" t="n">
        <f aca="false">IFERROR(IF($N1126="VCA",INDEX(APOIO_REDES!$A:$W,MATCH($C1126&amp;$I1126&amp;$H1126&amp;$N1126&amp;$O1126,APOIO_REDES!$W:$W,0),MATCH(AT$5,APOIO_REDES!$5:$5,0)),0)*$AP1126,0)</f>
        <v>0.472523301127472</v>
      </c>
      <c r="AU1126" s="153" t="n">
        <f aca="false">IFERROR(IF($N1126="VCA",INDEX(APOIO_REDES!$A:$W,MATCH($C1126&amp;$I1126&amp;$H1126&amp;$N1126&amp;$O1126,APOIO_REDES!$W:$W,0),MATCH(AU$5,APOIO_REDES!$5:$5,0)),0)*$AP1126,0)</f>
        <v>0.377344310726413</v>
      </c>
      <c r="AV1126" s="153" t="n">
        <f aca="false">IFERROR(IF($N1126="VCA",INDEX(APOIO_REDES!$A:$W,MATCH($C1126&amp;$I1126&amp;$H1126&amp;$N1126&amp;$O1126,APOIO_REDES!$W:$W,0),MATCH(AV$5,APOIO_REDES!$5:$5,0)),0)*$AP1126,0)</f>
        <v>0.0522214903355514</v>
      </c>
      <c r="AW1126" s="153" t="n">
        <f aca="false">IFERROR(IF($N1126="VCA",INDEX(APOIO_REDES!$A:$W,MATCH($C1126&amp;$I1126&amp;$H1126&amp;$N1126&amp;$O1126,APOIO_REDES!$W:$W,0),MATCH(AW$5,APOIO_REDES!$5:$5,0)),0)*$AP1126,0)</f>
        <v>29.8101867479969</v>
      </c>
      <c r="AX1126" s="153" t="n">
        <f aca="false">IFERROR(IF($N1126="VCA",INDEX(APOIO_REDES!$A:$W,MATCH($C1126&amp;$I1126&amp;$H1126&amp;$N1126&amp;$O1126,APOIO_REDES!$W:$W,0),MATCH(AX$5,APOIO_REDES!$5:$5,0)),0)*$AP1126,0)</f>
        <v>4.12564492999846</v>
      </c>
      <c r="AY1126" s="153" t="n">
        <f aca="false">IFERROR(IF($N1126="VCA",INDEX(APOIO_REDES!$A:$W,MATCH($C1126&amp;$I1126&amp;$H1126&amp;$N1126&amp;$O1126,APOIO_REDES!$W:$W,0),MATCH(AY$5,APOIO_REDES!$5:$5,0)),0)*$AP1126,0)</f>
        <v>7.54688161473169</v>
      </c>
      <c r="AZ1126" s="153" t="n">
        <f aca="false">IFERROR(IF($N1126="VCA",INDEX(APOIO_REDES!$A:$W,MATCH($C1126&amp;$I1126&amp;$H1126&amp;$N1126&amp;$O1126,APOIO_REDES!$W:$W,0),MATCH(AZ$5,APOIO_REDES!$5:$5,0)),0)*$AP1126,0)</f>
        <v>1.0444666050835</v>
      </c>
      <c r="BA1126" s="153" t="n">
        <f aca="false">IFERROR(IF(AND($N1126="VCA",$Q1126="LINEAR"),INDEX(APOIO_REDES!$A:$W,MATCH($C1126&amp;$I1126&amp;$H1126&amp;$N1126&amp;$O1126,APOIO_REDES!$W:$W,0),MATCH(BA$5,APOIO_REDES!$5:$5,0)),IF(AND($N1126="MND",$Q1126="EMBOQUE"),INDEX(APOIO_REDES!$A:$W,MATCH($C1126&amp;$I1126&amp;$H1126&amp;$N1126&amp;$O1126,APOIO_REDES!$W:$W,0),MATCH(BA$5,APOIO_REDES!$5:$5,0)),0))*$M1126/10,0)</f>
        <v>3.95088835096083</v>
      </c>
      <c r="BB1126" s="153" t="n">
        <f aca="false">IFERROR(IF($N1126="VCA",INDEX(APOIO_REDES!$A:$W,MATCH($C1126&amp;$I1126&amp;$H1126&amp;$N1126&amp;$O1126,APOIO_REDES!$W:$W,0),MATCH(BB$5,APOIO_REDES!$5:$5,0)),0)*($AI1126+$AQ1126+$AR1126),0)</f>
        <v>14.5920566827425</v>
      </c>
      <c r="BC1126" s="153" t="n">
        <f aca="false">IFERROR(IF($N1126="VCA",INDEX(APOIO_REDES!$A:$W,MATCH($C1126&amp;$I1126&amp;$H1126&amp;$N1126&amp;$O1126,APOIO_REDES!$W:$W,0),MATCH(BC$5,APOIO_REDES!$5:$5,0)),0)*($AI1126+$AQ1126+$AR1126),0)</f>
        <v>0.160512317257535</v>
      </c>
      <c r="BD1126" s="153" t="n">
        <f aca="false">IF(AND($N1126="VCA",$AF1126&gt;=1.25,$AF1126&lt;1.5),$M1126*$AF1126*2,0)</f>
        <v>133.62852</v>
      </c>
      <c r="BE1126" s="153" t="n">
        <f aca="false">IF(AND($N1126="VCA",$AF1126&gt;=1.5,$AF1126&lt;3),$M1126*$AF1126*2,0)</f>
        <v>0</v>
      </c>
      <c r="BF1126" s="153" t="n">
        <f aca="false">IF(AND($N1126="VCA",$AF1126&gt;=3),$M1126*$AF1126*2,0)</f>
        <v>0</v>
      </c>
      <c r="BG1126" s="153" t="n">
        <f aca="false">($BB1126+$BC1126)*$AK1126</f>
        <v>59.010276</v>
      </c>
      <c r="BH1126" s="153" t="n">
        <f aca="false">IF(AND($M1126&lt;&gt;"",$N1126="VCA",$Q1126="LINEAR"),($M1126*2)/100,IF(AND($M1126&lt;&gt;"",$N1126="MND",$Q1126="EMBOQUE"),($AN1126*2)/100,0))</f>
        <v>0.9804</v>
      </c>
      <c r="BI1126" s="153" t="n">
        <f aca="false">IF(AND($M1126&lt;&gt;"",$N1126="VCA",$Q1126="LINEAR"),$M1126,IF(AND($M1126&lt;&gt;"",$N1126="MND",$Q1126="EMBOQUE"),$AN1126*2,0))</f>
        <v>49.02</v>
      </c>
      <c r="BJ1126" s="153" t="n">
        <f aca="false">IF(AND($M1126&lt;&gt;"",$N1126="VCA",$Q1126="LINEAR"),($M1126*6.8)/100,IF(AND($M1126&lt;&gt;"",$N1126="MND",$Q1126="EMBOQUE"),($AN1126*2*6.8)/100,0))</f>
        <v>3.33336</v>
      </c>
      <c r="BK1126" s="153" t="n">
        <f aca="false">IF(AND($M1126&lt;&gt;"",$N1126="VCA",$Q1126="LINEAR"),($M1126*2.5)/50,IF(AND($M1126&lt;&gt;"",$N1126="MND",$Q1126="EMBOQUE"),($AN1126*2*2.5)/50,0))</f>
        <v>2.451</v>
      </c>
      <c r="BL1126" s="157" t="str">
        <f aca="false">K1126&amp;J1126</f>
        <v>Zona10REDES</v>
      </c>
      <c r="BM1126" s="152" t="s">
        <v>5703</v>
      </c>
      <c r="BN1126" s="152" t="s">
        <v>1560</v>
      </c>
      <c r="BO1126" s="152" t="s">
        <v>3688</v>
      </c>
      <c r="BP1126" s="152" t="s">
        <v>5796</v>
      </c>
      <c r="BQ1126" s="152" t="s">
        <v>5822</v>
      </c>
      <c r="BR1126" s="152" t="s">
        <v>5823</v>
      </c>
      <c r="BS1126" s="152" t="n">
        <v>203241.409</v>
      </c>
      <c r="BT1126" s="152" t="n">
        <v>8237262.047</v>
      </c>
      <c r="BU1126" s="152" t="n">
        <v>203281.988</v>
      </c>
      <c r="BV1126" s="152" t="n">
        <v>8237234.555</v>
      </c>
      <c r="BW1126" s="152" t="n">
        <v>-15.9262847</v>
      </c>
      <c r="BX1126" s="152" t="n">
        <v>-47.771536</v>
      </c>
      <c r="BY1126" s="152" t="s">
        <v>5796</v>
      </c>
    </row>
    <row r="1127" customFormat="false" ht="13.8" hidden="false" customHeight="false" outlineLevel="0" collapsed="false">
      <c r="A1127" s="149" t="n">
        <f aca="false">IF(C1127&lt;&gt;"",ROW(A1122),"")</f>
        <v>1122</v>
      </c>
      <c r="B1127" s="150" t="str">
        <f aca="false">HYPERLINK("https://www.google.com/maps/dir/-15.917302,-47.760003/-15.9262156,-47.7699715/data=!4m3!4m2!3e0!5i2")</f>
        <v>https://www.google.com/maps/dir/-15.917302,-47.760003/-15.9262156,-47.7699715/data=!4m3!4m2!3e0!5i2</v>
      </c>
      <c r="C1127" s="151" t="s">
        <v>117</v>
      </c>
      <c r="D1127" s="152" t="s">
        <v>112</v>
      </c>
      <c r="E1127" s="152" t="s">
        <v>113</v>
      </c>
      <c r="F1127" s="152" t="s">
        <v>117</v>
      </c>
      <c r="G1127" s="152" t="s">
        <v>782</v>
      </c>
      <c r="H1127" s="152" t="n">
        <v>63</v>
      </c>
      <c r="I1127" s="152" t="s">
        <v>115</v>
      </c>
      <c r="J1127" s="152" t="s">
        <v>6</v>
      </c>
      <c r="K1127" s="152" t="s">
        <v>5700</v>
      </c>
      <c r="L1127" s="152" t="s">
        <v>120</v>
      </c>
      <c r="M1127" s="153" t="n">
        <f aca="false">48.4</f>
        <v>48.4</v>
      </c>
      <c r="N1127" s="152" t="s">
        <v>1548</v>
      </c>
      <c r="O1127" s="152" t="s">
        <v>1549</v>
      </c>
      <c r="P1127" s="152" t="s">
        <v>1550</v>
      </c>
      <c r="Q1127" s="152" t="s">
        <v>1551</v>
      </c>
      <c r="R1127" s="154" t="s">
        <v>5824</v>
      </c>
      <c r="S1127" s="154" t="s">
        <v>1553</v>
      </c>
      <c r="T1127" s="155" t="s">
        <v>3685</v>
      </c>
      <c r="U1127" s="152" t="str">
        <f aca="false">RIGHT(T1127,7)</f>
        <v>012/037</v>
      </c>
      <c r="V1127" s="152" t="s">
        <v>1555</v>
      </c>
      <c r="W1127" s="156" t="n">
        <v>45882</v>
      </c>
      <c r="X1127" s="152" t="s">
        <v>1594</v>
      </c>
      <c r="Y1127" s="152" t="s">
        <v>5799</v>
      </c>
      <c r="Z1127" s="152" t="s">
        <v>1557</v>
      </c>
      <c r="AA1127" s="153" t="n">
        <v>3.2</v>
      </c>
      <c r="AB1127" s="151" t="s">
        <v>5825</v>
      </c>
      <c r="AC1127" s="151" t="s">
        <v>186</v>
      </c>
      <c r="AD1127" s="151" t="str">
        <f aca="false">CONCATENATE($C1127,$I1127,$H1127,$N1127,$J1127,$K1127)</f>
        <v>TUBO PEADPEAD63VCAREDESZona10</v>
      </c>
      <c r="AE1127" s="153" t="n">
        <f aca="false">IFERROR(INDEX(APOIO_REDES!$A:$W,MATCH($C1127&amp;$I1127&amp;$H1127&amp;$N1127&amp;$O1127,APOIO_REDES!$W:$W,0),MATCH(AE$5,APOIO_REDES!$5:$5,0)),0)</f>
        <v>1.2</v>
      </c>
      <c r="AF1127" s="153" t="n">
        <f aca="false">IFERROR(INDEX(APOIO_REDES!$A:$W,MATCH($C1127&amp;$I1127&amp;$H1127&amp;$N1127&amp;$O1127,APOIO_REDES!$W:$W,0),MATCH(AF$5,APOIO_REDES!$5:$5,0)),0)</f>
        <v>1.363</v>
      </c>
      <c r="AG1127" s="153" t="n">
        <f aca="false">IFERROR(INDEX(APOIO_REDES!$A:$W,MATCH($C1127&amp;$I1127&amp;$H1127&amp;$N1127&amp;$O1127,APOIO_REDES!$W:$W,0),MATCH(AG$5,APOIO_REDES!$5:$5,0)),0)</f>
        <v>0.65</v>
      </c>
      <c r="AH1127" s="153" t="n">
        <f aca="false">IFERROR(INDEX(APOIO_REDES!$A:$W,MATCH($C1127&amp;$I1127&amp;$H1127&amp;$N1127&amp;$O1127,APOIO_REDES!$W:$W,0),MATCH(AH$5,APOIO_REDES!$5:$5,0)),0)</f>
        <v>0.1</v>
      </c>
      <c r="AI1127" s="153" t="n">
        <f aca="false">IFERROR(IF($H1127&lt;&gt;"",(((($H1127/1000)/2)^2)*PI()*$M1127),0),0)</f>
        <v>0.150874673029384</v>
      </c>
      <c r="AJ1127" s="153" t="n">
        <f aca="false">IFERROR(IF(AND($H1127&lt;&gt;"",$I1127="FoFo",OR($N1127="MND",$N1127="VCA"),$Q1127="LINEAR"),0,IF(AND($H1127&lt;&gt;"",$I1127="PEAD",$N1127="VCA",$Q1127="LINEAR"),($H1127/1000)+0.3,IF(AND($H1127&lt;&gt;"",$I1127="PEAD",$N1127="MND",$Q1127="EMBOQUE"),0,IF(AND($H1127&lt;&gt;"",$I1127="PVC",$N1127="VCA",$Q1127="LINEAR"),($H1127/1000)+0.2,IF(AND($H1127&lt;&gt;"",$I1127="PVC",$N1127="MND",$Q1127="EMBOQUE"),0,IF(AND($H1127&lt;&gt;"",$I1127="PEAD",$N1127="VCA",$Q1127="PREDIAL"),0,0)))))),0)</f>
        <v>0.363</v>
      </c>
      <c r="AK1127" s="153" t="n">
        <f aca="false">IF(AA1127&lt;&gt;"",AA1127,0)</f>
        <v>3.2</v>
      </c>
      <c r="AL1127" s="153" t="n">
        <f aca="false">IF(AND($N1127="MND",$Q1127="EMBOQUE"),$M1127,IF(AND($N1127="VCA",$Q1127="LINEAR"),$M1127,IF(AND($N1127="VCA",$Q1127="PREDIAL"),0,0)))</f>
        <v>48.4</v>
      </c>
      <c r="AM1127" s="153" t="n">
        <f aca="false">IF(AND($N1127="MND",$Q1127="EMBOQUE"),$M1127,IF(AND($N1127="VCA",$Q1127="LINEAR"),$M1127,IF(AND($N1127="VCA",$Q1127="PREDIAL"),0,0)))</f>
        <v>48.4</v>
      </c>
      <c r="AN1127" s="153" t="n">
        <f aca="false">ROUND(IF(AND($N1127="VCA",$M1127&lt;&gt;"",$Q1127="LINEAR"),$M1127/100,IF(AND($N1127="MND",$M1127&gt;100,$Q1127="EMBOQUE"),$M1127/100,0)),0)</f>
        <v>0</v>
      </c>
      <c r="AO1127" s="153" t="n">
        <f aca="false">IF(AND($N1127="MND",$Q1127="EMBOQUE"),$AN1127*2*2,IF(AND($N1127="VCA",$Q1127="LINEAR"),$M1127*2,IF(AND($N1127="VCA",$Q1127="PREDIAL"),0,0)))</f>
        <v>96.8</v>
      </c>
      <c r="AP1127" s="153" t="n">
        <f aca="false">IFERROR($M1127*$AF1127*$AG1127,0)</f>
        <v>42.87998</v>
      </c>
      <c r="AQ1127" s="153" t="n">
        <f aca="false">IFERROR(IF(AND($N1127="VCA",$AH1127&gt;0),$M1127*$AG1127*$AH1127,0),0)</f>
        <v>3.146</v>
      </c>
      <c r="AR1127" s="153" t="n">
        <f aca="false">IFERROR(IF(AND($N1127="VCA",$AJ1127&gt;0),($M1127*$AG1127*$AJ1127)-$AI1127,0),0)</f>
        <v>11.2691053269706</v>
      </c>
      <c r="AS1127" s="153" t="n">
        <f aca="false">IFERROR(IF(AND($N1127="VCA",$AP1127&gt;0),$AP1127-$AI1127-$AQ1127-$AR1127,0),0)</f>
        <v>28.314</v>
      </c>
      <c r="AT1127" s="153" t="n">
        <f aca="false">IFERROR(IF($N1127="VCA",INDEX(APOIO_REDES!$A:$W,MATCH($C1127&amp;$I1127&amp;$H1127&amp;$N1127&amp;$O1127,APOIO_REDES!$W:$W,0),MATCH(AT$5,APOIO_REDES!$5:$5,0)),0)*$AP1127,0)</f>
        <v>0.466546874226227</v>
      </c>
      <c r="AU1127" s="153" t="n">
        <f aca="false">IFERROR(IF($N1127="VCA",INDEX(APOIO_REDES!$A:$W,MATCH($C1127&amp;$I1127&amp;$H1127&amp;$N1127&amp;$O1127,APOIO_REDES!$W:$W,0),MATCH(AU$5,APOIO_REDES!$5:$5,0)),0)*$AP1127,0)</f>
        <v>0.372571698065246</v>
      </c>
      <c r="AV1127" s="153" t="n">
        <f aca="false">IFERROR(IF($N1127="VCA",INDEX(APOIO_REDES!$A:$W,MATCH($C1127&amp;$I1127&amp;$H1127&amp;$N1127&amp;$O1127,APOIO_REDES!$W:$W,0),MATCH(AV$5,APOIO_REDES!$5:$5,0)),0)*$AP1127,0)</f>
        <v>0.0515609982097244</v>
      </c>
      <c r="AW1127" s="153" t="n">
        <f aca="false">IFERROR(IF($N1127="VCA",INDEX(APOIO_REDES!$A:$W,MATCH($C1127&amp;$I1127&amp;$H1127&amp;$N1127&amp;$O1127,APOIO_REDES!$W:$W,0),MATCH(AW$5,APOIO_REDES!$5:$5,0)),0)*$AP1127,0)</f>
        <v>29.4331505222981</v>
      </c>
      <c r="AX1127" s="153" t="n">
        <f aca="false">IFERROR(IF($N1127="VCA",INDEX(APOIO_REDES!$A:$W,MATCH($C1127&amp;$I1127&amp;$H1127&amp;$N1127&amp;$O1127,APOIO_REDES!$W:$W,0),MATCH(AX$5,APOIO_REDES!$5:$5,0)),0)*$AP1127,0)</f>
        <v>4.07346419036975</v>
      </c>
      <c r="AY1127" s="153" t="n">
        <f aca="false">IFERROR(IF($N1127="VCA",INDEX(APOIO_REDES!$A:$W,MATCH($C1127&amp;$I1127&amp;$H1127&amp;$N1127&amp;$O1127,APOIO_REDES!$W:$W,0),MATCH(AY$5,APOIO_REDES!$5:$5,0)),0)*$AP1127,0)</f>
        <v>7.45142941968613</v>
      </c>
      <c r="AZ1127" s="153" t="n">
        <f aca="false">IFERROR(IF($N1127="VCA",INDEX(APOIO_REDES!$A:$W,MATCH($C1127&amp;$I1127&amp;$H1127&amp;$N1127&amp;$O1127,APOIO_REDES!$W:$W,0),MATCH(AZ$5,APOIO_REDES!$5:$5,0)),0)*$AP1127,0)</f>
        <v>1.03125629714487</v>
      </c>
      <c r="BA1127" s="153" t="n">
        <f aca="false">IFERROR(IF(AND($N1127="VCA",$Q1127="LINEAR"),INDEX(APOIO_REDES!$A:$W,MATCH($C1127&amp;$I1127&amp;$H1127&amp;$N1127&amp;$O1127,APOIO_REDES!$W:$W,0),MATCH(BA$5,APOIO_REDES!$5:$5,0)),IF(AND($N1127="MND",$Q1127="EMBOQUE"),INDEX(APOIO_REDES!$A:$W,MATCH($C1127&amp;$I1127&amp;$H1127&amp;$N1127&amp;$O1127,APOIO_REDES!$W:$W,0),MATCH(BA$5,APOIO_REDES!$5:$5,0)),0))*$M1127/10,0)</f>
        <v>3.90091791486137</v>
      </c>
      <c r="BB1127" s="153" t="n">
        <f aca="false">IFERROR(IF($N1127="VCA",INDEX(APOIO_REDES!$A:$W,MATCH($C1127&amp;$I1127&amp;$H1127&amp;$N1127&amp;$O1127,APOIO_REDES!$W:$W,0),MATCH(BB$5,APOIO_REDES!$5:$5,0)),0)*($AI1127+$AQ1127+$AR1127),0)</f>
        <v>14.40749782629</v>
      </c>
      <c r="BC1127" s="153" t="n">
        <f aca="false">IFERROR(IF($N1127="VCA",INDEX(APOIO_REDES!$A:$W,MATCH($C1127&amp;$I1127&amp;$H1127&amp;$N1127&amp;$O1127,APOIO_REDES!$W:$W,0),MATCH(BC$5,APOIO_REDES!$5:$5,0)),0)*($AI1127+$AQ1127+$AR1127),0)</f>
        <v>0.15848217371001</v>
      </c>
      <c r="BD1127" s="153" t="n">
        <f aca="false">IF(AND($N1127="VCA",$AF1127&gt;=1.25,$AF1127&lt;1.5),$M1127*$AF1127*2,0)</f>
        <v>131.9384</v>
      </c>
      <c r="BE1127" s="153" t="n">
        <f aca="false">IF(AND($N1127="VCA",$AF1127&gt;=1.5,$AF1127&lt;3),$M1127*$AF1127*2,0)</f>
        <v>0</v>
      </c>
      <c r="BF1127" s="153" t="n">
        <f aca="false">IF(AND($N1127="VCA",$AF1127&gt;=3),$M1127*$AF1127*2,0)</f>
        <v>0</v>
      </c>
      <c r="BG1127" s="153" t="n">
        <f aca="false">($BB1127+$BC1127)*$AK1127</f>
        <v>46.611136</v>
      </c>
      <c r="BH1127" s="153" t="n">
        <f aca="false">IF(AND($M1127&lt;&gt;"",$N1127="VCA",$Q1127="LINEAR"),($M1127*2)/100,IF(AND($M1127&lt;&gt;"",$N1127="MND",$Q1127="EMBOQUE"),($AN1127*2)/100,0))</f>
        <v>0.968</v>
      </c>
      <c r="BI1127" s="153" t="n">
        <f aca="false">IF(AND($M1127&lt;&gt;"",$N1127="VCA",$Q1127="LINEAR"),$M1127,IF(AND($M1127&lt;&gt;"",$N1127="MND",$Q1127="EMBOQUE"),$AN1127*2,0))</f>
        <v>48.4</v>
      </c>
      <c r="BJ1127" s="153" t="n">
        <f aca="false">IF(AND($M1127&lt;&gt;"",$N1127="VCA",$Q1127="LINEAR"),($M1127*6.8)/100,IF(AND($M1127&lt;&gt;"",$N1127="MND",$Q1127="EMBOQUE"),($AN1127*2*6.8)/100,0))</f>
        <v>3.2912</v>
      </c>
      <c r="BK1127" s="153" t="n">
        <f aca="false">IF(AND($M1127&lt;&gt;"",$N1127="VCA",$Q1127="LINEAR"),($M1127*2.5)/50,IF(AND($M1127&lt;&gt;"",$N1127="MND",$Q1127="EMBOQUE"),($AN1127*2*2.5)/50,0))</f>
        <v>2.42</v>
      </c>
      <c r="BL1127" s="157" t="str">
        <f aca="false">K1127&amp;J1127</f>
        <v>Zona10REDES</v>
      </c>
      <c r="BM1127" s="152" t="s">
        <v>5703</v>
      </c>
      <c r="BN1127" s="152" t="s">
        <v>1560</v>
      </c>
      <c r="BO1127" s="152" t="s">
        <v>3688</v>
      </c>
      <c r="BP1127" s="152" t="s">
        <v>5812</v>
      </c>
      <c r="BQ1127" s="152" t="s">
        <v>5826</v>
      </c>
      <c r="BR1127" s="152" t="s">
        <v>5827</v>
      </c>
      <c r="BS1127" s="152" t="n">
        <v>203429.081</v>
      </c>
      <c r="BT1127" s="152" t="n">
        <v>8237257.972</v>
      </c>
      <c r="BU1127" s="152" t="n">
        <v>203471.832</v>
      </c>
      <c r="BV1127" s="152" t="n">
        <v>8237235.423</v>
      </c>
      <c r="BW1127" s="152" t="n">
        <v>-15.926314</v>
      </c>
      <c r="BX1127" s="152" t="n">
        <v>-47.7697703</v>
      </c>
      <c r="BY1127" s="152" t="s">
        <v>5812</v>
      </c>
    </row>
    <row r="1128" customFormat="false" ht="13.8" hidden="false" customHeight="false" outlineLevel="0" collapsed="false">
      <c r="A1128" s="149" t="n">
        <f aca="false">IF(C1128&lt;&gt;"",ROW(A1123),"")</f>
        <v>1123</v>
      </c>
      <c r="B1128" s="150" t="str">
        <f aca="false">HYPERLINK("https://www.google.com/maps/dir/-15.917302,-47.760003/-15.9259880,-47.7703449/data=!4m3!4m2!3e0!5i2")</f>
        <v>https://www.google.com/maps/dir/-15.917302,-47.760003/-15.9259880,-47.7703449/data=!4m3!4m2!3e0!5i2</v>
      </c>
      <c r="C1128" s="151" t="s">
        <v>117</v>
      </c>
      <c r="D1128" s="152" t="s">
        <v>112</v>
      </c>
      <c r="E1128" s="152" t="s">
        <v>113</v>
      </c>
      <c r="F1128" s="152" t="s">
        <v>117</v>
      </c>
      <c r="G1128" s="152" t="s">
        <v>782</v>
      </c>
      <c r="H1128" s="152" t="n">
        <v>63</v>
      </c>
      <c r="I1128" s="152" t="s">
        <v>115</v>
      </c>
      <c r="J1128" s="152" t="s">
        <v>6</v>
      </c>
      <c r="K1128" s="152" t="s">
        <v>5700</v>
      </c>
      <c r="L1128" s="152" t="s">
        <v>120</v>
      </c>
      <c r="M1128" s="153" t="n">
        <f aca="false">112.55</f>
        <v>112.55</v>
      </c>
      <c r="N1128" s="152" t="s">
        <v>1548</v>
      </c>
      <c r="O1128" s="152" t="s">
        <v>1549</v>
      </c>
      <c r="P1128" s="152" t="s">
        <v>1550</v>
      </c>
      <c r="Q1128" s="152" t="s">
        <v>1551</v>
      </c>
      <c r="R1128" s="154" t="s">
        <v>5828</v>
      </c>
      <c r="S1128" s="154" t="s">
        <v>1553</v>
      </c>
      <c r="T1128" s="155" t="s">
        <v>3685</v>
      </c>
      <c r="U1128" s="152" t="str">
        <f aca="false">RIGHT(T1128,7)</f>
        <v>012/037</v>
      </c>
      <c r="V1128" s="152" t="s">
        <v>1555</v>
      </c>
      <c r="W1128" s="156" t="n">
        <v>45882</v>
      </c>
      <c r="X1128" s="152" t="s">
        <v>1594</v>
      </c>
      <c r="Y1128" s="152" t="s">
        <v>5799</v>
      </c>
      <c r="Z1128" s="152" t="s">
        <v>1557</v>
      </c>
      <c r="AA1128" s="153" t="n">
        <v>3.1</v>
      </c>
      <c r="AB1128" s="151" t="s">
        <v>5829</v>
      </c>
      <c r="AC1128" s="151" t="s">
        <v>186</v>
      </c>
      <c r="AD1128" s="151" t="str">
        <f aca="false">CONCATENATE($C1128,$I1128,$H1128,$N1128,$J1128,$K1128)</f>
        <v>TUBO PEADPEAD63VCAREDESZona10</v>
      </c>
      <c r="AE1128" s="153" t="n">
        <f aca="false">IFERROR(INDEX(APOIO_REDES!$A:$W,MATCH($C1128&amp;$I1128&amp;$H1128&amp;$N1128&amp;$O1128,APOIO_REDES!$W:$W,0),MATCH(AE$5,APOIO_REDES!$5:$5,0)),0)</f>
        <v>1.2</v>
      </c>
      <c r="AF1128" s="153" t="n">
        <f aca="false">IFERROR(INDEX(APOIO_REDES!$A:$W,MATCH($C1128&amp;$I1128&amp;$H1128&amp;$N1128&amp;$O1128,APOIO_REDES!$W:$W,0),MATCH(AF$5,APOIO_REDES!$5:$5,0)),0)</f>
        <v>1.363</v>
      </c>
      <c r="AG1128" s="153" t="n">
        <f aca="false">IFERROR(INDEX(APOIO_REDES!$A:$W,MATCH($C1128&amp;$I1128&amp;$H1128&amp;$N1128&amp;$O1128,APOIO_REDES!$W:$W,0),MATCH(AG$5,APOIO_REDES!$5:$5,0)),0)</f>
        <v>0.65</v>
      </c>
      <c r="AH1128" s="153" t="n">
        <f aca="false">IFERROR(INDEX(APOIO_REDES!$A:$W,MATCH($C1128&amp;$I1128&amp;$H1128&amp;$N1128&amp;$O1128,APOIO_REDES!$W:$W,0),MATCH(AH$5,APOIO_REDES!$5:$5,0)),0)</f>
        <v>0.1</v>
      </c>
      <c r="AI1128" s="153" t="n">
        <f aca="false">IFERROR(IF($H1128&lt;&gt;"",(((($H1128/1000)/2)^2)*PI()*$M1128),0),0)</f>
        <v>0.350845959699529</v>
      </c>
      <c r="AJ1128" s="153" t="n">
        <f aca="false">IFERROR(IF(AND($H1128&lt;&gt;"",$I1128="FoFo",OR($N1128="MND",$N1128="VCA"),$Q1128="LINEAR"),0,IF(AND($H1128&lt;&gt;"",$I1128="PEAD",$N1128="VCA",$Q1128="LINEAR"),($H1128/1000)+0.3,IF(AND($H1128&lt;&gt;"",$I1128="PEAD",$N1128="MND",$Q1128="EMBOQUE"),0,IF(AND($H1128&lt;&gt;"",$I1128="PVC",$N1128="VCA",$Q1128="LINEAR"),($H1128/1000)+0.2,IF(AND($H1128&lt;&gt;"",$I1128="PVC",$N1128="MND",$Q1128="EMBOQUE"),0,IF(AND($H1128&lt;&gt;"",$I1128="PEAD",$N1128="VCA",$Q1128="PREDIAL"),0,0)))))),0)</f>
        <v>0.363</v>
      </c>
      <c r="AK1128" s="153" t="n">
        <f aca="false">IF(AA1128&lt;&gt;"",AA1128,0)</f>
        <v>3.1</v>
      </c>
      <c r="AL1128" s="153" t="n">
        <f aca="false">IF(AND($N1128="MND",$Q1128="EMBOQUE"),$M1128,IF(AND($N1128="VCA",$Q1128="LINEAR"),$M1128,IF(AND($N1128="VCA",$Q1128="PREDIAL"),0,0)))</f>
        <v>112.55</v>
      </c>
      <c r="AM1128" s="153" t="n">
        <f aca="false">IF(AND($N1128="MND",$Q1128="EMBOQUE"),$M1128,IF(AND($N1128="VCA",$Q1128="LINEAR"),$M1128,IF(AND($N1128="VCA",$Q1128="PREDIAL"),0,0)))</f>
        <v>112.55</v>
      </c>
      <c r="AN1128" s="153" t="n">
        <f aca="false">ROUND(IF(AND($N1128="VCA",$M1128&lt;&gt;"",$Q1128="LINEAR"),$M1128/100,IF(AND($N1128="MND",$M1128&gt;100,$Q1128="EMBOQUE"),$M1128/100,0)),0)</f>
        <v>1</v>
      </c>
      <c r="AO1128" s="153" t="n">
        <f aca="false">IF(AND($N1128="MND",$Q1128="EMBOQUE"),$AN1128*2*2,IF(AND($N1128="VCA",$Q1128="LINEAR"),$M1128*2,IF(AND($N1128="VCA",$Q1128="PREDIAL"),0,0)))</f>
        <v>225.1</v>
      </c>
      <c r="AP1128" s="153" t="n">
        <f aca="false">IFERROR($M1128*$AF1128*$AG1128,0)</f>
        <v>99.7136725</v>
      </c>
      <c r="AQ1128" s="153" t="n">
        <f aca="false">IFERROR(IF(AND($N1128="VCA",$AH1128&gt;0),$M1128*$AG1128*$AH1128,0),0)</f>
        <v>7.31575</v>
      </c>
      <c r="AR1128" s="153" t="n">
        <f aca="false">IFERROR(IF(AND($N1128="VCA",$AJ1128&gt;0),($M1128*$AG1128*$AJ1128)-$AI1128,0),0)</f>
        <v>26.2053265403005</v>
      </c>
      <c r="AS1128" s="153" t="n">
        <f aca="false">IFERROR(IF(AND($N1128="VCA",$AP1128&gt;0),$AP1128-$AI1128-$AQ1128-$AR1128,0),0)</f>
        <v>65.84175</v>
      </c>
      <c r="AT1128" s="153" t="n">
        <f aca="false">IFERROR(IF($N1128="VCA",INDEX(APOIO_REDES!$A:$W,MATCH($C1128&amp;$I1128&amp;$H1128&amp;$N1128&amp;$O1128,APOIO_REDES!$W:$W,0),MATCH(AT$5,APOIO_REDES!$5:$5,0)),0)*$AP1128,0)</f>
        <v>1.08491427054053</v>
      </c>
      <c r="AU1128" s="153" t="n">
        <f aca="false">IFERROR(IF($N1128="VCA",INDEX(APOIO_REDES!$A:$W,MATCH($C1128&amp;$I1128&amp;$H1128&amp;$N1128&amp;$O1128,APOIO_REDES!$W:$W,0),MATCH(AU$5,APOIO_REDES!$5:$5,0)),0)*$AP1128,0)</f>
        <v>0.866383153248832</v>
      </c>
      <c r="AV1128" s="153" t="n">
        <f aca="false">IFERROR(IF($N1128="VCA",INDEX(APOIO_REDES!$A:$W,MATCH($C1128&amp;$I1128&amp;$H1128&amp;$N1128&amp;$O1128,APOIO_REDES!$W:$W,0),MATCH(AV$5,APOIO_REDES!$5:$5,0)),0)*$AP1128,0)</f>
        <v>0.119900627035217</v>
      </c>
      <c r="AW1128" s="153" t="n">
        <f aca="false">IFERROR(IF($N1128="VCA",INDEX(APOIO_REDES!$A:$W,MATCH($C1128&amp;$I1128&amp;$H1128&amp;$N1128&amp;$O1128,APOIO_REDES!$W:$W,0),MATCH(AW$5,APOIO_REDES!$5:$5,0)),0)*$AP1128,0)</f>
        <v>68.4442374232365</v>
      </c>
      <c r="AX1128" s="153" t="n">
        <f aca="false">IFERROR(IF($N1128="VCA",INDEX(APOIO_REDES!$A:$W,MATCH($C1128&amp;$I1128&amp;$H1128&amp;$N1128&amp;$O1128,APOIO_REDES!$W:$W,0),MATCH(AX$5,APOIO_REDES!$5:$5,0)),0)*$AP1128,0)</f>
        <v>9.47248749227512</v>
      </c>
      <c r="AY1128" s="153" t="n">
        <f aca="false">IFERROR(IF($N1128="VCA",INDEX(APOIO_REDES!$A:$W,MATCH($C1128&amp;$I1128&amp;$H1128&amp;$N1128&amp;$O1128,APOIO_REDES!$W:$W,0),MATCH(AY$5,APOIO_REDES!$5:$5,0)),0)*$AP1128,0)</f>
        <v>17.3276525038362</v>
      </c>
      <c r="AZ1128" s="153" t="n">
        <f aca="false">IFERROR(IF($N1128="VCA",INDEX(APOIO_REDES!$A:$W,MATCH($C1128&amp;$I1128&amp;$H1128&amp;$N1128&amp;$O1128,APOIO_REDES!$W:$W,0),MATCH(AZ$5,APOIO_REDES!$5:$5,0)),0)*$AP1128,0)</f>
        <v>2.39809702982758</v>
      </c>
      <c r="BA1128" s="153" t="n">
        <f aca="false">IFERROR(IF(AND($N1128="VCA",$Q1128="LINEAR"),INDEX(APOIO_REDES!$A:$W,MATCH($C1128&amp;$I1128&amp;$H1128&amp;$N1128&amp;$O1128,APOIO_REDES!$W:$W,0),MATCH(BA$5,APOIO_REDES!$5:$5,0)),IF(AND($N1128="MND",$Q1128="EMBOQUE"),INDEX(APOIO_REDES!$A:$W,MATCH($C1128&amp;$I1128&amp;$H1128&amp;$N1128&amp;$O1128,APOIO_REDES!$W:$W,0),MATCH(BA$5,APOIO_REDES!$5:$5,0)),0))*$M1128/10,0)</f>
        <v>9.07124610160427</v>
      </c>
      <c r="BB1128" s="153" t="n">
        <f aca="false">IFERROR(IF($N1128="VCA",INDEX(APOIO_REDES!$A:$W,MATCH($C1128&amp;$I1128&amp;$H1128&amp;$N1128&amp;$O1128,APOIO_REDES!$W:$W,0),MATCH(BB$5,APOIO_REDES!$5:$5,0)),0)*($AI1128+$AQ1128+$AR1128),0)</f>
        <v>33.5033859576227</v>
      </c>
      <c r="BC1128" s="153" t="n">
        <f aca="false">IFERROR(IF($N1128="VCA",INDEX(APOIO_REDES!$A:$W,MATCH($C1128&amp;$I1128&amp;$H1128&amp;$N1128&amp;$O1128,APOIO_REDES!$W:$W,0),MATCH(BC$5,APOIO_REDES!$5:$5,0)),0)*($AI1128+$AQ1128+$AR1128),0)</f>
        <v>0.368536542377306</v>
      </c>
      <c r="BD1128" s="153" t="n">
        <f aca="false">IF(AND($N1128="VCA",$AF1128&gt;=1.25,$AF1128&lt;1.5),$M1128*$AF1128*2,0)</f>
        <v>306.8113</v>
      </c>
      <c r="BE1128" s="153" t="n">
        <f aca="false">IF(AND($N1128="VCA",$AF1128&gt;=1.5,$AF1128&lt;3),$M1128*$AF1128*2,0)</f>
        <v>0</v>
      </c>
      <c r="BF1128" s="153" t="n">
        <f aca="false">IF(AND($N1128="VCA",$AF1128&gt;=3),$M1128*$AF1128*2,0)</f>
        <v>0</v>
      </c>
      <c r="BG1128" s="153" t="n">
        <f aca="false">($BB1128+$BC1128)*$AK1128</f>
        <v>105.00295975</v>
      </c>
      <c r="BH1128" s="153" t="n">
        <f aca="false">IF(AND($M1128&lt;&gt;"",$N1128="VCA",$Q1128="LINEAR"),($M1128*2)/100,IF(AND($M1128&lt;&gt;"",$N1128="MND",$Q1128="EMBOQUE"),($AN1128*2)/100,0))</f>
        <v>2.251</v>
      </c>
      <c r="BI1128" s="153" t="n">
        <f aca="false">IF(AND($M1128&lt;&gt;"",$N1128="VCA",$Q1128="LINEAR"),$M1128,IF(AND($M1128&lt;&gt;"",$N1128="MND",$Q1128="EMBOQUE"),$AN1128*2,0))</f>
        <v>112.55</v>
      </c>
      <c r="BJ1128" s="153" t="n">
        <f aca="false">IF(AND($M1128&lt;&gt;"",$N1128="VCA",$Q1128="LINEAR"),($M1128*6.8)/100,IF(AND($M1128&lt;&gt;"",$N1128="MND",$Q1128="EMBOQUE"),($AN1128*2*6.8)/100,0))</f>
        <v>7.6534</v>
      </c>
      <c r="BK1128" s="153" t="n">
        <f aca="false">IF(AND($M1128&lt;&gt;"",$N1128="VCA",$Q1128="LINEAR"),($M1128*2.5)/50,IF(AND($M1128&lt;&gt;"",$N1128="MND",$Q1128="EMBOQUE"),($AN1128*2*2.5)/50,0))</f>
        <v>5.6275</v>
      </c>
      <c r="BL1128" s="157" t="str">
        <f aca="false">K1128&amp;J1128</f>
        <v>Zona10REDES</v>
      </c>
      <c r="BM1128" s="152" t="s">
        <v>5703</v>
      </c>
      <c r="BN1128" s="152" t="s">
        <v>1560</v>
      </c>
      <c r="BO1128" s="152" t="s">
        <v>3688</v>
      </c>
      <c r="BP1128" s="152" t="s">
        <v>5801</v>
      </c>
      <c r="BQ1128" s="152" t="s">
        <v>5815</v>
      </c>
      <c r="BR1128" s="152" t="s">
        <v>5830</v>
      </c>
      <c r="BS1128" s="152" t="n">
        <v>203388.74</v>
      </c>
      <c r="BT1128" s="152" t="n">
        <v>8237282.642</v>
      </c>
      <c r="BU1128" s="152" t="n">
        <v>203324.438</v>
      </c>
      <c r="BV1128" s="152" t="n">
        <v>8237211.968</v>
      </c>
      <c r="BW1128" s="152" t="n">
        <v>-15.9264417</v>
      </c>
      <c r="BX1128" s="152" t="n">
        <v>-47.7705769</v>
      </c>
      <c r="BY1128" s="152" t="s">
        <v>5801</v>
      </c>
    </row>
    <row r="1129" customFormat="false" ht="13.8" hidden="false" customHeight="false" outlineLevel="0" collapsed="false">
      <c r="A1129" s="149" t="n">
        <f aca="false">IF(C1129&lt;&gt;"",ROW(A1124),"")</f>
        <v>1124</v>
      </c>
      <c r="B1129" s="150" t="str">
        <f aca="false">HYPERLINK("https://www.google.com/maps/dir/-15.917302,-47.760003/-15.9264243,-47.7695753/data=!4m3!4m2!3e0!5i2")</f>
        <v>https://www.google.com/maps/dir/-15.917302,-47.760003/-15.9264243,-47.7695753/data=!4m3!4m2!3e0!5i2</v>
      </c>
      <c r="C1129" s="151" t="s">
        <v>117</v>
      </c>
      <c r="D1129" s="152" t="s">
        <v>112</v>
      </c>
      <c r="E1129" s="152" t="s">
        <v>113</v>
      </c>
      <c r="F1129" s="152" t="s">
        <v>117</v>
      </c>
      <c r="G1129" s="152" t="s">
        <v>782</v>
      </c>
      <c r="H1129" s="152" t="n">
        <v>63</v>
      </c>
      <c r="I1129" s="152" t="s">
        <v>115</v>
      </c>
      <c r="J1129" s="152" t="s">
        <v>6</v>
      </c>
      <c r="K1129" s="152" t="s">
        <v>5700</v>
      </c>
      <c r="L1129" s="152" t="s">
        <v>120</v>
      </c>
      <c r="M1129" s="153" t="n">
        <f aca="false">48.15</f>
        <v>48.15</v>
      </c>
      <c r="N1129" s="152" t="s">
        <v>1548</v>
      </c>
      <c r="O1129" s="152" t="s">
        <v>1549</v>
      </c>
      <c r="P1129" s="152" t="s">
        <v>1550</v>
      </c>
      <c r="Q1129" s="152" t="s">
        <v>1551</v>
      </c>
      <c r="R1129" s="154" t="s">
        <v>5831</v>
      </c>
      <c r="S1129" s="154" t="s">
        <v>1553</v>
      </c>
      <c r="T1129" s="155" t="s">
        <v>3685</v>
      </c>
      <c r="U1129" s="152" t="str">
        <f aca="false">RIGHT(T1129,7)</f>
        <v>012/037</v>
      </c>
      <c r="V1129" s="152" t="s">
        <v>1555</v>
      </c>
      <c r="W1129" s="156" t="n">
        <v>45882</v>
      </c>
      <c r="X1129" s="152" t="s">
        <v>1594</v>
      </c>
      <c r="Y1129" s="152" t="s">
        <v>5799</v>
      </c>
      <c r="Z1129" s="152" t="s">
        <v>1557</v>
      </c>
      <c r="AA1129" s="153" t="n">
        <v>3.1</v>
      </c>
      <c r="AB1129" s="151" t="s">
        <v>5832</v>
      </c>
      <c r="AC1129" s="151" t="s">
        <v>186</v>
      </c>
      <c r="AD1129" s="151" t="str">
        <f aca="false">CONCATENATE($C1129,$I1129,$H1129,$N1129,$J1129,$K1129)</f>
        <v>TUBO PEADPEAD63VCAREDESZona10</v>
      </c>
      <c r="AE1129" s="153" t="n">
        <f aca="false">IFERROR(INDEX(APOIO_REDES!$A:$W,MATCH($C1129&amp;$I1129&amp;$H1129&amp;$N1129&amp;$O1129,APOIO_REDES!$W:$W,0),MATCH(AE$5,APOIO_REDES!$5:$5,0)),0)</f>
        <v>1.2</v>
      </c>
      <c r="AF1129" s="153" t="n">
        <f aca="false">IFERROR(INDEX(APOIO_REDES!$A:$W,MATCH($C1129&amp;$I1129&amp;$H1129&amp;$N1129&amp;$O1129,APOIO_REDES!$W:$W,0),MATCH(AF$5,APOIO_REDES!$5:$5,0)),0)</f>
        <v>1.363</v>
      </c>
      <c r="AG1129" s="153" t="n">
        <f aca="false">IFERROR(INDEX(APOIO_REDES!$A:$W,MATCH($C1129&amp;$I1129&amp;$H1129&amp;$N1129&amp;$O1129,APOIO_REDES!$W:$W,0),MATCH(AG$5,APOIO_REDES!$5:$5,0)),0)</f>
        <v>0.65</v>
      </c>
      <c r="AH1129" s="153" t="n">
        <f aca="false">IFERROR(INDEX(APOIO_REDES!$A:$W,MATCH($C1129&amp;$I1129&amp;$H1129&amp;$N1129&amp;$O1129,APOIO_REDES!$W:$W,0),MATCH(AH$5,APOIO_REDES!$5:$5,0)),0)</f>
        <v>0.1</v>
      </c>
      <c r="AI1129" s="153" t="n">
        <f aca="false">IFERROR(IF($H1129&lt;&gt;"",(((($H1129/1000)/2)^2)*PI()*$M1129),0),0)</f>
        <v>0.150095361701753</v>
      </c>
      <c r="AJ1129" s="153" t="n">
        <f aca="false">IFERROR(IF(AND($H1129&lt;&gt;"",$I1129="FoFo",OR($N1129="MND",$N1129="VCA"),$Q1129="LINEAR"),0,IF(AND($H1129&lt;&gt;"",$I1129="PEAD",$N1129="VCA",$Q1129="LINEAR"),($H1129/1000)+0.3,IF(AND($H1129&lt;&gt;"",$I1129="PEAD",$N1129="MND",$Q1129="EMBOQUE"),0,IF(AND($H1129&lt;&gt;"",$I1129="PVC",$N1129="VCA",$Q1129="LINEAR"),($H1129/1000)+0.2,IF(AND($H1129&lt;&gt;"",$I1129="PVC",$N1129="MND",$Q1129="EMBOQUE"),0,IF(AND($H1129&lt;&gt;"",$I1129="PEAD",$N1129="VCA",$Q1129="PREDIAL"),0,0)))))),0)</f>
        <v>0.363</v>
      </c>
      <c r="AK1129" s="153" t="n">
        <f aca="false">IF(AA1129&lt;&gt;"",AA1129,0)</f>
        <v>3.1</v>
      </c>
      <c r="AL1129" s="153" t="n">
        <f aca="false">IF(AND($N1129="MND",$Q1129="EMBOQUE"),$M1129,IF(AND($N1129="VCA",$Q1129="LINEAR"),$M1129,IF(AND($N1129="VCA",$Q1129="PREDIAL"),0,0)))</f>
        <v>48.15</v>
      </c>
      <c r="AM1129" s="153" t="n">
        <f aca="false">IF(AND($N1129="MND",$Q1129="EMBOQUE"),$M1129,IF(AND($N1129="VCA",$Q1129="LINEAR"),$M1129,IF(AND($N1129="VCA",$Q1129="PREDIAL"),0,0)))</f>
        <v>48.15</v>
      </c>
      <c r="AN1129" s="153" t="n">
        <f aca="false">ROUND(IF(AND($N1129="VCA",$M1129&lt;&gt;"",$Q1129="LINEAR"),$M1129/100,IF(AND($N1129="MND",$M1129&gt;100,$Q1129="EMBOQUE"),$M1129/100,0)),0)</f>
        <v>0</v>
      </c>
      <c r="AO1129" s="153" t="n">
        <f aca="false">IF(AND($N1129="MND",$Q1129="EMBOQUE"),$AN1129*2*2,IF(AND($N1129="VCA",$Q1129="LINEAR"),$M1129*2,IF(AND($N1129="VCA",$Q1129="PREDIAL"),0,0)))</f>
        <v>96.3</v>
      </c>
      <c r="AP1129" s="153" t="n">
        <f aca="false">IFERROR($M1129*$AF1129*$AG1129,0)</f>
        <v>42.6584925</v>
      </c>
      <c r="AQ1129" s="153" t="n">
        <f aca="false">IFERROR(IF(AND($N1129="VCA",$AH1129&gt;0),$M1129*$AG1129*$AH1129,0),0)</f>
        <v>3.12975</v>
      </c>
      <c r="AR1129" s="153" t="n">
        <f aca="false">IFERROR(IF(AND($N1129="VCA",$AJ1129&gt;0),($M1129*$AG1129*$AJ1129)-$AI1129,0),0)</f>
        <v>11.2108971382982</v>
      </c>
      <c r="AS1129" s="153" t="n">
        <f aca="false">IFERROR(IF(AND($N1129="VCA",$AP1129&gt;0),$AP1129-$AI1129-$AQ1129-$AR1129,0),0)</f>
        <v>28.16775</v>
      </c>
      <c r="AT1129" s="153" t="n">
        <f aca="false">IFERROR(IF($N1129="VCA",INDEX(APOIO_REDES!$A:$W,MATCH($C1129&amp;$I1129&amp;$H1129&amp;$N1129&amp;$O1129,APOIO_REDES!$W:$W,0),MATCH(AT$5,APOIO_REDES!$5:$5,0)),0)*$AP1129,0)</f>
        <v>0.464137024669274</v>
      </c>
      <c r="AU1129" s="153" t="n">
        <f aca="false">IFERROR(IF($N1129="VCA",INDEX(APOIO_REDES!$A:$W,MATCH($C1129&amp;$I1129&amp;$H1129&amp;$N1129&amp;$O1129,APOIO_REDES!$W:$W,0),MATCH(AU$5,APOIO_REDES!$5:$5,0)),0)*$AP1129,0)</f>
        <v>0.370647257476066</v>
      </c>
      <c r="AV1129" s="153" t="n">
        <f aca="false">IFERROR(IF($N1129="VCA",INDEX(APOIO_REDES!$A:$W,MATCH($C1129&amp;$I1129&amp;$H1129&amp;$N1129&amp;$O1129,APOIO_REDES!$W:$W,0),MATCH(AV$5,APOIO_REDES!$5:$5,0)),0)*$AP1129,0)</f>
        <v>0.0512946707396328</v>
      </c>
      <c r="AW1129" s="153" t="n">
        <f aca="false">IFERROR(IF($N1129="VCA",INDEX(APOIO_REDES!$A:$W,MATCH($C1129&amp;$I1129&amp;$H1129&amp;$N1129&amp;$O1129,APOIO_REDES!$W:$W,0),MATCH(AW$5,APOIO_REDES!$5:$5,0)),0)*$AP1129,0)</f>
        <v>29.2811197861292</v>
      </c>
      <c r="AX1129" s="153" t="n">
        <f aca="false">IFERROR(IF($N1129="VCA",INDEX(APOIO_REDES!$A:$W,MATCH($C1129&amp;$I1129&amp;$H1129&amp;$N1129&amp;$O1129,APOIO_REDES!$W:$W,0),MATCH(AX$5,APOIO_REDES!$5:$5,0)),0)*$AP1129,0)</f>
        <v>4.05242356955173</v>
      </c>
      <c r="AY1129" s="153" t="n">
        <f aca="false">IFERROR(IF($N1129="VCA",INDEX(APOIO_REDES!$A:$W,MATCH($C1129&amp;$I1129&amp;$H1129&amp;$N1129&amp;$O1129,APOIO_REDES!$W:$W,0),MATCH(AY$5,APOIO_REDES!$5:$5,0)),0)*$AP1129,0)</f>
        <v>7.4129406313613</v>
      </c>
      <c r="AZ1129" s="153" t="n">
        <f aca="false">IFERROR(IF($N1129="VCA",INDEX(APOIO_REDES!$A:$W,MATCH($C1129&amp;$I1129&amp;$H1129&amp;$N1129&amp;$O1129,APOIO_REDES!$W:$W,0),MATCH(AZ$5,APOIO_REDES!$5:$5,0)),0)*$AP1129,0)</f>
        <v>1.02592956007284</v>
      </c>
      <c r="BA1129" s="153" t="n">
        <f aca="false">IFERROR(IF(AND($N1129="VCA",$Q1129="LINEAR"),INDEX(APOIO_REDES!$A:$W,MATCH($C1129&amp;$I1129&amp;$H1129&amp;$N1129&amp;$O1129,APOIO_REDES!$W:$W,0),MATCH(BA$5,APOIO_REDES!$5:$5,0)),IF(AND($N1129="MND",$Q1129="EMBOQUE"),INDEX(APOIO_REDES!$A:$W,MATCH($C1129&amp;$I1129&amp;$H1129&amp;$N1129&amp;$O1129,APOIO_REDES!$W:$W,0),MATCH(BA$5,APOIO_REDES!$5:$5,0)),0))*$M1129/10,0)</f>
        <v>3.88076854546642</v>
      </c>
      <c r="BB1129" s="153" t="n">
        <f aca="false">IFERROR(IF($N1129="VCA",INDEX(APOIO_REDES!$A:$W,MATCH($C1129&amp;$I1129&amp;$H1129&amp;$N1129&amp;$O1129,APOIO_REDES!$W:$W,0),MATCH(BB$5,APOIO_REDES!$5:$5,0)),0)*($AI1129+$AQ1129+$AR1129),0)</f>
        <v>14.3330789325592</v>
      </c>
      <c r="BC1129" s="153" t="n">
        <f aca="false">IFERROR(IF($N1129="VCA",INDEX(APOIO_REDES!$A:$W,MATCH($C1129&amp;$I1129&amp;$H1129&amp;$N1129&amp;$O1129,APOIO_REDES!$W:$W,0),MATCH(BC$5,APOIO_REDES!$5:$5,0)),0)*($AI1129+$AQ1129+$AR1129),0)</f>
        <v>0.157663567440846</v>
      </c>
      <c r="BD1129" s="153" t="n">
        <f aca="false">IF(AND($N1129="VCA",$AF1129&gt;=1.25,$AF1129&lt;1.5),$M1129*$AF1129*2,0)</f>
        <v>131.2569</v>
      </c>
      <c r="BE1129" s="153" t="n">
        <f aca="false">IF(AND($N1129="VCA",$AF1129&gt;=1.5,$AF1129&lt;3),$M1129*$AF1129*2,0)</f>
        <v>0</v>
      </c>
      <c r="BF1129" s="153" t="n">
        <f aca="false">IF(AND($N1129="VCA",$AF1129&gt;=3),$M1129*$AF1129*2,0)</f>
        <v>0</v>
      </c>
      <c r="BG1129" s="153" t="n">
        <f aca="false">($BB1129+$BC1129)*$AK1129</f>
        <v>44.92130175</v>
      </c>
      <c r="BH1129" s="153" t="n">
        <f aca="false">IF(AND($M1129&lt;&gt;"",$N1129="VCA",$Q1129="LINEAR"),($M1129*2)/100,IF(AND($M1129&lt;&gt;"",$N1129="MND",$Q1129="EMBOQUE"),($AN1129*2)/100,0))</f>
        <v>0.963</v>
      </c>
      <c r="BI1129" s="153" t="n">
        <f aca="false">IF(AND($M1129&lt;&gt;"",$N1129="VCA",$Q1129="LINEAR"),$M1129,IF(AND($M1129&lt;&gt;"",$N1129="MND",$Q1129="EMBOQUE"),$AN1129*2,0))</f>
        <v>48.15</v>
      </c>
      <c r="BJ1129" s="153" t="n">
        <f aca="false">IF(AND($M1129&lt;&gt;"",$N1129="VCA",$Q1129="LINEAR"),($M1129*6.8)/100,IF(AND($M1129&lt;&gt;"",$N1129="MND",$Q1129="EMBOQUE"),($AN1129*2*6.8)/100,0))</f>
        <v>3.2742</v>
      </c>
      <c r="BK1129" s="153" t="n">
        <f aca="false">IF(AND($M1129&lt;&gt;"",$N1129="VCA",$Q1129="LINEAR"),($M1129*2.5)/50,IF(AND($M1129&lt;&gt;"",$N1129="MND",$Q1129="EMBOQUE"),($AN1129*2*2.5)/50,0))</f>
        <v>2.4075</v>
      </c>
      <c r="BL1129" s="157" t="str">
        <f aca="false">K1129&amp;J1129</f>
        <v>Zona10REDES</v>
      </c>
      <c r="BM1129" s="152" t="s">
        <v>5703</v>
      </c>
      <c r="BN1129" s="152" t="s">
        <v>1560</v>
      </c>
      <c r="BO1129" s="152" t="s">
        <v>3688</v>
      </c>
      <c r="BP1129" s="152" t="s">
        <v>5826</v>
      </c>
      <c r="BQ1129" s="152" t="s">
        <v>5833</v>
      </c>
      <c r="BR1129" s="152" t="s">
        <v>5834</v>
      </c>
      <c r="BS1129" s="152" t="n">
        <v>203471.832</v>
      </c>
      <c r="BT1129" s="152" t="n">
        <v>8237235.423</v>
      </c>
      <c r="BU1129" s="152" t="n">
        <v>203514.079</v>
      </c>
      <c r="BV1129" s="152" t="n">
        <v>8237212.359</v>
      </c>
      <c r="BW1129" s="152" t="n">
        <v>-15.9265272</v>
      </c>
      <c r="BX1129" s="152" t="n">
        <v>-47.7693773</v>
      </c>
      <c r="BY1129" s="152" t="s">
        <v>5826</v>
      </c>
    </row>
    <row r="1130" customFormat="false" ht="13.8" hidden="false" customHeight="false" outlineLevel="0" collapsed="false">
      <c r="A1130" s="149" t="n">
        <f aca="false">IF(C1130&lt;&gt;"",ROW(A1125),"")</f>
        <v>1125</v>
      </c>
      <c r="B1130" s="150" t="str">
        <f aca="false">HYPERLINK("https://www.google.com/maps/dir/-15.917302,-47.760003/-15.9266609,-47.7709777/data=!4m3!4m2!3e0!5i0")</f>
        <v>https://www.google.com/maps/dir/-15.917302,-47.760003/-15.9266609,-47.7709777/data=!4m3!4m2!3e0!5i0</v>
      </c>
      <c r="C1130" s="151" t="s">
        <v>117</v>
      </c>
      <c r="D1130" s="152" t="s">
        <v>112</v>
      </c>
      <c r="E1130" s="152" t="s">
        <v>113</v>
      </c>
      <c r="F1130" s="152" t="s">
        <v>117</v>
      </c>
      <c r="G1130" s="152" t="s">
        <v>782</v>
      </c>
      <c r="H1130" s="152" t="n">
        <v>63</v>
      </c>
      <c r="I1130" s="152" t="s">
        <v>115</v>
      </c>
      <c r="J1130" s="152" t="s">
        <v>6</v>
      </c>
      <c r="K1130" s="152" t="s">
        <v>5700</v>
      </c>
      <c r="L1130" s="152" t="s">
        <v>120</v>
      </c>
      <c r="M1130" s="153" t="n">
        <f aca="false">46.87</f>
        <v>46.87</v>
      </c>
      <c r="N1130" s="152" t="s">
        <v>1548</v>
      </c>
      <c r="O1130" s="152" t="s">
        <v>1549</v>
      </c>
      <c r="P1130" s="152" t="s">
        <v>1550</v>
      </c>
      <c r="Q1130" s="152" t="s">
        <v>1551</v>
      </c>
      <c r="R1130" s="154" t="s">
        <v>5835</v>
      </c>
      <c r="S1130" s="154" t="s">
        <v>1553</v>
      </c>
      <c r="T1130" s="155" t="s">
        <v>3685</v>
      </c>
      <c r="U1130" s="152" t="str">
        <f aca="false">RIGHT(T1130,7)</f>
        <v>012/037</v>
      </c>
      <c r="V1130" s="152" t="s">
        <v>1555</v>
      </c>
      <c r="W1130" s="156" t="n">
        <v>45882</v>
      </c>
      <c r="X1130" s="152" t="s">
        <v>1594</v>
      </c>
      <c r="Y1130" s="152" t="s">
        <v>2400</v>
      </c>
      <c r="Z1130" s="152" t="s">
        <v>1557</v>
      </c>
      <c r="AA1130" s="153" t="n">
        <v>3.1</v>
      </c>
      <c r="AB1130" s="151" t="s">
        <v>5836</v>
      </c>
      <c r="AC1130" s="151" t="s">
        <v>186</v>
      </c>
      <c r="AD1130" s="151" t="str">
        <f aca="false">CONCATENATE($C1130,$I1130,$H1130,$N1130,$J1130,$K1130)</f>
        <v>TUBO PEADPEAD63VCAREDESZona10</v>
      </c>
      <c r="AE1130" s="153" t="n">
        <f aca="false">IFERROR(INDEX(APOIO_REDES!$A:$W,MATCH($C1130&amp;$I1130&amp;$H1130&amp;$N1130&amp;$O1130,APOIO_REDES!$W:$W,0),MATCH(AE$5,APOIO_REDES!$5:$5,0)),0)</f>
        <v>1.2</v>
      </c>
      <c r="AF1130" s="153" t="n">
        <f aca="false">IFERROR(INDEX(APOIO_REDES!$A:$W,MATCH($C1130&amp;$I1130&amp;$H1130&amp;$N1130&amp;$O1130,APOIO_REDES!$W:$W,0),MATCH(AF$5,APOIO_REDES!$5:$5,0)),0)</f>
        <v>1.363</v>
      </c>
      <c r="AG1130" s="153" t="n">
        <f aca="false">IFERROR(INDEX(APOIO_REDES!$A:$W,MATCH($C1130&amp;$I1130&amp;$H1130&amp;$N1130&amp;$O1130,APOIO_REDES!$W:$W,0),MATCH(AG$5,APOIO_REDES!$5:$5,0)),0)</f>
        <v>0.65</v>
      </c>
      <c r="AH1130" s="153" t="n">
        <f aca="false">IFERROR(INDEX(APOIO_REDES!$A:$W,MATCH($C1130&amp;$I1130&amp;$H1130&amp;$N1130&amp;$O1130,APOIO_REDES!$W:$W,0),MATCH(AH$5,APOIO_REDES!$5:$5,0)),0)</f>
        <v>0.1</v>
      </c>
      <c r="AI1130" s="153" t="n">
        <f aca="false">IFERROR(IF($H1130&lt;&gt;"",(((($H1130/1000)/2)^2)*PI()*$M1130),0),0)</f>
        <v>0.146105287704282</v>
      </c>
      <c r="AJ1130" s="153" t="n">
        <f aca="false">IFERROR(IF(AND($H1130&lt;&gt;"",$I1130="FoFo",OR($N1130="MND",$N1130="VCA"),$Q1130="LINEAR"),0,IF(AND($H1130&lt;&gt;"",$I1130="PEAD",$N1130="VCA",$Q1130="LINEAR"),($H1130/1000)+0.3,IF(AND($H1130&lt;&gt;"",$I1130="PEAD",$N1130="MND",$Q1130="EMBOQUE"),0,IF(AND($H1130&lt;&gt;"",$I1130="PVC",$N1130="VCA",$Q1130="LINEAR"),($H1130/1000)+0.2,IF(AND($H1130&lt;&gt;"",$I1130="PVC",$N1130="MND",$Q1130="EMBOQUE"),0,IF(AND($H1130&lt;&gt;"",$I1130="PEAD",$N1130="VCA",$Q1130="PREDIAL"),0,0)))))),0)</f>
        <v>0.363</v>
      </c>
      <c r="AK1130" s="153" t="n">
        <f aca="false">IF(AA1130&lt;&gt;"",AA1130,0)</f>
        <v>3.1</v>
      </c>
      <c r="AL1130" s="153" t="n">
        <f aca="false">IF(AND($N1130="MND",$Q1130="EMBOQUE"),$M1130,IF(AND($N1130="VCA",$Q1130="LINEAR"),$M1130,IF(AND($N1130="VCA",$Q1130="PREDIAL"),0,0)))</f>
        <v>46.87</v>
      </c>
      <c r="AM1130" s="153" t="n">
        <f aca="false">IF(AND($N1130="MND",$Q1130="EMBOQUE"),$M1130,IF(AND($N1130="VCA",$Q1130="LINEAR"),$M1130,IF(AND($N1130="VCA",$Q1130="PREDIAL"),0,0)))</f>
        <v>46.87</v>
      </c>
      <c r="AN1130" s="153" t="n">
        <f aca="false">ROUND(IF(AND($N1130="VCA",$M1130&lt;&gt;"",$Q1130="LINEAR"),$M1130/100,IF(AND($N1130="MND",$M1130&gt;100,$Q1130="EMBOQUE"),$M1130/100,0)),0)</f>
        <v>0</v>
      </c>
      <c r="AO1130" s="153" t="n">
        <f aca="false">IF(AND($N1130="MND",$Q1130="EMBOQUE"),$AN1130*2*2,IF(AND($N1130="VCA",$Q1130="LINEAR"),$M1130*2,IF(AND($N1130="VCA",$Q1130="PREDIAL"),0,0)))</f>
        <v>93.74</v>
      </c>
      <c r="AP1130" s="153" t="n">
        <f aca="false">IFERROR($M1130*$AF1130*$AG1130,0)</f>
        <v>41.5244765</v>
      </c>
      <c r="AQ1130" s="153" t="n">
        <f aca="false">IFERROR(IF(AND($N1130="VCA",$AH1130&gt;0),$M1130*$AG1130*$AH1130,0),0)</f>
        <v>3.04655</v>
      </c>
      <c r="AR1130" s="153" t="n">
        <f aca="false">IFERROR(IF(AND($N1130="VCA",$AJ1130&gt;0),($M1130*$AG1130*$AJ1130)-$AI1130,0),0)</f>
        <v>10.9128712122957</v>
      </c>
      <c r="AS1130" s="153" t="n">
        <f aca="false">IFERROR(IF(AND($N1130="VCA",$AP1130&gt;0),$AP1130-$AI1130-$AQ1130-$AR1130,0),0)</f>
        <v>27.41895</v>
      </c>
      <c r="AT1130" s="153" t="n">
        <f aca="false">IFERROR(IF($N1130="VCA",INDEX(APOIO_REDES!$A:$W,MATCH($C1130&amp;$I1130&amp;$H1130&amp;$N1130&amp;$O1130,APOIO_REDES!$W:$W,0),MATCH(AT$5,APOIO_REDES!$5:$5,0)),0)*$AP1130,0)</f>
        <v>0.451798594937671</v>
      </c>
      <c r="AU1130" s="153" t="n">
        <f aca="false">IFERROR(IF($N1130="VCA",INDEX(APOIO_REDES!$A:$W,MATCH($C1130&amp;$I1130&amp;$H1130&amp;$N1130&amp;$O1130,APOIO_REDES!$W:$W,0),MATCH(AU$5,APOIO_REDES!$5:$5,0)),0)*$AP1130,0)</f>
        <v>0.360794121659465</v>
      </c>
      <c r="AV1130" s="153" t="n">
        <f aca="false">IFERROR(IF($N1130="VCA",INDEX(APOIO_REDES!$A:$W,MATCH($C1130&amp;$I1130&amp;$H1130&amp;$N1130&amp;$O1130,APOIO_REDES!$W:$W,0),MATCH(AV$5,APOIO_REDES!$5:$5,0)),0)*$AP1130,0)</f>
        <v>0.0499310740927641</v>
      </c>
      <c r="AW1130" s="153" t="n">
        <f aca="false">IFERROR(IF($N1130="VCA",INDEX(APOIO_REDES!$A:$W,MATCH($C1130&amp;$I1130&amp;$H1130&amp;$N1130&amp;$O1130,APOIO_REDES!$W:$W,0),MATCH(AW$5,APOIO_REDES!$5:$5,0)),0)*$AP1130,0)</f>
        <v>28.5027224169444</v>
      </c>
      <c r="AX1130" s="153" t="n">
        <f aca="false">IFERROR(IF($N1130="VCA",INDEX(APOIO_REDES!$A:$W,MATCH($C1130&amp;$I1130&amp;$H1130&amp;$N1130&amp;$O1130,APOIO_REDES!$W:$W,0),MATCH(AX$5,APOIO_REDES!$5:$5,0)),0)*$AP1130,0)</f>
        <v>3.94469559096344</v>
      </c>
      <c r="AY1130" s="153" t="n">
        <f aca="false">IFERROR(IF($N1130="VCA",INDEX(APOIO_REDES!$A:$W,MATCH($C1130&amp;$I1130&amp;$H1130&amp;$N1130&amp;$O1130,APOIO_REDES!$W:$W,0),MATCH(AY$5,APOIO_REDES!$5:$5,0)),0)*$AP1130,0)</f>
        <v>7.2158780351382</v>
      </c>
      <c r="AZ1130" s="153" t="n">
        <f aca="false">IFERROR(IF($N1130="VCA",INDEX(APOIO_REDES!$A:$W,MATCH($C1130&amp;$I1130&amp;$H1130&amp;$N1130&amp;$O1130,APOIO_REDES!$W:$W,0),MATCH(AZ$5,APOIO_REDES!$5:$5,0)),0)*$AP1130,0)</f>
        <v>0.99865666626405</v>
      </c>
      <c r="BA1130" s="153" t="n">
        <f aca="false">IFERROR(IF(AND($N1130="VCA",$Q1130="LINEAR"),INDEX(APOIO_REDES!$A:$W,MATCH($C1130&amp;$I1130&amp;$H1130&amp;$N1130&amp;$O1130,APOIO_REDES!$W:$W,0),MATCH(BA$5,APOIO_REDES!$5:$5,0)),IF(AND($N1130="MND",$Q1130="EMBOQUE"),INDEX(APOIO_REDES!$A:$W,MATCH($C1130&amp;$I1130&amp;$H1130&amp;$N1130&amp;$O1130,APOIO_REDES!$W:$W,0),MATCH(BA$5,APOIO_REDES!$5:$5,0)),0))*$M1130/10,0)</f>
        <v>3.7776037741643</v>
      </c>
      <c r="BB1130" s="153" t="n">
        <f aca="false">IFERROR(IF($N1130="VCA",INDEX(APOIO_REDES!$A:$W,MATCH($C1130&amp;$I1130&amp;$H1130&amp;$N1130&amp;$O1130,APOIO_REDES!$W:$W,0),MATCH(BB$5,APOIO_REDES!$5:$5,0)),0)*($AI1130+$AQ1130+$AR1130),0)</f>
        <v>13.9520541966573</v>
      </c>
      <c r="BC1130" s="153" t="n">
        <f aca="false">IFERROR(IF($N1130="VCA",INDEX(APOIO_REDES!$A:$W,MATCH($C1130&amp;$I1130&amp;$H1130&amp;$N1130&amp;$O1130,APOIO_REDES!$W:$W,0),MATCH(BC$5,APOIO_REDES!$5:$5,0)),0)*($AI1130+$AQ1130+$AR1130),0)</f>
        <v>0.15347230334273</v>
      </c>
      <c r="BD1130" s="153" t="n">
        <f aca="false">IF(AND($N1130="VCA",$AF1130&gt;=1.25,$AF1130&lt;1.5),$M1130*$AF1130*2,0)</f>
        <v>127.76762</v>
      </c>
      <c r="BE1130" s="153" t="n">
        <f aca="false">IF(AND($N1130="VCA",$AF1130&gt;=1.5,$AF1130&lt;3),$M1130*$AF1130*2,0)</f>
        <v>0</v>
      </c>
      <c r="BF1130" s="153" t="n">
        <f aca="false">IF(AND($N1130="VCA",$AF1130&gt;=3),$M1130*$AF1130*2,0)</f>
        <v>0</v>
      </c>
      <c r="BG1130" s="153" t="n">
        <f aca="false">($BB1130+$BC1130)*$AK1130</f>
        <v>43.72713215</v>
      </c>
      <c r="BH1130" s="153" t="n">
        <f aca="false">IF(AND($M1130&lt;&gt;"",$N1130="VCA",$Q1130="LINEAR"),($M1130*2)/100,IF(AND($M1130&lt;&gt;"",$N1130="MND",$Q1130="EMBOQUE"),($AN1130*2)/100,0))</f>
        <v>0.9374</v>
      </c>
      <c r="BI1130" s="153" t="n">
        <f aca="false">IF(AND($M1130&lt;&gt;"",$N1130="VCA",$Q1130="LINEAR"),$M1130,IF(AND($M1130&lt;&gt;"",$N1130="MND",$Q1130="EMBOQUE"),$AN1130*2,0))</f>
        <v>46.87</v>
      </c>
      <c r="BJ1130" s="153" t="n">
        <f aca="false">IF(AND($M1130&lt;&gt;"",$N1130="VCA",$Q1130="LINEAR"),($M1130*6.8)/100,IF(AND($M1130&lt;&gt;"",$N1130="MND",$Q1130="EMBOQUE"),($AN1130*2*6.8)/100,0))</f>
        <v>3.18716</v>
      </c>
      <c r="BK1130" s="153" t="n">
        <f aca="false">IF(AND($M1130&lt;&gt;"",$N1130="VCA",$Q1130="LINEAR"),($M1130*2.5)/50,IF(AND($M1130&lt;&gt;"",$N1130="MND",$Q1130="EMBOQUE"),($AN1130*2*2.5)/50,0))</f>
        <v>2.3435</v>
      </c>
      <c r="BL1130" s="157" t="str">
        <f aca="false">K1130&amp;J1130</f>
        <v>Zona10REDES</v>
      </c>
      <c r="BM1130" s="152" t="s">
        <v>5703</v>
      </c>
      <c r="BN1130" s="152" t="s">
        <v>1560</v>
      </c>
      <c r="BO1130" s="152" t="s">
        <v>3688</v>
      </c>
      <c r="BP1130" s="152" t="s">
        <v>5837</v>
      </c>
      <c r="BQ1130" s="152" t="s">
        <v>5808</v>
      </c>
      <c r="BR1130" s="152" t="s">
        <v>5838</v>
      </c>
      <c r="BS1130" s="152" t="n">
        <v>203321.932</v>
      </c>
      <c r="BT1130" s="152" t="n">
        <v>8237207.238</v>
      </c>
      <c r="BU1130" s="152" t="n">
        <v>203283.316</v>
      </c>
      <c r="BV1130" s="152" t="n">
        <v>8237233.684</v>
      </c>
      <c r="BW1130" s="152" t="n">
        <v>-15.9265417</v>
      </c>
      <c r="BX1130" s="152" t="n">
        <v>-47.7711584</v>
      </c>
      <c r="BY1130" s="152" t="s">
        <v>5837</v>
      </c>
    </row>
    <row r="1131" customFormat="false" ht="13.8" hidden="false" customHeight="false" outlineLevel="0" collapsed="false">
      <c r="A1131" s="149" t="n">
        <f aca="false">IF(C1131&lt;&gt;"",ROW(A1126),"")</f>
        <v>1126</v>
      </c>
      <c r="B1131" s="150" t="str">
        <f aca="false">HYPERLINK("https://www.google.com/maps/dir/-15.917302,-47.760003/-15.9262156,-47.7699715/data=!4m3!4m2!3e0!5i2")</f>
        <v>https://www.google.com/maps/dir/-15.917302,-47.760003/-15.9262156,-47.7699715/data=!4m3!4m2!3e0!5i2</v>
      </c>
      <c r="C1131" s="151" t="s">
        <v>117</v>
      </c>
      <c r="D1131" s="152" t="s">
        <v>112</v>
      </c>
      <c r="E1131" s="152" t="s">
        <v>113</v>
      </c>
      <c r="F1131" s="152" t="s">
        <v>117</v>
      </c>
      <c r="G1131" s="152" t="s">
        <v>782</v>
      </c>
      <c r="H1131" s="152" t="n">
        <v>63</v>
      </c>
      <c r="I1131" s="152" t="s">
        <v>115</v>
      </c>
      <c r="J1131" s="152" t="s">
        <v>6</v>
      </c>
      <c r="K1131" s="152" t="s">
        <v>5700</v>
      </c>
      <c r="L1131" s="152" t="s">
        <v>120</v>
      </c>
      <c r="M1131" s="153" t="n">
        <f aca="false">88.78+0.08</f>
        <v>88.86</v>
      </c>
      <c r="N1131" s="152" t="s">
        <v>1548</v>
      </c>
      <c r="O1131" s="152" t="s">
        <v>1549</v>
      </c>
      <c r="P1131" s="152" t="s">
        <v>1550</v>
      </c>
      <c r="Q1131" s="152" t="s">
        <v>1551</v>
      </c>
      <c r="R1131" s="154" t="s">
        <v>5839</v>
      </c>
      <c r="S1131" s="154" t="s">
        <v>1553</v>
      </c>
      <c r="T1131" s="155" t="s">
        <v>3685</v>
      </c>
      <c r="U1131" s="152" t="str">
        <f aca="false">RIGHT(T1131,7)</f>
        <v>012/037</v>
      </c>
      <c r="V1131" s="152" t="s">
        <v>1555</v>
      </c>
      <c r="W1131" s="156" t="n">
        <v>45882</v>
      </c>
      <c r="X1131" s="152" t="s">
        <v>1594</v>
      </c>
      <c r="Y1131" s="152" t="s">
        <v>5799</v>
      </c>
      <c r="Z1131" s="152" t="s">
        <v>1557</v>
      </c>
      <c r="AA1131" s="153" t="n">
        <v>3.2</v>
      </c>
      <c r="AB1131" s="151" t="s">
        <v>5840</v>
      </c>
      <c r="AC1131" s="151" t="s">
        <v>186</v>
      </c>
      <c r="AD1131" s="151" t="str">
        <f aca="false">CONCATENATE($C1131,$I1131,$H1131,$N1131,$J1131,$K1131)</f>
        <v>TUBO PEADPEAD63VCAREDESZona10</v>
      </c>
      <c r="AE1131" s="153" t="n">
        <f aca="false">IFERROR(INDEX(APOIO_REDES!$A:$W,MATCH($C1131&amp;$I1131&amp;$H1131&amp;$N1131&amp;$O1131,APOIO_REDES!$W:$W,0),MATCH(AE$5,APOIO_REDES!$5:$5,0)),0)</f>
        <v>1.2</v>
      </c>
      <c r="AF1131" s="153" t="n">
        <f aca="false">IFERROR(INDEX(APOIO_REDES!$A:$W,MATCH($C1131&amp;$I1131&amp;$H1131&amp;$N1131&amp;$O1131,APOIO_REDES!$W:$W,0),MATCH(AF$5,APOIO_REDES!$5:$5,0)),0)</f>
        <v>1.363</v>
      </c>
      <c r="AG1131" s="153" t="n">
        <f aca="false">IFERROR(INDEX(APOIO_REDES!$A:$W,MATCH($C1131&amp;$I1131&amp;$H1131&amp;$N1131&amp;$O1131,APOIO_REDES!$W:$W,0),MATCH(AG$5,APOIO_REDES!$5:$5,0)),0)</f>
        <v>0.65</v>
      </c>
      <c r="AH1131" s="153" t="n">
        <f aca="false">IFERROR(INDEX(APOIO_REDES!$A:$W,MATCH($C1131&amp;$I1131&amp;$H1131&amp;$N1131&amp;$O1131,APOIO_REDES!$W:$W,0),MATCH(AH$5,APOIO_REDES!$5:$5,0)),0)</f>
        <v>0.1</v>
      </c>
      <c r="AI1131" s="153" t="n">
        <f aca="false">IFERROR(IF($H1131&lt;&gt;"",(((($H1131/1000)/2)^2)*PI()*$M1131),0),0)</f>
        <v>0.276998418293205</v>
      </c>
      <c r="AJ1131" s="153" t="n">
        <f aca="false">IFERROR(IF(AND($H1131&lt;&gt;"",$I1131="FoFo",OR($N1131="MND",$N1131="VCA"),$Q1131="LINEAR"),0,IF(AND($H1131&lt;&gt;"",$I1131="PEAD",$N1131="VCA",$Q1131="LINEAR"),($H1131/1000)+0.3,IF(AND($H1131&lt;&gt;"",$I1131="PEAD",$N1131="MND",$Q1131="EMBOQUE"),0,IF(AND($H1131&lt;&gt;"",$I1131="PVC",$N1131="VCA",$Q1131="LINEAR"),($H1131/1000)+0.2,IF(AND($H1131&lt;&gt;"",$I1131="PVC",$N1131="MND",$Q1131="EMBOQUE"),0,IF(AND($H1131&lt;&gt;"",$I1131="PEAD",$N1131="VCA",$Q1131="PREDIAL"),0,0)))))),0)</f>
        <v>0.363</v>
      </c>
      <c r="AK1131" s="153" t="n">
        <f aca="false">IF(AA1131&lt;&gt;"",AA1131,0)</f>
        <v>3.2</v>
      </c>
      <c r="AL1131" s="153" t="n">
        <f aca="false">IF(AND($N1131="MND",$Q1131="EMBOQUE"),$M1131,IF(AND($N1131="VCA",$Q1131="LINEAR"),$M1131,IF(AND($N1131="VCA",$Q1131="PREDIAL"),0,0)))</f>
        <v>88.86</v>
      </c>
      <c r="AM1131" s="153" t="n">
        <f aca="false">IF(AND($N1131="MND",$Q1131="EMBOQUE"),$M1131,IF(AND($N1131="VCA",$Q1131="LINEAR"),$M1131,IF(AND($N1131="VCA",$Q1131="PREDIAL"),0,0)))</f>
        <v>88.86</v>
      </c>
      <c r="AN1131" s="153" t="n">
        <f aca="false">ROUND(IF(AND($N1131="VCA",$M1131&lt;&gt;"",$Q1131="LINEAR"),$M1131/100,IF(AND($N1131="MND",$M1131&gt;100,$Q1131="EMBOQUE"),$M1131/100,0)),0)</f>
        <v>1</v>
      </c>
      <c r="AO1131" s="153" t="n">
        <f aca="false">IF(AND($N1131="MND",$Q1131="EMBOQUE"),$AN1131*2*2,IF(AND($N1131="VCA",$Q1131="LINEAR"),$M1131*2,IF(AND($N1131="VCA",$Q1131="PREDIAL"),0,0)))</f>
        <v>177.72</v>
      </c>
      <c r="AP1131" s="153" t="n">
        <f aca="false">IFERROR($M1131*$AF1131*$AG1131,0)</f>
        <v>78.725517</v>
      </c>
      <c r="AQ1131" s="153" t="n">
        <f aca="false">IFERROR(IF(AND($N1131="VCA",$AH1131&gt;0),$M1131*$AG1131*$AH1131,0),0)</f>
        <v>5.7759</v>
      </c>
      <c r="AR1131" s="153" t="n">
        <f aca="false">IFERROR(IF(AND($N1131="VCA",$AJ1131&gt;0),($M1131*$AG1131*$AJ1131)-$AI1131,0),0)</f>
        <v>20.6895185817068</v>
      </c>
      <c r="AS1131" s="153" t="n">
        <f aca="false">IFERROR(IF(AND($N1131="VCA",$AP1131&gt;0),$AP1131-$AI1131-$AQ1131-$AR1131,0),0)</f>
        <v>51.9831</v>
      </c>
      <c r="AT1131" s="153" t="n">
        <f aca="false">IFERROR(IF($N1131="VCA",INDEX(APOIO_REDES!$A:$W,MATCH($C1131&amp;$I1131&amp;$H1131&amp;$N1131&amp;$O1131,APOIO_REDES!$W:$W,0),MATCH(AT$5,APOIO_REDES!$5:$5,0)),0)*$AP1131,0)</f>
        <v>0.856556926523606</v>
      </c>
      <c r="AU1131" s="153" t="n">
        <f aca="false">IFERROR(IF($N1131="VCA",INDEX(APOIO_REDES!$A:$W,MATCH($C1131&amp;$I1131&amp;$H1131&amp;$N1131&amp;$O1131,APOIO_REDES!$W:$W,0),MATCH(AU$5,APOIO_REDES!$5:$5,0)),0)*$AP1131,0)</f>
        <v>0.684023163018136</v>
      </c>
      <c r="AV1131" s="153" t="n">
        <f aca="false">IFERROR(IF($N1131="VCA",INDEX(APOIO_REDES!$A:$W,MATCH($C1131&amp;$I1131&amp;$H1131&amp;$N1131&amp;$O1131,APOIO_REDES!$W:$W,0),MATCH(AV$5,APOIO_REDES!$5:$5,0)),0)*$AP1131,0)</f>
        <v>0.0946634359693411</v>
      </c>
      <c r="AW1131" s="153" t="n">
        <f aca="false">IFERROR(IF($N1131="VCA",INDEX(APOIO_REDES!$A:$W,MATCH($C1131&amp;$I1131&amp;$H1131&amp;$N1131&amp;$O1131,APOIO_REDES!$W:$W,0),MATCH(AW$5,APOIO_REDES!$5:$5,0)),0)*$AP1131,0)</f>
        <v>54.037804863872</v>
      </c>
      <c r="AX1131" s="153" t="n">
        <f aca="false">IFERROR(IF($N1131="VCA",INDEX(APOIO_REDES!$A:$W,MATCH($C1131&amp;$I1131&amp;$H1131&amp;$N1131&amp;$O1131,APOIO_REDES!$W:$W,0),MATCH(AX$5,APOIO_REDES!$5:$5,0)),0)*$AP1131,0)</f>
        <v>7.47867826355901</v>
      </c>
      <c r="AY1131" s="153" t="n">
        <f aca="false">IFERROR(IF($N1131="VCA",INDEX(APOIO_REDES!$A:$W,MATCH($C1131&amp;$I1131&amp;$H1131&amp;$N1131&amp;$O1131,APOIO_REDES!$W:$W,0),MATCH(AY$5,APOIO_REDES!$5:$5,0)),0)*$AP1131,0)</f>
        <v>13.6804549221758</v>
      </c>
      <c r="AZ1131" s="153" t="n">
        <f aca="false">IFERROR(IF($N1131="VCA",INDEX(APOIO_REDES!$A:$W,MATCH($C1131&amp;$I1131&amp;$H1131&amp;$N1131&amp;$O1131,APOIO_REDES!$W:$W,0),MATCH(AZ$5,APOIO_REDES!$5:$5,0)),0)*$AP1131,0)</f>
        <v>1.89333542488209</v>
      </c>
      <c r="BA1131" s="153" t="n">
        <f aca="false">IFERROR(IF(AND($N1131="VCA",$Q1131="LINEAR"),INDEX(APOIO_REDES!$A:$W,MATCH($C1131&amp;$I1131&amp;$H1131&amp;$N1131&amp;$O1131,APOIO_REDES!$W:$W,0),MATCH(BA$5,APOIO_REDES!$5:$5,0)),IF(AND($N1131="MND",$Q1131="EMBOQUE"),INDEX(APOIO_REDES!$A:$W,MATCH($C1131&amp;$I1131&amp;$H1131&amp;$N1131&amp;$O1131,APOIO_REDES!$W:$W,0),MATCH(BA$5,APOIO_REDES!$5:$5,0)),0))*$M1131/10,0)</f>
        <v>7.16189185773928</v>
      </c>
      <c r="BB1131" s="153" t="n">
        <f aca="false">IFERROR(IF($N1131="VCA",INDEX(APOIO_REDES!$A:$W,MATCH($C1131&amp;$I1131&amp;$H1131&amp;$N1131&amp;$O1131,APOIO_REDES!$W:$W,0),MATCH(BB$5,APOIO_REDES!$5:$5,0)),0)*($AI1131+$AQ1131+$AR1131),0)</f>
        <v>26.4514515876886</v>
      </c>
      <c r="BC1131" s="153" t="n">
        <f aca="false">IFERROR(IF($N1131="VCA",INDEX(APOIO_REDES!$A:$W,MATCH($C1131&amp;$I1131&amp;$H1131&amp;$N1131&amp;$O1131,APOIO_REDES!$W:$W,0),MATCH(BC$5,APOIO_REDES!$5:$5,0)),0)*($AI1131+$AQ1131+$AR1131),0)</f>
        <v>0.290965412311394</v>
      </c>
      <c r="BD1131" s="153" t="n">
        <f aca="false">IF(AND($N1131="VCA",$AF1131&gt;=1.25,$AF1131&lt;1.5),$M1131*$AF1131*2,0)</f>
        <v>242.23236</v>
      </c>
      <c r="BE1131" s="153" t="n">
        <f aca="false">IF(AND($N1131="VCA",$AF1131&gt;=1.5,$AF1131&lt;3),$M1131*$AF1131*2,0)</f>
        <v>0</v>
      </c>
      <c r="BF1131" s="153" t="n">
        <f aca="false">IF(AND($N1131="VCA",$AF1131&gt;=3),$M1131*$AF1131*2,0)</f>
        <v>0</v>
      </c>
      <c r="BG1131" s="153" t="n">
        <f aca="false">($BB1131+$BC1131)*$AK1131</f>
        <v>85.5757344</v>
      </c>
      <c r="BH1131" s="153" t="n">
        <f aca="false">IF(AND($M1131&lt;&gt;"",$N1131="VCA",$Q1131="LINEAR"),($M1131*2)/100,IF(AND($M1131&lt;&gt;"",$N1131="MND",$Q1131="EMBOQUE"),($AN1131*2)/100,0))</f>
        <v>1.7772</v>
      </c>
      <c r="BI1131" s="153" t="n">
        <f aca="false">IF(AND($M1131&lt;&gt;"",$N1131="VCA",$Q1131="LINEAR"),$M1131,IF(AND($M1131&lt;&gt;"",$N1131="MND",$Q1131="EMBOQUE"),$AN1131*2,0))</f>
        <v>88.86</v>
      </c>
      <c r="BJ1131" s="153" t="n">
        <f aca="false">IF(AND($M1131&lt;&gt;"",$N1131="VCA",$Q1131="LINEAR"),($M1131*6.8)/100,IF(AND($M1131&lt;&gt;"",$N1131="MND",$Q1131="EMBOQUE"),($AN1131*2*6.8)/100,0))</f>
        <v>6.04248</v>
      </c>
      <c r="BK1131" s="153" t="n">
        <f aca="false">IF(AND($M1131&lt;&gt;"",$N1131="VCA",$Q1131="LINEAR"),($M1131*2.5)/50,IF(AND($M1131&lt;&gt;"",$N1131="MND",$Q1131="EMBOQUE"),($AN1131*2*2.5)/50,0))</f>
        <v>4.443</v>
      </c>
      <c r="BL1131" s="157" t="str">
        <f aca="false">K1131&amp;J1131</f>
        <v>Zona10REDES</v>
      </c>
      <c r="BM1131" s="152" t="s">
        <v>5703</v>
      </c>
      <c r="BN1131" s="152" t="s">
        <v>1560</v>
      </c>
      <c r="BO1131" s="152" t="s">
        <v>3688</v>
      </c>
      <c r="BP1131" s="152" t="s">
        <v>5812</v>
      </c>
      <c r="BQ1131" s="152" t="s">
        <v>5841</v>
      </c>
      <c r="BR1131" s="152" t="s">
        <v>5842</v>
      </c>
      <c r="BS1131" s="152" t="n">
        <v>203429.009</v>
      </c>
      <c r="BT1131" s="152" t="n">
        <v>8237258.002</v>
      </c>
      <c r="BU1131" s="152" t="n">
        <v>203382.734</v>
      </c>
      <c r="BV1131" s="152" t="n">
        <v>8237182.235</v>
      </c>
      <c r="BW1131" s="152" t="n">
        <v>-15.9265541</v>
      </c>
      <c r="BX1131" s="152" t="n">
        <v>-47.7701937</v>
      </c>
      <c r="BY1131" s="152" t="s">
        <v>5812</v>
      </c>
    </row>
    <row r="1132" customFormat="false" ht="13.8" hidden="false" customHeight="false" outlineLevel="0" collapsed="false">
      <c r="A1132" s="149" t="n">
        <f aca="false">IF(C1132&lt;&gt;"",ROW(A1127),"")</f>
        <v>1127</v>
      </c>
      <c r="B1132" s="150" t="str">
        <f aca="false">HYPERLINK("https://www.google.com/maps/dir/-15.917302,-47.760003/-15.9266638,-47.7681901/data=!4m3!4m2!3e0!5i2")</f>
        <v>https://www.google.com/maps/dir/-15.917302,-47.760003/-15.9266638,-47.7681901/data=!4m3!4m2!3e0!5i2</v>
      </c>
      <c r="C1132" s="151" t="s">
        <v>117</v>
      </c>
      <c r="D1132" s="152" t="s">
        <v>112</v>
      </c>
      <c r="E1132" s="152" t="s">
        <v>113</v>
      </c>
      <c r="F1132" s="152" t="s">
        <v>117</v>
      </c>
      <c r="G1132" s="152" t="s">
        <v>782</v>
      </c>
      <c r="H1132" s="152" t="n">
        <v>63</v>
      </c>
      <c r="I1132" s="152" t="s">
        <v>115</v>
      </c>
      <c r="J1132" s="152" t="s">
        <v>6</v>
      </c>
      <c r="K1132" s="152" t="s">
        <v>5700</v>
      </c>
      <c r="L1132" s="152" t="s">
        <v>120</v>
      </c>
      <c r="M1132" s="153" t="n">
        <f aca="false">17.93+4</f>
        <v>21.93</v>
      </c>
      <c r="N1132" s="152" t="s">
        <v>1548</v>
      </c>
      <c r="O1132" s="152" t="s">
        <v>1549</v>
      </c>
      <c r="P1132" s="152" t="s">
        <v>1550</v>
      </c>
      <c r="Q1132" s="152" t="s">
        <v>1551</v>
      </c>
      <c r="R1132" s="154" t="s">
        <v>5843</v>
      </c>
      <c r="S1132" s="154" t="s">
        <v>1553</v>
      </c>
      <c r="T1132" s="155" t="s">
        <v>3685</v>
      </c>
      <c r="U1132" s="152" t="str">
        <f aca="false">RIGHT(T1132,7)</f>
        <v>012/037</v>
      </c>
      <c r="V1132" s="152" t="s">
        <v>1555</v>
      </c>
      <c r="W1132" s="156" t="n">
        <v>45882</v>
      </c>
      <c r="X1132" s="152" t="s">
        <v>1594</v>
      </c>
      <c r="Y1132" s="152" t="s">
        <v>3721</v>
      </c>
      <c r="Z1132" s="152" t="s">
        <v>1557</v>
      </c>
      <c r="AA1132" s="153" t="n">
        <v>3</v>
      </c>
      <c r="AB1132" s="151" t="s">
        <v>5844</v>
      </c>
      <c r="AC1132" s="151" t="s">
        <v>186</v>
      </c>
      <c r="AD1132" s="151" t="str">
        <f aca="false">CONCATENATE($C1132,$I1132,$H1132,$N1132,$J1132,$K1132)</f>
        <v>TUBO PEADPEAD63VCAREDESZona10</v>
      </c>
      <c r="AE1132" s="153" t="n">
        <f aca="false">IFERROR(INDEX(APOIO_REDES!$A:$W,MATCH($C1132&amp;$I1132&amp;$H1132&amp;$N1132&amp;$O1132,APOIO_REDES!$W:$W,0),MATCH(AE$5,APOIO_REDES!$5:$5,0)),0)</f>
        <v>1.2</v>
      </c>
      <c r="AF1132" s="153" t="n">
        <f aca="false">IFERROR(INDEX(APOIO_REDES!$A:$W,MATCH($C1132&amp;$I1132&amp;$H1132&amp;$N1132&amp;$O1132,APOIO_REDES!$W:$W,0),MATCH(AF$5,APOIO_REDES!$5:$5,0)),0)</f>
        <v>1.363</v>
      </c>
      <c r="AG1132" s="153" t="n">
        <f aca="false">IFERROR(INDEX(APOIO_REDES!$A:$W,MATCH($C1132&amp;$I1132&amp;$H1132&amp;$N1132&amp;$O1132,APOIO_REDES!$W:$W,0),MATCH(AG$5,APOIO_REDES!$5:$5,0)),0)</f>
        <v>0.65</v>
      </c>
      <c r="AH1132" s="153" t="n">
        <f aca="false">IFERROR(INDEX(APOIO_REDES!$A:$W,MATCH($C1132&amp;$I1132&amp;$H1132&amp;$N1132&amp;$O1132,APOIO_REDES!$W:$W,0),MATCH(AH$5,APOIO_REDES!$5:$5,0)),0)</f>
        <v>0.1</v>
      </c>
      <c r="AI1132" s="153" t="n">
        <f aca="false">IFERROR(IF($H1132&lt;&gt;"",(((($H1132/1000)/2)^2)*PI()*$M1132),0),0)</f>
        <v>0.0683611896598017</v>
      </c>
      <c r="AJ1132" s="153" t="n">
        <f aca="false">IFERROR(IF(AND($H1132&lt;&gt;"",$I1132="FoFo",OR($N1132="MND",$N1132="VCA"),$Q1132="LINEAR"),0,IF(AND($H1132&lt;&gt;"",$I1132="PEAD",$N1132="VCA",$Q1132="LINEAR"),($H1132/1000)+0.3,IF(AND($H1132&lt;&gt;"",$I1132="PEAD",$N1132="MND",$Q1132="EMBOQUE"),0,IF(AND($H1132&lt;&gt;"",$I1132="PVC",$N1132="VCA",$Q1132="LINEAR"),($H1132/1000)+0.2,IF(AND($H1132&lt;&gt;"",$I1132="PVC",$N1132="MND",$Q1132="EMBOQUE"),0,IF(AND($H1132&lt;&gt;"",$I1132="PEAD",$N1132="VCA",$Q1132="PREDIAL"),0,0)))))),0)</f>
        <v>0.363</v>
      </c>
      <c r="AK1132" s="153" t="n">
        <f aca="false">IF(AA1132&lt;&gt;"",AA1132,0)</f>
        <v>3</v>
      </c>
      <c r="AL1132" s="153" t="n">
        <f aca="false">IF(AND($N1132="MND",$Q1132="EMBOQUE"),$M1132,IF(AND($N1132="VCA",$Q1132="LINEAR"),$M1132,IF(AND($N1132="VCA",$Q1132="PREDIAL"),0,0)))</f>
        <v>21.93</v>
      </c>
      <c r="AM1132" s="153" t="n">
        <f aca="false">IF(AND($N1132="MND",$Q1132="EMBOQUE"),$M1132,IF(AND($N1132="VCA",$Q1132="LINEAR"),$M1132,IF(AND($N1132="VCA",$Q1132="PREDIAL"),0,0)))</f>
        <v>21.93</v>
      </c>
      <c r="AN1132" s="153" t="n">
        <f aca="false">ROUND(IF(AND($N1132="VCA",$M1132&lt;&gt;"",$Q1132="LINEAR"),$M1132/100,IF(AND($N1132="MND",$M1132&gt;100,$Q1132="EMBOQUE"),$M1132/100,0)),0)</f>
        <v>0</v>
      </c>
      <c r="AO1132" s="153" t="n">
        <f aca="false">IF(AND($N1132="MND",$Q1132="EMBOQUE"),$AN1132*2*2,IF(AND($N1132="VCA",$Q1132="LINEAR"),$M1132*2,IF(AND($N1132="VCA",$Q1132="PREDIAL"),0,0)))</f>
        <v>43.86</v>
      </c>
      <c r="AP1132" s="153" t="n">
        <f aca="false">IFERROR($M1132*$AF1132*$AG1132,0)</f>
        <v>19.4288835</v>
      </c>
      <c r="AQ1132" s="153" t="n">
        <f aca="false">IFERROR(IF(AND($N1132="VCA",$AH1132&gt;0),$M1132*$AG1132*$AH1132,0),0)</f>
        <v>1.42545</v>
      </c>
      <c r="AR1132" s="153" t="n">
        <f aca="false">IFERROR(IF(AND($N1132="VCA",$AJ1132&gt;0),($M1132*$AG1132*$AJ1132)-$AI1132,0),0)</f>
        <v>5.1060223103402</v>
      </c>
      <c r="AS1132" s="153" t="n">
        <f aca="false">IFERROR(IF(AND($N1132="VCA",$AP1132&gt;0),$AP1132-$AI1132-$AQ1132-$AR1132,0),0)</f>
        <v>12.82905</v>
      </c>
      <c r="AT1132" s="153" t="n">
        <f aca="false">IFERROR(IF($N1132="VCA",INDEX(APOIO_REDES!$A:$W,MATCH($C1132&amp;$I1132&amp;$H1132&amp;$N1132&amp;$O1132,APOIO_REDES!$W:$W,0),MATCH(AT$5,APOIO_REDES!$5:$5,0)),0)*$AP1132,0)</f>
        <v>0.211392003135974</v>
      </c>
      <c r="AU1132" s="153" t="n">
        <f aca="false">IFERROR(IF($N1132="VCA",INDEX(APOIO_REDES!$A:$W,MATCH($C1132&amp;$I1132&amp;$H1132&amp;$N1132&amp;$O1132,APOIO_REDES!$W:$W,0),MATCH(AU$5,APOIO_REDES!$5:$5,0)),0)*$AP1132,0)</f>
        <v>0.168811928482869</v>
      </c>
      <c r="AV1132" s="153" t="n">
        <f aca="false">IFERROR(IF($N1132="VCA",INDEX(APOIO_REDES!$A:$W,MATCH($C1132&amp;$I1132&amp;$H1132&amp;$N1132&amp;$O1132,APOIO_REDES!$W:$W,0),MATCH(AV$5,APOIO_REDES!$5:$5,0)),0)*$AP1132,0)</f>
        <v>0.0233622456764309</v>
      </c>
      <c r="AW1132" s="153" t="n">
        <f aca="false">IFERROR(IF($N1132="VCA",INDEX(APOIO_REDES!$A:$W,MATCH($C1132&amp;$I1132&amp;$H1132&amp;$N1132&amp;$O1132,APOIO_REDES!$W:$W,0),MATCH(AW$5,APOIO_REDES!$5:$5,0)),0)*$AP1132,0)</f>
        <v>13.3361361767355</v>
      </c>
      <c r="AX1132" s="153" t="n">
        <f aca="false">IFERROR(IF($N1132="VCA",INDEX(APOIO_REDES!$A:$W,MATCH($C1132&amp;$I1132&amp;$H1132&amp;$N1132&amp;$O1132,APOIO_REDES!$W:$W,0),MATCH(AX$5,APOIO_REDES!$5:$5,0)),0)*$AP1132,0)</f>
        <v>1.8456832581572</v>
      </c>
      <c r="AY1132" s="153" t="n">
        <f aca="false">IFERROR(IF($N1132="VCA",INDEX(APOIO_REDES!$A:$W,MATCH($C1132&amp;$I1132&amp;$H1132&amp;$N1132&amp;$O1132,APOIO_REDES!$W:$W,0),MATCH(AY$5,APOIO_REDES!$5:$5,0)),0)*$AP1132,0)</f>
        <v>3.37623651185365</v>
      </c>
      <c r="AZ1132" s="153" t="n">
        <f aca="false">IFERROR(IF($N1132="VCA",INDEX(APOIO_REDES!$A:$W,MATCH($C1132&amp;$I1132&amp;$H1132&amp;$N1132&amp;$O1132,APOIO_REDES!$W:$W,0),MATCH(AZ$5,APOIO_REDES!$5:$5,0)),0)*$AP1132,0)</f>
        <v>0.467261375958409</v>
      </c>
      <c r="BA1132" s="153" t="n">
        <f aca="false">IFERROR(IF(AND($N1132="VCA",$Q1132="LINEAR"),INDEX(APOIO_REDES!$A:$W,MATCH($C1132&amp;$I1132&amp;$H1132&amp;$N1132&amp;$O1132,APOIO_REDES!$W:$W,0),MATCH(BA$5,APOIO_REDES!$5:$5,0)),IF(AND($N1132="MND",$Q1132="EMBOQUE"),INDEX(APOIO_REDES!$A:$W,MATCH($C1132&amp;$I1132&amp;$H1132&amp;$N1132&amp;$O1132,APOIO_REDES!$W:$W,0),MATCH(BA$5,APOIO_REDES!$5:$5,0)),0))*$M1132/10,0)</f>
        <v>1.76750268332458</v>
      </c>
      <c r="BB1132" s="153" t="n">
        <f aca="false">IFERROR(IF($N1132="VCA",INDEX(APOIO_REDES!$A:$W,MATCH($C1132&amp;$I1132&amp;$H1132&amp;$N1132&amp;$O1132,APOIO_REDES!$W:$W,0),MATCH(BB$5,APOIO_REDES!$5:$5,0)),0)*($AI1132+$AQ1132+$AR1132),0)</f>
        <v>6.528025358069</v>
      </c>
      <c r="BC1132" s="153" t="n">
        <f aca="false">IFERROR(IF($N1132="VCA",INDEX(APOIO_REDES!$A:$W,MATCH($C1132&amp;$I1132&amp;$H1132&amp;$N1132&amp;$O1132,APOIO_REDES!$W:$W,0),MATCH(BC$5,APOIO_REDES!$5:$5,0)),0)*($AI1132+$AQ1132+$AR1132),0)</f>
        <v>0.0718081419310023</v>
      </c>
      <c r="BD1132" s="153" t="n">
        <f aca="false">IF(AND($N1132="VCA",$AF1132&gt;=1.25,$AF1132&lt;1.5),$M1132*$AF1132*2,0)</f>
        <v>59.78118</v>
      </c>
      <c r="BE1132" s="153" t="n">
        <f aca="false">IF(AND($N1132="VCA",$AF1132&gt;=1.5,$AF1132&lt;3),$M1132*$AF1132*2,0)</f>
        <v>0</v>
      </c>
      <c r="BF1132" s="153" t="n">
        <f aca="false">IF(AND($N1132="VCA",$AF1132&gt;=3),$M1132*$AF1132*2,0)</f>
        <v>0</v>
      </c>
      <c r="BG1132" s="153" t="n">
        <f aca="false">($BB1132+$BC1132)*$AK1132</f>
        <v>19.7995005</v>
      </c>
      <c r="BH1132" s="153" t="n">
        <f aca="false">IF(AND($M1132&lt;&gt;"",$N1132="VCA",$Q1132="LINEAR"),($M1132*2)/100,IF(AND($M1132&lt;&gt;"",$N1132="MND",$Q1132="EMBOQUE"),($AN1132*2)/100,0))</f>
        <v>0.4386</v>
      </c>
      <c r="BI1132" s="153" t="n">
        <f aca="false">IF(AND($M1132&lt;&gt;"",$N1132="VCA",$Q1132="LINEAR"),$M1132,IF(AND($M1132&lt;&gt;"",$N1132="MND",$Q1132="EMBOQUE"),$AN1132*2,0))</f>
        <v>21.93</v>
      </c>
      <c r="BJ1132" s="153" t="n">
        <f aca="false">IF(AND($M1132&lt;&gt;"",$N1132="VCA",$Q1132="LINEAR"),($M1132*6.8)/100,IF(AND($M1132&lt;&gt;"",$N1132="MND",$Q1132="EMBOQUE"),($AN1132*2*6.8)/100,0))</f>
        <v>1.49124</v>
      </c>
      <c r="BK1132" s="153" t="n">
        <f aca="false">IF(AND($M1132&lt;&gt;"",$N1132="VCA",$Q1132="LINEAR"),($M1132*2.5)/50,IF(AND($M1132&lt;&gt;"",$N1132="MND",$Q1132="EMBOQUE"),($AN1132*2*2.5)/50,0))</f>
        <v>1.0965</v>
      </c>
      <c r="BL1132" s="157" t="str">
        <f aca="false">K1132&amp;J1132</f>
        <v>Zona10REDES</v>
      </c>
      <c r="BM1132" s="152" t="s">
        <v>5703</v>
      </c>
      <c r="BN1132" s="152" t="s">
        <v>1560</v>
      </c>
      <c r="BO1132" s="152" t="s">
        <v>3688</v>
      </c>
      <c r="BP1132" s="152" t="s">
        <v>5804</v>
      </c>
      <c r="BQ1132" s="152" t="s">
        <v>5845</v>
      </c>
      <c r="BR1132" s="152" t="s">
        <v>5846</v>
      </c>
      <c r="BS1132" s="152" t="n">
        <v>203620.588</v>
      </c>
      <c r="BT1132" s="152" t="n">
        <v>8237210.881</v>
      </c>
      <c r="BU1132" s="152" t="n">
        <v>203627.584</v>
      </c>
      <c r="BV1132" s="152" t="n">
        <v>8237227.386</v>
      </c>
      <c r="BW1132" s="152" t="n">
        <v>-15.9265897</v>
      </c>
      <c r="BX1132" s="152" t="n">
        <v>-47.7681565</v>
      </c>
      <c r="BY1132" s="152" t="s">
        <v>5804</v>
      </c>
    </row>
    <row r="1133" customFormat="false" ht="13.8" hidden="false" customHeight="false" outlineLevel="0" collapsed="false">
      <c r="A1133" s="149" t="n">
        <f aca="false">IF(C1133&lt;&gt;"",ROW(A1128),"")</f>
        <v>1128</v>
      </c>
      <c r="B1133" s="150" t="str">
        <f aca="false">HYPERLINK("https://www.google.com/maps/dir/-15.917302,-47.760003/-15.9266185,-47.7709537/data=!4m3!4m2!3e0!5i1")</f>
        <v>https://www.google.com/maps/dir/-15.917302,-47.760003/-15.9266185,-47.7709537/data=!4m3!4m2!3e0!5i1</v>
      </c>
      <c r="C1133" s="151" t="s">
        <v>117</v>
      </c>
      <c r="D1133" s="152" t="s">
        <v>112</v>
      </c>
      <c r="E1133" s="152" t="s">
        <v>113</v>
      </c>
      <c r="F1133" s="152" t="s">
        <v>117</v>
      </c>
      <c r="G1133" s="152" t="s">
        <v>782</v>
      </c>
      <c r="H1133" s="152" t="n">
        <v>63</v>
      </c>
      <c r="I1133" s="152" t="s">
        <v>115</v>
      </c>
      <c r="J1133" s="152" t="s">
        <v>6</v>
      </c>
      <c r="K1133" s="152" t="s">
        <v>5700</v>
      </c>
      <c r="L1133" s="152" t="s">
        <v>120</v>
      </c>
      <c r="M1133" s="153" t="n">
        <f aca="false">5.35</f>
        <v>5.35</v>
      </c>
      <c r="N1133" s="152" t="s">
        <v>1548</v>
      </c>
      <c r="O1133" s="152" t="s">
        <v>1549</v>
      </c>
      <c r="P1133" s="152" t="s">
        <v>1550</v>
      </c>
      <c r="Q1133" s="152" t="s">
        <v>1551</v>
      </c>
      <c r="R1133" s="154" t="s">
        <v>5847</v>
      </c>
      <c r="S1133" s="154" t="s">
        <v>1553</v>
      </c>
      <c r="T1133" s="155" t="s">
        <v>3685</v>
      </c>
      <c r="U1133" s="152" t="str">
        <f aca="false">RIGHT(T1133,7)</f>
        <v>012/037</v>
      </c>
      <c r="V1133" s="152" t="s">
        <v>1555</v>
      </c>
      <c r="W1133" s="156" t="n">
        <v>45882</v>
      </c>
      <c r="X1133" s="152" t="s">
        <v>1594</v>
      </c>
      <c r="Y1133" s="152" t="s">
        <v>5799</v>
      </c>
      <c r="Z1133" s="152" t="s">
        <v>1557</v>
      </c>
      <c r="AA1133" s="153" t="n">
        <v>3.1</v>
      </c>
      <c r="AB1133" s="151" t="s">
        <v>5848</v>
      </c>
      <c r="AC1133" s="151" t="s">
        <v>186</v>
      </c>
      <c r="AD1133" s="151" t="str">
        <f aca="false">CONCATENATE($C1133,$I1133,$H1133,$N1133,$J1133,$K1133)</f>
        <v>TUBO PEADPEAD63VCAREDESZona10</v>
      </c>
      <c r="AE1133" s="153" t="n">
        <f aca="false">IFERROR(INDEX(APOIO_REDES!$A:$W,MATCH($C1133&amp;$I1133&amp;$H1133&amp;$N1133&amp;$O1133,APOIO_REDES!$W:$W,0),MATCH(AE$5,APOIO_REDES!$5:$5,0)),0)</f>
        <v>1.2</v>
      </c>
      <c r="AF1133" s="153" t="n">
        <f aca="false">IFERROR(INDEX(APOIO_REDES!$A:$W,MATCH($C1133&amp;$I1133&amp;$H1133&amp;$N1133&amp;$O1133,APOIO_REDES!$W:$W,0),MATCH(AF$5,APOIO_REDES!$5:$5,0)),0)</f>
        <v>1.363</v>
      </c>
      <c r="AG1133" s="153" t="n">
        <f aca="false">IFERROR(INDEX(APOIO_REDES!$A:$W,MATCH($C1133&amp;$I1133&amp;$H1133&amp;$N1133&amp;$O1133,APOIO_REDES!$W:$W,0),MATCH(AG$5,APOIO_REDES!$5:$5,0)),0)</f>
        <v>0.65</v>
      </c>
      <c r="AH1133" s="153" t="n">
        <f aca="false">IFERROR(INDEX(APOIO_REDES!$A:$W,MATCH($C1133&amp;$I1133&amp;$H1133&amp;$N1133&amp;$O1133,APOIO_REDES!$W:$W,0),MATCH(AH$5,APOIO_REDES!$5:$5,0)),0)</f>
        <v>0.1</v>
      </c>
      <c r="AI1133" s="153" t="n">
        <f aca="false">IFERROR(IF($H1133&lt;&gt;"",(((($H1133/1000)/2)^2)*PI()*$M1133),0),0)</f>
        <v>0.0166772624113059</v>
      </c>
      <c r="AJ1133" s="153" t="n">
        <f aca="false">IFERROR(IF(AND($H1133&lt;&gt;"",$I1133="FoFo",OR($N1133="MND",$N1133="VCA"),$Q1133="LINEAR"),0,IF(AND($H1133&lt;&gt;"",$I1133="PEAD",$N1133="VCA",$Q1133="LINEAR"),($H1133/1000)+0.3,IF(AND($H1133&lt;&gt;"",$I1133="PEAD",$N1133="MND",$Q1133="EMBOQUE"),0,IF(AND($H1133&lt;&gt;"",$I1133="PVC",$N1133="VCA",$Q1133="LINEAR"),($H1133/1000)+0.2,IF(AND($H1133&lt;&gt;"",$I1133="PVC",$N1133="MND",$Q1133="EMBOQUE"),0,IF(AND($H1133&lt;&gt;"",$I1133="PEAD",$N1133="VCA",$Q1133="PREDIAL"),0,0)))))),0)</f>
        <v>0.363</v>
      </c>
      <c r="AK1133" s="153" t="n">
        <f aca="false">IF(AA1133&lt;&gt;"",AA1133,0)</f>
        <v>3.1</v>
      </c>
      <c r="AL1133" s="153" t="n">
        <f aca="false">IF(AND($N1133="MND",$Q1133="EMBOQUE"),$M1133,IF(AND($N1133="VCA",$Q1133="LINEAR"),$M1133,IF(AND($N1133="VCA",$Q1133="PREDIAL"),0,0)))</f>
        <v>5.35</v>
      </c>
      <c r="AM1133" s="153" t="n">
        <f aca="false">IF(AND($N1133="MND",$Q1133="EMBOQUE"),$M1133,IF(AND($N1133="VCA",$Q1133="LINEAR"),$M1133,IF(AND($N1133="VCA",$Q1133="PREDIAL"),0,0)))</f>
        <v>5.35</v>
      </c>
      <c r="AN1133" s="153" t="n">
        <f aca="false">ROUND(IF(AND($N1133="VCA",$M1133&lt;&gt;"",$Q1133="LINEAR"),$M1133/100,IF(AND($N1133="MND",$M1133&gt;100,$Q1133="EMBOQUE"),$M1133/100,0)),0)</f>
        <v>0</v>
      </c>
      <c r="AO1133" s="153" t="n">
        <f aca="false">IF(AND($N1133="MND",$Q1133="EMBOQUE"),$AN1133*2*2,IF(AND($N1133="VCA",$Q1133="LINEAR"),$M1133*2,IF(AND($N1133="VCA",$Q1133="PREDIAL"),0,0)))</f>
        <v>10.7</v>
      </c>
      <c r="AP1133" s="153" t="n">
        <f aca="false">IFERROR($M1133*$AF1133*$AG1133,0)</f>
        <v>4.7398325</v>
      </c>
      <c r="AQ1133" s="153" t="n">
        <f aca="false">IFERROR(IF(AND($N1133="VCA",$AH1133&gt;0),$M1133*$AG1133*$AH1133,0),0)</f>
        <v>0.34775</v>
      </c>
      <c r="AR1133" s="153" t="n">
        <f aca="false">IFERROR(IF(AND($N1133="VCA",$AJ1133&gt;0),($M1133*$AG1133*$AJ1133)-$AI1133,0),0)</f>
        <v>1.24565523758869</v>
      </c>
      <c r="AS1133" s="153" t="n">
        <f aca="false">IFERROR(IF(AND($N1133="VCA",$AP1133&gt;0),$AP1133-$AI1133-$AQ1133-$AR1133,0),0)</f>
        <v>3.12975</v>
      </c>
      <c r="AT1133" s="153" t="n">
        <f aca="false">IFERROR(IF($N1133="VCA",INDEX(APOIO_REDES!$A:$W,MATCH($C1133&amp;$I1133&amp;$H1133&amp;$N1133&amp;$O1133,APOIO_REDES!$W:$W,0),MATCH(AT$5,APOIO_REDES!$5:$5,0)),0)*$AP1133,0)</f>
        <v>0.0515707805188082</v>
      </c>
      <c r="AU1133" s="153" t="n">
        <f aca="false">IFERROR(IF($N1133="VCA",INDEX(APOIO_REDES!$A:$W,MATCH($C1133&amp;$I1133&amp;$H1133&amp;$N1133&amp;$O1133,APOIO_REDES!$W:$W,0),MATCH(AU$5,APOIO_REDES!$5:$5,0)),0)*$AP1133,0)</f>
        <v>0.0411830286084518</v>
      </c>
      <c r="AV1133" s="153" t="n">
        <f aca="false">IFERROR(IF($N1133="VCA",INDEX(APOIO_REDES!$A:$W,MATCH($C1133&amp;$I1133&amp;$H1133&amp;$N1133&amp;$O1133,APOIO_REDES!$W:$W,0),MATCH(AV$5,APOIO_REDES!$5:$5,0)),0)*$AP1133,0)</f>
        <v>0.0056994078599592</v>
      </c>
      <c r="AW1133" s="153" t="n">
        <f aca="false">IFERROR(IF($N1133="VCA",INDEX(APOIO_REDES!$A:$W,MATCH($C1133&amp;$I1133&amp;$H1133&amp;$N1133&amp;$O1133,APOIO_REDES!$W:$W,0),MATCH(AW$5,APOIO_REDES!$5:$5,0)),0)*$AP1133,0)</f>
        <v>3.25345775401435</v>
      </c>
      <c r="AX1133" s="153" t="n">
        <f aca="false">IFERROR(IF($N1133="VCA",INDEX(APOIO_REDES!$A:$W,MATCH($C1133&amp;$I1133&amp;$H1133&amp;$N1133&amp;$O1133,APOIO_REDES!$W:$W,0),MATCH(AX$5,APOIO_REDES!$5:$5,0)),0)*$AP1133,0)</f>
        <v>0.450269285505747</v>
      </c>
      <c r="AY1133" s="153" t="n">
        <f aca="false">IFERROR(IF($N1133="VCA",INDEX(APOIO_REDES!$A:$W,MATCH($C1133&amp;$I1133&amp;$H1133&amp;$N1133&amp;$O1133,APOIO_REDES!$W:$W,0),MATCH(AY$5,APOIO_REDES!$5:$5,0)),0)*$AP1133,0)</f>
        <v>0.823660070151256</v>
      </c>
      <c r="AZ1133" s="153" t="n">
        <f aca="false">IFERROR(IF($N1133="VCA",INDEX(APOIO_REDES!$A:$W,MATCH($C1133&amp;$I1133&amp;$H1133&amp;$N1133&amp;$O1133,APOIO_REDES!$W:$W,0),MATCH(AZ$5,APOIO_REDES!$5:$5,0)),0)*$AP1133,0)</f>
        <v>0.113992173341427</v>
      </c>
      <c r="BA1133" s="153" t="n">
        <f aca="false">IFERROR(IF(AND($N1133="VCA",$Q1133="LINEAR"),INDEX(APOIO_REDES!$A:$W,MATCH($C1133&amp;$I1133&amp;$H1133&amp;$N1133&amp;$O1133,APOIO_REDES!$W:$W,0),MATCH(BA$5,APOIO_REDES!$5:$5,0)),IF(AND($N1133="MND",$Q1133="EMBOQUE"),INDEX(APOIO_REDES!$A:$W,MATCH($C1133&amp;$I1133&amp;$H1133&amp;$N1133&amp;$O1133,APOIO_REDES!$W:$W,0),MATCH(BA$5,APOIO_REDES!$5:$5,0)),0))*$M1133/10,0)</f>
        <v>0.431196505051825</v>
      </c>
      <c r="BB1133" s="153" t="n">
        <f aca="false">IFERROR(IF($N1133="VCA",INDEX(APOIO_REDES!$A:$W,MATCH($C1133&amp;$I1133&amp;$H1133&amp;$N1133&amp;$O1133,APOIO_REDES!$W:$W,0),MATCH(BB$5,APOIO_REDES!$5:$5,0)),0)*($AI1133+$AQ1133+$AR1133),0)</f>
        <v>1.59256432583991</v>
      </c>
      <c r="BC1133" s="153" t="n">
        <f aca="false">IFERROR(IF($N1133="VCA",INDEX(APOIO_REDES!$A:$W,MATCH($C1133&amp;$I1133&amp;$H1133&amp;$N1133&amp;$O1133,APOIO_REDES!$W:$W,0),MATCH(BC$5,APOIO_REDES!$5:$5,0)),0)*($AI1133+$AQ1133+$AR1133),0)</f>
        <v>0.017518174160094</v>
      </c>
      <c r="BD1133" s="153" t="n">
        <f aca="false">IF(AND($N1133="VCA",$AF1133&gt;=1.25,$AF1133&lt;1.5),$M1133*$AF1133*2,0)</f>
        <v>14.5841</v>
      </c>
      <c r="BE1133" s="153" t="n">
        <f aca="false">IF(AND($N1133="VCA",$AF1133&gt;=1.5,$AF1133&lt;3),$M1133*$AF1133*2,0)</f>
        <v>0</v>
      </c>
      <c r="BF1133" s="153" t="n">
        <f aca="false">IF(AND($N1133="VCA",$AF1133&gt;=3),$M1133*$AF1133*2,0)</f>
        <v>0</v>
      </c>
      <c r="BG1133" s="153" t="n">
        <f aca="false">($BB1133+$BC1133)*$AK1133</f>
        <v>4.99125575</v>
      </c>
      <c r="BH1133" s="153" t="n">
        <f aca="false">IF(AND($M1133&lt;&gt;"",$N1133="VCA",$Q1133="LINEAR"),($M1133*2)/100,IF(AND($M1133&lt;&gt;"",$N1133="MND",$Q1133="EMBOQUE"),($AN1133*2)/100,0))</f>
        <v>0.107</v>
      </c>
      <c r="BI1133" s="153" t="n">
        <f aca="false">IF(AND($M1133&lt;&gt;"",$N1133="VCA",$Q1133="LINEAR"),$M1133,IF(AND($M1133&lt;&gt;"",$N1133="MND",$Q1133="EMBOQUE"),$AN1133*2,0))</f>
        <v>5.35</v>
      </c>
      <c r="BJ1133" s="153" t="n">
        <f aca="false">IF(AND($M1133&lt;&gt;"",$N1133="VCA",$Q1133="LINEAR"),($M1133*6.8)/100,IF(AND($M1133&lt;&gt;"",$N1133="MND",$Q1133="EMBOQUE"),($AN1133*2*6.8)/100,0))</f>
        <v>0.3638</v>
      </c>
      <c r="BK1133" s="153" t="n">
        <f aca="false">IF(AND($M1133&lt;&gt;"",$N1133="VCA",$Q1133="LINEAR"),($M1133*2.5)/50,IF(AND($M1133&lt;&gt;"",$N1133="MND",$Q1133="EMBOQUE"),($AN1133*2*2.5)/50,0))</f>
        <v>0.2675</v>
      </c>
      <c r="BL1133" s="157" t="str">
        <f aca="false">K1133&amp;J1133</f>
        <v>Zona10REDES</v>
      </c>
      <c r="BM1133" s="152" t="s">
        <v>5703</v>
      </c>
      <c r="BN1133" s="152" t="s">
        <v>1560</v>
      </c>
      <c r="BO1133" s="152" t="s">
        <v>3688</v>
      </c>
      <c r="BP1133" s="152" t="s">
        <v>5815</v>
      </c>
      <c r="BQ1133" s="152" t="s">
        <v>5837</v>
      </c>
      <c r="BR1133" s="152" t="s">
        <v>5849</v>
      </c>
      <c r="BS1133" s="152" t="n">
        <v>203324.438</v>
      </c>
      <c r="BT1133" s="152" t="n">
        <v>8237211.968</v>
      </c>
      <c r="BU1133" s="152" t="n">
        <v>203321.932</v>
      </c>
      <c r="BV1133" s="152" t="n">
        <v>8237207.238</v>
      </c>
      <c r="BW1133" s="152" t="n">
        <v>-15.9266397</v>
      </c>
      <c r="BX1133" s="152" t="n">
        <v>-47.7709657</v>
      </c>
      <c r="BY1133" s="152" t="s">
        <v>5815</v>
      </c>
    </row>
    <row r="1134" customFormat="false" ht="13.8" hidden="false" customHeight="false" outlineLevel="0" collapsed="false">
      <c r="A1134" s="149" t="n">
        <f aca="false">IF(C1134&lt;&gt;"",ROW(A1129),"")</f>
        <v>1129</v>
      </c>
      <c r="B1134" s="150" t="str">
        <f aca="false">HYPERLINK("https://www.google.com/maps/dir/-15.917302,-47.760003/-15.9266387,-47.7691846/data=!4m3!4m2!3e0!5i2")</f>
        <v>https://www.google.com/maps/dir/-15.917302,-47.760003/-15.9266387,-47.7691846/data=!4m3!4m2!3e0!5i2</v>
      </c>
      <c r="C1134" s="151" t="s">
        <v>117</v>
      </c>
      <c r="D1134" s="152" t="s">
        <v>112</v>
      </c>
      <c r="E1134" s="152" t="s">
        <v>113</v>
      </c>
      <c r="F1134" s="152" t="s">
        <v>117</v>
      </c>
      <c r="G1134" s="152" t="s">
        <v>782</v>
      </c>
      <c r="H1134" s="152" t="n">
        <v>63</v>
      </c>
      <c r="I1134" s="152" t="s">
        <v>115</v>
      </c>
      <c r="J1134" s="152" t="s">
        <v>6</v>
      </c>
      <c r="K1134" s="152" t="s">
        <v>5700</v>
      </c>
      <c r="L1134" s="152" t="s">
        <v>120</v>
      </c>
      <c r="M1134" s="153" t="n">
        <f aca="false">47.34</f>
        <v>47.34</v>
      </c>
      <c r="N1134" s="152" t="s">
        <v>1548</v>
      </c>
      <c r="O1134" s="152" t="s">
        <v>1549</v>
      </c>
      <c r="P1134" s="152" t="s">
        <v>1550</v>
      </c>
      <c r="Q1134" s="152" t="s">
        <v>1551</v>
      </c>
      <c r="R1134" s="154" t="s">
        <v>5850</v>
      </c>
      <c r="S1134" s="154" t="s">
        <v>1553</v>
      </c>
      <c r="T1134" s="155" t="s">
        <v>3685</v>
      </c>
      <c r="U1134" s="152" t="str">
        <f aca="false">RIGHT(T1134,7)</f>
        <v>012/037</v>
      </c>
      <c r="V1134" s="152" t="s">
        <v>1555</v>
      </c>
      <c r="W1134" s="156" t="n">
        <v>45882</v>
      </c>
      <c r="X1134" s="152" t="s">
        <v>1594</v>
      </c>
      <c r="Y1134" s="152" t="s">
        <v>5799</v>
      </c>
      <c r="Z1134" s="152" t="s">
        <v>1557</v>
      </c>
      <c r="AA1134" s="153" t="n">
        <v>3</v>
      </c>
      <c r="AB1134" s="151" t="s">
        <v>5851</v>
      </c>
      <c r="AC1134" s="151" t="s">
        <v>186</v>
      </c>
      <c r="AD1134" s="151" t="str">
        <f aca="false">CONCATENATE($C1134,$I1134,$H1134,$N1134,$J1134,$K1134)</f>
        <v>TUBO PEADPEAD63VCAREDESZona10</v>
      </c>
      <c r="AE1134" s="153" t="n">
        <f aca="false">IFERROR(INDEX(APOIO_REDES!$A:$W,MATCH($C1134&amp;$I1134&amp;$H1134&amp;$N1134&amp;$O1134,APOIO_REDES!$W:$W,0),MATCH(AE$5,APOIO_REDES!$5:$5,0)),0)</f>
        <v>1.2</v>
      </c>
      <c r="AF1134" s="153" t="n">
        <f aca="false">IFERROR(INDEX(APOIO_REDES!$A:$W,MATCH($C1134&amp;$I1134&amp;$H1134&amp;$N1134&amp;$O1134,APOIO_REDES!$W:$W,0),MATCH(AF$5,APOIO_REDES!$5:$5,0)),0)</f>
        <v>1.363</v>
      </c>
      <c r="AG1134" s="153" t="n">
        <f aca="false">IFERROR(INDEX(APOIO_REDES!$A:$W,MATCH($C1134&amp;$I1134&amp;$H1134&amp;$N1134&amp;$O1134,APOIO_REDES!$W:$W,0),MATCH(AG$5,APOIO_REDES!$5:$5,0)),0)</f>
        <v>0.65</v>
      </c>
      <c r="AH1134" s="153" t="n">
        <f aca="false">IFERROR(INDEX(APOIO_REDES!$A:$W,MATCH($C1134&amp;$I1134&amp;$H1134&amp;$N1134&amp;$O1134,APOIO_REDES!$W:$W,0),MATCH(AH$5,APOIO_REDES!$5:$5,0)),0)</f>
        <v>0.1</v>
      </c>
      <c r="AI1134" s="153" t="n">
        <f aca="false">IFERROR(IF($H1134&lt;&gt;"",(((($H1134/1000)/2)^2)*PI()*$M1134),0),0)</f>
        <v>0.147570393000229</v>
      </c>
      <c r="AJ1134" s="153" t="n">
        <f aca="false">IFERROR(IF(AND($H1134&lt;&gt;"",$I1134="FoFo",OR($N1134="MND",$N1134="VCA"),$Q1134="LINEAR"),0,IF(AND($H1134&lt;&gt;"",$I1134="PEAD",$N1134="VCA",$Q1134="LINEAR"),($H1134/1000)+0.3,IF(AND($H1134&lt;&gt;"",$I1134="PEAD",$N1134="MND",$Q1134="EMBOQUE"),0,IF(AND($H1134&lt;&gt;"",$I1134="PVC",$N1134="VCA",$Q1134="LINEAR"),($H1134/1000)+0.2,IF(AND($H1134&lt;&gt;"",$I1134="PVC",$N1134="MND",$Q1134="EMBOQUE"),0,IF(AND($H1134&lt;&gt;"",$I1134="PEAD",$N1134="VCA",$Q1134="PREDIAL"),0,0)))))),0)</f>
        <v>0.363</v>
      </c>
      <c r="AK1134" s="153" t="n">
        <f aca="false">IF(AA1134&lt;&gt;"",AA1134,0)</f>
        <v>3</v>
      </c>
      <c r="AL1134" s="153" t="n">
        <f aca="false">IF(AND($N1134="MND",$Q1134="EMBOQUE"),$M1134,IF(AND($N1134="VCA",$Q1134="LINEAR"),$M1134,IF(AND($N1134="VCA",$Q1134="PREDIAL"),0,0)))</f>
        <v>47.34</v>
      </c>
      <c r="AM1134" s="153" t="n">
        <f aca="false">IF(AND($N1134="MND",$Q1134="EMBOQUE"),$M1134,IF(AND($N1134="VCA",$Q1134="LINEAR"),$M1134,IF(AND($N1134="VCA",$Q1134="PREDIAL"),0,0)))</f>
        <v>47.34</v>
      </c>
      <c r="AN1134" s="153" t="n">
        <f aca="false">ROUND(IF(AND($N1134="VCA",$M1134&lt;&gt;"",$Q1134="LINEAR"),$M1134/100,IF(AND($N1134="MND",$M1134&gt;100,$Q1134="EMBOQUE"),$M1134/100,0)),0)</f>
        <v>0</v>
      </c>
      <c r="AO1134" s="153" t="n">
        <f aca="false">IF(AND($N1134="MND",$Q1134="EMBOQUE"),$AN1134*2*2,IF(AND($N1134="VCA",$Q1134="LINEAR"),$M1134*2,IF(AND($N1134="VCA",$Q1134="PREDIAL"),0,0)))</f>
        <v>94.68</v>
      </c>
      <c r="AP1134" s="153" t="n">
        <f aca="false">IFERROR($M1134*$AF1134*$AG1134,0)</f>
        <v>41.940873</v>
      </c>
      <c r="AQ1134" s="153" t="n">
        <f aca="false">IFERROR(IF(AND($N1134="VCA",$AH1134&gt;0),$M1134*$AG1134*$AH1134,0),0)</f>
        <v>3.0771</v>
      </c>
      <c r="AR1134" s="153" t="n">
        <f aca="false">IFERROR(IF(AND($N1134="VCA",$AJ1134&gt;0),($M1134*$AG1134*$AJ1134)-$AI1134,0),0)</f>
        <v>11.0223026069998</v>
      </c>
      <c r="AS1134" s="153" t="n">
        <f aca="false">IFERROR(IF(AND($N1134="VCA",$AP1134&gt;0),$AP1134-$AI1134-$AQ1134-$AR1134,0),0)</f>
        <v>27.6939</v>
      </c>
      <c r="AT1134" s="153" t="n">
        <f aca="false">IFERROR(IF($N1134="VCA",INDEX(APOIO_REDES!$A:$W,MATCH($C1134&amp;$I1134&amp;$H1134&amp;$N1134&amp;$O1134,APOIO_REDES!$W:$W,0),MATCH(AT$5,APOIO_REDES!$5:$5,0)),0)*$AP1134,0)</f>
        <v>0.456329112104744</v>
      </c>
      <c r="AU1134" s="153" t="n">
        <f aca="false">IFERROR(IF($N1134="VCA",INDEX(APOIO_REDES!$A:$W,MATCH($C1134&amp;$I1134&amp;$H1134&amp;$N1134&amp;$O1134,APOIO_REDES!$W:$W,0),MATCH(AU$5,APOIO_REDES!$5:$5,0)),0)*$AP1134,0)</f>
        <v>0.364412069967123</v>
      </c>
      <c r="AV1134" s="153" t="n">
        <f aca="false">IFERROR(IF($N1134="VCA",INDEX(APOIO_REDES!$A:$W,MATCH($C1134&amp;$I1134&amp;$H1134&amp;$N1134&amp;$O1134,APOIO_REDES!$W:$W,0),MATCH(AV$5,APOIO_REDES!$5:$5,0)),0)*$AP1134,0)</f>
        <v>0.0504317697365362</v>
      </c>
      <c r="AW1134" s="153" t="n">
        <f aca="false">IFERROR(IF($N1134="VCA",INDEX(APOIO_REDES!$A:$W,MATCH($C1134&amp;$I1134&amp;$H1134&amp;$N1134&amp;$O1134,APOIO_REDES!$W:$W,0),MATCH(AW$5,APOIO_REDES!$5:$5,0)),0)*$AP1134,0)</f>
        <v>28.7885402009419</v>
      </c>
      <c r="AX1134" s="153" t="n">
        <f aca="false">IFERROR(IF($N1134="VCA",INDEX(APOIO_REDES!$A:$W,MATCH($C1134&amp;$I1134&amp;$H1134&amp;$N1134&amp;$O1134,APOIO_REDES!$W:$W,0),MATCH(AX$5,APOIO_REDES!$5:$5,0)),0)*$AP1134,0)</f>
        <v>3.98425195810132</v>
      </c>
      <c r="AY1134" s="153" t="n">
        <f aca="false">IFERROR(IF($N1134="VCA",INDEX(APOIO_REDES!$A:$W,MATCH($C1134&amp;$I1134&amp;$H1134&amp;$N1134&amp;$O1134,APOIO_REDES!$W:$W,0),MATCH(AY$5,APOIO_REDES!$5:$5,0)),0)*$AP1134,0)</f>
        <v>7.28823695718887</v>
      </c>
      <c r="AZ1134" s="153" t="n">
        <f aca="false">IFERROR(IF($N1134="VCA",INDEX(APOIO_REDES!$A:$W,MATCH($C1134&amp;$I1134&amp;$H1134&amp;$N1134&amp;$O1134,APOIO_REDES!$W:$W,0),MATCH(AZ$5,APOIO_REDES!$5:$5,0)),0)*$AP1134,0)</f>
        <v>1.00867093195946</v>
      </c>
      <c r="BA1134" s="153" t="n">
        <f aca="false">IFERROR(IF(AND($N1134="VCA",$Q1134="LINEAR"),INDEX(APOIO_REDES!$A:$W,MATCH($C1134&amp;$I1134&amp;$H1134&amp;$N1134&amp;$O1134,APOIO_REDES!$W:$W,0),MATCH(BA$5,APOIO_REDES!$5:$5,0)),IF(AND($N1134="MND",$Q1134="EMBOQUE"),INDEX(APOIO_REDES!$A:$W,MATCH($C1134&amp;$I1134&amp;$H1134&amp;$N1134&amp;$O1134,APOIO_REDES!$W:$W,0),MATCH(BA$5,APOIO_REDES!$5:$5,0)),0))*$M1134/10,0)</f>
        <v>3.8154845886268</v>
      </c>
      <c r="BB1134" s="153" t="n">
        <f aca="false">IFERROR(IF($N1134="VCA",INDEX(APOIO_REDES!$A:$W,MATCH($C1134&amp;$I1134&amp;$H1134&amp;$N1134&amp;$O1134,APOIO_REDES!$W:$W,0),MATCH(BB$5,APOIO_REDES!$5:$5,0)),0)*($AI1134+$AQ1134+$AR1134),0)</f>
        <v>14.0919617168712</v>
      </c>
      <c r="BC1134" s="153" t="n">
        <f aca="false">IFERROR(IF($N1134="VCA",INDEX(APOIO_REDES!$A:$W,MATCH($C1134&amp;$I1134&amp;$H1134&amp;$N1134&amp;$O1134,APOIO_REDES!$W:$W,0),MATCH(BC$5,APOIO_REDES!$5:$5,0)),0)*($AI1134+$AQ1134+$AR1134),0)</f>
        <v>0.155011283128757</v>
      </c>
      <c r="BD1134" s="153" t="n">
        <f aca="false">IF(AND($N1134="VCA",$AF1134&gt;=1.25,$AF1134&lt;1.5),$M1134*$AF1134*2,0)</f>
        <v>129.04884</v>
      </c>
      <c r="BE1134" s="153" t="n">
        <f aca="false">IF(AND($N1134="VCA",$AF1134&gt;=1.5,$AF1134&lt;3),$M1134*$AF1134*2,0)</f>
        <v>0</v>
      </c>
      <c r="BF1134" s="153" t="n">
        <f aca="false">IF(AND($N1134="VCA",$AF1134&gt;=3),$M1134*$AF1134*2,0)</f>
        <v>0</v>
      </c>
      <c r="BG1134" s="153" t="n">
        <f aca="false">($BB1134+$BC1134)*$AK1134</f>
        <v>42.740919</v>
      </c>
      <c r="BH1134" s="153" t="n">
        <f aca="false">IF(AND($M1134&lt;&gt;"",$N1134="VCA",$Q1134="LINEAR"),($M1134*2)/100,IF(AND($M1134&lt;&gt;"",$N1134="MND",$Q1134="EMBOQUE"),($AN1134*2)/100,0))</f>
        <v>0.9468</v>
      </c>
      <c r="BI1134" s="153" t="n">
        <f aca="false">IF(AND($M1134&lt;&gt;"",$N1134="VCA",$Q1134="LINEAR"),$M1134,IF(AND($M1134&lt;&gt;"",$N1134="MND",$Q1134="EMBOQUE"),$AN1134*2,0))</f>
        <v>47.34</v>
      </c>
      <c r="BJ1134" s="153" t="n">
        <f aca="false">IF(AND($M1134&lt;&gt;"",$N1134="VCA",$Q1134="LINEAR"),($M1134*6.8)/100,IF(AND($M1134&lt;&gt;"",$N1134="MND",$Q1134="EMBOQUE"),($AN1134*2*6.8)/100,0))</f>
        <v>3.21912</v>
      </c>
      <c r="BK1134" s="153" t="n">
        <f aca="false">IF(AND($M1134&lt;&gt;"",$N1134="VCA",$Q1134="LINEAR"),($M1134*2.5)/50,IF(AND($M1134&lt;&gt;"",$N1134="MND",$Q1134="EMBOQUE"),($AN1134*2*2.5)/50,0))</f>
        <v>2.367</v>
      </c>
      <c r="BL1134" s="157" t="str">
        <f aca="false">K1134&amp;J1134</f>
        <v>Zona10REDES</v>
      </c>
      <c r="BM1134" s="152" t="s">
        <v>5703</v>
      </c>
      <c r="BN1134" s="152" t="s">
        <v>1560</v>
      </c>
      <c r="BO1134" s="152" t="s">
        <v>3688</v>
      </c>
      <c r="BP1134" s="152" t="s">
        <v>5833</v>
      </c>
      <c r="BQ1134" s="152" t="s">
        <v>5852</v>
      </c>
      <c r="BR1134" s="152" t="s">
        <v>5853</v>
      </c>
      <c r="BS1134" s="152" t="n">
        <v>203514.276</v>
      </c>
      <c r="BT1134" s="152" t="n">
        <v>8237212.242</v>
      </c>
      <c r="BU1134" s="152" t="n">
        <v>203555.304</v>
      </c>
      <c r="BV1134" s="152" t="n">
        <v>8237188.656</v>
      </c>
      <c r="BW1134" s="152" t="n">
        <v>-15.9267506</v>
      </c>
      <c r="BX1134" s="152" t="n">
        <v>-47.7689938</v>
      </c>
      <c r="BY1134" s="152" t="s">
        <v>5833</v>
      </c>
    </row>
    <row r="1135" customFormat="false" ht="13.8" hidden="false" customHeight="false" outlineLevel="0" collapsed="false">
      <c r="A1135" s="149" t="n">
        <f aca="false">IF(C1135&lt;&gt;"",ROW(A1130),"")</f>
        <v>1130</v>
      </c>
      <c r="B1135" s="150" t="str">
        <f aca="false">HYPERLINK("https://www.google.com/maps/dir/-15.917302,-47.760003/-15.9261563,-47.7717223/data=!4m3!4m2!3e0!5i2")</f>
        <v>https://www.google.com/maps/dir/-15.917302,-47.760003/-15.9261563,-47.7717223/data=!4m3!4m2!3e0!5i2</v>
      </c>
      <c r="C1135" s="151" t="s">
        <v>117</v>
      </c>
      <c r="D1135" s="152" t="s">
        <v>112</v>
      </c>
      <c r="E1135" s="152" t="s">
        <v>113</v>
      </c>
      <c r="F1135" s="152" t="s">
        <v>117</v>
      </c>
      <c r="G1135" s="152" t="s">
        <v>782</v>
      </c>
      <c r="H1135" s="152" t="n">
        <v>63</v>
      </c>
      <c r="I1135" s="152" t="s">
        <v>115</v>
      </c>
      <c r="J1135" s="152" t="s">
        <v>6</v>
      </c>
      <c r="K1135" s="152" t="s">
        <v>5700</v>
      </c>
      <c r="L1135" s="152" t="s">
        <v>120</v>
      </c>
      <c r="M1135" s="153" t="n">
        <f aca="false">144.07</f>
        <v>144.07</v>
      </c>
      <c r="N1135" s="152" t="s">
        <v>1548</v>
      </c>
      <c r="O1135" s="152" t="s">
        <v>1549</v>
      </c>
      <c r="P1135" s="152" t="s">
        <v>1550</v>
      </c>
      <c r="Q1135" s="152" t="s">
        <v>1551</v>
      </c>
      <c r="R1135" s="154" t="s">
        <v>5854</v>
      </c>
      <c r="S1135" s="154" t="s">
        <v>1553</v>
      </c>
      <c r="T1135" s="155" t="s">
        <v>3685</v>
      </c>
      <c r="U1135" s="152" t="str">
        <f aca="false">RIGHT(T1135,7)</f>
        <v>012/037</v>
      </c>
      <c r="V1135" s="152" t="s">
        <v>1555</v>
      </c>
      <c r="W1135" s="156" t="n">
        <v>45882</v>
      </c>
      <c r="X1135" s="152" t="s">
        <v>1594</v>
      </c>
      <c r="Y1135" s="152" t="s">
        <v>3721</v>
      </c>
      <c r="Z1135" s="152" t="s">
        <v>1557</v>
      </c>
      <c r="AA1135" s="153" t="n">
        <v>4</v>
      </c>
      <c r="AB1135" s="151" t="s">
        <v>5855</v>
      </c>
      <c r="AC1135" s="151" t="s">
        <v>186</v>
      </c>
      <c r="AD1135" s="151" t="str">
        <f aca="false">CONCATENATE($C1135,$I1135,$H1135,$N1135,$J1135,$K1135)</f>
        <v>TUBO PEADPEAD63VCAREDESZona10</v>
      </c>
      <c r="AE1135" s="153" t="n">
        <f aca="false">IFERROR(INDEX(APOIO_REDES!$A:$W,MATCH($C1135&amp;$I1135&amp;$H1135&amp;$N1135&amp;$O1135,APOIO_REDES!$W:$W,0),MATCH(AE$5,APOIO_REDES!$5:$5,0)),0)</f>
        <v>1.2</v>
      </c>
      <c r="AF1135" s="153" t="n">
        <f aca="false">IFERROR(INDEX(APOIO_REDES!$A:$W,MATCH($C1135&amp;$I1135&amp;$H1135&amp;$N1135&amp;$O1135,APOIO_REDES!$W:$W,0),MATCH(AF$5,APOIO_REDES!$5:$5,0)),0)</f>
        <v>1.363</v>
      </c>
      <c r="AG1135" s="153" t="n">
        <f aca="false">IFERROR(INDEX(APOIO_REDES!$A:$W,MATCH($C1135&amp;$I1135&amp;$H1135&amp;$N1135&amp;$O1135,APOIO_REDES!$W:$W,0),MATCH(AG$5,APOIO_REDES!$5:$5,0)),0)</f>
        <v>0.65</v>
      </c>
      <c r="AH1135" s="153" t="n">
        <f aca="false">IFERROR(INDEX(APOIO_REDES!$A:$W,MATCH($C1135&amp;$I1135&amp;$H1135&amp;$N1135&amp;$O1135,APOIO_REDES!$W:$W,0),MATCH(AH$5,APOIO_REDES!$5:$5,0)),0)</f>
        <v>0.1</v>
      </c>
      <c r="AI1135" s="153" t="n">
        <f aca="false">IFERROR(IF($H1135&lt;&gt;"",(((($H1135/1000)/2)^2)*PI()*$M1135),0),0)</f>
        <v>0.449101531887261</v>
      </c>
      <c r="AJ1135" s="153" t="n">
        <f aca="false">IFERROR(IF(AND($H1135&lt;&gt;"",$I1135="FoFo",OR($N1135="MND",$N1135="VCA"),$Q1135="LINEAR"),0,IF(AND($H1135&lt;&gt;"",$I1135="PEAD",$N1135="VCA",$Q1135="LINEAR"),($H1135/1000)+0.3,IF(AND($H1135&lt;&gt;"",$I1135="PEAD",$N1135="MND",$Q1135="EMBOQUE"),0,IF(AND($H1135&lt;&gt;"",$I1135="PVC",$N1135="VCA",$Q1135="LINEAR"),($H1135/1000)+0.2,IF(AND($H1135&lt;&gt;"",$I1135="PVC",$N1135="MND",$Q1135="EMBOQUE"),0,IF(AND($H1135&lt;&gt;"",$I1135="PEAD",$N1135="VCA",$Q1135="PREDIAL"),0,0)))))),0)</f>
        <v>0.363</v>
      </c>
      <c r="AK1135" s="153" t="n">
        <f aca="false">IF(AA1135&lt;&gt;"",AA1135,0)</f>
        <v>4</v>
      </c>
      <c r="AL1135" s="153" t="n">
        <f aca="false">IF(AND($N1135="MND",$Q1135="EMBOQUE"),$M1135,IF(AND($N1135="VCA",$Q1135="LINEAR"),$M1135,IF(AND($N1135="VCA",$Q1135="PREDIAL"),0,0)))</f>
        <v>144.07</v>
      </c>
      <c r="AM1135" s="153" t="n">
        <f aca="false">IF(AND($N1135="MND",$Q1135="EMBOQUE"),$M1135,IF(AND($N1135="VCA",$Q1135="LINEAR"),$M1135,IF(AND($N1135="VCA",$Q1135="PREDIAL"),0,0)))</f>
        <v>144.07</v>
      </c>
      <c r="AN1135" s="153" t="n">
        <f aca="false">ROUND(IF(AND($N1135="VCA",$M1135&lt;&gt;"",$Q1135="LINEAR"),$M1135/100,IF(AND($N1135="MND",$M1135&gt;100,$Q1135="EMBOQUE"),$M1135/100,0)),0)</f>
        <v>1</v>
      </c>
      <c r="AO1135" s="153" t="n">
        <f aca="false">IF(AND($N1135="MND",$Q1135="EMBOQUE"),$AN1135*2*2,IF(AND($N1135="VCA",$Q1135="LINEAR"),$M1135*2,IF(AND($N1135="VCA",$Q1135="PREDIAL"),0,0)))</f>
        <v>288.14</v>
      </c>
      <c r="AP1135" s="153" t="n">
        <f aca="false">IFERROR($M1135*$AF1135*$AG1135,0)</f>
        <v>127.6388165</v>
      </c>
      <c r="AQ1135" s="153" t="n">
        <f aca="false">IFERROR(IF(AND($N1135="VCA",$AH1135&gt;0),$M1135*$AG1135*$AH1135,0),0)</f>
        <v>9.36455</v>
      </c>
      <c r="AR1135" s="153" t="n">
        <f aca="false">IFERROR(IF(AND($N1135="VCA",$AJ1135&gt;0),($M1135*$AG1135*$AJ1135)-$AI1135,0),0)</f>
        <v>33.5442149681127</v>
      </c>
      <c r="AS1135" s="153" t="n">
        <f aca="false">IFERROR(IF(AND($N1135="VCA",$AP1135&gt;0),$AP1135-$AI1135-$AQ1135-$AR1135,0),0)</f>
        <v>84.28095</v>
      </c>
      <c r="AT1135" s="153" t="n">
        <f aca="false">IFERROR(IF($N1135="VCA",INDEX(APOIO_REDES!$A:$W,MATCH($C1135&amp;$I1135&amp;$H1135&amp;$N1135&amp;$O1135,APOIO_REDES!$W:$W,0),MATCH(AT$5,APOIO_REDES!$5:$5,0)),0)*$AP1135,0)</f>
        <v>1.38874810268125</v>
      </c>
      <c r="AU1135" s="153" t="n">
        <f aca="false">IFERROR(IF($N1135="VCA",INDEX(APOIO_REDES!$A:$W,MATCH($C1135&amp;$I1135&amp;$H1135&amp;$N1135&amp;$O1135,APOIO_REDES!$W:$W,0),MATCH(AU$5,APOIO_REDES!$5:$5,0)),0)*$AP1135,0)</f>
        <v>1.10901662273265</v>
      </c>
      <c r="AV1135" s="153" t="n">
        <f aca="false">IFERROR(IF($N1135="VCA",INDEX(APOIO_REDES!$A:$W,MATCH($C1135&amp;$I1135&amp;$H1135&amp;$N1135&amp;$O1135,APOIO_REDES!$W:$W,0),MATCH(AV$5,APOIO_REDES!$5:$5,0)),0)*$AP1135,0)</f>
        <v>0.153479194464359</v>
      </c>
      <c r="AW1135" s="153" t="n">
        <f aca="false">IFERROR(IF($N1135="VCA",INDEX(APOIO_REDES!$A:$W,MATCH($C1135&amp;$I1135&amp;$H1135&amp;$N1135&amp;$O1135,APOIO_REDES!$W:$W,0),MATCH(AW$5,APOIO_REDES!$5:$5,0)),0)*$AP1135,0)</f>
        <v>87.6122726394108</v>
      </c>
      <c r="AX1135" s="153" t="n">
        <f aca="false">IFERROR(IF($N1135="VCA",INDEX(APOIO_REDES!$A:$W,MATCH($C1135&amp;$I1135&amp;$H1135&amp;$N1135&amp;$O1135,APOIO_REDES!$W:$W,0),MATCH(AX$5,APOIO_REDES!$5:$5,0)),0)*$AP1135,0)</f>
        <v>12.1252889650118</v>
      </c>
      <c r="AY1135" s="153" t="n">
        <f aca="false">IFERROR(IF($N1135="VCA",INDEX(APOIO_REDES!$A:$W,MATCH($C1135&amp;$I1135&amp;$H1135&amp;$N1135&amp;$O1135,APOIO_REDES!$W:$W,0),MATCH(AY$5,APOIO_REDES!$5:$5,0)),0)*$AP1135,0)</f>
        <v>22.1803189358302</v>
      </c>
      <c r="AZ1135" s="153" t="n">
        <f aca="false">IFERROR(IF($N1135="VCA",INDEX(APOIO_REDES!$A:$W,MATCH($C1135&amp;$I1135&amp;$H1135&amp;$N1135&amp;$O1135,APOIO_REDES!$W:$W,0),MATCH(AZ$5,APOIO_REDES!$5:$5,0)),0)*$AP1135,0)</f>
        <v>3.06969203986903</v>
      </c>
      <c r="BA1135" s="153" t="n">
        <f aca="false">IFERROR(IF(AND($N1135="VCA",$Q1135="LINEAR"),INDEX(APOIO_REDES!$A:$W,MATCH($C1135&amp;$I1135&amp;$H1135&amp;$N1135&amp;$O1135,APOIO_REDES!$W:$W,0),MATCH(BA$5,APOIO_REDES!$5:$5,0)),IF(AND($N1135="MND",$Q1135="EMBOQUE"),INDEX(APOIO_REDES!$A:$W,MATCH($C1135&amp;$I1135&amp;$H1135&amp;$N1135&amp;$O1135,APOIO_REDES!$W:$W,0),MATCH(BA$5,APOIO_REDES!$5:$5,0)),0))*$M1135/10,0)</f>
        <v>11.6116785949189</v>
      </c>
      <c r="BB1135" s="153" t="n">
        <f aca="false">IFERROR(IF($N1135="VCA",INDEX(APOIO_REDES!$A:$W,MATCH($C1135&amp;$I1135&amp;$H1135&amp;$N1135&amp;$O1135,APOIO_REDES!$W:$W,0),MATCH(BB$5,APOIO_REDES!$5:$5,0)),0)*($AI1135+$AQ1135+$AR1135),0)</f>
        <v>42.8861200792066</v>
      </c>
      <c r="BC1135" s="153" t="n">
        <f aca="false">IFERROR(IF($N1135="VCA",INDEX(APOIO_REDES!$A:$W,MATCH($C1135&amp;$I1135&amp;$H1135&amp;$N1135&amp;$O1135,APOIO_REDES!$W:$W,0),MATCH(BC$5,APOIO_REDES!$5:$5,0)),0)*($AI1135+$AQ1135+$AR1135),0)</f>
        <v>0.471746420793411</v>
      </c>
      <c r="BD1135" s="153" t="n">
        <f aca="false">IF(AND($N1135="VCA",$AF1135&gt;=1.25,$AF1135&lt;1.5),$M1135*$AF1135*2,0)</f>
        <v>392.73482</v>
      </c>
      <c r="BE1135" s="153" t="n">
        <f aca="false">IF(AND($N1135="VCA",$AF1135&gt;=1.5,$AF1135&lt;3),$M1135*$AF1135*2,0)</f>
        <v>0</v>
      </c>
      <c r="BF1135" s="153" t="n">
        <f aca="false">IF(AND($N1135="VCA",$AF1135&gt;=3),$M1135*$AF1135*2,0)</f>
        <v>0</v>
      </c>
      <c r="BG1135" s="153" t="n">
        <f aca="false">($BB1135+$BC1135)*$AK1135</f>
        <v>173.431466</v>
      </c>
      <c r="BH1135" s="153" t="n">
        <f aca="false">IF(AND($M1135&lt;&gt;"",$N1135="VCA",$Q1135="LINEAR"),($M1135*2)/100,IF(AND($M1135&lt;&gt;"",$N1135="MND",$Q1135="EMBOQUE"),($AN1135*2)/100,0))</f>
        <v>2.8814</v>
      </c>
      <c r="BI1135" s="153" t="n">
        <f aca="false">IF(AND($M1135&lt;&gt;"",$N1135="VCA",$Q1135="LINEAR"),$M1135,IF(AND($M1135&lt;&gt;"",$N1135="MND",$Q1135="EMBOQUE"),$AN1135*2,0))</f>
        <v>144.07</v>
      </c>
      <c r="BJ1135" s="153" t="n">
        <f aca="false">IF(AND($M1135&lt;&gt;"",$N1135="VCA",$Q1135="LINEAR"),($M1135*6.8)/100,IF(AND($M1135&lt;&gt;"",$N1135="MND",$Q1135="EMBOQUE"),($AN1135*2*6.8)/100,0))</f>
        <v>9.79676</v>
      </c>
      <c r="BK1135" s="153" t="n">
        <f aca="false">IF(AND($M1135&lt;&gt;"",$N1135="VCA",$Q1135="LINEAR"),($M1135*2.5)/50,IF(AND($M1135&lt;&gt;"",$N1135="MND",$Q1135="EMBOQUE"),($AN1135*2*2.5)/50,0))</f>
        <v>7.2035</v>
      </c>
      <c r="BL1135" s="157" t="str">
        <f aca="false">K1135&amp;J1135</f>
        <v>Zona10REDES</v>
      </c>
      <c r="BM1135" s="152" t="s">
        <v>5703</v>
      </c>
      <c r="BN1135" s="152" t="s">
        <v>1560</v>
      </c>
      <c r="BO1135" s="152" t="s">
        <v>3688</v>
      </c>
      <c r="BP1135" s="152" t="s">
        <v>5796</v>
      </c>
      <c r="BQ1135" s="152" t="s">
        <v>5856</v>
      </c>
      <c r="BR1135" s="152" t="s">
        <v>5857</v>
      </c>
      <c r="BS1135" s="152" t="n">
        <v>203241.409</v>
      </c>
      <c r="BT1135" s="152" t="n">
        <v>8237262.047</v>
      </c>
      <c r="BU1135" s="152" t="n">
        <v>203169.462</v>
      </c>
      <c r="BV1135" s="152" t="n">
        <v>8237137.251</v>
      </c>
      <c r="BW1135" s="152" t="n">
        <v>-15.9267172</v>
      </c>
      <c r="BX1135" s="152" t="n">
        <v>-47.7720626</v>
      </c>
      <c r="BY1135" s="152" t="s">
        <v>5796</v>
      </c>
    </row>
    <row r="1136" customFormat="false" ht="13.8" hidden="false" customHeight="false" outlineLevel="0" collapsed="false">
      <c r="A1136" s="149" t="n">
        <f aca="false">IF(C1136&lt;&gt;"",ROW(A1131),"")</f>
        <v>1131</v>
      </c>
      <c r="B1136" s="150" t="str">
        <f aca="false">HYPERLINK("https://www.google.com/maps/dir/-15.917302,-47.760003/-15.9269979,-47.7727963/data=!4m3!4m2!3e0!5i2")</f>
        <v>https://www.google.com/maps/dir/-15.917302,-47.760003/-15.9269979,-47.7727963/data=!4m3!4m2!3e0!5i2</v>
      </c>
      <c r="C1136" s="151" t="s">
        <v>117</v>
      </c>
      <c r="D1136" s="152" t="s">
        <v>112</v>
      </c>
      <c r="E1136" s="152" t="s">
        <v>113</v>
      </c>
      <c r="F1136" s="152" t="s">
        <v>117</v>
      </c>
      <c r="G1136" s="152" t="s">
        <v>782</v>
      </c>
      <c r="H1136" s="152" t="n">
        <v>63</v>
      </c>
      <c r="I1136" s="152" t="s">
        <v>115</v>
      </c>
      <c r="J1136" s="152" t="s">
        <v>6</v>
      </c>
      <c r="K1136" s="152" t="s">
        <v>5700</v>
      </c>
      <c r="L1136" s="152" t="s">
        <v>120</v>
      </c>
      <c r="M1136" s="153" t="n">
        <f aca="false">76.15+4</f>
        <v>80.15</v>
      </c>
      <c r="N1136" s="152" t="s">
        <v>1548</v>
      </c>
      <c r="O1136" s="152" t="s">
        <v>1549</v>
      </c>
      <c r="P1136" s="152" t="s">
        <v>1550</v>
      </c>
      <c r="Q1136" s="152" t="s">
        <v>1551</v>
      </c>
      <c r="R1136" s="154" t="s">
        <v>5858</v>
      </c>
      <c r="S1136" s="154" t="s">
        <v>1553</v>
      </c>
      <c r="T1136" s="155" t="s">
        <v>3685</v>
      </c>
      <c r="U1136" s="152" t="str">
        <f aca="false">RIGHT(T1136,7)</f>
        <v>012/037</v>
      </c>
      <c r="V1136" s="152" t="s">
        <v>1555</v>
      </c>
      <c r="W1136" s="156" t="n">
        <v>45882</v>
      </c>
      <c r="X1136" s="152" t="s">
        <v>1594</v>
      </c>
      <c r="Y1136" s="152" t="s">
        <v>3516</v>
      </c>
      <c r="Z1136" s="152" t="s">
        <v>1557</v>
      </c>
      <c r="AA1136" s="153" t="n">
        <v>3.8</v>
      </c>
      <c r="AB1136" s="151" t="s">
        <v>5859</v>
      </c>
      <c r="AC1136" s="151" t="s">
        <v>186</v>
      </c>
      <c r="AD1136" s="151" t="str">
        <f aca="false">CONCATENATE($C1136,$I1136,$H1136,$N1136,$J1136,$K1136)</f>
        <v>TUBO PEADPEAD63VCAREDESZona10</v>
      </c>
      <c r="AE1136" s="153" t="n">
        <f aca="false">IFERROR(INDEX(APOIO_REDES!$A:$W,MATCH($C1136&amp;$I1136&amp;$H1136&amp;$N1136&amp;$O1136,APOIO_REDES!$W:$W,0),MATCH(AE$5,APOIO_REDES!$5:$5,0)),0)</f>
        <v>1.2</v>
      </c>
      <c r="AF1136" s="153" t="n">
        <f aca="false">IFERROR(INDEX(APOIO_REDES!$A:$W,MATCH($C1136&amp;$I1136&amp;$H1136&amp;$N1136&amp;$O1136,APOIO_REDES!$W:$W,0),MATCH(AF$5,APOIO_REDES!$5:$5,0)),0)</f>
        <v>1.363</v>
      </c>
      <c r="AG1136" s="153" t="n">
        <f aca="false">IFERROR(INDEX(APOIO_REDES!$A:$W,MATCH($C1136&amp;$I1136&amp;$H1136&amp;$N1136&amp;$O1136,APOIO_REDES!$W:$W,0),MATCH(AG$5,APOIO_REDES!$5:$5,0)),0)</f>
        <v>0.65</v>
      </c>
      <c r="AH1136" s="153" t="n">
        <f aca="false">IFERROR(INDEX(APOIO_REDES!$A:$W,MATCH($C1136&amp;$I1136&amp;$H1136&amp;$N1136&amp;$O1136,APOIO_REDES!$W:$W,0),MATCH(AH$5,APOIO_REDES!$5:$5,0)),0)</f>
        <v>0.1</v>
      </c>
      <c r="AI1136" s="153" t="n">
        <f aca="false">IFERROR(IF($H1136&lt;&gt;"",(((($H1136/1000)/2)^2)*PI()*$M1136),0),0)</f>
        <v>0.249847211638536</v>
      </c>
      <c r="AJ1136" s="153" t="n">
        <f aca="false">IFERROR(IF(AND($H1136&lt;&gt;"",$I1136="FoFo",OR($N1136="MND",$N1136="VCA"),$Q1136="LINEAR"),0,IF(AND($H1136&lt;&gt;"",$I1136="PEAD",$N1136="VCA",$Q1136="LINEAR"),($H1136/1000)+0.3,IF(AND($H1136&lt;&gt;"",$I1136="PEAD",$N1136="MND",$Q1136="EMBOQUE"),0,IF(AND($H1136&lt;&gt;"",$I1136="PVC",$N1136="VCA",$Q1136="LINEAR"),($H1136/1000)+0.2,IF(AND($H1136&lt;&gt;"",$I1136="PVC",$N1136="MND",$Q1136="EMBOQUE"),0,IF(AND($H1136&lt;&gt;"",$I1136="PEAD",$N1136="VCA",$Q1136="PREDIAL"),0,0)))))),0)</f>
        <v>0.363</v>
      </c>
      <c r="AK1136" s="153" t="n">
        <f aca="false">IF(AA1136&lt;&gt;"",AA1136,0)</f>
        <v>3.8</v>
      </c>
      <c r="AL1136" s="153" t="n">
        <f aca="false">IF(AND($N1136="MND",$Q1136="EMBOQUE"),$M1136,IF(AND($N1136="VCA",$Q1136="LINEAR"),$M1136,IF(AND($N1136="VCA",$Q1136="PREDIAL"),0,0)))</f>
        <v>80.15</v>
      </c>
      <c r="AM1136" s="153" t="n">
        <f aca="false">IF(AND($N1136="MND",$Q1136="EMBOQUE"),$M1136,IF(AND($N1136="VCA",$Q1136="LINEAR"),$M1136,IF(AND($N1136="VCA",$Q1136="PREDIAL"),0,0)))</f>
        <v>80.15</v>
      </c>
      <c r="AN1136" s="153" t="n">
        <f aca="false">ROUND(IF(AND($N1136="VCA",$M1136&lt;&gt;"",$Q1136="LINEAR"),$M1136/100,IF(AND($N1136="MND",$M1136&gt;100,$Q1136="EMBOQUE"),$M1136/100,0)),0)</f>
        <v>1</v>
      </c>
      <c r="AO1136" s="153" t="n">
        <f aca="false">IF(AND($N1136="MND",$Q1136="EMBOQUE"),$AN1136*2*2,IF(AND($N1136="VCA",$Q1136="LINEAR"),$M1136*2,IF(AND($N1136="VCA",$Q1136="PREDIAL"),0,0)))</f>
        <v>160.3</v>
      </c>
      <c r="AP1136" s="153" t="n">
        <f aca="false">IFERROR($M1136*$AF1136*$AG1136,0)</f>
        <v>71.0088925</v>
      </c>
      <c r="AQ1136" s="153" t="n">
        <f aca="false">IFERROR(IF(AND($N1136="VCA",$AH1136&gt;0),$M1136*$AG1136*$AH1136,0),0)</f>
        <v>5.20975</v>
      </c>
      <c r="AR1136" s="153" t="n">
        <f aca="false">IFERROR(IF(AND($N1136="VCA",$AJ1136&gt;0),($M1136*$AG1136*$AJ1136)-$AI1136,0),0)</f>
        <v>18.6615452883615</v>
      </c>
      <c r="AS1136" s="153" t="n">
        <f aca="false">IFERROR(IF(AND($N1136="VCA",$AP1136&gt;0),$AP1136-$AI1136-$AQ1136-$AR1136,0),0)</f>
        <v>46.88775</v>
      </c>
      <c r="AT1136" s="153" t="n">
        <f aca="false">IFERROR(IF($N1136="VCA",INDEX(APOIO_REDES!$A:$W,MATCH($C1136&amp;$I1136&amp;$H1136&amp;$N1136&amp;$O1136,APOIO_REDES!$W:$W,0),MATCH(AT$5,APOIO_REDES!$5:$5,0)),0)*$AP1136,0)</f>
        <v>0.772597767959341</v>
      </c>
      <c r="AU1136" s="153" t="n">
        <f aca="false">IFERROR(IF($N1136="VCA",INDEX(APOIO_REDES!$A:$W,MATCH($C1136&amp;$I1136&amp;$H1136&amp;$N1136&amp;$O1136,APOIO_REDES!$W:$W,0),MATCH(AU$5,APOIO_REDES!$5:$5,0)),0)*$AP1136,0)</f>
        <v>0.616975652891105</v>
      </c>
      <c r="AV1136" s="153" t="n">
        <f aca="false">IFERROR(IF($N1136="VCA",INDEX(APOIO_REDES!$A:$W,MATCH($C1136&amp;$I1136&amp;$H1136&amp;$N1136&amp;$O1136,APOIO_REDES!$W:$W,0),MATCH(AV$5,APOIO_REDES!$5:$5,0)),0)*$AP1136,0)</f>
        <v>0.0853845869113514</v>
      </c>
      <c r="AW1136" s="153" t="n">
        <f aca="false">IFERROR(IF($N1136="VCA",INDEX(APOIO_REDES!$A:$W,MATCH($C1136&amp;$I1136&amp;$H1136&amp;$N1136&amp;$O1136,APOIO_REDES!$W:$W,0),MATCH(AW$5,APOIO_REDES!$5:$5,0)),0)*$AP1136,0)</f>
        <v>48.7410540157477</v>
      </c>
      <c r="AX1136" s="153" t="n">
        <f aca="false">IFERROR(IF($N1136="VCA",INDEX(APOIO_REDES!$A:$W,MATCH($C1136&amp;$I1136&amp;$H1136&amp;$N1136&amp;$O1136,APOIO_REDES!$W:$W,0),MATCH(AX$5,APOIO_REDES!$5:$5,0)),0)*$AP1136,0)</f>
        <v>6.745623034259</v>
      </c>
      <c r="AY1136" s="153" t="n">
        <f aca="false">IFERROR(IF($N1136="VCA",INDEX(APOIO_REDES!$A:$W,MATCH($C1136&amp;$I1136&amp;$H1136&amp;$N1136&amp;$O1136,APOIO_REDES!$W:$W,0),MATCH(AY$5,APOIO_REDES!$5:$5,0)),0)*$AP1136,0)</f>
        <v>12.3395055369389</v>
      </c>
      <c r="AZ1136" s="153" t="n">
        <f aca="false">IFERROR(IF($N1136="VCA",INDEX(APOIO_REDES!$A:$W,MATCH($C1136&amp;$I1136&amp;$H1136&amp;$N1136&amp;$O1136,APOIO_REDES!$W:$W,0),MATCH(AZ$5,APOIO_REDES!$5:$5,0)),0)*$AP1136,0)</f>
        <v>1.70775190529259</v>
      </c>
      <c r="BA1136" s="153" t="n">
        <f aca="false">IFERROR(IF(AND($N1136="VCA",$Q1136="LINEAR"),INDEX(APOIO_REDES!$A:$W,MATCH($C1136&amp;$I1136&amp;$H1136&amp;$N1136&amp;$O1136,APOIO_REDES!$W:$W,0),MATCH(BA$5,APOIO_REDES!$5:$5,0)),IF(AND($N1136="MND",$Q1136="EMBOQUE"),INDEX(APOIO_REDES!$A:$W,MATCH($C1136&amp;$I1136&amp;$H1136&amp;$N1136&amp;$O1136,APOIO_REDES!$W:$W,0),MATCH(BA$5,APOIO_REDES!$5:$5,0)),0))*$M1136/10,0)</f>
        <v>6.45988782801939</v>
      </c>
      <c r="BB1136" s="153" t="n">
        <f aca="false">IFERROR(IF($N1136="VCA",INDEX(APOIO_REDES!$A:$W,MATCH($C1136&amp;$I1136&amp;$H1136&amp;$N1136&amp;$O1136,APOIO_REDES!$W:$W,0),MATCH(BB$5,APOIO_REDES!$5:$5,0)),0)*($AI1136+$AQ1136+$AR1136),0)</f>
        <v>23.8586973301063</v>
      </c>
      <c r="BC1136" s="153" t="n">
        <f aca="false">IFERROR(IF($N1136="VCA",INDEX(APOIO_REDES!$A:$W,MATCH($C1136&amp;$I1136&amp;$H1136&amp;$N1136&amp;$O1136,APOIO_REDES!$W:$W,0),MATCH(BC$5,APOIO_REDES!$5:$5,0)),0)*($AI1136+$AQ1136+$AR1136),0)</f>
        <v>0.262445169893745</v>
      </c>
      <c r="BD1136" s="153" t="n">
        <f aca="false">IF(AND($N1136="VCA",$AF1136&gt;=1.25,$AF1136&lt;1.5),$M1136*$AF1136*2,0)</f>
        <v>218.4889</v>
      </c>
      <c r="BE1136" s="153" t="n">
        <f aca="false">IF(AND($N1136="VCA",$AF1136&gt;=1.5,$AF1136&lt;3),$M1136*$AF1136*2,0)</f>
        <v>0</v>
      </c>
      <c r="BF1136" s="153" t="n">
        <f aca="false">IF(AND($N1136="VCA",$AF1136&gt;=3),$M1136*$AF1136*2,0)</f>
        <v>0</v>
      </c>
      <c r="BG1136" s="153" t="n">
        <f aca="false">($BB1136+$BC1136)*$AK1136</f>
        <v>91.6603415</v>
      </c>
      <c r="BH1136" s="153" t="n">
        <f aca="false">IF(AND($M1136&lt;&gt;"",$N1136="VCA",$Q1136="LINEAR"),($M1136*2)/100,IF(AND($M1136&lt;&gt;"",$N1136="MND",$Q1136="EMBOQUE"),($AN1136*2)/100,0))</f>
        <v>1.603</v>
      </c>
      <c r="BI1136" s="153" t="n">
        <f aca="false">IF(AND($M1136&lt;&gt;"",$N1136="VCA",$Q1136="LINEAR"),$M1136,IF(AND($M1136&lt;&gt;"",$N1136="MND",$Q1136="EMBOQUE"),$AN1136*2,0))</f>
        <v>80.15</v>
      </c>
      <c r="BJ1136" s="153" t="n">
        <f aca="false">IF(AND($M1136&lt;&gt;"",$N1136="VCA",$Q1136="LINEAR"),($M1136*6.8)/100,IF(AND($M1136&lt;&gt;"",$N1136="MND",$Q1136="EMBOQUE"),($AN1136*2*6.8)/100,0))</f>
        <v>5.4502</v>
      </c>
      <c r="BK1136" s="153" t="n">
        <f aca="false">IF(AND($M1136&lt;&gt;"",$N1136="VCA",$Q1136="LINEAR"),($M1136*2.5)/50,IF(AND($M1136&lt;&gt;"",$N1136="MND",$Q1136="EMBOQUE"),($AN1136*2*2.5)/50,0))</f>
        <v>4.0075</v>
      </c>
      <c r="BL1136" s="157" t="str">
        <f aca="false">K1136&amp;J1136</f>
        <v>Zona10REDES</v>
      </c>
      <c r="BM1136" s="152" t="s">
        <v>5703</v>
      </c>
      <c r="BN1136" s="152" t="s">
        <v>1560</v>
      </c>
      <c r="BO1136" s="152" t="s">
        <v>3688</v>
      </c>
      <c r="BP1136" s="152" t="s">
        <v>5764</v>
      </c>
      <c r="BQ1136" s="152" t="s">
        <v>5860</v>
      </c>
      <c r="BR1136" s="152" t="s">
        <v>5861</v>
      </c>
      <c r="BS1136" s="152" t="n">
        <v>203127.584</v>
      </c>
      <c r="BT1136" s="152" t="n">
        <v>8237167.336</v>
      </c>
      <c r="BU1136" s="152" t="n">
        <v>203167.169</v>
      </c>
      <c r="BV1136" s="152" t="n">
        <v>8237232.276</v>
      </c>
      <c r="BW1136" s="152" t="n">
        <v>-15.9267117</v>
      </c>
      <c r="BX1136" s="152" t="n">
        <v>-47.7726006</v>
      </c>
      <c r="BY1136" s="152" t="s">
        <v>5764</v>
      </c>
    </row>
    <row r="1137" customFormat="false" ht="13.8" hidden="false" customHeight="false" outlineLevel="0" collapsed="false">
      <c r="A1137" s="149" t="n">
        <f aca="false">IF(C1137&lt;&gt;"",ROW(A1132),"")</f>
        <v>1132</v>
      </c>
      <c r="B1137" s="150" t="str">
        <f aca="false">HYPERLINK("https://www.google.com/maps/dir/-15.917302,-47.760003/-15.9271222,-47.7700041/data=!4m3!4m2!3e0!5i1")</f>
        <v>https://www.google.com/maps/dir/-15.917302,-47.760003/-15.9271222,-47.7700041/data=!4m3!4m2!3e0!5i1</v>
      </c>
      <c r="C1137" s="151" t="s">
        <v>117</v>
      </c>
      <c r="D1137" s="152" t="s">
        <v>112</v>
      </c>
      <c r="E1137" s="152" t="s">
        <v>113</v>
      </c>
      <c r="F1137" s="152" t="s">
        <v>117</v>
      </c>
      <c r="G1137" s="152" t="s">
        <v>782</v>
      </c>
      <c r="H1137" s="152" t="n">
        <v>63</v>
      </c>
      <c r="I1137" s="152" t="s">
        <v>115</v>
      </c>
      <c r="J1137" s="152" t="s">
        <v>6</v>
      </c>
      <c r="K1137" s="152" t="s">
        <v>5700</v>
      </c>
      <c r="L1137" s="152" t="s">
        <v>120</v>
      </c>
      <c r="M1137" s="153" t="n">
        <f aca="false">89.9</f>
        <v>89.9</v>
      </c>
      <c r="N1137" s="152" t="s">
        <v>1548</v>
      </c>
      <c r="O1137" s="152" t="s">
        <v>1549</v>
      </c>
      <c r="P1137" s="152" t="s">
        <v>1550</v>
      </c>
      <c r="Q1137" s="152" t="s">
        <v>1551</v>
      </c>
      <c r="R1137" s="154" t="s">
        <v>5862</v>
      </c>
      <c r="S1137" s="154" t="s">
        <v>1553</v>
      </c>
      <c r="T1137" s="155" t="s">
        <v>3685</v>
      </c>
      <c r="U1137" s="152" t="str">
        <f aca="false">RIGHT(T1137,7)</f>
        <v>012/037</v>
      </c>
      <c r="V1137" s="152" t="s">
        <v>1555</v>
      </c>
      <c r="W1137" s="156" t="n">
        <v>45882</v>
      </c>
      <c r="X1137" s="152" t="s">
        <v>1594</v>
      </c>
      <c r="Y1137" s="152" t="s">
        <v>2400</v>
      </c>
      <c r="Z1137" s="152" t="s">
        <v>1557</v>
      </c>
      <c r="AA1137" s="153" t="n">
        <v>3</v>
      </c>
      <c r="AB1137" s="151" t="s">
        <v>5863</v>
      </c>
      <c r="AC1137" s="151" t="s">
        <v>186</v>
      </c>
      <c r="AD1137" s="151" t="str">
        <f aca="false">CONCATENATE($C1137,$I1137,$H1137,$N1137,$J1137,$K1137)</f>
        <v>TUBO PEADPEAD63VCAREDESZona10</v>
      </c>
      <c r="AE1137" s="153" t="n">
        <f aca="false">IFERROR(INDEX(APOIO_REDES!$A:$W,MATCH($C1137&amp;$I1137&amp;$H1137&amp;$N1137&amp;$O1137,APOIO_REDES!$W:$W,0),MATCH(AE$5,APOIO_REDES!$5:$5,0)),0)</f>
        <v>1.2</v>
      </c>
      <c r="AF1137" s="153" t="n">
        <f aca="false">IFERROR(INDEX(APOIO_REDES!$A:$W,MATCH($C1137&amp;$I1137&amp;$H1137&amp;$N1137&amp;$O1137,APOIO_REDES!$W:$W,0),MATCH(AF$5,APOIO_REDES!$5:$5,0)),0)</f>
        <v>1.363</v>
      </c>
      <c r="AG1137" s="153" t="n">
        <f aca="false">IFERROR(INDEX(APOIO_REDES!$A:$W,MATCH($C1137&amp;$I1137&amp;$H1137&amp;$N1137&amp;$O1137,APOIO_REDES!$W:$W,0),MATCH(AG$5,APOIO_REDES!$5:$5,0)),0)</f>
        <v>0.65</v>
      </c>
      <c r="AH1137" s="153" t="n">
        <f aca="false">IFERROR(INDEX(APOIO_REDES!$A:$W,MATCH($C1137&amp;$I1137&amp;$H1137&amp;$N1137&amp;$O1137,APOIO_REDES!$W:$W,0),MATCH(AH$5,APOIO_REDES!$5:$5,0)),0)</f>
        <v>0.1</v>
      </c>
      <c r="AI1137" s="153" t="n">
        <f aca="false">IFERROR(IF($H1137&lt;&gt;"",(((($H1137/1000)/2)^2)*PI()*$M1137),0),0)</f>
        <v>0.28024035341615</v>
      </c>
      <c r="AJ1137" s="153" t="n">
        <f aca="false">IFERROR(IF(AND($H1137&lt;&gt;"",$I1137="FoFo",OR($N1137="MND",$N1137="VCA"),$Q1137="LINEAR"),0,IF(AND($H1137&lt;&gt;"",$I1137="PEAD",$N1137="VCA",$Q1137="LINEAR"),($H1137/1000)+0.3,IF(AND($H1137&lt;&gt;"",$I1137="PEAD",$N1137="MND",$Q1137="EMBOQUE"),0,IF(AND($H1137&lt;&gt;"",$I1137="PVC",$N1137="VCA",$Q1137="LINEAR"),($H1137/1000)+0.2,IF(AND($H1137&lt;&gt;"",$I1137="PVC",$N1137="MND",$Q1137="EMBOQUE"),0,IF(AND($H1137&lt;&gt;"",$I1137="PEAD",$N1137="VCA",$Q1137="PREDIAL"),0,0)))))),0)</f>
        <v>0.363</v>
      </c>
      <c r="AK1137" s="153" t="n">
        <f aca="false">IF(AA1137&lt;&gt;"",AA1137,0)</f>
        <v>3</v>
      </c>
      <c r="AL1137" s="153" t="n">
        <f aca="false">IF(AND($N1137="MND",$Q1137="EMBOQUE"),$M1137,IF(AND($N1137="VCA",$Q1137="LINEAR"),$M1137,IF(AND($N1137="VCA",$Q1137="PREDIAL"),0,0)))</f>
        <v>89.9</v>
      </c>
      <c r="AM1137" s="153" t="n">
        <f aca="false">IF(AND($N1137="MND",$Q1137="EMBOQUE"),$M1137,IF(AND($N1137="VCA",$Q1137="LINEAR"),$M1137,IF(AND($N1137="VCA",$Q1137="PREDIAL"),0,0)))</f>
        <v>89.9</v>
      </c>
      <c r="AN1137" s="153" t="n">
        <f aca="false">ROUND(IF(AND($N1137="VCA",$M1137&lt;&gt;"",$Q1137="LINEAR"),$M1137/100,IF(AND($N1137="MND",$M1137&gt;100,$Q1137="EMBOQUE"),$M1137/100,0)),0)</f>
        <v>1</v>
      </c>
      <c r="AO1137" s="153" t="n">
        <f aca="false">IF(AND($N1137="MND",$Q1137="EMBOQUE"),$AN1137*2*2,IF(AND($N1137="VCA",$Q1137="LINEAR"),$M1137*2,IF(AND($N1137="VCA",$Q1137="PREDIAL"),0,0)))</f>
        <v>179.8</v>
      </c>
      <c r="AP1137" s="153" t="n">
        <f aca="false">IFERROR($M1137*$AF1137*$AG1137,0)</f>
        <v>79.646905</v>
      </c>
      <c r="AQ1137" s="153" t="n">
        <f aca="false">IFERROR(IF(AND($N1137="VCA",$AH1137&gt;0),$M1137*$AG1137*$AH1137,0),0)</f>
        <v>5.8435</v>
      </c>
      <c r="AR1137" s="153" t="n">
        <f aca="false">IFERROR(IF(AND($N1137="VCA",$AJ1137&gt;0),($M1137*$AG1137*$AJ1137)-$AI1137,0),0)</f>
        <v>20.9316646465839</v>
      </c>
      <c r="AS1137" s="153" t="n">
        <f aca="false">IFERROR(IF(AND($N1137="VCA",$AP1137&gt;0),$AP1137-$AI1137-$AQ1137-$AR1137,0),0)</f>
        <v>52.5915</v>
      </c>
      <c r="AT1137" s="153" t="n">
        <f aca="false">IFERROR(IF($N1137="VCA",INDEX(APOIO_REDES!$A:$W,MATCH($C1137&amp;$I1137&amp;$H1137&amp;$N1137&amp;$O1137,APOIO_REDES!$W:$W,0),MATCH(AT$5,APOIO_REDES!$5:$5,0)),0)*$AP1137,0)</f>
        <v>0.866581900680534</v>
      </c>
      <c r="AU1137" s="153" t="n">
        <f aca="false">IFERROR(IF($N1137="VCA",INDEX(APOIO_REDES!$A:$W,MATCH($C1137&amp;$I1137&amp;$H1137&amp;$N1137&amp;$O1137,APOIO_REDES!$W:$W,0),MATCH(AU$5,APOIO_REDES!$5:$5,0)),0)*$AP1137,0)</f>
        <v>0.692028835869125</v>
      </c>
      <c r="AV1137" s="153" t="n">
        <f aca="false">IFERROR(IF($N1137="VCA",INDEX(APOIO_REDES!$A:$W,MATCH($C1137&amp;$I1137&amp;$H1137&amp;$N1137&amp;$O1137,APOIO_REDES!$W:$W,0),MATCH(AV$5,APOIO_REDES!$5:$5,0)),0)*$AP1137,0)</f>
        <v>0.0957713582449219</v>
      </c>
      <c r="AW1137" s="153" t="n">
        <f aca="false">IFERROR(IF($N1137="VCA",INDEX(APOIO_REDES!$A:$W,MATCH($C1137&amp;$I1137&amp;$H1137&amp;$N1137&amp;$O1137,APOIO_REDES!$W:$W,0),MATCH(AW$5,APOIO_REDES!$5:$5,0)),0)*$AP1137,0)</f>
        <v>54.6702527263346</v>
      </c>
      <c r="AX1137" s="153" t="n">
        <f aca="false">IFERROR(IF($N1137="VCA",INDEX(APOIO_REDES!$A:$W,MATCH($C1137&amp;$I1137&amp;$H1137&amp;$N1137&amp;$O1137,APOIO_REDES!$W:$W,0),MATCH(AX$5,APOIO_REDES!$5:$5,0)),0)*$AP1137,0)</f>
        <v>7.566207246162</v>
      </c>
      <c r="AY1137" s="153" t="n">
        <f aca="false">IFERROR(IF($N1137="VCA",INDEX(APOIO_REDES!$A:$W,MATCH($C1137&amp;$I1137&amp;$H1137&amp;$N1137&amp;$O1137,APOIO_REDES!$W:$W,0),MATCH(AY$5,APOIO_REDES!$5:$5,0)),0)*$AP1137,0)</f>
        <v>13.8405682816071</v>
      </c>
      <c r="AZ1137" s="153" t="n">
        <f aca="false">IFERROR(IF($N1137="VCA",INDEX(APOIO_REDES!$A:$W,MATCH($C1137&amp;$I1137&amp;$H1137&amp;$N1137&amp;$O1137,APOIO_REDES!$W:$W,0),MATCH(AZ$5,APOIO_REDES!$5:$5,0)),0)*$AP1137,0)</f>
        <v>1.91549465110173</v>
      </c>
      <c r="BA1137" s="153" t="n">
        <f aca="false">IFERROR(IF(AND($N1137="VCA",$Q1137="LINEAR"),INDEX(APOIO_REDES!$A:$W,MATCH($C1137&amp;$I1137&amp;$H1137&amp;$N1137&amp;$O1137,APOIO_REDES!$W:$W,0),MATCH(BA$5,APOIO_REDES!$5:$5,0)),IF(AND($N1137="MND",$Q1137="EMBOQUE"),INDEX(APOIO_REDES!$A:$W,MATCH($C1137&amp;$I1137&amp;$H1137&amp;$N1137&amp;$O1137,APOIO_REDES!$W:$W,0),MATCH(BA$5,APOIO_REDES!$5:$5,0)),0))*$M1137/10,0)</f>
        <v>7.24571323442225</v>
      </c>
      <c r="BB1137" s="153" t="n">
        <f aca="false">IFERROR(IF($N1137="VCA",INDEX(APOIO_REDES!$A:$W,MATCH($C1137&amp;$I1137&amp;$H1137&amp;$N1137&amp;$O1137,APOIO_REDES!$W:$W,0),MATCH(BB$5,APOIO_REDES!$5:$5,0)),0)*($AI1137+$AQ1137+$AR1137),0)</f>
        <v>26.7610341856089</v>
      </c>
      <c r="BC1137" s="153" t="n">
        <f aca="false">IFERROR(IF($N1137="VCA",INDEX(APOIO_REDES!$A:$W,MATCH($C1137&amp;$I1137&amp;$H1137&amp;$N1137&amp;$O1137,APOIO_REDES!$W:$W,0),MATCH(BC$5,APOIO_REDES!$5:$5,0)),0)*($AI1137+$AQ1137+$AR1137),0)</f>
        <v>0.294370814391113</v>
      </c>
      <c r="BD1137" s="153" t="n">
        <f aca="false">IF(AND($N1137="VCA",$AF1137&gt;=1.25,$AF1137&lt;1.5),$M1137*$AF1137*2,0)</f>
        <v>245.0674</v>
      </c>
      <c r="BE1137" s="153" t="n">
        <f aca="false">IF(AND($N1137="VCA",$AF1137&gt;=1.5,$AF1137&lt;3),$M1137*$AF1137*2,0)</f>
        <v>0</v>
      </c>
      <c r="BF1137" s="153" t="n">
        <f aca="false">IF(AND($N1137="VCA",$AF1137&gt;=3),$M1137*$AF1137*2,0)</f>
        <v>0</v>
      </c>
      <c r="BG1137" s="153" t="n">
        <f aca="false">($BB1137+$BC1137)*$AK1137</f>
        <v>81.166215</v>
      </c>
      <c r="BH1137" s="153" t="n">
        <f aca="false">IF(AND($M1137&lt;&gt;"",$N1137="VCA",$Q1137="LINEAR"),($M1137*2)/100,IF(AND($M1137&lt;&gt;"",$N1137="MND",$Q1137="EMBOQUE"),($AN1137*2)/100,0))</f>
        <v>1.798</v>
      </c>
      <c r="BI1137" s="153" t="n">
        <f aca="false">IF(AND($M1137&lt;&gt;"",$N1137="VCA",$Q1137="LINEAR"),$M1137,IF(AND($M1137&lt;&gt;"",$N1137="MND",$Q1137="EMBOQUE"),$AN1137*2,0))</f>
        <v>89.9</v>
      </c>
      <c r="BJ1137" s="153" t="n">
        <f aca="false">IF(AND($M1137&lt;&gt;"",$N1137="VCA",$Q1137="LINEAR"),($M1137*6.8)/100,IF(AND($M1137&lt;&gt;"",$N1137="MND",$Q1137="EMBOQUE"),($AN1137*2*6.8)/100,0))</f>
        <v>6.1132</v>
      </c>
      <c r="BK1137" s="153" t="n">
        <f aca="false">IF(AND($M1137&lt;&gt;"",$N1137="VCA",$Q1137="LINEAR"),($M1137*2.5)/50,IF(AND($M1137&lt;&gt;"",$N1137="MND",$Q1137="EMBOQUE"),($AN1137*2*2.5)/50,0))</f>
        <v>4.495</v>
      </c>
      <c r="BL1137" s="157" t="str">
        <f aca="false">K1137&amp;J1137</f>
        <v>Zona10REDES</v>
      </c>
      <c r="BM1137" s="152" t="s">
        <v>5703</v>
      </c>
      <c r="BN1137" s="152" t="s">
        <v>1560</v>
      </c>
      <c r="BO1137" s="152" t="s">
        <v>3688</v>
      </c>
      <c r="BP1137" s="152" t="s">
        <v>5864</v>
      </c>
      <c r="BQ1137" s="152" t="s">
        <v>5826</v>
      </c>
      <c r="BR1137" s="152" t="s">
        <v>5865</v>
      </c>
      <c r="BS1137" s="152" t="n">
        <v>203426.919</v>
      </c>
      <c r="BT1137" s="152" t="n">
        <v>8237157.546</v>
      </c>
      <c r="BU1137" s="152" t="n">
        <v>203471.832</v>
      </c>
      <c r="BV1137" s="152" t="n">
        <v>8237235.423</v>
      </c>
      <c r="BW1137" s="152" t="n">
        <v>-15.9267733</v>
      </c>
      <c r="BX1137" s="152" t="n">
        <v>-47.7697897</v>
      </c>
      <c r="BY1137" s="152" t="s">
        <v>5864</v>
      </c>
    </row>
    <row r="1138" customFormat="false" ht="13.8" hidden="false" customHeight="false" outlineLevel="0" collapsed="false">
      <c r="A1138" s="149" t="n">
        <f aca="false">IF(C1138&lt;&gt;"",ROW(A1133),"")</f>
        <v>1133</v>
      </c>
      <c r="B1138" s="150" t="str">
        <f aca="false">HYPERLINK("https://www.google.com/maps/dir/-15.917302,-47.760003/-15.9271570,-47.7683769/data=!4m3!4m2!3e0!5i2")</f>
        <v>https://www.google.com/maps/dir/-15.917302,-47.760003/-15.9271570,-47.7683769/data=!4m3!4m2!3e0!5i2</v>
      </c>
      <c r="C1138" s="151" t="s">
        <v>117</v>
      </c>
      <c r="D1138" s="152" t="s">
        <v>112</v>
      </c>
      <c r="E1138" s="152" t="s">
        <v>113</v>
      </c>
      <c r="F1138" s="152" t="s">
        <v>117</v>
      </c>
      <c r="G1138" s="152" t="s">
        <v>782</v>
      </c>
      <c r="H1138" s="152" t="n">
        <v>63</v>
      </c>
      <c r="I1138" s="152" t="s">
        <v>115</v>
      </c>
      <c r="J1138" s="152" t="s">
        <v>6</v>
      </c>
      <c r="K1138" s="152" t="s">
        <v>5700</v>
      </c>
      <c r="L1138" s="152" t="s">
        <v>120</v>
      </c>
      <c r="M1138" s="153" t="n">
        <f aca="false">58.24</f>
        <v>58.24</v>
      </c>
      <c r="N1138" s="152" t="s">
        <v>1548</v>
      </c>
      <c r="O1138" s="152" t="s">
        <v>1549</v>
      </c>
      <c r="P1138" s="152" t="s">
        <v>1550</v>
      </c>
      <c r="Q1138" s="152" t="s">
        <v>1551</v>
      </c>
      <c r="R1138" s="154" t="s">
        <v>5866</v>
      </c>
      <c r="S1138" s="154" t="s">
        <v>1553</v>
      </c>
      <c r="T1138" s="155" t="s">
        <v>3685</v>
      </c>
      <c r="U1138" s="152" t="str">
        <f aca="false">RIGHT(T1138,7)</f>
        <v>012/037</v>
      </c>
      <c r="V1138" s="152" t="s">
        <v>1555</v>
      </c>
      <c r="W1138" s="156" t="n">
        <v>45882</v>
      </c>
      <c r="X1138" s="152" t="s">
        <v>1594</v>
      </c>
      <c r="Y1138" s="152" t="s">
        <v>5799</v>
      </c>
      <c r="Z1138" s="152" t="s">
        <v>1557</v>
      </c>
      <c r="AA1138" s="153" t="n">
        <v>3</v>
      </c>
      <c r="AB1138" s="151" t="s">
        <v>5867</v>
      </c>
      <c r="AC1138" s="151" t="s">
        <v>186</v>
      </c>
      <c r="AD1138" s="151" t="str">
        <f aca="false">CONCATENATE($C1138,$I1138,$H1138,$N1138,$J1138,$K1138)</f>
        <v>TUBO PEADPEAD63VCAREDESZona10</v>
      </c>
      <c r="AE1138" s="153" t="n">
        <f aca="false">IFERROR(INDEX(APOIO_REDES!$A:$W,MATCH($C1138&amp;$I1138&amp;$H1138&amp;$N1138&amp;$O1138,APOIO_REDES!$W:$W,0),MATCH(AE$5,APOIO_REDES!$5:$5,0)),0)</f>
        <v>1.2</v>
      </c>
      <c r="AF1138" s="153" t="n">
        <f aca="false">IFERROR(INDEX(APOIO_REDES!$A:$W,MATCH($C1138&amp;$I1138&amp;$H1138&amp;$N1138&amp;$O1138,APOIO_REDES!$W:$W,0),MATCH(AF$5,APOIO_REDES!$5:$5,0)),0)</f>
        <v>1.363</v>
      </c>
      <c r="AG1138" s="153" t="n">
        <f aca="false">IFERROR(INDEX(APOIO_REDES!$A:$W,MATCH($C1138&amp;$I1138&amp;$H1138&amp;$N1138&amp;$O1138,APOIO_REDES!$W:$W,0),MATCH(AG$5,APOIO_REDES!$5:$5,0)),0)</f>
        <v>0.65</v>
      </c>
      <c r="AH1138" s="153" t="n">
        <f aca="false">IFERROR(INDEX(APOIO_REDES!$A:$W,MATCH($C1138&amp;$I1138&amp;$H1138&amp;$N1138&amp;$O1138,APOIO_REDES!$W:$W,0),MATCH(AH$5,APOIO_REDES!$5:$5,0)),0)</f>
        <v>0.1</v>
      </c>
      <c r="AI1138" s="153" t="n">
        <f aca="false">IFERROR(IF($H1138&lt;&gt;"",(((($H1138/1000)/2)^2)*PI()*$M1138),0),0)</f>
        <v>0.181548366884945</v>
      </c>
      <c r="AJ1138" s="153" t="n">
        <f aca="false">IFERROR(IF(AND($H1138&lt;&gt;"",$I1138="FoFo",OR($N1138="MND",$N1138="VCA"),$Q1138="LINEAR"),0,IF(AND($H1138&lt;&gt;"",$I1138="PEAD",$N1138="VCA",$Q1138="LINEAR"),($H1138/1000)+0.3,IF(AND($H1138&lt;&gt;"",$I1138="PEAD",$N1138="MND",$Q1138="EMBOQUE"),0,IF(AND($H1138&lt;&gt;"",$I1138="PVC",$N1138="VCA",$Q1138="LINEAR"),($H1138/1000)+0.2,IF(AND($H1138&lt;&gt;"",$I1138="PVC",$N1138="MND",$Q1138="EMBOQUE"),0,IF(AND($H1138&lt;&gt;"",$I1138="PEAD",$N1138="VCA",$Q1138="PREDIAL"),0,0)))))),0)</f>
        <v>0.363</v>
      </c>
      <c r="AK1138" s="153" t="n">
        <f aca="false">IF(AA1138&lt;&gt;"",AA1138,0)</f>
        <v>3</v>
      </c>
      <c r="AL1138" s="153" t="n">
        <f aca="false">IF(AND($N1138="MND",$Q1138="EMBOQUE"),$M1138,IF(AND($N1138="VCA",$Q1138="LINEAR"),$M1138,IF(AND($N1138="VCA",$Q1138="PREDIAL"),0,0)))</f>
        <v>58.24</v>
      </c>
      <c r="AM1138" s="153" t="n">
        <f aca="false">IF(AND($N1138="MND",$Q1138="EMBOQUE"),$M1138,IF(AND($N1138="VCA",$Q1138="LINEAR"),$M1138,IF(AND($N1138="VCA",$Q1138="PREDIAL"),0,0)))</f>
        <v>58.24</v>
      </c>
      <c r="AN1138" s="153" t="n">
        <f aca="false">ROUND(IF(AND($N1138="VCA",$M1138&lt;&gt;"",$Q1138="LINEAR"),$M1138/100,IF(AND($N1138="MND",$M1138&gt;100,$Q1138="EMBOQUE"),$M1138/100,0)),0)</f>
        <v>1</v>
      </c>
      <c r="AO1138" s="153" t="n">
        <f aca="false">IF(AND($N1138="MND",$Q1138="EMBOQUE"),$AN1138*2*2,IF(AND($N1138="VCA",$Q1138="LINEAR"),$M1138*2,IF(AND($N1138="VCA",$Q1138="PREDIAL"),0,0)))</f>
        <v>116.48</v>
      </c>
      <c r="AP1138" s="153" t="n">
        <f aca="false">IFERROR($M1138*$AF1138*$AG1138,0)</f>
        <v>51.597728</v>
      </c>
      <c r="AQ1138" s="153" t="n">
        <f aca="false">IFERROR(IF(AND($N1138="VCA",$AH1138&gt;0),$M1138*$AG1138*$AH1138,0),0)</f>
        <v>3.7856</v>
      </c>
      <c r="AR1138" s="153" t="n">
        <f aca="false">IFERROR(IF(AND($N1138="VCA",$AJ1138&gt;0),($M1138*$AG1138*$AJ1138)-$AI1138,0),0)</f>
        <v>13.5601796331151</v>
      </c>
      <c r="AS1138" s="153" t="n">
        <f aca="false">IFERROR(IF(AND($N1138="VCA",$AP1138&gt;0),$AP1138-$AI1138-$AQ1138-$AR1138,0),0)</f>
        <v>34.0704</v>
      </c>
      <c r="AT1138" s="153" t="n">
        <f aca="false">IFERROR(IF($N1138="VCA",INDEX(APOIO_REDES!$A:$W,MATCH($C1138&amp;$I1138&amp;$H1138&amp;$N1138&amp;$O1138,APOIO_REDES!$W:$W,0),MATCH(AT$5,APOIO_REDES!$5:$5,0)),0)*$AP1138,0)</f>
        <v>0.561398552787923</v>
      </c>
      <c r="AU1138" s="153" t="n">
        <f aca="false">IFERROR(IF($N1138="VCA",INDEX(APOIO_REDES!$A:$W,MATCH($C1138&amp;$I1138&amp;$H1138&amp;$N1138&amp;$O1138,APOIO_REDES!$W:$W,0),MATCH(AU$5,APOIO_REDES!$5:$5,0)),0)*$AP1138,0)</f>
        <v>0.448317679655371</v>
      </c>
      <c r="AV1138" s="153" t="n">
        <f aca="false">IFERROR(IF($N1138="VCA",INDEX(APOIO_REDES!$A:$W,MATCH($C1138&amp;$I1138&amp;$H1138&amp;$N1138&amp;$O1138,APOIO_REDES!$W:$W,0),MATCH(AV$5,APOIO_REDES!$5:$5,0)),0)*$AP1138,0)</f>
        <v>0.0620436474325279</v>
      </c>
      <c r="AW1138" s="153" t="n">
        <f aca="false">IFERROR(IF($N1138="VCA",INDEX(APOIO_REDES!$A:$W,MATCH($C1138&amp;$I1138&amp;$H1138&amp;$N1138&amp;$O1138,APOIO_REDES!$W:$W,0),MATCH(AW$5,APOIO_REDES!$5:$5,0)),0)*$AP1138,0)</f>
        <v>35.4170802979058</v>
      </c>
      <c r="AX1138" s="153" t="n">
        <f aca="false">IFERROR(IF($N1138="VCA",INDEX(APOIO_REDES!$A:$W,MATCH($C1138&amp;$I1138&amp;$H1138&amp;$N1138&amp;$O1138,APOIO_REDES!$W:$W,0),MATCH(AX$5,APOIO_REDES!$5:$5,0)),0)*$AP1138,0)</f>
        <v>4.90162302576724</v>
      </c>
      <c r="AY1138" s="153" t="n">
        <f aca="false">IFERROR(IF($N1138="VCA",INDEX(APOIO_REDES!$A:$W,MATCH($C1138&amp;$I1138&amp;$H1138&amp;$N1138&amp;$O1138,APOIO_REDES!$W:$W,0),MATCH(AY$5,APOIO_REDES!$5:$5,0)),0)*$AP1138,0)</f>
        <v>8.96634812815124</v>
      </c>
      <c r="AZ1138" s="153" t="n">
        <f aca="false">IFERROR(IF($N1138="VCA",INDEX(APOIO_REDES!$A:$W,MATCH($C1138&amp;$I1138&amp;$H1138&amp;$N1138&amp;$O1138,APOIO_REDES!$W:$W,0),MATCH(AZ$5,APOIO_REDES!$5:$5,0)),0)*$AP1138,0)</f>
        <v>1.24091666829994</v>
      </c>
      <c r="BA1138" s="153" t="n">
        <f aca="false">IFERROR(IF(AND($N1138="VCA",$Q1138="LINEAR"),INDEX(APOIO_REDES!$A:$W,MATCH($C1138&amp;$I1138&amp;$H1138&amp;$N1138&amp;$O1138,APOIO_REDES!$W:$W,0),MATCH(BA$5,APOIO_REDES!$5:$5,0)),IF(AND($N1138="MND",$Q1138="EMBOQUE"),INDEX(APOIO_REDES!$A:$W,MATCH($C1138&amp;$I1138&amp;$H1138&amp;$N1138&amp;$O1138,APOIO_REDES!$W:$W,0),MATCH(BA$5,APOIO_REDES!$5:$5,0)),0))*$M1138/10,0)</f>
        <v>4.6939970942464</v>
      </c>
      <c r="BB1138" s="153" t="n">
        <f aca="false">IFERROR(IF($N1138="VCA",INDEX(APOIO_REDES!$A:$W,MATCH($C1138&amp;$I1138&amp;$H1138&amp;$N1138&amp;$O1138,APOIO_REDES!$W:$W,0),MATCH(BB$5,APOIO_REDES!$5:$5,0)),0)*($AI1138+$AQ1138+$AR1138),0)</f>
        <v>17.3366254835357</v>
      </c>
      <c r="BC1138" s="153" t="n">
        <f aca="false">IFERROR(IF($N1138="VCA",INDEX(APOIO_REDES!$A:$W,MATCH($C1138&amp;$I1138&amp;$H1138&amp;$N1138&amp;$O1138,APOIO_REDES!$W:$W,0),MATCH(BC$5,APOIO_REDES!$5:$5,0)),0)*($AI1138+$AQ1138+$AR1138),0)</f>
        <v>0.190702516464276</v>
      </c>
      <c r="BD1138" s="153" t="n">
        <f aca="false">IF(AND($N1138="VCA",$AF1138&gt;=1.25,$AF1138&lt;1.5),$M1138*$AF1138*2,0)</f>
        <v>158.76224</v>
      </c>
      <c r="BE1138" s="153" t="n">
        <f aca="false">IF(AND($N1138="VCA",$AF1138&gt;=1.5,$AF1138&lt;3),$M1138*$AF1138*2,0)</f>
        <v>0</v>
      </c>
      <c r="BF1138" s="153" t="n">
        <f aca="false">IF(AND($N1138="VCA",$AF1138&gt;=3),$M1138*$AF1138*2,0)</f>
        <v>0</v>
      </c>
      <c r="BG1138" s="153" t="n">
        <f aca="false">($BB1138+$BC1138)*$AK1138</f>
        <v>52.581984</v>
      </c>
      <c r="BH1138" s="153" t="n">
        <f aca="false">IF(AND($M1138&lt;&gt;"",$N1138="VCA",$Q1138="LINEAR"),($M1138*2)/100,IF(AND($M1138&lt;&gt;"",$N1138="MND",$Q1138="EMBOQUE"),($AN1138*2)/100,0))</f>
        <v>1.1648</v>
      </c>
      <c r="BI1138" s="153" t="n">
        <f aca="false">IF(AND($M1138&lt;&gt;"",$N1138="VCA",$Q1138="LINEAR"),$M1138,IF(AND($M1138&lt;&gt;"",$N1138="MND",$Q1138="EMBOQUE"),$AN1138*2,0))</f>
        <v>58.24</v>
      </c>
      <c r="BJ1138" s="153" t="n">
        <f aca="false">IF(AND($M1138&lt;&gt;"",$N1138="VCA",$Q1138="LINEAR"),($M1138*6.8)/100,IF(AND($M1138&lt;&gt;"",$N1138="MND",$Q1138="EMBOQUE"),($AN1138*2*6.8)/100,0))</f>
        <v>3.96032</v>
      </c>
      <c r="BK1138" s="153" t="n">
        <f aca="false">IF(AND($M1138&lt;&gt;"",$N1138="VCA",$Q1138="LINEAR"),($M1138*2.5)/50,IF(AND($M1138&lt;&gt;"",$N1138="MND",$Q1138="EMBOQUE"),($AN1138*2*2.5)/50,0))</f>
        <v>2.912</v>
      </c>
      <c r="BL1138" s="157" t="str">
        <f aca="false">K1138&amp;J1138</f>
        <v>Zona10REDES</v>
      </c>
      <c r="BM1138" s="152" t="s">
        <v>5703</v>
      </c>
      <c r="BN1138" s="152" t="s">
        <v>1560</v>
      </c>
      <c r="BO1138" s="152" t="s">
        <v>3688</v>
      </c>
      <c r="BP1138" s="152" t="s">
        <v>5868</v>
      </c>
      <c r="BQ1138" s="152" t="s">
        <v>5804</v>
      </c>
      <c r="BR1138" s="152" t="s">
        <v>5869</v>
      </c>
      <c r="BS1138" s="152" t="n">
        <v>203601.307</v>
      </c>
      <c r="BT1138" s="152" t="n">
        <v>8237156.01</v>
      </c>
      <c r="BU1138" s="152" t="n">
        <v>203620.588</v>
      </c>
      <c r="BV1138" s="152" t="n">
        <v>8237210.881</v>
      </c>
      <c r="BW1138" s="152" t="n">
        <v>-15.9269095</v>
      </c>
      <c r="BX1138" s="152" t="n">
        <v>-47.768287</v>
      </c>
      <c r="BY1138" s="152" t="s">
        <v>5868</v>
      </c>
    </row>
    <row r="1139" customFormat="false" ht="13.8" hidden="false" customHeight="false" outlineLevel="0" collapsed="false">
      <c r="A1139" s="149" t="n">
        <f aca="false">IF(C1139&lt;&gt;"",ROW(A1134),"")</f>
        <v>1134</v>
      </c>
      <c r="B1139" s="150" t="str">
        <f aca="false">HYPERLINK("https://www.google.com/maps/dir/-15.917302,-47.760003/-15.9264094,-47.7713471/data=!4m3!4m2!3e0!5i2")</f>
        <v>https://www.google.com/maps/dir/-15.917302,-47.760003/-15.9264094,-47.7713471/data=!4m3!4m2!3e0!5i2</v>
      </c>
      <c r="C1139" s="151" t="s">
        <v>117</v>
      </c>
      <c r="D1139" s="152" t="s">
        <v>112</v>
      </c>
      <c r="E1139" s="152" t="s">
        <v>113</v>
      </c>
      <c r="F1139" s="152" t="s">
        <v>117</v>
      </c>
      <c r="G1139" s="152" t="s">
        <v>782</v>
      </c>
      <c r="H1139" s="152" t="n">
        <v>63</v>
      </c>
      <c r="I1139" s="152" t="s">
        <v>115</v>
      </c>
      <c r="J1139" s="152" t="s">
        <v>6</v>
      </c>
      <c r="K1139" s="152" t="s">
        <v>5700</v>
      </c>
      <c r="L1139" s="152" t="s">
        <v>120</v>
      </c>
      <c r="M1139" s="153" t="n">
        <f aca="false">130.02+0.71</f>
        <v>130.73</v>
      </c>
      <c r="N1139" s="152" t="s">
        <v>1548</v>
      </c>
      <c r="O1139" s="152" t="s">
        <v>1549</v>
      </c>
      <c r="P1139" s="152" t="s">
        <v>1550</v>
      </c>
      <c r="Q1139" s="152" t="s">
        <v>1551</v>
      </c>
      <c r="R1139" s="154" t="s">
        <v>5870</v>
      </c>
      <c r="S1139" s="154" t="s">
        <v>1553</v>
      </c>
      <c r="T1139" s="155" t="s">
        <v>3685</v>
      </c>
      <c r="U1139" s="152" t="str">
        <f aca="false">RIGHT(T1139,7)</f>
        <v>012/037</v>
      </c>
      <c r="V1139" s="152" t="s">
        <v>1555</v>
      </c>
      <c r="W1139" s="156" t="n">
        <v>45882</v>
      </c>
      <c r="X1139" s="152" t="s">
        <v>1594</v>
      </c>
      <c r="Y1139" s="152" t="s">
        <v>2400</v>
      </c>
      <c r="Z1139" s="152" t="s">
        <v>1557</v>
      </c>
      <c r="AA1139" s="153" t="n">
        <v>4</v>
      </c>
      <c r="AB1139" s="151" t="s">
        <v>5871</v>
      </c>
      <c r="AC1139" s="151" t="s">
        <v>186</v>
      </c>
      <c r="AD1139" s="151" t="str">
        <f aca="false">CONCATENATE($C1139,$I1139,$H1139,$N1139,$J1139,$K1139)</f>
        <v>TUBO PEADPEAD63VCAREDESZona10</v>
      </c>
      <c r="AE1139" s="153" t="n">
        <f aca="false">IFERROR(INDEX(APOIO_REDES!$A:$W,MATCH($C1139&amp;$I1139&amp;$H1139&amp;$N1139&amp;$O1139,APOIO_REDES!$W:$W,0),MATCH(AE$5,APOIO_REDES!$5:$5,0)),0)</f>
        <v>1.2</v>
      </c>
      <c r="AF1139" s="153" t="n">
        <f aca="false">IFERROR(INDEX(APOIO_REDES!$A:$W,MATCH($C1139&amp;$I1139&amp;$H1139&amp;$N1139&amp;$O1139,APOIO_REDES!$W:$W,0),MATCH(AF$5,APOIO_REDES!$5:$5,0)),0)</f>
        <v>1.363</v>
      </c>
      <c r="AG1139" s="153" t="n">
        <f aca="false">IFERROR(INDEX(APOIO_REDES!$A:$W,MATCH($C1139&amp;$I1139&amp;$H1139&amp;$N1139&amp;$O1139,APOIO_REDES!$W:$W,0),MATCH(AG$5,APOIO_REDES!$5:$5,0)),0)</f>
        <v>0.65</v>
      </c>
      <c r="AH1139" s="153" t="n">
        <f aca="false">IFERROR(INDEX(APOIO_REDES!$A:$W,MATCH($C1139&amp;$I1139&amp;$H1139&amp;$N1139&amp;$O1139,APOIO_REDES!$W:$W,0),MATCH(AH$5,APOIO_REDES!$5:$5,0)),0)</f>
        <v>0.1</v>
      </c>
      <c r="AI1139" s="153" t="n">
        <f aca="false">IFERROR(IF($H1139&lt;&gt;"",(((($H1139/1000)/2)^2)*PI()*$M1139),0),0)</f>
        <v>0.407517479444864</v>
      </c>
      <c r="AJ1139" s="153" t="n">
        <f aca="false">IFERROR(IF(AND($H1139&lt;&gt;"",$I1139="FoFo",OR($N1139="MND",$N1139="VCA"),$Q1139="LINEAR"),0,IF(AND($H1139&lt;&gt;"",$I1139="PEAD",$N1139="VCA",$Q1139="LINEAR"),($H1139/1000)+0.3,IF(AND($H1139&lt;&gt;"",$I1139="PEAD",$N1139="MND",$Q1139="EMBOQUE"),0,IF(AND($H1139&lt;&gt;"",$I1139="PVC",$N1139="VCA",$Q1139="LINEAR"),($H1139/1000)+0.2,IF(AND($H1139&lt;&gt;"",$I1139="PVC",$N1139="MND",$Q1139="EMBOQUE"),0,IF(AND($H1139&lt;&gt;"",$I1139="PEAD",$N1139="VCA",$Q1139="PREDIAL"),0,0)))))),0)</f>
        <v>0.363</v>
      </c>
      <c r="AK1139" s="153" t="n">
        <f aca="false">IF(AA1139&lt;&gt;"",AA1139,0)</f>
        <v>4</v>
      </c>
      <c r="AL1139" s="153" t="n">
        <f aca="false">IF(AND($N1139="MND",$Q1139="EMBOQUE"),$M1139,IF(AND($N1139="VCA",$Q1139="LINEAR"),$M1139,IF(AND($N1139="VCA",$Q1139="PREDIAL"),0,0)))</f>
        <v>130.73</v>
      </c>
      <c r="AM1139" s="153" t="n">
        <f aca="false">IF(AND($N1139="MND",$Q1139="EMBOQUE"),$M1139,IF(AND($N1139="VCA",$Q1139="LINEAR"),$M1139,IF(AND($N1139="VCA",$Q1139="PREDIAL"),0,0)))</f>
        <v>130.73</v>
      </c>
      <c r="AN1139" s="153" t="n">
        <f aca="false">ROUND(IF(AND($N1139="VCA",$M1139&lt;&gt;"",$Q1139="LINEAR"),$M1139/100,IF(AND($N1139="MND",$M1139&gt;100,$Q1139="EMBOQUE"),$M1139/100,0)),0)</f>
        <v>1</v>
      </c>
      <c r="AO1139" s="153" t="n">
        <f aca="false">IF(AND($N1139="MND",$Q1139="EMBOQUE"),$AN1139*2*2,IF(AND($N1139="VCA",$Q1139="LINEAR"),$M1139*2,IF(AND($N1139="VCA",$Q1139="PREDIAL"),0,0)))</f>
        <v>261.46</v>
      </c>
      <c r="AP1139" s="153" t="n">
        <f aca="false">IFERROR($M1139*$AF1139*$AG1139,0)</f>
        <v>115.8202435</v>
      </c>
      <c r="AQ1139" s="153" t="n">
        <f aca="false">IFERROR(IF(AND($N1139="VCA",$AH1139&gt;0),$M1139*$AG1139*$AH1139,0),0)</f>
        <v>8.49745</v>
      </c>
      <c r="AR1139" s="153" t="n">
        <f aca="false">IFERROR(IF(AND($N1139="VCA",$AJ1139&gt;0),($M1139*$AG1139*$AJ1139)-$AI1139,0),0)</f>
        <v>30.4382260205551</v>
      </c>
      <c r="AS1139" s="153" t="n">
        <f aca="false">IFERROR(IF(AND($N1139="VCA",$AP1139&gt;0),$AP1139-$AI1139-$AQ1139-$AR1139,0),0)</f>
        <v>76.47705</v>
      </c>
      <c r="AT1139" s="153" t="n">
        <f aca="false">IFERROR(IF($N1139="VCA",INDEX(APOIO_REDES!$A:$W,MATCH($C1139&amp;$I1139&amp;$H1139&amp;$N1139&amp;$O1139,APOIO_REDES!$W:$W,0),MATCH(AT$5,APOIO_REDES!$5:$5,0)),0)*$AP1139,0)</f>
        <v>1.2601585303222</v>
      </c>
      <c r="AU1139" s="153" t="n">
        <f aca="false">IFERROR(IF($N1139="VCA",INDEX(APOIO_REDES!$A:$W,MATCH($C1139&amp;$I1139&amp;$H1139&amp;$N1139&amp;$O1139,APOIO_REDES!$W:$W,0),MATCH(AU$5,APOIO_REDES!$5:$5,0)),0)*$AP1139,0)</f>
        <v>1.006328472894</v>
      </c>
      <c r="AV1139" s="153" t="n">
        <f aca="false">IFERROR(IF($N1139="VCA",INDEX(APOIO_REDES!$A:$W,MATCH($C1139&amp;$I1139&amp;$H1139&amp;$N1139&amp;$O1139,APOIO_REDES!$W:$W,0),MATCH(AV$5,APOIO_REDES!$5:$5,0)),0)*$AP1139,0)</f>
        <v>0.139267960660274</v>
      </c>
      <c r="AW1139" s="153" t="n">
        <f aca="false">IFERROR(IF($N1139="VCA",INDEX(APOIO_REDES!$A:$W,MATCH($C1139&amp;$I1139&amp;$H1139&amp;$N1139&amp;$O1139,APOIO_REDES!$W:$W,0),MATCH(AW$5,APOIO_REDES!$5:$5,0)),0)*$AP1139,0)</f>
        <v>79.4999125574386</v>
      </c>
      <c r="AX1139" s="153" t="n">
        <f aca="false">IFERROR(IF($N1139="VCA",INDEX(APOIO_REDES!$A:$W,MATCH($C1139&amp;$I1139&amp;$H1139&amp;$N1139&amp;$O1139,APOIO_REDES!$W:$W,0),MATCH(AX$5,APOIO_REDES!$5:$5,0)),0)*$AP1139,0)</f>
        <v>11.0025614381619</v>
      </c>
      <c r="AY1139" s="153" t="n">
        <f aca="false">IFERROR(IF($N1139="VCA",INDEX(APOIO_REDES!$A:$W,MATCH($C1139&amp;$I1139&amp;$H1139&amp;$N1139&amp;$O1139,APOIO_REDES!$W:$W,0),MATCH(AY$5,APOIO_REDES!$5:$5,0)),0)*$AP1139,0)</f>
        <v>20.1265571908175</v>
      </c>
      <c r="AZ1139" s="153" t="n">
        <f aca="false">IFERROR(IF($N1139="VCA",INDEX(APOIO_REDES!$A:$W,MATCH($C1139&amp;$I1139&amp;$H1139&amp;$N1139&amp;$O1139,APOIO_REDES!$W:$W,0),MATCH(AZ$5,APOIO_REDES!$5:$5,0)),0)*$AP1139,0)</f>
        <v>2.78545734970555</v>
      </c>
      <c r="BA1139" s="153" t="n">
        <f aca="false">IFERROR(IF(AND($N1139="VCA",$Q1139="LINEAR"),INDEX(APOIO_REDES!$A:$W,MATCH($C1139&amp;$I1139&amp;$H1139&amp;$N1139&amp;$O1139,APOIO_REDES!$W:$W,0),MATCH(BA$5,APOIO_REDES!$5:$5,0)),IF(AND($N1139="MND",$Q1139="EMBOQUE"),INDEX(APOIO_REDES!$A:$W,MATCH($C1139&amp;$I1139&amp;$H1139&amp;$N1139&amp;$O1139,APOIO_REDES!$W:$W,0),MATCH(BA$5,APOIO_REDES!$5:$5,0)),0))*$M1139/10,0)</f>
        <v>10.5365082440047</v>
      </c>
      <c r="BB1139" s="153" t="n">
        <f aca="false">IFERROR(IF($N1139="VCA",INDEX(APOIO_REDES!$A:$W,MATCH($C1139&amp;$I1139&amp;$H1139&amp;$N1139&amp;$O1139,APOIO_REDES!$W:$W,0),MATCH(BB$5,APOIO_REDES!$5:$5,0)),0)*($AI1139+$AQ1139+$AR1139),0)</f>
        <v>38.9151279097292</v>
      </c>
      <c r="BC1139" s="153" t="n">
        <f aca="false">IFERROR(IF($N1139="VCA",INDEX(APOIO_REDES!$A:$W,MATCH($C1139&amp;$I1139&amp;$H1139&amp;$N1139&amp;$O1139,APOIO_REDES!$W:$W,0),MATCH(BC$5,APOIO_REDES!$5:$5,0)),0)*($AI1139+$AQ1139+$AR1139),0)</f>
        <v>0.428065590270859</v>
      </c>
      <c r="BD1139" s="153" t="n">
        <f aca="false">IF(AND($N1139="VCA",$AF1139&gt;=1.25,$AF1139&lt;1.5),$M1139*$AF1139*2,0)</f>
        <v>356.36998</v>
      </c>
      <c r="BE1139" s="153" t="n">
        <f aca="false">IF(AND($N1139="VCA",$AF1139&gt;=1.5,$AF1139&lt;3),$M1139*$AF1139*2,0)</f>
        <v>0</v>
      </c>
      <c r="BF1139" s="153" t="n">
        <f aca="false">IF(AND($N1139="VCA",$AF1139&gt;=3),$M1139*$AF1139*2,0)</f>
        <v>0</v>
      </c>
      <c r="BG1139" s="153" t="n">
        <f aca="false">($BB1139+$BC1139)*$AK1139</f>
        <v>157.372774</v>
      </c>
      <c r="BH1139" s="153" t="n">
        <f aca="false">IF(AND($M1139&lt;&gt;"",$N1139="VCA",$Q1139="LINEAR"),($M1139*2)/100,IF(AND($M1139&lt;&gt;"",$N1139="MND",$Q1139="EMBOQUE"),($AN1139*2)/100,0))</f>
        <v>2.6146</v>
      </c>
      <c r="BI1139" s="153" t="n">
        <f aca="false">IF(AND($M1139&lt;&gt;"",$N1139="VCA",$Q1139="LINEAR"),$M1139,IF(AND($M1139&lt;&gt;"",$N1139="MND",$Q1139="EMBOQUE"),$AN1139*2,0))</f>
        <v>130.73</v>
      </c>
      <c r="BJ1139" s="153" t="n">
        <f aca="false">IF(AND($M1139&lt;&gt;"",$N1139="VCA",$Q1139="LINEAR"),($M1139*6.8)/100,IF(AND($M1139&lt;&gt;"",$N1139="MND",$Q1139="EMBOQUE"),($AN1139*2*6.8)/100,0))</f>
        <v>8.88964</v>
      </c>
      <c r="BK1139" s="153" t="n">
        <f aca="false">IF(AND($M1139&lt;&gt;"",$N1139="VCA",$Q1139="LINEAR"),($M1139*2.5)/50,IF(AND($M1139&lt;&gt;"",$N1139="MND",$Q1139="EMBOQUE"),($AN1139*2*2.5)/50,0))</f>
        <v>6.5365</v>
      </c>
      <c r="BL1139" s="157" t="str">
        <f aca="false">K1139&amp;J1139</f>
        <v>Zona10REDES</v>
      </c>
      <c r="BM1139" s="152" t="s">
        <v>5703</v>
      </c>
      <c r="BN1139" s="152" t="s">
        <v>1560</v>
      </c>
      <c r="BO1139" s="152" t="s">
        <v>3688</v>
      </c>
      <c r="BP1139" s="152" t="s">
        <v>5822</v>
      </c>
      <c r="BQ1139" s="152" t="s">
        <v>5872</v>
      </c>
      <c r="BR1139" s="152" t="s">
        <v>5823</v>
      </c>
      <c r="BS1139" s="152" t="n">
        <v>203282.195</v>
      </c>
      <c r="BT1139" s="152" t="n">
        <v>8237234.341</v>
      </c>
      <c r="BU1139" s="152" t="n">
        <v>203224.213</v>
      </c>
      <c r="BV1139" s="152" t="n">
        <v>8237118.128</v>
      </c>
      <c r="BW1139" s="152" t="n">
        <v>-15.9269262</v>
      </c>
      <c r="BX1139" s="152" t="n">
        <v>-47.7716347</v>
      </c>
      <c r="BY1139" s="152" t="s">
        <v>5822</v>
      </c>
    </row>
    <row r="1140" customFormat="false" ht="13.8" hidden="false" customHeight="false" outlineLevel="0" collapsed="false">
      <c r="A1140" s="149" t="n">
        <f aca="false">IF(C1140&lt;&gt;"",ROW(A1135),"")</f>
        <v>1135</v>
      </c>
      <c r="B1140" s="150" t="str">
        <f aca="false">HYPERLINK("https://www.google.com/maps/dir/-15.917302,-47.760003/-15.9266387,-47.7691846/data=!4m3!4m2!3e0!5i2")</f>
        <v>https://www.google.com/maps/dir/-15.917302,-47.760003/-15.9266387,-47.7691846/data=!4m3!4m2!3e0!5i2</v>
      </c>
      <c r="C1140" s="151" t="s">
        <v>117</v>
      </c>
      <c r="D1140" s="152" t="s">
        <v>112</v>
      </c>
      <c r="E1140" s="152" t="s">
        <v>113</v>
      </c>
      <c r="F1140" s="152" t="s">
        <v>117</v>
      </c>
      <c r="G1140" s="152" t="s">
        <v>782</v>
      </c>
      <c r="H1140" s="152" t="n">
        <v>63</v>
      </c>
      <c r="I1140" s="152" t="s">
        <v>115</v>
      </c>
      <c r="J1140" s="152" t="s">
        <v>6</v>
      </c>
      <c r="K1140" s="152" t="s">
        <v>5700</v>
      </c>
      <c r="L1140" s="152" t="s">
        <v>120</v>
      </c>
      <c r="M1140" s="153" t="n">
        <f aca="false">83.95+1.28</f>
        <v>85.23</v>
      </c>
      <c r="N1140" s="152" t="s">
        <v>1548</v>
      </c>
      <c r="O1140" s="152" t="s">
        <v>1549</v>
      </c>
      <c r="P1140" s="152" t="s">
        <v>1550</v>
      </c>
      <c r="Q1140" s="152" t="s">
        <v>1551</v>
      </c>
      <c r="R1140" s="154" t="s">
        <v>5873</v>
      </c>
      <c r="S1140" s="154" t="s">
        <v>1553</v>
      </c>
      <c r="T1140" s="155" t="s">
        <v>3685</v>
      </c>
      <c r="U1140" s="152" t="str">
        <f aca="false">RIGHT(T1140,7)</f>
        <v>012/037</v>
      </c>
      <c r="V1140" s="152" t="s">
        <v>1555</v>
      </c>
      <c r="W1140" s="156" t="n">
        <v>45882</v>
      </c>
      <c r="X1140" s="152" t="s">
        <v>1594</v>
      </c>
      <c r="Y1140" s="152" t="s">
        <v>5799</v>
      </c>
      <c r="Z1140" s="152" t="s">
        <v>1557</v>
      </c>
      <c r="AA1140" s="153" t="n">
        <v>3</v>
      </c>
      <c r="AB1140" s="151" t="s">
        <v>5874</v>
      </c>
      <c r="AC1140" s="151" t="s">
        <v>186</v>
      </c>
      <c r="AD1140" s="151" t="str">
        <f aca="false">CONCATENATE($C1140,$I1140,$H1140,$N1140,$J1140,$K1140)</f>
        <v>TUBO PEADPEAD63VCAREDESZona10</v>
      </c>
      <c r="AE1140" s="153" t="n">
        <f aca="false">IFERROR(INDEX(APOIO_REDES!$A:$W,MATCH($C1140&amp;$I1140&amp;$H1140&amp;$N1140&amp;$O1140,APOIO_REDES!$W:$W,0),MATCH(AE$5,APOIO_REDES!$5:$5,0)),0)</f>
        <v>1.2</v>
      </c>
      <c r="AF1140" s="153" t="n">
        <f aca="false">IFERROR(INDEX(APOIO_REDES!$A:$W,MATCH($C1140&amp;$I1140&amp;$H1140&amp;$N1140&amp;$O1140,APOIO_REDES!$W:$W,0),MATCH(AF$5,APOIO_REDES!$5:$5,0)),0)</f>
        <v>1.363</v>
      </c>
      <c r="AG1140" s="153" t="n">
        <f aca="false">IFERROR(INDEX(APOIO_REDES!$A:$W,MATCH($C1140&amp;$I1140&amp;$H1140&amp;$N1140&amp;$O1140,APOIO_REDES!$W:$W,0),MATCH(AG$5,APOIO_REDES!$5:$5,0)),0)</f>
        <v>0.65</v>
      </c>
      <c r="AH1140" s="153" t="n">
        <f aca="false">IFERROR(INDEX(APOIO_REDES!$A:$W,MATCH($C1140&amp;$I1140&amp;$H1140&amp;$N1140&amp;$O1140,APOIO_REDES!$W:$W,0),MATCH(AH$5,APOIO_REDES!$5:$5,0)),0)</f>
        <v>0.1</v>
      </c>
      <c r="AI1140" s="153" t="n">
        <f aca="false">IFERROR(IF($H1140&lt;&gt;"",(((($H1140/1000)/2)^2)*PI()*$M1140),0),0)</f>
        <v>0.265682817816001</v>
      </c>
      <c r="AJ1140" s="153" t="n">
        <f aca="false">IFERROR(IF(AND($H1140&lt;&gt;"",$I1140="FoFo",OR($N1140="MND",$N1140="VCA"),$Q1140="LINEAR"),0,IF(AND($H1140&lt;&gt;"",$I1140="PEAD",$N1140="VCA",$Q1140="LINEAR"),($H1140/1000)+0.3,IF(AND($H1140&lt;&gt;"",$I1140="PEAD",$N1140="MND",$Q1140="EMBOQUE"),0,IF(AND($H1140&lt;&gt;"",$I1140="PVC",$N1140="VCA",$Q1140="LINEAR"),($H1140/1000)+0.2,IF(AND($H1140&lt;&gt;"",$I1140="PVC",$N1140="MND",$Q1140="EMBOQUE"),0,IF(AND($H1140&lt;&gt;"",$I1140="PEAD",$N1140="VCA",$Q1140="PREDIAL"),0,0)))))),0)</f>
        <v>0.363</v>
      </c>
      <c r="AK1140" s="153" t="n">
        <f aca="false">IF(AA1140&lt;&gt;"",AA1140,0)</f>
        <v>3</v>
      </c>
      <c r="AL1140" s="153" t="n">
        <f aca="false">IF(AND($N1140="MND",$Q1140="EMBOQUE"),$M1140,IF(AND($N1140="VCA",$Q1140="LINEAR"),$M1140,IF(AND($N1140="VCA",$Q1140="PREDIAL"),0,0)))</f>
        <v>85.23</v>
      </c>
      <c r="AM1140" s="153" t="n">
        <f aca="false">IF(AND($N1140="MND",$Q1140="EMBOQUE"),$M1140,IF(AND($N1140="VCA",$Q1140="LINEAR"),$M1140,IF(AND($N1140="VCA",$Q1140="PREDIAL"),0,0)))</f>
        <v>85.23</v>
      </c>
      <c r="AN1140" s="153" t="n">
        <f aca="false">ROUND(IF(AND($N1140="VCA",$M1140&lt;&gt;"",$Q1140="LINEAR"),$M1140/100,IF(AND($N1140="MND",$M1140&gt;100,$Q1140="EMBOQUE"),$M1140/100,0)),0)</f>
        <v>1</v>
      </c>
      <c r="AO1140" s="153" t="n">
        <f aca="false">IF(AND($N1140="MND",$Q1140="EMBOQUE"),$AN1140*2*2,IF(AND($N1140="VCA",$Q1140="LINEAR"),$M1140*2,IF(AND($N1140="VCA",$Q1140="PREDIAL"),0,0)))</f>
        <v>170.46</v>
      </c>
      <c r="AP1140" s="153" t="n">
        <f aca="false">IFERROR($M1140*$AF1140*$AG1140,0)</f>
        <v>75.5095185</v>
      </c>
      <c r="AQ1140" s="153" t="n">
        <f aca="false">IFERROR(IF(AND($N1140="VCA",$AH1140&gt;0),$M1140*$AG1140*$AH1140,0),0)</f>
        <v>5.53995</v>
      </c>
      <c r="AR1140" s="153" t="n">
        <f aca="false">IFERROR(IF(AND($N1140="VCA",$AJ1140&gt;0),($M1140*$AG1140*$AJ1140)-$AI1140,0),0)</f>
        <v>19.844335682184</v>
      </c>
      <c r="AS1140" s="153" t="n">
        <f aca="false">IFERROR(IF(AND($N1140="VCA",$AP1140&gt;0),$AP1140-$AI1140-$AQ1140-$AR1140,0),0)</f>
        <v>49.85955</v>
      </c>
      <c r="AT1140" s="153" t="n">
        <f aca="false">IFERROR(IF($N1140="VCA",INDEX(APOIO_REDES!$A:$W,MATCH($C1140&amp;$I1140&amp;$H1140&amp;$N1140&amp;$O1140,APOIO_REDES!$W:$W,0),MATCH(AT$5,APOIO_REDES!$5:$5,0)),0)*$AP1140,0)</f>
        <v>0.821565910956639</v>
      </c>
      <c r="AU1140" s="153" t="n">
        <f aca="false">IFERROR(IF($N1140="VCA",INDEX(APOIO_REDES!$A:$W,MATCH($C1140&amp;$I1140&amp;$H1140&amp;$N1140&amp;$O1140,APOIO_REDES!$W:$W,0),MATCH(AU$5,APOIO_REDES!$5:$5,0)),0)*$AP1140,0)</f>
        <v>0.656080285663243</v>
      </c>
      <c r="AV1140" s="153" t="n">
        <f aca="false">IFERROR(IF($N1140="VCA",INDEX(APOIO_REDES!$A:$W,MATCH($C1140&amp;$I1140&amp;$H1140&amp;$N1140&amp;$O1140,APOIO_REDES!$W:$W,0),MATCH(AV$5,APOIO_REDES!$5:$5,0)),0)*$AP1140,0)</f>
        <v>0.0907963611036118</v>
      </c>
      <c r="AW1140" s="153" t="n">
        <f aca="false">IFERROR(IF($N1140="VCA",INDEX(APOIO_REDES!$A:$W,MATCH($C1140&amp;$I1140&amp;$H1140&amp;$N1140&amp;$O1140,APOIO_REDES!$W:$W,0),MATCH(AW$5,APOIO_REDES!$5:$5,0)),0)*$AP1140,0)</f>
        <v>51.8303185746997</v>
      </c>
      <c r="AX1140" s="153" t="n">
        <f aca="false">IFERROR(IF($N1140="VCA",INDEX(APOIO_REDES!$A:$W,MATCH($C1140&amp;$I1140&amp;$H1140&amp;$N1140&amp;$O1140,APOIO_REDES!$W:$W,0),MATCH(AX$5,APOIO_REDES!$5:$5,0)),0)*$AP1140,0)</f>
        <v>7.17316844928128</v>
      </c>
      <c r="AY1140" s="153" t="n">
        <f aca="false">IFERROR(IF($N1140="VCA",INDEX(APOIO_REDES!$A:$W,MATCH($C1140&amp;$I1140&amp;$H1140&amp;$N1140&amp;$O1140,APOIO_REDES!$W:$W,0),MATCH(AY$5,APOIO_REDES!$5:$5,0)),0)*$AP1140,0)</f>
        <v>13.1215977156994</v>
      </c>
      <c r="AZ1140" s="153" t="n">
        <f aca="false">IFERROR(IF($N1140="VCA",INDEX(APOIO_REDES!$A:$W,MATCH($C1140&amp;$I1140&amp;$H1140&amp;$N1140&amp;$O1140,APOIO_REDES!$W:$W,0),MATCH(AZ$5,APOIO_REDES!$5:$5,0)),0)*$AP1140,0)</f>
        <v>1.81599120259622</v>
      </c>
      <c r="BA1140" s="153" t="n">
        <f aca="false">IFERROR(IF(AND($N1140="VCA",$Q1140="LINEAR"),INDEX(APOIO_REDES!$A:$W,MATCH($C1140&amp;$I1140&amp;$H1140&amp;$N1140&amp;$O1140,APOIO_REDES!$W:$W,0),MATCH(BA$5,APOIO_REDES!$5:$5,0)),IF(AND($N1140="MND",$Q1140="EMBOQUE"),INDEX(APOIO_REDES!$A:$W,MATCH($C1140&amp;$I1140&amp;$H1140&amp;$N1140&amp;$O1140,APOIO_REDES!$W:$W,0),MATCH(BA$5,APOIO_REDES!$5:$5,0)),0))*$M1140/10,0)</f>
        <v>6.86932301412467</v>
      </c>
      <c r="BB1140" s="153" t="n">
        <f aca="false">IFERROR(IF($N1140="VCA",INDEX(APOIO_REDES!$A:$W,MATCH($C1140&amp;$I1140&amp;$H1140&amp;$N1140&amp;$O1140,APOIO_REDES!$W:$W,0),MATCH(BB$5,APOIO_REDES!$5:$5,0)),0)*($AI1140+$AQ1140+$AR1140),0)</f>
        <v>25.3708892507169</v>
      </c>
      <c r="BC1140" s="153" t="n">
        <f aca="false">IFERROR(IF($N1140="VCA",INDEX(APOIO_REDES!$A:$W,MATCH($C1140&amp;$I1140&amp;$H1140&amp;$N1140&amp;$O1140,APOIO_REDES!$W:$W,0),MATCH(BC$5,APOIO_REDES!$5:$5,0)),0)*($AI1140+$AQ1140+$AR1140),0)</f>
        <v>0.279079249283143</v>
      </c>
      <c r="BD1140" s="153" t="n">
        <f aca="false">IF(AND($N1140="VCA",$AF1140&gt;=1.25,$AF1140&lt;1.5),$M1140*$AF1140*2,0)</f>
        <v>232.33698</v>
      </c>
      <c r="BE1140" s="153" t="n">
        <f aca="false">IF(AND($N1140="VCA",$AF1140&gt;=1.5,$AF1140&lt;3),$M1140*$AF1140*2,0)</f>
        <v>0</v>
      </c>
      <c r="BF1140" s="153" t="n">
        <f aca="false">IF(AND($N1140="VCA",$AF1140&gt;=3),$M1140*$AF1140*2,0)</f>
        <v>0</v>
      </c>
      <c r="BG1140" s="153" t="n">
        <f aca="false">($BB1140+$BC1140)*$AK1140</f>
        <v>76.9499055</v>
      </c>
      <c r="BH1140" s="153" t="n">
        <f aca="false">IF(AND($M1140&lt;&gt;"",$N1140="VCA",$Q1140="LINEAR"),($M1140*2)/100,IF(AND($M1140&lt;&gt;"",$N1140="MND",$Q1140="EMBOQUE"),($AN1140*2)/100,0))</f>
        <v>1.7046</v>
      </c>
      <c r="BI1140" s="153" t="n">
        <f aca="false">IF(AND($M1140&lt;&gt;"",$N1140="VCA",$Q1140="LINEAR"),$M1140,IF(AND($M1140&lt;&gt;"",$N1140="MND",$Q1140="EMBOQUE"),$AN1140*2,0))</f>
        <v>85.23</v>
      </c>
      <c r="BJ1140" s="153" t="n">
        <f aca="false">IF(AND($M1140&lt;&gt;"",$N1140="VCA",$Q1140="LINEAR"),($M1140*6.8)/100,IF(AND($M1140&lt;&gt;"",$N1140="MND",$Q1140="EMBOQUE"),($AN1140*2*6.8)/100,0))</f>
        <v>5.79564</v>
      </c>
      <c r="BK1140" s="153" t="n">
        <f aca="false">IF(AND($M1140&lt;&gt;"",$N1140="VCA",$Q1140="LINEAR"),($M1140*2.5)/50,IF(AND($M1140&lt;&gt;"",$N1140="MND",$Q1140="EMBOQUE"),($AN1140*2*2.5)/50,0))</f>
        <v>4.2615</v>
      </c>
      <c r="BL1140" s="157" t="str">
        <f aca="false">K1140&amp;J1140</f>
        <v>Zona10REDES</v>
      </c>
      <c r="BM1140" s="152" t="s">
        <v>5703</v>
      </c>
      <c r="BN1140" s="152" t="s">
        <v>1560</v>
      </c>
      <c r="BO1140" s="152" t="s">
        <v>3688</v>
      </c>
      <c r="BP1140" s="152" t="s">
        <v>5833</v>
      </c>
      <c r="BQ1140" s="152" t="s">
        <v>5875</v>
      </c>
      <c r="BR1140" s="152" t="s">
        <v>5876</v>
      </c>
      <c r="BS1140" s="152" t="n">
        <v>203513.74</v>
      </c>
      <c r="BT1140" s="152" t="n">
        <v>8237211.341</v>
      </c>
      <c r="BU1140" s="152" t="n">
        <v>203468.635</v>
      </c>
      <c r="BV1140" s="152" t="n">
        <v>8237140.54</v>
      </c>
      <c r="BW1140" s="152" t="n">
        <v>-15.9269638</v>
      </c>
      <c r="BX1140" s="152" t="n">
        <v>-47.769402</v>
      </c>
      <c r="BY1140" s="152" t="s">
        <v>5833</v>
      </c>
    </row>
    <row r="1141" customFormat="false" ht="13.8" hidden="false" customHeight="false" outlineLevel="0" collapsed="false">
      <c r="A1141" s="149" t="n">
        <f aca="false">IF(C1141&lt;&gt;"",ROW(A1136),"")</f>
        <v>1136</v>
      </c>
      <c r="B1141" s="150" t="str">
        <f aca="false">HYPERLINK("https://www.google.com/maps/dir/-15.917302,-47.760003/-15.9268939,-47.7704134/data=!4m3!4m2!3e0!5i1")</f>
        <v>https://www.google.com/maps/dir/-15.917302,-47.760003/-15.9268939,-47.7704134/data=!4m3!4m2!3e0!5i1</v>
      </c>
      <c r="C1141" s="151" t="s">
        <v>117</v>
      </c>
      <c r="D1141" s="152" t="s">
        <v>112</v>
      </c>
      <c r="E1141" s="152" t="s">
        <v>113</v>
      </c>
      <c r="F1141" s="152" t="s">
        <v>117</v>
      </c>
      <c r="G1141" s="152" t="s">
        <v>782</v>
      </c>
      <c r="H1141" s="152" t="n">
        <v>63</v>
      </c>
      <c r="I1141" s="152" t="s">
        <v>115</v>
      </c>
      <c r="J1141" s="152" t="s">
        <v>6</v>
      </c>
      <c r="K1141" s="152" t="s">
        <v>5700</v>
      </c>
      <c r="L1141" s="152" t="s">
        <v>120</v>
      </c>
      <c r="M1141" s="153" t="n">
        <f aca="false">29.64</f>
        <v>29.64</v>
      </c>
      <c r="N1141" s="152" t="s">
        <v>1548</v>
      </c>
      <c r="O1141" s="152" t="s">
        <v>1549</v>
      </c>
      <c r="P1141" s="152" t="s">
        <v>1550</v>
      </c>
      <c r="Q1141" s="152" t="s">
        <v>1551</v>
      </c>
      <c r="R1141" s="154" t="s">
        <v>5877</v>
      </c>
      <c r="S1141" s="154" t="s">
        <v>1553</v>
      </c>
      <c r="T1141" s="155" t="s">
        <v>3685</v>
      </c>
      <c r="U1141" s="152" t="str">
        <f aca="false">RIGHT(T1141,7)</f>
        <v>012/037</v>
      </c>
      <c r="V1141" s="152" t="s">
        <v>1555</v>
      </c>
      <c r="W1141" s="156" t="n">
        <v>45882</v>
      </c>
      <c r="X1141" s="152" t="s">
        <v>1594</v>
      </c>
      <c r="Y1141" s="152" t="s">
        <v>5799</v>
      </c>
      <c r="Z1141" s="152" t="s">
        <v>1557</v>
      </c>
      <c r="AA1141" s="153" t="n">
        <v>3</v>
      </c>
      <c r="AB1141" s="151" t="s">
        <v>5878</v>
      </c>
      <c r="AC1141" s="151" t="s">
        <v>186</v>
      </c>
      <c r="AD1141" s="151" t="str">
        <f aca="false">CONCATENATE($C1141,$I1141,$H1141,$N1141,$J1141,$K1141)</f>
        <v>TUBO PEADPEAD63VCAREDESZona10</v>
      </c>
      <c r="AE1141" s="153" t="n">
        <f aca="false">IFERROR(INDEX(APOIO_REDES!$A:$W,MATCH($C1141&amp;$I1141&amp;$H1141&amp;$N1141&amp;$O1141,APOIO_REDES!$W:$W,0),MATCH(AE$5,APOIO_REDES!$5:$5,0)),0)</f>
        <v>1.2</v>
      </c>
      <c r="AF1141" s="153" t="n">
        <f aca="false">IFERROR(INDEX(APOIO_REDES!$A:$W,MATCH($C1141&amp;$I1141&amp;$H1141&amp;$N1141&amp;$O1141,APOIO_REDES!$W:$W,0),MATCH(AF$5,APOIO_REDES!$5:$5,0)),0)</f>
        <v>1.363</v>
      </c>
      <c r="AG1141" s="153" t="n">
        <f aca="false">IFERROR(INDEX(APOIO_REDES!$A:$W,MATCH($C1141&amp;$I1141&amp;$H1141&amp;$N1141&amp;$O1141,APOIO_REDES!$W:$W,0),MATCH(AG$5,APOIO_REDES!$5:$5,0)),0)</f>
        <v>0.65</v>
      </c>
      <c r="AH1141" s="153" t="n">
        <f aca="false">IFERROR(INDEX(APOIO_REDES!$A:$W,MATCH($C1141&amp;$I1141&amp;$H1141&amp;$N1141&amp;$O1141,APOIO_REDES!$W:$W,0),MATCH(AH$5,APOIO_REDES!$5:$5,0)),0)</f>
        <v>0.1</v>
      </c>
      <c r="AI1141" s="153" t="n">
        <f aca="false">IFERROR(IF($H1141&lt;&gt;"",(((($H1141/1000)/2)^2)*PI()*$M1141),0),0)</f>
        <v>0.0923951510039454</v>
      </c>
      <c r="AJ1141" s="153" t="n">
        <f aca="false">IFERROR(IF(AND($H1141&lt;&gt;"",$I1141="FoFo",OR($N1141="MND",$N1141="VCA"),$Q1141="LINEAR"),0,IF(AND($H1141&lt;&gt;"",$I1141="PEAD",$N1141="VCA",$Q1141="LINEAR"),($H1141/1000)+0.3,IF(AND($H1141&lt;&gt;"",$I1141="PEAD",$N1141="MND",$Q1141="EMBOQUE"),0,IF(AND($H1141&lt;&gt;"",$I1141="PVC",$N1141="VCA",$Q1141="LINEAR"),($H1141/1000)+0.2,IF(AND($H1141&lt;&gt;"",$I1141="PVC",$N1141="MND",$Q1141="EMBOQUE"),0,IF(AND($H1141&lt;&gt;"",$I1141="PEAD",$N1141="VCA",$Q1141="PREDIAL"),0,0)))))),0)</f>
        <v>0.363</v>
      </c>
      <c r="AK1141" s="153" t="n">
        <f aca="false">IF(AA1141&lt;&gt;"",AA1141,0)</f>
        <v>3</v>
      </c>
      <c r="AL1141" s="153" t="n">
        <f aca="false">IF(AND($N1141="MND",$Q1141="EMBOQUE"),$M1141,IF(AND($N1141="VCA",$Q1141="LINEAR"),$M1141,IF(AND($N1141="VCA",$Q1141="PREDIAL"),0,0)))</f>
        <v>29.64</v>
      </c>
      <c r="AM1141" s="153" t="n">
        <f aca="false">IF(AND($N1141="MND",$Q1141="EMBOQUE"),$M1141,IF(AND($N1141="VCA",$Q1141="LINEAR"),$M1141,IF(AND($N1141="VCA",$Q1141="PREDIAL"),0,0)))</f>
        <v>29.64</v>
      </c>
      <c r="AN1141" s="153" t="n">
        <f aca="false">ROUND(IF(AND($N1141="VCA",$M1141&lt;&gt;"",$Q1141="LINEAR"),$M1141/100,IF(AND($N1141="MND",$M1141&gt;100,$Q1141="EMBOQUE"),$M1141/100,0)),0)</f>
        <v>0</v>
      </c>
      <c r="AO1141" s="153" t="n">
        <f aca="false">IF(AND($N1141="MND",$Q1141="EMBOQUE"),$AN1141*2*2,IF(AND($N1141="VCA",$Q1141="LINEAR"),$M1141*2,IF(AND($N1141="VCA",$Q1141="PREDIAL"),0,0)))</f>
        <v>59.28</v>
      </c>
      <c r="AP1141" s="153" t="n">
        <f aca="false">IFERROR($M1141*$AF1141*$AG1141,0)</f>
        <v>26.259558</v>
      </c>
      <c r="AQ1141" s="153" t="n">
        <f aca="false">IFERROR(IF(AND($N1141="VCA",$AH1141&gt;0),$M1141*$AG1141*$AH1141,0),0)</f>
        <v>1.9266</v>
      </c>
      <c r="AR1141" s="153" t="n">
        <f aca="false">IFERROR(IF(AND($N1141="VCA",$AJ1141&gt;0),($M1141*$AG1141*$AJ1141)-$AI1141,0),0)</f>
        <v>6.90116284899606</v>
      </c>
      <c r="AS1141" s="153" t="n">
        <f aca="false">IFERROR(IF(AND($N1141="VCA",$AP1141&gt;0),$AP1141-$AI1141-$AQ1141-$AR1141,0),0)</f>
        <v>17.3394</v>
      </c>
      <c r="AT1141" s="153" t="n">
        <f aca="false">IFERROR(IF($N1141="VCA",INDEX(APOIO_REDES!$A:$W,MATCH($C1141&amp;$I1141&amp;$H1141&amp;$N1141&amp;$O1141,APOIO_REDES!$W:$W,0),MATCH(AT$5,APOIO_REDES!$5:$5,0)),0)*$AP1141,0)</f>
        <v>0.285711763472425</v>
      </c>
      <c r="AU1141" s="153" t="n">
        <f aca="false">IFERROR(IF($N1141="VCA",INDEX(APOIO_REDES!$A:$W,MATCH($C1141&amp;$I1141&amp;$H1141&amp;$N1141&amp;$O1141,APOIO_REDES!$W:$W,0),MATCH(AU$5,APOIO_REDES!$5:$5,0)),0)*$AP1141,0)</f>
        <v>0.22816167625318</v>
      </c>
      <c r="AV1141" s="153" t="n">
        <f aca="false">IFERROR(IF($N1141="VCA",INDEX(APOIO_REDES!$A:$W,MATCH($C1141&amp;$I1141&amp;$H1141&amp;$N1141&amp;$O1141,APOIO_REDES!$W:$W,0),MATCH(AV$5,APOIO_REDES!$5:$5,0)),0)*$AP1141,0)</f>
        <v>0.0315757848540544</v>
      </c>
      <c r="AW1141" s="153" t="n">
        <f aca="false">IFERROR(IF($N1141="VCA",INDEX(APOIO_REDES!$A:$W,MATCH($C1141&amp;$I1141&amp;$H1141&amp;$N1141&amp;$O1141,APOIO_REDES!$W:$W,0),MATCH(AW$5,APOIO_REDES!$5:$5,0)),0)*$AP1141,0)</f>
        <v>18.0247640801842</v>
      </c>
      <c r="AX1141" s="153" t="n">
        <f aca="false">IFERROR(IF($N1141="VCA",INDEX(APOIO_REDES!$A:$W,MATCH($C1141&amp;$I1141&amp;$H1141&amp;$N1141&amp;$O1141,APOIO_REDES!$W:$W,0),MATCH(AX$5,APOIO_REDES!$5:$5,0)),0)*$AP1141,0)</f>
        <v>2.49457600418511</v>
      </c>
      <c r="AY1141" s="153" t="n">
        <f aca="false">IFERROR(IF($N1141="VCA",INDEX(APOIO_REDES!$A:$W,MATCH($C1141&amp;$I1141&amp;$H1141&amp;$N1141&amp;$O1141,APOIO_REDES!$W:$W,0),MATCH(AY$5,APOIO_REDES!$5:$5,0)),0)*$AP1141,0)</f>
        <v>4.56323074379126</v>
      </c>
      <c r="AZ1141" s="153" t="n">
        <f aca="false">IFERROR(IF($N1141="VCA",INDEX(APOIO_REDES!$A:$W,MATCH($C1141&amp;$I1141&amp;$H1141&amp;$N1141&amp;$O1141,APOIO_REDES!$W:$W,0),MATCH(AZ$5,APOIO_REDES!$5:$5,0)),0)*$AP1141,0)</f>
        <v>0.631537947259792</v>
      </c>
      <c r="BA1141" s="153" t="n">
        <f aca="false">IFERROR(IF(AND($N1141="VCA",$Q1141="LINEAR"),INDEX(APOIO_REDES!$A:$W,MATCH($C1141&amp;$I1141&amp;$H1141&amp;$N1141&amp;$O1141,APOIO_REDES!$W:$W,0),MATCH(BA$5,APOIO_REDES!$5:$5,0)),IF(AND($N1141="MND",$Q1141="EMBOQUE"),INDEX(APOIO_REDES!$A:$W,MATCH($C1141&amp;$I1141&amp;$H1141&amp;$N1141&amp;$O1141,APOIO_REDES!$W:$W,0),MATCH(BA$5,APOIO_REDES!$5:$5,0)),0))*$M1141/10,0)</f>
        <v>2.38890923546469</v>
      </c>
      <c r="BB1141" s="153" t="n">
        <f aca="false">IFERROR(IF($N1141="VCA",INDEX(APOIO_REDES!$A:$W,MATCH($C1141&amp;$I1141&amp;$H1141&amp;$N1141&amp;$O1141,APOIO_REDES!$W:$W,0),MATCH(BB$5,APOIO_REDES!$5:$5,0)),0)*($AI1141+$AQ1141+$AR1141),0)</f>
        <v>8.823104040728</v>
      </c>
      <c r="BC1141" s="153" t="n">
        <f aca="false">IFERROR(IF($N1141="VCA",INDEX(APOIO_REDES!$A:$W,MATCH($C1141&amp;$I1141&amp;$H1141&amp;$N1141&amp;$O1141,APOIO_REDES!$W:$W,0),MATCH(BC$5,APOIO_REDES!$5:$5,0)),0)*($AI1141+$AQ1141+$AR1141),0)</f>
        <v>0.0970539592719977</v>
      </c>
      <c r="BD1141" s="153" t="n">
        <f aca="false">IF(AND($N1141="VCA",$AF1141&gt;=1.25,$AF1141&lt;1.5),$M1141*$AF1141*2,0)</f>
        <v>80.79864</v>
      </c>
      <c r="BE1141" s="153" t="n">
        <f aca="false">IF(AND($N1141="VCA",$AF1141&gt;=1.5,$AF1141&lt;3),$M1141*$AF1141*2,0)</f>
        <v>0</v>
      </c>
      <c r="BF1141" s="153" t="n">
        <f aca="false">IF(AND($N1141="VCA",$AF1141&gt;=3),$M1141*$AF1141*2,0)</f>
        <v>0</v>
      </c>
      <c r="BG1141" s="153" t="n">
        <f aca="false">($BB1141+$BC1141)*$AK1141</f>
        <v>26.760474</v>
      </c>
      <c r="BH1141" s="153" t="n">
        <f aca="false">IF(AND($M1141&lt;&gt;"",$N1141="VCA",$Q1141="LINEAR"),($M1141*2)/100,IF(AND($M1141&lt;&gt;"",$N1141="MND",$Q1141="EMBOQUE"),($AN1141*2)/100,0))</f>
        <v>0.5928</v>
      </c>
      <c r="BI1141" s="153" t="n">
        <f aca="false">IF(AND($M1141&lt;&gt;"",$N1141="VCA",$Q1141="LINEAR"),$M1141,IF(AND($M1141&lt;&gt;"",$N1141="MND",$Q1141="EMBOQUE"),$AN1141*2,0))</f>
        <v>29.64</v>
      </c>
      <c r="BJ1141" s="153" t="n">
        <f aca="false">IF(AND($M1141&lt;&gt;"",$N1141="VCA",$Q1141="LINEAR"),($M1141*6.8)/100,IF(AND($M1141&lt;&gt;"",$N1141="MND",$Q1141="EMBOQUE"),($AN1141*2*6.8)/100,0))</f>
        <v>2.01552</v>
      </c>
      <c r="BK1141" s="153" t="n">
        <f aca="false">IF(AND($M1141&lt;&gt;"",$N1141="VCA",$Q1141="LINEAR"),($M1141*2.5)/50,IF(AND($M1141&lt;&gt;"",$N1141="MND",$Q1141="EMBOQUE"),($AN1141*2*2.5)/50,0))</f>
        <v>1.482</v>
      </c>
      <c r="BL1141" s="157" t="str">
        <f aca="false">K1141&amp;J1141</f>
        <v>Zona10REDES</v>
      </c>
      <c r="BM1141" s="152" t="s">
        <v>5703</v>
      </c>
      <c r="BN1141" s="152" t="s">
        <v>1560</v>
      </c>
      <c r="BO1141" s="152" t="s">
        <v>3688</v>
      </c>
      <c r="BP1141" s="152" t="s">
        <v>5841</v>
      </c>
      <c r="BQ1141" s="152" t="s">
        <v>5879</v>
      </c>
      <c r="BR1141" s="152" t="s">
        <v>5880</v>
      </c>
      <c r="BS1141" s="152" t="n">
        <v>203382.734</v>
      </c>
      <c r="BT1141" s="152" t="n">
        <v>8237182.235</v>
      </c>
      <c r="BU1141" s="152" t="n">
        <v>203408.074</v>
      </c>
      <c r="BV1141" s="152" t="n">
        <v>8237166.904</v>
      </c>
      <c r="BW1141" s="152" t="n">
        <v>-15.926966</v>
      </c>
      <c r="BX1141" s="152" t="n">
        <v>-47.7702968</v>
      </c>
      <c r="BY1141" s="152" t="s">
        <v>5841</v>
      </c>
    </row>
    <row r="1142" customFormat="false" ht="13.8" hidden="false" customHeight="false" outlineLevel="0" collapsed="false">
      <c r="A1142" s="149" t="n">
        <f aca="false">IF(C1142&lt;&gt;"",ROW(A1137),"")</f>
        <v>1137</v>
      </c>
      <c r="B1142" s="150" t="str">
        <f aca="false">HYPERLINK("https://www.google.com/maps/dir/-15.917302,-47.760003/-15.9270354,-47.7701788/data=!4m3!4m2!3e0!5i1")</f>
        <v>https://www.google.com/maps/dir/-15.917302,-47.760003/-15.9270354,-47.7701788/data=!4m3!4m2!3e0!5i1</v>
      </c>
      <c r="C1142" s="151" t="s">
        <v>117</v>
      </c>
      <c r="D1142" s="152" t="s">
        <v>112</v>
      </c>
      <c r="E1142" s="152" t="s">
        <v>113</v>
      </c>
      <c r="F1142" s="152" t="s">
        <v>117</v>
      </c>
      <c r="G1142" s="152" t="s">
        <v>782</v>
      </c>
      <c r="H1142" s="152" t="n">
        <v>63</v>
      </c>
      <c r="I1142" s="152" t="s">
        <v>115</v>
      </c>
      <c r="J1142" s="152" t="s">
        <v>6</v>
      </c>
      <c r="K1142" s="152" t="s">
        <v>5700</v>
      </c>
      <c r="L1142" s="152" t="s">
        <v>120</v>
      </c>
      <c r="M1142" s="153" t="n">
        <f aca="false">21.07</f>
        <v>21.07</v>
      </c>
      <c r="N1142" s="152" t="s">
        <v>1548</v>
      </c>
      <c r="O1142" s="152" t="s">
        <v>1549</v>
      </c>
      <c r="P1142" s="152" t="s">
        <v>1550</v>
      </c>
      <c r="Q1142" s="152" t="s">
        <v>1551</v>
      </c>
      <c r="R1142" s="154" t="s">
        <v>5881</v>
      </c>
      <c r="S1142" s="154" t="s">
        <v>1553</v>
      </c>
      <c r="T1142" s="155" t="s">
        <v>3685</v>
      </c>
      <c r="U1142" s="152" t="str">
        <f aca="false">RIGHT(T1142,7)</f>
        <v>012/037</v>
      </c>
      <c r="V1142" s="152" t="s">
        <v>1555</v>
      </c>
      <c r="W1142" s="156" t="n">
        <v>45882</v>
      </c>
      <c r="X1142" s="152" t="s">
        <v>1594</v>
      </c>
      <c r="Y1142" s="152" t="s">
        <v>2400</v>
      </c>
      <c r="Z1142" s="152" t="s">
        <v>1557</v>
      </c>
      <c r="AA1142" s="153" t="n">
        <v>3</v>
      </c>
      <c r="AB1142" s="151" t="s">
        <v>5882</v>
      </c>
      <c r="AC1142" s="151" t="s">
        <v>186</v>
      </c>
      <c r="AD1142" s="151" t="str">
        <f aca="false">CONCATENATE($C1142,$I1142,$H1142,$N1142,$J1142,$K1142)</f>
        <v>TUBO PEADPEAD63VCAREDESZona10</v>
      </c>
      <c r="AE1142" s="153" t="n">
        <f aca="false">IFERROR(INDEX(APOIO_REDES!$A:$W,MATCH($C1142&amp;$I1142&amp;$H1142&amp;$N1142&amp;$O1142,APOIO_REDES!$W:$W,0),MATCH(AE$5,APOIO_REDES!$5:$5,0)),0)</f>
        <v>1.2</v>
      </c>
      <c r="AF1142" s="153" t="n">
        <f aca="false">IFERROR(INDEX(APOIO_REDES!$A:$W,MATCH($C1142&amp;$I1142&amp;$H1142&amp;$N1142&amp;$O1142,APOIO_REDES!$W:$W,0),MATCH(AF$5,APOIO_REDES!$5:$5,0)),0)</f>
        <v>1.363</v>
      </c>
      <c r="AG1142" s="153" t="n">
        <f aca="false">IFERROR(INDEX(APOIO_REDES!$A:$W,MATCH($C1142&amp;$I1142&amp;$H1142&amp;$N1142&amp;$O1142,APOIO_REDES!$W:$W,0),MATCH(AG$5,APOIO_REDES!$5:$5,0)),0)</f>
        <v>0.65</v>
      </c>
      <c r="AH1142" s="153" t="n">
        <f aca="false">IFERROR(INDEX(APOIO_REDES!$A:$W,MATCH($C1142&amp;$I1142&amp;$H1142&amp;$N1142&amp;$O1142,APOIO_REDES!$W:$W,0),MATCH(AH$5,APOIO_REDES!$5:$5,0)),0)</f>
        <v>0.1</v>
      </c>
      <c r="AI1142" s="153" t="n">
        <f aca="false">IFERROR(IF($H1142&lt;&gt;"",(((($H1142/1000)/2)^2)*PI()*$M1142),0),0)</f>
        <v>0.0656803586927506</v>
      </c>
      <c r="AJ1142" s="153" t="n">
        <f aca="false">IFERROR(IF(AND($H1142&lt;&gt;"",$I1142="FoFo",OR($N1142="MND",$N1142="VCA"),$Q1142="LINEAR"),0,IF(AND($H1142&lt;&gt;"",$I1142="PEAD",$N1142="VCA",$Q1142="LINEAR"),($H1142/1000)+0.3,IF(AND($H1142&lt;&gt;"",$I1142="PEAD",$N1142="MND",$Q1142="EMBOQUE"),0,IF(AND($H1142&lt;&gt;"",$I1142="PVC",$N1142="VCA",$Q1142="LINEAR"),($H1142/1000)+0.2,IF(AND($H1142&lt;&gt;"",$I1142="PVC",$N1142="MND",$Q1142="EMBOQUE"),0,IF(AND($H1142&lt;&gt;"",$I1142="PEAD",$N1142="VCA",$Q1142="PREDIAL"),0,0)))))),0)</f>
        <v>0.363</v>
      </c>
      <c r="AK1142" s="153" t="n">
        <f aca="false">IF(AA1142&lt;&gt;"",AA1142,0)</f>
        <v>3</v>
      </c>
      <c r="AL1142" s="153" t="n">
        <f aca="false">IF(AND($N1142="MND",$Q1142="EMBOQUE"),$M1142,IF(AND($N1142="VCA",$Q1142="LINEAR"),$M1142,IF(AND($N1142="VCA",$Q1142="PREDIAL"),0,0)))</f>
        <v>21.07</v>
      </c>
      <c r="AM1142" s="153" t="n">
        <f aca="false">IF(AND($N1142="MND",$Q1142="EMBOQUE"),$M1142,IF(AND($N1142="VCA",$Q1142="LINEAR"),$M1142,IF(AND($N1142="VCA",$Q1142="PREDIAL"),0,0)))</f>
        <v>21.07</v>
      </c>
      <c r="AN1142" s="153" t="n">
        <f aca="false">ROUND(IF(AND($N1142="VCA",$M1142&lt;&gt;"",$Q1142="LINEAR"),$M1142/100,IF(AND($N1142="MND",$M1142&gt;100,$Q1142="EMBOQUE"),$M1142/100,0)),0)</f>
        <v>0</v>
      </c>
      <c r="AO1142" s="153" t="n">
        <f aca="false">IF(AND($N1142="MND",$Q1142="EMBOQUE"),$AN1142*2*2,IF(AND($N1142="VCA",$Q1142="LINEAR"),$M1142*2,IF(AND($N1142="VCA",$Q1142="PREDIAL"),0,0)))</f>
        <v>42.14</v>
      </c>
      <c r="AP1142" s="153" t="n">
        <f aca="false">IFERROR($M1142*$AF1142*$AG1142,0)</f>
        <v>18.6669665</v>
      </c>
      <c r="AQ1142" s="153" t="n">
        <f aca="false">IFERROR(IF(AND($N1142="VCA",$AH1142&gt;0),$M1142*$AG1142*$AH1142,0),0)</f>
        <v>1.36955</v>
      </c>
      <c r="AR1142" s="153" t="n">
        <f aca="false">IFERROR(IF(AND($N1142="VCA",$AJ1142&gt;0),($M1142*$AG1142*$AJ1142)-$AI1142,0),0)</f>
        <v>4.90578614130725</v>
      </c>
      <c r="AS1142" s="153" t="n">
        <f aca="false">IFERROR(IF(AND($N1142="VCA",$AP1142&gt;0),$AP1142-$AI1142-$AQ1142-$AR1142,0),0)</f>
        <v>12.32595</v>
      </c>
      <c r="AT1142" s="153" t="n">
        <f aca="false">IFERROR(IF($N1142="VCA",INDEX(APOIO_REDES!$A:$W,MATCH($C1142&amp;$I1142&amp;$H1142&amp;$N1142&amp;$O1142,APOIO_REDES!$W:$W,0),MATCH(AT$5,APOIO_REDES!$5:$5,0)),0)*$AP1142,0)</f>
        <v>0.203102120660054</v>
      </c>
      <c r="AU1142" s="153" t="n">
        <f aca="false">IFERROR(IF($N1142="VCA",INDEX(APOIO_REDES!$A:$W,MATCH($C1142&amp;$I1142&amp;$H1142&amp;$N1142&amp;$O1142,APOIO_REDES!$W:$W,0),MATCH(AU$5,APOIO_REDES!$5:$5,0)),0)*$AP1142,0)</f>
        <v>0.16219185285609</v>
      </c>
      <c r="AV1142" s="153" t="n">
        <f aca="false">IFERROR(IF($N1142="VCA",INDEX(APOIO_REDES!$A:$W,MATCH($C1142&amp;$I1142&amp;$H1142&amp;$N1142&amp;$O1142,APOIO_REDES!$W:$W,0),MATCH(AV$5,APOIO_REDES!$5:$5,0)),0)*$AP1142,0)</f>
        <v>0.022446079179316</v>
      </c>
      <c r="AW1142" s="153" t="n">
        <f aca="false">IFERROR(IF($N1142="VCA",INDEX(APOIO_REDES!$A:$W,MATCH($C1142&amp;$I1142&amp;$H1142&amp;$N1142&amp;$O1142,APOIO_REDES!$W:$W,0),MATCH(AW$5,APOIO_REDES!$5:$5,0)),0)*$AP1142,0)</f>
        <v>12.8131504443145</v>
      </c>
      <c r="AX1142" s="153" t="n">
        <f aca="false">IFERROR(IF($N1142="VCA",INDEX(APOIO_REDES!$A:$W,MATCH($C1142&amp;$I1142&amp;$H1142&amp;$N1142&amp;$O1142,APOIO_REDES!$W:$W,0),MATCH(AX$5,APOIO_REDES!$5:$5,0)),0)*$AP1142,0)</f>
        <v>1.7733035225432</v>
      </c>
      <c r="AY1142" s="153" t="n">
        <f aca="false">IFERROR(IF($N1142="VCA",INDEX(APOIO_REDES!$A:$W,MATCH($C1142&amp;$I1142&amp;$H1142&amp;$N1142&amp;$O1142,APOIO_REDES!$W:$W,0),MATCH(AY$5,APOIO_REDES!$5:$5,0)),0)*$AP1142,0)</f>
        <v>3.24383508001625</v>
      </c>
      <c r="AZ1142" s="153" t="n">
        <f aca="false">IFERROR(IF($N1142="VCA",INDEX(APOIO_REDES!$A:$W,MATCH($C1142&amp;$I1142&amp;$H1142&amp;$N1142&amp;$O1142,APOIO_REDES!$W:$W,0),MATCH(AZ$5,APOIO_REDES!$5:$5,0)),0)*$AP1142,0)</f>
        <v>0.448937400430628</v>
      </c>
      <c r="BA1142" s="153" t="n">
        <f aca="false">IFERROR(IF(AND($N1142="VCA",$Q1142="LINEAR"),INDEX(APOIO_REDES!$A:$W,MATCH($C1142&amp;$I1142&amp;$H1142&amp;$N1142&amp;$O1142,APOIO_REDES!$W:$W,0),MATCH(BA$5,APOIO_REDES!$5:$5,0)),IF(AND($N1142="MND",$Q1142="EMBOQUE"),INDEX(APOIO_REDES!$A:$W,MATCH($C1142&amp;$I1142&amp;$H1142&amp;$N1142&amp;$O1142,APOIO_REDES!$W:$W,0),MATCH(BA$5,APOIO_REDES!$5:$5,0)),0))*$M1142/10,0)</f>
        <v>1.69818885260597</v>
      </c>
      <c r="BB1142" s="153" t="n">
        <f aca="false">IFERROR(IF($N1142="VCA",INDEX(APOIO_REDES!$A:$W,MATCH($C1142&amp;$I1142&amp;$H1142&amp;$N1142&amp;$O1142,APOIO_REDES!$W:$W,0),MATCH(BB$5,APOIO_REDES!$5:$5,0)),0)*($AI1142+$AQ1142+$AR1142),0)</f>
        <v>6.27202436363492</v>
      </c>
      <c r="BC1142" s="153" t="n">
        <f aca="false">IFERROR(IF($N1142="VCA",INDEX(APOIO_REDES!$A:$W,MATCH($C1142&amp;$I1142&amp;$H1142&amp;$N1142&amp;$O1142,APOIO_REDES!$W:$W,0),MATCH(BC$5,APOIO_REDES!$5:$5,0)),0)*($AI1142+$AQ1142+$AR1142),0)</f>
        <v>0.0689921363650807</v>
      </c>
      <c r="BD1142" s="153" t="n">
        <f aca="false">IF(AND($N1142="VCA",$AF1142&gt;=1.25,$AF1142&lt;1.5),$M1142*$AF1142*2,0)</f>
        <v>57.43682</v>
      </c>
      <c r="BE1142" s="153" t="n">
        <f aca="false">IF(AND($N1142="VCA",$AF1142&gt;=1.5,$AF1142&lt;3),$M1142*$AF1142*2,0)</f>
        <v>0</v>
      </c>
      <c r="BF1142" s="153" t="n">
        <f aca="false">IF(AND($N1142="VCA",$AF1142&gt;=3),$M1142*$AF1142*2,0)</f>
        <v>0</v>
      </c>
      <c r="BG1142" s="153" t="n">
        <f aca="false">($BB1142+$BC1142)*$AK1142</f>
        <v>19.0230495</v>
      </c>
      <c r="BH1142" s="153" t="n">
        <f aca="false">IF(AND($M1142&lt;&gt;"",$N1142="VCA",$Q1142="LINEAR"),($M1142*2)/100,IF(AND($M1142&lt;&gt;"",$N1142="MND",$Q1142="EMBOQUE"),($AN1142*2)/100,0))</f>
        <v>0.4214</v>
      </c>
      <c r="BI1142" s="153" t="n">
        <f aca="false">IF(AND($M1142&lt;&gt;"",$N1142="VCA",$Q1142="LINEAR"),$M1142,IF(AND($M1142&lt;&gt;"",$N1142="MND",$Q1142="EMBOQUE"),$AN1142*2,0))</f>
        <v>21.07</v>
      </c>
      <c r="BJ1142" s="153" t="n">
        <f aca="false">IF(AND($M1142&lt;&gt;"",$N1142="VCA",$Q1142="LINEAR"),($M1142*6.8)/100,IF(AND($M1142&lt;&gt;"",$N1142="MND",$Q1142="EMBOQUE"),($AN1142*2*6.8)/100,0))</f>
        <v>1.43276</v>
      </c>
      <c r="BK1142" s="153" t="n">
        <f aca="false">IF(AND($M1142&lt;&gt;"",$N1142="VCA",$Q1142="LINEAR"),($M1142*2.5)/50,IF(AND($M1142&lt;&gt;"",$N1142="MND",$Q1142="EMBOQUE"),($AN1142*2*2.5)/50,0))</f>
        <v>1.0535</v>
      </c>
      <c r="BL1142" s="157" t="str">
        <f aca="false">K1142&amp;J1142</f>
        <v>Zona10REDES</v>
      </c>
      <c r="BM1142" s="152" t="s">
        <v>5703</v>
      </c>
      <c r="BN1142" s="152" t="s">
        <v>1560</v>
      </c>
      <c r="BO1142" s="152" t="s">
        <v>3688</v>
      </c>
      <c r="BP1142" s="152" t="s">
        <v>5879</v>
      </c>
      <c r="BQ1142" s="152" t="s">
        <v>5864</v>
      </c>
      <c r="BR1142" s="152" t="s">
        <v>5883</v>
      </c>
      <c r="BS1142" s="152" t="n">
        <v>203408.074</v>
      </c>
      <c r="BT1142" s="152" t="n">
        <v>8237166.904</v>
      </c>
      <c r="BU1142" s="152" t="n">
        <v>203426.919</v>
      </c>
      <c r="BV1142" s="152" t="n">
        <v>8237157.546</v>
      </c>
      <c r="BW1142" s="152" t="n">
        <v>-15.9270764</v>
      </c>
      <c r="BX1142" s="152" t="n">
        <v>-47.7700901</v>
      </c>
      <c r="BY1142" s="152" t="s">
        <v>5879</v>
      </c>
    </row>
    <row r="1143" customFormat="false" ht="13.8" hidden="false" customHeight="false" outlineLevel="0" collapsed="false">
      <c r="A1143" s="149" t="n">
        <f aca="false">IF(C1143&lt;&gt;"",ROW(A1138),"")</f>
        <v>1138</v>
      </c>
      <c r="B1143" s="150" t="str">
        <f aca="false">HYPERLINK("https://www.google.com/maps/dir/-15.917302,-47.760003/-15.9266609,-47.7709777/data=!4m3!4m2!3e0!5i0")</f>
        <v>https://www.google.com/maps/dir/-15.917302,-47.760003/-15.9266609,-47.7709777/data=!4m3!4m2!3e0!5i0</v>
      </c>
      <c r="C1143" s="151" t="s">
        <v>117</v>
      </c>
      <c r="D1143" s="152" t="s">
        <v>112</v>
      </c>
      <c r="E1143" s="152" t="s">
        <v>113</v>
      </c>
      <c r="F1143" s="152" t="s">
        <v>117</v>
      </c>
      <c r="G1143" s="152" t="s">
        <v>782</v>
      </c>
      <c r="H1143" s="152" t="n">
        <v>90</v>
      </c>
      <c r="I1143" s="152" t="s">
        <v>115</v>
      </c>
      <c r="J1143" s="152" t="s">
        <v>6</v>
      </c>
      <c r="K1143" s="152" t="s">
        <v>5700</v>
      </c>
      <c r="L1143" s="152" t="s">
        <v>120</v>
      </c>
      <c r="M1143" s="153" t="n">
        <f aca="false">107.92</f>
        <v>107.92</v>
      </c>
      <c r="N1143" s="152" t="s">
        <v>1548</v>
      </c>
      <c r="O1143" s="152" t="s">
        <v>1549</v>
      </c>
      <c r="P1143" s="152" t="s">
        <v>1550</v>
      </c>
      <c r="Q1143" s="152" t="s">
        <v>1551</v>
      </c>
      <c r="R1143" s="154" t="s">
        <v>5884</v>
      </c>
      <c r="S1143" s="154" t="s">
        <v>1593</v>
      </c>
      <c r="T1143" s="155" t="s">
        <v>3685</v>
      </c>
      <c r="U1143" s="152" t="str">
        <f aca="false">RIGHT(T1143,7)</f>
        <v>012/037</v>
      </c>
      <c r="V1143" s="152" t="s">
        <v>1555</v>
      </c>
      <c r="W1143" s="156" t="n">
        <v>45882</v>
      </c>
      <c r="X1143" s="152" t="s">
        <v>1594</v>
      </c>
      <c r="Y1143" s="152" t="s">
        <v>2400</v>
      </c>
      <c r="Z1143" s="152" t="s">
        <v>1557</v>
      </c>
      <c r="AA1143" s="153" t="n">
        <v>3.1</v>
      </c>
      <c r="AB1143" s="151" t="s">
        <v>5885</v>
      </c>
      <c r="AC1143" s="151" t="s">
        <v>526</v>
      </c>
      <c r="AD1143" s="151" t="str">
        <f aca="false">CONCATENATE($C1143,$I1143,$H1143,$N1143,$J1143,$K1143)</f>
        <v>TUBO PEADPEAD90VCAREDESZona10</v>
      </c>
      <c r="AE1143" s="153" t="n">
        <f aca="false">IFERROR(INDEX(APOIO_REDES!$A:$W,MATCH($C1143&amp;$I1143&amp;$H1143&amp;$N1143&amp;$O1143,APOIO_REDES!$W:$W,0),MATCH(AE$5,APOIO_REDES!$5:$5,0)),0)</f>
        <v>1.2</v>
      </c>
      <c r="AF1143" s="153" t="n">
        <f aca="false">IFERROR(INDEX(APOIO_REDES!$A:$W,MATCH($C1143&amp;$I1143&amp;$H1143&amp;$N1143&amp;$O1143,APOIO_REDES!$W:$W,0),MATCH(AF$5,APOIO_REDES!$5:$5,0)),0)</f>
        <v>1.39</v>
      </c>
      <c r="AG1143" s="153" t="n">
        <f aca="false">IFERROR(INDEX(APOIO_REDES!$A:$W,MATCH($C1143&amp;$I1143&amp;$H1143&amp;$N1143&amp;$O1143,APOIO_REDES!$W:$W,0),MATCH(AG$5,APOIO_REDES!$5:$5,0)),0)</f>
        <v>0.75</v>
      </c>
      <c r="AH1143" s="153" t="n">
        <f aca="false">IFERROR(INDEX(APOIO_REDES!$A:$W,MATCH($C1143&amp;$I1143&amp;$H1143&amp;$N1143&amp;$O1143,APOIO_REDES!$W:$W,0),MATCH(AH$5,APOIO_REDES!$5:$5,0)),0)</f>
        <v>0.1</v>
      </c>
      <c r="AI1143" s="153" t="n">
        <f aca="false">IFERROR(IF($H1143&lt;&gt;"",(((($H1143/1000)/2)^2)*PI()*$M1143),0),0)</f>
        <v>0.686557375330206</v>
      </c>
      <c r="AJ1143" s="153" t="n">
        <f aca="false">IFERROR(IF(AND($H1143&lt;&gt;"",$I1143="FoFo",OR($N1143="MND",$N1143="VCA"),$Q1143="LINEAR"),0,IF(AND($H1143&lt;&gt;"",$I1143="PEAD",$N1143="VCA",$Q1143="LINEAR"),($H1143/1000)+0.3,IF(AND($H1143&lt;&gt;"",$I1143="PEAD",$N1143="MND",$Q1143="EMBOQUE"),0,IF(AND($H1143&lt;&gt;"",$I1143="PVC",$N1143="VCA",$Q1143="LINEAR"),($H1143/1000)+0.2,IF(AND($H1143&lt;&gt;"",$I1143="PVC",$N1143="MND",$Q1143="EMBOQUE"),0,IF(AND($H1143&lt;&gt;"",$I1143="PEAD",$N1143="VCA",$Q1143="PREDIAL"),0,0)))))),0)</f>
        <v>0.39</v>
      </c>
      <c r="AK1143" s="153" t="n">
        <f aca="false">IF(AA1143&lt;&gt;"",AA1143,0)</f>
        <v>3.1</v>
      </c>
      <c r="AL1143" s="153" t="n">
        <f aca="false">IF(AND($N1143="MND",$Q1143="EMBOQUE"),$M1143,IF(AND($N1143="VCA",$Q1143="LINEAR"),$M1143,IF(AND($N1143="VCA",$Q1143="PREDIAL"),0,0)))</f>
        <v>107.92</v>
      </c>
      <c r="AM1143" s="153" t="n">
        <f aca="false">IF(AND($N1143="MND",$Q1143="EMBOQUE"),$M1143,IF(AND($N1143="VCA",$Q1143="LINEAR"),$M1143,IF(AND($N1143="VCA",$Q1143="PREDIAL"),0,0)))</f>
        <v>107.92</v>
      </c>
      <c r="AN1143" s="153" t="n">
        <f aca="false">ROUND(IF(AND($N1143="VCA",$M1143&lt;&gt;"",$Q1143="LINEAR"),$M1143/100,IF(AND($N1143="MND",$M1143&gt;100,$Q1143="EMBOQUE"),$M1143/100,0)),0)</f>
        <v>1</v>
      </c>
      <c r="AO1143" s="153" t="n">
        <f aca="false">IF(AND($N1143="MND",$Q1143="EMBOQUE"),$AN1143*2*2,IF(AND($N1143="VCA",$Q1143="LINEAR"),$M1143*2,IF(AND($N1143="VCA",$Q1143="PREDIAL"),0,0)))</f>
        <v>215.84</v>
      </c>
      <c r="AP1143" s="153" t="n">
        <f aca="false">IFERROR($M1143*$AF1143*$AG1143,0)</f>
        <v>112.5066</v>
      </c>
      <c r="AQ1143" s="153" t="n">
        <f aca="false">IFERROR(IF(AND($N1143="VCA",$AH1143&gt;0),$M1143*$AG1143*$AH1143,0),0)</f>
        <v>8.094</v>
      </c>
      <c r="AR1143" s="153" t="n">
        <f aca="false">IFERROR(IF(AND($N1143="VCA",$AJ1143&gt;0),($M1143*$AG1143*$AJ1143)-$AI1143,0),0)</f>
        <v>30.8800426246698</v>
      </c>
      <c r="AS1143" s="153" t="n">
        <f aca="false">IFERROR(IF(AND($N1143="VCA",$AP1143&gt;0),$AP1143-$AI1143-$AQ1143-$AR1143,0),0)</f>
        <v>72.846</v>
      </c>
      <c r="AT1143" s="153" t="n">
        <f aca="false">IFERROR(IF($N1143="VCA",INDEX(APOIO_REDES!$A:$W,MATCH($C1143&amp;$I1143&amp;$H1143&amp;$N1143&amp;$O1143,APOIO_REDES!$W:$W,0),MATCH(AT$5,APOIO_REDES!$5:$5,0)),0)*$AP1143,0)</f>
        <v>1.22410510825379</v>
      </c>
      <c r="AU1143" s="153" t="n">
        <f aca="false">IFERROR(IF($N1143="VCA",INDEX(APOIO_REDES!$A:$W,MATCH($C1143&amp;$I1143&amp;$H1143&amp;$N1143&amp;$O1143,APOIO_REDES!$W:$W,0),MATCH(AU$5,APOIO_REDES!$5:$5,0)),0)*$AP1143,0)</f>
        <v>0.977537186480671</v>
      </c>
      <c r="AV1143" s="153" t="n">
        <f aca="false">IFERROR(IF($N1143="VCA",INDEX(APOIO_REDES!$A:$W,MATCH($C1143&amp;$I1143&amp;$H1143&amp;$N1143&amp;$O1143,APOIO_REDES!$W:$W,0),MATCH(AV$5,APOIO_REDES!$5:$5,0)),0)*$AP1143,0)</f>
        <v>0.135283472641129</v>
      </c>
      <c r="AW1143" s="153" t="n">
        <f aca="false">IFERROR(IF($N1143="VCA",INDEX(APOIO_REDES!$A:$W,MATCH($C1143&amp;$I1143&amp;$H1143&amp;$N1143&amp;$O1143,APOIO_REDES!$W:$W,0),MATCH(AW$5,APOIO_REDES!$5:$5,0)),0)*$AP1143,0)</f>
        <v>77.2254019836758</v>
      </c>
      <c r="AX1143" s="153" t="n">
        <f aca="false">IFERROR(IF($N1143="VCA",INDEX(APOIO_REDES!$A:$W,MATCH($C1143&amp;$I1143&amp;$H1143&amp;$N1143&amp;$O1143,APOIO_REDES!$W:$W,0),MATCH(AX$5,APOIO_REDES!$5:$5,0)),0)*$AP1143,0)</f>
        <v>10.6877756538192</v>
      </c>
      <c r="AY1143" s="153" t="n">
        <f aca="false">IFERROR(IF($N1143="VCA",INDEX(APOIO_REDES!$A:$W,MATCH($C1143&amp;$I1143&amp;$H1143&amp;$N1143&amp;$O1143,APOIO_REDES!$W:$W,0),MATCH(AY$5,APOIO_REDES!$5:$5,0)),0)*$AP1143,0)</f>
        <v>19.5507318135144</v>
      </c>
      <c r="AZ1143" s="153" t="n">
        <f aca="false">IFERROR(IF($N1143="VCA",INDEX(APOIO_REDES!$A:$W,MATCH($C1143&amp;$I1143&amp;$H1143&amp;$N1143&amp;$O1143,APOIO_REDES!$W:$W,0),MATCH(AZ$5,APOIO_REDES!$5:$5,0)),0)*$AP1143,0)</f>
        <v>2.70576478161508</v>
      </c>
      <c r="BA1143" s="153" t="n">
        <f aca="false">IFERROR(IF(AND($N1143="VCA",$Q1143="LINEAR"),INDEX(APOIO_REDES!$A:$W,MATCH($C1143&amp;$I1143&amp;$H1143&amp;$N1143&amp;$O1143,APOIO_REDES!$W:$W,0),MATCH(BA$5,APOIO_REDES!$5:$5,0)),IF(AND($N1143="MND",$Q1143="EMBOQUE"),INDEX(APOIO_REDES!$A:$W,MATCH($C1143&amp;$I1143&amp;$H1143&amp;$N1143&amp;$O1143,APOIO_REDES!$W:$W,0),MATCH(BA$5,APOIO_REDES!$5:$5,0)),0))*$M1143/10,0)</f>
        <v>8.69807978040989</v>
      </c>
      <c r="BB1143" s="153" t="n">
        <f aca="false">IFERROR(IF($N1143="VCA",INDEX(APOIO_REDES!$A:$W,MATCH($C1143&amp;$I1143&amp;$H1143&amp;$N1143&amp;$O1143,APOIO_REDES!$W:$W,0),MATCH(BB$5,APOIO_REDES!$5:$5,0)),0)*($AI1143+$AQ1143+$AR1143),0)</f>
        <v>39.2290809330616</v>
      </c>
      <c r="BC1143" s="153" t="n">
        <f aca="false">IFERROR(IF($N1143="VCA",INDEX(APOIO_REDES!$A:$W,MATCH($C1143&amp;$I1143&amp;$H1143&amp;$N1143&amp;$O1143,APOIO_REDES!$W:$W,0),MATCH(BC$5,APOIO_REDES!$5:$5,0)),0)*($AI1143+$AQ1143+$AR1143),0)</f>
        <v>0.431519066938387</v>
      </c>
      <c r="BD1143" s="153" t="n">
        <f aca="false">IF(AND($N1143="VCA",$AF1143&gt;=1.25,$AF1143&lt;1.5),$M1143*$AF1143*2,0)</f>
        <v>300.0176</v>
      </c>
      <c r="BE1143" s="153" t="n">
        <f aca="false">IF(AND($N1143="VCA",$AF1143&gt;=1.5,$AF1143&lt;3),$M1143*$AF1143*2,0)</f>
        <v>0</v>
      </c>
      <c r="BF1143" s="153" t="n">
        <f aca="false">IF(AND($N1143="VCA",$AF1143&gt;=3),$M1143*$AF1143*2,0)</f>
        <v>0</v>
      </c>
      <c r="BG1143" s="153" t="n">
        <f aca="false">($BB1143+$BC1143)*$AK1143</f>
        <v>122.94786</v>
      </c>
      <c r="BH1143" s="153" t="n">
        <f aca="false">IF(AND($M1143&lt;&gt;"",$N1143="VCA",$Q1143="LINEAR"),($M1143*2)/100,IF(AND($M1143&lt;&gt;"",$N1143="MND",$Q1143="EMBOQUE"),($AN1143*2)/100,0))</f>
        <v>2.1584</v>
      </c>
      <c r="BI1143" s="153" t="n">
        <f aca="false">IF(AND($M1143&lt;&gt;"",$N1143="VCA",$Q1143="LINEAR"),$M1143,IF(AND($M1143&lt;&gt;"",$N1143="MND",$Q1143="EMBOQUE"),$AN1143*2,0))</f>
        <v>107.92</v>
      </c>
      <c r="BJ1143" s="153" t="n">
        <f aca="false">IF(AND($M1143&lt;&gt;"",$N1143="VCA",$Q1143="LINEAR"),($M1143*6.8)/100,IF(AND($M1143&lt;&gt;"",$N1143="MND",$Q1143="EMBOQUE"),($AN1143*2*6.8)/100,0))</f>
        <v>7.33856</v>
      </c>
      <c r="BK1143" s="153" t="n">
        <f aca="false">IF(AND($M1143&lt;&gt;"",$N1143="VCA",$Q1143="LINEAR"),($M1143*2.5)/50,IF(AND($M1143&lt;&gt;"",$N1143="MND",$Q1143="EMBOQUE"),($AN1143*2*2.5)/50,0))</f>
        <v>5.396</v>
      </c>
      <c r="BL1143" s="157" t="str">
        <f aca="false">K1143&amp;J1143</f>
        <v>Zona10REDES</v>
      </c>
      <c r="BM1143" s="152" t="s">
        <v>5703</v>
      </c>
      <c r="BN1143" s="152" t="s">
        <v>1560</v>
      </c>
      <c r="BO1143" s="152" t="s">
        <v>3688</v>
      </c>
      <c r="BP1143" s="152" t="s">
        <v>5837</v>
      </c>
      <c r="BQ1143" s="152" t="s">
        <v>5886</v>
      </c>
      <c r="BR1143" s="152" t="s">
        <v>5887</v>
      </c>
      <c r="BS1143" s="152" t="n">
        <v>203321.932</v>
      </c>
      <c r="BT1143" s="152" t="n">
        <v>8237207.238</v>
      </c>
      <c r="BU1143" s="152" t="n">
        <v>203272.53</v>
      </c>
      <c r="BV1143" s="152" t="n">
        <v>8237111.32</v>
      </c>
      <c r="BW1143" s="152" t="n">
        <v>-15.9270882</v>
      </c>
      <c r="BX1143" s="152" t="n">
        <v>-47.7712195</v>
      </c>
      <c r="BY1143" s="152" t="s">
        <v>5837</v>
      </c>
    </row>
    <row r="1144" customFormat="false" ht="13.8" hidden="false" customHeight="false" outlineLevel="0" collapsed="false">
      <c r="A1144" s="149" t="n">
        <f aca="false">IF(C1144&lt;&gt;"",ROW(A1139),"")</f>
        <v>1139</v>
      </c>
      <c r="B1144" s="150" t="str">
        <f aca="false">HYPERLINK("https://www.google.com/maps/dir/-15.917302,-47.760003/-15.9275194,-47.7709561/data=!4m3!4m2!3e0!5i0")</f>
        <v>https://www.google.com/maps/dir/-15.917302,-47.760003/-15.9275194,-47.7709561/data=!4m3!4m2!3e0!5i0</v>
      </c>
      <c r="C1144" s="151" t="s">
        <v>117</v>
      </c>
      <c r="D1144" s="152" t="s">
        <v>112</v>
      </c>
      <c r="E1144" s="152" t="s">
        <v>113</v>
      </c>
      <c r="F1144" s="152" t="s">
        <v>117</v>
      </c>
      <c r="G1144" s="152" t="s">
        <v>782</v>
      </c>
      <c r="H1144" s="152" t="n">
        <v>63</v>
      </c>
      <c r="I1144" s="152" t="s">
        <v>115</v>
      </c>
      <c r="J1144" s="152" t="s">
        <v>6</v>
      </c>
      <c r="K1144" s="152" t="s">
        <v>5700</v>
      </c>
      <c r="L1144" s="152" t="s">
        <v>120</v>
      </c>
      <c r="M1144" s="153" t="n">
        <f aca="false">100.01+0.45</f>
        <v>100.46</v>
      </c>
      <c r="N1144" s="152" t="s">
        <v>1548</v>
      </c>
      <c r="O1144" s="152" t="s">
        <v>1549</v>
      </c>
      <c r="P1144" s="152" t="s">
        <v>1550</v>
      </c>
      <c r="Q1144" s="152" t="s">
        <v>1551</v>
      </c>
      <c r="R1144" s="154" t="s">
        <v>5888</v>
      </c>
      <c r="S1144" s="154" t="s">
        <v>1553</v>
      </c>
      <c r="T1144" s="155" t="s">
        <v>3685</v>
      </c>
      <c r="U1144" s="152" t="str">
        <f aca="false">RIGHT(T1144,7)</f>
        <v>012/037</v>
      </c>
      <c r="V1144" s="152" t="s">
        <v>1555</v>
      </c>
      <c r="W1144" s="156" t="n">
        <v>45882</v>
      </c>
      <c r="X1144" s="152" t="s">
        <v>1594</v>
      </c>
      <c r="Y1144" s="152" t="s">
        <v>2400</v>
      </c>
      <c r="Z1144" s="152" t="s">
        <v>1557</v>
      </c>
      <c r="AA1144" s="153" t="n">
        <v>3</v>
      </c>
      <c r="AB1144" s="151" t="s">
        <v>5889</v>
      </c>
      <c r="AC1144" s="151" t="s">
        <v>186</v>
      </c>
      <c r="AD1144" s="151" t="str">
        <f aca="false">CONCATENATE($C1144,$I1144,$H1144,$N1144,$J1144,$K1144)</f>
        <v>TUBO PEADPEAD63VCAREDESZona10</v>
      </c>
      <c r="AE1144" s="153" t="n">
        <f aca="false">IFERROR(INDEX(APOIO_REDES!$A:$W,MATCH($C1144&amp;$I1144&amp;$H1144&amp;$N1144&amp;$O1144,APOIO_REDES!$W:$W,0),MATCH(AE$5,APOIO_REDES!$5:$5,0)),0)</f>
        <v>1.2</v>
      </c>
      <c r="AF1144" s="153" t="n">
        <f aca="false">IFERROR(INDEX(APOIO_REDES!$A:$W,MATCH($C1144&amp;$I1144&amp;$H1144&amp;$N1144&amp;$O1144,APOIO_REDES!$W:$W,0),MATCH(AF$5,APOIO_REDES!$5:$5,0)),0)</f>
        <v>1.363</v>
      </c>
      <c r="AG1144" s="153" t="n">
        <f aca="false">IFERROR(INDEX(APOIO_REDES!$A:$W,MATCH($C1144&amp;$I1144&amp;$H1144&amp;$N1144&amp;$O1144,APOIO_REDES!$W:$W,0),MATCH(AG$5,APOIO_REDES!$5:$5,0)),0)</f>
        <v>0.65</v>
      </c>
      <c r="AH1144" s="153" t="n">
        <f aca="false">IFERROR(INDEX(APOIO_REDES!$A:$W,MATCH($C1144&amp;$I1144&amp;$H1144&amp;$N1144&amp;$O1144,APOIO_REDES!$W:$W,0),MATCH(AH$5,APOIO_REDES!$5:$5,0)),0)</f>
        <v>0.1</v>
      </c>
      <c r="AI1144" s="153" t="n">
        <f aca="false">IFERROR(IF($H1144&lt;&gt;"",(((($H1144/1000)/2)^2)*PI()*$M1144),0),0)</f>
        <v>0.313158463895289</v>
      </c>
      <c r="AJ1144" s="153" t="n">
        <f aca="false">IFERROR(IF(AND($H1144&lt;&gt;"",$I1144="FoFo",OR($N1144="MND",$N1144="VCA"),$Q1144="LINEAR"),0,IF(AND($H1144&lt;&gt;"",$I1144="PEAD",$N1144="VCA",$Q1144="LINEAR"),($H1144/1000)+0.3,IF(AND($H1144&lt;&gt;"",$I1144="PEAD",$N1144="MND",$Q1144="EMBOQUE"),0,IF(AND($H1144&lt;&gt;"",$I1144="PVC",$N1144="VCA",$Q1144="LINEAR"),($H1144/1000)+0.2,IF(AND($H1144&lt;&gt;"",$I1144="PVC",$N1144="MND",$Q1144="EMBOQUE"),0,IF(AND($H1144&lt;&gt;"",$I1144="PEAD",$N1144="VCA",$Q1144="PREDIAL"),0,0)))))),0)</f>
        <v>0.363</v>
      </c>
      <c r="AK1144" s="153" t="n">
        <f aca="false">IF(AA1144&lt;&gt;"",AA1144,0)</f>
        <v>3</v>
      </c>
      <c r="AL1144" s="153" t="n">
        <f aca="false">IF(AND($N1144="MND",$Q1144="EMBOQUE"),$M1144,IF(AND($N1144="VCA",$Q1144="LINEAR"),$M1144,IF(AND($N1144="VCA",$Q1144="PREDIAL"),0,0)))</f>
        <v>100.46</v>
      </c>
      <c r="AM1144" s="153" t="n">
        <f aca="false">IF(AND($N1144="MND",$Q1144="EMBOQUE"),$M1144,IF(AND($N1144="VCA",$Q1144="LINEAR"),$M1144,IF(AND($N1144="VCA",$Q1144="PREDIAL"),0,0)))</f>
        <v>100.46</v>
      </c>
      <c r="AN1144" s="153" t="n">
        <f aca="false">ROUND(IF(AND($N1144="VCA",$M1144&lt;&gt;"",$Q1144="LINEAR"),$M1144/100,IF(AND($N1144="MND",$M1144&gt;100,$Q1144="EMBOQUE"),$M1144/100,0)),0)</f>
        <v>1</v>
      </c>
      <c r="AO1144" s="153" t="n">
        <f aca="false">IF(AND($N1144="MND",$Q1144="EMBOQUE"),$AN1144*2*2,IF(AND($N1144="VCA",$Q1144="LINEAR"),$M1144*2,IF(AND($N1144="VCA",$Q1144="PREDIAL"),0,0)))</f>
        <v>200.92</v>
      </c>
      <c r="AP1144" s="153" t="n">
        <f aca="false">IFERROR($M1144*$AF1144*$AG1144,0)</f>
        <v>89.002537</v>
      </c>
      <c r="AQ1144" s="153" t="n">
        <f aca="false">IFERROR(IF(AND($N1144="VCA",$AH1144&gt;0),$M1144*$AG1144*$AH1144,0),0)</f>
        <v>6.5299</v>
      </c>
      <c r="AR1144" s="153" t="n">
        <f aca="false">IFERROR(IF(AND($N1144="VCA",$AJ1144&gt;0),($M1144*$AG1144*$AJ1144)-$AI1144,0),0)</f>
        <v>23.3903785361047</v>
      </c>
      <c r="AS1144" s="153" t="n">
        <f aca="false">IFERROR(IF(AND($N1144="VCA",$AP1144&gt;0),$AP1144-$AI1144-$AQ1144-$AR1144,0),0)</f>
        <v>58.7691</v>
      </c>
      <c r="AT1144" s="153" t="n">
        <f aca="false">IFERROR(IF($N1144="VCA",INDEX(APOIO_REDES!$A:$W,MATCH($C1144&amp;$I1144&amp;$H1144&amp;$N1144&amp;$O1144,APOIO_REDES!$W:$W,0),MATCH(AT$5,APOIO_REDES!$5:$5,0)),0)*$AP1144,0)</f>
        <v>0.968373945966256</v>
      </c>
      <c r="AU1144" s="153" t="n">
        <f aca="false">IFERROR(IF($N1144="VCA",INDEX(APOIO_REDES!$A:$W,MATCH($C1144&amp;$I1144&amp;$H1144&amp;$N1144&amp;$O1144,APOIO_REDES!$W:$W,0),MATCH(AU$5,APOIO_REDES!$5:$5,0)),0)*$AP1144,0)</f>
        <v>0.773317206356088</v>
      </c>
      <c r="AV1144" s="153" t="n">
        <f aca="false">IFERROR(IF($N1144="VCA",INDEX(APOIO_REDES!$A:$W,MATCH($C1144&amp;$I1144&amp;$H1144&amp;$N1144&amp;$O1144,APOIO_REDES!$W:$W,0),MATCH(AV$5,APOIO_REDES!$5:$5,0)),0)*$AP1144,0)</f>
        <v>0.107021030581589</v>
      </c>
      <c r="AW1144" s="153" t="n">
        <f aca="false">IFERROR(IF($N1144="VCA",INDEX(APOIO_REDES!$A:$W,MATCH($C1144&amp;$I1144&amp;$H1144&amp;$N1144&amp;$O1144,APOIO_REDES!$W:$W,0),MATCH(AW$5,APOIO_REDES!$5:$5,0)),0)*$AP1144,0)</f>
        <v>61.0920310221088</v>
      </c>
      <c r="AX1144" s="153" t="n">
        <f aca="false">IFERROR(IF($N1144="VCA",INDEX(APOIO_REDES!$A:$W,MATCH($C1144&amp;$I1144&amp;$H1144&amp;$N1144&amp;$O1144,APOIO_REDES!$W:$W,0),MATCH(AX$5,APOIO_REDES!$5:$5,0)),0)*$AP1144,0)</f>
        <v>8.4549630695154</v>
      </c>
      <c r="AY1144" s="153" t="n">
        <f aca="false">IFERROR(IF($N1144="VCA",INDEX(APOIO_REDES!$A:$W,MATCH($C1144&amp;$I1144&amp;$H1144&amp;$N1144&amp;$O1144,APOIO_REDES!$W:$W,0),MATCH(AY$5,APOIO_REDES!$5:$5,0)),0)*$AP1144,0)</f>
        <v>15.4663347004477</v>
      </c>
      <c r="AZ1144" s="153" t="n">
        <f aca="false">IFERROR(IF($N1144="VCA",INDEX(APOIO_REDES!$A:$W,MATCH($C1144&amp;$I1144&amp;$H1144&amp;$N1144&amp;$O1144,APOIO_REDES!$W:$W,0),MATCH(AZ$5,APOIO_REDES!$5:$5,0)),0)*$AP1144,0)</f>
        <v>2.14049602502425</v>
      </c>
      <c r="BA1144" s="153" t="n">
        <f aca="false">IFERROR(IF(AND($N1144="VCA",$Q1144="LINEAR"),INDEX(APOIO_REDES!$A:$W,MATCH($C1144&amp;$I1144&amp;$H1144&amp;$N1144&amp;$O1144,APOIO_REDES!$W:$W,0),MATCH(BA$5,APOIO_REDES!$5:$5,0)),IF(AND($N1144="MND",$Q1144="EMBOQUE"),INDEX(APOIO_REDES!$A:$W,MATCH($C1144&amp;$I1144&amp;$H1144&amp;$N1144&amp;$O1144,APOIO_REDES!$W:$W,0),MATCH(BA$5,APOIO_REDES!$5:$5,0)),0))*$M1144/10,0)</f>
        <v>8.09682259766473</v>
      </c>
      <c r="BB1144" s="153" t="n">
        <f aca="false">IFERROR(IF($N1144="VCA",INDEX(APOIO_REDES!$A:$W,MATCH($C1144&amp;$I1144&amp;$H1144&amp;$N1144&amp;$O1144,APOIO_REDES!$W:$W,0),MATCH(BB$5,APOIO_REDES!$5:$5,0)),0)*($AI1144+$AQ1144+$AR1144),0)</f>
        <v>29.9044882567994</v>
      </c>
      <c r="BC1144" s="153" t="n">
        <f aca="false">IFERROR(IF($N1144="VCA",INDEX(APOIO_REDES!$A:$W,MATCH($C1144&amp;$I1144&amp;$H1144&amp;$N1144&amp;$O1144,APOIO_REDES!$W:$W,0),MATCH(BC$5,APOIO_REDES!$5:$5,0)),0)*($AI1144+$AQ1144+$AR1144),0)</f>
        <v>0.32894874320057</v>
      </c>
      <c r="BD1144" s="153" t="n">
        <f aca="false">IF(AND($N1144="VCA",$AF1144&gt;=1.25,$AF1144&lt;1.5),$M1144*$AF1144*2,0)</f>
        <v>273.85396</v>
      </c>
      <c r="BE1144" s="153" t="n">
        <f aca="false">IF(AND($N1144="VCA",$AF1144&gt;=1.5,$AF1144&lt;3),$M1144*$AF1144*2,0)</f>
        <v>0</v>
      </c>
      <c r="BF1144" s="153" t="n">
        <f aca="false">IF(AND($N1144="VCA",$AF1144&gt;=3),$M1144*$AF1144*2,0)</f>
        <v>0</v>
      </c>
      <c r="BG1144" s="153" t="n">
        <f aca="false">($BB1144+$BC1144)*$AK1144</f>
        <v>90.700311</v>
      </c>
      <c r="BH1144" s="153" t="n">
        <f aca="false">IF(AND($M1144&lt;&gt;"",$N1144="VCA",$Q1144="LINEAR"),($M1144*2)/100,IF(AND($M1144&lt;&gt;"",$N1144="MND",$Q1144="EMBOQUE"),($AN1144*2)/100,0))</f>
        <v>2.0092</v>
      </c>
      <c r="BI1144" s="153" t="n">
        <f aca="false">IF(AND($M1144&lt;&gt;"",$N1144="VCA",$Q1144="LINEAR"),$M1144,IF(AND($M1144&lt;&gt;"",$N1144="MND",$Q1144="EMBOQUE"),$AN1144*2,0))</f>
        <v>100.46</v>
      </c>
      <c r="BJ1144" s="153" t="n">
        <f aca="false">IF(AND($M1144&lt;&gt;"",$N1144="VCA",$Q1144="LINEAR"),($M1144*6.8)/100,IF(AND($M1144&lt;&gt;"",$N1144="MND",$Q1144="EMBOQUE"),($AN1144*2*6.8)/100,0))</f>
        <v>6.83128</v>
      </c>
      <c r="BK1144" s="153" t="n">
        <f aca="false">IF(AND($M1144&lt;&gt;"",$N1144="VCA",$Q1144="LINEAR"),($M1144*2.5)/50,IF(AND($M1144&lt;&gt;"",$N1144="MND",$Q1144="EMBOQUE"),($AN1144*2*2.5)/50,0))</f>
        <v>5.023</v>
      </c>
      <c r="BL1144" s="157" t="str">
        <f aca="false">K1144&amp;J1144</f>
        <v>Zona10REDES</v>
      </c>
      <c r="BM1144" s="152" t="s">
        <v>5703</v>
      </c>
      <c r="BN1144" s="152" t="s">
        <v>1560</v>
      </c>
      <c r="BO1144" s="152" t="s">
        <v>3688</v>
      </c>
      <c r="BP1144" s="152" t="s">
        <v>5133</v>
      </c>
      <c r="BQ1144" s="152" t="s">
        <v>5841</v>
      </c>
      <c r="BR1144" s="152" t="s">
        <v>5890</v>
      </c>
      <c r="BS1144" s="152" t="n">
        <v>203325.51</v>
      </c>
      <c r="BT1144" s="152" t="n">
        <v>8237112.214</v>
      </c>
      <c r="BU1144" s="152" t="n">
        <v>203382.734</v>
      </c>
      <c r="BV1144" s="152" t="n">
        <v>8237182.235</v>
      </c>
      <c r="BW1144" s="152" t="n">
        <v>-15.9271252</v>
      </c>
      <c r="BX1144" s="152" t="n">
        <v>-47.7707284</v>
      </c>
      <c r="BY1144" s="152" t="s">
        <v>5133</v>
      </c>
    </row>
    <row r="1145" customFormat="false" ht="13.8" hidden="false" customHeight="false" outlineLevel="0" collapsed="false">
      <c r="A1145" s="149" t="n">
        <f aca="false">IF(C1145&lt;&gt;"",ROW(A1140),"")</f>
        <v>1140</v>
      </c>
      <c r="B1145" s="150" t="str">
        <f aca="false">HYPERLINK("https://www.google.com/maps/dir/-15.917302,-47.760003/-15.9268566,-47.7688021/data=!4m3!4m2!3e0!5i2")</f>
        <v>https://www.google.com/maps/dir/-15.917302,-47.760003/-15.9268566,-47.7688021/data=!4m3!4m2!3e0!5i2</v>
      </c>
      <c r="C1145" s="151" t="s">
        <v>117</v>
      </c>
      <c r="D1145" s="152" t="s">
        <v>112</v>
      </c>
      <c r="E1145" s="152" t="s">
        <v>113</v>
      </c>
      <c r="F1145" s="152" t="s">
        <v>117</v>
      </c>
      <c r="G1145" s="152" t="s">
        <v>782</v>
      </c>
      <c r="H1145" s="152" t="n">
        <v>63</v>
      </c>
      <c r="I1145" s="152" t="s">
        <v>115</v>
      </c>
      <c r="J1145" s="152" t="s">
        <v>6</v>
      </c>
      <c r="K1145" s="152" t="s">
        <v>5700</v>
      </c>
      <c r="L1145" s="152" t="s">
        <v>120</v>
      </c>
      <c r="M1145" s="153" t="n">
        <f aca="false">78.4</f>
        <v>78.4</v>
      </c>
      <c r="N1145" s="152" t="s">
        <v>1548</v>
      </c>
      <c r="O1145" s="152" t="s">
        <v>1549</v>
      </c>
      <c r="P1145" s="152" t="s">
        <v>1550</v>
      </c>
      <c r="Q1145" s="152" t="s">
        <v>1551</v>
      </c>
      <c r="R1145" s="154" t="s">
        <v>5891</v>
      </c>
      <c r="S1145" s="154" t="s">
        <v>1553</v>
      </c>
      <c r="T1145" s="155" t="s">
        <v>3685</v>
      </c>
      <c r="U1145" s="152" t="str">
        <f aca="false">RIGHT(T1145,7)</f>
        <v>012/037</v>
      </c>
      <c r="V1145" s="152" t="s">
        <v>1555</v>
      </c>
      <c r="W1145" s="156" t="n">
        <v>45882</v>
      </c>
      <c r="X1145" s="152" t="s">
        <v>1594</v>
      </c>
      <c r="Y1145" s="152" t="s">
        <v>5799</v>
      </c>
      <c r="Z1145" s="152" t="s">
        <v>1557</v>
      </c>
      <c r="AA1145" s="153" t="n">
        <v>3</v>
      </c>
      <c r="AB1145" s="151" t="s">
        <v>5892</v>
      </c>
      <c r="AC1145" s="151" t="s">
        <v>186</v>
      </c>
      <c r="AD1145" s="151" t="str">
        <f aca="false">CONCATENATE($C1145,$I1145,$H1145,$N1145,$J1145,$K1145)</f>
        <v>TUBO PEADPEAD63VCAREDESZona10</v>
      </c>
      <c r="AE1145" s="153" t="n">
        <f aca="false">IFERROR(INDEX(APOIO_REDES!$A:$W,MATCH($C1145&amp;$I1145&amp;$H1145&amp;$N1145&amp;$O1145,APOIO_REDES!$W:$W,0),MATCH(AE$5,APOIO_REDES!$5:$5,0)),0)</f>
        <v>1.2</v>
      </c>
      <c r="AF1145" s="153" t="n">
        <f aca="false">IFERROR(INDEX(APOIO_REDES!$A:$W,MATCH($C1145&amp;$I1145&amp;$H1145&amp;$N1145&amp;$O1145,APOIO_REDES!$W:$W,0),MATCH(AF$5,APOIO_REDES!$5:$5,0)),0)</f>
        <v>1.363</v>
      </c>
      <c r="AG1145" s="153" t="n">
        <f aca="false">IFERROR(INDEX(APOIO_REDES!$A:$W,MATCH($C1145&amp;$I1145&amp;$H1145&amp;$N1145&amp;$O1145,APOIO_REDES!$W:$W,0),MATCH(AG$5,APOIO_REDES!$5:$5,0)),0)</f>
        <v>0.65</v>
      </c>
      <c r="AH1145" s="153" t="n">
        <f aca="false">IFERROR(INDEX(APOIO_REDES!$A:$W,MATCH($C1145&amp;$I1145&amp;$H1145&amp;$N1145&amp;$O1145,APOIO_REDES!$W:$W,0),MATCH(AH$5,APOIO_REDES!$5:$5,0)),0)</f>
        <v>0.1</v>
      </c>
      <c r="AI1145" s="153" t="n">
        <f aca="false">IFERROR(IF($H1145&lt;&gt;"",(((($H1145/1000)/2)^2)*PI()*$M1145),0),0)</f>
        <v>0.244392032345119</v>
      </c>
      <c r="AJ1145" s="153" t="n">
        <f aca="false">IFERROR(IF(AND($H1145&lt;&gt;"",$I1145="FoFo",OR($N1145="MND",$N1145="VCA"),$Q1145="LINEAR"),0,IF(AND($H1145&lt;&gt;"",$I1145="PEAD",$N1145="VCA",$Q1145="LINEAR"),($H1145/1000)+0.3,IF(AND($H1145&lt;&gt;"",$I1145="PEAD",$N1145="MND",$Q1145="EMBOQUE"),0,IF(AND($H1145&lt;&gt;"",$I1145="PVC",$N1145="VCA",$Q1145="LINEAR"),($H1145/1000)+0.2,IF(AND($H1145&lt;&gt;"",$I1145="PVC",$N1145="MND",$Q1145="EMBOQUE"),0,IF(AND($H1145&lt;&gt;"",$I1145="PEAD",$N1145="VCA",$Q1145="PREDIAL"),0,0)))))),0)</f>
        <v>0.363</v>
      </c>
      <c r="AK1145" s="153" t="n">
        <f aca="false">IF(AA1145&lt;&gt;"",AA1145,0)</f>
        <v>3</v>
      </c>
      <c r="AL1145" s="153" t="n">
        <f aca="false">IF(AND($N1145="MND",$Q1145="EMBOQUE"),$M1145,IF(AND($N1145="VCA",$Q1145="LINEAR"),$M1145,IF(AND($N1145="VCA",$Q1145="PREDIAL"),0,0)))</f>
        <v>78.4</v>
      </c>
      <c r="AM1145" s="153" t="n">
        <f aca="false">IF(AND($N1145="MND",$Q1145="EMBOQUE"),$M1145,IF(AND($N1145="VCA",$Q1145="LINEAR"),$M1145,IF(AND($N1145="VCA",$Q1145="PREDIAL"),0,0)))</f>
        <v>78.4</v>
      </c>
      <c r="AN1145" s="153" t="n">
        <f aca="false">ROUND(IF(AND($N1145="VCA",$M1145&lt;&gt;"",$Q1145="LINEAR"),$M1145/100,IF(AND($N1145="MND",$M1145&gt;100,$Q1145="EMBOQUE"),$M1145/100,0)),0)</f>
        <v>1</v>
      </c>
      <c r="AO1145" s="153" t="n">
        <f aca="false">IF(AND($N1145="MND",$Q1145="EMBOQUE"),$AN1145*2*2,IF(AND($N1145="VCA",$Q1145="LINEAR"),$M1145*2,IF(AND($N1145="VCA",$Q1145="PREDIAL"),0,0)))</f>
        <v>156.8</v>
      </c>
      <c r="AP1145" s="153" t="n">
        <f aca="false">IFERROR($M1145*$AF1145*$AG1145,0)</f>
        <v>69.45848</v>
      </c>
      <c r="AQ1145" s="153" t="n">
        <f aca="false">IFERROR(IF(AND($N1145="VCA",$AH1145&gt;0),$M1145*$AG1145*$AH1145,0),0)</f>
        <v>5.096</v>
      </c>
      <c r="AR1145" s="153" t="n">
        <f aca="false">IFERROR(IF(AND($N1145="VCA",$AJ1145&gt;0),($M1145*$AG1145*$AJ1145)-$AI1145,0),0)</f>
        <v>18.2540879676549</v>
      </c>
      <c r="AS1145" s="153" t="n">
        <f aca="false">IFERROR(IF(AND($N1145="VCA",$AP1145&gt;0),$AP1145-$AI1145-$AQ1145-$AR1145,0),0)</f>
        <v>45.864</v>
      </c>
      <c r="AT1145" s="153" t="n">
        <f aca="false">IFERROR(IF($N1145="VCA",INDEX(APOIO_REDES!$A:$W,MATCH($C1145&amp;$I1145&amp;$H1145&amp;$N1145&amp;$O1145,APOIO_REDES!$W:$W,0),MATCH(AT$5,APOIO_REDES!$5:$5,0)),0)*$AP1145,0)</f>
        <v>0.755728821060666</v>
      </c>
      <c r="AU1145" s="153" t="n">
        <f aca="false">IFERROR(IF($N1145="VCA",INDEX(APOIO_REDES!$A:$W,MATCH($C1145&amp;$I1145&amp;$H1145&amp;$N1145&amp;$O1145,APOIO_REDES!$W:$W,0),MATCH(AU$5,APOIO_REDES!$5:$5,0)),0)*$AP1145,0)</f>
        <v>0.603504568766845</v>
      </c>
      <c r="AV1145" s="153" t="n">
        <f aca="false">IFERROR(IF($N1145="VCA",INDEX(APOIO_REDES!$A:$W,MATCH($C1145&amp;$I1145&amp;$H1145&amp;$N1145&amp;$O1145,APOIO_REDES!$W:$W,0),MATCH(AV$5,APOIO_REDES!$5:$5,0)),0)*$AP1145,0)</f>
        <v>0.0835202946207106</v>
      </c>
      <c r="AW1145" s="153" t="n">
        <f aca="false">IFERROR(IF($N1145="VCA",INDEX(APOIO_REDES!$A:$W,MATCH($C1145&amp;$I1145&amp;$H1145&amp;$N1145&amp;$O1145,APOIO_REDES!$W:$W,0),MATCH(AW$5,APOIO_REDES!$5:$5,0)),0)*$AP1145,0)</f>
        <v>47.6768388625655</v>
      </c>
      <c r="AX1145" s="153" t="n">
        <f aca="false">IFERROR(IF($N1145="VCA",INDEX(APOIO_REDES!$A:$W,MATCH($C1145&amp;$I1145&amp;$H1145&amp;$N1145&amp;$O1145,APOIO_REDES!$W:$W,0),MATCH(AX$5,APOIO_REDES!$5:$5,0)),0)*$AP1145,0)</f>
        <v>6.59833868853282</v>
      </c>
      <c r="AY1145" s="153" t="n">
        <f aca="false">IFERROR(IF($N1145="VCA",INDEX(APOIO_REDES!$A:$W,MATCH($C1145&amp;$I1145&amp;$H1145&amp;$N1145&amp;$O1145,APOIO_REDES!$W:$W,0),MATCH(AY$5,APOIO_REDES!$5:$5,0)),0)*$AP1145,0)</f>
        <v>12.0700840186651</v>
      </c>
      <c r="AZ1145" s="153" t="n">
        <f aca="false">IFERROR(IF($N1145="VCA",INDEX(APOIO_REDES!$A:$W,MATCH($C1145&amp;$I1145&amp;$H1145&amp;$N1145&amp;$O1145,APOIO_REDES!$W:$W,0),MATCH(AZ$5,APOIO_REDES!$5:$5,0)),0)*$AP1145,0)</f>
        <v>1.67046474578838</v>
      </c>
      <c r="BA1145" s="153" t="n">
        <f aca="false">IFERROR(IF(AND($N1145="VCA",$Q1145="LINEAR"),INDEX(APOIO_REDES!$A:$W,MATCH($C1145&amp;$I1145&amp;$H1145&amp;$N1145&amp;$O1145,APOIO_REDES!$W:$W,0),MATCH(BA$5,APOIO_REDES!$5:$5,0)),IF(AND($N1145="MND",$Q1145="EMBOQUE"),INDEX(APOIO_REDES!$A:$W,MATCH($C1145&amp;$I1145&amp;$H1145&amp;$N1145&amp;$O1145,APOIO_REDES!$W:$W,0),MATCH(BA$5,APOIO_REDES!$5:$5,0)),0))*$M1145/10,0)</f>
        <v>6.31884224225477</v>
      </c>
      <c r="BB1145" s="153" t="n">
        <f aca="false">IFERROR(IF($N1145="VCA",INDEX(APOIO_REDES!$A:$W,MATCH($C1145&amp;$I1145&amp;$H1145&amp;$N1145&amp;$O1145,APOIO_REDES!$W:$W,0),MATCH(BB$5,APOIO_REDES!$5:$5,0)),0)*($AI1145+$AQ1145+$AR1145),0)</f>
        <v>23.3377650739904</v>
      </c>
      <c r="BC1145" s="153" t="n">
        <f aca="false">IFERROR(IF($N1145="VCA",INDEX(APOIO_REDES!$A:$W,MATCH($C1145&amp;$I1145&amp;$H1145&amp;$N1145&amp;$O1145,APOIO_REDES!$W:$W,0),MATCH(BC$5,APOIO_REDES!$5:$5,0)),0)*($AI1145+$AQ1145+$AR1145),0)</f>
        <v>0.256714926009603</v>
      </c>
      <c r="BD1145" s="153" t="n">
        <f aca="false">IF(AND($N1145="VCA",$AF1145&gt;=1.25,$AF1145&lt;1.5),$M1145*$AF1145*2,0)</f>
        <v>213.7184</v>
      </c>
      <c r="BE1145" s="153" t="n">
        <f aca="false">IF(AND($N1145="VCA",$AF1145&gt;=1.5,$AF1145&lt;3),$M1145*$AF1145*2,0)</f>
        <v>0</v>
      </c>
      <c r="BF1145" s="153" t="n">
        <f aca="false">IF(AND($N1145="VCA",$AF1145&gt;=3),$M1145*$AF1145*2,0)</f>
        <v>0</v>
      </c>
      <c r="BG1145" s="153" t="n">
        <f aca="false">($BB1145+$BC1145)*$AK1145</f>
        <v>70.78344</v>
      </c>
      <c r="BH1145" s="153" t="n">
        <f aca="false">IF(AND($M1145&lt;&gt;"",$N1145="VCA",$Q1145="LINEAR"),($M1145*2)/100,IF(AND($M1145&lt;&gt;"",$N1145="MND",$Q1145="EMBOQUE"),($AN1145*2)/100,0))</f>
        <v>1.568</v>
      </c>
      <c r="BI1145" s="153" t="n">
        <f aca="false">IF(AND($M1145&lt;&gt;"",$N1145="VCA",$Q1145="LINEAR"),$M1145,IF(AND($M1145&lt;&gt;"",$N1145="MND",$Q1145="EMBOQUE"),$AN1145*2,0))</f>
        <v>78.4</v>
      </c>
      <c r="BJ1145" s="153" t="n">
        <f aca="false">IF(AND($M1145&lt;&gt;"",$N1145="VCA",$Q1145="LINEAR"),($M1145*6.8)/100,IF(AND($M1145&lt;&gt;"",$N1145="MND",$Q1145="EMBOQUE"),($AN1145*2*6.8)/100,0))</f>
        <v>5.3312</v>
      </c>
      <c r="BK1145" s="153" t="n">
        <f aca="false">IF(AND($M1145&lt;&gt;"",$N1145="VCA",$Q1145="LINEAR"),($M1145*2.5)/50,IF(AND($M1145&lt;&gt;"",$N1145="MND",$Q1145="EMBOQUE"),($AN1145*2*2.5)/50,0))</f>
        <v>3.92</v>
      </c>
      <c r="BL1145" s="157" t="str">
        <f aca="false">K1145&amp;J1145</f>
        <v>Zona10REDES</v>
      </c>
      <c r="BM1145" s="152" t="s">
        <v>5703</v>
      </c>
      <c r="BN1145" s="152" t="s">
        <v>1560</v>
      </c>
      <c r="BO1145" s="152" t="s">
        <v>3688</v>
      </c>
      <c r="BP1145" s="152" t="s">
        <v>5852</v>
      </c>
      <c r="BQ1145" s="152" t="s">
        <v>5893</v>
      </c>
      <c r="BR1145" s="152" t="s">
        <v>5894</v>
      </c>
      <c r="BS1145" s="152" t="n">
        <v>203555.304</v>
      </c>
      <c r="BT1145" s="152" t="n">
        <v>8237188.656</v>
      </c>
      <c r="BU1145" s="152" t="n">
        <v>203516.975</v>
      </c>
      <c r="BV1145" s="152" t="n">
        <v>8237120.336</v>
      </c>
      <c r="BW1145" s="152" t="n">
        <v>-15.9271586</v>
      </c>
      <c r="BX1145" s="152" t="n">
        <v>-47.7689923</v>
      </c>
      <c r="BY1145" s="152" t="s">
        <v>5852</v>
      </c>
    </row>
    <row r="1146" customFormat="false" ht="13.8" hidden="false" customHeight="false" outlineLevel="0" collapsed="false">
      <c r="A1146" s="149" t="n">
        <f aca="false">IF(C1146&lt;&gt;"",ROW(A1141),"")</f>
        <v>1141</v>
      </c>
      <c r="B1146" s="150" t="str">
        <f aca="false">HYPERLINK("https://www.google.com/maps/dir/-15.917302,-47.760003/-15.9271222,-47.7700041/data=!4m3!4m2!3e0!5i1")</f>
        <v>https://www.google.com/maps/dir/-15.917302,-47.760003/-15.9271222,-47.7700041/data=!4m3!4m2!3e0!5i1</v>
      </c>
      <c r="C1146" s="151" t="s">
        <v>117</v>
      </c>
      <c r="D1146" s="152" t="s">
        <v>112</v>
      </c>
      <c r="E1146" s="152" t="s">
        <v>113</v>
      </c>
      <c r="F1146" s="152" t="s">
        <v>117</v>
      </c>
      <c r="G1146" s="152" t="s">
        <v>782</v>
      </c>
      <c r="H1146" s="152" t="n">
        <v>63</v>
      </c>
      <c r="I1146" s="152" t="s">
        <v>115</v>
      </c>
      <c r="J1146" s="152" t="s">
        <v>6</v>
      </c>
      <c r="K1146" s="152" t="s">
        <v>5700</v>
      </c>
      <c r="L1146" s="152" t="s">
        <v>120</v>
      </c>
      <c r="M1146" s="153" t="n">
        <f aca="false">39.44</f>
        <v>39.44</v>
      </c>
      <c r="N1146" s="152" t="s">
        <v>1548</v>
      </c>
      <c r="O1146" s="152" t="s">
        <v>1549</v>
      </c>
      <c r="P1146" s="152" t="s">
        <v>1550</v>
      </c>
      <c r="Q1146" s="152" t="s">
        <v>1551</v>
      </c>
      <c r="R1146" s="154" t="s">
        <v>5895</v>
      </c>
      <c r="S1146" s="154" t="s">
        <v>1553</v>
      </c>
      <c r="T1146" s="155" t="s">
        <v>3685</v>
      </c>
      <c r="U1146" s="152" t="str">
        <f aca="false">RIGHT(T1146,7)</f>
        <v>012/037</v>
      </c>
      <c r="V1146" s="152" t="s">
        <v>1555</v>
      </c>
      <c r="W1146" s="156" t="n">
        <v>45882</v>
      </c>
      <c r="X1146" s="152" t="s">
        <v>1594</v>
      </c>
      <c r="Y1146" s="152" t="s">
        <v>2400</v>
      </c>
      <c r="Z1146" s="152" t="s">
        <v>1557</v>
      </c>
      <c r="AA1146" s="153" t="n">
        <v>3</v>
      </c>
      <c r="AB1146" s="151" t="s">
        <v>5896</v>
      </c>
      <c r="AC1146" s="151" t="s">
        <v>186</v>
      </c>
      <c r="AD1146" s="151" t="str">
        <f aca="false">CONCATENATE($C1146,$I1146,$H1146,$N1146,$J1146,$K1146)</f>
        <v>TUBO PEADPEAD63VCAREDESZona10</v>
      </c>
      <c r="AE1146" s="153" t="n">
        <f aca="false">IFERROR(INDEX(APOIO_REDES!$A:$W,MATCH($C1146&amp;$I1146&amp;$H1146&amp;$N1146&amp;$O1146,APOIO_REDES!$W:$W,0),MATCH(AE$5,APOIO_REDES!$5:$5,0)),0)</f>
        <v>1.2</v>
      </c>
      <c r="AF1146" s="153" t="n">
        <f aca="false">IFERROR(INDEX(APOIO_REDES!$A:$W,MATCH($C1146&amp;$I1146&amp;$H1146&amp;$N1146&amp;$O1146,APOIO_REDES!$W:$W,0),MATCH(AF$5,APOIO_REDES!$5:$5,0)),0)</f>
        <v>1.363</v>
      </c>
      <c r="AG1146" s="153" t="n">
        <f aca="false">IFERROR(INDEX(APOIO_REDES!$A:$W,MATCH($C1146&amp;$I1146&amp;$H1146&amp;$N1146&amp;$O1146,APOIO_REDES!$W:$W,0),MATCH(AG$5,APOIO_REDES!$5:$5,0)),0)</f>
        <v>0.65</v>
      </c>
      <c r="AH1146" s="153" t="n">
        <f aca="false">IFERROR(INDEX(APOIO_REDES!$A:$W,MATCH($C1146&amp;$I1146&amp;$H1146&amp;$N1146&amp;$O1146,APOIO_REDES!$W:$W,0),MATCH(AH$5,APOIO_REDES!$5:$5,0)),0)</f>
        <v>0.1</v>
      </c>
      <c r="AI1146" s="153" t="n">
        <f aca="false">IFERROR(IF($H1146&lt;&gt;"",(((($H1146/1000)/2)^2)*PI()*$M1146),0),0)</f>
        <v>0.122944155047085</v>
      </c>
      <c r="AJ1146" s="153" t="n">
        <f aca="false">IFERROR(IF(AND($H1146&lt;&gt;"",$I1146="FoFo",OR($N1146="MND",$N1146="VCA"),$Q1146="LINEAR"),0,IF(AND($H1146&lt;&gt;"",$I1146="PEAD",$N1146="VCA",$Q1146="LINEAR"),($H1146/1000)+0.3,IF(AND($H1146&lt;&gt;"",$I1146="PEAD",$N1146="MND",$Q1146="EMBOQUE"),0,IF(AND($H1146&lt;&gt;"",$I1146="PVC",$N1146="VCA",$Q1146="LINEAR"),($H1146/1000)+0.2,IF(AND($H1146&lt;&gt;"",$I1146="PVC",$N1146="MND",$Q1146="EMBOQUE"),0,IF(AND($H1146&lt;&gt;"",$I1146="PEAD",$N1146="VCA",$Q1146="PREDIAL"),0,0)))))),0)</f>
        <v>0.363</v>
      </c>
      <c r="AK1146" s="153" t="n">
        <f aca="false">IF(AA1146&lt;&gt;"",AA1146,0)</f>
        <v>3</v>
      </c>
      <c r="AL1146" s="153" t="n">
        <f aca="false">IF(AND($N1146="MND",$Q1146="EMBOQUE"),$M1146,IF(AND($N1146="VCA",$Q1146="LINEAR"),$M1146,IF(AND($N1146="VCA",$Q1146="PREDIAL"),0,0)))</f>
        <v>39.44</v>
      </c>
      <c r="AM1146" s="153" t="n">
        <f aca="false">IF(AND($N1146="MND",$Q1146="EMBOQUE"),$M1146,IF(AND($N1146="VCA",$Q1146="LINEAR"),$M1146,IF(AND($N1146="VCA",$Q1146="PREDIAL"),0,0)))</f>
        <v>39.44</v>
      </c>
      <c r="AN1146" s="153" t="n">
        <f aca="false">ROUND(IF(AND($N1146="VCA",$M1146&lt;&gt;"",$Q1146="LINEAR"),$M1146/100,IF(AND($N1146="MND",$M1146&gt;100,$Q1146="EMBOQUE"),$M1146/100,0)),0)</f>
        <v>0</v>
      </c>
      <c r="AO1146" s="153" t="n">
        <f aca="false">IF(AND($N1146="MND",$Q1146="EMBOQUE"),$AN1146*2*2,IF(AND($N1146="VCA",$Q1146="LINEAR"),$M1146*2,IF(AND($N1146="VCA",$Q1146="PREDIAL"),0,0)))</f>
        <v>78.88</v>
      </c>
      <c r="AP1146" s="153" t="n">
        <f aca="false">IFERROR($M1146*$AF1146*$AG1146,0)</f>
        <v>34.941868</v>
      </c>
      <c r="AQ1146" s="153" t="n">
        <f aca="false">IFERROR(IF(AND($N1146="VCA",$AH1146&gt;0),$M1146*$AG1146*$AH1146,0),0)</f>
        <v>2.5636</v>
      </c>
      <c r="AR1146" s="153" t="n">
        <f aca="false">IFERROR(IF(AND($N1146="VCA",$AJ1146&gt;0),($M1146*$AG1146*$AJ1146)-$AI1146,0),0)</f>
        <v>9.18292384495292</v>
      </c>
      <c r="AS1146" s="153" t="n">
        <f aca="false">IFERROR(IF(AND($N1146="VCA",$AP1146&gt;0),$AP1146-$AI1146-$AQ1146-$AR1146,0),0)</f>
        <v>23.0724</v>
      </c>
      <c r="AT1146" s="153" t="n">
        <f aca="false">IFERROR(IF($N1146="VCA",INDEX(APOIO_REDES!$A:$W,MATCH($C1146&amp;$I1146&amp;$H1146&amp;$N1146&amp;$O1146,APOIO_REDES!$W:$W,0),MATCH(AT$5,APOIO_REDES!$5:$5,0)),0)*$AP1146,0)</f>
        <v>0.380177866105008</v>
      </c>
      <c r="AU1146" s="153" t="n">
        <f aca="false">IFERROR(IF($N1146="VCA",INDEX(APOIO_REDES!$A:$W,MATCH($C1146&amp;$I1146&amp;$H1146&amp;$N1146&amp;$O1146,APOIO_REDES!$W:$W,0),MATCH(AU$5,APOIO_REDES!$5:$5,0)),0)*$AP1146,0)</f>
        <v>0.303599747349035</v>
      </c>
      <c r="AV1146" s="153" t="n">
        <f aca="false">IFERROR(IF($N1146="VCA",INDEX(APOIO_REDES!$A:$W,MATCH($C1146&amp;$I1146&amp;$H1146&amp;$N1146&amp;$O1146,APOIO_REDES!$W:$W,0),MATCH(AV$5,APOIO_REDES!$5:$5,0)),0)*$AP1146,0)</f>
        <v>0.0420158216816432</v>
      </c>
      <c r="AW1146" s="153" t="n">
        <f aca="false">IFERROR(IF($N1146="VCA",INDEX(APOIO_REDES!$A:$W,MATCH($C1146&amp;$I1146&amp;$H1146&amp;$N1146&amp;$O1146,APOIO_REDES!$W:$W,0),MATCH(AW$5,APOIO_REDES!$5:$5,0)),0)*$AP1146,0)</f>
        <v>23.9843689380049</v>
      </c>
      <c r="AX1146" s="153" t="n">
        <f aca="false">IFERROR(IF($N1146="VCA",INDEX(APOIO_REDES!$A:$W,MATCH($C1146&amp;$I1146&amp;$H1146&amp;$N1146&amp;$O1146,APOIO_REDES!$W:$W,0),MATCH(AX$5,APOIO_REDES!$5:$5,0)),0)*$AP1146,0)</f>
        <v>3.31936834025171</v>
      </c>
      <c r="AY1146" s="153" t="n">
        <f aca="false">IFERROR(IF($N1146="VCA",INDEX(APOIO_REDES!$A:$W,MATCH($C1146&amp;$I1146&amp;$H1146&amp;$N1146&amp;$O1146,APOIO_REDES!$W:$W,0),MATCH(AY$5,APOIO_REDES!$5:$5,0)),0)*$AP1146,0)</f>
        <v>6.0719912461244</v>
      </c>
      <c r="AZ1146" s="153" t="n">
        <f aca="false">IFERROR(IF($N1146="VCA",INDEX(APOIO_REDES!$A:$W,MATCH($C1146&amp;$I1146&amp;$H1146&amp;$N1146&amp;$O1146,APOIO_REDES!$W:$W,0),MATCH(AZ$5,APOIO_REDES!$5:$5,0)),0)*$AP1146,0)</f>
        <v>0.840346040483339</v>
      </c>
      <c r="BA1146" s="153" t="n">
        <f aca="false">IFERROR(IF(AND($N1146="VCA",$Q1146="LINEAR"),INDEX(APOIO_REDES!$A:$W,MATCH($C1146&amp;$I1146&amp;$H1146&amp;$N1146&amp;$O1146,APOIO_REDES!$W:$W,0),MATCH(BA$5,APOIO_REDES!$5:$5,0)),IF(AND($N1146="MND",$Q1146="EMBOQUE"),INDEX(APOIO_REDES!$A:$W,MATCH($C1146&amp;$I1146&amp;$H1146&amp;$N1146&amp;$O1146,APOIO_REDES!$W:$W,0),MATCH(BA$5,APOIO_REDES!$5:$5,0)),0))*$M1146/10,0)</f>
        <v>3.17876451574653</v>
      </c>
      <c r="BB1146" s="153" t="n">
        <f aca="false">IFERROR(IF($N1146="VCA",INDEX(APOIO_REDES!$A:$W,MATCH($C1146&amp;$I1146&amp;$H1146&amp;$N1146&amp;$O1146,APOIO_REDES!$W:$W,0),MATCH(BB$5,APOIO_REDES!$5:$5,0)),0)*($AI1146+$AQ1146+$AR1146),0)</f>
        <v>11.7403246749768</v>
      </c>
      <c r="BC1146" s="153" t="n">
        <f aca="false">IFERROR(IF($N1146="VCA",INDEX(APOIO_REDES!$A:$W,MATCH($C1146&amp;$I1146&amp;$H1146&amp;$N1146&amp;$O1146,APOIO_REDES!$W:$W,0),MATCH(BC$5,APOIO_REDES!$5:$5,0)),0)*($AI1146+$AQ1146+$AR1146),0)</f>
        <v>0.129143325023198</v>
      </c>
      <c r="BD1146" s="153" t="n">
        <f aca="false">IF(AND($N1146="VCA",$AF1146&gt;=1.25,$AF1146&lt;1.5),$M1146*$AF1146*2,0)</f>
        <v>107.51344</v>
      </c>
      <c r="BE1146" s="153" t="n">
        <f aca="false">IF(AND($N1146="VCA",$AF1146&gt;=1.5,$AF1146&lt;3),$M1146*$AF1146*2,0)</f>
        <v>0</v>
      </c>
      <c r="BF1146" s="153" t="n">
        <f aca="false">IF(AND($N1146="VCA",$AF1146&gt;=3),$M1146*$AF1146*2,0)</f>
        <v>0</v>
      </c>
      <c r="BG1146" s="153" t="n">
        <f aca="false">($BB1146+$BC1146)*$AK1146</f>
        <v>35.608404</v>
      </c>
      <c r="BH1146" s="153" t="n">
        <f aca="false">IF(AND($M1146&lt;&gt;"",$N1146="VCA",$Q1146="LINEAR"),($M1146*2)/100,IF(AND($M1146&lt;&gt;"",$N1146="MND",$Q1146="EMBOQUE"),($AN1146*2)/100,0))</f>
        <v>0.7888</v>
      </c>
      <c r="BI1146" s="153" t="n">
        <f aca="false">IF(AND($M1146&lt;&gt;"",$N1146="VCA",$Q1146="LINEAR"),$M1146,IF(AND($M1146&lt;&gt;"",$N1146="MND",$Q1146="EMBOQUE"),$AN1146*2,0))</f>
        <v>39.44</v>
      </c>
      <c r="BJ1146" s="153" t="n">
        <f aca="false">IF(AND($M1146&lt;&gt;"",$N1146="VCA",$Q1146="LINEAR"),($M1146*6.8)/100,IF(AND($M1146&lt;&gt;"",$N1146="MND",$Q1146="EMBOQUE"),($AN1146*2*6.8)/100,0))</f>
        <v>2.68192</v>
      </c>
      <c r="BK1146" s="153" t="n">
        <f aca="false">IF(AND($M1146&lt;&gt;"",$N1146="VCA",$Q1146="LINEAR"),($M1146*2.5)/50,IF(AND($M1146&lt;&gt;"",$N1146="MND",$Q1146="EMBOQUE"),($AN1146*2*2.5)/50,0))</f>
        <v>1.972</v>
      </c>
      <c r="BL1146" s="157" t="str">
        <f aca="false">K1146&amp;J1146</f>
        <v>Zona10REDES</v>
      </c>
      <c r="BM1146" s="152" t="s">
        <v>5703</v>
      </c>
      <c r="BN1146" s="152" t="s">
        <v>1560</v>
      </c>
      <c r="BO1146" s="152" t="s">
        <v>3688</v>
      </c>
      <c r="BP1146" s="152" t="s">
        <v>5864</v>
      </c>
      <c r="BQ1146" s="152" t="s">
        <v>5897</v>
      </c>
      <c r="BR1146" s="152" t="s">
        <v>5898</v>
      </c>
      <c r="BS1146" s="152" t="n">
        <v>203426.919</v>
      </c>
      <c r="BT1146" s="152" t="n">
        <v>8237157.546</v>
      </c>
      <c r="BU1146" s="152" t="n">
        <v>203463.229</v>
      </c>
      <c r="BV1146" s="152" t="n">
        <v>8237142.263</v>
      </c>
      <c r="BW1146" s="152" t="n">
        <v>-15.9271955</v>
      </c>
      <c r="BX1146" s="152" t="n">
        <v>-47.7698366</v>
      </c>
      <c r="BY1146" s="152" t="s">
        <v>5864</v>
      </c>
    </row>
    <row r="1147" customFormat="false" ht="13.8" hidden="false" customHeight="false" outlineLevel="0" collapsed="false">
      <c r="A1147" s="149" t="n">
        <f aca="false">IF(C1147&lt;&gt;"",ROW(A1142),"")</f>
        <v>1142</v>
      </c>
      <c r="B1147" s="150" t="str">
        <f aca="false">HYPERLINK("https://www.google.com/maps/dir/-15.917302,-47.760003/-15.9271657,-47.7725879/data=!4m3!4m2!3e0!5i0")</f>
        <v>https://www.google.com/maps/dir/-15.917302,-47.760003/-15.9271657,-47.7725879/data=!4m3!4m2!3e0!5i0</v>
      </c>
      <c r="C1147" s="151" t="s">
        <v>117</v>
      </c>
      <c r="D1147" s="152" t="s">
        <v>112</v>
      </c>
      <c r="E1147" s="152" t="s">
        <v>113</v>
      </c>
      <c r="F1147" s="152" t="s">
        <v>117</v>
      </c>
      <c r="G1147" s="152" t="s">
        <v>114</v>
      </c>
      <c r="H1147" s="152" t="n">
        <v>160</v>
      </c>
      <c r="I1147" s="152" t="s">
        <v>115</v>
      </c>
      <c r="J1147" s="152" t="s">
        <v>6</v>
      </c>
      <c r="K1147" s="152" t="s">
        <v>5700</v>
      </c>
      <c r="L1147" s="152" t="s">
        <v>120</v>
      </c>
      <c r="M1147" s="153" t="n">
        <f aca="false">17.05</f>
        <v>17.05</v>
      </c>
      <c r="N1147" s="152" t="s">
        <v>1548</v>
      </c>
      <c r="O1147" s="152" t="s">
        <v>1549</v>
      </c>
      <c r="P1147" s="152" t="s">
        <v>1550</v>
      </c>
      <c r="Q1147" s="152" t="s">
        <v>1551</v>
      </c>
      <c r="R1147" s="154" t="s">
        <v>5899</v>
      </c>
      <c r="S1147" s="154" t="s">
        <v>1593</v>
      </c>
      <c r="T1147" s="155" t="s">
        <v>3685</v>
      </c>
      <c r="U1147" s="152" t="str">
        <f aca="false">RIGHT(T1147,7)</f>
        <v>012/037</v>
      </c>
      <c r="V1147" s="152" t="s">
        <v>1555</v>
      </c>
      <c r="W1147" s="156" t="n">
        <v>45882</v>
      </c>
      <c r="X1147" s="152" t="s">
        <v>1594</v>
      </c>
      <c r="Y1147" s="152" t="s">
        <v>4968</v>
      </c>
      <c r="Z1147" s="152" t="s">
        <v>1557</v>
      </c>
      <c r="AA1147" s="153" t="n">
        <v>3.1</v>
      </c>
      <c r="AB1147" s="151" t="s">
        <v>5900</v>
      </c>
      <c r="AC1147" s="151" t="s">
        <v>505</v>
      </c>
      <c r="AD1147" s="151" t="str">
        <f aca="false">CONCATENATE($C1147,$I1147,$H1147,$N1147,$J1147,$K1147)</f>
        <v>TUBO PEADPEAD160VCAREDESZona10</v>
      </c>
      <c r="AE1147" s="153" t="n">
        <f aca="false">IFERROR(INDEX(APOIO_REDES!$A:$W,MATCH($C1147&amp;$I1147&amp;$H1147&amp;$N1147&amp;$O1147,APOIO_REDES!$W:$W,0),MATCH(AE$5,APOIO_REDES!$5:$5,0)),0)</f>
        <v>1.2</v>
      </c>
      <c r="AF1147" s="153" t="n">
        <f aca="false">IFERROR(INDEX(APOIO_REDES!$A:$W,MATCH($C1147&amp;$I1147&amp;$H1147&amp;$N1147&amp;$O1147,APOIO_REDES!$W:$W,0),MATCH(AF$5,APOIO_REDES!$5:$5,0)),0)</f>
        <v>1.46</v>
      </c>
      <c r="AG1147" s="153" t="n">
        <f aca="false">IFERROR(INDEX(APOIO_REDES!$A:$W,MATCH($C1147&amp;$I1147&amp;$H1147&amp;$N1147&amp;$O1147,APOIO_REDES!$W:$W,0),MATCH(AG$5,APOIO_REDES!$5:$5,0)),0)</f>
        <v>0.75</v>
      </c>
      <c r="AH1147" s="153" t="n">
        <f aca="false">IFERROR(INDEX(APOIO_REDES!$A:$W,MATCH($C1147&amp;$I1147&amp;$H1147&amp;$N1147&amp;$O1147,APOIO_REDES!$W:$W,0),MATCH(AH$5,APOIO_REDES!$5:$5,0)),0)</f>
        <v>0.1</v>
      </c>
      <c r="AI1147" s="153" t="n">
        <f aca="false">IFERROR(IF($H1147&lt;&gt;"",(((($H1147/1000)/2)^2)*PI()*$M1147),0),0)</f>
        <v>0.342810590359718</v>
      </c>
      <c r="AJ1147" s="153" t="n">
        <f aca="false">IFERROR(IF(AND($H1147&lt;&gt;"",$I1147="FoFo",OR($N1147="MND",$N1147="VCA"),$Q1147="LINEAR"),0,IF(AND($H1147&lt;&gt;"",$I1147="PEAD",$N1147="VCA",$Q1147="LINEAR"),($H1147/1000)+0.3,IF(AND($H1147&lt;&gt;"",$I1147="PEAD",$N1147="MND",$Q1147="EMBOQUE"),0,IF(AND($H1147&lt;&gt;"",$I1147="PVC",$N1147="VCA",$Q1147="LINEAR"),($H1147/1000)+0.2,IF(AND($H1147&lt;&gt;"",$I1147="PVC",$N1147="MND",$Q1147="EMBOQUE"),0,IF(AND($H1147&lt;&gt;"",$I1147="PEAD",$N1147="VCA",$Q1147="PREDIAL"),0,0)))))),0)</f>
        <v>0.46</v>
      </c>
      <c r="AK1147" s="153" t="n">
        <f aca="false">IF(AA1147&lt;&gt;"",AA1147,0)</f>
        <v>3.1</v>
      </c>
      <c r="AL1147" s="153" t="n">
        <f aca="false">IF(AND($N1147="MND",$Q1147="EMBOQUE"),$M1147,IF(AND($N1147="VCA",$Q1147="LINEAR"),$M1147,IF(AND($N1147="VCA",$Q1147="PREDIAL"),0,0)))</f>
        <v>17.05</v>
      </c>
      <c r="AM1147" s="153" t="n">
        <f aca="false">IF(AND($N1147="MND",$Q1147="EMBOQUE"),$M1147,IF(AND($N1147="VCA",$Q1147="LINEAR"),$M1147,IF(AND($N1147="VCA",$Q1147="PREDIAL"),0,0)))</f>
        <v>17.05</v>
      </c>
      <c r="AN1147" s="153" t="n">
        <f aca="false">ROUND(IF(AND($N1147="VCA",$M1147&lt;&gt;"",$Q1147="LINEAR"),$M1147/100,IF(AND($N1147="MND",$M1147&gt;100,$Q1147="EMBOQUE"),$M1147/100,0)),0)</f>
        <v>0</v>
      </c>
      <c r="AO1147" s="153" t="n">
        <f aca="false">IF(AND($N1147="MND",$Q1147="EMBOQUE"),$AN1147*2*2,IF(AND($N1147="VCA",$Q1147="LINEAR"),$M1147*2,IF(AND($N1147="VCA",$Q1147="PREDIAL"),0,0)))</f>
        <v>34.1</v>
      </c>
      <c r="AP1147" s="153" t="n">
        <f aca="false">IFERROR($M1147*$AF1147*$AG1147,0)</f>
        <v>18.66975</v>
      </c>
      <c r="AQ1147" s="153" t="n">
        <f aca="false">IFERROR(IF(AND($N1147="VCA",$AH1147&gt;0),$M1147*$AG1147*$AH1147,0),0)</f>
        <v>1.27875</v>
      </c>
      <c r="AR1147" s="153" t="n">
        <f aca="false">IFERROR(IF(AND($N1147="VCA",$AJ1147&gt;0),($M1147*$AG1147*$AJ1147)-$AI1147,0),0)</f>
        <v>5.53943940964028</v>
      </c>
      <c r="AS1147" s="153" t="n">
        <f aca="false">IFERROR(IF(AND($N1147="VCA",$AP1147&gt;0),$AP1147-$AI1147-$AQ1147-$AR1147,0),0)</f>
        <v>11.50875</v>
      </c>
      <c r="AT1147" s="153" t="n">
        <f aca="false">IFERROR(IF($N1147="VCA",INDEX(APOIO_REDES!$A:$W,MATCH($C1147&amp;$I1147&amp;$H1147&amp;$N1147&amp;$O1147,APOIO_REDES!$W:$W,0),MATCH(AT$5,APOIO_REDES!$5:$5,0)),0)*$AP1147,0)</f>
        <v>0.203132405963928</v>
      </c>
      <c r="AU1147" s="153" t="n">
        <f aca="false">IFERROR(IF($N1147="VCA",INDEX(APOIO_REDES!$A:$W,MATCH($C1147&amp;$I1147&amp;$H1147&amp;$N1147&amp;$O1147,APOIO_REDES!$W:$W,0),MATCH(AU$5,APOIO_REDES!$5:$5,0)),0)*$AP1147,0)</f>
        <v>0.162216037879533</v>
      </c>
      <c r="AV1147" s="153" t="n">
        <f aca="false">IFERROR(IF($N1147="VCA",INDEX(APOIO_REDES!$A:$W,MATCH($C1147&amp;$I1147&amp;$H1147&amp;$N1147&amp;$O1147,APOIO_REDES!$W:$W,0),MATCH(AV$5,APOIO_REDES!$5:$5,0)),0)*$AP1147,0)</f>
        <v>0.0224494261967007</v>
      </c>
      <c r="AW1147" s="153" t="n">
        <f aca="false">IFERROR(IF($N1147="VCA",INDEX(APOIO_REDES!$A:$W,MATCH($C1147&amp;$I1147&amp;$H1147&amp;$N1147&amp;$O1147,APOIO_REDES!$W:$W,0),MATCH(AW$5,APOIO_REDES!$5:$5,0)),0)*$AP1147,0)</f>
        <v>12.8150610602821</v>
      </c>
      <c r="AX1147" s="153" t="n">
        <f aca="false">IFERROR(IF($N1147="VCA",INDEX(APOIO_REDES!$A:$W,MATCH($C1147&amp;$I1147&amp;$H1147&amp;$N1147&amp;$O1147,APOIO_REDES!$W:$W,0),MATCH(AX$5,APOIO_REDES!$5:$5,0)),0)*$AP1147,0)</f>
        <v>1.77356794635062</v>
      </c>
      <c r="AY1147" s="153" t="n">
        <f aca="false">IFERROR(IF($N1147="VCA",INDEX(APOIO_REDES!$A:$W,MATCH($C1147&amp;$I1147&amp;$H1147&amp;$N1147&amp;$O1147,APOIO_REDES!$W:$W,0),MATCH(AY$5,APOIO_REDES!$5:$5,0)),0)*$AP1147,0)</f>
        <v>3.24431878019031</v>
      </c>
      <c r="AZ1147" s="153" t="n">
        <f aca="false">IFERROR(IF($N1147="VCA",INDEX(APOIO_REDES!$A:$W,MATCH($C1147&amp;$I1147&amp;$H1147&amp;$N1147&amp;$O1147,APOIO_REDES!$W:$W,0),MATCH(AZ$5,APOIO_REDES!$5:$5,0)),0)*$AP1147,0)</f>
        <v>0.44900434313683</v>
      </c>
      <c r="BA1147" s="153" t="n">
        <f aca="false">IFERROR(IF(AND($N1147="VCA",$Q1147="LINEAR"),INDEX(APOIO_REDES!$A:$W,MATCH($C1147&amp;$I1147&amp;$H1147&amp;$N1147&amp;$O1147,APOIO_REDES!$W:$W,0),MATCH(BA$5,APOIO_REDES!$5:$5,0)),IF(AND($N1147="MND",$Q1147="EMBOQUE"),INDEX(APOIO_REDES!$A:$W,MATCH($C1147&amp;$I1147&amp;$H1147&amp;$N1147&amp;$O1147,APOIO_REDES!$W:$W,0),MATCH(BA$5,APOIO_REDES!$5:$5,0)),0))*$M1147/10,0)</f>
        <v>1.37418699273525</v>
      </c>
      <c r="BB1147" s="153" t="n">
        <f aca="false">IFERROR(IF($N1147="VCA",INDEX(APOIO_REDES!$A:$W,MATCH($C1147&amp;$I1147&amp;$H1147&amp;$N1147&amp;$O1147,APOIO_REDES!$W:$W,0),MATCH(BB$5,APOIO_REDES!$5:$5,0)),0)*($AI1147+$AQ1147+$AR1147),0)</f>
        <v>7.08308620045219</v>
      </c>
      <c r="BC1147" s="153" t="n">
        <f aca="false">IFERROR(IF($N1147="VCA",INDEX(APOIO_REDES!$A:$W,MATCH($C1147&amp;$I1147&amp;$H1147&amp;$N1147&amp;$O1147,APOIO_REDES!$W:$W,0),MATCH(BC$5,APOIO_REDES!$5:$5,0)),0)*($AI1147+$AQ1147+$AR1147),0)</f>
        <v>0.0779137995478079</v>
      </c>
      <c r="BD1147" s="153" t="n">
        <f aca="false">IF(AND($N1147="VCA",$AF1147&gt;=1.25,$AF1147&lt;1.5),$M1147*$AF1147*2,0)</f>
        <v>49.786</v>
      </c>
      <c r="BE1147" s="153" t="n">
        <f aca="false">IF(AND($N1147="VCA",$AF1147&gt;=1.5,$AF1147&lt;3),$M1147*$AF1147*2,0)</f>
        <v>0</v>
      </c>
      <c r="BF1147" s="153" t="n">
        <f aca="false">IF(AND($N1147="VCA",$AF1147&gt;=3),$M1147*$AF1147*2,0)</f>
        <v>0</v>
      </c>
      <c r="BG1147" s="153" t="n">
        <f aca="false">($BB1147+$BC1147)*$AK1147</f>
        <v>22.1991</v>
      </c>
      <c r="BH1147" s="153" t="n">
        <f aca="false">IF(AND($M1147&lt;&gt;"",$N1147="VCA",$Q1147="LINEAR"),($M1147*2)/100,IF(AND($M1147&lt;&gt;"",$N1147="MND",$Q1147="EMBOQUE"),($AN1147*2)/100,0))</f>
        <v>0.341</v>
      </c>
      <c r="BI1147" s="153" t="n">
        <f aca="false">IF(AND($M1147&lt;&gt;"",$N1147="VCA",$Q1147="LINEAR"),$M1147,IF(AND($M1147&lt;&gt;"",$N1147="MND",$Q1147="EMBOQUE"),$AN1147*2,0))</f>
        <v>17.05</v>
      </c>
      <c r="BJ1147" s="153" t="n">
        <f aca="false">IF(AND($M1147&lt;&gt;"",$N1147="VCA",$Q1147="LINEAR"),($M1147*6.8)/100,IF(AND($M1147&lt;&gt;"",$N1147="MND",$Q1147="EMBOQUE"),($AN1147*2*6.8)/100,0))</f>
        <v>1.1594</v>
      </c>
      <c r="BK1147" s="153" t="n">
        <f aca="false">IF(AND($M1147&lt;&gt;"",$N1147="VCA",$Q1147="LINEAR"),($M1147*2.5)/50,IF(AND($M1147&lt;&gt;"",$N1147="MND",$Q1147="EMBOQUE"),($AN1147*2*2.5)/50,0))</f>
        <v>0.8525</v>
      </c>
      <c r="BL1147" s="157" t="str">
        <f aca="false">K1147&amp;J1147</f>
        <v>Zona10REDES</v>
      </c>
      <c r="BM1147" s="152" t="s">
        <v>5703</v>
      </c>
      <c r="BN1147" s="152" t="s">
        <v>1560</v>
      </c>
      <c r="BO1147" s="152" t="s">
        <v>3688</v>
      </c>
      <c r="BP1147" s="152" t="s">
        <v>5768</v>
      </c>
      <c r="BQ1147" s="152" t="s">
        <v>2032</v>
      </c>
      <c r="BR1147" s="152" t="s">
        <v>5901</v>
      </c>
      <c r="BS1147" s="152" t="n">
        <v>203150.264</v>
      </c>
      <c r="BT1147" s="152" t="n">
        <v>8237149.198</v>
      </c>
      <c r="BU1147" s="152" t="n">
        <v>203163.54</v>
      </c>
      <c r="BV1147" s="152" t="n">
        <v>8237138.645</v>
      </c>
      <c r="BW1147" s="152" t="n">
        <v>-15.927209</v>
      </c>
      <c r="BX1147" s="152" t="n">
        <v>-47.7725221</v>
      </c>
      <c r="BY1147" s="152" t="s">
        <v>5768</v>
      </c>
    </row>
    <row r="1148" customFormat="false" ht="13.8" hidden="false" customHeight="false" outlineLevel="0" collapsed="false">
      <c r="A1148" s="149" t="n">
        <f aca="false">IF(C1148&lt;&gt;"",ROW(A1143),"")</f>
        <v>1143</v>
      </c>
      <c r="B1148" s="150" t="str">
        <f aca="false">HYPERLINK("https://www.google.com/maps/dir/-15.917302,-47.760003/-15.9274024,-47.7687183/data=!4m3!4m2!3e0!5i2")</f>
        <v>https://www.google.com/maps/dir/-15.917302,-47.760003/-15.9274024,-47.7687183/data=!4m3!4m2!3e0!5i2</v>
      </c>
      <c r="C1148" s="151" t="s">
        <v>117</v>
      </c>
      <c r="D1148" s="152" t="s">
        <v>112</v>
      </c>
      <c r="E1148" s="152" t="s">
        <v>113</v>
      </c>
      <c r="F1148" s="152" t="s">
        <v>117</v>
      </c>
      <c r="G1148" s="152" t="s">
        <v>782</v>
      </c>
      <c r="H1148" s="152" t="n">
        <v>63</v>
      </c>
      <c r="I1148" s="152" t="s">
        <v>115</v>
      </c>
      <c r="J1148" s="152" t="s">
        <v>6</v>
      </c>
      <c r="K1148" s="152" t="s">
        <v>5700</v>
      </c>
      <c r="L1148" s="152" t="s">
        <v>120</v>
      </c>
      <c r="M1148" s="153" t="n">
        <f aca="false">45.61</f>
        <v>45.61</v>
      </c>
      <c r="N1148" s="152" t="s">
        <v>1548</v>
      </c>
      <c r="O1148" s="152" t="s">
        <v>1549</v>
      </c>
      <c r="P1148" s="152" t="s">
        <v>1550</v>
      </c>
      <c r="Q1148" s="152" t="s">
        <v>1551</v>
      </c>
      <c r="R1148" s="154" t="s">
        <v>5902</v>
      </c>
      <c r="S1148" s="154" t="s">
        <v>1553</v>
      </c>
      <c r="T1148" s="155" t="s">
        <v>3685</v>
      </c>
      <c r="U1148" s="152" t="str">
        <f aca="false">RIGHT(T1148,7)</f>
        <v>012/037</v>
      </c>
      <c r="V1148" s="152" t="s">
        <v>1555</v>
      </c>
      <c r="W1148" s="156" t="n">
        <v>45882</v>
      </c>
      <c r="X1148" s="152" t="s">
        <v>1594</v>
      </c>
      <c r="Y1148" s="152" t="s">
        <v>5799</v>
      </c>
      <c r="Z1148" s="152" t="s">
        <v>1557</v>
      </c>
      <c r="AA1148" s="153" t="n">
        <v>2.9</v>
      </c>
      <c r="AB1148" s="151" t="s">
        <v>5903</v>
      </c>
      <c r="AC1148" s="151" t="s">
        <v>186</v>
      </c>
      <c r="AD1148" s="151" t="str">
        <f aca="false">CONCATENATE($C1148,$I1148,$H1148,$N1148,$J1148,$K1148)</f>
        <v>TUBO PEADPEAD63VCAREDESZona10</v>
      </c>
      <c r="AE1148" s="153" t="n">
        <f aca="false">IFERROR(INDEX(APOIO_REDES!$A:$W,MATCH($C1148&amp;$I1148&amp;$H1148&amp;$N1148&amp;$O1148,APOIO_REDES!$W:$W,0),MATCH(AE$5,APOIO_REDES!$5:$5,0)),0)</f>
        <v>1.2</v>
      </c>
      <c r="AF1148" s="153" t="n">
        <f aca="false">IFERROR(INDEX(APOIO_REDES!$A:$W,MATCH($C1148&amp;$I1148&amp;$H1148&amp;$N1148&amp;$O1148,APOIO_REDES!$W:$W,0),MATCH(AF$5,APOIO_REDES!$5:$5,0)),0)</f>
        <v>1.363</v>
      </c>
      <c r="AG1148" s="153" t="n">
        <f aca="false">IFERROR(INDEX(APOIO_REDES!$A:$W,MATCH($C1148&amp;$I1148&amp;$H1148&amp;$N1148&amp;$O1148,APOIO_REDES!$W:$W,0),MATCH(AG$5,APOIO_REDES!$5:$5,0)),0)</f>
        <v>0.65</v>
      </c>
      <c r="AH1148" s="153" t="n">
        <f aca="false">IFERROR(INDEX(APOIO_REDES!$A:$W,MATCH($C1148&amp;$I1148&amp;$H1148&amp;$N1148&amp;$O1148,APOIO_REDES!$W:$W,0),MATCH(AH$5,APOIO_REDES!$5:$5,0)),0)</f>
        <v>0.1</v>
      </c>
      <c r="AI1148" s="153" t="n">
        <f aca="false">IFERROR(IF($H1148&lt;&gt;"",(((($H1148/1000)/2)^2)*PI()*$M1148),0),0)</f>
        <v>0.142177558613021</v>
      </c>
      <c r="AJ1148" s="153" t="n">
        <f aca="false">IFERROR(IF(AND($H1148&lt;&gt;"",$I1148="FoFo",OR($N1148="MND",$N1148="VCA"),$Q1148="LINEAR"),0,IF(AND($H1148&lt;&gt;"",$I1148="PEAD",$N1148="VCA",$Q1148="LINEAR"),($H1148/1000)+0.3,IF(AND($H1148&lt;&gt;"",$I1148="PEAD",$N1148="MND",$Q1148="EMBOQUE"),0,IF(AND($H1148&lt;&gt;"",$I1148="PVC",$N1148="VCA",$Q1148="LINEAR"),($H1148/1000)+0.2,IF(AND($H1148&lt;&gt;"",$I1148="PVC",$N1148="MND",$Q1148="EMBOQUE"),0,IF(AND($H1148&lt;&gt;"",$I1148="PEAD",$N1148="VCA",$Q1148="PREDIAL"),0,0)))))),0)</f>
        <v>0.363</v>
      </c>
      <c r="AK1148" s="153" t="n">
        <f aca="false">IF(AA1148&lt;&gt;"",AA1148,0)</f>
        <v>2.9</v>
      </c>
      <c r="AL1148" s="153" t="n">
        <f aca="false">IF(AND($N1148="MND",$Q1148="EMBOQUE"),$M1148,IF(AND($N1148="VCA",$Q1148="LINEAR"),$M1148,IF(AND($N1148="VCA",$Q1148="PREDIAL"),0,0)))</f>
        <v>45.61</v>
      </c>
      <c r="AM1148" s="153" t="n">
        <f aca="false">IF(AND($N1148="MND",$Q1148="EMBOQUE"),$M1148,IF(AND($N1148="VCA",$Q1148="LINEAR"),$M1148,IF(AND($N1148="VCA",$Q1148="PREDIAL"),0,0)))</f>
        <v>45.61</v>
      </c>
      <c r="AN1148" s="153" t="n">
        <f aca="false">ROUND(IF(AND($N1148="VCA",$M1148&lt;&gt;"",$Q1148="LINEAR"),$M1148/100,IF(AND($N1148="MND",$M1148&gt;100,$Q1148="EMBOQUE"),$M1148/100,0)),0)</f>
        <v>0</v>
      </c>
      <c r="AO1148" s="153" t="n">
        <f aca="false">IF(AND($N1148="MND",$Q1148="EMBOQUE"),$AN1148*2*2,IF(AND($N1148="VCA",$Q1148="LINEAR"),$M1148*2,IF(AND($N1148="VCA",$Q1148="PREDIAL"),0,0)))</f>
        <v>91.22</v>
      </c>
      <c r="AP1148" s="153" t="n">
        <f aca="false">IFERROR($M1148*$AF1148*$AG1148,0)</f>
        <v>40.4081795</v>
      </c>
      <c r="AQ1148" s="153" t="n">
        <f aca="false">IFERROR(IF(AND($N1148="VCA",$AH1148&gt;0),$M1148*$AG1148*$AH1148,0),0)</f>
        <v>2.96465</v>
      </c>
      <c r="AR1148" s="153" t="n">
        <f aca="false">IFERROR(IF(AND($N1148="VCA",$AJ1148&gt;0),($M1148*$AG1148*$AJ1148)-$AI1148,0),0)</f>
        <v>10.619501941387</v>
      </c>
      <c r="AS1148" s="153" t="n">
        <f aca="false">IFERROR(IF(AND($N1148="VCA",$AP1148&gt;0),$AP1148-$AI1148-$AQ1148-$AR1148,0),0)</f>
        <v>26.68185</v>
      </c>
      <c r="AT1148" s="153" t="n">
        <f aca="false">IFERROR(IF($N1148="VCA",INDEX(APOIO_REDES!$A:$W,MATCH($C1148&amp;$I1148&amp;$H1148&amp;$N1148&amp;$O1148,APOIO_REDES!$W:$W,0),MATCH(AT$5,APOIO_REDES!$5:$5,0)),0)*$AP1148,0)</f>
        <v>0.439652953170624</v>
      </c>
      <c r="AU1148" s="153" t="n">
        <f aca="false">IFERROR(IF($N1148="VCA",INDEX(APOIO_REDES!$A:$W,MATCH($C1148&amp;$I1148&amp;$H1148&amp;$N1148&amp;$O1148,APOIO_REDES!$W:$W,0),MATCH(AU$5,APOIO_REDES!$5:$5,0)),0)*$AP1148,0)</f>
        <v>0.351094941089998</v>
      </c>
      <c r="AV1148" s="153" t="n">
        <f aca="false">IFERROR(IF($N1148="VCA",INDEX(APOIO_REDES!$A:$W,MATCH($C1148&amp;$I1148&amp;$H1148&amp;$N1148&amp;$O1148,APOIO_REDES!$W:$W,0),MATCH(AV$5,APOIO_REDES!$5:$5,0)),0)*$AP1148,0)</f>
        <v>0.0485887836435027</v>
      </c>
      <c r="AW1148" s="153" t="n">
        <f aca="false">IFERROR(IF($N1148="VCA",INDEX(APOIO_REDES!$A:$W,MATCH($C1148&amp;$I1148&amp;$H1148&amp;$N1148&amp;$O1148,APOIO_REDES!$W:$W,0),MATCH(AW$5,APOIO_REDES!$5:$5,0)),0)*$AP1148,0)</f>
        <v>27.7364875066532</v>
      </c>
      <c r="AX1148" s="153" t="n">
        <f aca="false">IFERROR(IF($N1148="VCA",INDEX(APOIO_REDES!$A:$W,MATCH($C1148&amp;$I1148&amp;$H1148&amp;$N1148&amp;$O1148,APOIO_REDES!$W:$W,0),MATCH(AX$5,APOIO_REDES!$5:$5,0)),0)*$AP1148,0)</f>
        <v>3.83865086204059</v>
      </c>
      <c r="AY1148" s="153" t="n">
        <f aca="false">IFERROR(IF($N1148="VCA",INDEX(APOIO_REDES!$A:$W,MATCH($C1148&amp;$I1148&amp;$H1148&amp;$N1148&amp;$O1148,APOIO_REDES!$W:$W,0),MATCH(AY$5,APOIO_REDES!$5:$5,0)),0)*$AP1148,0)</f>
        <v>7.02189454198108</v>
      </c>
      <c r="AZ1148" s="153" t="n">
        <f aca="false">IFERROR(IF($N1148="VCA",INDEX(APOIO_REDES!$A:$W,MATCH($C1148&amp;$I1148&amp;$H1148&amp;$N1148&amp;$O1148,APOIO_REDES!$W:$W,0),MATCH(AZ$5,APOIO_REDES!$5:$5,0)),0)*$AP1148,0)</f>
        <v>0.971809911421022</v>
      </c>
      <c r="BA1148" s="153" t="n">
        <f aca="false">IFERROR(IF(AND($N1148="VCA",$Q1148="LINEAR"),INDEX(APOIO_REDES!$A:$W,MATCH($C1148&amp;$I1148&amp;$H1148&amp;$N1148&amp;$O1148,APOIO_REDES!$W:$W,0),MATCH(BA$5,APOIO_REDES!$5:$5,0)),IF(AND($N1148="MND",$Q1148="EMBOQUE"),INDEX(APOIO_REDES!$A:$W,MATCH($C1148&amp;$I1148&amp;$H1148&amp;$N1148&amp;$O1148,APOIO_REDES!$W:$W,0),MATCH(BA$5,APOIO_REDES!$5:$5,0)),0))*$M1148/10,0)</f>
        <v>3.67605095241378</v>
      </c>
      <c r="BB1148" s="153" t="n">
        <f aca="false">IFERROR(IF($N1148="VCA",INDEX(APOIO_REDES!$A:$W,MATCH($C1148&amp;$I1148&amp;$H1148&amp;$N1148&amp;$O1148,APOIO_REDES!$W:$W,0),MATCH(BB$5,APOIO_REDES!$5:$5,0)),0)*($AI1148+$AQ1148+$AR1148),0)</f>
        <v>13.5769829722539</v>
      </c>
      <c r="BC1148" s="153" t="n">
        <f aca="false">IFERROR(IF($N1148="VCA",INDEX(APOIO_REDES!$A:$W,MATCH($C1148&amp;$I1148&amp;$H1148&amp;$N1148&amp;$O1148,APOIO_REDES!$W:$W,0),MATCH(BC$5,APOIO_REDES!$5:$5,0)),0)*($AI1148+$AQ1148+$AR1148),0)</f>
        <v>0.149346527746148</v>
      </c>
      <c r="BD1148" s="153" t="n">
        <f aca="false">IF(AND($N1148="VCA",$AF1148&gt;=1.25,$AF1148&lt;1.5),$M1148*$AF1148*2,0)</f>
        <v>124.33286</v>
      </c>
      <c r="BE1148" s="153" t="n">
        <f aca="false">IF(AND($N1148="VCA",$AF1148&gt;=1.5,$AF1148&lt;3),$M1148*$AF1148*2,0)</f>
        <v>0</v>
      </c>
      <c r="BF1148" s="153" t="n">
        <f aca="false">IF(AND($N1148="VCA",$AF1148&gt;=3),$M1148*$AF1148*2,0)</f>
        <v>0</v>
      </c>
      <c r="BG1148" s="153" t="n">
        <f aca="false">($BB1148+$BC1148)*$AK1148</f>
        <v>39.80635555</v>
      </c>
      <c r="BH1148" s="153" t="n">
        <f aca="false">IF(AND($M1148&lt;&gt;"",$N1148="VCA",$Q1148="LINEAR"),($M1148*2)/100,IF(AND($M1148&lt;&gt;"",$N1148="MND",$Q1148="EMBOQUE"),($AN1148*2)/100,0))</f>
        <v>0.9122</v>
      </c>
      <c r="BI1148" s="153" t="n">
        <f aca="false">IF(AND($M1148&lt;&gt;"",$N1148="VCA",$Q1148="LINEAR"),$M1148,IF(AND($M1148&lt;&gt;"",$N1148="MND",$Q1148="EMBOQUE"),$AN1148*2,0))</f>
        <v>45.61</v>
      </c>
      <c r="BJ1148" s="153" t="n">
        <f aca="false">IF(AND($M1148&lt;&gt;"",$N1148="VCA",$Q1148="LINEAR"),($M1148*6.8)/100,IF(AND($M1148&lt;&gt;"",$N1148="MND",$Q1148="EMBOQUE"),($AN1148*2*6.8)/100,0))</f>
        <v>3.10148</v>
      </c>
      <c r="BK1148" s="153" t="n">
        <f aca="false">IF(AND($M1148&lt;&gt;"",$N1148="VCA",$Q1148="LINEAR"),($M1148*2.5)/50,IF(AND($M1148&lt;&gt;"",$N1148="MND",$Q1148="EMBOQUE"),($AN1148*2*2.5)/50,0))</f>
        <v>2.2805</v>
      </c>
      <c r="BL1148" s="157" t="str">
        <f aca="false">K1148&amp;J1148</f>
        <v>Zona10REDES</v>
      </c>
      <c r="BM1148" s="152" t="s">
        <v>5703</v>
      </c>
      <c r="BN1148" s="152" t="s">
        <v>1560</v>
      </c>
      <c r="BO1148" s="152" t="s">
        <v>3688</v>
      </c>
      <c r="BP1148" s="152" t="s">
        <v>5904</v>
      </c>
      <c r="BQ1148" s="152" t="s">
        <v>5868</v>
      </c>
      <c r="BR1148" s="152" t="s">
        <v>5869</v>
      </c>
      <c r="BS1148" s="152" t="n">
        <v>203565.082</v>
      </c>
      <c r="BT1148" s="152" t="n">
        <v>8237128.344</v>
      </c>
      <c r="BU1148" s="152" t="n">
        <v>203601.307</v>
      </c>
      <c r="BV1148" s="152" t="n">
        <v>8237156.01</v>
      </c>
      <c r="BW1148" s="152" t="n">
        <v>-15.9272763</v>
      </c>
      <c r="BX1148" s="152" t="n">
        <v>-47.7685502</v>
      </c>
      <c r="BY1148" s="152" t="s">
        <v>5904</v>
      </c>
    </row>
    <row r="1149" customFormat="false" ht="13.8" hidden="false" customHeight="false" outlineLevel="0" collapsed="false">
      <c r="A1149" s="149" t="n">
        <f aca="false">IF(C1149&lt;&gt;"",ROW(A1144),"")</f>
        <v>1144</v>
      </c>
      <c r="B1149" s="150" t="str">
        <f aca="false">HYPERLINK("https://www.google.com/maps/dir/-15.917302,-47.760003/-15.9272652,-47.7696673/data=!4m3!4m2!3e0!5i2")</f>
        <v>https://www.google.com/maps/dir/-15.917302,-47.760003/-15.9272652,-47.7696673/data=!4m3!4m2!3e0!5i2</v>
      </c>
      <c r="C1149" s="151" t="s">
        <v>117</v>
      </c>
      <c r="D1149" s="152" t="s">
        <v>112</v>
      </c>
      <c r="E1149" s="152" t="s">
        <v>113</v>
      </c>
      <c r="F1149" s="152" t="s">
        <v>117</v>
      </c>
      <c r="G1149" s="152" t="s">
        <v>782</v>
      </c>
      <c r="H1149" s="152" t="n">
        <v>63</v>
      </c>
      <c r="I1149" s="152" t="s">
        <v>115</v>
      </c>
      <c r="J1149" s="152" t="s">
        <v>6</v>
      </c>
      <c r="K1149" s="152" t="s">
        <v>5700</v>
      </c>
      <c r="L1149" s="152" t="s">
        <v>120</v>
      </c>
      <c r="M1149" s="153" t="n">
        <f aca="false">5.67</f>
        <v>5.67</v>
      </c>
      <c r="N1149" s="152" t="s">
        <v>1548</v>
      </c>
      <c r="O1149" s="152" t="s">
        <v>1549</v>
      </c>
      <c r="P1149" s="152" t="s">
        <v>1550</v>
      </c>
      <c r="Q1149" s="152" t="s">
        <v>1551</v>
      </c>
      <c r="R1149" s="154" t="s">
        <v>5905</v>
      </c>
      <c r="S1149" s="154" t="s">
        <v>1553</v>
      </c>
      <c r="T1149" s="155" t="s">
        <v>3685</v>
      </c>
      <c r="U1149" s="152" t="str">
        <f aca="false">RIGHT(T1149,7)</f>
        <v>012/037</v>
      </c>
      <c r="V1149" s="152" t="s">
        <v>1555</v>
      </c>
      <c r="W1149" s="156" t="n">
        <v>45882</v>
      </c>
      <c r="X1149" s="152" t="s">
        <v>1594</v>
      </c>
      <c r="Y1149" s="152" t="s">
        <v>2400</v>
      </c>
      <c r="Z1149" s="152" t="s">
        <v>1557</v>
      </c>
      <c r="AA1149" s="153" t="n">
        <v>2.9</v>
      </c>
      <c r="AB1149" s="151" t="s">
        <v>5906</v>
      </c>
      <c r="AC1149" s="151" t="s">
        <v>186</v>
      </c>
      <c r="AD1149" s="151" t="str">
        <f aca="false">CONCATENATE($C1149,$I1149,$H1149,$N1149,$J1149,$K1149)</f>
        <v>TUBO PEADPEAD63VCAREDESZona10</v>
      </c>
      <c r="AE1149" s="153" t="n">
        <f aca="false">IFERROR(INDEX(APOIO_REDES!$A:$W,MATCH($C1149&amp;$I1149&amp;$H1149&amp;$N1149&amp;$O1149,APOIO_REDES!$W:$W,0),MATCH(AE$5,APOIO_REDES!$5:$5,0)),0)</f>
        <v>1.2</v>
      </c>
      <c r="AF1149" s="153" t="n">
        <f aca="false">IFERROR(INDEX(APOIO_REDES!$A:$W,MATCH($C1149&amp;$I1149&amp;$H1149&amp;$N1149&amp;$O1149,APOIO_REDES!$W:$W,0),MATCH(AF$5,APOIO_REDES!$5:$5,0)),0)</f>
        <v>1.363</v>
      </c>
      <c r="AG1149" s="153" t="n">
        <f aca="false">IFERROR(INDEX(APOIO_REDES!$A:$W,MATCH($C1149&amp;$I1149&amp;$H1149&amp;$N1149&amp;$O1149,APOIO_REDES!$W:$W,0),MATCH(AG$5,APOIO_REDES!$5:$5,0)),0)</f>
        <v>0.65</v>
      </c>
      <c r="AH1149" s="153" t="n">
        <f aca="false">IFERROR(INDEX(APOIO_REDES!$A:$W,MATCH($C1149&amp;$I1149&amp;$H1149&amp;$N1149&amp;$O1149,APOIO_REDES!$W:$W,0),MATCH(AH$5,APOIO_REDES!$5:$5,0)),0)</f>
        <v>0.1</v>
      </c>
      <c r="AI1149" s="153" t="n">
        <f aca="false">IFERROR(IF($H1149&lt;&gt;"",(((($H1149/1000)/2)^2)*PI()*$M1149),0),0)</f>
        <v>0.0176747809106738</v>
      </c>
      <c r="AJ1149" s="153" t="n">
        <f aca="false">IFERROR(IF(AND($H1149&lt;&gt;"",$I1149="FoFo",OR($N1149="MND",$N1149="VCA"),$Q1149="LINEAR"),0,IF(AND($H1149&lt;&gt;"",$I1149="PEAD",$N1149="VCA",$Q1149="LINEAR"),($H1149/1000)+0.3,IF(AND($H1149&lt;&gt;"",$I1149="PEAD",$N1149="MND",$Q1149="EMBOQUE"),0,IF(AND($H1149&lt;&gt;"",$I1149="PVC",$N1149="VCA",$Q1149="LINEAR"),($H1149/1000)+0.2,IF(AND($H1149&lt;&gt;"",$I1149="PVC",$N1149="MND",$Q1149="EMBOQUE"),0,IF(AND($H1149&lt;&gt;"",$I1149="PEAD",$N1149="VCA",$Q1149="PREDIAL"),0,0)))))),0)</f>
        <v>0.363</v>
      </c>
      <c r="AK1149" s="153" t="n">
        <f aca="false">IF(AA1149&lt;&gt;"",AA1149,0)</f>
        <v>2.9</v>
      </c>
      <c r="AL1149" s="153" t="n">
        <f aca="false">IF(AND($N1149="MND",$Q1149="EMBOQUE"),$M1149,IF(AND($N1149="VCA",$Q1149="LINEAR"),$M1149,IF(AND($N1149="VCA",$Q1149="PREDIAL"),0,0)))</f>
        <v>5.67</v>
      </c>
      <c r="AM1149" s="153" t="n">
        <f aca="false">IF(AND($N1149="MND",$Q1149="EMBOQUE"),$M1149,IF(AND($N1149="VCA",$Q1149="LINEAR"),$M1149,IF(AND($N1149="VCA",$Q1149="PREDIAL"),0,0)))</f>
        <v>5.67</v>
      </c>
      <c r="AN1149" s="153" t="n">
        <f aca="false">ROUND(IF(AND($N1149="VCA",$M1149&lt;&gt;"",$Q1149="LINEAR"),$M1149/100,IF(AND($N1149="MND",$M1149&gt;100,$Q1149="EMBOQUE"),$M1149/100,0)),0)</f>
        <v>0</v>
      </c>
      <c r="AO1149" s="153" t="n">
        <f aca="false">IF(AND($N1149="MND",$Q1149="EMBOQUE"),$AN1149*2*2,IF(AND($N1149="VCA",$Q1149="LINEAR"),$M1149*2,IF(AND($N1149="VCA",$Q1149="PREDIAL"),0,0)))</f>
        <v>11.34</v>
      </c>
      <c r="AP1149" s="153" t="n">
        <f aca="false">IFERROR($M1149*$AF1149*$AG1149,0)</f>
        <v>5.0233365</v>
      </c>
      <c r="AQ1149" s="153" t="n">
        <f aca="false">IFERROR(IF(AND($N1149="VCA",$AH1149&gt;0),$M1149*$AG1149*$AH1149,0),0)</f>
        <v>0.36855</v>
      </c>
      <c r="AR1149" s="153" t="n">
        <f aca="false">IFERROR(IF(AND($N1149="VCA",$AJ1149&gt;0),($M1149*$AG1149*$AJ1149)-$AI1149,0),0)</f>
        <v>1.32016171908933</v>
      </c>
      <c r="AS1149" s="153" t="n">
        <f aca="false">IFERROR(IF(AND($N1149="VCA",$AP1149&gt;0),$AP1149-$AI1149-$AQ1149-$AR1149,0),0)</f>
        <v>3.31695</v>
      </c>
      <c r="AT1149" s="153" t="n">
        <f aca="false">IFERROR(IF($N1149="VCA",INDEX(APOIO_REDES!$A:$W,MATCH($C1149&amp;$I1149&amp;$H1149&amp;$N1149&amp;$O1149,APOIO_REDES!$W:$W,0),MATCH(AT$5,APOIO_REDES!$5:$5,0)),0)*$AP1149,0)</f>
        <v>0.0546553879517088</v>
      </c>
      <c r="AU1149" s="153" t="n">
        <f aca="false">IFERROR(IF($N1149="VCA",INDEX(APOIO_REDES!$A:$W,MATCH($C1149&amp;$I1149&amp;$H1149&amp;$N1149&amp;$O1149,APOIO_REDES!$W:$W,0),MATCH(AU$5,APOIO_REDES!$5:$5,0)),0)*$AP1149,0)</f>
        <v>0.0436463125626022</v>
      </c>
      <c r="AV1149" s="153" t="n">
        <f aca="false">IFERROR(IF($N1149="VCA",INDEX(APOIO_REDES!$A:$W,MATCH($C1149&amp;$I1149&amp;$H1149&amp;$N1149&amp;$O1149,APOIO_REDES!$W:$W,0),MATCH(AV$5,APOIO_REDES!$5:$5,0)),0)*$AP1149,0)</f>
        <v>0.00604030702167639</v>
      </c>
      <c r="AW1149" s="153" t="n">
        <f aca="false">IFERROR(IF($N1149="VCA",INDEX(APOIO_REDES!$A:$W,MATCH($C1149&amp;$I1149&amp;$H1149&amp;$N1149&amp;$O1149,APOIO_REDES!$W:$W,0),MATCH(AW$5,APOIO_REDES!$5:$5,0)),0)*$AP1149,0)</f>
        <v>3.44805709631054</v>
      </c>
      <c r="AX1149" s="153" t="n">
        <f aca="false">IFERROR(IF($N1149="VCA",INDEX(APOIO_REDES!$A:$W,MATCH($C1149&amp;$I1149&amp;$H1149&amp;$N1149&amp;$O1149,APOIO_REDES!$W:$W,0),MATCH(AX$5,APOIO_REDES!$5:$5,0)),0)*$AP1149,0)</f>
        <v>0.47720128015282</v>
      </c>
      <c r="AY1149" s="153" t="n">
        <f aca="false">IFERROR(IF($N1149="VCA",INDEX(APOIO_REDES!$A:$W,MATCH($C1149&amp;$I1149&amp;$H1149&amp;$N1149&amp;$O1149,APOIO_REDES!$W:$W,0),MATCH(AY$5,APOIO_REDES!$5:$5,0)),0)*$AP1149,0)</f>
        <v>0.872925719207032</v>
      </c>
      <c r="AZ1149" s="153" t="n">
        <f aca="false">IFERROR(IF($N1149="VCA",INDEX(APOIO_REDES!$A:$W,MATCH($C1149&amp;$I1149&amp;$H1149&amp;$N1149&amp;$O1149,APOIO_REDES!$W:$W,0),MATCH(AZ$5,APOIO_REDES!$5:$5,0)),0)*$AP1149,0)</f>
        <v>0.120810396793624</v>
      </c>
      <c r="BA1149" s="153" t="n">
        <f aca="false">IFERROR(IF(AND($N1149="VCA",$Q1149="LINEAR"),INDEX(APOIO_REDES!$A:$W,MATCH($C1149&amp;$I1149&amp;$H1149&amp;$N1149&amp;$O1149,APOIO_REDES!$W:$W,0),MATCH(BA$5,APOIO_REDES!$5:$5,0)),IF(AND($N1149="MND",$Q1149="EMBOQUE"),INDEX(APOIO_REDES!$A:$W,MATCH($C1149&amp;$I1149&amp;$H1149&amp;$N1149&amp;$O1149,APOIO_REDES!$W:$W,0),MATCH(BA$5,APOIO_REDES!$5:$5,0)),0))*$M1149/10,0)</f>
        <v>0.456987697877354</v>
      </c>
      <c r="BB1149" s="153" t="n">
        <f aca="false">IFERROR(IF($N1149="VCA",INDEX(APOIO_REDES!$A:$W,MATCH($C1149&amp;$I1149&amp;$H1149&amp;$N1149&amp;$O1149,APOIO_REDES!$W:$W,0),MATCH(BB$5,APOIO_REDES!$5:$5,0)),0)*($AI1149+$AQ1149+$AR1149),0)</f>
        <v>1.68782050981538</v>
      </c>
      <c r="BC1149" s="153" t="n">
        <f aca="false">IFERROR(IF($N1149="VCA",INDEX(APOIO_REDES!$A:$W,MATCH($C1149&amp;$I1149&amp;$H1149&amp;$N1149&amp;$O1149,APOIO_REDES!$W:$W,0),MATCH(BC$5,APOIO_REDES!$5:$5,0)),0)*($AI1149+$AQ1149+$AR1149),0)</f>
        <v>0.018565990184623</v>
      </c>
      <c r="BD1149" s="153" t="n">
        <f aca="false">IF(AND($N1149="VCA",$AF1149&gt;=1.25,$AF1149&lt;1.5),$M1149*$AF1149*2,0)</f>
        <v>15.45642</v>
      </c>
      <c r="BE1149" s="153" t="n">
        <f aca="false">IF(AND($N1149="VCA",$AF1149&gt;=1.5,$AF1149&lt;3),$M1149*$AF1149*2,0)</f>
        <v>0</v>
      </c>
      <c r="BF1149" s="153" t="n">
        <f aca="false">IF(AND($N1149="VCA",$AF1149&gt;=3),$M1149*$AF1149*2,0)</f>
        <v>0</v>
      </c>
      <c r="BG1149" s="153" t="n">
        <f aca="false">($BB1149+$BC1149)*$AK1149</f>
        <v>4.94852085</v>
      </c>
      <c r="BH1149" s="153" t="n">
        <f aca="false">IF(AND($M1149&lt;&gt;"",$N1149="VCA",$Q1149="LINEAR"),($M1149*2)/100,IF(AND($M1149&lt;&gt;"",$N1149="MND",$Q1149="EMBOQUE"),($AN1149*2)/100,0))</f>
        <v>0.1134</v>
      </c>
      <c r="BI1149" s="153" t="n">
        <f aca="false">IF(AND($M1149&lt;&gt;"",$N1149="VCA",$Q1149="LINEAR"),$M1149,IF(AND($M1149&lt;&gt;"",$N1149="MND",$Q1149="EMBOQUE"),$AN1149*2,0))</f>
        <v>5.67</v>
      </c>
      <c r="BJ1149" s="153" t="n">
        <f aca="false">IF(AND($M1149&lt;&gt;"",$N1149="VCA",$Q1149="LINEAR"),($M1149*6.8)/100,IF(AND($M1149&lt;&gt;"",$N1149="MND",$Q1149="EMBOQUE"),($AN1149*2*6.8)/100,0))</f>
        <v>0.38556</v>
      </c>
      <c r="BK1149" s="153" t="n">
        <f aca="false">IF(AND($M1149&lt;&gt;"",$N1149="VCA",$Q1149="LINEAR"),($M1149*2.5)/50,IF(AND($M1149&lt;&gt;"",$N1149="MND",$Q1149="EMBOQUE"),($AN1149*2*2.5)/50,0))</f>
        <v>0.2835</v>
      </c>
      <c r="BL1149" s="157" t="str">
        <f aca="false">K1149&amp;J1149</f>
        <v>Zona10REDES</v>
      </c>
      <c r="BM1149" s="152" t="s">
        <v>5703</v>
      </c>
      <c r="BN1149" s="152" t="s">
        <v>1560</v>
      </c>
      <c r="BO1149" s="152" t="s">
        <v>3688</v>
      </c>
      <c r="BP1149" s="152" t="s">
        <v>5897</v>
      </c>
      <c r="BQ1149" s="152" t="s">
        <v>5875</v>
      </c>
      <c r="BR1149" s="152" t="s">
        <v>5898</v>
      </c>
      <c r="BS1149" s="152" t="n">
        <v>203463.229</v>
      </c>
      <c r="BT1149" s="152" t="n">
        <v>8237142.263</v>
      </c>
      <c r="BU1149" s="152" t="n">
        <v>203468.635</v>
      </c>
      <c r="BV1149" s="152" t="n">
        <v>8237140.54</v>
      </c>
      <c r="BW1149" s="152" t="n">
        <v>-15.9272726</v>
      </c>
      <c r="BX1149" s="152" t="n">
        <v>-47.769642</v>
      </c>
      <c r="BY1149" s="152" t="s">
        <v>5897</v>
      </c>
    </row>
    <row r="1150" customFormat="false" ht="13.8" hidden="false" customHeight="false" outlineLevel="0" collapsed="false">
      <c r="A1150" s="149" t="n">
        <f aca="false">IF(C1150&lt;&gt;"",ROW(A1145),"")</f>
        <v>1145</v>
      </c>
      <c r="B1150" s="150" t="str">
        <f aca="false">HYPERLINK("https://www.google.com/maps/dir/-15.917302,-47.760003/-15.9270354,-47.7701788/data=!4m3!4m2!3e0!5i1")</f>
        <v>https://www.google.com/maps/dir/-15.917302,-47.760003/-15.9270354,-47.7701788/data=!4m3!4m2!3e0!5i1</v>
      </c>
      <c r="C1150" s="151" t="s">
        <v>117</v>
      </c>
      <c r="D1150" s="152" t="s">
        <v>112</v>
      </c>
      <c r="E1150" s="152" t="s">
        <v>113</v>
      </c>
      <c r="F1150" s="152" t="s">
        <v>117</v>
      </c>
      <c r="G1150" s="152" t="s">
        <v>782</v>
      </c>
      <c r="H1150" s="152" t="n">
        <v>63</v>
      </c>
      <c r="I1150" s="152" t="s">
        <v>115</v>
      </c>
      <c r="J1150" s="152" t="s">
        <v>6</v>
      </c>
      <c r="K1150" s="152" t="s">
        <v>5700</v>
      </c>
      <c r="L1150" s="152" t="s">
        <v>120</v>
      </c>
      <c r="M1150" s="153" t="n">
        <f aca="false">62.53+0.42</f>
        <v>62.95</v>
      </c>
      <c r="N1150" s="152" t="s">
        <v>1548</v>
      </c>
      <c r="O1150" s="152" t="s">
        <v>1549</v>
      </c>
      <c r="P1150" s="152" t="s">
        <v>1550</v>
      </c>
      <c r="Q1150" s="152" t="s">
        <v>1551</v>
      </c>
      <c r="R1150" s="154" t="s">
        <v>5907</v>
      </c>
      <c r="S1150" s="154" t="s">
        <v>1553</v>
      </c>
      <c r="T1150" s="155" t="s">
        <v>3685</v>
      </c>
      <c r="U1150" s="152" t="str">
        <f aca="false">RIGHT(T1150,7)</f>
        <v>012/037</v>
      </c>
      <c r="V1150" s="152" t="s">
        <v>1555</v>
      </c>
      <c r="W1150" s="156" t="n">
        <v>45882</v>
      </c>
      <c r="X1150" s="152" t="s">
        <v>1594</v>
      </c>
      <c r="Y1150" s="152" t="s">
        <v>2400</v>
      </c>
      <c r="Z1150" s="152" t="s">
        <v>1557</v>
      </c>
      <c r="AA1150" s="153" t="n">
        <v>3</v>
      </c>
      <c r="AB1150" s="151" t="s">
        <v>5908</v>
      </c>
      <c r="AC1150" s="151" t="s">
        <v>186</v>
      </c>
      <c r="AD1150" s="151" t="str">
        <f aca="false">CONCATENATE($C1150,$I1150,$H1150,$N1150,$J1150,$K1150)</f>
        <v>TUBO PEADPEAD63VCAREDESZona10</v>
      </c>
      <c r="AE1150" s="153" t="n">
        <f aca="false">IFERROR(INDEX(APOIO_REDES!$A:$W,MATCH($C1150&amp;$I1150&amp;$H1150&amp;$N1150&amp;$O1150,APOIO_REDES!$W:$W,0),MATCH(AE$5,APOIO_REDES!$5:$5,0)),0)</f>
        <v>1.2</v>
      </c>
      <c r="AF1150" s="153" t="n">
        <f aca="false">IFERROR(INDEX(APOIO_REDES!$A:$W,MATCH($C1150&amp;$I1150&amp;$H1150&amp;$N1150&amp;$O1150,APOIO_REDES!$W:$W,0),MATCH(AF$5,APOIO_REDES!$5:$5,0)),0)</f>
        <v>1.363</v>
      </c>
      <c r="AG1150" s="153" t="n">
        <f aca="false">IFERROR(INDEX(APOIO_REDES!$A:$W,MATCH($C1150&amp;$I1150&amp;$H1150&amp;$N1150&amp;$O1150,APOIO_REDES!$W:$W,0),MATCH(AG$5,APOIO_REDES!$5:$5,0)),0)</f>
        <v>0.65</v>
      </c>
      <c r="AH1150" s="153" t="n">
        <f aca="false">IFERROR(INDEX(APOIO_REDES!$A:$W,MATCH($C1150&amp;$I1150&amp;$H1150&amp;$N1150&amp;$O1150,APOIO_REDES!$W:$W,0),MATCH(AH$5,APOIO_REDES!$5:$5,0)),0)</f>
        <v>0.1</v>
      </c>
      <c r="AI1150" s="153" t="n">
        <f aca="false">IFERROR(IF($H1150&lt;&gt;"",(((($H1150/1000)/2)^2)*PI()*$M1150),0),0)</f>
        <v>0.196230592297516</v>
      </c>
      <c r="AJ1150" s="153" t="n">
        <f aca="false">IFERROR(IF(AND($H1150&lt;&gt;"",$I1150="FoFo",OR($N1150="MND",$N1150="VCA"),$Q1150="LINEAR"),0,IF(AND($H1150&lt;&gt;"",$I1150="PEAD",$N1150="VCA",$Q1150="LINEAR"),($H1150/1000)+0.3,IF(AND($H1150&lt;&gt;"",$I1150="PEAD",$N1150="MND",$Q1150="EMBOQUE"),0,IF(AND($H1150&lt;&gt;"",$I1150="PVC",$N1150="VCA",$Q1150="LINEAR"),($H1150/1000)+0.2,IF(AND($H1150&lt;&gt;"",$I1150="PVC",$N1150="MND",$Q1150="EMBOQUE"),0,IF(AND($H1150&lt;&gt;"",$I1150="PEAD",$N1150="VCA",$Q1150="PREDIAL"),0,0)))))),0)</f>
        <v>0.363</v>
      </c>
      <c r="AK1150" s="153" t="n">
        <f aca="false">IF(AA1150&lt;&gt;"",AA1150,0)</f>
        <v>3</v>
      </c>
      <c r="AL1150" s="153" t="n">
        <f aca="false">IF(AND($N1150="MND",$Q1150="EMBOQUE"),$M1150,IF(AND($N1150="VCA",$Q1150="LINEAR"),$M1150,IF(AND($N1150="VCA",$Q1150="PREDIAL"),0,0)))</f>
        <v>62.95</v>
      </c>
      <c r="AM1150" s="153" t="n">
        <f aca="false">IF(AND($N1150="MND",$Q1150="EMBOQUE"),$M1150,IF(AND($N1150="VCA",$Q1150="LINEAR"),$M1150,IF(AND($N1150="VCA",$Q1150="PREDIAL"),0,0)))</f>
        <v>62.95</v>
      </c>
      <c r="AN1150" s="153" t="n">
        <f aca="false">ROUND(IF(AND($N1150="VCA",$M1150&lt;&gt;"",$Q1150="LINEAR"),$M1150/100,IF(AND($N1150="MND",$M1150&gt;100,$Q1150="EMBOQUE"),$M1150/100,0)),0)</f>
        <v>1</v>
      </c>
      <c r="AO1150" s="153" t="n">
        <f aca="false">IF(AND($N1150="MND",$Q1150="EMBOQUE"),$AN1150*2*2,IF(AND($N1150="VCA",$Q1150="LINEAR"),$M1150*2,IF(AND($N1150="VCA",$Q1150="PREDIAL"),0,0)))</f>
        <v>125.9</v>
      </c>
      <c r="AP1150" s="153" t="n">
        <f aca="false">IFERROR($M1150*$AF1150*$AG1150,0)</f>
        <v>55.7705525</v>
      </c>
      <c r="AQ1150" s="153" t="n">
        <f aca="false">IFERROR(IF(AND($N1150="VCA",$AH1150&gt;0),$M1150*$AG1150*$AH1150,0),0)</f>
        <v>4.09175</v>
      </c>
      <c r="AR1150" s="153" t="n">
        <f aca="false">IFERROR(IF(AND($N1150="VCA",$AJ1150&gt;0),($M1150*$AG1150*$AJ1150)-$AI1150,0),0)</f>
        <v>14.6568219077025</v>
      </c>
      <c r="AS1150" s="153" t="n">
        <f aca="false">IFERROR(IF(AND($N1150="VCA",$AP1150&gt;0),$AP1150-$AI1150-$AQ1150-$AR1150,0),0)</f>
        <v>36.82575</v>
      </c>
      <c r="AT1150" s="153" t="n">
        <f aca="false">IFERROR(IF($N1150="VCA",INDEX(APOIO_REDES!$A:$W,MATCH($C1150&amp;$I1150&amp;$H1150&amp;$N1150&amp;$O1150,APOIO_REDES!$W:$W,0),MATCH(AT$5,APOIO_REDES!$5:$5,0)),0)*$AP1150,0)</f>
        <v>0.60680011844093</v>
      </c>
      <c r="AU1150" s="153" t="n">
        <f aca="false">IFERROR(IF($N1150="VCA",INDEX(APOIO_REDES!$A:$W,MATCH($C1150&amp;$I1150&amp;$H1150&amp;$N1150&amp;$O1150,APOIO_REDES!$W:$W,0),MATCH(AU$5,APOIO_REDES!$5:$5,0)),0)*$AP1150,0)</f>
        <v>0.484574140355522</v>
      </c>
      <c r="AV1150" s="153" t="n">
        <f aca="false">IFERROR(IF($N1150="VCA",INDEX(APOIO_REDES!$A:$W,MATCH($C1150&amp;$I1150&amp;$H1150&amp;$N1150&amp;$O1150,APOIO_REDES!$W:$W,0),MATCH(AV$5,APOIO_REDES!$5:$5,0)),0)*$AP1150,0)</f>
        <v>0.0670612569690527</v>
      </c>
      <c r="AW1150" s="153" t="n">
        <f aca="false">IFERROR(IF($N1150="VCA",INDEX(APOIO_REDES!$A:$W,MATCH($C1150&amp;$I1150&amp;$H1150&amp;$N1150&amp;$O1150,APOIO_REDES!$W:$W,0),MATCH(AW$5,APOIO_REDES!$5:$5,0)),0)*$AP1150,0)</f>
        <v>38.2813393673277</v>
      </c>
      <c r="AX1150" s="153" t="n">
        <f aca="false">IFERROR(IF($N1150="VCA",INDEX(APOIO_REDES!$A:$W,MATCH($C1150&amp;$I1150&amp;$H1150&amp;$N1150&amp;$O1150,APOIO_REDES!$W:$W,0),MATCH(AX$5,APOIO_REDES!$5:$5,0)),0)*$AP1150,0)</f>
        <v>5.29802832197884</v>
      </c>
      <c r="AY1150" s="153" t="n">
        <f aca="false">IFERROR(IF($N1150="VCA",INDEX(APOIO_REDES!$A:$W,MATCH($C1150&amp;$I1150&amp;$H1150&amp;$N1150&amp;$O1150,APOIO_REDES!$W:$W,0),MATCH(AY$5,APOIO_REDES!$5:$5,0)),0)*$AP1150,0)</f>
        <v>9.69147690019094</v>
      </c>
      <c r="AZ1150" s="153" t="n">
        <f aca="false">IFERROR(IF($N1150="VCA",INDEX(APOIO_REDES!$A:$W,MATCH($C1150&amp;$I1150&amp;$H1150&amp;$N1150&amp;$O1150,APOIO_REDES!$W:$W,0),MATCH(AZ$5,APOIO_REDES!$5:$5,0)),0)*$AP1150,0)</f>
        <v>1.34127239473697</v>
      </c>
      <c r="BA1150" s="153" t="n">
        <f aca="false">IFERROR(IF(AND($N1150="VCA",$Q1150="LINEAR"),INDEX(APOIO_REDES!$A:$W,MATCH($C1150&amp;$I1150&amp;$H1150&amp;$N1150&amp;$O1150,APOIO_REDES!$W:$W,0),MATCH(BA$5,APOIO_REDES!$5:$5,0)),IF(AND($N1150="MND",$Q1150="EMBOQUE"),INDEX(APOIO_REDES!$A:$W,MATCH($C1150&amp;$I1150&amp;$H1150&amp;$N1150&amp;$O1150,APOIO_REDES!$W:$W,0),MATCH(BA$5,APOIO_REDES!$5:$5,0)),0))*$M1150/10,0)</f>
        <v>5.07361121364717</v>
      </c>
      <c r="BB1150" s="153" t="n">
        <f aca="false">IFERROR(IF($N1150="VCA",INDEX(APOIO_REDES!$A:$W,MATCH($C1150&amp;$I1150&amp;$H1150&amp;$N1150&amp;$O1150,APOIO_REDES!$W:$W,0),MATCH(BB$5,APOIO_REDES!$5:$5,0)),0)*($AI1150+$AQ1150+$AR1150),0)</f>
        <v>18.7386774414247</v>
      </c>
      <c r="BC1150" s="153" t="n">
        <f aca="false">IFERROR(IF($N1150="VCA",INDEX(APOIO_REDES!$A:$W,MATCH($C1150&amp;$I1150&amp;$H1150&amp;$N1150&amp;$O1150,APOIO_REDES!$W:$W,0),MATCH(BC$5,APOIO_REDES!$5:$5,0)),0)*($AI1150+$AQ1150+$AR1150),0)</f>
        <v>0.206125058575312</v>
      </c>
      <c r="BD1150" s="153" t="n">
        <f aca="false">IF(AND($N1150="VCA",$AF1150&gt;=1.25,$AF1150&lt;1.5),$M1150*$AF1150*2,0)</f>
        <v>171.6017</v>
      </c>
      <c r="BE1150" s="153" t="n">
        <f aca="false">IF(AND($N1150="VCA",$AF1150&gt;=1.5,$AF1150&lt;3),$M1150*$AF1150*2,0)</f>
        <v>0</v>
      </c>
      <c r="BF1150" s="153" t="n">
        <f aca="false">IF(AND($N1150="VCA",$AF1150&gt;=3),$M1150*$AF1150*2,0)</f>
        <v>0</v>
      </c>
      <c r="BG1150" s="153" t="n">
        <f aca="false">($BB1150+$BC1150)*$AK1150</f>
        <v>56.8344075</v>
      </c>
      <c r="BH1150" s="153" t="n">
        <f aca="false">IF(AND($M1150&lt;&gt;"",$N1150="VCA",$Q1150="LINEAR"),($M1150*2)/100,IF(AND($M1150&lt;&gt;"",$N1150="MND",$Q1150="EMBOQUE"),($AN1150*2)/100,0))</f>
        <v>1.259</v>
      </c>
      <c r="BI1150" s="153" t="n">
        <f aca="false">IF(AND($M1150&lt;&gt;"",$N1150="VCA",$Q1150="LINEAR"),$M1150,IF(AND($M1150&lt;&gt;"",$N1150="MND",$Q1150="EMBOQUE"),$AN1150*2,0))</f>
        <v>62.95</v>
      </c>
      <c r="BJ1150" s="153" t="n">
        <f aca="false">IF(AND($M1150&lt;&gt;"",$N1150="VCA",$Q1150="LINEAR"),($M1150*6.8)/100,IF(AND($M1150&lt;&gt;"",$N1150="MND",$Q1150="EMBOQUE"),($AN1150*2*6.8)/100,0))</f>
        <v>4.2806</v>
      </c>
      <c r="BK1150" s="153" t="n">
        <f aca="false">IF(AND($M1150&lt;&gt;"",$N1150="VCA",$Q1150="LINEAR"),($M1150*2.5)/50,IF(AND($M1150&lt;&gt;"",$N1150="MND",$Q1150="EMBOQUE"),($AN1150*2*2.5)/50,0))</f>
        <v>3.1475</v>
      </c>
      <c r="BL1150" s="157" t="str">
        <f aca="false">K1150&amp;J1150</f>
        <v>Zona10REDES</v>
      </c>
      <c r="BM1150" s="152" t="s">
        <v>5703</v>
      </c>
      <c r="BN1150" s="152" t="s">
        <v>1560</v>
      </c>
      <c r="BO1150" s="152" t="s">
        <v>3688</v>
      </c>
      <c r="BP1150" s="152" t="s">
        <v>5879</v>
      </c>
      <c r="BQ1150" s="152" t="s">
        <v>5909</v>
      </c>
      <c r="BR1150" s="152" t="s">
        <v>5910</v>
      </c>
      <c r="BS1150" s="152" t="n">
        <v>203408.074</v>
      </c>
      <c r="BT1150" s="152" t="n">
        <v>8237166.904</v>
      </c>
      <c r="BU1150" s="152" t="n">
        <v>203380.043</v>
      </c>
      <c r="BV1150" s="152" t="n">
        <v>8237111.035</v>
      </c>
      <c r="BW1150" s="152" t="n">
        <v>-15.9272842</v>
      </c>
      <c r="BX1150" s="152" t="n">
        <v>-47.7703166</v>
      </c>
      <c r="BY1150" s="152" t="s">
        <v>5879</v>
      </c>
    </row>
    <row r="1151" customFormat="false" ht="13.8" hidden="false" customHeight="false" outlineLevel="0" collapsed="false">
      <c r="A1151" s="149" t="n">
        <f aca="false">IF(C1151&lt;&gt;"",ROW(A1146),"")</f>
        <v>1146</v>
      </c>
      <c r="B1151" s="150" t="str">
        <f aca="false">HYPERLINK("https://www.google.com/maps/dir/-15.917302,-47.760003/-15.9270944,-47.7670947/data=!4m3!4m2!3e0!5i0")</f>
        <v>https://www.google.com/maps/dir/-15.917302,-47.760003/-15.9270944,-47.7670947/data=!4m3!4m2!3e0!5i0</v>
      </c>
      <c r="C1151" s="151" t="s">
        <v>117</v>
      </c>
      <c r="D1151" s="152" t="s">
        <v>112</v>
      </c>
      <c r="E1151" s="152" t="s">
        <v>113</v>
      </c>
      <c r="F1151" s="152" t="s">
        <v>117</v>
      </c>
      <c r="G1151" s="152" t="s">
        <v>782</v>
      </c>
      <c r="H1151" s="152" t="n">
        <v>63</v>
      </c>
      <c r="I1151" s="152" t="s">
        <v>115</v>
      </c>
      <c r="J1151" s="152" t="s">
        <v>6</v>
      </c>
      <c r="K1151" s="152" t="s">
        <v>5700</v>
      </c>
      <c r="L1151" s="152" t="s">
        <v>120</v>
      </c>
      <c r="M1151" s="153" t="n">
        <f aca="false">120.93</f>
        <v>120.93</v>
      </c>
      <c r="N1151" s="152" t="s">
        <v>1548</v>
      </c>
      <c r="O1151" s="152" t="s">
        <v>1549</v>
      </c>
      <c r="P1151" s="152" t="s">
        <v>1550</v>
      </c>
      <c r="Q1151" s="152" t="s">
        <v>1551</v>
      </c>
      <c r="R1151" s="154" t="s">
        <v>5911</v>
      </c>
      <c r="S1151" s="154" t="s">
        <v>1553</v>
      </c>
      <c r="T1151" s="155" t="s">
        <v>3685</v>
      </c>
      <c r="U1151" s="152" t="str">
        <f aca="false">RIGHT(T1151,7)</f>
        <v>012/037</v>
      </c>
      <c r="V1151" s="152" t="s">
        <v>1555</v>
      </c>
      <c r="W1151" s="156" t="n">
        <v>45882</v>
      </c>
      <c r="X1151" s="152" t="s">
        <v>1594</v>
      </c>
      <c r="Y1151" s="152"/>
      <c r="Z1151" s="152" t="s">
        <v>1557</v>
      </c>
      <c r="AA1151" s="153" t="n">
        <v>2.5</v>
      </c>
      <c r="AB1151" s="151" t="s">
        <v>5912</v>
      </c>
      <c r="AC1151" s="151" t="s">
        <v>186</v>
      </c>
      <c r="AD1151" s="151" t="str">
        <f aca="false">CONCATENATE($C1151,$I1151,$H1151,$N1151,$J1151,$K1151)</f>
        <v>TUBO PEADPEAD63VCAREDESZona10</v>
      </c>
      <c r="AE1151" s="153" t="n">
        <f aca="false">IFERROR(INDEX(APOIO_REDES!$A:$W,MATCH($C1151&amp;$I1151&amp;$H1151&amp;$N1151&amp;$O1151,APOIO_REDES!$W:$W,0),MATCH(AE$5,APOIO_REDES!$5:$5,0)),0)</f>
        <v>1.2</v>
      </c>
      <c r="AF1151" s="153" t="n">
        <f aca="false">IFERROR(INDEX(APOIO_REDES!$A:$W,MATCH($C1151&amp;$I1151&amp;$H1151&amp;$N1151&amp;$O1151,APOIO_REDES!$W:$W,0),MATCH(AF$5,APOIO_REDES!$5:$5,0)),0)</f>
        <v>1.363</v>
      </c>
      <c r="AG1151" s="153" t="n">
        <f aca="false">IFERROR(INDEX(APOIO_REDES!$A:$W,MATCH($C1151&amp;$I1151&amp;$H1151&amp;$N1151&amp;$O1151,APOIO_REDES!$W:$W,0),MATCH(AG$5,APOIO_REDES!$5:$5,0)),0)</f>
        <v>0.65</v>
      </c>
      <c r="AH1151" s="153" t="n">
        <f aca="false">IFERROR(INDEX(APOIO_REDES!$A:$W,MATCH($C1151&amp;$I1151&amp;$H1151&amp;$N1151&amp;$O1151,APOIO_REDES!$W:$W,0),MATCH(AH$5,APOIO_REDES!$5:$5,0)),0)</f>
        <v>0.1</v>
      </c>
      <c r="AI1151" s="153" t="n">
        <f aca="false">IFERROR(IF($H1151&lt;&gt;"",(((($H1151/1000)/2)^2)*PI()*$M1151),0),0)</f>
        <v>0.376968475401724</v>
      </c>
      <c r="AJ1151" s="153" t="n">
        <f aca="false">IFERROR(IF(AND($H1151&lt;&gt;"",$I1151="FoFo",OR($N1151="MND",$N1151="VCA"),$Q1151="LINEAR"),0,IF(AND($H1151&lt;&gt;"",$I1151="PEAD",$N1151="VCA",$Q1151="LINEAR"),($H1151/1000)+0.3,IF(AND($H1151&lt;&gt;"",$I1151="PEAD",$N1151="MND",$Q1151="EMBOQUE"),0,IF(AND($H1151&lt;&gt;"",$I1151="PVC",$N1151="VCA",$Q1151="LINEAR"),($H1151/1000)+0.2,IF(AND($H1151&lt;&gt;"",$I1151="PVC",$N1151="MND",$Q1151="EMBOQUE"),0,IF(AND($H1151&lt;&gt;"",$I1151="PEAD",$N1151="VCA",$Q1151="PREDIAL"),0,0)))))),0)</f>
        <v>0.363</v>
      </c>
      <c r="AK1151" s="153" t="n">
        <f aca="false">IF(AA1151&lt;&gt;"",AA1151,0)</f>
        <v>2.5</v>
      </c>
      <c r="AL1151" s="153" t="n">
        <f aca="false">IF(AND($N1151="MND",$Q1151="EMBOQUE"),$M1151,IF(AND($N1151="VCA",$Q1151="LINEAR"),$M1151,IF(AND($N1151="VCA",$Q1151="PREDIAL"),0,0)))</f>
        <v>120.93</v>
      </c>
      <c r="AM1151" s="153" t="n">
        <f aca="false">IF(AND($N1151="MND",$Q1151="EMBOQUE"),$M1151,IF(AND($N1151="VCA",$Q1151="LINEAR"),$M1151,IF(AND($N1151="VCA",$Q1151="PREDIAL"),0,0)))</f>
        <v>120.93</v>
      </c>
      <c r="AN1151" s="153" t="n">
        <f aca="false">ROUND(IF(AND($N1151="VCA",$M1151&lt;&gt;"",$Q1151="LINEAR"),$M1151/100,IF(AND($N1151="MND",$M1151&gt;100,$Q1151="EMBOQUE"),$M1151/100,0)),0)</f>
        <v>1</v>
      </c>
      <c r="AO1151" s="153" t="n">
        <f aca="false">IF(AND($N1151="MND",$Q1151="EMBOQUE"),$AN1151*2*2,IF(AND($N1151="VCA",$Q1151="LINEAR"),$M1151*2,IF(AND($N1151="VCA",$Q1151="PREDIAL"),0,0)))</f>
        <v>241.86</v>
      </c>
      <c r="AP1151" s="153" t="n">
        <f aca="false">IFERROR($M1151*$AF1151*$AG1151,0)</f>
        <v>107.1379335</v>
      </c>
      <c r="AQ1151" s="153" t="n">
        <f aca="false">IFERROR(IF(AND($N1151="VCA",$AH1151&gt;0),$M1151*$AG1151*$AH1151,0),0)</f>
        <v>7.86045</v>
      </c>
      <c r="AR1151" s="153" t="n">
        <f aca="false">IFERROR(IF(AND($N1151="VCA",$AJ1151&gt;0),($M1151*$AG1151*$AJ1151)-$AI1151,0),0)</f>
        <v>28.1564650245983</v>
      </c>
      <c r="AS1151" s="153" t="n">
        <f aca="false">IFERROR(IF(AND($N1151="VCA",$AP1151&gt;0),$AP1151-$AI1151-$AQ1151-$AR1151,0),0)</f>
        <v>70.74405</v>
      </c>
      <c r="AT1151" s="153" t="n">
        <f aca="false">IFERROR(IF($N1151="VCA",INDEX(APOIO_REDES!$A:$W,MATCH($C1151&amp;$I1151&amp;$H1151&amp;$N1151&amp;$O1151,APOIO_REDES!$W:$W,0),MATCH(AT$5,APOIO_REDES!$5:$5,0)),0)*$AP1151,0)</f>
        <v>1.16569242768962</v>
      </c>
      <c r="AU1151" s="153" t="n">
        <f aca="false">IFERROR(IF($N1151="VCA",INDEX(APOIO_REDES!$A:$W,MATCH($C1151&amp;$I1151&amp;$H1151&amp;$N1151&amp;$O1151,APOIO_REDES!$W:$W,0),MATCH(AU$5,APOIO_REDES!$5:$5,0)),0)*$AP1151,0)</f>
        <v>0.930890401798145</v>
      </c>
      <c r="AV1151" s="153" t="n">
        <f aca="false">IFERROR(IF($N1151="VCA",INDEX(APOIO_REDES!$A:$W,MATCH($C1151&amp;$I1151&amp;$H1151&amp;$N1151&amp;$O1151,APOIO_REDES!$W:$W,0),MATCH(AV$5,APOIO_REDES!$5:$5,0)),0)*$AP1151,0)</f>
        <v>0.128827923832685</v>
      </c>
      <c r="AW1151" s="153" t="n">
        <f aca="false">IFERROR(IF($N1151="VCA",INDEX(APOIO_REDES!$A:$W,MATCH($C1151&amp;$I1151&amp;$H1151&amp;$N1151&amp;$O1151,APOIO_REDES!$W:$W,0),MATCH(AW$5,APOIO_REDES!$5:$5,0)),0)*$AP1151,0)</f>
        <v>73.5403076996179</v>
      </c>
      <c r="AX1151" s="153" t="n">
        <f aca="false">IFERROR(IF($N1151="VCA",INDEX(APOIO_REDES!$A:$W,MATCH($C1151&amp;$I1151&amp;$H1151&amp;$N1151&amp;$O1151,APOIO_REDES!$W:$W,0),MATCH(AX$5,APOIO_REDES!$5:$5,0)),0)*$AP1151,0)</f>
        <v>10.1777691020953</v>
      </c>
      <c r="AY1151" s="153" t="n">
        <f aca="false">IFERROR(IF($N1151="VCA",INDEX(APOIO_REDES!$A:$W,MATCH($C1151&amp;$I1151&amp;$H1151&amp;$N1151&amp;$O1151,APOIO_REDES!$W:$W,0),MATCH(AY$5,APOIO_REDES!$5:$5,0)),0)*$AP1151,0)</f>
        <v>18.6177966884844</v>
      </c>
      <c r="AZ1151" s="153" t="n">
        <f aca="false">IFERROR(IF($N1151="VCA",INDEX(APOIO_REDES!$A:$W,MATCH($C1151&amp;$I1151&amp;$H1151&amp;$N1151&amp;$O1151,APOIO_REDES!$W:$W,0),MATCH(AZ$5,APOIO_REDES!$5:$5,0)),0)*$AP1151,0)</f>
        <v>2.576649256482</v>
      </c>
      <c r="BA1151" s="153" t="n">
        <f aca="false">IFERROR(IF(AND($N1151="VCA",$Q1151="LINEAR"),INDEX(APOIO_REDES!$A:$W,MATCH($C1151&amp;$I1151&amp;$H1151&amp;$N1151&amp;$O1151,APOIO_REDES!$W:$W,0),MATCH(BA$5,APOIO_REDES!$5:$5,0)),IF(AND($N1151="MND",$Q1151="EMBOQUE"),INDEX(APOIO_REDES!$A:$W,MATCH($C1151&amp;$I1151&amp;$H1151&amp;$N1151&amp;$O1151,APOIO_REDES!$W:$W,0),MATCH(BA$5,APOIO_REDES!$5:$5,0)),0))*$M1151/10,0)</f>
        <v>9.74665296372283</v>
      </c>
      <c r="BB1151" s="153" t="n">
        <f aca="false">IFERROR(IF($N1151="VCA",INDEX(APOIO_REDES!$A:$W,MATCH($C1151&amp;$I1151&amp;$H1151&amp;$N1151&amp;$O1151,APOIO_REDES!$W:$W,0),MATCH(BB$5,APOIO_REDES!$5:$5,0)),0)*($AI1151+$AQ1151+$AR1151),0)</f>
        <v>35.9979072754803</v>
      </c>
      <c r="BC1151" s="153" t="n">
        <f aca="false">IFERROR(IF($N1151="VCA",INDEX(APOIO_REDES!$A:$W,MATCH($C1151&amp;$I1151&amp;$H1151&amp;$N1151&amp;$O1151,APOIO_REDES!$W:$W,0),MATCH(BC$5,APOIO_REDES!$5:$5,0)),0)*($AI1151+$AQ1151+$AR1151),0)</f>
        <v>0.395976224519658</v>
      </c>
      <c r="BD1151" s="153" t="n">
        <f aca="false">IF(AND($N1151="VCA",$AF1151&gt;=1.25,$AF1151&lt;1.5),$M1151*$AF1151*2,0)</f>
        <v>329.65518</v>
      </c>
      <c r="BE1151" s="153" t="n">
        <f aca="false">IF(AND($N1151="VCA",$AF1151&gt;=1.5,$AF1151&lt;3),$M1151*$AF1151*2,0)</f>
        <v>0</v>
      </c>
      <c r="BF1151" s="153" t="n">
        <f aca="false">IF(AND($N1151="VCA",$AF1151&gt;=3),$M1151*$AF1151*2,0)</f>
        <v>0</v>
      </c>
      <c r="BG1151" s="153" t="n">
        <f aca="false">($BB1151+$BC1151)*$AK1151</f>
        <v>90.98470875</v>
      </c>
      <c r="BH1151" s="153" t="n">
        <f aca="false">IF(AND($M1151&lt;&gt;"",$N1151="VCA",$Q1151="LINEAR"),($M1151*2)/100,IF(AND($M1151&lt;&gt;"",$N1151="MND",$Q1151="EMBOQUE"),($AN1151*2)/100,0))</f>
        <v>2.4186</v>
      </c>
      <c r="BI1151" s="153" t="n">
        <f aca="false">IF(AND($M1151&lt;&gt;"",$N1151="VCA",$Q1151="LINEAR"),$M1151,IF(AND($M1151&lt;&gt;"",$N1151="MND",$Q1151="EMBOQUE"),$AN1151*2,0))</f>
        <v>120.93</v>
      </c>
      <c r="BJ1151" s="153" t="n">
        <f aca="false">IF(AND($M1151&lt;&gt;"",$N1151="VCA",$Q1151="LINEAR"),($M1151*6.8)/100,IF(AND($M1151&lt;&gt;"",$N1151="MND",$Q1151="EMBOQUE"),($AN1151*2*6.8)/100,0))</f>
        <v>8.22324</v>
      </c>
      <c r="BK1151" s="153" t="n">
        <f aca="false">IF(AND($M1151&lt;&gt;"",$N1151="VCA",$Q1151="LINEAR"),($M1151*2.5)/50,IF(AND($M1151&lt;&gt;"",$N1151="MND",$Q1151="EMBOQUE"),($AN1151*2*2.5)/50,0))</f>
        <v>6.0465</v>
      </c>
      <c r="BL1151" s="157" t="str">
        <f aca="false">K1151&amp;J1151</f>
        <v>Zona10REDES</v>
      </c>
      <c r="BM1151" s="152" t="s">
        <v>5703</v>
      </c>
      <c r="BN1151" s="152" t="s">
        <v>1560</v>
      </c>
      <c r="BO1151" s="152" t="s">
        <v>3688</v>
      </c>
      <c r="BP1151" s="152" t="s">
        <v>2232</v>
      </c>
      <c r="BQ1151" s="152" t="s">
        <v>5913</v>
      </c>
      <c r="BR1151" s="152" t="s">
        <v>5914</v>
      </c>
      <c r="BS1151" s="152" t="n">
        <v>203629.536</v>
      </c>
      <c r="BT1151" s="152" t="n">
        <v>8237111.802</v>
      </c>
      <c r="BU1151" s="152" t="n">
        <v>203738.577</v>
      </c>
      <c r="BV1151" s="152" t="n">
        <v>8237164</v>
      </c>
      <c r="BW1151" s="152" t="n">
        <v>-15.9273336</v>
      </c>
      <c r="BX1151" s="152" t="n">
        <v>-47.7676053</v>
      </c>
      <c r="BY1151" s="152" t="s">
        <v>5913</v>
      </c>
    </row>
    <row r="1152" customFormat="false" ht="13.8" hidden="false" customHeight="false" outlineLevel="0" collapsed="false">
      <c r="A1152" s="149" t="n">
        <f aca="false">IF(C1152&lt;&gt;"",ROW(A1147),"")</f>
        <v>1147</v>
      </c>
      <c r="B1152" s="150" t="str">
        <f aca="false">HYPERLINK("https://www.google.com/maps/dir/-15.917302,-47.760003/-15.9272807,-47.7696169/data=!4m3!4m2!3e0!5i0")</f>
        <v>https://www.google.com/maps/dir/-15.917302,-47.760003/-15.9272807,-47.7696169/data=!4m3!4m2!3e0!5i0</v>
      </c>
      <c r="C1152" s="151" t="s">
        <v>117</v>
      </c>
      <c r="D1152" s="152" t="s">
        <v>112</v>
      </c>
      <c r="E1152" s="152" t="s">
        <v>113</v>
      </c>
      <c r="F1152" s="152" t="s">
        <v>117</v>
      </c>
      <c r="G1152" s="152" t="s">
        <v>782</v>
      </c>
      <c r="H1152" s="152" t="n">
        <v>63</v>
      </c>
      <c r="I1152" s="152" t="s">
        <v>115</v>
      </c>
      <c r="J1152" s="152" t="s">
        <v>6</v>
      </c>
      <c r="K1152" s="152" t="s">
        <v>5700</v>
      </c>
      <c r="L1152" s="152" t="s">
        <v>120</v>
      </c>
      <c r="M1152" s="153" t="n">
        <f aca="false">22.02</f>
        <v>22.02</v>
      </c>
      <c r="N1152" s="152" t="s">
        <v>1548</v>
      </c>
      <c r="O1152" s="152" t="s">
        <v>1549</v>
      </c>
      <c r="P1152" s="152" t="s">
        <v>1550</v>
      </c>
      <c r="Q1152" s="152" t="s">
        <v>1551</v>
      </c>
      <c r="R1152" s="154" t="s">
        <v>5915</v>
      </c>
      <c r="S1152" s="154" t="s">
        <v>1553</v>
      </c>
      <c r="T1152" s="155" t="s">
        <v>3685</v>
      </c>
      <c r="U1152" s="152" t="str">
        <f aca="false">RIGHT(T1152,7)</f>
        <v>012/037</v>
      </c>
      <c r="V1152" s="152" t="s">
        <v>1555</v>
      </c>
      <c r="W1152" s="156" t="n">
        <v>45882</v>
      </c>
      <c r="X1152" s="152" t="s">
        <v>1594</v>
      </c>
      <c r="Y1152" s="152" t="s">
        <v>2400</v>
      </c>
      <c r="Z1152" s="152" t="s">
        <v>1557</v>
      </c>
      <c r="AA1152" s="153" t="n">
        <v>2.6</v>
      </c>
      <c r="AB1152" s="151" t="s">
        <v>5916</v>
      </c>
      <c r="AC1152" s="151" t="s">
        <v>186</v>
      </c>
      <c r="AD1152" s="151" t="str">
        <f aca="false">CONCATENATE($C1152,$I1152,$H1152,$N1152,$J1152,$K1152)</f>
        <v>TUBO PEADPEAD63VCAREDESZona10</v>
      </c>
      <c r="AE1152" s="153" t="n">
        <f aca="false">IFERROR(INDEX(APOIO_REDES!$A:$W,MATCH($C1152&amp;$I1152&amp;$H1152&amp;$N1152&amp;$O1152,APOIO_REDES!$W:$W,0),MATCH(AE$5,APOIO_REDES!$5:$5,0)),0)</f>
        <v>1.2</v>
      </c>
      <c r="AF1152" s="153" t="n">
        <f aca="false">IFERROR(INDEX(APOIO_REDES!$A:$W,MATCH($C1152&amp;$I1152&amp;$H1152&amp;$N1152&amp;$O1152,APOIO_REDES!$W:$W,0),MATCH(AF$5,APOIO_REDES!$5:$5,0)),0)</f>
        <v>1.363</v>
      </c>
      <c r="AG1152" s="153" t="n">
        <f aca="false">IFERROR(INDEX(APOIO_REDES!$A:$W,MATCH($C1152&amp;$I1152&amp;$H1152&amp;$N1152&amp;$O1152,APOIO_REDES!$W:$W,0),MATCH(AG$5,APOIO_REDES!$5:$5,0)),0)</f>
        <v>0.65</v>
      </c>
      <c r="AH1152" s="153" t="n">
        <f aca="false">IFERROR(INDEX(APOIO_REDES!$A:$W,MATCH($C1152&amp;$I1152&amp;$H1152&amp;$N1152&amp;$O1152,APOIO_REDES!$W:$W,0),MATCH(AH$5,APOIO_REDES!$5:$5,0)),0)</f>
        <v>0.1</v>
      </c>
      <c r="AI1152" s="153" t="n">
        <f aca="false">IFERROR(IF($H1152&lt;&gt;"",(((($H1152/1000)/2)^2)*PI()*$M1152),0),0)</f>
        <v>0.0686417417377489</v>
      </c>
      <c r="AJ1152" s="153" t="n">
        <f aca="false">IFERROR(IF(AND($H1152&lt;&gt;"",$I1152="FoFo",OR($N1152="MND",$N1152="VCA"),$Q1152="LINEAR"),0,IF(AND($H1152&lt;&gt;"",$I1152="PEAD",$N1152="VCA",$Q1152="LINEAR"),($H1152/1000)+0.3,IF(AND($H1152&lt;&gt;"",$I1152="PEAD",$N1152="MND",$Q1152="EMBOQUE"),0,IF(AND($H1152&lt;&gt;"",$I1152="PVC",$N1152="VCA",$Q1152="LINEAR"),($H1152/1000)+0.2,IF(AND($H1152&lt;&gt;"",$I1152="PVC",$N1152="MND",$Q1152="EMBOQUE"),0,IF(AND($H1152&lt;&gt;"",$I1152="PEAD",$N1152="VCA",$Q1152="PREDIAL"),0,0)))))),0)</f>
        <v>0.363</v>
      </c>
      <c r="AK1152" s="153" t="n">
        <f aca="false">IF(AA1152&lt;&gt;"",AA1152,0)</f>
        <v>2.6</v>
      </c>
      <c r="AL1152" s="153" t="n">
        <f aca="false">IF(AND($N1152="MND",$Q1152="EMBOQUE"),$M1152,IF(AND($N1152="VCA",$Q1152="LINEAR"),$M1152,IF(AND($N1152="VCA",$Q1152="PREDIAL"),0,0)))</f>
        <v>22.02</v>
      </c>
      <c r="AM1152" s="153" t="n">
        <f aca="false">IF(AND($N1152="MND",$Q1152="EMBOQUE"),$M1152,IF(AND($N1152="VCA",$Q1152="LINEAR"),$M1152,IF(AND($N1152="VCA",$Q1152="PREDIAL"),0,0)))</f>
        <v>22.02</v>
      </c>
      <c r="AN1152" s="153" t="n">
        <f aca="false">ROUND(IF(AND($N1152="VCA",$M1152&lt;&gt;"",$Q1152="LINEAR"),$M1152/100,IF(AND($N1152="MND",$M1152&gt;100,$Q1152="EMBOQUE"),$M1152/100,0)),0)</f>
        <v>0</v>
      </c>
      <c r="AO1152" s="153" t="n">
        <f aca="false">IF(AND($N1152="MND",$Q1152="EMBOQUE"),$AN1152*2*2,IF(AND($N1152="VCA",$Q1152="LINEAR"),$M1152*2,IF(AND($N1152="VCA",$Q1152="PREDIAL"),0,0)))</f>
        <v>44.04</v>
      </c>
      <c r="AP1152" s="153" t="n">
        <f aca="false">IFERROR($M1152*$AF1152*$AG1152,0)</f>
        <v>19.508619</v>
      </c>
      <c r="AQ1152" s="153" t="n">
        <f aca="false">IFERROR(IF(AND($N1152="VCA",$AH1152&gt;0),$M1152*$AG1152*$AH1152,0),0)</f>
        <v>1.4313</v>
      </c>
      <c r="AR1152" s="153" t="n">
        <f aca="false">IFERROR(IF(AND($N1152="VCA",$AJ1152&gt;0),($M1152*$AG1152*$AJ1152)-$AI1152,0),0)</f>
        <v>5.12697725826225</v>
      </c>
      <c r="AS1152" s="153" t="n">
        <f aca="false">IFERROR(IF(AND($N1152="VCA",$AP1152&gt;0),$AP1152-$AI1152-$AQ1152-$AR1152,0),0)</f>
        <v>12.8817</v>
      </c>
      <c r="AT1152" s="153" t="n">
        <f aca="false">IFERROR(IF($N1152="VCA",INDEX(APOIO_REDES!$A:$W,MATCH($C1152&amp;$I1152&amp;$H1152&amp;$N1152&amp;$O1152,APOIO_REDES!$W:$W,0),MATCH(AT$5,APOIO_REDES!$5:$5,0)),0)*$AP1152,0)</f>
        <v>0.212259548976478</v>
      </c>
      <c r="AU1152" s="153" t="n">
        <f aca="false">IFERROR(IF($N1152="VCA",INDEX(APOIO_REDES!$A:$W,MATCH($C1152&amp;$I1152&amp;$H1152&amp;$N1152&amp;$O1152,APOIO_REDES!$W:$W,0),MATCH(AU$5,APOIO_REDES!$5:$5,0)),0)*$AP1152,0)</f>
        <v>0.169504727094974</v>
      </c>
      <c r="AV1152" s="153" t="n">
        <f aca="false">IFERROR(IF($N1152="VCA",INDEX(APOIO_REDES!$A:$W,MATCH($C1152&amp;$I1152&amp;$H1152&amp;$N1152&amp;$O1152,APOIO_REDES!$W:$W,0),MATCH(AV$5,APOIO_REDES!$5:$5,0)),0)*$AP1152,0)</f>
        <v>0.0234581235656639</v>
      </c>
      <c r="AW1152" s="153" t="n">
        <f aca="false">IFERROR(IF($N1152="VCA",INDEX(APOIO_REDES!$A:$W,MATCH($C1152&amp;$I1152&amp;$H1152&amp;$N1152&amp;$O1152,APOIO_REDES!$W:$W,0),MATCH(AW$5,APOIO_REDES!$5:$5,0)),0)*$AP1152,0)</f>
        <v>13.3908672417563</v>
      </c>
      <c r="AX1152" s="153" t="n">
        <f aca="false">IFERROR(IF($N1152="VCA",INDEX(APOIO_REDES!$A:$W,MATCH($C1152&amp;$I1152&amp;$H1152&amp;$N1152&amp;$O1152,APOIO_REDES!$W:$W,0),MATCH(AX$5,APOIO_REDES!$5:$5,0)),0)*$AP1152,0)</f>
        <v>1.85325788165169</v>
      </c>
      <c r="AY1152" s="153" t="n">
        <f aca="false">IFERROR(IF($N1152="VCA",INDEX(APOIO_REDES!$A:$W,MATCH($C1152&amp;$I1152&amp;$H1152&amp;$N1152&amp;$O1152,APOIO_REDES!$W:$W,0),MATCH(AY$5,APOIO_REDES!$5:$5,0)),0)*$AP1152,0)</f>
        <v>3.39009247565059</v>
      </c>
      <c r="AZ1152" s="153" t="n">
        <f aca="false">IFERROR(IF($N1152="VCA",INDEX(APOIO_REDES!$A:$W,MATCH($C1152&amp;$I1152&amp;$H1152&amp;$N1152&amp;$O1152,APOIO_REDES!$W:$W,0),MATCH(AZ$5,APOIO_REDES!$5:$5,0)),0)*$AP1152,0)</f>
        <v>0.469179001304339</v>
      </c>
      <c r="BA1152" s="153" t="n">
        <f aca="false">IFERROR(IF(AND($N1152="VCA",$Q1152="LINEAR"),INDEX(APOIO_REDES!$A:$W,MATCH($C1152&amp;$I1152&amp;$H1152&amp;$N1152&amp;$O1152,APOIO_REDES!$W:$W,0),MATCH(BA$5,APOIO_REDES!$5:$5,0)),IF(AND($N1152="MND",$Q1152="EMBOQUE"),INDEX(APOIO_REDES!$A:$W,MATCH($C1152&amp;$I1152&amp;$H1152&amp;$N1152&amp;$O1152,APOIO_REDES!$W:$W,0),MATCH(BA$5,APOIO_REDES!$5:$5,0)),0))*$M1152/10,0)</f>
        <v>1.77475645630676</v>
      </c>
      <c r="BB1152" s="153" t="n">
        <f aca="false">IFERROR(IF($N1152="VCA",INDEX(APOIO_REDES!$A:$W,MATCH($C1152&amp;$I1152&amp;$H1152&amp;$N1152&amp;$O1152,APOIO_REDES!$W:$W,0),MATCH(BB$5,APOIO_REDES!$5:$5,0)),0)*($AI1152+$AQ1152+$AR1152),0)</f>
        <v>6.5548161598121</v>
      </c>
      <c r="BC1152" s="153" t="n">
        <f aca="false">IFERROR(IF($N1152="VCA",INDEX(APOIO_REDES!$A:$W,MATCH($C1152&amp;$I1152&amp;$H1152&amp;$N1152&amp;$O1152,APOIO_REDES!$W:$W,0),MATCH(BC$5,APOIO_REDES!$5:$5,0)),0)*($AI1152+$AQ1152+$AR1152),0)</f>
        <v>0.0721028401879011</v>
      </c>
      <c r="BD1152" s="153" t="n">
        <f aca="false">IF(AND($N1152="VCA",$AF1152&gt;=1.25,$AF1152&lt;1.5),$M1152*$AF1152*2,0)</f>
        <v>60.02652</v>
      </c>
      <c r="BE1152" s="153" t="n">
        <f aca="false">IF(AND($N1152="VCA",$AF1152&gt;=1.5,$AF1152&lt;3),$M1152*$AF1152*2,0)</f>
        <v>0</v>
      </c>
      <c r="BF1152" s="153" t="n">
        <f aca="false">IF(AND($N1152="VCA",$AF1152&gt;=3),$M1152*$AF1152*2,0)</f>
        <v>0</v>
      </c>
      <c r="BG1152" s="153" t="n">
        <f aca="false">($BB1152+$BC1152)*$AK1152</f>
        <v>17.2299894</v>
      </c>
      <c r="BH1152" s="153" t="n">
        <f aca="false">IF(AND($M1152&lt;&gt;"",$N1152="VCA",$Q1152="LINEAR"),($M1152*2)/100,IF(AND($M1152&lt;&gt;"",$N1152="MND",$Q1152="EMBOQUE"),($AN1152*2)/100,0))</f>
        <v>0.4404</v>
      </c>
      <c r="BI1152" s="153" t="n">
        <f aca="false">IF(AND($M1152&lt;&gt;"",$N1152="VCA",$Q1152="LINEAR"),$M1152,IF(AND($M1152&lt;&gt;"",$N1152="MND",$Q1152="EMBOQUE"),$AN1152*2,0))</f>
        <v>22.02</v>
      </c>
      <c r="BJ1152" s="153" t="n">
        <f aca="false">IF(AND($M1152&lt;&gt;"",$N1152="VCA",$Q1152="LINEAR"),($M1152*6.8)/100,IF(AND($M1152&lt;&gt;"",$N1152="MND",$Q1152="EMBOQUE"),($AN1152*2*6.8)/100,0))</f>
        <v>1.49736</v>
      </c>
      <c r="BK1152" s="153" t="n">
        <f aca="false">IF(AND($M1152&lt;&gt;"",$N1152="VCA",$Q1152="LINEAR"),($M1152*2.5)/50,IF(AND($M1152&lt;&gt;"",$N1152="MND",$Q1152="EMBOQUE"),($AN1152*2*2.5)/50,0))</f>
        <v>1.101</v>
      </c>
      <c r="BL1152" s="157" t="str">
        <f aca="false">K1152&amp;J1152</f>
        <v>Zona10REDES</v>
      </c>
      <c r="BM1152" s="152" t="s">
        <v>5703</v>
      </c>
      <c r="BN1152" s="152" t="s">
        <v>1560</v>
      </c>
      <c r="BO1152" s="152" t="s">
        <v>3688</v>
      </c>
      <c r="BP1152" s="152" t="s">
        <v>5875</v>
      </c>
      <c r="BQ1152" s="152" t="s">
        <v>5917</v>
      </c>
      <c r="BR1152" s="152" t="s">
        <v>5898</v>
      </c>
      <c r="BS1152" s="152" t="n">
        <v>203468.635</v>
      </c>
      <c r="BT1152" s="152" t="n">
        <v>8237140.54</v>
      </c>
      <c r="BU1152" s="152" t="n">
        <v>203488.301</v>
      </c>
      <c r="BV1152" s="152" t="n">
        <v>8237130.742</v>
      </c>
      <c r="BW1152" s="152" t="n">
        <v>-15.9273242</v>
      </c>
      <c r="BX1152" s="152" t="n">
        <v>-47.7695249</v>
      </c>
      <c r="BY1152" s="152" t="s">
        <v>5875</v>
      </c>
    </row>
    <row r="1153" customFormat="false" ht="13.8" hidden="false" customHeight="false" outlineLevel="0" collapsed="false">
      <c r="A1153" s="149" t="n">
        <f aca="false">IF(C1153&lt;&gt;"",ROW(A1148),"")</f>
        <v>1148</v>
      </c>
      <c r="B1153" s="150" t="str">
        <f aca="false">HYPERLINK("https://www.google.com/maps/dir/-15.917302,-47.760003/-15.9275878,-47.7681824/data=!4m3!4m2!3e0!5i2")</f>
        <v>https://www.google.com/maps/dir/-15.917302,-47.760003/-15.9275878,-47.7681824/data=!4m3!4m2!3e0!5i2</v>
      </c>
      <c r="C1153" s="151" t="s">
        <v>117</v>
      </c>
      <c r="D1153" s="152" t="s">
        <v>112</v>
      </c>
      <c r="E1153" s="152" t="s">
        <v>113</v>
      </c>
      <c r="F1153" s="152" t="s">
        <v>117</v>
      </c>
      <c r="G1153" s="152" t="s">
        <v>782</v>
      </c>
      <c r="H1153" s="152" t="n">
        <v>63</v>
      </c>
      <c r="I1153" s="152" t="s">
        <v>115</v>
      </c>
      <c r="J1153" s="152" t="s">
        <v>6</v>
      </c>
      <c r="K1153" s="152" t="s">
        <v>5700</v>
      </c>
      <c r="L1153" s="152" t="s">
        <v>120</v>
      </c>
      <c r="M1153" s="153" t="n">
        <f aca="false">52.4</f>
        <v>52.4</v>
      </c>
      <c r="N1153" s="152" t="s">
        <v>1548</v>
      </c>
      <c r="O1153" s="152" t="s">
        <v>1549</v>
      </c>
      <c r="P1153" s="152" t="s">
        <v>1550</v>
      </c>
      <c r="Q1153" s="152" t="s">
        <v>1551</v>
      </c>
      <c r="R1153" s="154" t="s">
        <v>5918</v>
      </c>
      <c r="S1153" s="154" t="s">
        <v>1553</v>
      </c>
      <c r="T1153" s="155" t="s">
        <v>3685</v>
      </c>
      <c r="U1153" s="152" t="str">
        <f aca="false">RIGHT(T1153,7)</f>
        <v>012/037</v>
      </c>
      <c r="V1153" s="152" t="s">
        <v>1555</v>
      </c>
      <c r="W1153" s="156" t="n">
        <v>45882</v>
      </c>
      <c r="X1153" s="152" t="s">
        <v>1594</v>
      </c>
      <c r="Y1153" s="152" t="s">
        <v>5146</v>
      </c>
      <c r="Z1153" s="152" t="s">
        <v>1557</v>
      </c>
      <c r="AA1153" s="153" t="n">
        <v>3</v>
      </c>
      <c r="AB1153" s="151" t="s">
        <v>5919</v>
      </c>
      <c r="AC1153" s="151" t="s">
        <v>186</v>
      </c>
      <c r="AD1153" s="151" t="str">
        <f aca="false">CONCATENATE($C1153,$I1153,$H1153,$N1153,$J1153,$K1153)</f>
        <v>TUBO PEADPEAD63VCAREDESZona10</v>
      </c>
      <c r="AE1153" s="153" t="n">
        <f aca="false">IFERROR(INDEX(APOIO_REDES!$A:$W,MATCH($C1153&amp;$I1153&amp;$H1153&amp;$N1153&amp;$O1153,APOIO_REDES!$W:$W,0),MATCH(AE$5,APOIO_REDES!$5:$5,0)),0)</f>
        <v>1.2</v>
      </c>
      <c r="AF1153" s="153" t="n">
        <f aca="false">IFERROR(INDEX(APOIO_REDES!$A:$W,MATCH($C1153&amp;$I1153&amp;$H1153&amp;$N1153&amp;$O1153,APOIO_REDES!$W:$W,0),MATCH(AF$5,APOIO_REDES!$5:$5,0)),0)</f>
        <v>1.363</v>
      </c>
      <c r="AG1153" s="153" t="n">
        <f aca="false">IFERROR(INDEX(APOIO_REDES!$A:$W,MATCH($C1153&amp;$I1153&amp;$H1153&amp;$N1153&amp;$O1153,APOIO_REDES!$W:$W,0),MATCH(AG$5,APOIO_REDES!$5:$5,0)),0)</f>
        <v>0.65</v>
      </c>
      <c r="AH1153" s="153" t="n">
        <f aca="false">IFERROR(INDEX(APOIO_REDES!$A:$W,MATCH($C1153&amp;$I1153&amp;$H1153&amp;$N1153&amp;$O1153,APOIO_REDES!$W:$W,0),MATCH(AH$5,APOIO_REDES!$5:$5,0)),0)</f>
        <v>0.1</v>
      </c>
      <c r="AI1153" s="153" t="n">
        <f aca="false">IFERROR(IF($H1153&lt;&gt;"",(((($H1153/1000)/2)^2)*PI()*$M1153),0),0)</f>
        <v>0.163343654271482</v>
      </c>
      <c r="AJ1153" s="153" t="n">
        <f aca="false">IFERROR(IF(AND($H1153&lt;&gt;"",$I1153="FoFo",OR($N1153="MND",$N1153="VCA"),$Q1153="LINEAR"),0,IF(AND($H1153&lt;&gt;"",$I1153="PEAD",$N1153="VCA",$Q1153="LINEAR"),($H1153/1000)+0.3,IF(AND($H1153&lt;&gt;"",$I1153="PEAD",$N1153="MND",$Q1153="EMBOQUE"),0,IF(AND($H1153&lt;&gt;"",$I1153="PVC",$N1153="VCA",$Q1153="LINEAR"),($H1153/1000)+0.2,IF(AND($H1153&lt;&gt;"",$I1153="PVC",$N1153="MND",$Q1153="EMBOQUE"),0,IF(AND($H1153&lt;&gt;"",$I1153="PEAD",$N1153="VCA",$Q1153="PREDIAL"),0,0)))))),0)</f>
        <v>0.363</v>
      </c>
      <c r="AK1153" s="153" t="n">
        <f aca="false">IF(AA1153&lt;&gt;"",AA1153,0)</f>
        <v>3</v>
      </c>
      <c r="AL1153" s="153" t="n">
        <f aca="false">IF(AND($N1153="MND",$Q1153="EMBOQUE"),$M1153,IF(AND($N1153="VCA",$Q1153="LINEAR"),$M1153,IF(AND($N1153="VCA",$Q1153="PREDIAL"),0,0)))</f>
        <v>52.4</v>
      </c>
      <c r="AM1153" s="153" t="n">
        <f aca="false">IF(AND($N1153="MND",$Q1153="EMBOQUE"),$M1153,IF(AND($N1153="VCA",$Q1153="LINEAR"),$M1153,IF(AND($N1153="VCA",$Q1153="PREDIAL"),0,0)))</f>
        <v>52.4</v>
      </c>
      <c r="AN1153" s="153" t="n">
        <f aca="false">ROUND(IF(AND($N1153="VCA",$M1153&lt;&gt;"",$Q1153="LINEAR"),$M1153/100,IF(AND($N1153="MND",$M1153&gt;100,$Q1153="EMBOQUE"),$M1153/100,0)),0)</f>
        <v>1</v>
      </c>
      <c r="AO1153" s="153" t="n">
        <f aca="false">IF(AND($N1153="MND",$Q1153="EMBOQUE"),$AN1153*2*2,IF(AND($N1153="VCA",$Q1153="LINEAR"),$M1153*2,IF(AND($N1153="VCA",$Q1153="PREDIAL"),0,0)))</f>
        <v>104.8</v>
      </c>
      <c r="AP1153" s="153" t="n">
        <f aca="false">IFERROR($M1153*$AF1153*$AG1153,0)</f>
        <v>46.42378</v>
      </c>
      <c r="AQ1153" s="153" t="n">
        <f aca="false">IFERROR(IF(AND($N1153="VCA",$AH1153&gt;0),$M1153*$AG1153*$AH1153,0),0)</f>
        <v>3.406</v>
      </c>
      <c r="AR1153" s="153" t="n">
        <f aca="false">IFERROR(IF(AND($N1153="VCA",$AJ1153&gt;0),($M1153*$AG1153*$AJ1153)-$AI1153,0),0)</f>
        <v>12.2004363457285</v>
      </c>
      <c r="AS1153" s="153" t="n">
        <f aca="false">IFERROR(IF(AND($N1153="VCA",$AP1153&gt;0),$AP1153-$AI1153-$AQ1153-$AR1153,0),0)</f>
        <v>30.654</v>
      </c>
      <c r="AT1153" s="153" t="n">
        <f aca="false">IFERROR(IF($N1153="VCA",INDEX(APOIO_REDES!$A:$W,MATCH($C1153&amp;$I1153&amp;$H1153&amp;$N1153&amp;$O1153,APOIO_REDES!$W:$W,0),MATCH(AT$5,APOIO_REDES!$5:$5,0)),0)*$AP1153,0)</f>
        <v>0.505104467137486</v>
      </c>
      <c r="AU1153" s="153" t="n">
        <f aca="false">IFERROR(IF($N1153="VCA",INDEX(APOIO_REDES!$A:$W,MATCH($C1153&amp;$I1153&amp;$H1153&amp;$N1153&amp;$O1153,APOIO_REDES!$W:$W,0),MATCH(AU$5,APOIO_REDES!$5:$5,0)),0)*$AP1153,0)</f>
        <v>0.403362747492126</v>
      </c>
      <c r="AV1153" s="153" t="n">
        <f aca="false">IFERROR(IF($N1153="VCA",INDEX(APOIO_REDES!$A:$W,MATCH($C1153&amp;$I1153&amp;$H1153&amp;$N1153&amp;$O1153,APOIO_REDES!$W:$W,0),MATCH(AV$5,APOIO_REDES!$5:$5,0)),0)*$AP1153,0)</f>
        <v>0.0558222377311892</v>
      </c>
      <c r="AW1153" s="153" t="n">
        <f aca="false">IFERROR(IF($N1153="VCA",INDEX(APOIO_REDES!$A:$W,MATCH($C1153&amp;$I1153&amp;$H1153&amp;$N1153&amp;$O1153,APOIO_REDES!$W:$W,0),MATCH(AW$5,APOIO_REDES!$5:$5,0)),0)*$AP1153,0)</f>
        <v>31.8656423010004</v>
      </c>
      <c r="AX1153" s="153" t="n">
        <f aca="false">IFERROR(IF($N1153="VCA",INDEX(APOIO_REDES!$A:$W,MATCH($C1153&amp;$I1153&amp;$H1153&amp;$N1153&amp;$O1153,APOIO_REDES!$W:$W,0),MATCH(AX$5,APOIO_REDES!$5:$5,0)),0)*$AP1153,0)</f>
        <v>4.41011412345816</v>
      </c>
      <c r="AY1153" s="153" t="n">
        <f aca="false">IFERROR(IF($N1153="VCA",INDEX(APOIO_REDES!$A:$W,MATCH($C1153&amp;$I1153&amp;$H1153&amp;$N1153&amp;$O1153,APOIO_REDES!$W:$W,0),MATCH(AY$5,APOIO_REDES!$5:$5,0)),0)*$AP1153,0)</f>
        <v>8.06725003288333</v>
      </c>
      <c r="AZ1153" s="153" t="n">
        <f aca="false">IFERROR(IF($N1153="VCA",INDEX(APOIO_REDES!$A:$W,MATCH($C1153&amp;$I1153&amp;$H1153&amp;$N1153&amp;$O1153,APOIO_REDES!$W:$W,0),MATCH(AZ$5,APOIO_REDES!$5:$5,0)),0)*$AP1153,0)</f>
        <v>1.11648409029734</v>
      </c>
      <c r="BA1153" s="153" t="n">
        <f aca="false">IFERROR(IF(AND($N1153="VCA",$Q1153="LINEAR"),INDEX(APOIO_REDES!$A:$W,MATCH($C1153&amp;$I1153&amp;$H1153&amp;$N1153&amp;$O1153,APOIO_REDES!$W:$W,0),MATCH(BA$5,APOIO_REDES!$5:$5,0)),IF(AND($N1153="MND",$Q1153="EMBOQUE"),INDEX(APOIO_REDES!$A:$W,MATCH($C1153&amp;$I1153&amp;$H1153&amp;$N1153&amp;$O1153,APOIO_REDES!$W:$W,0),MATCH(BA$5,APOIO_REDES!$5:$5,0)),0))*$M1153/10,0)</f>
        <v>4.22330782518049</v>
      </c>
      <c r="BB1153" s="153" t="n">
        <f aca="false">IFERROR(IF($N1153="VCA",INDEX(APOIO_REDES!$A:$W,MATCH($C1153&amp;$I1153&amp;$H1153&amp;$N1153&amp;$O1153,APOIO_REDES!$W:$W,0),MATCH(BB$5,APOIO_REDES!$5:$5,0)),0)*($AI1153+$AQ1153+$AR1153),0)</f>
        <v>15.5982001259834</v>
      </c>
      <c r="BC1153" s="153" t="n">
        <f aca="false">IFERROR(IF($N1153="VCA",INDEX(APOIO_REDES!$A:$W,MATCH($C1153&amp;$I1153&amp;$H1153&amp;$N1153&amp;$O1153,APOIO_REDES!$W:$W,0),MATCH(BC$5,APOIO_REDES!$5:$5,0)),0)*($AI1153+$AQ1153+$AR1153),0)</f>
        <v>0.171579874016622</v>
      </c>
      <c r="BD1153" s="153" t="n">
        <f aca="false">IF(AND($N1153="VCA",$AF1153&gt;=1.25,$AF1153&lt;1.5),$M1153*$AF1153*2,0)</f>
        <v>142.8424</v>
      </c>
      <c r="BE1153" s="153" t="n">
        <f aca="false">IF(AND($N1153="VCA",$AF1153&gt;=1.5,$AF1153&lt;3),$M1153*$AF1153*2,0)</f>
        <v>0</v>
      </c>
      <c r="BF1153" s="153" t="n">
        <f aca="false">IF(AND($N1153="VCA",$AF1153&gt;=3),$M1153*$AF1153*2,0)</f>
        <v>0</v>
      </c>
      <c r="BG1153" s="153" t="n">
        <f aca="false">($BB1153+$BC1153)*$AK1153</f>
        <v>47.30934</v>
      </c>
      <c r="BH1153" s="153" t="n">
        <f aca="false">IF(AND($M1153&lt;&gt;"",$N1153="VCA",$Q1153="LINEAR"),($M1153*2)/100,IF(AND($M1153&lt;&gt;"",$N1153="MND",$Q1153="EMBOQUE"),($AN1153*2)/100,0))</f>
        <v>1.048</v>
      </c>
      <c r="BI1153" s="153" t="n">
        <f aca="false">IF(AND($M1153&lt;&gt;"",$N1153="VCA",$Q1153="LINEAR"),$M1153,IF(AND($M1153&lt;&gt;"",$N1153="MND",$Q1153="EMBOQUE"),$AN1153*2,0))</f>
        <v>52.4</v>
      </c>
      <c r="BJ1153" s="153" t="n">
        <f aca="false">IF(AND($M1153&lt;&gt;"",$N1153="VCA",$Q1153="LINEAR"),($M1153*6.8)/100,IF(AND($M1153&lt;&gt;"",$N1153="MND",$Q1153="EMBOQUE"),($AN1153*2*6.8)/100,0))</f>
        <v>3.5632</v>
      </c>
      <c r="BK1153" s="153" t="n">
        <f aca="false">IF(AND($M1153&lt;&gt;"",$N1153="VCA",$Q1153="LINEAR"),($M1153*2.5)/50,IF(AND($M1153&lt;&gt;"",$N1153="MND",$Q1153="EMBOQUE"),($AN1153*2*2.5)/50,0))</f>
        <v>2.62</v>
      </c>
      <c r="BL1153" s="157" t="str">
        <f aca="false">K1153&amp;J1153</f>
        <v>Zona10REDES</v>
      </c>
      <c r="BM1153" s="152" t="s">
        <v>5703</v>
      </c>
      <c r="BN1153" s="152" t="s">
        <v>1560</v>
      </c>
      <c r="BO1153" s="152" t="s">
        <v>3688</v>
      </c>
      <c r="BP1153" s="152" t="s">
        <v>5920</v>
      </c>
      <c r="BQ1153" s="152" t="s">
        <v>5868</v>
      </c>
      <c r="BR1153" s="152" t="s">
        <v>5921</v>
      </c>
      <c r="BS1153" s="152" t="n">
        <v>203622.658</v>
      </c>
      <c r="BT1153" s="152" t="n">
        <v>8237108.52</v>
      </c>
      <c r="BU1153" s="152" t="n">
        <v>203601.307</v>
      </c>
      <c r="BV1153" s="152" t="n">
        <v>8237156.01</v>
      </c>
      <c r="BW1153" s="152" t="n">
        <v>-15.9273637</v>
      </c>
      <c r="BX1153" s="152" t="n">
        <v>-47.7682599</v>
      </c>
      <c r="BY1153" s="152" t="s">
        <v>5920</v>
      </c>
    </row>
    <row r="1154" customFormat="false" ht="13.8" hidden="false" customHeight="false" outlineLevel="0" collapsed="false">
      <c r="A1154" s="149" t="n">
        <f aca="false">IF(C1154&lt;&gt;"",ROW(A1149),"")</f>
        <v>1149</v>
      </c>
      <c r="B1154" s="150" t="str">
        <f aca="false">HYPERLINK("https://www.google.com/maps/dir/-15.917302,-47.760003/-15.9272746,-47.7724092/data=!4m3!4m2!3e0!5i2")</f>
        <v>https://www.google.com/maps/dir/-15.917302,-47.760003/-15.9272746,-47.7724092/data=!4m3!4m2!3e0!5i2</v>
      </c>
      <c r="C1154" s="151" t="s">
        <v>117</v>
      </c>
      <c r="D1154" s="152" t="s">
        <v>112</v>
      </c>
      <c r="E1154" s="152" t="s">
        <v>113</v>
      </c>
      <c r="F1154" s="152" t="s">
        <v>117</v>
      </c>
      <c r="G1154" s="152" t="s">
        <v>114</v>
      </c>
      <c r="H1154" s="152" t="n">
        <v>160</v>
      </c>
      <c r="I1154" s="152" t="s">
        <v>115</v>
      </c>
      <c r="J1154" s="152" t="s">
        <v>6</v>
      </c>
      <c r="K1154" s="152" t="s">
        <v>5700</v>
      </c>
      <c r="L1154" s="152" t="s">
        <v>120</v>
      </c>
      <c r="M1154" s="153" t="n">
        <f aca="false">58.14+0.1</f>
        <v>58.24</v>
      </c>
      <c r="N1154" s="152" t="s">
        <v>1548</v>
      </c>
      <c r="O1154" s="152" t="s">
        <v>1549</v>
      </c>
      <c r="P1154" s="152" t="s">
        <v>1550</v>
      </c>
      <c r="Q1154" s="152" t="s">
        <v>1551</v>
      </c>
      <c r="R1154" s="154" t="s">
        <v>5922</v>
      </c>
      <c r="S1154" s="154" t="s">
        <v>1593</v>
      </c>
      <c r="T1154" s="155" t="s">
        <v>3685</v>
      </c>
      <c r="U1154" s="152" t="str">
        <f aca="false">RIGHT(T1154,7)</f>
        <v>012/037</v>
      </c>
      <c r="V1154" s="152" t="s">
        <v>1555</v>
      </c>
      <c r="W1154" s="156" t="n">
        <v>45882</v>
      </c>
      <c r="X1154" s="152" t="s">
        <v>1594</v>
      </c>
      <c r="Y1154" s="152" t="s">
        <v>2400</v>
      </c>
      <c r="Z1154" s="152" t="s">
        <v>1557</v>
      </c>
      <c r="AA1154" s="153" t="n">
        <v>3.9</v>
      </c>
      <c r="AB1154" s="151" t="s">
        <v>5923</v>
      </c>
      <c r="AC1154" s="151" t="s">
        <v>505</v>
      </c>
      <c r="AD1154" s="151" t="str">
        <f aca="false">CONCATENATE($C1154,$I1154,$H1154,$N1154,$J1154,$K1154)</f>
        <v>TUBO PEADPEAD160VCAREDESZona10</v>
      </c>
      <c r="AE1154" s="153" t="n">
        <f aca="false">IFERROR(INDEX(APOIO_REDES!$A:$W,MATCH($C1154&amp;$I1154&amp;$H1154&amp;$N1154&amp;$O1154,APOIO_REDES!$W:$W,0),MATCH(AE$5,APOIO_REDES!$5:$5,0)),0)</f>
        <v>1.2</v>
      </c>
      <c r="AF1154" s="153" t="n">
        <f aca="false">IFERROR(INDEX(APOIO_REDES!$A:$W,MATCH($C1154&amp;$I1154&amp;$H1154&amp;$N1154&amp;$O1154,APOIO_REDES!$W:$W,0),MATCH(AF$5,APOIO_REDES!$5:$5,0)),0)</f>
        <v>1.46</v>
      </c>
      <c r="AG1154" s="153" t="n">
        <f aca="false">IFERROR(INDEX(APOIO_REDES!$A:$W,MATCH($C1154&amp;$I1154&amp;$H1154&amp;$N1154&amp;$O1154,APOIO_REDES!$W:$W,0),MATCH(AG$5,APOIO_REDES!$5:$5,0)),0)</f>
        <v>0.75</v>
      </c>
      <c r="AH1154" s="153" t="n">
        <f aca="false">IFERROR(INDEX(APOIO_REDES!$A:$W,MATCH($C1154&amp;$I1154&amp;$H1154&amp;$N1154&amp;$O1154,APOIO_REDES!$W:$W,0),MATCH(AH$5,APOIO_REDES!$5:$5,0)),0)</f>
        <v>0.1</v>
      </c>
      <c r="AI1154" s="153" t="n">
        <f aca="false">IFERROR(IF($H1154&lt;&gt;"",(((($H1154/1000)/2)^2)*PI()*$M1154),0),0)</f>
        <v>1.17098467932845</v>
      </c>
      <c r="AJ1154" s="153" t="n">
        <f aca="false">IFERROR(IF(AND($H1154&lt;&gt;"",$I1154="FoFo",OR($N1154="MND",$N1154="VCA"),$Q1154="LINEAR"),0,IF(AND($H1154&lt;&gt;"",$I1154="PEAD",$N1154="VCA",$Q1154="LINEAR"),($H1154/1000)+0.3,IF(AND($H1154&lt;&gt;"",$I1154="PEAD",$N1154="MND",$Q1154="EMBOQUE"),0,IF(AND($H1154&lt;&gt;"",$I1154="PVC",$N1154="VCA",$Q1154="LINEAR"),($H1154/1000)+0.2,IF(AND($H1154&lt;&gt;"",$I1154="PVC",$N1154="MND",$Q1154="EMBOQUE"),0,IF(AND($H1154&lt;&gt;"",$I1154="PEAD",$N1154="VCA",$Q1154="PREDIAL"),0,0)))))),0)</f>
        <v>0.46</v>
      </c>
      <c r="AK1154" s="153" t="n">
        <f aca="false">IF(AA1154&lt;&gt;"",AA1154,0)</f>
        <v>3.9</v>
      </c>
      <c r="AL1154" s="153" t="n">
        <f aca="false">IF(AND($N1154="MND",$Q1154="EMBOQUE"),$M1154,IF(AND($N1154="VCA",$Q1154="LINEAR"),$M1154,IF(AND($N1154="VCA",$Q1154="PREDIAL"),0,0)))</f>
        <v>58.24</v>
      </c>
      <c r="AM1154" s="153" t="n">
        <f aca="false">IF(AND($N1154="MND",$Q1154="EMBOQUE"),$M1154,IF(AND($N1154="VCA",$Q1154="LINEAR"),$M1154,IF(AND($N1154="VCA",$Q1154="PREDIAL"),0,0)))</f>
        <v>58.24</v>
      </c>
      <c r="AN1154" s="153" t="n">
        <f aca="false">ROUND(IF(AND($N1154="VCA",$M1154&lt;&gt;"",$Q1154="LINEAR"),$M1154/100,IF(AND($N1154="MND",$M1154&gt;100,$Q1154="EMBOQUE"),$M1154/100,0)),0)</f>
        <v>1</v>
      </c>
      <c r="AO1154" s="153" t="n">
        <f aca="false">IF(AND($N1154="MND",$Q1154="EMBOQUE"),$AN1154*2*2,IF(AND($N1154="VCA",$Q1154="LINEAR"),$M1154*2,IF(AND($N1154="VCA",$Q1154="PREDIAL"),0,0)))</f>
        <v>116.48</v>
      </c>
      <c r="AP1154" s="153" t="n">
        <f aca="false">IFERROR($M1154*$AF1154*$AG1154,0)</f>
        <v>63.7728</v>
      </c>
      <c r="AQ1154" s="153" t="n">
        <f aca="false">IFERROR(IF(AND($N1154="VCA",$AH1154&gt;0),$M1154*$AG1154*$AH1154,0),0)</f>
        <v>4.368</v>
      </c>
      <c r="AR1154" s="153" t="n">
        <f aca="false">IFERROR(IF(AND($N1154="VCA",$AJ1154&gt;0),($M1154*$AG1154*$AJ1154)-$AI1154,0),0)</f>
        <v>18.9218153206716</v>
      </c>
      <c r="AS1154" s="153" t="n">
        <f aca="false">IFERROR(IF(AND($N1154="VCA",$AP1154&gt;0),$AP1154-$AI1154-$AQ1154-$AR1154,0),0)</f>
        <v>39.312</v>
      </c>
      <c r="AT1154" s="153" t="n">
        <f aca="false">IFERROR(IF($N1154="VCA",INDEX(APOIO_REDES!$A:$W,MATCH($C1154&amp;$I1154&amp;$H1154&amp;$N1154&amp;$O1154,APOIO_REDES!$W:$W,0),MATCH(AT$5,APOIO_REDES!$5:$5,0)),0)*$AP1154,0)</f>
        <v>0.693866939785288</v>
      </c>
      <c r="AU1154" s="153" t="n">
        <f aca="false">IFERROR(IF($N1154="VCA",INDEX(APOIO_REDES!$A:$W,MATCH($C1154&amp;$I1154&amp;$H1154&amp;$N1154&amp;$O1154,APOIO_REDES!$W:$W,0),MATCH(AU$5,APOIO_REDES!$5:$5,0)),0)*$AP1154,0)</f>
        <v>0.554103345812553</v>
      </c>
      <c r="AV1154" s="153" t="n">
        <f aca="false">IFERROR(IF($N1154="VCA",INDEX(APOIO_REDES!$A:$W,MATCH($C1154&amp;$I1154&amp;$H1154&amp;$N1154&amp;$O1154,APOIO_REDES!$W:$W,0),MATCH(AV$5,APOIO_REDES!$5:$5,0)),0)*$AP1154,0)</f>
        <v>0.0766835531786421</v>
      </c>
      <c r="AW1154" s="153" t="n">
        <f aca="false">IFERROR(IF($N1154="VCA",INDEX(APOIO_REDES!$A:$W,MATCH($C1154&amp;$I1154&amp;$H1154&amp;$N1154&amp;$O1154,APOIO_REDES!$W:$W,0),MATCH(AW$5,APOIO_REDES!$5:$5,0)),0)*$AP1154,0)</f>
        <v>43.774144055767</v>
      </c>
      <c r="AX1154" s="153" t="n">
        <f aca="false">IFERROR(IF($N1154="VCA",INDEX(APOIO_REDES!$A:$W,MATCH($C1154&amp;$I1154&amp;$H1154&amp;$N1154&amp;$O1154,APOIO_REDES!$W:$W,0),MATCH(AX$5,APOIO_REDES!$5:$5,0)),0)*$AP1154,0)</f>
        <v>6.05821684430851</v>
      </c>
      <c r="AY1154" s="153" t="n">
        <f aca="false">IFERROR(IF($N1154="VCA",INDEX(APOIO_REDES!$A:$W,MATCH($C1154&amp;$I1154&amp;$H1154&amp;$N1154&amp;$O1154,APOIO_REDES!$W:$W,0),MATCH(AY$5,APOIO_REDES!$5:$5,0)),0)*$AP1154,0)</f>
        <v>11.0820601617762</v>
      </c>
      <c r="AZ1154" s="153" t="n">
        <f aca="false">IFERROR(IF($N1154="VCA",INDEX(APOIO_REDES!$A:$W,MATCH($C1154&amp;$I1154&amp;$H1154&amp;$N1154&amp;$O1154,APOIO_REDES!$W:$W,0),MATCH(AZ$5,APOIO_REDES!$5:$5,0)),0)*$AP1154,0)</f>
        <v>1.53372509937179</v>
      </c>
      <c r="BA1154" s="153" t="n">
        <f aca="false">IFERROR(IF(AND($N1154="VCA",$Q1154="LINEAR"),INDEX(APOIO_REDES!$A:$W,MATCH($C1154&amp;$I1154&amp;$H1154&amp;$N1154&amp;$O1154,APOIO_REDES!$W:$W,0),MATCH(BA$5,APOIO_REDES!$5:$5,0)),IF(AND($N1154="MND",$Q1154="EMBOQUE"),INDEX(APOIO_REDES!$A:$W,MATCH($C1154&amp;$I1154&amp;$H1154&amp;$N1154&amp;$O1154,APOIO_REDES!$W:$W,0),MATCH(BA$5,APOIO_REDES!$5:$5,0)),0))*$M1154/10,0)</f>
        <v>4.6939970942464</v>
      </c>
      <c r="BB1154" s="153" t="n">
        <f aca="false">IFERROR(IF($N1154="VCA",INDEX(APOIO_REDES!$A:$W,MATCH($C1154&amp;$I1154&amp;$H1154&amp;$N1154&amp;$O1154,APOIO_REDES!$W:$W,0),MATCH(BB$5,APOIO_REDES!$5:$5,0)),0)*($AI1154+$AQ1154+$AR1154),0)</f>
        <v>24.1946592559728</v>
      </c>
      <c r="BC1154" s="153" t="n">
        <f aca="false">IFERROR(IF($N1154="VCA",INDEX(APOIO_REDES!$A:$W,MATCH($C1154&amp;$I1154&amp;$H1154&amp;$N1154&amp;$O1154,APOIO_REDES!$W:$W,0),MATCH(BC$5,APOIO_REDES!$5:$5,0)),0)*($AI1154+$AQ1154+$AR1154),0)</f>
        <v>0.266140744027234</v>
      </c>
      <c r="BD1154" s="153" t="n">
        <f aca="false">IF(AND($N1154="VCA",$AF1154&gt;=1.25,$AF1154&lt;1.5),$M1154*$AF1154*2,0)</f>
        <v>170.0608</v>
      </c>
      <c r="BE1154" s="153" t="n">
        <f aca="false">IF(AND($N1154="VCA",$AF1154&gt;=1.5,$AF1154&lt;3),$M1154*$AF1154*2,0)</f>
        <v>0</v>
      </c>
      <c r="BF1154" s="153" t="n">
        <f aca="false">IF(AND($N1154="VCA",$AF1154&gt;=3),$M1154*$AF1154*2,0)</f>
        <v>0</v>
      </c>
      <c r="BG1154" s="153" t="n">
        <f aca="false">($BB1154+$BC1154)*$AK1154</f>
        <v>95.39712</v>
      </c>
      <c r="BH1154" s="153" t="n">
        <f aca="false">IF(AND($M1154&lt;&gt;"",$N1154="VCA",$Q1154="LINEAR"),($M1154*2)/100,IF(AND($M1154&lt;&gt;"",$N1154="MND",$Q1154="EMBOQUE"),($AN1154*2)/100,0))</f>
        <v>1.1648</v>
      </c>
      <c r="BI1154" s="153" t="n">
        <f aca="false">IF(AND($M1154&lt;&gt;"",$N1154="VCA",$Q1154="LINEAR"),$M1154,IF(AND($M1154&lt;&gt;"",$N1154="MND",$Q1154="EMBOQUE"),$AN1154*2,0))</f>
        <v>58.24</v>
      </c>
      <c r="BJ1154" s="153" t="n">
        <f aca="false">IF(AND($M1154&lt;&gt;"",$N1154="VCA",$Q1154="LINEAR"),($M1154*6.8)/100,IF(AND($M1154&lt;&gt;"",$N1154="MND",$Q1154="EMBOQUE"),($AN1154*2*6.8)/100,0))</f>
        <v>3.96032</v>
      </c>
      <c r="BK1154" s="153" t="n">
        <f aca="false">IF(AND($M1154&lt;&gt;"",$N1154="VCA",$Q1154="LINEAR"),($M1154*2.5)/50,IF(AND($M1154&lt;&gt;"",$N1154="MND",$Q1154="EMBOQUE"),($AN1154*2*2.5)/50,0))</f>
        <v>2.912</v>
      </c>
      <c r="BL1154" s="157" t="str">
        <f aca="false">K1154&amp;J1154</f>
        <v>Zona10REDES</v>
      </c>
      <c r="BM1154" s="152" t="s">
        <v>5703</v>
      </c>
      <c r="BN1154" s="152" t="s">
        <v>1560</v>
      </c>
      <c r="BO1154" s="152" t="s">
        <v>3688</v>
      </c>
      <c r="BP1154" s="152" t="s">
        <v>5856</v>
      </c>
      <c r="BQ1154" s="152" t="s">
        <v>5872</v>
      </c>
      <c r="BR1154" s="152" t="s">
        <v>5924</v>
      </c>
      <c r="BS1154" s="152" t="n">
        <v>203169.462</v>
      </c>
      <c r="BT1154" s="152" t="n">
        <v>8237137.251</v>
      </c>
      <c r="BU1154" s="152" t="n">
        <v>203224.069</v>
      </c>
      <c r="BV1154" s="152" t="n">
        <v>8237117.798</v>
      </c>
      <c r="BW1154" s="152" t="n">
        <v>-15.9273814</v>
      </c>
      <c r="BX1154" s="152" t="n">
        <v>-47.7721619</v>
      </c>
      <c r="BY1154" s="152" t="s">
        <v>5856</v>
      </c>
    </row>
    <row r="1155" customFormat="false" ht="13.8" hidden="false" customHeight="false" outlineLevel="0" collapsed="false">
      <c r="A1155" s="149" t="n">
        <f aca="false">IF(C1155&lt;&gt;"",ROW(A1150),"")</f>
        <v>1150</v>
      </c>
      <c r="B1155" s="150" t="str">
        <f aca="false">HYPERLINK("https://www.google.com/maps/dir/-15.917302,-47.760003/-15.9275736,-47.7701232/data=!4m3!4m2!3e0!5i0")</f>
        <v>https://www.google.com/maps/dir/-15.917302,-47.760003/-15.9275736,-47.7701232/data=!4m3!4m2!3e0!5i0</v>
      </c>
      <c r="C1155" s="151" t="s">
        <v>117</v>
      </c>
      <c r="D1155" s="152" t="s">
        <v>112</v>
      </c>
      <c r="E1155" s="152" t="s">
        <v>113</v>
      </c>
      <c r="F1155" s="152" t="s">
        <v>117</v>
      </c>
      <c r="G1155" s="152" t="s">
        <v>782</v>
      </c>
      <c r="H1155" s="152" t="n">
        <v>63</v>
      </c>
      <c r="I1155" s="152" t="s">
        <v>115</v>
      </c>
      <c r="J1155" s="152" t="s">
        <v>6</v>
      </c>
      <c r="K1155" s="152" t="s">
        <v>5700</v>
      </c>
      <c r="L1155" s="152" t="s">
        <v>120</v>
      </c>
      <c r="M1155" s="153" t="n">
        <f aca="false">59.68+0.45</f>
        <v>60.13</v>
      </c>
      <c r="N1155" s="152" t="s">
        <v>1548</v>
      </c>
      <c r="O1155" s="152" t="s">
        <v>1549</v>
      </c>
      <c r="P1155" s="152" t="s">
        <v>1550</v>
      </c>
      <c r="Q1155" s="152" t="s">
        <v>1551</v>
      </c>
      <c r="R1155" s="154" t="s">
        <v>5925</v>
      </c>
      <c r="S1155" s="154" t="s">
        <v>1553</v>
      </c>
      <c r="T1155" s="155" t="s">
        <v>3685</v>
      </c>
      <c r="U1155" s="152" t="str">
        <f aca="false">RIGHT(T1155,7)</f>
        <v>012/037</v>
      </c>
      <c r="V1155" s="152" t="s">
        <v>1555</v>
      </c>
      <c r="W1155" s="156" t="n">
        <v>45882</v>
      </c>
      <c r="X1155" s="152" t="s">
        <v>1594</v>
      </c>
      <c r="Y1155" s="152" t="s">
        <v>2400</v>
      </c>
      <c r="Z1155" s="152" t="s">
        <v>1557</v>
      </c>
      <c r="AA1155" s="153" t="n">
        <v>2.9</v>
      </c>
      <c r="AB1155" s="151" t="s">
        <v>5926</v>
      </c>
      <c r="AC1155" s="151" t="s">
        <v>186</v>
      </c>
      <c r="AD1155" s="151" t="str">
        <f aca="false">CONCATENATE($C1155,$I1155,$H1155,$N1155,$J1155,$K1155)</f>
        <v>TUBO PEADPEAD63VCAREDESZona10</v>
      </c>
      <c r="AE1155" s="153" t="n">
        <f aca="false">IFERROR(INDEX(APOIO_REDES!$A:$W,MATCH($C1155&amp;$I1155&amp;$H1155&amp;$N1155&amp;$O1155,APOIO_REDES!$W:$W,0),MATCH(AE$5,APOIO_REDES!$5:$5,0)),0)</f>
        <v>1.2</v>
      </c>
      <c r="AF1155" s="153" t="n">
        <f aca="false">IFERROR(INDEX(APOIO_REDES!$A:$W,MATCH($C1155&amp;$I1155&amp;$H1155&amp;$N1155&amp;$O1155,APOIO_REDES!$W:$W,0),MATCH(AF$5,APOIO_REDES!$5:$5,0)),0)</f>
        <v>1.363</v>
      </c>
      <c r="AG1155" s="153" t="n">
        <f aca="false">IFERROR(INDEX(APOIO_REDES!$A:$W,MATCH($C1155&amp;$I1155&amp;$H1155&amp;$N1155&amp;$O1155,APOIO_REDES!$W:$W,0),MATCH(AG$5,APOIO_REDES!$5:$5,0)),0)</f>
        <v>0.65</v>
      </c>
      <c r="AH1155" s="153" t="n">
        <f aca="false">IFERROR(INDEX(APOIO_REDES!$A:$W,MATCH($C1155&amp;$I1155&amp;$H1155&amp;$N1155&amp;$O1155,APOIO_REDES!$W:$W,0),MATCH(AH$5,APOIO_REDES!$5:$5,0)),0)</f>
        <v>0.1</v>
      </c>
      <c r="AI1155" s="153" t="n">
        <f aca="false">IFERROR(IF($H1155&lt;&gt;"",(((($H1155/1000)/2)^2)*PI()*$M1155),0),0)</f>
        <v>0.187439960521837</v>
      </c>
      <c r="AJ1155" s="153" t="n">
        <f aca="false">IFERROR(IF(AND($H1155&lt;&gt;"",$I1155="FoFo",OR($N1155="MND",$N1155="VCA"),$Q1155="LINEAR"),0,IF(AND($H1155&lt;&gt;"",$I1155="PEAD",$N1155="VCA",$Q1155="LINEAR"),($H1155/1000)+0.3,IF(AND($H1155&lt;&gt;"",$I1155="PEAD",$N1155="MND",$Q1155="EMBOQUE"),0,IF(AND($H1155&lt;&gt;"",$I1155="PVC",$N1155="VCA",$Q1155="LINEAR"),($H1155/1000)+0.2,IF(AND($H1155&lt;&gt;"",$I1155="PVC",$N1155="MND",$Q1155="EMBOQUE"),0,IF(AND($H1155&lt;&gt;"",$I1155="PEAD",$N1155="VCA",$Q1155="PREDIAL"),0,0)))))),0)</f>
        <v>0.363</v>
      </c>
      <c r="AK1155" s="153" t="n">
        <f aca="false">IF(AA1155&lt;&gt;"",AA1155,0)</f>
        <v>2.9</v>
      </c>
      <c r="AL1155" s="153" t="n">
        <f aca="false">IF(AND($N1155="MND",$Q1155="EMBOQUE"),$M1155,IF(AND($N1155="VCA",$Q1155="LINEAR"),$M1155,IF(AND($N1155="VCA",$Q1155="PREDIAL"),0,0)))</f>
        <v>60.13</v>
      </c>
      <c r="AM1155" s="153" t="n">
        <f aca="false">IF(AND($N1155="MND",$Q1155="EMBOQUE"),$M1155,IF(AND($N1155="VCA",$Q1155="LINEAR"),$M1155,IF(AND($N1155="VCA",$Q1155="PREDIAL"),0,0)))</f>
        <v>60.13</v>
      </c>
      <c r="AN1155" s="153" t="n">
        <f aca="false">ROUND(IF(AND($N1155="VCA",$M1155&lt;&gt;"",$Q1155="LINEAR"),$M1155/100,IF(AND($N1155="MND",$M1155&gt;100,$Q1155="EMBOQUE"),$M1155/100,0)),0)</f>
        <v>1</v>
      </c>
      <c r="AO1155" s="153" t="n">
        <f aca="false">IF(AND($N1155="MND",$Q1155="EMBOQUE"),$AN1155*2*2,IF(AND($N1155="VCA",$Q1155="LINEAR"),$M1155*2,IF(AND($N1155="VCA",$Q1155="PREDIAL"),0,0)))</f>
        <v>120.26</v>
      </c>
      <c r="AP1155" s="153" t="n">
        <f aca="false">IFERROR($M1155*$AF1155*$AG1155,0)</f>
        <v>53.2721735</v>
      </c>
      <c r="AQ1155" s="153" t="n">
        <f aca="false">IFERROR(IF(AND($N1155="VCA",$AH1155&gt;0),$M1155*$AG1155*$AH1155,0),0)</f>
        <v>3.90845</v>
      </c>
      <c r="AR1155" s="153" t="n">
        <f aca="false">IFERROR(IF(AND($N1155="VCA",$AJ1155&gt;0),($M1155*$AG1155*$AJ1155)-$AI1155,0),0)</f>
        <v>14.0002335394782</v>
      </c>
      <c r="AS1155" s="153" t="n">
        <f aca="false">IFERROR(IF(AND($N1155="VCA",$AP1155&gt;0),$AP1155-$AI1155-$AQ1155-$AR1155,0),0)</f>
        <v>35.17605</v>
      </c>
      <c r="AT1155" s="153" t="n">
        <f aca="false">IFERROR(IF($N1155="VCA",INDEX(APOIO_REDES!$A:$W,MATCH($C1155&amp;$I1155&amp;$H1155&amp;$N1155&amp;$O1155,APOIO_REDES!$W:$W,0),MATCH(AT$5,APOIO_REDES!$5:$5,0)),0)*$AP1155,0)</f>
        <v>0.579617015438493</v>
      </c>
      <c r="AU1155" s="153" t="n">
        <f aca="false">IFERROR(IF($N1155="VCA",INDEX(APOIO_REDES!$A:$W,MATCH($C1155&amp;$I1155&amp;$H1155&amp;$N1155&amp;$O1155,APOIO_REDES!$W:$W,0),MATCH(AU$5,APOIO_REDES!$5:$5,0)),0)*$AP1155,0)</f>
        <v>0.462866450509571</v>
      </c>
      <c r="AV1155" s="153" t="n">
        <f aca="false">IFERROR(IF($N1155="VCA",INDEX(APOIO_REDES!$A:$W,MATCH($C1155&amp;$I1155&amp;$H1155&amp;$N1155&amp;$O1155,APOIO_REDES!$W:$W,0),MATCH(AV$5,APOIO_REDES!$5:$5,0)),0)*$AP1155,0)</f>
        <v>0.06405708310642</v>
      </c>
      <c r="AW1155" s="153" t="n">
        <f aca="false">IFERROR(IF($N1155="VCA",INDEX(APOIO_REDES!$A:$W,MATCH($C1155&amp;$I1155&amp;$H1155&amp;$N1155&amp;$O1155,APOIO_REDES!$W:$W,0),MATCH(AW$5,APOIO_REDES!$5:$5,0)),0)*$AP1155,0)</f>
        <v>36.5664326633426</v>
      </c>
      <c r="AX1155" s="153" t="n">
        <f aca="false">IFERROR(IF($N1155="VCA",INDEX(APOIO_REDES!$A:$W,MATCH($C1155&amp;$I1155&amp;$H1155&amp;$N1155&amp;$O1155,APOIO_REDES!$W:$W,0),MATCH(AX$5,APOIO_REDES!$5:$5,0)),0)*$AP1155,0)</f>
        <v>5.06069011915151</v>
      </c>
      <c r="AY1155" s="153" t="n">
        <f aca="false">IFERROR(IF($N1155="VCA",INDEX(APOIO_REDES!$A:$W,MATCH($C1155&amp;$I1155&amp;$H1155&amp;$N1155&amp;$O1155,APOIO_REDES!$W:$W,0),MATCH(AY$5,APOIO_REDES!$5:$5,0)),0)*$AP1155,0)</f>
        <v>9.25732336788692</v>
      </c>
      <c r="AZ1155" s="153" t="n">
        <f aca="false">IFERROR(IF($N1155="VCA",INDEX(APOIO_REDES!$A:$W,MATCH($C1155&amp;$I1155&amp;$H1155&amp;$N1155&amp;$O1155,APOIO_REDES!$W:$W,0),MATCH(AZ$5,APOIO_REDES!$5:$5,0)),0)*$AP1155,0)</f>
        <v>1.28118680056448</v>
      </c>
      <c r="BA1155" s="153" t="n">
        <f aca="false">IFERROR(IF(AND($N1155="VCA",$Q1155="LINEAR"),INDEX(APOIO_REDES!$A:$W,MATCH($C1155&amp;$I1155&amp;$H1155&amp;$N1155&amp;$O1155,APOIO_REDES!$W:$W,0),MATCH(BA$5,APOIO_REDES!$5:$5,0)),IF(AND($N1155="MND",$Q1155="EMBOQUE"),INDEX(APOIO_REDES!$A:$W,MATCH($C1155&amp;$I1155&amp;$H1155&amp;$N1155&amp;$O1155,APOIO_REDES!$W:$W,0),MATCH(BA$5,APOIO_REDES!$5:$5,0)),0))*$M1155/10,0)</f>
        <v>4.84632632687219</v>
      </c>
      <c r="BB1155" s="153" t="n">
        <f aca="false">IFERROR(IF($N1155="VCA",INDEX(APOIO_REDES!$A:$W,MATCH($C1155&amp;$I1155&amp;$H1155&amp;$N1155&amp;$O1155,APOIO_REDES!$W:$W,0),MATCH(BB$5,APOIO_REDES!$5:$5,0)),0)*($AI1155+$AQ1155+$AR1155),0)</f>
        <v>17.8992323201409</v>
      </c>
      <c r="BC1155" s="153" t="n">
        <f aca="false">IFERROR(IF($N1155="VCA",INDEX(APOIO_REDES!$A:$W,MATCH($C1155&amp;$I1155&amp;$H1155&amp;$N1155&amp;$O1155,APOIO_REDES!$W:$W,0),MATCH(BC$5,APOIO_REDES!$5:$5,0)),0)*($AI1155+$AQ1155+$AR1155),0)</f>
        <v>0.19689117985915</v>
      </c>
      <c r="BD1155" s="153" t="n">
        <f aca="false">IF(AND($N1155="VCA",$AF1155&gt;=1.25,$AF1155&lt;1.5),$M1155*$AF1155*2,0)</f>
        <v>163.91438</v>
      </c>
      <c r="BE1155" s="153" t="n">
        <f aca="false">IF(AND($N1155="VCA",$AF1155&gt;=1.5,$AF1155&lt;3),$M1155*$AF1155*2,0)</f>
        <v>0</v>
      </c>
      <c r="BF1155" s="153" t="n">
        <f aca="false">IF(AND($N1155="VCA",$AF1155&gt;=3),$M1155*$AF1155*2,0)</f>
        <v>0</v>
      </c>
      <c r="BG1155" s="153" t="n">
        <f aca="false">($BB1155+$BC1155)*$AK1155</f>
        <v>52.47875815</v>
      </c>
      <c r="BH1155" s="153" t="n">
        <f aca="false">IF(AND($M1155&lt;&gt;"",$N1155="VCA",$Q1155="LINEAR"),($M1155*2)/100,IF(AND($M1155&lt;&gt;"",$N1155="MND",$Q1155="EMBOQUE"),($AN1155*2)/100,0))</f>
        <v>1.2026</v>
      </c>
      <c r="BI1155" s="153" t="n">
        <f aca="false">IF(AND($M1155&lt;&gt;"",$N1155="VCA",$Q1155="LINEAR"),$M1155,IF(AND($M1155&lt;&gt;"",$N1155="MND",$Q1155="EMBOQUE"),$AN1155*2,0))</f>
        <v>60.13</v>
      </c>
      <c r="BJ1155" s="153" t="n">
        <f aca="false">IF(AND($M1155&lt;&gt;"",$N1155="VCA",$Q1155="LINEAR"),($M1155*6.8)/100,IF(AND($M1155&lt;&gt;"",$N1155="MND",$Q1155="EMBOQUE"),($AN1155*2*6.8)/100,0))</f>
        <v>4.08884</v>
      </c>
      <c r="BK1155" s="153" t="n">
        <f aca="false">IF(AND($M1155&lt;&gt;"",$N1155="VCA",$Q1155="LINEAR"),($M1155*2.5)/50,IF(AND($M1155&lt;&gt;"",$N1155="MND",$Q1155="EMBOQUE"),($AN1155*2*2.5)/50,0))</f>
        <v>3.0065</v>
      </c>
      <c r="BL1155" s="157" t="str">
        <f aca="false">K1155&amp;J1155</f>
        <v>Zona10REDES</v>
      </c>
      <c r="BM1155" s="152" t="s">
        <v>5703</v>
      </c>
      <c r="BN1155" s="152" t="s">
        <v>1560</v>
      </c>
      <c r="BO1155" s="152" t="s">
        <v>3688</v>
      </c>
      <c r="BP1155" s="152" t="s">
        <v>5927</v>
      </c>
      <c r="BQ1155" s="152" t="s">
        <v>5897</v>
      </c>
      <c r="BR1155" s="152" t="s">
        <v>5928</v>
      </c>
      <c r="BS1155" s="152" t="n">
        <v>203414.819</v>
      </c>
      <c r="BT1155" s="152" t="n">
        <v>8237107.396</v>
      </c>
      <c r="BU1155" s="152" t="n">
        <v>203463.209</v>
      </c>
      <c r="BV1155" s="152" t="n">
        <v>8237142.269</v>
      </c>
      <c r="BW1155" s="152" t="n">
        <v>-15.9274159</v>
      </c>
      <c r="BX1155" s="152" t="n">
        <v>-47.7698977</v>
      </c>
      <c r="BY1155" s="152" t="s">
        <v>5927</v>
      </c>
    </row>
    <row r="1156" customFormat="false" ht="13.8" hidden="false" customHeight="false" outlineLevel="0" collapsed="false">
      <c r="A1156" s="149" t="n">
        <f aca="false">IF(C1156&lt;&gt;"",ROW(A1151),"")</f>
        <v>1151</v>
      </c>
      <c r="B1156" s="150" t="str">
        <f aca="false">HYPERLINK("https://www.google.com/maps/dir/-15.917302,-47.760003/-15.9273728,-47.7694340/data=!4m3!4m2!3e0!5i0")</f>
        <v>https://www.google.com/maps/dir/-15.917302,-47.760003/-15.9273728,-47.7694340/data=!4m3!4m2!3e0!5i0</v>
      </c>
      <c r="C1156" s="151" t="s">
        <v>117</v>
      </c>
      <c r="D1156" s="152" t="s">
        <v>112</v>
      </c>
      <c r="E1156" s="152" t="s">
        <v>113</v>
      </c>
      <c r="F1156" s="152" t="s">
        <v>117</v>
      </c>
      <c r="G1156" s="152" t="s">
        <v>782</v>
      </c>
      <c r="H1156" s="152" t="n">
        <v>63</v>
      </c>
      <c r="I1156" s="152" t="s">
        <v>115</v>
      </c>
      <c r="J1156" s="152" t="s">
        <v>6</v>
      </c>
      <c r="K1156" s="152" t="s">
        <v>5700</v>
      </c>
      <c r="L1156" s="152" t="s">
        <v>120</v>
      </c>
      <c r="M1156" s="153" t="n">
        <f aca="false">30.44</f>
        <v>30.44</v>
      </c>
      <c r="N1156" s="152" t="s">
        <v>1548</v>
      </c>
      <c r="O1156" s="152" t="s">
        <v>1549</v>
      </c>
      <c r="P1156" s="152" t="s">
        <v>1550</v>
      </c>
      <c r="Q1156" s="152" t="s">
        <v>1551</v>
      </c>
      <c r="R1156" s="154" t="s">
        <v>5929</v>
      </c>
      <c r="S1156" s="154" t="s">
        <v>1553</v>
      </c>
      <c r="T1156" s="155" t="s">
        <v>3685</v>
      </c>
      <c r="U1156" s="152" t="str">
        <f aca="false">RIGHT(T1156,7)</f>
        <v>012/037</v>
      </c>
      <c r="V1156" s="152" t="s">
        <v>1555</v>
      </c>
      <c r="W1156" s="156" t="n">
        <v>45882</v>
      </c>
      <c r="X1156" s="152" t="s">
        <v>1594</v>
      </c>
      <c r="Y1156" s="152" t="s">
        <v>5799</v>
      </c>
      <c r="Z1156" s="152" t="s">
        <v>1557</v>
      </c>
      <c r="AA1156" s="153" t="n">
        <v>2.6</v>
      </c>
      <c r="AB1156" s="151" t="s">
        <v>5930</v>
      </c>
      <c r="AC1156" s="151" t="s">
        <v>186</v>
      </c>
      <c r="AD1156" s="151" t="str">
        <f aca="false">CONCATENATE($C1156,$I1156,$H1156,$N1156,$J1156,$K1156)</f>
        <v>TUBO PEADPEAD63VCAREDESZona10</v>
      </c>
      <c r="AE1156" s="153" t="n">
        <f aca="false">IFERROR(INDEX(APOIO_REDES!$A:$W,MATCH($C1156&amp;$I1156&amp;$H1156&amp;$N1156&amp;$O1156,APOIO_REDES!$W:$W,0),MATCH(AE$5,APOIO_REDES!$5:$5,0)),0)</f>
        <v>1.2</v>
      </c>
      <c r="AF1156" s="153" t="n">
        <f aca="false">IFERROR(INDEX(APOIO_REDES!$A:$W,MATCH($C1156&amp;$I1156&amp;$H1156&amp;$N1156&amp;$O1156,APOIO_REDES!$W:$W,0),MATCH(AF$5,APOIO_REDES!$5:$5,0)),0)</f>
        <v>1.363</v>
      </c>
      <c r="AG1156" s="153" t="n">
        <f aca="false">IFERROR(INDEX(APOIO_REDES!$A:$W,MATCH($C1156&amp;$I1156&amp;$H1156&amp;$N1156&amp;$O1156,APOIO_REDES!$W:$W,0),MATCH(AG$5,APOIO_REDES!$5:$5,0)),0)</f>
        <v>0.65</v>
      </c>
      <c r="AH1156" s="153" t="n">
        <f aca="false">IFERROR(INDEX(APOIO_REDES!$A:$W,MATCH($C1156&amp;$I1156&amp;$H1156&amp;$N1156&amp;$O1156,APOIO_REDES!$W:$W,0),MATCH(AH$5,APOIO_REDES!$5:$5,0)),0)</f>
        <v>0.1</v>
      </c>
      <c r="AI1156" s="153" t="n">
        <f aca="false">IFERROR(IF($H1156&lt;&gt;"",(((($H1156/1000)/2)^2)*PI()*$M1156),0),0)</f>
        <v>0.0948889472523649</v>
      </c>
      <c r="AJ1156" s="153" t="n">
        <f aca="false">IFERROR(IF(AND($H1156&lt;&gt;"",$I1156="FoFo",OR($N1156="MND",$N1156="VCA"),$Q1156="LINEAR"),0,IF(AND($H1156&lt;&gt;"",$I1156="PEAD",$N1156="VCA",$Q1156="LINEAR"),($H1156/1000)+0.3,IF(AND($H1156&lt;&gt;"",$I1156="PEAD",$N1156="MND",$Q1156="EMBOQUE"),0,IF(AND($H1156&lt;&gt;"",$I1156="PVC",$N1156="VCA",$Q1156="LINEAR"),($H1156/1000)+0.2,IF(AND($H1156&lt;&gt;"",$I1156="PVC",$N1156="MND",$Q1156="EMBOQUE"),0,IF(AND($H1156&lt;&gt;"",$I1156="PEAD",$N1156="VCA",$Q1156="PREDIAL"),0,0)))))),0)</f>
        <v>0.363</v>
      </c>
      <c r="AK1156" s="153" t="n">
        <f aca="false">IF(AA1156&lt;&gt;"",AA1156,0)</f>
        <v>2.6</v>
      </c>
      <c r="AL1156" s="153" t="n">
        <f aca="false">IF(AND($N1156="MND",$Q1156="EMBOQUE"),$M1156,IF(AND($N1156="VCA",$Q1156="LINEAR"),$M1156,IF(AND($N1156="VCA",$Q1156="PREDIAL"),0,0)))</f>
        <v>30.44</v>
      </c>
      <c r="AM1156" s="153" t="n">
        <f aca="false">IF(AND($N1156="MND",$Q1156="EMBOQUE"),$M1156,IF(AND($N1156="VCA",$Q1156="LINEAR"),$M1156,IF(AND($N1156="VCA",$Q1156="PREDIAL"),0,0)))</f>
        <v>30.44</v>
      </c>
      <c r="AN1156" s="153" t="n">
        <f aca="false">ROUND(IF(AND($N1156="VCA",$M1156&lt;&gt;"",$Q1156="LINEAR"),$M1156/100,IF(AND($N1156="MND",$M1156&gt;100,$Q1156="EMBOQUE"),$M1156/100,0)),0)</f>
        <v>0</v>
      </c>
      <c r="AO1156" s="153" t="n">
        <f aca="false">IF(AND($N1156="MND",$Q1156="EMBOQUE"),$AN1156*2*2,IF(AND($N1156="VCA",$Q1156="LINEAR"),$M1156*2,IF(AND($N1156="VCA",$Q1156="PREDIAL"),0,0)))</f>
        <v>60.88</v>
      </c>
      <c r="AP1156" s="153" t="n">
        <f aca="false">IFERROR($M1156*$AF1156*$AG1156,0)</f>
        <v>26.968318</v>
      </c>
      <c r="AQ1156" s="153" t="n">
        <f aca="false">IFERROR(IF(AND($N1156="VCA",$AH1156&gt;0),$M1156*$AG1156*$AH1156,0),0)</f>
        <v>1.9786</v>
      </c>
      <c r="AR1156" s="153" t="n">
        <f aca="false">IFERROR(IF(AND($N1156="VCA",$AJ1156&gt;0),($M1156*$AG1156*$AJ1156)-$AI1156,0),0)</f>
        <v>7.08742905274764</v>
      </c>
      <c r="AS1156" s="153" t="n">
        <f aca="false">IFERROR(IF(AND($N1156="VCA",$AP1156&gt;0),$AP1156-$AI1156-$AQ1156-$AR1156,0),0)</f>
        <v>17.8074</v>
      </c>
      <c r="AT1156" s="153" t="n">
        <f aca="false">IFERROR(IF($N1156="VCA",INDEX(APOIO_REDES!$A:$W,MATCH($C1156&amp;$I1156&amp;$H1156&amp;$N1156&amp;$O1156,APOIO_REDES!$W:$W,0),MATCH(AT$5,APOIO_REDES!$5:$5,0)),0)*$AP1156,0)</f>
        <v>0.293423282054677</v>
      </c>
      <c r="AU1156" s="153" t="n">
        <f aca="false">IFERROR(IF($N1156="VCA",INDEX(APOIO_REDES!$A:$W,MATCH($C1156&amp;$I1156&amp;$H1156&amp;$N1156&amp;$O1156,APOIO_REDES!$W:$W,0),MATCH(AU$5,APOIO_REDES!$5:$5,0)),0)*$AP1156,0)</f>
        <v>0.234319886138556</v>
      </c>
      <c r="AV1156" s="153" t="n">
        <f aca="false">IFERROR(IF($N1156="VCA",INDEX(APOIO_REDES!$A:$W,MATCH($C1156&amp;$I1156&amp;$H1156&amp;$N1156&amp;$O1156,APOIO_REDES!$W:$W,0),MATCH(AV$5,APOIO_REDES!$5:$5,0)),0)*$AP1156,0)</f>
        <v>0.0324280327583473</v>
      </c>
      <c r="AW1156" s="153" t="n">
        <f aca="false">IFERROR(IF($N1156="VCA",INDEX(APOIO_REDES!$A:$W,MATCH($C1156&amp;$I1156&amp;$H1156&amp;$N1156&amp;$O1156,APOIO_REDES!$W:$W,0),MATCH(AW$5,APOIO_REDES!$5:$5,0)),0)*$AP1156,0)</f>
        <v>18.5112624359246</v>
      </c>
      <c r="AX1156" s="153" t="n">
        <f aca="false">IFERROR(IF($N1156="VCA",INDEX(APOIO_REDES!$A:$W,MATCH($C1156&amp;$I1156&amp;$H1156&amp;$N1156&amp;$O1156,APOIO_REDES!$W:$W,0),MATCH(AX$5,APOIO_REDES!$5:$5,0)),0)*$AP1156,0)</f>
        <v>2.56190599080279</v>
      </c>
      <c r="AY1156" s="153" t="n">
        <f aca="false">IFERROR(IF($N1156="VCA",INDEX(APOIO_REDES!$A:$W,MATCH($C1156&amp;$I1156&amp;$H1156&amp;$N1156&amp;$O1156,APOIO_REDES!$W:$W,0),MATCH(AY$5,APOIO_REDES!$5:$5,0)),0)*$AP1156,0)</f>
        <v>4.6863948664307</v>
      </c>
      <c r="AZ1156" s="153" t="n">
        <f aca="false">IFERROR(IF($N1156="VCA",INDEX(APOIO_REDES!$A:$W,MATCH($C1156&amp;$I1156&amp;$H1156&amp;$N1156&amp;$O1156,APOIO_REDES!$W:$W,0),MATCH(AZ$5,APOIO_REDES!$5:$5,0)),0)*$AP1156,0)</f>
        <v>0.648583505890285</v>
      </c>
      <c r="BA1156" s="153" t="n">
        <f aca="false">IFERROR(IF(AND($N1156="VCA",$Q1156="LINEAR"),INDEX(APOIO_REDES!$A:$W,MATCH($C1156&amp;$I1156&amp;$H1156&amp;$N1156&amp;$O1156,APOIO_REDES!$W:$W,0),MATCH(BA$5,APOIO_REDES!$5:$5,0)),IF(AND($N1156="MND",$Q1156="EMBOQUE"),INDEX(APOIO_REDES!$A:$W,MATCH($C1156&amp;$I1156&amp;$H1156&amp;$N1156&amp;$O1156,APOIO_REDES!$W:$W,0),MATCH(BA$5,APOIO_REDES!$5:$5,0)),0))*$M1156/10,0)</f>
        <v>2.45338721752851</v>
      </c>
      <c r="BB1156" s="153" t="n">
        <f aca="false">IFERROR(IF($N1156="VCA",INDEX(APOIO_REDES!$A:$W,MATCH($C1156&amp;$I1156&amp;$H1156&amp;$N1156&amp;$O1156,APOIO_REDES!$W:$W,0),MATCH(BB$5,APOIO_REDES!$5:$5,0)),0)*($AI1156+$AQ1156+$AR1156),0)</f>
        <v>9.06124450066668</v>
      </c>
      <c r="BC1156" s="153" t="n">
        <f aca="false">IFERROR(IF($N1156="VCA",INDEX(APOIO_REDES!$A:$W,MATCH($C1156&amp;$I1156&amp;$H1156&amp;$N1156&amp;$O1156,APOIO_REDES!$W:$W,0),MATCH(BC$5,APOIO_REDES!$5:$5,0)),0)*($AI1156+$AQ1156+$AR1156),0)</f>
        <v>0.0996734993333201</v>
      </c>
      <c r="BD1156" s="153" t="n">
        <f aca="false">IF(AND($N1156="VCA",$AF1156&gt;=1.25,$AF1156&lt;1.5),$M1156*$AF1156*2,0)</f>
        <v>82.97944</v>
      </c>
      <c r="BE1156" s="153" t="n">
        <f aca="false">IF(AND($N1156="VCA",$AF1156&gt;=1.5,$AF1156&lt;3),$M1156*$AF1156*2,0)</f>
        <v>0</v>
      </c>
      <c r="BF1156" s="153" t="n">
        <f aca="false">IF(AND($N1156="VCA",$AF1156&gt;=3),$M1156*$AF1156*2,0)</f>
        <v>0</v>
      </c>
      <c r="BG1156" s="153" t="n">
        <f aca="false">($BB1156+$BC1156)*$AK1156</f>
        <v>23.8183868</v>
      </c>
      <c r="BH1156" s="153" t="n">
        <f aca="false">IF(AND($M1156&lt;&gt;"",$N1156="VCA",$Q1156="LINEAR"),($M1156*2)/100,IF(AND($M1156&lt;&gt;"",$N1156="MND",$Q1156="EMBOQUE"),($AN1156*2)/100,0))</f>
        <v>0.6088</v>
      </c>
      <c r="BI1156" s="153" t="n">
        <f aca="false">IF(AND($M1156&lt;&gt;"",$N1156="VCA",$Q1156="LINEAR"),$M1156,IF(AND($M1156&lt;&gt;"",$N1156="MND",$Q1156="EMBOQUE"),$AN1156*2,0))</f>
        <v>30.44</v>
      </c>
      <c r="BJ1156" s="153" t="n">
        <f aca="false">IF(AND($M1156&lt;&gt;"",$N1156="VCA",$Q1156="LINEAR"),($M1156*6.8)/100,IF(AND($M1156&lt;&gt;"",$N1156="MND",$Q1156="EMBOQUE"),($AN1156*2*6.8)/100,0))</f>
        <v>2.06992</v>
      </c>
      <c r="BK1156" s="153" t="n">
        <f aca="false">IF(AND($M1156&lt;&gt;"",$N1156="VCA",$Q1156="LINEAR"),($M1156*2.5)/50,IF(AND($M1156&lt;&gt;"",$N1156="MND",$Q1156="EMBOQUE"),($AN1156*2*2.5)/50,0))</f>
        <v>1.522</v>
      </c>
      <c r="BL1156" s="157" t="str">
        <f aca="false">K1156&amp;J1156</f>
        <v>Zona10REDES</v>
      </c>
      <c r="BM1156" s="152" t="s">
        <v>5703</v>
      </c>
      <c r="BN1156" s="152" t="s">
        <v>1560</v>
      </c>
      <c r="BO1156" s="152" t="s">
        <v>3688</v>
      </c>
      <c r="BP1156" s="152" t="s">
        <v>5917</v>
      </c>
      <c r="BQ1156" s="152" t="s">
        <v>5893</v>
      </c>
      <c r="BR1156" s="152" t="s">
        <v>5931</v>
      </c>
      <c r="BS1156" s="152" t="n">
        <v>203488.407</v>
      </c>
      <c r="BT1156" s="152" t="n">
        <v>8237130.687</v>
      </c>
      <c r="BU1156" s="152" t="n">
        <v>203516.975</v>
      </c>
      <c r="BV1156" s="152" t="n">
        <v>8237120.336</v>
      </c>
      <c r="BW1156" s="152" t="n">
        <v>-15.9274266</v>
      </c>
      <c r="BX1156" s="152" t="n">
        <v>-47.7693033</v>
      </c>
      <c r="BY1156" s="152" t="s">
        <v>5917</v>
      </c>
    </row>
    <row r="1157" customFormat="false" ht="13.8" hidden="false" customHeight="false" outlineLevel="0" collapsed="false">
      <c r="A1157" s="149" t="n">
        <f aca="false">IF(C1157&lt;&gt;"",ROW(A1152),"")</f>
        <v>1152</v>
      </c>
      <c r="B1157" s="150" t="str">
        <f aca="false">HYPERLINK("https://www.google.com/maps/dir/-15.917302,-47.760003/-15.9275517,-47.7689086/data=!4m3!4m2!3e0!5i0")</f>
        <v>https://www.google.com/maps/dir/-15.917302,-47.760003/-15.9275517,-47.7689086/data=!4m3!4m2!3e0!5i0</v>
      </c>
      <c r="C1157" s="151" t="s">
        <v>117</v>
      </c>
      <c r="D1157" s="152" t="s">
        <v>112</v>
      </c>
      <c r="E1157" s="152" t="s">
        <v>113</v>
      </c>
      <c r="F1157" s="152" t="s">
        <v>117</v>
      </c>
      <c r="G1157" s="152" t="s">
        <v>782</v>
      </c>
      <c r="H1157" s="152" t="n">
        <v>63</v>
      </c>
      <c r="I1157" s="152" t="s">
        <v>115</v>
      </c>
      <c r="J1157" s="152" t="s">
        <v>6</v>
      </c>
      <c r="K1157" s="152" t="s">
        <v>5700</v>
      </c>
      <c r="L1157" s="152" t="s">
        <v>120</v>
      </c>
      <c r="M1157" s="153" t="n">
        <f aca="false">26.25</f>
        <v>26.25</v>
      </c>
      <c r="N1157" s="152" t="s">
        <v>1548</v>
      </c>
      <c r="O1157" s="152" t="s">
        <v>1549</v>
      </c>
      <c r="P1157" s="152" t="s">
        <v>1550</v>
      </c>
      <c r="Q1157" s="152" t="s">
        <v>1551</v>
      </c>
      <c r="R1157" s="154" t="s">
        <v>5932</v>
      </c>
      <c r="S1157" s="154" t="s">
        <v>1553</v>
      </c>
      <c r="T1157" s="155" t="s">
        <v>3685</v>
      </c>
      <c r="U1157" s="152" t="str">
        <f aca="false">RIGHT(T1157,7)</f>
        <v>012/037</v>
      </c>
      <c r="V1157" s="152" t="s">
        <v>1555</v>
      </c>
      <c r="W1157" s="156" t="n">
        <v>45882</v>
      </c>
      <c r="X1157" s="152" t="s">
        <v>1594</v>
      </c>
      <c r="Y1157" s="152" t="s">
        <v>5799</v>
      </c>
      <c r="Z1157" s="152" t="s">
        <v>1557</v>
      </c>
      <c r="AA1157" s="153" t="n">
        <v>2.5</v>
      </c>
      <c r="AB1157" s="151" t="s">
        <v>5933</v>
      </c>
      <c r="AC1157" s="151" t="s">
        <v>186</v>
      </c>
      <c r="AD1157" s="151" t="str">
        <f aca="false">CONCATENATE($C1157,$I1157,$H1157,$N1157,$J1157,$K1157)</f>
        <v>TUBO PEADPEAD63VCAREDESZona10</v>
      </c>
      <c r="AE1157" s="153" t="n">
        <f aca="false">IFERROR(INDEX(APOIO_REDES!$A:$W,MATCH($C1157&amp;$I1157&amp;$H1157&amp;$N1157&amp;$O1157,APOIO_REDES!$W:$W,0),MATCH(AE$5,APOIO_REDES!$5:$5,0)),0)</f>
        <v>1.2</v>
      </c>
      <c r="AF1157" s="153" t="n">
        <f aca="false">IFERROR(INDEX(APOIO_REDES!$A:$W,MATCH($C1157&amp;$I1157&amp;$H1157&amp;$N1157&amp;$O1157,APOIO_REDES!$W:$W,0),MATCH(AF$5,APOIO_REDES!$5:$5,0)),0)</f>
        <v>1.363</v>
      </c>
      <c r="AG1157" s="153" t="n">
        <f aca="false">IFERROR(INDEX(APOIO_REDES!$A:$W,MATCH($C1157&amp;$I1157&amp;$H1157&amp;$N1157&amp;$O1157,APOIO_REDES!$W:$W,0),MATCH(AG$5,APOIO_REDES!$5:$5,0)),0)</f>
        <v>0.65</v>
      </c>
      <c r="AH1157" s="153" t="n">
        <f aca="false">IFERROR(INDEX(APOIO_REDES!$A:$W,MATCH($C1157&amp;$I1157&amp;$H1157&amp;$N1157&amp;$O1157,APOIO_REDES!$W:$W,0),MATCH(AH$5,APOIO_REDES!$5:$5,0)),0)</f>
        <v>0.1</v>
      </c>
      <c r="AI1157" s="153" t="n">
        <f aca="false">IFERROR(IF($H1157&lt;&gt;"",(((($H1157/1000)/2)^2)*PI()*$M1157),0),0)</f>
        <v>0.0818276894012674</v>
      </c>
      <c r="AJ1157" s="153" t="n">
        <f aca="false">IFERROR(IF(AND($H1157&lt;&gt;"",$I1157="FoFo",OR($N1157="MND",$N1157="VCA"),$Q1157="LINEAR"),0,IF(AND($H1157&lt;&gt;"",$I1157="PEAD",$N1157="VCA",$Q1157="LINEAR"),($H1157/1000)+0.3,IF(AND($H1157&lt;&gt;"",$I1157="PEAD",$N1157="MND",$Q1157="EMBOQUE"),0,IF(AND($H1157&lt;&gt;"",$I1157="PVC",$N1157="VCA",$Q1157="LINEAR"),($H1157/1000)+0.2,IF(AND($H1157&lt;&gt;"",$I1157="PVC",$N1157="MND",$Q1157="EMBOQUE"),0,IF(AND($H1157&lt;&gt;"",$I1157="PEAD",$N1157="VCA",$Q1157="PREDIAL"),0,0)))))),0)</f>
        <v>0.363</v>
      </c>
      <c r="AK1157" s="153" t="n">
        <f aca="false">IF(AA1157&lt;&gt;"",AA1157,0)</f>
        <v>2.5</v>
      </c>
      <c r="AL1157" s="153" t="n">
        <f aca="false">IF(AND($N1157="MND",$Q1157="EMBOQUE"),$M1157,IF(AND($N1157="VCA",$Q1157="LINEAR"),$M1157,IF(AND($N1157="VCA",$Q1157="PREDIAL"),0,0)))</f>
        <v>26.25</v>
      </c>
      <c r="AM1157" s="153" t="n">
        <f aca="false">IF(AND($N1157="MND",$Q1157="EMBOQUE"),$M1157,IF(AND($N1157="VCA",$Q1157="LINEAR"),$M1157,IF(AND($N1157="VCA",$Q1157="PREDIAL"),0,0)))</f>
        <v>26.25</v>
      </c>
      <c r="AN1157" s="153" t="n">
        <f aca="false">ROUND(IF(AND($N1157="VCA",$M1157&lt;&gt;"",$Q1157="LINEAR"),$M1157/100,IF(AND($N1157="MND",$M1157&gt;100,$Q1157="EMBOQUE"),$M1157/100,0)),0)</f>
        <v>0</v>
      </c>
      <c r="AO1157" s="153" t="n">
        <f aca="false">IF(AND($N1157="MND",$Q1157="EMBOQUE"),$AN1157*2*2,IF(AND($N1157="VCA",$Q1157="LINEAR"),$M1157*2,IF(AND($N1157="VCA",$Q1157="PREDIAL"),0,0)))</f>
        <v>52.5</v>
      </c>
      <c r="AP1157" s="153" t="n">
        <f aca="false">IFERROR($M1157*$AF1157*$AG1157,0)</f>
        <v>23.2561875</v>
      </c>
      <c r="AQ1157" s="153" t="n">
        <f aca="false">IFERROR(IF(AND($N1157="VCA",$AH1157&gt;0),$M1157*$AG1157*$AH1157,0),0)</f>
        <v>1.70625</v>
      </c>
      <c r="AR1157" s="153" t="n">
        <f aca="false">IFERROR(IF(AND($N1157="VCA",$AJ1157&gt;0),($M1157*$AG1157*$AJ1157)-$AI1157,0),0)</f>
        <v>6.11185981059873</v>
      </c>
      <c r="AS1157" s="153" t="n">
        <f aca="false">IFERROR(IF(AND($N1157="VCA",$AP1157&gt;0),$AP1157-$AI1157-$AQ1157-$AR1157,0),0)</f>
        <v>15.35625</v>
      </c>
      <c r="AT1157" s="153" t="n">
        <f aca="false">IFERROR(IF($N1157="VCA",INDEX(APOIO_REDES!$A:$W,MATCH($C1157&amp;$I1157&amp;$H1157&amp;$N1157&amp;$O1157,APOIO_REDES!$W:$W,0),MATCH(AT$5,APOIO_REDES!$5:$5,0)),0)*$AP1157,0)</f>
        <v>0.253034203480134</v>
      </c>
      <c r="AU1157" s="153" t="n">
        <f aca="false">IFERROR(IF($N1157="VCA",INDEX(APOIO_REDES!$A:$W,MATCH($C1157&amp;$I1157&amp;$H1157&amp;$N1157&amp;$O1157,APOIO_REDES!$W:$W,0),MATCH(AU$5,APOIO_REDES!$5:$5,0)),0)*$AP1157,0)</f>
        <v>0.202066261863899</v>
      </c>
      <c r="AV1157" s="153" t="n">
        <f aca="false">IFERROR(IF($N1157="VCA",INDEX(APOIO_REDES!$A:$W,MATCH($C1157&amp;$I1157&amp;$H1157&amp;$N1157&amp;$O1157,APOIO_REDES!$W:$W,0),MATCH(AV$5,APOIO_REDES!$5:$5,0)),0)*$AP1157,0)</f>
        <v>0.0279643843596129</v>
      </c>
      <c r="AW1157" s="153" t="n">
        <f aca="false">IFERROR(IF($N1157="VCA",INDEX(APOIO_REDES!$A:$W,MATCH($C1157&amp;$I1157&amp;$H1157&amp;$N1157&amp;$O1157,APOIO_REDES!$W:$W,0),MATCH(AW$5,APOIO_REDES!$5:$5,0)),0)*$AP1157,0)</f>
        <v>15.963227297734</v>
      </c>
      <c r="AX1157" s="153" t="n">
        <f aca="false">IFERROR(IF($N1157="VCA",INDEX(APOIO_REDES!$A:$W,MATCH($C1157&amp;$I1157&amp;$H1157&amp;$N1157&amp;$O1157,APOIO_REDES!$W:$W,0),MATCH(AX$5,APOIO_REDES!$5:$5,0)),0)*$AP1157,0)</f>
        <v>2.20926518589269</v>
      </c>
      <c r="AY1157" s="153" t="n">
        <f aca="false">IFERROR(IF($N1157="VCA",INDEX(APOIO_REDES!$A:$W,MATCH($C1157&amp;$I1157&amp;$H1157&amp;$N1157&amp;$O1157,APOIO_REDES!$W:$W,0),MATCH(AY$5,APOIO_REDES!$5:$5,0)),0)*$AP1157,0)</f>
        <v>4.04132277410663</v>
      </c>
      <c r="AZ1157" s="153" t="n">
        <f aca="false">IFERROR(IF($N1157="VCA",INDEX(APOIO_REDES!$A:$W,MATCH($C1157&amp;$I1157&amp;$H1157&amp;$N1157&amp;$O1157,APOIO_REDES!$W:$W,0),MATCH(AZ$5,APOIO_REDES!$5:$5,0)),0)*$AP1157,0)</f>
        <v>0.559307392563075</v>
      </c>
      <c r="BA1157" s="153" t="n">
        <f aca="false">IFERROR(IF(AND($N1157="VCA",$Q1157="LINEAR"),INDEX(APOIO_REDES!$A:$W,MATCH($C1157&amp;$I1157&amp;$H1157&amp;$N1157&amp;$O1157,APOIO_REDES!$W:$W,0),MATCH(BA$5,APOIO_REDES!$5:$5,0)),IF(AND($N1157="MND",$Q1157="EMBOQUE"),INDEX(APOIO_REDES!$A:$W,MATCH($C1157&amp;$I1157&amp;$H1157&amp;$N1157&amp;$O1157,APOIO_REDES!$W:$W,0),MATCH(BA$5,APOIO_REDES!$5:$5,0)),0))*$M1157/10,0)</f>
        <v>2.11568378646923</v>
      </c>
      <c r="BB1157" s="153" t="n">
        <f aca="false">IFERROR(IF($N1157="VCA",INDEX(APOIO_REDES!$A:$W,MATCH($C1157&amp;$I1157&amp;$H1157&amp;$N1157&amp;$O1157,APOIO_REDES!$W:$W,0),MATCH(BB$5,APOIO_REDES!$5:$5,0)),0)*($AI1157+$AQ1157+$AR1157),0)</f>
        <v>7.81398384173786</v>
      </c>
      <c r="BC1157" s="153" t="n">
        <f aca="false">IFERROR(IF($N1157="VCA",INDEX(APOIO_REDES!$A:$W,MATCH($C1157&amp;$I1157&amp;$H1157&amp;$N1157&amp;$O1157,APOIO_REDES!$W:$W,0),MATCH(BC$5,APOIO_REDES!$5:$5,0)),0)*($AI1157+$AQ1157+$AR1157),0)</f>
        <v>0.0859536582621437</v>
      </c>
      <c r="BD1157" s="153" t="n">
        <f aca="false">IF(AND($N1157="VCA",$AF1157&gt;=1.25,$AF1157&lt;1.5),$M1157*$AF1157*2,0)</f>
        <v>71.5575</v>
      </c>
      <c r="BE1157" s="153" t="n">
        <f aca="false">IF(AND($N1157="VCA",$AF1157&gt;=1.5,$AF1157&lt;3),$M1157*$AF1157*2,0)</f>
        <v>0</v>
      </c>
      <c r="BF1157" s="153" t="n">
        <f aca="false">IF(AND($N1157="VCA",$AF1157&gt;=3),$M1157*$AF1157*2,0)</f>
        <v>0</v>
      </c>
      <c r="BG1157" s="153" t="n">
        <f aca="false">($BB1157+$BC1157)*$AK1157</f>
        <v>19.74984375</v>
      </c>
      <c r="BH1157" s="153" t="n">
        <f aca="false">IF(AND($M1157&lt;&gt;"",$N1157="VCA",$Q1157="LINEAR"),($M1157*2)/100,IF(AND($M1157&lt;&gt;"",$N1157="MND",$Q1157="EMBOQUE"),($AN1157*2)/100,0))</f>
        <v>0.525</v>
      </c>
      <c r="BI1157" s="153" t="n">
        <f aca="false">IF(AND($M1157&lt;&gt;"",$N1157="VCA",$Q1157="LINEAR"),$M1157,IF(AND($M1157&lt;&gt;"",$N1157="MND",$Q1157="EMBOQUE"),$AN1157*2,0))</f>
        <v>26.25</v>
      </c>
      <c r="BJ1157" s="153" t="n">
        <f aca="false">IF(AND($M1157&lt;&gt;"",$N1157="VCA",$Q1157="LINEAR"),($M1157*6.8)/100,IF(AND($M1157&lt;&gt;"",$N1157="MND",$Q1157="EMBOQUE"),($AN1157*2*6.8)/100,0))</f>
        <v>1.785</v>
      </c>
      <c r="BK1157" s="153" t="n">
        <f aca="false">IF(AND($M1157&lt;&gt;"",$N1157="VCA",$Q1157="LINEAR"),($M1157*2.5)/50,IF(AND($M1157&lt;&gt;"",$N1157="MND",$Q1157="EMBOQUE"),($AN1157*2*2.5)/50,0))</f>
        <v>1.3125</v>
      </c>
      <c r="BL1157" s="157" t="str">
        <f aca="false">K1157&amp;J1157</f>
        <v>Zona10REDES</v>
      </c>
      <c r="BM1157" s="152" t="s">
        <v>5703</v>
      </c>
      <c r="BN1157" s="152" t="s">
        <v>1560</v>
      </c>
      <c r="BO1157" s="152" t="s">
        <v>3688</v>
      </c>
      <c r="BP1157" s="152" t="s">
        <v>5934</v>
      </c>
      <c r="BQ1157" s="152" t="s">
        <v>5904</v>
      </c>
      <c r="BR1157" s="152" t="s">
        <v>5935</v>
      </c>
      <c r="BS1157" s="152" t="n">
        <v>203544.921</v>
      </c>
      <c r="BT1157" s="152" t="n">
        <v>8237111.54</v>
      </c>
      <c r="BU1157" s="152" t="n">
        <v>203565.082</v>
      </c>
      <c r="BV1157" s="152" t="n">
        <v>8237128.344</v>
      </c>
      <c r="BW1157" s="152" t="n">
        <v>-15.9274779</v>
      </c>
      <c r="BX1157" s="152" t="n">
        <v>-47.7688128</v>
      </c>
      <c r="BY1157" s="152" t="s">
        <v>5934</v>
      </c>
    </row>
    <row r="1158" customFormat="false" ht="13.8" hidden="false" customHeight="false" outlineLevel="0" collapsed="false">
      <c r="A1158" s="149" t="n">
        <f aca="false">IF(C1158&lt;&gt;"",ROW(A1153),"")</f>
        <v>1153</v>
      </c>
      <c r="B1158" s="150" t="str">
        <f aca="false">HYPERLINK("https://www.google.com/maps/dir/-15.917302,-47.760003/-15.9274690,-47.7691683/data=!4m3!4m2!3e0!5i0")</f>
        <v>https://www.google.com/maps/dir/-15.917302,-47.760003/-15.9274690,-47.7691683/data=!4m3!4m2!3e0!5i0</v>
      </c>
      <c r="C1158" s="151" t="s">
        <v>117</v>
      </c>
      <c r="D1158" s="152" t="s">
        <v>112</v>
      </c>
      <c r="E1158" s="152" t="s">
        <v>113</v>
      </c>
      <c r="F1158" s="152" t="s">
        <v>117</v>
      </c>
      <c r="G1158" s="152" t="s">
        <v>782</v>
      </c>
      <c r="H1158" s="152" t="n">
        <v>63</v>
      </c>
      <c r="I1158" s="152" t="s">
        <v>115</v>
      </c>
      <c r="J1158" s="152" t="s">
        <v>6</v>
      </c>
      <c r="K1158" s="152" t="s">
        <v>5700</v>
      </c>
      <c r="L1158" s="152" t="s">
        <v>120</v>
      </c>
      <c r="M1158" s="153" t="n">
        <f aca="false">29.31</f>
        <v>29.31</v>
      </c>
      <c r="N1158" s="152" t="s">
        <v>1548</v>
      </c>
      <c r="O1158" s="152" t="s">
        <v>1549</v>
      </c>
      <c r="P1158" s="152" t="s">
        <v>1550</v>
      </c>
      <c r="Q1158" s="152" t="s">
        <v>1551</v>
      </c>
      <c r="R1158" s="154" t="s">
        <v>5936</v>
      </c>
      <c r="S1158" s="154" t="s">
        <v>1553</v>
      </c>
      <c r="T1158" s="155" t="s">
        <v>3685</v>
      </c>
      <c r="U1158" s="152" t="str">
        <f aca="false">RIGHT(T1158,7)</f>
        <v>012/037</v>
      </c>
      <c r="V1158" s="152" t="s">
        <v>1555</v>
      </c>
      <c r="W1158" s="156" t="n">
        <v>45882</v>
      </c>
      <c r="X1158" s="152" t="s">
        <v>1594</v>
      </c>
      <c r="Y1158" s="152" t="s">
        <v>2400</v>
      </c>
      <c r="Z1158" s="152" t="s">
        <v>1557</v>
      </c>
      <c r="AA1158" s="153" t="n">
        <v>2.6</v>
      </c>
      <c r="AB1158" s="151" t="s">
        <v>5937</v>
      </c>
      <c r="AC1158" s="151" t="s">
        <v>186</v>
      </c>
      <c r="AD1158" s="151" t="str">
        <f aca="false">CONCATENATE($C1158,$I1158,$H1158,$N1158,$J1158,$K1158)</f>
        <v>TUBO PEADPEAD63VCAREDESZona10</v>
      </c>
      <c r="AE1158" s="153" t="n">
        <f aca="false">IFERROR(INDEX(APOIO_REDES!$A:$W,MATCH($C1158&amp;$I1158&amp;$H1158&amp;$N1158&amp;$O1158,APOIO_REDES!$W:$W,0),MATCH(AE$5,APOIO_REDES!$5:$5,0)),0)</f>
        <v>1.2</v>
      </c>
      <c r="AF1158" s="153" t="n">
        <f aca="false">IFERROR(INDEX(APOIO_REDES!$A:$W,MATCH($C1158&amp;$I1158&amp;$H1158&amp;$N1158&amp;$O1158,APOIO_REDES!$W:$W,0),MATCH(AF$5,APOIO_REDES!$5:$5,0)),0)</f>
        <v>1.363</v>
      </c>
      <c r="AG1158" s="153" t="n">
        <f aca="false">IFERROR(INDEX(APOIO_REDES!$A:$W,MATCH($C1158&amp;$I1158&amp;$H1158&amp;$N1158&amp;$O1158,APOIO_REDES!$W:$W,0),MATCH(AG$5,APOIO_REDES!$5:$5,0)),0)</f>
        <v>0.65</v>
      </c>
      <c r="AH1158" s="153" t="n">
        <f aca="false">IFERROR(INDEX(APOIO_REDES!$A:$W,MATCH($C1158&amp;$I1158&amp;$H1158&amp;$N1158&amp;$O1158,APOIO_REDES!$W:$W,0),MATCH(AH$5,APOIO_REDES!$5:$5,0)),0)</f>
        <v>0.1</v>
      </c>
      <c r="AI1158" s="153" t="n">
        <f aca="false">IFERROR(IF($H1158&lt;&gt;"",(((($H1158/1000)/2)^2)*PI()*$M1158),0),0)</f>
        <v>0.0913664600514723</v>
      </c>
      <c r="AJ1158" s="153" t="n">
        <f aca="false">IFERROR(IF(AND($H1158&lt;&gt;"",$I1158="FoFo",OR($N1158="MND",$N1158="VCA"),$Q1158="LINEAR"),0,IF(AND($H1158&lt;&gt;"",$I1158="PEAD",$N1158="VCA",$Q1158="LINEAR"),($H1158/1000)+0.3,IF(AND($H1158&lt;&gt;"",$I1158="PEAD",$N1158="MND",$Q1158="EMBOQUE"),0,IF(AND($H1158&lt;&gt;"",$I1158="PVC",$N1158="VCA",$Q1158="LINEAR"),($H1158/1000)+0.2,IF(AND($H1158&lt;&gt;"",$I1158="PVC",$N1158="MND",$Q1158="EMBOQUE"),0,IF(AND($H1158&lt;&gt;"",$I1158="PEAD",$N1158="VCA",$Q1158="PREDIAL"),0,0)))))),0)</f>
        <v>0.363</v>
      </c>
      <c r="AK1158" s="153" t="n">
        <f aca="false">IF(AA1158&lt;&gt;"",AA1158,0)</f>
        <v>2.6</v>
      </c>
      <c r="AL1158" s="153" t="n">
        <f aca="false">IF(AND($N1158="MND",$Q1158="EMBOQUE"),$M1158,IF(AND($N1158="VCA",$Q1158="LINEAR"),$M1158,IF(AND($N1158="VCA",$Q1158="PREDIAL"),0,0)))</f>
        <v>29.31</v>
      </c>
      <c r="AM1158" s="153" t="n">
        <f aca="false">IF(AND($N1158="MND",$Q1158="EMBOQUE"),$M1158,IF(AND($N1158="VCA",$Q1158="LINEAR"),$M1158,IF(AND($N1158="VCA",$Q1158="PREDIAL"),0,0)))</f>
        <v>29.31</v>
      </c>
      <c r="AN1158" s="153" t="n">
        <f aca="false">ROUND(IF(AND($N1158="VCA",$M1158&lt;&gt;"",$Q1158="LINEAR"),$M1158/100,IF(AND($N1158="MND",$M1158&gt;100,$Q1158="EMBOQUE"),$M1158/100,0)),0)</f>
        <v>0</v>
      </c>
      <c r="AO1158" s="153" t="n">
        <f aca="false">IF(AND($N1158="MND",$Q1158="EMBOQUE"),$AN1158*2*2,IF(AND($N1158="VCA",$Q1158="LINEAR"),$M1158*2,IF(AND($N1158="VCA",$Q1158="PREDIAL"),0,0)))</f>
        <v>58.62</v>
      </c>
      <c r="AP1158" s="153" t="n">
        <f aca="false">IFERROR($M1158*$AF1158*$AG1158,0)</f>
        <v>25.9671945</v>
      </c>
      <c r="AQ1158" s="153" t="n">
        <f aca="false">IFERROR(IF(AND($N1158="VCA",$AH1158&gt;0),$M1158*$AG1158*$AH1158,0),0)</f>
        <v>1.90515</v>
      </c>
      <c r="AR1158" s="153" t="n">
        <f aca="false">IFERROR(IF(AND($N1158="VCA",$AJ1158&gt;0),($M1158*$AG1158*$AJ1158)-$AI1158,0),0)</f>
        <v>6.82432803994853</v>
      </c>
      <c r="AS1158" s="153" t="n">
        <f aca="false">IFERROR(IF(AND($N1158="VCA",$AP1158&gt;0),$AP1158-$AI1158-$AQ1158-$AR1158,0),0)</f>
        <v>17.14635</v>
      </c>
      <c r="AT1158" s="153" t="n">
        <f aca="false">IFERROR(IF($N1158="VCA",INDEX(APOIO_REDES!$A:$W,MATCH($C1158&amp;$I1158&amp;$H1158&amp;$N1158&amp;$O1158,APOIO_REDES!$W:$W,0),MATCH(AT$5,APOIO_REDES!$5:$5,0)),0)*$AP1158,0)</f>
        <v>0.282530762057246</v>
      </c>
      <c r="AU1158" s="153" t="n">
        <f aca="false">IFERROR(IF($N1158="VCA",INDEX(APOIO_REDES!$A:$W,MATCH($C1158&amp;$I1158&amp;$H1158&amp;$N1158&amp;$O1158,APOIO_REDES!$W:$W,0),MATCH(AU$5,APOIO_REDES!$5:$5,0)),0)*$AP1158,0)</f>
        <v>0.225621414675462</v>
      </c>
      <c r="AV1158" s="153" t="n">
        <f aca="false">IFERROR(IF($N1158="VCA",INDEX(APOIO_REDES!$A:$W,MATCH($C1158&amp;$I1158&amp;$H1158&amp;$N1158&amp;$O1158,APOIO_REDES!$W:$W,0),MATCH(AV$5,APOIO_REDES!$5:$5,0)),0)*$AP1158,0)</f>
        <v>0.0312242325935335</v>
      </c>
      <c r="AW1158" s="153" t="n">
        <f aca="false">IFERROR(IF($N1158="VCA",INDEX(APOIO_REDES!$A:$W,MATCH($C1158&amp;$I1158&amp;$H1158&amp;$N1158&amp;$O1158,APOIO_REDES!$W:$W,0),MATCH(AW$5,APOIO_REDES!$5:$5,0)),0)*$AP1158,0)</f>
        <v>17.8240835084412</v>
      </c>
      <c r="AX1158" s="153" t="n">
        <f aca="false">IFERROR(IF($N1158="VCA",INDEX(APOIO_REDES!$A:$W,MATCH($C1158&amp;$I1158&amp;$H1158&amp;$N1158&amp;$O1158,APOIO_REDES!$W:$W,0),MATCH(AX$5,APOIO_REDES!$5:$5,0)),0)*$AP1158,0)</f>
        <v>2.46680238470532</v>
      </c>
      <c r="AY1158" s="153" t="n">
        <f aca="false">IFERROR(IF($N1158="VCA",INDEX(APOIO_REDES!$A:$W,MATCH($C1158&amp;$I1158&amp;$H1158&amp;$N1158&amp;$O1158,APOIO_REDES!$W:$W,0),MATCH(AY$5,APOIO_REDES!$5:$5,0)),0)*$AP1158,0)</f>
        <v>4.51242554320249</v>
      </c>
      <c r="AZ1158" s="153" t="n">
        <f aca="false">IFERROR(IF($N1158="VCA",INDEX(APOIO_REDES!$A:$W,MATCH($C1158&amp;$I1158&amp;$H1158&amp;$N1158&amp;$O1158,APOIO_REDES!$W:$W,0),MATCH(AZ$5,APOIO_REDES!$5:$5,0)),0)*$AP1158,0)</f>
        <v>0.624506654324713</v>
      </c>
      <c r="BA1158" s="153" t="n">
        <f aca="false">IFERROR(IF(AND($N1158="VCA",$Q1158="LINEAR"),INDEX(APOIO_REDES!$A:$W,MATCH($C1158&amp;$I1158&amp;$H1158&amp;$N1158&amp;$O1158,APOIO_REDES!$W:$W,0),MATCH(BA$5,APOIO_REDES!$5:$5,0)),IF(AND($N1158="MND",$Q1158="EMBOQUE"),INDEX(APOIO_REDES!$A:$W,MATCH($C1158&amp;$I1158&amp;$H1158&amp;$N1158&amp;$O1158,APOIO_REDES!$W:$W,0),MATCH(BA$5,APOIO_REDES!$5:$5,0)),0))*$M1158/10,0)</f>
        <v>2.36231206786336</v>
      </c>
      <c r="BB1158" s="153" t="n">
        <f aca="false">IFERROR(IF($N1158="VCA",INDEX(APOIO_REDES!$A:$W,MATCH($C1158&amp;$I1158&amp;$H1158&amp;$N1158&amp;$O1158,APOIO_REDES!$W:$W,0),MATCH(BB$5,APOIO_REDES!$5:$5,0)),0)*($AI1158+$AQ1158+$AR1158),0)</f>
        <v>8.7248711010033</v>
      </c>
      <c r="BC1158" s="153" t="n">
        <f aca="false">IFERROR(IF($N1158="VCA",INDEX(APOIO_REDES!$A:$W,MATCH($C1158&amp;$I1158&amp;$H1158&amp;$N1158&amp;$O1158,APOIO_REDES!$W:$W,0),MATCH(BC$5,APOIO_REDES!$5:$5,0)),0)*($AI1158+$AQ1158+$AR1158),0)</f>
        <v>0.0959733989967021</v>
      </c>
      <c r="BD1158" s="153" t="n">
        <f aca="false">IF(AND($N1158="VCA",$AF1158&gt;=1.25,$AF1158&lt;1.5),$M1158*$AF1158*2,0)</f>
        <v>79.89906</v>
      </c>
      <c r="BE1158" s="153" t="n">
        <f aca="false">IF(AND($N1158="VCA",$AF1158&gt;=1.5,$AF1158&lt;3),$M1158*$AF1158*2,0)</f>
        <v>0</v>
      </c>
      <c r="BF1158" s="153" t="n">
        <f aca="false">IF(AND($N1158="VCA",$AF1158&gt;=3),$M1158*$AF1158*2,0)</f>
        <v>0</v>
      </c>
      <c r="BG1158" s="153" t="n">
        <f aca="false">($BB1158+$BC1158)*$AK1158</f>
        <v>22.9341957</v>
      </c>
      <c r="BH1158" s="153" t="n">
        <f aca="false">IF(AND($M1158&lt;&gt;"",$N1158="VCA",$Q1158="LINEAR"),($M1158*2)/100,IF(AND($M1158&lt;&gt;"",$N1158="MND",$Q1158="EMBOQUE"),($AN1158*2)/100,0))</f>
        <v>0.5862</v>
      </c>
      <c r="BI1158" s="153" t="n">
        <f aca="false">IF(AND($M1158&lt;&gt;"",$N1158="VCA",$Q1158="LINEAR"),$M1158,IF(AND($M1158&lt;&gt;"",$N1158="MND",$Q1158="EMBOQUE"),$AN1158*2,0))</f>
        <v>29.31</v>
      </c>
      <c r="BJ1158" s="153" t="n">
        <f aca="false">IF(AND($M1158&lt;&gt;"",$N1158="VCA",$Q1158="LINEAR"),($M1158*6.8)/100,IF(AND($M1158&lt;&gt;"",$N1158="MND",$Q1158="EMBOQUE"),($AN1158*2*6.8)/100,0))</f>
        <v>1.99308</v>
      </c>
      <c r="BK1158" s="153" t="n">
        <f aca="false">IF(AND($M1158&lt;&gt;"",$N1158="VCA",$Q1158="LINEAR"),($M1158*2.5)/50,IF(AND($M1158&lt;&gt;"",$N1158="MND",$Q1158="EMBOQUE"),($AN1158*2*2.5)/50,0))</f>
        <v>1.4655</v>
      </c>
      <c r="BL1158" s="157" t="str">
        <f aca="false">K1158&amp;J1158</f>
        <v>Zona10REDES</v>
      </c>
      <c r="BM1158" s="152" t="s">
        <v>5703</v>
      </c>
      <c r="BN1158" s="152" t="s">
        <v>1560</v>
      </c>
      <c r="BO1158" s="152" t="s">
        <v>3688</v>
      </c>
      <c r="BP1158" s="152" t="s">
        <v>5893</v>
      </c>
      <c r="BQ1158" s="152" t="s">
        <v>5934</v>
      </c>
      <c r="BR1158" s="152" t="s">
        <v>5938</v>
      </c>
      <c r="BS1158" s="152" t="n">
        <v>203516.975</v>
      </c>
      <c r="BT1158" s="152" t="n">
        <v>8237120.336</v>
      </c>
      <c r="BU1158" s="152" t="n">
        <v>203544.921</v>
      </c>
      <c r="BV1158" s="152" t="n">
        <v>8237111.54</v>
      </c>
      <c r="BW1158" s="152" t="n">
        <v>-15.927511</v>
      </c>
      <c r="BX1158" s="152" t="n">
        <v>-47.7690386</v>
      </c>
      <c r="BY1158" s="152" t="s">
        <v>5893</v>
      </c>
    </row>
    <row r="1159" customFormat="false" ht="13.8" hidden="false" customHeight="false" outlineLevel="0" collapsed="false">
      <c r="A1159" s="149" t="n">
        <f aca="false">IF(C1159&lt;&gt;"",ROW(A1154),"")</f>
        <v>1154</v>
      </c>
      <c r="B1159" s="150" t="str">
        <f aca="false">HYPERLINK("https://www.google.com/maps/dir/-15.917302,-47.760003/-15.9274538,-47.7719007/data=!4m3!4m2!3e0!5i0")</f>
        <v>https://www.google.com/maps/dir/-15.917302,-47.760003/-15.9274538,-47.7719007/data=!4m3!4m2!3e0!5i0</v>
      </c>
      <c r="C1159" s="151" t="s">
        <v>117</v>
      </c>
      <c r="D1159" s="152" t="s">
        <v>112</v>
      </c>
      <c r="E1159" s="152" t="s">
        <v>113</v>
      </c>
      <c r="F1159" s="152" t="s">
        <v>117</v>
      </c>
      <c r="G1159" s="152" t="s">
        <v>114</v>
      </c>
      <c r="H1159" s="152" t="n">
        <v>160</v>
      </c>
      <c r="I1159" s="152" t="s">
        <v>115</v>
      </c>
      <c r="J1159" s="152" t="s">
        <v>6</v>
      </c>
      <c r="K1159" s="152" t="s">
        <v>5700</v>
      </c>
      <c r="L1159" s="152" t="s">
        <v>120</v>
      </c>
      <c r="M1159" s="153" t="n">
        <f aca="false">48.79</f>
        <v>48.79</v>
      </c>
      <c r="N1159" s="152" t="s">
        <v>1548</v>
      </c>
      <c r="O1159" s="152" t="s">
        <v>1549</v>
      </c>
      <c r="P1159" s="152" t="s">
        <v>1550</v>
      </c>
      <c r="Q1159" s="152" t="s">
        <v>1551</v>
      </c>
      <c r="R1159" s="154" t="s">
        <v>5939</v>
      </c>
      <c r="S1159" s="154" t="s">
        <v>1593</v>
      </c>
      <c r="T1159" s="155" t="s">
        <v>3685</v>
      </c>
      <c r="U1159" s="152" t="str">
        <f aca="false">RIGHT(T1159,7)</f>
        <v>012/037</v>
      </c>
      <c r="V1159" s="152" t="s">
        <v>1555</v>
      </c>
      <c r="W1159" s="156" t="n">
        <v>45882</v>
      </c>
      <c r="X1159" s="152" t="s">
        <v>1594</v>
      </c>
      <c r="Y1159" s="152" t="s">
        <v>2400</v>
      </c>
      <c r="Z1159" s="152" t="s">
        <v>1557</v>
      </c>
      <c r="AA1159" s="153" t="n">
        <v>3.1</v>
      </c>
      <c r="AB1159" s="151" t="s">
        <v>5940</v>
      </c>
      <c r="AC1159" s="151" t="s">
        <v>505</v>
      </c>
      <c r="AD1159" s="151" t="str">
        <f aca="false">CONCATENATE($C1159,$I1159,$H1159,$N1159,$J1159,$K1159)</f>
        <v>TUBO PEADPEAD160VCAREDESZona10</v>
      </c>
      <c r="AE1159" s="153" t="n">
        <f aca="false">IFERROR(INDEX(APOIO_REDES!$A:$W,MATCH($C1159&amp;$I1159&amp;$H1159&amp;$N1159&amp;$O1159,APOIO_REDES!$W:$W,0),MATCH(AE$5,APOIO_REDES!$5:$5,0)),0)</f>
        <v>1.2</v>
      </c>
      <c r="AF1159" s="153" t="n">
        <f aca="false">IFERROR(INDEX(APOIO_REDES!$A:$W,MATCH($C1159&amp;$I1159&amp;$H1159&amp;$N1159&amp;$O1159,APOIO_REDES!$W:$W,0),MATCH(AF$5,APOIO_REDES!$5:$5,0)),0)</f>
        <v>1.46</v>
      </c>
      <c r="AG1159" s="153" t="n">
        <f aca="false">IFERROR(INDEX(APOIO_REDES!$A:$W,MATCH($C1159&amp;$I1159&amp;$H1159&amp;$N1159&amp;$O1159,APOIO_REDES!$W:$W,0),MATCH(AG$5,APOIO_REDES!$5:$5,0)),0)</f>
        <v>0.75</v>
      </c>
      <c r="AH1159" s="153" t="n">
        <f aca="false">IFERROR(INDEX(APOIO_REDES!$A:$W,MATCH($C1159&amp;$I1159&amp;$H1159&amp;$N1159&amp;$O1159,APOIO_REDES!$W:$W,0),MATCH(AH$5,APOIO_REDES!$5:$5,0)),0)</f>
        <v>0.1</v>
      </c>
      <c r="AI1159" s="153" t="n">
        <f aca="false">IFERROR(IF($H1159&lt;&gt;"",(((($H1159/1000)/2)^2)*PI()*$M1159),0),0)</f>
        <v>0.980981155639334</v>
      </c>
      <c r="AJ1159" s="153" t="n">
        <f aca="false">IFERROR(IF(AND($H1159&lt;&gt;"",$I1159="FoFo",OR($N1159="MND",$N1159="VCA"),$Q1159="LINEAR"),0,IF(AND($H1159&lt;&gt;"",$I1159="PEAD",$N1159="VCA",$Q1159="LINEAR"),($H1159/1000)+0.3,IF(AND($H1159&lt;&gt;"",$I1159="PEAD",$N1159="MND",$Q1159="EMBOQUE"),0,IF(AND($H1159&lt;&gt;"",$I1159="PVC",$N1159="VCA",$Q1159="LINEAR"),($H1159/1000)+0.2,IF(AND($H1159&lt;&gt;"",$I1159="PVC",$N1159="MND",$Q1159="EMBOQUE"),0,IF(AND($H1159&lt;&gt;"",$I1159="PEAD",$N1159="VCA",$Q1159="PREDIAL"),0,0)))))),0)</f>
        <v>0.46</v>
      </c>
      <c r="AK1159" s="153" t="n">
        <f aca="false">IF(AA1159&lt;&gt;"",AA1159,0)</f>
        <v>3.1</v>
      </c>
      <c r="AL1159" s="153" t="n">
        <f aca="false">IF(AND($N1159="MND",$Q1159="EMBOQUE"),$M1159,IF(AND($N1159="VCA",$Q1159="LINEAR"),$M1159,IF(AND($N1159="VCA",$Q1159="PREDIAL"),0,0)))</f>
        <v>48.79</v>
      </c>
      <c r="AM1159" s="153" t="n">
        <f aca="false">IF(AND($N1159="MND",$Q1159="EMBOQUE"),$M1159,IF(AND($N1159="VCA",$Q1159="LINEAR"),$M1159,IF(AND($N1159="VCA",$Q1159="PREDIAL"),0,0)))</f>
        <v>48.79</v>
      </c>
      <c r="AN1159" s="153" t="n">
        <f aca="false">ROUND(IF(AND($N1159="VCA",$M1159&lt;&gt;"",$Q1159="LINEAR"),$M1159/100,IF(AND($N1159="MND",$M1159&gt;100,$Q1159="EMBOQUE"),$M1159/100,0)),0)</f>
        <v>0</v>
      </c>
      <c r="AO1159" s="153" t="n">
        <f aca="false">IF(AND($N1159="MND",$Q1159="EMBOQUE"),$AN1159*2*2,IF(AND($N1159="VCA",$Q1159="LINEAR"),$M1159*2,IF(AND($N1159="VCA",$Q1159="PREDIAL"),0,0)))</f>
        <v>97.58</v>
      </c>
      <c r="AP1159" s="153" t="n">
        <f aca="false">IFERROR($M1159*$AF1159*$AG1159,0)</f>
        <v>53.42505</v>
      </c>
      <c r="AQ1159" s="153" t="n">
        <f aca="false">IFERROR(IF(AND($N1159="VCA",$AH1159&gt;0),$M1159*$AG1159*$AH1159,0),0)</f>
        <v>3.65925</v>
      </c>
      <c r="AR1159" s="153" t="n">
        <f aca="false">IFERROR(IF(AND($N1159="VCA",$AJ1159&gt;0),($M1159*$AG1159*$AJ1159)-$AI1159,0),0)</f>
        <v>15.8515688443607</v>
      </c>
      <c r="AS1159" s="153" t="n">
        <f aca="false">IFERROR(IF(AND($N1159="VCA",$AP1159&gt;0),$AP1159-$AI1159-$AQ1159-$AR1159,0),0)</f>
        <v>32.93325</v>
      </c>
      <c r="AT1159" s="153" t="n">
        <f aca="false">IFERROR(IF($N1159="VCA",INDEX(APOIO_REDES!$A:$W,MATCH($C1159&amp;$I1159&amp;$H1159&amp;$N1159&amp;$O1159,APOIO_REDES!$W:$W,0),MATCH(AT$5,APOIO_REDES!$5:$5,0)),0)*$AP1159,0)</f>
        <v>0.581280357007627</v>
      </c>
      <c r="AU1159" s="153" t="n">
        <f aca="false">IFERROR(IF($N1159="VCA",INDEX(APOIO_REDES!$A:$W,MATCH($C1159&amp;$I1159&amp;$H1159&amp;$N1159&amp;$O1159,APOIO_REDES!$W:$W,0),MATCH(AU$5,APOIO_REDES!$5:$5,0)),0)*$AP1159,0)</f>
        <v>0.464194750037679</v>
      </c>
      <c r="AV1159" s="153" t="n">
        <f aca="false">IFERROR(IF($N1159="VCA",INDEX(APOIO_REDES!$A:$W,MATCH($C1159&amp;$I1159&amp;$H1159&amp;$N1159&amp;$O1159,APOIO_REDES!$W:$W,0),MATCH(AV$5,APOIO_REDES!$5:$5,0)),0)*$AP1159,0)</f>
        <v>0.06424090933355</v>
      </c>
      <c r="AW1159" s="153" t="n">
        <f aca="false">IFERROR(IF($N1159="VCA",INDEX(APOIO_REDES!$A:$W,MATCH($C1159&amp;$I1159&amp;$H1159&amp;$N1159&amp;$O1159,APOIO_REDES!$W:$W,0),MATCH(AW$5,APOIO_REDES!$5:$5,0)),0)*$AP1159,0)</f>
        <v>36.6713682774875</v>
      </c>
      <c r="AX1159" s="153" t="n">
        <f aca="false">IFERROR(IF($N1159="VCA",INDEX(APOIO_REDES!$A:$W,MATCH($C1159&amp;$I1159&amp;$H1159&amp;$N1159&amp;$O1159,APOIO_REDES!$W:$W,0),MATCH(AX$5,APOIO_REDES!$5:$5,0)),0)*$AP1159,0)</f>
        <v>5.07521290923441</v>
      </c>
      <c r="AY1159" s="153" t="n">
        <f aca="false">IFERROR(IF($N1159="VCA",INDEX(APOIO_REDES!$A:$W,MATCH($C1159&amp;$I1159&amp;$H1159&amp;$N1159&amp;$O1159,APOIO_REDES!$W:$W,0),MATCH(AY$5,APOIO_REDES!$5:$5,0)),0)*$AP1159,0)</f>
        <v>9.28388934225721</v>
      </c>
      <c r="AZ1159" s="153" t="n">
        <f aca="false">IFERROR(IF($N1159="VCA",INDEX(APOIO_REDES!$A:$W,MATCH($C1159&amp;$I1159&amp;$H1159&amp;$N1159&amp;$O1159,APOIO_REDES!$W:$W,0),MATCH(AZ$5,APOIO_REDES!$5:$5,0)),0)*$AP1159,0)</f>
        <v>1.28486345464199</v>
      </c>
      <c r="BA1159" s="153" t="n">
        <f aca="false">IFERROR(IF(AND($N1159="VCA",$Q1159="LINEAR"),INDEX(APOIO_REDES!$A:$W,MATCH($C1159&amp;$I1159&amp;$H1159&amp;$N1159&amp;$O1159,APOIO_REDES!$W:$W,0),MATCH(BA$5,APOIO_REDES!$5:$5,0)),IF(AND($N1159="MND",$Q1159="EMBOQUE"),INDEX(APOIO_REDES!$A:$W,MATCH($C1159&amp;$I1159&amp;$H1159&amp;$N1159&amp;$O1159,APOIO_REDES!$W:$W,0),MATCH(BA$5,APOIO_REDES!$5:$5,0)),0))*$M1159/10,0)</f>
        <v>3.93235093111748</v>
      </c>
      <c r="BB1159" s="153" t="n">
        <f aca="false">IFERROR(IF($N1159="VCA",INDEX(APOIO_REDES!$A:$W,MATCH($C1159&amp;$I1159&amp;$H1159&amp;$N1159&amp;$O1159,APOIO_REDES!$W:$W,0),MATCH(BB$5,APOIO_REDES!$5:$5,0)),0)*($AI1159+$AQ1159+$AR1159),0)</f>
        <v>20.2688431507368</v>
      </c>
      <c r="BC1159" s="153" t="n">
        <f aca="false">IFERROR(IF($N1159="VCA",INDEX(APOIO_REDES!$A:$W,MATCH($C1159&amp;$I1159&amp;$H1159&amp;$N1159&amp;$O1159,APOIO_REDES!$W:$W,0),MATCH(BC$5,APOIO_REDES!$5:$5,0)),0)*($AI1159+$AQ1159+$AR1159),0)</f>
        <v>0.222956849263199</v>
      </c>
      <c r="BD1159" s="153" t="n">
        <f aca="false">IF(AND($N1159="VCA",$AF1159&gt;=1.25,$AF1159&lt;1.5),$M1159*$AF1159*2,0)</f>
        <v>142.4668</v>
      </c>
      <c r="BE1159" s="153" t="n">
        <f aca="false">IF(AND($N1159="VCA",$AF1159&gt;=1.5,$AF1159&lt;3),$M1159*$AF1159*2,0)</f>
        <v>0</v>
      </c>
      <c r="BF1159" s="153" t="n">
        <f aca="false">IF(AND($N1159="VCA",$AF1159&gt;=3),$M1159*$AF1159*2,0)</f>
        <v>0</v>
      </c>
      <c r="BG1159" s="153" t="n">
        <f aca="false">($BB1159+$BC1159)*$AK1159</f>
        <v>63.52458</v>
      </c>
      <c r="BH1159" s="153" t="n">
        <f aca="false">IF(AND($M1159&lt;&gt;"",$N1159="VCA",$Q1159="LINEAR"),($M1159*2)/100,IF(AND($M1159&lt;&gt;"",$N1159="MND",$Q1159="EMBOQUE"),($AN1159*2)/100,0))</f>
        <v>0.9758</v>
      </c>
      <c r="BI1159" s="153" t="n">
        <f aca="false">IF(AND($M1159&lt;&gt;"",$N1159="VCA",$Q1159="LINEAR"),$M1159,IF(AND($M1159&lt;&gt;"",$N1159="MND",$Q1159="EMBOQUE"),$AN1159*2,0))</f>
        <v>48.79</v>
      </c>
      <c r="BJ1159" s="153" t="n">
        <f aca="false">IF(AND($M1159&lt;&gt;"",$N1159="VCA",$Q1159="LINEAR"),($M1159*6.8)/100,IF(AND($M1159&lt;&gt;"",$N1159="MND",$Q1159="EMBOQUE"),($AN1159*2*6.8)/100,0))</f>
        <v>3.31772</v>
      </c>
      <c r="BK1159" s="153" t="n">
        <f aca="false">IF(AND($M1159&lt;&gt;"",$N1159="VCA",$Q1159="LINEAR"),($M1159*2.5)/50,IF(AND($M1159&lt;&gt;"",$N1159="MND",$Q1159="EMBOQUE"),($AN1159*2*2.5)/50,0))</f>
        <v>2.4395</v>
      </c>
      <c r="BL1159" s="157" t="str">
        <f aca="false">K1159&amp;J1159</f>
        <v>Zona10REDES</v>
      </c>
      <c r="BM1159" s="152" t="s">
        <v>5703</v>
      </c>
      <c r="BN1159" s="152" t="s">
        <v>1560</v>
      </c>
      <c r="BO1159" s="152" t="s">
        <v>3688</v>
      </c>
      <c r="BP1159" s="152" t="s">
        <v>5872</v>
      </c>
      <c r="BQ1159" s="152" t="s">
        <v>5886</v>
      </c>
      <c r="BR1159" s="152" t="s">
        <v>5941</v>
      </c>
      <c r="BS1159" s="152" t="n">
        <v>203224.167</v>
      </c>
      <c r="BT1159" s="152" t="n">
        <v>8237117.785</v>
      </c>
      <c r="BU1159" s="152" t="n">
        <v>203272.532</v>
      </c>
      <c r="BV1159" s="152" t="n">
        <v>8237111.32</v>
      </c>
      <c r="BW1159" s="152" t="n">
        <v>-15.927489</v>
      </c>
      <c r="BX1159" s="152" t="n">
        <v>-47.7716759</v>
      </c>
      <c r="BY1159" s="152" t="s">
        <v>5872</v>
      </c>
    </row>
    <row r="1160" customFormat="false" ht="13.8" hidden="false" customHeight="false" outlineLevel="0" collapsed="false">
      <c r="A1160" s="149" t="n">
        <f aca="false">IF(C1160&lt;&gt;"",ROW(A1155),"")</f>
        <v>1155</v>
      </c>
      <c r="B1160" s="150" t="str">
        <f aca="false">HYPERLINK("https://www.google.com/maps/dir/-15.917302,-47.760003/-15.9275878,-47.7681824/data=!4m3!4m2!3e0!5i2")</f>
        <v>https://www.google.com/maps/dir/-15.917302,-47.760003/-15.9275878,-47.7681824/data=!4m3!4m2!3e0!5i2</v>
      </c>
      <c r="C1160" s="151" t="s">
        <v>117</v>
      </c>
      <c r="D1160" s="152" t="s">
        <v>112</v>
      </c>
      <c r="E1160" s="152" t="s">
        <v>113</v>
      </c>
      <c r="F1160" s="152" t="s">
        <v>117</v>
      </c>
      <c r="G1160" s="152" t="s">
        <v>782</v>
      </c>
      <c r="H1160" s="152" t="n">
        <v>63</v>
      </c>
      <c r="I1160" s="152" t="s">
        <v>115</v>
      </c>
      <c r="J1160" s="152" t="s">
        <v>6</v>
      </c>
      <c r="K1160" s="152" t="s">
        <v>5700</v>
      </c>
      <c r="L1160" s="152" t="s">
        <v>120</v>
      </c>
      <c r="M1160" s="153" t="n">
        <f aca="false">10.59</f>
        <v>10.59</v>
      </c>
      <c r="N1160" s="152" t="s">
        <v>1548</v>
      </c>
      <c r="O1160" s="152" t="s">
        <v>1549</v>
      </c>
      <c r="P1160" s="152" t="s">
        <v>1550</v>
      </c>
      <c r="Q1160" s="152" t="s">
        <v>1551</v>
      </c>
      <c r="R1160" s="154" t="s">
        <v>5942</v>
      </c>
      <c r="S1160" s="154" t="s">
        <v>1553</v>
      </c>
      <c r="T1160" s="155" t="s">
        <v>3685</v>
      </c>
      <c r="U1160" s="152" t="str">
        <f aca="false">RIGHT(T1160,7)</f>
        <v>012/037</v>
      </c>
      <c r="V1160" s="152" t="s">
        <v>1555</v>
      </c>
      <c r="W1160" s="156" t="n">
        <v>45882</v>
      </c>
      <c r="X1160" s="152" t="s">
        <v>1594</v>
      </c>
      <c r="Y1160" s="152" t="s">
        <v>5146</v>
      </c>
      <c r="Z1160" s="152" t="s">
        <v>1557</v>
      </c>
      <c r="AA1160" s="153" t="n">
        <v>3</v>
      </c>
      <c r="AB1160" s="151" t="s">
        <v>5943</v>
      </c>
      <c r="AC1160" s="151" t="s">
        <v>186</v>
      </c>
      <c r="AD1160" s="151" t="str">
        <f aca="false">CONCATENATE($C1160,$I1160,$H1160,$N1160,$J1160,$K1160)</f>
        <v>TUBO PEADPEAD63VCAREDESZona10</v>
      </c>
      <c r="AE1160" s="153" t="n">
        <f aca="false">IFERROR(INDEX(APOIO_REDES!$A:$W,MATCH($C1160&amp;$I1160&amp;$H1160&amp;$N1160&amp;$O1160,APOIO_REDES!$W:$W,0),MATCH(AE$5,APOIO_REDES!$5:$5,0)),0)</f>
        <v>1.2</v>
      </c>
      <c r="AF1160" s="153" t="n">
        <f aca="false">IFERROR(INDEX(APOIO_REDES!$A:$W,MATCH($C1160&amp;$I1160&amp;$H1160&amp;$N1160&amp;$O1160,APOIO_REDES!$W:$W,0),MATCH(AF$5,APOIO_REDES!$5:$5,0)),0)</f>
        <v>1.363</v>
      </c>
      <c r="AG1160" s="153" t="n">
        <f aca="false">IFERROR(INDEX(APOIO_REDES!$A:$W,MATCH($C1160&amp;$I1160&amp;$H1160&amp;$N1160&amp;$O1160,APOIO_REDES!$W:$W,0),MATCH(AG$5,APOIO_REDES!$5:$5,0)),0)</f>
        <v>0.65</v>
      </c>
      <c r="AH1160" s="153" t="n">
        <f aca="false">IFERROR(INDEX(APOIO_REDES!$A:$W,MATCH($C1160&amp;$I1160&amp;$H1160&amp;$N1160&amp;$O1160,APOIO_REDES!$W:$W,0),MATCH(AH$5,APOIO_REDES!$5:$5,0)),0)</f>
        <v>0.1</v>
      </c>
      <c r="AI1160" s="153" t="n">
        <f aca="false">IFERROR(IF($H1160&lt;&gt;"",(((($H1160/1000)/2)^2)*PI()*$M1160),0),0)</f>
        <v>0.0330116278384542</v>
      </c>
      <c r="AJ1160" s="153" t="n">
        <f aca="false">IFERROR(IF(AND($H1160&lt;&gt;"",$I1160="FoFo",OR($N1160="MND",$N1160="VCA"),$Q1160="LINEAR"),0,IF(AND($H1160&lt;&gt;"",$I1160="PEAD",$N1160="VCA",$Q1160="LINEAR"),($H1160/1000)+0.3,IF(AND($H1160&lt;&gt;"",$I1160="PEAD",$N1160="MND",$Q1160="EMBOQUE"),0,IF(AND($H1160&lt;&gt;"",$I1160="PVC",$N1160="VCA",$Q1160="LINEAR"),($H1160/1000)+0.2,IF(AND($H1160&lt;&gt;"",$I1160="PVC",$N1160="MND",$Q1160="EMBOQUE"),0,IF(AND($H1160&lt;&gt;"",$I1160="PEAD",$N1160="VCA",$Q1160="PREDIAL"),0,0)))))),0)</f>
        <v>0.363</v>
      </c>
      <c r="AK1160" s="153" t="n">
        <f aca="false">IF(AA1160&lt;&gt;"",AA1160,0)</f>
        <v>3</v>
      </c>
      <c r="AL1160" s="153" t="n">
        <f aca="false">IF(AND($N1160="MND",$Q1160="EMBOQUE"),$M1160,IF(AND($N1160="VCA",$Q1160="LINEAR"),$M1160,IF(AND($N1160="VCA",$Q1160="PREDIAL"),0,0)))</f>
        <v>10.59</v>
      </c>
      <c r="AM1160" s="153" t="n">
        <f aca="false">IF(AND($N1160="MND",$Q1160="EMBOQUE"),$M1160,IF(AND($N1160="VCA",$Q1160="LINEAR"),$M1160,IF(AND($N1160="VCA",$Q1160="PREDIAL"),0,0)))</f>
        <v>10.59</v>
      </c>
      <c r="AN1160" s="153" t="n">
        <f aca="false">ROUND(IF(AND($N1160="VCA",$M1160&lt;&gt;"",$Q1160="LINEAR"),$M1160/100,IF(AND($N1160="MND",$M1160&gt;100,$Q1160="EMBOQUE"),$M1160/100,0)),0)</f>
        <v>0</v>
      </c>
      <c r="AO1160" s="153" t="n">
        <f aca="false">IF(AND($N1160="MND",$Q1160="EMBOQUE"),$AN1160*2*2,IF(AND($N1160="VCA",$Q1160="LINEAR"),$M1160*2,IF(AND($N1160="VCA",$Q1160="PREDIAL"),0,0)))</f>
        <v>21.18</v>
      </c>
      <c r="AP1160" s="153" t="n">
        <f aca="false">IFERROR($M1160*$AF1160*$AG1160,0)</f>
        <v>9.3822105</v>
      </c>
      <c r="AQ1160" s="153" t="n">
        <f aca="false">IFERROR(IF(AND($N1160="VCA",$AH1160&gt;0),$M1160*$AG1160*$AH1160,0),0)</f>
        <v>0.68835</v>
      </c>
      <c r="AR1160" s="153" t="n">
        <f aca="false">IFERROR(IF(AND($N1160="VCA",$AJ1160&gt;0),($M1160*$AG1160*$AJ1160)-$AI1160,0),0)</f>
        <v>2.46569887216155</v>
      </c>
      <c r="AS1160" s="153" t="n">
        <f aca="false">IFERROR(IF(AND($N1160="VCA",$AP1160&gt;0),$AP1160-$AI1160-$AQ1160-$AR1160,0),0)</f>
        <v>6.19515</v>
      </c>
      <c r="AT1160" s="153" t="n">
        <f aca="false">IFERROR(IF($N1160="VCA",INDEX(APOIO_REDES!$A:$W,MATCH($C1160&amp;$I1160&amp;$H1160&amp;$N1160&amp;$O1160,APOIO_REDES!$W:$W,0),MATCH(AT$5,APOIO_REDES!$5:$5,0)),0)*$AP1160,0)</f>
        <v>0.102081227232557</v>
      </c>
      <c r="AU1160" s="153" t="n">
        <f aca="false">IFERROR(IF($N1160="VCA",INDEX(APOIO_REDES!$A:$W,MATCH($C1160&amp;$I1160&amp;$H1160&amp;$N1160&amp;$O1160,APOIO_REDES!$W:$W,0),MATCH(AU$5,APOIO_REDES!$5:$5,0)),0)*$AP1160,0)</f>
        <v>0.0815193033576644</v>
      </c>
      <c r="AV1160" s="153" t="n">
        <f aca="false">IFERROR(IF($N1160="VCA",INDEX(APOIO_REDES!$A:$W,MATCH($C1160&amp;$I1160&amp;$H1160&amp;$N1160&amp;$O1160,APOIO_REDES!$W:$W,0),MATCH(AV$5,APOIO_REDES!$5:$5,0)),0)*$AP1160,0)</f>
        <v>0.0112816316330781</v>
      </c>
      <c r="AW1160" s="153" t="n">
        <f aca="false">IFERROR(IF($N1160="VCA",INDEX(APOIO_REDES!$A:$W,MATCH($C1160&amp;$I1160&amp;$H1160&amp;$N1160&amp;$O1160,APOIO_REDES!$W:$W,0),MATCH(AW$5,APOIO_REDES!$5:$5,0)),0)*$AP1160,0)</f>
        <v>6.44002198411439</v>
      </c>
      <c r="AX1160" s="153" t="n">
        <f aca="false">IFERROR(IF($N1160="VCA",INDEX(APOIO_REDES!$A:$W,MATCH($C1160&amp;$I1160&amp;$H1160&amp;$N1160&amp;$O1160,APOIO_REDES!$W:$W,0),MATCH(AX$5,APOIO_REDES!$5:$5,0)),0)*$AP1160,0)</f>
        <v>0.891280697851564</v>
      </c>
      <c r="AY1160" s="153" t="n">
        <f aca="false">IFERROR(IF($N1160="VCA",INDEX(APOIO_REDES!$A:$W,MATCH($C1160&amp;$I1160&amp;$H1160&amp;$N1160&amp;$O1160,APOIO_REDES!$W:$W,0),MATCH(AY$5,APOIO_REDES!$5:$5,0)),0)*$AP1160,0)</f>
        <v>1.63038507343959</v>
      </c>
      <c r="AZ1160" s="153" t="n">
        <f aca="false">IFERROR(IF($N1160="VCA",INDEX(APOIO_REDES!$A:$W,MATCH($C1160&amp;$I1160&amp;$H1160&amp;$N1160&amp;$O1160,APOIO_REDES!$W:$W,0),MATCH(AZ$5,APOIO_REDES!$5:$5,0)),0)*$AP1160,0)</f>
        <v>0.22564058237116</v>
      </c>
      <c r="BA1160" s="153" t="n">
        <f aca="false">IFERROR(IF(AND($N1160="VCA",$Q1160="LINEAR"),INDEX(APOIO_REDES!$A:$W,MATCH($C1160&amp;$I1160&amp;$H1160&amp;$N1160&amp;$O1160,APOIO_REDES!$W:$W,0),MATCH(BA$5,APOIO_REDES!$5:$5,0)),IF(AND($N1160="MND",$Q1160="EMBOQUE"),INDEX(APOIO_REDES!$A:$W,MATCH($C1160&amp;$I1160&amp;$H1160&amp;$N1160&amp;$O1160,APOIO_REDES!$W:$W,0),MATCH(BA$5,APOIO_REDES!$5:$5,0)),0))*$M1160/10,0)</f>
        <v>0.853527287569873</v>
      </c>
      <c r="BB1160" s="153" t="n">
        <f aca="false">IFERROR(IF($N1160="VCA",INDEX(APOIO_REDES!$A:$W,MATCH($C1160&amp;$I1160&amp;$H1160&amp;$N1160&amp;$O1160,APOIO_REDES!$W:$W,0),MATCH(BB$5,APOIO_REDES!$5:$5,0)),0)*($AI1160+$AQ1160+$AR1160),0)</f>
        <v>3.15238433843824</v>
      </c>
      <c r="BC1160" s="153" t="n">
        <f aca="false">IFERROR(IF($N1160="VCA",INDEX(APOIO_REDES!$A:$W,MATCH($C1160&amp;$I1160&amp;$H1160&amp;$N1160&amp;$O1160,APOIO_REDES!$W:$W,0),MATCH(BC$5,APOIO_REDES!$5:$5,0)),0)*($AI1160+$AQ1160+$AR1160),0)</f>
        <v>0.0346761615617562</v>
      </c>
      <c r="BD1160" s="153" t="n">
        <f aca="false">IF(AND($N1160="VCA",$AF1160&gt;=1.25,$AF1160&lt;1.5),$M1160*$AF1160*2,0)</f>
        <v>28.86834</v>
      </c>
      <c r="BE1160" s="153" t="n">
        <f aca="false">IF(AND($N1160="VCA",$AF1160&gt;=1.5,$AF1160&lt;3),$M1160*$AF1160*2,0)</f>
        <v>0</v>
      </c>
      <c r="BF1160" s="153" t="n">
        <f aca="false">IF(AND($N1160="VCA",$AF1160&gt;=3),$M1160*$AF1160*2,0)</f>
        <v>0</v>
      </c>
      <c r="BG1160" s="153" t="n">
        <f aca="false">($BB1160+$BC1160)*$AK1160</f>
        <v>9.5611815</v>
      </c>
      <c r="BH1160" s="153" t="n">
        <f aca="false">IF(AND($M1160&lt;&gt;"",$N1160="VCA",$Q1160="LINEAR"),($M1160*2)/100,IF(AND($M1160&lt;&gt;"",$N1160="MND",$Q1160="EMBOQUE"),($AN1160*2)/100,0))</f>
        <v>0.2118</v>
      </c>
      <c r="BI1160" s="153" t="n">
        <f aca="false">IF(AND($M1160&lt;&gt;"",$N1160="VCA",$Q1160="LINEAR"),$M1160,IF(AND($M1160&lt;&gt;"",$N1160="MND",$Q1160="EMBOQUE"),$AN1160*2,0))</f>
        <v>10.59</v>
      </c>
      <c r="BJ1160" s="153" t="n">
        <f aca="false">IF(AND($M1160&lt;&gt;"",$N1160="VCA",$Q1160="LINEAR"),($M1160*6.8)/100,IF(AND($M1160&lt;&gt;"",$N1160="MND",$Q1160="EMBOQUE"),($AN1160*2*6.8)/100,0))</f>
        <v>0.72012</v>
      </c>
      <c r="BK1160" s="153" t="n">
        <f aca="false">IF(AND($M1160&lt;&gt;"",$N1160="VCA",$Q1160="LINEAR"),($M1160*2.5)/50,IF(AND($M1160&lt;&gt;"",$N1160="MND",$Q1160="EMBOQUE"),($AN1160*2*2.5)/50,0))</f>
        <v>0.5295</v>
      </c>
      <c r="BL1160" s="157" t="str">
        <f aca="false">K1160&amp;J1160</f>
        <v>Zona10REDES</v>
      </c>
      <c r="BM1160" s="152" t="s">
        <v>5703</v>
      </c>
      <c r="BN1160" s="152" t="s">
        <v>1560</v>
      </c>
      <c r="BO1160" s="152" t="s">
        <v>3688</v>
      </c>
      <c r="BP1160" s="152" t="s">
        <v>5920</v>
      </c>
      <c r="BQ1160" s="152" t="s">
        <v>2232</v>
      </c>
      <c r="BR1160" s="152" t="s">
        <v>5944</v>
      </c>
      <c r="BS1160" s="152" t="n">
        <v>203622.778</v>
      </c>
      <c r="BT1160" s="152" t="n">
        <v>8237108.578</v>
      </c>
      <c r="BU1160" s="152" t="n">
        <v>203629.617</v>
      </c>
      <c r="BV1160" s="152" t="n">
        <v>8237111.841</v>
      </c>
      <c r="BW1160" s="152" t="n">
        <v>-15.9275515</v>
      </c>
      <c r="BX1160" s="152" t="n">
        <v>-47.7681606</v>
      </c>
      <c r="BY1160" s="152" t="s">
        <v>5920</v>
      </c>
    </row>
    <row r="1161" customFormat="false" ht="13.8" hidden="false" customHeight="false" outlineLevel="0" collapsed="false">
      <c r="A1161" s="149" t="n">
        <f aca="false">IF(C1161&lt;&gt;"",ROW(A1156),"")</f>
        <v>1156</v>
      </c>
      <c r="B1161" s="150" t="str">
        <f aca="false">HYPERLINK("https://www.google.com/maps/dir/-15.917302,-47.760003/-15.9275211,-47.7714506/data=!4m3!4m2!3e0!5i0")</f>
        <v>https://www.google.com/maps/dir/-15.917302,-47.760003/-15.9275211,-47.7714506/data=!4m3!4m2!3e0!5i0</v>
      </c>
      <c r="C1161" s="151" t="s">
        <v>117</v>
      </c>
      <c r="D1161" s="152" t="s">
        <v>112</v>
      </c>
      <c r="E1161" s="152" t="s">
        <v>113</v>
      </c>
      <c r="F1161" s="152" t="s">
        <v>117</v>
      </c>
      <c r="G1161" s="152" t="s">
        <v>114</v>
      </c>
      <c r="H1161" s="152" t="n">
        <v>160</v>
      </c>
      <c r="I1161" s="152" t="s">
        <v>115</v>
      </c>
      <c r="J1161" s="152" t="s">
        <v>6</v>
      </c>
      <c r="K1161" s="152" t="s">
        <v>5700</v>
      </c>
      <c r="L1161" s="152" t="s">
        <v>120</v>
      </c>
      <c r="M1161" s="153" t="n">
        <f aca="false">52.8</f>
        <v>52.8</v>
      </c>
      <c r="N1161" s="152" t="s">
        <v>1548</v>
      </c>
      <c r="O1161" s="152" t="s">
        <v>1549</v>
      </c>
      <c r="P1161" s="152" t="s">
        <v>1550</v>
      </c>
      <c r="Q1161" s="152" t="s">
        <v>1551</v>
      </c>
      <c r="R1161" s="154" t="s">
        <v>5945</v>
      </c>
      <c r="S1161" s="154" t="s">
        <v>1593</v>
      </c>
      <c r="T1161" s="155" t="s">
        <v>3685</v>
      </c>
      <c r="U1161" s="152" t="str">
        <f aca="false">RIGHT(T1161,7)</f>
        <v>012/037</v>
      </c>
      <c r="V1161" s="152" t="s">
        <v>1555</v>
      </c>
      <c r="W1161" s="156" t="n">
        <v>45882</v>
      </c>
      <c r="X1161" s="152" t="s">
        <v>1594</v>
      </c>
      <c r="Y1161" s="152" t="s">
        <v>2400</v>
      </c>
      <c r="Z1161" s="152" t="s">
        <v>1557</v>
      </c>
      <c r="AA1161" s="153" t="n">
        <v>3</v>
      </c>
      <c r="AB1161" s="151" t="s">
        <v>5946</v>
      </c>
      <c r="AC1161" s="151" t="s">
        <v>505</v>
      </c>
      <c r="AD1161" s="151" t="str">
        <f aca="false">CONCATENATE($C1161,$I1161,$H1161,$N1161,$J1161,$K1161)</f>
        <v>TUBO PEADPEAD160VCAREDESZona10</v>
      </c>
      <c r="AE1161" s="153" t="n">
        <f aca="false">IFERROR(INDEX(APOIO_REDES!$A:$W,MATCH($C1161&amp;$I1161&amp;$H1161&amp;$N1161&amp;$O1161,APOIO_REDES!$W:$W,0),MATCH(AE$5,APOIO_REDES!$5:$5,0)),0)</f>
        <v>1.2</v>
      </c>
      <c r="AF1161" s="153" t="n">
        <f aca="false">IFERROR(INDEX(APOIO_REDES!$A:$W,MATCH($C1161&amp;$I1161&amp;$H1161&amp;$N1161&amp;$O1161,APOIO_REDES!$W:$W,0),MATCH(AF$5,APOIO_REDES!$5:$5,0)),0)</f>
        <v>1.46</v>
      </c>
      <c r="AG1161" s="153" t="n">
        <f aca="false">IFERROR(INDEX(APOIO_REDES!$A:$W,MATCH($C1161&amp;$I1161&amp;$H1161&amp;$N1161&amp;$O1161,APOIO_REDES!$W:$W,0),MATCH(AG$5,APOIO_REDES!$5:$5,0)),0)</f>
        <v>0.75</v>
      </c>
      <c r="AH1161" s="153" t="n">
        <f aca="false">IFERROR(INDEX(APOIO_REDES!$A:$W,MATCH($C1161&amp;$I1161&amp;$H1161&amp;$N1161&amp;$O1161,APOIO_REDES!$W:$W,0),MATCH(AH$5,APOIO_REDES!$5:$5,0)),0)</f>
        <v>0.1</v>
      </c>
      <c r="AI1161" s="153" t="n">
        <f aca="false">IFERROR(IF($H1161&lt;&gt;"",(((($H1161/1000)/2)^2)*PI()*$M1161),0),0)</f>
        <v>1.06160698950106</v>
      </c>
      <c r="AJ1161" s="153" t="n">
        <f aca="false">IFERROR(IF(AND($H1161&lt;&gt;"",$I1161="FoFo",OR($N1161="MND",$N1161="VCA"),$Q1161="LINEAR"),0,IF(AND($H1161&lt;&gt;"",$I1161="PEAD",$N1161="VCA",$Q1161="LINEAR"),($H1161/1000)+0.3,IF(AND($H1161&lt;&gt;"",$I1161="PEAD",$N1161="MND",$Q1161="EMBOQUE"),0,IF(AND($H1161&lt;&gt;"",$I1161="PVC",$N1161="VCA",$Q1161="LINEAR"),($H1161/1000)+0.2,IF(AND($H1161&lt;&gt;"",$I1161="PVC",$N1161="MND",$Q1161="EMBOQUE"),0,IF(AND($H1161&lt;&gt;"",$I1161="PEAD",$N1161="VCA",$Q1161="PREDIAL"),0,0)))))),0)</f>
        <v>0.46</v>
      </c>
      <c r="AK1161" s="153" t="n">
        <f aca="false">IF(AA1161&lt;&gt;"",AA1161,0)</f>
        <v>3</v>
      </c>
      <c r="AL1161" s="153" t="n">
        <f aca="false">IF(AND($N1161="MND",$Q1161="EMBOQUE"),$M1161,IF(AND($N1161="VCA",$Q1161="LINEAR"),$M1161,IF(AND($N1161="VCA",$Q1161="PREDIAL"),0,0)))</f>
        <v>52.8</v>
      </c>
      <c r="AM1161" s="153" t="n">
        <f aca="false">IF(AND($N1161="MND",$Q1161="EMBOQUE"),$M1161,IF(AND($N1161="VCA",$Q1161="LINEAR"),$M1161,IF(AND($N1161="VCA",$Q1161="PREDIAL"),0,0)))</f>
        <v>52.8</v>
      </c>
      <c r="AN1161" s="153" t="n">
        <f aca="false">ROUND(IF(AND($N1161="VCA",$M1161&lt;&gt;"",$Q1161="LINEAR"),$M1161/100,IF(AND($N1161="MND",$M1161&gt;100,$Q1161="EMBOQUE"),$M1161/100,0)),0)</f>
        <v>1</v>
      </c>
      <c r="AO1161" s="153" t="n">
        <f aca="false">IF(AND($N1161="MND",$Q1161="EMBOQUE"),$AN1161*2*2,IF(AND($N1161="VCA",$Q1161="LINEAR"),$M1161*2,IF(AND($N1161="VCA",$Q1161="PREDIAL"),0,0)))</f>
        <v>105.6</v>
      </c>
      <c r="AP1161" s="153" t="n">
        <f aca="false">IFERROR($M1161*$AF1161*$AG1161,0)</f>
        <v>57.816</v>
      </c>
      <c r="AQ1161" s="153" t="n">
        <f aca="false">IFERROR(IF(AND($N1161="VCA",$AH1161&gt;0),$M1161*$AG1161*$AH1161,0),0)</f>
        <v>3.96</v>
      </c>
      <c r="AR1161" s="153" t="n">
        <f aca="false">IFERROR(IF(AND($N1161="VCA",$AJ1161&gt;0),($M1161*$AG1161*$AJ1161)-$AI1161,0),0)</f>
        <v>17.1543930104989</v>
      </c>
      <c r="AS1161" s="153" t="n">
        <f aca="false">IFERROR(IF(AND($N1161="VCA",$AP1161&gt;0),$AP1161-$AI1161-$AQ1161-$AR1161,0),0)</f>
        <v>35.64</v>
      </c>
      <c r="AT1161" s="153" t="n">
        <f aca="false">IFERROR(IF($N1161="VCA",INDEX(APOIO_REDES!$A:$W,MATCH($C1161&amp;$I1161&amp;$H1161&amp;$N1161&amp;$O1161,APOIO_REDES!$W:$W,0),MATCH(AT$5,APOIO_REDES!$5:$5,0)),0)*$AP1161,0)</f>
        <v>0.629055192662486</v>
      </c>
      <c r="AU1161" s="153" t="n">
        <f aca="false">IFERROR(IF($N1161="VCA",INDEX(APOIO_REDES!$A:$W,MATCH($C1161&amp;$I1161&amp;$H1161&amp;$N1161&amp;$O1161,APOIO_REDES!$W:$W,0),MATCH(AU$5,APOIO_REDES!$5:$5,0)),0)*$AP1161,0)</f>
        <v>0.502346439885006</v>
      </c>
      <c r="AV1161" s="153" t="n">
        <f aca="false">IFERROR(IF($N1161="VCA",INDEX(APOIO_REDES!$A:$W,MATCH($C1161&amp;$I1161&amp;$H1161&amp;$N1161&amp;$O1161,APOIO_REDES!$W:$W,0),MATCH(AV$5,APOIO_REDES!$5:$5,0)),0)*$AP1161,0)</f>
        <v>0.0695208037059118</v>
      </c>
      <c r="AW1161" s="153" t="n">
        <f aca="false">IFERROR(IF($N1161="VCA",INDEX(APOIO_REDES!$A:$W,MATCH($C1161&amp;$I1161&amp;$H1161&amp;$N1161&amp;$O1161,APOIO_REDES!$W:$W,0),MATCH(AW$5,APOIO_REDES!$5:$5,0)),0)*$AP1161,0)</f>
        <v>39.6853503802284</v>
      </c>
      <c r="AX1161" s="153" t="n">
        <f aca="false">IFERROR(IF($N1161="VCA",INDEX(APOIO_REDES!$A:$W,MATCH($C1161&amp;$I1161&amp;$H1161&amp;$N1161&amp;$O1161,APOIO_REDES!$W:$W,0),MATCH(AX$5,APOIO_REDES!$5:$5,0)),0)*$AP1161,0)</f>
        <v>5.49233944676321</v>
      </c>
      <c r="AY1161" s="153" t="n">
        <f aca="false">IFERROR(IF($N1161="VCA",INDEX(APOIO_REDES!$A:$W,MATCH($C1161&amp;$I1161&amp;$H1161&amp;$N1161&amp;$O1161,APOIO_REDES!$W:$W,0),MATCH(AY$5,APOIO_REDES!$5:$5,0)),0)*$AP1161,0)</f>
        <v>10.0469226741377</v>
      </c>
      <c r="AZ1161" s="153" t="n">
        <f aca="false">IFERROR(IF($N1161="VCA",INDEX(APOIO_REDES!$A:$W,MATCH($C1161&amp;$I1161&amp;$H1161&amp;$N1161&amp;$O1161,APOIO_REDES!$W:$W,0),MATCH(AZ$5,APOIO_REDES!$5:$5,0)),0)*$AP1161,0)</f>
        <v>1.39046506261728</v>
      </c>
      <c r="BA1161" s="153" t="n">
        <f aca="false">IFERROR(IF(AND($N1161="VCA",$Q1161="LINEAR"),INDEX(APOIO_REDES!$A:$W,MATCH($C1161&amp;$I1161&amp;$H1161&amp;$N1161&amp;$O1161,APOIO_REDES!$W:$W,0),MATCH(BA$5,APOIO_REDES!$5:$5,0)),IF(AND($N1161="MND",$Q1161="EMBOQUE"),INDEX(APOIO_REDES!$A:$W,MATCH($C1161&amp;$I1161&amp;$H1161&amp;$N1161&amp;$O1161,APOIO_REDES!$W:$W,0),MATCH(BA$5,APOIO_REDES!$5:$5,0)),0))*$M1161/10,0)</f>
        <v>4.2555468162124</v>
      </c>
      <c r="BB1161" s="153" t="n">
        <f aca="false">IFERROR(IF($N1161="VCA",INDEX(APOIO_REDES!$A:$W,MATCH($C1161&amp;$I1161&amp;$H1161&amp;$N1161&amp;$O1161,APOIO_REDES!$W:$W,0),MATCH(BB$5,APOIO_REDES!$5:$5,0)),0)*($AI1161+$AQ1161+$AR1161),0)</f>
        <v>21.934718556239</v>
      </c>
      <c r="BC1161" s="153" t="n">
        <f aca="false">IFERROR(IF($N1161="VCA",INDEX(APOIO_REDES!$A:$W,MATCH($C1161&amp;$I1161&amp;$H1161&amp;$N1161&amp;$O1161,APOIO_REDES!$W:$W,0),MATCH(BC$5,APOIO_REDES!$5:$5,0)),0)*($AI1161+$AQ1161+$AR1161),0)</f>
        <v>0.241281443760954</v>
      </c>
      <c r="BD1161" s="153" t="n">
        <f aca="false">IF(AND($N1161="VCA",$AF1161&gt;=1.25,$AF1161&lt;1.5),$M1161*$AF1161*2,0)</f>
        <v>154.176</v>
      </c>
      <c r="BE1161" s="153" t="n">
        <f aca="false">IF(AND($N1161="VCA",$AF1161&gt;=1.5,$AF1161&lt;3),$M1161*$AF1161*2,0)</f>
        <v>0</v>
      </c>
      <c r="BF1161" s="153" t="n">
        <f aca="false">IF(AND($N1161="VCA",$AF1161&gt;=3),$M1161*$AF1161*2,0)</f>
        <v>0</v>
      </c>
      <c r="BG1161" s="153" t="n">
        <f aca="false">($BB1161+$BC1161)*$AK1161</f>
        <v>66.528</v>
      </c>
      <c r="BH1161" s="153" t="n">
        <f aca="false">IF(AND($M1161&lt;&gt;"",$N1161="VCA",$Q1161="LINEAR"),($M1161*2)/100,IF(AND($M1161&lt;&gt;"",$N1161="MND",$Q1161="EMBOQUE"),($AN1161*2)/100,0))</f>
        <v>1.056</v>
      </c>
      <c r="BI1161" s="153" t="n">
        <f aca="false">IF(AND($M1161&lt;&gt;"",$N1161="VCA",$Q1161="LINEAR"),$M1161,IF(AND($M1161&lt;&gt;"",$N1161="MND",$Q1161="EMBOQUE"),$AN1161*2,0))</f>
        <v>52.8</v>
      </c>
      <c r="BJ1161" s="153" t="n">
        <f aca="false">IF(AND($M1161&lt;&gt;"",$N1161="VCA",$Q1161="LINEAR"),($M1161*6.8)/100,IF(AND($M1161&lt;&gt;"",$N1161="MND",$Q1161="EMBOQUE"),($AN1161*2*6.8)/100,0))</f>
        <v>3.5904</v>
      </c>
      <c r="BK1161" s="153" t="n">
        <f aca="false">IF(AND($M1161&lt;&gt;"",$N1161="VCA",$Q1161="LINEAR"),($M1161*2.5)/50,IF(AND($M1161&lt;&gt;"",$N1161="MND",$Q1161="EMBOQUE"),($AN1161*2*2.5)/50,0))</f>
        <v>2.64</v>
      </c>
      <c r="BL1161" s="157" t="str">
        <f aca="false">K1161&amp;J1161</f>
        <v>Zona10REDES</v>
      </c>
      <c r="BM1161" s="152" t="s">
        <v>5703</v>
      </c>
      <c r="BN1161" s="152" t="s">
        <v>1560</v>
      </c>
      <c r="BO1161" s="152" t="s">
        <v>3688</v>
      </c>
      <c r="BP1161" s="152" t="s">
        <v>5886</v>
      </c>
      <c r="BQ1161" s="152" t="s">
        <v>5133</v>
      </c>
      <c r="BR1161" s="152" t="s">
        <v>5947</v>
      </c>
      <c r="BS1161" s="152" t="n">
        <v>203272.532</v>
      </c>
      <c r="BT1161" s="152" t="n">
        <v>8237111.32</v>
      </c>
      <c r="BU1161" s="152" t="n">
        <v>203325.302</v>
      </c>
      <c r="BV1161" s="152" t="n">
        <v>8237111.814</v>
      </c>
      <c r="BW1161" s="152" t="n">
        <v>-15.9275151</v>
      </c>
      <c r="BX1161" s="152" t="n">
        <v>-47.7712043</v>
      </c>
      <c r="BY1161" s="152" t="s">
        <v>5886</v>
      </c>
    </row>
    <row r="1162" customFormat="false" ht="13.8" hidden="false" customHeight="false" outlineLevel="0" collapsed="false">
      <c r="A1162" s="149" t="n">
        <f aca="false">IF(C1162&lt;&gt;"",ROW(A1157),"")</f>
        <v>1157</v>
      </c>
      <c r="B1162" s="150" t="str">
        <f aca="false">HYPERLINK("https://www.google.com/maps/dir/-15.917302,-47.760003/-15.9275194,-47.7709561/data=!4m3!4m2!3e0!5i0")</f>
        <v>https://www.google.com/maps/dir/-15.917302,-47.760003/-15.9275194,-47.7709561/data=!4m3!4m2!3e0!5i0</v>
      </c>
      <c r="C1162" s="151" t="s">
        <v>117</v>
      </c>
      <c r="D1162" s="152" t="s">
        <v>112</v>
      </c>
      <c r="E1162" s="152" t="s">
        <v>113</v>
      </c>
      <c r="F1162" s="152" t="s">
        <v>117</v>
      </c>
      <c r="G1162" s="152" t="s">
        <v>114</v>
      </c>
      <c r="H1162" s="152" t="n">
        <v>160</v>
      </c>
      <c r="I1162" s="152" t="s">
        <v>115</v>
      </c>
      <c r="J1162" s="152" t="s">
        <v>6</v>
      </c>
      <c r="K1162" s="152" t="s">
        <v>5700</v>
      </c>
      <c r="L1162" s="152" t="s">
        <v>120</v>
      </c>
      <c r="M1162" s="153" t="n">
        <f aca="false">54.36+0.39</f>
        <v>54.75</v>
      </c>
      <c r="N1162" s="152" t="s">
        <v>1548</v>
      </c>
      <c r="O1162" s="152" t="s">
        <v>1549</v>
      </c>
      <c r="P1162" s="152" t="s">
        <v>1550</v>
      </c>
      <c r="Q1162" s="152" t="s">
        <v>1551</v>
      </c>
      <c r="R1162" s="154" t="s">
        <v>5948</v>
      </c>
      <c r="S1162" s="154" t="s">
        <v>1593</v>
      </c>
      <c r="T1162" s="155" t="s">
        <v>3685</v>
      </c>
      <c r="U1162" s="152" t="str">
        <f aca="false">RIGHT(T1162,7)</f>
        <v>012/037</v>
      </c>
      <c r="V1162" s="152" t="s">
        <v>1555</v>
      </c>
      <c r="W1162" s="156" t="n">
        <v>45882</v>
      </c>
      <c r="X1162" s="152" t="s">
        <v>1594</v>
      </c>
      <c r="Y1162" s="152" t="s">
        <v>2400</v>
      </c>
      <c r="Z1162" s="152" t="s">
        <v>1557</v>
      </c>
      <c r="AA1162" s="153" t="n">
        <v>3</v>
      </c>
      <c r="AB1162" s="151" t="s">
        <v>5949</v>
      </c>
      <c r="AC1162" s="151" t="s">
        <v>505</v>
      </c>
      <c r="AD1162" s="151" t="str">
        <f aca="false">CONCATENATE($C1162,$I1162,$H1162,$N1162,$J1162,$K1162)</f>
        <v>TUBO PEADPEAD160VCAREDESZona10</v>
      </c>
      <c r="AE1162" s="153" t="n">
        <f aca="false">IFERROR(INDEX(APOIO_REDES!$A:$W,MATCH($C1162&amp;$I1162&amp;$H1162&amp;$N1162&amp;$O1162,APOIO_REDES!$W:$W,0),MATCH(AE$5,APOIO_REDES!$5:$5,0)),0)</f>
        <v>1.2</v>
      </c>
      <c r="AF1162" s="153" t="n">
        <f aca="false">IFERROR(INDEX(APOIO_REDES!$A:$W,MATCH($C1162&amp;$I1162&amp;$H1162&amp;$N1162&amp;$O1162,APOIO_REDES!$W:$W,0),MATCH(AF$5,APOIO_REDES!$5:$5,0)),0)</f>
        <v>1.46</v>
      </c>
      <c r="AG1162" s="153" t="n">
        <f aca="false">IFERROR(INDEX(APOIO_REDES!$A:$W,MATCH($C1162&amp;$I1162&amp;$H1162&amp;$N1162&amp;$O1162,APOIO_REDES!$W:$W,0),MATCH(AG$5,APOIO_REDES!$5:$5,0)),0)</f>
        <v>0.75</v>
      </c>
      <c r="AH1162" s="153" t="n">
        <f aca="false">IFERROR(INDEX(APOIO_REDES!$A:$W,MATCH($C1162&amp;$I1162&amp;$H1162&amp;$N1162&amp;$O1162,APOIO_REDES!$W:$W,0),MATCH(AH$5,APOIO_REDES!$5:$5,0)),0)</f>
        <v>0.1</v>
      </c>
      <c r="AI1162" s="153" t="n">
        <f aca="false">IFERROR(IF($H1162&lt;&gt;"",(((($H1162/1000)/2)^2)*PI()*$M1162),0),0)</f>
        <v>1.10081406581786</v>
      </c>
      <c r="AJ1162" s="153" t="n">
        <f aca="false">IFERROR(IF(AND($H1162&lt;&gt;"",$I1162="FoFo",OR($N1162="MND",$N1162="VCA"),$Q1162="LINEAR"),0,IF(AND($H1162&lt;&gt;"",$I1162="PEAD",$N1162="VCA",$Q1162="LINEAR"),($H1162/1000)+0.3,IF(AND($H1162&lt;&gt;"",$I1162="PEAD",$N1162="MND",$Q1162="EMBOQUE"),0,IF(AND($H1162&lt;&gt;"",$I1162="PVC",$N1162="VCA",$Q1162="LINEAR"),($H1162/1000)+0.2,IF(AND($H1162&lt;&gt;"",$I1162="PVC",$N1162="MND",$Q1162="EMBOQUE"),0,IF(AND($H1162&lt;&gt;"",$I1162="PEAD",$N1162="VCA",$Q1162="PREDIAL"),0,0)))))),0)</f>
        <v>0.46</v>
      </c>
      <c r="AK1162" s="153" t="n">
        <f aca="false">IF(AA1162&lt;&gt;"",AA1162,0)</f>
        <v>3</v>
      </c>
      <c r="AL1162" s="153" t="n">
        <f aca="false">IF(AND($N1162="MND",$Q1162="EMBOQUE"),$M1162,IF(AND($N1162="VCA",$Q1162="LINEAR"),$M1162,IF(AND($N1162="VCA",$Q1162="PREDIAL"),0,0)))</f>
        <v>54.75</v>
      </c>
      <c r="AM1162" s="153" t="n">
        <f aca="false">IF(AND($N1162="MND",$Q1162="EMBOQUE"),$M1162,IF(AND($N1162="VCA",$Q1162="LINEAR"),$M1162,IF(AND($N1162="VCA",$Q1162="PREDIAL"),0,0)))</f>
        <v>54.75</v>
      </c>
      <c r="AN1162" s="153" t="n">
        <f aca="false">ROUND(IF(AND($N1162="VCA",$M1162&lt;&gt;"",$Q1162="LINEAR"),$M1162/100,IF(AND($N1162="MND",$M1162&gt;100,$Q1162="EMBOQUE"),$M1162/100,0)),0)</f>
        <v>1</v>
      </c>
      <c r="AO1162" s="153" t="n">
        <f aca="false">IF(AND($N1162="MND",$Q1162="EMBOQUE"),$AN1162*2*2,IF(AND($N1162="VCA",$Q1162="LINEAR"),$M1162*2,IF(AND($N1162="VCA",$Q1162="PREDIAL"),0,0)))</f>
        <v>109.5</v>
      </c>
      <c r="AP1162" s="153" t="n">
        <f aca="false">IFERROR($M1162*$AF1162*$AG1162,0)</f>
        <v>59.95125</v>
      </c>
      <c r="AQ1162" s="153" t="n">
        <f aca="false">IFERROR(IF(AND($N1162="VCA",$AH1162&gt;0),$M1162*$AG1162*$AH1162,0),0)</f>
        <v>4.10625</v>
      </c>
      <c r="AR1162" s="153" t="n">
        <f aca="false">IFERROR(IF(AND($N1162="VCA",$AJ1162&gt;0),($M1162*$AG1162*$AJ1162)-$AI1162,0),0)</f>
        <v>17.7879359341821</v>
      </c>
      <c r="AS1162" s="153" t="n">
        <f aca="false">IFERROR(IF(AND($N1162="VCA",$AP1162&gt;0),$AP1162-$AI1162-$AQ1162-$AR1162,0),0)</f>
        <v>36.95625</v>
      </c>
      <c r="AT1162" s="153" t="n">
        <f aca="false">IFERROR(IF($N1162="VCA",INDEX(APOIO_REDES!$A:$W,MATCH($C1162&amp;$I1162&amp;$H1162&amp;$N1162&amp;$O1162,APOIO_REDES!$W:$W,0),MATCH(AT$5,APOIO_REDES!$5:$5,0)),0)*$AP1162,0)</f>
        <v>0.652287344664226</v>
      </c>
      <c r="AU1162" s="153" t="n">
        <f aca="false">IFERROR(IF($N1162="VCA",INDEX(APOIO_REDES!$A:$W,MATCH($C1162&amp;$I1162&amp;$H1162&amp;$N1162&amp;$O1162,APOIO_REDES!$W:$W,0),MATCH(AU$5,APOIO_REDES!$5:$5,0)),0)*$AP1162,0)</f>
        <v>0.520899007267123</v>
      </c>
      <c r="AV1162" s="153" t="n">
        <f aca="false">IFERROR(IF($N1162="VCA",INDEX(APOIO_REDES!$A:$W,MATCH($C1162&amp;$I1162&amp;$H1162&amp;$N1162&amp;$O1162,APOIO_REDES!$W:$W,0),MATCH(AV$5,APOIO_REDES!$5:$5,0)),0)*$AP1162,0)</f>
        <v>0.0720883333882324</v>
      </c>
      <c r="AW1162" s="153" t="n">
        <f aca="false">IFERROR(IF($N1162="VCA",INDEX(APOIO_REDES!$A:$W,MATCH($C1162&amp;$I1162&amp;$H1162&amp;$N1162&amp;$O1162,APOIO_REDES!$W:$W,0),MATCH(AW$5,APOIO_REDES!$5:$5,0)),0)*$AP1162,0)</f>
        <v>41.1510025249527</v>
      </c>
      <c r="AX1162" s="153" t="n">
        <f aca="false">IFERROR(IF($N1162="VCA",INDEX(APOIO_REDES!$A:$W,MATCH($C1162&amp;$I1162&amp;$H1162&amp;$N1162&amp;$O1162,APOIO_REDES!$W:$W,0),MATCH(AX$5,APOIO_REDES!$5:$5,0)),0)*$AP1162,0)</f>
        <v>5.6951815286039</v>
      </c>
      <c r="AY1162" s="153" t="n">
        <f aca="false">IFERROR(IF($N1162="VCA",INDEX(APOIO_REDES!$A:$W,MATCH($C1162&amp;$I1162&amp;$H1162&amp;$N1162&amp;$O1162,APOIO_REDES!$W:$W,0),MATCH(AY$5,APOIO_REDES!$5:$5,0)),0)*$AP1162,0)</f>
        <v>10.4179737956258</v>
      </c>
      <c r="AZ1162" s="153" t="n">
        <f aca="false">IFERROR(IF($N1162="VCA",INDEX(APOIO_REDES!$A:$W,MATCH($C1162&amp;$I1162&amp;$H1162&amp;$N1162&amp;$O1162,APOIO_REDES!$W:$W,0),MATCH(AZ$5,APOIO_REDES!$5:$5,0)),0)*$AP1162,0)</f>
        <v>1.44181746549803</v>
      </c>
      <c r="BA1162" s="153" t="n">
        <f aca="false">IFERROR(IF(AND($N1162="VCA",$Q1162="LINEAR"),INDEX(APOIO_REDES!$A:$W,MATCH($C1162&amp;$I1162&amp;$H1162&amp;$N1162&amp;$O1162,APOIO_REDES!$W:$W,0),MATCH(BA$5,APOIO_REDES!$5:$5,0)),IF(AND($N1162="MND",$Q1162="EMBOQUE"),INDEX(APOIO_REDES!$A:$W,MATCH($C1162&amp;$I1162&amp;$H1162&amp;$N1162&amp;$O1162,APOIO_REDES!$W:$W,0),MATCH(BA$5,APOIO_REDES!$5:$5,0)),0))*$M1162/10,0)</f>
        <v>4.41271189749297</v>
      </c>
      <c r="BB1162" s="153" t="n">
        <f aca="false">IFERROR(IF($N1162="VCA",INDEX(APOIO_REDES!$A:$W,MATCH($C1162&amp;$I1162&amp;$H1162&amp;$N1162&amp;$O1162,APOIO_REDES!$W:$W,0),MATCH(BB$5,APOIO_REDES!$5:$5,0)),0)*($AI1162+$AQ1162+$AR1162),0)</f>
        <v>22.7448075938274</v>
      </c>
      <c r="BC1162" s="153" t="n">
        <f aca="false">IFERROR(IF($N1162="VCA",INDEX(APOIO_REDES!$A:$W,MATCH($C1162&amp;$I1162&amp;$H1162&amp;$N1162&amp;$O1162,APOIO_REDES!$W:$W,0),MATCH(BC$5,APOIO_REDES!$5:$5,0)),0)*($AI1162+$AQ1162+$AR1162),0)</f>
        <v>0.25019240617258</v>
      </c>
      <c r="BD1162" s="153" t="n">
        <f aca="false">IF(AND($N1162="VCA",$AF1162&gt;=1.25,$AF1162&lt;1.5),$M1162*$AF1162*2,0)</f>
        <v>159.87</v>
      </c>
      <c r="BE1162" s="153" t="n">
        <f aca="false">IF(AND($N1162="VCA",$AF1162&gt;=1.5,$AF1162&lt;3),$M1162*$AF1162*2,0)</f>
        <v>0</v>
      </c>
      <c r="BF1162" s="153" t="n">
        <f aca="false">IF(AND($N1162="VCA",$AF1162&gt;=3),$M1162*$AF1162*2,0)</f>
        <v>0</v>
      </c>
      <c r="BG1162" s="153" t="n">
        <f aca="false">($BB1162+$BC1162)*$AK1162</f>
        <v>68.985</v>
      </c>
      <c r="BH1162" s="153" t="n">
        <f aca="false">IF(AND($M1162&lt;&gt;"",$N1162="VCA",$Q1162="LINEAR"),($M1162*2)/100,IF(AND($M1162&lt;&gt;"",$N1162="MND",$Q1162="EMBOQUE"),($AN1162*2)/100,0))</f>
        <v>1.095</v>
      </c>
      <c r="BI1162" s="153" t="n">
        <f aca="false">IF(AND($M1162&lt;&gt;"",$N1162="VCA",$Q1162="LINEAR"),$M1162,IF(AND($M1162&lt;&gt;"",$N1162="MND",$Q1162="EMBOQUE"),$AN1162*2,0))</f>
        <v>54.75</v>
      </c>
      <c r="BJ1162" s="153" t="n">
        <f aca="false">IF(AND($M1162&lt;&gt;"",$N1162="VCA",$Q1162="LINEAR"),($M1162*6.8)/100,IF(AND($M1162&lt;&gt;"",$N1162="MND",$Q1162="EMBOQUE"),($AN1162*2*6.8)/100,0))</f>
        <v>3.723</v>
      </c>
      <c r="BK1162" s="153" t="n">
        <f aca="false">IF(AND($M1162&lt;&gt;"",$N1162="VCA",$Q1162="LINEAR"),($M1162*2.5)/50,IF(AND($M1162&lt;&gt;"",$N1162="MND",$Q1162="EMBOQUE"),($AN1162*2*2.5)/50,0))</f>
        <v>2.7375</v>
      </c>
      <c r="BL1162" s="157" t="str">
        <f aca="false">K1162&amp;J1162</f>
        <v>Zona10REDES</v>
      </c>
      <c r="BM1162" s="152" t="s">
        <v>5703</v>
      </c>
      <c r="BN1162" s="152" t="s">
        <v>1560</v>
      </c>
      <c r="BO1162" s="152" t="s">
        <v>3688</v>
      </c>
      <c r="BP1162" s="152" t="s">
        <v>5133</v>
      </c>
      <c r="BQ1162" s="152" t="s">
        <v>5909</v>
      </c>
      <c r="BR1162" s="152" t="s">
        <v>5950</v>
      </c>
      <c r="BS1162" s="152" t="n">
        <v>203325.515</v>
      </c>
      <c r="BT1162" s="152" t="n">
        <v>8237111.817</v>
      </c>
      <c r="BU1162" s="152" t="n">
        <v>203379.843</v>
      </c>
      <c r="BV1162" s="152" t="n">
        <v>8237110.664</v>
      </c>
      <c r="BW1162" s="152" t="n">
        <v>-15.9275257</v>
      </c>
      <c r="BX1162" s="152" t="n">
        <v>-47.7707024</v>
      </c>
      <c r="BY1162" s="152" t="s">
        <v>5133</v>
      </c>
    </row>
    <row r="1163" customFormat="false" ht="13.8" hidden="false" customHeight="false" outlineLevel="0" collapsed="false">
      <c r="A1163" s="149" t="n">
        <f aca="false">IF(C1163&lt;&gt;"",ROW(A1158),"")</f>
        <v>1158</v>
      </c>
      <c r="B1163" s="150" t="str">
        <f aca="false">HYPERLINK("https://www.google.com/maps/dir/-15.917302,-47.760003/-15.9275365,-47.7704473/data=!4m3!4m2!3e0!5i0")</f>
        <v>https://www.google.com/maps/dir/-15.917302,-47.760003/-15.9275365,-47.7704473/data=!4m3!4m2!3e0!5i0</v>
      </c>
      <c r="C1163" s="151" t="s">
        <v>117</v>
      </c>
      <c r="D1163" s="152" t="s">
        <v>112</v>
      </c>
      <c r="E1163" s="152" t="s">
        <v>113</v>
      </c>
      <c r="F1163" s="152" t="s">
        <v>117</v>
      </c>
      <c r="G1163" s="152" t="s">
        <v>114</v>
      </c>
      <c r="H1163" s="152" t="n">
        <v>160</v>
      </c>
      <c r="I1163" s="152" t="s">
        <v>115</v>
      </c>
      <c r="J1163" s="152" t="s">
        <v>6</v>
      </c>
      <c r="K1163" s="152" t="s">
        <v>5700</v>
      </c>
      <c r="L1163" s="152" t="s">
        <v>120</v>
      </c>
      <c r="M1163" s="153" t="n">
        <f aca="false">34.77+0.09</f>
        <v>34.86</v>
      </c>
      <c r="N1163" s="152" t="s">
        <v>1548</v>
      </c>
      <c r="O1163" s="152" t="s">
        <v>1549</v>
      </c>
      <c r="P1163" s="152" t="s">
        <v>1550</v>
      </c>
      <c r="Q1163" s="152" t="s">
        <v>1551</v>
      </c>
      <c r="R1163" s="154" t="s">
        <v>5951</v>
      </c>
      <c r="S1163" s="154" t="s">
        <v>1593</v>
      </c>
      <c r="T1163" s="155" t="s">
        <v>3685</v>
      </c>
      <c r="U1163" s="152" t="str">
        <f aca="false">RIGHT(T1163,7)</f>
        <v>012/037</v>
      </c>
      <c r="V1163" s="152" t="s">
        <v>1555</v>
      </c>
      <c r="W1163" s="156" t="n">
        <v>45882</v>
      </c>
      <c r="X1163" s="152" t="s">
        <v>1594</v>
      </c>
      <c r="Y1163" s="152" t="s">
        <v>2400</v>
      </c>
      <c r="Z1163" s="152" t="s">
        <v>1557</v>
      </c>
      <c r="AA1163" s="153" t="n">
        <v>2.9</v>
      </c>
      <c r="AB1163" s="151" t="s">
        <v>5952</v>
      </c>
      <c r="AC1163" s="151" t="s">
        <v>505</v>
      </c>
      <c r="AD1163" s="151" t="str">
        <f aca="false">CONCATENATE($C1163,$I1163,$H1163,$N1163,$J1163,$K1163)</f>
        <v>TUBO PEADPEAD160VCAREDESZona10</v>
      </c>
      <c r="AE1163" s="153" t="n">
        <f aca="false">IFERROR(INDEX(APOIO_REDES!$A:$W,MATCH($C1163&amp;$I1163&amp;$H1163&amp;$N1163&amp;$O1163,APOIO_REDES!$W:$W,0),MATCH(AE$5,APOIO_REDES!$5:$5,0)),0)</f>
        <v>1.2</v>
      </c>
      <c r="AF1163" s="153" t="n">
        <f aca="false">IFERROR(INDEX(APOIO_REDES!$A:$W,MATCH($C1163&amp;$I1163&amp;$H1163&amp;$N1163&amp;$O1163,APOIO_REDES!$W:$W,0),MATCH(AF$5,APOIO_REDES!$5:$5,0)),0)</f>
        <v>1.46</v>
      </c>
      <c r="AG1163" s="153" t="n">
        <f aca="false">IFERROR(INDEX(APOIO_REDES!$A:$W,MATCH($C1163&amp;$I1163&amp;$H1163&amp;$N1163&amp;$O1163,APOIO_REDES!$W:$W,0),MATCH(AG$5,APOIO_REDES!$5:$5,0)),0)</f>
        <v>0.75</v>
      </c>
      <c r="AH1163" s="153" t="n">
        <f aca="false">IFERROR(INDEX(APOIO_REDES!$A:$W,MATCH($C1163&amp;$I1163&amp;$H1163&amp;$N1163&amp;$O1163,APOIO_REDES!$W:$W,0),MATCH(AH$5,APOIO_REDES!$5:$5,0)),0)</f>
        <v>0.1</v>
      </c>
      <c r="AI1163" s="153" t="n">
        <f aca="false">IFERROR(IF($H1163&lt;&gt;"",(((($H1163/1000)/2)^2)*PI()*$M1163),0),0)</f>
        <v>0.700901887386497</v>
      </c>
      <c r="AJ1163" s="153" t="n">
        <f aca="false">IFERROR(IF(AND($H1163&lt;&gt;"",$I1163="FoFo",OR($N1163="MND",$N1163="VCA"),$Q1163="LINEAR"),0,IF(AND($H1163&lt;&gt;"",$I1163="PEAD",$N1163="VCA",$Q1163="LINEAR"),($H1163/1000)+0.3,IF(AND($H1163&lt;&gt;"",$I1163="PEAD",$N1163="MND",$Q1163="EMBOQUE"),0,IF(AND($H1163&lt;&gt;"",$I1163="PVC",$N1163="VCA",$Q1163="LINEAR"),($H1163/1000)+0.2,IF(AND($H1163&lt;&gt;"",$I1163="PVC",$N1163="MND",$Q1163="EMBOQUE"),0,IF(AND($H1163&lt;&gt;"",$I1163="PEAD",$N1163="VCA",$Q1163="PREDIAL"),0,0)))))),0)</f>
        <v>0.46</v>
      </c>
      <c r="AK1163" s="153" t="n">
        <f aca="false">IF(AA1163&lt;&gt;"",AA1163,0)</f>
        <v>2.9</v>
      </c>
      <c r="AL1163" s="153" t="n">
        <f aca="false">IF(AND($N1163="MND",$Q1163="EMBOQUE"),$M1163,IF(AND($N1163="VCA",$Q1163="LINEAR"),$M1163,IF(AND($N1163="VCA",$Q1163="PREDIAL"),0,0)))</f>
        <v>34.86</v>
      </c>
      <c r="AM1163" s="153" t="n">
        <f aca="false">IF(AND($N1163="MND",$Q1163="EMBOQUE"),$M1163,IF(AND($N1163="VCA",$Q1163="LINEAR"),$M1163,IF(AND($N1163="VCA",$Q1163="PREDIAL"),0,0)))</f>
        <v>34.86</v>
      </c>
      <c r="AN1163" s="153" t="n">
        <f aca="false">ROUND(IF(AND($N1163="VCA",$M1163&lt;&gt;"",$Q1163="LINEAR"),$M1163/100,IF(AND($N1163="MND",$M1163&gt;100,$Q1163="EMBOQUE"),$M1163/100,0)),0)</f>
        <v>0</v>
      </c>
      <c r="AO1163" s="153" t="n">
        <f aca="false">IF(AND($N1163="MND",$Q1163="EMBOQUE"),$AN1163*2*2,IF(AND($N1163="VCA",$Q1163="LINEAR"),$M1163*2,IF(AND($N1163="VCA",$Q1163="PREDIAL"),0,0)))</f>
        <v>69.72</v>
      </c>
      <c r="AP1163" s="153" t="n">
        <f aca="false">IFERROR($M1163*$AF1163*$AG1163,0)</f>
        <v>38.1717</v>
      </c>
      <c r="AQ1163" s="153" t="n">
        <f aca="false">IFERROR(IF(AND($N1163="VCA",$AH1163&gt;0),$M1163*$AG1163*$AH1163,0),0)</f>
        <v>2.6145</v>
      </c>
      <c r="AR1163" s="153" t="n">
        <f aca="false">IFERROR(IF(AND($N1163="VCA",$AJ1163&gt;0),($M1163*$AG1163*$AJ1163)-$AI1163,0),0)</f>
        <v>11.3257981126135</v>
      </c>
      <c r="AS1163" s="153" t="n">
        <f aca="false">IFERROR(IF(AND($N1163="VCA",$AP1163&gt;0),$AP1163-$AI1163-$AQ1163-$AR1163,0),0)</f>
        <v>23.5305</v>
      </c>
      <c r="AT1163" s="153" t="n">
        <f aca="false">IFERROR(IF($N1163="VCA",INDEX(APOIO_REDES!$A:$W,MATCH($C1163&amp;$I1163&amp;$H1163&amp;$N1163&amp;$O1163,APOIO_REDES!$W:$W,0),MATCH(AT$5,APOIO_REDES!$5:$5,0)),0)*$AP1163,0)</f>
        <v>0.415319394246482</v>
      </c>
      <c r="AU1163" s="153" t="n">
        <f aca="false">IFERROR(IF($N1163="VCA",INDEX(APOIO_REDES!$A:$W,MATCH($C1163&amp;$I1163&amp;$H1163&amp;$N1163&amp;$O1163,APOIO_REDES!$W:$W,0),MATCH(AU$5,APOIO_REDES!$5:$5,0)),0)*$AP1163,0)</f>
        <v>0.331662819969533</v>
      </c>
      <c r="AV1163" s="153" t="n">
        <f aca="false">IFERROR(IF($N1163="VCA",INDEX(APOIO_REDES!$A:$W,MATCH($C1163&amp;$I1163&amp;$H1163&amp;$N1163&amp;$O1163,APOIO_REDES!$W:$W,0),MATCH(AV$5,APOIO_REDES!$5:$5,0)),0)*$AP1163,0)</f>
        <v>0.0458995306285623</v>
      </c>
      <c r="AW1163" s="153" t="n">
        <f aca="false">IFERROR(IF($N1163="VCA",INDEX(APOIO_REDES!$A:$W,MATCH($C1163&amp;$I1163&amp;$H1163&amp;$N1163&amp;$O1163,APOIO_REDES!$W:$W,0),MATCH(AW$5,APOIO_REDES!$5:$5,0)),0)*$AP1163,0)</f>
        <v>26.2013506487644</v>
      </c>
      <c r="AX1163" s="153" t="n">
        <f aca="false">IFERROR(IF($N1163="VCA",INDEX(APOIO_REDES!$A:$W,MATCH($C1163&amp;$I1163&amp;$H1163&amp;$N1163&amp;$O1163,APOIO_REDES!$W:$W,0),MATCH(AX$5,APOIO_REDES!$5:$5,0)),0)*$AP1163,0)</f>
        <v>3.62619229382889</v>
      </c>
      <c r="AY1163" s="153" t="n">
        <f aca="false">IFERROR(IF($N1163="VCA",INDEX(APOIO_REDES!$A:$W,MATCH($C1163&amp;$I1163&amp;$H1163&amp;$N1163&amp;$O1163,APOIO_REDES!$W:$W,0),MATCH(AY$5,APOIO_REDES!$5:$5,0)),0)*$AP1163,0)</f>
        <v>6.63325235644776</v>
      </c>
      <c r="AZ1163" s="153" t="n">
        <f aca="false">IFERROR(IF($N1163="VCA",INDEX(APOIO_REDES!$A:$W,MATCH($C1163&amp;$I1163&amp;$H1163&amp;$N1163&amp;$O1163,APOIO_REDES!$W:$W,0),MATCH(AZ$5,APOIO_REDES!$5:$5,0)),0)*$AP1163,0)</f>
        <v>0.918022956114364</v>
      </c>
      <c r="BA1163" s="153" t="n">
        <f aca="false">IFERROR(IF(AND($N1163="VCA",$Q1163="LINEAR"),INDEX(APOIO_REDES!$A:$W,MATCH($C1163&amp;$I1163&amp;$H1163&amp;$N1163&amp;$O1163,APOIO_REDES!$W:$W,0),MATCH(BA$5,APOIO_REDES!$5:$5,0)),IF(AND($N1163="MND",$Q1163="EMBOQUE"),INDEX(APOIO_REDES!$A:$W,MATCH($C1163&amp;$I1163&amp;$H1163&amp;$N1163&amp;$O1163,APOIO_REDES!$W:$W,0),MATCH(BA$5,APOIO_REDES!$5:$5,0)),0))*$M1163/10,0)</f>
        <v>2.80962806843114</v>
      </c>
      <c r="BB1163" s="153" t="n">
        <f aca="false">IFERROR(IF($N1163="VCA",INDEX(APOIO_REDES!$A:$W,MATCH($C1163&amp;$I1163&amp;$H1163&amp;$N1163&amp;$O1163,APOIO_REDES!$W:$W,0),MATCH(BB$5,APOIO_REDES!$5:$5,0)),0)*($AI1163+$AQ1163+$AR1163),0)</f>
        <v>14.481899410426</v>
      </c>
      <c r="BC1163" s="153" t="n">
        <f aca="false">IFERROR(IF($N1163="VCA",INDEX(APOIO_REDES!$A:$W,MATCH($C1163&amp;$I1163&amp;$H1163&amp;$N1163&amp;$O1163,APOIO_REDES!$W:$W,0),MATCH(BC$5,APOIO_REDES!$5:$5,0)),0)*($AI1163+$AQ1163+$AR1163),0)</f>
        <v>0.159300589573993</v>
      </c>
      <c r="BD1163" s="153" t="n">
        <f aca="false">IF(AND($N1163="VCA",$AF1163&gt;=1.25,$AF1163&lt;1.5),$M1163*$AF1163*2,0)</f>
        <v>101.7912</v>
      </c>
      <c r="BE1163" s="153" t="n">
        <f aca="false">IF(AND($N1163="VCA",$AF1163&gt;=1.5,$AF1163&lt;3),$M1163*$AF1163*2,0)</f>
        <v>0</v>
      </c>
      <c r="BF1163" s="153" t="n">
        <f aca="false">IF(AND($N1163="VCA",$AF1163&gt;=3),$M1163*$AF1163*2,0)</f>
        <v>0</v>
      </c>
      <c r="BG1163" s="153" t="n">
        <f aca="false">($BB1163+$BC1163)*$AK1163</f>
        <v>42.45948</v>
      </c>
      <c r="BH1163" s="153" t="n">
        <f aca="false">IF(AND($M1163&lt;&gt;"",$N1163="VCA",$Q1163="LINEAR"),($M1163*2)/100,IF(AND($M1163&lt;&gt;"",$N1163="MND",$Q1163="EMBOQUE"),($AN1163*2)/100,0))</f>
        <v>0.6972</v>
      </c>
      <c r="BI1163" s="153" t="n">
        <f aca="false">IF(AND($M1163&lt;&gt;"",$N1163="VCA",$Q1163="LINEAR"),$M1163,IF(AND($M1163&lt;&gt;"",$N1163="MND",$Q1163="EMBOQUE"),$AN1163*2,0))</f>
        <v>34.86</v>
      </c>
      <c r="BJ1163" s="153" t="n">
        <f aca="false">IF(AND($M1163&lt;&gt;"",$N1163="VCA",$Q1163="LINEAR"),($M1163*6.8)/100,IF(AND($M1163&lt;&gt;"",$N1163="MND",$Q1163="EMBOQUE"),($AN1163*2*6.8)/100,0))</f>
        <v>2.37048</v>
      </c>
      <c r="BK1163" s="153" t="n">
        <f aca="false">IF(AND($M1163&lt;&gt;"",$N1163="VCA",$Q1163="LINEAR"),($M1163*2.5)/50,IF(AND($M1163&lt;&gt;"",$N1163="MND",$Q1163="EMBOQUE"),($AN1163*2*2.5)/50,0))</f>
        <v>1.743</v>
      </c>
      <c r="BL1163" s="157" t="str">
        <f aca="false">K1163&amp;J1163</f>
        <v>Zona10REDES</v>
      </c>
      <c r="BM1163" s="152" t="s">
        <v>5703</v>
      </c>
      <c r="BN1163" s="152" t="s">
        <v>1560</v>
      </c>
      <c r="BO1163" s="152" t="s">
        <v>3688</v>
      </c>
      <c r="BP1163" s="152" t="s">
        <v>5909</v>
      </c>
      <c r="BQ1163" s="152" t="s">
        <v>5927</v>
      </c>
      <c r="BR1163" s="152" t="s">
        <v>5953</v>
      </c>
      <c r="BS1163" s="152" t="n">
        <v>203380.016</v>
      </c>
      <c r="BT1163" s="152" t="n">
        <v>8237110.652</v>
      </c>
      <c r="BU1163" s="152" t="n">
        <v>203414.455</v>
      </c>
      <c r="BV1163" s="152" t="n">
        <v>8237107.128</v>
      </c>
      <c r="BW1163" s="152" t="n">
        <v>-15.9275543</v>
      </c>
      <c r="BX1163" s="152" t="n">
        <v>-47.770286</v>
      </c>
      <c r="BY1163" s="152" t="s">
        <v>5909</v>
      </c>
    </row>
    <row r="1164" customFormat="false" ht="13.8" hidden="false" customHeight="false" outlineLevel="0" collapsed="false">
      <c r="A1164" s="149" t="n">
        <f aca="false">IF(C1164&lt;&gt;"",ROW(A1159),"")</f>
        <v>1159</v>
      </c>
      <c r="B1164" s="150" t="str">
        <f aca="false">HYPERLINK("https://www.google.com/maps/dir/-15.917302,-47.760003/-15.9275835,-47.7716172/data=!4m3!4m2!3e0!5i2")</f>
        <v>https://www.google.com/maps/dir/-15.917302,-47.760003/-15.9275835,-47.7716172/data=!4m3!4m2!3e0!5i2</v>
      </c>
      <c r="C1164" s="151" t="s">
        <v>117</v>
      </c>
      <c r="D1164" s="152" t="s">
        <v>112</v>
      </c>
      <c r="E1164" s="152" t="s">
        <v>113</v>
      </c>
      <c r="F1164" s="152" t="s">
        <v>117</v>
      </c>
      <c r="G1164" s="152" t="s">
        <v>114</v>
      </c>
      <c r="H1164" s="152" t="n">
        <v>160</v>
      </c>
      <c r="I1164" s="152" t="s">
        <v>115</v>
      </c>
      <c r="J1164" s="152" t="s">
        <v>6</v>
      </c>
      <c r="K1164" s="152" t="s">
        <v>5700</v>
      </c>
      <c r="L1164" s="152" t="s">
        <v>120</v>
      </c>
      <c r="M1164" s="153" t="n">
        <f aca="false">111.62</f>
        <v>111.62</v>
      </c>
      <c r="N1164" s="152" t="s">
        <v>1548</v>
      </c>
      <c r="O1164" s="152" t="s">
        <v>1549</v>
      </c>
      <c r="P1164" s="152" t="s">
        <v>1550</v>
      </c>
      <c r="Q1164" s="152" t="s">
        <v>1551</v>
      </c>
      <c r="R1164" s="154" t="s">
        <v>5954</v>
      </c>
      <c r="S1164" s="154" t="s">
        <v>1593</v>
      </c>
      <c r="T1164" s="155" t="s">
        <v>3685</v>
      </c>
      <c r="U1164" s="152" t="str">
        <f aca="false">RIGHT(T1164,7)</f>
        <v>012/037</v>
      </c>
      <c r="V1164" s="152" t="s">
        <v>1555</v>
      </c>
      <c r="W1164" s="156" t="n">
        <v>45882</v>
      </c>
      <c r="X1164" s="152" t="s">
        <v>1594</v>
      </c>
      <c r="Y1164" s="152" t="s">
        <v>5121</v>
      </c>
      <c r="Z1164" s="152" t="s">
        <v>1557</v>
      </c>
      <c r="AA1164" s="153" t="n">
        <v>4</v>
      </c>
      <c r="AB1164" s="151" t="s">
        <v>5122</v>
      </c>
      <c r="AC1164" s="151" t="s">
        <v>505</v>
      </c>
      <c r="AD1164" s="151" t="str">
        <f aca="false">CONCATENATE($C1164,$I1164,$H1164,$N1164,$J1164,$K1164)</f>
        <v>TUBO PEADPEAD160VCAREDESZona10</v>
      </c>
      <c r="AE1164" s="153" t="n">
        <f aca="false">IFERROR(INDEX(APOIO_REDES!$A:$W,MATCH($C1164&amp;$I1164&amp;$H1164&amp;$N1164&amp;$O1164,APOIO_REDES!$W:$W,0),MATCH(AE$5,APOIO_REDES!$5:$5,0)),0)</f>
        <v>1.2</v>
      </c>
      <c r="AF1164" s="153" t="n">
        <f aca="false">IFERROR(INDEX(APOIO_REDES!$A:$W,MATCH($C1164&amp;$I1164&amp;$H1164&amp;$N1164&amp;$O1164,APOIO_REDES!$W:$W,0),MATCH(AF$5,APOIO_REDES!$5:$5,0)),0)</f>
        <v>1.46</v>
      </c>
      <c r="AG1164" s="153" t="n">
        <f aca="false">IFERROR(INDEX(APOIO_REDES!$A:$W,MATCH($C1164&amp;$I1164&amp;$H1164&amp;$N1164&amp;$O1164,APOIO_REDES!$W:$W,0),MATCH(AG$5,APOIO_REDES!$5:$5,0)),0)</f>
        <v>0.75</v>
      </c>
      <c r="AH1164" s="153" t="n">
        <f aca="false">IFERROR(INDEX(APOIO_REDES!$A:$W,MATCH($C1164&amp;$I1164&amp;$H1164&amp;$N1164&amp;$O1164,APOIO_REDES!$W:$W,0),MATCH(AH$5,APOIO_REDES!$5:$5,0)),0)</f>
        <v>0.1</v>
      </c>
      <c r="AI1164" s="153" t="n">
        <f aca="false">IFERROR(IF($H1164&lt;&gt;"",(((($H1164/1000)/2)^2)*PI()*$M1164),0),0)</f>
        <v>2.24425326075963</v>
      </c>
      <c r="AJ1164" s="153" t="n">
        <f aca="false">IFERROR(IF(AND($H1164&lt;&gt;"",$I1164="FoFo",OR($N1164="MND",$N1164="VCA"),$Q1164="LINEAR"),0,IF(AND($H1164&lt;&gt;"",$I1164="PEAD",$N1164="VCA",$Q1164="LINEAR"),($H1164/1000)+0.3,IF(AND($H1164&lt;&gt;"",$I1164="PEAD",$N1164="MND",$Q1164="EMBOQUE"),0,IF(AND($H1164&lt;&gt;"",$I1164="PVC",$N1164="VCA",$Q1164="LINEAR"),($H1164/1000)+0.2,IF(AND($H1164&lt;&gt;"",$I1164="PVC",$N1164="MND",$Q1164="EMBOQUE"),0,IF(AND($H1164&lt;&gt;"",$I1164="PEAD",$N1164="VCA",$Q1164="PREDIAL"),0,0)))))),0)</f>
        <v>0.46</v>
      </c>
      <c r="AK1164" s="153" t="n">
        <f aca="false">IF(AA1164&lt;&gt;"",AA1164,0)</f>
        <v>4</v>
      </c>
      <c r="AL1164" s="153" t="n">
        <f aca="false">IF(AND($N1164="MND",$Q1164="EMBOQUE"),$M1164,IF(AND($N1164="VCA",$Q1164="LINEAR"),$M1164,IF(AND($N1164="VCA",$Q1164="PREDIAL"),0,0)))</f>
        <v>111.62</v>
      </c>
      <c r="AM1164" s="153" t="n">
        <f aca="false">IF(AND($N1164="MND",$Q1164="EMBOQUE"),$M1164,IF(AND($N1164="VCA",$Q1164="LINEAR"),$M1164,IF(AND($N1164="VCA",$Q1164="PREDIAL"),0,0)))</f>
        <v>111.62</v>
      </c>
      <c r="AN1164" s="153" t="n">
        <f aca="false">ROUND(IF(AND($N1164="VCA",$M1164&lt;&gt;"",$Q1164="LINEAR"),$M1164/100,IF(AND($N1164="MND",$M1164&gt;100,$Q1164="EMBOQUE"),$M1164/100,0)),0)</f>
        <v>1</v>
      </c>
      <c r="AO1164" s="153" t="n">
        <f aca="false">IF(AND($N1164="MND",$Q1164="EMBOQUE"),$AN1164*2*2,IF(AND($N1164="VCA",$Q1164="LINEAR"),$M1164*2,IF(AND($N1164="VCA",$Q1164="PREDIAL"),0,0)))</f>
        <v>223.24</v>
      </c>
      <c r="AP1164" s="153" t="n">
        <f aca="false">IFERROR($M1164*$AF1164*$AG1164,0)</f>
        <v>122.2239</v>
      </c>
      <c r="AQ1164" s="153" t="n">
        <f aca="false">IFERROR(IF(AND($N1164="VCA",$AH1164&gt;0),$M1164*$AG1164*$AH1164,0),0)</f>
        <v>8.3715</v>
      </c>
      <c r="AR1164" s="153" t="n">
        <f aca="false">IFERROR(IF(AND($N1164="VCA",$AJ1164&gt;0),($M1164*$AG1164*$AJ1164)-$AI1164,0),0)</f>
        <v>36.2646467392404</v>
      </c>
      <c r="AS1164" s="153" t="n">
        <f aca="false">IFERROR(IF(AND($N1164="VCA",$AP1164&gt;0),$AP1164-$AI1164-$AQ1164-$AR1164,0),0)</f>
        <v>75.3435</v>
      </c>
      <c r="AT1164" s="153" t="n">
        <f aca="false">IFERROR(IF($N1164="VCA",INDEX(APOIO_REDES!$A:$W,MATCH($C1164&amp;$I1164&amp;$H1164&amp;$N1164&amp;$O1164,APOIO_REDES!$W:$W,0),MATCH(AT$5,APOIO_REDES!$5:$5,0)),0)*$AP1164,0)</f>
        <v>1.32983220842778</v>
      </c>
      <c r="AU1164" s="153" t="n">
        <f aca="false">IFERROR(IF($N1164="VCA",INDEX(APOIO_REDES!$A:$W,MATCH($C1164&amp;$I1164&amp;$H1164&amp;$N1164&amp;$O1164,APOIO_REDES!$W:$W,0),MATCH(AU$5,APOIO_REDES!$5:$5,0)),0)*$AP1164,0)</f>
        <v>1.0619679852266</v>
      </c>
      <c r="AV1164" s="153" t="n">
        <f aca="false">IFERROR(IF($N1164="VCA",INDEX(APOIO_REDES!$A:$W,MATCH($C1164&amp;$I1164&amp;$H1164&amp;$N1164&amp;$O1164,APOIO_REDES!$W:$W,0),MATCH(AV$5,APOIO_REDES!$5:$5,0)),0)*$AP1164,0)</f>
        <v>0.146968032379808</v>
      </c>
      <c r="AW1164" s="153" t="n">
        <f aca="false">IFERROR(IF($N1164="VCA",INDEX(APOIO_REDES!$A:$W,MATCH($C1164&amp;$I1164&amp;$H1164&amp;$N1164&amp;$O1164,APOIO_REDES!$W:$W,0),MATCH(AW$5,APOIO_REDES!$5:$5,0)),0)*$AP1164,0)</f>
        <v>83.8954319969903</v>
      </c>
      <c r="AX1164" s="153" t="n">
        <f aca="false">IFERROR(IF($N1164="VCA",INDEX(APOIO_REDES!$A:$W,MATCH($C1164&amp;$I1164&amp;$H1164&amp;$N1164&amp;$O1164,APOIO_REDES!$W:$W,0),MATCH(AX$5,APOIO_REDES!$5:$5,0)),0)*$AP1164,0)</f>
        <v>11.6108888077218</v>
      </c>
      <c r="AY1164" s="153" t="n">
        <f aca="false">IFERROR(IF($N1164="VCA",INDEX(APOIO_REDES!$A:$W,MATCH($C1164&amp;$I1164&amp;$H1164&amp;$N1164&amp;$O1164,APOIO_REDES!$W:$W,0),MATCH(AY$5,APOIO_REDES!$5:$5,0)),0)*$AP1164,0)</f>
        <v>21.2393467592283</v>
      </c>
      <c r="AZ1164" s="153" t="n">
        <f aca="false">IFERROR(IF($N1164="VCA",INDEX(APOIO_REDES!$A:$W,MATCH($C1164&amp;$I1164&amp;$H1164&amp;$N1164&amp;$O1164,APOIO_REDES!$W:$W,0),MATCH(AZ$5,APOIO_REDES!$5:$5,0)),0)*$AP1164,0)</f>
        <v>2.9394642100254</v>
      </c>
      <c r="BA1164" s="153" t="n">
        <f aca="false">IFERROR(IF(AND($N1164="VCA",$Q1164="LINEAR"),INDEX(APOIO_REDES!$A:$W,MATCH($C1164&amp;$I1164&amp;$H1164&amp;$N1164&amp;$O1164,APOIO_REDES!$W:$W,0),MATCH(BA$5,APOIO_REDES!$5:$5,0)),IF(AND($N1164="MND",$Q1164="EMBOQUE"),INDEX(APOIO_REDES!$A:$W,MATCH($C1164&amp;$I1164&amp;$H1164&amp;$N1164&amp;$O1164,APOIO_REDES!$W:$W,0),MATCH(BA$5,APOIO_REDES!$5:$5,0)),0))*$M1164/10,0)</f>
        <v>8.99629044745508</v>
      </c>
      <c r="BB1164" s="153" t="n">
        <f aca="false">IFERROR(IF($N1164="VCA",INDEX(APOIO_REDES!$A:$W,MATCH($C1164&amp;$I1164&amp;$H1164&amp;$N1164&amp;$O1164,APOIO_REDES!$W:$W,0),MATCH(BB$5,APOIO_REDES!$5:$5,0)),0)*($AI1164+$AQ1164+$AR1164),0)</f>
        <v>46.3703273721099</v>
      </c>
      <c r="BC1164" s="153" t="n">
        <f aca="false">IFERROR(IF($N1164="VCA",INDEX(APOIO_REDES!$A:$W,MATCH($C1164&amp;$I1164&amp;$H1164&amp;$N1164&amp;$O1164,APOIO_REDES!$W:$W,0),MATCH(BC$5,APOIO_REDES!$5:$5,0)),0)*($AI1164+$AQ1164+$AR1164),0)</f>
        <v>0.510072627890107</v>
      </c>
      <c r="BD1164" s="153" t="n">
        <f aca="false">IF(AND($N1164="VCA",$AF1164&gt;=1.25,$AF1164&lt;1.5),$M1164*$AF1164*2,0)</f>
        <v>325.9304</v>
      </c>
      <c r="BE1164" s="153" t="n">
        <f aca="false">IF(AND($N1164="VCA",$AF1164&gt;=1.5,$AF1164&lt;3),$M1164*$AF1164*2,0)</f>
        <v>0</v>
      </c>
      <c r="BF1164" s="153" t="n">
        <f aca="false">IF(AND($N1164="VCA",$AF1164&gt;=3),$M1164*$AF1164*2,0)</f>
        <v>0</v>
      </c>
      <c r="BG1164" s="153" t="n">
        <f aca="false">($BB1164+$BC1164)*$AK1164</f>
        <v>187.5216</v>
      </c>
      <c r="BH1164" s="153" t="n">
        <f aca="false">IF(AND($M1164&lt;&gt;"",$N1164="VCA",$Q1164="LINEAR"),($M1164*2)/100,IF(AND($M1164&lt;&gt;"",$N1164="MND",$Q1164="EMBOQUE"),($AN1164*2)/100,0))</f>
        <v>2.2324</v>
      </c>
      <c r="BI1164" s="153" t="n">
        <f aca="false">IF(AND($M1164&lt;&gt;"",$N1164="VCA",$Q1164="LINEAR"),$M1164,IF(AND($M1164&lt;&gt;"",$N1164="MND",$Q1164="EMBOQUE"),$AN1164*2,0))</f>
        <v>111.62</v>
      </c>
      <c r="BJ1164" s="153" t="n">
        <f aca="false">IF(AND($M1164&lt;&gt;"",$N1164="VCA",$Q1164="LINEAR"),($M1164*6.8)/100,IF(AND($M1164&lt;&gt;"",$N1164="MND",$Q1164="EMBOQUE"),($AN1164*2*6.8)/100,0))</f>
        <v>7.59016</v>
      </c>
      <c r="BK1164" s="153" t="n">
        <f aca="false">IF(AND($M1164&lt;&gt;"",$N1164="VCA",$Q1164="LINEAR"),($M1164*2.5)/50,IF(AND($M1164&lt;&gt;"",$N1164="MND",$Q1164="EMBOQUE"),($AN1164*2*2.5)/50,0))</f>
        <v>5.581</v>
      </c>
      <c r="BL1164" s="157" t="str">
        <f aca="false">K1164&amp;J1164</f>
        <v>Zona10REDES</v>
      </c>
      <c r="BM1164" s="152" t="s">
        <v>5703</v>
      </c>
      <c r="BN1164" s="152" t="s">
        <v>1560</v>
      </c>
      <c r="BO1164" s="152" t="s">
        <v>3688</v>
      </c>
      <c r="BP1164" s="152" t="s">
        <v>2032</v>
      </c>
      <c r="BQ1164" s="152" t="s">
        <v>2032</v>
      </c>
      <c r="BR1164" s="152" t="s">
        <v>5123</v>
      </c>
      <c r="BS1164" s="152" t="n">
        <v>203206.269</v>
      </c>
      <c r="BT1164" s="152" t="n">
        <v>8237120.704</v>
      </c>
      <c r="BU1164" s="152" t="n">
        <v>203316.544</v>
      </c>
      <c r="BV1164" s="152" t="n">
        <v>8237108.663</v>
      </c>
      <c r="BW1164" s="152" t="n">
        <v>-15.9275403</v>
      </c>
      <c r="BX1164" s="152" t="n">
        <v>-47.7715609</v>
      </c>
      <c r="BY1164" s="152" t="s">
        <v>5130</v>
      </c>
    </row>
    <row r="1165" customFormat="false" ht="13.8" hidden="false" customHeight="false" outlineLevel="0" collapsed="false">
      <c r="A1165" s="149" t="n">
        <f aca="false">IF(C1165&lt;&gt;"",ROW(A1160),"")</f>
        <v>1160</v>
      </c>
      <c r="B1165" s="150" t="str">
        <f aca="false">HYPERLINK("https://www.google.com/maps/dir/-15.917302,-47.760003/-15.9273728,-47.7694340/data=!4m3!4m2!3e0!5i0")</f>
        <v>https://www.google.com/maps/dir/-15.917302,-47.760003/-15.9273728,-47.7694340/data=!4m3!4m2!3e0!5i0</v>
      </c>
      <c r="C1165" s="151" t="s">
        <v>117</v>
      </c>
      <c r="D1165" s="152" t="s">
        <v>112</v>
      </c>
      <c r="E1165" s="152" t="s">
        <v>113</v>
      </c>
      <c r="F1165" s="152" t="s">
        <v>117</v>
      </c>
      <c r="G1165" s="152" t="s">
        <v>782</v>
      </c>
      <c r="H1165" s="152" t="n">
        <v>63</v>
      </c>
      <c r="I1165" s="152" t="s">
        <v>115</v>
      </c>
      <c r="J1165" s="152" t="s">
        <v>6</v>
      </c>
      <c r="K1165" s="152" t="s">
        <v>5700</v>
      </c>
      <c r="L1165" s="152" t="s">
        <v>120</v>
      </c>
      <c r="M1165" s="153" t="n">
        <f aca="false">69.97+0.6</f>
        <v>70.57</v>
      </c>
      <c r="N1165" s="152" t="s">
        <v>1548</v>
      </c>
      <c r="O1165" s="152" t="s">
        <v>1549</v>
      </c>
      <c r="P1165" s="152" t="s">
        <v>1550</v>
      </c>
      <c r="Q1165" s="152" t="s">
        <v>1551</v>
      </c>
      <c r="R1165" s="154" t="s">
        <v>5955</v>
      </c>
      <c r="S1165" s="154" t="s">
        <v>1553</v>
      </c>
      <c r="T1165" s="155" t="s">
        <v>3685</v>
      </c>
      <c r="U1165" s="152" t="str">
        <f aca="false">RIGHT(T1165,7)</f>
        <v>012/037</v>
      </c>
      <c r="V1165" s="152" t="s">
        <v>1555</v>
      </c>
      <c r="W1165" s="156" t="n">
        <v>45882</v>
      </c>
      <c r="X1165" s="152" t="s">
        <v>1594</v>
      </c>
      <c r="Y1165" s="152" t="s">
        <v>5799</v>
      </c>
      <c r="Z1165" s="152" t="s">
        <v>1557</v>
      </c>
      <c r="AA1165" s="153" t="n">
        <v>2.6</v>
      </c>
      <c r="AB1165" s="151" t="s">
        <v>5956</v>
      </c>
      <c r="AC1165" s="151" t="s">
        <v>186</v>
      </c>
      <c r="AD1165" s="151" t="str">
        <f aca="false">CONCATENATE($C1165,$I1165,$H1165,$N1165,$J1165,$K1165)</f>
        <v>TUBO PEADPEAD63VCAREDESZona10</v>
      </c>
      <c r="AE1165" s="153" t="n">
        <f aca="false">IFERROR(INDEX(APOIO_REDES!$A:$W,MATCH($C1165&amp;$I1165&amp;$H1165&amp;$N1165&amp;$O1165,APOIO_REDES!$W:$W,0),MATCH(AE$5,APOIO_REDES!$5:$5,0)),0)</f>
        <v>1.2</v>
      </c>
      <c r="AF1165" s="153" t="n">
        <f aca="false">IFERROR(INDEX(APOIO_REDES!$A:$W,MATCH($C1165&amp;$I1165&amp;$H1165&amp;$N1165&amp;$O1165,APOIO_REDES!$W:$W,0),MATCH(AF$5,APOIO_REDES!$5:$5,0)),0)</f>
        <v>1.363</v>
      </c>
      <c r="AG1165" s="153" t="n">
        <f aca="false">IFERROR(INDEX(APOIO_REDES!$A:$W,MATCH($C1165&amp;$I1165&amp;$H1165&amp;$N1165&amp;$O1165,APOIO_REDES!$W:$W,0),MATCH(AG$5,APOIO_REDES!$5:$5,0)),0)</f>
        <v>0.65</v>
      </c>
      <c r="AH1165" s="153" t="n">
        <f aca="false">IFERROR(INDEX(APOIO_REDES!$A:$W,MATCH($C1165&amp;$I1165&amp;$H1165&amp;$N1165&amp;$O1165,APOIO_REDES!$W:$W,0),MATCH(AH$5,APOIO_REDES!$5:$5,0)),0)</f>
        <v>0.1</v>
      </c>
      <c r="AI1165" s="153" t="n">
        <f aca="false">IFERROR(IF($H1165&lt;&gt;"",(((($H1165/1000)/2)^2)*PI()*$M1165),0),0)</f>
        <v>0.219984001563712</v>
      </c>
      <c r="AJ1165" s="153" t="n">
        <f aca="false">IFERROR(IF(AND($H1165&lt;&gt;"",$I1165="FoFo",OR($N1165="MND",$N1165="VCA"),$Q1165="LINEAR"),0,IF(AND($H1165&lt;&gt;"",$I1165="PEAD",$N1165="VCA",$Q1165="LINEAR"),($H1165/1000)+0.3,IF(AND($H1165&lt;&gt;"",$I1165="PEAD",$N1165="MND",$Q1165="EMBOQUE"),0,IF(AND($H1165&lt;&gt;"",$I1165="PVC",$N1165="VCA",$Q1165="LINEAR"),($H1165/1000)+0.2,IF(AND($H1165&lt;&gt;"",$I1165="PVC",$N1165="MND",$Q1165="EMBOQUE"),0,IF(AND($H1165&lt;&gt;"",$I1165="PEAD",$N1165="VCA",$Q1165="PREDIAL"),0,0)))))),0)</f>
        <v>0.363</v>
      </c>
      <c r="AK1165" s="153" t="n">
        <f aca="false">IF(AA1165&lt;&gt;"",AA1165,0)</f>
        <v>2.6</v>
      </c>
      <c r="AL1165" s="153" t="n">
        <f aca="false">IF(AND($N1165="MND",$Q1165="EMBOQUE"),$M1165,IF(AND($N1165="VCA",$Q1165="LINEAR"),$M1165,IF(AND($N1165="VCA",$Q1165="PREDIAL"),0,0)))</f>
        <v>70.57</v>
      </c>
      <c r="AM1165" s="153" t="n">
        <f aca="false">IF(AND($N1165="MND",$Q1165="EMBOQUE"),$M1165,IF(AND($N1165="VCA",$Q1165="LINEAR"),$M1165,IF(AND($N1165="VCA",$Q1165="PREDIAL"),0,0)))</f>
        <v>70.57</v>
      </c>
      <c r="AN1165" s="153" t="n">
        <f aca="false">ROUND(IF(AND($N1165="VCA",$M1165&lt;&gt;"",$Q1165="LINEAR"),$M1165/100,IF(AND($N1165="MND",$M1165&gt;100,$Q1165="EMBOQUE"),$M1165/100,0)),0)</f>
        <v>1</v>
      </c>
      <c r="AO1165" s="153" t="n">
        <f aca="false">IF(AND($N1165="MND",$Q1165="EMBOQUE"),$AN1165*2*2,IF(AND($N1165="VCA",$Q1165="LINEAR"),$M1165*2,IF(AND($N1165="VCA",$Q1165="PREDIAL"),0,0)))</f>
        <v>141.14</v>
      </c>
      <c r="AP1165" s="153" t="n">
        <f aca="false">IFERROR($M1165*$AF1165*$AG1165,0)</f>
        <v>62.5214915</v>
      </c>
      <c r="AQ1165" s="153" t="n">
        <f aca="false">IFERROR(IF(AND($N1165="VCA",$AH1165&gt;0),$M1165*$AG1165*$AH1165,0),0)</f>
        <v>4.58705</v>
      </c>
      <c r="AR1165" s="153" t="n">
        <f aca="false">IFERROR(IF(AND($N1165="VCA",$AJ1165&gt;0),($M1165*$AG1165*$AJ1165)-$AI1165,0),0)</f>
        <v>16.4310074984363</v>
      </c>
      <c r="AS1165" s="153" t="n">
        <f aca="false">IFERROR(IF(AND($N1165="VCA",$AP1165&gt;0),$AP1165-$AI1165-$AQ1165-$AR1165,0),0)</f>
        <v>41.28345</v>
      </c>
      <c r="AT1165" s="153" t="n">
        <f aca="false">IFERROR(IF($N1165="VCA",INDEX(APOIO_REDES!$A:$W,MATCH($C1165&amp;$I1165&amp;$H1165&amp;$N1165&amp;$O1165,APOIO_REDES!$W:$W,0),MATCH(AT$5,APOIO_REDES!$5:$5,0)),0)*$AP1165,0)</f>
        <v>0.680252332936877</v>
      </c>
      <c r="AU1165" s="153" t="n">
        <f aca="false">IFERROR(IF($N1165="VCA",INDEX(APOIO_REDES!$A:$W,MATCH($C1165&amp;$I1165&amp;$H1165&amp;$N1165&amp;$O1165,APOIO_REDES!$W:$W,0),MATCH(AU$5,APOIO_REDES!$5:$5,0)),0)*$AP1165,0)</f>
        <v>0.543231089513728</v>
      </c>
      <c r="AV1165" s="153" t="n">
        <f aca="false">IFERROR(IF($N1165="VCA",INDEX(APOIO_REDES!$A:$W,MATCH($C1165&amp;$I1165&amp;$H1165&amp;$N1165&amp;$O1165,APOIO_REDES!$W:$W,0),MATCH(AV$5,APOIO_REDES!$5:$5,0)),0)*$AP1165,0)</f>
        <v>0.0751789182574432</v>
      </c>
      <c r="AW1165" s="153" t="n">
        <f aca="false">IFERROR(IF($N1165="VCA",INDEX(APOIO_REDES!$A:$W,MATCH($C1165&amp;$I1165&amp;$H1165&amp;$N1165&amp;$O1165,APOIO_REDES!$W:$W,0),MATCH(AW$5,APOIO_REDES!$5:$5,0)),0)*$AP1165,0)</f>
        <v>42.9152362057557</v>
      </c>
      <c r="AX1165" s="153" t="n">
        <f aca="false">IFERROR(IF($N1165="VCA",INDEX(APOIO_REDES!$A:$W,MATCH($C1165&amp;$I1165&amp;$H1165&amp;$N1165&amp;$O1165,APOIO_REDES!$W:$W,0),MATCH(AX$5,APOIO_REDES!$5:$5,0)),0)*$AP1165,0)</f>
        <v>5.93934644451226</v>
      </c>
      <c r="AY1165" s="153" t="n">
        <f aca="false">IFERROR(IF($N1165="VCA",INDEX(APOIO_REDES!$A:$W,MATCH($C1165&amp;$I1165&amp;$H1165&amp;$N1165&amp;$O1165,APOIO_REDES!$W:$W,0),MATCH(AY$5,APOIO_REDES!$5:$5,0)),0)*$AP1165,0)</f>
        <v>10.8646151683316</v>
      </c>
      <c r="AZ1165" s="153" t="n">
        <f aca="false">IFERROR(IF($N1165="VCA",INDEX(APOIO_REDES!$A:$W,MATCH($C1165&amp;$I1165&amp;$H1165&amp;$N1165&amp;$O1165,APOIO_REDES!$W:$W,0),MATCH(AZ$5,APOIO_REDES!$5:$5,0)),0)*$AP1165,0)</f>
        <v>1.50363134069243</v>
      </c>
      <c r="BA1165" s="153" t="n">
        <f aca="false">IFERROR(IF(AND($N1165="VCA",$Q1165="LINEAR"),INDEX(APOIO_REDES!$A:$W,MATCH($C1165&amp;$I1165&amp;$H1165&amp;$N1165&amp;$O1165,APOIO_REDES!$W:$W,0),MATCH(BA$5,APOIO_REDES!$5:$5,0)),IF(AND($N1165="MND",$Q1165="EMBOQUE"),INDEX(APOIO_REDES!$A:$W,MATCH($C1165&amp;$I1165&amp;$H1165&amp;$N1165&amp;$O1165,APOIO_REDES!$W:$W,0),MATCH(BA$5,APOIO_REDES!$5:$5,0)),0))*$M1165/10,0)</f>
        <v>5.68776399280509</v>
      </c>
      <c r="BB1165" s="153" t="n">
        <f aca="false">IFERROR(IF($N1165="VCA",INDEX(APOIO_REDES!$A:$W,MATCH($C1165&amp;$I1165&amp;$H1165&amp;$N1165&amp;$O1165,APOIO_REDES!$W:$W,0),MATCH(BB$5,APOIO_REDES!$5:$5,0)),0)*($AI1165+$AQ1165+$AR1165),0)</f>
        <v>21.0069653223406</v>
      </c>
      <c r="BC1165" s="153" t="n">
        <f aca="false">IFERROR(IF($N1165="VCA",INDEX(APOIO_REDES!$A:$W,MATCH($C1165&amp;$I1165&amp;$H1165&amp;$N1165&amp;$O1165,APOIO_REDES!$W:$W,0),MATCH(BC$5,APOIO_REDES!$5:$5,0)),0)*($AI1165+$AQ1165+$AR1165),0)</f>
        <v>0.231076177659409</v>
      </c>
      <c r="BD1165" s="153" t="n">
        <f aca="false">IF(AND($N1165="VCA",$AF1165&gt;=1.25,$AF1165&lt;1.5),$M1165*$AF1165*2,0)</f>
        <v>192.37382</v>
      </c>
      <c r="BE1165" s="153" t="n">
        <f aca="false">IF(AND($N1165="VCA",$AF1165&gt;=1.5,$AF1165&lt;3),$M1165*$AF1165*2,0)</f>
        <v>0</v>
      </c>
      <c r="BF1165" s="153" t="n">
        <f aca="false">IF(AND($N1165="VCA",$AF1165&gt;=3),$M1165*$AF1165*2,0)</f>
        <v>0</v>
      </c>
      <c r="BG1165" s="153" t="n">
        <f aca="false">($BB1165+$BC1165)*$AK1165</f>
        <v>55.2189079</v>
      </c>
      <c r="BH1165" s="153" t="n">
        <f aca="false">IF(AND($M1165&lt;&gt;"",$N1165="VCA",$Q1165="LINEAR"),($M1165*2)/100,IF(AND($M1165&lt;&gt;"",$N1165="MND",$Q1165="EMBOQUE"),($AN1165*2)/100,0))</f>
        <v>1.4114</v>
      </c>
      <c r="BI1165" s="153" t="n">
        <f aca="false">IF(AND($M1165&lt;&gt;"",$N1165="VCA",$Q1165="LINEAR"),$M1165,IF(AND($M1165&lt;&gt;"",$N1165="MND",$Q1165="EMBOQUE"),$AN1165*2,0))</f>
        <v>70.57</v>
      </c>
      <c r="BJ1165" s="153" t="n">
        <f aca="false">IF(AND($M1165&lt;&gt;"",$N1165="VCA",$Q1165="LINEAR"),($M1165*6.8)/100,IF(AND($M1165&lt;&gt;"",$N1165="MND",$Q1165="EMBOQUE"),($AN1165*2*6.8)/100,0))</f>
        <v>4.79876</v>
      </c>
      <c r="BK1165" s="153" t="n">
        <f aca="false">IF(AND($M1165&lt;&gt;"",$N1165="VCA",$Q1165="LINEAR"),($M1165*2.5)/50,IF(AND($M1165&lt;&gt;"",$N1165="MND",$Q1165="EMBOQUE"),($AN1165*2*2.5)/50,0))</f>
        <v>3.5285</v>
      </c>
      <c r="BL1165" s="157" t="str">
        <f aca="false">K1165&amp;J1165</f>
        <v>Zona10REDES</v>
      </c>
      <c r="BM1165" s="152" t="s">
        <v>5703</v>
      </c>
      <c r="BN1165" s="152" t="s">
        <v>1560</v>
      </c>
      <c r="BO1165" s="152" t="s">
        <v>3688</v>
      </c>
      <c r="BP1165" s="152" t="s">
        <v>5917</v>
      </c>
      <c r="BQ1165" s="152" t="s">
        <v>5957</v>
      </c>
      <c r="BR1165" s="152" t="s">
        <v>5958</v>
      </c>
      <c r="BS1165" s="152" t="n">
        <v>203488.266</v>
      </c>
      <c r="BT1165" s="152" t="n">
        <v>8237130.706</v>
      </c>
      <c r="BU1165" s="152" t="n">
        <v>203433.245</v>
      </c>
      <c r="BV1165" s="152" t="n">
        <v>8237087.982</v>
      </c>
      <c r="BW1165" s="152" t="n">
        <v>-15.9275762</v>
      </c>
      <c r="BX1165" s="152" t="n">
        <v>-47.7696828</v>
      </c>
      <c r="BY1165" s="152" t="s">
        <v>5917</v>
      </c>
    </row>
    <row r="1166" customFormat="false" ht="13.8" hidden="false" customHeight="false" outlineLevel="0" collapsed="false">
      <c r="A1166" s="149" t="n">
        <f aca="false">IF(C1166&lt;&gt;"",ROW(A1161),"")</f>
        <v>1161</v>
      </c>
      <c r="B1166" s="150" t="str">
        <f aca="false">HYPERLINK("https://www.google.com/maps/dir/-15.917302,-47.760003/-15.9275736,-47.7701232/data=!4m3!4m2!3e0!5i0")</f>
        <v>https://www.google.com/maps/dir/-15.917302,-47.760003/-15.9275736,-47.7701232/data=!4m3!4m2!3e0!5i0</v>
      </c>
      <c r="C1166" s="151" t="s">
        <v>117</v>
      </c>
      <c r="D1166" s="152" t="s">
        <v>112</v>
      </c>
      <c r="E1166" s="152" t="s">
        <v>113</v>
      </c>
      <c r="F1166" s="152" t="s">
        <v>117</v>
      </c>
      <c r="G1166" s="152" t="s">
        <v>114</v>
      </c>
      <c r="H1166" s="152" t="n">
        <v>160</v>
      </c>
      <c r="I1166" s="152" t="s">
        <v>115</v>
      </c>
      <c r="J1166" s="152" t="s">
        <v>6</v>
      </c>
      <c r="K1166" s="152" t="s">
        <v>5700</v>
      </c>
      <c r="L1166" s="152" t="s">
        <v>120</v>
      </c>
      <c r="M1166" s="153" t="n">
        <f aca="false">90.23</f>
        <v>90.23</v>
      </c>
      <c r="N1166" s="152" t="s">
        <v>1548</v>
      </c>
      <c r="O1166" s="152" t="s">
        <v>1549</v>
      </c>
      <c r="P1166" s="152" t="s">
        <v>1550</v>
      </c>
      <c r="Q1166" s="152" t="s">
        <v>1551</v>
      </c>
      <c r="R1166" s="154" t="s">
        <v>5959</v>
      </c>
      <c r="S1166" s="154" t="s">
        <v>1593</v>
      </c>
      <c r="T1166" s="155" t="s">
        <v>3685</v>
      </c>
      <c r="U1166" s="152" t="str">
        <f aca="false">RIGHT(T1166,7)</f>
        <v>012/037</v>
      </c>
      <c r="V1166" s="152" t="s">
        <v>1555</v>
      </c>
      <c r="W1166" s="156" t="n">
        <v>45882</v>
      </c>
      <c r="X1166" s="152" t="s">
        <v>1594</v>
      </c>
      <c r="Y1166" s="152" t="s">
        <v>2400</v>
      </c>
      <c r="Z1166" s="152" t="s">
        <v>1557</v>
      </c>
      <c r="AA1166" s="153" t="n">
        <v>2.9</v>
      </c>
      <c r="AB1166" s="151" t="s">
        <v>5122</v>
      </c>
      <c r="AC1166" s="151" t="s">
        <v>505</v>
      </c>
      <c r="AD1166" s="151" t="str">
        <f aca="false">CONCATENATE($C1166,$I1166,$H1166,$N1166,$J1166,$K1166)</f>
        <v>TUBO PEADPEAD160VCAREDESZona10</v>
      </c>
      <c r="AE1166" s="153" t="n">
        <f aca="false">IFERROR(INDEX(APOIO_REDES!$A:$W,MATCH($C1166&amp;$I1166&amp;$H1166&amp;$N1166&amp;$O1166,APOIO_REDES!$W:$W,0),MATCH(AE$5,APOIO_REDES!$5:$5,0)),0)</f>
        <v>1.2</v>
      </c>
      <c r="AF1166" s="153" t="n">
        <f aca="false">IFERROR(INDEX(APOIO_REDES!$A:$W,MATCH($C1166&amp;$I1166&amp;$H1166&amp;$N1166&amp;$O1166,APOIO_REDES!$W:$W,0),MATCH(AF$5,APOIO_REDES!$5:$5,0)),0)</f>
        <v>1.46</v>
      </c>
      <c r="AG1166" s="153" t="n">
        <f aca="false">IFERROR(INDEX(APOIO_REDES!$A:$W,MATCH($C1166&amp;$I1166&amp;$H1166&amp;$N1166&amp;$O1166,APOIO_REDES!$W:$W,0),MATCH(AG$5,APOIO_REDES!$5:$5,0)),0)</f>
        <v>0.75</v>
      </c>
      <c r="AH1166" s="153" t="n">
        <f aca="false">IFERROR(INDEX(APOIO_REDES!$A:$W,MATCH($C1166&amp;$I1166&amp;$H1166&amp;$N1166&amp;$O1166,APOIO_REDES!$W:$W,0),MATCH(AH$5,APOIO_REDES!$5:$5,0)),0)</f>
        <v>0.1</v>
      </c>
      <c r="AI1166" s="153" t="n">
        <f aca="false">IFERROR(IF($H1166&lt;&gt;"",(((($H1166/1000)/2)^2)*PI()*$M1166),0),0)</f>
        <v>1.81418179285381</v>
      </c>
      <c r="AJ1166" s="153" t="n">
        <f aca="false">IFERROR(IF(AND($H1166&lt;&gt;"",$I1166="FoFo",OR($N1166="MND",$N1166="VCA"),$Q1166="LINEAR"),0,IF(AND($H1166&lt;&gt;"",$I1166="PEAD",$N1166="VCA",$Q1166="LINEAR"),($H1166/1000)+0.3,IF(AND($H1166&lt;&gt;"",$I1166="PEAD",$N1166="MND",$Q1166="EMBOQUE"),0,IF(AND($H1166&lt;&gt;"",$I1166="PVC",$N1166="VCA",$Q1166="LINEAR"),($H1166/1000)+0.2,IF(AND($H1166&lt;&gt;"",$I1166="PVC",$N1166="MND",$Q1166="EMBOQUE"),0,IF(AND($H1166&lt;&gt;"",$I1166="PEAD",$N1166="VCA",$Q1166="PREDIAL"),0,0)))))),0)</f>
        <v>0.46</v>
      </c>
      <c r="AK1166" s="153" t="n">
        <f aca="false">IF(AA1166&lt;&gt;"",AA1166,0)</f>
        <v>2.9</v>
      </c>
      <c r="AL1166" s="153" t="n">
        <f aca="false">IF(AND($N1166="MND",$Q1166="EMBOQUE"),$M1166,IF(AND($N1166="VCA",$Q1166="LINEAR"),$M1166,IF(AND($N1166="VCA",$Q1166="PREDIAL"),0,0)))</f>
        <v>90.23</v>
      </c>
      <c r="AM1166" s="153" t="n">
        <f aca="false">IF(AND($N1166="MND",$Q1166="EMBOQUE"),$M1166,IF(AND($N1166="VCA",$Q1166="LINEAR"),$M1166,IF(AND($N1166="VCA",$Q1166="PREDIAL"),0,0)))</f>
        <v>90.23</v>
      </c>
      <c r="AN1166" s="153" t="n">
        <f aca="false">ROUND(IF(AND($N1166="VCA",$M1166&lt;&gt;"",$Q1166="LINEAR"),$M1166/100,IF(AND($N1166="MND",$M1166&gt;100,$Q1166="EMBOQUE"),$M1166/100,0)),0)</f>
        <v>1</v>
      </c>
      <c r="AO1166" s="153" t="n">
        <f aca="false">IF(AND($N1166="MND",$Q1166="EMBOQUE"),$AN1166*2*2,IF(AND($N1166="VCA",$Q1166="LINEAR"),$M1166*2,IF(AND($N1166="VCA",$Q1166="PREDIAL"),0,0)))</f>
        <v>180.46</v>
      </c>
      <c r="AP1166" s="153" t="n">
        <f aca="false">IFERROR($M1166*$AF1166*$AG1166,0)</f>
        <v>98.80185</v>
      </c>
      <c r="AQ1166" s="153" t="n">
        <f aca="false">IFERROR(IF(AND($N1166="VCA",$AH1166&gt;0),$M1166*$AG1166*$AH1166,0),0)</f>
        <v>6.76725</v>
      </c>
      <c r="AR1166" s="153" t="n">
        <f aca="false">IFERROR(IF(AND($N1166="VCA",$AJ1166&gt;0),($M1166*$AG1166*$AJ1166)-$AI1166,0),0)</f>
        <v>29.3151682071462</v>
      </c>
      <c r="AS1166" s="153" t="n">
        <f aca="false">IFERROR(IF(AND($N1166="VCA",$AP1166&gt;0),$AP1166-$AI1166-$AQ1166-$AR1166,0),0)</f>
        <v>60.90525</v>
      </c>
      <c r="AT1166" s="153" t="n">
        <f aca="false">IFERROR(IF($N1166="VCA",INDEX(APOIO_REDES!$A:$W,MATCH($C1166&amp;$I1166&amp;$H1166&amp;$N1166&amp;$O1166,APOIO_REDES!$W:$W,0),MATCH(AT$5,APOIO_REDES!$5:$5,0)),0)*$AP1166,0)</f>
        <v>1.07499337185485</v>
      </c>
      <c r="AU1166" s="153" t="n">
        <f aca="false">IFERROR(IF($N1166="VCA",INDEX(APOIO_REDES!$A:$W,MATCH($C1166&amp;$I1166&amp;$H1166&amp;$N1166&amp;$O1166,APOIO_REDES!$W:$W,0),MATCH(AU$5,APOIO_REDES!$5:$5,0)),0)*$AP1166,0)</f>
        <v>0.858460592250457</v>
      </c>
      <c r="AV1166" s="153" t="n">
        <f aca="false">IFERROR(IF($N1166="VCA",INDEX(APOIO_REDES!$A:$W,MATCH($C1166&amp;$I1166&amp;$H1166&amp;$N1166&amp;$O1166,APOIO_REDES!$W:$W,0),MATCH(AV$5,APOIO_REDES!$5:$5,0)),0)*$AP1166,0)</f>
        <v>0.118804206787584</v>
      </c>
      <c r="AW1166" s="153" t="n">
        <f aca="false">IFERROR(IF($N1166="VCA",INDEX(APOIO_REDES!$A:$W,MATCH($C1166&amp;$I1166&amp;$H1166&amp;$N1166&amp;$O1166,APOIO_REDES!$W:$W,0),MATCH(AW$5,APOIO_REDES!$5:$5,0)),0)*$AP1166,0)</f>
        <v>67.818355394091</v>
      </c>
      <c r="AX1166" s="153" t="n">
        <f aca="false">IFERROR(IF($N1166="VCA",INDEX(APOIO_REDES!$A:$W,MATCH($C1166&amp;$I1166&amp;$H1166&amp;$N1166&amp;$O1166,APOIO_REDES!$W:$W,0),MATCH(AX$5,APOIO_REDES!$5:$5,0)),0)*$AP1166,0)</f>
        <v>9.38586720230009</v>
      </c>
      <c r="AY1166" s="153" t="n">
        <f aca="false">IFERROR(IF($N1166="VCA",INDEX(APOIO_REDES!$A:$W,MATCH($C1166&amp;$I1166&amp;$H1166&amp;$N1166&amp;$O1166,APOIO_REDES!$W:$W,0),MATCH(AY$5,APOIO_REDES!$5:$5,0)),0)*$AP1166,0)</f>
        <v>17.1692013804441</v>
      </c>
      <c r="AZ1166" s="153" t="n">
        <f aca="false">IFERROR(IF($N1166="VCA",INDEX(APOIO_REDES!$A:$W,MATCH($C1166&amp;$I1166&amp;$H1166&amp;$N1166&amp;$O1166,APOIO_REDES!$W:$W,0),MATCH(AZ$5,APOIO_REDES!$5:$5,0)),0)*$AP1166,0)</f>
        <v>2.37616785227192</v>
      </c>
      <c r="BA1166" s="153" t="n">
        <f aca="false">IFERROR(IF(AND($N1166="VCA",$Q1166="LINEAR"),INDEX(APOIO_REDES!$A:$W,MATCH($C1166&amp;$I1166&amp;$H1166&amp;$N1166&amp;$O1166,APOIO_REDES!$W:$W,0),MATCH(BA$5,APOIO_REDES!$5:$5,0)),IF(AND($N1166="MND",$Q1166="EMBOQUE"),INDEX(APOIO_REDES!$A:$W,MATCH($C1166&amp;$I1166&amp;$H1166&amp;$N1166&amp;$O1166,APOIO_REDES!$W:$W,0),MATCH(BA$5,APOIO_REDES!$5:$5,0)),0))*$M1166/10,0)</f>
        <v>7.27231040202358</v>
      </c>
      <c r="BB1166" s="153" t="n">
        <f aca="false">IFERROR(IF($N1166="VCA",INDEX(APOIO_REDES!$A:$W,MATCH($C1166&amp;$I1166&amp;$H1166&amp;$N1166&amp;$O1166,APOIO_REDES!$W:$W,0),MATCH(BB$5,APOIO_REDES!$5:$5,0)),0)*($AI1166+$AQ1166+$AR1166),0)</f>
        <v>37.484273775179</v>
      </c>
      <c r="BC1166" s="153" t="n">
        <f aca="false">IFERROR(IF($N1166="VCA",INDEX(APOIO_REDES!$A:$W,MATCH($C1166&amp;$I1166&amp;$H1166&amp;$N1166&amp;$O1166,APOIO_REDES!$W:$W,0),MATCH(BC$5,APOIO_REDES!$5:$5,0)),0)*($AI1166+$AQ1166+$AR1166),0)</f>
        <v>0.412326224821039</v>
      </c>
      <c r="BD1166" s="153" t="n">
        <f aca="false">IF(AND($N1166="VCA",$AF1166&gt;=1.25,$AF1166&lt;1.5),$M1166*$AF1166*2,0)</f>
        <v>263.4716</v>
      </c>
      <c r="BE1166" s="153" t="n">
        <f aca="false">IF(AND($N1166="VCA",$AF1166&gt;=1.5,$AF1166&lt;3),$M1166*$AF1166*2,0)</f>
        <v>0</v>
      </c>
      <c r="BF1166" s="153" t="n">
        <f aca="false">IF(AND($N1166="VCA",$AF1166&gt;=3),$M1166*$AF1166*2,0)</f>
        <v>0</v>
      </c>
      <c r="BG1166" s="153" t="n">
        <f aca="false">($BB1166+$BC1166)*$AK1166</f>
        <v>109.90014</v>
      </c>
      <c r="BH1166" s="153" t="n">
        <f aca="false">IF(AND($M1166&lt;&gt;"",$N1166="VCA",$Q1166="LINEAR"),($M1166*2)/100,IF(AND($M1166&lt;&gt;"",$N1166="MND",$Q1166="EMBOQUE"),($AN1166*2)/100,0))</f>
        <v>1.8046</v>
      </c>
      <c r="BI1166" s="153" t="n">
        <f aca="false">IF(AND($M1166&lt;&gt;"",$N1166="VCA",$Q1166="LINEAR"),$M1166,IF(AND($M1166&lt;&gt;"",$N1166="MND",$Q1166="EMBOQUE"),$AN1166*2,0))</f>
        <v>90.23</v>
      </c>
      <c r="BJ1166" s="153" t="n">
        <f aca="false">IF(AND($M1166&lt;&gt;"",$N1166="VCA",$Q1166="LINEAR"),($M1166*6.8)/100,IF(AND($M1166&lt;&gt;"",$N1166="MND",$Q1166="EMBOQUE"),($AN1166*2*6.8)/100,0))</f>
        <v>6.13564</v>
      </c>
      <c r="BK1166" s="153" t="n">
        <f aca="false">IF(AND($M1166&lt;&gt;"",$N1166="VCA",$Q1166="LINEAR"),($M1166*2.5)/50,IF(AND($M1166&lt;&gt;"",$N1166="MND",$Q1166="EMBOQUE"),($AN1166*2*2.5)/50,0))</f>
        <v>4.5115</v>
      </c>
      <c r="BL1166" s="157" t="str">
        <f aca="false">K1166&amp;J1166</f>
        <v>Zona10REDES</v>
      </c>
      <c r="BM1166" s="152" t="s">
        <v>5703</v>
      </c>
      <c r="BN1166" s="152" t="s">
        <v>1560</v>
      </c>
      <c r="BO1166" s="152" t="s">
        <v>3688</v>
      </c>
      <c r="BP1166" s="152" t="s">
        <v>2032</v>
      </c>
      <c r="BQ1166" s="152" t="s">
        <v>2032</v>
      </c>
      <c r="BR1166" s="152" t="s">
        <v>5123</v>
      </c>
      <c r="BS1166" s="152" t="n">
        <v>203358.088</v>
      </c>
      <c r="BT1166" s="152" t="n">
        <v>8237108.166</v>
      </c>
      <c r="BU1166" s="152" t="n">
        <v>203434.988</v>
      </c>
      <c r="BV1166" s="152" t="n">
        <v>8237076.942</v>
      </c>
      <c r="BW1166" s="152" t="n">
        <v>-15.9275906</v>
      </c>
      <c r="BX1166" s="152" t="n">
        <v>-47.7702331</v>
      </c>
      <c r="BY1166" s="152" t="s">
        <v>5927</v>
      </c>
    </row>
    <row r="1167" customFormat="false" ht="13.8" hidden="false" customHeight="false" outlineLevel="0" collapsed="false">
      <c r="A1167" s="149" t="n">
        <f aca="false">IF(C1167&lt;&gt;"",ROW(A1162),"")</f>
        <v>1162</v>
      </c>
      <c r="B1167" s="150" t="str">
        <f aca="false">HYPERLINK("https://www.google.com/maps/dir/-15.917302,-47.760003/-15.9278472,-47.7685773/data=!4m3!4m2!3e0!5i2")</f>
        <v>https://www.google.com/maps/dir/-15.917302,-47.760003/-15.9278472,-47.7685773/data=!4m3!4m2!3e0!5i2</v>
      </c>
      <c r="C1167" s="151" t="s">
        <v>117</v>
      </c>
      <c r="D1167" s="152" t="s">
        <v>112</v>
      </c>
      <c r="E1167" s="152" t="s">
        <v>113</v>
      </c>
      <c r="F1167" s="152" t="s">
        <v>117</v>
      </c>
      <c r="G1167" s="152" t="s">
        <v>782</v>
      </c>
      <c r="H1167" s="152" t="n">
        <v>63</v>
      </c>
      <c r="I1167" s="152" t="s">
        <v>115</v>
      </c>
      <c r="J1167" s="152" t="s">
        <v>6</v>
      </c>
      <c r="K1167" s="152" t="s">
        <v>5700</v>
      </c>
      <c r="L1167" s="152" t="s">
        <v>120</v>
      </c>
      <c r="M1167" s="153" t="n">
        <f aca="false">51.53</f>
        <v>51.53</v>
      </c>
      <c r="N1167" s="152" t="s">
        <v>1548</v>
      </c>
      <c r="O1167" s="152" t="s">
        <v>1549</v>
      </c>
      <c r="P1167" s="152" t="s">
        <v>1550</v>
      </c>
      <c r="Q1167" s="152" t="s">
        <v>1551</v>
      </c>
      <c r="R1167" s="154" t="s">
        <v>5960</v>
      </c>
      <c r="S1167" s="154" t="s">
        <v>1553</v>
      </c>
      <c r="T1167" s="155" t="s">
        <v>3685</v>
      </c>
      <c r="U1167" s="152" t="str">
        <f aca="false">RIGHT(T1167,7)</f>
        <v>012/037</v>
      </c>
      <c r="V1167" s="152" t="s">
        <v>1555</v>
      </c>
      <c r="W1167" s="156" t="n">
        <v>45882</v>
      </c>
      <c r="X1167" s="152" t="s">
        <v>1594</v>
      </c>
      <c r="Y1167" s="152" t="s">
        <v>5146</v>
      </c>
      <c r="Z1167" s="152" t="s">
        <v>1557</v>
      </c>
      <c r="AA1167" s="153" t="n">
        <v>3</v>
      </c>
      <c r="AB1167" s="151" t="s">
        <v>5961</v>
      </c>
      <c r="AC1167" s="151" t="s">
        <v>186</v>
      </c>
      <c r="AD1167" s="151" t="str">
        <f aca="false">CONCATENATE($C1167,$I1167,$H1167,$N1167,$J1167,$K1167)</f>
        <v>TUBO PEADPEAD63VCAREDESZona10</v>
      </c>
      <c r="AE1167" s="153" t="n">
        <f aca="false">IFERROR(INDEX(APOIO_REDES!$A:$W,MATCH($C1167&amp;$I1167&amp;$H1167&amp;$N1167&amp;$O1167,APOIO_REDES!$W:$W,0),MATCH(AE$5,APOIO_REDES!$5:$5,0)),0)</f>
        <v>1.2</v>
      </c>
      <c r="AF1167" s="153" t="n">
        <f aca="false">IFERROR(INDEX(APOIO_REDES!$A:$W,MATCH($C1167&amp;$I1167&amp;$H1167&amp;$N1167&amp;$O1167,APOIO_REDES!$W:$W,0),MATCH(AF$5,APOIO_REDES!$5:$5,0)),0)</f>
        <v>1.363</v>
      </c>
      <c r="AG1167" s="153" t="n">
        <f aca="false">IFERROR(INDEX(APOIO_REDES!$A:$W,MATCH($C1167&amp;$I1167&amp;$H1167&amp;$N1167&amp;$O1167,APOIO_REDES!$W:$W,0),MATCH(AG$5,APOIO_REDES!$5:$5,0)),0)</f>
        <v>0.65</v>
      </c>
      <c r="AH1167" s="153" t="n">
        <f aca="false">IFERROR(INDEX(APOIO_REDES!$A:$W,MATCH($C1167&amp;$I1167&amp;$H1167&amp;$N1167&amp;$O1167,APOIO_REDES!$W:$W,0),MATCH(AH$5,APOIO_REDES!$5:$5,0)),0)</f>
        <v>0.1</v>
      </c>
      <c r="AI1167" s="153" t="n">
        <f aca="false">IFERROR(IF($H1167&lt;&gt;"",(((($H1167/1000)/2)^2)*PI()*$M1167),0),0)</f>
        <v>0.160631650851326</v>
      </c>
      <c r="AJ1167" s="153" t="n">
        <f aca="false">IFERROR(IF(AND($H1167&lt;&gt;"",$I1167="FoFo",OR($N1167="MND",$N1167="VCA"),$Q1167="LINEAR"),0,IF(AND($H1167&lt;&gt;"",$I1167="PEAD",$N1167="VCA",$Q1167="LINEAR"),($H1167/1000)+0.3,IF(AND($H1167&lt;&gt;"",$I1167="PEAD",$N1167="MND",$Q1167="EMBOQUE"),0,IF(AND($H1167&lt;&gt;"",$I1167="PVC",$N1167="VCA",$Q1167="LINEAR"),($H1167/1000)+0.2,IF(AND($H1167&lt;&gt;"",$I1167="PVC",$N1167="MND",$Q1167="EMBOQUE"),0,IF(AND($H1167&lt;&gt;"",$I1167="PEAD",$N1167="VCA",$Q1167="PREDIAL"),0,0)))))),0)</f>
        <v>0.363</v>
      </c>
      <c r="AK1167" s="153" t="n">
        <f aca="false">IF(AA1167&lt;&gt;"",AA1167,0)</f>
        <v>3</v>
      </c>
      <c r="AL1167" s="153" t="n">
        <f aca="false">IF(AND($N1167="MND",$Q1167="EMBOQUE"),$M1167,IF(AND($N1167="VCA",$Q1167="LINEAR"),$M1167,IF(AND($N1167="VCA",$Q1167="PREDIAL"),0,0)))</f>
        <v>51.53</v>
      </c>
      <c r="AM1167" s="153" t="n">
        <f aca="false">IF(AND($N1167="MND",$Q1167="EMBOQUE"),$M1167,IF(AND($N1167="VCA",$Q1167="LINEAR"),$M1167,IF(AND($N1167="VCA",$Q1167="PREDIAL"),0,0)))</f>
        <v>51.53</v>
      </c>
      <c r="AN1167" s="153" t="n">
        <f aca="false">ROUND(IF(AND($N1167="VCA",$M1167&lt;&gt;"",$Q1167="LINEAR"),$M1167/100,IF(AND($N1167="MND",$M1167&gt;100,$Q1167="EMBOQUE"),$M1167/100,0)),0)</f>
        <v>1</v>
      </c>
      <c r="AO1167" s="153" t="n">
        <f aca="false">IF(AND($N1167="MND",$Q1167="EMBOQUE"),$AN1167*2*2,IF(AND($N1167="VCA",$Q1167="LINEAR"),$M1167*2,IF(AND($N1167="VCA",$Q1167="PREDIAL"),0,0)))</f>
        <v>103.06</v>
      </c>
      <c r="AP1167" s="153" t="n">
        <f aca="false">IFERROR($M1167*$AF1167*$AG1167,0)</f>
        <v>45.6530035</v>
      </c>
      <c r="AQ1167" s="153" t="n">
        <f aca="false">IFERROR(IF(AND($N1167="VCA",$AH1167&gt;0),$M1167*$AG1167*$AH1167,0),0)</f>
        <v>3.34945</v>
      </c>
      <c r="AR1167" s="153" t="n">
        <f aca="false">IFERROR(IF(AND($N1167="VCA",$AJ1167&gt;0),($M1167*$AG1167*$AJ1167)-$AI1167,0),0)</f>
        <v>11.9978718491487</v>
      </c>
      <c r="AS1167" s="153" t="n">
        <f aca="false">IFERROR(IF(AND($N1167="VCA",$AP1167&gt;0),$AP1167-$AI1167-$AQ1167-$AR1167,0),0)</f>
        <v>30.14505</v>
      </c>
      <c r="AT1167" s="153" t="n">
        <f aca="false">IFERROR(IF($N1167="VCA",INDEX(APOIO_REDES!$A:$W,MATCH($C1167&amp;$I1167&amp;$H1167&amp;$N1167&amp;$O1167,APOIO_REDES!$W:$W,0),MATCH(AT$5,APOIO_REDES!$5:$5,0)),0)*$AP1167,0)</f>
        <v>0.496718190679287</v>
      </c>
      <c r="AU1167" s="153" t="n">
        <f aca="false">IFERROR(IF($N1167="VCA",INDEX(APOIO_REDES!$A:$W,MATCH($C1167&amp;$I1167&amp;$H1167&amp;$N1167&amp;$O1167,APOIO_REDES!$W:$W,0),MATCH(AU$5,APOIO_REDES!$5:$5,0)),0)*$AP1167,0)</f>
        <v>0.39666569424178</v>
      </c>
      <c r="AV1167" s="153" t="n">
        <f aca="false">IFERROR(IF($N1167="VCA",INDEX(APOIO_REDES!$A:$W,MATCH($C1167&amp;$I1167&amp;$H1167&amp;$N1167&amp;$O1167,APOIO_REDES!$W:$W,0),MATCH(AV$5,APOIO_REDES!$5:$5,0)),0)*$AP1167,0)</f>
        <v>0.0548954181352706</v>
      </c>
      <c r="AW1167" s="153" t="n">
        <f aca="false">IFERROR(IF($N1167="VCA",INDEX(APOIO_REDES!$A:$W,MATCH($C1167&amp;$I1167&amp;$H1167&amp;$N1167&amp;$O1167,APOIO_REDES!$W:$W,0),MATCH(AW$5,APOIO_REDES!$5:$5,0)),0)*$AP1167,0)</f>
        <v>31.3365753391326</v>
      </c>
      <c r="AX1167" s="153" t="n">
        <f aca="false">IFERROR(IF($N1167="VCA",INDEX(APOIO_REDES!$A:$W,MATCH($C1167&amp;$I1167&amp;$H1167&amp;$N1167&amp;$O1167,APOIO_REDES!$W:$W,0),MATCH(AX$5,APOIO_REDES!$5:$5,0)),0)*$AP1167,0)</f>
        <v>4.33689276301143</v>
      </c>
      <c r="AY1167" s="153" t="n">
        <f aca="false">IFERROR(IF($N1167="VCA",INDEX(APOIO_REDES!$A:$W,MATCH($C1167&amp;$I1167&amp;$H1167&amp;$N1167&amp;$O1167,APOIO_REDES!$W:$W,0),MATCH(AY$5,APOIO_REDES!$5:$5,0)),0)*$AP1167,0)</f>
        <v>7.93330904951294</v>
      </c>
      <c r="AZ1167" s="153" t="n">
        <f aca="false">IFERROR(IF($N1167="VCA",INDEX(APOIO_REDES!$A:$W,MATCH($C1167&amp;$I1167&amp;$H1167&amp;$N1167&amp;$O1167,APOIO_REDES!$W:$W,0),MATCH(AZ$5,APOIO_REDES!$5:$5,0)),0)*$AP1167,0)</f>
        <v>1.09794704528668</v>
      </c>
      <c r="BA1167" s="153" t="n">
        <f aca="false">IFERROR(IF(AND($N1167="VCA",$Q1167="LINEAR"),INDEX(APOIO_REDES!$A:$W,MATCH($C1167&amp;$I1167&amp;$H1167&amp;$N1167&amp;$O1167,APOIO_REDES!$W:$W,0),MATCH(BA$5,APOIO_REDES!$5:$5,0)),IF(AND($N1167="MND",$Q1167="EMBOQUE"),INDEX(APOIO_REDES!$A:$W,MATCH($C1167&amp;$I1167&amp;$H1167&amp;$N1167&amp;$O1167,APOIO_REDES!$W:$W,0),MATCH(BA$5,APOIO_REDES!$5:$5,0)),0))*$M1167/10,0)</f>
        <v>4.15318801968608</v>
      </c>
      <c r="BB1167" s="153" t="n">
        <f aca="false">IFERROR(IF($N1167="VCA",INDEX(APOIO_REDES!$A:$W,MATCH($C1167&amp;$I1167&amp;$H1167&amp;$N1167&amp;$O1167,APOIO_REDES!$W:$W,0),MATCH(BB$5,APOIO_REDES!$5:$5,0)),0)*($AI1167+$AQ1167+$AR1167),0)</f>
        <v>15.3392223758001</v>
      </c>
      <c r="BC1167" s="153" t="n">
        <f aca="false">IFERROR(IF($N1167="VCA",INDEX(APOIO_REDES!$A:$W,MATCH($C1167&amp;$I1167&amp;$H1167&amp;$N1167&amp;$O1167,APOIO_REDES!$W:$W,0),MATCH(BC$5,APOIO_REDES!$5:$5,0)),0)*($AI1167+$AQ1167+$AR1167),0)</f>
        <v>0.168731124199934</v>
      </c>
      <c r="BD1167" s="153" t="n">
        <f aca="false">IF(AND($N1167="VCA",$AF1167&gt;=1.25,$AF1167&lt;1.5),$M1167*$AF1167*2,0)</f>
        <v>140.47078</v>
      </c>
      <c r="BE1167" s="153" t="n">
        <f aca="false">IF(AND($N1167="VCA",$AF1167&gt;=1.5,$AF1167&lt;3),$M1167*$AF1167*2,0)</f>
        <v>0</v>
      </c>
      <c r="BF1167" s="153" t="n">
        <f aca="false">IF(AND($N1167="VCA",$AF1167&gt;=3),$M1167*$AF1167*2,0)</f>
        <v>0</v>
      </c>
      <c r="BG1167" s="153" t="n">
        <f aca="false">($BB1167+$BC1167)*$AK1167</f>
        <v>46.5238605</v>
      </c>
      <c r="BH1167" s="153" t="n">
        <f aca="false">IF(AND($M1167&lt;&gt;"",$N1167="VCA",$Q1167="LINEAR"),($M1167*2)/100,IF(AND($M1167&lt;&gt;"",$N1167="MND",$Q1167="EMBOQUE"),($AN1167*2)/100,0))</f>
        <v>1.0306</v>
      </c>
      <c r="BI1167" s="153" t="n">
        <f aca="false">IF(AND($M1167&lt;&gt;"",$N1167="VCA",$Q1167="LINEAR"),$M1167,IF(AND($M1167&lt;&gt;"",$N1167="MND",$Q1167="EMBOQUE"),$AN1167*2,0))</f>
        <v>51.53</v>
      </c>
      <c r="BJ1167" s="153" t="n">
        <f aca="false">IF(AND($M1167&lt;&gt;"",$N1167="VCA",$Q1167="LINEAR"),($M1167*6.8)/100,IF(AND($M1167&lt;&gt;"",$N1167="MND",$Q1167="EMBOQUE"),($AN1167*2*6.8)/100,0))</f>
        <v>3.50404</v>
      </c>
      <c r="BK1167" s="153" t="n">
        <f aca="false">IF(AND($M1167&lt;&gt;"",$N1167="VCA",$Q1167="LINEAR"),($M1167*2.5)/50,IF(AND($M1167&lt;&gt;"",$N1167="MND",$Q1167="EMBOQUE"),($AN1167*2*2.5)/50,0))</f>
        <v>2.5765</v>
      </c>
      <c r="BL1167" s="157" t="str">
        <f aca="false">K1167&amp;J1167</f>
        <v>Zona10REDES</v>
      </c>
      <c r="BM1167" s="152" t="s">
        <v>5703</v>
      </c>
      <c r="BN1167" s="152" t="s">
        <v>1560</v>
      </c>
      <c r="BO1167" s="152" t="s">
        <v>3688</v>
      </c>
      <c r="BP1167" s="152" t="s">
        <v>5962</v>
      </c>
      <c r="BQ1167" s="152" t="s">
        <v>5904</v>
      </c>
      <c r="BR1167" s="152" t="s">
        <v>5963</v>
      </c>
      <c r="BS1167" s="152" t="n">
        <v>203580.85</v>
      </c>
      <c r="BT1167" s="152" t="n">
        <v>8237079.3</v>
      </c>
      <c r="BU1167" s="152" t="n">
        <v>203565.082</v>
      </c>
      <c r="BV1167" s="152" t="n">
        <v>8237128.344</v>
      </c>
      <c r="BW1167" s="152" t="n">
        <v>-15.9276252</v>
      </c>
      <c r="BX1167" s="152" t="n">
        <v>-47.7686489</v>
      </c>
      <c r="BY1167" s="152" t="s">
        <v>5962</v>
      </c>
    </row>
    <row r="1168" customFormat="false" ht="13.8" hidden="false" customHeight="false" outlineLevel="0" collapsed="false">
      <c r="A1168" s="149" t="n">
        <f aca="false">IF(C1168&lt;&gt;"",ROW(A1163),"")</f>
        <v>1163</v>
      </c>
      <c r="B1168" s="150" t="str">
        <f aca="false">HYPERLINK("https://www.google.com/maps/dir/-15.917302,-47.760003/-15.9275736,-47.7701232/data=!4m3!4m2!3e0!5i0")</f>
        <v>https://www.google.com/maps/dir/-15.917302,-47.760003/-15.9275736,-47.7701232/data=!4m3!4m2!3e0!5i0</v>
      </c>
      <c r="C1168" s="151" t="s">
        <v>117</v>
      </c>
      <c r="D1168" s="152" t="s">
        <v>112</v>
      </c>
      <c r="E1168" s="152" t="s">
        <v>113</v>
      </c>
      <c r="F1168" s="152" t="s">
        <v>117</v>
      </c>
      <c r="G1168" s="152" t="s">
        <v>114</v>
      </c>
      <c r="H1168" s="152" t="n">
        <v>160</v>
      </c>
      <c r="I1168" s="152" t="s">
        <v>115</v>
      </c>
      <c r="J1168" s="152" t="s">
        <v>6</v>
      </c>
      <c r="K1168" s="152" t="s">
        <v>5700</v>
      </c>
      <c r="L1168" s="152" t="s">
        <v>120</v>
      </c>
      <c r="M1168" s="153" t="n">
        <f aca="false">26.78</f>
        <v>26.78</v>
      </c>
      <c r="N1168" s="152" t="s">
        <v>1548</v>
      </c>
      <c r="O1168" s="152" t="s">
        <v>1549</v>
      </c>
      <c r="P1168" s="152" t="s">
        <v>1550</v>
      </c>
      <c r="Q1168" s="152" t="s">
        <v>1551</v>
      </c>
      <c r="R1168" s="154" t="s">
        <v>5964</v>
      </c>
      <c r="S1168" s="154" t="s">
        <v>1593</v>
      </c>
      <c r="T1168" s="155" t="s">
        <v>3685</v>
      </c>
      <c r="U1168" s="152" t="str">
        <f aca="false">RIGHT(T1168,7)</f>
        <v>012/037</v>
      </c>
      <c r="V1168" s="152" t="s">
        <v>1555</v>
      </c>
      <c r="W1168" s="156" t="n">
        <v>45882</v>
      </c>
      <c r="X1168" s="152" t="s">
        <v>1594</v>
      </c>
      <c r="Y1168" s="152" t="s">
        <v>2400</v>
      </c>
      <c r="Z1168" s="152" t="s">
        <v>1557</v>
      </c>
      <c r="AA1168" s="153" t="n">
        <v>2.9</v>
      </c>
      <c r="AB1168" s="151" t="s">
        <v>5965</v>
      </c>
      <c r="AC1168" s="151" t="s">
        <v>505</v>
      </c>
      <c r="AD1168" s="151" t="str">
        <f aca="false">CONCATENATE($C1168,$I1168,$H1168,$N1168,$J1168,$K1168)</f>
        <v>TUBO PEADPEAD160VCAREDESZona10</v>
      </c>
      <c r="AE1168" s="153" t="n">
        <f aca="false">IFERROR(INDEX(APOIO_REDES!$A:$W,MATCH($C1168&amp;$I1168&amp;$H1168&amp;$N1168&amp;$O1168,APOIO_REDES!$W:$W,0),MATCH(AE$5,APOIO_REDES!$5:$5,0)),0)</f>
        <v>1.2</v>
      </c>
      <c r="AF1168" s="153" t="n">
        <f aca="false">IFERROR(INDEX(APOIO_REDES!$A:$W,MATCH($C1168&amp;$I1168&amp;$H1168&amp;$N1168&amp;$O1168,APOIO_REDES!$W:$W,0),MATCH(AF$5,APOIO_REDES!$5:$5,0)),0)</f>
        <v>1.46</v>
      </c>
      <c r="AG1168" s="153" t="n">
        <f aca="false">IFERROR(INDEX(APOIO_REDES!$A:$W,MATCH($C1168&amp;$I1168&amp;$H1168&amp;$N1168&amp;$O1168,APOIO_REDES!$W:$W,0),MATCH(AG$5,APOIO_REDES!$5:$5,0)),0)</f>
        <v>0.75</v>
      </c>
      <c r="AH1168" s="153" t="n">
        <f aca="false">IFERROR(INDEX(APOIO_REDES!$A:$W,MATCH($C1168&amp;$I1168&amp;$H1168&amp;$N1168&amp;$O1168,APOIO_REDES!$W:$W,0),MATCH(AH$5,APOIO_REDES!$5:$5,0)),0)</f>
        <v>0.1</v>
      </c>
      <c r="AI1168" s="153" t="n">
        <f aca="false">IFERROR(IF($H1168&lt;&gt;"",(((($H1168/1000)/2)^2)*PI()*$M1168),0),0)</f>
        <v>0.538443848084062</v>
      </c>
      <c r="AJ1168" s="153" t="n">
        <f aca="false">IFERROR(IF(AND($H1168&lt;&gt;"",$I1168="FoFo",OR($N1168="MND",$N1168="VCA"),$Q1168="LINEAR"),0,IF(AND($H1168&lt;&gt;"",$I1168="PEAD",$N1168="VCA",$Q1168="LINEAR"),($H1168/1000)+0.3,IF(AND($H1168&lt;&gt;"",$I1168="PEAD",$N1168="MND",$Q1168="EMBOQUE"),0,IF(AND($H1168&lt;&gt;"",$I1168="PVC",$N1168="VCA",$Q1168="LINEAR"),($H1168/1000)+0.2,IF(AND($H1168&lt;&gt;"",$I1168="PVC",$N1168="MND",$Q1168="EMBOQUE"),0,IF(AND($H1168&lt;&gt;"",$I1168="PEAD",$N1168="VCA",$Q1168="PREDIAL"),0,0)))))),0)</f>
        <v>0.46</v>
      </c>
      <c r="AK1168" s="153" t="n">
        <f aca="false">IF(AA1168&lt;&gt;"",AA1168,0)</f>
        <v>2.9</v>
      </c>
      <c r="AL1168" s="153" t="n">
        <f aca="false">IF(AND($N1168="MND",$Q1168="EMBOQUE"),$M1168,IF(AND($N1168="VCA",$Q1168="LINEAR"),$M1168,IF(AND($N1168="VCA",$Q1168="PREDIAL"),0,0)))</f>
        <v>26.78</v>
      </c>
      <c r="AM1168" s="153" t="n">
        <f aca="false">IF(AND($N1168="MND",$Q1168="EMBOQUE"),$M1168,IF(AND($N1168="VCA",$Q1168="LINEAR"),$M1168,IF(AND($N1168="VCA",$Q1168="PREDIAL"),0,0)))</f>
        <v>26.78</v>
      </c>
      <c r="AN1168" s="153" t="n">
        <f aca="false">ROUND(IF(AND($N1168="VCA",$M1168&lt;&gt;"",$Q1168="LINEAR"),$M1168/100,IF(AND($N1168="MND",$M1168&gt;100,$Q1168="EMBOQUE"),$M1168/100,0)),0)</f>
        <v>0</v>
      </c>
      <c r="AO1168" s="153" t="n">
        <f aca="false">IF(AND($N1168="MND",$Q1168="EMBOQUE"),$AN1168*2*2,IF(AND($N1168="VCA",$Q1168="LINEAR"),$M1168*2,IF(AND($N1168="VCA",$Q1168="PREDIAL"),0,0)))</f>
        <v>53.56</v>
      </c>
      <c r="AP1168" s="153" t="n">
        <f aca="false">IFERROR($M1168*$AF1168*$AG1168,0)</f>
        <v>29.3241</v>
      </c>
      <c r="AQ1168" s="153" t="n">
        <f aca="false">IFERROR(IF(AND($N1168="VCA",$AH1168&gt;0),$M1168*$AG1168*$AH1168,0),0)</f>
        <v>2.0085</v>
      </c>
      <c r="AR1168" s="153" t="n">
        <f aca="false">IFERROR(IF(AND($N1168="VCA",$AJ1168&gt;0),($M1168*$AG1168*$AJ1168)-$AI1168,0),0)</f>
        <v>8.70065615191594</v>
      </c>
      <c r="AS1168" s="153" t="n">
        <f aca="false">IFERROR(IF(AND($N1168="VCA",$AP1168&gt;0),$AP1168-$AI1168-$AQ1168-$AR1168,0),0)</f>
        <v>18.0765</v>
      </c>
      <c r="AT1168" s="153" t="n">
        <f aca="false">IFERROR(IF($N1168="VCA",INDEX(APOIO_REDES!$A:$W,MATCH($C1168&amp;$I1168&amp;$H1168&amp;$N1168&amp;$O1168,APOIO_REDES!$W:$W,0),MATCH(AT$5,APOIO_REDES!$5:$5,0)),0)*$AP1168,0)</f>
        <v>0.319054887490556</v>
      </c>
      <c r="AU1168" s="153" t="n">
        <f aca="false">IFERROR(IF($N1168="VCA",INDEX(APOIO_REDES!$A:$W,MATCH($C1168&amp;$I1168&amp;$H1168&amp;$N1168&amp;$O1168,APOIO_REDES!$W:$W,0),MATCH(AU$5,APOIO_REDES!$5:$5,0)),0)*$AP1168,0)</f>
        <v>0.254788592047736</v>
      </c>
      <c r="AV1168" s="153" t="n">
        <f aca="false">IFERROR(IF($N1168="VCA",INDEX(APOIO_REDES!$A:$W,MATCH($C1168&amp;$I1168&amp;$H1168&amp;$N1168&amp;$O1168,APOIO_REDES!$W:$W,0),MATCH(AV$5,APOIO_REDES!$5:$5,0)),0)*$AP1168,0)</f>
        <v>0.0352607409705363</v>
      </c>
      <c r="AW1168" s="153" t="n">
        <f aca="false">IFERROR(IF($N1168="VCA",INDEX(APOIO_REDES!$A:$W,MATCH($C1168&amp;$I1168&amp;$H1168&amp;$N1168&amp;$O1168,APOIO_REDES!$W:$W,0),MATCH(AW$5,APOIO_REDES!$5:$5,0)),0)*$AP1168,0)</f>
        <v>20.1282894542143</v>
      </c>
      <c r="AX1168" s="153" t="n">
        <f aca="false">IFERROR(IF($N1168="VCA",INDEX(APOIO_REDES!$A:$W,MATCH($C1168&amp;$I1168&amp;$H1168&amp;$N1168&amp;$O1168,APOIO_REDES!$W:$W,0),MATCH(AX$5,APOIO_REDES!$5:$5,0)),0)*$AP1168,0)</f>
        <v>2.78569792394543</v>
      </c>
      <c r="AY1168" s="153" t="n">
        <f aca="false">IFERROR(IF($N1168="VCA",INDEX(APOIO_REDES!$A:$W,MATCH($C1168&amp;$I1168&amp;$H1168&amp;$N1168&amp;$O1168,APOIO_REDES!$W:$W,0),MATCH(AY$5,APOIO_REDES!$5:$5,0)),0)*$AP1168,0)</f>
        <v>5.09576873510244</v>
      </c>
      <c r="AZ1168" s="153" t="n">
        <f aca="false">IFERROR(IF($N1168="VCA",INDEX(APOIO_REDES!$A:$W,MATCH($C1168&amp;$I1168&amp;$H1168&amp;$N1168&amp;$O1168,APOIO_REDES!$W:$W,0),MATCH(AZ$5,APOIO_REDES!$5:$5,0)),0)*$AP1168,0)</f>
        <v>0.705239666228992</v>
      </c>
      <c r="BA1168" s="153" t="n">
        <f aca="false">IFERROR(IF(AND($N1168="VCA",$Q1168="LINEAR"),INDEX(APOIO_REDES!$A:$W,MATCH($C1168&amp;$I1168&amp;$H1168&amp;$N1168&amp;$O1168,APOIO_REDES!$W:$W,0),MATCH(BA$5,APOIO_REDES!$5:$5,0)),IF(AND($N1168="MND",$Q1168="EMBOQUE"),INDEX(APOIO_REDES!$A:$W,MATCH($C1168&amp;$I1168&amp;$H1168&amp;$N1168&amp;$O1168,APOIO_REDES!$W:$W,0),MATCH(BA$5,APOIO_REDES!$5:$5,0)),0))*$M1168/10,0)</f>
        <v>2.15840044958652</v>
      </c>
      <c r="BB1168" s="153" t="n">
        <f aca="false">IFERROR(IF($N1168="VCA",INDEX(APOIO_REDES!$A:$W,MATCH($C1168&amp;$I1168&amp;$H1168&amp;$N1168&amp;$O1168,APOIO_REDES!$W:$W,0),MATCH(BB$5,APOIO_REDES!$5:$5,0)),0)*($AI1168+$AQ1168+$AR1168),0)</f>
        <v>11.1252227828803</v>
      </c>
      <c r="BC1168" s="153" t="n">
        <f aca="false">IFERROR(IF($N1168="VCA",INDEX(APOIO_REDES!$A:$W,MATCH($C1168&amp;$I1168&amp;$H1168&amp;$N1168&amp;$O1168,APOIO_REDES!$W:$W,0),MATCH(BC$5,APOIO_REDES!$5:$5,0)),0)*($AI1168+$AQ1168+$AR1168),0)</f>
        <v>0.122377217119665</v>
      </c>
      <c r="BD1168" s="153" t="n">
        <f aca="false">IF(AND($N1168="VCA",$AF1168&gt;=1.25,$AF1168&lt;1.5),$M1168*$AF1168*2,0)</f>
        <v>78.1976</v>
      </c>
      <c r="BE1168" s="153" t="n">
        <f aca="false">IF(AND($N1168="VCA",$AF1168&gt;=1.5,$AF1168&lt;3),$M1168*$AF1168*2,0)</f>
        <v>0</v>
      </c>
      <c r="BF1168" s="153" t="n">
        <f aca="false">IF(AND($N1168="VCA",$AF1168&gt;=3),$M1168*$AF1168*2,0)</f>
        <v>0</v>
      </c>
      <c r="BG1168" s="153" t="n">
        <f aca="false">($BB1168+$BC1168)*$AK1168</f>
        <v>32.61804</v>
      </c>
      <c r="BH1168" s="153" t="n">
        <f aca="false">IF(AND($M1168&lt;&gt;"",$N1168="VCA",$Q1168="LINEAR"),($M1168*2)/100,IF(AND($M1168&lt;&gt;"",$N1168="MND",$Q1168="EMBOQUE"),($AN1168*2)/100,0))</f>
        <v>0.5356</v>
      </c>
      <c r="BI1168" s="153" t="n">
        <f aca="false">IF(AND($M1168&lt;&gt;"",$N1168="VCA",$Q1168="LINEAR"),$M1168,IF(AND($M1168&lt;&gt;"",$N1168="MND",$Q1168="EMBOQUE"),$AN1168*2,0))</f>
        <v>26.78</v>
      </c>
      <c r="BJ1168" s="153" t="n">
        <f aca="false">IF(AND($M1168&lt;&gt;"",$N1168="VCA",$Q1168="LINEAR"),($M1168*6.8)/100,IF(AND($M1168&lt;&gt;"",$N1168="MND",$Q1168="EMBOQUE"),($AN1168*2*6.8)/100,0))</f>
        <v>1.82104</v>
      </c>
      <c r="BK1168" s="153" t="n">
        <f aca="false">IF(AND($M1168&lt;&gt;"",$N1168="VCA",$Q1168="LINEAR"),($M1168*2.5)/50,IF(AND($M1168&lt;&gt;"",$N1168="MND",$Q1168="EMBOQUE"),($AN1168*2*2.5)/50,0))</f>
        <v>1.339</v>
      </c>
      <c r="BL1168" s="157" t="str">
        <f aca="false">K1168&amp;J1168</f>
        <v>Zona10REDES</v>
      </c>
      <c r="BM1168" s="152" t="s">
        <v>5703</v>
      </c>
      <c r="BN1168" s="152" t="s">
        <v>1560</v>
      </c>
      <c r="BO1168" s="152" t="s">
        <v>3688</v>
      </c>
      <c r="BP1168" s="152" t="s">
        <v>5927</v>
      </c>
      <c r="BQ1168" s="152" t="s">
        <v>5957</v>
      </c>
      <c r="BR1168" s="152" t="s">
        <v>5966</v>
      </c>
      <c r="BS1168" s="152" t="n">
        <v>203414.524</v>
      </c>
      <c r="BT1168" s="152" t="n">
        <v>8237107.066</v>
      </c>
      <c r="BU1168" s="152" t="n">
        <v>203432.862</v>
      </c>
      <c r="BV1168" s="152" t="n">
        <v>8237087.798</v>
      </c>
      <c r="BW1168" s="152" t="n">
        <v>-15.9276575</v>
      </c>
      <c r="BX1168" s="152" t="n">
        <v>-47.7700332</v>
      </c>
      <c r="BY1168" s="152" t="s">
        <v>5927</v>
      </c>
    </row>
    <row r="1169" customFormat="false" ht="13.8" hidden="false" customHeight="false" outlineLevel="0" collapsed="false">
      <c r="A1169" s="149" t="n">
        <f aca="false">IF(C1169&lt;&gt;"",ROW(A1164),"")</f>
        <v>1164</v>
      </c>
      <c r="B1169" s="150" t="str">
        <f aca="false">HYPERLINK("https://www.google.com/maps/dir/-15.917302,-47.760003/-15.9281453,-47.7697162/data=!4m3!4m2!3e0!5i0")</f>
        <v>https://www.google.com/maps/dir/-15.917302,-47.760003/-15.9281453,-47.7697162/data=!4m3!4m2!3e0!5i0</v>
      </c>
      <c r="C1169" s="151" t="s">
        <v>117</v>
      </c>
      <c r="D1169" s="152" t="s">
        <v>112</v>
      </c>
      <c r="E1169" s="152" t="s">
        <v>113</v>
      </c>
      <c r="F1169" s="152" t="s">
        <v>117</v>
      </c>
      <c r="G1169" s="152" t="s">
        <v>782</v>
      </c>
      <c r="H1169" s="152" t="n">
        <v>63</v>
      </c>
      <c r="I1169" s="152" t="s">
        <v>115</v>
      </c>
      <c r="J1169" s="152" t="s">
        <v>6</v>
      </c>
      <c r="K1169" s="152" t="s">
        <v>5700</v>
      </c>
      <c r="L1169" s="152" t="s">
        <v>120</v>
      </c>
      <c r="M1169" s="153" t="n">
        <f aca="false">108.75+0.47</f>
        <v>109.22</v>
      </c>
      <c r="N1169" s="152" t="s">
        <v>1548</v>
      </c>
      <c r="O1169" s="152" t="s">
        <v>1549</v>
      </c>
      <c r="P1169" s="152" t="s">
        <v>1550</v>
      </c>
      <c r="Q1169" s="152" t="s">
        <v>1551</v>
      </c>
      <c r="R1169" s="154" t="s">
        <v>5967</v>
      </c>
      <c r="S1169" s="154" t="s">
        <v>1553</v>
      </c>
      <c r="T1169" s="155" t="s">
        <v>3685</v>
      </c>
      <c r="U1169" s="152" t="str">
        <f aca="false">RIGHT(T1169,7)</f>
        <v>012/037</v>
      </c>
      <c r="V1169" s="152" t="s">
        <v>1555</v>
      </c>
      <c r="W1169" s="156" t="n">
        <v>45882</v>
      </c>
      <c r="X1169" s="152" t="s">
        <v>1594</v>
      </c>
      <c r="Y1169" s="152" t="s">
        <v>5146</v>
      </c>
      <c r="Z1169" s="152" t="s">
        <v>1557</v>
      </c>
      <c r="AA1169" s="153" t="n">
        <v>2.6</v>
      </c>
      <c r="AB1169" s="151" t="s">
        <v>5968</v>
      </c>
      <c r="AC1169" s="151" t="s">
        <v>186</v>
      </c>
      <c r="AD1169" s="151" t="str">
        <f aca="false">CONCATENATE($C1169,$I1169,$H1169,$N1169,$J1169,$K1169)</f>
        <v>TUBO PEADPEAD63VCAREDESZona10</v>
      </c>
      <c r="AE1169" s="153" t="n">
        <f aca="false">IFERROR(INDEX(APOIO_REDES!$A:$W,MATCH($C1169&amp;$I1169&amp;$H1169&amp;$N1169&amp;$O1169,APOIO_REDES!$W:$W,0),MATCH(AE$5,APOIO_REDES!$5:$5,0)),0)</f>
        <v>1.2</v>
      </c>
      <c r="AF1169" s="153" t="n">
        <f aca="false">IFERROR(INDEX(APOIO_REDES!$A:$W,MATCH($C1169&amp;$I1169&amp;$H1169&amp;$N1169&amp;$O1169,APOIO_REDES!$W:$W,0),MATCH(AF$5,APOIO_REDES!$5:$5,0)),0)</f>
        <v>1.363</v>
      </c>
      <c r="AG1169" s="153" t="n">
        <f aca="false">IFERROR(INDEX(APOIO_REDES!$A:$W,MATCH($C1169&amp;$I1169&amp;$H1169&amp;$N1169&amp;$O1169,APOIO_REDES!$W:$W,0),MATCH(AG$5,APOIO_REDES!$5:$5,0)),0)</f>
        <v>0.65</v>
      </c>
      <c r="AH1169" s="153" t="n">
        <f aca="false">IFERROR(INDEX(APOIO_REDES!$A:$W,MATCH($C1169&amp;$I1169&amp;$H1169&amp;$N1169&amp;$O1169,APOIO_REDES!$W:$W,0),MATCH(AH$5,APOIO_REDES!$5:$5,0)),0)</f>
        <v>0.1</v>
      </c>
      <c r="AI1169" s="153" t="n">
        <f aca="false">IFERROR(IF($H1169&lt;&gt;"",(((($H1169/1000)/2)^2)*PI()*$M1169),0),0)</f>
        <v>0.340465532815483</v>
      </c>
      <c r="AJ1169" s="153" t="n">
        <f aca="false">IFERROR(IF(AND($H1169&lt;&gt;"",$I1169="FoFo",OR($N1169="MND",$N1169="VCA"),$Q1169="LINEAR"),0,IF(AND($H1169&lt;&gt;"",$I1169="PEAD",$N1169="VCA",$Q1169="LINEAR"),($H1169/1000)+0.3,IF(AND($H1169&lt;&gt;"",$I1169="PEAD",$N1169="MND",$Q1169="EMBOQUE"),0,IF(AND($H1169&lt;&gt;"",$I1169="PVC",$N1169="VCA",$Q1169="LINEAR"),($H1169/1000)+0.2,IF(AND($H1169&lt;&gt;"",$I1169="PVC",$N1169="MND",$Q1169="EMBOQUE"),0,IF(AND($H1169&lt;&gt;"",$I1169="PEAD",$N1169="VCA",$Q1169="PREDIAL"),0,0)))))),0)</f>
        <v>0.363</v>
      </c>
      <c r="AK1169" s="153" t="n">
        <f aca="false">IF(AA1169&lt;&gt;"",AA1169,0)</f>
        <v>2.6</v>
      </c>
      <c r="AL1169" s="153" t="n">
        <f aca="false">IF(AND($N1169="MND",$Q1169="EMBOQUE"),$M1169,IF(AND($N1169="VCA",$Q1169="LINEAR"),$M1169,IF(AND($N1169="VCA",$Q1169="PREDIAL"),0,0)))</f>
        <v>109.22</v>
      </c>
      <c r="AM1169" s="153" t="n">
        <f aca="false">IF(AND($N1169="MND",$Q1169="EMBOQUE"),$M1169,IF(AND($N1169="VCA",$Q1169="LINEAR"),$M1169,IF(AND($N1169="VCA",$Q1169="PREDIAL"),0,0)))</f>
        <v>109.22</v>
      </c>
      <c r="AN1169" s="153" t="n">
        <f aca="false">ROUND(IF(AND($N1169="VCA",$M1169&lt;&gt;"",$Q1169="LINEAR"),$M1169/100,IF(AND($N1169="MND",$M1169&gt;100,$Q1169="EMBOQUE"),$M1169/100,0)),0)</f>
        <v>1</v>
      </c>
      <c r="AO1169" s="153" t="n">
        <f aca="false">IF(AND($N1169="MND",$Q1169="EMBOQUE"),$AN1169*2*2,IF(AND($N1169="VCA",$Q1169="LINEAR"),$M1169*2,IF(AND($N1169="VCA",$Q1169="PREDIAL"),0,0)))</f>
        <v>218.44</v>
      </c>
      <c r="AP1169" s="153" t="n">
        <f aca="false">IFERROR($M1169*$AF1169*$AG1169,0)</f>
        <v>96.763459</v>
      </c>
      <c r="AQ1169" s="153" t="n">
        <f aca="false">IFERROR(IF(AND($N1169="VCA",$AH1169&gt;0),$M1169*$AG1169*$AH1169,0),0)</f>
        <v>7.0993</v>
      </c>
      <c r="AR1169" s="153" t="n">
        <f aca="false">IFERROR(IF(AND($N1169="VCA",$AJ1169&gt;0),($M1169*$AG1169*$AJ1169)-$AI1169,0),0)</f>
        <v>25.4299934671845</v>
      </c>
      <c r="AS1169" s="153" t="n">
        <f aca="false">IFERROR(IF(AND($N1169="VCA",$AP1169&gt;0),$AP1169-$AI1169-$AQ1169-$AR1169,0),0)</f>
        <v>63.8937</v>
      </c>
      <c r="AT1169" s="153" t="n">
        <f aca="false">IFERROR(IF($N1169="VCA",INDEX(APOIO_REDES!$A:$W,MATCH($C1169&amp;$I1169&amp;$H1169&amp;$N1169&amp;$O1169,APOIO_REDES!$W:$W,0),MATCH(AT$5,APOIO_REDES!$5:$5,0)),0)*$AP1169,0)</f>
        <v>1.05281507444191</v>
      </c>
      <c r="AU1169" s="153" t="n">
        <f aca="false">IFERROR(IF($N1169="VCA",INDEX(APOIO_REDES!$A:$W,MATCH($C1169&amp;$I1169&amp;$H1169&amp;$N1169&amp;$O1169,APOIO_REDES!$W:$W,0),MATCH(AU$5,APOIO_REDES!$5:$5,0)),0)*$AP1169,0)</f>
        <v>0.840749604600955</v>
      </c>
      <c r="AV1169" s="153" t="n">
        <f aca="false">IFERROR(IF($N1169="VCA",INDEX(APOIO_REDES!$A:$W,MATCH($C1169&amp;$I1169&amp;$H1169&amp;$N1169&amp;$O1169,APOIO_REDES!$W:$W,0),MATCH(AV$5,APOIO_REDES!$5:$5,0)),0)*$AP1169,0)</f>
        <v>0.116353145133597</v>
      </c>
      <c r="AW1169" s="153" t="n">
        <f aca="false">IFERROR(IF($N1169="VCA",INDEX(APOIO_REDES!$A:$W,MATCH($C1169&amp;$I1169&amp;$H1169&amp;$N1169&amp;$O1169,APOIO_REDES!$W:$W,0),MATCH(AW$5,APOIO_REDES!$5:$5,0)),0)*$AP1169,0)</f>
        <v>66.4191880174668</v>
      </c>
      <c r="AX1169" s="153" t="n">
        <f aca="false">IFERROR(IF($N1169="VCA",INDEX(APOIO_REDES!$A:$W,MATCH($C1169&amp;$I1169&amp;$H1169&amp;$N1169&amp;$O1169,APOIO_REDES!$W:$W,0),MATCH(AX$5,APOIO_REDES!$5:$5,0)),0)*$AP1169,0)</f>
        <v>9.19222642297902</v>
      </c>
      <c r="AY1169" s="153" t="n">
        <f aca="false">IFERROR(IF($N1169="VCA",INDEX(APOIO_REDES!$A:$W,MATCH($C1169&amp;$I1169&amp;$H1169&amp;$N1169&amp;$O1169,APOIO_REDES!$W:$W,0),MATCH(AY$5,APOIO_REDES!$5:$5,0)),0)*$AP1169,0)</f>
        <v>16.8149818433496</v>
      </c>
      <c r="AZ1169" s="153" t="n">
        <f aca="false">IFERROR(IF($N1169="VCA",INDEX(APOIO_REDES!$A:$W,MATCH($C1169&amp;$I1169&amp;$H1169&amp;$N1169&amp;$O1169,APOIO_REDES!$W:$W,0),MATCH(AZ$5,APOIO_REDES!$5:$5,0)),0)*$AP1169,0)</f>
        <v>2.32714489202815</v>
      </c>
      <c r="BA1169" s="153" t="n">
        <f aca="false">IFERROR(IF(AND($N1169="VCA",$Q1169="LINEAR"),INDEX(APOIO_REDES!$A:$W,MATCH($C1169&amp;$I1169&amp;$H1169&amp;$N1169&amp;$O1169,APOIO_REDES!$W:$W,0),MATCH(BA$5,APOIO_REDES!$5:$5,0)),IF(AND($N1169="MND",$Q1169="EMBOQUE"),INDEX(APOIO_REDES!$A:$W,MATCH($C1169&amp;$I1169&amp;$H1169&amp;$N1169&amp;$O1169,APOIO_REDES!$W:$W,0),MATCH(BA$5,APOIO_REDES!$5:$5,0)),0))*$M1169/10,0)</f>
        <v>8.8028565012636</v>
      </c>
      <c r="BB1169" s="153" t="n">
        <f aca="false">IFERROR(IF($N1169="VCA",INDEX(APOIO_REDES!$A:$W,MATCH($C1169&amp;$I1169&amp;$H1169&amp;$N1169&amp;$O1169,APOIO_REDES!$W:$W,0),MATCH(BB$5,APOIO_REDES!$5:$5,0)),0)*($AI1169+$AQ1169+$AR1169),0)</f>
        <v>32.512126293128</v>
      </c>
      <c r="BC1169" s="153" t="n">
        <f aca="false">IFERROR(IF($N1169="VCA",INDEX(APOIO_REDES!$A:$W,MATCH($C1169&amp;$I1169&amp;$H1169&amp;$N1169&amp;$O1169,APOIO_REDES!$W:$W,0),MATCH(BC$5,APOIO_REDES!$5:$5,0)),0)*($AI1169+$AQ1169+$AR1169),0)</f>
        <v>0.357632706872051</v>
      </c>
      <c r="BD1169" s="153" t="n">
        <f aca="false">IF(AND($N1169="VCA",$AF1169&gt;=1.25,$AF1169&lt;1.5),$M1169*$AF1169*2,0)</f>
        <v>297.73372</v>
      </c>
      <c r="BE1169" s="153" t="n">
        <f aca="false">IF(AND($N1169="VCA",$AF1169&gt;=1.5,$AF1169&lt;3),$M1169*$AF1169*2,0)</f>
        <v>0</v>
      </c>
      <c r="BF1169" s="153" t="n">
        <f aca="false">IF(AND($N1169="VCA",$AF1169&gt;=3),$M1169*$AF1169*2,0)</f>
        <v>0</v>
      </c>
      <c r="BG1169" s="153" t="n">
        <f aca="false">($BB1169+$BC1169)*$AK1169</f>
        <v>85.4613734</v>
      </c>
      <c r="BH1169" s="153" t="n">
        <f aca="false">IF(AND($M1169&lt;&gt;"",$N1169="VCA",$Q1169="LINEAR"),($M1169*2)/100,IF(AND($M1169&lt;&gt;"",$N1169="MND",$Q1169="EMBOQUE"),($AN1169*2)/100,0))</f>
        <v>2.1844</v>
      </c>
      <c r="BI1169" s="153" t="n">
        <f aca="false">IF(AND($M1169&lt;&gt;"",$N1169="VCA",$Q1169="LINEAR"),$M1169,IF(AND($M1169&lt;&gt;"",$N1169="MND",$Q1169="EMBOQUE"),$AN1169*2,0))</f>
        <v>109.22</v>
      </c>
      <c r="BJ1169" s="153" t="n">
        <f aca="false">IF(AND($M1169&lt;&gt;"",$N1169="VCA",$Q1169="LINEAR"),($M1169*6.8)/100,IF(AND($M1169&lt;&gt;"",$N1169="MND",$Q1169="EMBOQUE"),($AN1169*2*6.8)/100,0))</f>
        <v>7.42696</v>
      </c>
      <c r="BK1169" s="153" t="n">
        <f aca="false">IF(AND($M1169&lt;&gt;"",$N1169="VCA",$Q1169="LINEAR"),($M1169*2.5)/50,IF(AND($M1169&lt;&gt;"",$N1169="MND",$Q1169="EMBOQUE"),($AN1169*2*2.5)/50,0))</f>
        <v>5.461</v>
      </c>
      <c r="BL1169" s="157" t="str">
        <f aca="false">K1169&amp;J1169</f>
        <v>Zona10REDES</v>
      </c>
      <c r="BM1169" s="152" t="s">
        <v>5703</v>
      </c>
      <c r="BN1169" s="152" t="s">
        <v>1560</v>
      </c>
      <c r="BO1169" s="152" t="s">
        <v>3688</v>
      </c>
      <c r="BP1169" s="152" t="s">
        <v>5147</v>
      </c>
      <c r="BQ1169" s="152" t="s">
        <v>5934</v>
      </c>
      <c r="BR1169" s="152" t="s">
        <v>5969</v>
      </c>
      <c r="BS1169" s="152" t="n">
        <v>203459.269</v>
      </c>
      <c r="BT1169" s="152" t="n">
        <v>8237044.675</v>
      </c>
      <c r="BU1169" s="152" t="n">
        <v>203544.921</v>
      </c>
      <c r="BV1169" s="152" t="n">
        <v>8237111.54</v>
      </c>
      <c r="BW1169" s="152" t="n">
        <v>-15.9278618</v>
      </c>
      <c r="BX1169" s="152" t="n">
        <v>-47.7693018</v>
      </c>
      <c r="BY1169" s="152" t="s">
        <v>5147</v>
      </c>
    </row>
    <row r="1170" customFormat="false" ht="13.8" hidden="false" customHeight="false" outlineLevel="0" collapsed="false">
      <c r="A1170" s="149" t="n">
        <f aca="false">IF(C1170&lt;&gt;"",ROW(A1165),"")</f>
        <v>1165</v>
      </c>
      <c r="B1170" s="150" t="str">
        <f aca="false">HYPERLINK("https://www.google.com/maps/dir/-15.917302,-47.760003/-15.9275878,-47.7681824/data=!4m3!4m2!3e0!5i2")</f>
        <v>https://www.google.com/maps/dir/-15.917302,-47.760003/-15.9275878,-47.7681824/data=!4m3!4m2!3e0!5i2</v>
      </c>
      <c r="C1170" s="151" t="s">
        <v>117</v>
      </c>
      <c r="D1170" s="152" t="s">
        <v>112</v>
      </c>
      <c r="E1170" s="152" t="s">
        <v>113</v>
      </c>
      <c r="F1170" s="152" t="s">
        <v>117</v>
      </c>
      <c r="G1170" s="152" t="s">
        <v>114</v>
      </c>
      <c r="H1170" s="152" t="n">
        <v>225</v>
      </c>
      <c r="I1170" s="152" t="s">
        <v>115</v>
      </c>
      <c r="J1170" s="152" t="s">
        <v>6</v>
      </c>
      <c r="K1170" s="152" t="s">
        <v>5700</v>
      </c>
      <c r="L1170" s="152" t="s">
        <v>120</v>
      </c>
      <c r="M1170" s="153" t="n">
        <f aca="false">332.49</f>
        <v>332.49</v>
      </c>
      <c r="N1170" s="152" t="s">
        <v>1548</v>
      </c>
      <c r="O1170" s="152" t="s">
        <v>1549</v>
      </c>
      <c r="P1170" s="152" t="s">
        <v>1550</v>
      </c>
      <c r="Q1170" s="152" t="s">
        <v>1551</v>
      </c>
      <c r="R1170" s="154" t="s">
        <v>5970</v>
      </c>
      <c r="S1170" s="154" t="s">
        <v>1593</v>
      </c>
      <c r="T1170" s="155" t="s">
        <v>3685</v>
      </c>
      <c r="U1170" s="152" t="str">
        <f aca="false">RIGHT(T1170,7)</f>
        <v>012/037</v>
      </c>
      <c r="V1170" s="152" t="s">
        <v>1555</v>
      </c>
      <c r="W1170" s="156" t="n">
        <v>45882</v>
      </c>
      <c r="X1170" s="152" t="s">
        <v>1594</v>
      </c>
      <c r="Y1170" s="152" t="s">
        <v>5146</v>
      </c>
      <c r="Z1170" s="152" t="s">
        <v>1557</v>
      </c>
      <c r="AA1170" s="153" t="n">
        <v>3</v>
      </c>
      <c r="AB1170" s="151" t="s">
        <v>5971</v>
      </c>
      <c r="AC1170" s="151" t="s">
        <v>508</v>
      </c>
      <c r="AD1170" s="151" t="str">
        <f aca="false">CONCATENATE($C1170,$I1170,$H1170,$N1170,$J1170,$K1170)</f>
        <v>TUBO PEADPEAD225VCAREDESZona10</v>
      </c>
      <c r="AE1170" s="153" t="n">
        <f aca="false">IFERROR(INDEX(APOIO_REDES!$A:$W,MATCH($C1170&amp;$I1170&amp;$H1170&amp;$N1170&amp;$O1170,APOIO_REDES!$W:$W,0),MATCH(AE$5,APOIO_REDES!$5:$5,0)),0)</f>
        <v>1.2</v>
      </c>
      <c r="AF1170" s="153" t="n">
        <f aca="false">IFERROR(INDEX(APOIO_REDES!$A:$W,MATCH($C1170&amp;$I1170&amp;$H1170&amp;$N1170&amp;$O1170,APOIO_REDES!$W:$W,0),MATCH(AF$5,APOIO_REDES!$5:$5,0)),0)</f>
        <v>1.525</v>
      </c>
      <c r="AG1170" s="153" t="n">
        <f aca="false">IFERROR(INDEX(APOIO_REDES!$A:$W,MATCH($C1170&amp;$I1170&amp;$H1170&amp;$N1170&amp;$O1170,APOIO_REDES!$W:$W,0),MATCH(AG$5,APOIO_REDES!$5:$5,0)),0)</f>
        <v>0.8</v>
      </c>
      <c r="AH1170" s="153" t="n">
        <f aca="false">IFERROR(INDEX(APOIO_REDES!$A:$W,MATCH($C1170&amp;$I1170&amp;$H1170&amp;$N1170&amp;$O1170,APOIO_REDES!$W:$W,0),MATCH(AH$5,APOIO_REDES!$5:$5,0)),0)</f>
        <v>0.1</v>
      </c>
      <c r="AI1170" s="153" t="n">
        <f aca="false">IFERROR(IF($H1170&lt;&gt;"",(((($H1170/1000)/2)^2)*PI()*$M1170),0),0)</f>
        <v>13.2200624144934</v>
      </c>
      <c r="AJ1170" s="153" t="n">
        <f aca="false">IFERROR(IF(AND($H1170&lt;&gt;"",$I1170="FoFo",OR($N1170="MND",$N1170="VCA"),$Q1170="LINEAR"),0,IF(AND($H1170&lt;&gt;"",$I1170="PEAD",$N1170="VCA",$Q1170="LINEAR"),($H1170/1000)+0.3,IF(AND($H1170&lt;&gt;"",$I1170="PEAD",$N1170="MND",$Q1170="EMBOQUE"),0,IF(AND($H1170&lt;&gt;"",$I1170="PVC",$N1170="VCA",$Q1170="LINEAR"),($H1170/1000)+0.2,IF(AND($H1170&lt;&gt;"",$I1170="PVC",$N1170="MND",$Q1170="EMBOQUE"),0,IF(AND($H1170&lt;&gt;"",$I1170="PEAD",$N1170="VCA",$Q1170="PREDIAL"),0,0)))))),0)</f>
        <v>0.525</v>
      </c>
      <c r="AK1170" s="153" t="n">
        <f aca="false">IF(AA1170&lt;&gt;"",AA1170,0)</f>
        <v>3</v>
      </c>
      <c r="AL1170" s="153" t="n">
        <f aca="false">IF(AND($N1170="MND",$Q1170="EMBOQUE"),$M1170,IF(AND($N1170="VCA",$Q1170="LINEAR"),$M1170,IF(AND($N1170="VCA",$Q1170="PREDIAL"),0,0)))</f>
        <v>332.49</v>
      </c>
      <c r="AM1170" s="153" t="n">
        <f aca="false">IF(AND($N1170="MND",$Q1170="EMBOQUE"),$M1170,IF(AND($N1170="VCA",$Q1170="LINEAR"),$M1170,IF(AND($N1170="VCA",$Q1170="PREDIAL"),0,0)))</f>
        <v>332.49</v>
      </c>
      <c r="AN1170" s="153" t="n">
        <f aca="false">ROUND(IF(AND($N1170="VCA",$M1170&lt;&gt;"",$Q1170="LINEAR"),$M1170/100,IF(AND($N1170="MND",$M1170&gt;100,$Q1170="EMBOQUE"),$M1170/100,0)),0)</f>
        <v>3</v>
      </c>
      <c r="AO1170" s="153" t="n">
        <f aca="false">IF(AND($N1170="MND",$Q1170="EMBOQUE"),$AN1170*2*2,IF(AND($N1170="VCA",$Q1170="LINEAR"),$M1170*2,IF(AND($N1170="VCA",$Q1170="PREDIAL"),0,0)))</f>
        <v>664.98</v>
      </c>
      <c r="AP1170" s="153" t="n">
        <f aca="false">IFERROR($M1170*$AF1170*$AG1170,0)</f>
        <v>405.6378</v>
      </c>
      <c r="AQ1170" s="153" t="n">
        <f aca="false">IFERROR(IF(AND($N1170="VCA",$AH1170&gt;0),$M1170*$AG1170*$AH1170,0),0)</f>
        <v>26.5992</v>
      </c>
      <c r="AR1170" s="153" t="n">
        <f aca="false">IFERROR(IF(AND($N1170="VCA",$AJ1170&gt;0),($M1170*$AG1170*$AJ1170)-$AI1170,0),0)</f>
        <v>126.425737585507</v>
      </c>
      <c r="AS1170" s="153" t="n">
        <f aca="false">IFERROR(IF(AND($N1170="VCA",$AP1170&gt;0),$AP1170-$AI1170-$AQ1170-$AR1170,0),0)</f>
        <v>239.3928</v>
      </c>
      <c r="AT1170" s="153" t="n">
        <f aca="false">IFERROR(IF($N1170="VCA",INDEX(APOIO_REDES!$A:$W,MATCH($C1170&amp;$I1170&amp;$H1170&amp;$N1170&amp;$O1170,APOIO_REDES!$W:$W,0),MATCH(AT$5,APOIO_REDES!$5:$5,0)),0)*$AP1170,0)</f>
        <v>4.41345932666022</v>
      </c>
      <c r="AU1170" s="153" t="n">
        <f aca="false">IFERROR(IF($N1170="VCA",INDEX(APOIO_REDES!$A:$W,MATCH($C1170&amp;$I1170&amp;$H1170&amp;$N1170&amp;$O1170,APOIO_REDES!$W:$W,0),MATCH(AU$5,APOIO_REDES!$5:$5,0)),0)*$AP1170,0)</f>
        <v>3.52446908663322</v>
      </c>
      <c r="AV1170" s="153" t="n">
        <f aca="false">IFERROR(IF($N1170="VCA",INDEX(APOIO_REDES!$A:$W,MATCH($C1170&amp;$I1170&amp;$H1170&amp;$N1170&amp;$O1170,APOIO_REDES!$W:$W,0),MATCH(AV$5,APOIO_REDES!$5:$5,0)),0)*$AP1170,0)</f>
        <v>0.487758853422892</v>
      </c>
      <c r="AW1170" s="153" t="n">
        <f aca="false">IFERROR(IF($N1170="VCA",INDEX(APOIO_REDES!$A:$W,MATCH($C1170&amp;$I1170&amp;$H1170&amp;$N1170&amp;$O1170,APOIO_REDES!$W:$W,0),MATCH(AW$5,APOIO_REDES!$5:$5,0)),0)*$AP1170,0)</f>
        <v>278.432928955047</v>
      </c>
      <c r="AX1170" s="153" t="n">
        <f aca="false">IFERROR(IF($N1170="VCA",INDEX(APOIO_REDES!$A:$W,MATCH($C1170&amp;$I1170&amp;$H1170&amp;$N1170&amp;$O1170,APOIO_REDES!$W:$W,0),MATCH(AX$5,APOIO_REDES!$5:$5,0)),0)*$AP1170,0)</f>
        <v>38.5343242361673</v>
      </c>
      <c r="AY1170" s="153" t="n">
        <f aca="false">IFERROR(IF($N1170="VCA",INDEX(APOIO_REDES!$A:$W,MATCH($C1170&amp;$I1170&amp;$H1170&amp;$N1170&amp;$O1170,APOIO_REDES!$W:$W,0),MATCH(AY$5,APOIO_REDES!$5:$5,0)),0)*$AP1170,0)</f>
        <v>70.489338769672</v>
      </c>
      <c r="AZ1170" s="153" t="n">
        <f aca="false">IFERROR(IF($N1170="VCA",INDEX(APOIO_REDES!$A:$W,MATCH($C1170&amp;$I1170&amp;$H1170&amp;$N1170&amp;$O1170,APOIO_REDES!$W:$W,0),MATCH(AZ$5,APOIO_REDES!$5:$5,0)),0)*$AP1170,0)</f>
        <v>9.75552077239754</v>
      </c>
      <c r="BA1170" s="153" t="n">
        <f aca="false">IFERROR(IF(AND($N1170="VCA",$Q1170="LINEAR"),INDEX(APOIO_REDES!$A:$W,MATCH($C1170&amp;$I1170&amp;$H1170&amp;$N1170&amp;$O1170,APOIO_REDES!$W:$W,0),MATCH(BA$5,APOIO_REDES!$5:$5,0)),IF(AND($N1170="MND",$Q1170="EMBOQUE"),INDEX(APOIO_REDES!$A:$W,MATCH($C1170&amp;$I1170&amp;$H1170&amp;$N1170&amp;$O1170,APOIO_REDES!$W:$W,0),MATCH(BA$5,APOIO_REDES!$5:$5,0)),0))*$M1170/10,0)</f>
        <v>26.7978553205011</v>
      </c>
      <c r="BB1170" s="153" t="n">
        <f aca="false">IFERROR(IF($N1170="VCA",INDEX(APOIO_REDES!$A:$W,MATCH($C1170&amp;$I1170&amp;$H1170&amp;$N1170&amp;$O1170,APOIO_REDES!$W:$W,0),MATCH(BB$5,APOIO_REDES!$5:$5,0)),0)*($AI1170+$AQ1170+$AR1170),0)</f>
        <v>164.436205193992</v>
      </c>
      <c r="BC1170" s="153" t="n">
        <f aca="false">IFERROR(IF($N1170="VCA",INDEX(APOIO_REDES!$A:$W,MATCH($C1170&amp;$I1170&amp;$H1170&amp;$N1170&amp;$O1170,APOIO_REDES!$W:$W,0),MATCH(BC$5,APOIO_REDES!$5:$5,0)),0)*($AI1170+$AQ1170+$AR1170),0)</f>
        <v>1.80879480600828</v>
      </c>
      <c r="BD1170" s="153" t="n">
        <f aca="false">IF(AND($N1170="VCA",$AF1170&gt;=1.25,$AF1170&lt;1.5),$M1170*$AF1170*2,0)</f>
        <v>0</v>
      </c>
      <c r="BE1170" s="153" t="n">
        <f aca="false">IF(AND($N1170="VCA",$AF1170&gt;=1.5,$AF1170&lt;3),$M1170*$AF1170*2,0)</f>
        <v>1014.0945</v>
      </c>
      <c r="BF1170" s="153" t="n">
        <f aca="false">IF(AND($N1170="VCA",$AF1170&gt;=3),$M1170*$AF1170*2,0)</f>
        <v>0</v>
      </c>
      <c r="BG1170" s="153" t="n">
        <f aca="false">($BB1170+$BC1170)*$AK1170</f>
        <v>498.735</v>
      </c>
      <c r="BH1170" s="153" t="n">
        <f aca="false">IF(AND($M1170&lt;&gt;"",$N1170="VCA",$Q1170="LINEAR"),($M1170*2)/100,IF(AND($M1170&lt;&gt;"",$N1170="MND",$Q1170="EMBOQUE"),($AN1170*2)/100,0))</f>
        <v>6.6498</v>
      </c>
      <c r="BI1170" s="153" t="n">
        <f aca="false">IF(AND($M1170&lt;&gt;"",$N1170="VCA",$Q1170="LINEAR"),$M1170,IF(AND($M1170&lt;&gt;"",$N1170="MND",$Q1170="EMBOQUE"),$AN1170*2,0))</f>
        <v>332.49</v>
      </c>
      <c r="BJ1170" s="153" t="n">
        <f aca="false">IF(AND($M1170&lt;&gt;"",$N1170="VCA",$Q1170="LINEAR"),($M1170*6.8)/100,IF(AND($M1170&lt;&gt;"",$N1170="MND",$Q1170="EMBOQUE"),($AN1170*2*6.8)/100,0))</f>
        <v>22.60932</v>
      </c>
      <c r="BK1170" s="153" t="n">
        <f aca="false">IF(AND($M1170&lt;&gt;"",$N1170="VCA",$Q1170="LINEAR"),($M1170*2.5)/50,IF(AND($M1170&lt;&gt;"",$N1170="MND",$Q1170="EMBOQUE"),($AN1170*2*2.5)/50,0))</f>
        <v>16.6245</v>
      </c>
      <c r="BL1170" s="157" t="str">
        <f aca="false">K1170&amp;J1170</f>
        <v>Zona10REDES</v>
      </c>
      <c r="BM1170" s="152" t="s">
        <v>5703</v>
      </c>
      <c r="BN1170" s="152" t="s">
        <v>1560</v>
      </c>
      <c r="BO1170" s="152" t="s">
        <v>3688</v>
      </c>
      <c r="BP1170" s="152" t="s">
        <v>2032</v>
      </c>
      <c r="BQ1170" s="152" t="s">
        <v>2032</v>
      </c>
      <c r="BR1170" s="152" t="s">
        <v>3783</v>
      </c>
      <c r="BS1170" s="152" t="n">
        <v>203633.214</v>
      </c>
      <c r="BT1170" s="152" t="n">
        <v>8237227.852</v>
      </c>
      <c r="BU1170" s="152" t="n">
        <v>203678.306</v>
      </c>
      <c r="BV1170" s="152" t="n">
        <v>8236908.896</v>
      </c>
      <c r="BW1170" s="152" t="n">
        <v>-15.927934</v>
      </c>
      <c r="BX1170" s="152" t="n">
        <v>-47.7680336</v>
      </c>
      <c r="BY1170" s="152" t="s">
        <v>5920</v>
      </c>
    </row>
    <row r="1171" customFormat="false" ht="13.8" hidden="false" customHeight="false" outlineLevel="0" collapsed="false">
      <c r="A1171" s="149" t="n">
        <f aca="false">IF(C1171&lt;&gt;"",ROW(A1166),"")</f>
        <v>1166</v>
      </c>
      <c r="B1171" s="150" t="str">
        <f aca="false">HYPERLINK("https://www.google.com/maps/dir/-15.917302,-47.760003/-15.9277511,-47.7699537/data=!4m3!4m2!3e0!5i0")</f>
        <v>https://www.google.com/maps/dir/-15.917302,-47.760003/-15.9277511,-47.7699537/data=!4m3!4m2!3e0!5i0</v>
      </c>
      <c r="C1171" s="151" t="s">
        <v>117</v>
      </c>
      <c r="D1171" s="152" t="s">
        <v>112</v>
      </c>
      <c r="E1171" s="152" t="s">
        <v>113</v>
      </c>
      <c r="F1171" s="152" t="s">
        <v>117</v>
      </c>
      <c r="G1171" s="152" t="s">
        <v>114</v>
      </c>
      <c r="H1171" s="152" t="n">
        <v>160</v>
      </c>
      <c r="I1171" s="152" t="s">
        <v>115</v>
      </c>
      <c r="J1171" s="152" t="s">
        <v>6</v>
      </c>
      <c r="K1171" s="152" t="s">
        <v>5700</v>
      </c>
      <c r="L1171" s="152" t="s">
        <v>120</v>
      </c>
      <c r="M1171" s="153" t="n">
        <f aca="false">50.62</f>
        <v>50.62</v>
      </c>
      <c r="N1171" s="152" t="s">
        <v>1548</v>
      </c>
      <c r="O1171" s="152" t="s">
        <v>1549</v>
      </c>
      <c r="P1171" s="152" t="s">
        <v>1550</v>
      </c>
      <c r="Q1171" s="152" t="s">
        <v>1551</v>
      </c>
      <c r="R1171" s="154" t="s">
        <v>5972</v>
      </c>
      <c r="S1171" s="154" t="s">
        <v>1593</v>
      </c>
      <c r="T1171" s="155" t="s">
        <v>3685</v>
      </c>
      <c r="U1171" s="152" t="str">
        <f aca="false">RIGHT(T1171,7)</f>
        <v>012/037</v>
      </c>
      <c r="V1171" s="152" t="s">
        <v>1555</v>
      </c>
      <c r="W1171" s="156" t="n">
        <v>45882</v>
      </c>
      <c r="X1171" s="152" t="s">
        <v>1594</v>
      </c>
      <c r="Y1171" s="152" t="s">
        <v>2400</v>
      </c>
      <c r="Z1171" s="152" t="s">
        <v>1557</v>
      </c>
      <c r="AA1171" s="153" t="n">
        <v>2.8</v>
      </c>
      <c r="AB1171" s="151" t="s">
        <v>5973</v>
      </c>
      <c r="AC1171" s="151" t="s">
        <v>505</v>
      </c>
      <c r="AD1171" s="151" t="str">
        <f aca="false">CONCATENATE($C1171,$I1171,$H1171,$N1171,$J1171,$K1171)</f>
        <v>TUBO PEADPEAD160VCAREDESZona10</v>
      </c>
      <c r="AE1171" s="153" t="n">
        <f aca="false">IFERROR(INDEX(APOIO_REDES!$A:$W,MATCH($C1171&amp;$I1171&amp;$H1171&amp;$N1171&amp;$O1171,APOIO_REDES!$W:$W,0),MATCH(AE$5,APOIO_REDES!$5:$5,0)),0)</f>
        <v>1.2</v>
      </c>
      <c r="AF1171" s="153" t="n">
        <f aca="false">IFERROR(INDEX(APOIO_REDES!$A:$W,MATCH($C1171&amp;$I1171&amp;$H1171&amp;$N1171&amp;$O1171,APOIO_REDES!$W:$W,0),MATCH(AF$5,APOIO_REDES!$5:$5,0)),0)</f>
        <v>1.46</v>
      </c>
      <c r="AG1171" s="153" t="n">
        <f aca="false">IFERROR(INDEX(APOIO_REDES!$A:$W,MATCH($C1171&amp;$I1171&amp;$H1171&amp;$N1171&amp;$O1171,APOIO_REDES!$W:$W,0),MATCH(AG$5,APOIO_REDES!$5:$5,0)),0)</f>
        <v>0.75</v>
      </c>
      <c r="AH1171" s="153" t="n">
        <f aca="false">IFERROR(INDEX(APOIO_REDES!$A:$W,MATCH($C1171&amp;$I1171&amp;$H1171&amp;$N1171&amp;$O1171,APOIO_REDES!$W:$W,0),MATCH(AH$5,APOIO_REDES!$5:$5,0)),0)</f>
        <v>0.1</v>
      </c>
      <c r="AI1171" s="153" t="n">
        <f aca="false">IFERROR(IF($H1171&lt;&gt;"",(((($H1171/1000)/2)^2)*PI()*$M1171),0),0)</f>
        <v>1.01777548879818</v>
      </c>
      <c r="AJ1171" s="153" t="n">
        <f aca="false">IFERROR(IF(AND($H1171&lt;&gt;"",$I1171="FoFo",OR($N1171="MND",$N1171="VCA"),$Q1171="LINEAR"),0,IF(AND($H1171&lt;&gt;"",$I1171="PEAD",$N1171="VCA",$Q1171="LINEAR"),($H1171/1000)+0.3,IF(AND($H1171&lt;&gt;"",$I1171="PEAD",$N1171="MND",$Q1171="EMBOQUE"),0,IF(AND($H1171&lt;&gt;"",$I1171="PVC",$N1171="VCA",$Q1171="LINEAR"),($H1171/1000)+0.2,IF(AND($H1171&lt;&gt;"",$I1171="PVC",$N1171="MND",$Q1171="EMBOQUE"),0,IF(AND($H1171&lt;&gt;"",$I1171="PEAD",$N1171="VCA",$Q1171="PREDIAL"),0,0)))))),0)</f>
        <v>0.46</v>
      </c>
      <c r="AK1171" s="153" t="n">
        <f aca="false">IF(AA1171&lt;&gt;"",AA1171,0)</f>
        <v>2.8</v>
      </c>
      <c r="AL1171" s="153" t="n">
        <f aca="false">IF(AND($N1171="MND",$Q1171="EMBOQUE"),$M1171,IF(AND($N1171="VCA",$Q1171="LINEAR"),$M1171,IF(AND($N1171="VCA",$Q1171="PREDIAL"),0,0)))</f>
        <v>50.62</v>
      </c>
      <c r="AM1171" s="153" t="n">
        <f aca="false">IF(AND($N1171="MND",$Q1171="EMBOQUE"),$M1171,IF(AND($N1171="VCA",$Q1171="LINEAR"),$M1171,IF(AND($N1171="VCA",$Q1171="PREDIAL"),0,0)))</f>
        <v>50.62</v>
      </c>
      <c r="AN1171" s="153" t="n">
        <f aca="false">ROUND(IF(AND($N1171="VCA",$M1171&lt;&gt;"",$Q1171="LINEAR"),$M1171/100,IF(AND($N1171="MND",$M1171&gt;100,$Q1171="EMBOQUE"),$M1171/100,0)),0)</f>
        <v>1</v>
      </c>
      <c r="AO1171" s="153" t="n">
        <f aca="false">IF(AND($N1171="MND",$Q1171="EMBOQUE"),$AN1171*2*2,IF(AND($N1171="VCA",$Q1171="LINEAR"),$M1171*2,IF(AND($N1171="VCA",$Q1171="PREDIAL"),0,0)))</f>
        <v>101.24</v>
      </c>
      <c r="AP1171" s="153" t="n">
        <f aca="false">IFERROR($M1171*$AF1171*$AG1171,0)</f>
        <v>55.4289</v>
      </c>
      <c r="AQ1171" s="153" t="n">
        <f aca="false">IFERROR(IF(AND($N1171="VCA",$AH1171&gt;0),$M1171*$AG1171*$AH1171,0),0)</f>
        <v>3.7965</v>
      </c>
      <c r="AR1171" s="153" t="n">
        <f aca="false">IFERROR(IF(AND($N1171="VCA",$AJ1171&gt;0),($M1171*$AG1171*$AJ1171)-$AI1171,0),0)</f>
        <v>16.4461245112018</v>
      </c>
      <c r="AS1171" s="153" t="n">
        <f aca="false">IFERROR(IF(AND($N1171="VCA",$AP1171&gt;0),$AP1171-$AI1171-$AQ1171-$AR1171,0),0)</f>
        <v>34.1685</v>
      </c>
      <c r="AT1171" s="153" t="n">
        <f aca="false">IFERROR(IF($N1171="VCA",INDEX(APOIO_REDES!$A:$W,MATCH($C1171&amp;$I1171&amp;$H1171&amp;$N1171&amp;$O1171,APOIO_REDES!$W:$W,0),MATCH(AT$5,APOIO_REDES!$5:$5,0)),0)*$AP1171,0)</f>
        <v>0.603082838116952</v>
      </c>
      <c r="AU1171" s="153" t="n">
        <f aca="false">IFERROR(IF($N1171="VCA",INDEX(APOIO_REDES!$A:$W,MATCH($C1171&amp;$I1171&amp;$H1171&amp;$N1171&amp;$O1171,APOIO_REDES!$W:$W,0),MATCH(AU$5,APOIO_REDES!$5:$5,0)),0)*$AP1171,0)</f>
        <v>0.481605620965512</v>
      </c>
      <c r="AV1171" s="153" t="n">
        <f aca="false">IFERROR(IF($N1171="VCA",INDEX(APOIO_REDES!$A:$W,MATCH($C1171&amp;$I1171&amp;$H1171&amp;$N1171&amp;$O1171,APOIO_REDES!$W:$W,0),MATCH(AV$5,APOIO_REDES!$5:$5,0)),0)*$AP1171,0)</f>
        <v>0.0666504371892662</v>
      </c>
      <c r="AW1171" s="153" t="n">
        <f aca="false">IFERROR(IF($N1171="VCA",INDEX(APOIO_REDES!$A:$W,MATCH($C1171&amp;$I1171&amp;$H1171&amp;$N1171&amp;$O1171,APOIO_REDES!$W:$W,0),MATCH(AW$5,APOIO_REDES!$5:$5,0)),0)*$AP1171,0)</f>
        <v>38.046826444075</v>
      </c>
      <c r="AX1171" s="153" t="n">
        <f aca="false">IFERROR(IF($N1171="VCA",INDEX(APOIO_REDES!$A:$W,MATCH($C1171&amp;$I1171&amp;$H1171&amp;$N1171&amp;$O1171,APOIO_REDES!$W:$W,0),MATCH(AX$5,APOIO_REDES!$5:$5,0)),0)*$AP1171,0)</f>
        <v>5.26557240142337</v>
      </c>
      <c r="AY1171" s="153" t="n">
        <f aca="false">IFERROR(IF($N1171="VCA",INDEX(APOIO_REDES!$A:$W,MATCH($C1171&amp;$I1171&amp;$H1171&amp;$N1171&amp;$O1171,APOIO_REDES!$W:$W,0),MATCH(AY$5,APOIO_REDES!$5:$5,0)),0)*$AP1171,0)</f>
        <v>9.63210654857676</v>
      </c>
      <c r="AZ1171" s="153" t="n">
        <f aca="false">IFERROR(IF($N1171="VCA",INDEX(APOIO_REDES!$A:$W,MATCH($C1171&amp;$I1171&amp;$H1171&amp;$N1171&amp;$O1171,APOIO_REDES!$W:$W,0),MATCH(AZ$5,APOIO_REDES!$5:$5,0)),0)*$AP1171,0)</f>
        <v>1.33305570965316</v>
      </c>
      <c r="BA1171" s="153" t="n">
        <f aca="false">IFERROR(IF(AND($N1171="VCA",$Q1171="LINEAR"),INDEX(APOIO_REDES!$A:$W,MATCH($C1171&amp;$I1171&amp;$H1171&amp;$N1171&amp;$O1171,APOIO_REDES!$W:$W,0),MATCH(BA$5,APOIO_REDES!$5:$5,0)),IF(AND($N1171="MND",$Q1171="EMBOQUE"),INDEX(APOIO_REDES!$A:$W,MATCH($C1171&amp;$I1171&amp;$H1171&amp;$N1171&amp;$O1171,APOIO_REDES!$W:$W,0),MATCH(BA$5,APOIO_REDES!$5:$5,0)),0))*$M1171/10,0)</f>
        <v>4.07984431508848</v>
      </c>
      <c r="BB1171" s="153" t="n">
        <f aca="false">IFERROR(IF($N1171="VCA",INDEX(APOIO_REDES!$A:$W,MATCH($C1171&amp;$I1171&amp;$H1171&amp;$N1171&amp;$O1171,APOIO_REDES!$W:$W,0),MATCH(BB$5,APOIO_REDES!$5:$5,0)),0)*($AI1171+$AQ1171+$AR1171),0)</f>
        <v>21.0290805552428</v>
      </c>
      <c r="BC1171" s="153" t="n">
        <f aca="false">IFERROR(IF($N1171="VCA",INDEX(APOIO_REDES!$A:$W,MATCH($C1171&amp;$I1171&amp;$H1171&amp;$N1171&amp;$O1171,APOIO_REDES!$W:$W,0),MATCH(BC$5,APOIO_REDES!$5:$5,0)),0)*($AI1171+$AQ1171+$AR1171),0)</f>
        <v>0.231319444757187</v>
      </c>
      <c r="BD1171" s="153" t="n">
        <f aca="false">IF(AND($N1171="VCA",$AF1171&gt;=1.25,$AF1171&lt;1.5),$M1171*$AF1171*2,0)</f>
        <v>147.8104</v>
      </c>
      <c r="BE1171" s="153" t="n">
        <f aca="false">IF(AND($N1171="VCA",$AF1171&gt;=1.5,$AF1171&lt;3),$M1171*$AF1171*2,0)</f>
        <v>0</v>
      </c>
      <c r="BF1171" s="153" t="n">
        <f aca="false">IF(AND($N1171="VCA",$AF1171&gt;=3),$M1171*$AF1171*2,0)</f>
        <v>0</v>
      </c>
      <c r="BG1171" s="153" t="n">
        <f aca="false">($BB1171+$BC1171)*$AK1171</f>
        <v>59.52912</v>
      </c>
      <c r="BH1171" s="153" t="n">
        <f aca="false">IF(AND($M1171&lt;&gt;"",$N1171="VCA",$Q1171="LINEAR"),($M1171*2)/100,IF(AND($M1171&lt;&gt;"",$N1171="MND",$Q1171="EMBOQUE"),($AN1171*2)/100,0))</f>
        <v>1.0124</v>
      </c>
      <c r="BI1171" s="153" t="n">
        <f aca="false">IF(AND($M1171&lt;&gt;"",$N1171="VCA",$Q1171="LINEAR"),$M1171,IF(AND($M1171&lt;&gt;"",$N1171="MND",$Q1171="EMBOQUE"),$AN1171*2,0))</f>
        <v>50.62</v>
      </c>
      <c r="BJ1171" s="153" t="n">
        <f aca="false">IF(AND($M1171&lt;&gt;"",$N1171="VCA",$Q1171="LINEAR"),($M1171*6.8)/100,IF(AND($M1171&lt;&gt;"",$N1171="MND",$Q1171="EMBOQUE"),($AN1171*2*6.8)/100,0))</f>
        <v>3.44216</v>
      </c>
      <c r="BK1171" s="153" t="n">
        <f aca="false">IF(AND($M1171&lt;&gt;"",$N1171="VCA",$Q1171="LINEAR"),($M1171*2.5)/50,IF(AND($M1171&lt;&gt;"",$N1171="MND",$Q1171="EMBOQUE"),($AN1171*2*2.5)/50,0))</f>
        <v>2.531</v>
      </c>
      <c r="BL1171" s="157" t="str">
        <f aca="false">K1171&amp;J1171</f>
        <v>Zona10REDES</v>
      </c>
      <c r="BM1171" s="152" t="s">
        <v>5703</v>
      </c>
      <c r="BN1171" s="152" t="s">
        <v>1560</v>
      </c>
      <c r="BO1171" s="152" t="s">
        <v>3688</v>
      </c>
      <c r="BP1171" s="152" t="s">
        <v>5957</v>
      </c>
      <c r="BQ1171" s="152" t="s">
        <v>5147</v>
      </c>
      <c r="BR1171" s="152" t="s">
        <v>5974</v>
      </c>
      <c r="BS1171" s="152" t="n">
        <v>203432.862</v>
      </c>
      <c r="BT1171" s="152" t="n">
        <v>8237087.798</v>
      </c>
      <c r="BU1171" s="152" t="n">
        <v>203458.89</v>
      </c>
      <c r="BV1171" s="152" t="n">
        <v>8237044.403</v>
      </c>
      <c r="BW1171" s="152" t="n">
        <v>-15.9279522</v>
      </c>
      <c r="BX1171" s="152" t="n">
        <v>-47.7698421</v>
      </c>
      <c r="BY1171" s="152" t="s">
        <v>5957</v>
      </c>
    </row>
    <row r="1172" customFormat="false" ht="13.8" hidden="false" customHeight="false" outlineLevel="0" collapsed="false">
      <c r="A1172" s="149" t="n">
        <f aca="false">IF(C1172&lt;&gt;"",ROW(A1167),"")</f>
        <v>1167</v>
      </c>
      <c r="B1172" s="150" t="str">
        <f aca="false">HYPERLINK("https://www.google.com/maps/dir/-15.917302,-47.760003/-15.9286902,-47.7678873/data=!4m3!4m2!3e0!5i0")</f>
        <v>https://www.google.com/maps/dir/-15.917302,-47.760003/-15.9286902,-47.7678873/data=!4m3!4m2!3e0!5i0</v>
      </c>
      <c r="C1172" s="151" t="s">
        <v>117</v>
      </c>
      <c r="D1172" s="152" t="s">
        <v>112</v>
      </c>
      <c r="E1172" s="152" t="s">
        <v>113</v>
      </c>
      <c r="F1172" s="152" t="s">
        <v>117</v>
      </c>
      <c r="G1172" s="152" t="s">
        <v>782</v>
      </c>
      <c r="H1172" s="152" t="n">
        <v>63</v>
      </c>
      <c r="I1172" s="152" t="s">
        <v>115</v>
      </c>
      <c r="J1172" s="152" t="s">
        <v>6</v>
      </c>
      <c r="K1172" s="152" t="s">
        <v>5700</v>
      </c>
      <c r="L1172" s="152" t="s">
        <v>120</v>
      </c>
      <c r="M1172" s="153" t="n">
        <f aca="false">125.85+0.45</f>
        <v>126.3</v>
      </c>
      <c r="N1172" s="152" t="s">
        <v>1548</v>
      </c>
      <c r="O1172" s="152" t="s">
        <v>1549</v>
      </c>
      <c r="P1172" s="152" t="s">
        <v>1550</v>
      </c>
      <c r="Q1172" s="152" t="s">
        <v>1551</v>
      </c>
      <c r="R1172" s="154" t="s">
        <v>5975</v>
      </c>
      <c r="S1172" s="154" t="s">
        <v>1553</v>
      </c>
      <c r="T1172" s="155" t="s">
        <v>3685</v>
      </c>
      <c r="U1172" s="152" t="str">
        <f aca="false">RIGHT(T1172,7)</f>
        <v>012/037</v>
      </c>
      <c r="V1172" s="152" t="s">
        <v>1555</v>
      </c>
      <c r="W1172" s="156" t="n">
        <v>45882</v>
      </c>
      <c r="X1172" s="152" t="s">
        <v>1594</v>
      </c>
      <c r="Y1172" s="152" t="s">
        <v>2387</v>
      </c>
      <c r="Z1172" s="152" t="s">
        <v>1557</v>
      </c>
      <c r="AA1172" s="153" t="n">
        <v>2.3</v>
      </c>
      <c r="AB1172" s="151" t="s">
        <v>5976</v>
      </c>
      <c r="AC1172" s="151" t="s">
        <v>186</v>
      </c>
      <c r="AD1172" s="151" t="str">
        <f aca="false">CONCATENATE($C1172,$I1172,$H1172,$N1172,$J1172,$K1172)</f>
        <v>TUBO PEADPEAD63VCAREDESZona10</v>
      </c>
      <c r="AE1172" s="153" t="n">
        <f aca="false">IFERROR(INDEX(APOIO_REDES!$A:$W,MATCH($C1172&amp;$I1172&amp;$H1172&amp;$N1172&amp;$O1172,APOIO_REDES!$W:$W,0),MATCH(AE$5,APOIO_REDES!$5:$5,0)),0)</f>
        <v>1.2</v>
      </c>
      <c r="AF1172" s="153" t="n">
        <f aca="false">IFERROR(INDEX(APOIO_REDES!$A:$W,MATCH($C1172&amp;$I1172&amp;$H1172&amp;$N1172&amp;$O1172,APOIO_REDES!$W:$W,0),MATCH(AF$5,APOIO_REDES!$5:$5,0)),0)</f>
        <v>1.363</v>
      </c>
      <c r="AG1172" s="153" t="n">
        <f aca="false">IFERROR(INDEX(APOIO_REDES!$A:$W,MATCH($C1172&amp;$I1172&amp;$H1172&amp;$N1172&amp;$O1172,APOIO_REDES!$W:$W,0),MATCH(AG$5,APOIO_REDES!$5:$5,0)),0)</f>
        <v>0.65</v>
      </c>
      <c r="AH1172" s="153" t="n">
        <f aca="false">IFERROR(INDEX(APOIO_REDES!$A:$W,MATCH($C1172&amp;$I1172&amp;$H1172&amp;$N1172&amp;$O1172,APOIO_REDES!$W:$W,0),MATCH(AH$5,APOIO_REDES!$5:$5,0)),0)</f>
        <v>0.1</v>
      </c>
      <c r="AI1172" s="153" t="n">
        <f aca="false">IFERROR(IF($H1172&lt;&gt;"",(((($H1172/1000)/2)^2)*PI()*$M1172),0),0)</f>
        <v>0.393708082719241</v>
      </c>
      <c r="AJ1172" s="153" t="n">
        <f aca="false">IFERROR(IF(AND($H1172&lt;&gt;"",$I1172="FoFo",OR($N1172="MND",$N1172="VCA"),$Q1172="LINEAR"),0,IF(AND($H1172&lt;&gt;"",$I1172="PEAD",$N1172="VCA",$Q1172="LINEAR"),($H1172/1000)+0.3,IF(AND($H1172&lt;&gt;"",$I1172="PEAD",$N1172="MND",$Q1172="EMBOQUE"),0,IF(AND($H1172&lt;&gt;"",$I1172="PVC",$N1172="VCA",$Q1172="LINEAR"),($H1172/1000)+0.2,IF(AND($H1172&lt;&gt;"",$I1172="PVC",$N1172="MND",$Q1172="EMBOQUE"),0,IF(AND($H1172&lt;&gt;"",$I1172="PEAD",$N1172="VCA",$Q1172="PREDIAL"),0,0)))))),0)</f>
        <v>0.363</v>
      </c>
      <c r="AK1172" s="153" t="n">
        <f aca="false">IF(AA1172&lt;&gt;"",AA1172,0)</f>
        <v>2.3</v>
      </c>
      <c r="AL1172" s="153" t="n">
        <f aca="false">IF(AND($N1172="MND",$Q1172="EMBOQUE"),$M1172,IF(AND($N1172="VCA",$Q1172="LINEAR"),$M1172,IF(AND($N1172="VCA",$Q1172="PREDIAL"),0,0)))</f>
        <v>126.3</v>
      </c>
      <c r="AM1172" s="153" t="n">
        <f aca="false">IF(AND($N1172="MND",$Q1172="EMBOQUE"),$M1172,IF(AND($N1172="VCA",$Q1172="LINEAR"),$M1172,IF(AND($N1172="VCA",$Q1172="PREDIAL"),0,0)))</f>
        <v>126.3</v>
      </c>
      <c r="AN1172" s="153" t="n">
        <f aca="false">ROUND(IF(AND($N1172="VCA",$M1172&lt;&gt;"",$Q1172="LINEAR"),$M1172/100,IF(AND($N1172="MND",$M1172&gt;100,$Q1172="EMBOQUE"),$M1172/100,0)),0)</f>
        <v>1</v>
      </c>
      <c r="AO1172" s="153" t="n">
        <f aca="false">IF(AND($N1172="MND",$Q1172="EMBOQUE"),$AN1172*2*2,IF(AND($N1172="VCA",$Q1172="LINEAR"),$M1172*2,IF(AND($N1172="VCA",$Q1172="PREDIAL"),0,0)))</f>
        <v>252.6</v>
      </c>
      <c r="AP1172" s="153" t="n">
        <f aca="false">IFERROR($M1172*$AF1172*$AG1172,0)</f>
        <v>111.895485</v>
      </c>
      <c r="AQ1172" s="153" t="n">
        <f aca="false">IFERROR(IF(AND($N1172="VCA",$AH1172&gt;0),$M1172*$AG1172*$AH1172,0),0)</f>
        <v>8.2095</v>
      </c>
      <c r="AR1172" s="153" t="n">
        <f aca="false">IFERROR(IF(AND($N1172="VCA",$AJ1172&gt;0),($M1172*$AG1172*$AJ1172)-$AI1172,0),0)</f>
        <v>29.4067769172808</v>
      </c>
      <c r="AS1172" s="153" t="n">
        <f aca="false">IFERROR(IF(AND($N1172="VCA",$AP1172&gt;0),$AP1172-$AI1172-$AQ1172-$AR1172,0),0)</f>
        <v>73.8855</v>
      </c>
      <c r="AT1172" s="153" t="n">
        <f aca="false">IFERROR(IF($N1172="VCA",INDEX(APOIO_REDES!$A:$W,MATCH($C1172&amp;$I1172&amp;$H1172&amp;$N1172&amp;$O1172,APOIO_REDES!$W:$W,0),MATCH(AT$5,APOIO_REDES!$5:$5,0)),0)*$AP1172,0)</f>
        <v>1.21745599617299</v>
      </c>
      <c r="AU1172" s="153" t="n">
        <f aca="false">IFERROR(IF($N1172="VCA",INDEX(APOIO_REDES!$A:$W,MATCH($C1172&amp;$I1172&amp;$H1172&amp;$N1172&amp;$O1172,APOIO_REDES!$W:$W,0),MATCH(AU$5,APOIO_REDES!$5:$5,0)),0)*$AP1172,0)</f>
        <v>0.972227385653731</v>
      </c>
      <c r="AV1172" s="153" t="n">
        <f aca="false">IFERROR(IF($N1172="VCA",INDEX(APOIO_REDES!$A:$W,MATCH($C1172&amp;$I1172&amp;$H1172&amp;$N1172&amp;$O1172,APOIO_REDES!$W:$W,0),MATCH(AV$5,APOIO_REDES!$5:$5,0)),0)*$AP1172,0)</f>
        <v>0.134548637890252</v>
      </c>
      <c r="AW1172" s="153" t="n">
        <f aca="false">IFERROR(IF($N1172="VCA",INDEX(APOIO_REDES!$A:$W,MATCH($C1172&amp;$I1172&amp;$H1172&amp;$N1172&amp;$O1172,APOIO_REDES!$W:$W,0),MATCH(AW$5,APOIO_REDES!$5:$5,0)),0)*$AP1172,0)</f>
        <v>76.8059279125257</v>
      </c>
      <c r="AX1172" s="153" t="n">
        <f aca="false">IFERROR(IF($N1172="VCA",INDEX(APOIO_REDES!$A:$W,MATCH($C1172&amp;$I1172&amp;$H1172&amp;$N1172&amp;$O1172,APOIO_REDES!$W:$W,0),MATCH(AX$5,APOIO_REDES!$5:$5,0)),0)*$AP1172,0)</f>
        <v>10.6297216372665</v>
      </c>
      <c r="AY1172" s="153" t="n">
        <f aca="false">IFERROR(IF($N1172="VCA",INDEX(APOIO_REDES!$A:$W,MATCH($C1172&amp;$I1172&amp;$H1172&amp;$N1172&amp;$O1172,APOIO_REDES!$W:$W,0),MATCH(AY$5,APOIO_REDES!$5:$5,0)),0)*$AP1172,0)</f>
        <v>19.4445358617016</v>
      </c>
      <c r="AZ1172" s="153" t="n">
        <f aca="false">IFERROR(IF($N1172="VCA",INDEX(APOIO_REDES!$A:$W,MATCH($C1172&amp;$I1172&amp;$H1172&amp;$N1172&amp;$O1172,APOIO_REDES!$W:$W,0),MATCH(AZ$5,APOIO_REDES!$5:$5,0)),0)*$AP1172,0)</f>
        <v>2.69106756878919</v>
      </c>
      <c r="BA1172" s="153" t="n">
        <f aca="false">IFERROR(IF(AND($N1172="VCA",$Q1172="LINEAR"),INDEX(APOIO_REDES!$A:$W,MATCH($C1172&amp;$I1172&amp;$H1172&amp;$N1172&amp;$O1172,APOIO_REDES!$W:$W,0),MATCH(BA$5,APOIO_REDES!$5:$5,0)),IF(AND($N1172="MND",$Q1172="EMBOQUE"),INDEX(APOIO_REDES!$A:$W,MATCH($C1172&amp;$I1172&amp;$H1172&amp;$N1172&amp;$O1172,APOIO_REDES!$W:$W,0),MATCH(BA$5,APOIO_REDES!$5:$5,0)),0))*$M1172/10,0)</f>
        <v>10.1794614183263</v>
      </c>
      <c r="BB1172" s="153" t="n">
        <f aca="false">IFERROR(IF($N1172="VCA",INDEX(APOIO_REDES!$A:$W,MATCH($C1172&amp;$I1172&amp;$H1172&amp;$N1172&amp;$O1172,APOIO_REDES!$W:$W,0),MATCH(BB$5,APOIO_REDES!$5:$5,0)),0)*($AI1172+$AQ1172+$AR1172),0)</f>
        <v>37.5964251128187</v>
      </c>
      <c r="BC1172" s="153" t="n">
        <f aca="false">IFERROR(IF($N1172="VCA",INDEX(APOIO_REDES!$A:$W,MATCH($C1172&amp;$I1172&amp;$H1172&amp;$N1172&amp;$O1172,APOIO_REDES!$W:$W,0),MATCH(BC$5,APOIO_REDES!$5:$5,0)),0)*($AI1172+$AQ1172+$AR1172),0)</f>
        <v>0.413559887181286</v>
      </c>
      <c r="BD1172" s="153" t="n">
        <f aca="false">IF(AND($N1172="VCA",$AF1172&gt;=1.25,$AF1172&lt;1.5),$M1172*$AF1172*2,0)</f>
        <v>344.2938</v>
      </c>
      <c r="BE1172" s="153" t="n">
        <f aca="false">IF(AND($N1172="VCA",$AF1172&gt;=1.5,$AF1172&lt;3),$M1172*$AF1172*2,0)</f>
        <v>0</v>
      </c>
      <c r="BF1172" s="153" t="n">
        <f aca="false">IF(AND($N1172="VCA",$AF1172&gt;=3),$M1172*$AF1172*2,0)</f>
        <v>0</v>
      </c>
      <c r="BG1172" s="153" t="n">
        <f aca="false">($BB1172+$BC1172)*$AK1172</f>
        <v>87.4229655</v>
      </c>
      <c r="BH1172" s="153" t="n">
        <f aca="false">IF(AND($M1172&lt;&gt;"",$N1172="VCA",$Q1172="LINEAR"),($M1172*2)/100,IF(AND($M1172&lt;&gt;"",$N1172="MND",$Q1172="EMBOQUE"),($AN1172*2)/100,0))</f>
        <v>2.526</v>
      </c>
      <c r="BI1172" s="153" t="n">
        <f aca="false">IF(AND($M1172&lt;&gt;"",$N1172="VCA",$Q1172="LINEAR"),$M1172,IF(AND($M1172&lt;&gt;"",$N1172="MND",$Q1172="EMBOQUE"),$AN1172*2,0))</f>
        <v>126.3</v>
      </c>
      <c r="BJ1172" s="153" t="n">
        <f aca="false">IF(AND($M1172&lt;&gt;"",$N1172="VCA",$Q1172="LINEAR"),($M1172*6.8)/100,IF(AND($M1172&lt;&gt;"",$N1172="MND",$Q1172="EMBOQUE"),($AN1172*2*6.8)/100,0))</f>
        <v>8.5884</v>
      </c>
      <c r="BK1172" s="153" t="n">
        <f aca="false">IF(AND($M1172&lt;&gt;"",$N1172="VCA",$Q1172="LINEAR"),($M1172*2.5)/50,IF(AND($M1172&lt;&gt;"",$N1172="MND",$Q1172="EMBOQUE"),($AN1172*2*2.5)/50,0))</f>
        <v>6.315</v>
      </c>
      <c r="BL1172" s="157" t="str">
        <f aca="false">K1172&amp;J1172</f>
        <v>Zona10REDES</v>
      </c>
      <c r="BM1172" s="152" t="s">
        <v>5703</v>
      </c>
      <c r="BN1172" s="152" t="s">
        <v>1560</v>
      </c>
      <c r="BO1172" s="152" t="s">
        <v>3688</v>
      </c>
      <c r="BP1172" s="152" t="s">
        <v>5977</v>
      </c>
      <c r="BQ1172" s="152" t="s">
        <v>5920</v>
      </c>
      <c r="BR1172" s="152" t="s">
        <v>5978</v>
      </c>
      <c r="BS1172" s="152" t="n">
        <v>203656.013</v>
      </c>
      <c r="BT1172" s="152" t="n">
        <v>8236986.933</v>
      </c>
      <c r="BU1172" s="152" t="n">
        <v>203622.754</v>
      </c>
      <c r="BV1172" s="152" t="n">
        <v>8237108.224</v>
      </c>
      <c r="BW1172" s="152" t="n">
        <v>-15.9281378</v>
      </c>
      <c r="BX1172" s="152" t="n">
        <v>-47.768023</v>
      </c>
      <c r="BY1172" s="152" t="s">
        <v>5977</v>
      </c>
    </row>
    <row r="1173" customFormat="false" ht="13.8" hidden="false" customHeight="false" outlineLevel="0" collapsed="false">
      <c r="A1173" s="149" t="n">
        <f aca="false">IF(C1173&lt;&gt;"",ROW(A1168),"")</f>
        <v>1168</v>
      </c>
      <c r="B1173" s="150" t="str">
        <f aca="false">HYPERLINK("https://www.google.com/maps/dir/-15.917302,-47.760003/-15.9284573,-47.7694451/data=!4m3!4m2!3e0!5i2")</f>
        <v>https://www.google.com/maps/dir/-15.917302,-47.760003/-15.9284573,-47.7694451/data=!4m3!4m2!3e0!5i2</v>
      </c>
      <c r="C1173" s="151" t="s">
        <v>117</v>
      </c>
      <c r="D1173" s="152" t="s">
        <v>112</v>
      </c>
      <c r="E1173" s="152" t="s">
        <v>113</v>
      </c>
      <c r="F1173" s="152" t="s">
        <v>117</v>
      </c>
      <c r="G1173" s="152" t="s">
        <v>782</v>
      </c>
      <c r="H1173" s="152" t="n">
        <v>63</v>
      </c>
      <c r="I1173" s="152" t="s">
        <v>115</v>
      </c>
      <c r="J1173" s="152" t="s">
        <v>6</v>
      </c>
      <c r="K1173" s="152" t="s">
        <v>5700</v>
      </c>
      <c r="L1173" s="152" t="s">
        <v>120</v>
      </c>
      <c r="M1173" s="153" t="n">
        <f aca="false">114.93+0.17</f>
        <v>115.1</v>
      </c>
      <c r="N1173" s="152" t="s">
        <v>1548</v>
      </c>
      <c r="O1173" s="152" t="s">
        <v>1549</v>
      </c>
      <c r="P1173" s="152" t="s">
        <v>1550</v>
      </c>
      <c r="Q1173" s="152" t="s">
        <v>1551</v>
      </c>
      <c r="R1173" s="154" t="s">
        <v>5979</v>
      </c>
      <c r="S1173" s="154" t="s">
        <v>1553</v>
      </c>
      <c r="T1173" s="155" t="s">
        <v>3685</v>
      </c>
      <c r="U1173" s="152" t="str">
        <f aca="false">RIGHT(T1173,7)</f>
        <v>012/037</v>
      </c>
      <c r="V1173" s="152" t="s">
        <v>1555</v>
      </c>
      <c r="W1173" s="156" t="n">
        <v>45882</v>
      </c>
      <c r="X1173" s="152" t="s">
        <v>1594</v>
      </c>
      <c r="Y1173" s="152" t="s">
        <v>5146</v>
      </c>
      <c r="Z1173" s="152" t="s">
        <v>1557</v>
      </c>
      <c r="AA1173" s="153" t="n">
        <v>4.2</v>
      </c>
      <c r="AB1173" s="151" t="s">
        <v>5980</v>
      </c>
      <c r="AC1173" s="151" t="s">
        <v>186</v>
      </c>
      <c r="AD1173" s="151" t="str">
        <f aca="false">CONCATENATE($C1173,$I1173,$H1173,$N1173,$J1173,$K1173)</f>
        <v>TUBO PEADPEAD63VCAREDESZona10</v>
      </c>
      <c r="AE1173" s="153" t="n">
        <f aca="false">IFERROR(INDEX(APOIO_REDES!$A:$W,MATCH($C1173&amp;$I1173&amp;$H1173&amp;$N1173&amp;$O1173,APOIO_REDES!$W:$W,0),MATCH(AE$5,APOIO_REDES!$5:$5,0)),0)</f>
        <v>1.2</v>
      </c>
      <c r="AF1173" s="153" t="n">
        <f aca="false">IFERROR(INDEX(APOIO_REDES!$A:$W,MATCH($C1173&amp;$I1173&amp;$H1173&amp;$N1173&amp;$O1173,APOIO_REDES!$W:$W,0),MATCH(AF$5,APOIO_REDES!$5:$5,0)),0)</f>
        <v>1.363</v>
      </c>
      <c r="AG1173" s="153" t="n">
        <f aca="false">IFERROR(INDEX(APOIO_REDES!$A:$W,MATCH($C1173&amp;$I1173&amp;$H1173&amp;$N1173&amp;$O1173,APOIO_REDES!$W:$W,0),MATCH(AG$5,APOIO_REDES!$5:$5,0)),0)</f>
        <v>0.65</v>
      </c>
      <c r="AH1173" s="153" t="n">
        <f aca="false">IFERROR(INDEX(APOIO_REDES!$A:$W,MATCH($C1173&amp;$I1173&amp;$H1173&amp;$N1173&amp;$O1173,APOIO_REDES!$W:$W,0),MATCH(AH$5,APOIO_REDES!$5:$5,0)),0)</f>
        <v>0.1</v>
      </c>
      <c r="AI1173" s="153" t="n">
        <f aca="false">IFERROR(IF($H1173&lt;&gt;"",(((($H1173/1000)/2)^2)*PI()*$M1173),0),0)</f>
        <v>0.358794935241367</v>
      </c>
      <c r="AJ1173" s="153" t="n">
        <f aca="false">IFERROR(IF(AND($H1173&lt;&gt;"",$I1173="FoFo",OR($N1173="MND",$N1173="VCA"),$Q1173="LINEAR"),0,IF(AND($H1173&lt;&gt;"",$I1173="PEAD",$N1173="VCA",$Q1173="LINEAR"),($H1173/1000)+0.3,IF(AND($H1173&lt;&gt;"",$I1173="PEAD",$N1173="MND",$Q1173="EMBOQUE"),0,IF(AND($H1173&lt;&gt;"",$I1173="PVC",$N1173="VCA",$Q1173="LINEAR"),($H1173/1000)+0.2,IF(AND($H1173&lt;&gt;"",$I1173="PVC",$N1173="MND",$Q1173="EMBOQUE"),0,IF(AND($H1173&lt;&gt;"",$I1173="PEAD",$N1173="VCA",$Q1173="PREDIAL"),0,0)))))),0)</f>
        <v>0.363</v>
      </c>
      <c r="AK1173" s="153" t="n">
        <f aca="false">IF(AA1173&lt;&gt;"",AA1173,0)</f>
        <v>4.2</v>
      </c>
      <c r="AL1173" s="153" t="n">
        <f aca="false">IF(AND($N1173="MND",$Q1173="EMBOQUE"),$M1173,IF(AND($N1173="VCA",$Q1173="LINEAR"),$M1173,IF(AND($N1173="VCA",$Q1173="PREDIAL"),0,0)))</f>
        <v>115.1</v>
      </c>
      <c r="AM1173" s="153" t="n">
        <f aca="false">IF(AND($N1173="MND",$Q1173="EMBOQUE"),$M1173,IF(AND($N1173="VCA",$Q1173="LINEAR"),$M1173,IF(AND($N1173="VCA",$Q1173="PREDIAL"),0,0)))</f>
        <v>115.1</v>
      </c>
      <c r="AN1173" s="153" t="n">
        <f aca="false">ROUND(IF(AND($N1173="VCA",$M1173&lt;&gt;"",$Q1173="LINEAR"),$M1173/100,IF(AND($N1173="MND",$M1173&gt;100,$Q1173="EMBOQUE"),$M1173/100,0)),0)</f>
        <v>1</v>
      </c>
      <c r="AO1173" s="153" t="n">
        <f aca="false">IF(AND($N1173="MND",$Q1173="EMBOQUE"),$AN1173*2*2,IF(AND($N1173="VCA",$Q1173="LINEAR"),$M1173*2,IF(AND($N1173="VCA",$Q1173="PREDIAL"),0,0)))</f>
        <v>230.2</v>
      </c>
      <c r="AP1173" s="153" t="n">
        <f aca="false">IFERROR($M1173*$AF1173*$AG1173,0)</f>
        <v>101.972845</v>
      </c>
      <c r="AQ1173" s="153" t="n">
        <f aca="false">IFERROR(IF(AND($N1173="VCA",$AH1173&gt;0),$M1173*$AG1173*$AH1173,0),0)</f>
        <v>7.4815</v>
      </c>
      <c r="AR1173" s="153" t="n">
        <f aca="false">IFERROR(IF(AND($N1173="VCA",$AJ1173&gt;0),($M1173*$AG1173*$AJ1173)-$AI1173,0),0)</f>
        <v>26.7990500647586</v>
      </c>
      <c r="AS1173" s="153" t="n">
        <f aca="false">IFERROR(IF(AND($N1173="VCA",$AP1173&gt;0),$AP1173-$AI1173-$AQ1173-$AR1173,0),0)</f>
        <v>67.3335</v>
      </c>
      <c r="AT1173" s="153" t="n">
        <f aca="false">IFERROR(IF($N1173="VCA",INDEX(APOIO_REDES!$A:$W,MATCH($C1173&amp;$I1173&amp;$H1173&amp;$N1173&amp;$O1173,APOIO_REDES!$W:$W,0),MATCH(AT$5,APOIO_REDES!$5:$5,0)),0)*$AP1173,0)</f>
        <v>1.10949473602146</v>
      </c>
      <c r="AU1173" s="153" t="n">
        <f aca="false">IFERROR(IF($N1173="VCA",INDEX(APOIO_REDES!$A:$W,MATCH($C1173&amp;$I1173&amp;$H1173&amp;$N1173&amp;$O1173,APOIO_REDES!$W:$W,0),MATCH(AU$5,APOIO_REDES!$5:$5,0)),0)*$AP1173,0)</f>
        <v>0.886012447258468</v>
      </c>
      <c r="AV1173" s="153" t="n">
        <f aca="false">IFERROR(IF($N1173="VCA",INDEX(APOIO_REDES!$A:$W,MATCH($C1173&amp;$I1173&amp;$H1173&amp;$N1173&amp;$O1173,APOIO_REDES!$W:$W,0),MATCH(AV$5,APOIO_REDES!$5:$5,0)),0)*$AP1173,0)</f>
        <v>0.12261716723015</v>
      </c>
      <c r="AW1173" s="153" t="n">
        <f aca="false">IFERROR(IF($N1173="VCA",INDEX(APOIO_REDES!$A:$W,MATCH($C1173&amp;$I1173&amp;$H1173&amp;$N1173&amp;$O1173,APOIO_REDES!$W:$W,0),MATCH(AW$5,APOIO_REDES!$5:$5,0)),0)*$AP1173,0)</f>
        <v>69.9949509321592</v>
      </c>
      <c r="AX1173" s="153" t="n">
        <f aca="false">IFERROR(IF($N1173="VCA",INDEX(APOIO_REDES!$A:$W,MATCH($C1173&amp;$I1173&amp;$H1173&amp;$N1173&amp;$O1173,APOIO_REDES!$W:$W,0),MATCH(AX$5,APOIO_REDES!$5:$5,0)),0)*$AP1173,0)</f>
        <v>9.68710182461898</v>
      </c>
      <c r="AY1173" s="153" t="n">
        <f aca="false">IFERROR(IF($N1173="VCA",INDEX(APOIO_REDES!$A:$W,MATCH($C1173&amp;$I1173&amp;$H1173&amp;$N1173&amp;$O1173,APOIO_REDES!$W:$W,0),MATCH(AY$5,APOIO_REDES!$5:$5,0)),0)*$AP1173,0)</f>
        <v>17.7202381447494</v>
      </c>
      <c r="AZ1173" s="153" t="n">
        <f aca="false">IFERROR(IF($N1173="VCA",INDEX(APOIO_REDES!$A:$W,MATCH($C1173&amp;$I1173&amp;$H1173&amp;$N1173&amp;$O1173,APOIO_REDES!$W:$W,0),MATCH(AZ$5,APOIO_REDES!$5:$5,0)),0)*$AP1173,0)</f>
        <v>2.45242974796228</v>
      </c>
      <c r="BA1173" s="153" t="n">
        <f aca="false">IFERROR(IF(AND($N1173="VCA",$Q1173="LINEAR"),INDEX(APOIO_REDES!$A:$W,MATCH($C1173&amp;$I1173&amp;$H1173&amp;$N1173&amp;$O1173,APOIO_REDES!$W:$W,0),MATCH(BA$5,APOIO_REDES!$5:$5,0)),IF(AND($N1173="MND",$Q1173="EMBOQUE"),INDEX(APOIO_REDES!$A:$W,MATCH($C1173&amp;$I1173&amp;$H1173&amp;$N1173&amp;$O1173,APOIO_REDES!$W:$W,0),MATCH(BA$5,APOIO_REDES!$5:$5,0)),0))*$M1173/10,0)</f>
        <v>9.27676966943271</v>
      </c>
      <c r="BB1173" s="153" t="n">
        <f aca="false">IFERROR(IF($N1173="VCA",INDEX(APOIO_REDES!$A:$W,MATCH($C1173&amp;$I1173&amp;$H1173&amp;$N1173&amp;$O1173,APOIO_REDES!$W:$W,0),MATCH(BB$5,APOIO_REDES!$5:$5,0)),0)*($AI1173+$AQ1173+$AR1173),0)</f>
        <v>34.2624586736772</v>
      </c>
      <c r="BC1173" s="153" t="n">
        <f aca="false">IFERROR(IF($N1173="VCA",INDEX(APOIO_REDES!$A:$W,MATCH($C1173&amp;$I1173&amp;$H1173&amp;$N1173&amp;$O1173,APOIO_REDES!$W:$W,0),MATCH(BC$5,APOIO_REDES!$5:$5,0)),0)*($AI1173+$AQ1173+$AR1173),0)</f>
        <v>0.376886326322771</v>
      </c>
      <c r="BD1173" s="153" t="n">
        <f aca="false">IF(AND($N1173="VCA",$AF1173&gt;=1.25,$AF1173&lt;1.5),$M1173*$AF1173*2,0)</f>
        <v>313.7626</v>
      </c>
      <c r="BE1173" s="153" t="n">
        <f aca="false">IF(AND($N1173="VCA",$AF1173&gt;=1.5,$AF1173&lt;3),$M1173*$AF1173*2,0)</f>
        <v>0</v>
      </c>
      <c r="BF1173" s="153" t="n">
        <f aca="false">IF(AND($N1173="VCA",$AF1173&gt;=3),$M1173*$AF1173*2,0)</f>
        <v>0</v>
      </c>
      <c r="BG1173" s="153" t="n">
        <f aca="false">($BB1173+$BC1173)*$AK1173</f>
        <v>145.485249</v>
      </c>
      <c r="BH1173" s="153" t="n">
        <f aca="false">IF(AND($M1173&lt;&gt;"",$N1173="VCA",$Q1173="LINEAR"),($M1173*2)/100,IF(AND($M1173&lt;&gt;"",$N1173="MND",$Q1173="EMBOQUE"),($AN1173*2)/100,0))</f>
        <v>2.302</v>
      </c>
      <c r="BI1173" s="153" t="n">
        <f aca="false">IF(AND($M1173&lt;&gt;"",$N1173="VCA",$Q1173="LINEAR"),$M1173,IF(AND($M1173&lt;&gt;"",$N1173="MND",$Q1173="EMBOQUE"),$AN1173*2,0))</f>
        <v>115.1</v>
      </c>
      <c r="BJ1173" s="153" t="n">
        <f aca="false">IF(AND($M1173&lt;&gt;"",$N1173="VCA",$Q1173="LINEAR"),($M1173*6.8)/100,IF(AND($M1173&lt;&gt;"",$N1173="MND",$Q1173="EMBOQUE"),($AN1173*2*6.8)/100,0))</f>
        <v>7.8268</v>
      </c>
      <c r="BK1173" s="153" t="n">
        <f aca="false">IF(AND($M1173&lt;&gt;"",$N1173="VCA",$Q1173="LINEAR"),($M1173*2.5)/50,IF(AND($M1173&lt;&gt;"",$N1173="MND",$Q1173="EMBOQUE"),($AN1173*2*2.5)/50,0))</f>
        <v>5.755</v>
      </c>
      <c r="BL1173" s="157" t="str">
        <f aca="false">K1173&amp;J1173</f>
        <v>Zona10REDES</v>
      </c>
      <c r="BM1173" s="152" t="s">
        <v>5703</v>
      </c>
      <c r="BN1173" s="152" t="s">
        <v>1560</v>
      </c>
      <c r="BO1173" s="152" t="s">
        <v>3688</v>
      </c>
      <c r="BP1173" s="152" t="s">
        <v>5981</v>
      </c>
      <c r="BQ1173" s="152" t="s">
        <v>5962</v>
      </c>
      <c r="BR1173" s="152" t="s">
        <v>5982</v>
      </c>
      <c r="BS1173" s="152" t="n">
        <v>203488.9</v>
      </c>
      <c r="BT1173" s="152" t="n">
        <v>8237010.605</v>
      </c>
      <c r="BU1173" s="152" t="n">
        <v>203580.85</v>
      </c>
      <c r="BV1173" s="152" t="n">
        <v>8237079.3</v>
      </c>
      <c r="BW1173" s="152" t="n">
        <v>-15.9281397</v>
      </c>
      <c r="BX1173" s="152" t="n">
        <v>-47.7690196</v>
      </c>
      <c r="BY1173" s="152" t="s">
        <v>5981</v>
      </c>
    </row>
    <row r="1174" customFormat="false" ht="13.8" hidden="false" customHeight="false" outlineLevel="0" collapsed="false">
      <c r="A1174" s="149" t="n">
        <f aca="false">IF(C1174&lt;&gt;"",ROW(A1169),"")</f>
        <v>1169</v>
      </c>
      <c r="B1174" s="150" t="str">
        <f aca="false">HYPERLINK("https://www.google.com/maps/dir/-15.917302,-47.760003/-15.9298751,-47.7694816/data=!4m3!4m2!3e0!5i2")</f>
        <v>https://www.google.com/maps/dir/-15.917302,-47.760003/-15.9298751,-47.7694816/data=!4m3!4m2!3e0!5i2</v>
      </c>
      <c r="C1174" s="151" t="s">
        <v>117</v>
      </c>
      <c r="D1174" s="152" t="s">
        <v>112</v>
      </c>
      <c r="E1174" s="152" t="s">
        <v>113</v>
      </c>
      <c r="F1174" s="152" t="s">
        <v>117</v>
      </c>
      <c r="G1174" s="152" t="s">
        <v>114</v>
      </c>
      <c r="H1174" s="152" t="n">
        <v>355</v>
      </c>
      <c r="I1174" s="152" t="s">
        <v>115</v>
      </c>
      <c r="J1174" s="152" t="s">
        <v>6</v>
      </c>
      <c r="K1174" s="152" t="s">
        <v>2224</v>
      </c>
      <c r="L1174" s="152" t="s">
        <v>120</v>
      </c>
      <c r="M1174" s="153" t="n">
        <f aca="false">7.31</f>
        <v>7.31</v>
      </c>
      <c r="N1174" s="152" t="s">
        <v>1548</v>
      </c>
      <c r="O1174" s="152" t="s">
        <v>1549</v>
      </c>
      <c r="P1174" s="152" t="s">
        <v>1550</v>
      </c>
      <c r="Q1174" s="152" t="s">
        <v>1551</v>
      </c>
      <c r="R1174" s="154" t="s">
        <v>5983</v>
      </c>
      <c r="S1174" s="154" t="s">
        <v>2226</v>
      </c>
      <c r="T1174" s="155" t="s">
        <v>4002</v>
      </c>
      <c r="U1174" s="152" t="str">
        <f aca="false">RIGHT(T1174,7)</f>
        <v>015/037</v>
      </c>
      <c r="V1174" s="152" t="s">
        <v>1555</v>
      </c>
      <c r="W1174" s="156" t="n">
        <v>45882</v>
      </c>
      <c r="X1174" s="152" t="s">
        <v>1594</v>
      </c>
      <c r="Y1174" s="152" t="s">
        <v>2387</v>
      </c>
      <c r="Z1174" s="152" t="s">
        <v>1557</v>
      </c>
      <c r="AA1174" s="153" t="n">
        <v>4.5</v>
      </c>
      <c r="AB1174" s="151" t="s">
        <v>5984</v>
      </c>
      <c r="AC1174" s="151" t="s">
        <v>517</v>
      </c>
      <c r="AD1174" s="151" t="str">
        <f aca="false">CONCATENATE($C1174,$I1174,$H1174,$N1174,$J1174,$K1174)</f>
        <v>TUBO PEADPEAD355VCAREDESADUTORA</v>
      </c>
      <c r="AE1174" s="153" t="n">
        <f aca="false">IFERROR(INDEX(APOIO_REDES!$A:$W,MATCH($C1174&amp;$I1174&amp;$H1174&amp;$N1174&amp;$O1174,APOIO_REDES!$W:$W,0),MATCH(AE$5,APOIO_REDES!$5:$5,0)),0)</f>
        <v>1.2</v>
      </c>
      <c r="AF1174" s="153" t="n">
        <f aca="false">IFERROR(INDEX(APOIO_REDES!$A:$W,MATCH($C1174&amp;$I1174&amp;$H1174&amp;$N1174&amp;$O1174,APOIO_REDES!$W:$W,0),MATCH(AF$5,APOIO_REDES!$5:$5,0)),0)</f>
        <v>1.655</v>
      </c>
      <c r="AG1174" s="153" t="n">
        <f aca="false">IFERROR(INDEX(APOIO_REDES!$A:$W,MATCH($C1174&amp;$I1174&amp;$H1174&amp;$N1174&amp;$O1174,APOIO_REDES!$W:$W,0),MATCH(AG$5,APOIO_REDES!$5:$5,0)),0)</f>
        <v>1</v>
      </c>
      <c r="AH1174" s="153" t="n">
        <f aca="false">IFERROR(INDEX(APOIO_REDES!$A:$W,MATCH($C1174&amp;$I1174&amp;$H1174&amp;$N1174&amp;$O1174,APOIO_REDES!$W:$W,0),MATCH(AH$5,APOIO_REDES!$5:$5,0)),0)</f>
        <v>0.1</v>
      </c>
      <c r="AI1174" s="153" t="n">
        <f aca="false">IFERROR(IF($H1174&lt;&gt;"",(((($H1174/1000)/2)^2)*PI()*$M1174),0),0)</f>
        <v>0.723542363893215</v>
      </c>
      <c r="AJ1174" s="153" t="n">
        <f aca="false">IFERROR(IF(AND($H1174&lt;&gt;"",$I1174="FoFo",OR($N1174="MND",$N1174="VCA"),$Q1174="LINEAR"),0,IF(AND($H1174&lt;&gt;"",$I1174="PEAD",$N1174="VCA",$Q1174="LINEAR"),($H1174/1000)+0.3,IF(AND($H1174&lt;&gt;"",$I1174="PEAD",$N1174="MND",$Q1174="EMBOQUE"),0,IF(AND($H1174&lt;&gt;"",$I1174="PVC",$N1174="VCA",$Q1174="LINEAR"),($H1174/1000)+0.2,IF(AND($H1174&lt;&gt;"",$I1174="PVC",$N1174="MND",$Q1174="EMBOQUE"),0,IF(AND($H1174&lt;&gt;"",$I1174="PEAD",$N1174="VCA",$Q1174="PREDIAL"),0,0)))))),0)</f>
        <v>0.655</v>
      </c>
      <c r="AK1174" s="153" t="n">
        <f aca="false">IF(AA1174&lt;&gt;"",AA1174,0)</f>
        <v>4.5</v>
      </c>
      <c r="AL1174" s="153" t="n">
        <f aca="false">IF(AND($N1174="MND",$Q1174="EMBOQUE"),$M1174,IF(AND($N1174="VCA",$Q1174="LINEAR"),$M1174,IF(AND($N1174="VCA",$Q1174="PREDIAL"),0,0)))</f>
        <v>7.31</v>
      </c>
      <c r="AM1174" s="153" t="n">
        <f aca="false">IF(AND($N1174="MND",$Q1174="EMBOQUE"),$M1174,IF(AND($N1174="VCA",$Q1174="LINEAR"),$M1174,IF(AND($N1174="VCA",$Q1174="PREDIAL"),0,0)))</f>
        <v>7.31</v>
      </c>
      <c r="AN1174" s="153" t="n">
        <f aca="false">ROUND(IF(AND($N1174="VCA",$M1174&lt;&gt;"",$Q1174="LINEAR"),$M1174/100,IF(AND($N1174="MND",$M1174&gt;100,$Q1174="EMBOQUE"),$M1174/100,0)),0)</f>
        <v>0</v>
      </c>
      <c r="AO1174" s="153" t="n">
        <f aca="false">IF(AND($N1174="MND",$Q1174="EMBOQUE"),$AN1174*2*2,IF(AND($N1174="VCA",$Q1174="LINEAR"),$M1174*2,IF(AND($N1174="VCA",$Q1174="PREDIAL"),0,0)))</f>
        <v>14.62</v>
      </c>
      <c r="AP1174" s="153" t="n">
        <f aca="false">IFERROR($M1174*$AF1174*$AG1174,0)</f>
        <v>12.09805</v>
      </c>
      <c r="AQ1174" s="153" t="n">
        <f aca="false">IFERROR(IF(AND($N1174="VCA",$AH1174&gt;0),$M1174*$AG1174*$AH1174,0),0)</f>
        <v>0.731</v>
      </c>
      <c r="AR1174" s="153" t="n">
        <f aca="false">IFERROR(IF(AND($N1174="VCA",$AJ1174&gt;0),($M1174*$AG1174*$AJ1174)-$AI1174,0),0)</f>
        <v>4.06450763610679</v>
      </c>
      <c r="AS1174" s="153" t="n">
        <f aca="false">IFERROR(IF(AND($N1174="VCA",$AP1174&gt;0),$AP1174-$AI1174-$AQ1174-$AR1174,0),0)</f>
        <v>6.579</v>
      </c>
      <c r="AT1174" s="153" t="n">
        <f aca="false">IFERROR(IF($N1174="VCA",INDEX(APOIO_REDES!$A:$W,MATCH($C1174&amp;$I1174&amp;$H1174&amp;$N1174&amp;$O1174,APOIO_REDES!$W:$W,0),MATCH(AT$5,APOIO_REDES!$5:$5,0)),0)*$AP1174,0)</f>
        <v>0.131630364840016</v>
      </c>
      <c r="AU1174" s="153" t="n">
        <f aca="false">IFERROR(IF($N1174="VCA",INDEX(APOIO_REDES!$A:$W,MATCH($C1174&amp;$I1174&amp;$H1174&amp;$N1174&amp;$O1174,APOIO_REDES!$W:$W,0),MATCH(AU$5,APOIO_REDES!$5:$5,0)),0)*$AP1174,0)</f>
        <v>0.105116444358842</v>
      </c>
      <c r="AV1174" s="153" t="n">
        <f aca="false">IFERROR(IF($N1174="VCA",INDEX(APOIO_REDES!$A:$W,MATCH($C1174&amp;$I1174&amp;$H1174&amp;$N1174&amp;$O1174,APOIO_REDES!$W:$W,0),MATCH(AV$5,APOIO_REDES!$5:$5,0)),0)*$AP1174,0)</f>
        <v>0.0145472907028211</v>
      </c>
      <c r="AW1174" s="153" t="n">
        <f aca="false">IFERROR(IF($N1174="VCA",INDEX(APOIO_REDES!$A:$W,MATCH($C1174&amp;$I1174&amp;$H1174&amp;$N1174&amp;$O1174,APOIO_REDES!$W:$W,0),MATCH(AW$5,APOIO_REDES!$5:$5,0)),0)*$AP1174,0)</f>
        <v>8.3041952602657</v>
      </c>
      <c r="AX1174" s="153" t="n">
        <f aca="false">IFERROR(IF($N1174="VCA",INDEX(APOIO_REDES!$A:$W,MATCH($C1174&amp;$I1174&amp;$H1174&amp;$N1174&amp;$O1174,APOIO_REDES!$W:$W,0),MATCH(AX$5,APOIO_REDES!$5:$5,0)),0)*$AP1174,0)</f>
        <v>1.14927696907281</v>
      </c>
      <c r="AY1174" s="153" t="n">
        <f aca="false">IFERROR(IF($N1174="VCA",INDEX(APOIO_REDES!$A:$W,MATCH($C1174&amp;$I1174&amp;$H1174&amp;$N1174&amp;$O1174,APOIO_REDES!$W:$W,0),MATCH(AY$5,APOIO_REDES!$5:$5,0)),0)*$AP1174,0)</f>
        <v>2.1023276058159</v>
      </c>
      <c r="AZ1174" s="153" t="n">
        <f aca="false">IFERROR(IF($N1174="VCA",INDEX(APOIO_REDES!$A:$W,MATCH($C1174&amp;$I1174&amp;$H1174&amp;$N1174&amp;$O1174,APOIO_REDES!$W:$W,0),MATCH(AZ$5,APOIO_REDES!$5:$5,0)),0)*$AP1174,0)</f>
        <v>0.290956064943908</v>
      </c>
      <c r="BA1174" s="153" t="n">
        <f aca="false">IFERROR(IF(AND($N1174="VCA",$Q1174="LINEAR"),INDEX(APOIO_REDES!$A:$W,MATCH($C1174&amp;$I1174&amp;$H1174&amp;$N1174&amp;$O1174,APOIO_REDES!$W:$W,0),MATCH(BA$5,APOIO_REDES!$5:$5,0)),IF(AND($N1174="MND",$Q1174="EMBOQUE"),INDEX(APOIO_REDES!$A:$W,MATCH($C1174&amp;$I1174&amp;$H1174&amp;$N1174&amp;$O1174,APOIO_REDES!$W:$W,0),MATCH(BA$5,APOIO_REDES!$5:$5,0)),0))*$M1174/10,0)</f>
        <v>0.589167561108194</v>
      </c>
      <c r="BB1174" s="153" t="n">
        <f aca="false">IFERROR(IF($N1174="VCA",INDEX(APOIO_REDES!$A:$W,MATCH($C1174&amp;$I1174&amp;$H1174&amp;$N1174&amp;$O1174,APOIO_REDES!$W:$W,0),MATCH(BB$5,APOIO_REDES!$5:$5,0)),0)*($AI1174+$AQ1174+$AR1174),0)</f>
        <v>5.45900110244459</v>
      </c>
      <c r="BC1174" s="153" t="n">
        <f aca="false">IFERROR(IF($N1174="VCA",INDEX(APOIO_REDES!$A:$W,MATCH($C1174&amp;$I1174&amp;$H1174&amp;$N1174&amp;$O1174,APOIO_REDES!$W:$W,0),MATCH(BC$5,APOIO_REDES!$5:$5,0)),0)*($AI1174+$AQ1174+$AR1174),0)</f>
        <v>0.0600488975554154</v>
      </c>
      <c r="BD1174" s="153" t="n">
        <f aca="false">IF(AND($N1174="VCA",$AF1174&gt;=1.25,$AF1174&lt;1.5),$M1174*$AF1174*2,0)</f>
        <v>0</v>
      </c>
      <c r="BE1174" s="153" t="n">
        <f aca="false">IF(AND($N1174="VCA",$AF1174&gt;=1.5,$AF1174&lt;3),$M1174*$AF1174*2,0)</f>
        <v>24.1961</v>
      </c>
      <c r="BF1174" s="153" t="n">
        <f aca="false">IF(AND($N1174="VCA",$AF1174&gt;=3),$M1174*$AF1174*2,0)</f>
        <v>0</v>
      </c>
      <c r="BG1174" s="153" t="n">
        <f aca="false">($BB1174+$BC1174)*$AK1174</f>
        <v>24.835725</v>
      </c>
      <c r="BH1174" s="153" t="n">
        <f aca="false">IF(AND($M1174&lt;&gt;"",$N1174="VCA",$Q1174="LINEAR"),($M1174*2)/100,IF(AND($M1174&lt;&gt;"",$N1174="MND",$Q1174="EMBOQUE"),($AN1174*2)/100,0))</f>
        <v>0.1462</v>
      </c>
      <c r="BI1174" s="153" t="n">
        <f aca="false">IF(AND($M1174&lt;&gt;"",$N1174="VCA",$Q1174="LINEAR"),$M1174,IF(AND($M1174&lt;&gt;"",$N1174="MND",$Q1174="EMBOQUE"),$AN1174*2,0))</f>
        <v>7.31</v>
      </c>
      <c r="BJ1174" s="153" t="n">
        <f aca="false">IF(AND($M1174&lt;&gt;"",$N1174="VCA",$Q1174="LINEAR"),($M1174*6.8)/100,IF(AND($M1174&lt;&gt;"",$N1174="MND",$Q1174="EMBOQUE"),($AN1174*2*6.8)/100,0))</f>
        <v>0.49708</v>
      </c>
      <c r="BK1174" s="153" t="n">
        <f aca="false">IF(AND($M1174&lt;&gt;"",$N1174="VCA",$Q1174="LINEAR"),($M1174*2.5)/50,IF(AND($M1174&lt;&gt;"",$N1174="MND",$Q1174="EMBOQUE"),($AN1174*2*2.5)/50,0))</f>
        <v>0.3655</v>
      </c>
      <c r="BL1174" s="157" t="str">
        <f aca="false">K1174&amp;J1174</f>
        <v>ADUTORAREDES</v>
      </c>
      <c r="BM1174" s="152" t="s">
        <v>2229</v>
      </c>
      <c r="BN1174" s="152" t="s">
        <v>2230</v>
      </c>
      <c r="BO1174" s="152" t="s">
        <v>4004</v>
      </c>
      <c r="BP1174" s="152" t="s">
        <v>5118</v>
      </c>
      <c r="BQ1174" s="152" t="s">
        <v>5985</v>
      </c>
      <c r="BR1174" s="152" t="s">
        <v>5986</v>
      </c>
      <c r="BS1174" s="152" t="n">
        <v>203486.943</v>
      </c>
      <c r="BT1174" s="152" t="n">
        <v>8236853.472</v>
      </c>
      <c r="BU1174" s="152" t="n">
        <v>203494.206</v>
      </c>
      <c r="BV1174" s="152" t="n">
        <v>8236852.668</v>
      </c>
      <c r="BW1174" s="152" t="n">
        <v>-15.9298792</v>
      </c>
      <c r="BX1174" s="152" t="n">
        <v>-47.7694478</v>
      </c>
      <c r="BY1174" s="152" t="s">
        <v>5118</v>
      </c>
    </row>
    <row r="1175" customFormat="false" ht="13.8" hidden="false" customHeight="false" outlineLevel="0" collapsed="false">
      <c r="A1175" s="149" t="n">
        <f aca="false">IF(C1175&lt;&gt;"",ROW(A1170),"")</f>
        <v>1170</v>
      </c>
      <c r="B1175" s="150" t="str">
        <f aca="false">HYPERLINK("https://www.google.com/maps/dir/-15.917302,-47.760003/-15.9298832,-47.7694139/data=!4m3!4m2!3e0!5i2")</f>
        <v>https://www.google.com/maps/dir/-15.917302,-47.760003/-15.9298832,-47.7694139/data=!4m3!4m2!3e0!5i2</v>
      </c>
      <c r="C1175" s="151" t="s">
        <v>117</v>
      </c>
      <c r="D1175" s="152" t="s">
        <v>112</v>
      </c>
      <c r="E1175" s="152" t="s">
        <v>113</v>
      </c>
      <c r="F1175" s="152" t="s">
        <v>117</v>
      </c>
      <c r="G1175" s="152" t="s">
        <v>114</v>
      </c>
      <c r="H1175" s="152" t="n">
        <v>355</v>
      </c>
      <c r="I1175" s="152" t="s">
        <v>115</v>
      </c>
      <c r="J1175" s="152" t="s">
        <v>6</v>
      </c>
      <c r="K1175" s="152" t="s">
        <v>2224</v>
      </c>
      <c r="L1175" s="152" t="s">
        <v>120</v>
      </c>
      <c r="M1175" s="153" t="n">
        <f aca="false">132.17</f>
        <v>132.17</v>
      </c>
      <c r="N1175" s="152" t="s">
        <v>1548</v>
      </c>
      <c r="O1175" s="152" t="s">
        <v>1549</v>
      </c>
      <c r="P1175" s="152" t="s">
        <v>1550</v>
      </c>
      <c r="Q1175" s="152" t="s">
        <v>1551</v>
      </c>
      <c r="R1175" s="154" t="s">
        <v>5987</v>
      </c>
      <c r="S1175" s="154" t="s">
        <v>2226</v>
      </c>
      <c r="T1175" s="155" t="s">
        <v>4002</v>
      </c>
      <c r="U1175" s="152" t="str">
        <f aca="false">RIGHT(T1175,7)</f>
        <v>015/037</v>
      </c>
      <c r="V1175" s="152" t="s">
        <v>1555</v>
      </c>
      <c r="W1175" s="156" t="n">
        <v>45882</v>
      </c>
      <c r="X1175" s="152" t="s">
        <v>1594</v>
      </c>
      <c r="Y1175" s="152" t="s">
        <v>2387</v>
      </c>
      <c r="Z1175" s="152" t="s">
        <v>1557</v>
      </c>
      <c r="AA1175" s="153" t="n">
        <v>4.5</v>
      </c>
      <c r="AB1175" s="151" t="s">
        <v>5988</v>
      </c>
      <c r="AC1175" s="151" t="s">
        <v>517</v>
      </c>
      <c r="AD1175" s="151" t="str">
        <f aca="false">CONCATENATE($C1175,$I1175,$H1175,$N1175,$J1175,$K1175)</f>
        <v>TUBO PEADPEAD355VCAREDESADUTORA</v>
      </c>
      <c r="AE1175" s="153" t="n">
        <f aca="false">IFERROR(INDEX(APOIO_REDES!$A:$W,MATCH($C1175&amp;$I1175&amp;$H1175&amp;$N1175&amp;$O1175,APOIO_REDES!$W:$W,0),MATCH(AE$5,APOIO_REDES!$5:$5,0)),0)</f>
        <v>1.2</v>
      </c>
      <c r="AF1175" s="153" t="n">
        <f aca="false">IFERROR(INDEX(APOIO_REDES!$A:$W,MATCH($C1175&amp;$I1175&amp;$H1175&amp;$N1175&amp;$O1175,APOIO_REDES!$W:$W,0),MATCH(AF$5,APOIO_REDES!$5:$5,0)),0)</f>
        <v>1.655</v>
      </c>
      <c r="AG1175" s="153" t="n">
        <f aca="false">IFERROR(INDEX(APOIO_REDES!$A:$W,MATCH($C1175&amp;$I1175&amp;$H1175&amp;$N1175&amp;$O1175,APOIO_REDES!$W:$W,0),MATCH(AG$5,APOIO_REDES!$5:$5,0)),0)</f>
        <v>1</v>
      </c>
      <c r="AH1175" s="153" t="n">
        <f aca="false">IFERROR(INDEX(APOIO_REDES!$A:$W,MATCH($C1175&amp;$I1175&amp;$H1175&amp;$N1175&amp;$O1175,APOIO_REDES!$W:$W,0),MATCH(AH$5,APOIO_REDES!$5:$5,0)),0)</f>
        <v>0.1</v>
      </c>
      <c r="AI1175" s="153" t="n">
        <f aca="false">IFERROR(IF($H1175&lt;&gt;"",(((($H1175/1000)/2)^2)*PI()*$M1175),0),0)</f>
        <v>13.0821606341677</v>
      </c>
      <c r="AJ1175" s="153" t="n">
        <f aca="false">IFERROR(IF(AND($H1175&lt;&gt;"",$I1175="FoFo",OR($N1175="MND",$N1175="VCA"),$Q1175="LINEAR"),0,IF(AND($H1175&lt;&gt;"",$I1175="PEAD",$N1175="VCA",$Q1175="LINEAR"),($H1175/1000)+0.3,IF(AND($H1175&lt;&gt;"",$I1175="PEAD",$N1175="MND",$Q1175="EMBOQUE"),0,IF(AND($H1175&lt;&gt;"",$I1175="PVC",$N1175="VCA",$Q1175="LINEAR"),($H1175/1000)+0.2,IF(AND($H1175&lt;&gt;"",$I1175="PVC",$N1175="MND",$Q1175="EMBOQUE"),0,IF(AND($H1175&lt;&gt;"",$I1175="PEAD",$N1175="VCA",$Q1175="PREDIAL"),0,0)))))),0)</f>
        <v>0.655</v>
      </c>
      <c r="AK1175" s="153" t="n">
        <f aca="false">IF(AA1175&lt;&gt;"",AA1175,0)</f>
        <v>4.5</v>
      </c>
      <c r="AL1175" s="153" t="n">
        <f aca="false">IF(AND($N1175="MND",$Q1175="EMBOQUE"),$M1175,IF(AND($N1175="VCA",$Q1175="LINEAR"),$M1175,IF(AND($N1175="VCA",$Q1175="PREDIAL"),0,0)))</f>
        <v>132.17</v>
      </c>
      <c r="AM1175" s="153" t="n">
        <f aca="false">IF(AND($N1175="MND",$Q1175="EMBOQUE"),$M1175,IF(AND($N1175="VCA",$Q1175="LINEAR"),$M1175,IF(AND($N1175="VCA",$Q1175="PREDIAL"),0,0)))</f>
        <v>132.17</v>
      </c>
      <c r="AN1175" s="153" t="n">
        <f aca="false">ROUND(IF(AND($N1175="VCA",$M1175&lt;&gt;"",$Q1175="LINEAR"),$M1175/100,IF(AND($N1175="MND",$M1175&gt;100,$Q1175="EMBOQUE"),$M1175/100,0)),0)</f>
        <v>1</v>
      </c>
      <c r="AO1175" s="153" t="n">
        <f aca="false">IF(AND($N1175="MND",$Q1175="EMBOQUE"),$AN1175*2*2,IF(AND($N1175="VCA",$Q1175="LINEAR"),$M1175*2,IF(AND($N1175="VCA",$Q1175="PREDIAL"),0,0)))</f>
        <v>264.34</v>
      </c>
      <c r="AP1175" s="153" t="n">
        <f aca="false">IFERROR($M1175*$AF1175*$AG1175,0)</f>
        <v>218.74135</v>
      </c>
      <c r="AQ1175" s="153" t="n">
        <f aca="false">IFERROR(IF(AND($N1175="VCA",$AH1175&gt;0),$M1175*$AG1175*$AH1175,0),0)</f>
        <v>13.217</v>
      </c>
      <c r="AR1175" s="153" t="n">
        <f aca="false">IFERROR(IF(AND($N1175="VCA",$AJ1175&gt;0),($M1175*$AG1175*$AJ1175)-$AI1175,0),0)</f>
        <v>73.4891893658323</v>
      </c>
      <c r="AS1175" s="153" t="n">
        <f aca="false">IFERROR(IF(AND($N1175="VCA",$AP1175&gt;0),$AP1175-$AI1175-$AQ1175-$AR1175,0),0)</f>
        <v>118.953</v>
      </c>
      <c r="AT1175" s="153" t="n">
        <f aca="false">IFERROR(IF($N1175="VCA",INDEX(APOIO_REDES!$A:$W,MATCH($C1175&amp;$I1175&amp;$H1175&amp;$N1175&amp;$O1175,APOIO_REDES!$W:$W,0),MATCH(AT$5,APOIO_REDES!$5:$5,0)),0)*$AP1175,0)</f>
        <v>2.37997063213474</v>
      </c>
      <c r="AU1175" s="153" t="n">
        <f aca="false">IFERROR(IF($N1175="VCA",INDEX(APOIO_REDES!$A:$W,MATCH($C1175&amp;$I1175&amp;$H1175&amp;$N1175&amp;$O1175,APOIO_REDES!$W:$W,0),MATCH(AU$5,APOIO_REDES!$5:$5,0)),0)*$AP1175,0)</f>
        <v>1.90058008904352</v>
      </c>
      <c r="AV1175" s="153" t="n">
        <f aca="false">IFERROR(IF($N1175="VCA",INDEX(APOIO_REDES!$A:$W,MATCH($C1175&amp;$I1175&amp;$H1175&amp;$N1175&amp;$O1175,APOIO_REDES!$W:$W,0),MATCH(AV$5,APOIO_REDES!$5:$5,0)),0)*$AP1175,0)</f>
        <v>0.263025364184934</v>
      </c>
      <c r="AW1175" s="153" t="n">
        <f aca="false">IFERROR(IF($N1175="VCA",INDEX(APOIO_REDES!$A:$W,MATCH($C1175&amp;$I1175&amp;$H1175&amp;$N1175&amp;$O1175,APOIO_REDES!$W:$W,0),MATCH(AW$5,APOIO_REDES!$5:$5,0)),0)*$AP1175,0)</f>
        <v>150.145757530686</v>
      </c>
      <c r="AX1175" s="153" t="n">
        <f aca="false">IFERROR(IF($N1175="VCA",INDEX(APOIO_REDES!$A:$W,MATCH($C1175&amp;$I1175&amp;$H1175&amp;$N1175&amp;$O1175,APOIO_REDES!$W:$W,0),MATCH(AX$5,APOIO_REDES!$5:$5,0)),0)*$AP1175,0)</f>
        <v>20.7797451439608</v>
      </c>
      <c r="AY1175" s="153" t="n">
        <f aca="false">IFERROR(IF($N1175="VCA",INDEX(APOIO_REDES!$A:$W,MATCH($C1175&amp;$I1175&amp;$H1175&amp;$N1175&amp;$O1175,APOIO_REDES!$W:$W,0),MATCH(AY$5,APOIO_REDES!$5:$5,0)),0)*$AP1175,0)</f>
        <v>38.0115786129532</v>
      </c>
      <c r="AZ1175" s="153" t="n">
        <f aca="false">IFERROR(IF($N1175="VCA",INDEX(APOIO_REDES!$A:$W,MATCH($C1175&amp;$I1175&amp;$H1175&amp;$N1175&amp;$O1175,APOIO_REDES!$W:$W,0),MATCH(AZ$5,APOIO_REDES!$5:$5,0)),0)*$AP1175,0)</f>
        <v>5.26069262703643</v>
      </c>
      <c r="BA1175" s="153" t="n">
        <f aca="false">IFERROR(IF(AND($N1175="VCA",$Q1175="LINEAR"),INDEX(APOIO_REDES!$A:$W,MATCH($C1175&amp;$I1175&amp;$H1175&amp;$N1175&amp;$O1175,APOIO_REDES!$W:$W,0),MATCH(BA$5,APOIO_REDES!$5:$5,0)),IF(AND($N1175="MND",$Q1175="EMBOQUE"),INDEX(APOIO_REDES!$A:$W,MATCH($C1175&amp;$I1175&amp;$H1175&amp;$N1175&amp;$O1175,APOIO_REDES!$W:$W,0),MATCH(BA$5,APOIO_REDES!$5:$5,0)),0))*$M1175/10,0)</f>
        <v>10.6525686117196</v>
      </c>
      <c r="BB1175" s="153" t="n">
        <f aca="false">IFERROR(IF($N1175="VCA",INDEX(APOIO_REDES!$A:$W,MATCH($C1175&amp;$I1175&amp;$H1175&amp;$N1175&amp;$O1175,APOIO_REDES!$W:$W,0),MATCH(BB$5,APOIO_REDES!$5:$5,0)),0)*($AI1175+$AQ1175+$AR1175),0)</f>
        <v>98.702623216156</v>
      </c>
      <c r="BC1175" s="153" t="n">
        <f aca="false">IFERROR(IF($N1175="VCA",INDEX(APOIO_REDES!$A:$W,MATCH($C1175&amp;$I1175&amp;$H1175&amp;$N1175&amp;$O1175,APOIO_REDES!$W:$W,0),MATCH(BC$5,APOIO_REDES!$5:$5,0)),0)*($AI1175+$AQ1175+$AR1175),0)</f>
        <v>1.08572678384395</v>
      </c>
      <c r="BD1175" s="153" t="n">
        <f aca="false">IF(AND($N1175="VCA",$AF1175&gt;=1.25,$AF1175&lt;1.5),$M1175*$AF1175*2,0)</f>
        <v>0</v>
      </c>
      <c r="BE1175" s="153" t="n">
        <f aca="false">IF(AND($N1175="VCA",$AF1175&gt;=1.5,$AF1175&lt;3),$M1175*$AF1175*2,0)</f>
        <v>437.4827</v>
      </c>
      <c r="BF1175" s="153" t="n">
        <f aca="false">IF(AND($N1175="VCA",$AF1175&gt;=3),$M1175*$AF1175*2,0)</f>
        <v>0</v>
      </c>
      <c r="BG1175" s="153" t="n">
        <f aca="false">($BB1175+$BC1175)*$AK1175</f>
        <v>449.047575</v>
      </c>
      <c r="BH1175" s="153" t="n">
        <f aca="false">IF(AND($M1175&lt;&gt;"",$N1175="VCA",$Q1175="LINEAR"),($M1175*2)/100,IF(AND($M1175&lt;&gt;"",$N1175="MND",$Q1175="EMBOQUE"),($AN1175*2)/100,0))</f>
        <v>2.6434</v>
      </c>
      <c r="BI1175" s="153" t="n">
        <f aca="false">IF(AND($M1175&lt;&gt;"",$N1175="VCA",$Q1175="LINEAR"),$M1175,IF(AND($M1175&lt;&gt;"",$N1175="MND",$Q1175="EMBOQUE"),$AN1175*2,0))</f>
        <v>132.17</v>
      </c>
      <c r="BJ1175" s="153" t="n">
        <f aca="false">IF(AND($M1175&lt;&gt;"",$N1175="VCA",$Q1175="LINEAR"),($M1175*6.8)/100,IF(AND($M1175&lt;&gt;"",$N1175="MND",$Q1175="EMBOQUE"),($AN1175*2*6.8)/100,0))</f>
        <v>8.98756</v>
      </c>
      <c r="BK1175" s="153" t="n">
        <f aca="false">IF(AND($M1175&lt;&gt;"",$N1175="VCA",$Q1175="LINEAR"),($M1175*2.5)/50,IF(AND($M1175&lt;&gt;"",$N1175="MND",$Q1175="EMBOQUE"),($AN1175*2*2.5)/50,0))</f>
        <v>6.6085</v>
      </c>
      <c r="BL1175" s="157" t="str">
        <f aca="false">K1175&amp;J1175</f>
        <v>ADUTORAREDES</v>
      </c>
      <c r="BM1175" s="152" t="s">
        <v>2229</v>
      </c>
      <c r="BN1175" s="152" t="s">
        <v>2230</v>
      </c>
      <c r="BO1175" s="152" t="s">
        <v>4004</v>
      </c>
      <c r="BP1175" s="152" t="s">
        <v>5985</v>
      </c>
      <c r="BQ1175" s="152" t="s">
        <v>2032</v>
      </c>
      <c r="BR1175" s="152" t="s">
        <v>5989</v>
      </c>
      <c r="BS1175" s="152" t="n">
        <v>203494.206</v>
      </c>
      <c r="BT1175" s="152" t="n">
        <v>8236852.668</v>
      </c>
      <c r="BU1175" s="152" t="n">
        <v>203518.352</v>
      </c>
      <c r="BV1175" s="152" t="n">
        <v>8236726.58</v>
      </c>
      <c r="BW1175" s="152" t="n">
        <v>-15.9304723</v>
      </c>
      <c r="BX1175" s="152" t="n">
        <v>-47.7694337</v>
      </c>
      <c r="BY1175" s="152" t="s">
        <v>5990</v>
      </c>
    </row>
    <row r="1176" customFormat="false" ht="13.8" hidden="false" customHeight="false" outlineLevel="0" collapsed="false">
      <c r="A1176" s="149" t="n">
        <f aca="false">IF(C1176&lt;&gt;"",ROW(A1171),"")</f>
        <v>1171</v>
      </c>
      <c r="B1176" s="150" t="str">
        <f aca="false">HYPERLINK("https://www.google.com/maps/dir/-15.917302,-47.760003/-15.9281453,-47.7697162/data=!4m3!4m2!3e0!5i0")</f>
        <v>https://www.google.com/maps/dir/-15.917302,-47.760003/-15.9281453,-47.7697162/data=!4m3!4m2!3e0!5i0</v>
      </c>
      <c r="C1176" s="151" t="s">
        <v>117</v>
      </c>
      <c r="D1176" s="152" t="s">
        <v>112</v>
      </c>
      <c r="E1176" s="152" t="s">
        <v>113</v>
      </c>
      <c r="F1176" s="152" t="s">
        <v>117</v>
      </c>
      <c r="G1176" s="152" t="s">
        <v>114</v>
      </c>
      <c r="H1176" s="152" t="n">
        <v>160</v>
      </c>
      <c r="I1176" s="152" t="s">
        <v>115</v>
      </c>
      <c r="J1176" s="152" t="s">
        <v>6</v>
      </c>
      <c r="K1176" s="152" t="s">
        <v>5700</v>
      </c>
      <c r="L1176" s="152" t="s">
        <v>120</v>
      </c>
      <c r="M1176" s="153" t="n">
        <f aca="false">43.53</f>
        <v>43.53</v>
      </c>
      <c r="N1176" s="152" t="s">
        <v>1548</v>
      </c>
      <c r="O1176" s="152" t="s">
        <v>1549</v>
      </c>
      <c r="P1176" s="152" t="s">
        <v>1550</v>
      </c>
      <c r="Q1176" s="152" t="s">
        <v>1551</v>
      </c>
      <c r="R1176" s="154" t="s">
        <v>5991</v>
      </c>
      <c r="S1176" s="154" t="s">
        <v>1593</v>
      </c>
      <c r="T1176" s="155" t="s">
        <v>4002</v>
      </c>
      <c r="U1176" s="152" t="str">
        <f aca="false">RIGHT(T1176,7)</f>
        <v>015/037</v>
      </c>
      <c r="V1176" s="152" t="s">
        <v>1555</v>
      </c>
      <c r="W1176" s="156" t="n">
        <v>45882</v>
      </c>
      <c r="X1176" s="152" t="s">
        <v>1594</v>
      </c>
      <c r="Y1176" s="152" t="s">
        <v>5146</v>
      </c>
      <c r="Z1176" s="152" t="s">
        <v>1557</v>
      </c>
      <c r="AA1176" s="153" t="n">
        <v>2.6</v>
      </c>
      <c r="AB1176" s="151" t="s">
        <v>5122</v>
      </c>
      <c r="AC1176" s="151" t="s">
        <v>505</v>
      </c>
      <c r="AD1176" s="151" t="str">
        <f aca="false">CONCATENATE($C1176,$I1176,$H1176,$N1176,$J1176,$K1176)</f>
        <v>TUBO PEADPEAD160VCAREDESZona10</v>
      </c>
      <c r="AE1176" s="153" t="n">
        <f aca="false">IFERROR(INDEX(APOIO_REDES!$A:$W,MATCH($C1176&amp;$I1176&amp;$H1176&amp;$N1176&amp;$O1176,APOIO_REDES!$W:$W,0),MATCH(AE$5,APOIO_REDES!$5:$5,0)),0)</f>
        <v>1.2</v>
      </c>
      <c r="AF1176" s="153" t="n">
        <f aca="false">IFERROR(INDEX(APOIO_REDES!$A:$W,MATCH($C1176&amp;$I1176&amp;$H1176&amp;$N1176&amp;$O1176,APOIO_REDES!$W:$W,0),MATCH(AF$5,APOIO_REDES!$5:$5,0)),0)</f>
        <v>1.46</v>
      </c>
      <c r="AG1176" s="153" t="n">
        <f aca="false">IFERROR(INDEX(APOIO_REDES!$A:$W,MATCH($C1176&amp;$I1176&amp;$H1176&amp;$N1176&amp;$O1176,APOIO_REDES!$W:$W,0),MATCH(AG$5,APOIO_REDES!$5:$5,0)),0)</f>
        <v>0.75</v>
      </c>
      <c r="AH1176" s="153" t="n">
        <f aca="false">IFERROR(INDEX(APOIO_REDES!$A:$W,MATCH($C1176&amp;$I1176&amp;$H1176&amp;$N1176&amp;$O1176,APOIO_REDES!$W:$W,0),MATCH(AH$5,APOIO_REDES!$5:$5,0)),0)</f>
        <v>0.1</v>
      </c>
      <c r="AI1176" s="153" t="n">
        <f aca="false">IFERROR(IF($H1176&lt;&gt;"",(((($H1176/1000)/2)^2)*PI()*$M1176),0),0)</f>
        <v>0.875222580548888</v>
      </c>
      <c r="AJ1176" s="153" t="n">
        <f aca="false">IFERROR(IF(AND($H1176&lt;&gt;"",$I1176="FoFo",OR($N1176="MND",$N1176="VCA"),$Q1176="LINEAR"),0,IF(AND($H1176&lt;&gt;"",$I1176="PEAD",$N1176="VCA",$Q1176="LINEAR"),($H1176/1000)+0.3,IF(AND($H1176&lt;&gt;"",$I1176="PEAD",$N1176="MND",$Q1176="EMBOQUE"),0,IF(AND($H1176&lt;&gt;"",$I1176="PVC",$N1176="VCA",$Q1176="LINEAR"),($H1176/1000)+0.2,IF(AND($H1176&lt;&gt;"",$I1176="PVC",$N1176="MND",$Q1176="EMBOQUE"),0,IF(AND($H1176&lt;&gt;"",$I1176="PEAD",$N1176="VCA",$Q1176="PREDIAL"),0,0)))))),0)</f>
        <v>0.46</v>
      </c>
      <c r="AK1176" s="153" t="n">
        <f aca="false">IF(AA1176&lt;&gt;"",AA1176,0)</f>
        <v>2.6</v>
      </c>
      <c r="AL1176" s="153" t="n">
        <f aca="false">IF(AND($N1176="MND",$Q1176="EMBOQUE"),$M1176,IF(AND($N1176="VCA",$Q1176="LINEAR"),$M1176,IF(AND($N1176="VCA",$Q1176="PREDIAL"),0,0)))</f>
        <v>43.53</v>
      </c>
      <c r="AM1176" s="153" t="n">
        <f aca="false">IF(AND($N1176="MND",$Q1176="EMBOQUE"),$M1176,IF(AND($N1176="VCA",$Q1176="LINEAR"),$M1176,IF(AND($N1176="VCA",$Q1176="PREDIAL"),0,0)))</f>
        <v>43.53</v>
      </c>
      <c r="AN1176" s="153" t="n">
        <f aca="false">ROUND(IF(AND($N1176="VCA",$M1176&lt;&gt;"",$Q1176="LINEAR"),$M1176/100,IF(AND($N1176="MND",$M1176&gt;100,$Q1176="EMBOQUE"),$M1176/100,0)),0)</f>
        <v>0</v>
      </c>
      <c r="AO1176" s="153" t="n">
        <f aca="false">IF(AND($N1176="MND",$Q1176="EMBOQUE"),$AN1176*2*2,IF(AND($N1176="VCA",$Q1176="LINEAR"),$M1176*2,IF(AND($N1176="VCA",$Q1176="PREDIAL"),0,0)))</f>
        <v>87.06</v>
      </c>
      <c r="AP1176" s="153" t="n">
        <f aca="false">IFERROR($M1176*$AF1176*$AG1176,0)</f>
        <v>47.66535</v>
      </c>
      <c r="AQ1176" s="153" t="n">
        <f aca="false">IFERROR(IF(AND($N1176="VCA",$AH1176&gt;0),$M1176*$AG1176*$AH1176,0),0)</f>
        <v>3.26475</v>
      </c>
      <c r="AR1176" s="153" t="n">
        <f aca="false">IFERROR(IF(AND($N1176="VCA",$AJ1176&gt;0),($M1176*$AG1176*$AJ1176)-$AI1176,0),0)</f>
        <v>14.1426274194511</v>
      </c>
      <c r="AS1176" s="153" t="n">
        <f aca="false">IFERROR(IF(AND($N1176="VCA",$AP1176&gt;0),$AP1176-$AI1176-$AQ1176-$AR1176,0),0)</f>
        <v>29.38275</v>
      </c>
      <c r="AT1176" s="153" t="n">
        <f aca="false">IFERROR(IF($N1176="VCA",INDEX(APOIO_REDES!$A:$W,MATCH($C1176&amp;$I1176&amp;$H1176&amp;$N1176&amp;$O1176,APOIO_REDES!$W:$W,0),MATCH(AT$5,APOIO_REDES!$5:$5,0)),0)*$AP1176,0)</f>
        <v>0.518613116223447</v>
      </c>
      <c r="AU1176" s="153" t="n">
        <f aca="false">IFERROR(IF($N1176="VCA",INDEX(APOIO_REDES!$A:$W,MATCH($C1176&amp;$I1176&amp;$H1176&amp;$N1176&amp;$O1176,APOIO_REDES!$W:$W,0),MATCH(AU$5,APOIO_REDES!$5:$5,0)),0)*$AP1176,0)</f>
        <v>0.414150388791559</v>
      </c>
      <c r="AV1176" s="153" t="n">
        <f aca="false">IFERROR(IF($N1176="VCA",INDEX(APOIO_REDES!$A:$W,MATCH($C1176&amp;$I1176&amp;$H1176&amp;$N1176&amp;$O1176,APOIO_REDES!$W:$W,0),MATCH(AV$5,APOIO_REDES!$5:$5,0)),0)*$AP1176,0)</f>
        <v>0.0573151626007262</v>
      </c>
      <c r="AW1176" s="153" t="n">
        <f aca="false">IFERROR(IF($N1176="VCA",INDEX(APOIO_REDES!$A:$W,MATCH($C1176&amp;$I1176&amp;$H1176&amp;$N1176&amp;$O1176,APOIO_REDES!$W:$W,0),MATCH(AW$5,APOIO_REDES!$5:$5,0)),0)*$AP1176,0)</f>
        <v>32.7178655691542</v>
      </c>
      <c r="AX1176" s="153" t="n">
        <f aca="false">IFERROR(IF($N1176="VCA",INDEX(APOIO_REDES!$A:$W,MATCH($C1176&amp;$I1176&amp;$H1176&amp;$N1176&amp;$O1176,APOIO_REDES!$W:$W,0),MATCH(AX$5,APOIO_REDES!$5:$5,0)),0)*$AP1176,0)</f>
        <v>4.52805939616672</v>
      </c>
      <c r="AY1176" s="153" t="n">
        <f aca="false">IFERROR(IF($N1176="VCA",INDEX(APOIO_REDES!$A:$W,MATCH($C1176&amp;$I1176&amp;$H1176&amp;$N1176&amp;$O1176,APOIO_REDES!$W:$W,0),MATCH(AY$5,APOIO_REDES!$5:$5,0)),0)*$AP1176,0)</f>
        <v>8.28300272737152</v>
      </c>
      <c r="AZ1176" s="153" t="n">
        <f aca="false">IFERROR(IF($N1176="VCA",INDEX(APOIO_REDES!$A:$W,MATCH($C1176&amp;$I1176&amp;$H1176&amp;$N1176&amp;$O1176,APOIO_REDES!$W:$W,0),MATCH(AZ$5,APOIO_REDES!$5:$5,0)),0)*$AP1176,0)</f>
        <v>1.14634363969186</v>
      </c>
      <c r="BA1176" s="153" t="n">
        <f aca="false">IFERROR(IF(AND($N1176="VCA",$Q1176="LINEAR"),INDEX(APOIO_REDES!$A:$W,MATCH($C1176&amp;$I1176&amp;$H1176&amp;$N1176&amp;$O1176,APOIO_REDES!$W:$W,0),MATCH(BA$5,APOIO_REDES!$5:$5,0)),IF(AND($N1176="MND",$Q1176="EMBOQUE"),INDEX(APOIO_REDES!$A:$W,MATCH($C1176&amp;$I1176&amp;$H1176&amp;$N1176&amp;$O1176,APOIO_REDES!$W:$W,0),MATCH(BA$5,APOIO_REDES!$5:$5,0)),0))*$M1176/10,0)</f>
        <v>3.50840819904784</v>
      </c>
      <c r="BB1176" s="153" t="n">
        <f aca="false">IFERROR(IF($N1176="VCA",INDEX(APOIO_REDES!$A:$W,MATCH($C1176&amp;$I1176&amp;$H1176&amp;$N1176&amp;$O1176,APOIO_REDES!$W:$W,0),MATCH(BB$5,APOIO_REDES!$5:$5,0)),0)*($AI1176+$AQ1176+$AR1176),0)</f>
        <v>18.0836799006266</v>
      </c>
      <c r="BC1176" s="153" t="n">
        <f aca="false">IFERROR(IF($N1176="VCA",INDEX(APOIO_REDES!$A:$W,MATCH($C1176&amp;$I1176&amp;$H1176&amp;$N1176&amp;$O1176,APOIO_REDES!$W:$W,0),MATCH(BC$5,APOIO_REDES!$5:$5,0)),0)*($AI1176+$AQ1176+$AR1176),0)</f>
        <v>0.198920099373377</v>
      </c>
      <c r="BD1176" s="153" t="n">
        <f aca="false">IF(AND($N1176="VCA",$AF1176&gt;=1.25,$AF1176&lt;1.5),$M1176*$AF1176*2,0)</f>
        <v>127.1076</v>
      </c>
      <c r="BE1176" s="153" t="n">
        <f aca="false">IF(AND($N1176="VCA",$AF1176&gt;=1.5,$AF1176&lt;3),$M1176*$AF1176*2,0)</f>
        <v>0</v>
      </c>
      <c r="BF1176" s="153" t="n">
        <f aca="false">IF(AND($N1176="VCA",$AF1176&gt;=3),$M1176*$AF1176*2,0)</f>
        <v>0</v>
      </c>
      <c r="BG1176" s="153" t="n">
        <f aca="false">($BB1176+$BC1176)*$AK1176</f>
        <v>47.53476</v>
      </c>
      <c r="BH1176" s="153" t="n">
        <f aca="false">IF(AND($M1176&lt;&gt;"",$N1176="VCA",$Q1176="LINEAR"),($M1176*2)/100,IF(AND($M1176&lt;&gt;"",$N1176="MND",$Q1176="EMBOQUE"),($AN1176*2)/100,0))</f>
        <v>0.8706</v>
      </c>
      <c r="BI1176" s="153" t="n">
        <f aca="false">IF(AND($M1176&lt;&gt;"",$N1176="VCA",$Q1176="LINEAR"),$M1176,IF(AND($M1176&lt;&gt;"",$N1176="MND",$Q1176="EMBOQUE"),$AN1176*2,0))</f>
        <v>43.53</v>
      </c>
      <c r="BJ1176" s="153" t="n">
        <f aca="false">IF(AND($M1176&lt;&gt;"",$N1176="VCA",$Q1176="LINEAR"),($M1176*6.8)/100,IF(AND($M1176&lt;&gt;"",$N1176="MND",$Q1176="EMBOQUE"),($AN1176*2*6.8)/100,0))</f>
        <v>2.96004</v>
      </c>
      <c r="BK1176" s="153" t="n">
        <f aca="false">IF(AND($M1176&lt;&gt;"",$N1176="VCA",$Q1176="LINEAR"),($M1176*2.5)/50,IF(AND($M1176&lt;&gt;"",$N1176="MND",$Q1176="EMBOQUE"),($AN1176*2*2.5)/50,0))</f>
        <v>2.1765</v>
      </c>
      <c r="BL1176" s="157" t="str">
        <f aca="false">K1176&amp;J1176</f>
        <v>Zona10REDES</v>
      </c>
      <c r="BM1176" s="152" t="s">
        <v>5703</v>
      </c>
      <c r="BN1176" s="152" t="s">
        <v>1560</v>
      </c>
      <c r="BO1176" s="152" t="s">
        <v>4004</v>
      </c>
      <c r="BP1176" s="152" t="s">
        <v>2032</v>
      </c>
      <c r="BQ1176" s="152" t="s">
        <v>2032</v>
      </c>
      <c r="BR1176" s="152" t="s">
        <v>5123</v>
      </c>
      <c r="BS1176" s="152" t="n">
        <v>203454.517</v>
      </c>
      <c r="BT1176" s="152" t="n">
        <v>8237044.683</v>
      </c>
      <c r="BU1176" s="152" t="n">
        <v>203474.05</v>
      </c>
      <c r="BV1176" s="152" t="n">
        <v>8237005.837</v>
      </c>
      <c r="BW1176" s="152" t="n">
        <v>-15.9283189</v>
      </c>
      <c r="BX1176" s="152" t="n">
        <v>-47.7696673</v>
      </c>
      <c r="BY1176" s="152" t="s">
        <v>5147</v>
      </c>
    </row>
    <row r="1177" customFormat="false" ht="13.8" hidden="false" customHeight="false" outlineLevel="0" collapsed="false">
      <c r="A1177" s="149" t="n">
        <f aca="false">IF(C1177&lt;&gt;"",ROW(A1172),"")</f>
        <v>1172</v>
      </c>
      <c r="B1177" s="150" t="str">
        <f aca="false">HYPERLINK("https://www.google.com/maps/dir/-15.917302,-47.760003/-15.9281453,-47.7697162/data=!4m3!4m2!3e0!5i0")</f>
        <v>https://www.google.com/maps/dir/-15.917302,-47.760003/-15.9281453,-47.7697162/data=!4m3!4m2!3e0!5i0</v>
      </c>
      <c r="C1177" s="151" t="s">
        <v>117</v>
      </c>
      <c r="D1177" s="152" t="s">
        <v>112</v>
      </c>
      <c r="E1177" s="152" t="s">
        <v>113</v>
      </c>
      <c r="F1177" s="152" t="s">
        <v>117</v>
      </c>
      <c r="G1177" s="152" t="s">
        <v>114</v>
      </c>
      <c r="H1177" s="152" t="n">
        <v>160</v>
      </c>
      <c r="I1177" s="152" t="s">
        <v>115</v>
      </c>
      <c r="J1177" s="152" t="s">
        <v>6</v>
      </c>
      <c r="K1177" s="152" t="s">
        <v>5700</v>
      </c>
      <c r="L1177" s="152" t="s">
        <v>120</v>
      </c>
      <c r="M1177" s="153" t="n">
        <f aca="false">43.09</f>
        <v>43.09</v>
      </c>
      <c r="N1177" s="152" t="s">
        <v>1548</v>
      </c>
      <c r="O1177" s="152" t="s">
        <v>1549</v>
      </c>
      <c r="P1177" s="152" t="s">
        <v>1550</v>
      </c>
      <c r="Q1177" s="152" t="s">
        <v>1551</v>
      </c>
      <c r="R1177" s="154" t="s">
        <v>5992</v>
      </c>
      <c r="S1177" s="154" t="s">
        <v>1593</v>
      </c>
      <c r="T1177" s="155" t="s">
        <v>4002</v>
      </c>
      <c r="U1177" s="152" t="str">
        <f aca="false">RIGHT(T1177,7)</f>
        <v>015/037</v>
      </c>
      <c r="V1177" s="152" t="s">
        <v>1555</v>
      </c>
      <c r="W1177" s="156" t="n">
        <v>45882</v>
      </c>
      <c r="X1177" s="152" t="s">
        <v>1594</v>
      </c>
      <c r="Y1177" s="152" t="s">
        <v>5146</v>
      </c>
      <c r="Z1177" s="152" t="s">
        <v>1557</v>
      </c>
      <c r="AA1177" s="153" t="n">
        <v>2.6</v>
      </c>
      <c r="AB1177" s="151" t="s">
        <v>5993</v>
      </c>
      <c r="AC1177" s="151" t="s">
        <v>505</v>
      </c>
      <c r="AD1177" s="151" t="str">
        <f aca="false">CONCATENATE($C1177,$I1177,$H1177,$N1177,$J1177,$K1177)</f>
        <v>TUBO PEADPEAD160VCAREDESZona10</v>
      </c>
      <c r="AE1177" s="153" t="n">
        <f aca="false">IFERROR(INDEX(APOIO_REDES!$A:$W,MATCH($C1177&amp;$I1177&amp;$H1177&amp;$N1177&amp;$O1177,APOIO_REDES!$W:$W,0),MATCH(AE$5,APOIO_REDES!$5:$5,0)),0)</f>
        <v>1.2</v>
      </c>
      <c r="AF1177" s="153" t="n">
        <f aca="false">IFERROR(INDEX(APOIO_REDES!$A:$W,MATCH($C1177&amp;$I1177&amp;$H1177&amp;$N1177&amp;$O1177,APOIO_REDES!$W:$W,0),MATCH(AF$5,APOIO_REDES!$5:$5,0)),0)</f>
        <v>1.46</v>
      </c>
      <c r="AG1177" s="153" t="n">
        <f aca="false">IFERROR(INDEX(APOIO_REDES!$A:$W,MATCH($C1177&amp;$I1177&amp;$H1177&amp;$N1177&amp;$O1177,APOIO_REDES!$W:$W,0),MATCH(AG$5,APOIO_REDES!$5:$5,0)),0)</f>
        <v>0.75</v>
      </c>
      <c r="AH1177" s="153" t="n">
        <f aca="false">IFERROR(INDEX(APOIO_REDES!$A:$W,MATCH($C1177&amp;$I1177&amp;$H1177&amp;$N1177&amp;$O1177,APOIO_REDES!$W:$W,0),MATCH(AH$5,APOIO_REDES!$5:$5,0)),0)</f>
        <v>0.1</v>
      </c>
      <c r="AI1177" s="153" t="n">
        <f aca="false">IFERROR(IF($H1177&lt;&gt;"",(((($H1177/1000)/2)^2)*PI()*$M1177),0),0)</f>
        <v>0.866375855636379</v>
      </c>
      <c r="AJ1177" s="153" t="n">
        <f aca="false">IFERROR(IF(AND($H1177&lt;&gt;"",$I1177="FoFo",OR($N1177="MND",$N1177="VCA"),$Q1177="LINEAR"),0,IF(AND($H1177&lt;&gt;"",$I1177="PEAD",$N1177="VCA",$Q1177="LINEAR"),($H1177/1000)+0.3,IF(AND($H1177&lt;&gt;"",$I1177="PEAD",$N1177="MND",$Q1177="EMBOQUE"),0,IF(AND($H1177&lt;&gt;"",$I1177="PVC",$N1177="VCA",$Q1177="LINEAR"),($H1177/1000)+0.2,IF(AND($H1177&lt;&gt;"",$I1177="PVC",$N1177="MND",$Q1177="EMBOQUE"),0,IF(AND($H1177&lt;&gt;"",$I1177="PEAD",$N1177="VCA",$Q1177="PREDIAL"),0,0)))))),0)</f>
        <v>0.46</v>
      </c>
      <c r="AK1177" s="153" t="n">
        <f aca="false">IF(AA1177&lt;&gt;"",AA1177,0)</f>
        <v>2.6</v>
      </c>
      <c r="AL1177" s="153" t="n">
        <f aca="false">IF(AND($N1177="MND",$Q1177="EMBOQUE"),$M1177,IF(AND($N1177="VCA",$Q1177="LINEAR"),$M1177,IF(AND($N1177="VCA",$Q1177="PREDIAL"),0,0)))</f>
        <v>43.09</v>
      </c>
      <c r="AM1177" s="153" t="n">
        <f aca="false">IF(AND($N1177="MND",$Q1177="EMBOQUE"),$M1177,IF(AND($N1177="VCA",$Q1177="LINEAR"),$M1177,IF(AND($N1177="VCA",$Q1177="PREDIAL"),0,0)))</f>
        <v>43.09</v>
      </c>
      <c r="AN1177" s="153" t="n">
        <f aca="false">ROUND(IF(AND($N1177="VCA",$M1177&lt;&gt;"",$Q1177="LINEAR"),$M1177/100,IF(AND($N1177="MND",$M1177&gt;100,$Q1177="EMBOQUE"),$M1177/100,0)),0)</f>
        <v>0</v>
      </c>
      <c r="AO1177" s="153" t="n">
        <f aca="false">IF(AND($N1177="MND",$Q1177="EMBOQUE"),$AN1177*2*2,IF(AND($N1177="VCA",$Q1177="LINEAR"),$M1177*2,IF(AND($N1177="VCA",$Q1177="PREDIAL"),0,0)))</f>
        <v>86.18</v>
      </c>
      <c r="AP1177" s="153" t="n">
        <f aca="false">IFERROR($M1177*$AF1177*$AG1177,0)</f>
        <v>47.18355</v>
      </c>
      <c r="AQ1177" s="153" t="n">
        <f aca="false">IFERROR(IF(AND($N1177="VCA",$AH1177&gt;0),$M1177*$AG1177*$AH1177,0),0)</f>
        <v>3.23175</v>
      </c>
      <c r="AR1177" s="153" t="n">
        <f aca="false">IFERROR(IF(AND($N1177="VCA",$AJ1177&gt;0),($M1177*$AG1177*$AJ1177)-$AI1177,0),0)</f>
        <v>13.9996741443636</v>
      </c>
      <c r="AS1177" s="153" t="n">
        <f aca="false">IFERROR(IF(AND($N1177="VCA",$AP1177&gt;0),$AP1177-$AI1177-$AQ1177-$AR1177,0),0)</f>
        <v>29.08575</v>
      </c>
      <c r="AT1177" s="153" t="n">
        <f aca="false">IFERROR(IF($N1177="VCA",INDEX(APOIO_REDES!$A:$W,MATCH($C1177&amp;$I1177&amp;$H1177&amp;$N1177&amp;$O1177,APOIO_REDES!$W:$W,0),MATCH(AT$5,APOIO_REDES!$5:$5,0)),0)*$AP1177,0)</f>
        <v>0.513370989617927</v>
      </c>
      <c r="AU1177" s="153" t="n">
        <f aca="false">IFERROR(IF($N1177="VCA",INDEX(APOIO_REDES!$A:$W,MATCH($C1177&amp;$I1177&amp;$H1177&amp;$N1177&amp;$O1177,APOIO_REDES!$W:$W,0),MATCH(AU$5,APOIO_REDES!$5:$5,0)),0)*$AP1177,0)</f>
        <v>0.409964168459184</v>
      </c>
      <c r="AV1177" s="153" t="n">
        <f aca="false">IFERROR(IF($N1177="VCA",INDEX(APOIO_REDES!$A:$W,MATCH($C1177&amp;$I1177&amp;$H1177&amp;$N1177&amp;$O1177,APOIO_REDES!$W:$W,0),MATCH(AV$5,APOIO_REDES!$5:$5,0)),0)*$AP1177,0)</f>
        <v>0.0567358225698436</v>
      </c>
      <c r="AW1177" s="153" t="n">
        <f aca="false">IFERROR(IF($N1177="VCA",INDEX(APOIO_REDES!$A:$W,MATCH($C1177&amp;$I1177&amp;$H1177&amp;$N1177&amp;$O1177,APOIO_REDES!$W:$W,0),MATCH(AW$5,APOIO_REDES!$5:$5,0)),0)*$AP1177,0)</f>
        <v>32.3871543159856</v>
      </c>
      <c r="AX1177" s="153" t="n">
        <f aca="false">IFERROR(IF($N1177="VCA",INDEX(APOIO_REDES!$A:$W,MATCH($C1177&amp;$I1177&amp;$H1177&amp;$N1177&amp;$O1177,APOIO_REDES!$W:$W,0),MATCH(AX$5,APOIO_REDES!$5:$5,0)),0)*$AP1177,0)</f>
        <v>4.48228990077702</v>
      </c>
      <c r="AY1177" s="153" t="n">
        <f aca="false">IFERROR(IF($N1177="VCA",INDEX(APOIO_REDES!$A:$W,MATCH($C1177&amp;$I1177&amp;$H1177&amp;$N1177&amp;$O1177,APOIO_REDES!$W:$W,0),MATCH(AY$5,APOIO_REDES!$5:$5,0)),0)*$AP1177,0)</f>
        <v>8.1992783717537</v>
      </c>
      <c r="AZ1177" s="153" t="n">
        <f aca="false">IFERROR(IF($N1177="VCA",INDEX(APOIO_REDES!$A:$W,MATCH($C1177&amp;$I1177&amp;$H1177&amp;$N1177&amp;$O1177,APOIO_REDES!$W:$W,0),MATCH(AZ$5,APOIO_REDES!$5:$5,0)),0)*$AP1177,0)</f>
        <v>1.13475643083672</v>
      </c>
      <c r="BA1177" s="153" t="n">
        <f aca="false">IFERROR(IF(AND($N1177="VCA",$Q1177="LINEAR"),INDEX(APOIO_REDES!$A:$W,MATCH($C1177&amp;$I1177&amp;$H1177&amp;$N1177&amp;$O1177,APOIO_REDES!$W:$W,0),MATCH(BA$5,APOIO_REDES!$5:$5,0)),IF(AND($N1177="MND",$Q1177="EMBOQUE"),INDEX(APOIO_REDES!$A:$W,MATCH($C1177&amp;$I1177&amp;$H1177&amp;$N1177&amp;$O1177,APOIO_REDES!$W:$W,0),MATCH(BA$5,APOIO_REDES!$5:$5,0)),0))*$M1177/10,0)</f>
        <v>3.47294530891273</v>
      </c>
      <c r="BB1177" s="153" t="n">
        <f aca="false">IFERROR(IF($N1177="VCA",INDEX(APOIO_REDES!$A:$W,MATCH($C1177&amp;$I1177&amp;$H1177&amp;$N1177&amp;$O1177,APOIO_REDES!$W:$W,0),MATCH(BB$5,APOIO_REDES!$5:$5,0)),0)*($AI1177+$AQ1177+$AR1177),0)</f>
        <v>17.9008905793246</v>
      </c>
      <c r="BC1177" s="153" t="n">
        <f aca="false">IFERROR(IF($N1177="VCA",INDEX(APOIO_REDES!$A:$W,MATCH($C1177&amp;$I1177&amp;$H1177&amp;$N1177&amp;$O1177,APOIO_REDES!$W:$W,0),MATCH(BC$5,APOIO_REDES!$5:$5,0)),0)*($AI1177+$AQ1177+$AR1177),0)</f>
        <v>0.196909420675369</v>
      </c>
      <c r="BD1177" s="153" t="n">
        <f aca="false">IF(AND($N1177="VCA",$AF1177&gt;=1.25,$AF1177&lt;1.5),$M1177*$AF1177*2,0)</f>
        <v>125.8228</v>
      </c>
      <c r="BE1177" s="153" t="n">
        <f aca="false">IF(AND($N1177="VCA",$AF1177&gt;=1.5,$AF1177&lt;3),$M1177*$AF1177*2,0)</f>
        <v>0</v>
      </c>
      <c r="BF1177" s="153" t="n">
        <f aca="false">IF(AND($N1177="VCA",$AF1177&gt;=3),$M1177*$AF1177*2,0)</f>
        <v>0</v>
      </c>
      <c r="BG1177" s="153" t="n">
        <f aca="false">($BB1177+$BC1177)*$AK1177</f>
        <v>47.05428</v>
      </c>
      <c r="BH1177" s="153" t="n">
        <f aca="false">IF(AND($M1177&lt;&gt;"",$N1177="VCA",$Q1177="LINEAR"),($M1177*2)/100,IF(AND($M1177&lt;&gt;"",$N1177="MND",$Q1177="EMBOQUE"),($AN1177*2)/100,0))</f>
        <v>0.8618</v>
      </c>
      <c r="BI1177" s="153" t="n">
        <f aca="false">IF(AND($M1177&lt;&gt;"",$N1177="VCA",$Q1177="LINEAR"),$M1177,IF(AND($M1177&lt;&gt;"",$N1177="MND",$Q1177="EMBOQUE"),$AN1177*2,0))</f>
        <v>43.09</v>
      </c>
      <c r="BJ1177" s="153" t="n">
        <f aca="false">IF(AND($M1177&lt;&gt;"",$N1177="VCA",$Q1177="LINEAR"),($M1177*6.8)/100,IF(AND($M1177&lt;&gt;"",$N1177="MND",$Q1177="EMBOQUE"),($AN1177*2*6.8)/100,0))</f>
        <v>2.93012</v>
      </c>
      <c r="BK1177" s="153" t="n">
        <f aca="false">IF(AND($M1177&lt;&gt;"",$N1177="VCA",$Q1177="LINEAR"),($M1177*2.5)/50,IF(AND($M1177&lt;&gt;"",$N1177="MND",$Q1177="EMBOQUE"),($AN1177*2*2.5)/50,0))</f>
        <v>2.1545</v>
      </c>
      <c r="BL1177" s="157" t="str">
        <f aca="false">K1177&amp;J1177</f>
        <v>Zona10REDES</v>
      </c>
      <c r="BM1177" s="152" t="s">
        <v>5703</v>
      </c>
      <c r="BN1177" s="152" t="s">
        <v>1560</v>
      </c>
      <c r="BO1177" s="152" t="s">
        <v>4004</v>
      </c>
      <c r="BP1177" s="152" t="s">
        <v>5147</v>
      </c>
      <c r="BQ1177" s="152" t="s">
        <v>5257</v>
      </c>
      <c r="BR1177" s="152" t="s">
        <v>5994</v>
      </c>
      <c r="BS1177" s="152" t="n">
        <v>203458.89</v>
      </c>
      <c r="BT1177" s="152" t="n">
        <v>8237044.403</v>
      </c>
      <c r="BU1177" s="152" t="n">
        <v>203477.857</v>
      </c>
      <c r="BV1177" s="152" t="n">
        <v>8237005.758</v>
      </c>
      <c r="BW1177" s="152" t="n">
        <v>-15.9283209</v>
      </c>
      <c r="BX1177" s="152" t="n">
        <v>-47.7696286</v>
      </c>
      <c r="BY1177" s="152" t="s">
        <v>5147</v>
      </c>
    </row>
    <row r="1178" customFormat="false" ht="13.8" hidden="false" customHeight="false" outlineLevel="0" collapsed="false">
      <c r="A1178" s="149" t="n">
        <f aca="false">IF(C1178&lt;&gt;"",ROW(A1173),"")</f>
        <v>1173</v>
      </c>
      <c r="B1178" s="150" t="str">
        <f aca="false">HYPERLINK("https://www.google.com/maps/dir/-15.917302,-47.760003/-15.9278472,-47.7685773/data=!4m3!4m2!3e0!5i2")</f>
        <v>https://www.google.com/maps/dir/-15.917302,-47.760003/-15.9278472,-47.7685773/data=!4m3!4m2!3e0!5i2</v>
      </c>
      <c r="C1178" s="151" t="s">
        <v>117</v>
      </c>
      <c r="D1178" s="152" t="s">
        <v>112</v>
      </c>
      <c r="E1178" s="152" t="s">
        <v>113</v>
      </c>
      <c r="F1178" s="152" t="s">
        <v>117</v>
      </c>
      <c r="G1178" s="152" t="s">
        <v>782</v>
      </c>
      <c r="H1178" s="152" t="n">
        <v>63</v>
      </c>
      <c r="I1178" s="152" t="s">
        <v>115</v>
      </c>
      <c r="J1178" s="152" t="s">
        <v>6</v>
      </c>
      <c r="K1178" s="152" t="s">
        <v>5700</v>
      </c>
      <c r="L1178" s="152" t="s">
        <v>120</v>
      </c>
      <c r="M1178" s="153" t="n">
        <f aca="false">154.83</f>
        <v>154.83</v>
      </c>
      <c r="N1178" s="152" t="s">
        <v>1548</v>
      </c>
      <c r="O1178" s="152" t="s">
        <v>1549</v>
      </c>
      <c r="P1178" s="152" t="s">
        <v>1550</v>
      </c>
      <c r="Q1178" s="152" t="s">
        <v>1551</v>
      </c>
      <c r="R1178" s="154" t="s">
        <v>5995</v>
      </c>
      <c r="S1178" s="154" t="s">
        <v>1553</v>
      </c>
      <c r="T1178" s="155" t="s">
        <v>4002</v>
      </c>
      <c r="U1178" s="152" t="str">
        <f aca="false">RIGHT(T1178,7)</f>
        <v>015/037</v>
      </c>
      <c r="V1178" s="152" t="s">
        <v>1555</v>
      </c>
      <c r="W1178" s="156" t="n">
        <v>45882</v>
      </c>
      <c r="X1178" s="152" t="s">
        <v>1594</v>
      </c>
      <c r="Y1178" s="152" t="s">
        <v>5146</v>
      </c>
      <c r="Z1178" s="152" t="s">
        <v>1557</v>
      </c>
      <c r="AA1178" s="153" t="n">
        <v>3</v>
      </c>
      <c r="AB1178" s="151" t="s">
        <v>5996</v>
      </c>
      <c r="AC1178" s="151" t="s">
        <v>186</v>
      </c>
      <c r="AD1178" s="151" t="str">
        <f aca="false">CONCATENATE($C1178,$I1178,$H1178,$N1178,$J1178,$K1178)</f>
        <v>TUBO PEADPEAD63VCAREDESZona10</v>
      </c>
      <c r="AE1178" s="153" t="n">
        <f aca="false">IFERROR(INDEX(APOIO_REDES!$A:$W,MATCH($C1178&amp;$I1178&amp;$H1178&amp;$N1178&amp;$O1178,APOIO_REDES!$W:$W,0),MATCH(AE$5,APOIO_REDES!$5:$5,0)),0)</f>
        <v>1.2</v>
      </c>
      <c r="AF1178" s="153" t="n">
        <f aca="false">IFERROR(INDEX(APOIO_REDES!$A:$W,MATCH($C1178&amp;$I1178&amp;$H1178&amp;$N1178&amp;$O1178,APOIO_REDES!$W:$W,0),MATCH(AF$5,APOIO_REDES!$5:$5,0)),0)</f>
        <v>1.363</v>
      </c>
      <c r="AG1178" s="153" t="n">
        <f aca="false">IFERROR(INDEX(APOIO_REDES!$A:$W,MATCH($C1178&amp;$I1178&amp;$H1178&amp;$N1178&amp;$O1178,APOIO_REDES!$W:$W,0),MATCH(AG$5,APOIO_REDES!$5:$5,0)),0)</f>
        <v>0.65</v>
      </c>
      <c r="AH1178" s="153" t="n">
        <f aca="false">IFERROR(INDEX(APOIO_REDES!$A:$W,MATCH($C1178&amp;$I1178&amp;$H1178&amp;$N1178&amp;$O1178,APOIO_REDES!$W:$W,0),MATCH(AH$5,APOIO_REDES!$5:$5,0)),0)</f>
        <v>0.1</v>
      </c>
      <c r="AI1178" s="153" t="n">
        <f aca="false">IFERROR(IF($H1178&lt;&gt;"",(((($H1178/1000)/2)^2)*PI()*$M1178),0),0)</f>
        <v>0.482643091428504</v>
      </c>
      <c r="AJ1178" s="153" t="n">
        <f aca="false">IFERROR(IF(AND($H1178&lt;&gt;"",$I1178="FoFo",OR($N1178="MND",$N1178="VCA"),$Q1178="LINEAR"),0,IF(AND($H1178&lt;&gt;"",$I1178="PEAD",$N1178="VCA",$Q1178="LINEAR"),($H1178/1000)+0.3,IF(AND($H1178&lt;&gt;"",$I1178="PEAD",$N1178="MND",$Q1178="EMBOQUE"),0,IF(AND($H1178&lt;&gt;"",$I1178="PVC",$N1178="VCA",$Q1178="LINEAR"),($H1178/1000)+0.2,IF(AND($H1178&lt;&gt;"",$I1178="PVC",$N1178="MND",$Q1178="EMBOQUE"),0,IF(AND($H1178&lt;&gt;"",$I1178="PEAD",$N1178="VCA",$Q1178="PREDIAL"),0,0)))))),0)</f>
        <v>0.363</v>
      </c>
      <c r="AK1178" s="153" t="n">
        <f aca="false">IF(AA1178&lt;&gt;"",AA1178,0)</f>
        <v>3</v>
      </c>
      <c r="AL1178" s="153" t="n">
        <f aca="false">IF(AND($N1178="MND",$Q1178="EMBOQUE"),$M1178,IF(AND($N1178="VCA",$Q1178="LINEAR"),$M1178,IF(AND($N1178="VCA",$Q1178="PREDIAL"),0,0)))</f>
        <v>154.83</v>
      </c>
      <c r="AM1178" s="153" t="n">
        <f aca="false">IF(AND($N1178="MND",$Q1178="EMBOQUE"),$M1178,IF(AND($N1178="VCA",$Q1178="LINEAR"),$M1178,IF(AND($N1178="VCA",$Q1178="PREDIAL"),0,0)))</f>
        <v>154.83</v>
      </c>
      <c r="AN1178" s="153" t="n">
        <f aca="false">ROUND(IF(AND($N1178="VCA",$M1178&lt;&gt;"",$Q1178="LINEAR"),$M1178/100,IF(AND($N1178="MND",$M1178&gt;100,$Q1178="EMBOQUE"),$M1178/100,0)),0)</f>
        <v>2</v>
      </c>
      <c r="AO1178" s="153" t="n">
        <f aca="false">IF(AND($N1178="MND",$Q1178="EMBOQUE"),$AN1178*2*2,IF(AND($N1178="VCA",$Q1178="LINEAR"),$M1178*2,IF(AND($N1178="VCA",$Q1178="PREDIAL"),0,0)))</f>
        <v>309.66</v>
      </c>
      <c r="AP1178" s="153" t="n">
        <f aca="false">IFERROR($M1178*$AF1178*$AG1178,0)</f>
        <v>137.1716385</v>
      </c>
      <c r="AQ1178" s="153" t="n">
        <f aca="false">IFERROR(IF(AND($N1178="VCA",$AH1178&gt;0),$M1178*$AG1178*$AH1178,0),0)</f>
        <v>10.06395</v>
      </c>
      <c r="AR1178" s="153" t="n">
        <f aca="false">IFERROR(IF(AND($N1178="VCA",$AJ1178&gt;0),($M1178*$AG1178*$AJ1178)-$AI1178,0),0)</f>
        <v>36.0494954085715</v>
      </c>
      <c r="AS1178" s="153" t="n">
        <f aca="false">IFERROR(IF(AND($N1178="VCA",$AP1178&gt;0),$AP1178-$AI1178-$AQ1178-$AR1178,0),0)</f>
        <v>90.57555</v>
      </c>
      <c r="AT1178" s="153" t="n">
        <f aca="false">IFERROR(IF($N1178="VCA",INDEX(APOIO_REDES!$A:$W,MATCH($C1178&amp;$I1178&amp;$H1178&amp;$N1178&amp;$O1178,APOIO_REDES!$W:$W,0),MATCH(AT$5,APOIO_REDES!$5:$5,0)),0)*$AP1178,0)</f>
        <v>1.49246802761254</v>
      </c>
      <c r="AU1178" s="153" t="n">
        <f aca="false">IFERROR(IF($N1178="VCA",INDEX(APOIO_REDES!$A:$W,MATCH($C1178&amp;$I1178&amp;$H1178&amp;$N1178&amp;$O1178,APOIO_REDES!$W:$W,0),MATCH(AU$5,APOIO_REDES!$5:$5,0)),0)*$AP1178,0)</f>
        <v>1.19184454569095</v>
      </c>
      <c r="AV1178" s="153" t="n">
        <f aca="false">IFERROR(IF($N1178="VCA",INDEX(APOIO_REDES!$A:$W,MATCH($C1178&amp;$I1178&amp;$H1178&amp;$N1178&amp;$O1178,APOIO_REDES!$W:$W,0),MATCH(AV$5,APOIO_REDES!$5:$5,0)),0)*$AP1178,0)</f>
        <v>0.1649419287771</v>
      </c>
      <c r="AW1178" s="153" t="n">
        <f aca="false">IFERROR(IF($N1178="VCA",INDEX(APOIO_REDES!$A:$W,MATCH($C1178&amp;$I1178&amp;$H1178&amp;$N1178&amp;$O1178,APOIO_REDES!$W:$W,0),MATCH(AW$5,APOIO_REDES!$5:$5,0)),0)*$AP1178,0)</f>
        <v>94.15567552412</v>
      </c>
      <c r="AX1178" s="153" t="n">
        <f aca="false">IFERROR(IF($N1178="VCA",INDEX(APOIO_REDES!$A:$W,MATCH($C1178&amp;$I1178&amp;$H1178&amp;$N1178&amp;$O1178,APOIO_REDES!$W:$W,0),MATCH(AX$5,APOIO_REDES!$5:$5,0)),0)*$AP1178,0)</f>
        <v>13.0308772850196</v>
      </c>
      <c r="AY1178" s="153" t="n">
        <f aca="false">IFERROR(IF($N1178="VCA",INDEX(APOIO_REDES!$A:$W,MATCH($C1178&amp;$I1178&amp;$H1178&amp;$N1178&amp;$O1178,APOIO_REDES!$W:$W,0),MATCH(AY$5,APOIO_REDES!$5:$5,0)),0)*$AP1178,0)</f>
        <v>23.8368763853306</v>
      </c>
      <c r="AZ1178" s="153" t="n">
        <f aca="false">IFERROR(IF($N1178="VCA",INDEX(APOIO_REDES!$A:$W,MATCH($C1178&amp;$I1178&amp;$H1178&amp;$N1178&amp;$O1178,APOIO_REDES!$W:$W,0),MATCH(AZ$5,APOIO_REDES!$5:$5,0)),0)*$AP1178,0)</f>
        <v>3.29895480344918</v>
      </c>
      <c r="BA1178" s="153" t="n">
        <f aca="false">IFERROR(IF(AND($N1178="VCA",$Q1178="LINEAR"),INDEX(APOIO_REDES!$A:$W,MATCH($C1178&amp;$I1178&amp;$H1178&amp;$N1178&amp;$O1178,APOIO_REDES!$W:$W,0),MATCH(BA$5,APOIO_REDES!$5:$5,0)),IF(AND($N1178="MND",$Q1178="EMBOQUE"),INDEX(APOIO_REDES!$A:$W,MATCH($C1178&amp;$I1178&amp;$H1178&amp;$N1178&amp;$O1178,APOIO_REDES!$W:$W,0),MATCH(BA$5,APOIO_REDES!$5:$5,0)),0))*$M1178/10,0)</f>
        <v>12.4789074536774</v>
      </c>
      <c r="BB1178" s="153" t="n">
        <f aca="false">IFERROR(IF($N1178="VCA",INDEX(APOIO_REDES!$A:$W,MATCH($C1178&amp;$I1178&amp;$H1178&amp;$N1178&amp;$O1178,APOIO_REDES!$W:$W,0),MATCH(BB$5,APOIO_REDES!$5:$5,0)),0)*($AI1178+$AQ1178+$AR1178),0)</f>
        <v>46.0891092653818</v>
      </c>
      <c r="BC1178" s="153" t="n">
        <f aca="false">IFERROR(IF($N1178="VCA",INDEX(APOIO_REDES!$A:$W,MATCH($C1178&amp;$I1178&amp;$H1178&amp;$N1178&amp;$O1178,APOIO_REDES!$W:$W,0),MATCH(BC$5,APOIO_REDES!$5:$5,0)),0)*($AI1178+$AQ1178+$AR1178),0)</f>
        <v>0.506979234618198</v>
      </c>
      <c r="BD1178" s="153" t="n">
        <f aca="false">IF(AND($N1178="VCA",$AF1178&gt;=1.25,$AF1178&lt;1.5),$M1178*$AF1178*2,0)</f>
        <v>422.06658</v>
      </c>
      <c r="BE1178" s="153" t="n">
        <f aca="false">IF(AND($N1178="VCA",$AF1178&gt;=1.5,$AF1178&lt;3),$M1178*$AF1178*2,0)</f>
        <v>0</v>
      </c>
      <c r="BF1178" s="153" t="n">
        <f aca="false">IF(AND($N1178="VCA",$AF1178&gt;=3),$M1178*$AF1178*2,0)</f>
        <v>0</v>
      </c>
      <c r="BG1178" s="153" t="n">
        <f aca="false">($BB1178+$BC1178)*$AK1178</f>
        <v>139.7882655</v>
      </c>
      <c r="BH1178" s="153" t="n">
        <f aca="false">IF(AND($M1178&lt;&gt;"",$N1178="VCA",$Q1178="LINEAR"),($M1178*2)/100,IF(AND($M1178&lt;&gt;"",$N1178="MND",$Q1178="EMBOQUE"),($AN1178*2)/100,0))</f>
        <v>3.0966</v>
      </c>
      <c r="BI1178" s="153" t="n">
        <f aca="false">IF(AND($M1178&lt;&gt;"",$N1178="VCA",$Q1178="LINEAR"),$M1178,IF(AND($M1178&lt;&gt;"",$N1178="MND",$Q1178="EMBOQUE"),$AN1178*2,0))</f>
        <v>154.83</v>
      </c>
      <c r="BJ1178" s="153" t="n">
        <f aca="false">IF(AND($M1178&lt;&gt;"",$N1178="VCA",$Q1178="LINEAR"),($M1178*6.8)/100,IF(AND($M1178&lt;&gt;"",$N1178="MND",$Q1178="EMBOQUE"),($AN1178*2*6.8)/100,0))</f>
        <v>10.52844</v>
      </c>
      <c r="BK1178" s="153" t="n">
        <f aca="false">IF(AND($M1178&lt;&gt;"",$N1178="VCA",$Q1178="LINEAR"),($M1178*2.5)/50,IF(AND($M1178&lt;&gt;"",$N1178="MND",$Q1178="EMBOQUE"),($AN1178*2*2.5)/50,0))</f>
        <v>7.7415</v>
      </c>
      <c r="BL1178" s="157" t="str">
        <f aca="false">K1178&amp;J1178</f>
        <v>Zona10REDES</v>
      </c>
      <c r="BM1178" s="152" t="s">
        <v>5703</v>
      </c>
      <c r="BN1178" s="152" t="s">
        <v>1560</v>
      </c>
      <c r="BO1178" s="152" t="s">
        <v>4004</v>
      </c>
      <c r="BP1178" s="152" t="s">
        <v>5962</v>
      </c>
      <c r="BQ1178" s="152" t="s">
        <v>5997</v>
      </c>
      <c r="BR1178" s="152" t="s">
        <v>5998</v>
      </c>
      <c r="BS1178" s="152" t="n">
        <v>203580.85</v>
      </c>
      <c r="BT1178" s="152" t="n">
        <v>8237079.3</v>
      </c>
      <c r="BU1178" s="152" t="n">
        <v>203489.6</v>
      </c>
      <c r="BV1178" s="152" t="n">
        <v>8237009.624</v>
      </c>
      <c r="BW1178" s="152" t="n">
        <v>-15.9283443</v>
      </c>
      <c r="BX1178" s="152" t="n">
        <v>-47.7687262</v>
      </c>
      <c r="BY1178" s="152" t="s">
        <v>5962</v>
      </c>
    </row>
    <row r="1179" customFormat="false" ht="13.8" hidden="false" customHeight="false" outlineLevel="0" collapsed="false">
      <c r="A1179" s="149" t="n">
        <f aca="false">IF(C1179&lt;&gt;"",ROW(A1174),"")</f>
        <v>1174</v>
      </c>
      <c r="B1179" s="150" t="str">
        <f aca="false">HYPERLINK("https://www.google.com/maps/dir/-15.917302,-47.760003/-15.9284654,-47.7694375/data=!4m3!4m2!3e0!5i2")</f>
        <v>https://www.google.com/maps/dir/-15.917302,-47.760003/-15.9284654,-47.7694375/data=!4m3!4m2!3e0!5i2</v>
      </c>
      <c r="C1179" s="151" t="s">
        <v>117</v>
      </c>
      <c r="D1179" s="152" t="s">
        <v>112</v>
      </c>
      <c r="E1179" s="152" t="s">
        <v>113</v>
      </c>
      <c r="F1179" s="152" t="s">
        <v>117</v>
      </c>
      <c r="G1179" s="152" t="s">
        <v>782</v>
      </c>
      <c r="H1179" s="152" t="n">
        <v>63</v>
      </c>
      <c r="I1179" s="152" t="s">
        <v>115</v>
      </c>
      <c r="J1179" s="152" t="s">
        <v>6</v>
      </c>
      <c r="K1179" s="152" t="s">
        <v>5700</v>
      </c>
      <c r="L1179" s="152" t="s">
        <v>120</v>
      </c>
      <c r="M1179" s="153" t="n">
        <f aca="false">1.22</f>
        <v>1.22</v>
      </c>
      <c r="N1179" s="152" t="s">
        <v>1548</v>
      </c>
      <c r="O1179" s="152" t="s">
        <v>1549</v>
      </c>
      <c r="P1179" s="152" t="s">
        <v>1550</v>
      </c>
      <c r="Q1179" s="152" t="s">
        <v>1551</v>
      </c>
      <c r="R1179" s="154" t="s">
        <v>5999</v>
      </c>
      <c r="S1179" s="154" t="s">
        <v>1553</v>
      </c>
      <c r="T1179" s="155" t="s">
        <v>4002</v>
      </c>
      <c r="U1179" s="152" t="str">
        <f aca="false">RIGHT(T1179,7)</f>
        <v>015/037</v>
      </c>
      <c r="V1179" s="152" t="s">
        <v>1555</v>
      </c>
      <c r="W1179" s="156" t="n">
        <v>45882</v>
      </c>
      <c r="X1179" s="152" t="s">
        <v>1594</v>
      </c>
      <c r="Y1179" s="152" t="s">
        <v>5146</v>
      </c>
      <c r="Z1179" s="152" t="s">
        <v>1557</v>
      </c>
      <c r="AA1179" s="153" t="n">
        <v>4.2</v>
      </c>
      <c r="AB1179" s="151" t="s">
        <v>6000</v>
      </c>
      <c r="AC1179" s="151" t="s">
        <v>186</v>
      </c>
      <c r="AD1179" s="151" t="str">
        <f aca="false">CONCATENATE($C1179,$I1179,$H1179,$N1179,$J1179,$K1179)</f>
        <v>TUBO PEADPEAD63VCAREDESZona10</v>
      </c>
      <c r="AE1179" s="153" t="n">
        <f aca="false">IFERROR(INDEX(APOIO_REDES!$A:$W,MATCH($C1179&amp;$I1179&amp;$H1179&amp;$N1179&amp;$O1179,APOIO_REDES!$W:$W,0),MATCH(AE$5,APOIO_REDES!$5:$5,0)),0)</f>
        <v>1.2</v>
      </c>
      <c r="AF1179" s="153" t="n">
        <f aca="false">IFERROR(INDEX(APOIO_REDES!$A:$W,MATCH($C1179&amp;$I1179&amp;$H1179&amp;$N1179&amp;$O1179,APOIO_REDES!$W:$W,0),MATCH(AF$5,APOIO_REDES!$5:$5,0)),0)</f>
        <v>1.363</v>
      </c>
      <c r="AG1179" s="153" t="n">
        <f aca="false">IFERROR(INDEX(APOIO_REDES!$A:$W,MATCH($C1179&amp;$I1179&amp;$H1179&amp;$N1179&amp;$O1179,APOIO_REDES!$W:$W,0),MATCH(AG$5,APOIO_REDES!$5:$5,0)),0)</f>
        <v>0.65</v>
      </c>
      <c r="AH1179" s="153" t="n">
        <f aca="false">IFERROR(INDEX(APOIO_REDES!$A:$W,MATCH($C1179&amp;$I1179&amp;$H1179&amp;$N1179&amp;$O1179,APOIO_REDES!$W:$W,0),MATCH(AH$5,APOIO_REDES!$5:$5,0)),0)</f>
        <v>0.1</v>
      </c>
      <c r="AI1179" s="153" t="n">
        <f aca="false">IFERROR(IF($H1179&lt;&gt;"",(((($H1179/1000)/2)^2)*PI()*$M1179),0),0)</f>
        <v>0.00380303927883986</v>
      </c>
      <c r="AJ1179" s="153" t="n">
        <f aca="false">IFERROR(IF(AND($H1179&lt;&gt;"",$I1179="FoFo",OR($N1179="MND",$N1179="VCA"),$Q1179="LINEAR"),0,IF(AND($H1179&lt;&gt;"",$I1179="PEAD",$N1179="VCA",$Q1179="LINEAR"),($H1179/1000)+0.3,IF(AND($H1179&lt;&gt;"",$I1179="PEAD",$N1179="MND",$Q1179="EMBOQUE"),0,IF(AND($H1179&lt;&gt;"",$I1179="PVC",$N1179="VCA",$Q1179="LINEAR"),($H1179/1000)+0.2,IF(AND($H1179&lt;&gt;"",$I1179="PVC",$N1179="MND",$Q1179="EMBOQUE"),0,IF(AND($H1179&lt;&gt;"",$I1179="PEAD",$N1179="VCA",$Q1179="PREDIAL"),0,0)))))),0)</f>
        <v>0.363</v>
      </c>
      <c r="AK1179" s="153" t="n">
        <f aca="false">IF(AA1179&lt;&gt;"",AA1179,0)</f>
        <v>4.2</v>
      </c>
      <c r="AL1179" s="153" t="n">
        <f aca="false">IF(AND($N1179="MND",$Q1179="EMBOQUE"),$M1179,IF(AND($N1179="VCA",$Q1179="LINEAR"),$M1179,IF(AND($N1179="VCA",$Q1179="PREDIAL"),0,0)))</f>
        <v>1.22</v>
      </c>
      <c r="AM1179" s="153" t="n">
        <f aca="false">IF(AND($N1179="MND",$Q1179="EMBOQUE"),$M1179,IF(AND($N1179="VCA",$Q1179="LINEAR"),$M1179,IF(AND($N1179="VCA",$Q1179="PREDIAL"),0,0)))</f>
        <v>1.22</v>
      </c>
      <c r="AN1179" s="153" t="n">
        <f aca="false">ROUND(IF(AND($N1179="VCA",$M1179&lt;&gt;"",$Q1179="LINEAR"),$M1179/100,IF(AND($N1179="MND",$M1179&gt;100,$Q1179="EMBOQUE"),$M1179/100,0)),0)</f>
        <v>0</v>
      </c>
      <c r="AO1179" s="153" t="n">
        <f aca="false">IF(AND($N1179="MND",$Q1179="EMBOQUE"),$AN1179*2*2,IF(AND($N1179="VCA",$Q1179="LINEAR"),$M1179*2,IF(AND($N1179="VCA",$Q1179="PREDIAL"),0,0)))</f>
        <v>2.44</v>
      </c>
      <c r="AP1179" s="153" t="n">
        <f aca="false">IFERROR($M1179*$AF1179*$AG1179,0)</f>
        <v>1.080859</v>
      </c>
      <c r="AQ1179" s="153" t="n">
        <f aca="false">IFERROR(IF(AND($N1179="VCA",$AH1179&gt;0),$M1179*$AG1179*$AH1179,0),0)</f>
        <v>0.0793</v>
      </c>
      <c r="AR1179" s="153" t="n">
        <f aca="false">IFERROR(IF(AND($N1179="VCA",$AJ1179&gt;0),($M1179*$AG1179*$AJ1179)-$AI1179,0),0)</f>
        <v>0.28405596072116</v>
      </c>
      <c r="AS1179" s="153" t="n">
        <f aca="false">IFERROR(IF(AND($N1179="VCA",$AP1179&gt;0),$AP1179-$AI1179-$AQ1179-$AR1179,0),0)</f>
        <v>0.7137</v>
      </c>
      <c r="AT1179" s="153" t="n">
        <f aca="false">IFERROR(IF($N1179="VCA",INDEX(APOIO_REDES!$A:$W,MATCH($C1179&amp;$I1179&amp;$H1179&amp;$N1179&amp;$O1179,APOIO_REDES!$W:$W,0),MATCH(AT$5,APOIO_REDES!$5:$5,0)),0)*$AP1179,0)</f>
        <v>0.0117600658379338</v>
      </c>
      <c r="AU1179" s="153" t="n">
        <f aca="false">IFERROR(IF($N1179="VCA",INDEX(APOIO_REDES!$A:$W,MATCH($C1179&amp;$I1179&amp;$H1179&amp;$N1179&amp;$O1179,APOIO_REDES!$W:$W,0),MATCH(AU$5,APOIO_REDES!$5:$5,0)),0)*$AP1179,0)</f>
        <v>0.00939127007519836</v>
      </c>
      <c r="AV1179" s="153" t="n">
        <f aca="false">IFERROR(IF($N1179="VCA",INDEX(APOIO_REDES!$A:$W,MATCH($C1179&amp;$I1179&amp;$H1179&amp;$N1179&amp;$O1179,APOIO_REDES!$W:$W,0),MATCH(AV$5,APOIO_REDES!$5:$5,0)),0)*$AP1179,0)</f>
        <v>0.00129967805404677</v>
      </c>
      <c r="AW1179" s="153" t="n">
        <f aca="false">IFERROR(IF($N1179="VCA",INDEX(APOIO_REDES!$A:$W,MATCH($C1179&amp;$I1179&amp;$H1179&amp;$N1179&amp;$O1179,APOIO_REDES!$W:$W,0),MATCH(AW$5,APOIO_REDES!$5:$5,0)),0)*$AP1179,0)</f>
        <v>0.741909992504207</v>
      </c>
      <c r="AX1179" s="153" t="n">
        <f aca="false">IFERROR(IF($N1179="VCA",INDEX(APOIO_REDES!$A:$W,MATCH($C1179&amp;$I1179&amp;$H1179&amp;$N1179&amp;$O1179,APOIO_REDES!$W:$W,0),MATCH(AX$5,APOIO_REDES!$5:$5,0)),0)*$AP1179,0)</f>
        <v>0.102678229591965</v>
      </c>
      <c r="AY1179" s="153" t="n">
        <f aca="false">IFERROR(IF($N1179="VCA",INDEX(APOIO_REDES!$A:$W,MATCH($C1179&amp;$I1179&amp;$H1179&amp;$N1179&amp;$O1179,APOIO_REDES!$W:$W,0),MATCH(AY$5,APOIO_REDES!$5:$5,0)),0)*$AP1179,0)</f>
        <v>0.187825287025146</v>
      </c>
      <c r="AZ1179" s="153" t="n">
        <f aca="false">IFERROR(IF($N1179="VCA",INDEX(APOIO_REDES!$A:$W,MATCH($C1179&amp;$I1179&amp;$H1179&amp;$N1179&amp;$O1179,APOIO_REDES!$W:$W,0),MATCH(AZ$5,APOIO_REDES!$5:$5,0)),0)*$AP1179,0)</f>
        <v>0.0259944769115029</v>
      </c>
      <c r="BA1179" s="153" t="n">
        <f aca="false">IFERROR(IF(AND($N1179="VCA",$Q1179="LINEAR"),INDEX(APOIO_REDES!$A:$W,MATCH($C1179&amp;$I1179&amp;$H1179&amp;$N1179&amp;$O1179,APOIO_REDES!$W:$W,0),MATCH(BA$5,APOIO_REDES!$5:$5,0)),IF(AND($N1179="MND",$Q1179="EMBOQUE"),INDEX(APOIO_REDES!$A:$W,MATCH($C1179&amp;$I1179&amp;$H1179&amp;$N1179&amp;$O1179,APOIO_REDES!$W:$W,0),MATCH(BA$5,APOIO_REDES!$5:$5,0)),0))*$M1179/10,0)</f>
        <v>0.098328922647332</v>
      </c>
      <c r="BB1179" s="153" t="n">
        <f aca="false">IFERROR(IF($N1179="VCA",INDEX(APOIO_REDES!$A:$W,MATCH($C1179&amp;$I1179&amp;$H1179&amp;$N1179&amp;$O1179,APOIO_REDES!$W:$W,0),MATCH(BB$5,APOIO_REDES!$5:$5,0)),0)*($AI1179+$AQ1179+$AR1179),0)</f>
        <v>0.363164201406483</v>
      </c>
      <c r="BC1179" s="153" t="n">
        <f aca="false">IFERROR(IF($N1179="VCA",INDEX(APOIO_REDES!$A:$W,MATCH($C1179&amp;$I1179&amp;$H1179&amp;$N1179&amp;$O1179,APOIO_REDES!$W:$W,0),MATCH(BC$5,APOIO_REDES!$5:$5,0)),0)*($AI1179+$AQ1179+$AR1179),0)</f>
        <v>0.00399479859351677</v>
      </c>
      <c r="BD1179" s="153" t="n">
        <f aca="false">IF(AND($N1179="VCA",$AF1179&gt;=1.25,$AF1179&lt;1.5),$M1179*$AF1179*2,0)</f>
        <v>3.32572</v>
      </c>
      <c r="BE1179" s="153" t="n">
        <f aca="false">IF(AND($N1179="VCA",$AF1179&gt;=1.5,$AF1179&lt;3),$M1179*$AF1179*2,0)</f>
        <v>0</v>
      </c>
      <c r="BF1179" s="153" t="n">
        <f aca="false">IF(AND($N1179="VCA",$AF1179&gt;=3),$M1179*$AF1179*2,0)</f>
        <v>0</v>
      </c>
      <c r="BG1179" s="153" t="n">
        <f aca="false">($BB1179+$BC1179)*$AK1179</f>
        <v>1.5420678</v>
      </c>
      <c r="BH1179" s="153" t="n">
        <f aca="false">IF(AND($M1179&lt;&gt;"",$N1179="VCA",$Q1179="LINEAR"),($M1179*2)/100,IF(AND($M1179&lt;&gt;"",$N1179="MND",$Q1179="EMBOQUE"),($AN1179*2)/100,0))</f>
        <v>0.0244</v>
      </c>
      <c r="BI1179" s="153" t="n">
        <f aca="false">IF(AND($M1179&lt;&gt;"",$N1179="VCA",$Q1179="LINEAR"),$M1179,IF(AND($M1179&lt;&gt;"",$N1179="MND",$Q1179="EMBOQUE"),$AN1179*2,0))</f>
        <v>1.22</v>
      </c>
      <c r="BJ1179" s="153" t="n">
        <f aca="false">IF(AND($M1179&lt;&gt;"",$N1179="VCA",$Q1179="LINEAR"),($M1179*6.8)/100,IF(AND($M1179&lt;&gt;"",$N1179="MND",$Q1179="EMBOQUE"),($AN1179*2*6.8)/100,0))</f>
        <v>0.08296</v>
      </c>
      <c r="BK1179" s="153" t="n">
        <f aca="false">IF(AND($M1179&lt;&gt;"",$N1179="VCA",$Q1179="LINEAR"),($M1179*2.5)/50,IF(AND($M1179&lt;&gt;"",$N1179="MND",$Q1179="EMBOQUE"),($AN1179*2*2.5)/50,0))</f>
        <v>0.061</v>
      </c>
      <c r="BL1179" s="157" t="str">
        <f aca="false">K1179&amp;J1179</f>
        <v>Zona10REDES</v>
      </c>
      <c r="BM1179" s="152" t="s">
        <v>5703</v>
      </c>
      <c r="BN1179" s="152" t="s">
        <v>1560</v>
      </c>
      <c r="BO1179" s="152" t="s">
        <v>4004</v>
      </c>
      <c r="BP1179" s="152" t="s">
        <v>5997</v>
      </c>
      <c r="BQ1179" s="152" t="s">
        <v>5981</v>
      </c>
      <c r="BR1179" s="152" t="s">
        <v>6001</v>
      </c>
      <c r="BS1179" s="152" t="n">
        <v>203489.6</v>
      </c>
      <c r="BT1179" s="152" t="n">
        <v>8237009.624</v>
      </c>
      <c r="BU1179" s="152" t="n">
        <v>203488.765</v>
      </c>
      <c r="BV1179" s="152" t="n">
        <v>8237010.509</v>
      </c>
      <c r="BW1179" s="152" t="n">
        <v>-15.9284613</v>
      </c>
      <c r="BX1179" s="152" t="n">
        <v>-47.7694412</v>
      </c>
      <c r="BY1179" s="152" t="s">
        <v>5997</v>
      </c>
    </row>
    <row r="1180" customFormat="false" ht="13.8" hidden="false" customHeight="false" outlineLevel="0" collapsed="false">
      <c r="A1180" s="149" t="n">
        <f aca="false">IF(C1180&lt;&gt;"",ROW(A1175),"")</f>
        <v>1175</v>
      </c>
      <c r="B1180" s="150" t="str">
        <f aca="false">HYPERLINK("https://www.google.com/maps/dir/-15.917302,-47.760003/-15.9284982,-47.7695427/data=!4m3!4m2!3e0!5i2")</f>
        <v>https://www.google.com/maps/dir/-15.917302,-47.760003/-15.9284982,-47.7695427/data=!4m3!4m2!3e0!5i2</v>
      </c>
      <c r="C1180" s="151" t="s">
        <v>117</v>
      </c>
      <c r="D1180" s="152" t="s">
        <v>112</v>
      </c>
      <c r="E1180" s="152" t="s">
        <v>113</v>
      </c>
      <c r="F1180" s="152" t="s">
        <v>117</v>
      </c>
      <c r="G1180" s="152" t="s">
        <v>782</v>
      </c>
      <c r="H1180" s="152" t="n">
        <v>63</v>
      </c>
      <c r="I1180" s="152" t="s">
        <v>115</v>
      </c>
      <c r="J1180" s="152" t="s">
        <v>6</v>
      </c>
      <c r="K1180" s="152" t="s">
        <v>5700</v>
      </c>
      <c r="L1180" s="152" t="s">
        <v>120</v>
      </c>
      <c r="M1180" s="153" t="n">
        <f aca="false">11.53+0.53</f>
        <v>12.06</v>
      </c>
      <c r="N1180" s="152" t="s">
        <v>1548</v>
      </c>
      <c r="O1180" s="152" t="s">
        <v>1549</v>
      </c>
      <c r="P1180" s="152" t="s">
        <v>1550</v>
      </c>
      <c r="Q1180" s="152" t="s">
        <v>1551</v>
      </c>
      <c r="R1180" s="154" t="s">
        <v>6002</v>
      </c>
      <c r="S1180" s="154" t="s">
        <v>1553</v>
      </c>
      <c r="T1180" s="155" t="s">
        <v>4002</v>
      </c>
      <c r="U1180" s="152" t="str">
        <f aca="false">RIGHT(T1180,7)</f>
        <v>015/037</v>
      </c>
      <c r="V1180" s="152" t="s">
        <v>1555</v>
      </c>
      <c r="W1180" s="156" t="n">
        <v>45882</v>
      </c>
      <c r="X1180" s="152" t="s">
        <v>1594</v>
      </c>
      <c r="Y1180" s="152" t="s">
        <v>5146</v>
      </c>
      <c r="Z1180" s="152" t="s">
        <v>1557</v>
      </c>
      <c r="AA1180" s="153" t="n">
        <v>4.2</v>
      </c>
      <c r="AB1180" s="151" t="s">
        <v>6003</v>
      </c>
      <c r="AC1180" s="151" t="s">
        <v>186</v>
      </c>
      <c r="AD1180" s="151" t="str">
        <f aca="false">CONCATENATE($C1180,$I1180,$H1180,$N1180,$J1180,$K1180)</f>
        <v>TUBO PEADPEAD63VCAREDESZona10</v>
      </c>
      <c r="AE1180" s="153" t="n">
        <f aca="false">IFERROR(INDEX(APOIO_REDES!$A:$W,MATCH($C1180&amp;$I1180&amp;$H1180&amp;$N1180&amp;$O1180,APOIO_REDES!$W:$W,0),MATCH(AE$5,APOIO_REDES!$5:$5,0)),0)</f>
        <v>1.2</v>
      </c>
      <c r="AF1180" s="153" t="n">
        <f aca="false">IFERROR(INDEX(APOIO_REDES!$A:$W,MATCH($C1180&amp;$I1180&amp;$H1180&amp;$N1180&amp;$O1180,APOIO_REDES!$W:$W,0),MATCH(AF$5,APOIO_REDES!$5:$5,0)),0)</f>
        <v>1.363</v>
      </c>
      <c r="AG1180" s="153" t="n">
        <f aca="false">IFERROR(INDEX(APOIO_REDES!$A:$W,MATCH($C1180&amp;$I1180&amp;$H1180&amp;$N1180&amp;$O1180,APOIO_REDES!$W:$W,0),MATCH(AG$5,APOIO_REDES!$5:$5,0)),0)</f>
        <v>0.65</v>
      </c>
      <c r="AH1180" s="153" t="n">
        <f aca="false">IFERROR(INDEX(APOIO_REDES!$A:$W,MATCH($C1180&amp;$I1180&amp;$H1180&amp;$N1180&amp;$O1180,APOIO_REDES!$W:$W,0),MATCH(AH$5,APOIO_REDES!$5:$5,0)),0)</f>
        <v>0.1</v>
      </c>
      <c r="AI1180" s="153" t="n">
        <f aca="false">IFERROR(IF($H1180&lt;&gt;"",(((($H1180/1000)/2)^2)*PI()*$M1180),0),0)</f>
        <v>0.0375939784449251</v>
      </c>
      <c r="AJ1180" s="153" t="n">
        <f aca="false">IFERROR(IF(AND($H1180&lt;&gt;"",$I1180="FoFo",OR($N1180="MND",$N1180="VCA"),$Q1180="LINEAR"),0,IF(AND($H1180&lt;&gt;"",$I1180="PEAD",$N1180="VCA",$Q1180="LINEAR"),($H1180/1000)+0.3,IF(AND($H1180&lt;&gt;"",$I1180="PEAD",$N1180="MND",$Q1180="EMBOQUE"),0,IF(AND($H1180&lt;&gt;"",$I1180="PVC",$N1180="VCA",$Q1180="LINEAR"),($H1180/1000)+0.2,IF(AND($H1180&lt;&gt;"",$I1180="PVC",$N1180="MND",$Q1180="EMBOQUE"),0,IF(AND($H1180&lt;&gt;"",$I1180="PEAD",$N1180="VCA",$Q1180="PREDIAL"),0,0)))))),0)</f>
        <v>0.363</v>
      </c>
      <c r="AK1180" s="153" t="n">
        <f aca="false">IF(AA1180&lt;&gt;"",AA1180,0)</f>
        <v>4.2</v>
      </c>
      <c r="AL1180" s="153" t="n">
        <f aca="false">IF(AND($N1180="MND",$Q1180="EMBOQUE"),$M1180,IF(AND($N1180="VCA",$Q1180="LINEAR"),$M1180,IF(AND($N1180="VCA",$Q1180="PREDIAL"),0,0)))</f>
        <v>12.06</v>
      </c>
      <c r="AM1180" s="153" t="n">
        <f aca="false">IF(AND($N1180="MND",$Q1180="EMBOQUE"),$M1180,IF(AND($N1180="VCA",$Q1180="LINEAR"),$M1180,IF(AND($N1180="VCA",$Q1180="PREDIAL"),0,0)))</f>
        <v>12.06</v>
      </c>
      <c r="AN1180" s="153" t="n">
        <f aca="false">ROUND(IF(AND($N1180="VCA",$M1180&lt;&gt;"",$Q1180="LINEAR"),$M1180/100,IF(AND($N1180="MND",$M1180&gt;100,$Q1180="EMBOQUE"),$M1180/100,0)),0)</f>
        <v>0</v>
      </c>
      <c r="AO1180" s="153" t="n">
        <f aca="false">IF(AND($N1180="MND",$Q1180="EMBOQUE"),$AN1180*2*2,IF(AND($N1180="VCA",$Q1180="LINEAR"),$M1180*2,IF(AND($N1180="VCA",$Q1180="PREDIAL"),0,0)))</f>
        <v>24.12</v>
      </c>
      <c r="AP1180" s="153" t="n">
        <f aca="false">IFERROR($M1180*$AF1180*$AG1180,0)</f>
        <v>10.684557</v>
      </c>
      <c r="AQ1180" s="153" t="n">
        <f aca="false">IFERROR(IF(AND($N1180="VCA",$AH1180&gt;0),$M1180*$AG1180*$AH1180,0),0)</f>
        <v>0.7839</v>
      </c>
      <c r="AR1180" s="153" t="n">
        <f aca="false">IFERROR(IF(AND($N1180="VCA",$AJ1180&gt;0),($M1180*$AG1180*$AJ1180)-$AI1180,0),0)</f>
        <v>2.80796302155507</v>
      </c>
      <c r="AS1180" s="153" t="n">
        <f aca="false">IFERROR(IF(AND($N1180="VCA",$AP1180&gt;0),$AP1180-$AI1180-$AQ1180-$AR1180,0),0)</f>
        <v>7.0551</v>
      </c>
      <c r="AT1180" s="153" t="n">
        <f aca="false">IFERROR(IF($N1180="VCA",INDEX(APOIO_REDES!$A:$W,MATCH($C1180&amp;$I1180&amp;$H1180&amp;$N1180&amp;$O1180,APOIO_REDES!$W:$W,0),MATCH(AT$5,APOIO_REDES!$5:$5,0)),0)*$AP1180,0)</f>
        <v>0.116251142627444</v>
      </c>
      <c r="AU1180" s="153" t="n">
        <f aca="false">IFERROR(IF($N1180="VCA",INDEX(APOIO_REDES!$A:$W,MATCH($C1180&amp;$I1180&amp;$H1180&amp;$N1180&amp;$O1180,APOIO_REDES!$W:$W,0),MATCH(AU$5,APOIO_REDES!$5:$5,0)),0)*$AP1180,0)</f>
        <v>0.0928350140220427</v>
      </c>
      <c r="AV1180" s="153" t="n">
        <f aca="false">IFERROR(IF($N1180="VCA",INDEX(APOIO_REDES!$A:$W,MATCH($C1180&amp;$I1180&amp;$H1180&amp;$N1180&amp;$O1180,APOIO_REDES!$W:$W,0),MATCH(AV$5,APOIO_REDES!$5:$5,0)),0)*$AP1180,0)</f>
        <v>0.0128476371572164</v>
      </c>
      <c r="AW1180" s="153" t="n">
        <f aca="false">IFERROR(IF($N1180="VCA",INDEX(APOIO_REDES!$A:$W,MATCH($C1180&amp;$I1180&amp;$H1180&amp;$N1180&amp;$O1180,APOIO_REDES!$W:$W,0),MATCH(AW$5,APOIO_REDES!$5:$5,0)),0)*$AP1180,0)</f>
        <v>7.33396271278749</v>
      </c>
      <c r="AX1180" s="153" t="n">
        <f aca="false">IFERROR(IF($N1180="VCA",INDEX(APOIO_REDES!$A:$W,MATCH($C1180&amp;$I1180&amp;$H1180&amp;$N1180&amp;$O1180,APOIO_REDES!$W:$W,0),MATCH(AX$5,APOIO_REDES!$5:$5,0)),0)*$AP1180,0)</f>
        <v>1.01499954826155</v>
      </c>
      <c r="AY1180" s="153" t="n">
        <f aca="false">IFERROR(IF($N1180="VCA",INDEX(APOIO_REDES!$A:$W,MATCH($C1180&amp;$I1180&amp;$H1180&amp;$N1180&amp;$O1180,APOIO_REDES!$W:$W,0),MATCH(AY$5,APOIO_REDES!$5:$5,0)),0)*$AP1180,0)</f>
        <v>1.85669914878956</v>
      </c>
      <c r="AZ1180" s="153" t="n">
        <f aca="false">IFERROR(IF($N1180="VCA",INDEX(APOIO_REDES!$A:$W,MATCH($C1180&amp;$I1180&amp;$H1180&amp;$N1180&amp;$O1180,APOIO_REDES!$W:$W,0),MATCH(AZ$5,APOIO_REDES!$5:$5,0)),0)*$AP1180,0)</f>
        <v>0.256961796354692</v>
      </c>
      <c r="BA1180" s="153" t="n">
        <f aca="false">IFERROR(IF(AND($N1180="VCA",$Q1180="LINEAR"),INDEX(APOIO_REDES!$A:$W,MATCH($C1180&amp;$I1180&amp;$H1180&amp;$N1180&amp;$O1180,APOIO_REDES!$W:$W,0),MATCH(BA$5,APOIO_REDES!$5:$5,0)),IF(AND($N1180="MND",$Q1180="EMBOQUE"),INDEX(APOIO_REDES!$A:$W,MATCH($C1180&amp;$I1180&amp;$H1180&amp;$N1180&amp;$O1180,APOIO_REDES!$W:$W,0),MATCH(BA$5,APOIO_REDES!$5:$5,0)),0))*$M1180/10,0)</f>
        <v>0.97200557961215</v>
      </c>
      <c r="BB1180" s="153" t="n">
        <f aca="false">IFERROR(IF($N1180="VCA",INDEX(APOIO_REDES!$A:$W,MATCH($C1180&amp;$I1180&amp;$H1180&amp;$N1180&amp;$O1180,APOIO_REDES!$W:$W,0),MATCH(BB$5,APOIO_REDES!$5:$5,0)),0)*($AI1180+$AQ1180+$AR1180),0)</f>
        <v>3.58996743357556</v>
      </c>
      <c r="BC1180" s="153" t="n">
        <f aca="false">IFERROR(IF($N1180="VCA",INDEX(APOIO_REDES!$A:$W,MATCH($C1180&amp;$I1180&amp;$H1180&amp;$N1180&amp;$O1180,APOIO_REDES!$W:$W,0),MATCH(BC$5,APOIO_REDES!$5:$5,0)),0)*($AI1180+$AQ1180+$AR1180),0)</f>
        <v>0.0394895664244363</v>
      </c>
      <c r="BD1180" s="153" t="n">
        <f aca="false">IF(AND($N1180="VCA",$AF1180&gt;=1.25,$AF1180&lt;1.5),$M1180*$AF1180*2,0)</f>
        <v>32.87556</v>
      </c>
      <c r="BE1180" s="153" t="n">
        <f aca="false">IF(AND($N1180="VCA",$AF1180&gt;=1.5,$AF1180&lt;3),$M1180*$AF1180*2,0)</f>
        <v>0</v>
      </c>
      <c r="BF1180" s="153" t="n">
        <f aca="false">IF(AND($N1180="VCA",$AF1180&gt;=3),$M1180*$AF1180*2,0)</f>
        <v>0</v>
      </c>
      <c r="BG1180" s="153" t="n">
        <f aca="false">($BB1180+$BC1180)*$AK1180</f>
        <v>15.2437194</v>
      </c>
      <c r="BH1180" s="153" t="n">
        <f aca="false">IF(AND($M1180&lt;&gt;"",$N1180="VCA",$Q1180="LINEAR"),($M1180*2)/100,IF(AND($M1180&lt;&gt;"",$N1180="MND",$Q1180="EMBOQUE"),($AN1180*2)/100,0))</f>
        <v>0.2412</v>
      </c>
      <c r="BI1180" s="153" t="n">
        <f aca="false">IF(AND($M1180&lt;&gt;"",$N1180="VCA",$Q1180="LINEAR"),$M1180,IF(AND($M1180&lt;&gt;"",$N1180="MND",$Q1180="EMBOQUE"),$AN1180*2,0))</f>
        <v>12.06</v>
      </c>
      <c r="BJ1180" s="153" t="n">
        <f aca="false">IF(AND($M1180&lt;&gt;"",$N1180="VCA",$Q1180="LINEAR"),($M1180*6.8)/100,IF(AND($M1180&lt;&gt;"",$N1180="MND",$Q1180="EMBOQUE"),($AN1180*2*6.8)/100,0))</f>
        <v>0.82008</v>
      </c>
      <c r="BK1180" s="153" t="n">
        <f aca="false">IF(AND($M1180&lt;&gt;"",$N1180="VCA",$Q1180="LINEAR"),($M1180*2.5)/50,IF(AND($M1180&lt;&gt;"",$N1180="MND",$Q1180="EMBOQUE"),($AN1180*2*2.5)/50,0))</f>
        <v>0.603</v>
      </c>
      <c r="BL1180" s="157" t="str">
        <f aca="false">K1180&amp;J1180</f>
        <v>Zona10REDES</v>
      </c>
      <c r="BM1180" s="152" t="s">
        <v>5703</v>
      </c>
      <c r="BN1180" s="152" t="s">
        <v>1560</v>
      </c>
      <c r="BO1180" s="152" t="s">
        <v>4004</v>
      </c>
      <c r="BP1180" s="152" t="s">
        <v>5257</v>
      </c>
      <c r="BQ1180" s="152" t="s">
        <v>5981</v>
      </c>
      <c r="BR1180" s="152" t="s">
        <v>6004</v>
      </c>
      <c r="BS1180" s="152" t="n">
        <v>203478.375</v>
      </c>
      <c r="BT1180" s="152" t="n">
        <v>8237005.845</v>
      </c>
      <c r="BU1180" s="152" t="n">
        <v>203488.765</v>
      </c>
      <c r="BV1180" s="152" t="n">
        <v>8237010.509</v>
      </c>
      <c r="BW1180" s="152" t="n">
        <v>-15.9284829</v>
      </c>
      <c r="BX1180" s="152" t="n">
        <v>-47.769492</v>
      </c>
      <c r="BY1180" s="152" t="s">
        <v>5257</v>
      </c>
    </row>
    <row r="1181" customFormat="false" ht="13.8" hidden="false" customHeight="false" outlineLevel="0" collapsed="false">
      <c r="A1181" s="149" t="n">
        <f aca="false">IF(C1181&lt;&gt;"",ROW(A1176),"")</f>
        <v>1176</v>
      </c>
      <c r="B1181" s="150" t="str">
        <f aca="false">HYPERLINK("https://www.google.com/maps/dir/-15.917302,-47.760003/-15.9286902,-47.7678873/data=!4m3!4m2!3e0!5i0")</f>
        <v>https://www.google.com/maps/dir/-15.917302,-47.760003/-15.9286902,-47.7678873/data=!4m3!4m2!3e0!5i0</v>
      </c>
      <c r="C1181" s="151" t="s">
        <v>117</v>
      </c>
      <c r="D1181" s="152" t="s">
        <v>112</v>
      </c>
      <c r="E1181" s="152" t="s">
        <v>113</v>
      </c>
      <c r="F1181" s="152" t="s">
        <v>117</v>
      </c>
      <c r="G1181" s="152" t="s">
        <v>782</v>
      </c>
      <c r="H1181" s="152" t="n">
        <v>63</v>
      </c>
      <c r="I1181" s="152" t="s">
        <v>115</v>
      </c>
      <c r="J1181" s="152" t="s">
        <v>6</v>
      </c>
      <c r="K1181" s="152" t="s">
        <v>5700</v>
      </c>
      <c r="L1181" s="152" t="s">
        <v>120</v>
      </c>
      <c r="M1181" s="153" t="n">
        <f aca="false">32.42</f>
        <v>32.42</v>
      </c>
      <c r="N1181" s="152" t="s">
        <v>1548</v>
      </c>
      <c r="O1181" s="152" t="s">
        <v>1549</v>
      </c>
      <c r="P1181" s="152" t="s">
        <v>1550</v>
      </c>
      <c r="Q1181" s="152" t="s">
        <v>1551</v>
      </c>
      <c r="R1181" s="154" t="s">
        <v>6005</v>
      </c>
      <c r="S1181" s="154" t="s">
        <v>1553</v>
      </c>
      <c r="T1181" s="155" t="s">
        <v>4002</v>
      </c>
      <c r="U1181" s="152" t="str">
        <f aca="false">RIGHT(T1181,7)</f>
        <v>015/037</v>
      </c>
      <c r="V1181" s="152" t="s">
        <v>1555</v>
      </c>
      <c r="W1181" s="156" t="n">
        <v>45882</v>
      </c>
      <c r="X1181" s="152" t="s">
        <v>1594</v>
      </c>
      <c r="Y1181" s="152" t="s">
        <v>2387</v>
      </c>
      <c r="Z1181" s="152" t="s">
        <v>1557</v>
      </c>
      <c r="AA1181" s="153" t="n">
        <v>2.3</v>
      </c>
      <c r="AB1181" s="151" t="s">
        <v>6006</v>
      </c>
      <c r="AC1181" s="151" t="s">
        <v>186</v>
      </c>
      <c r="AD1181" s="151" t="str">
        <f aca="false">CONCATENATE($C1181,$I1181,$H1181,$N1181,$J1181,$K1181)</f>
        <v>TUBO PEADPEAD63VCAREDESZona10</v>
      </c>
      <c r="AE1181" s="153" t="n">
        <f aca="false">IFERROR(INDEX(APOIO_REDES!$A:$W,MATCH($C1181&amp;$I1181&amp;$H1181&amp;$N1181&amp;$O1181,APOIO_REDES!$W:$W,0),MATCH(AE$5,APOIO_REDES!$5:$5,0)),0)</f>
        <v>1.2</v>
      </c>
      <c r="AF1181" s="153" t="n">
        <f aca="false">IFERROR(INDEX(APOIO_REDES!$A:$W,MATCH($C1181&amp;$I1181&amp;$H1181&amp;$N1181&amp;$O1181,APOIO_REDES!$W:$W,0),MATCH(AF$5,APOIO_REDES!$5:$5,0)),0)</f>
        <v>1.363</v>
      </c>
      <c r="AG1181" s="153" t="n">
        <f aca="false">IFERROR(INDEX(APOIO_REDES!$A:$W,MATCH($C1181&amp;$I1181&amp;$H1181&amp;$N1181&amp;$O1181,APOIO_REDES!$W:$W,0),MATCH(AG$5,APOIO_REDES!$5:$5,0)),0)</f>
        <v>0.65</v>
      </c>
      <c r="AH1181" s="153" t="n">
        <f aca="false">IFERROR(INDEX(APOIO_REDES!$A:$W,MATCH($C1181&amp;$I1181&amp;$H1181&amp;$N1181&amp;$O1181,APOIO_REDES!$W:$W,0),MATCH(AH$5,APOIO_REDES!$5:$5,0)),0)</f>
        <v>0.1</v>
      </c>
      <c r="AI1181" s="153" t="n">
        <f aca="false">IFERROR(IF($H1181&lt;&gt;"",(((($H1181/1000)/2)^2)*PI()*$M1181),0),0)</f>
        <v>0.101061092967203</v>
      </c>
      <c r="AJ1181" s="153" t="n">
        <f aca="false">IFERROR(IF(AND($H1181&lt;&gt;"",$I1181="FoFo",OR($N1181="MND",$N1181="VCA"),$Q1181="LINEAR"),0,IF(AND($H1181&lt;&gt;"",$I1181="PEAD",$N1181="VCA",$Q1181="LINEAR"),($H1181/1000)+0.3,IF(AND($H1181&lt;&gt;"",$I1181="PEAD",$N1181="MND",$Q1181="EMBOQUE"),0,IF(AND($H1181&lt;&gt;"",$I1181="PVC",$N1181="VCA",$Q1181="LINEAR"),($H1181/1000)+0.2,IF(AND($H1181&lt;&gt;"",$I1181="PVC",$N1181="MND",$Q1181="EMBOQUE"),0,IF(AND($H1181&lt;&gt;"",$I1181="PEAD",$N1181="VCA",$Q1181="PREDIAL"),0,0)))))),0)</f>
        <v>0.363</v>
      </c>
      <c r="AK1181" s="153" t="n">
        <f aca="false">IF(AA1181&lt;&gt;"",AA1181,0)</f>
        <v>2.3</v>
      </c>
      <c r="AL1181" s="153" t="n">
        <f aca="false">IF(AND($N1181="MND",$Q1181="EMBOQUE"),$M1181,IF(AND($N1181="VCA",$Q1181="LINEAR"),$M1181,IF(AND($N1181="VCA",$Q1181="PREDIAL"),0,0)))</f>
        <v>32.42</v>
      </c>
      <c r="AM1181" s="153" t="n">
        <f aca="false">IF(AND($N1181="MND",$Q1181="EMBOQUE"),$M1181,IF(AND($N1181="VCA",$Q1181="LINEAR"),$M1181,IF(AND($N1181="VCA",$Q1181="PREDIAL"),0,0)))</f>
        <v>32.42</v>
      </c>
      <c r="AN1181" s="153" t="n">
        <f aca="false">ROUND(IF(AND($N1181="VCA",$M1181&lt;&gt;"",$Q1181="LINEAR"),$M1181/100,IF(AND($N1181="MND",$M1181&gt;100,$Q1181="EMBOQUE"),$M1181/100,0)),0)</f>
        <v>0</v>
      </c>
      <c r="AO1181" s="153" t="n">
        <f aca="false">IF(AND($N1181="MND",$Q1181="EMBOQUE"),$AN1181*2*2,IF(AND($N1181="VCA",$Q1181="LINEAR"),$M1181*2,IF(AND($N1181="VCA",$Q1181="PREDIAL"),0,0)))</f>
        <v>64.84</v>
      </c>
      <c r="AP1181" s="153" t="n">
        <f aca="false">IFERROR($M1181*$AF1181*$AG1181,0)</f>
        <v>28.722499</v>
      </c>
      <c r="AQ1181" s="153" t="n">
        <f aca="false">IFERROR(IF(AND($N1181="VCA",$AH1181&gt;0),$M1181*$AG1181*$AH1181,0),0)</f>
        <v>2.1073</v>
      </c>
      <c r="AR1181" s="153" t="n">
        <f aca="false">IFERROR(IF(AND($N1181="VCA",$AJ1181&gt;0),($M1181*$AG1181*$AJ1181)-$AI1181,0),0)</f>
        <v>7.5484379070328</v>
      </c>
      <c r="AS1181" s="153" t="n">
        <f aca="false">IFERROR(IF(AND($N1181="VCA",$AP1181&gt;0),$AP1181-$AI1181-$AQ1181-$AR1181,0),0)</f>
        <v>18.9657</v>
      </c>
      <c r="AT1181" s="153" t="n">
        <f aca="false">IFERROR(IF($N1181="VCA",INDEX(APOIO_REDES!$A:$W,MATCH($C1181&amp;$I1181&amp;$H1181&amp;$N1181&amp;$O1181,APOIO_REDES!$W:$W,0),MATCH(AT$5,APOIO_REDES!$5:$5,0)),0)*$AP1181,0)</f>
        <v>0.31250929054575</v>
      </c>
      <c r="AU1181" s="153" t="n">
        <f aca="false">IFERROR(IF($N1181="VCA",INDEX(APOIO_REDES!$A:$W,MATCH($C1181&amp;$I1181&amp;$H1181&amp;$N1181&amp;$O1181,APOIO_REDES!$W:$W,0),MATCH(AU$5,APOIO_REDES!$5:$5,0)),0)*$AP1181,0)</f>
        <v>0.249561455604861</v>
      </c>
      <c r="AV1181" s="153" t="n">
        <f aca="false">IFERROR(IF($N1181="VCA",INDEX(APOIO_REDES!$A:$W,MATCH($C1181&amp;$I1181&amp;$H1181&amp;$N1181&amp;$O1181,APOIO_REDES!$W:$W,0),MATCH(AV$5,APOIO_REDES!$5:$5,0)),0)*$AP1181,0)</f>
        <v>0.0345373463214724</v>
      </c>
      <c r="AW1181" s="153" t="n">
        <f aca="false">IFERROR(IF($N1181="VCA",INDEX(APOIO_REDES!$A:$W,MATCH($C1181&amp;$I1181&amp;$H1181&amp;$N1181&amp;$O1181,APOIO_REDES!$W:$W,0),MATCH(AW$5,APOIO_REDES!$5:$5,0)),0)*$AP1181,0)</f>
        <v>19.7153458663823</v>
      </c>
      <c r="AX1181" s="153" t="n">
        <f aca="false">IFERROR(IF($N1181="VCA",INDEX(APOIO_REDES!$A:$W,MATCH($C1181&amp;$I1181&amp;$H1181&amp;$N1181&amp;$O1181,APOIO_REDES!$W:$W,0),MATCH(AX$5,APOIO_REDES!$5:$5,0)),0)*$AP1181,0)</f>
        <v>2.72854770768156</v>
      </c>
      <c r="AY1181" s="153" t="n">
        <f aca="false">IFERROR(IF($N1181="VCA",INDEX(APOIO_REDES!$A:$W,MATCH($C1181&amp;$I1181&amp;$H1181&amp;$N1181&amp;$O1181,APOIO_REDES!$W:$W,0),MATCH(AY$5,APOIO_REDES!$5:$5,0)),0)*$AP1181,0)</f>
        <v>4.99122606996331</v>
      </c>
      <c r="AZ1181" s="153" t="n">
        <f aca="false">IFERROR(IF($N1181="VCA",INDEX(APOIO_REDES!$A:$W,MATCH($C1181&amp;$I1181&amp;$H1181&amp;$N1181&amp;$O1181,APOIO_REDES!$W:$W,0),MATCH(AZ$5,APOIO_REDES!$5:$5,0)),0)*$AP1181,0)</f>
        <v>0.690771263500757</v>
      </c>
      <c r="BA1181" s="153" t="n">
        <f aca="false">IFERROR(IF(AND($N1181="VCA",$Q1181="LINEAR"),INDEX(APOIO_REDES!$A:$W,MATCH($C1181&amp;$I1181&amp;$H1181&amp;$N1181&amp;$O1181,APOIO_REDES!$W:$W,0),MATCH(BA$5,APOIO_REDES!$5:$5,0)),IF(AND($N1181="MND",$Q1181="EMBOQUE"),INDEX(APOIO_REDES!$A:$W,MATCH($C1181&amp;$I1181&amp;$H1181&amp;$N1181&amp;$O1181,APOIO_REDES!$W:$W,0),MATCH(BA$5,APOIO_REDES!$5:$5,0)),0))*$M1181/10,0)</f>
        <v>2.61297022313648</v>
      </c>
      <c r="BB1181" s="153" t="n">
        <f aca="false">IFERROR(IF($N1181="VCA",INDEX(APOIO_REDES!$A:$W,MATCH($C1181&amp;$I1181&amp;$H1181&amp;$N1181&amp;$O1181,APOIO_REDES!$W:$W,0),MATCH(BB$5,APOIO_REDES!$5:$5,0)),0)*($AI1181+$AQ1181+$AR1181),0)</f>
        <v>9.65064213901491</v>
      </c>
      <c r="BC1181" s="153" t="n">
        <f aca="false">IFERROR(IF($N1181="VCA",INDEX(APOIO_REDES!$A:$W,MATCH($C1181&amp;$I1181&amp;$H1181&amp;$N1181&amp;$O1181,APOIO_REDES!$W:$W,0),MATCH(BC$5,APOIO_REDES!$5:$5,0)),0)*($AI1181+$AQ1181+$AR1181),0)</f>
        <v>0.106156860985093</v>
      </c>
      <c r="BD1181" s="153" t="n">
        <f aca="false">IF(AND($N1181="VCA",$AF1181&gt;=1.25,$AF1181&lt;1.5),$M1181*$AF1181*2,0)</f>
        <v>88.37692</v>
      </c>
      <c r="BE1181" s="153" t="n">
        <f aca="false">IF(AND($N1181="VCA",$AF1181&gt;=1.5,$AF1181&lt;3),$M1181*$AF1181*2,0)</f>
        <v>0</v>
      </c>
      <c r="BF1181" s="153" t="n">
        <f aca="false">IF(AND($N1181="VCA",$AF1181&gt;=3),$M1181*$AF1181*2,0)</f>
        <v>0</v>
      </c>
      <c r="BG1181" s="153" t="n">
        <f aca="false">($BB1181+$BC1181)*$AK1181</f>
        <v>22.4406377</v>
      </c>
      <c r="BH1181" s="153" t="n">
        <f aca="false">IF(AND($M1181&lt;&gt;"",$N1181="VCA",$Q1181="LINEAR"),($M1181*2)/100,IF(AND($M1181&lt;&gt;"",$N1181="MND",$Q1181="EMBOQUE"),($AN1181*2)/100,0))</f>
        <v>0.6484</v>
      </c>
      <c r="BI1181" s="153" t="n">
        <f aca="false">IF(AND($M1181&lt;&gt;"",$N1181="VCA",$Q1181="LINEAR"),$M1181,IF(AND($M1181&lt;&gt;"",$N1181="MND",$Q1181="EMBOQUE"),$AN1181*2,0))</f>
        <v>32.42</v>
      </c>
      <c r="BJ1181" s="153" t="n">
        <f aca="false">IF(AND($M1181&lt;&gt;"",$N1181="VCA",$Q1181="LINEAR"),($M1181*6.8)/100,IF(AND($M1181&lt;&gt;"",$N1181="MND",$Q1181="EMBOQUE"),($AN1181*2*6.8)/100,0))</f>
        <v>2.20456</v>
      </c>
      <c r="BK1181" s="153" t="n">
        <f aca="false">IF(AND($M1181&lt;&gt;"",$N1181="VCA",$Q1181="LINEAR"),($M1181*2.5)/50,IF(AND($M1181&lt;&gt;"",$N1181="MND",$Q1181="EMBOQUE"),($AN1181*2*2.5)/50,0))</f>
        <v>1.621</v>
      </c>
      <c r="BL1181" s="157" t="str">
        <f aca="false">K1181&amp;J1181</f>
        <v>Zona10REDES</v>
      </c>
      <c r="BM1181" s="152" t="s">
        <v>5703</v>
      </c>
      <c r="BN1181" s="152" t="s">
        <v>1560</v>
      </c>
      <c r="BO1181" s="152" t="s">
        <v>4004</v>
      </c>
      <c r="BP1181" s="152" t="s">
        <v>5977</v>
      </c>
      <c r="BQ1181" s="152" t="s">
        <v>6007</v>
      </c>
      <c r="BR1181" s="152" t="s">
        <v>6008</v>
      </c>
      <c r="BS1181" s="152" t="n">
        <v>203656.013</v>
      </c>
      <c r="BT1181" s="152" t="n">
        <v>8236986.933</v>
      </c>
      <c r="BU1181" s="152" t="n">
        <v>203624.156</v>
      </c>
      <c r="BV1181" s="152" t="n">
        <v>8236980.924</v>
      </c>
      <c r="BW1181" s="152" t="n">
        <v>-15.928716</v>
      </c>
      <c r="BX1181" s="152" t="n">
        <v>-47.7680362</v>
      </c>
      <c r="BY1181" s="152" t="s">
        <v>5977</v>
      </c>
    </row>
    <row r="1182" customFormat="false" ht="13.8" hidden="false" customHeight="false" outlineLevel="0" collapsed="false">
      <c r="A1182" s="149" t="n">
        <f aca="false">IF(C1182&lt;&gt;"",ROW(A1177),"")</f>
        <v>1177</v>
      </c>
      <c r="B1182" s="150" t="str">
        <f aca="false">HYPERLINK("https://www.google.com/maps/dir/-15.917302,-47.760003/-15.9289156,-47.7693897/data=!4m3!4m2!3e0!5i2")</f>
        <v>https://www.google.com/maps/dir/-15.917302,-47.760003/-15.9289156,-47.7693897/data=!4m3!4m2!3e0!5i2</v>
      </c>
      <c r="C1182" s="151" t="s">
        <v>117</v>
      </c>
      <c r="D1182" s="152" t="s">
        <v>112</v>
      </c>
      <c r="E1182" s="152" t="s">
        <v>113</v>
      </c>
      <c r="F1182" s="152" t="s">
        <v>117</v>
      </c>
      <c r="G1182" s="152" t="s">
        <v>114</v>
      </c>
      <c r="H1182" s="152" t="n">
        <v>160</v>
      </c>
      <c r="I1182" s="152" t="s">
        <v>115</v>
      </c>
      <c r="J1182" s="152" t="s">
        <v>6</v>
      </c>
      <c r="K1182" s="152" t="s">
        <v>5700</v>
      </c>
      <c r="L1182" s="152" t="s">
        <v>120</v>
      </c>
      <c r="M1182" s="153" t="n">
        <f aca="false">49.18+0.12</f>
        <v>49.3</v>
      </c>
      <c r="N1182" s="152" t="s">
        <v>1548</v>
      </c>
      <c r="O1182" s="152" t="s">
        <v>1549</v>
      </c>
      <c r="P1182" s="152" t="s">
        <v>1550</v>
      </c>
      <c r="Q1182" s="152" t="s">
        <v>1551</v>
      </c>
      <c r="R1182" s="154" t="s">
        <v>6009</v>
      </c>
      <c r="S1182" s="154" t="s">
        <v>1593</v>
      </c>
      <c r="T1182" s="155" t="s">
        <v>4002</v>
      </c>
      <c r="U1182" s="152" t="str">
        <f aca="false">RIGHT(T1182,7)</f>
        <v>015/037</v>
      </c>
      <c r="V1182" s="152" t="s">
        <v>1555</v>
      </c>
      <c r="W1182" s="156" t="n">
        <v>45882</v>
      </c>
      <c r="X1182" s="152" t="s">
        <v>1594</v>
      </c>
      <c r="Y1182" s="152" t="s">
        <v>2387</v>
      </c>
      <c r="Z1182" s="152" t="s">
        <v>1557</v>
      </c>
      <c r="AA1182" s="153" t="n">
        <v>4.3</v>
      </c>
      <c r="AB1182" s="151" t="s">
        <v>6010</v>
      </c>
      <c r="AC1182" s="151" t="s">
        <v>505</v>
      </c>
      <c r="AD1182" s="151" t="str">
        <f aca="false">CONCATENATE($C1182,$I1182,$H1182,$N1182,$J1182,$K1182)</f>
        <v>TUBO PEADPEAD160VCAREDESZona10</v>
      </c>
      <c r="AE1182" s="153" t="n">
        <f aca="false">IFERROR(INDEX(APOIO_REDES!$A:$W,MATCH($C1182&amp;$I1182&amp;$H1182&amp;$N1182&amp;$O1182,APOIO_REDES!$W:$W,0),MATCH(AE$5,APOIO_REDES!$5:$5,0)),0)</f>
        <v>1.2</v>
      </c>
      <c r="AF1182" s="153" t="n">
        <f aca="false">IFERROR(INDEX(APOIO_REDES!$A:$W,MATCH($C1182&amp;$I1182&amp;$H1182&amp;$N1182&amp;$O1182,APOIO_REDES!$W:$W,0),MATCH(AF$5,APOIO_REDES!$5:$5,0)),0)</f>
        <v>1.46</v>
      </c>
      <c r="AG1182" s="153" t="n">
        <f aca="false">IFERROR(INDEX(APOIO_REDES!$A:$W,MATCH($C1182&amp;$I1182&amp;$H1182&amp;$N1182&amp;$O1182,APOIO_REDES!$W:$W,0),MATCH(AG$5,APOIO_REDES!$5:$5,0)),0)</f>
        <v>0.75</v>
      </c>
      <c r="AH1182" s="153" t="n">
        <f aca="false">IFERROR(INDEX(APOIO_REDES!$A:$W,MATCH($C1182&amp;$I1182&amp;$H1182&amp;$N1182&amp;$O1182,APOIO_REDES!$W:$W,0),MATCH(AH$5,APOIO_REDES!$5:$5,0)),0)</f>
        <v>0.1</v>
      </c>
      <c r="AI1182" s="153" t="n">
        <f aca="false">IFERROR(IF($H1182&lt;&gt;"",(((($H1182/1000)/2)^2)*PI()*$M1182),0),0)</f>
        <v>0.991235314060652</v>
      </c>
      <c r="AJ1182" s="153" t="n">
        <f aca="false">IFERROR(IF(AND($H1182&lt;&gt;"",$I1182="FoFo",OR($N1182="MND",$N1182="VCA"),$Q1182="LINEAR"),0,IF(AND($H1182&lt;&gt;"",$I1182="PEAD",$N1182="VCA",$Q1182="LINEAR"),($H1182/1000)+0.3,IF(AND($H1182&lt;&gt;"",$I1182="PEAD",$N1182="MND",$Q1182="EMBOQUE"),0,IF(AND($H1182&lt;&gt;"",$I1182="PVC",$N1182="VCA",$Q1182="LINEAR"),($H1182/1000)+0.2,IF(AND($H1182&lt;&gt;"",$I1182="PVC",$N1182="MND",$Q1182="EMBOQUE"),0,IF(AND($H1182&lt;&gt;"",$I1182="PEAD",$N1182="VCA",$Q1182="PREDIAL"),0,0)))))),0)</f>
        <v>0.46</v>
      </c>
      <c r="AK1182" s="153" t="n">
        <f aca="false">IF(AA1182&lt;&gt;"",AA1182,0)</f>
        <v>4.3</v>
      </c>
      <c r="AL1182" s="153" t="n">
        <f aca="false">IF(AND($N1182="MND",$Q1182="EMBOQUE"),$M1182,IF(AND($N1182="VCA",$Q1182="LINEAR"),$M1182,IF(AND($N1182="VCA",$Q1182="PREDIAL"),0,0)))</f>
        <v>49.3</v>
      </c>
      <c r="AM1182" s="153" t="n">
        <f aca="false">IF(AND($N1182="MND",$Q1182="EMBOQUE"),$M1182,IF(AND($N1182="VCA",$Q1182="LINEAR"),$M1182,IF(AND($N1182="VCA",$Q1182="PREDIAL"),0,0)))</f>
        <v>49.3</v>
      </c>
      <c r="AN1182" s="153" t="n">
        <f aca="false">ROUND(IF(AND($N1182="VCA",$M1182&lt;&gt;"",$Q1182="LINEAR"),$M1182/100,IF(AND($N1182="MND",$M1182&gt;100,$Q1182="EMBOQUE"),$M1182/100,0)),0)</f>
        <v>0</v>
      </c>
      <c r="AO1182" s="153" t="n">
        <f aca="false">IF(AND($N1182="MND",$Q1182="EMBOQUE"),$AN1182*2*2,IF(AND($N1182="VCA",$Q1182="LINEAR"),$M1182*2,IF(AND($N1182="VCA",$Q1182="PREDIAL"),0,0)))</f>
        <v>98.6</v>
      </c>
      <c r="AP1182" s="153" t="n">
        <f aca="false">IFERROR($M1182*$AF1182*$AG1182,0)</f>
        <v>53.9835</v>
      </c>
      <c r="AQ1182" s="153" t="n">
        <f aca="false">IFERROR(IF(AND($N1182="VCA",$AH1182&gt;0),$M1182*$AG1182*$AH1182,0),0)</f>
        <v>3.6975</v>
      </c>
      <c r="AR1182" s="153" t="n">
        <f aca="false">IFERROR(IF(AND($N1182="VCA",$AJ1182&gt;0),($M1182*$AG1182*$AJ1182)-$AI1182,0),0)</f>
        <v>16.0172646859393</v>
      </c>
      <c r="AS1182" s="153" t="n">
        <f aca="false">IFERROR(IF(AND($N1182="VCA",$AP1182&gt;0),$AP1182-$AI1182-$AQ1182-$AR1182,0),0)</f>
        <v>33.2775</v>
      </c>
      <c r="AT1182" s="153" t="n">
        <f aca="false">IFERROR(IF($N1182="VCA",INDEX(APOIO_REDES!$A:$W,MATCH($C1182&amp;$I1182&amp;$H1182&amp;$N1182&amp;$O1182,APOIO_REDES!$W:$W,0),MATCH(AT$5,APOIO_REDES!$5:$5,0)),0)*$AP1182,0)</f>
        <v>0.587356458300389</v>
      </c>
      <c r="AU1182" s="153" t="n">
        <f aca="false">IFERROR(IF($N1182="VCA",INDEX(APOIO_REDES!$A:$W,MATCH($C1182&amp;$I1182&amp;$H1182&amp;$N1182&amp;$O1182,APOIO_REDES!$W:$W,0),MATCH(AU$5,APOIO_REDES!$5:$5,0)),0)*$AP1182,0)</f>
        <v>0.469046959968387</v>
      </c>
      <c r="AV1182" s="153" t="n">
        <f aca="false">IFERROR(IF($N1182="VCA",INDEX(APOIO_REDES!$A:$W,MATCH($C1182&amp;$I1182&amp;$H1182&amp;$N1182&amp;$O1182,APOIO_REDES!$W:$W,0),MATCH(AV$5,APOIO_REDES!$5:$5,0)),0)*$AP1182,0)</f>
        <v>0.0649124170966184</v>
      </c>
      <c r="AW1182" s="153" t="n">
        <f aca="false">IFERROR(IF($N1182="VCA",INDEX(APOIO_REDES!$A:$W,MATCH($C1182&amp;$I1182&amp;$H1182&amp;$N1182&amp;$O1182,APOIO_REDES!$W:$W,0),MATCH(AW$5,APOIO_REDES!$5:$5,0)),0)*$AP1182,0)</f>
        <v>37.0546926845693</v>
      </c>
      <c r="AX1182" s="153" t="n">
        <f aca="false">IFERROR(IF($N1182="VCA",INDEX(APOIO_REDES!$A:$W,MATCH($C1182&amp;$I1182&amp;$H1182&amp;$N1182&amp;$O1182,APOIO_REDES!$W:$W,0),MATCH(AX$5,APOIO_REDES!$5:$5,0)),0)*$AP1182,0)</f>
        <v>5.12826391525429</v>
      </c>
      <c r="AY1182" s="153" t="n">
        <f aca="false">IFERROR(IF($N1182="VCA",INDEX(APOIO_REDES!$A:$W,MATCH($C1182&amp;$I1182&amp;$H1182&amp;$N1182&amp;$O1182,APOIO_REDES!$W:$W,0),MATCH(AY$5,APOIO_REDES!$5:$5,0)),0)*$AP1182,0)</f>
        <v>9.38093348172331</v>
      </c>
      <c r="AZ1182" s="153" t="n">
        <f aca="false">IFERROR(IF($N1182="VCA",INDEX(APOIO_REDES!$A:$W,MATCH($C1182&amp;$I1182&amp;$H1182&amp;$N1182&amp;$O1182,APOIO_REDES!$W:$W,0),MATCH(AZ$5,APOIO_REDES!$5:$5,0)),0)*$AP1182,0)</f>
        <v>1.29829408308773</v>
      </c>
      <c r="BA1182" s="153" t="n">
        <f aca="false">IFERROR(IF(AND($N1182="VCA",$Q1182="LINEAR"),INDEX(APOIO_REDES!$A:$W,MATCH($C1182&amp;$I1182&amp;$H1182&amp;$N1182&amp;$O1182,APOIO_REDES!$W:$W,0),MATCH(BA$5,APOIO_REDES!$5:$5,0)),IF(AND($N1182="MND",$Q1182="EMBOQUE"),INDEX(APOIO_REDES!$A:$W,MATCH($C1182&amp;$I1182&amp;$H1182&amp;$N1182&amp;$O1182,APOIO_REDES!$W:$W,0),MATCH(BA$5,APOIO_REDES!$5:$5,0)),0))*$M1182/10,0)</f>
        <v>3.97345564468317</v>
      </c>
      <c r="BB1182" s="153" t="n">
        <f aca="false">IFERROR(IF($N1182="VCA",INDEX(APOIO_REDES!$A:$W,MATCH($C1182&amp;$I1182&amp;$H1182&amp;$N1182&amp;$O1182,APOIO_REDES!$W:$W,0),MATCH(BB$5,APOIO_REDES!$5:$5,0)),0)*($AI1182+$AQ1182+$AR1182),0)</f>
        <v>20.4807125913368</v>
      </c>
      <c r="BC1182" s="153" t="n">
        <f aca="false">IFERROR(IF($N1182="VCA",INDEX(APOIO_REDES!$A:$W,MATCH($C1182&amp;$I1182&amp;$H1182&amp;$N1182&amp;$O1182,APOIO_REDES!$W:$W,0),MATCH(BC$5,APOIO_REDES!$5:$5,0)),0)*($AI1182+$AQ1182+$AR1182),0)</f>
        <v>0.225287408663163</v>
      </c>
      <c r="BD1182" s="153" t="n">
        <f aca="false">IF(AND($N1182="VCA",$AF1182&gt;=1.25,$AF1182&lt;1.5),$M1182*$AF1182*2,0)</f>
        <v>143.956</v>
      </c>
      <c r="BE1182" s="153" t="n">
        <f aca="false">IF(AND($N1182="VCA",$AF1182&gt;=1.5,$AF1182&lt;3),$M1182*$AF1182*2,0)</f>
        <v>0</v>
      </c>
      <c r="BF1182" s="153" t="n">
        <f aca="false">IF(AND($N1182="VCA",$AF1182&gt;=3),$M1182*$AF1182*2,0)</f>
        <v>0</v>
      </c>
      <c r="BG1182" s="153" t="n">
        <f aca="false">($BB1182+$BC1182)*$AK1182</f>
        <v>89.0358</v>
      </c>
      <c r="BH1182" s="153" t="n">
        <f aca="false">IF(AND($M1182&lt;&gt;"",$N1182="VCA",$Q1182="LINEAR"),($M1182*2)/100,IF(AND($M1182&lt;&gt;"",$N1182="MND",$Q1182="EMBOQUE"),($AN1182*2)/100,0))</f>
        <v>0.986</v>
      </c>
      <c r="BI1182" s="153" t="n">
        <f aca="false">IF(AND($M1182&lt;&gt;"",$N1182="VCA",$Q1182="LINEAR"),$M1182,IF(AND($M1182&lt;&gt;"",$N1182="MND",$Q1182="EMBOQUE"),$AN1182*2,0))</f>
        <v>49.3</v>
      </c>
      <c r="BJ1182" s="153" t="n">
        <f aca="false">IF(AND($M1182&lt;&gt;"",$N1182="VCA",$Q1182="LINEAR"),($M1182*6.8)/100,IF(AND($M1182&lt;&gt;"",$N1182="MND",$Q1182="EMBOQUE"),($AN1182*2*6.8)/100,0))</f>
        <v>3.3524</v>
      </c>
      <c r="BK1182" s="153" t="n">
        <f aca="false">IF(AND($M1182&lt;&gt;"",$N1182="VCA",$Q1182="LINEAR"),($M1182*2.5)/50,IF(AND($M1182&lt;&gt;"",$N1182="MND",$Q1182="EMBOQUE"),($AN1182*2*2.5)/50,0))</f>
        <v>2.465</v>
      </c>
      <c r="BL1182" s="157" t="str">
        <f aca="false">K1182&amp;J1182</f>
        <v>Zona10REDES</v>
      </c>
      <c r="BM1182" s="152" t="s">
        <v>5703</v>
      </c>
      <c r="BN1182" s="152" t="s">
        <v>1560</v>
      </c>
      <c r="BO1182" s="152" t="s">
        <v>4004</v>
      </c>
      <c r="BP1182" s="152" t="s">
        <v>6011</v>
      </c>
      <c r="BQ1182" s="152" t="s">
        <v>5257</v>
      </c>
      <c r="BR1182" s="152" t="s">
        <v>6012</v>
      </c>
      <c r="BS1182" s="152" t="n">
        <v>203494.88</v>
      </c>
      <c r="BT1182" s="152" t="n">
        <v>8236959.737</v>
      </c>
      <c r="BU1182" s="152" t="n">
        <v>203477.904</v>
      </c>
      <c r="BV1182" s="152" t="n">
        <v>8237005.646</v>
      </c>
      <c r="BW1182" s="152" t="n">
        <v>-15.9287027</v>
      </c>
      <c r="BX1182" s="152" t="n">
        <v>-47.7694539</v>
      </c>
      <c r="BY1182" s="152" t="s">
        <v>6011</v>
      </c>
    </row>
    <row r="1183" customFormat="false" ht="13.8" hidden="false" customHeight="false" outlineLevel="0" collapsed="false">
      <c r="A1183" s="149" t="n">
        <f aca="false">IF(C1183&lt;&gt;"",ROW(A1178),"")</f>
        <v>1178</v>
      </c>
      <c r="B1183" s="150" t="str">
        <f aca="false">HYPERLINK("https://www.google.com/maps/dir/-15.917302,-47.760003/-15.9287407,-47.7681853/data=!4m3!4m2!3e0!5i0")</f>
        <v>https://www.google.com/maps/dir/-15.917302,-47.760003/-15.9287407,-47.7681853/data=!4m3!4m2!3e0!5i0</v>
      </c>
      <c r="C1183" s="151" t="s">
        <v>117</v>
      </c>
      <c r="D1183" s="152" t="s">
        <v>112</v>
      </c>
      <c r="E1183" s="152" t="s">
        <v>113</v>
      </c>
      <c r="F1183" s="152" t="s">
        <v>117</v>
      </c>
      <c r="G1183" s="152" t="s">
        <v>782</v>
      </c>
      <c r="H1183" s="152" t="n">
        <v>63</v>
      </c>
      <c r="I1183" s="152" t="s">
        <v>115</v>
      </c>
      <c r="J1183" s="152" t="s">
        <v>6</v>
      </c>
      <c r="K1183" s="152" t="s">
        <v>5700</v>
      </c>
      <c r="L1183" s="152" t="s">
        <v>120</v>
      </c>
      <c r="M1183" s="153" t="n">
        <f aca="false">130.51+0.51</f>
        <v>131.02</v>
      </c>
      <c r="N1183" s="152" t="s">
        <v>1548</v>
      </c>
      <c r="O1183" s="152" t="s">
        <v>1549</v>
      </c>
      <c r="P1183" s="152" t="s">
        <v>1550</v>
      </c>
      <c r="Q1183" s="152" t="s">
        <v>1551</v>
      </c>
      <c r="R1183" s="154" t="s">
        <v>6013</v>
      </c>
      <c r="S1183" s="154" t="s">
        <v>1553</v>
      </c>
      <c r="T1183" s="155" t="s">
        <v>4002</v>
      </c>
      <c r="U1183" s="152" t="str">
        <f aca="false">RIGHT(T1183,7)</f>
        <v>015/037</v>
      </c>
      <c r="V1183" s="152" t="s">
        <v>1555</v>
      </c>
      <c r="W1183" s="156" t="n">
        <v>45882</v>
      </c>
      <c r="X1183" s="152" t="s">
        <v>1594</v>
      </c>
      <c r="Y1183" s="152" t="s">
        <v>2387</v>
      </c>
      <c r="Z1183" s="152" t="s">
        <v>1557</v>
      </c>
      <c r="AA1183" s="153" t="n">
        <v>2.3</v>
      </c>
      <c r="AB1183" s="151" t="s">
        <v>6014</v>
      </c>
      <c r="AC1183" s="151" t="s">
        <v>186</v>
      </c>
      <c r="AD1183" s="151" t="str">
        <f aca="false">CONCATENATE($C1183,$I1183,$H1183,$N1183,$J1183,$K1183)</f>
        <v>TUBO PEADPEAD63VCAREDESZona10</v>
      </c>
      <c r="AE1183" s="153" t="n">
        <f aca="false">IFERROR(INDEX(APOIO_REDES!$A:$W,MATCH($C1183&amp;$I1183&amp;$H1183&amp;$N1183&amp;$O1183,APOIO_REDES!$W:$W,0),MATCH(AE$5,APOIO_REDES!$5:$5,0)),0)</f>
        <v>1.2</v>
      </c>
      <c r="AF1183" s="153" t="n">
        <f aca="false">IFERROR(INDEX(APOIO_REDES!$A:$W,MATCH($C1183&amp;$I1183&amp;$H1183&amp;$N1183&amp;$O1183,APOIO_REDES!$W:$W,0),MATCH(AF$5,APOIO_REDES!$5:$5,0)),0)</f>
        <v>1.363</v>
      </c>
      <c r="AG1183" s="153" t="n">
        <f aca="false">IFERROR(INDEX(APOIO_REDES!$A:$W,MATCH($C1183&amp;$I1183&amp;$H1183&amp;$N1183&amp;$O1183,APOIO_REDES!$W:$W,0),MATCH(AG$5,APOIO_REDES!$5:$5,0)),0)</f>
        <v>0.65</v>
      </c>
      <c r="AH1183" s="153" t="n">
        <f aca="false">IFERROR(INDEX(APOIO_REDES!$A:$W,MATCH($C1183&amp;$I1183&amp;$H1183&amp;$N1183&amp;$O1183,APOIO_REDES!$W:$W,0),MATCH(AH$5,APOIO_REDES!$5:$5,0)),0)</f>
        <v>0.1</v>
      </c>
      <c r="AI1183" s="153" t="n">
        <f aca="false">IFERROR(IF($H1183&lt;&gt;"",(((($H1183/1000)/2)^2)*PI()*$M1183),0),0)</f>
        <v>0.408421480584916</v>
      </c>
      <c r="AJ1183" s="153" t="n">
        <f aca="false">IFERROR(IF(AND($H1183&lt;&gt;"",$I1183="FoFo",OR($N1183="MND",$N1183="VCA"),$Q1183="LINEAR"),0,IF(AND($H1183&lt;&gt;"",$I1183="PEAD",$N1183="VCA",$Q1183="LINEAR"),($H1183/1000)+0.3,IF(AND($H1183&lt;&gt;"",$I1183="PEAD",$N1183="MND",$Q1183="EMBOQUE"),0,IF(AND($H1183&lt;&gt;"",$I1183="PVC",$N1183="VCA",$Q1183="LINEAR"),($H1183/1000)+0.2,IF(AND($H1183&lt;&gt;"",$I1183="PVC",$N1183="MND",$Q1183="EMBOQUE"),0,IF(AND($H1183&lt;&gt;"",$I1183="PEAD",$N1183="VCA",$Q1183="PREDIAL"),0,0)))))),0)</f>
        <v>0.363</v>
      </c>
      <c r="AK1183" s="153" t="n">
        <f aca="false">IF(AA1183&lt;&gt;"",AA1183,0)</f>
        <v>2.3</v>
      </c>
      <c r="AL1183" s="153" t="n">
        <f aca="false">IF(AND($N1183="MND",$Q1183="EMBOQUE"),$M1183,IF(AND($N1183="VCA",$Q1183="LINEAR"),$M1183,IF(AND($N1183="VCA",$Q1183="PREDIAL"),0,0)))</f>
        <v>131.02</v>
      </c>
      <c r="AM1183" s="153" t="n">
        <f aca="false">IF(AND($N1183="MND",$Q1183="EMBOQUE"),$M1183,IF(AND($N1183="VCA",$Q1183="LINEAR"),$M1183,IF(AND($N1183="VCA",$Q1183="PREDIAL"),0,0)))</f>
        <v>131.02</v>
      </c>
      <c r="AN1183" s="153" t="n">
        <f aca="false">ROUND(IF(AND($N1183="VCA",$M1183&lt;&gt;"",$Q1183="LINEAR"),$M1183/100,IF(AND($N1183="MND",$M1183&gt;100,$Q1183="EMBOQUE"),$M1183/100,0)),0)</f>
        <v>1</v>
      </c>
      <c r="AO1183" s="153" t="n">
        <f aca="false">IF(AND($N1183="MND",$Q1183="EMBOQUE"),$AN1183*2*2,IF(AND($N1183="VCA",$Q1183="LINEAR"),$M1183*2,IF(AND($N1183="VCA",$Q1183="PREDIAL"),0,0)))</f>
        <v>262.04</v>
      </c>
      <c r="AP1183" s="153" t="n">
        <f aca="false">IFERROR($M1183*$AF1183*$AG1183,0)</f>
        <v>116.077169</v>
      </c>
      <c r="AQ1183" s="153" t="n">
        <f aca="false">IFERROR(IF(AND($N1183="VCA",$AH1183&gt;0),$M1183*$AG1183*$AH1183,0),0)</f>
        <v>8.5163</v>
      </c>
      <c r="AR1183" s="153" t="n">
        <f aca="false">IFERROR(IF(AND($N1183="VCA",$AJ1183&gt;0),($M1183*$AG1183*$AJ1183)-$AI1183,0),0)</f>
        <v>30.5057475194151</v>
      </c>
      <c r="AS1183" s="153" t="n">
        <f aca="false">IFERROR(IF(AND($N1183="VCA",$AP1183&gt;0),$AP1183-$AI1183-$AQ1183-$AR1183,0),0)</f>
        <v>76.6467</v>
      </c>
      <c r="AT1183" s="153" t="n">
        <f aca="false">IFERROR(IF($N1183="VCA",INDEX(APOIO_REDES!$A:$W,MATCH($C1183&amp;$I1183&amp;$H1183&amp;$N1183&amp;$O1183,APOIO_REDES!$W:$W,0),MATCH(AT$5,APOIO_REDES!$5:$5,0)),0)*$AP1183,0)</f>
        <v>1.26295395580827</v>
      </c>
      <c r="AU1183" s="153" t="n">
        <f aca="false">IFERROR(IF($N1183="VCA",INDEX(APOIO_REDES!$A:$W,MATCH($C1183&amp;$I1183&amp;$H1183&amp;$N1183&amp;$O1183,APOIO_REDES!$W:$W,0),MATCH(AU$5,APOIO_REDES!$5:$5,0)),0)*$AP1183,0)</f>
        <v>1.00856082397745</v>
      </c>
      <c r="AV1183" s="153" t="n">
        <f aca="false">IFERROR(IF($N1183="VCA",INDEX(APOIO_REDES!$A:$W,MATCH($C1183&amp;$I1183&amp;$H1183&amp;$N1183&amp;$O1183,APOIO_REDES!$W:$W,0),MATCH(AV$5,APOIO_REDES!$5:$5,0)),0)*$AP1183,0)</f>
        <v>0.13957690052558</v>
      </c>
      <c r="AW1183" s="153" t="n">
        <f aca="false">IFERROR(IF($N1183="VCA",INDEX(APOIO_REDES!$A:$W,MATCH($C1183&amp;$I1183&amp;$H1183&amp;$N1183&amp;$O1183,APOIO_REDES!$W:$W,0),MATCH(AW$5,APOIO_REDES!$5:$5,0)),0)*$AP1183,0)</f>
        <v>79.6762682113944</v>
      </c>
      <c r="AX1183" s="153" t="n">
        <f aca="false">IFERROR(IF($N1183="VCA",INDEX(APOIO_REDES!$A:$W,MATCH($C1183&amp;$I1183&amp;$H1183&amp;$N1183&amp;$O1183,APOIO_REDES!$W:$W,0),MATCH(AX$5,APOIO_REDES!$5:$5,0)),0)*$AP1183,0)</f>
        <v>11.0269685583108</v>
      </c>
      <c r="AY1183" s="153" t="n">
        <f aca="false">IFERROR(IF($N1183="VCA",INDEX(APOIO_REDES!$A:$W,MATCH($C1183&amp;$I1183&amp;$H1183&amp;$N1183&amp;$O1183,APOIO_REDES!$W:$W,0),MATCH(AY$5,APOIO_REDES!$5:$5,0)),0)*$AP1183,0)</f>
        <v>20.1712041852743</v>
      </c>
      <c r="AZ1183" s="153" t="n">
        <f aca="false">IFERROR(IF($N1183="VCA",INDEX(APOIO_REDES!$A:$W,MATCH($C1183&amp;$I1183&amp;$H1183&amp;$N1183&amp;$O1183,APOIO_REDES!$W:$W,0),MATCH(AZ$5,APOIO_REDES!$5:$5,0)),0)*$AP1183,0)</f>
        <v>2.79163636470911</v>
      </c>
      <c r="BA1183" s="153" t="n">
        <f aca="false">IFERROR(IF(AND($N1183="VCA",$Q1183="LINEAR"),INDEX(APOIO_REDES!$A:$W,MATCH($C1183&amp;$I1183&amp;$H1183&amp;$N1183&amp;$O1183,APOIO_REDES!$W:$W,0),MATCH(BA$5,APOIO_REDES!$5:$5,0)),IF(AND($N1183="MND",$Q1183="EMBOQUE"),INDEX(APOIO_REDES!$A:$W,MATCH($C1183&amp;$I1183&amp;$H1183&amp;$N1183&amp;$O1183,APOIO_REDES!$W:$W,0),MATCH(BA$5,APOIO_REDES!$5:$5,0)),0))*$M1183/10,0)</f>
        <v>10.5598815125028</v>
      </c>
      <c r="BB1183" s="153" t="n">
        <f aca="false">IFERROR(IF($N1183="VCA",INDEX(APOIO_REDES!$A:$W,MATCH($C1183&amp;$I1183&amp;$H1183&amp;$N1183&amp;$O1183,APOIO_REDES!$W:$W,0),MATCH(BB$5,APOIO_REDES!$5:$5,0)),0)*($AI1183+$AQ1183+$AR1183),0)</f>
        <v>39.0014538264569</v>
      </c>
      <c r="BC1183" s="153" t="n">
        <f aca="false">IFERROR(IF($N1183="VCA",INDEX(APOIO_REDES!$A:$W,MATCH($C1183&amp;$I1183&amp;$H1183&amp;$N1183&amp;$O1183,APOIO_REDES!$W:$W,0),MATCH(BC$5,APOIO_REDES!$5:$5,0)),0)*($AI1183+$AQ1183+$AR1183),0)</f>
        <v>0.429015173543088</v>
      </c>
      <c r="BD1183" s="153" t="n">
        <f aca="false">IF(AND($N1183="VCA",$AF1183&gt;=1.25,$AF1183&lt;1.5),$M1183*$AF1183*2,0)</f>
        <v>357.16052</v>
      </c>
      <c r="BE1183" s="153" t="n">
        <f aca="false">IF(AND($N1183="VCA",$AF1183&gt;=1.5,$AF1183&lt;3),$M1183*$AF1183*2,0)</f>
        <v>0</v>
      </c>
      <c r="BF1183" s="153" t="n">
        <f aca="false">IF(AND($N1183="VCA",$AF1183&gt;=3),$M1183*$AF1183*2,0)</f>
        <v>0</v>
      </c>
      <c r="BG1183" s="153" t="n">
        <f aca="false">($BB1183+$BC1183)*$AK1183</f>
        <v>90.6900787</v>
      </c>
      <c r="BH1183" s="153" t="n">
        <f aca="false">IF(AND($M1183&lt;&gt;"",$N1183="VCA",$Q1183="LINEAR"),($M1183*2)/100,IF(AND($M1183&lt;&gt;"",$N1183="MND",$Q1183="EMBOQUE"),($AN1183*2)/100,0))</f>
        <v>2.6204</v>
      </c>
      <c r="BI1183" s="153" t="n">
        <f aca="false">IF(AND($M1183&lt;&gt;"",$N1183="VCA",$Q1183="LINEAR"),$M1183,IF(AND($M1183&lt;&gt;"",$N1183="MND",$Q1183="EMBOQUE"),$AN1183*2,0))</f>
        <v>131.02</v>
      </c>
      <c r="BJ1183" s="153" t="n">
        <f aca="false">IF(AND($M1183&lt;&gt;"",$N1183="VCA",$Q1183="LINEAR"),($M1183*6.8)/100,IF(AND($M1183&lt;&gt;"",$N1183="MND",$Q1183="EMBOQUE"),($AN1183*2*6.8)/100,0))</f>
        <v>8.90936</v>
      </c>
      <c r="BK1183" s="153" t="n">
        <f aca="false">IF(AND($M1183&lt;&gt;"",$N1183="VCA",$Q1183="LINEAR"),($M1183*2.5)/50,IF(AND($M1183&lt;&gt;"",$N1183="MND",$Q1183="EMBOQUE"),($AN1183*2*2.5)/50,0))</f>
        <v>6.551</v>
      </c>
      <c r="BL1183" s="157" t="str">
        <f aca="false">K1183&amp;J1183</f>
        <v>Zona10REDES</v>
      </c>
      <c r="BM1183" s="152" t="s">
        <v>5703</v>
      </c>
      <c r="BN1183" s="152" t="s">
        <v>1560</v>
      </c>
      <c r="BO1183" s="152" t="s">
        <v>4004</v>
      </c>
      <c r="BP1183" s="152" t="s">
        <v>6007</v>
      </c>
      <c r="BQ1183" s="152" t="s">
        <v>6011</v>
      </c>
      <c r="BR1183" s="152" t="s">
        <v>6015</v>
      </c>
      <c r="BS1183" s="152" t="n">
        <v>203624.156</v>
      </c>
      <c r="BT1183" s="152" t="n">
        <v>8236980.924</v>
      </c>
      <c r="BU1183" s="152" t="n">
        <v>203495.377</v>
      </c>
      <c r="BV1183" s="152" t="n">
        <v>8236959.847</v>
      </c>
      <c r="BW1183" s="152" t="n">
        <v>-15.9288257</v>
      </c>
      <c r="BX1183" s="152" t="n">
        <v>-47.768788</v>
      </c>
      <c r="BY1183" s="152" t="s">
        <v>6007</v>
      </c>
    </row>
    <row r="1184" customFormat="false" ht="13.8" hidden="false" customHeight="false" outlineLevel="0" collapsed="false">
      <c r="A1184" s="149" t="n">
        <f aca="false">IF(C1184&lt;&gt;"",ROW(A1179),"")</f>
        <v>1179</v>
      </c>
      <c r="B1184" s="150" t="str">
        <f aca="false">HYPERLINK("https://www.google.com/maps/dir/-15.917302,-47.760003/-15.9290809,-47.7677923/data=!4m3!4m2!3e0!5i0")</f>
        <v>https://www.google.com/maps/dir/-15.917302,-47.760003/-15.9290809,-47.7677923/data=!4m3!4m2!3e0!5i0</v>
      </c>
      <c r="C1184" s="151" t="s">
        <v>117</v>
      </c>
      <c r="D1184" s="152" t="s">
        <v>112</v>
      </c>
      <c r="E1184" s="152" t="s">
        <v>113</v>
      </c>
      <c r="F1184" s="152" t="s">
        <v>117</v>
      </c>
      <c r="G1184" s="152" t="s">
        <v>782</v>
      </c>
      <c r="H1184" s="152" t="n">
        <v>63</v>
      </c>
      <c r="I1184" s="152" t="s">
        <v>115</v>
      </c>
      <c r="J1184" s="152" t="s">
        <v>6</v>
      </c>
      <c r="K1184" s="152" t="s">
        <v>5700</v>
      </c>
      <c r="L1184" s="152" t="s">
        <v>120</v>
      </c>
      <c r="M1184" s="153" t="n">
        <f aca="false">44.45</f>
        <v>44.45</v>
      </c>
      <c r="N1184" s="152" t="s">
        <v>1548</v>
      </c>
      <c r="O1184" s="152" t="s">
        <v>1549</v>
      </c>
      <c r="P1184" s="152" t="s">
        <v>1550</v>
      </c>
      <c r="Q1184" s="152" t="s">
        <v>1551</v>
      </c>
      <c r="R1184" s="154" t="s">
        <v>6016</v>
      </c>
      <c r="S1184" s="154" t="s">
        <v>1553</v>
      </c>
      <c r="T1184" s="155" t="s">
        <v>4002</v>
      </c>
      <c r="U1184" s="152" t="str">
        <f aca="false">RIGHT(T1184,7)</f>
        <v>015/037</v>
      </c>
      <c r="V1184" s="152" t="s">
        <v>1555</v>
      </c>
      <c r="W1184" s="156" t="n">
        <v>45882</v>
      </c>
      <c r="X1184" s="152" t="s">
        <v>1594</v>
      </c>
      <c r="Y1184" s="152" t="s">
        <v>4146</v>
      </c>
      <c r="Z1184" s="152" t="s">
        <v>1557</v>
      </c>
      <c r="AA1184" s="153" t="n">
        <v>2.2</v>
      </c>
      <c r="AB1184" s="151" t="s">
        <v>6017</v>
      </c>
      <c r="AC1184" s="151" t="s">
        <v>186</v>
      </c>
      <c r="AD1184" s="151" t="str">
        <f aca="false">CONCATENATE($C1184,$I1184,$H1184,$N1184,$J1184,$K1184)</f>
        <v>TUBO PEADPEAD63VCAREDESZona10</v>
      </c>
      <c r="AE1184" s="153" t="n">
        <f aca="false">IFERROR(INDEX(APOIO_REDES!$A:$W,MATCH($C1184&amp;$I1184&amp;$H1184&amp;$N1184&amp;$O1184,APOIO_REDES!$W:$W,0),MATCH(AE$5,APOIO_REDES!$5:$5,0)),0)</f>
        <v>1.2</v>
      </c>
      <c r="AF1184" s="153" t="n">
        <f aca="false">IFERROR(INDEX(APOIO_REDES!$A:$W,MATCH($C1184&amp;$I1184&amp;$H1184&amp;$N1184&amp;$O1184,APOIO_REDES!$W:$W,0),MATCH(AF$5,APOIO_REDES!$5:$5,0)),0)</f>
        <v>1.363</v>
      </c>
      <c r="AG1184" s="153" t="n">
        <f aca="false">IFERROR(INDEX(APOIO_REDES!$A:$W,MATCH($C1184&amp;$I1184&amp;$H1184&amp;$N1184&amp;$O1184,APOIO_REDES!$W:$W,0),MATCH(AG$5,APOIO_REDES!$5:$5,0)),0)</f>
        <v>0.65</v>
      </c>
      <c r="AH1184" s="153" t="n">
        <f aca="false">IFERROR(INDEX(APOIO_REDES!$A:$W,MATCH($C1184&amp;$I1184&amp;$H1184&amp;$N1184&amp;$O1184,APOIO_REDES!$W:$W,0),MATCH(AH$5,APOIO_REDES!$5:$5,0)),0)</f>
        <v>0.1</v>
      </c>
      <c r="AI1184" s="153" t="n">
        <f aca="false">IFERROR(IF($H1184&lt;&gt;"",(((($H1184/1000)/2)^2)*PI()*$M1184),0),0)</f>
        <v>0.138561554052813</v>
      </c>
      <c r="AJ1184" s="153" t="n">
        <f aca="false">IFERROR(IF(AND($H1184&lt;&gt;"",$I1184="FoFo",OR($N1184="MND",$N1184="VCA"),$Q1184="LINEAR"),0,IF(AND($H1184&lt;&gt;"",$I1184="PEAD",$N1184="VCA",$Q1184="LINEAR"),($H1184/1000)+0.3,IF(AND($H1184&lt;&gt;"",$I1184="PEAD",$N1184="MND",$Q1184="EMBOQUE"),0,IF(AND($H1184&lt;&gt;"",$I1184="PVC",$N1184="VCA",$Q1184="LINEAR"),($H1184/1000)+0.2,IF(AND($H1184&lt;&gt;"",$I1184="PVC",$N1184="MND",$Q1184="EMBOQUE"),0,IF(AND($H1184&lt;&gt;"",$I1184="PEAD",$N1184="VCA",$Q1184="PREDIAL"),0,0)))))),0)</f>
        <v>0.363</v>
      </c>
      <c r="AK1184" s="153" t="n">
        <f aca="false">IF(AA1184&lt;&gt;"",AA1184,0)</f>
        <v>2.2</v>
      </c>
      <c r="AL1184" s="153" t="n">
        <f aca="false">IF(AND($N1184="MND",$Q1184="EMBOQUE"),$M1184,IF(AND($N1184="VCA",$Q1184="LINEAR"),$M1184,IF(AND($N1184="VCA",$Q1184="PREDIAL"),0,0)))</f>
        <v>44.45</v>
      </c>
      <c r="AM1184" s="153" t="n">
        <f aca="false">IF(AND($N1184="MND",$Q1184="EMBOQUE"),$M1184,IF(AND($N1184="VCA",$Q1184="LINEAR"),$M1184,IF(AND($N1184="VCA",$Q1184="PREDIAL"),0,0)))</f>
        <v>44.45</v>
      </c>
      <c r="AN1184" s="153" t="n">
        <f aca="false">ROUND(IF(AND($N1184="VCA",$M1184&lt;&gt;"",$Q1184="LINEAR"),$M1184/100,IF(AND($N1184="MND",$M1184&gt;100,$Q1184="EMBOQUE"),$M1184/100,0)),0)</f>
        <v>0</v>
      </c>
      <c r="AO1184" s="153" t="n">
        <f aca="false">IF(AND($N1184="MND",$Q1184="EMBOQUE"),$AN1184*2*2,IF(AND($N1184="VCA",$Q1184="LINEAR"),$M1184*2,IF(AND($N1184="VCA",$Q1184="PREDIAL"),0,0)))</f>
        <v>88.9</v>
      </c>
      <c r="AP1184" s="153" t="n">
        <f aca="false">IFERROR($M1184*$AF1184*$AG1184,0)</f>
        <v>39.3804775</v>
      </c>
      <c r="AQ1184" s="153" t="n">
        <f aca="false">IFERROR(IF(AND($N1184="VCA",$AH1184&gt;0),$M1184*$AG1184*$AH1184,0),0)</f>
        <v>2.88925</v>
      </c>
      <c r="AR1184" s="153" t="n">
        <f aca="false">IFERROR(IF(AND($N1184="VCA",$AJ1184&gt;0),($M1184*$AG1184*$AJ1184)-$AI1184,0),0)</f>
        <v>10.3494159459472</v>
      </c>
      <c r="AS1184" s="153" t="n">
        <f aca="false">IFERROR(IF(AND($N1184="VCA",$AP1184&gt;0),$AP1184-$AI1184-$AQ1184-$AR1184,0),0)</f>
        <v>26.00325</v>
      </c>
      <c r="AT1184" s="153" t="n">
        <f aca="false">IFERROR(IF($N1184="VCA",INDEX(APOIO_REDES!$A:$W,MATCH($C1184&amp;$I1184&amp;$H1184&amp;$N1184&amp;$O1184,APOIO_REDES!$W:$W,0),MATCH(AT$5,APOIO_REDES!$5:$5,0)),0)*$AP1184,0)</f>
        <v>0.42847125122636</v>
      </c>
      <c r="AU1184" s="153" t="n">
        <f aca="false">IFERROR(IF($N1184="VCA",INDEX(APOIO_REDES!$A:$W,MATCH($C1184&amp;$I1184&amp;$H1184&amp;$N1184&amp;$O1184,APOIO_REDES!$W:$W,0),MATCH(AU$5,APOIO_REDES!$5:$5,0)),0)*$AP1184,0)</f>
        <v>0.342165536756202</v>
      </c>
      <c r="AV1184" s="153" t="n">
        <f aca="false">IFERROR(IF($N1184="VCA",INDEX(APOIO_REDES!$A:$W,MATCH($C1184&amp;$I1184&amp;$H1184&amp;$N1184&amp;$O1184,APOIO_REDES!$W:$W,0),MATCH(AV$5,APOIO_REDES!$5:$5,0)),0)*$AP1184,0)</f>
        <v>0.0473530241822779</v>
      </c>
      <c r="AW1184" s="153" t="n">
        <f aca="false">IFERROR(IF($N1184="VCA",INDEX(APOIO_REDES!$A:$W,MATCH($C1184&amp;$I1184&amp;$H1184&amp;$N1184&amp;$O1184,APOIO_REDES!$W:$W,0),MATCH(AW$5,APOIO_REDES!$5:$5,0)),0)*$AP1184,0)</f>
        <v>27.0310648908295</v>
      </c>
      <c r="AX1184" s="153" t="n">
        <f aca="false">IFERROR(IF($N1184="VCA",INDEX(APOIO_REDES!$A:$W,MATCH($C1184&amp;$I1184&amp;$H1184&amp;$N1184&amp;$O1184,APOIO_REDES!$W:$W,0),MATCH(AX$5,APOIO_REDES!$5:$5,0)),0)*$AP1184,0)</f>
        <v>3.74102238144495</v>
      </c>
      <c r="AY1184" s="153" t="n">
        <f aca="false">IFERROR(IF($N1184="VCA",INDEX(APOIO_REDES!$A:$W,MATCH($C1184&amp;$I1184&amp;$H1184&amp;$N1184&amp;$O1184,APOIO_REDES!$W:$W,0),MATCH(AY$5,APOIO_REDES!$5:$5,0)),0)*$AP1184,0)</f>
        <v>6.84330656415389</v>
      </c>
      <c r="AZ1184" s="153" t="n">
        <f aca="false">IFERROR(IF($N1184="VCA",INDEX(APOIO_REDES!$A:$W,MATCH($C1184&amp;$I1184&amp;$H1184&amp;$N1184&amp;$O1184,APOIO_REDES!$W:$W,0),MATCH(AZ$5,APOIO_REDES!$5:$5,0)),0)*$AP1184,0)</f>
        <v>0.947093851406806</v>
      </c>
      <c r="BA1184" s="153" t="n">
        <f aca="false">IFERROR(IF(AND($N1184="VCA",$Q1184="LINEAR"),INDEX(APOIO_REDES!$A:$W,MATCH($C1184&amp;$I1184&amp;$H1184&amp;$N1184&amp;$O1184,APOIO_REDES!$W:$W,0),MATCH(BA$5,APOIO_REDES!$5:$5,0)),IF(AND($N1184="MND",$Q1184="EMBOQUE"),INDEX(APOIO_REDES!$A:$W,MATCH($C1184&amp;$I1184&amp;$H1184&amp;$N1184&amp;$O1184,APOIO_REDES!$W:$W,0),MATCH(BA$5,APOIO_REDES!$5:$5,0)),0))*$M1184/10,0)</f>
        <v>3.58255787842123</v>
      </c>
      <c r="BB1184" s="153" t="n">
        <f aca="false">IFERROR(IF($N1184="VCA",INDEX(APOIO_REDES!$A:$W,MATCH($C1184&amp;$I1184&amp;$H1184&amp;$N1184&amp;$O1184,APOIO_REDES!$W:$W,0),MATCH(BB$5,APOIO_REDES!$5:$5,0)),0)*($AI1184+$AQ1184+$AR1184),0)</f>
        <v>13.2316793053428</v>
      </c>
      <c r="BC1184" s="153" t="n">
        <f aca="false">IFERROR(IF($N1184="VCA",INDEX(APOIO_REDES!$A:$W,MATCH($C1184&amp;$I1184&amp;$H1184&amp;$N1184&amp;$O1184,APOIO_REDES!$W:$W,0),MATCH(BC$5,APOIO_REDES!$5:$5,0)),0)*($AI1184+$AQ1184+$AR1184),0)</f>
        <v>0.14554819465723</v>
      </c>
      <c r="BD1184" s="153" t="n">
        <f aca="false">IF(AND($N1184="VCA",$AF1184&gt;=1.25,$AF1184&lt;1.5),$M1184*$AF1184*2,0)</f>
        <v>121.1707</v>
      </c>
      <c r="BE1184" s="153" t="n">
        <f aca="false">IF(AND($N1184="VCA",$AF1184&gt;=1.5,$AF1184&lt;3),$M1184*$AF1184*2,0)</f>
        <v>0</v>
      </c>
      <c r="BF1184" s="153" t="n">
        <f aca="false">IF(AND($N1184="VCA",$AF1184&gt;=3),$M1184*$AF1184*2,0)</f>
        <v>0</v>
      </c>
      <c r="BG1184" s="153" t="n">
        <f aca="false">($BB1184+$BC1184)*$AK1184</f>
        <v>29.4299005</v>
      </c>
      <c r="BH1184" s="153" t="n">
        <f aca="false">IF(AND($M1184&lt;&gt;"",$N1184="VCA",$Q1184="LINEAR"),($M1184*2)/100,IF(AND($M1184&lt;&gt;"",$N1184="MND",$Q1184="EMBOQUE"),($AN1184*2)/100,0))</f>
        <v>0.889</v>
      </c>
      <c r="BI1184" s="153" t="n">
        <f aca="false">IF(AND($M1184&lt;&gt;"",$N1184="VCA",$Q1184="LINEAR"),$M1184,IF(AND($M1184&lt;&gt;"",$N1184="MND",$Q1184="EMBOQUE"),$AN1184*2,0))</f>
        <v>44.45</v>
      </c>
      <c r="BJ1184" s="153" t="n">
        <f aca="false">IF(AND($M1184&lt;&gt;"",$N1184="VCA",$Q1184="LINEAR"),($M1184*6.8)/100,IF(AND($M1184&lt;&gt;"",$N1184="MND",$Q1184="EMBOQUE"),($AN1184*2*6.8)/100,0))</f>
        <v>3.0226</v>
      </c>
      <c r="BK1184" s="153" t="n">
        <f aca="false">IF(AND($M1184&lt;&gt;"",$N1184="VCA",$Q1184="LINEAR"),($M1184*2.5)/50,IF(AND($M1184&lt;&gt;"",$N1184="MND",$Q1184="EMBOQUE"),($AN1184*2*2.5)/50,0))</f>
        <v>2.2225</v>
      </c>
      <c r="BL1184" s="157" t="str">
        <f aca="false">K1184&amp;J1184</f>
        <v>Zona10REDES</v>
      </c>
      <c r="BM1184" s="152" t="s">
        <v>5703</v>
      </c>
      <c r="BN1184" s="152" t="s">
        <v>1560</v>
      </c>
      <c r="BO1184" s="152" t="s">
        <v>4004</v>
      </c>
      <c r="BP1184" s="152" t="s">
        <v>6018</v>
      </c>
      <c r="BQ1184" s="152" t="s">
        <v>5977</v>
      </c>
      <c r="BR1184" s="152" t="s">
        <v>6019</v>
      </c>
      <c r="BS1184" s="152" t="n">
        <v>203666.76</v>
      </c>
      <c r="BT1184" s="152" t="n">
        <v>8236943.816</v>
      </c>
      <c r="BU1184" s="152" t="n">
        <v>203656.013</v>
      </c>
      <c r="BV1184" s="152" t="n">
        <v>8236986.933</v>
      </c>
      <c r="BW1184" s="152" t="n">
        <v>-15.9288862</v>
      </c>
      <c r="BX1184" s="152" t="n">
        <v>-47.7678427</v>
      </c>
      <c r="BY1184" s="152" t="s">
        <v>6018</v>
      </c>
    </row>
    <row r="1185" customFormat="false" ht="13.8" hidden="false" customHeight="false" outlineLevel="0" collapsed="false">
      <c r="A1185" s="149" t="n">
        <f aca="false">IF(C1185&lt;&gt;"",ROW(A1180),"")</f>
        <v>1180</v>
      </c>
      <c r="B1185" s="150" t="str">
        <f aca="false">HYPERLINK("https://www.google.com/maps/dir/-15.917302,-47.760003/-15.9287407,-47.7681853/data=!4m3!4m2!3e0!5i0")</f>
        <v>https://www.google.com/maps/dir/-15.917302,-47.760003/-15.9287407,-47.7681853/data=!4m3!4m2!3e0!5i0</v>
      </c>
      <c r="C1185" s="151" t="s">
        <v>117</v>
      </c>
      <c r="D1185" s="152" t="s">
        <v>112</v>
      </c>
      <c r="E1185" s="152" t="s">
        <v>113</v>
      </c>
      <c r="F1185" s="152" t="s">
        <v>117</v>
      </c>
      <c r="G1185" s="152" t="s">
        <v>782</v>
      </c>
      <c r="H1185" s="152" t="n">
        <v>63</v>
      </c>
      <c r="I1185" s="152" t="s">
        <v>115</v>
      </c>
      <c r="J1185" s="152" t="s">
        <v>6</v>
      </c>
      <c r="K1185" s="152" t="s">
        <v>5700</v>
      </c>
      <c r="L1185" s="152" t="s">
        <v>120</v>
      </c>
      <c r="M1185" s="153" t="n">
        <f aca="false">34.38</f>
        <v>34.38</v>
      </c>
      <c r="N1185" s="152" t="s">
        <v>1548</v>
      </c>
      <c r="O1185" s="152" t="s">
        <v>1549</v>
      </c>
      <c r="P1185" s="152" t="s">
        <v>1550</v>
      </c>
      <c r="Q1185" s="152" t="s">
        <v>1551</v>
      </c>
      <c r="R1185" s="154" t="s">
        <v>6020</v>
      </c>
      <c r="S1185" s="154" t="s">
        <v>1553</v>
      </c>
      <c r="T1185" s="155" t="s">
        <v>4002</v>
      </c>
      <c r="U1185" s="152" t="str">
        <f aca="false">RIGHT(T1185,7)</f>
        <v>015/037</v>
      </c>
      <c r="V1185" s="152" t="s">
        <v>1555</v>
      </c>
      <c r="W1185" s="156" t="n">
        <v>45882</v>
      </c>
      <c r="X1185" s="152" t="s">
        <v>1594</v>
      </c>
      <c r="Y1185" s="152" t="s">
        <v>2387</v>
      </c>
      <c r="Z1185" s="152" t="s">
        <v>1557</v>
      </c>
      <c r="AA1185" s="153" t="n">
        <v>2.3</v>
      </c>
      <c r="AB1185" s="151" t="s">
        <v>6021</v>
      </c>
      <c r="AC1185" s="151" t="s">
        <v>186</v>
      </c>
      <c r="AD1185" s="151" t="str">
        <f aca="false">CONCATENATE($C1185,$I1185,$H1185,$N1185,$J1185,$K1185)</f>
        <v>TUBO PEADPEAD63VCAREDESZona10</v>
      </c>
      <c r="AE1185" s="153" t="n">
        <f aca="false">IFERROR(INDEX(APOIO_REDES!$A:$W,MATCH($C1185&amp;$I1185&amp;$H1185&amp;$N1185&amp;$O1185,APOIO_REDES!$W:$W,0),MATCH(AE$5,APOIO_REDES!$5:$5,0)),0)</f>
        <v>1.2</v>
      </c>
      <c r="AF1185" s="153" t="n">
        <f aca="false">IFERROR(INDEX(APOIO_REDES!$A:$W,MATCH($C1185&amp;$I1185&amp;$H1185&amp;$N1185&amp;$O1185,APOIO_REDES!$W:$W,0),MATCH(AF$5,APOIO_REDES!$5:$5,0)),0)</f>
        <v>1.363</v>
      </c>
      <c r="AG1185" s="153" t="n">
        <f aca="false">IFERROR(INDEX(APOIO_REDES!$A:$W,MATCH($C1185&amp;$I1185&amp;$H1185&amp;$N1185&amp;$O1185,APOIO_REDES!$W:$W,0),MATCH(AG$5,APOIO_REDES!$5:$5,0)),0)</f>
        <v>0.65</v>
      </c>
      <c r="AH1185" s="153" t="n">
        <f aca="false">IFERROR(INDEX(APOIO_REDES!$A:$W,MATCH($C1185&amp;$I1185&amp;$H1185&amp;$N1185&amp;$O1185,APOIO_REDES!$W:$W,0),MATCH(AH$5,APOIO_REDES!$5:$5,0)),0)</f>
        <v>0.1</v>
      </c>
      <c r="AI1185" s="153" t="n">
        <f aca="false">IFERROR(IF($H1185&lt;&gt;"",(((($H1185/1000)/2)^2)*PI()*$M1185),0),0)</f>
        <v>0.107170893775831</v>
      </c>
      <c r="AJ1185" s="153" t="n">
        <f aca="false">IFERROR(IF(AND($H1185&lt;&gt;"",$I1185="FoFo",OR($N1185="MND",$N1185="VCA"),$Q1185="LINEAR"),0,IF(AND($H1185&lt;&gt;"",$I1185="PEAD",$N1185="VCA",$Q1185="LINEAR"),($H1185/1000)+0.3,IF(AND($H1185&lt;&gt;"",$I1185="PEAD",$N1185="MND",$Q1185="EMBOQUE"),0,IF(AND($H1185&lt;&gt;"",$I1185="PVC",$N1185="VCA",$Q1185="LINEAR"),($H1185/1000)+0.2,IF(AND($H1185&lt;&gt;"",$I1185="PVC",$N1185="MND",$Q1185="EMBOQUE"),0,IF(AND($H1185&lt;&gt;"",$I1185="PEAD",$N1185="VCA",$Q1185="PREDIAL"),0,0)))))),0)</f>
        <v>0.363</v>
      </c>
      <c r="AK1185" s="153" t="n">
        <f aca="false">IF(AA1185&lt;&gt;"",AA1185,0)</f>
        <v>2.3</v>
      </c>
      <c r="AL1185" s="153" t="n">
        <f aca="false">IF(AND($N1185="MND",$Q1185="EMBOQUE"),$M1185,IF(AND($N1185="VCA",$Q1185="LINEAR"),$M1185,IF(AND($N1185="VCA",$Q1185="PREDIAL"),0,0)))</f>
        <v>34.38</v>
      </c>
      <c r="AM1185" s="153" t="n">
        <f aca="false">IF(AND($N1185="MND",$Q1185="EMBOQUE"),$M1185,IF(AND($N1185="VCA",$Q1185="LINEAR"),$M1185,IF(AND($N1185="VCA",$Q1185="PREDIAL"),0,0)))</f>
        <v>34.38</v>
      </c>
      <c r="AN1185" s="153" t="n">
        <f aca="false">ROUND(IF(AND($N1185="VCA",$M1185&lt;&gt;"",$Q1185="LINEAR"),$M1185/100,IF(AND($N1185="MND",$M1185&gt;100,$Q1185="EMBOQUE"),$M1185/100,0)),0)</f>
        <v>0</v>
      </c>
      <c r="AO1185" s="153" t="n">
        <f aca="false">IF(AND($N1185="MND",$Q1185="EMBOQUE"),$AN1185*2*2,IF(AND($N1185="VCA",$Q1185="LINEAR"),$M1185*2,IF(AND($N1185="VCA",$Q1185="PREDIAL"),0,0)))</f>
        <v>68.76</v>
      </c>
      <c r="AP1185" s="153" t="n">
        <f aca="false">IFERROR($M1185*$AF1185*$AG1185,0)</f>
        <v>30.458961</v>
      </c>
      <c r="AQ1185" s="153" t="n">
        <f aca="false">IFERROR(IF(AND($N1185="VCA",$AH1185&gt;0),$M1185*$AG1185*$AH1185,0),0)</f>
        <v>2.2347</v>
      </c>
      <c r="AR1185" s="153" t="n">
        <f aca="false">IFERROR(IF(AND($N1185="VCA",$AJ1185&gt;0),($M1185*$AG1185*$AJ1185)-$AI1185,0),0)</f>
        <v>8.00479010622417</v>
      </c>
      <c r="AS1185" s="153" t="n">
        <f aca="false">IFERROR(IF(AND($N1185="VCA",$AP1185&gt;0),$AP1185-$AI1185-$AQ1185-$AR1185,0),0)</f>
        <v>20.1123</v>
      </c>
      <c r="AT1185" s="153" t="n">
        <f aca="false">IFERROR(IF($N1185="VCA",INDEX(APOIO_REDES!$A:$W,MATCH($C1185&amp;$I1185&amp;$H1185&amp;$N1185&amp;$O1185,APOIO_REDES!$W:$W,0),MATCH(AT$5,APOIO_REDES!$5:$5,0)),0)*$AP1185,0)</f>
        <v>0.331402511072266</v>
      </c>
      <c r="AU1185" s="153" t="n">
        <f aca="false">IFERROR(IF($N1185="VCA",INDEX(APOIO_REDES!$A:$W,MATCH($C1185&amp;$I1185&amp;$H1185&amp;$N1185&amp;$O1185,APOIO_REDES!$W:$W,0),MATCH(AU$5,APOIO_REDES!$5:$5,0)),0)*$AP1185,0)</f>
        <v>0.264649069824032</v>
      </c>
      <c r="AV1185" s="153" t="n">
        <f aca="false">IFERROR(IF($N1185="VCA",INDEX(APOIO_REDES!$A:$W,MATCH($C1185&amp;$I1185&amp;$H1185&amp;$N1185&amp;$O1185,APOIO_REDES!$W:$W,0),MATCH(AV$5,APOIO_REDES!$5:$5,0)),0)*$AP1185,0)</f>
        <v>0.0366253536869902</v>
      </c>
      <c r="AW1185" s="153" t="n">
        <f aca="false">IFERROR(IF($N1185="VCA",INDEX(APOIO_REDES!$A:$W,MATCH($C1185&amp;$I1185&amp;$H1185&amp;$N1185&amp;$O1185,APOIO_REDES!$W:$W,0),MATCH(AW$5,APOIO_REDES!$5:$5,0)),0)*$AP1185,0)</f>
        <v>20.9072668379464</v>
      </c>
      <c r="AX1185" s="153" t="n">
        <f aca="false">IFERROR(IF($N1185="VCA",INDEX(APOIO_REDES!$A:$W,MATCH($C1185&amp;$I1185&amp;$H1185&amp;$N1185&amp;$O1185,APOIO_REDES!$W:$W,0),MATCH(AX$5,APOIO_REDES!$5:$5,0)),0)*$AP1185,0)</f>
        <v>2.89350617489488</v>
      </c>
      <c r="AY1185" s="153" t="n">
        <f aca="false">IFERROR(IF($N1185="VCA",INDEX(APOIO_REDES!$A:$W,MATCH($C1185&amp;$I1185&amp;$H1185&amp;$N1185&amp;$O1185,APOIO_REDES!$W:$W,0),MATCH(AY$5,APOIO_REDES!$5:$5,0)),0)*$AP1185,0)</f>
        <v>5.29297817042994</v>
      </c>
      <c r="AZ1185" s="153" t="n">
        <f aca="false">IFERROR(IF($N1185="VCA",INDEX(APOIO_REDES!$A:$W,MATCH($C1185&amp;$I1185&amp;$H1185&amp;$N1185&amp;$O1185,APOIO_REDES!$W:$W,0),MATCH(AZ$5,APOIO_REDES!$5:$5,0)),0)*$AP1185,0)</f>
        <v>0.732532882145467</v>
      </c>
      <c r="BA1185" s="153" t="n">
        <f aca="false">IFERROR(IF(AND($N1185="VCA",$Q1185="LINEAR"),INDEX(APOIO_REDES!$A:$W,MATCH($C1185&amp;$I1185&amp;$H1185&amp;$N1185&amp;$O1185,APOIO_REDES!$W:$W,0),MATCH(BA$5,APOIO_REDES!$5:$5,0)),IF(AND($N1185="MND",$Q1185="EMBOQUE"),INDEX(APOIO_REDES!$A:$W,MATCH($C1185&amp;$I1185&amp;$H1185&amp;$N1185&amp;$O1185,APOIO_REDES!$W:$W,0),MATCH(BA$5,APOIO_REDES!$5:$5,0)),0))*$M1185/10,0)</f>
        <v>2.77094127919285</v>
      </c>
      <c r="BB1185" s="153" t="n">
        <f aca="false">IFERROR(IF($N1185="VCA",INDEX(APOIO_REDES!$A:$W,MATCH($C1185&amp;$I1185&amp;$H1185&amp;$N1185&amp;$O1185,APOIO_REDES!$W:$W,0),MATCH(BB$5,APOIO_REDES!$5:$5,0)),0)*($AI1185+$AQ1185+$AR1185),0)</f>
        <v>10.2340862658647</v>
      </c>
      <c r="BC1185" s="153" t="n">
        <f aca="false">IFERROR(IF($N1185="VCA",INDEX(APOIO_REDES!$A:$W,MATCH($C1185&amp;$I1185&amp;$H1185&amp;$N1185&amp;$O1185,APOIO_REDES!$W:$W,0),MATCH(BC$5,APOIO_REDES!$5:$5,0)),0)*($AI1185+$AQ1185+$AR1185),0)</f>
        <v>0.112574734135333</v>
      </c>
      <c r="BD1185" s="153" t="n">
        <f aca="false">IF(AND($N1185="VCA",$AF1185&gt;=1.25,$AF1185&lt;1.5),$M1185*$AF1185*2,0)</f>
        <v>93.71988</v>
      </c>
      <c r="BE1185" s="153" t="n">
        <f aca="false">IF(AND($N1185="VCA",$AF1185&gt;=1.5,$AF1185&lt;3),$M1185*$AF1185*2,0)</f>
        <v>0</v>
      </c>
      <c r="BF1185" s="153" t="n">
        <f aca="false">IF(AND($N1185="VCA",$AF1185&gt;=3),$M1185*$AF1185*2,0)</f>
        <v>0</v>
      </c>
      <c r="BG1185" s="153" t="n">
        <f aca="false">($BB1185+$BC1185)*$AK1185</f>
        <v>23.7973203</v>
      </c>
      <c r="BH1185" s="153" t="n">
        <f aca="false">IF(AND($M1185&lt;&gt;"",$N1185="VCA",$Q1185="LINEAR"),($M1185*2)/100,IF(AND($M1185&lt;&gt;"",$N1185="MND",$Q1185="EMBOQUE"),($AN1185*2)/100,0))</f>
        <v>0.6876</v>
      </c>
      <c r="BI1185" s="153" t="n">
        <f aca="false">IF(AND($M1185&lt;&gt;"",$N1185="VCA",$Q1185="LINEAR"),$M1185,IF(AND($M1185&lt;&gt;"",$N1185="MND",$Q1185="EMBOQUE"),$AN1185*2,0))</f>
        <v>34.38</v>
      </c>
      <c r="BJ1185" s="153" t="n">
        <f aca="false">IF(AND($M1185&lt;&gt;"",$N1185="VCA",$Q1185="LINEAR"),($M1185*6.8)/100,IF(AND($M1185&lt;&gt;"",$N1185="MND",$Q1185="EMBOQUE"),($AN1185*2*6.8)/100,0))</f>
        <v>2.33784</v>
      </c>
      <c r="BK1185" s="153" t="n">
        <f aca="false">IF(AND($M1185&lt;&gt;"",$N1185="VCA",$Q1185="LINEAR"),($M1185*2.5)/50,IF(AND($M1185&lt;&gt;"",$N1185="MND",$Q1185="EMBOQUE"),($AN1185*2*2.5)/50,0))</f>
        <v>1.719</v>
      </c>
      <c r="BL1185" s="157" t="str">
        <f aca="false">K1185&amp;J1185</f>
        <v>Zona10REDES</v>
      </c>
      <c r="BM1185" s="152" t="s">
        <v>5703</v>
      </c>
      <c r="BN1185" s="152" t="s">
        <v>1560</v>
      </c>
      <c r="BO1185" s="152" t="s">
        <v>4004</v>
      </c>
      <c r="BP1185" s="152" t="s">
        <v>6007</v>
      </c>
      <c r="BQ1185" s="152" t="s">
        <v>6022</v>
      </c>
      <c r="BR1185" s="152" t="s">
        <v>6023</v>
      </c>
      <c r="BS1185" s="152" t="n">
        <v>203624.156</v>
      </c>
      <c r="BT1185" s="152" t="n">
        <v>8236980.924</v>
      </c>
      <c r="BU1185" s="152" t="n">
        <v>203630.425</v>
      </c>
      <c r="BV1185" s="152" t="n">
        <v>8236947.305</v>
      </c>
      <c r="BW1185" s="152" t="n">
        <v>-15.9288908</v>
      </c>
      <c r="BX1185" s="152" t="n">
        <v>-47.7681489</v>
      </c>
      <c r="BY1185" s="152" t="s">
        <v>6007</v>
      </c>
    </row>
    <row r="1186" customFormat="false" ht="13.8" hidden="false" customHeight="false" outlineLevel="0" collapsed="false">
      <c r="A1186" s="149" t="n">
        <f aca="false">IF(C1186&lt;&gt;"",ROW(A1181),"")</f>
        <v>1181</v>
      </c>
      <c r="B1186" s="150" t="str">
        <f aca="false">HYPERLINK("https://www.google.com/maps/dir/-15.917302,-47.760003/-15.9289156,-47.7693897/data=!4m3!4m2!3e0!5i2")</f>
        <v>https://www.google.com/maps/dir/-15.917302,-47.760003/-15.9289156,-47.7693897/data=!4m3!4m2!3e0!5i2</v>
      </c>
      <c r="C1186" s="151" t="s">
        <v>117</v>
      </c>
      <c r="D1186" s="152" t="s">
        <v>112</v>
      </c>
      <c r="E1186" s="152" t="s">
        <v>113</v>
      </c>
      <c r="F1186" s="152" t="s">
        <v>117</v>
      </c>
      <c r="G1186" s="152" t="s">
        <v>114</v>
      </c>
      <c r="H1186" s="152" t="n">
        <v>160</v>
      </c>
      <c r="I1186" s="152" t="s">
        <v>115</v>
      </c>
      <c r="J1186" s="152" t="s">
        <v>6</v>
      </c>
      <c r="K1186" s="152" t="s">
        <v>5700</v>
      </c>
      <c r="L1186" s="152" t="s">
        <v>120</v>
      </c>
      <c r="M1186" s="153" t="n">
        <f aca="false">37.08</f>
        <v>37.08</v>
      </c>
      <c r="N1186" s="152" t="s">
        <v>1548</v>
      </c>
      <c r="O1186" s="152" t="s">
        <v>1549</v>
      </c>
      <c r="P1186" s="152" t="s">
        <v>1550</v>
      </c>
      <c r="Q1186" s="152" t="s">
        <v>1551</v>
      </c>
      <c r="R1186" s="154" t="s">
        <v>6024</v>
      </c>
      <c r="S1186" s="154" t="s">
        <v>1593</v>
      </c>
      <c r="T1186" s="155" t="s">
        <v>4002</v>
      </c>
      <c r="U1186" s="152" t="str">
        <f aca="false">RIGHT(T1186,7)</f>
        <v>015/037</v>
      </c>
      <c r="V1186" s="152" t="s">
        <v>1555</v>
      </c>
      <c r="W1186" s="156" t="n">
        <v>45882</v>
      </c>
      <c r="X1186" s="152" t="s">
        <v>1594</v>
      </c>
      <c r="Y1186" s="152" t="s">
        <v>2387</v>
      </c>
      <c r="Z1186" s="152" t="s">
        <v>1557</v>
      </c>
      <c r="AA1186" s="153" t="n">
        <v>4.3</v>
      </c>
      <c r="AB1186" s="151" t="s">
        <v>6025</v>
      </c>
      <c r="AC1186" s="151" t="s">
        <v>505</v>
      </c>
      <c r="AD1186" s="151" t="str">
        <f aca="false">CONCATENATE($C1186,$I1186,$H1186,$N1186,$J1186,$K1186)</f>
        <v>TUBO PEADPEAD160VCAREDESZona10</v>
      </c>
      <c r="AE1186" s="153" t="n">
        <f aca="false">IFERROR(INDEX(APOIO_REDES!$A:$W,MATCH($C1186&amp;$I1186&amp;$H1186&amp;$N1186&amp;$O1186,APOIO_REDES!$W:$W,0),MATCH(AE$5,APOIO_REDES!$5:$5,0)),0)</f>
        <v>1.2</v>
      </c>
      <c r="AF1186" s="153" t="n">
        <f aca="false">IFERROR(INDEX(APOIO_REDES!$A:$W,MATCH($C1186&amp;$I1186&amp;$H1186&amp;$N1186&amp;$O1186,APOIO_REDES!$W:$W,0),MATCH(AF$5,APOIO_REDES!$5:$5,0)),0)</f>
        <v>1.46</v>
      </c>
      <c r="AG1186" s="153" t="n">
        <f aca="false">IFERROR(INDEX(APOIO_REDES!$A:$W,MATCH($C1186&amp;$I1186&amp;$H1186&amp;$N1186&amp;$O1186,APOIO_REDES!$W:$W,0),MATCH(AG$5,APOIO_REDES!$5:$5,0)),0)</f>
        <v>0.75</v>
      </c>
      <c r="AH1186" s="153" t="n">
        <f aca="false">IFERROR(INDEX(APOIO_REDES!$A:$W,MATCH($C1186&amp;$I1186&amp;$H1186&amp;$N1186&amp;$O1186,APOIO_REDES!$W:$W,0),MATCH(AH$5,APOIO_REDES!$5:$5,0)),0)</f>
        <v>0.1</v>
      </c>
      <c r="AI1186" s="153" t="n">
        <f aca="false">IFERROR(IF($H1186&lt;&gt;"",(((($H1186/1000)/2)^2)*PI()*$M1186),0),0)</f>
        <v>0.745537635808701</v>
      </c>
      <c r="AJ1186" s="153" t="n">
        <f aca="false">IFERROR(IF(AND($H1186&lt;&gt;"",$I1186="FoFo",OR($N1186="MND",$N1186="VCA"),$Q1186="LINEAR"),0,IF(AND($H1186&lt;&gt;"",$I1186="PEAD",$N1186="VCA",$Q1186="LINEAR"),($H1186/1000)+0.3,IF(AND($H1186&lt;&gt;"",$I1186="PEAD",$N1186="MND",$Q1186="EMBOQUE"),0,IF(AND($H1186&lt;&gt;"",$I1186="PVC",$N1186="VCA",$Q1186="LINEAR"),($H1186/1000)+0.2,IF(AND($H1186&lt;&gt;"",$I1186="PVC",$N1186="MND",$Q1186="EMBOQUE"),0,IF(AND($H1186&lt;&gt;"",$I1186="PEAD",$N1186="VCA",$Q1186="PREDIAL"),0,0)))))),0)</f>
        <v>0.46</v>
      </c>
      <c r="AK1186" s="153" t="n">
        <f aca="false">IF(AA1186&lt;&gt;"",AA1186,0)</f>
        <v>4.3</v>
      </c>
      <c r="AL1186" s="153" t="n">
        <f aca="false">IF(AND($N1186="MND",$Q1186="EMBOQUE"),$M1186,IF(AND($N1186="VCA",$Q1186="LINEAR"),$M1186,IF(AND($N1186="VCA",$Q1186="PREDIAL"),0,0)))</f>
        <v>37.08</v>
      </c>
      <c r="AM1186" s="153" t="n">
        <f aca="false">IF(AND($N1186="MND",$Q1186="EMBOQUE"),$M1186,IF(AND($N1186="VCA",$Q1186="LINEAR"),$M1186,IF(AND($N1186="VCA",$Q1186="PREDIAL"),0,0)))</f>
        <v>37.08</v>
      </c>
      <c r="AN1186" s="153" t="n">
        <f aca="false">ROUND(IF(AND($N1186="VCA",$M1186&lt;&gt;"",$Q1186="LINEAR"),$M1186/100,IF(AND($N1186="MND",$M1186&gt;100,$Q1186="EMBOQUE"),$M1186/100,0)),0)</f>
        <v>0</v>
      </c>
      <c r="AO1186" s="153" t="n">
        <f aca="false">IF(AND($N1186="MND",$Q1186="EMBOQUE"),$AN1186*2*2,IF(AND($N1186="VCA",$Q1186="LINEAR"),$M1186*2,IF(AND($N1186="VCA",$Q1186="PREDIAL"),0,0)))</f>
        <v>74.16</v>
      </c>
      <c r="AP1186" s="153" t="n">
        <f aca="false">IFERROR($M1186*$AF1186*$AG1186,0)</f>
        <v>40.6026</v>
      </c>
      <c r="AQ1186" s="153" t="n">
        <f aca="false">IFERROR(IF(AND($N1186="VCA",$AH1186&gt;0),$M1186*$AG1186*$AH1186,0),0)</f>
        <v>2.781</v>
      </c>
      <c r="AR1186" s="153" t="n">
        <f aca="false">IFERROR(IF(AND($N1186="VCA",$AJ1186&gt;0),($M1186*$AG1186*$AJ1186)-$AI1186,0),0)</f>
        <v>12.0470623641913</v>
      </c>
      <c r="AS1186" s="153" t="n">
        <f aca="false">IFERROR(IF(AND($N1186="VCA",$AP1186&gt;0),$AP1186-$AI1186-$AQ1186-$AR1186,0),0)</f>
        <v>25.029</v>
      </c>
      <c r="AT1186" s="153" t="n">
        <f aca="false">IFERROR(IF($N1186="VCA",INDEX(APOIO_REDES!$A:$W,MATCH($C1186&amp;$I1186&amp;$H1186&amp;$N1186&amp;$O1186,APOIO_REDES!$W:$W,0),MATCH(AT$5,APOIO_REDES!$5:$5,0)),0)*$AP1186,0)</f>
        <v>0.441768305756155</v>
      </c>
      <c r="AU1186" s="153" t="n">
        <f aca="false">IFERROR(IF($N1186="VCA",INDEX(APOIO_REDES!$A:$W,MATCH($C1186&amp;$I1186&amp;$H1186&amp;$N1186&amp;$O1186,APOIO_REDES!$W:$W,0),MATCH(AU$5,APOIO_REDES!$5:$5,0)),0)*$AP1186,0)</f>
        <v>0.352784204373789</v>
      </c>
      <c r="AV1186" s="153" t="n">
        <f aca="false">IFERROR(IF($N1186="VCA",INDEX(APOIO_REDES!$A:$W,MATCH($C1186&amp;$I1186&amp;$H1186&amp;$N1186&amp;$O1186,APOIO_REDES!$W:$W,0),MATCH(AV$5,APOIO_REDES!$5:$5,0)),0)*$AP1186,0)</f>
        <v>0.0488225644207426</v>
      </c>
      <c r="AW1186" s="153" t="n">
        <f aca="false">IFERROR(IF($N1186="VCA",INDEX(APOIO_REDES!$A:$W,MATCH($C1186&amp;$I1186&amp;$H1186&amp;$N1186&amp;$O1186,APOIO_REDES!$W:$W,0),MATCH(AW$5,APOIO_REDES!$5:$5,0)),0)*$AP1186,0)</f>
        <v>27.8699392442967</v>
      </c>
      <c r="AX1186" s="153" t="n">
        <f aca="false">IFERROR(IF($N1186="VCA",INDEX(APOIO_REDES!$A:$W,MATCH($C1186&amp;$I1186&amp;$H1186&amp;$N1186&amp;$O1186,APOIO_REDES!$W:$W,0),MATCH(AX$5,APOIO_REDES!$5:$5,0)),0)*$AP1186,0)</f>
        <v>3.85712020238598</v>
      </c>
      <c r="AY1186" s="153" t="n">
        <f aca="false">IFERROR(IF($N1186="VCA",INDEX(APOIO_REDES!$A:$W,MATCH($C1186&amp;$I1186&amp;$H1186&amp;$N1186&amp;$O1186,APOIO_REDES!$W:$W,0),MATCH(AY$5,APOIO_REDES!$5:$5,0)),0)*$AP1186,0)</f>
        <v>7.05567978706492</v>
      </c>
      <c r="AZ1186" s="153" t="n">
        <f aca="false">IFERROR(IF($N1186="VCA",INDEX(APOIO_REDES!$A:$W,MATCH($C1186&amp;$I1186&amp;$H1186&amp;$N1186&amp;$O1186,APOIO_REDES!$W:$W,0),MATCH(AZ$5,APOIO_REDES!$5:$5,0)),0)*$AP1186,0)</f>
        <v>0.976485691701681</v>
      </c>
      <c r="BA1186" s="153" t="n">
        <f aca="false">IFERROR(IF(AND($N1186="VCA",$Q1186="LINEAR"),INDEX(APOIO_REDES!$A:$W,MATCH($C1186&amp;$I1186&amp;$H1186&amp;$N1186&amp;$O1186,APOIO_REDES!$W:$W,0),MATCH(BA$5,APOIO_REDES!$5:$5,0)),IF(AND($N1186="MND",$Q1186="EMBOQUE"),INDEX(APOIO_REDES!$A:$W,MATCH($C1186&amp;$I1186&amp;$H1186&amp;$N1186&amp;$O1186,APOIO_REDES!$W:$W,0),MATCH(BA$5,APOIO_REDES!$5:$5,0)),0))*$M1186/10,0)</f>
        <v>2.98855446865825</v>
      </c>
      <c r="BB1186" s="153" t="n">
        <f aca="false">IFERROR(IF($N1186="VCA",INDEX(APOIO_REDES!$A:$W,MATCH($C1186&amp;$I1186&amp;$H1186&amp;$N1186&amp;$O1186,APOIO_REDES!$W:$W,0),MATCH(BB$5,APOIO_REDES!$5:$5,0)),0)*($AI1186+$AQ1186+$AR1186),0)</f>
        <v>15.4041546224497</v>
      </c>
      <c r="BC1186" s="153" t="n">
        <f aca="false">IFERROR(IF($N1186="VCA",INDEX(APOIO_REDES!$A:$W,MATCH($C1186&amp;$I1186&amp;$H1186&amp;$N1186&amp;$O1186,APOIO_REDES!$W:$W,0),MATCH(BC$5,APOIO_REDES!$5:$5,0)),0)*($AI1186+$AQ1186+$AR1186),0)</f>
        <v>0.169445377550306</v>
      </c>
      <c r="BD1186" s="153" t="n">
        <f aca="false">IF(AND($N1186="VCA",$AF1186&gt;=1.25,$AF1186&lt;1.5),$M1186*$AF1186*2,0)</f>
        <v>108.2736</v>
      </c>
      <c r="BE1186" s="153" t="n">
        <f aca="false">IF(AND($N1186="VCA",$AF1186&gt;=1.5,$AF1186&lt;3),$M1186*$AF1186*2,0)</f>
        <v>0</v>
      </c>
      <c r="BF1186" s="153" t="n">
        <f aca="false">IF(AND($N1186="VCA",$AF1186&gt;=3),$M1186*$AF1186*2,0)</f>
        <v>0</v>
      </c>
      <c r="BG1186" s="153" t="n">
        <f aca="false">($BB1186+$BC1186)*$AK1186</f>
        <v>66.96648</v>
      </c>
      <c r="BH1186" s="153" t="n">
        <f aca="false">IF(AND($M1186&lt;&gt;"",$N1186="VCA",$Q1186="LINEAR"),($M1186*2)/100,IF(AND($M1186&lt;&gt;"",$N1186="MND",$Q1186="EMBOQUE"),($AN1186*2)/100,0))</f>
        <v>0.7416</v>
      </c>
      <c r="BI1186" s="153" t="n">
        <f aca="false">IF(AND($M1186&lt;&gt;"",$N1186="VCA",$Q1186="LINEAR"),$M1186,IF(AND($M1186&lt;&gt;"",$N1186="MND",$Q1186="EMBOQUE"),$AN1186*2,0))</f>
        <v>37.08</v>
      </c>
      <c r="BJ1186" s="153" t="n">
        <f aca="false">IF(AND($M1186&lt;&gt;"",$N1186="VCA",$Q1186="LINEAR"),($M1186*6.8)/100,IF(AND($M1186&lt;&gt;"",$N1186="MND",$Q1186="EMBOQUE"),($AN1186*2*6.8)/100,0))</f>
        <v>2.52144</v>
      </c>
      <c r="BK1186" s="153" t="n">
        <f aca="false">IF(AND($M1186&lt;&gt;"",$N1186="VCA",$Q1186="LINEAR"),($M1186*2.5)/50,IF(AND($M1186&lt;&gt;"",$N1186="MND",$Q1186="EMBOQUE"),($AN1186*2*2.5)/50,0))</f>
        <v>1.854</v>
      </c>
      <c r="BL1186" s="157" t="str">
        <f aca="false">K1186&amp;J1186</f>
        <v>Zona10REDES</v>
      </c>
      <c r="BM1186" s="152" t="s">
        <v>5703</v>
      </c>
      <c r="BN1186" s="152" t="s">
        <v>1560</v>
      </c>
      <c r="BO1186" s="152" t="s">
        <v>4004</v>
      </c>
      <c r="BP1186" s="152" t="s">
        <v>6011</v>
      </c>
      <c r="BQ1186" s="152" t="s">
        <v>6026</v>
      </c>
      <c r="BR1186" s="152" t="s">
        <v>6027</v>
      </c>
      <c r="BS1186" s="152" t="n">
        <v>203494.88</v>
      </c>
      <c r="BT1186" s="152" t="n">
        <v>8236959.737</v>
      </c>
      <c r="BU1186" s="152" t="n">
        <v>203495.701</v>
      </c>
      <c r="BV1186" s="152" t="n">
        <v>8236922.823</v>
      </c>
      <c r="BW1186" s="152" t="n">
        <v>-15.9290829</v>
      </c>
      <c r="BX1186" s="152" t="n">
        <v>-47.7693819</v>
      </c>
      <c r="BY1186" s="152" t="s">
        <v>6011</v>
      </c>
    </row>
    <row r="1187" customFormat="false" ht="13.8" hidden="false" customHeight="false" outlineLevel="0" collapsed="false">
      <c r="A1187" s="149" t="n">
        <f aca="false">IF(C1187&lt;&gt;"",ROW(A1182),"")</f>
        <v>1182</v>
      </c>
      <c r="B1187" s="150" t="str">
        <f aca="false">HYPERLINK("https://www.google.com/maps/dir/-15.917302,-47.760003/-15.9290450,-47.7681310/data=!4m3!4m2!3e0!5i2")</f>
        <v>https://www.google.com/maps/dir/-15.917302,-47.760003/-15.9290450,-47.7681310/data=!4m3!4m2!3e0!5i2</v>
      </c>
      <c r="C1187" s="151" t="s">
        <v>117</v>
      </c>
      <c r="D1187" s="152" t="s">
        <v>112</v>
      </c>
      <c r="E1187" s="152" t="s">
        <v>113</v>
      </c>
      <c r="F1187" s="152" t="s">
        <v>117</v>
      </c>
      <c r="G1187" s="152" t="s">
        <v>782</v>
      </c>
      <c r="H1187" s="152" t="n">
        <v>63</v>
      </c>
      <c r="I1187" s="152" t="s">
        <v>115</v>
      </c>
      <c r="J1187" s="152" t="s">
        <v>6</v>
      </c>
      <c r="K1187" s="152" t="s">
        <v>5700</v>
      </c>
      <c r="L1187" s="152" t="s">
        <v>120</v>
      </c>
      <c r="M1187" s="153" t="n">
        <f aca="false">23.05</f>
        <v>23.05</v>
      </c>
      <c r="N1187" s="152" t="s">
        <v>1548</v>
      </c>
      <c r="O1187" s="152" t="s">
        <v>1549</v>
      </c>
      <c r="P1187" s="152" t="s">
        <v>1550</v>
      </c>
      <c r="Q1187" s="152" t="s">
        <v>1551</v>
      </c>
      <c r="R1187" s="154" t="s">
        <v>6028</v>
      </c>
      <c r="S1187" s="154" t="s">
        <v>1553</v>
      </c>
      <c r="T1187" s="155" t="s">
        <v>4002</v>
      </c>
      <c r="U1187" s="152" t="str">
        <f aca="false">RIGHT(T1187,7)</f>
        <v>015/037</v>
      </c>
      <c r="V1187" s="152" t="s">
        <v>1555</v>
      </c>
      <c r="W1187" s="156" t="n">
        <v>45882</v>
      </c>
      <c r="X1187" s="152" t="s">
        <v>1594</v>
      </c>
      <c r="Y1187" s="152" t="s">
        <v>2387</v>
      </c>
      <c r="Z1187" s="152" t="s">
        <v>1557</v>
      </c>
      <c r="AA1187" s="153" t="n">
        <v>4.4</v>
      </c>
      <c r="AB1187" s="151" t="s">
        <v>6029</v>
      </c>
      <c r="AC1187" s="151" t="s">
        <v>186</v>
      </c>
      <c r="AD1187" s="151" t="str">
        <f aca="false">CONCATENATE($C1187,$I1187,$H1187,$N1187,$J1187,$K1187)</f>
        <v>TUBO PEADPEAD63VCAREDESZona10</v>
      </c>
      <c r="AE1187" s="153" t="n">
        <f aca="false">IFERROR(INDEX(APOIO_REDES!$A:$W,MATCH($C1187&amp;$I1187&amp;$H1187&amp;$N1187&amp;$O1187,APOIO_REDES!$W:$W,0),MATCH(AE$5,APOIO_REDES!$5:$5,0)),0)</f>
        <v>1.2</v>
      </c>
      <c r="AF1187" s="153" t="n">
        <f aca="false">IFERROR(INDEX(APOIO_REDES!$A:$W,MATCH($C1187&amp;$I1187&amp;$H1187&amp;$N1187&amp;$O1187,APOIO_REDES!$W:$W,0),MATCH(AF$5,APOIO_REDES!$5:$5,0)),0)</f>
        <v>1.363</v>
      </c>
      <c r="AG1187" s="153" t="n">
        <f aca="false">IFERROR(INDEX(APOIO_REDES!$A:$W,MATCH($C1187&amp;$I1187&amp;$H1187&amp;$N1187&amp;$O1187,APOIO_REDES!$W:$W,0),MATCH(AG$5,APOIO_REDES!$5:$5,0)),0)</f>
        <v>0.65</v>
      </c>
      <c r="AH1187" s="153" t="n">
        <f aca="false">IFERROR(INDEX(APOIO_REDES!$A:$W,MATCH($C1187&amp;$I1187&amp;$H1187&amp;$N1187&amp;$O1187,APOIO_REDES!$W:$W,0),MATCH(AH$5,APOIO_REDES!$5:$5,0)),0)</f>
        <v>0.1</v>
      </c>
      <c r="AI1187" s="153" t="n">
        <f aca="false">IFERROR(IF($H1187&lt;&gt;"",(((($H1187/1000)/2)^2)*PI()*$M1187),0),0)</f>
        <v>0.0718525044075891</v>
      </c>
      <c r="AJ1187" s="153" t="n">
        <f aca="false">IFERROR(IF(AND($H1187&lt;&gt;"",$I1187="FoFo",OR($N1187="MND",$N1187="VCA"),$Q1187="LINEAR"),0,IF(AND($H1187&lt;&gt;"",$I1187="PEAD",$N1187="VCA",$Q1187="LINEAR"),($H1187/1000)+0.3,IF(AND($H1187&lt;&gt;"",$I1187="PEAD",$N1187="MND",$Q1187="EMBOQUE"),0,IF(AND($H1187&lt;&gt;"",$I1187="PVC",$N1187="VCA",$Q1187="LINEAR"),($H1187/1000)+0.2,IF(AND($H1187&lt;&gt;"",$I1187="PVC",$N1187="MND",$Q1187="EMBOQUE"),0,IF(AND($H1187&lt;&gt;"",$I1187="PEAD",$N1187="VCA",$Q1187="PREDIAL"),0,0)))))),0)</f>
        <v>0.363</v>
      </c>
      <c r="AK1187" s="153" t="n">
        <f aca="false">IF(AA1187&lt;&gt;"",AA1187,0)</f>
        <v>4.4</v>
      </c>
      <c r="AL1187" s="153" t="n">
        <f aca="false">IF(AND($N1187="MND",$Q1187="EMBOQUE"),$M1187,IF(AND($N1187="VCA",$Q1187="LINEAR"),$M1187,IF(AND($N1187="VCA",$Q1187="PREDIAL"),0,0)))</f>
        <v>23.05</v>
      </c>
      <c r="AM1187" s="153" t="n">
        <f aca="false">IF(AND($N1187="MND",$Q1187="EMBOQUE"),$M1187,IF(AND($N1187="VCA",$Q1187="LINEAR"),$M1187,IF(AND($N1187="VCA",$Q1187="PREDIAL"),0,0)))</f>
        <v>23.05</v>
      </c>
      <c r="AN1187" s="153" t="n">
        <f aca="false">ROUND(IF(AND($N1187="VCA",$M1187&lt;&gt;"",$Q1187="LINEAR"),$M1187/100,IF(AND($N1187="MND",$M1187&gt;100,$Q1187="EMBOQUE"),$M1187/100,0)),0)</f>
        <v>0</v>
      </c>
      <c r="AO1187" s="153" t="n">
        <f aca="false">IF(AND($N1187="MND",$Q1187="EMBOQUE"),$AN1187*2*2,IF(AND($N1187="VCA",$Q1187="LINEAR"),$M1187*2,IF(AND($N1187="VCA",$Q1187="PREDIAL"),0,0)))</f>
        <v>46.1</v>
      </c>
      <c r="AP1187" s="153" t="n">
        <f aca="false">IFERROR($M1187*$AF1187*$AG1187,0)</f>
        <v>20.4211475</v>
      </c>
      <c r="AQ1187" s="153" t="n">
        <f aca="false">IFERROR(IF(AND($N1187="VCA",$AH1187&gt;0),$M1187*$AG1187*$AH1187,0),0)</f>
        <v>1.49825</v>
      </c>
      <c r="AR1187" s="153" t="n">
        <f aca="false">IFERROR(IF(AND($N1187="VCA",$AJ1187&gt;0),($M1187*$AG1187*$AJ1187)-$AI1187,0),0)</f>
        <v>5.36679499559241</v>
      </c>
      <c r="AS1187" s="153" t="n">
        <f aca="false">IFERROR(IF(AND($N1187="VCA",$AP1187&gt;0),$AP1187-$AI1187-$AQ1187-$AR1187,0),0)</f>
        <v>13.48425</v>
      </c>
      <c r="AT1187" s="153" t="n">
        <f aca="false">IFERROR(IF($N1187="VCA",INDEX(APOIO_REDES!$A:$W,MATCH($C1187&amp;$I1187&amp;$H1187&amp;$N1187&amp;$O1187,APOIO_REDES!$W:$W,0),MATCH(AT$5,APOIO_REDES!$5:$5,0)),0)*$AP1187,0)</f>
        <v>0.222188129151127</v>
      </c>
      <c r="AU1187" s="153" t="n">
        <f aca="false">IFERROR(IF($N1187="VCA",INDEX(APOIO_REDES!$A:$W,MATCH($C1187&amp;$I1187&amp;$H1187&amp;$N1187&amp;$O1187,APOIO_REDES!$W:$W,0),MATCH(AU$5,APOIO_REDES!$5:$5,0)),0)*$AP1187,0)</f>
        <v>0.177433422322395</v>
      </c>
      <c r="AV1187" s="153" t="n">
        <f aca="false">IFERROR(IF($N1187="VCA",INDEX(APOIO_REDES!$A:$W,MATCH($C1187&amp;$I1187&amp;$H1187&amp;$N1187&amp;$O1187,APOIO_REDES!$W:$W,0),MATCH(AV$5,APOIO_REDES!$5:$5,0)),0)*$AP1187,0)</f>
        <v>0.0245553927424411</v>
      </c>
      <c r="AW1187" s="153" t="n">
        <f aca="false">IFERROR(IF($N1187="VCA",INDEX(APOIO_REDES!$A:$W,MATCH($C1187&amp;$I1187&amp;$H1187&amp;$N1187&amp;$O1187,APOIO_REDES!$W:$W,0),MATCH(AW$5,APOIO_REDES!$5:$5,0)),0)*$AP1187,0)</f>
        <v>14.0172338747721</v>
      </c>
      <c r="AX1187" s="153" t="n">
        <f aca="false">IFERROR(IF($N1187="VCA",INDEX(APOIO_REDES!$A:$W,MATCH($C1187&amp;$I1187&amp;$H1187&amp;$N1187&amp;$O1187,APOIO_REDES!$W:$W,0),MATCH(AX$5,APOIO_REDES!$5:$5,0)),0)*$AP1187,0)</f>
        <v>1.93994523942196</v>
      </c>
      <c r="AY1187" s="153" t="n">
        <f aca="false">IFERROR(IF($N1187="VCA",INDEX(APOIO_REDES!$A:$W,MATCH($C1187&amp;$I1187&amp;$H1187&amp;$N1187&amp;$O1187,APOIO_REDES!$W:$W,0),MATCH(AY$5,APOIO_REDES!$5:$5,0)),0)*$AP1187,0)</f>
        <v>3.54866628354887</v>
      </c>
      <c r="AZ1187" s="153" t="n">
        <f aca="false">IFERROR(IF($N1187="VCA",INDEX(APOIO_REDES!$A:$W,MATCH($C1187&amp;$I1187&amp;$H1187&amp;$N1187&amp;$O1187,APOIO_REDES!$W:$W,0),MATCH(AZ$5,APOIO_REDES!$5:$5,0)),0)*$AP1187,0)</f>
        <v>0.4911251580411</v>
      </c>
      <c r="BA1187" s="153" t="n">
        <f aca="false">IFERROR(IF(AND($N1187="VCA",$Q1187="LINEAR"),INDEX(APOIO_REDES!$A:$W,MATCH($C1187&amp;$I1187&amp;$H1187&amp;$N1187&amp;$O1187,APOIO_REDES!$W:$W,0),MATCH(BA$5,APOIO_REDES!$5:$5,0)),IF(AND($N1187="MND",$Q1187="EMBOQUE"),INDEX(APOIO_REDES!$A:$W,MATCH($C1187&amp;$I1187&amp;$H1187&amp;$N1187&amp;$O1187,APOIO_REDES!$W:$W,0),MATCH(BA$5,APOIO_REDES!$5:$5,0)),0))*$M1187/10,0)</f>
        <v>1.85777185821394</v>
      </c>
      <c r="BB1187" s="153" t="n">
        <f aca="false">IFERROR(IF($N1187="VCA",INDEX(APOIO_REDES!$A:$W,MATCH($C1187&amp;$I1187&amp;$H1187&amp;$N1187&amp;$O1187,APOIO_REDES!$W:$W,0),MATCH(BB$5,APOIO_REDES!$5:$5,0)),0)*($AI1187+$AQ1187+$AR1187),0)</f>
        <v>6.86142200198315</v>
      </c>
      <c r="BC1187" s="153" t="n">
        <f aca="false">IFERROR(IF($N1187="VCA",INDEX(APOIO_REDES!$A:$W,MATCH($C1187&amp;$I1187&amp;$H1187&amp;$N1187&amp;$O1187,APOIO_REDES!$W:$W,0),MATCH(BC$5,APOIO_REDES!$5:$5,0)),0)*($AI1187+$AQ1187+$AR1187),0)</f>
        <v>0.0754754980168538</v>
      </c>
      <c r="BD1187" s="153" t="n">
        <f aca="false">IF(AND($N1187="VCA",$AF1187&gt;=1.25,$AF1187&lt;1.5),$M1187*$AF1187*2,0)</f>
        <v>62.8343</v>
      </c>
      <c r="BE1187" s="153" t="n">
        <f aca="false">IF(AND($N1187="VCA",$AF1187&gt;=1.5,$AF1187&lt;3),$M1187*$AF1187*2,0)</f>
        <v>0</v>
      </c>
      <c r="BF1187" s="153" t="n">
        <f aca="false">IF(AND($N1187="VCA",$AF1187&gt;=3),$M1187*$AF1187*2,0)</f>
        <v>0</v>
      </c>
      <c r="BG1187" s="153" t="n">
        <f aca="false">($BB1187+$BC1187)*$AK1187</f>
        <v>30.522349</v>
      </c>
      <c r="BH1187" s="153" t="n">
        <f aca="false">IF(AND($M1187&lt;&gt;"",$N1187="VCA",$Q1187="LINEAR"),($M1187*2)/100,IF(AND($M1187&lt;&gt;"",$N1187="MND",$Q1187="EMBOQUE"),($AN1187*2)/100,0))</f>
        <v>0.461</v>
      </c>
      <c r="BI1187" s="153" t="n">
        <f aca="false">IF(AND($M1187&lt;&gt;"",$N1187="VCA",$Q1187="LINEAR"),$M1187,IF(AND($M1187&lt;&gt;"",$N1187="MND",$Q1187="EMBOQUE"),$AN1187*2,0))</f>
        <v>23.05</v>
      </c>
      <c r="BJ1187" s="153" t="n">
        <f aca="false">IF(AND($M1187&lt;&gt;"",$N1187="VCA",$Q1187="LINEAR"),($M1187*6.8)/100,IF(AND($M1187&lt;&gt;"",$N1187="MND",$Q1187="EMBOQUE"),($AN1187*2*6.8)/100,0))</f>
        <v>1.5674</v>
      </c>
      <c r="BK1187" s="153" t="n">
        <f aca="false">IF(AND($M1187&lt;&gt;"",$N1187="VCA",$Q1187="LINEAR"),($M1187*2.5)/50,IF(AND($M1187&lt;&gt;"",$N1187="MND",$Q1187="EMBOQUE"),($AN1187*2*2.5)/50,0))</f>
        <v>1.1525</v>
      </c>
      <c r="BL1187" s="157" t="str">
        <f aca="false">K1187&amp;J1187</f>
        <v>Zona10REDES</v>
      </c>
      <c r="BM1187" s="152" t="s">
        <v>5703</v>
      </c>
      <c r="BN1187" s="152" t="s">
        <v>1560</v>
      </c>
      <c r="BO1187" s="152" t="s">
        <v>4004</v>
      </c>
      <c r="BP1187" s="152" t="s">
        <v>6022</v>
      </c>
      <c r="BQ1187" s="152" t="s">
        <v>6030</v>
      </c>
      <c r="BR1187" s="152" t="s">
        <v>6031</v>
      </c>
      <c r="BS1187" s="152" t="n">
        <v>203630.425</v>
      </c>
      <c r="BT1187" s="152" t="n">
        <v>8236947.305</v>
      </c>
      <c r="BU1187" s="152" t="n">
        <v>203636.476</v>
      </c>
      <c r="BV1187" s="152" t="n">
        <v>8236925.502</v>
      </c>
      <c r="BW1187" s="152" t="n">
        <v>-15.9291404</v>
      </c>
      <c r="BX1187" s="152" t="n">
        <v>-47.7680974</v>
      </c>
      <c r="BY1187" s="152" t="s">
        <v>6022</v>
      </c>
    </row>
    <row r="1188" customFormat="false" ht="13.8" hidden="false" customHeight="false" outlineLevel="0" collapsed="false">
      <c r="A1188" s="149" t="n">
        <f aca="false">IF(C1188&lt;&gt;"",ROW(A1183),"")</f>
        <v>1183</v>
      </c>
      <c r="B1188" s="150" t="str">
        <f aca="false">HYPERLINK("https://www.google.com/maps/dir/-15.917302,-47.760003/-15.9292426,-47.7680772/data=!4m3!4m2!3e0!5i0")</f>
        <v>https://www.google.com/maps/dir/-15.917302,-47.760003/-15.9292426,-47.7680772/data=!4m3!4m2!3e0!5i0</v>
      </c>
      <c r="C1188" s="151" t="s">
        <v>117</v>
      </c>
      <c r="D1188" s="152" t="s">
        <v>112</v>
      </c>
      <c r="E1188" s="152" t="s">
        <v>113</v>
      </c>
      <c r="F1188" s="152" t="s">
        <v>117</v>
      </c>
      <c r="G1188" s="152" t="s">
        <v>782</v>
      </c>
      <c r="H1188" s="152" t="n">
        <v>63</v>
      </c>
      <c r="I1188" s="152" t="s">
        <v>115</v>
      </c>
      <c r="J1188" s="152" t="s">
        <v>6</v>
      </c>
      <c r="K1188" s="152" t="s">
        <v>5700</v>
      </c>
      <c r="L1188" s="152" t="s">
        <v>120</v>
      </c>
      <c r="M1188" s="153" t="n">
        <f aca="false">34.75</f>
        <v>34.75</v>
      </c>
      <c r="N1188" s="152" t="s">
        <v>1548</v>
      </c>
      <c r="O1188" s="152" t="s">
        <v>1549</v>
      </c>
      <c r="P1188" s="152" t="s">
        <v>1550</v>
      </c>
      <c r="Q1188" s="152" t="s">
        <v>1551</v>
      </c>
      <c r="R1188" s="154" t="s">
        <v>6032</v>
      </c>
      <c r="S1188" s="154" t="s">
        <v>1553</v>
      </c>
      <c r="T1188" s="155" t="s">
        <v>4002</v>
      </c>
      <c r="U1188" s="152" t="str">
        <f aca="false">RIGHT(T1188,7)</f>
        <v>015/037</v>
      </c>
      <c r="V1188" s="152" t="s">
        <v>1555</v>
      </c>
      <c r="W1188" s="156" t="n">
        <v>45882</v>
      </c>
      <c r="X1188" s="152" t="s">
        <v>1594</v>
      </c>
      <c r="Y1188" s="152" t="s">
        <v>2387</v>
      </c>
      <c r="Z1188" s="152" t="s">
        <v>1557</v>
      </c>
      <c r="AA1188" s="153" t="n">
        <v>2.3</v>
      </c>
      <c r="AB1188" s="151" t="s">
        <v>6033</v>
      </c>
      <c r="AC1188" s="151" t="s">
        <v>186</v>
      </c>
      <c r="AD1188" s="151" t="str">
        <f aca="false">CONCATENATE($C1188,$I1188,$H1188,$N1188,$J1188,$K1188)</f>
        <v>TUBO PEADPEAD63VCAREDESZona10</v>
      </c>
      <c r="AE1188" s="153" t="n">
        <f aca="false">IFERROR(INDEX(APOIO_REDES!$A:$W,MATCH($C1188&amp;$I1188&amp;$H1188&amp;$N1188&amp;$O1188,APOIO_REDES!$W:$W,0),MATCH(AE$5,APOIO_REDES!$5:$5,0)),0)</f>
        <v>1.2</v>
      </c>
      <c r="AF1188" s="153" t="n">
        <f aca="false">IFERROR(INDEX(APOIO_REDES!$A:$W,MATCH($C1188&amp;$I1188&amp;$H1188&amp;$N1188&amp;$O1188,APOIO_REDES!$W:$W,0),MATCH(AF$5,APOIO_REDES!$5:$5,0)),0)</f>
        <v>1.363</v>
      </c>
      <c r="AG1188" s="153" t="n">
        <f aca="false">IFERROR(INDEX(APOIO_REDES!$A:$W,MATCH($C1188&amp;$I1188&amp;$H1188&amp;$N1188&amp;$O1188,APOIO_REDES!$W:$W,0),MATCH(AG$5,APOIO_REDES!$5:$5,0)),0)</f>
        <v>0.65</v>
      </c>
      <c r="AH1188" s="153" t="n">
        <f aca="false">IFERROR(INDEX(APOIO_REDES!$A:$W,MATCH($C1188&amp;$I1188&amp;$H1188&amp;$N1188&amp;$O1188,APOIO_REDES!$W:$W,0),MATCH(AH$5,APOIO_REDES!$5:$5,0)),0)</f>
        <v>0.1</v>
      </c>
      <c r="AI1188" s="153" t="n">
        <f aca="false">IFERROR(IF($H1188&lt;&gt;"",(((($H1188/1000)/2)^2)*PI()*$M1188),0),0)</f>
        <v>0.108324274540725</v>
      </c>
      <c r="AJ1188" s="153" t="n">
        <f aca="false">IFERROR(IF(AND($H1188&lt;&gt;"",$I1188="FoFo",OR($N1188="MND",$N1188="VCA"),$Q1188="LINEAR"),0,IF(AND($H1188&lt;&gt;"",$I1188="PEAD",$N1188="VCA",$Q1188="LINEAR"),($H1188/1000)+0.3,IF(AND($H1188&lt;&gt;"",$I1188="PEAD",$N1188="MND",$Q1188="EMBOQUE"),0,IF(AND($H1188&lt;&gt;"",$I1188="PVC",$N1188="VCA",$Q1188="LINEAR"),($H1188/1000)+0.2,IF(AND($H1188&lt;&gt;"",$I1188="PVC",$N1188="MND",$Q1188="EMBOQUE"),0,IF(AND($H1188&lt;&gt;"",$I1188="PEAD",$N1188="VCA",$Q1188="PREDIAL"),0,0)))))),0)</f>
        <v>0.363</v>
      </c>
      <c r="AK1188" s="153" t="n">
        <f aca="false">IF(AA1188&lt;&gt;"",AA1188,0)</f>
        <v>2.3</v>
      </c>
      <c r="AL1188" s="153" t="n">
        <f aca="false">IF(AND($N1188="MND",$Q1188="EMBOQUE"),$M1188,IF(AND($N1188="VCA",$Q1188="LINEAR"),$M1188,IF(AND($N1188="VCA",$Q1188="PREDIAL"),0,0)))</f>
        <v>34.75</v>
      </c>
      <c r="AM1188" s="153" t="n">
        <f aca="false">IF(AND($N1188="MND",$Q1188="EMBOQUE"),$M1188,IF(AND($N1188="VCA",$Q1188="LINEAR"),$M1188,IF(AND($N1188="VCA",$Q1188="PREDIAL"),0,0)))</f>
        <v>34.75</v>
      </c>
      <c r="AN1188" s="153" t="n">
        <f aca="false">ROUND(IF(AND($N1188="VCA",$M1188&lt;&gt;"",$Q1188="LINEAR"),$M1188/100,IF(AND($N1188="MND",$M1188&gt;100,$Q1188="EMBOQUE"),$M1188/100,0)),0)</f>
        <v>0</v>
      </c>
      <c r="AO1188" s="153" t="n">
        <f aca="false">IF(AND($N1188="MND",$Q1188="EMBOQUE"),$AN1188*2*2,IF(AND($N1188="VCA",$Q1188="LINEAR"),$M1188*2,IF(AND($N1188="VCA",$Q1188="PREDIAL"),0,0)))</f>
        <v>69.5</v>
      </c>
      <c r="AP1188" s="153" t="n">
        <f aca="false">IFERROR($M1188*$AF1188*$AG1188,0)</f>
        <v>30.7867625</v>
      </c>
      <c r="AQ1188" s="153" t="n">
        <f aca="false">IFERROR(IF(AND($N1188="VCA",$AH1188&gt;0),$M1188*$AG1188*$AH1188,0),0)</f>
        <v>2.25875</v>
      </c>
      <c r="AR1188" s="153" t="n">
        <f aca="false">IFERROR(IF(AND($N1188="VCA",$AJ1188&gt;0),($M1188*$AG1188*$AJ1188)-$AI1188,0),0)</f>
        <v>8.09093822545927</v>
      </c>
      <c r="AS1188" s="153" t="n">
        <f aca="false">IFERROR(IF(AND($N1188="VCA",$AP1188&gt;0),$AP1188-$AI1188-$AQ1188-$AR1188,0),0)</f>
        <v>20.32875</v>
      </c>
      <c r="AT1188" s="153" t="n">
        <f aca="false">IFERROR(IF($N1188="VCA",INDEX(APOIO_REDES!$A:$W,MATCH($C1188&amp;$I1188&amp;$H1188&amp;$N1188&amp;$O1188,APOIO_REDES!$W:$W,0),MATCH(AT$5,APOIO_REDES!$5:$5,0)),0)*$AP1188,0)</f>
        <v>0.334969088416558</v>
      </c>
      <c r="AU1188" s="153" t="n">
        <f aca="false">IFERROR(IF($N1188="VCA",INDEX(APOIO_REDES!$A:$W,MATCH($C1188&amp;$I1188&amp;$H1188&amp;$N1188&amp;$O1188,APOIO_REDES!$W:$W,0),MATCH(AU$5,APOIO_REDES!$5:$5,0)),0)*$AP1188,0)</f>
        <v>0.267497241896019</v>
      </c>
      <c r="AV1188" s="153" t="n">
        <f aca="false">IFERROR(IF($N1188="VCA",INDEX(APOIO_REDES!$A:$W,MATCH($C1188&amp;$I1188&amp;$H1188&amp;$N1188&amp;$O1188,APOIO_REDES!$W:$W,0),MATCH(AV$5,APOIO_REDES!$5:$5,0)),0)*$AP1188,0)</f>
        <v>0.0370195183427257</v>
      </c>
      <c r="AW1188" s="153" t="n">
        <f aca="false">IFERROR(IF($N1188="VCA",INDEX(APOIO_REDES!$A:$W,MATCH($C1188&amp;$I1188&amp;$H1188&amp;$N1188&amp;$O1188,APOIO_REDES!$W:$W,0),MATCH(AW$5,APOIO_REDES!$5:$5,0)),0)*$AP1188,0)</f>
        <v>21.1322723274764</v>
      </c>
      <c r="AX1188" s="153" t="n">
        <f aca="false">IFERROR(IF($N1188="VCA",INDEX(APOIO_REDES!$A:$W,MATCH($C1188&amp;$I1188&amp;$H1188&amp;$N1188&amp;$O1188,APOIO_REDES!$W:$W,0),MATCH(AX$5,APOIO_REDES!$5:$5,0)),0)*$AP1188,0)</f>
        <v>2.92464629370555</v>
      </c>
      <c r="AY1188" s="153" t="n">
        <f aca="false">IFERROR(IF($N1188="VCA",INDEX(APOIO_REDES!$A:$W,MATCH($C1188&amp;$I1188&amp;$H1188&amp;$N1188&amp;$O1188,APOIO_REDES!$W:$W,0),MATCH(AY$5,APOIO_REDES!$5:$5,0)),0)*$AP1188,0)</f>
        <v>5.34994157715068</v>
      </c>
      <c r="AZ1188" s="153" t="n">
        <f aca="false">IFERROR(IF($N1188="VCA",INDEX(APOIO_REDES!$A:$W,MATCH($C1188&amp;$I1188&amp;$H1188&amp;$N1188&amp;$O1188,APOIO_REDES!$W:$W,0),MATCH(AZ$5,APOIO_REDES!$5:$5,0)),0)*$AP1188,0)</f>
        <v>0.74041645301207</v>
      </c>
      <c r="BA1188" s="153" t="n">
        <f aca="false">IFERROR(IF(AND($N1188="VCA",$Q1188="LINEAR"),INDEX(APOIO_REDES!$A:$W,MATCH($C1188&amp;$I1188&amp;$H1188&amp;$N1188&amp;$O1188,APOIO_REDES!$W:$W,0),MATCH(BA$5,APOIO_REDES!$5:$5,0)),IF(AND($N1188="MND",$Q1188="EMBOQUE"),INDEX(APOIO_REDES!$A:$W,MATCH($C1188&amp;$I1188&amp;$H1188&amp;$N1188&amp;$O1188,APOIO_REDES!$W:$W,0),MATCH(BA$5,APOIO_REDES!$5:$5,0)),0))*$M1188/10,0)</f>
        <v>2.80076234589737</v>
      </c>
      <c r="BB1188" s="153" t="n">
        <f aca="false">IFERROR(IF($N1188="VCA",INDEX(APOIO_REDES!$A:$W,MATCH($C1188&amp;$I1188&amp;$H1188&amp;$N1188&amp;$O1188,APOIO_REDES!$W:$W,0),MATCH(BB$5,APOIO_REDES!$5:$5,0)),0)*($AI1188+$AQ1188+$AR1188),0)</f>
        <v>10.3442262285863</v>
      </c>
      <c r="BC1188" s="153" t="n">
        <f aca="false">IFERROR(IF($N1188="VCA",INDEX(APOIO_REDES!$A:$W,MATCH($C1188&amp;$I1188&amp;$H1188&amp;$N1188&amp;$O1188,APOIO_REDES!$W:$W,0),MATCH(BC$5,APOIO_REDES!$5:$5,0)),0)*($AI1188+$AQ1188+$AR1188),0)</f>
        <v>0.113786271413695</v>
      </c>
      <c r="BD1188" s="153" t="n">
        <f aca="false">IF(AND($N1188="VCA",$AF1188&gt;=1.25,$AF1188&lt;1.5),$M1188*$AF1188*2,0)</f>
        <v>94.7285</v>
      </c>
      <c r="BE1188" s="153" t="n">
        <f aca="false">IF(AND($N1188="VCA",$AF1188&gt;=1.5,$AF1188&lt;3),$M1188*$AF1188*2,0)</f>
        <v>0</v>
      </c>
      <c r="BF1188" s="153" t="n">
        <f aca="false">IF(AND($N1188="VCA",$AF1188&gt;=3),$M1188*$AF1188*2,0)</f>
        <v>0</v>
      </c>
      <c r="BG1188" s="153" t="n">
        <f aca="false">($BB1188+$BC1188)*$AK1188</f>
        <v>24.05342875</v>
      </c>
      <c r="BH1188" s="153" t="n">
        <f aca="false">IF(AND($M1188&lt;&gt;"",$N1188="VCA",$Q1188="LINEAR"),($M1188*2)/100,IF(AND($M1188&lt;&gt;"",$N1188="MND",$Q1188="EMBOQUE"),($AN1188*2)/100,0))</f>
        <v>0.695</v>
      </c>
      <c r="BI1188" s="153" t="n">
        <f aca="false">IF(AND($M1188&lt;&gt;"",$N1188="VCA",$Q1188="LINEAR"),$M1188,IF(AND($M1188&lt;&gt;"",$N1188="MND",$Q1188="EMBOQUE"),$AN1188*2,0))</f>
        <v>34.75</v>
      </c>
      <c r="BJ1188" s="153" t="n">
        <f aca="false">IF(AND($M1188&lt;&gt;"",$N1188="VCA",$Q1188="LINEAR"),($M1188*6.8)/100,IF(AND($M1188&lt;&gt;"",$N1188="MND",$Q1188="EMBOQUE"),($AN1188*2*6.8)/100,0))</f>
        <v>2.363</v>
      </c>
      <c r="BK1188" s="153" t="n">
        <f aca="false">IF(AND($M1188&lt;&gt;"",$N1188="VCA",$Q1188="LINEAR"),($M1188*2.5)/50,IF(AND($M1188&lt;&gt;"",$N1188="MND",$Q1188="EMBOQUE"),($AN1188*2*2.5)/50,0))</f>
        <v>1.7375</v>
      </c>
      <c r="BL1188" s="157" t="str">
        <f aca="false">K1188&amp;J1188</f>
        <v>Zona10REDES</v>
      </c>
      <c r="BM1188" s="152" t="s">
        <v>5703</v>
      </c>
      <c r="BN1188" s="152" t="s">
        <v>1560</v>
      </c>
      <c r="BO1188" s="152" t="s">
        <v>4004</v>
      </c>
      <c r="BP1188" s="152" t="s">
        <v>6030</v>
      </c>
      <c r="BQ1188" s="152" t="s">
        <v>6018</v>
      </c>
      <c r="BR1188" s="152" t="s">
        <v>6034</v>
      </c>
      <c r="BS1188" s="152" t="n">
        <v>203637.011</v>
      </c>
      <c r="BT1188" s="152" t="n">
        <v>8236925.856</v>
      </c>
      <c r="BU1188" s="152" t="n">
        <v>203666.76</v>
      </c>
      <c r="BV1188" s="152" t="n">
        <v>8236943.816</v>
      </c>
      <c r="BW1188" s="152" t="n">
        <v>-15.9291602</v>
      </c>
      <c r="BX1188" s="152" t="n">
        <v>-47.7679322</v>
      </c>
      <c r="BY1188" s="152" t="s">
        <v>6030</v>
      </c>
    </row>
    <row r="1189" customFormat="false" ht="13.8" hidden="false" customHeight="false" outlineLevel="0" collapsed="false">
      <c r="A1189" s="149" t="n">
        <f aca="false">IF(C1189&lt;&gt;"",ROW(A1184),"")</f>
        <v>1184</v>
      </c>
      <c r="B1189" s="150" t="str">
        <f aca="false">HYPERLINK("https://www.google.com/maps/dir/-15.917302,-47.760003/-15.9292499,-47.7693865/data=!4m3!4m2!3e0!5i2")</f>
        <v>https://www.google.com/maps/dir/-15.917302,-47.760003/-15.9292499,-47.7693865/data=!4m3!4m2!3e0!5i2</v>
      </c>
      <c r="C1189" s="151" t="s">
        <v>117</v>
      </c>
      <c r="D1189" s="152" t="s">
        <v>112</v>
      </c>
      <c r="E1189" s="152" t="s">
        <v>113</v>
      </c>
      <c r="F1189" s="152" t="s">
        <v>117</v>
      </c>
      <c r="G1189" s="152" t="s">
        <v>782</v>
      </c>
      <c r="H1189" s="152" t="n">
        <v>63</v>
      </c>
      <c r="I1189" s="152" t="s">
        <v>115</v>
      </c>
      <c r="J1189" s="152" t="s">
        <v>6</v>
      </c>
      <c r="K1189" s="152" t="s">
        <v>5700</v>
      </c>
      <c r="L1189" s="152" t="s">
        <v>120</v>
      </c>
      <c r="M1189" s="153" t="n">
        <f aca="false">136.85+0.51</f>
        <v>137.36</v>
      </c>
      <c r="N1189" s="152" t="s">
        <v>1548</v>
      </c>
      <c r="O1189" s="152" t="s">
        <v>1549</v>
      </c>
      <c r="P1189" s="152" t="s">
        <v>1550</v>
      </c>
      <c r="Q1189" s="152" t="s">
        <v>1551</v>
      </c>
      <c r="R1189" s="154" t="s">
        <v>6035</v>
      </c>
      <c r="S1189" s="154" t="s">
        <v>1553</v>
      </c>
      <c r="T1189" s="155" t="s">
        <v>4002</v>
      </c>
      <c r="U1189" s="152" t="str">
        <f aca="false">RIGHT(T1189,7)</f>
        <v>015/037</v>
      </c>
      <c r="V1189" s="152" t="s">
        <v>1555</v>
      </c>
      <c r="W1189" s="156" t="n">
        <v>45882</v>
      </c>
      <c r="X1189" s="152" t="s">
        <v>1594</v>
      </c>
      <c r="Y1189" s="152" t="s">
        <v>2387</v>
      </c>
      <c r="Z1189" s="152" t="s">
        <v>1557</v>
      </c>
      <c r="AA1189" s="153" t="n">
        <v>4.6</v>
      </c>
      <c r="AB1189" s="151" t="s">
        <v>6036</v>
      </c>
      <c r="AC1189" s="151" t="s">
        <v>186</v>
      </c>
      <c r="AD1189" s="151" t="str">
        <f aca="false">CONCATENATE($C1189,$I1189,$H1189,$N1189,$J1189,$K1189)</f>
        <v>TUBO PEADPEAD63VCAREDESZona10</v>
      </c>
      <c r="AE1189" s="153" t="n">
        <f aca="false">IFERROR(INDEX(APOIO_REDES!$A:$W,MATCH($C1189&amp;$I1189&amp;$H1189&amp;$N1189&amp;$O1189,APOIO_REDES!$W:$W,0),MATCH(AE$5,APOIO_REDES!$5:$5,0)),0)</f>
        <v>1.2</v>
      </c>
      <c r="AF1189" s="153" t="n">
        <f aca="false">IFERROR(INDEX(APOIO_REDES!$A:$W,MATCH($C1189&amp;$I1189&amp;$H1189&amp;$N1189&amp;$O1189,APOIO_REDES!$W:$W,0),MATCH(AF$5,APOIO_REDES!$5:$5,0)),0)</f>
        <v>1.363</v>
      </c>
      <c r="AG1189" s="153" t="n">
        <f aca="false">IFERROR(INDEX(APOIO_REDES!$A:$W,MATCH($C1189&amp;$I1189&amp;$H1189&amp;$N1189&amp;$O1189,APOIO_REDES!$W:$W,0),MATCH(AG$5,APOIO_REDES!$5:$5,0)),0)</f>
        <v>0.65</v>
      </c>
      <c r="AH1189" s="153" t="n">
        <f aca="false">IFERROR(INDEX(APOIO_REDES!$A:$W,MATCH($C1189&amp;$I1189&amp;$H1189&amp;$N1189&amp;$O1189,APOIO_REDES!$W:$W,0),MATCH(AH$5,APOIO_REDES!$5:$5,0)),0)</f>
        <v>0.1</v>
      </c>
      <c r="AI1189" s="153" t="n">
        <f aca="false">IFERROR(IF($H1189&lt;&gt;"",(((($H1189/1000)/2)^2)*PI()*$M1189),0),0)</f>
        <v>0.428184815853642</v>
      </c>
      <c r="AJ1189" s="153" t="n">
        <f aca="false">IFERROR(IF(AND($H1189&lt;&gt;"",$I1189="FoFo",OR($N1189="MND",$N1189="VCA"),$Q1189="LINEAR"),0,IF(AND($H1189&lt;&gt;"",$I1189="PEAD",$N1189="VCA",$Q1189="LINEAR"),($H1189/1000)+0.3,IF(AND($H1189&lt;&gt;"",$I1189="PEAD",$N1189="MND",$Q1189="EMBOQUE"),0,IF(AND($H1189&lt;&gt;"",$I1189="PVC",$N1189="VCA",$Q1189="LINEAR"),($H1189/1000)+0.2,IF(AND($H1189&lt;&gt;"",$I1189="PVC",$N1189="MND",$Q1189="EMBOQUE"),0,IF(AND($H1189&lt;&gt;"",$I1189="PEAD",$N1189="VCA",$Q1189="PREDIAL"),0,0)))))),0)</f>
        <v>0.363</v>
      </c>
      <c r="AK1189" s="153" t="n">
        <f aca="false">IF(AA1189&lt;&gt;"",AA1189,0)</f>
        <v>4.6</v>
      </c>
      <c r="AL1189" s="153" t="n">
        <f aca="false">IF(AND($N1189="MND",$Q1189="EMBOQUE"),$M1189,IF(AND($N1189="VCA",$Q1189="LINEAR"),$M1189,IF(AND($N1189="VCA",$Q1189="PREDIAL"),0,0)))</f>
        <v>137.36</v>
      </c>
      <c r="AM1189" s="153" t="n">
        <f aca="false">IF(AND($N1189="MND",$Q1189="EMBOQUE"),$M1189,IF(AND($N1189="VCA",$Q1189="LINEAR"),$M1189,IF(AND($N1189="VCA",$Q1189="PREDIAL"),0,0)))</f>
        <v>137.36</v>
      </c>
      <c r="AN1189" s="153" t="n">
        <f aca="false">ROUND(IF(AND($N1189="VCA",$M1189&lt;&gt;"",$Q1189="LINEAR"),$M1189/100,IF(AND($N1189="MND",$M1189&gt;100,$Q1189="EMBOQUE"),$M1189/100,0)),0)</f>
        <v>1</v>
      </c>
      <c r="AO1189" s="153" t="n">
        <f aca="false">IF(AND($N1189="MND",$Q1189="EMBOQUE"),$AN1189*2*2,IF(AND($N1189="VCA",$Q1189="LINEAR"),$M1189*2,IF(AND($N1189="VCA",$Q1189="PREDIAL"),0,0)))</f>
        <v>274.72</v>
      </c>
      <c r="AP1189" s="153" t="n">
        <f aca="false">IFERROR($M1189*$AF1189*$AG1189,0)</f>
        <v>121.694092</v>
      </c>
      <c r="AQ1189" s="153" t="n">
        <f aca="false">IFERROR(IF(AND($N1189="VCA",$AH1189&gt;0),$M1189*$AG1189*$AH1189,0),0)</f>
        <v>8.9284</v>
      </c>
      <c r="AR1189" s="153" t="n">
        <f aca="false">IFERROR(IF(AND($N1189="VCA",$AJ1189&gt;0),($M1189*$AG1189*$AJ1189)-$AI1189,0),0)</f>
        <v>31.9819071841464</v>
      </c>
      <c r="AS1189" s="153" t="n">
        <f aca="false">IFERROR(IF(AND($N1189="VCA",$AP1189&gt;0),$AP1189-$AI1189-$AQ1189-$AR1189,0),0)</f>
        <v>80.3556</v>
      </c>
      <c r="AT1189" s="153" t="n">
        <f aca="false">IFERROR(IF($N1189="VCA",INDEX(APOIO_REDES!$A:$W,MATCH($C1189&amp;$I1189&amp;$H1189&amp;$N1189&amp;$O1189,APOIO_REDES!$W:$W,0),MATCH(AT$5,APOIO_REDES!$5:$5,0)),0)*$AP1189,0)</f>
        <v>1.32406774057262</v>
      </c>
      <c r="AU1189" s="153" t="n">
        <f aca="false">IFERROR(IF($N1189="VCA",INDEX(APOIO_REDES!$A:$W,MATCH($C1189&amp;$I1189&amp;$H1189&amp;$N1189&amp;$O1189,APOIO_REDES!$W:$W,0),MATCH(AU$5,APOIO_REDES!$5:$5,0)),0)*$AP1189,0)</f>
        <v>1.05736463731905</v>
      </c>
      <c r="AV1189" s="153" t="n">
        <f aca="false">IFERROR(IF($N1189="VCA",INDEX(APOIO_REDES!$A:$W,MATCH($C1189&amp;$I1189&amp;$H1189&amp;$N1189&amp;$O1189,APOIO_REDES!$W:$W,0),MATCH(AV$5,APOIO_REDES!$5:$5,0)),0)*$AP1189,0)</f>
        <v>0.146330965167102</v>
      </c>
      <c r="AW1189" s="153" t="n">
        <f aca="false">IFERROR(IF($N1189="VCA",INDEX(APOIO_REDES!$A:$W,MATCH($C1189&amp;$I1189&amp;$H1189&amp;$N1189&amp;$O1189,APOIO_REDES!$W:$W,0),MATCH(AW$5,APOIO_REDES!$5:$5,0)),0)*$AP1189,0)</f>
        <v>83.5317676806376</v>
      </c>
      <c r="AX1189" s="153" t="n">
        <f aca="false">IFERROR(IF($N1189="VCA",INDEX(APOIO_REDES!$A:$W,MATCH($C1189&amp;$I1189&amp;$H1189&amp;$N1189&amp;$O1189,APOIO_REDES!$W:$W,0),MATCH(AX$5,APOIO_REDES!$5:$5,0)),0)*$AP1189,0)</f>
        <v>11.560558702256</v>
      </c>
      <c r="AY1189" s="153" t="n">
        <f aca="false">IFERROR(IF($N1189="VCA",INDEX(APOIO_REDES!$A:$W,MATCH($C1189&amp;$I1189&amp;$H1189&amp;$N1189&amp;$O1189,APOIO_REDES!$W:$W,0),MATCH(AY$5,APOIO_REDES!$5:$5,0)),0)*$AP1189,0)</f>
        <v>21.1472798571919</v>
      </c>
      <c r="AZ1189" s="153" t="n">
        <f aca="false">IFERROR(IF($N1189="VCA",INDEX(APOIO_REDES!$A:$W,MATCH($C1189&amp;$I1189&amp;$H1189&amp;$N1189&amp;$O1189,APOIO_REDES!$W:$W,0),MATCH(AZ$5,APOIO_REDES!$5:$5,0)),0)*$AP1189,0)</f>
        <v>2.92672241685577</v>
      </c>
      <c r="BA1189" s="153" t="n">
        <f aca="false">IFERROR(IF(AND($N1189="VCA",$Q1189="LINEAR"),INDEX(APOIO_REDES!$A:$W,MATCH($C1189&amp;$I1189&amp;$H1189&amp;$N1189&amp;$O1189,APOIO_REDES!$W:$W,0),MATCH(BA$5,APOIO_REDES!$5:$5,0)),IF(AND($N1189="MND",$Q1189="EMBOQUE"),INDEX(APOIO_REDES!$A:$W,MATCH($C1189&amp;$I1189&amp;$H1189&amp;$N1189&amp;$O1189,APOIO_REDES!$W:$W,0),MATCH(BA$5,APOIO_REDES!$5:$5,0)),0))*$M1189/10,0)</f>
        <v>11.0708695203586</v>
      </c>
      <c r="BB1189" s="153" t="n">
        <f aca="false">IFERROR(IF($N1189="VCA",INDEX(APOIO_REDES!$A:$W,MATCH($C1189&amp;$I1189&amp;$H1189&amp;$N1189&amp;$O1189,APOIO_REDES!$W:$W,0),MATCH(BB$5,APOIO_REDES!$5:$5,0)),0)*($AI1189+$AQ1189+$AR1189),0)</f>
        <v>40.8887169714709</v>
      </c>
      <c r="BC1189" s="153" t="n">
        <f aca="false">IFERROR(IF($N1189="VCA",INDEX(APOIO_REDES!$A:$W,MATCH($C1189&amp;$I1189&amp;$H1189&amp;$N1189&amp;$O1189,APOIO_REDES!$W:$W,0),MATCH(BC$5,APOIO_REDES!$5:$5,0)),0)*($AI1189+$AQ1189+$AR1189),0)</f>
        <v>0.449775028529069</v>
      </c>
      <c r="BD1189" s="153" t="n">
        <f aca="false">IF(AND($N1189="VCA",$AF1189&gt;=1.25,$AF1189&lt;1.5),$M1189*$AF1189*2,0)</f>
        <v>374.44336</v>
      </c>
      <c r="BE1189" s="153" t="n">
        <f aca="false">IF(AND($N1189="VCA",$AF1189&gt;=1.5,$AF1189&lt;3),$M1189*$AF1189*2,0)</f>
        <v>0</v>
      </c>
      <c r="BF1189" s="153" t="n">
        <f aca="false">IF(AND($N1189="VCA",$AF1189&gt;=3),$M1189*$AF1189*2,0)</f>
        <v>0</v>
      </c>
      <c r="BG1189" s="153" t="n">
        <f aca="false">($BB1189+$BC1189)*$AK1189</f>
        <v>190.1570632</v>
      </c>
      <c r="BH1189" s="153" t="n">
        <f aca="false">IF(AND($M1189&lt;&gt;"",$N1189="VCA",$Q1189="LINEAR"),($M1189*2)/100,IF(AND($M1189&lt;&gt;"",$N1189="MND",$Q1189="EMBOQUE"),($AN1189*2)/100,0))</f>
        <v>2.7472</v>
      </c>
      <c r="BI1189" s="153" t="n">
        <f aca="false">IF(AND($M1189&lt;&gt;"",$N1189="VCA",$Q1189="LINEAR"),$M1189,IF(AND($M1189&lt;&gt;"",$N1189="MND",$Q1189="EMBOQUE"),$AN1189*2,0))</f>
        <v>137.36</v>
      </c>
      <c r="BJ1189" s="153" t="n">
        <f aca="false">IF(AND($M1189&lt;&gt;"",$N1189="VCA",$Q1189="LINEAR"),($M1189*6.8)/100,IF(AND($M1189&lt;&gt;"",$N1189="MND",$Q1189="EMBOQUE"),($AN1189*2*6.8)/100,0))</f>
        <v>9.34048</v>
      </c>
      <c r="BK1189" s="153" t="n">
        <f aca="false">IF(AND($M1189&lt;&gt;"",$N1189="VCA",$Q1189="LINEAR"),($M1189*2.5)/50,IF(AND($M1189&lt;&gt;"",$N1189="MND",$Q1189="EMBOQUE"),($AN1189*2*2.5)/50,0))</f>
        <v>6.868</v>
      </c>
      <c r="BL1189" s="157" t="str">
        <f aca="false">K1189&amp;J1189</f>
        <v>Zona10REDES</v>
      </c>
      <c r="BM1189" s="152" t="s">
        <v>5703</v>
      </c>
      <c r="BN1189" s="152" t="s">
        <v>1560</v>
      </c>
      <c r="BO1189" s="152" t="s">
        <v>4004</v>
      </c>
      <c r="BP1189" s="152" t="s">
        <v>6026</v>
      </c>
      <c r="BQ1189" s="152" t="s">
        <v>6022</v>
      </c>
      <c r="BR1189" s="152" t="s">
        <v>6037</v>
      </c>
      <c r="BS1189" s="152" t="n">
        <v>203496.209</v>
      </c>
      <c r="BT1189" s="152" t="n">
        <v>8236922.839</v>
      </c>
      <c r="BU1189" s="152" t="n">
        <v>203630.425</v>
      </c>
      <c r="BV1189" s="152" t="n">
        <v>8236947.305</v>
      </c>
      <c r="BW1189" s="152" t="n">
        <v>-15.929167</v>
      </c>
      <c r="BX1189" s="152" t="n">
        <v>-47.7687543</v>
      </c>
      <c r="BY1189" s="152" t="s">
        <v>6026</v>
      </c>
    </row>
    <row r="1190" customFormat="false" ht="13.8" hidden="false" customHeight="false" outlineLevel="0" collapsed="false">
      <c r="A1190" s="149" t="n">
        <f aca="false">IF(C1190&lt;&gt;"",ROW(A1185),"")</f>
        <v>1185</v>
      </c>
      <c r="B1190" s="150" t="str">
        <f aca="false">HYPERLINK("https://www.google.com/maps/dir/-15.917302,-47.760003/-15.9298425,-47.7694478/data=!4m3!4m2!3e0!5i2")</f>
        <v>https://www.google.com/maps/dir/-15.917302,-47.760003/-15.9298425,-47.7694478/data=!4m3!4m2!3e0!5i2</v>
      </c>
      <c r="C1190" s="151" t="s">
        <v>117</v>
      </c>
      <c r="D1190" s="152" t="s">
        <v>112</v>
      </c>
      <c r="E1190" s="152" t="s">
        <v>113</v>
      </c>
      <c r="F1190" s="152" t="s">
        <v>117</v>
      </c>
      <c r="G1190" s="152" t="s">
        <v>114</v>
      </c>
      <c r="H1190" s="152" t="n">
        <v>160</v>
      </c>
      <c r="I1190" s="152" t="s">
        <v>115</v>
      </c>
      <c r="J1190" s="152" t="s">
        <v>6</v>
      </c>
      <c r="K1190" s="152" t="s">
        <v>5700</v>
      </c>
      <c r="L1190" s="152" t="s">
        <v>120</v>
      </c>
      <c r="M1190" s="153" t="n">
        <f aca="false">145.41</f>
        <v>145.41</v>
      </c>
      <c r="N1190" s="152" t="s">
        <v>1548</v>
      </c>
      <c r="O1190" s="152" t="s">
        <v>1549</v>
      </c>
      <c r="P1190" s="152" t="s">
        <v>1550</v>
      </c>
      <c r="Q1190" s="152" t="s">
        <v>1551</v>
      </c>
      <c r="R1190" s="154" t="s">
        <v>6038</v>
      </c>
      <c r="S1190" s="154" t="s">
        <v>1593</v>
      </c>
      <c r="T1190" s="155" t="s">
        <v>4002</v>
      </c>
      <c r="U1190" s="152" t="str">
        <f aca="false">RIGHT(T1190,7)</f>
        <v>015/037</v>
      </c>
      <c r="V1190" s="152" t="s">
        <v>1555</v>
      </c>
      <c r="W1190" s="156" t="n">
        <v>45882</v>
      </c>
      <c r="X1190" s="152" t="s">
        <v>1594</v>
      </c>
      <c r="Y1190" s="152" t="s">
        <v>2387</v>
      </c>
      <c r="Z1190" s="152" t="s">
        <v>1557</v>
      </c>
      <c r="AA1190" s="153" t="n">
        <v>4.5</v>
      </c>
      <c r="AB1190" s="151" t="s">
        <v>6039</v>
      </c>
      <c r="AC1190" s="151" t="s">
        <v>505</v>
      </c>
      <c r="AD1190" s="151" t="str">
        <f aca="false">CONCATENATE($C1190,$I1190,$H1190,$N1190,$J1190,$K1190)</f>
        <v>TUBO PEADPEAD160VCAREDESZona10</v>
      </c>
      <c r="AE1190" s="153" t="n">
        <f aca="false">IFERROR(INDEX(APOIO_REDES!$A:$W,MATCH($C1190&amp;$I1190&amp;$H1190&amp;$N1190&amp;$O1190,APOIO_REDES!$W:$W,0),MATCH(AE$5,APOIO_REDES!$5:$5,0)),0)</f>
        <v>1.2</v>
      </c>
      <c r="AF1190" s="153" t="n">
        <f aca="false">IFERROR(INDEX(APOIO_REDES!$A:$W,MATCH($C1190&amp;$I1190&amp;$H1190&amp;$N1190&amp;$O1190,APOIO_REDES!$W:$W,0),MATCH(AF$5,APOIO_REDES!$5:$5,0)),0)</f>
        <v>1.46</v>
      </c>
      <c r="AG1190" s="153" t="n">
        <f aca="false">IFERROR(INDEX(APOIO_REDES!$A:$W,MATCH($C1190&amp;$I1190&amp;$H1190&amp;$N1190&amp;$O1190,APOIO_REDES!$W:$W,0),MATCH(AG$5,APOIO_REDES!$5:$5,0)),0)</f>
        <v>0.75</v>
      </c>
      <c r="AH1190" s="153" t="n">
        <f aca="false">IFERROR(INDEX(APOIO_REDES!$A:$W,MATCH($C1190&amp;$I1190&amp;$H1190&amp;$N1190&amp;$O1190,APOIO_REDES!$W:$W,0),MATCH(AH$5,APOIO_REDES!$5:$5,0)),0)</f>
        <v>0.1</v>
      </c>
      <c r="AI1190" s="153" t="n">
        <f aca="false">IFERROR(IF($H1190&lt;&gt;"",(((($H1190/1000)/2)^2)*PI()*$M1190),0),0)</f>
        <v>2.92364152165435</v>
      </c>
      <c r="AJ1190" s="153" t="n">
        <f aca="false">IFERROR(IF(AND($H1190&lt;&gt;"",$I1190="FoFo",OR($N1190="MND",$N1190="VCA"),$Q1190="LINEAR"),0,IF(AND($H1190&lt;&gt;"",$I1190="PEAD",$N1190="VCA",$Q1190="LINEAR"),($H1190/1000)+0.3,IF(AND($H1190&lt;&gt;"",$I1190="PEAD",$N1190="MND",$Q1190="EMBOQUE"),0,IF(AND($H1190&lt;&gt;"",$I1190="PVC",$N1190="VCA",$Q1190="LINEAR"),($H1190/1000)+0.2,IF(AND($H1190&lt;&gt;"",$I1190="PVC",$N1190="MND",$Q1190="EMBOQUE"),0,IF(AND($H1190&lt;&gt;"",$I1190="PEAD",$N1190="VCA",$Q1190="PREDIAL"),0,0)))))),0)</f>
        <v>0.46</v>
      </c>
      <c r="AK1190" s="153" t="n">
        <f aca="false">IF(AA1190&lt;&gt;"",AA1190,0)</f>
        <v>4.5</v>
      </c>
      <c r="AL1190" s="153" t="n">
        <f aca="false">IF(AND($N1190="MND",$Q1190="EMBOQUE"),$M1190,IF(AND($N1190="VCA",$Q1190="LINEAR"),$M1190,IF(AND($N1190="VCA",$Q1190="PREDIAL"),0,0)))</f>
        <v>145.41</v>
      </c>
      <c r="AM1190" s="153" t="n">
        <f aca="false">IF(AND($N1190="MND",$Q1190="EMBOQUE"),$M1190,IF(AND($N1190="VCA",$Q1190="LINEAR"),$M1190,IF(AND($N1190="VCA",$Q1190="PREDIAL"),0,0)))</f>
        <v>145.41</v>
      </c>
      <c r="AN1190" s="153" t="n">
        <f aca="false">ROUND(IF(AND($N1190="VCA",$M1190&lt;&gt;"",$Q1190="LINEAR"),$M1190/100,IF(AND($N1190="MND",$M1190&gt;100,$Q1190="EMBOQUE"),$M1190/100,0)),0)</f>
        <v>1</v>
      </c>
      <c r="AO1190" s="153" t="n">
        <f aca="false">IF(AND($N1190="MND",$Q1190="EMBOQUE"),$AN1190*2*2,IF(AND($N1190="VCA",$Q1190="LINEAR"),$M1190*2,IF(AND($N1190="VCA",$Q1190="PREDIAL"),0,0)))</f>
        <v>290.82</v>
      </c>
      <c r="AP1190" s="153" t="n">
        <f aca="false">IFERROR($M1190*$AF1190*$AG1190,0)</f>
        <v>159.22395</v>
      </c>
      <c r="AQ1190" s="153" t="n">
        <f aca="false">IFERROR(IF(AND($N1190="VCA",$AH1190&gt;0),$M1190*$AG1190*$AH1190,0),0)</f>
        <v>10.90575</v>
      </c>
      <c r="AR1190" s="153" t="n">
        <f aca="false">IFERROR(IF(AND($N1190="VCA",$AJ1190&gt;0),($M1190*$AG1190*$AJ1190)-$AI1190,0),0)</f>
        <v>47.2428084783457</v>
      </c>
      <c r="AS1190" s="153" t="n">
        <f aca="false">IFERROR(IF(AND($N1190="VCA",$AP1190&gt;0),$AP1190-$AI1190-$AQ1190-$AR1190,0),0)</f>
        <v>98.15175</v>
      </c>
      <c r="AT1190" s="153" t="n">
        <f aca="false">IFERROR(IF($N1190="VCA",INDEX(APOIO_REDES!$A:$W,MATCH($C1190&amp;$I1190&amp;$H1190&amp;$N1190&amp;$O1190,APOIO_REDES!$W:$W,0),MATCH(AT$5,APOIO_REDES!$5:$5,0)),0)*$AP1190,0)</f>
        <v>1.73240370388356</v>
      </c>
      <c r="AU1190" s="153" t="n">
        <f aca="false">IFERROR(IF($N1190="VCA",INDEX(APOIO_REDES!$A:$W,MATCH($C1190&amp;$I1190&amp;$H1190&amp;$N1190&amp;$O1190,APOIO_REDES!$W:$W,0),MATCH(AU$5,APOIO_REDES!$5:$5,0)),0)*$AP1190,0)</f>
        <v>1.38345067847876</v>
      </c>
      <c r="AV1190" s="153" t="n">
        <f aca="false">IFERROR(IF($N1190="VCA",INDEX(APOIO_REDES!$A:$W,MATCH($C1190&amp;$I1190&amp;$H1190&amp;$N1190&amp;$O1190,APOIO_REDES!$W:$W,0),MATCH(AV$5,APOIO_REDES!$5:$5,0)),0)*$AP1190,0)</f>
        <v>0.191458713387815</v>
      </c>
      <c r="AW1190" s="153" t="n">
        <f aca="false">IFERROR(IF($N1190="VCA",INDEX(APOIO_REDES!$A:$W,MATCH($C1190&amp;$I1190&amp;$H1190&amp;$N1190&amp;$O1190,APOIO_REDES!$W:$W,0),MATCH(AW$5,APOIO_REDES!$5:$5,0)),0)*$AP1190,0)</f>
        <v>109.292553007368</v>
      </c>
      <c r="AX1190" s="153" t="n">
        <f aca="false">IFERROR(IF($N1190="VCA",INDEX(APOIO_REDES!$A:$W,MATCH($C1190&amp;$I1190&amp;$H1190&amp;$N1190&amp;$O1190,APOIO_REDES!$W:$W,0),MATCH(AX$5,APOIO_REDES!$5:$5,0)),0)*$AP1190,0)</f>
        <v>15.1257780104894</v>
      </c>
      <c r="AY1190" s="153" t="n">
        <f aca="false">IFERROR(IF($N1190="VCA",INDEX(APOIO_REDES!$A:$W,MATCH($C1190&amp;$I1190&amp;$H1190&amp;$N1190&amp;$O1190,APOIO_REDES!$W:$W,0),MATCH(AY$5,APOIO_REDES!$5:$5,0)),0)*$AP1190,0)</f>
        <v>27.6689967054237</v>
      </c>
      <c r="AZ1190" s="153" t="n">
        <f aca="false">IFERROR(IF($N1190="VCA",INDEX(APOIO_REDES!$A:$W,MATCH($C1190&amp;$I1190&amp;$H1190&amp;$N1190&amp;$O1190,APOIO_REDES!$W:$W,0),MATCH(AZ$5,APOIO_REDES!$5:$5,0)),0)*$AP1190,0)</f>
        <v>3.8293091809693</v>
      </c>
      <c r="BA1190" s="153" t="n">
        <f aca="false">IFERROR(IF(AND($N1190="VCA",$Q1190="LINEAR"),INDEX(APOIO_REDES!$A:$W,MATCH($C1190&amp;$I1190&amp;$H1190&amp;$N1190&amp;$O1190,APOIO_REDES!$W:$W,0),MATCH(BA$5,APOIO_REDES!$5:$5,0)),IF(AND($N1190="MND",$Q1190="EMBOQUE"),INDEX(APOIO_REDES!$A:$W,MATCH($C1190&amp;$I1190&amp;$H1190&amp;$N1190&amp;$O1190,APOIO_REDES!$W:$W,0),MATCH(BA$5,APOIO_REDES!$5:$5,0)),0))*$M1190/10,0)</f>
        <v>11.7196792148759</v>
      </c>
      <c r="BB1190" s="153" t="n">
        <f aca="false">IFERROR(IF($N1190="VCA",INDEX(APOIO_REDES!$A:$W,MATCH($C1190&amp;$I1190&amp;$H1190&amp;$N1190&amp;$O1190,APOIO_REDES!$W:$W,0),MATCH(BB$5,APOIO_REDES!$5:$5,0)),0)*($AI1190+$AQ1190+$AR1190),0)</f>
        <v>60.4077163875515</v>
      </c>
      <c r="BC1190" s="153" t="n">
        <f aca="false">IFERROR(IF($N1190="VCA",INDEX(APOIO_REDES!$A:$W,MATCH($C1190&amp;$I1190&amp;$H1190&amp;$N1190&amp;$O1190,APOIO_REDES!$W:$W,0),MATCH(BC$5,APOIO_REDES!$5:$5,0)),0)*($AI1190+$AQ1190+$AR1190),0)</f>
        <v>0.66448361244849</v>
      </c>
      <c r="BD1190" s="153" t="n">
        <f aca="false">IF(AND($N1190="VCA",$AF1190&gt;=1.25,$AF1190&lt;1.5),$M1190*$AF1190*2,0)</f>
        <v>424.5972</v>
      </c>
      <c r="BE1190" s="153" t="n">
        <f aca="false">IF(AND($N1190="VCA",$AF1190&gt;=1.5,$AF1190&lt;3),$M1190*$AF1190*2,0)</f>
        <v>0</v>
      </c>
      <c r="BF1190" s="153" t="n">
        <f aca="false">IF(AND($N1190="VCA",$AF1190&gt;=3),$M1190*$AF1190*2,0)</f>
        <v>0</v>
      </c>
      <c r="BG1190" s="153" t="n">
        <f aca="false">($BB1190+$BC1190)*$AK1190</f>
        <v>274.8249</v>
      </c>
      <c r="BH1190" s="153" t="n">
        <f aca="false">IF(AND($M1190&lt;&gt;"",$N1190="VCA",$Q1190="LINEAR"),($M1190*2)/100,IF(AND($M1190&lt;&gt;"",$N1190="MND",$Q1190="EMBOQUE"),($AN1190*2)/100,0))</f>
        <v>2.9082</v>
      </c>
      <c r="BI1190" s="153" t="n">
        <f aca="false">IF(AND($M1190&lt;&gt;"",$N1190="VCA",$Q1190="LINEAR"),$M1190,IF(AND($M1190&lt;&gt;"",$N1190="MND",$Q1190="EMBOQUE"),$AN1190*2,0))</f>
        <v>145.41</v>
      </c>
      <c r="BJ1190" s="153" t="n">
        <f aca="false">IF(AND($M1190&lt;&gt;"",$N1190="VCA",$Q1190="LINEAR"),($M1190*6.8)/100,IF(AND($M1190&lt;&gt;"",$N1190="MND",$Q1190="EMBOQUE"),($AN1190*2*6.8)/100,0))</f>
        <v>9.88788</v>
      </c>
      <c r="BK1190" s="153" t="n">
        <f aca="false">IF(AND($M1190&lt;&gt;"",$N1190="VCA",$Q1190="LINEAR"),($M1190*2.5)/50,IF(AND($M1190&lt;&gt;"",$N1190="MND",$Q1190="EMBOQUE"),($AN1190*2*2.5)/50,0))</f>
        <v>7.2705</v>
      </c>
      <c r="BL1190" s="157" t="str">
        <f aca="false">K1190&amp;J1190</f>
        <v>Zona10REDES</v>
      </c>
      <c r="BM1190" s="152" t="s">
        <v>5703</v>
      </c>
      <c r="BN1190" s="152" t="s">
        <v>1560</v>
      </c>
      <c r="BO1190" s="152" t="s">
        <v>4004</v>
      </c>
      <c r="BP1190" s="152" t="s">
        <v>2032</v>
      </c>
      <c r="BQ1190" s="152" t="s">
        <v>6040</v>
      </c>
      <c r="BR1190" s="152" t="s">
        <v>5123</v>
      </c>
      <c r="BS1190" s="152" t="n">
        <v>203476.872</v>
      </c>
      <c r="BT1190" s="152" t="n">
        <v>8236999.667</v>
      </c>
      <c r="BU1190" s="152" t="n">
        <v>203490.521</v>
      </c>
      <c r="BV1190" s="152" t="n">
        <v>8236857.135</v>
      </c>
      <c r="BW1190" s="152" t="n">
        <v>-15.9291864</v>
      </c>
      <c r="BX1190" s="152" t="n">
        <v>-47.7694208</v>
      </c>
      <c r="BY1190" s="152" t="s">
        <v>6040</v>
      </c>
    </row>
    <row r="1191" customFormat="false" ht="13.8" hidden="false" customHeight="false" outlineLevel="0" collapsed="false">
      <c r="A1191" s="149" t="n">
        <f aca="false">IF(C1191&lt;&gt;"",ROW(A1186),"")</f>
        <v>1186</v>
      </c>
      <c r="B1191" s="150" t="str">
        <f aca="false">HYPERLINK("https://www.google.com/maps/dir/-15.917302,-47.760003/-15.9294966,-47.7686178/data=!4m3!4m2!3e0!5i0")</f>
        <v>https://www.google.com/maps/dir/-15.917302,-47.760003/-15.9294966,-47.7686178/data=!4m3!4m2!3e0!5i0</v>
      </c>
      <c r="C1191" s="151" t="s">
        <v>117</v>
      </c>
      <c r="D1191" s="152" t="s">
        <v>112</v>
      </c>
      <c r="E1191" s="152" t="s">
        <v>113</v>
      </c>
      <c r="F1191" s="152" t="s">
        <v>117</v>
      </c>
      <c r="G1191" s="152" t="s">
        <v>782</v>
      </c>
      <c r="H1191" s="152" t="n">
        <v>63</v>
      </c>
      <c r="I1191" s="152" t="s">
        <v>115</v>
      </c>
      <c r="J1191" s="152" t="s">
        <v>6</v>
      </c>
      <c r="K1191" s="152" t="s">
        <v>5700</v>
      </c>
      <c r="L1191" s="152" t="s">
        <v>120</v>
      </c>
      <c r="M1191" s="153" t="n">
        <f aca="false">64.68+0.64</f>
        <v>65.32</v>
      </c>
      <c r="N1191" s="152" t="s">
        <v>1548</v>
      </c>
      <c r="O1191" s="152" t="s">
        <v>1549</v>
      </c>
      <c r="P1191" s="152" t="s">
        <v>1550</v>
      </c>
      <c r="Q1191" s="152" t="s">
        <v>1551</v>
      </c>
      <c r="R1191" s="154" t="s">
        <v>6041</v>
      </c>
      <c r="S1191" s="154" t="s">
        <v>1553</v>
      </c>
      <c r="T1191" s="155" t="s">
        <v>4002</v>
      </c>
      <c r="U1191" s="152" t="str">
        <f aca="false">RIGHT(T1191,7)</f>
        <v>015/037</v>
      </c>
      <c r="V1191" s="152" t="s">
        <v>1555</v>
      </c>
      <c r="W1191" s="156" t="n">
        <v>45882</v>
      </c>
      <c r="X1191" s="152" t="s">
        <v>1594</v>
      </c>
      <c r="Y1191" s="152" t="s">
        <v>2387</v>
      </c>
      <c r="Z1191" s="152" t="s">
        <v>1557</v>
      </c>
      <c r="AA1191" s="153" t="n">
        <v>2.3</v>
      </c>
      <c r="AB1191" s="151" t="s">
        <v>6042</v>
      </c>
      <c r="AC1191" s="151" t="s">
        <v>186</v>
      </c>
      <c r="AD1191" s="151" t="str">
        <f aca="false">CONCATENATE($C1191,$I1191,$H1191,$N1191,$J1191,$K1191)</f>
        <v>TUBO PEADPEAD63VCAREDESZona10</v>
      </c>
      <c r="AE1191" s="153" t="n">
        <f aca="false">IFERROR(INDEX(APOIO_REDES!$A:$W,MATCH($C1191&amp;$I1191&amp;$H1191&amp;$N1191&amp;$O1191,APOIO_REDES!$W:$W,0),MATCH(AE$5,APOIO_REDES!$5:$5,0)),0)</f>
        <v>1.2</v>
      </c>
      <c r="AF1191" s="153" t="n">
        <f aca="false">IFERROR(INDEX(APOIO_REDES!$A:$W,MATCH($C1191&amp;$I1191&amp;$H1191&amp;$N1191&amp;$O1191,APOIO_REDES!$W:$W,0),MATCH(AF$5,APOIO_REDES!$5:$5,0)),0)</f>
        <v>1.363</v>
      </c>
      <c r="AG1191" s="153" t="n">
        <f aca="false">IFERROR(INDEX(APOIO_REDES!$A:$W,MATCH($C1191&amp;$I1191&amp;$H1191&amp;$N1191&amp;$O1191,APOIO_REDES!$W:$W,0),MATCH(AG$5,APOIO_REDES!$5:$5,0)),0)</f>
        <v>0.65</v>
      </c>
      <c r="AH1191" s="153" t="n">
        <f aca="false">IFERROR(INDEX(APOIO_REDES!$A:$W,MATCH($C1191&amp;$I1191&amp;$H1191&amp;$N1191&amp;$O1191,APOIO_REDES!$W:$W,0),MATCH(AH$5,APOIO_REDES!$5:$5,0)),0)</f>
        <v>0.1</v>
      </c>
      <c r="AI1191" s="153" t="n">
        <f aca="false">IFERROR(IF($H1191&lt;&gt;"",(((($H1191/1000)/2)^2)*PI()*$M1191),0),0)</f>
        <v>0.203618463683459</v>
      </c>
      <c r="AJ1191" s="153" t="n">
        <f aca="false">IFERROR(IF(AND($H1191&lt;&gt;"",$I1191="FoFo",OR($N1191="MND",$N1191="VCA"),$Q1191="LINEAR"),0,IF(AND($H1191&lt;&gt;"",$I1191="PEAD",$N1191="VCA",$Q1191="LINEAR"),($H1191/1000)+0.3,IF(AND($H1191&lt;&gt;"",$I1191="PEAD",$N1191="MND",$Q1191="EMBOQUE"),0,IF(AND($H1191&lt;&gt;"",$I1191="PVC",$N1191="VCA",$Q1191="LINEAR"),($H1191/1000)+0.2,IF(AND($H1191&lt;&gt;"",$I1191="PVC",$N1191="MND",$Q1191="EMBOQUE"),0,IF(AND($H1191&lt;&gt;"",$I1191="PEAD",$N1191="VCA",$Q1191="PREDIAL"),0,0)))))),0)</f>
        <v>0.363</v>
      </c>
      <c r="AK1191" s="153" t="n">
        <f aca="false">IF(AA1191&lt;&gt;"",AA1191,0)</f>
        <v>2.3</v>
      </c>
      <c r="AL1191" s="153" t="n">
        <f aca="false">IF(AND($N1191="MND",$Q1191="EMBOQUE"),$M1191,IF(AND($N1191="VCA",$Q1191="LINEAR"),$M1191,IF(AND($N1191="VCA",$Q1191="PREDIAL"),0,0)))</f>
        <v>65.32</v>
      </c>
      <c r="AM1191" s="153" t="n">
        <f aca="false">IF(AND($N1191="MND",$Q1191="EMBOQUE"),$M1191,IF(AND($N1191="VCA",$Q1191="LINEAR"),$M1191,IF(AND($N1191="VCA",$Q1191="PREDIAL"),0,0)))</f>
        <v>65.32</v>
      </c>
      <c r="AN1191" s="153" t="n">
        <f aca="false">ROUND(IF(AND($N1191="VCA",$M1191&lt;&gt;"",$Q1191="LINEAR"),$M1191/100,IF(AND($N1191="MND",$M1191&gt;100,$Q1191="EMBOQUE"),$M1191/100,0)),0)</f>
        <v>1</v>
      </c>
      <c r="AO1191" s="153" t="n">
        <f aca="false">IF(AND($N1191="MND",$Q1191="EMBOQUE"),$AN1191*2*2,IF(AND($N1191="VCA",$Q1191="LINEAR"),$M1191*2,IF(AND($N1191="VCA",$Q1191="PREDIAL"),0,0)))</f>
        <v>130.64</v>
      </c>
      <c r="AP1191" s="153" t="n">
        <f aca="false">IFERROR($M1191*$AF1191*$AG1191,0)</f>
        <v>57.870254</v>
      </c>
      <c r="AQ1191" s="153" t="n">
        <f aca="false">IFERROR(IF(AND($N1191="VCA",$AH1191&gt;0),$M1191*$AG1191*$AH1191,0),0)</f>
        <v>4.2458</v>
      </c>
      <c r="AR1191" s="153" t="n">
        <f aca="false">IFERROR(IF(AND($N1191="VCA",$AJ1191&gt;0),($M1191*$AG1191*$AJ1191)-$AI1191,0),0)</f>
        <v>15.2086355363165</v>
      </c>
      <c r="AS1191" s="153" t="n">
        <f aca="false">IFERROR(IF(AND($N1191="VCA",$AP1191&gt;0),$AP1191-$AI1191-$AQ1191-$AR1191,0),0)</f>
        <v>38.2122</v>
      </c>
      <c r="AT1191" s="153" t="n">
        <f aca="false">IFERROR(IF($N1191="VCA",INDEX(APOIO_REDES!$A:$W,MATCH($C1191&amp;$I1191&amp;$H1191&amp;$N1191&amp;$O1191,APOIO_REDES!$W:$W,0),MATCH(AT$5,APOIO_REDES!$5:$5,0)),0)*$AP1191,0)</f>
        <v>0.62964549224085</v>
      </c>
      <c r="AU1191" s="153" t="n">
        <f aca="false">IFERROR(IF($N1191="VCA",INDEX(APOIO_REDES!$A:$W,MATCH($C1191&amp;$I1191&amp;$H1191&amp;$N1191&amp;$O1191,APOIO_REDES!$W:$W,0),MATCH(AU$5,APOIO_REDES!$5:$5,0)),0)*$AP1191,0)</f>
        <v>0.502817837140948</v>
      </c>
      <c r="AV1191" s="153" t="n">
        <f aca="false">IFERROR(IF($N1191="VCA",INDEX(APOIO_REDES!$A:$W,MATCH($C1191&amp;$I1191&amp;$H1191&amp;$N1191&amp;$O1191,APOIO_REDES!$W:$W,0),MATCH(AV$5,APOIO_REDES!$5:$5,0)),0)*$AP1191,0)</f>
        <v>0.0695860413855206</v>
      </c>
      <c r="AW1191" s="153" t="n">
        <f aca="false">IFERROR(IF($N1191="VCA",INDEX(APOIO_REDES!$A:$W,MATCH($C1191&amp;$I1191&amp;$H1191&amp;$N1191&amp;$O1191,APOIO_REDES!$W:$W,0),MATCH(AW$5,APOIO_REDES!$5:$5,0)),0)*$AP1191,0)</f>
        <v>39.7225907462089</v>
      </c>
      <c r="AX1191" s="153" t="n">
        <f aca="false">IFERROR(IF($N1191="VCA",INDEX(APOIO_REDES!$A:$W,MATCH($C1191&amp;$I1191&amp;$H1191&amp;$N1191&amp;$O1191,APOIO_REDES!$W:$W,0),MATCH(AX$5,APOIO_REDES!$5:$5,0)),0)*$AP1191,0)</f>
        <v>5.49749340733372</v>
      </c>
      <c r="AY1191" s="153" t="n">
        <f aca="false">IFERROR(IF($N1191="VCA",INDEX(APOIO_REDES!$A:$W,MATCH($C1191&amp;$I1191&amp;$H1191&amp;$N1191&amp;$O1191,APOIO_REDES!$W:$W,0),MATCH(AY$5,APOIO_REDES!$5:$5,0)),0)*$AP1191,0)</f>
        <v>10.0563506135103</v>
      </c>
      <c r="AZ1191" s="153" t="n">
        <f aca="false">IFERROR(IF($N1191="VCA",INDEX(APOIO_REDES!$A:$W,MATCH($C1191&amp;$I1191&amp;$H1191&amp;$N1191&amp;$O1191,APOIO_REDES!$W:$W,0),MATCH(AZ$5,APOIO_REDES!$5:$5,0)),0)*$AP1191,0)</f>
        <v>1.39176986217981</v>
      </c>
      <c r="BA1191" s="153" t="n">
        <f aca="false">IFERROR(IF(AND($N1191="VCA",$Q1191="LINEAR"),INDEX(APOIO_REDES!$A:$W,MATCH($C1191&amp;$I1191&amp;$H1191&amp;$N1191&amp;$O1191,APOIO_REDES!$W:$W,0),MATCH(BA$5,APOIO_REDES!$5:$5,0)),IF(AND($N1191="MND",$Q1191="EMBOQUE"),INDEX(APOIO_REDES!$A:$W,MATCH($C1191&amp;$I1191&amp;$H1191&amp;$N1191&amp;$O1191,APOIO_REDES!$W:$W,0),MATCH(BA$5,APOIO_REDES!$5:$5,0)),0))*$M1191/10,0)</f>
        <v>5.26462723551125</v>
      </c>
      <c r="BB1191" s="153" t="n">
        <f aca="false">IFERROR(IF($N1191="VCA",INDEX(APOIO_REDES!$A:$W,MATCH($C1191&amp;$I1191&amp;$H1191&amp;$N1191&amp;$O1191,APOIO_REDES!$W:$W,0),MATCH(BB$5,APOIO_REDES!$5:$5,0)),0)*($AI1191+$AQ1191+$AR1191),0)</f>
        <v>19.444168553993</v>
      </c>
      <c r="BC1191" s="153" t="n">
        <f aca="false">IFERROR(IF($N1191="VCA",INDEX(APOIO_REDES!$A:$W,MATCH($C1191&amp;$I1191&amp;$H1191&amp;$N1191&amp;$O1191,APOIO_REDES!$W:$W,0),MATCH(BC$5,APOIO_REDES!$5:$5,0)),0)*($AI1191+$AQ1191+$AR1191),0)</f>
        <v>0.21388544600698</v>
      </c>
      <c r="BD1191" s="153" t="n">
        <f aca="false">IF(AND($N1191="VCA",$AF1191&gt;=1.25,$AF1191&lt;1.5),$M1191*$AF1191*2,0)</f>
        <v>178.06232</v>
      </c>
      <c r="BE1191" s="153" t="n">
        <f aca="false">IF(AND($N1191="VCA",$AF1191&gt;=1.5,$AF1191&lt;3),$M1191*$AF1191*2,0)</f>
        <v>0</v>
      </c>
      <c r="BF1191" s="153" t="n">
        <f aca="false">IF(AND($N1191="VCA",$AF1191&gt;=3),$M1191*$AF1191*2,0)</f>
        <v>0</v>
      </c>
      <c r="BG1191" s="153" t="n">
        <f aca="false">($BB1191+$BC1191)*$AK1191</f>
        <v>45.2135242</v>
      </c>
      <c r="BH1191" s="153" t="n">
        <f aca="false">IF(AND($M1191&lt;&gt;"",$N1191="VCA",$Q1191="LINEAR"),($M1191*2)/100,IF(AND($M1191&lt;&gt;"",$N1191="MND",$Q1191="EMBOQUE"),($AN1191*2)/100,0))</f>
        <v>1.3064</v>
      </c>
      <c r="BI1191" s="153" t="n">
        <f aca="false">IF(AND($M1191&lt;&gt;"",$N1191="VCA",$Q1191="LINEAR"),$M1191,IF(AND($M1191&lt;&gt;"",$N1191="MND",$Q1191="EMBOQUE"),$AN1191*2,0))</f>
        <v>65.32</v>
      </c>
      <c r="BJ1191" s="153" t="n">
        <f aca="false">IF(AND($M1191&lt;&gt;"",$N1191="VCA",$Q1191="LINEAR"),($M1191*6.8)/100,IF(AND($M1191&lt;&gt;"",$N1191="MND",$Q1191="EMBOQUE"),($AN1191*2*6.8)/100,0))</f>
        <v>4.44176</v>
      </c>
      <c r="BK1191" s="153" t="n">
        <f aca="false">IF(AND($M1191&lt;&gt;"",$N1191="VCA",$Q1191="LINEAR"),($M1191*2.5)/50,IF(AND($M1191&lt;&gt;"",$N1191="MND",$Q1191="EMBOQUE"),($AN1191*2*2.5)/50,0))</f>
        <v>3.266</v>
      </c>
      <c r="BL1191" s="157" t="str">
        <f aca="false">K1191&amp;J1191</f>
        <v>Zona10REDES</v>
      </c>
      <c r="BM1191" s="152" t="s">
        <v>5703</v>
      </c>
      <c r="BN1191" s="152" t="s">
        <v>1560</v>
      </c>
      <c r="BO1191" s="152" t="s">
        <v>4004</v>
      </c>
      <c r="BP1191" s="152" t="s">
        <v>6043</v>
      </c>
      <c r="BQ1191" s="152" t="s">
        <v>6030</v>
      </c>
      <c r="BR1191" s="152" t="s">
        <v>6044</v>
      </c>
      <c r="BS1191" s="152" t="n">
        <v>203578.926</v>
      </c>
      <c r="BT1191" s="152" t="n">
        <v>8236896.612</v>
      </c>
      <c r="BU1191" s="152" t="n">
        <v>203636.476</v>
      </c>
      <c r="BV1191" s="152" t="n">
        <v>8236925.502</v>
      </c>
      <c r="BW1191" s="152" t="n">
        <v>-15.9293861</v>
      </c>
      <c r="BX1191" s="152" t="n">
        <v>-47.7683394</v>
      </c>
      <c r="BY1191" s="152" t="s">
        <v>6043</v>
      </c>
    </row>
    <row r="1192" customFormat="false" ht="13.8" hidden="false" customHeight="false" outlineLevel="0" collapsed="false">
      <c r="A1192" s="149" t="n">
        <f aca="false">IF(C1192&lt;&gt;"",ROW(A1187),"")</f>
        <v>1187</v>
      </c>
      <c r="B1192" s="150" t="str">
        <f aca="false">HYPERLINK("https://www.google.com/maps/dir/-15.917302,-47.760003/-15.9296073,-47.7694067/data=!4m3!4m2!3e0!5i2")</f>
        <v>https://www.google.com/maps/dir/-15.917302,-47.760003/-15.9296073,-47.7694067/data=!4m3!4m2!3e0!5i2</v>
      </c>
      <c r="C1192" s="151" t="s">
        <v>117</v>
      </c>
      <c r="D1192" s="152" t="s">
        <v>112</v>
      </c>
      <c r="E1192" s="152" t="s">
        <v>113</v>
      </c>
      <c r="F1192" s="152" t="s">
        <v>117</v>
      </c>
      <c r="G1192" s="152" t="s">
        <v>114</v>
      </c>
      <c r="H1192" s="152" t="n">
        <v>160</v>
      </c>
      <c r="I1192" s="152" t="s">
        <v>115</v>
      </c>
      <c r="J1192" s="152" t="s">
        <v>6</v>
      </c>
      <c r="K1192" s="152" t="s">
        <v>5700</v>
      </c>
      <c r="L1192" s="152" t="s">
        <v>120</v>
      </c>
      <c r="M1192" s="153" t="n">
        <f aca="false">39.64+0.8</f>
        <v>40.44</v>
      </c>
      <c r="N1192" s="152" t="s">
        <v>1548</v>
      </c>
      <c r="O1192" s="152" t="s">
        <v>1549</v>
      </c>
      <c r="P1192" s="152" t="s">
        <v>1550</v>
      </c>
      <c r="Q1192" s="152" t="s">
        <v>1551</v>
      </c>
      <c r="R1192" s="154" t="s">
        <v>6045</v>
      </c>
      <c r="S1192" s="154" t="s">
        <v>1593</v>
      </c>
      <c r="T1192" s="155" t="s">
        <v>4002</v>
      </c>
      <c r="U1192" s="152" t="str">
        <f aca="false">RIGHT(T1192,7)</f>
        <v>015/037</v>
      </c>
      <c r="V1192" s="152" t="s">
        <v>1555</v>
      </c>
      <c r="W1192" s="156" t="n">
        <v>45882</v>
      </c>
      <c r="X1192" s="152" t="s">
        <v>1594</v>
      </c>
      <c r="Y1192" s="152" t="s">
        <v>2387</v>
      </c>
      <c r="Z1192" s="152" t="s">
        <v>1557</v>
      </c>
      <c r="AA1192" s="153" t="n">
        <v>4.5</v>
      </c>
      <c r="AB1192" s="151" t="s">
        <v>6046</v>
      </c>
      <c r="AC1192" s="151" t="s">
        <v>505</v>
      </c>
      <c r="AD1192" s="151" t="str">
        <f aca="false">CONCATENATE($C1192,$I1192,$H1192,$N1192,$J1192,$K1192)</f>
        <v>TUBO PEADPEAD160VCAREDESZona10</v>
      </c>
      <c r="AE1192" s="153" t="n">
        <f aca="false">IFERROR(INDEX(APOIO_REDES!$A:$W,MATCH($C1192&amp;$I1192&amp;$H1192&amp;$N1192&amp;$O1192,APOIO_REDES!$W:$W,0),MATCH(AE$5,APOIO_REDES!$5:$5,0)),0)</f>
        <v>1.2</v>
      </c>
      <c r="AF1192" s="153" t="n">
        <f aca="false">IFERROR(INDEX(APOIO_REDES!$A:$W,MATCH($C1192&amp;$I1192&amp;$H1192&amp;$N1192&amp;$O1192,APOIO_REDES!$W:$W,0),MATCH(AF$5,APOIO_REDES!$5:$5,0)),0)</f>
        <v>1.46</v>
      </c>
      <c r="AG1192" s="153" t="n">
        <f aca="false">IFERROR(INDEX(APOIO_REDES!$A:$W,MATCH($C1192&amp;$I1192&amp;$H1192&amp;$N1192&amp;$O1192,APOIO_REDES!$W:$W,0),MATCH(AG$5,APOIO_REDES!$5:$5,0)),0)</f>
        <v>0.75</v>
      </c>
      <c r="AH1192" s="153" t="n">
        <f aca="false">IFERROR(INDEX(APOIO_REDES!$A:$W,MATCH($C1192&amp;$I1192&amp;$H1192&amp;$N1192&amp;$O1192,APOIO_REDES!$W:$W,0),MATCH(AH$5,APOIO_REDES!$5:$5,0)),0)</f>
        <v>0.1</v>
      </c>
      <c r="AI1192" s="153" t="n">
        <f aca="false">IFERROR(IF($H1192&lt;&gt;"",(((($H1192/1000)/2)^2)*PI()*$M1192),0),0)</f>
        <v>0.813094444231496</v>
      </c>
      <c r="AJ1192" s="153" t="n">
        <f aca="false">IFERROR(IF(AND($H1192&lt;&gt;"",$I1192="FoFo",OR($N1192="MND",$N1192="VCA"),$Q1192="LINEAR"),0,IF(AND($H1192&lt;&gt;"",$I1192="PEAD",$N1192="VCA",$Q1192="LINEAR"),($H1192/1000)+0.3,IF(AND($H1192&lt;&gt;"",$I1192="PEAD",$N1192="MND",$Q1192="EMBOQUE"),0,IF(AND($H1192&lt;&gt;"",$I1192="PVC",$N1192="VCA",$Q1192="LINEAR"),($H1192/1000)+0.2,IF(AND($H1192&lt;&gt;"",$I1192="PVC",$N1192="MND",$Q1192="EMBOQUE"),0,IF(AND($H1192&lt;&gt;"",$I1192="PEAD",$N1192="VCA",$Q1192="PREDIAL"),0,0)))))),0)</f>
        <v>0.46</v>
      </c>
      <c r="AK1192" s="153" t="n">
        <f aca="false">IF(AA1192&lt;&gt;"",AA1192,0)</f>
        <v>4.5</v>
      </c>
      <c r="AL1192" s="153" t="n">
        <f aca="false">IF(AND($N1192="MND",$Q1192="EMBOQUE"),$M1192,IF(AND($N1192="VCA",$Q1192="LINEAR"),$M1192,IF(AND($N1192="VCA",$Q1192="PREDIAL"),0,0)))</f>
        <v>40.44</v>
      </c>
      <c r="AM1192" s="153" t="n">
        <f aca="false">IF(AND($N1192="MND",$Q1192="EMBOQUE"),$M1192,IF(AND($N1192="VCA",$Q1192="LINEAR"),$M1192,IF(AND($N1192="VCA",$Q1192="PREDIAL"),0,0)))</f>
        <v>40.44</v>
      </c>
      <c r="AN1192" s="153" t="n">
        <f aca="false">ROUND(IF(AND($N1192="VCA",$M1192&lt;&gt;"",$Q1192="LINEAR"),$M1192/100,IF(AND($N1192="MND",$M1192&gt;100,$Q1192="EMBOQUE"),$M1192/100,0)),0)</f>
        <v>0</v>
      </c>
      <c r="AO1192" s="153" t="n">
        <f aca="false">IF(AND($N1192="MND",$Q1192="EMBOQUE"),$AN1192*2*2,IF(AND($N1192="VCA",$Q1192="LINEAR"),$M1192*2,IF(AND($N1192="VCA",$Q1192="PREDIAL"),0,0)))</f>
        <v>80.88</v>
      </c>
      <c r="AP1192" s="153" t="n">
        <f aca="false">IFERROR($M1192*$AF1192*$AG1192,0)</f>
        <v>44.2818</v>
      </c>
      <c r="AQ1192" s="153" t="n">
        <f aca="false">IFERROR(IF(AND($N1192="VCA",$AH1192&gt;0),$M1192*$AG1192*$AH1192,0),0)</f>
        <v>3.033</v>
      </c>
      <c r="AR1192" s="153" t="n">
        <f aca="false">IFERROR(IF(AND($N1192="VCA",$AJ1192&gt;0),($M1192*$AG1192*$AJ1192)-$AI1192,0),0)</f>
        <v>13.1387055557685</v>
      </c>
      <c r="AS1192" s="153" t="n">
        <f aca="false">IFERROR(IF(AND($N1192="VCA",$AP1192&gt;0),$AP1192-$AI1192-$AQ1192-$AR1192,0),0)</f>
        <v>27.297</v>
      </c>
      <c r="AT1192" s="153" t="n">
        <f aca="false">IFERROR(IF($N1192="VCA",INDEX(APOIO_REDES!$A:$W,MATCH($C1192&amp;$I1192&amp;$H1192&amp;$N1192&amp;$O1192,APOIO_REDES!$W:$W,0),MATCH(AT$5,APOIO_REDES!$5:$5,0)),0)*$AP1192,0)</f>
        <v>0.481799090743768</v>
      </c>
      <c r="AU1192" s="153" t="n">
        <f aca="false">IFERROR(IF($N1192="VCA",INDEX(APOIO_REDES!$A:$W,MATCH($C1192&amp;$I1192&amp;$H1192&amp;$N1192&amp;$O1192,APOIO_REDES!$W:$W,0),MATCH(AU$5,APOIO_REDES!$5:$5,0)),0)*$AP1192,0)</f>
        <v>0.384751705093743</v>
      </c>
      <c r="AV1192" s="153" t="n">
        <f aca="false">IFERROR(IF($N1192="VCA",INDEX(APOIO_REDES!$A:$W,MATCH($C1192&amp;$I1192&amp;$H1192&amp;$N1192&amp;$O1192,APOIO_REDES!$W:$W,0),MATCH(AV$5,APOIO_REDES!$5:$5,0)),0)*$AP1192,0)</f>
        <v>0.0532466155656643</v>
      </c>
      <c r="AW1192" s="153" t="n">
        <f aca="false">IFERROR(IF($N1192="VCA",INDEX(APOIO_REDES!$A:$W,MATCH($C1192&amp;$I1192&amp;$H1192&amp;$N1192&amp;$O1192,APOIO_REDES!$W:$W,0),MATCH(AW$5,APOIO_REDES!$5:$5,0)),0)*$AP1192,0)</f>
        <v>30.3953706321294</v>
      </c>
      <c r="AX1192" s="153" t="n">
        <f aca="false">IFERROR(IF($N1192="VCA",INDEX(APOIO_REDES!$A:$W,MATCH($C1192&amp;$I1192&amp;$H1192&amp;$N1192&amp;$O1192,APOIO_REDES!$W:$W,0),MATCH(AX$5,APOIO_REDES!$5:$5,0)),0)*$AP1192,0)</f>
        <v>4.20663271263455</v>
      </c>
      <c r="AY1192" s="153" t="n">
        <f aca="false">IFERROR(IF($N1192="VCA",INDEX(APOIO_REDES!$A:$W,MATCH($C1192&amp;$I1192&amp;$H1192&amp;$N1192&amp;$O1192,APOIO_REDES!$W:$W,0),MATCH(AY$5,APOIO_REDES!$5:$5,0)),0)*$AP1192,0)</f>
        <v>7.69502941178277</v>
      </c>
      <c r="AZ1192" s="153" t="n">
        <f aca="false">IFERROR(IF($N1192="VCA",INDEX(APOIO_REDES!$A:$W,MATCH($C1192&amp;$I1192&amp;$H1192&amp;$N1192&amp;$O1192,APOIO_REDES!$W:$W,0),MATCH(AZ$5,APOIO_REDES!$5:$5,0)),0)*$AP1192,0)</f>
        <v>1.06496983205005</v>
      </c>
      <c r="BA1192" s="153" t="n">
        <f aca="false">IFERROR(IF(AND($N1192="VCA",$Q1192="LINEAR"),INDEX(APOIO_REDES!$A:$W,MATCH($C1192&amp;$I1192&amp;$H1192&amp;$N1192&amp;$O1192,APOIO_REDES!$W:$W,0),MATCH(BA$5,APOIO_REDES!$5:$5,0)),IF(AND($N1192="MND",$Q1192="EMBOQUE"),INDEX(APOIO_REDES!$A:$W,MATCH($C1192&amp;$I1192&amp;$H1192&amp;$N1192&amp;$O1192,APOIO_REDES!$W:$W,0),MATCH(BA$5,APOIO_REDES!$5:$5,0)),0))*$M1192/10,0)</f>
        <v>3.25936199332631</v>
      </c>
      <c r="BB1192" s="153" t="n">
        <f aca="false">IFERROR(IF($N1192="VCA",INDEX(APOIO_REDES!$A:$W,MATCH($C1192&amp;$I1192&amp;$H1192&amp;$N1192&amp;$O1192,APOIO_REDES!$W:$W,0),MATCH(BB$5,APOIO_REDES!$5:$5,0)),0)*($AI1192+$AQ1192+$AR1192),0)</f>
        <v>16.8000003487558</v>
      </c>
      <c r="BC1192" s="153" t="n">
        <f aca="false">IFERROR(IF($N1192="VCA",INDEX(APOIO_REDES!$A:$W,MATCH($C1192&amp;$I1192&amp;$H1192&amp;$N1192&amp;$O1192,APOIO_REDES!$W:$W,0),MATCH(BC$5,APOIO_REDES!$5:$5,0)),0)*($AI1192+$AQ1192+$AR1192),0)</f>
        <v>0.184799651244185</v>
      </c>
      <c r="BD1192" s="153" t="n">
        <f aca="false">IF(AND($N1192="VCA",$AF1192&gt;=1.25,$AF1192&lt;1.5),$M1192*$AF1192*2,0)</f>
        <v>118.0848</v>
      </c>
      <c r="BE1192" s="153" t="n">
        <f aca="false">IF(AND($N1192="VCA",$AF1192&gt;=1.5,$AF1192&lt;3),$M1192*$AF1192*2,0)</f>
        <v>0</v>
      </c>
      <c r="BF1192" s="153" t="n">
        <f aca="false">IF(AND($N1192="VCA",$AF1192&gt;=3),$M1192*$AF1192*2,0)</f>
        <v>0</v>
      </c>
      <c r="BG1192" s="153" t="n">
        <f aca="false">($BB1192+$BC1192)*$AK1192</f>
        <v>76.4316</v>
      </c>
      <c r="BH1192" s="153" t="n">
        <f aca="false">IF(AND($M1192&lt;&gt;"",$N1192="VCA",$Q1192="LINEAR"),($M1192*2)/100,IF(AND($M1192&lt;&gt;"",$N1192="MND",$Q1192="EMBOQUE"),($AN1192*2)/100,0))</f>
        <v>0.8088</v>
      </c>
      <c r="BI1192" s="153" t="n">
        <f aca="false">IF(AND($M1192&lt;&gt;"",$N1192="VCA",$Q1192="LINEAR"),$M1192,IF(AND($M1192&lt;&gt;"",$N1192="MND",$Q1192="EMBOQUE"),$AN1192*2,0))</f>
        <v>40.44</v>
      </c>
      <c r="BJ1192" s="153" t="n">
        <f aca="false">IF(AND($M1192&lt;&gt;"",$N1192="VCA",$Q1192="LINEAR"),($M1192*6.8)/100,IF(AND($M1192&lt;&gt;"",$N1192="MND",$Q1192="EMBOQUE"),($AN1192*2*6.8)/100,0))</f>
        <v>2.74992</v>
      </c>
      <c r="BK1192" s="153" t="n">
        <f aca="false">IF(AND($M1192&lt;&gt;"",$N1192="VCA",$Q1192="LINEAR"),($M1192*2.5)/50,IF(AND($M1192&lt;&gt;"",$N1192="MND",$Q1192="EMBOQUE"),($AN1192*2*2.5)/50,0))</f>
        <v>2.022</v>
      </c>
      <c r="BL1192" s="157" t="str">
        <f aca="false">K1192&amp;J1192</f>
        <v>Zona10REDES</v>
      </c>
      <c r="BM1192" s="152" t="s">
        <v>5703</v>
      </c>
      <c r="BN1192" s="152" t="s">
        <v>1560</v>
      </c>
      <c r="BO1192" s="152" t="s">
        <v>4004</v>
      </c>
      <c r="BP1192" s="152" t="s">
        <v>6047</v>
      </c>
      <c r="BQ1192" s="152" t="s">
        <v>6026</v>
      </c>
      <c r="BR1192" s="152" t="s">
        <v>6048</v>
      </c>
      <c r="BS1192" s="152" t="n">
        <v>203494.576</v>
      </c>
      <c r="BT1192" s="152" t="n">
        <v>8236883.229</v>
      </c>
      <c r="BU1192" s="152" t="n">
        <v>203495.701</v>
      </c>
      <c r="BV1192" s="152" t="n">
        <v>8236922.823</v>
      </c>
      <c r="BW1192" s="152" t="n">
        <v>-15.9294285</v>
      </c>
      <c r="BX1192" s="152" t="n">
        <v>-47.7694012</v>
      </c>
      <c r="BY1192" s="152" t="s">
        <v>6047</v>
      </c>
    </row>
    <row r="1193" customFormat="false" ht="13.8" hidden="false" customHeight="false" outlineLevel="0" collapsed="false">
      <c r="A1193" s="149" t="n">
        <f aca="false">IF(C1193&lt;&gt;"",ROW(A1188),"")</f>
        <v>1188</v>
      </c>
      <c r="B1193" s="150" t="str">
        <f aca="false">HYPERLINK("https://www.google.com/maps/dir/-15.917302,-47.760003/-15.9296073,-47.7694067/data=!4m3!4m2!3e0!5i2")</f>
        <v>https://www.google.com/maps/dir/-15.917302,-47.760003/-15.9296073,-47.7694067/data=!4m3!4m2!3e0!5i2</v>
      </c>
      <c r="C1193" s="151" t="s">
        <v>117</v>
      </c>
      <c r="D1193" s="152" t="s">
        <v>112</v>
      </c>
      <c r="E1193" s="152" t="s">
        <v>113</v>
      </c>
      <c r="F1193" s="152" t="s">
        <v>117</v>
      </c>
      <c r="G1193" s="152" t="s">
        <v>782</v>
      </c>
      <c r="H1193" s="152" t="n">
        <v>63</v>
      </c>
      <c r="I1193" s="152" t="s">
        <v>115</v>
      </c>
      <c r="J1193" s="152" t="s">
        <v>6</v>
      </c>
      <c r="K1193" s="152" t="s">
        <v>5700</v>
      </c>
      <c r="L1193" s="152" t="s">
        <v>120</v>
      </c>
      <c r="M1193" s="153" t="n">
        <f aca="false">85.61</f>
        <v>85.61</v>
      </c>
      <c r="N1193" s="152" t="s">
        <v>1548</v>
      </c>
      <c r="O1193" s="152" t="s">
        <v>1549</v>
      </c>
      <c r="P1193" s="152" t="s">
        <v>1550</v>
      </c>
      <c r="Q1193" s="152" t="s">
        <v>1551</v>
      </c>
      <c r="R1193" s="154" t="s">
        <v>6049</v>
      </c>
      <c r="S1193" s="154" t="s">
        <v>1553</v>
      </c>
      <c r="T1193" s="155" t="s">
        <v>4002</v>
      </c>
      <c r="U1193" s="152" t="str">
        <f aca="false">RIGHT(T1193,7)</f>
        <v>015/037</v>
      </c>
      <c r="V1193" s="152" t="s">
        <v>1555</v>
      </c>
      <c r="W1193" s="156" t="n">
        <v>45882</v>
      </c>
      <c r="X1193" s="152" t="s">
        <v>1594</v>
      </c>
      <c r="Y1193" s="152" t="s">
        <v>2387</v>
      </c>
      <c r="Z1193" s="152" t="s">
        <v>1557</v>
      </c>
      <c r="AA1193" s="153" t="n">
        <v>4.5</v>
      </c>
      <c r="AB1193" s="151" t="s">
        <v>6050</v>
      </c>
      <c r="AC1193" s="151" t="s">
        <v>186</v>
      </c>
      <c r="AD1193" s="151" t="str">
        <f aca="false">CONCATENATE($C1193,$I1193,$H1193,$N1193,$J1193,$K1193)</f>
        <v>TUBO PEADPEAD63VCAREDESZona10</v>
      </c>
      <c r="AE1193" s="153" t="n">
        <f aca="false">IFERROR(INDEX(APOIO_REDES!$A:$W,MATCH($C1193&amp;$I1193&amp;$H1193&amp;$N1193&amp;$O1193,APOIO_REDES!$W:$W,0),MATCH(AE$5,APOIO_REDES!$5:$5,0)),0)</f>
        <v>1.2</v>
      </c>
      <c r="AF1193" s="153" t="n">
        <f aca="false">IFERROR(INDEX(APOIO_REDES!$A:$W,MATCH($C1193&amp;$I1193&amp;$H1193&amp;$N1193&amp;$O1193,APOIO_REDES!$W:$W,0),MATCH(AF$5,APOIO_REDES!$5:$5,0)),0)</f>
        <v>1.363</v>
      </c>
      <c r="AG1193" s="153" t="n">
        <f aca="false">IFERROR(INDEX(APOIO_REDES!$A:$W,MATCH($C1193&amp;$I1193&amp;$H1193&amp;$N1193&amp;$O1193,APOIO_REDES!$W:$W,0),MATCH(AG$5,APOIO_REDES!$5:$5,0)),0)</f>
        <v>0.65</v>
      </c>
      <c r="AH1193" s="153" t="n">
        <f aca="false">IFERROR(INDEX(APOIO_REDES!$A:$W,MATCH($C1193&amp;$I1193&amp;$H1193&amp;$N1193&amp;$O1193,APOIO_REDES!$W:$W,0),MATCH(AH$5,APOIO_REDES!$5:$5,0)),0)</f>
        <v>0.1</v>
      </c>
      <c r="AI1193" s="153" t="n">
        <f aca="false">IFERROR(IF($H1193&lt;&gt;"",(((($H1193/1000)/2)^2)*PI()*$M1193),0),0)</f>
        <v>0.266867371034</v>
      </c>
      <c r="AJ1193" s="153" t="n">
        <f aca="false">IFERROR(IF(AND($H1193&lt;&gt;"",$I1193="FoFo",OR($N1193="MND",$N1193="VCA"),$Q1193="LINEAR"),0,IF(AND($H1193&lt;&gt;"",$I1193="PEAD",$N1193="VCA",$Q1193="LINEAR"),($H1193/1000)+0.3,IF(AND($H1193&lt;&gt;"",$I1193="PEAD",$N1193="MND",$Q1193="EMBOQUE"),0,IF(AND($H1193&lt;&gt;"",$I1193="PVC",$N1193="VCA",$Q1193="LINEAR"),($H1193/1000)+0.2,IF(AND($H1193&lt;&gt;"",$I1193="PVC",$N1193="MND",$Q1193="EMBOQUE"),0,IF(AND($H1193&lt;&gt;"",$I1193="PEAD",$N1193="VCA",$Q1193="PREDIAL"),0,0)))))),0)</f>
        <v>0.363</v>
      </c>
      <c r="AK1193" s="153" t="n">
        <f aca="false">IF(AA1193&lt;&gt;"",AA1193,0)</f>
        <v>4.5</v>
      </c>
      <c r="AL1193" s="153" t="n">
        <f aca="false">IF(AND($N1193="MND",$Q1193="EMBOQUE"),$M1193,IF(AND($N1193="VCA",$Q1193="LINEAR"),$M1193,IF(AND($N1193="VCA",$Q1193="PREDIAL"),0,0)))</f>
        <v>85.61</v>
      </c>
      <c r="AM1193" s="153" t="n">
        <f aca="false">IF(AND($N1193="MND",$Q1193="EMBOQUE"),$M1193,IF(AND($N1193="VCA",$Q1193="LINEAR"),$M1193,IF(AND($N1193="VCA",$Q1193="PREDIAL"),0,0)))</f>
        <v>85.61</v>
      </c>
      <c r="AN1193" s="153" t="n">
        <f aca="false">ROUND(IF(AND($N1193="VCA",$M1193&lt;&gt;"",$Q1193="LINEAR"),$M1193/100,IF(AND($N1193="MND",$M1193&gt;100,$Q1193="EMBOQUE"),$M1193/100,0)),0)</f>
        <v>1</v>
      </c>
      <c r="AO1193" s="153" t="n">
        <f aca="false">IF(AND($N1193="MND",$Q1193="EMBOQUE"),$AN1193*2*2,IF(AND($N1193="VCA",$Q1193="LINEAR"),$M1193*2,IF(AND($N1193="VCA",$Q1193="PREDIAL"),0,0)))</f>
        <v>171.22</v>
      </c>
      <c r="AP1193" s="153" t="n">
        <f aca="false">IFERROR($M1193*$AF1193*$AG1193,0)</f>
        <v>75.8461795</v>
      </c>
      <c r="AQ1193" s="153" t="n">
        <f aca="false">IFERROR(IF(AND($N1193="VCA",$AH1193&gt;0),$M1193*$AG1193*$AH1193,0),0)</f>
        <v>5.56465</v>
      </c>
      <c r="AR1193" s="153" t="n">
        <f aca="false">IFERROR(IF(AND($N1193="VCA",$AJ1193&gt;0),($M1193*$AG1193*$AJ1193)-$AI1193,0),0)</f>
        <v>19.932812128966</v>
      </c>
      <c r="AS1193" s="153" t="n">
        <f aca="false">IFERROR(IF(AND($N1193="VCA",$AP1193&gt;0),$AP1193-$AI1193-$AQ1193-$AR1193,0),0)</f>
        <v>50.08185</v>
      </c>
      <c r="AT1193" s="153" t="n">
        <f aca="false">IFERROR(IF($N1193="VCA",INDEX(APOIO_REDES!$A:$W,MATCH($C1193&amp;$I1193&amp;$H1193&amp;$N1193&amp;$O1193,APOIO_REDES!$W:$W,0),MATCH(AT$5,APOIO_REDES!$5:$5,0)),0)*$AP1193,0)</f>
        <v>0.825228882283209</v>
      </c>
      <c r="AU1193" s="153" t="n">
        <f aca="false">IFERROR(IF($N1193="VCA",INDEX(APOIO_REDES!$A:$W,MATCH($C1193&amp;$I1193&amp;$H1193&amp;$N1193&amp;$O1193,APOIO_REDES!$W:$W,0),MATCH(AU$5,APOIO_REDES!$5:$5,0)),0)*$AP1193,0)</f>
        <v>0.659005435358796</v>
      </c>
      <c r="AV1193" s="153" t="n">
        <f aca="false">IFERROR(IF($N1193="VCA",INDEX(APOIO_REDES!$A:$W,MATCH($C1193&amp;$I1193&amp;$H1193&amp;$N1193&amp;$O1193,APOIO_REDES!$W:$W,0),MATCH(AV$5,APOIO_REDES!$5:$5,0)),0)*$AP1193,0)</f>
        <v>0.0912011788581509</v>
      </c>
      <c r="AW1193" s="153" t="n">
        <f aca="false">IFERROR(IF($N1193="VCA",INDEX(APOIO_REDES!$A:$W,MATCH($C1193&amp;$I1193&amp;$H1193&amp;$N1193&amp;$O1193,APOIO_REDES!$W:$W,0),MATCH(AW$5,APOIO_REDES!$5:$5,0)),0)*$AP1193,0)</f>
        <v>52.0614052936764</v>
      </c>
      <c r="AX1193" s="153" t="n">
        <f aca="false">IFERROR(IF($N1193="VCA",INDEX(APOIO_REDES!$A:$W,MATCH($C1193&amp;$I1193&amp;$H1193&amp;$N1193&amp;$O1193,APOIO_REDES!$W:$W,0),MATCH(AX$5,APOIO_REDES!$5:$5,0)),0)*$AP1193,0)</f>
        <v>7.20515019292468</v>
      </c>
      <c r="AY1193" s="153" t="n">
        <f aca="false">IFERROR(IF($N1193="VCA",INDEX(APOIO_REDES!$A:$W,MATCH($C1193&amp;$I1193&amp;$H1193&amp;$N1193&amp;$O1193,APOIO_REDES!$W:$W,0),MATCH(AY$5,APOIO_REDES!$5:$5,0)),0)*$AP1193,0)</f>
        <v>13.1801006739531</v>
      </c>
      <c r="AZ1193" s="153" t="n">
        <f aca="false">IFERROR(IF($N1193="VCA",INDEX(APOIO_REDES!$A:$W,MATCH($C1193&amp;$I1193&amp;$H1193&amp;$N1193&amp;$O1193,APOIO_REDES!$W:$W,0),MATCH(AZ$5,APOIO_REDES!$5:$5,0)),0)*$AP1193,0)</f>
        <v>1.82408784294571</v>
      </c>
      <c r="BA1193" s="153" t="n">
        <f aca="false">IFERROR(IF(AND($N1193="VCA",$Q1193="LINEAR"),INDEX(APOIO_REDES!$A:$W,MATCH($C1193&amp;$I1193&amp;$H1193&amp;$N1193&amp;$O1193,APOIO_REDES!$W:$W,0),MATCH(BA$5,APOIO_REDES!$5:$5,0)),IF(AND($N1193="MND",$Q1193="EMBOQUE"),INDEX(APOIO_REDES!$A:$W,MATCH($C1193&amp;$I1193&amp;$H1193&amp;$N1193&amp;$O1193,APOIO_REDES!$W:$W,0),MATCH(BA$5,APOIO_REDES!$5:$5,0)),0))*$M1193/10,0)</f>
        <v>6.89995005560499</v>
      </c>
      <c r="BB1193" s="153" t="n">
        <f aca="false">IFERROR(IF($N1193="VCA",INDEX(APOIO_REDES!$A:$W,MATCH($C1193&amp;$I1193&amp;$H1193&amp;$N1193&amp;$O1193,APOIO_REDES!$W:$W,0),MATCH(BB$5,APOIO_REDES!$5:$5,0)),0)*($AI1193+$AQ1193+$AR1193),0)</f>
        <v>25.4840059691877</v>
      </c>
      <c r="BC1193" s="153" t="n">
        <f aca="false">IFERROR(IF($N1193="VCA",INDEX(APOIO_REDES!$A:$W,MATCH($C1193&amp;$I1193&amp;$H1193&amp;$N1193&amp;$O1193,APOIO_REDES!$W:$W,0),MATCH(BC$5,APOIO_REDES!$5:$5,0)),0)*($AI1193+$AQ1193+$AR1193),0)</f>
        <v>0.280323530812271</v>
      </c>
      <c r="BD1193" s="153" t="n">
        <f aca="false">IF(AND($N1193="VCA",$AF1193&gt;=1.25,$AF1193&lt;1.5),$M1193*$AF1193*2,0)</f>
        <v>233.37286</v>
      </c>
      <c r="BE1193" s="153" t="n">
        <f aca="false">IF(AND($N1193="VCA",$AF1193&gt;=1.5,$AF1193&lt;3),$M1193*$AF1193*2,0)</f>
        <v>0</v>
      </c>
      <c r="BF1193" s="153" t="n">
        <f aca="false">IF(AND($N1193="VCA",$AF1193&gt;=3),$M1193*$AF1193*2,0)</f>
        <v>0</v>
      </c>
      <c r="BG1193" s="153" t="n">
        <f aca="false">($BB1193+$BC1193)*$AK1193</f>
        <v>115.93948275</v>
      </c>
      <c r="BH1193" s="153" t="n">
        <f aca="false">IF(AND($M1193&lt;&gt;"",$N1193="VCA",$Q1193="LINEAR"),($M1193*2)/100,IF(AND($M1193&lt;&gt;"",$N1193="MND",$Q1193="EMBOQUE"),($AN1193*2)/100,0))</f>
        <v>1.7122</v>
      </c>
      <c r="BI1193" s="153" t="n">
        <f aca="false">IF(AND($M1193&lt;&gt;"",$N1193="VCA",$Q1193="LINEAR"),$M1193,IF(AND($M1193&lt;&gt;"",$N1193="MND",$Q1193="EMBOQUE"),$AN1193*2,0))</f>
        <v>85.61</v>
      </c>
      <c r="BJ1193" s="153" t="n">
        <f aca="false">IF(AND($M1193&lt;&gt;"",$N1193="VCA",$Q1193="LINEAR"),($M1193*6.8)/100,IF(AND($M1193&lt;&gt;"",$N1193="MND",$Q1193="EMBOQUE"),($AN1193*2*6.8)/100,0))</f>
        <v>5.82148</v>
      </c>
      <c r="BK1193" s="153" t="n">
        <f aca="false">IF(AND($M1193&lt;&gt;"",$N1193="VCA",$Q1193="LINEAR"),($M1193*2.5)/50,IF(AND($M1193&lt;&gt;"",$N1193="MND",$Q1193="EMBOQUE"),($AN1193*2*2.5)/50,0))</f>
        <v>4.2805</v>
      </c>
      <c r="BL1193" s="157" t="str">
        <f aca="false">K1193&amp;J1193</f>
        <v>Zona10REDES</v>
      </c>
      <c r="BM1193" s="152" t="s">
        <v>5703</v>
      </c>
      <c r="BN1193" s="152" t="s">
        <v>1560</v>
      </c>
      <c r="BO1193" s="152" t="s">
        <v>4004</v>
      </c>
      <c r="BP1193" s="152" t="s">
        <v>6047</v>
      </c>
      <c r="BQ1193" s="152" t="s">
        <v>6043</v>
      </c>
      <c r="BR1193" s="152" t="s">
        <v>6051</v>
      </c>
      <c r="BS1193" s="152" t="n">
        <v>203494.577</v>
      </c>
      <c r="BT1193" s="152" t="n">
        <v>8236883.229</v>
      </c>
      <c r="BU1193" s="152" t="n">
        <v>203578.926</v>
      </c>
      <c r="BV1193" s="152" t="n">
        <v>8236896.612</v>
      </c>
      <c r="BW1193" s="152" t="n">
        <v>-15.9295601</v>
      </c>
      <c r="BX1193" s="152" t="n">
        <v>-47.7690116</v>
      </c>
      <c r="BY1193" s="152" t="s">
        <v>6047</v>
      </c>
    </row>
    <row r="1194" customFormat="false" ht="13.8" hidden="false" customHeight="false" outlineLevel="0" collapsed="false">
      <c r="A1194" s="149" t="n">
        <f aca="false">IF(C1194&lt;&gt;"",ROW(A1189),"")</f>
        <v>1189</v>
      </c>
      <c r="B1194" s="150" t="str">
        <f aca="false">HYPERLINK("https://www.google.com/maps/dir/-15.917302,-47.760003/-15.9296073,-47.7694067/data=!4m3!4m2!3e0!5i2")</f>
        <v>https://www.google.com/maps/dir/-15.917302,-47.760003/-15.9296073,-47.7694067/data=!4m3!4m2!3e0!5i2</v>
      </c>
      <c r="C1194" s="151" t="s">
        <v>117</v>
      </c>
      <c r="D1194" s="152" t="s">
        <v>112</v>
      </c>
      <c r="E1194" s="152" t="s">
        <v>113</v>
      </c>
      <c r="F1194" s="152" t="s">
        <v>117</v>
      </c>
      <c r="G1194" s="152" t="s">
        <v>114</v>
      </c>
      <c r="H1194" s="152" t="n">
        <v>160</v>
      </c>
      <c r="I1194" s="152" t="s">
        <v>115</v>
      </c>
      <c r="J1194" s="152" t="s">
        <v>6</v>
      </c>
      <c r="K1194" s="152" t="s">
        <v>5700</v>
      </c>
      <c r="L1194" s="152" t="s">
        <v>120</v>
      </c>
      <c r="M1194" s="153" t="n">
        <f aca="false">2.5</f>
        <v>2.5</v>
      </c>
      <c r="N1194" s="152" t="s">
        <v>1548</v>
      </c>
      <c r="O1194" s="152" t="s">
        <v>1549</v>
      </c>
      <c r="P1194" s="152" t="s">
        <v>1550</v>
      </c>
      <c r="Q1194" s="152" t="s">
        <v>1551</v>
      </c>
      <c r="R1194" s="154" t="s">
        <v>6052</v>
      </c>
      <c r="S1194" s="154" t="s">
        <v>1593</v>
      </c>
      <c r="T1194" s="155" t="s">
        <v>4002</v>
      </c>
      <c r="U1194" s="152" t="str">
        <f aca="false">RIGHT(T1194,7)</f>
        <v>015/037</v>
      </c>
      <c r="V1194" s="152" t="s">
        <v>1555</v>
      </c>
      <c r="W1194" s="156" t="n">
        <v>45882</v>
      </c>
      <c r="X1194" s="152" t="s">
        <v>1594</v>
      </c>
      <c r="Y1194" s="152" t="s">
        <v>2387</v>
      </c>
      <c r="Z1194" s="152" t="s">
        <v>1557</v>
      </c>
      <c r="AA1194" s="153" t="n">
        <v>4.5</v>
      </c>
      <c r="AB1194" s="151" t="s">
        <v>6053</v>
      </c>
      <c r="AC1194" s="151" t="s">
        <v>505</v>
      </c>
      <c r="AD1194" s="151" t="str">
        <f aca="false">CONCATENATE($C1194,$I1194,$H1194,$N1194,$J1194,$K1194)</f>
        <v>TUBO PEADPEAD160VCAREDESZona10</v>
      </c>
      <c r="AE1194" s="153" t="n">
        <f aca="false">IFERROR(INDEX(APOIO_REDES!$A:$W,MATCH($C1194&amp;$I1194&amp;$H1194&amp;$N1194&amp;$O1194,APOIO_REDES!$W:$W,0),MATCH(AE$5,APOIO_REDES!$5:$5,0)),0)</f>
        <v>1.2</v>
      </c>
      <c r="AF1194" s="153" t="n">
        <f aca="false">IFERROR(INDEX(APOIO_REDES!$A:$W,MATCH($C1194&amp;$I1194&amp;$H1194&amp;$N1194&amp;$O1194,APOIO_REDES!$W:$W,0),MATCH(AF$5,APOIO_REDES!$5:$5,0)),0)</f>
        <v>1.46</v>
      </c>
      <c r="AG1194" s="153" t="n">
        <f aca="false">IFERROR(INDEX(APOIO_REDES!$A:$W,MATCH($C1194&amp;$I1194&amp;$H1194&amp;$N1194&amp;$O1194,APOIO_REDES!$W:$W,0),MATCH(AG$5,APOIO_REDES!$5:$5,0)),0)</f>
        <v>0.75</v>
      </c>
      <c r="AH1194" s="153" t="n">
        <f aca="false">IFERROR(INDEX(APOIO_REDES!$A:$W,MATCH($C1194&amp;$I1194&amp;$H1194&amp;$N1194&amp;$O1194,APOIO_REDES!$W:$W,0),MATCH(AH$5,APOIO_REDES!$5:$5,0)),0)</f>
        <v>0.1</v>
      </c>
      <c r="AI1194" s="153" t="n">
        <f aca="false">IFERROR(IF($H1194&lt;&gt;"",(((($H1194/1000)/2)^2)*PI()*$M1194),0),0)</f>
        <v>0.0502654824574367</v>
      </c>
      <c r="AJ1194" s="153" t="n">
        <f aca="false">IFERROR(IF(AND($H1194&lt;&gt;"",$I1194="FoFo",OR($N1194="MND",$N1194="VCA"),$Q1194="LINEAR"),0,IF(AND($H1194&lt;&gt;"",$I1194="PEAD",$N1194="VCA",$Q1194="LINEAR"),($H1194/1000)+0.3,IF(AND($H1194&lt;&gt;"",$I1194="PEAD",$N1194="MND",$Q1194="EMBOQUE"),0,IF(AND($H1194&lt;&gt;"",$I1194="PVC",$N1194="VCA",$Q1194="LINEAR"),($H1194/1000)+0.2,IF(AND($H1194&lt;&gt;"",$I1194="PVC",$N1194="MND",$Q1194="EMBOQUE"),0,IF(AND($H1194&lt;&gt;"",$I1194="PEAD",$N1194="VCA",$Q1194="PREDIAL"),0,0)))))),0)</f>
        <v>0.46</v>
      </c>
      <c r="AK1194" s="153" t="n">
        <f aca="false">IF(AA1194&lt;&gt;"",AA1194,0)</f>
        <v>4.5</v>
      </c>
      <c r="AL1194" s="153" t="n">
        <f aca="false">IF(AND($N1194="MND",$Q1194="EMBOQUE"),$M1194,IF(AND($N1194="VCA",$Q1194="LINEAR"),$M1194,IF(AND($N1194="VCA",$Q1194="PREDIAL"),0,0)))</f>
        <v>2.5</v>
      </c>
      <c r="AM1194" s="153" t="n">
        <f aca="false">IF(AND($N1194="MND",$Q1194="EMBOQUE"),$M1194,IF(AND($N1194="VCA",$Q1194="LINEAR"),$M1194,IF(AND($N1194="VCA",$Q1194="PREDIAL"),0,0)))</f>
        <v>2.5</v>
      </c>
      <c r="AN1194" s="153" t="n">
        <f aca="false">ROUND(IF(AND($N1194="VCA",$M1194&lt;&gt;"",$Q1194="LINEAR"),$M1194/100,IF(AND($N1194="MND",$M1194&gt;100,$Q1194="EMBOQUE"),$M1194/100,0)),0)</f>
        <v>0</v>
      </c>
      <c r="AO1194" s="153" t="n">
        <f aca="false">IF(AND($N1194="MND",$Q1194="EMBOQUE"),$AN1194*2*2,IF(AND($N1194="VCA",$Q1194="LINEAR"),$M1194*2,IF(AND($N1194="VCA",$Q1194="PREDIAL"),0,0)))</f>
        <v>5</v>
      </c>
      <c r="AP1194" s="153" t="n">
        <f aca="false">IFERROR($M1194*$AF1194*$AG1194,0)</f>
        <v>2.7375</v>
      </c>
      <c r="AQ1194" s="153" t="n">
        <f aca="false">IFERROR(IF(AND($N1194="VCA",$AH1194&gt;0),$M1194*$AG1194*$AH1194,0),0)</f>
        <v>0.1875</v>
      </c>
      <c r="AR1194" s="153" t="n">
        <f aca="false">IFERROR(IF(AND($N1194="VCA",$AJ1194&gt;0),($M1194*$AG1194*$AJ1194)-$AI1194,0),0)</f>
        <v>0.812234517542563</v>
      </c>
      <c r="AS1194" s="153" t="n">
        <f aca="false">IFERROR(IF(AND($N1194="VCA",$AP1194&gt;0),$AP1194-$AI1194-$AQ1194-$AR1194,0),0)</f>
        <v>1.6875</v>
      </c>
      <c r="AT1194" s="153" t="n">
        <f aca="false">IFERROR(IF($N1194="VCA",INDEX(APOIO_REDES!$A:$W,MATCH($C1194&amp;$I1194&amp;$H1194&amp;$N1194&amp;$O1194,APOIO_REDES!$W:$W,0),MATCH(AT$5,APOIO_REDES!$5:$5,0)),0)*$AP1194,0)</f>
        <v>0.0297848102586404</v>
      </c>
      <c r="AU1194" s="153" t="n">
        <f aca="false">IFERROR(IF($N1194="VCA",INDEX(APOIO_REDES!$A:$W,MATCH($C1194&amp;$I1194&amp;$H1194&amp;$N1194&amp;$O1194,APOIO_REDES!$W:$W,0),MATCH(AU$5,APOIO_REDES!$5:$5,0)),0)*$AP1194,0)</f>
        <v>0.0237853427975855</v>
      </c>
      <c r="AV1194" s="153" t="n">
        <f aca="false">IFERROR(IF($N1194="VCA",INDEX(APOIO_REDES!$A:$W,MATCH($C1194&amp;$I1194&amp;$H1194&amp;$N1194&amp;$O1194,APOIO_REDES!$W:$W,0),MATCH(AV$5,APOIO_REDES!$5:$5,0)),0)*$AP1194,0)</f>
        <v>0.00329170472092386</v>
      </c>
      <c r="AW1194" s="153" t="n">
        <f aca="false">IFERROR(IF($N1194="VCA",INDEX(APOIO_REDES!$A:$W,MATCH($C1194&amp;$I1194&amp;$H1194&amp;$N1194&amp;$O1194,APOIO_REDES!$W:$W,0),MATCH(AW$5,APOIO_REDES!$5:$5,0)),0)*$AP1194,0)</f>
        <v>1.87904121118505</v>
      </c>
      <c r="AX1194" s="153" t="n">
        <f aca="false">IFERROR(IF($N1194="VCA",INDEX(APOIO_REDES!$A:$W,MATCH($C1194&amp;$I1194&amp;$H1194&amp;$N1194&amp;$O1194,APOIO_REDES!$W:$W,0),MATCH(AX$5,APOIO_REDES!$5:$5,0)),0)*$AP1194,0)</f>
        <v>0.260053951077804</v>
      </c>
      <c r="AY1194" s="153" t="n">
        <f aca="false">IFERROR(IF($N1194="VCA",INDEX(APOIO_REDES!$A:$W,MATCH($C1194&amp;$I1194&amp;$H1194&amp;$N1194&amp;$O1194,APOIO_REDES!$W:$W,0),MATCH(AY$5,APOIO_REDES!$5:$5,0)),0)*$AP1194,0)</f>
        <v>0.47570656601031</v>
      </c>
      <c r="AZ1194" s="153" t="n">
        <f aca="false">IFERROR(IF($N1194="VCA",INDEX(APOIO_REDES!$A:$W,MATCH($C1194&amp;$I1194&amp;$H1194&amp;$N1194&amp;$O1194,APOIO_REDES!$W:$W,0),MATCH(AZ$5,APOIO_REDES!$5:$5,0)),0)*$AP1194,0)</f>
        <v>0.0658364139496818</v>
      </c>
      <c r="BA1194" s="153" t="n">
        <f aca="false">IFERROR(IF(AND($N1194="VCA",$Q1194="LINEAR"),INDEX(APOIO_REDES!$A:$W,MATCH($C1194&amp;$I1194&amp;$H1194&amp;$N1194&amp;$O1194,APOIO_REDES!$W:$W,0),MATCH(BA$5,APOIO_REDES!$5:$5,0)),IF(AND($N1194="MND",$Q1194="EMBOQUE"),INDEX(APOIO_REDES!$A:$W,MATCH($C1194&amp;$I1194&amp;$H1194&amp;$N1194&amp;$O1194,APOIO_REDES!$W:$W,0),MATCH(BA$5,APOIO_REDES!$5:$5,0)),0))*$M1194/10,0)</f>
        <v>0.201493693949451</v>
      </c>
      <c r="BB1194" s="153" t="n">
        <f aca="false">IFERROR(IF($N1194="VCA",INDEX(APOIO_REDES!$A:$W,MATCH($C1194&amp;$I1194&amp;$H1194&amp;$N1194&amp;$O1194,APOIO_REDES!$W:$W,0),MATCH(BB$5,APOIO_REDES!$5:$5,0)),0)*($AI1194+$AQ1194+$AR1194),0)</f>
        <v>1.03857568921586</v>
      </c>
      <c r="BC1194" s="153" t="n">
        <f aca="false">IFERROR(IF($N1194="VCA",INDEX(APOIO_REDES!$A:$W,MATCH($C1194&amp;$I1194&amp;$H1194&amp;$N1194&amp;$O1194,APOIO_REDES!$W:$W,0),MATCH(BC$5,APOIO_REDES!$5:$5,0)),0)*($AI1194+$AQ1194+$AR1194),0)</f>
        <v>0.0114243107841361</v>
      </c>
      <c r="BD1194" s="153" t="n">
        <f aca="false">IF(AND($N1194="VCA",$AF1194&gt;=1.25,$AF1194&lt;1.5),$M1194*$AF1194*2,0)</f>
        <v>7.3</v>
      </c>
      <c r="BE1194" s="153" t="n">
        <f aca="false">IF(AND($N1194="VCA",$AF1194&gt;=1.5,$AF1194&lt;3),$M1194*$AF1194*2,0)</f>
        <v>0</v>
      </c>
      <c r="BF1194" s="153" t="n">
        <f aca="false">IF(AND($N1194="VCA",$AF1194&gt;=3),$M1194*$AF1194*2,0)</f>
        <v>0</v>
      </c>
      <c r="BG1194" s="153" t="n">
        <f aca="false">($BB1194+$BC1194)*$AK1194</f>
        <v>4.725</v>
      </c>
      <c r="BH1194" s="153" t="n">
        <f aca="false">IF(AND($M1194&lt;&gt;"",$N1194="VCA",$Q1194="LINEAR"),($M1194*2)/100,IF(AND($M1194&lt;&gt;"",$N1194="MND",$Q1194="EMBOQUE"),($AN1194*2)/100,0))</f>
        <v>0.05</v>
      </c>
      <c r="BI1194" s="153" t="n">
        <f aca="false">IF(AND($M1194&lt;&gt;"",$N1194="VCA",$Q1194="LINEAR"),$M1194,IF(AND($M1194&lt;&gt;"",$N1194="MND",$Q1194="EMBOQUE"),$AN1194*2,0))</f>
        <v>2.5</v>
      </c>
      <c r="BJ1194" s="153" t="n">
        <f aca="false">IF(AND($M1194&lt;&gt;"",$N1194="VCA",$Q1194="LINEAR"),($M1194*6.8)/100,IF(AND($M1194&lt;&gt;"",$N1194="MND",$Q1194="EMBOQUE"),($AN1194*2*6.8)/100,0))</f>
        <v>0.17</v>
      </c>
      <c r="BK1194" s="153" t="n">
        <f aca="false">IF(AND($M1194&lt;&gt;"",$N1194="VCA",$Q1194="LINEAR"),($M1194*2.5)/50,IF(AND($M1194&lt;&gt;"",$N1194="MND",$Q1194="EMBOQUE"),($AN1194*2*2.5)/50,0))</f>
        <v>0.125</v>
      </c>
      <c r="BL1194" s="157" t="str">
        <f aca="false">K1194&amp;J1194</f>
        <v>Zona10REDES</v>
      </c>
      <c r="BM1194" s="152" t="s">
        <v>5703</v>
      </c>
      <c r="BN1194" s="152" t="s">
        <v>1560</v>
      </c>
      <c r="BO1194" s="152" t="s">
        <v>4004</v>
      </c>
      <c r="BP1194" s="152" t="s">
        <v>6047</v>
      </c>
      <c r="BQ1194" s="152" t="s">
        <v>6054</v>
      </c>
      <c r="BR1194" s="152" t="s">
        <v>6055</v>
      </c>
      <c r="BS1194" s="152" t="n">
        <v>203494.593</v>
      </c>
      <c r="BT1194" s="152" t="n">
        <v>8236882.434</v>
      </c>
      <c r="BU1194" s="152" t="n">
        <v>203494.632</v>
      </c>
      <c r="BV1194" s="152" t="n">
        <v>8236879.939</v>
      </c>
      <c r="BW1194" s="152" t="n">
        <v>-15.9296258</v>
      </c>
      <c r="BX1194" s="152" t="n">
        <v>-47.7694066</v>
      </c>
      <c r="BY1194" s="152" t="s">
        <v>6047</v>
      </c>
    </row>
    <row r="1195" customFormat="false" ht="13.8" hidden="false" customHeight="false" outlineLevel="0" collapsed="false">
      <c r="A1195" s="149" t="n">
        <f aca="false">IF(C1195&lt;&gt;"",ROW(A1190),"")</f>
        <v>1190</v>
      </c>
      <c r="B1195" s="150" t="str">
        <f aca="false">HYPERLINK("https://www.google.com/maps/dir/-15.917302,-47.760003/-15.9296371,-47.7694121/data=!4m3!4m2!3e0!5i2")</f>
        <v>https://www.google.com/maps/dir/-15.917302,-47.760003/-15.9296371,-47.7694121/data=!4m3!4m2!3e0!5i2</v>
      </c>
      <c r="C1195" s="151" t="s">
        <v>117</v>
      </c>
      <c r="D1195" s="152" t="s">
        <v>112</v>
      </c>
      <c r="E1195" s="152" t="s">
        <v>113</v>
      </c>
      <c r="F1195" s="152" t="s">
        <v>117</v>
      </c>
      <c r="G1195" s="152" t="s">
        <v>114</v>
      </c>
      <c r="H1195" s="152" t="n">
        <v>160</v>
      </c>
      <c r="I1195" s="152" t="s">
        <v>115</v>
      </c>
      <c r="J1195" s="152" t="s">
        <v>6</v>
      </c>
      <c r="K1195" s="152" t="s">
        <v>5700</v>
      </c>
      <c r="L1195" s="152" t="s">
        <v>120</v>
      </c>
      <c r="M1195" s="153" t="n">
        <f aca="false">10.38</f>
        <v>10.38</v>
      </c>
      <c r="N1195" s="152" t="s">
        <v>1548</v>
      </c>
      <c r="O1195" s="152" t="s">
        <v>1549</v>
      </c>
      <c r="P1195" s="152" t="s">
        <v>1550</v>
      </c>
      <c r="Q1195" s="152" t="s">
        <v>1551</v>
      </c>
      <c r="R1195" s="154" t="s">
        <v>6056</v>
      </c>
      <c r="S1195" s="154" t="s">
        <v>1593</v>
      </c>
      <c r="T1195" s="155" t="s">
        <v>4002</v>
      </c>
      <c r="U1195" s="152" t="str">
        <f aca="false">RIGHT(T1195,7)</f>
        <v>015/037</v>
      </c>
      <c r="V1195" s="152" t="s">
        <v>1555</v>
      </c>
      <c r="W1195" s="156" t="n">
        <v>45882</v>
      </c>
      <c r="X1195" s="152" t="s">
        <v>1594</v>
      </c>
      <c r="Y1195" s="152" t="s">
        <v>2387</v>
      </c>
      <c r="Z1195" s="152" t="s">
        <v>1557</v>
      </c>
      <c r="AA1195" s="153" t="n">
        <v>4.5</v>
      </c>
      <c r="AB1195" s="151" t="s">
        <v>6057</v>
      </c>
      <c r="AC1195" s="151" t="s">
        <v>505</v>
      </c>
      <c r="AD1195" s="151" t="str">
        <f aca="false">CONCATENATE($C1195,$I1195,$H1195,$N1195,$J1195,$K1195)</f>
        <v>TUBO PEADPEAD160VCAREDESZona10</v>
      </c>
      <c r="AE1195" s="153" t="n">
        <f aca="false">IFERROR(INDEX(APOIO_REDES!$A:$W,MATCH($C1195&amp;$I1195&amp;$H1195&amp;$N1195&amp;$O1195,APOIO_REDES!$W:$W,0),MATCH(AE$5,APOIO_REDES!$5:$5,0)),0)</f>
        <v>1.2</v>
      </c>
      <c r="AF1195" s="153" t="n">
        <f aca="false">IFERROR(INDEX(APOIO_REDES!$A:$W,MATCH($C1195&amp;$I1195&amp;$H1195&amp;$N1195&amp;$O1195,APOIO_REDES!$W:$W,0),MATCH(AF$5,APOIO_REDES!$5:$5,0)),0)</f>
        <v>1.46</v>
      </c>
      <c r="AG1195" s="153" t="n">
        <f aca="false">IFERROR(INDEX(APOIO_REDES!$A:$W,MATCH($C1195&amp;$I1195&amp;$H1195&amp;$N1195&amp;$O1195,APOIO_REDES!$W:$W,0),MATCH(AG$5,APOIO_REDES!$5:$5,0)),0)</f>
        <v>0.75</v>
      </c>
      <c r="AH1195" s="153" t="n">
        <f aca="false">IFERROR(INDEX(APOIO_REDES!$A:$W,MATCH($C1195&amp;$I1195&amp;$H1195&amp;$N1195&amp;$O1195,APOIO_REDES!$W:$W,0),MATCH(AH$5,APOIO_REDES!$5:$5,0)),0)</f>
        <v>0.1</v>
      </c>
      <c r="AI1195" s="153" t="n">
        <f aca="false">IFERROR(IF($H1195&lt;&gt;"",(((($H1195/1000)/2)^2)*PI()*$M1195),0),0)</f>
        <v>0.208702283163277</v>
      </c>
      <c r="AJ1195" s="153" t="n">
        <f aca="false">IFERROR(IF(AND($H1195&lt;&gt;"",$I1195="FoFo",OR($N1195="MND",$N1195="VCA"),$Q1195="LINEAR"),0,IF(AND($H1195&lt;&gt;"",$I1195="PEAD",$N1195="VCA",$Q1195="LINEAR"),($H1195/1000)+0.3,IF(AND($H1195&lt;&gt;"",$I1195="PEAD",$N1195="MND",$Q1195="EMBOQUE"),0,IF(AND($H1195&lt;&gt;"",$I1195="PVC",$N1195="VCA",$Q1195="LINEAR"),($H1195/1000)+0.2,IF(AND($H1195&lt;&gt;"",$I1195="PVC",$N1195="MND",$Q1195="EMBOQUE"),0,IF(AND($H1195&lt;&gt;"",$I1195="PEAD",$N1195="VCA",$Q1195="PREDIAL"),0,0)))))),0)</f>
        <v>0.46</v>
      </c>
      <c r="AK1195" s="153" t="n">
        <f aca="false">IF(AA1195&lt;&gt;"",AA1195,0)</f>
        <v>4.5</v>
      </c>
      <c r="AL1195" s="153" t="n">
        <f aca="false">IF(AND($N1195="MND",$Q1195="EMBOQUE"),$M1195,IF(AND($N1195="VCA",$Q1195="LINEAR"),$M1195,IF(AND($N1195="VCA",$Q1195="PREDIAL"),0,0)))</f>
        <v>10.38</v>
      </c>
      <c r="AM1195" s="153" t="n">
        <f aca="false">IF(AND($N1195="MND",$Q1195="EMBOQUE"),$M1195,IF(AND($N1195="VCA",$Q1195="LINEAR"),$M1195,IF(AND($N1195="VCA",$Q1195="PREDIAL"),0,0)))</f>
        <v>10.38</v>
      </c>
      <c r="AN1195" s="153" t="n">
        <f aca="false">ROUND(IF(AND($N1195="VCA",$M1195&lt;&gt;"",$Q1195="LINEAR"),$M1195/100,IF(AND($N1195="MND",$M1195&gt;100,$Q1195="EMBOQUE"),$M1195/100,0)),0)</f>
        <v>0</v>
      </c>
      <c r="AO1195" s="153" t="n">
        <f aca="false">IF(AND($N1195="MND",$Q1195="EMBOQUE"),$AN1195*2*2,IF(AND($N1195="VCA",$Q1195="LINEAR"),$M1195*2,IF(AND($N1195="VCA",$Q1195="PREDIAL"),0,0)))</f>
        <v>20.76</v>
      </c>
      <c r="AP1195" s="153" t="n">
        <f aca="false">IFERROR($M1195*$AF1195*$AG1195,0)</f>
        <v>11.3661</v>
      </c>
      <c r="AQ1195" s="153" t="n">
        <f aca="false">IFERROR(IF(AND($N1195="VCA",$AH1195&gt;0),$M1195*$AG1195*$AH1195,0),0)</f>
        <v>0.7785</v>
      </c>
      <c r="AR1195" s="153" t="n">
        <f aca="false">IFERROR(IF(AND($N1195="VCA",$AJ1195&gt;0),($M1195*$AG1195*$AJ1195)-$AI1195,0),0)</f>
        <v>3.37239771683672</v>
      </c>
      <c r="AS1195" s="153" t="n">
        <f aca="false">IFERROR(IF(AND($N1195="VCA",$AP1195&gt;0),$AP1195-$AI1195-$AQ1195-$AR1195,0),0)</f>
        <v>7.0065</v>
      </c>
      <c r="AT1195" s="153" t="n">
        <f aca="false">IFERROR(IF($N1195="VCA",INDEX(APOIO_REDES!$A:$W,MATCH($C1195&amp;$I1195&amp;$H1195&amp;$N1195&amp;$O1195,APOIO_REDES!$W:$W,0),MATCH(AT$5,APOIO_REDES!$5:$5,0)),0)*$AP1195,0)</f>
        <v>0.123666532193875</v>
      </c>
      <c r="AU1195" s="153" t="n">
        <f aca="false">IFERROR(IF($N1195="VCA",INDEX(APOIO_REDES!$A:$W,MATCH($C1195&amp;$I1195&amp;$H1195&amp;$N1195&amp;$O1195,APOIO_REDES!$W:$W,0),MATCH(AU$5,APOIO_REDES!$5:$5,0)),0)*$AP1195,0)</f>
        <v>0.0987567432955751</v>
      </c>
      <c r="AV1195" s="153" t="n">
        <f aca="false">IFERROR(IF($N1195="VCA",INDEX(APOIO_REDES!$A:$W,MATCH($C1195&amp;$I1195&amp;$H1195&amp;$N1195&amp;$O1195,APOIO_REDES!$W:$W,0),MATCH(AV$5,APOIO_REDES!$5:$5,0)),0)*$AP1195,0)</f>
        <v>0.0136671580012759</v>
      </c>
      <c r="AW1195" s="153" t="n">
        <f aca="false">IFERROR(IF($N1195="VCA",INDEX(APOIO_REDES!$A:$W,MATCH($C1195&amp;$I1195&amp;$H1195&amp;$N1195&amp;$O1195,APOIO_REDES!$W:$W,0),MATCH(AW$5,APOIO_REDES!$5:$5,0)),0)*$AP1195,0)</f>
        <v>7.80177910884035</v>
      </c>
      <c r="AX1195" s="153" t="n">
        <f aca="false">IFERROR(IF($N1195="VCA",INDEX(APOIO_REDES!$A:$W,MATCH($C1195&amp;$I1195&amp;$H1195&amp;$N1195&amp;$O1195,APOIO_REDES!$W:$W,0),MATCH(AX$5,APOIO_REDES!$5:$5,0)),0)*$AP1195,0)</f>
        <v>1.07974400487504</v>
      </c>
      <c r="AY1195" s="153" t="n">
        <f aca="false">IFERROR(IF($N1195="VCA",INDEX(APOIO_REDES!$A:$W,MATCH($C1195&amp;$I1195&amp;$H1195&amp;$N1195&amp;$O1195,APOIO_REDES!$W:$W,0),MATCH(AY$5,APOIO_REDES!$5:$5,0)),0)*$AP1195,0)</f>
        <v>1.97513366207481</v>
      </c>
      <c r="AZ1195" s="153" t="n">
        <f aca="false">IFERROR(IF($N1195="VCA",INDEX(APOIO_REDES!$A:$W,MATCH($C1195&amp;$I1195&amp;$H1195&amp;$N1195&amp;$O1195,APOIO_REDES!$W:$W,0),MATCH(AZ$5,APOIO_REDES!$5:$5,0)),0)*$AP1195,0)</f>
        <v>0.273352790719079</v>
      </c>
      <c r="BA1195" s="153" t="n">
        <f aca="false">IFERROR(IF(AND($N1195="VCA",$Q1195="LINEAR"),INDEX(APOIO_REDES!$A:$W,MATCH($C1195&amp;$I1195&amp;$H1195&amp;$N1195&amp;$O1195,APOIO_REDES!$W:$W,0),MATCH(BA$5,APOIO_REDES!$5:$5,0)),IF(AND($N1195="MND",$Q1195="EMBOQUE"),INDEX(APOIO_REDES!$A:$W,MATCH($C1195&amp;$I1195&amp;$H1195&amp;$N1195&amp;$O1195,APOIO_REDES!$W:$W,0),MATCH(BA$5,APOIO_REDES!$5:$5,0)),0))*$M1195/10,0)</f>
        <v>0.836601817278119</v>
      </c>
      <c r="BB1195" s="153" t="n">
        <f aca="false">IFERROR(IF($N1195="VCA",INDEX(APOIO_REDES!$A:$W,MATCH($C1195&amp;$I1195&amp;$H1195&amp;$N1195&amp;$O1195,APOIO_REDES!$W:$W,0),MATCH(BB$5,APOIO_REDES!$5:$5,0)),0)*($AI1195+$AQ1195+$AR1195),0)</f>
        <v>4.31216626162427</v>
      </c>
      <c r="BC1195" s="153" t="n">
        <f aca="false">IFERROR(IF($N1195="VCA",INDEX(APOIO_REDES!$A:$W,MATCH($C1195&amp;$I1195&amp;$H1195&amp;$N1195&amp;$O1195,APOIO_REDES!$W:$W,0),MATCH(BC$5,APOIO_REDES!$5:$5,0)),0)*($AI1195+$AQ1195+$AR1195),0)</f>
        <v>0.0474337383757329</v>
      </c>
      <c r="BD1195" s="153" t="n">
        <f aca="false">IF(AND($N1195="VCA",$AF1195&gt;=1.25,$AF1195&lt;1.5),$M1195*$AF1195*2,0)</f>
        <v>30.3096</v>
      </c>
      <c r="BE1195" s="153" t="n">
        <f aca="false">IF(AND($N1195="VCA",$AF1195&gt;=1.5,$AF1195&lt;3),$M1195*$AF1195*2,0)</f>
        <v>0</v>
      </c>
      <c r="BF1195" s="153" t="n">
        <f aca="false">IF(AND($N1195="VCA",$AF1195&gt;=3),$M1195*$AF1195*2,0)</f>
        <v>0</v>
      </c>
      <c r="BG1195" s="153" t="n">
        <f aca="false">($BB1195+$BC1195)*$AK1195</f>
        <v>19.6182</v>
      </c>
      <c r="BH1195" s="153" t="n">
        <f aca="false">IF(AND($M1195&lt;&gt;"",$N1195="VCA",$Q1195="LINEAR"),($M1195*2)/100,IF(AND($M1195&lt;&gt;"",$N1195="MND",$Q1195="EMBOQUE"),($AN1195*2)/100,0))</f>
        <v>0.2076</v>
      </c>
      <c r="BI1195" s="153" t="n">
        <f aca="false">IF(AND($M1195&lt;&gt;"",$N1195="VCA",$Q1195="LINEAR"),$M1195,IF(AND($M1195&lt;&gt;"",$N1195="MND",$Q1195="EMBOQUE"),$AN1195*2,0))</f>
        <v>10.38</v>
      </c>
      <c r="BJ1195" s="153" t="n">
        <f aca="false">IF(AND($M1195&lt;&gt;"",$N1195="VCA",$Q1195="LINEAR"),($M1195*6.8)/100,IF(AND($M1195&lt;&gt;"",$N1195="MND",$Q1195="EMBOQUE"),($AN1195*2*6.8)/100,0))</f>
        <v>0.70584</v>
      </c>
      <c r="BK1195" s="153" t="n">
        <f aca="false">IF(AND($M1195&lt;&gt;"",$N1195="VCA",$Q1195="LINEAR"),($M1195*2.5)/50,IF(AND($M1195&lt;&gt;"",$N1195="MND",$Q1195="EMBOQUE"),($AN1195*2*2.5)/50,0))</f>
        <v>0.519</v>
      </c>
      <c r="BL1195" s="157" t="str">
        <f aca="false">K1195&amp;J1195</f>
        <v>Zona10REDES</v>
      </c>
      <c r="BM1195" s="152" t="s">
        <v>5703</v>
      </c>
      <c r="BN1195" s="152" t="s">
        <v>1560</v>
      </c>
      <c r="BO1195" s="152" t="s">
        <v>4004</v>
      </c>
      <c r="BP1195" s="152" t="s">
        <v>6054</v>
      </c>
      <c r="BQ1195" s="152" t="s">
        <v>6058</v>
      </c>
      <c r="BR1195" s="152" t="s">
        <v>6055</v>
      </c>
      <c r="BS1195" s="152" t="n">
        <v>203494.632</v>
      </c>
      <c r="BT1195" s="152" t="n">
        <v>8236879.939</v>
      </c>
      <c r="BU1195" s="152" t="n">
        <v>203494.582</v>
      </c>
      <c r="BV1195" s="152" t="n">
        <v>8236869.557</v>
      </c>
      <c r="BW1195" s="152" t="n">
        <v>-15.9296839</v>
      </c>
      <c r="BX1195" s="152" t="n">
        <v>-47.7694069</v>
      </c>
      <c r="BY1195" s="152" t="s">
        <v>6054</v>
      </c>
    </row>
    <row r="1196" customFormat="false" ht="13.8" hidden="false" customHeight="false" outlineLevel="0" collapsed="false">
      <c r="A1196" s="149" t="n">
        <f aca="false">IF(C1196&lt;&gt;"",ROW(A1191),"")</f>
        <v>1191</v>
      </c>
      <c r="B1196" s="150" t="str">
        <f aca="false">HYPERLINK("https://www.google.com/maps/dir/-15.917302,-47.760003/-15.9294966,-47.7686178/data=!4m3!4m2!3e0!5i0")</f>
        <v>https://www.google.com/maps/dir/-15.917302,-47.760003/-15.9294966,-47.7686178/data=!4m3!4m2!3e0!5i0</v>
      </c>
      <c r="C1196" s="151" t="s">
        <v>117</v>
      </c>
      <c r="D1196" s="152" t="s">
        <v>112</v>
      </c>
      <c r="E1196" s="152" t="s">
        <v>113</v>
      </c>
      <c r="F1196" s="152" t="s">
        <v>117</v>
      </c>
      <c r="G1196" s="152" t="s">
        <v>782</v>
      </c>
      <c r="H1196" s="152" t="n">
        <v>63</v>
      </c>
      <c r="I1196" s="152" t="s">
        <v>115</v>
      </c>
      <c r="J1196" s="152" t="s">
        <v>6</v>
      </c>
      <c r="K1196" s="152" t="s">
        <v>5700</v>
      </c>
      <c r="L1196" s="152" t="s">
        <v>120</v>
      </c>
      <c r="M1196" s="153" t="n">
        <f aca="false">57.5+3.99</f>
        <v>61.49</v>
      </c>
      <c r="N1196" s="152" t="s">
        <v>1548</v>
      </c>
      <c r="O1196" s="152" t="s">
        <v>1549</v>
      </c>
      <c r="P1196" s="152" t="s">
        <v>1550</v>
      </c>
      <c r="Q1196" s="152" t="s">
        <v>1551</v>
      </c>
      <c r="R1196" s="154" t="s">
        <v>6059</v>
      </c>
      <c r="S1196" s="154" t="s">
        <v>1553</v>
      </c>
      <c r="T1196" s="155" t="s">
        <v>4002</v>
      </c>
      <c r="U1196" s="152" t="str">
        <f aca="false">RIGHT(T1196,7)</f>
        <v>015/037</v>
      </c>
      <c r="V1196" s="152" t="s">
        <v>1555</v>
      </c>
      <c r="W1196" s="156" t="n">
        <v>45882</v>
      </c>
      <c r="X1196" s="152" t="s">
        <v>1594</v>
      </c>
      <c r="Y1196" s="152" t="s">
        <v>2387</v>
      </c>
      <c r="Z1196" s="152" t="s">
        <v>1557</v>
      </c>
      <c r="AA1196" s="153" t="n">
        <v>2.3</v>
      </c>
      <c r="AB1196" s="151" t="s">
        <v>6060</v>
      </c>
      <c r="AC1196" s="151" t="s">
        <v>186</v>
      </c>
      <c r="AD1196" s="151" t="str">
        <f aca="false">CONCATENATE($C1196,$I1196,$H1196,$N1196,$J1196,$K1196)</f>
        <v>TUBO PEADPEAD63VCAREDESZona10</v>
      </c>
      <c r="AE1196" s="153" t="n">
        <f aca="false">IFERROR(INDEX(APOIO_REDES!$A:$W,MATCH($C1196&amp;$I1196&amp;$H1196&amp;$N1196&amp;$O1196,APOIO_REDES!$W:$W,0),MATCH(AE$5,APOIO_REDES!$5:$5,0)),0)</f>
        <v>1.2</v>
      </c>
      <c r="AF1196" s="153" t="n">
        <f aca="false">IFERROR(INDEX(APOIO_REDES!$A:$W,MATCH($C1196&amp;$I1196&amp;$H1196&amp;$N1196&amp;$O1196,APOIO_REDES!$W:$W,0),MATCH(AF$5,APOIO_REDES!$5:$5,0)),0)</f>
        <v>1.363</v>
      </c>
      <c r="AG1196" s="153" t="n">
        <f aca="false">IFERROR(INDEX(APOIO_REDES!$A:$W,MATCH($C1196&amp;$I1196&amp;$H1196&amp;$N1196&amp;$O1196,APOIO_REDES!$W:$W,0),MATCH(AG$5,APOIO_REDES!$5:$5,0)),0)</f>
        <v>0.65</v>
      </c>
      <c r="AH1196" s="153" t="n">
        <f aca="false">IFERROR(INDEX(APOIO_REDES!$A:$W,MATCH($C1196&amp;$I1196&amp;$H1196&amp;$N1196&amp;$O1196,APOIO_REDES!$W:$W,0),MATCH(AH$5,APOIO_REDES!$5:$5,0)),0)</f>
        <v>0.1</v>
      </c>
      <c r="AI1196" s="153" t="n">
        <f aca="false">IFERROR(IF($H1196&lt;&gt;"",(((($H1196/1000)/2)^2)*PI()*$M1196),0),0)</f>
        <v>0.19167941414415</v>
      </c>
      <c r="AJ1196" s="153" t="n">
        <f aca="false">IFERROR(IF(AND($H1196&lt;&gt;"",$I1196="FoFo",OR($N1196="MND",$N1196="VCA"),$Q1196="LINEAR"),0,IF(AND($H1196&lt;&gt;"",$I1196="PEAD",$N1196="VCA",$Q1196="LINEAR"),($H1196/1000)+0.3,IF(AND($H1196&lt;&gt;"",$I1196="PEAD",$N1196="MND",$Q1196="EMBOQUE"),0,IF(AND($H1196&lt;&gt;"",$I1196="PVC",$N1196="VCA",$Q1196="LINEAR"),($H1196/1000)+0.2,IF(AND($H1196&lt;&gt;"",$I1196="PVC",$N1196="MND",$Q1196="EMBOQUE"),0,IF(AND($H1196&lt;&gt;"",$I1196="PEAD",$N1196="VCA",$Q1196="PREDIAL"),0,0)))))),0)</f>
        <v>0.363</v>
      </c>
      <c r="AK1196" s="153" t="n">
        <f aca="false">IF(AA1196&lt;&gt;"",AA1196,0)</f>
        <v>2.3</v>
      </c>
      <c r="AL1196" s="153" t="n">
        <f aca="false">IF(AND($N1196="MND",$Q1196="EMBOQUE"),$M1196,IF(AND($N1196="VCA",$Q1196="LINEAR"),$M1196,IF(AND($N1196="VCA",$Q1196="PREDIAL"),0,0)))</f>
        <v>61.49</v>
      </c>
      <c r="AM1196" s="153" t="n">
        <f aca="false">IF(AND($N1196="MND",$Q1196="EMBOQUE"),$M1196,IF(AND($N1196="VCA",$Q1196="LINEAR"),$M1196,IF(AND($N1196="VCA",$Q1196="PREDIAL"),0,0)))</f>
        <v>61.49</v>
      </c>
      <c r="AN1196" s="153" t="n">
        <f aca="false">ROUND(IF(AND($N1196="VCA",$M1196&lt;&gt;"",$Q1196="LINEAR"),$M1196/100,IF(AND($N1196="MND",$M1196&gt;100,$Q1196="EMBOQUE"),$M1196/100,0)),0)</f>
        <v>1</v>
      </c>
      <c r="AO1196" s="153" t="n">
        <f aca="false">IF(AND($N1196="MND",$Q1196="EMBOQUE"),$AN1196*2*2,IF(AND($N1196="VCA",$Q1196="LINEAR"),$M1196*2,IF(AND($N1196="VCA",$Q1196="PREDIAL"),0,0)))</f>
        <v>122.98</v>
      </c>
      <c r="AP1196" s="153" t="n">
        <f aca="false">IFERROR($M1196*$AF1196*$AG1196,0)</f>
        <v>54.4770655</v>
      </c>
      <c r="AQ1196" s="153" t="n">
        <f aca="false">IFERROR(IF(AND($N1196="VCA",$AH1196&gt;0),$M1196*$AG1196*$AH1196,0),0)</f>
        <v>3.99685</v>
      </c>
      <c r="AR1196" s="153" t="n">
        <f aca="false">IFERROR(IF(AND($N1196="VCA",$AJ1196&gt;0),($M1196*$AG1196*$AJ1196)-$AI1196,0),0)</f>
        <v>14.3168860858559</v>
      </c>
      <c r="AS1196" s="153" t="n">
        <f aca="false">IFERROR(IF(AND($N1196="VCA",$AP1196&gt;0),$AP1196-$AI1196-$AQ1196-$AR1196,0),0)</f>
        <v>35.97165</v>
      </c>
      <c r="AT1196" s="153" t="n">
        <f aca="false">IFERROR(IF($N1196="VCA",INDEX(APOIO_REDES!$A:$W,MATCH($C1196&amp;$I1196&amp;$H1196&amp;$N1196&amp;$O1196,APOIO_REDES!$W:$W,0),MATCH(AT$5,APOIO_REDES!$5:$5,0)),0)*$AP1196,0)</f>
        <v>0.592726597028321</v>
      </c>
      <c r="AU1196" s="153" t="n">
        <f aca="false">IFERROR(IF($N1196="VCA",INDEX(APOIO_REDES!$A:$W,MATCH($C1196&amp;$I1196&amp;$H1196&amp;$N1196&amp;$O1196,APOIO_REDES!$W:$W,0),MATCH(AU$5,APOIO_REDES!$5:$5,0)),0)*$AP1196,0)</f>
        <v>0.473335407314711</v>
      </c>
      <c r="AV1196" s="153" t="n">
        <f aca="false">IFERROR(IF($N1196="VCA",INDEX(APOIO_REDES!$A:$W,MATCH($C1196&amp;$I1196&amp;$H1196&amp;$N1196&amp;$O1196,APOIO_REDES!$W:$W,0),MATCH(AV$5,APOIO_REDES!$5:$5,0)),0)*$AP1196,0)</f>
        <v>0.065505904543718</v>
      </c>
      <c r="AW1196" s="153" t="n">
        <f aca="false">IFERROR(IF($N1196="VCA",INDEX(APOIO_REDES!$A:$W,MATCH($C1196&amp;$I1196&amp;$H1196&amp;$N1196&amp;$O1196,APOIO_REDES!$W:$W,0),MATCH(AW$5,APOIO_REDES!$5:$5,0)),0)*$AP1196,0)</f>
        <v>37.3934798681014</v>
      </c>
      <c r="AX1196" s="153" t="n">
        <f aca="false">IFERROR(IF($N1196="VCA",INDEX(APOIO_REDES!$A:$W,MATCH($C1196&amp;$I1196&amp;$H1196&amp;$N1196&amp;$O1196,APOIO_REDES!$W:$W,0),MATCH(AX$5,APOIO_REDES!$5:$5,0)),0)*$AP1196,0)</f>
        <v>5.17515109640157</v>
      </c>
      <c r="AY1196" s="153" t="n">
        <f aca="false">IFERROR(IF($N1196="VCA",INDEX(APOIO_REDES!$A:$W,MATCH($C1196&amp;$I1196&amp;$H1196&amp;$N1196&amp;$O1196,APOIO_REDES!$W:$W,0),MATCH(AY$5,APOIO_REDES!$5:$5,0)),0)*$AP1196,0)</f>
        <v>9.46670237637397</v>
      </c>
      <c r="AZ1196" s="153" t="n">
        <f aca="false">IFERROR(IF($N1196="VCA",INDEX(APOIO_REDES!$A:$W,MATCH($C1196&amp;$I1196&amp;$H1196&amp;$N1196&amp;$O1196,APOIO_REDES!$W:$W,0),MATCH(AZ$5,APOIO_REDES!$5:$5,0)),0)*$AP1196,0)</f>
        <v>1.31016425023632</v>
      </c>
      <c r="BA1196" s="153" t="n">
        <f aca="false">IFERROR(IF(AND($N1196="VCA",$Q1196="LINEAR"),INDEX(APOIO_REDES!$A:$W,MATCH($C1196&amp;$I1196&amp;$H1196&amp;$N1196&amp;$O1196,APOIO_REDES!$W:$W,0),MATCH(BA$5,APOIO_REDES!$5:$5,0)),IF(AND($N1196="MND",$Q1196="EMBOQUE"),INDEX(APOIO_REDES!$A:$W,MATCH($C1196&amp;$I1196&amp;$H1196&amp;$N1196&amp;$O1196,APOIO_REDES!$W:$W,0),MATCH(BA$5,APOIO_REDES!$5:$5,0)),0))*$M1196/10,0)</f>
        <v>4.95593889638069</v>
      </c>
      <c r="BB1196" s="153" t="n">
        <f aca="false">IFERROR(IF($N1196="VCA",INDEX(APOIO_REDES!$A:$W,MATCH($C1196&amp;$I1196&amp;$H1196&amp;$N1196&amp;$O1196,APOIO_REDES!$W:$W,0),MATCH(BB$5,APOIO_REDES!$5:$5,0)),0)*($AI1196+$AQ1196+$AR1196),0)</f>
        <v>18.3040711020366</v>
      </c>
      <c r="BC1196" s="153" t="n">
        <f aca="false">IFERROR(IF($N1196="VCA",INDEX(APOIO_REDES!$A:$W,MATCH($C1196&amp;$I1196&amp;$H1196&amp;$N1196&amp;$O1196,APOIO_REDES!$W:$W,0),MATCH(BC$5,APOIO_REDES!$5:$5,0)),0)*($AI1196+$AQ1196+$AR1196),0)</f>
        <v>0.201344397963399</v>
      </c>
      <c r="BD1196" s="153" t="n">
        <f aca="false">IF(AND($N1196="VCA",$AF1196&gt;=1.25,$AF1196&lt;1.5),$M1196*$AF1196*2,0)</f>
        <v>167.62174</v>
      </c>
      <c r="BE1196" s="153" t="n">
        <f aca="false">IF(AND($N1196="VCA",$AF1196&gt;=1.5,$AF1196&lt;3),$M1196*$AF1196*2,0)</f>
        <v>0</v>
      </c>
      <c r="BF1196" s="153" t="n">
        <f aca="false">IF(AND($N1196="VCA",$AF1196&gt;=3),$M1196*$AF1196*2,0)</f>
        <v>0</v>
      </c>
      <c r="BG1196" s="153" t="n">
        <f aca="false">($BB1196+$BC1196)*$AK1196</f>
        <v>42.56245565</v>
      </c>
      <c r="BH1196" s="153" t="n">
        <f aca="false">IF(AND($M1196&lt;&gt;"",$N1196="VCA",$Q1196="LINEAR"),($M1196*2)/100,IF(AND($M1196&lt;&gt;"",$N1196="MND",$Q1196="EMBOQUE"),($AN1196*2)/100,0))</f>
        <v>1.2298</v>
      </c>
      <c r="BI1196" s="153" t="n">
        <f aca="false">IF(AND($M1196&lt;&gt;"",$N1196="VCA",$Q1196="LINEAR"),$M1196,IF(AND($M1196&lt;&gt;"",$N1196="MND",$Q1196="EMBOQUE"),$AN1196*2,0))</f>
        <v>61.49</v>
      </c>
      <c r="BJ1196" s="153" t="n">
        <f aca="false">IF(AND($M1196&lt;&gt;"",$N1196="VCA",$Q1196="LINEAR"),($M1196*6.8)/100,IF(AND($M1196&lt;&gt;"",$N1196="MND",$Q1196="EMBOQUE"),($AN1196*2*6.8)/100,0))</f>
        <v>4.18132</v>
      </c>
      <c r="BK1196" s="153" t="n">
        <f aca="false">IF(AND($M1196&lt;&gt;"",$N1196="VCA",$Q1196="LINEAR"),($M1196*2.5)/50,IF(AND($M1196&lt;&gt;"",$N1196="MND",$Q1196="EMBOQUE"),($AN1196*2*2.5)/50,0))</f>
        <v>3.0745</v>
      </c>
      <c r="BL1196" s="157" t="str">
        <f aca="false">K1196&amp;J1196</f>
        <v>Zona10REDES</v>
      </c>
      <c r="BM1196" s="152" t="s">
        <v>5703</v>
      </c>
      <c r="BN1196" s="152" t="s">
        <v>1560</v>
      </c>
      <c r="BO1196" s="152" t="s">
        <v>4004</v>
      </c>
      <c r="BP1196" s="152" t="s">
        <v>6043</v>
      </c>
      <c r="BQ1196" s="152" t="s">
        <v>6061</v>
      </c>
      <c r="BR1196" s="152" t="s">
        <v>6062</v>
      </c>
      <c r="BS1196" s="152" t="n">
        <v>203578.926</v>
      </c>
      <c r="BT1196" s="152" t="n">
        <v>8236896.612</v>
      </c>
      <c r="BU1196" s="152" t="n">
        <v>203600.768</v>
      </c>
      <c r="BV1196" s="152" t="n">
        <v>8236843.444</v>
      </c>
      <c r="BW1196" s="152" t="n">
        <v>-15.9297371</v>
      </c>
      <c r="BX1196" s="152" t="n">
        <v>-47.7685172</v>
      </c>
      <c r="BY1196" s="152" t="s">
        <v>6043</v>
      </c>
    </row>
    <row r="1197" customFormat="false" ht="13.8" hidden="false" customHeight="false" outlineLevel="0" collapsed="false">
      <c r="A1197" s="149" t="n">
        <f aca="false">IF(C1197&lt;&gt;"",ROW(A1192),"")</f>
        <v>1192</v>
      </c>
      <c r="B1197" s="150" t="str">
        <f aca="false">HYPERLINK("https://www.google.com/maps/dir/-15.917302,-47.760003/-15.9297307,-47.7694100/data=!4m3!4m2!3e0!5i2")</f>
        <v>https://www.google.com/maps/dir/-15.917302,-47.760003/-15.9297307,-47.7694100/data=!4m3!4m2!3e0!5i2</v>
      </c>
      <c r="C1197" s="151" t="s">
        <v>117</v>
      </c>
      <c r="D1197" s="152" t="s">
        <v>112</v>
      </c>
      <c r="E1197" s="152" t="s">
        <v>113</v>
      </c>
      <c r="F1197" s="152" t="s">
        <v>117</v>
      </c>
      <c r="G1197" s="152" t="s">
        <v>114</v>
      </c>
      <c r="H1197" s="152" t="n">
        <v>160</v>
      </c>
      <c r="I1197" s="152" t="s">
        <v>115</v>
      </c>
      <c r="J1197" s="152" t="s">
        <v>6</v>
      </c>
      <c r="K1197" s="152" t="s">
        <v>5700</v>
      </c>
      <c r="L1197" s="152" t="s">
        <v>120</v>
      </c>
      <c r="M1197" s="153" t="n">
        <f aca="false">12.53</f>
        <v>12.53</v>
      </c>
      <c r="N1197" s="152" t="s">
        <v>1548</v>
      </c>
      <c r="O1197" s="152" t="s">
        <v>1549</v>
      </c>
      <c r="P1197" s="152" t="s">
        <v>1550</v>
      </c>
      <c r="Q1197" s="152" t="s">
        <v>1551</v>
      </c>
      <c r="R1197" s="154" t="s">
        <v>6063</v>
      </c>
      <c r="S1197" s="154" t="s">
        <v>1593</v>
      </c>
      <c r="T1197" s="155" t="s">
        <v>4002</v>
      </c>
      <c r="U1197" s="152" t="str">
        <f aca="false">RIGHT(T1197,7)</f>
        <v>015/037</v>
      </c>
      <c r="V1197" s="152" t="s">
        <v>1555</v>
      </c>
      <c r="W1197" s="156" t="n">
        <v>45882</v>
      </c>
      <c r="X1197" s="152" t="s">
        <v>1594</v>
      </c>
      <c r="Y1197" s="152" t="s">
        <v>2387</v>
      </c>
      <c r="Z1197" s="152" t="s">
        <v>1557</v>
      </c>
      <c r="AA1197" s="153" t="n">
        <v>4.5</v>
      </c>
      <c r="AB1197" s="151" t="s">
        <v>6064</v>
      </c>
      <c r="AC1197" s="151" t="s">
        <v>505</v>
      </c>
      <c r="AD1197" s="151" t="str">
        <f aca="false">CONCATENATE($C1197,$I1197,$H1197,$N1197,$J1197,$K1197)</f>
        <v>TUBO PEADPEAD160VCAREDESZona10</v>
      </c>
      <c r="AE1197" s="153" t="n">
        <f aca="false">IFERROR(INDEX(APOIO_REDES!$A:$W,MATCH($C1197&amp;$I1197&amp;$H1197&amp;$N1197&amp;$O1197,APOIO_REDES!$W:$W,0),MATCH(AE$5,APOIO_REDES!$5:$5,0)),0)</f>
        <v>1.2</v>
      </c>
      <c r="AF1197" s="153" t="n">
        <f aca="false">IFERROR(INDEX(APOIO_REDES!$A:$W,MATCH($C1197&amp;$I1197&amp;$H1197&amp;$N1197&amp;$O1197,APOIO_REDES!$W:$W,0),MATCH(AF$5,APOIO_REDES!$5:$5,0)),0)</f>
        <v>1.46</v>
      </c>
      <c r="AG1197" s="153" t="n">
        <f aca="false">IFERROR(INDEX(APOIO_REDES!$A:$W,MATCH($C1197&amp;$I1197&amp;$H1197&amp;$N1197&amp;$O1197,APOIO_REDES!$W:$W,0),MATCH(AG$5,APOIO_REDES!$5:$5,0)),0)</f>
        <v>0.75</v>
      </c>
      <c r="AH1197" s="153" t="n">
        <f aca="false">IFERROR(INDEX(APOIO_REDES!$A:$W,MATCH($C1197&amp;$I1197&amp;$H1197&amp;$N1197&amp;$O1197,APOIO_REDES!$W:$W,0),MATCH(AH$5,APOIO_REDES!$5:$5,0)),0)</f>
        <v>0.1</v>
      </c>
      <c r="AI1197" s="153" t="n">
        <f aca="false">IFERROR(IF($H1197&lt;&gt;"",(((($H1197/1000)/2)^2)*PI()*$M1197),0),0)</f>
        <v>0.251930598076673</v>
      </c>
      <c r="AJ1197" s="153" t="n">
        <f aca="false">IFERROR(IF(AND($H1197&lt;&gt;"",$I1197="FoFo",OR($N1197="MND",$N1197="VCA"),$Q1197="LINEAR"),0,IF(AND($H1197&lt;&gt;"",$I1197="PEAD",$N1197="VCA",$Q1197="LINEAR"),($H1197/1000)+0.3,IF(AND($H1197&lt;&gt;"",$I1197="PEAD",$N1197="MND",$Q1197="EMBOQUE"),0,IF(AND($H1197&lt;&gt;"",$I1197="PVC",$N1197="VCA",$Q1197="LINEAR"),($H1197/1000)+0.2,IF(AND($H1197&lt;&gt;"",$I1197="PVC",$N1197="MND",$Q1197="EMBOQUE"),0,IF(AND($H1197&lt;&gt;"",$I1197="PEAD",$N1197="VCA",$Q1197="PREDIAL"),0,0)))))),0)</f>
        <v>0.46</v>
      </c>
      <c r="AK1197" s="153" t="n">
        <f aca="false">IF(AA1197&lt;&gt;"",AA1197,0)</f>
        <v>4.5</v>
      </c>
      <c r="AL1197" s="153" t="n">
        <f aca="false">IF(AND($N1197="MND",$Q1197="EMBOQUE"),$M1197,IF(AND($N1197="VCA",$Q1197="LINEAR"),$M1197,IF(AND($N1197="VCA",$Q1197="PREDIAL"),0,0)))</f>
        <v>12.53</v>
      </c>
      <c r="AM1197" s="153" t="n">
        <f aca="false">IF(AND($N1197="MND",$Q1197="EMBOQUE"),$M1197,IF(AND($N1197="VCA",$Q1197="LINEAR"),$M1197,IF(AND($N1197="VCA",$Q1197="PREDIAL"),0,0)))</f>
        <v>12.53</v>
      </c>
      <c r="AN1197" s="153" t="n">
        <f aca="false">ROUND(IF(AND($N1197="VCA",$M1197&lt;&gt;"",$Q1197="LINEAR"),$M1197/100,IF(AND($N1197="MND",$M1197&gt;100,$Q1197="EMBOQUE"),$M1197/100,0)),0)</f>
        <v>0</v>
      </c>
      <c r="AO1197" s="153" t="n">
        <f aca="false">IF(AND($N1197="MND",$Q1197="EMBOQUE"),$AN1197*2*2,IF(AND($N1197="VCA",$Q1197="LINEAR"),$M1197*2,IF(AND($N1197="VCA",$Q1197="PREDIAL"),0,0)))</f>
        <v>25.06</v>
      </c>
      <c r="AP1197" s="153" t="n">
        <f aca="false">IFERROR($M1197*$AF1197*$AG1197,0)</f>
        <v>13.72035</v>
      </c>
      <c r="AQ1197" s="153" t="n">
        <f aca="false">IFERROR(IF(AND($N1197="VCA",$AH1197&gt;0),$M1197*$AG1197*$AH1197,0),0)</f>
        <v>0.93975</v>
      </c>
      <c r="AR1197" s="153" t="n">
        <f aca="false">IFERROR(IF(AND($N1197="VCA",$AJ1197&gt;0),($M1197*$AG1197*$AJ1197)-$AI1197,0),0)</f>
        <v>4.07091940192333</v>
      </c>
      <c r="AS1197" s="153" t="n">
        <f aca="false">IFERROR(IF(AND($N1197="VCA",$AP1197&gt;0),$AP1197-$AI1197-$AQ1197-$AR1197,0),0)</f>
        <v>8.45775</v>
      </c>
      <c r="AT1197" s="153" t="n">
        <f aca="false">IFERROR(IF($N1197="VCA",INDEX(APOIO_REDES!$A:$W,MATCH($C1197&amp;$I1197&amp;$H1197&amp;$N1197&amp;$O1197,APOIO_REDES!$W:$W,0),MATCH(AT$5,APOIO_REDES!$5:$5,0)),0)*$AP1197,0)</f>
        <v>0.149281469016306</v>
      </c>
      <c r="AU1197" s="153" t="n">
        <f aca="false">IFERROR(IF($N1197="VCA",INDEX(APOIO_REDES!$A:$W,MATCH($C1197&amp;$I1197&amp;$H1197&amp;$N1197&amp;$O1197,APOIO_REDES!$W:$W,0),MATCH(AU$5,APOIO_REDES!$5:$5,0)),0)*$AP1197,0)</f>
        <v>0.119212138101499</v>
      </c>
      <c r="AV1197" s="153" t="n">
        <f aca="false">IFERROR(IF($N1197="VCA",INDEX(APOIO_REDES!$A:$W,MATCH($C1197&amp;$I1197&amp;$H1197&amp;$N1197&amp;$O1197,APOIO_REDES!$W:$W,0),MATCH(AV$5,APOIO_REDES!$5:$5,0)),0)*$AP1197,0)</f>
        <v>0.0164980240612704</v>
      </c>
      <c r="AW1197" s="153" t="n">
        <f aca="false">IFERROR(IF($N1197="VCA",INDEX(APOIO_REDES!$A:$W,MATCH($C1197&amp;$I1197&amp;$H1197&amp;$N1197&amp;$O1197,APOIO_REDES!$W:$W,0),MATCH(AW$5,APOIO_REDES!$5:$5,0)),0)*$AP1197,0)</f>
        <v>9.41775455045949</v>
      </c>
      <c r="AX1197" s="153" t="n">
        <f aca="false">IFERROR(IF($N1197="VCA",INDEX(APOIO_REDES!$A:$W,MATCH($C1197&amp;$I1197&amp;$H1197&amp;$N1197&amp;$O1197,APOIO_REDES!$W:$W,0),MATCH(AX$5,APOIO_REDES!$5:$5,0)),0)*$AP1197,0)</f>
        <v>1.30339040280195</v>
      </c>
      <c r="AY1197" s="153" t="n">
        <f aca="false">IFERROR(IF($N1197="VCA",INDEX(APOIO_REDES!$A:$W,MATCH($C1197&amp;$I1197&amp;$H1197&amp;$N1197&amp;$O1197,APOIO_REDES!$W:$W,0),MATCH(AY$5,APOIO_REDES!$5:$5,0)),0)*$AP1197,0)</f>
        <v>2.38424130884367</v>
      </c>
      <c r="AZ1197" s="153" t="n">
        <f aca="false">IFERROR(IF($N1197="VCA",INDEX(APOIO_REDES!$A:$W,MATCH($C1197&amp;$I1197&amp;$H1197&amp;$N1197&amp;$O1197,APOIO_REDES!$W:$W,0),MATCH(AZ$5,APOIO_REDES!$5:$5,0)),0)*$AP1197,0)</f>
        <v>0.329972106715805</v>
      </c>
      <c r="BA1197" s="153" t="n">
        <f aca="false">IFERROR(IF(AND($N1197="VCA",$Q1197="LINEAR"),INDEX(APOIO_REDES!$A:$W,MATCH($C1197&amp;$I1197&amp;$H1197&amp;$N1197&amp;$O1197,APOIO_REDES!$W:$W,0),MATCH(BA$5,APOIO_REDES!$5:$5,0)),IF(AND($N1197="MND",$Q1197="EMBOQUE"),INDEX(APOIO_REDES!$A:$W,MATCH($C1197&amp;$I1197&amp;$H1197&amp;$N1197&amp;$O1197,APOIO_REDES!$W:$W,0),MATCH(BA$5,APOIO_REDES!$5:$5,0)),0))*$M1197/10,0)</f>
        <v>1.00988639407465</v>
      </c>
      <c r="BB1197" s="153" t="n">
        <f aca="false">IFERROR(IF($N1197="VCA",INDEX(APOIO_REDES!$A:$W,MATCH($C1197&amp;$I1197&amp;$H1197&amp;$N1197&amp;$O1197,APOIO_REDES!$W:$W,0),MATCH(BB$5,APOIO_REDES!$5:$5,0)),0)*($AI1197+$AQ1197+$AR1197),0)</f>
        <v>5.20534135434991</v>
      </c>
      <c r="BC1197" s="153" t="n">
        <f aca="false">IFERROR(IF($N1197="VCA",INDEX(APOIO_REDES!$A:$W,MATCH($C1197&amp;$I1197&amp;$H1197&amp;$N1197&amp;$O1197,APOIO_REDES!$W:$W,0),MATCH(BC$5,APOIO_REDES!$5:$5,0)),0)*($AI1197+$AQ1197+$AR1197),0)</f>
        <v>0.0572586456500899</v>
      </c>
      <c r="BD1197" s="153" t="n">
        <f aca="false">IF(AND($N1197="VCA",$AF1197&gt;=1.25,$AF1197&lt;1.5),$M1197*$AF1197*2,0)</f>
        <v>36.5876</v>
      </c>
      <c r="BE1197" s="153" t="n">
        <f aca="false">IF(AND($N1197="VCA",$AF1197&gt;=1.5,$AF1197&lt;3),$M1197*$AF1197*2,0)</f>
        <v>0</v>
      </c>
      <c r="BF1197" s="153" t="n">
        <f aca="false">IF(AND($N1197="VCA",$AF1197&gt;=3),$M1197*$AF1197*2,0)</f>
        <v>0</v>
      </c>
      <c r="BG1197" s="153" t="n">
        <f aca="false">($BB1197+$BC1197)*$AK1197</f>
        <v>23.6817</v>
      </c>
      <c r="BH1197" s="153" t="n">
        <f aca="false">IF(AND($M1197&lt;&gt;"",$N1197="VCA",$Q1197="LINEAR"),($M1197*2)/100,IF(AND($M1197&lt;&gt;"",$N1197="MND",$Q1197="EMBOQUE"),($AN1197*2)/100,0))</f>
        <v>0.2506</v>
      </c>
      <c r="BI1197" s="153" t="n">
        <f aca="false">IF(AND($M1197&lt;&gt;"",$N1197="VCA",$Q1197="LINEAR"),$M1197,IF(AND($M1197&lt;&gt;"",$N1197="MND",$Q1197="EMBOQUE"),$AN1197*2,0))</f>
        <v>12.53</v>
      </c>
      <c r="BJ1197" s="153" t="n">
        <f aca="false">IF(AND($M1197&lt;&gt;"",$N1197="VCA",$Q1197="LINEAR"),($M1197*6.8)/100,IF(AND($M1197&lt;&gt;"",$N1197="MND",$Q1197="EMBOQUE"),($AN1197*2*6.8)/100,0))</f>
        <v>0.85204</v>
      </c>
      <c r="BK1197" s="153" t="n">
        <f aca="false">IF(AND($M1197&lt;&gt;"",$N1197="VCA",$Q1197="LINEAR"),($M1197*2.5)/50,IF(AND($M1197&lt;&gt;"",$N1197="MND",$Q1197="EMBOQUE"),($AN1197*2*2.5)/50,0))</f>
        <v>0.6265</v>
      </c>
      <c r="BL1197" s="157" t="str">
        <f aca="false">K1197&amp;J1197</f>
        <v>Zona10REDES</v>
      </c>
      <c r="BM1197" s="152" t="s">
        <v>5703</v>
      </c>
      <c r="BN1197" s="152" t="s">
        <v>1560</v>
      </c>
      <c r="BO1197" s="152" t="s">
        <v>4004</v>
      </c>
      <c r="BP1197" s="152" t="s">
        <v>6058</v>
      </c>
      <c r="BQ1197" s="152" t="s">
        <v>6065</v>
      </c>
      <c r="BR1197" s="152" t="s">
        <v>6055</v>
      </c>
      <c r="BS1197" s="152" t="n">
        <v>203494.582</v>
      </c>
      <c r="BT1197" s="152" t="n">
        <v>8236869.557</v>
      </c>
      <c r="BU1197" s="152" t="n">
        <v>203494.312</v>
      </c>
      <c r="BV1197" s="152" t="n">
        <v>8236857.026</v>
      </c>
      <c r="BW1197" s="152" t="n">
        <v>-15.9297874</v>
      </c>
      <c r="BX1197" s="152" t="n">
        <v>-47.7694102</v>
      </c>
      <c r="BY1197" s="152" t="s">
        <v>6058</v>
      </c>
    </row>
    <row r="1198" customFormat="false" ht="13.8" hidden="false" customHeight="false" outlineLevel="0" collapsed="false">
      <c r="A1198" s="149" t="n">
        <f aca="false">IF(C1198&lt;&gt;"",ROW(A1193),"")</f>
        <v>1193</v>
      </c>
      <c r="B1198" s="150" t="str">
        <f aca="false">HYPERLINK("https://www.google.com/maps/dir/-15.917302,-47.760003/-15.9298425,-47.7694478/data=!4m3!4m2!3e0!5i2")</f>
        <v>https://www.google.com/maps/dir/-15.917302,-47.760003/-15.9298425,-47.7694478/data=!4m3!4m2!3e0!5i2</v>
      </c>
      <c r="C1198" s="151" t="s">
        <v>117</v>
      </c>
      <c r="D1198" s="152" t="s">
        <v>112</v>
      </c>
      <c r="E1198" s="152" t="s">
        <v>113</v>
      </c>
      <c r="F1198" s="152" t="s">
        <v>117</v>
      </c>
      <c r="G1198" s="152" t="s">
        <v>114</v>
      </c>
      <c r="H1198" s="152" t="n">
        <v>160</v>
      </c>
      <c r="I1198" s="152" t="s">
        <v>115</v>
      </c>
      <c r="J1198" s="152" t="s">
        <v>6</v>
      </c>
      <c r="K1198" s="152" t="s">
        <v>5700</v>
      </c>
      <c r="L1198" s="152" t="s">
        <v>120</v>
      </c>
      <c r="M1198" s="153" t="n">
        <f aca="false">3.81</f>
        <v>3.81</v>
      </c>
      <c r="N1198" s="152" t="s">
        <v>1548</v>
      </c>
      <c r="O1198" s="152" t="s">
        <v>1549</v>
      </c>
      <c r="P1198" s="152" t="s">
        <v>1550</v>
      </c>
      <c r="Q1198" s="152" t="s">
        <v>1551</v>
      </c>
      <c r="R1198" s="154" t="s">
        <v>6066</v>
      </c>
      <c r="S1198" s="154" t="s">
        <v>1593</v>
      </c>
      <c r="T1198" s="155" t="s">
        <v>4002</v>
      </c>
      <c r="U1198" s="152" t="str">
        <f aca="false">RIGHT(T1198,7)</f>
        <v>015/037</v>
      </c>
      <c r="V1198" s="152" t="s">
        <v>1555</v>
      </c>
      <c r="W1198" s="156" t="n">
        <v>45882</v>
      </c>
      <c r="X1198" s="152" t="s">
        <v>1594</v>
      </c>
      <c r="Y1198" s="152" t="s">
        <v>2387</v>
      </c>
      <c r="Z1198" s="152" t="s">
        <v>1557</v>
      </c>
      <c r="AA1198" s="153" t="n">
        <v>4.5</v>
      </c>
      <c r="AB1198" s="151" t="s">
        <v>6067</v>
      </c>
      <c r="AC1198" s="151" t="s">
        <v>505</v>
      </c>
      <c r="AD1198" s="151" t="str">
        <f aca="false">CONCATENATE($C1198,$I1198,$H1198,$N1198,$J1198,$K1198)</f>
        <v>TUBO PEADPEAD160VCAREDESZona10</v>
      </c>
      <c r="AE1198" s="153" t="n">
        <f aca="false">IFERROR(INDEX(APOIO_REDES!$A:$W,MATCH($C1198&amp;$I1198&amp;$H1198&amp;$N1198&amp;$O1198,APOIO_REDES!$W:$W,0),MATCH(AE$5,APOIO_REDES!$5:$5,0)),0)</f>
        <v>1.2</v>
      </c>
      <c r="AF1198" s="153" t="n">
        <f aca="false">IFERROR(INDEX(APOIO_REDES!$A:$W,MATCH($C1198&amp;$I1198&amp;$H1198&amp;$N1198&amp;$O1198,APOIO_REDES!$W:$W,0),MATCH(AF$5,APOIO_REDES!$5:$5,0)),0)</f>
        <v>1.46</v>
      </c>
      <c r="AG1198" s="153" t="n">
        <f aca="false">IFERROR(INDEX(APOIO_REDES!$A:$W,MATCH($C1198&amp;$I1198&amp;$H1198&amp;$N1198&amp;$O1198,APOIO_REDES!$W:$W,0),MATCH(AG$5,APOIO_REDES!$5:$5,0)),0)</f>
        <v>0.75</v>
      </c>
      <c r="AH1198" s="153" t="n">
        <f aca="false">IFERROR(INDEX(APOIO_REDES!$A:$W,MATCH($C1198&amp;$I1198&amp;$H1198&amp;$N1198&amp;$O1198,APOIO_REDES!$W:$W,0),MATCH(AH$5,APOIO_REDES!$5:$5,0)),0)</f>
        <v>0.1</v>
      </c>
      <c r="AI1198" s="153" t="n">
        <f aca="false">IFERROR(IF($H1198&lt;&gt;"",(((($H1198/1000)/2)^2)*PI()*$M1198),0),0)</f>
        <v>0.0766045952651335</v>
      </c>
      <c r="AJ1198" s="153" t="n">
        <f aca="false">IFERROR(IF(AND($H1198&lt;&gt;"",$I1198="FoFo",OR($N1198="MND",$N1198="VCA"),$Q1198="LINEAR"),0,IF(AND($H1198&lt;&gt;"",$I1198="PEAD",$N1198="VCA",$Q1198="LINEAR"),($H1198/1000)+0.3,IF(AND($H1198&lt;&gt;"",$I1198="PEAD",$N1198="MND",$Q1198="EMBOQUE"),0,IF(AND($H1198&lt;&gt;"",$I1198="PVC",$N1198="VCA",$Q1198="LINEAR"),($H1198/1000)+0.2,IF(AND($H1198&lt;&gt;"",$I1198="PVC",$N1198="MND",$Q1198="EMBOQUE"),0,IF(AND($H1198&lt;&gt;"",$I1198="PEAD",$N1198="VCA",$Q1198="PREDIAL"),0,0)))))),0)</f>
        <v>0.46</v>
      </c>
      <c r="AK1198" s="153" t="n">
        <f aca="false">IF(AA1198&lt;&gt;"",AA1198,0)</f>
        <v>4.5</v>
      </c>
      <c r="AL1198" s="153" t="n">
        <f aca="false">IF(AND($N1198="MND",$Q1198="EMBOQUE"),$M1198,IF(AND($N1198="VCA",$Q1198="LINEAR"),$M1198,IF(AND($N1198="VCA",$Q1198="PREDIAL"),0,0)))</f>
        <v>3.81</v>
      </c>
      <c r="AM1198" s="153" t="n">
        <f aca="false">IF(AND($N1198="MND",$Q1198="EMBOQUE"),$M1198,IF(AND($N1198="VCA",$Q1198="LINEAR"),$M1198,IF(AND($N1198="VCA",$Q1198="PREDIAL"),0,0)))</f>
        <v>3.81</v>
      </c>
      <c r="AN1198" s="153" t="n">
        <f aca="false">ROUND(IF(AND($N1198="VCA",$M1198&lt;&gt;"",$Q1198="LINEAR"),$M1198/100,IF(AND($N1198="MND",$M1198&gt;100,$Q1198="EMBOQUE"),$M1198/100,0)),0)</f>
        <v>0</v>
      </c>
      <c r="AO1198" s="153" t="n">
        <f aca="false">IF(AND($N1198="MND",$Q1198="EMBOQUE"),$AN1198*2*2,IF(AND($N1198="VCA",$Q1198="LINEAR"),$M1198*2,IF(AND($N1198="VCA",$Q1198="PREDIAL"),0,0)))</f>
        <v>7.62</v>
      </c>
      <c r="AP1198" s="153" t="n">
        <f aca="false">IFERROR($M1198*$AF1198*$AG1198,0)</f>
        <v>4.17195</v>
      </c>
      <c r="AQ1198" s="153" t="n">
        <f aca="false">IFERROR(IF(AND($N1198="VCA",$AH1198&gt;0),$M1198*$AG1198*$AH1198,0),0)</f>
        <v>0.28575</v>
      </c>
      <c r="AR1198" s="153" t="n">
        <f aca="false">IFERROR(IF(AND($N1198="VCA",$AJ1198&gt;0),($M1198*$AG1198*$AJ1198)-$AI1198,0),0)</f>
        <v>1.23784540473487</v>
      </c>
      <c r="AS1198" s="153" t="n">
        <f aca="false">IFERROR(IF(AND($N1198="VCA",$AP1198&gt;0),$AP1198-$AI1198-$AQ1198-$AR1198,0),0)</f>
        <v>2.57175</v>
      </c>
      <c r="AT1198" s="153" t="n">
        <f aca="false">IFERROR(IF($N1198="VCA",INDEX(APOIO_REDES!$A:$W,MATCH($C1198&amp;$I1198&amp;$H1198&amp;$N1198&amp;$O1198,APOIO_REDES!$W:$W,0),MATCH(AT$5,APOIO_REDES!$5:$5,0)),0)*$AP1198,0)</f>
        <v>0.045392050834168</v>
      </c>
      <c r="AU1198" s="153" t="n">
        <f aca="false">IFERROR(IF($N1198="VCA",INDEX(APOIO_REDES!$A:$W,MATCH($C1198&amp;$I1198&amp;$H1198&amp;$N1198&amp;$O1198,APOIO_REDES!$W:$W,0),MATCH(AU$5,APOIO_REDES!$5:$5,0)),0)*$AP1198,0)</f>
        <v>0.0362488624235203</v>
      </c>
      <c r="AV1198" s="153" t="n">
        <f aca="false">IFERROR(IF($N1198="VCA",INDEX(APOIO_REDES!$A:$W,MATCH($C1198&amp;$I1198&amp;$H1198&amp;$N1198&amp;$O1198,APOIO_REDES!$W:$W,0),MATCH(AV$5,APOIO_REDES!$5:$5,0)),0)*$AP1198,0)</f>
        <v>0.00501655799468796</v>
      </c>
      <c r="AW1198" s="153" t="n">
        <f aca="false">IFERROR(IF($N1198="VCA",INDEX(APOIO_REDES!$A:$W,MATCH($C1198&amp;$I1198&amp;$H1198&amp;$N1198&amp;$O1198,APOIO_REDES!$W:$W,0),MATCH(AW$5,APOIO_REDES!$5:$5,0)),0)*$AP1198,0)</f>
        <v>2.86365880584602</v>
      </c>
      <c r="AX1198" s="153" t="n">
        <f aca="false">IFERROR(IF($N1198="VCA",INDEX(APOIO_REDES!$A:$W,MATCH($C1198&amp;$I1198&amp;$H1198&amp;$N1198&amp;$O1198,APOIO_REDES!$W:$W,0),MATCH(AX$5,APOIO_REDES!$5:$5,0)),0)*$AP1198,0)</f>
        <v>0.396322221442573</v>
      </c>
      <c r="AY1198" s="153" t="n">
        <f aca="false">IFERROR(IF($N1198="VCA",INDEX(APOIO_REDES!$A:$W,MATCH($C1198&amp;$I1198&amp;$H1198&amp;$N1198&amp;$O1198,APOIO_REDES!$W:$W,0),MATCH(AY$5,APOIO_REDES!$5:$5,0)),0)*$AP1198,0)</f>
        <v>0.724976806599712</v>
      </c>
      <c r="AZ1198" s="153" t="n">
        <f aca="false">IFERROR(IF($N1198="VCA",INDEX(APOIO_REDES!$A:$W,MATCH($C1198&amp;$I1198&amp;$H1198&amp;$N1198&amp;$O1198,APOIO_REDES!$W:$W,0),MATCH(AZ$5,APOIO_REDES!$5:$5,0)),0)*$AP1198,0)</f>
        <v>0.100334694859315</v>
      </c>
      <c r="BA1198" s="153" t="n">
        <f aca="false">IFERROR(IF(AND($N1198="VCA",$Q1198="LINEAR"),INDEX(APOIO_REDES!$A:$W,MATCH($C1198&amp;$I1198&amp;$H1198&amp;$N1198&amp;$O1198,APOIO_REDES!$W:$W,0),MATCH(BA$5,APOIO_REDES!$5:$5,0)),IF(AND($N1198="MND",$Q1198="EMBOQUE"),INDEX(APOIO_REDES!$A:$W,MATCH($C1198&amp;$I1198&amp;$H1198&amp;$N1198&amp;$O1198,APOIO_REDES!$W:$W,0),MATCH(BA$5,APOIO_REDES!$5:$5,0)),0))*$M1198/10,0)</f>
        <v>0.307076389578963</v>
      </c>
      <c r="BB1198" s="153" t="n">
        <f aca="false">IFERROR(IF($N1198="VCA",INDEX(APOIO_REDES!$A:$W,MATCH($C1198&amp;$I1198&amp;$H1198&amp;$N1198&amp;$O1198,APOIO_REDES!$W:$W,0),MATCH(BB$5,APOIO_REDES!$5:$5,0)),0)*($AI1198+$AQ1198+$AR1198),0)</f>
        <v>1.58278935036498</v>
      </c>
      <c r="BC1198" s="153" t="n">
        <f aca="false">IFERROR(IF($N1198="VCA",INDEX(APOIO_REDES!$A:$W,MATCH($C1198&amp;$I1198&amp;$H1198&amp;$N1198&amp;$O1198,APOIO_REDES!$W:$W,0),MATCH(BC$5,APOIO_REDES!$5:$5,0)),0)*($AI1198+$AQ1198+$AR1198),0)</f>
        <v>0.0174106496350234</v>
      </c>
      <c r="BD1198" s="153" t="n">
        <f aca="false">IF(AND($N1198="VCA",$AF1198&gt;=1.25,$AF1198&lt;1.5),$M1198*$AF1198*2,0)</f>
        <v>11.1252</v>
      </c>
      <c r="BE1198" s="153" t="n">
        <f aca="false">IF(AND($N1198="VCA",$AF1198&gt;=1.5,$AF1198&lt;3),$M1198*$AF1198*2,0)</f>
        <v>0</v>
      </c>
      <c r="BF1198" s="153" t="n">
        <f aca="false">IF(AND($N1198="VCA",$AF1198&gt;=3),$M1198*$AF1198*2,0)</f>
        <v>0</v>
      </c>
      <c r="BG1198" s="153" t="n">
        <f aca="false">($BB1198+$BC1198)*$AK1198</f>
        <v>7.2009</v>
      </c>
      <c r="BH1198" s="153" t="n">
        <f aca="false">IF(AND($M1198&lt;&gt;"",$N1198="VCA",$Q1198="LINEAR"),($M1198*2)/100,IF(AND($M1198&lt;&gt;"",$N1198="MND",$Q1198="EMBOQUE"),($AN1198*2)/100,0))</f>
        <v>0.0762</v>
      </c>
      <c r="BI1198" s="153" t="n">
        <f aca="false">IF(AND($M1198&lt;&gt;"",$N1198="VCA",$Q1198="LINEAR"),$M1198,IF(AND($M1198&lt;&gt;"",$N1198="MND",$Q1198="EMBOQUE"),$AN1198*2,0))</f>
        <v>3.81</v>
      </c>
      <c r="BJ1198" s="153" t="n">
        <f aca="false">IF(AND($M1198&lt;&gt;"",$N1198="VCA",$Q1198="LINEAR"),($M1198*6.8)/100,IF(AND($M1198&lt;&gt;"",$N1198="MND",$Q1198="EMBOQUE"),($AN1198*2*6.8)/100,0))</f>
        <v>0.25908</v>
      </c>
      <c r="BK1198" s="153" t="n">
        <f aca="false">IF(AND($M1198&lt;&gt;"",$N1198="VCA",$Q1198="LINEAR"),($M1198*2.5)/50,IF(AND($M1198&lt;&gt;"",$N1198="MND",$Q1198="EMBOQUE"),($AN1198*2*2.5)/50,0))</f>
        <v>0.1905</v>
      </c>
      <c r="BL1198" s="157" t="str">
        <f aca="false">K1198&amp;J1198</f>
        <v>Zona10REDES</v>
      </c>
      <c r="BM1198" s="152" t="s">
        <v>5703</v>
      </c>
      <c r="BN1198" s="152" t="s">
        <v>1560</v>
      </c>
      <c r="BO1198" s="152" t="s">
        <v>4004</v>
      </c>
      <c r="BP1198" s="152" t="s">
        <v>6040</v>
      </c>
      <c r="BQ1198" s="152" t="s">
        <v>6065</v>
      </c>
      <c r="BR1198" s="152" t="s">
        <v>5123</v>
      </c>
      <c r="BS1198" s="152" t="n">
        <v>203490.521</v>
      </c>
      <c r="BT1198" s="152" t="n">
        <v>8236857.135</v>
      </c>
      <c r="BU1198" s="152" t="n">
        <v>203494.312</v>
      </c>
      <c r="BV1198" s="152" t="n">
        <v>8236857.026</v>
      </c>
      <c r="BW1198" s="152" t="n">
        <v>-15.9298433</v>
      </c>
      <c r="BX1198" s="152" t="n">
        <v>-47.7694302</v>
      </c>
      <c r="BY1198" s="152" t="s">
        <v>6040</v>
      </c>
    </row>
    <row r="1199" customFormat="false" ht="13.8" hidden="false" customHeight="false" outlineLevel="0" collapsed="false">
      <c r="A1199" s="149" t="n">
        <f aca="false">IF(C1199&lt;&gt;"",ROW(A1194),"")</f>
        <v>1194</v>
      </c>
      <c r="B1199" s="150" t="str">
        <f aca="false">HYPERLINK("https://www.google.com/maps/dir/-15.917302,-47.760003/-15.9298439,-47.7694124/data=!4m3!4m2!3e0!5i2")</f>
        <v>https://www.google.com/maps/dir/-15.917302,-47.760003/-15.9298439,-47.7694124/data=!4m3!4m2!3e0!5i2</v>
      </c>
      <c r="C1199" s="151" t="s">
        <v>117</v>
      </c>
      <c r="D1199" s="152" t="s">
        <v>112</v>
      </c>
      <c r="E1199" s="152" t="s">
        <v>113</v>
      </c>
      <c r="F1199" s="152" t="s">
        <v>117</v>
      </c>
      <c r="G1199" s="152" t="s">
        <v>114</v>
      </c>
      <c r="H1199" s="152" t="n">
        <v>160</v>
      </c>
      <c r="I1199" s="152" t="s">
        <v>115</v>
      </c>
      <c r="J1199" s="152" t="s">
        <v>6</v>
      </c>
      <c r="K1199" s="152" t="s">
        <v>5700</v>
      </c>
      <c r="L1199" s="152" t="s">
        <v>120</v>
      </c>
      <c r="M1199" s="153" t="n">
        <f aca="false">4.36</f>
        <v>4.36</v>
      </c>
      <c r="N1199" s="152" t="s">
        <v>1548</v>
      </c>
      <c r="O1199" s="152" t="s">
        <v>1549</v>
      </c>
      <c r="P1199" s="152" t="s">
        <v>1550</v>
      </c>
      <c r="Q1199" s="152" t="s">
        <v>1551</v>
      </c>
      <c r="R1199" s="154" t="s">
        <v>6068</v>
      </c>
      <c r="S1199" s="154" t="s">
        <v>1593</v>
      </c>
      <c r="T1199" s="155" t="s">
        <v>4002</v>
      </c>
      <c r="U1199" s="152" t="str">
        <f aca="false">RIGHT(T1199,7)</f>
        <v>015/037</v>
      </c>
      <c r="V1199" s="152" t="s">
        <v>1555</v>
      </c>
      <c r="W1199" s="156" t="n">
        <v>45882</v>
      </c>
      <c r="X1199" s="152" t="s">
        <v>1594</v>
      </c>
      <c r="Y1199" s="152" t="s">
        <v>2387</v>
      </c>
      <c r="Z1199" s="152" t="s">
        <v>1557</v>
      </c>
      <c r="AA1199" s="153" t="n">
        <v>4.5</v>
      </c>
      <c r="AB1199" s="151" t="s">
        <v>6069</v>
      </c>
      <c r="AC1199" s="151" t="s">
        <v>505</v>
      </c>
      <c r="AD1199" s="151" t="str">
        <f aca="false">CONCATENATE($C1199,$I1199,$H1199,$N1199,$J1199,$K1199)</f>
        <v>TUBO PEADPEAD160VCAREDESZona10</v>
      </c>
      <c r="AE1199" s="153" t="n">
        <f aca="false">IFERROR(INDEX(APOIO_REDES!$A:$W,MATCH($C1199&amp;$I1199&amp;$H1199&amp;$N1199&amp;$O1199,APOIO_REDES!$W:$W,0),MATCH(AE$5,APOIO_REDES!$5:$5,0)),0)</f>
        <v>1.2</v>
      </c>
      <c r="AF1199" s="153" t="n">
        <f aca="false">IFERROR(INDEX(APOIO_REDES!$A:$W,MATCH($C1199&amp;$I1199&amp;$H1199&amp;$N1199&amp;$O1199,APOIO_REDES!$W:$W,0),MATCH(AF$5,APOIO_REDES!$5:$5,0)),0)</f>
        <v>1.46</v>
      </c>
      <c r="AG1199" s="153" t="n">
        <f aca="false">IFERROR(INDEX(APOIO_REDES!$A:$W,MATCH($C1199&amp;$I1199&amp;$H1199&amp;$N1199&amp;$O1199,APOIO_REDES!$W:$W,0),MATCH(AG$5,APOIO_REDES!$5:$5,0)),0)</f>
        <v>0.75</v>
      </c>
      <c r="AH1199" s="153" t="n">
        <f aca="false">IFERROR(INDEX(APOIO_REDES!$A:$W,MATCH($C1199&amp;$I1199&amp;$H1199&amp;$N1199&amp;$O1199,APOIO_REDES!$W:$W,0),MATCH(AH$5,APOIO_REDES!$5:$5,0)),0)</f>
        <v>0.1</v>
      </c>
      <c r="AI1199" s="153" t="n">
        <f aca="false">IFERROR(IF($H1199&lt;&gt;"",(((($H1199/1000)/2)^2)*PI()*$M1199),0),0)</f>
        <v>0.0876630014057696</v>
      </c>
      <c r="AJ1199" s="153" t="n">
        <f aca="false">IFERROR(IF(AND($H1199&lt;&gt;"",$I1199="FoFo",OR($N1199="MND",$N1199="VCA"),$Q1199="LINEAR"),0,IF(AND($H1199&lt;&gt;"",$I1199="PEAD",$N1199="VCA",$Q1199="LINEAR"),($H1199/1000)+0.3,IF(AND($H1199&lt;&gt;"",$I1199="PEAD",$N1199="MND",$Q1199="EMBOQUE"),0,IF(AND($H1199&lt;&gt;"",$I1199="PVC",$N1199="VCA",$Q1199="LINEAR"),($H1199/1000)+0.2,IF(AND($H1199&lt;&gt;"",$I1199="PVC",$N1199="MND",$Q1199="EMBOQUE"),0,IF(AND($H1199&lt;&gt;"",$I1199="PEAD",$N1199="VCA",$Q1199="PREDIAL"),0,0)))))),0)</f>
        <v>0.46</v>
      </c>
      <c r="AK1199" s="153" t="n">
        <f aca="false">IF(AA1199&lt;&gt;"",AA1199,0)</f>
        <v>4.5</v>
      </c>
      <c r="AL1199" s="153" t="n">
        <f aca="false">IF(AND($N1199="MND",$Q1199="EMBOQUE"),$M1199,IF(AND($N1199="VCA",$Q1199="LINEAR"),$M1199,IF(AND($N1199="VCA",$Q1199="PREDIAL"),0,0)))</f>
        <v>4.36</v>
      </c>
      <c r="AM1199" s="153" t="n">
        <f aca="false">IF(AND($N1199="MND",$Q1199="EMBOQUE"),$M1199,IF(AND($N1199="VCA",$Q1199="LINEAR"),$M1199,IF(AND($N1199="VCA",$Q1199="PREDIAL"),0,0)))</f>
        <v>4.36</v>
      </c>
      <c r="AN1199" s="153" t="n">
        <f aca="false">ROUND(IF(AND($N1199="VCA",$M1199&lt;&gt;"",$Q1199="LINEAR"),$M1199/100,IF(AND($N1199="MND",$M1199&gt;100,$Q1199="EMBOQUE"),$M1199/100,0)),0)</f>
        <v>0</v>
      </c>
      <c r="AO1199" s="153" t="n">
        <f aca="false">IF(AND($N1199="MND",$Q1199="EMBOQUE"),$AN1199*2*2,IF(AND($N1199="VCA",$Q1199="LINEAR"),$M1199*2,IF(AND($N1199="VCA",$Q1199="PREDIAL"),0,0)))</f>
        <v>8.72</v>
      </c>
      <c r="AP1199" s="153" t="n">
        <f aca="false">IFERROR($M1199*$AF1199*$AG1199,0)</f>
        <v>4.7742</v>
      </c>
      <c r="AQ1199" s="153" t="n">
        <f aca="false">IFERROR(IF(AND($N1199="VCA",$AH1199&gt;0),$M1199*$AG1199*$AH1199,0),0)</f>
        <v>0.327</v>
      </c>
      <c r="AR1199" s="153" t="n">
        <f aca="false">IFERROR(IF(AND($N1199="VCA",$AJ1199&gt;0),($M1199*$AG1199*$AJ1199)-$AI1199,0),0)</f>
        <v>1.41653699859423</v>
      </c>
      <c r="AS1199" s="153" t="n">
        <f aca="false">IFERROR(IF(AND($N1199="VCA",$AP1199&gt;0),$AP1199-$AI1199-$AQ1199-$AR1199,0),0)</f>
        <v>2.943</v>
      </c>
      <c r="AT1199" s="153" t="n">
        <f aca="false">IFERROR(IF($N1199="VCA",INDEX(APOIO_REDES!$A:$W,MATCH($C1199&amp;$I1199&amp;$H1199&amp;$N1199&amp;$O1199,APOIO_REDES!$W:$W,0),MATCH(AT$5,APOIO_REDES!$5:$5,0)),0)*$AP1199,0)</f>
        <v>0.0519447090910689</v>
      </c>
      <c r="AU1199" s="153" t="n">
        <f aca="false">IFERROR(IF($N1199="VCA",INDEX(APOIO_REDES!$A:$W,MATCH($C1199&amp;$I1199&amp;$H1199&amp;$N1199&amp;$O1199,APOIO_REDES!$W:$W,0),MATCH(AU$5,APOIO_REDES!$5:$5,0)),0)*$AP1199,0)</f>
        <v>0.0414816378389892</v>
      </c>
      <c r="AV1199" s="153" t="n">
        <f aca="false">IFERROR(IF($N1199="VCA",INDEX(APOIO_REDES!$A:$W,MATCH($C1199&amp;$I1199&amp;$H1199&amp;$N1199&amp;$O1199,APOIO_REDES!$W:$W,0),MATCH(AV$5,APOIO_REDES!$5:$5,0)),0)*$AP1199,0)</f>
        <v>0.0057407330332912</v>
      </c>
      <c r="AW1199" s="153" t="n">
        <f aca="false">IFERROR(IF($N1199="VCA",INDEX(APOIO_REDES!$A:$W,MATCH($C1199&amp;$I1199&amp;$H1199&amp;$N1199&amp;$O1199,APOIO_REDES!$W:$W,0),MATCH(AW$5,APOIO_REDES!$5:$5,0)),0)*$AP1199,0)</f>
        <v>3.27704787230674</v>
      </c>
      <c r="AX1199" s="153" t="n">
        <f aca="false">IFERROR(IF($N1199="VCA",INDEX(APOIO_REDES!$A:$W,MATCH($C1199&amp;$I1199&amp;$H1199&amp;$N1199&amp;$O1199,APOIO_REDES!$W:$W,0),MATCH(AX$5,APOIO_REDES!$5:$5,0)),0)*$AP1199,0)</f>
        <v>0.453534090679689</v>
      </c>
      <c r="AY1199" s="153" t="n">
        <f aca="false">IFERROR(IF($N1199="VCA",INDEX(APOIO_REDES!$A:$W,MATCH($C1199&amp;$I1199&amp;$H1199&amp;$N1199&amp;$O1199,APOIO_REDES!$W:$W,0),MATCH(AY$5,APOIO_REDES!$5:$5,0)),0)*$AP1199,0)</f>
        <v>0.829632251121981</v>
      </c>
      <c r="AZ1199" s="153" t="n">
        <f aca="false">IFERROR(IF($N1199="VCA",INDEX(APOIO_REDES!$A:$W,MATCH($C1199&amp;$I1199&amp;$H1199&amp;$N1199&amp;$O1199,APOIO_REDES!$W:$W,0),MATCH(AZ$5,APOIO_REDES!$5:$5,0)),0)*$AP1199,0)</f>
        <v>0.114818705928245</v>
      </c>
      <c r="BA1199" s="153" t="n">
        <f aca="false">IFERROR(IF(AND($N1199="VCA",$Q1199="LINEAR"),INDEX(APOIO_REDES!$A:$W,MATCH($C1199&amp;$I1199&amp;$H1199&amp;$N1199&amp;$O1199,APOIO_REDES!$W:$W,0),MATCH(BA$5,APOIO_REDES!$5:$5,0)),IF(AND($N1199="MND",$Q1199="EMBOQUE"),INDEX(APOIO_REDES!$A:$W,MATCH($C1199&amp;$I1199&amp;$H1199&amp;$N1199&amp;$O1199,APOIO_REDES!$W:$W,0),MATCH(BA$5,APOIO_REDES!$5:$5,0)),0))*$M1199/10,0)</f>
        <v>0.351405002247842</v>
      </c>
      <c r="BB1199" s="153" t="n">
        <f aca="false">IFERROR(IF($N1199="VCA",INDEX(APOIO_REDES!$A:$W,MATCH($C1199&amp;$I1199&amp;$H1199&amp;$N1199&amp;$O1199,APOIO_REDES!$W:$W,0),MATCH(BB$5,APOIO_REDES!$5:$5,0)),0)*($AI1199+$AQ1199+$AR1199),0)</f>
        <v>1.81127600199247</v>
      </c>
      <c r="BC1199" s="153" t="n">
        <f aca="false">IFERROR(IF($N1199="VCA",INDEX(APOIO_REDES!$A:$W,MATCH($C1199&amp;$I1199&amp;$H1199&amp;$N1199&amp;$O1199,APOIO_REDES!$W:$W,0),MATCH(BC$5,APOIO_REDES!$5:$5,0)),0)*($AI1199+$AQ1199+$AR1199),0)</f>
        <v>0.0199239980075333</v>
      </c>
      <c r="BD1199" s="153" t="n">
        <f aca="false">IF(AND($N1199="VCA",$AF1199&gt;=1.25,$AF1199&lt;1.5),$M1199*$AF1199*2,0)</f>
        <v>12.7312</v>
      </c>
      <c r="BE1199" s="153" t="n">
        <f aca="false">IF(AND($N1199="VCA",$AF1199&gt;=1.5,$AF1199&lt;3),$M1199*$AF1199*2,0)</f>
        <v>0</v>
      </c>
      <c r="BF1199" s="153" t="n">
        <f aca="false">IF(AND($N1199="VCA",$AF1199&gt;=3),$M1199*$AF1199*2,0)</f>
        <v>0</v>
      </c>
      <c r="BG1199" s="153" t="n">
        <f aca="false">($BB1199+$BC1199)*$AK1199</f>
        <v>8.2404</v>
      </c>
      <c r="BH1199" s="153" t="n">
        <f aca="false">IF(AND($M1199&lt;&gt;"",$N1199="VCA",$Q1199="LINEAR"),($M1199*2)/100,IF(AND($M1199&lt;&gt;"",$N1199="MND",$Q1199="EMBOQUE"),($AN1199*2)/100,0))</f>
        <v>0.0872</v>
      </c>
      <c r="BI1199" s="153" t="n">
        <f aca="false">IF(AND($M1199&lt;&gt;"",$N1199="VCA",$Q1199="LINEAR"),$M1199,IF(AND($M1199&lt;&gt;"",$N1199="MND",$Q1199="EMBOQUE"),$AN1199*2,0))</f>
        <v>4.36</v>
      </c>
      <c r="BJ1199" s="153" t="n">
        <f aca="false">IF(AND($M1199&lt;&gt;"",$N1199="VCA",$Q1199="LINEAR"),($M1199*6.8)/100,IF(AND($M1199&lt;&gt;"",$N1199="MND",$Q1199="EMBOQUE"),($AN1199*2*6.8)/100,0))</f>
        <v>0.29648</v>
      </c>
      <c r="BK1199" s="153" t="n">
        <f aca="false">IF(AND($M1199&lt;&gt;"",$N1199="VCA",$Q1199="LINEAR"),($M1199*2.5)/50,IF(AND($M1199&lt;&gt;"",$N1199="MND",$Q1199="EMBOQUE"),($AN1199*2*2.5)/50,0))</f>
        <v>0.218</v>
      </c>
      <c r="BL1199" s="157" t="str">
        <f aca="false">K1199&amp;J1199</f>
        <v>Zona10REDES</v>
      </c>
      <c r="BM1199" s="152" t="s">
        <v>5703</v>
      </c>
      <c r="BN1199" s="152" t="s">
        <v>1560</v>
      </c>
      <c r="BO1199" s="152" t="s">
        <v>4004</v>
      </c>
      <c r="BP1199" s="152" t="s">
        <v>6065</v>
      </c>
      <c r="BQ1199" s="152" t="s">
        <v>5990</v>
      </c>
      <c r="BR1199" s="152" t="s">
        <v>6055</v>
      </c>
      <c r="BS1199" s="152" t="n">
        <v>203494.312</v>
      </c>
      <c r="BT1199" s="152" t="n">
        <v>8236857.026</v>
      </c>
      <c r="BU1199" s="152" t="n">
        <v>203494.206</v>
      </c>
      <c r="BV1199" s="152" t="n">
        <v>8236852.668</v>
      </c>
      <c r="BW1199" s="152" t="n">
        <v>-15.9298636</v>
      </c>
      <c r="BX1199" s="152" t="n">
        <v>-47.7694132</v>
      </c>
      <c r="BY1199" s="152" t="s">
        <v>6065</v>
      </c>
    </row>
    <row r="1200" customFormat="false" ht="13.8" hidden="false" customHeight="false" outlineLevel="0" collapsed="false">
      <c r="A1200" s="149" t="n">
        <f aca="false">IF(C1200&lt;&gt;"",ROW(A1195),"")</f>
        <v>1195</v>
      </c>
      <c r="B1200" s="150" t="str">
        <f aca="false">HYPERLINK("https://www.google.com/maps/dir/-15.917302,-47.760003/-15.9351876,-47.7667015/data=!4m3!4m2!3e0!5i1")</f>
        <v>https://www.google.com/maps/dir/-15.917302,-47.760003/-15.9351876,-47.7667015/data=!4m3!4m2!3e0!5i1</v>
      </c>
      <c r="C1200" s="151" t="s">
        <v>117</v>
      </c>
      <c r="D1200" s="152" t="s">
        <v>112</v>
      </c>
      <c r="E1200" s="152" t="s">
        <v>113</v>
      </c>
      <c r="F1200" s="152" t="s">
        <v>117</v>
      </c>
      <c r="G1200" s="152" t="s">
        <v>114</v>
      </c>
      <c r="H1200" s="152" t="n">
        <v>500</v>
      </c>
      <c r="I1200" s="152" t="s">
        <v>115</v>
      </c>
      <c r="J1200" s="152" t="s">
        <v>6</v>
      </c>
      <c r="K1200" s="152" t="s">
        <v>2224</v>
      </c>
      <c r="L1200" s="152" t="s">
        <v>120</v>
      </c>
      <c r="M1200" s="153" t="n">
        <f aca="false">13.03+0.1</f>
        <v>13.13</v>
      </c>
      <c r="N1200" s="152" t="s">
        <v>1548</v>
      </c>
      <c r="O1200" s="152" t="s">
        <v>1549</v>
      </c>
      <c r="P1200" s="152" t="s">
        <v>1550</v>
      </c>
      <c r="Q1200" s="152" t="s">
        <v>1551</v>
      </c>
      <c r="R1200" s="154" t="s">
        <v>6070</v>
      </c>
      <c r="S1200" s="154" t="s">
        <v>2226</v>
      </c>
      <c r="T1200" s="155" t="s">
        <v>4451</v>
      </c>
      <c r="U1200" s="152" t="str">
        <f aca="false">RIGHT(T1200,7)</f>
        <v>018/037</v>
      </c>
      <c r="V1200" s="152" t="s">
        <v>1555</v>
      </c>
      <c r="W1200" s="156" t="n">
        <v>45882</v>
      </c>
      <c r="X1200" s="152" t="s">
        <v>1594</v>
      </c>
      <c r="Y1200" s="152" t="s">
        <v>3251</v>
      </c>
      <c r="Z1200" s="152" t="s">
        <v>1557</v>
      </c>
      <c r="AA1200" s="153" t="n">
        <v>3.9</v>
      </c>
      <c r="AB1200" s="151" t="s">
        <v>6071</v>
      </c>
      <c r="AC1200" s="151" t="s">
        <v>523</v>
      </c>
      <c r="AD1200" s="151" t="str">
        <f aca="false">CONCATENATE($C1200,$I1200,$H1200,$N1200,$J1200,$K1200)</f>
        <v>TUBO PEADPEAD500VCAREDESADUTORA</v>
      </c>
      <c r="AE1200" s="153" t="n">
        <f aca="false">IFERROR(INDEX(APOIO_REDES!$A:$W,MATCH($C1200&amp;$I1200&amp;$H1200&amp;$N1200&amp;$O1200,APOIO_REDES!$W:$W,0),MATCH(AE$5,APOIO_REDES!$5:$5,0)),0)</f>
        <v>1.2</v>
      </c>
      <c r="AF1200" s="153" t="n">
        <f aca="false">IFERROR(INDEX(APOIO_REDES!$A:$W,MATCH($C1200&amp;$I1200&amp;$H1200&amp;$N1200&amp;$O1200,APOIO_REDES!$W:$W,0),MATCH(AF$5,APOIO_REDES!$5:$5,0)),0)</f>
        <v>1.8</v>
      </c>
      <c r="AG1200" s="153" t="n">
        <f aca="false">IFERROR(INDEX(APOIO_REDES!$A:$W,MATCH($C1200&amp;$I1200&amp;$H1200&amp;$N1200&amp;$O1200,APOIO_REDES!$W:$W,0),MATCH(AG$5,APOIO_REDES!$5:$5,0)),0)</f>
        <v>1.2</v>
      </c>
      <c r="AH1200" s="153" t="n">
        <f aca="false">IFERROR(INDEX(APOIO_REDES!$A:$W,MATCH($C1200&amp;$I1200&amp;$H1200&amp;$N1200&amp;$O1200,APOIO_REDES!$W:$W,0),MATCH(AH$5,APOIO_REDES!$5:$5,0)),0)</f>
        <v>0.1</v>
      </c>
      <c r="AI1200" s="153" t="n">
        <f aca="false">IFERROR(IF($H1200&lt;&gt;"",(((($H1200/1000)/2)^2)*PI()*$M1200),0),0)</f>
        <v>2.57806947135212</v>
      </c>
      <c r="AJ1200" s="153" t="n">
        <f aca="false">IFERROR(IF(AND($H1200&lt;&gt;"",$I1200="FoFo",OR($N1200="MND",$N1200="VCA"),$Q1200="LINEAR"),0,IF(AND($H1200&lt;&gt;"",$I1200="PEAD",$N1200="VCA",$Q1200="LINEAR"),($H1200/1000)+0.3,IF(AND($H1200&lt;&gt;"",$I1200="PEAD",$N1200="MND",$Q1200="EMBOQUE"),0,IF(AND($H1200&lt;&gt;"",$I1200="PVC",$N1200="VCA",$Q1200="LINEAR"),($H1200/1000)+0.2,IF(AND($H1200&lt;&gt;"",$I1200="PVC",$N1200="MND",$Q1200="EMBOQUE"),0,IF(AND($H1200&lt;&gt;"",$I1200="PEAD",$N1200="VCA",$Q1200="PREDIAL"),0,0)))))),0)</f>
        <v>0.8</v>
      </c>
      <c r="AK1200" s="153" t="n">
        <f aca="false">IF(AA1200&lt;&gt;"",AA1200,0)</f>
        <v>3.9</v>
      </c>
      <c r="AL1200" s="153" t="n">
        <f aca="false">IF(AND($N1200="MND",$Q1200="EMBOQUE"),$M1200,IF(AND($N1200="VCA",$Q1200="LINEAR"),$M1200,IF(AND($N1200="VCA",$Q1200="PREDIAL"),0,0)))</f>
        <v>13.13</v>
      </c>
      <c r="AM1200" s="153" t="n">
        <f aca="false">IF(AND($N1200="MND",$Q1200="EMBOQUE"),$M1200,IF(AND($N1200="VCA",$Q1200="LINEAR"),$M1200,IF(AND($N1200="VCA",$Q1200="PREDIAL"),0,0)))</f>
        <v>13.13</v>
      </c>
      <c r="AN1200" s="153" t="n">
        <f aca="false">ROUND(IF(AND($N1200="VCA",$M1200&lt;&gt;"",$Q1200="LINEAR"),$M1200/100,IF(AND($N1200="MND",$M1200&gt;100,$Q1200="EMBOQUE"),$M1200/100,0)),0)</f>
        <v>0</v>
      </c>
      <c r="AO1200" s="153" t="n">
        <f aca="false">IF(AND($N1200="MND",$Q1200="EMBOQUE"),$AN1200*2*2,IF(AND($N1200="VCA",$Q1200="LINEAR"),$M1200*2,IF(AND($N1200="VCA",$Q1200="PREDIAL"),0,0)))</f>
        <v>26.26</v>
      </c>
      <c r="AP1200" s="153" t="n">
        <f aca="false">IFERROR($M1200*$AF1200*$AG1200,0)</f>
        <v>28.3608</v>
      </c>
      <c r="AQ1200" s="153" t="n">
        <f aca="false">IFERROR(IF(AND($N1200="VCA",$AH1200&gt;0),$M1200*$AG1200*$AH1200,0),0)</f>
        <v>1.5756</v>
      </c>
      <c r="AR1200" s="153" t="n">
        <f aca="false">IFERROR(IF(AND($N1200="VCA",$AJ1200&gt;0),($M1200*$AG1200*$AJ1200)-$AI1200,0),0)</f>
        <v>10.0267305286479</v>
      </c>
      <c r="AS1200" s="153" t="n">
        <f aca="false">IFERROR(IF(AND($N1200="VCA",$AP1200&gt;0),$AP1200-$AI1200-$AQ1200-$AR1200,0),0)</f>
        <v>14.1804</v>
      </c>
      <c r="AT1200" s="153" t="n">
        <f aca="false">IFERROR(IF($N1200="VCA",INDEX(APOIO_REDES!$A:$W,MATCH($C1200&amp;$I1200&amp;$H1200&amp;$N1200&amp;$O1200,APOIO_REDES!$W:$W,0),MATCH(AT$5,APOIO_REDES!$5:$5,0)),0)*$AP1200,0)</f>
        <v>0.30857389836831</v>
      </c>
      <c r="AU1200" s="153" t="n">
        <f aca="false">IFERROR(IF($N1200="VCA",INDEX(APOIO_REDES!$A:$W,MATCH($C1200&amp;$I1200&amp;$H1200&amp;$N1200&amp;$O1200,APOIO_REDES!$W:$W,0),MATCH(AU$5,APOIO_REDES!$5:$5,0)),0)*$AP1200,0)</f>
        <v>0.246418757995895</v>
      </c>
      <c r="AV1200" s="153" t="n">
        <f aca="false">IFERROR(IF($N1200="VCA",INDEX(APOIO_REDES!$A:$W,MATCH($C1200&amp;$I1200&amp;$H1200&amp;$N1200&amp;$O1200,APOIO_REDES!$W:$W,0),MATCH(AV$5,APOIO_REDES!$5:$5,0)),0)*$AP1200,0)</f>
        <v>0.0341024216435351</v>
      </c>
      <c r="AW1200" s="153" t="n">
        <f aca="false">IFERROR(IF($N1200="VCA",INDEX(APOIO_REDES!$A:$W,MATCH($C1200&amp;$I1200&amp;$H1200&amp;$N1200&amp;$O1200,APOIO_REDES!$W:$W,0),MATCH(AW$5,APOIO_REDES!$5:$5,0)),0)*$AP1200,0)</f>
        <v>19.4670728702017</v>
      </c>
      <c r="AX1200" s="153" t="n">
        <f aca="false">IFERROR(IF($N1200="VCA",INDEX(APOIO_REDES!$A:$W,MATCH($C1200&amp;$I1200&amp;$H1200&amp;$N1200&amp;$O1200,APOIO_REDES!$W:$W,0),MATCH(AX$5,APOIO_REDES!$5:$5,0)),0)*$AP1200,0)</f>
        <v>2.69418743222918</v>
      </c>
      <c r="AY1200" s="153" t="n">
        <f aca="false">IFERROR(IF($N1200="VCA",INDEX(APOIO_REDES!$A:$W,MATCH($C1200&amp;$I1200&amp;$H1200&amp;$N1200&amp;$O1200,APOIO_REDES!$W:$W,0),MATCH(AY$5,APOIO_REDES!$5:$5,0)),0)*$AP1200,0)</f>
        <v>4.92837215609322</v>
      </c>
      <c r="AZ1200" s="153" t="n">
        <f aca="false">IFERROR(IF($N1200="VCA",INDEX(APOIO_REDES!$A:$W,MATCH($C1200&amp;$I1200&amp;$H1200&amp;$N1200&amp;$O1200,APOIO_REDES!$W:$W,0),MATCH(AZ$5,APOIO_REDES!$5:$5,0)),0)*$AP1200,0)</f>
        <v>0.682072463468178</v>
      </c>
      <c r="BA1200" s="153" t="n">
        <f aca="false">IFERROR(IF(AND($N1200="VCA",$Q1200="LINEAR"),INDEX(APOIO_REDES!$A:$W,MATCH($C1200&amp;$I1200&amp;$H1200&amp;$N1200&amp;$O1200,APOIO_REDES!$W:$W,0),MATCH(BA$5,APOIO_REDES!$5:$5,0)),IF(AND($N1200="MND",$Q1200="EMBOQUE"),INDEX(APOIO_REDES!$A:$W,MATCH($C1200&amp;$I1200&amp;$H1200&amp;$N1200&amp;$O1200,APOIO_REDES!$W:$W,0),MATCH(BA$5,APOIO_REDES!$5:$5,0)),0))*$M1200/10,0)</f>
        <v>1.05824488062252</v>
      </c>
      <c r="BB1200" s="153" t="n">
        <f aca="false">IFERROR(IF($N1200="VCA",INDEX(APOIO_REDES!$A:$W,MATCH($C1200&amp;$I1200&amp;$H1200&amp;$N1200&amp;$O1200,APOIO_REDES!$W:$W,0),MATCH(BB$5,APOIO_REDES!$5:$5,0)),0)*($AI1200+$AQ1200+$AR1200),0)</f>
        <v>14.0261130508158</v>
      </c>
      <c r="BC1200" s="153" t="n">
        <f aca="false">IFERROR(IF($N1200="VCA",INDEX(APOIO_REDES!$A:$W,MATCH($C1200&amp;$I1200&amp;$H1200&amp;$N1200&amp;$O1200,APOIO_REDES!$W:$W,0),MATCH(BC$5,APOIO_REDES!$5:$5,0)),0)*($AI1200+$AQ1200+$AR1200),0)</f>
        <v>0.154286949184155</v>
      </c>
      <c r="BD1200" s="153" t="n">
        <f aca="false">IF(AND($N1200="VCA",$AF1200&gt;=1.25,$AF1200&lt;1.5),$M1200*$AF1200*2,0)</f>
        <v>0</v>
      </c>
      <c r="BE1200" s="153" t="n">
        <f aca="false">IF(AND($N1200="VCA",$AF1200&gt;=1.5,$AF1200&lt;3),$M1200*$AF1200*2,0)</f>
        <v>47.268</v>
      </c>
      <c r="BF1200" s="153" t="n">
        <f aca="false">IF(AND($N1200="VCA",$AF1200&gt;=3),$M1200*$AF1200*2,0)</f>
        <v>0</v>
      </c>
      <c r="BG1200" s="153" t="n">
        <f aca="false">($BB1200+$BC1200)*$AK1200</f>
        <v>55.30356</v>
      </c>
      <c r="BH1200" s="153" t="n">
        <f aca="false">IF(AND($M1200&lt;&gt;"",$N1200="VCA",$Q1200="LINEAR"),($M1200*2)/100,IF(AND($M1200&lt;&gt;"",$N1200="MND",$Q1200="EMBOQUE"),($AN1200*2)/100,0))</f>
        <v>0.2626</v>
      </c>
      <c r="BI1200" s="153" t="n">
        <f aca="false">IF(AND($M1200&lt;&gt;"",$N1200="VCA",$Q1200="LINEAR"),$M1200,IF(AND($M1200&lt;&gt;"",$N1200="MND",$Q1200="EMBOQUE"),$AN1200*2,0))</f>
        <v>13.13</v>
      </c>
      <c r="BJ1200" s="153" t="n">
        <f aca="false">IF(AND($M1200&lt;&gt;"",$N1200="VCA",$Q1200="LINEAR"),($M1200*6.8)/100,IF(AND($M1200&lt;&gt;"",$N1200="MND",$Q1200="EMBOQUE"),($AN1200*2*6.8)/100,0))</f>
        <v>0.89284</v>
      </c>
      <c r="BK1200" s="153" t="n">
        <f aca="false">IF(AND($M1200&lt;&gt;"",$N1200="VCA",$Q1200="LINEAR"),($M1200*2.5)/50,IF(AND($M1200&lt;&gt;"",$N1200="MND",$Q1200="EMBOQUE"),($AN1200*2*2.5)/50,0))</f>
        <v>0.6565</v>
      </c>
      <c r="BL1200" s="157" t="str">
        <f aca="false">K1200&amp;J1200</f>
        <v>ADUTORAREDES</v>
      </c>
      <c r="BM1200" s="152" t="s">
        <v>2229</v>
      </c>
      <c r="BN1200" s="152" t="s">
        <v>2230</v>
      </c>
      <c r="BO1200" s="152" t="s">
        <v>4454</v>
      </c>
      <c r="BP1200" s="152" t="s">
        <v>2032</v>
      </c>
      <c r="BQ1200" s="152" t="s">
        <v>6072</v>
      </c>
      <c r="BR1200" s="152" t="s">
        <v>6073</v>
      </c>
      <c r="BS1200" s="152" t="n">
        <v>203797.961</v>
      </c>
      <c r="BT1200" s="152" t="n">
        <v>8236281.073</v>
      </c>
      <c r="BU1200" s="152" t="n">
        <v>203792.581</v>
      </c>
      <c r="BV1200" s="152" t="n">
        <v>8236269.211</v>
      </c>
      <c r="BW1200" s="152" t="n">
        <v>-15.9351343</v>
      </c>
      <c r="BX1200" s="152" t="n">
        <v>-47.7666758</v>
      </c>
      <c r="BY1200" s="152" t="s">
        <v>6072</v>
      </c>
    </row>
    <row r="1201" customFormat="false" ht="13.8" hidden="false" customHeight="false" outlineLevel="0" collapsed="false">
      <c r="A1201" s="149" t="n">
        <f aca="false">IF(C1201&lt;&gt;"",ROW(A1196),"")</f>
        <v>1196</v>
      </c>
      <c r="B1201" s="150" t="str">
        <f aca="false">HYPERLINK("https://www.google.com/maps/dir/-15.917302,-47.760003/-15.9351876,-47.7667015/data=!4m3!4m2!3e0!5i1")</f>
        <v>https://www.google.com/maps/dir/-15.917302,-47.760003/-15.9351876,-47.7667015/data=!4m3!4m2!3e0!5i1</v>
      </c>
      <c r="C1201" s="151" t="s">
        <v>117</v>
      </c>
      <c r="D1201" s="152" t="s">
        <v>112</v>
      </c>
      <c r="E1201" s="152" t="s">
        <v>113</v>
      </c>
      <c r="F1201" s="152" t="s">
        <v>117</v>
      </c>
      <c r="G1201" s="152" t="s">
        <v>114</v>
      </c>
      <c r="H1201" s="152" t="n">
        <v>400</v>
      </c>
      <c r="I1201" s="152" t="s">
        <v>115</v>
      </c>
      <c r="J1201" s="152" t="s">
        <v>6</v>
      </c>
      <c r="K1201" s="152" t="s">
        <v>2224</v>
      </c>
      <c r="L1201" s="152" t="s">
        <v>120</v>
      </c>
      <c r="M1201" s="153" t="n">
        <f aca="false">15.21</f>
        <v>15.21</v>
      </c>
      <c r="N1201" s="152" t="s">
        <v>1548</v>
      </c>
      <c r="O1201" s="152" t="s">
        <v>1549</v>
      </c>
      <c r="P1201" s="152" t="s">
        <v>1550</v>
      </c>
      <c r="Q1201" s="152" t="s">
        <v>1551</v>
      </c>
      <c r="R1201" s="154" t="s">
        <v>6074</v>
      </c>
      <c r="S1201" s="154" t="s">
        <v>2226</v>
      </c>
      <c r="T1201" s="155" t="s">
        <v>4451</v>
      </c>
      <c r="U1201" s="152" t="str">
        <f aca="false">RIGHT(T1201,7)</f>
        <v>018/037</v>
      </c>
      <c r="V1201" s="152" t="s">
        <v>1555</v>
      </c>
      <c r="W1201" s="156" t="n">
        <v>45882</v>
      </c>
      <c r="X1201" s="152" t="s">
        <v>1594</v>
      </c>
      <c r="Y1201" s="152" t="s">
        <v>3251</v>
      </c>
      <c r="Z1201" s="152" t="s">
        <v>1557</v>
      </c>
      <c r="AA1201" s="153" t="n">
        <v>3.9</v>
      </c>
      <c r="AB1201" s="151" t="s">
        <v>6075</v>
      </c>
      <c r="AC1201" s="151" t="s">
        <v>520</v>
      </c>
      <c r="AD1201" s="151" t="str">
        <f aca="false">CONCATENATE($C1201,$I1201,$H1201,$N1201,$J1201,$K1201)</f>
        <v>TUBO PEADPEAD400VCAREDESADUTORA</v>
      </c>
      <c r="AE1201" s="153" t="n">
        <f aca="false">IFERROR(INDEX(APOIO_REDES!$A:$W,MATCH($C1201&amp;$I1201&amp;$H1201&amp;$N1201&amp;$O1201,APOIO_REDES!$W:$W,0),MATCH(AE$5,APOIO_REDES!$5:$5,0)),0)</f>
        <v>1.2</v>
      </c>
      <c r="AF1201" s="153" t="n">
        <f aca="false">IFERROR(INDEX(APOIO_REDES!$A:$W,MATCH($C1201&amp;$I1201&amp;$H1201&amp;$N1201&amp;$O1201,APOIO_REDES!$W:$W,0),MATCH(AF$5,APOIO_REDES!$5:$5,0)),0)</f>
        <v>1.7</v>
      </c>
      <c r="AG1201" s="153" t="n">
        <f aca="false">IFERROR(INDEX(APOIO_REDES!$A:$W,MATCH($C1201&amp;$I1201&amp;$H1201&amp;$N1201&amp;$O1201,APOIO_REDES!$W:$W,0),MATCH(AG$5,APOIO_REDES!$5:$5,0)),0)</f>
        <v>1</v>
      </c>
      <c r="AH1201" s="153" t="n">
        <f aca="false">IFERROR(INDEX(APOIO_REDES!$A:$W,MATCH($C1201&amp;$I1201&amp;$H1201&amp;$N1201&amp;$O1201,APOIO_REDES!$W:$W,0),MATCH(AH$5,APOIO_REDES!$5:$5,0)),0)</f>
        <v>0.1</v>
      </c>
      <c r="AI1201" s="153" t="n">
        <f aca="false">IFERROR(IF($H1201&lt;&gt;"",(((($H1201/1000)/2)^2)*PI()*$M1201),0),0)</f>
        <v>1.91134497044403</v>
      </c>
      <c r="AJ1201" s="153" t="n">
        <f aca="false">IFERROR(IF(AND($H1201&lt;&gt;"",$I1201="FoFo",OR($N1201="MND",$N1201="VCA"),$Q1201="LINEAR"),0,IF(AND($H1201&lt;&gt;"",$I1201="PEAD",$N1201="VCA",$Q1201="LINEAR"),($H1201/1000)+0.3,IF(AND($H1201&lt;&gt;"",$I1201="PEAD",$N1201="MND",$Q1201="EMBOQUE"),0,IF(AND($H1201&lt;&gt;"",$I1201="PVC",$N1201="VCA",$Q1201="LINEAR"),($H1201/1000)+0.2,IF(AND($H1201&lt;&gt;"",$I1201="PVC",$N1201="MND",$Q1201="EMBOQUE"),0,IF(AND($H1201&lt;&gt;"",$I1201="PEAD",$N1201="VCA",$Q1201="PREDIAL"),0,0)))))),0)</f>
        <v>0.7</v>
      </c>
      <c r="AK1201" s="153" t="n">
        <f aca="false">IF(AA1201&lt;&gt;"",AA1201,0)</f>
        <v>3.9</v>
      </c>
      <c r="AL1201" s="153" t="n">
        <f aca="false">IF(AND($N1201="MND",$Q1201="EMBOQUE"),$M1201,IF(AND($N1201="VCA",$Q1201="LINEAR"),$M1201,IF(AND($N1201="VCA",$Q1201="PREDIAL"),0,0)))</f>
        <v>15.21</v>
      </c>
      <c r="AM1201" s="153" t="n">
        <f aca="false">IF(AND($N1201="MND",$Q1201="EMBOQUE"),$M1201,IF(AND($N1201="VCA",$Q1201="LINEAR"),$M1201,IF(AND($N1201="VCA",$Q1201="PREDIAL"),0,0)))</f>
        <v>15.21</v>
      </c>
      <c r="AN1201" s="153" t="n">
        <f aca="false">ROUND(IF(AND($N1201="VCA",$M1201&lt;&gt;"",$Q1201="LINEAR"),$M1201/100,IF(AND($N1201="MND",$M1201&gt;100,$Q1201="EMBOQUE"),$M1201/100,0)),0)</f>
        <v>0</v>
      </c>
      <c r="AO1201" s="153" t="n">
        <f aca="false">IF(AND($N1201="MND",$Q1201="EMBOQUE"),$AN1201*2*2,IF(AND($N1201="VCA",$Q1201="LINEAR"),$M1201*2,IF(AND($N1201="VCA",$Q1201="PREDIAL"),0,0)))</f>
        <v>30.42</v>
      </c>
      <c r="AP1201" s="153" t="n">
        <f aca="false">IFERROR($M1201*$AF1201*$AG1201,0)</f>
        <v>25.857</v>
      </c>
      <c r="AQ1201" s="153" t="n">
        <f aca="false">IFERROR(IF(AND($N1201="VCA",$AH1201&gt;0),$M1201*$AG1201*$AH1201,0),0)</f>
        <v>1.521</v>
      </c>
      <c r="AR1201" s="153" t="n">
        <f aca="false">IFERROR(IF(AND($N1201="VCA",$AJ1201&gt;0),($M1201*$AG1201*$AJ1201)-$AI1201,0),0)</f>
        <v>8.73565502955597</v>
      </c>
      <c r="AS1201" s="153" t="n">
        <f aca="false">IFERROR(IF(AND($N1201="VCA",$AP1201&gt;0),$AP1201-$AI1201-$AQ1201-$AR1201,0),0)</f>
        <v>13.689</v>
      </c>
      <c r="AT1201" s="153" t="n">
        <f aca="false">IFERROR(IF($N1201="VCA",INDEX(APOIO_REDES!$A:$W,MATCH($C1201&amp;$I1201&amp;$H1201&amp;$N1201&amp;$O1201,APOIO_REDES!$W:$W,0),MATCH(AT$5,APOIO_REDES!$5:$5,0)),0)*$AP1201,0)</f>
        <v>0.281331813281339</v>
      </c>
      <c r="AU1201" s="153" t="n">
        <f aca="false">IFERROR(IF($N1201="VCA",INDEX(APOIO_REDES!$A:$W,MATCH($C1201&amp;$I1201&amp;$H1201&amp;$N1201&amp;$O1201,APOIO_REDES!$W:$W,0),MATCH(AU$5,APOIO_REDES!$5:$5,0)),0)*$AP1201,0)</f>
        <v>0.224663966654674</v>
      </c>
      <c r="AV1201" s="153" t="n">
        <f aca="false">IFERROR(IF($N1201="VCA",INDEX(APOIO_REDES!$A:$W,MATCH($C1201&amp;$I1201&amp;$H1201&amp;$N1201&amp;$O1201,APOIO_REDES!$W:$W,0),MATCH(AV$5,APOIO_REDES!$5:$5,0)),0)*$AP1201,0)</f>
        <v>0.031091729303718</v>
      </c>
      <c r="AW1201" s="153" t="n">
        <f aca="false">IFERROR(IF($N1201="VCA",INDEX(APOIO_REDES!$A:$W,MATCH($C1201&amp;$I1201&amp;$H1201&amp;$N1201&amp;$O1201,APOIO_REDES!$W:$W,0),MATCH(AW$5,APOIO_REDES!$5:$5,0)),0)*$AP1201,0)</f>
        <v>17.7484451498126</v>
      </c>
      <c r="AX1201" s="153" t="n">
        <f aca="false">IFERROR(IF($N1201="VCA",INDEX(APOIO_REDES!$A:$W,MATCH($C1201&amp;$I1201&amp;$H1201&amp;$N1201&amp;$O1201,APOIO_REDES!$W:$W,0),MATCH(AX$5,APOIO_REDES!$5:$5,0)),0)*$AP1201,0)</f>
        <v>2.45633425133106</v>
      </c>
      <c r="AY1201" s="153" t="n">
        <f aca="false">IFERROR(IF($N1201="VCA",INDEX(APOIO_REDES!$A:$W,MATCH($C1201&amp;$I1201&amp;$H1201&amp;$N1201&amp;$O1201,APOIO_REDES!$W:$W,0),MATCH(AY$5,APOIO_REDES!$5:$5,0)),0)*$AP1201,0)</f>
        <v>4.49327659445793</v>
      </c>
      <c r="AZ1201" s="153" t="n">
        <f aca="false">IFERROR(IF($N1201="VCA",INDEX(APOIO_REDES!$A:$W,MATCH($C1201&amp;$I1201&amp;$H1201&amp;$N1201&amp;$O1201,APOIO_REDES!$W:$W,0),MATCH(AZ$5,APOIO_REDES!$5:$5,0)),0)*$AP1201,0)</f>
        <v>0.621856495158694</v>
      </c>
      <c r="BA1201" s="153" t="n">
        <f aca="false">IFERROR(IF(AND($N1201="VCA",$Q1201="LINEAR"),INDEX(APOIO_REDES!$A:$W,MATCH($C1201&amp;$I1201&amp;$H1201&amp;$N1201&amp;$O1201,APOIO_REDES!$W:$W,0),MATCH(BA$5,APOIO_REDES!$5:$5,0)),IF(AND($N1201="MND",$Q1201="EMBOQUE"),INDEX(APOIO_REDES!$A:$W,MATCH($C1201&amp;$I1201&amp;$H1201&amp;$N1201&amp;$O1201,APOIO_REDES!$W:$W,0),MATCH(BA$5,APOIO_REDES!$5:$5,0)),0))*$M1201/10,0)</f>
        <v>1.22588763398846</v>
      </c>
      <c r="BB1201" s="153" t="n">
        <f aca="false">IFERROR(IF($N1201="VCA",INDEX(APOIO_REDES!$A:$W,MATCH($C1201&amp;$I1201&amp;$H1201&amp;$N1201&amp;$O1201,APOIO_REDES!$W:$W,0),MATCH(BB$5,APOIO_REDES!$5:$5,0)),0)*($AI1201+$AQ1201+$AR1201),0)</f>
        <v>12.0356085584558</v>
      </c>
      <c r="BC1201" s="153" t="n">
        <f aca="false">IFERROR(IF($N1201="VCA",INDEX(APOIO_REDES!$A:$W,MATCH($C1201&amp;$I1201&amp;$H1201&amp;$N1201&amp;$O1201,APOIO_REDES!$W:$W,0),MATCH(BC$5,APOIO_REDES!$5:$5,0)),0)*($AI1201+$AQ1201+$AR1201),0)</f>
        <v>0.13239144154416</v>
      </c>
      <c r="BD1201" s="153" t="n">
        <f aca="false">IF(AND($N1201="VCA",$AF1201&gt;=1.25,$AF1201&lt;1.5),$M1201*$AF1201*2,0)</f>
        <v>0</v>
      </c>
      <c r="BE1201" s="153" t="n">
        <f aca="false">IF(AND($N1201="VCA",$AF1201&gt;=1.5,$AF1201&lt;3),$M1201*$AF1201*2,0)</f>
        <v>51.714</v>
      </c>
      <c r="BF1201" s="153" t="n">
        <f aca="false">IF(AND($N1201="VCA",$AF1201&gt;=3),$M1201*$AF1201*2,0)</f>
        <v>0</v>
      </c>
      <c r="BG1201" s="153" t="n">
        <f aca="false">($BB1201+$BC1201)*$AK1201</f>
        <v>47.4552</v>
      </c>
      <c r="BH1201" s="153" t="n">
        <f aca="false">IF(AND($M1201&lt;&gt;"",$N1201="VCA",$Q1201="LINEAR"),($M1201*2)/100,IF(AND($M1201&lt;&gt;"",$N1201="MND",$Q1201="EMBOQUE"),($AN1201*2)/100,0))</f>
        <v>0.3042</v>
      </c>
      <c r="BI1201" s="153" t="n">
        <f aca="false">IF(AND($M1201&lt;&gt;"",$N1201="VCA",$Q1201="LINEAR"),$M1201,IF(AND($M1201&lt;&gt;"",$N1201="MND",$Q1201="EMBOQUE"),$AN1201*2,0))</f>
        <v>15.21</v>
      </c>
      <c r="BJ1201" s="153" t="n">
        <f aca="false">IF(AND($M1201&lt;&gt;"",$N1201="VCA",$Q1201="LINEAR"),($M1201*6.8)/100,IF(AND($M1201&lt;&gt;"",$N1201="MND",$Q1201="EMBOQUE"),($AN1201*2*6.8)/100,0))</f>
        <v>1.03428</v>
      </c>
      <c r="BK1201" s="153" t="n">
        <f aca="false">IF(AND($M1201&lt;&gt;"",$N1201="VCA",$Q1201="LINEAR"),($M1201*2.5)/50,IF(AND($M1201&lt;&gt;"",$N1201="MND",$Q1201="EMBOQUE"),($AN1201*2*2.5)/50,0))</f>
        <v>0.7605</v>
      </c>
      <c r="BL1201" s="157" t="str">
        <f aca="false">K1201&amp;J1201</f>
        <v>ADUTORAREDES</v>
      </c>
      <c r="BM1201" s="152" t="s">
        <v>2229</v>
      </c>
      <c r="BN1201" s="152" t="s">
        <v>2230</v>
      </c>
      <c r="BO1201" s="152" t="s">
        <v>4454</v>
      </c>
      <c r="BP1201" s="152" t="s">
        <v>2032</v>
      </c>
      <c r="BQ1201" s="152" t="s">
        <v>6072</v>
      </c>
      <c r="BR1201" s="152" t="s">
        <v>6076</v>
      </c>
      <c r="BS1201" s="152" t="n">
        <v>203803.711</v>
      </c>
      <c r="BT1201" s="152" t="n">
        <v>8236279.579</v>
      </c>
      <c r="BU1201" s="152" t="n">
        <v>203792.594</v>
      </c>
      <c r="BV1201" s="152" t="n">
        <v>8236269.205</v>
      </c>
      <c r="BW1201" s="152" t="n">
        <v>-15.9351414</v>
      </c>
      <c r="BX1201" s="152" t="n">
        <v>-47.766649</v>
      </c>
      <c r="BY1201" s="152" t="s">
        <v>6072</v>
      </c>
    </row>
    <row r="1202" customFormat="false" ht="13.8" hidden="false" customHeight="false" outlineLevel="0" collapsed="false">
      <c r="A1202" s="149" t="n">
        <f aca="false">IF(C1202&lt;&gt;"",ROW(A1197),"")</f>
        <v>1197</v>
      </c>
      <c r="B1202" s="150" t="str">
        <f aca="false">HYPERLINK("https://www.google.com/maps/dir/-15.917302,-47.760003/-15.9361614,-47.7675034/data=!4m3!4m2!3e0!5i1")</f>
        <v>https://www.google.com/maps/dir/-15.917302,-47.760003/-15.9361614,-47.7675034/data=!4m3!4m2!3e0!5i1</v>
      </c>
      <c r="C1202" s="151" t="s">
        <v>117</v>
      </c>
      <c r="D1202" s="152" t="s">
        <v>112</v>
      </c>
      <c r="E1202" s="152" t="s">
        <v>113</v>
      </c>
      <c r="F1202" s="152" t="s">
        <v>117</v>
      </c>
      <c r="G1202" s="152" t="s">
        <v>114</v>
      </c>
      <c r="H1202" s="152" t="n">
        <v>500</v>
      </c>
      <c r="I1202" s="152" t="s">
        <v>115</v>
      </c>
      <c r="J1202" s="152" t="s">
        <v>6</v>
      </c>
      <c r="K1202" s="152" t="s">
        <v>2224</v>
      </c>
      <c r="L1202" s="152" t="s">
        <v>120</v>
      </c>
      <c r="M1202" s="153" t="n">
        <f aca="false">137.91</f>
        <v>137.91</v>
      </c>
      <c r="N1202" s="152" t="s">
        <v>1548</v>
      </c>
      <c r="O1202" s="152" t="s">
        <v>1549</v>
      </c>
      <c r="P1202" s="152" t="s">
        <v>1550</v>
      </c>
      <c r="Q1202" s="152" t="s">
        <v>1551</v>
      </c>
      <c r="R1202" s="154" t="s">
        <v>6077</v>
      </c>
      <c r="S1202" s="154" t="s">
        <v>2226</v>
      </c>
      <c r="T1202" s="155" t="s">
        <v>4451</v>
      </c>
      <c r="U1202" s="152" t="str">
        <f aca="false">RIGHT(T1202,7)</f>
        <v>018/037</v>
      </c>
      <c r="V1202" s="152" t="s">
        <v>1555</v>
      </c>
      <c r="W1202" s="156" t="n">
        <v>45882</v>
      </c>
      <c r="X1202" s="152" t="s">
        <v>1594</v>
      </c>
      <c r="Y1202" s="152" t="s">
        <v>3251</v>
      </c>
      <c r="Z1202" s="152" t="s">
        <v>1557</v>
      </c>
      <c r="AA1202" s="153" t="n">
        <v>4</v>
      </c>
      <c r="AB1202" s="151" t="s">
        <v>6078</v>
      </c>
      <c r="AC1202" s="151" t="s">
        <v>523</v>
      </c>
      <c r="AD1202" s="151" t="str">
        <f aca="false">CONCATENATE($C1202,$I1202,$H1202,$N1202,$J1202,$K1202)</f>
        <v>TUBO PEADPEAD500VCAREDESADUTORA</v>
      </c>
      <c r="AE1202" s="153" t="n">
        <f aca="false">IFERROR(INDEX(APOIO_REDES!$A:$W,MATCH($C1202&amp;$I1202&amp;$H1202&amp;$N1202&amp;$O1202,APOIO_REDES!$W:$W,0),MATCH(AE$5,APOIO_REDES!$5:$5,0)),0)</f>
        <v>1.2</v>
      </c>
      <c r="AF1202" s="153" t="n">
        <f aca="false">IFERROR(INDEX(APOIO_REDES!$A:$W,MATCH($C1202&amp;$I1202&amp;$H1202&amp;$N1202&amp;$O1202,APOIO_REDES!$W:$W,0),MATCH(AF$5,APOIO_REDES!$5:$5,0)),0)</f>
        <v>1.8</v>
      </c>
      <c r="AG1202" s="153" t="n">
        <f aca="false">IFERROR(INDEX(APOIO_REDES!$A:$W,MATCH($C1202&amp;$I1202&amp;$H1202&amp;$N1202&amp;$O1202,APOIO_REDES!$W:$W,0),MATCH(AG$5,APOIO_REDES!$5:$5,0)),0)</f>
        <v>1.2</v>
      </c>
      <c r="AH1202" s="153" t="n">
        <f aca="false">IFERROR(INDEX(APOIO_REDES!$A:$W,MATCH($C1202&amp;$I1202&amp;$H1202&amp;$N1202&amp;$O1202,APOIO_REDES!$W:$W,0),MATCH(AH$5,APOIO_REDES!$5:$5,0)),0)</f>
        <v>0.1</v>
      </c>
      <c r="AI1202" s="153" t="n">
        <f aca="false">IFERROR(IF($H1202&lt;&gt;"",(((($H1202/1000)/2)^2)*PI()*$M1202),0),0)</f>
        <v>27.0785651785355</v>
      </c>
      <c r="AJ1202" s="153" t="n">
        <f aca="false">IFERROR(IF(AND($H1202&lt;&gt;"",$I1202="FoFo",OR($N1202="MND",$N1202="VCA"),$Q1202="LINEAR"),0,IF(AND($H1202&lt;&gt;"",$I1202="PEAD",$N1202="VCA",$Q1202="LINEAR"),($H1202/1000)+0.3,IF(AND($H1202&lt;&gt;"",$I1202="PEAD",$N1202="MND",$Q1202="EMBOQUE"),0,IF(AND($H1202&lt;&gt;"",$I1202="PVC",$N1202="VCA",$Q1202="LINEAR"),($H1202/1000)+0.2,IF(AND($H1202&lt;&gt;"",$I1202="PVC",$N1202="MND",$Q1202="EMBOQUE"),0,IF(AND($H1202&lt;&gt;"",$I1202="PEAD",$N1202="VCA",$Q1202="PREDIAL"),0,0)))))),0)</f>
        <v>0.8</v>
      </c>
      <c r="AK1202" s="153" t="n">
        <f aca="false">IF(AA1202&lt;&gt;"",AA1202,0)</f>
        <v>4</v>
      </c>
      <c r="AL1202" s="153" t="n">
        <f aca="false">IF(AND($N1202="MND",$Q1202="EMBOQUE"),$M1202,IF(AND($N1202="VCA",$Q1202="LINEAR"),$M1202,IF(AND($N1202="VCA",$Q1202="PREDIAL"),0,0)))</f>
        <v>137.91</v>
      </c>
      <c r="AM1202" s="153" t="n">
        <f aca="false">IF(AND($N1202="MND",$Q1202="EMBOQUE"),$M1202,IF(AND($N1202="VCA",$Q1202="LINEAR"),$M1202,IF(AND($N1202="VCA",$Q1202="PREDIAL"),0,0)))</f>
        <v>137.91</v>
      </c>
      <c r="AN1202" s="153" t="n">
        <f aca="false">ROUND(IF(AND($N1202="VCA",$M1202&lt;&gt;"",$Q1202="LINEAR"),$M1202/100,IF(AND($N1202="MND",$M1202&gt;100,$Q1202="EMBOQUE"),$M1202/100,0)),0)</f>
        <v>1</v>
      </c>
      <c r="AO1202" s="153" t="n">
        <f aca="false">IF(AND($N1202="MND",$Q1202="EMBOQUE"),$AN1202*2*2,IF(AND($N1202="VCA",$Q1202="LINEAR"),$M1202*2,IF(AND($N1202="VCA",$Q1202="PREDIAL"),0,0)))</f>
        <v>275.82</v>
      </c>
      <c r="AP1202" s="153" t="n">
        <f aca="false">IFERROR($M1202*$AF1202*$AG1202,0)</f>
        <v>297.8856</v>
      </c>
      <c r="AQ1202" s="153" t="n">
        <f aca="false">IFERROR(IF(AND($N1202="VCA",$AH1202&gt;0),$M1202*$AG1202*$AH1202,0),0)</f>
        <v>16.5492</v>
      </c>
      <c r="AR1202" s="153" t="n">
        <f aca="false">IFERROR(IF(AND($N1202="VCA",$AJ1202&gt;0),($M1202*$AG1202*$AJ1202)-$AI1202,0),0)</f>
        <v>105.315034821464</v>
      </c>
      <c r="AS1202" s="153" t="n">
        <f aca="false">IFERROR(IF(AND($N1202="VCA",$AP1202&gt;0),$AP1202-$AI1202-$AQ1202-$AR1202,0),0)</f>
        <v>148.9428</v>
      </c>
      <c r="AT1202" s="153" t="n">
        <f aca="false">IFERROR(IF($N1202="VCA",INDEX(APOIO_REDES!$A:$W,MATCH($C1202&amp;$I1202&amp;$H1202&amp;$N1202&amp;$O1202,APOIO_REDES!$W:$W,0),MATCH(AT$5,APOIO_REDES!$5:$5,0)),0)*$AP1202,0)</f>
        <v>3.24108349763699</v>
      </c>
      <c r="AU1202" s="153" t="n">
        <f aca="false">IFERROR(IF($N1202="VCA",INDEX(APOIO_REDES!$A:$W,MATCH($C1202&amp;$I1202&amp;$H1202&amp;$N1202&amp;$O1202,APOIO_REDES!$W:$W,0),MATCH(AU$5,APOIO_REDES!$5:$5,0)),0)*$AP1202,0)</f>
        <v>2.58824150153952</v>
      </c>
      <c r="AV1202" s="153" t="n">
        <f aca="false">IFERROR(IF($N1202="VCA",INDEX(APOIO_REDES!$A:$W,MATCH($C1202&amp;$I1202&amp;$H1202&amp;$N1202&amp;$O1202,APOIO_REDES!$W:$W,0),MATCH(AV$5,APOIO_REDES!$5:$5,0)),0)*$AP1202,0)</f>
        <v>0.358192305320634</v>
      </c>
      <c r="AW1202" s="153" t="n">
        <f aca="false">IFERROR(IF($N1202="VCA",INDEX(APOIO_REDES!$A:$W,MATCH($C1202&amp;$I1202&amp;$H1202&amp;$N1202&amp;$O1202,APOIO_REDES!$W:$W,0),MATCH(AW$5,APOIO_REDES!$5:$5,0)),0)*$AP1202,0)</f>
        <v>204.47098397026</v>
      </c>
      <c r="AX1202" s="153" t="n">
        <f aca="false">IFERROR(IF($N1202="VCA",INDEX(APOIO_REDES!$A:$W,MATCH($C1202&amp;$I1202&amp;$H1202&amp;$N1202&amp;$O1202,APOIO_REDES!$W:$W,0),MATCH(AX$5,APOIO_REDES!$5:$5,0)),0)*$AP1202,0)</f>
        <v>28.2982017348611</v>
      </c>
      <c r="AY1202" s="153" t="n">
        <f aca="false">IFERROR(IF($N1202="VCA",INDEX(APOIO_REDES!$A:$W,MATCH($C1202&amp;$I1202&amp;$H1202&amp;$N1202&amp;$O1202,APOIO_REDES!$W:$W,0),MATCH(AY$5,APOIO_REDES!$5:$5,0)),0)*$AP1202,0)</f>
        <v>51.7647984803364</v>
      </c>
      <c r="AZ1202" s="153" t="n">
        <f aca="false">IFERROR(IF($N1202="VCA",INDEX(APOIO_REDES!$A:$W,MATCH($C1202&amp;$I1202&amp;$H1202&amp;$N1202&amp;$O1202,APOIO_REDES!$W:$W,0),MATCH(AZ$5,APOIO_REDES!$5:$5,0)),0)*$AP1202,0)</f>
        <v>7.16409851004542</v>
      </c>
      <c r="BA1202" s="153" t="n">
        <f aca="false">IFERROR(IF(AND($N1202="VCA",$Q1202="LINEAR"),INDEX(APOIO_REDES!$A:$W,MATCH($C1202&amp;$I1202&amp;$H1202&amp;$N1202&amp;$O1202,APOIO_REDES!$W:$W,0),MATCH(BA$5,APOIO_REDES!$5:$5,0)),IF(AND($N1202="MND",$Q1202="EMBOQUE"),INDEX(APOIO_REDES!$A:$W,MATCH($C1202&amp;$I1202&amp;$H1202&amp;$N1202&amp;$O1202,APOIO_REDES!$W:$W,0),MATCH(BA$5,APOIO_REDES!$5:$5,0)),0))*$M1202/10,0)</f>
        <v>11.1151981330275</v>
      </c>
      <c r="BB1202" s="153" t="n">
        <f aca="false">IFERROR(IF($N1202="VCA",INDEX(APOIO_REDES!$A:$W,MATCH($C1202&amp;$I1202&amp;$H1202&amp;$N1202&amp;$O1202,APOIO_REDES!$W:$W,0),MATCH(BB$5,APOIO_REDES!$5:$5,0)),0)*($AI1202+$AQ1202+$AR1202),0)</f>
        <v>147.322258251182</v>
      </c>
      <c r="BC1202" s="153" t="n">
        <f aca="false">IFERROR(IF($N1202="VCA",INDEX(APOIO_REDES!$A:$W,MATCH($C1202&amp;$I1202&amp;$H1202&amp;$N1202&amp;$O1202,APOIO_REDES!$W:$W,0),MATCH(BC$5,APOIO_REDES!$5:$5,0)),0)*($AI1202+$AQ1202+$AR1202),0)</f>
        <v>1.6205417488185</v>
      </c>
      <c r="BD1202" s="153" t="n">
        <f aca="false">IF(AND($N1202="VCA",$AF1202&gt;=1.25,$AF1202&lt;1.5),$M1202*$AF1202*2,0)</f>
        <v>0</v>
      </c>
      <c r="BE1202" s="153" t="n">
        <f aca="false">IF(AND($N1202="VCA",$AF1202&gt;=1.5,$AF1202&lt;3),$M1202*$AF1202*2,0)</f>
        <v>496.476</v>
      </c>
      <c r="BF1202" s="153" t="n">
        <f aca="false">IF(AND($N1202="VCA",$AF1202&gt;=3),$M1202*$AF1202*2,0)</f>
        <v>0</v>
      </c>
      <c r="BG1202" s="153" t="n">
        <f aca="false">($BB1202+$BC1202)*$AK1202</f>
        <v>595.7712</v>
      </c>
      <c r="BH1202" s="153" t="n">
        <f aca="false">IF(AND($M1202&lt;&gt;"",$N1202="VCA",$Q1202="LINEAR"),($M1202*2)/100,IF(AND($M1202&lt;&gt;"",$N1202="MND",$Q1202="EMBOQUE"),($AN1202*2)/100,0))</f>
        <v>2.7582</v>
      </c>
      <c r="BI1202" s="153" t="n">
        <f aca="false">IF(AND($M1202&lt;&gt;"",$N1202="VCA",$Q1202="LINEAR"),$M1202,IF(AND($M1202&lt;&gt;"",$N1202="MND",$Q1202="EMBOQUE"),$AN1202*2,0))</f>
        <v>137.91</v>
      </c>
      <c r="BJ1202" s="153" t="n">
        <f aca="false">IF(AND($M1202&lt;&gt;"",$N1202="VCA",$Q1202="LINEAR"),($M1202*6.8)/100,IF(AND($M1202&lt;&gt;"",$N1202="MND",$Q1202="EMBOQUE"),($AN1202*2*6.8)/100,0))</f>
        <v>9.37788</v>
      </c>
      <c r="BK1202" s="153" t="n">
        <f aca="false">IF(AND($M1202&lt;&gt;"",$N1202="VCA",$Q1202="LINEAR"),($M1202*2.5)/50,IF(AND($M1202&lt;&gt;"",$N1202="MND",$Q1202="EMBOQUE"),($AN1202*2*2.5)/50,0))</f>
        <v>6.8955</v>
      </c>
      <c r="BL1202" s="157" t="str">
        <f aca="false">K1202&amp;J1202</f>
        <v>ADUTORAREDES</v>
      </c>
      <c r="BM1202" s="152" t="s">
        <v>2229</v>
      </c>
      <c r="BN1202" s="152" t="s">
        <v>2230</v>
      </c>
      <c r="BO1202" s="152" t="s">
        <v>4454</v>
      </c>
      <c r="BP1202" s="152" t="s">
        <v>6079</v>
      </c>
      <c r="BQ1202" s="152" t="s">
        <v>6072</v>
      </c>
      <c r="BR1202" s="152" t="s">
        <v>6080</v>
      </c>
      <c r="BS1202" s="152" t="n">
        <v>203708.115</v>
      </c>
      <c r="BT1202" s="152" t="n">
        <v>8236160.237</v>
      </c>
      <c r="BU1202" s="152" t="n">
        <v>203792.541</v>
      </c>
      <c r="BV1202" s="152" t="n">
        <v>8236269.121</v>
      </c>
      <c r="BW1202" s="152" t="n">
        <v>-15.9356852</v>
      </c>
      <c r="BX1202" s="152" t="n">
        <v>-47.7670887</v>
      </c>
      <c r="BY1202" s="152" t="s">
        <v>6079</v>
      </c>
    </row>
    <row r="1203" customFormat="false" ht="13.8" hidden="false" customHeight="false" outlineLevel="0" collapsed="false">
      <c r="A1203" s="149" t="n">
        <f aca="false">IF(C1203&lt;&gt;"",ROW(A1198),"")</f>
        <v>1198</v>
      </c>
      <c r="B1203" s="150" t="str">
        <f aca="false">HYPERLINK("https://www.google.com/maps/dir/-15.917302,-47.760003/-15.9361909,-47.7674240/data=!4m3!4m2!3e0!5i2")</f>
        <v>https://www.google.com/maps/dir/-15.917302,-47.760003/-15.9361909,-47.7674240/data=!4m3!4m2!3e0!5i2</v>
      </c>
      <c r="C1203" s="151" t="s">
        <v>117</v>
      </c>
      <c r="D1203" s="152" t="s">
        <v>112</v>
      </c>
      <c r="E1203" s="152" t="s">
        <v>113</v>
      </c>
      <c r="F1203" s="152" t="s">
        <v>117</v>
      </c>
      <c r="G1203" s="152" t="s">
        <v>782</v>
      </c>
      <c r="H1203" s="152" t="n">
        <v>90</v>
      </c>
      <c r="I1203" s="152" t="s">
        <v>115</v>
      </c>
      <c r="J1203" s="152" t="s">
        <v>6</v>
      </c>
      <c r="K1203" s="152" t="s">
        <v>6081</v>
      </c>
      <c r="L1203" s="152" t="s">
        <v>120</v>
      </c>
      <c r="M1203" s="153" t="n">
        <f aca="false">148.85</f>
        <v>148.85</v>
      </c>
      <c r="N1203" s="152" t="s">
        <v>1548</v>
      </c>
      <c r="O1203" s="152" t="s">
        <v>1549</v>
      </c>
      <c r="P1203" s="152" t="s">
        <v>1550</v>
      </c>
      <c r="Q1203" s="152" t="s">
        <v>1551</v>
      </c>
      <c r="R1203" s="154" t="s">
        <v>6082</v>
      </c>
      <c r="S1203" s="154" t="s">
        <v>1593</v>
      </c>
      <c r="T1203" s="155" t="s">
        <v>4451</v>
      </c>
      <c r="U1203" s="152" t="str">
        <f aca="false">RIGHT(T1203,7)</f>
        <v>018/037</v>
      </c>
      <c r="V1203" s="152" t="s">
        <v>1555</v>
      </c>
      <c r="W1203" s="156" t="n">
        <v>45882</v>
      </c>
      <c r="X1203" s="152" t="s">
        <v>1594</v>
      </c>
      <c r="Y1203" s="152" t="s">
        <v>3251</v>
      </c>
      <c r="Z1203" s="152" t="s">
        <v>1557</v>
      </c>
      <c r="AA1203" s="153" t="n">
        <v>5.6</v>
      </c>
      <c r="AB1203" s="151" t="s">
        <v>6083</v>
      </c>
      <c r="AC1203" s="151" t="s">
        <v>526</v>
      </c>
      <c r="AD1203" s="151" t="str">
        <f aca="false">CONCATENATE($C1203,$I1203,$H1203,$N1203,$J1203,$K1203)</f>
        <v>TUBO PEADPEAD90VCAREDESZona11</v>
      </c>
      <c r="AE1203" s="153" t="n">
        <f aca="false">IFERROR(INDEX(APOIO_REDES!$A:$W,MATCH($C1203&amp;$I1203&amp;$H1203&amp;$N1203&amp;$O1203,APOIO_REDES!$W:$W,0),MATCH(AE$5,APOIO_REDES!$5:$5,0)),0)</f>
        <v>1.2</v>
      </c>
      <c r="AF1203" s="153" t="n">
        <f aca="false">IFERROR(INDEX(APOIO_REDES!$A:$W,MATCH($C1203&amp;$I1203&amp;$H1203&amp;$N1203&amp;$O1203,APOIO_REDES!$W:$W,0),MATCH(AF$5,APOIO_REDES!$5:$5,0)),0)</f>
        <v>1.39</v>
      </c>
      <c r="AG1203" s="153" t="n">
        <f aca="false">IFERROR(INDEX(APOIO_REDES!$A:$W,MATCH($C1203&amp;$I1203&amp;$H1203&amp;$N1203&amp;$O1203,APOIO_REDES!$W:$W,0),MATCH(AG$5,APOIO_REDES!$5:$5,0)),0)</f>
        <v>0.75</v>
      </c>
      <c r="AH1203" s="153" t="n">
        <f aca="false">IFERROR(INDEX(APOIO_REDES!$A:$W,MATCH($C1203&amp;$I1203&amp;$H1203&amp;$N1203&amp;$O1203,APOIO_REDES!$W:$W,0),MATCH(AH$5,APOIO_REDES!$5:$5,0)),0)</f>
        <v>0.1</v>
      </c>
      <c r="AI1203" s="153" t="n">
        <f aca="false">IFERROR(IF($H1203&lt;&gt;"",(((($H1203/1000)/2)^2)*PI()*$M1203),0),0)</f>
        <v>0.946942784635852</v>
      </c>
      <c r="AJ1203" s="153" t="n">
        <f aca="false">IFERROR(IF(AND($H1203&lt;&gt;"",$I1203="FoFo",OR($N1203="MND",$N1203="VCA"),$Q1203="LINEAR"),0,IF(AND($H1203&lt;&gt;"",$I1203="PEAD",$N1203="VCA",$Q1203="LINEAR"),($H1203/1000)+0.3,IF(AND($H1203&lt;&gt;"",$I1203="PEAD",$N1203="MND",$Q1203="EMBOQUE"),0,IF(AND($H1203&lt;&gt;"",$I1203="PVC",$N1203="VCA",$Q1203="LINEAR"),($H1203/1000)+0.2,IF(AND($H1203&lt;&gt;"",$I1203="PVC",$N1203="MND",$Q1203="EMBOQUE"),0,IF(AND($H1203&lt;&gt;"",$I1203="PEAD",$N1203="VCA",$Q1203="PREDIAL"),0,0)))))),0)</f>
        <v>0.39</v>
      </c>
      <c r="AK1203" s="153" t="n">
        <f aca="false">IF(AA1203&lt;&gt;"",AA1203,0)</f>
        <v>5.6</v>
      </c>
      <c r="AL1203" s="153" t="n">
        <f aca="false">IF(AND($N1203="MND",$Q1203="EMBOQUE"),$M1203,IF(AND($N1203="VCA",$Q1203="LINEAR"),$M1203,IF(AND($N1203="VCA",$Q1203="PREDIAL"),0,0)))</f>
        <v>148.85</v>
      </c>
      <c r="AM1203" s="153" t="n">
        <f aca="false">IF(AND($N1203="MND",$Q1203="EMBOQUE"),$M1203,IF(AND($N1203="VCA",$Q1203="LINEAR"),$M1203,IF(AND($N1203="VCA",$Q1203="PREDIAL"),0,0)))</f>
        <v>148.85</v>
      </c>
      <c r="AN1203" s="153" t="n">
        <f aca="false">ROUND(IF(AND($N1203="VCA",$M1203&lt;&gt;"",$Q1203="LINEAR"),$M1203/100,IF(AND($N1203="MND",$M1203&gt;100,$Q1203="EMBOQUE"),$M1203/100,0)),0)</f>
        <v>1</v>
      </c>
      <c r="AO1203" s="153" t="n">
        <f aca="false">IF(AND($N1203="MND",$Q1203="EMBOQUE"),$AN1203*2*2,IF(AND($N1203="VCA",$Q1203="LINEAR"),$M1203*2,IF(AND($N1203="VCA",$Q1203="PREDIAL"),0,0)))</f>
        <v>297.7</v>
      </c>
      <c r="AP1203" s="153" t="n">
        <f aca="false">IFERROR($M1203*$AF1203*$AG1203,0)</f>
        <v>155.176125</v>
      </c>
      <c r="AQ1203" s="153" t="n">
        <f aca="false">IFERROR(IF(AND($N1203="VCA",$AH1203&gt;0),$M1203*$AG1203*$AH1203,0),0)</f>
        <v>11.16375</v>
      </c>
      <c r="AR1203" s="153" t="n">
        <f aca="false">IFERROR(IF(AND($N1203="VCA",$AJ1203&gt;0),($M1203*$AG1203*$AJ1203)-$AI1203,0),0)</f>
        <v>42.5916822153641</v>
      </c>
      <c r="AS1203" s="153" t="n">
        <f aca="false">IFERROR(IF(AND($N1203="VCA",$AP1203&gt;0),$AP1203-$AI1203-$AQ1203-$AR1203,0),0)</f>
        <v>100.47375</v>
      </c>
      <c r="AT1203" s="153" t="n">
        <f aca="false">IFERROR(IF($N1203="VCA",INDEX(APOIO_REDES!$A:$W,MATCH($C1203&amp;$I1203&amp;$H1203&amp;$N1203&amp;$O1203,APOIO_REDES!$W:$W,0),MATCH(AT$5,APOIO_REDES!$5:$5,0)),0)*$AP1203,0)</f>
        <v>1.68836216978852</v>
      </c>
      <c r="AU1203" s="153" t="n">
        <f aca="false">IFERROR(IF($N1203="VCA",INDEX(APOIO_REDES!$A:$W,MATCH($C1203&amp;$I1203&amp;$H1203&amp;$N1203&amp;$O1203,APOIO_REDES!$W:$W,0),MATCH(AU$5,APOIO_REDES!$5:$5,0)),0)*$AP1203,0)</f>
        <v>1.34828030214648</v>
      </c>
      <c r="AV1203" s="153" t="n">
        <f aca="false">IFERROR(IF($N1203="VCA",INDEX(APOIO_REDES!$A:$W,MATCH($C1203&amp;$I1203&amp;$H1203&amp;$N1203&amp;$O1203,APOIO_REDES!$W:$W,0),MATCH(AV$5,APOIO_REDES!$5:$5,0)),0)*$AP1203,0)</f>
        <v>0.186591409401706</v>
      </c>
      <c r="AW1203" s="153" t="n">
        <f aca="false">IFERROR(IF($N1203="VCA",INDEX(APOIO_REDES!$A:$W,MATCH($C1203&amp;$I1203&amp;$H1203&amp;$N1203&amp;$O1203,APOIO_REDES!$W:$W,0),MATCH(AW$5,APOIO_REDES!$5:$5,0)),0)*$AP1203,0)</f>
        <v>106.514094563289</v>
      </c>
      <c r="AX1203" s="153" t="n">
        <f aca="false">IFERROR(IF($N1203="VCA",INDEX(APOIO_REDES!$A:$W,MATCH($C1203&amp;$I1203&amp;$H1203&amp;$N1203&amp;$O1203,APOIO_REDES!$W:$W,0),MATCH(AX$5,APOIO_REDES!$5:$5,0)),0)*$AP1203,0)</f>
        <v>14.7412472764176</v>
      </c>
      <c r="AY1203" s="153" t="n">
        <f aca="false">IFERROR(IF($N1203="VCA",INDEX(APOIO_REDES!$A:$W,MATCH($C1203&amp;$I1203&amp;$H1203&amp;$N1203&amp;$O1203,APOIO_REDES!$W:$W,0),MATCH(AY$5,APOIO_REDES!$5:$5,0)),0)*$AP1203,0)</f>
        <v>26.965589607502</v>
      </c>
      <c r="AZ1203" s="153" t="n">
        <f aca="false">IFERROR(IF($N1203="VCA",INDEX(APOIO_REDES!$A:$W,MATCH($C1203&amp;$I1203&amp;$H1203&amp;$N1203&amp;$O1203,APOIO_REDES!$W:$W,0),MATCH(AZ$5,APOIO_REDES!$5:$5,0)),0)*$AP1203,0)</f>
        <v>3.73195967145482</v>
      </c>
      <c r="BA1203" s="153" t="n">
        <f aca="false">IFERROR(IF(AND($N1203="VCA",$Q1203="LINEAR"),INDEX(APOIO_REDES!$A:$W,MATCH($C1203&amp;$I1203&amp;$H1203&amp;$N1203&amp;$O1203,APOIO_REDES!$W:$W,0),MATCH(BA$5,APOIO_REDES!$5:$5,0)),IF(AND($N1203="MND",$Q1203="EMBOQUE"),INDEX(APOIO_REDES!$A:$W,MATCH($C1203&amp;$I1203&amp;$H1203&amp;$N1203&amp;$O1203,APOIO_REDES!$W:$W,0),MATCH(BA$5,APOIO_REDES!$5:$5,0)),0))*$M1203/10,0)</f>
        <v>11.9969345377503</v>
      </c>
      <c r="BB1203" s="153" t="n">
        <f aca="false">IFERROR(IF($N1203="VCA",INDEX(APOIO_REDES!$A:$W,MATCH($C1203&amp;$I1203&amp;$H1203&amp;$N1203&amp;$O1203,APOIO_REDES!$W:$W,0),MATCH(BB$5,APOIO_REDES!$5:$5,0)),0)*($AI1203+$AQ1203+$AR1203),0)</f>
        <v>54.1071969689235</v>
      </c>
      <c r="BC1203" s="153" t="n">
        <f aca="false">IFERROR(IF($N1203="VCA",INDEX(APOIO_REDES!$A:$W,MATCH($C1203&amp;$I1203&amp;$H1203&amp;$N1203&amp;$O1203,APOIO_REDES!$W:$W,0),MATCH(BC$5,APOIO_REDES!$5:$5,0)),0)*($AI1203+$AQ1203+$AR1203),0)</f>
        <v>0.595178031076528</v>
      </c>
      <c r="BD1203" s="153" t="n">
        <f aca="false">IF(AND($N1203="VCA",$AF1203&gt;=1.25,$AF1203&lt;1.5),$M1203*$AF1203*2,0)</f>
        <v>413.803</v>
      </c>
      <c r="BE1203" s="153" t="n">
        <f aca="false">IF(AND($N1203="VCA",$AF1203&gt;=1.5,$AF1203&lt;3),$M1203*$AF1203*2,0)</f>
        <v>0</v>
      </c>
      <c r="BF1203" s="153" t="n">
        <f aca="false">IF(AND($N1203="VCA",$AF1203&gt;=3),$M1203*$AF1203*2,0)</f>
        <v>0</v>
      </c>
      <c r="BG1203" s="153" t="n">
        <f aca="false">($BB1203+$BC1203)*$AK1203</f>
        <v>306.3333</v>
      </c>
      <c r="BH1203" s="153" t="n">
        <f aca="false">IF(AND($M1203&lt;&gt;"",$N1203="VCA",$Q1203="LINEAR"),($M1203*2)/100,IF(AND($M1203&lt;&gt;"",$N1203="MND",$Q1203="EMBOQUE"),($AN1203*2)/100,0))</f>
        <v>2.977</v>
      </c>
      <c r="BI1203" s="153" t="n">
        <f aca="false">IF(AND($M1203&lt;&gt;"",$N1203="VCA",$Q1203="LINEAR"),$M1203,IF(AND($M1203&lt;&gt;"",$N1203="MND",$Q1203="EMBOQUE"),$AN1203*2,0))</f>
        <v>148.85</v>
      </c>
      <c r="BJ1203" s="153" t="n">
        <f aca="false">IF(AND($M1203&lt;&gt;"",$N1203="VCA",$Q1203="LINEAR"),($M1203*6.8)/100,IF(AND($M1203&lt;&gt;"",$N1203="MND",$Q1203="EMBOQUE"),($AN1203*2*6.8)/100,0))</f>
        <v>10.1218</v>
      </c>
      <c r="BK1203" s="153" t="n">
        <f aca="false">IF(AND($M1203&lt;&gt;"",$N1203="VCA",$Q1203="LINEAR"),($M1203*2.5)/50,IF(AND($M1203&lt;&gt;"",$N1203="MND",$Q1203="EMBOQUE"),($AN1203*2*2.5)/50,0))</f>
        <v>7.4425</v>
      </c>
      <c r="BL1203" s="157" t="str">
        <f aca="false">K1203&amp;J1203</f>
        <v>Zona11REDES</v>
      </c>
      <c r="BM1203" s="152" t="s">
        <v>6084</v>
      </c>
      <c r="BN1203" s="152" t="s">
        <v>1560</v>
      </c>
      <c r="BO1203" s="152" t="s">
        <v>4454</v>
      </c>
      <c r="BP1203" s="152" t="s">
        <v>6085</v>
      </c>
      <c r="BQ1203" s="152" t="s">
        <v>6086</v>
      </c>
      <c r="BR1203" s="152" t="s">
        <v>6087</v>
      </c>
      <c r="BS1203" s="152" t="n">
        <v>203716.664</v>
      </c>
      <c r="BT1203" s="152" t="n">
        <v>8236157.083</v>
      </c>
      <c r="BU1203" s="152" t="n">
        <v>203809.511</v>
      </c>
      <c r="BV1203" s="152" t="n">
        <v>8236271.026</v>
      </c>
      <c r="BW1203" s="152" t="n">
        <v>-15.9356591</v>
      </c>
      <c r="BX1203" s="152" t="n">
        <v>-47.7670003</v>
      </c>
      <c r="BY1203" s="152" t="s">
        <v>6085</v>
      </c>
    </row>
    <row r="1204" customFormat="false" ht="13.8" hidden="false" customHeight="false" outlineLevel="0" collapsed="false">
      <c r="A1204" s="149" t="n">
        <f aca="false">IF(C1204&lt;&gt;"",ROW(A1199),"")</f>
        <v>1199</v>
      </c>
      <c r="B1204" s="150" t="str">
        <f aca="false">HYPERLINK("https://www.google.com/maps/dir/-15.917302,-47.760003/-15.9361221,-47.7667441/data=!4m3!4m2!3e0!5i1")</f>
        <v>https://www.google.com/maps/dir/-15.917302,-47.760003/-15.9361221,-47.7667441/data=!4m3!4m2!3e0!5i1</v>
      </c>
      <c r="C1204" s="151" t="s">
        <v>117</v>
      </c>
      <c r="D1204" s="152" t="s">
        <v>112</v>
      </c>
      <c r="E1204" s="152" t="s">
        <v>113</v>
      </c>
      <c r="F1204" s="152" t="s">
        <v>117</v>
      </c>
      <c r="G1204" s="152" t="s">
        <v>782</v>
      </c>
      <c r="H1204" s="152" t="n">
        <v>63</v>
      </c>
      <c r="I1204" s="152" t="s">
        <v>115</v>
      </c>
      <c r="J1204" s="152" t="s">
        <v>6</v>
      </c>
      <c r="K1204" s="152" t="s">
        <v>6081</v>
      </c>
      <c r="L1204" s="152" t="s">
        <v>120</v>
      </c>
      <c r="M1204" s="153" t="n">
        <f aca="false">99.46</f>
        <v>99.46</v>
      </c>
      <c r="N1204" s="152" t="s">
        <v>1548</v>
      </c>
      <c r="O1204" s="152" t="s">
        <v>1549</v>
      </c>
      <c r="P1204" s="152" t="s">
        <v>1550</v>
      </c>
      <c r="Q1204" s="152" t="s">
        <v>1551</v>
      </c>
      <c r="R1204" s="154" t="s">
        <v>6088</v>
      </c>
      <c r="S1204" s="154" t="s">
        <v>1553</v>
      </c>
      <c r="T1204" s="155" t="s">
        <v>4451</v>
      </c>
      <c r="U1204" s="152" t="str">
        <f aca="false">RIGHT(T1204,7)</f>
        <v>018/037</v>
      </c>
      <c r="V1204" s="152" t="s">
        <v>1555</v>
      </c>
      <c r="W1204" s="156" t="n">
        <v>45882</v>
      </c>
      <c r="X1204" s="152" t="s">
        <v>1594</v>
      </c>
      <c r="Y1204" s="152" t="s">
        <v>3251</v>
      </c>
      <c r="Z1204" s="152" t="s">
        <v>1557</v>
      </c>
      <c r="AA1204" s="153" t="n">
        <v>4</v>
      </c>
      <c r="AB1204" s="151" t="s">
        <v>6089</v>
      </c>
      <c r="AC1204" s="151" t="s">
        <v>186</v>
      </c>
      <c r="AD1204" s="151" t="str">
        <f aca="false">CONCATENATE($C1204,$I1204,$H1204,$N1204,$J1204,$K1204)</f>
        <v>TUBO PEADPEAD63VCAREDESZona11</v>
      </c>
      <c r="AE1204" s="153" t="n">
        <f aca="false">IFERROR(INDEX(APOIO_REDES!$A:$W,MATCH($C1204&amp;$I1204&amp;$H1204&amp;$N1204&amp;$O1204,APOIO_REDES!$W:$W,0),MATCH(AE$5,APOIO_REDES!$5:$5,0)),0)</f>
        <v>1.2</v>
      </c>
      <c r="AF1204" s="153" t="n">
        <f aca="false">IFERROR(INDEX(APOIO_REDES!$A:$W,MATCH($C1204&amp;$I1204&amp;$H1204&amp;$N1204&amp;$O1204,APOIO_REDES!$W:$W,0),MATCH(AF$5,APOIO_REDES!$5:$5,0)),0)</f>
        <v>1.363</v>
      </c>
      <c r="AG1204" s="153" t="n">
        <f aca="false">IFERROR(INDEX(APOIO_REDES!$A:$W,MATCH($C1204&amp;$I1204&amp;$H1204&amp;$N1204&amp;$O1204,APOIO_REDES!$W:$W,0),MATCH(AG$5,APOIO_REDES!$5:$5,0)),0)</f>
        <v>0.65</v>
      </c>
      <c r="AH1204" s="153" t="n">
        <f aca="false">IFERROR(INDEX(APOIO_REDES!$A:$W,MATCH($C1204&amp;$I1204&amp;$H1204&amp;$N1204&amp;$O1204,APOIO_REDES!$W:$W,0),MATCH(AH$5,APOIO_REDES!$5:$5,0)),0)</f>
        <v>0.1</v>
      </c>
      <c r="AI1204" s="153" t="n">
        <f aca="false">IFERROR(IF($H1204&lt;&gt;"",(((($H1204/1000)/2)^2)*PI()*$M1204),0),0)</f>
        <v>0.310041218584764</v>
      </c>
      <c r="AJ1204" s="153" t="n">
        <f aca="false">IFERROR(IF(AND($H1204&lt;&gt;"",$I1204="FoFo",OR($N1204="MND",$N1204="VCA"),$Q1204="LINEAR"),0,IF(AND($H1204&lt;&gt;"",$I1204="PEAD",$N1204="VCA",$Q1204="LINEAR"),($H1204/1000)+0.3,IF(AND($H1204&lt;&gt;"",$I1204="PEAD",$N1204="MND",$Q1204="EMBOQUE"),0,IF(AND($H1204&lt;&gt;"",$I1204="PVC",$N1204="VCA",$Q1204="LINEAR"),($H1204/1000)+0.2,IF(AND($H1204&lt;&gt;"",$I1204="PVC",$N1204="MND",$Q1204="EMBOQUE"),0,IF(AND($H1204&lt;&gt;"",$I1204="PEAD",$N1204="VCA",$Q1204="PREDIAL"),0,0)))))),0)</f>
        <v>0.363</v>
      </c>
      <c r="AK1204" s="153" t="n">
        <f aca="false">IF(AA1204&lt;&gt;"",AA1204,0)</f>
        <v>4</v>
      </c>
      <c r="AL1204" s="153" t="n">
        <f aca="false">IF(AND($N1204="MND",$Q1204="EMBOQUE"),$M1204,IF(AND($N1204="VCA",$Q1204="LINEAR"),$M1204,IF(AND($N1204="VCA",$Q1204="PREDIAL"),0,0)))</f>
        <v>99.46</v>
      </c>
      <c r="AM1204" s="153" t="n">
        <f aca="false">IF(AND($N1204="MND",$Q1204="EMBOQUE"),$M1204,IF(AND($N1204="VCA",$Q1204="LINEAR"),$M1204,IF(AND($N1204="VCA",$Q1204="PREDIAL"),0,0)))</f>
        <v>99.46</v>
      </c>
      <c r="AN1204" s="153" t="n">
        <f aca="false">ROUND(IF(AND($N1204="VCA",$M1204&lt;&gt;"",$Q1204="LINEAR"),$M1204/100,IF(AND($N1204="MND",$M1204&gt;100,$Q1204="EMBOQUE"),$M1204/100,0)),0)</f>
        <v>1</v>
      </c>
      <c r="AO1204" s="153" t="n">
        <f aca="false">IF(AND($N1204="MND",$Q1204="EMBOQUE"),$AN1204*2*2,IF(AND($N1204="VCA",$Q1204="LINEAR"),$M1204*2,IF(AND($N1204="VCA",$Q1204="PREDIAL"),0,0)))</f>
        <v>198.92</v>
      </c>
      <c r="AP1204" s="153" t="n">
        <f aca="false">IFERROR($M1204*$AF1204*$AG1204,0)</f>
        <v>88.116587</v>
      </c>
      <c r="AQ1204" s="153" t="n">
        <f aca="false">IFERROR(IF(AND($N1204="VCA",$AH1204&gt;0),$M1204*$AG1204*$AH1204,0),0)</f>
        <v>6.4649</v>
      </c>
      <c r="AR1204" s="153" t="n">
        <f aca="false">IFERROR(IF(AND($N1204="VCA",$AJ1204&gt;0),($M1204*$AG1204*$AJ1204)-$AI1204,0),0)</f>
        <v>23.1575457814152</v>
      </c>
      <c r="AS1204" s="153" t="n">
        <f aca="false">IFERROR(IF(AND($N1204="VCA",$AP1204&gt;0),$AP1204-$AI1204-$AQ1204-$AR1204,0),0)</f>
        <v>58.1841</v>
      </c>
      <c r="AT1204" s="153" t="n">
        <f aca="false">IFERROR(IF($N1204="VCA",INDEX(APOIO_REDES!$A:$W,MATCH($C1204&amp;$I1204&amp;$H1204&amp;$N1204&amp;$O1204,APOIO_REDES!$W:$W,0),MATCH(AT$5,APOIO_REDES!$5:$5,0)),0)*$AP1204,0)</f>
        <v>0.958734547738441</v>
      </c>
      <c r="AU1204" s="153" t="n">
        <f aca="false">IFERROR(IF($N1204="VCA",INDEX(APOIO_REDES!$A:$W,MATCH($C1204&amp;$I1204&amp;$H1204&amp;$N1204&amp;$O1204,APOIO_REDES!$W:$W,0),MATCH(AU$5,APOIO_REDES!$5:$5,0)),0)*$AP1204,0)</f>
        <v>0.765619443999367</v>
      </c>
      <c r="AV1204" s="153" t="n">
        <f aca="false">IFERROR(IF($N1204="VCA",INDEX(APOIO_REDES!$A:$W,MATCH($C1204&amp;$I1204&amp;$H1204&amp;$N1204&amp;$O1204,APOIO_REDES!$W:$W,0),MATCH(AV$5,APOIO_REDES!$5:$5,0)),0)*$AP1204,0)</f>
        <v>0.105955720701223</v>
      </c>
      <c r="AW1204" s="153" t="n">
        <f aca="false">IFERROR(IF($N1204="VCA",INDEX(APOIO_REDES!$A:$W,MATCH($C1204&amp;$I1204&amp;$H1204&amp;$N1204&amp;$O1204,APOIO_REDES!$W:$W,0),MATCH(AW$5,APOIO_REDES!$5:$5,0)),0)*$AP1204,0)</f>
        <v>60.4839080774332</v>
      </c>
      <c r="AX1204" s="153" t="n">
        <f aca="false">IFERROR(IF($N1204="VCA",INDEX(APOIO_REDES!$A:$W,MATCH($C1204&amp;$I1204&amp;$H1204&amp;$N1204&amp;$O1204,APOIO_REDES!$W:$W,0),MATCH(AX$5,APOIO_REDES!$5:$5,0)),0)*$AP1204,0)</f>
        <v>8.3708005862433</v>
      </c>
      <c r="AY1204" s="153" t="n">
        <f aca="false">IFERROR(IF($N1204="VCA",INDEX(APOIO_REDES!$A:$W,MATCH($C1204&amp;$I1204&amp;$H1204&amp;$N1204&amp;$O1204,APOIO_REDES!$W:$W,0),MATCH(AY$5,APOIO_REDES!$5:$5,0)),0)*$AP1204,0)</f>
        <v>15.3123795471484</v>
      </c>
      <c r="AZ1204" s="153" t="n">
        <f aca="false">IFERROR(IF($N1204="VCA",INDEX(APOIO_REDES!$A:$W,MATCH($C1204&amp;$I1204&amp;$H1204&amp;$N1204&amp;$O1204,APOIO_REDES!$W:$W,0),MATCH(AZ$5,APOIO_REDES!$5:$5,0)),0)*$AP1204,0)</f>
        <v>2.11918907673613</v>
      </c>
      <c r="BA1204" s="153" t="n">
        <f aca="false">IFERROR(IF(AND($N1204="VCA",$Q1204="LINEAR"),INDEX(APOIO_REDES!$A:$W,MATCH($C1204&amp;$I1204&amp;$H1204&amp;$N1204&amp;$O1204,APOIO_REDES!$W:$W,0),MATCH(BA$5,APOIO_REDES!$5:$5,0)),IF(AND($N1204="MND",$Q1204="EMBOQUE"),INDEX(APOIO_REDES!$A:$W,MATCH($C1204&amp;$I1204&amp;$H1204&amp;$N1204&amp;$O1204,APOIO_REDES!$W:$W,0),MATCH(BA$5,APOIO_REDES!$5:$5,0)),0))*$M1204/10,0)</f>
        <v>8.01622512008495</v>
      </c>
      <c r="BB1204" s="153" t="n">
        <f aca="false">IFERROR(IF($N1204="VCA",INDEX(APOIO_REDES!$A:$W,MATCH($C1204&amp;$I1204&amp;$H1204&amp;$N1204&amp;$O1204,APOIO_REDES!$W:$W,0),MATCH(BB$5,APOIO_REDES!$5:$5,0)),0)*($AI1204+$AQ1204+$AR1204),0)</f>
        <v>29.6068126818761</v>
      </c>
      <c r="BC1204" s="153" t="n">
        <f aca="false">IFERROR(IF($N1204="VCA",INDEX(APOIO_REDES!$A:$W,MATCH($C1204&amp;$I1204&amp;$H1204&amp;$N1204&amp;$O1204,APOIO_REDES!$W:$W,0),MATCH(BC$5,APOIO_REDES!$5:$5,0)),0)*($AI1204+$AQ1204+$AR1204),0)</f>
        <v>0.325674318123917</v>
      </c>
      <c r="BD1204" s="153" t="n">
        <f aca="false">IF(AND($N1204="VCA",$AF1204&gt;=1.25,$AF1204&lt;1.5),$M1204*$AF1204*2,0)</f>
        <v>271.12796</v>
      </c>
      <c r="BE1204" s="153" t="n">
        <f aca="false">IF(AND($N1204="VCA",$AF1204&gt;=1.5,$AF1204&lt;3),$M1204*$AF1204*2,0)</f>
        <v>0</v>
      </c>
      <c r="BF1204" s="153" t="n">
        <f aca="false">IF(AND($N1204="VCA",$AF1204&gt;=3),$M1204*$AF1204*2,0)</f>
        <v>0</v>
      </c>
      <c r="BG1204" s="153" t="n">
        <f aca="false">($BB1204+$BC1204)*$AK1204</f>
        <v>119.729948</v>
      </c>
      <c r="BH1204" s="153" t="n">
        <f aca="false">IF(AND($M1204&lt;&gt;"",$N1204="VCA",$Q1204="LINEAR"),($M1204*2)/100,IF(AND($M1204&lt;&gt;"",$N1204="MND",$Q1204="EMBOQUE"),($AN1204*2)/100,0))</f>
        <v>1.9892</v>
      </c>
      <c r="BI1204" s="153" t="n">
        <f aca="false">IF(AND($M1204&lt;&gt;"",$N1204="VCA",$Q1204="LINEAR"),$M1204,IF(AND($M1204&lt;&gt;"",$N1204="MND",$Q1204="EMBOQUE"),$AN1204*2,0))</f>
        <v>99.46</v>
      </c>
      <c r="BJ1204" s="153" t="n">
        <f aca="false">IF(AND($M1204&lt;&gt;"",$N1204="VCA",$Q1204="LINEAR"),($M1204*6.8)/100,IF(AND($M1204&lt;&gt;"",$N1204="MND",$Q1204="EMBOQUE"),($AN1204*2*6.8)/100,0))</f>
        <v>6.76328</v>
      </c>
      <c r="BK1204" s="153" t="n">
        <f aca="false">IF(AND($M1204&lt;&gt;"",$N1204="VCA",$Q1204="LINEAR"),($M1204*2.5)/50,IF(AND($M1204&lt;&gt;"",$N1204="MND",$Q1204="EMBOQUE"),($AN1204*2*2.5)/50,0))</f>
        <v>4.973</v>
      </c>
      <c r="BL1204" s="157" t="str">
        <f aca="false">K1204&amp;J1204</f>
        <v>Zona11REDES</v>
      </c>
      <c r="BM1204" s="152" t="s">
        <v>6084</v>
      </c>
      <c r="BN1204" s="152" t="s">
        <v>1560</v>
      </c>
      <c r="BO1204" s="152" t="s">
        <v>4454</v>
      </c>
      <c r="BP1204" s="152" t="s">
        <v>6090</v>
      </c>
      <c r="BQ1204" s="152" t="s">
        <v>6091</v>
      </c>
      <c r="BR1204" s="152" t="s">
        <v>6092</v>
      </c>
      <c r="BS1204" s="152" t="n">
        <v>203789.402</v>
      </c>
      <c r="BT1204" s="152" t="n">
        <v>8236165.671</v>
      </c>
      <c r="BU1204" s="152" t="n">
        <v>203849.136</v>
      </c>
      <c r="BV1204" s="152" t="n">
        <v>8236245.083</v>
      </c>
      <c r="BW1204" s="152" t="n">
        <v>-15.9357695</v>
      </c>
      <c r="BX1204" s="152" t="n">
        <v>-47.7664577</v>
      </c>
      <c r="BY1204" s="152" t="s">
        <v>6090</v>
      </c>
    </row>
    <row r="1205" customFormat="false" ht="13.8" hidden="false" customHeight="false" outlineLevel="0" collapsed="false">
      <c r="A1205" s="149" t="n">
        <f aca="false">IF(C1205&lt;&gt;"",ROW(A1200),"")</f>
        <v>1200</v>
      </c>
      <c r="B1205" s="150" t="str">
        <f aca="false">HYPERLINK("https://www.google.com/maps/dir/-15.917302,-47.760003/-15.9362593,-47.7673327/data=!4m3!4m2!3e0!5i2")</f>
        <v>https://www.google.com/maps/dir/-15.917302,-47.760003/-15.9362593,-47.7673327/data=!4m3!4m2!3e0!5i2</v>
      </c>
      <c r="C1205" s="151" t="s">
        <v>117</v>
      </c>
      <c r="D1205" s="152" t="s">
        <v>112</v>
      </c>
      <c r="E1205" s="152" t="s">
        <v>113</v>
      </c>
      <c r="F1205" s="152" t="s">
        <v>117</v>
      </c>
      <c r="G1205" s="152" t="s">
        <v>782</v>
      </c>
      <c r="H1205" s="152" t="n">
        <v>63</v>
      </c>
      <c r="I1205" s="152" t="s">
        <v>115</v>
      </c>
      <c r="J1205" s="152" t="s">
        <v>6</v>
      </c>
      <c r="K1205" s="152" t="s">
        <v>6081</v>
      </c>
      <c r="L1205" s="152" t="s">
        <v>120</v>
      </c>
      <c r="M1205" s="153" t="n">
        <f aca="false">65.03</f>
        <v>65.03</v>
      </c>
      <c r="N1205" s="152" t="s">
        <v>1548</v>
      </c>
      <c r="O1205" s="152" t="s">
        <v>1549</v>
      </c>
      <c r="P1205" s="152" t="s">
        <v>1550</v>
      </c>
      <c r="Q1205" s="152" t="s">
        <v>1551</v>
      </c>
      <c r="R1205" s="154" t="s">
        <v>6093</v>
      </c>
      <c r="S1205" s="154" t="s">
        <v>1553</v>
      </c>
      <c r="T1205" s="155" t="s">
        <v>4451</v>
      </c>
      <c r="U1205" s="152" t="str">
        <f aca="false">RIGHT(T1205,7)</f>
        <v>018/037</v>
      </c>
      <c r="V1205" s="152" t="s">
        <v>1555</v>
      </c>
      <c r="W1205" s="156" t="n">
        <v>45882</v>
      </c>
      <c r="X1205" s="152" t="s">
        <v>1594</v>
      </c>
      <c r="Y1205" s="152" t="s">
        <v>3251</v>
      </c>
      <c r="Z1205" s="152" t="s">
        <v>1557</v>
      </c>
      <c r="AA1205" s="153" t="n">
        <v>5.5</v>
      </c>
      <c r="AB1205" s="151" t="s">
        <v>6094</v>
      </c>
      <c r="AC1205" s="151" t="s">
        <v>186</v>
      </c>
      <c r="AD1205" s="151" t="str">
        <f aca="false">CONCATENATE($C1205,$I1205,$H1205,$N1205,$J1205,$K1205)</f>
        <v>TUBO PEADPEAD63VCAREDESZona11</v>
      </c>
      <c r="AE1205" s="153" t="n">
        <f aca="false">IFERROR(INDEX(APOIO_REDES!$A:$W,MATCH($C1205&amp;$I1205&amp;$H1205&amp;$N1205&amp;$O1205,APOIO_REDES!$W:$W,0),MATCH(AE$5,APOIO_REDES!$5:$5,0)),0)</f>
        <v>1.2</v>
      </c>
      <c r="AF1205" s="153" t="n">
        <f aca="false">IFERROR(INDEX(APOIO_REDES!$A:$W,MATCH($C1205&amp;$I1205&amp;$H1205&amp;$N1205&amp;$O1205,APOIO_REDES!$W:$W,0),MATCH(AF$5,APOIO_REDES!$5:$5,0)),0)</f>
        <v>1.363</v>
      </c>
      <c r="AG1205" s="153" t="n">
        <f aca="false">IFERROR(INDEX(APOIO_REDES!$A:$W,MATCH($C1205&amp;$I1205&amp;$H1205&amp;$N1205&amp;$O1205,APOIO_REDES!$W:$W,0),MATCH(AG$5,APOIO_REDES!$5:$5,0)),0)</f>
        <v>0.65</v>
      </c>
      <c r="AH1205" s="153" t="n">
        <f aca="false">IFERROR(INDEX(APOIO_REDES!$A:$W,MATCH($C1205&amp;$I1205&amp;$H1205&amp;$N1205&amp;$O1205,APOIO_REDES!$W:$W,0),MATCH(AH$5,APOIO_REDES!$5:$5,0)),0)</f>
        <v>0.1</v>
      </c>
      <c r="AI1205" s="153" t="n">
        <f aca="false">IFERROR(IF($H1205&lt;&gt;"",(((($H1205/1000)/2)^2)*PI()*$M1205),0),0)</f>
        <v>0.202714462543406</v>
      </c>
      <c r="AJ1205" s="153" t="n">
        <f aca="false">IFERROR(IF(AND($H1205&lt;&gt;"",$I1205="FoFo",OR($N1205="MND",$N1205="VCA"),$Q1205="LINEAR"),0,IF(AND($H1205&lt;&gt;"",$I1205="PEAD",$N1205="VCA",$Q1205="LINEAR"),($H1205/1000)+0.3,IF(AND($H1205&lt;&gt;"",$I1205="PEAD",$N1205="MND",$Q1205="EMBOQUE"),0,IF(AND($H1205&lt;&gt;"",$I1205="PVC",$N1205="VCA",$Q1205="LINEAR"),($H1205/1000)+0.2,IF(AND($H1205&lt;&gt;"",$I1205="PVC",$N1205="MND",$Q1205="EMBOQUE"),0,IF(AND($H1205&lt;&gt;"",$I1205="PEAD",$N1205="VCA",$Q1205="PREDIAL"),0,0)))))),0)</f>
        <v>0.363</v>
      </c>
      <c r="AK1205" s="153" t="n">
        <f aca="false">IF(AA1205&lt;&gt;"",AA1205,0)</f>
        <v>5.5</v>
      </c>
      <c r="AL1205" s="153" t="n">
        <f aca="false">IF(AND($N1205="MND",$Q1205="EMBOQUE"),$M1205,IF(AND($N1205="VCA",$Q1205="LINEAR"),$M1205,IF(AND($N1205="VCA",$Q1205="PREDIAL"),0,0)))</f>
        <v>65.03</v>
      </c>
      <c r="AM1205" s="153" t="n">
        <f aca="false">IF(AND($N1205="MND",$Q1205="EMBOQUE"),$M1205,IF(AND($N1205="VCA",$Q1205="LINEAR"),$M1205,IF(AND($N1205="VCA",$Q1205="PREDIAL"),0,0)))</f>
        <v>65.03</v>
      </c>
      <c r="AN1205" s="153" t="n">
        <f aca="false">ROUND(IF(AND($N1205="VCA",$M1205&lt;&gt;"",$Q1205="LINEAR"),$M1205/100,IF(AND($N1205="MND",$M1205&gt;100,$Q1205="EMBOQUE"),$M1205/100,0)),0)</f>
        <v>1</v>
      </c>
      <c r="AO1205" s="153" t="n">
        <f aca="false">IF(AND($N1205="MND",$Q1205="EMBOQUE"),$AN1205*2*2,IF(AND($N1205="VCA",$Q1205="LINEAR"),$M1205*2,IF(AND($N1205="VCA",$Q1205="PREDIAL"),0,0)))</f>
        <v>130.06</v>
      </c>
      <c r="AP1205" s="153" t="n">
        <f aca="false">IFERROR($M1205*$AF1205*$AG1205,0)</f>
        <v>57.6133285</v>
      </c>
      <c r="AQ1205" s="153" t="n">
        <f aca="false">IFERROR(IF(AND($N1205="VCA",$AH1205&gt;0),$M1205*$AG1205*$AH1205,0),0)</f>
        <v>4.22695</v>
      </c>
      <c r="AR1205" s="153" t="n">
        <f aca="false">IFERROR(IF(AND($N1205="VCA",$AJ1205&gt;0),($M1205*$AG1205*$AJ1205)-$AI1205,0),0)</f>
        <v>15.1411140374566</v>
      </c>
      <c r="AS1205" s="153" t="n">
        <f aca="false">IFERROR(IF(AND($N1205="VCA",$AP1205&gt;0),$AP1205-$AI1205-$AQ1205-$AR1205,0),0)</f>
        <v>38.04255</v>
      </c>
      <c r="AT1205" s="153" t="n">
        <f aca="false">IFERROR(IF($N1205="VCA",INDEX(APOIO_REDES!$A:$W,MATCH($C1205&amp;$I1205&amp;$H1205&amp;$N1205&amp;$O1205,APOIO_REDES!$W:$W,0),MATCH(AT$5,APOIO_REDES!$5:$5,0)),0)*$AP1205,0)</f>
        <v>0.626850066754784</v>
      </c>
      <c r="AU1205" s="153" t="n">
        <f aca="false">IFERROR(IF($N1205="VCA",INDEX(APOIO_REDES!$A:$W,MATCH($C1205&amp;$I1205&amp;$H1205&amp;$N1205&amp;$O1205,APOIO_REDES!$W:$W,0),MATCH(AU$5,APOIO_REDES!$5:$5,0)),0)*$AP1205,0)</f>
        <v>0.500585486057499</v>
      </c>
      <c r="AV1205" s="153" t="n">
        <f aca="false">IFERROR(IF($N1205="VCA",INDEX(APOIO_REDES!$A:$W,MATCH($C1205&amp;$I1205&amp;$H1205&amp;$N1205&amp;$O1205,APOIO_REDES!$W:$W,0),MATCH(AV$5,APOIO_REDES!$5:$5,0)),0)*$AP1205,0)</f>
        <v>0.0692771015202144</v>
      </c>
      <c r="AW1205" s="153" t="n">
        <f aca="false">IFERROR(IF($N1205="VCA",INDEX(APOIO_REDES!$A:$W,MATCH($C1205&amp;$I1205&amp;$H1205&amp;$N1205&amp;$O1205,APOIO_REDES!$W:$W,0),MATCH(AW$5,APOIO_REDES!$5:$5,0)),0)*$AP1205,0)</f>
        <v>39.546235092253</v>
      </c>
      <c r="AX1205" s="153" t="n">
        <f aca="false">IFERROR(IF($N1205="VCA",INDEX(APOIO_REDES!$A:$W,MATCH($C1205&amp;$I1205&amp;$H1205&amp;$N1205&amp;$O1205,APOIO_REDES!$W:$W,0),MATCH(AX$5,APOIO_REDES!$5:$5,0)),0)*$AP1205,0)</f>
        <v>5.47308628718481</v>
      </c>
      <c r="AY1205" s="153" t="n">
        <f aca="false">IFERROR(IF($N1205="VCA",INDEX(APOIO_REDES!$A:$W,MATCH($C1205&amp;$I1205&amp;$H1205&amp;$N1205&amp;$O1205,APOIO_REDES!$W:$W,0),MATCH(AY$5,APOIO_REDES!$5:$5,0)),0)*$AP1205,0)</f>
        <v>10.0117036190535</v>
      </c>
      <c r="AZ1205" s="153" t="n">
        <f aca="false">IFERROR(IF($N1205="VCA",INDEX(APOIO_REDES!$A:$W,MATCH($C1205&amp;$I1205&amp;$H1205&amp;$N1205&amp;$O1205,APOIO_REDES!$W:$W,0),MATCH(AZ$5,APOIO_REDES!$5:$5,0)),0)*$AP1205,0)</f>
        <v>1.38559084717626</v>
      </c>
      <c r="BA1205" s="153" t="n">
        <f aca="false">IFERROR(IF(AND($N1205="VCA",$Q1205="LINEAR"),INDEX(APOIO_REDES!$A:$W,MATCH($C1205&amp;$I1205&amp;$H1205&amp;$N1205&amp;$O1205,APOIO_REDES!$W:$W,0),MATCH(BA$5,APOIO_REDES!$5:$5,0)),IF(AND($N1205="MND",$Q1205="EMBOQUE"),INDEX(APOIO_REDES!$A:$W,MATCH($C1205&amp;$I1205&amp;$H1205&amp;$N1205&amp;$O1205,APOIO_REDES!$W:$W,0),MATCH(BA$5,APOIO_REDES!$5:$5,0)),0))*$M1205/10,0)</f>
        <v>5.24125396701311</v>
      </c>
      <c r="BB1205" s="153" t="n">
        <f aca="false">IFERROR(IF($N1205="VCA",INDEX(APOIO_REDES!$A:$W,MATCH($C1205&amp;$I1205&amp;$H1205&amp;$N1205&amp;$O1205,APOIO_REDES!$W:$W,0),MATCH(BB$5,APOIO_REDES!$5:$5,0)),0)*($AI1205+$AQ1205+$AR1205),0)</f>
        <v>19.3578426372653</v>
      </c>
      <c r="BC1205" s="153" t="n">
        <f aca="false">IFERROR(IF($N1205="VCA",INDEX(APOIO_REDES!$A:$W,MATCH($C1205&amp;$I1205&amp;$H1205&amp;$N1205&amp;$O1205,APOIO_REDES!$W:$W,0),MATCH(BC$5,APOIO_REDES!$5:$5,0)),0)*($AI1205+$AQ1205+$AR1205),0)</f>
        <v>0.212935862734751</v>
      </c>
      <c r="BD1205" s="153" t="n">
        <f aca="false">IF(AND($N1205="VCA",$AF1205&gt;=1.25,$AF1205&lt;1.5),$M1205*$AF1205*2,0)</f>
        <v>177.27178</v>
      </c>
      <c r="BE1205" s="153" t="n">
        <f aca="false">IF(AND($N1205="VCA",$AF1205&gt;=1.5,$AF1205&lt;3),$M1205*$AF1205*2,0)</f>
        <v>0</v>
      </c>
      <c r="BF1205" s="153" t="n">
        <f aca="false">IF(AND($N1205="VCA",$AF1205&gt;=3),$M1205*$AF1205*2,0)</f>
        <v>0</v>
      </c>
      <c r="BG1205" s="153" t="n">
        <f aca="false">($BB1205+$BC1205)*$AK1205</f>
        <v>107.63928175</v>
      </c>
      <c r="BH1205" s="153" t="n">
        <f aca="false">IF(AND($M1205&lt;&gt;"",$N1205="VCA",$Q1205="LINEAR"),($M1205*2)/100,IF(AND($M1205&lt;&gt;"",$N1205="MND",$Q1205="EMBOQUE"),($AN1205*2)/100,0))</f>
        <v>1.3006</v>
      </c>
      <c r="BI1205" s="153" t="n">
        <f aca="false">IF(AND($M1205&lt;&gt;"",$N1205="VCA",$Q1205="LINEAR"),$M1205,IF(AND($M1205&lt;&gt;"",$N1205="MND",$Q1205="EMBOQUE"),$AN1205*2,0))</f>
        <v>65.03</v>
      </c>
      <c r="BJ1205" s="153" t="n">
        <f aca="false">IF(AND($M1205&lt;&gt;"",$N1205="VCA",$Q1205="LINEAR"),($M1205*6.8)/100,IF(AND($M1205&lt;&gt;"",$N1205="MND",$Q1205="EMBOQUE"),($AN1205*2*6.8)/100,0))</f>
        <v>4.42204</v>
      </c>
      <c r="BK1205" s="153" t="n">
        <f aca="false">IF(AND($M1205&lt;&gt;"",$N1205="VCA",$Q1205="LINEAR"),($M1205*2.5)/50,IF(AND($M1205&lt;&gt;"",$N1205="MND",$Q1205="EMBOQUE"),($AN1205*2*2.5)/50,0))</f>
        <v>3.2515</v>
      </c>
      <c r="BL1205" s="157" t="str">
        <f aca="false">K1205&amp;J1205</f>
        <v>Zona11REDES</v>
      </c>
      <c r="BM1205" s="152" t="s">
        <v>6084</v>
      </c>
      <c r="BN1205" s="152" t="s">
        <v>1560</v>
      </c>
      <c r="BO1205" s="152" t="s">
        <v>4454</v>
      </c>
      <c r="BP1205" s="152" t="s">
        <v>6095</v>
      </c>
      <c r="BQ1205" s="152" t="s">
        <v>6090</v>
      </c>
      <c r="BR1205" s="152" t="s">
        <v>6096</v>
      </c>
      <c r="BS1205" s="152" t="n">
        <v>203726.549</v>
      </c>
      <c r="BT1205" s="152" t="n">
        <v>8236149.641</v>
      </c>
      <c r="BU1205" s="152" t="n">
        <v>203789.402</v>
      </c>
      <c r="BV1205" s="152" t="n">
        <v>8236165.671</v>
      </c>
      <c r="BW1205" s="152" t="n">
        <v>-15.9361798</v>
      </c>
      <c r="BX1205" s="152" t="n">
        <v>-47.7670411</v>
      </c>
      <c r="BY1205" s="152" t="s">
        <v>6095</v>
      </c>
    </row>
    <row r="1206" customFormat="false" ht="13.8" hidden="false" customHeight="false" outlineLevel="0" collapsed="false">
      <c r="A1206" s="149" t="n">
        <f aca="false">IF(C1206&lt;&gt;"",ROW(A1201),"")</f>
        <v>1201</v>
      </c>
      <c r="B1206" s="150" t="str">
        <f aca="false">HYPERLINK("https://www.google.com/maps/dir/-15.917302,-47.760003/-15.9362517,-47.7674664/data=!4m3!4m2!3e0!5i2")</f>
        <v>https://www.google.com/maps/dir/-15.917302,-47.760003/-15.9362517,-47.7674664/data=!4m3!4m2!3e0!5i2</v>
      </c>
      <c r="C1206" s="151" t="s">
        <v>117</v>
      </c>
      <c r="D1206" s="152" t="s">
        <v>112</v>
      </c>
      <c r="E1206" s="152" t="s">
        <v>113</v>
      </c>
      <c r="F1206" s="152" t="s">
        <v>117</v>
      </c>
      <c r="G1206" s="152" t="s">
        <v>782</v>
      </c>
      <c r="H1206" s="152" t="n">
        <v>90</v>
      </c>
      <c r="I1206" s="152" t="s">
        <v>115</v>
      </c>
      <c r="J1206" s="152" t="s">
        <v>6</v>
      </c>
      <c r="K1206" s="152" t="s">
        <v>6081</v>
      </c>
      <c r="L1206" s="152" t="s">
        <v>120</v>
      </c>
      <c r="M1206" s="153" t="n">
        <f aca="false">7.85</f>
        <v>7.85</v>
      </c>
      <c r="N1206" s="152" t="s">
        <v>1548</v>
      </c>
      <c r="O1206" s="152" t="s">
        <v>1549</v>
      </c>
      <c r="P1206" s="152" t="s">
        <v>1550</v>
      </c>
      <c r="Q1206" s="152" t="s">
        <v>1551</v>
      </c>
      <c r="R1206" s="154" t="s">
        <v>6097</v>
      </c>
      <c r="S1206" s="154" t="s">
        <v>1593</v>
      </c>
      <c r="T1206" s="155" t="s">
        <v>4451</v>
      </c>
      <c r="U1206" s="152" t="str">
        <f aca="false">RIGHT(T1206,7)</f>
        <v>018/037</v>
      </c>
      <c r="V1206" s="152" t="s">
        <v>1555</v>
      </c>
      <c r="W1206" s="156" t="n">
        <v>45882</v>
      </c>
      <c r="X1206" s="152" t="s">
        <v>1594</v>
      </c>
      <c r="Y1206" s="152" t="s">
        <v>3251</v>
      </c>
      <c r="Z1206" s="152" t="s">
        <v>1557</v>
      </c>
      <c r="AA1206" s="153" t="n">
        <v>5.6</v>
      </c>
      <c r="AB1206" s="151" t="s">
        <v>6098</v>
      </c>
      <c r="AC1206" s="151" t="s">
        <v>526</v>
      </c>
      <c r="AD1206" s="151" t="str">
        <f aca="false">CONCATENATE($C1206,$I1206,$H1206,$N1206,$J1206,$K1206)</f>
        <v>TUBO PEADPEAD90VCAREDESZona11</v>
      </c>
      <c r="AE1206" s="153" t="n">
        <f aca="false">IFERROR(INDEX(APOIO_REDES!$A:$W,MATCH($C1206&amp;$I1206&amp;$H1206&amp;$N1206&amp;$O1206,APOIO_REDES!$W:$W,0),MATCH(AE$5,APOIO_REDES!$5:$5,0)),0)</f>
        <v>1.2</v>
      </c>
      <c r="AF1206" s="153" t="n">
        <f aca="false">IFERROR(INDEX(APOIO_REDES!$A:$W,MATCH($C1206&amp;$I1206&amp;$H1206&amp;$N1206&amp;$O1206,APOIO_REDES!$W:$W,0),MATCH(AF$5,APOIO_REDES!$5:$5,0)),0)</f>
        <v>1.39</v>
      </c>
      <c r="AG1206" s="153" t="n">
        <f aca="false">IFERROR(INDEX(APOIO_REDES!$A:$W,MATCH($C1206&amp;$I1206&amp;$H1206&amp;$N1206&amp;$O1206,APOIO_REDES!$W:$W,0),MATCH(AG$5,APOIO_REDES!$5:$5,0)),0)</f>
        <v>0.75</v>
      </c>
      <c r="AH1206" s="153" t="n">
        <f aca="false">IFERROR(INDEX(APOIO_REDES!$A:$W,MATCH($C1206&amp;$I1206&amp;$H1206&amp;$N1206&amp;$O1206,APOIO_REDES!$W:$W,0),MATCH(AH$5,APOIO_REDES!$5:$5,0)),0)</f>
        <v>0.1</v>
      </c>
      <c r="AI1206" s="153" t="n">
        <f aca="false">IFERROR(IF($H1206&lt;&gt;"",(((($H1206/1000)/2)^2)*PI()*$M1206),0),0)</f>
        <v>0.0499395422196267</v>
      </c>
      <c r="AJ1206" s="153" t="n">
        <f aca="false">IFERROR(IF(AND($H1206&lt;&gt;"",$I1206="FoFo",OR($N1206="MND",$N1206="VCA"),$Q1206="LINEAR"),0,IF(AND($H1206&lt;&gt;"",$I1206="PEAD",$N1206="VCA",$Q1206="LINEAR"),($H1206/1000)+0.3,IF(AND($H1206&lt;&gt;"",$I1206="PEAD",$N1206="MND",$Q1206="EMBOQUE"),0,IF(AND($H1206&lt;&gt;"",$I1206="PVC",$N1206="VCA",$Q1206="LINEAR"),($H1206/1000)+0.2,IF(AND($H1206&lt;&gt;"",$I1206="PVC",$N1206="MND",$Q1206="EMBOQUE"),0,IF(AND($H1206&lt;&gt;"",$I1206="PEAD",$N1206="VCA",$Q1206="PREDIAL"),0,0)))))),0)</f>
        <v>0.39</v>
      </c>
      <c r="AK1206" s="153" t="n">
        <f aca="false">IF(AA1206&lt;&gt;"",AA1206,0)</f>
        <v>5.6</v>
      </c>
      <c r="AL1206" s="153" t="n">
        <f aca="false">IF(AND($N1206="MND",$Q1206="EMBOQUE"),$M1206,IF(AND($N1206="VCA",$Q1206="LINEAR"),$M1206,IF(AND($N1206="VCA",$Q1206="PREDIAL"),0,0)))</f>
        <v>7.85</v>
      </c>
      <c r="AM1206" s="153" t="n">
        <f aca="false">IF(AND($N1206="MND",$Q1206="EMBOQUE"),$M1206,IF(AND($N1206="VCA",$Q1206="LINEAR"),$M1206,IF(AND($N1206="VCA",$Q1206="PREDIAL"),0,0)))</f>
        <v>7.85</v>
      </c>
      <c r="AN1206" s="153" t="n">
        <f aca="false">ROUND(IF(AND($N1206="VCA",$M1206&lt;&gt;"",$Q1206="LINEAR"),$M1206/100,IF(AND($N1206="MND",$M1206&gt;100,$Q1206="EMBOQUE"),$M1206/100,0)),0)</f>
        <v>0</v>
      </c>
      <c r="AO1206" s="153" t="n">
        <f aca="false">IF(AND($N1206="MND",$Q1206="EMBOQUE"),$AN1206*2*2,IF(AND($N1206="VCA",$Q1206="LINEAR"),$M1206*2,IF(AND($N1206="VCA",$Q1206="PREDIAL"),0,0)))</f>
        <v>15.7</v>
      </c>
      <c r="AP1206" s="153" t="n">
        <f aca="false">IFERROR($M1206*$AF1206*$AG1206,0)</f>
        <v>8.183625</v>
      </c>
      <c r="AQ1206" s="153" t="n">
        <f aca="false">IFERROR(IF(AND($N1206="VCA",$AH1206&gt;0),$M1206*$AG1206*$AH1206,0),0)</f>
        <v>0.58875</v>
      </c>
      <c r="AR1206" s="153" t="n">
        <f aca="false">IFERROR(IF(AND($N1206="VCA",$AJ1206&gt;0),($M1206*$AG1206*$AJ1206)-$AI1206,0),0)</f>
        <v>2.24618545778037</v>
      </c>
      <c r="AS1206" s="153" t="n">
        <f aca="false">IFERROR(IF(AND($N1206="VCA",$AP1206&gt;0),$AP1206-$AI1206-$AQ1206-$AR1206,0),0)</f>
        <v>5.29875</v>
      </c>
      <c r="AT1206" s="153" t="n">
        <f aca="false">IFERROR(IF($N1206="VCA",INDEX(APOIO_REDES!$A:$W,MATCH($C1206&amp;$I1206&amp;$H1206&amp;$N1206&amp;$O1206,APOIO_REDES!$W:$W,0),MATCH(AT$5,APOIO_REDES!$5:$5,0)),0)*$AP1206,0)</f>
        <v>0.0890402622293576</v>
      </c>
      <c r="AU1206" s="153" t="n">
        <f aca="false">IFERROR(IF($N1206="VCA",INDEX(APOIO_REDES!$A:$W,MATCH($C1206&amp;$I1206&amp;$H1206&amp;$N1206&amp;$O1206,APOIO_REDES!$W:$W,0),MATCH(AU$5,APOIO_REDES!$5:$5,0)),0)*$AP1206,0)</f>
        <v>0.0711051419002341</v>
      </c>
      <c r="AV1206" s="153" t="n">
        <f aca="false">IFERROR(IF($N1206="VCA",INDEX(APOIO_REDES!$A:$W,MATCH($C1206&amp;$I1206&amp;$H1206&amp;$N1206&amp;$O1206,APOIO_REDES!$W:$W,0),MATCH(AV$5,APOIO_REDES!$5:$5,0)),0)*$AP1206,0)</f>
        <v>0.00984039344174264</v>
      </c>
      <c r="AW1206" s="153" t="n">
        <f aca="false">IFERROR(IF($N1206="VCA",INDEX(APOIO_REDES!$A:$W,MATCH($C1206&amp;$I1206&amp;$H1206&amp;$N1206&amp;$O1206,APOIO_REDES!$W:$W,0),MATCH(AW$5,APOIO_REDES!$5:$5,0)),0)*$AP1206,0)</f>
        <v>5.61730360982075</v>
      </c>
      <c r="AX1206" s="153" t="n">
        <f aca="false">IFERROR(IF($N1206="VCA",INDEX(APOIO_REDES!$A:$W,MATCH($C1206&amp;$I1206&amp;$H1206&amp;$N1206&amp;$O1206,APOIO_REDES!$W:$W,0),MATCH(AX$5,APOIO_REDES!$5:$5,0)),0)*$AP1206,0)</f>
        <v>0.777418818406974</v>
      </c>
      <c r="AY1206" s="153" t="n">
        <f aca="false">IFERROR(IF($N1206="VCA",INDEX(APOIO_REDES!$A:$W,MATCH($C1206&amp;$I1206&amp;$H1206&amp;$N1206&amp;$O1206,APOIO_REDES!$W:$W,0),MATCH(AY$5,APOIO_REDES!$5:$5,0)),0)*$AP1206,0)</f>
        <v>1.42210197123877</v>
      </c>
      <c r="AZ1206" s="153" t="n">
        <f aca="false">IFERROR(IF($N1206="VCA",INDEX(APOIO_REDES!$A:$W,MATCH($C1206&amp;$I1206&amp;$H1206&amp;$N1206&amp;$O1206,APOIO_REDES!$W:$W,0),MATCH(AZ$5,APOIO_REDES!$5:$5,0)),0)*$AP1206,0)</f>
        <v>0.196814802962179</v>
      </c>
      <c r="BA1206" s="153" t="n">
        <f aca="false">IFERROR(IF(AND($N1206="VCA",$Q1206="LINEAR"),INDEX(APOIO_REDES!$A:$W,MATCH($C1206&amp;$I1206&amp;$H1206&amp;$N1206&amp;$O1206,APOIO_REDES!$W:$W,0),MATCH(BA$5,APOIO_REDES!$5:$5,0)),IF(AND($N1206="MND",$Q1206="EMBOQUE"),INDEX(APOIO_REDES!$A:$W,MATCH($C1206&amp;$I1206&amp;$H1206&amp;$N1206&amp;$O1206,APOIO_REDES!$W:$W,0),MATCH(BA$5,APOIO_REDES!$5:$5,0)),0))*$M1206/10,0)</f>
        <v>0.632690199001275</v>
      </c>
      <c r="BB1206" s="153" t="n">
        <f aca="false">IFERROR(IF($N1206="VCA",INDEX(APOIO_REDES!$A:$W,MATCH($C1206&amp;$I1206&amp;$H1206&amp;$N1206&amp;$O1206,APOIO_REDES!$W:$W,0),MATCH(BB$5,APOIO_REDES!$5:$5,0)),0)*($AI1206+$AQ1206+$AR1206),0)</f>
        <v>2.85348670612059</v>
      </c>
      <c r="BC1206" s="153" t="n">
        <f aca="false">IFERROR(IF($N1206="VCA",INDEX(APOIO_REDES!$A:$W,MATCH($C1206&amp;$I1206&amp;$H1206&amp;$N1206&amp;$O1206,APOIO_REDES!$W:$W,0),MATCH(BC$5,APOIO_REDES!$5:$5,0)),0)*($AI1206+$AQ1206+$AR1206),0)</f>
        <v>0.0313882938794138</v>
      </c>
      <c r="BD1206" s="153" t="n">
        <f aca="false">IF(AND($N1206="VCA",$AF1206&gt;=1.25,$AF1206&lt;1.5),$M1206*$AF1206*2,0)</f>
        <v>21.823</v>
      </c>
      <c r="BE1206" s="153" t="n">
        <f aca="false">IF(AND($N1206="VCA",$AF1206&gt;=1.5,$AF1206&lt;3),$M1206*$AF1206*2,0)</f>
        <v>0</v>
      </c>
      <c r="BF1206" s="153" t="n">
        <f aca="false">IF(AND($N1206="VCA",$AF1206&gt;=3),$M1206*$AF1206*2,0)</f>
        <v>0</v>
      </c>
      <c r="BG1206" s="153" t="n">
        <f aca="false">($BB1206+$BC1206)*$AK1206</f>
        <v>16.1553</v>
      </c>
      <c r="BH1206" s="153" t="n">
        <f aca="false">IF(AND($M1206&lt;&gt;"",$N1206="VCA",$Q1206="LINEAR"),($M1206*2)/100,IF(AND($M1206&lt;&gt;"",$N1206="MND",$Q1206="EMBOQUE"),($AN1206*2)/100,0))</f>
        <v>0.157</v>
      </c>
      <c r="BI1206" s="153" t="n">
        <f aca="false">IF(AND($M1206&lt;&gt;"",$N1206="VCA",$Q1206="LINEAR"),$M1206,IF(AND($M1206&lt;&gt;"",$N1206="MND",$Q1206="EMBOQUE"),$AN1206*2,0))</f>
        <v>7.85</v>
      </c>
      <c r="BJ1206" s="153" t="n">
        <f aca="false">IF(AND($M1206&lt;&gt;"",$N1206="VCA",$Q1206="LINEAR"),($M1206*6.8)/100,IF(AND($M1206&lt;&gt;"",$N1206="MND",$Q1206="EMBOQUE"),($AN1206*2*6.8)/100,0))</f>
        <v>0.5338</v>
      </c>
      <c r="BK1206" s="153" t="n">
        <f aca="false">IF(AND($M1206&lt;&gt;"",$N1206="VCA",$Q1206="LINEAR"),($M1206*2.5)/50,IF(AND($M1206&lt;&gt;"",$N1206="MND",$Q1206="EMBOQUE"),($AN1206*2*2.5)/50,0))</f>
        <v>0.3925</v>
      </c>
      <c r="BL1206" s="157" t="str">
        <f aca="false">K1206&amp;J1206</f>
        <v>Zona11REDES</v>
      </c>
      <c r="BM1206" s="152" t="s">
        <v>6084</v>
      </c>
      <c r="BN1206" s="152" t="s">
        <v>1560</v>
      </c>
      <c r="BO1206" s="152" t="s">
        <v>4454</v>
      </c>
      <c r="BP1206" s="152" t="s">
        <v>6099</v>
      </c>
      <c r="BQ1206" s="152" t="s">
        <v>6085</v>
      </c>
      <c r="BR1206" s="152" t="s">
        <v>6100</v>
      </c>
      <c r="BS1206" s="152" t="n">
        <v>203712.613</v>
      </c>
      <c r="BT1206" s="152" t="n">
        <v>8236150.917</v>
      </c>
      <c r="BU1206" s="152" t="n">
        <v>203716.664</v>
      </c>
      <c r="BV1206" s="152" t="n">
        <v>8236157.083</v>
      </c>
      <c r="BW1206" s="152" t="n">
        <v>-15.9362207</v>
      </c>
      <c r="BX1206" s="152" t="n">
        <v>-47.7674402</v>
      </c>
      <c r="BY1206" s="152" t="s">
        <v>6099</v>
      </c>
    </row>
    <row r="1207" customFormat="false" ht="13.8" hidden="false" customHeight="false" outlineLevel="0" collapsed="false">
      <c r="A1207" s="149" t="n">
        <f aca="false">IF(C1207&lt;&gt;"",ROW(A1202),"")</f>
        <v>1202</v>
      </c>
      <c r="B1207" s="150" t="str">
        <f aca="false">HYPERLINK("https://www.google.com/maps/dir/-15.917302,-47.760003/-15.9315796,-47.7626190/data=!4m3!4m2!3e0!5i2")</f>
        <v>https://www.google.com/maps/dir/-15.917302,-47.760003/-15.9315796,-47.7626190/data=!4m3!4m2!3e0!5i2</v>
      </c>
      <c r="C1207" s="151" t="s">
        <v>117</v>
      </c>
      <c r="D1207" s="152" t="s">
        <v>112</v>
      </c>
      <c r="E1207" s="152" t="s">
        <v>113</v>
      </c>
      <c r="F1207" s="152" t="s">
        <v>117</v>
      </c>
      <c r="G1207" s="152" t="s">
        <v>782</v>
      </c>
      <c r="H1207" s="152" t="n">
        <v>63</v>
      </c>
      <c r="I1207" s="152" t="s">
        <v>115</v>
      </c>
      <c r="J1207" s="152" t="s">
        <v>6</v>
      </c>
      <c r="K1207" s="152" t="s">
        <v>6081</v>
      </c>
      <c r="L1207" s="152" t="s">
        <v>120</v>
      </c>
      <c r="M1207" s="153" t="n">
        <f aca="false">193.93</f>
        <v>193.93</v>
      </c>
      <c r="N1207" s="152" t="s">
        <v>1548</v>
      </c>
      <c r="O1207" s="152" t="s">
        <v>1549</v>
      </c>
      <c r="P1207" s="152" t="s">
        <v>1550</v>
      </c>
      <c r="Q1207" s="152" t="s">
        <v>1551</v>
      </c>
      <c r="R1207" s="154" t="s">
        <v>6101</v>
      </c>
      <c r="S1207" s="154" t="s">
        <v>1553</v>
      </c>
      <c r="T1207" s="155" t="s">
        <v>4216</v>
      </c>
      <c r="U1207" s="152" t="str">
        <f aca="false">RIGHT(T1207,7)</f>
        <v>019/037</v>
      </c>
      <c r="V1207" s="152" t="s">
        <v>1555</v>
      </c>
      <c r="W1207" s="156" t="n">
        <v>45882</v>
      </c>
      <c r="X1207" s="152" t="s">
        <v>3938</v>
      </c>
      <c r="Y1207" s="152"/>
      <c r="Z1207" s="152" t="s">
        <v>1557</v>
      </c>
      <c r="AA1207" s="153" t="n">
        <v>3.4</v>
      </c>
      <c r="AB1207" s="151" t="s">
        <v>6102</v>
      </c>
      <c r="AC1207" s="151" t="s">
        <v>186</v>
      </c>
      <c r="AD1207" s="151" t="str">
        <f aca="false">CONCATENATE($C1207,$I1207,$H1207,$N1207,$J1207,$K1207)</f>
        <v>TUBO PEADPEAD63VCAREDESZona11</v>
      </c>
      <c r="AE1207" s="153" t="n">
        <f aca="false">IFERROR(INDEX(APOIO_REDES!$A:$W,MATCH($C1207&amp;$I1207&amp;$H1207&amp;$N1207&amp;$O1207,APOIO_REDES!$W:$W,0),MATCH(AE$5,APOIO_REDES!$5:$5,0)),0)</f>
        <v>1.2</v>
      </c>
      <c r="AF1207" s="153" t="n">
        <f aca="false">IFERROR(INDEX(APOIO_REDES!$A:$W,MATCH($C1207&amp;$I1207&amp;$H1207&amp;$N1207&amp;$O1207,APOIO_REDES!$W:$W,0),MATCH(AF$5,APOIO_REDES!$5:$5,0)),0)</f>
        <v>1.363</v>
      </c>
      <c r="AG1207" s="153" t="n">
        <f aca="false">IFERROR(INDEX(APOIO_REDES!$A:$W,MATCH($C1207&amp;$I1207&amp;$H1207&amp;$N1207&amp;$O1207,APOIO_REDES!$W:$W,0),MATCH(AG$5,APOIO_REDES!$5:$5,0)),0)</f>
        <v>0.65</v>
      </c>
      <c r="AH1207" s="153" t="n">
        <f aca="false">IFERROR(INDEX(APOIO_REDES!$A:$W,MATCH($C1207&amp;$I1207&amp;$H1207&amp;$N1207&amp;$O1207,APOIO_REDES!$W:$W,0),MATCH(AH$5,APOIO_REDES!$5:$5,0)),0)</f>
        <v>0.1</v>
      </c>
      <c r="AI1207" s="153" t="n">
        <f aca="false">IFERROR(IF($H1207&lt;&gt;"",(((($H1207/1000)/2)^2)*PI()*$M1207),0),0)</f>
        <v>0.604527383070011</v>
      </c>
      <c r="AJ1207" s="153" t="n">
        <f aca="false">IFERROR(IF(AND($H1207&lt;&gt;"",$I1207="FoFo",OR($N1207="MND",$N1207="VCA"),$Q1207="LINEAR"),0,IF(AND($H1207&lt;&gt;"",$I1207="PEAD",$N1207="VCA",$Q1207="LINEAR"),($H1207/1000)+0.3,IF(AND($H1207&lt;&gt;"",$I1207="PEAD",$N1207="MND",$Q1207="EMBOQUE"),0,IF(AND($H1207&lt;&gt;"",$I1207="PVC",$N1207="VCA",$Q1207="LINEAR"),($H1207/1000)+0.2,IF(AND($H1207&lt;&gt;"",$I1207="PVC",$N1207="MND",$Q1207="EMBOQUE"),0,IF(AND($H1207&lt;&gt;"",$I1207="PEAD",$N1207="VCA",$Q1207="PREDIAL"),0,0)))))),0)</f>
        <v>0.363</v>
      </c>
      <c r="AK1207" s="153" t="n">
        <f aca="false">IF(AA1207&lt;&gt;"",AA1207,0)</f>
        <v>3.4</v>
      </c>
      <c r="AL1207" s="153" t="n">
        <f aca="false">IF(AND($N1207="MND",$Q1207="EMBOQUE"),$M1207,IF(AND($N1207="VCA",$Q1207="LINEAR"),$M1207,IF(AND($N1207="VCA",$Q1207="PREDIAL"),0,0)))</f>
        <v>193.93</v>
      </c>
      <c r="AM1207" s="153" t="n">
        <f aca="false">IF(AND($N1207="MND",$Q1207="EMBOQUE"),$M1207,IF(AND($N1207="VCA",$Q1207="LINEAR"),$M1207,IF(AND($N1207="VCA",$Q1207="PREDIAL"),0,0)))</f>
        <v>193.93</v>
      </c>
      <c r="AN1207" s="153" t="n">
        <f aca="false">ROUND(IF(AND($N1207="VCA",$M1207&lt;&gt;"",$Q1207="LINEAR"),$M1207/100,IF(AND($N1207="MND",$M1207&gt;100,$Q1207="EMBOQUE"),$M1207/100,0)),0)</f>
        <v>2</v>
      </c>
      <c r="AO1207" s="153" t="n">
        <f aca="false">IF(AND($N1207="MND",$Q1207="EMBOQUE"),$AN1207*2*2,IF(AND($N1207="VCA",$Q1207="LINEAR"),$M1207*2,IF(AND($N1207="VCA",$Q1207="PREDIAL"),0,0)))</f>
        <v>387.86</v>
      </c>
      <c r="AP1207" s="153" t="n">
        <f aca="false">IFERROR($M1207*$AF1207*$AG1207,0)</f>
        <v>171.8122835</v>
      </c>
      <c r="AQ1207" s="153" t="n">
        <f aca="false">IFERROR(IF(AND($N1207="VCA",$AH1207&gt;0),$M1207*$AG1207*$AH1207,0),0)</f>
        <v>12.60545</v>
      </c>
      <c r="AR1207" s="153" t="n">
        <f aca="false">IFERROR(IF(AND($N1207="VCA",$AJ1207&gt;0),($M1207*$AG1207*$AJ1207)-$AI1207,0),0)</f>
        <v>45.15325611693</v>
      </c>
      <c r="AS1207" s="153" t="n">
        <f aca="false">IFERROR(IF(AND($N1207="VCA",$AP1207&gt;0),$AP1207-$AI1207-$AQ1207-$AR1207,0),0)</f>
        <v>113.44905</v>
      </c>
      <c r="AT1207" s="153" t="n">
        <f aca="false">IFERROR(IF($N1207="VCA",INDEX(APOIO_REDES!$A:$W,MATCH($C1207&amp;$I1207&amp;$H1207&amp;$N1207&amp;$O1207,APOIO_REDES!$W:$W,0),MATCH(AT$5,APOIO_REDES!$5:$5,0)),0)*$AP1207,0)</f>
        <v>1.86936849832009</v>
      </c>
      <c r="AU1207" s="153" t="n">
        <f aca="false">IFERROR(IF($N1207="VCA",INDEX(APOIO_REDES!$A:$W,MATCH($C1207&amp;$I1207&amp;$H1207&amp;$N1207&amp;$O1207,APOIO_REDES!$W:$W,0),MATCH(AU$5,APOIO_REDES!$5:$5,0)),0)*$AP1207,0)</f>
        <v>1.4928270538387</v>
      </c>
      <c r="AV1207" s="153" t="n">
        <f aca="false">IFERROR(IF($N1207="VCA",INDEX(APOIO_REDES!$A:$W,MATCH($C1207&amp;$I1207&amp;$H1207&amp;$N1207&amp;$O1207,APOIO_REDES!$W:$W,0),MATCH(AV$5,APOIO_REDES!$5:$5,0)),0)*$AP1207,0)</f>
        <v>0.206595545099418</v>
      </c>
      <c r="AW1207" s="153" t="n">
        <f aca="false">IFERROR(IF($N1207="VCA",INDEX(APOIO_REDES!$A:$W,MATCH($C1207&amp;$I1207&amp;$H1207&amp;$N1207&amp;$O1207,APOIO_REDES!$W:$W,0),MATCH(AW$5,APOIO_REDES!$5:$5,0)),0)*$AP1207,0)</f>
        <v>117.933282660935</v>
      </c>
      <c r="AX1207" s="153" t="n">
        <f aca="false">IFERROR(IF($N1207="VCA",INDEX(APOIO_REDES!$A:$W,MATCH($C1207&amp;$I1207&amp;$H1207&amp;$N1207&amp;$O1207,APOIO_REDES!$W:$W,0),MATCH(AX$5,APOIO_REDES!$5:$5,0)),0)*$AP1207,0)</f>
        <v>16.3216303809588</v>
      </c>
      <c r="AY1207" s="153" t="n">
        <f aca="false">IFERROR(IF($N1207="VCA",INDEX(APOIO_REDES!$A:$W,MATCH($C1207&amp;$I1207&amp;$H1207&amp;$N1207&amp;$O1207,APOIO_REDES!$W:$W,0),MATCH(AY$5,APOIO_REDES!$5:$5,0)),0)*$AP1207,0)</f>
        <v>29.8565228793333</v>
      </c>
      <c r="AZ1207" s="153" t="n">
        <f aca="false">IFERROR(IF($N1207="VCA",INDEX(APOIO_REDES!$A:$W,MATCH($C1207&amp;$I1207&amp;$H1207&amp;$N1207&amp;$O1207,APOIO_REDES!$W:$W,0),MATCH(AZ$5,APOIO_REDES!$5:$5,0)),0)*$AP1207,0)</f>
        <v>4.13205648151455</v>
      </c>
      <c r="BA1207" s="153" t="n">
        <f aca="false">IFERROR(IF(AND($N1207="VCA",$Q1207="LINEAR"),INDEX(APOIO_REDES!$A:$W,MATCH($C1207&amp;$I1207&amp;$H1207&amp;$N1207&amp;$O1207,APOIO_REDES!$W:$W,0),MATCH(BA$5,APOIO_REDES!$5:$5,0)),IF(AND($N1207="MND",$Q1207="EMBOQUE"),INDEX(APOIO_REDES!$A:$W,MATCH($C1207&amp;$I1207&amp;$H1207&amp;$N1207&amp;$O1207,APOIO_REDES!$W:$W,0),MATCH(BA$5,APOIO_REDES!$5:$5,0)),0))*$M1207/10,0)</f>
        <v>15.6302688270468</v>
      </c>
      <c r="BB1207" s="153" t="n">
        <f aca="false">IFERROR(IF($N1207="VCA",INDEX(APOIO_REDES!$A:$W,MATCH($C1207&amp;$I1207&amp;$H1207&amp;$N1207&amp;$O1207,APOIO_REDES!$W:$W,0),MATCH(BB$5,APOIO_REDES!$5:$5,0)),0)*($AI1207+$AQ1207+$AR1207),0)</f>
        <v>57.7282242448847</v>
      </c>
      <c r="BC1207" s="153" t="n">
        <f aca="false">IFERROR(IF($N1207="VCA",INDEX(APOIO_REDES!$A:$W,MATCH($C1207&amp;$I1207&amp;$H1207&amp;$N1207&amp;$O1207,APOIO_REDES!$W:$W,0),MATCH(BC$5,APOIO_REDES!$5:$5,0)),0)*($AI1207+$AQ1207+$AR1207),0)</f>
        <v>0.635009255115334</v>
      </c>
      <c r="BD1207" s="153" t="n">
        <f aca="false">IF(AND($N1207="VCA",$AF1207&gt;=1.25,$AF1207&lt;1.5),$M1207*$AF1207*2,0)</f>
        <v>528.65318</v>
      </c>
      <c r="BE1207" s="153" t="n">
        <f aca="false">IF(AND($N1207="VCA",$AF1207&gt;=1.5,$AF1207&lt;3),$M1207*$AF1207*2,0)</f>
        <v>0</v>
      </c>
      <c r="BF1207" s="153" t="n">
        <f aca="false">IF(AND($N1207="VCA",$AF1207&gt;=3),$M1207*$AF1207*2,0)</f>
        <v>0</v>
      </c>
      <c r="BG1207" s="153" t="n">
        <f aca="false">($BB1207+$BC1207)*$AK1207</f>
        <v>198.4349939</v>
      </c>
      <c r="BH1207" s="153" t="n">
        <f aca="false">IF(AND($M1207&lt;&gt;"",$N1207="VCA",$Q1207="LINEAR"),($M1207*2)/100,IF(AND($M1207&lt;&gt;"",$N1207="MND",$Q1207="EMBOQUE"),($AN1207*2)/100,0))</f>
        <v>3.8786</v>
      </c>
      <c r="BI1207" s="153" t="n">
        <f aca="false">IF(AND($M1207&lt;&gt;"",$N1207="VCA",$Q1207="LINEAR"),$M1207,IF(AND($M1207&lt;&gt;"",$N1207="MND",$Q1207="EMBOQUE"),$AN1207*2,0))</f>
        <v>193.93</v>
      </c>
      <c r="BJ1207" s="153" t="n">
        <f aca="false">IF(AND($M1207&lt;&gt;"",$N1207="VCA",$Q1207="LINEAR"),($M1207*6.8)/100,IF(AND($M1207&lt;&gt;"",$N1207="MND",$Q1207="EMBOQUE"),($AN1207*2*6.8)/100,0))</f>
        <v>13.18724</v>
      </c>
      <c r="BK1207" s="153" t="n">
        <f aca="false">IF(AND($M1207&lt;&gt;"",$N1207="VCA",$Q1207="LINEAR"),($M1207*2.5)/50,IF(AND($M1207&lt;&gt;"",$N1207="MND",$Q1207="EMBOQUE"),($AN1207*2*2.5)/50,0))</f>
        <v>9.6965</v>
      </c>
      <c r="BL1207" s="157" t="str">
        <f aca="false">K1207&amp;J1207</f>
        <v>Zona11REDES</v>
      </c>
      <c r="BM1207" s="152" t="s">
        <v>6084</v>
      </c>
      <c r="BN1207" s="152" t="s">
        <v>1560</v>
      </c>
      <c r="BO1207" s="152" t="s">
        <v>4218</v>
      </c>
      <c r="BP1207" s="152" t="s">
        <v>6103</v>
      </c>
      <c r="BQ1207" s="152" t="s">
        <v>6104</v>
      </c>
      <c r="BR1207" s="152" t="s">
        <v>6105</v>
      </c>
      <c r="BS1207" s="152" t="n">
        <v>204224.67</v>
      </c>
      <c r="BT1207" s="152" t="n">
        <v>8236673.733</v>
      </c>
      <c r="BU1207" s="152" t="n">
        <v>204275.547</v>
      </c>
      <c r="BV1207" s="152" t="n">
        <v>8236487.273</v>
      </c>
      <c r="BW1207" s="152" t="n">
        <v>-15.9324208</v>
      </c>
      <c r="BX1207" s="152" t="n">
        <v>-47.7623481</v>
      </c>
      <c r="BY1207" s="152" t="s">
        <v>6103</v>
      </c>
    </row>
    <row r="1208" customFormat="false" ht="13.8" hidden="false" customHeight="false" outlineLevel="0" collapsed="false">
      <c r="A1208" s="149" t="n">
        <f aca="false">IF(C1208&lt;&gt;"",ROW(A1203),"")</f>
        <v>1203</v>
      </c>
      <c r="B1208" s="150" t="str">
        <f aca="false">HYPERLINK("https://www.google.com/maps/dir/-15.917302,-47.760003/-15.9333837,-47.7614989/data=!4m3!4m2!3e0!5i1")</f>
        <v>https://www.google.com/maps/dir/-15.917302,-47.760003/-15.9333837,-47.7614989/data=!4m3!4m2!3e0!5i1</v>
      </c>
      <c r="C1208" s="151" t="s">
        <v>117</v>
      </c>
      <c r="D1208" s="152" t="s">
        <v>112</v>
      </c>
      <c r="E1208" s="152" t="s">
        <v>113</v>
      </c>
      <c r="F1208" s="152" t="s">
        <v>117</v>
      </c>
      <c r="G1208" s="152" t="s">
        <v>782</v>
      </c>
      <c r="H1208" s="152" t="n">
        <v>63</v>
      </c>
      <c r="I1208" s="152" t="s">
        <v>115</v>
      </c>
      <c r="J1208" s="152" t="s">
        <v>6</v>
      </c>
      <c r="K1208" s="152" t="s">
        <v>6081</v>
      </c>
      <c r="L1208" s="152" t="s">
        <v>120</v>
      </c>
      <c r="M1208" s="153" t="n">
        <f aca="false">212.65+5.53</f>
        <v>218.18</v>
      </c>
      <c r="N1208" s="152" t="s">
        <v>1548</v>
      </c>
      <c r="O1208" s="152" t="s">
        <v>1549</v>
      </c>
      <c r="P1208" s="152" t="s">
        <v>1550</v>
      </c>
      <c r="Q1208" s="152" t="s">
        <v>1551</v>
      </c>
      <c r="R1208" s="154" t="s">
        <v>6106</v>
      </c>
      <c r="S1208" s="154" t="s">
        <v>1553</v>
      </c>
      <c r="T1208" s="155" t="s">
        <v>4216</v>
      </c>
      <c r="U1208" s="152" t="str">
        <f aca="false">RIGHT(T1208,7)</f>
        <v>019/037</v>
      </c>
      <c r="V1208" s="152" t="s">
        <v>1555</v>
      </c>
      <c r="W1208" s="156" t="n">
        <v>45882</v>
      </c>
      <c r="X1208" s="152"/>
      <c r="Y1208" s="152"/>
      <c r="Z1208" s="152" t="s">
        <v>1557</v>
      </c>
      <c r="AA1208" s="153" t="n">
        <v>3.6</v>
      </c>
      <c r="AB1208" s="151" t="s">
        <v>6107</v>
      </c>
      <c r="AC1208" s="151" t="s">
        <v>186</v>
      </c>
      <c r="AD1208" s="151" t="str">
        <f aca="false">CONCATENATE($C1208,$I1208,$H1208,$N1208,$J1208,$K1208)</f>
        <v>TUBO PEADPEAD63VCAREDESZona11</v>
      </c>
      <c r="AE1208" s="153" t="n">
        <f aca="false">IFERROR(INDEX(APOIO_REDES!$A:$W,MATCH($C1208&amp;$I1208&amp;$H1208&amp;$N1208&amp;$O1208,APOIO_REDES!$W:$W,0),MATCH(AE$5,APOIO_REDES!$5:$5,0)),0)</f>
        <v>1.2</v>
      </c>
      <c r="AF1208" s="153" t="n">
        <f aca="false">IFERROR(INDEX(APOIO_REDES!$A:$W,MATCH($C1208&amp;$I1208&amp;$H1208&amp;$N1208&amp;$O1208,APOIO_REDES!$W:$W,0),MATCH(AF$5,APOIO_REDES!$5:$5,0)),0)</f>
        <v>1.363</v>
      </c>
      <c r="AG1208" s="153" t="n">
        <f aca="false">IFERROR(INDEX(APOIO_REDES!$A:$W,MATCH($C1208&amp;$I1208&amp;$H1208&amp;$N1208&amp;$O1208,APOIO_REDES!$W:$W,0),MATCH(AG$5,APOIO_REDES!$5:$5,0)),0)</f>
        <v>0.65</v>
      </c>
      <c r="AH1208" s="153" t="n">
        <f aca="false">IFERROR(INDEX(APOIO_REDES!$A:$W,MATCH($C1208&amp;$I1208&amp;$H1208&amp;$N1208&amp;$O1208,APOIO_REDES!$W:$W,0),MATCH(AH$5,APOIO_REDES!$5:$5,0)),0)</f>
        <v>0.1</v>
      </c>
      <c r="AI1208" s="153" t="n">
        <f aca="false">IFERROR(IF($H1208&lt;&gt;"",(((($H1208/1000)/2)^2)*PI()*$M1208),0),0)</f>
        <v>0.680120581850229</v>
      </c>
      <c r="AJ1208" s="153" t="n">
        <f aca="false">IFERROR(IF(AND($H1208&lt;&gt;"",$I1208="FoFo",OR($N1208="MND",$N1208="VCA"),$Q1208="LINEAR"),0,IF(AND($H1208&lt;&gt;"",$I1208="PEAD",$N1208="VCA",$Q1208="LINEAR"),($H1208/1000)+0.3,IF(AND($H1208&lt;&gt;"",$I1208="PEAD",$N1208="MND",$Q1208="EMBOQUE"),0,IF(AND($H1208&lt;&gt;"",$I1208="PVC",$N1208="VCA",$Q1208="LINEAR"),($H1208/1000)+0.2,IF(AND($H1208&lt;&gt;"",$I1208="PVC",$N1208="MND",$Q1208="EMBOQUE"),0,IF(AND($H1208&lt;&gt;"",$I1208="PEAD",$N1208="VCA",$Q1208="PREDIAL"),0,0)))))),0)</f>
        <v>0.363</v>
      </c>
      <c r="AK1208" s="153" t="n">
        <f aca="false">IF(AA1208&lt;&gt;"",AA1208,0)</f>
        <v>3.6</v>
      </c>
      <c r="AL1208" s="153" t="n">
        <f aca="false">IF(AND($N1208="MND",$Q1208="EMBOQUE"),$M1208,IF(AND($N1208="VCA",$Q1208="LINEAR"),$M1208,IF(AND($N1208="VCA",$Q1208="PREDIAL"),0,0)))</f>
        <v>218.18</v>
      </c>
      <c r="AM1208" s="153" t="n">
        <f aca="false">IF(AND($N1208="MND",$Q1208="EMBOQUE"),$M1208,IF(AND($N1208="VCA",$Q1208="LINEAR"),$M1208,IF(AND($N1208="VCA",$Q1208="PREDIAL"),0,0)))</f>
        <v>218.18</v>
      </c>
      <c r="AN1208" s="153" t="n">
        <f aca="false">ROUND(IF(AND($N1208="VCA",$M1208&lt;&gt;"",$Q1208="LINEAR"),$M1208/100,IF(AND($N1208="MND",$M1208&gt;100,$Q1208="EMBOQUE"),$M1208/100,0)),0)</f>
        <v>2</v>
      </c>
      <c r="AO1208" s="153" t="n">
        <f aca="false">IF(AND($N1208="MND",$Q1208="EMBOQUE"),$AN1208*2*2,IF(AND($N1208="VCA",$Q1208="LINEAR"),$M1208*2,IF(AND($N1208="VCA",$Q1208="PREDIAL"),0,0)))</f>
        <v>436.36</v>
      </c>
      <c r="AP1208" s="153" t="n">
        <f aca="false">IFERROR($M1208*$AF1208*$AG1208,0)</f>
        <v>193.296571</v>
      </c>
      <c r="AQ1208" s="153" t="n">
        <f aca="false">IFERROR(IF(AND($N1208="VCA",$AH1208&gt;0),$M1208*$AG1208*$AH1208,0),0)</f>
        <v>14.1817</v>
      </c>
      <c r="AR1208" s="153" t="n">
        <f aca="false">IFERROR(IF(AND($N1208="VCA",$AJ1208&gt;0),($M1208*$AG1208*$AJ1208)-$AI1208,0),0)</f>
        <v>50.7994504181498</v>
      </c>
      <c r="AS1208" s="153" t="n">
        <f aca="false">IFERROR(IF(AND($N1208="VCA",$AP1208&gt;0),$AP1208-$AI1208-$AQ1208-$AR1208,0),0)</f>
        <v>127.6353</v>
      </c>
      <c r="AT1208" s="153" t="n">
        <f aca="false">IFERROR(IF($N1208="VCA",INDEX(APOIO_REDES!$A:$W,MATCH($C1208&amp;$I1208&amp;$H1208&amp;$N1208&amp;$O1208,APOIO_REDES!$W:$W,0),MATCH(AT$5,APOIO_REDES!$5:$5,0)),0)*$AP1208,0)</f>
        <v>2.10312390534459</v>
      </c>
      <c r="AU1208" s="153" t="n">
        <f aca="false">IFERROR(IF($N1208="VCA",INDEX(APOIO_REDES!$A:$W,MATCH($C1208&amp;$I1208&amp;$H1208&amp;$N1208&amp;$O1208,APOIO_REDES!$W:$W,0),MATCH(AU$5,APOIO_REDES!$5:$5,0)),0)*$AP1208,0)</f>
        <v>1.67949779098916</v>
      </c>
      <c r="AV1208" s="153" t="n">
        <f aca="false">IFERROR(IF($N1208="VCA",INDEX(APOIO_REDES!$A:$W,MATCH($C1208&amp;$I1208&amp;$H1208&amp;$N1208&amp;$O1208,APOIO_REDES!$W:$W,0),MATCH(AV$5,APOIO_REDES!$5:$5,0)),0)*$AP1208,0)</f>
        <v>0.232429309698299</v>
      </c>
      <c r="AW1208" s="153" t="n">
        <f aca="false">IFERROR(IF($N1208="VCA",INDEX(APOIO_REDES!$A:$W,MATCH($C1208&amp;$I1208&amp;$H1208&amp;$N1208&amp;$O1208,APOIO_REDES!$W:$W,0),MATCH(AW$5,APOIO_REDES!$5:$5,0)),0)*$AP1208,0)</f>
        <v>132.680264069318</v>
      </c>
      <c r="AX1208" s="153" t="n">
        <f aca="false">IFERROR(IF($N1208="VCA",INDEX(APOIO_REDES!$A:$W,MATCH($C1208&amp;$I1208&amp;$H1208&amp;$N1208&amp;$O1208,APOIO_REDES!$W:$W,0),MATCH(AX$5,APOIO_REDES!$5:$5,0)),0)*$AP1208,0)</f>
        <v>18.3625706003073</v>
      </c>
      <c r="AY1208" s="153" t="n">
        <f aca="false">IFERROR(IF($N1208="VCA",INDEX(APOIO_REDES!$A:$W,MATCH($C1208&amp;$I1208&amp;$H1208&amp;$N1208&amp;$O1208,APOIO_REDES!$W:$W,0),MATCH(AY$5,APOIO_REDES!$5:$5,0)),0)*$AP1208,0)</f>
        <v>33.5899353468413</v>
      </c>
      <c r="AZ1208" s="153" t="n">
        <f aca="false">IFERROR(IF($N1208="VCA",INDEX(APOIO_REDES!$A:$W,MATCH($C1208&amp;$I1208&amp;$H1208&amp;$N1208&amp;$O1208,APOIO_REDES!$W:$W,0),MATCH(AZ$5,APOIO_REDES!$5:$5,0)),0)*$AP1208,0)</f>
        <v>4.6487499775014</v>
      </c>
      <c r="BA1208" s="153" t="n">
        <f aca="false">IFERROR(IF(AND($N1208="VCA",$Q1208="LINEAR"),INDEX(APOIO_REDES!$A:$W,MATCH($C1208&amp;$I1208&amp;$H1208&amp;$N1208&amp;$O1208,APOIO_REDES!$W:$W,0),MATCH(BA$5,APOIO_REDES!$5:$5,0)),IF(AND($N1208="MND",$Q1208="EMBOQUE"),INDEX(APOIO_REDES!$A:$W,MATCH($C1208&amp;$I1208&amp;$H1208&amp;$N1208&amp;$O1208,APOIO_REDES!$W:$W,0),MATCH(BA$5,APOIO_REDES!$5:$5,0)),0))*$M1208/10,0)</f>
        <v>17.5847576583565</v>
      </c>
      <c r="BB1208" s="153" t="n">
        <f aca="false">IFERROR(IF($N1208="VCA",INDEX(APOIO_REDES!$A:$W,MATCH($C1208&amp;$I1208&amp;$H1208&amp;$N1208&amp;$O1208,APOIO_REDES!$W:$W,0),MATCH(BB$5,APOIO_REDES!$5:$5,0)),0)*($AI1208+$AQ1208+$AR1208),0)</f>
        <v>64.9468569367758</v>
      </c>
      <c r="BC1208" s="153" t="n">
        <f aca="false">IFERROR(IF($N1208="VCA",INDEX(APOIO_REDES!$A:$W,MATCH($C1208&amp;$I1208&amp;$H1208&amp;$N1208&amp;$O1208,APOIO_REDES!$W:$W,0),MATCH(BC$5,APOIO_REDES!$5:$5,0)),0)*($AI1208+$AQ1208+$AR1208),0)</f>
        <v>0.714414063224172</v>
      </c>
      <c r="BD1208" s="153" t="n">
        <f aca="false">IF(AND($N1208="VCA",$AF1208&gt;=1.25,$AF1208&lt;1.5),$M1208*$AF1208*2,0)</f>
        <v>594.75868</v>
      </c>
      <c r="BE1208" s="153" t="n">
        <f aca="false">IF(AND($N1208="VCA",$AF1208&gt;=1.5,$AF1208&lt;3),$M1208*$AF1208*2,0)</f>
        <v>0</v>
      </c>
      <c r="BF1208" s="153" t="n">
        <f aca="false">IF(AND($N1208="VCA",$AF1208&gt;=3),$M1208*$AF1208*2,0)</f>
        <v>0</v>
      </c>
      <c r="BG1208" s="153" t="n">
        <f aca="false">($BB1208+$BC1208)*$AK1208</f>
        <v>236.3805756</v>
      </c>
      <c r="BH1208" s="153" t="n">
        <f aca="false">IF(AND($M1208&lt;&gt;"",$N1208="VCA",$Q1208="LINEAR"),($M1208*2)/100,IF(AND($M1208&lt;&gt;"",$N1208="MND",$Q1208="EMBOQUE"),($AN1208*2)/100,0))</f>
        <v>4.3636</v>
      </c>
      <c r="BI1208" s="153" t="n">
        <f aca="false">IF(AND($M1208&lt;&gt;"",$N1208="VCA",$Q1208="LINEAR"),$M1208,IF(AND($M1208&lt;&gt;"",$N1208="MND",$Q1208="EMBOQUE"),$AN1208*2,0))</f>
        <v>218.18</v>
      </c>
      <c r="BJ1208" s="153" t="n">
        <f aca="false">IF(AND($M1208&lt;&gt;"",$N1208="VCA",$Q1208="LINEAR"),($M1208*6.8)/100,IF(AND($M1208&lt;&gt;"",$N1208="MND",$Q1208="EMBOQUE"),($AN1208*2*6.8)/100,0))</f>
        <v>14.83624</v>
      </c>
      <c r="BK1208" s="153" t="n">
        <f aca="false">IF(AND($M1208&lt;&gt;"",$N1208="VCA",$Q1208="LINEAR"),($M1208*2.5)/50,IF(AND($M1208&lt;&gt;"",$N1208="MND",$Q1208="EMBOQUE"),($AN1208*2*2.5)/50,0))</f>
        <v>10.909</v>
      </c>
      <c r="BL1208" s="157" t="str">
        <f aca="false">K1208&amp;J1208</f>
        <v>Zona11REDES</v>
      </c>
      <c r="BM1208" s="152" t="s">
        <v>6084</v>
      </c>
      <c r="BN1208" s="152" t="s">
        <v>1560</v>
      </c>
      <c r="BO1208" s="152" t="s">
        <v>4218</v>
      </c>
      <c r="BP1208" s="152" t="s">
        <v>6108</v>
      </c>
      <c r="BQ1208" s="152" t="s">
        <v>6109</v>
      </c>
      <c r="BR1208" s="152" t="s">
        <v>6110</v>
      </c>
      <c r="BS1208" s="152" t="n">
        <v>204347.92</v>
      </c>
      <c r="BT1208" s="152" t="n">
        <v>8236474.92</v>
      </c>
      <c r="BU1208" s="152" t="n">
        <v>204364.908</v>
      </c>
      <c r="BV1208" s="152" t="n">
        <v>8236597.215</v>
      </c>
      <c r="BW1208" s="152" t="n">
        <v>-15.933232</v>
      </c>
      <c r="BX1208" s="152" t="n">
        <v>-47.7611206</v>
      </c>
      <c r="BY1208" s="152" t="s">
        <v>6108</v>
      </c>
    </row>
    <row r="1209" customFormat="false" ht="13.8" hidden="false" customHeight="false" outlineLevel="0" collapsed="false">
      <c r="A1209" s="149" t="n">
        <f aca="false">IF(C1209&lt;&gt;"",ROW(A1204),"")</f>
        <v>1204</v>
      </c>
      <c r="B1209" s="150" t="str">
        <f aca="false">HYPERLINK("https://www.google.com/maps/dir/-15.917302,-47.760003/-15.9332652,-47.7621146/data=!4m3!4m2!3e0!5i2")</f>
        <v>https://www.google.com/maps/dir/-15.917302,-47.760003/-15.9332652,-47.7621146/data=!4m3!4m2!3e0!5i2</v>
      </c>
      <c r="C1209" s="151" t="s">
        <v>117</v>
      </c>
      <c r="D1209" s="152" t="s">
        <v>112</v>
      </c>
      <c r="E1209" s="152" t="s">
        <v>113</v>
      </c>
      <c r="F1209" s="152" t="s">
        <v>117</v>
      </c>
      <c r="G1209" s="152" t="s">
        <v>782</v>
      </c>
      <c r="H1209" s="152" t="n">
        <v>63</v>
      </c>
      <c r="I1209" s="152" t="s">
        <v>115</v>
      </c>
      <c r="J1209" s="152" t="s">
        <v>6</v>
      </c>
      <c r="K1209" s="152" t="s">
        <v>6081</v>
      </c>
      <c r="L1209" s="152" t="s">
        <v>120</v>
      </c>
      <c r="M1209" s="153" t="n">
        <f aca="false">5.78</f>
        <v>5.78</v>
      </c>
      <c r="N1209" s="152" t="s">
        <v>1548</v>
      </c>
      <c r="O1209" s="152" t="s">
        <v>1549</v>
      </c>
      <c r="P1209" s="152" t="s">
        <v>1550</v>
      </c>
      <c r="Q1209" s="152" t="s">
        <v>1551</v>
      </c>
      <c r="R1209" s="154" t="s">
        <v>6111</v>
      </c>
      <c r="S1209" s="154" t="s">
        <v>1553</v>
      </c>
      <c r="T1209" s="155" t="s">
        <v>4216</v>
      </c>
      <c r="U1209" s="152" t="str">
        <f aca="false">RIGHT(T1209,7)</f>
        <v>019/037</v>
      </c>
      <c r="V1209" s="152" t="s">
        <v>1555</v>
      </c>
      <c r="W1209" s="156" t="n">
        <v>45882</v>
      </c>
      <c r="X1209" s="152" t="s">
        <v>3938</v>
      </c>
      <c r="Y1209" s="152" t="s">
        <v>3549</v>
      </c>
      <c r="Z1209" s="152" t="s">
        <v>1557</v>
      </c>
      <c r="AA1209" s="153" t="n">
        <v>3.6</v>
      </c>
      <c r="AB1209" s="151" t="s">
        <v>6112</v>
      </c>
      <c r="AC1209" s="151" t="s">
        <v>186</v>
      </c>
      <c r="AD1209" s="151" t="str">
        <f aca="false">CONCATENATE($C1209,$I1209,$H1209,$N1209,$J1209,$K1209)</f>
        <v>TUBO PEADPEAD63VCAREDESZona11</v>
      </c>
      <c r="AE1209" s="153" t="n">
        <f aca="false">IFERROR(INDEX(APOIO_REDES!$A:$W,MATCH($C1209&amp;$I1209&amp;$H1209&amp;$N1209&amp;$O1209,APOIO_REDES!$W:$W,0),MATCH(AE$5,APOIO_REDES!$5:$5,0)),0)</f>
        <v>1.2</v>
      </c>
      <c r="AF1209" s="153" t="n">
        <f aca="false">IFERROR(INDEX(APOIO_REDES!$A:$W,MATCH($C1209&amp;$I1209&amp;$H1209&amp;$N1209&amp;$O1209,APOIO_REDES!$W:$W,0),MATCH(AF$5,APOIO_REDES!$5:$5,0)),0)</f>
        <v>1.363</v>
      </c>
      <c r="AG1209" s="153" t="n">
        <f aca="false">IFERROR(INDEX(APOIO_REDES!$A:$W,MATCH($C1209&amp;$I1209&amp;$H1209&amp;$N1209&amp;$O1209,APOIO_REDES!$W:$W,0),MATCH(AG$5,APOIO_REDES!$5:$5,0)),0)</f>
        <v>0.65</v>
      </c>
      <c r="AH1209" s="153" t="n">
        <f aca="false">IFERROR(INDEX(APOIO_REDES!$A:$W,MATCH($C1209&amp;$I1209&amp;$H1209&amp;$N1209&amp;$O1209,APOIO_REDES!$W:$W,0),MATCH(AH$5,APOIO_REDES!$5:$5,0)),0)</f>
        <v>0.1</v>
      </c>
      <c r="AI1209" s="153" t="n">
        <f aca="false">IFERROR(IF($H1209&lt;&gt;"",(((($H1209/1000)/2)^2)*PI()*$M1209),0),0)</f>
        <v>0.0180176778948315</v>
      </c>
      <c r="AJ1209" s="153" t="n">
        <f aca="false">IFERROR(IF(AND($H1209&lt;&gt;"",$I1209="FoFo",OR($N1209="MND",$N1209="VCA"),$Q1209="LINEAR"),0,IF(AND($H1209&lt;&gt;"",$I1209="PEAD",$N1209="VCA",$Q1209="LINEAR"),($H1209/1000)+0.3,IF(AND($H1209&lt;&gt;"",$I1209="PEAD",$N1209="MND",$Q1209="EMBOQUE"),0,IF(AND($H1209&lt;&gt;"",$I1209="PVC",$N1209="VCA",$Q1209="LINEAR"),($H1209/1000)+0.2,IF(AND($H1209&lt;&gt;"",$I1209="PVC",$N1209="MND",$Q1209="EMBOQUE"),0,IF(AND($H1209&lt;&gt;"",$I1209="PEAD",$N1209="VCA",$Q1209="PREDIAL"),0,0)))))),0)</f>
        <v>0.363</v>
      </c>
      <c r="AK1209" s="153" t="n">
        <f aca="false">IF(AA1209&lt;&gt;"",AA1209,0)</f>
        <v>3.6</v>
      </c>
      <c r="AL1209" s="153" t="n">
        <f aca="false">IF(AND($N1209="MND",$Q1209="EMBOQUE"),$M1209,IF(AND($N1209="VCA",$Q1209="LINEAR"),$M1209,IF(AND($N1209="VCA",$Q1209="PREDIAL"),0,0)))</f>
        <v>5.78</v>
      </c>
      <c r="AM1209" s="153" t="n">
        <f aca="false">IF(AND($N1209="MND",$Q1209="EMBOQUE"),$M1209,IF(AND($N1209="VCA",$Q1209="LINEAR"),$M1209,IF(AND($N1209="VCA",$Q1209="PREDIAL"),0,0)))</f>
        <v>5.78</v>
      </c>
      <c r="AN1209" s="153" t="n">
        <f aca="false">ROUND(IF(AND($N1209="VCA",$M1209&lt;&gt;"",$Q1209="LINEAR"),$M1209/100,IF(AND($N1209="MND",$M1209&gt;100,$Q1209="EMBOQUE"),$M1209/100,0)),0)</f>
        <v>0</v>
      </c>
      <c r="AO1209" s="153" t="n">
        <f aca="false">IF(AND($N1209="MND",$Q1209="EMBOQUE"),$AN1209*2*2,IF(AND($N1209="VCA",$Q1209="LINEAR"),$M1209*2,IF(AND($N1209="VCA",$Q1209="PREDIAL"),0,0)))</f>
        <v>11.56</v>
      </c>
      <c r="AP1209" s="153" t="n">
        <f aca="false">IFERROR($M1209*$AF1209*$AG1209,0)</f>
        <v>5.120791</v>
      </c>
      <c r="AQ1209" s="153" t="n">
        <f aca="false">IFERROR(IF(AND($N1209="VCA",$AH1209&gt;0),$M1209*$AG1209*$AH1209,0),0)</f>
        <v>0.3757</v>
      </c>
      <c r="AR1209" s="153" t="n">
        <f aca="false">IFERROR(IF(AND($N1209="VCA",$AJ1209&gt;0),($M1209*$AG1209*$AJ1209)-$AI1209,0),0)</f>
        <v>1.34577332210517</v>
      </c>
      <c r="AS1209" s="153" t="n">
        <f aca="false">IFERROR(IF(AND($N1209="VCA",$AP1209&gt;0),$AP1209-$AI1209-$AQ1209-$AR1209,0),0)</f>
        <v>3.3813</v>
      </c>
      <c r="AT1209" s="153" t="n">
        <f aca="false">IFERROR(IF($N1209="VCA",INDEX(APOIO_REDES!$A:$W,MATCH($C1209&amp;$I1209&amp;$H1209&amp;$N1209&amp;$O1209,APOIO_REDES!$W:$W,0),MATCH(AT$5,APOIO_REDES!$5:$5,0)),0)*$AP1209,0)</f>
        <v>0.0557157217567685</v>
      </c>
      <c r="AU1209" s="153" t="n">
        <f aca="false">IFERROR(IF($N1209="VCA",INDEX(APOIO_REDES!$A:$W,MATCH($C1209&amp;$I1209&amp;$H1209&amp;$N1209&amp;$O1209,APOIO_REDES!$W:$W,0),MATCH(AU$5,APOIO_REDES!$5:$5,0)),0)*$AP1209,0)</f>
        <v>0.0444930664218414</v>
      </c>
      <c r="AV1209" s="153" t="n">
        <f aca="false">IFERROR(IF($N1209="VCA",INDEX(APOIO_REDES!$A:$W,MATCH($C1209&amp;$I1209&amp;$H1209&amp;$N1209&amp;$O1209,APOIO_REDES!$W:$W,0),MATCH(AV$5,APOIO_REDES!$5:$5,0)),0)*$AP1209,0)</f>
        <v>0.00615749110851667</v>
      </c>
      <c r="AW1209" s="153" t="n">
        <f aca="false">IFERROR(IF($N1209="VCA",INDEX(APOIO_REDES!$A:$W,MATCH($C1209&amp;$I1209&amp;$H1209&amp;$N1209&amp;$O1209,APOIO_REDES!$W:$W,0),MATCH(AW$5,APOIO_REDES!$5:$5,0)),0)*$AP1209,0)</f>
        <v>3.51495062022485</v>
      </c>
      <c r="AX1209" s="153" t="n">
        <f aca="false">IFERROR(IF($N1209="VCA",INDEX(APOIO_REDES!$A:$W,MATCH($C1209&amp;$I1209&amp;$H1209&amp;$N1209&amp;$O1209,APOIO_REDES!$W:$W,0),MATCH(AX$5,APOIO_REDES!$5:$5,0)),0)*$AP1209,0)</f>
        <v>0.486459153312751</v>
      </c>
      <c r="AY1209" s="153" t="n">
        <f aca="false">IFERROR(IF($N1209="VCA",INDEX(APOIO_REDES!$A:$W,MATCH($C1209&amp;$I1209&amp;$H1209&amp;$N1209&amp;$O1209,APOIO_REDES!$W:$W,0),MATCH(AY$5,APOIO_REDES!$5:$5,0)),0)*$AP1209,0)</f>
        <v>0.889860786069955</v>
      </c>
      <c r="AZ1209" s="153" t="n">
        <f aca="false">IFERROR(IF($N1209="VCA",INDEX(APOIO_REDES!$A:$W,MATCH($C1209&amp;$I1209&amp;$H1209&amp;$N1209&amp;$O1209,APOIO_REDES!$W:$W,0),MATCH(AZ$5,APOIO_REDES!$5:$5,0)),0)*$AP1209,0)</f>
        <v>0.123154161105317</v>
      </c>
      <c r="BA1209" s="153" t="n">
        <f aca="false">IFERROR(IF(AND($N1209="VCA",$Q1209="LINEAR"),INDEX(APOIO_REDES!$A:$W,MATCH($C1209&amp;$I1209&amp;$H1209&amp;$N1209&amp;$O1209,APOIO_REDES!$W:$W,0),MATCH(BA$5,APOIO_REDES!$5:$5,0)),IF(AND($N1209="MND",$Q1209="EMBOQUE"),INDEX(APOIO_REDES!$A:$W,MATCH($C1209&amp;$I1209&amp;$H1209&amp;$N1209&amp;$O1209,APOIO_REDES!$W:$W,0),MATCH(BA$5,APOIO_REDES!$5:$5,0)),0))*$M1209/10,0)</f>
        <v>0.46585342041113</v>
      </c>
      <c r="BB1209" s="153" t="n">
        <f aca="false">IFERROR(IF($N1209="VCA",INDEX(APOIO_REDES!$A:$W,MATCH($C1209&amp;$I1209&amp;$H1209&amp;$N1209&amp;$O1209,APOIO_REDES!$W:$W,0),MATCH(BB$5,APOIO_REDES!$5:$5,0)),0)*($AI1209+$AQ1209+$AR1209),0)</f>
        <v>1.72056482305695</v>
      </c>
      <c r="BC1209" s="153" t="n">
        <f aca="false">IFERROR(IF($N1209="VCA",INDEX(APOIO_REDES!$A:$W,MATCH($C1209&amp;$I1209&amp;$H1209&amp;$N1209&amp;$O1209,APOIO_REDES!$W:$W,0),MATCH(BC$5,APOIO_REDES!$5:$5,0)),0)*($AI1209+$AQ1209+$AR1209),0)</f>
        <v>0.0189261769430549</v>
      </c>
      <c r="BD1209" s="153" t="n">
        <f aca="false">IF(AND($N1209="VCA",$AF1209&gt;=1.25,$AF1209&lt;1.5),$M1209*$AF1209*2,0)</f>
        <v>15.75628</v>
      </c>
      <c r="BE1209" s="153" t="n">
        <f aca="false">IF(AND($N1209="VCA",$AF1209&gt;=1.5,$AF1209&lt;3),$M1209*$AF1209*2,0)</f>
        <v>0</v>
      </c>
      <c r="BF1209" s="153" t="n">
        <f aca="false">IF(AND($N1209="VCA",$AF1209&gt;=3),$M1209*$AF1209*2,0)</f>
        <v>0</v>
      </c>
      <c r="BG1209" s="153" t="n">
        <f aca="false">($BB1209+$BC1209)*$AK1209</f>
        <v>6.2621676</v>
      </c>
      <c r="BH1209" s="153" t="n">
        <f aca="false">IF(AND($M1209&lt;&gt;"",$N1209="VCA",$Q1209="LINEAR"),($M1209*2)/100,IF(AND($M1209&lt;&gt;"",$N1209="MND",$Q1209="EMBOQUE"),($AN1209*2)/100,0))</f>
        <v>0.1156</v>
      </c>
      <c r="BI1209" s="153" t="n">
        <f aca="false">IF(AND($M1209&lt;&gt;"",$N1209="VCA",$Q1209="LINEAR"),$M1209,IF(AND($M1209&lt;&gt;"",$N1209="MND",$Q1209="EMBOQUE"),$AN1209*2,0))</f>
        <v>5.78</v>
      </c>
      <c r="BJ1209" s="153" t="n">
        <f aca="false">IF(AND($M1209&lt;&gt;"",$N1209="VCA",$Q1209="LINEAR"),($M1209*6.8)/100,IF(AND($M1209&lt;&gt;"",$N1209="MND",$Q1209="EMBOQUE"),($AN1209*2*6.8)/100,0))</f>
        <v>0.39304</v>
      </c>
      <c r="BK1209" s="153" t="n">
        <f aca="false">IF(AND($M1209&lt;&gt;"",$N1209="VCA",$Q1209="LINEAR"),($M1209*2.5)/50,IF(AND($M1209&lt;&gt;"",$N1209="MND",$Q1209="EMBOQUE"),($AN1209*2*2.5)/50,0))</f>
        <v>0.289</v>
      </c>
      <c r="BL1209" s="157" t="str">
        <f aca="false">K1209&amp;J1209</f>
        <v>Zona11REDES</v>
      </c>
      <c r="BM1209" s="152" t="s">
        <v>6084</v>
      </c>
      <c r="BN1209" s="152" t="s">
        <v>1560</v>
      </c>
      <c r="BO1209" s="152" t="s">
        <v>4218</v>
      </c>
      <c r="BP1209" s="152" t="s">
        <v>6113</v>
      </c>
      <c r="BQ1209" s="152" t="s">
        <v>6104</v>
      </c>
      <c r="BR1209" s="152" t="s">
        <v>6114</v>
      </c>
      <c r="BS1209" s="152" t="n">
        <v>204281.182</v>
      </c>
      <c r="BT1209" s="152" t="n">
        <v>8236488.574</v>
      </c>
      <c r="BU1209" s="152" t="n">
        <v>204275.547</v>
      </c>
      <c r="BV1209" s="152" t="n">
        <v>8236487.273</v>
      </c>
      <c r="BW1209" s="152" t="n">
        <v>-15.9332707</v>
      </c>
      <c r="BX1209" s="152" t="n">
        <v>-47.762141</v>
      </c>
      <c r="BY1209" s="152" t="s">
        <v>6113</v>
      </c>
    </row>
    <row r="1210" customFormat="false" ht="13.8" hidden="false" customHeight="false" outlineLevel="0" collapsed="false">
      <c r="A1210" s="149" t="n">
        <f aca="false">IF(C1210&lt;&gt;"",ROW(A1205),"")</f>
        <v>1205</v>
      </c>
      <c r="B1210" s="150" t="str">
        <f aca="false">HYPERLINK("https://www.google.com/maps/dir/-15.917302,-47.760003/-15.9335058,-47.7625390/data=!4m3!4m2!3e0!5i2")</f>
        <v>https://www.google.com/maps/dir/-15.917302,-47.760003/-15.9335058,-47.7625390/data=!4m3!4m2!3e0!5i2</v>
      </c>
      <c r="C1210" s="151" t="s">
        <v>117</v>
      </c>
      <c r="D1210" s="152" t="s">
        <v>112</v>
      </c>
      <c r="E1210" s="152" t="s">
        <v>113</v>
      </c>
      <c r="F1210" s="152" t="s">
        <v>117</v>
      </c>
      <c r="G1210" s="152" t="s">
        <v>782</v>
      </c>
      <c r="H1210" s="152" t="n">
        <v>63</v>
      </c>
      <c r="I1210" s="152" t="s">
        <v>115</v>
      </c>
      <c r="J1210" s="152" t="s">
        <v>6</v>
      </c>
      <c r="K1210" s="152" t="s">
        <v>6081</v>
      </c>
      <c r="L1210" s="152" t="s">
        <v>120</v>
      </c>
      <c r="M1210" s="153" t="n">
        <f aca="false">104.44+3.99</f>
        <v>108.43</v>
      </c>
      <c r="N1210" s="152" t="s">
        <v>1548</v>
      </c>
      <c r="O1210" s="152" t="s">
        <v>1549</v>
      </c>
      <c r="P1210" s="152" t="s">
        <v>1550</v>
      </c>
      <c r="Q1210" s="152" t="s">
        <v>1551</v>
      </c>
      <c r="R1210" s="154" t="s">
        <v>6115</v>
      </c>
      <c r="S1210" s="154" t="s">
        <v>1553</v>
      </c>
      <c r="T1210" s="155" t="s">
        <v>4216</v>
      </c>
      <c r="U1210" s="152" t="str">
        <f aca="false">RIGHT(T1210,7)</f>
        <v>019/037</v>
      </c>
      <c r="V1210" s="152" t="s">
        <v>1555</v>
      </c>
      <c r="W1210" s="156" t="n">
        <v>45882</v>
      </c>
      <c r="X1210" s="152" t="s">
        <v>3938</v>
      </c>
      <c r="Y1210" s="152" t="s">
        <v>2916</v>
      </c>
      <c r="Z1210" s="152" t="s">
        <v>1557</v>
      </c>
      <c r="AA1210" s="153" t="n">
        <v>3.6</v>
      </c>
      <c r="AB1210" s="151" t="s">
        <v>6116</v>
      </c>
      <c r="AC1210" s="151" t="s">
        <v>186</v>
      </c>
      <c r="AD1210" s="151" t="str">
        <f aca="false">CONCATENATE($C1210,$I1210,$H1210,$N1210,$J1210,$K1210)</f>
        <v>TUBO PEADPEAD63VCAREDESZona11</v>
      </c>
      <c r="AE1210" s="153" t="n">
        <f aca="false">IFERROR(INDEX(APOIO_REDES!$A:$W,MATCH($C1210&amp;$I1210&amp;$H1210&amp;$N1210&amp;$O1210,APOIO_REDES!$W:$W,0),MATCH(AE$5,APOIO_REDES!$5:$5,0)),0)</f>
        <v>1.2</v>
      </c>
      <c r="AF1210" s="153" t="n">
        <f aca="false">IFERROR(INDEX(APOIO_REDES!$A:$W,MATCH($C1210&amp;$I1210&amp;$H1210&amp;$N1210&amp;$O1210,APOIO_REDES!$W:$W,0),MATCH(AF$5,APOIO_REDES!$5:$5,0)),0)</f>
        <v>1.363</v>
      </c>
      <c r="AG1210" s="153" t="n">
        <f aca="false">IFERROR(INDEX(APOIO_REDES!$A:$W,MATCH($C1210&amp;$I1210&amp;$H1210&amp;$N1210&amp;$O1210,APOIO_REDES!$W:$W,0),MATCH(AG$5,APOIO_REDES!$5:$5,0)),0)</f>
        <v>0.65</v>
      </c>
      <c r="AH1210" s="153" t="n">
        <f aca="false">IFERROR(INDEX(APOIO_REDES!$A:$W,MATCH($C1210&amp;$I1210&amp;$H1210&amp;$N1210&amp;$O1210,APOIO_REDES!$W:$W,0),MATCH(AH$5,APOIO_REDES!$5:$5,0)),0)</f>
        <v>0.1</v>
      </c>
      <c r="AI1210" s="153" t="n">
        <f aca="false">IFERROR(IF($H1210&lt;&gt;"",(((($H1210/1000)/2)^2)*PI()*$M1210),0),0)</f>
        <v>0.338002909020169</v>
      </c>
      <c r="AJ1210" s="153" t="n">
        <f aca="false">IFERROR(IF(AND($H1210&lt;&gt;"",$I1210="FoFo",OR($N1210="MND",$N1210="VCA"),$Q1210="LINEAR"),0,IF(AND($H1210&lt;&gt;"",$I1210="PEAD",$N1210="VCA",$Q1210="LINEAR"),($H1210/1000)+0.3,IF(AND($H1210&lt;&gt;"",$I1210="PEAD",$N1210="MND",$Q1210="EMBOQUE"),0,IF(AND($H1210&lt;&gt;"",$I1210="PVC",$N1210="VCA",$Q1210="LINEAR"),($H1210/1000)+0.2,IF(AND($H1210&lt;&gt;"",$I1210="PVC",$N1210="MND",$Q1210="EMBOQUE"),0,IF(AND($H1210&lt;&gt;"",$I1210="PEAD",$N1210="VCA",$Q1210="PREDIAL"),0,0)))))),0)</f>
        <v>0.363</v>
      </c>
      <c r="AK1210" s="153" t="n">
        <f aca="false">IF(AA1210&lt;&gt;"",AA1210,0)</f>
        <v>3.6</v>
      </c>
      <c r="AL1210" s="153" t="n">
        <f aca="false">IF(AND($N1210="MND",$Q1210="EMBOQUE"),$M1210,IF(AND($N1210="VCA",$Q1210="LINEAR"),$M1210,IF(AND($N1210="VCA",$Q1210="PREDIAL"),0,0)))</f>
        <v>108.43</v>
      </c>
      <c r="AM1210" s="153" t="n">
        <f aca="false">IF(AND($N1210="MND",$Q1210="EMBOQUE"),$M1210,IF(AND($N1210="VCA",$Q1210="LINEAR"),$M1210,IF(AND($N1210="VCA",$Q1210="PREDIAL"),0,0)))</f>
        <v>108.43</v>
      </c>
      <c r="AN1210" s="153" t="n">
        <f aca="false">ROUND(IF(AND($N1210="VCA",$M1210&lt;&gt;"",$Q1210="LINEAR"),$M1210/100,IF(AND($N1210="MND",$M1210&gt;100,$Q1210="EMBOQUE"),$M1210/100,0)),0)</f>
        <v>1</v>
      </c>
      <c r="AO1210" s="153" t="n">
        <f aca="false">IF(AND($N1210="MND",$Q1210="EMBOQUE"),$AN1210*2*2,IF(AND($N1210="VCA",$Q1210="LINEAR"),$M1210*2,IF(AND($N1210="VCA",$Q1210="PREDIAL"),0,0)))</f>
        <v>216.86</v>
      </c>
      <c r="AP1210" s="153" t="n">
        <f aca="false">IFERROR($M1210*$AF1210*$AG1210,0)</f>
        <v>96.0635585</v>
      </c>
      <c r="AQ1210" s="153" t="n">
        <f aca="false">IFERROR(IF(AND($N1210="VCA",$AH1210&gt;0),$M1210*$AG1210*$AH1210,0),0)</f>
        <v>7.04795</v>
      </c>
      <c r="AR1210" s="153" t="n">
        <f aca="false">IFERROR(IF(AND($N1210="VCA",$AJ1210&gt;0),($M1210*$AG1210*$AJ1210)-$AI1210,0),0)</f>
        <v>25.2460555909798</v>
      </c>
      <c r="AS1210" s="153" t="n">
        <f aca="false">IFERROR(IF(AND($N1210="VCA",$AP1210&gt;0),$AP1210-$AI1210-$AQ1210-$AR1210,0),0)</f>
        <v>63.43155</v>
      </c>
      <c r="AT1210" s="153" t="n">
        <f aca="false">IFERROR(IF($N1210="VCA",INDEX(APOIO_REDES!$A:$W,MATCH($C1210&amp;$I1210&amp;$H1210&amp;$N1210&amp;$O1210,APOIO_REDES!$W:$W,0),MATCH(AT$5,APOIO_REDES!$5:$5,0)),0)*$AP1210,0)</f>
        <v>1.04519994984194</v>
      </c>
      <c r="AU1210" s="153" t="n">
        <f aca="false">IFERROR(IF($N1210="VCA",INDEX(APOIO_REDES!$A:$W,MATCH($C1210&amp;$I1210&amp;$H1210&amp;$N1210&amp;$O1210,APOIO_REDES!$W:$W,0),MATCH(AU$5,APOIO_REDES!$5:$5,0)),0)*$AP1210,0)</f>
        <v>0.834668372339146</v>
      </c>
      <c r="AV1210" s="153" t="n">
        <f aca="false">IFERROR(IF($N1210="VCA",INDEX(APOIO_REDES!$A:$W,MATCH($C1210&amp;$I1210&amp;$H1210&amp;$N1210&amp;$O1210,APOIO_REDES!$W:$W,0),MATCH(AV$5,APOIO_REDES!$5:$5,0)),0)*$AP1210,0)</f>
        <v>0.115511550328108</v>
      </c>
      <c r="AW1210" s="153" t="n">
        <f aca="false">IFERROR(IF($N1210="VCA",INDEX(APOIO_REDES!$A:$W,MATCH($C1210&amp;$I1210&amp;$H1210&amp;$N1210&amp;$O1210,APOIO_REDES!$W:$W,0),MATCH(AW$5,APOIO_REDES!$5:$5,0)),0)*$AP1210,0)</f>
        <v>65.9387708911731</v>
      </c>
      <c r="AX1210" s="153" t="n">
        <f aca="false">IFERROR(IF($N1210="VCA",INDEX(APOIO_REDES!$A:$W,MATCH($C1210&amp;$I1210&amp;$H1210&amp;$N1210&amp;$O1210,APOIO_REDES!$W:$W,0),MATCH(AX$5,APOIO_REDES!$5:$5,0)),0)*$AP1210,0)</f>
        <v>9.12573806119405</v>
      </c>
      <c r="AY1210" s="153" t="n">
        <f aca="false">IFERROR(IF($N1210="VCA",INDEX(APOIO_REDES!$A:$W,MATCH($C1210&amp;$I1210&amp;$H1210&amp;$N1210&amp;$O1210,APOIO_REDES!$W:$W,0),MATCH(AY$5,APOIO_REDES!$5:$5,0)),0)*$AP1210,0)</f>
        <v>16.6933572722431</v>
      </c>
      <c r="AZ1210" s="153" t="n">
        <f aca="false">IFERROR(IF($N1210="VCA",INDEX(APOIO_REDES!$A:$W,MATCH($C1210&amp;$I1210&amp;$H1210&amp;$N1210&amp;$O1210,APOIO_REDES!$W:$W,0),MATCH(AZ$5,APOIO_REDES!$5:$5,0)),0)*$AP1210,0)</f>
        <v>2.31031240288054</v>
      </c>
      <c r="BA1210" s="153" t="n">
        <f aca="false">IFERROR(IF(AND($N1210="VCA",$Q1210="LINEAR"),INDEX(APOIO_REDES!$A:$W,MATCH($C1210&amp;$I1210&amp;$H1210&amp;$N1210&amp;$O1210,APOIO_REDES!$W:$W,0),MATCH(BA$5,APOIO_REDES!$5:$5,0)),IF(AND($N1210="MND",$Q1210="EMBOQUE"),INDEX(APOIO_REDES!$A:$W,MATCH($C1210&amp;$I1210&amp;$H1210&amp;$N1210&amp;$O1210,APOIO_REDES!$W:$W,0),MATCH(BA$5,APOIO_REDES!$5:$5,0)),0))*$M1210/10,0)</f>
        <v>8.73918449397558</v>
      </c>
      <c r="BB1210" s="153" t="n">
        <f aca="false">IFERROR(IF($N1210="VCA",INDEX(APOIO_REDES!$A:$W,MATCH($C1210&amp;$I1210&amp;$H1210&amp;$N1210&amp;$O1210,APOIO_REDES!$W:$W,0),MATCH(BB$5,APOIO_REDES!$5:$5,0)),0)*($AI1210+$AQ1210+$AR1210),0)</f>
        <v>32.2769625889385</v>
      </c>
      <c r="BC1210" s="153" t="n">
        <f aca="false">IFERROR(IF($N1210="VCA",INDEX(APOIO_REDES!$A:$W,MATCH($C1210&amp;$I1210&amp;$H1210&amp;$N1210&amp;$O1210,APOIO_REDES!$W:$W,0),MATCH(BC$5,APOIO_REDES!$5:$5,0)),0)*($AI1210+$AQ1210+$AR1210),0)</f>
        <v>0.355045911061495</v>
      </c>
      <c r="BD1210" s="153" t="n">
        <f aca="false">IF(AND($N1210="VCA",$AF1210&gt;=1.25,$AF1210&lt;1.5),$M1210*$AF1210*2,0)</f>
        <v>295.58018</v>
      </c>
      <c r="BE1210" s="153" t="n">
        <f aca="false">IF(AND($N1210="VCA",$AF1210&gt;=1.5,$AF1210&lt;3),$M1210*$AF1210*2,0)</f>
        <v>0</v>
      </c>
      <c r="BF1210" s="153" t="n">
        <f aca="false">IF(AND($N1210="VCA",$AF1210&gt;=3),$M1210*$AF1210*2,0)</f>
        <v>0</v>
      </c>
      <c r="BG1210" s="153" t="n">
        <f aca="false">($BB1210+$BC1210)*$AK1210</f>
        <v>117.4752306</v>
      </c>
      <c r="BH1210" s="153" t="n">
        <f aca="false">IF(AND($M1210&lt;&gt;"",$N1210="VCA",$Q1210="LINEAR"),($M1210*2)/100,IF(AND($M1210&lt;&gt;"",$N1210="MND",$Q1210="EMBOQUE"),($AN1210*2)/100,0))</f>
        <v>2.1686</v>
      </c>
      <c r="BI1210" s="153" t="n">
        <f aca="false">IF(AND($M1210&lt;&gt;"",$N1210="VCA",$Q1210="LINEAR"),$M1210,IF(AND($M1210&lt;&gt;"",$N1210="MND",$Q1210="EMBOQUE"),$AN1210*2,0))</f>
        <v>108.43</v>
      </c>
      <c r="BJ1210" s="153" t="n">
        <f aca="false">IF(AND($M1210&lt;&gt;"",$N1210="VCA",$Q1210="LINEAR"),($M1210*6.8)/100,IF(AND($M1210&lt;&gt;"",$N1210="MND",$Q1210="EMBOQUE"),($AN1210*2*6.8)/100,0))</f>
        <v>7.37324</v>
      </c>
      <c r="BK1210" s="153" t="n">
        <f aca="false">IF(AND($M1210&lt;&gt;"",$N1210="VCA",$Q1210="LINEAR"),($M1210*2.5)/50,IF(AND($M1210&lt;&gt;"",$N1210="MND",$Q1210="EMBOQUE"),($AN1210*2*2.5)/50,0))</f>
        <v>5.4215</v>
      </c>
      <c r="BL1210" s="157" t="str">
        <f aca="false">K1210&amp;J1210</f>
        <v>Zona11REDES</v>
      </c>
      <c r="BM1210" s="152" t="s">
        <v>6084</v>
      </c>
      <c r="BN1210" s="152" t="s">
        <v>1560</v>
      </c>
      <c r="BO1210" s="152" t="s">
        <v>4218</v>
      </c>
      <c r="BP1210" s="152" t="s">
        <v>6117</v>
      </c>
      <c r="BQ1210" s="152" t="s">
        <v>6118</v>
      </c>
      <c r="BR1210" s="152" t="s">
        <v>6119</v>
      </c>
      <c r="BS1210" s="152" t="n">
        <v>204236.067</v>
      </c>
      <c r="BT1210" s="152" t="n">
        <v>8236461.331</v>
      </c>
      <c r="BU1210" s="152" t="n">
        <v>204180.068</v>
      </c>
      <c r="BV1210" s="152" t="n">
        <v>8236535.415</v>
      </c>
      <c r="BW1210" s="152" t="n">
        <v>-15.9332776</v>
      </c>
      <c r="BX1210" s="152" t="n">
        <v>-47.7628998</v>
      </c>
      <c r="BY1210" s="152" t="s">
        <v>6117</v>
      </c>
    </row>
    <row r="1211" customFormat="false" ht="13.8" hidden="false" customHeight="false" outlineLevel="0" collapsed="false">
      <c r="A1211" s="149" t="n">
        <f aca="false">IF(C1211&lt;&gt;"",ROW(A1206),"")</f>
        <v>1206</v>
      </c>
      <c r="B1211" s="150" t="str">
        <f aca="false">HYPERLINK("https://www.google.com/maps/dir/-15.917302,-47.760003/-15.9335033,-47.7620556/data=!4m3!4m2!3e0!5i2")</f>
        <v>https://www.google.com/maps/dir/-15.917302,-47.760003/-15.9335033,-47.7620556/data=!4m3!4m2!3e0!5i2</v>
      </c>
      <c r="C1211" s="151" t="s">
        <v>117</v>
      </c>
      <c r="D1211" s="152" t="s">
        <v>112</v>
      </c>
      <c r="E1211" s="152" t="s">
        <v>113</v>
      </c>
      <c r="F1211" s="152" t="s">
        <v>117</v>
      </c>
      <c r="G1211" s="152" t="s">
        <v>782</v>
      </c>
      <c r="H1211" s="152" t="n">
        <v>63</v>
      </c>
      <c r="I1211" s="152" t="s">
        <v>115</v>
      </c>
      <c r="J1211" s="152" t="s">
        <v>6</v>
      </c>
      <c r="K1211" s="152" t="s">
        <v>6081</v>
      </c>
      <c r="L1211" s="152" t="s">
        <v>120</v>
      </c>
      <c r="M1211" s="153" t="n">
        <f aca="false">26.75</f>
        <v>26.75</v>
      </c>
      <c r="N1211" s="152" t="s">
        <v>1548</v>
      </c>
      <c r="O1211" s="152" t="s">
        <v>1549</v>
      </c>
      <c r="P1211" s="152" t="s">
        <v>1550</v>
      </c>
      <c r="Q1211" s="152" t="s">
        <v>1551</v>
      </c>
      <c r="R1211" s="154" t="s">
        <v>6120</v>
      </c>
      <c r="S1211" s="154" t="s">
        <v>1553</v>
      </c>
      <c r="T1211" s="155" t="s">
        <v>4216</v>
      </c>
      <c r="U1211" s="152" t="str">
        <f aca="false">RIGHT(T1211,7)</f>
        <v>019/037</v>
      </c>
      <c r="V1211" s="152" t="s">
        <v>1555</v>
      </c>
      <c r="W1211" s="156" t="n">
        <v>45882</v>
      </c>
      <c r="X1211" s="152" t="s">
        <v>3938</v>
      </c>
      <c r="Y1211" s="152" t="s">
        <v>2916</v>
      </c>
      <c r="Z1211" s="152" t="s">
        <v>1557</v>
      </c>
      <c r="AA1211" s="153" t="n">
        <v>3.6</v>
      </c>
      <c r="AB1211" s="151" t="s">
        <v>6121</v>
      </c>
      <c r="AC1211" s="151" t="s">
        <v>186</v>
      </c>
      <c r="AD1211" s="151" t="str">
        <f aca="false">CONCATENATE($C1211,$I1211,$H1211,$N1211,$J1211,$K1211)</f>
        <v>TUBO PEADPEAD63VCAREDESZona11</v>
      </c>
      <c r="AE1211" s="153" t="n">
        <f aca="false">IFERROR(INDEX(APOIO_REDES!$A:$W,MATCH($C1211&amp;$I1211&amp;$H1211&amp;$N1211&amp;$O1211,APOIO_REDES!$W:$W,0),MATCH(AE$5,APOIO_REDES!$5:$5,0)),0)</f>
        <v>1.2</v>
      </c>
      <c r="AF1211" s="153" t="n">
        <f aca="false">IFERROR(INDEX(APOIO_REDES!$A:$W,MATCH($C1211&amp;$I1211&amp;$H1211&amp;$N1211&amp;$O1211,APOIO_REDES!$W:$W,0),MATCH(AF$5,APOIO_REDES!$5:$5,0)),0)</f>
        <v>1.363</v>
      </c>
      <c r="AG1211" s="153" t="n">
        <f aca="false">IFERROR(INDEX(APOIO_REDES!$A:$W,MATCH($C1211&amp;$I1211&amp;$H1211&amp;$N1211&amp;$O1211,APOIO_REDES!$W:$W,0),MATCH(AG$5,APOIO_REDES!$5:$5,0)),0)</f>
        <v>0.65</v>
      </c>
      <c r="AH1211" s="153" t="n">
        <f aca="false">IFERROR(INDEX(APOIO_REDES!$A:$W,MATCH($C1211&amp;$I1211&amp;$H1211&amp;$N1211&amp;$O1211,APOIO_REDES!$W:$W,0),MATCH(AH$5,APOIO_REDES!$5:$5,0)),0)</f>
        <v>0.1</v>
      </c>
      <c r="AI1211" s="153" t="n">
        <f aca="false">IFERROR(IF($H1211&lt;&gt;"",(((($H1211/1000)/2)^2)*PI()*$M1211),0),0)</f>
        <v>0.0833863120565296</v>
      </c>
      <c r="AJ1211" s="153" t="n">
        <f aca="false">IFERROR(IF(AND($H1211&lt;&gt;"",$I1211="FoFo",OR($N1211="MND",$N1211="VCA"),$Q1211="LINEAR"),0,IF(AND($H1211&lt;&gt;"",$I1211="PEAD",$N1211="VCA",$Q1211="LINEAR"),($H1211/1000)+0.3,IF(AND($H1211&lt;&gt;"",$I1211="PEAD",$N1211="MND",$Q1211="EMBOQUE"),0,IF(AND($H1211&lt;&gt;"",$I1211="PVC",$N1211="VCA",$Q1211="LINEAR"),($H1211/1000)+0.2,IF(AND($H1211&lt;&gt;"",$I1211="PVC",$N1211="MND",$Q1211="EMBOQUE"),0,IF(AND($H1211&lt;&gt;"",$I1211="PEAD",$N1211="VCA",$Q1211="PREDIAL"),0,0)))))),0)</f>
        <v>0.363</v>
      </c>
      <c r="AK1211" s="153" t="n">
        <f aca="false">IF(AA1211&lt;&gt;"",AA1211,0)</f>
        <v>3.6</v>
      </c>
      <c r="AL1211" s="153" t="n">
        <f aca="false">IF(AND($N1211="MND",$Q1211="EMBOQUE"),$M1211,IF(AND($N1211="VCA",$Q1211="LINEAR"),$M1211,IF(AND($N1211="VCA",$Q1211="PREDIAL"),0,0)))</f>
        <v>26.75</v>
      </c>
      <c r="AM1211" s="153" t="n">
        <f aca="false">IF(AND($N1211="MND",$Q1211="EMBOQUE"),$M1211,IF(AND($N1211="VCA",$Q1211="LINEAR"),$M1211,IF(AND($N1211="VCA",$Q1211="PREDIAL"),0,0)))</f>
        <v>26.75</v>
      </c>
      <c r="AN1211" s="153" t="n">
        <f aca="false">ROUND(IF(AND($N1211="VCA",$M1211&lt;&gt;"",$Q1211="LINEAR"),$M1211/100,IF(AND($N1211="MND",$M1211&gt;100,$Q1211="EMBOQUE"),$M1211/100,0)),0)</f>
        <v>0</v>
      </c>
      <c r="AO1211" s="153" t="n">
        <f aca="false">IF(AND($N1211="MND",$Q1211="EMBOQUE"),$AN1211*2*2,IF(AND($N1211="VCA",$Q1211="LINEAR"),$M1211*2,IF(AND($N1211="VCA",$Q1211="PREDIAL"),0,0)))</f>
        <v>53.5</v>
      </c>
      <c r="AP1211" s="153" t="n">
        <f aca="false">IFERROR($M1211*$AF1211*$AG1211,0)</f>
        <v>23.6991625</v>
      </c>
      <c r="AQ1211" s="153" t="n">
        <f aca="false">IFERROR(IF(AND($N1211="VCA",$AH1211&gt;0),$M1211*$AG1211*$AH1211,0),0)</f>
        <v>1.73875</v>
      </c>
      <c r="AR1211" s="153" t="n">
        <f aca="false">IFERROR(IF(AND($N1211="VCA",$AJ1211&gt;0),($M1211*$AG1211*$AJ1211)-$AI1211,0),0)</f>
        <v>6.22827618794347</v>
      </c>
      <c r="AS1211" s="153" t="n">
        <f aca="false">IFERROR(IF(AND($N1211="VCA",$AP1211&gt;0),$AP1211-$AI1211-$AQ1211-$AR1211,0),0)</f>
        <v>15.64875</v>
      </c>
      <c r="AT1211" s="153" t="n">
        <f aca="false">IFERROR(IF($N1211="VCA",INDEX(APOIO_REDES!$A:$W,MATCH($C1211&amp;$I1211&amp;$H1211&amp;$N1211&amp;$O1211,APOIO_REDES!$W:$W,0),MATCH(AT$5,APOIO_REDES!$5:$5,0)),0)*$AP1211,0)</f>
        <v>0.257853902594041</v>
      </c>
      <c r="AU1211" s="153" t="n">
        <f aca="false">IFERROR(IF($N1211="VCA",INDEX(APOIO_REDES!$A:$W,MATCH($C1211&amp;$I1211&amp;$H1211&amp;$N1211&amp;$O1211,APOIO_REDES!$W:$W,0),MATCH(AU$5,APOIO_REDES!$5:$5,0)),0)*$AP1211,0)</f>
        <v>0.205915143042259</v>
      </c>
      <c r="AV1211" s="153" t="n">
        <f aca="false">IFERROR(IF($N1211="VCA",INDEX(APOIO_REDES!$A:$W,MATCH($C1211&amp;$I1211&amp;$H1211&amp;$N1211&amp;$O1211,APOIO_REDES!$W:$W,0),MATCH(AV$5,APOIO_REDES!$5:$5,0)),0)*$AP1211,0)</f>
        <v>0.028497039299796</v>
      </c>
      <c r="AW1211" s="153" t="n">
        <f aca="false">IFERROR(IF($N1211="VCA",INDEX(APOIO_REDES!$A:$W,MATCH($C1211&amp;$I1211&amp;$H1211&amp;$N1211&amp;$O1211,APOIO_REDES!$W:$W,0),MATCH(AW$5,APOIO_REDES!$5:$5,0)),0)*$AP1211,0)</f>
        <v>16.2672887700718</v>
      </c>
      <c r="AX1211" s="153" t="n">
        <f aca="false">IFERROR(IF($N1211="VCA",INDEX(APOIO_REDES!$A:$W,MATCH($C1211&amp;$I1211&amp;$H1211&amp;$N1211&amp;$O1211,APOIO_REDES!$W:$W,0),MATCH(AX$5,APOIO_REDES!$5:$5,0)),0)*$AP1211,0)</f>
        <v>2.25134642752874</v>
      </c>
      <c r="AY1211" s="153" t="n">
        <f aca="false">IFERROR(IF($N1211="VCA",INDEX(APOIO_REDES!$A:$W,MATCH($C1211&amp;$I1211&amp;$H1211&amp;$N1211&amp;$O1211,APOIO_REDES!$W:$W,0),MATCH(AY$5,APOIO_REDES!$5:$5,0)),0)*$AP1211,0)</f>
        <v>4.11830035075628</v>
      </c>
      <c r="AZ1211" s="153" t="n">
        <f aca="false">IFERROR(IF($N1211="VCA",INDEX(APOIO_REDES!$A:$W,MATCH($C1211&amp;$I1211&amp;$H1211&amp;$N1211&amp;$O1211,APOIO_REDES!$W:$W,0),MATCH(AZ$5,APOIO_REDES!$5:$5,0)),0)*$AP1211,0)</f>
        <v>0.569960866707133</v>
      </c>
      <c r="BA1211" s="153" t="n">
        <f aca="false">IFERROR(IF(AND($N1211="VCA",$Q1211="LINEAR"),INDEX(APOIO_REDES!$A:$W,MATCH($C1211&amp;$I1211&amp;$H1211&amp;$N1211&amp;$O1211,APOIO_REDES!$W:$W,0),MATCH(BA$5,APOIO_REDES!$5:$5,0)),IF(AND($N1211="MND",$Q1211="EMBOQUE"),INDEX(APOIO_REDES!$A:$W,MATCH($C1211&amp;$I1211&amp;$H1211&amp;$N1211&amp;$O1211,APOIO_REDES!$W:$W,0),MATCH(BA$5,APOIO_REDES!$5:$5,0)),0))*$M1211/10,0)</f>
        <v>2.15598252525912</v>
      </c>
      <c r="BB1211" s="153" t="n">
        <f aca="false">IFERROR(IF($N1211="VCA",INDEX(APOIO_REDES!$A:$W,MATCH($C1211&amp;$I1211&amp;$H1211&amp;$N1211&amp;$O1211,APOIO_REDES!$W:$W,0),MATCH(BB$5,APOIO_REDES!$5:$5,0)),0)*($AI1211+$AQ1211+$AR1211),0)</f>
        <v>7.96282162919953</v>
      </c>
      <c r="BC1211" s="153" t="n">
        <f aca="false">IFERROR(IF($N1211="VCA",INDEX(APOIO_REDES!$A:$W,MATCH($C1211&amp;$I1211&amp;$H1211&amp;$N1211&amp;$O1211,APOIO_REDES!$W:$W,0),MATCH(BC$5,APOIO_REDES!$5:$5,0)),0)*($AI1211+$AQ1211+$AR1211),0)</f>
        <v>0.0875908708004702</v>
      </c>
      <c r="BD1211" s="153" t="n">
        <f aca="false">IF(AND($N1211="VCA",$AF1211&gt;=1.25,$AF1211&lt;1.5),$M1211*$AF1211*2,0)</f>
        <v>72.9205</v>
      </c>
      <c r="BE1211" s="153" t="n">
        <f aca="false">IF(AND($N1211="VCA",$AF1211&gt;=1.5,$AF1211&lt;3),$M1211*$AF1211*2,0)</f>
        <v>0</v>
      </c>
      <c r="BF1211" s="153" t="n">
        <f aca="false">IF(AND($N1211="VCA",$AF1211&gt;=3),$M1211*$AF1211*2,0)</f>
        <v>0</v>
      </c>
      <c r="BG1211" s="153" t="n">
        <f aca="false">($BB1211+$BC1211)*$AK1211</f>
        <v>28.981485</v>
      </c>
      <c r="BH1211" s="153" t="n">
        <f aca="false">IF(AND($M1211&lt;&gt;"",$N1211="VCA",$Q1211="LINEAR"),($M1211*2)/100,IF(AND($M1211&lt;&gt;"",$N1211="MND",$Q1211="EMBOQUE"),($AN1211*2)/100,0))</f>
        <v>0.535</v>
      </c>
      <c r="BI1211" s="153" t="n">
        <f aca="false">IF(AND($M1211&lt;&gt;"",$N1211="VCA",$Q1211="LINEAR"),$M1211,IF(AND($M1211&lt;&gt;"",$N1211="MND",$Q1211="EMBOQUE"),$AN1211*2,0))</f>
        <v>26.75</v>
      </c>
      <c r="BJ1211" s="153" t="n">
        <f aca="false">IF(AND($M1211&lt;&gt;"",$N1211="VCA",$Q1211="LINEAR"),($M1211*6.8)/100,IF(AND($M1211&lt;&gt;"",$N1211="MND",$Q1211="EMBOQUE"),($AN1211*2*6.8)/100,0))</f>
        <v>1.819</v>
      </c>
      <c r="BK1211" s="153" t="n">
        <f aca="false">IF(AND($M1211&lt;&gt;"",$N1211="VCA",$Q1211="LINEAR"),($M1211*2.5)/50,IF(AND($M1211&lt;&gt;"",$N1211="MND",$Q1211="EMBOQUE"),($AN1211*2*2.5)/50,0))</f>
        <v>1.3375</v>
      </c>
      <c r="BL1211" s="157" t="str">
        <f aca="false">K1211&amp;J1211</f>
        <v>Zona11REDES</v>
      </c>
      <c r="BM1211" s="152" t="s">
        <v>6084</v>
      </c>
      <c r="BN1211" s="152" t="s">
        <v>1560</v>
      </c>
      <c r="BO1211" s="152" t="s">
        <v>4218</v>
      </c>
      <c r="BP1211" s="152" t="s">
        <v>6122</v>
      </c>
      <c r="BQ1211" s="152" t="s">
        <v>6113</v>
      </c>
      <c r="BR1211" s="152" t="s">
        <v>6114</v>
      </c>
      <c r="BS1211" s="152" t="n">
        <v>204287.748</v>
      </c>
      <c r="BT1211" s="152" t="n">
        <v>8236462.639</v>
      </c>
      <c r="BU1211" s="152" t="n">
        <v>204281.182</v>
      </c>
      <c r="BV1211" s="152" t="n">
        <v>8236488.574</v>
      </c>
      <c r="BW1211" s="152" t="n">
        <v>-15.9333827</v>
      </c>
      <c r="BX1211" s="152" t="n">
        <v>-47.7620856</v>
      </c>
      <c r="BY1211" s="152" t="s">
        <v>6122</v>
      </c>
    </row>
    <row r="1212" customFormat="false" ht="13.8" hidden="false" customHeight="false" outlineLevel="0" collapsed="false">
      <c r="A1212" s="149" t="n">
        <f aca="false">IF(C1212&lt;&gt;"",ROW(A1207),"")</f>
        <v>1207</v>
      </c>
      <c r="B1212" s="150" t="str">
        <f aca="false">HYPERLINK("https://www.google.com/maps/dir/-15.917302,-47.760003/-15.9328488,-47.7632791/data=!4m3!4m2!3e0!5i2")</f>
        <v>https://www.google.com/maps/dir/-15.917302,-47.760003/-15.9328488,-47.7632791/data=!4m3!4m2!3e0!5i2</v>
      </c>
      <c r="C1212" s="151" t="s">
        <v>117</v>
      </c>
      <c r="D1212" s="152" t="s">
        <v>112</v>
      </c>
      <c r="E1212" s="152" t="s">
        <v>113</v>
      </c>
      <c r="F1212" s="152" t="s">
        <v>117</v>
      </c>
      <c r="G1212" s="152" t="s">
        <v>782</v>
      </c>
      <c r="H1212" s="152" t="n">
        <v>63</v>
      </c>
      <c r="I1212" s="152" t="s">
        <v>115</v>
      </c>
      <c r="J1212" s="152" t="s">
        <v>6</v>
      </c>
      <c r="K1212" s="152" t="s">
        <v>6081</v>
      </c>
      <c r="L1212" s="152" t="s">
        <v>120</v>
      </c>
      <c r="M1212" s="153" t="n">
        <f aca="false">119.24</f>
        <v>119.24</v>
      </c>
      <c r="N1212" s="152" t="s">
        <v>1548</v>
      </c>
      <c r="O1212" s="152" t="s">
        <v>1549</v>
      </c>
      <c r="P1212" s="152" t="s">
        <v>1550</v>
      </c>
      <c r="Q1212" s="152" t="s">
        <v>1551</v>
      </c>
      <c r="R1212" s="154" t="s">
        <v>6123</v>
      </c>
      <c r="S1212" s="154" t="s">
        <v>1553</v>
      </c>
      <c r="T1212" s="155" t="s">
        <v>4216</v>
      </c>
      <c r="U1212" s="152" t="str">
        <f aca="false">RIGHT(T1212,7)</f>
        <v>019/037</v>
      </c>
      <c r="V1212" s="152" t="s">
        <v>1555</v>
      </c>
      <c r="W1212" s="156" t="n">
        <v>45882</v>
      </c>
      <c r="X1212" s="152" t="s">
        <v>3938</v>
      </c>
      <c r="Y1212" s="152"/>
      <c r="Z1212" s="152" t="s">
        <v>1557</v>
      </c>
      <c r="AA1212" s="153" t="n">
        <v>3.6</v>
      </c>
      <c r="AB1212" s="151" t="s">
        <v>6124</v>
      </c>
      <c r="AC1212" s="151" t="s">
        <v>186</v>
      </c>
      <c r="AD1212" s="151" t="str">
        <f aca="false">CONCATENATE($C1212,$I1212,$H1212,$N1212,$J1212,$K1212)</f>
        <v>TUBO PEADPEAD63VCAREDESZona11</v>
      </c>
      <c r="AE1212" s="153" t="n">
        <f aca="false">IFERROR(INDEX(APOIO_REDES!$A:$W,MATCH($C1212&amp;$I1212&amp;$H1212&amp;$N1212&amp;$O1212,APOIO_REDES!$W:$W,0),MATCH(AE$5,APOIO_REDES!$5:$5,0)),0)</f>
        <v>1.2</v>
      </c>
      <c r="AF1212" s="153" t="n">
        <f aca="false">IFERROR(INDEX(APOIO_REDES!$A:$W,MATCH($C1212&amp;$I1212&amp;$H1212&amp;$N1212&amp;$O1212,APOIO_REDES!$W:$W,0),MATCH(AF$5,APOIO_REDES!$5:$5,0)),0)</f>
        <v>1.363</v>
      </c>
      <c r="AG1212" s="153" t="n">
        <f aca="false">IFERROR(INDEX(APOIO_REDES!$A:$W,MATCH($C1212&amp;$I1212&amp;$H1212&amp;$N1212&amp;$O1212,APOIO_REDES!$W:$W,0),MATCH(AG$5,APOIO_REDES!$5:$5,0)),0)</f>
        <v>0.65</v>
      </c>
      <c r="AH1212" s="153" t="n">
        <f aca="false">IFERROR(INDEX(APOIO_REDES!$A:$W,MATCH($C1212&amp;$I1212&amp;$H1212&amp;$N1212&amp;$O1212,APOIO_REDES!$W:$W,0),MATCH(AH$5,APOIO_REDES!$5:$5,0)),0)</f>
        <v>0.1</v>
      </c>
      <c r="AI1212" s="153" t="n">
        <f aca="false">IFERROR(IF($H1212&lt;&gt;"",(((($H1212/1000)/2)^2)*PI()*$M1212),0),0)</f>
        <v>0.371700330826938</v>
      </c>
      <c r="AJ1212" s="153" t="n">
        <f aca="false">IFERROR(IF(AND($H1212&lt;&gt;"",$I1212="FoFo",OR($N1212="MND",$N1212="VCA"),$Q1212="LINEAR"),0,IF(AND($H1212&lt;&gt;"",$I1212="PEAD",$N1212="VCA",$Q1212="LINEAR"),($H1212/1000)+0.3,IF(AND($H1212&lt;&gt;"",$I1212="PEAD",$N1212="MND",$Q1212="EMBOQUE"),0,IF(AND($H1212&lt;&gt;"",$I1212="PVC",$N1212="VCA",$Q1212="LINEAR"),($H1212/1000)+0.2,IF(AND($H1212&lt;&gt;"",$I1212="PVC",$N1212="MND",$Q1212="EMBOQUE"),0,IF(AND($H1212&lt;&gt;"",$I1212="PEAD",$N1212="VCA",$Q1212="PREDIAL"),0,0)))))),0)</f>
        <v>0.363</v>
      </c>
      <c r="AK1212" s="153" t="n">
        <f aca="false">IF(AA1212&lt;&gt;"",AA1212,0)</f>
        <v>3.6</v>
      </c>
      <c r="AL1212" s="153" t="n">
        <f aca="false">IF(AND($N1212="MND",$Q1212="EMBOQUE"),$M1212,IF(AND($N1212="VCA",$Q1212="LINEAR"),$M1212,IF(AND($N1212="VCA",$Q1212="PREDIAL"),0,0)))</f>
        <v>119.24</v>
      </c>
      <c r="AM1212" s="153" t="n">
        <f aca="false">IF(AND($N1212="MND",$Q1212="EMBOQUE"),$M1212,IF(AND($N1212="VCA",$Q1212="LINEAR"),$M1212,IF(AND($N1212="VCA",$Q1212="PREDIAL"),0,0)))</f>
        <v>119.24</v>
      </c>
      <c r="AN1212" s="153" t="n">
        <f aca="false">ROUND(IF(AND($N1212="VCA",$M1212&lt;&gt;"",$Q1212="LINEAR"),$M1212/100,IF(AND($N1212="MND",$M1212&gt;100,$Q1212="EMBOQUE"),$M1212/100,0)),0)</f>
        <v>1</v>
      </c>
      <c r="AO1212" s="153" t="n">
        <f aca="false">IF(AND($N1212="MND",$Q1212="EMBOQUE"),$AN1212*2*2,IF(AND($N1212="VCA",$Q1212="LINEAR"),$M1212*2,IF(AND($N1212="VCA",$Q1212="PREDIAL"),0,0)))</f>
        <v>238.48</v>
      </c>
      <c r="AP1212" s="153" t="n">
        <f aca="false">IFERROR($M1212*$AF1212*$AG1212,0)</f>
        <v>105.640678</v>
      </c>
      <c r="AQ1212" s="153" t="n">
        <f aca="false">IFERROR(IF(AND($N1212="VCA",$AH1212&gt;0),$M1212*$AG1212*$AH1212,0),0)</f>
        <v>7.7506</v>
      </c>
      <c r="AR1212" s="153" t="n">
        <f aca="false">IFERROR(IF(AND($N1212="VCA",$AJ1212&gt;0),($M1212*$AG1212*$AJ1212)-$AI1212,0),0)</f>
        <v>27.7629776691731</v>
      </c>
      <c r="AS1212" s="153" t="n">
        <f aca="false">IFERROR(IF(AND($N1212="VCA",$AP1212&gt;0),$AP1212-$AI1212-$AQ1212-$AR1212,0),0)</f>
        <v>69.7554</v>
      </c>
      <c r="AT1212" s="153" t="n">
        <f aca="false">IFERROR(IF($N1212="VCA",INDEX(APOIO_REDES!$A:$W,MATCH($C1212&amp;$I1212&amp;$H1212&amp;$N1212&amp;$O1212,APOIO_REDES!$W:$W,0),MATCH(AT$5,APOIO_REDES!$5:$5,0)),0)*$AP1212,0)</f>
        <v>1.14940184468461</v>
      </c>
      <c r="AU1212" s="153" t="n">
        <f aca="false">IFERROR(IF($N1212="VCA",INDEX(APOIO_REDES!$A:$W,MATCH($C1212&amp;$I1212&amp;$H1212&amp;$N1212&amp;$O1212,APOIO_REDES!$W:$W,0),MATCH(AU$5,APOIO_REDES!$5:$5,0)),0)*$AP1212,0)</f>
        <v>0.917881183415288</v>
      </c>
      <c r="AV1212" s="153" t="n">
        <f aca="false">IFERROR(IF($N1212="VCA",INDEX(APOIO_REDES!$A:$W,MATCH($C1212&amp;$I1212&amp;$H1212&amp;$N1212&amp;$O1212,APOIO_REDES!$W:$W,0),MATCH(AV$5,APOIO_REDES!$5:$5,0)),0)*$AP1212,0)</f>
        <v>0.127027550134866</v>
      </c>
      <c r="AW1212" s="153" t="n">
        <f aca="false">IFERROR(IF($N1212="VCA",INDEX(APOIO_REDES!$A:$W,MATCH($C1212&amp;$I1212&amp;$H1212&amp;$N1212&amp;$O1212,APOIO_REDES!$W:$W,0),MATCH(AW$5,APOIO_REDES!$5:$5,0)),0)*$AP1212,0)</f>
        <v>72.5125799231161</v>
      </c>
      <c r="AX1212" s="153" t="n">
        <f aca="false">IFERROR(IF($N1212="VCA",INDEX(APOIO_REDES!$A:$W,MATCH($C1212&amp;$I1212&amp;$H1212&amp;$N1212&amp;$O1212,APOIO_REDES!$W:$W,0),MATCH(AX$5,APOIO_REDES!$5:$5,0)),0)*$AP1212,0)</f>
        <v>10.0355345053655</v>
      </c>
      <c r="AY1212" s="153" t="n">
        <f aca="false">IFERROR(IF($N1212="VCA",INDEX(APOIO_REDES!$A:$W,MATCH($C1212&amp;$I1212&amp;$H1212&amp;$N1212&amp;$O1212,APOIO_REDES!$W:$W,0),MATCH(AY$5,APOIO_REDES!$5:$5,0)),0)*$AP1212,0)</f>
        <v>18.3576124794085</v>
      </c>
      <c r="AZ1212" s="153" t="n">
        <f aca="false">IFERROR(IF($N1212="VCA",INDEX(APOIO_REDES!$A:$W,MATCH($C1212&amp;$I1212&amp;$H1212&amp;$N1212&amp;$O1212,APOIO_REDES!$W:$W,0),MATCH(AZ$5,APOIO_REDES!$5:$5,0)),0)*$AP1212,0)</f>
        <v>2.54064051387509</v>
      </c>
      <c r="BA1212" s="153" t="n">
        <f aca="false">IFERROR(IF(AND($N1212="VCA",$Q1212="LINEAR"),INDEX(APOIO_REDES!$A:$W,MATCH($C1212&amp;$I1212&amp;$H1212&amp;$N1212&amp;$O1212,APOIO_REDES!$W:$W,0),MATCH(BA$5,APOIO_REDES!$5:$5,0)),IF(AND($N1212="MND",$Q1212="EMBOQUE"),INDEX(APOIO_REDES!$A:$W,MATCH($C1212&amp;$I1212&amp;$H1212&amp;$N1212&amp;$O1212,APOIO_REDES!$W:$W,0),MATCH(BA$5,APOIO_REDES!$5:$5,0)),0))*$M1212/10,0)</f>
        <v>9.610443226613</v>
      </c>
      <c r="BB1212" s="153" t="n">
        <f aca="false">IFERROR(IF($N1212="VCA",INDEX(APOIO_REDES!$A:$W,MATCH($C1212&amp;$I1212&amp;$H1212&amp;$N1212&amp;$O1212,APOIO_REDES!$W:$W,0),MATCH(BB$5,APOIO_REDES!$5:$5,0)),0)*($AI1212+$AQ1212+$AR1212),0)</f>
        <v>35.4948355538599</v>
      </c>
      <c r="BC1212" s="153" t="n">
        <f aca="false">IFERROR(IF($N1212="VCA",INDEX(APOIO_REDES!$A:$W,MATCH($C1212&amp;$I1212&amp;$H1212&amp;$N1212&amp;$O1212,APOIO_REDES!$W:$W,0),MATCH(BC$5,APOIO_REDES!$5:$5,0)),0)*($AI1212+$AQ1212+$AR1212),0)</f>
        <v>0.390442446140115</v>
      </c>
      <c r="BD1212" s="153" t="n">
        <f aca="false">IF(AND($N1212="VCA",$AF1212&gt;=1.25,$AF1212&lt;1.5),$M1212*$AF1212*2,0)</f>
        <v>325.04824</v>
      </c>
      <c r="BE1212" s="153" t="n">
        <f aca="false">IF(AND($N1212="VCA",$AF1212&gt;=1.5,$AF1212&lt;3),$M1212*$AF1212*2,0)</f>
        <v>0</v>
      </c>
      <c r="BF1212" s="153" t="n">
        <f aca="false">IF(AND($N1212="VCA",$AF1212&gt;=3),$M1212*$AF1212*2,0)</f>
        <v>0</v>
      </c>
      <c r="BG1212" s="153" t="n">
        <f aca="false">($BB1212+$BC1212)*$AK1212</f>
        <v>129.1870008</v>
      </c>
      <c r="BH1212" s="153" t="n">
        <f aca="false">IF(AND($M1212&lt;&gt;"",$N1212="VCA",$Q1212="LINEAR"),($M1212*2)/100,IF(AND($M1212&lt;&gt;"",$N1212="MND",$Q1212="EMBOQUE"),($AN1212*2)/100,0))</f>
        <v>2.3848</v>
      </c>
      <c r="BI1212" s="153" t="n">
        <f aca="false">IF(AND($M1212&lt;&gt;"",$N1212="VCA",$Q1212="LINEAR"),$M1212,IF(AND($M1212&lt;&gt;"",$N1212="MND",$Q1212="EMBOQUE"),$AN1212*2,0))</f>
        <v>119.24</v>
      </c>
      <c r="BJ1212" s="153" t="n">
        <f aca="false">IF(AND($M1212&lt;&gt;"",$N1212="VCA",$Q1212="LINEAR"),($M1212*6.8)/100,IF(AND($M1212&lt;&gt;"",$N1212="MND",$Q1212="EMBOQUE"),($AN1212*2*6.8)/100,0))</f>
        <v>8.10832</v>
      </c>
      <c r="BK1212" s="153" t="n">
        <f aca="false">IF(AND($M1212&lt;&gt;"",$N1212="VCA",$Q1212="LINEAR"),($M1212*2.5)/50,IF(AND($M1212&lt;&gt;"",$N1212="MND",$Q1212="EMBOQUE"),($AN1212*2*2.5)/50,0))</f>
        <v>5.962</v>
      </c>
      <c r="BL1212" s="157" t="str">
        <f aca="false">K1212&amp;J1212</f>
        <v>Zona11REDES</v>
      </c>
      <c r="BM1212" s="152" t="s">
        <v>6084</v>
      </c>
      <c r="BN1212" s="152" t="s">
        <v>1560</v>
      </c>
      <c r="BO1212" s="152" t="s">
        <v>4218</v>
      </c>
      <c r="BP1212" s="152" t="s">
        <v>6125</v>
      </c>
      <c r="BQ1212" s="152" t="s">
        <v>6126</v>
      </c>
      <c r="BR1212" s="152" t="s">
        <v>6127</v>
      </c>
      <c r="BS1212" s="152" t="n">
        <v>204155.808</v>
      </c>
      <c r="BT1212" s="152" t="n">
        <v>8236532.271</v>
      </c>
      <c r="BU1212" s="152" t="n">
        <v>204188.495</v>
      </c>
      <c r="BV1212" s="152" t="n">
        <v>8236417.657</v>
      </c>
      <c r="BW1212" s="152" t="n">
        <v>-15.9333785</v>
      </c>
      <c r="BX1212" s="152" t="n">
        <v>-47.7631466</v>
      </c>
      <c r="BY1212" s="152" t="s">
        <v>6125</v>
      </c>
    </row>
    <row r="1213" customFormat="false" ht="13.8" hidden="false" customHeight="false" outlineLevel="0" collapsed="false">
      <c r="A1213" s="149" t="n">
        <f aca="false">IF(C1213&lt;&gt;"",ROW(A1208),"")</f>
        <v>1208</v>
      </c>
      <c r="B1213" s="150" t="str">
        <f aca="false">HYPERLINK("https://www.google.com/maps/dir/-15.917302,-47.760003/-15.9332763,-47.7621673/data=!4m3!4m2!3e0!5i2")</f>
        <v>https://www.google.com/maps/dir/-15.917302,-47.760003/-15.9332763,-47.7621673/data=!4m3!4m2!3e0!5i2</v>
      </c>
      <c r="C1213" s="151" t="s">
        <v>117</v>
      </c>
      <c r="D1213" s="152" t="s">
        <v>112</v>
      </c>
      <c r="E1213" s="152" t="s">
        <v>113</v>
      </c>
      <c r="F1213" s="152" t="s">
        <v>117</v>
      </c>
      <c r="G1213" s="152" t="s">
        <v>782</v>
      </c>
      <c r="H1213" s="152" t="n">
        <v>63</v>
      </c>
      <c r="I1213" s="152" t="s">
        <v>115</v>
      </c>
      <c r="J1213" s="152" t="s">
        <v>6</v>
      </c>
      <c r="K1213" s="152" t="s">
        <v>6081</v>
      </c>
      <c r="L1213" s="152" t="s">
        <v>120</v>
      </c>
      <c r="M1213" s="153" t="n">
        <f aca="false">48.88</f>
        <v>48.88</v>
      </c>
      <c r="N1213" s="152" t="s">
        <v>1548</v>
      </c>
      <c r="O1213" s="152" t="s">
        <v>1549</v>
      </c>
      <c r="P1213" s="152" t="s">
        <v>1550</v>
      </c>
      <c r="Q1213" s="152" t="s">
        <v>1551</v>
      </c>
      <c r="R1213" s="154" t="s">
        <v>6128</v>
      </c>
      <c r="S1213" s="154" t="s">
        <v>1553</v>
      </c>
      <c r="T1213" s="155" t="s">
        <v>4216</v>
      </c>
      <c r="U1213" s="152" t="str">
        <f aca="false">RIGHT(T1213,7)</f>
        <v>019/037</v>
      </c>
      <c r="V1213" s="152" t="s">
        <v>1555</v>
      </c>
      <c r="W1213" s="156" t="n">
        <v>45882</v>
      </c>
      <c r="X1213" s="152" t="s">
        <v>3938</v>
      </c>
      <c r="Y1213" s="152" t="s">
        <v>2916</v>
      </c>
      <c r="Z1213" s="152" t="s">
        <v>1557</v>
      </c>
      <c r="AA1213" s="153" t="n">
        <v>3.6</v>
      </c>
      <c r="AB1213" s="151" t="s">
        <v>6129</v>
      </c>
      <c r="AC1213" s="151" t="s">
        <v>186</v>
      </c>
      <c r="AD1213" s="151" t="str">
        <f aca="false">CONCATENATE($C1213,$I1213,$H1213,$N1213,$J1213,$K1213)</f>
        <v>TUBO PEADPEAD63VCAREDESZona11</v>
      </c>
      <c r="AE1213" s="153" t="n">
        <f aca="false">IFERROR(INDEX(APOIO_REDES!$A:$W,MATCH($C1213&amp;$I1213&amp;$H1213&amp;$N1213&amp;$O1213,APOIO_REDES!$W:$W,0),MATCH(AE$5,APOIO_REDES!$5:$5,0)),0)</f>
        <v>1.2</v>
      </c>
      <c r="AF1213" s="153" t="n">
        <f aca="false">IFERROR(INDEX(APOIO_REDES!$A:$W,MATCH($C1213&amp;$I1213&amp;$H1213&amp;$N1213&amp;$O1213,APOIO_REDES!$W:$W,0),MATCH(AF$5,APOIO_REDES!$5:$5,0)),0)</f>
        <v>1.363</v>
      </c>
      <c r="AG1213" s="153" t="n">
        <f aca="false">IFERROR(INDEX(APOIO_REDES!$A:$W,MATCH($C1213&amp;$I1213&amp;$H1213&amp;$N1213&amp;$O1213,APOIO_REDES!$W:$W,0),MATCH(AG$5,APOIO_REDES!$5:$5,0)),0)</f>
        <v>0.65</v>
      </c>
      <c r="AH1213" s="153" t="n">
        <f aca="false">IFERROR(INDEX(APOIO_REDES!$A:$W,MATCH($C1213&amp;$I1213&amp;$H1213&amp;$N1213&amp;$O1213,APOIO_REDES!$W:$W,0),MATCH(AH$5,APOIO_REDES!$5:$5,0)),0)</f>
        <v>0.1</v>
      </c>
      <c r="AI1213" s="153" t="n">
        <f aca="false">IFERROR(IF($H1213&lt;&gt;"",(((($H1213/1000)/2)^2)*PI()*$M1213),0),0)</f>
        <v>0.152370950778436</v>
      </c>
      <c r="AJ1213" s="153" t="n">
        <f aca="false">IFERROR(IF(AND($H1213&lt;&gt;"",$I1213="FoFo",OR($N1213="MND",$N1213="VCA"),$Q1213="LINEAR"),0,IF(AND($H1213&lt;&gt;"",$I1213="PEAD",$N1213="VCA",$Q1213="LINEAR"),($H1213/1000)+0.3,IF(AND($H1213&lt;&gt;"",$I1213="PEAD",$N1213="MND",$Q1213="EMBOQUE"),0,IF(AND($H1213&lt;&gt;"",$I1213="PVC",$N1213="VCA",$Q1213="LINEAR"),($H1213/1000)+0.2,IF(AND($H1213&lt;&gt;"",$I1213="PVC",$N1213="MND",$Q1213="EMBOQUE"),0,IF(AND($H1213&lt;&gt;"",$I1213="PEAD",$N1213="VCA",$Q1213="PREDIAL"),0,0)))))),0)</f>
        <v>0.363</v>
      </c>
      <c r="AK1213" s="153" t="n">
        <f aca="false">IF(AA1213&lt;&gt;"",AA1213,0)</f>
        <v>3.6</v>
      </c>
      <c r="AL1213" s="153" t="n">
        <f aca="false">IF(AND($N1213="MND",$Q1213="EMBOQUE"),$M1213,IF(AND($N1213="VCA",$Q1213="LINEAR"),$M1213,IF(AND($N1213="VCA",$Q1213="PREDIAL"),0,0)))</f>
        <v>48.88</v>
      </c>
      <c r="AM1213" s="153" t="n">
        <f aca="false">IF(AND($N1213="MND",$Q1213="EMBOQUE"),$M1213,IF(AND($N1213="VCA",$Q1213="LINEAR"),$M1213,IF(AND($N1213="VCA",$Q1213="PREDIAL"),0,0)))</f>
        <v>48.88</v>
      </c>
      <c r="AN1213" s="153" t="n">
        <f aca="false">ROUND(IF(AND($N1213="VCA",$M1213&lt;&gt;"",$Q1213="LINEAR"),$M1213/100,IF(AND($N1213="MND",$M1213&gt;100,$Q1213="EMBOQUE"),$M1213/100,0)),0)</f>
        <v>0</v>
      </c>
      <c r="AO1213" s="153" t="n">
        <f aca="false">IF(AND($N1213="MND",$Q1213="EMBOQUE"),$AN1213*2*2,IF(AND($N1213="VCA",$Q1213="LINEAR"),$M1213*2,IF(AND($N1213="VCA",$Q1213="PREDIAL"),0,0)))</f>
        <v>97.76</v>
      </c>
      <c r="AP1213" s="153" t="n">
        <f aca="false">IFERROR($M1213*$AF1213*$AG1213,0)</f>
        <v>43.305236</v>
      </c>
      <c r="AQ1213" s="153" t="n">
        <f aca="false">IFERROR(IF(AND($N1213="VCA",$AH1213&gt;0),$M1213*$AG1213*$AH1213,0),0)</f>
        <v>3.1772</v>
      </c>
      <c r="AR1213" s="153" t="n">
        <f aca="false">IFERROR(IF(AND($N1213="VCA",$AJ1213&gt;0),($M1213*$AG1213*$AJ1213)-$AI1213,0),0)</f>
        <v>11.3808650492216</v>
      </c>
      <c r="AS1213" s="153" t="n">
        <f aca="false">IFERROR(IF(AND($N1213="VCA",$AP1213&gt;0),$AP1213-$AI1213-$AQ1213-$AR1213,0),0)</f>
        <v>28.5948</v>
      </c>
      <c r="AT1213" s="153" t="n">
        <f aca="false">IFERROR(IF($N1213="VCA",INDEX(APOIO_REDES!$A:$W,MATCH($C1213&amp;$I1213&amp;$H1213&amp;$N1213&amp;$O1213,APOIO_REDES!$W:$W,0),MATCH(AT$5,APOIO_REDES!$5:$5,0)),0)*$AP1213,0)</f>
        <v>0.471173785375578</v>
      </c>
      <c r="AU1213" s="153" t="n">
        <f aca="false">IFERROR(IF($N1213="VCA",INDEX(APOIO_REDES!$A:$W,MATCH($C1213&amp;$I1213&amp;$H1213&amp;$N1213&amp;$O1213,APOIO_REDES!$W:$W,0),MATCH(AU$5,APOIO_REDES!$5:$5,0)),0)*$AP1213,0)</f>
        <v>0.376266623996472</v>
      </c>
      <c r="AV1213" s="153" t="n">
        <f aca="false">IFERROR(IF($N1213="VCA",INDEX(APOIO_REDES!$A:$W,MATCH($C1213&amp;$I1213&amp;$H1213&amp;$N1213&amp;$O1213,APOIO_REDES!$W:$W,0),MATCH(AV$5,APOIO_REDES!$5:$5,0)),0)*$AP1213,0)</f>
        <v>0.0520723469523002</v>
      </c>
      <c r="AW1213" s="153" t="n">
        <f aca="false">IFERROR(IF($N1213="VCA",INDEX(APOIO_REDES!$A:$W,MATCH($C1213&amp;$I1213&amp;$H1213&amp;$N1213&amp;$O1213,APOIO_REDES!$W:$W,0),MATCH(AW$5,APOIO_REDES!$5:$5,0)),0)*$AP1213,0)</f>
        <v>29.7250495357423</v>
      </c>
      <c r="AX1213" s="153" t="n">
        <f aca="false">IFERROR(IF($N1213="VCA",INDEX(APOIO_REDES!$A:$W,MATCH($C1213&amp;$I1213&amp;$H1213&amp;$N1213&amp;$O1213,APOIO_REDES!$W:$W,0),MATCH(AX$5,APOIO_REDES!$5:$5,0)),0)*$AP1213,0)</f>
        <v>4.11386218234036</v>
      </c>
      <c r="AY1213" s="153" t="n">
        <f aca="false">IFERROR(IF($N1213="VCA",INDEX(APOIO_REDES!$A:$W,MATCH($C1213&amp;$I1213&amp;$H1213&amp;$N1213&amp;$O1213,APOIO_REDES!$W:$W,0),MATCH(AY$5,APOIO_REDES!$5:$5,0)),0)*$AP1213,0)</f>
        <v>7.52532789326979</v>
      </c>
      <c r="AZ1213" s="153" t="n">
        <f aca="false">IFERROR(IF($N1213="VCA",INDEX(APOIO_REDES!$A:$W,MATCH($C1213&amp;$I1213&amp;$H1213&amp;$N1213&amp;$O1213,APOIO_REDES!$W:$W,0),MATCH(AZ$5,APOIO_REDES!$5:$5,0)),0)*$AP1213,0)</f>
        <v>1.04148363232317</v>
      </c>
      <c r="BA1213" s="153" t="n">
        <f aca="false">IFERROR(IF(AND($N1213="VCA",$Q1213="LINEAR"),INDEX(APOIO_REDES!$A:$W,MATCH($C1213&amp;$I1213&amp;$H1213&amp;$N1213&amp;$O1213,APOIO_REDES!$W:$W,0),MATCH(BA$5,APOIO_REDES!$5:$5,0)),IF(AND($N1213="MND",$Q1213="EMBOQUE"),INDEX(APOIO_REDES!$A:$W,MATCH($C1213&amp;$I1213&amp;$H1213&amp;$N1213&amp;$O1213,APOIO_REDES!$W:$W,0),MATCH(BA$5,APOIO_REDES!$5:$5,0)),0))*$M1213/10,0)</f>
        <v>3.93960470409966</v>
      </c>
      <c r="BB1213" s="153" t="n">
        <f aca="false">IFERROR(IF($N1213="VCA",INDEX(APOIO_REDES!$A:$W,MATCH($C1213&amp;$I1213&amp;$H1213&amp;$N1213&amp;$O1213,APOIO_REDES!$W:$W,0),MATCH(BB$5,APOIO_REDES!$5:$5,0)),0)*($AI1213+$AQ1213+$AR1213),0)</f>
        <v>14.5503821022532</v>
      </c>
      <c r="BC1213" s="153" t="n">
        <f aca="false">IFERROR(IF($N1213="VCA",INDEX(APOIO_REDES!$A:$W,MATCH($C1213&amp;$I1213&amp;$H1213&amp;$N1213&amp;$O1213,APOIO_REDES!$W:$W,0),MATCH(BC$5,APOIO_REDES!$5:$5,0)),0)*($AI1213+$AQ1213+$AR1213),0)</f>
        <v>0.160053897746803</v>
      </c>
      <c r="BD1213" s="153" t="n">
        <f aca="false">IF(AND($N1213="VCA",$AF1213&gt;=1.25,$AF1213&lt;1.5),$M1213*$AF1213*2,0)</f>
        <v>133.24688</v>
      </c>
      <c r="BE1213" s="153" t="n">
        <f aca="false">IF(AND($N1213="VCA",$AF1213&gt;=1.5,$AF1213&lt;3),$M1213*$AF1213*2,0)</f>
        <v>0</v>
      </c>
      <c r="BF1213" s="153" t="n">
        <f aca="false">IF(AND($N1213="VCA",$AF1213&gt;=3),$M1213*$AF1213*2,0)</f>
        <v>0</v>
      </c>
      <c r="BG1213" s="153" t="n">
        <f aca="false">($BB1213+$BC1213)*$AK1213</f>
        <v>52.9575696</v>
      </c>
      <c r="BH1213" s="153" t="n">
        <f aca="false">IF(AND($M1213&lt;&gt;"",$N1213="VCA",$Q1213="LINEAR"),($M1213*2)/100,IF(AND($M1213&lt;&gt;"",$N1213="MND",$Q1213="EMBOQUE"),($AN1213*2)/100,0))</f>
        <v>0.9776</v>
      </c>
      <c r="BI1213" s="153" t="n">
        <f aca="false">IF(AND($M1213&lt;&gt;"",$N1213="VCA",$Q1213="LINEAR"),$M1213,IF(AND($M1213&lt;&gt;"",$N1213="MND",$Q1213="EMBOQUE"),$AN1213*2,0))</f>
        <v>48.88</v>
      </c>
      <c r="BJ1213" s="153" t="n">
        <f aca="false">IF(AND($M1213&lt;&gt;"",$N1213="VCA",$Q1213="LINEAR"),($M1213*6.8)/100,IF(AND($M1213&lt;&gt;"",$N1213="MND",$Q1213="EMBOQUE"),($AN1213*2*6.8)/100,0))</f>
        <v>3.32384</v>
      </c>
      <c r="BK1213" s="153" t="n">
        <f aca="false">IF(AND($M1213&lt;&gt;"",$N1213="VCA",$Q1213="LINEAR"),($M1213*2.5)/50,IF(AND($M1213&lt;&gt;"",$N1213="MND",$Q1213="EMBOQUE"),($AN1213*2*2.5)/50,0))</f>
        <v>2.444</v>
      </c>
      <c r="BL1213" s="157" t="str">
        <f aca="false">K1213&amp;J1213</f>
        <v>Zona11REDES</v>
      </c>
      <c r="BM1213" s="152" t="s">
        <v>6084</v>
      </c>
      <c r="BN1213" s="152" t="s">
        <v>1560</v>
      </c>
      <c r="BO1213" s="152" t="s">
        <v>4218</v>
      </c>
      <c r="BP1213" s="152" t="s">
        <v>6104</v>
      </c>
      <c r="BQ1213" s="152" t="s">
        <v>6117</v>
      </c>
      <c r="BR1213" s="152" t="s">
        <v>6130</v>
      </c>
      <c r="BS1213" s="152" t="n">
        <v>204275.547</v>
      </c>
      <c r="BT1213" s="152" t="n">
        <v>8236487.273</v>
      </c>
      <c r="BU1213" s="152" t="n">
        <v>204236.067</v>
      </c>
      <c r="BV1213" s="152" t="n">
        <v>8236461.331</v>
      </c>
      <c r="BW1213" s="152" t="n">
        <v>-15.9334363</v>
      </c>
      <c r="BX1213" s="152" t="n">
        <v>-47.7623234</v>
      </c>
      <c r="BY1213" s="152" t="s">
        <v>6104</v>
      </c>
    </row>
    <row r="1214" customFormat="false" ht="13.8" hidden="false" customHeight="false" outlineLevel="0" collapsed="false">
      <c r="A1214" s="149" t="n">
        <f aca="false">IF(C1214&lt;&gt;"",ROW(A1209),"")</f>
        <v>1209</v>
      </c>
      <c r="B1214" s="150" t="str">
        <f aca="false">HYPERLINK("https://www.google.com/maps/dir/-15.917302,-47.760003/-15.9333837,-47.7614989/data=!4m3!4m2!3e0!5i1")</f>
        <v>https://www.google.com/maps/dir/-15.917302,-47.760003/-15.9333837,-47.7614989/data=!4m3!4m2!3e0!5i1</v>
      </c>
      <c r="C1214" s="151" t="s">
        <v>117</v>
      </c>
      <c r="D1214" s="152" t="s">
        <v>112</v>
      </c>
      <c r="E1214" s="152" t="s">
        <v>113</v>
      </c>
      <c r="F1214" s="152" t="s">
        <v>117</v>
      </c>
      <c r="G1214" s="152" t="s">
        <v>782</v>
      </c>
      <c r="H1214" s="152" t="n">
        <v>63</v>
      </c>
      <c r="I1214" s="152" t="s">
        <v>115</v>
      </c>
      <c r="J1214" s="152" t="s">
        <v>6</v>
      </c>
      <c r="K1214" s="152" t="s">
        <v>6081</v>
      </c>
      <c r="L1214" s="152" t="s">
        <v>120</v>
      </c>
      <c r="M1214" s="153" t="n">
        <f aca="false">61.12</f>
        <v>61.12</v>
      </c>
      <c r="N1214" s="152" t="s">
        <v>1548</v>
      </c>
      <c r="O1214" s="152" t="s">
        <v>1549</v>
      </c>
      <c r="P1214" s="152" t="s">
        <v>1550</v>
      </c>
      <c r="Q1214" s="152" t="s">
        <v>1551</v>
      </c>
      <c r="R1214" s="154" t="s">
        <v>6131</v>
      </c>
      <c r="S1214" s="154" t="s">
        <v>1553</v>
      </c>
      <c r="T1214" s="155" t="s">
        <v>4216</v>
      </c>
      <c r="U1214" s="152" t="str">
        <f aca="false">RIGHT(T1214,7)</f>
        <v>019/037</v>
      </c>
      <c r="V1214" s="152" t="s">
        <v>1555</v>
      </c>
      <c r="W1214" s="156" t="n">
        <v>45882</v>
      </c>
      <c r="X1214" s="152"/>
      <c r="Y1214" s="152"/>
      <c r="Z1214" s="152" t="s">
        <v>1557</v>
      </c>
      <c r="AA1214" s="153" t="n">
        <v>3.6</v>
      </c>
      <c r="AB1214" s="151" t="s">
        <v>6132</v>
      </c>
      <c r="AC1214" s="151" t="s">
        <v>186</v>
      </c>
      <c r="AD1214" s="151" t="str">
        <f aca="false">CONCATENATE($C1214,$I1214,$H1214,$N1214,$J1214,$K1214)</f>
        <v>TUBO PEADPEAD63VCAREDESZona11</v>
      </c>
      <c r="AE1214" s="153" t="n">
        <f aca="false">IFERROR(INDEX(APOIO_REDES!$A:$W,MATCH($C1214&amp;$I1214&amp;$H1214&amp;$N1214&amp;$O1214,APOIO_REDES!$W:$W,0),MATCH(AE$5,APOIO_REDES!$5:$5,0)),0)</f>
        <v>1.2</v>
      </c>
      <c r="AF1214" s="153" t="n">
        <f aca="false">IFERROR(INDEX(APOIO_REDES!$A:$W,MATCH($C1214&amp;$I1214&amp;$H1214&amp;$N1214&amp;$O1214,APOIO_REDES!$W:$W,0),MATCH(AF$5,APOIO_REDES!$5:$5,0)),0)</f>
        <v>1.363</v>
      </c>
      <c r="AG1214" s="153" t="n">
        <f aca="false">IFERROR(INDEX(APOIO_REDES!$A:$W,MATCH($C1214&amp;$I1214&amp;$H1214&amp;$N1214&amp;$O1214,APOIO_REDES!$W:$W,0),MATCH(AG$5,APOIO_REDES!$5:$5,0)),0)</f>
        <v>0.65</v>
      </c>
      <c r="AH1214" s="153" t="n">
        <f aca="false">IFERROR(INDEX(APOIO_REDES!$A:$W,MATCH($C1214&amp;$I1214&amp;$H1214&amp;$N1214&amp;$O1214,APOIO_REDES!$W:$W,0),MATCH(AH$5,APOIO_REDES!$5:$5,0)),0)</f>
        <v>0.1</v>
      </c>
      <c r="AI1214" s="153" t="n">
        <f aca="false">IFERROR(IF($H1214&lt;&gt;"",(((($H1214/1000)/2)^2)*PI()*$M1214),0),0)</f>
        <v>0.190526033379256</v>
      </c>
      <c r="AJ1214" s="153" t="n">
        <f aca="false">IFERROR(IF(AND($H1214&lt;&gt;"",$I1214="FoFo",OR($N1214="MND",$N1214="VCA"),$Q1214="LINEAR"),0,IF(AND($H1214&lt;&gt;"",$I1214="PEAD",$N1214="VCA",$Q1214="LINEAR"),($H1214/1000)+0.3,IF(AND($H1214&lt;&gt;"",$I1214="PEAD",$N1214="MND",$Q1214="EMBOQUE"),0,IF(AND($H1214&lt;&gt;"",$I1214="PVC",$N1214="VCA",$Q1214="LINEAR"),($H1214/1000)+0.2,IF(AND($H1214&lt;&gt;"",$I1214="PVC",$N1214="MND",$Q1214="EMBOQUE"),0,IF(AND($H1214&lt;&gt;"",$I1214="PEAD",$N1214="VCA",$Q1214="PREDIAL"),0,0)))))),0)</f>
        <v>0.363</v>
      </c>
      <c r="AK1214" s="153" t="n">
        <f aca="false">IF(AA1214&lt;&gt;"",AA1214,0)</f>
        <v>3.6</v>
      </c>
      <c r="AL1214" s="153" t="n">
        <f aca="false">IF(AND($N1214="MND",$Q1214="EMBOQUE"),$M1214,IF(AND($N1214="VCA",$Q1214="LINEAR"),$M1214,IF(AND($N1214="VCA",$Q1214="PREDIAL"),0,0)))</f>
        <v>61.12</v>
      </c>
      <c r="AM1214" s="153" t="n">
        <f aca="false">IF(AND($N1214="MND",$Q1214="EMBOQUE"),$M1214,IF(AND($N1214="VCA",$Q1214="LINEAR"),$M1214,IF(AND($N1214="VCA",$Q1214="PREDIAL"),0,0)))</f>
        <v>61.12</v>
      </c>
      <c r="AN1214" s="153" t="n">
        <f aca="false">ROUND(IF(AND($N1214="VCA",$M1214&lt;&gt;"",$Q1214="LINEAR"),$M1214/100,IF(AND($N1214="MND",$M1214&gt;100,$Q1214="EMBOQUE"),$M1214/100,0)),0)</f>
        <v>1</v>
      </c>
      <c r="AO1214" s="153" t="n">
        <f aca="false">IF(AND($N1214="MND",$Q1214="EMBOQUE"),$AN1214*2*2,IF(AND($N1214="VCA",$Q1214="LINEAR"),$M1214*2,IF(AND($N1214="VCA",$Q1214="PREDIAL"),0,0)))</f>
        <v>122.24</v>
      </c>
      <c r="AP1214" s="153" t="n">
        <f aca="false">IFERROR($M1214*$AF1214*$AG1214,0)</f>
        <v>54.149264</v>
      </c>
      <c r="AQ1214" s="153" t="n">
        <f aca="false">IFERROR(IF(AND($N1214="VCA",$AH1214&gt;0),$M1214*$AG1214*$AH1214,0),0)</f>
        <v>3.9728</v>
      </c>
      <c r="AR1214" s="153" t="n">
        <f aca="false">IFERROR(IF(AND($N1214="VCA",$AJ1214&gt;0),($M1214*$AG1214*$AJ1214)-$AI1214,0),0)</f>
        <v>14.2307379666207</v>
      </c>
      <c r="AS1214" s="153" t="n">
        <f aca="false">IFERROR(IF(AND($N1214="VCA",$AP1214&gt;0),$AP1214-$AI1214-$AQ1214-$AR1214,0),0)</f>
        <v>35.7552</v>
      </c>
      <c r="AT1214" s="153" t="n">
        <f aca="false">IFERROR(IF($N1214="VCA",INDEX(APOIO_REDES!$A:$W,MATCH($C1214&amp;$I1214&amp;$H1214&amp;$N1214&amp;$O1214,APOIO_REDES!$W:$W,0),MATCH(AT$5,APOIO_REDES!$5:$5,0)),0)*$AP1214,0)</f>
        <v>0.589160019684029</v>
      </c>
      <c r="AU1214" s="153" t="n">
        <f aca="false">IFERROR(IF($N1214="VCA",INDEX(APOIO_REDES!$A:$W,MATCH($C1214&amp;$I1214&amp;$H1214&amp;$N1214&amp;$O1214,APOIO_REDES!$W:$W,0),MATCH(AU$5,APOIO_REDES!$5:$5,0)),0)*$AP1214,0)</f>
        <v>0.470487235242724</v>
      </c>
      <c r="AV1214" s="153" t="n">
        <f aca="false">IFERROR(IF($N1214="VCA",INDEX(APOIO_REDES!$A:$W,MATCH($C1214&amp;$I1214&amp;$H1214&amp;$N1214&amp;$O1214,APOIO_REDES!$W:$W,0),MATCH(AV$5,APOIO_REDES!$5:$5,0)),0)*$AP1214,0)</f>
        <v>0.0651117398879825</v>
      </c>
      <c r="AW1214" s="153" t="n">
        <f aca="false">IFERROR(IF($N1214="VCA",INDEX(APOIO_REDES!$A:$W,MATCH($C1214&amp;$I1214&amp;$H1214&amp;$N1214&amp;$O1214,APOIO_REDES!$W:$W,0),MATCH(AW$5,APOIO_REDES!$5:$5,0)),0)*$AP1214,0)</f>
        <v>37.1684743785714</v>
      </c>
      <c r="AX1214" s="153" t="n">
        <f aca="false">IFERROR(IF($N1214="VCA",INDEX(APOIO_REDES!$A:$W,MATCH($C1214&amp;$I1214&amp;$H1214&amp;$N1214&amp;$O1214,APOIO_REDES!$W:$W,0),MATCH(AX$5,APOIO_REDES!$5:$5,0)),0)*$AP1214,0)</f>
        <v>5.14401097759089</v>
      </c>
      <c r="AY1214" s="153" t="n">
        <f aca="false">IFERROR(IF($N1214="VCA",INDEX(APOIO_REDES!$A:$W,MATCH($C1214&amp;$I1214&amp;$H1214&amp;$N1214&amp;$O1214,APOIO_REDES!$W:$W,0),MATCH(AY$5,APOIO_REDES!$5:$5,0)),0)*$AP1214,0)</f>
        <v>9.40973896965322</v>
      </c>
      <c r="AZ1214" s="153" t="n">
        <f aca="false">IFERROR(IF($N1214="VCA",INDEX(APOIO_REDES!$A:$W,MATCH($C1214&amp;$I1214&amp;$H1214&amp;$N1214&amp;$O1214,APOIO_REDES!$W:$W,0),MATCH(AZ$5,APOIO_REDES!$5:$5,0)),0)*$AP1214,0)</f>
        <v>1.30228067936972</v>
      </c>
      <c r="BA1214" s="153" t="n">
        <f aca="false">IFERROR(IF(AND($N1214="VCA",$Q1214="LINEAR"),INDEX(APOIO_REDES!$A:$W,MATCH($C1214&amp;$I1214&amp;$H1214&amp;$N1214&amp;$O1214,APOIO_REDES!$W:$W,0),MATCH(BA$5,APOIO_REDES!$5:$5,0)),IF(AND($N1214="MND",$Q1214="EMBOQUE"),INDEX(APOIO_REDES!$A:$W,MATCH($C1214&amp;$I1214&amp;$H1214&amp;$N1214&amp;$O1214,APOIO_REDES!$W:$W,0),MATCH(BA$5,APOIO_REDES!$5:$5,0)),0))*$M1214/10,0)</f>
        <v>4.92611782967617</v>
      </c>
      <c r="BB1214" s="153" t="n">
        <f aca="false">IFERROR(IF($N1214="VCA",INDEX(APOIO_REDES!$A:$W,MATCH($C1214&amp;$I1214&amp;$H1214&amp;$N1214&amp;$O1214,APOIO_REDES!$W:$W,0),MATCH(BB$5,APOIO_REDES!$5:$5,0)),0)*($AI1214+$AQ1214+$AR1214),0)</f>
        <v>18.193931139315</v>
      </c>
      <c r="BC1214" s="153" t="n">
        <f aca="false">IFERROR(IF($N1214="VCA",INDEX(APOIO_REDES!$A:$W,MATCH($C1214&amp;$I1214&amp;$H1214&amp;$N1214&amp;$O1214,APOIO_REDES!$W:$W,0),MATCH(BC$5,APOIO_REDES!$5:$5,0)),0)*($AI1214+$AQ1214+$AR1214),0)</f>
        <v>0.200132860685037</v>
      </c>
      <c r="BD1214" s="153" t="n">
        <f aca="false">IF(AND($N1214="VCA",$AF1214&gt;=1.25,$AF1214&lt;1.5),$M1214*$AF1214*2,0)</f>
        <v>166.61312</v>
      </c>
      <c r="BE1214" s="153" t="n">
        <f aca="false">IF(AND($N1214="VCA",$AF1214&gt;=1.5,$AF1214&lt;3),$M1214*$AF1214*2,0)</f>
        <v>0</v>
      </c>
      <c r="BF1214" s="153" t="n">
        <f aca="false">IF(AND($N1214="VCA",$AF1214&gt;=3),$M1214*$AF1214*2,0)</f>
        <v>0</v>
      </c>
      <c r="BG1214" s="153" t="n">
        <f aca="false">($BB1214+$BC1214)*$AK1214</f>
        <v>66.2186304</v>
      </c>
      <c r="BH1214" s="153" t="n">
        <f aca="false">IF(AND($M1214&lt;&gt;"",$N1214="VCA",$Q1214="LINEAR"),($M1214*2)/100,IF(AND($M1214&lt;&gt;"",$N1214="MND",$Q1214="EMBOQUE"),($AN1214*2)/100,0))</f>
        <v>1.2224</v>
      </c>
      <c r="BI1214" s="153" t="n">
        <f aca="false">IF(AND($M1214&lt;&gt;"",$N1214="VCA",$Q1214="LINEAR"),$M1214,IF(AND($M1214&lt;&gt;"",$N1214="MND",$Q1214="EMBOQUE"),$AN1214*2,0))</f>
        <v>61.12</v>
      </c>
      <c r="BJ1214" s="153" t="n">
        <f aca="false">IF(AND($M1214&lt;&gt;"",$N1214="VCA",$Q1214="LINEAR"),($M1214*6.8)/100,IF(AND($M1214&lt;&gt;"",$N1214="MND",$Q1214="EMBOQUE"),($AN1214*2*6.8)/100,0))</f>
        <v>4.15616</v>
      </c>
      <c r="BK1214" s="153" t="n">
        <f aca="false">IF(AND($M1214&lt;&gt;"",$N1214="VCA",$Q1214="LINEAR"),($M1214*2.5)/50,IF(AND($M1214&lt;&gt;"",$N1214="MND",$Q1214="EMBOQUE"),($AN1214*2*2.5)/50,0))</f>
        <v>3.056</v>
      </c>
      <c r="BL1214" s="157" t="str">
        <f aca="false">K1214&amp;J1214</f>
        <v>Zona11REDES</v>
      </c>
      <c r="BM1214" s="152" t="s">
        <v>6084</v>
      </c>
      <c r="BN1214" s="152" t="s">
        <v>1560</v>
      </c>
      <c r="BO1214" s="152" t="s">
        <v>4218</v>
      </c>
      <c r="BP1214" s="152" t="s">
        <v>6108</v>
      </c>
      <c r="BQ1214" s="152" t="s">
        <v>6122</v>
      </c>
      <c r="BR1214" s="152" t="s">
        <v>6133</v>
      </c>
      <c r="BS1214" s="152" t="n">
        <v>204347.312</v>
      </c>
      <c r="BT1214" s="152" t="n">
        <v>8236476.326</v>
      </c>
      <c r="BU1214" s="152" t="n">
        <v>204287.853</v>
      </c>
      <c r="BV1214" s="152" t="n">
        <v>8236462.292</v>
      </c>
      <c r="BW1214" s="152" t="n">
        <v>-15.9334496</v>
      </c>
      <c r="BX1214" s="152" t="n">
        <v>-47.7617758</v>
      </c>
      <c r="BY1214" s="152" t="s">
        <v>6108</v>
      </c>
    </row>
    <row r="1215" customFormat="false" ht="13.8" hidden="false" customHeight="false" outlineLevel="0" collapsed="false">
      <c r="A1215" s="149" t="n">
        <f aca="false">IF(C1215&lt;&gt;"",ROW(A1210),"")</f>
        <v>1210</v>
      </c>
      <c r="B1215" s="150" t="str">
        <f aca="false">HYPERLINK("https://www.google.com/maps/dir/-15.917302,-47.760003/-15.9337794,-47.7624659/data=!4m3!4m2!3e0!5i2")</f>
        <v>https://www.google.com/maps/dir/-15.917302,-47.760003/-15.9337794,-47.7624659/data=!4m3!4m2!3e0!5i2</v>
      </c>
      <c r="C1215" s="151" t="s">
        <v>117</v>
      </c>
      <c r="D1215" s="152" t="s">
        <v>112</v>
      </c>
      <c r="E1215" s="152" t="s">
        <v>113</v>
      </c>
      <c r="F1215" s="152" t="s">
        <v>117</v>
      </c>
      <c r="G1215" s="152" t="s">
        <v>782</v>
      </c>
      <c r="H1215" s="152" t="n">
        <v>63</v>
      </c>
      <c r="I1215" s="152" t="s">
        <v>115</v>
      </c>
      <c r="J1215" s="152" t="s">
        <v>6</v>
      </c>
      <c r="K1215" s="152" t="s">
        <v>6081</v>
      </c>
      <c r="L1215" s="152" t="s">
        <v>120</v>
      </c>
      <c r="M1215" s="153" t="n">
        <f aca="false">31.15</f>
        <v>31.15</v>
      </c>
      <c r="N1215" s="152" t="s">
        <v>1548</v>
      </c>
      <c r="O1215" s="152" t="s">
        <v>1549</v>
      </c>
      <c r="P1215" s="152" t="s">
        <v>1550</v>
      </c>
      <c r="Q1215" s="152" t="s">
        <v>1551</v>
      </c>
      <c r="R1215" s="154" t="s">
        <v>6134</v>
      </c>
      <c r="S1215" s="154" t="s">
        <v>1553</v>
      </c>
      <c r="T1215" s="155" t="s">
        <v>4216</v>
      </c>
      <c r="U1215" s="152" t="str">
        <f aca="false">RIGHT(T1215,7)</f>
        <v>019/037</v>
      </c>
      <c r="V1215" s="152" t="s">
        <v>1555</v>
      </c>
      <c r="W1215" s="156" t="n">
        <v>45882</v>
      </c>
      <c r="X1215" s="152" t="s">
        <v>3938</v>
      </c>
      <c r="Y1215" s="152" t="s">
        <v>2916</v>
      </c>
      <c r="Z1215" s="152" t="s">
        <v>1557</v>
      </c>
      <c r="AA1215" s="153" t="n">
        <v>3.7</v>
      </c>
      <c r="AB1215" s="151" t="s">
        <v>6135</v>
      </c>
      <c r="AC1215" s="151" t="s">
        <v>186</v>
      </c>
      <c r="AD1215" s="151" t="str">
        <f aca="false">CONCATENATE($C1215,$I1215,$H1215,$N1215,$J1215,$K1215)</f>
        <v>TUBO PEADPEAD63VCAREDESZona11</v>
      </c>
      <c r="AE1215" s="153" t="n">
        <f aca="false">IFERROR(INDEX(APOIO_REDES!$A:$W,MATCH($C1215&amp;$I1215&amp;$H1215&amp;$N1215&amp;$O1215,APOIO_REDES!$W:$W,0),MATCH(AE$5,APOIO_REDES!$5:$5,0)),0)</f>
        <v>1.2</v>
      </c>
      <c r="AF1215" s="153" t="n">
        <f aca="false">IFERROR(INDEX(APOIO_REDES!$A:$W,MATCH($C1215&amp;$I1215&amp;$H1215&amp;$N1215&amp;$O1215,APOIO_REDES!$W:$W,0),MATCH(AF$5,APOIO_REDES!$5:$5,0)),0)</f>
        <v>1.363</v>
      </c>
      <c r="AG1215" s="153" t="n">
        <f aca="false">IFERROR(INDEX(APOIO_REDES!$A:$W,MATCH($C1215&amp;$I1215&amp;$H1215&amp;$N1215&amp;$O1215,APOIO_REDES!$W:$W,0),MATCH(AG$5,APOIO_REDES!$5:$5,0)),0)</f>
        <v>0.65</v>
      </c>
      <c r="AH1215" s="153" t="n">
        <f aca="false">IFERROR(INDEX(APOIO_REDES!$A:$W,MATCH($C1215&amp;$I1215&amp;$H1215&amp;$N1215&amp;$O1215,APOIO_REDES!$W:$W,0),MATCH(AH$5,APOIO_REDES!$5:$5,0)),0)</f>
        <v>0.1</v>
      </c>
      <c r="AI1215" s="153" t="n">
        <f aca="false">IFERROR(IF($H1215&lt;&gt;"",(((($H1215/1000)/2)^2)*PI()*$M1215),0),0)</f>
        <v>0.0971021914228373</v>
      </c>
      <c r="AJ1215" s="153" t="n">
        <f aca="false">IFERROR(IF(AND($H1215&lt;&gt;"",$I1215="FoFo",OR($N1215="MND",$N1215="VCA"),$Q1215="LINEAR"),0,IF(AND($H1215&lt;&gt;"",$I1215="PEAD",$N1215="VCA",$Q1215="LINEAR"),($H1215/1000)+0.3,IF(AND($H1215&lt;&gt;"",$I1215="PEAD",$N1215="MND",$Q1215="EMBOQUE"),0,IF(AND($H1215&lt;&gt;"",$I1215="PVC",$N1215="VCA",$Q1215="LINEAR"),($H1215/1000)+0.2,IF(AND($H1215&lt;&gt;"",$I1215="PVC",$N1215="MND",$Q1215="EMBOQUE"),0,IF(AND($H1215&lt;&gt;"",$I1215="PEAD",$N1215="VCA",$Q1215="PREDIAL"),0,0)))))),0)</f>
        <v>0.363</v>
      </c>
      <c r="AK1215" s="153" t="n">
        <f aca="false">IF(AA1215&lt;&gt;"",AA1215,0)</f>
        <v>3.7</v>
      </c>
      <c r="AL1215" s="153" t="n">
        <f aca="false">IF(AND($N1215="MND",$Q1215="EMBOQUE"),$M1215,IF(AND($N1215="VCA",$Q1215="LINEAR"),$M1215,IF(AND($N1215="VCA",$Q1215="PREDIAL"),0,0)))</f>
        <v>31.15</v>
      </c>
      <c r="AM1215" s="153" t="n">
        <f aca="false">IF(AND($N1215="MND",$Q1215="EMBOQUE"),$M1215,IF(AND($N1215="VCA",$Q1215="LINEAR"),$M1215,IF(AND($N1215="VCA",$Q1215="PREDIAL"),0,0)))</f>
        <v>31.15</v>
      </c>
      <c r="AN1215" s="153" t="n">
        <f aca="false">ROUND(IF(AND($N1215="VCA",$M1215&lt;&gt;"",$Q1215="LINEAR"),$M1215/100,IF(AND($N1215="MND",$M1215&gt;100,$Q1215="EMBOQUE"),$M1215/100,0)),0)</f>
        <v>0</v>
      </c>
      <c r="AO1215" s="153" t="n">
        <f aca="false">IF(AND($N1215="MND",$Q1215="EMBOQUE"),$AN1215*2*2,IF(AND($N1215="VCA",$Q1215="LINEAR"),$M1215*2,IF(AND($N1215="VCA",$Q1215="PREDIAL"),0,0)))</f>
        <v>62.3</v>
      </c>
      <c r="AP1215" s="153" t="n">
        <f aca="false">IFERROR($M1215*$AF1215*$AG1215,0)</f>
        <v>27.5973425</v>
      </c>
      <c r="AQ1215" s="153" t="n">
        <f aca="false">IFERROR(IF(AND($N1215="VCA",$AH1215&gt;0),$M1215*$AG1215*$AH1215,0),0)</f>
        <v>2.02475</v>
      </c>
      <c r="AR1215" s="153" t="n">
        <f aca="false">IFERROR(IF(AND($N1215="VCA",$AJ1215&gt;0),($M1215*$AG1215*$AJ1215)-$AI1215,0),0)</f>
        <v>7.25274030857716</v>
      </c>
      <c r="AS1215" s="153" t="n">
        <f aca="false">IFERROR(IF(AND($N1215="VCA",$AP1215&gt;0),$AP1215-$AI1215-$AQ1215-$AR1215,0),0)</f>
        <v>18.22275</v>
      </c>
      <c r="AT1215" s="153" t="n">
        <f aca="false">IFERROR(IF($N1215="VCA",INDEX(APOIO_REDES!$A:$W,MATCH($C1215&amp;$I1215&amp;$H1215&amp;$N1215&amp;$O1215,APOIO_REDES!$W:$W,0),MATCH(AT$5,APOIO_REDES!$5:$5,0)),0)*$AP1215,0)</f>
        <v>0.300267254796425</v>
      </c>
      <c r="AU1215" s="153" t="n">
        <f aca="false">IFERROR(IF($N1215="VCA",INDEX(APOIO_REDES!$A:$W,MATCH($C1215&amp;$I1215&amp;$H1215&amp;$N1215&amp;$O1215,APOIO_REDES!$W:$W,0),MATCH(AU$5,APOIO_REDES!$5:$5,0)),0)*$AP1215,0)</f>
        <v>0.239785297411827</v>
      </c>
      <c r="AV1215" s="153" t="n">
        <f aca="false">IFERROR(IF($N1215="VCA",INDEX(APOIO_REDES!$A:$W,MATCH($C1215&amp;$I1215&amp;$H1215&amp;$N1215&amp;$O1215,APOIO_REDES!$W:$W,0),MATCH(AV$5,APOIO_REDES!$5:$5,0)),0)*$AP1215,0)</f>
        <v>0.0331844027734073</v>
      </c>
      <c r="AW1215" s="153" t="n">
        <f aca="false">IFERROR(IF($N1215="VCA",INDEX(APOIO_REDES!$A:$W,MATCH($C1215&amp;$I1215&amp;$H1215&amp;$N1215&amp;$O1215,APOIO_REDES!$W:$W,0),MATCH(AW$5,APOIO_REDES!$5:$5,0)),0)*$AP1215,0)</f>
        <v>18.9430297266443</v>
      </c>
      <c r="AX1215" s="153" t="n">
        <f aca="false">IFERROR(IF($N1215="VCA",INDEX(APOIO_REDES!$A:$W,MATCH($C1215&amp;$I1215&amp;$H1215&amp;$N1215&amp;$O1215,APOIO_REDES!$W:$W,0),MATCH(AX$5,APOIO_REDES!$5:$5,0)),0)*$AP1215,0)</f>
        <v>2.62166135392599</v>
      </c>
      <c r="AY1215" s="153" t="n">
        <f aca="false">IFERROR(IF($N1215="VCA",INDEX(APOIO_REDES!$A:$W,MATCH($C1215&amp;$I1215&amp;$H1215&amp;$N1215&amp;$O1215,APOIO_REDES!$W:$W,0),MATCH(AY$5,APOIO_REDES!$5:$5,0)),0)*$AP1215,0)</f>
        <v>4.7957030252732</v>
      </c>
      <c r="AZ1215" s="153" t="n">
        <f aca="false">IFERROR(IF($N1215="VCA",INDEX(APOIO_REDES!$A:$W,MATCH($C1215&amp;$I1215&amp;$H1215&amp;$N1215&amp;$O1215,APOIO_REDES!$W:$W,0),MATCH(AZ$5,APOIO_REDES!$5:$5,0)),0)*$AP1215,0)</f>
        <v>0.663711439174848</v>
      </c>
      <c r="BA1215" s="153" t="n">
        <f aca="false">IFERROR(IF(AND($N1215="VCA",$Q1215="LINEAR"),INDEX(APOIO_REDES!$A:$W,MATCH($C1215&amp;$I1215&amp;$H1215&amp;$N1215&amp;$O1215,APOIO_REDES!$W:$W,0),MATCH(BA$5,APOIO_REDES!$5:$5,0)),IF(AND($N1215="MND",$Q1215="EMBOQUE"),INDEX(APOIO_REDES!$A:$W,MATCH($C1215&amp;$I1215&amp;$H1215&amp;$N1215&amp;$O1215,APOIO_REDES!$W:$W,0),MATCH(BA$5,APOIO_REDES!$5:$5,0)),0))*$M1215/10,0)</f>
        <v>2.51061142661016</v>
      </c>
      <c r="BB1215" s="153" t="n">
        <f aca="false">IFERROR(IF($N1215="VCA",INDEX(APOIO_REDES!$A:$W,MATCH($C1215&amp;$I1215&amp;$H1215&amp;$N1215&amp;$O1215,APOIO_REDES!$W:$W,0),MATCH(BB$5,APOIO_REDES!$5:$5,0)),0)*($AI1215+$AQ1215+$AR1215),0)</f>
        <v>9.27259415886226</v>
      </c>
      <c r="BC1215" s="153" t="n">
        <f aca="false">IFERROR(IF($N1215="VCA",INDEX(APOIO_REDES!$A:$W,MATCH($C1215&amp;$I1215&amp;$H1215&amp;$N1215&amp;$O1215,APOIO_REDES!$W:$W,0),MATCH(BC$5,APOIO_REDES!$5:$5,0)),0)*($AI1215+$AQ1215+$AR1215),0)</f>
        <v>0.101998341137744</v>
      </c>
      <c r="BD1215" s="153" t="n">
        <f aca="false">IF(AND($N1215="VCA",$AF1215&gt;=1.25,$AF1215&lt;1.5),$M1215*$AF1215*2,0)</f>
        <v>84.9149</v>
      </c>
      <c r="BE1215" s="153" t="n">
        <f aca="false">IF(AND($N1215="VCA",$AF1215&gt;=1.5,$AF1215&lt;3),$M1215*$AF1215*2,0)</f>
        <v>0</v>
      </c>
      <c r="BF1215" s="153" t="n">
        <f aca="false">IF(AND($N1215="VCA",$AF1215&gt;=3),$M1215*$AF1215*2,0)</f>
        <v>0</v>
      </c>
      <c r="BG1215" s="153" t="n">
        <f aca="false">($BB1215+$BC1215)*$AK1215</f>
        <v>34.68599225</v>
      </c>
      <c r="BH1215" s="153" t="n">
        <f aca="false">IF(AND($M1215&lt;&gt;"",$N1215="VCA",$Q1215="LINEAR"),($M1215*2)/100,IF(AND($M1215&lt;&gt;"",$N1215="MND",$Q1215="EMBOQUE"),($AN1215*2)/100,0))</f>
        <v>0.623</v>
      </c>
      <c r="BI1215" s="153" t="n">
        <f aca="false">IF(AND($M1215&lt;&gt;"",$N1215="VCA",$Q1215="LINEAR"),$M1215,IF(AND($M1215&lt;&gt;"",$N1215="MND",$Q1215="EMBOQUE"),$AN1215*2,0))</f>
        <v>31.15</v>
      </c>
      <c r="BJ1215" s="153" t="n">
        <f aca="false">IF(AND($M1215&lt;&gt;"",$N1215="VCA",$Q1215="LINEAR"),($M1215*6.8)/100,IF(AND($M1215&lt;&gt;"",$N1215="MND",$Q1215="EMBOQUE"),($AN1215*2*6.8)/100,0))</f>
        <v>2.1182</v>
      </c>
      <c r="BK1215" s="153" t="n">
        <f aca="false">IF(AND($M1215&lt;&gt;"",$N1215="VCA",$Q1215="LINEAR"),($M1215*2.5)/50,IF(AND($M1215&lt;&gt;"",$N1215="MND",$Q1215="EMBOQUE"),($AN1215*2*2.5)/50,0))</f>
        <v>1.5575</v>
      </c>
      <c r="BL1215" s="157" t="str">
        <f aca="false">K1215&amp;J1215</f>
        <v>Zona11REDES</v>
      </c>
      <c r="BM1215" s="152" t="s">
        <v>6084</v>
      </c>
      <c r="BN1215" s="152" t="s">
        <v>1560</v>
      </c>
      <c r="BO1215" s="152" t="s">
        <v>4218</v>
      </c>
      <c r="BP1215" s="152" t="s">
        <v>6136</v>
      </c>
      <c r="BQ1215" s="152" t="s">
        <v>6117</v>
      </c>
      <c r="BR1215" s="152" t="s">
        <v>6137</v>
      </c>
      <c r="BS1215" s="152" t="n">
        <v>204244.26</v>
      </c>
      <c r="BT1215" s="152" t="n">
        <v>8236431.275</v>
      </c>
      <c r="BU1215" s="152" t="n">
        <v>204236.067</v>
      </c>
      <c r="BV1215" s="152" t="n">
        <v>8236461.331</v>
      </c>
      <c r="BW1215" s="152" t="n">
        <v>-15.933642</v>
      </c>
      <c r="BX1215" s="152" t="n">
        <v>-47.7625026</v>
      </c>
      <c r="BY1215" s="152" t="s">
        <v>6136</v>
      </c>
    </row>
    <row r="1216" customFormat="false" ht="13.8" hidden="false" customHeight="false" outlineLevel="0" collapsed="false">
      <c r="A1216" s="149" t="n">
        <f aca="false">IF(C1216&lt;&gt;"",ROW(A1211),"")</f>
        <v>1211</v>
      </c>
      <c r="B1216" s="150" t="str">
        <f aca="false">HYPERLINK("https://www.google.com/maps/dir/-15.917302,-47.760003/-15.9338831,-47.7629458/data=!4m3!4m2!3e0!5i2")</f>
        <v>https://www.google.com/maps/dir/-15.917302,-47.760003/-15.9338831,-47.7629458/data=!4m3!4m2!3e0!5i2</v>
      </c>
      <c r="C1216" s="151" t="s">
        <v>117</v>
      </c>
      <c r="D1216" s="152" t="s">
        <v>112</v>
      </c>
      <c r="E1216" s="152" t="s">
        <v>113</v>
      </c>
      <c r="F1216" s="152" t="s">
        <v>117</v>
      </c>
      <c r="G1216" s="152" t="s">
        <v>782</v>
      </c>
      <c r="H1216" s="152" t="n">
        <v>63</v>
      </c>
      <c r="I1216" s="152" t="s">
        <v>115</v>
      </c>
      <c r="J1216" s="152" t="s">
        <v>6</v>
      </c>
      <c r="K1216" s="152" t="s">
        <v>6081</v>
      </c>
      <c r="L1216" s="152" t="s">
        <v>120</v>
      </c>
      <c r="M1216" s="153" t="n">
        <f aca="false">52.69</f>
        <v>52.69</v>
      </c>
      <c r="N1216" s="152" t="s">
        <v>1548</v>
      </c>
      <c r="O1216" s="152" t="s">
        <v>1549</v>
      </c>
      <c r="P1216" s="152" t="s">
        <v>1550</v>
      </c>
      <c r="Q1216" s="152" t="s">
        <v>1551</v>
      </c>
      <c r="R1216" s="154" t="s">
        <v>6138</v>
      </c>
      <c r="S1216" s="154" t="s">
        <v>1553</v>
      </c>
      <c r="T1216" s="155" t="s">
        <v>4216</v>
      </c>
      <c r="U1216" s="152" t="str">
        <f aca="false">RIGHT(T1216,7)</f>
        <v>019/037</v>
      </c>
      <c r="V1216" s="152" t="s">
        <v>1555</v>
      </c>
      <c r="W1216" s="156" t="n">
        <v>45882</v>
      </c>
      <c r="X1216" s="152" t="s">
        <v>1594</v>
      </c>
      <c r="Y1216" s="152"/>
      <c r="Z1216" s="152" t="s">
        <v>1557</v>
      </c>
      <c r="AA1216" s="153" t="n">
        <v>3.7</v>
      </c>
      <c r="AB1216" s="151" t="s">
        <v>6139</v>
      </c>
      <c r="AC1216" s="151" t="s">
        <v>186</v>
      </c>
      <c r="AD1216" s="151" t="str">
        <f aca="false">CONCATENATE($C1216,$I1216,$H1216,$N1216,$J1216,$K1216)</f>
        <v>TUBO PEADPEAD63VCAREDESZona11</v>
      </c>
      <c r="AE1216" s="153" t="n">
        <f aca="false">IFERROR(INDEX(APOIO_REDES!$A:$W,MATCH($C1216&amp;$I1216&amp;$H1216&amp;$N1216&amp;$O1216,APOIO_REDES!$W:$W,0),MATCH(AE$5,APOIO_REDES!$5:$5,0)),0)</f>
        <v>1.2</v>
      </c>
      <c r="AF1216" s="153" t="n">
        <f aca="false">IFERROR(INDEX(APOIO_REDES!$A:$W,MATCH($C1216&amp;$I1216&amp;$H1216&amp;$N1216&amp;$O1216,APOIO_REDES!$W:$W,0),MATCH(AF$5,APOIO_REDES!$5:$5,0)),0)</f>
        <v>1.363</v>
      </c>
      <c r="AG1216" s="153" t="n">
        <f aca="false">IFERROR(INDEX(APOIO_REDES!$A:$W,MATCH($C1216&amp;$I1216&amp;$H1216&amp;$N1216&amp;$O1216,APOIO_REDES!$W:$W,0),MATCH(AG$5,APOIO_REDES!$5:$5,0)),0)</f>
        <v>0.65</v>
      </c>
      <c r="AH1216" s="153" t="n">
        <f aca="false">IFERROR(INDEX(APOIO_REDES!$A:$W,MATCH($C1216&amp;$I1216&amp;$H1216&amp;$N1216&amp;$O1216,APOIO_REDES!$W:$W,0),MATCH(AH$5,APOIO_REDES!$5:$5,0)),0)</f>
        <v>0.1</v>
      </c>
      <c r="AI1216" s="153" t="n">
        <f aca="false">IFERROR(IF($H1216&lt;&gt;"",(((($H1216/1000)/2)^2)*PI()*$M1216),0),0)</f>
        <v>0.164247655411534</v>
      </c>
      <c r="AJ1216" s="153" t="n">
        <f aca="false">IFERROR(IF(AND($H1216&lt;&gt;"",$I1216="FoFo",OR($N1216="MND",$N1216="VCA"),$Q1216="LINEAR"),0,IF(AND($H1216&lt;&gt;"",$I1216="PEAD",$N1216="VCA",$Q1216="LINEAR"),($H1216/1000)+0.3,IF(AND($H1216&lt;&gt;"",$I1216="PEAD",$N1216="MND",$Q1216="EMBOQUE"),0,IF(AND($H1216&lt;&gt;"",$I1216="PVC",$N1216="VCA",$Q1216="LINEAR"),($H1216/1000)+0.2,IF(AND($H1216&lt;&gt;"",$I1216="PVC",$N1216="MND",$Q1216="EMBOQUE"),0,IF(AND($H1216&lt;&gt;"",$I1216="PEAD",$N1216="VCA",$Q1216="PREDIAL"),0,0)))))),0)</f>
        <v>0.363</v>
      </c>
      <c r="AK1216" s="153" t="n">
        <f aca="false">IF(AA1216&lt;&gt;"",AA1216,0)</f>
        <v>3.7</v>
      </c>
      <c r="AL1216" s="153" t="n">
        <f aca="false">IF(AND($N1216="MND",$Q1216="EMBOQUE"),$M1216,IF(AND($N1216="VCA",$Q1216="LINEAR"),$M1216,IF(AND($N1216="VCA",$Q1216="PREDIAL"),0,0)))</f>
        <v>52.69</v>
      </c>
      <c r="AM1216" s="153" t="n">
        <f aca="false">IF(AND($N1216="MND",$Q1216="EMBOQUE"),$M1216,IF(AND($N1216="VCA",$Q1216="LINEAR"),$M1216,IF(AND($N1216="VCA",$Q1216="PREDIAL"),0,0)))</f>
        <v>52.69</v>
      </c>
      <c r="AN1216" s="153" t="n">
        <f aca="false">ROUND(IF(AND($N1216="VCA",$M1216&lt;&gt;"",$Q1216="LINEAR"),$M1216/100,IF(AND($N1216="MND",$M1216&gt;100,$Q1216="EMBOQUE"),$M1216/100,0)),0)</f>
        <v>1</v>
      </c>
      <c r="AO1216" s="153" t="n">
        <f aca="false">IF(AND($N1216="MND",$Q1216="EMBOQUE"),$AN1216*2*2,IF(AND($N1216="VCA",$Q1216="LINEAR"),$M1216*2,IF(AND($N1216="VCA",$Q1216="PREDIAL"),0,0)))</f>
        <v>105.38</v>
      </c>
      <c r="AP1216" s="153" t="n">
        <f aca="false">IFERROR($M1216*$AF1216*$AG1216,0)</f>
        <v>46.6807055</v>
      </c>
      <c r="AQ1216" s="153" t="n">
        <f aca="false">IFERROR(IF(AND($N1216="VCA",$AH1216&gt;0),$M1216*$AG1216*$AH1216,0),0)</f>
        <v>3.42485</v>
      </c>
      <c r="AR1216" s="153" t="n">
        <f aca="false">IFERROR(IF(AND($N1216="VCA",$AJ1216&gt;0),($M1216*$AG1216*$AJ1216)-$AI1216,0),0)</f>
        <v>12.2679578445885</v>
      </c>
      <c r="AS1216" s="153" t="n">
        <f aca="false">IFERROR(IF(AND($N1216="VCA",$AP1216&gt;0),$AP1216-$AI1216-$AQ1216-$AR1216,0),0)</f>
        <v>30.82365</v>
      </c>
      <c r="AT1216" s="153" t="n">
        <f aca="false">IFERROR(IF($N1216="VCA",INDEX(APOIO_REDES!$A:$W,MATCH($C1216&amp;$I1216&amp;$H1216&amp;$N1216&amp;$O1216,APOIO_REDES!$W:$W,0),MATCH(AT$5,APOIO_REDES!$5:$5,0)),0)*$AP1216,0)</f>
        <v>0.507899892623552</v>
      </c>
      <c r="AU1216" s="153" t="n">
        <f aca="false">IFERROR(IF($N1216="VCA",INDEX(APOIO_REDES!$A:$W,MATCH($C1216&amp;$I1216&amp;$H1216&amp;$N1216&amp;$O1216,APOIO_REDES!$W:$W,0),MATCH(AU$5,APOIO_REDES!$5:$5,0)),0)*$AP1216,0)</f>
        <v>0.405595098575575</v>
      </c>
      <c r="AV1216" s="153" t="n">
        <f aca="false">IFERROR(IF($N1216="VCA",INDEX(APOIO_REDES!$A:$W,MATCH($C1216&amp;$I1216&amp;$H1216&amp;$N1216&amp;$O1216,APOIO_REDES!$W:$W,0),MATCH(AV$5,APOIO_REDES!$5:$5,0)),0)*$AP1216,0)</f>
        <v>0.0561311775964954</v>
      </c>
      <c r="AW1216" s="153" t="n">
        <f aca="false">IFERROR(IF($N1216="VCA",INDEX(APOIO_REDES!$A:$W,MATCH($C1216&amp;$I1216&amp;$H1216&amp;$N1216&amp;$O1216,APOIO_REDES!$W:$W,0),MATCH(AW$5,APOIO_REDES!$5:$5,0)),0)*$AP1216,0)</f>
        <v>32.0419979549563</v>
      </c>
      <c r="AX1216" s="153" t="n">
        <f aca="false">IFERROR(IF($N1216="VCA",INDEX(APOIO_REDES!$A:$W,MATCH($C1216&amp;$I1216&amp;$H1216&amp;$N1216&amp;$O1216,APOIO_REDES!$W:$W,0),MATCH(AX$5,APOIO_REDES!$5:$5,0)),0)*$AP1216,0)</f>
        <v>4.43452124360707</v>
      </c>
      <c r="AY1216" s="153" t="n">
        <f aca="false">IFERROR(IF($N1216="VCA",INDEX(APOIO_REDES!$A:$W,MATCH($C1216&amp;$I1216&amp;$H1216&amp;$N1216&amp;$O1216,APOIO_REDES!$W:$W,0),MATCH(AY$5,APOIO_REDES!$5:$5,0)),0)*$AP1216,0)</f>
        <v>8.11189702734012</v>
      </c>
      <c r="AZ1216" s="153" t="n">
        <f aca="false">IFERROR(IF($N1216="VCA",INDEX(APOIO_REDES!$A:$W,MATCH($C1216&amp;$I1216&amp;$H1216&amp;$N1216&amp;$O1216,APOIO_REDES!$W:$W,0),MATCH(AZ$5,APOIO_REDES!$5:$5,0)),0)*$AP1216,0)</f>
        <v>1.12266310530089</v>
      </c>
      <c r="BA1216" s="153" t="n">
        <f aca="false">IFERROR(IF(AND($N1216="VCA",$Q1216="LINEAR"),INDEX(APOIO_REDES!$A:$W,MATCH($C1216&amp;$I1216&amp;$H1216&amp;$N1216&amp;$O1216,APOIO_REDES!$W:$W,0),MATCH(BA$5,APOIO_REDES!$5:$5,0)),IF(AND($N1216="MND",$Q1216="EMBOQUE"),INDEX(APOIO_REDES!$A:$W,MATCH($C1216&amp;$I1216&amp;$H1216&amp;$N1216&amp;$O1216,APOIO_REDES!$W:$W,0),MATCH(BA$5,APOIO_REDES!$5:$5,0)),0))*$M1216/10,0)</f>
        <v>4.24668109367862</v>
      </c>
      <c r="BB1216" s="153" t="n">
        <f aca="false">IFERROR(IF($N1216="VCA",INDEX(APOIO_REDES!$A:$W,MATCH($C1216&amp;$I1216&amp;$H1216&amp;$N1216&amp;$O1216,APOIO_REDES!$W:$W,0),MATCH(BB$5,APOIO_REDES!$5:$5,0)),0)*($AI1216+$AQ1216+$AR1216),0)</f>
        <v>15.6845260427112</v>
      </c>
      <c r="BC1216" s="153" t="n">
        <f aca="false">IFERROR(IF($N1216="VCA",INDEX(APOIO_REDES!$A:$W,MATCH($C1216&amp;$I1216&amp;$H1216&amp;$N1216&amp;$O1216,APOIO_REDES!$W:$W,0),MATCH(BC$5,APOIO_REDES!$5:$5,0)),0)*($AI1216+$AQ1216+$AR1216),0)</f>
        <v>0.172529457288851</v>
      </c>
      <c r="BD1216" s="153" t="n">
        <f aca="false">IF(AND($N1216="VCA",$AF1216&gt;=1.25,$AF1216&lt;1.5),$M1216*$AF1216*2,0)</f>
        <v>143.63294</v>
      </c>
      <c r="BE1216" s="153" t="n">
        <f aca="false">IF(AND($N1216="VCA",$AF1216&gt;=1.5,$AF1216&lt;3),$M1216*$AF1216*2,0)</f>
        <v>0</v>
      </c>
      <c r="BF1216" s="153" t="n">
        <f aca="false">IF(AND($N1216="VCA",$AF1216&gt;=3),$M1216*$AF1216*2,0)</f>
        <v>0</v>
      </c>
      <c r="BG1216" s="153" t="n">
        <f aca="false">($BB1216+$BC1216)*$AK1216</f>
        <v>58.67110535</v>
      </c>
      <c r="BH1216" s="153" t="n">
        <f aca="false">IF(AND($M1216&lt;&gt;"",$N1216="VCA",$Q1216="LINEAR"),($M1216*2)/100,IF(AND($M1216&lt;&gt;"",$N1216="MND",$Q1216="EMBOQUE"),($AN1216*2)/100,0))</f>
        <v>1.0538</v>
      </c>
      <c r="BI1216" s="153" t="n">
        <f aca="false">IF(AND($M1216&lt;&gt;"",$N1216="VCA",$Q1216="LINEAR"),$M1216,IF(AND($M1216&lt;&gt;"",$N1216="MND",$Q1216="EMBOQUE"),$AN1216*2,0))</f>
        <v>52.69</v>
      </c>
      <c r="BJ1216" s="153" t="n">
        <f aca="false">IF(AND($M1216&lt;&gt;"",$N1216="VCA",$Q1216="LINEAR"),($M1216*6.8)/100,IF(AND($M1216&lt;&gt;"",$N1216="MND",$Q1216="EMBOQUE"),($AN1216*2*6.8)/100,0))</f>
        <v>3.58292</v>
      </c>
      <c r="BK1216" s="153" t="n">
        <f aca="false">IF(AND($M1216&lt;&gt;"",$N1216="VCA",$Q1216="LINEAR"),($M1216*2.5)/50,IF(AND($M1216&lt;&gt;"",$N1216="MND",$Q1216="EMBOQUE"),($AN1216*2*2.5)/50,0))</f>
        <v>2.6345</v>
      </c>
      <c r="BL1216" s="157" t="str">
        <f aca="false">K1216&amp;J1216</f>
        <v>Zona11REDES</v>
      </c>
      <c r="BM1216" s="152" t="s">
        <v>6084</v>
      </c>
      <c r="BN1216" s="152" t="s">
        <v>1560</v>
      </c>
      <c r="BO1216" s="152" t="s">
        <v>4218</v>
      </c>
      <c r="BP1216" s="152" t="s">
        <v>6140</v>
      </c>
      <c r="BQ1216" s="152" t="s">
        <v>6136</v>
      </c>
      <c r="BR1216" s="152" t="s">
        <v>6141</v>
      </c>
      <c r="BS1216" s="152" t="n">
        <v>204193.026</v>
      </c>
      <c r="BT1216" s="152" t="n">
        <v>8236418.973</v>
      </c>
      <c r="BU1216" s="152" t="n">
        <v>204244.26</v>
      </c>
      <c r="BV1216" s="152" t="n">
        <v>8236431.275</v>
      </c>
      <c r="BW1216" s="152" t="n">
        <v>-15.9338311</v>
      </c>
      <c r="BX1216" s="152" t="n">
        <v>-47.762706</v>
      </c>
      <c r="BY1216" s="152" t="s">
        <v>6140</v>
      </c>
    </row>
    <row r="1217" customFormat="false" ht="13.8" hidden="false" customHeight="false" outlineLevel="0" collapsed="false">
      <c r="A1217" s="149" t="n">
        <f aca="false">IF(C1217&lt;&gt;"",ROW(A1212),"")</f>
        <v>1212</v>
      </c>
      <c r="B1217" s="150" t="str">
        <f aca="false">HYPERLINK("https://www.google.com/maps/dir/-15.917302,-47.760003/-15.9342839,-47.7618349/data=!4m3!4m2!3e0!5i2")</f>
        <v>https://www.google.com/maps/dir/-15.917302,-47.760003/-15.9342839,-47.7618349/data=!4m3!4m2!3e0!5i2</v>
      </c>
      <c r="C1217" s="151" t="s">
        <v>117</v>
      </c>
      <c r="D1217" s="152" t="s">
        <v>112</v>
      </c>
      <c r="E1217" s="152" t="s">
        <v>113</v>
      </c>
      <c r="F1217" s="152" t="s">
        <v>117</v>
      </c>
      <c r="G1217" s="152" t="s">
        <v>782</v>
      </c>
      <c r="H1217" s="152" t="n">
        <v>63</v>
      </c>
      <c r="I1217" s="152" t="s">
        <v>115</v>
      </c>
      <c r="J1217" s="152" t="s">
        <v>6</v>
      </c>
      <c r="K1217" s="152" t="s">
        <v>6081</v>
      </c>
      <c r="L1217" s="152" t="s">
        <v>120</v>
      </c>
      <c r="M1217" s="153" t="n">
        <f aca="false">89.62+0.36</f>
        <v>89.98</v>
      </c>
      <c r="N1217" s="152" t="s">
        <v>1548</v>
      </c>
      <c r="O1217" s="152" t="s">
        <v>1549</v>
      </c>
      <c r="P1217" s="152" t="s">
        <v>1550</v>
      </c>
      <c r="Q1217" s="152" t="s">
        <v>1551</v>
      </c>
      <c r="R1217" s="154" t="s">
        <v>6142</v>
      </c>
      <c r="S1217" s="154" t="s">
        <v>1553</v>
      </c>
      <c r="T1217" s="155" t="s">
        <v>4216</v>
      </c>
      <c r="U1217" s="152" t="str">
        <f aca="false">RIGHT(T1217,7)</f>
        <v>019/037</v>
      </c>
      <c r="V1217" s="152" t="s">
        <v>1555</v>
      </c>
      <c r="W1217" s="156" t="n">
        <v>45882</v>
      </c>
      <c r="X1217" s="152" t="s">
        <v>3938</v>
      </c>
      <c r="Y1217" s="152" t="s">
        <v>6143</v>
      </c>
      <c r="Z1217" s="152" t="s">
        <v>1557</v>
      </c>
      <c r="AA1217" s="153" t="n">
        <v>3.7</v>
      </c>
      <c r="AB1217" s="151" t="s">
        <v>6144</v>
      </c>
      <c r="AC1217" s="151" t="s">
        <v>186</v>
      </c>
      <c r="AD1217" s="151" t="str">
        <f aca="false">CONCATENATE($C1217,$I1217,$H1217,$N1217,$J1217,$K1217)</f>
        <v>TUBO PEADPEAD63VCAREDESZona11</v>
      </c>
      <c r="AE1217" s="153" t="n">
        <f aca="false">IFERROR(INDEX(APOIO_REDES!$A:$W,MATCH($C1217&amp;$I1217&amp;$H1217&amp;$N1217&amp;$O1217,APOIO_REDES!$W:$W,0),MATCH(AE$5,APOIO_REDES!$5:$5,0)),0)</f>
        <v>1.2</v>
      </c>
      <c r="AF1217" s="153" t="n">
        <f aca="false">IFERROR(INDEX(APOIO_REDES!$A:$W,MATCH($C1217&amp;$I1217&amp;$H1217&amp;$N1217&amp;$O1217,APOIO_REDES!$W:$W,0),MATCH(AF$5,APOIO_REDES!$5:$5,0)),0)</f>
        <v>1.363</v>
      </c>
      <c r="AG1217" s="153" t="n">
        <f aca="false">IFERROR(INDEX(APOIO_REDES!$A:$W,MATCH($C1217&amp;$I1217&amp;$H1217&amp;$N1217&amp;$O1217,APOIO_REDES!$W:$W,0),MATCH(AG$5,APOIO_REDES!$5:$5,0)),0)</f>
        <v>0.65</v>
      </c>
      <c r="AH1217" s="153" t="n">
        <f aca="false">IFERROR(INDEX(APOIO_REDES!$A:$W,MATCH($C1217&amp;$I1217&amp;$H1217&amp;$N1217&amp;$O1217,APOIO_REDES!$W:$W,0),MATCH(AH$5,APOIO_REDES!$5:$5,0)),0)</f>
        <v>0.1</v>
      </c>
      <c r="AI1217" s="153" t="n">
        <f aca="false">IFERROR(IF($H1217&lt;&gt;"",(((($H1217/1000)/2)^2)*PI()*$M1217),0),0)</f>
        <v>0.280489733040992</v>
      </c>
      <c r="AJ1217" s="153" t="n">
        <f aca="false">IFERROR(IF(AND($H1217&lt;&gt;"",$I1217="FoFo",OR($N1217="MND",$N1217="VCA"),$Q1217="LINEAR"),0,IF(AND($H1217&lt;&gt;"",$I1217="PEAD",$N1217="VCA",$Q1217="LINEAR"),($H1217/1000)+0.3,IF(AND($H1217&lt;&gt;"",$I1217="PEAD",$N1217="MND",$Q1217="EMBOQUE"),0,IF(AND($H1217&lt;&gt;"",$I1217="PVC",$N1217="VCA",$Q1217="LINEAR"),($H1217/1000)+0.2,IF(AND($H1217&lt;&gt;"",$I1217="PVC",$N1217="MND",$Q1217="EMBOQUE"),0,IF(AND($H1217&lt;&gt;"",$I1217="PEAD",$N1217="VCA",$Q1217="PREDIAL"),0,0)))))),0)</f>
        <v>0.363</v>
      </c>
      <c r="AK1217" s="153" t="n">
        <f aca="false">IF(AA1217&lt;&gt;"",AA1217,0)</f>
        <v>3.7</v>
      </c>
      <c r="AL1217" s="153" t="n">
        <f aca="false">IF(AND($N1217="MND",$Q1217="EMBOQUE"),$M1217,IF(AND($N1217="VCA",$Q1217="LINEAR"),$M1217,IF(AND($N1217="VCA",$Q1217="PREDIAL"),0,0)))</f>
        <v>89.98</v>
      </c>
      <c r="AM1217" s="153" t="n">
        <f aca="false">IF(AND($N1217="MND",$Q1217="EMBOQUE"),$M1217,IF(AND($N1217="VCA",$Q1217="LINEAR"),$M1217,IF(AND($N1217="VCA",$Q1217="PREDIAL"),0,0)))</f>
        <v>89.98</v>
      </c>
      <c r="AN1217" s="153" t="n">
        <f aca="false">ROUND(IF(AND($N1217="VCA",$M1217&lt;&gt;"",$Q1217="LINEAR"),$M1217/100,IF(AND($N1217="MND",$M1217&gt;100,$Q1217="EMBOQUE"),$M1217/100,0)),0)</f>
        <v>1</v>
      </c>
      <c r="AO1217" s="153" t="n">
        <f aca="false">IF(AND($N1217="MND",$Q1217="EMBOQUE"),$AN1217*2*2,IF(AND($N1217="VCA",$Q1217="LINEAR"),$M1217*2,IF(AND($N1217="VCA",$Q1217="PREDIAL"),0,0)))</f>
        <v>179.96</v>
      </c>
      <c r="AP1217" s="153" t="n">
        <f aca="false">IFERROR($M1217*$AF1217*$AG1217,0)</f>
        <v>79.717781</v>
      </c>
      <c r="AQ1217" s="153" t="n">
        <f aca="false">IFERROR(IF(AND($N1217="VCA",$AH1217&gt;0),$M1217*$AG1217*$AH1217,0),0)</f>
        <v>5.8487</v>
      </c>
      <c r="AR1217" s="153" t="n">
        <f aca="false">IFERROR(IF(AND($N1217="VCA",$AJ1217&gt;0),($M1217*$AG1217*$AJ1217)-$AI1217,0),0)</f>
        <v>20.950291266959</v>
      </c>
      <c r="AS1217" s="153" t="n">
        <f aca="false">IFERROR(IF(AND($N1217="VCA",$AP1217&gt;0),$AP1217-$AI1217-$AQ1217-$AR1217,0),0)</f>
        <v>52.6383</v>
      </c>
      <c r="AT1217" s="153" t="n">
        <f aca="false">IFERROR(IF($N1217="VCA",INDEX(APOIO_REDES!$A:$W,MATCH($C1217&amp;$I1217&amp;$H1217&amp;$N1217&amp;$O1217,APOIO_REDES!$W:$W,0),MATCH(AT$5,APOIO_REDES!$5:$5,0)),0)*$AP1217,0)</f>
        <v>0.867353052538759</v>
      </c>
      <c r="AU1217" s="153" t="n">
        <f aca="false">IFERROR(IF($N1217="VCA",INDEX(APOIO_REDES!$A:$W,MATCH($C1217&amp;$I1217&amp;$H1217&amp;$N1217&amp;$O1217,APOIO_REDES!$W:$W,0),MATCH(AU$5,APOIO_REDES!$5:$5,0)),0)*$AP1217,0)</f>
        <v>0.692644656857662</v>
      </c>
      <c r="AV1217" s="153" t="n">
        <f aca="false">IFERROR(IF($N1217="VCA",INDEX(APOIO_REDES!$A:$W,MATCH($C1217&amp;$I1217&amp;$H1217&amp;$N1217&amp;$O1217,APOIO_REDES!$W:$W,0),MATCH(AV$5,APOIO_REDES!$5:$5,0)),0)*$AP1217,0)</f>
        <v>0.0958565830353512</v>
      </c>
      <c r="AW1217" s="153" t="n">
        <f aca="false">IFERROR(IF($N1217="VCA",INDEX(APOIO_REDES!$A:$W,MATCH($C1217&amp;$I1217&amp;$H1217&amp;$N1217&amp;$O1217,APOIO_REDES!$W:$W,0),MATCH(AW$5,APOIO_REDES!$5:$5,0)),0)*$AP1217,0)</f>
        <v>54.7189025619087</v>
      </c>
      <c r="AX1217" s="153" t="n">
        <f aca="false">IFERROR(IF($N1217="VCA",INDEX(APOIO_REDES!$A:$W,MATCH($C1217&amp;$I1217&amp;$H1217&amp;$N1217&amp;$O1217,APOIO_REDES!$W:$W,0),MATCH(AX$5,APOIO_REDES!$5:$5,0)),0)*$AP1217,0)</f>
        <v>7.57294024482377</v>
      </c>
      <c r="AY1217" s="153" t="n">
        <f aca="false">IFERROR(IF($N1217="VCA",INDEX(APOIO_REDES!$A:$W,MATCH($C1217&amp;$I1217&amp;$H1217&amp;$N1217&amp;$O1217,APOIO_REDES!$W:$W,0),MATCH(AY$5,APOIO_REDES!$5:$5,0)),0)*$AP1217,0)</f>
        <v>13.852884693871</v>
      </c>
      <c r="AZ1217" s="153" t="n">
        <f aca="false">IFERROR(IF($N1217="VCA",INDEX(APOIO_REDES!$A:$W,MATCH($C1217&amp;$I1217&amp;$H1217&amp;$N1217&amp;$O1217,APOIO_REDES!$W:$W,0),MATCH(AZ$5,APOIO_REDES!$5:$5,0)),0)*$AP1217,0)</f>
        <v>1.91719920696478</v>
      </c>
      <c r="BA1217" s="153" t="n">
        <f aca="false">IFERROR(IF(AND($N1217="VCA",$Q1217="LINEAR"),INDEX(APOIO_REDES!$A:$W,MATCH($C1217&amp;$I1217&amp;$H1217&amp;$N1217&amp;$O1217,APOIO_REDES!$W:$W,0),MATCH(BA$5,APOIO_REDES!$5:$5,0)),IF(AND($N1217="MND",$Q1217="EMBOQUE"),INDEX(APOIO_REDES!$A:$W,MATCH($C1217&amp;$I1217&amp;$H1217&amp;$N1217&amp;$O1217,APOIO_REDES!$W:$W,0),MATCH(BA$5,APOIO_REDES!$5:$5,0)),0))*$M1217/10,0)</f>
        <v>7.25216103262863</v>
      </c>
      <c r="BB1217" s="153" t="n">
        <f aca="false">IFERROR(IF($N1217="VCA",INDEX(APOIO_REDES!$A:$W,MATCH($C1217&amp;$I1217&amp;$H1217&amp;$N1217&amp;$O1217,APOIO_REDES!$W:$W,0),MATCH(BB$5,APOIO_REDES!$5:$5,0)),0)*($AI1217+$AQ1217+$AR1217),0)</f>
        <v>26.7848482316028</v>
      </c>
      <c r="BC1217" s="153" t="n">
        <f aca="false">IFERROR(IF($N1217="VCA",INDEX(APOIO_REDES!$A:$W,MATCH($C1217&amp;$I1217&amp;$H1217&amp;$N1217&amp;$O1217,APOIO_REDES!$W:$W,0),MATCH(BC$5,APOIO_REDES!$5:$5,0)),0)*($AI1217+$AQ1217+$AR1217),0)</f>
        <v>0.294632768397245</v>
      </c>
      <c r="BD1217" s="153" t="n">
        <f aca="false">IF(AND($N1217="VCA",$AF1217&gt;=1.25,$AF1217&lt;1.5),$M1217*$AF1217*2,0)</f>
        <v>245.28548</v>
      </c>
      <c r="BE1217" s="153" t="n">
        <f aca="false">IF(AND($N1217="VCA",$AF1217&gt;=1.5,$AF1217&lt;3),$M1217*$AF1217*2,0)</f>
        <v>0</v>
      </c>
      <c r="BF1217" s="153" t="n">
        <f aca="false">IF(AND($N1217="VCA",$AF1217&gt;=3),$M1217*$AF1217*2,0)</f>
        <v>0</v>
      </c>
      <c r="BG1217" s="153" t="n">
        <f aca="false">($BB1217+$BC1217)*$AK1217</f>
        <v>100.1940797</v>
      </c>
      <c r="BH1217" s="153" t="n">
        <f aca="false">IF(AND($M1217&lt;&gt;"",$N1217="VCA",$Q1217="LINEAR"),($M1217*2)/100,IF(AND($M1217&lt;&gt;"",$N1217="MND",$Q1217="EMBOQUE"),($AN1217*2)/100,0))</f>
        <v>1.7996</v>
      </c>
      <c r="BI1217" s="153" t="n">
        <f aca="false">IF(AND($M1217&lt;&gt;"",$N1217="VCA",$Q1217="LINEAR"),$M1217,IF(AND($M1217&lt;&gt;"",$N1217="MND",$Q1217="EMBOQUE"),$AN1217*2,0))</f>
        <v>89.98</v>
      </c>
      <c r="BJ1217" s="153" t="n">
        <f aca="false">IF(AND($M1217&lt;&gt;"",$N1217="VCA",$Q1217="LINEAR"),($M1217*6.8)/100,IF(AND($M1217&lt;&gt;"",$N1217="MND",$Q1217="EMBOQUE"),($AN1217*2*6.8)/100,0))</f>
        <v>6.11864</v>
      </c>
      <c r="BK1217" s="153" t="n">
        <f aca="false">IF(AND($M1217&lt;&gt;"",$N1217="VCA",$Q1217="LINEAR"),($M1217*2.5)/50,IF(AND($M1217&lt;&gt;"",$N1217="MND",$Q1217="EMBOQUE"),($AN1217*2*2.5)/50,0))</f>
        <v>4.499</v>
      </c>
      <c r="BL1217" s="157" t="str">
        <f aca="false">K1217&amp;J1217</f>
        <v>Zona11REDES</v>
      </c>
      <c r="BM1217" s="152" t="s">
        <v>6084</v>
      </c>
      <c r="BN1217" s="152" t="s">
        <v>1560</v>
      </c>
      <c r="BO1217" s="152" t="s">
        <v>4218</v>
      </c>
      <c r="BP1217" s="152" t="s">
        <v>6145</v>
      </c>
      <c r="BQ1217" s="152" t="s">
        <v>6122</v>
      </c>
      <c r="BR1217" s="152" t="s">
        <v>6146</v>
      </c>
      <c r="BS1217" s="152" t="n">
        <v>204312.642</v>
      </c>
      <c r="BT1217" s="152" t="n">
        <v>8236376.179</v>
      </c>
      <c r="BU1217" s="152" t="n">
        <v>204287.853</v>
      </c>
      <c r="BV1217" s="152" t="n">
        <v>8236462.292</v>
      </c>
      <c r="BW1217" s="152" t="n">
        <v>-15.9338923</v>
      </c>
      <c r="BX1217" s="152" t="n">
        <v>-47.7619403</v>
      </c>
      <c r="BY1217" s="152" t="s">
        <v>6145</v>
      </c>
    </row>
    <row r="1218" customFormat="false" ht="13.8" hidden="false" customHeight="false" outlineLevel="0" collapsed="false">
      <c r="A1218" s="149" t="n">
        <f aca="false">IF(C1218&lt;&gt;"",ROW(A1213),"")</f>
        <v>1213</v>
      </c>
      <c r="B1218" s="150" t="str">
        <f aca="false">HYPERLINK("https://www.google.com/maps/dir/-15.917302,-47.760003/-15.9338945,-47.7629884/data=!4m3!4m2!3e0!5i2")</f>
        <v>https://www.google.com/maps/dir/-15.917302,-47.760003/-15.9338945,-47.7629884/data=!4m3!4m2!3e0!5i2</v>
      </c>
      <c r="C1218" s="151" t="s">
        <v>117</v>
      </c>
      <c r="D1218" s="152" t="s">
        <v>112</v>
      </c>
      <c r="E1218" s="152" t="s">
        <v>113</v>
      </c>
      <c r="F1218" s="152" t="s">
        <v>117</v>
      </c>
      <c r="G1218" s="152" t="s">
        <v>782</v>
      </c>
      <c r="H1218" s="152" t="n">
        <v>63</v>
      </c>
      <c r="I1218" s="152" t="s">
        <v>115</v>
      </c>
      <c r="J1218" s="152" t="s">
        <v>6</v>
      </c>
      <c r="K1218" s="152" t="s">
        <v>6081</v>
      </c>
      <c r="L1218" s="152" t="s">
        <v>120</v>
      </c>
      <c r="M1218" s="153" t="n">
        <f aca="false">4.72</f>
        <v>4.72</v>
      </c>
      <c r="N1218" s="152" t="s">
        <v>1548</v>
      </c>
      <c r="O1218" s="152" t="s">
        <v>1549</v>
      </c>
      <c r="P1218" s="152" t="s">
        <v>1550</v>
      </c>
      <c r="Q1218" s="152" t="s">
        <v>1551</v>
      </c>
      <c r="R1218" s="154" t="s">
        <v>6147</v>
      </c>
      <c r="S1218" s="154" t="s">
        <v>1553</v>
      </c>
      <c r="T1218" s="155" t="s">
        <v>4216</v>
      </c>
      <c r="U1218" s="152" t="str">
        <f aca="false">RIGHT(T1218,7)</f>
        <v>019/037</v>
      </c>
      <c r="V1218" s="152" t="s">
        <v>1555</v>
      </c>
      <c r="W1218" s="156" t="n">
        <v>45882</v>
      </c>
      <c r="X1218" s="152" t="s">
        <v>1594</v>
      </c>
      <c r="Y1218" s="152"/>
      <c r="Z1218" s="152" t="s">
        <v>1557</v>
      </c>
      <c r="AA1218" s="153" t="n">
        <v>3.7</v>
      </c>
      <c r="AB1218" s="151" t="s">
        <v>6148</v>
      </c>
      <c r="AC1218" s="151" t="s">
        <v>186</v>
      </c>
      <c r="AD1218" s="151" t="str">
        <f aca="false">CONCATENATE($C1218,$I1218,$H1218,$N1218,$J1218,$K1218)</f>
        <v>TUBO PEADPEAD63VCAREDESZona11</v>
      </c>
      <c r="AE1218" s="153" t="n">
        <f aca="false">IFERROR(INDEX(APOIO_REDES!$A:$W,MATCH($C1218&amp;$I1218&amp;$H1218&amp;$N1218&amp;$O1218,APOIO_REDES!$W:$W,0),MATCH(AE$5,APOIO_REDES!$5:$5,0)),0)</f>
        <v>1.2</v>
      </c>
      <c r="AF1218" s="153" t="n">
        <f aca="false">IFERROR(INDEX(APOIO_REDES!$A:$W,MATCH($C1218&amp;$I1218&amp;$H1218&amp;$N1218&amp;$O1218,APOIO_REDES!$W:$W,0),MATCH(AF$5,APOIO_REDES!$5:$5,0)),0)</f>
        <v>1.363</v>
      </c>
      <c r="AG1218" s="153" t="n">
        <f aca="false">IFERROR(INDEX(APOIO_REDES!$A:$W,MATCH($C1218&amp;$I1218&amp;$H1218&amp;$N1218&amp;$O1218,APOIO_REDES!$W:$W,0),MATCH(AG$5,APOIO_REDES!$5:$5,0)),0)</f>
        <v>0.65</v>
      </c>
      <c r="AH1218" s="153" t="n">
        <f aca="false">IFERROR(INDEX(APOIO_REDES!$A:$W,MATCH($C1218&amp;$I1218&amp;$H1218&amp;$N1218&amp;$O1218,APOIO_REDES!$W:$W,0),MATCH(AH$5,APOIO_REDES!$5:$5,0)),0)</f>
        <v>0.1</v>
      </c>
      <c r="AI1218" s="153" t="n">
        <f aca="false">IFERROR(IF($H1218&lt;&gt;"",(((($H1218/1000)/2)^2)*PI()*$M1218),0),0)</f>
        <v>0.0147133978656755</v>
      </c>
      <c r="AJ1218" s="153" t="n">
        <f aca="false">IFERROR(IF(AND($H1218&lt;&gt;"",$I1218="FoFo",OR($N1218="MND",$N1218="VCA"),$Q1218="LINEAR"),0,IF(AND($H1218&lt;&gt;"",$I1218="PEAD",$N1218="VCA",$Q1218="LINEAR"),($H1218/1000)+0.3,IF(AND($H1218&lt;&gt;"",$I1218="PEAD",$N1218="MND",$Q1218="EMBOQUE"),0,IF(AND($H1218&lt;&gt;"",$I1218="PVC",$N1218="VCA",$Q1218="LINEAR"),($H1218/1000)+0.2,IF(AND($H1218&lt;&gt;"",$I1218="PVC",$N1218="MND",$Q1218="EMBOQUE"),0,IF(AND($H1218&lt;&gt;"",$I1218="PEAD",$N1218="VCA",$Q1218="PREDIAL"),0,0)))))),0)</f>
        <v>0.363</v>
      </c>
      <c r="AK1218" s="153" t="n">
        <f aca="false">IF(AA1218&lt;&gt;"",AA1218,0)</f>
        <v>3.7</v>
      </c>
      <c r="AL1218" s="153" t="n">
        <f aca="false">IF(AND($N1218="MND",$Q1218="EMBOQUE"),$M1218,IF(AND($N1218="VCA",$Q1218="LINEAR"),$M1218,IF(AND($N1218="VCA",$Q1218="PREDIAL"),0,0)))</f>
        <v>4.72</v>
      </c>
      <c r="AM1218" s="153" t="n">
        <f aca="false">IF(AND($N1218="MND",$Q1218="EMBOQUE"),$M1218,IF(AND($N1218="VCA",$Q1218="LINEAR"),$M1218,IF(AND($N1218="VCA",$Q1218="PREDIAL"),0,0)))</f>
        <v>4.72</v>
      </c>
      <c r="AN1218" s="153" t="n">
        <f aca="false">ROUND(IF(AND($N1218="VCA",$M1218&lt;&gt;"",$Q1218="LINEAR"),$M1218/100,IF(AND($N1218="MND",$M1218&gt;100,$Q1218="EMBOQUE"),$M1218/100,0)),0)</f>
        <v>0</v>
      </c>
      <c r="AO1218" s="153" t="n">
        <f aca="false">IF(AND($N1218="MND",$Q1218="EMBOQUE"),$AN1218*2*2,IF(AND($N1218="VCA",$Q1218="LINEAR"),$M1218*2,IF(AND($N1218="VCA",$Q1218="PREDIAL"),0,0)))</f>
        <v>9.44</v>
      </c>
      <c r="AP1218" s="153" t="n">
        <f aca="false">IFERROR($M1218*$AF1218*$AG1218,0)</f>
        <v>4.181684</v>
      </c>
      <c r="AQ1218" s="153" t="n">
        <f aca="false">IFERROR(IF(AND($N1218="VCA",$AH1218&gt;0),$M1218*$AG1218*$AH1218,0),0)</f>
        <v>0.3068</v>
      </c>
      <c r="AR1218" s="153" t="n">
        <f aca="false">IFERROR(IF(AND($N1218="VCA",$AJ1218&gt;0),($M1218*$AG1218*$AJ1218)-$AI1218,0),0)</f>
        <v>1.09897060213432</v>
      </c>
      <c r="AS1218" s="153" t="n">
        <f aca="false">IFERROR(IF(AND($N1218="VCA",$AP1218&gt;0),$AP1218-$AI1218-$AQ1218-$AR1218,0),0)</f>
        <v>2.7612</v>
      </c>
      <c r="AT1218" s="153" t="n">
        <f aca="false">IFERROR(IF($N1218="VCA",INDEX(APOIO_REDES!$A:$W,MATCH($C1218&amp;$I1218&amp;$H1218&amp;$N1218&amp;$O1218,APOIO_REDES!$W:$W,0),MATCH(AT$5,APOIO_REDES!$5:$5,0)),0)*$AP1218,0)</f>
        <v>0.045497959635285</v>
      </c>
      <c r="AU1218" s="153" t="n">
        <f aca="false">IFERROR(IF($N1218="VCA",INDEX(APOIO_REDES!$A:$W,MATCH($C1218&amp;$I1218&amp;$H1218&amp;$N1218&amp;$O1218,APOIO_REDES!$W:$W,0),MATCH(AU$5,APOIO_REDES!$5:$5,0)),0)*$AP1218,0)</f>
        <v>0.0363334383237182</v>
      </c>
      <c r="AV1218" s="153" t="n">
        <f aca="false">IFERROR(IF($N1218="VCA",INDEX(APOIO_REDES!$A:$W,MATCH($C1218&amp;$I1218&amp;$H1218&amp;$N1218&amp;$O1218,APOIO_REDES!$W:$W,0),MATCH(AV$5,APOIO_REDES!$5:$5,0)),0)*$AP1218,0)</f>
        <v>0.00502826263532849</v>
      </c>
      <c r="AW1218" s="153" t="n">
        <f aca="false">IFERROR(IF($N1218="VCA",INDEX(APOIO_REDES!$A:$W,MATCH($C1218&amp;$I1218&amp;$H1218&amp;$N1218&amp;$O1218,APOIO_REDES!$W:$W,0),MATCH(AW$5,APOIO_REDES!$5:$5,0)),0)*$AP1218,0)</f>
        <v>2.87034029886874</v>
      </c>
      <c r="AX1218" s="153" t="n">
        <f aca="false">IFERROR(IF($N1218="VCA",INDEX(APOIO_REDES!$A:$W,MATCH($C1218&amp;$I1218&amp;$H1218&amp;$N1218&amp;$O1218,APOIO_REDES!$W:$W,0),MATCH(AX$5,APOIO_REDES!$5:$5,0)),0)*$AP1218,0)</f>
        <v>0.397246921044323</v>
      </c>
      <c r="AY1218" s="153" t="n">
        <f aca="false">IFERROR(IF($N1218="VCA",INDEX(APOIO_REDES!$A:$W,MATCH($C1218&amp;$I1218&amp;$H1218&amp;$N1218&amp;$O1218,APOIO_REDES!$W:$W,0),MATCH(AY$5,APOIO_REDES!$5:$5,0)),0)*$AP1218,0)</f>
        <v>0.726668323572697</v>
      </c>
      <c r="AZ1218" s="153" t="n">
        <f aca="false">IFERROR(IF($N1218="VCA",INDEX(APOIO_REDES!$A:$W,MATCH($C1218&amp;$I1218&amp;$H1218&amp;$N1218&amp;$O1218,APOIO_REDES!$W:$W,0),MATCH(AZ$5,APOIO_REDES!$5:$5,0)),0)*$AP1218,0)</f>
        <v>0.100568795919913</v>
      </c>
      <c r="BA1218" s="153" t="n">
        <f aca="false">IFERROR(IF(AND($N1218="VCA",$Q1218="LINEAR"),INDEX(APOIO_REDES!$A:$W,MATCH($C1218&amp;$I1218&amp;$H1218&amp;$N1218&amp;$O1218,APOIO_REDES!$W:$W,0),MATCH(BA$5,APOIO_REDES!$5:$5,0)),IF(AND($N1218="MND",$Q1218="EMBOQUE"),INDEX(APOIO_REDES!$A:$W,MATCH($C1218&amp;$I1218&amp;$H1218&amp;$N1218&amp;$O1218,APOIO_REDES!$W:$W,0),MATCH(BA$5,APOIO_REDES!$5:$5,0)),0))*$M1218/10,0)</f>
        <v>0.380420094176563</v>
      </c>
      <c r="BB1218" s="153" t="n">
        <f aca="false">IFERROR(IF($N1218="VCA",INDEX(APOIO_REDES!$A:$W,MATCH($C1218&amp;$I1218&amp;$H1218&amp;$N1218&amp;$O1218,APOIO_REDES!$W:$W,0),MATCH(BB$5,APOIO_REDES!$5:$5,0)),0)*($AI1218+$AQ1218+$AR1218),0)</f>
        <v>1.4050287136382</v>
      </c>
      <c r="BC1218" s="153" t="n">
        <f aca="false">IFERROR(IF($N1218="VCA",INDEX(APOIO_REDES!$A:$W,MATCH($C1218&amp;$I1218&amp;$H1218&amp;$N1218&amp;$O1218,APOIO_REDES!$W:$W,0),MATCH(BC$5,APOIO_REDES!$5:$5,0)),0)*($AI1218+$AQ1218+$AR1218),0)</f>
        <v>0.0154552863618026</v>
      </c>
      <c r="BD1218" s="153" t="n">
        <f aca="false">IF(AND($N1218="VCA",$AF1218&gt;=1.25,$AF1218&lt;1.5),$M1218*$AF1218*2,0)</f>
        <v>12.86672</v>
      </c>
      <c r="BE1218" s="153" t="n">
        <f aca="false">IF(AND($N1218="VCA",$AF1218&gt;=1.5,$AF1218&lt;3),$M1218*$AF1218*2,0)</f>
        <v>0</v>
      </c>
      <c r="BF1218" s="153" t="n">
        <f aca="false">IF(AND($N1218="VCA",$AF1218&gt;=3),$M1218*$AF1218*2,0)</f>
        <v>0</v>
      </c>
      <c r="BG1218" s="153" t="n">
        <f aca="false">($BB1218+$BC1218)*$AK1218</f>
        <v>5.2557908</v>
      </c>
      <c r="BH1218" s="153" t="n">
        <f aca="false">IF(AND($M1218&lt;&gt;"",$N1218="VCA",$Q1218="LINEAR"),($M1218*2)/100,IF(AND($M1218&lt;&gt;"",$N1218="MND",$Q1218="EMBOQUE"),($AN1218*2)/100,0))</f>
        <v>0.0944</v>
      </c>
      <c r="BI1218" s="153" t="n">
        <f aca="false">IF(AND($M1218&lt;&gt;"",$N1218="VCA",$Q1218="LINEAR"),$M1218,IF(AND($M1218&lt;&gt;"",$N1218="MND",$Q1218="EMBOQUE"),$AN1218*2,0))</f>
        <v>4.72</v>
      </c>
      <c r="BJ1218" s="153" t="n">
        <f aca="false">IF(AND($M1218&lt;&gt;"",$N1218="VCA",$Q1218="LINEAR"),($M1218*6.8)/100,IF(AND($M1218&lt;&gt;"",$N1218="MND",$Q1218="EMBOQUE"),($AN1218*2*6.8)/100,0))</f>
        <v>0.32096</v>
      </c>
      <c r="BK1218" s="153" t="n">
        <f aca="false">IF(AND($M1218&lt;&gt;"",$N1218="VCA",$Q1218="LINEAR"),($M1218*2.5)/50,IF(AND($M1218&lt;&gt;"",$N1218="MND",$Q1218="EMBOQUE"),($AN1218*2*2.5)/50,0))</f>
        <v>0.236</v>
      </c>
      <c r="BL1218" s="157" t="str">
        <f aca="false">K1218&amp;J1218</f>
        <v>Zona11REDES</v>
      </c>
      <c r="BM1218" s="152" t="s">
        <v>6084</v>
      </c>
      <c r="BN1218" s="152" t="s">
        <v>1560</v>
      </c>
      <c r="BO1218" s="152" t="s">
        <v>4218</v>
      </c>
      <c r="BP1218" s="152" t="s">
        <v>6126</v>
      </c>
      <c r="BQ1218" s="152" t="s">
        <v>6140</v>
      </c>
      <c r="BR1218" s="152" t="s">
        <v>6149</v>
      </c>
      <c r="BS1218" s="152" t="n">
        <v>204188.495</v>
      </c>
      <c r="BT1218" s="152" t="n">
        <v>8236417.657</v>
      </c>
      <c r="BU1218" s="152" t="n">
        <v>204193.026</v>
      </c>
      <c r="BV1218" s="152" t="n">
        <v>8236418.973</v>
      </c>
      <c r="BW1218" s="152" t="n">
        <v>-15.9338888</v>
      </c>
      <c r="BX1218" s="152" t="n">
        <v>-47.7629671</v>
      </c>
      <c r="BY1218" s="152" t="s">
        <v>6126</v>
      </c>
    </row>
    <row r="1219" customFormat="false" ht="13.8" hidden="false" customHeight="false" outlineLevel="0" collapsed="false">
      <c r="A1219" s="149" t="n">
        <f aca="false">IF(C1219&lt;&gt;"",ROW(A1214),"")</f>
        <v>1214</v>
      </c>
      <c r="B1219" s="150" t="str">
        <f aca="false">HYPERLINK("https://www.google.com/maps/dir/-15.917302,-47.760003/-15.9343954,-47.7623038/data=!4m3!4m2!3e0!5i2")</f>
        <v>https://www.google.com/maps/dir/-15.917302,-47.760003/-15.9343954,-47.7623038/data=!4m3!4m2!3e0!5i2</v>
      </c>
      <c r="C1219" s="151" t="s">
        <v>117</v>
      </c>
      <c r="D1219" s="152" t="s">
        <v>112</v>
      </c>
      <c r="E1219" s="152" t="s">
        <v>113</v>
      </c>
      <c r="F1219" s="152" t="s">
        <v>117</v>
      </c>
      <c r="G1219" s="152" t="s">
        <v>782</v>
      </c>
      <c r="H1219" s="152" t="n">
        <v>63</v>
      </c>
      <c r="I1219" s="152" t="s">
        <v>115</v>
      </c>
      <c r="J1219" s="152" t="s">
        <v>6</v>
      </c>
      <c r="K1219" s="152" t="s">
        <v>6081</v>
      </c>
      <c r="L1219" s="152" t="s">
        <v>120</v>
      </c>
      <c r="M1219" s="153" t="n">
        <f aca="false">70.39+0.14</f>
        <v>70.53</v>
      </c>
      <c r="N1219" s="152" t="s">
        <v>1548</v>
      </c>
      <c r="O1219" s="152" t="s">
        <v>1549</v>
      </c>
      <c r="P1219" s="152" t="s">
        <v>1550</v>
      </c>
      <c r="Q1219" s="152" t="s">
        <v>1551</v>
      </c>
      <c r="R1219" s="154" t="s">
        <v>6150</v>
      </c>
      <c r="S1219" s="154" t="s">
        <v>1553</v>
      </c>
      <c r="T1219" s="155" t="s">
        <v>4216</v>
      </c>
      <c r="U1219" s="152" t="str">
        <f aca="false">RIGHT(T1219,7)</f>
        <v>019/037</v>
      </c>
      <c r="V1219" s="152" t="s">
        <v>1555</v>
      </c>
      <c r="W1219" s="156" t="n">
        <v>45882</v>
      </c>
      <c r="X1219" s="152" t="s">
        <v>3938</v>
      </c>
      <c r="Y1219" s="152" t="s">
        <v>2916</v>
      </c>
      <c r="Z1219" s="152" t="s">
        <v>1557</v>
      </c>
      <c r="AA1219" s="153" t="n">
        <v>5</v>
      </c>
      <c r="AB1219" s="151" t="s">
        <v>6151</v>
      </c>
      <c r="AC1219" s="151" t="s">
        <v>186</v>
      </c>
      <c r="AD1219" s="151" t="str">
        <f aca="false">CONCATENATE($C1219,$I1219,$H1219,$N1219,$J1219,$K1219)</f>
        <v>TUBO PEADPEAD63VCAREDESZona11</v>
      </c>
      <c r="AE1219" s="153" t="n">
        <f aca="false">IFERROR(INDEX(APOIO_REDES!$A:$W,MATCH($C1219&amp;$I1219&amp;$H1219&amp;$N1219&amp;$O1219,APOIO_REDES!$W:$W,0),MATCH(AE$5,APOIO_REDES!$5:$5,0)),0)</f>
        <v>1.2</v>
      </c>
      <c r="AF1219" s="153" t="n">
        <f aca="false">IFERROR(INDEX(APOIO_REDES!$A:$W,MATCH($C1219&amp;$I1219&amp;$H1219&amp;$N1219&amp;$O1219,APOIO_REDES!$W:$W,0),MATCH(AF$5,APOIO_REDES!$5:$5,0)),0)</f>
        <v>1.363</v>
      </c>
      <c r="AG1219" s="153" t="n">
        <f aca="false">IFERROR(INDEX(APOIO_REDES!$A:$W,MATCH($C1219&amp;$I1219&amp;$H1219&amp;$N1219&amp;$O1219,APOIO_REDES!$W:$W,0),MATCH(AG$5,APOIO_REDES!$5:$5,0)),0)</f>
        <v>0.65</v>
      </c>
      <c r="AH1219" s="153" t="n">
        <f aca="false">IFERROR(INDEX(APOIO_REDES!$A:$W,MATCH($C1219&amp;$I1219&amp;$H1219&amp;$N1219&amp;$O1219,APOIO_REDES!$W:$W,0),MATCH(AH$5,APOIO_REDES!$5:$5,0)),0)</f>
        <v>0.1</v>
      </c>
      <c r="AI1219" s="153" t="n">
        <f aca="false">IFERROR(IF($H1219&lt;&gt;"",(((($H1219/1000)/2)^2)*PI()*$M1219),0),0)</f>
        <v>0.219859311751291</v>
      </c>
      <c r="AJ1219" s="153" t="n">
        <f aca="false">IFERROR(IF(AND($H1219&lt;&gt;"",$I1219="FoFo",OR($N1219="MND",$N1219="VCA"),$Q1219="LINEAR"),0,IF(AND($H1219&lt;&gt;"",$I1219="PEAD",$N1219="VCA",$Q1219="LINEAR"),($H1219/1000)+0.3,IF(AND($H1219&lt;&gt;"",$I1219="PEAD",$N1219="MND",$Q1219="EMBOQUE"),0,IF(AND($H1219&lt;&gt;"",$I1219="PVC",$N1219="VCA",$Q1219="LINEAR"),($H1219/1000)+0.2,IF(AND($H1219&lt;&gt;"",$I1219="PVC",$N1219="MND",$Q1219="EMBOQUE"),0,IF(AND($H1219&lt;&gt;"",$I1219="PEAD",$N1219="VCA",$Q1219="PREDIAL"),0,0)))))),0)</f>
        <v>0.363</v>
      </c>
      <c r="AK1219" s="153" t="n">
        <f aca="false">IF(AA1219&lt;&gt;"",AA1219,0)</f>
        <v>5</v>
      </c>
      <c r="AL1219" s="153" t="n">
        <f aca="false">IF(AND($N1219="MND",$Q1219="EMBOQUE"),$M1219,IF(AND($N1219="VCA",$Q1219="LINEAR"),$M1219,IF(AND($N1219="VCA",$Q1219="PREDIAL"),0,0)))</f>
        <v>70.53</v>
      </c>
      <c r="AM1219" s="153" t="n">
        <f aca="false">IF(AND($N1219="MND",$Q1219="EMBOQUE"),$M1219,IF(AND($N1219="VCA",$Q1219="LINEAR"),$M1219,IF(AND($N1219="VCA",$Q1219="PREDIAL"),0,0)))</f>
        <v>70.53</v>
      </c>
      <c r="AN1219" s="153" t="n">
        <f aca="false">ROUND(IF(AND($N1219="VCA",$M1219&lt;&gt;"",$Q1219="LINEAR"),$M1219/100,IF(AND($N1219="MND",$M1219&gt;100,$Q1219="EMBOQUE"),$M1219/100,0)),0)</f>
        <v>1</v>
      </c>
      <c r="AO1219" s="153" t="n">
        <f aca="false">IF(AND($N1219="MND",$Q1219="EMBOQUE"),$AN1219*2*2,IF(AND($N1219="VCA",$Q1219="LINEAR"),$M1219*2,IF(AND($N1219="VCA",$Q1219="PREDIAL"),0,0)))</f>
        <v>141.06</v>
      </c>
      <c r="AP1219" s="153" t="n">
        <f aca="false">IFERROR($M1219*$AF1219*$AG1219,0)</f>
        <v>62.4860535</v>
      </c>
      <c r="AQ1219" s="153" t="n">
        <f aca="false">IFERROR(IF(AND($N1219="VCA",$AH1219&gt;0),$M1219*$AG1219*$AH1219,0),0)</f>
        <v>4.58445</v>
      </c>
      <c r="AR1219" s="153" t="n">
        <f aca="false">IFERROR(IF(AND($N1219="VCA",$AJ1219&gt;0),($M1219*$AG1219*$AJ1219)-$AI1219,0),0)</f>
        <v>16.4216941882487</v>
      </c>
      <c r="AS1219" s="153" t="n">
        <f aca="false">IFERROR(IF(AND($N1219="VCA",$AP1219&gt;0),$AP1219-$AI1219-$AQ1219-$AR1219,0),0)</f>
        <v>41.26005</v>
      </c>
      <c r="AT1219" s="153" t="n">
        <f aca="false">IFERROR(IF($N1219="VCA",INDEX(APOIO_REDES!$A:$W,MATCH($C1219&amp;$I1219&amp;$H1219&amp;$N1219&amp;$O1219,APOIO_REDES!$W:$W,0),MATCH(AT$5,APOIO_REDES!$5:$5,0)),0)*$AP1219,0)</f>
        <v>0.679866757007765</v>
      </c>
      <c r="AU1219" s="153" t="n">
        <f aca="false">IFERROR(IF($N1219="VCA",INDEX(APOIO_REDES!$A:$W,MATCH($C1219&amp;$I1219&amp;$H1219&amp;$N1219&amp;$O1219,APOIO_REDES!$W:$W,0),MATCH(AU$5,APOIO_REDES!$5:$5,0)),0)*$AP1219,0)</f>
        <v>0.542923179019459</v>
      </c>
      <c r="AV1219" s="153" t="n">
        <f aca="false">IFERROR(IF($N1219="VCA",INDEX(APOIO_REDES!$A:$W,MATCH($C1219&amp;$I1219&amp;$H1219&amp;$N1219&amp;$O1219,APOIO_REDES!$W:$W,0),MATCH(AV$5,APOIO_REDES!$5:$5,0)),0)*$AP1219,0)</f>
        <v>0.0751363058622285</v>
      </c>
      <c r="AW1219" s="153" t="n">
        <f aca="false">IFERROR(IF($N1219="VCA",INDEX(APOIO_REDES!$A:$W,MATCH($C1219&amp;$I1219&amp;$H1219&amp;$N1219&amp;$O1219,APOIO_REDES!$W:$W,0),MATCH(AW$5,APOIO_REDES!$5:$5,0)),0)*$AP1219,0)</f>
        <v>42.8909112879686</v>
      </c>
      <c r="AX1219" s="153" t="n">
        <f aca="false">IFERROR(IF($N1219="VCA",INDEX(APOIO_REDES!$A:$W,MATCH($C1219&amp;$I1219&amp;$H1219&amp;$N1219&amp;$O1219,APOIO_REDES!$W:$W,0),MATCH(AX$5,APOIO_REDES!$5:$5,0)),0)*$AP1219,0)</f>
        <v>5.93597994518138</v>
      </c>
      <c r="AY1219" s="153" t="n">
        <f aca="false">IFERROR(IF($N1219="VCA",INDEX(APOIO_REDES!$A:$W,MATCH($C1219&amp;$I1219&amp;$H1219&amp;$N1219&amp;$O1219,APOIO_REDES!$W:$W,0),MATCH(AY$5,APOIO_REDES!$5:$5,0)),0)*$AP1219,0)</f>
        <v>10.8584569621996</v>
      </c>
      <c r="AZ1219" s="153" t="n">
        <f aca="false">IFERROR(IF($N1219="VCA",INDEX(APOIO_REDES!$A:$W,MATCH($C1219&amp;$I1219&amp;$H1219&amp;$N1219&amp;$O1219,APOIO_REDES!$W:$W,0),MATCH(AZ$5,APOIO_REDES!$5:$5,0)),0)*$AP1219,0)</f>
        <v>1.5027790627609</v>
      </c>
      <c r="BA1219" s="153" t="n">
        <f aca="false">IFERROR(IF(AND($N1219="VCA",$Q1219="LINEAR"),INDEX(APOIO_REDES!$A:$W,MATCH($C1219&amp;$I1219&amp;$H1219&amp;$N1219&amp;$O1219,APOIO_REDES!$W:$W,0),MATCH(BA$5,APOIO_REDES!$5:$5,0)),IF(AND($N1219="MND",$Q1219="EMBOQUE"),INDEX(APOIO_REDES!$A:$W,MATCH($C1219&amp;$I1219&amp;$H1219&amp;$N1219&amp;$O1219,APOIO_REDES!$W:$W,0),MATCH(BA$5,APOIO_REDES!$5:$5,0)),0))*$M1219/10,0)</f>
        <v>5.6845400937019</v>
      </c>
      <c r="BB1219" s="153" t="n">
        <f aca="false">IFERROR(IF($N1219="VCA",INDEX(APOIO_REDES!$A:$W,MATCH($C1219&amp;$I1219&amp;$H1219&amp;$N1219&amp;$O1219,APOIO_REDES!$W:$W,0),MATCH(BB$5,APOIO_REDES!$5:$5,0)),0)*($AI1219+$AQ1219+$AR1219),0)</f>
        <v>20.9950582993437</v>
      </c>
      <c r="BC1219" s="153" t="n">
        <f aca="false">IFERROR(IF($N1219="VCA",INDEX(APOIO_REDES!$A:$W,MATCH($C1219&amp;$I1219&amp;$H1219&amp;$N1219&amp;$O1219,APOIO_REDES!$W:$W,0),MATCH(BC$5,APOIO_REDES!$5:$5,0)),0)*($AI1219+$AQ1219+$AR1219),0)</f>
        <v>0.230945200656343</v>
      </c>
      <c r="BD1219" s="153" t="n">
        <f aca="false">IF(AND($N1219="VCA",$AF1219&gt;=1.25,$AF1219&lt;1.5),$M1219*$AF1219*2,0)</f>
        <v>192.26478</v>
      </c>
      <c r="BE1219" s="153" t="n">
        <f aca="false">IF(AND($N1219="VCA",$AF1219&gt;=1.5,$AF1219&lt;3),$M1219*$AF1219*2,0)</f>
        <v>0</v>
      </c>
      <c r="BF1219" s="153" t="n">
        <f aca="false">IF(AND($N1219="VCA",$AF1219&gt;=3),$M1219*$AF1219*2,0)</f>
        <v>0</v>
      </c>
      <c r="BG1219" s="153" t="n">
        <f aca="false">($BB1219+$BC1219)*$AK1219</f>
        <v>106.1300175</v>
      </c>
      <c r="BH1219" s="153" t="n">
        <f aca="false">IF(AND($M1219&lt;&gt;"",$N1219="VCA",$Q1219="LINEAR"),($M1219*2)/100,IF(AND($M1219&lt;&gt;"",$N1219="MND",$Q1219="EMBOQUE"),($AN1219*2)/100,0))</f>
        <v>1.4106</v>
      </c>
      <c r="BI1219" s="153" t="n">
        <f aca="false">IF(AND($M1219&lt;&gt;"",$N1219="VCA",$Q1219="LINEAR"),$M1219,IF(AND($M1219&lt;&gt;"",$N1219="MND",$Q1219="EMBOQUE"),$AN1219*2,0))</f>
        <v>70.53</v>
      </c>
      <c r="BJ1219" s="153" t="n">
        <f aca="false">IF(AND($M1219&lt;&gt;"",$N1219="VCA",$Q1219="LINEAR"),($M1219*6.8)/100,IF(AND($M1219&lt;&gt;"",$N1219="MND",$Q1219="EMBOQUE"),($AN1219*2*6.8)/100,0))</f>
        <v>4.79604</v>
      </c>
      <c r="BK1219" s="153" t="n">
        <f aca="false">IF(AND($M1219&lt;&gt;"",$N1219="VCA",$Q1219="LINEAR"),($M1219*2.5)/50,IF(AND($M1219&lt;&gt;"",$N1219="MND",$Q1219="EMBOQUE"),($AN1219*2*2.5)/50,0))</f>
        <v>3.5265</v>
      </c>
      <c r="BL1219" s="157" t="str">
        <f aca="false">K1219&amp;J1219</f>
        <v>Zona11REDES</v>
      </c>
      <c r="BM1219" s="152" t="s">
        <v>6084</v>
      </c>
      <c r="BN1219" s="152" t="s">
        <v>1560</v>
      </c>
      <c r="BO1219" s="152" t="s">
        <v>4218</v>
      </c>
      <c r="BP1219" s="152" t="s">
        <v>6152</v>
      </c>
      <c r="BQ1219" s="152" t="s">
        <v>6136</v>
      </c>
      <c r="BR1219" s="152" t="s">
        <v>6153</v>
      </c>
      <c r="BS1219" s="152" t="n">
        <v>204262.565</v>
      </c>
      <c r="BT1219" s="152" t="n">
        <v>8236363.162</v>
      </c>
      <c r="BU1219" s="152" t="n">
        <v>204244.297</v>
      </c>
      <c r="BV1219" s="152" t="n">
        <v>8236431.139</v>
      </c>
      <c r="BW1219" s="152" t="n">
        <v>-15.9340874</v>
      </c>
      <c r="BX1219" s="152" t="n">
        <v>-47.7623848</v>
      </c>
      <c r="BY1219" s="152" t="s">
        <v>6152</v>
      </c>
    </row>
    <row r="1220" customFormat="false" ht="13.8" hidden="false" customHeight="false" outlineLevel="0" collapsed="false">
      <c r="A1220" s="149" t="n">
        <f aca="false">IF(C1220&lt;&gt;"",ROW(A1215),"")</f>
        <v>1215</v>
      </c>
      <c r="B1220" s="150" t="str">
        <f aca="false">HYPERLINK("https://www.google.com/maps/dir/-15.917302,-47.760003/-15.9335375,-47.7635459/data=!4m3!4m2!3e0!5i2")</f>
        <v>https://www.google.com/maps/dir/-15.917302,-47.760003/-15.9335375,-47.7635459/data=!4m3!4m2!3e0!5i2</v>
      </c>
      <c r="C1220" s="151" t="s">
        <v>117</v>
      </c>
      <c r="D1220" s="152" t="s">
        <v>112</v>
      </c>
      <c r="E1220" s="152" t="s">
        <v>113</v>
      </c>
      <c r="F1220" s="152" t="s">
        <v>117</v>
      </c>
      <c r="G1220" s="152" t="s">
        <v>782</v>
      </c>
      <c r="H1220" s="152" t="n">
        <v>63</v>
      </c>
      <c r="I1220" s="152" t="s">
        <v>115</v>
      </c>
      <c r="J1220" s="152" t="s">
        <v>6</v>
      </c>
      <c r="K1220" s="152" t="s">
        <v>6081</v>
      </c>
      <c r="L1220" s="152" t="s">
        <v>120</v>
      </c>
      <c r="M1220" s="153" t="n">
        <f aca="false">145.67+4.01</f>
        <v>149.68</v>
      </c>
      <c r="N1220" s="152" t="s">
        <v>1548</v>
      </c>
      <c r="O1220" s="152" t="s">
        <v>1549</v>
      </c>
      <c r="P1220" s="152" t="s">
        <v>1550</v>
      </c>
      <c r="Q1220" s="152" t="s">
        <v>1551</v>
      </c>
      <c r="R1220" s="154" t="s">
        <v>6154</v>
      </c>
      <c r="S1220" s="154" t="s">
        <v>1553</v>
      </c>
      <c r="T1220" s="155" t="s">
        <v>4216</v>
      </c>
      <c r="U1220" s="152" t="str">
        <f aca="false">RIGHT(T1220,7)</f>
        <v>019/037</v>
      </c>
      <c r="V1220" s="152" t="s">
        <v>1555</v>
      </c>
      <c r="W1220" s="156" t="n">
        <v>45882</v>
      </c>
      <c r="X1220" s="152" t="s">
        <v>3938</v>
      </c>
      <c r="Y1220" s="152" t="s">
        <v>2524</v>
      </c>
      <c r="Z1220" s="152" t="s">
        <v>1557</v>
      </c>
      <c r="AA1220" s="153" t="n">
        <v>3.7</v>
      </c>
      <c r="AB1220" s="151" t="s">
        <v>6155</v>
      </c>
      <c r="AC1220" s="151" t="s">
        <v>186</v>
      </c>
      <c r="AD1220" s="151" t="str">
        <f aca="false">CONCATENATE($C1220,$I1220,$H1220,$N1220,$J1220,$K1220)</f>
        <v>TUBO PEADPEAD63VCAREDESZona11</v>
      </c>
      <c r="AE1220" s="153" t="n">
        <f aca="false">IFERROR(INDEX(APOIO_REDES!$A:$W,MATCH($C1220&amp;$I1220&amp;$H1220&amp;$N1220&amp;$O1220,APOIO_REDES!$W:$W,0),MATCH(AE$5,APOIO_REDES!$5:$5,0)),0)</f>
        <v>1.2</v>
      </c>
      <c r="AF1220" s="153" t="n">
        <f aca="false">IFERROR(INDEX(APOIO_REDES!$A:$W,MATCH($C1220&amp;$I1220&amp;$H1220&amp;$N1220&amp;$O1220,APOIO_REDES!$W:$W,0),MATCH(AF$5,APOIO_REDES!$5:$5,0)),0)</f>
        <v>1.363</v>
      </c>
      <c r="AG1220" s="153" t="n">
        <f aca="false">IFERROR(INDEX(APOIO_REDES!$A:$W,MATCH($C1220&amp;$I1220&amp;$H1220&amp;$N1220&amp;$O1220,APOIO_REDES!$W:$W,0),MATCH(AG$5,APOIO_REDES!$5:$5,0)),0)</f>
        <v>0.65</v>
      </c>
      <c r="AH1220" s="153" t="n">
        <f aca="false">IFERROR(INDEX(APOIO_REDES!$A:$W,MATCH($C1220&amp;$I1220&amp;$H1220&amp;$N1220&amp;$O1220,APOIO_REDES!$W:$W,0),MATCH(AH$5,APOIO_REDES!$5:$5,0)),0)</f>
        <v>0.1</v>
      </c>
      <c r="AI1220" s="153" t="n">
        <f aca="false">IFERROR(IF($H1220&lt;&gt;"",(((($H1220/1000)/2)^2)*PI()*$M1220),0),0)</f>
        <v>0.466589278079303</v>
      </c>
      <c r="AJ1220" s="153" t="n">
        <f aca="false">IFERROR(IF(AND($H1220&lt;&gt;"",$I1220="FoFo",OR($N1220="MND",$N1220="VCA"),$Q1220="LINEAR"),0,IF(AND($H1220&lt;&gt;"",$I1220="PEAD",$N1220="VCA",$Q1220="LINEAR"),($H1220/1000)+0.3,IF(AND($H1220&lt;&gt;"",$I1220="PEAD",$N1220="MND",$Q1220="EMBOQUE"),0,IF(AND($H1220&lt;&gt;"",$I1220="PVC",$N1220="VCA",$Q1220="LINEAR"),($H1220/1000)+0.2,IF(AND($H1220&lt;&gt;"",$I1220="PVC",$N1220="MND",$Q1220="EMBOQUE"),0,IF(AND($H1220&lt;&gt;"",$I1220="PEAD",$N1220="VCA",$Q1220="PREDIAL"),0,0)))))),0)</f>
        <v>0.363</v>
      </c>
      <c r="AK1220" s="153" t="n">
        <f aca="false">IF(AA1220&lt;&gt;"",AA1220,0)</f>
        <v>3.7</v>
      </c>
      <c r="AL1220" s="153" t="n">
        <f aca="false">IF(AND($N1220="MND",$Q1220="EMBOQUE"),$M1220,IF(AND($N1220="VCA",$Q1220="LINEAR"),$M1220,IF(AND($N1220="VCA",$Q1220="PREDIAL"),0,0)))</f>
        <v>149.68</v>
      </c>
      <c r="AM1220" s="153" t="n">
        <f aca="false">IF(AND($N1220="MND",$Q1220="EMBOQUE"),$M1220,IF(AND($N1220="VCA",$Q1220="LINEAR"),$M1220,IF(AND($N1220="VCA",$Q1220="PREDIAL"),0,0)))</f>
        <v>149.68</v>
      </c>
      <c r="AN1220" s="153" t="n">
        <f aca="false">ROUND(IF(AND($N1220="VCA",$M1220&lt;&gt;"",$Q1220="LINEAR"),$M1220/100,IF(AND($N1220="MND",$M1220&gt;100,$Q1220="EMBOQUE"),$M1220/100,0)),0)</f>
        <v>1</v>
      </c>
      <c r="AO1220" s="153" t="n">
        <f aca="false">IF(AND($N1220="MND",$Q1220="EMBOQUE"),$AN1220*2*2,IF(AND($N1220="VCA",$Q1220="LINEAR"),$M1220*2,IF(AND($N1220="VCA",$Q1220="PREDIAL"),0,0)))</f>
        <v>299.36</v>
      </c>
      <c r="AP1220" s="153" t="n">
        <f aca="false">IFERROR($M1220*$AF1220*$AG1220,0)</f>
        <v>132.608996</v>
      </c>
      <c r="AQ1220" s="153" t="n">
        <f aca="false">IFERROR(IF(AND($N1220="VCA",$AH1220&gt;0),$M1220*$AG1220*$AH1220,0),0)</f>
        <v>9.7292</v>
      </c>
      <c r="AR1220" s="153" t="n">
        <f aca="false">IFERROR(IF(AND($N1220="VCA",$AJ1220&gt;0),($M1220*$AG1220*$AJ1220)-$AI1220,0),0)</f>
        <v>34.8504067219207</v>
      </c>
      <c r="AS1220" s="153" t="n">
        <f aca="false">IFERROR(IF(AND($N1220="VCA",$AP1220&gt;0),$AP1220-$AI1220-$AQ1220-$AR1220,0),0)</f>
        <v>87.5628</v>
      </c>
      <c r="AT1220" s="153" t="n">
        <f aca="false">IFERROR(IF($N1220="VCA",INDEX(APOIO_REDES!$A:$W,MATCH($C1220&amp;$I1220&amp;$H1220&amp;$N1220&amp;$O1220,APOIO_REDES!$W:$W,0),MATCH(AT$5,APOIO_REDES!$5:$5,0)),0)*$AP1220,0)</f>
        <v>1.44282512673929</v>
      </c>
      <c r="AU1220" s="153" t="n">
        <f aca="false">IFERROR(IF($N1220="VCA",INDEX(APOIO_REDES!$A:$W,MATCH($C1220&amp;$I1220&amp;$H1220&amp;$N1220&amp;$O1220,APOIO_REDES!$W:$W,0),MATCH(AU$5,APOIO_REDES!$5:$5,0)),0)*$AP1220,0)</f>
        <v>1.15220106955384</v>
      </c>
      <c r="AV1220" s="153" t="n">
        <f aca="false">IFERROR(IF($N1220="VCA",INDEX(APOIO_REDES!$A:$W,MATCH($C1220&amp;$I1220&amp;$H1220&amp;$N1220&amp;$O1220,APOIO_REDES!$W:$W,0),MATCH(AV$5,APOIO_REDES!$5:$5,0)),0)*$AP1220,0)</f>
        <v>0.159455582893214</v>
      </c>
      <c r="AW1220" s="153" t="n">
        <f aca="false">IFERROR(IF($N1220="VCA",INDEX(APOIO_REDES!$A:$W,MATCH($C1220&amp;$I1220&amp;$H1220&amp;$N1220&amp;$O1220,APOIO_REDES!$W:$W,0),MATCH(AW$5,APOIO_REDES!$5:$5,0)),0)*$AP1220,0)</f>
        <v>91.0238423590408</v>
      </c>
      <c r="AX1220" s="153" t="n">
        <f aca="false">IFERROR(IF($N1220="VCA",INDEX(APOIO_REDES!$A:$W,MATCH($C1220&amp;$I1220&amp;$H1220&amp;$N1220&amp;$O1220,APOIO_REDES!$W:$W,0),MATCH(AX$5,APOIO_REDES!$5:$5,0)),0)*$AP1220,0)</f>
        <v>12.5974404961683</v>
      </c>
      <c r="AY1220" s="153" t="n">
        <f aca="false">IFERROR(IF($N1220="VCA",INDEX(APOIO_REDES!$A:$W,MATCH($C1220&amp;$I1220&amp;$H1220&amp;$N1220&amp;$O1220,APOIO_REDES!$W:$W,0),MATCH(AY$5,APOIO_REDES!$5:$5,0)),0)*$AP1220,0)</f>
        <v>23.0440073458392</v>
      </c>
      <c r="AZ1220" s="153" t="n">
        <f aca="false">IFERROR(IF($N1220="VCA",INDEX(APOIO_REDES!$A:$W,MATCH($C1220&amp;$I1220&amp;$H1220&amp;$N1220&amp;$O1220,APOIO_REDES!$W:$W,0),MATCH(AZ$5,APOIO_REDES!$5:$5,0)),0)*$AP1220,0)</f>
        <v>3.18922401976537</v>
      </c>
      <c r="BA1220" s="153" t="n">
        <f aca="false">IFERROR(IF(AND($N1220="VCA",$Q1220="LINEAR"),INDEX(APOIO_REDES!$A:$W,MATCH($C1220&amp;$I1220&amp;$H1220&amp;$N1220&amp;$O1220,APOIO_REDES!$W:$W,0),MATCH(BA$5,APOIO_REDES!$5:$5,0)),IF(AND($N1220="MND",$Q1220="EMBOQUE"),INDEX(APOIO_REDES!$A:$W,MATCH($C1220&amp;$I1220&amp;$H1220&amp;$N1220&amp;$O1220,APOIO_REDES!$W:$W,0),MATCH(BA$5,APOIO_REDES!$5:$5,0)),0))*$M1220/10,0)</f>
        <v>12.0638304441415</v>
      </c>
      <c r="BB1220" s="153" t="n">
        <f aca="false">IFERROR(IF($N1220="VCA",INDEX(APOIO_REDES!$A:$W,MATCH($C1220&amp;$I1220&amp;$H1220&amp;$N1220&amp;$O1220,APOIO_REDES!$W:$W,0),MATCH(BB$5,APOIO_REDES!$5:$5,0)),0)*($AI1220+$AQ1220+$AR1220),0)</f>
        <v>44.5560800545266</v>
      </c>
      <c r="BC1220" s="153" t="n">
        <f aca="false">IFERROR(IF($N1220="VCA",INDEX(APOIO_REDES!$A:$W,MATCH($C1220&amp;$I1220&amp;$H1220&amp;$N1220&amp;$O1220,APOIO_REDES!$W:$W,0),MATCH(BC$5,APOIO_REDES!$5:$5,0)),0)*($AI1220+$AQ1220+$AR1220),0)</f>
        <v>0.490115945473435</v>
      </c>
      <c r="BD1220" s="153" t="n">
        <f aca="false">IF(AND($N1220="VCA",$AF1220&gt;=1.25,$AF1220&lt;1.5),$M1220*$AF1220*2,0)</f>
        <v>408.02768</v>
      </c>
      <c r="BE1220" s="153" t="n">
        <f aca="false">IF(AND($N1220="VCA",$AF1220&gt;=1.5,$AF1220&lt;3),$M1220*$AF1220*2,0)</f>
        <v>0</v>
      </c>
      <c r="BF1220" s="153" t="n">
        <f aca="false">IF(AND($N1220="VCA",$AF1220&gt;=3),$M1220*$AF1220*2,0)</f>
        <v>0</v>
      </c>
      <c r="BG1220" s="153" t="n">
        <f aca="false">($BB1220+$BC1220)*$AK1220</f>
        <v>166.6709252</v>
      </c>
      <c r="BH1220" s="153" t="n">
        <f aca="false">IF(AND($M1220&lt;&gt;"",$N1220="VCA",$Q1220="LINEAR"),($M1220*2)/100,IF(AND($M1220&lt;&gt;"",$N1220="MND",$Q1220="EMBOQUE"),($AN1220*2)/100,0))</f>
        <v>2.9936</v>
      </c>
      <c r="BI1220" s="153" t="n">
        <f aca="false">IF(AND($M1220&lt;&gt;"",$N1220="VCA",$Q1220="LINEAR"),$M1220,IF(AND($M1220&lt;&gt;"",$N1220="MND",$Q1220="EMBOQUE"),$AN1220*2,0))</f>
        <v>149.68</v>
      </c>
      <c r="BJ1220" s="153" t="n">
        <f aca="false">IF(AND($M1220&lt;&gt;"",$N1220="VCA",$Q1220="LINEAR"),($M1220*6.8)/100,IF(AND($M1220&lt;&gt;"",$N1220="MND",$Q1220="EMBOQUE"),($AN1220*2*6.8)/100,0))</f>
        <v>10.17824</v>
      </c>
      <c r="BK1220" s="153" t="n">
        <f aca="false">IF(AND($M1220&lt;&gt;"",$N1220="VCA",$Q1220="LINEAR"),($M1220*2.5)/50,IF(AND($M1220&lt;&gt;"",$N1220="MND",$Q1220="EMBOQUE"),($AN1220*2*2.5)/50,0))</f>
        <v>7.484</v>
      </c>
      <c r="BL1220" s="157" t="str">
        <f aca="false">K1220&amp;J1220</f>
        <v>Zona11REDES</v>
      </c>
      <c r="BM1220" s="152" t="s">
        <v>6084</v>
      </c>
      <c r="BN1220" s="152" t="s">
        <v>1560</v>
      </c>
      <c r="BO1220" s="152" t="s">
        <v>4218</v>
      </c>
      <c r="BP1220" s="152" t="s">
        <v>2232</v>
      </c>
      <c r="BQ1220" s="152" t="s">
        <v>6156</v>
      </c>
      <c r="BR1220" s="152" t="s">
        <v>6157</v>
      </c>
      <c r="BS1220" s="152" t="n">
        <v>204172.989</v>
      </c>
      <c r="BT1220" s="152" t="n">
        <v>8236317.78</v>
      </c>
      <c r="BU1220" s="152" t="n">
        <v>204128.235</v>
      </c>
      <c r="BV1220" s="152" t="n">
        <v>8236456.396</v>
      </c>
      <c r="BW1220" s="152" t="n">
        <v>-15.9341668</v>
      </c>
      <c r="BX1220" s="152" t="n">
        <v>-47.7633484</v>
      </c>
      <c r="BY1220" s="152" t="s">
        <v>6156</v>
      </c>
    </row>
    <row r="1221" customFormat="false" ht="13.8" hidden="false" customHeight="false" outlineLevel="0" collapsed="false">
      <c r="A1221" s="149" t="n">
        <f aca="false">IF(C1221&lt;&gt;"",ROW(A1216),"")</f>
        <v>1216</v>
      </c>
      <c r="B1221" s="150" t="str">
        <f aca="false">HYPERLINK("https://www.google.com/maps/dir/-15.917302,-47.760003/-15.9342839,-47.7618349/data=!4m3!4m2!3e0!5i2")</f>
        <v>https://www.google.com/maps/dir/-15.917302,-47.760003/-15.9342839,-47.7618349/data=!4m3!4m2!3e0!5i2</v>
      </c>
      <c r="C1221" s="151" t="s">
        <v>117</v>
      </c>
      <c r="D1221" s="152" t="s">
        <v>112</v>
      </c>
      <c r="E1221" s="152" t="s">
        <v>113</v>
      </c>
      <c r="F1221" s="152" t="s">
        <v>117</v>
      </c>
      <c r="G1221" s="152" t="s">
        <v>782</v>
      </c>
      <c r="H1221" s="152" t="n">
        <v>63</v>
      </c>
      <c r="I1221" s="152" t="s">
        <v>115</v>
      </c>
      <c r="J1221" s="152" t="s">
        <v>6</v>
      </c>
      <c r="K1221" s="152" t="s">
        <v>6081</v>
      </c>
      <c r="L1221" s="152" t="s">
        <v>120</v>
      </c>
      <c r="M1221" s="153" t="n">
        <f aca="false">3.9</f>
        <v>3.9</v>
      </c>
      <c r="N1221" s="152" t="s">
        <v>1548</v>
      </c>
      <c r="O1221" s="152" t="s">
        <v>1549</v>
      </c>
      <c r="P1221" s="152" t="s">
        <v>1550</v>
      </c>
      <c r="Q1221" s="152" t="s">
        <v>1551</v>
      </c>
      <c r="R1221" s="154" t="s">
        <v>6158</v>
      </c>
      <c r="S1221" s="154" t="s">
        <v>1553</v>
      </c>
      <c r="T1221" s="155" t="s">
        <v>4216</v>
      </c>
      <c r="U1221" s="152" t="str">
        <f aca="false">RIGHT(T1221,7)</f>
        <v>019/037</v>
      </c>
      <c r="V1221" s="152" t="s">
        <v>1555</v>
      </c>
      <c r="W1221" s="156" t="n">
        <v>45882</v>
      </c>
      <c r="X1221" s="152" t="s">
        <v>3938</v>
      </c>
      <c r="Y1221" s="152" t="s">
        <v>6143</v>
      </c>
      <c r="Z1221" s="152" t="s">
        <v>1557</v>
      </c>
      <c r="AA1221" s="153" t="n">
        <v>3.7</v>
      </c>
      <c r="AB1221" s="151" t="s">
        <v>6159</v>
      </c>
      <c r="AC1221" s="151" t="s">
        <v>186</v>
      </c>
      <c r="AD1221" s="151" t="str">
        <f aca="false">CONCATENATE($C1221,$I1221,$H1221,$N1221,$J1221,$K1221)</f>
        <v>TUBO PEADPEAD63VCAREDESZona11</v>
      </c>
      <c r="AE1221" s="153" t="n">
        <f aca="false">IFERROR(INDEX(APOIO_REDES!$A:$W,MATCH($C1221&amp;$I1221&amp;$H1221&amp;$N1221&amp;$O1221,APOIO_REDES!$W:$W,0),MATCH(AE$5,APOIO_REDES!$5:$5,0)),0)</f>
        <v>1.2</v>
      </c>
      <c r="AF1221" s="153" t="n">
        <f aca="false">IFERROR(INDEX(APOIO_REDES!$A:$W,MATCH($C1221&amp;$I1221&amp;$H1221&amp;$N1221&amp;$O1221,APOIO_REDES!$W:$W,0),MATCH(AF$5,APOIO_REDES!$5:$5,0)),0)</f>
        <v>1.363</v>
      </c>
      <c r="AG1221" s="153" t="n">
        <f aca="false">IFERROR(INDEX(APOIO_REDES!$A:$W,MATCH($C1221&amp;$I1221&amp;$H1221&amp;$N1221&amp;$O1221,APOIO_REDES!$W:$W,0),MATCH(AG$5,APOIO_REDES!$5:$5,0)),0)</f>
        <v>0.65</v>
      </c>
      <c r="AH1221" s="153" t="n">
        <f aca="false">IFERROR(INDEX(APOIO_REDES!$A:$W,MATCH($C1221&amp;$I1221&amp;$H1221&amp;$N1221&amp;$O1221,APOIO_REDES!$W:$W,0),MATCH(AH$5,APOIO_REDES!$5:$5,0)),0)</f>
        <v>0.1</v>
      </c>
      <c r="AI1221" s="153" t="n">
        <f aca="false">IFERROR(IF($H1221&lt;&gt;"",(((($H1221/1000)/2)^2)*PI()*$M1221),0),0)</f>
        <v>0.0121572567110454</v>
      </c>
      <c r="AJ1221" s="153" t="n">
        <f aca="false">IFERROR(IF(AND($H1221&lt;&gt;"",$I1221="FoFo",OR($N1221="MND",$N1221="VCA"),$Q1221="LINEAR"),0,IF(AND($H1221&lt;&gt;"",$I1221="PEAD",$N1221="VCA",$Q1221="LINEAR"),($H1221/1000)+0.3,IF(AND($H1221&lt;&gt;"",$I1221="PEAD",$N1221="MND",$Q1221="EMBOQUE"),0,IF(AND($H1221&lt;&gt;"",$I1221="PVC",$N1221="VCA",$Q1221="LINEAR"),($H1221/1000)+0.2,IF(AND($H1221&lt;&gt;"",$I1221="PVC",$N1221="MND",$Q1221="EMBOQUE"),0,IF(AND($H1221&lt;&gt;"",$I1221="PEAD",$N1221="VCA",$Q1221="PREDIAL"),0,0)))))),0)</f>
        <v>0.363</v>
      </c>
      <c r="AK1221" s="153" t="n">
        <f aca="false">IF(AA1221&lt;&gt;"",AA1221,0)</f>
        <v>3.7</v>
      </c>
      <c r="AL1221" s="153" t="n">
        <f aca="false">IF(AND($N1221="MND",$Q1221="EMBOQUE"),$M1221,IF(AND($N1221="VCA",$Q1221="LINEAR"),$M1221,IF(AND($N1221="VCA",$Q1221="PREDIAL"),0,0)))</f>
        <v>3.9</v>
      </c>
      <c r="AM1221" s="153" t="n">
        <f aca="false">IF(AND($N1221="MND",$Q1221="EMBOQUE"),$M1221,IF(AND($N1221="VCA",$Q1221="LINEAR"),$M1221,IF(AND($N1221="VCA",$Q1221="PREDIAL"),0,0)))</f>
        <v>3.9</v>
      </c>
      <c r="AN1221" s="153" t="n">
        <f aca="false">ROUND(IF(AND($N1221="VCA",$M1221&lt;&gt;"",$Q1221="LINEAR"),$M1221/100,IF(AND($N1221="MND",$M1221&gt;100,$Q1221="EMBOQUE"),$M1221/100,0)),0)</f>
        <v>0</v>
      </c>
      <c r="AO1221" s="153" t="n">
        <f aca="false">IF(AND($N1221="MND",$Q1221="EMBOQUE"),$AN1221*2*2,IF(AND($N1221="VCA",$Q1221="LINEAR"),$M1221*2,IF(AND($N1221="VCA",$Q1221="PREDIAL"),0,0)))</f>
        <v>7.8</v>
      </c>
      <c r="AP1221" s="153" t="n">
        <f aca="false">IFERROR($M1221*$AF1221*$AG1221,0)</f>
        <v>3.455205</v>
      </c>
      <c r="AQ1221" s="153" t="n">
        <f aca="false">IFERROR(IF(AND($N1221="VCA",$AH1221&gt;0),$M1221*$AG1221*$AH1221,0),0)</f>
        <v>0.2535</v>
      </c>
      <c r="AR1221" s="153" t="n">
        <f aca="false">IFERROR(IF(AND($N1221="VCA",$AJ1221&gt;0),($M1221*$AG1221*$AJ1221)-$AI1221,0),0)</f>
        <v>0.908047743288955</v>
      </c>
      <c r="AS1221" s="153" t="n">
        <f aca="false">IFERROR(IF(AND($N1221="VCA",$AP1221&gt;0),$AP1221-$AI1221-$AQ1221-$AR1221,0),0)</f>
        <v>2.2815</v>
      </c>
      <c r="AT1221" s="153" t="n">
        <f aca="false">IFERROR(IF($N1221="VCA",INDEX(APOIO_REDES!$A:$W,MATCH($C1221&amp;$I1221&amp;$H1221&amp;$N1221&amp;$O1221,APOIO_REDES!$W:$W,0),MATCH(AT$5,APOIO_REDES!$5:$5,0)),0)*$AP1221,0)</f>
        <v>0.037593653088477</v>
      </c>
      <c r="AU1221" s="153" t="n">
        <f aca="false">IFERROR(IF($N1221="VCA",INDEX(APOIO_REDES!$A:$W,MATCH($C1221&amp;$I1221&amp;$H1221&amp;$N1221&amp;$O1221,APOIO_REDES!$W:$W,0),MATCH(AU$5,APOIO_REDES!$5:$5,0)),0)*$AP1221,0)</f>
        <v>0.0300212731912079</v>
      </c>
      <c r="AV1221" s="153" t="n">
        <f aca="false">IFERROR(IF($N1221="VCA",INDEX(APOIO_REDES!$A:$W,MATCH($C1221&amp;$I1221&amp;$H1221&amp;$N1221&amp;$O1221,APOIO_REDES!$W:$W,0),MATCH(AV$5,APOIO_REDES!$5:$5,0)),0)*$AP1221,0)</f>
        <v>0.0041547085334282</v>
      </c>
      <c r="AW1221" s="153" t="n">
        <f aca="false">IFERROR(IF($N1221="VCA",INDEX(APOIO_REDES!$A:$W,MATCH($C1221&amp;$I1221&amp;$H1221&amp;$N1221&amp;$O1221,APOIO_REDES!$W:$W,0),MATCH(AW$5,APOIO_REDES!$5:$5,0)),0)*$AP1221,0)</f>
        <v>2.37167948423476</v>
      </c>
      <c r="AX1221" s="153" t="n">
        <f aca="false">IFERROR(IF($N1221="VCA",INDEX(APOIO_REDES!$A:$W,MATCH($C1221&amp;$I1221&amp;$H1221&amp;$N1221&amp;$O1221,APOIO_REDES!$W:$W,0),MATCH(AX$5,APOIO_REDES!$5:$5,0)),0)*$AP1221,0)</f>
        <v>0.328233684761199</v>
      </c>
      <c r="AY1221" s="153" t="n">
        <f aca="false">IFERROR(IF($N1221="VCA",INDEX(APOIO_REDES!$A:$W,MATCH($C1221&amp;$I1221&amp;$H1221&amp;$N1221&amp;$O1221,APOIO_REDES!$W:$W,0),MATCH(AY$5,APOIO_REDES!$5:$5,0)),0)*$AP1221,0)</f>
        <v>0.600425097867271</v>
      </c>
      <c r="AZ1221" s="153" t="n">
        <f aca="false">IFERROR(IF($N1221="VCA",INDEX(APOIO_REDES!$A:$W,MATCH($C1221&amp;$I1221&amp;$H1221&amp;$N1221&amp;$O1221,APOIO_REDES!$W:$W,0),MATCH(AZ$5,APOIO_REDES!$5:$5,0)),0)*$AP1221,0)</f>
        <v>0.0830970983236568</v>
      </c>
      <c r="BA1221" s="153" t="n">
        <f aca="false">IFERROR(IF(AND($N1221="VCA",$Q1221="LINEAR"),INDEX(APOIO_REDES!$A:$W,MATCH($C1221&amp;$I1221&amp;$H1221&amp;$N1221&amp;$O1221,APOIO_REDES!$W:$W,0),MATCH(BA$5,APOIO_REDES!$5:$5,0)),IF(AND($N1221="MND",$Q1221="EMBOQUE"),INDEX(APOIO_REDES!$A:$W,MATCH($C1221&amp;$I1221&amp;$H1221&amp;$N1221&amp;$O1221,APOIO_REDES!$W:$W,0),MATCH(BA$5,APOIO_REDES!$5:$5,0)),0))*$M1221/10,0)</f>
        <v>0.314330162561143</v>
      </c>
      <c r="BB1221" s="153" t="n">
        <f aca="false">IFERROR(IF($N1221="VCA",INDEX(APOIO_REDES!$A:$W,MATCH($C1221&amp;$I1221&amp;$H1221&amp;$N1221&amp;$O1221,APOIO_REDES!$W:$W,0),MATCH(BB$5,APOIO_REDES!$5:$5,0)),0)*($AI1221+$AQ1221+$AR1221),0)</f>
        <v>1.16093474220105</v>
      </c>
      <c r="BC1221" s="153" t="n">
        <f aca="false">IFERROR(IF($N1221="VCA",INDEX(APOIO_REDES!$A:$W,MATCH($C1221&amp;$I1221&amp;$H1221&amp;$N1221&amp;$O1221,APOIO_REDES!$W:$W,0),MATCH(BC$5,APOIO_REDES!$5:$5,0)),0)*($AI1221+$AQ1221+$AR1221),0)</f>
        <v>0.0127702577989471</v>
      </c>
      <c r="BD1221" s="153" t="n">
        <f aca="false">IF(AND($N1221="VCA",$AF1221&gt;=1.25,$AF1221&lt;1.5),$M1221*$AF1221*2,0)</f>
        <v>10.6314</v>
      </c>
      <c r="BE1221" s="153" t="n">
        <f aca="false">IF(AND($N1221="VCA",$AF1221&gt;=1.5,$AF1221&lt;3),$M1221*$AF1221*2,0)</f>
        <v>0</v>
      </c>
      <c r="BF1221" s="153" t="n">
        <f aca="false">IF(AND($N1221="VCA",$AF1221&gt;=3),$M1221*$AF1221*2,0)</f>
        <v>0</v>
      </c>
      <c r="BG1221" s="153" t="n">
        <f aca="false">($BB1221+$BC1221)*$AK1221</f>
        <v>4.3427085</v>
      </c>
      <c r="BH1221" s="153" t="n">
        <f aca="false">IF(AND($M1221&lt;&gt;"",$N1221="VCA",$Q1221="LINEAR"),($M1221*2)/100,IF(AND($M1221&lt;&gt;"",$N1221="MND",$Q1221="EMBOQUE"),($AN1221*2)/100,0))</f>
        <v>0.078</v>
      </c>
      <c r="BI1221" s="153" t="n">
        <f aca="false">IF(AND($M1221&lt;&gt;"",$N1221="VCA",$Q1221="LINEAR"),$M1221,IF(AND($M1221&lt;&gt;"",$N1221="MND",$Q1221="EMBOQUE"),$AN1221*2,0))</f>
        <v>3.9</v>
      </c>
      <c r="BJ1221" s="153" t="n">
        <f aca="false">IF(AND($M1221&lt;&gt;"",$N1221="VCA",$Q1221="LINEAR"),($M1221*6.8)/100,IF(AND($M1221&lt;&gt;"",$N1221="MND",$Q1221="EMBOQUE"),($AN1221*2*6.8)/100,0))</f>
        <v>0.2652</v>
      </c>
      <c r="BK1221" s="153" t="n">
        <f aca="false">IF(AND($M1221&lt;&gt;"",$N1221="VCA",$Q1221="LINEAR"),($M1221*2.5)/50,IF(AND($M1221&lt;&gt;"",$N1221="MND",$Q1221="EMBOQUE"),($AN1221*2*2.5)/50,0))</f>
        <v>0.195</v>
      </c>
      <c r="BL1221" s="157" t="str">
        <f aca="false">K1221&amp;J1221</f>
        <v>Zona11REDES</v>
      </c>
      <c r="BM1221" s="152" t="s">
        <v>6084</v>
      </c>
      <c r="BN1221" s="152" t="s">
        <v>1560</v>
      </c>
      <c r="BO1221" s="152" t="s">
        <v>4218</v>
      </c>
      <c r="BP1221" s="152" t="s">
        <v>6145</v>
      </c>
      <c r="BQ1221" s="152" t="s">
        <v>6160</v>
      </c>
      <c r="BR1221" s="152" t="s">
        <v>6161</v>
      </c>
      <c r="BS1221" s="152" t="n">
        <v>204312.642</v>
      </c>
      <c r="BT1221" s="152" t="n">
        <v>8236376.179</v>
      </c>
      <c r="BU1221" s="152" t="n">
        <v>204313.789</v>
      </c>
      <c r="BV1221" s="152" t="n">
        <v>8236372.456</v>
      </c>
      <c r="BW1221" s="152" t="n">
        <v>-15.9343008</v>
      </c>
      <c r="BX1221" s="152" t="n">
        <v>-47.7618298</v>
      </c>
      <c r="BY1221" s="152" t="s">
        <v>6145</v>
      </c>
    </row>
    <row r="1222" customFormat="false" ht="13.8" hidden="false" customHeight="false" outlineLevel="0" collapsed="false">
      <c r="A1222" s="149" t="n">
        <f aca="false">IF(C1222&lt;&gt;"",ROW(A1217),"")</f>
        <v>1217</v>
      </c>
      <c r="B1222" s="150" t="str">
        <f aca="false">HYPERLINK("https://www.google.com/maps/dir/-15.917302,-47.760003/-15.9343954,-47.7623038/data=!4m3!4m2!3e0!5i2")</f>
        <v>https://www.google.com/maps/dir/-15.917302,-47.760003/-15.9343954,-47.7623038/data=!4m3!4m2!3e0!5i2</v>
      </c>
      <c r="C1222" s="151" t="s">
        <v>117</v>
      </c>
      <c r="D1222" s="152" t="s">
        <v>112</v>
      </c>
      <c r="E1222" s="152" t="s">
        <v>113</v>
      </c>
      <c r="F1222" s="152" t="s">
        <v>117</v>
      </c>
      <c r="G1222" s="152" t="s">
        <v>782</v>
      </c>
      <c r="H1222" s="152" t="n">
        <v>63</v>
      </c>
      <c r="I1222" s="152" t="s">
        <v>115</v>
      </c>
      <c r="J1222" s="152" t="s">
        <v>6</v>
      </c>
      <c r="K1222" s="152" t="s">
        <v>6081</v>
      </c>
      <c r="L1222" s="152" t="s">
        <v>120</v>
      </c>
      <c r="M1222" s="153" t="n">
        <f aca="false">51.74</f>
        <v>51.74</v>
      </c>
      <c r="N1222" s="152" t="s">
        <v>1548</v>
      </c>
      <c r="O1222" s="152" t="s">
        <v>1549</v>
      </c>
      <c r="P1222" s="152" t="s">
        <v>1550</v>
      </c>
      <c r="Q1222" s="152" t="s">
        <v>1551</v>
      </c>
      <c r="R1222" s="154" t="s">
        <v>6162</v>
      </c>
      <c r="S1222" s="154" t="s">
        <v>1553</v>
      </c>
      <c r="T1222" s="155" t="s">
        <v>4216</v>
      </c>
      <c r="U1222" s="152" t="str">
        <f aca="false">RIGHT(T1222,7)</f>
        <v>019/037</v>
      </c>
      <c r="V1222" s="152" t="s">
        <v>1555</v>
      </c>
      <c r="W1222" s="156" t="n">
        <v>45882</v>
      </c>
      <c r="X1222" s="152" t="s">
        <v>3938</v>
      </c>
      <c r="Y1222" s="152" t="s">
        <v>2916</v>
      </c>
      <c r="Z1222" s="152" t="s">
        <v>1557</v>
      </c>
      <c r="AA1222" s="153" t="n">
        <v>5</v>
      </c>
      <c r="AB1222" s="151" t="s">
        <v>6163</v>
      </c>
      <c r="AC1222" s="151" t="s">
        <v>186</v>
      </c>
      <c r="AD1222" s="151" t="str">
        <f aca="false">CONCATENATE($C1222,$I1222,$H1222,$N1222,$J1222,$K1222)</f>
        <v>TUBO PEADPEAD63VCAREDESZona11</v>
      </c>
      <c r="AE1222" s="153" t="n">
        <f aca="false">IFERROR(INDEX(APOIO_REDES!$A:$W,MATCH($C1222&amp;$I1222&amp;$H1222&amp;$N1222&amp;$O1222,APOIO_REDES!$W:$W,0),MATCH(AE$5,APOIO_REDES!$5:$5,0)),0)</f>
        <v>1.2</v>
      </c>
      <c r="AF1222" s="153" t="n">
        <f aca="false">IFERROR(INDEX(APOIO_REDES!$A:$W,MATCH($C1222&amp;$I1222&amp;$H1222&amp;$N1222&amp;$O1222,APOIO_REDES!$W:$W,0),MATCH(AF$5,APOIO_REDES!$5:$5,0)),0)</f>
        <v>1.363</v>
      </c>
      <c r="AG1222" s="153" t="n">
        <f aca="false">IFERROR(INDEX(APOIO_REDES!$A:$W,MATCH($C1222&amp;$I1222&amp;$H1222&amp;$N1222&amp;$O1222,APOIO_REDES!$W:$W,0),MATCH(AG$5,APOIO_REDES!$5:$5,0)),0)</f>
        <v>0.65</v>
      </c>
      <c r="AH1222" s="153" t="n">
        <f aca="false">IFERROR(INDEX(APOIO_REDES!$A:$W,MATCH($C1222&amp;$I1222&amp;$H1222&amp;$N1222&amp;$O1222,APOIO_REDES!$W:$W,0),MATCH(AH$5,APOIO_REDES!$5:$5,0)),0)</f>
        <v>0.1</v>
      </c>
      <c r="AI1222" s="153" t="n">
        <f aca="false">IFERROR(IF($H1222&lt;&gt;"",(((($H1222/1000)/2)^2)*PI()*$M1222),0),0)</f>
        <v>0.161286272366536</v>
      </c>
      <c r="AJ1222" s="153" t="n">
        <f aca="false">IFERROR(IF(AND($H1222&lt;&gt;"",$I1222="FoFo",OR($N1222="MND",$N1222="VCA"),$Q1222="LINEAR"),0,IF(AND($H1222&lt;&gt;"",$I1222="PEAD",$N1222="VCA",$Q1222="LINEAR"),($H1222/1000)+0.3,IF(AND($H1222&lt;&gt;"",$I1222="PEAD",$N1222="MND",$Q1222="EMBOQUE"),0,IF(AND($H1222&lt;&gt;"",$I1222="PVC",$N1222="VCA",$Q1222="LINEAR"),($H1222/1000)+0.2,IF(AND($H1222&lt;&gt;"",$I1222="PVC",$N1222="MND",$Q1222="EMBOQUE"),0,IF(AND($H1222&lt;&gt;"",$I1222="PEAD",$N1222="VCA",$Q1222="PREDIAL"),0,0)))))),0)</f>
        <v>0.363</v>
      </c>
      <c r="AK1222" s="153" t="n">
        <f aca="false">IF(AA1222&lt;&gt;"",AA1222,0)</f>
        <v>5</v>
      </c>
      <c r="AL1222" s="153" t="n">
        <f aca="false">IF(AND($N1222="MND",$Q1222="EMBOQUE"),$M1222,IF(AND($N1222="VCA",$Q1222="LINEAR"),$M1222,IF(AND($N1222="VCA",$Q1222="PREDIAL"),0,0)))</f>
        <v>51.74</v>
      </c>
      <c r="AM1222" s="153" t="n">
        <f aca="false">IF(AND($N1222="MND",$Q1222="EMBOQUE"),$M1222,IF(AND($N1222="VCA",$Q1222="LINEAR"),$M1222,IF(AND($N1222="VCA",$Q1222="PREDIAL"),0,0)))</f>
        <v>51.74</v>
      </c>
      <c r="AN1222" s="153" t="n">
        <f aca="false">ROUND(IF(AND($N1222="VCA",$M1222&lt;&gt;"",$Q1222="LINEAR"),$M1222/100,IF(AND($N1222="MND",$M1222&gt;100,$Q1222="EMBOQUE"),$M1222/100,0)),0)</f>
        <v>1</v>
      </c>
      <c r="AO1222" s="153" t="n">
        <f aca="false">IF(AND($N1222="MND",$Q1222="EMBOQUE"),$AN1222*2*2,IF(AND($N1222="VCA",$Q1222="LINEAR"),$M1222*2,IF(AND($N1222="VCA",$Q1222="PREDIAL"),0,0)))</f>
        <v>103.48</v>
      </c>
      <c r="AP1222" s="153" t="n">
        <f aca="false">IFERROR($M1222*$AF1222*$AG1222,0)</f>
        <v>45.839053</v>
      </c>
      <c r="AQ1222" s="153" t="n">
        <f aca="false">IFERROR(IF(AND($N1222="VCA",$AH1222&gt;0),$M1222*$AG1222*$AH1222,0),0)</f>
        <v>3.3631</v>
      </c>
      <c r="AR1222" s="153" t="n">
        <f aca="false">IFERROR(IF(AND($N1222="VCA",$AJ1222&gt;0),($M1222*$AG1222*$AJ1222)-$AI1222,0),0)</f>
        <v>12.0467667276335</v>
      </c>
      <c r="AS1222" s="153" t="n">
        <f aca="false">IFERROR(IF(AND($N1222="VCA",$AP1222&gt;0),$AP1222-$AI1222-$AQ1222-$AR1222,0),0)</f>
        <v>30.2679</v>
      </c>
      <c r="AT1222" s="153" t="n">
        <f aca="false">IFERROR(IF($N1222="VCA",INDEX(APOIO_REDES!$A:$W,MATCH($C1222&amp;$I1222&amp;$H1222&amp;$N1222&amp;$O1222,APOIO_REDES!$W:$W,0),MATCH(AT$5,APOIO_REDES!$5:$5,0)),0)*$AP1222,0)</f>
        <v>0.498742464307128</v>
      </c>
      <c r="AU1222" s="153" t="n">
        <f aca="false">IFERROR(IF($N1222="VCA",INDEX(APOIO_REDES!$A:$W,MATCH($C1222&amp;$I1222&amp;$H1222&amp;$N1222&amp;$O1222,APOIO_REDES!$W:$W,0),MATCH(AU$5,APOIO_REDES!$5:$5,0)),0)*$AP1222,0)</f>
        <v>0.398282224336691</v>
      </c>
      <c r="AV1222" s="153" t="n">
        <f aca="false">IFERROR(IF($N1222="VCA",INDEX(APOIO_REDES!$A:$W,MATCH($C1222&amp;$I1222&amp;$H1222&amp;$N1222&amp;$O1222,APOIO_REDES!$W:$W,0),MATCH(AV$5,APOIO_REDES!$5:$5,0)),0)*$AP1222,0)</f>
        <v>0.0551191332101475</v>
      </c>
      <c r="AW1222" s="153" t="n">
        <f aca="false">IFERROR(IF($N1222="VCA",INDEX(APOIO_REDES!$A:$W,MATCH($C1222&amp;$I1222&amp;$H1222&amp;$N1222&amp;$O1222,APOIO_REDES!$W:$W,0),MATCH(AW$5,APOIO_REDES!$5:$5,0)),0)*$AP1222,0)</f>
        <v>31.4642811575145</v>
      </c>
      <c r="AX1222" s="153" t="n">
        <f aca="false">IFERROR(IF($N1222="VCA",INDEX(APOIO_REDES!$A:$W,MATCH($C1222&amp;$I1222&amp;$H1222&amp;$N1222&amp;$O1222,APOIO_REDES!$W:$W,0),MATCH(AX$5,APOIO_REDES!$5:$5,0)),0)*$AP1222,0)</f>
        <v>4.35456688449857</v>
      </c>
      <c r="AY1222" s="153" t="n">
        <f aca="false">IFERROR(IF($N1222="VCA",INDEX(APOIO_REDES!$A:$W,MATCH($C1222&amp;$I1222&amp;$H1222&amp;$N1222&amp;$O1222,APOIO_REDES!$W:$W,0),MATCH(AY$5,APOIO_REDES!$5:$5,0)),0)*$AP1222,0)</f>
        <v>7.96563963170579</v>
      </c>
      <c r="AZ1222" s="153" t="n">
        <f aca="false">IFERROR(IF($N1222="VCA",INDEX(APOIO_REDES!$A:$W,MATCH($C1222&amp;$I1222&amp;$H1222&amp;$N1222&amp;$O1222,APOIO_REDES!$W:$W,0),MATCH(AZ$5,APOIO_REDES!$5:$5,0)),0)*$AP1222,0)</f>
        <v>1.10242150442718</v>
      </c>
      <c r="BA1222" s="153" t="n">
        <f aca="false">IFERROR(IF(AND($N1222="VCA",$Q1222="LINEAR"),INDEX(APOIO_REDES!$A:$W,MATCH($C1222&amp;$I1222&amp;$H1222&amp;$N1222&amp;$O1222,APOIO_REDES!$W:$W,0),MATCH(BA$5,APOIO_REDES!$5:$5,0)),IF(AND($N1222="MND",$Q1222="EMBOQUE"),INDEX(APOIO_REDES!$A:$W,MATCH($C1222&amp;$I1222&amp;$H1222&amp;$N1222&amp;$O1222,APOIO_REDES!$W:$W,0),MATCH(BA$5,APOIO_REDES!$5:$5,0)),0))*$M1222/10,0)</f>
        <v>4.17011348997783</v>
      </c>
      <c r="BB1222" s="153" t="n">
        <f aca="false">IFERROR(IF($N1222="VCA",INDEX(APOIO_REDES!$A:$W,MATCH($C1222&amp;$I1222&amp;$H1222&amp;$N1222&amp;$O1222,APOIO_REDES!$W:$W,0),MATCH(BB$5,APOIO_REDES!$5:$5,0)),0)*($AI1222+$AQ1222+$AR1222),0)</f>
        <v>15.401734246534</v>
      </c>
      <c r="BC1222" s="153" t="n">
        <f aca="false">IFERROR(IF($N1222="VCA",INDEX(APOIO_REDES!$A:$W,MATCH($C1222&amp;$I1222&amp;$H1222&amp;$N1222&amp;$O1222,APOIO_REDES!$W:$W,0),MATCH(BC$5,APOIO_REDES!$5:$5,0)),0)*($AI1222+$AQ1222+$AR1222),0)</f>
        <v>0.169418753466031</v>
      </c>
      <c r="BD1222" s="153" t="n">
        <f aca="false">IF(AND($N1222="VCA",$AF1222&gt;=1.25,$AF1222&lt;1.5),$M1222*$AF1222*2,0)</f>
        <v>141.04324</v>
      </c>
      <c r="BE1222" s="153" t="n">
        <f aca="false">IF(AND($N1222="VCA",$AF1222&gt;=1.5,$AF1222&lt;3),$M1222*$AF1222*2,0)</f>
        <v>0</v>
      </c>
      <c r="BF1222" s="153" t="n">
        <f aca="false">IF(AND($N1222="VCA",$AF1222&gt;=3),$M1222*$AF1222*2,0)</f>
        <v>0</v>
      </c>
      <c r="BG1222" s="153" t="n">
        <f aca="false">($BB1222+$BC1222)*$AK1222</f>
        <v>77.855765</v>
      </c>
      <c r="BH1222" s="153" t="n">
        <f aca="false">IF(AND($M1222&lt;&gt;"",$N1222="VCA",$Q1222="LINEAR"),($M1222*2)/100,IF(AND($M1222&lt;&gt;"",$N1222="MND",$Q1222="EMBOQUE"),($AN1222*2)/100,0))</f>
        <v>1.0348</v>
      </c>
      <c r="BI1222" s="153" t="n">
        <f aca="false">IF(AND($M1222&lt;&gt;"",$N1222="VCA",$Q1222="LINEAR"),$M1222,IF(AND($M1222&lt;&gt;"",$N1222="MND",$Q1222="EMBOQUE"),$AN1222*2,0))</f>
        <v>51.74</v>
      </c>
      <c r="BJ1222" s="153" t="n">
        <f aca="false">IF(AND($M1222&lt;&gt;"",$N1222="VCA",$Q1222="LINEAR"),($M1222*6.8)/100,IF(AND($M1222&lt;&gt;"",$N1222="MND",$Q1222="EMBOQUE"),($AN1222*2*6.8)/100,0))</f>
        <v>3.51832</v>
      </c>
      <c r="BK1222" s="153" t="n">
        <f aca="false">IF(AND($M1222&lt;&gt;"",$N1222="VCA",$Q1222="LINEAR"),($M1222*2.5)/50,IF(AND($M1222&lt;&gt;"",$N1222="MND",$Q1222="EMBOQUE"),($AN1222*2*2.5)/50,0))</f>
        <v>2.587</v>
      </c>
      <c r="BL1222" s="157" t="str">
        <f aca="false">K1222&amp;J1222</f>
        <v>Zona11REDES</v>
      </c>
      <c r="BM1222" s="152" t="s">
        <v>6084</v>
      </c>
      <c r="BN1222" s="152" t="s">
        <v>1560</v>
      </c>
      <c r="BO1222" s="152" t="s">
        <v>4218</v>
      </c>
      <c r="BP1222" s="152" t="s">
        <v>6152</v>
      </c>
      <c r="BQ1222" s="152" t="s">
        <v>6145</v>
      </c>
      <c r="BR1222" s="152" t="s">
        <v>6164</v>
      </c>
      <c r="BS1222" s="152" t="n">
        <v>204262.565</v>
      </c>
      <c r="BT1222" s="152" t="n">
        <v>8236363.162</v>
      </c>
      <c r="BU1222" s="152" t="n">
        <v>204312.642</v>
      </c>
      <c r="BV1222" s="152" t="n">
        <v>8236376.179</v>
      </c>
      <c r="BW1222" s="152" t="n">
        <v>-15.9343397</v>
      </c>
      <c r="BX1222" s="152" t="n">
        <v>-47.7620694</v>
      </c>
      <c r="BY1222" s="152" t="s">
        <v>6152</v>
      </c>
    </row>
    <row r="1223" customFormat="false" ht="13.8" hidden="false" customHeight="false" outlineLevel="0" collapsed="false">
      <c r="A1223" s="149" t="n">
        <f aca="false">IF(C1223&lt;&gt;"",ROW(A1218),"")</f>
        <v>1218</v>
      </c>
      <c r="B1223" s="150" t="str">
        <f aca="false">HYPERLINK("https://www.google.com/maps/dir/-15.917302,-47.760003/-15.9344446,-47.7622908/data=!4m3!4m2!3e0!5i2")</f>
        <v>https://www.google.com/maps/dir/-15.917302,-47.760003/-15.9344446,-47.7622908/data=!4m3!4m2!3e0!5i2</v>
      </c>
      <c r="C1223" s="151" t="s">
        <v>117</v>
      </c>
      <c r="D1223" s="152" t="s">
        <v>112</v>
      </c>
      <c r="E1223" s="152" t="s">
        <v>113</v>
      </c>
      <c r="F1223" s="152" t="s">
        <v>117</v>
      </c>
      <c r="G1223" s="152" t="s">
        <v>782</v>
      </c>
      <c r="H1223" s="152" t="n">
        <v>63</v>
      </c>
      <c r="I1223" s="152" t="s">
        <v>115</v>
      </c>
      <c r="J1223" s="152" t="s">
        <v>6</v>
      </c>
      <c r="K1223" s="152" t="s">
        <v>6081</v>
      </c>
      <c r="L1223" s="152" t="s">
        <v>120</v>
      </c>
      <c r="M1223" s="153" t="n">
        <f aca="false">51.9</f>
        <v>51.9</v>
      </c>
      <c r="N1223" s="152" t="s">
        <v>1548</v>
      </c>
      <c r="O1223" s="152" t="s">
        <v>1549</v>
      </c>
      <c r="P1223" s="152" t="s">
        <v>1550</v>
      </c>
      <c r="Q1223" s="152" t="s">
        <v>1551</v>
      </c>
      <c r="R1223" s="154" t="s">
        <v>6165</v>
      </c>
      <c r="S1223" s="154" t="s">
        <v>1553</v>
      </c>
      <c r="T1223" s="155" t="s">
        <v>4216</v>
      </c>
      <c r="U1223" s="152" t="str">
        <f aca="false">RIGHT(T1223,7)</f>
        <v>019/037</v>
      </c>
      <c r="V1223" s="152" t="s">
        <v>1555</v>
      </c>
      <c r="W1223" s="156" t="n">
        <v>45882</v>
      </c>
      <c r="X1223" s="152" t="s">
        <v>3938</v>
      </c>
      <c r="Y1223" s="152" t="s">
        <v>2916</v>
      </c>
      <c r="Z1223" s="152" t="s">
        <v>1557</v>
      </c>
      <c r="AA1223" s="153" t="n">
        <v>5</v>
      </c>
      <c r="AB1223" s="151" t="s">
        <v>6166</v>
      </c>
      <c r="AC1223" s="151" t="s">
        <v>186</v>
      </c>
      <c r="AD1223" s="151" t="str">
        <f aca="false">CONCATENATE($C1223,$I1223,$H1223,$N1223,$J1223,$K1223)</f>
        <v>TUBO PEADPEAD63VCAREDESZona11</v>
      </c>
      <c r="AE1223" s="153" t="n">
        <f aca="false">IFERROR(INDEX(APOIO_REDES!$A:$W,MATCH($C1223&amp;$I1223&amp;$H1223&amp;$N1223&amp;$O1223,APOIO_REDES!$W:$W,0),MATCH(AE$5,APOIO_REDES!$5:$5,0)),0)</f>
        <v>1.2</v>
      </c>
      <c r="AF1223" s="153" t="n">
        <f aca="false">IFERROR(INDEX(APOIO_REDES!$A:$W,MATCH($C1223&amp;$I1223&amp;$H1223&amp;$N1223&amp;$O1223,APOIO_REDES!$W:$W,0),MATCH(AF$5,APOIO_REDES!$5:$5,0)),0)</f>
        <v>1.363</v>
      </c>
      <c r="AG1223" s="153" t="n">
        <f aca="false">IFERROR(INDEX(APOIO_REDES!$A:$W,MATCH($C1223&amp;$I1223&amp;$H1223&amp;$N1223&amp;$O1223,APOIO_REDES!$W:$W,0),MATCH(AG$5,APOIO_REDES!$5:$5,0)),0)</f>
        <v>0.65</v>
      </c>
      <c r="AH1223" s="153" t="n">
        <f aca="false">IFERROR(INDEX(APOIO_REDES!$A:$W,MATCH($C1223&amp;$I1223&amp;$H1223&amp;$N1223&amp;$O1223,APOIO_REDES!$W:$W,0),MATCH(AH$5,APOIO_REDES!$5:$5,0)),0)</f>
        <v>0.1</v>
      </c>
      <c r="AI1223" s="153" t="n">
        <f aca="false">IFERROR(IF($H1223&lt;&gt;"",(((($H1223/1000)/2)^2)*PI()*$M1223),0),0)</f>
        <v>0.16178503161622</v>
      </c>
      <c r="AJ1223" s="153" t="n">
        <f aca="false">IFERROR(IF(AND($H1223&lt;&gt;"",$I1223="FoFo",OR($N1223="MND",$N1223="VCA"),$Q1223="LINEAR"),0,IF(AND($H1223&lt;&gt;"",$I1223="PEAD",$N1223="VCA",$Q1223="LINEAR"),($H1223/1000)+0.3,IF(AND($H1223&lt;&gt;"",$I1223="PEAD",$N1223="MND",$Q1223="EMBOQUE"),0,IF(AND($H1223&lt;&gt;"",$I1223="PVC",$N1223="VCA",$Q1223="LINEAR"),($H1223/1000)+0.2,IF(AND($H1223&lt;&gt;"",$I1223="PVC",$N1223="MND",$Q1223="EMBOQUE"),0,IF(AND($H1223&lt;&gt;"",$I1223="PEAD",$N1223="VCA",$Q1223="PREDIAL"),0,0)))))),0)</f>
        <v>0.363</v>
      </c>
      <c r="AK1223" s="153" t="n">
        <f aca="false">IF(AA1223&lt;&gt;"",AA1223,0)</f>
        <v>5</v>
      </c>
      <c r="AL1223" s="153" t="n">
        <f aca="false">IF(AND($N1223="MND",$Q1223="EMBOQUE"),$M1223,IF(AND($N1223="VCA",$Q1223="LINEAR"),$M1223,IF(AND($N1223="VCA",$Q1223="PREDIAL"),0,0)))</f>
        <v>51.9</v>
      </c>
      <c r="AM1223" s="153" t="n">
        <f aca="false">IF(AND($N1223="MND",$Q1223="EMBOQUE"),$M1223,IF(AND($N1223="VCA",$Q1223="LINEAR"),$M1223,IF(AND($N1223="VCA",$Q1223="PREDIAL"),0,0)))</f>
        <v>51.9</v>
      </c>
      <c r="AN1223" s="153" t="n">
        <f aca="false">ROUND(IF(AND($N1223="VCA",$M1223&lt;&gt;"",$Q1223="LINEAR"),$M1223/100,IF(AND($N1223="MND",$M1223&gt;100,$Q1223="EMBOQUE"),$M1223/100,0)),0)</f>
        <v>1</v>
      </c>
      <c r="AO1223" s="153" t="n">
        <f aca="false">IF(AND($N1223="MND",$Q1223="EMBOQUE"),$AN1223*2*2,IF(AND($N1223="VCA",$Q1223="LINEAR"),$M1223*2,IF(AND($N1223="VCA",$Q1223="PREDIAL"),0,0)))</f>
        <v>103.8</v>
      </c>
      <c r="AP1223" s="153" t="n">
        <f aca="false">IFERROR($M1223*$AF1223*$AG1223,0)</f>
        <v>45.980805</v>
      </c>
      <c r="AQ1223" s="153" t="n">
        <f aca="false">IFERROR(IF(AND($N1223="VCA",$AH1223&gt;0),$M1223*$AG1223*$AH1223,0),0)</f>
        <v>3.3735</v>
      </c>
      <c r="AR1223" s="153" t="n">
        <f aca="false">IFERROR(IF(AND($N1223="VCA",$AJ1223&gt;0),($M1223*$AG1223*$AJ1223)-$AI1223,0),0)</f>
        <v>12.0840199683838</v>
      </c>
      <c r="AS1223" s="153" t="n">
        <f aca="false">IFERROR(IF(AND($N1223="VCA",$AP1223&gt;0),$AP1223-$AI1223-$AQ1223-$AR1223,0),0)</f>
        <v>30.3615</v>
      </c>
      <c r="AT1223" s="153" t="n">
        <f aca="false">IFERROR(IF($N1223="VCA",INDEX(APOIO_REDES!$A:$W,MATCH($C1223&amp;$I1223&amp;$H1223&amp;$N1223&amp;$O1223,APOIO_REDES!$W:$W,0),MATCH(AT$5,APOIO_REDES!$5:$5,0)),0)*$AP1223,0)</f>
        <v>0.500284768023578</v>
      </c>
      <c r="AU1223" s="153" t="n">
        <f aca="false">IFERROR(IF($N1223="VCA",INDEX(APOIO_REDES!$A:$W,MATCH($C1223&amp;$I1223&amp;$H1223&amp;$N1223&amp;$O1223,APOIO_REDES!$W:$W,0),MATCH(AU$5,APOIO_REDES!$5:$5,0)),0)*$AP1223,0)</f>
        <v>0.399513866313766</v>
      </c>
      <c r="AV1223" s="153" t="n">
        <f aca="false">IFERROR(IF($N1223="VCA",INDEX(APOIO_REDES!$A:$W,MATCH($C1223&amp;$I1223&amp;$H1223&amp;$N1223&amp;$O1223,APOIO_REDES!$W:$W,0),MATCH(AV$5,APOIO_REDES!$5:$5,0)),0)*$AP1223,0)</f>
        <v>0.0552895827910061</v>
      </c>
      <c r="AW1223" s="153" t="n">
        <f aca="false">IFERROR(IF($N1223="VCA",INDEX(APOIO_REDES!$A:$W,MATCH($C1223&amp;$I1223&amp;$H1223&amp;$N1223&amp;$O1223,APOIO_REDES!$W:$W,0),MATCH(AW$5,APOIO_REDES!$5:$5,0)),0)*$AP1223,0)</f>
        <v>31.5615808286626</v>
      </c>
      <c r="AX1223" s="153" t="n">
        <f aca="false">IFERROR(IF($N1223="VCA",INDEX(APOIO_REDES!$A:$W,MATCH($C1223&amp;$I1223&amp;$H1223&amp;$N1223&amp;$O1223,APOIO_REDES!$W:$W,0),MATCH(AX$5,APOIO_REDES!$5:$5,0)),0)*$AP1223,0)</f>
        <v>4.36803288182211</v>
      </c>
      <c r="AY1223" s="153" t="n">
        <f aca="false">IFERROR(IF($N1223="VCA",INDEX(APOIO_REDES!$A:$W,MATCH($C1223&amp;$I1223&amp;$H1223&amp;$N1223&amp;$O1223,APOIO_REDES!$W:$W,0),MATCH(AY$5,APOIO_REDES!$5:$5,0)),0)*$AP1223,0)</f>
        <v>7.99027245623368</v>
      </c>
      <c r="AZ1223" s="153" t="n">
        <f aca="false">IFERROR(IF($N1223="VCA",INDEX(APOIO_REDES!$A:$W,MATCH($C1223&amp;$I1223&amp;$H1223&amp;$N1223&amp;$O1223,APOIO_REDES!$W:$W,0),MATCH(AZ$5,APOIO_REDES!$5:$5,0)),0)*$AP1223,0)</f>
        <v>1.10583061615328</v>
      </c>
      <c r="BA1223" s="153" t="n">
        <f aca="false">IFERROR(IF(AND($N1223="VCA",$Q1223="LINEAR"),INDEX(APOIO_REDES!$A:$W,MATCH($C1223&amp;$I1223&amp;$H1223&amp;$N1223&amp;$O1223,APOIO_REDES!$W:$W,0),MATCH(BA$5,APOIO_REDES!$5:$5,0)),IF(AND($N1223="MND",$Q1223="EMBOQUE"),INDEX(APOIO_REDES!$A:$W,MATCH($C1223&amp;$I1223&amp;$H1223&amp;$N1223&amp;$O1223,APOIO_REDES!$W:$W,0),MATCH(BA$5,APOIO_REDES!$5:$5,0)),0))*$M1223/10,0)</f>
        <v>4.1830090863906</v>
      </c>
      <c r="BB1223" s="153" t="n">
        <f aca="false">IFERROR(IF($N1223="VCA",INDEX(APOIO_REDES!$A:$W,MATCH($C1223&amp;$I1223&amp;$H1223&amp;$N1223&amp;$O1223,APOIO_REDES!$W:$W,0),MATCH(BB$5,APOIO_REDES!$5:$5,0)),0)*($AI1223+$AQ1223+$AR1223),0)</f>
        <v>15.4493623385217</v>
      </c>
      <c r="BC1223" s="153" t="n">
        <f aca="false">IFERROR(IF($N1223="VCA",INDEX(APOIO_REDES!$A:$W,MATCH($C1223&amp;$I1223&amp;$H1223&amp;$N1223&amp;$O1223,APOIO_REDES!$W:$W,0),MATCH(BC$5,APOIO_REDES!$5:$5,0)),0)*($AI1223+$AQ1223+$AR1223),0)</f>
        <v>0.169942661478295</v>
      </c>
      <c r="BD1223" s="153" t="n">
        <f aca="false">IF(AND($N1223="VCA",$AF1223&gt;=1.25,$AF1223&lt;1.5),$M1223*$AF1223*2,0)</f>
        <v>141.4794</v>
      </c>
      <c r="BE1223" s="153" t="n">
        <f aca="false">IF(AND($N1223="VCA",$AF1223&gt;=1.5,$AF1223&lt;3),$M1223*$AF1223*2,0)</f>
        <v>0</v>
      </c>
      <c r="BF1223" s="153" t="n">
        <f aca="false">IF(AND($N1223="VCA",$AF1223&gt;=3),$M1223*$AF1223*2,0)</f>
        <v>0</v>
      </c>
      <c r="BG1223" s="153" t="n">
        <f aca="false">($BB1223+$BC1223)*$AK1223</f>
        <v>78.096525</v>
      </c>
      <c r="BH1223" s="153" t="n">
        <f aca="false">IF(AND($M1223&lt;&gt;"",$N1223="VCA",$Q1223="LINEAR"),($M1223*2)/100,IF(AND($M1223&lt;&gt;"",$N1223="MND",$Q1223="EMBOQUE"),($AN1223*2)/100,0))</f>
        <v>1.038</v>
      </c>
      <c r="BI1223" s="153" t="n">
        <f aca="false">IF(AND($M1223&lt;&gt;"",$N1223="VCA",$Q1223="LINEAR"),$M1223,IF(AND($M1223&lt;&gt;"",$N1223="MND",$Q1223="EMBOQUE"),$AN1223*2,0))</f>
        <v>51.9</v>
      </c>
      <c r="BJ1223" s="153" t="n">
        <f aca="false">IF(AND($M1223&lt;&gt;"",$N1223="VCA",$Q1223="LINEAR"),($M1223*6.8)/100,IF(AND($M1223&lt;&gt;"",$N1223="MND",$Q1223="EMBOQUE"),($AN1223*2*6.8)/100,0))</f>
        <v>3.5292</v>
      </c>
      <c r="BK1223" s="153" t="n">
        <f aca="false">IF(AND($M1223&lt;&gt;"",$N1223="VCA",$Q1223="LINEAR"),($M1223*2.5)/50,IF(AND($M1223&lt;&gt;"",$N1223="MND",$Q1223="EMBOQUE"),($AN1223*2*2.5)/50,0))</f>
        <v>2.595</v>
      </c>
      <c r="BL1223" s="157" t="str">
        <f aca="false">K1223&amp;J1223</f>
        <v>Zona11REDES</v>
      </c>
      <c r="BM1223" s="152" t="s">
        <v>6084</v>
      </c>
      <c r="BN1223" s="152" t="s">
        <v>1560</v>
      </c>
      <c r="BO1223" s="152" t="s">
        <v>4218</v>
      </c>
      <c r="BP1223" s="152" t="s">
        <v>6167</v>
      </c>
      <c r="BQ1223" s="152" t="s">
        <v>6160</v>
      </c>
      <c r="BR1223" s="152" t="s">
        <v>6168</v>
      </c>
      <c r="BS1223" s="152" t="n">
        <v>204264.02</v>
      </c>
      <c r="BT1223" s="152" t="n">
        <v>8236357.798</v>
      </c>
      <c r="BU1223" s="152" t="n">
        <v>204313.789</v>
      </c>
      <c r="BV1223" s="152" t="n">
        <v>8236372.456</v>
      </c>
      <c r="BW1223" s="152" t="n">
        <v>-15.9343794</v>
      </c>
      <c r="BX1223" s="152" t="n">
        <v>-47.7620582</v>
      </c>
      <c r="BY1223" s="152" t="s">
        <v>6167</v>
      </c>
    </row>
    <row r="1224" customFormat="false" ht="13.8" hidden="false" customHeight="false" outlineLevel="0" collapsed="false">
      <c r="A1224" s="149" t="n">
        <f aca="false">IF(C1224&lt;&gt;"",ROW(A1219),"")</f>
        <v>1219</v>
      </c>
      <c r="B1224" s="150" t="str">
        <f aca="false">HYPERLINK("https://www.google.com/maps/dir/-15.917302,-47.760003/-15.9344446,-47.7622908/data=!4m3!4m2!3e0!5i2")</f>
        <v>https://www.google.com/maps/dir/-15.917302,-47.760003/-15.9344446,-47.7622908/data=!4m3!4m2!3e0!5i2</v>
      </c>
      <c r="C1224" s="151" t="s">
        <v>117</v>
      </c>
      <c r="D1224" s="152" t="s">
        <v>112</v>
      </c>
      <c r="E1224" s="152" t="s">
        <v>113</v>
      </c>
      <c r="F1224" s="152" t="s">
        <v>117</v>
      </c>
      <c r="G1224" s="152" t="s">
        <v>782</v>
      </c>
      <c r="H1224" s="152" t="n">
        <v>63</v>
      </c>
      <c r="I1224" s="152" t="s">
        <v>115</v>
      </c>
      <c r="J1224" s="152" t="s">
        <v>6</v>
      </c>
      <c r="K1224" s="152" t="s">
        <v>6081</v>
      </c>
      <c r="L1224" s="152" t="s">
        <v>120</v>
      </c>
      <c r="M1224" s="153" t="n">
        <f aca="false">5.56</f>
        <v>5.56</v>
      </c>
      <c r="N1224" s="152" t="s">
        <v>1548</v>
      </c>
      <c r="O1224" s="152" t="s">
        <v>1549</v>
      </c>
      <c r="P1224" s="152" t="s">
        <v>1550</v>
      </c>
      <c r="Q1224" s="152" t="s">
        <v>1551</v>
      </c>
      <c r="R1224" s="154" t="s">
        <v>6169</v>
      </c>
      <c r="S1224" s="154" t="s">
        <v>1553</v>
      </c>
      <c r="T1224" s="155" t="s">
        <v>4216</v>
      </c>
      <c r="U1224" s="152" t="str">
        <f aca="false">RIGHT(T1224,7)</f>
        <v>019/037</v>
      </c>
      <c r="V1224" s="152" t="s">
        <v>1555</v>
      </c>
      <c r="W1224" s="156" t="n">
        <v>45882</v>
      </c>
      <c r="X1224" s="152" t="s">
        <v>3938</v>
      </c>
      <c r="Y1224" s="152" t="s">
        <v>2916</v>
      </c>
      <c r="Z1224" s="152" t="s">
        <v>1557</v>
      </c>
      <c r="AA1224" s="153" t="n">
        <v>5</v>
      </c>
      <c r="AB1224" s="151" t="s">
        <v>6170</v>
      </c>
      <c r="AC1224" s="151" t="s">
        <v>186</v>
      </c>
      <c r="AD1224" s="151" t="str">
        <f aca="false">CONCATENATE($C1224,$I1224,$H1224,$N1224,$J1224,$K1224)</f>
        <v>TUBO PEADPEAD63VCAREDESZona11</v>
      </c>
      <c r="AE1224" s="153" t="n">
        <f aca="false">IFERROR(INDEX(APOIO_REDES!$A:$W,MATCH($C1224&amp;$I1224&amp;$H1224&amp;$N1224&amp;$O1224,APOIO_REDES!$W:$W,0),MATCH(AE$5,APOIO_REDES!$5:$5,0)),0)</f>
        <v>1.2</v>
      </c>
      <c r="AF1224" s="153" t="n">
        <f aca="false">IFERROR(INDEX(APOIO_REDES!$A:$W,MATCH($C1224&amp;$I1224&amp;$H1224&amp;$N1224&amp;$O1224,APOIO_REDES!$W:$W,0),MATCH(AF$5,APOIO_REDES!$5:$5,0)),0)</f>
        <v>1.363</v>
      </c>
      <c r="AG1224" s="153" t="n">
        <f aca="false">IFERROR(INDEX(APOIO_REDES!$A:$W,MATCH($C1224&amp;$I1224&amp;$H1224&amp;$N1224&amp;$O1224,APOIO_REDES!$W:$W,0),MATCH(AG$5,APOIO_REDES!$5:$5,0)),0)</f>
        <v>0.65</v>
      </c>
      <c r="AH1224" s="153" t="n">
        <f aca="false">IFERROR(INDEX(APOIO_REDES!$A:$W,MATCH($C1224&amp;$I1224&amp;$H1224&amp;$N1224&amp;$O1224,APOIO_REDES!$W:$W,0),MATCH(AH$5,APOIO_REDES!$5:$5,0)),0)</f>
        <v>0.1</v>
      </c>
      <c r="AI1224" s="153" t="n">
        <f aca="false">IFERROR(IF($H1224&lt;&gt;"",(((($H1224/1000)/2)^2)*PI()*$M1224),0),0)</f>
        <v>0.0173318839265161</v>
      </c>
      <c r="AJ1224" s="153" t="n">
        <f aca="false">IFERROR(IF(AND($H1224&lt;&gt;"",$I1224="FoFo",OR($N1224="MND",$N1224="VCA"),$Q1224="LINEAR"),0,IF(AND($H1224&lt;&gt;"",$I1224="PEAD",$N1224="VCA",$Q1224="LINEAR"),($H1224/1000)+0.3,IF(AND($H1224&lt;&gt;"",$I1224="PEAD",$N1224="MND",$Q1224="EMBOQUE"),0,IF(AND($H1224&lt;&gt;"",$I1224="PVC",$N1224="VCA",$Q1224="LINEAR"),($H1224/1000)+0.2,IF(AND($H1224&lt;&gt;"",$I1224="PVC",$N1224="MND",$Q1224="EMBOQUE"),0,IF(AND($H1224&lt;&gt;"",$I1224="PEAD",$N1224="VCA",$Q1224="PREDIAL"),0,0)))))),0)</f>
        <v>0.363</v>
      </c>
      <c r="AK1224" s="153" t="n">
        <f aca="false">IF(AA1224&lt;&gt;"",AA1224,0)</f>
        <v>5</v>
      </c>
      <c r="AL1224" s="153" t="n">
        <f aca="false">IF(AND($N1224="MND",$Q1224="EMBOQUE"),$M1224,IF(AND($N1224="VCA",$Q1224="LINEAR"),$M1224,IF(AND($N1224="VCA",$Q1224="PREDIAL"),0,0)))</f>
        <v>5.56</v>
      </c>
      <c r="AM1224" s="153" t="n">
        <f aca="false">IF(AND($N1224="MND",$Q1224="EMBOQUE"),$M1224,IF(AND($N1224="VCA",$Q1224="LINEAR"),$M1224,IF(AND($N1224="VCA",$Q1224="PREDIAL"),0,0)))</f>
        <v>5.56</v>
      </c>
      <c r="AN1224" s="153" t="n">
        <f aca="false">ROUND(IF(AND($N1224="VCA",$M1224&lt;&gt;"",$Q1224="LINEAR"),$M1224/100,IF(AND($N1224="MND",$M1224&gt;100,$Q1224="EMBOQUE"),$M1224/100,0)),0)</f>
        <v>0</v>
      </c>
      <c r="AO1224" s="153" t="n">
        <f aca="false">IF(AND($N1224="MND",$Q1224="EMBOQUE"),$AN1224*2*2,IF(AND($N1224="VCA",$Q1224="LINEAR"),$M1224*2,IF(AND($N1224="VCA",$Q1224="PREDIAL"),0,0)))</f>
        <v>11.12</v>
      </c>
      <c r="AP1224" s="153" t="n">
        <f aca="false">IFERROR($M1224*$AF1224*$AG1224,0)</f>
        <v>4.925882</v>
      </c>
      <c r="AQ1224" s="153" t="n">
        <f aca="false">IFERROR(IF(AND($N1224="VCA",$AH1224&gt;0),$M1224*$AG1224*$AH1224,0),0)</f>
        <v>0.3614</v>
      </c>
      <c r="AR1224" s="153" t="n">
        <f aca="false">IFERROR(IF(AND($N1224="VCA",$AJ1224&gt;0),($M1224*$AG1224*$AJ1224)-$AI1224,0),0)</f>
        <v>1.29455011607348</v>
      </c>
      <c r="AS1224" s="153" t="n">
        <f aca="false">IFERROR(IF(AND($N1224="VCA",$AP1224&gt;0),$AP1224-$AI1224-$AQ1224-$AR1224,0),0)</f>
        <v>3.2526</v>
      </c>
      <c r="AT1224" s="153" t="n">
        <f aca="false">IFERROR(IF($N1224="VCA",INDEX(APOIO_REDES!$A:$W,MATCH($C1224&amp;$I1224&amp;$H1224&amp;$N1224&amp;$O1224,APOIO_REDES!$W:$W,0),MATCH(AT$5,APOIO_REDES!$5:$5,0)),0)*$AP1224,0)</f>
        <v>0.0535950541466492</v>
      </c>
      <c r="AU1224" s="153" t="n">
        <f aca="false">IFERROR(IF($N1224="VCA",INDEX(APOIO_REDES!$A:$W,MATCH($C1224&amp;$I1224&amp;$H1224&amp;$N1224&amp;$O1224,APOIO_REDES!$W:$W,0),MATCH(AU$5,APOIO_REDES!$5:$5,0)),0)*$AP1224,0)</f>
        <v>0.042799558703363</v>
      </c>
      <c r="AV1224" s="153" t="n">
        <f aca="false">IFERROR(IF($N1224="VCA",INDEX(APOIO_REDES!$A:$W,MATCH($C1224&amp;$I1224&amp;$H1224&amp;$N1224&amp;$O1224,APOIO_REDES!$W:$W,0),MATCH(AV$5,APOIO_REDES!$5:$5,0)),0)*$AP1224,0)</f>
        <v>0.00592312293483611</v>
      </c>
      <c r="AW1224" s="153" t="n">
        <f aca="false">IFERROR(IF($N1224="VCA",INDEX(APOIO_REDES!$A:$W,MATCH($C1224&amp;$I1224&amp;$H1224&amp;$N1224&amp;$O1224,APOIO_REDES!$W:$W,0),MATCH(AW$5,APOIO_REDES!$5:$5,0)),0)*$AP1224,0)</f>
        <v>3.38116357239622</v>
      </c>
      <c r="AX1224" s="153" t="n">
        <f aca="false">IFERROR(IF($N1224="VCA",INDEX(APOIO_REDES!$A:$W,MATCH($C1224&amp;$I1224&amp;$H1224&amp;$N1224&amp;$O1224,APOIO_REDES!$W:$W,0),MATCH(AX$5,APOIO_REDES!$5:$5,0)),0)*$AP1224,0)</f>
        <v>0.467943406992889</v>
      </c>
      <c r="AY1224" s="153" t="n">
        <f aca="false">IFERROR(IF($N1224="VCA",INDEX(APOIO_REDES!$A:$W,MATCH($C1224&amp;$I1224&amp;$H1224&amp;$N1224&amp;$O1224,APOIO_REDES!$W:$W,0),MATCH(AY$5,APOIO_REDES!$5:$5,0)),0)*$AP1224,0)</f>
        <v>0.855990652344109</v>
      </c>
      <c r="AZ1224" s="153" t="n">
        <f aca="false">IFERROR(IF($N1224="VCA",INDEX(APOIO_REDES!$A:$W,MATCH($C1224&amp;$I1224&amp;$H1224&amp;$N1224&amp;$O1224,APOIO_REDES!$W:$W,0),MATCH(AZ$5,APOIO_REDES!$5:$5,0)),0)*$AP1224,0)</f>
        <v>0.118466632481931</v>
      </c>
      <c r="BA1224" s="153" t="n">
        <f aca="false">IFERROR(IF(AND($N1224="VCA",$Q1224="LINEAR"),INDEX(APOIO_REDES!$A:$W,MATCH($C1224&amp;$I1224&amp;$H1224&amp;$N1224&amp;$O1224,APOIO_REDES!$W:$W,0),MATCH(BA$5,APOIO_REDES!$5:$5,0)),IF(AND($N1224="MND",$Q1224="EMBOQUE"),INDEX(APOIO_REDES!$A:$W,MATCH($C1224&amp;$I1224&amp;$H1224&amp;$N1224&amp;$O1224,APOIO_REDES!$W:$W,0),MATCH(BA$5,APOIO_REDES!$5:$5,0)),0))*$M1224/10,0)</f>
        <v>0.448121975343578</v>
      </c>
      <c r="BB1224" s="153" t="n">
        <f aca="false">IFERROR(IF($N1224="VCA",INDEX(APOIO_REDES!$A:$W,MATCH($C1224&amp;$I1224&amp;$H1224&amp;$N1224&amp;$O1224,APOIO_REDES!$W:$W,0),MATCH(BB$5,APOIO_REDES!$5:$5,0)),0)*($AI1224+$AQ1224+$AR1224),0)</f>
        <v>1.65507619657381</v>
      </c>
      <c r="BC1224" s="153" t="n">
        <f aca="false">IFERROR(IF($N1224="VCA",INDEX(APOIO_REDES!$A:$W,MATCH($C1224&amp;$I1224&amp;$H1224&amp;$N1224&amp;$O1224,APOIO_REDES!$W:$W,0),MATCH(BC$5,APOIO_REDES!$5:$5,0)),0)*($AI1224+$AQ1224+$AR1224),0)</f>
        <v>0.0182058034261912</v>
      </c>
      <c r="BD1224" s="153" t="n">
        <f aca="false">IF(AND($N1224="VCA",$AF1224&gt;=1.25,$AF1224&lt;1.5),$M1224*$AF1224*2,0)</f>
        <v>15.15656</v>
      </c>
      <c r="BE1224" s="153" t="n">
        <f aca="false">IF(AND($N1224="VCA",$AF1224&gt;=1.5,$AF1224&lt;3),$M1224*$AF1224*2,0)</f>
        <v>0</v>
      </c>
      <c r="BF1224" s="153" t="n">
        <f aca="false">IF(AND($N1224="VCA",$AF1224&gt;=3),$M1224*$AF1224*2,0)</f>
        <v>0</v>
      </c>
      <c r="BG1224" s="153" t="n">
        <f aca="false">($BB1224+$BC1224)*$AK1224</f>
        <v>8.36641</v>
      </c>
      <c r="BH1224" s="153" t="n">
        <f aca="false">IF(AND($M1224&lt;&gt;"",$N1224="VCA",$Q1224="LINEAR"),($M1224*2)/100,IF(AND($M1224&lt;&gt;"",$N1224="MND",$Q1224="EMBOQUE"),($AN1224*2)/100,0))</f>
        <v>0.1112</v>
      </c>
      <c r="BI1224" s="153" t="n">
        <f aca="false">IF(AND($M1224&lt;&gt;"",$N1224="VCA",$Q1224="LINEAR"),$M1224,IF(AND($M1224&lt;&gt;"",$N1224="MND",$Q1224="EMBOQUE"),$AN1224*2,0))</f>
        <v>5.56</v>
      </c>
      <c r="BJ1224" s="153" t="n">
        <f aca="false">IF(AND($M1224&lt;&gt;"",$N1224="VCA",$Q1224="LINEAR"),($M1224*6.8)/100,IF(AND($M1224&lt;&gt;"",$N1224="MND",$Q1224="EMBOQUE"),($AN1224*2*6.8)/100,0))</f>
        <v>0.37808</v>
      </c>
      <c r="BK1224" s="153" t="n">
        <f aca="false">IF(AND($M1224&lt;&gt;"",$N1224="VCA",$Q1224="LINEAR"),($M1224*2.5)/50,IF(AND($M1224&lt;&gt;"",$N1224="MND",$Q1224="EMBOQUE"),($AN1224*2*2.5)/50,0))</f>
        <v>0.278</v>
      </c>
      <c r="BL1224" s="157" t="str">
        <f aca="false">K1224&amp;J1224</f>
        <v>Zona11REDES</v>
      </c>
      <c r="BM1224" s="152" t="s">
        <v>6084</v>
      </c>
      <c r="BN1224" s="152" t="s">
        <v>1560</v>
      </c>
      <c r="BO1224" s="152" t="s">
        <v>4218</v>
      </c>
      <c r="BP1224" s="152" t="s">
        <v>6167</v>
      </c>
      <c r="BQ1224" s="152" t="s">
        <v>6152</v>
      </c>
      <c r="BR1224" s="152" t="s">
        <v>6171</v>
      </c>
      <c r="BS1224" s="152" t="n">
        <v>204264.02</v>
      </c>
      <c r="BT1224" s="152" t="n">
        <v>8236357.798</v>
      </c>
      <c r="BU1224" s="152" t="n">
        <v>204262.565</v>
      </c>
      <c r="BV1224" s="152" t="n">
        <v>8236363.162</v>
      </c>
      <c r="BW1224" s="152" t="n">
        <v>-15.9344197</v>
      </c>
      <c r="BX1224" s="152" t="n">
        <v>-47.7622974</v>
      </c>
      <c r="BY1224" s="152" t="s">
        <v>6167</v>
      </c>
    </row>
    <row r="1225" customFormat="false" ht="13.8" hidden="false" customHeight="false" outlineLevel="0" collapsed="false">
      <c r="A1225" s="149" t="n">
        <f aca="false">IF(C1225&lt;&gt;"",ROW(A1220),"")</f>
        <v>1220</v>
      </c>
      <c r="B1225" s="150" t="str">
        <f aca="false">HYPERLINK("https://www.google.com/maps/dir/-15.917302,-47.760003/-15.9343884,-47.7638333/data=!4m3!4m2!3e0!5i2")</f>
        <v>https://www.google.com/maps/dir/-15.917302,-47.760003/-15.9343884,-47.7638333/data=!4m3!4m2!3e0!5i2</v>
      </c>
      <c r="C1225" s="151" t="s">
        <v>117</v>
      </c>
      <c r="D1225" s="152" t="s">
        <v>112</v>
      </c>
      <c r="E1225" s="152" t="s">
        <v>113</v>
      </c>
      <c r="F1225" s="152" t="s">
        <v>117</v>
      </c>
      <c r="G1225" s="152" t="s">
        <v>782</v>
      </c>
      <c r="H1225" s="152" t="n">
        <v>63</v>
      </c>
      <c r="I1225" s="152" t="s">
        <v>115</v>
      </c>
      <c r="J1225" s="152" t="s">
        <v>6</v>
      </c>
      <c r="K1225" s="152" t="s">
        <v>6081</v>
      </c>
      <c r="L1225" s="152" t="s">
        <v>120</v>
      </c>
      <c r="M1225" s="153" t="n">
        <f aca="false">46.86</f>
        <v>46.86</v>
      </c>
      <c r="N1225" s="152" t="s">
        <v>1548</v>
      </c>
      <c r="O1225" s="152" t="s">
        <v>1549</v>
      </c>
      <c r="P1225" s="152" t="s">
        <v>1550</v>
      </c>
      <c r="Q1225" s="152" t="s">
        <v>1551</v>
      </c>
      <c r="R1225" s="154" t="s">
        <v>6172</v>
      </c>
      <c r="S1225" s="154" t="s">
        <v>1553</v>
      </c>
      <c r="T1225" s="155" t="s">
        <v>4216</v>
      </c>
      <c r="U1225" s="152" t="str">
        <f aca="false">RIGHT(T1225,7)</f>
        <v>019/037</v>
      </c>
      <c r="V1225" s="152" t="s">
        <v>1555</v>
      </c>
      <c r="W1225" s="156" t="n">
        <v>45882</v>
      </c>
      <c r="X1225" s="152" t="s">
        <v>3938</v>
      </c>
      <c r="Y1225" s="152" t="s">
        <v>2524</v>
      </c>
      <c r="Z1225" s="152" t="s">
        <v>1557</v>
      </c>
      <c r="AA1225" s="153" t="n">
        <v>5.3</v>
      </c>
      <c r="AB1225" s="151" t="s">
        <v>6173</v>
      </c>
      <c r="AC1225" s="151" t="s">
        <v>186</v>
      </c>
      <c r="AD1225" s="151" t="str">
        <f aca="false">CONCATENATE($C1225,$I1225,$H1225,$N1225,$J1225,$K1225)</f>
        <v>TUBO PEADPEAD63VCAREDESZona11</v>
      </c>
      <c r="AE1225" s="153" t="n">
        <f aca="false">IFERROR(INDEX(APOIO_REDES!$A:$W,MATCH($C1225&amp;$I1225&amp;$H1225&amp;$N1225&amp;$O1225,APOIO_REDES!$W:$W,0),MATCH(AE$5,APOIO_REDES!$5:$5,0)),0)</f>
        <v>1.2</v>
      </c>
      <c r="AF1225" s="153" t="n">
        <f aca="false">IFERROR(INDEX(APOIO_REDES!$A:$W,MATCH($C1225&amp;$I1225&amp;$H1225&amp;$N1225&amp;$O1225,APOIO_REDES!$W:$W,0),MATCH(AF$5,APOIO_REDES!$5:$5,0)),0)</f>
        <v>1.363</v>
      </c>
      <c r="AG1225" s="153" t="n">
        <f aca="false">IFERROR(INDEX(APOIO_REDES!$A:$W,MATCH($C1225&amp;$I1225&amp;$H1225&amp;$N1225&amp;$O1225,APOIO_REDES!$W:$W,0),MATCH(AG$5,APOIO_REDES!$5:$5,0)),0)</f>
        <v>0.65</v>
      </c>
      <c r="AH1225" s="153" t="n">
        <f aca="false">IFERROR(INDEX(APOIO_REDES!$A:$W,MATCH($C1225&amp;$I1225&amp;$H1225&amp;$N1225&amp;$O1225,APOIO_REDES!$W:$W,0),MATCH(AH$5,APOIO_REDES!$5:$5,0)),0)</f>
        <v>0.1</v>
      </c>
      <c r="AI1225" s="153" t="n">
        <f aca="false">IFERROR(IF($H1225&lt;&gt;"",(((($H1225/1000)/2)^2)*PI()*$M1225),0),0)</f>
        <v>0.146074115251177</v>
      </c>
      <c r="AJ1225" s="153" t="n">
        <f aca="false">IFERROR(IF(AND($H1225&lt;&gt;"",$I1225="FoFo",OR($N1225="MND",$N1225="VCA"),$Q1225="LINEAR"),0,IF(AND($H1225&lt;&gt;"",$I1225="PEAD",$N1225="VCA",$Q1225="LINEAR"),($H1225/1000)+0.3,IF(AND($H1225&lt;&gt;"",$I1225="PEAD",$N1225="MND",$Q1225="EMBOQUE"),0,IF(AND($H1225&lt;&gt;"",$I1225="PVC",$N1225="VCA",$Q1225="LINEAR"),($H1225/1000)+0.2,IF(AND($H1225&lt;&gt;"",$I1225="PVC",$N1225="MND",$Q1225="EMBOQUE"),0,IF(AND($H1225&lt;&gt;"",$I1225="PEAD",$N1225="VCA",$Q1225="PREDIAL"),0,0)))))),0)</f>
        <v>0.363</v>
      </c>
      <c r="AK1225" s="153" t="n">
        <f aca="false">IF(AA1225&lt;&gt;"",AA1225,0)</f>
        <v>5.3</v>
      </c>
      <c r="AL1225" s="153" t="n">
        <f aca="false">IF(AND($N1225="MND",$Q1225="EMBOQUE"),$M1225,IF(AND($N1225="VCA",$Q1225="LINEAR"),$M1225,IF(AND($N1225="VCA",$Q1225="PREDIAL"),0,0)))</f>
        <v>46.86</v>
      </c>
      <c r="AM1225" s="153" t="n">
        <f aca="false">IF(AND($N1225="MND",$Q1225="EMBOQUE"),$M1225,IF(AND($N1225="VCA",$Q1225="LINEAR"),$M1225,IF(AND($N1225="VCA",$Q1225="PREDIAL"),0,0)))</f>
        <v>46.86</v>
      </c>
      <c r="AN1225" s="153" t="n">
        <f aca="false">ROUND(IF(AND($N1225="VCA",$M1225&lt;&gt;"",$Q1225="LINEAR"),$M1225/100,IF(AND($N1225="MND",$M1225&gt;100,$Q1225="EMBOQUE"),$M1225/100,0)),0)</f>
        <v>0</v>
      </c>
      <c r="AO1225" s="153" t="n">
        <f aca="false">IF(AND($N1225="MND",$Q1225="EMBOQUE"),$AN1225*2*2,IF(AND($N1225="VCA",$Q1225="LINEAR"),$M1225*2,IF(AND($N1225="VCA",$Q1225="PREDIAL"),0,0)))</f>
        <v>93.72</v>
      </c>
      <c r="AP1225" s="153" t="n">
        <f aca="false">IFERROR($M1225*$AF1225*$AG1225,0)</f>
        <v>41.515617</v>
      </c>
      <c r="AQ1225" s="153" t="n">
        <f aca="false">IFERROR(IF(AND($N1225="VCA",$AH1225&gt;0),$M1225*$AG1225*$AH1225,0),0)</f>
        <v>3.0459</v>
      </c>
      <c r="AR1225" s="153" t="n">
        <f aca="false">IFERROR(IF(AND($N1225="VCA",$AJ1225&gt;0),($M1225*$AG1225*$AJ1225)-$AI1225,0),0)</f>
        <v>10.9105428847488</v>
      </c>
      <c r="AS1225" s="153" t="n">
        <f aca="false">IFERROR(IF(AND($N1225="VCA",$AP1225&gt;0),$AP1225-$AI1225-$AQ1225-$AR1225,0),0)</f>
        <v>27.4131</v>
      </c>
      <c r="AT1225" s="153" t="n">
        <f aca="false">IFERROR(IF($N1225="VCA",INDEX(APOIO_REDES!$A:$W,MATCH($C1225&amp;$I1225&amp;$H1225&amp;$N1225&amp;$O1225,APOIO_REDES!$W:$W,0),MATCH(AT$5,APOIO_REDES!$5:$5,0)),0)*$AP1225,0)</f>
        <v>0.451702200955393</v>
      </c>
      <c r="AU1225" s="153" t="n">
        <f aca="false">IFERROR(IF($N1225="VCA",INDEX(APOIO_REDES!$A:$W,MATCH($C1225&amp;$I1225&amp;$H1225&amp;$N1225&amp;$O1225,APOIO_REDES!$W:$W,0),MATCH(AU$5,APOIO_REDES!$5:$5,0)),0)*$AP1225,0)</f>
        <v>0.360717144035897</v>
      </c>
      <c r="AV1225" s="153" t="n">
        <f aca="false">IFERROR(IF($N1225="VCA",INDEX(APOIO_REDES!$A:$W,MATCH($C1225&amp;$I1225&amp;$H1225&amp;$N1225&amp;$O1225,APOIO_REDES!$W:$W,0),MATCH(AV$5,APOIO_REDES!$5:$5,0)),0)*$AP1225,0)</f>
        <v>0.0499204209939604</v>
      </c>
      <c r="AW1225" s="153" t="n">
        <f aca="false">IFERROR(IF($N1225="VCA",INDEX(APOIO_REDES!$A:$W,MATCH($C1225&amp;$I1225&amp;$H1225&amp;$N1225&amp;$O1225,APOIO_REDES!$W:$W,0),MATCH(AW$5,APOIO_REDES!$5:$5,0)),0)*$AP1225,0)</f>
        <v>28.4966411874977</v>
      </c>
      <c r="AX1225" s="153" t="n">
        <f aca="false">IFERROR(IF($N1225="VCA",INDEX(APOIO_REDES!$A:$W,MATCH($C1225&amp;$I1225&amp;$H1225&amp;$N1225&amp;$O1225,APOIO_REDES!$W:$W,0),MATCH(AX$5,APOIO_REDES!$5:$5,0)),0)*$AP1225,0)</f>
        <v>3.94385396613071</v>
      </c>
      <c r="AY1225" s="153" t="n">
        <f aca="false">IFERROR(IF($N1225="VCA",INDEX(APOIO_REDES!$A:$W,MATCH($C1225&amp;$I1225&amp;$H1225&amp;$N1225&amp;$O1225,APOIO_REDES!$W:$W,0),MATCH(AY$5,APOIO_REDES!$5:$5,0)),0)*$AP1225,0)</f>
        <v>7.2143384836052</v>
      </c>
      <c r="AZ1225" s="153" t="n">
        <f aca="false">IFERROR(IF($N1225="VCA",INDEX(APOIO_REDES!$A:$W,MATCH($C1225&amp;$I1225&amp;$H1225&amp;$N1225&amp;$O1225,APOIO_REDES!$W:$W,0),MATCH(AZ$5,APOIO_REDES!$5:$5,0)),0)*$AP1225,0)</f>
        <v>0.998443596781169</v>
      </c>
      <c r="BA1225" s="153" t="n">
        <f aca="false">IFERROR(IF(AND($N1225="VCA",$Q1225="LINEAR"),INDEX(APOIO_REDES!$A:$W,MATCH($C1225&amp;$I1225&amp;$H1225&amp;$N1225&amp;$O1225,APOIO_REDES!$W:$W,0),MATCH(BA$5,APOIO_REDES!$5:$5,0)),IF(AND($N1225="MND",$Q1225="EMBOQUE"),INDEX(APOIO_REDES!$A:$W,MATCH($C1225&amp;$I1225&amp;$H1225&amp;$N1225&amp;$O1225,APOIO_REDES!$W:$W,0),MATCH(BA$5,APOIO_REDES!$5:$5,0)),0))*$M1225/10,0)</f>
        <v>3.7767977993885</v>
      </c>
      <c r="BB1225" s="153" t="n">
        <f aca="false">IFERROR(IF($N1225="VCA",INDEX(APOIO_REDES!$A:$W,MATCH($C1225&amp;$I1225&amp;$H1225&amp;$N1225&amp;$O1225,APOIO_REDES!$W:$W,0),MATCH(BB$5,APOIO_REDES!$5:$5,0)),0)*($AI1225+$AQ1225+$AR1225),0)</f>
        <v>13.949077440908</v>
      </c>
      <c r="BC1225" s="153" t="n">
        <f aca="false">IFERROR(IF($N1225="VCA",INDEX(APOIO_REDES!$A:$W,MATCH($C1225&amp;$I1225&amp;$H1225&amp;$N1225&amp;$O1225,APOIO_REDES!$W:$W,0),MATCH(BC$5,APOIO_REDES!$5:$5,0)),0)*($AI1225+$AQ1225+$AR1225),0)</f>
        <v>0.153439559091964</v>
      </c>
      <c r="BD1225" s="153" t="n">
        <f aca="false">IF(AND($N1225="VCA",$AF1225&gt;=1.25,$AF1225&lt;1.5),$M1225*$AF1225*2,0)</f>
        <v>127.74036</v>
      </c>
      <c r="BE1225" s="153" t="n">
        <f aca="false">IF(AND($N1225="VCA",$AF1225&gt;=1.5,$AF1225&lt;3),$M1225*$AF1225*2,0)</f>
        <v>0</v>
      </c>
      <c r="BF1225" s="153" t="n">
        <f aca="false">IF(AND($N1225="VCA",$AF1225&gt;=3),$M1225*$AF1225*2,0)</f>
        <v>0</v>
      </c>
      <c r="BG1225" s="153" t="n">
        <f aca="false">($BB1225+$BC1225)*$AK1225</f>
        <v>74.7433401</v>
      </c>
      <c r="BH1225" s="153" t="n">
        <f aca="false">IF(AND($M1225&lt;&gt;"",$N1225="VCA",$Q1225="LINEAR"),($M1225*2)/100,IF(AND($M1225&lt;&gt;"",$N1225="MND",$Q1225="EMBOQUE"),($AN1225*2)/100,0))</f>
        <v>0.9372</v>
      </c>
      <c r="BI1225" s="153" t="n">
        <f aca="false">IF(AND($M1225&lt;&gt;"",$N1225="VCA",$Q1225="LINEAR"),$M1225,IF(AND($M1225&lt;&gt;"",$N1225="MND",$Q1225="EMBOQUE"),$AN1225*2,0))</f>
        <v>46.86</v>
      </c>
      <c r="BJ1225" s="153" t="n">
        <f aca="false">IF(AND($M1225&lt;&gt;"",$N1225="VCA",$Q1225="LINEAR"),($M1225*6.8)/100,IF(AND($M1225&lt;&gt;"",$N1225="MND",$Q1225="EMBOQUE"),($AN1225*2*6.8)/100,0))</f>
        <v>3.18648</v>
      </c>
      <c r="BK1225" s="153" t="n">
        <f aca="false">IF(AND($M1225&lt;&gt;"",$N1225="VCA",$Q1225="LINEAR"),($M1225*2.5)/50,IF(AND($M1225&lt;&gt;"",$N1225="MND",$Q1225="EMBOQUE"),($AN1225*2*2.5)/50,0))</f>
        <v>2.343</v>
      </c>
      <c r="BL1225" s="157" t="str">
        <f aca="false">K1225&amp;J1225</f>
        <v>Zona11REDES</v>
      </c>
      <c r="BM1225" s="152" t="s">
        <v>6084</v>
      </c>
      <c r="BN1225" s="152" t="s">
        <v>1560</v>
      </c>
      <c r="BO1225" s="152" t="s">
        <v>4218</v>
      </c>
      <c r="BP1225" s="152" t="s">
        <v>6174</v>
      </c>
      <c r="BQ1225" s="152" t="s">
        <v>6175</v>
      </c>
      <c r="BR1225" s="152" t="s">
        <v>6176</v>
      </c>
      <c r="BS1225" s="152" t="n">
        <v>204098.702</v>
      </c>
      <c r="BT1225" s="152" t="n">
        <v>8236361.766</v>
      </c>
      <c r="BU1225" s="152" t="n">
        <v>204054.05</v>
      </c>
      <c r="BV1225" s="152" t="n">
        <v>8236347.562</v>
      </c>
      <c r="BW1225" s="152" t="n">
        <v>-15.9344499</v>
      </c>
      <c r="BX1225" s="152" t="n">
        <v>-47.7640425</v>
      </c>
      <c r="BY1225" s="152" t="s">
        <v>6174</v>
      </c>
    </row>
    <row r="1226" customFormat="false" ht="13.8" hidden="false" customHeight="false" outlineLevel="0" collapsed="false">
      <c r="A1226" s="149" t="n">
        <f aca="false">IF(C1226&lt;&gt;"",ROW(A1221),"")</f>
        <v>1221</v>
      </c>
      <c r="B1226" s="150" t="str">
        <f aca="false">HYPERLINK("https://www.google.com/maps/dir/-15.917302,-47.760003/-15.9338831,-47.7629458/data=!4m3!4m2!3e0!5i2")</f>
        <v>https://www.google.com/maps/dir/-15.917302,-47.760003/-15.9338831,-47.7629458/data=!4m3!4m2!3e0!5i2</v>
      </c>
      <c r="C1226" s="151" t="s">
        <v>117</v>
      </c>
      <c r="D1226" s="152" t="s">
        <v>112</v>
      </c>
      <c r="E1226" s="152" t="s">
        <v>113</v>
      </c>
      <c r="F1226" s="152" t="s">
        <v>117</v>
      </c>
      <c r="G1226" s="152" t="s">
        <v>782</v>
      </c>
      <c r="H1226" s="152" t="n">
        <v>63</v>
      </c>
      <c r="I1226" s="152" t="s">
        <v>115</v>
      </c>
      <c r="J1226" s="152" t="s">
        <v>6</v>
      </c>
      <c r="K1226" s="152" t="s">
        <v>6081</v>
      </c>
      <c r="L1226" s="152" t="s">
        <v>120</v>
      </c>
      <c r="M1226" s="153" t="n">
        <f aca="false">206.61</f>
        <v>206.61</v>
      </c>
      <c r="N1226" s="152" t="s">
        <v>1548</v>
      </c>
      <c r="O1226" s="152" t="s">
        <v>1549</v>
      </c>
      <c r="P1226" s="152" t="s">
        <v>1550</v>
      </c>
      <c r="Q1226" s="152" t="s">
        <v>1551</v>
      </c>
      <c r="R1226" s="154" t="s">
        <v>6177</v>
      </c>
      <c r="S1226" s="154" t="s">
        <v>1553</v>
      </c>
      <c r="T1226" s="155" t="s">
        <v>4216</v>
      </c>
      <c r="U1226" s="152" t="str">
        <f aca="false">RIGHT(T1226,7)</f>
        <v>019/037</v>
      </c>
      <c r="V1226" s="152" t="s">
        <v>1555</v>
      </c>
      <c r="W1226" s="156" t="n">
        <v>45882</v>
      </c>
      <c r="X1226" s="152" t="s">
        <v>1594</v>
      </c>
      <c r="Y1226" s="152"/>
      <c r="Z1226" s="152" t="s">
        <v>1557</v>
      </c>
      <c r="AA1226" s="153" t="n">
        <v>3.7</v>
      </c>
      <c r="AB1226" s="151" t="s">
        <v>6178</v>
      </c>
      <c r="AC1226" s="151" t="s">
        <v>186</v>
      </c>
      <c r="AD1226" s="151" t="str">
        <f aca="false">CONCATENATE($C1226,$I1226,$H1226,$N1226,$J1226,$K1226)</f>
        <v>TUBO PEADPEAD63VCAREDESZona11</v>
      </c>
      <c r="AE1226" s="153" t="n">
        <f aca="false">IFERROR(INDEX(APOIO_REDES!$A:$W,MATCH($C1226&amp;$I1226&amp;$H1226&amp;$N1226&amp;$O1226,APOIO_REDES!$W:$W,0),MATCH(AE$5,APOIO_REDES!$5:$5,0)),0)</f>
        <v>1.2</v>
      </c>
      <c r="AF1226" s="153" t="n">
        <f aca="false">IFERROR(INDEX(APOIO_REDES!$A:$W,MATCH($C1226&amp;$I1226&amp;$H1226&amp;$N1226&amp;$O1226,APOIO_REDES!$W:$W,0),MATCH(AF$5,APOIO_REDES!$5:$5,0)),0)</f>
        <v>1.363</v>
      </c>
      <c r="AG1226" s="153" t="n">
        <f aca="false">IFERROR(INDEX(APOIO_REDES!$A:$W,MATCH($C1226&amp;$I1226&amp;$H1226&amp;$N1226&amp;$O1226,APOIO_REDES!$W:$W,0),MATCH(AG$5,APOIO_REDES!$5:$5,0)),0)</f>
        <v>0.65</v>
      </c>
      <c r="AH1226" s="153" t="n">
        <f aca="false">IFERROR(INDEX(APOIO_REDES!$A:$W,MATCH($C1226&amp;$I1226&amp;$H1226&amp;$N1226&amp;$O1226,APOIO_REDES!$W:$W,0),MATCH(AH$5,APOIO_REDES!$5:$5,0)),0)</f>
        <v>0.1</v>
      </c>
      <c r="AI1226" s="153" t="n">
        <f aca="false">IFERROR(IF($H1226&lt;&gt;"",(((($H1226/1000)/2)^2)*PI()*$M1226),0),0)</f>
        <v>0.644054053607461</v>
      </c>
      <c r="AJ1226" s="153" t="n">
        <f aca="false">IFERROR(IF(AND($H1226&lt;&gt;"",$I1226="FoFo",OR($N1226="MND",$N1226="VCA"),$Q1226="LINEAR"),0,IF(AND($H1226&lt;&gt;"",$I1226="PEAD",$N1226="VCA",$Q1226="LINEAR"),($H1226/1000)+0.3,IF(AND($H1226&lt;&gt;"",$I1226="PEAD",$N1226="MND",$Q1226="EMBOQUE"),0,IF(AND($H1226&lt;&gt;"",$I1226="PVC",$N1226="VCA",$Q1226="LINEAR"),($H1226/1000)+0.2,IF(AND($H1226&lt;&gt;"",$I1226="PVC",$N1226="MND",$Q1226="EMBOQUE"),0,IF(AND($H1226&lt;&gt;"",$I1226="PEAD",$N1226="VCA",$Q1226="PREDIAL"),0,0)))))),0)</f>
        <v>0.363</v>
      </c>
      <c r="AK1226" s="153" t="n">
        <f aca="false">IF(AA1226&lt;&gt;"",AA1226,0)</f>
        <v>3.7</v>
      </c>
      <c r="AL1226" s="153" t="n">
        <f aca="false">IF(AND($N1226="MND",$Q1226="EMBOQUE"),$M1226,IF(AND($N1226="VCA",$Q1226="LINEAR"),$M1226,IF(AND($N1226="VCA",$Q1226="PREDIAL"),0,0)))</f>
        <v>206.61</v>
      </c>
      <c r="AM1226" s="153" t="n">
        <f aca="false">IF(AND($N1226="MND",$Q1226="EMBOQUE"),$M1226,IF(AND($N1226="VCA",$Q1226="LINEAR"),$M1226,IF(AND($N1226="VCA",$Q1226="PREDIAL"),0,0)))</f>
        <v>206.61</v>
      </c>
      <c r="AN1226" s="153" t="n">
        <f aca="false">ROUND(IF(AND($N1226="VCA",$M1226&lt;&gt;"",$Q1226="LINEAR"),$M1226/100,IF(AND($N1226="MND",$M1226&gt;100,$Q1226="EMBOQUE"),$M1226/100,0)),0)</f>
        <v>2</v>
      </c>
      <c r="AO1226" s="153" t="n">
        <f aca="false">IF(AND($N1226="MND",$Q1226="EMBOQUE"),$AN1226*2*2,IF(AND($N1226="VCA",$Q1226="LINEAR"),$M1226*2,IF(AND($N1226="VCA",$Q1226="PREDIAL"),0,0)))</f>
        <v>413.22</v>
      </c>
      <c r="AP1226" s="153" t="n">
        <f aca="false">IFERROR($M1226*$AF1226*$AG1226,0)</f>
        <v>183.0461295</v>
      </c>
      <c r="AQ1226" s="153" t="n">
        <f aca="false">IFERROR(IF(AND($N1226="VCA",$AH1226&gt;0),$M1226*$AG1226*$AH1226,0),0)</f>
        <v>13.42965</v>
      </c>
      <c r="AR1226" s="153" t="n">
        <f aca="false">IFERROR(IF(AND($N1226="VCA",$AJ1226&gt;0),($M1226*$AG1226*$AJ1226)-$AI1226,0),0)</f>
        <v>48.1055754463925</v>
      </c>
      <c r="AS1226" s="153" t="n">
        <f aca="false">IFERROR(IF(AND($N1226="VCA",$AP1226&gt;0),$AP1226-$AI1226-$AQ1226-$AR1226,0),0)</f>
        <v>120.86685</v>
      </c>
      <c r="AT1226" s="153" t="n">
        <f aca="false">IFERROR(IF($N1226="VCA",INDEX(APOIO_REDES!$A:$W,MATCH($C1226&amp;$I1226&amp;$H1226&amp;$N1226&amp;$O1226,APOIO_REDES!$W:$W,0),MATCH(AT$5,APOIO_REDES!$5:$5,0)),0)*$AP1226,0)</f>
        <v>1.99159606784878</v>
      </c>
      <c r="AU1226" s="153" t="n">
        <f aca="false">IFERROR(IF($N1226="VCA",INDEX(APOIO_REDES!$A:$W,MATCH($C1226&amp;$I1226&amp;$H1226&amp;$N1226&amp;$O1226,APOIO_REDES!$W:$W,0),MATCH(AU$5,APOIO_REDES!$5:$5,0)),0)*$AP1226,0)</f>
        <v>1.59043468052191</v>
      </c>
      <c r="AV1226" s="153" t="n">
        <f aca="false">IFERROR(IF($N1226="VCA",INDEX(APOIO_REDES!$A:$W,MATCH($C1226&amp;$I1226&amp;$H1226&amp;$N1226&amp;$O1226,APOIO_REDES!$W:$W,0),MATCH(AV$5,APOIO_REDES!$5:$5,0)),0)*$AP1226,0)</f>
        <v>0.220103674382462</v>
      </c>
      <c r="AW1226" s="153" t="n">
        <f aca="false">IFERROR(IF($N1226="VCA",INDEX(APOIO_REDES!$A:$W,MATCH($C1226&amp;$I1226&amp;$H1226&amp;$N1226&amp;$O1226,APOIO_REDES!$W:$W,0),MATCH(AW$5,APOIO_REDES!$5:$5,0)),0)*$AP1226,0)</f>
        <v>125.644281599422</v>
      </c>
      <c r="AX1226" s="153" t="n">
        <f aca="false">IFERROR(IF($N1226="VCA",INDEX(APOIO_REDES!$A:$W,MATCH($C1226&amp;$I1226&amp;$H1226&amp;$N1226&amp;$O1226,APOIO_REDES!$W:$W,0),MATCH(AX$5,APOIO_REDES!$5:$5,0)),0)*$AP1226,0)</f>
        <v>17.3888106688491</v>
      </c>
      <c r="AY1226" s="153" t="n">
        <f aca="false">IFERROR(IF($N1226="VCA",INDEX(APOIO_REDES!$A:$W,MATCH($C1226&amp;$I1226&amp;$H1226&amp;$N1226&amp;$O1226,APOIO_REDES!$W:$W,0),MATCH(AY$5,APOIO_REDES!$5:$5,0)),0)*$AP1226,0)</f>
        <v>31.8086742231684</v>
      </c>
      <c r="AZ1226" s="153" t="n">
        <f aca="false">IFERROR(IF($N1226="VCA",INDEX(APOIO_REDES!$A:$W,MATCH($C1226&amp;$I1226&amp;$H1226&amp;$N1226&amp;$O1226,APOIO_REDES!$W:$W,0),MATCH(AZ$5,APOIO_REDES!$5:$5,0)),0)*$AP1226,0)</f>
        <v>4.40222858580788</v>
      </c>
      <c r="BA1226" s="153" t="n">
        <f aca="false">IFERROR(IF(AND($N1226="VCA",$Q1226="LINEAR"),INDEX(APOIO_REDES!$A:$W,MATCH($C1226&amp;$I1226&amp;$H1226&amp;$N1226&amp;$O1226,APOIO_REDES!$W:$W,0),MATCH(BA$5,APOIO_REDES!$5:$5,0)),IF(AND($N1226="MND",$Q1226="EMBOQUE"),INDEX(APOIO_REDES!$A:$W,MATCH($C1226&amp;$I1226&amp;$H1226&amp;$N1226&amp;$O1226,APOIO_REDES!$W:$W,0),MATCH(BA$5,APOIO_REDES!$5:$5,0)),0))*$M1226/10,0)</f>
        <v>16.6522448427584</v>
      </c>
      <c r="BB1226" s="153" t="n">
        <f aca="false">IFERROR(IF($N1226="VCA",INDEX(APOIO_REDES!$A:$W,MATCH($C1226&amp;$I1226&amp;$H1226&amp;$N1226&amp;$O1226,APOIO_REDES!$W:$W,0),MATCH(BB$5,APOIO_REDES!$5:$5,0)),0)*($AI1226+$AQ1226+$AR1226),0)</f>
        <v>61.5027505349127</v>
      </c>
      <c r="BC1226" s="153" t="n">
        <f aca="false">IFERROR(IF($N1226="VCA",INDEX(APOIO_REDES!$A:$W,MATCH($C1226&amp;$I1226&amp;$H1226&amp;$N1226&amp;$O1226,APOIO_REDES!$W:$W,0),MATCH(BC$5,APOIO_REDES!$5:$5,0)),0)*($AI1226+$AQ1226+$AR1226),0)</f>
        <v>0.676528965087295</v>
      </c>
      <c r="BD1226" s="153" t="n">
        <f aca="false">IF(AND($N1226="VCA",$AF1226&gt;=1.25,$AF1226&lt;1.5),$M1226*$AF1226*2,0)</f>
        <v>563.21886</v>
      </c>
      <c r="BE1226" s="153" t="n">
        <f aca="false">IF(AND($N1226="VCA",$AF1226&gt;=1.5,$AF1226&lt;3),$M1226*$AF1226*2,0)</f>
        <v>0</v>
      </c>
      <c r="BF1226" s="153" t="n">
        <f aca="false">IF(AND($N1226="VCA",$AF1226&gt;=3),$M1226*$AF1226*2,0)</f>
        <v>0</v>
      </c>
      <c r="BG1226" s="153" t="n">
        <f aca="false">($BB1226+$BC1226)*$AK1226</f>
        <v>230.06333415</v>
      </c>
      <c r="BH1226" s="153" t="n">
        <f aca="false">IF(AND($M1226&lt;&gt;"",$N1226="VCA",$Q1226="LINEAR"),($M1226*2)/100,IF(AND($M1226&lt;&gt;"",$N1226="MND",$Q1226="EMBOQUE"),($AN1226*2)/100,0))</f>
        <v>4.1322</v>
      </c>
      <c r="BI1226" s="153" t="n">
        <f aca="false">IF(AND($M1226&lt;&gt;"",$N1226="VCA",$Q1226="LINEAR"),$M1226,IF(AND($M1226&lt;&gt;"",$N1226="MND",$Q1226="EMBOQUE"),$AN1226*2,0))</f>
        <v>206.61</v>
      </c>
      <c r="BJ1226" s="153" t="n">
        <f aca="false">IF(AND($M1226&lt;&gt;"",$N1226="VCA",$Q1226="LINEAR"),($M1226*6.8)/100,IF(AND($M1226&lt;&gt;"",$N1226="MND",$Q1226="EMBOQUE"),($AN1226*2*6.8)/100,0))</f>
        <v>14.04948</v>
      </c>
      <c r="BK1226" s="153" t="n">
        <f aca="false">IF(AND($M1226&lt;&gt;"",$N1226="VCA",$Q1226="LINEAR"),($M1226*2.5)/50,IF(AND($M1226&lt;&gt;"",$N1226="MND",$Q1226="EMBOQUE"),($AN1226*2*2.5)/50,0))</f>
        <v>10.3305</v>
      </c>
      <c r="BL1226" s="157" t="str">
        <f aca="false">K1226&amp;J1226</f>
        <v>Zona11REDES</v>
      </c>
      <c r="BM1226" s="152" t="s">
        <v>6084</v>
      </c>
      <c r="BN1226" s="152" t="s">
        <v>1560</v>
      </c>
      <c r="BO1226" s="152" t="s">
        <v>4218</v>
      </c>
      <c r="BP1226" s="152" t="s">
        <v>6140</v>
      </c>
      <c r="BQ1226" s="152" t="s">
        <v>6179</v>
      </c>
      <c r="BR1226" s="152" t="s">
        <v>6180</v>
      </c>
      <c r="BS1226" s="152" t="n">
        <v>204193.026</v>
      </c>
      <c r="BT1226" s="152" t="n">
        <v>8236418.973</v>
      </c>
      <c r="BU1226" s="152" t="n">
        <v>204255.076</v>
      </c>
      <c r="BV1226" s="152" t="n">
        <v>8236222.099</v>
      </c>
      <c r="BW1226" s="152" t="n">
        <v>-15.9347782</v>
      </c>
      <c r="BX1226" s="152" t="n">
        <v>-47.7626755</v>
      </c>
      <c r="BY1226" s="152" t="s">
        <v>6140</v>
      </c>
    </row>
    <row r="1227" customFormat="false" ht="13.8" hidden="false" customHeight="false" outlineLevel="0" collapsed="false">
      <c r="A1227" s="149" t="n">
        <f aca="false">IF(C1227&lt;&gt;"",ROW(A1222),"")</f>
        <v>1222</v>
      </c>
      <c r="B1227" s="150" t="str">
        <f aca="false">HYPERLINK("https://www.google.com/maps/dir/-15.917302,-47.760003/-15.9343176,-47.7618246/data=!4m3!4m2!3e0!5i2")</f>
        <v>https://www.google.com/maps/dir/-15.917302,-47.760003/-15.9343176,-47.7618246/data=!4m3!4m2!3e0!5i2</v>
      </c>
      <c r="C1227" s="151" t="s">
        <v>117</v>
      </c>
      <c r="D1227" s="152" t="s">
        <v>112</v>
      </c>
      <c r="E1227" s="152" t="s">
        <v>113</v>
      </c>
      <c r="F1227" s="152" t="s">
        <v>117</v>
      </c>
      <c r="G1227" s="152" t="s">
        <v>782</v>
      </c>
      <c r="H1227" s="152" t="n">
        <v>90</v>
      </c>
      <c r="I1227" s="152" t="s">
        <v>115</v>
      </c>
      <c r="J1227" s="152" t="s">
        <v>6</v>
      </c>
      <c r="K1227" s="152" t="s">
        <v>6081</v>
      </c>
      <c r="L1227" s="152" t="s">
        <v>120</v>
      </c>
      <c r="M1227" s="153" t="n">
        <f aca="false">128.8+1.35</f>
        <v>130.15</v>
      </c>
      <c r="N1227" s="152" t="s">
        <v>1548</v>
      </c>
      <c r="O1227" s="152" t="s">
        <v>1549</v>
      </c>
      <c r="P1227" s="152" t="s">
        <v>1550</v>
      </c>
      <c r="Q1227" s="152" t="s">
        <v>1551</v>
      </c>
      <c r="R1227" s="154" t="s">
        <v>6181</v>
      </c>
      <c r="S1227" s="154" t="s">
        <v>1593</v>
      </c>
      <c r="T1227" s="155" t="s">
        <v>4216</v>
      </c>
      <c r="U1227" s="152" t="str">
        <f aca="false">RIGHT(T1227,7)</f>
        <v>019/037</v>
      </c>
      <c r="V1227" s="152" t="s">
        <v>1555</v>
      </c>
      <c r="W1227" s="156" t="n">
        <v>45882</v>
      </c>
      <c r="X1227" s="152" t="s">
        <v>3938</v>
      </c>
      <c r="Y1227" s="152" t="s">
        <v>6143</v>
      </c>
      <c r="Z1227" s="152" t="s">
        <v>1557</v>
      </c>
      <c r="AA1227" s="153" t="n">
        <v>3.7</v>
      </c>
      <c r="AB1227" s="151" t="s">
        <v>6182</v>
      </c>
      <c r="AC1227" s="151" t="s">
        <v>526</v>
      </c>
      <c r="AD1227" s="151" t="str">
        <f aca="false">CONCATENATE($C1227,$I1227,$H1227,$N1227,$J1227,$K1227)</f>
        <v>TUBO PEADPEAD90VCAREDESZona11</v>
      </c>
      <c r="AE1227" s="153" t="n">
        <f aca="false">IFERROR(INDEX(APOIO_REDES!$A:$W,MATCH($C1227&amp;$I1227&amp;$H1227&amp;$N1227&amp;$O1227,APOIO_REDES!$W:$W,0),MATCH(AE$5,APOIO_REDES!$5:$5,0)),0)</f>
        <v>1.2</v>
      </c>
      <c r="AF1227" s="153" t="n">
        <f aca="false">IFERROR(INDEX(APOIO_REDES!$A:$W,MATCH($C1227&amp;$I1227&amp;$H1227&amp;$N1227&amp;$O1227,APOIO_REDES!$W:$W,0),MATCH(AF$5,APOIO_REDES!$5:$5,0)),0)</f>
        <v>1.39</v>
      </c>
      <c r="AG1227" s="153" t="n">
        <f aca="false">IFERROR(INDEX(APOIO_REDES!$A:$W,MATCH($C1227&amp;$I1227&amp;$H1227&amp;$N1227&amp;$O1227,APOIO_REDES!$W:$W,0),MATCH(AG$5,APOIO_REDES!$5:$5,0)),0)</f>
        <v>0.75</v>
      </c>
      <c r="AH1227" s="153" t="n">
        <f aca="false">IFERROR(INDEX(APOIO_REDES!$A:$W,MATCH($C1227&amp;$I1227&amp;$H1227&amp;$N1227&amp;$O1227,APOIO_REDES!$W:$W,0),MATCH(AH$5,APOIO_REDES!$5:$5,0)),0)</f>
        <v>0.1</v>
      </c>
      <c r="AI1227" s="153" t="n">
        <f aca="false">IFERROR(IF($H1227&lt;&gt;"",(((($H1227/1000)/2)^2)*PI()*$M1227),0),0)</f>
        <v>0.827978524826041</v>
      </c>
      <c r="AJ1227" s="153" t="n">
        <f aca="false">IFERROR(IF(AND($H1227&lt;&gt;"",$I1227="FoFo",OR($N1227="MND",$N1227="VCA"),$Q1227="LINEAR"),0,IF(AND($H1227&lt;&gt;"",$I1227="PEAD",$N1227="VCA",$Q1227="LINEAR"),($H1227/1000)+0.3,IF(AND($H1227&lt;&gt;"",$I1227="PEAD",$N1227="MND",$Q1227="EMBOQUE"),0,IF(AND($H1227&lt;&gt;"",$I1227="PVC",$N1227="VCA",$Q1227="LINEAR"),($H1227/1000)+0.2,IF(AND($H1227&lt;&gt;"",$I1227="PVC",$N1227="MND",$Q1227="EMBOQUE"),0,IF(AND($H1227&lt;&gt;"",$I1227="PEAD",$N1227="VCA",$Q1227="PREDIAL"),0,0)))))),0)</f>
        <v>0.39</v>
      </c>
      <c r="AK1227" s="153" t="n">
        <f aca="false">IF(AA1227&lt;&gt;"",AA1227,0)</f>
        <v>3.7</v>
      </c>
      <c r="AL1227" s="153" t="n">
        <f aca="false">IF(AND($N1227="MND",$Q1227="EMBOQUE"),$M1227,IF(AND($N1227="VCA",$Q1227="LINEAR"),$M1227,IF(AND($N1227="VCA",$Q1227="PREDIAL"),0,0)))</f>
        <v>130.15</v>
      </c>
      <c r="AM1227" s="153" t="n">
        <f aca="false">IF(AND($N1227="MND",$Q1227="EMBOQUE"),$M1227,IF(AND($N1227="VCA",$Q1227="LINEAR"),$M1227,IF(AND($N1227="VCA",$Q1227="PREDIAL"),0,0)))</f>
        <v>130.15</v>
      </c>
      <c r="AN1227" s="153" t="n">
        <f aca="false">ROUND(IF(AND($N1227="VCA",$M1227&lt;&gt;"",$Q1227="LINEAR"),$M1227/100,IF(AND($N1227="MND",$M1227&gt;100,$Q1227="EMBOQUE"),$M1227/100,0)),0)</f>
        <v>1</v>
      </c>
      <c r="AO1227" s="153" t="n">
        <f aca="false">IF(AND($N1227="MND",$Q1227="EMBOQUE"),$AN1227*2*2,IF(AND($N1227="VCA",$Q1227="LINEAR"),$M1227*2,IF(AND($N1227="VCA",$Q1227="PREDIAL"),0,0)))</f>
        <v>260.3</v>
      </c>
      <c r="AP1227" s="153" t="n">
        <f aca="false">IFERROR($M1227*$AF1227*$AG1227,0)</f>
        <v>135.681375</v>
      </c>
      <c r="AQ1227" s="153" t="n">
        <f aca="false">IFERROR(IF(AND($N1227="VCA",$AH1227&gt;0),$M1227*$AG1227*$AH1227,0),0)</f>
        <v>9.76125</v>
      </c>
      <c r="AR1227" s="153" t="n">
        <f aca="false">IFERROR(IF(AND($N1227="VCA",$AJ1227&gt;0),($M1227*$AG1227*$AJ1227)-$AI1227,0),0)</f>
        <v>37.240896475174</v>
      </c>
      <c r="AS1227" s="153" t="n">
        <f aca="false">IFERROR(IF(AND($N1227="VCA",$AP1227&gt;0),$AP1227-$AI1227-$AQ1227-$AR1227,0),0)</f>
        <v>87.85125</v>
      </c>
      <c r="AT1227" s="153" t="n">
        <f aca="false">IFERROR(IF($N1227="VCA",INDEX(APOIO_REDES!$A:$W,MATCH($C1227&amp;$I1227&amp;$H1227&amp;$N1227&amp;$O1227,APOIO_REDES!$W:$W,0),MATCH(AT$5,APOIO_REDES!$5:$5,0)),0)*$AP1227,0)</f>
        <v>1.47625351963706</v>
      </c>
      <c r="AU1227" s="153" t="n">
        <f aca="false">IFERROR(IF($N1227="VCA",INDEX(APOIO_REDES!$A:$W,MATCH($C1227&amp;$I1227&amp;$H1227&amp;$N1227&amp;$O1227,APOIO_REDES!$W:$W,0),MATCH(AU$5,APOIO_REDES!$5:$5,0)),0)*$AP1227,0)</f>
        <v>1.1788960787663</v>
      </c>
      <c r="AV1227" s="153" t="n">
        <f aca="false">IFERROR(IF($N1227="VCA",INDEX(APOIO_REDES!$A:$W,MATCH($C1227&amp;$I1227&amp;$H1227&amp;$N1227&amp;$O1227,APOIO_REDES!$W:$W,0),MATCH(AV$5,APOIO_REDES!$5:$5,0)),0)*$AP1227,0)</f>
        <v>0.163149962604179</v>
      </c>
      <c r="AW1227" s="153" t="n">
        <f aca="false">IFERROR(IF($N1227="VCA",INDEX(APOIO_REDES!$A:$W,MATCH($C1227&amp;$I1227&amp;$H1227&amp;$N1227&amp;$O1227,APOIO_REDES!$W:$W,0),MATCH(AW$5,APOIO_REDES!$5:$5,0)),0)*$AP1227,0)</f>
        <v>93.132747110595</v>
      </c>
      <c r="AX1227" s="153" t="n">
        <f aca="false">IFERROR(IF($N1227="VCA",INDEX(APOIO_REDES!$A:$W,MATCH($C1227&amp;$I1227&amp;$H1227&amp;$N1227&amp;$O1227,APOIO_REDES!$W:$W,0),MATCH(AX$5,APOIO_REDES!$5:$5,0)),0)*$AP1227,0)</f>
        <v>12.8893069064545</v>
      </c>
      <c r="AY1227" s="153" t="n">
        <f aca="false">IFERROR(IF($N1227="VCA",INDEX(APOIO_REDES!$A:$W,MATCH($C1227&amp;$I1227&amp;$H1227&amp;$N1227&amp;$O1227,APOIO_REDES!$W:$W,0),MATCH(AY$5,APOIO_REDES!$5:$5,0)),0)*$AP1227,0)</f>
        <v>23.5779072046784</v>
      </c>
      <c r="AZ1227" s="153" t="n">
        <f aca="false">IFERROR(IF($N1227="VCA",INDEX(APOIO_REDES!$A:$W,MATCH($C1227&amp;$I1227&amp;$H1227&amp;$N1227&amp;$O1227,APOIO_REDES!$W:$W,0),MATCH(AZ$5,APOIO_REDES!$5:$5,0)),0)*$AP1227,0)</f>
        <v>3.26311421726466</v>
      </c>
      <c r="BA1227" s="153" t="n">
        <f aca="false">IFERROR(IF(AND($N1227="VCA",$Q1227="LINEAR"),INDEX(APOIO_REDES!$A:$W,MATCH($C1227&amp;$I1227&amp;$H1227&amp;$N1227&amp;$O1227,APOIO_REDES!$W:$W,0),MATCH(BA$5,APOIO_REDES!$5:$5,0)),IF(AND($N1227="MND",$Q1227="EMBOQUE"),INDEX(APOIO_REDES!$A:$W,MATCH($C1227&amp;$I1227&amp;$H1227&amp;$N1227&amp;$O1227,APOIO_REDES!$W:$W,0),MATCH(BA$5,APOIO_REDES!$5:$5,0)),0))*$M1227/10,0)</f>
        <v>10.4897617070084</v>
      </c>
      <c r="BB1227" s="153" t="n">
        <f aca="false">IFERROR(IF($N1227="VCA",INDEX(APOIO_REDES!$A:$W,MATCH($C1227&amp;$I1227&amp;$H1227&amp;$N1227&amp;$O1227,APOIO_REDES!$W:$W,0),MATCH(BB$5,APOIO_REDES!$5:$5,0)),0)*($AI1227+$AQ1227+$AR1227),0)</f>
        <v>47.3097190830056</v>
      </c>
      <c r="BC1227" s="153" t="n">
        <f aca="false">IFERROR(IF($N1227="VCA",INDEX(APOIO_REDES!$A:$W,MATCH($C1227&amp;$I1227&amp;$H1227&amp;$N1227&amp;$O1227,APOIO_REDES!$W:$W,0),MATCH(BC$5,APOIO_REDES!$5:$5,0)),0)*($AI1227+$AQ1227+$AR1227),0)</f>
        <v>0.520405916994358</v>
      </c>
      <c r="BD1227" s="153" t="n">
        <f aca="false">IF(AND($N1227="VCA",$AF1227&gt;=1.25,$AF1227&lt;1.5),$M1227*$AF1227*2,0)</f>
        <v>361.817</v>
      </c>
      <c r="BE1227" s="153" t="n">
        <f aca="false">IF(AND($N1227="VCA",$AF1227&gt;=1.5,$AF1227&lt;3),$M1227*$AF1227*2,0)</f>
        <v>0</v>
      </c>
      <c r="BF1227" s="153" t="n">
        <f aca="false">IF(AND($N1227="VCA",$AF1227&gt;=3),$M1227*$AF1227*2,0)</f>
        <v>0</v>
      </c>
      <c r="BG1227" s="153" t="n">
        <f aca="false">($BB1227+$BC1227)*$AK1227</f>
        <v>176.9714625</v>
      </c>
      <c r="BH1227" s="153" t="n">
        <f aca="false">IF(AND($M1227&lt;&gt;"",$N1227="VCA",$Q1227="LINEAR"),($M1227*2)/100,IF(AND($M1227&lt;&gt;"",$N1227="MND",$Q1227="EMBOQUE"),($AN1227*2)/100,0))</f>
        <v>2.603</v>
      </c>
      <c r="BI1227" s="153" t="n">
        <f aca="false">IF(AND($M1227&lt;&gt;"",$N1227="VCA",$Q1227="LINEAR"),$M1227,IF(AND($M1227&lt;&gt;"",$N1227="MND",$Q1227="EMBOQUE"),$AN1227*2,0))</f>
        <v>130.15</v>
      </c>
      <c r="BJ1227" s="153" t="n">
        <f aca="false">IF(AND($M1227&lt;&gt;"",$N1227="VCA",$Q1227="LINEAR"),($M1227*6.8)/100,IF(AND($M1227&lt;&gt;"",$N1227="MND",$Q1227="EMBOQUE"),($AN1227*2*6.8)/100,0))</f>
        <v>8.8502</v>
      </c>
      <c r="BK1227" s="153" t="n">
        <f aca="false">IF(AND($M1227&lt;&gt;"",$N1227="VCA",$Q1227="LINEAR"),($M1227*2.5)/50,IF(AND($M1227&lt;&gt;"",$N1227="MND",$Q1227="EMBOQUE"),($AN1227*2*2.5)/50,0))</f>
        <v>6.5075</v>
      </c>
      <c r="BL1227" s="157" t="str">
        <f aca="false">K1227&amp;J1227</f>
        <v>Zona11REDES</v>
      </c>
      <c r="BM1227" s="152" t="s">
        <v>6084</v>
      </c>
      <c r="BN1227" s="152" t="s">
        <v>1560</v>
      </c>
      <c r="BO1227" s="152" t="s">
        <v>4218</v>
      </c>
      <c r="BP1227" s="152" t="s">
        <v>6160</v>
      </c>
      <c r="BQ1227" s="152" t="s">
        <v>6183</v>
      </c>
      <c r="BR1227" s="152" t="s">
        <v>6184</v>
      </c>
      <c r="BS1227" s="152" t="n">
        <v>204313.789</v>
      </c>
      <c r="BT1227" s="152" t="n">
        <v>8236372.456</v>
      </c>
      <c r="BU1227" s="152" t="n">
        <v>204345.788</v>
      </c>
      <c r="BV1227" s="152" t="n">
        <v>8236247.7</v>
      </c>
      <c r="BW1227" s="152" t="n">
        <v>-15.9348827</v>
      </c>
      <c r="BX1227" s="152" t="n">
        <v>-47.7616827</v>
      </c>
      <c r="BY1227" s="152" t="s">
        <v>6160</v>
      </c>
    </row>
    <row r="1228" customFormat="false" ht="13.8" hidden="false" customHeight="false" outlineLevel="0" collapsed="false">
      <c r="A1228" s="149" t="n">
        <f aca="false">IF(C1228&lt;&gt;"",ROW(A1223),"")</f>
        <v>1223</v>
      </c>
      <c r="B1228" s="150" t="str">
        <f aca="false">HYPERLINK("https://www.google.com/maps/dir/-15.917302,-47.760003/-15.9353759,-47.7620093/data=!4m3!4m2!3e0!5i2")</f>
        <v>https://www.google.com/maps/dir/-15.917302,-47.760003/-15.9353759,-47.7620093/data=!4m3!4m2!3e0!5i2</v>
      </c>
      <c r="C1228" s="151" t="s">
        <v>117</v>
      </c>
      <c r="D1228" s="152" t="s">
        <v>112</v>
      </c>
      <c r="E1228" s="152" t="s">
        <v>113</v>
      </c>
      <c r="F1228" s="152" t="s">
        <v>117</v>
      </c>
      <c r="G1228" s="152" t="s">
        <v>782</v>
      </c>
      <c r="H1228" s="152" t="n">
        <v>63</v>
      </c>
      <c r="I1228" s="152" t="s">
        <v>115</v>
      </c>
      <c r="J1228" s="152" t="s">
        <v>6</v>
      </c>
      <c r="K1228" s="152" t="s">
        <v>6081</v>
      </c>
      <c r="L1228" s="152" t="s">
        <v>120</v>
      </c>
      <c r="M1228" s="153" t="n">
        <f aca="false">107.45+4.14</f>
        <v>111.59</v>
      </c>
      <c r="N1228" s="152" t="s">
        <v>1548</v>
      </c>
      <c r="O1228" s="152" t="s">
        <v>1549</v>
      </c>
      <c r="P1228" s="152" t="s">
        <v>1550</v>
      </c>
      <c r="Q1228" s="152" t="s">
        <v>1551</v>
      </c>
      <c r="R1228" s="154" t="s">
        <v>6185</v>
      </c>
      <c r="S1228" s="154" t="s">
        <v>1553</v>
      </c>
      <c r="T1228" s="155" t="s">
        <v>4216</v>
      </c>
      <c r="U1228" s="152" t="str">
        <f aca="false">RIGHT(T1228,7)</f>
        <v>019/037</v>
      </c>
      <c r="V1228" s="152" t="s">
        <v>1555</v>
      </c>
      <c r="W1228" s="156" t="n">
        <v>45882</v>
      </c>
      <c r="X1228" s="152" t="s">
        <v>3938</v>
      </c>
      <c r="Y1228" s="152" t="s">
        <v>2916</v>
      </c>
      <c r="Z1228" s="152" t="s">
        <v>1557</v>
      </c>
      <c r="AA1228" s="153" t="n">
        <v>3.8</v>
      </c>
      <c r="AB1228" s="151" t="s">
        <v>6186</v>
      </c>
      <c r="AC1228" s="151" t="s">
        <v>186</v>
      </c>
      <c r="AD1228" s="151" t="str">
        <f aca="false">CONCATENATE($C1228,$I1228,$H1228,$N1228,$J1228,$K1228)</f>
        <v>TUBO PEADPEAD63VCAREDESZona11</v>
      </c>
      <c r="AE1228" s="153" t="n">
        <f aca="false">IFERROR(INDEX(APOIO_REDES!$A:$W,MATCH($C1228&amp;$I1228&amp;$H1228&amp;$N1228&amp;$O1228,APOIO_REDES!$W:$W,0),MATCH(AE$5,APOIO_REDES!$5:$5,0)),0)</f>
        <v>1.2</v>
      </c>
      <c r="AF1228" s="153" t="n">
        <f aca="false">IFERROR(INDEX(APOIO_REDES!$A:$W,MATCH($C1228&amp;$I1228&amp;$H1228&amp;$N1228&amp;$O1228,APOIO_REDES!$W:$W,0),MATCH(AF$5,APOIO_REDES!$5:$5,0)),0)</f>
        <v>1.363</v>
      </c>
      <c r="AG1228" s="153" t="n">
        <f aca="false">IFERROR(INDEX(APOIO_REDES!$A:$W,MATCH($C1228&amp;$I1228&amp;$H1228&amp;$N1228&amp;$O1228,APOIO_REDES!$W:$W,0),MATCH(AG$5,APOIO_REDES!$5:$5,0)),0)</f>
        <v>0.65</v>
      </c>
      <c r="AH1228" s="153" t="n">
        <f aca="false">IFERROR(INDEX(APOIO_REDES!$A:$W,MATCH($C1228&amp;$I1228&amp;$H1228&amp;$N1228&amp;$O1228,APOIO_REDES!$W:$W,0),MATCH(AH$5,APOIO_REDES!$5:$5,0)),0)</f>
        <v>0.1</v>
      </c>
      <c r="AI1228" s="153" t="n">
        <f aca="false">IFERROR(IF($H1228&lt;&gt;"",(((($H1228/1000)/2)^2)*PI()*$M1228),0),0)</f>
        <v>0.347853404201426</v>
      </c>
      <c r="AJ1228" s="153" t="n">
        <f aca="false">IFERROR(IF(AND($H1228&lt;&gt;"",$I1228="FoFo",OR($N1228="MND",$N1228="VCA"),$Q1228="LINEAR"),0,IF(AND($H1228&lt;&gt;"",$I1228="PEAD",$N1228="VCA",$Q1228="LINEAR"),($H1228/1000)+0.3,IF(AND($H1228&lt;&gt;"",$I1228="PEAD",$N1228="MND",$Q1228="EMBOQUE"),0,IF(AND($H1228&lt;&gt;"",$I1228="PVC",$N1228="VCA",$Q1228="LINEAR"),($H1228/1000)+0.2,IF(AND($H1228&lt;&gt;"",$I1228="PVC",$N1228="MND",$Q1228="EMBOQUE"),0,IF(AND($H1228&lt;&gt;"",$I1228="PEAD",$N1228="VCA",$Q1228="PREDIAL"),0,0)))))),0)</f>
        <v>0.363</v>
      </c>
      <c r="AK1228" s="153" t="n">
        <f aca="false">IF(AA1228&lt;&gt;"",AA1228,0)</f>
        <v>3.8</v>
      </c>
      <c r="AL1228" s="153" t="n">
        <f aca="false">IF(AND($N1228="MND",$Q1228="EMBOQUE"),$M1228,IF(AND($N1228="VCA",$Q1228="LINEAR"),$M1228,IF(AND($N1228="VCA",$Q1228="PREDIAL"),0,0)))</f>
        <v>111.59</v>
      </c>
      <c r="AM1228" s="153" t="n">
        <f aca="false">IF(AND($N1228="MND",$Q1228="EMBOQUE"),$M1228,IF(AND($N1228="VCA",$Q1228="LINEAR"),$M1228,IF(AND($N1228="VCA",$Q1228="PREDIAL"),0,0)))</f>
        <v>111.59</v>
      </c>
      <c r="AN1228" s="153" t="n">
        <f aca="false">ROUND(IF(AND($N1228="VCA",$M1228&lt;&gt;"",$Q1228="LINEAR"),$M1228/100,IF(AND($N1228="MND",$M1228&gt;100,$Q1228="EMBOQUE"),$M1228/100,0)),0)</f>
        <v>1</v>
      </c>
      <c r="AO1228" s="153" t="n">
        <f aca="false">IF(AND($N1228="MND",$Q1228="EMBOQUE"),$AN1228*2*2,IF(AND($N1228="VCA",$Q1228="LINEAR"),$M1228*2,IF(AND($N1228="VCA",$Q1228="PREDIAL"),0,0)))</f>
        <v>223.18</v>
      </c>
      <c r="AP1228" s="153" t="n">
        <f aca="false">IFERROR($M1228*$AF1228*$AG1228,0)</f>
        <v>98.8631605</v>
      </c>
      <c r="AQ1228" s="153" t="n">
        <f aca="false">IFERROR(IF(AND($N1228="VCA",$AH1228&gt;0),$M1228*$AG1228*$AH1228,0),0)</f>
        <v>7.25335</v>
      </c>
      <c r="AR1228" s="153" t="n">
        <f aca="false">IFERROR(IF(AND($N1228="VCA",$AJ1228&gt;0),($M1228*$AG1228*$AJ1228)-$AI1228,0),0)</f>
        <v>25.9818070957986</v>
      </c>
      <c r="AS1228" s="153" t="n">
        <f aca="false">IFERROR(IF(AND($N1228="VCA",$AP1228&gt;0),$AP1228-$AI1228-$AQ1228-$AR1228,0),0)</f>
        <v>65.28015</v>
      </c>
      <c r="AT1228" s="153" t="n">
        <f aca="false">IFERROR(IF($N1228="VCA",INDEX(APOIO_REDES!$A:$W,MATCH($C1228&amp;$I1228&amp;$H1228&amp;$N1228&amp;$O1228,APOIO_REDES!$W:$W,0),MATCH(AT$5,APOIO_REDES!$5:$5,0)),0)*$AP1228,0)</f>
        <v>1.07566044824183</v>
      </c>
      <c r="AU1228" s="153" t="n">
        <f aca="false">IFERROR(IF($N1228="VCA",INDEX(APOIO_REDES!$A:$W,MATCH($C1228&amp;$I1228&amp;$H1228&amp;$N1228&amp;$O1228,APOIO_REDES!$W:$W,0),MATCH(AU$5,APOIO_REDES!$5:$5,0)),0)*$AP1228,0)</f>
        <v>0.858993301386381</v>
      </c>
      <c r="AV1228" s="153" t="n">
        <f aca="false">IFERROR(IF($N1228="VCA",INDEX(APOIO_REDES!$A:$W,MATCH($C1228&amp;$I1228&amp;$H1228&amp;$N1228&amp;$O1228,APOIO_REDES!$W:$W,0),MATCH(AV$5,APOIO_REDES!$5:$5,0)),0)*$AP1228,0)</f>
        <v>0.118877929550065</v>
      </c>
      <c r="AW1228" s="153" t="n">
        <f aca="false">IFERROR(IF($N1228="VCA",INDEX(APOIO_REDES!$A:$W,MATCH($C1228&amp;$I1228&amp;$H1228&amp;$N1228&amp;$O1228,APOIO_REDES!$W:$W,0),MATCH(AW$5,APOIO_REDES!$5:$5,0)),0)*$AP1228,0)</f>
        <v>67.8604393963479</v>
      </c>
      <c r="AX1228" s="153" t="n">
        <f aca="false">IFERROR(IF($N1228="VCA",INDEX(APOIO_REDES!$A:$W,MATCH($C1228&amp;$I1228&amp;$H1228&amp;$N1228&amp;$O1228,APOIO_REDES!$W:$W,0),MATCH(AX$5,APOIO_REDES!$5:$5,0)),0)*$AP1228,0)</f>
        <v>9.3916915083339</v>
      </c>
      <c r="AY1228" s="153" t="n">
        <f aca="false">IFERROR(IF($N1228="VCA",INDEX(APOIO_REDES!$A:$W,MATCH($C1228&amp;$I1228&amp;$H1228&amp;$N1228&amp;$O1228,APOIO_REDES!$W:$W,0),MATCH(AY$5,APOIO_REDES!$5:$5,0)),0)*$AP1228,0)</f>
        <v>17.1798555566689</v>
      </c>
      <c r="AZ1228" s="153" t="n">
        <f aca="false">IFERROR(IF($N1228="VCA",INDEX(APOIO_REDES!$A:$W,MATCH($C1228&amp;$I1228&amp;$H1228&amp;$N1228&amp;$O1228,APOIO_REDES!$W:$W,0),MATCH(AZ$5,APOIO_REDES!$5:$5,0)),0)*$AP1228,0)</f>
        <v>2.37764235947099</v>
      </c>
      <c r="BA1228" s="153" t="n">
        <f aca="false">IFERROR(IF(AND($N1228="VCA",$Q1228="LINEAR"),INDEX(APOIO_REDES!$A:$W,MATCH($C1228&amp;$I1228&amp;$H1228&amp;$N1228&amp;$O1228,APOIO_REDES!$W:$W,0),MATCH(BA$5,APOIO_REDES!$5:$5,0)),IF(AND($N1228="MND",$Q1228="EMBOQUE"),INDEX(APOIO_REDES!$A:$W,MATCH($C1228&amp;$I1228&amp;$H1228&amp;$N1228&amp;$O1228,APOIO_REDES!$W:$W,0),MATCH(BA$5,APOIO_REDES!$5:$5,0)),0))*$M1228/10,0)</f>
        <v>8.99387252312768</v>
      </c>
      <c r="BB1228" s="153" t="n">
        <f aca="false">IFERROR(IF($N1228="VCA",INDEX(APOIO_REDES!$A:$W,MATCH($C1228&amp;$I1228&amp;$H1228&amp;$N1228&amp;$O1228,APOIO_REDES!$W:$W,0),MATCH(BB$5,APOIO_REDES!$5:$5,0)),0)*($AI1228+$AQ1228+$AR1228),0)</f>
        <v>33.2176174056963</v>
      </c>
      <c r="BC1228" s="153" t="n">
        <f aca="false">IFERROR(IF($N1228="VCA",INDEX(APOIO_REDES!$A:$W,MATCH($C1228&amp;$I1228&amp;$H1228&amp;$N1228&amp;$O1228,APOIO_REDES!$W:$W,0),MATCH(BC$5,APOIO_REDES!$5:$5,0)),0)*($AI1228+$AQ1228+$AR1228),0)</f>
        <v>0.365393094303719</v>
      </c>
      <c r="BD1228" s="153" t="n">
        <f aca="false">IF(AND($N1228="VCA",$AF1228&gt;=1.25,$AF1228&lt;1.5),$M1228*$AF1228*2,0)</f>
        <v>304.19434</v>
      </c>
      <c r="BE1228" s="153" t="n">
        <f aca="false">IF(AND($N1228="VCA",$AF1228&gt;=1.5,$AF1228&lt;3),$M1228*$AF1228*2,0)</f>
        <v>0</v>
      </c>
      <c r="BF1228" s="153" t="n">
        <f aca="false">IF(AND($N1228="VCA",$AF1228&gt;=3),$M1228*$AF1228*2,0)</f>
        <v>0</v>
      </c>
      <c r="BG1228" s="153" t="n">
        <f aca="false">($BB1228+$BC1228)*$AK1228</f>
        <v>127.6154399</v>
      </c>
      <c r="BH1228" s="153" t="n">
        <f aca="false">IF(AND($M1228&lt;&gt;"",$N1228="VCA",$Q1228="LINEAR"),($M1228*2)/100,IF(AND($M1228&lt;&gt;"",$N1228="MND",$Q1228="EMBOQUE"),($AN1228*2)/100,0))</f>
        <v>2.2318</v>
      </c>
      <c r="BI1228" s="153" t="n">
        <f aca="false">IF(AND($M1228&lt;&gt;"",$N1228="VCA",$Q1228="LINEAR"),$M1228,IF(AND($M1228&lt;&gt;"",$N1228="MND",$Q1228="EMBOQUE"),$AN1228*2,0))</f>
        <v>111.59</v>
      </c>
      <c r="BJ1228" s="153" t="n">
        <f aca="false">IF(AND($M1228&lt;&gt;"",$N1228="VCA",$Q1228="LINEAR"),($M1228*6.8)/100,IF(AND($M1228&lt;&gt;"",$N1228="MND",$Q1228="EMBOQUE"),($AN1228*2*6.8)/100,0))</f>
        <v>7.58812</v>
      </c>
      <c r="BK1228" s="153" t="n">
        <f aca="false">IF(AND($M1228&lt;&gt;"",$N1228="VCA",$Q1228="LINEAR"),($M1228*2.5)/50,IF(AND($M1228&lt;&gt;"",$N1228="MND",$Q1228="EMBOQUE"),($AN1228*2*2.5)/50,0))</f>
        <v>5.5795</v>
      </c>
      <c r="BL1228" s="157" t="str">
        <f aca="false">K1228&amp;J1228</f>
        <v>Zona11REDES</v>
      </c>
      <c r="BM1228" s="152" t="s">
        <v>6084</v>
      </c>
      <c r="BN1228" s="152" t="s">
        <v>1560</v>
      </c>
      <c r="BO1228" s="152" t="s">
        <v>4218</v>
      </c>
      <c r="BP1228" s="152" t="s">
        <v>6187</v>
      </c>
      <c r="BQ1228" s="152" t="s">
        <v>6167</v>
      </c>
      <c r="BR1228" s="152" t="s">
        <v>6168</v>
      </c>
      <c r="BS1228" s="152" t="n">
        <v>204295.556</v>
      </c>
      <c r="BT1228" s="152" t="n">
        <v>8236255.016</v>
      </c>
      <c r="BU1228" s="152" t="n">
        <v>204264.037</v>
      </c>
      <c r="BV1228" s="152" t="n">
        <v>8236357.734</v>
      </c>
      <c r="BW1228" s="152" t="n">
        <v>-15.9349103</v>
      </c>
      <c r="BX1228" s="152" t="n">
        <v>-47.76215</v>
      </c>
      <c r="BY1228" s="152" t="s">
        <v>6187</v>
      </c>
    </row>
    <row r="1229" customFormat="false" ht="13.8" hidden="false" customHeight="false" outlineLevel="0" collapsed="false">
      <c r="A1229" s="149" t="n">
        <f aca="false">IF(C1229&lt;&gt;"",ROW(A1224),"")</f>
        <v>1224</v>
      </c>
      <c r="B1229" s="150" t="str">
        <f aca="false">HYPERLINK("https://www.google.com/maps/dir/-15.917302,-47.760003/-15.9353404,-47.7652596/data=!4m3!4m2!3e0!5i1")</f>
        <v>https://www.google.com/maps/dir/-15.917302,-47.760003/-15.9353404,-47.7652596/data=!4m3!4m2!3e0!5i1</v>
      </c>
      <c r="C1229" s="151" t="s">
        <v>117</v>
      </c>
      <c r="D1229" s="152" t="s">
        <v>112</v>
      </c>
      <c r="E1229" s="152" t="s">
        <v>113</v>
      </c>
      <c r="F1229" s="152" t="s">
        <v>117</v>
      </c>
      <c r="G1229" s="152" t="s">
        <v>782</v>
      </c>
      <c r="H1229" s="152" t="n">
        <v>63</v>
      </c>
      <c r="I1229" s="152" t="s">
        <v>115</v>
      </c>
      <c r="J1229" s="152" t="s">
        <v>6</v>
      </c>
      <c r="K1229" s="152" t="s">
        <v>6081</v>
      </c>
      <c r="L1229" s="152" t="s">
        <v>120</v>
      </c>
      <c r="M1229" s="153" t="n">
        <f aca="false">79</f>
        <v>79</v>
      </c>
      <c r="N1229" s="152" t="s">
        <v>1548</v>
      </c>
      <c r="O1229" s="152" t="s">
        <v>1549</v>
      </c>
      <c r="P1229" s="152" t="s">
        <v>1550</v>
      </c>
      <c r="Q1229" s="152" t="s">
        <v>1551</v>
      </c>
      <c r="R1229" s="154" t="s">
        <v>6188</v>
      </c>
      <c r="S1229" s="154" t="s">
        <v>1553</v>
      </c>
      <c r="T1229" s="155" t="s">
        <v>4216</v>
      </c>
      <c r="U1229" s="152" t="str">
        <f aca="false">RIGHT(T1229,7)</f>
        <v>019/037</v>
      </c>
      <c r="V1229" s="152" t="s">
        <v>1555</v>
      </c>
      <c r="W1229" s="156" t="n">
        <v>45882</v>
      </c>
      <c r="X1229" s="152" t="s">
        <v>1594</v>
      </c>
      <c r="Y1229" s="152" t="s">
        <v>3251</v>
      </c>
      <c r="Z1229" s="152" t="s">
        <v>1557</v>
      </c>
      <c r="AA1229" s="153" t="n">
        <v>3.8</v>
      </c>
      <c r="AB1229" s="151" t="s">
        <v>6189</v>
      </c>
      <c r="AC1229" s="151" t="s">
        <v>186</v>
      </c>
      <c r="AD1229" s="151" t="str">
        <f aca="false">CONCATENATE($C1229,$I1229,$H1229,$N1229,$J1229,$K1229)</f>
        <v>TUBO PEADPEAD63VCAREDESZona11</v>
      </c>
      <c r="AE1229" s="153" t="n">
        <f aca="false">IFERROR(INDEX(APOIO_REDES!$A:$W,MATCH($C1229&amp;$I1229&amp;$H1229&amp;$N1229&amp;$O1229,APOIO_REDES!$W:$W,0),MATCH(AE$5,APOIO_REDES!$5:$5,0)),0)</f>
        <v>1.2</v>
      </c>
      <c r="AF1229" s="153" t="n">
        <f aca="false">IFERROR(INDEX(APOIO_REDES!$A:$W,MATCH($C1229&amp;$I1229&amp;$H1229&amp;$N1229&amp;$O1229,APOIO_REDES!$W:$W,0),MATCH(AF$5,APOIO_REDES!$5:$5,0)),0)</f>
        <v>1.363</v>
      </c>
      <c r="AG1229" s="153" t="n">
        <f aca="false">IFERROR(INDEX(APOIO_REDES!$A:$W,MATCH($C1229&amp;$I1229&amp;$H1229&amp;$N1229&amp;$O1229,APOIO_REDES!$W:$W,0),MATCH(AG$5,APOIO_REDES!$5:$5,0)),0)</f>
        <v>0.65</v>
      </c>
      <c r="AH1229" s="153" t="n">
        <f aca="false">IFERROR(INDEX(APOIO_REDES!$A:$W,MATCH($C1229&amp;$I1229&amp;$H1229&amp;$N1229&amp;$O1229,APOIO_REDES!$W:$W,0),MATCH(AH$5,APOIO_REDES!$5:$5,0)),0)</f>
        <v>0.1</v>
      </c>
      <c r="AI1229" s="153" t="n">
        <f aca="false">IFERROR(IF($H1229&lt;&gt;"",(((($H1229/1000)/2)^2)*PI()*$M1229),0),0)</f>
        <v>0.246262379531433</v>
      </c>
      <c r="AJ1229" s="153" t="n">
        <f aca="false">IFERROR(IF(AND($H1229&lt;&gt;"",$I1229="FoFo",OR($N1229="MND",$N1229="VCA"),$Q1229="LINEAR"),0,IF(AND($H1229&lt;&gt;"",$I1229="PEAD",$N1229="VCA",$Q1229="LINEAR"),($H1229/1000)+0.3,IF(AND($H1229&lt;&gt;"",$I1229="PEAD",$N1229="MND",$Q1229="EMBOQUE"),0,IF(AND($H1229&lt;&gt;"",$I1229="PVC",$N1229="VCA",$Q1229="LINEAR"),($H1229/1000)+0.2,IF(AND($H1229&lt;&gt;"",$I1229="PVC",$N1229="MND",$Q1229="EMBOQUE"),0,IF(AND($H1229&lt;&gt;"",$I1229="PEAD",$N1229="VCA",$Q1229="PREDIAL"),0,0)))))),0)</f>
        <v>0.363</v>
      </c>
      <c r="AK1229" s="153" t="n">
        <f aca="false">IF(AA1229&lt;&gt;"",AA1229,0)</f>
        <v>3.8</v>
      </c>
      <c r="AL1229" s="153" t="n">
        <f aca="false">IF(AND($N1229="MND",$Q1229="EMBOQUE"),$M1229,IF(AND($N1229="VCA",$Q1229="LINEAR"),$M1229,IF(AND($N1229="VCA",$Q1229="PREDIAL"),0,0)))</f>
        <v>79</v>
      </c>
      <c r="AM1229" s="153" t="n">
        <f aca="false">IF(AND($N1229="MND",$Q1229="EMBOQUE"),$M1229,IF(AND($N1229="VCA",$Q1229="LINEAR"),$M1229,IF(AND($N1229="VCA",$Q1229="PREDIAL"),0,0)))</f>
        <v>79</v>
      </c>
      <c r="AN1229" s="153" t="n">
        <f aca="false">ROUND(IF(AND($N1229="VCA",$M1229&lt;&gt;"",$Q1229="LINEAR"),$M1229/100,IF(AND($N1229="MND",$M1229&gt;100,$Q1229="EMBOQUE"),$M1229/100,0)),0)</f>
        <v>1</v>
      </c>
      <c r="AO1229" s="153" t="n">
        <f aca="false">IF(AND($N1229="MND",$Q1229="EMBOQUE"),$AN1229*2*2,IF(AND($N1229="VCA",$Q1229="LINEAR"),$M1229*2,IF(AND($N1229="VCA",$Q1229="PREDIAL"),0,0)))</f>
        <v>158</v>
      </c>
      <c r="AP1229" s="153" t="n">
        <f aca="false">IFERROR($M1229*$AF1229*$AG1229,0)</f>
        <v>69.99005</v>
      </c>
      <c r="AQ1229" s="153" t="n">
        <f aca="false">IFERROR(IF(AND($N1229="VCA",$AH1229&gt;0),$M1229*$AG1229*$AH1229,0),0)</f>
        <v>5.135</v>
      </c>
      <c r="AR1229" s="153" t="n">
        <f aca="false">IFERROR(IF(AND($N1229="VCA",$AJ1229&gt;0),($M1229*$AG1229*$AJ1229)-$AI1229,0),0)</f>
        <v>18.3937876204686</v>
      </c>
      <c r="AS1229" s="153" t="n">
        <f aca="false">IFERROR(IF(AND($N1229="VCA",$AP1229&gt;0),$AP1229-$AI1229-$AQ1229-$AR1229,0),0)</f>
        <v>46.215</v>
      </c>
      <c r="AT1229" s="153" t="n">
        <f aca="false">IFERROR(IF($N1229="VCA",INDEX(APOIO_REDES!$A:$W,MATCH($C1229&amp;$I1229&amp;$H1229&amp;$N1229&amp;$O1229,APOIO_REDES!$W:$W,0),MATCH(AT$5,APOIO_REDES!$5:$5,0)),0)*$AP1229,0)</f>
        <v>0.761512459997354</v>
      </c>
      <c r="AU1229" s="153" t="n">
        <f aca="false">IFERROR(IF($N1229="VCA",INDEX(APOIO_REDES!$A:$W,MATCH($C1229&amp;$I1229&amp;$H1229&amp;$N1229&amp;$O1229,APOIO_REDES!$W:$W,0),MATCH(AU$5,APOIO_REDES!$5:$5,0)),0)*$AP1229,0)</f>
        <v>0.608123226180877</v>
      </c>
      <c r="AV1229" s="153" t="n">
        <f aca="false">IFERROR(IF($N1229="VCA",INDEX(APOIO_REDES!$A:$W,MATCH($C1229&amp;$I1229&amp;$H1229&amp;$N1229&amp;$O1229,APOIO_REDES!$W:$W,0),MATCH(AV$5,APOIO_REDES!$5:$5,0)),0)*$AP1229,0)</f>
        <v>0.0841594805489303</v>
      </c>
      <c r="AW1229" s="153" t="n">
        <f aca="false">IFERROR(IF($N1229="VCA",INDEX(APOIO_REDES!$A:$W,MATCH($C1229&amp;$I1229&amp;$H1229&amp;$N1229&amp;$O1229,APOIO_REDES!$W:$W,0),MATCH(AW$5,APOIO_REDES!$5:$5,0)),0)*$AP1229,0)</f>
        <v>48.0417126293708</v>
      </c>
      <c r="AX1229" s="153" t="n">
        <f aca="false">IFERROR(IF($N1229="VCA",INDEX(APOIO_REDES!$A:$W,MATCH($C1229&amp;$I1229&amp;$H1229&amp;$N1229&amp;$O1229,APOIO_REDES!$W:$W,0),MATCH(AX$5,APOIO_REDES!$5:$5,0)),0)*$AP1229,0)</f>
        <v>6.64883617849608</v>
      </c>
      <c r="AY1229" s="153" t="n">
        <f aca="false">IFERROR(IF($N1229="VCA",INDEX(APOIO_REDES!$A:$W,MATCH($C1229&amp;$I1229&amp;$H1229&amp;$N1229&amp;$O1229,APOIO_REDES!$W:$W,0),MATCH(AY$5,APOIO_REDES!$5:$5,0)),0)*$AP1229,0)</f>
        <v>12.1624571106447</v>
      </c>
      <c r="AZ1229" s="153" t="n">
        <f aca="false">IFERROR(IF($N1229="VCA",INDEX(APOIO_REDES!$A:$W,MATCH($C1229&amp;$I1229&amp;$H1229&amp;$N1229&amp;$O1229,APOIO_REDES!$W:$W,0),MATCH(AZ$5,APOIO_REDES!$5:$5,0)),0)*$AP1229,0)</f>
        <v>1.68324891476125</v>
      </c>
      <c r="BA1229" s="153" t="n">
        <f aca="false">IFERROR(IF(AND($N1229="VCA",$Q1229="LINEAR"),INDEX(APOIO_REDES!$A:$W,MATCH($C1229&amp;$I1229&amp;$H1229&amp;$N1229&amp;$O1229,APOIO_REDES!$W:$W,0),MATCH(BA$5,APOIO_REDES!$5:$5,0)),IF(AND($N1229="MND",$Q1229="EMBOQUE"),INDEX(APOIO_REDES!$A:$W,MATCH($C1229&amp;$I1229&amp;$H1229&amp;$N1229&amp;$O1229,APOIO_REDES!$W:$W,0),MATCH(BA$5,APOIO_REDES!$5:$5,0)),0))*$M1229/10,0)</f>
        <v>6.36720072880264</v>
      </c>
      <c r="BB1229" s="153" t="n">
        <f aca="false">IFERROR(IF($N1229="VCA",INDEX(APOIO_REDES!$A:$W,MATCH($C1229&amp;$I1229&amp;$H1229&amp;$N1229&amp;$O1229,APOIO_REDES!$W:$W,0),MATCH(BB$5,APOIO_REDES!$5:$5,0)),0)*($AI1229+$AQ1229+$AR1229),0)</f>
        <v>23.5163704189444</v>
      </c>
      <c r="BC1229" s="153" t="n">
        <f aca="false">IFERROR(IF($N1229="VCA",INDEX(APOIO_REDES!$A:$W,MATCH($C1229&amp;$I1229&amp;$H1229&amp;$N1229&amp;$O1229,APOIO_REDES!$W:$W,0),MATCH(BC$5,APOIO_REDES!$5:$5,0)),0)*($AI1229+$AQ1229+$AR1229),0)</f>
        <v>0.258679581055594</v>
      </c>
      <c r="BD1229" s="153" t="n">
        <f aca="false">IF(AND($N1229="VCA",$AF1229&gt;=1.25,$AF1229&lt;1.5),$M1229*$AF1229*2,0)</f>
        <v>215.354</v>
      </c>
      <c r="BE1229" s="153" t="n">
        <f aca="false">IF(AND($N1229="VCA",$AF1229&gt;=1.5,$AF1229&lt;3),$M1229*$AF1229*2,0)</f>
        <v>0</v>
      </c>
      <c r="BF1229" s="153" t="n">
        <f aca="false">IF(AND($N1229="VCA",$AF1229&gt;=3),$M1229*$AF1229*2,0)</f>
        <v>0</v>
      </c>
      <c r="BG1229" s="153" t="n">
        <f aca="false">($BB1229+$BC1229)*$AK1229</f>
        <v>90.34519</v>
      </c>
      <c r="BH1229" s="153" t="n">
        <f aca="false">IF(AND($M1229&lt;&gt;"",$N1229="VCA",$Q1229="LINEAR"),($M1229*2)/100,IF(AND($M1229&lt;&gt;"",$N1229="MND",$Q1229="EMBOQUE"),($AN1229*2)/100,0))</f>
        <v>1.58</v>
      </c>
      <c r="BI1229" s="153" t="n">
        <f aca="false">IF(AND($M1229&lt;&gt;"",$N1229="VCA",$Q1229="LINEAR"),$M1229,IF(AND($M1229&lt;&gt;"",$N1229="MND",$Q1229="EMBOQUE"),$AN1229*2,0))</f>
        <v>79</v>
      </c>
      <c r="BJ1229" s="153" t="n">
        <f aca="false">IF(AND($M1229&lt;&gt;"",$N1229="VCA",$Q1229="LINEAR"),($M1229*6.8)/100,IF(AND($M1229&lt;&gt;"",$N1229="MND",$Q1229="EMBOQUE"),($AN1229*2*6.8)/100,0))</f>
        <v>5.372</v>
      </c>
      <c r="BK1229" s="153" t="n">
        <f aca="false">IF(AND($M1229&lt;&gt;"",$N1229="VCA",$Q1229="LINEAR"),($M1229*2.5)/50,IF(AND($M1229&lt;&gt;"",$N1229="MND",$Q1229="EMBOQUE"),($AN1229*2*2.5)/50,0))</f>
        <v>3.95</v>
      </c>
      <c r="BL1229" s="157" t="str">
        <f aca="false">K1229&amp;J1229</f>
        <v>Zona11REDES</v>
      </c>
      <c r="BM1229" s="152" t="s">
        <v>6084</v>
      </c>
      <c r="BN1229" s="152" t="s">
        <v>1560</v>
      </c>
      <c r="BO1229" s="152" t="s">
        <v>4218</v>
      </c>
      <c r="BP1229" s="152" t="s">
        <v>6190</v>
      </c>
      <c r="BQ1229" s="152" t="s">
        <v>6191</v>
      </c>
      <c r="BR1229" s="152" t="s">
        <v>6192</v>
      </c>
      <c r="BS1229" s="152" t="n">
        <v>203947.298</v>
      </c>
      <c r="BT1229" s="152" t="n">
        <v>8236254.333</v>
      </c>
      <c r="BU1229" s="152" t="n">
        <v>203922.552</v>
      </c>
      <c r="BV1229" s="152" t="n">
        <v>8236329.343</v>
      </c>
      <c r="BW1229" s="152" t="n">
        <v>-15.935001</v>
      </c>
      <c r="BX1229" s="152" t="n">
        <v>-47.7653726</v>
      </c>
      <c r="BY1229" s="152" t="s">
        <v>6190</v>
      </c>
    </row>
    <row r="1230" customFormat="false" ht="13.8" hidden="false" customHeight="false" outlineLevel="0" collapsed="false">
      <c r="A1230" s="149" t="n">
        <f aca="false">IF(C1230&lt;&gt;"",ROW(A1225),"")</f>
        <v>1225</v>
      </c>
      <c r="B1230" s="150" t="str">
        <f aca="false">HYPERLINK("https://www.google.com/maps/dir/-15.917302,-47.760003/-15.9353774,-47.7661488/data=!4m3!4m2!3e0!5i1")</f>
        <v>https://www.google.com/maps/dir/-15.917302,-47.760003/-15.9353774,-47.7661488/data=!4m3!4m2!3e0!5i1</v>
      </c>
      <c r="C1230" s="151" t="s">
        <v>117</v>
      </c>
      <c r="D1230" s="152" t="s">
        <v>112</v>
      </c>
      <c r="E1230" s="152" t="s">
        <v>113</v>
      </c>
      <c r="F1230" s="152" t="s">
        <v>117</v>
      </c>
      <c r="G1230" s="152" t="s">
        <v>782</v>
      </c>
      <c r="H1230" s="152" t="n">
        <v>63</v>
      </c>
      <c r="I1230" s="152" t="s">
        <v>115</v>
      </c>
      <c r="J1230" s="152" t="s">
        <v>6</v>
      </c>
      <c r="K1230" s="152" t="s">
        <v>6081</v>
      </c>
      <c r="L1230" s="152" t="s">
        <v>120</v>
      </c>
      <c r="M1230" s="153" t="n">
        <f aca="false">107.76</f>
        <v>107.76</v>
      </c>
      <c r="N1230" s="152" t="s">
        <v>1548</v>
      </c>
      <c r="O1230" s="152" t="s">
        <v>1549</v>
      </c>
      <c r="P1230" s="152" t="s">
        <v>1550</v>
      </c>
      <c r="Q1230" s="152" t="s">
        <v>1551</v>
      </c>
      <c r="R1230" s="154" t="s">
        <v>6193</v>
      </c>
      <c r="S1230" s="154" t="s">
        <v>1553</v>
      </c>
      <c r="T1230" s="155" t="s">
        <v>4216</v>
      </c>
      <c r="U1230" s="152" t="str">
        <f aca="false">RIGHT(T1230,7)</f>
        <v>019/037</v>
      </c>
      <c r="V1230" s="152" t="s">
        <v>1555</v>
      </c>
      <c r="W1230" s="156" t="n">
        <v>45882</v>
      </c>
      <c r="X1230" s="152" t="s">
        <v>1594</v>
      </c>
      <c r="Y1230" s="152" t="s">
        <v>3251</v>
      </c>
      <c r="Z1230" s="152" t="s">
        <v>1557</v>
      </c>
      <c r="AA1230" s="153" t="n">
        <v>3.9</v>
      </c>
      <c r="AB1230" s="151" t="s">
        <v>6194</v>
      </c>
      <c r="AC1230" s="151" t="s">
        <v>186</v>
      </c>
      <c r="AD1230" s="151" t="str">
        <f aca="false">CONCATENATE($C1230,$I1230,$H1230,$N1230,$J1230,$K1230)</f>
        <v>TUBO PEADPEAD63VCAREDESZona11</v>
      </c>
      <c r="AE1230" s="153" t="n">
        <f aca="false">IFERROR(INDEX(APOIO_REDES!$A:$W,MATCH($C1230&amp;$I1230&amp;$H1230&amp;$N1230&amp;$O1230,APOIO_REDES!$W:$W,0),MATCH(AE$5,APOIO_REDES!$5:$5,0)),0)</f>
        <v>1.2</v>
      </c>
      <c r="AF1230" s="153" t="n">
        <f aca="false">IFERROR(INDEX(APOIO_REDES!$A:$W,MATCH($C1230&amp;$I1230&amp;$H1230&amp;$N1230&amp;$O1230,APOIO_REDES!$W:$W,0),MATCH(AF$5,APOIO_REDES!$5:$5,0)),0)</f>
        <v>1.363</v>
      </c>
      <c r="AG1230" s="153" t="n">
        <f aca="false">IFERROR(INDEX(APOIO_REDES!$A:$W,MATCH($C1230&amp;$I1230&amp;$H1230&amp;$N1230&amp;$O1230,APOIO_REDES!$W:$W,0),MATCH(AG$5,APOIO_REDES!$5:$5,0)),0)</f>
        <v>0.65</v>
      </c>
      <c r="AH1230" s="153" t="n">
        <f aca="false">IFERROR(INDEX(APOIO_REDES!$A:$W,MATCH($C1230&amp;$I1230&amp;$H1230&amp;$N1230&amp;$O1230,APOIO_REDES!$W:$W,0),MATCH(AH$5,APOIO_REDES!$5:$5,0)),0)</f>
        <v>0.1</v>
      </c>
      <c r="AI1230" s="153" t="n">
        <f aca="false">IFERROR(IF($H1230&lt;&gt;"",(((($H1230/1000)/2)^2)*PI()*$M1230),0),0)</f>
        <v>0.335914354662117</v>
      </c>
      <c r="AJ1230" s="153" t="n">
        <f aca="false">IFERROR(IF(AND($H1230&lt;&gt;"",$I1230="FoFo",OR($N1230="MND",$N1230="VCA"),$Q1230="LINEAR"),0,IF(AND($H1230&lt;&gt;"",$I1230="PEAD",$N1230="VCA",$Q1230="LINEAR"),($H1230/1000)+0.3,IF(AND($H1230&lt;&gt;"",$I1230="PEAD",$N1230="MND",$Q1230="EMBOQUE"),0,IF(AND($H1230&lt;&gt;"",$I1230="PVC",$N1230="VCA",$Q1230="LINEAR"),($H1230/1000)+0.2,IF(AND($H1230&lt;&gt;"",$I1230="PVC",$N1230="MND",$Q1230="EMBOQUE"),0,IF(AND($H1230&lt;&gt;"",$I1230="PEAD",$N1230="VCA",$Q1230="PREDIAL"),0,0)))))),0)</f>
        <v>0.363</v>
      </c>
      <c r="AK1230" s="153" t="n">
        <f aca="false">IF(AA1230&lt;&gt;"",AA1230,0)</f>
        <v>3.9</v>
      </c>
      <c r="AL1230" s="153" t="n">
        <f aca="false">IF(AND($N1230="MND",$Q1230="EMBOQUE"),$M1230,IF(AND($N1230="VCA",$Q1230="LINEAR"),$M1230,IF(AND($N1230="VCA",$Q1230="PREDIAL"),0,0)))</f>
        <v>107.76</v>
      </c>
      <c r="AM1230" s="153" t="n">
        <f aca="false">IF(AND($N1230="MND",$Q1230="EMBOQUE"),$M1230,IF(AND($N1230="VCA",$Q1230="LINEAR"),$M1230,IF(AND($N1230="VCA",$Q1230="PREDIAL"),0,0)))</f>
        <v>107.76</v>
      </c>
      <c r="AN1230" s="153" t="n">
        <f aca="false">ROUND(IF(AND($N1230="VCA",$M1230&lt;&gt;"",$Q1230="LINEAR"),$M1230/100,IF(AND($N1230="MND",$M1230&gt;100,$Q1230="EMBOQUE"),$M1230/100,0)),0)</f>
        <v>1</v>
      </c>
      <c r="AO1230" s="153" t="n">
        <f aca="false">IF(AND($N1230="MND",$Q1230="EMBOQUE"),$AN1230*2*2,IF(AND($N1230="VCA",$Q1230="LINEAR"),$M1230*2,IF(AND($N1230="VCA",$Q1230="PREDIAL"),0,0)))</f>
        <v>215.52</v>
      </c>
      <c r="AP1230" s="153" t="n">
        <f aca="false">IFERROR($M1230*$AF1230*$AG1230,0)</f>
        <v>95.469972</v>
      </c>
      <c r="AQ1230" s="153" t="n">
        <f aca="false">IFERROR(IF(AND($N1230="VCA",$AH1230&gt;0),$M1230*$AG1230*$AH1230,0),0)</f>
        <v>7.0044</v>
      </c>
      <c r="AR1230" s="153" t="n">
        <f aca="false">IFERROR(IF(AND($N1230="VCA",$AJ1230&gt;0),($M1230*$AG1230*$AJ1230)-$AI1230,0),0)</f>
        <v>25.0900576453379</v>
      </c>
      <c r="AS1230" s="153" t="n">
        <f aca="false">IFERROR(IF(AND($N1230="VCA",$AP1230&gt;0),$AP1230-$AI1230-$AQ1230-$AR1230,0),0)</f>
        <v>63.0396</v>
      </c>
      <c r="AT1230" s="153" t="n">
        <f aca="false">IFERROR(IF($N1230="VCA",INDEX(APOIO_REDES!$A:$W,MATCH($C1230&amp;$I1230&amp;$H1230&amp;$N1230&amp;$O1230,APOIO_REDES!$W:$W,0),MATCH(AT$5,APOIO_REDES!$5:$5,0)),0)*$AP1230,0)</f>
        <v>1.0387415530293</v>
      </c>
      <c r="AU1230" s="153" t="n">
        <f aca="false">IFERROR(IF($N1230="VCA",INDEX(APOIO_REDES!$A:$W,MATCH($C1230&amp;$I1230&amp;$H1230&amp;$N1230&amp;$O1230,APOIO_REDES!$W:$W,0),MATCH(AU$5,APOIO_REDES!$5:$5,0)),0)*$AP1230,0)</f>
        <v>0.829510871560143</v>
      </c>
      <c r="AV1230" s="153" t="n">
        <f aca="false">IFERROR(IF($N1230="VCA",INDEX(APOIO_REDES!$A:$W,MATCH($C1230&amp;$I1230&amp;$H1230&amp;$N1230&amp;$O1230,APOIO_REDES!$W:$W,0),MATCH(AV$5,APOIO_REDES!$5:$5,0)),0)*$AP1230,0)</f>
        <v>0.114797792708262</v>
      </c>
      <c r="AW1230" s="153" t="n">
        <f aca="false">IFERROR(IF($N1230="VCA",INDEX(APOIO_REDES!$A:$W,MATCH($C1230&amp;$I1230&amp;$H1230&amp;$N1230&amp;$O1230,APOIO_REDES!$W:$W,0),MATCH(AW$5,APOIO_REDES!$5:$5,0)),0)*$AP1230,0)</f>
        <v>65.5313285182405</v>
      </c>
      <c r="AX1230" s="153" t="n">
        <f aca="false">IFERROR(IF($N1230="VCA",INDEX(APOIO_REDES!$A:$W,MATCH($C1230&amp;$I1230&amp;$H1230&amp;$N1230&amp;$O1230,APOIO_REDES!$W:$W,0),MATCH(AX$5,APOIO_REDES!$5:$5,0)),0)*$AP1230,0)</f>
        <v>9.06934919740174</v>
      </c>
      <c r="AY1230" s="153" t="n">
        <f aca="false">IFERROR(IF($N1230="VCA",INDEX(APOIO_REDES!$A:$W,MATCH($C1230&amp;$I1230&amp;$H1230&amp;$N1230&amp;$O1230,APOIO_REDES!$W:$W,0),MATCH(AY$5,APOIO_REDES!$5:$5,0)),0)*$AP1230,0)</f>
        <v>16.5902073195326</v>
      </c>
      <c r="AZ1230" s="153" t="n">
        <f aca="false">IFERROR(IF($N1230="VCA",INDEX(APOIO_REDES!$A:$W,MATCH($C1230&amp;$I1230&amp;$H1230&amp;$N1230&amp;$O1230,APOIO_REDES!$W:$W,0),MATCH(AZ$5,APOIO_REDES!$5:$5,0)),0)*$AP1230,0)</f>
        <v>2.2960367475275</v>
      </c>
      <c r="BA1230" s="153" t="n">
        <f aca="false">IFERROR(IF(AND($N1230="VCA",$Q1230="LINEAR"),INDEX(APOIO_REDES!$A:$W,MATCH($C1230&amp;$I1230&amp;$H1230&amp;$N1230&amp;$O1230,APOIO_REDES!$W:$W,0),MATCH(BA$5,APOIO_REDES!$5:$5,0)),IF(AND($N1230="MND",$Q1230="EMBOQUE"),INDEX(APOIO_REDES!$A:$W,MATCH($C1230&amp;$I1230&amp;$H1230&amp;$N1230&amp;$O1230,APOIO_REDES!$W:$W,0),MATCH(BA$5,APOIO_REDES!$5:$5,0)),0))*$M1230/10,0)</f>
        <v>8.68518418399713</v>
      </c>
      <c r="BB1230" s="153" t="n">
        <f aca="false">IFERROR(IF($N1230="VCA",INDEX(APOIO_REDES!$A:$W,MATCH($C1230&amp;$I1230&amp;$H1230&amp;$N1230&amp;$O1230,APOIO_REDES!$W:$W,0),MATCH(BB$5,APOIO_REDES!$5:$5,0)),0)*($AI1230+$AQ1230+$AR1230),0)</f>
        <v>32.0775199537399</v>
      </c>
      <c r="BC1230" s="153" t="n">
        <f aca="false">IFERROR(IF($N1230="VCA",INDEX(APOIO_REDES!$A:$W,MATCH($C1230&amp;$I1230&amp;$H1230&amp;$N1230&amp;$O1230,APOIO_REDES!$W:$W,0),MATCH(BC$5,APOIO_REDES!$5:$5,0)),0)*($AI1230+$AQ1230+$AR1230),0)</f>
        <v>0.352852046260137</v>
      </c>
      <c r="BD1230" s="153" t="n">
        <f aca="false">IF(AND($N1230="VCA",$AF1230&gt;=1.25,$AF1230&lt;1.5),$M1230*$AF1230*2,0)</f>
        <v>293.75376</v>
      </c>
      <c r="BE1230" s="153" t="n">
        <f aca="false">IF(AND($N1230="VCA",$AF1230&gt;=1.5,$AF1230&lt;3),$M1230*$AF1230*2,0)</f>
        <v>0</v>
      </c>
      <c r="BF1230" s="153" t="n">
        <f aca="false">IF(AND($N1230="VCA",$AF1230&gt;=3),$M1230*$AF1230*2,0)</f>
        <v>0</v>
      </c>
      <c r="BG1230" s="153" t="n">
        <f aca="false">($BB1230+$BC1230)*$AK1230</f>
        <v>126.4784508</v>
      </c>
      <c r="BH1230" s="153" t="n">
        <f aca="false">IF(AND($M1230&lt;&gt;"",$N1230="VCA",$Q1230="LINEAR"),($M1230*2)/100,IF(AND($M1230&lt;&gt;"",$N1230="MND",$Q1230="EMBOQUE"),($AN1230*2)/100,0))</f>
        <v>2.1552</v>
      </c>
      <c r="BI1230" s="153" t="n">
        <f aca="false">IF(AND($M1230&lt;&gt;"",$N1230="VCA",$Q1230="LINEAR"),$M1230,IF(AND($M1230&lt;&gt;"",$N1230="MND",$Q1230="EMBOQUE"),$AN1230*2,0))</f>
        <v>107.76</v>
      </c>
      <c r="BJ1230" s="153" t="n">
        <f aca="false">IF(AND($M1230&lt;&gt;"",$N1230="VCA",$Q1230="LINEAR"),($M1230*6.8)/100,IF(AND($M1230&lt;&gt;"",$N1230="MND",$Q1230="EMBOQUE"),($AN1230*2*6.8)/100,0))</f>
        <v>7.32768</v>
      </c>
      <c r="BK1230" s="153" t="n">
        <f aca="false">IF(AND($M1230&lt;&gt;"",$N1230="VCA",$Q1230="LINEAR"),($M1230*2.5)/50,IF(AND($M1230&lt;&gt;"",$N1230="MND",$Q1230="EMBOQUE"),($AN1230*2*2.5)/50,0))</f>
        <v>5.388</v>
      </c>
      <c r="BL1230" s="157" t="str">
        <f aca="false">K1230&amp;J1230</f>
        <v>Zona11REDES</v>
      </c>
      <c r="BM1230" s="152" t="s">
        <v>6084</v>
      </c>
      <c r="BN1230" s="152" t="s">
        <v>1560</v>
      </c>
      <c r="BO1230" s="152" t="s">
        <v>4218</v>
      </c>
      <c r="BP1230" s="152" t="s">
        <v>6195</v>
      </c>
      <c r="BQ1230" s="152" t="s">
        <v>6191</v>
      </c>
      <c r="BR1230" s="152" t="s">
        <v>6196</v>
      </c>
      <c r="BS1230" s="152" t="n">
        <v>203852.073</v>
      </c>
      <c r="BT1230" s="152" t="n">
        <v>8236248.981</v>
      </c>
      <c r="BU1230" s="152" t="n">
        <v>203922.552</v>
      </c>
      <c r="BV1230" s="152" t="n">
        <v>8236329.343</v>
      </c>
      <c r="BW1230" s="152" t="n">
        <v>-15.9350017</v>
      </c>
      <c r="BX1230" s="152" t="n">
        <v>-47.7658299</v>
      </c>
      <c r="BY1230" s="152" t="s">
        <v>6195</v>
      </c>
    </row>
    <row r="1231" customFormat="false" ht="13.8" hidden="false" customHeight="false" outlineLevel="0" collapsed="false">
      <c r="A1231" s="149" t="n">
        <f aca="false">IF(C1231&lt;&gt;"",ROW(A1226),"")</f>
        <v>1226</v>
      </c>
      <c r="B1231" s="150" t="str">
        <f aca="false">HYPERLINK("https://www.google.com/maps/dir/-15.917302,-47.760003/-15.9345114,-47.7642517/data=!4m3!4m2!3e0!5i1")</f>
        <v>https://www.google.com/maps/dir/-15.917302,-47.760003/-15.9345114,-47.7642517/data=!4m3!4m2!3e0!5i1</v>
      </c>
      <c r="C1231" s="151" t="s">
        <v>117</v>
      </c>
      <c r="D1231" s="152" t="s">
        <v>112</v>
      </c>
      <c r="E1231" s="152" t="s">
        <v>113</v>
      </c>
      <c r="F1231" s="152" t="s">
        <v>117</v>
      </c>
      <c r="G1231" s="152" t="s">
        <v>782</v>
      </c>
      <c r="H1231" s="152" t="n">
        <v>63</v>
      </c>
      <c r="I1231" s="152" t="s">
        <v>115</v>
      </c>
      <c r="J1231" s="152" t="s">
        <v>6</v>
      </c>
      <c r="K1231" s="152" t="s">
        <v>6081</v>
      </c>
      <c r="L1231" s="152" t="s">
        <v>120</v>
      </c>
      <c r="M1231" s="153" t="n">
        <f aca="false">150.79</f>
        <v>150.79</v>
      </c>
      <c r="N1231" s="152" t="s">
        <v>1548</v>
      </c>
      <c r="O1231" s="152" t="s">
        <v>1549</v>
      </c>
      <c r="P1231" s="152" t="s">
        <v>1550</v>
      </c>
      <c r="Q1231" s="152" t="s">
        <v>1551</v>
      </c>
      <c r="R1231" s="154" t="s">
        <v>6197</v>
      </c>
      <c r="S1231" s="154" t="s">
        <v>1553</v>
      </c>
      <c r="T1231" s="155" t="s">
        <v>4216</v>
      </c>
      <c r="U1231" s="152" t="str">
        <f aca="false">RIGHT(T1231,7)</f>
        <v>019/037</v>
      </c>
      <c r="V1231" s="152" t="s">
        <v>1555</v>
      </c>
      <c r="W1231" s="156" t="n">
        <v>45882</v>
      </c>
      <c r="X1231" s="152" t="s">
        <v>3938</v>
      </c>
      <c r="Y1231" s="152" t="s">
        <v>2524</v>
      </c>
      <c r="Z1231" s="152" t="s">
        <v>1557</v>
      </c>
      <c r="AA1231" s="153" t="n">
        <v>3.7</v>
      </c>
      <c r="AB1231" s="151" t="s">
        <v>6198</v>
      </c>
      <c r="AC1231" s="151" t="s">
        <v>186</v>
      </c>
      <c r="AD1231" s="151" t="str">
        <f aca="false">CONCATENATE($C1231,$I1231,$H1231,$N1231,$J1231,$K1231)</f>
        <v>TUBO PEADPEAD63VCAREDESZona11</v>
      </c>
      <c r="AE1231" s="153" t="n">
        <f aca="false">IFERROR(INDEX(APOIO_REDES!$A:$W,MATCH($C1231&amp;$I1231&amp;$H1231&amp;$N1231&amp;$O1231,APOIO_REDES!$W:$W,0),MATCH(AE$5,APOIO_REDES!$5:$5,0)),0)</f>
        <v>1.2</v>
      </c>
      <c r="AF1231" s="153" t="n">
        <f aca="false">IFERROR(INDEX(APOIO_REDES!$A:$W,MATCH($C1231&amp;$I1231&amp;$H1231&amp;$N1231&amp;$O1231,APOIO_REDES!$W:$W,0),MATCH(AF$5,APOIO_REDES!$5:$5,0)),0)</f>
        <v>1.363</v>
      </c>
      <c r="AG1231" s="153" t="n">
        <f aca="false">IFERROR(INDEX(APOIO_REDES!$A:$W,MATCH($C1231&amp;$I1231&amp;$H1231&amp;$N1231&amp;$O1231,APOIO_REDES!$W:$W,0),MATCH(AG$5,APOIO_REDES!$5:$5,0)),0)</f>
        <v>0.65</v>
      </c>
      <c r="AH1231" s="153" t="n">
        <f aca="false">IFERROR(INDEX(APOIO_REDES!$A:$W,MATCH($C1231&amp;$I1231&amp;$H1231&amp;$N1231&amp;$O1231,APOIO_REDES!$W:$W,0),MATCH(AH$5,APOIO_REDES!$5:$5,0)),0)</f>
        <v>0.1</v>
      </c>
      <c r="AI1231" s="153" t="n">
        <f aca="false">IFERROR(IF($H1231&lt;&gt;"",(((($H1231/1000)/2)^2)*PI()*$M1231),0),0)</f>
        <v>0.470049420373985</v>
      </c>
      <c r="AJ1231" s="153" t="n">
        <f aca="false">IFERROR(IF(AND($H1231&lt;&gt;"",$I1231="FoFo",OR($N1231="MND",$N1231="VCA"),$Q1231="LINEAR"),0,IF(AND($H1231&lt;&gt;"",$I1231="PEAD",$N1231="VCA",$Q1231="LINEAR"),($H1231/1000)+0.3,IF(AND($H1231&lt;&gt;"",$I1231="PEAD",$N1231="MND",$Q1231="EMBOQUE"),0,IF(AND($H1231&lt;&gt;"",$I1231="PVC",$N1231="VCA",$Q1231="LINEAR"),($H1231/1000)+0.2,IF(AND($H1231&lt;&gt;"",$I1231="PVC",$N1231="MND",$Q1231="EMBOQUE"),0,IF(AND($H1231&lt;&gt;"",$I1231="PEAD",$N1231="VCA",$Q1231="PREDIAL"),0,0)))))),0)</f>
        <v>0.363</v>
      </c>
      <c r="AK1231" s="153" t="n">
        <f aca="false">IF(AA1231&lt;&gt;"",AA1231,0)</f>
        <v>3.7</v>
      </c>
      <c r="AL1231" s="153" t="n">
        <f aca="false">IF(AND($N1231="MND",$Q1231="EMBOQUE"),$M1231,IF(AND($N1231="VCA",$Q1231="LINEAR"),$M1231,IF(AND($N1231="VCA",$Q1231="PREDIAL"),0,0)))</f>
        <v>150.79</v>
      </c>
      <c r="AM1231" s="153" t="n">
        <f aca="false">IF(AND($N1231="MND",$Q1231="EMBOQUE"),$M1231,IF(AND($N1231="VCA",$Q1231="LINEAR"),$M1231,IF(AND($N1231="VCA",$Q1231="PREDIAL"),0,0)))</f>
        <v>150.79</v>
      </c>
      <c r="AN1231" s="153" t="n">
        <f aca="false">ROUND(IF(AND($N1231="VCA",$M1231&lt;&gt;"",$Q1231="LINEAR"),$M1231/100,IF(AND($N1231="MND",$M1231&gt;100,$Q1231="EMBOQUE"),$M1231/100,0)),0)</f>
        <v>2</v>
      </c>
      <c r="AO1231" s="153" t="n">
        <f aca="false">IF(AND($N1231="MND",$Q1231="EMBOQUE"),$AN1231*2*2,IF(AND($N1231="VCA",$Q1231="LINEAR"),$M1231*2,IF(AND($N1231="VCA",$Q1231="PREDIAL"),0,0)))</f>
        <v>301.58</v>
      </c>
      <c r="AP1231" s="153" t="n">
        <f aca="false">IFERROR($M1231*$AF1231*$AG1231,0)</f>
        <v>133.5924005</v>
      </c>
      <c r="AQ1231" s="153" t="n">
        <f aca="false">IFERROR(IF(AND($N1231="VCA",$AH1231&gt;0),$M1231*$AG1231*$AH1231,0),0)</f>
        <v>9.80135</v>
      </c>
      <c r="AR1231" s="153" t="n">
        <f aca="false">IFERROR(IF(AND($N1231="VCA",$AJ1231&gt;0),($M1231*$AG1231*$AJ1231)-$AI1231,0),0)</f>
        <v>35.108851079626</v>
      </c>
      <c r="AS1231" s="153" t="n">
        <f aca="false">IFERROR(IF(AND($N1231="VCA",$AP1231&gt;0),$AP1231-$AI1231-$AQ1231-$AR1231,0),0)</f>
        <v>88.21215</v>
      </c>
      <c r="AT1231" s="153" t="n">
        <f aca="false">IFERROR(IF($N1231="VCA",INDEX(APOIO_REDES!$A:$W,MATCH($C1231&amp;$I1231&amp;$H1231&amp;$N1231&amp;$O1231,APOIO_REDES!$W:$W,0),MATCH(AT$5,APOIO_REDES!$5:$5,0)),0)*$AP1231,0)</f>
        <v>1.45352485877217</v>
      </c>
      <c r="AU1231" s="153" t="n">
        <f aca="false">IFERROR(IF($N1231="VCA",INDEX(APOIO_REDES!$A:$W,MATCH($C1231&amp;$I1231&amp;$H1231&amp;$N1231&amp;$O1231,APOIO_REDES!$W:$W,0),MATCH(AU$5,APOIO_REDES!$5:$5,0)),0)*$AP1231,0)</f>
        <v>1.1607455857698</v>
      </c>
      <c r="AV1231" s="153" t="n">
        <f aca="false">IFERROR(IF($N1231="VCA",INDEX(APOIO_REDES!$A:$W,MATCH($C1231&amp;$I1231&amp;$H1231&amp;$N1231&amp;$O1231,APOIO_REDES!$W:$W,0),MATCH(AV$5,APOIO_REDES!$5:$5,0)),0)*$AP1231,0)</f>
        <v>0.16063807686042</v>
      </c>
      <c r="AW1231" s="153" t="n">
        <f aca="false">IFERROR(IF($N1231="VCA",INDEX(APOIO_REDES!$A:$W,MATCH($C1231&amp;$I1231&amp;$H1231&amp;$N1231&amp;$O1231,APOIO_REDES!$W:$W,0),MATCH(AW$5,APOIO_REDES!$5:$5,0)),0)*$AP1231,0)</f>
        <v>91.6988588276307</v>
      </c>
      <c r="AX1231" s="153" t="n">
        <f aca="false">IFERROR(IF($N1231="VCA",INDEX(APOIO_REDES!$A:$W,MATCH($C1231&amp;$I1231&amp;$H1231&amp;$N1231&amp;$O1231,APOIO_REDES!$W:$W,0),MATCH(AX$5,APOIO_REDES!$5:$5,0)),0)*$AP1231,0)</f>
        <v>12.6908608526003</v>
      </c>
      <c r="AY1231" s="153" t="n">
        <f aca="false">IFERROR(IF($N1231="VCA",INDEX(APOIO_REDES!$A:$W,MATCH($C1231&amp;$I1231&amp;$H1231&amp;$N1231&amp;$O1231,APOIO_REDES!$W:$W,0),MATCH(AY$5,APOIO_REDES!$5:$5,0)),0)*$AP1231,0)</f>
        <v>23.2148975660015</v>
      </c>
      <c r="AZ1231" s="153" t="n">
        <f aca="false">IFERROR(IF($N1231="VCA",INDEX(APOIO_REDES!$A:$W,MATCH($C1231&amp;$I1231&amp;$H1231&amp;$N1231&amp;$O1231,APOIO_REDES!$W:$W,0),MATCH(AZ$5,APOIO_REDES!$5:$5,0)),0)*$AP1231,0)</f>
        <v>3.21287473236518</v>
      </c>
      <c r="BA1231" s="153" t="n">
        <f aca="false">IFERROR(IF(AND($N1231="VCA",$Q1231="LINEAR"),INDEX(APOIO_REDES!$A:$W,MATCH($C1231&amp;$I1231&amp;$H1231&amp;$N1231&amp;$O1231,APOIO_REDES!$W:$W,0),MATCH(BA$5,APOIO_REDES!$5:$5,0)),IF(AND($N1231="MND",$Q1231="EMBOQUE"),INDEX(APOIO_REDES!$A:$W,MATCH($C1231&amp;$I1231&amp;$H1231&amp;$N1231&amp;$O1231,APOIO_REDES!$W:$W,0),MATCH(BA$5,APOIO_REDES!$5:$5,0)),0))*$M1231/10,0)</f>
        <v>12.1532936442551</v>
      </c>
      <c r="BB1231" s="153" t="n">
        <f aca="false">IFERROR(IF($N1231="VCA",INDEX(APOIO_REDES!$A:$W,MATCH($C1231&amp;$I1231&amp;$H1231&amp;$N1231&amp;$O1231,APOIO_REDES!$W:$W,0),MATCH(BB$5,APOIO_REDES!$5:$5,0)),0)*($AI1231+$AQ1231+$AR1231),0)</f>
        <v>44.8864999426915</v>
      </c>
      <c r="BC1231" s="153" t="n">
        <f aca="false">IFERROR(IF($N1231="VCA",INDEX(APOIO_REDES!$A:$W,MATCH($C1231&amp;$I1231&amp;$H1231&amp;$N1231&amp;$O1231,APOIO_REDES!$W:$W,0),MATCH(BC$5,APOIO_REDES!$5:$5,0)),0)*($AI1231+$AQ1231+$AR1231),0)</f>
        <v>0.49375055730852</v>
      </c>
      <c r="BD1231" s="153" t="n">
        <f aca="false">IF(AND($N1231="VCA",$AF1231&gt;=1.25,$AF1231&lt;1.5),$M1231*$AF1231*2,0)</f>
        <v>411.05354</v>
      </c>
      <c r="BE1231" s="153" t="n">
        <f aca="false">IF(AND($N1231="VCA",$AF1231&gt;=1.5,$AF1231&lt;3),$M1231*$AF1231*2,0)</f>
        <v>0</v>
      </c>
      <c r="BF1231" s="153" t="n">
        <f aca="false">IF(AND($N1231="VCA",$AF1231&gt;=3),$M1231*$AF1231*2,0)</f>
        <v>0</v>
      </c>
      <c r="BG1231" s="153" t="n">
        <f aca="false">($BB1231+$BC1231)*$AK1231</f>
        <v>167.90692685</v>
      </c>
      <c r="BH1231" s="153" t="n">
        <f aca="false">IF(AND($M1231&lt;&gt;"",$N1231="VCA",$Q1231="LINEAR"),($M1231*2)/100,IF(AND($M1231&lt;&gt;"",$N1231="MND",$Q1231="EMBOQUE"),($AN1231*2)/100,0))</f>
        <v>3.0158</v>
      </c>
      <c r="BI1231" s="153" t="n">
        <f aca="false">IF(AND($M1231&lt;&gt;"",$N1231="VCA",$Q1231="LINEAR"),$M1231,IF(AND($M1231&lt;&gt;"",$N1231="MND",$Q1231="EMBOQUE"),$AN1231*2,0))</f>
        <v>150.79</v>
      </c>
      <c r="BJ1231" s="153" t="n">
        <f aca="false">IF(AND($M1231&lt;&gt;"",$N1231="VCA",$Q1231="LINEAR"),($M1231*6.8)/100,IF(AND($M1231&lt;&gt;"",$N1231="MND",$Q1231="EMBOQUE"),($AN1231*2*6.8)/100,0))</f>
        <v>10.25372</v>
      </c>
      <c r="BK1231" s="153" t="n">
        <f aca="false">IF(AND($M1231&lt;&gt;"",$N1231="VCA",$Q1231="LINEAR"),($M1231*2.5)/50,IF(AND($M1231&lt;&gt;"",$N1231="MND",$Q1231="EMBOQUE"),($AN1231*2*2.5)/50,0))</f>
        <v>7.5395</v>
      </c>
      <c r="BL1231" s="157" t="str">
        <f aca="false">K1231&amp;J1231</f>
        <v>Zona11REDES</v>
      </c>
      <c r="BM1231" s="152" t="s">
        <v>6084</v>
      </c>
      <c r="BN1231" s="152" t="s">
        <v>1560</v>
      </c>
      <c r="BO1231" s="152" t="s">
        <v>4218</v>
      </c>
      <c r="BP1231" s="152" t="s">
        <v>6175</v>
      </c>
      <c r="BQ1231" s="152" t="s">
        <v>6199</v>
      </c>
      <c r="BR1231" s="152" t="s">
        <v>6200</v>
      </c>
      <c r="BS1231" s="152" t="n">
        <v>204054.05</v>
      </c>
      <c r="BT1231" s="152" t="n">
        <v>8236347.562</v>
      </c>
      <c r="BU1231" s="152" t="n">
        <v>204102.195</v>
      </c>
      <c r="BV1231" s="152" t="n">
        <v>8236204.675</v>
      </c>
      <c r="BW1231" s="152" t="n">
        <v>-15.9351602</v>
      </c>
      <c r="BX1231" s="152" t="n">
        <v>-47.7640386</v>
      </c>
      <c r="BY1231" s="152" t="s">
        <v>6175</v>
      </c>
    </row>
    <row r="1232" customFormat="false" ht="13.8" hidden="false" customHeight="false" outlineLevel="0" collapsed="false">
      <c r="A1232" s="149" t="n">
        <f aca="false">IF(C1232&lt;&gt;"",ROW(A1227),"")</f>
        <v>1227</v>
      </c>
      <c r="B1232" s="150" t="str">
        <f aca="false">HYPERLINK("https://www.google.com/maps/dir/-15.917302,-47.760003/-15.9361788,-47.7632573/data=!4m3!4m2!3e0!5i2")</f>
        <v>https://www.google.com/maps/dir/-15.917302,-47.760003/-15.9361788,-47.7632573/data=!4m3!4m2!3e0!5i2</v>
      </c>
      <c r="C1232" s="151" t="s">
        <v>117</v>
      </c>
      <c r="D1232" s="152" t="s">
        <v>112</v>
      </c>
      <c r="E1232" s="152" t="s">
        <v>113</v>
      </c>
      <c r="F1232" s="152" t="s">
        <v>117</v>
      </c>
      <c r="G1232" s="152" t="s">
        <v>782</v>
      </c>
      <c r="H1232" s="152" t="n">
        <v>63</v>
      </c>
      <c r="I1232" s="152" t="s">
        <v>115</v>
      </c>
      <c r="J1232" s="152" t="s">
        <v>6</v>
      </c>
      <c r="K1232" s="152" t="s">
        <v>6081</v>
      </c>
      <c r="L1232" s="152" t="s">
        <v>120</v>
      </c>
      <c r="M1232" s="153" t="n">
        <f aca="false">207.74</f>
        <v>207.74</v>
      </c>
      <c r="N1232" s="152" t="s">
        <v>1548</v>
      </c>
      <c r="O1232" s="152" t="s">
        <v>1549</v>
      </c>
      <c r="P1232" s="152" t="s">
        <v>1550</v>
      </c>
      <c r="Q1232" s="152" t="s">
        <v>1551</v>
      </c>
      <c r="R1232" s="154" t="s">
        <v>6201</v>
      </c>
      <c r="S1232" s="154" t="s">
        <v>1553</v>
      </c>
      <c r="T1232" s="155" t="s">
        <v>4216</v>
      </c>
      <c r="U1232" s="152" t="str">
        <f aca="false">RIGHT(T1232,7)</f>
        <v>019/037</v>
      </c>
      <c r="V1232" s="152" t="s">
        <v>1555</v>
      </c>
      <c r="W1232" s="156" t="n">
        <v>45882</v>
      </c>
      <c r="X1232" s="152" t="s">
        <v>1594</v>
      </c>
      <c r="Y1232" s="152" t="s">
        <v>6202</v>
      </c>
      <c r="Z1232" s="152" t="s">
        <v>1557</v>
      </c>
      <c r="AA1232" s="153" t="n">
        <v>5</v>
      </c>
      <c r="AB1232" s="151" t="s">
        <v>6203</v>
      </c>
      <c r="AC1232" s="151" t="s">
        <v>186</v>
      </c>
      <c r="AD1232" s="151" t="str">
        <f aca="false">CONCATENATE($C1232,$I1232,$H1232,$N1232,$J1232,$K1232)</f>
        <v>TUBO PEADPEAD63VCAREDESZona11</v>
      </c>
      <c r="AE1232" s="153" t="n">
        <f aca="false">IFERROR(INDEX(APOIO_REDES!$A:$W,MATCH($C1232&amp;$I1232&amp;$H1232&amp;$N1232&amp;$O1232,APOIO_REDES!$W:$W,0),MATCH(AE$5,APOIO_REDES!$5:$5,0)),0)</f>
        <v>1.2</v>
      </c>
      <c r="AF1232" s="153" t="n">
        <f aca="false">IFERROR(INDEX(APOIO_REDES!$A:$W,MATCH($C1232&amp;$I1232&amp;$H1232&amp;$N1232&amp;$O1232,APOIO_REDES!$W:$W,0),MATCH(AF$5,APOIO_REDES!$5:$5,0)),0)</f>
        <v>1.363</v>
      </c>
      <c r="AG1232" s="153" t="n">
        <f aca="false">IFERROR(INDEX(APOIO_REDES!$A:$W,MATCH($C1232&amp;$I1232&amp;$H1232&amp;$N1232&amp;$O1232,APOIO_REDES!$W:$W,0),MATCH(AG$5,APOIO_REDES!$5:$5,0)),0)</f>
        <v>0.65</v>
      </c>
      <c r="AH1232" s="153" t="n">
        <f aca="false">IFERROR(INDEX(APOIO_REDES!$A:$W,MATCH($C1232&amp;$I1232&amp;$H1232&amp;$N1232&amp;$O1232,APOIO_REDES!$W:$W,0),MATCH(AH$5,APOIO_REDES!$5:$5,0)),0)</f>
        <v>0.1</v>
      </c>
      <c r="AI1232" s="153" t="n">
        <f aca="false">IFERROR(IF($H1232&lt;&gt;"",(((($H1232/1000)/2)^2)*PI()*$M1232),0),0)</f>
        <v>0.647576540808354</v>
      </c>
      <c r="AJ1232" s="153" t="n">
        <f aca="false">IFERROR(IF(AND($H1232&lt;&gt;"",$I1232="FoFo",OR($N1232="MND",$N1232="VCA"),$Q1232="LINEAR"),0,IF(AND($H1232&lt;&gt;"",$I1232="PEAD",$N1232="VCA",$Q1232="LINEAR"),($H1232/1000)+0.3,IF(AND($H1232&lt;&gt;"",$I1232="PEAD",$N1232="MND",$Q1232="EMBOQUE"),0,IF(AND($H1232&lt;&gt;"",$I1232="PVC",$N1232="VCA",$Q1232="LINEAR"),($H1232/1000)+0.2,IF(AND($H1232&lt;&gt;"",$I1232="PVC",$N1232="MND",$Q1232="EMBOQUE"),0,IF(AND($H1232&lt;&gt;"",$I1232="PEAD",$N1232="VCA",$Q1232="PREDIAL"),0,0)))))),0)</f>
        <v>0.363</v>
      </c>
      <c r="AK1232" s="153" t="n">
        <f aca="false">IF(AA1232&lt;&gt;"",AA1232,0)</f>
        <v>5</v>
      </c>
      <c r="AL1232" s="153" t="n">
        <f aca="false">IF(AND($N1232="MND",$Q1232="EMBOQUE"),$M1232,IF(AND($N1232="VCA",$Q1232="LINEAR"),$M1232,IF(AND($N1232="VCA",$Q1232="PREDIAL"),0,0)))</f>
        <v>207.74</v>
      </c>
      <c r="AM1232" s="153" t="n">
        <f aca="false">IF(AND($N1232="MND",$Q1232="EMBOQUE"),$M1232,IF(AND($N1232="VCA",$Q1232="LINEAR"),$M1232,IF(AND($N1232="VCA",$Q1232="PREDIAL"),0,0)))</f>
        <v>207.74</v>
      </c>
      <c r="AN1232" s="153" t="n">
        <f aca="false">ROUND(IF(AND($N1232="VCA",$M1232&lt;&gt;"",$Q1232="LINEAR"),$M1232/100,IF(AND($N1232="MND",$M1232&gt;100,$Q1232="EMBOQUE"),$M1232/100,0)),0)</f>
        <v>2</v>
      </c>
      <c r="AO1232" s="153" t="n">
        <f aca="false">IF(AND($N1232="MND",$Q1232="EMBOQUE"),$AN1232*2*2,IF(AND($N1232="VCA",$Q1232="LINEAR"),$M1232*2,IF(AND($N1232="VCA",$Q1232="PREDIAL"),0,0)))</f>
        <v>415.48</v>
      </c>
      <c r="AP1232" s="153" t="n">
        <f aca="false">IFERROR($M1232*$AF1232*$AG1232,0)</f>
        <v>184.047253</v>
      </c>
      <c r="AQ1232" s="153" t="n">
        <f aca="false">IFERROR(IF(AND($N1232="VCA",$AH1232&gt;0),$M1232*$AG1232*$AH1232,0),0)</f>
        <v>13.5031</v>
      </c>
      <c r="AR1232" s="153" t="n">
        <f aca="false">IFERROR(IF(AND($N1232="VCA",$AJ1232&gt;0),($M1232*$AG1232*$AJ1232)-$AI1232,0),0)</f>
        <v>48.3686764591917</v>
      </c>
      <c r="AS1232" s="153" t="n">
        <f aca="false">IFERROR(IF(AND($N1232="VCA",$AP1232&gt;0),$AP1232-$AI1232-$AQ1232-$AR1232,0),0)</f>
        <v>121.5279</v>
      </c>
      <c r="AT1232" s="153" t="n">
        <f aca="false">IFERROR(IF($N1232="VCA",INDEX(APOIO_REDES!$A:$W,MATCH($C1232&amp;$I1232&amp;$H1232&amp;$N1232&amp;$O1232,APOIO_REDES!$W:$W,0),MATCH(AT$5,APOIO_REDES!$5:$5,0)),0)*$AP1232,0)</f>
        <v>2.00248858784621</v>
      </c>
      <c r="AU1232" s="153" t="n">
        <f aca="false">IFERROR(IF($N1232="VCA",INDEX(APOIO_REDES!$A:$W,MATCH($C1232&amp;$I1232&amp;$H1232&amp;$N1232&amp;$O1232,APOIO_REDES!$W:$W,0),MATCH(AU$5,APOIO_REDES!$5:$5,0)),0)*$AP1232,0)</f>
        <v>1.59913315198501</v>
      </c>
      <c r="AV1232" s="153" t="n">
        <f aca="false">IFERROR(IF($N1232="VCA",INDEX(APOIO_REDES!$A:$W,MATCH($C1232&amp;$I1232&amp;$H1232&amp;$N1232&amp;$O1232,APOIO_REDES!$W:$W,0),MATCH(AV$5,APOIO_REDES!$5:$5,0)),0)*$AP1232,0)</f>
        <v>0.221307474547276</v>
      </c>
      <c r="AW1232" s="153" t="n">
        <f aca="false">IFERROR(IF($N1232="VCA",INDEX(APOIO_REDES!$A:$W,MATCH($C1232&amp;$I1232&amp;$H1232&amp;$N1232&amp;$O1232,APOIO_REDES!$W:$W,0),MATCH(AW$5,APOIO_REDES!$5:$5,0)),0)*$AP1232,0)</f>
        <v>126.331460526905</v>
      </c>
      <c r="AX1232" s="153" t="n">
        <f aca="false">IFERROR(IF($N1232="VCA",INDEX(APOIO_REDES!$A:$W,MATCH($C1232&amp;$I1232&amp;$H1232&amp;$N1232&amp;$O1232,APOIO_REDES!$W:$W,0),MATCH(AX$5,APOIO_REDES!$5:$5,0)),0)*$AP1232,0)</f>
        <v>17.4839142749465</v>
      </c>
      <c r="AY1232" s="153" t="n">
        <f aca="false">IFERROR(IF($N1232="VCA",INDEX(APOIO_REDES!$A:$W,MATCH($C1232&amp;$I1232&amp;$H1232&amp;$N1232&amp;$O1232,APOIO_REDES!$W:$W,0),MATCH(AY$5,APOIO_REDES!$5:$5,0)),0)*$AP1232,0)</f>
        <v>31.9826435463966</v>
      </c>
      <c r="AZ1232" s="153" t="n">
        <f aca="false">IFERROR(IF($N1232="VCA",INDEX(APOIO_REDES!$A:$W,MATCH($C1232&amp;$I1232&amp;$H1232&amp;$N1232&amp;$O1232,APOIO_REDES!$W:$W,0),MATCH(AZ$5,APOIO_REDES!$5:$5,0)),0)*$AP1232,0)</f>
        <v>4.42630543737345</v>
      </c>
      <c r="BA1232" s="153" t="n">
        <f aca="false">IFERROR(IF(AND($N1232="VCA",$Q1232="LINEAR"),INDEX(APOIO_REDES!$A:$W,MATCH($C1232&amp;$I1232&amp;$H1232&amp;$N1232&amp;$O1232,APOIO_REDES!$W:$W,0),MATCH(BA$5,APOIO_REDES!$5:$5,0)),IF(AND($N1232="MND",$Q1232="EMBOQUE"),INDEX(APOIO_REDES!$A:$W,MATCH($C1232&amp;$I1232&amp;$H1232&amp;$N1232&amp;$O1232,APOIO_REDES!$W:$W,0),MATCH(BA$5,APOIO_REDES!$5:$5,0)),0))*$M1232/10,0)</f>
        <v>16.7433199924236</v>
      </c>
      <c r="BB1232" s="153" t="n">
        <f aca="false">IFERROR(IF($N1232="VCA",INDEX(APOIO_REDES!$A:$W,MATCH($C1232&amp;$I1232&amp;$H1232&amp;$N1232&amp;$O1232,APOIO_REDES!$W:$W,0),MATCH(BB$5,APOIO_REDES!$5:$5,0)),0)*($AI1232+$AQ1232+$AR1232),0)</f>
        <v>61.8391239345761</v>
      </c>
      <c r="BC1232" s="153" t="n">
        <f aca="false">IFERROR(IF($N1232="VCA",INDEX(APOIO_REDES!$A:$W,MATCH($C1232&amp;$I1232&amp;$H1232&amp;$N1232&amp;$O1232,APOIO_REDES!$W:$W,0),MATCH(BC$5,APOIO_REDES!$5:$5,0)),0)*($AI1232+$AQ1232+$AR1232),0)</f>
        <v>0.680229065423913</v>
      </c>
      <c r="BD1232" s="153" t="n">
        <f aca="false">IF(AND($N1232="VCA",$AF1232&gt;=1.25,$AF1232&lt;1.5),$M1232*$AF1232*2,0)</f>
        <v>566.29924</v>
      </c>
      <c r="BE1232" s="153" t="n">
        <f aca="false">IF(AND($N1232="VCA",$AF1232&gt;=1.5,$AF1232&lt;3),$M1232*$AF1232*2,0)</f>
        <v>0</v>
      </c>
      <c r="BF1232" s="153" t="n">
        <f aca="false">IF(AND($N1232="VCA",$AF1232&gt;=3),$M1232*$AF1232*2,0)</f>
        <v>0</v>
      </c>
      <c r="BG1232" s="153" t="n">
        <f aca="false">($BB1232+$BC1232)*$AK1232</f>
        <v>312.596765</v>
      </c>
      <c r="BH1232" s="153" t="n">
        <f aca="false">IF(AND($M1232&lt;&gt;"",$N1232="VCA",$Q1232="LINEAR"),($M1232*2)/100,IF(AND($M1232&lt;&gt;"",$N1232="MND",$Q1232="EMBOQUE"),($AN1232*2)/100,0))</f>
        <v>4.1548</v>
      </c>
      <c r="BI1232" s="153" t="n">
        <f aca="false">IF(AND($M1232&lt;&gt;"",$N1232="VCA",$Q1232="LINEAR"),$M1232,IF(AND($M1232&lt;&gt;"",$N1232="MND",$Q1232="EMBOQUE"),$AN1232*2,0))</f>
        <v>207.74</v>
      </c>
      <c r="BJ1232" s="153" t="n">
        <f aca="false">IF(AND($M1232&lt;&gt;"",$N1232="VCA",$Q1232="LINEAR"),($M1232*6.8)/100,IF(AND($M1232&lt;&gt;"",$N1232="MND",$Q1232="EMBOQUE"),($AN1232*2*6.8)/100,0))</f>
        <v>14.12632</v>
      </c>
      <c r="BK1232" s="153" t="n">
        <f aca="false">IF(AND($M1232&lt;&gt;"",$N1232="VCA",$Q1232="LINEAR"),($M1232*2.5)/50,IF(AND($M1232&lt;&gt;"",$N1232="MND",$Q1232="EMBOQUE"),($AN1232*2*2.5)/50,0))</f>
        <v>10.387</v>
      </c>
      <c r="BL1232" s="157" t="str">
        <f aca="false">K1232&amp;J1232</f>
        <v>Zona11REDES</v>
      </c>
      <c r="BM1232" s="152" t="s">
        <v>6084</v>
      </c>
      <c r="BN1232" s="152" t="s">
        <v>1560</v>
      </c>
      <c r="BO1232" s="152" t="s">
        <v>4218</v>
      </c>
      <c r="BP1232" s="152" t="s">
        <v>6204</v>
      </c>
      <c r="BQ1232" s="152" t="s">
        <v>6174</v>
      </c>
      <c r="BR1232" s="152" t="s">
        <v>6205</v>
      </c>
      <c r="BS1232" s="152" t="n">
        <v>204163.038</v>
      </c>
      <c r="BT1232" s="152" t="n">
        <v>8236164.346</v>
      </c>
      <c r="BU1232" s="152" t="n">
        <v>204098.702</v>
      </c>
      <c r="BV1232" s="152" t="n">
        <v>8236361.766</v>
      </c>
      <c r="BW1232" s="152" t="n">
        <v>-15.9352793</v>
      </c>
      <c r="BX1232" s="152" t="n">
        <v>-47.7635302</v>
      </c>
      <c r="BY1232" s="152" t="s">
        <v>6204</v>
      </c>
    </row>
    <row r="1233" customFormat="false" ht="13.8" hidden="false" customHeight="false" outlineLevel="0" collapsed="false">
      <c r="A1233" s="149" t="n">
        <f aca="false">IF(C1233&lt;&gt;"",ROW(A1228),"")</f>
        <v>1228</v>
      </c>
      <c r="B1233" s="150" t="str">
        <f aca="false">HYPERLINK("https://www.google.com/maps/dir/-15.917302,-47.760003/-15.9357962,-47.7628482/data=!4m3!4m2!3e0!5i2")</f>
        <v>https://www.google.com/maps/dir/-15.917302,-47.760003/-15.9357962,-47.7628482/data=!4m3!4m2!3e0!5i2</v>
      </c>
      <c r="C1233" s="151" t="s">
        <v>117</v>
      </c>
      <c r="D1233" s="152" t="s">
        <v>112</v>
      </c>
      <c r="E1233" s="152" t="s">
        <v>113</v>
      </c>
      <c r="F1233" s="152" t="s">
        <v>117</v>
      </c>
      <c r="G1233" s="152" t="s">
        <v>782</v>
      </c>
      <c r="H1233" s="152" t="n">
        <v>63</v>
      </c>
      <c r="I1233" s="152" t="s">
        <v>115</v>
      </c>
      <c r="J1233" s="152" t="s">
        <v>6</v>
      </c>
      <c r="K1233" s="152" t="s">
        <v>6081</v>
      </c>
      <c r="L1233" s="152" t="s">
        <v>120</v>
      </c>
      <c r="M1233" s="153" t="n">
        <f aca="false">115.42+0.19</f>
        <v>115.61</v>
      </c>
      <c r="N1233" s="152" t="s">
        <v>1548</v>
      </c>
      <c r="O1233" s="152" t="s">
        <v>1549</v>
      </c>
      <c r="P1233" s="152" t="s">
        <v>1550</v>
      </c>
      <c r="Q1233" s="152" t="s">
        <v>1551</v>
      </c>
      <c r="R1233" s="154" t="s">
        <v>6206</v>
      </c>
      <c r="S1233" s="154" t="s">
        <v>1553</v>
      </c>
      <c r="T1233" s="155" t="s">
        <v>4216</v>
      </c>
      <c r="U1233" s="152" t="str">
        <f aca="false">RIGHT(T1233,7)</f>
        <v>019/037</v>
      </c>
      <c r="V1233" s="152" t="s">
        <v>1555</v>
      </c>
      <c r="W1233" s="156" t="n">
        <v>45882</v>
      </c>
      <c r="X1233" s="152" t="s">
        <v>3938</v>
      </c>
      <c r="Y1233" s="152" t="s">
        <v>5541</v>
      </c>
      <c r="Z1233" s="152" t="s">
        <v>1557</v>
      </c>
      <c r="AA1233" s="153" t="n">
        <v>5</v>
      </c>
      <c r="AB1233" s="151" t="s">
        <v>6207</v>
      </c>
      <c r="AC1233" s="151" t="s">
        <v>186</v>
      </c>
      <c r="AD1233" s="151" t="str">
        <f aca="false">CONCATENATE($C1233,$I1233,$H1233,$N1233,$J1233,$K1233)</f>
        <v>TUBO PEADPEAD63VCAREDESZona11</v>
      </c>
      <c r="AE1233" s="153" t="n">
        <f aca="false">IFERROR(INDEX(APOIO_REDES!$A:$W,MATCH($C1233&amp;$I1233&amp;$H1233&amp;$N1233&amp;$O1233,APOIO_REDES!$W:$W,0),MATCH(AE$5,APOIO_REDES!$5:$5,0)),0)</f>
        <v>1.2</v>
      </c>
      <c r="AF1233" s="153" t="n">
        <f aca="false">IFERROR(INDEX(APOIO_REDES!$A:$W,MATCH($C1233&amp;$I1233&amp;$H1233&amp;$N1233&amp;$O1233,APOIO_REDES!$W:$W,0),MATCH(AF$5,APOIO_REDES!$5:$5,0)),0)</f>
        <v>1.363</v>
      </c>
      <c r="AG1233" s="153" t="n">
        <f aca="false">IFERROR(INDEX(APOIO_REDES!$A:$W,MATCH($C1233&amp;$I1233&amp;$H1233&amp;$N1233&amp;$O1233,APOIO_REDES!$W:$W,0),MATCH(AG$5,APOIO_REDES!$5:$5,0)),0)</f>
        <v>0.65</v>
      </c>
      <c r="AH1233" s="153" t="n">
        <f aca="false">IFERROR(INDEX(APOIO_REDES!$A:$W,MATCH($C1233&amp;$I1233&amp;$H1233&amp;$N1233&amp;$O1233,APOIO_REDES!$W:$W,0),MATCH(AH$5,APOIO_REDES!$5:$5,0)),0)</f>
        <v>0.1</v>
      </c>
      <c r="AI1233" s="153" t="n">
        <f aca="false">IFERROR(IF($H1233&lt;&gt;"",(((($H1233/1000)/2)^2)*PI()*$M1233),0),0)</f>
        <v>0.360384730349734</v>
      </c>
      <c r="AJ1233" s="153" t="n">
        <f aca="false">IFERROR(IF(AND($H1233&lt;&gt;"",$I1233="FoFo",OR($N1233="MND",$N1233="VCA"),$Q1233="LINEAR"),0,IF(AND($H1233&lt;&gt;"",$I1233="PEAD",$N1233="VCA",$Q1233="LINEAR"),($H1233/1000)+0.3,IF(AND($H1233&lt;&gt;"",$I1233="PEAD",$N1233="MND",$Q1233="EMBOQUE"),0,IF(AND($H1233&lt;&gt;"",$I1233="PVC",$N1233="VCA",$Q1233="LINEAR"),($H1233/1000)+0.2,IF(AND($H1233&lt;&gt;"",$I1233="PVC",$N1233="MND",$Q1233="EMBOQUE"),0,IF(AND($H1233&lt;&gt;"",$I1233="PEAD",$N1233="VCA",$Q1233="PREDIAL"),0,0)))))),0)</f>
        <v>0.363</v>
      </c>
      <c r="AK1233" s="153" t="n">
        <f aca="false">IF(AA1233&lt;&gt;"",AA1233,0)</f>
        <v>5</v>
      </c>
      <c r="AL1233" s="153" t="n">
        <f aca="false">IF(AND($N1233="MND",$Q1233="EMBOQUE"),$M1233,IF(AND($N1233="VCA",$Q1233="LINEAR"),$M1233,IF(AND($N1233="VCA",$Q1233="PREDIAL"),0,0)))</f>
        <v>115.61</v>
      </c>
      <c r="AM1233" s="153" t="n">
        <f aca="false">IF(AND($N1233="MND",$Q1233="EMBOQUE"),$M1233,IF(AND($N1233="VCA",$Q1233="LINEAR"),$M1233,IF(AND($N1233="VCA",$Q1233="PREDIAL"),0,0)))</f>
        <v>115.61</v>
      </c>
      <c r="AN1233" s="153" t="n">
        <f aca="false">ROUND(IF(AND($N1233="VCA",$M1233&lt;&gt;"",$Q1233="LINEAR"),$M1233/100,IF(AND($N1233="MND",$M1233&gt;100,$Q1233="EMBOQUE"),$M1233/100,0)),0)</f>
        <v>1</v>
      </c>
      <c r="AO1233" s="153" t="n">
        <f aca="false">IF(AND($N1233="MND",$Q1233="EMBOQUE"),$AN1233*2*2,IF(AND($N1233="VCA",$Q1233="LINEAR"),$M1233*2,IF(AND($N1233="VCA",$Q1233="PREDIAL"),0,0)))</f>
        <v>231.22</v>
      </c>
      <c r="AP1233" s="153" t="n">
        <f aca="false">IFERROR($M1233*$AF1233*$AG1233,0)</f>
        <v>102.4246795</v>
      </c>
      <c r="AQ1233" s="153" t="n">
        <f aca="false">IFERROR(IF(AND($N1233="VCA",$AH1233&gt;0),$M1233*$AG1233*$AH1233,0),0)</f>
        <v>7.51465</v>
      </c>
      <c r="AR1233" s="153" t="n">
        <f aca="false">IFERROR(IF(AND($N1233="VCA",$AJ1233&gt;0),($M1233*$AG1233*$AJ1233)-$AI1233,0),0)</f>
        <v>26.9177947696503</v>
      </c>
      <c r="AS1233" s="153" t="n">
        <f aca="false">IFERROR(IF(AND($N1233="VCA",$AP1233&gt;0),$AP1233-$AI1233-$AQ1233-$AR1233,0),0)</f>
        <v>67.63185</v>
      </c>
      <c r="AT1233" s="153" t="n">
        <f aca="false">IFERROR(IF($N1233="VCA",INDEX(APOIO_REDES!$A:$W,MATCH($C1233&amp;$I1233&amp;$H1233&amp;$N1233&amp;$O1233,APOIO_REDES!$W:$W,0),MATCH(AT$5,APOIO_REDES!$5:$5,0)),0)*$AP1233,0)</f>
        <v>1.11441082911765</v>
      </c>
      <c r="AU1233" s="153" t="n">
        <f aca="false">IFERROR(IF($N1233="VCA",INDEX(APOIO_REDES!$A:$W,MATCH($C1233&amp;$I1233&amp;$H1233&amp;$N1233&amp;$O1233,APOIO_REDES!$W:$W,0),MATCH(AU$5,APOIO_REDES!$5:$5,0)),0)*$AP1233,0)</f>
        <v>0.889938306060395</v>
      </c>
      <c r="AV1233" s="153" t="n">
        <f aca="false">IFERROR(IF($N1233="VCA",INDEX(APOIO_REDES!$A:$W,MATCH($C1233&amp;$I1233&amp;$H1233&amp;$N1233&amp;$O1233,APOIO_REDES!$W:$W,0),MATCH(AV$5,APOIO_REDES!$5:$5,0)),0)*$AP1233,0)</f>
        <v>0.123160475269137</v>
      </c>
      <c r="AW1233" s="153" t="n">
        <f aca="false">IFERROR(IF($N1233="VCA",INDEX(APOIO_REDES!$A:$W,MATCH($C1233&amp;$I1233&amp;$H1233&amp;$N1233&amp;$O1233,APOIO_REDES!$W:$W,0),MATCH(AW$5,APOIO_REDES!$5:$5,0)),0)*$AP1233,0)</f>
        <v>70.3050936339438</v>
      </c>
      <c r="AX1233" s="153" t="n">
        <f aca="false">IFERROR(IF($N1233="VCA",INDEX(APOIO_REDES!$A:$W,MATCH($C1233&amp;$I1233&amp;$H1233&amp;$N1233&amp;$O1233,APOIO_REDES!$W:$W,0),MATCH(AX$5,APOIO_REDES!$5:$5,0)),0)*$AP1233,0)</f>
        <v>9.73002469108775</v>
      </c>
      <c r="AY1233" s="153" t="n">
        <f aca="false">IFERROR(IF($N1233="VCA",INDEX(APOIO_REDES!$A:$W,MATCH($C1233&amp;$I1233&amp;$H1233&amp;$N1233&amp;$O1233,APOIO_REDES!$W:$W,0),MATCH(AY$5,APOIO_REDES!$5:$5,0)),0)*$AP1233,0)</f>
        <v>17.7987552729321</v>
      </c>
      <c r="AZ1233" s="153" t="n">
        <f aca="false">IFERROR(IF($N1233="VCA",INDEX(APOIO_REDES!$A:$W,MATCH($C1233&amp;$I1233&amp;$H1233&amp;$N1233&amp;$O1233,APOIO_REDES!$W:$W,0),MATCH(AZ$5,APOIO_REDES!$5:$5,0)),0)*$AP1233,0)</f>
        <v>2.46329629158922</v>
      </c>
      <c r="BA1233" s="153" t="n">
        <f aca="false">IFERROR(IF(AND($N1233="VCA",$Q1233="LINEAR"),INDEX(APOIO_REDES!$A:$W,MATCH($C1233&amp;$I1233&amp;$H1233&amp;$N1233&amp;$O1233,APOIO_REDES!$W:$W,0),MATCH(BA$5,APOIO_REDES!$5:$5,0)),IF(AND($N1233="MND",$Q1233="EMBOQUE"),INDEX(APOIO_REDES!$A:$W,MATCH($C1233&amp;$I1233&amp;$H1233&amp;$N1233&amp;$O1233,APOIO_REDES!$W:$W,0),MATCH(BA$5,APOIO_REDES!$5:$5,0)),0))*$M1233/10,0)</f>
        <v>9.3178743829984</v>
      </c>
      <c r="BB1233" s="153" t="n">
        <f aca="false">IFERROR(IF($N1233="VCA",INDEX(APOIO_REDES!$A:$W,MATCH($C1233&amp;$I1233&amp;$H1233&amp;$N1233&amp;$O1233,APOIO_REDES!$W:$W,0),MATCH(BB$5,APOIO_REDES!$5:$5,0)),0)*($AI1233+$AQ1233+$AR1233),0)</f>
        <v>34.4142732168881</v>
      </c>
      <c r="BC1233" s="153" t="n">
        <f aca="false">IFERROR(IF($N1233="VCA",INDEX(APOIO_REDES!$A:$W,MATCH($C1233&amp;$I1233&amp;$H1233&amp;$N1233&amp;$O1233,APOIO_REDES!$W:$W,0),MATCH(BC$5,APOIO_REDES!$5:$5,0)),0)*($AI1233+$AQ1233+$AR1233),0)</f>
        <v>0.378556283111864</v>
      </c>
      <c r="BD1233" s="153" t="n">
        <f aca="false">IF(AND($N1233="VCA",$AF1233&gt;=1.25,$AF1233&lt;1.5),$M1233*$AF1233*2,0)</f>
        <v>315.15286</v>
      </c>
      <c r="BE1233" s="153" t="n">
        <f aca="false">IF(AND($N1233="VCA",$AF1233&gt;=1.5,$AF1233&lt;3),$M1233*$AF1233*2,0)</f>
        <v>0</v>
      </c>
      <c r="BF1233" s="153" t="n">
        <f aca="false">IF(AND($N1233="VCA",$AF1233&gt;=3),$M1233*$AF1233*2,0)</f>
        <v>0</v>
      </c>
      <c r="BG1233" s="153" t="n">
        <f aca="false">($BB1233+$BC1233)*$AK1233</f>
        <v>173.9641475</v>
      </c>
      <c r="BH1233" s="153" t="n">
        <f aca="false">IF(AND($M1233&lt;&gt;"",$N1233="VCA",$Q1233="LINEAR"),($M1233*2)/100,IF(AND($M1233&lt;&gt;"",$N1233="MND",$Q1233="EMBOQUE"),($AN1233*2)/100,0))</f>
        <v>2.3122</v>
      </c>
      <c r="BI1233" s="153" t="n">
        <f aca="false">IF(AND($M1233&lt;&gt;"",$N1233="VCA",$Q1233="LINEAR"),$M1233,IF(AND($M1233&lt;&gt;"",$N1233="MND",$Q1233="EMBOQUE"),$AN1233*2,0))</f>
        <v>115.61</v>
      </c>
      <c r="BJ1233" s="153" t="n">
        <f aca="false">IF(AND($M1233&lt;&gt;"",$N1233="VCA",$Q1233="LINEAR"),($M1233*6.8)/100,IF(AND($M1233&lt;&gt;"",$N1233="MND",$Q1233="EMBOQUE"),($AN1233*2*6.8)/100,0))</f>
        <v>7.86148</v>
      </c>
      <c r="BK1233" s="153" t="n">
        <f aca="false">IF(AND($M1233&lt;&gt;"",$N1233="VCA",$Q1233="LINEAR"),($M1233*2.5)/50,IF(AND($M1233&lt;&gt;"",$N1233="MND",$Q1233="EMBOQUE"),($AN1233*2*2.5)/50,0))</f>
        <v>5.7805</v>
      </c>
      <c r="BL1233" s="157" t="str">
        <f aca="false">K1233&amp;J1233</f>
        <v>Zona11REDES</v>
      </c>
      <c r="BM1233" s="152" t="s">
        <v>6084</v>
      </c>
      <c r="BN1233" s="152" t="s">
        <v>1560</v>
      </c>
      <c r="BO1233" s="152" t="s">
        <v>4218</v>
      </c>
      <c r="BP1233" s="152" t="s">
        <v>6208</v>
      </c>
      <c r="BQ1233" s="152" t="s">
        <v>2232</v>
      </c>
      <c r="BR1233" s="152" t="s">
        <v>6209</v>
      </c>
      <c r="BS1233" s="152" t="n">
        <v>204206.306</v>
      </c>
      <c r="BT1233" s="152" t="n">
        <v>8236207.292</v>
      </c>
      <c r="BU1233" s="152" t="n">
        <v>204172.986</v>
      </c>
      <c r="BV1233" s="152" t="n">
        <v>8236317.79</v>
      </c>
      <c r="BW1233" s="152" t="n">
        <v>-15.9352956</v>
      </c>
      <c r="BX1233" s="152" t="n">
        <v>-47.762998</v>
      </c>
      <c r="BY1233" s="152" t="s">
        <v>6208</v>
      </c>
    </row>
    <row r="1234" customFormat="false" ht="13.8" hidden="false" customHeight="false" outlineLevel="0" collapsed="false">
      <c r="A1234" s="149" t="n">
        <f aca="false">IF(C1234&lt;&gt;"",ROW(A1229),"")</f>
        <v>1229</v>
      </c>
      <c r="B1234" s="150" t="str">
        <f aca="false">HYPERLINK("https://www.google.com/maps/dir/-15.917302,-47.760003/-15.9353774,-47.7661488/data=!4m3!4m2!3e0!5i1")</f>
        <v>https://www.google.com/maps/dir/-15.917302,-47.760003/-15.9353774,-47.7661488/data=!4m3!4m2!3e0!5i1</v>
      </c>
      <c r="C1234" s="151" t="s">
        <v>117</v>
      </c>
      <c r="D1234" s="152" t="s">
        <v>112</v>
      </c>
      <c r="E1234" s="152" t="s">
        <v>113</v>
      </c>
      <c r="F1234" s="152" t="s">
        <v>117</v>
      </c>
      <c r="G1234" s="152" t="s">
        <v>782</v>
      </c>
      <c r="H1234" s="152" t="n">
        <v>63</v>
      </c>
      <c r="I1234" s="152" t="s">
        <v>115</v>
      </c>
      <c r="J1234" s="152" t="s">
        <v>6</v>
      </c>
      <c r="K1234" s="152" t="s">
        <v>6081</v>
      </c>
      <c r="L1234" s="152" t="s">
        <v>120</v>
      </c>
      <c r="M1234" s="153" t="n">
        <f aca="false">48.2+0.41</f>
        <v>48.61</v>
      </c>
      <c r="N1234" s="152" t="s">
        <v>1548</v>
      </c>
      <c r="O1234" s="152" t="s">
        <v>1549</v>
      </c>
      <c r="P1234" s="152" t="s">
        <v>1550</v>
      </c>
      <c r="Q1234" s="152" t="s">
        <v>1551</v>
      </c>
      <c r="R1234" s="154" t="s">
        <v>6210</v>
      </c>
      <c r="S1234" s="154" t="s">
        <v>1553</v>
      </c>
      <c r="T1234" s="155" t="s">
        <v>4216</v>
      </c>
      <c r="U1234" s="152" t="str">
        <f aca="false">RIGHT(T1234,7)</f>
        <v>019/037</v>
      </c>
      <c r="V1234" s="152" t="s">
        <v>1555</v>
      </c>
      <c r="W1234" s="156" t="n">
        <v>45882</v>
      </c>
      <c r="X1234" s="152" t="s">
        <v>1594</v>
      </c>
      <c r="Y1234" s="152" t="s">
        <v>3251</v>
      </c>
      <c r="Z1234" s="152" t="s">
        <v>1557</v>
      </c>
      <c r="AA1234" s="153" t="n">
        <v>3.9</v>
      </c>
      <c r="AB1234" s="151" t="s">
        <v>6211</v>
      </c>
      <c r="AC1234" s="151" t="s">
        <v>186</v>
      </c>
      <c r="AD1234" s="151" t="str">
        <f aca="false">CONCATENATE($C1234,$I1234,$H1234,$N1234,$J1234,$K1234)</f>
        <v>TUBO PEADPEAD63VCAREDESZona11</v>
      </c>
      <c r="AE1234" s="153" t="n">
        <f aca="false">IFERROR(INDEX(APOIO_REDES!$A:$W,MATCH($C1234&amp;$I1234&amp;$H1234&amp;$N1234&amp;$O1234,APOIO_REDES!$W:$W,0),MATCH(AE$5,APOIO_REDES!$5:$5,0)),0)</f>
        <v>1.2</v>
      </c>
      <c r="AF1234" s="153" t="n">
        <f aca="false">IFERROR(INDEX(APOIO_REDES!$A:$W,MATCH($C1234&amp;$I1234&amp;$H1234&amp;$N1234&amp;$O1234,APOIO_REDES!$W:$W,0),MATCH(AF$5,APOIO_REDES!$5:$5,0)),0)</f>
        <v>1.363</v>
      </c>
      <c r="AG1234" s="153" t="n">
        <f aca="false">IFERROR(INDEX(APOIO_REDES!$A:$W,MATCH($C1234&amp;$I1234&amp;$H1234&amp;$N1234&amp;$O1234,APOIO_REDES!$W:$W,0),MATCH(AG$5,APOIO_REDES!$5:$5,0)),0)</f>
        <v>0.65</v>
      </c>
      <c r="AH1234" s="153" t="n">
        <f aca="false">IFERROR(INDEX(APOIO_REDES!$A:$W,MATCH($C1234&amp;$I1234&amp;$H1234&amp;$N1234&amp;$O1234,APOIO_REDES!$W:$W,0),MATCH(AH$5,APOIO_REDES!$5:$5,0)),0)</f>
        <v>0.1</v>
      </c>
      <c r="AI1234" s="153" t="n">
        <f aca="false">IFERROR(IF($H1234&lt;&gt;"",(((($H1234/1000)/2)^2)*PI()*$M1234),0),0)</f>
        <v>0.151529294544595</v>
      </c>
      <c r="AJ1234" s="153" t="n">
        <f aca="false">IFERROR(IF(AND($H1234&lt;&gt;"",$I1234="FoFo",OR($N1234="MND",$N1234="VCA"),$Q1234="LINEAR"),0,IF(AND($H1234&lt;&gt;"",$I1234="PEAD",$N1234="VCA",$Q1234="LINEAR"),($H1234/1000)+0.3,IF(AND($H1234&lt;&gt;"",$I1234="PEAD",$N1234="MND",$Q1234="EMBOQUE"),0,IF(AND($H1234&lt;&gt;"",$I1234="PVC",$N1234="VCA",$Q1234="LINEAR"),($H1234/1000)+0.2,IF(AND($H1234&lt;&gt;"",$I1234="PVC",$N1234="MND",$Q1234="EMBOQUE"),0,IF(AND($H1234&lt;&gt;"",$I1234="PEAD",$N1234="VCA",$Q1234="PREDIAL"),0,0)))))),0)</f>
        <v>0.363</v>
      </c>
      <c r="AK1234" s="153" t="n">
        <f aca="false">IF(AA1234&lt;&gt;"",AA1234,0)</f>
        <v>3.9</v>
      </c>
      <c r="AL1234" s="153" t="n">
        <f aca="false">IF(AND($N1234="MND",$Q1234="EMBOQUE"),$M1234,IF(AND($N1234="VCA",$Q1234="LINEAR"),$M1234,IF(AND($N1234="VCA",$Q1234="PREDIAL"),0,0)))</f>
        <v>48.61</v>
      </c>
      <c r="AM1234" s="153" t="n">
        <f aca="false">IF(AND($N1234="MND",$Q1234="EMBOQUE"),$M1234,IF(AND($N1234="VCA",$Q1234="LINEAR"),$M1234,IF(AND($N1234="VCA",$Q1234="PREDIAL"),0,0)))</f>
        <v>48.61</v>
      </c>
      <c r="AN1234" s="153" t="n">
        <f aca="false">ROUND(IF(AND($N1234="VCA",$M1234&lt;&gt;"",$Q1234="LINEAR"),$M1234/100,IF(AND($N1234="MND",$M1234&gt;100,$Q1234="EMBOQUE"),$M1234/100,0)),0)</f>
        <v>0</v>
      </c>
      <c r="AO1234" s="153" t="n">
        <f aca="false">IF(AND($N1234="MND",$Q1234="EMBOQUE"),$AN1234*2*2,IF(AND($N1234="VCA",$Q1234="LINEAR"),$M1234*2,IF(AND($N1234="VCA",$Q1234="PREDIAL"),0,0)))</f>
        <v>97.22</v>
      </c>
      <c r="AP1234" s="153" t="n">
        <f aca="false">IFERROR($M1234*$AF1234*$AG1234,0)</f>
        <v>43.0660295</v>
      </c>
      <c r="AQ1234" s="153" t="n">
        <f aca="false">IFERROR(IF(AND($N1234="VCA",$AH1234&gt;0),$M1234*$AG1234*$AH1234,0),0)</f>
        <v>3.15965</v>
      </c>
      <c r="AR1234" s="153" t="n">
        <f aca="false">IFERROR(IF(AND($N1234="VCA",$AJ1234&gt;0),($M1234*$AG1234*$AJ1234)-$AI1234,0),0)</f>
        <v>11.3180002054554</v>
      </c>
      <c r="AS1234" s="153" t="n">
        <f aca="false">IFERROR(IF(AND($N1234="VCA",$AP1234&gt;0),$AP1234-$AI1234-$AQ1234-$AR1234,0),0)</f>
        <v>28.43685</v>
      </c>
      <c r="AT1234" s="153" t="n">
        <f aca="false">IFERROR(IF($N1234="VCA",INDEX(APOIO_REDES!$A:$W,MATCH($C1234&amp;$I1234&amp;$H1234&amp;$N1234&amp;$O1234,APOIO_REDES!$W:$W,0),MATCH(AT$5,APOIO_REDES!$5:$5,0)),0)*$AP1234,0)</f>
        <v>0.468571147854068</v>
      </c>
      <c r="AU1234" s="153" t="n">
        <f aca="false">IFERROR(IF($N1234="VCA",INDEX(APOIO_REDES!$A:$W,MATCH($C1234&amp;$I1234&amp;$H1234&amp;$N1234&amp;$O1234,APOIO_REDES!$W:$W,0),MATCH(AU$5,APOIO_REDES!$5:$5,0)),0)*$AP1234,0)</f>
        <v>0.374188228160157</v>
      </c>
      <c r="AV1234" s="153" t="n">
        <f aca="false">IFERROR(IF($N1234="VCA",INDEX(APOIO_REDES!$A:$W,MATCH($C1234&amp;$I1234&amp;$H1234&amp;$N1234&amp;$O1234,APOIO_REDES!$W:$W,0),MATCH(AV$5,APOIO_REDES!$5:$5,0)),0)*$AP1234,0)</f>
        <v>0.0517847132846013</v>
      </c>
      <c r="AW1234" s="153" t="n">
        <f aca="false">IFERROR(IF($N1234="VCA",INDEX(APOIO_REDES!$A:$W,MATCH($C1234&amp;$I1234&amp;$H1234&amp;$N1234&amp;$O1234,APOIO_REDES!$W:$W,0),MATCH(AW$5,APOIO_REDES!$5:$5,0)),0)*$AP1234,0)</f>
        <v>29.5608563406799</v>
      </c>
      <c r="AX1234" s="153" t="n">
        <f aca="false">IFERROR(IF($N1234="VCA",INDEX(APOIO_REDES!$A:$W,MATCH($C1234&amp;$I1234&amp;$H1234&amp;$N1234&amp;$O1234,APOIO_REDES!$W:$W,0),MATCH(AX$5,APOIO_REDES!$5:$5,0)),0)*$AP1234,0)</f>
        <v>4.09113831185689</v>
      </c>
      <c r="AY1234" s="153" t="n">
        <f aca="false">IFERROR(IF($N1234="VCA",INDEX(APOIO_REDES!$A:$W,MATCH($C1234&amp;$I1234&amp;$H1234&amp;$N1234&amp;$O1234,APOIO_REDES!$W:$W,0),MATCH(AY$5,APOIO_REDES!$5:$5,0)),0)*$AP1234,0)</f>
        <v>7.48376000187898</v>
      </c>
      <c r="AZ1234" s="153" t="n">
        <f aca="false">IFERROR(IF($N1234="VCA",INDEX(APOIO_REDES!$A:$W,MATCH($C1234&amp;$I1234&amp;$H1234&amp;$N1234&amp;$O1234,APOIO_REDES!$W:$W,0),MATCH(AZ$5,APOIO_REDES!$5:$5,0)),0)*$AP1234,0)</f>
        <v>1.03573075628537</v>
      </c>
      <c r="BA1234" s="153" t="n">
        <f aca="false">IFERROR(IF(AND($N1234="VCA",$Q1234="LINEAR"),INDEX(APOIO_REDES!$A:$W,MATCH($C1234&amp;$I1234&amp;$H1234&amp;$N1234&amp;$O1234,APOIO_REDES!$W:$W,0),MATCH(BA$5,APOIO_REDES!$5:$5,0)),IF(AND($N1234="MND",$Q1234="EMBOQUE"),INDEX(APOIO_REDES!$A:$W,MATCH($C1234&amp;$I1234&amp;$H1234&amp;$N1234&amp;$O1234,APOIO_REDES!$W:$W,0),MATCH(BA$5,APOIO_REDES!$5:$5,0)),0))*$M1234/10,0)</f>
        <v>3.91784338515312</v>
      </c>
      <c r="BB1234" s="153" t="n">
        <f aca="false">IFERROR(IF($N1234="VCA",INDEX(APOIO_REDES!$A:$W,MATCH($C1234&amp;$I1234&amp;$H1234&amp;$N1234&amp;$O1234,APOIO_REDES!$W:$W,0),MATCH(BB$5,APOIO_REDES!$5:$5,0)),0)*($AI1234+$AQ1234+$AR1234),0)</f>
        <v>14.4700096970239</v>
      </c>
      <c r="BC1234" s="153" t="n">
        <f aca="false">IFERROR(IF($N1234="VCA",INDEX(APOIO_REDES!$A:$W,MATCH($C1234&amp;$I1234&amp;$H1234&amp;$N1234&amp;$O1234,APOIO_REDES!$W:$W,0),MATCH(BC$5,APOIO_REDES!$5:$5,0)),0)*($AI1234+$AQ1234+$AR1234),0)</f>
        <v>0.159169802976107</v>
      </c>
      <c r="BD1234" s="153" t="n">
        <f aca="false">IF(AND($N1234="VCA",$AF1234&gt;=1.25,$AF1234&lt;1.5),$M1234*$AF1234*2,0)</f>
        <v>132.51086</v>
      </c>
      <c r="BE1234" s="153" t="n">
        <f aca="false">IF(AND($N1234="VCA",$AF1234&gt;=1.5,$AF1234&lt;3),$M1234*$AF1234*2,0)</f>
        <v>0</v>
      </c>
      <c r="BF1234" s="153" t="n">
        <f aca="false">IF(AND($N1234="VCA",$AF1234&gt;=3),$M1234*$AF1234*2,0)</f>
        <v>0</v>
      </c>
      <c r="BG1234" s="153" t="n">
        <f aca="false">($BB1234+$BC1234)*$AK1234</f>
        <v>57.05380005</v>
      </c>
      <c r="BH1234" s="153" t="n">
        <f aca="false">IF(AND($M1234&lt;&gt;"",$N1234="VCA",$Q1234="LINEAR"),($M1234*2)/100,IF(AND($M1234&lt;&gt;"",$N1234="MND",$Q1234="EMBOQUE"),($AN1234*2)/100,0))</f>
        <v>0.9722</v>
      </c>
      <c r="BI1234" s="153" t="n">
        <f aca="false">IF(AND($M1234&lt;&gt;"",$N1234="VCA",$Q1234="LINEAR"),$M1234,IF(AND($M1234&lt;&gt;"",$N1234="MND",$Q1234="EMBOQUE"),$AN1234*2,0))</f>
        <v>48.61</v>
      </c>
      <c r="BJ1234" s="153" t="n">
        <f aca="false">IF(AND($M1234&lt;&gt;"",$N1234="VCA",$Q1234="LINEAR"),($M1234*6.8)/100,IF(AND($M1234&lt;&gt;"",$N1234="MND",$Q1234="EMBOQUE"),($AN1234*2*6.8)/100,0))</f>
        <v>3.30548</v>
      </c>
      <c r="BK1234" s="153" t="n">
        <f aca="false">IF(AND($M1234&lt;&gt;"",$N1234="VCA",$Q1234="LINEAR"),($M1234*2.5)/50,IF(AND($M1234&lt;&gt;"",$N1234="MND",$Q1234="EMBOQUE"),($AN1234*2*2.5)/50,0))</f>
        <v>2.4305</v>
      </c>
      <c r="BL1234" s="157" t="str">
        <f aca="false">K1234&amp;J1234</f>
        <v>Zona11REDES</v>
      </c>
      <c r="BM1234" s="152" t="s">
        <v>6084</v>
      </c>
      <c r="BN1234" s="152" t="s">
        <v>1560</v>
      </c>
      <c r="BO1234" s="152" t="s">
        <v>4218</v>
      </c>
      <c r="BP1234" s="152" t="s">
        <v>6195</v>
      </c>
      <c r="BQ1234" s="152" t="s">
        <v>6086</v>
      </c>
      <c r="BR1234" s="152" t="s">
        <v>6212</v>
      </c>
      <c r="BS1234" s="152" t="n">
        <v>203852.08</v>
      </c>
      <c r="BT1234" s="152" t="n">
        <v>8236248.991</v>
      </c>
      <c r="BU1234" s="152" t="n">
        <v>203809.877</v>
      </c>
      <c r="BV1234" s="152" t="n">
        <v>8236271.201</v>
      </c>
      <c r="BW1234" s="152" t="n">
        <v>-15.9352701</v>
      </c>
      <c r="BX1234" s="152" t="n">
        <v>-47.7663446</v>
      </c>
      <c r="BY1234" s="152" t="s">
        <v>6195</v>
      </c>
    </row>
    <row r="1235" customFormat="false" ht="13.8" hidden="false" customHeight="false" outlineLevel="0" collapsed="false">
      <c r="A1235" s="149" t="n">
        <f aca="false">IF(C1235&lt;&gt;"",ROW(A1230),"")</f>
        <v>1230</v>
      </c>
      <c r="B1235" s="150" t="str">
        <f aca="false">HYPERLINK("https://www.google.com/maps/dir/-15.917302,-47.760003/-15.9354124,-47.7661768/data=!4m3!4m2!3e0!5i1")</f>
        <v>https://www.google.com/maps/dir/-15.917302,-47.760003/-15.9354124,-47.7661768/data=!4m3!4m2!3e0!5i1</v>
      </c>
      <c r="C1235" s="151" t="s">
        <v>117</v>
      </c>
      <c r="D1235" s="152" t="s">
        <v>112</v>
      </c>
      <c r="E1235" s="152" t="s">
        <v>113</v>
      </c>
      <c r="F1235" s="152" t="s">
        <v>117</v>
      </c>
      <c r="G1235" s="152" t="s">
        <v>782</v>
      </c>
      <c r="H1235" s="152" t="n">
        <v>63</v>
      </c>
      <c r="I1235" s="152" t="s">
        <v>115</v>
      </c>
      <c r="J1235" s="152" t="s">
        <v>6</v>
      </c>
      <c r="K1235" s="152" t="s">
        <v>6081</v>
      </c>
      <c r="L1235" s="152" t="s">
        <v>120</v>
      </c>
      <c r="M1235" s="153" t="n">
        <f aca="false">4.88</f>
        <v>4.88</v>
      </c>
      <c r="N1235" s="152" t="s">
        <v>1548</v>
      </c>
      <c r="O1235" s="152" t="s">
        <v>1549</v>
      </c>
      <c r="P1235" s="152" t="s">
        <v>1550</v>
      </c>
      <c r="Q1235" s="152" t="s">
        <v>1551</v>
      </c>
      <c r="R1235" s="154" t="s">
        <v>6213</v>
      </c>
      <c r="S1235" s="154" t="s">
        <v>1553</v>
      </c>
      <c r="T1235" s="155" t="s">
        <v>4216</v>
      </c>
      <c r="U1235" s="152" t="str">
        <f aca="false">RIGHT(T1235,7)</f>
        <v>019/037</v>
      </c>
      <c r="V1235" s="152" t="s">
        <v>1555</v>
      </c>
      <c r="W1235" s="156" t="n">
        <v>45882</v>
      </c>
      <c r="X1235" s="152" t="s">
        <v>1594</v>
      </c>
      <c r="Y1235" s="152" t="s">
        <v>3251</v>
      </c>
      <c r="Z1235" s="152" t="s">
        <v>1557</v>
      </c>
      <c r="AA1235" s="153" t="n">
        <v>3.9</v>
      </c>
      <c r="AB1235" s="151" t="s">
        <v>6214</v>
      </c>
      <c r="AC1235" s="151" t="s">
        <v>186</v>
      </c>
      <c r="AD1235" s="151" t="str">
        <f aca="false">CONCATENATE($C1235,$I1235,$H1235,$N1235,$J1235,$K1235)</f>
        <v>TUBO PEADPEAD63VCAREDESZona11</v>
      </c>
      <c r="AE1235" s="153" t="n">
        <f aca="false">IFERROR(INDEX(APOIO_REDES!$A:$W,MATCH($C1235&amp;$I1235&amp;$H1235&amp;$N1235&amp;$O1235,APOIO_REDES!$W:$W,0),MATCH(AE$5,APOIO_REDES!$5:$5,0)),0)</f>
        <v>1.2</v>
      </c>
      <c r="AF1235" s="153" t="n">
        <f aca="false">IFERROR(INDEX(APOIO_REDES!$A:$W,MATCH($C1235&amp;$I1235&amp;$H1235&amp;$N1235&amp;$O1235,APOIO_REDES!$W:$W,0),MATCH(AF$5,APOIO_REDES!$5:$5,0)),0)</f>
        <v>1.363</v>
      </c>
      <c r="AG1235" s="153" t="n">
        <f aca="false">IFERROR(INDEX(APOIO_REDES!$A:$W,MATCH($C1235&amp;$I1235&amp;$H1235&amp;$N1235&amp;$O1235,APOIO_REDES!$W:$W,0),MATCH(AG$5,APOIO_REDES!$5:$5,0)),0)</f>
        <v>0.65</v>
      </c>
      <c r="AH1235" s="153" t="n">
        <f aca="false">IFERROR(INDEX(APOIO_REDES!$A:$W,MATCH($C1235&amp;$I1235&amp;$H1235&amp;$N1235&amp;$O1235,APOIO_REDES!$W:$W,0),MATCH(AH$5,APOIO_REDES!$5:$5,0)),0)</f>
        <v>0.1</v>
      </c>
      <c r="AI1235" s="153" t="n">
        <f aca="false">IFERROR(IF($H1235&lt;&gt;"",(((($H1235/1000)/2)^2)*PI()*$M1235),0),0)</f>
        <v>0.0152121571153594</v>
      </c>
      <c r="AJ1235" s="153" t="n">
        <f aca="false">IFERROR(IF(AND($H1235&lt;&gt;"",$I1235="FoFo",OR($N1235="MND",$N1235="VCA"),$Q1235="LINEAR"),0,IF(AND($H1235&lt;&gt;"",$I1235="PEAD",$N1235="VCA",$Q1235="LINEAR"),($H1235/1000)+0.3,IF(AND($H1235&lt;&gt;"",$I1235="PEAD",$N1235="MND",$Q1235="EMBOQUE"),0,IF(AND($H1235&lt;&gt;"",$I1235="PVC",$N1235="VCA",$Q1235="LINEAR"),($H1235/1000)+0.2,IF(AND($H1235&lt;&gt;"",$I1235="PVC",$N1235="MND",$Q1235="EMBOQUE"),0,IF(AND($H1235&lt;&gt;"",$I1235="PEAD",$N1235="VCA",$Q1235="PREDIAL"),0,0)))))),0)</f>
        <v>0.363</v>
      </c>
      <c r="AK1235" s="153" t="n">
        <f aca="false">IF(AA1235&lt;&gt;"",AA1235,0)</f>
        <v>3.9</v>
      </c>
      <c r="AL1235" s="153" t="n">
        <f aca="false">IF(AND($N1235="MND",$Q1235="EMBOQUE"),$M1235,IF(AND($N1235="VCA",$Q1235="LINEAR"),$M1235,IF(AND($N1235="VCA",$Q1235="PREDIAL"),0,0)))</f>
        <v>4.88</v>
      </c>
      <c r="AM1235" s="153" t="n">
        <f aca="false">IF(AND($N1235="MND",$Q1235="EMBOQUE"),$M1235,IF(AND($N1235="VCA",$Q1235="LINEAR"),$M1235,IF(AND($N1235="VCA",$Q1235="PREDIAL"),0,0)))</f>
        <v>4.88</v>
      </c>
      <c r="AN1235" s="153" t="n">
        <f aca="false">ROUND(IF(AND($N1235="VCA",$M1235&lt;&gt;"",$Q1235="LINEAR"),$M1235/100,IF(AND($N1235="MND",$M1235&gt;100,$Q1235="EMBOQUE"),$M1235/100,0)),0)</f>
        <v>0</v>
      </c>
      <c r="AO1235" s="153" t="n">
        <f aca="false">IF(AND($N1235="MND",$Q1235="EMBOQUE"),$AN1235*2*2,IF(AND($N1235="VCA",$Q1235="LINEAR"),$M1235*2,IF(AND($N1235="VCA",$Q1235="PREDIAL"),0,0)))</f>
        <v>9.76</v>
      </c>
      <c r="AP1235" s="153" t="n">
        <f aca="false">IFERROR($M1235*$AF1235*$AG1235,0)</f>
        <v>4.323436</v>
      </c>
      <c r="AQ1235" s="153" t="n">
        <f aca="false">IFERROR(IF(AND($N1235="VCA",$AH1235&gt;0),$M1235*$AG1235*$AH1235,0),0)</f>
        <v>0.3172</v>
      </c>
      <c r="AR1235" s="153" t="n">
        <f aca="false">IFERROR(IF(AND($N1235="VCA",$AJ1235&gt;0),($M1235*$AG1235*$AJ1235)-$AI1235,0),0)</f>
        <v>1.13622384288464</v>
      </c>
      <c r="AS1235" s="153" t="n">
        <f aca="false">IFERROR(IF(AND($N1235="VCA",$AP1235&gt;0),$AP1235-$AI1235-$AQ1235-$AR1235,0),0)</f>
        <v>2.8548</v>
      </c>
      <c r="AT1235" s="153" t="n">
        <f aca="false">IFERROR(IF($N1235="VCA",INDEX(APOIO_REDES!$A:$W,MATCH($C1235&amp;$I1235&amp;$H1235&amp;$N1235&amp;$O1235,APOIO_REDES!$W:$W,0),MATCH(AT$5,APOIO_REDES!$5:$5,0)),0)*$AP1235,0)</f>
        <v>0.0470402633517353</v>
      </c>
      <c r="AU1235" s="153" t="n">
        <f aca="false">IFERROR(IF($N1235="VCA",INDEX(APOIO_REDES!$A:$W,MATCH($C1235&amp;$I1235&amp;$H1235&amp;$N1235&amp;$O1235,APOIO_REDES!$W:$W,0),MATCH(AU$5,APOIO_REDES!$5:$5,0)),0)*$AP1235,0)</f>
        <v>0.0375650803007934</v>
      </c>
      <c r="AV1235" s="153" t="n">
        <f aca="false">IFERROR(IF($N1235="VCA",INDEX(APOIO_REDES!$A:$W,MATCH($C1235&amp;$I1235&amp;$H1235&amp;$N1235&amp;$O1235,APOIO_REDES!$W:$W,0),MATCH(AV$5,APOIO_REDES!$5:$5,0)),0)*$AP1235,0)</f>
        <v>0.00519871221618709</v>
      </c>
      <c r="AW1235" s="153" t="n">
        <f aca="false">IFERROR(IF($N1235="VCA",INDEX(APOIO_REDES!$A:$W,MATCH($C1235&amp;$I1235&amp;$H1235&amp;$N1235&amp;$O1235,APOIO_REDES!$W:$W,0),MATCH(AW$5,APOIO_REDES!$5:$5,0)),0)*$AP1235,0)</f>
        <v>2.96763997001683</v>
      </c>
      <c r="AX1235" s="153" t="n">
        <f aca="false">IFERROR(IF($N1235="VCA",INDEX(APOIO_REDES!$A:$W,MATCH($C1235&amp;$I1235&amp;$H1235&amp;$N1235&amp;$O1235,APOIO_REDES!$W:$W,0),MATCH(AX$5,APOIO_REDES!$5:$5,0)),0)*$AP1235,0)</f>
        <v>0.410712918367859</v>
      </c>
      <c r="AY1235" s="153" t="n">
        <f aca="false">IFERROR(IF($N1235="VCA",INDEX(APOIO_REDES!$A:$W,MATCH($C1235&amp;$I1235&amp;$H1235&amp;$N1235&amp;$O1235,APOIO_REDES!$W:$W,0),MATCH(AY$5,APOIO_REDES!$5:$5,0)),0)*$AP1235,0)</f>
        <v>0.751301148100585</v>
      </c>
      <c r="AZ1235" s="153" t="n">
        <f aca="false">IFERROR(IF($N1235="VCA",INDEX(APOIO_REDES!$A:$W,MATCH($C1235&amp;$I1235&amp;$H1235&amp;$N1235&amp;$O1235,APOIO_REDES!$W:$W,0),MATCH(AZ$5,APOIO_REDES!$5:$5,0)),0)*$AP1235,0)</f>
        <v>0.103977907646012</v>
      </c>
      <c r="BA1235" s="153" t="n">
        <f aca="false">IFERROR(IF(AND($N1235="VCA",$Q1235="LINEAR"),INDEX(APOIO_REDES!$A:$W,MATCH($C1235&amp;$I1235&amp;$H1235&amp;$N1235&amp;$O1235,APOIO_REDES!$W:$W,0),MATCH(BA$5,APOIO_REDES!$5:$5,0)),IF(AND($N1235="MND",$Q1235="EMBOQUE"),INDEX(APOIO_REDES!$A:$W,MATCH($C1235&amp;$I1235&amp;$H1235&amp;$N1235&amp;$O1235,APOIO_REDES!$W:$W,0),MATCH(BA$5,APOIO_REDES!$5:$5,0)),0))*$M1235/10,0)</f>
        <v>0.393315690589328</v>
      </c>
      <c r="BB1235" s="153" t="n">
        <f aca="false">IFERROR(IF($N1235="VCA",INDEX(APOIO_REDES!$A:$W,MATCH($C1235&amp;$I1235&amp;$H1235&amp;$N1235&amp;$O1235,APOIO_REDES!$W:$W,0),MATCH(BB$5,APOIO_REDES!$5:$5,0)),0)*($AI1235+$AQ1235+$AR1235),0)</f>
        <v>1.45265680562593</v>
      </c>
      <c r="BC1235" s="153" t="n">
        <f aca="false">IFERROR(IF($N1235="VCA",INDEX(APOIO_REDES!$A:$W,MATCH($C1235&amp;$I1235&amp;$H1235&amp;$N1235&amp;$O1235,APOIO_REDES!$W:$W,0),MATCH(BC$5,APOIO_REDES!$5:$5,0)),0)*($AI1235+$AQ1235+$AR1235),0)</f>
        <v>0.0159791943740671</v>
      </c>
      <c r="BD1235" s="153" t="n">
        <f aca="false">IF(AND($N1235="VCA",$AF1235&gt;=1.25,$AF1235&lt;1.5),$M1235*$AF1235*2,0)</f>
        <v>13.30288</v>
      </c>
      <c r="BE1235" s="153" t="n">
        <f aca="false">IF(AND($N1235="VCA",$AF1235&gt;=1.5,$AF1235&lt;3),$M1235*$AF1235*2,0)</f>
        <v>0</v>
      </c>
      <c r="BF1235" s="153" t="n">
        <f aca="false">IF(AND($N1235="VCA",$AF1235&gt;=3),$M1235*$AF1235*2,0)</f>
        <v>0</v>
      </c>
      <c r="BG1235" s="153" t="n">
        <f aca="false">($BB1235+$BC1235)*$AK1235</f>
        <v>5.7276804</v>
      </c>
      <c r="BH1235" s="153" t="n">
        <f aca="false">IF(AND($M1235&lt;&gt;"",$N1235="VCA",$Q1235="LINEAR"),($M1235*2)/100,IF(AND($M1235&lt;&gt;"",$N1235="MND",$Q1235="EMBOQUE"),($AN1235*2)/100,0))</f>
        <v>0.0976</v>
      </c>
      <c r="BI1235" s="153" t="n">
        <f aca="false">IF(AND($M1235&lt;&gt;"",$N1235="VCA",$Q1235="LINEAR"),$M1235,IF(AND($M1235&lt;&gt;"",$N1235="MND",$Q1235="EMBOQUE"),$AN1235*2,0))</f>
        <v>4.88</v>
      </c>
      <c r="BJ1235" s="153" t="n">
        <f aca="false">IF(AND($M1235&lt;&gt;"",$N1235="VCA",$Q1235="LINEAR"),($M1235*6.8)/100,IF(AND($M1235&lt;&gt;"",$N1235="MND",$Q1235="EMBOQUE"),($AN1235*2*6.8)/100,0))</f>
        <v>0.33184</v>
      </c>
      <c r="BK1235" s="153" t="n">
        <f aca="false">IF(AND($M1235&lt;&gt;"",$N1235="VCA",$Q1235="LINEAR"),($M1235*2.5)/50,IF(AND($M1235&lt;&gt;"",$N1235="MND",$Q1235="EMBOQUE"),($AN1235*2*2.5)/50,0))</f>
        <v>0.244</v>
      </c>
      <c r="BL1235" s="157" t="str">
        <f aca="false">K1235&amp;J1235</f>
        <v>Zona11REDES</v>
      </c>
      <c r="BM1235" s="152" t="s">
        <v>6084</v>
      </c>
      <c r="BN1235" s="152" t="s">
        <v>1560</v>
      </c>
      <c r="BO1235" s="152" t="s">
        <v>4218</v>
      </c>
      <c r="BP1235" s="152" t="s">
        <v>6091</v>
      </c>
      <c r="BQ1235" s="152" t="s">
        <v>6195</v>
      </c>
      <c r="BR1235" s="152" t="s">
        <v>6215</v>
      </c>
      <c r="BS1235" s="152" t="n">
        <v>203849.136</v>
      </c>
      <c r="BT1235" s="152" t="n">
        <v>8236245.083</v>
      </c>
      <c r="BU1235" s="152" t="n">
        <v>203852.073</v>
      </c>
      <c r="BV1235" s="152" t="n">
        <v>8236248.981</v>
      </c>
      <c r="BW1235" s="152" t="n">
        <v>-15.9353947</v>
      </c>
      <c r="BX1235" s="152" t="n">
        <v>-47.766163</v>
      </c>
      <c r="BY1235" s="152" t="s">
        <v>6091</v>
      </c>
    </row>
    <row r="1236" customFormat="false" ht="13.8" hidden="false" customHeight="false" outlineLevel="0" collapsed="false">
      <c r="A1236" s="149" t="n">
        <f aca="false">IF(C1236&lt;&gt;"",ROW(A1231),"")</f>
        <v>1231</v>
      </c>
      <c r="B1236" s="150" t="str">
        <f aca="false">HYPERLINK("https://www.google.com/maps/dir/-15.917302,-47.760003/-15.9355268,-47.7661247/data=!4m3!4m2!3e0!5i1")</f>
        <v>https://www.google.com/maps/dir/-15.917302,-47.760003/-15.9355268,-47.7661247/data=!4m3!4m2!3e0!5i1</v>
      </c>
      <c r="C1236" s="151" t="s">
        <v>117</v>
      </c>
      <c r="D1236" s="152" t="s">
        <v>112</v>
      </c>
      <c r="E1236" s="152" t="s">
        <v>113</v>
      </c>
      <c r="F1236" s="152" t="s">
        <v>117</v>
      </c>
      <c r="G1236" s="152" t="s">
        <v>782</v>
      </c>
      <c r="H1236" s="152" t="n">
        <v>63</v>
      </c>
      <c r="I1236" s="152" t="s">
        <v>115</v>
      </c>
      <c r="J1236" s="152" t="s">
        <v>6</v>
      </c>
      <c r="K1236" s="152" t="s">
        <v>6081</v>
      </c>
      <c r="L1236" s="152" t="s">
        <v>120</v>
      </c>
      <c r="M1236" s="153" t="n">
        <f aca="false">95.06</f>
        <v>95.06</v>
      </c>
      <c r="N1236" s="152" t="s">
        <v>1548</v>
      </c>
      <c r="O1236" s="152" t="s">
        <v>1549</v>
      </c>
      <c r="P1236" s="152" t="s">
        <v>1550</v>
      </c>
      <c r="Q1236" s="152" t="s">
        <v>1551</v>
      </c>
      <c r="R1236" s="154" t="s">
        <v>6216</v>
      </c>
      <c r="S1236" s="154" t="s">
        <v>1553</v>
      </c>
      <c r="T1236" s="155" t="s">
        <v>4216</v>
      </c>
      <c r="U1236" s="152" t="str">
        <f aca="false">RIGHT(T1236,7)</f>
        <v>019/037</v>
      </c>
      <c r="V1236" s="152" t="s">
        <v>1555</v>
      </c>
      <c r="W1236" s="156" t="n">
        <v>45882</v>
      </c>
      <c r="X1236" s="152" t="s">
        <v>1594</v>
      </c>
      <c r="Y1236" s="152" t="s">
        <v>3251</v>
      </c>
      <c r="Z1236" s="152" t="s">
        <v>1557</v>
      </c>
      <c r="AA1236" s="153" t="n">
        <v>3.9</v>
      </c>
      <c r="AB1236" s="151" t="s">
        <v>6217</v>
      </c>
      <c r="AC1236" s="151" t="s">
        <v>186</v>
      </c>
      <c r="AD1236" s="151" t="str">
        <f aca="false">CONCATENATE($C1236,$I1236,$H1236,$N1236,$J1236,$K1236)</f>
        <v>TUBO PEADPEAD63VCAREDESZona11</v>
      </c>
      <c r="AE1236" s="153" t="n">
        <f aca="false">IFERROR(INDEX(APOIO_REDES!$A:$W,MATCH($C1236&amp;$I1236&amp;$H1236&amp;$N1236&amp;$O1236,APOIO_REDES!$W:$W,0),MATCH(AE$5,APOIO_REDES!$5:$5,0)),0)</f>
        <v>1.2</v>
      </c>
      <c r="AF1236" s="153" t="n">
        <f aca="false">IFERROR(INDEX(APOIO_REDES!$A:$W,MATCH($C1236&amp;$I1236&amp;$H1236&amp;$N1236&amp;$O1236,APOIO_REDES!$W:$W,0),MATCH(AF$5,APOIO_REDES!$5:$5,0)),0)</f>
        <v>1.363</v>
      </c>
      <c r="AG1236" s="153" t="n">
        <f aca="false">IFERROR(INDEX(APOIO_REDES!$A:$W,MATCH($C1236&amp;$I1236&amp;$H1236&amp;$N1236&amp;$O1236,APOIO_REDES!$W:$W,0),MATCH(AG$5,APOIO_REDES!$5:$5,0)),0)</f>
        <v>0.65</v>
      </c>
      <c r="AH1236" s="153" t="n">
        <f aca="false">IFERROR(INDEX(APOIO_REDES!$A:$W,MATCH($C1236&amp;$I1236&amp;$H1236&amp;$N1236&amp;$O1236,APOIO_REDES!$W:$W,0),MATCH(AH$5,APOIO_REDES!$5:$5,0)),0)</f>
        <v>0.1</v>
      </c>
      <c r="AI1236" s="153" t="n">
        <f aca="false">IFERROR(IF($H1236&lt;&gt;"",(((($H1236/1000)/2)^2)*PI()*$M1236),0),0)</f>
        <v>0.296325339218456</v>
      </c>
      <c r="AJ1236" s="153" t="n">
        <f aca="false">IFERROR(IF(AND($H1236&lt;&gt;"",$I1236="FoFo",OR($N1236="MND",$N1236="VCA"),$Q1236="LINEAR"),0,IF(AND($H1236&lt;&gt;"",$I1236="PEAD",$N1236="VCA",$Q1236="LINEAR"),($H1236/1000)+0.3,IF(AND($H1236&lt;&gt;"",$I1236="PEAD",$N1236="MND",$Q1236="EMBOQUE"),0,IF(AND($H1236&lt;&gt;"",$I1236="PVC",$N1236="VCA",$Q1236="LINEAR"),($H1236/1000)+0.2,IF(AND($H1236&lt;&gt;"",$I1236="PVC",$N1236="MND",$Q1236="EMBOQUE"),0,IF(AND($H1236&lt;&gt;"",$I1236="PEAD",$N1236="VCA",$Q1236="PREDIAL"),0,0)))))),0)</f>
        <v>0.363</v>
      </c>
      <c r="AK1236" s="153" t="n">
        <f aca="false">IF(AA1236&lt;&gt;"",AA1236,0)</f>
        <v>3.9</v>
      </c>
      <c r="AL1236" s="153" t="n">
        <f aca="false">IF(AND($N1236="MND",$Q1236="EMBOQUE"),$M1236,IF(AND($N1236="VCA",$Q1236="LINEAR"),$M1236,IF(AND($N1236="VCA",$Q1236="PREDIAL"),0,0)))</f>
        <v>95.06</v>
      </c>
      <c r="AM1236" s="153" t="n">
        <f aca="false">IF(AND($N1236="MND",$Q1236="EMBOQUE"),$M1236,IF(AND($N1236="VCA",$Q1236="LINEAR"),$M1236,IF(AND($N1236="VCA",$Q1236="PREDIAL"),0,0)))</f>
        <v>95.06</v>
      </c>
      <c r="AN1236" s="153" t="n">
        <f aca="false">ROUND(IF(AND($N1236="VCA",$M1236&lt;&gt;"",$Q1236="LINEAR"),$M1236/100,IF(AND($N1236="MND",$M1236&gt;100,$Q1236="EMBOQUE"),$M1236/100,0)),0)</f>
        <v>1</v>
      </c>
      <c r="AO1236" s="153" t="n">
        <f aca="false">IF(AND($N1236="MND",$Q1236="EMBOQUE"),$AN1236*2*2,IF(AND($N1236="VCA",$Q1236="LINEAR"),$M1236*2,IF(AND($N1236="VCA",$Q1236="PREDIAL"),0,0)))</f>
        <v>190.12</v>
      </c>
      <c r="AP1236" s="153" t="n">
        <f aca="false">IFERROR($M1236*$AF1236*$AG1236,0)</f>
        <v>84.218407</v>
      </c>
      <c r="AQ1236" s="153" t="n">
        <f aca="false">IFERROR(IF(AND($N1236="VCA",$AH1236&gt;0),$M1236*$AG1236*$AH1236,0),0)</f>
        <v>6.1789</v>
      </c>
      <c r="AR1236" s="153" t="n">
        <f aca="false">IFERROR(IF(AND($N1236="VCA",$AJ1236&gt;0),($M1236*$AG1236*$AJ1236)-$AI1236,0),0)</f>
        <v>22.1330816607815</v>
      </c>
      <c r="AS1236" s="153" t="n">
        <f aca="false">IFERROR(IF(AND($N1236="VCA",$AP1236&gt;0),$AP1236-$AI1236-$AQ1236-$AR1236,0),0)</f>
        <v>55.6101</v>
      </c>
      <c r="AT1236" s="153" t="n">
        <f aca="false">IFERROR(IF($N1236="VCA",INDEX(APOIO_REDES!$A:$W,MATCH($C1236&amp;$I1236&amp;$H1236&amp;$N1236&amp;$O1236,APOIO_REDES!$W:$W,0),MATCH(AT$5,APOIO_REDES!$5:$5,0)),0)*$AP1236,0)</f>
        <v>0.916321195536057</v>
      </c>
      <c r="AU1236" s="153" t="n">
        <f aca="false">IFERROR(IF($N1236="VCA",INDEX(APOIO_REDES!$A:$W,MATCH($C1236&amp;$I1236&amp;$H1236&amp;$N1236&amp;$O1236,APOIO_REDES!$W:$W,0),MATCH(AU$5,APOIO_REDES!$5:$5,0)),0)*$AP1236,0)</f>
        <v>0.7317492896298</v>
      </c>
      <c r="AV1236" s="153" t="n">
        <f aca="false">IFERROR(IF($N1236="VCA",INDEX(APOIO_REDES!$A:$W,MATCH($C1236&amp;$I1236&amp;$H1236&amp;$N1236&amp;$O1236,APOIO_REDES!$W:$W,0),MATCH(AV$5,APOIO_REDES!$5:$5,0)),0)*$AP1236,0)</f>
        <v>0.101268357227612</v>
      </c>
      <c r="AW1236" s="153" t="n">
        <f aca="false">IFERROR(IF($N1236="VCA",INDEX(APOIO_REDES!$A:$W,MATCH($C1236&amp;$I1236&amp;$H1236&amp;$N1236&amp;$O1236,APOIO_REDES!$W:$W,0),MATCH(AW$5,APOIO_REDES!$5:$5,0)),0)*$AP1236,0)</f>
        <v>57.8081671208606</v>
      </c>
      <c r="AX1236" s="153" t="n">
        <f aca="false">IFERROR(IF($N1236="VCA",INDEX(APOIO_REDES!$A:$W,MATCH($C1236&amp;$I1236&amp;$H1236&amp;$N1236&amp;$O1236,APOIO_REDES!$W:$W,0),MATCH(AX$5,APOIO_REDES!$5:$5,0)),0)*$AP1236,0)</f>
        <v>8.00048565984604</v>
      </c>
      <c r="AY1236" s="153" t="n">
        <f aca="false">IFERROR(IF($N1236="VCA",INDEX(APOIO_REDES!$A:$W,MATCH($C1236&amp;$I1236&amp;$H1236&amp;$N1236&amp;$O1236,APOIO_REDES!$W:$W,0),MATCH(AY$5,APOIO_REDES!$5:$5,0)),0)*$AP1236,0)</f>
        <v>14.6349768726315</v>
      </c>
      <c r="AZ1236" s="153" t="n">
        <f aca="false">IFERROR(IF($N1236="VCA",INDEX(APOIO_REDES!$A:$W,MATCH($C1236&amp;$I1236&amp;$H1236&amp;$N1236&amp;$O1236,APOIO_REDES!$W:$W,0),MATCH(AZ$5,APOIO_REDES!$5:$5,0)),0)*$AP1236,0)</f>
        <v>2.02543850426841</v>
      </c>
      <c r="BA1236" s="153" t="n">
        <f aca="false">IFERROR(IF(AND($N1236="VCA",$Q1236="LINEAR"),INDEX(APOIO_REDES!$A:$W,MATCH($C1236&amp;$I1236&amp;$H1236&amp;$N1236&amp;$O1236,APOIO_REDES!$W:$W,0),MATCH(BA$5,APOIO_REDES!$5:$5,0)),IF(AND($N1236="MND",$Q1236="EMBOQUE"),INDEX(APOIO_REDES!$A:$W,MATCH($C1236&amp;$I1236&amp;$H1236&amp;$N1236&amp;$O1236,APOIO_REDES!$W:$W,0),MATCH(BA$5,APOIO_REDES!$5:$5,0)),0))*$M1236/10,0)</f>
        <v>7.66159621873391</v>
      </c>
      <c r="BB1236" s="153" t="n">
        <f aca="false">IFERROR(IF($N1236="VCA",INDEX(APOIO_REDES!$A:$W,MATCH($C1236&amp;$I1236&amp;$H1236&amp;$N1236&amp;$O1236,APOIO_REDES!$W:$W,0),MATCH(BB$5,APOIO_REDES!$5:$5,0)),0)*($AI1236+$AQ1236+$AR1236),0)</f>
        <v>28.2970401522134</v>
      </c>
      <c r="BC1236" s="153" t="n">
        <f aca="false">IFERROR(IF($N1236="VCA",INDEX(APOIO_REDES!$A:$W,MATCH($C1236&amp;$I1236&amp;$H1236&amp;$N1236&amp;$O1236,APOIO_REDES!$W:$W,0),MATCH(BC$5,APOIO_REDES!$5:$5,0)),0)*($AI1236+$AQ1236+$AR1236),0)</f>
        <v>0.311266847786643</v>
      </c>
      <c r="BD1236" s="153" t="n">
        <f aca="false">IF(AND($N1236="VCA",$AF1236&gt;=1.25,$AF1236&lt;1.5),$M1236*$AF1236*2,0)</f>
        <v>259.13356</v>
      </c>
      <c r="BE1236" s="153" t="n">
        <f aca="false">IF(AND($N1236="VCA",$AF1236&gt;=1.5,$AF1236&lt;3),$M1236*$AF1236*2,0)</f>
        <v>0</v>
      </c>
      <c r="BF1236" s="153" t="n">
        <f aca="false">IF(AND($N1236="VCA",$AF1236&gt;=3),$M1236*$AF1236*2,0)</f>
        <v>0</v>
      </c>
      <c r="BG1236" s="153" t="n">
        <f aca="false">($BB1236+$BC1236)*$AK1236</f>
        <v>111.5723973</v>
      </c>
      <c r="BH1236" s="153" t="n">
        <f aca="false">IF(AND($M1236&lt;&gt;"",$N1236="VCA",$Q1236="LINEAR"),($M1236*2)/100,IF(AND($M1236&lt;&gt;"",$N1236="MND",$Q1236="EMBOQUE"),($AN1236*2)/100,0))</f>
        <v>1.9012</v>
      </c>
      <c r="BI1236" s="153" t="n">
        <f aca="false">IF(AND($M1236&lt;&gt;"",$N1236="VCA",$Q1236="LINEAR"),$M1236,IF(AND($M1236&lt;&gt;"",$N1236="MND",$Q1236="EMBOQUE"),$AN1236*2,0))</f>
        <v>95.06</v>
      </c>
      <c r="BJ1236" s="153" t="n">
        <f aca="false">IF(AND($M1236&lt;&gt;"",$N1236="VCA",$Q1236="LINEAR"),($M1236*6.8)/100,IF(AND($M1236&lt;&gt;"",$N1236="MND",$Q1236="EMBOQUE"),($AN1236*2*6.8)/100,0))</f>
        <v>6.46408</v>
      </c>
      <c r="BK1236" s="153" t="n">
        <f aca="false">IF(AND($M1236&lt;&gt;"",$N1236="VCA",$Q1236="LINEAR"),($M1236*2.5)/50,IF(AND($M1236&lt;&gt;"",$N1236="MND",$Q1236="EMBOQUE"),($AN1236*2*2.5)/50,0))</f>
        <v>4.753</v>
      </c>
      <c r="BL1236" s="157" t="str">
        <f aca="false">K1236&amp;J1236</f>
        <v>Zona11REDES</v>
      </c>
      <c r="BM1236" s="152" t="s">
        <v>6084</v>
      </c>
      <c r="BN1236" s="152" t="s">
        <v>1560</v>
      </c>
      <c r="BO1236" s="152" t="s">
        <v>4218</v>
      </c>
      <c r="BP1236" s="152" t="s">
        <v>6218</v>
      </c>
      <c r="BQ1236" s="152" t="s">
        <v>6190</v>
      </c>
      <c r="BR1236" s="152" t="s">
        <v>6219</v>
      </c>
      <c r="BS1236" s="152" t="n">
        <v>203854.882</v>
      </c>
      <c r="BT1236" s="152" t="n">
        <v>8236232.463</v>
      </c>
      <c r="BU1236" s="152" t="n">
        <v>203947.292</v>
      </c>
      <c r="BV1236" s="152" t="n">
        <v>8236254.353</v>
      </c>
      <c r="BW1236" s="152" t="n">
        <v>-15.9354302</v>
      </c>
      <c r="BX1236" s="152" t="n">
        <v>-47.7656933</v>
      </c>
      <c r="BY1236" s="152" t="s">
        <v>6218</v>
      </c>
    </row>
    <row r="1237" customFormat="false" ht="13.8" hidden="false" customHeight="false" outlineLevel="0" collapsed="false">
      <c r="A1237" s="149" t="n">
        <f aca="false">IF(C1237&lt;&gt;"",ROW(A1232),"")</f>
        <v>1232</v>
      </c>
      <c r="B1237" s="150" t="str">
        <f aca="false">HYPERLINK("https://www.google.com/maps/dir/-15.917302,-47.760003/-15.9351719,-47.7645284/data=!4m3!4m2!3e0!5i1")</f>
        <v>https://www.google.com/maps/dir/-15.917302,-47.760003/-15.9351719,-47.7645284/data=!4m3!4m2!3e0!5i1</v>
      </c>
      <c r="C1237" s="151" t="s">
        <v>117</v>
      </c>
      <c r="D1237" s="152" t="s">
        <v>112</v>
      </c>
      <c r="E1237" s="152" t="s">
        <v>113</v>
      </c>
      <c r="F1237" s="152" t="s">
        <v>117</v>
      </c>
      <c r="G1237" s="152" t="s">
        <v>782</v>
      </c>
      <c r="H1237" s="152" t="n">
        <v>63</v>
      </c>
      <c r="I1237" s="152" t="s">
        <v>115</v>
      </c>
      <c r="J1237" s="152" t="s">
        <v>6</v>
      </c>
      <c r="K1237" s="152" t="s">
        <v>6081</v>
      </c>
      <c r="L1237" s="152" t="s">
        <v>120</v>
      </c>
      <c r="M1237" s="153" t="n">
        <f aca="false">69.93+3.63</f>
        <v>73.56</v>
      </c>
      <c r="N1237" s="152" t="s">
        <v>1548</v>
      </c>
      <c r="O1237" s="152" t="s">
        <v>1549</v>
      </c>
      <c r="P1237" s="152" t="s">
        <v>1550</v>
      </c>
      <c r="Q1237" s="152" t="s">
        <v>1551</v>
      </c>
      <c r="R1237" s="154" t="s">
        <v>6220</v>
      </c>
      <c r="S1237" s="154" t="s">
        <v>1553</v>
      </c>
      <c r="T1237" s="155" t="s">
        <v>4216</v>
      </c>
      <c r="U1237" s="152" t="str">
        <f aca="false">RIGHT(T1237,7)</f>
        <v>019/037</v>
      </c>
      <c r="V1237" s="152" t="s">
        <v>1555</v>
      </c>
      <c r="W1237" s="156" t="n">
        <v>45882</v>
      </c>
      <c r="X1237" s="152" t="s">
        <v>3938</v>
      </c>
      <c r="Y1237" s="152" t="s">
        <v>1952</v>
      </c>
      <c r="Z1237" s="152" t="s">
        <v>1557</v>
      </c>
      <c r="AA1237" s="153" t="n">
        <v>3.9</v>
      </c>
      <c r="AB1237" s="151" t="s">
        <v>6221</v>
      </c>
      <c r="AC1237" s="151" t="s">
        <v>186</v>
      </c>
      <c r="AD1237" s="151" t="str">
        <f aca="false">CONCATENATE($C1237,$I1237,$H1237,$N1237,$J1237,$K1237)</f>
        <v>TUBO PEADPEAD63VCAREDESZona11</v>
      </c>
      <c r="AE1237" s="153" t="n">
        <f aca="false">IFERROR(INDEX(APOIO_REDES!$A:$W,MATCH($C1237&amp;$I1237&amp;$H1237&amp;$N1237&amp;$O1237,APOIO_REDES!$W:$W,0),MATCH(AE$5,APOIO_REDES!$5:$5,0)),0)</f>
        <v>1.2</v>
      </c>
      <c r="AF1237" s="153" t="n">
        <f aca="false">IFERROR(INDEX(APOIO_REDES!$A:$W,MATCH($C1237&amp;$I1237&amp;$H1237&amp;$N1237&amp;$O1237,APOIO_REDES!$W:$W,0),MATCH(AF$5,APOIO_REDES!$5:$5,0)),0)</f>
        <v>1.363</v>
      </c>
      <c r="AG1237" s="153" t="n">
        <f aca="false">IFERROR(INDEX(APOIO_REDES!$A:$W,MATCH($C1237&amp;$I1237&amp;$H1237&amp;$N1237&amp;$O1237,APOIO_REDES!$W:$W,0),MATCH(AG$5,APOIO_REDES!$5:$5,0)),0)</f>
        <v>0.65</v>
      </c>
      <c r="AH1237" s="153" t="n">
        <f aca="false">IFERROR(INDEX(APOIO_REDES!$A:$W,MATCH($C1237&amp;$I1237&amp;$H1237&amp;$N1237&amp;$O1237,APOIO_REDES!$W:$W,0),MATCH(AH$5,APOIO_REDES!$5:$5,0)),0)</f>
        <v>0.1</v>
      </c>
      <c r="AI1237" s="153" t="n">
        <f aca="false">IFERROR(IF($H1237&lt;&gt;"",(((($H1237/1000)/2)^2)*PI()*$M1237),0),0)</f>
        <v>0.22930456504218</v>
      </c>
      <c r="AJ1237" s="153" t="n">
        <f aca="false">IFERROR(IF(AND($H1237&lt;&gt;"",$I1237="FoFo",OR($N1237="MND",$N1237="VCA"),$Q1237="LINEAR"),0,IF(AND($H1237&lt;&gt;"",$I1237="PEAD",$N1237="VCA",$Q1237="LINEAR"),($H1237/1000)+0.3,IF(AND($H1237&lt;&gt;"",$I1237="PEAD",$N1237="MND",$Q1237="EMBOQUE"),0,IF(AND($H1237&lt;&gt;"",$I1237="PVC",$N1237="VCA",$Q1237="LINEAR"),($H1237/1000)+0.2,IF(AND($H1237&lt;&gt;"",$I1237="PVC",$N1237="MND",$Q1237="EMBOQUE"),0,IF(AND($H1237&lt;&gt;"",$I1237="PEAD",$N1237="VCA",$Q1237="PREDIAL"),0,0)))))),0)</f>
        <v>0.363</v>
      </c>
      <c r="AK1237" s="153" t="n">
        <f aca="false">IF(AA1237&lt;&gt;"",AA1237,0)</f>
        <v>3.9</v>
      </c>
      <c r="AL1237" s="153" t="n">
        <f aca="false">IF(AND($N1237="MND",$Q1237="EMBOQUE"),$M1237,IF(AND($N1237="VCA",$Q1237="LINEAR"),$M1237,IF(AND($N1237="VCA",$Q1237="PREDIAL"),0,0)))</f>
        <v>73.56</v>
      </c>
      <c r="AM1237" s="153" t="n">
        <f aca="false">IF(AND($N1237="MND",$Q1237="EMBOQUE"),$M1237,IF(AND($N1237="VCA",$Q1237="LINEAR"),$M1237,IF(AND($N1237="VCA",$Q1237="PREDIAL"),0,0)))</f>
        <v>73.56</v>
      </c>
      <c r="AN1237" s="153" t="n">
        <f aca="false">ROUND(IF(AND($N1237="VCA",$M1237&lt;&gt;"",$Q1237="LINEAR"),$M1237/100,IF(AND($N1237="MND",$M1237&gt;100,$Q1237="EMBOQUE"),$M1237/100,0)),0)</f>
        <v>1</v>
      </c>
      <c r="AO1237" s="153" t="n">
        <f aca="false">IF(AND($N1237="MND",$Q1237="EMBOQUE"),$AN1237*2*2,IF(AND($N1237="VCA",$Q1237="LINEAR"),$M1237*2,IF(AND($N1237="VCA",$Q1237="PREDIAL"),0,0)))</f>
        <v>147.12</v>
      </c>
      <c r="AP1237" s="153" t="n">
        <f aca="false">IFERROR($M1237*$AF1237*$AG1237,0)</f>
        <v>65.170482</v>
      </c>
      <c r="AQ1237" s="153" t="n">
        <f aca="false">IFERROR(IF(AND($N1237="VCA",$AH1237&gt;0),$M1237*$AG1237*$AH1237,0),0)</f>
        <v>4.7814</v>
      </c>
      <c r="AR1237" s="153" t="n">
        <f aca="false">IFERROR(IF(AND($N1237="VCA",$AJ1237&gt;0),($M1237*$AG1237*$AJ1237)-$AI1237,0),0)</f>
        <v>17.1271774349578</v>
      </c>
      <c r="AS1237" s="153" t="n">
        <f aca="false">IFERROR(IF(AND($N1237="VCA",$AP1237&gt;0),$AP1237-$AI1237-$AQ1237-$AR1237,0),0)</f>
        <v>43.0326</v>
      </c>
      <c r="AT1237" s="153" t="n">
        <f aca="false">IFERROR(IF($N1237="VCA",INDEX(APOIO_REDES!$A:$W,MATCH($C1237&amp;$I1237&amp;$H1237&amp;$N1237&amp;$O1237,APOIO_REDES!$W:$W,0),MATCH(AT$5,APOIO_REDES!$5:$5,0)),0)*$AP1237,0)</f>
        <v>0.709074133638043</v>
      </c>
      <c r="AU1237" s="153" t="n">
        <f aca="false">IFERROR(IF($N1237="VCA",INDEX(APOIO_REDES!$A:$W,MATCH($C1237&amp;$I1237&amp;$H1237&amp;$N1237&amp;$O1237,APOIO_REDES!$W:$W,0),MATCH(AU$5,APOIO_REDES!$5:$5,0)),0)*$AP1237,0)</f>
        <v>0.566247398960321</v>
      </c>
      <c r="AV1237" s="153" t="n">
        <f aca="false">IFERROR(IF($N1237="VCA",INDEX(APOIO_REDES!$A:$W,MATCH($C1237&amp;$I1237&amp;$H1237&amp;$N1237&amp;$O1237,APOIO_REDES!$W:$W,0),MATCH(AV$5,APOIO_REDES!$5:$5,0)),0)*$AP1237,0)</f>
        <v>0.0783641947997382</v>
      </c>
      <c r="AW1237" s="153" t="n">
        <f aca="false">IFERROR(IF($N1237="VCA",INDEX(APOIO_REDES!$A:$W,MATCH($C1237&amp;$I1237&amp;$H1237&amp;$N1237&amp;$O1237,APOIO_REDES!$W:$W,0),MATCH(AW$5,APOIO_REDES!$5:$5,0)),0)*$AP1237,0)</f>
        <v>44.7335238103357</v>
      </c>
      <c r="AX1237" s="153" t="n">
        <f aca="false">IFERROR(IF($N1237="VCA",INDEX(APOIO_REDES!$A:$W,MATCH($C1237&amp;$I1237&amp;$H1237&amp;$N1237&amp;$O1237,APOIO_REDES!$W:$W,0),MATCH(AX$5,APOIO_REDES!$5:$5,0)),0)*$AP1237,0)</f>
        <v>6.19099226949585</v>
      </c>
      <c r="AY1237" s="153" t="n">
        <f aca="false">IFERROR(IF($N1237="VCA",INDEX(APOIO_REDES!$A:$W,MATCH($C1237&amp;$I1237&amp;$H1237&amp;$N1237&amp;$O1237,APOIO_REDES!$W:$W,0),MATCH(AY$5,APOIO_REDES!$5:$5,0)),0)*$AP1237,0)</f>
        <v>11.3249410766965</v>
      </c>
      <c r="AZ1237" s="153" t="n">
        <f aca="false">IFERROR(IF($N1237="VCA",INDEX(APOIO_REDES!$A:$W,MATCH($C1237&amp;$I1237&amp;$H1237&amp;$N1237&amp;$O1237,APOIO_REDES!$W:$W,0),MATCH(AZ$5,APOIO_REDES!$5:$5,0)),0)*$AP1237,0)</f>
        <v>1.5673391160739</v>
      </c>
      <c r="BA1237" s="153" t="n">
        <f aca="false">IFERROR(IF(AND($N1237="VCA",$Q1237="LINEAR"),INDEX(APOIO_REDES!$A:$W,MATCH($C1237&amp;$I1237&amp;$H1237&amp;$N1237&amp;$O1237,APOIO_REDES!$W:$W,0),MATCH(BA$5,APOIO_REDES!$5:$5,0)),IF(AND($N1237="MND",$Q1237="EMBOQUE"),INDEX(APOIO_REDES!$A:$W,MATCH($C1237&amp;$I1237&amp;$H1237&amp;$N1237&amp;$O1237,APOIO_REDES!$W:$W,0),MATCH(BA$5,APOIO_REDES!$5:$5,0)),0))*$M1237/10,0)</f>
        <v>5.92875045076864</v>
      </c>
      <c r="BB1237" s="153" t="n">
        <f aca="false">IFERROR(IF($N1237="VCA",INDEX(APOIO_REDES!$A:$W,MATCH($C1237&amp;$I1237&amp;$H1237&amp;$N1237&amp;$O1237,APOIO_REDES!$W:$W,0),MATCH(BB$5,APOIO_REDES!$5:$5,0)),0)*($AI1237+$AQ1237+$AR1237),0)</f>
        <v>21.8970152913614</v>
      </c>
      <c r="BC1237" s="153" t="n">
        <f aca="false">IFERROR(IF($N1237="VCA",INDEX(APOIO_REDES!$A:$W,MATCH($C1237&amp;$I1237&amp;$H1237&amp;$N1237&amp;$O1237,APOIO_REDES!$W:$W,0),MATCH(BC$5,APOIO_REDES!$5:$5,0)),0)*($AI1237+$AQ1237+$AR1237),0)</f>
        <v>0.240866708638601</v>
      </c>
      <c r="BD1237" s="153" t="n">
        <f aca="false">IF(AND($N1237="VCA",$AF1237&gt;=1.25,$AF1237&lt;1.5),$M1237*$AF1237*2,0)</f>
        <v>200.52456</v>
      </c>
      <c r="BE1237" s="153" t="n">
        <f aca="false">IF(AND($N1237="VCA",$AF1237&gt;=1.5,$AF1237&lt;3),$M1237*$AF1237*2,0)</f>
        <v>0</v>
      </c>
      <c r="BF1237" s="153" t="n">
        <f aca="false">IF(AND($N1237="VCA",$AF1237&gt;=3),$M1237*$AF1237*2,0)</f>
        <v>0</v>
      </c>
      <c r="BG1237" s="153" t="n">
        <f aca="false">($BB1237+$BC1237)*$AK1237</f>
        <v>86.3377398</v>
      </c>
      <c r="BH1237" s="153" t="n">
        <f aca="false">IF(AND($M1237&lt;&gt;"",$N1237="VCA",$Q1237="LINEAR"),($M1237*2)/100,IF(AND($M1237&lt;&gt;"",$N1237="MND",$Q1237="EMBOQUE"),($AN1237*2)/100,0))</f>
        <v>1.4712</v>
      </c>
      <c r="BI1237" s="153" t="n">
        <f aca="false">IF(AND($M1237&lt;&gt;"",$N1237="VCA",$Q1237="LINEAR"),$M1237,IF(AND($M1237&lt;&gt;"",$N1237="MND",$Q1237="EMBOQUE"),$AN1237*2,0))</f>
        <v>73.56</v>
      </c>
      <c r="BJ1237" s="153" t="n">
        <f aca="false">IF(AND($M1237&lt;&gt;"",$N1237="VCA",$Q1237="LINEAR"),($M1237*6.8)/100,IF(AND($M1237&lt;&gt;"",$N1237="MND",$Q1237="EMBOQUE"),($AN1237*2*6.8)/100,0))</f>
        <v>5.00208</v>
      </c>
      <c r="BK1237" s="153" t="n">
        <f aca="false">IF(AND($M1237&lt;&gt;"",$N1237="VCA",$Q1237="LINEAR"),($M1237*2.5)/50,IF(AND($M1237&lt;&gt;"",$N1237="MND",$Q1237="EMBOQUE"),($AN1237*2*2.5)/50,0))</f>
        <v>3.678</v>
      </c>
      <c r="BL1237" s="157" t="str">
        <f aca="false">K1237&amp;J1237</f>
        <v>Zona11REDES</v>
      </c>
      <c r="BM1237" s="152" t="s">
        <v>6084</v>
      </c>
      <c r="BN1237" s="152" t="s">
        <v>1560</v>
      </c>
      <c r="BO1237" s="152" t="s">
        <v>4218</v>
      </c>
      <c r="BP1237" s="152" t="s">
        <v>6222</v>
      </c>
      <c r="BQ1237" s="152" t="s">
        <v>6223</v>
      </c>
      <c r="BR1237" s="152" t="s">
        <v>6224</v>
      </c>
      <c r="BS1237" s="152" t="n">
        <v>204025.732</v>
      </c>
      <c r="BT1237" s="152" t="n">
        <v>8236274.142</v>
      </c>
      <c r="BU1237" s="152" t="n">
        <v>204046.733</v>
      </c>
      <c r="BV1237" s="152" t="n">
        <v>8236207.479</v>
      </c>
      <c r="BW1237" s="152" t="n">
        <v>-15.9354707</v>
      </c>
      <c r="BX1237" s="152" t="n">
        <v>-47.7644229</v>
      </c>
      <c r="BY1237" s="152" t="s">
        <v>6222</v>
      </c>
    </row>
    <row r="1238" customFormat="false" ht="13.8" hidden="false" customHeight="false" outlineLevel="0" collapsed="false">
      <c r="A1238" s="149" t="n">
        <f aca="false">IF(C1238&lt;&gt;"",ROW(A1233),"")</f>
        <v>1233</v>
      </c>
      <c r="B1238" s="150" t="str">
        <f aca="false">HYPERLINK("https://www.google.com/maps/dir/-15.917302,-47.760003/-15.9354124,-47.7661768/data=!4m3!4m2!3e0!5i1")</f>
        <v>https://www.google.com/maps/dir/-15.917302,-47.760003/-15.9354124,-47.7661768/data=!4m3!4m2!3e0!5i1</v>
      </c>
      <c r="C1238" s="151" t="s">
        <v>117</v>
      </c>
      <c r="D1238" s="152" t="s">
        <v>112</v>
      </c>
      <c r="E1238" s="152" t="s">
        <v>113</v>
      </c>
      <c r="F1238" s="152" t="s">
        <v>117</v>
      </c>
      <c r="G1238" s="152" t="s">
        <v>782</v>
      </c>
      <c r="H1238" s="152" t="n">
        <v>63</v>
      </c>
      <c r="I1238" s="152" t="s">
        <v>115</v>
      </c>
      <c r="J1238" s="152" t="s">
        <v>6</v>
      </c>
      <c r="K1238" s="152" t="s">
        <v>6081</v>
      </c>
      <c r="L1238" s="152" t="s">
        <v>120</v>
      </c>
      <c r="M1238" s="153" t="n">
        <f aca="false">13.87</f>
        <v>13.87</v>
      </c>
      <c r="N1238" s="152" t="s">
        <v>1548</v>
      </c>
      <c r="O1238" s="152" t="s">
        <v>1549</v>
      </c>
      <c r="P1238" s="152" t="s">
        <v>1550</v>
      </c>
      <c r="Q1238" s="152" t="s">
        <v>1551</v>
      </c>
      <c r="R1238" s="154" t="s">
        <v>6225</v>
      </c>
      <c r="S1238" s="154" t="s">
        <v>1553</v>
      </c>
      <c r="T1238" s="155" t="s">
        <v>4216</v>
      </c>
      <c r="U1238" s="152" t="str">
        <f aca="false">RIGHT(T1238,7)</f>
        <v>019/037</v>
      </c>
      <c r="V1238" s="152" t="s">
        <v>1555</v>
      </c>
      <c r="W1238" s="156" t="n">
        <v>45882</v>
      </c>
      <c r="X1238" s="152" t="s">
        <v>1594</v>
      </c>
      <c r="Y1238" s="152" t="s">
        <v>3251</v>
      </c>
      <c r="Z1238" s="152" t="s">
        <v>1557</v>
      </c>
      <c r="AA1238" s="153" t="n">
        <v>3.9</v>
      </c>
      <c r="AB1238" s="151" t="s">
        <v>6226</v>
      </c>
      <c r="AC1238" s="151" t="s">
        <v>186</v>
      </c>
      <c r="AD1238" s="151" t="str">
        <f aca="false">CONCATENATE($C1238,$I1238,$H1238,$N1238,$J1238,$K1238)</f>
        <v>TUBO PEADPEAD63VCAREDESZona11</v>
      </c>
      <c r="AE1238" s="153" t="n">
        <f aca="false">IFERROR(INDEX(APOIO_REDES!$A:$W,MATCH($C1238&amp;$I1238&amp;$H1238&amp;$N1238&amp;$O1238,APOIO_REDES!$W:$W,0),MATCH(AE$5,APOIO_REDES!$5:$5,0)),0)</f>
        <v>1.2</v>
      </c>
      <c r="AF1238" s="153" t="n">
        <f aca="false">IFERROR(INDEX(APOIO_REDES!$A:$W,MATCH($C1238&amp;$I1238&amp;$H1238&amp;$N1238&amp;$O1238,APOIO_REDES!$W:$W,0),MATCH(AF$5,APOIO_REDES!$5:$5,0)),0)</f>
        <v>1.363</v>
      </c>
      <c r="AG1238" s="153" t="n">
        <f aca="false">IFERROR(INDEX(APOIO_REDES!$A:$W,MATCH($C1238&amp;$I1238&amp;$H1238&amp;$N1238&amp;$O1238,APOIO_REDES!$W:$W,0),MATCH(AG$5,APOIO_REDES!$5:$5,0)),0)</f>
        <v>0.65</v>
      </c>
      <c r="AH1238" s="153" t="n">
        <f aca="false">IFERROR(INDEX(APOIO_REDES!$A:$W,MATCH($C1238&amp;$I1238&amp;$H1238&amp;$N1238&amp;$O1238,APOIO_REDES!$W:$W,0),MATCH(AH$5,APOIO_REDES!$5:$5,0)),0)</f>
        <v>0.1</v>
      </c>
      <c r="AI1238" s="153" t="n">
        <f aca="false">IFERROR(IF($H1238&lt;&gt;"",(((($H1238/1000)/2)^2)*PI()*$M1238),0),0)</f>
        <v>0.0432361924569744</v>
      </c>
      <c r="AJ1238" s="153" t="n">
        <f aca="false">IFERROR(IF(AND($H1238&lt;&gt;"",$I1238="FoFo",OR($N1238="MND",$N1238="VCA"),$Q1238="LINEAR"),0,IF(AND($H1238&lt;&gt;"",$I1238="PEAD",$N1238="VCA",$Q1238="LINEAR"),($H1238/1000)+0.3,IF(AND($H1238&lt;&gt;"",$I1238="PEAD",$N1238="MND",$Q1238="EMBOQUE"),0,IF(AND($H1238&lt;&gt;"",$I1238="PVC",$N1238="VCA",$Q1238="LINEAR"),($H1238/1000)+0.2,IF(AND($H1238&lt;&gt;"",$I1238="PVC",$N1238="MND",$Q1238="EMBOQUE"),0,IF(AND($H1238&lt;&gt;"",$I1238="PEAD",$N1238="VCA",$Q1238="PREDIAL"),0,0)))))),0)</f>
        <v>0.363</v>
      </c>
      <c r="AK1238" s="153" t="n">
        <f aca="false">IF(AA1238&lt;&gt;"",AA1238,0)</f>
        <v>3.9</v>
      </c>
      <c r="AL1238" s="153" t="n">
        <f aca="false">IF(AND($N1238="MND",$Q1238="EMBOQUE"),$M1238,IF(AND($N1238="VCA",$Q1238="LINEAR"),$M1238,IF(AND($N1238="VCA",$Q1238="PREDIAL"),0,0)))</f>
        <v>13.87</v>
      </c>
      <c r="AM1238" s="153" t="n">
        <f aca="false">IF(AND($N1238="MND",$Q1238="EMBOQUE"),$M1238,IF(AND($N1238="VCA",$Q1238="LINEAR"),$M1238,IF(AND($N1238="VCA",$Q1238="PREDIAL"),0,0)))</f>
        <v>13.87</v>
      </c>
      <c r="AN1238" s="153" t="n">
        <f aca="false">ROUND(IF(AND($N1238="VCA",$M1238&lt;&gt;"",$Q1238="LINEAR"),$M1238/100,IF(AND($N1238="MND",$M1238&gt;100,$Q1238="EMBOQUE"),$M1238/100,0)),0)</f>
        <v>0</v>
      </c>
      <c r="AO1238" s="153" t="n">
        <f aca="false">IF(AND($N1238="MND",$Q1238="EMBOQUE"),$AN1238*2*2,IF(AND($N1238="VCA",$Q1238="LINEAR"),$M1238*2,IF(AND($N1238="VCA",$Q1238="PREDIAL"),0,0)))</f>
        <v>27.74</v>
      </c>
      <c r="AP1238" s="153" t="n">
        <f aca="false">IFERROR($M1238*$AF1238*$AG1238,0)</f>
        <v>12.2881265</v>
      </c>
      <c r="AQ1238" s="153" t="n">
        <f aca="false">IFERROR(IF(AND($N1238="VCA",$AH1238&gt;0),$M1238*$AG1238*$AH1238,0),0)</f>
        <v>0.90155</v>
      </c>
      <c r="AR1238" s="153" t="n">
        <f aca="false">IFERROR(IF(AND($N1238="VCA",$AJ1238&gt;0),($M1238*$AG1238*$AJ1238)-$AI1238,0),0)</f>
        <v>3.22939030754303</v>
      </c>
      <c r="AS1238" s="153" t="n">
        <f aca="false">IFERROR(IF(AND($N1238="VCA",$AP1238&gt;0),$AP1238-$AI1238-$AQ1238-$AR1238,0),0)</f>
        <v>8.11395</v>
      </c>
      <c r="AT1238" s="153" t="n">
        <f aca="false">IFERROR(IF($N1238="VCA",INDEX(APOIO_REDES!$A:$W,MATCH($C1238&amp;$I1238&amp;$H1238&amp;$N1238&amp;$O1238,APOIO_REDES!$W:$W,0),MATCH(AT$5,APOIO_REDES!$5:$5,0)),0)*$AP1238,0)</f>
        <v>0.133698453419789</v>
      </c>
      <c r="AU1238" s="153" t="n">
        <f aca="false">IFERROR(IF($N1238="VCA",INDEX(APOIO_REDES!$A:$W,MATCH($C1238&amp;$I1238&amp;$H1238&amp;$N1238&amp;$O1238,APOIO_REDES!$W:$W,0),MATCH(AU$5,APOIO_REDES!$5:$5,0)),0)*$AP1238,0)</f>
        <v>0.106767963887706</v>
      </c>
      <c r="AV1238" s="153" t="n">
        <f aca="false">IFERROR(IF($N1238="VCA",INDEX(APOIO_REDES!$A:$W,MATCH($C1238&amp;$I1238&amp;$H1238&amp;$N1238&amp;$O1238,APOIO_REDES!$W:$W,0),MATCH(AV$5,APOIO_REDES!$5:$5,0)),0)*$AP1238,0)</f>
        <v>0.0147758480406793</v>
      </c>
      <c r="AW1238" s="153" t="n">
        <f aca="false">IFERROR(IF($N1238="VCA",INDEX(APOIO_REDES!$A:$W,MATCH($C1238&amp;$I1238&amp;$H1238&amp;$N1238&amp;$O1238,APOIO_REDES!$W:$W,0),MATCH(AW$5,APOIO_REDES!$5:$5,0)),0)*$AP1238,0)</f>
        <v>8.43466524265029</v>
      </c>
      <c r="AX1238" s="153" t="n">
        <f aca="false">IFERROR(IF($N1238="VCA",INDEX(APOIO_REDES!$A:$W,MATCH($C1238&amp;$I1238&amp;$H1238&amp;$N1238&amp;$O1238,APOIO_REDES!$W:$W,0),MATCH(AX$5,APOIO_REDES!$5:$5,0)),0)*$AP1238,0)</f>
        <v>1.16733364298406</v>
      </c>
      <c r="AY1238" s="153" t="n">
        <f aca="false">IFERROR(IF($N1238="VCA",INDEX(APOIO_REDES!$A:$W,MATCH($C1238&amp;$I1238&amp;$H1238&amp;$N1238&amp;$O1238,APOIO_REDES!$W:$W,0),MATCH(AY$5,APOIO_REDES!$5:$5,0)),0)*$AP1238,0)</f>
        <v>2.13535797626129</v>
      </c>
      <c r="AZ1238" s="153" t="n">
        <f aca="false">IFERROR(IF($N1238="VCA",INDEX(APOIO_REDES!$A:$W,MATCH($C1238&amp;$I1238&amp;$H1238&amp;$N1238&amp;$O1238,APOIO_REDES!$W:$W,0),MATCH(AZ$5,APOIO_REDES!$5:$5,0)),0)*$AP1238,0)</f>
        <v>0.295527372756185</v>
      </c>
      <c r="BA1238" s="153" t="n">
        <f aca="false">IFERROR(IF(AND($N1238="VCA",$Q1238="LINEAR"),INDEX(APOIO_REDES!$A:$W,MATCH($C1238&amp;$I1238&amp;$H1238&amp;$N1238&amp;$O1238,APOIO_REDES!$W:$W,0),MATCH(BA$5,APOIO_REDES!$5:$5,0)),IF(AND($N1238="MND",$Q1238="EMBOQUE"),INDEX(APOIO_REDES!$A:$W,MATCH($C1238&amp;$I1238&amp;$H1238&amp;$N1238&amp;$O1238,APOIO_REDES!$W:$W,0),MATCH(BA$5,APOIO_REDES!$5:$5,0)),0))*$M1238/10,0)</f>
        <v>1.11788701403155</v>
      </c>
      <c r="BB1238" s="153" t="n">
        <f aca="false">IFERROR(IF($N1238="VCA",INDEX(APOIO_REDES!$A:$W,MATCH($C1238&amp;$I1238&amp;$H1238&amp;$N1238&amp;$O1238,APOIO_REDES!$W:$W,0),MATCH(BB$5,APOIO_REDES!$5:$5,0)),0)*($AI1238+$AQ1238+$AR1238),0)</f>
        <v>4.12876022418682</v>
      </c>
      <c r="BC1238" s="153" t="n">
        <f aca="false">IFERROR(IF($N1238="VCA",INDEX(APOIO_REDES!$A:$W,MATCH($C1238&amp;$I1238&amp;$H1238&amp;$N1238&amp;$O1238,APOIO_REDES!$W:$W,0),MATCH(BC$5,APOIO_REDES!$5:$5,0)),0)*($AI1238+$AQ1238+$AR1238),0)</f>
        <v>0.0454162758131784</v>
      </c>
      <c r="BD1238" s="153" t="n">
        <f aca="false">IF(AND($N1238="VCA",$AF1238&gt;=1.25,$AF1238&lt;1.5),$M1238*$AF1238*2,0)</f>
        <v>37.80962</v>
      </c>
      <c r="BE1238" s="153" t="n">
        <f aca="false">IF(AND($N1238="VCA",$AF1238&gt;=1.5,$AF1238&lt;3),$M1238*$AF1238*2,0)</f>
        <v>0</v>
      </c>
      <c r="BF1238" s="153" t="n">
        <f aca="false">IF(AND($N1238="VCA",$AF1238&gt;=3),$M1238*$AF1238*2,0)</f>
        <v>0</v>
      </c>
      <c r="BG1238" s="153" t="n">
        <f aca="false">($BB1238+$BC1238)*$AK1238</f>
        <v>16.27928835</v>
      </c>
      <c r="BH1238" s="153" t="n">
        <f aca="false">IF(AND($M1238&lt;&gt;"",$N1238="VCA",$Q1238="LINEAR"),($M1238*2)/100,IF(AND($M1238&lt;&gt;"",$N1238="MND",$Q1238="EMBOQUE"),($AN1238*2)/100,0))</f>
        <v>0.2774</v>
      </c>
      <c r="BI1238" s="153" t="n">
        <f aca="false">IF(AND($M1238&lt;&gt;"",$N1238="VCA",$Q1238="LINEAR"),$M1238,IF(AND($M1238&lt;&gt;"",$N1238="MND",$Q1238="EMBOQUE"),$AN1238*2,0))</f>
        <v>13.87</v>
      </c>
      <c r="BJ1238" s="153" t="n">
        <f aca="false">IF(AND($M1238&lt;&gt;"",$N1238="VCA",$Q1238="LINEAR"),($M1238*6.8)/100,IF(AND($M1238&lt;&gt;"",$N1238="MND",$Q1238="EMBOQUE"),($AN1238*2*6.8)/100,0))</f>
        <v>0.94316</v>
      </c>
      <c r="BK1238" s="153" t="n">
        <f aca="false">IF(AND($M1238&lt;&gt;"",$N1238="VCA",$Q1238="LINEAR"),($M1238*2.5)/50,IF(AND($M1238&lt;&gt;"",$N1238="MND",$Q1238="EMBOQUE"),($AN1238*2*2.5)/50,0))</f>
        <v>0.6935</v>
      </c>
      <c r="BL1238" s="157" t="str">
        <f aca="false">K1238&amp;J1238</f>
        <v>Zona11REDES</v>
      </c>
      <c r="BM1238" s="152" t="s">
        <v>6084</v>
      </c>
      <c r="BN1238" s="152" t="s">
        <v>1560</v>
      </c>
      <c r="BO1238" s="152" t="s">
        <v>4218</v>
      </c>
      <c r="BP1238" s="152" t="s">
        <v>6091</v>
      </c>
      <c r="BQ1238" s="152" t="s">
        <v>6218</v>
      </c>
      <c r="BR1238" s="152" t="s">
        <v>6227</v>
      </c>
      <c r="BS1238" s="152" t="n">
        <v>203849.136</v>
      </c>
      <c r="BT1238" s="152" t="n">
        <v>8236245.083</v>
      </c>
      <c r="BU1238" s="152" t="n">
        <v>203854.882</v>
      </c>
      <c r="BV1238" s="152" t="n">
        <v>8236232.463</v>
      </c>
      <c r="BW1238" s="152" t="n">
        <v>-15.9354695</v>
      </c>
      <c r="BX1238" s="152" t="n">
        <v>-47.7661508</v>
      </c>
      <c r="BY1238" s="152" t="s">
        <v>6091</v>
      </c>
    </row>
    <row r="1239" customFormat="false" ht="13.8" hidden="false" customHeight="false" outlineLevel="0" collapsed="false">
      <c r="A1239" s="149" t="n">
        <f aca="false">IF(C1239&lt;&gt;"",ROW(A1234),"")</f>
        <v>1234</v>
      </c>
      <c r="B1239" s="150" t="str">
        <f aca="false">HYPERLINK("https://www.google.com/maps/dir/-15.917302,-47.760003/-15.9352086,-47.7649073/data=!4m3!4m2!3e0!5i1")</f>
        <v>https://www.google.com/maps/dir/-15.917302,-47.760003/-15.9352086,-47.7649073/data=!4m3!4m2!3e0!5i1</v>
      </c>
      <c r="C1239" s="151" t="s">
        <v>117</v>
      </c>
      <c r="D1239" s="152" t="s">
        <v>112</v>
      </c>
      <c r="E1239" s="152" t="s">
        <v>113</v>
      </c>
      <c r="F1239" s="152" t="s">
        <v>117</v>
      </c>
      <c r="G1239" s="152" t="s">
        <v>782</v>
      </c>
      <c r="H1239" s="152" t="n">
        <v>63</v>
      </c>
      <c r="I1239" s="152" t="s">
        <v>115</v>
      </c>
      <c r="J1239" s="152" t="s">
        <v>6</v>
      </c>
      <c r="K1239" s="152" t="s">
        <v>6081</v>
      </c>
      <c r="L1239" s="152" t="s">
        <v>120</v>
      </c>
      <c r="M1239" s="153" t="n">
        <f aca="false">69.9+3.63</f>
        <v>73.53</v>
      </c>
      <c r="N1239" s="152" t="s">
        <v>1548</v>
      </c>
      <c r="O1239" s="152" t="s">
        <v>1549</v>
      </c>
      <c r="P1239" s="152" t="s">
        <v>1550</v>
      </c>
      <c r="Q1239" s="152" t="s">
        <v>1551</v>
      </c>
      <c r="R1239" s="154" t="s">
        <v>6228</v>
      </c>
      <c r="S1239" s="154" t="s">
        <v>1553</v>
      </c>
      <c r="T1239" s="155" t="s">
        <v>4216</v>
      </c>
      <c r="U1239" s="152" t="str">
        <f aca="false">RIGHT(T1239,7)</f>
        <v>019/037</v>
      </c>
      <c r="V1239" s="152" t="s">
        <v>1555</v>
      </c>
      <c r="W1239" s="156" t="n">
        <v>45882</v>
      </c>
      <c r="X1239" s="152" t="s">
        <v>3938</v>
      </c>
      <c r="Y1239" s="152" t="s">
        <v>1952</v>
      </c>
      <c r="Z1239" s="152" t="s">
        <v>1557</v>
      </c>
      <c r="AA1239" s="153" t="n">
        <v>3.8</v>
      </c>
      <c r="AB1239" s="151" t="s">
        <v>6229</v>
      </c>
      <c r="AC1239" s="151" t="s">
        <v>186</v>
      </c>
      <c r="AD1239" s="151" t="str">
        <f aca="false">CONCATENATE($C1239,$I1239,$H1239,$N1239,$J1239,$K1239)</f>
        <v>TUBO PEADPEAD63VCAREDESZona11</v>
      </c>
      <c r="AE1239" s="153" t="n">
        <f aca="false">IFERROR(INDEX(APOIO_REDES!$A:$W,MATCH($C1239&amp;$I1239&amp;$H1239&amp;$N1239&amp;$O1239,APOIO_REDES!$W:$W,0),MATCH(AE$5,APOIO_REDES!$5:$5,0)),0)</f>
        <v>1.2</v>
      </c>
      <c r="AF1239" s="153" t="n">
        <f aca="false">IFERROR(INDEX(APOIO_REDES!$A:$W,MATCH($C1239&amp;$I1239&amp;$H1239&amp;$N1239&amp;$O1239,APOIO_REDES!$W:$W,0),MATCH(AF$5,APOIO_REDES!$5:$5,0)),0)</f>
        <v>1.363</v>
      </c>
      <c r="AG1239" s="153" t="n">
        <f aca="false">IFERROR(INDEX(APOIO_REDES!$A:$W,MATCH($C1239&amp;$I1239&amp;$H1239&amp;$N1239&amp;$O1239,APOIO_REDES!$W:$W,0),MATCH(AG$5,APOIO_REDES!$5:$5,0)),0)</f>
        <v>0.65</v>
      </c>
      <c r="AH1239" s="153" t="n">
        <f aca="false">IFERROR(INDEX(APOIO_REDES!$A:$W,MATCH($C1239&amp;$I1239&amp;$H1239&amp;$N1239&amp;$O1239,APOIO_REDES!$W:$W,0),MATCH(AH$5,APOIO_REDES!$5:$5,0)),0)</f>
        <v>0.1</v>
      </c>
      <c r="AI1239" s="153" t="n">
        <f aca="false">IFERROR(IF($H1239&lt;&gt;"",(((($H1239/1000)/2)^2)*PI()*$M1239),0),0)</f>
        <v>0.229211047682864</v>
      </c>
      <c r="AJ1239" s="153" t="n">
        <f aca="false">IFERROR(IF(AND($H1239&lt;&gt;"",$I1239="FoFo",OR($N1239="MND",$N1239="VCA"),$Q1239="LINEAR"),0,IF(AND($H1239&lt;&gt;"",$I1239="PEAD",$N1239="VCA",$Q1239="LINEAR"),($H1239/1000)+0.3,IF(AND($H1239&lt;&gt;"",$I1239="PEAD",$N1239="MND",$Q1239="EMBOQUE"),0,IF(AND($H1239&lt;&gt;"",$I1239="PVC",$N1239="VCA",$Q1239="LINEAR"),($H1239/1000)+0.2,IF(AND($H1239&lt;&gt;"",$I1239="PVC",$N1239="MND",$Q1239="EMBOQUE"),0,IF(AND($H1239&lt;&gt;"",$I1239="PEAD",$N1239="VCA",$Q1239="PREDIAL"),0,0)))))),0)</f>
        <v>0.363</v>
      </c>
      <c r="AK1239" s="153" t="n">
        <f aca="false">IF(AA1239&lt;&gt;"",AA1239,0)</f>
        <v>3.8</v>
      </c>
      <c r="AL1239" s="153" t="n">
        <f aca="false">IF(AND($N1239="MND",$Q1239="EMBOQUE"),$M1239,IF(AND($N1239="VCA",$Q1239="LINEAR"),$M1239,IF(AND($N1239="VCA",$Q1239="PREDIAL"),0,0)))</f>
        <v>73.53</v>
      </c>
      <c r="AM1239" s="153" t="n">
        <f aca="false">IF(AND($N1239="MND",$Q1239="EMBOQUE"),$M1239,IF(AND($N1239="VCA",$Q1239="LINEAR"),$M1239,IF(AND($N1239="VCA",$Q1239="PREDIAL"),0,0)))</f>
        <v>73.53</v>
      </c>
      <c r="AN1239" s="153" t="n">
        <f aca="false">ROUND(IF(AND($N1239="VCA",$M1239&lt;&gt;"",$Q1239="LINEAR"),$M1239/100,IF(AND($N1239="MND",$M1239&gt;100,$Q1239="EMBOQUE"),$M1239/100,0)),0)</f>
        <v>1</v>
      </c>
      <c r="AO1239" s="153" t="n">
        <f aca="false">IF(AND($N1239="MND",$Q1239="EMBOQUE"),$AN1239*2*2,IF(AND($N1239="VCA",$Q1239="LINEAR"),$M1239*2,IF(AND($N1239="VCA",$Q1239="PREDIAL"),0,0)))</f>
        <v>147.06</v>
      </c>
      <c r="AP1239" s="153" t="n">
        <f aca="false">IFERROR($M1239*$AF1239*$AG1239,0)</f>
        <v>65.1439035</v>
      </c>
      <c r="AQ1239" s="153" t="n">
        <f aca="false">IFERROR(IF(AND($N1239="VCA",$AH1239&gt;0),$M1239*$AG1239*$AH1239,0),0)</f>
        <v>4.77945</v>
      </c>
      <c r="AR1239" s="153" t="n">
        <f aca="false">IFERROR(IF(AND($N1239="VCA",$AJ1239&gt;0),($M1239*$AG1239*$AJ1239)-$AI1239,0),0)</f>
        <v>17.1201924523171</v>
      </c>
      <c r="AS1239" s="153" t="n">
        <f aca="false">IFERROR(IF(AND($N1239="VCA",$AP1239&gt;0),$AP1239-$AI1239-$AQ1239-$AR1239,0),0)</f>
        <v>43.01505</v>
      </c>
      <c r="AT1239" s="153" t="n">
        <f aca="false">IFERROR(IF($N1239="VCA",INDEX(APOIO_REDES!$A:$W,MATCH($C1239&amp;$I1239&amp;$H1239&amp;$N1239&amp;$O1239,APOIO_REDES!$W:$W,0),MATCH(AT$5,APOIO_REDES!$5:$5,0)),0)*$AP1239,0)</f>
        <v>0.708784951691208</v>
      </c>
      <c r="AU1239" s="153" t="n">
        <f aca="false">IFERROR(IF($N1239="VCA",INDEX(APOIO_REDES!$A:$W,MATCH($C1239&amp;$I1239&amp;$H1239&amp;$N1239&amp;$O1239,APOIO_REDES!$W:$W,0),MATCH(AU$5,APOIO_REDES!$5:$5,0)),0)*$AP1239,0)</f>
        <v>0.566016466089619</v>
      </c>
      <c r="AV1239" s="153" t="n">
        <f aca="false">IFERROR(IF($N1239="VCA",INDEX(APOIO_REDES!$A:$W,MATCH($C1239&amp;$I1239&amp;$H1239&amp;$N1239&amp;$O1239,APOIO_REDES!$W:$W,0),MATCH(AV$5,APOIO_REDES!$5:$5,0)),0)*$AP1239,0)</f>
        <v>0.0783322355033272</v>
      </c>
      <c r="AW1239" s="153" t="n">
        <f aca="false">IFERROR(IF($N1239="VCA",INDEX(APOIO_REDES!$A:$W,MATCH($C1239&amp;$I1239&amp;$H1239&amp;$N1239&amp;$O1239,APOIO_REDES!$W:$W,0),MATCH(AW$5,APOIO_REDES!$5:$5,0)),0)*$AP1239,0)</f>
        <v>44.7152801219954</v>
      </c>
      <c r="AX1239" s="153" t="n">
        <f aca="false">IFERROR(IF($N1239="VCA",INDEX(APOIO_REDES!$A:$W,MATCH($C1239&amp;$I1239&amp;$H1239&amp;$N1239&amp;$O1239,APOIO_REDES!$W:$W,0),MATCH(AX$5,APOIO_REDES!$5:$5,0)),0)*$AP1239,0)</f>
        <v>6.18846739499768</v>
      </c>
      <c r="AY1239" s="153" t="n">
        <f aca="false">IFERROR(IF($N1239="VCA",INDEX(APOIO_REDES!$A:$W,MATCH($C1239&amp;$I1239&amp;$H1239&amp;$N1239&amp;$O1239,APOIO_REDES!$W:$W,0),MATCH(AY$5,APOIO_REDES!$5:$5,0)),0)*$AP1239,0)</f>
        <v>11.3203224220975</v>
      </c>
      <c r="AZ1239" s="153" t="n">
        <f aca="false">IFERROR(IF($N1239="VCA",INDEX(APOIO_REDES!$A:$W,MATCH($C1239&amp;$I1239&amp;$H1239&amp;$N1239&amp;$O1239,APOIO_REDES!$W:$W,0),MATCH(AZ$5,APOIO_REDES!$5:$5,0)),0)*$AP1239,0)</f>
        <v>1.56669990762525</v>
      </c>
      <c r="BA1239" s="153" t="n">
        <f aca="false">IFERROR(IF(AND($N1239="VCA",$Q1239="LINEAR"),INDEX(APOIO_REDES!$A:$W,MATCH($C1239&amp;$I1239&amp;$H1239&amp;$N1239&amp;$O1239,APOIO_REDES!$W:$W,0),MATCH(BA$5,APOIO_REDES!$5:$5,0)),IF(AND($N1239="MND",$Q1239="EMBOQUE"),INDEX(APOIO_REDES!$A:$W,MATCH($C1239&amp;$I1239&amp;$H1239&amp;$N1239&amp;$O1239,APOIO_REDES!$W:$W,0),MATCH(BA$5,APOIO_REDES!$5:$5,0)),0))*$M1239/10,0)</f>
        <v>5.92633252644125</v>
      </c>
      <c r="BB1239" s="153" t="n">
        <f aca="false">IFERROR(IF($N1239="VCA",INDEX(APOIO_REDES!$A:$W,MATCH($C1239&amp;$I1239&amp;$H1239&amp;$N1239&amp;$O1239,APOIO_REDES!$W:$W,0),MATCH(BB$5,APOIO_REDES!$5:$5,0)),0)*($AI1239+$AQ1239+$AR1239),0)</f>
        <v>21.8880850241137</v>
      </c>
      <c r="BC1239" s="153" t="n">
        <f aca="false">IFERROR(IF($N1239="VCA",INDEX(APOIO_REDES!$A:$W,MATCH($C1239&amp;$I1239&amp;$H1239&amp;$N1239&amp;$O1239,APOIO_REDES!$W:$W,0),MATCH(BC$5,APOIO_REDES!$5:$5,0)),0)*($AI1239+$AQ1239+$AR1239),0)</f>
        <v>0.240768475886302</v>
      </c>
      <c r="BD1239" s="153" t="n">
        <f aca="false">IF(AND($N1239="VCA",$AF1239&gt;=1.25,$AF1239&lt;1.5),$M1239*$AF1239*2,0)</f>
        <v>200.44278</v>
      </c>
      <c r="BE1239" s="153" t="n">
        <f aca="false">IF(AND($N1239="VCA",$AF1239&gt;=1.5,$AF1239&lt;3),$M1239*$AF1239*2,0)</f>
        <v>0</v>
      </c>
      <c r="BF1239" s="153" t="n">
        <f aca="false">IF(AND($N1239="VCA",$AF1239&gt;=3),$M1239*$AF1239*2,0)</f>
        <v>0</v>
      </c>
      <c r="BG1239" s="153" t="n">
        <f aca="false">($BB1239+$BC1239)*$AK1239</f>
        <v>84.0896433</v>
      </c>
      <c r="BH1239" s="153" t="n">
        <f aca="false">IF(AND($M1239&lt;&gt;"",$N1239="VCA",$Q1239="LINEAR"),($M1239*2)/100,IF(AND($M1239&lt;&gt;"",$N1239="MND",$Q1239="EMBOQUE"),($AN1239*2)/100,0))</f>
        <v>1.4706</v>
      </c>
      <c r="BI1239" s="153" t="n">
        <f aca="false">IF(AND($M1239&lt;&gt;"",$N1239="VCA",$Q1239="LINEAR"),$M1239,IF(AND($M1239&lt;&gt;"",$N1239="MND",$Q1239="EMBOQUE"),$AN1239*2,0))</f>
        <v>73.53</v>
      </c>
      <c r="BJ1239" s="153" t="n">
        <f aca="false">IF(AND($M1239&lt;&gt;"",$N1239="VCA",$Q1239="LINEAR"),($M1239*6.8)/100,IF(AND($M1239&lt;&gt;"",$N1239="MND",$Q1239="EMBOQUE"),($AN1239*2*6.8)/100,0))</f>
        <v>5.00004</v>
      </c>
      <c r="BK1239" s="153" t="n">
        <f aca="false">IF(AND($M1239&lt;&gt;"",$N1239="VCA",$Q1239="LINEAR"),($M1239*2.5)/50,IF(AND($M1239&lt;&gt;"",$N1239="MND",$Q1239="EMBOQUE"),($AN1239*2*2.5)/50,0))</f>
        <v>3.6765</v>
      </c>
      <c r="BL1239" s="157" t="str">
        <f aca="false">K1239&amp;J1239</f>
        <v>Zona11REDES</v>
      </c>
      <c r="BM1239" s="152" t="s">
        <v>6084</v>
      </c>
      <c r="BN1239" s="152" t="s">
        <v>1560</v>
      </c>
      <c r="BO1239" s="152" t="s">
        <v>4218</v>
      </c>
      <c r="BP1239" s="152" t="s">
        <v>6230</v>
      </c>
      <c r="BQ1239" s="152" t="s">
        <v>6231</v>
      </c>
      <c r="BR1239" s="152" t="s">
        <v>6232</v>
      </c>
      <c r="BS1239" s="152" t="n">
        <v>203985.174</v>
      </c>
      <c r="BT1239" s="152" t="n">
        <v>8236269.54</v>
      </c>
      <c r="BU1239" s="152" t="n">
        <v>204006.2</v>
      </c>
      <c r="BV1239" s="152" t="n">
        <v>8236202.885</v>
      </c>
      <c r="BW1239" s="152" t="n">
        <v>-15.9355103</v>
      </c>
      <c r="BX1239" s="152" t="n">
        <v>-47.7648116</v>
      </c>
      <c r="BY1239" s="152" t="s">
        <v>6230</v>
      </c>
    </row>
    <row r="1240" customFormat="false" ht="13.8" hidden="false" customHeight="false" outlineLevel="0" collapsed="false">
      <c r="A1240" s="149" t="n">
        <f aca="false">IF(C1240&lt;&gt;"",ROW(A1235),"")</f>
        <v>1235</v>
      </c>
      <c r="B1240" s="150" t="str">
        <f aca="false">HYPERLINK("https://www.google.com/maps/dir/-15.917302,-47.760003/-15.9356683,-47.7623912/data=!4m3!4m2!3e0!5i2")</f>
        <v>https://www.google.com/maps/dir/-15.917302,-47.760003/-15.9356683,-47.7623912/data=!4m3!4m2!3e0!5i2</v>
      </c>
      <c r="C1240" s="151" t="s">
        <v>117</v>
      </c>
      <c r="D1240" s="152" t="s">
        <v>112</v>
      </c>
      <c r="E1240" s="152" t="s">
        <v>113</v>
      </c>
      <c r="F1240" s="152" t="s">
        <v>117</v>
      </c>
      <c r="G1240" s="152" t="s">
        <v>782</v>
      </c>
      <c r="H1240" s="152" t="n">
        <v>63</v>
      </c>
      <c r="I1240" s="152" t="s">
        <v>115</v>
      </c>
      <c r="J1240" s="152" t="s">
        <v>6</v>
      </c>
      <c r="K1240" s="152" t="s">
        <v>6081</v>
      </c>
      <c r="L1240" s="152" t="s">
        <v>120</v>
      </c>
      <c r="M1240" s="153" t="n">
        <f aca="false">94.28</f>
        <v>94.28</v>
      </c>
      <c r="N1240" s="152" t="s">
        <v>1548</v>
      </c>
      <c r="O1240" s="152" t="s">
        <v>1549</v>
      </c>
      <c r="P1240" s="152" t="s">
        <v>1550</v>
      </c>
      <c r="Q1240" s="152" t="s">
        <v>1551</v>
      </c>
      <c r="R1240" s="154" t="s">
        <v>6233</v>
      </c>
      <c r="S1240" s="154" t="s">
        <v>1553</v>
      </c>
      <c r="T1240" s="155" t="s">
        <v>4216</v>
      </c>
      <c r="U1240" s="152" t="str">
        <f aca="false">RIGHT(T1240,7)</f>
        <v>019/037</v>
      </c>
      <c r="V1240" s="152" t="s">
        <v>1555</v>
      </c>
      <c r="W1240" s="156" t="n">
        <v>45882</v>
      </c>
      <c r="X1240" s="152" t="s">
        <v>3938</v>
      </c>
      <c r="Y1240" s="152" t="s">
        <v>6234</v>
      </c>
      <c r="Z1240" s="152" t="s">
        <v>1557</v>
      </c>
      <c r="AA1240" s="153" t="n">
        <v>4.9</v>
      </c>
      <c r="AB1240" s="151" t="s">
        <v>6235</v>
      </c>
      <c r="AC1240" s="151" t="s">
        <v>186</v>
      </c>
      <c r="AD1240" s="151" t="str">
        <f aca="false">CONCATENATE($C1240,$I1240,$H1240,$N1240,$J1240,$K1240)</f>
        <v>TUBO PEADPEAD63VCAREDESZona11</v>
      </c>
      <c r="AE1240" s="153" t="n">
        <f aca="false">IFERROR(INDEX(APOIO_REDES!$A:$W,MATCH($C1240&amp;$I1240&amp;$H1240&amp;$N1240&amp;$O1240,APOIO_REDES!$W:$W,0),MATCH(AE$5,APOIO_REDES!$5:$5,0)),0)</f>
        <v>1.2</v>
      </c>
      <c r="AF1240" s="153" t="n">
        <f aca="false">IFERROR(INDEX(APOIO_REDES!$A:$W,MATCH($C1240&amp;$I1240&amp;$H1240&amp;$N1240&amp;$O1240,APOIO_REDES!$W:$W,0),MATCH(AF$5,APOIO_REDES!$5:$5,0)),0)</f>
        <v>1.363</v>
      </c>
      <c r="AG1240" s="153" t="n">
        <f aca="false">IFERROR(INDEX(APOIO_REDES!$A:$W,MATCH($C1240&amp;$I1240&amp;$H1240&amp;$N1240&amp;$O1240,APOIO_REDES!$W:$W,0),MATCH(AG$5,APOIO_REDES!$5:$5,0)),0)</f>
        <v>0.65</v>
      </c>
      <c r="AH1240" s="153" t="n">
        <f aca="false">IFERROR(INDEX(APOIO_REDES!$A:$W,MATCH($C1240&amp;$I1240&amp;$H1240&amp;$N1240&amp;$O1240,APOIO_REDES!$W:$W,0),MATCH(AH$5,APOIO_REDES!$5:$5,0)),0)</f>
        <v>0.1</v>
      </c>
      <c r="AI1240" s="153" t="n">
        <f aca="false">IFERROR(IF($H1240&lt;&gt;"",(((($H1240/1000)/2)^2)*PI()*$M1240),0),0)</f>
        <v>0.293893887876247</v>
      </c>
      <c r="AJ1240" s="153" t="n">
        <f aca="false">IFERROR(IF(AND($H1240&lt;&gt;"",$I1240="FoFo",OR($N1240="MND",$N1240="VCA"),$Q1240="LINEAR"),0,IF(AND($H1240&lt;&gt;"",$I1240="PEAD",$N1240="VCA",$Q1240="LINEAR"),($H1240/1000)+0.3,IF(AND($H1240&lt;&gt;"",$I1240="PEAD",$N1240="MND",$Q1240="EMBOQUE"),0,IF(AND($H1240&lt;&gt;"",$I1240="PVC",$N1240="VCA",$Q1240="LINEAR"),($H1240/1000)+0.2,IF(AND($H1240&lt;&gt;"",$I1240="PVC",$N1240="MND",$Q1240="EMBOQUE"),0,IF(AND($H1240&lt;&gt;"",$I1240="PEAD",$N1240="VCA",$Q1240="PREDIAL"),0,0)))))),0)</f>
        <v>0.363</v>
      </c>
      <c r="AK1240" s="153" t="n">
        <f aca="false">IF(AA1240&lt;&gt;"",AA1240,0)</f>
        <v>4.9</v>
      </c>
      <c r="AL1240" s="153" t="n">
        <f aca="false">IF(AND($N1240="MND",$Q1240="EMBOQUE"),$M1240,IF(AND($N1240="VCA",$Q1240="LINEAR"),$M1240,IF(AND($N1240="VCA",$Q1240="PREDIAL"),0,0)))</f>
        <v>94.28</v>
      </c>
      <c r="AM1240" s="153" t="n">
        <f aca="false">IF(AND($N1240="MND",$Q1240="EMBOQUE"),$M1240,IF(AND($N1240="VCA",$Q1240="LINEAR"),$M1240,IF(AND($N1240="VCA",$Q1240="PREDIAL"),0,0)))</f>
        <v>94.28</v>
      </c>
      <c r="AN1240" s="153" t="n">
        <f aca="false">ROUND(IF(AND($N1240="VCA",$M1240&lt;&gt;"",$Q1240="LINEAR"),$M1240/100,IF(AND($N1240="MND",$M1240&gt;100,$Q1240="EMBOQUE"),$M1240/100,0)),0)</f>
        <v>1</v>
      </c>
      <c r="AO1240" s="153" t="n">
        <f aca="false">IF(AND($N1240="MND",$Q1240="EMBOQUE"),$AN1240*2*2,IF(AND($N1240="VCA",$Q1240="LINEAR"),$M1240*2,IF(AND($N1240="VCA",$Q1240="PREDIAL"),0,0)))</f>
        <v>188.56</v>
      </c>
      <c r="AP1240" s="153" t="n">
        <f aca="false">IFERROR($M1240*$AF1240*$AG1240,0)</f>
        <v>83.527366</v>
      </c>
      <c r="AQ1240" s="153" t="n">
        <f aca="false">IFERROR(IF(AND($N1240="VCA",$AH1240&gt;0),$M1240*$AG1240*$AH1240,0),0)</f>
        <v>6.1282</v>
      </c>
      <c r="AR1240" s="153" t="n">
        <f aca="false">IFERROR(IF(AND($N1240="VCA",$AJ1240&gt;0),($M1240*$AG1240*$AJ1240)-$AI1240,0),0)</f>
        <v>21.9514721121238</v>
      </c>
      <c r="AS1240" s="153" t="n">
        <f aca="false">IFERROR(IF(AND($N1240="VCA",$AP1240&gt;0),$AP1240-$AI1240-$AQ1240-$AR1240,0),0)</f>
        <v>55.1538</v>
      </c>
      <c r="AT1240" s="153" t="n">
        <f aca="false">IFERROR(IF($N1240="VCA",INDEX(APOIO_REDES!$A:$W,MATCH($C1240&amp;$I1240&amp;$H1240&amp;$N1240&amp;$O1240,APOIO_REDES!$W:$W,0),MATCH(AT$5,APOIO_REDES!$5:$5,0)),0)*$AP1240,0)</f>
        <v>0.908802464918362</v>
      </c>
      <c r="AU1240" s="153" t="n">
        <f aca="false">IFERROR(IF($N1240="VCA",INDEX(APOIO_REDES!$A:$W,MATCH($C1240&amp;$I1240&amp;$H1240&amp;$N1240&amp;$O1240,APOIO_REDES!$W:$W,0),MATCH(AU$5,APOIO_REDES!$5:$5,0)),0)*$AP1240,0)</f>
        <v>0.725745034991558</v>
      </c>
      <c r="AV1240" s="153" t="n">
        <f aca="false">IFERROR(IF($N1240="VCA",INDEX(APOIO_REDES!$A:$W,MATCH($C1240&amp;$I1240&amp;$H1240&amp;$N1240&amp;$O1240,APOIO_REDES!$W:$W,0),MATCH(AV$5,APOIO_REDES!$5:$5,0)),0)*$AP1240,0)</f>
        <v>0.100437415520926</v>
      </c>
      <c r="AW1240" s="153" t="n">
        <f aca="false">IFERROR(IF($N1240="VCA",INDEX(APOIO_REDES!$A:$W,MATCH($C1240&amp;$I1240&amp;$H1240&amp;$N1240&amp;$O1240,APOIO_REDES!$W:$W,0),MATCH(AW$5,APOIO_REDES!$5:$5,0)),0)*$AP1240,0)</f>
        <v>57.3338312240137</v>
      </c>
      <c r="AX1240" s="153" t="n">
        <f aca="false">IFERROR(IF($N1240="VCA",INDEX(APOIO_REDES!$A:$W,MATCH($C1240&amp;$I1240&amp;$H1240&amp;$N1240&amp;$O1240,APOIO_REDES!$W:$W,0),MATCH(AX$5,APOIO_REDES!$5:$5,0)),0)*$AP1240,0)</f>
        <v>7.93483892289381</v>
      </c>
      <c r="AY1240" s="153" t="n">
        <f aca="false">IFERROR(IF($N1240="VCA",INDEX(APOIO_REDES!$A:$W,MATCH($C1240&amp;$I1240&amp;$H1240&amp;$N1240&amp;$O1240,APOIO_REDES!$W:$W,0),MATCH(AY$5,APOIO_REDES!$5:$5,0)),0)*$AP1240,0)</f>
        <v>14.514891853058</v>
      </c>
      <c r="AZ1240" s="153" t="n">
        <f aca="false">IFERROR(IF($N1240="VCA",INDEX(APOIO_REDES!$A:$W,MATCH($C1240&amp;$I1240&amp;$H1240&amp;$N1240&amp;$O1240,APOIO_REDES!$W:$W,0),MATCH(AZ$5,APOIO_REDES!$5:$5,0)),0)*$AP1240,0)</f>
        <v>2.00881908460368</v>
      </c>
      <c r="BA1240" s="153" t="n">
        <f aca="false">IFERROR(IF(AND($N1240="VCA",$Q1240="LINEAR"),INDEX(APOIO_REDES!$A:$W,MATCH($C1240&amp;$I1240&amp;$H1240&amp;$N1240&amp;$O1240,APOIO_REDES!$W:$W,0),MATCH(BA$5,APOIO_REDES!$5:$5,0)),IF(AND($N1240="MND",$Q1240="EMBOQUE"),INDEX(APOIO_REDES!$A:$W,MATCH($C1240&amp;$I1240&amp;$H1240&amp;$N1240&amp;$O1240,APOIO_REDES!$W:$W,0),MATCH(BA$5,APOIO_REDES!$5:$5,0)),0))*$M1240/10,0)</f>
        <v>7.59873018622169</v>
      </c>
      <c r="BB1240" s="153" t="n">
        <f aca="false">IFERROR(IF($N1240="VCA",INDEX(APOIO_REDES!$A:$W,MATCH($C1240&amp;$I1240&amp;$H1240&amp;$N1240&amp;$O1240,APOIO_REDES!$W:$W,0),MATCH(BB$5,APOIO_REDES!$5:$5,0)),0)*($AI1240+$AQ1240+$AR1240),0)</f>
        <v>28.0648532037731</v>
      </c>
      <c r="BC1240" s="153" t="n">
        <f aca="false">IFERROR(IF($N1240="VCA",INDEX(APOIO_REDES!$A:$W,MATCH($C1240&amp;$I1240&amp;$H1240&amp;$N1240&amp;$O1240,APOIO_REDES!$W:$W,0),MATCH(BC$5,APOIO_REDES!$5:$5,0)),0)*($AI1240+$AQ1240+$AR1240),0)</f>
        <v>0.308712796226854</v>
      </c>
      <c r="BD1240" s="153" t="n">
        <f aca="false">IF(AND($N1240="VCA",$AF1240&gt;=1.25,$AF1240&lt;1.5),$M1240*$AF1240*2,0)</f>
        <v>257.00728</v>
      </c>
      <c r="BE1240" s="153" t="n">
        <f aca="false">IF(AND($N1240="VCA",$AF1240&gt;=1.5,$AF1240&lt;3),$M1240*$AF1240*2,0)</f>
        <v>0</v>
      </c>
      <c r="BF1240" s="153" t="n">
        <f aca="false">IF(AND($N1240="VCA",$AF1240&gt;=3),$M1240*$AF1240*2,0)</f>
        <v>0</v>
      </c>
      <c r="BG1240" s="153" t="n">
        <f aca="false">($BB1240+$BC1240)*$AK1240</f>
        <v>139.0304734</v>
      </c>
      <c r="BH1240" s="153" t="n">
        <f aca="false">IF(AND($M1240&lt;&gt;"",$N1240="VCA",$Q1240="LINEAR"),($M1240*2)/100,IF(AND($M1240&lt;&gt;"",$N1240="MND",$Q1240="EMBOQUE"),($AN1240*2)/100,0))</f>
        <v>1.8856</v>
      </c>
      <c r="BI1240" s="153" t="n">
        <f aca="false">IF(AND($M1240&lt;&gt;"",$N1240="VCA",$Q1240="LINEAR"),$M1240,IF(AND($M1240&lt;&gt;"",$N1240="MND",$Q1240="EMBOQUE"),$AN1240*2,0))</f>
        <v>94.28</v>
      </c>
      <c r="BJ1240" s="153" t="n">
        <f aca="false">IF(AND($M1240&lt;&gt;"",$N1240="VCA",$Q1240="LINEAR"),($M1240*6.8)/100,IF(AND($M1240&lt;&gt;"",$N1240="MND",$Q1240="EMBOQUE"),($AN1240*2*6.8)/100,0))</f>
        <v>6.41104</v>
      </c>
      <c r="BK1240" s="153" t="n">
        <f aca="false">IF(AND($M1240&lt;&gt;"",$N1240="VCA",$Q1240="LINEAR"),($M1240*2.5)/50,IF(AND($M1240&lt;&gt;"",$N1240="MND",$Q1240="EMBOQUE"),($AN1240*2*2.5)/50,0))</f>
        <v>4.714</v>
      </c>
      <c r="BL1240" s="157" t="str">
        <f aca="false">K1240&amp;J1240</f>
        <v>Zona11REDES</v>
      </c>
      <c r="BM1240" s="152" t="s">
        <v>6084</v>
      </c>
      <c r="BN1240" s="152" t="s">
        <v>1560</v>
      </c>
      <c r="BO1240" s="152" t="s">
        <v>4218</v>
      </c>
      <c r="BP1240" s="152" t="s">
        <v>6179</v>
      </c>
      <c r="BQ1240" s="152" t="s">
        <v>6183</v>
      </c>
      <c r="BR1240" s="152" t="s">
        <v>6236</v>
      </c>
      <c r="BS1240" s="152" t="n">
        <v>204255.076</v>
      </c>
      <c r="BT1240" s="152" t="n">
        <v>8236222.099</v>
      </c>
      <c r="BU1240" s="152" t="n">
        <v>204345.788</v>
      </c>
      <c r="BV1240" s="152" t="n">
        <v>8236247.7</v>
      </c>
      <c r="BW1240" s="152" t="n">
        <v>-15.9355569</v>
      </c>
      <c r="BX1240" s="152" t="n">
        <v>-47.7619666</v>
      </c>
      <c r="BY1240" s="152" t="s">
        <v>6179</v>
      </c>
    </row>
    <row r="1241" customFormat="false" ht="13.8" hidden="false" customHeight="false" outlineLevel="0" collapsed="false">
      <c r="A1241" s="149" t="n">
        <f aca="false">IF(C1241&lt;&gt;"",ROW(A1236),"")</f>
        <v>1236</v>
      </c>
      <c r="B1241" s="150" t="str">
        <f aca="false">HYPERLINK("https://www.google.com/maps/dir/-15.917302,-47.760003/-15.9357398,-47.7651761/data=!4m3!4m2!3e0!5i0")</f>
        <v>https://www.google.com/maps/dir/-15.917302,-47.760003/-15.9357398,-47.7651761/data=!4m3!4m2!3e0!5i0</v>
      </c>
      <c r="C1241" s="151" t="s">
        <v>117</v>
      </c>
      <c r="D1241" s="152" t="s">
        <v>112</v>
      </c>
      <c r="E1241" s="152" t="s">
        <v>113</v>
      </c>
      <c r="F1241" s="152" t="s">
        <v>117</v>
      </c>
      <c r="G1241" s="152" t="s">
        <v>782</v>
      </c>
      <c r="H1241" s="152" t="n">
        <v>63</v>
      </c>
      <c r="I1241" s="152" t="s">
        <v>115</v>
      </c>
      <c r="J1241" s="152" t="s">
        <v>6</v>
      </c>
      <c r="K1241" s="152" t="s">
        <v>6081</v>
      </c>
      <c r="L1241" s="152" t="s">
        <v>120</v>
      </c>
      <c r="M1241" s="153" t="n">
        <f aca="false">46.7</f>
        <v>46.7</v>
      </c>
      <c r="N1241" s="152" t="s">
        <v>1548</v>
      </c>
      <c r="O1241" s="152" t="s">
        <v>1549</v>
      </c>
      <c r="P1241" s="152" t="s">
        <v>1550</v>
      </c>
      <c r="Q1241" s="152" t="s">
        <v>1551</v>
      </c>
      <c r="R1241" s="154" t="s">
        <v>6237</v>
      </c>
      <c r="S1241" s="154" t="s">
        <v>1553</v>
      </c>
      <c r="T1241" s="155" t="s">
        <v>4216</v>
      </c>
      <c r="U1241" s="152" t="str">
        <f aca="false">RIGHT(T1241,7)</f>
        <v>019/037</v>
      </c>
      <c r="V1241" s="152" t="s">
        <v>1555</v>
      </c>
      <c r="W1241" s="156" t="n">
        <v>45882</v>
      </c>
      <c r="X1241" s="152" t="s">
        <v>1594</v>
      </c>
      <c r="Y1241" s="152" t="s">
        <v>3251</v>
      </c>
      <c r="Z1241" s="152" t="s">
        <v>1557</v>
      </c>
      <c r="AA1241" s="153" t="n">
        <v>3.9</v>
      </c>
      <c r="AB1241" s="151" t="s">
        <v>6238</v>
      </c>
      <c r="AC1241" s="151" t="s">
        <v>186</v>
      </c>
      <c r="AD1241" s="151" t="str">
        <f aca="false">CONCATENATE($C1241,$I1241,$H1241,$N1241,$J1241,$K1241)</f>
        <v>TUBO PEADPEAD63VCAREDESZona11</v>
      </c>
      <c r="AE1241" s="153" t="n">
        <f aca="false">IFERROR(INDEX(APOIO_REDES!$A:$W,MATCH($C1241&amp;$I1241&amp;$H1241&amp;$N1241&amp;$O1241,APOIO_REDES!$W:$W,0),MATCH(AE$5,APOIO_REDES!$5:$5,0)),0)</f>
        <v>1.2</v>
      </c>
      <c r="AF1241" s="153" t="n">
        <f aca="false">IFERROR(INDEX(APOIO_REDES!$A:$W,MATCH($C1241&amp;$I1241&amp;$H1241&amp;$N1241&amp;$O1241,APOIO_REDES!$W:$W,0),MATCH(AF$5,APOIO_REDES!$5:$5,0)),0)</f>
        <v>1.363</v>
      </c>
      <c r="AG1241" s="153" t="n">
        <f aca="false">IFERROR(INDEX(APOIO_REDES!$A:$W,MATCH($C1241&amp;$I1241&amp;$H1241&amp;$N1241&amp;$O1241,APOIO_REDES!$W:$W,0),MATCH(AG$5,APOIO_REDES!$5:$5,0)),0)</f>
        <v>0.65</v>
      </c>
      <c r="AH1241" s="153" t="n">
        <f aca="false">IFERROR(INDEX(APOIO_REDES!$A:$W,MATCH($C1241&amp;$I1241&amp;$H1241&amp;$N1241&amp;$O1241,APOIO_REDES!$W:$W,0),MATCH(AH$5,APOIO_REDES!$5:$5,0)),0)</f>
        <v>0.1</v>
      </c>
      <c r="AI1241" s="153" t="n">
        <f aca="false">IFERROR(IF($H1241&lt;&gt;"",(((($H1241/1000)/2)^2)*PI()*$M1241),0),0)</f>
        <v>0.145575356001493</v>
      </c>
      <c r="AJ1241" s="153" t="n">
        <f aca="false">IFERROR(IF(AND($H1241&lt;&gt;"",$I1241="FoFo",OR($N1241="MND",$N1241="VCA"),$Q1241="LINEAR"),0,IF(AND($H1241&lt;&gt;"",$I1241="PEAD",$N1241="VCA",$Q1241="LINEAR"),($H1241/1000)+0.3,IF(AND($H1241&lt;&gt;"",$I1241="PEAD",$N1241="MND",$Q1241="EMBOQUE"),0,IF(AND($H1241&lt;&gt;"",$I1241="PVC",$N1241="VCA",$Q1241="LINEAR"),($H1241/1000)+0.2,IF(AND($H1241&lt;&gt;"",$I1241="PVC",$N1241="MND",$Q1241="EMBOQUE"),0,IF(AND($H1241&lt;&gt;"",$I1241="PEAD",$N1241="VCA",$Q1241="PREDIAL"),0,0)))))),0)</f>
        <v>0.363</v>
      </c>
      <c r="AK1241" s="153" t="n">
        <f aca="false">IF(AA1241&lt;&gt;"",AA1241,0)</f>
        <v>3.9</v>
      </c>
      <c r="AL1241" s="153" t="n">
        <f aca="false">IF(AND($N1241="MND",$Q1241="EMBOQUE"),$M1241,IF(AND($N1241="VCA",$Q1241="LINEAR"),$M1241,IF(AND($N1241="VCA",$Q1241="PREDIAL"),0,0)))</f>
        <v>46.7</v>
      </c>
      <c r="AM1241" s="153" t="n">
        <f aca="false">IF(AND($N1241="MND",$Q1241="EMBOQUE"),$M1241,IF(AND($N1241="VCA",$Q1241="LINEAR"),$M1241,IF(AND($N1241="VCA",$Q1241="PREDIAL"),0,0)))</f>
        <v>46.7</v>
      </c>
      <c r="AN1241" s="153" t="n">
        <f aca="false">ROUND(IF(AND($N1241="VCA",$M1241&lt;&gt;"",$Q1241="LINEAR"),$M1241/100,IF(AND($N1241="MND",$M1241&gt;100,$Q1241="EMBOQUE"),$M1241/100,0)),0)</f>
        <v>0</v>
      </c>
      <c r="AO1241" s="153" t="n">
        <f aca="false">IF(AND($N1241="MND",$Q1241="EMBOQUE"),$AN1241*2*2,IF(AND($N1241="VCA",$Q1241="LINEAR"),$M1241*2,IF(AND($N1241="VCA",$Q1241="PREDIAL"),0,0)))</f>
        <v>93.4</v>
      </c>
      <c r="AP1241" s="153" t="n">
        <f aca="false">IFERROR($M1241*$AF1241*$AG1241,0)</f>
        <v>41.373865</v>
      </c>
      <c r="AQ1241" s="153" t="n">
        <f aca="false">IFERROR(IF(AND($N1241="VCA",$AH1241&gt;0),$M1241*$AG1241*$AH1241,0),0)</f>
        <v>3.0355</v>
      </c>
      <c r="AR1241" s="153" t="n">
        <f aca="false">IFERROR(IF(AND($N1241="VCA",$AJ1241&gt;0),($M1241*$AG1241*$AJ1241)-$AI1241,0),0)</f>
        <v>10.8732896439985</v>
      </c>
      <c r="AS1241" s="153" t="n">
        <f aca="false">IFERROR(IF(AND($N1241="VCA",$AP1241&gt;0),$AP1241-$AI1241-$AQ1241-$AR1241,0),0)</f>
        <v>27.3195</v>
      </c>
      <c r="AT1241" s="153" t="n">
        <f aca="false">IFERROR(IF($N1241="VCA",INDEX(APOIO_REDES!$A:$W,MATCH($C1241&amp;$I1241&amp;$H1241&amp;$N1241&amp;$O1241,APOIO_REDES!$W:$W,0),MATCH(AT$5,APOIO_REDES!$5:$5,0)),0)*$AP1241,0)</f>
        <v>0.450159897238942</v>
      </c>
      <c r="AU1241" s="153" t="n">
        <f aca="false">IFERROR(IF($N1241="VCA",INDEX(APOIO_REDES!$A:$W,MATCH($C1241&amp;$I1241&amp;$H1241&amp;$N1241&amp;$O1241,APOIO_REDES!$W:$W,0),MATCH(AU$5,APOIO_REDES!$5:$5,0)),0)*$AP1241,0)</f>
        <v>0.359485502058822</v>
      </c>
      <c r="AV1241" s="153" t="n">
        <f aca="false">IFERROR(IF($N1241="VCA",INDEX(APOIO_REDES!$A:$W,MATCH($C1241&amp;$I1241&amp;$H1241&amp;$N1241&amp;$O1241,APOIO_REDES!$W:$W,0),MATCH(AV$5,APOIO_REDES!$5:$5,0)),0)*$AP1241,0)</f>
        <v>0.0497499714131018</v>
      </c>
      <c r="AW1241" s="153" t="n">
        <f aca="false">IFERROR(IF($N1241="VCA",INDEX(APOIO_REDES!$A:$W,MATCH($C1241&amp;$I1241&amp;$H1241&amp;$N1241&amp;$O1241,APOIO_REDES!$W:$W,0),MATCH(AW$5,APOIO_REDES!$5:$5,0)),0)*$AP1241,0)</f>
        <v>28.3993415163496</v>
      </c>
      <c r="AX1241" s="153" t="n">
        <f aca="false">IFERROR(IF($N1241="VCA",INDEX(APOIO_REDES!$A:$W,MATCH($C1241&amp;$I1241&amp;$H1241&amp;$N1241&amp;$O1241,APOIO_REDES!$W:$W,0),MATCH(AX$5,APOIO_REDES!$5:$5,0)),0)*$AP1241,0)</f>
        <v>3.93038796880718</v>
      </c>
      <c r="AY1241" s="153" t="n">
        <f aca="false">IFERROR(IF($N1241="VCA",INDEX(APOIO_REDES!$A:$W,MATCH($C1241&amp;$I1241&amp;$H1241&amp;$N1241&amp;$O1241,APOIO_REDES!$W:$W,0),MATCH(AY$5,APOIO_REDES!$5:$5,0)),0)*$AP1241,0)</f>
        <v>7.18970565907732</v>
      </c>
      <c r="AZ1241" s="153" t="n">
        <f aca="false">IFERROR(IF($N1241="VCA",INDEX(APOIO_REDES!$A:$W,MATCH($C1241&amp;$I1241&amp;$H1241&amp;$N1241&amp;$O1241,APOIO_REDES!$W:$W,0),MATCH(AZ$5,APOIO_REDES!$5:$5,0)),0)*$AP1241,0)</f>
        <v>0.99503448505507</v>
      </c>
      <c r="BA1241" s="153" t="n">
        <f aca="false">IFERROR(IF(AND($N1241="VCA",$Q1241="LINEAR"),INDEX(APOIO_REDES!$A:$W,MATCH($C1241&amp;$I1241&amp;$H1241&amp;$N1241&amp;$O1241,APOIO_REDES!$W:$W,0),MATCH(BA$5,APOIO_REDES!$5:$5,0)),IF(AND($N1241="MND",$Q1241="EMBOQUE"),INDEX(APOIO_REDES!$A:$W,MATCH($C1241&amp;$I1241&amp;$H1241&amp;$N1241&amp;$O1241,APOIO_REDES!$W:$W,0),MATCH(BA$5,APOIO_REDES!$5:$5,0)),0))*$M1241/10,0)</f>
        <v>3.76390220297574</v>
      </c>
      <c r="BB1241" s="153" t="n">
        <f aca="false">IFERROR(IF($N1241="VCA",INDEX(APOIO_REDES!$A:$W,MATCH($C1241&amp;$I1241&amp;$H1241&amp;$N1241&amp;$O1241,APOIO_REDES!$W:$W,0),MATCH(BB$5,APOIO_REDES!$5:$5,0)),0)*($AI1241+$AQ1241+$AR1241),0)</f>
        <v>13.9014493489203</v>
      </c>
      <c r="BC1241" s="153" t="n">
        <f aca="false">IFERROR(IF($N1241="VCA",INDEX(APOIO_REDES!$A:$W,MATCH($C1241&amp;$I1241&amp;$H1241&amp;$N1241&amp;$O1241,APOIO_REDES!$W:$W,0),MATCH(BC$5,APOIO_REDES!$5:$5,0)),0)*($AI1241+$AQ1241+$AR1241),0)</f>
        <v>0.152915651079699</v>
      </c>
      <c r="BD1241" s="153" t="n">
        <f aca="false">IF(AND($N1241="VCA",$AF1241&gt;=1.25,$AF1241&lt;1.5),$M1241*$AF1241*2,0)</f>
        <v>127.3042</v>
      </c>
      <c r="BE1241" s="153" t="n">
        <f aca="false">IF(AND($N1241="VCA",$AF1241&gt;=1.5,$AF1241&lt;3),$M1241*$AF1241*2,0)</f>
        <v>0</v>
      </c>
      <c r="BF1241" s="153" t="n">
        <f aca="false">IF(AND($N1241="VCA",$AF1241&gt;=3),$M1241*$AF1241*2,0)</f>
        <v>0</v>
      </c>
      <c r="BG1241" s="153" t="n">
        <f aca="false">($BB1241+$BC1241)*$AK1241</f>
        <v>54.8120235</v>
      </c>
      <c r="BH1241" s="153" t="n">
        <f aca="false">IF(AND($M1241&lt;&gt;"",$N1241="VCA",$Q1241="LINEAR"),($M1241*2)/100,IF(AND($M1241&lt;&gt;"",$N1241="MND",$Q1241="EMBOQUE"),($AN1241*2)/100,0))</f>
        <v>0.934</v>
      </c>
      <c r="BI1241" s="153" t="n">
        <f aca="false">IF(AND($M1241&lt;&gt;"",$N1241="VCA",$Q1241="LINEAR"),$M1241,IF(AND($M1241&lt;&gt;"",$N1241="MND",$Q1241="EMBOQUE"),$AN1241*2,0))</f>
        <v>46.7</v>
      </c>
      <c r="BJ1241" s="153" t="n">
        <f aca="false">IF(AND($M1241&lt;&gt;"",$N1241="VCA",$Q1241="LINEAR"),($M1241*6.8)/100,IF(AND($M1241&lt;&gt;"",$N1241="MND",$Q1241="EMBOQUE"),($AN1241*2*6.8)/100,0))</f>
        <v>3.1756</v>
      </c>
      <c r="BK1241" s="153" t="n">
        <f aca="false">IF(AND($M1241&lt;&gt;"",$N1241="VCA",$Q1241="LINEAR"),($M1241*2.5)/50,IF(AND($M1241&lt;&gt;"",$N1241="MND",$Q1241="EMBOQUE"),($AN1241*2*2.5)/50,0))</f>
        <v>2.335</v>
      </c>
      <c r="BL1241" s="157" t="str">
        <f aca="false">K1241&amp;J1241</f>
        <v>Zona11REDES</v>
      </c>
      <c r="BM1241" s="152" t="s">
        <v>6084</v>
      </c>
      <c r="BN1241" s="152" t="s">
        <v>1560</v>
      </c>
      <c r="BO1241" s="152" t="s">
        <v>4218</v>
      </c>
      <c r="BP1241" s="152" t="s">
        <v>6239</v>
      </c>
      <c r="BQ1241" s="152" t="s">
        <v>6190</v>
      </c>
      <c r="BR1241" s="152" t="s">
        <v>6240</v>
      </c>
      <c r="BS1241" s="152" t="n">
        <v>203956.824</v>
      </c>
      <c r="BT1241" s="152" t="n">
        <v>8236210.232</v>
      </c>
      <c r="BU1241" s="152" t="n">
        <v>203947.298</v>
      </c>
      <c r="BV1241" s="152" t="n">
        <v>8236254.333</v>
      </c>
      <c r="BW1241" s="152" t="n">
        <v>-15.9355441</v>
      </c>
      <c r="BX1241" s="152" t="n">
        <v>-47.7652032</v>
      </c>
      <c r="BY1241" s="152" t="s">
        <v>6239</v>
      </c>
    </row>
    <row r="1242" customFormat="false" ht="13.8" hidden="false" customHeight="false" outlineLevel="0" collapsed="false">
      <c r="A1242" s="149" t="n">
        <f aca="false">IF(C1242&lt;&gt;"",ROW(A1237),"")</f>
        <v>1237</v>
      </c>
      <c r="B1242" s="150" t="str">
        <f aca="false">HYPERLINK("https://www.google.com/maps/dir/-15.917302,-47.760003/-15.9319660,-47.7567946/data=!4m3!4m2!3e0!5i1")</f>
        <v>https://www.google.com/maps/dir/-15.917302,-47.760003/-15.9319660,-47.7567946/data=!4m3!4m2!3e0!5i1</v>
      </c>
      <c r="C1242" s="151" t="s">
        <v>117</v>
      </c>
      <c r="D1242" s="152" t="s">
        <v>112</v>
      </c>
      <c r="E1242" s="152" t="s">
        <v>113</v>
      </c>
      <c r="F1242" s="152" t="s">
        <v>117</v>
      </c>
      <c r="G1242" s="152" t="s">
        <v>782</v>
      </c>
      <c r="H1242" s="152" t="n">
        <v>63</v>
      </c>
      <c r="I1242" s="152" t="s">
        <v>115</v>
      </c>
      <c r="J1242" s="152" t="s">
        <v>6</v>
      </c>
      <c r="K1242" s="152" t="s">
        <v>6081</v>
      </c>
      <c r="L1242" s="152" t="s">
        <v>120</v>
      </c>
      <c r="M1242" s="153" t="n">
        <f aca="false">8.45+4.02</f>
        <v>12.47</v>
      </c>
      <c r="N1242" s="152" t="s">
        <v>1548</v>
      </c>
      <c r="O1242" s="152" t="s">
        <v>1549</v>
      </c>
      <c r="P1242" s="152" t="s">
        <v>1550</v>
      </c>
      <c r="Q1242" s="152" t="s">
        <v>1551</v>
      </c>
      <c r="R1242" s="154" t="s">
        <v>6241</v>
      </c>
      <c r="S1242" s="154" t="s">
        <v>1553</v>
      </c>
      <c r="T1242" s="155" t="s">
        <v>4723</v>
      </c>
      <c r="U1242" s="152" t="str">
        <f aca="false">RIGHT(T1242,7)</f>
        <v>020/037</v>
      </c>
      <c r="V1242" s="152" t="s">
        <v>1555</v>
      </c>
      <c r="W1242" s="156" t="n">
        <v>45882</v>
      </c>
      <c r="X1242" s="152" t="s">
        <v>3938</v>
      </c>
      <c r="Y1242" s="152"/>
      <c r="Z1242" s="152" t="s">
        <v>1557</v>
      </c>
      <c r="AA1242" s="153" t="n">
        <v>2.8</v>
      </c>
      <c r="AB1242" s="151" t="s">
        <v>6242</v>
      </c>
      <c r="AC1242" s="151" t="s">
        <v>186</v>
      </c>
      <c r="AD1242" s="151" t="str">
        <f aca="false">CONCATENATE($C1242,$I1242,$H1242,$N1242,$J1242,$K1242)</f>
        <v>TUBO PEADPEAD63VCAREDESZona11</v>
      </c>
      <c r="AE1242" s="153" t="n">
        <f aca="false">IFERROR(INDEX(APOIO_REDES!$A:$W,MATCH($C1242&amp;$I1242&amp;$H1242&amp;$N1242&amp;$O1242,APOIO_REDES!$W:$W,0),MATCH(AE$5,APOIO_REDES!$5:$5,0)),0)</f>
        <v>1.2</v>
      </c>
      <c r="AF1242" s="153" t="n">
        <f aca="false">IFERROR(INDEX(APOIO_REDES!$A:$W,MATCH($C1242&amp;$I1242&amp;$H1242&amp;$N1242&amp;$O1242,APOIO_REDES!$W:$W,0),MATCH(AF$5,APOIO_REDES!$5:$5,0)),0)</f>
        <v>1.363</v>
      </c>
      <c r="AG1242" s="153" t="n">
        <f aca="false">IFERROR(INDEX(APOIO_REDES!$A:$W,MATCH($C1242&amp;$I1242&amp;$H1242&amp;$N1242&amp;$O1242,APOIO_REDES!$W:$W,0),MATCH(AG$5,APOIO_REDES!$5:$5,0)),0)</f>
        <v>0.65</v>
      </c>
      <c r="AH1242" s="153" t="n">
        <f aca="false">IFERROR(INDEX(APOIO_REDES!$A:$W,MATCH($C1242&amp;$I1242&amp;$H1242&amp;$N1242&amp;$O1242,APOIO_REDES!$W:$W,0),MATCH(AH$5,APOIO_REDES!$5:$5,0)),0)</f>
        <v>0.1</v>
      </c>
      <c r="AI1242" s="153" t="n">
        <f aca="false">IFERROR(IF($H1242&lt;&gt;"",(((($H1242/1000)/2)^2)*PI()*$M1242),0),0)</f>
        <v>0.0388720490222402</v>
      </c>
      <c r="AJ1242" s="153" t="n">
        <f aca="false">IFERROR(IF(AND($H1242&lt;&gt;"",$I1242="FoFo",OR($N1242="MND",$N1242="VCA"),$Q1242="LINEAR"),0,IF(AND($H1242&lt;&gt;"",$I1242="PEAD",$N1242="VCA",$Q1242="LINEAR"),($H1242/1000)+0.3,IF(AND($H1242&lt;&gt;"",$I1242="PEAD",$N1242="MND",$Q1242="EMBOQUE"),0,IF(AND($H1242&lt;&gt;"",$I1242="PVC",$N1242="VCA",$Q1242="LINEAR"),($H1242/1000)+0.2,IF(AND($H1242&lt;&gt;"",$I1242="PVC",$N1242="MND",$Q1242="EMBOQUE"),0,IF(AND($H1242&lt;&gt;"",$I1242="PEAD",$N1242="VCA",$Q1242="PREDIAL"),0,0)))))),0)</f>
        <v>0.363</v>
      </c>
      <c r="AK1242" s="153" t="n">
        <f aca="false">IF(AA1242&lt;&gt;"",AA1242,0)</f>
        <v>2.8</v>
      </c>
      <c r="AL1242" s="153" t="n">
        <f aca="false">IF(AND($N1242="MND",$Q1242="EMBOQUE"),$M1242,IF(AND($N1242="VCA",$Q1242="LINEAR"),$M1242,IF(AND($N1242="VCA",$Q1242="PREDIAL"),0,0)))</f>
        <v>12.47</v>
      </c>
      <c r="AM1242" s="153" t="n">
        <f aca="false">IF(AND($N1242="MND",$Q1242="EMBOQUE"),$M1242,IF(AND($N1242="VCA",$Q1242="LINEAR"),$M1242,IF(AND($N1242="VCA",$Q1242="PREDIAL"),0,0)))</f>
        <v>12.47</v>
      </c>
      <c r="AN1242" s="153" t="n">
        <f aca="false">ROUND(IF(AND($N1242="VCA",$M1242&lt;&gt;"",$Q1242="LINEAR"),$M1242/100,IF(AND($N1242="MND",$M1242&gt;100,$Q1242="EMBOQUE"),$M1242/100,0)),0)</f>
        <v>0</v>
      </c>
      <c r="AO1242" s="153" t="n">
        <f aca="false">IF(AND($N1242="MND",$Q1242="EMBOQUE"),$AN1242*2*2,IF(AND($N1242="VCA",$Q1242="LINEAR"),$M1242*2,IF(AND($N1242="VCA",$Q1242="PREDIAL"),0,0)))</f>
        <v>24.94</v>
      </c>
      <c r="AP1242" s="153" t="n">
        <f aca="false">IFERROR($M1242*$AF1242*$AG1242,0)</f>
        <v>11.0477965</v>
      </c>
      <c r="AQ1242" s="153" t="n">
        <f aca="false">IFERROR(IF(AND($N1242="VCA",$AH1242&gt;0),$M1242*$AG1242*$AH1242,0),0)</f>
        <v>0.81055</v>
      </c>
      <c r="AR1242" s="153" t="n">
        <f aca="false">IFERROR(IF(AND($N1242="VCA",$AJ1242&gt;0),($M1242*$AG1242*$AJ1242)-$AI1242,0),0)</f>
        <v>2.90342445097776</v>
      </c>
      <c r="AS1242" s="153" t="n">
        <f aca="false">IFERROR(IF(AND($N1242="VCA",$AP1242&gt;0),$AP1242-$AI1242-$AQ1242-$AR1242,0),0)</f>
        <v>7.29495</v>
      </c>
      <c r="AT1242" s="153" t="n">
        <f aca="false">IFERROR(IF($N1242="VCA",INDEX(APOIO_REDES!$A:$W,MATCH($C1242&amp;$I1242&amp;$H1242&amp;$N1242&amp;$O1242,APOIO_REDES!$W:$W,0),MATCH(AT$5,APOIO_REDES!$5:$5,0)),0)*$AP1242,0)</f>
        <v>0.120203295900848</v>
      </c>
      <c r="AU1242" s="153" t="n">
        <f aca="false">IFERROR(IF($N1242="VCA",INDEX(APOIO_REDES!$A:$W,MATCH($C1242&amp;$I1242&amp;$H1242&amp;$N1242&amp;$O1242,APOIO_REDES!$W:$W,0),MATCH(AU$5,APOIO_REDES!$5:$5,0)),0)*$AP1242,0)</f>
        <v>0.0959910965882979</v>
      </c>
      <c r="AV1242" s="153" t="n">
        <f aca="false">IFERROR(IF($N1242="VCA",INDEX(APOIO_REDES!$A:$W,MATCH($C1242&amp;$I1242&amp;$H1242&amp;$N1242&amp;$O1242,APOIO_REDES!$W:$W,0),MATCH(AV$5,APOIO_REDES!$5:$5,0)),0)*$AP1242,0)</f>
        <v>0.0132844142081666</v>
      </c>
      <c r="AW1242" s="153" t="n">
        <f aca="false">IFERROR(IF($N1242="VCA",INDEX(APOIO_REDES!$A:$W,MATCH($C1242&amp;$I1242&amp;$H1242&amp;$N1242&amp;$O1242,APOIO_REDES!$W:$W,0),MATCH(AW$5,APOIO_REDES!$5:$5,0)),0)*$AP1242,0)</f>
        <v>7.58329312010448</v>
      </c>
      <c r="AX1242" s="153" t="n">
        <f aca="false">IFERROR(IF($N1242="VCA",INDEX(APOIO_REDES!$A:$W,MATCH($C1242&amp;$I1242&amp;$H1242&amp;$N1242&amp;$O1242,APOIO_REDES!$W:$W,0),MATCH(AX$5,APOIO_REDES!$5:$5,0)),0)*$AP1242,0)</f>
        <v>1.04950616640312</v>
      </c>
      <c r="AY1242" s="153" t="n">
        <f aca="false">IFERROR(IF($N1242="VCA",INDEX(APOIO_REDES!$A:$W,MATCH($C1242&amp;$I1242&amp;$H1242&amp;$N1242&amp;$O1242,APOIO_REDES!$W:$W,0),MATCH(AY$5,APOIO_REDES!$5:$5,0)),0)*$AP1242,0)</f>
        <v>1.91982076164227</v>
      </c>
      <c r="AZ1242" s="153" t="n">
        <f aca="false">IFERROR(IF($N1242="VCA",INDEX(APOIO_REDES!$A:$W,MATCH($C1242&amp;$I1242&amp;$H1242&amp;$N1242&amp;$O1242,APOIO_REDES!$W:$W,0),MATCH(AZ$5,APOIO_REDES!$5:$5,0)),0)*$AP1242,0)</f>
        <v>0.265697645152821</v>
      </c>
      <c r="BA1242" s="153" t="n">
        <f aca="false">IFERROR(IF(AND($N1242="VCA",$Q1242="LINEAR"),INDEX(APOIO_REDES!$A:$W,MATCH($C1242&amp;$I1242&amp;$H1242&amp;$N1242&amp;$O1242,APOIO_REDES!$W:$W,0),MATCH(BA$5,APOIO_REDES!$5:$5,0)),IF(AND($N1242="MND",$Q1242="EMBOQUE"),INDEX(APOIO_REDES!$A:$W,MATCH($C1242&amp;$I1242&amp;$H1242&amp;$N1242&amp;$O1242,APOIO_REDES!$W:$W,0),MATCH(BA$5,APOIO_REDES!$5:$5,0)),0))*$M1242/10,0)</f>
        <v>1.00505054541986</v>
      </c>
      <c r="BB1242" s="153" t="n">
        <f aca="false">IFERROR(IF($N1242="VCA",INDEX(APOIO_REDES!$A:$W,MATCH($C1242&amp;$I1242&amp;$H1242&amp;$N1242&amp;$O1242,APOIO_REDES!$W:$W,0),MATCH(BB$5,APOIO_REDES!$5:$5,0)),0)*($AI1242+$AQ1242+$AR1242),0)</f>
        <v>3.71201441929414</v>
      </c>
      <c r="BC1242" s="153" t="n">
        <f aca="false">IFERROR(IF($N1242="VCA",INDEX(APOIO_REDES!$A:$W,MATCH($C1242&amp;$I1242&amp;$H1242&amp;$N1242&amp;$O1242,APOIO_REDES!$W:$W,0),MATCH(BC$5,APOIO_REDES!$5:$5,0)),0)*($AI1242+$AQ1242+$AR1242),0)</f>
        <v>0.0408320807058641</v>
      </c>
      <c r="BD1242" s="153" t="n">
        <f aca="false">IF(AND($N1242="VCA",$AF1242&gt;=1.25,$AF1242&lt;1.5),$M1242*$AF1242*2,0)</f>
        <v>33.99322</v>
      </c>
      <c r="BE1242" s="153" t="n">
        <f aca="false">IF(AND($N1242="VCA",$AF1242&gt;=1.5,$AF1242&lt;3),$M1242*$AF1242*2,0)</f>
        <v>0</v>
      </c>
      <c r="BF1242" s="153" t="n">
        <f aca="false">IF(AND($N1242="VCA",$AF1242&gt;=3),$M1242*$AF1242*2,0)</f>
        <v>0</v>
      </c>
      <c r="BG1242" s="153" t="n">
        <f aca="false">($BB1242+$BC1242)*$AK1242</f>
        <v>10.5079702</v>
      </c>
      <c r="BH1242" s="153" t="n">
        <f aca="false">IF(AND($M1242&lt;&gt;"",$N1242="VCA",$Q1242="LINEAR"),($M1242*2)/100,IF(AND($M1242&lt;&gt;"",$N1242="MND",$Q1242="EMBOQUE"),($AN1242*2)/100,0))</f>
        <v>0.2494</v>
      </c>
      <c r="BI1242" s="153" t="n">
        <f aca="false">IF(AND($M1242&lt;&gt;"",$N1242="VCA",$Q1242="LINEAR"),$M1242,IF(AND($M1242&lt;&gt;"",$N1242="MND",$Q1242="EMBOQUE"),$AN1242*2,0))</f>
        <v>12.47</v>
      </c>
      <c r="BJ1242" s="153" t="n">
        <f aca="false">IF(AND($M1242&lt;&gt;"",$N1242="VCA",$Q1242="LINEAR"),($M1242*6.8)/100,IF(AND($M1242&lt;&gt;"",$N1242="MND",$Q1242="EMBOQUE"),($AN1242*2*6.8)/100,0))</f>
        <v>0.84796</v>
      </c>
      <c r="BK1242" s="153" t="n">
        <f aca="false">IF(AND($M1242&lt;&gt;"",$N1242="VCA",$Q1242="LINEAR"),($M1242*2.5)/50,IF(AND($M1242&lt;&gt;"",$N1242="MND",$Q1242="EMBOQUE"),($AN1242*2*2.5)/50,0))</f>
        <v>0.6235</v>
      </c>
      <c r="BL1242" s="157" t="str">
        <f aca="false">K1242&amp;J1242</f>
        <v>Zona11REDES</v>
      </c>
      <c r="BM1242" s="152" t="s">
        <v>6084</v>
      </c>
      <c r="BN1242" s="152" t="s">
        <v>1560</v>
      </c>
      <c r="BO1242" s="152" t="s">
        <v>4725</v>
      </c>
      <c r="BP1242" s="152" t="s">
        <v>6243</v>
      </c>
      <c r="BQ1242" s="152" t="s">
        <v>2232</v>
      </c>
      <c r="BR1242" s="152" t="s">
        <v>6244</v>
      </c>
      <c r="BS1242" s="152" t="n">
        <v>204849.228</v>
      </c>
      <c r="BT1242" s="152" t="n">
        <v>8236639.964</v>
      </c>
      <c r="BU1242" s="152" t="n">
        <v>204851.805</v>
      </c>
      <c r="BV1242" s="152" t="n">
        <v>8236631.923</v>
      </c>
      <c r="BW1242" s="152" t="n">
        <v>-15.9320022</v>
      </c>
      <c r="BX1242" s="152" t="n">
        <v>-47.7567822</v>
      </c>
      <c r="BY1242" s="152" t="s">
        <v>6243</v>
      </c>
    </row>
    <row r="1243" customFormat="false" ht="13.8" hidden="false" customHeight="false" outlineLevel="0" collapsed="false">
      <c r="A1243" s="149" t="n">
        <f aca="false">IF(C1243&lt;&gt;"",ROW(A1238),"")</f>
        <v>1238</v>
      </c>
      <c r="B1243" s="150" t="str">
        <f aca="false">HYPERLINK("https://www.google.com/maps/dir/-15.917302,-47.760003/-15.9315639,-47.7573508/data=!4m3!4m2!3e0!5i1")</f>
        <v>https://www.google.com/maps/dir/-15.917302,-47.760003/-15.9315639,-47.7573508/data=!4m3!4m2!3e0!5i1</v>
      </c>
      <c r="C1243" s="151" t="s">
        <v>117</v>
      </c>
      <c r="D1243" s="152" t="s">
        <v>112</v>
      </c>
      <c r="E1243" s="152" t="s">
        <v>113</v>
      </c>
      <c r="F1243" s="152" t="s">
        <v>117</v>
      </c>
      <c r="G1243" s="152" t="s">
        <v>782</v>
      </c>
      <c r="H1243" s="152" t="n">
        <v>63</v>
      </c>
      <c r="I1243" s="152" t="s">
        <v>115</v>
      </c>
      <c r="J1243" s="152" t="s">
        <v>6</v>
      </c>
      <c r="K1243" s="152" t="s">
        <v>6081</v>
      </c>
      <c r="L1243" s="152" t="s">
        <v>120</v>
      </c>
      <c r="M1243" s="153" t="n">
        <f aca="false">113.39+0.11</f>
        <v>113.5</v>
      </c>
      <c r="N1243" s="152" t="s">
        <v>1548</v>
      </c>
      <c r="O1243" s="152" t="s">
        <v>1549</v>
      </c>
      <c r="P1243" s="152" t="s">
        <v>1550</v>
      </c>
      <c r="Q1243" s="152" t="s">
        <v>1551</v>
      </c>
      <c r="R1243" s="154" t="s">
        <v>6245</v>
      </c>
      <c r="S1243" s="154" t="s">
        <v>1553</v>
      </c>
      <c r="T1243" s="155" t="s">
        <v>4723</v>
      </c>
      <c r="U1243" s="152" t="str">
        <f aca="false">RIGHT(T1243,7)</f>
        <v>020/037</v>
      </c>
      <c r="V1243" s="152" t="s">
        <v>1555</v>
      </c>
      <c r="W1243" s="156" t="n">
        <v>45882</v>
      </c>
      <c r="X1243" s="152" t="s">
        <v>1594</v>
      </c>
      <c r="Y1243" s="152" t="s">
        <v>4738</v>
      </c>
      <c r="Z1243" s="152" t="s">
        <v>1557</v>
      </c>
      <c r="AA1243" s="153" t="n">
        <v>2.8</v>
      </c>
      <c r="AB1243" s="151" t="s">
        <v>6246</v>
      </c>
      <c r="AC1243" s="151" t="s">
        <v>186</v>
      </c>
      <c r="AD1243" s="151" t="str">
        <f aca="false">CONCATENATE($C1243,$I1243,$H1243,$N1243,$J1243,$K1243)</f>
        <v>TUBO PEADPEAD63VCAREDESZona11</v>
      </c>
      <c r="AE1243" s="153" t="n">
        <f aca="false">IFERROR(INDEX(APOIO_REDES!$A:$W,MATCH($C1243&amp;$I1243&amp;$H1243&amp;$N1243&amp;$O1243,APOIO_REDES!$W:$W,0),MATCH(AE$5,APOIO_REDES!$5:$5,0)),0)</f>
        <v>1.2</v>
      </c>
      <c r="AF1243" s="153" t="n">
        <f aca="false">IFERROR(INDEX(APOIO_REDES!$A:$W,MATCH($C1243&amp;$I1243&amp;$H1243&amp;$N1243&amp;$O1243,APOIO_REDES!$W:$W,0),MATCH(AF$5,APOIO_REDES!$5:$5,0)),0)</f>
        <v>1.363</v>
      </c>
      <c r="AG1243" s="153" t="n">
        <f aca="false">IFERROR(INDEX(APOIO_REDES!$A:$W,MATCH($C1243&amp;$I1243&amp;$H1243&amp;$N1243&amp;$O1243,APOIO_REDES!$W:$W,0),MATCH(AG$5,APOIO_REDES!$5:$5,0)),0)</f>
        <v>0.65</v>
      </c>
      <c r="AH1243" s="153" t="n">
        <f aca="false">IFERROR(INDEX(APOIO_REDES!$A:$W,MATCH($C1243&amp;$I1243&amp;$H1243&amp;$N1243&amp;$O1243,APOIO_REDES!$W:$W,0),MATCH(AH$5,APOIO_REDES!$5:$5,0)),0)</f>
        <v>0.1</v>
      </c>
      <c r="AI1243" s="153" t="n">
        <f aca="false">IFERROR(IF($H1243&lt;&gt;"",(((($H1243/1000)/2)^2)*PI()*$M1243),0),0)</f>
        <v>0.353807342744528</v>
      </c>
      <c r="AJ1243" s="153" t="n">
        <f aca="false">IFERROR(IF(AND($H1243&lt;&gt;"",$I1243="FoFo",OR($N1243="MND",$N1243="VCA"),$Q1243="LINEAR"),0,IF(AND($H1243&lt;&gt;"",$I1243="PEAD",$N1243="VCA",$Q1243="LINEAR"),($H1243/1000)+0.3,IF(AND($H1243&lt;&gt;"",$I1243="PEAD",$N1243="MND",$Q1243="EMBOQUE"),0,IF(AND($H1243&lt;&gt;"",$I1243="PVC",$N1243="VCA",$Q1243="LINEAR"),($H1243/1000)+0.2,IF(AND($H1243&lt;&gt;"",$I1243="PVC",$N1243="MND",$Q1243="EMBOQUE"),0,IF(AND($H1243&lt;&gt;"",$I1243="PEAD",$N1243="VCA",$Q1243="PREDIAL"),0,0)))))),0)</f>
        <v>0.363</v>
      </c>
      <c r="AK1243" s="153" t="n">
        <f aca="false">IF(AA1243&lt;&gt;"",AA1243,0)</f>
        <v>2.8</v>
      </c>
      <c r="AL1243" s="153" t="n">
        <f aca="false">IF(AND($N1243="MND",$Q1243="EMBOQUE"),$M1243,IF(AND($N1243="VCA",$Q1243="LINEAR"),$M1243,IF(AND($N1243="VCA",$Q1243="PREDIAL"),0,0)))</f>
        <v>113.5</v>
      </c>
      <c r="AM1243" s="153" t="n">
        <f aca="false">IF(AND($N1243="MND",$Q1243="EMBOQUE"),$M1243,IF(AND($N1243="VCA",$Q1243="LINEAR"),$M1243,IF(AND($N1243="VCA",$Q1243="PREDIAL"),0,0)))</f>
        <v>113.5</v>
      </c>
      <c r="AN1243" s="153" t="n">
        <f aca="false">ROUND(IF(AND($N1243="VCA",$M1243&lt;&gt;"",$Q1243="LINEAR"),$M1243/100,IF(AND($N1243="MND",$M1243&gt;100,$Q1243="EMBOQUE"),$M1243/100,0)),0)</f>
        <v>1</v>
      </c>
      <c r="AO1243" s="153" t="n">
        <f aca="false">IF(AND($N1243="MND",$Q1243="EMBOQUE"),$AN1243*2*2,IF(AND($N1243="VCA",$Q1243="LINEAR"),$M1243*2,IF(AND($N1243="VCA",$Q1243="PREDIAL"),0,0)))</f>
        <v>227</v>
      </c>
      <c r="AP1243" s="153" t="n">
        <f aca="false">IFERROR($M1243*$AF1243*$AG1243,0)</f>
        <v>100.555325</v>
      </c>
      <c r="AQ1243" s="153" t="n">
        <f aca="false">IFERROR(IF(AND($N1243="VCA",$AH1243&gt;0),$M1243*$AG1243*$AH1243,0),0)</f>
        <v>7.3775</v>
      </c>
      <c r="AR1243" s="153" t="n">
        <f aca="false">IFERROR(IF(AND($N1243="VCA",$AJ1243&gt;0),($M1243*$AG1243*$AJ1243)-$AI1243,0),0)</f>
        <v>26.4265176572555</v>
      </c>
      <c r="AS1243" s="153" t="n">
        <f aca="false">IFERROR(IF(AND($N1243="VCA",$AP1243&gt;0),$AP1243-$AI1243-$AQ1243-$AR1243,0),0)</f>
        <v>66.3975</v>
      </c>
      <c r="AT1243" s="153" t="n">
        <f aca="false">IFERROR(IF($N1243="VCA",INDEX(APOIO_REDES!$A:$W,MATCH($C1243&amp;$I1243&amp;$H1243&amp;$N1243&amp;$O1243,APOIO_REDES!$W:$W,0),MATCH(AT$5,APOIO_REDES!$5:$5,0)),0)*$AP1243,0)</f>
        <v>1.09407169885696</v>
      </c>
      <c r="AU1243" s="153" t="n">
        <f aca="false">IFERROR(IF($N1243="VCA",INDEX(APOIO_REDES!$A:$W,MATCH($C1243&amp;$I1243&amp;$H1243&amp;$N1243&amp;$O1243,APOIO_REDES!$W:$W,0),MATCH(AU$5,APOIO_REDES!$5:$5,0)),0)*$AP1243,0)</f>
        <v>0.873696027487716</v>
      </c>
      <c r="AV1243" s="153" t="n">
        <f aca="false">IFERROR(IF($N1243="VCA",INDEX(APOIO_REDES!$A:$W,MATCH($C1243&amp;$I1243&amp;$H1243&amp;$N1243&amp;$O1243,APOIO_REDES!$W:$W,0),MATCH(AV$5,APOIO_REDES!$5:$5,0)),0)*$AP1243,0)</f>
        <v>0.120912671421564</v>
      </c>
      <c r="AW1243" s="153" t="n">
        <f aca="false">IFERROR(IF($N1243="VCA",INDEX(APOIO_REDES!$A:$W,MATCH($C1243&amp;$I1243&amp;$H1243&amp;$N1243&amp;$O1243,APOIO_REDES!$W:$W,0),MATCH(AW$5,APOIO_REDES!$5:$5,0)),0)*$AP1243,0)</f>
        <v>69.0219542206783</v>
      </c>
      <c r="AX1243" s="153" t="n">
        <f aca="false">IFERROR(IF($N1243="VCA",INDEX(APOIO_REDES!$A:$W,MATCH($C1243&amp;$I1243&amp;$H1243&amp;$N1243&amp;$O1243,APOIO_REDES!$W:$W,0),MATCH(AX$5,APOIO_REDES!$5:$5,0)),0)*$AP1243,0)</f>
        <v>9.55244185138361</v>
      </c>
      <c r="AY1243" s="153" t="n">
        <f aca="false">IFERROR(IF($N1243="VCA",INDEX(APOIO_REDES!$A:$W,MATCH($C1243&amp;$I1243&amp;$H1243&amp;$N1243&amp;$O1243,APOIO_REDES!$W:$W,0),MATCH(AY$5,APOIO_REDES!$5:$5,0)),0)*$AP1243,0)</f>
        <v>17.4739098994706</v>
      </c>
      <c r="AZ1243" s="153" t="n">
        <f aca="false">IFERROR(IF($N1243="VCA",INDEX(APOIO_REDES!$A:$W,MATCH($C1243&amp;$I1243&amp;$H1243&amp;$N1243&amp;$O1243,APOIO_REDES!$W:$W,0),MATCH(AZ$5,APOIO_REDES!$5:$5,0)),0)*$AP1243,0)</f>
        <v>2.41833863070129</v>
      </c>
      <c r="BA1243" s="153" t="n">
        <f aca="false">IFERROR(IF(AND($N1243="VCA",$Q1243="LINEAR"),INDEX(APOIO_REDES!$A:$W,MATCH($C1243&amp;$I1243&amp;$H1243&amp;$N1243&amp;$O1243,APOIO_REDES!$W:$W,0),MATCH(BA$5,APOIO_REDES!$5:$5,0)),IF(AND($N1243="MND",$Q1243="EMBOQUE"),INDEX(APOIO_REDES!$A:$W,MATCH($C1243&amp;$I1243&amp;$H1243&amp;$N1243&amp;$O1243,APOIO_REDES!$W:$W,0),MATCH(BA$5,APOIO_REDES!$5:$5,0)),0))*$M1243/10,0)</f>
        <v>9.14781370530506</v>
      </c>
      <c r="BB1243" s="153" t="n">
        <f aca="false">IFERROR(IF($N1243="VCA",INDEX(APOIO_REDES!$A:$W,MATCH($C1243&amp;$I1243&amp;$H1243&amp;$N1243&amp;$O1243,APOIO_REDES!$W:$W,0),MATCH(BB$5,APOIO_REDES!$5:$5,0)),0)*($AI1243+$AQ1243+$AR1243),0)</f>
        <v>33.7861777537999</v>
      </c>
      <c r="BC1243" s="153" t="n">
        <f aca="false">IFERROR(IF($N1243="VCA",INDEX(APOIO_REDES!$A:$W,MATCH($C1243&amp;$I1243&amp;$H1243&amp;$N1243&amp;$O1243,APOIO_REDES!$W:$W,0),MATCH(BC$5,APOIO_REDES!$5:$5,0)),0)*($AI1243+$AQ1243+$AR1243),0)</f>
        <v>0.371647246200126</v>
      </c>
      <c r="BD1243" s="153" t="n">
        <f aca="false">IF(AND($N1243="VCA",$AF1243&gt;=1.25,$AF1243&lt;1.5),$M1243*$AF1243*2,0)</f>
        <v>309.401</v>
      </c>
      <c r="BE1243" s="153" t="n">
        <f aca="false">IF(AND($N1243="VCA",$AF1243&gt;=1.5,$AF1243&lt;3),$M1243*$AF1243*2,0)</f>
        <v>0</v>
      </c>
      <c r="BF1243" s="153" t="n">
        <f aca="false">IF(AND($N1243="VCA",$AF1243&gt;=3),$M1243*$AF1243*2,0)</f>
        <v>0</v>
      </c>
      <c r="BG1243" s="153" t="n">
        <f aca="false">($BB1243+$BC1243)*$AK1243</f>
        <v>95.64191</v>
      </c>
      <c r="BH1243" s="153" t="n">
        <f aca="false">IF(AND($M1243&lt;&gt;"",$N1243="VCA",$Q1243="LINEAR"),($M1243*2)/100,IF(AND($M1243&lt;&gt;"",$N1243="MND",$Q1243="EMBOQUE"),($AN1243*2)/100,0))</f>
        <v>2.27</v>
      </c>
      <c r="BI1243" s="153" t="n">
        <f aca="false">IF(AND($M1243&lt;&gt;"",$N1243="VCA",$Q1243="LINEAR"),$M1243,IF(AND($M1243&lt;&gt;"",$N1243="MND",$Q1243="EMBOQUE"),$AN1243*2,0))</f>
        <v>113.5</v>
      </c>
      <c r="BJ1243" s="153" t="n">
        <f aca="false">IF(AND($M1243&lt;&gt;"",$N1243="VCA",$Q1243="LINEAR"),($M1243*6.8)/100,IF(AND($M1243&lt;&gt;"",$N1243="MND",$Q1243="EMBOQUE"),($AN1243*2*6.8)/100,0))</f>
        <v>7.718</v>
      </c>
      <c r="BK1243" s="153" t="n">
        <f aca="false">IF(AND($M1243&lt;&gt;"",$N1243="VCA",$Q1243="LINEAR"),($M1243*2.5)/50,IF(AND($M1243&lt;&gt;"",$N1243="MND",$Q1243="EMBOQUE"),($AN1243*2*2.5)/50,0))</f>
        <v>5.675</v>
      </c>
      <c r="BL1243" s="157" t="str">
        <f aca="false">K1243&amp;J1243</f>
        <v>Zona11REDES</v>
      </c>
      <c r="BM1243" s="152" t="s">
        <v>6084</v>
      </c>
      <c r="BN1243" s="152" t="s">
        <v>1560</v>
      </c>
      <c r="BO1243" s="152" t="s">
        <v>4725</v>
      </c>
      <c r="BP1243" s="152" t="s">
        <v>6247</v>
      </c>
      <c r="BQ1243" s="152" t="s">
        <v>6248</v>
      </c>
      <c r="BR1243" s="152" t="s">
        <v>6249</v>
      </c>
      <c r="BS1243" s="152" t="n">
        <v>204789.049</v>
      </c>
      <c r="BT1243" s="152" t="n">
        <v>8236682.943</v>
      </c>
      <c r="BU1243" s="152" t="n">
        <v>204821.322</v>
      </c>
      <c r="BV1243" s="152" t="n">
        <v>8236574.55</v>
      </c>
      <c r="BW1243" s="152" t="n">
        <v>-15.9320683</v>
      </c>
      <c r="BX1243" s="152" t="n">
        <v>-47.7572275</v>
      </c>
      <c r="BY1243" s="152" t="s">
        <v>6247</v>
      </c>
    </row>
    <row r="1244" customFormat="false" ht="13.8" hidden="false" customHeight="false" outlineLevel="0" collapsed="false">
      <c r="A1244" s="149" t="n">
        <f aca="false">IF(C1244&lt;&gt;"",ROW(A1239),"")</f>
        <v>1239</v>
      </c>
      <c r="B1244" s="150" t="str">
        <f aca="false">HYPERLINK("https://www.google.com/maps/dir/-15.917302,-47.760003/-15.9323572,-47.7566769/data=!4m3!4m2!3e0!5i1")</f>
        <v>https://www.google.com/maps/dir/-15.917302,-47.760003/-15.9323572,-47.7566769/data=!4m3!4m2!3e0!5i1</v>
      </c>
      <c r="C1244" s="151" t="s">
        <v>117</v>
      </c>
      <c r="D1244" s="152" t="s">
        <v>112</v>
      </c>
      <c r="E1244" s="152" t="s">
        <v>113</v>
      </c>
      <c r="F1244" s="152" t="s">
        <v>117</v>
      </c>
      <c r="G1244" s="152" t="s">
        <v>782</v>
      </c>
      <c r="H1244" s="152" t="n">
        <v>63</v>
      </c>
      <c r="I1244" s="152" t="s">
        <v>115</v>
      </c>
      <c r="J1244" s="152" t="s">
        <v>6</v>
      </c>
      <c r="K1244" s="152" t="s">
        <v>6081</v>
      </c>
      <c r="L1244" s="152" t="s">
        <v>120</v>
      </c>
      <c r="M1244" s="153" t="n">
        <f aca="false">36.62</f>
        <v>36.62</v>
      </c>
      <c r="N1244" s="152" t="s">
        <v>1548</v>
      </c>
      <c r="O1244" s="152" t="s">
        <v>1549</v>
      </c>
      <c r="P1244" s="152" t="s">
        <v>1550</v>
      </c>
      <c r="Q1244" s="152" t="s">
        <v>1551</v>
      </c>
      <c r="R1244" s="154" t="s">
        <v>6250</v>
      </c>
      <c r="S1244" s="154" t="s">
        <v>1553</v>
      </c>
      <c r="T1244" s="155" t="s">
        <v>4723</v>
      </c>
      <c r="U1244" s="152" t="str">
        <f aca="false">RIGHT(T1244,7)</f>
        <v>020/037</v>
      </c>
      <c r="V1244" s="152" t="s">
        <v>1555</v>
      </c>
      <c r="W1244" s="156" t="n">
        <v>45882</v>
      </c>
      <c r="X1244" s="152" t="s">
        <v>1594</v>
      </c>
      <c r="Y1244" s="152" t="s">
        <v>6251</v>
      </c>
      <c r="Z1244" s="152" t="s">
        <v>1557</v>
      </c>
      <c r="AA1244" s="153" t="n">
        <v>2.9</v>
      </c>
      <c r="AB1244" s="151" t="s">
        <v>6252</v>
      </c>
      <c r="AC1244" s="151" t="s">
        <v>186</v>
      </c>
      <c r="AD1244" s="151" t="str">
        <f aca="false">CONCATENATE($C1244,$I1244,$H1244,$N1244,$J1244,$K1244)</f>
        <v>TUBO PEADPEAD63VCAREDESZona11</v>
      </c>
      <c r="AE1244" s="153" t="n">
        <f aca="false">IFERROR(INDEX(APOIO_REDES!$A:$W,MATCH($C1244&amp;$I1244&amp;$H1244&amp;$N1244&amp;$O1244,APOIO_REDES!$W:$W,0),MATCH(AE$5,APOIO_REDES!$5:$5,0)),0)</f>
        <v>1.2</v>
      </c>
      <c r="AF1244" s="153" t="n">
        <f aca="false">IFERROR(INDEX(APOIO_REDES!$A:$W,MATCH($C1244&amp;$I1244&amp;$H1244&amp;$N1244&amp;$O1244,APOIO_REDES!$W:$W,0),MATCH(AF$5,APOIO_REDES!$5:$5,0)),0)</f>
        <v>1.363</v>
      </c>
      <c r="AG1244" s="153" t="n">
        <f aca="false">IFERROR(INDEX(APOIO_REDES!$A:$W,MATCH($C1244&amp;$I1244&amp;$H1244&amp;$N1244&amp;$O1244,APOIO_REDES!$W:$W,0),MATCH(AG$5,APOIO_REDES!$5:$5,0)),0)</f>
        <v>0.65</v>
      </c>
      <c r="AH1244" s="153" t="n">
        <f aca="false">IFERROR(INDEX(APOIO_REDES!$A:$W,MATCH($C1244&amp;$I1244&amp;$H1244&amp;$N1244&amp;$O1244,APOIO_REDES!$W:$W,0),MATCH(AH$5,APOIO_REDES!$5:$5,0)),0)</f>
        <v>0.1</v>
      </c>
      <c r="AI1244" s="153" t="n">
        <f aca="false">IFERROR(IF($H1244&lt;&gt;"",(((($H1244/1000)/2)^2)*PI()*$M1244),0),0)</f>
        <v>0.114153523271406</v>
      </c>
      <c r="AJ1244" s="153" t="n">
        <f aca="false">IFERROR(IF(AND($H1244&lt;&gt;"",$I1244="FoFo",OR($N1244="MND",$N1244="VCA"),$Q1244="LINEAR"),0,IF(AND($H1244&lt;&gt;"",$I1244="PEAD",$N1244="VCA",$Q1244="LINEAR"),($H1244/1000)+0.3,IF(AND($H1244&lt;&gt;"",$I1244="PEAD",$N1244="MND",$Q1244="EMBOQUE"),0,IF(AND($H1244&lt;&gt;"",$I1244="PVC",$N1244="VCA",$Q1244="LINEAR"),($H1244/1000)+0.2,IF(AND($H1244&lt;&gt;"",$I1244="PVC",$N1244="MND",$Q1244="EMBOQUE"),0,IF(AND($H1244&lt;&gt;"",$I1244="PEAD",$N1244="VCA",$Q1244="PREDIAL"),0,0)))))),0)</f>
        <v>0.363</v>
      </c>
      <c r="AK1244" s="153" t="n">
        <f aca="false">IF(AA1244&lt;&gt;"",AA1244,0)</f>
        <v>2.9</v>
      </c>
      <c r="AL1244" s="153" t="n">
        <f aca="false">IF(AND($N1244="MND",$Q1244="EMBOQUE"),$M1244,IF(AND($N1244="VCA",$Q1244="LINEAR"),$M1244,IF(AND($N1244="VCA",$Q1244="PREDIAL"),0,0)))</f>
        <v>36.62</v>
      </c>
      <c r="AM1244" s="153" t="n">
        <f aca="false">IF(AND($N1244="MND",$Q1244="EMBOQUE"),$M1244,IF(AND($N1244="VCA",$Q1244="LINEAR"),$M1244,IF(AND($N1244="VCA",$Q1244="PREDIAL"),0,0)))</f>
        <v>36.62</v>
      </c>
      <c r="AN1244" s="153" t="n">
        <f aca="false">ROUND(IF(AND($N1244="VCA",$M1244&lt;&gt;"",$Q1244="LINEAR"),$M1244/100,IF(AND($N1244="MND",$M1244&gt;100,$Q1244="EMBOQUE"),$M1244/100,0)),0)</f>
        <v>0</v>
      </c>
      <c r="AO1244" s="153" t="n">
        <f aca="false">IF(AND($N1244="MND",$Q1244="EMBOQUE"),$AN1244*2*2,IF(AND($N1244="VCA",$Q1244="LINEAR"),$M1244*2,IF(AND($N1244="VCA",$Q1244="PREDIAL"),0,0)))</f>
        <v>73.24</v>
      </c>
      <c r="AP1244" s="153" t="n">
        <f aca="false">IFERROR($M1244*$AF1244*$AG1244,0)</f>
        <v>32.443489</v>
      </c>
      <c r="AQ1244" s="153" t="n">
        <f aca="false">IFERROR(IF(AND($N1244="VCA",$AH1244&gt;0),$M1244*$AG1244*$AH1244,0),0)</f>
        <v>2.3803</v>
      </c>
      <c r="AR1244" s="153" t="n">
        <f aca="false">IFERROR(IF(AND($N1244="VCA",$AJ1244&gt;0),($M1244*$AG1244*$AJ1244)-$AI1244,0),0)</f>
        <v>8.52633547672859</v>
      </c>
      <c r="AS1244" s="153" t="n">
        <f aca="false">IFERROR(IF(AND($N1244="VCA",$AP1244&gt;0),$AP1244-$AI1244-$AQ1244-$AR1244,0),0)</f>
        <v>21.4227</v>
      </c>
      <c r="AT1244" s="153" t="n">
        <f aca="false">IFERROR(IF($N1244="VCA",INDEX(APOIO_REDES!$A:$W,MATCH($C1244&amp;$I1244&amp;$H1244&amp;$N1244&amp;$O1244,APOIO_REDES!$W:$W,0),MATCH(AT$5,APOIO_REDES!$5:$5,0)),0)*$AP1244,0)</f>
        <v>0.352994763102571</v>
      </c>
      <c r="AU1244" s="153" t="n">
        <f aca="false">IFERROR(IF($N1244="VCA",INDEX(APOIO_REDES!$A:$W,MATCH($C1244&amp;$I1244&amp;$H1244&amp;$N1244&amp;$O1244,APOIO_REDES!$W:$W,0),MATCH(AU$5,APOIO_REDES!$5:$5,0)),0)*$AP1244,0)</f>
        <v>0.281892057503085</v>
      </c>
      <c r="AV1244" s="153" t="n">
        <f aca="false">IFERROR(IF($N1244="VCA",INDEX(APOIO_REDES!$A:$W,MATCH($C1244&amp;$I1244&amp;$H1244&amp;$N1244&amp;$O1244,APOIO_REDES!$W:$W,0),MATCH(AV$5,APOIO_REDES!$5:$5,0)),0)*$AP1244,0)</f>
        <v>0.0390116478190105</v>
      </c>
      <c r="AW1244" s="153" t="n">
        <f aca="false">IFERROR(IF($N1244="VCA",INDEX(APOIO_REDES!$A:$W,MATCH($C1244&amp;$I1244&amp;$H1244&amp;$N1244&amp;$O1244,APOIO_REDES!$W:$W,0),MATCH(AW$5,APOIO_REDES!$5:$5,0)),0)*$AP1244,0)</f>
        <v>22.2694622340197</v>
      </c>
      <c r="AX1244" s="153" t="n">
        <f aca="false">IFERROR(IF($N1244="VCA",INDEX(APOIO_REDES!$A:$W,MATCH($C1244&amp;$I1244&amp;$H1244&amp;$N1244&amp;$O1244,APOIO_REDES!$W:$W,0),MATCH(AX$5,APOIO_REDES!$5:$5,0)),0)*$AP1244,0)</f>
        <v>3.08203013742439</v>
      </c>
      <c r="AY1244" s="153" t="n">
        <f aca="false">IFERROR(IF($N1244="VCA",INDEX(APOIO_REDES!$A:$W,MATCH($C1244&amp;$I1244&amp;$H1244&amp;$N1244&amp;$O1244,APOIO_REDES!$W:$W,0),MATCH(AY$5,APOIO_REDES!$5:$5,0)),0)*$AP1244,0)</f>
        <v>5.63783771382037</v>
      </c>
      <c r="AZ1244" s="153" t="n">
        <f aca="false">IFERROR(IF($N1244="VCA",INDEX(APOIO_REDES!$A:$W,MATCH($C1244&amp;$I1244&amp;$H1244&amp;$N1244&amp;$O1244,APOIO_REDES!$W:$W,0),MATCH(AZ$5,APOIO_REDES!$5:$5,0)),0)*$AP1244,0)</f>
        <v>0.780260446310849</v>
      </c>
      <c r="BA1244" s="153" t="n">
        <f aca="false">IFERROR(IF(AND($N1244="VCA",$Q1244="LINEAR"),INDEX(APOIO_REDES!$A:$W,MATCH($C1244&amp;$I1244&amp;$H1244&amp;$N1244&amp;$O1244,APOIO_REDES!$W:$W,0),MATCH(BA$5,APOIO_REDES!$5:$5,0)),IF(AND($N1244="MND",$Q1244="EMBOQUE"),INDEX(APOIO_REDES!$A:$W,MATCH($C1244&amp;$I1244&amp;$H1244&amp;$N1244&amp;$O1244,APOIO_REDES!$W:$W,0),MATCH(BA$5,APOIO_REDES!$5:$5,0)),0))*$M1244/10,0)</f>
        <v>2.95147962897155</v>
      </c>
      <c r="BB1244" s="153" t="n">
        <f aca="false">IFERROR(IF($N1244="VCA",INDEX(APOIO_REDES!$A:$W,MATCH($C1244&amp;$I1244&amp;$H1244&amp;$N1244&amp;$O1244,APOIO_REDES!$W:$W,0),MATCH(BB$5,APOIO_REDES!$5:$5,0)),0)*($AI1244+$AQ1244+$AR1244),0)</f>
        <v>10.900879553693</v>
      </c>
      <c r="BC1244" s="153" t="n">
        <f aca="false">IFERROR(IF($N1244="VCA",INDEX(APOIO_REDES!$A:$W,MATCH($C1244&amp;$I1244&amp;$H1244&amp;$N1244&amp;$O1244,APOIO_REDES!$W:$W,0),MATCH(BC$5,APOIO_REDES!$5:$5,0)),0)*($AI1244+$AQ1244+$AR1244),0)</f>
        <v>0.119909446307036</v>
      </c>
      <c r="BD1244" s="153" t="n">
        <f aca="false">IF(AND($N1244="VCA",$AF1244&gt;=1.25,$AF1244&lt;1.5),$M1244*$AF1244*2,0)</f>
        <v>99.82612</v>
      </c>
      <c r="BE1244" s="153" t="n">
        <f aca="false">IF(AND($N1244="VCA",$AF1244&gt;=1.5,$AF1244&lt;3),$M1244*$AF1244*2,0)</f>
        <v>0</v>
      </c>
      <c r="BF1244" s="153" t="n">
        <f aca="false">IF(AND($N1244="VCA",$AF1244&gt;=3),$M1244*$AF1244*2,0)</f>
        <v>0</v>
      </c>
      <c r="BG1244" s="153" t="n">
        <f aca="false">($BB1244+$BC1244)*$AK1244</f>
        <v>31.9602881</v>
      </c>
      <c r="BH1244" s="153" t="n">
        <f aca="false">IF(AND($M1244&lt;&gt;"",$N1244="VCA",$Q1244="LINEAR"),($M1244*2)/100,IF(AND($M1244&lt;&gt;"",$N1244="MND",$Q1244="EMBOQUE"),($AN1244*2)/100,0))</f>
        <v>0.7324</v>
      </c>
      <c r="BI1244" s="153" t="n">
        <f aca="false">IF(AND($M1244&lt;&gt;"",$N1244="VCA",$Q1244="LINEAR"),$M1244,IF(AND($M1244&lt;&gt;"",$N1244="MND",$Q1244="EMBOQUE"),$AN1244*2,0))</f>
        <v>36.62</v>
      </c>
      <c r="BJ1244" s="153" t="n">
        <f aca="false">IF(AND($M1244&lt;&gt;"",$N1244="VCA",$Q1244="LINEAR"),($M1244*6.8)/100,IF(AND($M1244&lt;&gt;"",$N1244="MND",$Q1244="EMBOQUE"),($AN1244*2*6.8)/100,0))</f>
        <v>2.49016</v>
      </c>
      <c r="BK1244" s="153" t="n">
        <f aca="false">IF(AND($M1244&lt;&gt;"",$N1244="VCA",$Q1244="LINEAR"),($M1244*2.5)/50,IF(AND($M1244&lt;&gt;"",$N1244="MND",$Q1244="EMBOQUE"),($AN1244*2*2.5)/50,0))</f>
        <v>1.831</v>
      </c>
      <c r="BL1244" s="157" t="str">
        <f aca="false">K1244&amp;J1244</f>
        <v>Zona11REDES</v>
      </c>
      <c r="BM1244" s="152" t="s">
        <v>6084</v>
      </c>
      <c r="BN1244" s="152" t="s">
        <v>1560</v>
      </c>
      <c r="BO1244" s="152" t="s">
        <v>4725</v>
      </c>
      <c r="BP1244" s="152" t="s">
        <v>6253</v>
      </c>
      <c r="BQ1244" s="152" t="s">
        <v>2232</v>
      </c>
      <c r="BR1244" s="152" t="s">
        <v>6254</v>
      </c>
      <c r="BS1244" s="152" t="n">
        <v>204862.405</v>
      </c>
      <c r="BT1244" s="152" t="n">
        <v>8236596.822</v>
      </c>
      <c r="BU1244" s="152" t="n">
        <v>204851.805</v>
      </c>
      <c r="BV1244" s="152" t="n">
        <v>8236631.875</v>
      </c>
      <c r="BW1244" s="152" t="n">
        <v>-15.9321986</v>
      </c>
      <c r="BX1244" s="152" t="n">
        <v>-47.7567254</v>
      </c>
      <c r="BY1244" s="152" t="s">
        <v>6253</v>
      </c>
    </row>
    <row r="1245" customFormat="false" ht="13.8" hidden="false" customHeight="false" outlineLevel="0" collapsed="false">
      <c r="A1245" s="149" t="n">
        <f aca="false">IF(C1245&lt;&gt;"",ROW(A1240),"")</f>
        <v>1240</v>
      </c>
      <c r="B1245" s="150" t="str">
        <f aca="false">HYPERLINK("https://www.google.com/maps/dir/-15.917302,-47.760003/-15.9330638,-47.7581687/data=!4m3!4m2!3e0!5i2")</f>
        <v>https://www.google.com/maps/dir/-15.917302,-47.760003/-15.9330638,-47.7581687/data=!4m3!4m2!3e0!5i2</v>
      </c>
      <c r="C1245" s="151" t="s">
        <v>117</v>
      </c>
      <c r="D1245" s="152" t="s">
        <v>112</v>
      </c>
      <c r="E1245" s="152" t="s">
        <v>113</v>
      </c>
      <c r="F1245" s="152" t="s">
        <v>117</v>
      </c>
      <c r="G1245" s="152" t="s">
        <v>782</v>
      </c>
      <c r="H1245" s="152" t="n">
        <v>63</v>
      </c>
      <c r="I1245" s="152" t="s">
        <v>115</v>
      </c>
      <c r="J1245" s="152" t="s">
        <v>6</v>
      </c>
      <c r="K1245" s="152" t="s">
        <v>6081</v>
      </c>
      <c r="L1245" s="152" t="s">
        <v>120</v>
      </c>
      <c r="M1245" s="153" t="n">
        <f aca="false">165.77+4.03</f>
        <v>169.8</v>
      </c>
      <c r="N1245" s="152" t="s">
        <v>1548</v>
      </c>
      <c r="O1245" s="152" t="s">
        <v>1549</v>
      </c>
      <c r="P1245" s="152" t="s">
        <v>1550</v>
      </c>
      <c r="Q1245" s="152" t="s">
        <v>1551</v>
      </c>
      <c r="R1245" s="154" t="s">
        <v>6255</v>
      </c>
      <c r="S1245" s="154" t="s">
        <v>1553</v>
      </c>
      <c r="T1245" s="155" t="s">
        <v>4723</v>
      </c>
      <c r="U1245" s="152" t="str">
        <f aca="false">RIGHT(T1245,7)</f>
        <v>020/037</v>
      </c>
      <c r="V1245" s="152" t="s">
        <v>1555</v>
      </c>
      <c r="W1245" s="156" t="n">
        <v>45882</v>
      </c>
      <c r="X1245" s="152"/>
      <c r="Y1245" s="152"/>
      <c r="Z1245" s="152" t="s">
        <v>1557</v>
      </c>
      <c r="AA1245" s="153" t="n">
        <v>3.1</v>
      </c>
      <c r="AB1245" s="151" t="s">
        <v>6256</v>
      </c>
      <c r="AC1245" s="151" t="s">
        <v>186</v>
      </c>
      <c r="AD1245" s="151" t="str">
        <f aca="false">CONCATENATE($C1245,$I1245,$H1245,$N1245,$J1245,$K1245)</f>
        <v>TUBO PEADPEAD63VCAREDESZona11</v>
      </c>
      <c r="AE1245" s="153" t="n">
        <f aca="false">IFERROR(INDEX(APOIO_REDES!$A:$W,MATCH($C1245&amp;$I1245&amp;$H1245&amp;$N1245&amp;$O1245,APOIO_REDES!$W:$W,0),MATCH(AE$5,APOIO_REDES!$5:$5,0)),0)</f>
        <v>1.2</v>
      </c>
      <c r="AF1245" s="153" t="n">
        <f aca="false">IFERROR(INDEX(APOIO_REDES!$A:$W,MATCH($C1245&amp;$I1245&amp;$H1245&amp;$N1245&amp;$O1245,APOIO_REDES!$W:$W,0),MATCH(AF$5,APOIO_REDES!$5:$5,0)),0)</f>
        <v>1.363</v>
      </c>
      <c r="AG1245" s="153" t="n">
        <f aca="false">IFERROR(INDEX(APOIO_REDES!$A:$W,MATCH($C1245&amp;$I1245&amp;$H1245&amp;$N1245&amp;$O1245,APOIO_REDES!$W:$W,0),MATCH(AG$5,APOIO_REDES!$5:$5,0)),0)</f>
        <v>0.65</v>
      </c>
      <c r="AH1245" s="153" t="n">
        <f aca="false">IFERROR(INDEX(APOIO_REDES!$A:$W,MATCH($C1245&amp;$I1245&amp;$H1245&amp;$N1245&amp;$O1245,APOIO_REDES!$W:$W,0),MATCH(AH$5,APOIO_REDES!$5:$5,0)),0)</f>
        <v>0.1</v>
      </c>
      <c r="AI1245" s="153" t="n">
        <f aca="false">IFERROR(IF($H1245&lt;&gt;"",(((($H1245/1000)/2)^2)*PI()*$M1245),0),0)</f>
        <v>0.529308253727056</v>
      </c>
      <c r="AJ1245" s="153" t="n">
        <f aca="false">IFERROR(IF(AND($H1245&lt;&gt;"",$I1245="FoFo",OR($N1245="MND",$N1245="VCA"),$Q1245="LINEAR"),0,IF(AND($H1245&lt;&gt;"",$I1245="PEAD",$N1245="VCA",$Q1245="LINEAR"),($H1245/1000)+0.3,IF(AND($H1245&lt;&gt;"",$I1245="PEAD",$N1245="MND",$Q1245="EMBOQUE"),0,IF(AND($H1245&lt;&gt;"",$I1245="PVC",$N1245="VCA",$Q1245="LINEAR"),($H1245/1000)+0.2,IF(AND($H1245&lt;&gt;"",$I1245="PVC",$N1245="MND",$Q1245="EMBOQUE"),0,IF(AND($H1245&lt;&gt;"",$I1245="PEAD",$N1245="VCA",$Q1245="PREDIAL"),0,0)))))),0)</f>
        <v>0.363</v>
      </c>
      <c r="AK1245" s="153" t="n">
        <f aca="false">IF(AA1245&lt;&gt;"",AA1245,0)</f>
        <v>3.1</v>
      </c>
      <c r="AL1245" s="153" t="n">
        <f aca="false">IF(AND($N1245="MND",$Q1245="EMBOQUE"),$M1245,IF(AND($N1245="VCA",$Q1245="LINEAR"),$M1245,IF(AND($N1245="VCA",$Q1245="PREDIAL"),0,0)))</f>
        <v>169.8</v>
      </c>
      <c r="AM1245" s="153" t="n">
        <f aca="false">IF(AND($N1245="MND",$Q1245="EMBOQUE"),$M1245,IF(AND($N1245="VCA",$Q1245="LINEAR"),$M1245,IF(AND($N1245="VCA",$Q1245="PREDIAL"),0,0)))</f>
        <v>169.8</v>
      </c>
      <c r="AN1245" s="153" t="n">
        <f aca="false">ROUND(IF(AND($N1245="VCA",$M1245&lt;&gt;"",$Q1245="LINEAR"),$M1245/100,IF(AND($N1245="MND",$M1245&gt;100,$Q1245="EMBOQUE"),$M1245/100,0)),0)</f>
        <v>2</v>
      </c>
      <c r="AO1245" s="153" t="n">
        <f aca="false">IF(AND($N1245="MND",$Q1245="EMBOQUE"),$AN1245*2*2,IF(AND($N1245="VCA",$Q1245="LINEAR"),$M1245*2,IF(AND($N1245="VCA",$Q1245="PREDIAL"),0,0)))</f>
        <v>339.6</v>
      </c>
      <c r="AP1245" s="153" t="n">
        <f aca="false">IFERROR($M1245*$AF1245*$AG1245,0)</f>
        <v>150.43431</v>
      </c>
      <c r="AQ1245" s="153" t="n">
        <f aca="false">IFERROR(IF(AND($N1245="VCA",$AH1245&gt;0),$M1245*$AG1245*$AH1245,0),0)</f>
        <v>11.037</v>
      </c>
      <c r="AR1245" s="153" t="n">
        <f aca="false">IFERROR(IF(AND($N1245="VCA",$AJ1245&gt;0),($M1245*$AG1245*$AJ1245)-$AI1245,0),0)</f>
        <v>39.535001746273</v>
      </c>
      <c r="AS1245" s="153" t="n">
        <f aca="false">IFERROR(IF(AND($N1245="VCA",$AP1245&gt;0),$AP1245-$AI1245-$AQ1245-$AR1245,0),0)</f>
        <v>99.333</v>
      </c>
      <c r="AT1245" s="153" t="n">
        <f aca="false">IFERROR(IF($N1245="VCA",INDEX(APOIO_REDES!$A:$W,MATCH($C1245&amp;$I1245&amp;$H1245&amp;$N1245&amp;$O1245,APOIO_REDES!$W:$W,0),MATCH(AT$5,APOIO_REDES!$5:$5,0)),0)*$AP1245,0)</f>
        <v>1.63676981908292</v>
      </c>
      <c r="AU1245" s="153" t="n">
        <f aca="false">IFERROR(IF($N1245="VCA",INDEX(APOIO_REDES!$A:$W,MATCH($C1245&amp;$I1245&amp;$H1245&amp;$N1245&amp;$O1245,APOIO_REDES!$W:$W,0),MATCH(AU$5,APOIO_REDES!$5:$5,0)),0)*$AP1245,0)</f>
        <v>1.30708004817105</v>
      </c>
      <c r="AV1245" s="153" t="n">
        <f aca="false">IFERROR(IF($N1245="VCA",INDEX(APOIO_REDES!$A:$W,MATCH($C1245&amp;$I1245&amp;$H1245&amp;$N1245&amp;$O1245,APOIO_REDES!$W:$W,0),MATCH(AV$5,APOIO_REDES!$5:$5,0)),0)*$AP1245,0)</f>
        <v>0.180889617686182</v>
      </c>
      <c r="AW1245" s="153" t="n">
        <f aca="false">IFERROR(IF($N1245="VCA",INDEX(APOIO_REDES!$A:$W,MATCH($C1245&amp;$I1245&amp;$H1245&amp;$N1245&amp;$O1245,APOIO_REDES!$W:$W,0),MATCH(AW$5,APOIO_REDES!$5:$5,0)),0)*$AP1245,0)</f>
        <v>103.259276005913</v>
      </c>
      <c r="AX1245" s="153" t="n">
        <f aca="false">IFERROR(IF($N1245="VCA",INDEX(APOIO_REDES!$A:$W,MATCH($C1245&amp;$I1245&amp;$H1245&amp;$N1245&amp;$O1245,APOIO_REDES!$W:$W,0),MATCH(AX$5,APOIO_REDES!$5:$5,0)),0)*$AP1245,0)</f>
        <v>14.290789659603</v>
      </c>
      <c r="AY1245" s="153" t="n">
        <f aca="false">IFERROR(IF($N1245="VCA",INDEX(APOIO_REDES!$A:$W,MATCH($C1245&amp;$I1245&amp;$H1245&amp;$N1245&amp;$O1245,APOIO_REDES!$W:$W,0),MATCH(AY$5,APOIO_REDES!$5:$5,0)),0)*$AP1245,0)</f>
        <v>26.1415850302212</v>
      </c>
      <c r="AZ1245" s="153" t="n">
        <f aca="false">IFERROR(IF($N1245="VCA",INDEX(APOIO_REDES!$A:$W,MATCH($C1245&amp;$I1245&amp;$H1245&amp;$N1245&amp;$O1245,APOIO_REDES!$W:$W,0),MATCH(AZ$5,APOIO_REDES!$5:$5,0)),0)*$AP1245,0)</f>
        <v>3.61791981932229</v>
      </c>
      <c r="BA1245" s="153" t="n">
        <f aca="false">IFERROR(IF(AND($N1245="VCA",$Q1245="LINEAR"),INDEX(APOIO_REDES!$A:$W,MATCH($C1245&amp;$I1245&amp;$H1245&amp;$N1245&amp;$O1245,APOIO_REDES!$W:$W,0),MATCH(BA$5,APOIO_REDES!$5:$5,0)),IF(AND($N1245="MND",$Q1245="EMBOQUE"),INDEX(APOIO_REDES!$A:$W,MATCH($C1245&amp;$I1245&amp;$H1245&amp;$N1245&amp;$O1245,APOIO_REDES!$W:$W,0),MATCH(BA$5,APOIO_REDES!$5:$5,0)),0))*$M1245/10,0)</f>
        <v>13.6854516930467</v>
      </c>
      <c r="BB1245" s="153" t="n">
        <f aca="false">IFERROR(IF($N1245="VCA",INDEX(APOIO_REDES!$A:$W,MATCH($C1245&amp;$I1245&amp;$H1245&amp;$N1245&amp;$O1245,APOIO_REDES!$W:$W,0),MATCH(BB$5,APOIO_REDES!$5:$5,0)),0)*($AI1245+$AQ1245+$AR1245),0)</f>
        <v>50.5453126219843</v>
      </c>
      <c r="BC1245" s="153" t="n">
        <f aca="false">IFERROR(IF($N1245="VCA",INDEX(APOIO_REDES!$A:$W,MATCH($C1245&amp;$I1245&amp;$H1245&amp;$N1245&amp;$O1245,APOIO_REDES!$W:$W,0),MATCH(BC$5,APOIO_REDES!$5:$5,0)),0)*($AI1245+$AQ1245+$AR1245),0)</f>
        <v>0.555997378015695</v>
      </c>
      <c r="BD1245" s="153" t="n">
        <f aca="false">IF(AND($N1245="VCA",$AF1245&gt;=1.25,$AF1245&lt;1.5),$M1245*$AF1245*2,0)</f>
        <v>462.8748</v>
      </c>
      <c r="BE1245" s="153" t="n">
        <f aca="false">IF(AND($N1245="VCA",$AF1245&gt;=1.5,$AF1245&lt;3),$M1245*$AF1245*2,0)</f>
        <v>0</v>
      </c>
      <c r="BF1245" s="153" t="n">
        <f aca="false">IF(AND($N1245="VCA",$AF1245&gt;=3),$M1245*$AF1245*2,0)</f>
        <v>0</v>
      </c>
      <c r="BG1245" s="153" t="n">
        <f aca="false">($BB1245+$BC1245)*$AK1245</f>
        <v>158.414061</v>
      </c>
      <c r="BH1245" s="153" t="n">
        <f aca="false">IF(AND($M1245&lt;&gt;"",$N1245="VCA",$Q1245="LINEAR"),($M1245*2)/100,IF(AND($M1245&lt;&gt;"",$N1245="MND",$Q1245="EMBOQUE"),($AN1245*2)/100,0))</f>
        <v>3.396</v>
      </c>
      <c r="BI1245" s="153" t="n">
        <f aca="false">IF(AND($M1245&lt;&gt;"",$N1245="VCA",$Q1245="LINEAR"),$M1245,IF(AND($M1245&lt;&gt;"",$N1245="MND",$Q1245="EMBOQUE"),$AN1245*2,0))</f>
        <v>169.8</v>
      </c>
      <c r="BJ1245" s="153" t="n">
        <f aca="false">IF(AND($M1245&lt;&gt;"",$N1245="VCA",$Q1245="LINEAR"),($M1245*6.8)/100,IF(AND($M1245&lt;&gt;"",$N1245="MND",$Q1245="EMBOQUE"),($AN1245*2*6.8)/100,0))</f>
        <v>11.5464</v>
      </c>
      <c r="BK1245" s="153" t="n">
        <f aca="false">IF(AND($M1245&lt;&gt;"",$N1245="VCA",$Q1245="LINEAR"),($M1245*2.5)/50,IF(AND($M1245&lt;&gt;"",$N1245="MND",$Q1245="EMBOQUE"),($AN1245*2*2.5)/50,0))</f>
        <v>8.49</v>
      </c>
      <c r="BL1245" s="157" t="str">
        <f aca="false">K1245&amp;J1245</f>
        <v>Zona11REDES</v>
      </c>
      <c r="BM1245" s="152" t="s">
        <v>6084</v>
      </c>
      <c r="BN1245" s="152" t="s">
        <v>1560</v>
      </c>
      <c r="BO1245" s="152" t="s">
        <v>4725</v>
      </c>
      <c r="BP1245" s="152" t="s">
        <v>6257</v>
      </c>
      <c r="BQ1245" s="152" t="s">
        <v>6258</v>
      </c>
      <c r="BR1245" s="152" t="s">
        <v>6259</v>
      </c>
      <c r="BS1245" s="152" t="n">
        <v>204703.625</v>
      </c>
      <c r="BT1245" s="152" t="n">
        <v>8236516.474</v>
      </c>
      <c r="BU1245" s="152" t="n">
        <v>204653.181</v>
      </c>
      <c r="BV1245" s="152" t="n">
        <v>8236674.306</v>
      </c>
      <c r="BW1245" s="152" t="n">
        <v>-15.9323508</v>
      </c>
      <c r="BX1245" s="152" t="n">
        <v>-47.7584037</v>
      </c>
      <c r="BY1245" s="152" t="s">
        <v>6257</v>
      </c>
    </row>
    <row r="1246" customFormat="false" ht="13.8" hidden="false" customHeight="false" outlineLevel="0" collapsed="false">
      <c r="A1246" s="149" t="n">
        <f aca="false">IF(C1246&lt;&gt;"",ROW(A1241),"")</f>
        <v>1241</v>
      </c>
      <c r="B1246" s="150" t="str">
        <f aca="false">HYPERLINK("https://www.google.com/maps/dir/-15.917302,-47.760003/-15.9323572,-47.7566769/data=!4m3!4m2!3e0!5i1")</f>
        <v>https://www.google.com/maps/dir/-15.917302,-47.760003/-15.9323572,-47.7566769/data=!4m3!4m2!3e0!5i1</v>
      </c>
      <c r="C1246" s="151" t="s">
        <v>117</v>
      </c>
      <c r="D1246" s="152" t="s">
        <v>112</v>
      </c>
      <c r="E1246" s="152" t="s">
        <v>113</v>
      </c>
      <c r="F1246" s="152" t="s">
        <v>117</v>
      </c>
      <c r="G1246" s="152" t="s">
        <v>782</v>
      </c>
      <c r="H1246" s="152" t="n">
        <v>63</v>
      </c>
      <c r="I1246" s="152" t="s">
        <v>115</v>
      </c>
      <c r="J1246" s="152" t="s">
        <v>6</v>
      </c>
      <c r="K1246" s="152" t="s">
        <v>6081</v>
      </c>
      <c r="L1246" s="152" t="s">
        <v>120</v>
      </c>
      <c r="M1246" s="153" t="n">
        <f aca="false">46.82</f>
        <v>46.82</v>
      </c>
      <c r="N1246" s="152" t="s">
        <v>1548</v>
      </c>
      <c r="O1246" s="152" t="s">
        <v>1549</v>
      </c>
      <c r="P1246" s="152" t="s">
        <v>1550</v>
      </c>
      <c r="Q1246" s="152" t="s">
        <v>1551</v>
      </c>
      <c r="R1246" s="154" t="s">
        <v>6260</v>
      </c>
      <c r="S1246" s="154" t="s">
        <v>1553</v>
      </c>
      <c r="T1246" s="155" t="s">
        <v>4723</v>
      </c>
      <c r="U1246" s="152" t="str">
        <f aca="false">RIGHT(T1246,7)</f>
        <v>020/037</v>
      </c>
      <c r="V1246" s="152" t="s">
        <v>1555</v>
      </c>
      <c r="W1246" s="156" t="n">
        <v>45882</v>
      </c>
      <c r="X1246" s="152" t="s">
        <v>1594</v>
      </c>
      <c r="Y1246" s="152" t="s">
        <v>6251</v>
      </c>
      <c r="Z1246" s="152" t="s">
        <v>1557</v>
      </c>
      <c r="AA1246" s="153" t="n">
        <v>2.9</v>
      </c>
      <c r="AB1246" s="151" t="s">
        <v>6261</v>
      </c>
      <c r="AC1246" s="151" t="s">
        <v>186</v>
      </c>
      <c r="AD1246" s="151" t="str">
        <f aca="false">CONCATENATE($C1246,$I1246,$H1246,$N1246,$J1246,$K1246)</f>
        <v>TUBO PEADPEAD63VCAREDESZona11</v>
      </c>
      <c r="AE1246" s="153" t="n">
        <f aca="false">IFERROR(INDEX(APOIO_REDES!$A:$W,MATCH($C1246&amp;$I1246&amp;$H1246&amp;$N1246&amp;$O1246,APOIO_REDES!$W:$W,0),MATCH(AE$5,APOIO_REDES!$5:$5,0)),0)</f>
        <v>1.2</v>
      </c>
      <c r="AF1246" s="153" t="n">
        <f aca="false">IFERROR(INDEX(APOIO_REDES!$A:$W,MATCH($C1246&amp;$I1246&amp;$H1246&amp;$N1246&amp;$O1246,APOIO_REDES!$W:$W,0),MATCH(AF$5,APOIO_REDES!$5:$5,0)),0)</f>
        <v>1.363</v>
      </c>
      <c r="AG1246" s="153" t="n">
        <f aca="false">IFERROR(INDEX(APOIO_REDES!$A:$W,MATCH($C1246&amp;$I1246&amp;$H1246&amp;$N1246&amp;$O1246,APOIO_REDES!$W:$W,0),MATCH(AG$5,APOIO_REDES!$5:$5,0)),0)</f>
        <v>0.65</v>
      </c>
      <c r="AH1246" s="153" t="n">
        <f aca="false">IFERROR(INDEX(APOIO_REDES!$A:$W,MATCH($C1246&amp;$I1246&amp;$H1246&amp;$N1246&amp;$O1246,APOIO_REDES!$W:$W,0),MATCH(AH$5,APOIO_REDES!$5:$5,0)),0)</f>
        <v>0.1</v>
      </c>
      <c r="AI1246" s="153" t="n">
        <f aca="false">IFERROR(IF($H1246&lt;&gt;"",(((($H1246/1000)/2)^2)*PI()*$M1246),0),0)</f>
        <v>0.145949425438756</v>
      </c>
      <c r="AJ1246" s="153" t="n">
        <f aca="false">IFERROR(IF(AND($H1246&lt;&gt;"",$I1246="FoFo",OR($N1246="MND",$N1246="VCA"),$Q1246="LINEAR"),0,IF(AND($H1246&lt;&gt;"",$I1246="PEAD",$N1246="VCA",$Q1246="LINEAR"),($H1246/1000)+0.3,IF(AND($H1246&lt;&gt;"",$I1246="PEAD",$N1246="MND",$Q1246="EMBOQUE"),0,IF(AND($H1246&lt;&gt;"",$I1246="PVC",$N1246="VCA",$Q1246="LINEAR"),($H1246/1000)+0.2,IF(AND($H1246&lt;&gt;"",$I1246="PVC",$N1246="MND",$Q1246="EMBOQUE"),0,IF(AND($H1246&lt;&gt;"",$I1246="PEAD",$N1246="VCA",$Q1246="PREDIAL"),0,0)))))),0)</f>
        <v>0.363</v>
      </c>
      <c r="AK1246" s="153" t="n">
        <f aca="false">IF(AA1246&lt;&gt;"",AA1246,0)</f>
        <v>2.9</v>
      </c>
      <c r="AL1246" s="153" t="n">
        <f aca="false">IF(AND($N1246="MND",$Q1246="EMBOQUE"),$M1246,IF(AND($N1246="VCA",$Q1246="LINEAR"),$M1246,IF(AND($N1246="VCA",$Q1246="PREDIAL"),0,0)))</f>
        <v>46.82</v>
      </c>
      <c r="AM1246" s="153" t="n">
        <f aca="false">IF(AND($N1246="MND",$Q1246="EMBOQUE"),$M1246,IF(AND($N1246="VCA",$Q1246="LINEAR"),$M1246,IF(AND($N1246="VCA",$Q1246="PREDIAL"),0,0)))</f>
        <v>46.82</v>
      </c>
      <c r="AN1246" s="153" t="n">
        <f aca="false">ROUND(IF(AND($N1246="VCA",$M1246&lt;&gt;"",$Q1246="LINEAR"),$M1246/100,IF(AND($N1246="MND",$M1246&gt;100,$Q1246="EMBOQUE"),$M1246/100,0)),0)</f>
        <v>0</v>
      </c>
      <c r="AO1246" s="153" t="n">
        <f aca="false">IF(AND($N1246="MND",$Q1246="EMBOQUE"),$AN1246*2*2,IF(AND($N1246="VCA",$Q1246="LINEAR"),$M1246*2,IF(AND($N1246="VCA",$Q1246="PREDIAL"),0,0)))</f>
        <v>93.64</v>
      </c>
      <c r="AP1246" s="153" t="n">
        <f aca="false">IFERROR($M1246*$AF1246*$AG1246,0)</f>
        <v>41.480179</v>
      </c>
      <c r="AQ1246" s="153" t="n">
        <f aca="false">IFERROR(IF(AND($N1246="VCA",$AH1246&gt;0),$M1246*$AG1246*$AH1246,0),0)</f>
        <v>3.0433</v>
      </c>
      <c r="AR1246" s="153" t="n">
        <f aca="false">IFERROR(IF(AND($N1246="VCA",$AJ1246&gt;0),($M1246*$AG1246*$AJ1246)-$AI1246,0),0)</f>
        <v>10.9012295745612</v>
      </c>
      <c r="AS1246" s="153" t="n">
        <f aca="false">IFERROR(IF(AND($N1246="VCA",$AP1246&gt;0),$AP1246-$AI1246-$AQ1246-$AR1246,0),0)</f>
        <v>27.3897</v>
      </c>
      <c r="AT1246" s="153" t="n">
        <f aca="false">IFERROR(IF($N1246="VCA",INDEX(APOIO_REDES!$A:$W,MATCH($C1246&amp;$I1246&amp;$H1246&amp;$N1246&amp;$O1246,APOIO_REDES!$W:$W,0),MATCH(AT$5,APOIO_REDES!$5:$5,0)),0)*$AP1246,0)</f>
        <v>0.45131662502628</v>
      </c>
      <c r="AU1246" s="153" t="n">
        <f aca="false">IFERROR(IF($N1246="VCA",INDEX(APOIO_REDES!$A:$W,MATCH($C1246&amp;$I1246&amp;$H1246&amp;$N1246&amp;$O1246,APOIO_REDES!$W:$W,0),MATCH(AU$5,APOIO_REDES!$5:$5,0)),0)*$AP1246,0)</f>
        <v>0.360409233541629</v>
      </c>
      <c r="AV1246" s="153" t="n">
        <f aca="false">IFERROR(IF($N1246="VCA",INDEX(APOIO_REDES!$A:$W,MATCH($C1246&amp;$I1246&amp;$H1246&amp;$N1246&amp;$O1246,APOIO_REDES!$W:$W,0),MATCH(AV$5,APOIO_REDES!$5:$5,0)),0)*$AP1246,0)</f>
        <v>0.0498778085987458</v>
      </c>
      <c r="AW1246" s="153" t="n">
        <f aca="false">IFERROR(IF($N1246="VCA",INDEX(APOIO_REDES!$A:$W,MATCH($C1246&amp;$I1246&amp;$H1246&amp;$N1246&amp;$O1246,APOIO_REDES!$W:$W,0),MATCH(AW$5,APOIO_REDES!$5:$5,0)),0)*$AP1246,0)</f>
        <v>28.4723162697106</v>
      </c>
      <c r="AX1246" s="153" t="n">
        <f aca="false">IFERROR(IF($N1246="VCA",INDEX(APOIO_REDES!$A:$W,MATCH($C1246&amp;$I1246&amp;$H1246&amp;$N1246&amp;$O1246,APOIO_REDES!$W:$W,0),MATCH(AX$5,APOIO_REDES!$5:$5,0)),0)*$AP1246,0)</f>
        <v>3.94048746679983</v>
      </c>
      <c r="AY1246" s="153" t="n">
        <f aca="false">IFERROR(IF($N1246="VCA",INDEX(APOIO_REDES!$A:$W,MATCH($C1246&amp;$I1246&amp;$H1246&amp;$N1246&amp;$O1246,APOIO_REDES!$W:$W,0),MATCH(AY$5,APOIO_REDES!$5:$5,0)),0)*$AP1246,0)</f>
        <v>7.20818027747323</v>
      </c>
      <c r="AZ1246" s="153" t="n">
        <f aca="false">IFERROR(IF($N1246="VCA",INDEX(APOIO_REDES!$A:$W,MATCH($C1246&amp;$I1246&amp;$H1246&amp;$N1246&amp;$O1246,APOIO_REDES!$W:$W,0),MATCH(AZ$5,APOIO_REDES!$5:$5,0)),0)*$AP1246,0)</f>
        <v>0.997591318849644</v>
      </c>
      <c r="BA1246" s="153" t="n">
        <f aca="false">IFERROR(IF(AND($N1246="VCA",$Q1246="LINEAR"),INDEX(APOIO_REDES!$A:$W,MATCH($C1246&amp;$I1246&amp;$H1246&amp;$N1246&amp;$O1246,APOIO_REDES!$W:$W,0),MATCH(BA$5,APOIO_REDES!$5:$5,0)),IF(AND($N1246="MND",$Q1246="EMBOQUE"),INDEX(APOIO_REDES!$A:$W,MATCH($C1246&amp;$I1246&amp;$H1246&amp;$N1246&amp;$O1246,APOIO_REDES!$W:$W,0),MATCH(BA$5,APOIO_REDES!$5:$5,0)),0))*$M1246/10,0)</f>
        <v>3.77357390028531</v>
      </c>
      <c r="BB1246" s="153" t="n">
        <f aca="false">IFERROR(IF($N1246="VCA",INDEX(APOIO_REDES!$A:$W,MATCH($C1246&amp;$I1246&amp;$H1246&amp;$N1246&amp;$O1246,APOIO_REDES!$W:$W,0),MATCH(BB$5,APOIO_REDES!$5:$5,0)),0)*($AI1246+$AQ1246+$AR1246),0)</f>
        <v>13.9371704179111</v>
      </c>
      <c r="BC1246" s="153" t="n">
        <f aca="false">IFERROR(IF($N1246="VCA",INDEX(APOIO_REDES!$A:$W,MATCH($C1246&amp;$I1246&amp;$H1246&amp;$N1246&amp;$O1246,APOIO_REDES!$W:$W,0),MATCH(BC$5,APOIO_REDES!$5:$5,0)),0)*($AI1246+$AQ1246+$AR1246),0)</f>
        <v>0.153308582088898</v>
      </c>
      <c r="BD1246" s="153" t="n">
        <f aca="false">IF(AND($N1246="VCA",$AF1246&gt;=1.25,$AF1246&lt;1.5),$M1246*$AF1246*2,0)</f>
        <v>127.63132</v>
      </c>
      <c r="BE1246" s="153" t="n">
        <f aca="false">IF(AND($N1246="VCA",$AF1246&gt;=1.5,$AF1246&lt;3),$M1246*$AF1246*2,0)</f>
        <v>0</v>
      </c>
      <c r="BF1246" s="153" t="n">
        <f aca="false">IF(AND($N1246="VCA",$AF1246&gt;=3),$M1246*$AF1246*2,0)</f>
        <v>0</v>
      </c>
      <c r="BG1246" s="153" t="n">
        <f aca="false">($BB1246+$BC1246)*$AK1246</f>
        <v>40.8623891</v>
      </c>
      <c r="BH1246" s="153" t="n">
        <f aca="false">IF(AND($M1246&lt;&gt;"",$N1246="VCA",$Q1246="LINEAR"),($M1246*2)/100,IF(AND($M1246&lt;&gt;"",$N1246="MND",$Q1246="EMBOQUE"),($AN1246*2)/100,0))</f>
        <v>0.9364</v>
      </c>
      <c r="BI1246" s="153" t="n">
        <f aca="false">IF(AND($M1246&lt;&gt;"",$N1246="VCA",$Q1246="LINEAR"),$M1246,IF(AND($M1246&lt;&gt;"",$N1246="MND",$Q1246="EMBOQUE"),$AN1246*2,0))</f>
        <v>46.82</v>
      </c>
      <c r="BJ1246" s="153" t="n">
        <f aca="false">IF(AND($M1246&lt;&gt;"",$N1246="VCA",$Q1246="LINEAR"),($M1246*6.8)/100,IF(AND($M1246&lt;&gt;"",$N1246="MND",$Q1246="EMBOQUE"),($AN1246*2*6.8)/100,0))</f>
        <v>3.18376</v>
      </c>
      <c r="BK1246" s="153" t="n">
        <f aca="false">IF(AND($M1246&lt;&gt;"",$N1246="VCA",$Q1246="LINEAR"),($M1246*2.5)/50,IF(AND($M1246&lt;&gt;"",$N1246="MND",$Q1246="EMBOQUE"),($AN1246*2*2.5)/50,0))</f>
        <v>2.341</v>
      </c>
      <c r="BL1246" s="157" t="str">
        <f aca="false">K1246&amp;J1246</f>
        <v>Zona11REDES</v>
      </c>
      <c r="BM1246" s="152" t="s">
        <v>6084</v>
      </c>
      <c r="BN1246" s="152" t="s">
        <v>1560</v>
      </c>
      <c r="BO1246" s="152" t="s">
        <v>4725</v>
      </c>
      <c r="BP1246" s="152" t="s">
        <v>6253</v>
      </c>
      <c r="BQ1246" s="152" t="s">
        <v>6248</v>
      </c>
      <c r="BR1246" s="152" t="s">
        <v>6262</v>
      </c>
      <c r="BS1246" s="152" t="n">
        <v>204862.404</v>
      </c>
      <c r="BT1246" s="152" t="n">
        <v>8236596.822</v>
      </c>
      <c r="BU1246" s="152" t="n">
        <v>204821.523</v>
      </c>
      <c r="BV1246" s="152" t="n">
        <v>8236574.003</v>
      </c>
      <c r="BW1246" s="152" t="n">
        <v>-15.9324586</v>
      </c>
      <c r="BX1246" s="152" t="n">
        <v>-47.7568686</v>
      </c>
      <c r="BY1246" s="152" t="s">
        <v>6253</v>
      </c>
    </row>
    <row r="1247" customFormat="false" ht="13.8" hidden="false" customHeight="false" outlineLevel="0" collapsed="false">
      <c r="A1247" s="149" t="n">
        <f aca="false">IF(C1247&lt;&gt;"",ROW(A1242),"")</f>
        <v>1242</v>
      </c>
      <c r="B1247" s="150" t="str">
        <f aca="false">HYPERLINK("https://www.google.com/maps/dir/-15.917302,-47.760003/-15.9322323,-47.7557429/data=!4m3!4m2!3e0!5i1")</f>
        <v>https://www.google.com/maps/dir/-15.917302,-47.760003/-15.9322323,-47.7557429/data=!4m3!4m2!3e0!5i1</v>
      </c>
      <c r="C1247" s="151" t="s">
        <v>117</v>
      </c>
      <c r="D1247" s="152" t="s">
        <v>112</v>
      </c>
      <c r="E1247" s="152" t="s">
        <v>113</v>
      </c>
      <c r="F1247" s="152" t="s">
        <v>117</v>
      </c>
      <c r="G1247" s="152" t="s">
        <v>782</v>
      </c>
      <c r="H1247" s="152" t="n">
        <v>63</v>
      </c>
      <c r="I1247" s="152" t="s">
        <v>115</v>
      </c>
      <c r="J1247" s="152" t="s">
        <v>6</v>
      </c>
      <c r="K1247" s="152" t="s">
        <v>6081</v>
      </c>
      <c r="L1247" s="152" t="s">
        <v>120</v>
      </c>
      <c r="M1247" s="153" t="n">
        <f aca="false">66.59+4.1</f>
        <v>70.69</v>
      </c>
      <c r="N1247" s="152" t="s">
        <v>1548</v>
      </c>
      <c r="O1247" s="152" t="s">
        <v>1549</v>
      </c>
      <c r="P1247" s="152" t="s">
        <v>1550</v>
      </c>
      <c r="Q1247" s="152" t="s">
        <v>1551</v>
      </c>
      <c r="R1247" s="154" t="s">
        <v>6263</v>
      </c>
      <c r="S1247" s="154" t="s">
        <v>1553</v>
      </c>
      <c r="T1247" s="155" t="s">
        <v>4723</v>
      </c>
      <c r="U1247" s="152" t="str">
        <f aca="false">RIGHT(T1247,7)</f>
        <v>020/037</v>
      </c>
      <c r="V1247" s="152" t="s">
        <v>1555</v>
      </c>
      <c r="W1247" s="156" t="n">
        <v>45882</v>
      </c>
      <c r="X1247" s="152" t="s">
        <v>3938</v>
      </c>
      <c r="Y1247" s="152"/>
      <c r="Z1247" s="152" t="s">
        <v>1557</v>
      </c>
      <c r="AA1247" s="153" t="n">
        <v>2.8</v>
      </c>
      <c r="AB1247" s="151" t="s">
        <v>6264</v>
      </c>
      <c r="AC1247" s="151" t="s">
        <v>186</v>
      </c>
      <c r="AD1247" s="151" t="str">
        <f aca="false">CONCATENATE($C1247,$I1247,$H1247,$N1247,$J1247,$K1247)</f>
        <v>TUBO PEADPEAD63VCAREDESZona11</v>
      </c>
      <c r="AE1247" s="153" t="n">
        <f aca="false">IFERROR(INDEX(APOIO_REDES!$A:$W,MATCH($C1247&amp;$I1247&amp;$H1247&amp;$N1247&amp;$O1247,APOIO_REDES!$W:$W,0),MATCH(AE$5,APOIO_REDES!$5:$5,0)),0)</f>
        <v>1.2</v>
      </c>
      <c r="AF1247" s="153" t="n">
        <f aca="false">IFERROR(INDEX(APOIO_REDES!$A:$W,MATCH($C1247&amp;$I1247&amp;$H1247&amp;$N1247&amp;$O1247,APOIO_REDES!$W:$W,0),MATCH(AF$5,APOIO_REDES!$5:$5,0)),0)</f>
        <v>1.363</v>
      </c>
      <c r="AG1247" s="153" t="n">
        <f aca="false">IFERROR(INDEX(APOIO_REDES!$A:$W,MATCH($C1247&amp;$I1247&amp;$H1247&amp;$N1247&amp;$O1247,APOIO_REDES!$W:$W,0),MATCH(AG$5,APOIO_REDES!$5:$5,0)),0)</f>
        <v>0.65</v>
      </c>
      <c r="AH1247" s="153" t="n">
        <f aca="false">IFERROR(INDEX(APOIO_REDES!$A:$W,MATCH($C1247&amp;$I1247&amp;$H1247&amp;$N1247&amp;$O1247,APOIO_REDES!$W:$W,0),MATCH(AH$5,APOIO_REDES!$5:$5,0)),0)</f>
        <v>0.1</v>
      </c>
      <c r="AI1247" s="153" t="n">
        <f aca="false">IFERROR(IF($H1247&lt;&gt;"",(((($H1247/1000)/2)^2)*PI()*$M1247),0),0)</f>
        <v>0.220358071000975</v>
      </c>
      <c r="AJ1247" s="153" t="n">
        <f aca="false">IFERROR(IF(AND($H1247&lt;&gt;"",$I1247="FoFo",OR($N1247="MND",$N1247="VCA"),$Q1247="LINEAR"),0,IF(AND($H1247&lt;&gt;"",$I1247="PEAD",$N1247="VCA",$Q1247="LINEAR"),($H1247/1000)+0.3,IF(AND($H1247&lt;&gt;"",$I1247="PEAD",$N1247="MND",$Q1247="EMBOQUE"),0,IF(AND($H1247&lt;&gt;"",$I1247="PVC",$N1247="VCA",$Q1247="LINEAR"),($H1247/1000)+0.2,IF(AND($H1247&lt;&gt;"",$I1247="PVC",$N1247="MND",$Q1247="EMBOQUE"),0,IF(AND($H1247&lt;&gt;"",$I1247="PEAD",$N1247="VCA",$Q1247="PREDIAL"),0,0)))))),0)</f>
        <v>0.363</v>
      </c>
      <c r="AK1247" s="153" t="n">
        <f aca="false">IF(AA1247&lt;&gt;"",AA1247,0)</f>
        <v>2.8</v>
      </c>
      <c r="AL1247" s="153" t="n">
        <f aca="false">IF(AND($N1247="MND",$Q1247="EMBOQUE"),$M1247,IF(AND($N1247="VCA",$Q1247="LINEAR"),$M1247,IF(AND($N1247="VCA",$Q1247="PREDIAL"),0,0)))</f>
        <v>70.69</v>
      </c>
      <c r="AM1247" s="153" t="n">
        <f aca="false">IF(AND($N1247="MND",$Q1247="EMBOQUE"),$M1247,IF(AND($N1247="VCA",$Q1247="LINEAR"),$M1247,IF(AND($N1247="VCA",$Q1247="PREDIAL"),0,0)))</f>
        <v>70.69</v>
      </c>
      <c r="AN1247" s="153" t="n">
        <f aca="false">ROUND(IF(AND($N1247="VCA",$M1247&lt;&gt;"",$Q1247="LINEAR"),$M1247/100,IF(AND($N1247="MND",$M1247&gt;100,$Q1247="EMBOQUE"),$M1247/100,0)),0)</f>
        <v>1</v>
      </c>
      <c r="AO1247" s="153" t="n">
        <f aca="false">IF(AND($N1247="MND",$Q1247="EMBOQUE"),$AN1247*2*2,IF(AND($N1247="VCA",$Q1247="LINEAR"),$M1247*2,IF(AND($N1247="VCA",$Q1247="PREDIAL"),0,0)))</f>
        <v>141.38</v>
      </c>
      <c r="AP1247" s="153" t="n">
        <f aca="false">IFERROR($M1247*$AF1247*$AG1247,0)</f>
        <v>62.6278055</v>
      </c>
      <c r="AQ1247" s="153" t="n">
        <f aca="false">IFERROR(IF(AND($N1247="VCA",$AH1247&gt;0),$M1247*$AG1247*$AH1247,0),0)</f>
        <v>4.59485</v>
      </c>
      <c r="AR1247" s="153" t="n">
        <f aca="false">IFERROR(IF(AND($N1247="VCA",$AJ1247&gt;0),($M1247*$AG1247*$AJ1247)-$AI1247,0),0)</f>
        <v>16.458947428999</v>
      </c>
      <c r="AS1247" s="153" t="n">
        <f aca="false">IFERROR(IF(AND($N1247="VCA",$AP1247&gt;0),$AP1247-$AI1247-$AQ1247-$AR1247,0),0)</f>
        <v>41.35365</v>
      </c>
      <c r="AT1247" s="153" t="n">
        <f aca="false">IFERROR(IF($N1247="VCA",INDEX(APOIO_REDES!$A:$W,MATCH($C1247&amp;$I1247&amp;$H1247&amp;$N1247&amp;$O1247,APOIO_REDES!$W:$W,0),MATCH(AT$5,APOIO_REDES!$5:$5,0)),0)*$AP1247,0)</f>
        <v>0.681409060724215</v>
      </c>
      <c r="AU1247" s="153" t="n">
        <f aca="false">IFERROR(IF($N1247="VCA",INDEX(APOIO_REDES!$A:$W,MATCH($C1247&amp;$I1247&amp;$H1247&amp;$N1247&amp;$O1247,APOIO_REDES!$W:$W,0),MATCH(AU$5,APOIO_REDES!$5:$5,0)),0)*$AP1247,0)</f>
        <v>0.544154820996534</v>
      </c>
      <c r="AV1247" s="153" t="n">
        <f aca="false">IFERROR(IF($N1247="VCA",INDEX(APOIO_REDES!$A:$W,MATCH($C1247&amp;$I1247&amp;$H1247&amp;$N1247&amp;$O1247,APOIO_REDES!$W:$W,0),MATCH(AV$5,APOIO_REDES!$5:$5,0)),0)*$AP1247,0)</f>
        <v>0.0753067554430871</v>
      </c>
      <c r="AW1247" s="153" t="n">
        <f aca="false">IFERROR(IF($N1247="VCA",INDEX(APOIO_REDES!$A:$W,MATCH($C1247&amp;$I1247&amp;$H1247&amp;$N1247&amp;$O1247,APOIO_REDES!$W:$W,0),MATCH(AW$5,APOIO_REDES!$5:$5,0)),0)*$AP1247,0)</f>
        <v>42.9882109591167</v>
      </c>
      <c r="AX1247" s="153" t="n">
        <f aca="false">IFERROR(IF($N1247="VCA",INDEX(APOIO_REDES!$A:$W,MATCH($C1247&amp;$I1247&amp;$H1247&amp;$N1247&amp;$O1247,APOIO_REDES!$W:$W,0),MATCH(AX$5,APOIO_REDES!$5:$5,0)),0)*$AP1247,0)</f>
        <v>5.94944594250491</v>
      </c>
      <c r="AY1247" s="153" t="n">
        <f aca="false">IFERROR(IF($N1247="VCA",INDEX(APOIO_REDES!$A:$W,MATCH($C1247&amp;$I1247&amp;$H1247&amp;$N1247&amp;$O1247,APOIO_REDES!$W:$W,0),MATCH(AY$5,APOIO_REDES!$5:$5,0)),0)*$AP1247,0)</f>
        <v>10.8830897867275</v>
      </c>
      <c r="AZ1247" s="153" t="n">
        <f aca="false">IFERROR(IF($N1247="VCA",INDEX(APOIO_REDES!$A:$W,MATCH($C1247&amp;$I1247&amp;$H1247&amp;$N1247&amp;$O1247,APOIO_REDES!$W:$W,0),MATCH(AZ$5,APOIO_REDES!$5:$5,0)),0)*$AP1247,0)</f>
        <v>1.506188174487</v>
      </c>
      <c r="BA1247" s="153" t="n">
        <f aca="false">IFERROR(IF(AND($N1247="VCA",$Q1247="LINEAR"),INDEX(APOIO_REDES!$A:$W,MATCH($C1247&amp;$I1247&amp;$H1247&amp;$N1247&amp;$O1247,APOIO_REDES!$W:$W,0),MATCH(BA$5,APOIO_REDES!$5:$5,0)),IF(AND($N1247="MND",$Q1247="EMBOQUE"),INDEX(APOIO_REDES!$A:$W,MATCH($C1247&amp;$I1247&amp;$H1247&amp;$N1247&amp;$O1247,APOIO_REDES!$W:$W,0),MATCH(BA$5,APOIO_REDES!$5:$5,0)),0))*$M1247/10,0)</f>
        <v>5.69743569011467</v>
      </c>
      <c r="BB1247" s="153" t="n">
        <f aca="false">IFERROR(IF($N1247="VCA",INDEX(APOIO_REDES!$A:$W,MATCH($C1247&amp;$I1247&amp;$H1247&amp;$N1247&amp;$O1247,APOIO_REDES!$W:$W,0),MATCH(BB$5,APOIO_REDES!$5:$5,0)),0)*($AI1247+$AQ1247+$AR1247),0)</f>
        <v>21.0426863913314</v>
      </c>
      <c r="BC1247" s="153" t="n">
        <f aca="false">IFERROR(IF($N1247="VCA",INDEX(APOIO_REDES!$A:$W,MATCH($C1247&amp;$I1247&amp;$H1247&amp;$N1247&amp;$O1247,APOIO_REDES!$W:$W,0),MATCH(BC$5,APOIO_REDES!$5:$5,0)),0)*($AI1247+$AQ1247+$AR1247),0)</f>
        <v>0.231469108668607</v>
      </c>
      <c r="BD1247" s="153" t="n">
        <f aca="false">IF(AND($N1247="VCA",$AF1247&gt;=1.25,$AF1247&lt;1.5),$M1247*$AF1247*2,0)</f>
        <v>192.70094</v>
      </c>
      <c r="BE1247" s="153" t="n">
        <f aca="false">IF(AND($N1247="VCA",$AF1247&gt;=1.5,$AF1247&lt;3),$M1247*$AF1247*2,0)</f>
        <v>0</v>
      </c>
      <c r="BF1247" s="153" t="n">
        <f aca="false">IF(AND($N1247="VCA",$AF1247&gt;=3),$M1247*$AF1247*2,0)</f>
        <v>0</v>
      </c>
      <c r="BG1247" s="153" t="n">
        <f aca="false">($BB1247+$BC1247)*$AK1247</f>
        <v>59.5676354</v>
      </c>
      <c r="BH1247" s="153" t="n">
        <f aca="false">IF(AND($M1247&lt;&gt;"",$N1247="VCA",$Q1247="LINEAR"),($M1247*2)/100,IF(AND($M1247&lt;&gt;"",$N1247="MND",$Q1247="EMBOQUE"),($AN1247*2)/100,0))</f>
        <v>1.4138</v>
      </c>
      <c r="BI1247" s="153" t="n">
        <f aca="false">IF(AND($M1247&lt;&gt;"",$N1247="VCA",$Q1247="LINEAR"),$M1247,IF(AND($M1247&lt;&gt;"",$N1247="MND",$Q1247="EMBOQUE"),$AN1247*2,0))</f>
        <v>70.69</v>
      </c>
      <c r="BJ1247" s="153" t="n">
        <f aca="false">IF(AND($M1247&lt;&gt;"",$N1247="VCA",$Q1247="LINEAR"),($M1247*6.8)/100,IF(AND($M1247&lt;&gt;"",$N1247="MND",$Q1247="EMBOQUE"),($AN1247*2*6.8)/100,0))</f>
        <v>4.80692</v>
      </c>
      <c r="BK1247" s="153" t="n">
        <f aca="false">IF(AND($M1247&lt;&gt;"",$N1247="VCA",$Q1247="LINEAR"),($M1247*2.5)/50,IF(AND($M1247&lt;&gt;"",$N1247="MND",$Q1247="EMBOQUE"),($AN1247*2*2.5)/50,0))</f>
        <v>3.5345</v>
      </c>
      <c r="BL1247" s="157" t="str">
        <f aca="false">K1247&amp;J1247</f>
        <v>Zona11REDES</v>
      </c>
      <c r="BM1247" s="152" t="s">
        <v>6084</v>
      </c>
      <c r="BN1247" s="152" t="s">
        <v>1560</v>
      </c>
      <c r="BO1247" s="152" t="s">
        <v>4725</v>
      </c>
      <c r="BP1247" s="152" t="s">
        <v>6265</v>
      </c>
      <c r="BQ1247" s="152" t="s">
        <v>6266</v>
      </c>
      <c r="BR1247" s="152" t="s">
        <v>6267</v>
      </c>
      <c r="BS1247" s="152" t="n">
        <v>204961.328</v>
      </c>
      <c r="BT1247" s="152" t="n">
        <v>8236611.702</v>
      </c>
      <c r="BU1247" s="152" t="n">
        <v>204979.058</v>
      </c>
      <c r="BV1247" s="152" t="n">
        <v>8236547.515</v>
      </c>
      <c r="BW1247" s="152" t="n">
        <v>-15.9325252</v>
      </c>
      <c r="BX1247" s="152" t="n">
        <v>-47.7556722</v>
      </c>
      <c r="BY1247" s="152" t="s">
        <v>6265</v>
      </c>
    </row>
    <row r="1248" customFormat="false" ht="13.8" hidden="false" customHeight="false" outlineLevel="0" collapsed="false">
      <c r="A1248" s="149" t="n">
        <f aca="false">IF(C1248&lt;&gt;"",ROW(A1243),"")</f>
        <v>1243</v>
      </c>
      <c r="B1248" s="150" t="str">
        <f aca="false">HYPERLINK("https://www.google.com/maps/dir/-15.917302,-47.760003/-15.9330479,-47.7564662/data=!4m3!4m2!3e0!5i1")</f>
        <v>https://www.google.com/maps/dir/-15.917302,-47.760003/-15.9330479,-47.7564662/data=!4m3!4m2!3e0!5i1</v>
      </c>
      <c r="C1248" s="151" t="s">
        <v>117</v>
      </c>
      <c r="D1248" s="152" t="s">
        <v>112</v>
      </c>
      <c r="E1248" s="152" t="s">
        <v>113</v>
      </c>
      <c r="F1248" s="152" t="s">
        <v>117</v>
      </c>
      <c r="G1248" s="152" t="s">
        <v>782</v>
      </c>
      <c r="H1248" s="152" t="n">
        <v>63</v>
      </c>
      <c r="I1248" s="152" t="s">
        <v>115</v>
      </c>
      <c r="J1248" s="152" t="s">
        <v>6</v>
      </c>
      <c r="K1248" s="152" t="s">
        <v>6081</v>
      </c>
      <c r="L1248" s="152" t="s">
        <v>120</v>
      </c>
      <c r="M1248" s="153" t="n">
        <f aca="false">79.75</f>
        <v>79.75</v>
      </c>
      <c r="N1248" s="152" t="s">
        <v>1548</v>
      </c>
      <c r="O1248" s="152" t="s">
        <v>1549</v>
      </c>
      <c r="P1248" s="152" t="s">
        <v>1550</v>
      </c>
      <c r="Q1248" s="152" t="s">
        <v>1551</v>
      </c>
      <c r="R1248" s="154" t="s">
        <v>6268</v>
      </c>
      <c r="S1248" s="154" t="s">
        <v>1553</v>
      </c>
      <c r="T1248" s="155" t="s">
        <v>4723</v>
      </c>
      <c r="U1248" s="152" t="str">
        <f aca="false">RIGHT(T1248,7)</f>
        <v>020/037</v>
      </c>
      <c r="V1248" s="152" t="s">
        <v>1555</v>
      </c>
      <c r="W1248" s="156" t="n">
        <v>45882</v>
      </c>
      <c r="X1248" s="152" t="s">
        <v>3938</v>
      </c>
      <c r="Y1248" s="152"/>
      <c r="Z1248" s="152" t="s">
        <v>1557</v>
      </c>
      <c r="AA1248" s="153" t="n">
        <v>3</v>
      </c>
      <c r="AB1248" s="151" t="s">
        <v>6269</v>
      </c>
      <c r="AC1248" s="151" t="s">
        <v>186</v>
      </c>
      <c r="AD1248" s="151" t="str">
        <f aca="false">CONCATENATE($C1248,$I1248,$H1248,$N1248,$J1248,$K1248)</f>
        <v>TUBO PEADPEAD63VCAREDESZona11</v>
      </c>
      <c r="AE1248" s="153" t="n">
        <f aca="false">IFERROR(INDEX(APOIO_REDES!$A:$W,MATCH($C1248&amp;$I1248&amp;$H1248&amp;$N1248&amp;$O1248,APOIO_REDES!$W:$W,0),MATCH(AE$5,APOIO_REDES!$5:$5,0)),0)</f>
        <v>1.2</v>
      </c>
      <c r="AF1248" s="153" t="n">
        <f aca="false">IFERROR(INDEX(APOIO_REDES!$A:$W,MATCH($C1248&amp;$I1248&amp;$H1248&amp;$N1248&amp;$O1248,APOIO_REDES!$W:$W,0),MATCH(AF$5,APOIO_REDES!$5:$5,0)),0)</f>
        <v>1.363</v>
      </c>
      <c r="AG1248" s="153" t="n">
        <f aca="false">IFERROR(INDEX(APOIO_REDES!$A:$W,MATCH($C1248&amp;$I1248&amp;$H1248&amp;$N1248&amp;$O1248,APOIO_REDES!$W:$W,0),MATCH(AG$5,APOIO_REDES!$5:$5,0)),0)</f>
        <v>0.65</v>
      </c>
      <c r="AH1248" s="153" t="n">
        <f aca="false">IFERROR(INDEX(APOIO_REDES!$A:$W,MATCH($C1248&amp;$I1248&amp;$H1248&amp;$N1248&amp;$O1248,APOIO_REDES!$W:$W,0),MATCH(AH$5,APOIO_REDES!$5:$5,0)),0)</f>
        <v>0.1</v>
      </c>
      <c r="AI1248" s="153" t="n">
        <f aca="false">IFERROR(IF($H1248&lt;&gt;"",(((($H1248/1000)/2)^2)*PI()*$M1248),0),0)</f>
        <v>0.248600313514327</v>
      </c>
      <c r="AJ1248" s="153" t="n">
        <f aca="false">IFERROR(IF(AND($H1248&lt;&gt;"",$I1248="FoFo",OR($N1248="MND",$N1248="VCA"),$Q1248="LINEAR"),0,IF(AND($H1248&lt;&gt;"",$I1248="PEAD",$N1248="VCA",$Q1248="LINEAR"),($H1248/1000)+0.3,IF(AND($H1248&lt;&gt;"",$I1248="PEAD",$N1248="MND",$Q1248="EMBOQUE"),0,IF(AND($H1248&lt;&gt;"",$I1248="PVC",$N1248="VCA",$Q1248="LINEAR"),($H1248/1000)+0.2,IF(AND($H1248&lt;&gt;"",$I1248="PVC",$N1248="MND",$Q1248="EMBOQUE"),0,IF(AND($H1248&lt;&gt;"",$I1248="PEAD",$N1248="VCA",$Q1248="PREDIAL"),0,0)))))),0)</f>
        <v>0.363</v>
      </c>
      <c r="AK1248" s="153" t="n">
        <f aca="false">IF(AA1248&lt;&gt;"",AA1248,0)</f>
        <v>3</v>
      </c>
      <c r="AL1248" s="153" t="n">
        <f aca="false">IF(AND($N1248="MND",$Q1248="EMBOQUE"),$M1248,IF(AND($N1248="VCA",$Q1248="LINEAR"),$M1248,IF(AND($N1248="VCA",$Q1248="PREDIAL"),0,0)))</f>
        <v>79.75</v>
      </c>
      <c r="AM1248" s="153" t="n">
        <f aca="false">IF(AND($N1248="MND",$Q1248="EMBOQUE"),$M1248,IF(AND($N1248="VCA",$Q1248="LINEAR"),$M1248,IF(AND($N1248="VCA",$Q1248="PREDIAL"),0,0)))</f>
        <v>79.75</v>
      </c>
      <c r="AN1248" s="153" t="n">
        <f aca="false">ROUND(IF(AND($N1248="VCA",$M1248&lt;&gt;"",$Q1248="LINEAR"),$M1248/100,IF(AND($N1248="MND",$M1248&gt;100,$Q1248="EMBOQUE"),$M1248/100,0)),0)</f>
        <v>1</v>
      </c>
      <c r="AO1248" s="153" t="n">
        <f aca="false">IF(AND($N1248="MND",$Q1248="EMBOQUE"),$AN1248*2*2,IF(AND($N1248="VCA",$Q1248="LINEAR"),$M1248*2,IF(AND($N1248="VCA",$Q1248="PREDIAL"),0,0)))</f>
        <v>159.5</v>
      </c>
      <c r="AP1248" s="153" t="n">
        <f aca="false">IFERROR($M1248*$AF1248*$AG1248,0)</f>
        <v>70.6545125</v>
      </c>
      <c r="AQ1248" s="153" t="n">
        <f aca="false">IFERROR(IF(AND($N1248="VCA",$AH1248&gt;0),$M1248*$AG1248*$AH1248,0),0)</f>
        <v>5.18375</v>
      </c>
      <c r="AR1248" s="153" t="n">
        <f aca="false">IFERROR(IF(AND($N1248="VCA",$AJ1248&gt;0),($M1248*$AG1248*$AJ1248)-$AI1248,0),0)</f>
        <v>18.5684121864857</v>
      </c>
      <c r="AS1248" s="153" t="n">
        <f aca="false">IFERROR(IF(AND($N1248="VCA",$AP1248&gt;0),$AP1248-$AI1248-$AQ1248-$AR1248,0),0)</f>
        <v>46.65375</v>
      </c>
      <c r="AT1248" s="153" t="n">
        <f aca="false">IFERROR(IF($N1248="VCA",INDEX(APOIO_REDES!$A:$W,MATCH($C1248&amp;$I1248&amp;$H1248&amp;$N1248&amp;$O1248,APOIO_REDES!$W:$W,0),MATCH(AT$5,APOIO_REDES!$5:$5,0)),0)*$AP1248,0)</f>
        <v>0.768742008668215</v>
      </c>
      <c r="AU1248" s="153" t="n">
        <f aca="false">IFERROR(IF($N1248="VCA",INDEX(APOIO_REDES!$A:$W,MATCH($C1248&amp;$I1248&amp;$H1248&amp;$N1248&amp;$O1248,APOIO_REDES!$W:$W,0),MATCH(AU$5,APOIO_REDES!$5:$5,0)),0)*$AP1248,0)</f>
        <v>0.613896547948417</v>
      </c>
      <c r="AV1248" s="153" t="n">
        <f aca="false">IFERROR(IF($N1248="VCA",INDEX(APOIO_REDES!$A:$W,MATCH($C1248&amp;$I1248&amp;$H1248&amp;$N1248&amp;$O1248,APOIO_REDES!$W:$W,0),MATCH(AV$5,APOIO_REDES!$5:$5,0)),0)*$AP1248,0)</f>
        <v>0.084958462959205</v>
      </c>
      <c r="AW1248" s="153" t="n">
        <f aca="false">IFERROR(IF($N1248="VCA",INDEX(APOIO_REDES!$A:$W,MATCH($C1248&amp;$I1248&amp;$H1248&amp;$N1248&amp;$O1248,APOIO_REDES!$W:$W,0),MATCH(AW$5,APOIO_REDES!$5:$5,0)),0)*$AP1248,0)</f>
        <v>48.4978048378775</v>
      </c>
      <c r="AX1248" s="153" t="n">
        <f aca="false">IFERROR(IF($N1248="VCA",INDEX(APOIO_REDES!$A:$W,MATCH($C1248&amp;$I1248&amp;$H1248&amp;$N1248&amp;$O1248,APOIO_REDES!$W:$W,0),MATCH(AX$5,APOIO_REDES!$5:$5,0)),0)*$AP1248,0)</f>
        <v>6.71195804095016</v>
      </c>
      <c r="AY1248" s="153" t="n">
        <f aca="false">IFERROR(IF($N1248="VCA",INDEX(APOIO_REDES!$A:$W,MATCH($C1248&amp;$I1248&amp;$H1248&amp;$N1248&amp;$O1248,APOIO_REDES!$W:$W,0),MATCH(AY$5,APOIO_REDES!$5:$5,0)),0)*$AP1248,0)</f>
        <v>12.2779234756192</v>
      </c>
      <c r="AZ1248" s="153" t="n">
        <f aca="false">IFERROR(IF($N1248="VCA",INDEX(APOIO_REDES!$A:$W,MATCH($C1248&amp;$I1248&amp;$H1248&amp;$N1248&amp;$O1248,APOIO_REDES!$W:$W,0),MATCH(AZ$5,APOIO_REDES!$5:$5,0)),0)*$AP1248,0)</f>
        <v>1.69922912597734</v>
      </c>
      <c r="BA1248" s="153" t="n">
        <f aca="false">IFERROR(IF(AND($N1248="VCA",$Q1248="LINEAR"),INDEX(APOIO_REDES!$A:$W,MATCH($C1248&amp;$I1248&amp;$H1248&amp;$N1248&amp;$O1248,APOIO_REDES!$W:$W,0),MATCH(BA$5,APOIO_REDES!$5:$5,0)),IF(AND($N1248="MND",$Q1248="EMBOQUE"),INDEX(APOIO_REDES!$A:$W,MATCH($C1248&amp;$I1248&amp;$H1248&amp;$N1248&amp;$O1248,APOIO_REDES!$W:$W,0),MATCH(BA$5,APOIO_REDES!$5:$5,0)),0))*$M1248/10,0)</f>
        <v>6.42764883698748</v>
      </c>
      <c r="BB1248" s="153" t="n">
        <f aca="false">IFERROR(IF($N1248="VCA",INDEX(APOIO_REDES!$A:$W,MATCH($C1248&amp;$I1248&amp;$H1248&amp;$N1248&amp;$O1248,APOIO_REDES!$W:$W,0),MATCH(BB$5,APOIO_REDES!$5:$5,0)),0)*($AI1248+$AQ1248+$AR1248),0)</f>
        <v>23.7396271001369</v>
      </c>
      <c r="BC1248" s="153" t="n">
        <f aca="false">IFERROR(IF($N1248="VCA",INDEX(APOIO_REDES!$A:$W,MATCH($C1248&amp;$I1248&amp;$H1248&amp;$N1248&amp;$O1248,APOIO_REDES!$W:$W,0),MATCH(BC$5,APOIO_REDES!$5:$5,0)),0)*($AI1248+$AQ1248+$AR1248),0)</f>
        <v>0.261135399863084</v>
      </c>
      <c r="BD1248" s="153" t="n">
        <f aca="false">IF(AND($N1248="VCA",$AF1248&gt;=1.25,$AF1248&lt;1.5),$M1248*$AF1248*2,0)</f>
        <v>217.3985</v>
      </c>
      <c r="BE1248" s="153" t="n">
        <f aca="false">IF(AND($N1248="VCA",$AF1248&gt;=1.5,$AF1248&lt;3),$M1248*$AF1248*2,0)</f>
        <v>0</v>
      </c>
      <c r="BF1248" s="153" t="n">
        <f aca="false">IF(AND($N1248="VCA",$AF1248&gt;=3),$M1248*$AF1248*2,0)</f>
        <v>0</v>
      </c>
      <c r="BG1248" s="153" t="n">
        <f aca="false">($BB1248+$BC1248)*$AK1248</f>
        <v>72.0022875</v>
      </c>
      <c r="BH1248" s="153" t="n">
        <f aca="false">IF(AND($M1248&lt;&gt;"",$N1248="VCA",$Q1248="LINEAR"),($M1248*2)/100,IF(AND($M1248&lt;&gt;"",$N1248="MND",$Q1248="EMBOQUE"),($AN1248*2)/100,0))</f>
        <v>1.595</v>
      </c>
      <c r="BI1248" s="153" t="n">
        <f aca="false">IF(AND($M1248&lt;&gt;"",$N1248="VCA",$Q1248="LINEAR"),$M1248,IF(AND($M1248&lt;&gt;"",$N1248="MND",$Q1248="EMBOQUE"),$AN1248*2,0))</f>
        <v>79.75</v>
      </c>
      <c r="BJ1248" s="153" t="n">
        <f aca="false">IF(AND($M1248&lt;&gt;"",$N1248="VCA",$Q1248="LINEAR"),($M1248*6.8)/100,IF(AND($M1248&lt;&gt;"",$N1248="MND",$Q1248="EMBOQUE"),($AN1248*2*6.8)/100,0))</f>
        <v>5.423</v>
      </c>
      <c r="BK1248" s="153" t="n">
        <f aca="false">IF(AND($M1248&lt;&gt;"",$N1248="VCA",$Q1248="LINEAR"),($M1248*2.5)/50,IF(AND($M1248&lt;&gt;"",$N1248="MND",$Q1248="EMBOQUE"),($AN1248*2*2.5)/50,0))</f>
        <v>3.9875</v>
      </c>
      <c r="BL1248" s="157" t="str">
        <f aca="false">K1248&amp;J1248</f>
        <v>Zona11REDES</v>
      </c>
      <c r="BM1248" s="152" t="s">
        <v>6084</v>
      </c>
      <c r="BN1248" s="152" t="s">
        <v>1560</v>
      </c>
      <c r="BO1248" s="152" t="s">
        <v>4725</v>
      </c>
      <c r="BP1248" s="152" t="s">
        <v>6270</v>
      </c>
      <c r="BQ1248" s="152" t="s">
        <v>6253</v>
      </c>
      <c r="BR1248" s="152" t="s">
        <v>6271</v>
      </c>
      <c r="BS1248" s="152" t="n">
        <v>204885.998</v>
      </c>
      <c r="BT1248" s="152" t="n">
        <v>8236520.643</v>
      </c>
      <c r="BU1248" s="152" t="n">
        <v>204862.405</v>
      </c>
      <c r="BV1248" s="152" t="n">
        <v>8236596.822</v>
      </c>
      <c r="BW1248" s="152" t="n">
        <v>-15.9327025</v>
      </c>
      <c r="BX1248" s="152" t="n">
        <v>-47.7565714</v>
      </c>
      <c r="BY1248" s="152" t="s">
        <v>6270</v>
      </c>
    </row>
    <row r="1249" customFormat="false" ht="13.8" hidden="false" customHeight="false" outlineLevel="0" collapsed="false">
      <c r="A1249" s="149" t="n">
        <f aca="false">IF(C1249&lt;&gt;"",ROW(A1244),"")</f>
        <v>1244</v>
      </c>
      <c r="B1249" s="150" t="str">
        <f aca="false">HYPERLINK("https://www.google.com/maps/dir/-15.917302,-47.760003/-15.9330479,-47.7564662/data=!4m3!4m2!3e0!5i1")</f>
        <v>https://www.google.com/maps/dir/-15.917302,-47.760003/-15.9330479,-47.7564662/data=!4m3!4m2!3e0!5i1</v>
      </c>
      <c r="C1249" s="151" t="s">
        <v>117</v>
      </c>
      <c r="D1249" s="152" t="s">
        <v>112</v>
      </c>
      <c r="E1249" s="152" t="s">
        <v>113</v>
      </c>
      <c r="F1249" s="152" t="s">
        <v>117</v>
      </c>
      <c r="G1249" s="152" t="s">
        <v>782</v>
      </c>
      <c r="H1249" s="152" t="n">
        <v>63</v>
      </c>
      <c r="I1249" s="152" t="s">
        <v>115</v>
      </c>
      <c r="J1249" s="152" t="s">
        <v>6</v>
      </c>
      <c r="K1249" s="152" t="s">
        <v>6081</v>
      </c>
      <c r="L1249" s="152" t="s">
        <v>120</v>
      </c>
      <c r="M1249" s="153" t="n">
        <f aca="false">96.86</f>
        <v>96.86</v>
      </c>
      <c r="N1249" s="152" t="s">
        <v>1548</v>
      </c>
      <c r="O1249" s="152" t="s">
        <v>1549</v>
      </c>
      <c r="P1249" s="152" t="s">
        <v>1550</v>
      </c>
      <c r="Q1249" s="152" t="s">
        <v>1551</v>
      </c>
      <c r="R1249" s="154" t="s">
        <v>6272</v>
      </c>
      <c r="S1249" s="154" t="s">
        <v>1553</v>
      </c>
      <c r="T1249" s="155" t="s">
        <v>4723</v>
      </c>
      <c r="U1249" s="152" t="str">
        <f aca="false">RIGHT(T1249,7)</f>
        <v>020/037</v>
      </c>
      <c r="V1249" s="152" t="s">
        <v>1555</v>
      </c>
      <c r="W1249" s="156" t="n">
        <v>45882</v>
      </c>
      <c r="X1249" s="152" t="s">
        <v>3938</v>
      </c>
      <c r="Y1249" s="152"/>
      <c r="Z1249" s="152" t="s">
        <v>1557</v>
      </c>
      <c r="AA1249" s="153" t="n">
        <v>3</v>
      </c>
      <c r="AB1249" s="151" t="s">
        <v>6273</v>
      </c>
      <c r="AC1249" s="151" t="s">
        <v>186</v>
      </c>
      <c r="AD1249" s="151" t="str">
        <f aca="false">CONCATENATE($C1249,$I1249,$H1249,$N1249,$J1249,$K1249)</f>
        <v>TUBO PEADPEAD63VCAREDESZona11</v>
      </c>
      <c r="AE1249" s="153" t="n">
        <f aca="false">IFERROR(INDEX(APOIO_REDES!$A:$W,MATCH($C1249&amp;$I1249&amp;$H1249&amp;$N1249&amp;$O1249,APOIO_REDES!$W:$W,0),MATCH(AE$5,APOIO_REDES!$5:$5,0)),0)</f>
        <v>1.2</v>
      </c>
      <c r="AF1249" s="153" t="n">
        <f aca="false">IFERROR(INDEX(APOIO_REDES!$A:$W,MATCH($C1249&amp;$I1249&amp;$H1249&amp;$N1249&amp;$O1249,APOIO_REDES!$W:$W,0),MATCH(AF$5,APOIO_REDES!$5:$5,0)),0)</f>
        <v>1.363</v>
      </c>
      <c r="AG1249" s="153" t="n">
        <f aca="false">IFERROR(INDEX(APOIO_REDES!$A:$W,MATCH($C1249&amp;$I1249&amp;$H1249&amp;$N1249&amp;$O1249,APOIO_REDES!$W:$W,0),MATCH(AG$5,APOIO_REDES!$5:$5,0)),0)</f>
        <v>0.65</v>
      </c>
      <c r="AH1249" s="153" t="n">
        <f aca="false">IFERROR(INDEX(APOIO_REDES!$A:$W,MATCH($C1249&amp;$I1249&amp;$H1249&amp;$N1249&amp;$O1249,APOIO_REDES!$W:$W,0),MATCH(AH$5,APOIO_REDES!$5:$5,0)),0)</f>
        <v>0.1</v>
      </c>
      <c r="AI1249" s="153" t="n">
        <f aca="false">IFERROR(IF($H1249&lt;&gt;"",(((($H1249/1000)/2)^2)*PI()*$M1249),0),0)</f>
        <v>0.3019363807774</v>
      </c>
      <c r="AJ1249" s="153" t="n">
        <f aca="false">IFERROR(IF(AND($H1249&lt;&gt;"",$I1249="FoFo",OR($N1249="MND",$N1249="VCA"),$Q1249="LINEAR"),0,IF(AND($H1249&lt;&gt;"",$I1249="PEAD",$N1249="VCA",$Q1249="LINEAR"),($H1249/1000)+0.3,IF(AND($H1249&lt;&gt;"",$I1249="PEAD",$N1249="MND",$Q1249="EMBOQUE"),0,IF(AND($H1249&lt;&gt;"",$I1249="PVC",$N1249="VCA",$Q1249="LINEAR"),($H1249/1000)+0.2,IF(AND($H1249&lt;&gt;"",$I1249="PVC",$N1249="MND",$Q1249="EMBOQUE"),0,IF(AND($H1249&lt;&gt;"",$I1249="PEAD",$N1249="VCA",$Q1249="PREDIAL"),0,0)))))),0)</f>
        <v>0.363</v>
      </c>
      <c r="AK1249" s="153" t="n">
        <f aca="false">IF(AA1249&lt;&gt;"",AA1249,0)</f>
        <v>3</v>
      </c>
      <c r="AL1249" s="153" t="n">
        <f aca="false">IF(AND($N1249="MND",$Q1249="EMBOQUE"),$M1249,IF(AND($N1249="VCA",$Q1249="LINEAR"),$M1249,IF(AND($N1249="VCA",$Q1249="PREDIAL"),0,0)))</f>
        <v>96.86</v>
      </c>
      <c r="AM1249" s="153" t="n">
        <f aca="false">IF(AND($N1249="MND",$Q1249="EMBOQUE"),$M1249,IF(AND($N1249="VCA",$Q1249="LINEAR"),$M1249,IF(AND($N1249="VCA",$Q1249="PREDIAL"),0,0)))</f>
        <v>96.86</v>
      </c>
      <c r="AN1249" s="153" t="n">
        <f aca="false">ROUND(IF(AND($N1249="VCA",$M1249&lt;&gt;"",$Q1249="LINEAR"),$M1249/100,IF(AND($N1249="MND",$M1249&gt;100,$Q1249="EMBOQUE"),$M1249/100,0)),0)</f>
        <v>1</v>
      </c>
      <c r="AO1249" s="153" t="n">
        <f aca="false">IF(AND($N1249="MND",$Q1249="EMBOQUE"),$AN1249*2*2,IF(AND($N1249="VCA",$Q1249="LINEAR"),$M1249*2,IF(AND($N1249="VCA",$Q1249="PREDIAL"),0,0)))</f>
        <v>193.72</v>
      </c>
      <c r="AP1249" s="153" t="n">
        <f aca="false">IFERROR($M1249*$AF1249*$AG1249,0)</f>
        <v>85.813117</v>
      </c>
      <c r="AQ1249" s="153" t="n">
        <f aca="false">IFERROR(IF(AND($N1249="VCA",$AH1249&gt;0),$M1249*$AG1249*$AH1249,0),0)</f>
        <v>6.2959</v>
      </c>
      <c r="AR1249" s="153" t="n">
        <f aca="false">IFERROR(IF(AND($N1249="VCA",$AJ1249&gt;0),($M1249*$AG1249*$AJ1249)-$AI1249,0),0)</f>
        <v>22.5521806192226</v>
      </c>
      <c r="AS1249" s="153" t="n">
        <f aca="false">IFERROR(IF(AND($N1249="VCA",$AP1249&gt;0),$AP1249-$AI1249-$AQ1249-$AR1249,0),0)</f>
        <v>56.6631</v>
      </c>
      <c r="AT1249" s="153" t="n">
        <f aca="false">IFERROR(IF($N1249="VCA",INDEX(APOIO_REDES!$A:$W,MATCH($C1249&amp;$I1249&amp;$H1249&amp;$N1249&amp;$O1249,APOIO_REDES!$W:$W,0),MATCH(AT$5,APOIO_REDES!$5:$5,0)),0)*$AP1249,0)</f>
        <v>0.933672112346123</v>
      </c>
      <c r="AU1249" s="153" t="n">
        <f aca="false">IFERROR(IF($N1249="VCA",INDEX(APOIO_REDES!$A:$W,MATCH($C1249&amp;$I1249&amp;$H1249&amp;$N1249&amp;$O1249,APOIO_REDES!$W:$W,0),MATCH(AU$5,APOIO_REDES!$5:$5,0)),0)*$AP1249,0)</f>
        <v>0.745605261871896</v>
      </c>
      <c r="AV1249" s="153" t="n">
        <f aca="false">IFERROR(IF($N1249="VCA",INDEX(APOIO_REDES!$A:$W,MATCH($C1249&amp;$I1249&amp;$H1249&amp;$N1249&amp;$O1249,APOIO_REDES!$W:$W,0),MATCH(AV$5,APOIO_REDES!$5:$5,0)),0)*$AP1249,0)</f>
        <v>0.103185915012271</v>
      </c>
      <c r="AW1249" s="153" t="n">
        <f aca="false">IFERROR(IF($N1249="VCA",INDEX(APOIO_REDES!$A:$W,MATCH($C1249&amp;$I1249&amp;$H1249&amp;$N1249&amp;$O1249,APOIO_REDES!$W:$W,0),MATCH(AW$5,APOIO_REDES!$5:$5,0)),0)*$AP1249,0)</f>
        <v>58.9027884212767</v>
      </c>
      <c r="AX1249" s="153" t="n">
        <f aca="false">IFERROR(IF($N1249="VCA",INDEX(APOIO_REDES!$A:$W,MATCH($C1249&amp;$I1249&amp;$H1249&amp;$N1249&amp;$O1249,APOIO_REDES!$W:$W,0),MATCH(AX$5,APOIO_REDES!$5:$5,0)),0)*$AP1249,0)</f>
        <v>8.15197812973583</v>
      </c>
      <c r="AY1249" s="153" t="n">
        <f aca="false">IFERROR(IF($N1249="VCA",INDEX(APOIO_REDES!$A:$W,MATCH($C1249&amp;$I1249&amp;$H1249&amp;$N1249&amp;$O1249,APOIO_REDES!$W:$W,0),MATCH(AY$5,APOIO_REDES!$5:$5,0)),0)*$AP1249,0)</f>
        <v>14.9120961485702</v>
      </c>
      <c r="AZ1249" s="153" t="n">
        <f aca="false">IFERROR(IF($N1249="VCA",INDEX(APOIO_REDES!$A:$W,MATCH($C1249&amp;$I1249&amp;$H1249&amp;$N1249&amp;$O1249,APOIO_REDES!$W:$W,0),MATCH(AZ$5,APOIO_REDES!$5:$5,0)),0)*$AP1249,0)</f>
        <v>2.06379101118703</v>
      </c>
      <c r="BA1249" s="153" t="n">
        <f aca="false">IFERROR(IF(AND($N1249="VCA",$Q1249="LINEAR"),INDEX(APOIO_REDES!$A:$W,MATCH($C1249&amp;$I1249&amp;$H1249&amp;$N1249&amp;$O1249,APOIO_REDES!$W:$W,0),MATCH(BA$5,APOIO_REDES!$5:$5,0)),IF(AND($N1249="MND",$Q1249="EMBOQUE"),INDEX(APOIO_REDES!$A:$W,MATCH($C1249&amp;$I1249&amp;$H1249&amp;$N1249&amp;$O1249,APOIO_REDES!$W:$W,0),MATCH(BA$5,APOIO_REDES!$5:$5,0)),0))*$M1249/10,0)</f>
        <v>7.80667167837752</v>
      </c>
      <c r="BB1249" s="153" t="n">
        <f aca="false">IFERROR(IF($N1249="VCA",INDEX(APOIO_REDES!$A:$W,MATCH($C1249&amp;$I1249&amp;$H1249&amp;$N1249&amp;$O1249,APOIO_REDES!$W:$W,0),MATCH(BB$5,APOIO_REDES!$5:$5,0)),0)*($AI1249+$AQ1249+$AR1249),0)</f>
        <v>28.8328561870754</v>
      </c>
      <c r="BC1249" s="153" t="n">
        <f aca="false">IFERROR(IF($N1249="VCA",INDEX(APOIO_REDES!$A:$W,MATCH($C1249&amp;$I1249&amp;$H1249&amp;$N1249&amp;$O1249,APOIO_REDES!$W:$W,0),MATCH(BC$5,APOIO_REDES!$5:$5,0)),0)*($AI1249+$AQ1249+$AR1249),0)</f>
        <v>0.317160812924619</v>
      </c>
      <c r="BD1249" s="153" t="n">
        <f aca="false">IF(AND($N1249="VCA",$AF1249&gt;=1.25,$AF1249&lt;1.5),$M1249*$AF1249*2,0)</f>
        <v>264.04036</v>
      </c>
      <c r="BE1249" s="153" t="n">
        <f aca="false">IF(AND($N1249="VCA",$AF1249&gt;=1.5,$AF1249&lt;3),$M1249*$AF1249*2,0)</f>
        <v>0</v>
      </c>
      <c r="BF1249" s="153" t="n">
        <f aca="false">IF(AND($N1249="VCA",$AF1249&gt;=3),$M1249*$AF1249*2,0)</f>
        <v>0</v>
      </c>
      <c r="BG1249" s="153" t="n">
        <f aca="false">($BB1249+$BC1249)*$AK1249</f>
        <v>87.450051</v>
      </c>
      <c r="BH1249" s="153" t="n">
        <f aca="false">IF(AND($M1249&lt;&gt;"",$N1249="VCA",$Q1249="LINEAR"),($M1249*2)/100,IF(AND($M1249&lt;&gt;"",$N1249="MND",$Q1249="EMBOQUE"),($AN1249*2)/100,0))</f>
        <v>1.9372</v>
      </c>
      <c r="BI1249" s="153" t="n">
        <f aca="false">IF(AND($M1249&lt;&gt;"",$N1249="VCA",$Q1249="LINEAR"),$M1249,IF(AND($M1249&lt;&gt;"",$N1249="MND",$Q1249="EMBOQUE"),$AN1249*2,0))</f>
        <v>96.86</v>
      </c>
      <c r="BJ1249" s="153" t="n">
        <f aca="false">IF(AND($M1249&lt;&gt;"",$N1249="VCA",$Q1249="LINEAR"),($M1249*6.8)/100,IF(AND($M1249&lt;&gt;"",$N1249="MND",$Q1249="EMBOQUE"),($AN1249*2*6.8)/100,0))</f>
        <v>6.58648</v>
      </c>
      <c r="BK1249" s="153" t="n">
        <f aca="false">IF(AND($M1249&lt;&gt;"",$N1249="VCA",$Q1249="LINEAR"),($M1249*2.5)/50,IF(AND($M1249&lt;&gt;"",$N1249="MND",$Q1249="EMBOQUE"),($AN1249*2*2.5)/50,0))</f>
        <v>4.843</v>
      </c>
      <c r="BL1249" s="157" t="str">
        <f aca="false">K1249&amp;J1249</f>
        <v>Zona11REDES</v>
      </c>
      <c r="BM1249" s="152" t="s">
        <v>6084</v>
      </c>
      <c r="BN1249" s="152" t="s">
        <v>1560</v>
      </c>
      <c r="BO1249" s="152" t="s">
        <v>4725</v>
      </c>
      <c r="BP1249" s="152" t="s">
        <v>6270</v>
      </c>
      <c r="BQ1249" s="152" t="s">
        <v>6266</v>
      </c>
      <c r="BR1249" s="152" t="s">
        <v>6274</v>
      </c>
      <c r="BS1249" s="152" t="n">
        <v>204885.998</v>
      </c>
      <c r="BT1249" s="152" t="n">
        <v>8236520.643</v>
      </c>
      <c r="BU1249" s="152" t="n">
        <v>204979.058</v>
      </c>
      <c r="BV1249" s="152" t="n">
        <v>8236547.515</v>
      </c>
      <c r="BW1249" s="152" t="n">
        <v>-15.932934</v>
      </c>
      <c r="BX1249" s="152" t="n">
        <v>-47.7560297</v>
      </c>
      <c r="BY1249" s="152" t="s">
        <v>6270</v>
      </c>
    </row>
    <row r="1250" customFormat="false" ht="13.8" hidden="false" customHeight="false" outlineLevel="0" collapsed="false">
      <c r="A1250" s="149" t="n">
        <f aca="false">IF(C1250&lt;&gt;"",ROW(A1245),"")</f>
        <v>1245</v>
      </c>
      <c r="B1250" s="150" t="str">
        <f aca="false">HYPERLINK("https://www.google.com/maps/dir/-15.917302,-47.760003/-15.9329973,-47.7578975/data=!4m3!4m2!3e0!5i2")</f>
        <v>https://www.google.com/maps/dir/-15.917302,-47.760003/-15.9329973,-47.7578975/data=!4m3!4m2!3e0!5i2</v>
      </c>
      <c r="C1250" s="151" t="s">
        <v>117</v>
      </c>
      <c r="D1250" s="152" t="s">
        <v>112</v>
      </c>
      <c r="E1250" s="152" t="s">
        <v>113</v>
      </c>
      <c r="F1250" s="152" t="s">
        <v>117</v>
      </c>
      <c r="G1250" s="152" t="s">
        <v>782</v>
      </c>
      <c r="H1250" s="152" t="n">
        <v>63</v>
      </c>
      <c r="I1250" s="152" t="s">
        <v>115</v>
      </c>
      <c r="J1250" s="152" t="s">
        <v>6</v>
      </c>
      <c r="K1250" s="152" t="s">
        <v>6081</v>
      </c>
      <c r="L1250" s="152" t="s">
        <v>120</v>
      </c>
      <c r="M1250" s="153" t="n">
        <f aca="false">29.97</f>
        <v>29.97</v>
      </c>
      <c r="N1250" s="152" t="s">
        <v>1548</v>
      </c>
      <c r="O1250" s="152" t="s">
        <v>1549</v>
      </c>
      <c r="P1250" s="152" t="s">
        <v>1550</v>
      </c>
      <c r="Q1250" s="152" t="s">
        <v>1551</v>
      </c>
      <c r="R1250" s="154" t="s">
        <v>6275</v>
      </c>
      <c r="S1250" s="154" t="s">
        <v>1553</v>
      </c>
      <c r="T1250" s="155" t="s">
        <v>4723</v>
      </c>
      <c r="U1250" s="152" t="str">
        <f aca="false">RIGHT(T1250,7)</f>
        <v>020/037</v>
      </c>
      <c r="V1250" s="152" t="s">
        <v>1555</v>
      </c>
      <c r="W1250" s="156" t="n">
        <v>45882</v>
      </c>
      <c r="X1250" s="152" t="s">
        <v>3938</v>
      </c>
      <c r="Y1250" s="152"/>
      <c r="Z1250" s="152" t="s">
        <v>1557</v>
      </c>
      <c r="AA1250" s="153" t="n">
        <v>3.1</v>
      </c>
      <c r="AB1250" s="151" t="s">
        <v>6276</v>
      </c>
      <c r="AC1250" s="151" t="s">
        <v>186</v>
      </c>
      <c r="AD1250" s="151" t="str">
        <f aca="false">CONCATENATE($C1250,$I1250,$H1250,$N1250,$J1250,$K1250)</f>
        <v>TUBO PEADPEAD63VCAREDESZona11</v>
      </c>
      <c r="AE1250" s="153" t="n">
        <f aca="false">IFERROR(INDEX(APOIO_REDES!$A:$W,MATCH($C1250&amp;$I1250&amp;$H1250&amp;$N1250&amp;$O1250,APOIO_REDES!$W:$W,0),MATCH(AE$5,APOIO_REDES!$5:$5,0)),0)</f>
        <v>1.2</v>
      </c>
      <c r="AF1250" s="153" t="n">
        <f aca="false">IFERROR(INDEX(APOIO_REDES!$A:$W,MATCH($C1250&amp;$I1250&amp;$H1250&amp;$N1250&amp;$O1250,APOIO_REDES!$W:$W,0),MATCH(AF$5,APOIO_REDES!$5:$5,0)),0)</f>
        <v>1.363</v>
      </c>
      <c r="AG1250" s="153" t="n">
        <f aca="false">IFERROR(INDEX(APOIO_REDES!$A:$W,MATCH($C1250&amp;$I1250&amp;$H1250&amp;$N1250&amp;$O1250,APOIO_REDES!$W:$W,0),MATCH(AG$5,APOIO_REDES!$5:$5,0)),0)</f>
        <v>0.65</v>
      </c>
      <c r="AH1250" s="153" t="n">
        <f aca="false">IFERROR(INDEX(APOIO_REDES!$A:$W,MATCH($C1250&amp;$I1250&amp;$H1250&amp;$N1250&amp;$O1250,APOIO_REDES!$W:$W,0),MATCH(AH$5,APOIO_REDES!$5:$5,0)),0)</f>
        <v>0.1</v>
      </c>
      <c r="AI1250" s="153" t="n">
        <f aca="false">IFERROR(IF($H1250&lt;&gt;"",(((($H1250/1000)/2)^2)*PI()*$M1250),0),0)</f>
        <v>0.0934238419564184</v>
      </c>
      <c r="AJ1250" s="153" t="n">
        <f aca="false">IFERROR(IF(AND($H1250&lt;&gt;"",$I1250="FoFo",OR($N1250="MND",$N1250="VCA"),$Q1250="LINEAR"),0,IF(AND($H1250&lt;&gt;"",$I1250="PEAD",$N1250="VCA",$Q1250="LINEAR"),($H1250/1000)+0.3,IF(AND($H1250&lt;&gt;"",$I1250="PEAD",$N1250="MND",$Q1250="EMBOQUE"),0,IF(AND($H1250&lt;&gt;"",$I1250="PVC",$N1250="VCA",$Q1250="LINEAR"),($H1250/1000)+0.2,IF(AND($H1250&lt;&gt;"",$I1250="PVC",$N1250="MND",$Q1250="EMBOQUE"),0,IF(AND($H1250&lt;&gt;"",$I1250="PEAD",$N1250="VCA",$Q1250="PREDIAL"),0,0)))))),0)</f>
        <v>0.363</v>
      </c>
      <c r="AK1250" s="153" t="n">
        <f aca="false">IF(AA1250&lt;&gt;"",AA1250,0)</f>
        <v>3.1</v>
      </c>
      <c r="AL1250" s="153" t="n">
        <f aca="false">IF(AND($N1250="MND",$Q1250="EMBOQUE"),$M1250,IF(AND($N1250="VCA",$Q1250="LINEAR"),$M1250,IF(AND($N1250="VCA",$Q1250="PREDIAL"),0,0)))</f>
        <v>29.97</v>
      </c>
      <c r="AM1250" s="153" t="n">
        <f aca="false">IF(AND($N1250="MND",$Q1250="EMBOQUE"),$M1250,IF(AND($N1250="VCA",$Q1250="LINEAR"),$M1250,IF(AND($N1250="VCA",$Q1250="PREDIAL"),0,0)))</f>
        <v>29.97</v>
      </c>
      <c r="AN1250" s="153" t="n">
        <f aca="false">ROUND(IF(AND($N1250="VCA",$M1250&lt;&gt;"",$Q1250="LINEAR"),$M1250/100,IF(AND($N1250="MND",$M1250&gt;100,$Q1250="EMBOQUE"),$M1250/100,0)),0)</f>
        <v>0</v>
      </c>
      <c r="AO1250" s="153" t="n">
        <f aca="false">IF(AND($N1250="MND",$Q1250="EMBOQUE"),$AN1250*2*2,IF(AND($N1250="VCA",$Q1250="LINEAR"),$M1250*2,IF(AND($N1250="VCA",$Q1250="PREDIAL"),0,0)))</f>
        <v>59.94</v>
      </c>
      <c r="AP1250" s="153" t="n">
        <f aca="false">IFERROR($M1250*$AF1250*$AG1250,0)</f>
        <v>26.5519215</v>
      </c>
      <c r="AQ1250" s="153" t="n">
        <f aca="false">IFERROR(IF(AND($N1250="VCA",$AH1250&gt;0),$M1250*$AG1250*$AH1250,0),0)</f>
        <v>1.94805</v>
      </c>
      <c r="AR1250" s="153" t="n">
        <f aca="false">IFERROR(IF(AND($N1250="VCA",$AJ1250&gt;0),($M1250*$AG1250*$AJ1250)-$AI1250,0),0)</f>
        <v>6.97799765804358</v>
      </c>
      <c r="AS1250" s="153" t="n">
        <f aca="false">IFERROR(IF(AND($N1250="VCA",$AP1250&gt;0),$AP1250-$AI1250-$AQ1250-$AR1250,0),0)</f>
        <v>17.53245</v>
      </c>
      <c r="AT1250" s="153" t="n">
        <f aca="false">IFERROR(IF($N1250="VCA",INDEX(APOIO_REDES!$A:$W,MATCH($C1250&amp;$I1250&amp;$H1250&amp;$N1250&amp;$O1250,APOIO_REDES!$W:$W,0),MATCH(AT$5,APOIO_REDES!$5:$5,0)),0)*$AP1250,0)</f>
        <v>0.288892764887604</v>
      </c>
      <c r="AU1250" s="153" t="n">
        <f aca="false">IFERROR(IF($N1250="VCA",INDEX(APOIO_REDES!$A:$W,MATCH($C1250&amp;$I1250&amp;$H1250&amp;$N1250&amp;$O1250,APOIO_REDES!$W:$W,0),MATCH(AU$5,APOIO_REDES!$5:$5,0)),0)*$AP1250,0)</f>
        <v>0.230701937830897</v>
      </c>
      <c r="AV1250" s="153" t="n">
        <f aca="false">IFERROR(IF($N1250="VCA",INDEX(APOIO_REDES!$A:$W,MATCH($C1250&amp;$I1250&amp;$H1250&amp;$N1250&amp;$O1250,APOIO_REDES!$W:$W,0),MATCH(AV$5,APOIO_REDES!$5:$5,0)),0)*$AP1250,0)</f>
        <v>0.0319273371145752</v>
      </c>
      <c r="AW1250" s="153" t="n">
        <f aca="false">IFERROR(IF($N1250="VCA",INDEX(APOIO_REDES!$A:$W,MATCH($C1250&amp;$I1250&amp;$H1250&amp;$N1250&amp;$O1250,APOIO_REDES!$W:$W,0),MATCH(AW$5,APOIO_REDES!$5:$5,0)),0)*$AP1250,0)</f>
        <v>18.2254446519271</v>
      </c>
      <c r="AX1250" s="153" t="n">
        <f aca="false">IFERROR(IF($N1250="VCA",INDEX(APOIO_REDES!$A:$W,MATCH($C1250&amp;$I1250&amp;$H1250&amp;$N1250&amp;$O1250,APOIO_REDES!$W:$W,0),MATCH(AX$5,APOIO_REDES!$5:$5,0)),0)*$AP1250,0)</f>
        <v>2.52234962366491</v>
      </c>
      <c r="AY1250" s="153" t="n">
        <f aca="false">IFERROR(IF($N1250="VCA",INDEX(APOIO_REDES!$A:$W,MATCH($C1250&amp;$I1250&amp;$H1250&amp;$N1250&amp;$O1250,APOIO_REDES!$W:$W,0),MATCH(AY$5,APOIO_REDES!$5:$5,0)),0)*$AP1250,0)</f>
        <v>4.61403594438002</v>
      </c>
      <c r="AZ1250" s="153" t="n">
        <f aca="false">IFERROR(IF($N1250="VCA",INDEX(APOIO_REDES!$A:$W,MATCH($C1250&amp;$I1250&amp;$H1250&amp;$N1250&amp;$O1250,APOIO_REDES!$W:$W,0),MATCH(AZ$5,APOIO_REDES!$5:$5,0)),0)*$AP1250,0)</f>
        <v>0.63856924019487</v>
      </c>
      <c r="BA1250" s="153" t="n">
        <f aca="false">IFERROR(IF(AND($N1250="VCA",$Q1250="LINEAR"),INDEX(APOIO_REDES!$A:$W,MATCH($C1250&amp;$I1250&amp;$H1250&amp;$N1250&amp;$O1250,APOIO_REDES!$W:$W,0),MATCH(BA$5,APOIO_REDES!$5:$5,0)),IF(AND($N1250="MND",$Q1250="EMBOQUE"),INDEX(APOIO_REDES!$A:$W,MATCH($C1250&amp;$I1250&amp;$H1250&amp;$N1250&amp;$O1250,APOIO_REDES!$W:$W,0),MATCH(BA$5,APOIO_REDES!$5:$5,0)),0))*$M1250/10,0)</f>
        <v>2.41550640306602</v>
      </c>
      <c r="BB1250" s="153" t="n">
        <f aca="false">IFERROR(IF($N1250="VCA",INDEX(APOIO_REDES!$A:$W,MATCH($C1250&amp;$I1250&amp;$H1250&amp;$N1250&amp;$O1250,APOIO_REDES!$W:$W,0),MATCH(BB$5,APOIO_REDES!$5:$5,0)),0)*($AI1250+$AQ1250+$AR1250),0)</f>
        <v>8.92133698045271</v>
      </c>
      <c r="BC1250" s="153" t="n">
        <f aca="false">IFERROR(IF($N1250="VCA",INDEX(APOIO_REDES!$A:$W,MATCH($C1250&amp;$I1250&amp;$H1250&amp;$N1250&amp;$O1250,APOIO_REDES!$W:$W,0),MATCH(BC$5,APOIO_REDES!$5:$5,0)),0)*($AI1250+$AQ1250+$AR1250),0)</f>
        <v>0.0981345195472932</v>
      </c>
      <c r="BD1250" s="153" t="n">
        <f aca="false">IF(AND($N1250="VCA",$AF1250&gt;=1.25,$AF1250&lt;1.5),$M1250*$AF1250*2,0)</f>
        <v>81.69822</v>
      </c>
      <c r="BE1250" s="153" t="n">
        <f aca="false">IF(AND($N1250="VCA",$AF1250&gt;=1.5,$AF1250&lt;3),$M1250*$AF1250*2,0)</f>
        <v>0</v>
      </c>
      <c r="BF1250" s="153" t="n">
        <f aca="false">IF(AND($N1250="VCA",$AF1250&gt;=3),$M1250*$AF1250*2,0)</f>
        <v>0</v>
      </c>
      <c r="BG1250" s="153" t="n">
        <f aca="false">($BB1250+$BC1250)*$AK1250</f>
        <v>27.96036165</v>
      </c>
      <c r="BH1250" s="153" t="n">
        <f aca="false">IF(AND($M1250&lt;&gt;"",$N1250="VCA",$Q1250="LINEAR"),($M1250*2)/100,IF(AND($M1250&lt;&gt;"",$N1250="MND",$Q1250="EMBOQUE"),($AN1250*2)/100,0))</f>
        <v>0.5994</v>
      </c>
      <c r="BI1250" s="153" t="n">
        <f aca="false">IF(AND($M1250&lt;&gt;"",$N1250="VCA",$Q1250="LINEAR"),$M1250,IF(AND($M1250&lt;&gt;"",$N1250="MND",$Q1250="EMBOQUE"),$AN1250*2,0))</f>
        <v>29.97</v>
      </c>
      <c r="BJ1250" s="153" t="n">
        <f aca="false">IF(AND($M1250&lt;&gt;"",$N1250="VCA",$Q1250="LINEAR"),($M1250*6.8)/100,IF(AND($M1250&lt;&gt;"",$N1250="MND",$Q1250="EMBOQUE"),($AN1250*2*6.8)/100,0))</f>
        <v>2.03796</v>
      </c>
      <c r="BK1250" s="153" t="n">
        <f aca="false">IF(AND($M1250&lt;&gt;"",$N1250="VCA",$Q1250="LINEAR"),($M1250*2.5)/50,IF(AND($M1250&lt;&gt;"",$N1250="MND",$Q1250="EMBOQUE"),($AN1250*2*2.5)/50,0))</f>
        <v>1.4985</v>
      </c>
      <c r="BL1250" s="157" t="str">
        <f aca="false">K1250&amp;J1250</f>
        <v>Zona11REDES</v>
      </c>
      <c r="BM1250" s="152" t="s">
        <v>6084</v>
      </c>
      <c r="BN1250" s="152" t="s">
        <v>1560</v>
      </c>
      <c r="BO1250" s="152" t="s">
        <v>4725</v>
      </c>
      <c r="BP1250" s="152" t="s">
        <v>6277</v>
      </c>
      <c r="BQ1250" s="152" t="s">
        <v>6257</v>
      </c>
      <c r="BR1250" s="152" t="s">
        <v>6278</v>
      </c>
      <c r="BS1250" s="152" t="n">
        <v>204732.581</v>
      </c>
      <c r="BT1250" s="152" t="n">
        <v>8236524.214</v>
      </c>
      <c r="BU1250" s="152" t="n">
        <v>204703.625</v>
      </c>
      <c r="BV1250" s="152" t="n">
        <v>8236516.474</v>
      </c>
      <c r="BW1250" s="152" t="n">
        <v>-15.9330305</v>
      </c>
      <c r="BX1250" s="152" t="n">
        <v>-47.7580331</v>
      </c>
      <c r="BY1250" s="152" t="s">
        <v>6277</v>
      </c>
    </row>
    <row r="1251" customFormat="false" ht="13.8" hidden="false" customHeight="false" outlineLevel="0" collapsed="false">
      <c r="A1251" s="149" t="n">
        <f aca="false">IF(C1251&lt;&gt;"",ROW(A1246),"")</f>
        <v>1246</v>
      </c>
      <c r="B1251" s="150" t="str">
        <f aca="false">HYPERLINK("https://www.google.com/maps/dir/-15.917302,-47.760003/-15.9325583,-47.7570613/data=!4m3!4m2!3e0!5i1")</f>
        <v>https://www.google.com/maps/dir/-15.917302,-47.760003/-15.9325583,-47.7570613/data=!4m3!4m2!3e0!5i1</v>
      </c>
      <c r="C1251" s="151" t="s">
        <v>117</v>
      </c>
      <c r="D1251" s="152" t="s">
        <v>112</v>
      </c>
      <c r="E1251" s="152" t="s">
        <v>113</v>
      </c>
      <c r="F1251" s="152" t="s">
        <v>117</v>
      </c>
      <c r="G1251" s="152" t="s">
        <v>782</v>
      </c>
      <c r="H1251" s="152" t="n">
        <v>63</v>
      </c>
      <c r="I1251" s="152" t="s">
        <v>115</v>
      </c>
      <c r="J1251" s="152" t="s">
        <v>6</v>
      </c>
      <c r="K1251" s="152" t="s">
        <v>6081</v>
      </c>
      <c r="L1251" s="152" t="s">
        <v>120</v>
      </c>
      <c r="M1251" s="153" t="n">
        <f aca="false">148.95+0.58</f>
        <v>149.53</v>
      </c>
      <c r="N1251" s="152" t="s">
        <v>1548</v>
      </c>
      <c r="O1251" s="152" t="s">
        <v>1549</v>
      </c>
      <c r="P1251" s="152" t="s">
        <v>1550</v>
      </c>
      <c r="Q1251" s="152" t="s">
        <v>1551</v>
      </c>
      <c r="R1251" s="154" t="s">
        <v>6279</v>
      </c>
      <c r="S1251" s="154" t="s">
        <v>1553</v>
      </c>
      <c r="T1251" s="155" t="s">
        <v>4723</v>
      </c>
      <c r="U1251" s="152" t="str">
        <f aca="false">RIGHT(T1251,7)</f>
        <v>020/037</v>
      </c>
      <c r="V1251" s="152" t="s">
        <v>1555</v>
      </c>
      <c r="W1251" s="156" t="n">
        <v>45882</v>
      </c>
      <c r="X1251" s="152" t="s">
        <v>3938</v>
      </c>
      <c r="Y1251" s="152"/>
      <c r="Z1251" s="152" t="s">
        <v>1557</v>
      </c>
      <c r="AA1251" s="153" t="n">
        <v>2.9</v>
      </c>
      <c r="AB1251" s="151" t="s">
        <v>6280</v>
      </c>
      <c r="AC1251" s="151" t="s">
        <v>186</v>
      </c>
      <c r="AD1251" s="151" t="str">
        <f aca="false">CONCATENATE($C1251,$I1251,$H1251,$N1251,$J1251,$K1251)</f>
        <v>TUBO PEADPEAD63VCAREDESZona11</v>
      </c>
      <c r="AE1251" s="153" t="n">
        <f aca="false">IFERROR(INDEX(APOIO_REDES!$A:$W,MATCH($C1251&amp;$I1251&amp;$H1251&amp;$N1251&amp;$O1251,APOIO_REDES!$W:$W,0),MATCH(AE$5,APOIO_REDES!$5:$5,0)),0)</f>
        <v>1.2</v>
      </c>
      <c r="AF1251" s="153" t="n">
        <f aca="false">IFERROR(INDEX(APOIO_REDES!$A:$W,MATCH($C1251&amp;$I1251&amp;$H1251&amp;$N1251&amp;$O1251,APOIO_REDES!$W:$W,0),MATCH(AF$5,APOIO_REDES!$5:$5,0)),0)</f>
        <v>1.363</v>
      </c>
      <c r="AG1251" s="153" t="n">
        <f aca="false">IFERROR(INDEX(APOIO_REDES!$A:$W,MATCH($C1251&amp;$I1251&amp;$H1251&amp;$N1251&amp;$O1251,APOIO_REDES!$W:$W,0),MATCH(AG$5,APOIO_REDES!$5:$5,0)),0)</f>
        <v>0.65</v>
      </c>
      <c r="AH1251" s="153" t="n">
        <f aca="false">IFERROR(INDEX(APOIO_REDES!$A:$W,MATCH($C1251&amp;$I1251&amp;$H1251&amp;$N1251&amp;$O1251,APOIO_REDES!$W:$W,0),MATCH(AH$5,APOIO_REDES!$5:$5,0)),0)</f>
        <v>0.1</v>
      </c>
      <c r="AI1251" s="153" t="n">
        <f aca="false">IFERROR(IF($H1251&lt;&gt;"",(((($H1251/1000)/2)^2)*PI()*$M1251),0),0)</f>
        <v>0.466121691282724</v>
      </c>
      <c r="AJ1251" s="153" t="n">
        <f aca="false">IFERROR(IF(AND($H1251&lt;&gt;"",$I1251="FoFo",OR($N1251="MND",$N1251="VCA"),$Q1251="LINEAR"),0,IF(AND($H1251&lt;&gt;"",$I1251="PEAD",$N1251="VCA",$Q1251="LINEAR"),($H1251/1000)+0.3,IF(AND($H1251&lt;&gt;"",$I1251="PEAD",$N1251="MND",$Q1251="EMBOQUE"),0,IF(AND($H1251&lt;&gt;"",$I1251="PVC",$N1251="VCA",$Q1251="LINEAR"),($H1251/1000)+0.2,IF(AND($H1251&lt;&gt;"",$I1251="PVC",$N1251="MND",$Q1251="EMBOQUE"),0,IF(AND($H1251&lt;&gt;"",$I1251="PEAD",$N1251="VCA",$Q1251="PREDIAL"),0,0)))))),0)</f>
        <v>0.363</v>
      </c>
      <c r="AK1251" s="153" t="n">
        <f aca="false">IF(AA1251&lt;&gt;"",AA1251,0)</f>
        <v>2.9</v>
      </c>
      <c r="AL1251" s="153" t="n">
        <f aca="false">IF(AND($N1251="MND",$Q1251="EMBOQUE"),$M1251,IF(AND($N1251="VCA",$Q1251="LINEAR"),$M1251,IF(AND($N1251="VCA",$Q1251="PREDIAL"),0,0)))</f>
        <v>149.53</v>
      </c>
      <c r="AM1251" s="153" t="n">
        <f aca="false">IF(AND($N1251="MND",$Q1251="EMBOQUE"),$M1251,IF(AND($N1251="VCA",$Q1251="LINEAR"),$M1251,IF(AND($N1251="VCA",$Q1251="PREDIAL"),0,0)))</f>
        <v>149.53</v>
      </c>
      <c r="AN1251" s="153" t="n">
        <f aca="false">ROUND(IF(AND($N1251="VCA",$M1251&lt;&gt;"",$Q1251="LINEAR"),$M1251/100,IF(AND($N1251="MND",$M1251&gt;100,$Q1251="EMBOQUE"),$M1251/100,0)),0)</f>
        <v>1</v>
      </c>
      <c r="AO1251" s="153" t="n">
        <f aca="false">IF(AND($N1251="MND",$Q1251="EMBOQUE"),$AN1251*2*2,IF(AND($N1251="VCA",$Q1251="LINEAR"),$M1251*2,IF(AND($N1251="VCA",$Q1251="PREDIAL"),0,0)))</f>
        <v>299.06</v>
      </c>
      <c r="AP1251" s="153" t="n">
        <f aca="false">IFERROR($M1251*$AF1251*$AG1251,0)</f>
        <v>132.4761035</v>
      </c>
      <c r="AQ1251" s="153" t="n">
        <f aca="false">IFERROR(IF(AND($N1251="VCA",$AH1251&gt;0),$M1251*$AG1251*$AH1251,0),0)</f>
        <v>9.71945</v>
      </c>
      <c r="AR1251" s="153" t="n">
        <f aca="false">IFERROR(IF(AND($N1251="VCA",$AJ1251&gt;0),($M1251*$AG1251*$AJ1251)-$AI1251,0),0)</f>
        <v>34.8154818087173</v>
      </c>
      <c r="AS1251" s="153" t="n">
        <f aca="false">IFERROR(IF(AND($N1251="VCA",$AP1251&gt;0),$AP1251-$AI1251-$AQ1251-$AR1251,0),0)</f>
        <v>87.47505</v>
      </c>
      <c r="AT1251" s="153" t="n">
        <f aca="false">IFERROR(IF($N1251="VCA",INDEX(APOIO_REDES!$A:$W,MATCH($C1251&amp;$I1251&amp;$H1251&amp;$N1251&amp;$O1251,APOIO_REDES!$W:$W,0),MATCH(AT$5,APOIO_REDES!$5:$5,0)),0)*$AP1251,0)</f>
        <v>1.44137921700512</v>
      </c>
      <c r="AU1251" s="153" t="n">
        <f aca="false">IFERROR(IF($N1251="VCA",INDEX(APOIO_REDES!$A:$W,MATCH($C1251&amp;$I1251&amp;$H1251&amp;$N1251&amp;$O1251,APOIO_REDES!$W:$W,0),MATCH(AU$5,APOIO_REDES!$5:$5,0)),0)*$AP1251,0)</f>
        <v>1.15104640520034</v>
      </c>
      <c r="AV1251" s="153" t="n">
        <f aca="false">IFERROR(IF($N1251="VCA",INDEX(APOIO_REDES!$A:$W,MATCH($C1251&amp;$I1251&amp;$H1251&amp;$N1251&amp;$O1251,APOIO_REDES!$W:$W,0),MATCH(AV$5,APOIO_REDES!$5:$5,0)),0)*$AP1251,0)</f>
        <v>0.159295786411159</v>
      </c>
      <c r="AW1251" s="153" t="n">
        <f aca="false">IFERROR(IF($N1251="VCA",INDEX(APOIO_REDES!$A:$W,MATCH($C1251&amp;$I1251&amp;$H1251&amp;$N1251&amp;$O1251,APOIO_REDES!$W:$W,0),MATCH(AW$5,APOIO_REDES!$5:$5,0)),0)*$AP1251,0)</f>
        <v>90.9326239173394</v>
      </c>
      <c r="AX1251" s="153" t="n">
        <f aca="false">IFERROR(IF($N1251="VCA",INDEX(APOIO_REDES!$A:$W,MATCH($C1251&amp;$I1251&amp;$H1251&amp;$N1251&amp;$O1251,APOIO_REDES!$W:$W,0),MATCH(AX$5,APOIO_REDES!$5:$5,0)),0)*$AP1251,0)</f>
        <v>12.5848161236775</v>
      </c>
      <c r="AY1251" s="153" t="n">
        <f aca="false">IFERROR(IF($N1251="VCA",INDEX(APOIO_REDES!$A:$W,MATCH($C1251&amp;$I1251&amp;$H1251&amp;$N1251&amp;$O1251,APOIO_REDES!$W:$W,0),MATCH(AY$5,APOIO_REDES!$5:$5,0)),0)*$AP1251,0)</f>
        <v>23.0209140728444</v>
      </c>
      <c r="AZ1251" s="153" t="n">
        <f aca="false">IFERROR(IF($N1251="VCA",INDEX(APOIO_REDES!$A:$W,MATCH($C1251&amp;$I1251&amp;$H1251&amp;$N1251&amp;$O1251,APOIO_REDES!$W:$W,0),MATCH(AZ$5,APOIO_REDES!$5:$5,0)),0)*$AP1251,0)</f>
        <v>3.18602797752215</v>
      </c>
      <c r="BA1251" s="153" t="n">
        <f aca="false">IFERROR(IF(AND($N1251="VCA",$Q1251="LINEAR"),INDEX(APOIO_REDES!$A:$W,MATCH($C1251&amp;$I1251&amp;$H1251&amp;$N1251&amp;$O1251,APOIO_REDES!$W:$W,0),MATCH(BA$5,APOIO_REDES!$5:$5,0)),IF(AND($N1251="MND",$Q1251="EMBOQUE"),INDEX(APOIO_REDES!$A:$W,MATCH($C1251&amp;$I1251&amp;$H1251&amp;$N1251&amp;$O1251,APOIO_REDES!$W:$W,0),MATCH(BA$5,APOIO_REDES!$5:$5,0)),0))*$M1251/10,0)</f>
        <v>12.0517408225045</v>
      </c>
      <c r="BB1251" s="153" t="n">
        <f aca="false">IFERROR(IF($N1251="VCA",INDEX(APOIO_REDES!$A:$W,MATCH($C1251&amp;$I1251&amp;$H1251&amp;$N1251&amp;$O1251,APOIO_REDES!$W:$W,0),MATCH(BB$5,APOIO_REDES!$5:$5,0)),0)*($AI1251+$AQ1251+$AR1251),0)</f>
        <v>44.5114287182881</v>
      </c>
      <c r="BC1251" s="153" t="n">
        <f aca="false">IFERROR(IF($N1251="VCA",INDEX(APOIO_REDES!$A:$W,MATCH($C1251&amp;$I1251&amp;$H1251&amp;$N1251&amp;$O1251,APOIO_REDES!$W:$W,0),MATCH(BC$5,APOIO_REDES!$5:$5,0)),0)*($AI1251+$AQ1251+$AR1251),0)</f>
        <v>0.489624781711937</v>
      </c>
      <c r="BD1251" s="153" t="n">
        <f aca="false">IF(AND($N1251="VCA",$AF1251&gt;=1.25,$AF1251&lt;1.5),$M1251*$AF1251*2,0)</f>
        <v>407.61878</v>
      </c>
      <c r="BE1251" s="153" t="n">
        <f aca="false">IF(AND($N1251="VCA",$AF1251&gt;=1.5,$AF1251&lt;3),$M1251*$AF1251*2,0)</f>
        <v>0</v>
      </c>
      <c r="BF1251" s="153" t="n">
        <f aca="false">IF(AND($N1251="VCA",$AF1251&gt;=3),$M1251*$AF1251*2,0)</f>
        <v>0</v>
      </c>
      <c r="BG1251" s="153" t="n">
        <f aca="false">($BB1251+$BC1251)*$AK1251</f>
        <v>130.50305515</v>
      </c>
      <c r="BH1251" s="153" t="n">
        <f aca="false">IF(AND($M1251&lt;&gt;"",$N1251="VCA",$Q1251="LINEAR"),($M1251*2)/100,IF(AND($M1251&lt;&gt;"",$N1251="MND",$Q1251="EMBOQUE"),($AN1251*2)/100,0))</f>
        <v>2.9906</v>
      </c>
      <c r="BI1251" s="153" t="n">
        <f aca="false">IF(AND($M1251&lt;&gt;"",$N1251="VCA",$Q1251="LINEAR"),$M1251,IF(AND($M1251&lt;&gt;"",$N1251="MND",$Q1251="EMBOQUE"),$AN1251*2,0))</f>
        <v>149.53</v>
      </c>
      <c r="BJ1251" s="153" t="n">
        <f aca="false">IF(AND($M1251&lt;&gt;"",$N1251="VCA",$Q1251="LINEAR"),($M1251*6.8)/100,IF(AND($M1251&lt;&gt;"",$N1251="MND",$Q1251="EMBOQUE"),($AN1251*2*6.8)/100,0))</f>
        <v>10.16804</v>
      </c>
      <c r="BK1251" s="153" t="n">
        <f aca="false">IF(AND($M1251&lt;&gt;"",$N1251="VCA",$Q1251="LINEAR"),($M1251*2.5)/50,IF(AND($M1251&lt;&gt;"",$N1251="MND",$Q1251="EMBOQUE"),($AN1251*2*2.5)/50,0))</f>
        <v>7.4765</v>
      </c>
      <c r="BL1251" s="157" t="str">
        <f aca="false">K1251&amp;J1251</f>
        <v>Zona11REDES</v>
      </c>
      <c r="BM1251" s="152" t="s">
        <v>6084</v>
      </c>
      <c r="BN1251" s="152" t="s">
        <v>1560</v>
      </c>
      <c r="BO1251" s="152" t="s">
        <v>4725</v>
      </c>
      <c r="BP1251" s="152" t="s">
        <v>6248</v>
      </c>
      <c r="BQ1251" s="152" t="s">
        <v>6281</v>
      </c>
      <c r="BR1251" s="152" t="s">
        <v>6282</v>
      </c>
      <c r="BS1251" s="152" t="n">
        <v>204821.523</v>
      </c>
      <c r="BT1251" s="152" t="n">
        <v>8236574.003</v>
      </c>
      <c r="BU1251" s="152" t="n">
        <v>204859.248</v>
      </c>
      <c r="BV1251" s="152" t="n">
        <v>8236430.185</v>
      </c>
      <c r="BW1251" s="152" t="n">
        <v>-15.9332029</v>
      </c>
      <c r="BX1251" s="152" t="n">
        <v>-47.7568669</v>
      </c>
      <c r="BY1251" s="152" t="s">
        <v>6248</v>
      </c>
    </row>
    <row r="1252" customFormat="false" ht="13.8" hidden="false" customHeight="false" outlineLevel="0" collapsed="false">
      <c r="A1252" s="149" t="n">
        <f aca="false">IF(C1252&lt;&gt;"",ROW(A1247),"")</f>
        <v>1247</v>
      </c>
      <c r="B1252" s="150" t="str">
        <f aca="false">HYPERLINK("https://www.google.com/maps/dir/-15.917302,-47.760003/-15.9328163,-47.7555944/data=!4m3!4m2!3e0!5i1")</f>
        <v>https://www.google.com/maps/dir/-15.917302,-47.760003/-15.9328163,-47.7555944/data=!4m3!4m2!3e0!5i1</v>
      </c>
      <c r="C1252" s="151" t="s">
        <v>117</v>
      </c>
      <c r="D1252" s="152" t="s">
        <v>112</v>
      </c>
      <c r="E1252" s="152" t="s">
        <v>113</v>
      </c>
      <c r="F1252" s="152" t="s">
        <v>117</v>
      </c>
      <c r="G1252" s="152" t="s">
        <v>782</v>
      </c>
      <c r="H1252" s="152" t="n">
        <v>63</v>
      </c>
      <c r="I1252" s="152" t="s">
        <v>115</v>
      </c>
      <c r="J1252" s="152" t="s">
        <v>6</v>
      </c>
      <c r="K1252" s="152" t="s">
        <v>6081</v>
      </c>
      <c r="L1252" s="152" t="s">
        <v>120</v>
      </c>
      <c r="M1252" s="153" t="n">
        <f aca="false">124.66</f>
        <v>124.66</v>
      </c>
      <c r="N1252" s="152" t="s">
        <v>1548</v>
      </c>
      <c r="O1252" s="152" t="s">
        <v>1549</v>
      </c>
      <c r="P1252" s="152" t="s">
        <v>1550</v>
      </c>
      <c r="Q1252" s="152" t="s">
        <v>1551</v>
      </c>
      <c r="R1252" s="154" t="s">
        <v>6283</v>
      </c>
      <c r="S1252" s="154" t="s">
        <v>1553</v>
      </c>
      <c r="T1252" s="155" t="s">
        <v>4723</v>
      </c>
      <c r="U1252" s="152" t="str">
        <f aca="false">RIGHT(T1252,7)</f>
        <v>020/037</v>
      </c>
      <c r="V1252" s="152" t="s">
        <v>1555</v>
      </c>
      <c r="W1252" s="156" t="n">
        <v>45882</v>
      </c>
      <c r="X1252" s="152" t="s">
        <v>3938</v>
      </c>
      <c r="Y1252" s="152"/>
      <c r="Z1252" s="152" t="s">
        <v>1557</v>
      </c>
      <c r="AA1252" s="153" t="n">
        <v>2.8</v>
      </c>
      <c r="AB1252" s="151" t="s">
        <v>6284</v>
      </c>
      <c r="AC1252" s="151" t="s">
        <v>186</v>
      </c>
      <c r="AD1252" s="151" t="str">
        <f aca="false">CONCATENATE($C1252,$I1252,$H1252,$N1252,$J1252,$K1252)</f>
        <v>TUBO PEADPEAD63VCAREDESZona11</v>
      </c>
      <c r="AE1252" s="153" t="n">
        <f aca="false">IFERROR(INDEX(APOIO_REDES!$A:$W,MATCH($C1252&amp;$I1252&amp;$H1252&amp;$N1252&amp;$O1252,APOIO_REDES!$W:$W,0),MATCH(AE$5,APOIO_REDES!$5:$5,0)),0)</f>
        <v>1.2</v>
      </c>
      <c r="AF1252" s="153" t="n">
        <f aca="false">IFERROR(INDEX(APOIO_REDES!$A:$W,MATCH($C1252&amp;$I1252&amp;$H1252&amp;$N1252&amp;$O1252,APOIO_REDES!$W:$W,0),MATCH(AF$5,APOIO_REDES!$5:$5,0)),0)</f>
        <v>1.363</v>
      </c>
      <c r="AG1252" s="153" t="n">
        <f aca="false">IFERROR(INDEX(APOIO_REDES!$A:$W,MATCH($C1252&amp;$I1252&amp;$H1252&amp;$N1252&amp;$O1252,APOIO_REDES!$W:$W,0),MATCH(AG$5,APOIO_REDES!$5:$5,0)),0)</f>
        <v>0.65</v>
      </c>
      <c r="AH1252" s="153" t="n">
        <f aca="false">IFERROR(INDEX(APOIO_REDES!$A:$W,MATCH($C1252&amp;$I1252&amp;$H1252&amp;$N1252&amp;$O1252,APOIO_REDES!$W:$W,0),MATCH(AH$5,APOIO_REDES!$5:$5,0)),0)</f>
        <v>0.1</v>
      </c>
      <c r="AI1252" s="153" t="n">
        <f aca="false">IFERROR(IF($H1252&lt;&gt;"",(((($H1252/1000)/2)^2)*PI()*$M1252),0),0)</f>
        <v>0.388595800409981</v>
      </c>
      <c r="AJ1252" s="153" t="n">
        <f aca="false">IFERROR(IF(AND($H1252&lt;&gt;"",$I1252="FoFo",OR($N1252="MND",$N1252="VCA"),$Q1252="LINEAR"),0,IF(AND($H1252&lt;&gt;"",$I1252="PEAD",$N1252="VCA",$Q1252="LINEAR"),($H1252/1000)+0.3,IF(AND($H1252&lt;&gt;"",$I1252="PEAD",$N1252="MND",$Q1252="EMBOQUE"),0,IF(AND($H1252&lt;&gt;"",$I1252="PVC",$N1252="VCA",$Q1252="LINEAR"),($H1252/1000)+0.2,IF(AND($H1252&lt;&gt;"",$I1252="PVC",$N1252="MND",$Q1252="EMBOQUE"),0,IF(AND($H1252&lt;&gt;"",$I1252="PEAD",$N1252="VCA",$Q1252="PREDIAL"),0,0)))))),0)</f>
        <v>0.363</v>
      </c>
      <c r="AK1252" s="153" t="n">
        <f aca="false">IF(AA1252&lt;&gt;"",AA1252,0)</f>
        <v>2.8</v>
      </c>
      <c r="AL1252" s="153" t="n">
        <f aca="false">IF(AND($N1252="MND",$Q1252="EMBOQUE"),$M1252,IF(AND($N1252="VCA",$Q1252="LINEAR"),$M1252,IF(AND($N1252="VCA",$Q1252="PREDIAL"),0,0)))</f>
        <v>124.66</v>
      </c>
      <c r="AM1252" s="153" t="n">
        <f aca="false">IF(AND($N1252="MND",$Q1252="EMBOQUE"),$M1252,IF(AND($N1252="VCA",$Q1252="LINEAR"),$M1252,IF(AND($N1252="VCA",$Q1252="PREDIAL"),0,0)))</f>
        <v>124.66</v>
      </c>
      <c r="AN1252" s="153" t="n">
        <f aca="false">ROUND(IF(AND($N1252="VCA",$M1252&lt;&gt;"",$Q1252="LINEAR"),$M1252/100,IF(AND($N1252="MND",$M1252&gt;100,$Q1252="EMBOQUE"),$M1252/100,0)),0)</f>
        <v>1</v>
      </c>
      <c r="AO1252" s="153" t="n">
        <f aca="false">IF(AND($N1252="MND",$Q1252="EMBOQUE"),$AN1252*2*2,IF(AND($N1252="VCA",$Q1252="LINEAR"),$M1252*2,IF(AND($N1252="VCA",$Q1252="PREDIAL"),0,0)))</f>
        <v>249.32</v>
      </c>
      <c r="AP1252" s="153" t="n">
        <f aca="false">IFERROR($M1252*$AF1252*$AG1252,0)</f>
        <v>110.442527</v>
      </c>
      <c r="AQ1252" s="153" t="n">
        <f aca="false">IFERROR(IF(AND($N1252="VCA",$AH1252&gt;0),$M1252*$AG1252*$AH1252,0),0)</f>
        <v>8.1029</v>
      </c>
      <c r="AR1252" s="153" t="n">
        <f aca="false">IFERROR(IF(AND($N1252="VCA",$AJ1252&gt;0),($M1252*$AG1252*$AJ1252)-$AI1252,0),0)</f>
        <v>29.02493119959</v>
      </c>
      <c r="AS1252" s="153" t="n">
        <f aca="false">IFERROR(IF(AND($N1252="VCA",$AP1252&gt;0),$AP1252-$AI1252-$AQ1252-$AR1252,0),0)</f>
        <v>72.9261</v>
      </c>
      <c r="AT1252" s="153" t="n">
        <f aca="false">IFERROR(IF($N1252="VCA",INDEX(APOIO_REDES!$A:$W,MATCH($C1252&amp;$I1252&amp;$H1252&amp;$N1252&amp;$O1252,APOIO_REDES!$W:$W,0),MATCH(AT$5,APOIO_REDES!$5:$5,0)),0)*$AP1252,0)</f>
        <v>1.20164738307937</v>
      </c>
      <c r="AU1252" s="153" t="n">
        <f aca="false">IFERROR(IF($N1252="VCA",INDEX(APOIO_REDES!$A:$W,MATCH($C1252&amp;$I1252&amp;$H1252&amp;$N1252&amp;$O1252,APOIO_REDES!$W:$W,0),MATCH(AU$5,APOIO_REDES!$5:$5,0)),0)*$AP1252,0)</f>
        <v>0.959603055388711</v>
      </c>
      <c r="AV1252" s="153" t="n">
        <f aca="false">IFERROR(IF($N1252="VCA",INDEX(APOIO_REDES!$A:$W,MATCH($C1252&amp;$I1252&amp;$H1252&amp;$N1252&amp;$O1252,APOIO_REDES!$W:$W,0),MATCH(AV$5,APOIO_REDES!$5:$5,0)),0)*$AP1252,0)</f>
        <v>0.132801529686451</v>
      </c>
      <c r="AW1252" s="153" t="n">
        <f aca="false">IFERROR(IF($N1252="VCA",INDEX(APOIO_REDES!$A:$W,MATCH($C1252&amp;$I1252&amp;$H1252&amp;$N1252&amp;$O1252,APOIO_REDES!$W:$W,0),MATCH(AW$5,APOIO_REDES!$5:$5,0)),0)*$AP1252,0)</f>
        <v>75.8086062832578</v>
      </c>
      <c r="AX1252" s="153" t="n">
        <f aca="false">IFERROR(IF($N1252="VCA",INDEX(APOIO_REDES!$A:$W,MATCH($C1252&amp;$I1252&amp;$H1252&amp;$N1252&amp;$O1252,APOIO_REDES!$W:$W,0),MATCH(AX$5,APOIO_REDES!$5:$5,0)),0)*$AP1252,0)</f>
        <v>10.4916951647003</v>
      </c>
      <c r="AY1252" s="153" t="n">
        <f aca="false">IFERROR(IF($N1252="VCA",INDEX(APOIO_REDES!$A:$W,MATCH($C1252&amp;$I1252&amp;$H1252&amp;$N1252&amp;$O1252,APOIO_REDES!$W:$W,0),MATCH(AY$5,APOIO_REDES!$5:$5,0)),0)*$AP1252,0)</f>
        <v>19.1920494102908</v>
      </c>
      <c r="AZ1252" s="153" t="n">
        <f aca="false">IFERROR(IF($N1252="VCA",INDEX(APOIO_REDES!$A:$W,MATCH($C1252&amp;$I1252&amp;$H1252&amp;$N1252&amp;$O1252,APOIO_REDES!$W:$W,0),MATCH(AZ$5,APOIO_REDES!$5:$5,0)),0)*$AP1252,0)</f>
        <v>2.65612417359668</v>
      </c>
      <c r="BA1252" s="153" t="n">
        <f aca="false">IFERROR(IF(AND($N1252="VCA",$Q1252="LINEAR"),INDEX(APOIO_REDES!$A:$W,MATCH($C1252&amp;$I1252&amp;$H1252&amp;$N1252&amp;$O1252,APOIO_REDES!$W:$W,0),MATCH(BA$5,APOIO_REDES!$5:$5,0)),IF(AND($N1252="MND",$Q1252="EMBOQUE"),INDEX(APOIO_REDES!$A:$W,MATCH($C1252&amp;$I1252&amp;$H1252&amp;$N1252&amp;$O1252,APOIO_REDES!$W:$W,0),MATCH(BA$5,APOIO_REDES!$5:$5,0)),0))*$M1252/10,0)</f>
        <v>10.0472815550954</v>
      </c>
      <c r="BB1252" s="153" t="n">
        <f aca="false">IFERROR(IF($N1252="VCA",INDEX(APOIO_REDES!$A:$W,MATCH($C1252&amp;$I1252&amp;$H1252&amp;$N1252&amp;$O1252,APOIO_REDES!$W:$W,0),MATCH(BB$5,APOIO_REDES!$5:$5,0)),0)*($AI1252+$AQ1252+$AR1252),0)</f>
        <v>37.1082371699444</v>
      </c>
      <c r="BC1252" s="153" t="n">
        <f aca="false">IFERROR(IF($N1252="VCA",INDEX(APOIO_REDES!$A:$W,MATCH($C1252&amp;$I1252&amp;$H1252&amp;$N1252&amp;$O1252,APOIO_REDES!$W:$W,0),MATCH(BC$5,APOIO_REDES!$5:$5,0)),0)*($AI1252+$AQ1252+$AR1252),0)</f>
        <v>0.408189830055574</v>
      </c>
      <c r="BD1252" s="153" t="n">
        <f aca="false">IF(AND($N1252="VCA",$AF1252&gt;=1.25,$AF1252&lt;1.5),$M1252*$AF1252*2,0)</f>
        <v>339.82316</v>
      </c>
      <c r="BE1252" s="153" t="n">
        <f aca="false">IF(AND($N1252="VCA",$AF1252&gt;=1.5,$AF1252&lt;3),$M1252*$AF1252*2,0)</f>
        <v>0</v>
      </c>
      <c r="BF1252" s="153" t="n">
        <f aca="false">IF(AND($N1252="VCA",$AF1252&gt;=3),$M1252*$AF1252*2,0)</f>
        <v>0</v>
      </c>
      <c r="BG1252" s="153" t="n">
        <f aca="false">($BB1252+$BC1252)*$AK1252</f>
        <v>105.0459956</v>
      </c>
      <c r="BH1252" s="153" t="n">
        <f aca="false">IF(AND($M1252&lt;&gt;"",$N1252="VCA",$Q1252="LINEAR"),($M1252*2)/100,IF(AND($M1252&lt;&gt;"",$N1252="MND",$Q1252="EMBOQUE"),($AN1252*2)/100,0))</f>
        <v>2.4932</v>
      </c>
      <c r="BI1252" s="153" t="n">
        <f aca="false">IF(AND($M1252&lt;&gt;"",$N1252="VCA",$Q1252="LINEAR"),$M1252,IF(AND($M1252&lt;&gt;"",$N1252="MND",$Q1252="EMBOQUE"),$AN1252*2,0))</f>
        <v>124.66</v>
      </c>
      <c r="BJ1252" s="153" t="n">
        <f aca="false">IF(AND($M1252&lt;&gt;"",$N1252="VCA",$Q1252="LINEAR"),($M1252*6.8)/100,IF(AND($M1252&lt;&gt;"",$N1252="MND",$Q1252="EMBOQUE"),($AN1252*2*6.8)/100,0))</f>
        <v>8.47688</v>
      </c>
      <c r="BK1252" s="153" t="n">
        <f aca="false">IF(AND($M1252&lt;&gt;"",$N1252="VCA",$Q1252="LINEAR"),($M1252*2.5)/50,IF(AND($M1252&lt;&gt;"",$N1252="MND",$Q1252="EMBOQUE"),($AN1252*2*2.5)/50,0))</f>
        <v>6.233</v>
      </c>
      <c r="BL1252" s="157" t="str">
        <f aca="false">K1252&amp;J1252</f>
        <v>Zona11REDES</v>
      </c>
      <c r="BM1252" s="152" t="s">
        <v>6084</v>
      </c>
      <c r="BN1252" s="152" t="s">
        <v>1560</v>
      </c>
      <c r="BO1252" s="152" t="s">
        <v>4725</v>
      </c>
      <c r="BP1252" s="152" t="s">
        <v>6266</v>
      </c>
      <c r="BQ1252" s="152" t="s">
        <v>6285</v>
      </c>
      <c r="BR1252" s="152" t="s">
        <v>6286</v>
      </c>
      <c r="BS1252" s="152" t="n">
        <v>204979.058</v>
      </c>
      <c r="BT1252" s="152" t="n">
        <v>8236547.515</v>
      </c>
      <c r="BU1252" s="152" t="n">
        <v>205013.829</v>
      </c>
      <c r="BV1252" s="152" t="n">
        <v>8236427.851</v>
      </c>
      <c r="BW1252" s="152" t="n">
        <v>-15.9333573</v>
      </c>
      <c r="BX1252" s="152" t="n">
        <v>-47.7554351</v>
      </c>
      <c r="BY1252" s="152" t="s">
        <v>6266</v>
      </c>
    </row>
    <row r="1253" customFormat="false" ht="13.8" hidden="false" customHeight="false" outlineLevel="0" collapsed="false">
      <c r="A1253" s="149" t="n">
        <f aca="false">IF(C1253&lt;&gt;"",ROW(A1248),"")</f>
        <v>1248</v>
      </c>
      <c r="B1253" s="150" t="str">
        <f aca="false">HYPERLINK("https://www.google.com/maps/dir/-15.917302,-47.760003/-15.9329973,-47.7578975/data=!4m3!4m2!3e0!5i2")</f>
        <v>https://www.google.com/maps/dir/-15.917302,-47.760003/-15.9329973,-47.7578975/data=!4m3!4m2!3e0!5i2</v>
      </c>
      <c r="C1253" s="151" t="s">
        <v>117</v>
      </c>
      <c r="D1253" s="152" t="s">
        <v>112</v>
      </c>
      <c r="E1253" s="152" t="s">
        <v>113</v>
      </c>
      <c r="F1253" s="152" t="s">
        <v>117</v>
      </c>
      <c r="G1253" s="152" t="s">
        <v>782</v>
      </c>
      <c r="H1253" s="152" t="n">
        <v>63</v>
      </c>
      <c r="I1253" s="152" t="s">
        <v>115</v>
      </c>
      <c r="J1253" s="152" t="s">
        <v>6</v>
      </c>
      <c r="K1253" s="152" t="s">
        <v>6081</v>
      </c>
      <c r="L1253" s="152" t="s">
        <v>120</v>
      </c>
      <c r="M1253" s="153" t="n">
        <f aca="false">131.27</f>
        <v>131.27</v>
      </c>
      <c r="N1253" s="152" t="s">
        <v>1548</v>
      </c>
      <c r="O1253" s="152" t="s">
        <v>1549</v>
      </c>
      <c r="P1253" s="152" t="s">
        <v>1550</v>
      </c>
      <c r="Q1253" s="152" t="s">
        <v>1551</v>
      </c>
      <c r="R1253" s="154" t="s">
        <v>6287</v>
      </c>
      <c r="S1253" s="154" t="s">
        <v>1553</v>
      </c>
      <c r="T1253" s="155" t="s">
        <v>4723</v>
      </c>
      <c r="U1253" s="152" t="str">
        <f aca="false">RIGHT(T1253,7)</f>
        <v>020/037</v>
      </c>
      <c r="V1253" s="152" t="s">
        <v>1555</v>
      </c>
      <c r="W1253" s="156" t="n">
        <v>45882</v>
      </c>
      <c r="X1253" s="152" t="s">
        <v>3938</v>
      </c>
      <c r="Y1253" s="152"/>
      <c r="Z1253" s="152" t="s">
        <v>1557</v>
      </c>
      <c r="AA1253" s="153" t="n">
        <v>3.1</v>
      </c>
      <c r="AB1253" s="151" t="s">
        <v>6288</v>
      </c>
      <c r="AC1253" s="151" t="s">
        <v>186</v>
      </c>
      <c r="AD1253" s="151" t="str">
        <f aca="false">CONCATENATE($C1253,$I1253,$H1253,$N1253,$J1253,$K1253)</f>
        <v>TUBO PEADPEAD63VCAREDESZona11</v>
      </c>
      <c r="AE1253" s="153" t="n">
        <f aca="false">IFERROR(INDEX(APOIO_REDES!$A:$W,MATCH($C1253&amp;$I1253&amp;$H1253&amp;$N1253&amp;$O1253,APOIO_REDES!$W:$W,0),MATCH(AE$5,APOIO_REDES!$5:$5,0)),0)</f>
        <v>1.2</v>
      </c>
      <c r="AF1253" s="153" t="n">
        <f aca="false">IFERROR(INDEX(APOIO_REDES!$A:$W,MATCH($C1253&amp;$I1253&amp;$H1253&amp;$N1253&amp;$O1253,APOIO_REDES!$W:$W,0),MATCH(AF$5,APOIO_REDES!$5:$5,0)),0)</f>
        <v>1.363</v>
      </c>
      <c r="AG1253" s="153" t="n">
        <f aca="false">IFERROR(INDEX(APOIO_REDES!$A:$W,MATCH($C1253&amp;$I1253&amp;$H1253&amp;$N1253&amp;$O1253,APOIO_REDES!$W:$W,0),MATCH(AG$5,APOIO_REDES!$5:$5,0)),0)</f>
        <v>0.65</v>
      </c>
      <c r="AH1253" s="153" t="n">
        <f aca="false">IFERROR(INDEX(APOIO_REDES!$A:$W,MATCH($C1253&amp;$I1253&amp;$H1253&amp;$N1253&amp;$O1253,APOIO_REDES!$W:$W,0),MATCH(AH$5,APOIO_REDES!$5:$5,0)),0)</f>
        <v>0.1</v>
      </c>
      <c r="AI1253" s="153" t="n">
        <f aca="false">IFERROR(IF($H1253&lt;&gt;"",(((($H1253/1000)/2)^2)*PI()*$M1253),0),0)</f>
        <v>0.409200791912548</v>
      </c>
      <c r="AJ1253" s="153" t="n">
        <f aca="false">IFERROR(IF(AND($H1253&lt;&gt;"",$I1253="FoFo",OR($N1253="MND",$N1253="VCA"),$Q1253="LINEAR"),0,IF(AND($H1253&lt;&gt;"",$I1253="PEAD",$N1253="VCA",$Q1253="LINEAR"),($H1253/1000)+0.3,IF(AND($H1253&lt;&gt;"",$I1253="PEAD",$N1253="MND",$Q1253="EMBOQUE"),0,IF(AND($H1253&lt;&gt;"",$I1253="PVC",$N1253="VCA",$Q1253="LINEAR"),($H1253/1000)+0.2,IF(AND($H1253&lt;&gt;"",$I1253="PVC",$N1253="MND",$Q1253="EMBOQUE"),0,IF(AND($H1253&lt;&gt;"",$I1253="PEAD",$N1253="VCA",$Q1253="PREDIAL"),0,0)))))),0)</f>
        <v>0.363</v>
      </c>
      <c r="AK1253" s="153" t="n">
        <f aca="false">IF(AA1253&lt;&gt;"",AA1253,0)</f>
        <v>3.1</v>
      </c>
      <c r="AL1253" s="153" t="n">
        <f aca="false">IF(AND($N1253="MND",$Q1253="EMBOQUE"),$M1253,IF(AND($N1253="VCA",$Q1253="LINEAR"),$M1253,IF(AND($N1253="VCA",$Q1253="PREDIAL"),0,0)))</f>
        <v>131.27</v>
      </c>
      <c r="AM1253" s="153" t="n">
        <f aca="false">IF(AND($N1253="MND",$Q1253="EMBOQUE"),$M1253,IF(AND($N1253="VCA",$Q1253="LINEAR"),$M1253,IF(AND($N1253="VCA",$Q1253="PREDIAL"),0,0)))</f>
        <v>131.27</v>
      </c>
      <c r="AN1253" s="153" t="n">
        <f aca="false">ROUND(IF(AND($N1253="VCA",$M1253&lt;&gt;"",$Q1253="LINEAR"),$M1253/100,IF(AND($N1253="MND",$M1253&gt;100,$Q1253="EMBOQUE"),$M1253/100,0)),0)</f>
        <v>1</v>
      </c>
      <c r="AO1253" s="153" t="n">
        <f aca="false">IF(AND($N1253="MND",$Q1253="EMBOQUE"),$AN1253*2*2,IF(AND($N1253="VCA",$Q1253="LINEAR"),$M1253*2,IF(AND($N1253="VCA",$Q1253="PREDIAL"),0,0)))</f>
        <v>262.54</v>
      </c>
      <c r="AP1253" s="153" t="n">
        <f aca="false">IFERROR($M1253*$AF1253*$AG1253,0)</f>
        <v>116.2986565</v>
      </c>
      <c r="AQ1253" s="153" t="n">
        <f aca="false">IFERROR(IF(AND($N1253="VCA",$AH1253&gt;0),$M1253*$AG1253*$AH1253,0),0)</f>
        <v>8.53255</v>
      </c>
      <c r="AR1253" s="153" t="n">
        <f aca="false">IFERROR(IF(AND($N1253="VCA",$AJ1253&gt;0),($M1253*$AG1253*$AJ1253)-$AI1253,0),0)</f>
        <v>30.5639557080875</v>
      </c>
      <c r="AS1253" s="153" t="n">
        <f aca="false">IFERROR(IF(AND($N1253="VCA",$AP1253&gt;0),$AP1253-$AI1253-$AQ1253-$AR1253,0),0)</f>
        <v>76.79295</v>
      </c>
      <c r="AT1253" s="153" t="n">
        <f aca="false">IFERROR(IF($N1253="VCA",INDEX(APOIO_REDES!$A:$W,MATCH($C1253&amp;$I1253&amp;$H1253&amp;$N1253&amp;$O1253,APOIO_REDES!$W:$W,0),MATCH(AT$5,APOIO_REDES!$5:$5,0)),0)*$AP1253,0)</f>
        <v>1.26536380536522</v>
      </c>
      <c r="AU1253" s="153" t="n">
        <f aca="false">IFERROR(IF($N1253="VCA",INDEX(APOIO_REDES!$A:$W,MATCH($C1253&amp;$I1253&amp;$H1253&amp;$N1253&amp;$O1253,APOIO_REDES!$W:$W,0),MATCH(AU$5,APOIO_REDES!$5:$5,0)),0)*$AP1253,0)</f>
        <v>1.01048526456663</v>
      </c>
      <c r="AV1253" s="153" t="n">
        <f aca="false">IFERROR(IF($N1253="VCA",INDEX(APOIO_REDES!$A:$W,MATCH($C1253&amp;$I1253&amp;$H1253&amp;$N1253&amp;$O1253,APOIO_REDES!$W:$W,0),MATCH(AV$5,APOIO_REDES!$5:$5,0)),0)*$AP1253,0)</f>
        <v>0.139843227995672</v>
      </c>
      <c r="AW1253" s="153" t="n">
        <f aca="false">IFERROR(IF($N1253="VCA",INDEX(APOIO_REDES!$A:$W,MATCH($C1253&amp;$I1253&amp;$H1253&amp;$N1253&amp;$O1253,APOIO_REDES!$W:$W,0),MATCH(AW$5,APOIO_REDES!$5:$5,0)),0)*$AP1253,0)</f>
        <v>79.8282989475634</v>
      </c>
      <c r="AX1253" s="153" t="n">
        <f aca="false">IFERROR(IF($N1253="VCA",INDEX(APOIO_REDES!$A:$W,MATCH($C1253&amp;$I1253&amp;$H1253&amp;$N1253&amp;$O1253,APOIO_REDES!$W:$W,0),MATCH(AX$5,APOIO_REDES!$5:$5,0)),0)*$AP1253,0)</f>
        <v>11.0480091791289</v>
      </c>
      <c r="AY1253" s="153" t="n">
        <f aca="false">IFERROR(IF($N1253="VCA",INDEX(APOIO_REDES!$A:$W,MATCH($C1253&amp;$I1253&amp;$H1253&amp;$N1253&amp;$O1253,APOIO_REDES!$W:$W,0),MATCH(AY$5,APOIO_REDES!$5:$5,0)),0)*$AP1253,0)</f>
        <v>20.2096929735991</v>
      </c>
      <c r="AZ1253" s="153" t="n">
        <f aca="false">IFERROR(IF($N1253="VCA",INDEX(APOIO_REDES!$A:$W,MATCH($C1253&amp;$I1253&amp;$H1253&amp;$N1253&amp;$O1253,APOIO_REDES!$W:$W,0),MATCH(AZ$5,APOIO_REDES!$5:$5,0)),0)*$AP1253,0)</f>
        <v>2.79696310178114</v>
      </c>
      <c r="BA1253" s="153" t="n">
        <f aca="false">IFERROR(IF(AND($N1253="VCA",$Q1253="LINEAR"),INDEX(APOIO_REDES!$A:$W,MATCH($C1253&amp;$I1253&amp;$H1253&amp;$N1253&amp;$O1253,APOIO_REDES!$W:$W,0),MATCH(BA$5,APOIO_REDES!$5:$5,0)),IF(AND($N1253="MND",$Q1253="EMBOQUE"),INDEX(APOIO_REDES!$A:$W,MATCH($C1253&amp;$I1253&amp;$H1253&amp;$N1253&amp;$O1253,APOIO_REDES!$W:$W,0),MATCH(BA$5,APOIO_REDES!$5:$5,0)),0))*$M1253/10,0)</f>
        <v>10.5800308818978</v>
      </c>
      <c r="BB1253" s="153" t="n">
        <f aca="false">IFERROR(IF($N1253="VCA",INDEX(APOIO_REDES!$A:$W,MATCH($C1253&amp;$I1253&amp;$H1253&amp;$N1253&amp;$O1253,APOIO_REDES!$W:$W,0),MATCH(BB$5,APOIO_REDES!$5:$5,0)),0)*($AI1253+$AQ1253+$AR1253),0)</f>
        <v>39.0758727201878</v>
      </c>
      <c r="BC1253" s="153" t="n">
        <f aca="false">IFERROR(IF($N1253="VCA",INDEX(APOIO_REDES!$A:$W,MATCH($C1253&amp;$I1253&amp;$H1253&amp;$N1253&amp;$O1253,APOIO_REDES!$W:$W,0),MATCH(BC$5,APOIO_REDES!$5:$5,0)),0)*($AI1253+$AQ1253+$AR1253),0)</f>
        <v>0.429833779812251</v>
      </c>
      <c r="BD1253" s="153" t="n">
        <f aca="false">IF(AND($N1253="VCA",$AF1253&gt;=1.25,$AF1253&lt;1.5),$M1253*$AF1253*2,0)</f>
        <v>357.84202</v>
      </c>
      <c r="BE1253" s="153" t="n">
        <f aca="false">IF(AND($N1253="VCA",$AF1253&gt;=1.5,$AF1253&lt;3),$M1253*$AF1253*2,0)</f>
        <v>0</v>
      </c>
      <c r="BF1253" s="153" t="n">
        <f aca="false">IF(AND($N1253="VCA",$AF1253&gt;=3),$M1253*$AF1253*2,0)</f>
        <v>0</v>
      </c>
      <c r="BG1253" s="153" t="n">
        <f aca="false">($BB1253+$BC1253)*$AK1253</f>
        <v>122.46769015</v>
      </c>
      <c r="BH1253" s="153" t="n">
        <f aca="false">IF(AND($M1253&lt;&gt;"",$N1253="VCA",$Q1253="LINEAR"),($M1253*2)/100,IF(AND($M1253&lt;&gt;"",$N1253="MND",$Q1253="EMBOQUE"),($AN1253*2)/100,0))</f>
        <v>2.6254</v>
      </c>
      <c r="BI1253" s="153" t="n">
        <f aca="false">IF(AND($M1253&lt;&gt;"",$N1253="VCA",$Q1253="LINEAR"),$M1253,IF(AND($M1253&lt;&gt;"",$N1253="MND",$Q1253="EMBOQUE"),$AN1253*2,0))</f>
        <v>131.27</v>
      </c>
      <c r="BJ1253" s="153" t="n">
        <f aca="false">IF(AND($M1253&lt;&gt;"",$N1253="VCA",$Q1253="LINEAR"),($M1253*6.8)/100,IF(AND($M1253&lt;&gt;"",$N1253="MND",$Q1253="EMBOQUE"),($AN1253*2*6.8)/100,0))</f>
        <v>8.92636</v>
      </c>
      <c r="BK1253" s="153" t="n">
        <f aca="false">IF(AND($M1253&lt;&gt;"",$N1253="VCA",$Q1253="LINEAR"),($M1253*2.5)/50,IF(AND($M1253&lt;&gt;"",$N1253="MND",$Q1253="EMBOQUE"),($AN1253*2*2.5)/50,0))</f>
        <v>6.5635</v>
      </c>
      <c r="BL1253" s="157" t="str">
        <f aca="false">K1253&amp;J1253</f>
        <v>Zona11REDES</v>
      </c>
      <c r="BM1253" s="152" t="s">
        <v>6084</v>
      </c>
      <c r="BN1253" s="152" t="s">
        <v>1560</v>
      </c>
      <c r="BO1253" s="152" t="s">
        <v>4725</v>
      </c>
      <c r="BP1253" s="152" t="s">
        <v>6277</v>
      </c>
      <c r="BQ1253" s="152" t="s">
        <v>6289</v>
      </c>
      <c r="BR1253" s="152" t="s">
        <v>6290</v>
      </c>
      <c r="BS1253" s="152" t="n">
        <v>204732.581</v>
      </c>
      <c r="BT1253" s="152" t="n">
        <v>8236524.214</v>
      </c>
      <c r="BU1253" s="152" t="n">
        <v>204771.731</v>
      </c>
      <c r="BV1253" s="152" t="n">
        <v>8236398.973</v>
      </c>
      <c r="BW1253" s="152" t="n">
        <v>-15.9335622</v>
      </c>
      <c r="BX1253" s="152" t="n">
        <v>-47.757713</v>
      </c>
      <c r="BY1253" s="152" t="s">
        <v>6277</v>
      </c>
    </row>
    <row r="1254" customFormat="false" ht="13.8" hidden="false" customHeight="false" outlineLevel="0" collapsed="false">
      <c r="A1254" s="149" t="n">
        <f aca="false">IF(C1254&lt;&gt;"",ROW(A1249),"")</f>
        <v>1249</v>
      </c>
      <c r="B1254" s="150" t="str">
        <f aca="false">HYPERLINK("https://www.google.com/maps/dir/-15.917302,-47.760003/-15.9342008,-47.7561145/data=!4m3!4m2!3e0!5i1")</f>
        <v>https://www.google.com/maps/dir/-15.917302,-47.760003/-15.9342008,-47.7561145/data=!4m3!4m2!3e0!5i1</v>
      </c>
      <c r="C1254" s="151" t="s">
        <v>117</v>
      </c>
      <c r="D1254" s="152" t="s">
        <v>112</v>
      </c>
      <c r="E1254" s="152" t="s">
        <v>113</v>
      </c>
      <c r="F1254" s="152" t="s">
        <v>117</v>
      </c>
      <c r="G1254" s="152" t="s">
        <v>782</v>
      </c>
      <c r="H1254" s="152" t="n">
        <v>63</v>
      </c>
      <c r="I1254" s="152" t="s">
        <v>115</v>
      </c>
      <c r="J1254" s="152" t="s">
        <v>6</v>
      </c>
      <c r="K1254" s="152" t="s">
        <v>6081</v>
      </c>
      <c r="L1254" s="152" t="s">
        <v>120</v>
      </c>
      <c r="M1254" s="153" t="n">
        <f aca="false">133.11</f>
        <v>133.11</v>
      </c>
      <c r="N1254" s="152" t="s">
        <v>1548</v>
      </c>
      <c r="O1254" s="152" t="s">
        <v>1549</v>
      </c>
      <c r="P1254" s="152" t="s">
        <v>1550</v>
      </c>
      <c r="Q1254" s="152" t="s">
        <v>1551</v>
      </c>
      <c r="R1254" s="154" t="s">
        <v>6291</v>
      </c>
      <c r="S1254" s="154" t="s">
        <v>1553</v>
      </c>
      <c r="T1254" s="155" t="s">
        <v>4723</v>
      </c>
      <c r="U1254" s="152" t="str">
        <f aca="false">RIGHT(T1254,7)</f>
        <v>020/037</v>
      </c>
      <c r="V1254" s="152" t="s">
        <v>1555</v>
      </c>
      <c r="W1254" s="156" t="n">
        <v>45882</v>
      </c>
      <c r="X1254" s="152" t="s">
        <v>3938</v>
      </c>
      <c r="Y1254" s="152" t="s">
        <v>6292</v>
      </c>
      <c r="Z1254" s="152" t="s">
        <v>1557</v>
      </c>
      <c r="AA1254" s="153" t="n">
        <v>3.1</v>
      </c>
      <c r="AB1254" s="151" t="s">
        <v>6293</v>
      </c>
      <c r="AC1254" s="151" t="s">
        <v>186</v>
      </c>
      <c r="AD1254" s="151" t="str">
        <f aca="false">CONCATENATE($C1254,$I1254,$H1254,$N1254,$J1254,$K1254)</f>
        <v>TUBO PEADPEAD63VCAREDESZona11</v>
      </c>
      <c r="AE1254" s="153" t="n">
        <f aca="false">IFERROR(INDEX(APOIO_REDES!$A:$W,MATCH($C1254&amp;$I1254&amp;$H1254&amp;$N1254&amp;$O1254,APOIO_REDES!$W:$W,0),MATCH(AE$5,APOIO_REDES!$5:$5,0)),0)</f>
        <v>1.2</v>
      </c>
      <c r="AF1254" s="153" t="n">
        <f aca="false">IFERROR(INDEX(APOIO_REDES!$A:$W,MATCH($C1254&amp;$I1254&amp;$H1254&amp;$N1254&amp;$O1254,APOIO_REDES!$W:$W,0),MATCH(AF$5,APOIO_REDES!$5:$5,0)),0)</f>
        <v>1.363</v>
      </c>
      <c r="AG1254" s="153" t="n">
        <f aca="false">IFERROR(INDEX(APOIO_REDES!$A:$W,MATCH($C1254&amp;$I1254&amp;$H1254&amp;$N1254&amp;$O1254,APOIO_REDES!$W:$W,0),MATCH(AG$5,APOIO_REDES!$5:$5,0)),0)</f>
        <v>0.65</v>
      </c>
      <c r="AH1254" s="153" t="n">
        <f aca="false">IFERROR(INDEX(APOIO_REDES!$A:$W,MATCH($C1254&amp;$I1254&amp;$H1254&amp;$N1254&amp;$O1254,APOIO_REDES!$W:$W,0),MATCH(AH$5,APOIO_REDES!$5:$5,0)),0)</f>
        <v>0.1</v>
      </c>
      <c r="AI1254" s="153" t="n">
        <f aca="false">IFERROR(IF($H1254&lt;&gt;"",(((($H1254/1000)/2)^2)*PI()*$M1254),0),0)</f>
        <v>0.414936523283913</v>
      </c>
      <c r="AJ1254" s="153" t="n">
        <f aca="false">IFERROR(IF(AND($H1254&lt;&gt;"",$I1254="FoFo",OR($N1254="MND",$N1254="VCA"),$Q1254="LINEAR"),0,IF(AND($H1254&lt;&gt;"",$I1254="PEAD",$N1254="VCA",$Q1254="LINEAR"),($H1254/1000)+0.3,IF(AND($H1254&lt;&gt;"",$I1254="PEAD",$N1254="MND",$Q1254="EMBOQUE"),0,IF(AND($H1254&lt;&gt;"",$I1254="PVC",$N1254="VCA",$Q1254="LINEAR"),($H1254/1000)+0.2,IF(AND($H1254&lt;&gt;"",$I1254="PVC",$N1254="MND",$Q1254="EMBOQUE"),0,IF(AND($H1254&lt;&gt;"",$I1254="PEAD",$N1254="VCA",$Q1254="PREDIAL"),0,0)))))),0)</f>
        <v>0.363</v>
      </c>
      <c r="AK1254" s="153" t="n">
        <f aca="false">IF(AA1254&lt;&gt;"",AA1254,0)</f>
        <v>3.1</v>
      </c>
      <c r="AL1254" s="153" t="n">
        <f aca="false">IF(AND($N1254="MND",$Q1254="EMBOQUE"),$M1254,IF(AND($N1254="VCA",$Q1254="LINEAR"),$M1254,IF(AND($N1254="VCA",$Q1254="PREDIAL"),0,0)))</f>
        <v>133.11</v>
      </c>
      <c r="AM1254" s="153" t="n">
        <f aca="false">IF(AND($N1254="MND",$Q1254="EMBOQUE"),$M1254,IF(AND($N1254="VCA",$Q1254="LINEAR"),$M1254,IF(AND($N1254="VCA",$Q1254="PREDIAL"),0,0)))</f>
        <v>133.11</v>
      </c>
      <c r="AN1254" s="153" t="n">
        <f aca="false">ROUND(IF(AND($N1254="VCA",$M1254&lt;&gt;"",$Q1254="LINEAR"),$M1254/100,IF(AND($N1254="MND",$M1254&gt;100,$Q1254="EMBOQUE"),$M1254/100,0)),0)</f>
        <v>1</v>
      </c>
      <c r="AO1254" s="153" t="n">
        <f aca="false">IF(AND($N1254="MND",$Q1254="EMBOQUE"),$AN1254*2*2,IF(AND($N1254="VCA",$Q1254="LINEAR"),$M1254*2,IF(AND($N1254="VCA",$Q1254="PREDIAL"),0,0)))</f>
        <v>266.22</v>
      </c>
      <c r="AP1254" s="153" t="n">
        <f aca="false">IFERROR($M1254*$AF1254*$AG1254,0)</f>
        <v>117.9288045</v>
      </c>
      <c r="AQ1254" s="153" t="n">
        <f aca="false">IFERROR(IF(AND($N1254="VCA",$AH1254&gt;0),$M1254*$AG1254*$AH1254,0),0)</f>
        <v>8.65215</v>
      </c>
      <c r="AR1254" s="153" t="n">
        <f aca="false">IFERROR(IF(AND($N1254="VCA",$AJ1254&gt;0),($M1254*$AG1254*$AJ1254)-$AI1254,0),0)</f>
        <v>30.9923679767161</v>
      </c>
      <c r="AS1254" s="153" t="n">
        <f aca="false">IFERROR(IF(AND($N1254="VCA",$AP1254&gt;0),$AP1254-$AI1254-$AQ1254-$AR1254,0),0)</f>
        <v>77.86935</v>
      </c>
      <c r="AT1254" s="153" t="n">
        <f aca="false">IFERROR(IF($N1254="VCA",INDEX(APOIO_REDES!$A:$W,MATCH($C1254&amp;$I1254&amp;$H1254&amp;$N1254&amp;$O1254,APOIO_REDES!$W:$W,0),MATCH(AT$5,APOIO_REDES!$5:$5,0)),0)*$AP1254,0)</f>
        <v>1.2831002981044</v>
      </c>
      <c r="AU1254" s="153" t="n">
        <f aca="false">IFERROR(IF($N1254="VCA",INDEX(APOIO_REDES!$A:$W,MATCH($C1254&amp;$I1254&amp;$H1254&amp;$N1254&amp;$O1254,APOIO_REDES!$W:$W,0),MATCH(AU$5,APOIO_REDES!$5:$5,0)),0)*$AP1254,0)</f>
        <v>1.02464914730299</v>
      </c>
      <c r="AV1254" s="153" t="n">
        <f aca="false">IFERROR(IF($N1254="VCA",INDEX(APOIO_REDES!$A:$W,MATCH($C1254&amp;$I1254&amp;$H1254&amp;$N1254&amp;$O1254,APOIO_REDES!$W:$W,0),MATCH(AV$5,APOIO_REDES!$5:$5,0)),0)*$AP1254,0)</f>
        <v>0.141803398175546</v>
      </c>
      <c r="AW1254" s="153" t="n">
        <f aca="false">IFERROR(IF($N1254="VCA",INDEX(APOIO_REDES!$A:$W,MATCH($C1254&amp;$I1254&amp;$H1254&amp;$N1254&amp;$O1254,APOIO_REDES!$W:$W,0),MATCH(AW$5,APOIO_REDES!$5:$5,0)),0)*$AP1254,0)</f>
        <v>80.9472451657664</v>
      </c>
      <c r="AX1254" s="153" t="n">
        <f aca="false">IFERROR(IF($N1254="VCA",INDEX(APOIO_REDES!$A:$W,MATCH($C1254&amp;$I1254&amp;$H1254&amp;$N1254&amp;$O1254,APOIO_REDES!$W:$W,0),MATCH(AX$5,APOIO_REDES!$5:$5,0)),0)*$AP1254,0)</f>
        <v>11.2028681483495</v>
      </c>
      <c r="AY1254" s="153" t="n">
        <f aca="false">IFERROR(IF($N1254="VCA",INDEX(APOIO_REDES!$A:$W,MATCH($C1254&amp;$I1254&amp;$H1254&amp;$N1254&amp;$O1254,APOIO_REDES!$W:$W,0),MATCH(AY$5,APOIO_REDES!$5:$5,0)),0)*$AP1254,0)</f>
        <v>20.4929704556698</v>
      </c>
      <c r="AZ1254" s="153" t="n">
        <f aca="false">IFERROR(IF($N1254="VCA",INDEX(APOIO_REDES!$A:$W,MATCH($C1254&amp;$I1254&amp;$H1254&amp;$N1254&amp;$O1254,APOIO_REDES!$W:$W,0),MATCH(AZ$5,APOIO_REDES!$5:$5,0)),0)*$AP1254,0)</f>
        <v>2.83616788663127</v>
      </c>
      <c r="BA1254" s="153" t="n">
        <f aca="false">IFERROR(IF(AND($N1254="VCA",$Q1254="LINEAR"),INDEX(APOIO_REDES!$A:$W,MATCH($C1254&amp;$I1254&amp;$H1254&amp;$N1254&amp;$O1254,APOIO_REDES!$W:$W,0),MATCH(BA$5,APOIO_REDES!$5:$5,0)),IF(AND($N1254="MND",$Q1254="EMBOQUE"),INDEX(APOIO_REDES!$A:$W,MATCH($C1254&amp;$I1254&amp;$H1254&amp;$N1254&amp;$O1254,APOIO_REDES!$W:$W,0),MATCH(BA$5,APOIO_REDES!$5:$5,0)),0))*$M1254/10,0)</f>
        <v>10.7283302406446</v>
      </c>
      <c r="BB1254" s="153" t="n">
        <f aca="false">IFERROR(IF($N1254="VCA",INDEX(APOIO_REDES!$A:$W,MATCH($C1254&amp;$I1254&amp;$H1254&amp;$N1254&amp;$O1254,APOIO_REDES!$W:$W,0),MATCH(BB$5,APOIO_REDES!$5:$5,0)),0)*($AI1254+$AQ1254+$AR1254),0)</f>
        <v>39.6235957780467</v>
      </c>
      <c r="BC1254" s="153" t="n">
        <f aca="false">IFERROR(IF($N1254="VCA",INDEX(APOIO_REDES!$A:$W,MATCH($C1254&amp;$I1254&amp;$H1254&amp;$N1254&amp;$O1254,APOIO_REDES!$W:$W,0),MATCH(BC$5,APOIO_REDES!$5:$5,0)),0)*($AI1254+$AQ1254+$AR1254),0)</f>
        <v>0.435858721953293</v>
      </c>
      <c r="BD1254" s="153" t="n">
        <f aca="false">IF(AND($N1254="VCA",$AF1254&gt;=1.25,$AF1254&lt;1.5),$M1254*$AF1254*2,0)</f>
        <v>362.85786</v>
      </c>
      <c r="BE1254" s="153" t="n">
        <f aca="false">IF(AND($N1254="VCA",$AF1254&gt;=1.5,$AF1254&lt;3),$M1254*$AF1254*2,0)</f>
        <v>0</v>
      </c>
      <c r="BF1254" s="153" t="n">
        <f aca="false">IF(AND($N1254="VCA",$AF1254&gt;=3),$M1254*$AF1254*2,0)</f>
        <v>0</v>
      </c>
      <c r="BG1254" s="153" t="n">
        <f aca="false">($BB1254+$BC1254)*$AK1254</f>
        <v>124.18430895</v>
      </c>
      <c r="BH1254" s="153" t="n">
        <f aca="false">IF(AND($M1254&lt;&gt;"",$N1254="VCA",$Q1254="LINEAR"),($M1254*2)/100,IF(AND($M1254&lt;&gt;"",$N1254="MND",$Q1254="EMBOQUE"),($AN1254*2)/100,0))</f>
        <v>2.6622</v>
      </c>
      <c r="BI1254" s="153" t="n">
        <f aca="false">IF(AND($M1254&lt;&gt;"",$N1254="VCA",$Q1254="LINEAR"),$M1254,IF(AND($M1254&lt;&gt;"",$N1254="MND",$Q1254="EMBOQUE"),$AN1254*2,0))</f>
        <v>133.11</v>
      </c>
      <c r="BJ1254" s="153" t="n">
        <f aca="false">IF(AND($M1254&lt;&gt;"",$N1254="VCA",$Q1254="LINEAR"),($M1254*6.8)/100,IF(AND($M1254&lt;&gt;"",$N1254="MND",$Q1254="EMBOQUE"),($AN1254*2*6.8)/100,0))</f>
        <v>9.05148</v>
      </c>
      <c r="BK1254" s="153" t="n">
        <f aca="false">IF(AND($M1254&lt;&gt;"",$N1254="VCA",$Q1254="LINEAR"),($M1254*2.5)/50,IF(AND($M1254&lt;&gt;"",$N1254="MND",$Q1254="EMBOQUE"),($AN1254*2*2.5)/50,0))</f>
        <v>6.6555</v>
      </c>
      <c r="BL1254" s="157" t="str">
        <f aca="false">K1254&amp;J1254</f>
        <v>Zona11REDES</v>
      </c>
      <c r="BM1254" s="152" t="s">
        <v>6084</v>
      </c>
      <c r="BN1254" s="152" t="s">
        <v>1560</v>
      </c>
      <c r="BO1254" s="152" t="s">
        <v>4725</v>
      </c>
      <c r="BP1254" s="152" t="s">
        <v>6294</v>
      </c>
      <c r="BQ1254" s="152" t="s">
        <v>6270</v>
      </c>
      <c r="BR1254" s="152" t="s">
        <v>6295</v>
      </c>
      <c r="BS1254" s="152" t="n">
        <v>204925.363</v>
      </c>
      <c r="BT1254" s="152" t="n">
        <v>8236393.484</v>
      </c>
      <c r="BU1254" s="152" t="n">
        <v>204885.998</v>
      </c>
      <c r="BV1254" s="152" t="n">
        <v>8236520.643</v>
      </c>
      <c r="BW1254" s="152" t="n">
        <v>-15.9336244</v>
      </c>
      <c r="BX1254" s="152" t="n">
        <v>-47.7562905</v>
      </c>
      <c r="BY1254" s="152" t="s">
        <v>6294</v>
      </c>
    </row>
    <row r="1255" customFormat="false" ht="13.8" hidden="false" customHeight="false" outlineLevel="0" collapsed="false">
      <c r="A1255" s="149" t="n">
        <f aca="false">IF(C1255&lt;&gt;"",ROW(A1250),"")</f>
        <v>1250</v>
      </c>
      <c r="B1255" s="150" t="str">
        <f aca="false">HYPERLINK("https://www.google.com/maps/dir/-15.917302,-47.760003/-15.9334790,-47.7572819/data=!4m3!4m2!3e0!5i1")</f>
        <v>https://www.google.com/maps/dir/-15.917302,-47.760003/-15.9334790,-47.7572819/data=!4m3!4m2!3e0!5i1</v>
      </c>
      <c r="C1255" s="151" t="s">
        <v>117</v>
      </c>
      <c r="D1255" s="152" t="s">
        <v>112</v>
      </c>
      <c r="E1255" s="152" t="s">
        <v>113</v>
      </c>
      <c r="F1255" s="152" t="s">
        <v>117</v>
      </c>
      <c r="G1255" s="152" t="s">
        <v>782</v>
      </c>
      <c r="H1255" s="152" t="n">
        <v>63</v>
      </c>
      <c r="I1255" s="152" t="s">
        <v>115</v>
      </c>
      <c r="J1255" s="152" t="s">
        <v>6</v>
      </c>
      <c r="K1255" s="152" t="s">
        <v>6081</v>
      </c>
      <c r="L1255" s="152" t="s">
        <v>120</v>
      </c>
      <c r="M1255" s="153" t="n">
        <f aca="false">59.48+4</f>
        <v>63.48</v>
      </c>
      <c r="N1255" s="152" t="s">
        <v>1548</v>
      </c>
      <c r="O1255" s="152" t="s">
        <v>1549</v>
      </c>
      <c r="P1255" s="152" t="s">
        <v>1550</v>
      </c>
      <c r="Q1255" s="152" t="s">
        <v>1551</v>
      </c>
      <c r="R1255" s="154" t="s">
        <v>6296</v>
      </c>
      <c r="S1255" s="154" t="s">
        <v>1553</v>
      </c>
      <c r="T1255" s="155" t="s">
        <v>4723</v>
      </c>
      <c r="U1255" s="152" t="str">
        <f aca="false">RIGHT(T1255,7)</f>
        <v>020/037</v>
      </c>
      <c r="V1255" s="152" t="s">
        <v>1555</v>
      </c>
      <c r="W1255" s="156" t="n">
        <v>45882</v>
      </c>
      <c r="X1255" s="152" t="s">
        <v>3938</v>
      </c>
      <c r="Y1255" s="152"/>
      <c r="Z1255" s="152" t="s">
        <v>1557</v>
      </c>
      <c r="AA1255" s="153" t="n">
        <v>3.2</v>
      </c>
      <c r="AB1255" s="151" t="s">
        <v>6297</v>
      </c>
      <c r="AC1255" s="151" t="s">
        <v>186</v>
      </c>
      <c r="AD1255" s="151" t="str">
        <f aca="false">CONCATENATE($C1255,$I1255,$H1255,$N1255,$J1255,$K1255)</f>
        <v>TUBO PEADPEAD63VCAREDESZona11</v>
      </c>
      <c r="AE1255" s="153" t="n">
        <f aca="false">IFERROR(INDEX(APOIO_REDES!$A:$W,MATCH($C1255&amp;$I1255&amp;$H1255&amp;$N1255&amp;$O1255,APOIO_REDES!$W:$W,0),MATCH(AE$5,APOIO_REDES!$5:$5,0)),0)</f>
        <v>1.2</v>
      </c>
      <c r="AF1255" s="153" t="n">
        <f aca="false">IFERROR(INDEX(APOIO_REDES!$A:$W,MATCH($C1255&amp;$I1255&amp;$H1255&amp;$N1255&amp;$O1255,APOIO_REDES!$W:$W,0),MATCH(AF$5,APOIO_REDES!$5:$5,0)),0)</f>
        <v>1.363</v>
      </c>
      <c r="AG1255" s="153" t="n">
        <f aca="false">IFERROR(INDEX(APOIO_REDES!$A:$W,MATCH($C1255&amp;$I1255&amp;$H1255&amp;$N1255&amp;$O1255,APOIO_REDES!$W:$W,0),MATCH(AG$5,APOIO_REDES!$5:$5,0)),0)</f>
        <v>0.65</v>
      </c>
      <c r="AH1255" s="153" t="n">
        <f aca="false">IFERROR(INDEX(APOIO_REDES!$A:$W,MATCH($C1255&amp;$I1255&amp;$H1255&amp;$N1255&amp;$O1255,APOIO_REDES!$W:$W,0),MATCH(AH$5,APOIO_REDES!$5:$5,0)),0)</f>
        <v>0.1</v>
      </c>
      <c r="AI1255" s="153" t="n">
        <f aca="false">IFERROR(IF($H1255&lt;&gt;"",(((($H1255/1000)/2)^2)*PI()*$M1255),0),0)</f>
        <v>0.197882732312094</v>
      </c>
      <c r="AJ1255" s="153" t="n">
        <f aca="false">IFERROR(IF(AND($H1255&lt;&gt;"",$I1255="FoFo",OR($N1255="MND",$N1255="VCA"),$Q1255="LINEAR"),0,IF(AND($H1255&lt;&gt;"",$I1255="PEAD",$N1255="VCA",$Q1255="LINEAR"),($H1255/1000)+0.3,IF(AND($H1255&lt;&gt;"",$I1255="PEAD",$N1255="MND",$Q1255="EMBOQUE"),0,IF(AND($H1255&lt;&gt;"",$I1255="PVC",$N1255="VCA",$Q1255="LINEAR"),($H1255/1000)+0.2,IF(AND($H1255&lt;&gt;"",$I1255="PVC",$N1255="MND",$Q1255="EMBOQUE"),0,IF(AND($H1255&lt;&gt;"",$I1255="PEAD",$N1255="VCA",$Q1255="PREDIAL"),0,0)))))),0)</f>
        <v>0.363</v>
      </c>
      <c r="AK1255" s="153" t="n">
        <f aca="false">IF(AA1255&lt;&gt;"",AA1255,0)</f>
        <v>3.2</v>
      </c>
      <c r="AL1255" s="153" t="n">
        <f aca="false">IF(AND($N1255="MND",$Q1255="EMBOQUE"),$M1255,IF(AND($N1255="VCA",$Q1255="LINEAR"),$M1255,IF(AND($N1255="VCA",$Q1255="PREDIAL"),0,0)))</f>
        <v>63.48</v>
      </c>
      <c r="AM1255" s="153" t="n">
        <f aca="false">IF(AND($N1255="MND",$Q1255="EMBOQUE"),$M1255,IF(AND($N1255="VCA",$Q1255="LINEAR"),$M1255,IF(AND($N1255="VCA",$Q1255="PREDIAL"),0,0)))</f>
        <v>63.48</v>
      </c>
      <c r="AN1255" s="153" t="n">
        <f aca="false">ROUND(IF(AND($N1255="VCA",$M1255&lt;&gt;"",$Q1255="LINEAR"),$M1255/100,IF(AND($N1255="MND",$M1255&gt;100,$Q1255="EMBOQUE"),$M1255/100,0)),0)</f>
        <v>1</v>
      </c>
      <c r="AO1255" s="153" t="n">
        <f aca="false">IF(AND($N1255="MND",$Q1255="EMBOQUE"),$AN1255*2*2,IF(AND($N1255="VCA",$Q1255="LINEAR"),$M1255*2,IF(AND($N1255="VCA",$Q1255="PREDIAL"),0,0)))</f>
        <v>126.96</v>
      </c>
      <c r="AP1255" s="153" t="n">
        <f aca="false">IFERROR($M1255*$AF1255*$AG1255,0)</f>
        <v>56.240106</v>
      </c>
      <c r="AQ1255" s="153" t="n">
        <f aca="false">IFERROR(IF(AND($N1255="VCA",$AH1255&gt;0),$M1255*$AG1255*$AH1255,0),0)</f>
        <v>4.1262</v>
      </c>
      <c r="AR1255" s="153" t="n">
        <f aca="false">IFERROR(IF(AND($N1255="VCA",$AJ1255&gt;0),($M1255*$AG1255*$AJ1255)-$AI1255,0),0)</f>
        <v>14.7802232676879</v>
      </c>
      <c r="AS1255" s="153" t="n">
        <f aca="false">IFERROR(IF(AND($N1255="VCA",$AP1255&gt;0),$AP1255-$AI1255-$AQ1255-$AR1255,0),0)</f>
        <v>37.1358</v>
      </c>
      <c r="AT1255" s="153" t="n">
        <f aca="false">IFERROR(IF($N1255="VCA",INDEX(APOIO_REDES!$A:$W,MATCH($C1255&amp;$I1255&amp;$H1255&amp;$N1255&amp;$O1255,APOIO_REDES!$W:$W,0),MATCH(AT$5,APOIO_REDES!$5:$5,0)),0)*$AP1255,0)</f>
        <v>0.611908999501672</v>
      </c>
      <c r="AU1255" s="153" t="n">
        <f aca="false">IFERROR(IF($N1255="VCA",INDEX(APOIO_REDES!$A:$W,MATCH($C1255&amp;$I1255&amp;$H1255&amp;$N1255&amp;$O1255,APOIO_REDES!$W:$W,0),MATCH(AU$5,APOIO_REDES!$5:$5,0)),0)*$AP1255,0)</f>
        <v>0.488653954404583</v>
      </c>
      <c r="AV1255" s="153" t="n">
        <f aca="false">IFERROR(IF($N1255="VCA",INDEX(APOIO_REDES!$A:$W,MATCH($C1255&amp;$I1255&amp;$H1255&amp;$N1255&amp;$O1255,APOIO_REDES!$W:$W,0),MATCH(AV$5,APOIO_REDES!$5:$5,0)),0)*$AP1255,0)</f>
        <v>0.0676258712056468</v>
      </c>
      <c r="AW1255" s="153" t="n">
        <f aca="false">IFERROR(IF($N1255="VCA",INDEX(APOIO_REDES!$A:$W,MATCH($C1255&amp;$I1255&amp;$H1255&amp;$N1255&amp;$O1255,APOIO_REDES!$W:$W,0),MATCH(AW$5,APOIO_REDES!$5:$5,0)),0)*$AP1255,0)</f>
        <v>38.6036445280058</v>
      </c>
      <c r="AX1255" s="153" t="n">
        <f aca="false">IFERROR(IF($N1255="VCA",INDEX(APOIO_REDES!$A:$W,MATCH($C1255&amp;$I1255&amp;$H1255&amp;$N1255&amp;$O1255,APOIO_REDES!$W:$W,0),MATCH(AX$5,APOIO_REDES!$5:$5,0)),0)*$AP1255,0)</f>
        <v>5.34263443811306</v>
      </c>
      <c r="AY1255" s="153" t="n">
        <f aca="false">IFERROR(IF($N1255="VCA",INDEX(APOIO_REDES!$A:$W,MATCH($C1255&amp;$I1255&amp;$H1255&amp;$N1255&amp;$O1255,APOIO_REDES!$W:$W,0),MATCH(AY$5,APOIO_REDES!$5:$5,0)),0)*$AP1255,0)</f>
        <v>9.77307313143957</v>
      </c>
      <c r="AZ1255" s="153" t="n">
        <f aca="false">IFERROR(IF($N1255="VCA",INDEX(APOIO_REDES!$A:$W,MATCH($C1255&amp;$I1255&amp;$H1255&amp;$N1255&amp;$O1255,APOIO_REDES!$W:$W,0),MATCH(AZ$5,APOIO_REDES!$5:$5,0)),0)*$AP1255,0)</f>
        <v>1.35256507732968</v>
      </c>
      <c r="BA1255" s="153" t="n">
        <f aca="false">IFERROR(IF(AND($N1255="VCA",$Q1255="LINEAR"),INDEX(APOIO_REDES!$A:$W,MATCH($C1255&amp;$I1255&amp;$H1255&amp;$N1255&amp;$O1255,APOIO_REDES!$W:$W,0),MATCH(BA$5,APOIO_REDES!$5:$5,0)),IF(AND($N1255="MND",$Q1255="EMBOQUE"),INDEX(APOIO_REDES!$A:$W,MATCH($C1255&amp;$I1255&amp;$H1255&amp;$N1255&amp;$O1255,APOIO_REDES!$W:$W,0),MATCH(BA$5,APOIO_REDES!$5:$5,0)),0))*$M1255/10,0)</f>
        <v>5.11632787676445</v>
      </c>
      <c r="BB1255" s="153" t="n">
        <f aca="false">IFERROR(IF($N1255="VCA",INDEX(APOIO_REDES!$A:$W,MATCH($C1255&amp;$I1255&amp;$H1255&amp;$N1255&amp;$O1255,APOIO_REDES!$W:$W,0),MATCH(BB$5,APOIO_REDES!$5:$5,0)),0)*($AI1255+$AQ1255+$AR1255),0)</f>
        <v>18.8964454961341</v>
      </c>
      <c r="BC1255" s="153" t="n">
        <f aca="false">IFERROR(IF($N1255="VCA",INDEX(APOIO_REDES!$A:$W,MATCH($C1255&amp;$I1255&amp;$H1255&amp;$N1255&amp;$O1255,APOIO_REDES!$W:$W,0),MATCH(BC$5,APOIO_REDES!$5:$5,0)),0)*($AI1255+$AQ1255+$AR1255),0)</f>
        <v>0.207860503865938</v>
      </c>
      <c r="BD1255" s="153" t="n">
        <f aca="false">IF(AND($N1255="VCA",$AF1255&gt;=1.25,$AF1255&lt;1.5),$M1255*$AF1255*2,0)</f>
        <v>173.04648</v>
      </c>
      <c r="BE1255" s="153" t="n">
        <f aca="false">IF(AND($N1255="VCA",$AF1255&gt;=1.5,$AF1255&lt;3),$M1255*$AF1255*2,0)</f>
        <v>0</v>
      </c>
      <c r="BF1255" s="153" t="n">
        <f aca="false">IF(AND($N1255="VCA",$AF1255&gt;=3),$M1255*$AF1255*2,0)</f>
        <v>0</v>
      </c>
      <c r="BG1255" s="153" t="n">
        <f aca="false">($BB1255+$BC1255)*$AK1255</f>
        <v>61.1337792</v>
      </c>
      <c r="BH1255" s="153" t="n">
        <f aca="false">IF(AND($M1255&lt;&gt;"",$N1255="VCA",$Q1255="LINEAR"),($M1255*2)/100,IF(AND($M1255&lt;&gt;"",$N1255="MND",$Q1255="EMBOQUE"),($AN1255*2)/100,0))</f>
        <v>1.2696</v>
      </c>
      <c r="BI1255" s="153" t="n">
        <f aca="false">IF(AND($M1255&lt;&gt;"",$N1255="VCA",$Q1255="LINEAR"),$M1255,IF(AND($M1255&lt;&gt;"",$N1255="MND",$Q1255="EMBOQUE"),$AN1255*2,0))</f>
        <v>63.48</v>
      </c>
      <c r="BJ1255" s="153" t="n">
        <f aca="false">IF(AND($M1255&lt;&gt;"",$N1255="VCA",$Q1255="LINEAR"),($M1255*6.8)/100,IF(AND($M1255&lt;&gt;"",$N1255="MND",$Q1255="EMBOQUE"),($AN1255*2*6.8)/100,0))</f>
        <v>4.31664</v>
      </c>
      <c r="BK1255" s="153" t="n">
        <f aca="false">IF(AND($M1255&lt;&gt;"",$N1255="VCA",$Q1255="LINEAR"),($M1255*2.5)/50,IF(AND($M1255&lt;&gt;"",$N1255="MND",$Q1255="EMBOQUE"),($AN1255*2*2.5)/50,0))</f>
        <v>3.174</v>
      </c>
      <c r="BL1255" s="157" t="str">
        <f aca="false">K1255&amp;J1255</f>
        <v>Zona11REDES</v>
      </c>
      <c r="BM1255" s="152" t="s">
        <v>6084</v>
      </c>
      <c r="BN1255" s="152" t="s">
        <v>1560</v>
      </c>
      <c r="BO1255" s="152" t="s">
        <v>4725</v>
      </c>
      <c r="BP1255" s="152" t="s">
        <v>6298</v>
      </c>
      <c r="BQ1255" s="152" t="s">
        <v>6299</v>
      </c>
      <c r="BR1255" s="152" t="s">
        <v>6300</v>
      </c>
      <c r="BS1255" s="152" t="n">
        <v>204799.239</v>
      </c>
      <c r="BT1255" s="152" t="n">
        <v>8236471.753</v>
      </c>
      <c r="BU1255" s="152" t="n">
        <v>204815.925</v>
      </c>
      <c r="BV1255" s="152" t="n">
        <v>8236414.666</v>
      </c>
      <c r="BW1255" s="152" t="n">
        <v>-15.933738</v>
      </c>
      <c r="BX1255" s="152" t="n">
        <v>-47.7572084</v>
      </c>
      <c r="BY1255" s="152" t="s">
        <v>6298</v>
      </c>
    </row>
    <row r="1256" customFormat="false" ht="13.8" hidden="false" customHeight="false" outlineLevel="0" collapsed="false">
      <c r="A1256" s="149" t="n">
        <f aca="false">IF(C1256&lt;&gt;"",ROW(A1251),"")</f>
        <v>1251</v>
      </c>
      <c r="B1256" s="150" t="str">
        <f aca="false">HYPERLINK("https://www.google.com/maps/dir/-15.917302,-47.760003/-15.9339773,-47.7552618/data=!4m3!4m2!3e0!5i2")</f>
        <v>https://www.google.com/maps/dir/-15.917302,-47.760003/-15.9339773,-47.7552618/data=!4m3!4m2!3e0!5i2</v>
      </c>
      <c r="C1256" s="151" t="s">
        <v>117</v>
      </c>
      <c r="D1256" s="152" t="s">
        <v>112</v>
      </c>
      <c r="E1256" s="152" t="s">
        <v>113</v>
      </c>
      <c r="F1256" s="152" t="s">
        <v>117</v>
      </c>
      <c r="G1256" s="152" t="s">
        <v>782</v>
      </c>
      <c r="H1256" s="152" t="n">
        <v>90</v>
      </c>
      <c r="I1256" s="152" t="s">
        <v>115</v>
      </c>
      <c r="J1256" s="152" t="s">
        <v>6</v>
      </c>
      <c r="K1256" s="152" t="s">
        <v>6081</v>
      </c>
      <c r="L1256" s="152" t="s">
        <v>120</v>
      </c>
      <c r="M1256" s="153" t="n">
        <f aca="false">9.05</f>
        <v>9.05</v>
      </c>
      <c r="N1256" s="152" t="s">
        <v>1548</v>
      </c>
      <c r="O1256" s="152" t="s">
        <v>1549</v>
      </c>
      <c r="P1256" s="152" t="s">
        <v>1550</v>
      </c>
      <c r="Q1256" s="152" t="s">
        <v>1551</v>
      </c>
      <c r="R1256" s="154" t="s">
        <v>6301</v>
      </c>
      <c r="S1256" s="154" t="s">
        <v>1593</v>
      </c>
      <c r="T1256" s="155" t="s">
        <v>4723</v>
      </c>
      <c r="U1256" s="152" t="str">
        <f aca="false">RIGHT(T1256,7)</f>
        <v>020/037</v>
      </c>
      <c r="V1256" s="152" t="s">
        <v>1555</v>
      </c>
      <c r="W1256" s="156" t="n">
        <v>45882</v>
      </c>
      <c r="X1256" s="152" t="s">
        <v>3938</v>
      </c>
      <c r="Y1256" s="152"/>
      <c r="Z1256" s="152" t="s">
        <v>1557</v>
      </c>
      <c r="AA1256" s="153" t="n">
        <v>4.2</v>
      </c>
      <c r="AB1256" s="151" t="s">
        <v>6302</v>
      </c>
      <c r="AC1256" s="151" t="s">
        <v>526</v>
      </c>
      <c r="AD1256" s="151" t="str">
        <f aca="false">CONCATENATE($C1256,$I1256,$H1256,$N1256,$J1256,$K1256)</f>
        <v>TUBO PEADPEAD90VCAREDESZona11</v>
      </c>
      <c r="AE1256" s="153" t="n">
        <f aca="false">IFERROR(INDEX(APOIO_REDES!$A:$W,MATCH($C1256&amp;$I1256&amp;$H1256&amp;$N1256&amp;$O1256,APOIO_REDES!$W:$W,0),MATCH(AE$5,APOIO_REDES!$5:$5,0)),0)</f>
        <v>1.2</v>
      </c>
      <c r="AF1256" s="153" t="n">
        <f aca="false">IFERROR(INDEX(APOIO_REDES!$A:$W,MATCH($C1256&amp;$I1256&amp;$H1256&amp;$N1256&amp;$O1256,APOIO_REDES!$W:$W,0),MATCH(AF$5,APOIO_REDES!$5:$5,0)),0)</f>
        <v>1.39</v>
      </c>
      <c r="AG1256" s="153" t="n">
        <f aca="false">IFERROR(INDEX(APOIO_REDES!$A:$W,MATCH($C1256&amp;$I1256&amp;$H1256&amp;$N1256&amp;$O1256,APOIO_REDES!$W:$W,0),MATCH(AG$5,APOIO_REDES!$5:$5,0)),0)</f>
        <v>0.75</v>
      </c>
      <c r="AH1256" s="153" t="n">
        <f aca="false">IFERROR(INDEX(APOIO_REDES!$A:$W,MATCH($C1256&amp;$I1256&amp;$H1256&amp;$N1256&amp;$O1256,APOIO_REDES!$W:$W,0),MATCH(AH$5,APOIO_REDES!$5:$5,0)),0)</f>
        <v>0.1</v>
      </c>
      <c r="AI1256" s="153" t="n">
        <f aca="false">IFERROR(IF($H1256&lt;&gt;"",(((($H1256/1000)/2)^2)*PI()*$M1256),0),0)</f>
        <v>0.05757361236785</v>
      </c>
      <c r="AJ1256" s="153" t="n">
        <f aca="false">IFERROR(IF(AND($H1256&lt;&gt;"",$I1256="FoFo",OR($N1256="MND",$N1256="VCA"),$Q1256="LINEAR"),0,IF(AND($H1256&lt;&gt;"",$I1256="PEAD",$N1256="VCA",$Q1256="LINEAR"),($H1256/1000)+0.3,IF(AND($H1256&lt;&gt;"",$I1256="PEAD",$N1256="MND",$Q1256="EMBOQUE"),0,IF(AND($H1256&lt;&gt;"",$I1256="PVC",$N1256="VCA",$Q1256="LINEAR"),($H1256/1000)+0.2,IF(AND($H1256&lt;&gt;"",$I1256="PVC",$N1256="MND",$Q1256="EMBOQUE"),0,IF(AND($H1256&lt;&gt;"",$I1256="PEAD",$N1256="VCA",$Q1256="PREDIAL"),0,0)))))),0)</f>
        <v>0.39</v>
      </c>
      <c r="AK1256" s="153" t="n">
        <f aca="false">IF(AA1256&lt;&gt;"",AA1256,0)</f>
        <v>4.2</v>
      </c>
      <c r="AL1256" s="153" t="n">
        <f aca="false">IF(AND($N1256="MND",$Q1256="EMBOQUE"),$M1256,IF(AND($N1256="VCA",$Q1256="LINEAR"),$M1256,IF(AND($N1256="VCA",$Q1256="PREDIAL"),0,0)))</f>
        <v>9.05</v>
      </c>
      <c r="AM1256" s="153" t="n">
        <f aca="false">IF(AND($N1256="MND",$Q1256="EMBOQUE"),$M1256,IF(AND($N1256="VCA",$Q1256="LINEAR"),$M1256,IF(AND($N1256="VCA",$Q1256="PREDIAL"),0,0)))</f>
        <v>9.05</v>
      </c>
      <c r="AN1256" s="153" t="n">
        <f aca="false">ROUND(IF(AND($N1256="VCA",$M1256&lt;&gt;"",$Q1256="LINEAR"),$M1256/100,IF(AND($N1256="MND",$M1256&gt;100,$Q1256="EMBOQUE"),$M1256/100,0)),0)</f>
        <v>0</v>
      </c>
      <c r="AO1256" s="153" t="n">
        <f aca="false">IF(AND($N1256="MND",$Q1256="EMBOQUE"),$AN1256*2*2,IF(AND($N1256="VCA",$Q1256="LINEAR"),$M1256*2,IF(AND($N1256="VCA",$Q1256="PREDIAL"),0,0)))</f>
        <v>18.1</v>
      </c>
      <c r="AP1256" s="153" t="n">
        <f aca="false">IFERROR($M1256*$AF1256*$AG1256,0)</f>
        <v>9.434625</v>
      </c>
      <c r="AQ1256" s="153" t="n">
        <f aca="false">IFERROR(IF(AND($N1256="VCA",$AH1256&gt;0),$M1256*$AG1256*$AH1256,0),0)</f>
        <v>0.67875</v>
      </c>
      <c r="AR1256" s="153" t="n">
        <f aca="false">IFERROR(IF(AND($N1256="VCA",$AJ1256&gt;0),($M1256*$AG1256*$AJ1256)-$AI1256,0),0)</f>
        <v>2.58955138763215</v>
      </c>
      <c r="AS1256" s="153" t="n">
        <f aca="false">IFERROR(IF(AND($N1256="VCA",$AP1256&gt;0),$AP1256-$AI1256-$AQ1256-$AR1256,0),0)</f>
        <v>6.10875</v>
      </c>
      <c r="AT1256" s="153" t="n">
        <f aca="false">IFERROR(IF($N1256="VCA",INDEX(APOIO_REDES!$A:$W,MATCH($C1256&amp;$I1256&amp;$H1256&amp;$N1256&amp;$O1256,APOIO_REDES!$W:$W,0),MATCH(AT$5,APOIO_REDES!$5:$5,0)),0)*$AP1256,0)</f>
        <v>0.102651512506457</v>
      </c>
      <c r="AU1256" s="153" t="n">
        <f aca="false">IFERROR(IF($N1256="VCA",INDEX(APOIO_REDES!$A:$W,MATCH($C1256&amp;$I1256&amp;$H1256&amp;$N1256&amp;$O1256,APOIO_REDES!$W:$W,0),MATCH(AU$5,APOIO_REDES!$5:$5,0)),0)*$AP1256,0)</f>
        <v>0.081974717732117</v>
      </c>
      <c r="AV1256" s="153" t="n">
        <f aca="false">IFERROR(IF($N1256="VCA",INDEX(APOIO_REDES!$A:$W,MATCH($C1256&amp;$I1256&amp;$H1256&amp;$N1256&amp;$O1256,APOIO_REDES!$W:$W,0),MATCH(AV$5,APOIO_REDES!$5:$5,0)),0)*$AP1256,0)</f>
        <v>0.0113446574073594</v>
      </c>
      <c r="AW1256" s="153" t="n">
        <f aca="false">IFERROR(IF($N1256="VCA",INDEX(APOIO_REDES!$A:$W,MATCH($C1256&amp;$I1256&amp;$H1256&amp;$N1256&amp;$O1256,APOIO_REDES!$W:$W,0),MATCH(AW$5,APOIO_REDES!$5:$5,0)),0)*$AP1256,0)</f>
        <v>6.47599970304175</v>
      </c>
      <c r="AX1256" s="153" t="n">
        <f aca="false">IFERROR(IF($N1256="VCA",INDEX(APOIO_REDES!$A:$W,MATCH($C1256&amp;$I1256&amp;$H1256&amp;$N1256&amp;$O1256,APOIO_REDES!$W:$W,0),MATCH(AX$5,APOIO_REDES!$5:$5,0)),0)*$AP1256,0)</f>
        <v>0.896259911666638</v>
      </c>
      <c r="AY1256" s="153" t="n">
        <f aca="false">IFERROR(IF($N1256="VCA",INDEX(APOIO_REDES!$A:$W,MATCH($C1256&amp;$I1256&amp;$H1256&amp;$N1256&amp;$O1256,APOIO_REDES!$W:$W,0),MATCH(AY$5,APOIO_REDES!$5:$5,0)),0)*$AP1256,0)</f>
        <v>1.63949335537718</v>
      </c>
      <c r="AZ1256" s="153" t="n">
        <f aca="false">IFERROR(IF($N1256="VCA",INDEX(APOIO_REDES!$A:$W,MATCH($C1256&amp;$I1256&amp;$H1256&amp;$N1256&amp;$O1256,APOIO_REDES!$W:$W,0),MATCH(AZ$5,APOIO_REDES!$5:$5,0)),0)*$AP1256,0)</f>
        <v>0.226901142268499</v>
      </c>
      <c r="BA1256" s="153" t="n">
        <f aca="false">IFERROR(IF(AND($N1256="VCA",$Q1256="LINEAR"),INDEX(APOIO_REDES!$A:$W,MATCH($C1256&amp;$I1256&amp;$H1256&amp;$N1256&amp;$O1256,APOIO_REDES!$W:$W,0),MATCH(BA$5,APOIO_REDES!$5:$5,0)),IF(AND($N1256="MND",$Q1256="EMBOQUE"),INDEX(APOIO_REDES!$A:$W,MATCH($C1256&amp;$I1256&amp;$H1256&amp;$N1256&amp;$O1256,APOIO_REDES!$W:$W,0),MATCH(BA$5,APOIO_REDES!$5:$5,0)),0))*$M1256/10,0)</f>
        <v>0.729407172097012</v>
      </c>
      <c r="BB1256" s="153" t="n">
        <f aca="false">IFERROR(IF($N1256="VCA",INDEX(APOIO_REDES!$A:$W,MATCH($C1256&amp;$I1256&amp;$H1256&amp;$N1256&amp;$O1256,APOIO_REDES!$W:$W,0),MATCH(BB$5,APOIO_REDES!$5:$5,0)),0)*($AI1256+$AQ1256+$AR1256),0)</f>
        <v>3.28968849559125</v>
      </c>
      <c r="BC1256" s="153" t="n">
        <f aca="false">IFERROR(IF($N1256="VCA",INDEX(APOIO_REDES!$A:$W,MATCH($C1256&amp;$I1256&amp;$H1256&amp;$N1256&amp;$O1256,APOIO_REDES!$W:$W,0),MATCH(BC$5,APOIO_REDES!$5:$5,0)),0)*($AI1256+$AQ1256+$AR1256),0)</f>
        <v>0.036186504408751</v>
      </c>
      <c r="BD1256" s="153" t="n">
        <f aca="false">IF(AND($N1256="VCA",$AF1256&gt;=1.25,$AF1256&lt;1.5),$M1256*$AF1256*2,0)</f>
        <v>25.159</v>
      </c>
      <c r="BE1256" s="153" t="n">
        <f aca="false">IF(AND($N1256="VCA",$AF1256&gt;=1.5,$AF1256&lt;3),$M1256*$AF1256*2,0)</f>
        <v>0</v>
      </c>
      <c r="BF1256" s="153" t="n">
        <f aca="false">IF(AND($N1256="VCA",$AF1256&gt;=3),$M1256*$AF1256*2,0)</f>
        <v>0</v>
      </c>
      <c r="BG1256" s="153" t="n">
        <f aca="false">($BB1256+$BC1256)*$AK1256</f>
        <v>13.968675</v>
      </c>
      <c r="BH1256" s="153" t="n">
        <f aca="false">IF(AND($M1256&lt;&gt;"",$N1256="VCA",$Q1256="LINEAR"),($M1256*2)/100,IF(AND($M1256&lt;&gt;"",$N1256="MND",$Q1256="EMBOQUE"),($AN1256*2)/100,0))</f>
        <v>0.181</v>
      </c>
      <c r="BI1256" s="153" t="n">
        <f aca="false">IF(AND($M1256&lt;&gt;"",$N1256="VCA",$Q1256="LINEAR"),$M1256,IF(AND($M1256&lt;&gt;"",$N1256="MND",$Q1256="EMBOQUE"),$AN1256*2,0))</f>
        <v>9.05</v>
      </c>
      <c r="BJ1256" s="153" t="n">
        <f aca="false">IF(AND($M1256&lt;&gt;"",$N1256="VCA",$Q1256="LINEAR"),($M1256*6.8)/100,IF(AND($M1256&lt;&gt;"",$N1256="MND",$Q1256="EMBOQUE"),($AN1256*2*6.8)/100,0))</f>
        <v>0.6154</v>
      </c>
      <c r="BK1256" s="153" t="n">
        <f aca="false">IF(AND($M1256&lt;&gt;"",$N1256="VCA",$Q1256="LINEAR"),($M1256*2.5)/50,IF(AND($M1256&lt;&gt;"",$N1256="MND",$Q1256="EMBOQUE"),($AN1256*2*2.5)/50,0))</f>
        <v>0.4525</v>
      </c>
      <c r="BL1256" s="157" t="str">
        <f aca="false">K1256&amp;J1256</f>
        <v>Zona11REDES</v>
      </c>
      <c r="BM1256" s="152" t="s">
        <v>6084</v>
      </c>
      <c r="BN1256" s="152" t="s">
        <v>1560</v>
      </c>
      <c r="BO1256" s="152" t="s">
        <v>4725</v>
      </c>
      <c r="BP1256" s="152" t="s">
        <v>6303</v>
      </c>
      <c r="BQ1256" s="152" t="s">
        <v>6285</v>
      </c>
      <c r="BR1256" s="152" t="s">
        <v>6304</v>
      </c>
      <c r="BS1256" s="152" t="n">
        <v>205016.387</v>
      </c>
      <c r="BT1256" s="152" t="n">
        <v>8236419.435</v>
      </c>
      <c r="BU1256" s="152" t="n">
        <v>205013.829</v>
      </c>
      <c r="BV1256" s="152" t="n">
        <v>8236427.851</v>
      </c>
      <c r="BW1256" s="152" t="n">
        <v>-15.9339395</v>
      </c>
      <c r="BX1256" s="152" t="n">
        <v>-47.7552704</v>
      </c>
      <c r="BY1256" s="152" t="s">
        <v>6303</v>
      </c>
    </row>
    <row r="1257" customFormat="false" ht="13.8" hidden="false" customHeight="false" outlineLevel="0" collapsed="false">
      <c r="A1257" s="149" t="n">
        <f aca="false">IF(C1257&lt;&gt;"",ROW(A1252),"")</f>
        <v>1252</v>
      </c>
      <c r="B1257" s="150" t="str">
        <f aca="false">HYPERLINK("https://www.google.com/maps/dir/-15.917302,-47.760003/-15.9339965,-47.7571332/data=!4m3!4m2!3e0!5i1")</f>
        <v>https://www.google.com/maps/dir/-15.917302,-47.760003/-15.9339965,-47.7571332/data=!4m3!4m2!3e0!5i1</v>
      </c>
      <c r="C1257" s="151" t="s">
        <v>117</v>
      </c>
      <c r="D1257" s="152" t="s">
        <v>112</v>
      </c>
      <c r="E1257" s="152" t="s">
        <v>113</v>
      </c>
      <c r="F1257" s="152" t="s">
        <v>117</v>
      </c>
      <c r="G1257" s="152" t="s">
        <v>782</v>
      </c>
      <c r="H1257" s="152" t="n">
        <v>63</v>
      </c>
      <c r="I1257" s="152" t="s">
        <v>115</v>
      </c>
      <c r="J1257" s="152" t="s">
        <v>6</v>
      </c>
      <c r="K1257" s="152" t="s">
        <v>6081</v>
      </c>
      <c r="L1257" s="152" t="s">
        <v>120</v>
      </c>
      <c r="M1257" s="153" t="n">
        <f aca="false">46.02</f>
        <v>46.02</v>
      </c>
      <c r="N1257" s="152" t="s">
        <v>1548</v>
      </c>
      <c r="O1257" s="152" t="s">
        <v>1549</v>
      </c>
      <c r="P1257" s="152" t="s">
        <v>1550</v>
      </c>
      <c r="Q1257" s="152" t="s">
        <v>1551</v>
      </c>
      <c r="R1257" s="154" t="s">
        <v>6305</v>
      </c>
      <c r="S1257" s="154" t="s">
        <v>1553</v>
      </c>
      <c r="T1257" s="155" t="s">
        <v>4723</v>
      </c>
      <c r="U1257" s="152" t="str">
        <f aca="false">RIGHT(T1257,7)</f>
        <v>020/037</v>
      </c>
      <c r="V1257" s="152" t="s">
        <v>1555</v>
      </c>
      <c r="W1257" s="156" t="n">
        <v>45882</v>
      </c>
      <c r="X1257" s="152" t="s">
        <v>3938</v>
      </c>
      <c r="Y1257" s="152" t="s">
        <v>6292</v>
      </c>
      <c r="Z1257" s="152" t="s">
        <v>1557</v>
      </c>
      <c r="AA1257" s="153" t="n">
        <v>3.1</v>
      </c>
      <c r="AB1257" s="151" t="s">
        <v>6306</v>
      </c>
      <c r="AC1257" s="151" t="s">
        <v>186</v>
      </c>
      <c r="AD1257" s="151" t="str">
        <f aca="false">CONCATENATE($C1257,$I1257,$H1257,$N1257,$J1257,$K1257)</f>
        <v>TUBO PEADPEAD63VCAREDESZona11</v>
      </c>
      <c r="AE1257" s="153" t="n">
        <f aca="false">IFERROR(INDEX(APOIO_REDES!$A:$W,MATCH($C1257&amp;$I1257&amp;$H1257&amp;$N1257&amp;$O1257,APOIO_REDES!$W:$W,0),MATCH(AE$5,APOIO_REDES!$5:$5,0)),0)</f>
        <v>1.2</v>
      </c>
      <c r="AF1257" s="153" t="n">
        <f aca="false">IFERROR(INDEX(APOIO_REDES!$A:$W,MATCH($C1257&amp;$I1257&amp;$H1257&amp;$N1257&amp;$O1257,APOIO_REDES!$W:$W,0),MATCH(AF$5,APOIO_REDES!$5:$5,0)),0)</f>
        <v>1.363</v>
      </c>
      <c r="AG1257" s="153" t="n">
        <f aca="false">IFERROR(INDEX(APOIO_REDES!$A:$W,MATCH($C1257&amp;$I1257&amp;$H1257&amp;$N1257&amp;$O1257,APOIO_REDES!$W:$W,0),MATCH(AG$5,APOIO_REDES!$5:$5,0)),0)</f>
        <v>0.65</v>
      </c>
      <c r="AH1257" s="153" t="n">
        <f aca="false">IFERROR(INDEX(APOIO_REDES!$A:$W,MATCH($C1257&amp;$I1257&amp;$H1257&amp;$N1257&amp;$O1257,APOIO_REDES!$W:$W,0),MATCH(AH$5,APOIO_REDES!$5:$5,0)),0)</f>
        <v>0.1</v>
      </c>
      <c r="AI1257" s="153" t="n">
        <f aca="false">IFERROR(IF($H1257&lt;&gt;"",(((($H1257/1000)/2)^2)*PI()*$M1257),0),0)</f>
        <v>0.143455629190336</v>
      </c>
      <c r="AJ1257" s="153" t="n">
        <f aca="false">IFERROR(IF(AND($H1257&lt;&gt;"",$I1257="FoFo",OR($N1257="MND",$N1257="VCA"),$Q1257="LINEAR"),0,IF(AND($H1257&lt;&gt;"",$I1257="PEAD",$N1257="VCA",$Q1257="LINEAR"),($H1257/1000)+0.3,IF(AND($H1257&lt;&gt;"",$I1257="PEAD",$N1257="MND",$Q1257="EMBOQUE"),0,IF(AND($H1257&lt;&gt;"",$I1257="PVC",$N1257="VCA",$Q1257="LINEAR"),($H1257/1000)+0.2,IF(AND($H1257&lt;&gt;"",$I1257="PVC",$N1257="MND",$Q1257="EMBOQUE"),0,IF(AND($H1257&lt;&gt;"",$I1257="PEAD",$N1257="VCA",$Q1257="PREDIAL"),0,0)))))),0)</f>
        <v>0.363</v>
      </c>
      <c r="AK1257" s="153" t="n">
        <f aca="false">IF(AA1257&lt;&gt;"",AA1257,0)</f>
        <v>3.1</v>
      </c>
      <c r="AL1257" s="153" t="n">
        <f aca="false">IF(AND($N1257="MND",$Q1257="EMBOQUE"),$M1257,IF(AND($N1257="VCA",$Q1257="LINEAR"),$M1257,IF(AND($N1257="VCA",$Q1257="PREDIAL"),0,0)))</f>
        <v>46.02</v>
      </c>
      <c r="AM1257" s="153" t="n">
        <f aca="false">IF(AND($N1257="MND",$Q1257="EMBOQUE"),$M1257,IF(AND($N1257="VCA",$Q1257="LINEAR"),$M1257,IF(AND($N1257="VCA",$Q1257="PREDIAL"),0,0)))</f>
        <v>46.02</v>
      </c>
      <c r="AN1257" s="153" t="n">
        <f aca="false">ROUND(IF(AND($N1257="VCA",$M1257&lt;&gt;"",$Q1257="LINEAR"),$M1257/100,IF(AND($N1257="MND",$M1257&gt;100,$Q1257="EMBOQUE"),$M1257/100,0)),0)</f>
        <v>0</v>
      </c>
      <c r="AO1257" s="153" t="n">
        <f aca="false">IF(AND($N1257="MND",$Q1257="EMBOQUE"),$AN1257*2*2,IF(AND($N1257="VCA",$Q1257="LINEAR"),$M1257*2,IF(AND($N1257="VCA",$Q1257="PREDIAL"),0,0)))</f>
        <v>92.04</v>
      </c>
      <c r="AP1257" s="153" t="n">
        <f aca="false">IFERROR($M1257*$AF1257*$AG1257,0)</f>
        <v>40.771419</v>
      </c>
      <c r="AQ1257" s="153" t="n">
        <f aca="false">IFERROR(IF(AND($N1257="VCA",$AH1257&gt;0),$M1257*$AG1257*$AH1257,0),0)</f>
        <v>2.9913</v>
      </c>
      <c r="AR1257" s="153" t="n">
        <f aca="false">IFERROR(IF(AND($N1257="VCA",$AJ1257&gt;0),($M1257*$AG1257*$AJ1257)-$AI1257,0),0)</f>
        <v>10.7149633708097</v>
      </c>
      <c r="AS1257" s="153" t="n">
        <f aca="false">IFERROR(IF(AND($N1257="VCA",$AP1257&gt;0),$AP1257-$AI1257-$AQ1257-$AR1257,0),0)</f>
        <v>26.9217</v>
      </c>
      <c r="AT1257" s="153" t="n">
        <f aca="false">IFERROR(IF($N1257="VCA",INDEX(APOIO_REDES!$A:$W,MATCH($C1257&amp;$I1257&amp;$H1257&amp;$N1257&amp;$O1257,APOIO_REDES!$W:$W,0),MATCH(AT$5,APOIO_REDES!$5:$5,0)),0)*$AP1257,0)</f>
        <v>0.443605106444028</v>
      </c>
      <c r="AU1257" s="153" t="n">
        <f aca="false">IFERROR(IF($N1257="VCA",INDEX(APOIO_REDES!$A:$W,MATCH($C1257&amp;$I1257&amp;$H1257&amp;$N1257&amp;$O1257,APOIO_REDES!$W:$W,0),MATCH(AU$5,APOIO_REDES!$5:$5,0)),0)*$AP1257,0)</f>
        <v>0.354251023656253</v>
      </c>
      <c r="AV1257" s="153" t="n">
        <f aca="false">IFERROR(IF($N1257="VCA",INDEX(APOIO_REDES!$A:$W,MATCH($C1257&amp;$I1257&amp;$H1257&amp;$N1257&amp;$O1257,APOIO_REDES!$W:$W,0),MATCH(AV$5,APOIO_REDES!$5:$5,0)),0)*$AP1257,0)</f>
        <v>0.0490255606944528</v>
      </c>
      <c r="AW1257" s="153" t="n">
        <f aca="false">IFERROR(IF($N1257="VCA",INDEX(APOIO_REDES!$A:$W,MATCH($C1257&amp;$I1257&amp;$H1257&amp;$N1257&amp;$O1257,APOIO_REDES!$W:$W,0),MATCH(AW$5,APOIO_REDES!$5:$5,0)),0)*$AP1257,0)</f>
        <v>27.9858179139702</v>
      </c>
      <c r="AX1257" s="153" t="n">
        <f aca="false">IFERROR(IF($N1257="VCA",INDEX(APOIO_REDES!$A:$W,MATCH($C1257&amp;$I1257&amp;$H1257&amp;$N1257&amp;$O1257,APOIO_REDES!$W:$W,0),MATCH(AX$5,APOIO_REDES!$5:$5,0)),0)*$AP1257,0)</f>
        <v>3.87315748018215</v>
      </c>
      <c r="AY1257" s="153" t="n">
        <f aca="false">IFERROR(IF($N1257="VCA",INDEX(APOIO_REDES!$A:$W,MATCH($C1257&amp;$I1257&amp;$H1257&amp;$N1257&amp;$O1257,APOIO_REDES!$W:$W,0),MATCH(AY$5,APOIO_REDES!$5:$5,0)),0)*$AP1257,0)</f>
        <v>7.08501615483379</v>
      </c>
      <c r="AZ1257" s="153" t="n">
        <f aca="false">IFERROR(IF($N1257="VCA",INDEX(APOIO_REDES!$A:$W,MATCH($C1257&amp;$I1257&amp;$H1257&amp;$N1257&amp;$O1257,APOIO_REDES!$W:$W,0),MATCH(AZ$5,APOIO_REDES!$5:$5,0)),0)*$AP1257,0)</f>
        <v>0.98054576021915</v>
      </c>
      <c r="BA1257" s="153" t="n">
        <f aca="false">IFERROR(IF(AND($N1257="VCA",$Q1257="LINEAR"),INDEX(APOIO_REDES!$A:$W,MATCH($C1257&amp;$I1257&amp;$H1257&amp;$N1257&amp;$O1257,APOIO_REDES!$W:$W,0),MATCH(BA$5,APOIO_REDES!$5:$5,0)),IF(AND($N1257="MND",$Q1257="EMBOQUE"),INDEX(APOIO_REDES!$A:$W,MATCH($C1257&amp;$I1257&amp;$H1257&amp;$N1257&amp;$O1257,APOIO_REDES!$W:$W,0),MATCH(BA$5,APOIO_REDES!$5:$5,0)),0))*$M1257/10,0)</f>
        <v>3.70909591822149</v>
      </c>
      <c r="BB1257" s="153" t="n">
        <f aca="false">IFERROR(IF($N1257="VCA",INDEX(APOIO_REDES!$A:$W,MATCH($C1257&amp;$I1257&amp;$H1257&amp;$N1257&amp;$O1257,APOIO_REDES!$W:$W,0),MATCH(BB$5,APOIO_REDES!$5:$5,0)),0)*($AI1257+$AQ1257+$AR1257),0)</f>
        <v>13.6990299579724</v>
      </c>
      <c r="BC1257" s="153" t="n">
        <f aca="false">IFERROR(IF($N1257="VCA",INDEX(APOIO_REDES!$A:$W,MATCH($C1257&amp;$I1257&amp;$H1257&amp;$N1257&amp;$O1257,APOIO_REDES!$W:$W,0),MATCH(BC$5,APOIO_REDES!$5:$5,0)),0)*($AI1257+$AQ1257+$AR1257),0)</f>
        <v>0.150689042027575</v>
      </c>
      <c r="BD1257" s="153" t="n">
        <f aca="false">IF(AND($N1257="VCA",$AF1257&gt;=1.25,$AF1257&lt;1.5),$M1257*$AF1257*2,0)</f>
        <v>125.45052</v>
      </c>
      <c r="BE1257" s="153" t="n">
        <f aca="false">IF(AND($N1257="VCA",$AF1257&gt;=1.5,$AF1257&lt;3),$M1257*$AF1257*2,0)</f>
        <v>0</v>
      </c>
      <c r="BF1257" s="153" t="n">
        <f aca="false">IF(AND($N1257="VCA",$AF1257&gt;=3),$M1257*$AF1257*2,0)</f>
        <v>0</v>
      </c>
      <c r="BG1257" s="153" t="n">
        <f aca="false">($BB1257+$BC1257)*$AK1257</f>
        <v>42.9341289</v>
      </c>
      <c r="BH1257" s="153" t="n">
        <f aca="false">IF(AND($M1257&lt;&gt;"",$N1257="VCA",$Q1257="LINEAR"),($M1257*2)/100,IF(AND($M1257&lt;&gt;"",$N1257="MND",$Q1257="EMBOQUE"),($AN1257*2)/100,0))</f>
        <v>0.9204</v>
      </c>
      <c r="BI1257" s="153" t="n">
        <f aca="false">IF(AND($M1257&lt;&gt;"",$N1257="VCA",$Q1257="LINEAR"),$M1257,IF(AND($M1257&lt;&gt;"",$N1257="MND",$Q1257="EMBOQUE"),$AN1257*2,0))</f>
        <v>46.02</v>
      </c>
      <c r="BJ1257" s="153" t="n">
        <f aca="false">IF(AND($M1257&lt;&gt;"",$N1257="VCA",$Q1257="LINEAR"),($M1257*6.8)/100,IF(AND($M1257&lt;&gt;"",$N1257="MND",$Q1257="EMBOQUE"),($AN1257*2*6.8)/100,0))</f>
        <v>3.12936</v>
      </c>
      <c r="BK1257" s="153" t="n">
        <f aca="false">IF(AND($M1257&lt;&gt;"",$N1257="VCA",$Q1257="LINEAR"),($M1257*2.5)/50,IF(AND($M1257&lt;&gt;"",$N1257="MND",$Q1257="EMBOQUE"),($AN1257*2*2.5)/50,0))</f>
        <v>2.301</v>
      </c>
      <c r="BL1257" s="157" t="str">
        <f aca="false">K1257&amp;J1257</f>
        <v>Zona11REDES</v>
      </c>
      <c r="BM1257" s="152" t="s">
        <v>6084</v>
      </c>
      <c r="BN1257" s="152" t="s">
        <v>1560</v>
      </c>
      <c r="BO1257" s="152" t="s">
        <v>4725</v>
      </c>
      <c r="BP1257" s="152" t="s">
        <v>6299</v>
      </c>
      <c r="BQ1257" s="152" t="s">
        <v>6281</v>
      </c>
      <c r="BR1257" s="152" t="s">
        <v>6307</v>
      </c>
      <c r="BS1257" s="152" t="n">
        <v>204815.925</v>
      </c>
      <c r="BT1257" s="152" t="n">
        <v>8236414.666</v>
      </c>
      <c r="BU1257" s="152" t="n">
        <v>204859.248</v>
      </c>
      <c r="BV1257" s="152" t="n">
        <v>8236430.185</v>
      </c>
      <c r="BW1257" s="152" t="n">
        <v>-15.9339291</v>
      </c>
      <c r="BX1257" s="152" t="n">
        <v>-47.75693</v>
      </c>
      <c r="BY1257" s="152" t="s">
        <v>6299</v>
      </c>
    </row>
    <row r="1258" customFormat="false" ht="13.8" hidden="false" customHeight="false" outlineLevel="0" collapsed="false">
      <c r="A1258" s="149" t="n">
        <f aca="false">IF(C1258&lt;&gt;"",ROW(A1253),"")</f>
        <v>1253</v>
      </c>
      <c r="B1258" s="150" t="str">
        <f aca="false">HYPERLINK("https://www.google.com/maps/dir/-15.917302,-47.760003/-15.9341111,-47.7556986/data=!4m3!4m2!3e0!5i2")</f>
        <v>https://www.google.com/maps/dir/-15.917302,-47.760003/-15.9341111,-47.7556986/data=!4m3!4m2!3e0!5i2</v>
      </c>
      <c r="C1258" s="151" t="s">
        <v>117</v>
      </c>
      <c r="D1258" s="152" t="s">
        <v>112</v>
      </c>
      <c r="E1258" s="152" t="s">
        <v>113</v>
      </c>
      <c r="F1258" s="152" t="s">
        <v>117</v>
      </c>
      <c r="G1258" s="152" t="s">
        <v>782</v>
      </c>
      <c r="H1258" s="152" t="n">
        <v>90</v>
      </c>
      <c r="I1258" s="152" t="s">
        <v>115</v>
      </c>
      <c r="J1258" s="152" t="s">
        <v>6</v>
      </c>
      <c r="K1258" s="152" t="s">
        <v>6081</v>
      </c>
      <c r="L1258" s="152" t="s">
        <v>120</v>
      </c>
      <c r="M1258" s="153" t="n">
        <f aca="false">49.09</f>
        <v>49.09</v>
      </c>
      <c r="N1258" s="152" t="s">
        <v>1548</v>
      </c>
      <c r="O1258" s="152" t="s">
        <v>1549</v>
      </c>
      <c r="P1258" s="152" t="s">
        <v>1550</v>
      </c>
      <c r="Q1258" s="152" t="s">
        <v>1551</v>
      </c>
      <c r="R1258" s="154" t="s">
        <v>6308</v>
      </c>
      <c r="S1258" s="154" t="s">
        <v>1593</v>
      </c>
      <c r="T1258" s="155" t="s">
        <v>4723</v>
      </c>
      <c r="U1258" s="152" t="str">
        <f aca="false">RIGHT(T1258,7)</f>
        <v>020/037</v>
      </c>
      <c r="V1258" s="152" t="s">
        <v>1555</v>
      </c>
      <c r="W1258" s="156" t="n">
        <v>45882</v>
      </c>
      <c r="X1258" s="152" t="s">
        <v>3938</v>
      </c>
      <c r="Y1258" s="152" t="s">
        <v>6292</v>
      </c>
      <c r="Z1258" s="152" t="s">
        <v>1557</v>
      </c>
      <c r="AA1258" s="153" t="n">
        <v>4.1</v>
      </c>
      <c r="AB1258" s="151" t="s">
        <v>6309</v>
      </c>
      <c r="AC1258" s="151" t="s">
        <v>526</v>
      </c>
      <c r="AD1258" s="151" t="str">
        <f aca="false">CONCATENATE($C1258,$I1258,$H1258,$N1258,$J1258,$K1258)</f>
        <v>TUBO PEADPEAD90VCAREDESZona11</v>
      </c>
      <c r="AE1258" s="153" t="n">
        <f aca="false">IFERROR(INDEX(APOIO_REDES!$A:$W,MATCH($C1258&amp;$I1258&amp;$H1258&amp;$N1258&amp;$O1258,APOIO_REDES!$W:$W,0),MATCH(AE$5,APOIO_REDES!$5:$5,0)),0)</f>
        <v>1.2</v>
      </c>
      <c r="AF1258" s="153" t="n">
        <f aca="false">IFERROR(INDEX(APOIO_REDES!$A:$W,MATCH($C1258&amp;$I1258&amp;$H1258&amp;$N1258&amp;$O1258,APOIO_REDES!$W:$W,0),MATCH(AF$5,APOIO_REDES!$5:$5,0)),0)</f>
        <v>1.39</v>
      </c>
      <c r="AG1258" s="153" t="n">
        <f aca="false">IFERROR(INDEX(APOIO_REDES!$A:$W,MATCH($C1258&amp;$I1258&amp;$H1258&amp;$N1258&amp;$O1258,APOIO_REDES!$W:$W,0),MATCH(AG$5,APOIO_REDES!$5:$5,0)),0)</f>
        <v>0.75</v>
      </c>
      <c r="AH1258" s="153" t="n">
        <f aca="false">IFERROR(INDEX(APOIO_REDES!$A:$W,MATCH($C1258&amp;$I1258&amp;$H1258&amp;$N1258&amp;$O1258,APOIO_REDES!$W:$W,0),MATCH(AH$5,APOIO_REDES!$5:$5,0)),0)</f>
        <v>0.1</v>
      </c>
      <c r="AI1258" s="153" t="n">
        <f aca="false">IFERROR(IF($H1258&lt;&gt;"",(((($H1258/1000)/2)^2)*PI()*$M1258),0),0)</f>
        <v>0.312297086313564</v>
      </c>
      <c r="AJ1258" s="153" t="n">
        <f aca="false">IFERROR(IF(AND($H1258&lt;&gt;"",$I1258="FoFo",OR($N1258="MND",$N1258="VCA"),$Q1258="LINEAR"),0,IF(AND($H1258&lt;&gt;"",$I1258="PEAD",$N1258="VCA",$Q1258="LINEAR"),($H1258/1000)+0.3,IF(AND($H1258&lt;&gt;"",$I1258="PEAD",$N1258="MND",$Q1258="EMBOQUE"),0,IF(AND($H1258&lt;&gt;"",$I1258="PVC",$N1258="VCA",$Q1258="LINEAR"),($H1258/1000)+0.2,IF(AND($H1258&lt;&gt;"",$I1258="PVC",$N1258="MND",$Q1258="EMBOQUE"),0,IF(AND($H1258&lt;&gt;"",$I1258="PEAD",$N1258="VCA",$Q1258="PREDIAL"),0,0)))))),0)</f>
        <v>0.39</v>
      </c>
      <c r="AK1258" s="153" t="n">
        <f aca="false">IF(AA1258&lt;&gt;"",AA1258,0)</f>
        <v>4.1</v>
      </c>
      <c r="AL1258" s="153" t="n">
        <f aca="false">IF(AND($N1258="MND",$Q1258="EMBOQUE"),$M1258,IF(AND($N1258="VCA",$Q1258="LINEAR"),$M1258,IF(AND($N1258="VCA",$Q1258="PREDIAL"),0,0)))</f>
        <v>49.09</v>
      </c>
      <c r="AM1258" s="153" t="n">
        <f aca="false">IF(AND($N1258="MND",$Q1258="EMBOQUE"),$M1258,IF(AND($N1258="VCA",$Q1258="LINEAR"),$M1258,IF(AND($N1258="VCA",$Q1258="PREDIAL"),0,0)))</f>
        <v>49.09</v>
      </c>
      <c r="AN1258" s="153" t="n">
        <f aca="false">ROUND(IF(AND($N1258="VCA",$M1258&lt;&gt;"",$Q1258="LINEAR"),$M1258/100,IF(AND($N1258="MND",$M1258&gt;100,$Q1258="EMBOQUE"),$M1258/100,0)),0)</f>
        <v>0</v>
      </c>
      <c r="AO1258" s="153" t="n">
        <f aca="false">IF(AND($N1258="MND",$Q1258="EMBOQUE"),$AN1258*2*2,IF(AND($N1258="VCA",$Q1258="LINEAR"),$M1258*2,IF(AND($N1258="VCA",$Q1258="PREDIAL"),0,0)))</f>
        <v>98.18</v>
      </c>
      <c r="AP1258" s="153" t="n">
        <f aca="false">IFERROR($M1258*$AF1258*$AG1258,0)</f>
        <v>51.176325</v>
      </c>
      <c r="AQ1258" s="153" t="n">
        <f aca="false">IFERROR(IF(AND($N1258="VCA",$AH1258&gt;0),$M1258*$AG1258*$AH1258,0),0)</f>
        <v>3.68175</v>
      </c>
      <c r="AR1258" s="153" t="n">
        <f aca="false">IFERROR(IF(AND($N1258="VCA",$AJ1258&gt;0),($M1258*$AG1258*$AJ1258)-$AI1258,0),0)</f>
        <v>14.0465279136864</v>
      </c>
      <c r="AS1258" s="153" t="n">
        <f aca="false">IFERROR(IF(AND($N1258="VCA",$AP1258&gt;0),$AP1258-$AI1258-$AQ1258-$AR1258,0),0)</f>
        <v>33.13575</v>
      </c>
      <c r="AT1258" s="153" t="n">
        <f aca="false">IFERROR(IF($N1258="VCA",INDEX(APOIO_REDES!$A:$W,MATCH($C1258&amp;$I1258&amp;$H1258&amp;$N1258&amp;$O1258,APOIO_REDES!$W:$W,0),MATCH(AT$5,APOIO_REDES!$5:$5,0)),0)*$AP1258,0)</f>
        <v>0.556813563419002</v>
      </c>
      <c r="AU1258" s="153" t="n">
        <f aca="false">IFERROR(IF($N1258="VCA",INDEX(APOIO_REDES!$A:$W,MATCH($C1258&amp;$I1258&amp;$H1258&amp;$N1258&amp;$O1258,APOIO_REDES!$W:$W,0),MATCH(AU$5,APOIO_REDES!$5:$5,0)),0)*$AP1258,0)</f>
        <v>0.444656231322611</v>
      </c>
      <c r="AV1258" s="153" t="n">
        <f aca="false">IFERROR(IF($N1258="VCA",INDEX(APOIO_REDES!$A:$W,MATCH($C1258&amp;$I1258&amp;$H1258&amp;$N1258&amp;$O1258,APOIO_REDES!$W:$W,0),MATCH(AV$5,APOIO_REDES!$5:$5,0)),0)*$AP1258,0)</f>
        <v>0.0615369317267703</v>
      </c>
      <c r="AW1258" s="153" t="n">
        <f aca="false">IFERROR(IF($N1258="VCA",INDEX(APOIO_REDES!$A:$W,MATCH($C1258&amp;$I1258&amp;$H1258&amp;$N1258&amp;$O1258,APOIO_REDES!$W:$W,0),MATCH(AW$5,APOIO_REDES!$5:$5,0)),0)*$AP1258,0)</f>
        <v>35.127826013516</v>
      </c>
      <c r="AX1258" s="153" t="n">
        <f aca="false">IFERROR(IF($N1258="VCA",INDEX(APOIO_REDES!$A:$W,MATCH($C1258&amp;$I1258&amp;$H1258&amp;$N1258&amp;$O1258,APOIO_REDES!$W:$W,0),MATCH(AX$5,APOIO_REDES!$5:$5,0)),0)*$AP1258,0)</f>
        <v>4.86159105676412</v>
      </c>
      <c r="AY1258" s="153" t="n">
        <f aca="false">IFERROR(IF($N1258="VCA",INDEX(APOIO_REDES!$A:$W,MATCH($C1258&amp;$I1258&amp;$H1258&amp;$N1258&amp;$O1258,APOIO_REDES!$W:$W,0),MATCH(AY$5,APOIO_REDES!$5:$5,0)),0)*$AP1258,0)</f>
        <v>8.8931192061288</v>
      </c>
      <c r="AZ1258" s="153" t="n">
        <f aca="false">IFERROR(IF($N1258="VCA",INDEX(APOIO_REDES!$A:$W,MATCH($C1258&amp;$I1258&amp;$H1258&amp;$N1258&amp;$O1258,APOIO_REDES!$W:$W,0),MATCH(AZ$5,APOIO_REDES!$5:$5,0)),0)*$AP1258,0)</f>
        <v>1.23078199712272</v>
      </c>
      <c r="BA1258" s="153" t="n">
        <f aca="false">IFERROR(IF(AND($N1258="VCA",$Q1258="LINEAR"),INDEX(APOIO_REDES!$A:$W,MATCH($C1258&amp;$I1258&amp;$H1258&amp;$N1258&amp;$O1258,APOIO_REDES!$W:$W,0),MATCH(BA$5,APOIO_REDES!$5:$5,0)),IF(AND($N1258="MND",$Q1258="EMBOQUE"),INDEX(APOIO_REDES!$A:$W,MATCH($C1258&amp;$I1258&amp;$H1258&amp;$N1258&amp;$O1258,APOIO_REDES!$W:$W,0),MATCH(BA$5,APOIO_REDES!$5:$5,0)),0))*$M1258/10,0)</f>
        <v>3.95653017439142</v>
      </c>
      <c r="BB1258" s="153" t="n">
        <f aca="false">IFERROR(IF($N1258="VCA",INDEX(APOIO_REDES!$A:$W,MATCH($C1258&amp;$I1258&amp;$H1258&amp;$N1258&amp;$O1258,APOIO_REDES!$W:$W,0),MATCH(BB$5,APOIO_REDES!$5:$5,0)),0)*($AI1258+$AQ1258+$AR1258),0)</f>
        <v>17.8442882042624</v>
      </c>
      <c r="BC1258" s="153" t="n">
        <f aca="false">IFERROR(IF($N1258="VCA",INDEX(APOIO_REDES!$A:$W,MATCH($C1258&amp;$I1258&amp;$H1258&amp;$N1258&amp;$O1258,APOIO_REDES!$W:$W,0),MATCH(BC$5,APOIO_REDES!$5:$5,0)),0)*($AI1258+$AQ1258+$AR1258),0)</f>
        <v>0.196286795737634</v>
      </c>
      <c r="BD1258" s="153" t="n">
        <f aca="false">IF(AND($N1258="VCA",$AF1258&gt;=1.25,$AF1258&lt;1.5),$M1258*$AF1258*2,0)</f>
        <v>136.4702</v>
      </c>
      <c r="BE1258" s="153" t="n">
        <f aca="false">IF(AND($N1258="VCA",$AF1258&gt;=1.5,$AF1258&lt;3),$M1258*$AF1258*2,0)</f>
        <v>0</v>
      </c>
      <c r="BF1258" s="153" t="n">
        <f aca="false">IF(AND($N1258="VCA",$AF1258&gt;=3),$M1258*$AF1258*2,0)</f>
        <v>0</v>
      </c>
      <c r="BG1258" s="153" t="n">
        <f aca="false">($BB1258+$BC1258)*$AK1258</f>
        <v>73.9663575</v>
      </c>
      <c r="BH1258" s="153" t="n">
        <f aca="false">IF(AND($M1258&lt;&gt;"",$N1258="VCA",$Q1258="LINEAR"),($M1258*2)/100,IF(AND($M1258&lt;&gt;"",$N1258="MND",$Q1258="EMBOQUE"),($AN1258*2)/100,0))</f>
        <v>0.9818</v>
      </c>
      <c r="BI1258" s="153" t="n">
        <f aca="false">IF(AND($M1258&lt;&gt;"",$N1258="VCA",$Q1258="LINEAR"),$M1258,IF(AND($M1258&lt;&gt;"",$N1258="MND",$Q1258="EMBOQUE"),$AN1258*2,0))</f>
        <v>49.09</v>
      </c>
      <c r="BJ1258" s="153" t="n">
        <f aca="false">IF(AND($M1258&lt;&gt;"",$N1258="VCA",$Q1258="LINEAR"),($M1258*6.8)/100,IF(AND($M1258&lt;&gt;"",$N1258="MND",$Q1258="EMBOQUE"),($AN1258*2*6.8)/100,0))</f>
        <v>3.33812</v>
      </c>
      <c r="BK1258" s="153" t="n">
        <f aca="false">IF(AND($M1258&lt;&gt;"",$N1258="VCA",$Q1258="LINEAR"),($M1258*2.5)/50,IF(AND($M1258&lt;&gt;"",$N1258="MND",$Q1258="EMBOQUE"),($AN1258*2*2.5)/50,0))</f>
        <v>2.4545</v>
      </c>
      <c r="BL1258" s="157" t="str">
        <f aca="false">K1258&amp;J1258</f>
        <v>Zona11REDES</v>
      </c>
      <c r="BM1258" s="152" t="s">
        <v>6084</v>
      </c>
      <c r="BN1258" s="152" t="s">
        <v>1560</v>
      </c>
      <c r="BO1258" s="152" t="s">
        <v>4725</v>
      </c>
      <c r="BP1258" s="152" t="s">
        <v>6310</v>
      </c>
      <c r="BQ1258" s="152" t="s">
        <v>6303</v>
      </c>
      <c r="BR1258" s="152" t="s">
        <v>6311</v>
      </c>
      <c r="BS1258" s="152" t="n">
        <v>204969.789</v>
      </c>
      <c r="BT1258" s="152" t="n">
        <v>8236404.004</v>
      </c>
      <c r="BU1258" s="152" t="n">
        <v>205016.387</v>
      </c>
      <c r="BV1258" s="152" t="n">
        <v>8236419.435</v>
      </c>
      <c r="BW1258" s="152" t="n">
        <v>-15.9340442</v>
      </c>
      <c r="BX1258" s="152" t="n">
        <v>-47.7554802</v>
      </c>
      <c r="BY1258" s="152" t="s">
        <v>6310</v>
      </c>
    </row>
    <row r="1259" customFormat="false" ht="13.8" hidden="false" customHeight="false" outlineLevel="0" collapsed="false">
      <c r="A1259" s="149" t="n">
        <f aca="false">IF(C1259&lt;&gt;"",ROW(A1254),"")</f>
        <v>1254</v>
      </c>
      <c r="B1259" s="150" t="str">
        <f aca="false">HYPERLINK("https://www.google.com/maps/dir/-15.917302,-47.760003/-15.9339965,-47.7571332/data=!4m3!4m2!3e0!5i1")</f>
        <v>https://www.google.com/maps/dir/-15.917302,-47.760003/-15.9339965,-47.7571332/data=!4m3!4m2!3e0!5i1</v>
      </c>
      <c r="C1259" s="151" t="s">
        <v>117</v>
      </c>
      <c r="D1259" s="152" t="s">
        <v>112</v>
      </c>
      <c r="E1259" s="152" t="s">
        <v>113</v>
      </c>
      <c r="F1259" s="152" t="s">
        <v>117</v>
      </c>
      <c r="G1259" s="152" t="s">
        <v>782</v>
      </c>
      <c r="H1259" s="152" t="n">
        <v>63</v>
      </c>
      <c r="I1259" s="152" t="s">
        <v>115</v>
      </c>
      <c r="J1259" s="152" t="s">
        <v>6</v>
      </c>
      <c r="K1259" s="152" t="s">
        <v>6081</v>
      </c>
      <c r="L1259" s="152" t="s">
        <v>120</v>
      </c>
      <c r="M1259" s="153" t="n">
        <f aca="false">46.9</f>
        <v>46.9</v>
      </c>
      <c r="N1259" s="152" t="s">
        <v>1548</v>
      </c>
      <c r="O1259" s="152" t="s">
        <v>1549</v>
      </c>
      <c r="P1259" s="152" t="s">
        <v>1550</v>
      </c>
      <c r="Q1259" s="152" t="s">
        <v>1551</v>
      </c>
      <c r="R1259" s="154" t="s">
        <v>6312</v>
      </c>
      <c r="S1259" s="154" t="s">
        <v>1553</v>
      </c>
      <c r="T1259" s="155" t="s">
        <v>4723</v>
      </c>
      <c r="U1259" s="152" t="str">
        <f aca="false">RIGHT(T1259,7)</f>
        <v>020/037</v>
      </c>
      <c r="V1259" s="152" t="s">
        <v>1555</v>
      </c>
      <c r="W1259" s="156" t="n">
        <v>45882</v>
      </c>
      <c r="X1259" s="152" t="s">
        <v>3938</v>
      </c>
      <c r="Y1259" s="152" t="s">
        <v>6292</v>
      </c>
      <c r="Z1259" s="152" t="s">
        <v>1557</v>
      </c>
      <c r="AA1259" s="153" t="n">
        <v>3.1</v>
      </c>
      <c r="AB1259" s="151" t="s">
        <v>6313</v>
      </c>
      <c r="AC1259" s="151" t="s">
        <v>186</v>
      </c>
      <c r="AD1259" s="151" t="str">
        <f aca="false">CONCATENATE($C1259,$I1259,$H1259,$N1259,$J1259,$K1259)</f>
        <v>TUBO PEADPEAD63VCAREDESZona11</v>
      </c>
      <c r="AE1259" s="153" t="n">
        <f aca="false">IFERROR(INDEX(APOIO_REDES!$A:$W,MATCH($C1259&amp;$I1259&amp;$H1259&amp;$N1259&amp;$O1259,APOIO_REDES!$W:$W,0),MATCH(AE$5,APOIO_REDES!$5:$5,0)),0)</f>
        <v>1.2</v>
      </c>
      <c r="AF1259" s="153" t="n">
        <f aca="false">IFERROR(INDEX(APOIO_REDES!$A:$W,MATCH($C1259&amp;$I1259&amp;$H1259&amp;$N1259&amp;$O1259,APOIO_REDES!$W:$W,0),MATCH(AF$5,APOIO_REDES!$5:$5,0)),0)</f>
        <v>1.363</v>
      </c>
      <c r="AG1259" s="153" t="n">
        <f aca="false">IFERROR(INDEX(APOIO_REDES!$A:$W,MATCH($C1259&amp;$I1259&amp;$H1259&amp;$N1259&amp;$O1259,APOIO_REDES!$W:$W,0),MATCH(AG$5,APOIO_REDES!$5:$5,0)),0)</f>
        <v>0.65</v>
      </c>
      <c r="AH1259" s="153" t="n">
        <f aca="false">IFERROR(INDEX(APOIO_REDES!$A:$W,MATCH($C1259&amp;$I1259&amp;$H1259&amp;$N1259&amp;$O1259,APOIO_REDES!$W:$W,0),MATCH(AH$5,APOIO_REDES!$5:$5,0)),0)</f>
        <v>0.1</v>
      </c>
      <c r="AI1259" s="153" t="n">
        <f aca="false">IFERROR(IF($H1259&lt;&gt;"",(((($H1259/1000)/2)^2)*PI()*$M1259),0),0)</f>
        <v>0.146198805063598</v>
      </c>
      <c r="AJ1259" s="153" t="n">
        <f aca="false">IFERROR(IF(AND($H1259&lt;&gt;"",$I1259="FoFo",OR($N1259="MND",$N1259="VCA"),$Q1259="LINEAR"),0,IF(AND($H1259&lt;&gt;"",$I1259="PEAD",$N1259="VCA",$Q1259="LINEAR"),($H1259/1000)+0.3,IF(AND($H1259&lt;&gt;"",$I1259="PEAD",$N1259="MND",$Q1259="EMBOQUE"),0,IF(AND($H1259&lt;&gt;"",$I1259="PVC",$N1259="VCA",$Q1259="LINEAR"),($H1259/1000)+0.2,IF(AND($H1259&lt;&gt;"",$I1259="PVC",$N1259="MND",$Q1259="EMBOQUE"),0,IF(AND($H1259&lt;&gt;"",$I1259="PEAD",$N1259="VCA",$Q1259="PREDIAL"),0,0)))))),0)</f>
        <v>0.363</v>
      </c>
      <c r="AK1259" s="153" t="n">
        <f aca="false">IF(AA1259&lt;&gt;"",AA1259,0)</f>
        <v>3.1</v>
      </c>
      <c r="AL1259" s="153" t="n">
        <f aca="false">IF(AND($N1259="MND",$Q1259="EMBOQUE"),$M1259,IF(AND($N1259="VCA",$Q1259="LINEAR"),$M1259,IF(AND($N1259="VCA",$Q1259="PREDIAL"),0,0)))</f>
        <v>46.9</v>
      </c>
      <c r="AM1259" s="153" t="n">
        <f aca="false">IF(AND($N1259="MND",$Q1259="EMBOQUE"),$M1259,IF(AND($N1259="VCA",$Q1259="LINEAR"),$M1259,IF(AND($N1259="VCA",$Q1259="PREDIAL"),0,0)))</f>
        <v>46.9</v>
      </c>
      <c r="AN1259" s="153" t="n">
        <f aca="false">ROUND(IF(AND($N1259="VCA",$M1259&lt;&gt;"",$Q1259="LINEAR"),$M1259/100,IF(AND($N1259="MND",$M1259&gt;100,$Q1259="EMBOQUE"),$M1259/100,0)),0)</f>
        <v>0</v>
      </c>
      <c r="AO1259" s="153" t="n">
        <f aca="false">IF(AND($N1259="MND",$Q1259="EMBOQUE"),$AN1259*2*2,IF(AND($N1259="VCA",$Q1259="LINEAR"),$M1259*2,IF(AND($N1259="VCA",$Q1259="PREDIAL"),0,0)))</f>
        <v>93.8</v>
      </c>
      <c r="AP1259" s="153" t="n">
        <f aca="false">IFERROR($M1259*$AF1259*$AG1259,0)</f>
        <v>41.551055</v>
      </c>
      <c r="AQ1259" s="153" t="n">
        <f aca="false">IFERROR(IF(AND($N1259="VCA",$AH1259&gt;0),$M1259*$AG1259*$AH1259,0),0)</f>
        <v>3.0485</v>
      </c>
      <c r="AR1259" s="153" t="n">
        <f aca="false">IFERROR(IF(AND($N1259="VCA",$AJ1259&gt;0),($M1259*$AG1259*$AJ1259)-$AI1259,0),0)</f>
        <v>10.9198561949364</v>
      </c>
      <c r="AS1259" s="153" t="n">
        <f aca="false">IFERROR(IF(AND($N1259="VCA",$AP1259&gt;0),$AP1259-$AI1259-$AQ1259-$AR1259,0),0)</f>
        <v>27.4365</v>
      </c>
      <c r="AT1259" s="153" t="n">
        <f aca="false">IFERROR(IF($N1259="VCA",INDEX(APOIO_REDES!$A:$W,MATCH($C1259&amp;$I1259&amp;$H1259&amp;$N1259&amp;$O1259,APOIO_REDES!$W:$W,0),MATCH(AT$5,APOIO_REDES!$5:$5,0)),0)*$AP1259,0)</f>
        <v>0.452087776884505</v>
      </c>
      <c r="AU1259" s="153" t="n">
        <f aca="false">IFERROR(IF($N1259="VCA",INDEX(APOIO_REDES!$A:$W,MATCH($C1259&amp;$I1259&amp;$H1259&amp;$N1259&amp;$O1259,APOIO_REDES!$W:$W,0),MATCH(AU$5,APOIO_REDES!$5:$5,0)),0)*$AP1259,0)</f>
        <v>0.361025054530166</v>
      </c>
      <c r="AV1259" s="153" t="n">
        <f aca="false">IFERROR(IF($N1259="VCA",INDEX(APOIO_REDES!$A:$W,MATCH($C1259&amp;$I1259&amp;$H1259&amp;$N1259&amp;$O1259,APOIO_REDES!$W:$W,0),MATCH(AV$5,APOIO_REDES!$5:$5,0)),0)*$AP1259,0)</f>
        <v>0.0499630333891751</v>
      </c>
      <c r="AW1259" s="153" t="n">
        <f aca="false">IFERROR(IF($N1259="VCA",INDEX(APOIO_REDES!$A:$W,MATCH($C1259&amp;$I1259&amp;$H1259&amp;$N1259&amp;$O1259,APOIO_REDES!$W:$W,0),MATCH(AW$5,APOIO_REDES!$5:$5,0)),0)*$AP1259,0)</f>
        <v>28.5209661052847</v>
      </c>
      <c r="AX1259" s="153" t="n">
        <f aca="false">IFERROR(IF($N1259="VCA",INDEX(APOIO_REDES!$A:$W,MATCH($C1259&amp;$I1259&amp;$H1259&amp;$N1259&amp;$O1259,APOIO_REDES!$W:$W,0),MATCH(AX$5,APOIO_REDES!$5:$5,0)),0)*$AP1259,0)</f>
        <v>3.9472204654616</v>
      </c>
      <c r="AY1259" s="153" t="n">
        <f aca="false">IFERROR(IF($N1259="VCA",INDEX(APOIO_REDES!$A:$W,MATCH($C1259&amp;$I1259&amp;$H1259&amp;$N1259&amp;$O1259,APOIO_REDES!$W:$W,0),MATCH(AY$5,APOIO_REDES!$5:$5,0)),0)*$AP1259,0)</f>
        <v>7.22049668973718</v>
      </c>
      <c r="AZ1259" s="153" t="n">
        <f aca="false">IFERROR(IF($N1259="VCA",INDEX(APOIO_REDES!$A:$W,MATCH($C1259&amp;$I1259&amp;$H1259&amp;$N1259&amp;$O1259,APOIO_REDES!$W:$W,0),MATCH(AZ$5,APOIO_REDES!$5:$5,0)),0)*$AP1259,0)</f>
        <v>0.999295874712693</v>
      </c>
      <c r="BA1259" s="153" t="n">
        <f aca="false">IFERROR(IF(AND($N1259="VCA",$Q1259="LINEAR"),INDEX(APOIO_REDES!$A:$W,MATCH($C1259&amp;$I1259&amp;$H1259&amp;$N1259&amp;$O1259,APOIO_REDES!$W:$W,0),MATCH(BA$5,APOIO_REDES!$5:$5,0)),IF(AND($N1259="MND",$Q1259="EMBOQUE"),INDEX(APOIO_REDES!$A:$W,MATCH($C1259&amp;$I1259&amp;$H1259&amp;$N1259&amp;$O1259,APOIO_REDES!$W:$W,0),MATCH(BA$5,APOIO_REDES!$5:$5,0)),0))*$M1259/10,0)</f>
        <v>3.7800216984917</v>
      </c>
      <c r="BB1259" s="153" t="n">
        <f aca="false">IFERROR(IF($N1259="VCA",INDEX(APOIO_REDES!$A:$W,MATCH($C1259&amp;$I1259&amp;$H1259&amp;$N1259&amp;$O1259,APOIO_REDES!$W:$W,0),MATCH(BB$5,APOIO_REDES!$5:$5,0)),0)*($AI1259+$AQ1259+$AR1259),0)</f>
        <v>13.960984463905</v>
      </c>
      <c r="BC1259" s="153" t="n">
        <f aca="false">IFERROR(IF($N1259="VCA",INDEX(APOIO_REDES!$A:$W,MATCH($C1259&amp;$I1259&amp;$H1259&amp;$N1259&amp;$O1259,APOIO_REDES!$W:$W,0),MATCH(BC$5,APOIO_REDES!$5:$5,0)),0)*($AI1259+$AQ1259+$AR1259),0)</f>
        <v>0.15357053609503</v>
      </c>
      <c r="BD1259" s="153" t="n">
        <f aca="false">IF(AND($N1259="VCA",$AF1259&gt;=1.25,$AF1259&lt;1.5),$M1259*$AF1259*2,0)</f>
        <v>127.8494</v>
      </c>
      <c r="BE1259" s="153" t="n">
        <f aca="false">IF(AND($N1259="VCA",$AF1259&gt;=1.5,$AF1259&lt;3),$M1259*$AF1259*2,0)</f>
        <v>0</v>
      </c>
      <c r="BF1259" s="153" t="n">
        <f aca="false">IF(AND($N1259="VCA",$AF1259&gt;=3),$M1259*$AF1259*2,0)</f>
        <v>0</v>
      </c>
      <c r="BG1259" s="153" t="n">
        <f aca="false">($BB1259+$BC1259)*$AK1259</f>
        <v>43.7551205</v>
      </c>
      <c r="BH1259" s="153" t="n">
        <f aca="false">IF(AND($M1259&lt;&gt;"",$N1259="VCA",$Q1259="LINEAR"),($M1259*2)/100,IF(AND($M1259&lt;&gt;"",$N1259="MND",$Q1259="EMBOQUE"),($AN1259*2)/100,0))</f>
        <v>0.938</v>
      </c>
      <c r="BI1259" s="153" t="n">
        <f aca="false">IF(AND($M1259&lt;&gt;"",$N1259="VCA",$Q1259="LINEAR"),$M1259,IF(AND($M1259&lt;&gt;"",$N1259="MND",$Q1259="EMBOQUE"),$AN1259*2,0))</f>
        <v>46.9</v>
      </c>
      <c r="BJ1259" s="153" t="n">
        <f aca="false">IF(AND($M1259&lt;&gt;"",$N1259="VCA",$Q1259="LINEAR"),($M1259*6.8)/100,IF(AND($M1259&lt;&gt;"",$N1259="MND",$Q1259="EMBOQUE"),($AN1259*2*6.8)/100,0))</f>
        <v>3.1892</v>
      </c>
      <c r="BK1259" s="153" t="n">
        <f aca="false">IF(AND($M1259&lt;&gt;"",$N1259="VCA",$Q1259="LINEAR"),($M1259*2.5)/50,IF(AND($M1259&lt;&gt;"",$N1259="MND",$Q1259="EMBOQUE"),($AN1259*2*2.5)/50,0))</f>
        <v>2.345</v>
      </c>
      <c r="BL1259" s="157" t="str">
        <f aca="false">K1259&amp;J1259</f>
        <v>Zona11REDES</v>
      </c>
      <c r="BM1259" s="152" t="s">
        <v>6084</v>
      </c>
      <c r="BN1259" s="152" t="s">
        <v>1560</v>
      </c>
      <c r="BO1259" s="152" t="s">
        <v>4725</v>
      </c>
      <c r="BP1259" s="152" t="s">
        <v>6299</v>
      </c>
      <c r="BQ1259" s="152" t="s">
        <v>6289</v>
      </c>
      <c r="BR1259" s="152" t="s">
        <v>6314</v>
      </c>
      <c r="BS1259" s="152" t="n">
        <v>204815.925</v>
      </c>
      <c r="BT1259" s="152" t="n">
        <v>8236414.666</v>
      </c>
      <c r="BU1259" s="152" t="n">
        <v>204771.731</v>
      </c>
      <c r="BV1259" s="152" t="n">
        <v>8236398.973</v>
      </c>
      <c r="BW1259" s="152" t="n">
        <v>-15.9340647</v>
      </c>
      <c r="BX1259" s="152" t="n">
        <v>-47.7573404</v>
      </c>
      <c r="BY1259" s="152" t="s">
        <v>6299</v>
      </c>
    </row>
    <row r="1260" customFormat="false" ht="13.8" hidden="false" customHeight="false" outlineLevel="0" collapsed="false">
      <c r="A1260" s="149" t="n">
        <f aca="false">IF(C1260&lt;&gt;"",ROW(A1255),"")</f>
        <v>1255</v>
      </c>
      <c r="B1260" s="150" t="str">
        <f aca="false">HYPERLINK("https://www.google.com/maps/dir/-15.917302,-47.760003/-15.9338615,-47.7567270/data=!4m3!4m2!3e0!5i1")</f>
        <v>https://www.google.com/maps/dir/-15.917302,-47.760003/-15.9338615,-47.7567270/data=!4m3!4m2!3e0!5i1</v>
      </c>
      <c r="C1260" s="151" t="s">
        <v>117</v>
      </c>
      <c r="D1260" s="152" t="s">
        <v>112</v>
      </c>
      <c r="E1260" s="152" t="s">
        <v>113</v>
      </c>
      <c r="F1260" s="152" t="s">
        <v>117</v>
      </c>
      <c r="G1260" s="152" t="s">
        <v>782</v>
      </c>
      <c r="H1260" s="152" t="n">
        <v>63</v>
      </c>
      <c r="I1260" s="152" t="s">
        <v>115</v>
      </c>
      <c r="J1260" s="152" t="s">
        <v>6</v>
      </c>
      <c r="K1260" s="152" t="s">
        <v>6081</v>
      </c>
      <c r="L1260" s="152" t="s">
        <v>120</v>
      </c>
      <c r="M1260" s="153" t="n">
        <f aca="false">51.71</f>
        <v>51.71</v>
      </c>
      <c r="N1260" s="152" t="s">
        <v>1548</v>
      </c>
      <c r="O1260" s="152" t="s">
        <v>1549</v>
      </c>
      <c r="P1260" s="152" t="s">
        <v>1550</v>
      </c>
      <c r="Q1260" s="152" t="s">
        <v>1551</v>
      </c>
      <c r="R1260" s="154" t="s">
        <v>6315</v>
      </c>
      <c r="S1260" s="154" t="s">
        <v>1553</v>
      </c>
      <c r="T1260" s="155" t="s">
        <v>4723</v>
      </c>
      <c r="U1260" s="152" t="str">
        <f aca="false">RIGHT(T1260,7)</f>
        <v>020/037</v>
      </c>
      <c r="V1260" s="152" t="s">
        <v>1555</v>
      </c>
      <c r="W1260" s="156" t="n">
        <v>45882</v>
      </c>
      <c r="X1260" s="152" t="s">
        <v>3938</v>
      </c>
      <c r="Y1260" s="152"/>
      <c r="Z1260" s="152" t="s">
        <v>1557</v>
      </c>
      <c r="AA1260" s="153" t="n">
        <v>3.1</v>
      </c>
      <c r="AB1260" s="151" t="s">
        <v>6316</v>
      </c>
      <c r="AC1260" s="151" t="s">
        <v>186</v>
      </c>
      <c r="AD1260" s="151" t="str">
        <f aca="false">CONCATENATE($C1260,$I1260,$H1260,$N1260,$J1260,$K1260)</f>
        <v>TUBO PEADPEAD63VCAREDESZona11</v>
      </c>
      <c r="AE1260" s="153" t="n">
        <f aca="false">IFERROR(INDEX(APOIO_REDES!$A:$W,MATCH($C1260&amp;$I1260&amp;$H1260&amp;$N1260&amp;$O1260,APOIO_REDES!$W:$W,0),MATCH(AE$5,APOIO_REDES!$5:$5,0)),0)</f>
        <v>1.2</v>
      </c>
      <c r="AF1260" s="153" t="n">
        <f aca="false">IFERROR(INDEX(APOIO_REDES!$A:$W,MATCH($C1260&amp;$I1260&amp;$H1260&amp;$N1260&amp;$O1260,APOIO_REDES!$W:$W,0),MATCH(AF$5,APOIO_REDES!$5:$5,0)),0)</f>
        <v>1.363</v>
      </c>
      <c r="AG1260" s="153" t="n">
        <f aca="false">IFERROR(INDEX(APOIO_REDES!$A:$W,MATCH($C1260&amp;$I1260&amp;$H1260&amp;$N1260&amp;$O1260,APOIO_REDES!$W:$W,0),MATCH(AG$5,APOIO_REDES!$5:$5,0)),0)</f>
        <v>0.65</v>
      </c>
      <c r="AH1260" s="153" t="n">
        <f aca="false">IFERROR(INDEX(APOIO_REDES!$A:$W,MATCH($C1260&amp;$I1260&amp;$H1260&amp;$N1260&amp;$O1260,APOIO_REDES!$W:$W,0),MATCH(AH$5,APOIO_REDES!$5:$5,0)),0)</f>
        <v>0.1</v>
      </c>
      <c r="AI1260" s="153" t="n">
        <f aca="false">IFERROR(IF($H1260&lt;&gt;"",(((($H1260/1000)/2)^2)*PI()*$M1260),0),0)</f>
        <v>0.16119275500722</v>
      </c>
      <c r="AJ1260" s="153" t="n">
        <f aca="false">IFERROR(IF(AND($H1260&lt;&gt;"",$I1260="FoFo",OR($N1260="MND",$N1260="VCA"),$Q1260="LINEAR"),0,IF(AND($H1260&lt;&gt;"",$I1260="PEAD",$N1260="VCA",$Q1260="LINEAR"),($H1260/1000)+0.3,IF(AND($H1260&lt;&gt;"",$I1260="PEAD",$N1260="MND",$Q1260="EMBOQUE"),0,IF(AND($H1260&lt;&gt;"",$I1260="PVC",$N1260="VCA",$Q1260="LINEAR"),($H1260/1000)+0.2,IF(AND($H1260&lt;&gt;"",$I1260="PVC",$N1260="MND",$Q1260="EMBOQUE"),0,IF(AND($H1260&lt;&gt;"",$I1260="PEAD",$N1260="VCA",$Q1260="PREDIAL"),0,0)))))),0)</f>
        <v>0.363</v>
      </c>
      <c r="AK1260" s="153" t="n">
        <f aca="false">IF(AA1260&lt;&gt;"",AA1260,0)</f>
        <v>3.1</v>
      </c>
      <c r="AL1260" s="153" t="n">
        <f aca="false">IF(AND($N1260="MND",$Q1260="EMBOQUE"),$M1260,IF(AND($N1260="VCA",$Q1260="LINEAR"),$M1260,IF(AND($N1260="VCA",$Q1260="PREDIAL"),0,0)))</f>
        <v>51.71</v>
      </c>
      <c r="AM1260" s="153" t="n">
        <f aca="false">IF(AND($N1260="MND",$Q1260="EMBOQUE"),$M1260,IF(AND($N1260="VCA",$Q1260="LINEAR"),$M1260,IF(AND($N1260="VCA",$Q1260="PREDIAL"),0,0)))</f>
        <v>51.71</v>
      </c>
      <c r="AN1260" s="153" t="n">
        <f aca="false">ROUND(IF(AND($N1260="VCA",$M1260&lt;&gt;"",$Q1260="LINEAR"),$M1260/100,IF(AND($N1260="MND",$M1260&gt;100,$Q1260="EMBOQUE"),$M1260/100,0)),0)</f>
        <v>1</v>
      </c>
      <c r="AO1260" s="153" t="n">
        <f aca="false">IF(AND($N1260="MND",$Q1260="EMBOQUE"),$AN1260*2*2,IF(AND($N1260="VCA",$Q1260="LINEAR"),$M1260*2,IF(AND($N1260="VCA",$Q1260="PREDIAL"),0,0)))</f>
        <v>103.42</v>
      </c>
      <c r="AP1260" s="153" t="n">
        <f aca="false">IFERROR($M1260*$AF1260*$AG1260,0)</f>
        <v>45.8124745</v>
      </c>
      <c r="AQ1260" s="153" t="n">
        <f aca="false">IFERROR(IF(AND($N1260="VCA",$AH1260&gt;0),$M1260*$AG1260*$AH1260,0),0)</f>
        <v>3.36115</v>
      </c>
      <c r="AR1260" s="153" t="n">
        <f aca="false">IFERROR(IF(AND($N1260="VCA",$AJ1260&gt;0),($M1260*$AG1260*$AJ1260)-$AI1260,0),0)</f>
        <v>12.0397817449928</v>
      </c>
      <c r="AS1260" s="153" t="n">
        <f aca="false">IFERROR(IF(AND($N1260="VCA",$AP1260&gt;0),$AP1260-$AI1260-$AQ1260-$AR1260,0),0)</f>
        <v>30.25035</v>
      </c>
      <c r="AT1260" s="153" t="n">
        <f aca="false">IFERROR(IF($N1260="VCA",INDEX(APOIO_REDES!$A:$W,MATCH($C1260&amp;$I1260&amp;$H1260&amp;$N1260&amp;$O1260,APOIO_REDES!$W:$W,0),MATCH(AT$5,APOIO_REDES!$5:$5,0)),0)*$AP1260,0)</f>
        <v>0.498453282360294</v>
      </c>
      <c r="AU1260" s="153" t="n">
        <f aca="false">IFERROR(IF($N1260="VCA",INDEX(APOIO_REDES!$A:$W,MATCH($C1260&amp;$I1260&amp;$H1260&amp;$N1260&amp;$O1260,APOIO_REDES!$W:$W,0),MATCH(AU$5,APOIO_REDES!$5:$5,0)),0)*$AP1260,0)</f>
        <v>0.398051291465989</v>
      </c>
      <c r="AV1260" s="153" t="n">
        <f aca="false">IFERROR(IF($N1260="VCA",INDEX(APOIO_REDES!$A:$W,MATCH($C1260&amp;$I1260&amp;$H1260&amp;$N1260&amp;$O1260,APOIO_REDES!$W:$W,0),MATCH(AV$5,APOIO_REDES!$5:$5,0)),0)*$AP1260,0)</f>
        <v>0.0550871739137365</v>
      </c>
      <c r="AW1260" s="153" t="n">
        <f aca="false">IFERROR(IF($N1260="VCA",INDEX(APOIO_REDES!$A:$W,MATCH($C1260&amp;$I1260&amp;$H1260&amp;$N1260&amp;$O1260,APOIO_REDES!$W:$W,0),MATCH(AW$5,APOIO_REDES!$5:$5,0)),0)*$AP1260,0)</f>
        <v>31.4460374691742</v>
      </c>
      <c r="AX1260" s="153" t="n">
        <f aca="false">IFERROR(IF($N1260="VCA",INDEX(APOIO_REDES!$A:$W,MATCH($C1260&amp;$I1260&amp;$H1260&amp;$N1260&amp;$O1260,APOIO_REDES!$W:$W,0),MATCH(AX$5,APOIO_REDES!$5:$5,0)),0)*$AP1260,0)</f>
        <v>4.35204201000041</v>
      </c>
      <c r="AY1260" s="153" t="n">
        <f aca="false">IFERROR(IF($N1260="VCA",INDEX(APOIO_REDES!$A:$W,MATCH($C1260&amp;$I1260&amp;$H1260&amp;$N1260&amp;$O1260,APOIO_REDES!$W:$W,0),MATCH(AY$5,APOIO_REDES!$5:$5,0)),0)*$AP1260,0)</f>
        <v>7.96102097710681</v>
      </c>
      <c r="AZ1260" s="153" t="n">
        <f aca="false">IFERROR(IF($N1260="VCA",INDEX(APOIO_REDES!$A:$W,MATCH($C1260&amp;$I1260&amp;$H1260&amp;$N1260&amp;$O1260,APOIO_REDES!$W:$W,0),MATCH(AZ$5,APOIO_REDES!$5:$5,0)),0)*$AP1260,0)</f>
        <v>1.10178229597854</v>
      </c>
      <c r="BA1260" s="153" t="n">
        <f aca="false">IFERROR(IF(AND($N1260="VCA",$Q1260="LINEAR"),INDEX(APOIO_REDES!$A:$W,MATCH($C1260&amp;$I1260&amp;$H1260&amp;$N1260&amp;$O1260,APOIO_REDES!$W:$W,0),MATCH(BA$5,APOIO_REDES!$5:$5,0)),IF(AND($N1260="MND",$Q1260="EMBOQUE"),INDEX(APOIO_REDES!$A:$W,MATCH($C1260&amp;$I1260&amp;$H1260&amp;$N1260&amp;$O1260,APOIO_REDES!$W:$W,0),MATCH(BA$5,APOIO_REDES!$5:$5,0)),0))*$M1260/10,0)</f>
        <v>4.16769556565044</v>
      </c>
      <c r="BB1260" s="153" t="n">
        <f aca="false">IFERROR(IF($N1260="VCA",INDEX(APOIO_REDES!$A:$W,MATCH($C1260&amp;$I1260&amp;$H1260&amp;$N1260&amp;$O1260,APOIO_REDES!$W:$W,0),MATCH(BB$5,APOIO_REDES!$5:$5,0)),0)*($AI1260+$AQ1260+$AR1260),0)</f>
        <v>15.3928039792863</v>
      </c>
      <c r="BC1260" s="153" t="n">
        <f aca="false">IFERROR(IF($N1260="VCA",INDEX(APOIO_REDES!$A:$W,MATCH($C1260&amp;$I1260&amp;$H1260&amp;$N1260&amp;$O1260,APOIO_REDES!$W:$W,0),MATCH(BC$5,APOIO_REDES!$5:$5,0)),0)*($AI1260+$AQ1260+$AR1260),0)</f>
        <v>0.169320520713731</v>
      </c>
      <c r="BD1260" s="153" t="n">
        <f aca="false">IF(AND($N1260="VCA",$AF1260&gt;=1.25,$AF1260&lt;1.5),$M1260*$AF1260*2,0)</f>
        <v>140.96146</v>
      </c>
      <c r="BE1260" s="153" t="n">
        <f aca="false">IF(AND($N1260="VCA",$AF1260&gt;=1.5,$AF1260&lt;3),$M1260*$AF1260*2,0)</f>
        <v>0</v>
      </c>
      <c r="BF1260" s="153" t="n">
        <f aca="false">IF(AND($N1260="VCA",$AF1260&gt;=3),$M1260*$AF1260*2,0)</f>
        <v>0</v>
      </c>
      <c r="BG1260" s="153" t="n">
        <f aca="false">($BB1260+$BC1260)*$AK1260</f>
        <v>48.24258595</v>
      </c>
      <c r="BH1260" s="153" t="n">
        <f aca="false">IF(AND($M1260&lt;&gt;"",$N1260="VCA",$Q1260="LINEAR"),($M1260*2)/100,IF(AND($M1260&lt;&gt;"",$N1260="MND",$Q1260="EMBOQUE"),($AN1260*2)/100,0))</f>
        <v>1.0342</v>
      </c>
      <c r="BI1260" s="153" t="n">
        <f aca="false">IF(AND($M1260&lt;&gt;"",$N1260="VCA",$Q1260="LINEAR"),$M1260,IF(AND($M1260&lt;&gt;"",$N1260="MND",$Q1260="EMBOQUE"),$AN1260*2,0))</f>
        <v>51.71</v>
      </c>
      <c r="BJ1260" s="153" t="n">
        <f aca="false">IF(AND($M1260&lt;&gt;"",$N1260="VCA",$Q1260="LINEAR"),($M1260*6.8)/100,IF(AND($M1260&lt;&gt;"",$N1260="MND",$Q1260="EMBOQUE"),($AN1260*2*6.8)/100,0))</f>
        <v>3.51628</v>
      </c>
      <c r="BK1260" s="153" t="n">
        <f aca="false">IF(AND($M1260&lt;&gt;"",$N1260="VCA",$Q1260="LINEAR"),($M1260*2.5)/50,IF(AND($M1260&lt;&gt;"",$N1260="MND",$Q1260="EMBOQUE"),($AN1260*2*2.5)/50,0))</f>
        <v>2.5855</v>
      </c>
      <c r="BL1260" s="157" t="str">
        <f aca="false">K1260&amp;J1260</f>
        <v>Zona11REDES</v>
      </c>
      <c r="BM1260" s="152" t="s">
        <v>6084</v>
      </c>
      <c r="BN1260" s="152" t="s">
        <v>1560</v>
      </c>
      <c r="BO1260" s="152" t="s">
        <v>4725</v>
      </c>
      <c r="BP1260" s="152" t="s">
        <v>6281</v>
      </c>
      <c r="BQ1260" s="152" t="s">
        <v>6317</v>
      </c>
      <c r="BR1260" s="152" t="s">
        <v>6318</v>
      </c>
      <c r="BS1260" s="152" t="n">
        <v>204859.248</v>
      </c>
      <c r="BT1260" s="152" t="n">
        <v>8236430.185</v>
      </c>
      <c r="BU1260" s="152" t="n">
        <v>204875.464</v>
      </c>
      <c r="BV1260" s="152" t="n">
        <v>8236381.516</v>
      </c>
      <c r="BW1260" s="152" t="n">
        <v>-15.9340884</v>
      </c>
      <c r="BX1260" s="152" t="n">
        <v>-47.7566703</v>
      </c>
      <c r="BY1260" s="152" t="s">
        <v>6281</v>
      </c>
    </row>
    <row r="1261" customFormat="false" ht="13.8" hidden="false" customHeight="false" outlineLevel="0" collapsed="false">
      <c r="A1261" s="149" t="n">
        <f aca="false">IF(C1261&lt;&gt;"",ROW(A1256),"")</f>
        <v>1256</v>
      </c>
      <c r="B1261" s="150" t="str">
        <f aca="false">HYPERLINK("https://www.google.com/maps/dir/-15.917302,-47.760003/-15.9342008,-47.7561145/data=!4m3!4m2!3e0!5i1")</f>
        <v>https://www.google.com/maps/dir/-15.917302,-47.760003/-15.9342008,-47.7561145/data=!4m3!4m2!3e0!5i1</v>
      </c>
      <c r="C1261" s="151" t="s">
        <v>117</v>
      </c>
      <c r="D1261" s="152" t="s">
        <v>112</v>
      </c>
      <c r="E1261" s="152" t="s">
        <v>113</v>
      </c>
      <c r="F1261" s="152" t="s">
        <v>117</v>
      </c>
      <c r="G1261" s="152" t="s">
        <v>782</v>
      </c>
      <c r="H1261" s="152" t="n">
        <v>63</v>
      </c>
      <c r="I1261" s="152" t="s">
        <v>115</v>
      </c>
      <c r="J1261" s="152" t="s">
        <v>6</v>
      </c>
      <c r="K1261" s="152" t="s">
        <v>6081</v>
      </c>
      <c r="L1261" s="152" t="s">
        <v>120</v>
      </c>
      <c r="M1261" s="153" t="n">
        <f aca="false">51.34</f>
        <v>51.34</v>
      </c>
      <c r="N1261" s="152" t="s">
        <v>1548</v>
      </c>
      <c r="O1261" s="152" t="s">
        <v>1549</v>
      </c>
      <c r="P1261" s="152" t="s">
        <v>1550</v>
      </c>
      <c r="Q1261" s="152" t="s">
        <v>1551</v>
      </c>
      <c r="R1261" s="154" t="s">
        <v>6319</v>
      </c>
      <c r="S1261" s="154" t="s">
        <v>1553</v>
      </c>
      <c r="T1261" s="155" t="s">
        <v>4723</v>
      </c>
      <c r="U1261" s="152" t="str">
        <f aca="false">RIGHT(T1261,7)</f>
        <v>020/037</v>
      </c>
      <c r="V1261" s="152" t="s">
        <v>1555</v>
      </c>
      <c r="W1261" s="156" t="n">
        <v>45882</v>
      </c>
      <c r="X1261" s="152" t="s">
        <v>3938</v>
      </c>
      <c r="Y1261" s="152" t="s">
        <v>6292</v>
      </c>
      <c r="Z1261" s="152" t="s">
        <v>1557</v>
      </c>
      <c r="AA1261" s="153" t="n">
        <v>3.1</v>
      </c>
      <c r="AB1261" s="151" t="s">
        <v>6320</v>
      </c>
      <c r="AC1261" s="151" t="s">
        <v>186</v>
      </c>
      <c r="AD1261" s="151" t="str">
        <f aca="false">CONCATENATE($C1261,$I1261,$H1261,$N1261,$J1261,$K1261)</f>
        <v>TUBO PEADPEAD63VCAREDESZona11</v>
      </c>
      <c r="AE1261" s="153" t="n">
        <f aca="false">IFERROR(INDEX(APOIO_REDES!$A:$W,MATCH($C1261&amp;$I1261&amp;$H1261&amp;$N1261&amp;$O1261,APOIO_REDES!$W:$W,0),MATCH(AE$5,APOIO_REDES!$5:$5,0)),0)</f>
        <v>1.2</v>
      </c>
      <c r="AF1261" s="153" t="n">
        <f aca="false">IFERROR(INDEX(APOIO_REDES!$A:$W,MATCH($C1261&amp;$I1261&amp;$H1261&amp;$N1261&amp;$O1261,APOIO_REDES!$W:$W,0),MATCH(AF$5,APOIO_REDES!$5:$5,0)),0)</f>
        <v>1.363</v>
      </c>
      <c r="AG1261" s="153" t="n">
        <f aca="false">IFERROR(INDEX(APOIO_REDES!$A:$W,MATCH($C1261&amp;$I1261&amp;$H1261&amp;$N1261&amp;$O1261,APOIO_REDES!$W:$W,0),MATCH(AG$5,APOIO_REDES!$5:$5,0)),0)</f>
        <v>0.65</v>
      </c>
      <c r="AH1261" s="153" t="n">
        <f aca="false">IFERROR(INDEX(APOIO_REDES!$A:$W,MATCH($C1261&amp;$I1261&amp;$H1261&amp;$N1261&amp;$O1261,APOIO_REDES!$W:$W,0),MATCH(AH$5,APOIO_REDES!$5:$5,0)),0)</f>
        <v>0.1</v>
      </c>
      <c r="AI1261" s="153" t="n">
        <f aca="false">IFERROR(IF($H1261&lt;&gt;"",(((($H1261/1000)/2)^2)*PI()*$M1261),0),0)</f>
        <v>0.160039374242326</v>
      </c>
      <c r="AJ1261" s="153" t="n">
        <f aca="false">IFERROR(IF(AND($H1261&lt;&gt;"",$I1261="FoFo",OR($N1261="MND",$N1261="VCA"),$Q1261="LINEAR"),0,IF(AND($H1261&lt;&gt;"",$I1261="PEAD",$N1261="VCA",$Q1261="LINEAR"),($H1261/1000)+0.3,IF(AND($H1261&lt;&gt;"",$I1261="PEAD",$N1261="MND",$Q1261="EMBOQUE"),0,IF(AND($H1261&lt;&gt;"",$I1261="PVC",$N1261="VCA",$Q1261="LINEAR"),($H1261/1000)+0.2,IF(AND($H1261&lt;&gt;"",$I1261="PVC",$N1261="MND",$Q1261="EMBOQUE"),0,IF(AND($H1261&lt;&gt;"",$I1261="PEAD",$N1261="VCA",$Q1261="PREDIAL"),0,0)))))),0)</f>
        <v>0.363</v>
      </c>
      <c r="AK1261" s="153" t="n">
        <f aca="false">IF(AA1261&lt;&gt;"",AA1261,0)</f>
        <v>3.1</v>
      </c>
      <c r="AL1261" s="153" t="n">
        <f aca="false">IF(AND($N1261="MND",$Q1261="EMBOQUE"),$M1261,IF(AND($N1261="VCA",$Q1261="LINEAR"),$M1261,IF(AND($N1261="VCA",$Q1261="PREDIAL"),0,0)))</f>
        <v>51.34</v>
      </c>
      <c r="AM1261" s="153" t="n">
        <f aca="false">IF(AND($N1261="MND",$Q1261="EMBOQUE"),$M1261,IF(AND($N1261="VCA",$Q1261="LINEAR"),$M1261,IF(AND($N1261="VCA",$Q1261="PREDIAL"),0,0)))</f>
        <v>51.34</v>
      </c>
      <c r="AN1261" s="153" t="n">
        <f aca="false">ROUND(IF(AND($N1261="VCA",$M1261&lt;&gt;"",$Q1261="LINEAR"),$M1261/100,IF(AND($N1261="MND",$M1261&gt;100,$Q1261="EMBOQUE"),$M1261/100,0)),0)</f>
        <v>1</v>
      </c>
      <c r="AO1261" s="153" t="n">
        <f aca="false">IF(AND($N1261="MND",$Q1261="EMBOQUE"),$AN1261*2*2,IF(AND($N1261="VCA",$Q1261="LINEAR"),$M1261*2,IF(AND($N1261="VCA",$Q1261="PREDIAL"),0,0)))</f>
        <v>102.68</v>
      </c>
      <c r="AP1261" s="153" t="n">
        <f aca="false">IFERROR($M1261*$AF1261*$AG1261,0)</f>
        <v>45.484673</v>
      </c>
      <c r="AQ1261" s="153" t="n">
        <f aca="false">IFERROR(IF(AND($N1261="VCA",$AH1261&gt;0),$M1261*$AG1261*$AH1261,0),0)</f>
        <v>3.3371</v>
      </c>
      <c r="AR1261" s="153" t="n">
        <f aca="false">IFERROR(IF(AND($N1261="VCA",$AJ1261&gt;0),($M1261*$AG1261*$AJ1261)-$AI1261,0),0)</f>
        <v>11.9536336257577</v>
      </c>
      <c r="AS1261" s="153" t="n">
        <f aca="false">IFERROR(IF(AND($N1261="VCA",$AP1261&gt;0),$AP1261-$AI1261-$AQ1261-$AR1261,0),0)</f>
        <v>30.0339</v>
      </c>
      <c r="AT1261" s="153" t="n">
        <f aca="false">IFERROR(IF($N1261="VCA",INDEX(APOIO_REDES!$A:$W,MATCH($C1261&amp;$I1261&amp;$H1261&amp;$N1261&amp;$O1261,APOIO_REDES!$W:$W,0),MATCH(AT$5,APOIO_REDES!$5:$5,0)),0)*$AP1261,0)</f>
        <v>0.494886705016002</v>
      </c>
      <c r="AU1261" s="153" t="n">
        <f aca="false">IFERROR(IF($N1261="VCA",INDEX(APOIO_REDES!$A:$W,MATCH($C1261&amp;$I1261&amp;$H1261&amp;$N1261&amp;$O1261,APOIO_REDES!$W:$W,0),MATCH(AU$5,APOIO_REDES!$5:$5,0)),0)*$AP1261,0)</f>
        <v>0.395203119394003</v>
      </c>
      <c r="AV1261" s="153" t="n">
        <f aca="false">IFERROR(IF($N1261="VCA",INDEX(APOIO_REDES!$A:$W,MATCH($C1261&amp;$I1261&amp;$H1261&amp;$N1261&amp;$O1261,APOIO_REDES!$W:$W,0),MATCH(AV$5,APOIO_REDES!$5:$5,0)),0)*$AP1261,0)</f>
        <v>0.054693009258001</v>
      </c>
      <c r="AW1261" s="153" t="n">
        <f aca="false">IFERROR(IF($N1261="VCA",INDEX(APOIO_REDES!$A:$W,MATCH($C1261&amp;$I1261&amp;$H1261&amp;$N1261&amp;$O1261,APOIO_REDES!$W:$W,0),MATCH(AW$5,APOIO_REDES!$5:$5,0)),0)*$AP1261,0)</f>
        <v>31.2210319796443</v>
      </c>
      <c r="AX1261" s="153" t="n">
        <f aca="false">IFERROR(IF($N1261="VCA",INDEX(APOIO_REDES!$A:$W,MATCH($C1261&amp;$I1261&amp;$H1261&amp;$N1261&amp;$O1261,APOIO_REDES!$W:$W,0),MATCH(AX$5,APOIO_REDES!$5:$5,0)),0)*$AP1261,0)</f>
        <v>4.32090189118973</v>
      </c>
      <c r="AY1261" s="153" t="n">
        <f aca="false">IFERROR(IF($N1261="VCA",INDEX(APOIO_REDES!$A:$W,MATCH($C1261&amp;$I1261&amp;$H1261&amp;$N1261&amp;$O1261,APOIO_REDES!$W:$W,0),MATCH(AY$5,APOIO_REDES!$5:$5,0)),0)*$AP1261,0)</f>
        <v>7.90405757038607</v>
      </c>
      <c r="AZ1261" s="153" t="n">
        <f aca="false">IFERROR(IF($N1261="VCA",INDEX(APOIO_REDES!$A:$W,MATCH($C1261&amp;$I1261&amp;$H1261&amp;$N1261&amp;$O1261,APOIO_REDES!$W:$W,0),MATCH(AZ$5,APOIO_REDES!$5:$5,0)),0)*$AP1261,0)</f>
        <v>1.09389872511193</v>
      </c>
      <c r="BA1261" s="153" t="n">
        <f aca="false">IFERROR(IF(AND($N1261="VCA",$Q1261="LINEAR"),INDEX(APOIO_REDES!$A:$W,MATCH($C1261&amp;$I1261&amp;$H1261&amp;$N1261&amp;$O1261,APOIO_REDES!$W:$W,0),MATCH(BA$5,APOIO_REDES!$5:$5,0)),IF(AND($N1261="MND",$Q1261="EMBOQUE"),INDEX(APOIO_REDES!$A:$W,MATCH($C1261&amp;$I1261&amp;$H1261&amp;$N1261&amp;$O1261,APOIO_REDES!$W:$W,0),MATCH(BA$5,APOIO_REDES!$5:$5,0)),0))*$M1261/10,0)</f>
        <v>4.13787449894592</v>
      </c>
      <c r="BB1261" s="153" t="n">
        <f aca="false">IFERROR(IF($N1261="VCA",INDEX(APOIO_REDES!$A:$W,MATCH($C1261&amp;$I1261&amp;$H1261&amp;$N1261&amp;$O1261,APOIO_REDES!$W:$W,0),MATCH(BB$5,APOIO_REDES!$5:$5,0)),0)*($AI1261+$AQ1261+$AR1261),0)</f>
        <v>15.2826640165646</v>
      </c>
      <c r="BC1261" s="153" t="n">
        <f aca="false">IFERROR(IF($N1261="VCA",INDEX(APOIO_REDES!$A:$W,MATCH($C1261&amp;$I1261&amp;$H1261&amp;$N1261&amp;$O1261,APOIO_REDES!$W:$W,0),MATCH(BC$5,APOIO_REDES!$5:$5,0)),0)*($AI1261+$AQ1261+$AR1261),0)</f>
        <v>0.16810898343537</v>
      </c>
      <c r="BD1261" s="153" t="n">
        <f aca="false">IF(AND($N1261="VCA",$AF1261&gt;=1.25,$AF1261&lt;1.5),$M1261*$AF1261*2,0)</f>
        <v>139.95284</v>
      </c>
      <c r="BE1261" s="153" t="n">
        <f aca="false">IF(AND($N1261="VCA",$AF1261&gt;=1.5,$AF1261&lt;3),$M1261*$AF1261*2,0)</f>
        <v>0</v>
      </c>
      <c r="BF1261" s="153" t="n">
        <f aca="false">IF(AND($N1261="VCA",$AF1261&gt;=3),$M1261*$AF1261*2,0)</f>
        <v>0</v>
      </c>
      <c r="BG1261" s="153" t="n">
        <f aca="false">($BB1261+$BC1261)*$AK1261</f>
        <v>47.8973963</v>
      </c>
      <c r="BH1261" s="153" t="n">
        <f aca="false">IF(AND($M1261&lt;&gt;"",$N1261="VCA",$Q1261="LINEAR"),($M1261*2)/100,IF(AND($M1261&lt;&gt;"",$N1261="MND",$Q1261="EMBOQUE"),($AN1261*2)/100,0))</f>
        <v>1.0268</v>
      </c>
      <c r="BI1261" s="153" t="n">
        <f aca="false">IF(AND($M1261&lt;&gt;"",$N1261="VCA",$Q1261="LINEAR"),$M1261,IF(AND($M1261&lt;&gt;"",$N1261="MND",$Q1261="EMBOQUE"),$AN1261*2,0))</f>
        <v>51.34</v>
      </c>
      <c r="BJ1261" s="153" t="n">
        <f aca="false">IF(AND($M1261&lt;&gt;"",$N1261="VCA",$Q1261="LINEAR"),($M1261*6.8)/100,IF(AND($M1261&lt;&gt;"",$N1261="MND",$Q1261="EMBOQUE"),($AN1261*2*6.8)/100,0))</f>
        <v>3.49112</v>
      </c>
      <c r="BK1261" s="153" t="n">
        <f aca="false">IF(AND($M1261&lt;&gt;"",$N1261="VCA",$Q1261="LINEAR"),($M1261*2.5)/50,IF(AND($M1261&lt;&gt;"",$N1261="MND",$Q1261="EMBOQUE"),($AN1261*2*2.5)/50,0))</f>
        <v>2.567</v>
      </c>
      <c r="BL1261" s="157" t="str">
        <f aca="false">K1261&amp;J1261</f>
        <v>Zona11REDES</v>
      </c>
      <c r="BM1261" s="152" t="s">
        <v>6084</v>
      </c>
      <c r="BN1261" s="152" t="s">
        <v>1560</v>
      </c>
      <c r="BO1261" s="152" t="s">
        <v>4725</v>
      </c>
      <c r="BP1261" s="152" t="s">
        <v>6294</v>
      </c>
      <c r="BQ1261" s="152" t="s">
        <v>6317</v>
      </c>
      <c r="BR1261" s="152" t="s">
        <v>6321</v>
      </c>
      <c r="BS1261" s="152" t="n">
        <v>204925.363</v>
      </c>
      <c r="BT1261" s="152" t="n">
        <v>8236393.484</v>
      </c>
      <c r="BU1261" s="152" t="n">
        <v>204875.464</v>
      </c>
      <c r="BV1261" s="152" t="n">
        <v>8236381.516</v>
      </c>
      <c r="BW1261" s="152" t="n">
        <v>-15.9342584</v>
      </c>
      <c r="BX1261" s="152" t="n">
        <v>-47.7563465</v>
      </c>
      <c r="BY1261" s="152" t="s">
        <v>6294</v>
      </c>
    </row>
    <row r="1262" customFormat="false" ht="13.8" hidden="false" customHeight="false" outlineLevel="0" collapsed="false">
      <c r="A1262" s="149" t="n">
        <f aca="false">IF(C1262&lt;&gt;"",ROW(A1257),"")</f>
        <v>1257</v>
      </c>
      <c r="B1262" s="150" t="str">
        <f aca="false">HYPERLINK("https://www.google.com/maps/dir/-15.917302,-47.760003/-15.9319596,-47.7544509/data=!4m3!4m2!3e0!5i1")</f>
        <v>https://www.google.com/maps/dir/-15.917302,-47.760003/-15.9319596,-47.7544509/data=!4m3!4m2!3e0!5i1</v>
      </c>
      <c r="C1262" s="151" t="s">
        <v>117</v>
      </c>
      <c r="D1262" s="152" t="s">
        <v>112</v>
      </c>
      <c r="E1262" s="152" t="s">
        <v>113</v>
      </c>
      <c r="F1262" s="152" t="s">
        <v>117</v>
      </c>
      <c r="G1262" s="152" t="s">
        <v>782</v>
      </c>
      <c r="H1262" s="152" t="n">
        <v>63</v>
      </c>
      <c r="I1262" s="152" t="s">
        <v>115</v>
      </c>
      <c r="J1262" s="152" t="s">
        <v>6</v>
      </c>
      <c r="K1262" s="152" t="s">
        <v>6081</v>
      </c>
      <c r="L1262" s="152" t="s">
        <v>120</v>
      </c>
      <c r="M1262" s="153" t="n">
        <f aca="false">61.88+0.4</f>
        <v>62.28</v>
      </c>
      <c r="N1262" s="152" t="s">
        <v>1548</v>
      </c>
      <c r="O1262" s="152" t="s">
        <v>1549</v>
      </c>
      <c r="P1262" s="152" t="s">
        <v>1550</v>
      </c>
      <c r="Q1262" s="152" t="s">
        <v>1551</v>
      </c>
      <c r="R1262" s="154" t="s">
        <v>6322</v>
      </c>
      <c r="S1262" s="154" t="s">
        <v>1553</v>
      </c>
      <c r="T1262" s="155" t="s">
        <v>4801</v>
      </c>
      <c r="U1262" s="152" t="str">
        <f aca="false">RIGHT(T1262,7)</f>
        <v>021/037</v>
      </c>
      <c r="V1262" s="152" t="s">
        <v>1555</v>
      </c>
      <c r="W1262" s="156" t="n">
        <v>45882</v>
      </c>
      <c r="X1262" s="152" t="s">
        <v>3938</v>
      </c>
      <c r="Y1262" s="152" t="s">
        <v>3233</v>
      </c>
      <c r="Z1262" s="152" t="s">
        <v>1557</v>
      </c>
      <c r="AA1262" s="153" t="n">
        <v>2.6</v>
      </c>
      <c r="AB1262" s="151" t="s">
        <v>6323</v>
      </c>
      <c r="AC1262" s="151" t="s">
        <v>186</v>
      </c>
      <c r="AD1262" s="151" t="str">
        <f aca="false">CONCATENATE($C1262,$I1262,$H1262,$N1262,$J1262,$K1262)</f>
        <v>TUBO PEADPEAD63VCAREDESZona11</v>
      </c>
      <c r="AE1262" s="153" t="n">
        <f aca="false">IFERROR(INDEX(APOIO_REDES!$A:$W,MATCH($C1262&amp;$I1262&amp;$H1262&amp;$N1262&amp;$O1262,APOIO_REDES!$W:$W,0),MATCH(AE$5,APOIO_REDES!$5:$5,0)),0)</f>
        <v>1.2</v>
      </c>
      <c r="AF1262" s="153" t="n">
        <f aca="false">IFERROR(INDEX(APOIO_REDES!$A:$W,MATCH($C1262&amp;$I1262&amp;$H1262&amp;$N1262&amp;$O1262,APOIO_REDES!$W:$W,0),MATCH(AF$5,APOIO_REDES!$5:$5,0)),0)</f>
        <v>1.363</v>
      </c>
      <c r="AG1262" s="153" t="n">
        <f aca="false">IFERROR(INDEX(APOIO_REDES!$A:$W,MATCH($C1262&amp;$I1262&amp;$H1262&amp;$N1262&amp;$O1262,APOIO_REDES!$W:$W,0),MATCH(AG$5,APOIO_REDES!$5:$5,0)),0)</f>
        <v>0.65</v>
      </c>
      <c r="AH1262" s="153" t="n">
        <f aca="false">IFERROR(INDEX(APOIO_REDES!$A:$W,MATCH($C1262&amp;$I1262&amp;$H1262&amp;$N1262&amp;$O1262,APOIO_REDES!$W:$W,0),MATCH(AH$5,APOIO_REDES!$5:$5,0)),0)</f>
        <v>0.1</v>
      </c>
      <c r="AI1262" s="153" t="n">
        <f aca="false">IFERROR(IF($H1262&lt;&gt;"",(((($H1262/1000)/2)^2)*PI()*$M1262),0),0)</f>
        <v>0.194142037939464</v>
      </c>
      <c r="AJ1262" s="153" t="n">
        <f aca="false">IFERROR(IF(AND($H1262&lt;&gt;"",$I1262="FoFo",OR($N1262="MND",$N1262="VCA"),$Q1262="LINEAR"),0,IF(AND($H1262&lt;&gt;"",$I1262="PEAD",$N1262="VCA",$Q1262="LINEAR"),($H1262/1000)+0.3,IF(AND($H1262&lt;&gt;"",$I1262="PEAD",$N1262="MND",$Q1262="EMBOQUE"),0,IF(AND($H1262&lt;&gt;"",$I1262="PVC",$N1262="VCA",$Q1262="LINEAR"),($H1262/1000)+0.2,IF(AND($H1262&lt;&gt;"",$I1262="PVC",$N1262="MND",$Q1262="EMBOQUE"),0,IF(AND($H1262&lt;&gt;"",$I1262="PEAD",$N1262="VCA",$Q1262="PREDIAL"),0,0)))))),0)</f>
        <v>0.363</v>
      </c>
      <c r="AK1262" s="153" t="n">
        <f aca="false">IF(AA1262&lt;&gt;"",AA1262,0)</f>
        <v>2.6</v>
      </c>
      <c r="AL1262" s="153" t="n">
        <f aca="false">IF(AND($N1262="MND",$Q1262="EMBOQUE"),$M1262,IF(AND($N1262="VCA",$Q1262="LINEAR"),$M1262,IF(AND($N1262="VCA",$Q1262="PREDIAL"),0,0)))</f>
        <v>62.28</v>
      </c>
      <c r="AM1262" s="153" t="n">
        <f aca="false">IF(AND($N1262="MND",$Q1262="EMBOQUE"),$M1262,IF(AND($N1262="VCA",$Q1262="LINEAR"),$M1262,IF(AND($N1262="VCA",$Q1262="PREDIAL"),0,0)))</f>
        <v>62.28</v>
      </c>
      <c r="AN1262" s="153" t="n">
        <f aca="false">ROUND(IF(AND($N1262="VCA",$M1262&lt;&gt;"",$Q1262="LINEAR"),$M1262/100,IF(AND($N1262="MND",$M1262&gt;100,$Q1262="EMBOQUE"),$M1262/100,0)),0)</f>
        <v>1</v>
      </c>
      <c r="AO1262" s="153" t="n">
        <f aca="false">IF(AND($N1262="MND",$Q1262="EMBOQUE"),$AN1262*2*2,IF(AND($N1262="VCA",$Q1262="LINEAR"),$M1262*2,IF(AND($N1262="VCA",$Q1262="PREDIAL"),0,0)))</f>
        <v>124.56</v>
      </c>
      <c r="AP1262" s="153" t="n">
        <f aca="false">IFERROR($M1262*$AF1262*$AG1262,0)</f>
        <v>55.176966</v>
      </c>
      <c r="AQ1262" s="153" t="n">
        <f aca="false">IFERROR(IF(AND($N1262="VCA",$AH1262&gt;0),$M1262*$AG1262*$AH1262,0),0)</f>
        <v>4.0482</v>
      </c>
      <c r="AR1262" s="153" t="n">
        <f aca="false">IFERROR(IF(AND($N1262="VCA",$AJ1262&gt;0),($M1262*$AG1262*$AJ1262)-$AI1262,0),0)</f>
        <v>14.5008239620605</v>
      </c>
      <c r="AS1262" s="153" t="n">
        <f aca="false">IFERROR(IF(AND($N1262="VCA",$AP1262&gt;0),$AP1262-$AI1262-$AQ1262-$AR1262,0),0)</f>
        <v>36.4338</v>
      </c>
      <c r="AT1262" s="153" t="n">
        <f aca="false">IFERROR(IF($N1262="VCA",INDEX(APOIO_REDES!$A:$W,MATCH($C1262&amp;$I1262&amp;$H1262&amp;$N1262&amp;$O1262,APOIO_REDES!$W:$W,0),MATCH(AT$5,APOIO_REDES!$5:$5,0)),0)*$AP1262,0)</f>
        <v>0.600341721628294</v>
      </c>
      <c r="AU1262" s="153" t="n">
        <f aca="false">IFERROR(IF($N1262="VCA",INDEX(APOIO_REDES!$A:$W,MATCH($C1262&amp;$I1262&amp;$H1262&amp;$N1262&amp;$O1262,APOIO_REDES!$W:$W,0),MATCH(AU$5,APOIO_REDES!$5:$5,0)),0)*$AP1262,0)</f>
        <v>0.479416639576519</v>
      </c>
      <c r="AV1262" s="153" t="n">
        <f aca="false">IFERROR(IF($N1262="VCA",INDEX(APOIO_REDES!$A:$W,MATCH($C1262&amp;$I1262&amp;$H1262&amp;$N1262&amp;$O1262,APOIO_REDES!$W:$W,0),MATCH(AV$5,APOIO_REDES!$5:$5,0)),0)*$AP1262,0)</f>
        <v>0.0663474993492073</v>
      </c>
      <c r="AW1262" s="153" t="n">
        <f aca="false">IFERROR(IF($N1262="VCA",INDEX(APOIO_REDES!$A:$W,MATCH($C1262&amp;$I1262&amp;$H1262&amp;$N1262&amp;$O1262,APOIO_REDES!$W:$W,0),MATCH(AW$5,APOIO_REDES!$5:$5,0)),0)*$AP1262,0)</f>
        <v>37.8738969943951</v>
      </c>
      <c r="AX1262" s="153" t="n">
        <f aca="false">IFERROR(IF($N1262="VCA",INDEX(APOIO_REDES!$A:$W,MATCH($C1262&amp;$I1262&amp;$H1262&amp;$N1262&amp;$O1262,APOIO_REDES!$W:$W,0),MATCH(AX$5,APOIO_REDES!$5:$5,0)),0)*$AP1262,0)</f>
        <v>5.24163945818653</v>
      </c>
      <c r="AY1262" s="153" t="n">
        <f aca="false">IFERROR(IF($N1262="VCA",INDEX(APOIO_REDES!$A:$W,MATCH($C1262&amp;$I1262&amp;$H1262&amp;$N1262&amp;$O1262,APOIO_REDES!$W:$W,0),MATCH(AY$5,APOIO_REDES!$5:$5,0)),0)*$AP1262,0)</f>
        <v>9.58832694748041</v>
      </c>
      <c r="AZ1262" s="153" t="n">
        <f aca="false">IFERROR(IF($N1262="VCA",INDEX(APOIO_REDES!$A:$W,MATCH($C1262&amp;$I1262&amp;$H1262&amp;$N1262&amp;$O1262,APOIO_REDES!$W:$W,0),MATCH(AZ$5,APOIO_REDES!$5:$5,0)),0)*$AP1262,0)</f>
        <v>1.32699673938393</v>
      </c>
      <c r="BA1262" s="153" t="n">
        <f aca="false">IFERROR(IF(AND($N1262="VCA",$Q1262="LINEAR"),INDEX(APOIO_REDES!$A:$W,MATCH($C1262&amp;$I1262&amp;$H1262&amp;$N1262&amp;$O1262,APOIO_REDES!$W:$W,0),MATCH(BA$5,APOIO_REDES!$5:$5,0)),IF(AND($N1262="MND",$Q1262="EMBOQUE"),INDEX(APOIO_REDES!$A:$W,MATCH($C1262&amp;$I1262&amp;$H1262&amp;$N1262&amp;$O1262,APOIO_REDES!$W:$W,0),MATCH(BA$5,APOIO_REDES!$5:$5,0)),0))*$M1262/10,0)</f>
        <v>5.01961090366872</v>
      </c>
      <c r="BB1262" s="153" t="n">
        <f aca="false">IFERROR(IF($N1262="VCA",INDEX(APOIO_REDES!$A:$W,MATCH($C1262&amp;$I1262&amp;$H1262&amp;$N1262&amp;$O1262,APOIO_REDES!$W:$W,0),MATCH(BB$5,APOIO_REDES!$5:$5,0)),0)*($AI1262+$AQ1262+$AR1262),0)</f>
        <v>18.539234806226</v>
      </c>
      <c r="BC1262" s="153" t="n">
        <f aca="false">IFERROR(IF($N1262="VCA",INDEX(APOIO_REDES!$A:$W,MATCH($C1262&amp;$I1262&amp;$H1262&amp;$N1262&amp;$O1262,APOIO_REDES!$W:$W,0),MATCH(BC$5,APOIO_REDES!$5:$5,0)),0)*($AI1262+$AQ1262+$AR1262),0)</f>
        <v>0.203931193773955</v>
      </c>
      <c r="BD1262" s="153" t="n">
        <f aca="false">IF(AND($N1262="VCA",$AF1262&gt;=1.25,$AF1262&lt;1.5),$M1262*$AF1262*2,0)</f>
        <v>169.77528</v>
      </c>
      <c r="BE1262" s="153" t="n">
        <f aca="false">IF(AND($N1262="VCA",$AF1262&gt;=1.5,$AF1262&lt;3),$M1262*$AF1262*2,0)</f>
        <v>0</v>
      </c>
      <c r="BF1262" s="153" t="n">
        <f aca="false">IF(AND($N1262="VCA",$AF1262&gt;=3),$M1262*$AF1262*2,0)</f>
        <v>0</v>
      </c>
      <c r="BG1262" s="153" t="n">
        <f aca="false">($BB1262+$BC1262)*$AK1262</f>
        <v>48.7322316</v>
      </c>
      <c r="BH1262" s="153" t="n">
        <f aca="false">IF(AND($M1262&lt;&gt;"",$N1262="VCA",$Q1262="LINEAR"),($M1262*2)/100,IF(AND($M1262&lt;&gt;"",$N1262="MND",$Q1262="EMBOQUE"),($AN1262*2)/100,0))</f>
        <v>1.2456</v>
      </c>
      <c r="BI1262" s="153" t="n">
        <f aca="false">IF(AND($M1262&lt;&gt;"",$N1262="VCA",$Q1262="LINEAR"),$M1262,IF(AND($M1262&lt;&gt;"",$N1262="MND",$Q1262="EMBOQUE"),$AN1262*2,0))</f>
        <v>62.28</v>
      </c>
      <c r="BJ1262" s="153" t="n">
        <f aca="false">IF(AND($M1262&lt;&gt;"",$N1262="VCA",$Q1262="LINEAR"),($M1262*6.8)/100,IF(AND($M1262&lt;&gt;"",$N1262="MND",$Q1262="EMBOQUE"),($AN1262*2*6.8)/100,0))</f>
        <v>4.23504</v>
      </c>
      <c r="BK1262" s="153" t="n">
        <f aca="false">IF(AND($M1262&lt;&gt;"",$N1262="VCA",$Q1262="LINEAR"),($M1262*2.5)/50,IF(AND($M1262&lt;&gt;"",$N1262="MND",$Q1262="EMBOQUE"),($AN1262*2*2.5)/50,0))</f>
        <v>3.114</v>
      </c>
      <c r="BL1262" s="157" t="str">
        <f aca="false">K1262&amp;J1262</f>
        <v>Zona11REDES</v>
      </c>
      <c r="BM1262" s="152" t="s">
        <v>6084</v>
      </c>
      <c r="BN1262" s="152" t="s">
        <v>1560</v>
      </c>
      <c r="BO1262" s="152" t="s">
        <v>4803</v>
      </c>
      <c r="BP1262" s="152" t="s">
        <v>6324</v>
      </c>
      <c r="BQ1262" s="152" t="s">
        <v>6325</v>
      </c>
      <c r="BR1262" s="152" t="s">
        <v>6326</v>
      </c>
      <c r="BS1262" s="152" t="n">
        <v>205099.76</v>
      </c>
      <c r="BT1262" s="152" t="n">
        <v>8236643.651</v>
      </c>
      <c r="BU1262" s="152" t="n">
        <v>205132.259</v>
      </c>
      <c r="BV1262" s="152" t="n">
        <v>8236590.996</v>
      </c>
      <c r="BW1262" s="152" t="n">
        <v>-15.9322023</v>
      </c>
      <c r="BX1262" s="152" t="n">
        <v>-47.7543077</v>
      </c>
      <c r="BY1262" s="152" t="s">
        <v>6324</v>
      </c>
    </row>
    <row r="1263" customFormat="false" ht="13.8" hidden="false" customHeight="false" outlineLevel="0" collapsed="false">
      <c r="A1263" s="149" t="n">
        <f aca="false">IF(C1263&lt;&gt;"",ROW(A1258),"")</f>
        <v>1258</v>
      </c>
      <c r="B1263" s="150" t="str">
        <f aca="false">HYPERLINK("https://www.google.com/maps/dir/-15.917302,-47.760003/-15.9324420,-47.7541592/data=!4m3!4m2!3e0!5i1")</f>
        <v>https://www.google.com/maps/dir/-15.917302,-47.760003/-15.9324420,-47.7541592/data=!4m3!4m2!3e0!5i1</v>
      </c>
      <c r="C1263" s="151" t="s">
        <v>117</v>
      </c>
      <c r="D1263" s="152" t="s">
        <v>112</v>
      </c>
      <c r="E1263" s="152" t="s">
        <v>113</v>
      </c>
      <c r="F1263" s="152" t="s">
        <v>117</v>
      </c>
      <c r="G1263" s="152" t="s">
        <v>782</v>
      </c>
      <c r="H1263" s="152" t="n">
        <v>63</v>
      </c>
      <c r="I1263" s="152" t="s">
        <v>115</v>
      </c>
      <c r="J1263" s="152" t="s">
        <v>6</v>
      </c>
      <c r="K1263" s="152" t="s">
        <v>6081</v>
      </c>
      <c r="L1263" s="152" t="s">
        <v>120</v>
      </c>
      <c r="M1263" s="153" t="n">
        <f aca="false">46.76</f>
        <v>46.76</v>
      </c>
      <c r="N1263" s="152" t="s">
        <v>1548</v>
      </c>
      <c r="O1263" s="152" t="s">
        <v>1549</v>
      </c>
      <c r="P1263" s="152" t="s">
        <v>1550</v>
      </c>
      <c r="Q1263" s="152" t="s">
        <v>1551</v>
      </c>
      <c r="R1263" s="154" t="s">
        <v>6327</v>
      </c>
      <c r="S1263" s="154" t="s">
        <v>1553</v>
      </c>
      <c r="T1263" s="155" t="s">
        <v>4801</v>
      </c>
      <c r="U1263" s="152" t="str">
        <f aca="false">RIGHT(T1263,7)</f>
        <v>021/037</v>
      </c>
      <c r="V1263" s="152" t="s">
        <v>1555</v>
      </c>
      <c r="W1263" s="156" t="n">
        <v>45882</v>
      </c>
      <c r="X1263" s="152" t="s">
        <v>3938</v>
      </c>
      <c r="Y1263" s="152" t="s">
        <v>3233</v>
      </c>
      <c r="Z1263" s="152" t="s">
        <v>1557</v>
      </c>
      <c r="AA1263" s="153" t="n">
        <v>2.7</v>
      </c>
      <c r="AB1263" s="151" t="s">
        <v>6328</v>
      </c>
      <c r="AC1263" s="151" t="s">
        <v>186</v>
      </c>
      <c r="AD1263" s="151" t="str">
        <f aca="false">CONCATENATE($C1263,$I1263,$H1263,$N1263,$J1263,$K1263)</f>
        <v>TUBO PEADPEAD63VCAREDESZona11</v>
      </c>
      <c r="AE1263" s="153" t="n">
        <f aca="false">IFERROR(INDEX(APOIO_REDES!$A:$W,MATCH($C1263&amp;$I1263&amp;$H1263&amp;$N1263&amp;$O1263,APOIO_REDES!$W:$W,0),MATCH(AE$5,APOIO_REDES!$5:$5,0)),0)</f>
        <v>1.2</v>
      </c>
      <c r="AF1263" s="153" t="n">
        <f aca="false">IFERROR(INDEX(APOIO_REDES!$A:$W,MATCH($C1263&amp;$I1263&amp;$H1263&amp;$N1263&amp;$O1263,APOIO_REDES!$W:$W,0),MATCH(AF$5,APOIO_REDES!$5:$5,0)),0)</f>
        <v>1.363</v>
      </c>
      <c r="AG1263" s="153" t="n">
        <f aca="false">IFERROR(INDEX(APOIO_REDES!$A:$W,MATCH($C1263&amp;$I1263&amp;$H1263&amp;$N1263&amp;$O1263,APOIO_REDES!$W:$W,0),MATCH(AG$5,APOIO_REDES!$5:$5,0)),0)</f>
        <v>0.65</v>
      </c>
      <c r="AH1263" s="153" t="n">
        <f aca="false">IFERROR(INDEX(APOIO_REDES!$A:$W,MATCH($C1263&amp;$I1263&amp;$H1263&amp;$N1263&amp;$O1263,APOIO_REDES!$W:$W,0),MATCH(AH$5,APOIO_REDES!$5:$5,0)),0)</f>
        <v>0.1</v>
      </c>
      <c r="AI1263" s="153" t="n">
        <f aca="false">IFERROR(IF($H1263&lt;&gt;"",(((($H1263/1000)/2)^2)*PI()*$M1263),0),0)</f>
        <v>0.145762390720124</v>
      </c>
      <c r="AJ1263" s="153" t="n">
        <f aca="false">IFERROR(IF(AND($H1263&lt;&gt;"",$I1263="FoFo",OR($N1263="MND",$N1263="VCA"),$Q1263="LINEAR"),0,IF(AND($H1263&lt;&gt;"",$I1263="PEAD",$N1263="VCA",$Q1263="LINEAR"),($H1263/1000)+0.3,IF(AND($H1263&lt;&gt;"",$I1263="PEAD",$N1263="MND",$Q1263="EMBOQUE"),0,IF(AND($H1263&lt;&gt;"",$I1263="PVC",$N1263="VCA",$Q1263="LINEAR"),($H1263/1000)+0.2,IF(AND($H1263&lt;&gt;"",$I1263="PVC",$N1263="MND",$Q1263="EMBOQUE"),0,IF(AND($H1263&lt;&gt;"",$I1263="PEAD",$N1263="VCA",$Q1263="PREDIAL"),0,0)))))),0)</f>
        <v>0.363</v>
      </c>
      <c r="AK1263" s="153" t="n">
        <f aca="false">IF(AA1263&lt;&gt;"",AA1263,0)</f>
        <v>2.7</v>
      </c>
      <c r="AL1263" s="153" t="n">
        <f aca="false">IF(AND($N1263="MND",$Q1263="EMBOQUE"),$M1263,IF(AND($N1263="VCA",$Q1263="LINEAR"),$M1263,IF(AND($N1263="VCA",$Q1263="PREDIAL"),0,0)))</f>
        <v>46.76</v>
      </c>
      <c r="AM1263" s="153" t="n">
        <f aca="false">IF(AND($N1263="MND",$Q1263="EMBOQUE"),$M1263,IF(AND($N1263="VCA",$Q1263="LINEAR"),$M1263,IF(AND($N1263="VCA",$Q1263="PREDIAL"),0,0)))</f>
        <v>46.76</v>
      </c>
      <c r="AN1263" s="153" t="n">
        <f aca="false">ROUND(IF(AND($N1263="VCA",$M1263&lt;&gt;"",$Q1263="LINEAR"),$M1263/100,IF(AND($N1263="MND",$M1263&gt;100,$Q1263="EMBOQUE"),$M1263/100,0)),0)</f>
        <v>0</v>
      </c>
      <c r="AO1263" s="153" t="n">
        <f aca="false">IF(AND($N1263="MND",$Q1263="EMBOQUE"),$AN1263*2*2,IF(AND($N1263="VCA",$Q1263="LINEAR"),$M1263*2,IF(AND($N1263="VCA",$Q1263="PREDIAL"),0,0)))</f>
        <v>93.52</v>
      </c>
      <c r="AP1263" s="153" t="n">
        <f aca="false">IFERROR($M1263*$AF1263*$AG1263,0)</f>
        <v>41.427022</v>
      </c>
      <c r="AQ1263" s="153" t="n">
        <f aca="false">IFERROR(IF(AND($N1263="VCA",$AH1263&gt;0),$M1263*$AG1263*$AH1263,0),0)</f>
        <v>3.0394</v>
      </c>
      <c r="AR1263" s="153" t="n">
        <f aca="false">IFERROR(IF(AND($N1263="VCA",$AJ1263&gt;0),($M1263*$AG1263*$AJ1263)-$AI1263,0),0)</f>
        <v>10.8872596092799</v>
      </c>
      <c r="AS1263" s="153" t="n">
        <f aca="false">IFERROR(IF(AND($N1263="VCA",$AP1263&gt;0),$AP1263-$AI1263-$AQ1263-$AR1263,0),0)</f>
        <v>27.3546</v>
      </c>
      <c r="AT1263" s="153" t="n">
        <f aca="false">IFERROR(IF($N1263="VCA",INDEX(APOIO_REDES!$A:$W,MATCH($C1263&amp;$I1263&amp;$H1263&amp;$N1263&amp;$O1263,APOIO_REDES!$W:$W,0),MATCH(AT$5,APOIO_REDES!$5:$5,0)),0)*$AP1263,0)</f>
        <v>0.450738261132611</v>
      </c>
      <c r="AU1263" s="153" t="n">
        <f aca="false">IFERROR(IF($N1263="VCA",INDEX(APOIO_REDES!$A:$W,MATCH($C1263&amp;$I1263&amp;$H1263&amp;$N1263&amp;$O1263,APOIO_REDES!$W:$W,0),MATCH(AU$5,APOIO_REDES!$5:$5,0)),0)*$AP1263,0)</f>
        <v>0.359947367800225</v>
      </c>
      <c r="AV1263" s="153" t="n">
        <f aca="false">IFERROR(IF($N1263="VCA",INDEX(APOIO_REDES!$A:$W,MATCH($C1263&amp;$I1263&amp;$H1263&amp;$N1263&amp;$O1263,APOIO_REDES!$W:$W,0),MATCH(AV$5,APOIO_REDES!$5:$5,0)),0)*$AP1263,0)</f>
        <v>0.0498138900059238</v>
      </c>
      <c r="AW1263" s="153" t="n">
        <f aca="false">IFERROR(IF($N1263="VCA",INDEX(APOIO_REDES!$A:$W,MATCH($C1263&amp;$I1263&amp;$H1263&amp;$N1263&amp;$O1263,APOIO_REDES!$W:$W,0),MATCH(AW$5,APOIO_REDES!$5:$5,0)),0)*$AP1263,0)</f>
        <v>28.4358288930301</v>
      </c>
      <c r="AX1263" s="153" t="n">
        <f aca="false">IFERROR(IF($N1263="VCA",INDEX(APOIO_REDES!$A:$W,MATCH($C1263&amp;$I1263&amp;$H1263&amp;$N1263&amp;$O1263,APOIO_REDES!$W:$W,0),MATCH(AX$5,APOIO_REDES!$5:$5,0)),0)*$AP1263,0)</f>
        <v>3.9354377178035</v>
      </c>
      <c r="AY1263" s="153" t="n">
        <f aca="false">IFERROR(IF($N1263="VCA",INDEX(APOIO_REDES!$A:$W,MATCH($C1263&amp;$I1263&amp;$H1263&amp;$N1263&amp;$O1263,APOIO_REDES!$W:$W,0),MATCH(AY$5,APOIO_REDES!$5:$5,0)),0)*$AP1263,0)</f>
        <v>7.19894296827527</v>
      </c>
      <c r="AZ1263" s="153" t="n">
        <f aca="false">IFERROR(IF($N1263="VCA",INDEX(APOIO_REDES!$A:$W,MATCH($C1263&amp;$I1263&amp;$H1263&amp;$N1263&amp;$O1263,APOIO_REDES!$W:$W,0),MATCH(AZ$5,APOIO_REDES!$5:$5,0)),0)*$AP1263,0)</f>
        <v>0.996312901952357</v>
      </c>
      <c r="BA1263" s="153" t="n">
        <f aca="false">IFERROR(IF(AND($N1263="VCA",$Q1263="LINEAR"),INDEX(APOIO_REDES!$A:$W,MATCH($C1263&amp;$I1263&amp;$H1263&amp;$N1263&amp;$O1263,APOIO_REDES!$W:$W,0),MATCH(BA$5,APOIO_REDES!$5:$5,0)),IF(AND($N1263="MND",$Q1263="EMBOQUE"),INDEX(APOIO_REDES!$A:$W,MATCH($C1263&amp;$I1263&amp;$H1263&amp;$N1263&amp;$O1263,APOIO_REDES!$W:$W,0),MATCH(BA$5,APOIO_REDES!$5:$5,0)),0))*$M1263/10,0)</f>
        <v>3.76873805163053</v>
      </c>
      <c r="BB1263" s="153" t="n">
        <f aca="false">IFERROR(IF($N1263="VCA",INDEX(APOIO_REDES!$A:$W,MATCH($C1263&amp;$I1263&amp;$H1263&amp;$N1263&amp;$O1263,APOIO_REDES!$W:$W,0),MATCH(BB$5,APOIO_REDES!$5:$5,0)),0)*($AI1263+$AQ1263+$AR1263),0)</f>
        <v>13.9193098834157</v>
      </c>
      <c r="BC1263" s="153" t="n">
        <f aca="false">IFERROR(IF($N1263="VCA",INDEX(APOIO_REDES!$A:$W,MATCH($C1263&amp;$I1263&amp;$H1263&amp;$N1263&amp;$O1263,APOIO_REDES!$W:$W,0),MATCH(BC$5,APOIO_REDES!$5:$5,0)),0)*($AI1263+$AQ1263+$AR1263),0)</f>
        <v>0.153112116584299</v>
      </c>
      <c r="BD1263" s="153" t="n">
        <f aca="false">IF(AND($N1263="VCA",$AF1263&gt;=1.25,$AF1263&lt;1.5),$M1263*$AF1263*2,0)</f>
        <v>127.46776</v>
      </c>
      <c r="BE1263" s="153" t="n">
        <f aca="false">IF(AND($N1263="VCA",$AF1263&gt;=1.5,$AF1263&lt;3),$M1263*$AF1263*2,0)</f>
        <v>0</v>
      </c>
      <c r="BF1263" s="153" t="n">
        <f aca="false">IF(AND($N1263="VCA",$AF1263&gt;=3),$M1263*$AF1263*2,0)</f>
        <v>0</v>
      </c>
      <c r="BG1263" s="153" t="n">
        <f aca="false">($BB1263+$BC1263)*$AK1263</f>
        <v>37.9955394</v>
      </c>
      <c r="BH1263" s="153" t="n">
        <f aca="false">IF(AND($M1263&lt;&gt;"",$N1263="VCA",$Q1263="LINEAR"),($M1263*2)/100,IF(AND($M1263&lt;&gt;"",$N1263="MND",$Q1263="EMBOQUE"),($AN1263*2)/100,0))</f>
        <v>0.9352</v>
      </c>
      <c r="BI1263" s="153" t="n">
        <f aca="false">IF(AND($M1263&lt;&gt;"",$N1263="VCA",$Q1263="LINEAR"),$M1263,IF(AND($M1263&lt;&gt;"",$N1263="MND",$Q1263="EMBOQUE"),$AN1263*2,0))</f>
        <v>46.76</v>
      </c>
      <c r="BJ1263" s="153" t="n">
        <f aca="false">IF(AND($M1263&lt;&gt;"",$N1263="VCA",$Q1263="LINEAR"),($M1263*6.8)/100,IF(AND($M1263&lt;&gt;"",$N1263="MND",$Q1263="EMBOQUE"),($AN1263*2*6.8)/100,0))</f>
        <v>3.17968</v>
      </c>
      <c r="BK1263" s="153" t="n">
        <f aca="false">IF(AND($M1263&lt;&gt;"",$N1263="VCA",$Q1263="LINEAR"),($M1263*2.5)/50,IF(AND($M1263&lt;&gt;"",$N1263="MND",$Q1263="EMBOQUE"),($AN1263*2*2.5)/50,0))</f>
        <v>2.338</v>
      </c>
      <c r="BL1263" s="157" t="str">
        <f aca="false">K1263&amp;J1263</f>
        <v>Zona11REDES</v>
      </c>
      <c r="BM1263" s="152" t="s">
        <v>6084</v>
      </c>
      <c r="BN1263" s="152" t="s">
        <v>1560</v>
      </c>
      <c r="BO1263" s="152" t="s">
        <v>4803</v>
      </c>
      <c r="BP1263" s="152" t="s">
        <v>6325</v>
      </c>
      <c r="BQ1263" s="152" t="s">
        <v>6329</v>
      </c>
      <c r="BR1263" s="152" t="s">
        <v>6326</v>
      </c>
      <c r="BS1263" s="152" t="n">
        <v>205132.259</v>
      </c>
      <c r="BT1263" s="152" t="n">
        <v>8236590.996</v>
      </c>
      <c r="BU1263" s="152" t="n">
        <v>205156.818</v>
      </c>
      <c r="BV1263" s="152" t="n">
        <v>8236551.204</v>
      </c>
      <c r="BW1263" s="152" t="n">
        <v>-15.9326231</v>
      </c>
      <c r="BX1263" s="152" t="n">
        <v>-47.7540471</v>
      </c>
      <c r="BY1263" s="152" t="s">
        <v>6325</v>
      </c>
    </row>
    <row r="1264" customFormat="false" ht="13.8" hidden="false" customHeight="false" outlineLevel="0" collapsed="false">
      <c r="A1264" s="149" t="n">
        <f aca="false">IF(C1264&lt;&gt;"",ROW(A1259),"")</f>
        <v>1259</v>
      </c>
      <c r="B1264" s="150" t="str">
        <f aca="false">HYPERLINK("https://www.google.com/maps/dir/-15.917302,-47.760003/-15.9324420,-47.7541592/data=!4m3!4m2!3e0!5i1")</f>
        <v>https://www.google.com/maps/dir/-15.917302,-47.760003/-15.9324420,-47.7541592/data=!4m3!4m2!3e0!5i1</v>
      </c>
      <c r="C1264" s="151" t="s">
        <v>117</v>
      </c>
      <c r="D1264" s="152" t="s">
        <v>112</v>
      </c>
      <c r="E1264" s="152" t="s">
        <v>113</v>
      </c>
      <c r="F1264" s="152" t="s">
        <v>117</v>
      </c>
      <c r="G1264" s="152" t="s">
        <v>782</v>
      </c>
      <c r="H1264" s="152" t="n">
        <v>63</v>
      </c>
      <c r="I1264" s="152" t="s">
        <v>115</v>
      </c>
      <c r="J1264" s="152" t="s">
        <v>6</v>
      </c>
      <c r="K1264" s="152" t="s">
        <v>6081</v>
      </c>
      <c r="L1264" s="152" t="s">
        <v>120</v>
      </c>
      <c r="M1264" s="153" t="n">
        <f aca="false">178.44+0.2</f>
        <v>178.64</v>
      </c>
      <c r="N1264" s="152" t="s">
        <v>1548</v>
      </c>
      <c r="O1264" s="152" t="s">
        <v>1549</v>
      </c>
      <c r="P1264" s="152" t="s">
        <v>1550</v>
      </c>
      <c r="Q1264" s="152" t="s">
        <v>1551</v>
      </c>
      <c r="R1264" s="154" t="s">
        <v>6330</v>
      </c>
      <c r="S1264" s="154" t="s">
        <v>1553</v>
      </c>
      <c r="T1264" s="155" t="s">
        <v>4801</v>
      </c>
      <c r="U1264" s="152" t="str">
        <f aca="false">RIGHT(T1264,7)</f>
        <v>021/037</v>
      </c>
      <c r="V1264" s="152" t="s">
        <v>1555</v>
      </c>
      <c r="W1264" s="156" t="n">
        <v>45882</v>
      </c>
      <c r="X1264" s="152" t="s">
        <v>3938</v>
      </c>
      <c r="Y1264" s="152" t="s">
        <v>3233</v>
      </c>
      <c r="Z1264" s="152" t="s">
        <v>1557</v>
      </c>
      <c r="AA1264" s="153" t="n">
        <v>2.7</v>
      </c>
      <c r="AB1264" s="151" t="s">
        <v>6331</v>
      </c>
      <c r="AC1264" s="151" t="s">
        <v>186</v>
      </c>
      <c r="AD1264" s="151" t="str">
        <f aca="false">CONCATENATE($C1264,$I1264,$H1264,$N1264,$J1264,$K1264)</f>
        <v>TUBO PEADPEAD63VCAREDESZona11</v>
      </c>
      <c r="AE1264" s="153" t="n">
        <f aca="false">IFERROR(INDEX(APOIO_REDES!$A:$W,MATCH($C1264&amp;$I1264&amp;$H1264&amp;$N1264&amp;$O1264,APOIO_REDES!$W:$W,0),MATCH(AE$5,APOIO_REDES!$5:$5,0)),0)</f>
        <v>1.2</v>
      </c>
      <c r="AF1264" s="153" t="n">
        <f aca="false">IFERROR(INDEX(APOIO_REDES!$A:$W,MATCH($C1264&amp;$I1264&amp;$H1264&amp;$N1264&amp;$O1264,APOIO_REDES!$W:$W,0),MATCH(AF$5,APOIO_REDES!$5:$5,0)),0)</f>
        <v>1.363</v>
      </c>
      <c r="AG1264" s="153" t="n">
        <f aca="false">IFERROR(INDEX(APOIO_REDES!$A:$W,MATCH($C1264&amp;$I1264&amp;$H1264&amp;$N1264&amp;$O1264,APOIO_REDES!$W:$W,0),MATCH(AG$5,APOIO_REDES!$5:$5,0)),0)</f>
        <v>0.65</v>
      </c>
      <c r="AH1264" s="153" t="n">
        <f aca="false">IFERROR(INDEX(APOIO_REDES!$A:$W,MATCH($C1264&amp;$I1264&amp;$H1264&amp;$N1264&amp;$O1264,APOIO_REDES!$W:$W,0),MATCH(AH$5,APOIO_REDES!$5:$5,0)),0)</f>
        <v>0.1</v>
      </c>
      <c r="AI1264" s="153" t="n">
        <f aca="false">IFERROR(IF($H1264&lt;&gt;"",(((($H1264/1000)/2)^2)*PI()*$M1264),0),0)</f>
        <v>0.556864702272092</v>
      </c>
      <c r="AJ1264" s="153" t="n">
        <f aca="false">IFERROR(IF(AND($H1264&lt;&gt;"",$I1264="FoFo",OR($N1264="MND",$N1264="VCA"),$Q1264="LINEAR"),0,IF(AND($H1264&lt;&gt;"",$I1264="PEAD",$N1264="VCA",$Q1264="LINEAR"),($H1264/1000)+0.3,IF(AND($H1264&lt;&gt;"",$I1264="PEAD",$N1264="MND",$Q1264="EMBOQUE"),0,IF(AND($H1264&lt;&gt;"",$I1264="PVC",$N1264="VCA",$Q1264="LINEAR"),($H1264/1000)+0.2,IF(AND($H1264&lt;&gt;"",$I1264="PVC",$N1264="MND",$Q1264="EMBOQUE"),0,IF(AND($H1264&lt;&gt;"",$I1264="PEAD",$N1264="VCA",$Q1264="PREDIAL"),0,0)))))),0)</f>
        <v>0.363</v>
      </c>
      <c r="AK1264" s="153" t="n">
        <f aca="false">IF(AA1264&lt;&gt;"",AA1264,0)</f>
        <v>2.7</v>
      </c>
      <c r="AL1264" s="153" t="n">
        <f aca="false">IF(AND($N1264="MND",$Q1264="EMBOQUE"),$M1264,IF(AND($N1264="VCA",$Q1264="LINEAR"),$M1264,IF(AND($N1264="VCA",$Q1264="PREDIAL"),0,0)))</f>
        <v>178.64</v>
      </c>
      <c r="AM1264" s="153" t="n">
        <f aca="false">IF(AND($N1264="MND",$Q1264="EMBOQUE"),$M1264,IF(AND($N1264="VCA",$Q1264="LINEAR"),$M1264,IF(AND($N1264="VCA",$Q1264="PREDIAL"),0,0)))</f>
        <v>178.64</v>
      </c>
      <c r="AN1264" s="153" t="n">
        <f aca="false">ROUND(IF(AND($N1264="VCA",$M1264&lt;&gt;"",$Q1264="LINEAR"),$M1264/100,IF(AND($N1264="MND",$M1264&gt;100,$Q1264="EMBOQUE"),$M1264/100,0)),0)</f>
        <v>2</v>
      </c>
      <c r="AO1264" s="153" t="n">
        <f aca="false">IF(AND($N1264="MND",$Q1264="EMBOQUE"),$AN1264*2*2,IF(AND($N1264="VCA",$Q1264="LINEAR"),$M1264*2,IF(AND($N1264="VCA",$Q1264="PREDIAL"),0,0)))</f>
        <v>357.28</v>
      </c>
      <c r="AP1264" s="153" t="n">
        <f aca="false">IFERROR($M1264*$AF1264*$AG1264,0)</f>
        <v>158.266108</v>
      </c>
      <c r="AQ1264" s="153" t="n">
        <f aca="false">IFERROR(IF(AND($N1264="VCA",$AH1264&gt;0),$M1264*$AG1264*$AH1264,0),0)</f>
        <v>11.6116</v>
      </c>
      <c r="AR1264" s="153" t="n">
        <f aca="false">IFERROR(IF(AND($N1264="VCA",$AJ1264&gt;0),($M1264*$AG1264*$AJ1264)-$AI1264,0),0)</f>
        <v>41.5932432977279</v>
      </c>
      <c r="AS1264" s="153" t="n">
        <f aca="false">IFERROR(IF(AND($N1264="VCA",$AP1264&gt;0),$AP1264-$AI1264-$AQ1264-$AR1264,0),0)</f>
        <v>104.5044</v>
      </c>
      <c r="AT1264" s="153" t="n">
        <f aca="false">IFERROR(IF($N1264="VCA",INDEX(APOIO_REDES!$A:$W,MATCH($C1264&amp;$I1264&amp;$H1264&amp;$N1264&amp;$O1264,APOIO_REDES!$W:$W,0),MATCH(AT$5,APOIO_REDES!$5:$5,0)),0)*$AP1264,0)</f>
        <v>1.7219820994168</v>
      </c>
      <c r="AU1264" s="153" t="n">
        <f aca="false">IFERROR(IF($N1264="VCA",INDEX(APOIO_REDES!$A:$W,MATCH($C1264&amp;$I1264&amp;$H1264&amp;$N1264&amp;$O1264,APOIO_REDES!$W:$W,0),MATCH(AU$5,APOIO_REDES!$5:$5,0)),0)*$AP1264,0)</f>
        <v>1.37512826740445</v>
      </c>
      <c r="AV1264" s="153" t="n">
        <f aca="false">IFERROR(IF($N1264="VCA",INDEX(APOIO_REDES!$A:$W,MATCH($C1264&amp;$I1264&amp;$H1264&amp;$N1264&amp;$O1264,APOIO_REDES!$W:$W,0),MATCH(AV$5,APOIO_REDES!$5:$5,0)),0)*$AP1264,0)</f>
        <v>0.190306957028619</v>
      </c>
      <c r="AW1264" s="153" t="n">
        <f aca="false">IFERROR(IF($N1264="VCA",INDEX(APOIO_REDES!$A:$W,MATCH($C1264&amp;$I1264&amp;$H1264&amp;$N1264&amp;$O1264,APOIO_REDES!$W:$W,0),MATCH(AW$5,APOIO_REDES!$5:$5,0)),0)*$AP1264,0)</f>
        <v>108.635082836846</v>
      </c>
      <c r="AX1264" s="153" t="n">
        <f aca="false">IFERROR(IF($N1264="VCA",INDEX(APOIO_REDES!$A:$W,MATCH($C1264&amp;$I1264&amp;$H1264&amp;$N1264&amp;$O1264,APOIO_REDES!$W:$W,0),MATCH(AX$5,APOIO_REDES!$5:$5,0)),0)*$AP1264,0)</f>
        <v>15.0347860117284</v>
      </c>
      <c r="AY1264" s="153" t="n">
        <f aca="false">IFERROR(IF($N1264="VCA",INDEX(APOIO_REDES!$A:$W,MATCH($C1264&amp;$I1264&amp;$H1264&amp;$N1264&amp;$O1264,APOIO_REDES!$W:$W,0),MATCH(AY$5,APOIO_REDES!$5:$5,0)),0)*$AP1264,0)</f>
        <v>27.502548585387</v>
      </c>
      <c r="AZ1264" s="153" t="n">
        <f aca="false">IFERROR(IF($N1264="VCA",INDEX(APOIO_REDES!$A:$W,MATCH($C1264&amp;$I1264&amp;$H1264&amp;$N1264&amp;$O1264,APOIO_REDES!$W:$W,0),MATCH(AZ$5,APOIO_REDES!$5:$5,0)),0)*$AP1264,0)</f>
        <v>3.80627324218924</v>
      </c>
      <c r="BA1264" s="153" t="n">
        <f aca="false">IFERROR(IF(AND($N1264="VCA",$Q1264="LINEAR"),INDEX(APOIO_REDES!$A:$W,MATCH($C1264&amp;$I1264&amp;$H1264&amp;$N1264&amp;$O1264,APOIO_REDES!$W:$W,0),MATCH(BA$5,APOIO_REDES!$5:$5,0)),IF(AND($N1264="MND",$Q1264="EMBOQUE"),INDEX(APOIO_REDES!$A:$W,MATCH($C1264&amp;$I1264&amp;$H1264&amp;$N1264&amp;$O1264,APOIO_REDES!$W:$W,0),MATCH(BA$5,APOIO_REDES!$5:$5,0)),0))*$M1264/10,0)</f>
        <v>14.397933394852</v>
      </c>
      <c r="BB1264" s="153" t="n">
        <f aca="false">IFERROR(IF($N1264="VCA",INDEX(APOIO_REDES!$A:$W,MATCH($C1264&amp;$I1264&amp;$H1264&amp;$N1264&amp;$O1264,APOIO_REDES!$W:$W,0),MATCH(BB$5,APOIO_REDES!$5:$5,0)),0)*($AI1264+$AQ1264+$AR1264),0)</f>
        <v>53.1767647043067</v>
      </c>
      <c r="BC1264" s="153" t="n">
        <f aca="false">IFERROR(IF($N1264="VCA",INDEX(APOIO_REDES!$A:$W,MATCH($C1264&amp;$I1264&amp;$H1264&amp;$N1264&amp;$O1264,APOIO_REDES!$W:$W,0),MATCH(BC$5,APOIO_REDES!$5:$5,0)),0)*($AI1264+$AQ1264+$AR1264),0)</f>
        <v>0.584943295693308</v>
      </c>
      <c r="BD1264" s="153" t="n">
        <f aca="false">IF(AND($N1264="VCA",$AF1264&gt;=1.25,$AF1264&lt;1.5),$M1264*$AF1264*2,0)</f>
        <v>486.97264</v>
      </c>
      <c r="BE1264" s="153" t="n">
        <f aca="false">IF(AND($N1264="VCA",$AF1264&gt;=1.5,$AF1264&lt;3),$M1264*$AF1264*2,0)</f>
        <v>0</v>
      </c>
      <c r="BF1264" s="153" t="n">
        <f aca="false">IF(AND($N1264="VCA",$AF1264&gt;=3),$M1264*$AF1264*2,0)</f>
        <v>0</v>
      </c>
      <c r="BG1264" s="153" t="n">
        <f aca="false">($BB1264+$BC1264)*$AK1264</f>
        <v>145.1566116</v>
      </c>
      <c r="BH1264" s="153" t="n">
        <f aca="false">IF(AND($M1264&lt;&gt;"",$N1264="VCA",$Q1264="LINEAR"),($M1264*2)/100,IF(AND($M1264&lt;&gt;"",$N1264="MND",$Q1264="EMBOQUE"),($AN1264*2)/100,0))</f>
        <v>3.5728</v>
      </c>
      <c r="BI1264" s="153" t="n">
        <f aca="false">IF(AND($M1264&lt;&gt;"",$N1264="VCA",$Q1264="LINEAR"),$M1264,IF(AND($M1264&lt;&gt;"",$N1264="MND",$Q1264="EMBOQUE"),$AN1264*2,0))</f>
        <v>178.64</v>
      </c>
      <c r="BJ1264" s="153" t="n">
        <f aca="false">IF(AND($M1264&lt;&gt;"",$N1264="VCA",$Q1264="LINEAR"),($M1264*6.8)/100,IF(AND($M1264&lt;&gt;"",$N1264="MND",$Q1264="EMBOQUE"),($AN1264*2*6.8)/100,0))</f>
        <v>12.14752</v>
      </c>
      <c r="BK1264" s="153" t="n">
        <f aca="false">IF(AND($M1264&lt;&gt;"",$N1264="VCA",$Q1264="LINEAR"),($M1264*2.5)/50,IF(AND($M1264&lt;&gt;"",$N1264="MND",$Q1264="EMBOQUE"),($AN1264*2*2.5)/50,0))</f>
        <v>8.932</v>
      </c>
      <c r="BL1264" s="157" t="str">
        <f aca="false">K1264&amp;J1264</f>
        <v>Zona11REDES</v>
      </c>
      <c r="BM1264" s="152" t="s">
        <v>6084</v>
      </c>
      <c r="BN1264" s="152" t="s">
        <v>1560</v>
      </c>
      <c r="BO1264" s="152" t="s">
        <v>4803</v>
      </c>
      <c r="BP1264" s="152" t="s">
        <v>6325</v>
      </c>
      <c r="BQ1264" s="152" t="s">
        <v>6332</v>
      </c>
      <c r="BR1264" s="152" t="s">
        <v>6333</v>
      </c>
      <c r="BS1264" s="152" t="n">
        <v>205132.259</v>
      </c>
      <c r="BT1264" s="152" t="n">
        <v>8236590.996</v>
      </c>
      <c r="BU1264" s="152" t="n">
        <v>205047.669</v>
      </c>
      <c r="BV1264" s="152" t="n">
        <v>8236483.833</v>
      </c>
      <c r="BW1264" s="152" t="n">
        <v>-15.9329793</v>
      </c>
      <c r="BX1264" s="152" t="n">
        <v>-47.7547793</v>
      </c>
      <c r="BY1264" s="152" t="s">
        <v>6325</v>
      </c>
    </row>
    <row r="1265" customFormat="false" ht="13.8" hidden="false" customHeight="false" outlineLevel="0" collapsed="false">
      <c r="A1265" s="149" t="n">
        <f aca="false">IF(C1265&lt;&gt;"",ROW(A1260),"")</f>
        <v>1260</v>
      </c>
      <c r="B1265" s="150" t="str">
        <f aca="false">HYPERLINK("https://www.google.com/maps/dir/-15.917302,-47.760003/-15.9335716,-47.7548744/data=!4m3!4m2!3e0!5i1")</f>
        <v>https://www.google.com/maps/dir/-15.917302,-47.760003/-15.9335716,-47.7548744/data=!4m3!4m2!3e0!5i1</v>
      </c>
      <c r="C1265" s="151" t="s">
        <v>117</v>
      </c>
      <c r="D1265" s="152" t="s">
        <v>112</v>
      </c>
      <c r="E1265" s="152" t="s">
        <v>113</v>
      </c>
      <c r="F1265" s="152" t="s">
        <v>117</v>
      </c>
      <c r="G1265" s="152" t="s">
        <v>782</v>
      </c>
      <c r="H1265" s="152" t="n">
        <v>63</v>
      </c>
      <c r="I1265" s="152" t="s">
        <v>115</v>
      </c>
      <c r="J1265" s="152" t="s">
        <v>6</v>
      </c>
      <c r="K1265" s="152" t="s">
        <v>6081</v>
      </c>
      <c r="L1265" s="152" t="s">
        <v>120</v>
      </c>
      <c r="M1265" s="153" t="n">
        <f aca="false">131.94</f>
        <v>131.94</v>
      </c>
      <c r="N1265" s="152" t="s">
        <v>1548</v>
      </c>
      <c r="O1265" s="152" t="s">
        <v>1549</v>
      </c>
      <c r="P1265" s="152" t="s">
        <v>1550</v>
      </c>
      <c r="Q1265" s="152" t="s">
        <v>1551</v>
      </c>
      <c r="R1265" s="154" t="s">
        <v>6334</v>
      </c>
      <c r="S1265" s="154" t="s">
        <v>1553</v>
      </c>
      <c r="T1265" s="155" t="s">
        <v>4801</v>
      </c>
      <c r="U1265" s="152" t="str">
        <f aca="false">RIGHT(T1265,7)</f>
        <v>021/037</v>
      </c>
      <c r="V1265" s="152" t="s">
        <v>1555</v>
      </c>
      <c r="W1265" s="156" t="n">
        <v>45882</v>
      </c>
      <c r="X1265" s="152" t="s">
        <v>3938</v>
      </c>
      <c r="Y1265" s="152" t="s">
        <v>3233</v>
      </c>
      <c r="Z1265" s="152" t="s">
        <v>1557</v>
      </c>
      <c r="AA1265" s="153" t="n">
        <v>2.8</v>
      </c>
      <c r="AB1265" s="151" t="s">
        <v>6335</v>
      </c>
      <c r="AC1265" s="151" t="s">
        <v>186</v>
      </c>
      <c r="AD1265" s="151" t="str">
        <f aca="false">CONCATENATE($C1265,$I1265,$H1265,$N1265,$J1265,$K1265)</f>
        <v>TUBO PEADPEAD63VCAREDESZona11</v>
      </c>
      <c r="AE1265" s="153" t="n">
        <f aca="false">IFERROR(INDEX(APOIO_REDES!$A:$W,MATCH($C1265&amp;$I1265&amp;$H1265&amp;$N1265&amp;$O1265,APOIO_REDES!$W:$W,0),MATCH(AE$5,APOIO_REDES!$5:$5,0)),0)</f>
        <v>1.2</v>
      </c>
      <c r="AF1265" s="153" t="n">
        <f aca="false">IFERROR(INDEX(APOIO_REDES!$A:$W,MATCH($C1265&amp;$I1265&amp;$H1265&amp;$N1265&amp;$O1265,APOIO_REDES!$W:$W,0),MATCH(AF$5,APOIO_REDES!$5:$5,0)),0)</f>
        <v>1.363</v>
      </c>
      <c r="AG1265" s="153" t="n">
        <f aca="false">IFERROR(INDEX(APOIO_REDES!$A:$W,MATCH($C1265&amp;$I1265&amp;$H1265&amp;$N1265&amp;$O1265,APOIO_REDES!$W:$W,0),MATCH(AG$5,APOIO_REDES!$5:$5,0)),0)</f>
        <v>0.65</v>
      </c>
      <c r="AH1265" s="153" t="n">
        <f aca="false">IFERROR(INDEX(APOIO_REDES!$A:$W,MATCH($C1265&amp;$I1265&amp;$H1265&amp;$N1265&amp;$O1265,APOIO_REDES!$W:$W,0),MATCH(AH$5,APOIO_REDES!$5:$5,0)),0)</f>
        <v>0.1</v>
      </c>
      <c r="AI1265" s="153" t="n">
        <f aca="false">IFERROR(IF($H1265&lt;&gt;"",(((($H1265/1000)/2)^2)*PI()*$M1265),0),0)</f>
        <v>0.411289346270599</v>
      </c>
      <c r="AJ1265" s="153" t="n">
        <f aca="false">IFERROR(IF(AND($H1265&lt;&gt;"",$I1265="FoFo",OR($N1265="MND",$N1265="VCA"),$Q1265="LINEAR"),0,IF(AND($H1265&lt;&gt;"",$I1265="PEAD",$N1265="VCA",$Q1265="LINEAR"),($H1265/1000)+0.3,IF(AND($H1265&lt;&gt;"",$I1265="PEAD",$N1265="MND",$Q1265="EMBOQUE"),0,IF(AND($H1265&lt;&gt;"",$I1265="PVC",$N1265="VCA",$Q1265="LINEAR"),($H1265/1000)+0.2,IF(AND($H1265&lt;&gt;"",$I1265="PVC",$N1265="MND",$Q1265="EMBOQUE"),0,IF(AND($H1265&lt;&gt;"",$I1265="PEAD",$N1265="VCA",$Q1265="PREDIAL"),0,0)))))),0)</f>
        <v>0.363</v>
      </c>
      <c r="AK1265" s="153" t="n">
        <f aca="false">IF(AA1265&lt;&gt;"",AA1265,0)</f>
        <v>2.8</v>
      </c>
      <c r="AL1265" s="153" t="n">
        <f aca="false">IF(AND($N1265="MND",$Q1265="EMBOQUE"),$M1265,IF(AND($N1265="VCA",$Q1265="LINEAR"),$M1265,IF(AND($N1265="VCA",$Q1265="PREDIAL"),0,0)))</f>
        <v>131.94</v>
      </c>
      <c r="AM1265" s="153" t="n">
        <f aca="false">IF(AND($N1265="MND",$Q1265="EMBOQUE"),$M1265,IF(AND($N1265="VCA",$Q1265="LINEAR"),$M1265,IF(AND($N1265="VCA",$Q1265="PREDIAL"),0,0)))</f>
        <v>131.94</v>
      </c>
      <c r="AN1265" s="153" t="n">
        <f aca="false">ROUND(IF(AND($N1265="VCA",$M1265&lt;&gt;"",$Q1265="LINEAR"),$M1265/100,IF(AND($N1265="MND",$M1265&gt;100,$Q1265="EMBOQUE"),$M1265/100,0)),0)</f>
        <v>1</v>
      </c>
      <c r="AO1265" s="153" t="n">
        <f aca="false">IF(AND($N1265="MND",$Q1265="EMBOQUE"),$AN1265*2*2,IF(AND($N1265="VCA",$Q1265="LINEAR"),$M1265*2,IF(AND($N1265="VCA",$Q1265="PREDIAL"),0,0)))</f>
        <v>263.88</v>
      </c>
      <c r="AP1265" s="153" t="n">
        <f aca="false">IFERROR($M1265*$AF1265*$AG1265,0)</f>
        <v>116.892243</v>
      </c>
      <c r="AQ1265" s="153" t="n">
        <f aca="false">IFERROR(IF(AND($N1265="VCA",$AH1265&gt;0),$M1265*$AG1265*$AH1265,0),0)</f>
        <v>8.5761</v>
      </c>
      <c r="AR1265" s="153" t="n">
        <f aca="false">IFERROR(IF(AND($N1265="VCA",$AJ1265&gt;0),($M1265*$AG1265*$AJ1265)-$AI1265,0),0)</f>
        <v>30.7199536537294</v>
      </c>
      <c r="AS1265" s="153" t="n">
        <f aca="false">IFERROR(IF(AND($N1265="VCA",$AP1265&gt;0),$AP1265-$AI1265-$AQ1265-$AR1265,0),0)</f>
        <v>77.1849</v>
      </c>
      <c r="AT1265" s="153" t="n">
        <f aca="false">IFERROR(IF($N1265="VCA",INDEX(APOIO_REDES!$A:$W,MATCH($C1265&amp;$I1265&amp;$H1265&amp;$N1265&amp;$O1265,APOIO_REDES!$W:$W,0),MATCH(AT$5,APOIO_REDES!$5:$5,0)),0)*$AP1265,0)</f>
        <v>1.27182220217786</v>
      </c>
      <c r="AU1265" s="153" t="n">
        <f aca="false">IFERROR(IF($N1265="VCA",INDEX(APOIO_REDES!$A:$W,MATCH($C1265&amp;$I1265&amp;$H1265&amp;$N1265&amp;$O1265,APOIO_REDES!$W:$W,0),MATCH(AU$5,APOIO_REDES!$5:$5,0)),0)*$AP1265,0)</f>
        <v>1.01564276534563</v>
      </c>
      <c r="AV1265" s="153" t="n">
        <f aca="false">IFERROR(IF($N1265="VCA",INDEX(APOIO_REDES!$A:$W,MATCH($C1265&amp;$I1265&amp;$H1265&amp;$N1265&amp;$O1265,APOIO_REDES!$W:$W,0),MATCH(AV$5,APOIO_REDES!$5:$5,0)),0)*$AP1265,0)</f>
        <v>0.140556985615517</v>
      </c>
      <c r="AW1265" s="153" t="n">
        <f aca="false">IFERROR(IF($N1265="VCA",INDEX(APOIO_REDES!$A:$W,MATCH($C1265&amp;$I1265&amp;$H1265&amp;$N1265&amp;$O1265,APOIO_REDES!$W:$W,0),MATCH(AW$5,APOIO_REDES!$5:$5,0)),0)*$AP1265,0)</f>
        <v>80.235741320496</v>
      </c>
      <c r="AX1265" s="153" t="n">
        <f aca="false">IFERROR(IF($N1265="VCA",INDEX(APOIO_REDES!$A:$W,MATCH($C1265&amp;$I1265&amp;$H1265&amp;$N1265&amp;$O1265,APOIO_REDES!$W:$W,0),MATCH(AX$5,APOIO_REDES!$5:$5,0)),0)*$AP1265,0)</f>
        <v>11.1043980429212</v>
      </c>
      <c r="AY1265" s="153" t="n">
        <f aca="false">IFERROR(IF($N1265="VCA",INDEX(APOIO_REDES!$A:$W,MATCH($C1265&amp;$I1265&amp;$H1265&amp;$N1265&amp;$O1265,APOIO_REDES!$W:$W,0),MATCH(AY$5,APOIO_REDES!$5:$5,0)),0)*$AP1265,0)</f>
        <v>20.3128429263097</v>
      </c>
      <c r="AZ1265" s="153" t="n">
        <f aca="false">IFERROR(IF($N1265="VCA",INDEX(APOIO_REDES!$A:$W,MATCH($C1265&amp;$I1265&amp;$H1265&amp;$N1265&amp;$O1265,APOIO_REDES!$W:$W,0),MATCH(AZ$5,APOIO_REDES!$5:$5,0)),0)*$AP1265,0)</f>
        <v>2.81123875713417</v>
      </c>
      <c r="BA1265" s="153" t="n">
        <f aca="false">IFERROR(IF(AND($N1265="VCA",$Q1265="LINEAR"),INDEX(APOIO_REDES!$A:$W,MATCH($C1265&amp;$I1265&amp;$H1265&amp;$N1265&amp;$O1265,APOIO_REDES!$W:$W,0),MATCH(BA$5,APOIO_REDES!$5:$5,0)),IF(AND($N1265="MND",$Q1265="EMBOQUE"),INDEX(APOIO_REDES!$A:$W,MATCH($C1265&amp;$I1265&amp;$H1265&amp;$N1265&amp;$O1265,APOIO_REDES!$W:$W,0),MATCH(BA$5,APOIO_REDES!$5:$5,0)),0))*$M1265/10,0)</f>
        <v>10.6340311918762</v>
      </c>
      <c r="BB1265" s="153" t="n">
        <f aca="false">IFERROR(IF($N1265="VCA",INDEX(APOIO_REDES!$A:$W,MATCH($C1265&amp;$I1265&amp;$H1265&amp;$N1265&amp;$O1265,APOIO_REDES!$W:$W,0),MATCH(BB$5,APOIO_REDES!$5:$5,0)),0)*($AI1265+$AQ1265+$AR1265),0)</f>
        <v>39.2753153553864</v>
      </c>
      <c r="BC1265" s="153" t="n">
        <f aca="false">IFERROR(IF($N1265="VCA",INDEX(APOIO_REDES!$A:$W,MATCH($C1265&amp;$I1265&amp;$H1265&amp;$N1265&amp;$O1265,APOIO_REDES!$W:$W,0),MATCH(BC$5,APOIO_REDES!$5:$5,0)),0)*($AI1265+$AQ1265+$AR1265),0)</f>
        <v>0.432027644613609</v>
      </c>
      <c r="BD1265" s="153" t="n">
        <f aca="false">IF(AND($N1265="VCA",$AF1265&gt;=1.25,$AF1265&lt;1.5),$M1265*$AF1265*2,0)</f>
        <v>359.66844</v>
      </c>
      <c r="BE1265" s="153" t="n">
        <f aca="false">IF(AND($N1265="VCA",$AF1265&gt;=1.5,$AF1265&lt;3),$M1265*$AF1265*2,0)</f>
        <v>0</v>
      </c>
      <c r="BF1265" s="153" t="n">
        <f aca="false">IF(AND($N1265="VCA",$AF1265&gt;=3),$M1265*$AF1265*2,0)</f>
        <v>0</v>
      </c>
      <c r="BG1265" s="153" t="n">
        <f aca="false">($BB1265+$BC1265)*$AK1265</f>
        <v>111.1805604</v>
      </c>
      <c r="BH1265" s="153" t="n">
        <f aca="false">IF(AND($M1265&lt;&gt;"",$N1265="VCA",$Q1265="LINEAR"),($M1265*2)/100,IF(AND($M1265&lt;&gt;"",$N1265="MND",$Q1265="EMBOQUE"),($AN1265*2)/100,0))</f>
        <v>2.6388</v>
      </c>
      <c r="BI1265" s="153" t="n">
        <f aca="false">IF(AND($M1265&lt;&gt;"",$N1265="VCA",$Q1265="LINEAR"),$M1265,IF(AND($M1265&lt;&gt;"",$N1265="MND",$Q1265="EMBOQUE"),$AN1265*2,0))</f>
        <v>131.94</v>
      </c>
      <c r="BJ1265" s="153" t="n">
        <f aca="false">IF(AND($M1265&lt;&gt;"",$N1265="VCA",$Q1265="LINEAR"),($M1265*6.8)/100,IF(AND($M1265&lt;&gt;"",$N1265="MND",$Q1265="EMBOQUE"),($AN1265*2*6.8)/100,0))</f>
        <v>8.97192</v>
      </c>
      <c r="BK1265" s="153" t="n">
        <f aca="false">IF(AND($M1265&lt;&gt;"",$N1265="VCA",$Q1265="LINEAR"),($M1265*2.5)/50,IF(AND($M1265&lt;&gt;"",$N1265="MND",$Q1265="EMBOQUE"),($AN1265*2*2.5)/50,0))</f>
        <v>6.597</v>
      </c>
      <c r="BL1265" s="157" t="str">
        <f aca="false">K1265&amp;J1265</f>
        <v>Zona11REDES</v>
      </c>
      <c r="BM1265" s="152" t="s">
        <v>6084</v>
      </c>
      <c r="BN1265" s="152" t="s">
        <v>1560</v>
      </c>
      <c r="BO1265" s="152" t="s">
        <v>4803</v>
      </c>
      <c r="BP1265" s="152" t="s">
        <v>6336</v>
      </c>
      <c r="BQ1265" s="152" t="s">
        <v>6329</v>
      </c>
      <c r="BR1265" s="152" t="s">
        <v>6337</v>
      </c>
      <c r="BS1265" s="152" t="n">
        <v>205057.298</v>
      </c>
      <c r="BT1265" s="152" t="n">
        <v>8236464.903</v>
      </c>
      <c r="BU1265" s="152" t="n">
        <v>205156.818</v>
      </c>
      <c r="BV1265" s="152" t="n">
        <v>8236551.204</v>
      </c>
      <c r="BW1265" s="152" t="n">
        <v>-15.933186</v>
      </c>
      <c r="BX1265" s="152" t="n">
        <v>-47.7544075</v>
      </c>
      <c r="BY1265" s="152" t="s">
        <v>6336</v>
      </c>
    </row>
    <row r="1266" customFormat="false" ht="13.8" hidden="false" customHeight="false" outlineLevel="0" collapsed="false">
      <c r="A1266" s="149" t="n">
        <f aca="false">IF(C1266&lt;&gt;"",ROW(A1261),"")</f>
        <v>1261</v>
      </c>
      <c r="B1266" s="150" t="str">
        <f aca="false">HYPERLINK("https://www.google.com/maps/dir/-15.917302,-47.760003/-15.9333996,-47.7549619/data=!4m3!4m2!3e0!5i1")</f>
        <v>https://www.google.com/maps/dir/-15.917302,-47.760003/-15.9333996,-47.7549619/data=!4m3!4m2!3e0!5i1</v>
      </c>
      <c r="C1266" s="151" t="s">
        <v>117</v>
      </c>
      <c r="D1266" s="152" t="s">
        <v>112</v>
      </c>
      <c r="E1266" s="152" t="s">
        <v>113</v>
      </c>
      <c r="F1266" s="152" t="s">
        <v>117</v>
      </c>
      <c r="G1266" s="152" t="s">
        <v>782</v>
      </c>
      <c r="H1266" s="152" t="n">
        <v>63</v>
      </c>
      <c r="I1266" s="152" t="s">
        <v>115</v>
      </c>
      <c r="J1266" s="152" t="s">
        <v>6</v>
      </c>
      <c r="K1266" s="152" t="s">
        <v>6081</v>
      </c>
      <c r="L1266" s="152" t="s">
        <v>120</v>
      </c>
      <c r="M1266" s="153" t="n">
        <f aca="false">21.24</f>
        <v>21.24</v>
      </c>
      <c r="N1266" s="152" t="s">
        <v>1548</v>
      </c>
      <c r="O1266" s="152" t="s">
        <v>1549</v>
      </c>
      <c r="P1266" s="152" t="s">
        <v>1550</v>
      </c>
      <c r="Q1266" s="152" t="s">
        <v>1551</v>
      </c>
      <c r="R1266" s="154" t="s">
        <v>6338</v>
      </c>
      <c r="S1266" s="154" t="s">
        <v>1553</v>
      </c>
      <c r="T1266" s="155" t="s">
        <v>4801</v>
      </c>
      <c r="U1266" s="152" t="str">
        <f aca="false">RIGHT(T1266,7)</f>
        <v>021/037</v>
      </c>
      <c r="V1266" s="152" t="s">
        <v>1555</v>
      </c>
      <c r="W1266" s="156" t="n">
        <v>45882</v>
      </c>
      <c r="X1266" s="152" t="s">
        <v>3938</v>
      </c>
      <c r="Y1266" s="152" t="s">
        <v>3233</v>
      </c>
      <c r="Z1266" s="152" t="s">
        <v>1557</v>
      </c>
      <c r="AA1266" s="153" t="n">
        <v>2.8</v>
      </c>
      <c r="AB1266" s="151" t="s">
        <v>6339</v>
      </c>
      <c r="AC1266" s="151" t="s">
        <v>186</v>
      </c>
      <c r="AD1266" s="151" t="str">
        <f aca="false">CONCATENATE($C1266,$I1266,$H1266,$N1266,$J1266,$K1266)</f>
        <v>TUBO PEADPEAD63VCAREDESZona11</v>
      </c>
      <c r="AE1266" s="153" t="n">
        <f aca="false">IFERROR(INDEX(APOIO_REDES!$A:$W,MATCH($C1266&amp;$I1266&amp;$H1266&amp;$N1266&amp;$O1266,APOIO_REDES!$W:$W,0),MATCH(AE$5,APOIO_REDES!$5:$5,0)),0)</f>
        <v>1.2</v>
      </c>
      <c r="AF1266" s="153" t="n">
        <f aca="false">IFERROR(INDEX(APOIO_REDES!$A:$W,MATCH($C1266&amp;$I1266&amp;$H1266&amp;$N1266&amp;$O1266,APOIO_REDES!$W:$W,0),MATCH(AF$5,APOIO_REDES!$5:$5,0)),0)</f>
        <v>1.363</v>
      </c>
      <c r="AG1266" s="153" t="n">
        <f aca="false">IFERROR(INDEX(APOIO_REDES!$A:$W,MATCH($C1266&amp;$I1266&amp;$H1266&amp;$N1266&amp;$O1266,APOIO_REDES!$W:$W,0),MATCH(AG$5,APOIO_REDES!$5:$5,0)),0)</f>
        <v>0.65</v>
      </c>
      <c r="AH1266" s="153" t="n">
        <f aca="false">IFERROR(INDEX(APOIO_REDES!$A:$W,MATCH($C1266&amp;$I1266&amp;$H1266&amp;$N1266&amp;$O1266,APOIO_REDES!$W:$W,0),MATCH(AH$5,APOIO_REDES!$5:$5,0)),0)</f>
        <v>0.1</v>
      </c>
      <c r="AI1266" s="153" t="n">
        <f aca="false">IFERROR(IF($H1266&lt;&gt;"",(((($H1266/1000)/2)^2)*PI()*$M1266),0),0)</f>
        <v>0.0662102903955398</v>
      </c>
      <c r="AJ1266" s="153" t="n">
        <f aca="false">IFERROR(IF(AND($H1266&lt;&gt;"",$I1266="FoFo",OR($N1266="MND",$N1266="VCA"),$Q1266="LINEAR"),0,IF(AND($H1266&lt;&gt;"",$I1266="PEAD",$N1266="VCA",$Q1266="LINEAR"),($H1266/1000)+0.3,IF(AND($H1266&lt;&gt;"",$I1266="PEAD",$N1266="MND",$Q1266="EMBOQUE"),0,IF(AND($H1266&lt;&gt;"",$I1266="PVC",$N1266="VCA",$Q1266="LINEAR"),($H1266/1000)+0.2,IF(AND($H1266&lt;&gt;"",$I1266="PVC",$N1266="MND",$Q1266="EMBOQUE"),0,IF(AND($H1266&lt;&gt;"",$I1266="PEAD",$N1266="VCA",$Q1266="PREDIAL"),0,0)))))),0)</f>
        <v>0.363</v>
      </c>
      <c r="AK1266" s="153" t="n">
        <f aca="false">IF(AA1266&lt;&gt;"",AA1266,0)</f>
        <v>2.8</v>
      </c>
      <c r="AL1266" s="153" t="n">
        <f aca="false">IF(AND($N1266="MND",$Q1266="EMBOQUE"),$M1266,IF(AND($N1266="VCA",$Q1266="LINEAR"),$M1266,IF(AND($N1266="VCA",$Q1266="PREDIAL"),0,0)))</f>
        <v>21.24</v>
      </c>
      <c r="AM1266" s="153" t="n">
        <f aca="false">IF(AND($N1266="MND",$Q1266="EMBOQUE"),$M1266,IF(AND($N1266="VCA",$Q1266="LINEAR"),$M1266,IF(AND($N1266="VCA",$Q1266="PREDIAL"),0,0)))</f>
        <v>21.24</v>
      </c>
      <c r="AN1266" s="153" t="n">
        <f aca="false">ROUND(IF(AND($N1266="VCA",$M1266&lt;&gt;"",$Q1266="LINEAR"),$M1266/100,IF(AND($N1266="MND",$M1266&gt;100,$Q1266="EMBOQUE"),$M1266/100,0)),0)</f>
        <v>0</v>
      </c>
      <c r="AO1266" s="153" t="n">
        <f aca="false">IF(AND($N1266="MND",$Q1266="EMBOQUE"),$AN1266*2*2,IF(AND($N1266="VCA",$Q1266="LINEAR"),$M1266*2,IF(AND($N1266="VCA",$Q1266="PREDIAL"),0,0)))</f>
        <v>42.48</v>
      </c>
      <c r="AP1266" s="153" t="n">
        <f aca="false">IFERROR($M1266*$AF1266*$AG1266,0)</f>
        <v>18.817578</v>
      </c>
      <c r="AQ1266" s="153" t="n">
        <f aca="false">IFERROR(IF(AND($N1266="VCA",$AH1266&gt;0),$M1266*$AG1266*$AH1266,0),0)</f>
        <v>1.3806</v>
      </c>
      <c r="AR1266" s="153" t="n">
        <f aca="false">IFERROR(IF(AND($N1266="VCA",$AJ1266&gt;0),($M1266*$AG1266*$AJ1266)-$AI1266,0),0)</f>
        <v>4.94536770960446</v>
      </c>
      <c r="AS1266" s="153" t="n">
        <f aca="false">IFERROR(IF(AND($N1266="VCA",$AP1266&gt;0),$AP1266-$AI1266-$AQ1266-$AR1266,0),0)</f>
        <v>12.4254</v>
      </c>
      <c r="AT1266" s="153" t="n">
        <f aca="false">IFERROR(IF($N1266="VCA",INDEX(APOIO_REDES!$A:$W,MATCH($C1266&amp;$I1266&amp;$H1266&amp;$N1266&amp;$O1266,APOIO_REDES!$W:$W,0),MATCH(AT$5,APOIO_REDES!$5:$5,0)),0)*$AP1266,0)</f>
        <v>0.204740818358782</v>
      </c>
      <c r="AU1266" s="153" t="n">
        <f aca="false">IFERROR(IF($N1266="VCA",INDEX(APOIO_REDES!$A:$W,MATCH($C1266&amp;$I1266&amp;$H1266&amp;$N1266&amp;$O1266,APOIO_REDES!$W:$W,0),MATCH(AU$5,APOIO_REDES!$5:$5,0)),0)*$AP1266,0)</f>
        <v>0.163500472456732</v>
      </c>
      <c r="AV1266" s="153" t="n">
        <f aca="false">IFERROR(IF($N1266="VCA",INDEX(APOIO_REDES!$A:$W,MATCH($C1266&amp;$I1266&amp;$H1266&amp;$N1266&amp;$O1266,APOIO_REDES!$W:$W,0),MATCH(AV$5,APOIO_REDES!$5:$5,0)),0)*$AP1266,0)</f>
        <v>0.0226271818589782</v>
      </c>
      <c r="AW1266" s="153" t="n">
        <f aca="false">IFERROR(IF($N1266="VCA",INDEX(APOIO_REDES!$A:$W,MATCH($C1266&amp;$I1266&amp;$H1266&amp;$N1266&amp;$O1266,APOIO_REDES!$W:$W,0),MATCH(AW$5,APOIO_REDES!$5:$5,0)),0)*$AP1266,0)</f>
        <v>12.9165313449093</v>
      </c>
      <c r="AX1266" s="153" t="n">
        <f aca="false">IFERROR(IF($N1266="VCA",INDEX(APOIO_REDES!$A:$W,MATCH($C1266&amp;$I1266&amp;$H1266&amp;$N1266&amp;$O1266,APOIO_REDES!$W:$W,0),MATCH(AX$5,APOIO_REDES!$5:$5,0)),0)*$AP1266,0)</f>
        <v>1.78761114469945</v>
      </c>
      <c r="AY1266" s="153" t="n">
        <f aca="false">IFERROR(IF($N1266="VCA",INDEX(APOIO_REDES!$A:$W,MATCH($C1266&amp;$I1266&amp;$H1266&amp;$N1266&amp;$O1266,APOIO_REDES!$W:$W,0),MATCH(AY$5,APOIO_REDES!$5:$5,0)),0)*$AP1266,0)</f>
        <v>3.27000745607714</v>
      </c>
      <c r="AZ1266" s="153" t="n">
        <f aca="false">IFERROR(IF($N1266="VCA",INDEX(APOIO_REDES!$A:$W,MATCH($C1266&amp;$I1266&amp;$H1266&amp;$N1266&amp;$O1266,APOIO_REDES!$W:$W,0),MATCH(AZ$5,APOIO_REDES!$5:$5,0)),0)*$AP1266,0)</f>
        <v>0.452559581639608</v>
      </c>
      <c r="BA1266" s="153" t="n">
        <f aca="false">IFERROR(IF(AND($N1266="VCA",$Q1266="LINEAR"),INDEX(APOIO_REDES!$A:$W,MATCH($C1266&amp;$I1266&amp;$H1266&amp;$N1266&amp;$O1266,APOIO_REDES!$W:$W,0),MATCH(BA$5,APOIO_REDES!$5:$5,0)),IF(AND($N1266="MND",$Q1266="EMBOQUE"),INDEX(APOIO_REDES!$A:$W,MATCH($C1266&amp;$I1266&amp;$H1266&amp;$N1266&amp;$O1266,APOIO_REDES!$W:$W,0),MATCH(BA$5,APOIO_REDES!$5:$5,0)),0))*$M1266/10,0)</f>
        <v>1.71189042379453</v>
      </c>
      <c r="BB1266" s="153" t="n">
        <f aca="false">IFERROR(IF($N1266="VCA",INDEX(APOIO_REDES!$A:$W,MATCH($C1266&amp;$I1266&amp;$H1266&amp;$N1266&amp;$O1266,APOIO_REDES!$W:$W,0),MATCH(BB$5,APOIO_REDES!$5:$5,0)),0)*($AI1266+$AQ1266+$AR1266),0)</f>
        <v>6.32262921137189</v>
      </c>
      <c r="BC1266" s="153" t="n">
        <f aca="false">IFERROR(IF($N1266="VCA",INDEX(APOIO_REDES!$A:$W,MATCH($C1266&amp;$I1266&amp;$H1266&amp;$N1266&amp;$O1266,APOIO_REDES!$W:$W,0),MATCH(BC$5,APOIO_REDES!$5:$5,0)),0)*($AI1266+$AQ1266+$AR1266),0)</f>
        <v>0.0695487886281117</v>
      </c>
      <c r="BD1266" s="153" t="n">
        <f aca="false">IF(AND($N1266="VCA",$AF1266&gt;=1.25,$AF1266&lt;1.5),$M1266*$AF1266*2,0)</f>
        <v>57.90024</v>
      </c>
      <c r="BE1266" s="153" t="n">
        <f aca="false">IF(AND($N1266="VCA",$AF1266&gt;=1.5,$AF1266&lt;3),$M1266*$AF1266*2,0)</f>
        <v>0</v>
      </c>
      <c r="BF1266" s="153" t="n">
        <f aca="false">IF(AND($N1266="VCA",$AF1266&gt;=3),$M1266*$AF1266*2,0)</f>
        <v>0</v>
      </c>
      <c r="BG1266" s="153" t="n">
        <f aca="false">($BB1266+$BC1266)*$AK1266</f>
        <v>17.8980984</v>
      </c>
      <c r="BH1266" s="153" t="n">
        <f aca="false">IF(AND($M1266&lt;&gt;"",$N1266="VCA",$Q1266="LINEAR"),($M1266*2)/100,IF(AND($M1266&lt;&gt;"",$N1266="MND",$Q1266="EMBOQUE"),($AN1266*2)/100,0))</f>
        <v>0.4248</v>
      </c>
      <c r="BI1266" s="153" t="n">
        <f aca="false">IF(AND($M1266&lt;&gt;"",$N1266="VCA",$Q1266="LINEAR"),$M1266,IF(AND($M1266&lt;&gt;"",$N1266="MND",$Q1266="EMBOQUE"),$AN1266*2,0))</f>
        <v>21.24</v>
      </c>
      <c r="BJ1266" s="153" t="n">
        <f aca="false">IF(AND($M1266&lt;&gt;"",$N1266="VCA",$Q1266="LINEAR"),($M1266*6.8)/100,IF(AND($M1266&lt;&gt;"",$N1266="MND",$Q1266="EMBOQUE"),($AN1266*2*6.8)/100,0))</f>
        <v>1.44432</v>
      </c>
      <c r="BK1266" s="153" t="n">
        <f aca="false">IF(AND($M1266&lt;&gt;"",$N1266="VCA",$Q1266="LINEAR"),($M1266*2.5)/50,IF(AND($M1266&lt;&gt;"",$N1266="MND",$Q1266="EMBOQUE"),($AN1266*2*2.5)/50,0))</f>
        <v>1.062</v>
      </c>
      <c r="BL1266" s="157" t="str">
        <f aca="false">K1266&amp;J1266</f>
        <v>Zona11REDES</v>
      </c>
      <c r="BM1266" s="152" t="s">
        <v>6084</v>
      </c>
      <c r="BN1266" s="152" t="s">
        <v>1560</v>
      </c>
      <c r="BO1266" s="152" t="s">
        <v>4803</v>
      </c>
      <c r="BP1266" s="152" t="s">
        <v>6332</v>
      </c>
      <c r="BQ1266" s="152" t="s">
        <v>6336</v>
      </c>
      <c r="BR1266" s="152" t="s">
        <v>6340</v>
      </c>
      <c r="BS1266" s="152" t="n">
        <v>205047.669</v>
      </c>
      <c r="BT1266" s="152" t="n">
        <v>8236483.833</v>
      </c>
      <c r="BU1266" s="152" t="n">
        <v>205057.298</v>
      </c>
      <c r="BV1266" s="152" t="n">
        <v>8236464.903</v>
      </c>
      <c r="BW1266" s="152" t="n">
        <v>-15.9334856</v>
      </c>
      <c r="BX1266" s="152" t="n">
        <v>-47.7549181</v>
      </c>
      <c r="BY1266" s="152" t="s">
        <v>6332</v>
      </c>
    </row>
    <row r="1267" customFormat="false" ht="13.8" hidden="false" customHeight="false" outlineLevel="0" collapsed="false">
      <c r="A1267" s="149" t="n">
        <f aca="false">IF(C1267&lt;&gt;"",ROW(A1262),"")</f>
        <v>1262</v>
      </c>
      <c r="B1267" s="150" t="str">
        <f aca="false">HYPERLINK("https://www.google.com/maps/dir/-15.917302,-47.760003/-15.9328042,-47.7539350/data=!4m3!4m2!3e0!5i1")</f>
        <v>https://www.google.com/maps/dir/-15.917302,-47.760003/-15.9328042,-47.7539350/data=!4m3!4m2!3e0!5i1</v>
      </c>
      <c r="C1267" s="151" t="s">
        <v>117</v>
      </c>
      <c r="D1267" s="152" t="s">
        <v>112</v>
      </c>
      <c r="E1267" s="152" t="s">
        <v>113</v>
      </c>
      <c r="F1267" s="152" t="s">
        <v>117</v>
      </c>
      <c r="G1267" s="152" t="s">
        <v>782</v>
      </c>
      <c r="H1267" s="152" t="n">
        <v>63</v>
      </c>
      <c r="I1267" s="152" t="s">
        <v>115</v>
      </c>
      <c r="J1267" s="152" t="s">
        <v>6</v>
      </c>
      <c r="K1267" s="152" t="s">
        <v>6081</v>
      </c>
      <c r="L1267" s="152" t="s">
        <v>120</v>
      </c>
      <c r="M1267" s="153" t="n">
        <f aca="false">204.36+4</f>
        <v>208.36</v>
      </c>
      <c r="N1267" s="152" t="s">
        <v>1548</v>
      </c>
      <c r="O1267" s="152" t="s">
        <v>1549</v>
      </c>
      <c r="P1267" s="152" t="s">
        <v>1550</v>
      </c>
      <c r="Q1267" s="152" t="s">
        <v>1551</v>
      </c>
      <c r="R1267" s="154" t="s">
        <v>6341</v>
      </c>
      <c r="S1267" s="154" t="s">
        <v>1553</v>
      </c>
      <c r="T1267" s="155" t="s">
        <v>4801</v>
      </c>
      <c r="U1267" s="152" t="str">
        <f aca="false">RIGHT(T1267,7)</f>
        <v>021/037</v>
      </c>
      <c r="V1267" s="152" t="s">
        <v>1555</v>
      </c>
      <c r="W1267" s="156" t="n">
        <v>45882</v>
      </c>
      <c r="X1267" s="152" t="s">
        <v>3938</v>
      </c>
      <c r="Y1267" s="152" t="s">
        <v>3233</v>
      </c>
      <c r="Z1267" s="152" t="s">
        <v>1557</v>
      </c>
      <c r="AA1267" s="153" t="n">
        <v>2.7</v>
      </c>
      <c r="AB1267" s="151" t="s">
        <v>6342</v>
      </c>
      <c r="AC1267" s="151" t="s">
        <v>186</v>
      </c>
      <c r="AD1267" s="151" t="str">
        <f aca="false">CONCATENATE($C1267,$I1267,$H1267,$N1267,$J1267,$K1267)</f>
        <v>TUBO PEADPEAD63VCAREDESZona11</v>
      </c>
      <c r="AE1267" s="153" t="n">
        <f aca="false">IFERROR(INDEX(APOIO_REDES!$A:$W,MATCH($C1267&amp;$I1267&amp;$H1267&amp;$N1267&amp;$O1267,APOIO_REDES!$W:$W,0),MATCH(AE$5,APOIO_REDES!$5:$5,0)),0)</f>
        <v>1.2</v>
      </c>
      <c r="AF1267" s="153" t="n">
        <f aca="false">IFERROR(INDEX(APOIO_REDES!$A:$W,MATCH($C1267&amp;$I1267&amp;$H1267&amp;$N1267&amp;$O1267,APOIO_REDES!$W:$W,0),MATCH(AF$5,APOIO_REDES!$5:$5,0)),0)</f>
        <v>1.363</v>
      </c>
      <c r="AG1267" s="153" t="n">
        <f aca="false">IFERROR(INDEX(APOIO_REDES!$A:$W,MATCH($C1267&amp;$I1267&amp;$H1267&amp;$N1267&amp;$O1267,APOIO_REDES!$W:$W,0),MATCH(AG$5,APOIO_REDES!$5:$5,0)),0)</f>
        <v>0.65</v>
      </c>
      <c r="AH1267" s="153" t="n">
        <f aca="false">IFERROR(INDEX(APOIO_REDES!$A:$W,MATCH($C1267&amp;$I1267&amp;$H1267&amp;$N1267&amp;$O1267,APOIO_REDES!$W:$W,0),MATCH(AH$5,APOIO_REDES!$5:$5,0)),0)</f>
        <v>0.1</v>
      </c>
      <c r="AI1267" s="153" t="n">
        <f aca="false">IFERROR(IF($H1267&lt;&gt;"",(((($H1267/1000)/2)^2)*PI()*$M1267),0),0)</f>
        <v>0.649509232900879</v>
      </c>
      <c r="AJ1267" s="153" t="n">
        <f aca="false">IFERROR(IF(AND($H1267&lt;&gt;"",$I1267="FoFo",OR($N1267="MND",$N1267="VCA"),$Q1267="LINEAR"),0,IF(AND($H1267&lt;&gt;"",$I1267="PEAD",$N1267="VCA",$Q1267="LINEAR"),($H1267/1000)+0.3,IF(AND($H1267&lt;&gt;"",$I1267="PEAD",$N1267="MND",$Q1267="EMBOQUE"),0,IF(AND($H1267&lt;&gt;"",$I1267="PVC",$N1267="VCA",$Q1267="LINEAR"),($H1267/1000)+0.2,IF(AND($H1267&lt;&gt;"",$I1267="PVC",$N1267="MND",$Q1267="EMBOQUE"),0,IF(AND($H1267&lt;&gt;"",$I1267="PEAD",$N1267="VCA",$Q1267="PREDIAL"),0,0)))))),0)</f>
        <v>0.363</v>
      </c>
      <c r="AK1267" s="153" t="n">
        <f aca="false">IF(AA1267&lt;&gt;"",AA1267,0)</f>
        <v>2.7</v>
      </c>
      <c r="AL1267" s="153" t="n">
        <f aca="false">IF(AND($N1267="MND",$Q1267="EMBOQUE"),$M1267,IF(AND($N1267="VCA",$Q1267="LINEAR"),$M1267,IF(AND($N1267="VCA",$Q1267="PREDIAL"),0,0)))</f>
        <v>208.36</v>
      </c>
      <c r="AM1267" s="153" t="n">
        <f aca="false">IF(AND($N1267="MND",$Q1267="EMBOQUE"),$M1267,IF(AND($N1267="VCA",$Q1267="LINEAR"),$M1267,IF(AND($N1267="VCA",$Q1267="PREDIAL"),0,0)))</f>
        <v>208.36</v>
      </c>
      <c r="AN1267" s="153" t="n">
        <f aca="false">ROUND(IF(AND($N1267="VCA",$M1267&lt;&gt;"",$Q1267="LINEAR"),$M1267/100,IF(AND($N1267="MND",$M1267&gt;100,$Q1267="EMBOQUE"),$M1267/100,0)),0)</f>
        <v>2</v>
      </c>
      <c r="AO1267" s="153" t="n">
        <f aca="false">IF(AND($N1267="MND",$Q1267="EMBOQUE"),$AN1267*2*2,IF(AND($N1267="VCA",$Q1267="LINEAR"),$M1267*2,IF(AND($N1267="VCA",$Q1267="PREDIAL"),0,0)))</f>
        <v>416.72</v>
      </c>
      <c r="AP1267" s="153" t="n">
        <f aca="false">IFERROR($M1267*$AF1267*$AG1267,0)</f>
        <v>184.596542</v>
      </c>
      <c r="AQ1267" s="153" t="n">
        <f aca="false">IFERROR(IF(AND($N1267="VCA",$AH1267&gt;0),$M1267*$AG1267*$AH1267,0),0)</f>
        <v>13.5434</v>
      </c>
      <c r="AR1267" s="153" t="n">
        <f aca="false">IFERROR(IF(AND($N1267="VCA",$AJ1267&gt;0),($M1267*$AG1267*$AJ1267)-$AI1267,0),0)</f>
        <v>48.5130327670991</v>
      </c>
      <c r="AS1267" s="153" t="n">
        <f aca="false">IFERROR(IF(AND($N1267="VCA",$AP1267&gt;0),$AP1267-$AI1267-$AQ1267-$AR1267,0),0)</f>
        <v>121.8906</v>
      </c>
      <c r="AT1267" s="153" t="n">
        <f aca="false">IFERROR(IF($N1267="VCA",INDEX(APOIO_REDES!$A:$W,MATCH($C1267&amp;$I1267&amp;$H1267&amp;$N1267&amp;$O1267,APOIO_REDES!$W:$W,0),MATCH(AT$5,APOIO_REDES!$5:$5,0)),0)*$AP1267,0)</f>
        <v>2.00846501474745</v>
      </c>
      <c r="AU1267" s="153" t="n">
        <f aca="false">IFERROR(IF($N1267="VCA",INDEX(APOIO_REDES!$A:$W,MATCH($C1267&amp;$I1267&amp;$H1267&amp;$N1267&amp;$O1267,APOIO_REDES!$W:$W,0),MATCH(AU$5,APOIO_REDES!$5:$5,0)),0)*$AP1267,0)</f>
        <v>1.60390576464617</v>
      </c>
      <c r="AV1267" s="153" t="n">
        <f aca="false">IFERROR(IF($N1267="VCA",INDEX(APOIO_REDES!$A:$W,MATCH($C1267&amp;$I1267&amp;$H1267&amp;$N1267&amp;$O1267,APOIO_REDES!$W:$W,0),MATCH(AV$5,APOIO_REDES!$5:$5,0)),0)*$AP1267,0)</f>
        <v>0.221967966673103</v>
      </c>
      <c r="AW1267" s="153" t="n">
        <f aca="false">IFERROR(IF($N1267="VCA",INDEX(APOIO_REDES!$A:$W,MATCH($C1267&amp;$I1267&amp;$H1267&amp;$N1267&amp;$O1267,APOIO_REDES!$W:$W,0),MATCH(AW$5,APOIO_REDES!$5:$5,0)),0)*$AP1267,0)</f>
        <v>126.708496752604</v>
      </c>
      <c r="AX1267" s="153" t="n">
        <f aca="false">IFERROR(IF($N1267="VCA",INDEX(APOIO_REDES!$A:$W,MATCH($C1267&amp;$I1267&amp;$H1267&amp;$N1267&amp;$O1267,APOIO_REDES!$W:$W,0),MATCH(AX$5,APOIO_REDES!$5:$5,0)),0)*$AP1267,0)</f>
        <v>17.5360950145752</v>
      </c>
      <c r="AY1267" s="153" t="n">
        <f aca="false">IFERROR(IF($N1267="VCA",INDEX(APOIO_REDES!$A:$W,MATCH($C1267&amp;$I1267&amp;$H1267&amp;$N1267&amp;$O1267,APOIO_REDES!$W:$W,0),MATCH(AY$5,APOIO_REDES!$5:$5,0)),0)*$AP1267,0)</f>
        <v>32.0780957414422</v>
      </c>
      <c r="AZ1267" s="153" t="n">
        <f aca="false">IFERROR(IF($N1267="VCA",INDEX(APOIO_REDES!$A:$W,MATCH($C1267&amp;$I1267&amp;$H1267&amp;$N1267&amp;$O1267,APOIO_REDES!$W:$W,0),MATCH(AZ$5,APOIO_REDES!$5:$5,0)),0)*$AP1267,0)</f>
        <v>4.43951574531209</v>
      </c>
      <c r="BA1267" s="153" t="n">
        <f aca="false">IFERROR(IF(AND($N1267="VCA",$Q1267="LINEAR"),INDEX(APOIO_REDES!$A:$W,MATCH($C1267&amp;$I1267&amp;$H1267&amp;$N1267&amp;$O1267,APOIO_REDES!$W:$W,0),MATCH(BA$5,APOIO_REDES!$5:$5,0)),IF(AND($N1267="MND",$Q1267="EMBOQUE"),INDEX(APOIO_REDES!$A:$W,MATCH($C1267&amp;$I1267&amp;$H1267&amp;$N1267&amp;$O1267,APOIO_REDES!$W:$W,0),MATCH(BA$5,APOIO_REDES!$5:$5,0)),0))*$M1267/10,0)</f>
        <v>16.793290428523</v>
      </c>
      <c r="BB1267" s="153" t="n">
        <f aca="false">IFERROR(IF($N1267="VCA",INDEX(APOIO_REDES!$A:$W,MATCH($C1267&amp;$I1267&amp;$H1267&amp;$N1267&amp;$O1267,APOIO_REDES!$W:$W,0),MATCH(BB$5,APOIO_REDES!$5:$5,0)),0)*($AI1267+$AQ1267+$AR1267),0)</f>
        <v>62.0236827910286</v>
      </c>
      <c r="BC1267" s="153" t="n">
        <f aca="false">IFERROR(IF($N1267="VCA",INDEX(APOIO_REDES!$A:$W,MATCH($C1267&amp;$I1267&amp;$H1267&amp;$N1267&amp;$O1267,APOIO_REDES!$W:$W,0),MATCH(BC$5,APOIO_REDES!$5:$5,0)),0)*($AI1267+$AQ1267+$AR1267),0)</f>
        <v>0.682259208971438</v>
      </c>
      <c r="BD1267" s="153" t="n">
        <f aca="false">IF(AND($N1267="VCA",$AF1267&gt;=1.25,$AF1267&lt;1.5),$M1267*$AF1267*2,0)</f>
        <v>567.98936</v>
      </c>
      <c r="BE1267" s="153" t="n">
        <f aca="false">IF(AND($N1267="VCA",$AF1267&gt;=1.5,$AF1267&lt;3),$M1267*$AF1267*2,0)</f>
        <v>0</v>
      </c>
      <c r="BF1267" s="153" t="n">
        <f aca="false">IF(AND($N1267="VCA",$AF1267&gt;=3),$M1267*$AF1267*2,0)</f>
        <v>0</v>
      </c>
      <c r="BG1267" s="153" t="n">
        <f aca="false">($BB1267+$BC1267)*$AK1267</f>
        <v>169.3060434</v>
      </c>
      <c r="BH1267" s="153" t="n">
        <f aca="false">IF(AND($M1267&lt;&gt;"",$N1267="VCA",$Q1267="LINEAR"),($M1267*2)/100,IF(AND($M1267&lt;&gt;"",$N1267="MND",$Q1267="EMBOQUE"),($AN1267*2)/100,0))</f>
        <v>4.1672</v>
      </c>
      <c r="BI1267" s="153" t="n">
        <f aca="false">IF(AND($M1267&lt;&gt;"",$N1267="VCA",$Q1267="LINEAR"),$M1267,IF(AND($M1267&lt;&gt;"",$N1267="MND",$Q1267="EMBOQUE"),$AN1267*2,0))</f>
        <v>208.36</v>
      </c>
      <c r="BJ1267" s="153" t="n">
        <f aca="false">IF(AND($M1267&lt;&gt;"",$N1267="VCA",$Q1267="LINEAR"),($M1267*6.8)/100,IF(AND($M1267&lt;&gt;"",$N1267="MND",$Q1267="EMBOQUE"),($AN1267*2*6.8)/100,0))</f>
        <v>14.16848</v>
      </c>
      <c r="BK1267" s="153" t="n">
        <f aca="false">IF(AND($M1267&lt;&gt;"",$N1267="VCA",$Q1267="LINEAR"),($M1267*2.5)/50,IF(AND($M1267&lt;&gt;"",$N1267="MND",$Q1267="EMBOQUE"),($AN1267*2*2.5)/50,0))</f>
        <v>10.418</v>
      </c>
      <c r="BL1267" s="157" t="str">
        <f aca="false">K1267&amp;J1267</f>
        <v>Zona11REDES</v>
      </c>
      <c r="BM1267" s="152" t="s">
        <v>6084</v>
      </c>
      <c r="BN1267" s="152" t="s">
        <v>1560</v>
      </c>
      <c r="BO1267" s="152" t="s">
        <v>4803</v>
      </c>
      <c r="BP1267" s="152" t="s">
        <v>6329</v>
      </c>
      <c r="BQ1267" s="152" t="s">
        <v>6343</v>
      </c>
      <c r="BR1267" s="152" t="s">
        <v>6326</v>
      </c>
      <c r="BS1267" s="152" t="n">
        <v>205156.818</v>
      </c>
      <c r="BT1267" s="152" t="n">
        <v>8236551.204</v>
      </c>
      <c r="BU1267" s="152" t="n">
        <v>205273.413</v>
      </c>
      <c r="BV1267" s="152" t="n">
        <v>8236383.922</v>
      </c>
      <c r="BW1267" s="152" t="n">
        <v>-15.9335949</v>
      </c>
      <c r="BX1267" s="152" t="n">
        <v>-47.7534432</v>
      </c>
      <c r="BY1267" s="152" t="s">
        <v>6329</v>
      </c>
    </row>
    <row r="1268" customFormat="false" ht="13.8" hidden="false" customHeight="false" outlineLevel="0" collapsed="false">
      <c r="A1268" s="149" t="n">
        <f aca="false">IF(C1268&lt;&gt;"",ROW(A1263),"")</f>
        <v>1263</v>
      </c>
      <c r="B1268" s="150" t="str">
        <f aca="false">HYPERLINK("https://www.google.com/maps/dir/-15.917302,-47.760003/-15.9335716,-47.7548744/data=!4m3!4m2!3e0!5i1")</f>
        <v>https://www.google.com/maps/dir/-15.917302,-47.760003/-15.9335716,-47.7548744/data=!4m3!4m2!3e0!5i1</v>
      </c>
      <c r="C1268" s="151" t="s">
        <v>117</v>
      </c>
      <c r="D1268" s="152" t="s">
        <v>112</v>
      </c>
      <c r="E1268" s="152" t="s">
        <v>113</v>
      </c>
      <c r="F1268" s="152" t="s">
        <v>117</v>
      </c>
      <c r="G1268" s="152" t="s">
        <v>782</v>
      </c>
      <c r="H1268" s="152" t="n">
        <v>63</v>
      </c>
      <c r="I1268" s="152" t="s">
        <v>115</v>
      </c>
      <c r="J1268" s="152" t="s">
        <v>6</v>
      </c>
      <c r="K1268" s="152" t="s">
        <v>6081</v>
      </c>
      <c r="L1268" s="152" t="s">
        <v>120</v>
      </c>
      <c r="M1268" s="153" t="n">
        <f aca="false">6.73</f>
        <v>6.73</v>
      </c>
      <c r="N1268" s="152" t="s">
        <v>1548</v>
      </c>
      <c r="O1268" s="152" t="s">
        <v>1549</v>
      </c>
      <c r="P1268" s="152" t="s">
        <v>1550</v>
      </c>
      <c r="Q1268" s="152" t="s">
        <v>1551</v>
      </c>
      <c r="R1268" s="154" t="s">
        <v>6344</v>
      </c>
      <c r="S1268" s="154" t="s">
        <v>1553</v>
      </c>
      <c r="T1268" s="155" t="s">
        <v>4801</v>
      </c>
      <c r="U1268" s="152" t="str">
        <f aca="false">RIGHT(T1268,7)</f>
        <v>021/037</v>
      </c>
      <c r="V1268" s="152" t="s">
        <v>1555</v>
      </c>
      <c r="W1268" s="156" t="n">
        <v>45882</v>
      </c>
      <c r="X1268" s="152" t="s">
        <v>3938</v>
      </c>
      <c r="Y1268" s="152" t="s">
        <v>3233</v>
      </c>
      <c r="Z1268" s="152" t="s">
        <v>1557</v>
      </c>
      <c r="AA1268" s="153" t="n">
        <v>2.8</v>
      </c>
      <c r="AB1268" s="151" t="s">
        <v>6345</v>
      </c>
      <c r="AC1268" s="151" t="s">
        <v>186</v>
      </c>
      <c r="AD1268" s="151" t="str">
        <f aca="false">CONCATENATE($C1268,$I1268,$H1268,$N1268,$J1268,$K1268)</f>
        <v>TUBO PEADPEAD63VCAREDESZona11</v>
      </c>
      <c r="AE1268" s="153" t="n">
        <f aca="false">IFERROR(INDEX(APOIO_REDES!$A:$W,MATCH($C1268&amp;$I1268&amp;$H1268&amp;$N1268&amp;$O1268,APOIO_REDES!$W:$W,0),MATCH(AE$5,APOIO_REDES!$5:$5,0)),0)</f>
        <v>1.2</v>
      </c>
      <c r="AF1268" s="153" t="n">
        <f aca="false">IFERROR(INDEX(APOIO_REDES!$A:$W,MATCH($C1268&amp;$I1268&amp;$H1268&amp;$N1268&amp;$O1268,APOIO_REDES!$W:$W,0),MATCH(AF$5,APOIO_REDES!$5:$5,0)),0)</f>
        <v>1.363</v>
      </c>
      <c r="AG1268" s="153" t="n">
        <f aca="false">IFERROR(INDEX(APOIO_REDES!$A:$W,MATCH($C1268&amp;$I1268&amp;$H1268&amp;$N1268&amp;$O1268,APOIO_REDES!$W:$W,0),MATCH(AG$5,APOIO_REDES!$5:$5,0)),0)</f>
        <v>0.65</v>
      </c>
      <c r="AH1268" s="153" t="n">
        <f aca="false">IFERROR(INDEX(APOIO_REDES!$A:$W,MATCH($C1268&amp;$I1268&amp;$H1268&amp;$N1268&amp;$O1268,APOIO_REDES!$W:$W,0),MATCH(AH$5,APOIO_REDES!$5:$5,0)),0)</f>
        <v>0.1</v>
      </c>
      <c r="AI1268" s="153" t="n">
        <f aca="false">IFERROR(IF($H1268&lt;&gt;"",(((($H1268/1000)/2)^2)*PI()*$M1268),0),0)</f>
        <v>0.0209790609398297</v>
      </c>
      <c r="AJ1268" s="153" t="n">
        <f aca="false">IFERROR(IF(AND($H1268&lt;&gt;"",$I1268="FoFo",OR($N1268="MND",$N1268="VCA"),$Q1268="LINEAR"),0,IF(AND($H1268&lt;&gt;"",$I1268="PEAD",$N1268="VCA",$Q1268="LINEAR"),($H1268/1000)+0.3,IF(AND($H1268&lt;&gt;"",$I1268="PEAD",$N1268="MND",$Q1268="EMBOQUE"),0,IF(AND($H1268&lt;&gt;"",$I1268="PVC",$N1268="VCA",$Q1268="LINEAR"),($H1268/1000)+0.2,IF(AND($H1268&lt;&gt;"",$I1268="PVC",$N1268="MND",$Q1268="EMBOQUE"),0,IF(AND($H1268&lt;&gt;"",$I1268="PEAD",$N1268="VCA",$Q1268="PREDIAL"),0,0)))))),0)</f>
        <v>0.363</v>
      </c>
      <c r="AK1268" s="153" t="n">
        <f aca="false">IF(AA1268&lt;&gt;"",AA1268,0)</f>
        <v>2.8</v>
      </c>
      <c r="AL1268" s="153" t="n">
        <f aca="false">IF(AND($N1268="MND",$Q1268="EMBOQUE"),$M1268,IF(AND($N1268="VCA",$Q1268="LINEAR"),$M1268,IF(AND($N1268="VCA",$Q1268="PREDIAL"),0,0)))</f>
        <v>6.73</v>
      </c>
      <c r="AM1268" s="153" t="n">
        <f aca="false">IF(AND($N1268="MND",$Q1268="EMBOQUE"),$M1268,IF(AND($N1268="VCA",$Q1268="LINEAR"),$M1268,IF(AND($N1268="VCA",$Q1268="PREDIAL"),0,0)))</f>
        <v>6.73</v>
      </c>
      <c r="AN1268" s="153" t="n">
        <f aca="false">ROUND(IF(AND($N1268="VCA",$M1268&lt;&gt;"",$Q1268="LINEAR"),$M1268/100,IF(AND($N1268="MND",$M1268&gt;100,$Q1268="EMBOQUE"),$M1268/100,0)),0)</f>
        <v>0</v>
      </c>
      <c r="AO1268" s="153" t="n">
        <f aca="false">IF(AND($N1268="MND",$Q1268="EMBOQUE"),$AN1268*2*2,IF(AND($N1268="VCA",$Q1268="LINEAR"),$M1268*2,IF(AND($N1268="VCA",$Q1268="PREDIAL"),0,0)))</f>
        <v>13.46</v>
      </c>
      <c r="AP1268" s="153" t="n">
        <f aca="false">IFERROR($M1268*$AF1268*$AG1268,0)</f>
        <v>5.9624435</v>
      </c>
      <c r="AQ1268" s="153" t="n">
        <f aca="false">IFERROR(IF(AND($N1268="VCA",$AH1268&gt;0),$M1268*$AG1268*$AH1268,0),0)</f>
        <v>0.43745</v>
      </c>
      <c r="AR1268" s="153" t="n">
        <f aca="false">IFERROR(IF(AND($N1268="VCA",$AJ1268&gt;0),($M1268*$AG1268*$AJ1268)-$AI1268,0),0)</f>
        <v>1.56696443906017</v>
      </c>
      <c r="AS1268" s="153" t="n">
        <f aca="false">IFERROR(IF(AND($N1268="VCA",$AP1268&gt;0),$AP1268-$AI1268-$AQ1268-$AR1268,0),0)</f>
        <v>3.93705</v>
      </c>
      <c r="AT1268" s="153" t="n">
        <f aca="false">IFERROR(IF($N1268="VCA",INDEX(APOIO_REDES!$A:$W,MATCH($C1268&amp;$I1268&amp;$H1268&amp;$N1268&amp;$O1268,APOIO_REDES!$W:$W,0),MATCH(AT$5,APOIO_REDES!$5:$5,0)),0)*$AP1268,0)</f>
        <v>0.0648731500731923</v>
      </c>
      <c r="AU1268" s="153" t="n">
        <f aca="false">IFERROR(IF($N1268="VCA",INDEX(APOIO_REDES!$A:$W,MATCH($C1268&amp;$I1268&amp;$H1268&amp;$N1268&amp;$O1268,APOIO_REDES!$W:$W,0),MATCH(AU$5,APOIO_REDES!$5:$5,0)),0)*$AP1268,0)</f>
        <v>0.0518059406607254</v>
      </c>
      <c r="AV1268" s="153" t="n">
        <f aca="false">IFERROR(IF($N1268="VCA",INDEX(APOIO_REDES!$A:$W,MATCH($C1268&amp;$I1268&amp;$H1268&amp;$N1268&amp;$O1268,APOIO_REDES!$W:$W,0),MATCH(AV$5,APOIO_REDES!$5:$5,0)),0)*$AP1268,0)</f>
        <v>0.00716953549486457</v>
      </c>
      <c r="AW1268" s="153" t="n">
        <f aca="false">IFERROR(IF($N1268="VCA",INDEX(APOIO_REDES!$A:$W,MATCH($C1268&amp;$I1268&amp;$H1268&amp;$N1268&amp;$O1268,APOIO_REDES!$W:$W,0),MATCH(AW$5,APOIO_REDES!$5:$5,0)),0)*$AP1268,0)</f>
        <v>4.09266741766665</v>
      </c>
      <c r="AX1268" s="153" t="n">
        <f aca="false">IFERROR(IF($N1268="VCA",INDEX(APOIO_REDES!$A:$W,MATCH($C1268&amp;$I1268&amp;$H1268&amp;$N1268&amp;$O1268,APOIO_REDES!$W:$W,0),MATCH(AX$5,APOIO_REDES!$5:$5,0)),0)*$AP1268,0)</f>
        <v>0.566413512421249</v>
      </c>
      <c r="AY1268" s="153" t="n">
        <f aca="false">IFERROR(IF($N1268="VCA",INDEX(APOIO_REDES!$A:$W,MATCH($C1268&amp;$I1268&amp;$H1268&amp;$N1268&amp;$O1268,APOIO_REDES!$W:$W,0),MATCH(AY$5,APOIO_REDES!$5:$5,0)),0)*$AP1268,0)</f>
        <v>1.03611818170429</v>
      </c>
      <c r="AZ1268" s="153" t="n">
        <f aca="false">IFERROR(IF($N1268="VCA",INDEX(APOIO_REDES!$A:$W,MATCH($C1268&amp;$I1268&amp;$H1268&amp;$N1268&amp;$O1268,APOIO_REDES!$W:$W,0),MATCH(AZ$5,APOIO_REDES!$5:$5,0)),0)*$AP1268,0)</f>
        <v>0.143395761979028</v>
      </c>
      <c r="BA1268" s="153" t="n">
        <f aca="false">IFERROR(IF(AND($N1268="VCA",$Q1268="LINEAR"),INDEX(APOIO_REDES!$A:$W,MATCH($C1268&amp;$I1268&amp;$H1268&amp;$N1268&amp;$O1268,APOIO_REDES!$W:$W,0),MATCH(BA$5,APOIO_REDES!$5:$5,0)),IF(AND($N1268="MND",$Q1268="EMBOQUE"),INDEX(APOIO_REDES!$A:$W,MATCH($C1268&amp;$I1268&amp;$H1268&amp;$N1268&amp;$O1268,APOIO_REDES!$W:$W,0),MATCH(BA$5,APOIO_REDES!$5:$5,0)),0))*$M1268/10,0)</f>
        <v>0.542421024111921</v>
      </c>
      <c r="BB1268" s="153" t="n">
        <f aca="false">IFERROR(IF($N1268="VCA",INDEX(APOIO_REDES!$A:$W,MATCH($C1268&amp;$I1268&amp;$H1268&amp;$N1268&amp;$O1268,APOIO_REDES!$W:$W,0),MATCH(BB$5,APOIO_REDES!$5:$5,0)),0)*($AI1268+$AQ1268+$AR1268),0)</f>
        <v>2.00335661923412</v>
      </c>
      <c r="BC1268" s="153" t="n">
        <f aca="false">IFERROR(IF($N1268="VCA",INDEX(APOIO_REDES!$A:$W,MATCH($C1268&amp;$I1268&amp;$H1268&amp;$N1268&amp;$O1268,APOIO_REDES!$W:$W,0),MATCH(BC$5,APOIO_REDES!$5:$5,0)),0)*($AI1268+$AQ1268+$AR1268),0)</f>
        <v>0.0220368807658753</v>
      </c>
      <c r="BD1268" s="153" t="n">
        <f aca="false">IF(AND($N1268="VCA",$AF1268&gt;=1.25,$AF1268&lt;1.5),$M1268*$AF1268*2,0)</f>
        <v>18.34598</v>
      </c>
      <c r="BE1268" s="153" t="n">
        <f aca="false">IF(AND($N1268="VCA",$AF1268&gt;=1.5,$AF1268&lt;3),$M1268*$AF1268*2,0)</f>
        <v>0</v>
      </c>
      <c r="BF1268" s="153" t="n">
        <f aca="false">IF(AND($N1268="VCA",$AF1268&gt;=3),$M1268*$AF1268*2,0)</f>
        <v>0</v>
      </c>
      <c r="BG1268" s="153" t="n">
        <f aca="false">($BB1268+$BC1268)*$AK1268</f>
        <v>5.6711018</v>
      </c>
      <c r="BH1268" s="153" t="n">
        <f aca="false">IF(AND($M1268&lt;&gt;"",$N1268="VCA",$Q1268="LINEAR"),($M1268*2)/100,IF(AND($M1268&lt;&gt;"",$N1268="MND",$Q1268="EMBOQUE"),($AN1268*2)/100,0))</f>
        <v>0.1346</v>
      </c>
      <c r="BI1268" s="153" t="n">
        <f aca="false">IF(AND($M1268&lt;&gt;"",$N1268="VCA",$Q1268="LINEAR"),$M1268,IF(AND($M1268&lt;&gt;"",$N1268="MND",$Q1268="EMBOQUE"),$AN1268*2,0))</f>
        <v>6.73</v>
      </c>
      <c r="BJ1268" s="153" t="n">
        <f aca="false">IF(AND($M1268&lt;&gt;"",$N1268="VCA",$Q1268="LINEAR"),($M1268*6.8)/100,IF(AND($M1268&lt;&gt;"",$N1268="MND",$Q1268="EMBOQUE"),($AN1268*2*6.8)/100,0))</f>
        <v>0.45764</v>
      </c>
      <c r="BK1268" s="153" t="n">
        <f aca="false">IF(AND($M1268&lt;&gt;"",$N1268="VCA",$Q1268="LINEAR"),($M1268*2.5)/50,IF(AND($M1268&lt;&gt;"",$N1268="MND",$Q1268="EMBOQUE"),($AN1268*2*2.5)/50,0))</f>
        <v>0.3365</v>
      </c>
      <c r="BL1268" s="157" t="str">
        <f aca="false">K1268&amp;J1268</f>
        <v>Zona11REDES</v>
      </c>
      <c r="BM1268" s="152" t="s">
        <v>6084</v>
      </c>
      <c r="BN1268" s="152" t="s">
        <v>1560</v>
      </c>
      <c r="BO1268" s="152" t="s">
        <v>4803</v>
      </c>
      <c r="BP1268" s="152" t="s">
        <v>6336</v>
      </c>
      <c r="BQ1268" s="152" t="s">
        <v>6346</v>
      </c>
      <c r="BR1268" s="152" t="s">
        <v>6347</v>
      </c>
      <c r="BS1268" s="152" t="n">
        <v>205057.298</v>
      </c>
      <c r="BT1268" s="152" t="n">
        <v>8236464.903</v>
      </c>
      <c r="BU1268" s="152" t="n">
        <v>205051.058</v>
      </c>
      <c r="BV1268" s="152" t="n">
        <v>8236462.384</v>
      </c>
      <c r="BW1268" s="152" t="n">
        <v>-15.9335826</v>
      </c>
      <c r="BX1268" s="152" t="n">
        <v>-47.7549036</v>
      </c>
      <c r="BY1268" s="152" t="s">
        <v>6336</v>
      </c>
    </row>
    <row r="1269" customFormat="false" ht="13.8" hidden="false" customHeight="false" outlineLevel="0" collapsed="false">
      <c r="A1269" s="149" t="n">
        <f aca="false">IF(C1269&lt;&gt;"",ROW(A1264),"")</f>
        <v>1264</v>
      </c>
      <c r="B1269" s="150" t="str">
        <f aca="false">HYPERLINK("https://www.google.com/maps/dir/-15.917302,-47.760003/-15.9335937,-47.7549329/data=!4m3!4m2!3e0!5i1")</f>
        <v>https://www.google.com/maps/dir/-15.917302,-47.760003/-15.9335937,-47.7549329/data=!4m3!4m2!3e0!5i1</v>
      </c>
      <c r="C1269" s="151" t="s">
        <v>117</v>
      </c>
      <c r="D1269" s="152" t="s">
        <v>112</v>
      </c>
      <c r="E1269" s="152" t="s">
        <v>113</v>
      </c>
      <c r="F1269" s="152" t="s">
        <v>117</v>
      </c>
      <c r="G1269" s="152" t="s">
        <v>782</v>
      </c>
      <c r="H1269" s="152" t="n">
        <v>63</v>
      </c>
      <c r="I1269" s="152" t="s">
        <v>115</v>
      </c>
      <c r="J1269" s="152" t="s">
        <v>6</v>
      </c>
      <c r="K1269" s="152" t="s">
        <v>6081</v>
      </c>
      <c r="L1269" s="152" t="s">
        <v>120</v>
      </c>
      <c r="M1269" s="153" t="n">
        <f aca="false">18.74</f>
        <v>18.74</v>
      </c>
      <c r="N1269" s="152" t="s">
        <v>1548</v>
      </c>
      <c r="O1269" s="152" t="s">
        <v>1549</v>
      </c>
      <c r="P1269" s="152" t="s">
        <v>1550</v>
      </c>
      <c r="Q1269" s="152" t="s">
        <v>1551</v>
      </c>
      <c r="R1269" s="154" t="s">
        <v>6348</v>
      </c>
      <c r="S1269" s="154" t="s">
        <v>1553</v>
      </c>
      <c r="T1269" s="155" t="s">
        <v>4801</v>
      </c>
      <c r="U1269" s="152" t="str">
        <f aca="false">RIGHT(T1269,7)</f>
        <v>021/037</v>
      </c>
      <c r="V1269" s="152" t="s">
        <v>1555</v>
      </c>
      <c r="W1269" s="156" t="n">
        <v>45882</v>
      </c>
      <c r="X1269" s="152" t="s">
        <v>3938</v>
      </c>
      <c r="Y1269" s="152" t="s">
        <v>3233</v>
      </c>
      <c r="Z1269" s="152" t="s">
        <v>1557</v>
      </c>
      <c r="AA1269" s="153" t="n">
        <v>2.8</v>
      </c>
      <c r="AB1269" s="151" t="s">
        <v>6349</v>
      </c>
      <c r="AC1269" s="151" t="s">
        <v>186</v>
      </c>
      <c r="AD1269" s="151" t="str">
        <f aca="false">CONCATENATE($C1269,$I1269,$H1269,$N1269,$J1269,$K1269)</f>
        <v>TUBO PEADPEAD63VCAREDESZona11</v>
      </c>
      <c r="AE1269" s="153" t="n">
        <f aca="false">IFERROR(INDEX(APOIO_REDES!$A:$W,MATCH($C1269&amp;$I1269&amp;$H1269&amp;$N1269&amp;$O1269,APOIO_REDES!$W:$W,0),MATCH(AE$5,APOIO_REDES!$5:$5,0)),0)</f>
        <v>1.2</v>
      </c>
      <c r="AF1269" s="153" t="n">
        <f aca="false">IFERROR(INDEX(APOIO_REDES!$A:$W,MATCH($C1269&amp;$I1269&amp;$H1269&amp;$N1269&amp;$O1269,APOIO_REDES!$W:$W,0),MATCH(AF$5,APOIO_REDES!$5:$5,0)),0)</f>
        <v>1.363</v>
      </c>
      <c r="AG1269" s="153" t="n">
        <f aca="false">IFERROR(INDEX(APOIO_REDES!$A:$W,MATCH($C1269&amp;$I1269&amp;$H1269&amp;$N1269&amp;$O1269,APOIO_REDES!$W:$W,0),MATCH(AG$5,APOIO_REDES!$5:$5,0)),0)</f>
        <v>0.65</v>
      </c>
      <c r="AH1269" s="153" t="n">
        <f aca="false">IFERROR(INDEX(APOIO_REDES!$A:$W,MATCH($C1269&amp;$I1269&amp;$H1269&amp;$N1269&amp;$O1269,APOIO_REDES!$W:$W,0),MATCH(AH$5,APOIO_REDES!$5:$5,0)),0)</f>
        <v>0.1</v>
      </c>
      <c r="AI1269" s="153" t="n">
        <f aca="false">IFERROR(IF($H1269&lt;&gt;"",(((($H1269/1000)/2)^2)*PI()*$M1269),0),0)</f>
        <v>0.0584171771192286</v>
      </c>
      <c r="AJ1269" s="153" t="n">
        <f aca="false">IFERROR(IF(AND($H1269&lt;&gt;"",$I1269="FoFo",OR($N1269="MND",$N1269="VCA"),$Q1269="LINEAR"),0,IF(AND($H1269&lt;&gt;"",$I1269="PEAD",$N1269="VCA",$Q1269="LINEAR"),($H1269/1000)+0.3,IF(AND($H1269&lt;&gt;"",$I1269="PEAD",$N1269="MND",$Q1269="EMBOQUE"),0,IF(AND($H1269&lt;&gt;"",$I1269="PVC",$N1269="VCA",$Q1269="LINEAR"),($H1269/1000)+0.2,IF(AND($H1269&lt;&gt;"",$I1269="PVC",$N1269="MND",$Q1269="EMBOQUE"),0,IF(AND($H1269&lt;&gt;"",$I1269="PEAD",$N1269="VCA",$Q1269="PREDIAL"),0,0)))))),0)</f>
        <v>0.363</v>
      </c>
      <c r="AK1269" s="153" t="n">
        <f aca="false">IF(AA1269&lt;&gt;"",AA1269,0)</f>
        <v>2.8</v>
      </c>
      <c r="AL1269" s="153" t="n">
        <f aca="false">IF(AND($N1269="MND",$Q1269="EMBOQUE"),$M1269,IF(AND($N1269="VCA",$Q1269="LINEAR"),$M1269,IF(AND($N1269="VCA",$Q1269="PREDIAL"),0,0)))</f>
        <v>18.74</v>
      </c>
      <c r="AM1269" s="153" t="n">
        <f aca="false">IF(AND($N1269="MND",$Q1269="EMBOQUE"),$M1269,IF(AND($N1269="VCA",$Q1269="LINEAR"),$M1269,IF(AND($N1269="VCA",$Q1269="PREDIAL"),0,0)))</f>
        <v>18.74</v>
      </c>
      <c r="AN1269" s="153" t="n">
        <f aca="false">ROUND(IF(AND($N1269="VCA",$M1269&lt;&gt;"",$Q1269="LINEAR"),$M1269/100,IF(AND($N1269="MND",$M1269&gt;100,$Q1269="EMBOQUE"),$M1269/100,0)),0)</f>
        <v>0</v>
      </c>
      <c r="AO1269" s="153" t="n">
        <f aca="false">IF(AND($N1269="MND",$Q1269="EMBOQUE"),$AN1269*2*2,IF(AND($N1269="VCA",$Q1269="LINEAR"),$M1269*2,IF(AND($N1269="VCA",$Q1269="PREDIAL"),0,0)))</f>
        <v>37.48</v>
      </c>
      <c r="AP1269" s="153" t="n">
        <f aca="false">IFERROR($M1269*$AF1269*$AG1269,0)</f>
        <v>16.602703</v>
      </c>
      <c r="AQ1269" s="153" t="n">
        <f aca="false">IFERROR(IF(AND($N1269="VCA",$AH1269&gt;0),$M1269*$AG1269*$AH1269,0),0)</f>
        <v>1.2181</v>
      </c>
      <c r="AR1269" s="153" t="n">
        <f aca="false">IFERROR(IF(AND($N1269="VCA",$AJ1269&gt;0),($M1269*$AG1269*$AJ1269)-$AI1269,0),0)</f>
        <v>4.36328582288077</v>
      </c>
      <c r="AS1269" s="153" t="n">
        <f aca="false">IFERROR(IF(AND($N1269="VCA",$AP1269&gt;0),$AP1269-$AI1269-$AQ1269-$AR1269,0),0)</f>
        <v>10.9629</v>
      </c>
      <c r="AT1269" s="153" t="n">
        <f aca="false">IFERROR(IF($N1269="VCA",INDEX(APOIO_REDES!$A:$W,MATCH($C1269&amp;$I1269&amp;$H1269&amp;$N1269&amp;$O1269,APOIO_REDES!$W:$W,0),MATCH(AT$5,APOIO_REDES!$5:$5,0)),0)*$AP1269,0)</f>
        <v>0.180642322789246</v>
      </c>
      <c r="AU1269" s="153" t="n">
        <f aca="false">IFERROR(IF($N1269="VCA",INDEX(APOIO_REDES!$A:$W,MATCH($C1269&amp;$I1269&amp;$H1269&amp;$N1269&amp;$O1269,APOIO_REDES!$W:$W,0),MATCH(AU$5,APOIO_REDES!$5:$5,0)),0)*$AP1269,0)</f>
        <v>0.144256066564932</v>
      </c>
      <c r="AV1269" s="153" t="n">
        <f aca="false">IFERROR(IF($N1269="VCA",INDEX(APOIO_REDES!$A:$W,MATCH($C1269&amp;$I1269&amp;$H1269&amp;$N1269&amp;$O1269,APOIO_REDES!$W:$W,0),MATCH(AV$5,APOIO_REDES!$5:$5,0)),0)*$AP1269,0)</f>
        <v>0.0199639071580627</v>
      </c>
      <c r="AW1269" s="153" t="n">
        <f aca="false">IFERROR(IF($N1269="VCA",INDEX(APOIO_REDES!$A:$W,MATCH($C1269&amp;$I1269&amp;$H1269&amp;$N1269&amp;$O1269,APOIO_REDES!$W:$W,0),MATCH(AW$5,APOIO_REDES!$5:$5,0)),0)*$AP1269,0)</f>
        <v>11.3962239832204</v>
      </c>
      <c r="AX1269" s="153" t="n">
        <f aca="false">IFERROR(IF($N1269="VCA",INDEX(APOIO_REDES!$A:$W,MATCH($C1269&amp;$I1269&amp;$H1269&amp;$N1269&amp;$O1269,APOIO_REDES!$W:$W,0),MATCH(AX$5,APOIO_REDES!$5:$5,0)),0)*$AP1269,0)</f>
        <v>1.5772049365192</v>
      </c>
      <c r="AY1269" s="153" t="n">
        <f aca="false">IFERROR(IF($N1269="VCA",INDEX(APOIO_REDES!$A:$W,MATCH($C1269&amp;$I1269&amp;$H1269&amp;$N1269&amp;$O1269,APOIO_REDES!$W:$W,0),MATCH(AY$5,APOIO_REDES!$5:$5,0)),0)*$AP1269,0)</f>
        <v>2.88511957282888</v>
      </c>
      <c r="AZ1269" s="153" t="n">
        <f aca="false">IFERROR(IF($N1269="VCA",INDEX(APOIO_REDES!$A:$W,MATCH($C1269&amp;$I1269&amp;$H1269&amp;$N1269&amp;$O1269,APOIO_REDES!$W:$W,0),MATCH(AZ$5,APOIO_REDES!$5:$5,0)),0)*$AP1269,0)</f>
        <v>0.399292210919315</v>
      </c>
      <c r="BA1269" s="153" t="n">
        <f aca="false">IFERROR(IF(AND($N1269="VCA",$Q1269="LINEAR"),INDEX(APOIO_REDES!$A:$W,MATCH($C1269&amp;$I1269&amp;$H1269&amp;$N1269&amp;$O1269,APOIO_REDES!$W:$W,0),MATCH(BA$5,APOIO_REDES!$5:$5,0)),IF(AND($N1269="MND",$Q1269="EMBOQUE"),INDEX(APOIO_REDES!$A:$W,MATCH($C1269&amp;$I1269&amp;$H1269&amp;$N1269&amp;$O1269,APOIO_REDES!$W:$W,0),MATCH(BA$5,APOIO_REDES!$5:$5,0)),0))*$M1269/10,0)</f>
        <v>1.51039672984508</v>
      </c>
      <c r="BB1269" s="153" t="n">
        <f aca="false">IFERROR(IF($N1269="VCA",INDEX(APOIO_REDES!$A:$W,MATCH($C1269&amp;$I1269&amp;$H1269&amp;$N1269&amp;$O1269,APOIO_REDES!$W:$W,0),MATCH(BB$5,APOIO_REDES!$5:$5,0)),0)*($AI1269+$AQ1269+$AR1269),0)</f>
        <v>5.57844027406352</v>
      </c>
      <c r="BC1269" s="153" t="n">
        <f aca="false">IFERROR(IF($N1269="VCA",INDEX(APOIO_REDES!$A:$W,MATCH($C1269&amp;$I1269&amp;$H1269&amp;$N1269&amp;$O1269,APOIO_REDES!$W:$W,0),MATCH(BC$5,APOIO_REDES!$5:$5,0)),0)*($AI1269+$AQ1269+$AR1269),0)</f>
        <v>0.0613627259364789</v>
      </c>
      <c r="BD1269" s="153" t="n">
        <f aca="false">IF(AND($N1269="VCA",$AF1269&gt;=1.25,$AF1269&lt;1.5),$M1269*$AF1269*2,0)</f>
        <v>51.08524</v>
      </c>
      <c r="BE1269" s="153" t="n">
        <f aca="false">IF(AND($N1269="VCA",$AF1269&gt;=1.5,$AF1269&lt;3),$M1269*$AF1269*2,0)</f>
        <v>0</v>
      </c>
      <c r="BF1269" s="153" t="n">
        <f aca="false">IF(AND($N1269="VCA",$AF1269&gt;=3),$M1269*$AF1269*2,0)</f>
        <v>0</v>
      </c>
      <c r="BG1269" s="153" t="n">
        <f aca="false">($BB1269+$BC1269)*$AK1269</f>
        <v>15.7914484</v>
      </c>
      <c r="BH1269" s="153" t="n">
        <f aca="false">IF(AND($M1269&lt;&gt;"",$N1269="VCA",$Q1269="LINEAR"),($M1269*2)/100,IF(AND($M1269&lt;&gt;"",$N1269="MND",$Q1269="EMBOQUE"),($AN1269*2)/100,0))</f>
        <v>0.3748</v>
      </c>
      <c r="BI1269" s="153" t="n">
        <f aca="false">IF(AND($M1269&lt;&gt;"",$N1269="VCA",$Q1269="LINEAR"),$M1269,IF(AND($M1269&lt;&gt;"",$N1269="MND",$Q1269="EMBOQUE"),$AN1269*2,0))</f>
        <v>18.74</v>
      </c>
      <c r="BJ1269" s="153" t="n">
        <f aca="false">IF(AND($M1269&lt;&gt;"",$N1269="VCA",$Q1269="LINEAR"),($M1269*6.8)/100,IF(AND($M1269&lt;&gt;"",$N1269="MND",$Q1269="EMBOQUE"),($AN1269*2*6.8)/100,0))</f>
        <v>1.27432</v>
      </c>
      <c r="BK1269" s="153" t="n">
        <f aca="false">IF(AND($M1269&lt;&gt;"",$N1269="VCA",$Q1269="LINEAR"),($M1269*2.5)/50,IF(AND($M1269&lt;&gt;"",$N1269="MND",$Q1269="EMBOQUE"),($AN1269*2*2.5)/50,0))</f>
        <v>0.937</v>
      </c>
      <c r="BL1269" s="157" t="str">
        <f aca="false">K1269&amp;J1269</f>
        <v>Zona11REDES</v>
      </c>
      <c r="BM1269" s="152" t="s">
        <v>6084</v>
      </c>
      <c r="BN1269" s="152" t="s">
        <v>1560</v>
      </c>
      <c r="BO1269" s="152" t="s">
        <v>4803</v>
      </c>
      <c r="BP1269" s="152" t="s">
        <v>6346</v>
      </c>
      <c r="BQ1269" s="152" t="s">
        <v>6350</v>
      </c>
      <c r="BR1269" s="152" t="s">
        <v>6351</v>
      </c>
      <c r="BS1269" s="152" t="n">
        <v>205051.058</v>
      </c>
      <c r="BT1269" s="152" t="n">
        <v>8236462.384</v>
      </c>
      <c r="BU1269" s="152" t="n">
        <v>205033.681</v>
      </c>
      <c r="BV1269" s="152" t="n">
        <v>8236455.369</v>
      </c>
      <c r="BW1269" s="152" t="n">
        <v>-15.9336243</v>
      </c>
      <c r="BX1269" s="152" t="n">
        <v>-47.7550144</v>
      </c>
      <c r="BY1269" s="152" t="s">
        <v>6346</v>
      </c>
    </row>
    <row r="1270" customFormat="false" ht="13.8" hidden="false" customHeight="false" outlineLevel="0" collapsed="false">
      <c r="A1270" s="149" t="n">
        <f aca="false">IF(C1270&lt;&gt;"",ROW(A1265),"")</f>
        <v>1265</v>
      </c>
      <c r="B1270" s="150" t="str">
        <f aca="false">HYPERLINK("https://www.google.com/maps/dir/-15.917302,-47.760003/-15.9336549,-47.7550960/data=!4m3!4m2!3e0!5i1")</f>
        <v>https://www.google.com/maps/dir/-15.917302,-47.760003/-15.9336549,-47.7550960/data=!4m3!4m2!3e0!5i1</v>
      </c>
      <c r="C1270" s="151" t="s">
        <v>117</v>
      </c>
      <c r="D1270" s="152" t="s">
        <v>112</v>
      </c>
      <c r="E1270" s="152" t="s">
        <v>113</v>
      </c>
      <c r="F1270" s="152" t="s">
        <v>117</v>
      </c>
      <c r="G1270" s="152" t="s">
        <v>782</v>
      </c>
      <c r="H1270" s="152" t="n">
        <v>63</v>
      </c>
      <c r="I1270" s="152" t="s">
        <v>115</v>
      </c>
      <c r="J1270" s="152" t="s">
        <v>6</v>
      </c>
      <c r="K1270" s="152" t="s">
        <v>6081</v>
      </c>
      <c r="L1270" s="152" t="s">
        <v>120</v>
      </c>
      <c r="M1270" s="153" t="n">
        <f aca="false">133.75</f>
        <v>133.75</v>
      </c>
      <c r="N1270" s="152" t="s">
        <v>1548</v>
      </c>
      <c r="O1270" s="152" t="s">
        <v>1549</v>
      </c>
      <c r="P1270" s="152" t="s">
        <v>1550</v>
      </c>
      <c r="Q1270" s="152" t="s">
        <v>1551</v>
      </c>
      <c r="R1270" s="154" t="s">
        <v>6352</v>
      </c>
      <c r="S1270" s="154" t="s">
        <v>1553</v>
      </c>
      <c r="T1270" s="155" t="s">
        <v>4801</v>
      </c>
      <c r="U1270" s="152" t="str">
        <f aca="false">RIGHT(T1270,7)</f>
        <v>021/037</v>
      </c>
      <c r="V1270" s="152" t="s">
        <v>1555</v>
      </c>
      <c r="W1270" s="156" t="n">
        <v>45882</v>
      </c>
      <c r="X1270" s="152" t="s">
        <v>3938</v>
      </c>
      <c r="Y1270" s="152"/>
      <c r="Z1270" s="152" t="s">
        <v>1557</v>
      </c>
      <c r="AA1270" s="153" t="n">
        <v>2.8</v>
      </c>
      <c r="AB1270" s="151" t="s">
        <v>6353</v>
      </c>
      <c r="AC1270" s="151" t="s">
        <v>186</v>
      </c>
      <c r="AD1270" s="151" t="str">
        <f aca="false">CONCATENATE($C1270,$I1270,$H1270,$N1270,$J1270,$K1270)</f>
        <v>TUBO PEADPEAD63VCAREDESZona11</v>
      </c>
      <c r="AE1270" s="153" t="n">
        <f aca="false">IFERROR(INDEX(APOIO_REDES!$A:$W,MATCH($C1270&amp;$I1270&amp;$H1270&amp;$N1270&amp;$O1270,APOIO_REDES!$W:$W,0),MATCH(AE$5,APOIO_REDES!$5:$5,0)),0)</f>
        <v>1.2</v>
      </c>
      <c r="AF1270" s="153" t="n">
        <f aca="false">IFERROR(INDEX(APOIO_REDES!$A:$W,MATCH($C1270&amp;$I1270&amp;$H1270&amp;$N1270&amp;$O1270,APOIO_REDES!$W:$W,0),MATCH(AF$5,APOIO_REDES!$5:$5,0)),0)</f>
        <v>1.363</v>
      </c>
      <c r="AG1270" s="153" t="n">
        <f aca="false">IFERROR(INDEX(APOIO_REDES!$A:$W,MATCH($C1270&amp;$I1270&amp;$H1270&amp;$N1270&amp;$O1270,APOIO_REDES!$W:$W,0),MATCH(AG$5,APOIO_REDES!$5:$5,0)),0)</f>
        <v>0.65</v>
      </c>
      <c r="AH1270" s="153" t="n">
        <f aca="false">IFERROR(INDEX(APOIO_REDES!$A:$W,MATCH($C1270&amp;$I1270&amp;$H1270&amp;$N1270&amp;$O1270,APOIO_REDES!$W:$W,0),MATCH(AH$5,APOIO_REDES!$5:$5,0)),0)</f>
        <v>0.1</v>
      </c>
      <c r="AI1270" s="153" t="n">
        <f aca="false">IFERROR(IF($H1270&lt;&gt;"",(((($H1270/1000)/2)^2)*PI()*$M1270),0),0)</f>
        <v>0.416931560282648</v>
      </c>
      <c r="AJ1270" s="153" t="n">
        <f aca="false">IFERROR(IF(AND($H1270&lt;&gt;"",$I1270="FoFo",OR($N1270="MND",$N1270="VCA"),$Q1270="LINEAR"),0,IF(AND($H1270&lt;&gt;"",$I1270="PEAD",$N1270="VCA",$Q1270="LINEAR"),($H1270/1000)+0.3,IF(AND($H1270&lt;&gt;"",$I1270="PEAD",$N1270="MND",$Q1270="EMBOQUE"),0,IF(AND($H1270&lt;&gt;"",$I1270="PVC",$N1270="VCA",$Q1270="LINEAR"),($H1270/1000)+0.2,IF(AND($H1270&lt;&gt;"",$I1270="PVC",$N1270="MND",$Q1270="EMBOQUE"),0,IF(AND($H1270&lt;&gt;"",$I1270="PEAD",$N1270="VCA",$Q1270="PREDIAL"),0,0)))))),0)</f>
        <v>0.363</v>
      </c>
      <c r="AK1270" s="153" t="n">
        <f aca="false">IF(AA1270&lt;&gt;"",AA1270,0)</f>
        <v>2.8</v>
      </c>
      <c r="AL1270" s="153" t="n">
        <f aca="false">IF(AND($N1270="MND",$Q1270="EMBOQUE"),$M1270,IF(AND($N1270="VCA",$Q1270="LINEAR"),$M1270,IF(AND($N1270="VCA",$Q1270="PREDIAL"),0,0)))</f>
        <v>133.75</v>
      </c>
      <c r="AM1270" s="153" t="n">
        <f aca="false">IF(AND($N1270="MND",$Q1270="EMBOQUE"),$M1270,IF(AND($N1270="VCA",$Q1270="LINEAR"),$M1270,IF(AND($N1270="VCA",$Q1270="PREDIAL"),0,0)))</f>
        <v>133.75</v>
      </c>
      <c r="AN1270" s="153" t="n">
        <f aca="false">ROUND(IF(AND($N1270="VCA",$M1270&lt;&gt;"",$Q1270="LINEAR"),$M1270/100,IF(AND($N1270="MND",$M1270&gt;100,$Q1270="EMBOQUE"),$M1270/100,0)),0)</f>
        <v>1</v>
      </c>
      <c r="AO1270" s="153" t="n">
        <f aca="false">IF(AND($N1270="MND",$Q1270="EMBOQUE"),$AN1270*2*2,IF(AND($N1270="VCA",$Q1270="LINEAR"),$M1270*2,IF(AND($N1270="VCA",$Q1270="PREDIAL"),0,0)))</f>
        <v>267.5</v>
      </c>
      <c r="AP1270" s="153" t="n">
        <f aca="false">IFERROR($M1270*$AF1270*$AG1270,0)</f>
        <v>118.4958125</v>
      </c>
      <c r="AQ1270" s="153" t="n">
        <f aca="false">IFERROR(IF(AND($N1270="VCA",$AH1270&gt;0),$M1270*$AG1270*$AH1270,0),0)</f>
        <v>8.69375</v>
      </c>
      <c r="AR1270" s="153" t="n">
        <f aca="false">IFERROR(IF(AND($N1270="VCA",$AJ1270&gt;0),($M1270*$AG1270*$AJ1270)-$AI1270,0),0)</f>
        <v>31.1413809397174</v>
      </c>
      <c r="AS1270" s="153" t="n">
        <f aca="false">IFERROR(IF(AND($N1270="VCA",$AP1270&gt;0),$AP1270-$AI1270-$AQ1270-$AR1270,0),0)</f>
        <v>78.24375</v>
      </c>
      <c r="AT1270" s="153" t="n">
        <f aca="false">IFERROR(IF($N1270="VCA",INDEX(APOIO_REDES!$A:$W,MATCH($C1270&amp;$I1270&amp;$H1270&amp;$N1270&amp;$O1270,APOIO_REDES!$W:$W,0),MATCH(AT$5,APOIO_REDES!$5:$5,0)),0)*$AP1270,0)</f>
        <v>1.2892695129702</v>
      </c>
      <c r="AU1270" s="153" t="n">
        <f aca="false">IFERROR(IF($N1270="VCA",INDEX(APOIO_REDES!$A:$W,MATCH($C1270&amp;$I1270&amp;$H1270&amp;$N1270&amp;$O1270,APOIO_REDES!$W:$W,0),MATCH(AU$5,APOIO_REDES!$5:$5,0)),0)*$AP1270,0)</f>
        <v>1.0295757152113</v>
      </c>
      <c r="AV1270" s="153" t="n">
        <f aca="false">IFERROR(IF($N1270="VCA",INDEX(APOIO_REDES!$A:$W,MATCH($C1270&amp;$I1270&amp;$H1270&amp;$N1270&amp;$O1270,APOIO_REDES!$W:$W,0),MATCH(AV$5,APOIO_REDES!$5:$5,0)),0)*$AP1270,0)</f>
        <v>0.14248519649898</v>
      </c>
      <c r="AW1270" s="153" t="n">
        <f aca="false">IFERROR(IF($N1270="VCA",INDEX(APOIO_REDES!$A:$W,MATCH($C1270&amp;$I1270&amp;$H1270&amp;$N1270&amp;$O1270,APOIO_REDES!$W:$W,0),MATCH(AW$5,APOIO_REDES!$5:$5,0)),0)*$AP1270,0)</f>
        <v>81.3364438503588</v>
      </c>
      <c r="AX1270" s="153" t="n">
        <f aca="false">IFERROR(IF($N1270="VCA",INDEX(APOIO_REDES!$A:$W,MATCH($C1270&amp;$I1270&amp;$H1270&amp;$N1270&amp;$O1270,APOIO_REDES!$W:$W,0),MATCH(AX$5,APOIO_REDES!$5:$5,0)),0)*$AP1270,0)</f>
        <v>11.2567321376437</v>
      </c>
      <c r="AY1270" s="153" t="n">
        <f aca="false">IFERROR(IF($N1270="VCA",INDEX(APOIO_REDES!$A:$W,MATCH($C1270&amp;$I1270&amp;$H1270&amp;$N1270&amp;$O1270,APOIO_REDES!$W:$W,0),MATCH(AY$5,APOIO_REDES!$5:$5,0)),0)*$AP1270,0)</f>
        <v>20.5915017537814</v>
      </c>
      <c r="AZ1270" s="153" t="n">
        <f aca="false">IFERROR(IF($N1270="VCA",INDEX(APOIO_REDES!$A:$W,MATCH($C1270&amp;$I1270&amp;$H1270&amp;$N1270&amp;$O1270,APOIO_REDES!$W:$W,0),MATCH(AZ$5,APOIO_REDES!$5:$5,0)),0)*$AP1270,0)</f>
        <v>2.84980433353567</v>
      </c>
      <c r="BA1270" s="153" t="n">
        <f aca="false">IFERROR(IF(AND($N1270="VCA",$Q1270="LINEAR"),INDEX(APOIO_REDES!$A:$W,MATCH($C1270&amp;$I1270&amp;$H1270&amp;$N1270&amp;$O1270,APOIO_REDES!$W:$W,0),MATCH(BA$5,APOIO_REDES!$5:$5,0)),IF(AND($N1270="MND",$Q1270="EMBOQUE"),INDEX(APOIO_REDES!$A:$W,MATCH($C1270&amp;$I1270&amp;$H1270&amp;$N1270&amp;$O1270,APOIO_REDES!$W:$W,0),MATCH(BA$5,APOIO_REDES!$5:$5,0)),0))*$M1270/10,0)</f>
        <v>10.7799126262956</v>
      </c>
      <c r="BB1270" s="153" t="n">
        <f aca="false">IFERROR(IF($N1270="VCA",INDEX(APOIO_REDES!$A:$W,MATCH($C1270&amp;$I1270&amp;$H1270&amp;$N1270&amp;$O1270,APOIO_REDES!$W:$W,0),MATCH(BB$5,APOIO_REDES!$5:$5,0)),0)*($AI1270+$AQ1270+$AR1270),0)</f>
        <v>39.8141081459977</v>
      </c>
      <c r="BC1270" s="153" t="n">
        <f aca="false">IFERROR(IF($N1270="VCA",INDEX(APOIO_REDES!$A:$W,MATCH($C1270&amp;$I1270&amp;$H1270&amp;$N1270&amp;$O1270,APOIO_REDES!$W:$W,0),MATCH(BC$5,APOIO_REDES!$5:$5,0)),0)*($AI1270+$AQ1270+$AR1270),0)</f>
        <v>0.437954354002351</v>
      </c>
      <c r="BD1270" s="153" t="n">
        <f aca="false">IF(AND($N1270="VCA",$AF1270&gt;=1.25,$AF1270&lt;1.5),$M1270*$AF1270*2,0)</f>
        <v>364.6025</v>
      </c>
      <c r="BE1270" s="153" t="n">
        <f aca="false">IF(AND($N1270="VCA",$AF1270&gt;=1.5,$AF1270&lt;3),$M1270*$AF1270*2,0)</f>
        <v>0</v>
      </c>
      <c r="BF1270" s="153" t="n">
        <f aca="false">IF(AND($N1270="VCA",$AF1270&gt;=3),$M1270*$AF1270*2,0)</f>
        <v>0</v>
      </c>
      <c r="BG1270" s="153" t="n">
        <f aca="false">($BB1270+$BC1270)*$AK1270</f>
        <v>112.705775</v>
      </c>
      <c r="BH1270" s="153" t="n">
        <f aca="false">IF(AND($M1270&lt;&gt;"",$N1270="VCA",$Q1270="LINEAR"),($M1270*2)/100,IF(AND($M1270&lt;&gt;"",$N1270="MND",$Q1270="EMBOQUE"),($AN1270*2)/100,0))</f>
        <v>2.675</v>
      </c>
      <c r="BI1270" s="153" t="n">
        <f aca="false">IF(AND($M1270&lt;&gt;"",$N1270="VCA",$Q1270="LINEAR"),$M1270,IF(AND($M1270&lt;&gt;"",$N1270="MND",$Q1270="EMBOQUE"),$AN1270*2,0))</f>
        <v>133.75</v>
      </c>
      <c r="BJ1270" s="153" t="n">
        <f aca="false">IF(AND($M1270&lt;&gt;"",$N1270="VCA",$Q1270="LINEAR"),($M1270*6.8)/100,IF(AND($M1270&lt;&gt;"",$N1270="MND",$Q1270="EMBOQUE"),($AN1270*2*6.8)/100,0))</f>
        <v>9.095</v>
      </c>
      <c r="BK1270" s="153" t="n">
        <f aca="false">IF(AND($M1270&lt;&gt;"",$N1270="VCA",$Q1270="LINEAR"),($M1270*2.5)/50,IF(AND($M1270&lt;&gt;"",$N1270="MND",$Q1270="EMBOQUE"),($AN1270*2*2.5)/50,0))</f>
        <v>6.6875</v>
      </c>
      <c r="BL1270" s="157" t="str">
        <f aca="false">K1270&amp;J1270</f>
        <v>Zona11REDES</v>
      </c>
      <c r="BM1270" s="152" t="s">
        <v>6084</v>
      </c>
      <c r="BN1270" s="152" t="s">
        <v>1560</v>
      </c>
      <c r="BO1270" s="152" t="s">
        <v>4803</v>
      </c>
      <c r="BP1270" s="152" t="s">
        <v>6350</v>
      </c>
      <c r="BQ1270" s="152" t="s">
        <v>6354</v>
      </c>
      <c r="BR1270" s="152" t="s">
        <v>6355</v>
      </c>
      <c r="BS1270" s="152" t="n">
        <v>205033.681</v>
      </c>
      <c r="BT1270" s="152" t="n">
        <v>8236455.369</v>
      </c>
      <c r="BU1270" s="152" t="n">
        <v>205079.792</v>
      </c>
      <c r="BV1270" s="152" t="n">
        <v>8236329.823</v>
      </c>
      <c r="BW1270" s="152" t="n">
        <v>-15.9342244</v>
      </c>
      <c r="BX1270" s="152" t="n">
        <v>-47.7548882</v>
      </c>
      <c r="BY1270" s="152" t="s">
        <v>6350</v>
      </c>
    </row>
    <row r="1271" customFormat="false" ht="13.8" hidden="false" customHeight="false" outlineLevel="0" collapsed="false">
      <c r="A1271" s="149" t="n">
        <f aca="false">IF(C1271&lt;&gt;"",ROW(A1266),"")</f>
        <v>1266</v>
      </c>
      <c r="B1271" s="150" t="str">
        <f aca="false">HYPERLINK("https://www.google.com/maps/dir/-15.917302,-47.760003/-15.9339773,-47.7552618/data=!4m3!4m2!3e0!5i2")</f>
        <v>https://www.google.com/maps/dir/-15.917302,-47.760003/-15.9339773,-47.7552618/data=!4m3!4m2!3e0!5i2</v>
      </c>
      <c r="C1271" s="151" t="s">
        <v>117</v>
      </c>
      <c r="D1271" s="152" t="s">
        <v>112</v>
      </c>
      <c r="E1271" s="152" t="s">
        <v>113</v>
      </c>
      <c r="F1271" s="152" t="s">
        <v>117</v>
      </c>
      <c r="G1271" s="152" t="s">
        <v>782</v>
      </c>
      <c r="H1271" s="152" t="n">
        <v>90</v>
      </c>
      <c r="I1271" s="152" t="s">
        <v>115</v>
      </c>
      <c r="J1271" s="152" t="s">
        <v>6</v>
      </c>
      <c r="K1271" s="152" t="s">
        <v>6081</v>
      </c>
      <c r="L1271" s="152" t="s">
        <v>120</v>
      </c>
      <c r="M1271" s="153" t="n">
        <f aca="false">104.92</f>
        <v>104.92</v>
      </c>
      <c r="N1271" s="152" t="s">
        <v>1548</v>
      </c>
      <c r="O1271" s="152" t="s">
        <v>1549</v>
      </c>
      <c r="P1271" s="152" t="s">
        <v>1550</v>
      </c>
      <c r="Q1271" s="152" t="s">
        <v>1551</v>
      </c>
      <c r="R1271" s="154" t="s">
        <v>6356</v>
      </c>
      <c r="S1271" s="154" t="s">
        <v>1593</v>
      </c>
      <c r="T1271" s="155" t="s">
        <v>4801</v>
      </c>
      <c r="U1271" s="152" t="str">
        <f aca="false">RIGHT(T1271,7)</f>
        <v>021/037</v>
      </c>
      <c r="V1271" s="152" t="s">
        <v>1555</v>
      </c>
      <c r="W1271" s="156" t="n">
        <v>45882</v>
      </c>
      <c r="X1271" s="152" t="s">
        <v>3938</v>
      </c>
      <c r="Y1271" s="152"/>
      <c r="Z1271" s="152" t="s">
        <v>1557</v>
      </c>
      <c r="AA1271" s="153" t="n">
        <v>4.2</v>
      </c>
      <c r="AB1271" s="151" t="s">
        <v>6357</v>
      </c>
      <c r="AC1271" s="151" t="s">
        <v>526</v>
      </c>
      <c r="AD1271" s="151" t="str">
        <f aca="false">CONCATENATE($C1271,$I1271,$H1271,$N1271,$J1271,$K1271)</f>
        <v>TUBO PEADPEAD90VCAREDESZona11</v>
      </c>
      <c r="AE1271" s="153" t="n">
        <f aca="false">IFERROR(INDEX(APOIO_REDES!$A:$W,MATCH($C1271&amp;$I1271&amp;$H1271&amp;$N1271&amp;$O1271,APOIO_REDES!$W:$W,0),MATCH(AE$5,APOIO_REDES!$5:$5,0)),0)</f>
        <v>1.2</v>
      </c>
      <c r="AF1271" s="153" t="n">
        <f aca="false">IFERROR(INDEX(APOIO_REDES!$A:$W,MATCH($C1271&amp;$I1271&amp;$H1271&amp;$N1271&amp;$O1271,APOIO_REDES!$W:$W,0),MATCH(AF$5,APOIO_REDES!$5:$5,0)),0)</f>
        <v>1.39</v>
      </c>
      <c r="AG1271" s="153" t="n">
        <f aca="false">IFERROR(INDEX(APOIO_REDES!$A:$W,MATCH($C1271&amp;$I1271&amp;$H1271&amp;$N1271&amp;$O1271,APOIO_REDES!$W:$W,0),MATCH(AG$5,APOIO_REDES!$5:$5,0)),0)</f>
        <v>0.75</v>
      </c>
      <c r="AH1271" s="153" t="n">
        <f aca="false">IFERROR(INDEX(APOIO_REDES!$A:$W,MATCH($C1271&amp;$I1271&amp;$H1271&amp;$N1271&amp;$O1271,APOIO_REDES!$W:$W,0),MATCH(AH$5,APOIO_REDES!$5:$5,0)),0)</f>
        <v>0.1</v>
      </c>
      <c r="AI1271" s="153" t="n">
        <f aca="false">IFERROR(IF($H1271&lt;&gt;"",(((($H1271/1000)/2)^2)*PI()*$M1271),0),0)</f>
        <v>0.667472199959648</v>
      </c>
      <c r="AJ1271" s="153" t="n">
        <f aca="false">IFERROR(IF(AND($H1271&lt;&gt;"",$I1271="FoFo",OR($N1271="MND",$N1271="VCA"),$Q1271="LINEAR"),0,IF(AND($H1271&lt;&gt;"",$I1271="PEAD",$N1271="VCA",$Q1271="LINEAR"),($H1271/1000)+0.3,IF(AND($H1271&lt;&gt;"",$I1271="PEAD",$N1271="MND",$Q1271="EMBOQUE"),0,IF(AND($H1271&lt;&gt;"",$I1271="PVC",$N1271="VCA",$Q1271="LINEAR"),($H1271/1000)+0.2,IF(AND($H1271&lt;&gt;"",$I1271="PVC",$N1271="MND",$Q1271="EMBOQUE"),0,IF(AND($H1271&lt;&gt;"",$I1271="PEAD",$N1271="VCA",$Q1271="PREDIAL"),0,0)))))),0)</f>
        <v>0.39</v>
      </c>
      <c r="AK1271" s="153" t="n">
        <f aca="false">IF(AA1271&lt;&gt;"",AA1271,0)</f>
        <v>4.2</v>
      </c>
      <c r="AL1271" s="153" t="n">
        <f aca="false">IF(AND($N1271="MND",$Q1271="EMBOQUE"),$M1271,IF(AND($N1271="VCA",$Q1271="LINEAR"),$M1271,IF(AND($N1271="VCA",$Q1271="PREDIAL"),0,0)))</f>
        <v>104.92</v>
      </c>
      <c r="AM1271" s="153" t="n">
        <f aca="false">IF(AND($N1271="MND",$Q1271="EMBOQUE"),$M1271,IF(AND($N1271="VCA",$Q1271="LINEAR"),$M1271,IF(AND($N1271="VCA",$Q1271="PREDIAL"),0,0)))</f>
        <v>104.92</v>
      </c>
      <c r="AN1271" s="153" t="n">
        <f aca="false">ROUND(IF(AND($N1271="VCA",$M1271&lt;&gt;"",$Q1271="LINEAR"),$M1271/100,IF(AND($N1271="MND",$M1271&gt;100,$Q1271="EMBOQUE"),$M1271/100,0)),0)</f>
        <v>1</v>
      </c>
      <c r="AO1271" s="153" t="n">
        <f aca="false">IF(AND($N1271="MND",$Q1271="EMBOQUE"),$AN1271*2*2,IF(AND($N1271="VCA",$Q1271="LINEAR"),$M1271*2,IF(AND($N1271="VCA",$Q1271="PREDIAL"),0,0)))</f>
        <v>209.84</v>
      </c>
      <c r="AP1271" s="153" t="n">
        <f aca="false">IFERROR($M1271*$AF1271*$AG1271,0)</f>
        <v>109.3791</v>
      </c>
      <c r="AQ1271" s="153" t="n">
        <f aca="false">IFERROR(IF(AND($N1271="VCA",$AH1271&gt;0),$M1271*$AG1271*$AH1271,0),0)</f>
        <v>7.869</v>
      </c>
      <c r="AR1271" s="153" t="n">
        <f aca="false">IFERROR(IF(AND($N1271="VCA",$AJ1271&gt;0),($M1271*$AG1271*$AJ1271)-$AI1271,0),0)</f>
        <v>30.0216278000404</v>
      </c>
      <c r="AS1271" s="153" t="n">
        <f aca="false">IFERROR(IF(AND($N1271="VCA",$AP1271&gt;0),$AP1271-$AI1271-$AQ1271-$AR1271,0),0)</f>
        <v>70.821</v>
      </c>
      <c r="AT1271" s="153" t="n">
        <f aca="false">IFERROR(IF($N1271="VCA",INDEX(APOIO_REDES!$A:$W,MATCH($C1271&amp;$I1271&amp;$H1271&amp;$N1271&amp;$O1271,APOIO_REDES!$W:$W,0),MATCH(AT$5,APOIO_REDES!$5:$5,0)),0)*$AP1271,0)</f>
        <v>1.19007698256104</v>
      </c>
      <c r="AU1271" s="153" t="n">
        <f aca="false">IFERROR(IF($N1271="VCA",INDEX(APOIO_REDES!$A:$W,MATCH($C1271&amp;$I1271&amp;$H1271&amp;$N1271&amp;$O1271,APOIO_REDES!$W:$W,0),MATCH(AU$5,APOIO_REDES!$5:$5,0)),0)*$AP1271,0)</f>
        <v>0.950363246900964</v>
      </c>
      <c r="AV1271" s="153" t="n">
        <f aca="false">IFERROR(IF($N1271="VCA",INDEX(APOIO_REDES!$A:$W,MATCH($C1271&amp;$I1271&amp;$H1271&amp;$N1271&amp;$O1271,APOIO_REDES!$W:$W,0),MATCH(AV$5,APOIO_REDES!$5:$5,0)),0)*$AP1271,0)</f>
        <v>0.131522812727088</v>
      </c>
      <c r="AW1271" s="153" t="n">
        <f aca="false">IFERROR(IF($N1271="VCA",INDEX(APOIO_REDES!$A:$W,MATCH($C1271&amp;$I1271&amp;$H1271&amp;$N1271&amp;$O1271,APOIO_REDES!$W:$W,0),MATCH(AW$5,APOIO_REDES!$5:$5,0)),0)*$AP1271,0)</f>
        <v>75.0786617506233</v>
      </c>
      <c r="AX1271" s="153" t="n">
        <f aca="false">IFERROR(IF($N1271="VCA",INDEX(APOIO_REDES!$A:$W,MATCH($C1271&amp;$I1271&amp;$H1271&amp;$N1271&amp;$O1271,APOIO_REDES!$W:$W,0),MATCH(AX$5,APOIO_REDES!$5:$5,0)),0)*$AP1271,0)</f>
        <v>10.39067292067</v>
      </c>
      <c r="AY1271" s="153" t="n">
        <f aca="false">IFERROR(IF($N1271="VCA",INDEX(APOIO_REDES!$A:$W,MATCH($C1271&amp;$I1271&amp;$H1271&amp;$N1271&amp;$O1271,APOIO_REDES!$W:$W,0),MATCH(AY$5,APOIO_REDES!$5:$5,0)),0)*$AP1271,0)</f>
        <v>19.0072533531683</v>
      </c>
      <c r="AZ1271" s="153" t="n">
        <f aca="false">IFERROR(IF($N1271="VCA",INDEX(APOIO_REDES!$A:$W,MATCH($C1271&amp;$I1271&amp;$H1271&amp;$N1271&amp;$O1271,APOIO_REDES!$W:$W,0),MATCH(AZ$5,APOIO_REDES!$5:$5,0)),0)*$AP1271,0)</f>
        <v>2.63054893334928</v>
      </c>
      <c r="BA1271" s="153" t="n">
        <f aca="false">IFERROR(IF(AND($N1271="VCA",$Q1271="LINEAR"),INDEX(APOIO_REDES!$A:$W,MATCH($C1271&amp;$I1271&amp;$H1271&amp;$N1271&amp;$O1271,APOIO_REDES!$W:$W,0),MATCH(BA$5,APOIO_REDES!$5:$5,0)),IF(AND($N1271="MND",$Q1271="EMBOQUE"),INDEX(APOIO_REDES!$A:$W,MATCH($C1271&amp;$I1271&amp;$H1271&amp;$N1271&amp;$O1271,APOIO_REDES!$W:$W,0),MATCH(BA$5,APOIO_REDES!$5:$5,0)),0))*$M1271/10,0)</f>
        <v>8.45628734767055</v>
      </c>
      <c r="BB1271" s="153" t="n">
        <f aca="false">IFERROR(IF($N1271="VCA",INDEX(APOIO_REDES!$A:$W,MATCH($C1271&amp;$I1271&amp;$H1271&amp;$N1271&amp;$O1271,APOIO_REDES!$W:$W,0),MATCH(BB$5,APOIO_REDES!$5:$5,0)),0)*($AI1271+$AQ1271+$AR1271),0)</f>
        <v>38.138576459385</v>
      </c>
      <c r="BC1271" s="153" t="n">
        <f aca="false">IFERROR(IF($N1271="VCA",INDEX(APOIO_REDES!$A:$W,MATCH($C1271&amp;$I1271&amp;$H1271&amp;$N1271&amp;$O1271,APOIO_REDES!$W:$W,0),MATCH(BC$5,APOIO_REDES!$5:$5,0)),0)*($AI1271+$AQ1271+$AR1271),0)</f>
        <v>0.419523540615044</v>
      </c>
      <c r="BD1271" s="153" t="n">
        <f aca="false">IF(AND($N1271="VCA",$AF1271&gt;=1.25,$AF1271&lt;1.5),$M1271*$AF1271*2,0)</f>
        <v>291.6776</v>
      </c>
      <c r="BE1271" s="153" t="n">
        <f aca="false">IF(AND($N1271="VCA",$AF1271&gt;=1.5,$AF1271&lt;3),$M1271*$AF1271*2,0)</f>
        <v>0</v>
      </c>
      <c r="BF1271" s="153" t="n">
        <f aca="false">IF(AND($N1271="VCA",$AF1271&gt;=3),$M1271*$AF1271*2,0)</f>
        <v>0</v>
      </c>
      <c r="BG1271" s="153" t="n">
        <f aca="false">($BB1271+$BC1271)*$AK1271</f>
        <v>161.94402</v>
      </c>
      <c r="BH1271" s="153" t="n">
        <f aca="false">IF(AND($M1271&lt;&gt;"",$N1271="VCA",$Q1271="LINEAR"),($M1271*2)/100,IF(AND($M1271&lt;&gt;"",$N1271="MND",$Q1271="EMBOQUE"),($AN1271*2)/100,0))</f>
        <v>2.0984</v>
      </c>
      <c r="BI1271" s="153" t="n">
        <f aca="false">IF(AND($M1271&lt;&gt;"",$N1271="VCA",$Q1271="LINEAR"),$M1271,IF(AND($M1271&lt;&gt;"",$N1271="MND",$Q1271="EMBOQUE"),$AN1271*2,0))</f>
        <v>104.92</v>
      </c>
      <c r="BJ1271" s="153" t="n">
        <f aca="false">IF(AND($M1271&lt;&gt;"",$N1271="VCA",$Q1271="LINEAR"),($M1271*6.8)/100,IF(AND($M1271&lt;&gt;"",$N1271="MND",$Q1271="EMBOQUE"),($AN1271*2*6.8)/100,0))</f>
        <v>7.13456</v>
      </c>
      <c r="BK1271" s="153" t="n">
        <f aca="false">IF(AND($M1271&lt;&gt;"",$N1271="VCA",$Q1271="LINEAR"),($M1271*2.5)/50,IF(AND($M1271&lt;&gt;"",$N1271="MND",$Q1271="EMBOQUE"),($AN1271*2*2.5)/50,0))</f>
        <v>5.246</v>
      </c>
      <c r="BL1271" s="157" t="str">
        <f aca="false">K1271&amp;J1271</f>
        <v>Zona11REDES</v>
      </c>
      <c r="BM1271" s="152" t="s">
        <v>6084</v>
      </c>
      <c r="BN1271" s="152" t="s">
        <v>1560</v>
      </c>
      <c r="BO1271" s="152" t="s">
        <v>4803</v>
      </c>
      <c r="BP1271" s="152" t="s">
        <v>6303</v>
      </c>
      <c r="BQ1271" s="152" t="s">
        <v>6358</v>
      </c>
      <c r="BR1271" s="152" t="s">
        <v>6359</v>
      </c>
      <c r="BS1271" s="152" t="n">
        <v>205016.387</v>
      </c>
      <c r="BT1271" s="152" t="n">
        <v>8236419.435</v>
      </c>
      <c r="BU1271" s="152" t="n">
        <v>205059.005</v>
      </c>
      <c r="BV1271" s="152" t="n">
        <v>8236323.559</v>
      </c>
      <c r="BW1271" s="152" t="n">
        <v>-15.9344128</v>
      </c>
      <c r="BX1271" s="152" t="n">
        <v>-47.7550688</v>
      </c>
      <c r="BY1271" s="152" t="s">
        <v>6303</v>
      </c>
    </row>
    <row r="1272" customFormat="false" ht="13.8" hidden="false" customHeight="false" outlineLevel="0" collapsed="false">
      <c r="A1272" s="149" t="n">
        <f aca="false">IF(C1272&lt;&gt;"",ROW(A1267),"")</f>
        <v>1267</v>
      </c>
      <c r="B1272" s="150" t="str">
        <f aca="false">HYPERLINK("https://www.google.com/maps/dir/-15.917302,-47.760003/-15.9343882,-47.7528120/data=!4m3!4m2!3e0!5i1")</f>
        <v>https://www.google.com/maps/dir/-15.917302,-47.760003/-15.9343882,-47.7528120/data=!4m3!4m2!3e0!5i1</v>
      </c>
      <c r="C1272" s="151" t="s">
        <v>117</v>
      </c>
      <c r="D1272" s="152" t="s">
        <v>112</v>
      </c>
      <c r="E1272" s="152" t="s">
        <v>113</v>
      </c>
      <c r="F1272" s="152" t="s">
        <v>117</v>
      </c>
      <c r="G1272" s="152" t="s">
        <v>782</v>
      </c>
      <c r="H1272" s="152" t="n">
        <v>63</v>
      </c>
      <c r="I1272" s="152" t="s">
        <v>115</v>
      </c>
      <c r="J1272" s="152" t="s">
        <v>6</v>
      </c>
      <c r="K1272" s="152" t="s">
        <v>6081</v>
      </c>
      <c r="L1272" s="152" t="s">
        <v>120</v>
      </c>
      <c r="M1272" s="153" t="n">
        <f aca="false">55.94</f>
        <v>55.94</v>
      </c>
      <c r="N1272" s="152" t="s">
        <v>1548</v>
      </c>
      <c r="O1272" s="152" t="s">
        <v>1549</v>
      </c>
      <c r="P1272" s="152" t="s">
        <v>1550</v>
      </c>
      <c r="Q1272" s="152" t="s">
        <v>1551</v>
      </c>
      <c r="R1272" s="154" t="s">
        <v>6360</v>
      </c>
      <c r="S1272" s="154" t="s">
        <v>1553</v>
      </c>
      <c r="T1272" s="155" t="s">
        <v>4801</v>
      </c>
      <c r="U1272" s="152" t="str">
        <f aca="false">RIGHT(T1272,7)</f>
        <v>021/037</v>
      </c>
      <c r="V1272" s="152" t="s">
        <v>1555</v>
      </c>
      <c r="W1272" s="156" t="n">
        <v>45882</v>
      </c>
      <c r="X1272" s="152" t="s">
        <v>3938</v>
      </c>
      <c r="Y1272" s="152" t="s">
        <v>6361</v>
      </c>
      <c r="Z1272" s="152" t="s">
        <v>1557</v>
      </c>
      <c r="AA1272" s="153" t="n">
        <v>2.9</v>
      </c>
      <c r="AB1272" s="151" t="s">
        <v>6362</v>
      </c>
      <c r="AC1272" s="151" t="s">
        <v>186</v>
      </c>
      <c r="AD1272" s="151" t="str">
        <f aca="false">CONCATENATE($C1272,$I1272,$H1272,$N1272,$J1272,$K1272)</f>
        <v>TUBO PEADPEAD63VCAREDESZona11</v>
      </c>
      <c r="AE1272" s="153" t="n">
        <f aca="false">IFERROR(INDEX(APOIO_REDES!$A:$W,MATCH($C1272&amp;$I1272&amp;$H1272&amp;$N1272&amp;$O1272,APOIO_REDES!$W:$W,0),MATCH(AE$5,APOIO_REDES!$5:$5,0)),0)</f>
        <v>1.2</v>
      </c>
      <c r="AF1272" s="153" t="n">
        <f aca="false">IFERROR(INDEX(APOIO_REDES!$A:$W,MATCH($C1272&amp;$I1272&amp;$H1272&amp;$N1272&amp;$O1272,APOIO_REDES!$W:$W,0),MATCH(AF$5,APOIO_REDES!$5:$5,0)),0)</f>
        <v>1.363</v>
      </c>
      <c r="AG1272" s="153" t="n">
        <f aca="false">IFERROR(INDEX(APOIO_REDES!$A:$W,MATCH($C1272&amp;$I1272&amp;$H1272&amp;$N1272&amp;$O1272,APOIO_REDES!$W:$W,0),MATCH(AG$5,APOIO_REDES!$5:$5,0)),0)</f>
        <v>0.65</v>
      </c>
      <c r="AH1272" s="153" t="n">
        <f aca="false">IFERROR(INDEX(APOIO_REDES!$A:$W,MATCH($C1272&amp;$I1272&amp;$H1272&amp;$N1272&amp;$O1272,APOIO_REDES!$W:$W,0),MATCH(AH$5,APOIO_REDES!$5:$5,0)),0)</f>
        <v>0.1</v>
      </c>
      <c r="AI1272" s="153" t="n">
        <f aca="false">IFERROR(IF($H1272&lt;&gt;"",(((($H1272/1000)/2)^2)*PI()*$M1272),0),0)</f>
        <v>0.174378702670739</v>
      </c>
      <c r="AJ1272" s="153" t="n">
        <f aca="false">IFERROR(IF(AND($H1272&lt;&gt;"",$I1272="FoFo",OR($N1272="MND",$N1272="VCA"),$Q1272="LINEAR"),0,IF(AND($H1272&lt;&gt;"",$I1272="PEAD",$N1272="VCA",$Q1272="LINEAR"),($H1272/1000)+0.3,IF(AND($H1272&lt;&gt;"",$I1272="PEAD",$N1272="MND",$Q1272="EMBOQUE"),0,IF(AND($H1272&lt;&gt;"",$I1272="PVC",$N1272="VCA",$Q1272="LINEAR"),($H1272/1000)+0.2,IF(AND($H1272&lt;&gt;"",$I1272="PVC",$N1272="MND",$Q1272="EMBOQUE"),0,IF(AND($H1272&lt;&gt;"",$I1272="PEAD",$N1272="VCA",$Q1272="PREDIAL"),0,0)))))),0)</f>
        <v>0.363</v>
      </c>
      <c r="AK1272" s="153" t="n">
        <f aca="false">IF(AA1272&lt;&gt;"",AA1272,0)</f>
        <v>2.9</v>
      </c>
      <c r="AL1272" s="153" t="n">
        <f aca="false">IF(AND($N1272="MND",$Q1272="EMBOQUE"),$M1272,IF(AND($N1272="VCA",$Q1272="LINEAR"),$M1272,IF(AND($N1272="VCA",$Q1272="PREDIAL"),0,0)))</f>
        <v>55.94</v>
      </c>
      <c r="AM1272" s="153" t="n">
        <f aca="false">IF(AND($N1272="MND",$Q1272="EMBOQUE"),$M1272,IF(AND($N1272="VCA",$Q1272="LINEAR"),$M1272,IF(AND($N1272="VCA",$Q1272="PREDIAL"),0,0)))</f>
        <v>55.94</v>
      </c>
      <c r="AN1272" s="153" t="n">
        <f aca="false">ROUND(IF(AND($N1272="VCA",$M1272&lt;&gt;"",$Q1272="LINEAR"),$M1272/100,IF(AND($N1272="MND",$M1272&gt;100,$Q1272="EMBOQUE"),$M1272/100,0)),0)</f>
        <v>1</v>
      </c>
      <c r="AO1272" s="153" t="n">
        <f aca="false">IF(AND($N1272="MND",$Q1272="EMBOQUE"),$AN1272*2*2,IF(AND($N1272="VCA",$Q1272="LINEAR"),$M1272*2,IF(AND($N1272="VCA",$Q1272="PREDIAL"),0,0)))</f>
        <v>111.88</v>
      </c>
      <c r="AP1272" s="153" t="n">
        <f aca="false">IFERROR($M1272*$AF1272*$AG1272,0)</f>
        <v>49.560043</v>
      </c>
      <c r="AQ1272" s="153" t="n">
        <f aca="false">IFERROR(IF(AND($N1272="VCA",$AH1272&gt;0),$M1272*$AG1272*$AH1272,0),0)</f>
        <v>3.6361</v>
      </c>
      <c r="AR1272" s="153" t="n">
        <f aca="false">IFERROR(IF(AND($N1272="VCA",$AJ1272&gt;0),($M1272*$AG1272*$AJ1272)-$AI1272,0),0)</f>
        <v>13.0246642973293</v>
      </c>
      <c r="AS1272" s="153" t="n">
        <f aca="false">IFERROR(IF(AND($N1272="VCA",$AP1272&gt;0),$AP1272-$AI1272-$AQ1272-$AR1272,0),0)</f>
        <v>32.7249</v>
      </c>
      <c r="AT1272" s="153" t="n">
        <f aca="false">IFERROR(IF($N1272="VCA",INDEX(APOIO_REDES!$A:$W,MATCH($C1272&amp;$I1272&amp;$H1272&amp;$N1272&amp;$O1272,APOIO_REDES!$W:$W,0),MATCH(AT$5,APOIO_REDES!$5:$5,0)),0)*$AP1272,0)</f>
        <v>0.539227936863949</v>
      </c>
      <c r="AU1272" s="153" t="n">
        <f aca="false">IFERROR(IF($N1272="VCA",INDEX(APOIO_REDES!$A:$W,MATCH($C1272&amp;$I1272&amp;$H1272&amp;$N1272&amp;$O1272,APOIO_REDES!$W:$W,0),MATCH(AU$5,APOIO_REDES!$5:$5,0)),0)*$AP1272,0)</f>
        <v>0.430612826234915</v>
      </c>
      <c r="AV1272" s="153" t="n">
        <f aca="false">IFERROR(IF($N1272="VCA",INDEX(APOIO_REDES!$A:$W,MATCH($C1272&amp;$I1272&amp;$H1272&amp;$N1272&amp;$O1272,APOIO_REDES!$W:$W,0),MATCH(AV$5,APOIO_REDES!$5:$5,0)),0)*$AP1272,0)</f>
        <v>0.0595934347076856</v>
      </c>
      <c r="AW1272" s="153" t="n">
        <f aca="false">IFERROR(IF($N1272="VCA",INDEX(APOIO_REDES!$A:$W,MATCH($C1272&amp;$I1272&amp;$H1272&amp;$N1272&amp;$O1272,APOIO_REDES!$W:$W,0),MATCH(AW$5,APOIO_REDES!$5:$5,0)),0)*$AP1272,0)</f>
        <v>34.0183975251519</v>
      </c>
      <c r="AX1272" s="153" t="n">
        <f aca="false">IFERROR(IF($N1272="VCA",INDEX(APOIO_REDES!$A:$W,MATCH($C1272&amp;$I1272&amp;$H1272&amp;$N1272&amp;$O1272,APOIO_REDES!$W:$W,0),MATCH(AX$5,APOIO_REDES!$5:$5,0)),0)*$AP1272,0)</f>
        <v>4.7080493142414</v>
      </c>
      <c r="AY1272" s="153" t="n">
        <f aca="false">IFERROR(IF($N1272="VCA",INDEX(APOIO_REDES!$A:$W,MATCH($C1272&amp;$I1272&amp;$H1272&amp;$N1272&amp;$O1272,APOIO_REDES!$W:$W,0),MATCH(AY$5,APOIO_REDES!$5:$5,0)),0)*$AP1272,0)</f>
        <v>8.61225127556285</v>
      </c>
      <c r="AZ1272" s="153" t="n">
        <f aca="false">IFERROR(IF($N1272="VCA",INDEX(APOIO_REDES!$A:$W,MATCH($C1272&amp;$I1272&amp;$H1272&amp;$N1272&amp;$O1272,APOIO_REDES!$W:$W,0),MATCH(AZ$5,APOIO_REDES!$5:$5,0)),0)*$AP1272,0)</f>
        <v>1.19191068723727</v>
      </c>
      <c r="BA1272" s="153" t="n">
        <f aca="false">IFERROR(IF(AND($N1272="VCA",$Q1272="LINEAR"),INDEX(APOIO_REDES!$A:$W,MATCH($C1272&amp;$I1272&amp;$H1272&amp;$N1272&amp;$O1272,APOIO_REDES!$W:$W,0),MATCH(BA$5,APOIO_REDES!$5:$5,0)),IF(AND($N1272="MND",$Q1272="EMBOQUE"),INDEX(APOIO_REDES!$A:$W,MATCH($C1272&amp;$I1272&amp;$H1272&amp;$N1272&amp;$O1272,APOIO_REDES!$W:$W,0),MATCH(BA$5,APOIO_REDES!$5:$5,0)),0))*$M1272/10,0)</f>
        <v>4.50862289581291</v>
      </c>
      <c r="BB1272" s="153" t="n">
        <f aca="false">IFERROR(IF($N1272="VCA",INDEX(APOIO_REDES!$A:$W,MATCH($C1272&amp;$I1272&amp;$H1272&amp;$N1272&amp;$O1272,APOIO_REDES!$W:$W,0),MATCH(BB$5,APOIO_REDES!$5:$5,0)),0)*($AI1272+$AQ1272+$AR1272),0)</f>
        <v>16.651971661212</v>
      </c>
      <c r="BC1272" s="153" t="n">
        <f aca="false">IFERROR(IF($N1272="VCA",INDEX(APOIO_REDES!$A:$W,MATCH($C1272&amp;$I1272&amp;$H1272&amp;$N1272&amp;$O1272,APOIO_REDES!$W:$W,0),MATCH(BC$5,APOIO_REDES!$5:$5,0)),0)*($AI1272+$AQ1272+$AR1272),0)</f>
        <v>0.183171338787974</v>
      </c>
      <c r="BD1272" s="153" t="n">
        <f aca="false">IF(AND($N1272="VCA",$AF1272&gt;=1.25,$AF1272&lt;1.5),$M1272*$AF1272*2,0)</f>
        <v>152.49244</v>
      </c>
      <c r="BE1272" s="153" t="n">
        <f aca="false">IF(AND($N1272="VCA",$AF1272&gt;=1.5,$AF1272&lt;3),$M1272*$AF1272*2,0)</f>
        <v>0</v>
      </c>
      <c r="BF1272" s="153" t="n">
        <f aca="false">IF(AND($N1272="VCA",$AF1272&gt;=3),$M1272*$AF1272*2,0)</f>
        <v>0</v>
      </c>
      <c r="BG1272" s="153" t="n">
        <f aca="false">($BB1272+$BC1272)*$AK1272</f>
        <v>48.8219147</v>
      </c>
      <c r="BH1272" s="153" t="n">
        <f aca="false">IF(AND($M1272&lt;&gt;"",$N1272="VCA",$Q1272="LINEAR"),($M1272*2)/100,IF(AND($M1272&lt;&gt;"",$N1272="MND",$Q1272="EMBOQUE"),($AN1272*2)/100,0))</f>
        <v>1.1188</v>
      </c>
      <c r="BI1272" s="153" t="n">
        <f aca="false">IF(AND($M1272&lt;&gt;"",$N1272="VCA",$Q1272="LINEAR"),$M1272,IF(AND($M1272&lt;&gt;"",$N1272="MND",$Q1272="EMBOQUE"),$AN1272*2,0))</f>
        <v>55.94</v>
      </c>
      <c r="BJ1272" s="153" t="n">
        <f aca="false">IF(AND($M1272&lt;&gt;"",$N1272="VCA",$Q1272="LINEAR"),($M1272*6.8)/100,IF(AND($M1272&lt;&gt;"",$N1272="MND",$Q1272="EMBOQUE"),($AN1272*2*6.8)/100,0))</f>
        <v>3.80392</v>
      </c>
      <c r="BK1272" s="153" t="n">
        <f aca="false">IF(AND($M1272&lt;&gt;"",$N1272="VCA",$Q1272="LINEAR"),($M1272*2.5)/50,IF(AND($M1272&lt;&gt;"",$N1272="MND",$Q1272="EMBOQUE"),($AN1272*2*2.5)/50,0))</f>
        <v>2.797</v>
      </c>
      <c r="BL1272" s="157" t="str">
        <f aca="false">K1272&amp;J1272</f>
        <v>Zona11REDES</v>
      </c>
      <c r="BM1272" s="152" t="s">
        <v>6084</v>
      </c>
      <c r="BN1272" s="152" t="s">
        <v>1560</v>
      </c>
      <c r="BO1272" s="152" t="s">
        <v>4803</v>
      </c>
      <c r="BP1272" s="152" t="s">
        <v>6363</v>
      </c>
      <c r="BQ1272" s="152" t="s">
        <v>6364</v>
      </c>
      <c r="BR1272" s="152" t="s">
        <v>6365</v>
      </c>
      <c r="BS1272" s="152" t="n">
        <v>205279.436</v>
      </c>
      <c r="BT1272" s="152" t="n">
        <v>8236377.415</v>
      </c>
      <c r="BU1272" s="152" t="n">
        <v>205320.235</v>
      </c>
      <c r="BV1272" s="152" t="n">
        <v>8236339.177</v>
      </c>
      <c r="BW1272" s="152" t="n">
        <v>-15.9345678</v>
      </c>
      <c r="BX1272" s="152" t="n">
        <v>-47.7526286</v>
      </c>
      <c r="BY1272" s="152" t="s">
        <v>6363</v>
      </c>
    </row>
    <row r="1273" customFormat="false" ht="13.8" hidden="false" customHeight="false" outlineLevel="0" collapsed="false">
      <c r="A1273" s="149" t="n">
        <f aca="false">IF(C1273&lt;&gt;"",ROW(A1268),"")</f>
        <v>1268</v>
      </c>
      <c r="B1273" s="150" t="str">
        <f aca="false">HYPERLINK("https://www.google.com/maps/dir/-15.917302,-47.760003/-15.9343882,-47.7528120/data=!4m3!4m2!3e0!5i1")</f>
        <v>https://www.google.com/maps/dir/-15.917302,-47.760003/-15.9343882,-47.7528120/data=!4m3!4m2!3e0!5i1</v>
      </c>
      <c r="C1273" s="151" t="s">
        <v>117</v>
      </c>
      <c r="D1273" s="152" t="s">
        <v>112</v>
      </c>
      <c r="E1273" s="152" t="s">
        <v>113</v>
      </c>
      <c r="F1273" s="152" t="s">
        <v>117</v>
      </c>
      <c r="G1273" s="152" t="s">
        <v>782</v>
      </c>
      <c r="H1273" s="152" t="n">
        <v>63</v>
      </c>
      <c r="I1273" s="152" t="s">
        <v>115</v>
      </c>
      <c r="J1273" s="152" t="s">
        <v>6</v>
      </c>
      <c r="K1273" s="152" t="s">
        <v>6081</v>
      </c>
      <c r="L1273" s="152" t="s">
        <v>120</v>
      </c>
      <c r="M1273" s="153" t="n">
        <f aca="false">205.33</f>
        <v>205.33</v>
      </c>
      <c r="N1273" s="152" t="s">
        <v>1548</v>
      </c>
      <c r="O1273" s="152" t="s">
        <v>1549</v>
      </c>
      <c r="P1273" s="152" t="s">
        <v>1550</v>
      </c>
      <c r="Q1273" s="152" t="s">
        <v>1551</v>
      </c>
      <c r="R1273" s="154" t="s">
        <v>6366</v>
      </c>
      <c r="S1273" s="154" t="s">
        <v>1553</v>
      </c>
      <c r="T1273" s="155" t="s">
        <v>4801</v>
      </c>
      <c r="U1273" s="152" t="str">
        <f aca="false">RIGHT(T1273,7)</f>
        <v>021/037</v>
      </c>
      <c r="V1273" s="152" t="s">
        <v>1555</v>
      </c>
      <c r="W1273" s="156" t="n">
        <v>45882</v>
      </c>
      <c r="X1273" s="152" t="s">
        <v>3938</v>
      </c>
      <c r="Y1273" s="152" t="s">
        <v>6361</v>
      </c>
      <c r="Z1273" s="152" t="s">
        <v>1557</v>
      </c>
      <c r="AA1273" s="153" t="n">
        <v>2.9</v>
      </c>
      <c r="AB1273" s="151" t="s">
        <v>6367</v>
      </c>
      <c r="AC1273" s="151" t="s">
        <v>186</v>
      </c>
      <c r="AD1273" s="151" t="str">
        <f aca="false">CONCATENATE($C1273,$I1273,$H1273,$N1273,$J1273,$K1273)</f>
        <v>TUBO PEADPEAD63VCAREDESZona11</v>
      </c>
      <c r="AE1273" s="153" t="n">
        <f aca="false">IFERROR(INDEX(APOIO_REDES!$A:$W,MATCH($C1273&amp;$I1273&amp;$H1273&amp;$N1273&amp;$O1273,APOIO_REDES!$W:$W,0),MATCH(AE$5,APOIO_REDES!$5:$5,0)),0)</f>
        <v>1.2</v>
      </c>
      <c r="AF1273" s="153" t="n">
        <f aca="false">IFERROR(INDEX(APOIO_REDES!$A:$W,MATCH($C1273&amp;$I1273&amp;$H1273&amp;$N1273&amp;$O1273,APOIO_REDES!$W:$W,0),MATCH(AF$5,APOIO_REDES!$5:$5,0)),0)</f>
        <v>1.363</v>
      </c>
      <c r="AG1273" s="153" t="n">
        <f aca="false">IFERROR(INDEX(APOIO_REDES!$A:$W,MATCH($C1273&amp;$I1273&amp;$H1273&amp;$N1273&amp;$O1273,APOIO_REDES!$W:$W,0),MATCH(AG$5,APOIO_REDES!$5:$5,0)),0)</f>
        <v>0.65</v>
      </c>
      <c r="AH1273" s="153" t="n">
        <f aca="false">IFERROR(INDEX(APOIO_REDES!$A:$W,MATCH($C1273&amp;$I1273&amp;$H1273&amp;$N1273&amp;$O1273,APOIO_REDES!$W:$W,0),MATCH(AH$5,APOIO_REDES!$5:$5,0)),0)</f>
        <v>0.1</v>
      </c>
      <c r="AI1273" s="153" t="n">
        <f aca="false">IFERROR(IF($H1273&lt;&gt;"",(((($H1273/1000)/2)^2)*PI()*$M1273),0),0)</f>
        <v>0.64006397960999</v>
      </c>
      <c r="AJ1273" s="153" t="n">
        <f aca="false">IFERROR(IF(AND($H1273&lt;&gt;"",$I1273="FoFo",OR($N1273="MND",$N1273="VCA"),$Q1273="LINEAR"),0,IF(AND($H1273&lt;&gt;"",$I1273="PEAD",$N1273="VCA",$Q1273="LINEAR"),($H1273/1000)+0.3,IF(AND($H1273&lt;&gt;"",$I1273="PEAD",$N1273="MND",$Q1273="EMBOQUE"),0,IF(AND($H1273&lt;&gt;"",$I1273="PVC",$N1273="VCA",$Q1273="LINEAR"),($H1273/1000)+0.2,IF(AND($H1273&lt;&gt;"",$I1273="PVC",$N1273="MND",$Q1273="EMBOQUE"),0,IF(AND($H1273&lt;&gt;"",$I1273="PEAD",$N1273="VCA",$Q1273="PREDIAL"),0,0)))))),0)</f>
        <v>0.363</v>
      </c>
      <c r="AK1273" s="153" t="n">
        <f aca="false">IF(AA1273&lt;&gt;"",AA1273,0)</f>
        <v>2.9</v>
      </c>
      <c r="AL1273" s="153" t="n">
        <f aca="false">IF(AND($N1273="MND",$Q1273="EMBOQUE"),$M1273,IF(AND($N1273="VCA",$Q1273="LINEAR"),$M1273,IF(AND($N1273="VCA",$Q1273="PREDIAL"),0,0)))</f>
        <v>205.33</v>
      </c>
      <c r="AM1273" s="153" t="n">
        <f aca="false">IF(AND($N1273="MND",$Q1273="EMBOQUE"),$M1273,IF(AND($N1273="VCA",$Q1273="LINEAR"),$M1273,IF(AND($N1273="VCA",$Q1273="PREDIAL"),0,0)))</f>
        <v>205.33</v>
      </c>
      <c r="AN1273" s="153" t="n">
        <f aca="false">ROUND(IF(AND($N1273="VCA",$M1273&lt;&gt;"",$Q1273="LINEAR"),$M1273/100,IF(AND($N1273="MND",$M1273&gt;100,$Q1273="EMBOQUE"),$M1273/100,0)),0)</f>
        <v>2</v>
      </c>
      <c r="AO1273" s="153" t="n">
        <f aca="false">IF(AND($N1273="MND",$Q1273="EMBOQUE"),$AN1273*2*2,IF(AND($N1273="VCA",$Q1273="LINEAR"),$M1273*2,IF(AND($N1273="VCA",$Q1273="PREDIAL"),0,0)))</f>
        <v>410.66</v>
      </c>
      <c r="AP1273" s="153" t="n">
        <f aca="false">IFERROR($M1273*$AF1273*$AG1273,0)</f>
        <v>181.9121135</v>
      </c>
      <c r="AQ1273" s="153" t="n">
        <f aca="false">IFERROR(IF(AND($N1273="VCA",$AH1273&gt;0),$M1273*$AG1273*$AH1273,0),0)</f>
        <v>13.34645</v>
      </c>
      <c r="AR1273" s="153" t="n">
        <f aca="false">IFERROR(IF(AND($N1273="VCA",$AJ1273&gt;0),($M1273*$AG1273*$AJ1273)-$AI1273,0),0)</f>
        <v>47.80754952039</v>
      </c>
      <c r="AS1273" s="153" t="n">
        <f aca="false">IFERROR(IF(AND($N1273="VCA",$AP1273&gt;0),$AP1273-$AI1273-$AQ1273-$AR1273,0),0)</f>
        <v>120.11805</v>
      </c>
      <c r="AT1273" s="153" t="n">
        <f aca="false">IFERROR(IF($N1273="VCA",INDEX(APOIO_REDES!$A:$W,MATCH($C1273&amp;$I1273&amp;$H1273&amp;$N1273&amp;$O1273,APOIO_REDES!$W:$W,0),MATCH(AT$5,APOIO_REDES!$5:$5,0)),0)*$AP1273,0)</f>
        <v>1.97925763811717</v>
      </c>
      <c r="AU1273" s="153" t="n">
        <f aca="false">IFERROR(IF($N1273="VCA",INDEX(APOIO_REDES!$A:$W,MATCH($C1273&amp;$I1273&amp;$H1273&amp;$N1273&amp;$O1273,APOIO_REDES!$W:$W,0),MATCH(AU$5,APOIO_REDES!$5:$5,0)),0)*$AP1273,0)</f>
        <v>1.58058154470531</v>
      </c>
      <c r="AV1273" s="153" t="n">
        <f aca="false">IFERROR(IF($N1273="VCA",INDEX(APOIO_REDES!$A:$W,MATCH($C1273&amp;$I1273&amp;$H1273&amp;$N1273&amp;$O1273,APOIO_REDES!$W:$W,0),MATCH(AV$5,APOIO_REDES!$5:$5,0)),0)*$AP1273,0)</f>
        <v>0.218740077735593</v>
      </c>
      <c r="AW1273" s="153" t="n">
        <f aca="false">IFERROR(IF($N1273="VCA",INDEX(APOIO_REDES!$A:$W,MATCH($C1273&amp;$I1273&amp;$H1273&amp;$N1273&amp;$O1273,APOIO_REDES!$W:$W,0),MATCH(AW$5,APOIO_REDES!$5:$5,0)),0)*$AP1273,0)</f>
        <v>124.865884230237</v>
      </c>
      <c r="AX1273" s="153" t="n">
        <f aca="false">IFERROR(IF($N1273="VCA",INDEX(APOIO_REDES!$A:$W,MATCH($C1273&amp;$I1273&amp;$H1273&amp;$N1273&amp;$O1273,APOIO_REDES!$W:$W,0),MATCH(AX$5,APOIO_REDES!$5:$5,0)),0)*$AP1273,0)</f>
        <v>17.2810826902608</v>
      </c>
      <c r="AY1273" s="153" t="n">
        <f aca="false">IFERROR(IF($N1273="VCA",INDEX(APOIO_REDES!$A:$W,MATCH($C1273&amp;$I1273&amp;$H1273&amp;$N1273&amp;$O1273,APOIO_REDES!$W:$W,0),MATCH(AY$5,APOIO_REDES!$5:$5,0)),0)*$AP1273,0)</f>
        <v>31.6116116269453</v>
      </c>
      <c r="AZ1273" s="153" t="n">
        <f aca="false">IFERROR(IF($N1273="VCA",INDEX(APOIO_REDES!$A:$W,MATCH($C1273&amp;$I1273&amp;$H1273&amp;$N1273&amp;$O1273,APOIO_REDES!$W:$W,0),MATCH(AZ$5,APOIO_REDES!$5:$5,0)),0)*$AP1273,0)</f>
        <v>4.37495569199909</v>
      </c>
      <c r="BA1273" s="153" t="n">
        <f aca="false">IFERROR(IF(AND($N1273="VCA",$Q1273="LINEAR"),INDEX(APOIO_REDES!$A:$W,MATCH($C1273&amp;$I1273&amp;$H1273&amp;$N1273&amp;$O1273,APOIO_REDES!$W:$W,0),MATCH(BA$5,APOIO_REDES!$5:$5,0)),IF(AND($N1273="MND",$Q1273="EMBOQUE"),INDEX(APOIO_REDES!$A:$W,MATCH($C1273&amp;$I1273&amp;$H1273&amp;$N1273&amp;$O1273,APOIO_REDES!$W:$W,0),MATCH(BA$5,APOIO_REDES!$5:$5,0)),0))*$M1273/10,0)</f>
        <v>16.5490800714563</v>
      </c>
      <c r="BB1273" s="153" t="n">
        <f aca="false">IFERROR(IF($N1273="VCA",INDEX(APOIO_REDES!$A:$W,MATCH($C1273&amp;$I1273&amp;$H1273&amp;$N1273&amp;$O1273,APOIO_REDES!$W:$W,0),MATCH(BB$5,APOIO_REDES!$5:$5,0)),0)*($AI1273+$AQ1273+$AR1273),0)</f>
        <v>61.1217257990108</v>
      </c>
      <c r="BC1273" s="153" t="n">
        <f aca="false">IFERROR(IF($N1273="VCA",INDEX(APOIO_REDES!$A:$W,MATCH($C1273&amp;$I1273&amp;$H1273&amp;$N1273&amp;$O1273,APOIO_REDES!$W:$W,0),MATCH(BC$5,APOIO_REDES!$5:$5,0)),0)*($AI1273+$AQ1273+$AR1273),0)</f>
        <v>0.672337700989179</v>
      </c>
      <c r="BD1273" s="153" t="n">
        <f aca="false">IF(AND($N1273="VCA",$AF1273&gt;=1.25,$AF1273&lt;1.5),$M1273*$AF1273*2,0)</f>
        <v>559.72958</v>
      </c>
      <c r="BE1273" s="153" t="n">
        <f aca="false">IF(AND($N1273="VCA",$AF1273&gt;=1.5,$AF1273&lt;3),$M1273*$AF1273*2,0)</f>
        <v>0</v>
      </c>
      <c r="BF1273" s="153" t="n">
        <f aca="false">IF(AND($N1273="VCA",$AF1273&gt;=3),$M1273*$AF1273*2,0)</f>
        <v>0</v>
      </c>
      <c r="BG1273" s="153" t="n">
        <f aca="false">($BB1273+$BC1273)*$AK1273</f>
        <v>179.20278415</v>
      </c>
      <c r="BH1273" s="153" t="n">
        <f aca="false">IF(AND($M1273&lt;&gt;"",$N1273="VCA",$Q1273="LINEAR"),($M1273*2)/100,IF(AND($M1273&lt;&gt;"",$N1273="MND",$Q1273="EMBOQUE"),($AN1273*2)/100,0))</f>
        <v>4.1066</v>
      </c>
      <c r="BI1273" s="153" t="n">
        <f aca="false">IF(AND($M1273&lt;&gt;"",$N1273="VCA",$Q1273="LINEAR"),$M1273,IF(AND($M1273&lt;&gt;"",$N1273="MND",$Q1273="EMBOQUE"),$AN1273*2,0))</f>
        <v>205.33</v>
      </c>
      <c r="BJ1273" s="153" t="n">
        <f aca="false">IF(AND($M1273&lt;&gt;"",$N1273="VCA",$Q1273="LINEAR"),($M1273*6.8)/100,IF(AND($M1273&lt;&gt;"",$N1273="MND",$Q1273="EMBOQUE"),($AN1273*2*6.8)/100,0))</f>
        <v>13.96244</v>
      </c>
      <c r="BK1273" s="153" t="n">
        <f aca="false">IF(AND($M1273&lt;&gt;"",$N1273="VCA",$Q1273="LINEAR"),($M1273*2.5)/50,IF(AND($M1273&lt;&gt;"",$N1273="MND",$Q1273="EMBOQUE"),($AN1273*2*2.5)/50,0))</f>
        <v>10.2665</v>
      </c>
      <c r="BL1273" s="157" t="str">
        <f aca="false">K1273&amp;J1273</f>
        <v>Zona11REDES</v>
      </c>
      <c r="BM1273" s="152" t="s">
        <v>6084</v>
      </c>
      <c r="BN1273" s="152" t="s">
        <v>1560</v>
      </c>
      <c r="BO1273" s="152" t="s">
        <v>4803</v>
      </c>
      <c r="BP1273" s="152" t="s">
        <v>6363</v>
      </c>
      <c r="BQ1273" s="152" t="s">
        <v>6354</v>
      </c>
      <c r="BR1273" s="152" t="s">
        <v>6368</v>
      </c>
      <c r="BS1273" s="152" t="n">
        <v>205279.436</v>
      </c>
      <c r="BT1273" s="152" t="n">
        <v>8236377.415</v>
      </c>
      <c r="BU1273" s="152" t="n">
        <v>205079.792</v>
      </c>
      <c r="BV1273" s="152" t="n">
        <v>8236329.823</v>
      </c>
      <c r="BW1273" s="152" t="n">
        <v>-15.9345828</v>
      </c>
      <c r="BX1273" s="152" t="n">
        <v>-47.7537482</v>
      </c>
      <c r="BY1273" s="152" t="s">
        <v>6363</v>
      </c>
    </row>
    <row r="1274" customFormat="false" ht="13.8" hidden="false" customHeight="false" outlineLevel="0" collapsed="false">
      <c r="A1274" s="149" t="n">
        <f aca="false">IF(C1274&lt;&gt;"",ROW(A1269),"")</f>
        <v>1269</v>
      </c>
      <c r="B1274" s="150" t="str">
        <f aca="false">HYPERLINK("https://www.google.com/maps/dir/-15.917302,-47.760003/-15.9347953,-47.7546852/data=!4m3!4m2!3e0!5i2")</f>
        <v>https://www.google.com/maps/dir/-15.917302,-47.760003/-15.9347953,-47.7546852/data=!4m3!4m2!3e0!5i2</v>
      </c>
      <c r="C1274" s="151" t="s">
        <v>117</v>
      </c>
      <c r="D1274" s="152" t="s">
        <v>112</v>
      </c>
      <c r="E1274" s="152" t="s">
        <v>113</v>
      </c>
      <c r="F1274" s="152" t="s">
        <v>117</v>
      </c>
      <c r="G1274" s="152" t="s">
        <v>782</v>
      </c>
      <c r="H1274" s="152" t="n">
        <v>90</v>
      </c>
      <c r="I1274" s="152" t="s">
        <v>115</v>
      </c>
      <c r="J1274" s="152" t="s">
        <v>6</v>
      </c>
      <c r="K1274" s="152" t="s">
        <v>6081</v>
      </c>
      <c r="L1274" s="152" t="s">
        <v>120</v>
      </c>
      <c r="M1274" s="153" t="n">
        <f aca="false">21.25+0.46</f>
        <v>21.71</v>
      </c>
      <c r="N1274" s="152" t="s">
        <v>1548</v>
      </c>
      <c r="O1274" s="152" t="s">
        <v>1549</v>
      </c>
      <c r="P1274" s="152" t="s">
        <v>1550</v>
      </c>
      <c r="Q1274" s="152" t="s">
        <v>1551</v>
      </c>
      <c r="R1274" s="154" t="s">
        <v>6369</v>
      </c>
      <c r="S1274" s="154" t="s">
        <v>1593</v>
      </c>
      <c r="T1274" s="155" t="s">
        <v>4801</v>
      </c>
      <c r="U1274" s="152" t="str">
        <f aca="false">RIGHT(T1274,7)</f>
        <v>021/037</v>
      </c>
      <c r="V1274" s="152" t="s">
        <v>1555</v>
      </c>
      <c r="W1274" s="156" t="n">
        <v>45882</v>
      </c>
      <c r="X1274" s="152" t="s">
        <v>3938</v>
      </c>
      <c r="Y1274" s="152" t="s">
        <v>6361</v>
      </c>
      <c r="Z1274" s="152" t="s">
        <v>1557</v>
      </c>
      <c r="AA1274" s="153" t="n">
        <v>3.7</v>
      </c>
      <c r="AB1274" s="151" t="s">
        <v>6370</v>
      </c>
      <c r="AC1274" s="151" t="s">
        <v>526</v>
      </c>
      <c r="AD1274" s="151" t="str">
        <f aca="false">CONCATENATE($C1274,$I1274,$H1274,$N1274,$J1274,$K1274)</f>
        <v>TUBO PEADPEAD90VCAREDESZona11</v>
      </c>
      <c r="AE1274" s="153" t="n">
        <f aca="false">IFERROR(INDEX(APOIO_REDES!$A:$W,MATCH($C1274&amp;$I1274&amp;$H1274&amp;$N1274&amp;$O1274,APOIO_REDES!$W:$W,0),MATCH(AE$5,APOIO_REDES!$5:$5,0)),0)</f>
        <v>1.2</v>
      </c>
      <c r="AF1274" s="153" t="n">
        <f aca="false">IFERROR(INDEX(APOIO_REDES!$A:$W,MATCH($C1274&amp;$I1274&amp;$H1274&amp;$N1274&amp;$O1274,APOIO_REDES!$W:$W,0),MATCH(AF$5,APOIO_REDES!$5:$5,0)),0)</f>
        <v>1.39</v>
      </c>
      <c r="AG1274" s="153" t="n">
        <f aca="false">IFERROR(INDEX(APOIO_REDES!$A:$W,MATCH($C1274&amp;$I1274&amp;$H1274&amp;$N1274&amp;$O1274,APOIO_REDES!$W:$W,0),MATCH(AG$5,APOIO_REDES!$5:$5,0)),0)</f>
        <v>0.75</v>
      </c>
      <c r="AH1274" s="153" t="n">
        <f aca="false">IFERROR(INDEX(APOIO_REDES!$A:$W,MATCH($C1274&amp;$I1274&amp;$H1274&amp;$N1274&amp;$O1274,APOIO_REDES!$W:$W,0),MATCH(AH$5,APOIO_REDES!$5:$5,0)),0)</f>
        <v>0.1</v>
      </c>
      <c r="AI1274" s="153" t="n">
        <f aca="false">IFERROR(IF($H1274&lt;&gt;"",(((($H1274/1000)/2)^2)*PI()*$M1274),0),0)</f>
        <v>0.138113052431605</v>
      </c>
      <c r="AJ1274" s="153" t="n">
        <f aca="false">IFERROR(IF(AND($H1274&lt;&gt;"",$I1274="FoFo",OR($N1274="MND",$N1274="VCA"),$Q1274="LINEAR"),0,IF(AND($H1274&lt;&gt;"",$I1274="PEAD",$N1274="VCA",$Q1274="LINEAR"),($H1274/1000)+0.3,IF(AND($H1274&lt;&gt;"",$I1274="PEAD",$N1274="MND",$Q1274="EMBOQUE"),0,IF(AND($H1274&lt;&gt;"",$I1274="PVC",$N1274="VCA",$Q1274="LINEAR"),($H1274/1000)+0.2,IF(AND($H1274&lt;&gt;"",$I1274="PVC",$N1274="MND",$Q1274="EMBOQUE"),0,IF(AND($H1274&lt;&gt;"",$I1274="PEAD",$N1274="VCA",$Q1274="PREDIAL"),0,0)))))),0)</f>
        <v>0.39</v>
      </c>
      <c r="AK1274" s="153" t="n">
        <f aca="false">IF(AA1274&lt;&gt;"",AA1274,0)</f>
        <v>3.7</v>
      </c>
      <c r="AL1274" s="153" t="n">
        <f aca="false">IF(AND($N1274="MND",$Q1274="EMBOQUE"),$M1274,IF(AND($N1274="VCA",$Q1274="LINEAR"),$M1274,IF(AND($N1274="VCA",$Q1274="PREDIAL"),0,0)))</f>
        <v>21.71</v>
      </c>
      <c r="AM1274" s="153" t="n">
        <f aca="false">IF(AND($N1274="MND",$Q1274="EMBOQUE"),$M1274,IF(AND($N1274="VCA",$Q1274="LINEAR"),$M1274,IF(AND($N1274="VCA",$Q1274="PREDIAL"),0,0)))</f>
        <v>21.71</v>
      </c>
      <c r="AN1274" s="153" t="n">
        <f aca="false">ROUND(IF(AND($N1274="VCA",$M1274&lt;&gt;"",$Q1274="LINEAR"),$M1274/100,IF(AND($N1274="MND",$M1274&gt;100,$Q1274="EMBOQUE"),$M1274/100,0)),0)</f>
        <v>0</v>
      </c>
      <c r="AO1274" s="153" t="n">
        <f aca="false">IF(AND($N1274="MND",$Q1274="EMBOQUE"),$AN1274*2*2,IF(AND($N1274="VCA",$Q1274="LINEAR"),$M1274*2,IF(AND($N1274="VCA",$Q1274="PREDIAL"),0,0)))</f>
        <v>43.42</v>
      </c>
      <c r="AP1274" s="153" t="n">
        <f aca="false">IFERROR($M1274*$AF1274*$AG1274,0)</f>
        <v>22.632675</v>
      </c>
      <c r="AQ1274" s="153" t="n">
        <f aca="false">IFERROR(IF(AND($N1274="VCA",$AH1274&gt;0),$M1274*$AG1274*$AH1274,0),0)</f>
        <v>1.62825</v>
      </c>
      <c r="AR1274" s="153" t="n">
        <f aca="false">IFERROR(IF(AND($N1274="VCA",$AJ1274&gt;0),($M1274*$AG1274*$AJ1274)-$AI1274,0),0)</f>
        <v>6.2120619475684</v>
      </c>
      <c r="AS1274" s="153" t="n">
        <f aca="false">IFERROR(IF(AND($N1274="VCA",$AP1274&gt;0),$AP1274-$AI1274-$AQ1274-$AR1274,0),0)</f>
        <v>14.65425</v>
      </c>
      <c r="AT1274" s="153" t="n">
        <f aca="false">IFERROR(IF($N1274="VCA",INDEX(APOIO_REDES!$A:$W,MATCH($C1274&amp;$I1274&amp;$H1274&amp;$N1274&amp;$O1274,APOIO_REDES!$W:$W,0),MATCH(AT$5,APOIO_REDES!$5:$5,0)),0)*$AP1274,0)</f>
        <v>0.246250202929854</v>
      </c>
      <c r="AU1274" s="153" t="n">
        <f aca="false">IFERROR(IF($N1274="VCA",INDEX(APOIO_REDES!$A:$W,MATCH($C1274&amp;$I1274&amp;$H1274&amp;$N1274&amp;$O1274,APOIO_REDES!$W:$W,0),MATCH(AU$5,APOIO_REDES!$5:$5,0)),0)*$AP1274,0)</f>
        <v>0.196648742758482</v>
      </c>
      <c r="AV1274" s="153" t="n">
        <f aca="false">IFERROR(IF($N1274="VCA",INDEX(APOIO_REDES!$A:$W,MATCH($C1274&amp;$I1274&amp;$H1274&amp;$N1274&amp;$O1274,APOIO_REDES!$W:$W,0),MATCH(AV$5,APOIO_REDES!$5:$5,0)),0)*$AP1274,0)</f>
        <v>0.0272146422446156</v>
      </c>
      <c r="AW1274" s="153" t="n">
        <f aca="false">IFERROR(IF($N1274="VCA",INDEX(APOIO_REDES!$A:$W,MATCH($C1274&amp;$I1274&amp;$H1274&amp;$N1274&amp;$O1274,APOIO_REDES!$W:$W,0),MATCH(AW$5,APOIO_REDES!$5:$5,0)),0)*$AP1274,0)</f>
        <v>15.5352434865234</v>
      </c>
      <c r="AX1274" s="153" t="n">
        <f aca="false">IFERROR(IF($N1274="VCA",INDEX(APOIO_REDES!$A:$W,MATCH($C1274&amp;$I1274&amp;$H1274&amp;$N1274&amp;$O1274,APOIO_REDES!$W:$W,0),MATCH(AX$5,APOIO_REDES!$5:$5,0)),0)*$AP1274,0)</f>
        <v>2.1500334455561</v>
      </c>
      <c r="AY1274" s="153" t="n">
        <f aca="false">IFERROR(IF($N1274="VCA",INDEX(APOIO_REDES!$A:$W,MATCH($C1274&amp;$I1274&amp;$H1274&amp;$N1274&amp;$O1274,APOIO_REDES!$W:$W,0),MATCH(AY$5,APOIO_REDES!$5:$5,0)),0)*$AP1274,0)</f>
        <v>3.9329724580374</v>
      </c>
      <c r="AZ1274" s="153" t="n">
        <f aca="false">IFERROR(IF($N1274="VCA",INDEX(APOIO_REDES!$A:$W,MATCH($C1274&amp;$I1274&amp;$H1274&amp;$N1274&amp;$O1274,APOIO_REDES!$W:$W,0),MATCH(AZ$5,APOIO_REDES!$5:$5,0)),0)*$AP1274,0)</f>
        <v>0.544312021950179</v>
      </c>
      <c r="BA1274" s="153" t="n">
        <f aca="false">IFERROR(IF(AND($N1274="VCA",$Q1274="LINEAR"),INDEX(APOIO_REDES!$A:$W,MATCH($C1274&amp;$I1274&amp;$H1274&amp;$N1274&amp;$O1274,APOIO_REDES!$W:$W,0),MATCH(BA$5,APOIO_REDES!$5:$5,0)),IF(AND($N1274="MND",$Q1274="EMBOQUE"),INDEX(APOIO_REDES!$A:$W,MATCH($C1274&amp;$I1274&amp;$H1274&amp;$N1274&amp;$O1274,APOIO_REDES!$W:$W,0),MATCH(BA$5,APOIO_REDES!$5:$5,0)),0))*$M1274/10,0)</f>
        <v>1.74977123825703</v>
      </c>
      <c r="BB1274" s="153" t="n">
        <f aca="false">IFERROR(IF($N1274="VCA",INDEX(APOIO_REDES!$A:$W,MATCH($C1274&amp;$I1274&amp;$H1274&amp;$N1274&amp;$O1274,APOIO_REDES!$W:$W,0),MATCH(BB$5,APOIO_REDES!$5:$5,0)),0)*($AI1274+$AQ1274+$AR1274),0)</f>
        <v>7.89161737450674</v>
      </c>
      <c r="BC1274" s="153" t="n">
        <f aca="false">IFERROR(IF($N1274="VCA",INDEX(APOIO_REDES!$A:$W,MATCH($C1274&amp;$I1274&amp;$H1274&amp;$N1274&amp;$O1274,APOIO_REDES!$W:$W,0),MATCH(BC$5,APOIO_REDES!$5:$5,0)),0)*($AI1274+$AQ1274+$AR1274),0)</f>
        <v>0.0868076254932579</v>
      </c>
      <c r="BD1274" s="153" t="n">
        <f aca="false">IF(AND($N1274="VCA",$AF1274&gt;=1.25,$AF1274&lt;1.5),$M1274*$AF1274*2,0)</f>
        <v>60.3538</v>
      </c>
      <c r="BE1274" s="153" t="n">
        <f aca="false">IF(AND($N1274="VCA",$AF1274&gt;=1.5,$AF1274&lt;3),$M1274*$AF1274*2,0)</f>
        <v>0</v>
      </c>
      <c r="BF1274" s="153" t="n">
        <f aca="false">IF(AND($N1274="VCA",$AF1274&gt;=3),$M1274*$AF1274*2,0)</f>
        <v>0</v>
      </c>
      <c r="BG1274" s="153" t="n">
        <f aca="false">($BB1274+$BC1274)*$AK1274</f>
        <v>29.5201725</v>
      </c>
      <c r="BH1274" s="153" t="n">
        <f aca="false">IF(AND($M1274&lt;&gt;"",$N1274="VCA",$Q1274="LINEAR"),($M1274*2)/100,IF(AND($M1274&lt;&gt;"",$N1274="MND",$Q1274="EMBOQUE"),($AN1274*2)/100,0))</f>
        <v>0.4342</v>
      </c>
      <c r="BI1274" s="153" t="n">
        <f aca="false">IF(AND($M1274&lt;&gt;"",$N1274="VCA",$Q1274="LINEAR"),$M1274,IF(AND($M1274&lt;&gt;"",$N1274="MND",$Q1274="EMBOQUE"),$AN1274*2,0))</f>
        <v>21.71</v>
      </c>
      <c r="BJ1274" s="153" t="n">
        <f aca="false">IF(AND($M1274&lt;&gt;"",$N1274="VCA",$Q1274="LINEAR"),($M1274*6.8)/100,IF(AND($M1274&lt;&gt;"",$N1274="MND",$Q1274="EMBOQUE"),($AN1274*2*6.8)/100,0))</f>
        <v>1.47628</v>
      </c>
      <c r="BK1274" s="153" t="n">
        <f aca="false">IF(AND($M1274&lt;&gt;"",$N1274="VCA",$Q1274="LINEAR"),($M1274*2.5)/50,IF(AND($M1274&lt;&gt;"",$N1274="MND",$Q1274="EMBOQUE"),($AN1274*2*2.5)/50,0))</f>
        <v>1.0855</v>
      </c>
      <c r="BL1274" s="157" t="str">
        <f aca="false">K1274&amp;J1274</f>
        <v>Zona11REDES</v>
      </c>
      <c r="BM1274" s="152" t="s">
        <v>6084</v>
      </c>
      <c r="BN1274" s="152" t="s">
        <v>1560</v>
      </c>
      <c r="BO1274" s="152" t="s">
        <v>4803</v>
      </c>
      <c r="BP1274" s="152" t="s">
        <v>6354</v>
      </c>
      <c r="BQ1274" s="152" t="s">
        <v>6358</v>
      </c>
      <c r="BR1274" s="152" t="s">
        <v>6371</v>
      </c>
      <c r="BS1274" s="152" t="n">
        <v>205079.35</v>
      </c>
      <c r="BT1274" s="152" t="n">
        <v>8236329.69</v>
      </c>
      <c r="BU1274" s="152" t="n">
        <v>205059.005</v>
      </c>
      <c r="BV1274" s="152" t="n">
        <v>8236323.559</v>
      </c>
      <c r="BW1274" s="152" t="n">
        <v>-15.9348217</v>
      </c>
      <c r="BX1274" s="152" t="n">
        <v>-47.7547806</v>
      </c>
      <c r="BY1274" s="152" t="s">
        <v>6354</v>
      </c>
    </row>
    <row r="1275" customFormat="false" ht="13.8" hidden="false" customHeight="false" outlineLevel="0" collapsed="false">
      <c r="A1275" s="149" t="n">
        <f aca="false">IF(C1275&lt;&gt;"",ROW(A1270),"")</f>
        <v>1270</v>
      </c>
      <c r="B1275" s="150" t="str">
        <f aca="false">HYPERLINK("https://www.google.com/maps/dir/-15.917302,-47.760003/-15.9347383,-47.7524360/data=!4m3!4m2!3e0!5i1")</f>
        <v>https://www.google.com/maps/dir/-15.917302,-47.760003/-15.9347383,-47.7524360/data=!4m3!4m2!3e0!5i1</v>
      </c>
      <c r="C1275" s="151" t="s">
        <v>117</v>
      </c>
      <c r="D1275" s="152" t="s">
        <v>112</v>
      </c>
      <c r="E1275" s="152" t="s">
        <v>113</v>
      </c>
      <c r="F1275" s="152" t="s">
        <v>117</v>
      </c>
      <c r="G1275" s="152" t="s">
        <v>782</v>
      </c>
      <c r="H1275" s="152" t="n">
        <v>63</v>
      </c>
      <c r="I1275" s="152" t="s">
        <v>115</v>
      </c>
      <c r="J1275" s="152" t="s">
        <v>6</v>
      </c>
      <c r="K1275" s="152" t="s">
        <v>6081</v>
      </c>
      <c r="L1275" s="152" t="s">
        <v>120</v>
      </c>
      <c r="M1275" s="153" t="n">
        <f aca="false">70.31</f>
        <v>70.31</v>
      </c>
      <c r="N1275" s="152" t="s">
        <v>1548</v>
      </c>
      <c r="O1275" s="152" t="s">
        <v>1549</v>
      </c>
      <c r="P1275" s="152" t="s">
        <v>1550</v>
      </c>
      <c r="Q1275" s="152" t="s">
        <v>1551</v>
      </c>
      <c r="R1275" s="154" t="s">
        <v>6372</v>
      </c>
      <c r="S1275" s="154" t="s">
        <v>1553</v>
      </c>
      <c r="T1275" s="155" t="s">
        <v>4801</v>
      </c>
      <c r="U1275" s="152" t="str">
        <f aca="false">RIGHT(T1275,7)</f>
        <v>021/037</v>
      </c>
      <c r="V1275" s="152" t="s">
        <v>1555</v>
      </c>
      <c r="W1275" s="156" t="n">
        <v>45882</v>
      </c>
      <c r="X1275" s="152" t="s">
        <v>3938</v>
      </c>
      <c r="Y1275" s="152" t="s">
        <v>6361</v>
      </c>
      <c r="Z1275" s="152" t="s">
        <v>1557</v>
      </c>
      <c r="AA1275" s="153" t="n">
        <v>3</v>
      </c>
      <c r="AB1275" s="151" t="s">
        <v>6373</v>
      </c>
      <c r="AC1275" s="151" t="s">
        <v>186</v>
      </c>
      <c r="AD1275" s="151" t="str">
        <f aca="false">CONCATENATE($C1275,$I1275,$H1275,$N1275,$J1275,$K1275)</f>
        <v>TUBO PEADPEAD63VCAREDESZona11</v>
      </c>
      <c r="AE1275" s="153" t="n">
        <f aca="false">IFERROR(INDEX(APOIO_REDES!$A:$W,MATCH($C1275&amp;$I1275&amp;$H1275&amp;$N1275&amp;$O1275,APOIO_REDES!$W:$W,0),MATCH(AE$5,APOIO_REDES!$5:$5,0)),0)</f>
        <v>1.2</v>
      </c>
      <c r="AF1275" s="153" t="n">
        <f aca="false">IFERROR(INDEX(APOIO_REDES!$A:$W,MATCH($C1275&amp;$I1275&amp;$H1275&amp;$N1275&amp;$O1275,APOIO_REDES!$W:$W,0),MATCH(AF$5,APOIO_REDES!$5:$5,0)),0)</f>
        <v>1.363</v>
      </c>
      <c r="AG1275" s="153" t="n">
        <f aca="false">IFERROR(INDEX(APOIO_REDES!$A:$W,MATCH($C1275&amp;$I1275&amp;$H1275&amp;$N1275&amp;$O1275,APOIO_REDES!$W:$W,0),MATCH(AG$5,APOIO_REDES!$5:$5,0)),0)</f>
        <v>0.65</v>
      </c>
      <c r="AH1275" s="153" t="n">
        <f aca="false">IFERROR(INDEX(APOIO_REDES!$A:$W,MATCH($C1275&amp;$I1275&amp;$H1275&amp;$N1275&amp;$O1275,APOIO_REDES!$W:$W,0),MATCH(AH$5,APOIO_REDES!$5:$5,0)),0)</f>
        <v>0.1</v>
      </c>
      <c r="AI1275" s="153" t="n">
        <f aca="false">IFERROR(IF($H1275&lt;&gt;"",(((($H1275/1000)/2)^2)*PI()*$M1275),0),0)</f>
        <v>0.219173517782976</v>
      </c>
      <c r="AJ1275" s="153" t="n">
        <f aca="false">IFERROR(IF(AND($H1275&lt;&gt;"",$I1275="FoFo",OR($N1275="MND",$N1275="VCA"),$Q1275="LINEAR"),0,IF(AND($H1275&lt;&gt;"",$I1275="PEAD",$N1275="VCA",$Q1275="LINEAR"),($H1275/1000)+0.3,IF(AND($H1275&lt;&gt;"",$I1275="PEAD",$N1275="MND",$Q1275="EMBOQUE"),0,IF(AND($H1275&lt;&gt;"",$I1275="PVC",$N1275="VCA",$Q1275="LINEAR"),($H1275/1000)+0.2,IF(AND($H1275&lt;&gt;"",$I1275="PVC",$N1275="MND",$Q1275="EMBOQUE"),0,IF(AND($H1275&lt;&gt;"",$I1275="PEAD",$N1275="VCA",$Q1275="PREDIAL"),0,0)))))),0)</f>
        <v>0.363</v>
      </c>
      <c r="AK1275" s="153" t="n">
        <f aca="false">IF(AA1275&lt;&gt;"",AA1275,0)</f>
        <v>3</v>
      </c>
      <c r="AL1275" s="153" t="n">
        <f aca="false">IF(AND($N1275="MND",$Q1275="EMBOQUE"),$M1275,IF(AND($N1275="VCA",$Q1275="LINEAR"),$M1275,IF(AND($N1275="VCA",$Q1275="PREDIAL"),0,0)))</f>
        <v>70.31</v>
      </c>
      <c r="AM1275" s="153" t="n">
        <f aca="false">IF(AND($N1275="MND",$Q1275="EMBOQUE"),$M1275,IF(AND($N1275="VCA",$Q1275="LINEAR"),$M1275,IF(AND($N1275="VCA",$Q1275="PREDIAL"),0,0)))</f>
        <v>70.31</v>
      </c>
      <c r="AN1275" s="153" t="n">
        <f aca="false">ROUND(IF(AND($N1275="VCA",$M1275&lt;&gt;"",$Q1275="LINEAR"),$M1275/100,IF(AND($N1275="MND",$M1275&gt;100,$Q1275="EMBOQUE"),$M1275/100,0)),0)</f>
        <v>1</v>
      </c>
      <c r="AO1275" s="153" t="n">
        <f aca="false">IF(AND($N1275="MND",$Q1275="EMBOQUE"),$AN1275*2*2,IF(AND($N1275="VCA",$Q1275="LINEAR"),$M1275*2,IF(AND($N1275="VCA",$Q1275="PREDIAL"),0,0)))</f>
        <v>140.62</v>
      </c>
      <c r="AP1275" s="153" t="n">
        <f aca="false">IFERROR($M1275*$AF1275*$AG1275,0)</f>
        <v>62.2911445</v>
      </c>
      <c r="AQ1275" s="153" t="n">
        <f aca="false">IFERROR(IF(AND($N1275="VCA",$AH1275&gt;0),$M1275*$AG1275*$AH1275,0),0)</f>
        <v>4.57015</v>
      </c>
      <c r="AR1275" s="153" t="n">
        <f aca="false">IFERROR(IF(AND($N1275="VCA",$AJ1275&gt;0),($M1275*$AG1275*$AJ1275)-$AI1275,0),0)</f>
        <v>16.370470982217</v>
      </c>
      <c r="AS1275" s="153" t="n">
        <f aca="false">IFERROR(IF(AND($N1275="VCA",$AP1275&gt;0),$AP1275-$AI1275-$AQ1275-$AR1275,0),0)</f>
        <v>41.13135</v>
      </c>
      <c r="AT1275" s="153" t="n">
        <f aca="false">IFERROR(IF($N1275="VCA",INDEX(APOIO_REDES!$A:$W,MATCH($C1275&amp;$I1275&amp;$H1275&amp;$N1275&amp;$O1275,APOIO_REDES!$W:$W,0),MATCH(AT$5,APOIO_REDES!$5:$5,0)),0)*$AP1275,0)</f>
        <v>0.677746089397645</v>
      </c>
      <c r="AU1275" s="153" t="n">
        <f aca="false">IFERROR(IF($N1275="VCA",INDEX(APOIO_REDES!$A:$W,MATCH($C1275&amp;$I1275&amp;$H1275&amp;$N1275&amp;$O1275,APOIO_REDES!$W:$W,0),MATCH(AU$5,APOIO_REDES!$5:$5,0)),0)*$AP1275,0)</f>
        <v>0.541229671300981</v>
      </c>
      <c r="AV1275" s="153" t="n">
        <f aca="false">IFERROR(IF($N1275="VCA",INDEX(APOIO_REDES!$A:$W,MATCH($C1275&amp;$I1275&amp;$H1275&amp;$N1275&amp;$O1275,APOIO_REDES!$W:$W,0),MATCH(AV$5,APOIO_REDES!$5:$5,0)),0)*$AP1275,0)</f>
        <v>0.074901937688548</v>
      </c>
      <c r="AW1275" s="153" t="n">
        <f aca="false">IFERROR(IF($N1275="VCA",INDEX(APOIO_REDES!$A:$W,MATCH($C1275&amp;$I1275&amp;$H1275&amp;$N1275&amp;$O1275,APOIO_REDES!$W:$W,0),MATCH(AW$5,APOIO_REDES!$5:$5,0)),0)*$AP1275,0)</f>
        <v>42.75712424014</v>
      </c>
      <c r="AX1275" s="153" t="n">
        <f aca="false">IFERROR(IF($N1275="VCA",INDEX(APOIO_REDES!$A:$W,MATCH($C1275&amp;$I1275&amp;$H1275&amp;$N1275&amp;$O1275,APOIO_REDES!$W:$W,0),MATCH(AX$5,APOIO_REDES!$5:$5,0)),0)*$AP1275,0)</f>
        <v>5.91746419886151</v>
      </c>
      <c r="AY1275" s="153" t="n">
        <f aca="false">IFERROR(IF($N1275="VCA",INDEX(APOIO_REDES!$A:$W,MATCH($C1275&amp;$I1275&amp;$H1275&amp;$N1275&amp;$O1275,APOIO_REDES!$W:$W,0),MATCH(AY$5,APOIO_REDES!$5:$5,0)),0)*$AP1275,0)</f>
        <v>10.8245868284738</v>
      </c>
      <c r="AZ1275" s="153" t="n">
        <f aca="false">IFERROR(IF($N1275="VCA",INDEX(APOIO_REDES!$A:$W,MATCH($C1275&amp;$I1275&amp;$H1275&amp;$N1275&amp;$O1275,APOIO_REDES!$W:$W,0),MATCH(AZ$5,APOIO_REDES!$5:$5,0)),0)*$AP1275,0)</f>
        <v>1.49809153413752</v>
      </c>
      <c r="BA1275" s="153" t="n">
        <f aca="false">IFERROR(IF(AND($N1275="VCA",$Q1275="LINEAR"),INDEX(APOIO_REDES!$A:$W,MATCH($C1275&amp;$I1275&amp;$H1275&amp;$N1275&amp;$O1275,APOIO_REDES!$W:$W,0),MATCH(BA$5,APOIO_REDES!$5:$5,0)),IF(AND($N1275="MND",$Q1275="EMBOQUE"),INDEX(APOIO_REDES!$A:$W,MATCH($C1275&amp;$I1275&amp;$H1275&amp;$N1275&amp;$O1275,APOIO_REDES!$W:$W,0),MATCH(BA$5,APOIO_REDES!$5:$5,0)),0))*$M1275/10,0)</f>
        <v>5.66680864863435</v>
      </c>
      <c r="BB1275" s="153" t="n">
        <f aca="false">IFERROR(IF($N1275="VCA",INDEX(APOIO_REDES!$A:$W,MATCH($C1275&amp;$I1275&amp;$H1275&amp;$N1275&amp;$O1275,APOIO_REDES!$W:$W,0),MATCH(BB$5,APOIO_REDES!$5:$5,0)),0)*($AI1275+$AQ1275+$AR1275),0)</f>
        <v>20.9295696728605</v>
      </c>
      <c r="BC1275" s="153" t="n">
        <f aca="false">IFERROR(IF($N1275="VCA",INDEX(APOIO_REDES!$A:$W,MATCH($C1275&amp;$I1275&amp;$H1275&amp;$N1275&amp;$O1275,APOIO_REDES!$W:$W,0),MATCH(BC$5,APOIO_REDES!$5:$5,0)),0)*($AI1275+$AQ1275+$AR1275),0)</f>
        <v>0.230224827139479</v>
      </c>
      <c r="BD1275" s="153" t="n">
        <f aca="false">IF(AND($N1275="VCA",$AF1275&gt;=1.25,$AF1275&lt;1.5),$M1275*$AF1275*2,0)</f>
        <v>191.66506</v>
      </c>
      <c r="BE1275" s="153" t="n">
        <f aca="false">IF(AND($N1275="VCA",$AF1275&gt;=1.5,$AF1275&lt;3),$M1275*$AF1275*2,0)</f>
        <v>0</v>
      </c>
      <c r="BF1275" s="153" t="n">
        <f aca="false">IF(AND($N1275="VCA",$AF1275&gt;=3),$M1275*$AF1275*2,0)</f>
        <v>0</v>
      </c>
      <c r="BG1275" s="153" t="n">
        <f aca="false">($BB1275+$BC1275)*$AK1275</f>
        <v>63.4793835</v>
      </c>
      <c r="BH1275" s="153" t="n">
        <f aca="false">IF(AND($M1275&lt;&gt;"",$N1275="VCA",$Q1275="LINEAR"),($M1275*2)/100,IF(AND($M1275&lt;&gt;"",$N1275="MND",$Q1275="EMBOQUE"),($AN1275*2)/100,0))</f>
        <v>1.4062</v>
      </c>
      <c r="BI1275" s="153" t="n">
        <f aca="false">IF(AND($M1275&lt;&gt;"",$N1275="VCA",$Q1275="LINEAR"),$M1275,IF(AND($M1275&lt;&gt;"",$N1275="MND",$Q1275="EMBOQUE"),$AN1275*2,0))</f>
        <v>70.31</v>
      </c>
      <c r="BJ1275" s="153" t="n">
        <f aca="false">IF(AND($M1275&lt;&gt;"",$N1275="VCA",$Q1275="LINEAR"),($M1275*6.8)/100,IF(AND($M1275&lt;&gt;"",$N1275="MND",$Q1275="EMBOQUE"),($AN1275*2*6.8)/100,0))</f>
        <v>4.78108</v>
      </c>
      <c r="BK1275" s="153" t="n">
        <f aca="false">IF(AND($M1275&lt;&gt;"",$N1275="VCA",$Q1275="LINEAR"),($M1275*2.5)/50,IF(AND($M1275&lt;&gt;"",$N1275="MND",$Q1275="EMBOQUE"),($AN1275*2*2.5)/50,0))</f>
        <v>3.5155</v>
      </c>
      <c r="BL1275" s="157" t="str">
        <f aca="false">K1275&amp;J1275</f>
        <v>Zona11REDES</v>
      </c>
      <c r="BM1275" s="152" t="s">
        <v>6084</v>
      </c>
      <c r="BN1275" s="152" t="s">
        <v>1560</v>
      </c>
      <c r="BO1275" s="152" t="s">
        <v>4803</v>
      </c>
      <c r="BP1275" s="152" t="s">
        <v>6364</v>
      </c>
      <c r="BQ1275" s="152" t="s">
        <v>6374</v>
      </c>
      <c r="BR1275" s="152" t="s">
        <v>6365</v>
      </c>
      <c r="BS1275" s="152" t="n">
        <v>205320.235</v>
      </c>
      <c r="BT1275" s="152" t="n">
        <v>8236339.177</v>
      </c>
      <c r="BU1275" s="152" t="n">
        <v>205376.243</v>
      </c>
      <c r="BV1275" s="152" t="n">
        <v>8236296.727</v>
      </c>
      <c r="BW1275" s="152" t="n">
        <v>-15.9349397</v>
      </c>
      <c r="BX1275" s="152" t="n">
        <v>-47.7521825</v>
      </c>
      <c r="BY1275" s="152" t="s">
        <v>6364</v>
      </c>
    </row>
    <row r="1276" customFormat="false" ht="13.8" hidden="false" customHeight="false" outlineLevel="0" collapsed="false">
      <c r="A1276" s="149" t="n">
        <f aca="false">IF(C1276&lt;&gt;"",ROW(A1271),"")</f>
        <v>1271</v>
      </c>
      <c r="B1276" s="150" t="str">
        <f aca="false">HYPERLINK("https://www.google.com/maps/dir/-15.917302,-47.760003/-15.9347383,-47.7524360/data=!4m3!4m2!3e0!5i1")</f>
        <v>https://www.google.com/maps/dir/-15.917302,-47.760003/-15.9347383,-47.7524360/data=!4m3!4m2!3e0!5i1</v>
      </c>
      <c r="C1276" s="151" t="s">
        <v>117</v>
      </c>
      <c r="D1276" s="152" t="s">
        <v>112</v>
      </c>
      <c r="E1276" s="152" t="s">
        <v>113</v>
      </c>
      <c r="F1276" s="152" t="s">
        <v>117</v>
      </c>
      <c r="G1276" s="152" t="s">
        <v>782</v>
      </c>
      <c r="H1276" s="152" t="n">
        <v>63</v>
      </c>
      <c r="I1276" s="152" t="s">
        <v>115</v>
      </c>
      <c r="J1276" s="152" t="s">
        <v>6</v>
      </c>
      <c r="K1276" s="152" t="s">
        <v>6081</v>
      </c>
      <c r="L1276" s="152" t="s">
        <v>120</v>
      </c>
      <c r="M1276" s="153" t="n">
        <f aca="false">248.04</f>
        <v>248.04</v>
      </c>
      <c r="N1276" s="152" t="s">
        <v>1548</v>
      </c>
      <c r="O1276" s="152" t="s">
        <v>1549</v>
      </c>
      <c r="P1276" s="152" t="s">
        <v>1550</v>
      </c>
      <c r="Q1276" s="152" t="s">
        <v>1551</v>
      </c>
      <c r="R1276" s="154" t="s">
        <v>6375</v>
      </c>
      <c r="S1276" s="154" t="s">
        <v>1553</v>
      </c>
      <c r="T1276" s="155" t="s">
        <v>4801</v>
      </c>
      <c r="U1276" s="152" t="str">
        <f aca="false">RIGHT(T1276,7)</f>
        <v>021/037</v>
      </c>
      <c r="V1276" s="152" t="s">
        <v>1555</v>
      </c>
      <c r="W1276" s="156" t="n">
        <v>45882</v>
      </c>
      <c r="X1276" s="152" t="s">
        <v>3938</v>
      </c>
      <c r="Y1276" s="152" t="s">
        <v>6361</v>
      </c>
      <c r="Z1276" s="152" t="s">
        <v>1557</v>
      </c>
      <c r="AA1276" s="153" t="n">
        <v>3</v>
      </c>
      <c r="AB1276" s="151" t="s">
        <v>6376</v>
      </c>
      <c r="AC1276" s="151" t="s">
        <v>186</v>
      </c>
      <c r="AD1276" s="151" t="str">
        <f aca="false">CONCATENATE($C1276,$I1276,$H1276,$N1276,$J1276,$K1276)</f>
        <v>TUBO PEADPEAD63VCAREDESZona11</v>
      </c>
      <c r="AE1276" s="153" t="n">
        <f aca="false">IFERROR(INDEX(APOIO_REDES!$A:$W,MATCH($C1276&amp;$I1276&amp;$H1276&amp;$N1276&amp;$O1276,APOIO_REDES!$W:$W,0),MATCH(AE$5,APOIO_REDES!$5:$5,0)),0)</f>
        <v>1.2</v>
      </c>
      <c r="AF1276" s="153" t="n">
        <f aca="false">IFERROR(INDEX(APOIO_REDES!$A:$W,MATCH($C1276&amp;$I1276&amp;$H1276&amp;$N1276&amp;$O1276,APOIO_REDES!$W:$W,0),MATCH(AF$5,APOIO_REDES!$5:$5,0)),0)</f>
        <v>1.363</v>
      </c>
      <c r="AG1276" s="153" t="n">
        <f aca="false">IFERROR(INDEX(APOIO_REDES!$A:$W,MATCH($C1276&amp;$I1276&amp;$H1276&amp;$N1276&amp;$O1276,APOIO_REDES!$W:$W,0),MATCH(AG$5,APOIO_REDES!$5:$5,0)),0)</f>
        <v>0.65</v>
      </c>
      <c r="AH1276" s="153" t="n">
        <f aca="false">IFERROR(INDEX(APOIO_REDES!$A:$W,MATCH($C1276&amp;$I1276&amp;$H1276&amp;$N1276&amp;$O1276,APOIO_REDES!$W:$W,0),MATCH(AH$5,APOIO_REDES!$5:$5,0)),0)</f>
        <v>0.1</v>
      </c>
      <c r="AI1276" s="153" t="n">
        <f aca="false">IFERROR(IF($H1276&lt;&gt;"",(((($H1276/1000)/2)^2)*PI()*$M1276),0),0)</f>
        <v>0.77320152682249</v>
      </c>
      <c r="AJ1276" s="153" t="n">
        <f aca="false">IFERROR(IF(AND($H1276&lt;&gt;"",$I1276="FoFo",OR($N1276="MND",$N1276="VCA"),$Q1276="LINEAR"),0,IF(AND($H1276&lt;&gt;"",$I1276="PEAD",$N1276="VCA",$Q1276="LINEAR"),($H1276/1000)+0.3,IF(AND($H1276&lt;&gt;"",$I1276="PEAD",$N1276="MND",$Q1276="EMBOQUE"),0,IF(AND($H1276&lt;&gt;"",$I1276="PVC",$N1276="VCA",$Q1276="LINEAR"),($H1276/1000)+0.2,IF(AND($H1276&lt;&gt;"",$I1276="PVC",$N1276="MND",$Q1276="EMBOQUE"),0,IF(AND($H1276&lt;&gt;"",$I1276="PEAD",$N1276="VCA",$Q1276="PREDIAL"),0,0)))))),0)</f>
        <v>0.363</v>
      </c>
      <c r="AK1276" s="153" t="n">
        <f aca="false">IF(AA1276&lt;&gt;"",AA1276,0)</f>
        <v>3</v>
      </c>
      <c r="AL1276" s="153" t="n">
        <f aca="false">IF(AND($N1276="MND",$Q1276="EMBOQUE"),$M1276,IF(AND($N1276="VCA",$Q1276="LINEAR"),$M1276,IF(AND($N1276="VCA",$Q1276="PREDIAL"),0,0)))</f>
        <v>248.04</v>
      </c>
      <c r="AM1276" s="153" t="n">
        <f aca="false">IF(AND($N1276="MND",$Q1276="EMBOQUE"),$M1276,IF(AND($N1276="VCA",$Q1276="LINEAR"),$M1276,IF(AND($N1276="VCA",$Q1276="PREDIAL"),0,0)))</f>
        <v>248.04</v>
      </c>
      <c r="AN1276" s="153" t="n">
        <f aca="false">ROUND(IF(AND($N1276="VCA",$M1276&lt;&gt;"",$Q1276="LINEAR"),$M1276/100,IF(AND($N1276="MND",$M1276&gt;100,$Q1276="EMBOQUE"),$M1276/100,0)),0)</f>
        <v>2</v>
      </c>
      <c r="AO1276" s="153" t="n">
        <f aca="false">IF(AND($N1276="MND",$Q1276="EMBOQUE"),$AN1276*2*2,IF(AND($N1276="VCA",$Q1276="LINEAR"),$M1276*2,IF(AND($N1276="VCA",$Q1276="PREDIAL"),0,0)))</f>
        <v>496.08</v>
      </c>
      <c r="AP1276" s="153" t="n">
        <f aca="false">IFERROR($M1276*$AF1276*$AG1276,0)</f>
        <v>219.751038</v>
      </c>
      <c r="AQ1276" s="153" t="n">
        <f aca="false">IFERROR(IF(AND($N1276="VCA",$AH1276&gt;0),$M1276*$AG1276*$AH1276,0),0)</f>
        <v>16.1226</v>
      </c>
      <c r="AR1276" s="153" t="n">
        <f aca="false">IFERROR(IF(AND($N1276="VCA",$AJ1276&gt;0),($M1276*$AG1276*$AJ1276)-$AI1276,0),0)</f>
        <v>57.7518364731775</v>
      </c>
      <c r="AS1276" s="153" t="n">
        <f aca="false">IFERROR(IF(AND($N1276="VCA",$AP1276&gt;0),$AP1276-$AI1276-$AQ1276-$AR1276,0),0)</f>
        <v>145.1034</v>
      </c>
      <c r="AT1276" s="153" t="n">
        <f aca="false">IFERROR(IF($N1276="VCA",INDEX(APOIO_REDES!$A:$W,MATCH($C1276&amp;$I1276&amp;$H1276&amp;$N1276&amp;$O1276,APOIO_REDES!$W:$W,0),MATCH(AT$5,APOIO_REDES!$5:$5,0)),0)*$AP1276,0)</f>
        <v>2.39095633642714</v>
      </c>
      <c r="AU1276" s="153" t="n">
        <f aca="false">IFERROR(IF($N1276="VCA",INDEX(APOIO_REDES!$A:$W,MATCH($C1276&amp;$I1276&amp;$H1276&amp;$N1276&amp;$O1276,APOIO_REDES!$W:$W,0),MATCH(AU$5,APOIO_REDES!$5:$5,0)),0)*$AP1276,0)</f>
        <v>1.90935297496082</v>
      </c>
      <c r="AV1276" s="153" t="n">
        <f aca="false">IFERROR(IF($N1276="VCA",INDEX(APOIO_REDES!$A:$W,MATCH($C1276&amp;$I1276&amp;$H1276&amp;$N1276&amp;$O1276,APOIO_REDES!$W:$W,0),MATCH(AV$5,APOIO_REDES!$5:$5,0)),0)*$AP1276,0)</f>
        <v>0.264239462726034</v>
      </c>
      <c r="AW1276" s="153" t="n">
        <f aca="false">IFERROR(IF($N1276="VCA",INDEX(APOIO_REDES!$A:$W,MATCH($C1276&amp;$I1276&amp;$H1276&amp;$N1276&amp;$O1276,APOIO_REDES!$W:$W,0),MATCH(AW$5,APOIO_REDES!$5:$5,0)),0)*$AP1276,0)</f>
        <v>150.838815197331</v>
      </c>
      <c r="AX1276" s="153" t="n">
        <f aca="false">IFERROR(IF($N1276="VCA",INDEX(APOIO_REDES!$A:$W,MATCH($C1276&amp;$I1276&amp;$H1276&amp;$N1276&amp;$O1276,APOIO_REDES!$W:$W,0),MATCH(AX$5,APOIO_REDES!$5:$5,0)),0)*$AP1276,0)</f>
        <v>20.8756623508123</v>
      </c>
      <c r="AY1276" s="153" t="n">
        <f aca="false">IFERROR(IF($N1276="VCA",INDEX(APOIO_REDES!$A:$W,MATCH($C1276&amp;$I1276&amp;$H1276&amp;$N1276&amp;$O1276,APOIO_REDES!$W:$W,0),MATCH(AY$5,APOIO_REDES!$5:$5,0)),0)*$AP1276,0)</f>
        <v>38.1870362243584</v>
      </c>
      <c r="AZ1276" s="153" t="n">
        <f aca="false">IFERROR(IF($N1276="VCA",INDEX(APOIO_REDES!$A:$W,MATCH($C1276&amp;$I1276&amp;$H1276&amp;$N1276&amp;$O1276,APOIO_REDES!$W:$W,0),MATCH(AZ$5,APOIO_REDES!$5:$5,0)),0)*$AP1276,0)</f>
        <v>5.28497545338457</v>
      </c>
      <c r="BA1276" s="153" t="n">
        <f aca="false">IFERROR(IF(AND($N1276="VCA",$Q1276="LINEAR"),INDEX(APOIO_REDES!$A:$W,MATCH($C1276&amp;$I1276&amp;$H1276&amp;$N1276&amp;$O1276,APOIO_REDES!$W:$W,0),MATCH(BA$5,APOIO_REDES!$5:$5,0)),IF(AND($N1276="MND",$Q1276="EMBOQUE"),INDEX(APOIO_REDES!$A:$W,MATCH($C1276&amp;$I1276&amp;$H1276&amp;$N1276&amp;$O1276,APOIO_REDES!$W:$W,0),MATCH(BA$5,APOIO_REDES!$5:$5,0)),0))*$M1276/10,0)</f>
        <v>19.9913983388887</v>
      </c>
      <c r="BB1276" s="153" t="n">
        <f aca="false">IFERROR(IF($N1276="VCA",INDEX(APOIO_REDES!$A:$W,MATCH($C1276&amp;$I1276&amp;$H1276&amp;$N1276&amp;$O1276,APOIO_REDES!$W:$W,0),MATCH(BB$5,APOIO_REDES!$5:$5,0)),0)*($AI1276+$AQ1276+$AR1276),0)</f>
        <v>73.835449603987</v>
      </c>
      <c r="BC1276" s="153" t="n">
        <f aca="false">IFERROR(IF($N1276="VCA",INDEX(APOIO_REDES!$A:$W,MATCH($C1276&amp;$I1276&amp;$H1276&amp;$N1276&amp;$O1276,APOIO_REDES!$W:$W,0),MATCH(BC$5,APOIO_REDES!$5:$5,0)),0)*($AI1276+$AQ1276+$AR1276),0)</f>
        <v>0.812188396013033</v>
      </c>
      <c r="BD1276" s="153" t="n">
        <f aca="false">IF(AND($N1276="VCA",$AF1276&gt;=1.25,$AF1276&lt;1.5),$M1276*$AF1276*2,0)</f>
        <v>676.15704</v>
      </c>
      <c r="BE1276" s="153" t="n">
        <f aca="false">IF(AND($N1276="VCA",$AF1276&gt;=1.5,$AF1276&lt;3),$M1276*$AF1276*2,0)</f>
        <v>0</v>
      </c>
      <c r="BF1276" s="153" t="n">
        <f aca="false">IF(AND($N1276="VCA",$AF1276&gt;=3),$M1276*$AF1276*2,0)</f>
        <v>0</v>
      </c>
      <c r="BG1276" s="153" t="n">
        <f aca="false">($BB1276+$BC1276)*$AK1276</f>
        <v>223.942914</v>
      </c>
      <c r="BH1276" s="153" t="n">
        <f aca="false">IF(AND($M1276&lt;&gt;"",$N1276="VCA",$Q1276="LINEAR"),($M1276*2)/100,IF(AND($M1276&lt;&gt;"",$N1276="MND",$Q1276="EMBOQUE"),($AN1276*2)/100,0))</f>
        <v>4.9608</v>
      </c>
      <c r="BI1276" s="153" t="n">
        <f aca="false">IF(AND($M1276&lt;&gt;"",$N1276="VCA",$Q1276="LINEAR"),$M1276,IF(AND($M1276&lt;&gt;"",$N1276="MND",$Q1276="EMBOQUE"),$AN1276*2,0))</f>
        <v>248.04</v>
      </c>
      <c r="BJ1276" s="153" t="n">
        <f aca="false">IF(AND($M1276&lt;&gt;"",$N1276="VCA",$Q1276="LINEAR"),($M1276*6.8)/100,IF(AND($M1276&lt;&gt;"",$N1276="MND",$Q1276="EMBOQUE"),($AN1276*2*6.8)/100,0))</f>
        <v>16.86672</v>
      </c>
      <c r="BK1276" s="153" t="n">
        <f aca="false">IF(AND($M1276&lt;&gt;"",$N1276="VCA",$Q1276="LINEAR"),($M1276*2.5)/50,IF(AND($M1276&lt;&gt;"",$N1276="MND",$Q1276="EMBOQUE"),($AN1276*2*2.5)/50,0))</f>
        <v>12.402</v>
      </c>
      <c r="BL1276" s="157" t="str">
        <f aca="false">K1276&amp;J1276</f>
        <v>Zona11REDES</v>
      </c>
      <c r="BM1276" s="152" t="s">
        <v>6084</v>
      </c>
      <c r="BN1276" s="152" t="s">
        <v>1560</v>
      </c>
      <c r="BO1276" s="152" t="s">
        <v>4803</v>
      </c>
      <c r="BP1276" s="152" t="s">
        <v>6364</v>
      </c>
      <c r="BQ1276" s="152" t="s">
        <v>6377</v>
      </c>
      <c r="BR1276" s="152" t="s">
        <v>6378</v>
      </c>
      <c r="BS1276" s="152" t="n">
        <v>205320.235</v>
      </c>
      <c r="BT1276" s="152" t="n">
        <v>8236339.177</v>
      </c>
      <c r="BU1276" s="152" t="n">
        <v>205079.66</v>
      </c>
      <c r="BV1276" s="152" t="n">
        <v>8236279.045</v>
      </c>
      <c r="BW1276" s="152" t="n">
        <v>-15.9350018</v>
      </c>
      <c r="BX1276" s="152" t="n">
        <v>-47.7535605</v>
      </c>
      <c r="BY1276" s="152" t="s">
        <v>6364</v>
      </c>
    </row>
    <row r="1277" customFormat="false" ht="13.8" hidden="false" customHeight="false" outlineLevel="0" collapsed="false">
      <c r="A1277" s="149" t="n">
        <f aca="false">IF(C1277&lt;&gt;"",ROW(A1272),"")</f>
        <v>1272</v>
      </c>
      <c r="B1277" s="150" t="str">
        <f aca="false">HYPERLINK("https://www.google.com/maps/dir/-15.917302,-47.760003/-15.9348482,-47.7548759/data=!4m3!4m2!3e0!5i2")</f>
        <v>https://www.google.com/maps/dir/-15.917302,-47.760003/-15.9348482,-47.7548759/data=!4m3!4m2!3e0!5i2</v>
      </c>
      <c r="C1277" s="151" t="s">
        <v>117</v>
      </c>
      <c r="D1277" s="152" t="s">
        <v>112</v>
      </c>
      <c r="E1277" s="152" t="s">
        <v>113</v>
      </c>
      <c r="F1277" s="152" t="s">
        <v>117</v>
      </c>
      <c r="G1277" s="152" t="s">
        <v>782</v>
      </c>
      <c r="H1277" s="152" t="n">
        <v>90</v>
      </c>
      <c r="I1277" s="152" t="s">
        <v>115</v>
      </c>
      <c r="J1277" s="152" t="s">
        <v>6</v>
      </c>
      <c r="K1277" s="152" t="s">
        <v>6081</v>
      </c>
      <c r="L1277" s="152" t="s">
        <v>120</v>
      </c>
      <c r="M1277" s="153" t="n">
        <f aca="false">48.65+0.42</f>
        <v>49.07</v>
      </c>
      <c r="N1277" s="152" t="s">
        <v>1548</v>
      </c>
      <c r="O1277" s="152" t="s">
        <v>1549</v>
      </c>
      <c r="P1277" s="152" t="s">
        <v>1550</v>
      </c>
      <c r="Q1277" s="152" t="s">
        <v>1551</v>
      </c>
      <c r="R1277" s="154" t="s">
        <v>6379</v>
      </c>
      <c r="S1277" s="154" t="s">
        <v>1593</v>
      </c>
      <c r="T1277" s="155" t="s">
        <v>4801</v>
      </c>
      <c r="U1277" s="152" t="str">
        <f aca="false">RIGHT(T1277,7)</f>
        <v>021/037</v>
      </c>
      <c r="V1277" s="152" t="s">
        <v>1555</v>
      </c>
      <c r="W1277" s="156" t="n">
        <v>45882</v>
      </c>
      <c r="X1277" s="152" t="s">
        <v>3938</v>
      </c>
      <c r="Y1277" s="152"/>
      <c r="Z1277" s="152" t="s">
        <v>1557</v>
      </c>
      <c r="AA1277" s="153" t="n">
        <v>3.7</v>
      </c>
      <c r="AB1277" s="151" t="s">
        <v>6380</v>
      </c>
      <c r="AC1277" s="151" t="s">
        <v>526</v>
      </c>
      <c r="AD1277" s="151" t="str">
        <f aca="false">CONCATENATE($C1277,$I1277,$H1277,$N1277,$J1277,$K1277)</f>
        <v>TUBO PEADPEAD90VCAREDESZona11</v>
      </c>
      <c r="AE1277" s="153" t="n">
        <f aca="false">IFERROR(INDEX(APOIO_REDES!$A:$W,MATCH($C1277&amp;$I1277&amp;$H1277&amp;$N1277&amp;$O1277,APOIO_REDES!$W:$W,0),MATCH(AE$5,APOIO_REDES!$5:$5,0)),0)</f>
        <v>1.2</v>
      </c>
      <c r="AF1277" s="153" t="n">
        <f aca="false">IFERROR(INDEX(APOIO_REDES!$A:$W,MATCH($C1277&amp;$I1277&amp;$H1277&amp;$N1277&amp;$O1277,APOIO_REDES!$W:$W,0),MATCH(AF$5,APOIO_REDES!$5:$5,0)),0)</f>
        <v>1.39</v>
      </c>
      <c r="AG1277" s="153" t="n">
        <f aca="false">IFERROR(INDEX(APOIO_REDES!$A:$W,MATCH($C1277&amp;$I1277&amp;$H1277&amp;$N1277&amp;$O1277,APOIO_REDES!$W:$W,0),MATCH(AG$5,APOIO_REDES!$5:$5,0)),0)</f>
        <v>0.75</v>
      </c>
      <c r="AH1277" s="153" t="n">
        <f aca="false">IFERROR(INDEX(APOIO_REDES!$A:$W,MATCH($C1277&amp;$I1277&amp;$H1277&amp;$N1277&amp;$O1277,APOIO_REDES!$W:$W,0),MATCH(AH$5,APOIO_REDES!$5:$5,0)),0)</f>
        <v>0.1</v>
      </c>
      <c r="AI1277" s="153" t="n">
        <f aca="false">IFERROR(IF($H1277&lt;&gt;"",(((($H1277/1000)/2)^2)*PI()*$M1277),0),0)</f>
        <v>0.312169851811094</v>
      </c>
      <c r="AJ1277" s="153" t="n">
        <f aca="false">IFERROR(IF(AND($H1277&lt;&gt;"",$I1277="FoFo",OR($N1277="MND",$N1277="VCA"),$Q1277="LINEAR"),0,IF(AND($H1277&lt;&gt;"",$I1277="PEAD",$N1277="VCA",$Q1277="LINEAR"),($H1277/1000)+0.3,IF(AND($H1277&lt;&gt;"",$I1277="PEAD",$N1277="MND",$Q1277="EMBOQUE"),0,IF(AND($H1277&lt;&gt;"",$I1277="PVC",$N1277="VCA",$Q1277="LINEAR"),($H1277/1000)+0.2,IF(AND($H1277&lt;&gt;"",$I1277="PVC",$N1277="MND",$Q1277="EMBOQUE"),0,IF(AND($H1277&lt;&gt;"",$I1277="PEAD",$N1277="VCA",$Q1277="PREDIAL"),0,0)))))),0)</f>
        <v>0.39</v>
      </c>
      <c r="AK1277" s="153" t="n">
        <f aca="false">IF(AA1277&lt;&gt;"",AA1277,0)</f>
        <v>3.7</v>
      </c>
      <c r="AL1277" s="153" t="n">
        <f aca="false">IF(AND($N1277="MND",$Q1277="EMBOQUE"),$M1277,IF(AND($N1277="VCA",$Q1277="LINEAR"),$M1277,IF(AND($N1277="VCA",$Q1277="PREDIAL"),0,0)))</f>
        <v>49.07</v>
      </c>
      <c r="AM1277" s="153" t="n">
        <f aca="false">IF(AND($N1277="MND",$Q1277="EMBOQUE"),$M1277,IF(AND($N1277="VCA",$Q1277="LINEAR"),$M1277,IF(AND($N1277="VCA",$Q1277="PREDIAL"),0,0)))</f>
        <v>49.07</v>
      </c>
      <c r="AN1277" s="153" t="n">
        <f aca="false">ROUND(IF(AND($N1277="VCA",$M1277&lt;&gt;"",$Q1277="LINEAR"),$M1277/100,IF(AND($N1277="MND",$M1277&gt;100,$Q1277="EMBOQUE"),$M1277/100,0)),0)</f>
        <v>0</v>
      </c>
      <c r="AO1277" s="153" t="n">
        <f aca="false">IF(AND($N1277="MND",$Q1277="EMBOQUE"),$AN1277*2*2,IF(AND($N1277="VCA",$Q1277="LINEAR"),$M1277*2,IF(AND($N1277="VCA",$Q1277="PREDIAL"),0,0)))</f>
        <v>98.14</v>
      </c>
      <c r="AP1277" s="153" t="n">
        <f aca="false">IFERROR($M1277*$AF1277*$AG1277,0)</f>
        <v>51.155475</v>
      </c>
      <c r="AQ1277" s="153" t="n">
        <f aca="false">IFERROR(IF(AND($N1277="VCA",$AH1277&gt;0),$M1277*$AG1277*$AH1277,0),0)</f>
        <v>3.68025</v>
      </c>
      <c r="AR1277" s="153" t="n">
        <f aca="false">IFERROR(IF(AND($N1277="VCA",$AJ1277&gt;0),($M1277*$AG1277*$AJ1277)-$AI1277,0),0)</f>
        <v>14.0408051481889</v>
      </c>
      <c r="AS1277" s="153" t="n">
        <f aca="false">IFERROR(IF(AND($N1277="VCA",$AP1277&gt;0),$AP1277-$AI1277-$AQ1277-$AR1277,0),0)</f>
        <v>33.12225</v>
      </c>
      <c r="AT1277" s="153" t="n">
        <f aca="false">IFERROR(IF($N1277="VCA",INDEX(APOIO_REDES!$A:$W,MATCH($C1277&amp;$I1277&amp;$H1277&amp;$N1277&amp;$O1277,APOIO_REDES!$W:$W,0),MATCH(AT$5,APOIO_REDES!$5:$5,0)),0)*$AP1277,0)</f>
        <v>0.556586709247717</v>
      </c>
      <c r="AU1277" s="153" t="n">
        <f aca="false">IFERROR(IF($N1277="VCA",INDEX(APOIO_REDES!$A:$W,MATCH($C1277&amp;$I1277&amp;$H1277&amp;$N1277&amp;$O1277,APOIO_REDES!$W:$W,0),MATCH(AU$5,APOIO_REDES!$5:$5,0)),0)*$AP1277,0)</f>
        <v>0.444475071725412</v>
      </c>
      <c r="AV1277" s="153" t="n">
        <f aca="false">IFERROR(IF($N1277="VCA",INDEX(APOIO_REDES!$A:$W,MATCH($C1277&amp;$I1277&amp;$H1277&amp;$N1277&amp;$O1277,APOIO_REDES!$W:$W,0),MATCH(AV$5,APOIO_REDES!$5:$5,0)),0)*$AP1277,0)</f>
        <v>0.0615118606606766</v>
      </c>
      <c r="AW1277" s="153" t="n">
        <f aca="false">IFERROR(IF($N1277="VCA",INDEX(APOIO_REDES!$A:$W,MATCH($C1277&amp;$I1277&amp;$H1277&amp;$N1277&amp;$O1277,APOIO_REDES!$W:$W,0),MATCH(AW$5,APOIO_REDES!$5:$5,0)),0)*$AP1277,0)</f>
        <v>35.1135144119623</v>
      </c>
      <c r="AX1277" s="153" t="n">
        <f aca="false">IFERROR(IF($N1277="VCA",INDEX(APOIO_REDES!$A:$W,MATCH($C1277&amp;$I1277&amp;$H1277&amp;$N1277&amp;$O1277,APOIO_REDES!$W:$W,0),MATCH(AX$5,APOIO_REDES!$5:$5,0)),0)*$AP1277,0)</f>
        <v>4.85961037187646</v>
      </c>
      <c r="AY1277" s="153" t="n">
        <f aca="false">IFERROR(IF($N1277="VCA",INDEX(APOIO_REDES!$A:$W,MATCH($C1277&amp;$I1277&amp;$H1277&amp;$N1277&amp;$O1277,APOIO_REDES!$W:$W,0),MATCH(AY$5,APOIO_REDES!$5:$5,0)),0)*$AP1277,0)</f>
        <v>8.88949601639316</v>
      </c>
      <c r="AZ1277" s="153" t="n">
        <f aca="false">IFERROR(IF($N1277="VCA",INDEX(APOIO_REDES!$A:$W,MATCH($C1277&amp;$I1277&amp;$H1277&amp;$N1277&amp;$O1277,APOIO_REDES!$W:$W,0),MATCH(AZ$5,APOIO_REDES!$5:$5,0)),0)*$AP1277,0)</f>
        <v>1.23028055813428</v>
      </c>
      <c r="BA1277" s="153" t="n">
        <f aca="false">IFERROR(IF(AND($N1277="VCA",$Q1277="LINEAR"),INDEX(APOIO_REDES!$A:$W,MATCH($C1277&amp;$I1277&amp;$H1277&amp;$N1277&amp;$O1277,APOIO_REDES!$W:$W,0),MATCH(BA$5,APOIO_REDES!$5:$5,0)),IF(AND($N1277="MND",$Q1277="EMBOQUE"),INDEX(APOIO_REDES!$A:$W,MATCH($C1277&amp;$I1277&amp;$H1277&amp;$N1277&amp;$O1277,APOIO_REDES!$W:$W,0),MATCH(BA$5,APOIO_REDES!$5:$5,0)),0))*$M1277/10,0)</f>
        <v>3.95491822483982</v>
      </c>
      <c r="BB1277" s="153" t="n">
        <f aca="false">IFERROR(IF($N1277="VCA",INDEX(APOIO_REDES!$A:$W,MATCH($C1277&amp;$I1277&amp;$H1277&amp;$N1277&amp;$O1277,APOIO_REDES!$W:$W,0),MATCH(BB$5,APOIO_REDES!$5:$5,0)),0)*($AI1277+$AQ1277+$AR1277),0)</f>
        <v>17.8370181744379</v>
      </c>
      <c r="BC1277" s="153" t="n">
        <f aca="false">IFERROR(IF($N1277="VCA",INDEX(APOIO_REDES!$A:$W,MATCH($C1277&amp;$I1277&amp;$H1277&amp;$N1277&amp;$O1277,APOIO_REDES!$W:$W,0),MATCH(BC$5,APOIO_REDES!$5:$5,0)),0)*($AI1277+$AQ1277+$AR1277),0)</f>
        <v>0.196206825562145</v>
      </c>
      <c r="BD1277" s="153" t="n">
        <f aca="false">IF(AND($N1277="VCA",$AF1277&gt;=1.25,$AF1277&lt;1.5),$M1277*$AF1277*2,0)</f>
        <v>136.4146</v>
      </c>
      <c r="BE1277" s="153" t="n">
        <f aca="false">IF(AND($N1277="VCA",$AF1277&gt;=1.5,$AF1277&lt;3),$M1277*$AF1277*2,0)</f>
        <v>0</v>
      </c>
      <c r="BF1277" s="153" t="n">
        <f aca="false">IF(AND($N1277="VCA",$AF1277&gt;=3),$M1277*$AF1277*2,0)</f>
        <v>0</v>
      </c>
      <c r="BG1277" s="153" t="n">
        <f aca="false">($BB1277+$BC1277)*$AK1277</f>
        <v>66.7229325</v>
      </c>
      <c r="BH1277" s="153" t="n">
        <f aca="false">IF(AND($M1277&lt;&gt;"",$N1277="VCA",$Q1277="LINEAR"),($M1277*2)/100,IF(AND($M1277&lt;&gt;"",$N1277="MND",$Q1277="EMBOQUE"),($AN1277*2)/100,0))</f>
        <v>0.9814</v>
      </c>
      <c r="BI1277" s="153" t="n">
        <f aca="false">IF(AND($M1277&lt;&gt;"",$N1277="VCA",$Q1277="LINEAR"),$M1277,IF(AND($M1277&lt;&gt;"",$N1277="MND",$Q1277="EMBOQUE"),$AN1277*2,0))</f>
        <v>49.07</v>
      </c>
      <c r="BJ1277" s="153" t="n">
        <f aca="false">IF(AND($M1277&lt;&gt;"",$N1277="VCA",$Q1277="LINEAR"),($M1277*6.8)/100,IF(AND($M1277&lt;&gt;"",$N1277="MND",$Q1277="EMBOQUE"),($AN1277*2*6.8)/100,0))</f>
        <v>3.33676</v>
      </c>
      <c r="BK1277" s="153" t="n">
        <f aca="false">IF(AND($M1277&lt;&gt;"",$N1277="VCA",$Q1277="LINEAR"),($M1277*2.5)/50,IF(AND($M1277&lt;&gt;"",$N1277="MND",$Q1277="EMBOQUE"),($AN1277*2*2.5)/50,0))</f>
        <v>2.4535</v>
      </c>
      <c r="BL1277" s="157" t="str">
        <f aca="false">K1277&amp;J1277</f>
        <v>Zona11REDES</v>
      </c>
      <c r="BM1277" s="152" t="s">
        <v>6084</v>
      </c>
      <c r="BN1277" s="152" t="s">
        <v>1560</v>
      </c>
      <c r="BO1277" s="152" t="s">
        <v>4803</v>
      </c>
      <c r="BP1277" s="152" t="s">
        <v>6358</v>
      </c>
      <c r="BQ1277" s="152" t="s">
        <v>6377</v>
      </c>
      <c r="BR1277" s="152" t="s">
        <v>6381</v>
      </c>
      <c r="BS1277" s="152" t="n">
        <v>205059.005</v>
      </c>
      <c r="BT1277" s="152" t="n">
        <v>8236323.559</v>
      </c>
      <c r="BU1277" s="152" t="n">
        <v>205079.484</v>
      </c>
      <c r="BV1277" s="152" t="n">
        <v>8236279.424</v>
      </c>
      <c r="BW1277" s="152" t="n">
        <v>-15.9350487</v>
      </c>
      <c r="BX1277" s="152" t="n">
        <v>-47.754783</v>
      </c>
      <c r="BY1277" s="152" t="s">
        <v>6358</v>
      </c>
    </row>
    <row r="1278" customFormat="false" ht="13.8" hidden="false" customHeight="false" outlineLevel="0" collapsed="false">
      <c r="A1278" s="149" t="n">
        <f aca="false">IF(C1278&lt;&gt;"",ROW(A1273),"")</f>
        <v>1273</v>
      </c>
      <c r="B1278" s="150" t="str">
        <f aca="false">HYPERLINK("https://www.google.com/maps/dir/-15.917302,-47.760003/-15.9356718,-47.7545028/data=!4m3!4m2!3e0!5i2")</f>
        <v>https://www.google.com/maps/dir/-15.917302,-47.760003/-15.9356718,-47.7545028/data=!4m3!4m2!3e0!5i2</v>
      </c>
      <c r="C1278" s="151" t="s">
        <v>117</v>
      </c>
      <c r="D1278" s="152" t="s">
        <v>112</v>
      </c>
      <c r="E1278" s="152" t="s">
        <v>113</v>
      </c>
      <c r="F1278" s="152" t="s">
        <v>117</v>
      </c>
      <c r="G1278" s="152" t="s">
        <v>782</v>
      </c>
      <c r="H1278" s="152" t="n">
        <v>63</v>
      </c>
      <c r="I1278" s="152" t="s">
        <v>115</v>
      </c>
      <c r="J1278" s="152" t="s">
        <v>6</v>
      </c>
      <c r="K1278" s="152" t="s">
        <v>6081</v>
      </c>
      <c r="L1278" s="152" t="s">
        <v>120</v>
      </c>
      <c r="M1278" s="153" t="n">
        <f aca="false">283.45</f>
        <v>283.45</v>
      </c>
      <c r="N1278" s="152" t="s">
        <v>1548</v>
      </c>
      <c r="O1278" s="152" t="s">
        <v>1549</v>
      </c>
      <c r="P1278" s="152" t="s">
        <v>1550</v>
      </c>
      <c r="Q1278" s="152" t="s">
        <v>1551</v>
      </c>
      <c r="R1278" s="154" t="s">
        <v>6382</v>
      </c>
      <c r="S1278" s="154" t="s">
        <v>1553</v>
      </c>
      <c r="T1278" s="155" t="s">
        <v>4801</v>
      </c>
      <c r="U1278" s="152" t="str">
        <f aca="false">RIGHT(T1278,7)</f>
        <v>021/037</v>
      </c>
      <c r="V1278" s="152" t="s">
        <v>1555</v>
      </c>
      <c r="W1278" s="156" t="n">
        <v>45882</v>
      </c>
      <c r="X1278" s="152" t="s">
        <v>3938</v>
      </c>
      <c r="Y1278" s="152"/>
      <c r="Z1278" s="152" t="s">
        <v>1557</v>
      </c>
      <c r="AA1278" s="153" t="n">
        <v>4</v>
      </c>
      <c r="AB1278" s="151" t="s">
        <v>6383</v>
      </c>
      <c r="AC1278" s="151" t="s">
        <v>186</v>
      </c>
      <c r="AD1278" s="151" t="str">
        <f aca="false">CONCATENATE($C1278,$I1278,$H1278,$N1278,$J1278,$K1278)</f>
        <v>TUBO PEADPEAD63VCAREDESZona11</v>
      </c>
      <c r="AE1278" s="153" t="n">
        <f aca="false">IFERROR(INDEX(APOIO_REDES!$A:$W,MATCH($C1278&amp;$I1278&amp;$H1278&amp;$N1278&amp;$O1278,APOIO_REDES!$W:$W,0),MATCH(AE$5,APOIO_REDES!$5:$5,0)),0)</f>
        <v>1.2</v>
      </c>
      <c r="AF1278" s="153" t="n">
        <f aca="false">IFERROR(INDEX(APOIO_REDES!$A:$W,MATCH($C1278&amp;$I1278&amp;$H1278&amp;$N1278&amp;$O1278,APOIO_REDES!$W:$W,0),MATCH(AF$5,APOIO_REDES!$5:$5,0)),0)</f>
        <v>1.363</v>
      </c>
      <c r="AG1278" s="153" t="n">
        <f aca="false">IFERROR(INDEX(APOIO_REDES!$A:$W,MATCH($C1278&amp;$I1278&amp;$H1278&amp;$N1278&amp;$O1278,APOIO_REDES!$W:$W,0),MATCH(AG$5,APOIO_REDES!$5:$5,0)),0)</f>
        <v>0.65</v>
      </c>
      <c r="AH1278" s="153" t="n">
        <f aca="false">IFERROR(INDEX(APOIO_REDES!$A:$W,MATCH($C1278&amp;$I1278&amp;$H1278&amp;$N1278&amp;$O1278,APOIO_REDES!$W:$W,0),MATCH(AH$5,APOIO_REDES!$5:$5,0)),0)</f>
        <v>0.1</v>
      </c>
      <c r="AI1278" s="153" t="n">
        <f aca="false">IFERROR(IF($H1278&lt;&gt;"",(((($H1278/1000)/2)^2)*PI()*$M1278),0),0)</f>
        <v>0.883583183268162</v>
      </c>
      <c r="AJ1278" s="153" t="n">
        <f aca="false">IFERROR(IF(AND($H1278&lt;&gt;"",$I1278="FoFo",OR($N1278="MND",$N1278="VCA"),$Q1278="LINEAR"),0,IF(AND($H1278&lt;&gt;"",$I1278="PEAD",$N1278="VCA",$Q1278="LINEAR"),($H1278/1000)+0.3,IF(AND($H1278&lt;&gt;"",$I1278="PEAD",$N1278="MND",$Q1278="EMBOQUE"),0,IF(AND($H1278&lt;&gt;"",$I1278="PVC",$N1278="VCA",$Q1278="LINEAR"),($H1278/1000)+0.2,IF(AND($H1278&lt;&gt;"",$I1278="PVC",$N1278="MND",$Q1278="EMBOQUE"),0,IF(AND($H1278&lt;&gt;"",$I1278="PEAD",$N1278="VCA",$Q1278="PREDIAL"),0,0)))))),0)</f>
        <v>0.363</v>
      </c>
      <c r="AK1278" s="153" t="n">
        <f aca="false">IF(AA1278&lt;&gt;"",AA1278,0)</f>
        <v>4</v>
      </c>
      <c r="AL1278" s="153" t="n">
        <f aca="false">IF(AND($N1278="MND",$Q1278="EMBOQUE"),$M1278,IF(AND($N1278="VCA",$Q1278="LINEAR"),$M1278,IF(AND($N1278="VCA",$Q1278="PREDIAL"),0,0)))</f>
        <v>283.45</v>
      </c>
      <c r="AM1278" s="153" t="n">
        <f aca="false">IF(AND($N1278="MND",$Q1278="EMBOQUE"),$M1278,IF(AND($N1278="VCA",$Q1278="LINEAR"),$M1278,IF(AND($N1278="VCA",$Q1278="PREDIAL"),0,0)))</f>
        <v>283.45</v>
      </c>
      <c r="AN1278" s="153" t="n">
        <f aca="false">ROUND(IF(AND($N1278="VCA",$M1278&lt;&gt;"",$Q1278="LINEAR"),$M1278/100,IF(AND($N1278="MND",$M1278&gt;100,$Q1278="EMBOQUE"),$M1278/100,0)),0)</f>
        <v>3</v>
      </c>
      <c r="AO1278" s="153" t="n">
        <f aca="false">IF(AND($N1278="MND",$Q1278="EMBOQUE"),$AN1278*2*2,IF(AND($N1278="VCA",$Q1278="LINEAR"),$M1278*2,IF(AND($N1278="VCA",$Q1278="PREDIAL"),0,0)))</f>
        <v>566.9</v>
      </c>
      <c r="AP1278" s="153" t="n">
        <f aca="false">IFERROR($M1278*$AF1278*$AG1278,0)</f>
        <v>251.1225275</v>
      </c>
      <c r="AQ1278" s="153" t="n">
        <f aca="false">IFERROR(IF(AND($N1278="VCA",$AH1278&gt;0),$M1278*$AG1278*$AH1278,0),0)</f>
        <v>18.42425</v>
      </c>
      <c r="AR1278" s="153" t="n">
        <f aca="false">IFERROR(IF(AND($N1278="VCA",$AJ1278&gt;0),($M1278*$AG1278*$AJ1278)-$AI1278,0),0)</f>
        <v>65.9964443167318</v>
      </c>
      <c r="AS1278" s="153" t="n">
        <f aca="false">IFERROR(IF(AND($N1278="VCA",$AP1278&gt;0),$AP1278-$AI1278-$AQ1278-$AR1278,0),0)</f>
        <v>165.81825</v>
      </c>
      <c r="AT1278" s="153" t="n">
        <f aca="false">IFERROR(IF($N1278="VCA",INDEX(APOIO_REDES!$A:$W,MATCH($C1278&amp;$I1278&amp;$H1278&amp;$N1278&amp;$O1278,APOIO_REDES!$W:$W,0),MATCH(AT$5,APOIO_REDES!$5:$5,0)),0)*$AP1278,0)</f>
        <v>2.73228742767405</v>
      </c>
      <c r="AU1278" s="153" t="n">
        <f aca="false">IFERROR(IF($N1278="VCA",INDEX(APOIO_REDES!$A:$W,MATCH($C1278&amp;$I1278&amp;$H1278&amp;$N1278&amp;$O1278,APOIO_REDES!$W:$W,0),MATCH(AU$5,APOIO_REDES!$5:$5,0)),0)*$AP1278,0)</f>
        <v>2.18193074001227</v>
      </c>
      <c r="AV1278" s="153" t="n">
        <f aca="false">IFERROR(IF($N1278="VCA",INDEX(APOIO_REDES!$A:$W,MATCH($C1278&amp;$I1278&amp;$H1278&amp;$N1278&amp;$O1278,APOIO_REDES!$W:$W,0),MATCH(AV$5,APOIO_REDES!$5:$5,0)),0)*$AP1278,0)</f>
        <v>0.301962085589801</v>
      </c>
      <c r="AW1278" s="153" t="n">
        <f aca="false">IFERROR(IF($N1278="VCA",INDEX(APOIO_REDES!$A:$W,MATCH($C1278&amp;$I1278&amp;$H1278&amp;$N1278&amp;$O1278,APOIO_REDES!$W:$W,0),MATCH(AW$5,APOIO_REDES!$5:$5,0)),0)*$AP1278,0)</f>
        <v>172.372448668293</v>
      </c>
      <c r="AX1278" s="153" t="n">
        <f aca="false">IFERROR(IF($N1278="VCA",INDEX(APOIO_REDES!$A:$W,MATCH($C1278&amp;$I1278&amp;$H1278&amp;$N1278&amp;$O1278,APOIO_REDES!$W:$W,0),MATCH(AX$5,APOIO_REDES!$5:$5,0)),0)*$AP1278,0)</f>
        <v>23.8558558834774</v>
      </c>
      <c r="AY1278" s="153" t="n">
        <f aca="false">IFERROR(IF($N1278="VCA",INDEX(APOIO_REDES!$A:$W,MATCH($C1278&amp;$I1278&amp;$H1278&amp;$N1278&amp;$O1278,APOIO_REDES!$W:$W,0),MATCH(AY$5,APOIO_REDES!$5:$5,0)),0)*$AP1278,0)</f>
        <v>43.6385882026866</v>
      </c>
      <c r="AZ1278" s="153" t="n">
        <f aca="false">IFERROR(IF($N1278="VCA",INDEX(APOIO_REDES!$A:$W,MATCH($C1278&amp;$I1278&amp;$H1278&amp;$N1278&amp;$O1278,APOIO_REDES!$W:$W,0),MATCH(AZ$5,APOIO_REDES!$5:$5,0)),0)*$AP1278,0)</f>
        <v>6.0394544922668</v>
      </c>
      <c r="BA1278" s="153" t="n">
        <f aca="false">IFERROR(IF(AND($N1278="VCA",$Q1278="LINEAR"),INDEX(APOIO_REDES!$A:$W,MATCH($C1278&amp;$I1278&amp;$H1278&amp;$N1278&amp;$O1278,APOIO_REDES!$W:$W,0),MATCH(BA$5,APOIO_REDES!$5:$5,0)),IF(AND($N1278="MND",$Q1278="EMBOQUE"),INDEX(APOIO_REDES!$A:$W,MATCH($C1278&amp;$I1278&amp;$H1278&amp;$N1278&amp;$O1278,APOIO_REDES!$W:$W,0),MATCH(BA$5,APOIO_REDES!$5:$5,0)),0))*$M1278/10,0)</f>
        <v>22.8453550199887</v>
      </c>
      <c r="BB1278" s="153" t="n">
        <f aca="false">IFERROR(IF($N1278="VCA",INDEX(APOIO_REDES!$A:$W,MATCH($C1278&amp;$I1278&amp;$H1278&amp;$N1278&amp;$O1278,APOIO_REDES!$W:$W,0),MATCH(BB$5,APOIO_REDES!$5:$5,0)),0)*($AI1278+$AQ1278+$AR1278),0)</f>
        <v>84.3761417120227</v>
      </c>
      <c r="BC1278" s="153" t="n">
        <f aca="false">IFERROR(IF($N1278="VCA",INDEX(APOIO_REDES!$A:$W,MATCH($C1278&amp;$I1278&amp;$H1278&amp;$N1278&amp;$O1278,APOIO_REDES!$W:$W,0),MATCH(BC$5,APOIO_REDES!$5:$5,0)),0)*($AI1278+$AQ1278+$AR1278),0)</f>
        <v>0.928135787977319</v>
      </c>
      <c r="BD1278" s="153" t="n">
        <f aca="false">IF(AND($N1278="VCA",$AF1278&gt;=1.25,$AF1278&lt;1.5),$M1278*$AF1278*2,0)</f>
        <v>772.6847</v>
      </c>
      <c r="BE1278" s="153" t="n">
        <f aca="false">IF(AND($N1278="VCA",$AF1278&gt;=1.5,$AF1278&lt;3),$M1278*$AF1278*2,0)</f>
        <v>0</v>
      </c>
      <c r="BF1278" s="153" t="n">
        <f aca="false">IF(AND($N1278="VCA",$AF1278&gt;=3),$M1278*$AF1278*2,0)</f>
        <v>0</v>
      </c>
      <c r="BG1278" s="153" t="n">
        <f aca="false">($BB1278+$BC1278)*$AK1278</f>
        <v>341.21711</v>
      </c>
      <c r="BH1278" s="153" t="n">
        <f aca="false">IF(AND($M1278&lt;&gt;"",$N1278="VCA",$Q1278="LINEAR"),($M1278*2)/100,IF(AND($M1278&lt;&gt;"",$N1278="MND",$Q1278="EMBOQUE"),($AN1278*2)/100,0))</f>
        <v>5.669</v>
      </c>
      <c r="BI1278" s="153" t="n">
        <f aca="false">IF(AND($M1278&lt;&gt;"",$N1278="VCA",$Q1278="LINEAR"),$M1278,IF(AND($M1278&lt;&gt;"",$N1278="MND",$Q1278="EMBOQUE"),$AN1278*2,0))</f>
        <v>283.45</v>
      </c>
      <c r="BJ1278" s="153" t="n">
        <f aca="false">IF(AND($M1278&lt;&gt;"",$N1278="VCA",$Q1278="LINEAR"),($M1278*6.8)/100,IF(AND($M1278&lt;&gt;"",$N1278="MND",$Q1278="EMBOQUE"),($AN1278*2*6.8)/100,0))</f>
        <v>19.2746</v>
      </c>
      <c r="BK1278" s="153" t="n">
        <f aca="false">IF(AND($M1278&lt;&gt;"",$N1278="VCA",$Q1278="LINEAR"),($M1278*2.5)/50,IF(AND($M1278&lt;&gt;"",$N1278="MND",$Q1278="EMBOQUE"),($AN1278*2*2.5)/50,0))</f>
        <v>14.1725</v>
      </c>
      <c r="BL1278" s="157" t="str">
        <f aca="false">K1278&amp;J1278</f>
        <v>Zona11REDES</v>
      </c>
      <c r="BM1278" s="152" t="s">
        <v>6084</v>
      </c>
      <c r="BN1278" s="152" t="s">
        <v>1560</v>
      </c>
      <c r="BO1278" s="152" t="s">
        <v>4803</v>
      </c>
      <c r="BP1278" s="152" t="s">
        <v>6384</v>
      </c>
      <c r="BQ1278" s="152" t="s">
        <v>6374</v>
      </c>
      <c r="BR1278" s="152" t="s">
        <v>6385</v>
      </c>
      <c r="BS1278" s="152" t="n">
        <v>205100.172</v>
      </c>
      <c r="BT1278" s="152" t="n">
        <v>8236232.893</v>
      </c>
      <c r="BU1278" s="152" t="n">
        <v>205376.243</v>
      </c>
      <c r="BV1278" s="152" t="n">
        <v>8236296.727</v>
      </c>
      <c r="BW1278" s="152" t="n">
        <v>-15.9354009</v>
      </c>
      <c r="BX1278" s="152" t="n">
        <v>-47.7532108</v>
      </c>
      <c r="BY1278" s="152" t="s">
        <v>6384</v>
      </c>
    </row>
    <row r="1279" customFormat="false" ht="13.8" hidden="false" customHeight="false" outlineLevel="0" collapsed="false">
      <c r="A1279" s="149" t="n">
        <f aca="false">IF(C1279&lt;&gt;"",ROW(A1274),"")</f>
        <v>1274</v>
      </c>
      <c r="B1279" s="150" t="str">
        <f aca="false">HYPERLINK("https://www.google.com/maps/dir/-15.917302,-47.760003/-15.9352492,-47.7546902/data=!4m3!4m2!3e0!5i1")</f>
        <v>https://www.google.com/maps/dir/-15.917302,-47.760003/-15.9352492,-47.7546902/data=!4m3!4m2!3e0!5i1</v>
      </c>
      <c r="C1279" s="151" t="s">
        <v>117</v>
      </c>
      <c r="D1279" s="152" t="s">
        <v>112</v>
      </c>
      <c r="E1279" s="152" t="s">
        <v>113</v>
      </c>
      <c r="F1279" s="152" t="s">
        <v>117</v>
      </c>
      <c r="G1279" s="152" t="s">
        <v>782</v>
      </c>
      <c r="H1279" s="152" t="n">
        <v>63</v>
      </c>
      <c r="I1279" s="152" t="s">
        <v>115</v>
      </c>
      <c r="J1279" s="152" t="s">
        <v>6</v>
      </c>
      <c r="K1279" s="152" t="s">
        <v>6081</v>
      </c>
      <c r="L1279" s="152" t="s">
        <v>120</v>
      </c>
      <c r="M1279" s="153" t="n">
        <f aca="false">50.5</f>
        <v>50.5</v>
      </c>
      <c r="N1279" s="152" t="s">
        <v>1548</v>
      </c>
      <c r="O1279" s="152" t="s">
        <v>1549</v>
      </c>
      <c r="P1279" s="152" t="s">
        <v>1550</v>
      </c>
      <c r="Q1279" s="152" t="s">
        <v>1551</v>
      </c>
      <c r="R1279" s="154" t="s">
        <v>6386</v>
      </c>
      <c r="S1279" s="154" t="s">
        <v>1553</v>
      </c>
      <c r="T1279" s="155" t="s">
        <v>4801</v>
      </c>
      <c r="U1279" s="152" t="str">
        <f aca="false">RIGHT(T1279,7)</f>
        <v>021/037</v>
      </c>
      <c r="V1279" s="152" t="s">
        <v>1555</v>
      </c>
      <c r="W1279" s="156" t="n">
        <v>45882</v>
      </c>
      <c r="X1279" s="152" t="s">
        <v>3938</v>
      </c>
      <c r="Y1279" s="152"/>
      <c r="Z1279" s="152" t="s">
        <v>1557</v>
      </c>
      <c r="AA1279" s="153" t="n">
        <v>3.3</v>
      </c>
      <c r="AB1279" s="151" t="s">
        <v>6387</v>
      </c>
      <c r="AC1279" s="151" t="s">
        <v>186</v>
      </c>
      <c r="AD1279" s="151" t="str">
        <f aca="false">CONCATENATE($C1279,$I1279,$H1279,$N1279,$J1279,$K1279)</f>
        <v>TUBO PEADPEAD63VCAREDESZona11</v>
      </c>
      <c r="AE1279" s="153" t="n">
        <f aca="false">IFERROR(INDEX(APOIO_REDES!$A:$W,MATCH($C1279&amp;$I1279&amp;$H1279&amp;$N1279&amp;$O1279,APOIO_REDES!$W:$W,0),MATCH(AE$5,APOIO_REDES!$5:$5,0)),0)</f>
        <v>1.2</v>
      </c>
      <c r="AF1279" s="153" t="n">
        <f aca="false">IFERROR(INDEX(APOIO_REDES!$A:$W,MATCH($C1279&amp;$I1279&amp;$H1279&amp;$N1279&amp;$O1279,APOIO_REDES!$W:$W,0),MATCH(AF$5,APOIO_REDES!$5:$5,0)),0)</f>
        <v>1.363</v>
      </c>
      <c r="AG1279" s="153" t="n">
        <f aca="false">IFERROR(INDEX(APOIO_REDES!$A:$W,MATCH($C1279&amp;$I1279&amp;$H1279&amp;$N1279&amp;$O1279,APOIO_REDES!$W:$W,0),MATCH(AG$5,APOIO_REDES!$5:$5,0)),0)</f>
        <v>0.65</v>
      </c>
      <c r="AH1279" s="153" t="n">
        <f aca="false">IFERROR(INDEX(APOIO_REDES!$A:$W,MATCH($C1279&amp;$I1279&amp;$H1279&amp;$N1279&amp;$O1279,APOIO_REDES!$W:$W,0),MATCH(AH$5,APOIO_REDES!$5:$5,0)),0)</f>
        <v>0.1</v>
      </c>
      <c r="AI1279" s="153" t="n">
        <f aca="false">IFERROR(IF($H1279&lt;&gt;"",(((($H1279/1000)/2)^2)*PI()*$M1279),0),0)</f>
        <v>0.157420888181486</v>
      </c>
      <c r="AJ1279" s="153" t="n">
        <f aca="false">IFERROR(IF(AND($H1279&lt;&gt;"",$I1279="FoFo",OR($N1279="MND",$N1279="VCA"),$Q1279="LINEAR"),0,IF(AND($H1279&lt;&gt;"",$I1279="PEAD",$N1279="VCA",$Q1279="LINEAR"),($H1279/1000)+0.3,IF(AND($H1279&lt;&gt;"",$I1279="PEAD",$N1279="MND",$Q1279="EMBOQUE"),0,IF(AND($H1279&lt;&gt;"",$I1279="PVC",$N1279="VCA",$Q1279="LINEAR"),($H1279/1000)+0.2,IF(AND($H1279&lt;&gt;"",$I1279="PVC",$N1279="MND",$Q1279="EMBOQUE"),0,IF(AND($H1279&lt;&gt;"",$I1279="PEAD",$N1279="VCA",$Q1279="PREDIAL"),0,0)))))),0)</f>
        <v>0.363</v>
      </c>
      <c r="AK1279" s="153" t="n">
        <f aca="false">IF(AA1279&lt;&gt;"",AA1279,0)</f>
        <v>3.3</v>
      </c>
      <c r="AL1279" s="153" t="n">
        <f aca="false">IF(AND($N1279="MND",$Q1279="EMBOQUE"),$M1279,IF(AND($N1279="VCA",$Q1279="LINEAR"),$M1279,IF(AND($N1279="VCA",$Q1279="PREDIAL"),0,0)))</f>
        <v>50.5</v>
      </c>
      <c r="AM1279" s="153" t="n">
        <f aca="false">IF(AND($N1279="MND",$Q1279="EMBOQUE"),$M1279,IF(AND($N1279="VCA",$Q1279="LINEAR"),$M1279,IF(AND($N1279="VCA",$Q1279="PREDIAL"),0,0)))</f>
        <v>50.5</v>
      </c>
      <c r="AN1279" s="153" t="n">
        <f aca="false">ROUND(IF(AND($N1279="VCA",$M1279&lt;&gt;"",$Q1279="LINEAR"),$M1279/100,IF(AND($N1279="MND",$M1279&gt;100,$Q1279="EMBOQUE"),$M1279/100,0)),0)</f>
        <v>1</v>
      </c>
      <c r="AO1279" s="153" t="n">
        <f aca="false">IF(AND($N1279="MND",$Q1279="EMBOQUE"),$AN1279*2*2,IF(AND($N1279="VCA",$Q1279="LINEAR"),$M1279*2,IF(AND($N1279="VCA",$Q1279="PREDIAL"),0,0)))</f>
        <v>101</v>
      </c>
      <c r="AP1279" s="153" t="n">
        <f aca="false">IFERROR($M1279*$AF1279*$AG1279,0)</f>
        <v>44.740475</v>
      </c>
      <c r="AQ1279" s="153" t="n">
        <f aca="false">IFERROR(IF(AND($N1279="VCA",$AH1279&gt;0),$M1279*$AG1279*$AH1279,0),0)</f>
        <v>3.2825</v>
      </c>
      <c r="AR1279" s="153" t="n">
        <f aca="false">IFERROR(IF(AND($N1279="VCA",$AJ1279&gt;0),($M1279*$AG1279*$AJ1279)-$AI1279,0),0)</f>
        <v>11.7580541118185</v>
      </c>
      <c r="AS1279" s="153" t="n">
        <f aca="false">IFERROR(IF(AND($N1279="VCA",$AP1279&gt;0),$AP1279-$AI1279-$AQ1279-$AR1279,0),0)</f>
        <v>29.5425</v>
      </c>
      <c r="AT1279" s="153" t="n">
        <f aca="false">IFERROR(IF($N1279="VCA",INDEX(APOIO_REDES!$A:$W,MATCH($C1279&amp;$I1279&amp;$H1279&amp;$N1279&amp;$O1279,APOIO_REDES!$W:$W,0),MATCH(AT$5,APOIO_REDES!$5:$5,0)),0)*$AP1279,0)</f>
        <v>0.486789610504638</v>
      </c>
      <c r="AU1279" s="153" t="n">
        <f aca="false">IFERROR(IF($N1279="VCA",INDEX(APOIO_REDES!$A:$W,MATCH($C1279&amp;$I1279&amp;$H1279&amp;$N1279&amp;$O1279,APOIO_REDES!$W:$W,0),MATCH(AU$5,APOIO_REDES!$5:$5,0)),0)*$AP1279,0)</f>
        <v>0.388736999014358</v>
      </c>
      <c r="AV1279" s="153" t="n">
        <f aca="false">IFERROR(IF($N1279="VCA",INDEX(APOIO_REDES!$A:$W,MATCH($C1279&amp;$I1279&amp;$H1279&amp;$N1279&amp;$O1279,APOIO_REDES!$W:$W,0),MATCH(AV$5,APOIO_REDES!$5:$5,0)),0)*$AP1279,0)</f>
        <v>0.0537981489584934</v>
      </c>
      <c r="AW1279" s="153" t="n">
        <f aca="false">IFERROR(IF($N1279="VCA",INDEX(APOIO_REDES!$A:$W,MATCH($C1279&amp;$I1279&amp;$H1279&amp;$N1279&amp;$O1279,APOIO_REDES!$W:$W,0),MATCH(AW$5,APOIO_REDES!$5:$5,0)),0)*$AP1279,0)</f>
        <v>30.7102087061168</v>
      </c>
      <c r="AX1279" s="153" t="n">
        <f aca="false">IFERROR(IF($N1279="VCA",INDEX(APOIO_REDES!$A:$W,MATCH($C1279&amp;$I1279&amp;$H1279&amp;$N1279&amp;$O1279,APOIO_REDES!$W:$W,0),MATCH(AX$5,APOIO_REDES!$5:$5,0)),0)*$AP1279,0)</f>
        <v>4.25020540524117</v>
      </c>
      <c r="AY1279" s="153" t="n">
        <f aca="false">IFERROR(IF($N1279="VCA",INDEX(APOIO_REDES!$A:$W,MATCH($C1279&amp;$I1279&amp;$H1279&amp;$N1279&amp;$O1279,APOIO_REDES!$W:$W,0),MATCH(AY$5,APOIO_REDES!$5:$5,0)),0)*$AP1279,0)</f>
        <v>7.77473524161466</v>
      </c>
      <c r="AZ1279" s="153" t="n">
        <f aca="false">IFERROR(IF($N1279="VCA",INDEX(APOIO_REDES!$A:$W,MATCH($C1279&amp;$I1279&amp;$H1279&amp;$N1279&amp;$O1279,APOIO_REDES!$W:$W,0),MATCH(AZ$5,APOIO_REDES!$5:$5,0)),0)*$AP1279,0)</f>
        <v>1.07600088854991</v>
      </c>
      <c r="BA1279" s="153" t="n">
        <f aca="false">IFERROR(IF(AND($N1279="VCA",$Q1279="LINEAR"),INDEX(APOIO_REDES!$A:$W,MATCH($C1279&amp;$I1279&amp;$H1279&amp;$N1279&amp;$O1279,APOIO_REDES!$W:$W,0),MATCH(BA$5,APOIO_REDES!$5:$5,0)),IF(AND($N1279="MND",$Q1279="EMBOQUE"),INDEX(APOIO_REDES!$A:$W,MATCH($C1279&amp;$I1279&amp;$H1279&amp;$N1279&amp;$O1279,APOIO_REDES!$W:$W,0),MATCH(BA$5,APOIO_REDES!$5:$5,0)),0))*$M1279/10,0)</f>
        <v>4.0701726177789</v>
      </c>
      <c r="BB1279" s="153" t="n">
        <f aca="false">IFERROR(IF($N1279="VCA",INDEX(APOIO_REDES!$A:$W,MATCH($C1279&amp;$I1279&amp;$H1279&amp;$N1279&amp;$O1279,APOIO_REDES!$W:$W,0),MATCH(BB$5,APOIO_REDES!$5:$5,0)),0)*($AI1279+$AQ1279+$AR1279),0)</f>
        <v>15.032616533629</v>
      </c>
      <c r="BC1279" s="153" t="n">
        <f aca="false">IFERROR(IF($N1279="VCA",INDEX(APOIO_REDES!$A:$W,MATCH($C1279&amp;$I1279&amp;$H1279&amp;$N1279&amp;$O1279,APOIO_REDES!$W:$W,0),MATCH(BC$5,APOIO_REDES!$5:$5,0)),0)*($AI1279+$AQ1279+$AR1279),0)</f>
        <v>0.165358466370981</v>
      </c>
      <c r="BD1279" s="153" t="n">
        <f aca="false">IF(AND($N1279="VCA",$AF1279&gt;=1.25,$AF1279&lt;1.5),$M1279*$AF1279*2,0)</f>
        <v>137.663</v>
      </c>
      <c r="BE1279" s="153" t="n">
        <f aca="false">IF(AND($N1279="VCA",$AF1279&gt;=1.5,$AF1279&lt;3),$M1279*$AF1279*2,0)</f>
        <v>0</v>
      </c>
      <c r="BF1279" s="153" t="n">
        <f aca="false">IF(AND($N1279="VCA",$AF1279&gt;=3),$M1279*$AF1279*2,0)</f>
        <v>0</v>
      </c>
      <c r="BG1279" s="153" t="n">
        <f aca="false">($BB1279+$BC1279)*$AK1279</f>
        <v>50.1533175</v>
      </c>
      <c r="BH1279" s="153" t="n">
        <f aca="false">IF(AND($M1279&lt;&gt;"",$N1279="VCA",$Q1279="LINEAR"),($M1279*2)/100,IF(AND($M1279&lt;&gt;"",$N1279="MND",$Q1279="EMBOQUE"),($AN1279*2)/100,0))</f>
        <v>1.01</v>
      </c>
      <c r="BI1279" s="153" t="n">
        <f aca="false">IF(AND($M1279&lt;&gt;"",$N1279="VCA",$Q1279="LINEAR"),$M1279,IF(AND($M1279&lt;&gt;"",$N1279="MND",$Q1279="EMBOQUE"),$AN1279*2,0))</f>
        <v>50.5</v>
      </c>
      <c r="BJ1279" s="153" t="n">
        <f aca="false">IF(AND($M1279&lt;&gt;"",$N1279="VCA",$Q1279="LINEAR"),($M1279*6.8)/100,IF(AND($M1279&lt;&gt;"",$N1279="MND",$Q1279="EMBOQUE"),($AN1279*2*6.8)/100,0))</f>
        <v>3.434</v>
      </c>
      <c r="BK1279" s="153" t="n">
        <f aca="false">IF(AND($M1279&lt;&gt;"",$N1279="VCA",$Q1279="LINEAR"),($M1279*2.5)/50,IF(AND($M1279&lt;&gt;"",$N1279="MND",$Q1279="EMBOQUE"),($AN1279*2*2.5)/50,0))</f>
        <v>2.525</v>
      </c>
      <c r="BL1279" s="157" t="str">
        <f aca="false">K1279&amp;J1279</f>
        <v>Zona11REDES</v>
      </c>
      <c r="BM1279" s="152" t="s">
        <v>6084</v>
      </c>
      <c r="BN1279" s="152" t="s">
        <v>1560</v>
      </c>
      <c r="BO1279" s="152" t="s">
        <v>4803</v>
      </c>
      <c r="BP1279" s="152" t="s">
        <v>6377</v>
      </c>
      <c r="BQ1279" s="152" t="s">
        <v>6384</v>
      </c>
      <c r="BR1279" s="152" t="s">
        <v>6388</v>
      </c>
      <c r="BS1279" s="152" t="n">
        <v>205079.66</v>
      </c>
      <c r="BT1279" s="152" t="n">
        <v>8236279.045</v>
      </c>
      <c r="BU1279" s="152" t="n">
        <v>205100.172</v>
      </c>
      <c r="BV1279" s="152" t="n">
        <v>8236232.893</v>
      </c>
      <c r="BW1279" s="152" t="n">
        <v>-15.9354622</v>
      </c>
      <c r="BX1279" s="152" t="n">
        <v>-47.7545957</v>
      </c>
      <c r="BY1279" s="152" t="s">
        <v>6377</v>
      </c>
    </row>
    <row r="1280" customFormat="false" ht="13.8" hidden="false" customHeight="false" outlineLevel="0" collapsed="false">
      <c r="A1280" s="149" t="n">
        <f aca="false">IF(C1280&lt;&gt;"",ROW(A1275),"")</f>
        <v>1275</v>
      </c>
      <c r="B1280" s="150" t="str">
        <f aca="false">HYPERLINK("https://www.google.com/maps/dir/-15.917302,-47.760003/-15.9363070,-47.7673472/data=!4m3!4m2!3e0!5i2")</f>
        <v>https://www.google.com/maps/dir/-15.917302,-47.760003/-15.9363070,-47.7673472/data=!4m3!4m2!3e0!5i2</v>
      </c>
      <c r="C1280" s="151" t="s">
        <v>117</v>
      </c>
      <c r="D1280" s="152" t="s">
        <v>112</v>
      </c>
      <c r="E1280" s="152" t="s">
        <v>113</v>
      </c>
      <c r="F1280" s="152" t="s">
        <v>117</v>
      </c>
      <c r="G1280" s="152" t="s">
        <v>114</v>
      </c>
      <c r="H1280" s="152" t="n">
        <v>500</v>
      </c>
      <c r="I1280" s="152" t="s">
        <v>115</v>
      </c>
      <c r="J1280" s="152" t="s">
        <v>6</v>
      </c>
      <c r="K1280" s="152" t="s">
        <v>2224</v>
      </c>
      <c r="L1280" s="152" t="s">
        <v>120</v>
      </c>
      <c r="M1280" s="153" t="n">
        <f aca="false">23.24</f>
        <v>23.24</v>
      </c>
      <c r="N1280" s="152" t="s">
        <v>1548</v>
      </c>
      <c r="O1280" s="152" t="s">
        <v>1549</v>
      </c>
      <c r="P1280" s="152" t="s">
        <v>1550</v>
      </c>
      <c r="Q1280" s="152" t="s">
        <v>1551</v>
      </c>
      <c r="R1280" s="154" t="s">
        <v>6389</v>
      </c>
      <c r="S1280" s="154" t="s">
        <v>2226</v>
      </c>
      <c r="T1280" s="155" t="s">
        <v>5625</v>
      </c>
      <c r="U1280" s="152" t="str">
        <f aca="false">RIGHT(T1280,7)</f>
        <v>023/037</v>
      </c>
      <c r="V1280" s="152" t="s">
        <v>1555</v>
      </c>
      <c r="W1280" s="156" t="n">
        <v>45882</v>
      </c>
      <c r="X1280" s="152" t="s">
        <v>1594</v>
      </c>
      <c r="Y1280" s="152" t="s">
        <v>3251</v>
      </c>
      <c r="Z1280" s="152" t="s">
        <v>1557</v>
      </c>
      <c r="AA1280" s="153" t="n">
        <v>5.5</v>
      </c>
      <c r="AB1280" s="151" t="s">
        <v>6390</v>
      </c>
      <c r="AC1280" s="151" t="s">
        <v>523</v>
      </c>
      <c r="AD1280" s="151" t="str">
        <f aca="false">CONCATENATE($C1280,$I1280,$H1280,$N1280,$J1280,$K1280)</f>
        <v>TUBO PEADPEAD500VCAREDESADUTORA</v>
      </c>
      <c r="AE1280" s="153" t="n">
        <f aca="false">IFERROR(INDEX(APOIO_REDES!$A:$W,MATCH($C1280&amp;$I1280&amp;$H1280&amp;$N1280&amp;$O1280,APOIO_REDES!$W:$W,0),MATCH(AE$5,APOIO_REDES!$5:$5,0)),0)</f>
        <v>1.2</v>
      </c>
      <c r="AF1280" s="153" t="n">
        <f aca="false">IFERROR(INDEX(APOIO_REDES!$A:$W,MATCH($C1280&amp;$I1280&amp;$H1280&amp;$N1280&amp;$O1280,APOIO_REDES!$W:$W,0),MATCH(AF$5,APOIO_REDES!$5:$5,0)),0)</f>
        <v>1.8</v>
      </c>
      <c r="AG1280" s="153" t="n">
        <f aca="false">IFERROR(INDEX(APOIO_REDES!$A:$W,MATCH($C1280&amp;$I1280&amp;$H1280&amp;$N1280&amp;$O1280,APOIO_REDES!$W:$W,0),MATCH(AG$5,APOIO_REDES!$5:$5,0)),0)</f>
        <v>1.2</v>
      </c>
      <c r="AH1280" s="153" t="n">
        <f aca="false">IFERROR(INDEX(APOIO_REDES!$A:$W,MATCH($C1280&amp;$I1280&amp;$H1280&amp;$N1280&amp;$O1280,APOIO_REDES!$W:$W,0),MATCH(AH$5,APOIO_REDES!$5:$5,0)),0)</f>
        <v>0.1</v>
      </c>
      <c r="AI1280" s="153" t="n">
        <f aca="false">IFERROR(IF($H1280&lt;&gt;"",(((($H1280/1000)/2)^2)*PI()*$M1280),0),0)</f>
        <v>4.56316332933917</v>
      </c>
      <c r="AJ1280" s="153" t="n">
        <f aca="false">IFERROR(IF(AND($H1280&lt;&gt;"",$I1280="FoFo",OR($N1280="MND",$N1280="VCA"),$Q1280="LINEAR"),0,IF(AND($H1280&lt;&gt;"",$I1280="PEAD",$N1280="VCA",$Q1280="LINEAR"),($H1280/1000)+0.3,IF(AND($H1280&lt;&gt;"",$I1280="PEAD",$N1280="MND",$Q1280="EMBOQUE"),0,IF(AND($H1280&lt;&gt;"",$I1280="PVC",$N1280="VCA",$Q1280="LINEAR"),($H1280/1000)+0.2,IF(AND($H1280&lt;&gt;"",$I1280="PVC",$N1280="MND",$Q1280="EMBOQUE"),0,IF(AND($H1280&lt;&gt;"",$I1280="PEAD",$N1280="VCA",$Q1280="PREDIAL"),0,0)))))),0)</f>
        <v>0.8</v>
      </c>
      <c r="AK1280" s="153" t="n">
        <f aca="false">IF(AA1280&lt;&gt;"",AA1280,0)</f>
        <v>5.5</v>
      </c>
      <c r="AL1280" s="153" t="n">
        <f aca="false">IF(AND($N1280="MND",$Q1280="EMBOQUE"),$M1280,IF(AND($N1280="VCA",$Q1280="LINEAR"),$M1280,IF(AND($N1280="VCA",$Q1280="PREDIAL"),0,0)))</f>
        <v>23.24</v>
      </c>
      <c r="AM1280" s="153" t="n">
        <f aca="false">IF(AND($N1280="MND",$Q1280="EMBOQUE"),$M1280,IF(AND($N1280="VCA",$Q1280="LINEAR"),$M1280,IF(AND($N1280="VCA",$Q1280="PREDIAL"),0,0)))</f>
        <v>23.24</v>
      </c>
      <c r="AN1280" s="153" t="n">
        <f aca="false">ROUND(IF(AND($N1280="VCA",$M1280&lt;&gt;"",$Q1280="LINEAR"),$M1280/100,IF(AND($N1280="MND",$M1280&gt;100,$Q1280="EMBOQUE"),$M1280/100,0)),0)</f>
        <v>0</v>
      </c>
      <c r="AO1280" s="153" t="n">
        <f aca="false">IF(AND($N1280="MND",$Q1280="EMBOQUE"),$AN1280*2*2,IF(AND($N1280="VCA",$Q1280="LINEAR"),$M1280*2,IF(AND($N1280="VCA",$Q1280="PREDIAL"),0,0)))</f>
        <v>46.48</v>
      </c>
      <c r="AP1280" s="153" t="n">
        <f aca="false">IFERROR($M1280*$AF1280*$AG1280,0)</f>
        <v>50.1984</v>
      </c>
      <c r="AQ1280" s="153" t="n">
        <f aca="false">IFERROR(IF(AND($N1280="VCA",$AH1280&gt;0),$M1280*$AG1280*$AH1280,0),0)</f>
        <v>2.7888</v>
      </c>
      <c r="AR1280" s="153" t="n">
        <f aca="false">IFERROR(IF(AND($N1280="VCA",$AJ1280&gt;0),($M1280*$AG1280*$AJ1280)-$AI1280,0),0)</f>
        <v>17.7472366706608</v>
      </c>
      <c r="AS1280" s="153" t="n">
        <f aca="false">IFERROR(IF(AND($N1280="VCA",$AP1280&gt;0),$AP1280-$AI1280-$AQ1280-$AR1280,0),0)</f>
        <v>25.0992</v>
      </c>
      <c r="AT1280" s="153" t="n">
        <f aca="false">IFERROR(IF($N1280="VCA",INDEX(APOIO_REDES!$A:$W,MATCH($C1280&amp;$I1280&amp;$H1280&amp;$N1280&amp;$O1280,APOIO_REDES!$W:$W,0),MATCH(AT$5,APOIO_REDES!$5:$5,0)),0)*$AP1280,0)</f>
        <v>0.546173449967977</v>
      </c>
      <c r="AU1280" s="153" t="n">
        <f aca="false">IFERROR(IF($N1280="VCA",INDEX(APOIO_REDES!$A:$W,MATCH($C1280&amp;$I1280&amp;$H1280&amp;$N1280&amp;$O1280,APOIO_REDES!$W:$W,0),MATCH(AU$5,APOIO_REDES!$5:$5,0)),0)*$AP1280,0)</f>
        <v>0.43615932489144</v>
      </c>
      <c r="AV1280" s="153" t="n">
        <f aca="false">IFERROR(IF($N1280="VCA",INDEX(APOIO_REDES!$A:$W,MATCH($C1280&amp;$I1280&amp;$H1280&amp;$N1280&amp;$O1280,APOIO_REDES!$W:$W,0),MATCH(AV$5,APOIO_REDES!$5:$5,0)),0)*$AP1280,0)</f>
        <v>0.0603610265800271</v>
      </c>
      <c r="AW1280" s="153" t="n">
        <f aca="false">IFERROR(IF($N1280="VCA",INDEX(APOIO_REDES!$A:$W,MATCH($C1280&amp;$I1280&amp;$H1280&amp;$N1280&amp;$O1280,APOIO_REDES!$W:$W,0),MATCH(AW$5,APOIO_REDES!$5:$5,0)),0)*$AP1280,0)</f>
        <v>34.4565707161833</v>
      </c>
      <c r="AX1280" s="153" t="n">
        <f aca="false">IFERROR(IF($N1280="VCA",INDEX(APOIO_REDES!$A:$W,MATCH($C1280&amp;$I1280&amp;$H1280&amp;$N1280&amp;$O1280,APOIO_REDES!$W:$W,0),MATCH(AX$5,APOIO_REDES!$5:$5,0)),0)*$AP1280,0)</f>
        <v>4.76869123572019</v>
      </c>
      <c r="AY1280" s="153" t="n">
        <f aca="false">IFERROR(IF($N1280="VCA",INDEX(APOIO_REDES!$A:$W,MATCH($C1280&amp;$I1280&amp;$H1280&amp;$N1280&amp;$O1280,APOIO_REDES!$W:$W,0),MATCH(AY$5,APOIO_REDES!$5:$5,0)),0)*$AP1280,0)</f>
        <v>8.72318118108199</v>
      </c>
      <c r="AZ1280" s="153" t="n">
        <f aca="false">IFERROR(IF($N1280="VCA",INDEX(APOIO_REDES!$A:$W,MATCH($C1280&amp;$I1280&amp;$H1280&amp;$N1280&amp;$O1280,APOIO_REDES!$W:$W,0),MATCH(AZ$5,APOIO_REDES!$5:$5,0)),0)*$AP1280,0)</f>
        <v>1.20726306557505</v>
      </c>
      <c r="BA1280" s="153" t="n">
        <f aca="false">IFERROR(IF(AND($N1280="VCA",$Q1280="LINEAR"),INDEX(APOIO_REDES!$A:$W,MATCH($C1280&amp;$I1280&amp;$H1280&amp;$N1280&amp;$O1280,APOIO_REDES!$W:$W,0),MATCH(BA$5,APOIO_REDES!$5:$5,0)),IF(AND($N1280="MND",$Q1280="EMBOQUE"),INDEX(APOIO_REDES!$A:$W,MATCH($C1280&amp;$I1280&amp;$H1280&amp;$N1280&amp;$O1280,APOIO_REDES!$W:$W,0),MATCH(BA$5,APOIO_REDES!$5:$5,0)),0))*$M1280/10,0)</f>
        <v>1.87308537895409</v>
      </c>
      <c r="BB1280" s="153" t="n">
        <f aca="false">IFERROR(IF($N1280="VCA",INDEX(APOIO_REDES!$A:$W,MATCH($C1280&amp;$I1280&amp;$H1280&amp;$N1280&amp;$O1280,APOIO_REDES!$W:$W,0),MATCH(BB$5,APOIO_REDES!$5:$5,0)),0)*($AI1280+$AQ1280+$AR1280),0)</f>
        <v>24.826113275016</v>
      </c>
      <c r="BC1280" s="153" t="n">
        <f aca="false">IFERROR(IF($N1280="VCA",INDEX(APOIO_REDES!$A:$W,MATCH($C1280&amp;$I1280&amp;$H1280&amp;$N1280&amp;$O1280,APOIO_REDES!$W:$W,0),MATCH(BC$5,APOIO_REDES!$5:$5,0)),0)*($AI1280+$AQ1280+$AR1280),0)</f>
        <v>0.273086724983988</v>
      </c>
      <c r="BD1280" s="153" t="n">
        <f aca="false">IF(AND($N1280="VCA",$AF1280&gt;=1.25,$AF1280&lt;1.5),$M1280*$AF1280*2,0)</f>
        <v>0</v>
      </c>
      <c r="BE1280" s="153" t="n">
        <f aca="false">IF(AND($N1280="VCA",$AF1280&gt;=1.5,$AF1280&lt;3),$M1280*$AF1280*2,0)</f>
        <v>83.664</v>
      </c>
      <c r="BF1280" s="153" t="n">
        <f aca="false">IF(AND($N1280="VCA",$AF1280&gt;=3),$M1280*$AF1280*2,0)</f>
        <v>0</v>
      </c>
      <c r="BG1280" s="153" t="n">
        <f aca="false">($BB1280+$BC1280)*$AK1280</f>
        <v>138.0456</v>
      </c>
      <c r="BH1280" s="153" t="n">
        <f aca="false">IF(AND($M1280&lt;&gt;"",$N1280="VCA",$Q1280="LINEAR"),($M1280*2)/100,IF(AND($M1280&lt;&gt;"",$N1280="MND",$Q1280="EMBOQUE"),($AN1280*2)/100,0))</f>
        <v>0.4648</v>
      </c>
      <c r="BI1280" s="153" t="n">
        <f aca="false">IF(AND($M1280&lt;&gt;"",$N1280="VCA",$Q1280="LINEAR"),$M1280,IF(AND($M1280&lt;&gt;"",$N1280="MND",$Q1280="EMBOQUE"),$AN1280*2,0))</f>
        <v>23.24</v>
      </c>
      <c r="BJ1280" s="153" t="n">
        <f aca="false">IF(AND($M1280&lt;&gt;"",$N1280="VCA",$Q1280="LINEAR"),($M1280*6.8)/100,IF(AND($M1280&lt;&gt;"",$N1280="MND",$Q1280="EMBOQUE"),($AN1280*2*6.8)/100,0))</f>
        <v>1.58032</v>
      </c>
      <c r="BK1280" s="153" t="n">
        <f aca="false">IF(AND($M1280&lt;&gt;"",$N1280="VCA",$Q1280="LINEAR"),($M1280*2.5)/50,IF(AND($M1280&lt;&gt;"",$N1280="MND",$Q1280="EMBOQUE"),($AN1280*2*2.5)/50,0))</f>
        <v>1.162</v>
      </c>
      <c r="BL1280" s="157" t="str">
        <f aca="false">K1280&amp;J1280</f>
        <v>ADUTORAREDES</v>
      </c>
      <c r="BM1280" s="152" t="s">
        <v>2229</v>
      </c>
      <c r="BN1280" s="152" t="s">
        <v>2230</v>
      </c>
      <c r="BO1280" s="152" t="s">
        <v>5627</v>
      </c>
      <c r="BP1280" s="152" t="s">
        <v>6391</v>
      </c>
      <c r="BQ1280" s="152" t="s">
        <v>6079</v>
      </c>
      <c r="BR1280" s="152" t="s">
        <v>6392</v>
      </c>
      <c r="BS1280" s="152" t="n">
        <v>203725.068</v>
      </c>
      <c r="BT1280" s="152" t="n">
        <v>8236144.343</v>
      </c>
      <c r="BU1280" s="152" t="n">
        <v>203708.115</v>
      </c>
      <c r="BV1280" s="152" t="n">
        <v>8236160.237</v>
      </c>
      <c r="BW1280" s="152" t="n">
        <v>-15.9362342</v>
      </c>
      <c r="BX1280" s="152" t="n">
        <v>-47.7674253</v>
      </c>
      <c r="BY1280" s="152" t="s">
        <v>6391</v>
      </c>
    </row>
    <row r="1281" customFormat="false" ht="13.8" hidden="false" customHeight="false" outlineLevel="0" collapsed="false">
      <c r="A1281" s="149" t="n">
        <f aca="false">IF(C1281&lt;&gt;"",ROW(A1276),"")</f>
        <v>1276</v>
      </c>
      <c r="B1281" s="150" t="str">
        <f aca="false">HYPERLINK("https://www.google.com/maps/dir/-15.917302,-47.760003/-15.9361909,-47.7674240/data=!4m3!4m2!3e0!5i2")</f>
        <v>https://www.google.com/maps/dir/-15.917302,-47.760003/-15.9361909,-47.7674240/data=!4m3!4m2!3e0!5i2</v>
      </c>
      <c r="C1281" s="151" t="s">
        <v>117</v>
      </c>
      <c r="D1281" s="152" t="s">
        <v>112</v>
      </c>
      <c r="E1281" s="152" t="s">
        <v>113</v>
      </c>
      <c r="F1281" s="152" t="s">
        <v>117</v>
      </c>
      <c r="G1281" s="152" t="s">
        <v>782</v>
      </c>
      <c r="H1281" s="152" t="n">
        <v>63</v>
      </c>
      <c r="I1281" s="152" t="s">
        <v>115</v>
      </c>
      <c r="J1281" s="152" t="s">
        <v>6</v>
      </c>
      <c r="K1281" s="152" t="s">
        <v>6081</v>
      </c>
      <c r="L1281" s="152" t="s">
        <v>120</v>
      </c>
      <c r="M1281" s="153" t="n">
        <f aca="false">12.37</f>
        <v>12.37</v>
      </c>
      <c r="N1281" s="152" t="s">
        <v>1548</v>
      </c>
      <c r="O1281" s="152" t="s">
        <v>1549</v>
      </c>
      <c r="P1281" s="152" t="s">
        <v>1550</v>
      </c>
      <c r="Q1281" s="152" t="s">
        <v>1551</v>
      </c>
      <c r="R1281" s="154" t="s">
        <v>6393</v>
      </c>
      <c r="S1281" s="154" t="s">
        <v>1553</v>
      </c>
      <c r="T1281" s="155" t="s">
        <v>5625</v>
      </c>
      <c r="U1281" s="152" t="str">
        <f aca="false">RIGHT(T1281,7)</f>
        <v>023/037</v>
      </c>
      <c r="V1281" s="152" t="s">
        <v>1555</v>
      </c>
      <c r="W1281" s="156" t="n">
        <v>45882</v>
      </c>
      <c r="X1281" s="152" t="s">
        <v>1594</v>
      </c>
      <c r="Y1281" s="152" t="s">
        <v>3251</v>
      </c>
      <c r="Z1281" s="152" t="s">
        <v>1557</v>
      </c>
      <c r="AA1281" s="153" t="n">
        <v>5.6</v>
      </c>
      <c r="AB1281" s="151" t="s">
        <v>6394</v>
      </c>
      <c r="AC1281" s="151" t="s">
        <v>186</v>
      </c>
      <c r="AD1281" s="151" t="str">
        <f aca="false">CONCATENATE($C1281,$I1281,$H1281,$N1281,$J1281,$K1281)</f>
        <v>TUBO PEADPEAD63VCAREDESZona11</v>
      </c>
      <c r="AE1281" s="153" t="n">
        <f aca="false">IFERROR(INDEX(APOIO_REDES!$A:$W,MATCH($C1281&amp;$I1281&amp;$H1281&amp;$N1281&amp;$O1281,APOIO_REDES!$W:$W,0),MATCH(AE$5,APOIO_REDES!$5:$5,0)),0)</f>
        <v>1.2</v>
      </c>
      <c r="AF1281" s="153" t="n">
        <f aca="false">IFERROR(INDEX(APOIO_REDES!$A:$W,MATCH($C1281&amp;$I1281&amp;$H1281&amp;$N1281&amp;$O1281,APOIO_REDES!$W:$W,0),MATCH(AF$5,APOIO_REDES!$5:$5,0)),0)</f>
        <v>1.363</v>
      </c>
      <c r="AG1281" s="153" t="n">
        <f aca="false">IFERROR(INDEX(APOIO_REDES!$A:$W,MATCH($C1281&amp;$I1281&amp;$H1281&amp;$N1281&amp;$O1281,APOIO_REDES!$W:$W,0),MATCH(AG$5,APOIO_REDES!$5:$5,0)),0)</f>
        <v>0.65</v>
      </c>
      <c r="AH1281" s="153" t="n">
        <f aca="false">IFERROR(INDEX(APOIO_REDES!$A:$W,MATCH($C1281&amp;$I1281&amp;$H1281&amp;$N1281&amp;$O1281,APOIO_REDES!$W:$W,0),MATCH(AH$5,APOIO_REDES!$5:$5,0)),0)</f>
        <v>0.1</v>
      </c>
      <c r="AI1281" s="153" t="n">
        <f aca="false">IFERROR(IF($H1281&lt;&gt;"",(((($H1281/1000)/2)^2)*PI()*$M1281),0),0)</f>
        <v>0.0385603244911877</v>
      </c>
      <c r="AJ1281" s="153" t="n">
        <f aca="false">IFERROR(IF(AND($H1281&lt;&gt;"",$I1281="FoFo",OR($N1281="MND",$N1281="VCA"),$Q1281="LINEAR"),0,IF(AND($H1281&lt;&gt;"",$I1281="PEAD",$N1281="VCA",$Q1281="LINEAR"),($H1281/1000)+0.3,IF(AND($H1281&lt;&gt;"",$I1281="PEAD",$N1281="MND",$Q1281="EMBOQUE"),0,IF(AND($H1281&lt;&gt;"",$I1281="PVC",$N1281="VCA",$Q1281="LINEAR"),($H1281/1000)+0.2,IF(AND($H1281&lt;&gt;"",$I1281="PVC",$N1281="MND",$Q1281="EMBOQUE"),0,IF(AND($H1281&lt;&gt;"",$I1281="PEAD",$N1281="VCA",$Q1281="PREDIAL"),0,0)))))),0)</f>
        <v>0.363</v>
      </c>
      <c r="AK1281" s="153" t="n">
        <f aca="false">IF(AA1281&lt;&gt;"",AA1281,0)</f>
        <v>5.6</v>
      </c>
      <c r="AL1281" s="153" t="n">
        <f aca="false">IF(AND($N1281="MND",$Q1281="EMBOQUE"),$M1281,IF(AND($N1281="VCA",$Q1281="LINEAR"),$M1281,IF(AND($N1281="VCA",$Q1281="PREDIAL"),0,0)))</f>
        <v>12.37</v>
      </c>
      <c r="AM1281" s="153" t="n">
        <f aca="false">IF(AND($N1281="MND",$Q1281="EMBOQUE"),$M1281,IF(AND($N1281="VCA",$Q1281="LINEAR"),$M1281,IF(AND($N1281="VCA",$Q1281="PREDIAL"),0,0)))</f>
        <v>12.37</v>
      </c>
      <c r="AN1281" s="153" t="n">
        <f aca="false">ROUND(IF(AND($N1281="VCA",$M1281&lt;&gt;"",$Q1281="LINEAR"),$M1281/100,IF(AND($N1281="MND",$M1281&gt;100,$Q1281="EMBOQUE"),$M1281/100,0)),0)</f>
        <v>0</v>
      </c>
      <c r="AO1281" s="153" t="n">
        <f aca="false">IF(AND($N1281="MND",$Q1281="EMBOQUE"),$AN1281*2*2,IF(AND($N1281="VCA",$Q1281="LINEAR"),$M1281*2,IF(AND($N1281="VCA",$Q1281="PREDIAL"),0,0)))</f>
        <v>24.74</v>
      </c>
      <c r="AP1281" s="153" t="n">
        <f aca="false">IFERROR($M1281*$AF1281*$AG1281,0)</f>
        <v>10.9592015</v>
      </c>
      <c r="AQ1281" s="153" t="n">
        <f aca="false">IFERROR(IF(AND($N1281="VCA",$AH1281&gt;0),$M1281*$AG1281*$AH1281,0),0)</f>
        <v>0.80405</v>
      </c>
      <c r="AR1281" s="153" t="n">
        <f aca="false">IFERROR(IF(AND($N1281="VCA",$AJ1281&gt;0),($M1281*$AG1281*$AJ1281)-$AI1281,0),0)</f>
        <v>2.88014117550881</v>
      </c>
      <c r="AS1281" s="153" t="n">
        <f aca="false">IFERROR(IF(AND($N1281="VCA",$AP1281&gt;0),$AP1281-$AI1281-$AQ1281-$AR1281,0),0)</f>
        <v>7.23645</v>
      </c>
      <c r="AT1281" s="153" t="n">
        <f aca="false">IFERROR(IF($N1281="VCA",INDEX(APOIO_REDES!$A:$W,MATCH($C1281&amp;$I1281&amp;$H1281&amp;$N1281&amp;$O1281,APOIO_REDES!$W:$W,0),MATCH(AT$5,APOIO_REDES!$5:$5,0)),0)*$AP1281,0)</f>
        <v>0.119239356078067</v>
      </c>
      <c r="AU1281" s="153" t="n">
        <f aca="false">IFERROR(IF($N1281="VCA",INDEX(APOIO_REDES!$A:$W,MATCH($C1281&amp;$I1281&amp;$H1281&amp;$N1281&amp;$O1281,APOIO_REDES!$W:$W,0),MATCH(AU$5,APOIO_REDES!$5:$5,0)),0)*$AP1281,0)</f>
        <v>0.0952213203526259</v>
      </c>
      <c r="AV1281" s="153" t="n">
        <f aca="false">IFERROR(IF($N1281="VCA",INDEX(APOIO_REDES!$A:$W,MATCH($C1281&amp;$I1281&amp;$H1281&amp;$N1281&amp;$O1281,APOIO_REDES!$W:$W,0),MATCH(AV$5,APOIO_REDES!$5:$5,0)),0)*$AP1281,0)</f>
        <v>0.01317788322013</v>
      </c>
      <c r="AW1281" s="153" t="n">
        <f aca="false">IFERROR(IF($N1281="VCA",INDEX(APOIO_REDES!$A:$W,MATCH($C1281&amp;$I1281&amp;$H1281&amp;$N1281&amp;$O1281,APOIO_REDES!$W:$W,0),MATCH(AW$5,APOIO_REDES!$5:$5,0)),0)*$AP1281,0)</f>
        <v>7.52248082563692</v>
      </c>
      <c r="AX1281" s="153" t="n">
        <f aca="false">IFERROR(IF($N1281="VCA",INDEX(APOIO_REDES!$A:$W,MATCH($C1281&amp;$I1281&amp;$H1281&amp;$N1281&amp;$O1281,APOIO_REDES!$W:$W,0),MATCH(AX$5,APOIO_REDES!$5:$5,0)),0)*$AP1281,0)</f>
        <v>1.04108991807591</v>
      </c>
      <c r="AY1281" s="153" t="n">
        <f aca="false">IFERROR(IF($N1281="VCA",INDEX(APOIO_REDES!$A:$W,MATCH($C1281&amp;$I1281&amp;$H1281&amp;$N1281&amp;$O1281,APOIO_REDES!$W:$W,0),MATCH(AY$5,APOIO_REDES!$5:$5,0)),0)*$AP1281,0)</f>
        <v>1.90442524631234</v>
      </c>
      <c r="AZ1281" s="153" t="n">
        <f aca="false">IFERROR(IF($N1281="VCA",INDEX(APOIO_REDES!$A:$W,MATCH($C1281&amp;$I1281&amp;$H1281&amp;$N1281&amp;$O1281,APOIO_REDES!$W:$W,0),MATCH(AZ$5,APOIO_REDES!$5:$5,0)),0)*$AP1281,0)</f>
        <v>0.263566950324009</v>
      </c>
      <c r="BA1281" s="153" t="n">
        <f aca="false">IFERROR(IF(AND($N1281="VCA",$Q1281="LINEAR"),INDEX(APOIO_REDES!$A:$W,MATCH($C1281&amp;$I1281&amp;$H1281&amp;$N1281&amp;$O1281,APOIO_REDES!$W:$W,0),MATCH(BA$5,APOIO_REDES!$5:$5,0)),IF(AND($N1281="MND",$Q1281="EMBOQUE"),INDEX(APOIO_REDES!$A:$W,MATCH($C1281&amp;$I1281&amp;$H1281&amp;$N1281&amp;$O1281,APOIO_REDES!$W:$W,0),MATCH(BA$5,APOIO_REDES!$5:$5,0)),0))*$M1281/10,0)</f>
        <v>0.996990797661882</v>
      </c>
      <c r="BB1281" s="153" t="n">
        <f aca="false">IFERROR(IF($N1281="VCA",INDEX(APOIO_REDES!$A:$W,MATCH($C1281&amp;$I1281&amp;$H1281&amp;$N1281&amp;$O1281,APOIO_REDES!$W:$W,0),MATCH(BB$5,APOIO_REDES!$5:$5,0)),0)*($AI1281+$AQ1281+$AR1281),0)</f>
        <v>3.6822468618018</v>
      </c>
      <c r="BC1281" s="153" t="n">
        <f aca="false">IFERROR(IF($N1281="VCA",INDEX(APOIO_REDES!$A:$W,MATCH($C1281&amp;$I1281&amp;$H1281&amp;$N1281&amp;$O1281,APOIO_REDES!$W:$W,0),MATCH(BC$5,APOIO_REDES!$5:$5,0)),0)*($AI1281+$AQ1281+$AR1281),0)</f>
        <v>0.0405046381981987</v>
      </c>
      <c r="BD1281" s="153" t="n">
        <f aca="false">IF(AND($N1281="VCA",$AF1281&gt;=1.25,$AF1281&lt;1.5),$M1281*$AF1281*2,0)</f>
        <v>33.72062</v>
      </c>
      <c r="BE1281" s="153" t="n">
        <f aca="false">IF(AND($N1281="VCA",$AF1281&gt;=1.5,$AF1281&lt;3),$M1281*$AF1281*2,0)</f>
        <v>0</v>
      </c>
      <c r="BF1281" s="153" t="n">
        <f aca="false">IF(AND($N1281="VCA",$AF1281&gt;=3),$M1281*$AF1281*2,0)</f>
        <v>0</v>
      </c>
      <c r="BG1281" s="153" t="n">
        <f aca="false">($BB1281+$BC1281)*$AK1281</f>
        <v>20.8474084</v>
      </c>
      <c r="BH1281" s="153" t="n">
        <f aca="false">IF(AND($M1281&lt;&gt;"",$N1281="VCA",$Q1281="LINEAR"),($M1281*2)/100,IF(AND($M1281&lt;&gt;"",$N1281="MND",$Q1281="EMBOQUE"),($AN1281*2)/100,0))</f>
        <v>0.2474</v>
      </c>
      <c r="BI1281" s="153" t="n">
        <f aca="false">IF(AND($M1281&lt;&gt;"",$N1281="VCA",$Q1281="LINEAR"),$M1281,IF(AND($M1281&lt;&gt;"",$N1281="MND",$Q1281="EMBOQUE"),$AN1281*2,0))</f>
        <v>12.37</v>
      </c>
      <c r="BJ1281" s="153" t="n">
        <f aca="false">IF(AND($M1281&lt;&gt;"",$N1281="VCA",$Q1281="LINEAR"),($M1281*6.8)/100,IF(AND($M1281&lt;&gt;"",$N1281="MND",$Q1281="EMBOQUE"),($AN1281*2*6.8)/100,0))</f>
        <v>0.84116</v>
      </c>
      <c r="BK1281" s="153" t="n">
        <f aca="false">IF(AND($M1281&lt;&gt;"",$N1281="VCA",$Q1281="LINEAR"),($M1281*2.5)/50,IF(AND($M1281&lt;&gt;"",$N1281="MND",$Q1281="EMBOQUE"),($AN1281*2*2.5)/50,0))</f>
        <v>0.6185</v>
      </c>
      <c r="BL1281" s="157" t="str">
        <f aca="false">K1281&amp;J1281</f>
        <v>Zona11REDES</v>
      </c>
      <c r="BM1281" s="152" t="s">
        <v>6084</v>
      </c>
      <c r="BN1281" s="152" t="s">
        <v>1560</v>
      </c>
      <c r="BO1281" s="152" t="s">
        <v>5627</v>
      </c>
      <c r="BP1281" s="152" t="s">
        <v>6085</v>
      </c>
      <c r="BQ1281" s="152" t="s">
        <v>6095</v>
      </c>
      <c r="BR1281" s="152" t="s">
        <v>6395</v>
      </c>
      <c r="BS1281" s="152" t="n">
        <v>203716.664</v>
      </c>
      <c r="BT1281" s="152" t="n">
        <v>8236157.083</v>
      </c>
      <c r="BU1281" s="152" t="n">
        <v>203726.549</v>
      </c>
      <c r="BV1281" s="152" t="n">
        <v>8236149.641</v>
      </c>
      <c r="BW1281" s="152" t="n">
        <v>-15.9362251</v>
      </c>
      <c r="BX1281" s="152" t="n">
        <v>-47.7673783</v>
      </c>
      <c r="BY1281" s="152" t="s">
        <v>6085</v>
      </c>
    </row>
    <row r="1282" customFormat="false" ht="13.8" hidden="false" customHeight="false" outlineLevel="0" collapsed="false">
      <c r="A1282" s="149" t="n">
        <f aca="false">IF(C1282&lt;&gt;"",ROW(A1277),"")</f>
        <v>1277</v>
      </c>
      <c r="B1282" s="150" t="str">
        <f aca="false">HYPERLINK("https://www.google.com/maps/dir/-15.917302,-47.760003/-15.9366794,-47.7672818/data=!4m3!4m2!3e0!5i2")</f>
        <v>https://www.google.com/maps/dir/-15.917302,-47.760003/-15.9366794,-47.7672818/data=!4m3!4m2!3e0!5i2</v>
      </c>
      <c r="C1282" s="151" t="s">
        <v>117</v>
      </c>
      <c r="D1282" s="152" t="s">
        <v>112</v>
      </c>
      <c r="E1282" s="152" t="s">
        <v>113</v>
      </c>
      <c r="F1282" s="152" t="s">
        <v>117</v>
      </c>
      <c r="G1282" s="152" t="s">
        <v>782</v>
      </c>
      <c r="H1282" s="152" t="n">
        <v>90</v>
      </c>
      <c r="I1282" s="152" t="s">
        <v>115</v>
      </c>
      <c r="J1282" s="152" t="s">
        <v>6</v>
      </c>
      <c r="K1282" s="152" t="s">
        <v>6081</v>
      </c>
      <c r="L1282" s="152" t="s">
        <v>120</v>
      </c>
      <c r="M1282" s="153" t="n">
        <f aca="false">52.16</f>
        <v>52.16</v>
      </c>
      <c r="N1282" s="152" t="s">
        <v>1548</v>
      </c>
      <c r="O1282" s="152" t="s">
        <v>1549</v>
      </c>
      <c r="P1282" s="152" t="s">
        <v>1550</v>
      </c>
      <c r="Q1282" s="152" t="s">
        <v>1551</v>
      </c>
      <c r="R1282" s="154" t="s">
        <v>6396</v>
      </c>
      <c r="S1282" s="154" t="s">
        <v>1593</v>
      </c>
      <c r="T1282" s="155" t="s">
        <v>5625</v>
      </c>
      <c r="U1282" s="152" t="str">
        <f aca="false">RIGHT(T1282,7)</f>
        <v>023/037</v>
      </c>
      <c r="V1282" s="152" t="s">
        <v>1555</v>
      </c>
      <c r="W1282" s="156" t="n">
        <v>45882</v>
      </c>
      <c r="X1282" s="152" t="s">
        <v>1594</v>
      </c>
      <c r="Y1282" s="152" t="s">
        <v>3251</v>
      </c>
      <c r="Z1282" s="152" t="s">
        <v>1557</v>
      </c>
      <c r="AA1282" s="153" t="n">
        <v>5.4</v>
      </c>
      <c r="AB1282" s="151" t="s">
        <v>6397</v>
      </c>
      <c r="AC1282" s="151" t="s">
        <v>526</v>
      </c>
      <c r="AD1282" s="151" t="str">
        <f aca="false">CONCATENATE($C1282,$I1282,$H1282,$N1282,$J1282,$K1282)</f>
        <v>TUBO PEADPEAD90VCAREDESZona11</v>
      </c>
      <c r="AE1282" s="153" t="n">
        <f aca="false">IFERROR(INDEX(APOIO_REDES!$A:$W,MATCH($C1282&amp;$I1282&amp;$H1282&amp;$N1282&amp;$O1282,APOIO_REDES!$W:$W,0),MATCH(AE$5,APOIO_REDES!$5:$5,0)),0)</f>
        <v>1.2</v>
      </c>
      <c r="AF1282" s="153" t="n">
        <f aca="false">IFERROR(INDEX(APOIO_REDES!$A:$W,MATCH($C1282&amp;$I1282&amp;$H1282&amp;$N1282&amp;$O1282,APOIO_REDES!$W:$W,0),MATCH(AF$5,APOIO_REDES!$5:$5,0)),0)</f>
        <v>1.39</v>
      </c>
      <c r="AG1282" s="153" t="n">
        <f aca="false">IFERROR(INDEX(APOIO_REDES!$A:$W,MATCH($C1282&amp;$I1282&amp;$H1282&amp;$N1282&amp;$O1282,APOIO_REDES!$W:$W,0),MATCH(AG$5,APOIO_REDES!$5:$5,0)),0)</f>
        <v>0.75</v>
      </c>
      <c r="AH1282" s="153" t="n">
        <f aca="false">IFERROR(INDEX(APOIO_REDES!$A:$W,MATCH($C1282&amp;$I1282&amp;$H1282&amp;$N1282&amp;$O1282,APOIO_REDES!$W:$W,0),MATCH(AH$5,APOIO_REDES!$5:$5,0)),0)</f>
        <v>0.1</v>
      </c>
      <c r="AI1282" s="153" t="n">
        <f aca="false">IFERROR(IF($H1282&lt;&gt;"",(((($H1282/1000)/2)^2)*PI()*$M1282),0),0)</f>
        <v>0.331827582442768</v>
      </c>
      <c r="AJ1282" s="153" t="n">
        <f aca="false">IFERROR(IF(AND($H1282&lt;&gt;"",$I1282="FoFo",OR($N1282="MND",$N1282="VCA"),$Q1282="LINEAR"),0,IF(AND($H1282&lt;&gt;"",$I1282="PEAD",$N1282="VCA",$Q1282="LINEAR"),($H1282/1000)+0.3,IF(AND($H1282&lt;&gt;"",$I1282="PEAD",$N1282="MND",$Q1282="EMBOQUE"),0,IF(AND($H1282&lt;&gt;"",$I1282="PVC",$N1282="VCA",$Q1282="LINEAR"),($H1282/1000)+0.2,IF(AND($H1282&lt;&gt;"",$I1282="PVC",$N1282="MND",$Q1282="EMBOQUE"),0,IF(AND($H1282&lt;&gt;"",$I1282="PEAD",$N1282="VCA",$Q1282="PREDIAL"),0,0)))))),0)</f>
        <v>0.39</v>
      </c>
      <c r="AK1282" s="153" t="n">
        <f aca="false">IF(AA1282&lt;&gt;"",AA1282,0)</f>
        <v>5.4</v>
      </c>
      <c r="AL1282" s="153" t="n">
        <f aca="false">IF(AND($N1282="MND",$Q1282="EMBOQUE"),$M1282,IF(AND($N1282="VCA",$Q1282="LINEAR"),$M1282,IF(AND($N1282="VCA",$Q1282="PREDIAL"),0,0)))</f>
        <v>52.16</v>
      </c>
      <c r="AM1282" s="153" t="n">
        <f aca="false">IF(AND($N1282="MND",$Q1282="EMBOQUE"),$M1282,IF(AND($N1282="VCA",$Q1282="LINEAR"),$M1282,IF(AND($N1282="VCA",$Q1282="PREDIAL"),0,0)))</f>
        <v>52.16</v>
      </c>
      <c r="AN1282" s="153" t="n">
        <f aca="false">ROUND(IF(AND($N1282="VCA",$M1282&lt;&gt;"",$Q1282="LINEAR"),$M1282/100,IF(AND($N1282="MND",$M1282&gt;100,$Q1282="EMBOQUE"),$M1282/100,0)),0)</f>
        <v>1</v>
      </c>
      <c r="AO1282" s="153" t="n">
        <f aca="false">IF(AND($N1282="MND",$Q1282="EMBOQUE"),$AN1282*2*2,IF(AND($N1282="VCA",$Q1282="LINEAR"),$M1282*2,IF(AND($N1282="VCA",$Q1282="PREDIAL"),0,0)))</f>
        <v>104.32</v>
      </c>
      <c r="AP1282" s="153" t="n">
        <f aca="false">IFERROR($M1282*$AF1282*$AG1282,0)</f>
        <v>54.3768</v>
      </c>
      <c r="AQ1282" s="153" t="n">
        <f aca="false">IFERROR(IF(AND($N1282="VCA",$AH1282&gt;0),$M1282*$AG1282*$AH1282,0),0)</f>
        <v>3.912</v>
      </c>
      <c r="AR1282" s="153" t="n">
        <f aca="false">IFERROR(IF(AND($N1282="VCA",$AJ1282&gt;0),($M1282*$AG1282*$AJ1282)-$AI1282,0),0)</f>
        <v>14.9249724175572</v>
      </c>
      <c r="AS1282" s="153" t="n">
        <f aca="false">IFERROR(IF(AND($N1282="VCA",$AP1282&gt;0),$AP1282-$AI1282-$AQ1282-$AR1282,0),0)</f>
        <v>35.208</v>
      </c>
      <c r="AT1282" s="153" t="n">
        <f aca="false">IFERROR(IF($N1282="VCA",INDEX(APOIO_REDES!$A:$W,MATCH($C1282&amp;$I1282&amp;$H1282&amp;$N1282&amp;$O1282,APOIO_REDES!$W:$W,0),MATCH(AT$5,APOIO_REDES!$5:$5,0)),0)*$AP1282,0)</f>
        <v>0.591635678711247</v>
      </c>
      <c r="AU1282" s="153" t="n">
        <f aca="false">IFERROR(IF($N1282="VCA",INDEX(APOIO_REDES!$A:$W,MATCH($C1282&amp;$I1282&amp;$H1282&amp;$N1282&amp;$O1282,APOIO_REDES!$W:$W,0),MATCH(AU$5,APOIO_REDES!$5:$5,0)),0)*$AP1282,0)</f>
        <v>0.472464229492511</v>
      </c>
      <c r="AV1282" s="153" t="n">
        <f aca="false">IFERROR(IF($N1282="VCA",INDEX(APOIO_REDES!$A:$W,MATCH($C1282&amp;$I1282&amp;$H1282&amp;$N1282&amp;$O1282,APOIO_REDES!$W:$W,0),MATCH(AV$5,APOIO_REDES!$5:$5,0)),0)*$AP1282,0)</f>
        <v>0.0653853403721397</v>
      </c>
      <c r="AW1282" s="153" t="n">
        <f aca="false">IFERROR(IF($N1282="VCA",INDEX(APOIO_REDES!$A:$W,MATCH($C1282&amp;$I1282&amp;$H1282&amp;$N1282&amp;$O1282,APOIO_REDES!$W:$W,0),MATCH(AW$5,APOIO_REDES!$5:$5,0)),0)*$AP1282,0)</f>
        <v>37.3246568520064</v>
      </c>
      <c r="AX1282" s="153" t="n">
        <f aca="false">IFERROR(IF($N1282="VCA",INDEX(APOIO_REDES!$A:$W,MATCH($C1282&amp;$I1282&amp;$H1282&amp;$N1282&amp;$O1282,APOIO_REDES!$W:$W,0),MATCH(AX$5,APOIO_REDES!$5:$5,0)),0)*$AP1282,0)</f>
        <v>5.16562618702009</v>
      </c>
      <c r="AY1282" s="153" t="n">
        <f aca="false">IFERROR(IF($N1282="VCA",INDEX(APOIO_REDES!$A:$W,MATCH($C1282&amp;$I1282&amp;$H1282&amp;$N1282&amp;$O1282,APOIO_REDES!$W:$W,0),MATCH(AY$5,APOIO_REDES!$5:$5,0)),0)*$AP1282,0)</f>
        <v>9.44927883054956</v>
      </c>
      <c r="AZ1282" s="153" t="n">
        <f aca="false">IFERROR(IF($N1282="VCA",INDEX(APOIO_REDES!$A:$W,MATCH($C1282&amp;$I1282&amp;$H1282&amp;$N1282&amp;$O1282,APOIO_REDES!$W:$W,0),MATCH(AZ$5,APOIO_REDES!$5:$5,0)),0)*$AP1282,0)</f>
        <v>1.30775288184806</v>
      </c>
      <c r="BA1282" s="153" t="n">
        <f aca="false">IFERROR(IF(AND($N1282="VCA",$Q1282="LINEAR"),INDEX(APOIO_REDES!$A:$W,MATCH($C1282&amp;$I1282&amp;$H1282&amp;$N1282&amp;$O1282,APOIO_REDES!$W:$W,0),MATCH(BA$5,APOIO_REDES!$5:$5,0)),IF(AND($N1282="MND",$Q1282="EMBOQUE"),INDEX(APOIO_REDES!$A:$W,MATCH($C1282&amp;$I1282&amp;$H1282&amp;$N1282&amp;$O1282,APOIO_REDES!$W:$W,0),MATCH(BA$5,APOIO_REDES!$5:$5,0)),0))*$M1282/10,0)</f>
        <v>4.20396443056134</v>
      </c>
      <c r="BB1282" s="153" t="n">
        <f aca="false">IFERROR(IF($N1282="VCA",INDEX(APOIO_REDES!$A:$W,MATCH($C1282&amp;$I1282&amp;$H1282&amp;$N1282&amp;$O1282,APOIO_REDES!$W:$W,0),MATCH(BB$5,APOIO_REDES!$5:$5,0)),0)*($AI1282+$AQ1282+$AR1282),0)</f>
        <v>18.9602377823248</v>
      </c>
      <c r="BC1282" s="153" t="n">
        <f aca="false">IFERROR(IF($N1282="VCA",INDEX(APOIO_REDES!$A:$W,MATCH($C1282&amp;$I1282&amp;$H1282&amp;$N1282&amp;$O1282,APOIO_REDES!$W:$W,0),MATCH(BC$5,APOIO_REDES!$5:$5,0)),0)*($AI1282+$AQ1282+$AR1282),0)</f>
        <v>0.208562217675188</v>
      </c>
      <c r="BD1282" s="153" t="n">
        <f aca="false">IF(AND($N1282="VCA",$AF1282&gt;=1.25,$AF1282&lt;1.5),$M1282*$AF1282*2,0)</f>
        <v>145.0048</v>
      </c>
      <c r="BE1282" s="153" t="n">
        <f aca="false">IF(AND($N1282="VCA",$AF1282&gt;=1.5,$AF1282&lt;3),$M1282*$AF1282*2,0)</f>
        <v>0</v>
      </c>
      <c r="BF1282" s="153" t="n">
        <f aca="false">IF(AND($N1282="VCA",$AF1282&gt;=3),$M1282*$AF1282*2,0)</f>
        <v>0</v>
      </c>
      <c r="BG1282" s="153" t="n">
        <f aca="false">($BB1282+$BC1282)*$AK1282</f>
        <v>103.51152</v>
      </c>
      <c r="BH1282" s="153" t="n">
        <f aca="false">IF(AND($M1282&lt;&gt;"",$N1282="VCA",$Q1282="LINEAR"),($M1282*2)/100,IF(AND($M1282&lt;&gt;"",$N1282="MND",$Q1282="EMBOQUE"),($AN1282*2)/100,0))</f>
        <v>1.0432</v>
      </c>
      <c r="BI1282" s="153" t="n">
        <f aca="false">IF(AND($M1282&lt;&gt;"",$N1282="VCA",$Q1282="LINEAR"),$M1282,IF(AND($M1282&lt;&gt;"",$N1282="MND",$Q1282="EMBOQUE"),$AN1282*2,0))</f>
        <v>52.16</v>
      </c>
      <c r="BJ1282" s="153" t="n">
        <f aca="false">IF(AND($M1282&lt;&gt;"",$N1282="VCA",$Q1282="LINEAR"),($M1282*6.8)/100,IF(AND($M1282&lt;&gt;"",$N1282="MND",$Q1282="EMBOQUE"),($AN1282*2*6.8)/100,0))</f>
        <v>3.54688</v>
      </c>
      <c r="BK1282" s="153" t="n">
        <f aca="false">IF(AND($M1282&lt;&gt;"",$N1282="VCA",$Q1282="LINEAR"),($M1282*2.5)/50,IF(AND($M1282&lt;&gt;"",$N1282="MND",$Q1282="EMBOQUE"),($AN1282*2*2.5)/50,0))</f>
        <v>2.608</v>
      </c>
      <c r="BL1282" s="157" t="str">
        <f aca="false">K1282&amp;J1282</f>
        <v>Zona11REDES</v>
      </c>
      <c r="BM1282" s="152" t="s">
        <v>6084</v>
      </c>
      <c r="BN1282" s="152" t="s">
        <v>1560</v>
      </c>
      <c r="BO1282" s="152" t="s">
        <v>5627</v>
      </c>
      <c r="BP1282" s="152" t="s">
        <v>6398</v>
      </c>
      <c r="BQ1282" s="152" t="s">
        <v>6099</v>
      </c>
      <c r="BR1282" s="152" t="s">
        <v>6399</v>
      </c>
      <c r="BS1282" s="152" t="n">
        <v>203732.622</v>
      </c>
      <c r="BT1282" s="152" t="n">
        <v>8236103.205</v>
      </c>
      <c r="BU1282" s="152" t="n">
        <v>203712.209</v>
      </c>
      <c r="BV1282" s="152" t="n">
        <v>8236150.294</v>
      </c>
      <c r="BW1282" s="152" t="n">
        <v>-15.936457</v>
      </c>
      <c r="BX1282" s="152" t="n">
        <v>-47.7673621</v>
      </c>
      <c r="BY1282" s="152" t="s">
        <v>6398</v>
      </c>
    </row>
    <row r="1283" customFormat="false" ht="13.8" hidden="false" customHeight="false" outlineLevel="0" collapsed="false">
      <c r="A1283" s="149" t="n">
        <f aca="false">IF(C1283&lt;&gt;"",ROW(A1278),"")</f>
        <v>1278</v>
      </c>
      <c r="B1283" s="150" t="str">
        <f aca="false">HYPERLINK("https://www.google.com/maps/dir/-15.917302,-47.760003/-15.9366249,-47.7669818/data=!4m3!4m2!3e0!5i1")</f>
        <v>https://www.google.com/maps/dir/-15.917302,-47.760003/-15.9366249,-47.7669818/data=!4m3!4m2!3e0!5i1</v>
      </c>
      <c r="C1283" s="151" t="s">
        <v>117</v>
      </c>
      <c r="D1283" s="152" t="s">
        <v>112</v>
      </c>
      <c r="E1283" s="152" t="s">
        <v>113</v>
      </c>
      <c r="F1283" s="152" t="s">
        <v>117</v>
      </c>
      <c r="G1283" s="152" t="s">
        <v>782</v>
      </c>
      <c r="H1283" s="152" t="n">
        <v>63</v>
      </c>
      <c r="I1283" s="152" t="s">
        <v>115</v>
      </c>
      <c r="J1283" s="152" t="s">
        <v>6</v>
      </c>
      <c r="K1283" s="152" t="s">
        <v>6081</v>
      </c>
      <c r="L1283" s="152" t="s">
        <v>120</v>
      </c>
      <c r="M1283" s="153" t="n">
        <f aca="false">119.37</f>
        <v>119.37</v>
      </c>
      <c r="N1283" s="152" t="s">
        <v>1548</v>
      </c>
      <c r="O1283" s="152" t="s">
        <v>1549</v>
      </c>
      <c r="P1283" s="152" t="s">
        <v>1550</v>
      </c>
      <c r="Q1283" s="152" t="s">
        <v>1551</v>
      </c>
      <c r="R1283" s="154" t="s">
        <v>6400</v>
      </c>
      <c r="S1283" s="154" t="s">
        <v>1553</v>
      </c>
      <c r="T1283" s="155" t="s">
        <v>5625</v>
      </c>
      <c r="U1283" s="152" t="str">
        <f aca="false">RIGHT(T1283,7)</f>
        <v>023/037</v>
      </c>
      <c r="V1283" s="152" t="s">
        <v>1555</v>
      </c>
      <c r="W1283" s="156" t="n">
        <v>45882</v>
      </c>
      <c r="X1283" s="152" t="s">
        <v>1594</v>
      </c>
      <c r="Y1283" s="152" t="s">
        <v>3251</v>
      </c>
      <c r="Z1283" s="152" t="s">
        <v>1557</v>
      </c>
      <c r="AA1283" s="153" t="n">
        <v>5.4</v>
      </c>
      <c r="AB1283" s="151" t="s">
        <v>6401</v>
      </c>
      <c r="AC1283" s="151" t="s">
        <v>186</v>
      </c>
      <c r="AD1283" s="151" t="str">
        <f aca="false">CONCATENATE($C1283,$I1283,$H1283,$N1283,$J1283,$K1283)</f>
        <v>TUBO PEADPEAD63VCAREDESZona11</v>
      </c>
      <c r="AE1283" s="153" t="n">
        <f aca="false">IFERROR(INDEX(APOIO_REDES!$A:$W,MATCH($C1283&amp;$I1283&amp;$H1283&amp;$N1283&amp;$O1283,APOIO_REDES!$W:$W,0),MATCH(AE$5,APOIO_REDES!$5:$5,0)),0)</f>
        <v>1.2</v>
      </c>
      <c r="AF1283" s="153" t="n">
        <f aca="false">IFERROR(INDEX(APOIO_REDES!$A:$W,MATCH($C1283&amp;$I1283&amp;$H1283&amp;$N1283&amp;$O1283,APOIO_REDES!$W:$W,0),MATCH(AF$5,APOIO_REDES!$5:$5,0)),0)</f>
        <v>1.363</v>
      </c>
      <c r="AG1283" s="153" t="n">
        <f aca="false">IFERROR(INDEX(APOIO_REDES!$A:$W,MATCH($C1283&amp;$I1283&amp;$H1283&amp;$N1283&amp;$O1283,APOIO_REDES!$W:$W,0),MATCH(AG$5,APOIO_REDES!$5:$5,0)),0)</f>
        <v>0.65</v>
      </c>
      <c r="AH1283" s="153" t="n">
        <f aca="false">IFERROR(INDEX(APOIO_REDES!$A:$W,MATCH($C1283&amp;$I1283&amp;$H1283&amp;$N1283&amp;$O1283,APOIO_REDES!$W:$W,0),MATCH(AH$5,APOIO_REDES!$5:$5,0)),0)</f>
        <v>0.1</v>
      </c>
      <c r="AI1283" s="153" t="n">
        <f aca="false">IFERROR(IF($H1283&lt;&gt;"",(((($H1283/1000)/2)^2)*PI()*$M1283),0),0)</f>
        <v>0.372105572717306</v>
      </c>
      <c r="AJ1283" s="153" t="n">
        <f aca="false">IFERROR(IF(AND($H1283&lt;&gt;"",$I1283="FoFo",OR($N1283="MND",$N1283="VCA"),$Q1283="LINEAR"),0,IF(AND($H1283&lt;&gt;"",$I1283="PEAD",$N1283="VCA",$Q1283="LINEAR"),($H1283/1000)+0.3,IF(AND($H1283&lt;&gt;"",$I1283="PEAD",$N1283="MND",$Q1283="EMBOQUE"),0,IF(AND($H1283&lt;&gt;"",$I1283="PVC",$N1283="VCA",$Q1283="LINEAR"),($H1283/1000)+0.2,IF(AND($H1283&lt;&gt;"",$I1283="PVC",$N1283="MND",$Q1283="EMBOQUE"),0,IF(AND($H1283&lt;&gt;"",$I1283="PEAD",$N1283="VCA",$Q1283="PREDIAL"),0,0)))))),0)</f>
        <v>0.363</v>
      </c>
      <c r="AK1283" s="153" t="n">
        <f aca="false">IF(AA1283&lt;&gt;"",AA1283,0)</f>
        <v>5.4</v>
      </c>
      <c r="AL1283" s="153" t="n">
        <f aca="false">IF(AND($N1283="MND",$Q1283="EMBOQUE"),$M1283,IF(AND($N1283="VCA",$Q1283="LINEAR"),$M1283,IF(AND($N1283="VCA",$Q1283="PREDIAL"),0,0)))</f>
        <v>119.37</v>
      </c>
      <c r="AM1283" s="153" t="n">
        <f aca="false">IF(AND($N1283="MND",$Q1283="EMBOQUE"),$M1283,IF(AND($N1283="VCA",$Q1283="LINEAR"),$M1283,IF(AND($N1283="VCA",$Q1283="PREDIAL"),0,0)))</f>
        <v>119.37</v>
      </c>
      <c r="AN1283" s="153" t="n">
        <f aca="false">ROUND(IF(AND($N1283="VCA",$M1283&lt;&gt;"",$Q1283="LINEAR"),$M1283/100,IF(AND($N1283="MND",$M1283&gt;100,$Q1283="EMBOQUE"),$M1283/100,0)),0)</f>
        <v>1</v>
      </c>
      <c r="AO1283" s="153" t="n">
        <f aca="false">IF(AND($N1283="MND",$Q1283="EMBOQUE"),$AN1283*2*2,IF(AND($N1283="VCA",$Q1283="LINEAR"),$M1283*2,IF(AND($N1283="VCA",$Q1283="PREDIAL"),0,0)))</f>
        <v>238.74</v>
      </c>
      <c r="AP1283" s="153" t="n">
        <f aca="false">IFERROR($M1283*$AF1283*$AG1283,0)</f>
        <v>105.7558515</v>
      </c>
      <c r="AQ1283" s="153" t="n">
        <f aca="false">IFERROR(IF(AND($N1283="VCA",$AH1283&gt;0),$M1283*$AG1283*$AH1283,0),0)</f>
        <v>7.75905</v>
      </c>
      <c r="AR1283" s="153" t="n">
        <f aca="false">IFERROR(IF(AND($N1283="VCA",$AJ1283&gt;0),($M1283*$AG1283*$AJ1283)-$AI1283,0),0)</f>
        <v>27.7932459272827</v>
      </c>
      <c r="AS1283" s="153" t="n">
        <f aca="false">IFERROR(IF(AND($N1283="VCA",$AP1283&gt;0),$AP1283-$AI1283-$AQ1283-$AR1283,0),0)</f>
        <v>69.83145</v>
      </c>
      <c r="AT1283" s="153" t="n">
        <f aca="false">IFERROR(IF($N1283="VCA",INDEX(APOIO_REDES!$A:$W,MATCH($C1283&amp;$I1283&amp;$H1283&amp;$N1283&amp;$O1283,APOIO_REDES!$W:$W,0),MATCH(AT$5,APOIO_REDES!$5:$5,0)),0)*$AP1283,0)</f>
        <v>1.15065496645423</v>
      </c>
      <c r="AU1283" s="153" t="n">
        <f aca="false">IFERROR(IF($N1283="VCA",INDEX(APOIO_REDES!$A:$W,MATCH($C1283&amp;$I1283&amp;$H1283&amp;$N1283&amp;$O1283,APOIO_REDES!$W:$W,0),MATCH(AU$5,APOIO_REDES!$5:$5,0)),0)*$AP1283,0)</f>
        <v>0.918881892521662</v>
      </c>
      <c r="AV1283" s="153" t="n">
        <f aca="false">IFERROR(IF($N1283="VCA",INDEX(APOIO_REDES!$A:$W,MATCH($C1283&amp;$I1283&amp;$H1283&amp;$N1283&amp;$O1283,APOIO_REDES!$W:$W,0),MATCH(AV$5,APOIO_REDES!$5:$5,0)),0)*$AP1283,0)</f>
        <v>0.127166040419314</v>
      </c>
      <c r="AW1283" s="153" t="n">
        <f aca="false">IFERROR(IF($N1283="VCA",INDEX(APOIO_REDES!$A:$W,MATCH($C1283&amp;$I1283&amp;$H1283&amp;$N1283&amp;$O1283,APOIO_REDES!$W:$W,0),MATCH(AW$5,APOIO_REDES!$5:$5,0)),0)*$AP1283,0)</f>
        <v>72.591635905924</v>
      </c>
      <c r="AX1283" s="153" t="n">
        <f aca="false">IFERROR(IF($N1283="VCA",INDEX(APOIO_REDES!$A:$W,MATCH($C1283&amp;$I1283&amp;$H1283&amp;$N1283&amp;$O1283,APOIO_REDES!$W:$W,0),MATCH(AX$5,APOIO_REDES!$5:$5,0)),0)*$AP1283,0)</f>
        <v>10.0464756281909</v>
      </c>
      <c r="AY1283" s="153" t="n">
        <f aca="false">IFERROR(IF($N1283="VCA",INDEX(APOIO_REDES!$A:$W,MATCH($C1283&amp;$I1283&amp;$H1283&amp;$N1283&amp;$O1283,APOIO_REDES!$W:$W,0),MATCH(AY$5,APOIO_REDES!$5:$5,0)),0)*$AP1283,0)</f>
        <v>18.3776266493375</v>
      </c>
      <c r="AZ1283" s="153" t="n">
        <f aca="false">IFERROR(IF($N1283="VCA",INDEX(APOIO_REDES!$A:$W,MATCH($C1283&amp;$I1283&amp;$H1283&amp;$N1283&amp;$O1283,APOIO_REDES!$W:$W,0),MATCH(AZ$5,APOIO_REDES!$5:$5,0)),0)*$AP1283,0)</f>
        <v>2.54341041715254</v>
      </c>
      <c r="BA1283" s="153" t="n">
        <f aca="false">IFERROR(IF(AND($N1283="VCA",$Q1283="LINEAR"),INDEX(APOIO_REDES!$A:$W,MATCH($C1283&amp;$I1283&amp;$H1283&amp;$N1283&amp;$O1283,APOIO_REDES!$W:$W,0),MATCH(BA$5,APOIO_REDES!$5:$5,0)),IF(AND($N1283="MND",$Q1283="EMBOQUE"),INDEX(APOIO_REDES!$A:$W,MATCH($C1283&amp;$I1283&amp;$H1283&amp;$N1283&amp;$O1283,APOIO_REDES!$W:$W,0),MATCH(BA$5,APOIO_REDES!$5:$5,0)),0))*$M1283/10,0)</f>
        <v>9.62092089869837</v>
      </c>
      <c r="BB1283" s="153" t="n">
        <f aca="false">IFERROR(IF($N1283="VCA",INDEX(APOIO_REDES!$A:$W,MATCH($C1283&amp;$I1283&amp;$H1283&amp;$N1283&amp;$O1283,APOIO_REDES!$W:$W,0),MATCH(BB$5,APOIO_REDES!$5:$5,0)),0)*($AI1283+$AQ1283+$AR1283),0)</f>
        <v>35.5335333785999</v>
      </c>
      <c r="BC1283" s="153" t="n">
        <f aca="false">IFERROR(IF($N1283="VCA",INDEX(APOIO_REDES!$A:$W,MATCH($C1283&amp;$I1283&amp;$H1283&amp;$N1283&amp;$O1283,APOIO_REDES!$W:$W,0),MATCH(BC$5,APOIO_REDES!$5:$5,0)),0)*($AI1283+$AQ1283+$AR1283),0)</f>
        <v>0.39086812140008</v>
      </c>
      <c r="BD1283" s="153" t="n">
        <f aca="false">IF(AND($N1283="VCA",$AF1283&gt;=1.25,$AF1283&lt;1.5),$M1283*$AF1283*2,0)</f>
        <v>325.40262</v>
      </c>
      <c r="BE1283" s="153" t="n">
        <f aca="false">IF(AND($N1283="VCA",$AF1283&gt;=1.5,$AF1283&lt;3),$M1283*$AF1283*2,0)</f>
        <v>0</v>
      </c>
      <c r="BF1283" s="153" t="n">
        <f aca="false">IF(AND($N1283="VCA",$AF1283&gt;=3),$M1283*$AF1283*2,0)</f>
        <v>0</v>
      </c>
      <c r="BG1283" s="153" t="n">
        <f aca="false">($BB1283+$BC1283)*$AK1283</f>
        <v>193.9917681</v>
      </c>
      <c r="BH1283" s="153" t="n">
        <f aca="false">IF(AND($M1283&lt;&gt;"",$N1283="VCA",$Q1283="LINEAR"),($M1283*2)/100,IF(AND($M1283&lt;&gt;"",$N1283="MND",$Q1283="EMBOQUE"),($AN1283*2)/100,0))</f>
        <v>2.3874</v>
      </c>
      <c r="BI1283" s="153" t="n">
        <f aca="false">IF(AND($M1283&lt;&gt;"",$N1283="VCA",$Q1283="LINEAR"),$M1283,IF(AND($M1283&lt;&gt;"",$N1283="MND",$Q1283="EMBOQUE"),$AN1283*2,0))</f>
        <v>119.37</v>
      </c>
      <c r="BJ1283" s="153" t="n">
        <f aca="false">IF(AND($M1283&lt;&gt;"",$N1283="VCA",$Q1283="LINEAR"),($M1283*6.8)/100,IF(AND($M1283&lt;&gt;"",$N1283="MND",$Q1283="EMBOQUE"),($AN1283*2*6.8)/100,0))</f>
        <v>8.11716</v>
      </c>
      <c r="BK1283" s="153" t="n">
        <f aca="false">IF(AND($M1283&lt;&gt;"",$N1283="VCA",$Q1283="LINEAR"),($M1283*2.5)/50,IF(AND($M1283&lt;&gt;"",$N1283="MND",$Q1283="EMBOQUE"),($AN1283*2*2.5)/50,0))</f>
        <v>5.9685</v>
      </c>
      <c r="BL1283" s="157" t="str">
        <f aca="false">K1283&amp;J1283</f>
        <v>Zona11REDES</v>
      </c>
      <c r="BM1283" s="152" t="s">
        <v>6084</v>
      </c>
      <c r="BN1283" s="152" t="s">
        <v>1560</v>
      </c>
      <c r="BO1283" s="152" t="s">
        <v>5627</v>
      </c>
      <c r="BP1283" s="152" t="s">
        <v>6402</v>
      </c>
      <c r="BQ1283" s="152" t="s">
        <v>6403</v>
      </c>
      <c r="BR1283" s="152" t="s">
        <v>6404</v>
      </c>
      <c r="BS1283" s="152" t="n">
        <v>203764.677</v>
      </c>
      <c r="BT1283" s="152" t="n">
        <v>8236109.667</v>
      </c>
      <c r="BU1283" s="152" t="n">
        <v>203879.315</v>
      </c>
      <c r="BV1283" s="152" t="n">
        <v>8236141.084</v>
      </c>
      <c r="BW1283" s="152" t="n">
        <v>-15.9364807</v>
      </c>
      <c r="BX1283" s="152" t="n">
        <v>-47.766449</v>
      </c>
      <c r="BY1283" s="152" t="s">
        <v>6402</v>
      </c>
    </row>
    <row r="1284" customFormat="false" ht="13.8" hidden="false" customHeight="false" outlineLevel="0" collapsed="false">
      <c r="A1284" s="149" t="n">
        <f aca="false">IF(C1284&lt;&gt;"",ROW(A1279),"")</f>
        <v>1279</v>
      </c>
      <c r="B1284" s="150" t="str">
        <f aca="false">HYPERLINK("https://www.google.com/maps/dir/-15.917302,-47.760003/-15.9366249,-47.7669818/data=!4m3!4m2!3e0!5i1")</f>
        <v>https://www.google.com/maps/dir/-15.917302,-47.760003/-15.9366249,-47.7669818/data=!4m3!4m2!3e0!5i1</v>
      </c>
      <c r="C1284" s="151" t="s">
        <v>117</v>
      </c>
      <c r="D1284" s="152" t="s">
        <v>112</v>
      </c>
      <c r="E1284" s="152" t="s">
        <v>113</v>
      </c>
      <c r="F1284" s="152" t="s">
        <v>117</v>
      </c>
      <c r="G1284" s="152" t="s">
        <v>782</v>
      </c>
      <c r="H1284" s="152" t="n">
        <v>90</v>
      </c>
      <c r="I1284" s="152" t="s">
        <v>115</v>
      </c>
      <c r="J1284" s="152" t="s">
        <v>6</v>
      </c>
      <c r="K1284" s="152" t="s">
        <v>6081</v>
      </c>
      <c r="L1284" s="152" t="s">
        <v>120</v>
      </c>
      <c r="M1284" s="153" t="n">
        <f aca="false">32.7</f>
        <v>32.7</v>
      </c>
      <c r="N1284" s="152" t="s">
        <v>1548</v>
      </c>
      <c r="O1284" s="152" t="s">
        <v>1549</v>
      </c>
      <c r="P1284" s="152" t="s">
        <v>1550</v>
      </c>
      <c r="Q1284" s="152" t="s">
        <v>1551</v>
      </c>
      <c r="R1284" s="154" t="s">
        <v>6405</v>
      </c>
      <c r="S1284" s="154" t="s">
        <v>1593</v>
      </c>
      <c r="T1284" s="155" t="s">
        <v>5625</v>
      </c>
      <c r="U1284" s="152" t="str">
        <f aca="false">RIGHT(T1284,7)</f>
        <v>023/037</v>
      </c>
      <c r="V1284" s="152" t="s">
        <v>1555</v>
      </c>
      <c r="W1284" s="156" t="n">
        <v>45882</v>
      </c>
      <c r="X1284" s="152" t="s">
        <v>1594</v>
      </c>
      <c r="Y1284" s="152" t="s">
        <v>3251</v>
      </c>
      <c r="Z1284" s="152" t="s">
        <v>1557</v>
      </c>
      <c r="AA1284" s="153" t="n">
        <v>5.4</v>
      </c>
      <c r="AB1284" s="151" t="s">
        <v>6406</v>
      </c>
      <c r="AC1284" s="151" t="s">
        <v>526</v>
      </c>
      <c r="AD1284" s="151" t="str">
        <f aca="false">CONCATENATE($C1284,$I1284,$H1284,$N1284,$J1284,$K1284)</f>
        <v>TUBO PEADPEAD90VCAREDESZona11</v>
      </c>
      <c r="AE1284" s="153" t="n">
        <f aca="false">IFERROR(INDEX(APOIO_REDES!$A:$W,MATCH($C1284&amp;$I1284&amp;$H1284&amp;$N1284&amp;$O1284,APOIO_REDES!$W:$W,0),MATCH(AE$5,APOIO_REDES!$5:$5,0)),0)</f>
        <v>1.2</v>
      </c>
      <c r="AF1284" s="153" t="n">
        <f aca="false">IFERROR(INDEX(APOIO_REDES!$A:$W,MATCH($C1284&amp;$I1284&amp;$H1284&amp;$N1284&amp;$O1284,APOIO_REDES!$W:$W,0),MATCH(AF$5,APOIO_REDES!$5:$5,0)),0)</f>
        <v>1.39</v>
      </c>
      <c r="AG1284" s="153" t="n">
        <f aca="false">IFERROR(INDEX(APOIO_REDES!$A:$W,MATCH($C1284&amp;$I1284&amp;$H1284&amp;$N1284&amp;$O1284,APOIO_REDES!$W:$W,0),MATCH(AG$5,APOIO_REDES!$5:$5,0)),0)</f>
        <v>0.75</v>
      </c>
      <c r="AH1284" s="153" t="n">
        <f aca="false">IFERROR(INDEX(APOIO_REDES!$A:$W,MATCH($C1284&amp;$I1284&amp;$H1284&amp;$N1284&amp;$O1284,APOIO_REDES!$W:$W,0),MATCH(AH$5,APOIO_REDES!$5:$5,0)),0)</f>
        <v>0.1</v>
      </c>
      <c r="AI1284" s="153" t="n">
        <f aca="false">IFERROR(IF($H1284&lt;&gt;"",(((($H1284/1000)/2)^2)*PI()*$M1284),0),0)</f>
        <v>0.208028411539082</v>
      </c>
      <c r="AJ1284" s="153" t="n">
        <f aca="false">IFERROR(IF(AND($H1284&lt;&gt;"",$I1284="FoFo",OR($N1284="MND",$N1284="VCA"),$Q1284="LINEAR"),0,IF(AND($H1284&lt;&gt;"",$I1284="PEAD",$N1284="VCA",$Q1284="LINEAR"),($H1284/1000)+0.3,IF(AND($H1284&lt;&gt;"",$I1284="PEAD",$N1284="MND",$Q1284="EMBOQUE"),0,IF(AND($H1284&lt;&gt;"",$I1284="PVC",$N1284="VCA",$Q1284="LINEAR"),($H1284/1000)+0.2,IF(AND($H1284&lt;&gt;"",$I1284="PVC",$N1284="MND",$Q1284="EMBOQUE"),0,IF(AND($H1284&lt;&gt;"",$I1284="PEAD",$N1284="VCA",$Q1284="PREDIAL"),0,0)))))),0)</f>
        <v>0.39</v>
      </c>
      <c r="AK1284" s="153" t="n">
        <f aca="false">IF(AA1284&lt;&gt;"",AA1284,0)</f>
        <v>5.4</v>
      </c>
      <c r="AL1284" s="153" t="n">
        <f aca="false">IF(AND($N1284="MND",$Q1284="EMBOQUE"),$M1284,IF(AND($N1284="VCA",$Q1284="LINEAR"),$M1284,IF(AND($N1284="VCA",$Q1284="PREDIAL"),0,0)))</f>
        <v>32.7</v>
      </c>
      <c r="AM1284" s="153" t="n">
        <f aca="false">IF(AND($N1284="MND",$Q1284="EMBOQUE"),$M1284,IF(AND($N1284="VCA",$Q1284="LINEAR"),$M1284,IF(AND($N1284="VCA",$Q1284="PREDIAL"),0,0)))</f>
        <v>32.7</v>
      </c>
      <c r="AN1284" s="153" t="n">
        <f aca="false">ROUND(IF(AND($N1284="VCA",$M1284&lt;&gt;"",$Q1284="LINEAR"),$M1284/100,IF(AND($N1284="MND",$M1284&gt;100,$Q1284="EMBOQUE"),$M1284/100,0)),0)</f>
        <v>0</v>
      </c>
      <c r="AO1284" s="153" t="n">
        <f aca="false">IF(AND($N1284="MND",$Q1284="EMBOQUE"),$AN1284*2*2,IF(AND($N1284="VCA",$Q1284="LINEAR"),$M1284*2,IF(AND($N1284="VCA",$Q1284="PREDIAL"),0,0)))</f>
        <v>65.4</v>
      </c>
      <c r="AP1284" s="153" t="n">
        <f aca="false">IFERROR($M1284*$AF1284*$AG1284,0)</f>
        <v>34.08975</v>
      </c>
      <c r="AQ1284" s="153" t="n">
        <f aca="false">IFERROR(IF(AND($N1284="VCA",$AH1284&gt;0),$M1284*$AG1284*$AH1284,0),0)</f>
        <v>2.4525</v>
      </c>
      <c r="AR1284" s="153" t="n">
        <f aca="false">IFERROR(IF(AND($N1284="VCA",$AJ1284&gt;0),($M1284*$AG1284*$AJ1284)-$AI1284,0),0)</f>
        <v>9.35672158846092</v>
      </c>
      <c r="AS1284" s="153" t="n">
        <f aca="false">IFERROR(IF(AND($N1284="VCA",$AP1284&gt;0),$AP1284-$AI1284-$AQ1284-$AR1284,0),0)</f>
        <v>22.0725</v>
      </c>
      <c r="AT1284" s="153" t="n">
        <f aca="false">IFERROR(IF($N1284="VCA",INDEX(APOIO_REDES!$A:$W,MATCH($C1284&amp;$I1284&amp;$H1284&amp;$N1284&amp;$O1284,APOIO_REDES!$W:$W,0),MATCH(AT$5,APOIO_REDES!$5:$5,0)),0)*$AP1284,0)</f>
        <v>0.370906570050955</v>
      </c>
      <c r="AU1284" s="153" t="n">
        <f aca="false">IFERROR(IF($N1284="VCA",INDEX(APOIO_REDES!$A:$W,MATCH($C1284&amp;$I1284&amp;$H1284&amp;$N1284&amp;$O1284,APOIO_REDES!$W:$W,0),MATCH(AU$5,APOIO_REDES!$5:$5,0)),0)*$AP1284,0)</f>
        <v>0.29619594141881</v>
      </c>
      <c r="AV1284" s="153" t="n">
        <f aca="false">IFERROR(IF($N1284="VCA",INDEX(APOIO_REDES!$A:$W,MATCH($C1284&amp;$I1284&amp;$H1284&amp;$N1284&amp;$O1284,APOIO_REDES!$W:$W,0),MATCH(AV$5,APOIO_REDES!$5:$5,0)),0)*$AP1284,0)</f>
        <v>0.0409911930630554</v>
      </c>
      <c r="AW1284" s="153" t="n">
        <f aca="false">IFERROR(IF($N1284="VCA",INDEX(APOIO_REDES!$A:$W,MATCH($C1284&amp;$I1284&amp;$H1284&amp;$N1284&amp;$O1284,APOIO_REDES!$W:$W,0),MATCH(AW$5,APOIO_REDES!$5:$5,0)),0)*$AP1284,0)</f>
        <v>23.3994685402724</v>
      </c>
      <c r="AX1284" s="153" t="n">
        <f aca="false">IFERROR(IF($N1284="VCA",INDEX(APOIO_REDES!$A:$W,MATCH($C1284&amp;$I1284&amp;$H1284&amp;$N1284&amp;$O1284,APOIO_REDES!$W:$W,0),MATCH(AX$5,APOIO_REDES!$5:$5,0)),0)*$AP1284,0)</f>
        <v>3.23841979132587</v>
      </c>
      <c r="AY1284" s="153" t="n">
        <f aca="false">IFERROR(IF($N1284="VCA",INDEX(APOIO_REDES!$A:$W,MATCH($C1284&amp;$I1284&amp;$H1284&amp;$N1284&amp;$O1284,APOIO_REDES!$W:$W,0),MATCH(AY$5,APOIO_REDES!$5:$5,0)),0)*$AP1284,0)</f>
        <v>5.92391521777168</v>
      </c>
      <c r="AZ1284" s="153" t="n">
        <f aca="false">IFERROR(IF($N1284="VCA",INDEX(APOIO_REDES!$A:$W,MATCH($C1284&amp;$I1284&amp;$H1284&amp;$N1284&amp;$O1284,APOIO_REDES!$W:$W,0),MATCH(AZ$5,APOIO_REDES!$5:$5,0)),0)*$AP1284,0)</f>
        <v>0.81985274609723</v>
      </c>
      <c r="BA1284" s="153" t="n">
        <f aca="false">IFERROR(IF(AND($N1284="VCA",$Q1284="LINEAR"),INDEX(APOIO_REDES!$A:$W,MATCH($C1284&amp;$I1284&amp;$H1284&amp;$N1284&amp;$O1284,APOIO_REDES!$W:$W,0),MATCH(BA$5,APOIO_REDES!$5:$5,0)),IF(AND($N1284="MND",$Q1284="EMBOQUE"),INDEX(APOIO_REDES!$A:$W,MATCH($C1284&amp;$I1284&amp;$H1284&amp;$N1284&amp;$O1284,APOIO_REDES!$W:$W,0),MATCH(BA$5,APOIO_REDES!$5:$5,0)),0))*$M1284/10,0)</f>
        <v>2.63553751685882</v>
      </c>
      <c r="BB1284" s="153" t="n">
        <f aca="false">IFERROR(IF($N1284="VCA",INDEX(APOIO_REDES!$A:$W,MATCH($C1284&amp;$I1284&amp;$H1284&amp;$N1284&amp;$O1284,APOIO_REDES!$W:$W,0),MATCH(BB$5,APOIO_REDES!$5:$5,0)),0)*($AI1284+$AQ1284+$AR1284),0)</f>
        <v>11.8864987630756</v>
      </c>
      <c r="BC1284" s="153" t="n">
        <f aca="false">IFERROR(IF($N1284="VCA",INDEX(APOIO_REDES!$A:$W,MATCH($C1284&amp;$I1284&amp;$H1284&amp;$N1284&amp;$O1284,APOIO_REDES!$W:$W,0),MATCH(BC$5,APOIO_REDES!$5:$5,0)),0)*($AI1284+$AQ1284+$AR1284),0)</f>
        <v>0.130751236924437</v>
      </c>
      <c r="BD1284" s="153" t="n">
        <f aca="false">IF(AND($N1284="VCA",$AF1284&gt;=1.25,$AF1284&lt;1.5),$M1284*$AF1284*2,0)</f>
        <v>90.906</v>
      </c>
      <c r="BE1284" s="153" t="n">
        <f aca="false">IF(AND($N1284="VCA",$AF1284&gt;=1.5,$AF1284&lt;3),$M1284*$AF1284*2,0)</f>
        <v>0</v>
      </c>
      <c r="BF1284" s="153" t="n">
        <f aca="false">IF(AND($N1284="VCA",$AF1284&gt;=3),$M1284*$AF1284*2,0)</f>
        <v>0</v>
      </c>
      <c r="BG1284" s="153" t="n">
        <f aca="false">($BB1284+$BC1284)*$AK1284</f>
        <v>64.89315</v>
      </c>
      <c r="BH1284" s="153" t="n">
        <f aca="false">IF(AND($M1284&lt;&gt;"",$N1284="VCA",$Q1284="LINEAR"),($M1284*2)/100,IF(AND($M1284&lt;&gt;"",$N1284="MND",$Q1284="EMBOQUE"),($AN1284*2)/100,0))</f>
        <v>0.654</v>
      </c>
      <c r="BI1284" s="153" t="n">
        <f aca="false">IF(AND($M1284&lt;&gt;"",$N1284="VCA",$Q1284="LINEAR"),$M1284,IF(AND($M1284&lt;&gt;"",$N1284="MND",$Q1284="EMBOQUE"),$AN1284*2,0))</f>
        <v>32.7</v>
      </c>
      <c r="BJ1284" s="153" t="n">
        <f aca="false">IF(AND($M1284&lt;&gt;"",$N1284="VCA",$Q1284="LINEAR"),($M1284*6.8)/100,IF(AND($M1284&lt;&gt;"",$N1284="MND",$Q1284="EMBOQUE"),($AN1284*2*6.8)/100,0))</f>
        <v>2.2236</v>
      </c>
      <c r="BK1284" s="153" t="n">
        <f aca="false">IF(AND($M1284&lt;&gt;"",$N1284="VCA",$Q1284="LINEAR"),($M1284*2.5)/50,IF(AND($M1284&lt;&gt;"",$N1284="MND",$Q1284="EMBOQUE"),($AN1284*2*2.5)/50,0))</f>
        <v>1.635</v>
      </c>
      <c r="BL1284" s="157" t="str">
        <f aca="false">K1284&amp;J1284</f>
        <v>Zona11REDES</v>
      </c>
      <c r="BM1284" s="152" t="s">
        <v>6084</v>
      </c>
      <c r="BN1284" s="152" t="s">
        <v>1560</v>
      </c>
      <c r="BO1284" s="152" t="s">
        <v>5627</v>
      </c>
      <c r="BP1284" s="152" t="s">
        <v>6402</v>
      </c>
      <c r="BQ1284" s="152" t="s">
        <v>6398</v>
      </c>
      <c r="BR1284" s="152" t="s">
        <v>6407</v>
      </c>
      <c r="BS1284" s="152" t="n">
        <v>203764.677</v>
      </c>
      <c r="BT1284" s="152" t="n">
        <v>8236109.667</v>
      </c>
      <c r="BU1284" s="152" t="n">
        <v>203732.622</v>
      </c>
      <c r="BV1284" s="152" t="n">
        <v>8236103.205</v>
      </c>
      <c r="BW1284" s="152" t="n">
        <v>-15.9366521</v>
      </c>
      <c r="BX1284" s="152" t="n">
        <v>-47.7671318</v>
      </c>
      <c r="BY1284" s="152" t="s">
        <v>6402</v>
      </c>
    </row>
    <row r="1285" customFormat="false" ht="13.8" hidden="false" customHeight="false" outlineLevel="0" collapsed="false">
      <c r="A1285" s="149" t="n">
        <f aca="false">IF(C1285&lt;&gt;"",ROW(A1280),"")</f>
        <v>1280</v>
      </c>
      <c r="B1285" s="150" t="str">
        <f aca="false">HYPERLINK("https://www.google.com/maps/dir/-15.917302,-47.760003/-15.9372099,-47.7678300/data=!4m3!4m2!3e0!5i1")</f>
        <v>https://www.google.com/maps/dir/-15.917302,-47.760003/-15.9372099,-47.7678300/data=!4m3!4m2!3e0!5i1</v>
      </c>
      <c r="C1285" s="151" t="s">
        <v>117</v>
      </c>
      <c r="D1285" s="152" t="s">
        <v>112</v>
      </c>
      <c r="E1285" s="152" t="s">
        <v>113</v>
      </c>
      <c r="F1285" s="152" t="s">
        <v>117</v>
      </c>
      <c r="G1285" s="152" t="s">
        <v>782</v>
      </c>
      <c r="H1285" s="152" t="n">
        <v>90</v>
      </c>
      <c r="I1285" s="152" t="s">
        <v>115</v>
      </c>
      <c r="J1285" s="152" t="s">
        <v>6</v>
      </c>
      <c r="K1285" s="152" t="s">
        <v>6081</v>
      </c>
      <c r="L1285" s="152" t="s">
        <v>120</v>
      </c>
      <c r="M1285" s="153" t="n">
        <f aca="false">116.67+1.58</f>
        <v>118.25</v>
      </c>
      <c r="N1285" s="152" t="s">
        <v>1548</v>
      </c>
      <c r="O1285" s="152" t="s">
        <v>1549</v>
      </c>
      <c r="P1285" s="152" t="s">
        <v>1550</v>
      </c>
      <c r="Q1285" s="152" t="s">
        <v>1551</v>
      </c>
      <c r="R1285" s="154" t="s">
        <v>6408</v>
      </c>
      <c r="S1285" s="154" t="s">
        <v>1593</v>
      </c>
      <c r="T1285" s="155" t="s">
        <v>5625</v>
      </c>
      <c r="U1285" s="152" t="str">
        <f aca="false">RIGHT(T1285,7)</f>
        <v>023/037</v>
      </c>
      <c r="V1285" s="152" t="s">
        <v>1555</v>
      </c>
      <c r="W1285" s="156" t="n">
        <v>45882</v>
      </c>
      <c r="X1285" s="152" t="s">
        <v>1594</v>
      </c>
      <c r="Y1285" s="152" t="s">
        <v>3251</v>
      </c>
      <c r="Z1285" s="152" t="s">
        <v>1557</v>
      </c>
      <c r="AA1285" s="153" t="n">
        <v>5.5</v>
      </c>
      <c r="AB1285" s="151" t="s">
        <v>6409</v>
      </c>
      <c r="AC1285" s="151" t="s">
        <v>526</v>
      </c>
      <c r="AD1285" s="151" t="str">
        <f aca="false">CONCATENATE($C1285,$I1285,$H1285,$N1285,$J1285,$K1285)</f>
        <v>TUBO PEADPEAD90VCAREDESZona11</v>
      </c>
      <c r="AE1285" s="153" t="n">
        <f aca="false">IFERROR(INDEX(APOIO_REDES!$A:$W,MATCH($C1285&amp;$I1285&amp;$H1285&amp;$N1285&amp;$O1285,APOIO_REDES!$W:$W,0),MATCH(AE$5,APOIO_REDES!$5:$5,0)),0)</f>
        <v>1.2</v>
      </c>
      <c r="AF1285" s="153" t="n">
        <f aca="false">IFERROR(INDEX(APOIO_REDES!$A:$W,MATCH($C1285&amp;$I1285&amp;$H1285&amp;$N1285&amp;$O1285,APOIO_REDES!$W:$W,0),MATCH(AF$5,APOIO_REDES!$5:$5,0)),0)</f>
        <v>1.39</v>
      </c>
      <c r="AG1285" s="153" t="n">
        <f aca="false">IFERROR(INDEX(APOIO_REDES!$A:$W,MATCH($C1285&amp;$I1285&amp;$H1285&amp;$N1285&amp;$O1285,APOIO_REDES!$W:$W,0),MATCH(AG$5,APOIO_REDES!$5:$5,0)),0)</f>
        <v>0.75</v>
      </c>
      <c r="AH1285" s="153" t="n">
        <f aca="false">IFERROR(INDEX(APOIO_REDES!$A:$W,MATCH($C1285&amp;$I1285&amp;$H1285&amp;$N1285&amp;$O1285,APOIO_REDES!$W:$W,0),MATCH(AH$5,APOIO_REDES!$5:$5,0)),0)</f>
        <v>0.1</v>
      </c>
      <c r="AI1285" s="153" t="n">
        <f aca="false">IFERROR(IF($H1285&lt;&gt;"",(((($H1285/1000)/2)^2)*PI()*$M1285),0),0)</f>
        <v>0.752273995856161</v>
      </c>
      <c r="AJ1285" s="153" t="n">
        <f aca="false">IFERROR(IF(AND($H1285&lt;&gt;"",$I1285="FoFo",OR($N1285="MND",$N1285="VCA"),$Q1285="LINEAR"),0,IF(AND($H1285&lt;&gt;"",$I1285="PEAD",$N1285="VCA",$Q1285="LINEAR"),($H1285/1000)+0.3,IF(AND($H1285&lt;&gt;"",$I1285="PEAD",$N1285="MND",$Q1285="EMBOQUE"),0,IF(AND($H1285&lt;&gt;"",$I1285="PVC",$N1285="VCA",$Q1285="LINEAR"),($H1285/1000)+0.2,IF(AND($H1285&lt;&gt;"",$I1285="PVC",$N1285="MND",$Q1285="EMBOQUE"),0,IF(AND($H1285&lt;&gt;"",$I1285="PEAD",$N1285="VCA",$Q1285="PREDIAL"),0,0)))))),0)</f>
        <v>0.39</v>
      </c>
      <c r="AK1285" s="153" t="n">
        <f aca="false">IF(AA1285&lt;&gt;"",AA1285,0)</f>
        <v>5.5</v>
      </c>
      <c r="AL1285" s="153" t="n">
        <f aca="false">IF(AND($N1285="MND",$Q1285="EMBOQUE"),$M1285,IF(AND($N1285="VCA",$Q1285="LINEAR"),$M1285,IF(AND($N1285="VCA",$Q1285="PREDIAL"),0,0)))</f>
        <v>118.25</v>
      </c>
      <c r="AM1285" s="153" t="n">
        <f aca="false">IF(AND($N1285="MND",$Q1285="EMBOQUE"),$M1285,IF(AND($N1285="VCA",$Q1285="LINEAR"),$M1285,IF(AND($N1285="VCA",$Q1285="PREDIAL"),0,0)))</f>
        <v>118.25</v>
      </c>
      <c r="AN1285" s="153" t="n">
        <f aca="false">ROUND(IF(AND($N1285="VCA",$M1285&lt;&gt;"",$Q1285="LINEAR"),$M1285/100,IF(AND($N1285="MND",$M1285&gt;100,$Q1285="EMBOQUE"),$M1285/100,0)),0)</f>
        <v>1</v>
      </c>
      <c r="AO1285" s="153" t="n">
        <f aca="false">IF(AND($N1285="MND",$Q1285="EMBOQUE"),$AN1285*2*2,IF(AND($N1285="VCA",$Q1285="LINEAR"),$M1285*2,IF(AND($N1285="VCA",$Q1285="PREDIAL"),0,0)))</f>
        <v>236.5</v>
      </c>
      <c r="AP1285" s="153" t="n">
        <f aca="false">IFERROR($M1285*$AF1285*$AG1285,0)</f>
        <v>123.275625</v>
      </c>
      <c r="AQ1285" s="153" t="n">
        <f aca="false">IFERROR(IF(AND($N1285="VCA",$AH1285&gt;0),$M1285*$AG1285*$AH1285,0),0)</f>
        <v>8.86875</v>
      </c>
      <c r="AR1285" s="153" t="n">
        <f aca="false">IFERROR(IF(AND($N1285="VCA",$AJ1285&gt;0),($M1285*$AG1285*$AJ1285)-$AI1285,0),0)</f>
        <v>33.8358510041438</v>
      </c>
      <c r="AS1285" s="153" t="n">
        <f aca="false">IFERROR(IF(AND($N1285="VCA",$AP1285&gt;0),$AP1285-$AI1285-$AQ1285-$AR1285,0),0)</f>
        <v>79.81875</v>
      </c>
      <c r="AT1285" s="153" t="n">
        <f aca="false">IFERROR(IF($N1285="VCA",INDEX(APOIO_REDES!$A:$W,MATCH($C1285&amp;$I1285&amp;$H1285&amp;$N1285&amp;$O1285,APOIO_REDES!$W:$W,0),MATCH(AT$5,APOIO_REDES!$5:$5,0)),0)*$AP1285,0)</f>
        <v>1.34127528772249</v>
      </c>
      <c r="AU1285" s="153" t="n">
        <f aca="false">IFERROR(IF($N1285="VCA",INDEX(APOIO_REDES!$A:$W,MATCH($C1285&amp;$I1285&amp;$H1285&amp;$N1285&amp;$O1285,APOIO_REDES!$W:$W,0),MATCH(AU$5,APOIO_REDES!$5:$5,0)),0)*$AP1285,0)</f>
        <v>1.07110611843346</v>
      </c>
      <c r="AV1285" s="153" t="n">
        <f aca="false">IFERROR(IF($N1285="VCA",INDEX(APOIO_REDES!$A:$W,MATCH($C1285&amp;$I1285&amp;$H1285&amp;$N1285&amp;$O1285,APOIO_REDES!$W:$W,0),MATCH(AV$5,APOIO_REDES!$5:$5,0)),0)*$AP1285,0)</f>
        <v>0.14823267827848</v>
      </c>
      <c r="AW1285" s="153" t="n">
        <f aca="false">IFERROR(IF($N1285="VCA",INDEX(APOIO_REDES!$A:$W,MATCH($C1285&amp;$I1285&amp;$H1285&amp;$N1285&amp;$O1285,APOIO_REDES!$W:$W,0),MATCH(AW$5,APOIO_REDES!$5:$5,0)),0)*$AP1285,0)</f>
        <v>84.6173441861533</v>
      </c>
      <c r="AX1285" s="153" t="n">
        <f aca="false">IFERROR(IF($N1285="VCA",INDEX(APOIO_REDES!$A:$W,MATCH($C1285&amp;$I1285&amp;$H1285&amp;$N1285&amp;$O1285,APOIO_REDES!$W:$W,0),MATCH(AX$5,APOIO_REDES!$5:$5,0)),0)*$AP1285,0)</f>
        <v>11.7107993982961</v>
      </c>
      <c r="AY1285" s="153" t="n">
        <f aca="false">IFERROR(IF($N1285="VCA",INDEX(APOIO_REDES!$A:$W,MATCH($C1285&amp;$I1285&amp;$H1285&amp;$N1285&amp;$O1285,APOIO_REDES!$W:$W,0),MATCH(AY$5,APOIO_REDES!$5:$5,0)),0)*$AP1285,0)</f>
        <v>21.4221093119725</v>
      </c>
      <c r="AZ1285" s="153" t="n">
        <f aca="false">IFERROR(IF($N1285="VCA",INDEX(APOIO_REDES!$A:$W,MATCH($C1285&amp;$I1285&amp;$H1285&amp;$N1285&amp;$O1285,APOIO_REDES!$W:$W,0),MATCH(AZ$5,APOIO_REDES!$5:$5,0)),0)*$AP1285,0)</f>
        <v>2.96475801914365</v>
      </c>
      <c r="BA1285" s="153" t="n">
        <f aca="false">IFERROR(IF(AND($N1285="VCA",$Q1285="LINEAR"),INDEX(APOIO_REDES!$A:$W,MATCH($C1285&amp;$I1285&amp;$H1285&amp;$N1285&amp;$O1285,APOIO_REDES!$W:$W,0),MATCH(BA$5,APOIO_REDES!$5:$5,0)),IF(AND($N1285="MND",$Q1285="EMBOQUE"),INDEX(APOIO_REDES!$A:$W,MATCH($C1285&amp;$I1285&amp;$H1285&amp;$N1285&amp;$O1285,APOIO_REDES!$W:$W,0),MATCH(BA$5,APOIO_REDES!$5:$5,0)),0))*$M1285/10,0)</f>
        <v>9.53065172380902</v>
      </c>
      <c r="BB1285" s="153" t="n">
        <f aca="false">IFERROR(IF($N1285="VCA",INDEX(APOIO_REDES!$A:$W,MATCH($C1285&amp;$I1285&amp;$H1285&amp;$N1285&amp;$O1285,APOIO_REDES!$W:$W,0),MATCH(BB$5,APOIO_REDES!$5:$5,0)),0)*($AI1285+$AQ1285+$AR1285),0)</f>
        <v>42.9840513374216</v>
      </c>
      <c r="BC1285" s="153" t="n">
        <f aca="false">IFERROR(IF($N1285="VCA",INDEX(APOIO_REDES!$A:$W,MATCH($C1285&amp;$I1285&amp;$H1285&amp;$N1285&amp;$O1285,APOIO_REDES!$W:$W,0),MATCH(BC$5,APOIO_REDES!$5:$5,0)),0)*($AI1285+$AQ1285+$AR1285),0)</f>
        <v>0.472823662578431</v>
      </c>
      <c r="BD1285" s="153" t="n">
        <f aca="false">IF(AND($N1285="VCA",$AF1285&gt;=1.25,$AF1285&lt;1.5),$M1285*$AF1285*2,0)</f>
        <v>328.735</v>
      </c>
      <c r="BE1285" s="153" t="n">
        <f aca="false">IF(AND($N1285="VCA",$AF1285&gt;=1.5,$AF1285&lt;3),$M1285*$AF1285*2,0)</f>
        <v>0</v>
      </c>
      <c r="BF1285" s="153" t="n">
        <f aca="false">IF(AND($N1285="VCA",$AF1285&gt;=3),$M1285*$AF1285*2,0)</f>
        <v>0</v>
      </c>
      <c r="BG1285" s="153" t="n">
        <f aca="false">($BB1285+$BC1285)*$AK1285</f>
        <v>239.0128125</v>
      </c>
      <c r="BH1285" s="153" t="n">
        <f aca="false">IF(AND($M1285&lt;&gt;"",$N1285="VCA",$Q1285="LINEAR"),($M1285*2)/100,IF(AND($M1285&lt;&gt;"",$N1285="MND",$Q1285="EMBOQUE"),($AN1285*2)/100,0))</f>
        <v>2.365</v>
      </c>
      <c r="BI1285" s="153" t="n">
        <f aca="false">IF(AND($M1285&lt;&gt;"",$N1285="VCA",$Q1285="LINEAR"),$M1285,IF(AND($M1285&lt;&gt;"",$N1285="MND",$Q1285="EMBOQUE"),$AN1285*2,0))</f>
        <v>118.25</v>
      </c>
      <c r="BJ1285" s="153" t="n">
        <f aca="false">IF(AND($M1285&lt;&gt;"",$N1285="VCA",$Q1285="LINEAR"),($M1285*6.8)/100,IF(AND($M1285&lt;&gt;"",$N1285="MND",$Q1285="EMBOQUE"),($AN1285*2*6.8)/100,0))</f>
        <v>8.041</v>
      </c>
      <c r="BK1285" s="153" t="n">
        <f aca="false">IF(AND($M1285&lt;&gt;"",$N1285="VCA",$Q1285="LINEAR"),($M1285*2.5)/50,IF(AND($M1285&lt;&gt;"",$N1285="MND",$Q1285="EMBOQUE"),($AN1285*2*2.5)/50,0))</f>
        <v>5.9125</v>
      </c>
      <c r="BL1285" s="157" t="str">
        <f aca="false">K1285&amp;J1285</f>
        <v>Zona11REDES</v>
      </c>
      <c r="BM1285" s="152" t="s">
        <v>6084</v>
      </c>
      <c r="BN1285" s="152" t="s">
        <v>1560</v>
      </c>
      <c r="BO1285" s="152" t="s">
        <v>5627</v>
      </c>
      <c r="BP1285" s="152" t="s">
        <v>6410</v>
      </c>
      <c r="BQ1285" s="152" t="s">
        <v>6099</v>
      </c>
      <c r="BR1285" s="152" t="s">
        <v>6411</v>
      </c>
      <c r="BS1285" s="152" t="n">
        <v>203675.082</v>
      </c>
      <c r="BT1285" s="152" t="n">
        <v>8236044.57</v>
      </c>
      <c r="BU1285" s="152" t="n">
        <v>203712.209</v>
      </c>
      <c r="BV1285" s="152" t="n">
        <v>8236150.294</v>
      </c>
      <c r="BW1285" s="152" t="n">
        <v>-15.9366821</v>
      </c>
      <c r="BX1285" s="152" t="n">
        <v>-47.7677631</v>
      </c>
      <c r="BY1285" s="152" t="s">
        <v>6410</v>
      </c>
    </row>
    <row r="1286" customFormat="false" ht="13.8" hidden="false" customHeight="false" outlineLevel="0" collapsed="false">
      <c r="A1286" s="149" t="n">
        <f aca="false">IF(C1286&lt;&gt;"",ROW(A1281),"")</f>
        <v>1281</v>
      </c>
      <c r="B1286" s="150" t="str">
        <f aca="false">HYPERLINK("https://www.google.com/maps/dir/-15.917302,-47.760003/-15.9369915,-47.7701902/data=!4m3!4m2!3e0!5i1")</f>
        <v>https://www.google.com/maps/dir/-15.917302,-47.760003/-15.9369915,-47.7701902/data=!4m3!4m2!3e0!5i1</v>
      </c>
      <c r="C1286" s="151" t="s">
        <v>117</v>
      </c>
      <c r="D1286" s="152" t="s">
        <v>112</v>
      </c>
      <c r="E1286" s="152" t="s">
        <v>113</v>
      </c>
      <c r="F1286" s="152" t="s">
        <v>117</v>
      </c>
      <c r="G1286" s="152" t="s">
        <v>782</v>
      </c>
      <c r="H1286" s="152" t="n">
        <v>63</v>
      </c>
      <c r="I1286" s="152" t="s">
        <v>115</v>
      </c>
      <c r="J1286" s="152" t="s">
        <v>6</v>
      </c>
      <c r="K1286" s="152" t="s">
        <v>6081</v>
      </c>
      <c r="L1286" s="152" t="s">
        <v>120</v>
      </c>
      <c r="M1286" s="153" t="n">
        <f aca="false">48.47</f>
        <v>48.47</v>
      </c>
      <c r="N1286" s="152" t="s">
        <v>1548</v>
      </c>
      <c r="O1286" s="152" t="s">
        <v>1549</v>
      </c>
      <c r="P1286" s="152" t="s">
        <v>1550</v>
      </c>
      <c r="Q1286" s="152" t="s">
        <v>1551</v>
      </c>
      <c r="R1286" s="154" t="s">
        <v>6412</v>
      </c>
      <c r="S1286" s="154" t="s">
        <v>1553</v>
      </c>
      <c r="T1286" s="155" t="s">
        <v>5625</v>
      </c>
      <c r="U1286" s="152" t="str">
        <f aca="false">RIGHT(T1286,7)</f>
        <v>023/037</v>
      </c>
      <c r="V1286" s="152" t="s">
        <v>1555</v>
      </c>
      <c r="W1286" s="156" t="n">
        <v>45882</v>
      </c>
      <c r="X1286" s="152" t="s">
        <v>1594</v>
      </c>
      <c r="Y1286" s="152"/>
      <c r="Z1286" s="152" t="s">
        <v>1557</v>
      </c>
      <c r="AA1286" s="153" t="n">
        <v>5.8</v>
      </c>
      <c r="AB1286" s="151" t="s">
        <v>6413</v>
      </c>
      <c r="AC1286" s="151" t="s">
        <v>186</v>
      </c>
      <c r="AD1286" s="151" t="str">
        <f aca="false">CONCATENATE($C1286,$I1286,$H1286,$N1286,$J1286,$K1286)</f>
        <v>TUBO PEADPEAD63VCAREDESZona11</v>
      </c>
      <c r="AE1286" s="153" t="n">
        <f aca="false">IFERROR(INDEX(APOIO_REDES!$A:$W,MATCH($C1286&amp;$I1286&amp;$H1286&amp;$N1286&amp;$O1286,APOIO_REDES!$W:$W,0),MATCH(AE$5,APOIO_REDES!$5:$5,0)),0)</f>
        <v>1.2</v>
      </c>
      <c r="AF1286" s="153" t="n">
        <f aca="false">IFERROR(INDEX(APOIO_REDES!$A:$W,MATCH($C1286&amp;$I1286&amp;$H1286&amp;$N1286&amp;$O1286,APOIO_REDES!$W:$W,0),MATCH(AF$5,APOIO_REDES!$5:$5,0)),0)</f>
        <v>1.363</v>
      </c>
      <c r="AG1286" s="153" t="n">
        <f aca="false">IFERROR(INDEX(APOIO_REDES!$A:$W,MATCH($C1286&amp;$I1286&amp;$H1286&amp;$N1286&amp;$O1286,APOIO_REDES!$W:$W,0),MATCH(AG$5,APOIO_REDES!$5:$5,0)),0)</f>
        <v>0.65</v>
      </c>
      <c r="AH1286" s="153" t="n">
        <f aca="false">IFERROR(INDEX(APOIO_REDES!$A:$W,MATCH($C1286&amp;$I1286&amp;$H1286&amp;$N1286&amp;$O1286,APOIO_REDES!$W:$W,0),MATCH(AH$5,APOIO_REDES!$5:$5,0)),0)</f>
        <v>0.1</v>
      </c>
      <c r="AI1286" s="153" t="n">
        <f aca="false">IFERROR(IF($H1286&lt;&gt;"",(((($H1286/1000)/2)^2)*PI()*$M1286),0),0)</f>
        <v>0.151092880201121</v>
      </c>
      <c r="AJ1286" s="153" t="n">
        <f aca="false">IFERROR(IF(AND($H1286&lt;&gt;"",$I1286="FoFo",OR($N1286="MND",$N1286="VCA"),$Q1286="LINEAR"),0,IF(AND($H1286&lt;&gt;"",$I1286="PEAD",$N1286="VCA",$Q1286="LINEAR"),($H1286/1000)+0.3,IF(AND($H1286&lt;&gt;"",$I1286="PEAD",$N1286="MND",$Q1286="EMBOQUE"),0,IF(AND($H1286&lt;&gt;"",$I1286="PVC",$N1286="VCA",$Q1286="LINEAR"),($H1286/1000)+0.2,IF(AND($H1286&lt;&gt;"",$I1286="PVC",$N1286="MND",$Q1286="EMBOQUE"),0,IF(AND($H1286&lt;&gt;"",$I1286="PEAD",$N1286="VCA",$Q1286="PREDIAL"),0,0)))))),0)</f>
        <v>0.363</v>
      </c>
      <c r="AK1286" s="153" t="n">
        <f aca="false">IF(AA1286&lt;&gt;"",AA1286,0)</f>
        <v>5.8</v>
      </c>
      <c r="AL1286" s="153" t="n">
        <f aca="false">IF(AND($N1286="MND",$Q1286="EMBOQUE"),$M1286,IF(AND($N1286="VCA",$Q1286="LINEAR"),$M1286,IF(AND($N1286="VCA",$Q1286="PREDIAL"),0,0)))</f>
        <v>48.47</v>
      </c>
      <c r="AM1286" s="153" t="n">
        <f aca="false">IF(AND($N1286="MND",$Q1286="EMBOQUE"),$M1286,IF(AND($N1286="VCA",$Q1286="LINEAR"),$M1286,IF(AND($N1286="VCA",$Q1286="PREDIAL"),0,0)))</f>
        <v>48.47</v>
      </c>
      <c r="AN1286" s="153" t="n">
        <f aca="false">ROUND(IF(AND($N1286="VCA",$M1286&lt;&gt;"",$Q1286="LINEAR"),$M1286/100,IF(AND($N1286="MND",$M1286&gt;100,$Q1286="EMBOQUE"),$M1286/100,0)),0)</f>
        <v>0</v>
      </c>
      <c r="AO1286" s="153" t="n">
        <f aca="false">IF(AND($N1286="MND",$Q1286="EMBOQUE"),$AN1286*2*2,IF(AND($N1286="VCA",$Q1286="LINEAR"),$M1286*2,IF(AND($N1286="VCA",$Q1286="PREDIAL"),0,0)))</f>
        <v>96.94</v>
      </c>
      <c r="AP1286" s="153" t="n">
        <f aca="false">IFERROR($M1286*$AF1286*$AG1286,0)</f>
        <v>42.9419965</v>
      </c>
      <c r="AQ1286" s="153" t="n">
        <f aca="false">IFERROR(IF(AND($N1286="VCA",$AH1286&gt;0),$M1286*$AG1286*$AH1286,0),0)</f>
        <v>3.15055</v>
      </c>
      <c r="AR1286" s="153" t="n">
        <f aca="false">IFERROR(IF(AND($N1286="VCA",$AJ1286&gt;0),($M1286*$AG1286*$AJ1286)-$AI1286,0),0)</f>
        <v>11.2854036197989</v>
      </c>
      <c r="AS1286" s="153" t="n">
        <f aca="false">IFERROR(IF(AND($N1286="VCA",$AP1286&gt;0),$AP1286-$AI1286-$AQ1286-$AR1286,0),0)</f>
        <v>28.35495</v>
      </c>
      <c r="AT1286" s="153" t="n">
        <f aca="false">IFERROR(IF($N1286="VCA",INDEX(APOIO_REDES!$A:$W,MATCH($C1286&amp;$I1286&amp;$H1286&amp;$N1286&amp;$O1286,APOIO_REDES!$W:$W,0),MATCH(AT$5,APOIO_REDES!$5:$5,0)),0)*$AP1286,0)</f>
        <v>0.467221632102174</v>
      </c>
      <c r="AU1286" s="153" t="n">
        <f aca="false">IFERROR(IF($N1286="VCA",INDEX(APOIO_REDES!$A:$W,MATCH($C1286&amp;$I1286&amp;$H1286&amp;$N1286&amp;$O1286,APOIO_REDES!$W:$W,0),MATCH(AU$5,APOIO_REDES!$5:$5,0)),0)*$AP1286,0)</f>
        <v>0.373110541430217</v>
      </c>
      <c r="AV1286" s="153" t="n">
        <f aca="false">IFERROR(IF($N1286="VCA",INDEX(APOIO_REDES!$A:$W,MATCH($C1286&amp;$I1286&amp;$H1286&amp;$N1286&amp;$O1286,APOIO_REDES!$W:$W,0),MATCH(AV$5,APOIO_REDES!$5:$5,0)),0)*$AP1286,0)</f>
        <v>0.05163556990135</v>
      </c>
      <c r="AW1286" s="153" t="n">
        <f aca="false">IFERROR(IF($N1286="VCA",INDEX(APOIO_REDES!$A:$W,MATCH($C1286&amp;$I1286&amp;$H1286&amp;$N1286&amp;$O1286,APOIO_REDES!$W:$W,0),MATCH(AW$5,APOIO_REDES!$5:$5,0)),0)*$AP1286,0)</f>
        <v>29.4757191284254</v>
      </c>
      <c r="AX1286" s="153" t="n">
        <f aca="false">IFERROR(IF($N1286="VCA",INDEX(APOIO_REDES!$A:$W,MATCH($C1286&amp;$I1286&amp;$H1286&amp;$N1286&amp;$O1286,APOIO_REDES!$W:$W,0),MATCH(AX$5,APOIO_REDES!$5:$5,0)),0)*$AP1286,0)</f>
        <v>4.0793555641988</v>
      </c>
      <c r="AY1286" s="153" t="n">
        <f aca="false">IFERROR(IF($N1286="VCA",INDEX(APOIO_REDES!$A:$W,MATCH($C1286&amp;$I1286&amp;$H1286&amp;$N1286&amp;$O1286,APOIO_REDES!$W:$W,0),MATCH(AY$5,APOIO_REDES!$5:$5,0)),0)*$AP1286,0)</f>
        <v>7.46220628041708</v>
      </c>
      <c r="AZ1286" s="153" t="n">
        <f aca="false">IFERROR(IF($N1286="VCA",INDEX(APOIO_REDES!$A:$W,MATCH($C1286&amp;$I1286&amp;$H1286&amp;$N1286&amp;$O1286,APOIO_REDES!$W:$W,0),MATCH(AZ$5,APOIO_REDES!$5:$5,0)),0)*$AP1286,0)</f>
        <v>1.03274778352504</v>
      </c>
      <c r="BA1286" s="153" t="n">
        <f aca="false">IFERROR(IF(AND($N1286="VCA",$Q1286="LINEAR"),INDEX(APOIO_REDES!$A:$W,MATCH($C1286&amp;$I1286&amp;$H1286&amp;$N1286&amp;$O1286,APOIO_REDES!$W:$W,0),MATCH(BA$5,APOIO_REDES!$5:$5,0)),IF(AND($N1286="MND",$Q1286="EMBOQUE"),INDEX(APOIO_REDES!$A:$W,MATCH($C1286&amp;$I1286&amp;$H1286&amp;$N1286&amp;$O1286,APOIO_REDES!$W:$W,0),MATCH(BA$5,APOIO_REDES!$5:$5,0)),0))*$M1286/10,0)</f>
        <v>3.90655973829195</v>
      </c>
      <c r="BB1286" s="153" t="n">
        <f aca="false">IFERROR(IF($N1286="VCA",INDEX(APOIO_REDES!$A:$W,MATCH($C1286&amp;$I1286&amp;$H1286&amp;$N1286&amp;$O1286,APOIO_REDES!$W:$W,0),MATCH(BB$5,APOIO_REDES!$5:$5,0)),0)*($AI1286+$AQ1286+$AR1286),0)</f>
        <v>14.4283351165346</v>
      </c>
      <c r="BC1286" s="153" t="n">
        <f aca="false">IFERROR(IF($N1286="VCA",INDEX(APOIO_REDES!$A:$W,MATCH($C1286&amp;$I1286&amp;$H1286&amp;$N1286&amp;$O1286,APOIO_REDES!$W:$W,0),MATCH(BC$5,APOIO_REDES!$5:$5,0)),0)*($AI1286+$AQ1286+$AR1286),0)</f>
        <v>0.158711383465375</v>
      </c>
      <c r="BD1286" s="153" t="n">
        <f aca="false">IF(AND($N1286="VCA",$AF1286&gt;=1.25,$AF1286&lt;1.5),$M1286*$AF1286*2,0)</f>
        <v>132.12922</v>
      </c>
      <c r="BE1286" s="153" t="n">
        <f aca="false">IF(AND($N1286="VCA",$AF1286&gt;=1.5,$AF1286&lt;3),$M1286*$AF1286*2,0)</f>
        <v>0</v>
      </c>
      <c r="BF1286" s="153" t="n">
        <f aca="false">IF(AND($N1286="VCA",$AF1286&gt;=3),$M1286*$AF1286*2,0)</f>
        <v>0</v>
      </c>
      <c r="BG1286" s="153" t="n">
        <f aca="false">($BB1286+$BC1286)*$AK1286</f>
        <v>84.6048697</v>
      </c>
      <c r="BH1286" s="153" t="n">
        <f aca="false">IF(AND($M1286&lt;&gt;"",$N1286="VCA",$Q1286="LINEAR"),($M1286*2)/100,IF(AND($M1286&lt;&gt;"",$N1286="MND",$Q1286="EMBOQUE"),($AN1286*2)/100,0))</f>
        <v>0.9694</v>
      </c>
      <c r="BI1286" s="153" t="n">
        <f aca="false">IF(AND($M1286&lt;&gt;"",$N1286="VCA",$Q1286="LINEAR"),$M1286,IF(AND($M1286&lt;&gt;"",$N1286="MND",$Q1286="EMBOQUE"),$AN1286*2,0))</f>
        <v>48.47</v>
      </c>
      <c r="BJ1286" s="153" t="n">
        <f aca="false">IF(AND($M1286&lt;&gt;"",$N1286="VCA",$Q1286="LINEAR"),($M1286*6.8)/100,IF(AND($M1286&lt;&gt;"",$N1286="MND",$Q1286="EMBOQUE"),($AN1286*2*6.8)/100,0))</f>
        <v>3.29596</v>
      </c>
      <c r="BK1286" s="153" t="n">
        <f aca="false">IF(AND($M1286&lt;&gt;"",$N1286="VCA",$Q1286="LINEAR"),($M1286*2.5)/50,IF(AND($M1286&lt;&gt;"",$N1286="MND",$Q1286="EMBOQUE"),($AN1286*2*2.5)/50,0))</f>
        <v>2.4235</v>
      </c>
      <c r="BL1286" s="157" t="str">
        <f aca="false">K1286&amp;J1286</f>
        <v>Zona11REDES</v>
      </c>
      <c r="BM1286" s="152" t="s">
        <v>6084</v>
      </c>
      <c r="BN1286" s="152" t="s">
        <v>1560</v>
      </c>
      <c r="BO1286" s="152" t="s">
        <v>5627</v>
      </c>
      <c r="BP1286" s="152" t="s">
        <v>6414</v>
      </c>
      <c r="BQ1286" s="152" t="s">
        <v>6415</v>
      </c>
      <c r="BR1286" s="152" t="s">
        <v>6416</v>
      </c>
      <c r="BS1286" s="152" t="n">
        <v>203421.489</v>
      </c>
      <c r="BT1286" s="152" t="n">
        <v>8236064.507</v>
      </c>
      <c r="BU1286" s="152" t="n">
        <v>203468.988</v>
      </c>
      <c r="BV1286" s="152" t="n">
        <v>8236074.141</v>
      </c>
      <c r="BW1286" s="152" t="n">
        <v>-15.9369508</v>
      </c>
      <c r="BX1286" s="152" t="n">
        <v>-47.769968</v>
      </c>
      <c r="BY1286" s="152" t="s">
        <v>6414</v>
      </c>
    </row>
    <row r="1287" customFormat="false" ht="13.8" hidden="false" customHeight="false" outlineLevel="0" collapsed="false">
      <c r="A1287" s="149" t="n">
        <f aca="false">IF(C1287&lt;&gt;"",ROW(A1282),"")</f>
        <v>1282</v>
      </c>
      <c r="B1287" s="150" t="str">
        <f aca="false">HYPERLINK("https://www.google.com/maps/dir/-15.917302,-47.760003/-15.9369101,-47.7697454/data=!4m3!4m2!3e0!5i1")</f>
        <v>https://www.google.com/maps/dir/-15.917302,-47.760003/-15.9369101,-47.7697454/data=!4m3!4m2!3e0!5i1</v>
      </c>
      <c r="C1287" s="151" t="s">
        <v>117</v>
      </c>
      <c r="D1287" s="152" t="s">
        <v>112</v>
      </c>
      <c r="E1287" s="152" t="s">
        <v>113</v>
      </c>
      <c r="F1287" s="152" t="s">
        <v>117</v>
      </c>
      <c r="G1287" s="152" t="s">
        <v>782</v>
      </c>
      <c r="H1287" s="152" t="n">
        <v>63</v>
      </c>
      <c r="I1287" s="152" t="s">
        <v>115</v>
      </c>
      <c r="J1287" s="152" t="s">
        <v>6</v>
      </c>
      <c r="K1287" s="152" t="s">
        <v>6081</v>
      </c>
      <c r="L1287" s="152" t="s">
        <v>120</v>
      </c>
      <c r="M1287" s="153" t="n">
        <f aca="false">85.32</f>
        <v>85.32</v>
      </c>
      <c r="N1287" s="152" t="s">
        <v>1548</v>
      </c>
      <c r="O1287" s="152" t="s">
        <v>1549</v>
      </c>
      <c r="P1287" s="152" t="s">
        <v>1550</v>
      </c>
      <c r="Q1287" s="152" t="s">
        <v>1551</v>
      </c>
      <c r="R1287" s="154" t="s">
        <v>6417</v>
      </c>
      <c r="S1287" s="154" t="s">
        <v>1553</v>
      </c>
      <c r="T1287" s="155" t="s">
        <v>5625</v>
      </c>
      <c r="U1287" s="152" t="str">
        <f aca="false">RIGHT(T1287,7)</f>
        <v>023/037</v>
      </c>
      <c r="V1287" s="152" t="s">
        <v>1555</v>
      </c>
      <c r="W1287" s="156" t="n">
        <v>45882</v>
      </c>
      <c r="X1287" s="152" t="s">
        <v>1594</v>
      </c>
      <c r="Y1287" s="152"/>
      <c r="Z1287" s="152" t="s">
        <v>1557</v>
      </c>
      <c r="AA1287" s="153" t="n">
        <v>5.8</v>
      </c>
      <c r="AB1287" s="151" t="s">
        <v>6418</v>
      </c>
      <c r="AC1287" s="151" t="s">
        <v>186</v>
      </c>
      <c r="AD1287" s="151" t="str">
        <f aca="false">CONCATENATE($C1287,$I1287,$H1287,$N1287,$J1287,$K1287)</f>
        <v>TUBO PEADPEAD63VCAREDESZona11</v>
      </c>
      <c r="AE1287" s="153" t="n">
        <f aca="false">IFERROR(INDEX(APOIO_REDES!$A:$W,MATCH($C1287&amp;$I1287&amp;$H1287&amp;$N1287&amp;$O1287,APOIO_REDES!$W:$W,0),MATCH(AE$5,APOIO_REDES!$5:$5,0)),0)</f>
        <v>1.2</v>
      </c>
      <c r="AF1287" s="153" t="n">
        <f aca="false">IFERROR(INDEX(APOIO_REDES!$A:$W,MATCH($C1287&amp;$I1287&amp;$H1287&amp;$N1287&amp;$O1287,APOIO_REDES!$W:$W,0),MATCH(AF$5,APOIO_REDES!$5:$5,0)),0)</f>
        <v>1.363</v>
      </c>
      <c r="AG1287" s="153" t="n">
        <f aca="false">IFERROR(INDEX(APOIO_REDES!$A:$W,MATCH($C1287&amp;$I1287&amp;$H1287&amp;$N1287&amp;$O1287,APOIO_REDES!$W:$W,0),MATCH(AG$5,APOIO_REDES!$5:$5,0)),0)</f>
        <v>0.65</v>
      </c>
      <c r="AH1287" s="153" t="n">
        <f aca="false">IFERROR(INDEX(APOIO_REDES!$A:$W,MATCH($C1287&amp;$I1287&amp;$H1287&amp;$N1287&amp;$O1287,APOIO_REDES!$W:$W,0),MATCH(AH$5,APOIO_REDES!$5:$5,0)),0)</f>
        <v>0.1</v>
      </c>
      <c r="AI1287" s="153" t="n">
        <f aca="false">IFERROR(IF($H1287&lt;&gt;"",(((($H1287/1000)/2)^2)*PI()*$M1287),0),0)</f>
        <v>0.265963369893948</v>
      </c>
      <c r="AJ1287" s="153" t="n">
        <f aca="false">IFERROR(IF(AND($H1287&lt;&gt;"",$I1287="FoFo",OR($N1287="MND",$N1287="VCA"),$Q1287="LINEAR"),0,IF(AND($H1287&lt;&gt;"",$I1287="PEAD",$N1287="VCA",$Q1287="LINEAR"),($H1287/1000)+0.3,IF(AND($H1287&lt;&gt;"",$I1287="PEAD",$N1287="MND",$Q1287="EMBOQUE"),0,IF(AND($H1287&lt;&gt;"",$I1287="PVC",$N1287="VCA",$Q1287="LINEAR"),($H1287/1000)+0.2,IF(AND($H1287&lt;&gt;"",$I1287="PVC",$N1287="MND",$Q1287="EMBOQUE"),0,IF(AND($H1287&lt;&gt;"",$I1287="PEAD",$N1287="VCA",$Q1287="PREDIAL"),0,0)))))),0)</f>
        <v>0.363</v>
      </c>
      <c r="AK1287" s="153" t="n">
        <f aca="false">IF(AA1287&lt;&gt;"",AA1287,0)</f>
        <v>5.8</v>
      </c>
      <c r="AL1287" s="153" t="n">
        <f aca="false">IF(AND($N1287="MND",$Q1287="EMBOQUE"),$M1287,IF(AND($N1287="VCA",$Q1287="LINEAR"),$M1287,IF(AND($N1287="VCA",$Q1287="PREDIAL"),0,0)))</f>
        <v>85.32</v>
      </c>
      <c r="AM1287" s="153" t="n">
        <f aca="false">IF(AND($N1287="MND",$Q1287="EMBOQUE"),$M1287,IF(AND($N1287="VCA",$Q1287="LINEAR"),$M1287,IF(AND($N1287="VCA",$Q1287="PREDIAL"),0,0)))</f>
        <v>85.32</v>
      </c>
      <c r="AN1287" s="153" t="n">
        <f aca="false">ROUND(IF(AND($N1287="VCA",$M1287&lt;&gt;"",$Q1287="LINEAR"),$M1287/100,IF(AND($N1287="MND",$M1287&gt;100,$Q1287="EMBOQUE"),$M1287/100,0)),0)</f>
        <v>1</v>
      </c>
      <c r="AO1287" s="153" t="n">
        <f aca="false">IF(AND($N1287="MND",$Q1287="EMBOQUE"),$AN1287*2*2,IF(AND($N1287="VCA",$Q1287="LINEAR"),$M1287*2,IF(AND($N1287="VCA",$Q1287="PREDIAL"),0,0)))</f>
        <v>170.64</v>
      </c>
      <c r="AP1287" s="153" t="n">
        <f aca="false">IFERROR($M1287*$AF1287*$AG1287,0)</f>
        <v>75.589254</v>
      </c>
      <c r="AQ1287" s="153" t="n">
        <f aca="false">IFERROR(IF(AND($N1287="VCA",$AH1287&gt;0),$M1287*$AG1287*$AH1287,0),0)</f>
        <v>5.5458</v>
      </c>
      <c r="AR1287" s="153" t="n">
        <f aca="false">IFERROR(IF(AND($N1287="VCA",$AJ1287&gt;0),($M1287*$AG1287*$AJ1287)-$AI1287,0),0)</f>
        <v>19.8652906301061</v>
      </c>
      <c r="AS1287" s="153" t="n">
        <f aca="false">IFERROR(IF(AND($N1287="VCA",$AP1287&gt;0),$AP1287-$AI1287-$AQ1287-$AR1287,0),0)</f>
        <v>49.9122</v>
      </c>
      <c r="AT1287" s="153" t="n">
        <f aca="false">IFERROR(IF($N1287="VCA",INDEX(APOIO_REDES!$A:$W,MATCH($C1287&amp;$I1287&amp;$H1287&amp;$N1287&amp;$O1287,APOIO_REDES!$W:$W,0),MATCH(AT$5,APOIO_REDES!$5:$5,0)),0)*$AP1287,0)</f>
        <v>0.822433456797143</v>
      </c>
      <c r="AU1287" s="153" t="n">
        <f aca="false">IFERROR(IF($N1287="VCA",INDEX(APOIO_REDES!$A:$W,MATCH($C1287&amp;$I1287&amp;$H1287&amp;$N1287&amp;$O1287,APOIO_REDES!$W:$W,0),MATCH(AU$5,APOIO_REDES!$5:$5,0)),0)*$AP1287,0)</f>
        <v>0.656773084275347</v>
      </c>
      <c r="AV1287" s="153" t="n">
        <f aca="false">IFERROR(IF($N1287="VCA",INDEX(APOIO_REDES!$A:$W,MATCH($C1287&amp;$I1287&amp;$H1287&amp;$N1287&amp;$O1287,APOIO_REDES!$W:$W,0),MATCH(AV$5,APOIO_REDES!$5:$5,0)),0)*$AP1287,0)</f>
        <v>0.0908922389928447</v>
      </c>
      <c r="AW1287" s="153" t="n">
        <f aca="false">IFERROR(IF($N1287="VCA",INDEX(APOIO_REDES!$A:$W,MATCH($C1287&amp;$I1287&amp;$H1287&amp;$N1287&amp;$O1287,APOIO_REDES!$W:$W,0),MATCH(AW$5,APOIO_REDES!$5:$5,0)),0)*$AP1287,0)</f>
        <v>51.8850496397205</v>
      </c>
      <c r="AX1287" s="153" t="n">
        <f aca="false">IFERROR(IF($N1287="VCA",INDEX(APOIO_REDES!$A:$W,MATCH($C1287&amp;$I1287&amp;$H1287&amp;$N1287&amp;$O1287,APOIO_REDES!$W:$W,0),MATCH(AX$5,APOIO_REDES!$5:$5,0)),0)*$AP1287,0)</f>
        <v>7.18074307277577</v>
      </c>
      <c r="AY1287" s="153" t="n">
        <f aca="false">IFERROR(IF($N1287="VCA",INDEX(APOIO_REDES!$A:$W,MATCH($C1287&amp;$I1287&amp;$H1287&amp;$N1287&amp;$O1287,APOIO_REDES!$W:$W,0),MATCH(AY$5,APOIO_REDES!$5:$5,0)),0)*$AP1287,0)</f>
        <v>13.1354536794963</v>
      </c>
      <c r="AZ1287" s="153" t="n">
        <f aca="false">IFERROR(IF($N1287="VCA",INDEX(APOIO_REDES!$A:$W,MATCH($C1287&amp;$I1287&amp;$H1287&amp;$N1287&amp;$O1287,APOIO_REDES!$W:$W,0),MATCH(AZ$5,APOIO_REDES!$5:$5,0)),0)*$AP1287,0)</f>
        <v>1.81790882794215</v>
      </c>
      <c r="BA1287" s="153" t="n">
        <f aca="false">IFERROR(IF(AND($N1287="VCA",$Q1287="LINEAR"),INDEX(APOIO_REDES!$A:$W,MATCH($C1287&amp;$I1287&amp;$H1287&amp;$N1287&amp;$O1287,APOIO_REDES!$W:$W,0),MATCH(BA$5,APOIO_REDES!$5:$5,0)),IF(AND($N1287="MND",$Q1287="EMBOQUE"),INDEX(APOIO_REDES!$A:$W,MATCH($C1287&amp;$I1287&amp;$H1287&amp;$N1287&amp;$O1287,APOIO_REDES!$W:$W,0),MATCH(BA$5,APOIO_REDES!$5:$5,0)),0))*$M1287/10,0)</f>
        <v>6.87657678710685</v>
      </c>
      <c r="BB1287" s="153" t="n">
        <f aca="false">IFERROR(IF($N1287="VCA",INDEX(APOIO_REDES!$A:$W,MATCH($C1287&amp;$I1287&amp;$H1287&amp;$N1287&amp;$O1287,APOIO_REDES!$W:$W,0),MATCH(BB$5,APOIO_REDES!$5:$5,0)),0)*($AI1287+$AQ1287+$AR1287),0)</f>
        <v>25.39768005246</v>
      </c>
      <c r="BC1287" s="153" t="n">
        <f aca="false">IFERROR(IF($N1287="VCA",INDEX(APOIO_REDES!$A:$W,MATCH($C1287&amp;$I1287&amp;$H1287&amp;$N1287&amp;$O1287,APOIO_REDES!$W:$W,0),MATCH(BC$5,APOIO_REDES!$5:$5,0)),0)*($AI1287+$AQ1287+$AR1287),0)</f>
        <v>0.279373947540042</v>
      </c>
      <c r="BD1287" s="153" t="n">
        <f aca="false">IF(AND($N1287="VCA",$AF1287&gt;=1.25,$AF1287&lt;1.5),$M1287*$AF1287*2,0)</f>
        <v>232.58232</v>
      </c>
      <c r="BE1287" s="153" t="n">
        <f aca="false">IF(AND($N1287="VCA",$AF1287&gt;=1.5,$AF1287&lt;3),$M1287*$AF1287*2,0)</f>
        <v>0</v>
      </c>
      <c r="BF1287" s="153" t="n">
        <f aca="false">IF(AND($N1287="VCA",$AF1287&gt;=3),$M1287*$AF1287*2,0)</f>
        <v>0</v>
      </c>
      <c r="BG1287" s="153" t="n">
        <f aca="false">($BB1287+$BC1287)*$AK1287</f>
        <v>148.9269132</v>
      </c>
      <c r="BH1287" s="153" t="n">
        <f aca="false">IF(AND($M1287&lt;&gt;"",$N1287="VCA",$Q1287="LINEAR"),($M1287*2)/100,IF(AND($M1287&lt;&gt;"",$N1287="MND",$Q1287="EMBOQUE"),($AN1287*2)/100,0))</f>
        <v>1.7064</v>
      </c>
      <c r="BI1287" s="153" t="n">
        <f aca="false">IF(AND($M1287&lt;&gt;"",$N1287="VCA",$Q1287="LINEAR"),$M1287,IF(AND($M1287&lt;&gt;"",$N1287="MND",$Q1287="EMBOQUE"),$AN1287*2,0))</f>
        <v>85.32</v>
      </c>
      <c r="BJ1287" s="153" t="n">
        <f aca="false">IF(AND($M1287&lt;&gt;"",$N1287="VCA",$Q1287="LINEAR"),($M1287*6.8)/100,IF(AND($M1287&lt;&gt;"",$N1287="MND",$Q1287="EMBOQUE"),($AN1287*2*6.8)/100,0))</f>
        <v>5.80176</v>
      </c>
      <c r="BK1287" s="153" t="n">
        <f aca="false">IF(AND($M1287&lt;&gt;"",$N1287="VCA",$Q1287="LINEAR"),($M1287*2.5)/50,IF(AND($M1287&lt;&gt;"",$N1287="MND",$Q1287="EMBOQUE"),($AN1287*2*2.5)/50,0))</f>
        <v>4.266</v>
      </c>
      <c r="BL1287" s="157" t="str">
        <f aca="false">K1287&amp;J1287</f>
        <v>Zona11REDES</v>
      </c>
      <c r="BM1287" s="152" t="s">
        <v>6084</v>
      </c>
      <c r="BN1287" s="152" t="s">
        <v>1560</v>
      </c>
      <c r="BO1287" s="152" t="s">
        <v>5627</v>
      </c>
      <c r="BP1287" s="152" t="s">
        <v>6415</v>
      </c>
      <c r="BQ1287" s="152" t="s">
        <v>6419</v>
      </c>
      <c r="BR1287" s="152" t="s">
        <v>6416</v>
      </c>
      <c r="BS1287" s="152" t="n">
        <v>203468.988</v>
      </c>
      <c r="BT1287" s="152" t="n">
        <v>8236074.141</v>
      </c>
      <c r="BU1287" s="152" t="n">
        <v>203485.246</v>
      </c>
      <c r="BV1287" s="152" t="n">
        <v>8235990.387</v>
      </c>
      <c r="BW1287" s="152" t="n">
        <v>-15.9372893</v>
      </c>
      <c r="BX1287" s="152" t="n">
        <v>-47.7696751</v>
      </c>
      <c r="BY1287" s="152" t="s">
        <v>6415</v>
      </c>
    </row>
    <row r="1288" customFormat="false" ht="13.8" hidden="false" customHeight="false" outlineLevel="0" collapsed="false">
      <c r="A1288" s="149" t="n">
        <f aca="false">IF(C1288&lt;&gt;"",ROW(A1283),"")</f>
        <v>1283</v>
      </c>
      <c r="B1288" s="150" t="str">
        <f aca="false">HYPERLINK("https://www.google.com/maps/dir/-15.917302,-47.760003/-15.9369915,-47.7701902/data=!4m3!4m2!3e0!5i1")</f>
        <v>https://www.google.com/maps/dir/-15.917302,-47.760003/-15.9369915,-47.7701902/data=!4m3!4m2!3e0!5i1</v>
      </c>
      <c r="C1288" s="151" t="s">
        <v>117</v>
      </c>
      <c r="D1288" s="152" t="s">
        <v>112</v>
      </c>
      <c r="E1288" s="152" t="s">
        <v>113</v>
      </c>
      <c r="F1288" s="152" t="s">
        <v>117</v>
      </c>
      <c r="G1288" s="152" t="s">
        <v>782</v>
      </c>
      <c r="H1288" s="152" t="n">
        <v>63</v>
      </c>
      <c r="I1288" s="152" t="s">
        <v>115</v>
      </c>
      <c r="J1288" s="152" t="s">
        <v>6</v>
      </c>
      <c r="K1288" s="152" t="s">
        <v>6081</v>
      </c>
      <c r="L1288" s="152" t="s">
        <v>120</v>
      </c>
      <c r="M1288" s="153" t="n">
        <f aca="false">86.47</f>
        <v>86.47</v>
      </c>
      <c r="N1288" s="152" t="s">
        <v>1548</v>
      </c>
      <c r="O1288" s="152" t="s">
        <v>1549</v>
      </c>
      <c r="P1288" s="152" t="s">
        <v>1550</v>
      </c>
      <c r="Q1288" s="152" t="s">
        <v>1551</v>
      </c>
      <c r="R1288" s="154" t="s">
        <v>6420</v>
      </c>
      <c r="S1288" s="154" t="s">
        <v>1553</v>
      </c>
      <c r="T1288" s="155" t="s">
        <v>5625</v>
      </c>
      <c r="U1288" s="152" t="str">
        <f aca="false">RIGHT(T1288,7)</f>
        <v>023/037</v>
      </c>
      <c r="V1288" s="152" t="s">
        <v>1555</v>
      </c>
      <c r="W1288" s="156" t="n">
        <v>45882</v>
      </c>
      <c r="X1288" s="152" t="s">
        <v>1594</v>
      </c>
      <c r="Y1288" s="152"/>
      <c r="Z1288" s="152" t="s">
        <v>1557</v>
      </c>
      <c r="AA1288" s="153" t="n">
        <v>5.8</v>
      </c>
      <c r="AB1288" s="151" t="s">
        <v>6421</v>
      </c>
      <c r="AC1288" s="151" t="s">
        <v>186</v>
      </c>
      <c r="AD1288" s="151" t="str">
        <f aca="false">CONCATENATE($C1288,$I1288,$H1288,$N1288,$J1288,$K1288)</f>
        <v>TUBO PEADPEAD63VCAREDESZona11</v>
      </c>
      <c r="AE1288" s="153" t="n">
        <f aca="false">IFERROR(INDEX(APOIO_REDES!$A:$W,MATCH($C1288&amp;$I1288&amp;$H1288&amp;$N1288&amp;$O1288,APOIO_REDES!$W:$W,0),MATCH(AE$5,APOIO_REDES!$5:$5,0)),0)</f>
        <v>1.2</v>
      </c>
      <c r="AF1288" s="153" t="n">
        <f aca="false">IFERROR(INDEX(APOIO_REDES!$A:$W,MATCH($C1288&amp;$I1288&amp;$H1288&amp;$N1288&amp;$O1288,APOIO_REDES!$W:$W,0),MATCH(AF$5,APOIO_REDES!$5:$5,0)),0)</f>
        <v>1.363</v>
      </c>
      <c r="AG1288" s="153" t="n">
        <f aca="false">IFERROR(INDEX(APOIO_REDES!$A:$W,MATCH($C1288&amp;$I1288&amp;$H1288&amp;$N1288&amp;$O1288,APOIO_REDES!$W:$W,0),MATCH(AG$5,APOIO_REDES!$5:$5,0)),0)</f>
        <v>0.65</v>
      </c>
      <c r="AH1288" s="153" t="n">
        <f aca="false">IFERROR(INDEX(APOIO_REDES!$A:$W,MATCH($C1288&amp;$I1288&amp;$H1288&amp;$N1288&amp;$O1288,APOIO_REDES!$W:$W,0),MATCH(AH$5,APOIO_REDES!$5:$5,0)),0)</f>
        <v>0.1</v>
      </c>
      <c r="AI1288" s="153" t="n">
        <f aca="false">IFERROR(IF($H1288&lt;&gt;"",(((($H1288/1000)/2)^2)*PI()*$M1288),0),0)</f>
        <v>0.269548202001051</v>
      </c>
      <c r="AJ1288" s="153" t="n">
        <f aca="false">IFERROR(IF(AND($H1288&lt;&gt;"",$I1288="FoFo",OR($N1288="MND",$N1288="VCA"),$Q1288="LINEAR"),0,IF(AND($H1288&lt;&gt;"",$I1288="PEAD",$N1288="VCA",$Q1288="LINEAR"),($H1288/1000)+0.3,IF(AND($H1288&lt;&gt;"",$I1288="PEAD",$N1288="MND",$Q1288="EMBOQUE"),0,IF(AND($H1288&lt;&gt;"",$I1288="PVC",$N1288="VCA",$Q1288="LINEAR"),($H1288/1000)+0.2,IF(AND($H1288&lt;&gt;"",$I1288="PVC",$N1288="MND",$Q1288="EMBOQUE"),0,IF(AND($H1288&lt;&gt;"",$I1288="PEAD",$N1288="VCA",$Q1288="PREDIAL"),0,0)))))),0)</f>
        <v>0.363</v>
      </c>
      <c r="AK1288" s="153" t="n">
        <f aca="false">IF(AA1288&lt;&gt;"",AA1288,0)</f>
        <v>5.8</v>
      </c>
      <c r="AL1288" s="153" t="n">
        <f aca="false">IF(AND($N1288="MND",$Q1288="EMBOQUE"),$M1288,IF(AND($N1288="VCA",$Q1288="LINEAR"),$M1288,IF(AND($N1288="VCA",$Q1288="PREDIAL"),0,0)))</f>
        <v>86.47</v>
      </c>
      <c r="AM1288" s="153" t="n">
        <f aca="false">IF(AND($N1288="MND",$Q1288="EMBOQUE"),$M1288,IF(AND($N1288="VCA",$Q1288="LINEAR"),$M1288,IF(AND($N1288="VCA",$Q1288="PREDIAL"),0,0)))</f>
        <v>86.47</v>
      </c>
      <c r="AN1288" s="153" t="n">
        <f aca="false">ROUND(IF(AND($N1288="VCA",$M1288&lt;&gt;"",$Q1288="LINEAR"),$M1288/100,IF(AND($N1288="MND",$M1288&gt;100,$Q1288="EMBOQUE"),$M1288/100,0)),0)</f>
        <v>1</v>
      </c>
      <c r="AO1288" s="153" t="n">
        <f aca="false">IF(AND($N1288="MND",$Q1288="EMBOQUE"),$AN1288*2*2,IF(AND($N1288="VCA",$Q1288="LINEAR"),$M1288*2,IF(AND($N1288="VCA",$Q1288="PREDIAL"),0,0)))</f>
        <v>172.94</v>
      </c>
      <c r="AP1288" s="153" t="n">
        <f aca="false">IFERROR($M1288*$AF1288*$AG1288,0)</f>
        <v>76.6080965</v>
      </c>
      <c r="AQ1288" s="153" t="n">
        <f aca="false">IFERROR(IF(AND($N1288="VCA",$AH1288&gt;0),$M1288*$AG1288*$AH1288,0),0)</f>
        <v>5.62055</v>
      </c>
      <c r="AR1288" s="153" t="n">
        <f aca="false">IFERROR(IF(AND($N1288="VCA",$AJ1288&gt;0),($M1288*$AG1288*$AJ1288)-$AI1288,0),0)</f>
        <v>20.133048297999</v>
      </c>
      <c r="AS1288" s="153" t="n">
        <f aca="false">IFERROR(IF(AND($N1288="VCA",$AP1288&gt;0),$AP1288-$AI1288-$AQ1288-$AR1288,0),0)</f>
        <v>50.58495</v>
      </c>
      <c r="AT1288" s="153" t="n">
        <f aca="false">IFERROR(IF($N1288="VCA",INDEX(APOIO_REDES!$A:$W,MATCH($C1288&amp;$I1288&amp;$H1288&amp;$N1288&amp;$O1288,APOIO_REDES!$W:$W,0),MATCH(AT$5,APOIO_REDES!$5:$5,0)),0)*$AP1288,0)</f>
        <v>0.833518764759129</v>
      </c>
      <c r="AU1288" s="153" t="n">
        <f aca="false">IFERROR(IF($N1288="VCA",INDEX(APOIO_REDES!$A:$W,MATCH($C1288&amp;$I1288&amp;$H1288&amp;$N1288&amp;$O1288,APOIO_REDES!$W:$W,0),MATCH(AU$5,APOIO_REDES!$5:$5,0)),0)*$AP1288,0)</f>
        <v>0.665625510985575</v>
      </c>
      <c r="AV1288" s="153" t="n">
        <f aca="false">IFERROR(IF($N1288="VCA",INDEX(APOIO_REDES!$A:$W,MATCH($C1288&amp;$I1288&amp;$H1288&amp;$N1288&amp;$O1288,APOIO_REDES!$W:$W,0),MATCH(AV$5,APOIO_REDES!$5:$5,0)),0)*$AP1288,0)</f>
        <v>0.0921173453552659</v>
      </c>
      <c r="AW1288" s="153" t="n">
        <f aca="false">IFERROR(IF($N1288="VCA",INDEX(APOIO_REDES!$A:$W,MATCH($C1288&amp;$I1288&amp;$H1288&amp;$N1288&amp;$O1288,APOIO_REDES!$W:$W,0),MATCH(AW$5,APOIO_REDES!$5:$5,0)),0)*$AP1288,0)</f>
        <v>52.5843910260974</v>
      </c>
      <c r="AX1288" s="153" t="n">
        <f aca="false">IFERROR(IF($N1288="VCA",INDEX(APOIO_REDES!$A:$W,MATCH($C1288&amp;$I1288&amp;$H1288&amp;$N1288&amp;$O1288,APOIO_REDES!$W:$W,0),MATCH(AX$5,APOIO_REDES!$5:$5,0)),0)*$AP1288,0)</f>
        <v>7.27752992853869</v>
      </c>
      <c r="AY1288" s="153" t="n">
        <f aca="false">IFERROR(IF($N1288="VCA",INDEX(APOIO_REDES!$A:$W,MATCH($C1288&amp;$I1288&amp;$H1288&amp;$N1288&amp;$O1288,APOIO_REDES!$W:$W,0),MATCH(AY$5,APOIO_REDES!$5:$5,0)),0)*$AP1288,0)</f>
        <v>13.3125021057905</v>
      </c>
      <c r="AZ1288" s="153" t="n">
        <f aca="false">IFERROR(IF($N1288="VCA",INDEX(APOIO_REDES!$A:$W,MATCH($C1288&amp;$I1288&amp;$H1288&amp;$N1288&amp;$O1288,APOIO_REDES!$W:$W,0),MATCH(AZ$5,APOIO_REDES!$5:$5,0)),0)*$AP1288,0)</f>
        <v>1.84241181847349</v>
      </c>
      <c r="BA1288" s="153" t="n">
        <f aca="false">IFERROR(IF(AND($N1288="VCA",$Q1288="LINEAR"),INDEX(APOIO_REDES!$A:$W,MATCH($C1288&amp;$I1288&amp;$H1288&amp;$N1288&amp;$O1288,APOIO_REDES!$W:$W,0),MATCH(BA$5,APOIO_REDES!$5:$5,0)),IF(AND($N1288="MND",$Q1288="EMBOQUE"),INDEX(APOIO_REDES!$A:$W,MATCH($C1288&amp;$I1288&amp;$H1288&amp;$N1288&amp;$O1288,APOIO_REDES!$W:$W,0),MATCH(BA$5,APOIO_REDES!$5:$5,0)),0))*$M1288/10,0)</f>
        <v>6.9692638863236</v>
      </c>
      <c r="BB1288" s="153" t="n">
        <f aca="false">IFERROR(IF($N1288="VCA",INDEX(APOIO_REDES!$A:$W,MATCH($C1288&amp;$I1288&amp;$H1288&amp;$N1288&amp;$O1288,APOIO_REDES!$W:$W,0),MATCH(BB$5,APOIO_REDES!$5:$5,0)),0)*($AI1288+$AQ1288+$AR1288),0)</f>
        <v>25.7400069636218</v>
      </c>
      <c r="BC1288" s="153" t="n">
        <f aca="false">IFERROR(IF($N1288="VCA",INDEX(APOIO_REDES!$A:$W,MATCH($C1288&amp;$I1288&amp;$H1288&amp;$N1288&amp;$O1288,APOIO_REDES!$W:$W,0),MATCH(BC$5,APOIO_REDES!$5:$5,0)),0)*($AI1288+$AQ1288+$AR1288),0)</f>
        <v>0.283139536378193</v>
      </c>
      <c r="BD1288" s="153" t="n">
        <f aca="false">IF(AND($N1288="VCA",$AF1288&gt;=1.25,$AF1288&lt;1.5),$M1288*$AF1288*2,0)</f>
        <v>235.71722</v>
      </c>
      <c r="BE1288" s="153" t="n">
        <f aca="false">IF(AND($N1288="VCA",$AF1288&gt;=1.5,$AF1288&lt;3),$M1288*$AF1288*2,0)</f>
        <v>0</v>
      </c>
      <c r="BF1288" s="153" t="n">
        <f aca="false">IF(AND($N1288="VCA",$AF1288&gt;=3),$M1288*$AF1288*2,0)</f>
        <v>0</v>
      </c>
      <c r="BG1288" s="153" t="n">
        <f aca="false">($BB1288+$BC1288)*$AK1288</f>
        <v>150.9342497</v>
      </c>
      <c r="BH1288" s="153" t="n">
        <f aca="false">IF(AND($M1288&lt;&gt;"",$N1288="VCA",$Q1288="LINEAR"),($M1288*2)/100,IF(AND($M1288&lt;&gt;"",$N1288="MND",$Q1288="EMBOQUE"),($AN1288*2)/100,0))</f>
        <v>1.7294</v>
      </c>
      <c r="BI1288" s="153" t="n">
        <f aca="false">IF(AND($M1288&lt;&gt;"",$N1288="VCA",$Q1288="LINEAR"),$M1288,IF(AND($M1288&lt;&gt;"",$N1288="MND",$Q1288="EMBOQUE"),$AN1288*2,0))</f>
        <v>86.47</v>
      </c>
      <c r="BJ1288" s="153" t="n">
        <f aca="false">IF(AND($M1288&lt;&gt;"",$N1288="VCA",$Q1288="LINEAR"),($M1288*6.8)/100,IF(AND($M1288&lt;&gt;"",$N1288="MND",$Q1288="EMBOQUE"),($AN1288*2*6.8)/100,0))</f>
        <v>5.87996</v>
      </c>
      <c r="BK1288" s="153" t="n">
        <f aca="false">IF(AND($M1288&lt;&gt;"",$N1288="VCA",$Q1288="LINEAR"),($M1288*2.5)/50,IF(AND($M1288&lt;&gt;"",$N1288="MND",$Q1288="EMBOQUE"),($AN1288*2*2.5)/50,0))</f>
        <v>4.3235</v>
      </c>
      <c r="BL1288" s="157" t="str">
        <f aca="false">K1288&amp;J1288</f>
        <v>Zona11REDES</v>
      </c>
      <c r="BM1288" s="152" t="s">
        <v>6084</v>
      </c>
      <c r="BN1288" s="152" t="s">
        <v>1560</v>
      </c>
      <c r="BO1288" s="152" t="s">
        <v>5627</v>
      </c>
      <c r="BP1288" s="152" t="s">
        <v>6414</v>
      </c>
      <c r="BQ1288" s="152" t="s">
        <v>6422</v>
      </c>
      <c r="BR1288" s="152" t="s">
        <v>6423</v>
      </c>
      <c r="BS1288" s="152" t="n">
        <v>203421.489</v>
      </c>
      <c r="BT1288" s="152" t="n">
        <v>8236064.507</v>
      </c>
      <c r="BU1288" s="152" t="n">
        <v>203438.389</v>
      </c>
      <c r="BV1288" s="152" t="n">
        <v>8235979.748</v>
      </c>
      <c r="BW1288" s="152" t="n">
        <v>-15.9373749</v>
      </c>
      <c r="BX1288" s="152" t="n">
        <v>-47.770116</v>
      </c>
      <c r="BY1288" s="152" t="s">
        <v>6414</v>
      </c>
    </row>
    <row r="1289" customFormat="false" ht="13.8" hidden="false" customHeight="false" outlineLevel="0" collapsed="false">
      <c r="A1289" s="149" t="n">
        <f aca="false">IF(C1289&lt;&gt;"",ROW(A1284),"")</f>
        <v>1284</v>
      </c>
      <c r="B1289" s="150" t="str">
        <f aca="false">HYPERLINK("https://www.google.com/maps/dir/-15.917302,-47.760003/-15.9376684,-47.7696044/data=!4m3!4m2!3e0!5i2")</f>
        <v>https://www.google.com/maps/dir/-15.917302,-47.760003/-15.9376684,-47.7696044/data=!4m3!4m2!3e0!5i2</v>
      </c>
      <c r="C1289" s="151" t="s">
        <v>117</v>
      </c>
      <c r="D1289" s="152" t="s">
        <v>112</v>
      </c>
      <c r="E1289" s="152" t="s">
        <v>113</v>
      </c>
      <c r="F1289" s="152" t="s">
        <v>117</v>
      </c>
      <c r="G1289" s="152" t="s">
        <v>782</v>
      </c>
      <c r="H1289" s="152" t="n">
        <v>63</v>
      </c>
      <c r="I1289" s="152" t="s">
        <v>115</v>
      </c>
      <c r="J1289" s="152" t="s">
        <v>6</v>
      </c>
      <c r="K1289" s="152" t="s">
        <v>6081</v>
      </c>
      <c r="L1289" s="152" t="s">
        <v>120</v>
      </c>
      <c r="M1289" s="153" t="n">
        <f aca="false">197.15+0.52</f>
        <v>197.67</v>
      </c>
      <c r="N1289" s="152" t="s">
        <v>1548</v>
      </c>
      <c r="O1289" s="152" t="s">
        <v>1549</v>
      </c>
      <c r="P1289" s="152" t="s">
        <v>1550</v>
      </c>
      <c r="Q1289" s="152" t="s">
        <v>1551</v>
      </c>
      <c r="R1289" s="154" t="s">
        <v>6424</v>
      </c>
      <c r="S1289" s="154" t="s">
        <v>1553</v>
      </c>
      <c r="T1289" s="155" t="s">
        <v>5625</v>
      </c>
      <c r="U1289" s="152" t="str">
        <f aca="false">RIGHT(T1289,7)</f>
        <v>023/037</v>
      </c>
      <c r="V1289" s="152" t="s">
        <v>1555</v>
      </c>
      <c r="W1289" s="156" t="n">
        <v>45882</v>
      </c>
      <c r="X1289" s="152" t="s">
        <v>1594</v>
      </c>
      <c r="Y1289" s="152"/>
      <c r="Z1289" s="152" t="s">
        <v>1557</v>
      </c>
      <c r="AA1289" s="153" t="n">
        <v>5.7</v>
      </c>
      <c r="AB1289" s="151" t="s">
        <v>6425</v>
      </c>
      <c r="AC1289" s="151" t="s">
        <v>186</v>
      </c>
      <c r="AD1289" s="151" t="str">
        <f aca="false">CONCATENATE($C1289,$I1289,$H1289,$N1289,$J1289,$K1289)</f>
        <v>TUBO PEADPEAD63VCAREDESZona11</v>
      </c>
      <c r="AE1289" s="153" t="n">
        <f aca="false">IFERROR(INDEX(APOIO_REDES!$A:$W,MATCH($C1289&amp;$I1289&amp;$H1289&amp;$N1289&amp;$O1289,APOIO_REDES!$W:$W,0),MATCH(AE$5,APOIO_REDES!$5:$5,0)),0)</f>
        <v>1.2</v>
      </c>
      <c r="AF1289" s="153" t="n">
        <f aca="false">IFERROR(INDEX(APOIO_REDES!$A:$W,MATCH($C1289&amp;$I1289&amp;$H1289&amp;$N1289&amp;$O1289,APOIO_REDES!$W:$W,0),MATCH(AF$5,APOIO_REDES!$5:$5,0)),0)</f>
        <v>1.363</v>
      </c>
      <c r="AG1289" s="153" t="n">
        <f aca="false">IFERROR(INDEX(APOIO_REDES!$A:$W,MATCH($C1289&amp;$I1289&amp;$H1289&amp;$N1289&amp;$O1289,APOIO_REDES!$W:$W,0),MATCH(AG$5,APOIO_REDES!$5:$5,0)),0)</f>
        <v>0.65</v>
      </c>
      <c r="AH1289" s="153" t="n">
        <f aca="false">IFERROR(INDEX(APOIO_REDES!$A:$W,MATCH($C1289&amp;$I1289&amp;$H1289&amp;$N1289&amp;$O1289,APOIO_REDES!$W:$W,0),MATCH(AH$5,APOIO_REDES!$5:$5,0)),0)</f>
        <v>0.1</v>
      </c>
      <c r="AI1289" s="153" t="n">
        <f aca="false">IFERROR(IF($H1289&lt;&gt;"",(((($H1289/1000)/2)^2)*PI()*$M1289),0),0)</f>
        <v>0.616185880531373</v>
      </c>
      <c r="AJ1289" s="153" t="n">
        <f aca="false">IFERROR(IF(AND($H1289&lt;&gt;"",$I1289="FoFo",OR($N1289="MND",$N1289="VCA"),$Q1289="LINEAR"),0,IF(AND($H1289&lt;&gt;"",$I1289="PEAD",$N1289="VCA",$Q1289="LINEAR"),($H1289/1000)+0.3,IF(AND($H1289&lt;&gt;"",$I1289="PEAD",$N1289="MND",$Q1289="EMBOQUE"),0,IF(AND($H1289&lt;&gt;"",$I1289="PVC",$N1289="VCA",$Q1289="LINEAR"),($H1289/1000)+0.2,IF(AND($H1289&lt;&gt;"",$I1289="PVC",$N1289="MND",$Q1289="EMBOQUE"),0,IF(AND($H1289&lt;&gt;"",$I1289="PEAD",$N1289="VCA",$Q1289="PREDIAL"),0,0)))))),0)</f>
        <v>0.363</v>
      </c>
      <c r="AK1289" s="153" t="n">
        <f aca="false">IF(AA1289&lt;&gt;"",AA1289,0)</f>
        <v>5.7</v>
      </c>
      <c r="AL1289" s="153" t="n">
        <f aca="false">IF(AND($N1289="MND",$Q1289="EMBOQUE"),$M1289,IF(AND($N1289="VCA",$Q1289="LINEAR"),$M1289,IF(AND($N1289="VCA",$Q1289="PREDIAL"),0,0)))</f>
        <v>197.67</v>
      </c>
      <c r="AM1289" s="153" t="n">
        <f aca="false">IF(AND($N1289="MND",$Q1289="EMBOQUE"),$M1289,IF(AND($N1289="VCA",$Q1289="LINEAR"),$M1289,IF(AND($N1289="VCA",$Q1289="PREDIAL"),0,0)))</f>
        <v>197.67</v>
      </c>
      <c r="AN1289" s="153" t="n">
        <f aca="false">ROUND(IF(AND($N1289="VCA",$M1289&lt;&gt;"",$Q1289="LINEAR"),$M1289/100,IF(AND($N1289="MND",$M1289&gt;100,$Q1289="EMBOQUE"),$M1289/100,0)),0)</f>
        <v>2</v>
      </c>
      <c r="AO1289" s="153" t="n">
        <f aca="false">IF(AND($N1289="MND",$Q1289="EMBOQUE"),$AN1289*2*2,IF(AND($N1289="VCA",$Q1289="LINEAR"),$M1289*2,IF(AND($N1289="VCA",$Q1289="PREDIAL"),0,0)))</f>
        <v>395.34</v>
      </c>
      <c r="AP1289" s="153" t="n">
        <f aca="false">IFERROR($M1289*$AF1289*$AG1289,0)</f>
        <v>175.1257365</v>
      </c>
      <c r="AQ1289" s="153" t="n">
        <f aca="false">IFERROR(IF(AND($N1289="VCA",$AH1289&gt;0),$M1289*$AG1289*$AH1289,0),0)</f>
        <v>12.84855</v>
      </c>
      <c r="AR1289" s="153" t="n">
        <f aca="false">IFERROR(IF(AND($N1289="VCA",$AJ1289&gt;0),($M1289*$AG1289*$AJ1289)-$AI1289,0),0)</f>
        <v>46.0240506194686</v>
      </c>
      <c r="AS1289" s="153" t="n">
        <f aca="false">IFERROR(IF(AND($N1289="VCA",$AP1289&gt;0),$AP1289-$AI1289-$AQ1289-$AR1289,0),0)</f>
        <v>115.63695</v>
      </c>
      <c r="AT1289" s="153" t="n">
        <f aca="false">IFERROR(IF($N1289="VCA",INDEX(APOIO_REDES!$A:$W,MATCH($C1289&amp;$I1289&amp;$H1289&amp;$N1289&amp;$O1289,APOIO_REDES!$W:$W,0),MATCH(AT$5,APOIO_REDES!$5:$5,0)),0)*$AP1289,0)</f>
        <v>1.90541984769211</v>
      </c>
      <c r="AU1289" s="153" t="n">
        <f aca="false">IFERROR(IF($N1289="VCA",INDEX(APOIO_REDES!$A:$W,MATCH($C1289&amp;$I1289&amp;$H1289&amp;$N1289&amp;$O1289,APOIO_REDES!$W:$W,0),MATCH(AU$5,APOIO_REDES!$5:$5,0)),0)*$AP1289,0)</f>
        <v>1.52161668505284</v>
      </c>
      <c r="AV1289" s="153" t="n">
        <f aca="false">IFERROR(IF($N1289="VCA",INDEX(APOIO_REDES!$A:$W,MATCH($C1289&amp;$I1289&amp;$H1289&amp;$N1289&amp;$O1289,APOIO_REDES!$W:$W,0),MATCH(AV$5,APOIO_REDES!$5:$5,0)),0)*$AP1289,0)</f>
        <v>0.210579804051988</v>
      </c>
      <c r="AW1289" s="153" t="n">
        <f aca="false">IFERROR(IF($N1289="VCA",INDEX(APOIO_REDES!$A:$W,MATCH($C1289&amp;$I1289&amp;$H1289&amp;$N1289&amp;$O1289,APOIO_REDES!$W:$W,0),MATCH(AW$5,APOIO_REDES!$5:$5,0)),0)*$AP1289,0)</f>
        <v>120.207662474022</v>
      </c>
      <c r="AX1289" s="153" t="n">
        <f aca="false">IFERROR(IF($N1289="VCA",INDEX(APOIO_REDES!$A:$W,MATCH($C1289&amp;$I1289&amp;$H1289&amp;$N1289&amp;$O1289,APOIO_REDES!$W:$W,0),MATCH(AX$5,APOIO_REDES!$5:$5,0)),0)*$AP1289,0)</f>
        <v>16.6363980683965</v>
      </c>
      <c r="AY1289" s="153" t="n">
        <f aca="false">IFERROR(IF($N1289="VCA",INDEX(APOIO_REDES!$A:$W,MATCH($C1289&amp;$I1289&amp;$H1289&amp;$N1289&amp;$O1289,APOIO_REDES!$W:$W,0),MATCH(AY$5,APOIO_REDES!$5:$5,0)),0)*$AP1289,0)</f>
        <v>30.4323151526727</v>
      </c>
      <c r="AZ1289" s="153" t="n">
        <f aca="false">IFERROR(IF($N1289="VCA",INDEX(APOIO_REDES!$A:$W,MATCH($C1289&amp;$I1289&amp;$H1289&amp;$N1289&amp;$O1289,APOIO_REDES!$W:$W,0),MATCH(AZ$5,APOIO_REDES!$5:$5,0)),0)*$AP1289,0)</f>
        <v>4.21174446811211</v>
      </c>
      <c r="BA1289" s="153" t="n">
        <f aca="false">IFERROR(IF(AND($N1289="VCA",$Q1289="LINEAR"),INDEX(APOIO_REDES!$A:$W,MATCH($C1289&amp;$I1289&amp;$H1289&amp;$N1289&amp;$O1289,APOIO_REDES!$W:$W,0),MATCH(BA$5,APOIO_REDES!$5:$5,0)),IF(AND($N1289="MND",$Q1289="EMBOQUE"),INDEX(APOIO_REDES!$A:$W,MATCH($C1289&amp;$I1289&amp;$H1289&amp;$N1289&amp;$O1289,APOIO_REDES!$W:$W,0),MATCH(BA$5,APOIO_REDES!$5:$5,0)),0))*$M1289/10,0)</f>
        <v>15.9317033931952</v>
      </c>
      <c r="BB1289" s="153" t="n">
        <f aca="false">IFERROR(IF($N1289="VCA",INDEX(APOIO_REDES!$A:$W,MATCH($C1289&amp;$I1289&amp;$H1289&amp;$N1289&amp;$O1289,APOIO_REDES!$W:$W,0),MATCH(BB$5,APOIO_REDES!$5:$5,0)),0)*($AI1289+$AQ1289+$AR1289),0)</f>
        <v>58.841530895098</v>
      </c>
      <c r="BC1289" s="153" t="n">
        <f aca="false">IFERROR(IF($N1289="VCA",INDEX(APOIO_REDES!$A:$W,MATCH($C1289&amp;$I1289&amp;$H1289&amp;$N1289&amp;$O1289,APOIO_REDES!$W:$W,0),MATCH(BC$5,APOIO_REDES!$5:$5,0)),0)*($AI1289+$AQ1289+$AR1289),0)</f>
        <v>0.647255604902017</v>
      </c>
      <c r="BD1289" s="153" t="n">
        <f aca="false">IF(AND($N1289="VCA",$AF1289&gt;=1.25,$AF1289&lt;1.5),$M1289*$AF1289*2,0)</f>
        <v>538.84842</v>
      </c>
      <c r="BE1289" s="153" t="n">
        <f aca="false">IF(AND($N1289="VCA",$AF1289&gt;=1.5,$AF1289&lt;3),$M1289*$AF1289*2,0)</f>
        <v>0</v>
      </c>
      <c r="BF1289" s="153" t="n">
        <f aca="false">IF(AND($N1289="VCA",$AF1289&gt;=3),$M1289*$AF1289*2,0)</f>
        <v>0</v>
      </c>
      <c r="BG1289" s="153" t="n">
        <f aca="false">($BB1289+$BC1289)*$AK1289</f>
        <v>339.08608305</v>
      </c>
      <c r="BH1289" s="153" t="n">
        <f aca="false">IF(AND($M1289&lt;&gt;"",$N1289="VCA",$Q1289="LINEAR"),($M1289*2)/100,IF(AND($M1289&lt;&gt;"",$N1289="MND",$Q1289="EMBOQUE"),($AN1289*2)/100,0))</f>
        <v>3.9534</v>
      </c>
      <c r="BI1289" s="153" t="n">
        <f aca="false">IF(AND($M1289&lt;&gt;"",$N1289="VCA",$Q1289="LINEAR"),$M1289,IF(AND($M1289&lt;&gt;"",$N1289="MND",$Q1289="EMBOQUE"),$AN1289*2,0))</f>
        <v>197.67</v>
      </c>
      <c r="BJ1289" s="153" t="n">
        <f aca="false">IF(AND($M1289&lt;&gt;"",$N1289="VCA",$Q1289="LINEAR"),($M1289*6.8)/100,IF(AND($M1289&lt;&gt;"",$N1289="MND",$Q1289="EMBOQUE"),($AN1289*2*6.8)/100,0))</f>
        <v>13.44156</v>
      </c>
      <c r="BK1289" s="153" t="n">
        <f aca="false">IF(AND($M1289&lt;&gt;"",$N1289="VCA",$Q1289="LINEAR"),($M1289*2.5)/50,IF(AND($M1289&lt;&gt;"",$N1289="MND",$Q1289="EMBOQUE"),($AN1289*2*2.5)/50,0))</f>
        <v>9.8835</v>
      </c>
      <c r="BL1289" s="157" t="str">
        <f aca="false">K1289&amp;J1289</f>
        <v>Zona11REDES</v>
      </c>
      <c r="BM1289" s="152" t="s">
        <v>6084</v>
      </c>
      <c r="BN1289" s="152" t="s">
        <v>1560</v>
      </c>
      <c r="BO1289" s="152" t="s">
        <v>5627</v>
      </c>
      <c r="BP1289" s="152" t="s">
        <v>6419</v>
      </c>
      <c r="BQ1289" s="152" t="s">
        <v>6410</v>
      </c>
      <c r="BR1289" s="152" t="s">
        <v>6426</v>
      </c>
      <c r="BS1289" s="152" t="n">
        <v>203485.246</v>
      </c>
      <c r="BT1289" s="152" t="n">
        <v>8235990.387</v>
      </c>
      <c r="BU1289" s="152" t="n">
        <v>203674.667</v>
      </c>
      <c r="BV1289" s="152" t="n">
        <v>8236043.68</v>
      </c>
      <c r="BW1289" s="152" t="n">
        <v>-15.9374701</v>
      </c>
      <c r="BX1289" s="152" t="n">
        <v>-47.7687075</v>
      </c>
      <c r="BY1289" s="152" t="s">
        <v>6419</v>
      </c>
    </row>
    <row r="1290" customFormat="false" ht="13.8" hidden="false" customHeight="false" outlineLevel="0" collapsed="false">
      <c r="A1290" s="149" t="n">
        <f aca="false">IF(C1290&lt;&gt;"",ROW(A1285),"")</f>
        <v>1285</v>
      </c>
      <c r="B1290" s="150" t="str">
        <f aca="false">HYPERLINK("https://www.google.com/maps/dir/-15.917302,-47.760003/-15.9377613,-47.7676680/data=!4m3!4m2!3e0!5i1")</f>
        <v>https://www.google.com/maps/dir/-15.917302,-47.760003/-15.9377613,-47.7676680/data=!4m3!4m2!3e0!5i1</v>
      </c>
      <c r="C1290" s="151" t="s">
        <v>117</v>
      </c>
      <c r="D1290" s="152" t="s">
        <v>112</v>
      </c>
      <c r="E1290" s="152" t="s">
        <v>113</v>
      </c>
      <c r="F1290" s="152" t="s">
        <v>117</v>
      </c>
      <c r="G1290" s="152" t="s">
        <v>782</v>
      </c>
      <c r="H1290" s="152" t="n">
        <v>90</v>
      </c>
      <c r="I1290" s="152" t="s">
        <v>115</v>
      </c>
      <c r="J1290" s="152" t="s">
        <v>6</v>
      </c>
      <c r="K1290" s="152" t="s">
        <v>6081</v>
      </c>
      <c r="L1290" s="152" t="s">
        <v>120</v>
      </c>
      <c r="M1290" s="153" t="n">
        <f aca="false">63.55</f>
        <v>63.55</v>
      </c>
      <c r="N1290" s="152" t="s">
        <v>1548</v>
      </c>
      <c r="O1290" s="152" t="s">
        <v>1549</v>
      </c>
      <c r="P1290" s="152" t="s">
        <v>1550</v>
      </c>
      <c r="Q1290" s="152" t="s">
        <v>1551</v>
      </c>
      <c r="R1290" s="154" t="s">
        <v>6427</v>
      </c>
      <c r="S1290" s="154" t="s">
        <v>1593</v>
      </c>
      <c r="T1290" s="155" t="s">
        <v>5625</v>
      </c>
      <c r="U1290" s="152" t="str">
        <f aca="false">RIGHT(T1290,7)</f>
        <v>023/037</v>
      </c>
      <c r="V1290" s="152" t="s">
        <v>1555</v>
      </c>
      <c r="W1290" s="156" t="n">
        <v>45882</v>
      </c>
      <c r="X1290" s="152" t="s">
        <v>1594</v>
      </c>
      <c r="Y1290" s="152" t="s">
        <v>1986</v>
      </c>
      <c r="Z1290" s="152" t="s">
        <v>1557</v>
      </c>
      <c r="AA1290" s="153" t="n">
        <v>5.4</v>
      </c>
      <c r="AB1290" s="151" t="s">
        <v>6428</v>
      </c>
      <c r="AC1290" s="151" t="s">
        <v>526</v>
      </c>
      <c r="AD1290" s="151" t="str">
        <f aca="false">CONCATENATE($C1290,$I1290,$H1290,$N1290,$J1290,$K1290)</f>
        <v>TUBO PEADPEAD90VCAREDESZona11</v>
      </c>
      <c r="AE1290" s="153" t="n">
        <f aca="false">IFERROR(INDEX(APOIO_REDES!$A:$W,MATCH($C1290&amp;$I1290&amp;$H1290&amp;$N1290&amp;$O1290,APOIO_REDES!$W:$W,0),MATCH(AE$5,APOIO_REDES!$5:$5,0)),0)</f>
        <v>1.2</v>
      </c>
      <c r="AF1290" s="153" t="n">
        <f aca="false">IFERROR(INDEX(APOIO_REDES!$A:$W,MATCH($C1290&amp;$I1290&amp;$H1290&amp;$N1290&amp;$O1290,APOIO_REDES!$W:$W,0),MATCH(AF$5,APOIO_REDES!$5:$5,0)),0)</f>
        <v>1.39</v>
      </c>
      <c r="AG1290" s="153" t="n">
        <f aca="false">IFERROR(INDEX(APOIO_REDES!$A:$W,MATCH($C1290&amp;$I1290&amp;$H1290&amp;$N1290&amp;$O1290,APOIO_REDES!$W:$W,0),MATCH(AG$5,APOIO_REDES!$5:$5,0)),0)</f>
        <v>0.75</v>
      </c>
      <c r="AH1290" s="153" t="n">
        <f aca="false">IFERROR(INDEX(APOIO_REDES!$A:$W,MATCH($C1290&amp;$I1290&amp;$H1290&amp;$N1290&amp;$O1290,APOIO_REDES!$W:$W,0),MATCH(AH$5,APOIO_REDES!$5:$5,0)),0)</f>
        <v>0.1</v>
      </c>
      <c r="AI1290" s="153" t="n">
        <f aca="false">IFERROR(IF($H1290&lt;&gt;"",(((($H1290/1000)/2)^2)*PI()*$M1290),0),0)</f>
        <v>0.404287631599653</v>
      </c>
      <c r="AJ1290" s="153" t="n">
        <f aca="false">IFERROR(IF(AND($H1290&lt;&gt;"",$I1290="FoFo",OR($N1290="MND",$N1290="VCA"),$Q1290="LINEAR"),0,IF(AND($H1290&lt;&gt;"",$I1290="PEAD",$N1290="VCA",$Q1290="LINEAR"),($H1290/1000)+0.3,IF(AND($H1290&lt;&gt;"",$I1290="PEAD",$N1290="MND",$Q1290="EMBOQUE"),0,IF(AND($H1290&lt;&gt;"",$I1290="PVC",$N1290="VCA",$Q1290="LINEAR"),($H1290/1000)+0.2,IF(AND($H1290&lt;&gt;"",$I1290="PVC",$N1290="MND",$Q1290="EMBOQUE"),0,IF(AND($H1290&lt;&gt;"",$I1290="PEAD",$N1290="VCA",$Q1290="PREDIAL"),0,0)))))),0)</f>
        <v>0.39</v>
      </c>
      <c r="AK1290" s="153" t="n">
        <f aca="false">IF(AA1290&lt;&gt;"",AA1290,0)</f>
        <v>5.4</v>
      </c>
      <c r="AL1290" s="153" t="n">
        <f aca="false">IF(AND($N1290="MND",$Q1290="EMBOQUE"),$M1290,IF(AND($N1290="VCA",$Q1290="LINEAR"),$M1290,IF(AND($N1290="VCA",$Q1290="PREDIAL"),0,0)))</f>
        <v>63.55</v>
      </c>
      <c r="AM1290" s="153" t="n">
        <f aca="false">IF(AND($N1290="MND",$Q1290="EMBOQUE"),$M1290,IF(AND($N1290="VCA",$Q1290="LINEAR"),$M1290,IF(AND($N1290="VCA",$Q1290="PREDIAL"),0,0)))</f>
        <v>63.55</v>
      </c>
      <c r="AN1290" s="153" t="n">
        <f aca="false">ROUND(IF(AND($N1290="VCA",$M1290&lt;&gt;"",$Q1290="LINEAR"),$M1290/100,IF(AND($N1290="MND",$M1290&gt;100,$Q1290="EMBOQUE"),$M1290/100,0)),0)</f>
        <v>1</v>
      </c>
      <c r="AO1290" s="153" t="n">
        <f aca="false">IF(AND($N1290="MND",$Q1290="EMBOQUE"),$AN1290*2*2,IF(AND($N1290="VCA",$Q1290="LINEAR"),$M1290*2,IF(AND($N1290="VCA",$Q1290="PREDIAL"),0,0)))</f>
        <v>127.1</v>
      </c>
      <c r="AP1290" s="153" t="n">
        <f aca="false">IFERROR($M1290*$AF1290*$AG1290,0)</f>
        <v>66.250875</v>
      </c>
      <c r="AQ1290" s="153" t="n">
        <f aca="false">IFERROR(IF(AND($N1290="VCA",$AH1290&gt;0),$M1290*$AG1290*$AH1290,0),0)</f>
        <v>4.76625</v>
      </c>
      <c r="AR1290" s="153" t="n">
        <f aca="false">IFERROR(IF(AND($N1290="VCA",$AJ1290&gt;0),($M1290*$AG1290*$AJ1290)-$AI1290,0),0)</f>
        <v>18.1840873684003</v>
      </c>
      <c r="AS1290" s="153" t="n">
        <f aca="false">IFERROR(IF(AND($N1290="VCA",$AP1290&gt;0),$AP1290-$AI1290-$AQ1290-$AR1290,0),0)</f>
        <v>42.89625</v>
      </c>
      <c r="AT1290" s="153" t="n">
        <f aca="false">IFERROR(IF($N1290="VCA",INDEX(APOIO_REDES!$A:$W,MATCH($C1290&amp;$I1290&amp;$H1290&amp;$N1290&amp;$O1290,APOIO_REDES!$W:$W,0),MATCH(AT$5,APOIO_REDES!$5:$5,0)),0)*$AP1290,0)</f>
        <v>0.720829129258048</v>
      </c>
      <c r="AU1290" s="153" t="n">
        <f aca="false">IFERROR(IF($N1290="VCA",INDEX(APOIO_REDES!$A:$W,MATCH($C1290&amp;$I1290&amp;$H1290&amp;$N1290&amp;$O1290,APOIO_REDES!$W:$W,0),MATCH(AU$5,APOIO_REDES!$5:$5,0)),0)*$AP1290,0)</f>
        <v>0.5756346200968</v>
      </c>
      <c r="AV1290" s="153" t="n">
        <f aca="false">IFERROR(IF($N1290="VCA",INDEX(APOIO_REDES!$A:$W,MATCH($C1290&amp;$I1290&amp;$H1290&amp;$N1290&amp;$O1290,APOIO_REDES!$W:$W,0),MATCH(AV$5,APOIO_REDES!$5:$5,0)),0)*$AP1290,0)</f>
        <v>0.0796633125124516</v>
      </c>
      <c r="AW1290" s="153" t="n">
        <f aca="false">IFERROR(IF($N1290="VCA",INDEX(APOIO_REDES!$A:$W,MATCH($C1290&amp;$I1290&amp;$H1290&amp;$N1290&amp;$O1290,APOIO_REDES!$W:$W,0),MATCH(AW$5,APOIO_REDES!$5:$5,0)),0)*$AP1290,0)</f>
        <v>45.4751139368291</v>
      </c>
      <c r="AX1290" s="153" t="n">
        <f aca="false">IFERROR(IF($N1290="VCA",INDEX(APOIO_REDES!$A:$W,MATCH($C1290&amp;$I1290&amp;$H1290&amp;$N1290&amp;$O1290,APOIO_REDES!$W:$W,0),MATCH(AX$5,APOIO_REDES!$5:$5,0)),0)*$AP1290,0)</f>
        <v>6.29362623054308</v>
      </c>
      <c r="AY1290" s="153" t="n">
        <f aca="false">IFERROR(IF($N1290="VCA",INDEX(APOIO_REDES!$A:$W,MATCH($C1290&amp;$I1290&amp;$H1290&amp;$N1290&amp;$O1290,APOIO_REDES!$W:$W,0),MATCH(AY$5,APOIO_REDES!$5:$5,0)),0)*$AP1290,0)</f>
        <v>11.5126853849966</v>
      </c>
      <c r="AZ1290" s="153" t="n">
        <f aca="false">IFERROR(IF($N1290="VCA",INDEX(APOIO_REDES!$A:$W,MATCH($C1290&amp;$I1290&amp;$H1290&amp;$N1290&amp;$O1290,APOIO_REDES!$W:$W,0),MATCH(AZ$5,APOIO_REDES!$5:$5,0)),0)*$AP1290,0)</f>
        <v>1.59332238576388</v>
      </c>
      <c r="BA1290" s="153" t="n">
        <f aca="false">IFERROR(IF(AND($N1290="VCA",$Q1290="LINEAR"),INDEX(APOIO_REDES!$A:$W,MATCH($C1290&amp;$I1290&amp;$H1290&amp;$N1290&amp;$O1290,APOIO_REDES!$W:$W,0),MATCH(BA$5,APOIO_REDES!$5:$5,0)),IF(AND($N1290="MND",$Q1290="EMBOQUE"),INDEX(APOIO_REDES!$A:$W,MATCH($C1290&amp;$I1290&amp;$H1290&amp;$N1290&amp;$O1290,APOIO_REDES!$W:$W,0),MATCH(BA$5,APOIO_REDES!$5:$5,0)),0))*$M1290/10,0)</f>
        <v>5.12196970019504</v>
      </c>
      <c r="BB1290" s="153" t="n">
        <f aca="false">IFERROR(IF($N1290="VCA",INDEX(APOIO_REDES!$A:$W,MATCH($C1290&amp;$I1290&amp;$H1290&amp;$N1290&amp;$O1290,APOIO_REDES!$W:$W,0),MATCH(BB$5,APOIO_REDES!$5:$5,0)),0)*($AI1290+$AQ1290+$AR1290),0)</f>
        <v>23.1005197673839</v>
      </c>
      <c r="BC1290" s="153" t="n">
        <f aca="false">IFERROR(IF($N1290="VCA",INDEX(APOIO_REDES!$A:$W,MATCH($C1290&amp;$I1290&amp;$H1290&amp;$N1290&amp;$O1290,APOIO_REDES!$W:$W,0),MATCH(BC$5,APOIO_REDES!$5:$5,0)),0)*($AI1290+$AQ1290+$AR1290),0)</f>
        <v>0.254105232616146</v>
      </c>
      <c r="BD1290" s="153" t="n">
        <f aca="false">IF(AND($N1290="VCA",$AF1290&gt;=1.25,$AF1290&lt;1.5),$M1290*$AF1290*2,0)</f>
        <v>176.669</v>
      </c>
      <c r="BE1290" s="153" t="n">
        <f aca="false">IF(AND($N1290="VCA",$AF1290&gt;=1.5,$AF1290&lt;3),$M1290*$AF1290*2,0)</f>
        <v>0</v>
      </c>
      <c r="BF1290" s="153" t="n">
        <f aca="false">IF(AND($N1290="VCA",$AF1290&gt;=3),$M1290*$AF1290*2,0)</f>
        <v>0</v>
      </c>
      <c r="BG1290" s="153" t="n">
        <f aca="false">($BB1290+$BC1290)*$AK1290</f>
        <v>126.114975</v>
      </c>
      <c r="BH1290" s="153" t="n">
        <f aca="false">IF(AND($M1290&lt;&gt;"",$N1290="VCA",$Q1290="LINEAR"),($M1290*2)/100,IF(AND($M1290&lt;&gt;"",$N1290="MND",$Q1290="EMBOQUE"),($AN1290*2)/100,0))</f>
        <v>1.271</v>
      </c>
      <c r="BI1290" s="153" t="n">
        <f aca="false">IF(AND($M1290&lt;&gt;"",$N1290="VCA",$Q1290="LINEAR"),$M1290,IF(AND($M1290&lt;&gt;"",$N1290="MND",$Q1290="EMBOQUE"),$AN1290*2,0))</f>
        <v>63.55</v>
      </c>
      <c r="BJ1290" s="153" t="n">
        <f aca="false">IF(AND($M1290&lt;&gt;"",$N1290="VCA",$Q1290="LINEAR"),($M1290*6.8)/100,IF(AND($M1290&lt;&gt;"",$N1290="MND",$Q1290="EMBOQUE"),($AN1290*2*6.8)/100,0))</f>
        <v>4.3214</v>
      </c>
      <c r="BK1290" s="153" t="n">
        <f aca="false">IF(AND($M1290&lt;&gt;"",$N1290="VCA",$Q1290="LINEAR"),($M1290*2.5)/50,IF(AND($M1290&lt;&gt;"",$N1290="MND",$Q1290="EMBOQUE"),($AN1290*2*2.5)/50,0))</f>
        <v>3.1775</v>
      </c>
      <c r="BL1290" s="157" t="str">
        <f aca="false">K1290&amp;J1290</f>
        <v>Zona11REDES</v>
      </c>
      <c r="BM1290" s="152" t="s">
        <v>6084</v>
      </c>
      <c r="BN1290" s="152" t="s">
        <v>1560</v>
      </c>
      <c r="BO1290" s="152" t="s">
        <v>5627</v>
      </c>
      <c r="BP1290" s="152" t="s">
        <v>6429</v>
      </c>
      <c r="BQ1290" s="152" t="s">
        <v>6410</v>
      </c>
      <c r="BR1290" s="152" t="s">
        <v>6430</v>
      </c>
      <c r="BS1290" s="152" t="n">
        <v>203692.831</v>
      </c>
      <c r="BT1290" s="152" t="n">
        <v>8235982.864</v>
      </c>
      <c r="BU1290" s="152" t="n">
        <v>203675.175</v>
      </c>
      <c r="BV1290" s="152" t="n">
        <v>8236043.742</v>
      </c>
      <c r="BW1290" s="152" t="n">
        <v>-15.9374843</v>
      </c>
      <c r="BX1290" s="152" t="n">
        <v>-47.7677425</v>
      </c>
      <c r="BY1290" s="152" t="s">
        <v>6429</v>
      </c>
    </row>
    <row r="1291" customFormat="false" ht="13.8" hidden="false" customHeight="false" outlineLevel="0" collapsed="false">
      <c r="A1291" s="149" t="n">
        <f aca="false">IF(C1291&lt;&gt;"",ROW(A1286),"")</f>
        <v>1286</v>
      </c>
      <c r="B1291" s="150" t="str">
        <f aca="false">HYPERLINK("https://www.google.com/maps/dir/-15.917302,-47.760003/-15.9378691,-47.7705010/data=!4m3!4m2!3e0!5i2")</f>
        <v>https://www.google.com/maps/dir/-15.917302,-47.760003/-15.9378691,-47.7705010/data=!4m3!4m2!3e0!5i2</v>
      </c>
      <c r="C1291" s="151" t="s">
        <v>117</v>
      </c>
      <c r="D1291" s="152" t="s">
        <v>112</v>
      </c>
      <c r="E1291" s="152" t="s">
        <v>113</v>
      </c>
      <c r="F1291" s="152" t="s">
        <v>117</v>
      </c>
      <c r="G1291" s="152" t="s">
        <v>782</v>
      </c>
      <c r="H1291" s="152" t="n">
        <v>63</v>
      </c>
      <c r="I1291" s="152" t="s">
        <v>115</v>
      </c>
      <c r="J1291" s="152" t="s">
        <v>6</v>
      </c>
      <c r="K1291" s="152" t="s">
        <v>6081</v>
      </c>
      <c r="L1291" s="152" t="s">
        <v>120</v>
      </c>
      <c r="M1291" s="153" t="n">
        <f aca="false">89.72+4.49</f>
        <v>94.21</v>
      </c>
      <c r="N1291" s="152" t="s">
        <v>1548</v>
      </c>
      <c r="O1291" s="152" t="s">
        <v>1549</v>
      </c>
      <c r="P1291" s="152" t="s">
        <v>1550</v>
      </c>
      <c r="Q1291" s="152" t="s">
        <v>1551</v>
      </c>
      <c r="R1291" s="154" t="s">
        <v>6431</v>
      </c>
      <c r="S1291" s="154" t="s">
        <v>1553</v>
      </c>
      <c r="T1291" s="155" t="s">
        <v>5625</v>
      </c>
      <c r="U1291" s="152" t="str">
        <f aca="false">RIGHT(T1291,7)</f>
        <v>023/037</v>
      </c>
      <c r="V1291" s="152" t="s">
        <v>1555</v>
      </c>
      <c r="W1291" s="156" t="n">
        <v>45882</v>
      </c>
      <c r="X1291" s="152" t="s">
        <v>1594</v>
      </c>
      <c r="Y1291" s="152"/>
      <c r="Z1291" s="152" t="s">
        <v>1557</v>
      </c>
      <c r="AA1291" s="153" t="n">
        <v>5.8</v>
      </c>
      <c r="AB1291" s="151" t="s">
        <v>6432</v>
      </c>
      <c r="AC1291" s="151" t="s">
        <v>186</v>
      </c>
      <c r="AD1291" s="151" t="str">
        <f aca="false">CONCATENATE($C1291,$I1291,$H1291,$N1291,$J1291,$K1291)</f>
        <v>TUBO PEADPEAD63VCAREDESZona11</v>
      </c>
      <c r="AE1291" s="153" t="n">
        <f aca="false">IFERROR(INDEX(APOIO_REDES!$A:$W,MATCH($C1291&amp;$I1291&amp;$H1291&amp;$N1291&amp;$O1291,APOIO_REDES!$W:$W,0),MATCH(AE$5,APOIO_REDES!$5:$5,0)),0)</f>
        <v>1.2</v>
      </c>
      <c r="AF1291" s="153" t="n">
        <f aca="false">IFERROR(INDEX(APOIO_REDES!$A:$W,MATCH($C1291&amp;$I1291&amp;$H1291&amp;$N1291&amp;$O1291,APOIO_REDES!$W:$W,0),MATCH(AF$5,APOIO_REDES!$5:$5,0)),0)</f>
        <v>1.363</v>
      </c>
      <c r="AG1291" s="153" t="n">
        <f aca="false">IFERROR(INDEX(APOIO_REDES!$A:$W,MATCH($C1291&amp;$I1291&amp;$H1291&amp;$N1291&amp;$O1291,APOIO_REDES!$W:$W,0),MATCH(AG$5,APOIO_REDES!$5:$5,0)),0)</f>
        <v>0.65</v>
      </c>
      <c r="AH1291" s="153" t="n">
        <f aca="false">IFERROR(INDEX(APOIO_REDES!$A:$W,MATCH($C1291&amp;$I1291&amp;$H1291&amp;$N1291&amp;$O1291,APOIO_REDES!$W:$W,0),MATCH(AH$5,APOIO_REDES!$5:$5,0)),0)</f>
        <v>0.1</v>
      </c>
      <c r="AI1291" s="153" t="n">
        <f aca="false">IFERROR(IF($H1291&lt;&gt;"",(((($H1291/1000)/2)^2)*PI()*$M1291),0),0)</f>
        <v>0.293675680704511</v>
      </c>
      <c r="AJ1291" s="153" t="n">
        <f aca="false">IFERROR(IF(AND($H1291&lt;&gt;"",$I1291="FoFo",OR($N1291="MND",$N1291="VCA"),$Q1291="LINEAR"),0,IF(AND($H1291&lt;&gt;"",$I1291="PEAD",$N1291="VCA",$Q1291="LINEAR"),($H1291/1000)+0.3,IF(AND($H1291&lt;&gt;"",$I1291="PEAD",$N1291="MND",$Q1291="EMBOQUE"),0,IF(AND($H1291&lt;&gt;"",$I1291="PVC",$N1291="VCA",$Q1291="LINEAR"),($H1291/1000)+0.2,IF(AND($H1291&lt;&gt;"",$I1291="PVC",$N1291="MND",$Q1291="EMBOQUE"),0,IF(AND($H1291&lt;&gt;"",$I1291="PEAD",$N1291="VCA",$Q1291="PREDIAL"),0,0)))))),0)</f>
        <v>0.363</v>
      </c>
      <c r="AK1291" s="153" t="n">
        <f aca="false">IF(AA1291&lt;&gt;"",AA1291,0)</f>
        <v>5.8</v>
      </c>
      <c r="AL1291" s="153" t="n">
        <f aca="false">IF(AND($N1291="MND",$Q1291="EMBOQUE"),$M1291,IF(AND($N1291="VCA",$Q1291="LINEAR"),$M1291,IF(AND($N1291="VCA",$Q1291="PREDIAL"),0,0)))</f>
        <v>94.21</v>
      </c>
      <c r="AM1291" s="153" t="n">
        <f aca="false">IF(AND($N1291="MND",$Q1291="EMBOQUE"),$M1291,IF(AND($N1291="VCA",$Q1291="LINEAR"),$M1291,IF(AND($N1291="VCA",$Q1291="PREDIAL"),0,0)))</f>
        <v>94.21</v>
      </c>
      <c r="AN1291" s="153" t="n">
        <f aca="false">ROUND(IF(AND($N1291="VCA",$M1291&lt;&gt;"",$Q1291="LINEAR"),$M1291/100,IF(AND($N1291="MND",$M1291&gt;100,$Q1291="EMBOQUE"),$M1291/100,0)),0)</f>
        <v>1</v>
      </c>
      <c r="AO1291" s="153" t="n">
        <f aca="false">IF(AND($N1291="MND",$Q1291="EMBOQUE"),$AN1291*2*2,IF(AND($N1291="VCA",$Q1291="LINEAR"),$M1291*2,IF(AND($N1291="VCA",$Q1291="PREDIAL"),0,0)))</f>
        <v>188.42</v>
      </c>
      <c r="AP1291" s="153" t="n">
        <f aca="false">IFERROR($M1291*$AF1291*$AG1291,0)</f>
        <v>83.4653495</v>
      </c>
      <c r="AQ1291" s="153" t="n">
        <f aca="false">IFERROR(IF(AND($N1291="VCA",$AH1291&gt;0),$M1291*$AG1291*$AH1291,0),0)</f>
        <v>6.12365</v>
      </c>
      <c r="AR1291" s="153" t="n">
        <f aca="false">IFERROR(IF(AND($N1291="VCA",$AJ1291&gt;0),($M1291*$AG1291*$AJ1291)-$AI1291,0),0)</f>
        <v>21.9351738192955</v>
      </c>
      <c r="AS1291" s="153" t="n">
        <f aca="false">IFERROR(IF(AND($N1291="VCA",$AP1291&gt;0),$AP1291-$AI1291-$AQ1291-$AR1291,0),0)</f>
        <v>55.11285</v>
      </c>
      <c r="AT1291" s="153" t="n">
        <f aca="false">IFERROR(IF($N1291="VCA",INDEX(APOIO_REDES!$A:$W,MATCH($C1291&amp;$I1291&amp;$H1291&amp;$N1291&amp;$O1291,APOIO_REDES!$W:$W,0),MATCH(AT$5,APOIO_REDES!$5:$5,0)),0)*$AP1291,0)</f>
        <v>0.908127707042415</v>
      </c>
      <c r="AU1291" s="153" t="n">
        <f aca="false">IFERROR(IF($N1291="VCA",INDEX(APOIO_REDES!$A:$W,MATCH($C1291&amp;$I1291&amp;$H1291&amp;$N1291&amp;$O1291,APOIO_REDES!$W:$W,0),MATCH(AU$5,APOIO_REDES!$5:$5,0)),0)*$AP1291,0)</f>
        <v>0.725206191626588</v>
      </c>
      <c r="AV1291" s="153" t="n">
        <f aca="false">IFERROR(IF($N1291="VCA",INDEX(APOIO_REDES!$A:$W,MATCH($C1291&amp;$I1291&amp;$H1291&amp;$N1291&amp;$O1291,APOIO_REDES!$W:$W,0),MATCH(AV$5,APOIO_REDES!$5:$5,0)),0)*$AP1291,0)</f>
        <v>0.1003628438293</v>
      </c>
      <c r="AW1291" s="153" t="n">
        <f aca="false">IFERROR(IF($N1291="VCA",INDEX(APOIO_REDES!$A:$W,MATCH($C1291&amp;$I1291&amp;$H1291&amp;$N1291&amp;$O1291,APOIO_REDES!$W:$W,0),MATCH(AW$5,APOIO_REDES!$5:$5,0)),0)*$AP1291,0)</f>
        <v>57.2912626178864</v>
      </c>
      <c r="AX1291" s="153" t="n">
        <f aca="false">IFERROR(IF($N1291="VCA",INDEX(APOIO_REDES!$A:$W,MATCH($C1291&amp;$I1291&amp;$H1291&amp;$N1291&amp;$O1291,APOIO_REDES!$W:$W,0),MATCH(AX$5,APOIO_REDES!$5:$5,0)),0)*$AP1291,0)</f>
        <v>7.92894754906476</v>
      </c>
      <c r="AY1291" s="153" t="n">
        <f aca="false">IFERROR(IF($N1291="VCA",INDEX(APOIO_REDES!$A:$W,MATCH($C1291&amp;$I1291&amp;$H1291&amp;$N1291&amp;$O1291,APOIO_REDES!$W:$W,0),MATCH(AY$5,APOIO_REDES!$5:$5,0)),0)*$AP1291,0)</f>
        <v>14.5041149923271</v>
      </c>
      <c r="AZ1291" s="153" t="n">
        <f aca="false">IFERROR(IF($N1291="VCA",INDEX(APOIO_REDES!$A:$W,MATCH($C1291&amp;$I1291&amp;$H1291&amp;$N1291&amp;$O1291,APOIO_REDES!$W:$W,0),MATCH(AZ$5,APOIO_REDES!$5:$5,0)),0)*$AP1291,0)</f>
        <v>2.00732759822351</v>
      </c>
      <c r="BA1291" s="153" t="n">
        <f aca="false">IFERROR(IF(AND($N1291="VCA",$Q1291="LINEAR"),INDEX(APOIO_REDES!$A:$W,MATCH($C1291&amp;$I1291&amp;$H1291&amp;$N1291&amp;$O1291,APOIO_REDES!$W:$W,0),MATCH(BA$5,APOIO_REDES!$5:$5,0)),IF(AND($N1291="MND",$Q1291="EMBOQUE"),INDEX(APOIO_REDES!$A:$W,MATCH($C1291&amp;$I1291&amp;$H1291&amp;$N1291&amp;$O1291,APOIO_REDES!$W:$W,0),MATCH(BA$5,APOIO_REDES!$5:$5,0)),0))*$M1291/10,0)</f>
        <v>7.5930883627911</v>
      </c>
      <c r="BB1291" s="153" t="n">
        <f aca="false">IFERROR(IF($N1291="VCA",INDEX(APOIO_REDES!$A:$W,MATCH($C1291&amp;$I1291&amp;$H1291&amp;$N1291&amp;$O1291,APOIO_REDES!$W:$W,0),MATCH(BB$5,APOIO_REDES!$5:$5,0)),0)*($AI1291+$AQ1291+$AR1291),0)</f>
        <v>28.0440159135285</v>
      </c>
      <c r="BC1291" s="153" t="n">
        <f aca="false">IFERROR(IF($N1291="VCA",INDEX(APOIO_REDES!$A:$W,MATCH($C1291&amp;$I1291&amp;$H1291&amp;$N1291&amp;$O1291,APOIO_REDES!$W:$W,0),MATCH(BC$5,APOIO_REDES!$5:$5,0)),0)*($AI1291+$AQ1291+$AR1291),0)</f>
        <v>0.308483586471488</v>
      </c>
      <c r="BD1291" s="153" t="n">
        <f aca="false">IF(AND($N1291="VCA",$AF1291&gt;=1.25,$AF1291&lt;1.5),$M1291*$AF1291*2,0)</f>
        <v>256.81646</v>
      </c>
      <c r="BE1291" s="153" t="n">
        <f aca="false">IF(AND($N1291="VCA",$AF1291&gt;=1.5,$AF1291&lt;3),$M1291*$AF1291*2,0)</f>
        <v>0</v>
      </c>
      <c r="BF1291" s="153" t="n">
        <f aca="false">IF(AND($N1291="VCA",$AF1291&gt;=3),$M1291*$AF1291*2,0)</f>
        <v>0</v>
      </c>
      <c r="BG1291" s="153" t="n">
        <f aca="false">($BB1291+$BC1291)*$AK1291</f>
        <v>164.4444971</v>
      </c>
      <c r="BH1291" s="153" t="n">
        <f aca="false">IF(AND($M1291&lt;&gt;"",$N1291="VCA",$Q1291="LINEAR"),($M1291*2)/100,IF(AND($M1291&lt;&gt;"",$N1291="MND",$Q1291="EMBOQUE"),($AN1291*2)/100,0))</f>
        <v>1.8842</v>
      </c>
      <c r="BI1291" s="153" t="n">
        <f aca="false">IF(AND($M1291&lt;&gt;"",$N1291="VCA",$Q1291="LINEAR"),$M1291,IF(AND($M1291&lt;&gt;"",$N1291="MND",$Q1291="EMBOQUE"),$AN1291*2,0))</f>
        <v>94.21</v>
      </c>
      <c r="BJ1291" s="153" t="n">
        <f aca="false">IF(AND($M1291&lt;&gt;"",$N1291="VCA",$Q1291="LINEAR"),($M1291*6.8)/100,IF(AND($M1291&lt;&gt;"",$N1291="MND",$Q1291="EMBOQUE"),($AN1291*2*6.8)/100,0))</f>
        <v>6.40628</v>
      </c>
      <c r="BK1291" s="153" t="n">
        <f aca="false">IF(AND($M1291&lt;&gt;"",$N1291="VCA",$Q1291="LINEAR"),($M1291*2.5)/50,IF(AND($M1291&lt;&gt;"",$N1291="MND",$Q1291="EMBOQUE"),($AN1291*2*2.5)/50,0))</f>
        <v>4.7105</v>
      </c>
      <c r="BL1291" s="157" t="str">
        <f aca="false">K1291&amp;J1291</f>
        <v>Zona11REDES</v>
      </c>
      <c r="BM1291" s="152" t="s">
        <v>6084</v>
      </c>
      <c r="BN1291" s="152" t="s">
        <v>1560</v>
      </c>
      <c r="BO1291" s="152" t="s">
        <v>5627</v>
      </c>
      <c r="BP1291" s="152" t="s">
        <v>6433</v>
      </c>
      <c r="BQ1291" s="152" t="s">
        <v>6434</v>
      </c>
      <c r="BR1291" s="152" t="s">
        <v>6435</v>
      </c>
      <c r="BS1291" s="152" t="n">
        <v>203389.392</v>
      </c>
      <c r="BT1291" s="152" t="n">
        <v>8235967.367</v>
      </c>
      <c r="BU1291" s="152" t="n">
        <v>203370.24</v>
      </c>
      <c r="BV1291" s="152" t="n">
        <v>8236054.989</v>
      </c>
      <c r="BW1291" s="152" t="n">
        <v>-15.9374682</v>
      </c>
      <c r="BX1291" s="152" t="n">
        <v>-47.7705861</v>
      </c>
      <c r="BY1291" s="152" t="s">
        <v>6433</v>
      </c>
    </row>
    <row r="1292" customFormat="false" ht="13.8" hidden="false" customHeight="false" outlineLevel="0" collapsed="false">
      <c r="A1292" s="149" t="n">
        <f aca="false">IF(C1292&lt;&gt;"",ROW(A1287),"")</f>
        <v>1287</v>
      </c>
      <c r="B1292" s="150" t="str">
        <f aca="false">HYPERLINK("https://www.google.com/maps/dir/-15.917302,-47.760003/-15.9377100,-47.7685693/data=!4m3!4m2!3e0!5i2")</f>
        <v>https://www.google.com/maps/dir/-15.917302,-47.760003/-15.9377100,-47.7685693/data=!4m3!4m2!3e0!5i2</v>
      </c>
      <c r="C1292" s="151" t="s">
        <v>117</v>
      </c>
      <c r="D1292" s="152" t="s">
        <v>112</v>
      </c>
      <c r="E1292" s="152" t="s">
        <v>113</v>
      </c>
      <c r="F1292" s="152" t="s">
        <v>117</v>
      </c>
      <c r="G1292" s="152" t="s">
        <v>782</v>
      </c>
      <c r="H1292" s="152" t="n">
        <v>63</v>
      </c>
      <c r="I1292" s="152" t="s">
        <v>115</v>
      </c>
      <c r="J1292" s="152" t="s">
        <v>6</v>
      </c>
      <c r="K1292" s="152" t="s">
        <v>6081</v>
      </c>
      <c r="L1292" s="152" t="s">
        <v>120</v>
      </c>
      <c r="M1292" s="153" t="n">
        <f aca="false">111.03</f>
        <v>111.03</v>
      </c>
      <c r="N1292" s="152" t="s">
        <v>1548</v>
      </c>
      <c r="O1292" s="152" t="s">
        <v>1549</v>
      </c>
      <c r="P1292" s="152" t="s">
        <v>1550</v>
      </c>
      <c r="Q1292" s="152" t="s">
        <v>1551</v>
      </c>
      <c r="R1292" s="154" t="s">
        <v>6436</v>
      </c>
      <c r="S1292" s="154" t="s">
        <v>1553</v>
      </c>
      <c r="T1292" s="155" t="s">
        <v>5625</v>
      </c>
      <c r="U1292" s="152" t="str">
        <f aca="false">RIGHT(T1292,7)</f>
        <v>023/037</v>
      </c>
      <c r="V1292" s="152" t="s">
        <v>1555</v>
      </c>
      <c r="W1292" s="156" t="n">
        <v>45882</v>
      </c>
      <c r="X1292" s="152" t="s">
        <v>1594</v>
      </c>
      <c r="Y1292" s="152"/>
      <c r="Z1292" s="152" t="s">
        <v>1557</v>
      </c>
      <c r="AA1292" s="153" t="n">
        <v>5.6</v>
      </c>
      <c r="AB1292" s="151" t="s">
        <v>6437</v>
      </c>
      <c r="AC1292" s="151" t="s">
        <v>186</v>
      </c>
      <c r="AD1292" s="151" t="str">
        <f aca="false">CONCATENATE($C1292,$I1292,$H1292,$N1292,$J1292,$K1292)</f>
        <v>TUBO PEADPEAD63VCAREDESZona11</v>
      </c>
      <c r="AE1292" s="153" t="n">
        <f aca="false">IFERROR(INDEX(APOIO_REDES!$A:$W,MATCH($C1292&amp;$I1292&amp;$H1292&amp;$N1292&amp;$O1292,APOIO_REDES!$W:$W,0),MATCH(AE$5,APOIO_REDES!$5:$5,0)),0)</f>
        <v>1.2</v>
      </c>
      <c r="AF1292" s="153" t="n">
        <f aca="false">IFERROR(INDEX(APOIO_REDES!$A:$W,MATCH($C1292&amp;$I1292&amp;$H1292&amp;$N1292&amp;$O1292,APOIO_REDES!$W:$W,0),MATCH(AF$5,APOIO_REDES!$5:$5,0)),0)</f>
        <v>1.363</v>
      </c>
      <c r="AG1292" s="153" t="n">
        <f aca="false">IFERROR(INDEX(APOIO_REDES!$A:$W,MATCH($C1292&amp;$I1292&amp;$H1292&amp;$N1292&amp;$O1292,APOIO_REDES!$W:$W,0),MATCH(AG$5,APOIO_REDES!$5:$5,0)),0)</f>
        <v>0.65</v>
      </c>
      <c r="AH1292" s="153" t="n">
        <f aca="false">IFERROR(INDEX(APOIO_REDES!$A:$W,MATCH($C1292&amp;$I1292&amp;$H1292&amp;$N1292&amp;$O1292,APOIO_REDES!$W:$W,0),MATCH(AH$5,APOIO_REDES!$5:$5,0)),0)</f>
        <v>0.1</v>
      </c>
      <c r="AI1292" s="153" t="n">
        <f aca="false">IFERROR(IF($H1292&lt;&gt;"",(((($H1292/1000)/2)^2)*PI()*$M1292),0),0)</f>
        <v>0.346107746827532</v>
      </c>
      <c r="AJ1292" s="153" t="n">
        <f aca="false">IFERROR(IF(AND($H1292&lt;&gt;"",$I1292="FoFo",OR($N1292="MND",$N1292="VCA"),$Q1292="LINEAR"),0,IF(AND($H1292&lt;&gt;"",$I1292="PEAD",$N1292="VCA",$Q1292="LINEAR"),($H1292/1000)+0.3,IF(AND($H1292&lt;&gt;"",$I1292="PEAD",$N1292="MND",$Q1292="EMBOQUE"),0,IF(AND($H1292&lt;&gt;"",$I1292="PVC",$N1292="VCA",$Q1292="LINEAR"),($H1292/1000)+0.2,IF(AND($H1292&lt;&gt;"",$I1292="PVC",$N1292="MND",$Q1292="EMBOQUE"),0,IF(AND($H1292&lt;&gt;"",$I1292="PEAD",$N1292="VCA",$Q1292="PREDIAL"),0,0)))))),0)</f>
        <v>0.363</v>
      </c>
      <c r="AK1292" s="153" t="n">
        <f aca="false">IF(AA1292&lt;&gt;"",AA1292,0)</f>
        <v>5.6</v>
      </c>
      <c r="AL1292" s="153" t="n">
        <f aca="false">IF(AND($N1292="MND",$Q1292="EMBOQUE"),$M1292,IF(AND($N1292="VCA",$Q1292="LINEAR"),$M1292,IF(AND($N1292="VCA",$Q1292="PREDIAL"),0,0)))</f>
        <v>111.03</v>
      </c>
      <c r="AM1292" s="153" t="n">
        <f aca="false">IF(AND($N1292="MND",$Q1292="EMBOQUE"),$M1292,IF(AND($N1292="VCA",$Q1292="LINEAR"),$M1292,IF(AND($N1292="VCA",$Q1292="PREDIAL"),0,0)))</f>
        <v>111.03</v>
      </c>
      <c r="AN1292" s="153" t="n">
        <f aca="false">ROUND(IF(AND($N1292="VCA",$M1292&lt;&gt;"",$Q1292="LINEAR"),$M1292/100,IF(AND($N1292="MND",$M1292&gt;100,$Q1292="EMBOQUE"),$M1292/100,0)),0)</f>
        <v>1</v>
      </c>
      <c r="AO1292" s="153" t="n">
        <f aca="false">IF(AND($N1292="MND",$Q1292="EMBOQUE"),$AN1292*2*2,IF(AND($N1292="VCA",$Q1292="LINEAR"),$M1292*2,IF(AND($N1292="VCA",$Q1292="PREDIAL"),0,0)))</f>
        <v>222.06</v>
      </c>
      <c r="AP1292" s="153" t="n">
        <f aca="false">IFERROR($M1292*$AF1292*$AG1292,0)</f>
        <v>98.3670285</v>
      </c>
      <c r="AQ1292" s="153" t="n">
        <f aca="false">IFERROR(IF(AND($N1292="VCA",$AH1292&gt;0),$M1292*$AG1292*$AH1292,0),0)</f>
        <v>7.21695</v>
      </c>
      <c r="AR1292" s="153" t="n">
        <f aca="false">IFERROR(IF(AND($N1292="VCA",$AJ1292&gt;0),($M1292*$AG1292*$AJ1292)-$AI1292,0),0)</f>
        <v>25.8514207531725</v>
      </c>
      <c r="AS1292" s="153" t="n">
        <f aca="false">IFERROR(IF(AND($N1292="VCA",$AP1292&gt;0),$AP1292-$AI1292-$AQ1292-$AR1292,0),0)</f>
        <v>64.95255</v>
      </c>
      <c r="AT1292" s="153" t="n">
        <f aca="false">IFERROR(IF($N1292="VCA",INDEX(APOIO_REDES!$A:$W,MATCH($C1292&amp;$I1292&amp;$H1292&amp;$N1292&amp;$O1292,APOIO_REDES!$W:$W,0),MATCH(AT$5,APOIO_REDES!$5:$5,0)),0)*$AP1292,0)</f>
        <v>1.07026238523426</v>
      </c>
      <c r="AU1292" s="153" t="n">
        <f aca="false">IFERROR(IF($N1292="VCA",INDEX(APOIO_REDES!$A:$W,MATCH($C1292&amp;$I1292&amp;$H1292&amp;$N1292&amp;$O1292,APOIO_REDES!$W:$W,0),MATCH(AU$5,APOIO_REDES!$5:$5,0)),0)*$AP1292,0)</f>
        <v>0.854682554466618</v>
      </c>
      <c r="AV1292" s="153" t="n">
        <f aca="false">IFERROR(IF($N1292="VCA",INDEX(APOIO_REDES!$A:$W,MATCH($C1292&amp;$I1292&amp;$H1292&amp;$N1292&amp;$O1292,APOIO_REDES!$W:$W,0),MATCH(AV$5,APOIO_REDES!$5:$5,0)),0)*$AP1292,0)</f>
        <v>0.11828135601706</v>
      </c>
      <c r="AW1292" s="153" t="n">
        <f aca="false">IFERROR(IF($N1292="VCA",INDEX(APOIO_REDES!$A:$W,MATCH($C1292&amp;$I1292&amp;$H1292&amp;$N1292&amp;$O1292,APOIO_REDES!$W:$W,0),MATCH(AW$5,APOIO_REDES!$5:$5,0)),0)*$AP1292,0)</f>
        <v>67.5198905473296</v>
      </c>
      <c r="AX1292" s="153" t="n">
        <f aca="false">IFERROR(IF($N1292="VCA",INDEX(APOIO_REDES!$A:$W,MATCH($C1292&amp;$I1292&amp;$H1292&amp;$N1292&amp;$O1292,APOIO_REDES!$W:$W,0),MATCH(AX$5,APOIO_REDES!$5:$5,0)),0)*$AP1292,0)</f>
        <v>9.34456051770152</v>
      </c>
      <c r="AY1292" s="153" t="n">
        <f aca="false">IFERROR(IF($N1292="VCA",INDEX(APOIO_REDES!$A:$W,MATCH($C1292&amp;$I1292&amp;$H1292&amp;$N1292&amp;$O1292,APOIO_REDES!$W:$W,0),MATCH(AY$5,APOIO_REDES!$5:$5,0)),0)*$AP1292,0)</f>
        <v>17.0936406708213</v>
      </c>
      <c r="AZ1292" s="153" t="n">
        <f aca="false">IFERROR(IF($N1292="VCA",INDEX(APOIO_REDES!$A:$W,MATCH($C1292&amp;$I1292&amp;$H1292&amp;$N1292&amp;$O1292,APOIO_REDES!$W:$W,0),MATCH(AZ$5,APOIO_REDES!$5:$5,0)),0)*$AP1292,0)</f>
        <v>2.36571046842964</v>
      </c>
      <c r="BA1292" s="153" t="n">
        <f aca="false">IFERROR(IF(AND($N1292="VCA",$Q1292="LINEAR"),INDEX(APOIO_REDES!$A:$W,MATCH($C1292&amp;$I1292&amp;$H1292&amp;$N1292&amp;$O1292,APOIO_REDES!$W:$W,0),MATCH(BA$5,APOIO_REDES!$5:$5,0)),IF(AND($N1292="MND",$Q1292="EMBOQUE"),INDEX(APOIO_REDES!$A:$W,MATCH($C1292&amp;$I1292&amp;$H1292&amp;$N1292&amp;$O1292,APOIO_REDES!$W:$W,0),MATCH(BA$5,APOIO_REDES!$5:$5,0)),0))*$M1292/10,0)</f>
        <v>8.948737935683</v>
      </c>
      <c r="BB1292" s="153" t="n">
        <f aca="false">IFERROR(IF($N1292="VCA",INDEX(APOIO_REDES!$A:$W,MATCH($C1292&amp;$I1292&amp;$H1292&amp;$N1292&amp;$O1292,APOIO_REDES!$W:$W,0),MATCH(BB$5,APOIO_REDES!$5:$5,0)),0)*($AI1292+$AQ1292+$AR1292),0)</f>
        <v>33.0509190837392</v>
      </c>
      <c r="BC1292" s="153" t="n">
        <f aca="false">IFERROR(IF($N1292="VCA",INDEX(APOIO_REDES!$A:$W,MATCH($C1292&amp;$I1292&amp;$H1292&amp;$N1292&amp;$O1292,APOIO_REDES!$W:$W,0),MATCH(BC$5,APOIO_REDES!$5:$5,0)),0)*($AI1292+$AQ1292+$AR1292),0)</f>
        <v>0.363559416260793</v>
      </c>
      <c r="BD1292" s="153" t="n">
        <f aca="false">IF(AND($N1292="VCA",$AF1292&gt;=1.25,$AF1292&lt;1.5),$M1292*$AF1292*2,0)</f>
        <v>302.66778</v>
      </c>
      <c r="BE1292" s="153" t="n">
        <f aca="false">IF(AND($N1292="VCA",$AF1292&gt;=1.5,$AF1292&lt;3),$M1292*$AF1292*2,0)</f>
        <v>0</v>
      </c>
      <c r="BF1292" s="153" t="n">
        <f aca="false">IF(AND($N1292="VCA",$AF1292&gt;=3),$M1292*$AF1292*2,0)</f>
        <v>0</v>
      </c>
      <c r="BG1292" s="153" t="n">
        <f aca="false">($BB1292+$BC1292)*$AK1292</f>
        <v>187.1210796</v>
      </c>
      <c r="BH1292" s="153" t="n">
        <f aca="false">IF(AND($M1292&lt;&gt;"",$N1292="VCA",$Q1292="LINEAR"),($M1292*2)/100,IF(AND($M1292&lt;&gt;"",$N1292="MND",$Q1292="EMBOQUE"),($AN1292*2)/100,0))</f>
        <v>2.2206</v>
      </c>
      <c r="BI1292" s="153" t="n">
        <f aca="false">IF(AND($M1292&lt;&gt;"",$N1292="VCA",$Q1292="LINEAR"),$M1292,IF(AND($M1292&lt;&gt;"",$N1292="MND",$Q1292="EMBOQUE"),$AN1292*2,0))</f>
        <v>111.03</v>
      </c>
      <c r="BJ1292" s="153" t="n">
        <f aca="false">IF(AND($M1292&lt;&gt;"",$N1292="VCA",$Q1292="LINEAR"),($M1292*6.8)/100,IF(AND($M1292&lt;&gt;"",$N1292="MND",$Q1292="EMBOQUE"),($AN1292*2*6.8)/100,0))</f>
        <v>7.55004</v>
      </c>
      <c r="BK1292" s="153" t="n">
        <f aca="false">IF(AND($M1292&lt;&gt;"",$N1292="VCA",$Q1292="LINEAR"),($M1292*2.5)/50,IF(AND($M1292&lt;&gt;"",$N1292="MND",$Q1292="EMBOQUE"),($AN1292*2*2.5)/50,0))</f>
        <v>5.5515</v>
      </c>
      <c r="BL1292" s="157" t="str">
        <f aca="false">K1292&amp;J1292</f>
        <v>Zona11REDES</v>
      </c>
      <c r="BM1292" s="152" t="s">
        <v>6084</v>
      </c>
      <c r="BN1292" s="152" t="s">
        <v>1560</v>
      </c>
      <c r="BO1292" s="152" t="s">
        <v>5627</v>
      </c>
      <c r="BP1292" s="152" t="s">
        <v>6438</v>
      </c>
      <c r="BQ1292" s="152" t="s">
        <v>6429</v>
      </c>
      <c r="BR1292" s="152" t="s">
        <v>6439</v>
      </c>
      <c r="BS1292" s="152" t="n">
        <v>203596.198</v>
      </c>
      <c r="BT1292" s="152" t="n">
        <v>8235987.262</v>
      </c>
      <c r="BU1292" s="152" t="n">
        <v>203692.831</v>
      </c>
      <c r="BV1292" s="152" t="n">
        <v>8235982.864</v>
      </c>
      <c r="BW1292" s="152" t="n">
        <v>-15.9375523</v>
      </c>
      <c r="BX1292" s="152" t="n">
        <v>-47.7681362</v>
      </c>
      <c r="BY1292" s="152" t="s">
        <v>6438</v>
      </c>
    </row>
    <row r="1293" customFormat="false" ht="13.8" hidden="false" customHeight="false" outlineLevel="0" collapsed="false">
      <c r="A1293" s="149" t="n">
        <f aca="false">IF(C1293&lt;&gt;"",ROW(A1288),"")</f>
        <v>1288</v>
      </c>
      <c r="B1293" s="150" t="str">
        <f aca="false">HYPERLINK("https://www.google.com/maps/dir/-15.917302,-47.760003/-15.9387224,-47.7664617/data=!4m3!4m2!3e0!5i1")</f>
        <v>https://www.google.com/maps/dir/-15.917302,-47.760003/-15.9387224,-47.7664617/data=!4m3!4m2!3e0!5i1</v>
      </c>
      <c r="C1293" s="151" t="s">
        <v>117</v>
      </c>
      <c r="D1293" s="152" t="s">
        <v>112</v>
      </c>
      <c r="E1293" s="152" t="s">
        <v>113</v>
      </c>
      <c r="F1293" s="152" t="s">
        <v>117</v>
      </c>
      <c r="G1293" s="152" t="s">
        <v>782</v>
      </c>
      <c r="H1293" s="152" t="n">
        <v>63</v>
      </c>
      <c r="I1293" s="152" t="s">
        <v>115</v>
      </c>
      <c r="J1293" s="152" t="s">
        <v>6</v>
      </c>
      <c r="K1293" s="152" t="s">
        <v>6081</v>
      </c>
      <c r="L1293" s="152" t="s">
        <v>120</v>
      </c>
      <c r="M1293" s="153" t="n">
        <f aca="false">238.72</f>
        <v>238.72</v>
      </c>
      <c r="N1293" s="152" t="s">
        <v>1548</v>
      </c>
      <c r="O1293" s="152" t="s">
        <v>1549</v>
      </c>
      <c r="P1293" s="152" t="s">
        <v>1550</v>
      </c>
      <c r="Q1293" s="152" t="s">
        <v>1551</v>
      </c>
      <c r="R1293" s="154" t="s">
        <v>6440</v>
      </c>
      <c r="S1293" s="154" t="s">
        <v>1553</v>
      </c>
      <c r="T1293" s="155" t="s">
        <v>5625</v>
      </c>
      <c r="U1293" s="152" t="str">
        <f aca="false">RIGHT(T1293,7)</f>
        <v>023/037</v>
      </c>
      <c r="V1293" s="152" t="s">
        <v>1555</v>
      </c>
      <c r="W1293" s="156" t="n">
        <v>45882</v>
      </c>
      <c r="X1293" s="152" t="s">
        <v>1594</v>
      </c>
      <c r="Y1293" s="152" t="s">
        <v>1986</v>
      </c>
      <c r="Z1293" s="152" t="s">
        <v>1557</v>
      </c>
      <c r="AA1293" s="153" t="n">
        <v>5.3</v>
      </c>
      <c r="AB1293" s="151" t="s">
        <v>6441</v>
      </c>
      <c r="AC1293" s="151" t="s">
        <v>186</v>
      </c>
      <c r="AD1293" s="151" t="str">
        <f aca="false">CONCATENATE($C1293,$I1293,$H1293,$N1293,$J1293,$K1293)</f>
        <v>TUBO PEADPEAD63VCAREDESZona11</v>
      </c>
      <c r="AE1293" s="153" t="n">
        <f aca="false">IFERROR(INDEX(APOIO_REDES!$A:$W,MATCH($C1293&amp;$I1293&amp;$H1293&amp;$N1293&amp;$O1293,APOIO_REDES!$W:$W,0),MATCH(AE$5,APOIO_REDES!$5:$5,0)),0)</f>
        <v>1.2</v>
      </c>
      <c r="AF1293" s="153" t="n">
        <f aca="false">IFERROR(INDEX(APOIO_REDES!$A:$W,MATCH($C1293&amp;$I1293&amp;$H1293&amp;$N1293&amp;$O1293,APOIO_REDES!$W:$W,0),MATCH(AF$5,APOIO_REDES!$5:$5,0)),0)</f>
        <v>1.363</v>
      </c>
      <c r="AG1293" s="153" t="n">
        <f aca="false">IFERROR(INDEX(APOIO_REDES!$A:$W,MATCH($C1293&amp;$I1293&amp;$H1293&amp;$N1293&amp;$O1293,APOIO_REDES!$W:$W,0),MATCH(AG$5,APOIO_REDES!$5:$5,0)),0)</f>
        <v>0.65</v>
      </c>
      <c r="AH1293" s="153" t="n">
        <f aca="false">IFERROR(INDEX(APOIO_REDES!$A:$W,MATCH($C1293&amp;$I1293&amp;$H1293&amp;$N1293&amp;$O1293,APOIO_REDES!$W:$W,0),MATCH(AH$5,APOIO_REDES!$5:$5,0)),0)</f>
        <v>0.1</v>
      </c>
      <c r="AI1293" s="153" t="n">
        <f aca="false">IFERROR(IF($H1293&lt;&gt;"",(((($H1293/1000)/2)^2)*PI()*$M1293),0),0)</f>
        <v>0.744148800528402</v>
      </c>
      <c r="AJ1293" s="153" t="n">
        <f aca="false">IFERROR(IF(AND($H1293&lt;&gt;"",$I1293="FoFo",OR($N1293="MND",$N1293="VCA"),$Q1293="LINEAR"),0,IF(AND($H1293&lt;&gt;"",$I1293="PEAD",$N1293="VCA",$Q1293="LINEAR"),($H1293/1000)+0.3,IF(AND($H1293&lt;&gt;"",$I1293="PEAD",$N1293="MND",$Q1293="EMBOQUE"),0,IF(AND($H1293&lt;&gt;"",$I1293="PVC",$N1293="VCA",$Q1293="LINEAR"),($H1293/1000)+0.2,IF(AND($H1293&lt;&gt;"",$I1293="PVC",$N1293="MND",$Q1293="EMBOQUE"),0,IF(AND($H1293&lt;&gt;"",$I1293="PEAD",$N1293="VCA",$Q1293="PREDIAL"),0,0)))))),0)</f>
        <v>0.363</v>
      </c>
      <c r="AK1293" s="153" t="n">
        <f aca="false">IF(AA1293&lt;&gt;"",AA1293,0)</f>
        <v>5.3</v>
      </c>
      <c r="AL1293" s="153" t="n">
        <f aca="false">IF(AND($N1293="MND",$Q1293="EMBOQUE"),$M1293,IF(AND($N1293="VCA",$Q1293="LINEAR"),$M1293,IF(AND($N1293="VCA",$Q1293="PREDIAL"),0,0)))</f>
        <v>238.72</v>
      </c>
      <c r="AM1293" s="153" t="n">
        <f aca="false">IF(AND($N1293="MND",$Q1293="EMBOQUE"),$M1293,IF(AND($N1293="VCA",$Q1293="LINEAR"),$M1293,IF(AND($N1293="VCA",$Q1293="PREDIAL"),0,0)))</f>
        <v>238.72</v>
      </c>
      <c r="AN1293" s="153" t="n">
        <f aca="false">ROUND(IF(AND($N1293="VCA",$M1293&lt;&gt;"",$Q1293="LINEAR"),$M1293/100,IF(AND($N1293="MND",$M1293&gt;100,$Q1293="EMBOQUE"),$M1293/100,0)),0)</f>
        <v>2</v>
      </c>
      <c r="AO1293" s="153" t="n">
        <f aca="false">IF(AND($N1293="MND",$Q1293="EMBOQUE"),$AN1293*2*2,IF(AND($N1293="VCA",$Q1293="LINEAR"),$M1293*2,IF(AND($N1293="VCA",$Q1293="PREDIAL"),0,0)))</f>
        <v>477.44</v>
      </c>
      <c r="AP1293" s="153" t="n">
        <f aca="false">IFERROR($M1293*$AF1293*$AG1293,0)</f>
        <v>211.493984</v>
      </c>
      <c r="AQ1293" s="153" t="n">
        <f aca="false">IFERROR(IF(AND($N1293="VCA",$AH1293&gt;0),$M1293*$AG1293*$AH1293,0),0)</f>
        <v>15.5168</v>
      </c>
      <c r="AR1293" s="153" t="n">
        <f aca="false">IFERROR(IF(AND($N1293="VCA",$AJ1293&gt;0),($M1293*$AG1293*$AJ1293)-$AI1293,0),0)</f>
        <v>55.5818351994716</v>
      </c>
      <c r="AS1293" s="153" t="n">
        <f aca="false">IFERROR(IF(AND($N1293="VCA",$AP1293&gt;0),$AP1293-$AI1293-$AQ1293-$AR1293,0),0)</f>
        <v>139.6512</v>
      </c>
      <c r="AT1293" s="153" t="n">
        <f aca="false">IFERROR(IF($N1293="VCA",INDEX(APOIO_REDES!$A:$W,MATCH($C1293&amp;$I1293&amp;$H1293&amp;$N1293&amp;$O1293,APOIO_REDES!$W:$W,0),MATCH(AT$5,APOIO_REDES!$5:$5,0)),0)*$AP1293,0)</f>
        <v>2.3011171449439</v>
      </c>
      <c r="AU1293" s="153" t="n">
        <f aca="false">IFERROR(IF($N1293="VCA",INDEX(APOIO_REDES!$A:$W,MATCH($C1293&amp;$I1293&amp;$H1293&amp;$N1293&amp;$O1293,APOIO_REDES!$W:$W,0),MATCH(AU$5,APOIO_REDES!$5:$5,0)),0)*$AP1293,0)</f>
        <v>1.83760982979619</v>
      </c>
      <c r="AV1293" s="153" t="n">
        <f aca="false">IFERROR(IF($N1293="VCA",INDEX(APOIO_REDES!$A:$W,MATCH($C1293&amp;$I1293&amp;$H1293&amp;$N1293&amp;$O1293,APOIO_REDES!$W:$W,0),MATCH(AV$5,APOIO_REDES!$5:$5,0)),0)*$AP1293,0)</f>
        <v>0.254310774641021</v>
      </c>
      <c r="AW1293" s="153" t="n">
        <f aca="false">IFERROR(IF($N1293="VCA",INDEX(APOIO_REDES!$A:$W,MATCH($C1293&amp;$I1293&amp;$H1293&amp;$N1293&amp;$O1293,APOIO_REDES!$W:$W,0),MATCH(AW$5,APOIO_REDES!$5:$5,0)),0)*$AP1293,0)</f>
        <v>145.171109352954</v>
      </c>
      <c r="AX1293" s="153" t="n">
        <f aca="false">IFERROR(IF($N1293="VCA",INDEX(APOIO_REDES!$A:$W,MATCH($C1293&amp;$I1293&amp;$H1293&amp;$N1293&amp;$O1293,APOIO_REDES!$W:$W,0),MATCH(AX$5,APOIO_REDES!$5:$5,0)),0)*$AP1293,0)</f>
        <v>20.0912680067163</v>
      </c>
      <c r="AY1293" s="153" t="n">
        <f aca="false">IFERROR(IF($N1293="VCA",INDEX(APOIO_REDES!$A:$W,MATCH($C1293&amp;$I1293&amp;$H1293&amp;$N1293&amp;$O1293,APOIO_REDES!$W:$W,0),MATCH(AY$5,APOIO_REDES!$5:$5,0)),0)*$AP1293,0)</f>
        <v>36.7521741956089</v>
      </c>
      <c r="AZ1293" s="153" t="n">
        <f aca="false">IFERROR(IF($N1293="VCA",INDEX(APOIO_REDES!$A:$W,MATCH($C1293&amp;$I1293&amp;$H1293&amp;$N1293&amp;$O1293,APOIO_REDES!$W:$W,0),MATCH(AZ$5,APOIO_REDES!$5:$5,0)),0)*$AP1293,0)</f>
        <v>5.08639469533932</v>
      </c>
      <c r="BA1293" s="153" t="n">
        <f aca="false">IFERROR(IF(AND($N1293="VCA",$Q1293="LINEAR"),INDEX(APOIO_REDES!$A:$W,MATCH($C1293&amp;$I1293&amp;$H1293&amp;$N1293&amp;$O1293,APOIO_REDES!$W:$W,0),MATCH(BA$5,APOIO_REDES!$5:$5,0)),IF(AND($N1293="MND",$Q1293="EMBOQUE"),INDEX(APOIO_REDES!$A:$W,MATCH($C1293&amp;$I1293&amp;$H1293&amp;$N1293&amp;$O1293,APOIO_REDES!$W:$W,0),MATCH(BA$5,APOIO_REDES!$5:$5,0)),0))*$M1293/10,0)</f>
        <v>19.2402298478452</v>
      </c>
      <c r="BB1293" s="153" t="n">
        <f aca="false">IFERROR(IF($N1293="VCA",INDEX(APOIO_REDES!$A:$W,MATCH($C1293&amp;$I1293&amp;$H1293&amp;$N1293&amp;$O1293,APOIO_REDES!$W:$W,0),MATCH(BB$5,APOIO_REDES!$5:$5,0)),0)*($AI1293+$AQ1293+$AR1293),0)</f>
        <v>71.0611132457014</v>
      </c>
      <c r="BC1293" s="153" t="n">
        <f aca="false">IFERROR(IF($N1293="VCA",INDEX(APOIO_REDES!$A:$W,MATCH($C1293&amp;$I1293&amp;$H1293&amp;$N1293&amp;$O1293,APOIO_REDES!$W:$W,0),MATCH(BC$5,APOIO_REDES!$5:$5,0)),0)*($AI1293+$AQ1293+$AR1293),0)</f>
        <v>0.781670754298626</v>
      </c>
      <c r="BD1293" s="153" t="n">
        <f aca="false">IF(AND($N1293="VCA",$AF1293&gt;=1.25,$AF1293&lt;1.5),$M1293*$AF1293*2,0)</f>
        <v>650.75072</v>
      </c>
      <c r="BE1293" s="153" t="n">
        <f aca="false">IF(AND($N1293="VCA",$AF1293&gt;=1.5,$AF1293&lt;3),$M1293*$AF1293*2,0)</f>
        <v>0</v>
      </c>
      <c r="BF1293" s="153" t="n">
        <f aca="false">IF(AND($N1293="VCA",$AF1293&gt;=3),$M1293*$AF1293*2,0)</f>
        <v>0</v>
      </c>
      <c r="BG1293" s="153" t="n">
        <f aca="false">($BB1293+$BC1293)*$AK1293</f>
        <v>380.7667552</v>
      </c>
      <c r="BH1293" s="153" t="n">
        <f aca="false">IF(AND($M1293&lt;&gt;"",$N1293="VCA",$Q1293="LINEAR"),($M1293*2)/100,IF(AND($M1293&lt;&gt;"",$N1293="MND",$Q1293="EMBOQUE"),($AN1293*2)/100,0))</f>
        <v>4.7744</v>
      </c>
      <c r="BI1293" s="153" t="n">
        <f aca="false">IF(AND($M1293&lt;&gt;"",$N1293="VCA",$Q1293="LINEAR"),$M1293,IF(AND($M1293&lt;&gt;"",$N1293="MND",$Q1293="EMBOQUE"),$AN1293*2,0))</f>
        <v>238.72</v>
      </c>
      <c r="BJ1293" s="153" t="n">
        <f aca="false">IF(AND($M1293&lt;&gt;"",$N1293="VCA",$Q1293="LINEAR"),($M1293*6.8)/100,IF(AND($M1293&lt;&gt;"",$N1293="MND",$Q1293="EMBOQUE"),($AN1293*2*6.8)/100,0))</f>
        <v>16.23296</v>
      </c>
      <c r="BK1293" s="153" t="n">
        <f aca="false">IF(AND($M1293&lt;&gt;"",$N1293="VCA",$Q1293="LINEAR"),($M1293*2.5)/50,IF(AND($M1293&lt;&gt;"",$N1293="MND",$Q1293="EMBOQUE"),($AN1293*2*2.5)/50,0))</f>
        <v>11.936</v>
      </c>
      <c r="BL1293" s="157" t="str">
        <f aca="false">K1293&amp;J1293</f>
        <v>Zona11REDES</v>
      </c>
      <c r="BM1293" s="152" t="s">
        <v>6084</v>
      </c>
      <c r="BN1293" s="152" t="s">
        <v>1560</v>
      </c>
      <c r="BO1293" s="152" t="s">
        <v>5627</v>
      </c>
      <c r="BP1293" s="152" t="s">
        <v>6442</v>
      </c>
      <c r="BQ1293" s="152" t="s">
        <v>6402</v>
      </c>
      <c r="BR1293" s="152" t="s">
        <v>6443</v>
      </c>
      <c r="BS1293" s="152" t="n">
        <v>203823.422</v>
      </c>
      <c r="BT1293" s="152" t="n">
        <v>8235878.625</v>
      </c>
      <c r="BU1293" s="152" t="n">
        <v>203764.677</v>
      </c>
      <c r="BV1293" s="152" t="n">
        <v>8236109.667</v>
      </c>
      <c r="BW1293" s="152" t="n">
        <v>-15.9376833</v>
      </c>
      <c r="BX1293" s="152" t="n">
        <v>-47.7667731</v>
      </c>
      <c r="BY1293" s="152" t="s">
        <v>6442</v>
      </c>
    </row>
    <row r="1294" customFormat="false" ht="13.8" hidden="false" customHeight="false" outlineLevel="0" collapsed="false">
      <c r="A1294" s="149" t="n">
        <f aca="false">IF(C1294&lt;&gt;"",ROW(A1289),"")</f>
        <v>1289</v>
      </c>
      <c r="B1294" s="150" t="str">
        <f aca="false">HYPERLINK("https://www.google.com/maps/dir/-15.917302,-47.760003/-15.9377589,-47.7700430/data=!4m3!4m2!3e0!5i2")</f>
        <v>https://www.google.com/maps/dir/-15.917302,-47.760003/-15.9377589,-47.7700430/data=!4m3!4m2!3e0!5i2</v>
      </c>
      <c r="C1294" s="151" t="s">
        <v>117</v>
      </c>
      <c r="D1294" s="152" t="s">
        <v>112</v>
      </c>
      <c r="E1294" s="152" t="s">
        <v>113</v>
      </c>
      <c r="F1294" s="152" t="s">
        <v>117</v>
      </c>
      <c r="G1294" s="152" t="s">
        <v>782</v>
      </c>
      <c r="H1294" s="152" t="n">
        <v>63</v>
      </c>
      <c r="I1294" s="152" t="s">
        <v>115</v>
      </c>
      <c r="J1294" s="152" t="s">
        <v>6</v>
      </c>
      <c r="K1294" s="152" t="s">
        <v>6081</v>
      </c>
      <c r="L1294" s="152" t="s">
        <v>120</v>
      </c>
      <c r="M1294" s="153" t="n">
        <f aca="false">48.05</f>
        <v>48.05</v>
      </c>
      <c r="N1294" s="152" t="s">
        <v>1548</v>
      </c>
      <c r="O1294" s="152" t="s">
        <v>1549</v>
      </c>
      <c r="P1294" s="152" t="s">
        <v>1550</v>
      </c>
      <c r="Q1294" s="152" t="s">
        <v>1551</v>
      </c>
      <c r="R1294" s="154" t="s">
        <v>6444</v>
      </c>
      <c r="S1294" s="154" t="s">
        <v>1553</v>
      </c>
      <c r="T1294" s="155" t="s">
        <v>5625</v>
      </c>
      <c r="U1294" s="152" t="str">
        <f aca="false">RIGHT(T1294,7)</f>
        <v>023/037</v>
      </c>
      <c r="V1294" s="152" t="s">
        <v>1555</v>
      </c>
      <c r="W1294" s="156" t="n">
        <v>45882</v>
      </c>
      <c r="X1294" s="152" t="s">
        <v>1594</v>
      </c>
      <c r="Y1294" s="152"/>
      <c r="Z1294" s="152" t="s">
        <v>1557</v>
      </c>
      <c r="AA1294" s="153" t="n">
        <v>5.7</v>
      </c>
      <c r="AB1294" s="151" t="s">
        <v>6445</v>
      </c>
      <c r="AC1294" s="151" t="s">
        <v>186</v>
      </c>
      <c r="AD1294" s="151" t="str">
        <f aca="false">CONCATENATE($C1294,$I1294,$H1294,$N1294,$J1294,$K1294)</f>
        <v>TUBO PEADPEAD63VCAREDESZona11</v>
      </c>
      <c r="AE1294" s="153" t="n">
        <f aca="false">IFERROR(INDEX(APOIO_REDES!$A:$W,MATCH($C1294&amp;$I1294&amp;$H1294&amp;$N1294&amp;$O1294,APOIO_REDES!$W:$W,0),MATCH(AE$5,APOIO_REDES!$5:$5,0)),0)</f>
        <v>1.2</v>
      </c>
      <c r="AF1294" s="153" t="n">
        <f aca="false">IFERROR(INDEX(APOIO_REDES!$A:$W,MATCH($C1294&amp;$I1294&amp;$H1294&amp;$N1294&amp;$O1294,APOIO_REDES!$W:$W,0),MATCH(AF$5,APOIO_REDES!$5:$5,0)),0)</f>
        <v>1.363</v>
      </c>
      <c r="AG1294" s="153" t="n">
        <f aca="false">IFERROR(INDEX(APOIO_REDES!$A:$W,MATCH($C1294&amp;$I1294&amp;$H1294&amp;$N1294&amp;$O1294,APOIO_REDES!$W:$W,0),MATCH(AG$5,APOIO_REDES!$5:$5,0)),0)</f>
        <v>0.65</v>
      </c>
      <c r="AH1294" s="153" t="n">
        <f aca="false">IFERROR(INDEX(APOIO_REDES!$A:$W,MATCH($C1294&amp;$I1294&amp;$H1294&amp;$N1294&amp;$O1294,APOIO_REDES!$W:$W,0),MATCH(AH$5,APOIO_REDES!$5:$5,0)),0)</f>
        <v>0.1</v>
      </c>
      <c r="AI1294" s="153" t="n">
        <f aca="false">IFERROR(IF($H1294&lt;&gt;"",(((($H1294/1000)/2)^2)*PI()*$M1294),0),0)</f>
        <v>0.149783637170701</v>
      </c>
      <c r="AJ1294" s="153" t="n">
        <f aca="false">IFERROR(IF(AND($H1294&lt;&gt;"",$I1294="FoFo",OR($N1294="MND",$N1294="VCA"),$Q1294="LINEAR"),0,IF(AND($H1294&lt;&gt;"",$I1294="PEAD",$N1294="VCA",$Q1294="LINEAR"),($H1294/1000)+0.3,IF(AND($H1294&lt;&gt;"",$I1294="PEAD",$N1294="MND",$Q1294="EMBOQUE"),0,IF(AND($H1294&lt;&gt;"",$I1294="PVC",$N1294="VCA",$Q1294="LINEAR"),($H1294/1000)+0.2,IF(AND($H1294&lt;&gt;"",$I1294="PVC",$N1294="MND",$Q1294="EMBOQUE"),0,IF(AND($H1294&lt;&gt;"",$I1294="PEAD",$N1294="VCA",$Q1294="PREDIAL"),0,0)))))),0)</f>
        <v>0.363</v>
      </c>
      <c r="AK1294" s="153" t="n">
        <f aca="false">IF(AA1294&lt;&gt;"",AA1294,0)</f>
        <v>5.7</v>
      </c>
      <c r="AL1294" s="153" t="n">
        <f aca="false">IF(AND($N1294="MND",$Q1294="EMBOQUE"),$M1294,IF(AND($N1294="VCA",$Q1294="LINEAR"),$M1294,IF(AND($N1294="VCA",$Q1294="PREDIAL"),0,0)))</f>
        <v>48.05</v>
      </c>
      <c r="AM1294" s="153" t="n">
        <f aca="false">IF(AND($N1294="MND",$Q1294="EMBOQUE"),$M1294,IF(AND($N1294="VCA",$Q1294="LINEAR"),$M1294,IF(AND($N1294="VCA",$Q1294="PREDIAL"),0,0)))</f>
        <v>48.05</v>
      </c>
      <c r="AN1294" s="153" t="n">
        <f aca="false">ROUND(IF(AND($N1294="VCA",$M1294&lt;&gt;"",$Q1294="LINEAR"),$M1294/100,IF(AND($N1294="MND",$M1294&gt;100,$Q1294="EMBOQUE"),$M1294/100,0)),0)</f>
        <v>0</v>
      </c>
      <c r="AO1294" s="153" t="n">
        <f aca="false">IF(AND($N1294="MND",$Q1294="EMBOQUE"),$AN1294*2*2,IF(AND($N1294="VCA",$Q1294="LINEAR"),$M1294*2,IF(AND($N1294="VCA",$Q1294="PREDIAL"),0,0)))</f>
        <v>96.1</v>
      </c>
      <c r="AP1294" s="153" t="n">
        <f aca="false">IFERROR($M1294*$AF1294*$AG1294,0)</f>
        <v>42.5698975</v>
      </c>
      <c r="AQ1294" s="153" t="n">
        <f aca="false">IFERROR(IF(AND($N1294="VCA",$AH1294&gt;0),$M1294*$AG1294*$AH1294,0),0)</f>
        <v>3.12325</v>
      </c>
      <c r="AR1294" s="153" t="n">
        <f aca="false">IFERROR(IF(AND($N1294="VCA",$AJ1294&gt;0),($M1294*$AG1294*$AJ1294)-$AI1294,0),0)</f>
        <v>11.1876138628293</v>
      </c>
      <c r="AS1294" s="153" t="n">
        <f aca="false">IFERROR(IF(AND($N1294="VCA",$AP1294&gt;0),$AP1294-$AI1294-$AQ1294-$AR1294,0),0)</f>
        <v>28.10925</v>
      </c>
      <c r="AT1294" s="153" t="n">
        <f aca="false">IFERROR(IF($N1294="VCA",INDEX(APOIO_REDES!$A:$W,MATCH($C1294&amp;$I1294&amp;$H1294&amp;$N1294&amp;$O1294,APOIO_REDES!$W:$W,0),MATCH(AT$5,APOIO_REDES!$5:$5,0)),0)*$AP1294,0)</f>
        <v>0.463173084846492</v>
      </c>
      <c r="AU1294" s="153" t="n">
        <f aca="false">IFERROR(IF($N1294="VCA",INDEX(APOIO_REDES!$A:$W,MATCH($C1294&amp;$I1294&amp;$H1294&amp;$N1294&amp;$O1294,APOIO_REDES!$W:$W,0),MATCH(AU$5,APOIO_REDES!$5:$5,0)),0)*$AP1294,0)</f>
        <v>0.369877481240394</v>
      </c>
      <c r="AV1294" s="153" t="n">
        <f aca="false">IFERROR(IF($N1294="VCA",INDEX(APOIO_REDES!$A:$W,MATCH($C1294&amp;$I1294&amp;$H1294&amp;$N1294&amp;$O1294,APOIO_REDES!$W:$W,0),MATCH(AV$5,APOIO_REDES!$5:$5,0)),0)*$AP1294,0)</f>
        <v>0.0511881397515962</v>
      </c>
      <c r="AW1294" s="153" t="n">
        <f aca="false">IFERROR(IF($N1294="VCA",INDEX(APOIO_REDES!$A:$W,MATCH($C1294&amp;$I1294&amp;$H1294&amp;$N1294&amp;$O1294,APOIO_REDES!$W:$W,0),MATCH(AW$5,APOIO_REDES!$5:$5,0)),0)*$AP1294,0)</f>
        <v>29.2203074916616</v>
      </c>
      <c r="AX1294" s="153" t="n">
        <f aca="false">IFERROR(IF($N1294="VCA",INDEX(APOIO_REDES!$A:$W,MATCH($C1294&amp;$I1294&amp;$H1294&amp;$N1294&amp;$O1294,APOIO_REDES!$W:$W,0),MATCH(AX$5,APOIO_REDES!$5:$5,0)),0)*$AP1294,0)</f>
        <v>4.04400732122452</v>
      </c>
      <c r="AY1294" s="153" t="n">
        <f aca="false">IFERROR(IF($N1294="VCA",INDEX(APOIO_REDES!$A:$W,MATCH($C1294&amp;$I1294&amp;$H1294&amp;$N1294&amp;$O1294,APOIO_REDES!$W:$W,0),MATCH(AY$5,APOIO_REDES!$5:$5,0)),0)*$AP1294,0)</f>
        <v>7.39754511603137</v>
      </c>
      <c r="AZ1294" s="153" t="n">
        <f aca="false">IFERROR(IF($N1294="VCA",INDEX(APOIO_REDES!$A:$W,MATCH($C1294&amp;$I1294&amp;$H1294&amp;$N1294&amp;$O1294,APOIO_REDES!$W:$W,0),MATCH(AZ$5,APOIO_REDES!$5:$5,0)),0)*$AP1294,0)</f>
        <v>1.02379886524403</v>
      </c>
      <c r="BA1294" s="153" t="n">
        <f aca="false">IFERROR(IF(AND($N1294="VCA",$Q1294="LINEAR"),INDEX(APOIO_REDES!$A:$W,MATCH($C1294&amp;$I1294&amp;$H1294&amp;$N1294&amp;$O1294,APOIO_REDES!$W:$W,0),MATCH(BA$5,APOIO_REDES!$5:$5,0)),IF(AND($N1294="MND",$Q1294="EMBOQUE"),INDEX(APOIO_REDES!$A:$W,MATCH($C1294&amp;$I1294&amp;$H1294&amp;$N1294&amp;$O1294,APOIO_REDES!$W:$W,0),MATCH(BA$5,APOIO_REDES!$5:$5,0)),0))*$M1294/10,0)</f>
        <v>3.87270879770844</v>
      </c>
      <c r="BB1294" s="153" t="n">
        <f aca="false">IFERROR(IF($N1294="VCA",INDEX(APOIO_REDES!$A:$W,MATCH($C1294&amp;$I1294&amp;$H1294&amp;$N1294&amp;$O1294,APOIO_REDES!$W:$W,0),MATCH(BB$5,APOIO_REDES!$5:$5,0)),0)*($AI1294+$AQ1294+$AR1294),0)</f>
        <v>14.3033113750668</v>
      </c>
      <c r="BC1294" s="153" t="n">
        <f aca="false">IFERROR(IF($N1294="VCA",INDEX(APOIO_REDES!$A:$W,MATCH($C1294&amp;$I1294&amp;$H1294&amp;$N1294&amp;$O1294,APOIO_REDES!$W:$W,0),MATCH(BC$5,APOIO_REDES!$5:$5,0)),0)*($AI1294+$AQ1294+$AR1294),0)</f>
        <v>0.157336124933181</v>
      </c>
      <c r="BD1294" s="153" t="n">
        <f aca="false">IF(AND($N1294="VCA",$AF1294&gt;=1.25,$AF1294&lt;1.5),$M1294*$AF1294*2,0)</f>
        <v>130.9843</v>
      </c>
      <c r="BE1294" s="153" t="n">
        <f aca="false">IF(AND($N1294="VCA",$AF1294&gt;=1.5,$AF1294&lt;3),$M1294*$AF1294*2,0)</f>
        <v>0</v>
      </c>
      <c r="BF1294" s="153" t="n">
        <f aca="false">IF(AND($N1294="VCA",$AF1294&gt;=3),$M1294*$AF1294*2,0)</f>
        <v>0</v>
      </c>
      <c r="BG1294" s="153" t="n">
        <f aca="false">($BB1294+$BC1294)*$AK1294</f>
        <v>82.42569075</v>
      </c>
      <c r="BH1294" s="153" t="n">
        <f aca="false">IF(AND($M1294&lt;&gt;"",$N1294="VCA",$Q1294="LINEAR"),($M1294*2)/100,IF(AND($M1294&lt;&gt;"",$N1294="MND",$Q1294="EMBOQUE"),($AN1294*2)/100,0))</f>
        <v>0.961</v>
      </c>
      <c r="BI1294" s="153" t="n">
        <f aca="false">IF(AND($M1294&lt;&gt;"",$N1294="VCA",$Q1294="LINEAR"),$M1294,IF(AND($M1294&lt;&gt;"",$N1294="MND",$Q1294="EMBOQUE"),$AN1294*2,0))</f>
        <v>48.05</v>
      </c>
      <c r="BJ1294" s="153" t="n">
        <f aca="false">IF(AND($M1294&lt;&gt;"",$N1294="VCA",$Q1294="LINEAR"),($M1294*6.8)/100,IF(AND($M1294&lt;&gt;"",$N1294="MND",$Q1294="EMBOQUE"),($AN1294*2*6.8)/100,0))</f>
        <v>3.2674</v>
      </c>
      <c r="BK1294" s="153" t="n">
        <f aca="false">IF(AND($M1294&lt;&gt;"",$N1294="VCA",$Q1294="LINEAR"),($M1294*2.5)/50,IF(AND($M1294&lt;&gt;"",$N1294="MND",$Q1294="EMBOQUE"),($AN1294*2*2.5)/50,0))</f>
        <v>2.4025</v>
      </c>
      <c r="BL1294" s="157" t="str">
        <f aca="false">K1294&amp;J1294</f>
        <v>Zona11REDES</v>
      </c>
      <c r="BM1294" s="152" t="s">
        <v>6084</v>
      </c>
      <c r="BN1294" s="152" t="s">
        <v>1560</v>
      </c>
      <c r="BO1294" s="152" t="s">
        <v>5627</v>
      </c>
      <c r="BP1294" s="152" t="s">
        <v>6422</v>
      </c>
      <c r="BQ1294" s="152" t="s">
        <v>6419</v>
      </c>
      <c r="BR1294" s="152" t="s">
        <v>6446</v>
      </c>
      <c r="BS1294" s="152" t="n">
        <v>203438.389</v>
      </c>
      <c r="BT1294" s="152" t="n">
        <v>8235979.748</v>
      </c>
      <c r="BU1294" s="152" t="n">
        <v>203485.246</v>
      </c>
      <c r="BV1294" s="152" t="n">
        <v>8235990.387</v>
      </c>
      <c r="BW1294" s="152" t="n">
        <v>-15.9377146</v>
      </c>
      <c r="BX1294" s="152" t="n">
        <v>-47.7698235</v>
      </c>
      <c r="BY1294" s="152" t="s">
        <v>6422</v>
      </c>
    </row>
    <row r="1295" customFormat="false" ht="13.8" hidden="false" customHeight="false" outlineLevel="0" collapsed="false">
      <c r="A1295" s="149" t="n">
        <f aca="false">IF(C1295&lt;&gt;"",ROW(A1290),"")</f>
        <v>1290</v>
      </c>
      <c r="B1295" s="150" t="str">
        <f aca="false">HYPERLINK("https://www.google.com/maps/dir/-15.917302,-47.760003/-15.9378691,-47.7705010/data=!4m3!4m2!3e0!5i2")</f>
        <v>https://www.google.com/maps/dir/-15.917302,-47.760003/-15.9378691,-47.7705010/data=!4m3!4m2!3e0!5i2</v>
      </c>
      <c r="C1295" s="151" t="s">
        <v>117</v>
      </c>
      <c r="D1295" s="152" t="s">
        <v>112</v>
      </c>
      <c r="E1295" s="152" t="s">
        <v>113</v>
      </c>
      <c r="F1295" s="152" t="s">
        <v>117</v>
      </c>
      <c r="G1295" s="152" t="s">
        <v>782</v>
      </c>
      <c r="H1295" s="152" t="n">
        <v>63</v>
      </c>
      <c r="I1295" s="152" t="s">
        <v>115</v>
      </c>
      <c r="J1295" s="152" t="s">
        <v>6</v>
      </c>
      <c r="K1295" s="152" t="s">
        <v>6081</v>
      </c>
      <c r="L1295" s="152" t="s">
        <v>120</v>
      </c>
      <c r="M1295" s="153" t="n">
        <f aca="false">50.54</f>
        <v>50.54</v>
      </c>
      <c r="N1295" s="152" t="s">
        <v>1548</v>
      </c>
      <c r="O1295" s="152" t="s">
        <v>1549</v>
      </c>
      <c r="P1295" s="152" t="s">
        <v>1550</v>
      </c>
      <c r="Q1295" s="152" t="s">
        <v>1551</v>
      </c>
      <c r="R1295" s="154" t="s">
        <v>6447</v>
      </c>
      <c r="S1295" s="154" t="s">
        <v>1553</v>
      </c>
      <c r="T1295" s="155" t="s">
        <v>5625</v>
      </c>
      <c r="U1295" s="152" t="str">
        <f aca="false">RIGHT(T1295,7)</f>
        <v>023/037</v>
      </c>
      <c r="V1295" s="152" t="s">
        <v>1555</v>
      </c>
      <c r="W1295" s="156" t="n">
        <v>45882</v>
      </c>
      <c r="X1295" s="152" t="s">
        <v>1594</v>
      </c>
      <c r="Y1295" s="152"/>
      <c r="Z1295" s="152" t="s">
        <v>1557</v>
      </c>
      <c r="AA1295" s="153" t="n">
        <v>5.8</v>
      </c>
      <c r="AB1295" s="151" t="s">
        <v>6448</v>
      </c>
      <c r="AC1295" s="151" t="s">
        <v>186</v>
      </c>
      <c r="AD1295" s="151" t="str">
        <f aca="false">CONCATENATE($C1295,$I1295,$H1295,$N1295,$J1295,$K1295)</f>
        <v>TUBO PEADPEAD63VCAREDESZona11</v>
      </c>
      <c r="AE1295" s="153" t="n">
        <f aca="false">IFERROR(INDEX(APOIO_REDES!$A:$W,MATCH($C1295&amp;$I1295&amp;$H1295&amp;$N1295&amp;$O1295,APOIO_REDES!$W:$W,0),MATCH(AE$5,APOIO_REDES!$5:$5,0)),0)</f>
        <v>1.2</v>
      </c>
      <c r="AF1295" s="153" t="n">
        <f aca="false">IFERROR(INDEX(APOIO_REDES!$A:$W,MATCH($C1295&amp;$I1295&amp;$H1295&amp;$N1295&amp;$O1295,APOIO_REDES!$W:$W,0),MATCH(AF$5,APOIO_REDES!$5:$5,0)),0)</f>
        <v>1.363</v>
      </c>
      <c r="AG1295" s="153" t="n">
        <f aca="false">IFERROR(INDEX(APOIO_REDES!$A:$W,MATCH($C1295&amp;$I1295&amp;$H1295&amp;$N1295&amp;$O1295,APOIO_REDES!$W:$W,0),MATCH(AG$5,APOIO_REDES!$5:$5,0)),0)</f>
        <v>0.65</v>
      </c>
      <c r="AH1295" s="153" t="n">
        <f aca="false">IFERROR(INDEX(APOIO_REDES!$A:$W,MATCH($C1295&amp;$I1295&amp;$H1295&amp;$N1295&amp;$O1295,APOIO_REDES!$W:$W,0),MATCH(AH$5,APOIO_REDES!$5:$5,0)),0)</f>
        <v>0.1</v>
      </c>
      <c r="AI1295" s="153" t="n">
        <f aca="false">IFERROR(IF($H1295&lt;&gt;"",(((($H1295/1000)/2)^2)*PI()*$M1295),0),0)</f>
        <v>0.157545577993907</v>
      </c>
      <c r="AJ1295" s="153" t="n">
        <f aca="false">IFERROR(IF(AND($H1295&lt;&gt;"",$I1295="FoFo",OR($N1295="MND",$N1295="VCA"),$Q1295="LINEAR"),0,IF(AND($H1295&lt;&gt;"",$I1295="PEAD",$N1295="VCA",$Q1295="LINEAR"),($H1295/1000)+0.3,IF(AND($H1295&lt;&gt;"",$I1295="PEAD",$N1295="MND",$Q1295="EMBOQUE"),0,IF(AND($H1295&lt;&gt;"",$I1295="PVC",$N1295="VCA",$Q1295="LINEAR"),($H1295/1000)+0.2,IF(AND($H1295&lt;&gt;"",$I1295="PVC",$N1295="MND",$Q1295="EMBOQUE"),0,IF(AND($H1295&lt;&gt;"",$I1295="PEAD",$N1295="VCA",$Q1295="PREDIAL"),0,0)))))),0)</f>
        <v>0.363</v>
      </c>
      <c r="AK1295" s="153" t="n">
        <f aca="false">IF(AA1295&lt;&gt;"",AA1295,0)</f>
        <v>5.8</v>
      </c>
      <c r="AL1295" s="153" t="n">
        <f aca="false">IF(AND($N1295="MND",$Q1295="EMBOQUE"),$M1295,IF(AND($N1295="VCA",$Q1295="LINEAR"),$M1295,IF(AND($N1295="VCA",$Q1295="PREDIAL"),0,0)))</f>
        <v>50.54</v>
      </c>
      <c r="AM1295" s="153" t="n">
        <f aca="false">IF(AND($N1295="MND",$Q1295="EMBOQUE"),$M1295,IF(AND($N1295="VCA",$Q1295="LINEAR"),$M1295,IF(AND($N1295="VCA",$Q1295="PREDIAL"),0,0)))</f>
        <v>50.54</v>
      </c>
      <c r="AN1295" s="153" t="n">
        <f aca="false">ROUND(IF(AND($N1295="VCA",$M1295&lt;&gt;"",$Q1295="LINEAR"),$M1295/100,IF(AND($N1295="MND",$M1295&gt;100,$Q1295="EMBOQUE"),$M1295/100,0)),0)</f>
        <v>1</v>
      </c>
      <c r="AO1295" s="153" t="n">
        <f aca="false">IF(AND($N1295="MND",$Q1295="EMBOQUE"),$AN1295*2*2,IF(AND($N1295="VCA",$Q1295="LINEAR"),$M1295*2,IF(AND($N1295="VCA",$Q1295="PREDIAL"),0,0)))</f>
        <v>101.08</v>
      </c>
      <c r="AP1295" s="153" t="n">
        <f aca="false">IFERROR($M1295*$AF1295*$AG1295,0)</f>
        <v>44.775913</v>
      </c>
      <c r="AQ1295" s="153" t="n">
        <f aca="false">IFERROR(IF(AND($N1295="VCA",$AH1295&gt;0),$M1295*$AG1295*$AH1295,0),0)</f>
        <v>3.2851</v>
      </c>
      <c r="AR1295" s="153" t="n">
        <f aca="false">IFERROR(IF(AND($N1295="VCA",$AJ1295&gt;0),($M1295*$AG1295*$AJ1295)-$AI1295,0),0)</f>
        <v>11.7673674220061</v>
      </c>
      <c r="AS1295" s="153" t="n">
        <f aca="false">IFERROR(IF(AND($N1295="VCA",$AP1295&gt;0),$AP1295-$AI1295-$AQ1295-$AR1295,0),0)</f>
        <v>29.5659</v>
      </c>
      <c r="AT1295" s="153" t="n">
        <f aca="false">IFERROR(IF($N1295="VCA",INDEX(APOIO_REDES!$A:$W,MATCH($C1295&amp;$I1295&amp;$H1295&amp;$N1295&amp;$O1295,APOIO_REDES!$W:$W,0),MATCH(AT$5,APOIO_REDES!$5:$5,0)),0)*$AP1295,0)</f>
        <v>0.48717518643375</v>
      </c>
      <c r="AU1295" s="153" t="n">
        <f aca="false">IFERROR(IF($N1295="VCA",INDEX(APOIO_REDES!$A:$W,MATCH($C1295&amp;$I1295&amp;$H1295&amp;$N1295&amp;$O1295,APOIO_REDES!$W:$W,0),MATCH(AU$5,APOIO_REDES!$5:$5,0)),0)*$AP1295,0)</f>
        <v>0.389044909508627</v>
      </c>
      <c r="AV1295" s="153" t="n">
        <f aca="false">IFERROR(IF($N1295="VCA",INDEX(APOIO_REDES!$A:$W,MATCH($C1295&amp;$I1295&amp;$H1295&amp;$N1295&amp;$O1295,APOIO_REDES!$W:$W,0),MATCH(AV$5,APOIO_REDES!$5:$5,0)),0)*$AP1295,0)</f>
        <v>0.0538407613537081</v>
      </c>
      <c r="AW1295" s="153" t="n">
        <f aca="false">IFERROR(IF($N1295="VCA",INDEX(APOIO_REDES!$A:$W,MATCH($C1295&amp;$I1295&amp;$H1295&amp;$N1295&amp;$O1295,APOIO_REDES!$W:$W,0),MATCH(AW$5,APOIO_REDES!$5:$5,0)),0)*$AP1295,0)</f>
        <v>30.7345336239038</v>
      </c>
      <c r="AX1295" s="153" t="n">
        <f aca="false">IFERROR(IF($N1295="VCA",INDEX(APOIO_REDES!$A:$W,MATCH($C1295&amp;$I1295&amp;$H1295&amp;$N1295&amp;$O1295,APOIO_REDES!$W:$W,0),MATCH(AX$5,APOIO_REDES!$5:$5,0)),0)*$AP1295,0)</f>
        <v>4.25357190457205</v>
      </c>
      <c r="AY1295" s="153" t="n">
        <f aca="false">IFERROR(IF($N1295="VCA",INDEX(APOIO_REDES!$A:$W,MATCH($C1295&amp;$I1295&amp;$H1295&amp;$N1295&amp;$O1295,APOIO_REDES!$W:$W,0),MATCH(AY$5,APOIO_REDES!$5:$5,0)),0)*$AP1295,0)</f>
        <v>7.78089344774663</v>
      </c>
      <c r="AZ1295" s="153" t="n">
        <f aca="false">IFERROR(IF($N1295="VCA",INDEX(APOIO_REDES!$A:$W,MATCH($C1295&amp;$I1295&amp;$H1295&amp;$N1295&amp;$O1295,APOIO_REDES!$W:$W,0),MATCH(AZ$5,APOIO_REDES!$5:$5,0)),0)*$AP1295,0)</f>
        <v>1.07685316648144</v>
      </c>
      <c r="BA1295" s="153" t="n">
        <f aca="false">IFERROR(IF(AND($N1295="VCA",$Q1295="LINEAR"),INDEX(APOIO_REDES!$A:$W,MATCH($C1295&amp;$I1295&amp;$H1295&amp;$N1295&amp;$O1295,APOIO_REDES!$W:$W,0),MATCH(BA$5,APOIO_REDES!$5:$5,0)),IF(AND($N1295="MND",$Q1295="EMBOQUE"),INDEX(APOIO_REDES!$A:$W,MATCH($C1295&amp;$I1295&amp;$H1295&amp;$N1295&amp;$O1295,APOIO_REDES!$W:$W,0),MATCH(BA$5,APOIO_REDES!$5:$5,0)),0))*$M1295/10,0)</f>
        <v>4.0733965168821</v>
      </c>
      <c r="BB1295" s="153" t="n">
        <f aca="false">IFERROR(IF($N1295="VCA",INDEX(APOIO_REDES!$A:$W,MATCH($C1295&amp;$I1295&amp;$H1295&amp;$N1295&amp;$O1295,APOIO_REDES!$W:$W,0),MATCH(BB$5,APOIO_REDES!$5:$5,0)),0)*($AI1295+$AQ1295+$AR1295),0)</f>
        <v>15.044523556626</v>
      </c>
      <c r="BC1295" s="153" t="n">
        <f aca="false">IFERROR(IF($N1295="VCA",INDEX(APOIO_REDES!$A:$W,MATCH($C1295&amp;$I1295&amp;$H1295&amp;$N1295&amp;$O1295,APOIO_REDES!$W:$W,0),MATCH(BC$5,APOIO_REDES!$5:$5,0)),0)*($AI1295+$AQ1295+$AR1295),0)</f>
        <v>0.165489443374047</v>
      </c>
      <c r="BD1295" s="153" t="n">
        <f aca="false">IF(AND($N1295="VCA",$AF1295&gt;=1.25,$AF1295&lt;1.5),$M1295*$AF1295*2,0)</f>
        <v>137.77204</v>
      </c>
      <c r="BE1295" s="153" t="n">
        <f aca="false">IF(AND($N1295="VCA",$AF1295&gt;=1.5,$AF1295&lt;3),$M1295*$AF1295*2,0)</f>
        <v>0</v>
      </c>
      <c r="BF1295" s="153" t="n">
        <f aca="false">IF(AND($N1295="VCA",$AF1295&gt;=3),$M1295*$AF1295*2,0)</f>
        <v>0</v>
      </c>
      <c r="BG1295" s="153" t="n">
        <f aca="false">($BB1295+$BC1295)*$AK1295</f>
        <v>88.2180754</v>
      </c>
      <c r="BH1295" s="153" t="n">
        <f aca="false">IF(AND($M1295&lt;&gt;"",$N1295="VCA",$Q1295="LINEAR"),($M1295*2)/100,IF(AND($M1295&lt;&gt;"",$N1295="MND",$Q1295="EMBOQUE"),($AN1295*2)/100,0))</f>
        <v>1.0108</v>
      </c>
      <c r="BI1295" s="153" t="n">
        <f aca="false">IF(AND($M1295&lt;&gt;"",$N1295="VCA",$Q1295="LINEAR"),$M1295,IF(AND($M1295&lt;&gt;"",$N1295="MND",$Q1295="EMBOQUE"),$AN1295*2,0))</f>
        <v>50.54</v>
      </c>
      <c r="BJ1295" s="153" t="n">
        <f aca="false">IF(AND($M1295&lt;&gt;"",$N1295="VCA",$Q1295="LINEAR"),($M1295*6.8)/100,IF(AND($M1295&lt;&gt;"",$N1295="MND",$Q1295="EMBOQUE"),($AN1295*2*6.8)/100,0))</f>
        <v>3.43672</v>
      </c>
      <c r="BK1295" s="153" t="n">
        <f aca="false">IF(AND($M1295&lt;&gt;"",$N1295="VCA",$Q1295="LINEAR"),($M1295*2.5)/50,IF(AND($M1295&lt;&gt;"",$N1295="MND",$Q1295="EMBOQUE"),($AN1295*2*2.5)/50,0))</f>
        <v>2.527</v>
      </c>
      <c r="BL1295" s="157" t="str">
        <f aca="false">K1295&amp;J1295</f>
        <v>Zona11REDES</v>
      </c>
      <c r="BM1295" s="152" t="s">
        <v>6084</v>
      </c>
      <c r="BN1295" s="152" t="s">
        <v>1560</v>
      </c>
      <c r="BO1295" s="152" t="s">
        <v>5627</v>
      </c>
      <c r="BP1295" s="152" t="s">
        <v>6433</v>
      </c>
      <c r="BQ1295" s="152" t="s">
        <v>6422</v>
      </c>
      <c r="BR1295" s="152" t="s">
        <v>6449</v>
      </c>
      <c r="BS1295" s="152" t="n">
        <v>203389.392</v>
      </c>
      <c r="BT1295" s="152" t="n">
        <v>8235967.367</v>
      </c>
      <c r="BU1295" s="152" t="n">
        <v>203438.389</v>
      </c>
      <c r="BV1295" s="152" t="n">
        <v>8235979.748</v>
      </c>
      <c r="BW1295" s="152" t="n">
        <v>-15.9378118</v>
      </c>
      <c r="BX1295" s="152" t="n">
        <v>-47.7702724</v>
      </c>
      <c r="BY1295" s="152" t="s">
        <v>6433</v>
      </c>
    </row>
    <row r="1296" customFormat="false" ht="13.8" hidden="false" customHeight="false" outlineLevel="0" collapsed="false">
      <c r="A1296" s="149" t="n">
        <f aca="false">IF(C1296&lt;&gt;"",ROW(A1291),"")</f>
        <v>1291</v>
      </c>
      <c r="B1296" s="150" t="str">
        <f aca="false">HYPERLINK("https://www.google.com/maps/dir/-15.917302,-47.760003/-15.9379056,-47.7670735/data=!4m3!4m2!3e0!5i0")</f>
        <v>https://www.google.com/maps/dir/-15.917302,-47.760003/-15.9379056,-47.7670735/data=!4m3!4m2!3e0!5i0</v>
      </c>
      <c r="C1296" s="151" t="s">
        <v>117</v>
      </c>
      <c r="D1296" s="152" t="s">
        <v>112</v>
      </c>
      <c r="E1296" s="152" t="s">
        <v>113</v>
      </c>
      <c r="F1296" s="152" t="s">
        <v>117</v>
      </c>
      <c r="G1296" s="152" t="s">
        <v>782</v>
      </c>
      <c r="H1296" s="152" t="n">
        <v>63</v>
      </c>
      <c r="I1296" s="152" t="s">
        <v>115</v>
      </c>
      <c r="J1296" s="152" t="s">
        <v>6</v>
      </c>
      <c r="K1296" s="152" t="s">
        <v>6081</v>
      </c>
      <c r="L1296" s="152" t="s">
        <v>120</v>
      </c>
      <c r="M1296" s="153" t="n">
        <f aca="false">24.36</f>
        <v>24.36</v>
      </c>
      <c r="N1296" s="152" t="s">
        <v>1548</v>
      </c>
      <c r="O1296" s="152" t="s">
        <v>1549</v>
      </c>
      <c r="P1296" s="152" t="s">
        <v>1550</v>
      </c>
      <c r="Q1296" s="152" t="s">
        <v>1551</v>
      </c>
      <c r="R1296" s="154" t="s">
        <v>6450</v>
      </c>
      <c r="S1296" s="154" t="s">
        <v>1553</v>
      </c>
      <c r="T1296" s="155" t="s">
        <v>5625</v>
      </c>
      <c r="U1296" s="152" t="str">
        <f aca="false">RIGHT(T1296,7)</f>
        <v>023/037</v>
      </c>
      <c r="V1296" s="152" t="s">
        <v>1555</v>
      </c>
      <c r="W1296" s="156" t="n">
        <v>45882</v>
      </c>
      <c r="X1296" s="152" t="s">
        <v>1594</v>
      </c>
      <c r="Y1296" s="152" t="s">
        <v>1986</v>
      </c>
      <c r="Z1296" s="152" t="s">
        <v>1557</v>
      </c>
      <c r="AA1296" s="153" t="n">
        <v>5.4</v>
      </c>
      <c r="AB1296" s="151" t="s">
        <v>6451</v>
      </c>
      <c r="AC1296" s="151" t="s">
        <v>186</v>
      </c>
      <c r="AD1296" s="151" t="str">
        <f aca="false">CONCATENATE($C1296,$I1296,$H1296,$N1296,$J1296,$K1296)</f>
        <v>TUBO PEADPEAD63VCAREDESZona11</v>
      </c>
      <c r="AE1296" s="153" t="n">
        <f aca="false">IFERROR(INDEX(APOIO_REDES!$A:$W,MATCH($C1296&amp;$I1296&amp;$H1296&amp;$N1296&amp;$O1296,APOIO_REDES!$W:$W,0),MATCH(AE$5,APOIO_REDES!$5:$5,0)),0)</f>
        <v>1.2</v>
      </c>
      <c r="AF1296" s="153" t="n">
        <f aca="false">IFERROR(INDEX(APOIO_REDES!$A:$W,MATCH($C1296&amp;$I1296&amp;$H1296&amp;$N1296&amp;$O1296,APOIO_REDES!$W:$W,0),MATCH(AF$5,APOIO_REDES!$5:$5,0)),0)</f>
        <v>1.363</v>
      </c>
      <c r="AG1296" s="153" t="n">
        <f aca="false">IFERROR(INDEX(APOIO_REDES!$A:$W,MATCH($C1296&amp;$I1296&amp;$H1296&amp;$N1296&amp;$O1296,APOIO_REDES!$W:$W,0),MATCH(AG$5,APOIO_REDES!$5:$5,0)),0)</f>
        <v>0.65</v>
      </c>
      <c r="AH1296" s="153" t="n">
        <f aca="false">IFERROR(INDEX(APOIO_REDES!$A:$W,MATCH($C1296&amp;$I1296&amp;$H1296&amp;$N1296&amp;$O1296,APOIO_REDES!$W:$W,0),MATCH(AH$5,APOIO_REDES!$5:$5,0)),0)</f>
        <v>0.1</v>
      </c>
      <c r="AI1296" s="153" t="n">
        <f aca="false">IFERROR(IF($H1296&lt;&gt;"",(((($H1296/1000)/2)^2)*PI()*$M1296),0),0)</f>
        <v>0.0759360957643761</v>
      </c>
      <c r="AJ1296" s="153" t="n">
        <f aca="false">IFERROR(IF(AND($H1296&lt;&gt;"",$I1296="FoFo",OR($N1296="MND",$N1296="VCA"),$Q1296="LINEAR"),0,IF(AND($H1296&lt;&gt;"",$I1296="PEAD",$N1296="VCA",$Q1296="LINEAR"),($H1296/1000)+0.3,IF(AND($H1296&lt;&gt;"",$I1296="PEAD",$N1296="MND",$Q1296="EMBOQUE"),0,IF(AND($H1296&lt;&gt;"",$I1296="PVC",$N1296="VCA",$Q1296="LINEAR"),($H1296/1000)+0.2,IF(AND($H1296&lt;&gt;"",$I1296="PVC",$N1296="MND",$Q1296="EMBOQUE"),0,IF(AND($H1296&lt;&gt;"",$I1296="PEAD",$N1296="VCA",$Q1296="PREDIAL"),0,0)))))),0)</f>
        <v>0.363</v>
      </c>
      <c r="AK1296" s="153" t="n">
        <f aca="false">IF(AA1296&lt;&gt;"",AA1296,0)</f>
        <v>5.4</v>
      </c>
      <c r="AL1296" s="153" t="n">
        <f aca="false">IF(AND($N1296="MND",$Q1296="EMBOQUE"),$M1296,IF(AND($N1296="VCA",$Q1296="LINEAR"),$M1296,IF(AND($N1296="VCA",$Q1296="PREDIAL"),0,0)))</f>
        <v>24.36</v>
      </c>
      <c r="AM1296" s="153" t="n">
        <f aca="false">IF(AND($N1296="MND",$Q1296="EMBOQUE"),$M1296,IF(AND($N1296="VCA",$Q1296="LINEAR"),$M1296,IF(AND($N1296="VCA",$Q1296="PREDIAL"),0,0)))</f>
        <v>24.36</v>
      </c>
      <c r="AN1296" s="153" t="n">
        <f aca="false">ROUND(IF(AND($N1296="VCA",$M1296&lt;&gt;"",$Q1296="LINEAR"),$M1296/100,IF(AND($N1296="MND",$M1296&gt;100,$Q1296="EMBOQUE"),$M1296/100,0)),0)</f>
        <v>0</v>
      </c>
      <c r="AO1296" s="153" t="n">
        <f aca="false">IF(AND($N1296="MND",$Q1296="EMBOQUE"),$AN1296*2*2,IF(AND($N1296="VCA",$Q1296="LINEAR"),$M1296*2,IF(AND($N1296="VCA",$Q1296="PREDIAL"),0,0)))</f>
        <v>48.72</v>
      </c>
      <c r="AP1296" s="153" t="n">
        <f aca="false">IFERROR($M1296*$AF1296*$AG1296,0)</f>
        <v>21.581742</v>
      </c>
      <c r="AQ1296" s="153" t="n">
        <f aca="false">IFERROR(IF(AND($N1296="VCA",$AH1296&gt;0),$M1296*$AG1296*$AH1296,0),0)</f>
        <v>1.5834</v>
      </c>
      <c r="AR1296" s="153" t="n">
        <f aca="false">IFERROR(IF(AND($N1296="VCA",$AJ1296&gt;0),($M1296*$AG1296*$AJ1296)-$AI1296,0),0)</f>
        <v>5.67180590423562</v>
      </c>
      <c r="AS1296" s="153" t="n">
        <f aca="false">IFERROR(IF(AND($N1296="VCA",$AP1296&gt;0),$AP1296-$AI1296-$AQ1296-$AR1296,0),0)</f>
        <v>14.2506</v>
      </c>
      <c r="AT1296" s="153" t="n">
        <f aca="false">IFERROR(IF($N1296="VCA",INDEX(APOIO_REDES!$A:$W,MATCH($C1296&amp;$I1296&amp;$H1296&amp;$N1296&amp;$O1296,APOIO_REDES!$W:$W,0),MATCH(AT$5,APOIO_REDES!$5:$5,0)),0)*$AP1296,0)</f>
        <v>0.234815740829564</v>
      </c>
      <c r="AU1296" s="153" t="n">
        <f aca="false">IFERROR(IF($N1296="VCA",INDEX(APOIO_REDES!$A:$W,MATCH($C1296&amp;$I1296&amp;$H1296&amp;$N1296&amp;$O1296,APOIO_REDES!$W:$W,0),MATCH(AU$5,APOIO_REDES!$5:$5,0)),0)*$AP1296,0)</f>
        <v>0.187517491009698</v>
      </c>
      <c r="AV1296" s="153" t="n">
        <f aca="false">IFERROR(IF($N1296="VCA",INDEX(APOIO_REDES!$A:$W,MATCH($C1296&amp;$I1296&amp;$H1296&amp;$N1296&amp;$O1296,APOIO_REDES!$W:$W,0),MATCH(AV$5,APOIO_REDES!$5:$5,0)),0)*$AP1296,0)</f>
        <v>0.0259509486857208</v>
      </c>
      <c r="AW1296" s="153" t="n">
        <f aca="false">IFERROR(IF($N1296="VCA",INDEX(APOIO_REDES!$A:$W,MATCH($C1296&amp;$I1296&amp;$H1296&amp;$N1296&amp;$O1296,APOIO_REDES!$W:$W,0),MATCH(AW$5,APOIO_REDES!$5:$5,0)),0)*$AP1296,0)</f>
        <v>14.8138749322971</v>
      </c>
      <c r="AX1296" s="153" t="n">
        <f aca="false">IFERROR(IF($N1296="VCA",INDEX(APOIO_REDES!$A:$W,MATCH($C1296&amp;$I1296&amp;$H1296&amp;$N1296&amp;$O1296,APOIO_REDES!$W:$W,0),MATCH(AX$5,APOIO_REDES!$5:$5,0)),0)*$AP1296,0)</f>
        <v>2.05019809250841</v>
      </c>
      <c r="AY1296" s="153" t="n">
        <f aca="false">IFERROR(IF($N1296="VCA",INDEX(APOIO_REDES!$A:$W,MATCH($C1296&amp;$I1296&amp;$H1296&amp;$N1296&amp;$O1296,APOIO_REDES!$W:$W,0),MATCH(AY$5,APOIO_REDES!$5:$5,0)),0)*$AP1296,0)</f>
        <v>3.75034753437095</v>
      </c>
      <c r="AZ1296" s="153" t="n">
        <f aca="false">IFERROR(IF($N1296="VCA",INDEX(APOIO_REDES!$A:$W,MATCH($C1296&amp;$I1296&amp;$H1296&amp;$N1296&amp;$O1296,APOIO_REDES!$W:$W,0),MATCH(AZ$5,APOIO_REDES!$5:$5,0)),0)*$AP1296,0)</f>
        <v>0.519037260298533</v>
      </c>
      <c r="BA1296" s="153" t="n">
        <f aca="false">IFERROR(IF(AND($N1296="VCA",$Q1296="LINEAR"),INDEX(APOIO_REDES!$A:$W,MATCH($C1296&amp;$I1296&amp;$H1296&amp;$N1296&amp;$O1296,APOIO_REDES!$W:$W,0),MATCH(BA$5,APOIO_REDES!$5:$5,0)),IF(AND($N1296="MND",$Q1296="EMBOQUE"),INDEX(APOIO_REDES!$A:$W,MATCH($C1296&amp;$I1296&amp;$H1296&amp;$N1296&amp;$O1296,APOIO_REDES!$W:$W,0),MATCH(BA$5,APOIO_REDES!$5:$5,0)),0))*$M1296/10,0)</f>
        <v>1.96335455384345</v>
      </c>
      <c r="BB1296" s="153" t="n">
        <f aca="false">IFERROR(IF($N1296="VCA",INDEX(APOIO_REDES!$A:$W,MATCH($C1296&amp;$I1296&amp;$H1296&amp;$N1296&amp;$O1296,APOIO_REDES!$W:$W,0),MATCH(BB$5,APOIO_REDES!$5:$5,0)),0)*($AI1296+$AQ1296+$AR1296),0)</f>
        <v>7.25137700513273</v>
      </c>
      <c r="BC1296" s="153" t="n">
        <f aca="false">IFERROR(IF($N1296="VCA",INDEX(APOIO_REDES!$A:$W,MATCH($C1296&amp;$I1296&amp;$H1296&amp;$N1296&amp;$O1296,APOIO_REDES!$W:$W,0),MATCH(BC$5,APOIO_REDES!$5:$5,0)),0)*($AI1296+$AQ1296+$AR1296),0)</f>
        <v>0.0797649948672693</v>
      </c>
      <c r="BD1296" s="153" t="n">
        <f aca="false">IF(AND($N1296="VCA",$AF1296&gt;=1.25,$AF1296&lt;1.5),$M1296*$AF1296*2,0)</f>
        <v>66.40536</v>
      </c>
      <c r="BE1296" s="153" t="n">
        <f aca="false">IF(AND($N1296="VCA",$AF1296&gt;=1.5,$AF1296&lt;3),$M1296*$AF1296*2,0)</f>
        <v>0</v>
      </c>
      <c r="BF1296" s="153" t="n">
        <f aca="false">IF(AND($N1296="VCA",$AF1296&gt;=3),$M1296*$AF1296*2,0)</f>
        <v>0</v>
      </c>
      <c r="BG1296" s="153" t="n">
        <f aca="false">($BB1296+$BC1296)*$AK1296</f>
        <v>39.5881668</v>
      </c>
      <c r="BH1296" s="153" t="n">
        <f aca="false">IF(AND($M1296&lt;&gt;"",$N1296="VCA",$Q1296="LINEAR"),($M1296*2)/100,IF(AND($M1296&lt;&gt;"",$N1296="MND",$Q1296="EMBOQUE"),($AN1296*2)/100,0))</f>
        <v>0.4872</v>
      </c>
      <c r="BI1296" s="153" t="n">
        <f aca="false">IF(AND($M1296&lt;&gt;"",$N1296="VCA",$Q1296="LINEAR"),$M1296,IF(AND($M1296&lt;&gt;"",$N1296="MND",$Q1296="EMBOQUE"),$AN1296*2,0))</f>
        <v>24.36</v>
      </c>
      <c r="BJ1296" s="153" t="n">
        <f aca="false">IF(AND($M1296&lt;&gt;"",$N1296="VCA",$Q1296="LINEAR"),($M1296*6.8)/100,IF(AND($M1296&lt;&gt;"",$N1296="MND",$Q1296="EMBOQUE"),($AN1296*2*6.8)/100,0))</f>
        <v>1.65648</v>
      </c>
      <c r="BK1296" s="153" t="n">
        <f aca="false">IF(AND($M1296&lt;&gt;"",$N1296="VCA",$Q1296="LINEAR"),($M1296*2.5)/50,IF(AND($M1296&lt;&gt;"",$N1296="MND",$Q1296="EMBOQUE"),($AN1296*2*2.5)/50,0))</f>
        <v>1.218</v>
      </c>
      <c r="BL1296" s="157" t="str">
        <f aca="false">K1296&amp;J1296</f>
        <v>Zona11REDES</v>
      </c>
      <c r="BM1296" s="152" t="s">
        <v>6084</v>
      </c>
      <c r="BN1296" s="152" t="s">
        <v>1560</v>
      </c>
      <c r="BO1296" s="152" t="s">
        <v>5627</v>
      </c>
      <c r="BP1296" s="152" t="s">
        <v>6452</v>
      </c>
      <c r="BQ1296" s="152" t="s">
        <v>6453</v>
      </c>
      <c r="BR1296" s="152" t="s">
        <v>6454</v>
      </c>
      <c r="BS1296" s="152" t="n">
        <v>203756.687</v>
      </c>
      <c r="BT1296" s="152" t="n">
        <v>8235967.713</v>
      </c>
      <c r="BU1296" s="152" t="n">
        <v>203732.387</v>
      </c>
      <c r="BV1296" s="152" t="n">
        <v>8235968.06</v>
      </c>
      <c r="BW1296" s="152" t="n">
        <v>-15.9379024</v>
      </c>
      <c r="BX1296" s="152" t="n">
        <v>-47.767187</v>
      </c>
      <c r="BY1296" s="152" t="s">
        <v>6452</v>
      </c>
    </row>
    <row r="1297" customFormat="false" ht="13.8" hidden="false" customHeight="false" outlineLevel="0" collapsed="false">
      <c r="A1297" s="149" t="n">
        <f aca="false">IF(C1297&lt;&gt;"",ROW(A1292),"")</f>
        <v>1292</v>
      </c>
      <c r="B1297" s="150" t="str">
        <f aca="false">HYPERLINK("https://www.google.com/maps/dir/-15.917302,-47.760003/-15.9377100,-47.7685693/data=!4m3!4m2!3e0!5i2")</f>
        <v>https://www.google.com/maps/dir/-15.917302,-47.760003/-15.9377100,-47.7685693/data=!4m3!4m2!3e0!5i2</v>
      </c>
      <c r="C1297" s="151" t="s">
        <v>117</v>
      </c>
      <c r="D1297" s="152" t="s">
        <v>112</v>
      </c>
      <c r="E1297" s="152" t="s">
        <v>113</v>
      </c>
      <c r="F1297" s="152" t="s">
        <v>117</v>
      </c>
      <c r="G1297" s="152" t="s">
        <v>782</v>
      </c>
      <c r="H1297" s="152" t="n">
        <v>63</v>
      </c>
      <c r="I1297" s="152" t="s">
        <v>115</v>
      </c>
      <c r="J1297" s="152" t="s">
        <v>6</v>
      </c>
      <c r="K1297" s="152" t="s">
        <v>6081</v>
      </c>
      <c r="L1297" s="152" t="s">
        <v>120</v>
      </c>
      <c r="M1297" s="153" t="n">
        <f aca="false">173.68</f>
        <v>173.68</v>
      </c>
      <c r="N1297" s="152" t="s">
        <v>1548</v>
      </c>
      <c r="O1297" s="152" t="s">
        <v>1549</v>
      </c>
      <c r="P1297" s="152" t="s">
        <v>1550</v>
      </c>
      <c r="Q1297" s="152" t="s">
        <v>1551</v>
      </c>
      <c r="R1297" s="154" t="s">
        <v>6455</v>
      </c>
      <c r="S1297" s="154" t="s">
        <v>1553</v>
      </c>
      <c r="T1297" s="155" t="s">
        <v>5625</v>
      </c>
      <c r="U1297" s="152" t="str">
        <f aca="false">RIGHT(T1297,7)</f>
        <v>023/037</v>
      </c>
      <c r="V1297" s="152" t="s">
        <v>1555</v>
      </c>
      <c r="W1297" s="156" t="n">
        <v>45882</v>
      </c>
      <c r="X1297" s="152" t="s">
        <v>1594</v>
      </c>
      <c r="Y1297" s="152"/>
      <c r="Z1297" s="152" t="s">
        <v>1557</v>
      </c>
      <c r="AA1297" s="153" t="n">
        <v>5.6</v>
      </c>
      <c r="AB1297" s="151" t="s">
        <v>6456</v>
      </c>
      <c r="AC1297" s="151" t="s">
        <v>186</v>
      </c>
      <c r="AD1297" s="151" t="str">
        <f aca="false">CONCATENATE($C1297,$I1297,$H1297,$N1297,$J1297,$K1297)</f>
        <v>TUBO PEADPEAD63VCAREDESZona11</v>
      </c>
      <c r="AE1297" s="153" t="n">
        <f aca="false">IFERROR(INDEX(APOIO_REDES!$A:$W,MATCH($C1297&amp;$I1297&amp;$H1297&amp;$N1297&amp;$O1297,APOIO_REDES!$W:$W,0),MATCH(AE$5,APOIO_REDES!$5:$5,0)),0)</f>
        <v>1.2</v>
      </c>
      <c r="AF1297" s="153" t="n">
        <f aca="false">IFERROR(INDEX(APOIO_REDES!$A:$W,MATCH($C1297&amp;$I1297&amp;$H1297&amp;$N1297&amp;$O1297,APOIO_REDES!$W:$W,0),MATCH(AF$5,APOIO_REDES!$5:$5,0)),0)</f>
        <v>1.363</v>
      </c>
      <c r="AG1297" s="153" t="n">
        <f aca="false">IFERROR(INDEX(APOIO_REDES!$A:$W,MATCH($C1297&amp;$I1297&amp;$H1297&amp;$N1297&amp;$O1297,APOIO_REDES!$W:$W,0),MATCH(AG$5,APOIO_REDES!$5:$5,0)),0)</f>
        <v>0.65</v>
      </c>
      <c r="AH1297" s="153" t="n">
        <f aca="false">IFERROR(INDEX(APOIO_REDES!$A:$W,MATCH($C1297&amp;$I1297&amp;$H1297&amp;$N1297&amp;$O1297,APOIO_REDES!$W:$W,0),MATCH(AH$5,APOIO_REDES!$5:$5,0)),0)</f>
        <v>0.1</v>
      </c>
      <c r="AI1297" s="153" t="n">
        <f aca="false">IFERROR(IF($H1297&lt;&gt;"",(((($H1297/1000)/2)^2)*PI()*$M1297),0),0)</f>
        <v>0.54140316553189</v>
      </c>
      <c r="AJ1297" s="153" t="n">
        <f aca="false">IFERROR(IF(AND($H1297&lt;&gt;"",$I1297="FoFo",OR($N1297="MND",$N1297="VCA"),$Q1297="LINEAR"),0,IF(AND($H1297&lt;&gt;"",$I1297="PEAD",$N1297="VCA",$Q1297="LINEAR"),($H1297/1000)+0.3,IF(AND($H1297&lt;&gt;"",$I1297="PEAD",$N1297="MND",$Q1297="EMBOQUE"),0,IF(AND($H1297&lt;&gt;"",$I1297="PVC",$N1297="VCA",$Q1297="LINEAR"),($H1297/1000)+0.2,IF(AND($H1297&lt;&gt;"",$I1297="PVC",$N1297="MND",$Q1297="EMBOQUE"),0,IF(AND($H1297&lt;&gt;"",$I1297="PEAD",$N1297="VCA",$Q1297="PREDIAL"),0,0)))))),0)</f>
        <v>0.363</v>
      </c>
      <c r="AK1297" s="153" t="n">
        <f aca="false">IF(AA1297&lt;&gt;"",AA1297,0)</f>
        <v>5.6</v>
      </c>
      <c r="AL1297" s="153" t="n">
        <f aca="false">IF(AND($N1297="MND",$Q1297="EMBOQUE"),$M1297,IF(AND($N1297="VCA",$Q1297="LINEAR"),$M1297,IF(AND($N1297="VCA",$Q1297="PREDIAL"),0,0)))</f>
        <v>173.68</v>
      </c>
      <c r="AM1297" s="153" t="n">
        <f aca="false">IF(AND($N1297="MND",$Q1297="EMBOQUE"),$M1297,IF(AND($N1297="VCA",$Q1297="LINEAR"),$M1297,IF(AND($N1297="VCA",$Q1297="PREDIAL"),0,0)))</f>
        <v>173.68</v>
      </c>
      <c r="AN1297" s="153" t="n">
        <f aca="false">ROUND(IF(AND($N1297="VCA",$M1297&lt;&gt;"",$Q1297="LINEAR"),$M1297/100,IF(AND($N1297="MND",$M1297&gt;100,$Q1297="EMBOQUE"),$M1297/100,0)),0)</f>
        <v>2</v>
      </c>
      <c r="AO1297" s="153" t="n">
        <f aca="false">IF(AND($N1297="MND",$Q1297="EMBOQUE"),$AN1297*2*2,IF(AND($N1297="VCA",$Q1297="LINEAR"),$M1297*2,IF(AND($N1297="VCA",$Q1297="PREDIAL"),0,0)))</f>
        <v>347.36</v>
      </c>
      <c r="AP1297" s="153" t="n">
        <f aca="false">IFERROR($M1297*$AF1297*$AG1297,0)</f>
        <v>153.871796</v>
      </c>
      <c r="AQ1297" s="153" t="n">
        <f aca="false">IFERROR(IF(AND($N1297="VCA",$AH1297&gt;0),$M1297*$AG1297*$AH1297,0),0)</f>
        <v>11.2892</v>
      </c>
      <c r="AR1297" s="153" t="n">
        <f aca="false">IFERROR(IF(AND($N1297="VCA",$AJ1297&gt;0),($M1297*$AG1297*$AJ1297)-$AI1297,0),0)</f>
        <v>40.4383928344681</v>
      </c>
      <c r="AS1297" s="153" t="n">
        <f aca="false">IFERROR(IF(AND($N1297="VCA",$AP1297&gt;0),$AP1297-$AI1297-$AQ1297-$AR1297,0),0)</f>
        <v>101.6028</v>
      </c>
      <c r="AT1297" s="153" t="n">
        <f aca="false">IFERROR(IF($N1297="VCA",INDEX(APOIO_REDES!$A:$W,MATCH($C1297&amp;$I1297&amp;$H1297&amp;$N1297&amp;$O1297,APOIO_REDES!$W:$W,0),MATCH(AT$5,APOIO_REDES!$5:$5,0)),0)*$AP1297,0)</f>
        <v>1.67417068420684</v>
      </c>
      <c r="AU1297" s="153" t="n">
        <f aca="false">IFERROR(IF($N1297="VCA",INDEX(APOIO_REDES!$A:$W,MATCH($C1297&amp;$I1297&amp;$H1297&amp;$N1297&amp;$O1297,APOIO_REDES!$W:$W,0),MATCH(AU$5,APOIO_REDES!$5:$5,0)),0)*$AP1297,0)</f>
        <v>1.33694736611512</v>
      </c>
      <c r="AV1297" s="153" t="n">
        <f aca="false">IFERROR(IF($N1297="VCA",INDEX(APOIO_REDES!$A:$W,MATCH($C1297&amp;$I1297&amp;$H1297&amp;$N1297&amp;$O1297,APOIO_REDES!$W:$W,0),MATCH(AV$5,APOIO_REDES!$5:$5,0)),0)*$AP1297,0)</f>
        <v>0.185023020022003</v>
      </c>
      <c r="AW1297" s="153" t="n">
        <f aca="false">IFERROR(IF($N1297="VCA",INDEX(APOIO_REDES!$A:$W,MATCH($C1297&amp;$I1297&amp;$H1297&amp;$N1297&amp;$O1297,APOIO_REDES!$W:$W,0),MATCH(AW$5,APOIO_REDES!$5:$5,0)),0)*$AP1297,0)</f>
        <v>105.618793031255</v>
      </c>
      <c r="AX1297" s="153" t="n">
        <f aca="false">IFERROR(IF($N1297="VCA",INDEX(APOIO_REDES!$A:$W,MATCH($C1297&amp;$I1297&amp;$H1297&amp;$N1297&amp;$O1297,APOIO_REDES!$W:$W,0),MATCH(AX$5,APOIO_REDES!$5:$5,0)),0)*$AP1297,0)</f>
        <v>14.6173400946987</v>
      </c>
      <c r="AY1297" s="153" t="n">
        <f aca="false">IFERROR(IF($N1297="VCA",INDEX(APOIO_REDES!$A:$W,MATCH($C1297&amp;$I1297&amp;$H1297&amp;$N1297&amp;$O1297,APOIO_REDES!$W:$W,0),MATCH(AY$5,APOIO_REDES!$5:$5,0)),0)*$AP1297,0)</f>
        <v>26.7389310250225</v>
      </c>
      <c r="AZ1297" s="153" t="n">
        <f aca="false">IFERROR(IF($N1297="VCA",INDEX(APOIO_REDES!$A:$W,MATCH($C1297&amp;$I1297&amp;$H1297&amp;$N1297&amp;$O1297,APOIO_REDES!$W:$W,0),MATCH(AZ$5,APOIO_REDES!$5:$5,0)),0)*$AP1297,0)</f>
        <v>3.70059077868018</v>
      </c>
      <c r="BA1297" s="153" t="n">
        <f aca="false">IFERROR(IF(AND($N1297="VCA",$Q1297="LINEAR"),INDEX(APOIO_REDES!$A:$W,MATCH($C1297&amp;$I1297&amp;$H1297&amp;$N1297&amp;$O1297,APOIO_REDES!$W:$W,0),MATCH(BA$5,APOIO_REDES!$5:$5,0)),IF(AND($N1297="MND",$Q1297="EMBOQUE"),INDEX(APOIO_REDES!$A:$W,MATCH($C1297&amp;$I1297&amp;$H1297&amp;$N1297&amp;$O1297,APOIO_REDES!$W:$W,0),MATCH(BA$5,APOIO_REDES!$5:$5,0)),0))*$M1297/10,0)</f>
        <v>13.9981699060562</v>
      </c>
      <c r="BB1297" s="153" t="n">
        <f aca="false">IFERROR(IF($N1297="VCA",INDEX(APOIO_REDES!$A:$W,MATCH($C1297&amp;$I1297&amp;$H1297&amp;$N1297&amp;$O1297,APOIO_REDES!$W:$W,0),MATCH(BB$5,APOIO_REDES!$5:$5,0)),0)*($AI1297+$AQ1297+$AR1297),0)</f>
        <v>51.7002938526869</v>
      </c>
      <c r="BC1297" s="153" t="n">
        <f aca="false">IFERROR(IF($N1297="VCA",INDEX(APOIO_REDES!$A:$W,MATCH($C1297&amp;$I1297&amp;$H1297&amp;$N1297&amp;$O1297,APOIO_REDES!$W:$W,0),MATCH(BC$5,APOIO_REDES!$5:$5,0)),0)*($AI1297+$AQ1297+$AR1297),0)</f>
        <v>0.568702147313109</v>
      </c>
      <c r="BD1297" s="153" t="n">
        <f aca="false">IF(AND($N1297="VCA",$AF1297&gt;=1.25,$AF1297&lt;1.5),$M1297*$AF1297*2,0)</f>
        <v>473.45168</v>
      </c>
      <c r="BE1297" s="153" t="n">
        <f aca="false">IF(AND($N1297="VCA",$AF1297&gt;=1.5,$AF1297&lt;3),$M1297*$AF1297*2,0)</f>
        <v>0</v>
      </c>
      <c r="BF1297" s="153" t="n">
        <f aca="false">IF(AND($N1297="VCA",$AF1297&gt;=3),$M1297*$AF1297*2,0)</f>
        <v>0</v>
      </c>
      <c r="BG1297" s="153" t="n">
        <f aca="false">($BB1297+$BC1297)*$AK1297</f>
        <v>292.7063776</v>
      </c>
      <c r="BH1297" s="153" t="n">
        <f aca="false">IF(AND($M1297&lt;&gt;"",$N1297="VCA",$Q1297="LINEAR"),($M1297*2)/100,IF(AND($M1297&lt;&gt;"",$N1297="MND",$Q1297="EMBOQUE"),($AN1297*2)/100,0))</f>
        <v>3.4736</v>
      </c>
      <c r="BI1297" s="153" t="n">
        <f aca="false">IF(AND($M1297&lt;&gt;"",$N1297="VCA",$Q1297="LINEAR"),$M1297,IF(AND($M1297&lt;&gt;"",$N1297="MND",$Q1297="EMBOQUE"),$AN1297*2,0))</f>
        <v>173.68</v>
      </c>
      <c r="BJ1297" s="153" t="n">
        <f aca="false">IF(AND($M1297&lt;&gt;"",$N1297="VCA",$Q1297="LINEAR"),($M1297*6.8)/100,IF(AND($M1297&lt;&gt;"",$N1297="MND",$Q1297="EMBOQUE"),($AN1297*2*6.8)/100,0))</f>
        <v>11.81024</v>
      </c>
      <c r="BK1297" s="153" t="n">
        <f aca="false">IF(AND($M1297&lt;&gt;"",$N1297="VCA",$Q1297="LINEAR"),($M1297*2.5)/50,IF(AND($M1297&lt;&gt;"",$N1297="MND",$Q1297="EMBOQUE"),($AN1297*2*2.5)/50,0))</f>
        <v>8.684</v>
      </c>
      <c r="BL1297" s="157" t="str">
        <f aca="false">K1297&amp;J1297</f>
        <v>Zona11REDES</v>
      </c>
      <c r="BM1297" s="152" t="s">
        <v>6084</v>
      </c>
      <c r="BN1297" s="152" t="s">
        <v>1560</v>
      </c>
      <c r="BO1297" s="152" t="s">
        <v>5627</v>
      </c>
      <c r="BP1297" s="152" t="s">
        <v>2232</v>
      </c>
      <c r="BQ1297" s="152" t="s">
        <v>6438</v>
      </c>
      <c r="BR1297" s="152" t="s">
        <v>6457</v>
      </c>
      <c r="BS1297" s="152" t="n">
        <v>203459.792</v>
      </c>
      <c r="BT1297" s="152" t="n">
        <v>8235904.695</v>
      </c>
      <c r="BU1297" s="152" t="n">
        <v>203596.198</v>
      </c>
      <c r="BV1297" s="152" t="n">
        <v>8235987.262</v>
      </c>
      <c r="BW1297" s="152" t="n">
        <v>-15.9378769</v>
      </c>
      <c r="BX1297" s="152" t="n">
        <v>-47.7693217</v>
      </c>
      <c r="BY1297" s="152" t="s">
        <v>6438</v>
      </c>
    </row>
    <row r="1298" customFormat="false" ht="13.8" hidden="false" customHeight="false" outlineLevel="0" collapsed="false">
      <c r="A1298" s="149" t="n">
        <f aca="false">IF(C1298&lt;&gt;"",ROW(A1293),"")</f>
        <v>1293</v>
      </c>
      <c r="B1298" s="150" t="str">
        <f aca="false">HYPERLINK("https://www.google.com/maps/dir/-15.917302,-47.760003/-15.9379131,-47.7707404/data=!4m3!4m2!3e0!5i1")</f>
        <v>https://www.google.com/maps/dir/-15.917302,-47.760003/-15.9379131,-47.7707404/data=!4m3!4m2!3e0!5i1</v>
      </c>
      <c r="C1298" s="151" t="s">
        <v>117</v>
      </c>
      <c r="D1298" s="152" t="s">
        <v>112</v>
      </c>
      <c r="E1298" s="152" t="s">
        <v>113</v>
      </c>
      <c r="F1298" s="152" t="s">
        <v>117</v>
      </c>
      <c r="G1298" s="152" t="s">
        <v>782</v>
      </c>
      <c r="H1298" s="152" t="n">
        <v>63</v>
      </c>
      <c r="I1298" s="152" t="s">
        <v>115</v>
      </c>
      <c r="J1298" s="152" t="s">
        <v>6</v>
      </c>
      <c r="K1298" s="152" t="s">
        <v>6081</v>
      </c>
      <c r="L1298" s="152" t="s">
        <v>120</v>
      </c>
      <c r="M1298" s="153" t="n">
        <f aca="false">26.11</f>
        <v>26.11</v>
      </c>
      <c r="N1298" s="152" t="s">
        <v>1548</v>
      </c>
      <c r="O1298" s="152" t="s">
        <v>1549</v>
      </c>
      <c r="P1298" s="152" t="s">
        <v>1550</v>
      </c>
      <c r="Q1298" s="152" t="s">
        <v>1551</v>
      </c>
      <c r="R1298" s="154" t="s">
        <v>6458</v>
      </c>
      <c r="S1298" s="154" t="s">
        <v>1553</v>
      </c>
      <c r="T1298" s="155" t="s">
        <v>5625</v>
      </c>
      <c r="U1298" s="152" t="str">
        <f aca="false">RIGHT(T1298,7)</f>
        <v>023/037</v>
      </c>
      <c r="V1298" s="152" t="s">
        <v>1555</v>
      </c>
      <c r="W1298" s="156" t="n">
        <v>45882</v>
      </c>
      <c r="X1298" s="152" t="s">
        <v>1594</v>
      </c>
      <c r="Y1298" s="152"/>
      <c r="Z1298" s="152" t="s">
        <v>1557</v>
      </c>
      <c r="AA1298" s="153" t="n">
        <v>5.8</v>
      </c>
      <c r="AB1298" s="151" t="s">
        <v>6459</v>
      </c>
      <c r="AC1298" s="151" t="s">
        <v>186</v>
      </c>
      <c r="AD1298" s="151" t="str">
        <f aca="false">CONCATENATE($C1298,$I1298,$H1298,$N1298,$J1298,$K1298)</f>
        <v>TUBO PEADPEAD63VCAREDESZona11</v>
      </c>
      <c r="AE1298" s="153" t="n">
        <f aca="false">IFERROR(INDEX(APOIO_REDES!$A:$W,MATCH($C1298&amp;$I1298&amp;$H1298&amp;$N1298&amp;$O1298,APOIO_REDES!$W:$W,0),MATCH(AE$5,APOIO_REDES!$5:$5,0)),0)</f>
        <v>1.2</v>
      </c>
      <c r="AF1298" s="153" t="n">
        <f aca="false">IFERROR(INDEX(APOIO_REDES!$A:$W,MATCH($C1298&amp;$I1298&amp;$H1298&amp;$N1298&amp;$O1298,APOIO_REDES!$W:$W,0),MATCH(AF$5,APOIO_REDES!$5:$5,0)),0)</f>
        <v>1.363</v>
      </c>
      <c r="AG1298" s="153" t="n">
        <f aca="false">IFERROR(INDEX(APOIO_REDES!$A:$W,MATCH($C1298&amp;$I1298&amp;$H1298&amp;$N1298&amp;$O1298,APOIO_REDES!$W:$W,0),MATCH(AG$5,APOIO_REDES!$5:$5,0)),0)</f>
        <v>0.65</v>
      </c>
      <c r="AH1298" s="153" t="n">
        <f aca="false">IFERROR(INDEX(APOIO_REDES!$A:$W,MATCH($C1298&amp;$I1298&amp;$H1298&amp;$N1298&amp;$O1298,APOIO_REDES!$W:$W,0),MATCH(AH$5,APOIO_REDES!$5:$5,0)),0)</f>
        <v>0.1</v>
      </c>
      <c r="AI1298" s="153" t="n">
        <f aca="false">IFERROR(IF($H1298&lt;&gt;"",(((($H1298/1000)/2)^2)*PI()*$M1298),0),0)</f>
        <v>0.081391275057794</v>
      </c>
      <c r="AJ1298" s="153" t="n">
        <f aca="false">IFERROR(IF(AND($H1298&lt;&gt;"",$I1298="FoFo",OR($N1298="MND",$N1298="VCA"),$Q1298="LINEAR"),0,IF(AND($H1298&lt;&gt;"",$I1298="PEAD",$N1298="VCA",$Q1298="LINEAR"),($H1298/1000)+0.3,IF(AND($H1298&lt;&gt;"",$I1298="PEAD",$N1298="MND",$Q1298="EMBOQUE"),0,IF(AND($H1298&lt;&gt;"",$I1298="PVC",$N1298="VCA",$Q1298="LINEAR"),($H1298/1000)+0.2,IF(AND($H1298&lt;&gt;"",$I1298="PVC",$N1298="MND",$Q1298="EMBOQUE"),0,IF(AND($H1298&lt;&gt;"",$I1298="PEAD",$N1298="VCA",$Q1298="PREDIAL"),0,0)))))),0)</f>
        <v>0.363</v>
      </c>
      <c r="AK1298" s="153" t="n">
        <f aca="false">IF(AA1298&lt;&gt;"",AA1298,0)</f>
        <v>5.8</v>
      </c>
      <c r="AL1298" s="153" t="n">
        <f aca="false">IF(AND($N1298="MND",$Q1298="EMBOQUE"),$M1298,IF(AND($N1298="VCA",$Q1298="LINEAR"),$M1298,IF(AND($N1298="VCA",$Q1298="PREDIAL"),0,0)))</f>
        <v>26.11</v>
      </c>
      <c r="AM1298" s="153" t="n">
        <f aca="false">IF(AND($N1298="MND",$Q1298="EMBOQUE"),$M1298,IF(AND($N1298="VCA",$Q1298="LINEAR"),$M1298,IF(AND($N1298="VCA",$Q1298="PREDIAL"),0,0)))</f>
        <v>26.11</v>
      </c>
      <c r="AN1298" s="153" t="n">
        <f aca="false">ROUND(IF(AND($N1298="VCA",$M1298&lt;&gt;"",$Q1298="LINEAR"),$M1298/100,IF(AND($N1298="MND",$M1298&gt;100,$Q1298="EMBOQUE"),$M1298/100,0)),0)</f>
        <v>0</v>
      </c>
      <c r="AO1298" s="153" t="n">
        <f aca="false">IF(AND($N1298="MND",$Q1298="EMBOQUE"),$AN1298*2*2,IF(AND($N1298="VCA",$Q1298="LINEAR"),$M1298*2,IF(AND($N1298="VCA",$Q1298="PREDIAL"),0,0)))</f>
        <v>52.22</v>
      </c>
      <c r="AP1298" s="153" t="n">
        <f aca="false">IFERROR($M1298*$AF1298*$AG1298,0)</f>
        <v>23.1321545</v>
      </c>
      <c r="AQ1298" s="153" t="n">
        <f aca="false">IFERROR(IF(AND($N1298="VCA",$AH1298&gt;0),$M1298*$AG1298*$AH1298,0),0)</f>
        <v>1.69715</v>
      </c>
      <c r="AR1298" s="153" t="n">
        <f aca="false">IFERROR(IF(AND($N1298="VCA",$AJ1298&gt;0),($M1298*$AG1298*$AJ1298)-$AI1298,0),0)</f>
        <v>6.07926322494221</v>
      </c>
      <c r="AS1298" s="153" t="n">
        <f aca="false">IFERROR(IF(AND($N1298="VCA",$AP1298&gt;0),$AP1298-$AI1298-$AQ1298-$AR1298,0),0)</f>
        <v>15.27435</v>
      </c>
      <c r="AT1298" s="153" t="n">
        <f aca="false">IFERROR(IF($N1298="VCA",INDEX(APOIO_REDES!$A:$W,MATCH($C1298&amp;$I1298&amp;$H1298&amp;$N1298&amp;$O1298,APOIO_REDES!$W:$W,0),MATCH(AT$5,APOIO_REDES!$5:$5,0)),0)*$AP1298,0)</f>
        <v>0.25168468772824</v>
      </c>
      <c r="AU1298" s="153" t="n">
        <f aca="false">IFERROR(IF($N1298="VCA",INDEX(APOIO_REDES!$A:$W,MATCH($C1298&amp;$I1298&amp;$H1298&amp;$N1298&amp;$O1298,APOIO_REDES!$W:$W,0),MATCH(AU$5,APOIO_REDES!$5:$5,0)),0)*$AP1298,0)</f>
        <v>0.200988575133958</v>
      </c>
      <c r="AV1298" s="153" t="n">
        <f aca="false">IFERROR(IF($N1298="VCA",INDEX(APOIO_REDES!$A:$W,MATCH($C1298&amp;$I1298&amp;$H1298&amp;$N1298&amp;$O1298,APOIO_REDES!$W:$W,0),MATCH(AV$5,APOIO_REDES!$5:$5,0)),0)*$AP1298,0)</f>
        <v>0.0278152409763617</v>
      </c>
      <c r="AW1298" s="153" t="n">
        <f aca="false">IFERROR(IF($N1298="VCA",INDEX(APOIO_REDES!$A:$W,MATCH($C1298&amp;$I1298&amp;$H1298&amp;$N1298&amp;$O1298,APOIO_REDES!$W:$W,0),MATCH(AW$5,APOIO_REDES!$5:$5,0)),0)*$AP1298,0)</f>
        <v>15.8780900854794</v>
      </c>
      <c r="AX1298" s="153" t="n">
        <f aca="false">IFERROR(IF($N1298="VCA",INDEX(APOIO_REDES!$A:$W,MATCH($C1298&amp;$I1298&amp;$H1298&amp;$N1298&amp;$O1298,APOIO_REDES!$W:$W,0),MATCH(AX$5,APOIO_REDES!$5:$5,0)),0)*$AP1298,0)</f>
        <v>2.19748243823459</v>
      </c>
      <c r="AY1298" s="153" t="n">
        <f aca="false">IFERROR(IF($N1298="VCA",INDEX(APOIO_REDES!$A:$W,MATCH($C1298&amp;$I1298&amp;$H1298&amp;$N1298&amp;$O1298,APOIO_REDES!$W:$W,0),MATCH(AY$5,APOIO_REDES!$5:$5,0)),0)*$AP1298,0)</f>
        <v>4.01976905264473</v>
      </c>
      <c r="AZ1298" s="153" t="n">
        <f aca="false">IFERROR(IF($N1298="VCA",INDEX(APOIO_REDES!$A:$W,MATCH($C1298&amp;$I1298&amp;$H1298&amp;$N1298&amp;$O1298,APOIO_REDES!$W:$W,0),MATCH(AZ$5,APOIO_REDES!$5:$5,0)),0)*$AP1298,0)</f>
        <v>0.556324419802738</v>
      </c>
      <c r="BA1298" s="153" t="n">
        <f aca="false">IFERROR(IF(AND($N1298="VCA",$Q1298="LINEAR"),INDEX(APOIO_REDES!$A:$W,MATCH($C1298&amp;$I1298&amp;$H1298&amp;$N1298&amp;$O1298,APOIO_REDES!$W:$W,0),MATCH(BA$5,APOIO_REDES!$5:$5,0)),IF(AND($N1298="MND",$Q1298="EMBOQUE"),INDEX(APOIO_REDES!$A:$W,MATCH($C1298&amp;$I1298&amp;$H1298&amp;$N1298&amp;$O1298,APOIO_REDES!$W:$W,0),MATCH(BA$5,APOIO_REDES!$5:$5,0)),0))*$M1298/10,0)</f>
        <v>2.10440013960806</v>
      </c>
      <c r="BB1298" s="153" t="n">
        <f aca="false">IFERROR(IF($N1298="VCA",INDEX(APOIO_REDES!$A:$W,MATCH($C1298&amp;$I1298&amp;$H1298&amp;$N1298&amp;$O1298,APOIO_REDES!$W:$W,0),MATCH(BB$5,APOIO_REDES!$5:$5,0)),0)*($AI1298+$AQ1298+$AR1298),0)</f>
        <v>7.77230926124859</v>
      </c>
      <c r="BC1298" s="153" t="n">
        <f aca="false">IFERROR(IF($N1298="VCA",INDEX(APOIO_REDES!$A:$W,MATCH($C1298&amp;$I1298&amp;$H1298&amp;$N1298&amp;$O1298,APOIO_REDES!$W:$W,0),MATCH(BC$5,APOIO_REDES!$5:$5,0)),0)*($AI1298+$AQ1298+$AR1298),0)</f>
        <v>0.0854952387514122</v>
      </c>
      <c r="BD1298" s="153" t="n">
        <f aca="false">IF(AND($N1298="VCA",$AF1298&gt;=1.25,$AF1298&lt;1.5),$M1298*$AF1298*2,0)</f>
        <v>71.17586</v>
      </c>
      <c r="BE1298" s="153" t="n">
        <f aca="false">IF(AND($N1298="VCA",$AF1298&gt;=1.5,$AF1298&lt;3),$M1298*$AF1298*2,0)</f>
        <v>0</v>
      </c>
      <c r="BF1298" s="153" t="n">
        <f aca="false">IF(AND($N1298="VCA",$AF1298&gt;=3),$M1298*$AF1298*2,0)</f>
        <v>0</v>
      </c>
      <c r="BG1298" s="153" t="n">
        <f aca="false">($BB1298+$BC1298)*$AK1298</f>
        <v>45.5752661</v>
      </c>
      <c r="BH1298" s="153" t="n">
        <f aca="false">IF(AND($M1298&lt;&gt;"",$N1298="VCA",$Q1298="LINEAR"),($M1298*2)/100,IF(AND($M1298&lt;&gt;"",$N1298="MND",$Q1298="EMBOQUE"),($AN1298*2)/100,0))</f>
        <v>0.5222</v>
      </c>
      <c r="BI1298" s="153" t="n">
        <f aca="false">IF(AND($M1298&lt;&gt;"",$N1298="VCA",$Q1298="LINEAR"),$M1298,IF(AND($M1298&lt;&gt;"",$N1298="MND",$Q1298="EMBOQUE"),$AN1298*2,0))</f>
        <v>26.11</v>
      </c>
      <c r="BJ1298" s="153" t="n">
        <f aca="false">IF(AND($M1298&lt;&gt;"",$N1298="VCA",$Q1298="LINEAR"),($M1298*6.8)/100,IF(AND($M1298&lt;&gt;"",$N1298="MND",$Q1298="EMBOQUE"),($AN1298*2*6.8)/100,0))</f>
        <v>1.77548</v>
      </c>
      <c r="BK1298" s="153" t="n">
        <f aca="false">IF(AND($M1298&lt;&gt;"",$N1298="VCA",$Q1298="LINEAR"),($M1298*2.5)/50,IF(AND($M1298&lt;&gt;"",$N1298="MND",$Q1298="EMBOQUE"),($AN1298*2*2.5)/50,0))</f>
        <v>1.3055</v>
      </c>
      <c r="BL1298" s="157" t="str">
        <f aca="false">K1298&amp;J1298</f>
        <v>Zona11REDES</v>
      </c>
      <c r="BM1298" s="152" t="s">
        <v>6084</v>
      </c>
      <c r="BN1298" s="152" t="s">
        <v>1560</v>
      </c>
      <c r="BO1298" s="152" t="s">
        <v>5627</v>
      </c>
      <c r="BP1298" s="152" t="s">
        <v>6460</v>
      </c>
      <c r="BQ1298" s="152" t="s">
        <v>6433</v>
      </c>
      <c r="BR1298" s="152" t="s">
        <v>6449</v>
      </c>
      <c r="BS1298" s="152" t="n">
        <v>203364.079</v>
      </c>
      <c r="BT1298" s="152" t="n">
        <v>8235960.971</v>
      </c>
      <c r="BU1298" s="152" t="n">
        <v>203389.392</v>
      </c>
      <c r="BV1298" s="152" t="n">
        <v>8235967.367</v>
      </c>
      <c r="BW1298" s="152" t="n">
        <v>-15.9378922</v>
      </c>
      <c r="BX1298" s="152" t="n">
        <v>-47.7706203</v>
      </c>
      <c r="BY1298" s="152" t="s">
        <v>6460</v>
      </c>
    </row>
    <row r="1299" customFormat="false" ht="13.8" hidden="false" customHeight="false" outlineLevel="0" collapsed="false">
      <c r="A1299" s="149" t="n">
        <f aca="false">IF(C1299&lt;&gt;"",ROW(A1294),"")</f>
        <v>1294</v>
      </c>
      <c r="B1299" s="150" t="str">
        <f aca="false">HYPERLINK("https://www.google.com/maps/dir/-15.917302,-47.760003/-15.9379429,-47.7708402/data=!4m3!4m2!3e0!5i2")</f>
        <v>https://www.google.com/maps/dir/-15.917302,-47.760003/-15.9379429,-47.7708402/data=!4m3!4m2!3e0!5i2</v>
      </c>
      <c r="C1299" s="151" t="s">
        <v>117</v>
      </c>
      <c r="D1299" s="152" t="s">
        <v>112</v>
      </c>
      <c r="E1299" s="152" t="s">
        <v>113</v>
      </c>
      <c r="F1299" s="152" t="s">
        <v>117</v>
      </c>
      <c r="G1299" s="152" t="s">
        <v>782</v>
      </c>
      <c r="H1299" s="152" t="n">
        <v>63</v>
      </c>
      <c r="I1299" s="152" t="s">
        <v>115</v>
      </c>
      <c r="J1299" s="152" t="s">
        <v>6</v>
      </c>
      <c r="K1299" s="152" t="s">
        <v>6081</v>
      </c>
      <c r="L1299" s="152" t="s">
        <v>120</v>
      </c>
      <c r="M1299" s="153" t="n">
        <f aca="false">11.16</f>
        <v>11.16</v>
      </c>
      <c r="N1299" s="152" t="s">
        <v>1548</v>
      </c>
      <c r="O1299" s="152" t="s">
        <v>1549</v>
      </c>
      <c r="P1299" s="152" t="s">
        <v>1550</v>
      </c>
      <c r="Q1299" s="152" t="s">
        <v>1551</v>
      </c>
      <c r="R1299" s="154" t="s">
        <v>6461</v>
      </c>
      <c r="S1299" s="154" t="s">
        <v>1553</v>
      </c>
      <c r="T1299" s="155" t="s">
        <v>5625</v>
      </c>
      <c r="U1299" s="152" t="str">
        <f aca="false">RIGHT(T1299,7)</f>
        <v>023/037</v>
      </c>
      <c r="V1299" s="152" t="s">
        <v>1555</v>
      </c>
      <c r="W1299" s="156" t="n">
        <v>45882</v>
      </c>
      <c r="X1299" s="152" t="s">
        <v>1594</v>
      </c>
      <c r="Y1299" s="152"/>
      <c r="Z1299" s="152" t="s">
        <v>1557</v>
      </c>
      <c r="AA1299" s="153" t="n">
        <v>5.8</v>
      </c>
      <c r="AB1299" s="151" t="s">
        <v>6462</v>
      </c>
      <c r="AC1299" s="151" t="s">
        <v>186</v>
      </c>
      <c r="AD1299" s="151" t="str">
        <f aca="false">CONCATENATE($C1299,$I1299,$H1299,$N1299,$J1299,$K1299)</f>
        <v>TUBO PEADPEAD63VCAREDESZona11</v>
      </c>
      <c r="AE1299" s="153" t="n">
        <f aca="false">IFERROR(INDEX(APOIO_REDES!$A:$W,MATCH($C1299&amp;$I1299&amp;$H1299&amp;$N1299&amp;$O1299,APOIO_REDES!$W:$W,0),MATCH(AE$5,APOIO_REDES!$5:$5,0)),0)</f>
        <v>1.2</v>
      </c>
      <c r="AF1299" s="153" t="n">
        <f aca="false">IFERROR(INDEX(APOIO_REDES!$A:$W,MATCH($C1299&amp;$I1299&amp;$H1299&amp;$N1299&amp;$O1299,APOIO_REDES!$W:$W,0),MATCH(AF$5,APOIO_REDES!$5:$5,0)),0)</f>
        <v>1.363</v>
      </c>
      <c r="AG1299" s="153" t="n">
        <f aca="false">IFERROR(INDEX(APOIO_REDES!$A:$W,MATCH($C1299&amp;$I1299&amp;$H1299&amp;$N1299&amp;$O1299,APOIO_REDES!$W:$W,0),MATCH(AG$5,APOIO_REDES!$5:$5,0)),0)</f>
        <v>0.65</v>
      </c>
      <c r="AH1299" s="153" t="n">
        <f aca="false">IFERROR(INDEX(APOIO_REDES!$A:$W,MATCH($C1299&amp;$I1299&amp;$H1299&amp;$N1299&amp;$O1299,APOIO_REDES!$W:$W,0),MATCH(AH$5,APOIO_REDES!$5:$5,0)),0)</f>
        <v>0.1</v>
      </c>
      <c r="AI1299" s="153" t="n">
        <f aca="false">IFERROR(IF($H1299&lt;&gt;"",(((($H1299/1000)/2)^2)*PI()*$M1299),0),0)</f>
        <v>0.0347884576654531</v>
      </c>
      <c r="AJ1299" s="153" t="n">
        <f aca="false">IFERROR(IF(AND($H1299&lt;&gt;"",$I1299="FoFo",OR($N1299="MND",$N1299="VCA"),$Q1299="LINEAR"),0,IF(AND($H1299&lt;&gt;"",$I1299="PEAD",$N1299="VCA",$Q1299="LINEAR"),($H1299/1000)+0.3,IF(AND($H1299&lt;&gt;"",$I1299="PEAD",$N1299="MND",$Q1299="EMBOQUE"),0,IF(AND($H1299&lt;&gt;"",$I1299="PVC",$N1299="VCA",$Q1299="LINEAR"),($H1299/1000)+0.2,IF(AND($H1299&lt;&gt;"",$I1299="PVC",$N1299="MND",$Q1299="EMBOQUE"),0,IF(AND($H1299&lt;&gt;"",$I1299="PEAD",$N1299="VCA",$Q1299="PREDIAL"),0,0)))))),0)</f>
        <v>0.363</v>
      </c>
      <c r="AK1299" s="153" t="n">
        <f aca="false">IF(AA1299&lt;&gt;"",AA1299,0)</f>
        <v>5.8</v>
      </c>
      <c r="AL1299" s="153" t="n">
        <f aca="false">IF(AND($N1299="MND",$Q1299="EMBOQUE"),$M1299,IF(AND($N1299="VCA",$Q1299="LINEAR"),$M1299,IF(AND($N1299="VCA",$Q1299="PREDIAL"),0,0)))</f>
        <v>11.16</v>
      </c>
      <c r="AM1299" s="153" t="n">
        <f aca="false">IF(AND($N1299="MND",$Q1299="EMBOQUE"),$M1299,IF(AND($N1299="VCA",$Q1299="LINEAR"),$M1299,IF(AND($N1299="VCA",$Q1299="PREDIAL"),0,0)))</f>
        <v>11.16</v>
      </c>
      <c r="AN1299" s="153" t="n">
        <f aca="false">ROUND(IF(AND($N1299="VCA",$M1299&lt;&gt;"",$Q1299="LINEAR"),$M1299/100,IF(AND($N1299="MND",$M1299&gt;100,$Q1299="EMBOQUE"),$M1299/100,0)),0)</f>
        <v>0</v>
      </c>
      <c r="AO1299" s="153" t="n">
        <f aca="false">IF(AND($N1299="MND",$Q1299="EMBOQUE"),$AN1299*2*2,IF(AND($N1299="VCA",$Q1299="LINEAR"),$M1299*2,IF(AND($N1299="VCA",$Q1299="PREDIAL"),0,0)))</f>
        <v>22.32</v>
      </c>
      <c r="AP1299" s="153" t="n">
        <f aca="false">IFERROR($M1299*$AF1299*$AG1299,0)</f>
        <v>9.887202</v>
      </c>
      <c r="AQ1299" s="153" t="n">
        <f aca="false">IFERROR(IF(AND($N1299="VCA",$AH1299&gt;0),$M1299*$AG1299*$AH1299,0),0)</f>
        <v>0.7254</v>
      </c>
      <c r="AR1299" s="153" t="n">
        <f aca="false">IFERROR(IF(AND($N1299="VCA",$AJ1299&gt;0),($M1299*$AG1299*$AJ1299)-$AI1299,0),0)</f>
        <v>2.59841354233455</v>
      </c>
      <c r="AS1299" s="153" t="n">
        <f aca="false">IFERROR(IF(AND($N1299="VCA",$AP1299&gt;0),$AP1299-$AI1299-$AQ1299-$AR1299,0),0)</f>
        <v>6.5286</v>
      </c>
      <c r="AT1299" s="153" t="n">
        <f aca="false">IFERROR(IF($N1299="VCA",INDEX(APOIO_REDES!$A:$W,MATCH($C1299&amp;$I1299&amp;$H1299&amp;$N1299&amp;$O1299,APOIO_REDES!$W:$W,0),MATCH(AT$5,APOIO_REDES!$5:$5,0)),0)*$AP1299,0)</f>
        <v>0.107575684222411</v>
      </c>
      <c r="AU1299" s="153" t="n">
        <f aca="false">IFERROR(IF($N1299="VCA",INDEX(APOIO_REDES!$A:$W,MATCH($C1299&amp;$I1299&amp;$H1299&amp;$N1299&amp;$O1299,APOIO_REDES!$W:$W,0),MATCH(AU$5,APOIO_REDES!$5:$5,0)),0)*$AP1299,0)</f>
        <v>0.0859070279009948</v>
      </c>
      <c r="AV1299" s="153" t="n">
        <f aca="false">IFERROR(IF($N1299="VCA",INDEX(APOIO_REDES!$A:$W,MATCH($C1299&amp;$I1299&amp;$H1299&amp;$N1299&amp;$O1299,APOIO_REDES!$W:$W,0),MATCH(AV$5,APOIO_REDES!$5:$5,0)),0)*$AP1299,0)</f>
        <v>0.0118888582648869</v>
      </c>
      <c r="AW1299" s="153" t="n">
        <f aca="false">IFERROR(IF($N1299="VCA",INDEX(APOIO_REDES!$A:$W,MATCH($C1299&amp;$I1299&amp;$H1299&amp;$N1299&amp;$O1299,APOIO_REDES!$W:$W,0),MATCH(AW$5,APOIO_REDES!$5:$5,0)),0)*$AP1299,0)</f>
        <v>6.78665206257947</v>
      </c>
      <c r="AX1299" s="153" t="n">
        <f aca="false">IFERROR(IF($N1299="VCA",INDEX(APOIO_REDES!$A:$W,MATCH($C1299&amp;$I1299&amp;$H1299&amp;$N1299&amp;$O1299,APOIO_REDES!$W:$W,0),MATCH(AX$5,APOIO_REDES!$5:$5,0)),0)*$AP1299,0)</f>
        <v>0.939253313316662</v>
      </c>
      <c r="AY1299" s="153" t="n">
        <f aca="false">IFERROR(IF($N1299="VCA",INDEX(APOIO_REDES!$A:$W,MATCH($C1299&amp;$I1299&amp;$H1299&amp;$N1299&amp;$O1299,APOIO_REDES!$W:$W,0),MATCH(AY$5,APOIO_REDES!$5:$5,0)),0)*$AP1299,0)</f>
        <v>1.71813951082019</v>
      </c>
      <c r="AZ1299" s="153" t="n">
        <f aca="false">IFERROR(IF($N1299="VCA",INDEX(APOIO_REDES!$A:$W,MATCH($C1299&amp;$I1299&amp;$H1299&amp;$N1299&amp;$O1299,APOIO_REDES!$W:$W,0),MATCH(AZ$5,APOIO_REDES!$5:$5,0)),0)*$AP1299,0)</f>
        <v>0.237785542895387</v>
      </c>
      <c r="BA1299" s="153" t="n">
        <f aca="false">IFERROR(IF(AND($N1299="VCA",$Q1299="LINEAR"),INDEX(APOIO_REDES!$A:$W,MATCH($C1299&amp;$I1299&amp;$H1299&amp;$N1299&amp;$O1299,APOIO_REDES!$W:$W,0),MATCH(BA$5,APOIO_REDES!$5:$5,0)),IF(AND($N1299="MND",$Q1299="EMBOQUE"),INDEX(APOIO_REDES!$A:$W,MATCH($C1299&amp;$I1299&amp;$H1299&amp;$N1299&amp;$O1299,APOIO_REDES!$W:$W,0),MATCH(BA$5,APOIO_REDES!$5:$5,0)),0))*$M1299/10,0)</f>
        <v>0.899467849790348</v>
      </c>
      <c r="BB1299" s="153" t="n">
        <f aca="false">IFERROR(IF($N1299="VCA",INDEX(APOIO_REDES!$A:$W,MATCH($C1299&amp;$I1299&amp;$H1299&amp;$N1299&amp;$O1299,APOIO_REDES!$W:$W,0),MATCH(BB$5,APOIO_REDES!$5:$5,0)),0)*($AI1299+$AQ1299+$AR1299),0)</f>
        <v>3.32205941614455</v>
      </c>
      <c r="BC1299" s="153" t="n">
        <f aca="false">IFERROR(IF($N1299="VCA",INDEX(APOIO_REDES!$A:$W,MATCH($C1299&amp;$I1299&amp;$H1299&amp;$N1299&amp;$O1299,APOIO_REDES!$W:$W,0),MATCH(BC$5,APOIO_REDES!$5:$5,0)),0)*($AI1299+$AQ1299+$AR1299),0)</f>
        <v>0.0365425838554485</v>
      </c>
      <c r="BD1299" s="153" t="n">
        <f aca="false">IF(AND($N1299="VCA",$AF1299&gt;=1.25,$AF1299&lt;1.5),$M1299*$AF1299*2,0)</f>
        <v>30.42216</v>
      </c>
      <c r="BE1299" s="153" t="n">
        <f aca="false">IF(AND($N1299="VCA",$AF1299&gt;=1.5,$AF1299&lt;3),$M1299*$AF1299*2,0)</f>
        <v>0</v>
      </c>
      <c r="BF1299" s="153" t="n">
        <f aca="false">IF(AND($N1299="VCA",$AF1299&gt;=3),$M1299*$AF1299*2,0)</f>
        <v>0</v>
      </c>
      <c r="BG1299" s="153" t="n">
        <f aca="false">($BB1299+$BC1299)*$AK1299</f>
        <v>19.4798916</v>
      </c>
      <c r="BH1299" s="153" t="n">
        <f aca="false">IF(AND($M1299&lt;&gt;"",$N1299="VCA",$Q1299="LINEAR"),($M1299*2)/100,IF(AND($M1299&lt;&gt;"",$N1299="MND",$Q1299="EMBOQUE"),($AN1299*2)/100,0))</f>
        <v>0.2232</v>
      </c>
      <c r="BI1299" s="153" t="n">
        <f aca="false">IF(AND($M1299&lt;&gt;"",$N1299="VCA",$Q1299="LINEAR"),$M1299,IF(AND($M1299&lt;&gt;"",$N1299="MND",$Q1299="EMBOQUE"),$AN1299*2,0))</f>
        <v>11.16</v>
      </c>
      <c r="BJ1299" s="153" t="n">
        <f aca="false">IF(AND($M1299&lt;&gt;"",$N1299="VCA",$Q1299="LINEAR"),($M1299*6.8)/100,IF(AND($M1299&lt;&gt;"",$N1299="MND",$Q1299="EMBOQUE"),($AN1299*2*6.8)/100,0))</f>
        <v>0.75888</v>
      </c>
      <c r="BK1299" s="153" t="n">
        <f aca="false">IF(AND($M1299&lt;&gt;"",$N1299="VCA",$Q1299="LINEAR"),($M1299*2.5)/50,IF(AND($M1299&lt;&gt;"",$N1299="MND",$Q1299="EMBOQUE"),($AN1299*2*2.5)/50,0))</f>
        <v>0.558</v>
      </c>
      <c r="BL1299" s="157" t="str">
        <f aca="false">K1299&amp;J1299</f>
        <v>Zona11REDES</v>
      </c>
      <c r="BM1299" s="152" t="s">
        <v>6084</v>
      </c>
      <c r="BN1299" s="152" t="s">
        <v>1560</v>
      </c>
      <c r="BO1299" s="152" t="s">
        <v>5627</v>
      </c>
      <c r="BP1299" s="152" t="s">
        <v>6463</v>
      </c>
      <c r="BQ1299" s="152" t="s">
        <v>6460</v>
      </c>
      <c r="BR1299" s="152" t="s">
        <v>6449</v>
      </c>
      <c r="BS1299" s="152" t="n">
        <v>203353.261</v>
      </c>
      <c r="BT1299" s="152" t="n">
        <v>8235958.238</v>
      </c>
      <c r="BU1299" s="152" t="n">
        <v>203364.079</v>
      </c>
      <c r="BV1299" s="152" t="n">
        <v>8235960.971</v>
      </c>
      <c r="BW1299" s="152" t="n">
        <v>-15.9379312</v>
      </c>
      <c r="BX1299" s="152" t="n">
        <v>-47.7707895</v>
      </c>
      <c r="BY1299" s="152" t="s">
        <v>6463</v>
      </c>
    </row>
    <row r="1300" customFormat="false" ht="13.8" hidden="false" customHeight="false" outlineLevel="0" collapsed="false">
      <c r="A1300" s="149" t="n">
        <f aca="false">IF(C1300&lt;&gt;"",ROW(A1295),"")</f>
        <v>1295</v>
      </c>
      <c r="B1300" s="150" t="str">
        <f aca="false">HYPERLINK("https://www.google.com/maps/dir/-15.917302,-47.760003/-15.9377100,-47.7685693/data=!4m3!4m2!3e0!5i2")</f>
        <v>https://www.google.com/maps/dir/-15.917302,-47.760003/-15.9377100,-47.7685693/data=!4m3!4m2!3e0!5i2</v>
      </c>
      <c r="C1300" s="151" t="s">
        <v>117</v>
      </c>
      <c r="D1300" s="152" t="s">
        <v>112</v>
      </c>
      <c r="E1300" s="152" t="s">
        <v>113</v>
      </c>
      <c r="F1300" s="152" t="s">
        <v>117</v>
      </c>
      <c r="G1300" s="152" t="s">
        <v>782</v>
      </c>
      <c r="H1300" s="152" t="n">
        <v>63</v>
      </c>
      <c r="I1300" s="152" t="s">
        <v>115</v>
      </c>
      <c r="J1300" s="152" t="s">
        <v>6</v>
      </c>
      <c r="K1300" s="152" t="s">
        <v>6081</v>
      </c>
      <c r="L1300" s="152" t="s">
        <v>120</v>
      </c>
      <c r="M1300" s="153" t="n">
        <f aca="false">57.49+3.88</f>
        <v>61.37</v>
      </c>
      <c r="N1300" s="152" t="s">
        <v>1548</v>
      </c>
      <c r="O1300" s="152" t="s">
        <v>1549</v>
      </c>
      <c r="P1300" s="152" t="s">
        <v>1550</v>
      </c>
      <c r="Q1300" s="152" t="s">
        <v>1551</v>
      </c>
      <c r="R1300" s="154" t="s">
        <v>6464</v>
      </c>
      <c r="S1300" s="154" t="s">
        <v>1553</v>
      </c>
      <c r="T1300" s="155" t="s">
        <v>5625</v>
      </c>
      <c r="U1300" s="152" t="str">
        <f aca="false">RIGHT(T1300,7)</f>
        <v>023/037</v>
      </c>
      <c r="V1300" s="152" t="s">
        <v>1555</v>
      </c>
      <c r="W1300" s="156" t="n">
        <v>45882</v>
      </c>
      <c r="X1300" s="152" t="s">
        <v>1594</v>
      </c>
      <c r="Y1300" s="152"/>
      <c r="Z1300" s="152" t="s">
        <v>1557</v>
      </c>
      <c r="AA1300" s="153" t="n">
        <v>5.6</v>
      </c>
      <c r="AB1300" s="151" t="s">
        <v>6465</v>
      </c>
      <c r="AC1300" s="151" t="s">
        <v>186</v>
      </c>
      <c r="AD1300" s="151" t="str">
        <f aca="false">CONCATENATE($C1300,$I1300,$H1300,$N1300,$J1300,$K1300)</f>
        <v>TUBO PEADPEAD63VCAREDESZona11</v>
      </c>
      <c r="AE1300" s="153" t="n">
        <f aca="false">IFERROR(INDEX(APOIO_REDES!$A:$W,MATCH($C1300&amp;$I1300&amp;$H1300&amp;$N1300&amp;$O1300,APOIO_REDES!$W:$W,0),MATCH(AE$5,APOIO_REDES!$5:$5,0)),0)</f>
        <v>1.2</v>
      </c>
      <c r="AF1300" s="153" t="n">
        <f aca="false">IFERROR(INDEX(APOIO_REDES!$A:$W,MATCH($C1300&amp;$I1300&amp;$H1300&amp;$N1300&amp;$O1300,APOIO_REDES!$W:$W,0),MATCH(AF$5,APOIO_REDES!$5:$5,0)),0)</f>
        <v>1.363</v>
      </c>
      <c r="AG1300" s="153" t="n">
        <f aca="false">IFERROR(INDEX(APOIO_REDES!$A:$W,MATCH($C1300&amp;$I1300&amp;$H1300&amp;$N1300&amp;$O1300,APOIO_REDES!$W:$W,0),MATCH(AG$5,APOIO_REDES!$5:$5,0)),0)</f>
        <v>0.65</v>
      </c>
      <c r="AH1300" s="153" t="n">
        <f aca="false">IFERROR(INDEX(APOIO_REDES!$A:$W,MATCH($C1300&amp;$I1300&amp;$H1300&amp;$N1300&amp;$O1300,APOIO_REDES!$W:$W,0),MATCH(AH$5,APOIO_REDES!$5:$5,0)),0)</f>
        <v>0.1</v>
      </c>
      <c r="AI1300" s="153" t="n">
        <f aca="false">IFERROR(IF($H1300&lt;&gt;"",(((($H1300/1000)/2)^2)*PI()*$M1300),0),0)</f>
        <v>0.191305344706887</v>
      </c>
      <c r="AJ1300" s="153" t="n">
        <f aca="false">IFERROR(IF(AND($H1300&lt;&gt;"",$I1300="FoFo",OR($N1300="MND",$N1300="VCA"),$Q1300="LINEAR"),0,IF(AND($H1300&lt;&gt;"",$I1300="PEAD",$N1300="VCA",$Q1300="LINEAR"),($H1300/1000)+0.3,IF(AND($H1300&lt;&gt;"",$I1300="PEAD",$N1300="MND",$Q1300="EMBOQUE"),0,IF(AND($H1300&lt;&gt;"",$I1300="PVC",$N1300="VCA",$Q1300="LINEAR"),($H1300/1000)+0.2,IF(AND($H1300&lt;&gt;"",$I1300="PVC",$N1300="MND",$Q1300="EMBOQUE"),0,IF(AND($H1300&lt;&gt;"",$I1300="PEAD",$N1300="VCA",$Q1300="PREDIAL"),0,0)))))),0)</f>
        <v>0.363</v>
      </c>
      <c r="AK1300" s="153" t="n">
        <f aca="false">IF(AA1300&lt;&gt;"",AA1300,0)</f>
        <v>5.6</v>
      </c>
      <c r="AL1300" s="153" t="n">
        <f aca="false">IF(AND($N1300="MND",$Q1300="EMBOQUE"),$M1300,IF(AND($N1300="VCA",$Q1300="LINEAR"),$M1300,IF(AND($N1300="VCA",$Q1300="PREDIAL"),0,0)))</f>
        <v>61.37</v>
      </c>
      <c r="AM1300" s="153" t="n">
        <f aca="false">IF(AND($N1300="MND",$Q1300="EMBOQUE"),$M1300,IF(AND($N1300="VCA",$Q1300="LINEAR"),$M1300,IF(AND($N1300="VCA",$Q1300="PREDIAL"),0,0)))</f>
        <v>61.37</v>
      </c>
      <c r="AN1300" s="153" t="n">
        <f aca="false">ROUND(IF(AND($N1300="VCA",$M1300&lt;&gt;"",$Q1300="LINEAR"),$M1300/100,IF(AND($N1300="MND",$M1300&gt;100,$Q1300="EMBOQUE"),$M1300/100,0)),0)</f>
        <v>1</v>
      </c>
      <c r="AO1300" s="153" t="n">
        <f aca="false">IF(AND($N1300="MND",$Q1300="EMBOQUE"),$AN1300*2*2,IF(AND($N1300="VCA",$Q1300="LINEAR"),$M1300*2,IF(AND($N1300="VCA",$Q1300="PREDIAL"),0,0)))</f>
        <v>122.74</v>
      </c>
      <c r="AP1300" s="153" t="n">
        <f aca="false">IFERROR($M1300*$AF1300*$AG1300,0)</f>
        <v>54.3707515</v>
      </c>
      <c r="AQ1300" s="153" t="n">
        <f aca="false">IFERROR(IF(AND($N1300="VCA",$AH1300&gt;0),$M1300*$AG1300*$AH1300,0),0)</f>
        <v>3.98905</v>
      </c>
      <c r="AR1300" s="153" t="n">
        <f aca="false">IFERROR(IF(AND($N1300="VCA",$AJ1300&gt;0),($M1300*$AG1300*$AJ1300)-$AI1300,0),0)</f>
        <v>14.2889461552931</v>
      </c>
      <c r="AS1300" s="153" t="n">
        <f aca="false">IFERROR(IF(AND($N1300="VCA",$AP1300&gt;0),$AP1300-$AI1300-$AQ1300-$AR1300,0),0)</f>
        <v>35.90145</v>
      </c>
      <c r="AT1300" s="153" t="n">
        <f aca="false">IFERROR(IF($N1300="VCA",INDEX(APOIO_REDES!$A:$W,MATCH($C1300&amp;$I1300&amp;$H1300&amp;$N1300&amp;$O1300,APOIO_REDES!$W:$W,0),MATCH(AT$5,APOIO_REDES!$5:$5,0)),0)*$AP1300,0)</f>
        <v>0.591569869240983</v>
      </c>
      <c r="AU1300" s="153" t="n">
        <f aca="false">IFERROR(IF($N1300="VCA",INDEX(APOIO_REDES!$A:$W,MATCH($C1300&amp;$I1300&amp;$H1300&amp;$N1300&amp;$O1300,APOIO_REDES!$W:$W,0),MATCH(AU$5,APOIO_REDES!$5:$5,0)),0)*$AP1300,0)</f>
        <v>0.472411675831904</v>
      </c>
      <c r="AV1300" s="153" t="n">
        <f aca="false">IFERROR(IF($N1300="VCA",INDEX(APOIO_REDES!$A:$W,MATCH($C1300&amp;$I1300&amp;$H1300&amp;$N1300&amp;$O1300,APOIO_REDES!$W:$W,0),MATCH(AV$5,APOIO_REDES!$5:$5,0)),0)*$AP1300,0)</f>
        <v>0.0653780673580741</v>
      </c>
      <c r="AW1300" s="153" t="n">
        <f aca="false">IFERROR(IF($N1300="VCA",INDEX(APOIO_REDES!$A:$W,MATCH($C1300&amp;$I1300&amp;$H1300&amp;$N1300&amp;$O1300,APOIO_REDES!$W:$W,0),MATCH(AW$5,APOIO_REDES!$5:$5,0)),0)*$AP1300,0)</f>
        <v>37.3205051147403</v>
      </c>
      <c r="AX1300" s="153" t="n">
        <f aca="false">IFERROR(IF($N1300="VCA",INDEX(APOIO_REDES!$A:$W,MATCH($C1300&amp;$I1300&amp;$H1300&amp;$N1300&amp;$O1300,APOIO_REDES!$W:$W,0),MATCH(AX$5,APOIO_REDES!$5:$5,0)),0)*$AP1300,0)</f>
        <v>5.16505159840892</v>
      </c>
      <c r="AY1300" s="153" t="n">
        <f aca="false">IFERROR(IF($N1300="VCA",INDEX(APOIO_REDES!$A:$W,MATCH($C1300&amp;$I1300&amp;$H1300&amp;$N1300&amp;$O1300,APOIO_REDES!$W:$W,0),MATCH(AY$5,APOIO_REDES!$5:$5,0)),0)*$AP1300,0)</f>
        <v>9.44822775797805</v>
      </c>
      <c r="AZ1300" s="153" t="n">
        <f aca="false">IFERROR(IF($N1300="VCA",INDEX(APOIO_REDES!$A:$W,MATCH($C1300&amp;$I1300&amp;$H1300&amp;$N1300&amp;$O1300,APOIO_REDES!$W:$W,0),MATCH(AZ$5,APOIO_REDES!$5:$5,0)),0)*$AP1300,0)</f>
        <v>1.30760741644175</v>
      </c>
      <c r="BA1300" s="153" t="n">
        <f aca="false">IFERROR(IF(AND($N1300="VCA",$Q1300="LINEAR"),INDEX(APOIO_REDES!$A:$W,MATCH($C1300&amp;$I1300&amp;$H1300&amp;$N1300&amp;$O1300,APOIO_REDES!$W:$W,0),MATCH(BA$5,APOIO_REDES!$5:$5,0)),IF(AND($N1300="MND",$Q1300="EMBOQUE"),INDEX(APOIO_REDES!$A:$W,MATCH($C1300&amp;$I1300&amp;$H1300&amp;$N1300&amp;$O1300,APOIO_REDES!$W:$W,0),MATCH(BA$5,APOIO_REDES!$5:$5,0)),0))*$M1300/10,0)</f>
        <v>4.94626719907112</v>
      </c>
      <c r="BB1300" s="153" t="n">
        <f aca="false">IFERROR(IF($N1300="VCA",INDEX(APOIO_REDES!$A:$W,MATCH($C1300&amp;$I1300&amp;$H1300&amp;$N1300&amp;$O1300,APOIO_REDES!$W:$W,0),MATCH(BB$5,APOIO_REDES!$5:$5,0)),0)*($AI1300+$AQ1300+$AR1300),0)</f>
        <v>18.2683500330458</v>
      </c>
      <c r="BC1300" s="153" t="n">
        <f aca="false">IFERROR(IF($N1300="VCA",INDEX(APOIO_REDES!$A:$W,MATCH($C1300&amp;$I1300&amp;$H1300&amp;$N1300&amp;$O1300,APOIO_REDES!$W:$W,0),MATCH(BC$5,APOIO_REDES!$5:$5,0)),0)*($AI1300+$AQ1300+$AR1300),0)</f>
        <v>0.2009514669542</v>
      </c>
      <c r="BD1300" s="153" t="n">
        <f aca="false">IF(AND($N1300="VCA",$AF1300&gt;=1.25,$AF1300&lt;1.5),$M1300*$AF1300*2,0)</f>
        <v>167.29462</v>
      </c>
      <c r="BE1300" s="153" t="n">
        <f aca="false">IF(AND($N1300="VCA",$AF1300&gt;=1.5,$AF1300&lt;3),$M1300*$AF1300*2,0)</f>
        <v>0</v>
      </c>
      <c r="BF1300" s="153" t="n">
        <f aca="false">IF(AND($N1300="VCA",$AF1300&gt;=3),$M1300*$AF1300*2,0)</f>
        <v>0</v>
      </c>
      <c r="BG1300" s="153" t="n">
        <f aca="false">($BB1300+$BC1300)*$AK1300</f>
        <v>103.4280884</v>
      </c>
      <c r="BH1300" s="153" t="n">
        <f aca="false">IF(AND($M1300&lt;&gt;"",$N1300="VCA",$Q1300="LINEAR"),($M1300*2)/100,IF(AND($M1300&lt;&gt;"",$N1300="MND",$Q1300="EMBOQUE"),($AN1300*2)/100,0))</f>
        <v>1.2274</v>
      </c>
      <c r="BI1300" s="153" t="n">
        <f aca="false">IF(AND($M1300&lt;&gt;"",$N1300="VCA",$Q1300="LINEAR"),$M1300,IF(AND($M1300&lt;&gt;"",$N1300="MND",$Q1300="EMBOQUE"),$AN1300*2,0))</f>
        <v>61.37</v>
      </c>
      <c r="BJ1300" s="153" t="n">
        <f aca="false">IF(AND($M1300&lt;&gt;"",$N1300="VCA",$Q1300="LINEAR"),($M1300*6.8)/100,IF(AND($M1300&lt;&gt;"",$N1300="MND",$Q1300="EMBOQUE"),($AN1300*2*6.8)/100,0))</f>
        <v>4.17316</v>
      </c>
      <c r="BK1300" s="153" t="n">
        <f aca="false">IF(AND($M1300&lt;&gt;"",$N1300="VCA",$Q1300="LINEAR"),($M1300*2.5)/50,IF(AND($M1300&lt;&gt;"",$N1300="MND",$Q1300="EMBOQUE"),($AN1300*2*2.5)/50,0))</f>
        <v>3.0685</v>
      </c>
      <c r="BL1300" s="157" t="str">
        <f aca="false">K1300&amp;J1300</f>
        <v>Zona11REDES</v>
      </c>
      <c r="BM1300" s="152" t="s">
        <v>6084</v>
      </c>
      <c r="BN1300" s="152" t="s">
        <v>1560</v>
      </c>
      <c r="BO1300" s="152" t="s">
        <v>5627</v>
      </c>
      <c r="BP1300" s="152" t="s">
        <v>6438</v>
      </c>
      <c r="BQ1300" s="152" t="s">
        <v>6466</v>
      </c>
      <c r="BR1300" s="152" t="s">
        <v>6467</v>
      </c>
      <c r="BS1300" s="152" t="n">
        <v>203596.198</v>
      </c>
      <c r="BT1300" s="152" t="n">
        <v>8235987.262</v>
      </c>
      <c r="BU1300" s="152" t="n">
        <v>203589.634</v>
      </c>
      <c r="BV1300" s="152" t="n">
        <v>8235931.677</v>
      </c>
      <c r="BW1300" s="152" t="n">
        <v>-15.9379624</v>
      </c>
      <c r="BX1300" s="152" t="n">
        <v>-47.7685986</v>
      </c>
      <c r="BY1300" s="152" t="s">
        <v>6438</v>
      </c>
    </row>
    <row r="1301" customFormat="false" ht="13.8" hidden="false" customHeight="false" outlineLevel="0" collapsed="false">
      <c r="A1301" s="149" t="n">
        <f aca="false">IF(C1301&lt;&gt;"",ROW(A1296),"")</f>
        <v>1296</v>
      </c>
      <c r="B1301" s="150" t="str">
        <f aca="false">HYPERLINK("https://www.google.com/maps/dir/-15.917302,-47.760003/-15.9379429,-47.7708402/data=!4m3!4m2!3e0!5i2")</f>
        <v>https://www.google.com/maps/dir/-15.917302,-47.760003/-15.9379429,-47.7708402/data=!4m3!4m2!3e0!5i2</v>
      </c>
      <c r="C1301" s="151" t="s">
        <v>117</v>
      </c>
      <c r="D1301" s="152" t="s">
        <v>112</v>
      </c>
      <c r="E1301" s="152" t="s">
        <v>113</v>
      </c>
      <c r="F1301" s="152" t="s">
        <v>117</v>
      </c>
      <c r="G1301" s="152" t="s">
        <v>782</v>
      </c>
      <c r="H1301" s="152" t="n">
        <v>63</v>
      </c>
      <c r="I1301" s="152" t="s">
        <v>115</v>
      </c>
      <c r="J1301" s="152" t="s">
        <v>6</v>
      </c>
      <c r="K1301" s="152" t="s">
        <v>6081</v>
      </c>
      <c r="L1301" s="152" t="s">
        <v>120</v>
      </c>
      <c r="M1301" s="153" t="n">
        <f aca="false">8.38</f>
        <v>8.38</v>
      </c>
      <c r="N1301" s="152" t="s">
        <v>1548</v>
      </c>
      <c r="O1301" s="152" t="s">
        <v>1549</v>
      </c>
      <c r="P1301" s="152" t="s">
        <v>1550</v>
      </c>
      <c r="Q1301" s="152" t="s">
        <v>1551</v>
      </c>
      <c r="R1301" s="154" t="s">
        <v>6468</v>
      </c>
      <c r="S1301" s="154" t="s">
        <v>1553</v>
      </c>
      <c r="T1301" s="155" t="s">
        <v>5625</v>
      </c>
      <c r="U1301" s="152" t="str">
        <f aca="false">RIGHT(T1301,7)</f>
        <v>023/037</v>
      </c>
      <c r="V1301" s="152" t="s">
        <v>1555</v>
      </c>
      <c r="W1301" s="156" t="n">
        <v>45882</v>
      </c>
      <c r="X1301" s="152" t="s">
        <v>1594</v>
      </c>
      <c r="Y1301" s="152"/>
      <c r="Z1301" s="152" t="s">
        <v>1557</v>
      </c>
      <c r="AA1301" s="153" t="n">
        <v>5.8</v>
      </c>
      <c r="AB1301" s="151" t="s">
        <v>6469</v>
      </c>
      <c r="AC1301" s="151" t="s">
        <v>186</v>
      </c>
      <c r="AD1301" s="151" t="str">
        <f aca="false">CONCATENATE($C1301,$I1301,$H1301,$N1301,$J1301,$K1301)</f>
        <v>TUBO PEADPEAD63VCAREDESZona11</v>
      </c>
      <c r="AE1301" s="153" t="n">
        <f aca="false">IFERROR(INDEX(APOIO_REDES!$A:$W,MATCH($C1301&amp;$I1301&amp;$H1301&amp;$N1301&amp;$O1301,APOIO_REDES!$W:$W,0),MATCH(AE$5,APOIO_REDES!$5:$5,0)),0)</f>
        <v>1.2</v>
      </c>
      <c r="AF1301" s="153" t="n">
        <f aca="false">IFERROR(INDEX(APOIO_REDES!$A:$W,MATCH($C1301&amp;$I1301&amp;$H1301&amp;$N1301&amp;$O1301,APOIO_REDES!$W:$W,0),MATCH(AF$5,APOIO_REDES!$5:$5,0)),0)</f>
        <v>1.363</v>
      </c>
      <c r="AG1301" s="153" t="n">
        <f aca="false">IFERROR(INDEX(APOIO_REDES!$A:$W,MATCH($C1301&amp;$I1301&amp;$H1301&amp;$N1301&amp;$O1301,APOIO_REDES!$W:$W,0),MATCH(AG$5,APOIO_REDES!$5:$5,0)),0)</f>
        <v>0.65</v>
      </c>
      <c r="AH1301" s="153" t="n">
        <f aca="false">IFERROR(INDEX(APOIO_REDES!$A:$W,MATCH($C1301&amp;$I1301&amp;$H1301&amp;$N1301&amp;$O1301,APOIO_REDES!$W:$W,0),MATCH(AH$5,APOIO_REDES!$5:$5,0)),0)</f>
        <v>0.1</v>
      </c>
      <c r="AI1301" s="153" t="n">
        <f aca="false">IFERROR(IF($H1301&lt;&gt;"",(((($H1301/1000)/2)^2)*PI()*$M1301),0),0)</f>
        <v>0.0261225157021951</v>
      </c>
      <c r="AJ1301" s="153" t="n">
        <f aca="false">IFERROR(IF(AND($H1301&lt;&gt;"",$I1301="FoFo",OR($N1301="MND",$N1301="VCA"),$Q1301="LINEAR"),0,IF(AND($H1301&lt;&gt;"",$I1301="PEAD",$N1301="VCA",$Q1301="LINEAR"),($H1301/1000)+0.3,IF(AND($H1301&lt;&gt;"",$I1301="PEAD",$N1301="MND",$Q1301="EMBOQUE"),0,IF(AND($H1301&lt;&gt;"",$I1301="PVC",$N1301="VCA",$Q1301="LINEAR"),($H1301/1000)+0.2,IF(AND($H1301&lt;&gt;"",$I1301="PVC",$N1301="MND",$Q1301="EMBOQUE"),0,IF(AND($H1301&lt;&gt;"",$I1301="PEAD",$N1301="VCA",$Q1301="PREDIAL"),0,0)))))),0)</f>
        <v>0.363</v>
      </c>
      <c r="AK1301" s="153" t="n">
        <f aca="false">IF(AA1301&lt;&gt;"",AA1301,0)</f>
        <v>5.8</v>
      </c>
      <c r="AL1301" s="153" t="n">
        <f aca="false">IF(AND($N1301="MND",$Q1301="EMBOQUE"),$M1301,IF(AND($N1301="VCA",$Q1301="LINEAR"),$M1301,IF(AND($N1301="VCA",$Q1301="PREDIAL"),0,0)))</f>
        <v>8.38</v>
      </c>
      <c r="AM1301" s="153" t="n">
        <f aca="false">IF(AND($N1301="MND",$Q1301="EMBOQUE"),$M1301,IF(AND($N1301="VCA",$Q1301="LINEAR"),$M1301,IF(AND($N1301="VCA",$Q1301="PREDIAL"),0,0)))</f>
        <v>8.38</v>
      </c>
      <c r="AN1301" s="153" t="n">
        <f aca="false">ROUND(IF(AND($N1301="VCA",$M1301&lt;&gt;"",$Q1301="LINEAR"),$M1301/100,IF(AND($N1301="MND",$M1301&gt;100,$Q1301="EMBOQUE"),$M1301/100,0)),0)</f>
        <v>0</v>
      </c>
      <c r="AO1301" s="153" t="n">
        <f aca="false">IF(AND($N1301="MND",$Q1301="EMBOQUE"),$AN1301*2*2,IF(AND($N1301="VCA",$Q1301="LINEAR"),$M1301*2,IF(AND($N1301="VCA",$Q1301="PREDIAL"),0,0)))</f>
        <v>16.76</v>
      </c>
      <c r="AP1301" s="153" t="n">
        <f aca="false">IFERROR($M1301*$AF1301*$AG1301,0)</f>
        <v>7.424261</v>
      </c>
      <c r="AQ1301" s="153" t="n">
        <f aca="false">IFERROR(IF(AND($N1301="VCA",$AH1301&gt;0),$M1301*$AG1301*$AH1301,0),0)</f>
        <v>0.5447</v>
      </c>
      <c r="AR1301" s="153" t="n">
        <f aca="false">IFERROR(IF(AND($N1301="VCA",$AJ1301&gt;0),($M1301*$AG1301*$AJ1301)-$AI1301,0),0)</f>
        <v>1.95113848429781</v>
      </c>
      <c r="AS1301" s="153" t="n">
        <f aca="false">IFERROR(IF(AND($N1301="VCA",$AP1301&gt;0),$AP1301-$AI1301-$AQ1301-$AR1301,0),0)</f>
        <v>4.9023</v>
      </c>
      <c r="AT1301" s="153" t="n">
        <f aca="false">IFERROR(IF($N1301="VCA",INDEX(APOIO_REDES!$A:$W,MATCH($C1301&amp;$I1301&amp;$H1301&amp;$N1301&amp;$O1301,APOIO_REDES!$W:$W,0),MATCH(AT$5,APOIO_REDES!$5:$5,0)),0)*$AP1301,0)</f>
        <v>0.0807781571490865</v>
      </c>
      <c r="AU1301" s="153" t="n">
        <f aca="false">IFERROR(IF($N1301="VCA",INDEX(APOIO_REDES!$A:$W,MATCH($C1301&amp;$I1301&amp;$H1301&amp;$N1301&amp;$O1301,APOIO_REDES!$W:$W,0),MATCH(AU$5,APOIO_REDES!$5:$5,0)),0)*$AP1301,0)</f>
        <v>0.0645072485493133</v>
      </c>
      <c r="AV1301" s="153" t="n">
        <f aca="false">IFERROR(IF($N1301="VCA",INDEX(APOIO_REDES!$A:$W,MATCH($C1301&amp;$I1301&amp;$H1301&amp;$N1301&amp;$O1301,APOIO_REDES!$W:$W,0),MATCH(AV$5,APOIO_REDES!$5:$5,0)),0)*$AP1301,0)</f>
        <v>0.00892729679746881</v>
      </c>
      <c r="AW1301" s="153" t="n">
        <f aca="false">IFERROR(IF($N1301="VCA",INDEX(APOIO_REDES!$A:$W,MATCH($C1301&amp;$I1301&amp;$H1301&amp;$N1301&amp;$O1301,APOIO_REDES!$W:$W,0),MATCH(AW$5,APOIO_REDES!$5:$5,0)),0)*$AP1301,0)</f>
        <v>5.09607027638136</v>
      </c>
      <c r="AX1301" s="153" t="n">
        <f aca="false">IFERROR(IF($N1301="VCA",INDEX(APOIO_REDES!$A:$W,MATCH($C1301&amp;$I1301&amp;$H1301&amp;$N1301&amp;$O1301,APOIO_REDES!$W:$W,0),MATCH(AX$5,APOIO_REDES!$5:$5,0)),0)*$AP1301,0)</f>
        <v>0.705281609820217</v>
      </c>
      <c r="AY1301" s="153" t="n">
        <f aca="false">IFERROR(IF($N1301="VCA",INDEX(APOIO_REDES!$A:$W,MATCH($C1301&amp;$I1301&amp;$H1301&amp;$N1301&amp;$O1301,APOIO_REDES!$W:$W,0),MATCH(AY$5,APOIO_REDES!$5:$5,0)),0)*$AP1301,0)</f>
        <v>1.29014418464814</v>
      </c>
      <c r="AZ1301" s="153" t="n">
        <f aca="false">IFERROR(IF($N1301="VCA",INDEX(APOIO_REDES!$A:$W,MATCH($C1301&amp;$I1301&amp;$H1301&amp;$N1301&amp;$O1301,APOIO_REDES!$W:$W,0),MATCH(AZ$5,APOIO_REDES!$5:$5,0)),0)*$AP1301,0)</f>
        <v>0.178552226654422</v>
      </c>
      <c r="BA1301" s="153" t="n">
        <f aca="false">IFERROR(IF(AND($N1301="VCA",$Q1301="LINEAR"),INDEX(APOIO_REDES!$A:$W,MATCH($C1301&amp;$I1301&amp;$H1301&amp;$N1301&amp;$O1301,APOIO_REDES!$W:$W,0),MATCH(BA$5,APOIO_REDES!$5:$5,0)),IF(AND($N1301="MND",$Q1301="EMBOQUE"),INDEX(APOIO_REDES!$A:$W,MATCH($C1301&amp;$I1301&amp;$H1301&amp;$N1301&amp;$O1301,APOIO_REDES!$W:$W,0),MATCH(BA$5,APOIO_REDES!$5:$5,0)),0))*$M1301/10,0)</f>
        <v>0.675406862118559</v>
      </c>
      <c r="BB1301" s="153" t="n">
        <f aca="false">IFERROR(IF($N1301="VCA",INDEX(APOIO_REDES!$A:$W,MATCH($C1301&amp;$I1301&amp;$H1301&amp;$N1301&amp;$O1301,APOIO_REDES!$W:$W,0),MATCH(BB$5,APOIO_REDES!$5:$5,0)),0)*($AI1301+$AQ1301+$AR1301),0)</f>
        <v>2.49452131785765</v>
      </c>
      <c r="BC1301" s="153" t="n">
        <f aca="false">IFERROR(IF($N1301="VCA",INDEX(APOIO_REDES!$A:$W,MATCH($C1301&amp;$I1301&amp;$H1301&amp;$N1301&amp;$O1301,APOIO_REDES!$W:$W,0),MATCH(BC$5,APOIO_REDES!$5:$5,0)),0)*($AI1301+$AQ1301+$AR1301),0)</f>
        <v>0.0274396821423529</v>
      </c>
      <c r="BD1301" s="153" t="n">
        <f aca="false">IF(AND($N1301="VCA",$AF1301&gt;=1.25,$AF1301&lt;1.5),$M1301*$AF1301*2,0)</f>
        <v>22.84388</v>
      </c>
      <c r="BE1301" s="153" t="n">
        <f aca="false">IF(AND($N1301="VCA",$AF1301&gt;=1.5,$AF1301&lt;3),$M1301*$AF1301*2,0)</f>
        <v>0</v>
      </c>
      <c r="BF1301" s="153" t="n">
        <f aca="false">IF(AND($N1301="VCA",$AF1301&gt;=3),$M1301*$AF1301*2,0)</f>
        <v>0</v>
      </c>
      <c r="BG1301" s="153" t="n">
        <f aca="false">($BB1301+$BC1301)*$AK1301</f>
        <v>14.6273738</v>
      </c>
      <c r="BH1301" s="153" t="n">
        <f aca="false">IF(AND($M1301&lt;&gt;"",$N1301="VCA",$Q1301="LINEAR"),($M1301*2)/100,IF(AND($M1301&lt;&gt;"",$N1301="MND",$Q1301="EMBOQUE"),($AN1301*2)/100,0))</f>
        <v>0.1676</v>
      </c>
      <c r="BI1301" s="153" t="n">
        <f aca="false">IF(AND($M1301&lt;&gt;"",$N1301="VCA",$Q1301="LINEAR"),$M1301,IF(AND($M1301&lt;&gt;"",$N1301="MND",$Q1301="EMBOQUE"),$AN1301*2,0))</f>
        <v>8.38</v>
      </c>
      <c r="BJ1301" s="153" t="n">
        <f aca="false">IF(AND($M1301&lt;&gt;"",$N1301="VCA",$Q1301="LINEAR"),($M1301*6.8)/100,IF(AND($M1301&lt;&gt;"",$N1301="MND",$Q1301="EMBOQUE"),($AN1301*2*6.8)/100,0))</f>
        <v>0.56984</v>
      </c>
      <c r="BK1301" s="153" t="n">
        <f aca="false">IF(AND($M1301&lt;&gt;"",$N1301="VCA",$Q1301="LINEAR"),($M1301*2.5)/50,IF(AND($M1301&lt;&gt;"",$N1301="MND",$Q1301="EMBOQUE"),($AN1301*2*2.5)/50,0))</f>
        <v>0.419</v>
      </c>
      <c r="BL1301" s="157" t="str">
        <f aca="false">K1301&amp;J1301</f>
        <v>Zona11REDES</v>
      </c>
      <c r="BM1301" s="152" t="s">
        <v>6084</v>
      </c>
      <c r="BN1301" s="152" t="s">
        <v>1560</v>
      </c>
      <c r="BO1301" s="152" t="s">
        <v>5627</v>
      </c>
      <c r="BP1301" s="152" t="s">
        <v>6463</v>
      </c>
      <c r="BQ1301" s="152" t="s">
        <v>6470</v>
      </c>
      <c r="BR1301" s="152" t="s">
        <v>6471</v>
      </c>
      <c r="BS1301" s="152" t="n">
        <v>203353.261</v>
      </c>
      <c r="BT1301" s="152" t="n">
        <v>8235958.238</v>
      </c>
      <c r="BU1301" s="152" t="n">
        <v>203355.232</v>
      </c>
      <c r="BV1301" s="152" t="n">
        <v>8235950.094</v>
      </c>
      <c r="BW1301" s="152" t="n">
        <v>-15.9379798</v>
      </c>
      <c r="BX1301" s="152" t="n">
        <v>-47.7708315</v>
      </c>
      <c r="BY1301" s="152" t="s">
        <v>6463</v>
      </c>
    </row>
    <row r="1302" customFormat="false" ht="13.8" hidden="false" customHeight="false" outlineLevel="0" collapsed="false">
      <c r="A1302" s="149" t="n">
        <f aca="false">IF(C1302&lt;&gt;"",ROW(A1297),"")</f>
        <v>1297</v>
      </c>
      <c r="B1302" s="150" t="str">
        <f aca="false">HYPERLINK("https://www.google.com/maps/dir/-15.917302,-47.760003/-15.9380167,-47.7708228/data=!4m3!4m2!3e0!5i2")</f>
        <v>https://www.google.com/maps/dir/-15.917302,-47.760003/-15.9380167,-47.7708228/data=!4m3!4m2!3e0!5i2</v>
      </c>
      <c r="C1302" s="151" t="s">
        <v>117</v>
      </c>
      <c r="D1302" s="152" t="s">
        <v>112</v>
      </c>
      <c r="E1302" s="152" t="s">
        <v>113</v>
      </c>
      <c r="F1302" s="152" t="s">
        <v>117</v>
      </c>
      <c r="G1302" s="152" t="s">
        <v>782</v>
      </c>
      <c r="H1302" s="152" t="n">
        <v>63</v>
      </c>
      <c r="I1302" s="152" t="s">
        <v>115</v>
      </c>
      <c r="J1302" s="152" t="s">
        <v>6</v>
      </c>
      <c r="K1302" s="152" t="s">
        <v>6081</v>
      </c>
      <c r="L1302" s="152" t="s">
        <v>120</v>
      </c>
      <c r="M1302" s="153" t="n">
        <f aca="false">29.51</f>
        <v>29.51</v>
      </c>
      <c r="N1302" s="152" t="s">
        <v>1548</v>
      </c>
      <c r="O1302" s="152" t="s">
        <v>1549</v>
      </c>
      <c r="P1302" s="152" t="s">
        <v>1550</v>
      </c>
      <c r="Q1302" s="152" t="s">
        <v>1551</v>
      </c>
      <c r="R1302" s="154" t="s">
        <v>6472</v>
      </c>
      <c r="S1302" s="154" t="s">
        <v>1553</v>
      </c>
      <c r="T1302" s="155" t="s">
        <v>5625</v>
      </c>
      <c r="U1302" s="152" t="str">
        <f aca="false">RIGHT(T1302,7)</f>
        <v>023/037</v>
      </c>
      <c r="V1302" s="152" t="s">
        <v>1555</v>
      </c>
      <c r="W1302" s="156" t="n">
        <v>45882</v>
      </c>
      <c r="X1302" s="152" t="s">
        <v>1594</v>
      </c>
      <c r="Y1302" s="152"/>
      <c r="Z1302" s="152" t="s">
        <v>1557</v>
      </c>
      <c r="AA1302" s="153" t="n">
        <v>5.8</v>
      </c>
      <c r="AB1302" s="151" t="s">
        <v>6473</v>
      </c>
      <c r="AC1302" s="151" t="s">
        <v>186</v>
      </c>
      <c r="AD1302" s="151" t="str">
        <f aca="false">CONCATENATE($C1302,$I1302,$H1302,$N1302,$J1302,$K1302)</f>
        <v>TUBO PEADPEAD63VCAREDESZona11</v>
      </c>
      <c r="AE1302" s="153" t="n">
        <f aca="false">IFERROR(INDEX(APOIO_REDES!$A:$W,MATCH($C1302&amp;$I1302&amp;$H1302&amp;$N1302&amp;$O1302,APOIO_REDES!$W:$W,0),MATCH(AE$5,APOIO_REDES!$5:$5,0)),0)</f>
        <v>1.2</v>
      </c>
      <c r="AF1302" s="153" t="n">
        <f aca="false">IFERROR(INDEX(APOIO_REDES!$A:$W,MATCH($C1302&amp;$I1302&amp;$H1302&amp;$N1302&amp;$O1302,APOIO_REDES!$W:$W,0),MATCH(AF$5,APOIO_REDES!$5:$5,0)),0)</f>
        <v>1.363</v>
      </c>
      <c r="AG1302" s="153" t="n">
        <f aca="false">IFERROR(INDEX(APOIO_REDES!$A:$W,MATCH($C1302&amp;$I1302&amp;$H1302&amp;$N1302&amp;$O1302,APOIO_REDES!$W:$W,0),MATCH(AG$5,APOIO_REDES!$5:$5,0)),0)</f>
        <v>0.65</v>
      </c>
      <c r="AH1302" s="153" t="n">
        <f aca="false">IFERROR(INDEX(APOIO_REDES!$A:$W,MATCH($C1302&amp;$I1302&amp;$H1302&amp;$N1302&amp;$O1302,APOIO_REDES!$W:$W,0),MATCH(AH$5,APOIO_REDES!$5:$5,0)),0)</f>
        <v>0.1</v>
      </c>
      <c r="AI1302" s="153" t="n">
        <f aca="false">IFERROR(IF($H1302&lt;&gt;"",(((($H1302/1000)/2)^2)*PI()*$M1302),0),0)</f>
        <v>0.0919899091135772</v>
      </c>
      <c r="AJ1302" s="153" t="n">
        <f aca="false">IFERROR(IF(AND($H1302&lt;&gt;"",$I1302="FoFo",OR($N1302="MND",$N1302="VCA"),$Q1302="LINEAR"),0,IF(AND($H1302&lt;&gt;"",$I1302="PEAD",$N1302="VCA",$Q1302="LINEAR"),($H1302/1000)+0.3,IF(AND($H1302&lt;&gt;"",$I1302="PEAD",$N1302="MND",$Q1302="EMBOQUE"),0,IF(AND($H1302&lt;&gt;"",$I1302="PVC",$N1302="VCA",$Q1302="LINEAR"),($H1302/1000)+0.2,IF(AND($H1302&lt;&gt;"",$I1302="PVC",$N1302="MND",$Q1302="EMBOQUE"),0,IF(AND($H1302&lt;&gt;"",$I1302="PEAD",$N1302="VCA",$Q1302="PREDIAL"),0,0)))))),0)</f>
        <v>0.363</v>
      </c>
      <c r="AK1302" s="153" t="n">
        <f aca="false">IF(AA1302&lt;&gt;"",AA1302,0)</f>
        <v>5.8</v>
      </c>
      <c r="AL1302" s="153" t="n">
        <f aca="false">IF(AND($N1302="MND",$Q1302="EMBOQUE"),$M1302,IF(AND($N1302="VCA",$Q1302="LINEAR"),$M1302,IF(AND($N1302="VCA",$Q1302="PREDIAL"),0,0)))</f>
        <v>29.51</v>
      </c>
      <c r="AM1302" s="153" t="n">
        <f aca="false">IF(AND($N1302="MND",$Q1302="EMBOQUE"),$M1302,IF(AND($N1302="VCA",$Q1302="LINEAR"),$M1302,IF(AND($N1302="VCA",$Q1302="PREDIAL"),0,0)))</f>
        <v>29.51</v>
      </c>
      <c r="AN1302" s="153" t="n">
        <f aca="false">ROUND(IF(AND($N1302="VCA",$M1302&lt;&gt;"",$Q1302="LINEAR"),$M1302/100,IF(AND($N1302="MND",$M1302&gt;100,$Q1302="EMBOQUE"),$M1302/100,0)),0)</f>
        <v>0</v>
      </c>
      <c r="AO1302" s="153" t="n">
        <f aca="false">IF(AND($N1302="MND",$Q1302="EMBOQUE"),$AN1302*2*2,IF(AND($N1302="VCA",$Q1302="LINEAR"),$M1302*2,IF(AND($N1302="VCA",$Q1302="PREDIAL"),0,0)))</f>
        <v>59.02</v>
      </c>
      <c r="AP1302" s="153" t="n">
        <f aca="false">IFERROR($M1302*$AF1302*$AG1302,0)</f>
        <v>26.1443845</v>
      </c>
      <c r="AQ1302" s="153" t="n">
        <f aca="false">IFERROR(IF(AND($N1302="VCA",$AH1302&gt;0),$M1302*$AG1302*$AH1302,0),0)</f>
        <v>1.91815</v>
      </c>
      <c r="AR1302" s="153" t="n">
        <f aca="false">IFERROR(IF(AND($N1302="VCA",$AJ1302&gt;0),($M1302*$AG1302*$AJ1302)-$AI1302,0),0)</f>
        <v>6.87089459088642</v>
      </c>
      <c r="AS1302" s="153" t="n">
        <f aca="false">IFERROR(IF(AND($N1302="VCA",$AP1302&gt;0),$AP1302-$AI1302-$AQ1302-$AR1302,0),0)</f>
        <v>17.26335</v>
      </c>
      <c r="AT1302" s="153" t="n">
        <f aca="false">IFERROR(IF($N1302="VCA",INDEX(APOIO_REDES!$A:$W,MATCH($C1302&amp;$I1302&amp;$H1302&amp;$N1302&amp;$O1302,APOIO_REDES!$W:$W,0),MATCH(AT$5,APOIO_REDES!$5:$5,0)),0)*$AP1302,0)</f>
        <v>0.284458641702809</v>
      </c>
      <c r="AU1302" s="153" t="n">
        <f aca="false">IFERROR(IF($N1302="VCA",INDEX(APOIO_REDES!$A:$W,MATCH($C1302&amp;$I1302&amp;$H1302&amp;$N1302&amp;$O1302,APOIO_REDES!$W:$W,0),MATCH(AU$5,APOIO_REDES!$5:$5,0)),0)*$AP1302,0)</f>
        <v>0.227160967146806</v>
      </c>
      <c r="AV1302" s="153" t="n">
        <f aca="false">IFERROR(IF($N1302="VCA",INDEX(APOIO_REDES!$A:$W,MATCH($C1302&amp;$I1302&amp;$H1302&amp;$N1302&amp;$O1302,APOIO_REDES!$W:$W,0),MATCH(AV$5,APOIO_REDES!$5:$5,0)),0)*$AP1302,0)</f>
        <v>0.0314372945696068</v>
      </c>
      <c r="AW1302" s="153" t="n">
        <f aca="false">IFERROR(IF($N1302="VCA",INDEX(APOIO_REDES!$A:$W,MATCH($C1302&amp;$I1302&amp;$H1302&amp;$N1302&amp;$O1302,APOIO_REDES!$W:$W,0),MATCH(AW$5,APOIO_REDES!$5:$5,0)),0)*$AP1302,0)</f>
        <v>17.9457080973764</v>
      </c>
      <c r="AX1302" s="153" t="n">
        <f aca="false">IFERROR(IF($N1302="VCA",INDEX(APOIO_REDES!$A:$W,MATCH($C1302&amp;$I1302&amp;$H1302&amp;$N1302&amp;$O1302,APOIO_REDES!$W:$W,0),MATCH(AX$5,APOIO_REDES!$5:$5,0)),0)*$AP1302,0)</f>
        <v>2.48363488135974</v>
      </c>
      <c r="AY1302" s="153" t="n">
        <f aca="false">IFERROR(IF($N1302="VCA",INDEX(APOIO_REDES!$A:$W,MATCH($C1302&amp;$I1302&amp;$H1302&amp;$N1302&amp;$O1302,APOIO_REDES!$W:$W,0),MATCH(AY$5,APOIO_REDES!$5:$5,0)),0)*$AP1302,0)</f>
        <v>4.54321657386235</v>
      </c>
      <c r="AZ1302" s="153" t="n">
        <f aca="false">IFERROR(IF($N1302="VCA",INDEX(APOIO_REDES!$A:$W,MATCH($C1302&amp;$I1302&amp;$H1302&amp;$N1302&amp;$O1302,APOIO_REDES!$W:$W,0),MATCH(AZ$5,APOIO_REDES!$5:$5,0)),0)*$AP1302,0)</f>
        <v>0.628768043982336</v>
      </c>
      <c r="BA1302" s="153" t="n">
        <f aca="false">IFERROR(IF(AND($N1302="VCA",$Q1302="LINEAR"),INDEX(APOIO_REDES!$A:$W,MATCH($C1302&amp;$I1302&amp;$H1302&amp;$N1302&amp;$O1302,APOIO_REDES!$W:$W,0),MATCH(BA$5,APOIO_REDES!$5:$5,0)),IF(AND($N1302="MND",$Q1302="EMBOQUE"),INDEX(APOIO_REDES!$A:$W,MATCH($C1302&amp;$I1302&amp;$H1302&amp;$N1302&amp;$O1302,APOIO_REDES!$W:$W,0),MATCH(BA$5,APOIO_REDES!$5:$5,0)),0))*$M1302/10,0)</f>
        <v>2.37843156337932</v>
      </c>
      <c r="BB1302" s="153" t="n">
        <f aca="false">IFERROR(IF($N1302="VCA",INDEX(APOIO_REDES!$A:$W,MATCH($C1302&amp;$I1302&amp;$H1302&amp;$N1302&amp;$O1302,APOIO_REDES!$W:$W,0),MATCH(BB$5,APOIO_REDES!$5:$5,0)),0)*($AI1302+$AQ1302+$AR1302),0)</f>
        <v>8.78440621598797</v>
      </c>
      <c r="BC1302" s="153" t="n">
        <f aca="false">IFERROR(IF($N1302="VCA",INDEX(APOIO_REDES!$A:$W,MATCH($C1302&amp;$I1302&amp;$H1302&amp;$N1302&amp;$O1302,APOIO_REDES!$W:$W,0),MATCH(BC$5,APOIO_REDES!$5:$5,0)),0)*($AI1302+$AQ1302+$AR1302),0)</f>
        <v>0.0966282840120328</v>
      </c>
      <c r="BD1302" s="153" t="n">
        <f aca="false">IF(AND($N1302="VCA",$AF1302&gt;=1.25,$AF1302&lt;1.5),$M1302*$AF1302*2,0)</f>
        <v>80.44426</v>
      </c>
      <c r="BE1302" s="153" t="n">
        <f aca="false">IF(AND($N1302="VCA",$AF1302&gt;=1.5,$AF1302&lt;3),$M1302*$AF1302*2,0)</f>
        <v>0</v>
      </c>
      <c r="BF1302" s="153" t="n">
        <f aca="false">IF(AND($N1302="VCA",$AF1302&gt;=3),$M1302*$AF1302*2,0)</f>
        <v>0</v>
      </c>
      <c r="BG1302" s="153" t="n">
        <f aca="false">($BB1302+$BC1302)*$AK1302</f>
        <v>51.5100001</v>
      </c>
      <c r="BH1302" s="153" t="n">
        <f aca="false">IF(AND($M1302&lt;&gt;"",$N1302="VCA",$Q1302="LINEAR"),($M1302*2)/100,IF(AND($M1302&lt;&gt;"",$N1302="MND",$Q1302="EMBOQUE"),($AN1302*2)/100,0))</f>
        <v>0.5902</v>
      </c>
      <c r="BI1302" s="153" t="n">
        <f aca="false">IF(AND($M1302&lt;&gt;"",$N1302="VCA",$Q1302="LINEAR"),$M1302,IF(AND($M1302&lt;&gt;"",$N1302="MND",$Q1302="EMBOQUE"),$AN1302*2,0))</f>
        <v>29.51</v>
      </c>
      <c r="BJ1302" s="153" t="n">
        <f aca="false">IF(AND($M1302&lt;&gt;"",$N1302="VCA",$Q1302="LINEAR"),($M1302*6.8)/100,IF(AND($M1302&lt;&gt;"",$N1302="MND",$Q1302="EMBOQUE"),($AN1302*2*6.8)/100,0))</f>
        <v>2.00668</v>
      </c>
      <c r="BK1302" s="153" t="n">
        <f aca="false">IF(AND($M1302&lt;&gt;"",$N1302="VCA",$Q1302="LINEAR"),($M1302*2.5)/50,IF(AND($M1302&lt;&gt;"",$N1302="MND",$Q1302="EMBOQUE"),($AN1302*2*2.5)/50,0))</f>
        <v>1.4755</v>
      </c>
      <c r="BL1302" s="157" t="str">
        <f aca="false">K1302&amp;J1302</f>
        <v>Zona11REDES</v>
      </c>
      <c r="BM1302" s="152" t="s">
        <v>6084</v>
      </c>
      <c r="BN1302" s="152" t="s">
        <v>1560</v>
      </c>
      <c r="BO1302" s="152" t="s">
        <v>5627</v>
      </c>
      <c r="BP1302" s="152" t="s">
        <v>6470</v>
      </c>
      <c r="BQ1302" s="152" t="s">
        <v>6474</v>
      </c>
      <c r="BR1302" s="152" t="s">
        <v>6475</v>
      </c>
      <c r="BS1302" s="152" t="n">
        <v>203355.232</v>
      </c>
      <c r="BT1302" s="152" t="n">
        <v>8235950.094</v>
      </c>
      <c r="BU1302" s="152" t="n">
        <v>203383.877</v>
      </c>
      <c r="BV1302" s="152" t="n">
        <v>8235957.18</v>
      </c>
      <c r="BW1302" s="152" t="n">
        <v>-15.9379864</v>
      </c>
      <c r="BX1302" s="152" t="n">
        <v>-47.7706887</v>
      </c>
      <c r="BY1302" s="152" t="s">
        <v>6470</v>
      </c>
    </row>
    <row r="1303" customFormat="false" ht="13.8" hidden="false" customHeight="false" outlineLevel="0" collapsed="false">
      <c r="A1303" s="149" t="n">
        <f aca="false">IF(C1303&lt;&gt;"",ROW(A1298),"")</f>
        <v>1298</v>
      </c>
      <c r="B1303" s="150" t="str">
        <f aca="false">HYPERLINK("https://www.google.com/maps/dir/-15.917302,-47.760003/-15.9386819,-47.7678203/data=!4m3!4m2!3e0!5i0")</f>
        <v>https://www.google.com/maps/dir/-15.917302,-47.760003/-15.9386819,-47.7678203/data=!4m3!4m2!3e0!5i0</v>
      </c>
      <c r="C1303" s="151" t="s">
        <v>117</v>
      </c>
      <c r="D1303" s="152" t="s">
        <v>112</v>
      </c>
      <c r="E1303" s="152" t="s">
        <v>113</v>
      </c>
      <c r="F1303" s="152" t="s">
        <v>117</v>
      </c>
      <c r="G1303" s="152" t="s">
        <v>114</v>
      </c>
      <c r="H1303" s="152" t="n">
        <v>225</v>
      </c>
      <c r="I1303" s="152" t="s">
        <v>115</v>
      </c>
      <c r="J1303" s="152" t="s">
        <v>6</v>
      </c>
      <c r="K1303" s="152" t="s">
        <v>6081</v>
      </c>
      <c r="L1303" s="152" t="s">
        <v>120</v>
      </c>
      <c r="M1303" s="153" t="n">
        <f aca="false">104.95</f>
        <v>104.95</v>
      </c>
      <c r="N1303" s="152" t="s">
        <v>1548</v>
      </c>
      <c r="O1303" s="152" t="s">
        <v>1549</v>
      </c>
      <c r="P1303" s="152" t="s">
        <v>1550</v>
      </c>
      <c r="Q1303" s="152" t="s">
        <v>1551</v>
      </c>
      <c r="R1303" s="154" t="s">
        <v>6476</v>
      </c>
      <c r="S1303" s="154" t="s">
        <v>1593</v>
      </c>
      <c r="T1303" s="155" t="s">
        <v>5625</v>
      </c>
      <c r="U1303" s="152" t="str">
        <f aca="false">RIGHT(T1303,7)</f>
        <v>023/037</v>
      </c>
      <c r="V1303" s="152" t="s">
        <v>1555</v>
      </c>
      <c r="W1303" s="156" t="n">
        <v>45882</v>
      </c>
      <c r="X1303" s="152" t="s">
        <v>1594</v>
      </c>
      <c r="Y1303" s="152" t="s">
        <v>1986</v>
      </c>
      <c r="Z1303" s="152" t="s">
        <v>1557</v>
      </c>
      <c r="AA1303" s="153" t="n">
        <v>5.3</v>
      </c>
      <c r="AB1303" s="151" t="s">
        <v>6477</v>
      </c>
      <c r="AC1303" s="151" t="s">
        <v>508</v>
      </c>
      <c r="AD1303" s="151" t="str">
        <f aca="false">CONCATENATE($C1303,$I1303,$H1303,$N1303,$J1303,$K1303)</f>
        <v>TUBO PEADPEAD225VCAREDESZona11</v>
      </c>
      <c r="AE1303" s="153" t="n">
        <f aca="false">IFERROR(INDEX(APOIO_REDES!$A:$W,MATCH($C1303&amp;$I1303&amp;$H1303&amp;$N1303&amp;$O1303,APOIO_REDES!$W:$W,0),MATCH(AE$5,APOIO_REDES!$5:$5,0)),0)</f>
        <v>1.2</v>
      </c>
      <c r="AF1303" s="153" t="n">
        <f aca="false">IFERROR(INDEX(APOIO_REDES!$A:$W,MATCH($C1303&amp;$I1303&amp;$H1303&amp;$N1303&amp;$O1303,APOIO_REDES!$W:$W,0),MATCH(AF$5,APOIO_REDES!$5:$5,0)),0)</f>
        <v>1.525</v>
      </c>
      <c r="AG1303" s="153" t="n">
        <f aca="false">IFERROR(INDEX(APOIO_REDES!$A:$W,MATCH($C1303&amp;$I1303&amp;$H1303&amp;$N1303&amp;$O1303,APOIO_REDES!$W:$W,0),MATCH(AG$5,APOIO_REDES!$5:$5,0)),0)</f>
        <v>0.8</v>
      </c>
      <c r="AH1303" s="153" t="n">
        <f aca="false">IFERROR(INDEX(APOIO_REDES!$A:$W,MATCH($C1303&amp;$I1303&amp;$H1303&amp;$N1303&amp;$O1303,APOIO_REDES!$W:$W,0),MATCH(AH$5,APOIO_REDES!$5:$5,0)),0)</f>
        <v>0.1</v>
      </c>
      <c r="AI1303" s="153" t="n">
        <f aca="false">IFERROR(IF($H1303&lt;&gt;"",(((($H1303/1000)/2)^2)*PI()*$M1303),0),0)</f>
        <v>4.17289407320846</v>
      </c>
      <c r="AJ1303" s="153" t="n">
        <f aca="false">IFERROR(IF(AND($H1303&lt;&gt;"",$I1303="FoFo",OR($N1303="MND",$N1303="VCA"),$Q1303="LINEAR"),0,IF(AND($H1303&lt;&gt;"",$I1303="PEAD",$N1303="VCA",$Q1303="LINEAR"),($H1303/1000)+0.3,IF(AND($H1303&lt;&gt;"",$I1303="PEAD",$N1303="MND",$Q1303="EMBOQUE"),0,IF(AND($H1303&lt;&gt;"",$I1303="PVC",$N1303="VCA",$Q1303="LINEAR"),($H1303/1000)+0.2,IF(AND($H1303&lt;&gt;"",$I1303="PVC",$N1303="MND",$Q1303="EMBOQUE"),0,IF(AND($H1303&lt;&gt;"",$I1303="PEAD",$N1303="VCA",$Q1303="PREDIAL"),0,0)))))),0)</f>
        <v>0.525</v>
      </c>
      <c r="AK1303" s="153" t="n">
        <f aca="false">IF(AA1303&lt;&gt;"",AA1303,0)</f>
        <v>5.3</v>
      </c>
      <c r="AL1303" s="153" t="n">
        <f aca="false">IF(AND($N1303="MND",$Q1303="EMBOQUE"),$M1303,IF(AND($N1303="VCA",$Q1303="LINEAR"),$M1303,IF(AND($N1303="VCA",$Q1303="PREDIAL"),0,0)))</f>
        <v>104.95</v>
      </c>
      <c r="AM1303" s="153" t="n">
        <f aca="false">IF(AND($N1303="MND",$Q1303="EMBOQUE"),$M1303,IF(AND($N1303="VCA",$Q1303="LINEAR"),$M1303,IF(AND($N1303="VCA",$Q1303="PREDIAL"),0,0)))</f>
        <v>104.95</v>
      </c>
      <c r="AN1303" s="153" t="n">
        <f aca="false">ROUND(IF(AND($N1303="VCA",$M1303&lt;&gt;"",$Q1303="LINEAR"),$M1303/100,IF(AND($N1303="MND",$M1303&gt;100,$Q1303="EMBOQUE"),$M1303/100,0)),0)</f>
        <v>1</v>
      </c>
      <c r="AO1303" s="153" t="n">
        <f aca="false">IF(AND($N1303="MND",$Q1303="EMBOQUE"),$AN1303*2*2,IF(AND($N1303="VCA",$Q1303="LINEAR"),$M1303*2,IF(AND($N1303="VCA",$Q1303="PREDIAL"),0,0)))</f>
        <v>209.9</v>
      </c>
      <c r="AP1303" s="153" t="n">
        <f aca="false">IFERROR($M1303*$AF1303*$AG1303,0)</f>
        <v>128.039</v>
      </c>
      <c r="AQ1303" s="153" t="n">
        <f aca="false">IFERROR(IF(AND($N1303="VCA",$AH1303&gt;0),$M1303*$AG1303*$AH1303,0),0)</f>
        <v>8.396</v>
      </c>
      <c r="AR1303" s="153" t="n">
        <f aca="false">IFERROR(IF(AND($N1303="VCA",$AJ1303&gt;0),($M1303*$AG1303*$AJ1303)-$AI1303,0),0)</f>
        <v>39.9061059267916</v>
      </c>
      <c r="AS1303" s="153" t="n">
        <f aca="false">IFERROR(IF(AND($N1303="VCA",$AP1303&gt;0),$AP1303-$AI1303-$AQ1303-$AR1303,0),0)</f>
        <v>75.564</v>
      </c>
      <c r="AT1303" s="153" t="n">
        <f aca="false">IFERROR(IF($N1303="VCA",INDEX(APOIO_REDES!$A:$W,MATCH($C1303&amp;$I1303&amp;$H1303&amp;$N1303&amp;$O1303,APOIO_REDES!$W:$W,0),MATCH(AT$5,APOIO_REDES!$5:$5,0)),0)*$AP1303,0)</f>
        <v>1.39310221760952</v>
      </c>
      <c r="AU1303" s="153" t="n">
        <f aca="false">IFERROR(IF($N1303="VCA",INDEX(APOIO_REDES!$A:$W,MATCH($C1303&amp;$I1303&amp;$H1303&amp;$N1303&amp;$O1303,APOIO_REDES!$W:$W,0),MATCH(AU$5,APOIO_REDES!$5:$5,0)),0)*$AP1303,0)</f>
        <v>1.11249370098997</v>
      </c>
      <c r="AV1303" s="153" t="n">
        <f aca="false">IFERROR(IF($N1303="VCA",INDEX(APOIO_REDES!$A:$W,MATCH($C1303&amp;$I1303&amp;$H1303&amp;$N1303&amp;$O1303,APOIO_REDES!$W:$W,0),MATCH(AV$5,APOIO_REDES!$5:$5,0)),0)*$AP1303,0)</f>
        <v>0.153960394799039</v>
      </c>
      <c r="AW1303" s="153" t="n">
        <f aca="false">IFERROR(IF($N1303="VCA",INDEX(APOIO_REDES!$A:$W,MATCH($C1303&amp;$I1303&amp;$H1303&amp;$N1303&amp;$O1303,APOIO_REDES!$W:$W,0),MATCH(AW$5,APOIO_REDES!$5:$5,0)),0)*$AP1303,0)</f>
        <v>87.8869616945839</v>
      </c>
      <c r="AX1303" s="153" t="n">
        <f aca="false">IFERROR(IF($N1303="VCA",INDEX(APOIO_REDES!$A:$W,MATCH($C1303&amp;$I1303&amp;$H1303&amp;$N1303&amp;$O1303,APOIO_REDES!$W:$W,0),MATCH(AX$5,APOIO_REDES!$5:$5,0)),0)*$AP1303,0)</f>
        <v>12.1633051477811</v>
      </c>
      <c r="AY1303" s="153" t="n">
        <f aca="false">IFERROR(IF($N1303="VCA",INDEX(APOIO_REDES!$A:$W,MATCH($C1303&amp;$I1303&amp;$H1303&amp;$N1303&amp;$O1303,APOIO_REDES!$W:$W,0),MATCH(AY$5,APOIO_REDES!$5:$5,0)),0)*$AP1303,0)</f>
        <v>22.2498604585914</v>
      </c>
      <c r="AZ1303" s="153" t="n">
        <f aca="false">IFERROR(IF($N1303="VCA",INDEX(APOIO_REDES!$A:$W,MATCH($C1303&amp;$I1303&amp;$H1303&amp;$N1303&amp;$O1303,APOIO_REDES!$W:$W,0),MATCH(AZ$5,APOIO_REDES!$5:$5,0)),0)*$AP1303,0)</f>
        <v>3.07931638564505</v>
      </c>
      <c r="BA1303" s="153" t="n">
        <f aca="false">IFERROR(IF(AND($N1303="VCA",$Q1303="LINEAR"),INDEX(APOIO_REDES!$A:$W,MATCH($C1303&amp;$I1303&amp;$H1303&amp;$N1303&amp;$O1303,APOIO_REDES!$W:$W,0),MATCH(BA$5,APOIO_REDES!$5:$5,0)),IF(AND($N1303="MND",$Q1303="EMBOQUE"),INDEX(APOIO_REDES!$A:$W,MATCH($C1303&amp;$I1303&amp;$H1303&amp;$N1303&amp;$O1303,APOIO_REDES!$W:$W,0),MATCH(BA$5,APOIO_REDES!$5:$5,0)),0))*$M1303/10,0)</f>
        <v>8.45870527199794</v>
      </c>
      <c r="BB1303" s="153" t="n">
        <f aca="false">IFERROR(IF($N1303="VCA",INDEX(APOIO_REDES!$A:$W,MATCH($C1303&amp;$I1303&amp;$H1303&amp;$N1303&amp;$O1303,APOIO_REDES!$W:$W,0),MATCH(BB$5,APOIO_REDES!$5:$5,0)),0)*($AI1303+$AQ1303+$AR1303),0)</f>
        <v>51.9040564681928</v>
      </c>
      <c r="BC1303" s="153" t="n">
        <f aca="false">IFERROR(IF($N1303="VCA",INDEX(APOIO_REDES!$A:$W,MATCH($C1303&amp;$I1303&amp;$H1303&amp;$N1303&amp;$O1303,APOIO_REDES!$W:$W,0),MATCH(BC$5,APOIO_REDES!$5:$5,0)),0)*($AI1303+$AQ1303+$AR1303),0)</f>
        <v>0.570943531807181</v>
      </c>
      <c r="BD1303" s="153" t="n">
        <f aca="false">IF(AND($N1303="VCA",$AF1303&gt;=1.25,$AF1303&lt;1.5),$M1303*$AF1303*2,0)</f>
        <v>0</v>
      </c>
      <c r="BE1303" s="153" t="n">
        <f aca="false">IF(AND($N1303="VCA",$AF1303&gt;=1.5,$AF1303&lt;3),$M1303*$AF1303*2,0)</f>
        <v>320.0975</v>
      </c>
      <c r="BF1303" s="153" t="n">
        <f aca="false">IF(AND($N1303="VCA",$AF1303&gt;=3),$M1303*$AF1303*2,0)</f>
        <v>0</v>
      </c>
      <c r="BG1303" s="153" t="n">
        <f aca="false">($BB1303+$BC1303)*$AK1303</f>
        <v>278.1175</v>
      </c>
      <c r="BH1303" s="153" t="n">
        <f aca="false">IF(AND($M1303&lt;&gt;"",$N1303="VCA",$Q1303="LINEAR"),($M1303*2)/100,IF(AND($M1303&lt;&gt;"",$N1303="MND",$Q1303="EMBOQUE"),($AN1303*2)/100,0))</f>
        <v>2.099</v>
      </c>
      <c r="BI1303" s="153" t="n">
        <f aca="false">IF(AND($M1303&lt;&gt;"",$N1303="VCA",$Q1303="LINEAR"),$M1303,IF(AND($M1303&lt;&gt;"",$N1303="MND",$Q1303="EMBOQUE"),$AN1303*2,0))</f>
        <v>104.95</v>
      </c>
      <c r="BJ1303" s="153" t="n">
        <f aca="false">IF(AND($M1303&lt;&gt;"",$N1303="VCA",$Q1303="LINEAR"),($M1303*6.8)/100,IF(AND($M1303&lt;&gt;"",$N1303="MND",$Q1303="EMBOQUE"),($AN1303*2*6.8)/100,0))</f>
        <v>7.1366</v>
      </c>
      <c r="BK1303" s="153" t="n">
        <f aca="false">IF(AND($M1303&lt;&gt;"",$N1303="VCA",$Q1303="LINEAR"),($M1303*2.5)/50,IF(AND($M1303&lt;&gt;"",$N1303="MND",$Q1303="EMBOQUE"),($AN1303*2*2.5)/50,0))</f>
        <v>5.2475</v>
      </c>
      <c r="BL1303" s="157" t="str">
        <f aca="false">K1303&amp;J1303</f>
        <v>Zona11REDES</v>
      </c>
      <c r="BM1303" s="152" t="s">
        <v>6084</v>
      </c>
      <c r="BN1303" s="152" t="s">
        <v>1560</v>
      </c>
      <c r="BO1303" s="152" t="s">
        <v>5627</v>
      </c>
      <c r="BP1303" s="152" t="s">
        <v>6478</v>
      </c>
      <c r="BQ1303" s="152" t="s">
        <v>6429</v>
      </c>
      <c r="BR1303" s="152" t="s">
        <v>6479</v>
      </c>
      <c r="BS1303" s="152" t="n">
        <v>203677.865</v>
      </c>
      <c r="BT1303" s="152" t="n">
        <v>8235880.706</v>
      </c>
      <c r="BU1303" s="152" t="n">
        <v>203692.831</v>
      </c>
      <c r="BV1303" s="152" t="n">
        <v>8235982.864</v>
      </c>
      <c r="BW1303" s="152" t="n">
        <v>-15.9382274</v>
      </c>
      <c r="BX1303" s="152" t="n">
        <v>-47.7676954</v>
      </c>
      <c r="BY1303" s="152" t="s">
        <v>6478</v>
      </c>
    </row>
    <row r="1304" customFormat="false" ht="13.8" hidden="false" customHeight="false" outlineLevel="0" collapsed="false">
      <c r="A1304" s="149" t="n">
        <f aca="false">IF(C1304&lt;&gt;"",ROW(A1299),"")</f>
        <v>1299</v>
      </c>
      <c r="B1304" s="150" t="str">
        <f aca="false">HYPERLINK("https://www.google.com/maps/dir/-15.917302,-47.760003/-15.9386385,-47.7674617/data=!4m3!4m2!3e0!5i0")</f>
        <v>https://www.google.com/maps/dir/-15.917302,-47.760003/-15.9386385,-47.7674617/data=!4m3!4m2!3e0!5i0</v>
      </c>
      <c r="C1304" s="151" t="s">
        <v>117</v>
      </c>
      <c r="D1304" s="152" t="s">
        <v>112</v>
      </c>
      <c r="E1304" s="152" t="s">
        <v>113</v>
      </c>
      <c r="F1304" s="152" t="s">
        <v>117</v>
      </c>
      <c r="G1304" s="152" t="s">
        <v>782</v>
      </c>
      <c r="H1304" s="152" t="n">
        <v>63</v>
      </c>
      <c r="I1304" s="152" t="s">
        <v>115</v>
      </c>
      <c r="J1304" s="152" t="s">
        <v>6</v>
      </c>
      <c r="K1304" s="152" t="s">
        <v>6081</v>
      </c>
      <c r="L1304" s="152" t="s">
        <v>120</v>
      </c>
      <c r="M1304" s="153" t="n">
        <f aca="false">83.77+0.48</f>
        <v>84.25</v>
      </c>
      <c r="N1304" s="152" t="s">
        <v>1548</v>
      </c>
      <c r="O1304" s="152" t="s">
        <v>1549</v>
      </c>
      <c r="P1304" s="152" t="s">
        <v>1550</v>
      </c>
      <c r="Q1304" s="152" t="s">
        <v>1551</v>
      </c>
      <c r="R1304" s="154" t="s">
        <v>6480</v>
      </c>
      <c r="S1304" s="154" t="s">
        <v>1553</v>
      </c>
      <c r="T1304" s="155" t="s">
        <v>5625</v>
      </c>
      <c r="U1304" s="152" t="str">
        <f aca="false">RIGHT(T1304,7)</f>
        <v>023/037</v>
      </c>
      <c r="V1304" s="152" t="s">
        <v>1555</v>
      </c>
      <c r="W1304" s="156" t="n">
        <v>45882</v>
      </c>
      <c r="X1304" s="152" t="s">
        <v>1594</v>
      </c>
      <c r="Y1304" s="152" t="s">
        <v>1986</v>
      </c>
      <c r="Z1304" s="152" t="s">
        <v>1557</v>
      </c>
      <c r="AA1304" s="153" t="n">
        <v>5.3</v>
      </c>
      <c r="AB1304" s="151" t="s">
        <v>6481</v>
      </c>
      <c r="AC1304" s="151" t="s">
        <v>186</v>
      </c>
      <c r="AD1304" s="151" t="str">
        <f aca="false">CONCATENATE($C1304,$I1304,$H1304,$N1304,$J1304,$K1304)</f>
        <v>TUBO PEADPEAD63VCAREDESZona11</v>
      </c>
      <c r="AE1304" s="153" t="n">
        <f aca="false">IFERROR(INDEX(APOIO_REDES!$A:$W,MATCH($C1304&amp;$I1304&amp;$H1304&amp;$N1304&amp;$O1304,APOIO_REDES!$W:$W,0),MATCH(AE$5,APOIO_REDES!$5:$5,0)),0)</f>
        <v>1.2</v>
      </c>
      <c r="AF1304" s="153" t="n">
        <f aca="false">IFERROR(INDEX(APOIO_REDES!$A:$W,MATCH($C1304&amp;$I1304&amp;$H1304&amp;$N1304&amp;$O1304,APOIO_REDES!$W:$W,0),MATCH(AF$5,APOIO_REDES!$5:$5,0)),0)</f>
        <v>1.363</v>
      </c>
      <c r="AG1304" s="153" t="n">
        <f aca="false">IFERROR(INDEX(APOIO_REDES!$A:$W,MATCH($C1304&amp;$I1304&amp;$H1304&amp;$N1304&amp;$O1304,APOIO_REDES!$W:$W,0),MATCH(AG$5,APOIO_REDES!$5:$5,0)),0)</f>
        <v>0.65</v>
      </c>
      <c r="AH1304" s="153" t="n">
        <f aca="false">IFERROR(INDEX(APOIO_REDES!$A:$W,MATCH($C1304&amp;$I1304&amp;$H1304&amp;$N1304&amp;$O1304,APOIO_REDES!$W:$W,0),MATCH(AH$5,APOIO_REDES!$5:$5,0)),0)</f>
        <v>0.1</v>
      </c>
      <c r="AI1304" s="153" t="n">
        <f aca="false">IFERROR(IF($H1304&lt;&gt;"",(((($H1304/1000)/2)^2)*PI()*$M1304),0),0)</f>
        <v>0.262627917411687</v>
      </c>
      <c r="AJ1304" s="153" t="n">
        <f aca="false">IFERROR(IF(AND($H1304&lt;&gt;"",$I1304="FoFo",OR($N1304="MND",$N1304="VCA"),$Q1304="LINEAR"),0,IF(AND($H1304&lt;&gt;"",$I1304="PEAD",$N1304="VCA",$Q1304="LINEAR"),($H1304/1000)+0.3,IF(AND($H1304&lt;&gt;"",$I1304="PEAD",$N1304="MND",$Q1304="EMBOQUE"),0,IF(AND($H1304&lt;&gt;"",$I1304="PVC",$N1304="VCA",$Q1304="LINEAR"),($H1304/1000)+0.2,IF(AND($H1304&lt;&gt;"",$I1304="PVC",$N1304="MND",$Q1304="EMBOQUE"),0,IF(AND($H1304&lt;&gt;"",$I1304="PEAD",$N1304="VCA",$Q1304="PREDIAL"),0,0)))))),0)</f>
        <v>0.363</v>
      </c>
      <c r="AK1304" s="153" t="n">
        <f aca="false">IF(AA1304&lt;&gt;"",AA1304,0)</f>
        <v>5.3</v>
      </c>
      <c r="AL1304" s="153" t="n">
        <f aca="false">IF(AND($N1304="MND",$Q1304="EMBOQUE"),$M1304,IF(AND($N1304="VCA",$Q1304="LINEAR"),$M1304,IF(AND($N1304="VCA",$Q1304="PREDIAL"),0,0)))</f>
        <v>84.25</v>
      </c>
      <c r="AM1304" s="153" t="n">
        <f aca="false">IF(AND($N1304="MND",$Q1304="EMBOQUE"),$M1304,IF(AND($N1304="VCA",$Q1304="LINEAR"),$M1304,IF(AND($N1304="VCA",$Q1304="PREDIAL"),0,0)))</f>
        <v>84.25</v>
      </c>
      <c r="AN1304" s="153" t="n">
        <f aca="false">ROUND(IF(AND($N1304="VCA",$M1304&lt;&gt;"",$Q1304="LINEAR"),$M1304/100,IF(AND($N1304="MND",$M1304&gt;100,$Q1304="EMBOQUE"),$M1304/100,0)),0)</f>
        <v>1</v>
      </c>
      <c r="AO1304" s="153" t="n">
        <f aca="false">IF(AND($N1304="MND",$Q1304="EMBOQUE"),$AN1304*2*2,IF(AND($N1304="VCA",$Q1304="LINEAR"),$M1304*2,IF(AND($N1304="VCA",$Q1304="PREDIAL"),0,0)))</f>
        <v>168.5</v>
      </c>
      <c r="AP1304" s="153" t="n">
        <f aca="false">IFERROR($M1304*$AF1304*$AG1304,0)</f>
        <v>74.6412875</v>
      </c>
      <c r="AQ1304" s="153" t="n">
        <f aca="false">IFERROR(IF(AND($N1304="VCA",$AH1304&gt;0),$M1304*$AG1304*$AH1304,0),0)</f>
        <v>5.47625</v>
      </c>
      <c r="AR1304" s="153" t="n">
        <f aca="false">IFERROR(IF(AND($N1304="VCA",$AJ1304&gt;0),($M1304*$AG1304*$AJ1304)-$AI1304,0),0)</f>
        <v>19.6161595825883</v>
      </c>
      <c r="AS1304" s="153" t="n">
        <f aca="false">IFERROR(IF(AND($N1304="VCA",$AP1304&gt;0),$AP1304-$AI1304-$AQ1304-$AR1304,0),0)</f>
        <v>49.28625</v>
      </c>
      <c r="AT1304" s="153" t="n">
        <f aca="false">IFERROR(IF($N1304="VCA",INDEX(APOIO_REDES!$A:$W,MATCH($C1304&amp;$I1304&amp;$H1304&amp;$N1304&amp;$O1304,APOIO_REDES!$W:$W,0),MATCH(AT$5,APOIO_REDES!$5:$5,0)),0)*$AP1304,0)</f>
        <v>0.812119300693381</v>
      </c>
      <c r="AU1304" s="153" t="n">
        <f aca="false">IFERROR(IF($N1304="VCA",INDEX(APOIO_REDES!$A:$W,MATCH($C1304&amp;$I1304&amp;$H1304&amp;$N1304&amp;$O1304,APOIO_REDES!$W:$W,0),MATCH(AU$5,APOIO_REDES!$5:$5,0)),0)*$AP1304,0)</f>
        <v>0.648536478553657</v>
      </c>
      <c r="AV1304" s="153" t="n">
        <f aca="false">IFERROR(IF($N1304="VCA",INDEX(APOIO_REDES!$A:$W,MATCH($C1304&amp;$I1304&amp;$H1304&amp;$N1304&amp;$O1304,APOIO_REDES!$W:$W,0),MATCH(AV$5,APOIO_REDES!$5:$5,0)),0)*$AP1304,0)</f>
        <v>0.0897523574208529</v>
      </c>
      <c r="AW1304" s="153" t="n">
        <f aca="false">IFERROR(IF($N1304="VCA",INDEX(APOIO_REDES!$A:$W,MATCH($C1304&amp;$I1304&amp;$H1304&amp;$N1304&amp;$O1304,APOIO_REDES!$W:$W,0),MATCH(AW$5,APOIO_REDES!$5:$5,0)),0)*$AP1304,0)</f>
        <v>51.2343580889176</v>
      </c>
      <c r="AX1304" s="153" t="n">
        <f aca="false">IFERROR(IF($N1304="VCA",INDEX(APOIO_REDES!$A:$W,MATCH($C1304&amp;$I1304&amp;$H1304&amp;$N1304&amp;$O1304,APOIO_REDES!$W:$W,0),MATCH(AX$5,APOIO_REDES!$5:$5,0)),0)*$AP1304,0)</f>
        <v>7.09068921567462</v>
      </c>
      <c r="AY1304" s="153" t="n">
        <f aca="false">IFERROR(IF($N1304="VCA",INDEX(APOIO_REDES!$A:$W,MATCH($C1304&amp;$I1304&amp;$H1304&amp;$N1304&amp;$O1304,APOIO_REDES!$W:$W,0),MATCH(AY$5,APOIO_REDES!$5:$5,0)),0)*$AP1304,0)</f>
        <v>12.970721665466</v>
      </c>
      <c r="AZ1304" s="153" t="n">
        <f aca="false">IFERROR(IF($N1304="VCA",INDEX(APOIO_REDES!$A:$W,MATCH($C1304&amp;$I1304&amp;$H1304&amp;$N1304&amp;$O1304,APOIO_REDES!$W:$W,0),MATCH(AZ$5,APOIO_REDES!$5:$5,0)),0)*$AP1304,0)</f>
        <v>1.79511039327387</v>
      </c>
      <c r="BA1304" s="153" t="n">
        <f aca="false">IFERROR(IF(AND($N1304="VCA",$Q1304="LINEAR"),INDEX(APOIO_REDES!$A:$W,MATCH($C1304&amp;$I1304&amp;$H1304&amp;$N1304&amp;$O1304,APOIO_REDES!$W:$W,0),MATCH(BA$5,APOIO_REDES!$5:$5,0)),IF(AND($N1304="MND",$Q1304="EMBOQUE"),INDEX(APOIO_REDES!$A:$W,MATCH($C1304&amp;$I1304&amp;$H1304&amp;$N1304&amp;$O1304,APOIO_REDES!$W:$W,0),MATCH(BA$5,APOIO_REDES!$5:$5,0)),0))*$M1304/10,0)</f>
        <v>6.79033748609649</v>
      </c>
      <c r="BB1304" s="153" t="n">
        <f aca="false">IFERROR(IF($N1304="VCA",INDEX(APOIO_REDES!$A:$W,MATCH($C1304&amp;$I1304&amp;$H1304&amp;$N1304&amp;$O1304,APOIO_REDES!$W:$W,0),MATCH(BB$5,APOIO_REDES!$5:$5,0)),0)*($AI1304+$AQ1304+$AR1304),0)</f>
        <v>25.079167187292</v>
      </c>
      <c r="BC1304" s="153" t="n">
        <f aca="false">IFERROR(IF($N1304="VCA",INDEX(APOIO_REDES!$A:$W,MATCH($C1304&amp;$I1304&amp;$H1304&amp;$N1304&amp;$O1304,APOIO_REDES!$W:$W,0),MATCH(BC$5,APOIO_REDES!$5:$5,0)),0)*($AI1304+$AQ1304+$AR1304),0)</f>
        <v>0.275870312708023</v>
      </c>
      <c r="BD1304" s="153" t="n">
        <f aca="false">IF(AND($N1304="VCA",$AF1304&gt;=1.25,$AF1304&lt;1.5),$M1304*$AF1304*2,0)</f>
        <v>229.6655</v>
      </c>
      <c r="BE1304" s="153" t="n">
        <f aca="false">IF(AND($N1304="VCA",$AF1304&gt;=1.5,$AF1304&lt;3),$M1304*$AF1304*2,0)</f>
        <v>0</v>
      </c>
      <c r="BF1304" s="153" t="n">
        <f aca="false">IF(AND($N1304="VCA",$AF1304&gt;=3),$M1304*$AF1304*2,0)</f>
        <v>0</v>
      </c>
      <c r="BG1304" s="153" t="n">
        <f aca="false">($BB1304+$BC1304)*$AK1304</f>
        <v>134.38169875</v>
      </c>
      <c r="BH1304" s="153" t="n">
        <f aca="false">IF(AND($M1304&lt;&gt;"",$N1304="VCA",$Q1304="LINEAR"),($M1304*2)/100,IF(AND($M1304&lt;&gt;"",$N1304="MND",$Q1304="EMBOQUE"),($AN1304*2)/100,0))</f>
        <v>1.685</v>
      </c>
      <c r="BI1304" s="153" t="n">
        <f aca="false">IF(AND($M1304&lt;&gt;"",$N1304="VCA",$Q1304="LINEAR"),$M1304,IF(AND($M1304&lt;&gt;"",$N1304="MND",$Q1304="EMBOQUE"),$AN1304*2,0))</f>
        <v>84.25</v>
      </c>
      <c r="BJ1304" s="153" t="n">
        <f aca="false">IF(AND($M1304&lt;&gt;"",$N1304="VCA",$Q1304="LINEAR"),($M1304*6.8)/100,IF(AND($M1304&lt;&gt;"",$N1304="MND",$Q1304="EMBOQUE"),($AN1304*2*6.8)/100,0))</f>
        <v>5.729</v>
      </c>
      <c r="BK1304" s="153" t="n">
        <f aca="false">IF(AND($M1304&lt;&gt;"",$N1304="VCA",$Q1304="LINEAR"),($M1304*2.5)/50,IF(AND($M1304&lt;&gt;"",$N1304="MND",$Q1304="EMBOQUE"),($AN1304*2*2.5)/50,0))</f>
        <v>4.2125</v>
      </c>
      <c r="BL1304" s="157" t="str">
        <f aca="false">K1304&amp;J1304</f>
        <v>Zona11REDES</v>
      </c>
      <c r="BM1304" s="152" t="s">
        <v>6084</v>
      </c>
      <c r="BN1304" s="152" t="s">
        <v>1560</v>
      </c>
      <c r="BO1304" s="152" t="s">
        <v>5627</v>
      </c>
      <c r="BP1304" s="152" t="s">
        <v>6482</v>
      </c>
      <c r="BQ1304" s="152" t="s">
        <v>6453</v>
      </c>
      <c r="BR1304" s="152" t="s">
        <v>6483</v>
      </c>
      <c r="BS1304" s="152" t="n">
        <v>203716.279</v>
      </c>
      <c r="BT1304" s="152" t="n">
        <v>8235886.376</v>
      </c>
      <c r="BU1304" s="152" t="n">
        <v>203732.324</v>
      </c>
      <c r="BV1304" s="152" t="n">
        <v>8235968.001</v>
      </c>
      <c r="BW1304" s="152" t="n">
        <v>-15.9382726</v>
      </c>
      <c r="BX1304" s="152" t="n">
        <v>-47.7673529</v>
      </c>
      <c r="BY1304" s="152" t="s">
        <v>6482</v>
      </c>
    </row>
    <row r="1305" customFormat="false" ht="13.8" hidden="false" customHeight="false" outlineLevel="0" collapsed="false">
      <c r="A1305" s="149" t="n">
        <f aca="false">IF(C1305&lt;&gt;"",ROW(A1300),"")</f>
        <v>1300</v>
      </c>
      <c r="B1305" s="150" t="str">
        <f aca="false">HYPERLINK("https://www.google.com/maps/dir/-15.917302,-47.760003/-15.9379561,-47.7705546/data=!4m3!4m2!3e0!5i1")</f>
        <v>https://www.google.com/maps/dir/-15.917302,-47.760003/-15.9379561,-47.7705546/data=!4m3!4m2!3e0!5i1</v>
      </c>
      <c r="C1305" s="151" t="s">
        <v>117</v>
      </c>
      <c r="D1305" s="152" t="s">
        <v>112</v>
      </c>
      <c r="E1305" s="152" t="s">
        <v>113</v>
      </c>
      <c r="F1305" s="152" t="s">
        <v>117</v>
      </c>
      <c r="G1305" s="152" t="s">
        <v>782</v>
      </c>
      <c r="H1305" s="152" t="n">
        <v>63</v>
      </c>
      <c r="I1305" s="152" t="s">
        <v>115</v>
      </c>
      <c r="J1305" s="152" t="s">
        <v>6</v>
      </c>
      <c r="K1305" s="152" t="s">
        <v>6081</v>
      </c>
      <c r="L1305" s="152" t="s">
        <v>120</v>
      </c>
      <c r="M1305" s="153" t="n">
        <f aca="false">76.05</f>
        <v>76.05</v>
      </c>
      <c r="N1305" s="152" t="s">
        <v>1548</v>
      </c>
      <c r="O1305" s="152" t="s">
        <v>1549</v>
      </c>
      <c r="P1305" s="152" t="s">
        <v>1550</v>
      </c>
      <c r="Q1305" s="152" t="s">
        <v>1551</v>
      </c>
      <c r="R1305" s="154" t="s">
        <v>6484</v>
      </c>
      <c r="S1305" s="154" t="s">
        <v>1553</v>
      </c>
      <c r="T1305" s="155" t="s">
        <v>5625</v>
      </c>
      <c r="U1305" s="152" t="str">
        <f aca="false">RIGHT(T1305,7)</f>
        <v>023/037</v>
      </c>
      <c r="V1305" s="152" t="s">
        <v>1555</v>
      </c>
      <c r="W1305" s="156" t="n">
        <v>45882</v>
      </c>
      <c r="X1305" s="152" t="s">
        <v>1594</v>
      </c>
      <c r="Y1305" s="152"/>
      <c r="Z1305" s="152" t="s">
        <v>1557</v>
      </c>
      <c r="AA1305" s="153" t="n">
        <v>5.8</v>
      </c>
      <c r="AB1305" s="151" t="s">
        <v>6485</v>
      </c>
      <c r="AC1305" s="151" t="s">
        <v>186</v>
      </c>
      <c r="AD1305" s="151" t="str">
        <f aca="false">CONCATENATE($C1305,$I1305,$H1305,$N1305,$J1305,$K1305)</f>
        <v>TUBO PEADPEAD63VCAREDESZona11</v>
      </c>
      <c r="AE1305" s="153" t="n">
        <f aca="false">IFERROR(INDEX(APOIO_REDES!$A:$W,MATCH($C1305&amp;$I1305&amp;$H1305&amp;$N1305&amp;$O1305,APOIO_REDES!$W:$W,0),MATCH(AE$5,APOIO_REDES!$5:$5,0)),0)</f>
        <v>1.2</v>
      </c>
      <c r="AF1305" s="153" t="n">
        <f aca="false">IFERROR(INDEX(APOIO_REDES!$A:$W,MATCH($C1305&amp;$I1305&amp;$H1305&amp;$N1305&amp;$O1305,APOIO_REDES!$W:$W,0),MATCH(AF$5,APOIO_REDES!$5:$5,0)),0)</f>
        <v>1.363</v>
      </c>
      <c r="AG1305" s="153" t="n">
        <f aca="false">IFERROR(INDEX(APOIO_REDES!$A:$W,MATCH($C1305&amp;$I1305&amp;$H1305&amp;$N1305&amp;$O1305,APOIO_REDES!$W:$W,0),MATCH(AG$5,APOIO_REDES!$5:$5,0)),0)</f>
        <v>0.65</v>
      </c>
      <c r="AH1305" s="153" t="n">
        <f aca="false">IFERROR(INDEX(APOIO_REDES!$A:$W,MATCH($C1305&amp;$I1305&amp;$H1305&amp;$N1305&amp;$O1305,APOIO_REDES!$W:$W,0),MATCH(AH$5,APOIO_REDES!$5:$5,0)),0)</f>
        <v>0.1</v>
      </c>
      <c r="AI1305" s="153" t="n">
        <f aca="false">IFERROR(IF($H1305&lt;&gt;"",(((($H1305/1000)/2)^2)*PI()*$M1305),0),0)</f>
        <v>0.237066505865386</v>
      </c>
      <c r="AJ1305" s="153" t="n">
        <f aca="false">IFERROR(IF(AND($H1305&lt;&gt;"",$I1305="FoFo",OR($N1305="MND",$N1305="VCA"),$Q1305="LINEAR"),0,IF(AND($H1305&lt;&gt;"",$I1305="PEAD",$N1305="VCA",$Q1305="LINEAR"),($H1305/1000)+0.3,IF(AND($H1305&lt;&gt;"",$I1305="PEAD",$N1305="MND",$Q1305="EMBOQUE"),0,IF(AND($H1305&lt;&gt;"",$I1305="PVC",$N1305="VCA",$Q1305="LINEAR"),($H1305/1000)+0.2,IF(AND($H1305&lt;&gt;"",$I1305="PVC",$N1305="MND",$Q1305="EMBOQUE"),0,IF(AND($H1305&lt;&gt;"",$I1305="PEAD",$N1305="VCA",$Q1305="PREDIAL"),0,0)))))),0)</f>
        <v>0.363</v>
      </c>
      <c r="AK1305" s="153" t="n">
        <f aca="false">IF(AA1305&lt;&gt;"",AA1305,0)</f>
        <v>5.8</v>
      </c>
      <c r="AL1305" s="153" t="n">
        <f aca="false">IF(AND($N1305="MND",$Q1305="EMBOQUE"),$M1305,IF(AND($N1305="VCA",$Q1305="LINEAR"),$M1305,IF(AND($N1305="VCA",$Q1305="PREDIAL"),0,0)))</f>
        <v>76.05</v>
      </c>
      <c r="AM1305" s="153" t="n">
        <f aca="false">IF(AND($N1305="MND",$Q1305="EMBOQUE"),$M1305,IF(AND($N1305="VCA",$Q1305="LINEAR"),$M1305,IF(AND($N1305="VCA",$Q1305="PREDIAL"),0,0)))</f>
        <v>76.05</v>
      </c>
      <c r="AN1305" s="153" t="n">
        <f aca="false">ROUND(IF(AND($N1305="VCA",$M1305&lt;&gt;"",$Q1305="LINEAR"),$M1305/100,IF(AND($N1305="MND",$M1305&gt;100,$Q1305="EMBOQUE"),$M1305/100,0)),0)</f>
        <v>1</v>
      </c>
      <c r="AO1305" s="153" t="n">
        <f aca="false">IF(AND($N1305="MND",$Q1305="EMBOQUE"),$AN1305*2*2,IF(AND($N1305="VCA",$Q1305="LINEAR"),$M1305*2,IF(AND($N1305="VCA",$Q1305="PREDIAL"),0,0)))</f>
        <v>152.1</v>
      </c>
      <c r="AP1305" s="153" t="n">
        <f aca="false">IFERROR($M1305*$AF1305*$AG1305,0)</f>
        <v>67.3764975</v>
      </c>
      <c r="AQ1305" s="153" t="n">
        <f aca="false">IFERROR(IF(AND($N1305="VCA",$AH1305&gt;0),$M1305*$AG1305*$AH1305,0),0)</f>
        <v>4.94325</v>
      </c>
      <c r="AR1305" s="153" t="n">
        <f aca="false">IFERROR(IF(AND($N1305="VCA",$AJ1305&gt;0),($M1305*$AG1305*$AJ1305)-$AI1305,0),0)</f>
        <v>17.7069309941346</v>
      </c>
      <c r="AS1305" s="153" t="n">
        <f aca="false">IFERROR(IF(AND($N1305="VCA",$AP1305&gt;0),$AP1305-$AI1305-$AQ1305-$AR1305,0),0)</f>
        <v>44.48925</v>
      </c>
      <c r="AT1305" s="153" t="n">
        <f aca="false">IFERROR(IF($N1305="VCA",INDEX(APOIO_REDES!$A:$W,MATCH($C1305&amp;$I1305&amp;$H1305&amp;$N1305&amp;$O1305,APOIO_REDES!$W:$W,0),MATCH(AT$5,APOIO_REDES!$5:$5,0)),0)*$AP1305,0)</f>
        <v>0.733076235225301</v>
      </c>
      <c r="AU1305" s="153" t="n">
        <f aca="false">IFERROR(IF($N1305="VCA",INDEX(APOIO_REDES!$A:$W,MATCH($C1305&amp;$I1305&amp;$H1305&amp;$N1305&amp;$O1305,APOIO_REDES!$W:$W,0),MATCH(AU$5,APOIO_REDES!$5:$5,0)),0)*$AP1305,0)</f>
        <v>0.585414827228553</v>
      </c>
      <c r="AV1305" s="153" t="n">
        <f aca="false">IFERROR(IF($N1305="VCA",INDEX(APOIO_REDES!$A:$W,MATCH($C1305&amp;$I1305&amp;$H1305&amp;$N1305&amp;$O1305,APOIO_REDES!$W:$W,0),MATCH(AV$5,APOIO_REDES!$5:$5,0)),0)*$AP1305,0)</f>
        <v>0.08101681640185</v>
      </c>
      <c r="AW1305" s="153" t="n">
        <f aca="false">IFERROR(IF($N1305="VCA",INDEX(APOIO_REDES!$A:$W,MATCH($C1305&amp;$I1305&amp;$H1305&amp;$N1305&amp;$O1305,APOIO_REDES!$W:$W,0),MATCH(AW$5,APOIO_REDES!$5:$5,0)),0)*$AP1305,0)</f>
        <v>46.2477499425778</v>
      </c>
      <c r="AX1305" s="153" t="n">
        <f aca="false">IFERROR(IF($N1305="VCA",INDEX(APOIO_REDES!$A:$W,MATCH($C1305&amp;$I1305&amp;$H1305&amp;$N1305&amp;$O1305,APOIO_REDES!$W:$W,0),MATCH(AX$5,APOIO_REDES!$5:$5,0)),0)*$AP1305,0)</f>
        <v>6.40055685284338</v>
      </c>
      <c r="AY1305" s="153" t="n">
        <f aca="false">IFERROR(IF($N1305="VCA",INDEX(APOIO_REDES!$A:$W,MATCH($C1305&amp;$I1305&amp;$H1305&amp;$N1305&amp;$O1305,APOIO_REDES!$W:$W,0),MATCH(AY$5,APOIO_REDES!$5:$5,0)),0)*$AP1305,0)</f>
        <v>11.7082894084118</v>
      </c>
      <c r="AZ1305" s="153" t="n">
        <f aca="false">IFERROR(IF($N1305="VCA",INDEX(APOIO_REDES!$A:$W,MATCH($C1305&amp;$I1305&amp;$H1305&amp;$N1305&amp;$O1305,APOIO_REDES!$W:$W,0),MATCH(AZ$5,APOIO_REDES!$5:$5,0)),0)*$AP1305,0)</f>
        <v>1.62039341731131</v>
      </c>
      <c r="BA1305" s="153" t="n">
        <f aca="false">IFERROR(IF(AND($N1305="VCA",$Q1305="LINEAR"),INDEX(APOIO_REDES!$A:$W,MATCH($C1305&amp;$I1305&amp;$H1305&amp;$N1305&amp;$O1305,APOIO_REDES!$W:$W,0),MATCH(BA$5,APOIO_REDES!$5:$5,0)),IF(AND($N1305="MND",$Q1305="EMBOQUE"),INDEX(APOIO_REDES!$A:$W,MATCH($C1305&amp;$I1305&amp;$H1305&amp;$N1305&amp;$O1305,APOIO_REDES!$W:$W,0),MATCH(BA$5,APOIO_REDES!$5:$5,0)),0))*$M1305/10,0)</f>
        <v>6.12943816994229</v>
      </c>
      <c r="BB1305" s="153" t="n">
        <f aca="false">IFERROR(IF($N1305="VCA",INDEX(APOIO_REDES!$A:$W,MATCH($C1305&amp;$I1305&amp;$H1305&amp;$N1305&amp;$O1305,APOIO_REDES!$W:$W,0),MATCH(BB$5,APOIO_REDES!$5:$5,0)),0)*($AI1305+$AQ1305+$AR1305),0)</f>
        <v>22.6382274729205</v>
      </c>
      <c r="BC1305" s="153" t="n">
        <f aca="false">IFERROR(IF($N1305="VCA",INDEX(APOIO_REDES!$A:$W,MATCH($C1305&amp;$I1305&amp;$H1305&amp;$N1305&amp;$O1305,APOIO_REDES!$W:$W,0),MATCH(BC$5,APOIO_REDES!$5:$5,0)),0)*($AI1305+$AQ1305+$AR1305),0)</f>
        <v>0.249020027079468</v>
      </c>
      <c r="BD1305" s="153" t="n">
        <f aca="false">IF(AND($N1305="VCA",$AF1305&gt;=1.25,$AF1305&lt;1.5),$M1305*$AF1305*2,0)</f>
        <v>207.3123</v>
      </c>
      <c r="BE1305" s="153" t="n">
        <f aca="false">IF(AND($N1305="VCA",$AF1305&gt;=1.5,$AF1305&lt;3),$M1305*$AF1305*2,0)</f>
        <v>0</v>
      </c>
      <c r="BF1305" s="153" t="n">
        <f aca="false">IF(AND($N1305="VCA",$AF1305&gt;=3),$M1305*$AF1305*2,0)</f>
        <v>0</v>
      </c>
      <c r="BG1305" s="153" t="n">
        <f aca="false">($BB1305+$BC1305)*$AK1305</f>
        <v>132.7460355</v>
      </c>
      <c r="BH1305" s="153" t="n">
        <f aca="false">IF(AND($M1305&lt;&gt;"",$N1305="VCA",$Q1305="LINEAR"),($M1305*2)/100,IF(AND($M1305&lt;&gt;"",$N1305="MND",$Q1305="EMBOQUE"),($AN1305*2)/100,0))</f>
        <v>1.521</v>
      </c>
      <c r="BI1305" s="153" t="n">
        <f aca="false">IF(AND($M1305&lt;&gt;"",$N1305="VCA",$Q1305="LINEAR"),$M1305,IF(AND($M1305&lt;&gt;"",$N1305="MND",$Q1305="EMBOQUE"),$AN1305*2,0))</f>
        <v>76.05</v>
      </c>
      <c r="BJ1305" s="153" t="n">
        <f aca="false">IF(AND($M1305&lt;&gt;"",$N1305="VCA",$Q1305="LINEAR"),($M1305*6.8)/100,IF(AND($M1305&lt;&gt;"",$N1305="MND",$Q1305="EMBOQUE"),($AN1305*2*6.8)/100,0))</f>
        <v>5.1714</v>
      </c>
      <c r="BK1305" s="153" t="n">
        <f aca="false">IF(AND($M1305&lt;&gt;"",$N1305="VCA",$Q1305="LINEAR"),($M1305*2.5)/50,IF(AND($M1305&lt;&gt;"",$N1305="MND",$Q1305="EMBOQUE"),($AN1305*2*2.5)/50,0))</f>
        <v>3.8025</v>
      </c>
      <c r="BL1305" s="157" t="str">
        <f aca="false">K1305&amp;J1305</f>
        <v>Zona11REDES</v>
      </c>
      <c r="BM1305" s="152" t="s">
        <v>6084</v>
      </c>
      <c r="BN1305" s="152" t="s">
        <v>1560</v>
      </c>
      <c r="BO1305" s="152" t="s">
        <v>5627</v>
      </c>
      <c r="BP1305" s="152" t="s">
        <v>6474</v>
      </c>
      <c r="BQ1305" s="152" t="s">
        <v>6486</v>
      </c>
      <c r="BR1305" s="152" t="s">
        <v>6487</v>
      </c>
      <c r="BS1305" s="152" t="n">
        <v>203383.877</v>
      </c>
      <c r="BT1305" s="152" t="n">
        <v>8235957.18</v>
      </c>
      <c r="BU1305" s="152" t="n">
        <v>203399.304</v>
      </c>
      <c r="BV1305" s="152" t="n">
        <v>8235882.866</v>
      </c>
      <c r="BW1305" s="152" t="n">
        <v>-15.9382892</v>
      </c>
      <c r="BX1305" s="152" t="n">
        <v>-47.7704706</v>
      </c>
      <c r="BY1305" s="152" t="s">
        <v>6474</v>
      </c>
    </row>
    <row r="1306" customFormat="false" ht="13.8" hidden="false" customHeight="false" outlineLevel="0" collapsed="false">
      <c r="A1306" s="149" t="n">
        <f aca="false">IF(C1306&lt;&gt;"",ROW(A1301),"")</f>
        <v>1301</v>
      </c>
      <c r="B1306" s="150" t="str">
        <f aca="false">HYPERLINK("https://www.google.com/maps/dir/-15.917302,-47.760003/-15.9386290,-47.7704198/data=!4m3!4m2!3e0!5i1")</f>
        <v>https://www.google.com/maps/dir/-15.917302,-47.760003/-15.9386290,-47.7704198/data=!4m3!4m2!3e0!5i1</v>
      </c>
      <c r="C1306" s="151" t="s">
        <v>117</v>
      </c>
      <c r="D1306" s="152" t="s">
        <v>112</v>
      </c>
      <c r="E1306" s="152" t="s">
        <v>113</v>
      </c>
      <c r="F1306" s="152" t="s">
        <v>117</v>
      </c>
      <c r="G1306" s="152" t="s">
        <v>782</v>
      </c>
      <c r="H1306" s="152" t="n">
        <v>63</v>
      </c>
      <c r="I1306" s="152" t="s">
        <v>115</v>
      </c>
      <c r="J1306" s="152" t="s">
        <v>6</v>
      </c>
      <c r="K1306" s="152" t="s">
        <v>6081</v>
      </c>
      <c r="L1306" s="152" t="s">
        <v>120</v>
      </c>
      <c r="M1306" s="153" t="n">
        <f aca="false">68.36</f>
        <v>68.36</v>
      </c>
      <c r="N1306" s="152" t="s">
        <v>1548</v>
      </c>
      <c r="O1306" s="152" t="s">
        <v>1549</v>
      </c>
      <c r="P1306" s="152" t="s">
        <v>1550</v>
      </c>
      <c r="Q1306" s="152" t="s">
        <v>1551</v>
      </c>
      <c r="R1306" s="154" t="s">
        <v>6488</v>
      </c>
      <c r="S1306" s="154" t="s">
        <v>1553</v>
      </c>
      <c r="T1306" s="155" t="s">
        <v>5625</v>
      </c>
      <c r="U1306" s="152" t="str">
        <f aca="false">RIGHT(T1306,7)</f>
        <v>023/037</v>
      </c>
      <c r="V1306" s="152" t="s">
        <v>1555</v>
      </c>
      <c r="W1306" s="156" t="n">
        <v>45882</v>
      </c>
      <c r="X1306" s="152" t="s">
        <v>1594</v>
      </c>
      <c r="Y1306" s="152" t="s">
        <v>6489</v>
      </c>
      <c r="Z1306" s="152" t="s">
        <v>1557</v>
      </c>
      <c r="AA1306" s="153" t="n">
        <v>5.9</v>
      </c>
      <c r="AB1306" s="151" t="s">
        <v>6490</v>
      </c>
      <c r="AC1306" s="151" t="s">
        <v>186</v>
      </c>
      <c r="AD1306" s="151" t="str">
        <f aca="false">CONCATENATE($C1306,$I1306,$H1306,$N1306,$J1306,$K1306)</f>
        <v>TUBO PEADPEAD63VCAREDESZona11</v>
      </c>
      <c r="AE1306" s="153" t="n">
        <f aca="false">IFERROR(INDEX(APOIO_REDES!$A:$W,MATCH($C1306&amp;$I1306&amp;$H1306&amp;$N1306&amp;$O1306,APOIO_REDES!$W:$W,0),MATCH(AE$5,APOIO_REDES!$5:$5,0)),0)</f>
        <v>1.2</v>
      </c>
      <c r="AF1306" s="153" t="n">
        <f aca="false">IFERROR(INDEX(APOIO_REDES!$A:$W,MATCH($C1306&amp;$I1306&amp;$H1306&amp;$N1306&amp;$O1306,APOIO_REDES!$W:$W,0),MATCH(AF$5,APOIO_REDES!$5:$5,0)),0)</f>
        <v>1.363</v>
      </c>
      <c r="AG1306" s="153" t="n">
        <f aca="false">IFERROR(INDEX(APOIO_REDES!$A:$W,MATCH($C1306&amp;$I1306&amp;$H1306&amp;$N1306&amp;$O1306,APOIO_REDES!$W:$W,0),MATCH(AG$5,APOIO_REDES!$5:$5,0)),0)</f>
        <v>0.65</v>
      </c>
      <c r="AH1306" s="153" t="n">
        <f aca="false">IFERROR(INDEX(APOIO_REDES!$A:$W,MATCH($C1306&amp;$I1306&amp;$H1306&amp;$N1306&amp;$O1306,APOIO_REDES!$W:$W,0),MATCH(AH$5,APOIO_REDES!$5:$5,0)),0)</f>
        <v>0.1</v>
      </c>
      <c r="AI1306" s="153" t="n">
        <f aca="false">IFERROR(IF($H1306&lt;&gt;"",(((($H1306/1000)/2)^2)*PI()*$M1306),0),0)</f>
        <v>0.213094889427453</v>
      </c>
      <c r="AJ1306" s="153" t="n">
        <f aca="false">IFERROR(IF(AND($H1306&lt;&gt;"",$I1306="FoFo",OR($N1306="MND",$N1306="VCA"),$Q1306="LINEAR"),0,IF(AND($H1306&lt;&gt;"",$I1306="PEAD",$N1306="VCA",$Q1306="LINEAR"),($H1306/1000)+0.3,IF(AND($H1306&lt;&gt;"",$I1306="PEAD",$N1306="MND",$Q1306="EMBOQUE"),0,IF(AND($H1306&lt;&gt;"",$I1306="PVC",$N1306="VCA",$Q1306="LINEAR"),($H1306/1000)+0.2,IF(AND($H1306&lt;&gt;"",$I1306="PVC",$N1306="MND",$Q1306="EMBOQUE"),0,IF(AND($H1306&lt;&gt;"",$I1306="PEAD",$N1306="VCA",$Q1306="PREDIAL"),0,0)))))),0)</f>
        <v>0.363</v>
      </c>
      <c r="AK1306" s="153" t="n">
        <f aca="false">IF(AA1306&lt;&gt;"",AA1306,0)</f>
        <v>5.9</v>
      </c>
      <c r="AL1306" s="153" t="n">
        <f aca="false">IF(AND($N1306="MND",$Q1306="EMBOQUE"),$M1306,IF(AND($N1306="VCA",$Q1306="LINEAR"),$M1306,IF(AND($N1306="VCA",$Q1306="PREDIAL"),0,0)))</f>
        <v>68.36</v>
      </c>
      <c r="AM1306" s="153" t="n">
        <f aca="false">IF(AND($N1306="MND",$Q1306="EMBOQUE"),$M1306,IF(AND($N1306="VCA",$Q1306="LINEAR"),$M1306,IF(AND($N1306="VCA",$Q1306="PREDIAL"),0,0)))</f>
        <v>68.36</v>
      </c>
      <c r="AN1306" s="153" t="n">
        <f aca="false">ROUND(IF(AND($N1306="VCA",$M1306&lt;&gt;"",$Q1306="LINEAR"),$M1306/100,IF(AND($N1306="MND",$M1306&gt;100,$Q1306="EMBOQUE"),$M1306/100,0)),0)</f>
        <v>1</v>
      </c>
      <c r="AO1306" s="153" t="n">
        <f aca="false">IF(AND($N1306="MND",$Q1306="EMBOQUE"),$AN1306*2*2,IF(AND($N1306="VCA",$Q1306="LINEAR"),$M1306*2,IF(AND($N1306="VCA",$Q1306="PREDIAL"),0,0)))</f>
        <v>136.72</v>
      </c>
      <c r="AP1306" s="153" t="n">
        <f aca="false">IFERROR($M1306*$AF1306*$AG1306,0)</f>
        <v>60.563542</v>
      </c>
      <c r="AQ1306" s="153" t="n">
        <f aca="false">IFERROR(IF(AND($N1306="VCA",$AH1306&gt;0),$M1306*$AG1306*$AH1306,0),0)</f>
        <v>4.4434</v>
      </c>
      <c r="AR1306" s="153" t="n">
        <f aca="false">IFERROR(IF(AND($N1306="VCA",$AJ1306&gt;0),($M1306*$AG1306*$AJ1306)-$AI1306,0),0)</f>
        <v>15.9164471105725</v>
      </c>
      <c r="AS1306" s="153" t="n">
        <f aca="false">IFERROR(IF(AND($N1306="VCA",$AP1306&gt;0),$AP1306-$AI1306-$AQ1306-$AR1306,0),0)</f>
        <v>39.9906</v>
      </c>
      <c r="AT1306" s="153" t="n">
        <f aca="false">IFERROR(IF($N1306="VCA",INDEX(APOIO_REDES!$A:$W,MATCH($C1306&amp;$I1306&amp;$H1306&amp;$N1306&amp;$O1306,APOIO_REDES!$W:$W,0),MATCH(AT$5,APOIO_REDES!$5:$5,0)),0)*$AP1306,0)</f>
        <v>0.658949262853407</v>
      </c>
      <c r="AU1306" s="153" t="n">
        <f aca="false">IFERROR(IF($N1306="VCA",INDEX(APOIO_REDES!$A:$W,MATCH($C1306&amp;$I1306&amp;$H1306&amp;$N1306&amp;$O1306,APOIO_REDES!$W:$W,0),MATCH(AU$5,APOIO_REDES!$5:$5,0)),0)*$AP1306,0)</f>
        <v>0.526219034705377</v>
      </c>
      <c r="AV1306" s="153" t="n">
        <f aca="false">IFERROR(IF($N1306="VCA",INDEX(APOIO_REDES!$A:$W,MATCH($C1306&amp;$I1306&amp;$H1306&amp;$N1306&amp;$O1306,APOIO_REDES!$W:$W,0),MATCH(AV$5,APOIO_REDES!$5:$5,0)),0)*$AP1306,0)</f>
        <v>0.0728245834218339</v>
      </c>
      <c r="AW1306" s="153" t="n">
        <f aca="false">IFERROR(IF($N1306="VCA",INDEX(APOIO_REDES!$A:$W,MATCH($C1306&amp;$I1306&amp;$H1306&amp;$N1306&amp;$O1306,APOIO_REDES!$W:$W,0),MATCH(AW$5,APOIO_REDES!$5:$5,0)),0)*$AP1306,0)</f>
        <v>41.5712844980226</v>
      </c>
      <c r="AX1306" s="153" t="n">
        <f aca="false">IFERROR(IF($N1306="VCA",INDEX(APOIO_REDES!$A:$W,MATCH($C1306&amp;$I1306&amp;$H1306&amp;$N1306&amp;$O1306,APOIO_REDES!$W:$W,0),MATCH(AX$5,APOIO_REDES!$5:$5,0)),0)*$AP1306,0)</f>
        <v>5.75334735648091</v>
      </c>
      <c r="AY1306" s="153" t="n">
        <f aca="false">IFERROR(IF($N1306="VCA",INDEX(APOIO_REDES!$A:$W,MATCH($C1306&amp;$I1306&amp;$H1306&amp;$N1306&amp;$O1306,APOIO_REDES!$W:$W,0),MATCH(AY$5,APOIO_REDES!$5:$5,0)),0)*$AP1306,0)</f>
        <v>10.5243742795402</v>
      </c>
      <c r="AZ1306" s="153" t="n">
        <f aca="false">IFERROR(IF($N1306="VCA",INDEX(APOIO_REDES!$A:$W,MATCH($C1306&amp;$I1306&amp;$H1306&amp;$N1306&amp;$O1306,APOIO_REDES!$W:$W,0),MATCH(AZ$5,APOIO_REDES!$5:$5,0)),0)*$AP1306,0)</f>
        <v>1.45654298497569</v>
      </c>
      <c r="BA1306" s="153" t="n">
        <f aca="false">IFERROR(IF(AND($N1306="VCA",$Q1306="LINEAR"),INDEX(APOIO_REDES!$A:$W,MATCH($C1306&amp;$I1306&amp;$H1306&amp;$N1306&amp;$O1306,APOIO_REDES!$W:$W,0),MATCH(BA$5,APOIO_REDES!$5:$5,0)),IF(AND($N1306="MND",$Q1306="EMBOQUE"),INDEX(APOIO_REDES!$A:$W,MATCH($C1306&amp;$I1306&amp;$H1306&amp;$N1306&amp;$O1306,APOIO_REDES!$W:$W,0),MATCH(BA$5,APOIO_REDES!$5:$5,0)),0))*$M1306/10,0)</f>
        <v>5.50964356735378</v>
      </c>
      <c r="BB1306" s="153" t="n">
        <f aca="false">IFERROR(IF($N1306="VCA",INDEX(APOIO_REDES!$A:$W,MATCH($C1306&amp;$I1306&amp;$H1306&amp;$N1306&amp;$O1306,APOIO_REDES!$W:$W,0),MATCH(BB$5,APOIO_REDES!$5:$5,0)),0)*($AI1306+$AQ1306+$AR1306),0)</f>
        <v>20.34910230176</v>
      </c>
      <c r="BC1306" s="153" t="n">
        <f aca="false">IFERROR(IF($N1306="VCA",INDEX(APOIO_REDES!$A:$W,MATCH($C1306&amp;$I1306&amp;$H1306&amp;$N1306&amp;$O1306,APOIO_REDES!$W:$W,0),MATCH(BC$5,APOIO_REDES!$5:$5,0)),0)*($AI1306+$AQ1306+$AR1306),0)</f>
        <v>0.223839698240005</v>
      </c>
      <c r="BD1306" s="153" t="n">
        <f aca="false">IF(AND($N1306="VCA",$AF1306&gt;=1.25,$AF1306&lt;1.5),$M1306*$AF1306*2,0)</f>
        <v>186.34936</v>
      </c>
      <c r="BE1306" s="153" t="n">
        <f aca="false">IF(AND($N1306="VCA",$AF1306&gt;=1.5,$AF1306&lt;3),$M1306*$AF1306*2,0)</f>
        <v>0</v>
      </c>
      <c r="BF1306" s="153" t="n">
        <f aca="false">IF(AND($N1306="VCA",$AF1306&gt;=3),$M1306*$AF1306*2,0)</f>
        <v>0</v>
      </c>
      <c r="BG1306" s="153" t="n">
        <f aca="false">($BB1306+$BC1306)*$AK1306</f>
        <v>121.3803578</v>
      </c>
      <c r="BH1306" s="153" t="n">
        <f aca="false">IF(AND($M1306&lt;&gt;"",$N1306="VCA",$Q1306="LINEAR"),($M1306*2)/100,IF(AND($M1306&lt;&gt;"",$N1306="MND",$Q1306="EMBOQUE"),($AN1306*2)/100,0))</f>
        <v>1.3672</v>
      </c>
      <c r="BI1306" s="153" t="n">
        <f aca="false">IF(AND($M1306&lt;&gt;"",$N1306="VCA",$Q1306="LINEAR"),$M1306,IF(AND($M1306&lt;&gt;"",$N1306="MND",$Q1306="EMBOQUE"),$AN1306*2,0))</f>
        <v>68.36</v>
      </c>
      <c r="BJ1306" s="153" t="n">
        <f aca="false">IF(AND($M1306&lt;&gt;"",$N1306="VCA",$Q1306="LINEAR"),($M1306*6.8)/100,IF(AND($M1306&lt;&gt;"",$N1306="MND",$Q1306="EMBOQUE"),($AN1306*2*6.8)/100,0))</f>
        <v>4.64848</v>
      </c>
      <c r="BK1306" s="153" t="n">
        <f aca="false">IF(AND($M1306&lt;&gt;"",$N1306="VCA",$Q1306="LINEAR"),($M1306*2.5)/50,IF(AND($M1306&lt;&gt;"",$N1306="MND",$Q1306="EMBOQUE"),($AN1306*2*2.5)/50,0))</f>
        <v>3.418</v>
      </c>
      <c r="BL1306" s="157" t="str">
        <f aca="false">K1306&amp;J1306</f>
        <v>Zona11REDES</v>
      </c>
      <c r="BM1306" s="152" t="s">
        <v>6084</v>
      </c>
      <c r="BN1306" s="152" t="s">
        <v>1560</v>
      </c>
      <c r="BO1306" s="152" t="s">
        <v>5627</v>
      </c>
      <c r="BP1306" s="152" t="s">
        <v>6486</v>
      </c>
      <c r="BQ1306" s="152" t="s">
        <v>2232</v>
      </c>
      <c r="BR1306" s="152" t="s">
        <v>6491</v>
      </c>
      <c r="BS1306" s="152" t="n">
        <v>203399.304</v>
      </c>
      <c r="BT1306" s="152" t="n">
        <v>8235882.866</v>
      </c>
      <c r="BU1306" s="152" t="n">
        <v>203459.735</v>
      </c>
      <c r="BV1306" s="152" t="n">
        <v>8235904.665</v>
      </c>
      <c r="BW1306" s="152" t="n">
        <v>-15.9385851</v>
      </c>
      <c r="BX1306" s="152" t="n">
        <v>-47.770104</v>
      </c>
      <c r="BY1306" s="152" t="s">
        <v>6486</v>
      </c>
    </row>
    <row r="1307" customFormat="false" ht="13.8" hidden="false" customHeight="false" outlineLevel="0" collapsed="false">
      <c r="A1307" s="149" t="n">
        <f aca="false">IF(C1307&lt;&gt;"",ROW(A1302),"")</f>
        <v>1302</v>
      </c>
      <c r="B1307" s="150" t="str">
        <f aca="false">HYPERLINK("https://www.google.com/maps/dir/-15.917302,-47.760003/-15.9386059,-47.7673064/data=!4m3!4m2!3e0!5i0")</f>
        <v>https://www.google.com/maps/dir/-15.917302,-47.760003/-15.9386059,-47.7673064/data=!4m3!4m2!3e0!5i0</v>
      </c>
      <c r="C1307" s="151" t="s">
        <v>117</v>
      </c>
      <c r="D1307" s="152" t="s">
        <v>112</v>
      </c>
      <c r="E1307" s="152" t="s">
        <v>113</v>
      </c>
      <c r="F1307" s="152" t="s">
        <v>117</v>
      </c>
      <c r="G1307" s="152" t="s">
        <v>782</v>
      </c>
      <c r="H1307" s="152" t="n">
        <v>63</v>
      </c>
      <c r="I1307" s="152" t="s">
        <v>115</v>
      </c>
      <c r="J1307" s="152" t="s">
        <v>6</v>
      </c>
      <c r="K1307" s="152" t="s">
        <v>6081</v>
      </c>
      <c r="L1307" s="152" t="s">
        <v>120</v>
      </c>
      <c r="M1307" s="153" t="n">
        <f aca="false">17.04</f>
        <v>17.04</v>
      </c>
      <c r="N1307" s="152" t="s">
        <v>1548</v>
      </c>
      <c r="O1307" s="152" t="s">
        <v>1549</v>
      </c>
      <c r="P1307" s="152" t="s">
        <v>1550</v>
      </c>
      <c r="Q1307" s="152" t="s">
        <v>1551</v>
      </c>
      <c r="R1307" s="154" t="s">
        <v>6492</v>
      </c>
      <c r="S1307" s="154" t="s">
        <v>1553</v>
      </c>
      <c r="T1307" s="155" t="s">
        <v>5625</v>
      </c>
      <c r="U1307" s="152" t="str">
        <f aca="false">RIGHT(T1307,7)</f>
        <v>023/037</v>
      </c>
      <c r="V1307" s="152" t="s">
        <v>1555</v>
      </c>
      <c r="W1307" s="156" t="n">
        <v>45882</v>
      </c>
      <c r="X1307" s="152" t="s">
        <v>1594</v>
      </c>
      <c r="Y1307" s="152" t="s">
        <v>1986</v>
      </c>
      <c r="Z1307" s="152" t="s">
        <v>1557</v>
      </c>
      <c r="AA1307" s="153" t="n">
        <v>5.3</v>
      </c>
      <c r="AB1307" s="151" t="s">
        <v>6493</v>
      </c>
      <c r="AC1307" s="151" t="s">
        <v>186</v>
      </c>
      <c r="AD1307" s="151" t="str">
        <f aca="false">CONCATENATE($C1307,$I1307,$H1307,$N1307,$J1307,$K1307)</f>
        <v>TUBO PEADPEAD63VCAREDESZona11</v>
      </c>
      <c r="AE1307" s="153" t="n">
        <f aca="false">IFERROR(INDEX(APOIO_REDES!$A:$W,MATCH($C1307&amp;$I1307&amp;$H1307&amp;$N1307&amp;$O1307,APOIO_REDES!$W:$W,0),MATCH(AE$5,APOIO_REDES!$5:$5,0)),0)</f>
        <v>1.2</v>
      </c>
      <c r="AF1307" s="153" t="n">
        <f aca="false">IFERROR(INDEX(APOIO_REDES!$A:$W,MATCH($C1307&amp;$I1307&amp;$H1307&amp;$N1307&amp;$O1307,APOIO_REDES!$W:$W,0),MATCH(AF$5,APOIO_REDES!$5:$5,0)),0)</f>
        <v>1.363</v>
      </c>
      <c r="AG1307" s="153" t="n">
        <f aca="false">IFERROR(INDEX(APOIO_REDES!$A:$W,MATCH($C1307&amp;$I1307&amp;$H1307&amp;$N1307&amp;$O1307,APOIO_REDES!$W:$W,0),MATCH(AG$5,APOIO_REDES!$5:$5,0)),0)</f>
        <v>0.65</v>
      </c>
      <c r="AH1307" s="153" t="n">
        <f aca="false">IFERROR(INDEX(APOIO_REDES!$A:$W,MATCH($C1307&amp;$I1307&amp;$H1307&amp;$N1307&amp;$O1307,APOIO_REDES!$W:$W,0),MATCH(AH$5,APOIO_REDES!$5:$5,0)),0)</f>
        <v>0.1</v>
      </c>
      <c r="AI1307" s="153" t="n">
        <f aca="false">IFERROR(IF($H1307&lt;&gt;"",(((($H1307/1000)/2)^2)*PI()*$M1307),0),0)</f>
        <v>0.053117860091337</v>
      </c>
      <c r="AJ1307" s="153" t="n">
        <f aca="false">IFERROR(IF(AND($H1307&lt;&gt;"",$I1307="FoFo",OR($N1307="MND",$N1307="VCA"),$Q1307="LINEAR"),0,IF(AND($H1307&lt;&gt;"",$I1307="PEAD",$N1307="VCA",$Q1307="LINEAR"),($H1307/1000)+0.3,IF(AND($H1307&lt;&gt;"",$I1307="PEAD",$N1307="MND",$Q1307="EMBOQUE"),0,IF(AND($H1307&lt;&gt;"",$I1307="PVC",$N1307="VCA",$Q1307="LINEAR"),($H1307/1000)+0.2,IF(AND($H1307&lt;&gt;"",$I1307="PVC",$N1307="MND",$Q1307="EMBOQUE"),0,IF(AND($H1307&lt;&gt;"",$I1307="PEAD",$N1307="VCA",$Q1307="PREDIAL"),0,0)))))),0)</f>
        <v>0.363</v>
      </c>
      <c r="AK1307" s="153" t="n">
        <f aca="false">IF(AA1307&lt;&gt;"",AA1307,0)</f>
        <v>5.3</v>
      </c>
      <c r="AL1307" s="153" t="n">
        <f aca="false">IF(AND($N1307="MND",$Q1307="EMBOQUE"),$M1307,IF(AND($N1307="VCA",$Q1307="LINEAR"),$M1307,IF(AND($N1307="VCA",$Q1307="PREDIAL"),0,0)))</f>
        <v>17.04</v>
      </c>
      <c r="AM1307" s="153" t="n">
        <f aca="false">IF(AND($N1307="MND",$Q1307="EMBOQUE"),$M1307,IF(AND($N1307="VCA",$Q1307="LINEAR"),$M1307,IF(AND($N1307="VCA",$Q1307="PREDIAL"),0,0)))</f>
        <v>17.04</v>
      </c>
      <c r="AN1307" s="153" t="n">
        <f aca="false">ROUND(IF(AND($N1307="VCA",$M1307&lt;&gt;"",$Q1307="LINEAR"),$M1307/100,IF(AND($N1307="MND",$M1307&gt;100,$Q1307="EMBOQUE"),$M1307/100,0)),0)</f>
        <v>0</v>
      </c>
      <c r="AO1307" s="153" t="n">
        <f aca="false">IF(AND($N1307="MND",$Q1307="EMBOQUE"),$AN1307*2*2,IF(AND($N1307="VCA",$Q1307="LINEAR"),$M1307*2,IF(AND($N1307="VCA",$Q1307="PREDIAL"),0,0)))</f>
        <v>34.08</v>
      </c>
      <c r="AP1307" s="153" t="n">
        <f aca="false">IFERROR($M1307*$AF1307*$AG1307,0)</f>
        <v>15.096588</v>
      </c>
      <c r="AQ1307" s="153" t="n">
        <f aca="false">IFERROR(IF(AND($N1307="VCA",$AH1307&gt;0),$M1307*$AG1307*$AH1307,0),0)</f>
        <v>1.1076</v>
      </c>
      <c r="AR1307" s="153" t="n">
        <f aca="false">IFERROR(IF(AND($N1307="VCA",$AJ1307&gt;0),($M1307*$AG1307*$AJ1307)-$AI1307,0),0)</f>
        <v>3.96747013990866</v>
      </c>
      <c r="AS1307" s="153" t="n">
        <f aca="false">IFERROR(IF(AND($N1307="VCA",$AP1307&gt;0),$AP1307-$AI1307-$AQ1307-$AR1307,0),0)</f>
        <v>9.9684</v>
      </c>
      <c r="AT1307" s="153" t="n">
        <f aca="false">IFERROR(IF($N1307="VCA",INDEX(APOIO_REDES!$A:$W,MATCH($C1307&amp;$I1307&amp;$H1307&amp;$N1307&amp;$O1307,APOIO_REDES!$W:$W,0),MATCH(AT$5,APOIO_REDES!$5:$5,0)),0)*$AP1307,0)</f>
        <v>0.164255345801961</v>
      </c>
      <c r="AU1307" s="153" t="n">
        <f aca="false">IFERROR(IF($N1307="VCA",INDEX(APOIO_REDES!$A:$W,MATCH($C1307&amp;$I1307&amp;$H1307&amp;$N1307&amp;$O1307,APOIO_REDES!$W:$W,0),MATCH(AU$5,APOIO_REDES!$5:$5,0)),0)*$AP1307,0)</f>
        <v>0.131169870558508</v>
      </c>
      <c r="AV1307" s="153" t="n">
        <f aca="false">IFERROR(IF($N1307="VCA",INDEX(APOIO_REDES!$A:$W,MATCH($C1307&amp;$I1307&amp;$H1307&amp;$N1307&amp;$O1307,APOIO_REDES!$W:$W,0),MATCH(AV$5,APOIO_REDES!$5:$5,0)),0)*$AP1307,0)</f>
        <v>0.0181528803614402</v>
      </c>
      <c r="AW1307" s="153" t="n">
        <f aca="false">IFERROR(IF($N1307="VCA",INDEX(APOIO_REDES!$A:$W,MATCH($C1307&amp;$I1307&amp;$H1307&amp;$N1307&amp;$O1307,APOIO_REDES!$W:$W,0),MATCH(AW$5,APOIO_REDES!$5:$5,0)),0)*$AP1307,0)</f>
        <v>10.3624149772719</v>
      </c>
      <c r="AX1307" s="153" t="n">
        <f aca="false">IFERROR(IF($N1307="VCA",INDEX(APOIO_REDES!$A:$W,MATCH($C1307&amp;$I1307&amp;$H1307&amp;$N1307&amp;$O1307,APOIO_REDES!$W:$W,0),MATCH(AX$5,APOIO_REDES!$5:$5,0)),0)*$AP1307,0)</f>
        <v>1.43412871495662</v>
      </c>
      <c r="AY1307" s="153" t="n">
        <f aca="false">IFERROR(IF($N1307="VCA",INDEX(APOIO_REDES!$A:$W,MATCH($C1307&amp;$I1307&amp;$H1307&amp;$N1307&amp;$O1307,APOIO_REDES!$W:$W,0),MATCH(AY$5,APOIO_REDES!$5:$5,0)),0)*$AP1307,0)</f>
        <v>2.62339581222007</v>
      </c>
      <c r="AZ1307" s="153" t="n">
        <f aca="false">IFERROR(IF($N1307="VCA",INDEX(APOIO_REDES!$A:$W,MATCH($C1307&amp;$I1307&amp;$H1307&amp;$N1307&amp;$O1307,APOIO_REDES!$W:$W,0),MATCH(AZ$5,APOIO_REDES!$5:$5,0)),0)*$AP1307,0)</f>
        <v>0.363070398829516</v>
      </c>
      <c r="BA1307" s="153" t="n">
        <f aca="false">IFERROR(IF(AND($N1307="VCA",$Q1307="LINEAR"),INDEX(APOIO_REDES!$A:$W,MATCH($C1307&amp;$I1307&amp;$H1307&amp;$N1307&amp;$O1307,APOIO_REDES!$W:$W,0),MATCH(BA$5,APOIO_REDES!$5:$5,0)),IF(AND($N1307="MND",$Q1307="EMBOQUE"),INDEX(APOIO_REDES!$A:$W,MATCH($C1307&amp;$I1307&amp;$H1307&amp;$N1307&amp;$O1307,APOIO_REDES!$W:$W,0),MATCH(BA$5,APOIO_REDES!$5:$5,0)),0))*$M1307/10,0)</f>
        <v>1.37338101795946</v>
      </c>
      <c r="BB1307" s="153" t="n">
        <f aca="false">IFERROR(IF($N1307="VCA",INDEX(APOIO_REDES!$A:$W,MATCH($C1307&amp;$I1307&amp;$H1307&amp;$N1307&amp;$O1307,APOIO_REDES!$W:$W,0),MATCH(BB$5,APOIO_REDES!$5:$5,0)),0)*($AI1307+$AQ1307+$AR1307),0)</f>
        <v>5.07239179669383</v>
      </c>
      <c r="BC1307" s="153" t="n">
        <f aca="false">IFERROR(IF($N1307="VCA",INDEX(APOIO_REDES!$A:$W,MATCH($C1307&amp;$I1307&amp;$H1307&amp;$N1307&amp;$O1307,APOIO_REDES!$W:$W,0),MATCH(BC$5,APOIO_REDES!$5:$5,0)),0)*($AI1307+$AQ1307+$AR1307),0)</f>
        <v>0.0557962033061687</v>
      </c>
      <c r="BD1307" s="153" t="n">
        <f aca="false">IF(AND($N1307="VCA",$AF1307&gt;=1.25,$AF1307&lt;1.5),$M1307*$AF1307*2,0)</f>
        <v>46.45104</v>
      </c>
      <c r="BE1307" s="153" t="n">
        <f aca="false">IF(AND($N1307="VCA",$AF1307&gt;=1.5,$AF1307&lt;3),$M1307*$AF1307*2,0)</f>
        <v>0</v>
      </c>
      <c r="BF1307" s="153" t="n">
        <f aca="false">IF(AND($N1307="VCA",$AF1307&gt;=3),$M1307*$AF1307*2,0)</f>
        <v>0</v>
      </c>
      <c r="BG1307" s="153" t="n">
        <f aca="false">($BB1307+$BC1307)*$AK1307</f>
        <v>27.1793964</v>
      </c>
      <c r="BH1307" s="153" t="n">
        <f aca="false">IF(AND($M1307&lt;&gt;"",$N1307="VCA",$Q1307="LINEAR"),($M1307*2)/100,IF(AND($M1307&lt;&gt;"",$N1307="MND",$Q1307="EMBOQUE"),($AN1307*2)/100,0))</f>
        <v>0.3408</v>
      </c>
      <c r="BI1307" s="153" t="n">
        <f aca="false">IF(AND($M1307&lt;&gt;"",$N1307="VCA",$Q1307="LINEAR"),$M1307,IF(AND($M1307&lt;&gt;"",$N1307="MND",$Q1307="EMBOQUE"),$AN1307*2,0))</f>
        <v>17.04</v>
      </c>
      <c r="BJ1307" s="153" t="n">
        <f aca="false">IF(AND($M1307&lt;&gt;"",$N1307="VCA",$Q1307="LINEAR"),($M1307*6.8)/100,IF(AND($M1307&lt;&gt;"",$N1307="MND",$Q1307="EMBOQUE"),($AN1307*2*6.8)/100,0))</f>
        <v>1.15872</v>
      </c>
      <c r="BK1307" s="153" t="n">
        <f aca="false">IF(AND($M1307&lt;&gt;"",$N1307="VCA",$Q1307="LINEAR"),($M1307*2.5)/50,IF(AND($M1307&lt;&gt;"",$N1307="MND",$Q1307="EMBOQUE"),($AN1307*2*2.5)/50,0))</f>
        <v>0.852</v>
      </c>
      <c r="BL1307" s="157" t="str">
        <f aca="false">K1307&amp;J1307</f>
        <v>Zona11REDES</v>
      </c>
      <c r="BM1307" s="152" t="s">
        <v>6084</v>
      </c>
      <c r="BN1307" s="152" t="s">
        <v>1560</v>
      </c>
      <c r="BO1307" s="152" t="s">
        <v>5627</v>
      </c>
      <c r="BP1307" s="152" t="s">
        <v>6494</v>
      </c>
      <c r="BQ1307" s="152" t="s">
        <v>6482</v>
      </c>
      <c r="BR1307" s="152" t="s">
        <v>6495</v>
      </c>
      <c r="BS1307" s="152" t="n">
        <v>203732.815</v>
      </c>
      <c r="BT1307" s="152" t="n">
        <v>8235889.856</v>
      </c>
      <c r="BU1307" s="152" t="n">
        <v>203716.225</v>
      </c>
      <c r="BV1307" s="152" t="n">
        <v>8235886.025</v>
      </c>
      <c r="BW1307" s="152" t="n">
        <v>-15.938624</v>
      </c>
      <c r="BX1307" s="152" t="n">
        <v>-47.7673837</v>
      </c>
      <c r="BY1307" s="152" t="s">
        <v>6494</v>
      </c>
    </row>
    <row r="1308" customFormat="false" ht="13.8" hidden="false" customHeight="false" outlineLevel="0" collapsed="false">
      <c r="A1308" s="149" t="n">
        <f aca="false">IF(C1308&lt;&gt;"",ROW(A1303),"")</f>
        <v>1303</v>
      </c>
      <c r="B1308" s="150" t="str">
        <f aca="false">HYPERLINK("https://www.google.com/maps/dir/-15.917302,-47.760003/-15.9394353,-47.7667642/data=!4m3!4m2!3e0!5i1")</f>
        <v>https://www.google.com/maps/dir/-15.917302,-47.760003/-15.9394353,-47.7667642/data=!4m3!4m2!3e0!5i1</v>
      </c>
      <c r="C1308" s="151" t="s">
        <v>117</v>
      </c>
      <c r="D1308" s="152" t="s">
        <v>112</v>
      </c>
      <c r="E1308" s="152" t="s">
        <v>113</v>
      </c>
      <c r="F1308" s="152" t="s">
        <v>117</v>
      </c>
      <c r="G1308" s="152" t="s">
        <v>782</v>
      </c>
      <c r="H1308" s="152" t="n">
        <v>63</v>
      </c>
      <c r="I1308" s="152" t="s">
        <v>115</v>
      </c>
      <c r="J1308" s="152" t="s">
        <v>6</v>
      </c>
      <c r="K1308" s="152" t="s">
        <v>6081</v>
      </c>
      <c r="L1308" s="152" t="s">
        <v>120</v>
      </c>
      <c r="M1308" s="153" t="n">
        <f aca="false">174.12</f>
        <v>174.12</v>
      </c>
      <c r="N1308" s="152" t="s">
        <v>1548</v>
      </c>
      <c r="O1308" s="152" t="s">
        <v>1549</v>
      </c>
      <c r="P1308" s="152" t="s">
        <v>1550</v>
      </c>
      <c r="Q1308" s="152" t="s">
        <v>1551</v>
      </c>
      <c r="R1308" s="154" t="s">
        <v>6496</v>
      </c>
      <c r="S1308" s="154" t="s">
        <v>1553</v>
      </c>
      <c r="T1308" s="155" t="s">
        <v>5625</v>
      </c>
      <c r="U1308" s="152" t="str">
        <f aca="false">RIGHT(T1308,7)</f>
        <v>023/037</v>
      </c>
      <c r="V1308" s="152" t="s">
        <v>1555</v>
      </c>
      <c r="W1308" s="156" t="n">
        <v>45882</v>
      </c>
      <c r="X1308" s="152" t="s">
        <v>1594</v>
      </c>
      <c r="Y1308" s="152" t="s">
        <v>1986</v>
      </c>
      <c r="Z1308" s="152" t="s">
        <v>1557</v>
      </c>
      <c r="AA1308" s="153" t="n">
        <v>5.2</v>
      </c>
      <c r="AB1308" s="151" t="s">
        <v>6497</v>
      </c>
      <c r="AC1308" s="151" t="s">
        <v>186</v>
      </c>
      <c r="AD1308" s="151" t="str">
        <f aca="false">CONCATENATE($C1308,$I1308,$H1308,$N1308,$J1308,$K1308)</f>
        <v>TUBO PEADPEAD63VCAREDESZona11</v>
      </c>
      <c r="AE1308" s="153" t="n">
        <f aca="false">IFERROR(INDEX(APOIO_REDES!$A:$W,MATCH($C1308&amp;$I1308&amp;$H1308&amp;$N1308&amp;$O1308,APOIO_REDES!$W:$W,0),MATCH(AE$5,APOIO_REDES!$5:$5,0)),0)</f>
        <v>1.2</v>
      </c>
      <c r="AF1308" s="153" t="n">
        <f aca="false">IFERROR(INDEX(APOIO_REDES!$A:$W,MATCH($C1308&amp;$I1308&amp;$H1308&amp;$N1308&amp;$O1308,APOIO_REDES!$W:$W,0),MATCH(AF$5,APOIO_REDES!$5:$5,0)),0)</f>
        <v>1.363</v>
      </c>
      <c r="AG1308" s="153" t="n">
        <f aca="false">IFERROR(INDEX(APOIO_REDES!$A:$W,MATCH($C1308&amp;$I1308&amp;$H1308&amp;$N1308&amp;$O1308,APOIO_REDES!$W:$W,0),MATCH(AG$5,APOIO_REDES!$5:$5,0)),0)</f>
        <v>0.65</v>
      </c>
      <c r="AH1308" s="153" t="n">
        <f aca="false">IFERROR(INDEX(APOIO_REDES!$A:$W,MATCH($C1308&amp;$I1308&amp;$H1308&amp;$N1308&amp;$O1308,APOIO_REDES!$W:$W,0),MATCH(AH$5,APOIO_REDES!$5:$5,0)),0)</f>
        <v>0.1</v>
      </c>
      <c r="AI1308" s="153" t="n">
        <f aca="false">IFERROR(IF($H1308&lt;&gt;"",(((($H1308/1000)/2)^2)*PI()*$M1308),0),0)</f>
        <v>0.542774753468521</v>
      </c>
      <c r="AJ1308" s="153" t="n">
        <f aca="false">IFERROR(IF(AND($H1308&lt;&gt;"",$I1308="FoFo",OR($N1308="MND",$N1308="VCA"),$Q1308="LINEAR"),0,IF(AND($H1308&lt;&gt;"",$I1308="PEAD",$N1308="VCA",$Q1308="LINEAR"),($H1308/1000)+0.3,IF(AND($H1308&lt;&gt;"",$I1308="PEAD",$N1308="MND",$Q1308="EMBOQUE"),0,IF(AND($H1308&lt;&gt;"",$I1308="PVC",$N1308="VCA",$Q1308="LINEAR"),($H1308/1000)+0.2,IF(AND($H1308&lt;&gt;"",$I1308="PVC",$N1308="MND",$Q1308="EMBOQUE"),0,IF(AND($H1308&lt;&gt;"",$I1308="PEAD",$N1308="VCA",$Q1308="PREDIAL"),0,0)))))),0)</f>
        <v>0.363</v>
      </c>
      <c r="AK1308" s="153" t="n">
        <f aca="false">IF(AA1308&lt;&gt;"",AA1308,0)</f>
        <v>5.2</v>
      </c>
      <c r="AL1308" s="153" t="n">
        <f aca="false">IF(AND($N1308="MND",$Q1308="EMBOQUE"),$M1308,IF(AND($N1308="VCA",$Q1308="LINEAR"),$M1308,IF(AND($N1308="VCA",$Q1308="PREDIAL"),0,0)))</f>
        <v>174.12</v>
      </c>
      <c r="AM1308" s="153" t="n">
        <f aca="false">IF(AND($N1308="MND",$Q1308="EMBOQUE"),$M1308,IF(AND($N1308="VCA",$Q1308="LINEAR"),$M1308,IF(AND($N1308="VCA",$Q1308="PREDIAL"),0,0)))</f>
        <v>174.12</v>
      </c>
      <c r="AN1308" s="153" t="n">
        <f aca="false">ROUND(IF(AND($N1308="VCA",$M1308&lt;&gt;"",$Q1308="LINEAR"),$M1308/100,IF(AND($N1308="MND",$M1308&gt;100,$Q1308="EMBOQUE"),$M1308/100,0)),0)</f>
        <v>2</v>
      </c>
      <c r="AO1308" s="153" t="n">
        <f aca="false">IF(AND($N1308="MND",$Q1308="EMBOQUE"),$AN1308*2*2,IF(AND($N1308="VCA",$Q1308="LINEAR"),$M1308*2,IF(AND($N1308="VCA",$Q1308="PREDIAL"),0,0)))</f>
        <v>348.24</v>
      </c>
      <c r="AP1308" s="153" t="n">
        <f aca="false">IFERROR($M1308*$AF1308*$AG1308,0)</f>
        <v>154.261614</v>
      </c>
      <c r="AQ1308" s="153" t="n">
        <f aca="false">IFERROR(IF(AND($N1308="VCA",$AH1308&gt;0),$M1308*$AG1308*$AH1308,0),0)</f>
        <v>11.3178</v>
      </c>
      <c r="AR1308" s="153" t="n">
        <f aca="false">IFERROR(IF(AND($N1308="VCA",$AJ1308&gt;0),($M1308*$AG1308*$AJ1308)-$AI1308,0),0)</f>
        <v>40.5408392465315</v>
      </c>
      <c r="AS1308" s="153" t="n">
        <f aca="false">IFERROR(IF(AND($N1308="VCA",$AP1308&gt;0),$AP1308-$AI1308-$AQ1308-$AR1308,0),0)</f>
        <v>101.8602</v>
      </c>
      <c r="AT1308" s="153" t="n">
        <f aca="false">IFERROR(IF($N1308="VCA",INDEX(APOIO_REDES!$A:$W,MATCH($C1308&amp;$I1308&amp;$H1308&amp;$N1308&amp;$O1308,APOIO_REDES!$W:$W,0),MATCH(AT$5,APOIO_REDES!$5:$5,0)),0)*$AP1308,0)</f>
        <v>1.67841201942708</v>
      </c>
      <c r="AU1308" s="153" t="n">
        <f aca="false">IFERROR(IF($N1308="VCA",INDEX(APOIO_REDES!$A:$W,MATCH($C1308&amp;$I1308&amp;$H1308&amp;$N1308&amp;$O1308,APOIO_REDES!$W:$W,0),MATCH(AU$5,APOIO_REDES!$5:$5,0)),0)*$AP1308,0)</f>
        <v>1.34033438155208</v>
      </c>
      <c r="AV1308" s="153" t="n">
        <f aca="false">IFERROR(IF($N1308="VCA",INDEX(APOIO_REDES!$A:$W,MATCH($C1308&amp;$I1308&amp;$H1308&amp;$N1308&amp;$O1308,APOIO_REDES!$W:$W,0),MATCH(AV$5,APOIO_REDES!$5:$5,0)),0)*$AP1308,0)</f>
        <v>0.185491756369364</v>
      </c>
      <c r="AW1308" s="153" t="n">
        <f aca="false">IFERROR(IF($N1308="VCA",INDEX(APOIO_REDES!$A:$W,MATCH($C1308&amp;$I1308&amp;$H1308&amp;$N1308&amp;$O1308,APOIO_REDES!$W:$W,0),MATCH(AW$5,APOIO_REDES!$5:$5,0)),0)*$AP1308,0)</f>
        <v>105.886367126912</v>
      </c>
      <c r="AX1308" s="153" t="n">
        <f aca="false">IFERROR(IF($N1308="VCA",INDEX(APOIO_REDES!$A:$W,MATCH($C1308&amp;$I1308&amp;$H1308&amp;$N1308&amp;$O1308,APOIO_REDES!$W:$W,0),MATCH(AX$5,APOIO_REDES!$5:$5,0)),0)*$AP1308,0)</f>
        <v>14.6543715873385</v>
      </c>
      <c r="AY1308" s="153" t="n">
        <f aca="false">IFERROR(IF($N1308="VCA",INDEX(APOIO_REDES!$A:$W,MATCH($C1308&amp;$I1308&amp;$H1308&amp;$N1308&amp;$O1308,APOIO_REDES!$W:$W,0),MATCH(AY$5,APOIO_REDES!$5:$5,0)),0)*$AP1308,0)</f>
        <v>26.8066712924741</v>
      </c>
      <c r="AZ1308" s="153" t="n">
        <f aca="false">IFERROR(IF($N1308="VCA",INDEX(APOIO_REDES!$A:$W,MATCH($C1308&amp;$I1308&amp;$H1308&amp;$N1308&amp;$O1308,APOIO_REDES!$W:$W,0),MATCH(AZ$5,APOIO_REDES!$5:$5,0)),0)*$AP1308,0)</f>
        <v>3.70996583592695</v>
      </c>
      <c r="BA1308" s="153" t="n">
        <f aca="false">IFERROR(IF(AND($N1308="VCA",$Q1308="LINEAR"),INDEX(APOIO_REDES!$A:$W,MATCH($C1308&amp;$I1308&amp;$H1308&amp;$N1308&amp;$O1308,APOIO_REDES!$W:$W,0),MATCH(BA$5,APOIO_REDES!$5:$5,0)),IF(AND($N1308="MND",$Q1308="EMBOQUE"),INDEX(APOIO_REDES!$A:$W,MATCH($C1308&amp;$I1308&amp;$H1308&amp;$N1308&amp;$O1308,APOIO_REDES!$W:$W,0),MATCH(BA$5,APOIO_REDES!$5:$5,0)),0))*$M1308/10,0)</f>
        <v>14.0336327961913</v>
      </c>
      <c r="BB1308" s="153" t="n">
        <f aca="false">IFERROR(IF($N1308="VCA",INDEX(APOIO_REDES!$A:$W,MATCH($C1308&amp;$I1308&amp;$H1308&amp;$N1308&amp;$O1308,APOIO_REDES!$W:$W,0),MATCH(BB$5,APOIO_REDES!$5:$5,0)),0)*($AI1308+$AQ1308+$AR1308),0)</f>
        <v>51.8312711056532</v>
      </c>
      <c r="BC1308" s="153" t="n">
        <f aca="false">IFERROR(IF($N1308="VCA",INDEX(APOIO_REDES!$A:$W,MATCH($C1308&amp;$I1308&amp;$H1308&amp;$N1308&amp;$O1308,APOIO_REDES!$W:$W,0),MATCH(BC$5,APOIO_REDES!$5:$5,0)),0)*($AI1308+$AQ1308+$AR1308),0)</f>
        <v>0.570142894346836</v>
      </c>
      <c r="BD1308" s="153" t="n">
        <f aca="false">IF(AND($N1308="VCA",$AF1308&gt;=1.25,$AF1308&lt;1.5),$M1308*$AF1308*2,0)</f>
        <v>474.65112</v>
      </c>
      <c r="BE1308" s="153" t="n">
        <f aca="false">IF(AND($N1308="VCA",$AF1308&gt;=1.5,$AF1308&lt;3),$M1308*$AF1308*2,0)</f>
        <v>0</v>
      </c>
      <c r="BF1308" s="153" t="n">
        <f aca="false">IF(AND($N1308="VCA",$AF1308&gt;=3),$M1308*$AF1308*2,0)</f>
        <v>0</v>
      </c>
      <c r="BG1308" s="153" t="n">
        <f aca="false">($BB1308+$BC1308)*$AK1308</f>
        <v>272.4873528</v>
      </c>
      <c r="BH1308" s="153" t="n">
        <f aca="false">IF(AND($M1308&lt;&gt;"",$N1308="VCA",$Q1308="LINEAR"),($M1308*2)/100,IF(AND($M1308&lt;&gt;"",$N1308="MND",$Q1308="EMBOQUE"),($AN1308*2)/100,0))</f>
        <v>3.4824</v>
      </c>
      <c r="BI1308" s="153" t="n">
        <f aca="false">IF(AND($M1308&lt;&gt;"",$N1308="VCA",$Q1308="LINEAR"),$M1308,IF(AND($M1308&lt;&gt;"",$N1308="MND",$Q1308="EMBOQUE"),$AN1308*2,0))</f>
        <v>174.12</v>
      </c>
      <c r="BJ1308" s="153" t="n">
        <f aca="false">IF(AND($M1308&lt;&gt;"",$N1308="VCA",$Q1308="LINEAR"),($M1308*6.8)/100,IF(AND($M1308&lt;&gt;"",$N1308="MND",$Q1308="EMBOQUE"),($AN1308*2*6.8)/100,0))</f>
        <v>11.84016</v>
      </c>
      <c r="BK1308" s="153" t="n">
        <f aca="false">IF(AND($M1308&lt;&gt;"",$N1308="VCA",$Q1308="LINEAR"),($M1308*2.5)/50,IF(AND($M1308&lt;&gt;"",$N1308="MND",$Q1308="EMBOQUE"),($AN1308*2*2.5)/50,0))</f>
        <v>8.706</v>
      </c>
      <c r="BL1308" s="157" t="str">
        <f aca="false">K1308&amp;J1308</f>
        <v>Zona11REDES</v>
      </c>
      <c r="BM1308" s="152" t="s">
        <v>6084</v>
      </c>
      <c r="BN1308" s="152" t="s">
        <v>1560</v>
      </c>
      <c r="BO1308" s="152" t="s">
        <v>5627</v>
      </c>
      <c r="BP1308" s="152" t="s">
        <v>6498</v>
      </c>
      <c r="BQ1308" s="152" t="s">
        <v>6452</v>
      </c>
      <c r="BR1308" s="152" t="s">
        <v>6499</v>
      </c>
      <c r="BS1308" s="152" t="n">
        <v>203792.116</v>
      </c>
      <c r="BT1308" s="152" t="n">
        <v>8235798.791</v>
      </c>
      <c r="BU1308" s="152" t="n">
        <v>203756.687</v>
      </c>
      <c r="BV1308" s="152" t="n">
        <v>8235967.713</v>
      </c>
      <c r="BW1308" s="152" t="n">
        <v>-15.9386717</v>
      </c>
      <c r="BX1308" s="152" t="n">
        <v>-47.7669574</v>
      </c>
      <c r="BY1308" s="152" t="s">
        <v>6498</v>
      </c>
    </row>
    <row r="1309" customFormat="false" ht="13.8" hidden="false" customHeight="false" outlineLevel="0" collapsed="false">
      <c r="A1309" s="149" t="n">
        <f aca="false">IF(C1309&lt;&gt;"",ROW(A1304),"")</f>
        <v>1304</v>
      </c>
      <c r="B1309" s="150" t="str">
        <f aca="false">HYPERLINK("https://www.google.com/maps/dir/-15.917302,-47.760003/-15.9386385,-47.7674617/data=!4m3!4m2!3e0!5i0")</f>
        <v>https://www.google.com/maps/dir/-15.917302,-47.760003/-15.9386385,-47.7674617/data=!4m3!4m2!3e0!5i0</v>
      </c>
      <c r="C1309" s="151" t="s">
        <v>117</v>
      </c>
      <c r="D1309" s="152" t="s">
        <v>112</v>
      </c>
      <c r="E1309" s="152" t="s">
        <v>113</v>
      </c>
      <c r="F1309" s="152" t="s">
        <v>117</v>
      </c>
      <c r="G1309" s="152" t="s">
        <v>782</v>
      </c>
      <c r="H1309" s="152" t="n">
        <v>63</v>
      </c>
      <c r="I1309" s="152" t="s">
        <v>115</v>
      </c>
      <c r="J1309" s="152" t="s">
        <v>6</v>
      </c>
      <c r="K1309" s="152" t="s">
        <v>6081</v>
      </c>
      <c r="L1309" s="152" t="s">
        <v>120</v>
      </c>
      <c r="M1309" s="153" t="n">
        <f aca="false">38.48</f>
        <v>38.48</v>
      </c>
      <c r="N1309" s="152" t="s">
        <v>1548</v>
      </c>
      <c r="O1309" s="152" t="s">
        <v>1549</v>
      </c>
      <c r="P1309" s="152" t="s">
        <v>1550</v>
      </c>
      <c r="Q1309" s="152" t="s">
        <v>1551</v>
      </c>
      <c r="R1309" s="154" t="s">
        <v>6500</v>
      </c>
      <c r="S1309" s="154" t="s">
        <v>1553</v>
      </c>
      <c r="T1309" s="155" t="s">
        <v>5625</v>
      </c>
      <c r="U1309" s="152" t="str">
        <f aca="false">RIGHT(T1309,7)</f>
        <v>023/037</v>
      </c>
      <c r="V1309" s="152" t="s">
        <v>1555</v>
      </c>
      <c r="W1309" s="156" t="n">
        <v>45882</v>
      </c>
      <c r="X1309" s="152" t="s">
        <v>1594</v>
      </c>
      <c r="Y1309" s="152" t="s">
        <v>1986</v>
      </c>
      <c r="Z1309" s="152" t="s">
        <v>1557</v>
      </c>
      <c r="AA1309" s="153" t="n">
        <v>5.3</v>
      </c>
      <c r="AB1309" s="151" t="s">
        <v>6501</v>
      </c>
      <c r="AC1309" s="151" t="s">
        <v>186</v>
      </c>
      <c r="AD1309" s="151" t="str">
        <f aca="false">CONCATENATE($C1309,$I1309,$H1309,$N1309,$J1309,$K1309)</f>
        <v>TUBO PEADPEAD63VCAREDESZona11</v>
      </c>
      <c r="AE1309" s="153" t="n">
        <f aca="false">IFERROR(INDEX(APOIO_REDES!$A:$W,MATCH($C1309&amp;$I1309&amp;$H1309&amp;$N1309&amp;$O1309,APOIO_REDES!$W:$W,0),MATCH(AE$5,APOIO_REDES!$5:$5,0)),0)</f>
        <v>1.2</v>
      </c>
      <c r="AF1309" s="153" t="n">
        <f aca="false">IFERROR(INDEX(APOIO_REDES!$A:$W,MATCH($C1309&amp;$I1309&amp;$H1309&amp;$N1309&amp;$O1309,APOIO_REDES!$W:$W,0),MATCH(AF$5,APOIO_REDES!$5:$5,0)),0)</f>
        <v>1.363</v>
      </c>
      <c r="AG1309" s="153" t="n">
        <f aca="false">IFERROR(INDEX(APOIO_REDES!$A:$W,MATCH($C1309&amp;$I1309&amp;$H1309&amp;$N1309&amp;$O1309,APOIO_REDES!$W:$W,0),MATCH(AG$5,APOIO_REDES!$5:$5,0)),0)</f>
        <v>0.65</v>
      </c>
      <c r="AH1309" s="153" t="n">
        <f aca="false">IFERROR(INDEX(APOIO_REDES!$A:$W,MATCH($C1309&amp;$I1309&amp;$H1309&amp;$N1309&amp;$O1309,APOIO_REDES!$W:$W,0),MATCH(AH$5,APOIO_REDES!$5:$5,0)),0)</f>
        <v>0.1</v>
      </c>
      <c r="AI1309" s="153" t="n">
        <f aca="false">IFERROR(IF($H1309&lt;&gt;"",(((($H1309/1000)/2)^2)*PI()*$M1309),0),0)</f>
        <v>0.119951599548982</v>
      </c>
      <c r="AJ1309" s="153" t="n">
        <f aca="false">IFERROR(IF(AND($H1309&lt;&gt;"",$I1309="FoFo",OR($N1309="MND",$N1309="VCA"),$Q1309="LINEAR"),0,IF(AND($H1309&lt;&gt;"",$I1309="PEAD",$N1309="VCA",$Q1309="LINEAR"),($H1309/1000)+0.3,IF(AND($H1309&lt;&gt;"",$I1309="PEAD",$N1309="MND",$Q1309="EMBOQUE"),0,IF(AND($H1309&lt;&gt;"",$I1309="PVC",$N1309="VCA",$Q1309="LINEAR"),($H1309/1000)+0.2,IF(AND($H1309&lt;&gt;"",$I1309="PVC",$N1309="MND",$Q1309="EMBOQUE"),0,IF(AND($H1309&lt;&gt;"",$I1309="PEAD",$N1309="VCA",$Q1309="PREDIAL"),0,0)))))),0)</f>
        <v>0.363</v>
      </c>
      <c r="AK1309" s="153" t="n">
        <f aca="false">IF(AA1309&lt;&gt;"",AA1309,0)</f>
        <v>5.3</v>
      </c>
      <c r="AL1309" s="153" t="n">
        <f aca="false">IF(AND($N1309="MND",$Q1309="EMBOQUE"),$M1309,IF(AND($N1309="VCA",$Q1309="LINEAR"),$M1309,IF(AND($N1309="VCA",$Q1309="PREDIAL"),0,0)))</f>
        <v>38.48</v>
      </c>
      <c r="AM1309" s="153" t="n">
        <f aca="false">IF(AND($N1309="MND",$Q1309="EMBOQUE"),$M1309,IF(AND($N1309="VCA",$Q1309="LINEAR"),$M1309,IF(AND($N1309="VCA",$Q1309="PREDIAL"),0,0)))</f>
        <v>38.48</v>
      </c>
      <c r="AN1309" s="153" t="n">
        <f aca="false">ROUND(IF(AND($N1309="VCA",$M1309&lt;&gt;"",$Q1309="LINEAR"),$M1309/100,IF(AND($N1309="MND",$M1309&gt;100,$Q1309="EMBOQUE"),$M1309/100,0)),0)</f>
        <v>0</v>
      </c>
      <c r="AO1309" s="153" t="n">
        <f aca="false">IF(AND($N1309="MND",$Q1309="EMBOQUE"),$AN1309*2*2,IF(AND($N1309="VCA",$Q1309="LINEAR"),$M1309*2,IF(AND($N1309="VCA",$Q1309="PREDIAL"),0,0)))</f>
        <v>76.96</v>
      </c>
      <c r="AP1309" s="153" t="n">
        <f aca="false">IFERROR($M1309*$AF1309*$AG1309,0)</f>
        <v>34.091356</v>
      </c>
      <c r="AQ1309" s="153" t="n">
        <f aca="false">IFERROR(IF(AND($N1309="VCA",$AH1309&gt;0),$M1309*$AG1309*$AH1309,0),0)</f>
        <v>2.5012</v>
      </c>
      <c r="AR1309" s="153" t="n">
        <f aca="false">IFERROR(IF(AND($N1309="VCA",$AJ1309&gt;0),($M1309*$AG1309*$AJ1309)-$AI1309,0),0)</f>
        <v>8.95940440045102</v>
      </c>
      <c r="AS1309" s="153" t="n">
        <f aca="false">IFERROR(IF(AND($N1309="VCA",$AP1309&gt;0),$AP1309-$AI1309-$AQ1309-$AR1309,0),0)</f>
        <v>22.5108</v>
      </c>
      <c r="AT1309" s="153" t="n">
        <f aca="false">IFERROR(IF($N1309="VCA",INDEX(APOIO_REDES!$A:$W,MATCH($C1309&amp;$I1309&amp;$H1309&amp;$N1309&amp;$O1309,APOIO_REDES!$W:$W,0),MATCH(AT$5,APOIO_REDES!$5:$5,0)),0)*$AP1309,0)</f>
        <v>0.370924043806306</v>
      </c>
      <c r="AU1309" s="153" t="n">
        <f aca="false">IFERROR(IF($N1309="VCA",INDEX(APOIO_REDES!$A:$W,MATCH($C1309&amp;$I1309&amp;$H1309&amp;$N1309&amp;$O1309,APOIO_REDES!$W:$W,0),MATCH(AU$5,APOIO_REDES!$5:$5,0)),0)*$AP1309,0)</f>
        <v>0.296209895486584</v>
      </c>
      <c r="AV1309" s="153" t="n">
        <f aca="false">IFERROR(IF($N1309="VCA",INDEX(APOIO_REDES!$A:$W,MATCH($C1309&amp;$I1309&amp;$H1309&amp;$N1309&amp;$O1309,APOIO_REDES!$W:$W,0),MATCH(AV$5,APOIO_REDES!$5:$5,0)),0)*$AP1309,0)</f>
        <v>0.0409931241964916</v>
      </c>
      <c r="AW1309" s="153" t="n">
        <f aca="false">IFERROR(IF($N1309="VCA",INDEX(APOIO_REDES!$A:$W,MATCH($C1309&amp;$I1309&amp;$H1309&amp;$N1309&amp;$O1309,APOIO_REDES!$W:$W,0),MATCH(AW$5,APOIO_REDES!$5:$5,0)),0)*$AP1309,0)</f>
        <v>23.4005709111163</v>
      </c>
      <c r="AX1309" s="153" t="n">
        <f aca="false">IFERROR(IF($N1309="VCA",INDEX(APOIO_REDES!$A:$W,MATCH($C1309&amp;$I1309&amp;$H1309&amp;$N1309&amp;$O1309,APOIO_REDES!$W:$W,0),MATCH(AX$5,APOIO_REDES!$5:$5,0)),0)*$AP1309,0)</f>
        <v>3.2385723563105</v>
      </c>
      <c r="AY1309" s="153" t="n">
        <f aca="false">IFERROR(IF($N1309="VCA",INDEX(APOIO_REDES!$A:$W,MATCH($C1309&amp;$I1309&amp;$H1309&amp;$N1309&amp;$O1309,APOIO_REDES!$W:$W,0),MATCH(AY$5,APOIO_REDES!$5:$5,0)),0)*$AP1309,0)</f>
        <v>5.92419429895707</v>
      </c>
      <c r="AZ1309" s="153" t="n">
        <f aca="false">IFERROR(IF($N1309="VCA",INDEX(APOIO_REDES!$A:$W,MATCH($C1309&amp;$I1309&amp;$H1309&amp;$N1309&amp;$O1309,APOIO_REDES!$W:$W,0),MATCH(AZ$5,APOIO_REDES!$5:$5,0)),0)*$AP1309,0)</f>
        <v>0.819891370126747</v>
      </c>
      <c r="BA1309" s="153" t="n">
        <f aca="false">IFERROR(IF(AND($N1309="VCA",$Q1309="LINEAR"),INDEX(APOIO_REDES!$A:$W,MATCH($C1309&amp;$I1309&amp;$H1309&amp;$N1309&amp;$O1309,APOIO_REDES!$W:$W,0),MATCH(BA$5,APOIO_REDES!$5:$5,0)),IF(AND($N1309="MND",$Q1309="EMBOQUE"),INDEX(APOIO_REDES!$A:$W,MATCH($C1309&amp;$I1309&amp;$H1309&amp;$N1309&amp;$O1309,APOIO_REDES!$W:$W,0),MATCH(BA$5,APOIO_REDES!$5:$5,0)),0))*$M1309/10,0)</f>
        <v>3.10139093726995</v>
      </c>
      <c r="BB1309" s="153" t="n">
        <f aca="false">IFERROR(IF($N1309="VCA",INDEX(APOIO_REDES!$A:$W,MATCH($C1309&amp;$I1309&amp;$H1309&amp;$N1309&amp;$O1309,APOIO_REDES!$W:$W,0),MATCH(BB$5,APOIO_REDES!$5:$5,0)),0)*($AI1309+$AQ1309+$AR1309),0)</f>
        <v>11.4545561230504</v>
      </c>
      <c r="BC1309" s="153" t="n">
        <f aca="false">IFERROR(IF($N1309="VCA",INDEX(APOIO_REDES!$A:$W,MATCH($C1309&amp;$I1309&amp;$H1309&amp;$N1309&amp;$O1309,APOIO_REDES!$W:$W,0),MATCH(BC$5,APOIO_REDES!$5:$5,0)),0)*($AI1309+$AQ1309+$AR1309),0)</f>
        <v>0.125999876949611</v>
      </c>
      <c r="BD1309" s="153" t="n">
        <f aca="false">IF(AND($N1309="VCA",$AF1309&gt;=1.25,$AF1309&lt;1.5),$M1309*$AF1309*2,0)</f>
        <v>104.89648</v>
      </c>
      <c r="BE1309" s="153" t="n">
        <f aca="false">IF(AND($N1309="VCA",$AF1309&gt;=1.5,$AF1309&lt;3),$M1309*$AF1309*2,0)</f>
        <v>0</v>
      </c>
      <c r="BF1309" s="153" t="n">
        <f aca="false">IF(AND($N1309="VCA",$AF1309&gt;=3),$M1309*$AF1309*2,0)</f>
        <v>0</v>
      </c>
      <c r="BG1309" s="153" t="n">
        <f aca="false">($BB1309+$BC1309)*$AK1309</f>
        <v>61.3769468</v>
      </c>
      <c r="BH1309" s="153" t="n">
        <f aca="false">IF(AND($M1309&lt;&gt;"",$N1309="VCA",$Q1309="LINEAR"),($M1309*2)/100,IF(AND($M1309&lt;&gt;"",$N1309="MND",$Q1309="EMBOQUE"),($AN1309*2)/100,0))</f>
        <v>0.7696</v>
      </c>
      <c r="BI1309" s="153" t="n">
        <f aca="false">IF(AND($M1309&lt;&gt;"",$N1309="VCA",$Q1309="LINEAR"),$M1309,IF(AND($M1309&lt;&gt;"",$N1309="MND",$Q1309="EMBOQUE"),$AN1309*2,0))</f>
        <v>38.48</v>
      </c>
      <c r="BJ1309" s="153" t="n">
        <f aca="false">IF(AND($M1309&lt;&gt;"",$N1309="VCA",$Q1309="LINEAR"),($M1309*6.8)/100,IF(AND($M1309&lt;&gt;"",$N1309="MND",$Q1309="EMBOQUE"),($AN1309*2*6.8)/100,0))</f>
        <v>2.61664</v>
      </c>
      <c r="BK1309" s="153" t="n">
        <f aca="false">IF(AND($M1309&lt;&gt;"",$N1309="VCA",$Q1309="LINEAR"),($M1309*2.5)/50,IF(AND($M1309&lt;&gt;"",$N1309="MND",$Q1309="EMBOQUE"),($AN1309*2*2.5)/50,0))</f>
        <v>1.924</v>
      </c>
      <c r="BL1309" s="157" t="str">
        <f aca="false">K1309&amp;J1309</f>
        <v>Zona11REDES</v>
      </c>
      <c r="BM1309" s="152" t="s">
        <v>6084</v>
      </c>
      <c r="BN1309" s="152" t="s">
        <v>1560</v>
      </c>
      <c r="BO1309" s="152" t="s">
        <v>5627</v>
      </c>
      <c r="BP1309" s="152" t="s">
        <v>6482</v>
      </c>
      <c r="BQ1309" s="152" t="s">
        <v>6478</v>
      </c>
      <c r="BR1309" s="152" t="s">
        <v>6502</v>
      </c>
      <c r="BS1309" s="152" t="n">
        <v>203716.225</v>
      </c>
      <c r="BT1309" s="152" t="n">
        <v>8235886.025</v>
      </c>
      <c r="BU1309" s="152" t="n">
        <v>203678.135</v>
      </c>
      <c r="BV1309" s="152" t="n">
        <v>8235880.736</v>
      </c>
      <c r="BW1309" s="152" t="n">
        <v>-15.9386643</v>
      </c>
      <c r="BX1309" s="152" t="n">
        <v>-47.7676393</v>
      </c>
      <c r="BY1309" s="152" t="s">
        <v>6482</v>
      </c>
    </row>
    <row r="1310" customFormat="false" ht="13.8" hidden="false" customHeight="false" outlineLevel="0" collapsed="false">
      <c r="A1310" s="149" t="n">
        <f aca="false">IF(C1310&lt;&gt;"",ROW(A1305),"")</f>
        <v>1305</v>
      </c>
      <c r="B1310" s="150" t="str">
        <f aca="false">HYPERLINK("https://www.google.com/maps/dir/-15.917302,-47.760003/-15.9394353,-47.7667642/data=!4m3!4m2!3e0!5i1")</f>
        <v>https://www.google.com/maps/dir/-15.917302,-47.760003/-15.9394353,-47.7667642/data=!4m3!4m2!3e0!5i1</v>
      </c>
      <c r="C1310" s="151" t="s">
        <v>117</v>
      </c>
      <c r="D1310" s="152" t="s">
        <v>112</v>
      </c>
      <c r="E1310" s="152" t="s">
        <v>113</v>
      </c>
      <c r="F1310" s="152" t="s">
        <v>117</v>
      </c>
      <c r="G1310" s="152" t="s">
        <v>782</v>
      </c>
      <c r="H1310" s="152" t="n">
        <v>63</v>
      </c>
      <c r="I1310" s="152" t="s">
        <v>115</v>
      </c>
      <c r="J1310" s="152" t="s">
        <v>6</v>
      </c>
      <c r="K1310" s="152" t="s">
        <v>6081</v>
      </c>
      <c r="L1310" s="152" t="s">
        <v>120</v>
      </c>
      <c r="M1310" s="153" t="n">
        <f aca="false">136.41+0.34</f>
        <v>136.75</v>
      </c>
      <c r="N1310" s="152" t="s">
        <v>1548</v>
      </c>
      <c r="O1310" s="152" t="s">
        <v>1549</v>
      </c>
      <c r="P1310" s="152" t="s">
        <v>1550</v>
      </c>
      <c r="Q1310" s="152" t="s">
        <v>1551</v>
      </c>
      <c r="R1310" s="154" t="s">
        <v>6503</v>
      </c>
      <c r="S1310" s="154" t="s">
        <v>1553</v>
      </c>
      <c r="T1310" s="155" t="s">
        <v>5625</v>
      </c>
      <c r="U1310" s="152" t="str">
        <f aca="false">RIGHT(T1310,7)</f>
        <v>023/037</v>
      </c>
      <c r="V1310" s="152" t="s">
        <v>1555</v>
      </c>
      <c r="W1310" s="156" t="n">
        <v>45882</v>
      </c>
      <c r="X1310" s="152" t="s">
        <v>1594</v>
      </c>
      <c r="Y1310" s="152" t="s">
        <v>1986</v>
      </c>
      <c r="Z1310" s="152" t="s">
        <v>1557</v>
      </c>
      <c r="AA1310" s="153" t="n">
        <v>5.2</v>
      </c>
      <c r="AB1310" s="151" t="s">
        <v>6504</v>
      </c>
      <c r="AC1310" s="151" t="s">
        <v>186</v>
      </c>
      <c r="AD1310" s="151" t="str">
        <f aca="false">CONCATENATE($C1310,$I1310,$H1310,$N1310,$J1310,$K1310)</f>
        <v>TUBO PEADPEAD63VCAREDESZona11</v>
      </c>
      <c r="AE1310" s="153" t="n">
        <f aca="false">IFERROR(INDEX(APOIO_REDES!$A:$W,MATCH($C1310&amp;$I1310&amp;$H1310&amp;$N1310&amp;$O1310,APOIO_REDES!$W:$W,0),MATCH(AE$5,APOIO_REDES!$5:$5,0)),0)</f>
        <v>1.2</v>
      </c>
      <c r="AF1310" s="153" t="n">
        <f aca="false">IFERROR(INDEX(APOIO_REDES!$A:$W,MATCH($C1310&amp;$I1310&amp;$H1310&amp;$N1310&amp;$O1310,APOIO_REDES!$W:$W,0),MATCH(AF$5,APOIO_REDES!$5:$5,0)),0)</f>
        <v>1.363</v>
      </c>
      <c r="AG1310" s="153" t="n">
        <f aca="false">IFERROR(INDEX(APOIO_REDES!$A:$W,MATCH($C1310&amp;$I1310&amp;$H1310&amp;$N1310&amp;$O1310,APOIO_REDES!$W:$W,0),MATCH(AG$5,APOIO_REDES!$5:$5,0)),0)</f>
        <v>0.65</v>
      </c>
      <c r="AH1310" s="153" t="n">
        <f aca="false">IFERROR(INDEX(APOIO_REDES!$A:$W,MATCH($C1310&amp;$I1310&amp;$H1310&amp;$N1310&amp;$O1310,APOIO_REDES!$W:$W,0),MATCH(AH$5,APOIO_REDES!$5:$5,0)),0)</f>
        <v>0.1</v>
      </c>
      <c r="AI1310" s="153" t="n">
        <f aca="false">IFERROR(IF($H1310&lt;&gt;"",(((($H1310/1000)/2)^2)*PI()*$M1310),0),0)</f>
        <v>0.426283296214222</v>
      </c>
      <c r="AJ1310" s="153" t="n">
        <f aca="false">IFERROR(IF(AND($H1310&lt;&gt;"",$I1310="FoFo",OR($N1310="MND",$N1310="VCA"),$Q1310="LINEAR"),0,IF(AND($H1310&lt;&gt;"",$I1310="PEAD",$N1310="VCA",$Q1310="LINEAR"),($H1310/1000)+0.3,IF(AND($H1310&lt;&gt;"",$I1310="PEAD",$N1310="MND",$Q1310="EMBOQUE"),0,IF(AND($H1310&lt;&gt;"",$I1310="PVC",$N1310="VCA",$Q1310="LINEAR"),($H1310/1000)+0.2,IF(AND($H1310&lt;&gt;"",$I1310="PVC",$N1310="MND",$Q1310="EMBOQUE"),0,IF(AND($H1310&lt;&gt;"",$I1310="PEAD",$N1310="VCA",$Q1310="PREDIAL"),0,0)))))),0)</f>
        <v>0.363</v>
      </c>
      <c r="AK1310" s="153" t="n">
        <f aca="false">IF(AA1310&lt;&gt;"",AA1310,0)</f>
        <v>5.2</v>
      </c>
      <c r="AL1310" s="153" t="n">
        <f aca="false">IF(AND($N1310="MND",$Q1310="EMBOQUE"),$M1310,IF(AND($N1310="VCA",$Q1310="LINEAR"),$M1310,IF(AND($N1310="VCA",$Q1310="PREDIAL"),0,0)))</f>
        <v>136.75</v>
      </c>
      <c r="AM1310" s="153" t="n">
        <f aca="false">IF(AND($N1310="MND",$Q1310="EMBOQUE"),$M1310,IF(AND($N1310="VCA",$Q1310="LINEAR"),$M1310,IF(AND($N1310="VCA",$Q1310="PREDIAL"),0,0)))</f>
        <v>136.75</v>
      </c>
      <c r="AN1310" s="153" t="n">
        <f aca="false">ROUND(IF(AND($N1310="VCA",$M1310&lt;&gt;"",$Q1310="LINEAR"),$M1310/100,IF(AND($N1310="MND",$M1310&gt;100,$Q1310="EMBOQUE"),$M1310/100,0)),0)</f>
        <v>1</v>
      </c>
      <c r="AO1310" s="153" t="n">
        <f aca="false">IF(AND($N1310="MND",$Q1310="EMBOQUE"),$AN1310*2*2,IF(AND($N1310="VCA",$Q1310="LINEAR"),$M1310*2,IF(AND($N1310="VCA",$Q1310="PREDIAL"),0,0)))</f>
        <v>273.5</v>
      </c>
      <c r="AP1310" s="153" t="n">
        <f aca="false">IFERROR($M1310*$AF1310*$AG1310,0)</f>
        <v>121.1536625</v>
      </c>
      <c r="AQ1310" s="153" t="n">
        <f aca="false">IFERROR(IF(AND($N1310="VCA",$AH1310&gt;0),$M1310*$AG1310*$AH1310,0),0)</f>
        <v>8.88875</v>
      </c>
      <c r="AR1310" s="153" t="n">
        <f aca="false">IFERROR(IF(AND($N1310="VCA",$AJ1310&gt;0),($M1310*$AG1310*$AJ1310)-$AI1310,0),0)</f>
        <v>31.8398792037858</v>
      </c>
      <c r="AS1310" s="153" t="n">
        <f aca="false">IFERROR(IF(AND($N1310="VCA",$AP1310&gt;0),$AP1310-$AI1310-$AQ1310-$AR1310,0),0)</f>
        <v>79.99875</v>
      </c>
      <c r="AT1310" s="153" t="n">
        <f aca="false">IFERROR(IF($N1310="VCA",INDEX(APOIO_REDES!$A:$W,MATCH($C1310&amp;$I1310&amp;$H1310&amp;$N1310&amp;$O1310,APOIO_REDES!$W:$W,0),MATCH(AT$5,APOIO_REDES!$5:$5,0)),0)*$AP1310,0)</f>
        <v>1.31818770765365</v>
      </c>
      <c r="AU1310" s="153" t="n">
        <f aca="false">IFERROR(IF($N1310="VCA",INDEX(APOIO_REDES!$A:$W,MATCH($C1310&amp;$I1310&amp;$H1310&amp;$N1310&amp;$O1310,APOIO_REDES!$W:$W,0),MATCH(AU$5,APOIO_REDES!$5:$5,0)),0)*$AP1310,0)</f>
        <v>1.05266900228146</v>
      </c>
      <c r="AV1310" s="153" t="n">
        <f aca="false">IFERROR(IF($N1310="VCA",INDEX(APOIO_REDES!$A:$W,MATCH($C1310&amp;$I1310&amp;$H1310&amp;$N1310&amp;$O1310,APOIO_REDES!$W:$W,0),MATCH(AV$5,APOIO_REDES!$5:$5,0)),0)*$AP1310,0)</f>
        <v>0.145681126140079</v>
      </c>
      <c r="AW1310" s="153" t="n">
        <f aca="false">IFERROR(IF($N1310="VCA",INDEX(APOIO_REDES!$A:$W,MATCH($C1310&amp;$I1310&amp;$H1310&amp;$N1310&amp;$O1310,APOIO_REDES!$W:$W,0),MATCH(AW$5,APOIO_REDES!$5:$5,0)),0)*$AP1310,0)</f>
        <v>83.1608126843855</v>
      </c>
      <c r="AX1310" s="153" t="n">
        <f aca="false">IFERROR(IF($N1310="VCA",INDEX(APOIO_REDES!$A:$W,MATCH($C1310&amp;$I1310&amp;$H1310&amp;$N1310&amp;$O1310,APOIO_REDES!$W:$W,0),MATCH(AX$5,APOIO_REDES!$5:$5,0)),0)*$AP1310,0)</f>
        <v>11.50921958746</v>
      </c>
      <c r="AY1310" s="153" t="n">
        <f aca="false">IFERROR(IF($N1310="VCA",INDEX(APOIO_REDES!$A:$W,MATCH($C1310&amp;$I1310&amp;$H1310&amp;$N1310&amp;$O1310,APOIO_REDES!$W:$W,0),MATCH(AY$5,APOIO_REDES!$5:$5,0)),0)*$AP1310,0)</f>
        <v>21.0533672136793</v>
      </c>
      <c r="AZ1310" s="153" t="n">
        <f aca="false">IFERROR(IF($N1310="VCA",INDEX(APOIO_REDES!$A:$W,MATCH($C1310&amp;$I1310&amp;$H1310&amp;$N1310&amp;$O1310,APOIO_REDES!$W:$W,0),MATCH(AZ$5,APOIO_REDES!$5:$5,0)),0)*$AP1310,0)</f>
        <v>2.91372517840002</v>
      </c>
      <c r="BA1310" s="153" t="n">
        <f aca="false">IFERROR(IF(AND($N1310="VCA",$Q1310="LINEAR"),INDEX(APOIO_REDES!$A:$W,MATCH($C1310&amp;$I1310&amp;$H1310&amp;$N1310&amp;$O1310,APOIO_REDES!$W:$W,0),MATCH(BA$5,APOIO_REDES!$5:$5,0)),IF(AND($N1310="MND",$Q1310="EMBOQUE"),INDEX(APOIO_REDES!$A:$W,MATCH($C1310&amp;$I1310&amp;$H1310&amp;$N1310&amp;$O1310,APOIO_REDES!$W:$W,0),MATCH(BA$5,APOIO_REDES!$5:$5,0)),0))*$M1310/10,0)</f>
        <v>11.021705059035</v>
      </c>
      <c r="BB1310" s="153" t="n">
        <f aca="false">IFERROR(IF($N1310="VCA",INDEX(APOIO_REDES!$A:$W,MATCH($C1310&amp;$I1310&amp;$H1310&amp;$N1310&amp;$O1310,APOIO_REDES!$W:$W,0),MATCH(BB$5,APOIO_REDES!$5:$5,0)),0)*($AI1310+$AQ1310+$AR1310),0)</f>
        <v>40.7071348707677</v>
      </c>
      <c r="BC1310" s="153" t="n">
        <f aca="false">IFERROR(IF($N1310="VCA",INDEX(APOIO_REDES!$A:$W,MATCH($C1310&amp;$I1310&amp;$H1310&amp;$N1310&amp;$O1310,APOIO_REDES!$W:$W,0),MATCH(BC$5,APOIO_REDES!$5:$5,0)),0)*($AI1310+$AQ1310+$AR1310),0)</f>
        <v>0.44777762923231</v>
      </c>
      <c r="BD1310" s="153" t="n">
        <f aca="false">IF(AND($N1310="VCA",$AF1310&gt;=1.25,$AF1310&lt;1.5),$M1310*$AF1310*2,0)</f>
        <v>372.7805</v>
      </c>
      <c r="BE1310" s="153" t="n">
        <f aca="false">IF(AND($N1310="VCA",$AF1310&gt;=1.5,$AF1310&lt;3),$M1310*$AF1310*2,0)</f>
        <v>0</v>
      </c>
      <c r="BF1310" s="153" t="n">
        <f aca="false">IF(AND($N1310="VCA",$AF1310&gt;=3),$M1310*$AF1310*2,0)</f>
        <v>0</v>
      </c>
      <c r="BG1310" s="153" t="n">
        <f aca="false">($BB1310+$BC1310)*$AK1310</f>
        <v>214.005545</v>
      </c>
      <c r="BH1310" s="153" t="n">
        <f aca="false">IF(AND($M1310&lt;&gt;"",$N1310="VCA",$Q1310="LINEAR"),($M1310*2)/100,IF(AND($M1310&lt;&gt;"",$N1310="MND",$Q1310="EMBOQUE"),($AN1310*2)/100,0))</f>
        <v>2.735</v>
      </c>
      <c r="BI1310" s="153" t="n">
        <f aca="false">IF(AND($M1310&lt;&gt;"",$N1310="VCA",$Q1310="LINEAR"),$M1310,IF(AND($M1310&lt;&gt;"",$N1310="MND",$Q1310="EMBOQUE"),$AN1310*2,0))</f>
        <v>136.75</v>
      </c>
      <c r="BJ1310" s="153" t="n">
        <f aca="false">IF(AND($M1310&lt;&gt;"",$N1310="VCA",$Q1310="LINEAR"),($M1310*6.8)/100,IF(AND($M1310&lt;&gt;"",$N1310="MND",$Q1310="EMBOQUE"),($AN1310*2*6.8)/100,0))</f>
        <v>9.299</v>
      </c>
      <c r="BK1310" s="153" t="n">
        <f aca="false">IF(AND($M1310&lt;&gt;"",$N1310="VCA",$Q1310="LINEAR"),($M1310*2.5)/50,IF(AND($M1310&lt;&gt;"",$N1310="MND",$Q1310="EMBOQUE"),($AN1310*2*2.5)/50,0))</f>
        <v>6.8375</v>
      </c>
      <c r="BL1310" s="157" t="str">
        <f aca="false">K1310&amp;J1310</f>
        <v>Zona11REDES</v>
      </c>
      <c r="BM1310" s="152" t="s">
        <v>6084</v>
      </c>
      <c r="BN1310" s="152" t="s">
        <v>1560</v>
      </c>
      <c r="BO1310" s="152" t="s">
        <v>5627</v>
      </c>
      <c r="BP1310" s="152" t="s">
        <v>6498</v>
      </c>
      <c r="BQ1310" s="152" t="s">
        <v>6494</v>
      </c>
      <c r="BR1310" s="152" t="s">
        <v>6505</v>
      </c>
      <c r="BS1310" s="152" t="n">
        <v>203792.116</v>
      </c>
      <c r="BT1310" s="152" t="n">
        <v>8235798.791</v>
      </c>
      <c r="BU1310" s="152" t="n">
        <v>203732.815</v>
      </c>
      <c r="BV1310" s="152" t="n">
        <v>8235889.856</v>
      </c>
      <c r="BW1310" s="152" t="n">
        <v>-15.9392097</v>
      </c>
      <c r="BX1310" s="152" t="n">
        <v>-47.7671964</v>
      </c>
      <c r="BY1310" s="152" t="s">
        <v>6498</v>
      </c>
    </row>
    <row r="1311" customFormat="false" ht="13.8" hidden="false" customHeight="false" outlineLevel="0" collapsed="false">
      <c r="A1311" s="149" t="n">
        <f aca="false">IF(C1311&lt;&gt;"",ROW(A1306),"")</f>
        <v>1306</v>
      </c>
      <c r="B1311" s="150" t="str">
        <f aca="false">HYPERLINK("https://www.google.com/maps/dir/-15.917302,-47.760003/-15.9397286,-47.7666869/data=!4m3!4m2!3e0!5i1")</f>
        <v>https://www.google.com/maps/dir/-15.917302,-47.760003/-15.9397286,-47.7666869/data=!4m3!4m2!3e0!5i1</v>
      </c>
      <c r="C1311" s="151" t="s">
        <v>117</v>
      </c>
      <c r="D1311" s="152" t="s">
        <v>112</v>
      </c>
      <c r="E1311" s="152" t="s">
        <v>113</v>
      </c>
      <c r="F1311" s="152" t="s">
        <v>117</v>
      </c>
      <c r="G1311" s="152" t="s">
        <v>114</v>
      </c>
      <c r="H1311" s="152" t="n">
        <v>225</v>
      </c>
      <c r="I1311" s="152" t="s">
        <v>115</v>
      </c>
      <c r="J1311" s="152" t="s">
        <v>6</v>
      </c>
      <c r="K1311" s="152" t="s">
        <v>6081</v>
      </c>
      <c r="L1311" s="152" t="s">
        <v>120</v>
      </c>
      <c r="M1311" s="153" t="n">
        <f aca="false">208.64</f>
        <v>208.64</v>
      </c>
      <c r="N1311" s="152" t="s">
        <v>1548</v>
      </c>
      <c r="O1311" s="152" t="s">
        <v>1549</v>
      </c>
      <c r="P1311" s="152" t="s">
        <v>1550</v>
      </c>
      <c r="Q1311" s="152" t="s">
        <v>1551</v>
      </c>
      <c r="R1311" s="154" t="s">
        <v>6506</v>
      </c>
      <c r="S1311" s="154" t="s">
        <v>1593</v>
      </c>
      <c r="T1311" s="155" t="s">
        <v>5625</v>
      </c>
      <c r="U1311" s="152" t="str">
        <f aca="false">RIGHT(T1311,7)</f>
        <v>023/037</v>
      </c>
      <c r="V1311" s="152" t="s">
        <v>1555</v>
      </c>
      <c r="W1311" s="156" t="n">
        <v>45882</v>
      </c>
      <c r="X1311" s="152" t="s">
        <v>1594</v>
      </c>
      <c r="Y1311" s="152" t="s">
        <v>1986</v>
      </c>
      <c r="Z1311" s="152" t="s">
        <v>1557</v>
      </c>
      <c r="AA1311" s="153" t="n">
        <v>5.2</v>
      </c>
      <c r="AB1311" s="151" t="s">
        <v>6507</v>
      </c>
      <c r="AC1311" s="151" t="s">
        <v>508</v>
      </c>
      <c r="AD1311" s="151" t="str">
        <f aca="false">CONCATENATE($C1311,$I1311,$H1311,$N1311,$J1311,$K1311)</f>
        <v>TUBO PEADPEAD225VCAREDESZona11</v>
      </c>
      <c r="AE1311" s="153" t="n">
        <f aca="false">IFERROR(INDEX(APOIO_REDES!$A:$W,MATCH($C1311&amp;$I1311&amp;$H1311&amp;$N1311&amp;$O1311,APOIO_REDES!$W:$W,0),MATCH(AE$5,APOIO_REDES!$5:$5,0)),0)</f>
        <v>1.2</v>
      </c>
      <c r="AF1311" s="153" t="n">
        <f aca="false">IFERROR(INDEX(APOIO_REDES!$A:$W,MATCH($C1311&amp;$I1311&amp;$H1311&amp;$N1311&amp;$O1311,APOIO_REDES!$W:$W,0),MATCH(AF$5,APOIO_REDES!$5:$5,0)),0)</f>
        <v>1.525</v>
      </c>
      <c r="AG1311" s="153" t="n">
        <f aca="false">IFERROR(INDEX(APOIO_REDES!$A:$W,MATCH($C1311&amp;$I1311&amp;$H1311&amp;$N1311&amp;$O1311,APOIO_REDES!$W:$W,0),MATCH(AG$5,APOIO_REDES!$5:$5,0)),0)</f>
        <v>0.8</v>
      </c>
      <c r="AH1311" s="153" t="n">
        <f aca="false">IFERROR(INDEX(APOIO_REDES!$A:$W,MATCH($C1311&amp;$I1311&amp;$H1311&amp;$N1311&amp;$O1311,APOIO_REDES!$W:$W,0),MATCH(AH$5,APOIO_REDES!$5:$5,0)),0)</f>
        <v>0.1</v>
      </c>
      <c r="AI1311" s="153" t="n">
        <f aca="false">IFERROR(IF($H1311&lt;&gt;"",(((($H1311/1000)/2)^2)*PI()*$M1311),0),0)</f>
        <v>8.29568956106921</v>
      </c>
      <c r="AJ1311" s="153" t="n">
        <f aca="false">IFERROR(IF(AND($H1311&lt;&gt;"",$I1311="FoFo",OR($N1311="MND",$N1311="VCA"),$Q1311="LINEAR"),0,IF(AND($H1311&lt;&gt;"",$I1311="PEAD",$N1311="VCA",$Q1311="LINEAR"),($H1311/1000)+0.3,IF(AND($H1311&lt;&gt;"",$I1311="PEAD",$N1311="MND",$Q1311="EMBOQUE"),0,IF(AND($H1311&lt;&gt;"",$I1311="PVC",$N1311="VCA",$Q1311="LINEAR"),($H1311/1000)+0.2,IF(AND($H1311&lt;&gt;"",$I1311="PVC",$N1311="MND",$Q1311="EMBOQUE"),0,IF(AND($H1311&lt;&gt;"",$I1311="PEAD",$N1311="VCA",$Q1311="PREDIAL"),0,0)))))),0)</f>
        <v>0.525</v>
      </c>
      <c r="AK1311" s="153" t="n">
        <f aca="false">IF(AA1311&lt;&gt;"",AA1311,0)</f>
        <v>5.2</v>
      </c>
      <c r="AL1311" s="153" t="n">
        <f aca="false">IF(AND($N1311="MND",$Q1311="EMBOQUE"),$M1311,IF(AND($N1311="VCA",$Q1311="LINEAR"),$M1311,IF(AND($N1311="VCA",$Q1311="PREDIAL"),0,0)))</f>
        <v>208.64</v>
      </c>
      <c r="AM1311" s="153" t="n">
        <f aca="false">IF(AND($N1311="MND",$Q1311="EMBOQUE"),$M1311,IF(AND($N1311="VCA",$Q1311="LINEAR"),$M1311,IF(AND($N1311="VCA",$Q1311="PREDIAL"),0,0)))</f>
        <v>208.64</v>
      </c>
      <c r="AN1311" s="153" t="n">
        <f aca="false">ROUND(IF(AND($N1311="VCA",$M1311&lt;&gt;"",$Q1311="LINEAR"),$M1311/100,IF(AND($N1311="MND",$M1311&gt;100,$Q1311="EMBOQUE"),$M1311/100,0)),0)</f>
        <v>2</v>
      </c>
      <c r="AO1311" s="153" t="n">
        <f aca="false">IF(AND($N1311="MND",$Q1311="EMBOQUE"),$AN1311*2*2,IF(AND($N1311="VCA",$Q1311="LINEAR"),$M1311*2,IF(AND($N1311="VCA",$Q1311="PREDIAL"),0,0)))</f>
        <v>417.28</v>
      </c>
      <c r="AP1311" s="153" t="n">
        <f aca="false">IFERROR($M1311*$AF1311*$AG1311,0)</f>
        <v>254.5408</v>
      </c>
      <c r="AQ1311" s="153" t="n">
        <f aca="false">IFERROR(IF(AND($N1311="VCA",$AH1311&gt;0),$M1311*$AG1311*$AH1311,0),0)</f>
        <v>16.6912</v>
      </c>
      <c r="AR1311" s="153" t="n">
        <f aca="false">IFERROR(IF(AND($N1311="VCA",$AJ1311&gt;0),($M1311*$AG1311*$AJ1311)-$AI1311,0),0)</f>
        <v>79.3331104389308</v>
      </c>
      <c r="AS1311" s="153" t="n">
        <f aca="false">IFERROR(IF(AND($N1311="VCA",$AP1311&gt;0),$AP1311-$AI1311-$AQ1311-$AR1311,0),0)</f>
        <v>150.2208</v>
      </c>
      <c r="AT1311" s="153" t="n">
        <f aca="false">IFERROR(IF($N1311="VCA",INDEX(APOIO_REDES!$A:$W,MATCH($C1311&amp;$I1311&amp;$H1311&amp;$N1311&amp;$O1311,APOIO_REDES!$W:$W,0),MATCH(AT$5,APOIO_REDES!$5:$5,0)),0)*$AP1311,0)</f>
        <v>2.76947924423107</v>
      </c>
      <c r="AU1311" s="153" t="n">
        <f aca="false">IFERROR(IF($N1311="VCA",INDEX(APOIO_REDES!$A:$W,MATCH($C1311&amp;$I1311&amp;$H1311&amp;$N1311&amp;$O1311,APOIO_REDES!$W:$W,0),MATCH(AU$5,APOIO_REDES!$5:$5,0)),0)*$AP1311,0)</f>
        <v>2.21163111743257</v>
      </c>
      <c r="AV1311" s="153" t="n">
        <f aca="false">IFERROR(IF($N1311="VCA",INDEX(APOIO_REDES!$A:$W,MATCH($C1311&amp;$I1311&amp;$H1311&amp;$N1311&amp;$O1311,APOIO_REDES!$W:$W,0),MATCH(AV$5,APOIO_REDES!$5:$5,0)),0)*$AP1311,0)</f>
        <v>0.306072384667666</v>
      </c>
      <c r="AW1311" s="153" t="n">
        <f aca="false">IFERROR(IF($N1311="VCA",INDEX(APOIO_REDES!$A:$W,MATCH($C1311&amp;$I1311&amp;$H1311&amp;$N1311&amp;$O1311,APOIO_REDES!$W:$W,0),MATCH(AW$5,APOIO_REDES!$5:$5,0)),0)*$AP1311,0)</f>
        <v>174.718777398361</v>
      </c>
      <c r="AX1311" s="153" t="n">
        <f aca="false">IFERROR(IF($N1311="VCA",INDEX(APOIO_REDES!$A:$W,MATCH($C1311&amp;$I1311&amp;$H1311&amp;$N1311&amp;$O1311,APOIO_REDES!$W:$W,0),MATCH(AX$5,APOIO_REDES!$5:$5,0)),0)*$AP1311,0)</f>
        <v>24.1805810960749</v>
      </c>
      <c r="AY1311" s="153" t="n">
        <f aca="false">IFERROR(IF($N1311="VCA",INDEX(APOIO_REDES!$A:$W,MATCH($C1311&amp;$I1311&amp;$H1311&amp;$N1311&amp;$O1311,APOIO_REDES!$W:$W,0),MATCH(AY$5,APOIO_REDES!$5:$5,0)),0)*$AP1311,0)</f>
        <v>44.2325953890473</v>
      </c>
      <c r="AZ1311" s="153" t="n">
        <f aca="false">IFERROR(IF($N1311="VCA",INDEX(APOIO_REDES!$A:$W,MATCH($C1311&amp;$I1311&amp;$H1311&amp;$N1311&amp;$O1311,APOIO_REDES!$W:$W,0),MATCH(AZ$5,APOIO_REDES!$5:$5,0)),0)*$AP1311,0)</f>
        <v>6.12166337018564</v>
      </c>
      <c r="BA1311" s="153" t="n">
        <f aca="false">IFERROR(IF(AND($N1311="VCA",$Q1311="LINEAR"),INDEX(APOIO_REDES!$A:$W,MATCH($C1311&amp;$I1311&amp;$H1311&amp;$N1311&amp;$O1311,APOIO_REDES!$W:$W,0),MATCH(BA$5,APOIO_REDES!$5:$5,0)),IF(AND($N1311="MND",$Q1311="EMBOQUE"),INDEX(APOIO_REDES!$A:$W,MATCH($C1311&amp;$I1311&amp;$H1311&amp;$N1311&amp;$O1311,APOIO_REDES!$W:$W,0),MATCH(BA$5,APOIO_REDES!$5:$5,0)),0))*$M1311/10,0)</f>
        <v>16.8158577222454</v>
      </c>
      <c r="BB1311" s="153" t="n">
        <f aca="false">IFERROR(IF($N1311="VCA",INDEX(APOIO_REDES!$A:$W,MATCH($C1311&amp;$I1311&amp;$H1311&amp;$N1311&amp;$O1311,APOIO_REDES!$W:$W,0),MATCH(BB$5,APOIO_REDES!$5:$5,0)),0)*($AI1311+$AQ1311+$AR1311),0)</f>
        <v>103.184967522856</v>
      </c>
      <c r="BC1311" s="153" t="n">
        <f aca="false">IFERROR(IF($N1311="VCA",INDEX(APOIO_REDES!$A:$W,MATCH($C1311&amp;$I1311&amp;$H1311&amp;$N1311&amp;$O1311,APOIO_REDES!$W:$W,0),MATCH(BC$5,APOIO_REDES!$5:$5,0)),0)*($AI1311+$AQ1311+$AR1311),0)</f>
        <v>1.13503247714388</v>
      </c>
      <c r="BD1311" s="153" t="n">
        <f aca="false">IF(AND($N1311="VCA",$AF1311&gt;=1.25,$AF1311&lt;1.5),$M1311*$AF1311*2,0)</f>
        <v>0</v>
      </c>
      <c r="BE1311" s="153" t="n">
        <f aca="false">IF(AND($N1311="VCA",$AF1311&gt;=1.5,$AF1311&lt;3),$M1311*$AF1311*2,0)</f>
        <v>636.352</v>
      </c>
      <c r="BF1311" s="153" t="n">
        <f aca="false">IF(AND($N1311="VCA",$AF1311&gt;=3),$M1311*$AF1311*2,0)</f>
        <v>0</v>
      </c>
      <c r="BG1311" s="153" t="n">
        <f aca="false">($BB1311+$BC1311)*$AK1311</f>
        <v>542.464</v>
      </c>
      <c r="BH1311" s="153" t="n">
        <f aca="false">IF(AND($M1311&lt;&gt;"",$N1311="VCA",$Q1311="LINEAR"),($M1311*2)/100,IF(AND($M1311&lt;&gt;"",$N1311="MND",$Q1311="EMBOQUE"),($AN1311*2)/100,0))</f>
        <v>4.1728</v>
      </c>
      <c r="BI1311" s="153" t="n">
        <f aca="false">IF(AND($M1311&lt;&gt;"",$N1311="VCA",$Q1311="LINEAR"),$M1311,IF(AND($M1311&lt;&gt;"",$N1311="MND",$Q1311="EMBOQUE"),$AN1311*2,0))</f>
        <v>208.64</v>
      </c>
      <c r="BJ1311" s="153" t="n">
        <f aca="false">IF(AND($M1311&lt;&gt;"",$N1311="VCA",$Q1311="LINEAR"),($M1311*6.8)/100,IF(AND($M1311&lt;&gt;"",$N1311="MND",$Q1311="EMBOQUE"),($AN1311*2*6.8)/100,0))</f>
        <v>14.18752</v>
      </c>
      <c r="BK1311" s="153" t="n">
        <f aca="false">IF(AND($M1311&lt;&gt;"",$N1311="VCA",$Q1311="LINEAR"),($M1311*2.5)/50,IF(AND($M1311&lt;&gt;"",$N1311="MND",$Q1311="EMBOQUE"),($AN1311*2*2.5)/50,0))</f>
        <v>10.432</v>
      </c>
      <c r="BL1311" s="157" t="str">
        <f aca="false">K1311&amp;J1311</f>
        <v>Zona11REDES</v>
      </c>
      <c r="BM1311" s="152" t="s">
        <v>6084</v>
      </c>
      <c r="BN1311" s="152" t="s">
        <v>1560</v>
      </c>
      <c r="BO1311" s="152" t="s">
        <v>5627</v>
      </c>
      <c r="BP1311" s="152" t="s">
        <v>6508</v>
      </c>
      <c r="BQ1311" s="152" t="s">
        <v>6478</v>
      </c>
      <c r="BR1311" s="152" t="s">
        <v>6509</v>
      </c>
      <c r="BS1311" s="152" t="n">
        <v>203800.832</v>
      </c>
      <c r="BT1311" s="152" t="n">
        <v>8235766.431</v>
      </c>
      <c r="BU1311" s="152" t="n">
        <v>203677.865</v>
      </c>
      <c r="BV1311" s="152" t="n">
        <v>8235880.706</v>
      </c>
      <c r="BW1311" s="152" t="n">
        <v>-15.9395593</v>
      </c>
      <c r="BX1311" s="152" t="n">
        <v>-47.7675426</v>
      </c>
      <c r="BY1311" s="152" t="s">
        <v>6508</v>
      </c>
    </row>
    <row r="1312" customFormat="false" ht="13.8" hidden="false" customHeight="false" outlineLevel="0" collapsed="false">
      <c r="A1312" s="149" t="n">
        <f aca="false">IF(C1312&lt;&gt;"",ROW(A1307),"")</f>
        <v>1307</v>
      </c>
      <c r="B1312" s="150" t="str">
        <f aca="false">HYPERLINK("https://www.google.com/maps/dir/-15.917302,-47.760003/-15.9397286,-47.7666869/data=!4m3!4m2!3e0!5i1")</f>
        <v>https://www.google.com/maps/dir/-15.917302,-47.760003/-15.9397286,-47.7666869/data=!4m3!4m2!3e0!5i1</v>
      </c>
      <c r="C1312" s="151" t="s">
        <v>117</v>
      </c>
      <c r="D1312" s="152" t="s">
        <v>112</v>
      </c>
      <c r="E1312" s="152" t="s">
        <v>113</v>
      </c>
      <c r="F1312" s="152" t="s">
        <v>117</v>
      </c>
      <c r="G1312" s="152" t="s">
        <v>782</v>
      </c>
      <c r="H1312" s="152" t="n">
        <v>63</v>
      </c>
      <c r="I1312" s="152" t="s">
        <v>115</v>
      </c>
      <c r="J1312" s="152" t="s">
        <v>6</v>
      </c>
      <c r="K1312" s="152" t="s">
        <v>6081</v>
      </c>
      <c r="L1312" s="152" t="s">
        <v>120</v>
      </c>
      <c r="M1312" s="153" t="n">
        <f aca="false">33.54</f>
        <v>33.54</v>
      </c>
      <c r="N1312" s="152" t="s">
        <v>1548</v>
      </c>
      <c r="O1312" s="152" t="s">
        <v>1549</v>
      </c>
      <c r="P1312" s="152" t="s">
        <v>1550</v>
      </c>
      <c r="Q1312" s="152" t="s">
        <v>1551</v>
      </c>
      <c r="R1312" s="154" t="s">
        <v>6510</v>
      </c>
      <c r="S1312" s="154" t="s">
        <v>1553</v>
      </c>
      <c r="T1312" s="155" t="s">
        <v>5625</v>
      </c>
      <c r="U1312" s="152" t="str">
        <f aca="false">RIGHT(T1312,7)</f>
        <v>023/037</v>
      </c>
      <c r="V1312" s="152" t="s">
        <v>1555</v>
      </c>
      <c r="W1312" s="156" t="n">
        <v>45882</v>
      </c>
      <c r="X1312" s="152" t="s">
        <v>1594</v>
      </c>
      <c r="Y1312" s="152" t="s">
        <v>1986</v>
      </c>
      <c r="Z1312" s="152" t="s">
        <v>1557</v>
      </c>
      <c r="AA1312" s="153" t="n">
        <v>5.2</v>
      </c>
      <c r="AB1312" s="151" t="s">
        <v>6511</v>
      </c>
      <c r="AC1312" s="151" t="s">
        <v>186</v>
      </c>
      <c r="AD1312" s="151" t="str">
        <f aca="false">CONCATENATE($C1312,$I1312,$H1312,$N1312,$J1312,$K1312)</f>
        <v>TUBO PEADPEAD63VCAREDESZona11</v>
      </c>
      <c r="AE1312" s="153" t="n">
        <f aca="false">IFERROR(INDEX(APOIO_REDES!$A:$W,MATCH($C1312&amp;$I1312&amp;$H1312&amp;$N1312&amp;$O1312,APOIO_REDES!$W:$W,0),MATCH(AE$5,APOIO_REDES!$5:$5,0)),0)</f>
        <v>1.2</v>
      </c>
      <c r="AF1312" s="153" t="n">
        <f aca="false">IFERROR(INDEX(APOIO_REDES!$A:$W,MATCH($C1312&amp;$I1312&amp;$H1312&amp;$N1312&amp;$O1312,APOIO_REDES!$W:$W,0),MATCH(AF$5,APOIO_REDES!$5:$5,0)),0)</f>
        <v>1.363</v>
      </c>
      <c r="AG1312" s="153" t="n">
        <f aca="false">IFERROR(INDEX(APOIO_REDES!$A:$W,MATCH($C1312&amp;$I1312&amp;$H1312&amp;$N1312&amp;$O1312,APOIO_REDES!$W:$W,0),MATCH(AG$5,APOIO_REDES!$5:$5,0)),0)</f>
        <v>0.65</v>
      </c>
      <c r="AH1312" s="153" t="n">
        <f aca="false">IFERROR(INDEX(APOIO_REDES!$A:$W,MATCH($C1312&amp;$I1312&amp;$H1312&amp;$N1312&amp;$O1312,APOIO_REDES!$W:$W,0),MATCH(AH$5,APOIO_REDES!$5:$5,0)),0)</f>
        <v>0.1</v>
      </c>
      <c r="AI1312" s="153" t="n">
        <f aca="false">IFERROR(IF($H1312&lt;&gt;"",(((($H1312/1000)/2)^2)*PI()*$M1312),0),0)</f>
        <v>0.104552407714991</v>
      </c>
      <c r="AJ1312" s="153" t="n">
        <f aca="false">IFERROR(IF(AND($H1312&lt;&gt;"",$I1312="FoFo",OR($N1312="MND",$N1312="VCA"),$Q1312="LINEAR"),0,IF(AND($H1312&lt;&gt;"",$I1312="PEAD",$N1312="VCA",$Q1312="LINEAR"),($H1312/1000)+0.3,IF(AND($H1312&lt;&gt;"",$I1312="PEAD",$N1312="MND",$Q1312="EMBOQUE"),0,IF(AND($H1312&lt;&gt;"",$I1312="PVC",$N1312="VCA",$Q1312="LINEAR"),($H1312/1000)+0.2,IF(AND($H1312&lt;&gt;"",$I1312="PVC",$N1312="MND",$Q1312="EMBOQUE"),0,IF(AND($H1312&lt;&gt;"",$I1312="PEAD",$N1312="VCA",$Q1312="PREDIAL"),0,0)))))),0)</f>
        <v>0.363</v>
      </c>
      <c r="AK1312" s="153" t="n">
        <f aca="false">IF(AA1312&lt;&gt;"",AA1312,0)</f>
        <v>5.2</v>
      </c>
      <c r="AL1312" s="153" t="n">
        <f aca="false">IF(AND($N1312="MND",$Q1312="EMBOQUE"),$M1312,IF(AND($N1312="VCA",$Q1312="LINEAR"),$M1312,IF(AND($N1312="VCA",$Q1312="PREDIAL"),0,0)))</f>
        <v>33.54</v>
      </c>
      <c r="AM1312" s="153" t="n">
        <f aca="false">IF(AND($N1312="MND",$Q1312="EMBOQUE"),$M1312,IF(AND($N1312="VCA",$Q1312="LINEAR"),$M1312,IF(AND($N1312="VCA",$Q1312="PREDIAL"),0,0)))</f>
        <v>33.54</v>
      </c>
      <c r="AN1312" s="153" t="n">
        <f aca="false">ROUND(IF(AND($N1312="VCA",$M1312&lt;&gt;"",$Q1312="LINEAR"),$M1312/100,IF(AND($N1312="MND",$M1312&gt;100,$Q1312="EMBOQUE"),$M1312/100,0)),0)</f>
        <v>0</v>
      </c>
      <c r="AO1312" s="153" t="n">
        <f aca="false">IF(AND($N1312="MND",$Q1312="EMBOQUE"),$AN1312*2*2,IF(AND($N1312="VCA",$Q1312="LINEAR"),$M1312*2,IF(AND($N1312="VCA",$Q1312="PREDIAL"),0,0)))</f>
        <v>67.08</v>
      </c>
      <c r="AP1312" s="153" t="n">
        <f aca="false">IFERROR($M1312*$AF1312*$AG1312,0)</f>
        <v>29.714763</v>
      </c>
      <c r="AQ1312" s="153" t="n">
        <f aca="false">IFERROR(IF(AND($N1312="VCA",$AH1312&gt;0),$M1312*$AG1312*$AH1312,0),0)</f>
        <v>2.1801</v>
      </c>
      <c r="AR1312" s="153" t="n">
        <f aca="false">IFERROR(IF(AND($N1312="VCA",$AJ1312&gt;0),($M1312*$AG1312*$AJ1312)-$AI1312,0),0)</f>
        <v>7.80921059228501</v>
      </c>
      <c r="AS1312" s="153" t="n">
        <f aca="false">IFERROR(IF(AND($N1312="VCA",$AP1312&gt;0),$AP1312-$AI1312-$AQ1312-$AR1312,0),0)</f>
        <v>19.6209</v>
      </c>
      <c r="AT1312" s="153" t="n">
        <f aca="false">IFERROR(IF($N1312="VCA",INDEX(APOIO_REDES!$A:$W,MATCH($C1312&amp;$I1312&amp;$H1312&amp;$N1312&amp;$O1312,APOIO_REDES!$W:$W,0),MATCH(AT$5,APOIO_REDES!$5:$5,0)),0)*$AP1312,0)</f>
        <v>0.323305416560902</v>
      </c>
      <c r="AU1312" s="153" t="n">
        <f aca="false">IFERROR(IF($N1312="VCA",INDEX(APOIO_REDES!$A:$W,MATCH($C1312&amp;$I1312&amp;$H1312&amp;$N1312&amp;$O1312,APOIO_REDES!$W:$W,0),MATCH(AU$5,APOIO_REDES!$5:$5,0)),0)*$AP1312,0)</f>
        <v>0.258182949444388</v>
      </c>
      <c r="AV1312" s="153" t="n">
        <f aca="false">IFERROR(IF($N1312="VCA",INDEX(APOIO_REDES!$A:$W,MATCH($C1312&amp;$I1312&amp;$H1312&amp;$N1312&amp;$O1312,APOIO_REDES!$W:$W,0),MATCH(AV$5,APOIO_REDES!$5:$5,0)),0)*$AP1312,0)</f>
        <v>0.0357304933874826</v>
      </c>
      <c r="AW1312" s="153" t="n">
        <f aca="false">IFERROR(IF($N1312="VCA",INDEX(APOIO_REDES!$A:$W,MATCH($C1312&amp;$I1312&amp;$H1312&amp;$N1312&amp;$O1312,APOIO_REDES!$W:$W,0),MATCH(AW$5,APOIO_REDES!$5:$5,0)),0)*$AP1312,0)</f>
        <v>20.3964435644189</v>
      </c>
      <c r="AX1312" s="153" t="n">
        <f aca="false">IFERROR(IF($N1312="VCA",INDEX(APOIO_REDES!$A:$W,MATCH($C1312&amp;$I1312&amp;$H1312&amp;$N1312&amp;$O1312,APOIO_REDES!$W:$W,0),MATCH(AX$5,APOIO_REDES!$5:$5,0)),0)*$AP1312,0)</f>
        <v>2.82280968894631</v>
      </c>
      <c r="AY1312" s="153" t="n">
        <f aca="false">IFERROR(IF($N1312="VCA",INDEX(APOIO_REDES!$A:$W,MATCH($C1312&amp;$I1312&amp;$H1312&amp;$N1312&amp;$O1312,APOIO_REDES!$W:$W,0),MATCH(AY$5,APOIO_REDES!$5:$5,0)),0)*$AP1312,0)</f>
        <v>5.16365584165853</v>
      </c>
      <c r="AZ1312" s="153" t="n">
        <f aca="false">IFERROR(IF($N1312="VCA",INDEX(APOIO_REDES!$A:$W,MATCH($C1312&amp;$I1312&amp;$H1312&amp;$N1312&amp;$O1312,APOIO_REDES!$W:$W,0),MATCH(AZ$5,APOIO_REDES!$5:$5,0)),0)*$AP1312,0)</f>
        <v>0.714635045583448</v>
      </c>
      <c r="BA1312" s="153" t="n">
        <f aca="false">IFERROR(IF(AND($N1312="VCA",$Q1312="LINEAR"),INDEX(APOIO_REDES!$A:$W,MATCH($C1312&amp;$I1312&amp;$H1312&amp;$N1312&amp;$O1312,APOIO_REDES!$W:$W,0),MATCH(BA$5,APOIO_REDES!$5:$5,0)),IF(AND($N1312="MND",$Q1312="EMBOQUE"),INDEX(APOIO_REDES!$A:$W,MATCH($C1312&amp;$I1312&amp;$H1312&amp;$N1312&amp;$O1312,APOIO_REDES!$W:$W,0),MATCH(BA$5,APOIO_REDES!$5:$5,0)),0))*$M1312/10,0)</f>
        <v>2.70323939802583</v>
      </c>
      <c r="BB1312" s="153" t="n">
        <f aca="false">IFERROR(IF($N1312="VCA",INDEX(APOIO_REDES!$A:$W,MATCH($C1312&amp;$I1312&amp;$H1312&amp;$N1312&amp;$O1312,APOIO_REDES!$W:$W,0),MATCH(BB$5,APOIO_REDES!$5:$5,0)),0)*($AI1312+$AQ1312+$AR1312),0)</f>
        <v>9.98403878292906</v>
      </c>
      <c r="BC1312" s="153" t="n">
        <f aca="false">IFERROR(IF($N1312="VCA",INDEX(APOIO_REDES!$A:$W,MATCH($C1312&amp;$I1312&amp;$H1312&amp;$N1312&amp;$O1312,APOIO_REDES!$W:$W,0),MATCH(BC$5,APOIO_REDES!$5:$5,0)),0)*($AI1312+$AQ1312+$AR1312),0)</f>
        <v>0.109824217070945</v>
      </c>
      <c r="BD1312" s="153" t="n">
        <f aca="false">IF(AND($N1312="VCA",$AF1312&gt;=1.25,$AF1312&lt;1.5),$M1312*$AF1312*2,0)</f>
        <v>91.43004</v>
      </c>
      <c r="BE1312" s="153" t="n">
        <f aca="false">IF(AND($N1312="VCA",$AF1312&gt;=1.5,$AF1312&lt;3),$M1312*$AF1312*2,0)</f>
        <v>0</v>
      </c>
      <c r="BF1312" s="153" t="n">
        <f aca="false">IF(AND($N1312="VCA",$AF1312&gt;=3),$M1312*$AF1312*2,0)</f>
        <v>0</v>
      </c>
      <c r="BG1312" s="153" t="n">
        <f aca="false">($BB1312+$BC1312)*$AK1312</f>
        <v>52.4880876</v>
      </c>
      <c r="BH1312" s="153" t="n">
        <f aca="false">IF(AND($M1312&lt;&gt;"",$N1312="VCA",$Q1312="LINEAR"),($M1312*2)/100,IF(AND($M1312&lt;&gt;"",$N1312="MND",$Q1312="EMBOQUE"),($AN1312*2)/100,0))</f>
        <v>0.6708</v>
      </c>
      <c r="BI1312" s="153" t="n">
        <f aca="false">IF(AND($M1312&lt;&gt;"",$N1312="VCA",$Q1312="LINEAR"),$M1312,IF(AND($M1312&lt;&gt;"",$N1312="MND",$Q1312="EMBOQUE"),$AN1312*2,0))</f>
        <v>33.54</v>
      </c>
      <c r="BJ1312" s="153" t="n">
        <f aca="false">IF(AND($M1312&lt;&gt;"",$N1312="VCA",$Q1312="LINEAR"),($M1312*6.8)/100,IF(AND($M1312&lt;&gt;"",$N1312="MND",$Q1312="EMBOQUE"),($AN1312*2*6.8)/100,0))</f>
        <v>2.28072</v>
      </c>
      <c r="BK1312" s="153" t="n">
        <f aca="false">IF(AND($M1312&lt;&gt;"",$N1312="VCA",$Q1312="LINEAR"),($M1312*2.5)/50,IF(AND($M1312&lt;&gt;"",$N1312="MND",$Q1312="EMBOQUE"),($AN1312*2*2.5)/50,0))</f>
        <v>1.677</v>
      </c>
      <c r="BL1312" s="157" t="str">
        <f aca="false">K1312&amp;J1312</f>
        <v>Zona11REDES</v>
      </c>
      <c r="BM1312" s="152" t="s">
        <v>6084</v>
      </c>
      <c r="BN1312" s="152" t="s">
        <v>1560</v>
      </c>
      <c r="BO1312" s="152" t="s">
        <v>5627</v>
      </c>
      <c r="BP1312" s="152" t="s">
        <v>6508</v>
      </c>
      <c r="BQ1312" s="152" t="s">
        <v>6498</v>
      </c>
      <c r="BR1312" s="152" t="s">
        <v>6512</v>
      </c>
      <c r="BS1312" s="152" t="n">
        <v>203800.832</v>
      </c>
      <c r="BT1312" s="152" t="n">
        <v>8235766.431</v>
      </c>
      <c r="BU1312" s="152" t="n">
        <v>203792.116</v>
      </c>
      <c r="BV1312" s="152" t="n">
        <v>8235798.791</v>
      </c>
      <c r="BW1312" s="152" t="n">
        <v>-15.9395826</v>
      </c>
      <c r="BX1312" s="152" t="n">
        <v>-47.766728</v>
      </c>
      <c r="BY1312" s="152" t="s">
        <v>6508</v>
      </c>
    </row>
    <row r="1313" customFormat="false" ht="13.8" hidden="false" customHeight="false" outlineLevel="0" collapsed="false">
      <c r="A1313" s="149" t="n">
        <f aca="false">IF(C1313&lt;&gt;"",ROW(A1308),"")</f>
        <v>1308</v>
      </c>
      <c r="B1313" s="150" t="str">
        <f aca="false">HYPERLINK("https://www.google.com/maps/dir/-15.917302,-47.760003/-15.9361233,-47.7649989/data=!4m3!4m2!3e0!5i1")</f>
        <v>https://www.google.com/maps/dir/-15.917302,-47.760003/-15.9361233,-47.7649989/data=!4m3!4m2!3e0!5i1</v>
      </c>
      <c r="C1313" s="151" t="s">
        <v>117</v>
      </c>
      <c r="D1313" s="152" t="s">
        <v>112</v>
      </c>
      <c r="E1313" s="152" t="s">
        <v>113</v>
      </c>
      <c r="F1313" s="152" t="s">
        <v>117</v>
      </c>
      <c r="G1313" s="152" t="s">
        <v>114</v>
      </c>
      <c r="H1313" s="152" t="n">
        <v>500</v>
      </c>
      <c r="I1313" s="152" t="s">
        <v>115</v>
      </c>
      <c r="J1313" s="152" t="s">
        <v>6</v>
      </c>
      <c r="K1313" s="152" t="s">
        <v>2224</v>
      </c>
      <c r="L1313" s="152" t="s">
        <v>120</v>
      </c>
      <c r="M1313" s="153" t="n">
        <f aca="false">42.04</f>
        <v>42.04</v>
      </c>
      <c r="N1313" s="152" t="s">
        <v>1548</v>
      </c>
      <c r="O1313" s="152" t="s">
        <v>1549</v>
      </c>
      <c r="P1313" s="152" t="s">
        <v>1550</v>
      </c>
      <c r="Q1313" s="152" t="s">
        <v>1551</v>
      </c>
      <c r="R1313" s="154" t="s">
        <v>6513</v>
      </c>
      <c r="S1313" s="154" t="s">
        <v>2226</v>
      </c>
      <c r="T1313" s="155" t="s">
        <v>6514</v>
      </c>
      <c r="U1313" s="152" t="str">
        <f aca="false">RIGHT(T1313,7)</f>
        <v>024/037</v>
      </c>
      <c r="V1313" s="152" t="s">
        <v>1555</v>
      </c>
      <c r="W1313" s="156" t="n">
        <v>45882</v>
      </c>
      <c r="X1313" s="152" t="s">
        <v>1594</v>
      </c>
      <c r="Y1313" s="152" t="s">
        <v>3251</v>
      </c>
      <c r="Z1313" s="152" t="s">
        <v>1557</v>
      </c>
      <c r="AA1313" s="153" t="n">
        <v>3.9</v>
      </c>
      <c r="AB1313" s="151" t="s">
        <v>6515</v>
      </c>
      <c r="AC1313" s="151" t="s">
        <v>523</v>
      </c>
      <c r="AD1313" s="151" t="str">
        <f aca="false">CONCATENATE($C1313,$I1313,$H1313,$N1313,$J1313,$K1313)</f>
        <v>TUBO PEADPEAD500VCAREDESADUTORA</v>
      </c>
      <c r="AE1313" s="153" t="n">
        <f aca="false">IFERROR(INDEX(APOIO_REDES!$A:$W,MATCH($C1313&amp;$I1313&amp;$H1313&amp;$N1313&amp;$O1313,APOIO_REDES!$W:$W,0),MATCH(AE$5,APOIO_REDES!$5:$5,0)),0)</f>
        <v>1.2</v>
      </c>
      <c r="AF1313" s="153" t="n">
        <f aca="false">IFERROR(INDEX(APOIO_REDES!$A:$W,MATCH($C1313&amp;$I1313&amp;$H1313&amp;$N1313&amp;$O1313,APOIO_REDES!$W:$W,0),MATCH(AF$5,APOIO_REDES!$5:$5,0)),0)</f>
        <v>1.8</v>
      </c>
      <c r="AG1313" s="153" t="n">
        <f aca="false">IFERROR(INDEX(APOIO_REDES!$A:$W,MATCH($C1313&amp;$I1313&amp;$H1313&amp;$N1313&amp;$O1313,APOIO_REDES!$W:$W,0),MATCH(AG$5,APOIO_REDES!$5:$5,0)),0)</f>
        <v>1.2</v>
      </c>
      <c r="AH1313" s="153" t="n">
        <f aca="false">IFERROR(INDEX(APOIO_REDES!$A:$W,MATCH($C1313&amp;$I1313&amp;$H1313&amp;$N1313&amp;$O1313,APOIO_REDES!$W:$W,0),MATCH(AH$5,APOIO_REDES!$5:$5,0)),0)</f>
        <v>0.1</v>
      </c>
      <c r="AI1313" s="153" t="n">
        <f aca="false">IFERROR(IF($H1313&lt;&gt;"",(((($H1313/1000)/2)^2)*PI()*$M1313),0),0)</f>
        <v>8.25453469730718</v>
      </c>
      <c r="AJ1313" s="153" t="n">
        <f aca="false">IFERROR(IF(AND($H1313&lt;&gt;"",$I1313="FoFo",OR($N1313="MND",$N1313="VCA"),$Q1313="LINEAR"),0,IF(AND($H1313&lt;&gt;"",$I1313="PEAD",$N1313="VCA",$Q1313="LINEAR"),($H1313/1000)+0.3,IF(AND($H1313&lt;&gt;"",$I1313="PEAD",$N1313="MND",$Q1313="EMBOQUE"),0,IF(AND($H1313&lt;&gt;"",$I1313="PVC",$N1313="VCA",$Q1313="LINEAR"),($H1313/1000)+0.2,IF(AND($H1313&lt;&gt;"",$I1313="PVC",$N1313="MND",$Q1313="EMBOQUE"),0,IF(AND($H1313&lt;&gt;"",$I1313="PEAD",$N1313="VCA",$Q1313="PREDIAL"),0,0)))))),0)</f>
        <v>0.8</v>
      </c>
      <c r="AK1313" s="153" t="n">
        <f aca="false">IF(AA1313&lt;&gt;"",AA1313,0)</f>
        <v>3.9</v>
      </c>
      <c r="AL1313" s="153" t="n">
        <f aca="false">IF(AND($N1313="MND",$Q1313="EMBOQUE"),$M1313,IF(AND($N1313="VCA",$Q1313="LINEAR"),$M1313,IF(AND($N1313="VCA",$Q1313="PREDIAL"),0,0)))</f>
        <v>42.04</v>
      </c>
      <c r="AM1313" s="153" t="n">
        <f aca="false">IF(AND($N1313="MND",$Q1313="EMBOQUE"),$M1313,IF(AND($N1313="VCA",$Q1313="LINEAR"),$M1313,IF(AND($N1313="VCA",$Q1313="PREDIAL"),0,0)))</f>
        <v>42.04</v>
      </c>
      <c r="AN1313" s="153" t="n">
        <f aca="false">ROUND(IF(AND($N1313="VCA",$M1313&lt;&gt;"",$Q1313="LINEAR"),$M1313/100,IF(AND($N1313="MND",$M1313&gt;100,$Q1313="EMBOQUE"),$M1313/100,0)),0)</f>
        <v>0</v>
      </c>
      <c r="AO1313" s="153" t="n">
        <f aca="false">IF(AND($N1313="MND",$Q1313="EMBOQUE"),$AN1313*2*2,IF(AND($N1313="VCA",$Q1313="LINEAR"),$M1313*2,IF(AND($N1313="VCA",$Q1313="PREDIAL"),0,0)))</f>
        <v>84.08</v>
      </c>
      <c r="AP1313" s="153" t="n">
        <f aca="false">IFERROR($M1313*$AF1313*$AG1313,0)</f>
        <v>90.8064</v>
      </c>
      <c r="AQ1313" s="153" t="n">
        <f aca="false">IFERROR(IF(AND($N1313="VCA",$AH1313&gt;0),$M1313*$AG1313*$AH1313,0),0)</f>
        <v>5.0448</v>
      </c>
      <c r="AR1313" s="153" t="n">
        <f aca="false">IFERROR(IF(AND($N1313="VCA",$AJ1313&gt;0),($M1313*$AG1313*$AJ1313)-$AI1313,0),0)</f>
        <v>32.1038653026928</v>
      </c>
      <c r="AS1313" s="153" t="n">
        <f aca="false">IFERROR(IF(AND($N1313="VCA",$AP1313&gt;0),$AP1313-$AI1313-$AQ1313-$AR1313,0),0)</f>
        <v>45.4032</v>
      </c>
      <c r="AT1313" s="153" t="n">
        <f aca="false">IFERROR(IF($N1313="VCA",INDEX(APOIO_REDES!$A:$W,MATCH($C1313&amp;$I1313&amp;$H1313&amp;$N1313&amp;$O1313,APOIO_REDES!$W:$W,0),MATCH(AT$5,APOIO_REDES!$5:$5,0)),0)*$AP1313,0)</f>
        <v>0.98800050932245</v>
      </c>
      <c r="AU1313" s="153" t="n">
        <f aca="false">IFERROR(IF($N1313="VCA",INDEX(APOIO_REDES!$A:$W,MATCH($C1313&amp;$I1313&amp;$H1313&amp;$N1313&amp;$O1313,APOIO_REDES!$W:$W,0),MATCH(AU$5,APOIO_REDES!$5:$5,0)),0)*$AP1313,0)</f>
        <v>0.788990448297597</v>
      </c>
      <c r="AV1313" s="153" t="n">
        <f aca="false">IFERROR(IF($N1313="VCA",INDEX(APOIO_REDES!$A:$W,MATCH($C1313&amp;$I1313&amp;$H1313&amp;$N1313&amp;$O1313,APOIO_REDES!$W:$W,0),MATCH(AV$5,APOIO_REDES!$5:$5,0)),0)*$AP1313,0)</f>
        <v>0.109190084226521</v>
      </c>
      <c r="AW1313" s="153" t="n">
        <f aca="false">IFERROR(IF($N1313="VCA",INDEX(APOIO_REDES!$A:$W,MATCH($C1313&amp;$I1313&amp;$H1313&amp;$N1313&amp;$O1313,APOIO_REDES!$W:$W,0),MATCH(AW$5,APOIO_REDES!$5:$5,0)),0)*$AP1313,0)</f>
        <v>62.3302165623213</v>
      </c>
      <c r="AX1313" s="153" t="n">
        <f aca="false">IFERROR(IF($N1313="VCA",INDEX(APOIO_REDES!$A:$W,MATCH($C1313&amp;$I1313&amp;$H1313&amp;$N1313&amp;$O1313,APOIO_REDES!$W:$W,0),MATCH(AX$5,APOIO_REDES!$5:$5,0)),0)*$AP1313,0)</f>
        <v>8.62632442124254</v>
      </c>
      <c r="AY1313" s="153" t="n">
        <f aca="false">IFERROR(IF($N1313="VCA",INDEX(APOIO_REDES!$A:$W,MATCH($C1313&amp;$I1313&amp;$H1313&amp;$N1313&amp;$O1313,APOIO_REDES!$W:$W,0),MATCH(AY$5,APOIO_REDES!$5:$5,0)),0)*$AP1313,0)</f>
        <v>15.7797993482223</v>
      </c>
      <c r="AZ1313" s="153" t="n">
        <f aca="false">IFERROR(IF($N1313="VCA",INDEX(APOIO_REDES!$A:$W,MATCH($C1313&amp;$I1313&amp;$H1313&amp;$N1313&amp;$O1313,APOIO_REDES!$W:$W,0),MATCH(AZ$5,APOIO_REDES!$5:$5,0)),0)*$AP1313,0)</f>
        <v>2.18387862636727</v>
      </c>
      <c r="BA1313" s="153" t="n">
        <f aca="false">IFERROR(IF(AND($N1313="VCA",$Q1313="LINEAR"),INDEX(APOIO_REDES!$A:$W,MATCH($C1313&amp;$I1313&amp;$H1313&amp;$N1313&amp;$O1313,APOIO_REDES!$W:$W,0),MATCH(BA$5,APOIO_REDES!$5:$5,0)),IF(AND($N1313="MND",$Q1313="EMBOQUE"),INDEX(APOIO_REDES!$A:$W,MATCH($C1313&amp;$I1313&amp;$H1313&amp;$N1313&amp;$O1313,APOIO_REDES!$W:$W,0),MATCH(BA$5,APOIO_REDES!$5:$5,0)),0))*$M1313/10,0)</f>
        <v>3.38831795745396</v>
      </c>
      <c r="BB1313" s="153" t="n">
        <f aca="false">IFERROR(IF($N1313="VCA",INDEX(APOIO_REDES!$A:$W,MATCH($C1313&amp;$I1313&amp;$H1313&amp;$N1313&amp;$O1313,APOIO_REDES!$W:$W,0),MATCH(BB$5,APOIO_REDES!$5:$5,0)),0)*($AI1313+$AQ1313+$AR1313),0)</f>
        <v>44.9091997453388</v>
      </c>
      <c r="BC1313" s="153" t="n">
        <f aca="false">IFERROR(IF($N1313="VCA",INDEX(APOIO_REDES!$A:$W,MATCH($C1313&amp;$I1313&amp;$H1313&amp;$N1313&amp;$O1313,APOIO_REDES!$W:$W,0),MATCH(BC$5,APOIO_REDES!$5:$5,0)),0)*($AI1313+$AQ1313+$AR1313),0)</f>
        <v>0.494000254661225</v>
      </c>
      <c r="BD1313" s="153" t="n">
        <f aca="false">IF(AND($N1313="VCA",$AF1313&gt;=1.25,$AF1313&lt;1.5),$M1313*$AF1313*2,0)</f>
        <v>0</v>
      </c>
      <c r="BE1313" s="153" t="n">
        <f aca="false">IF(AND($N1313="VCA",$AF1313&gt;=1.5,$AF1313&lt;3),$M1313*$AF1313*2,0)</f>
        <v>151.344</v>
      </c>
      <c r="BF1313" s="153" t="n">
        <f aca="false">IF(AND($N1313="VCA",$AF1313&gt;=3),$M1313*$AF1313*2,0)</f>
        <v>0</v>
      </c>
      <c r="BG1313" s="153" t="n">
        <f aca="false">($BB1313+$BC1313)*$AK1313</f>
        <v>177.07248</v>
      </c>
      <c r="BH1313" s="153" t="n">
        <f aca="false">IF(AND($M1313&lt;&gt;"",$N1313="VCA",$Q1313="LINEAR"),($M1313*2)/100,IF(AND($M1313&lt;&gt;"",$N1313="MND",$Q1313="EMBOQUE"),($AN1313*2)/100,0))</f>
        <v>0.8408</v>
      </c>
      <c r="BI1313" s="153" t="n">
        <f aca="false">IF(AND($M1313&lt;&gt;"",$N1313="VCA",$Q1313="LINEAR"),$M1313,IF(AND($M1313&lt;&gt;"",$N1313="MND",$Q1313="EMBOQUE"),$AN1313*2,0))</f>
        <v>42.04</v>
      </c>
      <c r="BJ1313" s="153" t="n">
        <f aca="false">IF(AND($M1313&lt;&gt;"",$N1313="VCA",$Q1313="LINEAR"),($M1313*6.8)/100,IF(AND($M1313&lt;&gt;"",$N1313="MND",$Q1313="EMBOQUE"),($AN1313*2*6.8)/100,0))</f>
        <v>2.85872</v>
      </c>
      <c r="BK1313" s="153" t="n">
        <f aca="false">IF(AND($M1313&lt;&gt;"",$N1313="VCA",$Q1313="LINEAR"),($M1313*2.5)/50,IF(AND($M1313&lt;&gt;"",$N1313="MND",$Q1313="EMBOQUE"),($AN1313*2*2.5)/50,0))</f>
        <v>2.102</v>
      </c>
      <c r="BL1313" s="157" t="str">
        <f aca="false">K1313&amp;J1313</f>
        <v>ADUTORAREDES</v>
      </c>
      <c r="BM1313" s="152" t="s">
        <v>2229</v>
      </c>
      <c r="BN1313" s="152" t="s">
        <v>2230</v>
      </c>
      <c r="BO1313" s="152" t="s">
        <v>6516</v>
      </c>
      <c r="BP1313" s="152" t="s">
        <v>6517</v>
      </c>
      <c r="BQ1313" s="152" t="s">
        <v>6518</v>
      </c>
      <c r="BR1313" s="152" t="s">
        <v>6519</v>
      </c>
      <c r="BS1313" s="152" t="n">
        <v>203976.374</v>
      </c>
      <c r="BT1313" s="152" t="n">
        <v>8236168.02</v>
      </c>
      <c r="BU1313" s="152" t="n">
        <v>203963.811</v>
      </c>
      <c r="BV1313" s="152" t="n">
        <v>8236208.096</v>
      </c>
      <c r="BW1313" s="152" t="n">
        <v>-15.9359395</v>
      </c>
      <c r="BX1313" s="152" t="n">
        <v>-47.7650479</v>
      </c>
      <c r="BY1313" s="152" t="s">
        <v>6517</v>
      </c>
    </row>
    <row r="1314" customFormat="false" ht="13.8" hidden="false" customHeight="false" outlineLevel="0" collapsed="false">
      <c r="A1314" s="149" t="n">
        <f aca="false">IF(C1314&lt;&gt;"",ROW(A1309),"")</f>
        <v>1309</v>
      </c>
      <c r="B1314" s="150" t="str">
        <f aca="false">HYPERLINK("https://www.google.com/maps/dir/-15.917302,-47.760003/-15.9357599,-47.7651112/data=!4m3!4m2!3e0!5i1")</f>
        <v>https://www.google.com/maps/dir/-15.917302,-47.760003/-15.9357599,-47.7651112/data=!4m3!4m2!3e0!5i1</v>
      </c>
      <c r="C1314" s="151" t="s">
        <v>117</v>
      </c>
      <c r="D1314" s="152" t="s">
        <v>112</v>
      </c>
      <c r="E1314" s="152" t="s">
        <v>113</v>
      </c>
      <c r="F1314" s="152" t="s">
        <v>117</v>
      </c>
      <c r="G1314" s="152" t="s">
        <v>114</v>
      </c>
      <c r="H1314" s="152" t="n">
        <v>500</v>
      </c>
      <c r="I1314" s="152" t="s">
        <v>115</v>
      </c>
      <c r="J1314" s="152" t="s">
        <v>6</v>
      </c>
      <c r="K1314" s="152" t="s">
        <v>2224</v>
      </c>
      <c r="L1314" s="152" t="s">
        <v>120</v>
      </c>
      <c r="M1314" s="153" t="n">
        <f aca="false">247.17</f>
        <v>247.17</v>
      </c>
      <c r="N1314" s="152" t="s">
        <v>1548</v>
      </c>
      <c r="O1314" s="152" t="s">
        <v>1549</v>
      </c>
      <c r="P1314" s="152" t="s">
        <v>1550</v>
      </c>
      <c r="Q1314" s="152" t="s">
        <v>1551</v>
      </c>
      <c r="R1314" s="154" t="s">
        <v>6520</v>
      </c>
      <c r="S1314" s="154" t="s">
        <v>2226</v>
      </c>
      <c r="T1314" s="155" t="s">
        <v>6514</v>
      </c>
      <c r="U1314" s="152" t="str">
        <f aca="false">RIGHT(T1314,7)</f>
        <v>024/037</v>
      </c>
      <c r="V1314" s="152" t="s">
        <v>1555</v>
      </c>
      <c r="W1314" s="156" t="n">
        <v>45882</v>
      </c>
      <c r="X1314" s="152" t="s">
        <v>3938</v>
      </c>
      <c r="Y1314" s="152" t="s">
        <v>6521</v>
      </c>
      <c r="Z1314" s="152" t="s">
        <v>1557</v>
      </c>
      <c r="AA1314" s="153" t="n">
        <v>3.9</v>
      </c>
      <c r="AB1314" s="151" t="s">
        <v>6522</v>
      </c>
      <c r="AC1314" s="151" t="s">
        <v>523</v>
      </c>
      <c r="AD1314" s="151" t="str">
        <f aca="false">CONCATENATE($C1314,$I1314,$H1314,$N1314,$J1314,$K1314)</f>
        <v>TUBO PEADPEAD500VCAREDESADUTORA</v>
      </c>
      <c r="AE1314" s="153" t="n">
        <f aca="false">IFERROR(INDEX(APOIO_REDES!$A:$W,MATCH($C1314&amp;$I1314&amp;$H1314&amp;$N1314&amp;$O1314,APOIO_REDES!$W:$W,0),MATCH(AE$5,APOIO_REDES!$5:$5,0)),0)</f>
        <v>1.2</v>
      </c>
      <c r="AF1314" s="153" t="n">
        <f aca="false">IFERROR(INDEX(APOIO_REDES!$A:$W,MATCH($C1314&amp;$I1314&amp;$H1314&amp;$N1314&amp;$O1314,APOIO_REDES!$W:$W,0),MATCH(AF$5,APOIO_REDES!$5:$5,0)),0)</f>
        <v>1.8</v>
      </c>
      <c r="AG1314" s="153" t="n">
        <f aca="false">IFERROR(INDEX(APOIO_REDES!$A:$W,MATCH($C1314&amp;$I1314&amp;$H1314&amp;$N1314&amp;$O1314,APOIO_REDES!$W:$W,0),MATCH(AG$5,APOIO_REDES!$5:$5,0)),0)</f>
        <v>1.2</v>
      </c>
      <c r="AH1314" s="153" t="n">
        <f aca="false">IFERROR(INDEX(APOIO_REDES!$A:$W,MATCH($C1314&amp;$I1314&amp;$H1314&amp;$N1314&amp;$O1314,APOIO_REDES!$W:$W,0),MATCH(AH$5,APOIO_REDES!$5:$5,0)),0)</f>
        <v>0.1</v>
      </c>
      <c r="AI1314" s="153" t="n">
        <f aca="false">IFERROR(IF($H1314&lt;&gt;"",(((($H1314/1000)/2)^2)*PI()*$M1314),0),0)</f>
        <v>48.5317160117368</v>
      </c>
      <c r="AJ1314" s="153" t="n">
        <f aca="false">IFERROR(IF(AND($H1314&lt;&gt;"",$I1314="FoFo",OR($N1314="MND",$N1314="VCA"),$Q1314="LINEAR"),0,IF(AND($H1314&lt;&gt;"",$I1314="PEAD",$N1314="VCA",$Q1314="LINEAR"),($H1314/1000)+0.3,IF(AND($H1314&lt;&gt;"",$I1314="PEAD",$N1314="MND",$Q1314="EMBOQUE"),0,IF(AND($H1314&lt;&gt;"",$I1314="PVC",$N1314="VCA",$Q1314="LINEAR"),($H1314/1000)+0.2,IF(AND($H1314&lt;&gt;"",$I1314="PVC",$N1314="MND",$Q1314="EMBOQUE"),0,IF(AND($H1314&lt;&gt;"",$I1314="PEAD",$N1314="VCA",$Q1314="PREDIAL"),0,0)))))),0)</f>
        <v>0.8</v>
      </c>
      <c r="AK1314" s="153" t="n">
        <f aca="false">IF(AA1314&lt;&gt;"",AA1314,0)</f>
        <v>3.9</v>
      </c>
      <c r="AL1314" s="153" t="n">
        <f aca="false">IF(AND($N1314="MND",$Q1314="EMBOQUE"),$M1314,IF(AND($N1314="VCA",$Q1314="LINEAR"),$M1314,IF(AND($N1314="VCA",$Q1314="PREDIAL"),0,0)))</f>
        <v>247.17</v>
      </c>
      <c r="AM1314" s="153" t="n">
        <f aca="false">IF(AND($N1314="MND",$Q1314="EMBOQUE"),$M1314,IF(AND($N1314="VCA",$Q1314="LINEAR"),$M1314,IF(AND($N1314="VCA",$Q1314="PREDIAL"),0,0)))</f>
        <v>247.17</v>
      </c>
      <c r="AN1314" s="153" t="n">
        <f aca="false">ROUND(IF(AND($N1314="VCA",$M1314&lt;&gt;"",$Q1314="LINEAR"),$M1314/100,IF(AND($N1314="MND",$M1314&gt;100,$Q1314="EMBOQUE"),$M1314/100,0)),0)</f>
        <v>2</v>
      </c>
      <c r="AO1314" s="153" t="n">
        <f aca="false">IF(AND($N1314="MND",$Q1314="EMBOQUE"),$AN1314*2*2,IF(AND($N1314="VCA",$Q1314="LINEAR"),$M1314*2,IF(AND($N1314="VCA",$Q1314="PREDIAL"),0,0)))</f>
        <v>494.34</v>
      </c>
      <c r="AP1314" s="153" t="n">
        <f aca="false">IFERROR($M1314*$AF1314*$AG1314,0)</f>
        <v>533.8872</v>
      </c>
      <c r="AQ1314" s="153" t="n">
        <f aca="false">IFERROR(IF(AND($N1314="VCA",$AH1314&gt;0),$M1314*$AG1314*$AH1314,0),0)</f>
        <v>29.6604</v>
      </c>
      <c r="AR1314" s="153" t="n">
        <f aca="false">IFERROR(IF(AND($N1314="VCA",$AJ1314&gt;0),($M1314*$AG1314*$AJ1314)-$AI1314,0),0)</f>
        <v>188.751483988263</v>
      </c>
      <c r="AS1314" s="153" t="n">
        <f aca="false">IFERROR(IF(AND($N1314="VCA",$AP1314&gt;0),$AP1314-$AI1314-$AQ1314-$AR1314,0),0)</f>
        <v>266.9436</v>
      </c>
      <c r="AT1314" s="153" t="n">
        <f aca="false">IFERROR(IF($N1314="VCA",INDEX(APOIO_REDES!$A:$W,MATCH($C1314&amp;$I1314&amp;$H1314&amp;$N1314&amp;$O1314,APOIO_REDES!$W:$W,0),MATCH(AT$5,APOIO_REDES!$5:$5,0)),0)*$AP1314,0)</f>
        <v>5.80885075854496</v>
      </c>
      <c r="AU1314" s="153" t="n">
        <f aca="false">IFERROR(IF($N1314="VCA",INDEX(APOIO_REDES!$A:$W,MATCH($C1314&amp;$I1314&amp;$H1314&amp;$N1314&amp;$O1314,APOIO_REDES!$W:$W,0),MATCH(AU$5,APOIO_REDES!$5:$5,0)),0)*$AP1314,0)</f>
        <v>4.6387908921436</v>
      </c>
      <c r="AV1314" s="153" t="n">
        <f aca="false">IFERROR(IF($N1314="VCA",INDEX(APOIO_REDES!$A:$W,MATCH($C1314&amp;$I1314&amp;$H1314&amp;$N1314&amp;$O1314,APOIO_REDES!$W:$W,0),MATCH(AV$5,APOIO_REDES!$5:$5,0)),0)*$AP1314,0)</f>
        <v>0.641972243536372</v>
      </c>
      <c r="AW1314" s="153" t="n">
        <f aca="false">IFERROR(IF($N1314="VCA",INDEX(APOIO_REDES!$A:$W,MATCH($C1314&amp;$I1314&amp;$H1314&amp;$N1314&amp;$O1314,APOIO_REDES!$W:$W,0),MATCH(AW$5,APOIO_REDES!$5:$5,0)),0)*$AP1314,0)</f>
        <v>366.46431083989</v>
      </c>
      <c r="AX1314" s="153" t="n">
        <f aca="false">IFERROR(IF($N1314="VCA",INDEX(APOIO_REDES!$A:$W,MATCH($C1314&amp;$I1314&amp;$H1314&amp;$N1314&amp;$O1314,APOIO_REDES!$W:$W,0),MATCH(AX$5,APOIO_REDES!$5:$5,0)),0)*$AP1314,0)</f>
        <v>50.7176167268915</v>
      </c>
      <c r="AY1314" s="153" t="n">
        <f aca="false">IFERROR(IF($N1314="VCA",INDEX(APOIO_REDES!$A:$W,MATCH($C1314&amp;$I1314&amp;$H1314&amp;$N1314&amp;$O1314,APOIO_REDES!$W:$W,0),MATCH(AY$5,APOIO_REDES!$5:$5,0)),0)*$AP1314,0)</f>
        <v>92.7757612963871</v>
      </c>
      <c r="AZ1314" s="153" t="n">
        <f aca="false">IFERROR(IF($N1314="VCA",INDEX(APOIO_REDES!$A:$W,MATCH($C1314&amp;$I1314&amp;$H1314&amp;$N1314&amp;$O1314,APOIO_REDES!$W:$W,0),MATCH(AZ$5,APOIO_REDES!$5:$5,0)),0)*$AP1314,0)</f>
        <v>12.839897242607</v>
      </c>
      <c r="BA1314" s="153" t="n">
        <f aca="false">IFERROR(IF(AND($N1314="VCA",$Q1314="LINEAR"),INDEX(APOIO_REDES!$A:$W,MATCH($C1314&amp;$I1314&amp;$H1314&amp;$N1314&amp;$O1314,APOIO_REDES!$W:$W,0),MATCH(BA$5,APOIO_REDES!$5:$5,0)),IF(AND($N1314="MND",$Q1314="EMBOQUE"),INDEX(APOIO_REDES!$A:$W,MATCH($C1314&amp;$I1314&amp;$H1314&amp;$N1314&amp;$O1314,APOIO_REDES!$W:$W,0),MATCH(BA$5,APOIO_REDES!$5:$5,0)),0))*$M1314/10,0)</f>
        <v>19.9212785333943</v>
      </c>
      <c r="BB1314" s="153" t="n">
        <f aca="false">IFERROR(IF($N1314="VCA",INDEX(APOIO_REDES!$A:$W,MATCH($C1314&amp;$I1314&amp;$H1314&amp;$N1314&amp;$O1314,APOIO_REDES!$W:$W,0),MATCH(BB$5,APOIO_REDES!$5:$5,0)),0)*($AI1314+$AQ1314+$AR1314),0)</f>
        <v>264.039174620728</v>
      </c>
      <c r="BC1314" s="153" t="n">
        <f aca="false">IFERROR(IF($N1314="VCA",INDEX(APOIO_REDES!$A:$W,MATCH($C1314&amp;$I1314&amp;$H1314&amp;$N1314&amp;$O1314,APOIO_REDES!$W:$W,0),MATCH(BC$5,APOIO_REDES!$5:$5,0)),0)*($AI1314+$AQ1314+$AR1314),0)</f>
        <v>2.90442537927248</v>
      </c>
      <c r="BD1314" s="153" t="n">
        <f aca="false">IF(AND($N1314="VCA",$AF1314&gt;=1.25,$AF1314&lt;1.5),$M1314*$AF1314*2,0)</f>
        <v>0</v>
      </c>
      <c r="BE1314" s="153" t="n">
        <f aca="false">IF(AND($N1314="VCA",$AF1314&gt;=1.5,$AF1314&lt;3),$M1314*$AF1314*2,0)</f>
        <v>889.812</v>
      </c>
      <c r="BF1314" s="153" t="n">
        <f aca="false">IF(AND($N1314="VCA",$AF1314&gt;=3),$M1314*$AF1314*2,0)</f>
        <v>0</v>
      </c>
      <c r="BG1314" s="153" t="n">
        <f aca="false">($BB1314+$BC1314)*$AK1314</f>
        <v>1041.08004</v>
      </c>
      <c r="BH1314" s="153" t="n">
        <f aca="false">IF(AND($M1314&lt;&gt;"",$N1314="VCA",$Q1314="LINEAR"),($M1314*2)/100,IF(AND($M1314&lt;&gt;"",$N1314="MND",$Q1314="EMBOQUE"),($AN1314*2)/100,0))</f>
        <v>4.9434</v>
      </c>
      <c r="BI1314" s="153" t="n">
        <f aca="false">IF(AND($M1314&lt;&gt;"",$N1314="VCA",$Q1314="LINEAR"),$M1314,IF(AND($M1314&lt;&gt;"",$N1314="MND",$Q1314="EMBOQUE"),$AN1314*2,0))</f>
        <v>247.17</v>
      </c>
      <c r="BJ1314" s="153" t="n">
        <f aca="false">IF(AND($M1314&lt;&gt;"",$N1314="VCA",$Q1314="LINEAR"),($M1314*6.8)/100,IF(AND($M1314&lt;&gt;"",$N1314="MND",$Q1314="EMBOQUE"),($AN1314*2*6.8)/100,0))</f>
        <v>16.80756</v>
      </c>
      <c r="BK1314" s="153" t="n">
        <f aca="false">IF(AND($M1314&lt;&gt;"",$N1314="VCA",$Q1314="LINEAR"),($M1314*2.5)/50,IF(AND($M1314&lt;&gt;"",$N1314="MND",$Q1314="EMBOQUE"),($AN1314*2*2.5)/50,0))</f>
        <v>12.3585</v>
      </c>
      <c r="BL1314" s="157" t="str">
        <f aca="false">K1314&amp;J1314</f>
        <v>ADUTORAREDES</v>
      </c>
      <c r="BM1314" s="152" t="s">
        <v>2229</v>
      </c>
      <c r="BN1314" s="152" t="s">
        <v>2230</v>
      </c>
      <c r="BO1314" s="152" t="s">
        <v>6516</v>
      </c>
      <c r="BP1314" s="152" t="s">
        <v>6518</v>
      </c>
      <c r="BQ1314" s="152" t="s">
        <v>6391</v>
      </c>
      <c r="BR1314" s="152" t="s">
        <v>6523</v>
      </c>
      <c r="BS1314" s="152" t="n">
        <v>203963.811</v>
      </c>
      <c r="BT1314" s="152" t="n">
        <v>8236208.096</v>
      </c>
      <c r="BU1314" s="152" t="n">
        <v>203725.068</v>
      </c>
      <c r="BV1314" s="152" t="n">
        <v>8236144.343</v>
      </c>
      <c r="BW1314" s="152" t="n">
        <v>-15.9360305</v>
      </c>
      <c r="BX1314" s="152" t="n">
        <v>-47.76623</v>
      </c>
      <c r="BY1314" s="152" t="s">
        <v>6518</v>
      </c>
    </row>
    <row r="1315" customFormat="false" ht="13.8" hidden="false" customHeight="false" outlineLevel="0" collapsed="false">
      <c r="A1315" s="149" t="n">
        <f aca="false">IF(C1315&lt;&gt;"",ROW(A1310),"")</f>
        <v>1310</v>
      </c>
      <c r="B1315" s="150" t="str">
        <f aca="false">HYPERLINK("https://www.google.com/maps/dir/-15.917302,-47.760003/-15.9363872,-47.7658520/data=!4m3!4m2!3e0!5i2")</f>
        <v>https://www.google.com/maps/dir/-15.917302,-47.760003/-15.9363872,-47.7658520/data=!4m3!4m2!3e0!5i2</v>
      </c>
      <c r="C1315" s="151" t="s">
        <v>117</v>
      </c>
      <c r="D1315" s="152" t="s">
        <v>112</v>
      </c>
      <c r="E1315" s="152" t="s">
        <v>113</v>
      </c>
      <c r="F1315" s="152" t="s">
        <v>117</v>
      </c>
      <c r="G1315" s="152" t="s">
        <v>114</v>
      </c>
      <c r="H1315" s="152" t="n">
        <v>500</v>
      </c>
      <c r="I1315" s="152" t="s">
        <v>115</v>
      </c>
      <c r="J1315" s="152" t="s">
        <v>6</v>
      </c>
      <c r="K1315" s="152" t="s">
        <v>2224</v>
      </c>
      <c r="L1315" s="152" t="s">
        <v>120</v>
      </c>
      <c r="M1315" s="153" t="n">
        <f aca="false">96.08</f>
        <v>96.08</v>
      </c>
      <c r="N1315" s="152" t="s">
        <v>1548</v>
      </c>
      <c r="O1315" s="152" t="s">
        <v>1549</v>
      </c>
      <c r="P1315" s="152" t="s">
        <v>1550</v>
      </c>
      <c r="Q1315" s="152" t="s">
        <v>1551</v>
      </c>
      <c r="R1315" s="154" t="s">
        <v>6524</v>
      </c>
      <c r="S1315" s="154" t="s">
        <v>2226</v>
      </c>
      <c r="T1315" s="155" t="s">
        <v>6514</v>
      </c>
      <c r="U1315" s="152" t="str">
        <f aca="false">RIGHT(T1315,7)</f>
        <v>024/037</v>
      </c>
      <c r="V1315" s="152" t="s">
        <v>1555</v>
      </c>
      <c r="W1315" s="156" t="n">
        <v>45882</v>
      </c>
      <c r="X1315" s="152" t="s">
        <v>1594</v>
      </c>
      <c r="Y1315" s="152" t="s">
        <v>6525</v>
      </c>
      <c r="Z1315" s="152" t="s">
        <v>1557</v>
      </c>
      <c r="AA1315" s="153" t="n">
        <v>5.5</v>
      </c>
      <c r="AB1315" s="151" t="s">
        <v>6526</v>
      </c>
      <c r="AC1315" s="151" t="s">
        <v>523</v>
      </c>
      <c r="AD1315" s="151" t="str">
        <f aca="false">CONCATENATE($C1315,$I1315,$H1315,$N1315,$J1315,$K1315)</f>
        <v>TUBO PEADPEAD500VCAREDESADUTORA</v>
      </c>
      <c r="AE1315" s="153" t="n">
        <f aca="false">IFERROR(INDEX(APOIO_REDES!$A:$W,MATCH($C1315&amp;$I1315&amp;$H1315&amp;$N1315&amp;$O1315,APOIO_REDES!$W:$W,0),MATCH(AE$5,APOIO_REDES!$5:$5,0)),0)</f>
        <v>1.2</v>
      </c>
      <c r="AF1315" s="153" t="n">
        <f aca="false">IFERROR(INDEX(APOIO_REDES!$A:$W,MATCH($C1315&amp;$I1315&amp;$H1315&amp;$N1315&amp;$O1315,APOIO_REDES!$W:$W,0),MATCH(AF$5,APOIO_REDES!$5:$5,0)),0)</f>
        <v>1.8</v>
      </c>
      <c r="AG1315" s="153" t="n">
        <f aca="false">IFERROR(INDEX(APOIO_REDES!$A:$W,MATCH($C1315&amp;$I1315&amp;$H1315&amp;$N1315&amp;$O1315,APOIO_REDES!$W:$W,0),MATCH(AG$5,APOIO_REDES!$5:$5,0)),0)</f>
        <v>1.2</v>
      </c>
      <c r="AH1315" s="153" t="n">
        <f aca="false">IFERROR(INDEX(APOIO_REDES!$A:$W,MATCH($C1315&amp;$I1315&amp;$H1315&amp;$N1315&amp;$O1315,APOIO_REDES!$W:$W,0),MATCH(AH$5,APOIO_REDES!$5:$5,0)),0)</f>
        <v>0.1</v>
      </c>
      <c r="AI1315" s="153" t="n">
        <f aca="false">IFERROR(IF($H1315&lt;&gt;"",(((($H1315/1000)/2)^2)*PI()*$M1315),0),0)</f>
        <v>18.8652638848067</v>
      </c>
      <c r="AJ1315" s="153" t="n">
        <f aca="false">IFERROR(IF(AND($H1315&lt;&gt;"",$I1315="FoFo",OR($N1315="MND",$N1315="VCA"),$Q1315="LINEAR"),0,IF(AND($H1315&lt;&gt;"",$I1315="PEAD",$N1315="VCA",$Q1315="LINEAR"),($H1315/1000)+0.3,IF(AND($H1315&lt;&gt;"",$I1315="PEAD",$N1315="MND",$Q1315="EMBOQUE"),0,IF(AND($H1315&lt;&gt;"",$I1315="PVC",$N1315="VCA",$Q1315="LINEAR"),($H1315/1000)+0.2,IF(AND($H1315&lt;&gt;"",$I1315="PVC",$N1315="MND",$Q1315="EMBOQUE"),0,IF(AND($H1315&lt;&gt;"",$I1315="PEAD",$N1315="VCA",$Q1315="PREDIAL"),0,0)))))),0)</f>
        <v>0.8</v>
      </c>
      <c r="AK1315" s="153" t="n">
        <f aca="false">IF(AA1315&lt;&gt;"",AA1315,0)</f>
        <v>5.5</v>
      </c>
      <c r="AL1315" s="153" t="n">
        <f aca="false">IF(AND($N1315="MND",$Q1315="EMBOQUE"),$M1315,IF(AND($N1315="VCA",$Q1315="LINEAR"),$M1315,IF(AND($N1315="VCA",$Q1315="PREDIAL"),0,0)))</f>
        <v>96.08</v>
      </c>
      <c r="AM1315" s="153" t="n">
        <f aca="false">IF(AND($N1315="MND",$Q1315="EMBOQUE"),$M1315,IF(AND($N1315="VCA",$Q1315="LINEAR"),$M1315,IF(AND($N1315="VCA",$Q1315="PREDIAL"),0,0)))</f>
        <v>96.08</v>
      </c>
      <c r="AN1315" s="153" t="n">
        <f aca="false">ROUND(IF(AND($N1315="VCA",$M1315&lt;&gt;"",$Q1315="LINEAR"),$M1315/100,IF(AND($N1315="MND",$M1315&gt;100,$Q1315="EMBOQUE"),$M1315/100,0)),0)</f>
        <v>1</v>
      </c>
      <c r="AO1315" s="153" t="n">
        <f aca="false">IF(AND($N1315="MND",$Q1315="EMBOQUE"),$AN1315*2*2,IF(AND($N1315="VCA",$Q1315="LINEAR"),$M1315*2,IF(AND($N1315="VCA",$Q1315="PREDIAL"),0,0)))</f>
        <v>192.16</v>
      </c>
      <c r="AP1315" s="153" t="n">
        <f aca="false">IFERROR($M1315*$AF1315*$AG1315,0)</f>
        <v>207.5328</v>
      </c>
      <c r="AQ1315" s="153" t="n">
        <f aca="false">IFERROR(IF(AND($N1315="VCA",$AH1315&gt;0),$M1315*$AG1315*$AH1315,0),0)</f>
        <v>11.5296</v>
      </c>
      <c r="AR1315" s="153" t="n">
        <f aca="false">IFERROR(IF(AND($N1315="VCA",$AJ1315&gt;0),($M1315*$AG1315*$AJ1315)-$AI1315,0),0)</f>
        <v>73.3715361151933</v>
      </c>
      <c r="AS1315" s="153" t="n">
        <f aca="false">IFERROR(IF(AND($N1315="VCA",$AP1315&gt;0),$AP1315-$AI1315-$AQ1315-$AR1315,0),0)</f>
        <v>103.7664</v>
      </c>
      <c r="AT1315" s="153" t="n">
        <f aca="false">IFERROR(IF($N1315="VCA",INDEX(APOIO_REDES!$A:$W,MATCH($C1315&amp;$I1315&amp;$H1315&amp;$N1315&amp;$O1315,APOIO_REDES!$W:$W,0),MATCH(AT$5,APOIO_REDES!$5:$5,0)),0)*$AP1315,0)</f>
        <v>2.25801829057329</v>
      </c>
      <c r="AU1315" s="153" t="n">
        <f aca="false">IFERROR(IF($N1315="VCA",INDEX(APOIO_REDES!$A:$W,MATCH($C1315&amp;$I1315&amp;$H1315&amp;$N1315&amp;$O1315,APOIO_REDES!$W:$W,0),MATCH(AU$5,APOIO_REDES!$5:$5,0)),0)*$AP1315,0)</f>
        <v>1.80319225196082</v>
      </c>
      <c r="AV1315" s="153" t="n">
        <f aca="false">IFERROR(IF($N1315="VCA",INDEX(APOIO_REDES!$A:$W,MATCH($C1315&amp;$I1315&amp;$H1315&amp;$N1315&amp;$O1315,APOIO_REDES!$W:$W,0),MATCH(AV$5,APOIO_REDES!$5:$5,0)),0)*$AP1315,0)</f>
        <v>0.249547652057186</v>
      </c>
      <c r="AW1315" s="153" t="n">
        <f aca="false">IFERROR(IF($N1315="VCA",INDEX(APOIO_REDES!$A:$W,MATCH($C1315&amp;$I1315&amp;$H1315&amp;$N1315&amp;$O1315,APOIO_REDES!$W:$W,0),MATCH(AW$5,APOIO_REDES!$5:$5,0)),0)*$AP1315,0)</f>
        <v>142.452121962603</v>
      </c>
      <c r="AX1315" s="153" t="n">
        <f aca="false">IFERROR(IF($N1315="VCA",INDEX(APOIO_REDES!$A:$W,MATCH($C1315&amp;$I1315&amp;$H1315&amp;$N1315&amp;$O1315,APOIO_REDES!$W:$W,0),MATCH(AX$5,APOIO_REDES!$5:$5,0)),0)*$AP1315,0)</f>
        <v>19.7149678970738</v>
      </c>
      <c r="AY1315" s="153" t="n">
        <f aca="false">IFERROR(IF($N1315="VCA",INDEX(APOIO_REDES!$A:$W,MATCH($C1315&amp;$I1315&amp;$H1315&amp;$N1315&amp;$O1315,APOIO_REDES!$W:$W,0),MATCH(AY$5,APOIO_REDES!$5:$5,0)),0)*$AP1315,0)</f>
        <v>36.0638230584491</v>
      </c>
      <c r="AZ1315" s="153" t="n">
        <f aca="false">IFERROR(IF($N1315="VCA",INDEX(APOIO_REDES!$A:$W,MATCH($C1315&amp;$I1315&amp;$H1315&amp;$N1315&amp;$O1315,APOIO_REDES!$W:$W,0),MATCH(AZ$5,APOIO_REDES!$5:$5,0)),0)*$AP1315,0)</f>
        <v>4.99112888728275</v>
      </c>
      <c r="BA1315" s="153" t="n">
        <f aca="false">IFERROR(IF(AND($N1315="VCA",$Q1315="LINEAR"),INDEX(APOIO_REDES!$A:$W,MATCH($C1315&amp;$I1315&amp;$H1315&amp;$N1315&amp;$O1315,APOIO_REDES!$W:$W,0),MATCH(BA$5,APOIO_REDES!$5:$5,0)),IF(AND($N1315="MND",$Q1315="EMBOQUE"),INDEX(APOIO_REDES!$A:$W,MATCH($C1315&amp;$I1315&amp;$H1315&amp;$N1315&amp;$O1315,APOIO_REDES!$W:$W,0),MATCH(BA$5,APOIO_REDES!$5:$5,0)),0))*$M1315/10,0)</f>
        <v>7.74380564586529</v>
      </c>
      <c r="BB1315" s="153" t="n">
        <f aca="false">IFERROR(IF($N1315="VCA",INDEX(APOIO_REDES!$A:$W,MATCH($C1315&amp;$I1315&amp;$H1315&amp;$N1315&amp;$O1315,APOIO_REDES!$W:$W,0),MATCH(BB$5,APOIO_REDES!$5:$5,0)),0)*($AI1315+$AQ1315+$AR1315),0)</f>
        <v>102.637390854713</v>
      </c>
      <c r="BC1315" s="153" t="n">
        <f aca="false">IFERROR(IF($N1315="VCA",INDEX(APOIO_REDES!$A:$W,MATCH($C1315&amp;$I1315&amp;$H1315&amp;$N1315&amp;$O1315,APOIO_REDES!$W:$W,0),MATCH(BC$5,APOIO_REDES!$5:$5,0)),0)*($AI1315+$AQ1315+$AR1315),0)</f>
        <v>1.12900914528664</v>
      </c>
      <c r="BD1315" s="153" t="n">
        <f aca="false">IF(AND($N1315="VCA",$AF1315&gt;=1.25,$AF1315&lt;1.5),$M1315*$AF1315*2,0)</f>
        <v>0</v>
      </c>
      <c r="BE1315" s="153" t="n">
        <f aca="false">IF(AND($N1315="VCA",$AF1315&gt;=1.5,$AF1315&lt;3),$M1315*$AF1315*2,0)</f>
        <v>345.888</v>
      </c>
      <c r="BF1315" s="153" t="n">
        <f aca="false">IF(AND($N1315="VCA",$AF1315&gt;=3),$M1315*$AF1315*2,0)</f>
        <v>0</v>
      </c>
      <c r="BG1315" s="153" t="n">
        <f aca="false">($BB1315+$BC1315)*$AK1315</f>
        <v>570.7152</v>
      </c>
      <c r="BH1315" s="153" t="n">
        <f aca="false">IF(AND($M1315&lt;&gt;"",$N1315="VCA",$Q1315="LINEAR"),($M1315*2)/100,IF(AND($M1315&lt;&gt;"",$N1315="MND",$Q1315="EMBOQUE"),($AN1315*2)/100,0))</f>
        <v>1.9216</v>
      </c>
      <c r="BI1315" s="153" t="n">
        <f aca="false">IF(AND($M1315&lt;&gt;"",$N1315="VCA",$Q1315="LINEAR"),$M1315,IF(AND($M1315&lt;&gt;"",$N1315="MND",$Q1315="EMBOQUE"),$AN1315*2,0))</f>
        <v>96.08</v>
      </c>
      <c r="BJ1315" s="153" t="n">
        <f aca="false">IF(AND($M1315&lt;&gt;"",$N1315="VCA",$Q1315="LINEAR"),($M1315*6.8)/100,IF(AND($M1315&lt;&gt;"",$N1315="MND",$Q1315="EMBOQUE"),($AN1315*2*6.8)/100,0))</f>
        <v>6.53344</v>
      </c>
      <c r="BK1315" s="153" t="n">
        <f aca="false">IF(AND($M1315&lt;&gt;"",$N1315="VCA",$Q1315="LINEAR"),($M1315*2.5)/50,IF(AND($M1315&lt;&gt;"",$N1315="MND",$Q1315="EMBOQUE"),($AN1315*2*2.5)/50,0))</f>
        <v>4.804</v>
      </c>
      <c r="BL1315" s="157" t="str">
        <f aca="false">K1315&amp;J1315</f>
        <v>ADUTORAREDES</v>
      </c>
      <c r="BM1315" s="152" t="s">
        <v>2229</v>
      </c>
      <c r="BN1315" s="152" t="s">
        <v>2230</v>
      </c>
      <c r="BO1315" s="152" t="s">
        <v>6516</v>
      </c>
      <c r="BP1315" s="152" t="s">
        <v>6527</v>
      </c>
      <c r="BQ1315" s="152" t="s">
        <v>6517</v>
      </c>
      <c r="BR1315" s="152" t="s">
        <v>6528</v>
      </c>
      <c r="BS1315" s="152" t="n">
        <v>203885.366</v>
      </c>
      <c r="BT1315" s="152" t="n">
        <v>8236137.586</v>
      </c>
      <c r="BU1315" s="152" t="n">
        <v>203976.374</v>
      </c>
      <c r="BV1315" s="152" t="n">
        <v>8236168.02</v>
      </c>
      <c r="BW1315" s="152" t="n">
        <v>-15.9362734</v>
      </c>
      <c r="BX1315" s="152" t="n">
        <v>-47.7654193</v>
      </c>
      <c r="BY1315" s="152" t="s">
        <v>6527</v>
      </c>
    </row>
    <row r="1316" customFormat="false" ht="13.8" hidden="false" customHeight="false" outlineLevel="0" collapsed="false">
      <c r="A1316" s="149" t="n">
        <f aca="false">IF(C1316&lt;&gt;"",ROW(A1311),"")</f>
        <v>1311</v>
      </c>
      <c r="B1316" s="150" t="str">
        <f aca="false">HYPERLINK("https://www.google.com/maps/dir/-15.917302,-47.760003/-15.9389861,-47.7653002/data=!4m3!4m2!3e0!5i1")</f>
        <v>https://www.google.com/maps/dir/-15.917302,-47.760003/-15.9389861,-47.7653002/data=!4m3!4m2!3e0!5i1</v>
      </c>
      <c r="C1316" s="151" t="s">
        <v>117</v>
      </c>
      <c r="D1316" s="152" t="s">
        <v>112</v>
      </c>
      <c r="E1316" s="152" t="s">
        <v>113</v>
      </c>
      <c r="F1316" s="152" t="s">
        <v>117</v>
      </c>
      <c r="G1316" s="152" t="s">
        <v>114</v>
      </c>
      <c r="H1316" s="152" t="n">
        <v>500</v>
      </c>
      <c r="I1316" s="152" t="s">
        <v>115</v>
      </c>
      <c r="J1316" s="152" t="s">
        <v>6</v>
      </c>
      <c r="K1316" s="152" t="s">
        <v>2224</v>
      </c>
      <c r="L1316" s="152" t="s">
        <v>120</v>
      </c>
      <c r="M1316" s="153" t="n">
        <f aca="false">293.89</f>
        <v>293.89</v>
      </c>
      <c r="N1316" s="152" t="s">
        <v>1548</v>
      </c>
      <c r="O1316" s="152" t="s">
        <v>1549</v>
      </c>
      <c r="P1316" s="152" t="s">
        <v>1550</v>
      </c>
      <c r="Q1316" s="152" t="s">
        <v>1551</v>
      </c>
      <c r="R1316" s="154" t="s">
        <v>6529</v>
      </c>
      <c r="S1316" s="154" t="s">
        <v>2226</v>
      </c>
      <c r="T1316" s="155" t="s">
        <v>6514</v>
      </c>
      <c r="U1316" s="152" t="str">
        <f aca="false">RIGHT(T1316,7)</f>
        <v>024/037</v>
      </c>
      <c r="V1316" s="152" t="s">
        <v>1555</v>
      </c>
      <c r="W1316" s="156" t="n">
        <v>45882</v>
      </c>
      <c r="X1316" s="152" t="s">
        <v>1594</v>
      </c>
      <c r="Y1316" s="152"/>
      <c r="Z1316" s="152" t="s">
        <v>1557</v>
      </c>
      <c r="AA1316" s="153" t="n">
        <v>4.3</v>
      </c>
      <c r="AB1316" s="151" t="s">
        <v>6530</v>
      </c>
      <c r="AC1316" s="151" t="s">
        <v>523</v>
      </c>
      <c r="AD1316" s="151" t="str">
        <f aca="false">CONCATENATE($C1316,$I1316,$H1316,$N1316,$J1316,$K1316)</f>
        <v>TUBO PEADPEAD500VCAREDESADUTORA</v>
      </c>
      <c r="AE1316" s="153" t="n">
        <f aca="false">IFERROR(INDEX(APOIO_REDES!$A:$W,MATCH($C1316&amp;$I1316&amp;$H1316&amp;$N1316&amp;$O1316,APOIO_REDES!$W:$W,0),MATCH(AE$5,APOIO_REDES!$5:$5,0)),0)</f>
        <v>1.2</v>
      </c>
      <c r="AF1316" s="153" t="n">
        <f aca="false">IFERROR(INDEX(APOIO_REDES!$A:$W,MATCH($C1316&amp;$I1316&amp;$H1316&amp;$N1316&amp;$O1316,APOIO_REDES!$W:$W,0),MATCH(AF$5,APOIO_REDES!$5:$5,0)),0)</f>
        <v>1.8</v>
      </c>
      <c r="AG1316" s="153" t="n">
        <f aca="false">IFERROR(INDEX(APOIO_REDES!$A:$W,MATCH($C1316&amp;$I1316&amp;$H1316&amp;$N1316&amp;$O1316,APOIO_REDES!$W:$W,0),MATCH(AG$5,APOIO_REDES!$5:$5,0)),0)</f>
        <v>1.2</v>
      </c>
      <c r="AH1316" s="153" t="n">
        <f aca="false">IFERROR(INDEX(APOIO_REDES!$A:$W,MATCH($C1316&amp;$I1316&amp;$H1316&amp;$N1316&amp;$O1316,APOIO_REDES!$W:$W,0),MATCH(AH$5,APOIO_REDES!$5:$5,0)),0)</f>
        <v>0.1</v>
      </c>
      <c r="AI1316" s="153" t="n">
        <f aca="false">IFERROR(IF($H1316&lt;&gt;"",(((($H1316/1000)/2)^2)*PI()*$M1316),0),0)</f>
        <v>57.705166560219</v>
      </c>
      <c r="AJ1316" s="153" t="n">
        <f aca="false">IFERROR(IF(AND($H1316&lt;&gt;"",$I1316="FoFo",OR($N1316="MND",$N1316="VCA"),$Q1316="LINEAR"),0,IF(AND($H1316&lt;&gt;"",$I1316="PEAD",$N1316="VCA",$Q1316="LINEAR"),($H1316/1000)+0.3,IF(AND($H1316&lt;&gt;"",$I1316="PEAD",$N1316="MND",$Q1316="EMBOQUE"),0,IF(AND($H1316&lt;&gt;"",$I1316="PVC",$N1316="VCA",$Q1316="LINEAR"),($H1316/1000)+0.2,IF(AND($H1316&lt;&gt;"",$I1316="PVC",$N1316="MND",$Q1316="EMBOQUE"),0,IF(AND($H1316&lt;&gt;"",$I1316="PEAD",$N1316="VCA",$Q1316="PREDIAL"),0,0)))))),0)</f>
        <v>0.8</v>
      </c>
      <c r="AK1316" s="153" t="n">
        <f aca="false">IF(AA1316&lt;&gt;"",AA1316,0)</f>
        <v>4.3</v>
      </c>
      <c r="AL1316" s="153" t="n">
        <f aca="false">IF(AND($N1316="MND",$Q1316="EMBOQUE"),$M1316,IF(AND($N1316="VCA",$Q1316="LINEAR"),$M1316,IF(AND($N1316="VCA",$Q1316="PREDIAL"),0,0)))</f>
        <v>293.89</v>
      </c>
      <c r="AM1316" s="153" t="n">
        <f aca="false">IF(AND($N1316="MND",$Q1316="EMBOQUE"),$M1316,IF(AND($N1316="VCA",$Q1316="LINEAR"),$M1316,IF(AND($N1316="VCA",$Q1316="PREDIAL"),0,0)))</f>
        <v>293.89</v>
      </c>
      <c r="AN1316" s="153" t="n">
        <f aca="false">ROUND(IF(AND($N1316="VCA",$M1316&lt;&gt;"",$Q1316="LINEAR"),$M1316/100,IF(AND($N1316="MND",$M1316&gt;100,$Q1316="EMBOQUE"),$M1316/100,0)),0)</f>
        <v>3</v>
      </c>
      <c r="AO1316" s="153" t="n">
        <f aca="false">IF(AND($N1316="MND",$Q1316="EMBOQUE"),$AN1316*2*2,IF(AND($N1316="VCA",$Q1316="LINEAR"),$M1316*2,IF(AND($N1316="VCA",$Q1316="PREDIAL"),0,0)))</f>
        <v>587.78</v>
      </c>
      <c r="AP1316" s="153" t="n">
        <f aca="false">IFERROR($M1316*$AF1316*$AG1316,0)</f>
        <v>634.8024</v>
      </c>
      <c r="AQ1316" s="153" t="n">
        <f aca="false">IFERROR(IF(AND($N1316="VCA",$AH1316&gt;0),$M1316*$AG1316*$AH1316,0),0)</f>
        <v>35.2668</v>
      </c>
      <c r="AR1316" s="153" t="n">
        <f aca="false">IFERROR(IF(AND($N1316="VCA",$AJ1316&gt;0),($M1316*$AG1316*$AJ1316)-$AI1316,0),0)</f>
        <v>224.429233439781</v>
      </c>
      <c r="AS1316" s="153" t="n">
        <f aca="false">IFERROR(IF(AND($N1316="VCA",$AP1316&gt;0),$AP1316-$AI1316-$AQ1316-$AR1316,0),0)</f>
        <v>317.4012</v>
      </c>
      <c r="AT1316" s="153" t="n">
        <f aca="false">IFERROR(IF($N1316="VCA",INDEX(APOIO_REDES!$A:$W,MATCH($C1316&amp;$I1316&amp;$H1316&amp;$N1316&amp;$O1316,APOIO_REDES!$W:$W,0),MATCH(AT$5,APOIO_REDES!$5:$5,0)),0)*$AP1316,0)</f>
        <v>6.90683800391948</v>
      </c>
      <c r="AU1316" s="153" t="n">
        <f aca="false">IFERROR(IF($N1316="VCA",INDEX(APOIO_REDES!$A:$W,MATCH($C1316&amp;$I1316&amp;$H1316&amp;$N1316&amp;$O1316,APOIO_REDES!$W:$W,0),MATCH(AU$5,APOIO_REDES!$5:$5,0)),0)*$AP1316,0)</f>
        <v>5.51561376903379</v>
      </c>
      <c r="AV1316" s="153" t="n">
        <f aca="false">IFERROR(IF($N1316="VCA",INDEX(APOIO_REDES!$A:$W,MATCH($C1316&amp;$I1316&amp;$H1316&amp;$N1316&amp;$O1316,APOIO_REDES!$W:$W,0),MATCH(AV$5,APOIO_REDES!$5:$5,0)),0)*$AP1316,0)</f>
        <v>0.763317646368509</v>
      </c>
      <c r="AW1316" s="153" t="n">
        <f aca="false">IFERROR(IF($N1316="VCA",INDEX(APOIO_REDES!$A:$W,MATCH($C1316&amp;$I1316&amp;$H1316&amp;$N1316&amp;$O1316,APOIO_REDES!$W:$W,0),MATCH(AW$5,APOIO_REDES!$5:$5,0)),0)*$AP1316,0)</f>
        <v>435.733286049015</v>
      </c>
      <c r="AX1316" s="153" t="n">
        <f aca="false">IFERROR(IF($N1316="VCA",INDEX(APOIO_REDES!$A:$W,MATCH($C1316&amp;$I1316&amp;$H1316&amp;$N1316&amp;$O1316,APOIO_REDES!$W:$W,0),MATCH(AX$5,APOIO_REDES!$5:$5,0)),0)*$AP1316,0)</f>
        <v>60.3042455794237</v>
      </c>
      <c r="AY1316" s="153" t="n">
        <f aca="false">IFERROR(IF($N1316="VCA",INDEX(APOIO_REDES!$A:$W,MATCH($C1316&amp;$I1316&amp;$H1316&amp;$N1316&amp;$O1316,APOIO_REDES!$W:$W,0),MATCH(AY$5,APOIO_REDES!$5:$5,0)),0)*$AP1316,0)</f>
        <v>110.312208145791</v>
      </c>
      <c r="AZ1316" s="153" t="n">
        <f aca="false">IFERROR(IF($N1316="VCA",INDEX(APOIO_REDES!$A:$W,MATCH($C1316&amp;$I1316&amp;$H1316&amp;$N1316&amp;$O1316,APOIO_REDES!$W:$W,0),MATCH(AZ$5,APOIO_REDES!$5:$5,0)),0)*$AP1316,0)</f>
        <v>15.266890806448</v>
      </c>
      <c r="BA1316" s="153" t="n">
        <f aca="false">IFERROR(IF(AND($N1316="VCA",$Q1316="LINEAR"),INDEX(APOIO_REDES!$A:$W,MATCH($C1316&amp;$I1316&amp;$H1316&amp;$N1316&amp;$O1316,APOIO_REDES!$W:$W,0),MATCH(BA$5,APOIO_REDES!$5:$5,0)),IF(AND($N1316="MND",$Q1316="EMBOQUE"),INDEX(APOIO_REDES!$A:$W,MATCH($C1316&amp;$I1316&amp;$H1316&amp;$N1316&amp;$O1316,APOIO_REDES!$W:$W,0),MATCH(BA$5,APOIO_REDES!$5:$5,0)),0))*$M1316/10,0)</f>
        <v>23.6867926859216</v>
      </c>
      <c r="BB1316" s="153" t="n">
        <f aca="false">IFERROR(IF($N1316="VCA",INDEX(APOIO_REDES!$A:$W,MATCH($C1316&amp;$I1316&amp;$H1316&amp;$N1316&amp;$O1316,APOIO_REDES!$W:$W,0),MATCH(BB$5,APOIO_REDES!$5:$5,0)),0)*($AI1316+$AQ1316+$AR1316),0)</f>
        <v>313.94778099804</v>
      </c>
      <c r="BC1316" s="153" t="n">
        <f aca="false">IFERROR(IF($N1316="VCA",INDEX(APOIO_REDES!$A:$W,MATCH($C1316&amp;$I1316&amp;$H1316&amp;$N1316&amp;$O1316,APOIO_REDES!$W:$W,0),MATCH(BC$5,APOIO_REDES!$5:$5,0)),0)*($AI1316+$AQ1316+$AR1316),0)</f>
        <v>3.45341900195974</v>
      </c>
      <c r="BD1316" s="153" t="n">
        <f aca="false">IF(AND($N1316="VCA",$AF1316&gt;=1.25,$AF1316&lt;1.5),$M1316*$AF1316*2,0)</f>
        <v>0</v>
      </c>
      <c r="BE1316" s="153" t="n">
        <f aca="false">IF(AND($N1316="VCA",$AF1316&gt;=1.5,$AF1316&lt;3),$M1316*$AF1316*2,0)</f>
        <v>1058.004</v>
      </c>
      <c r="BF1316" s="153" t="n">
        <f aca="false">IF(AND($N1316="VCA",$AF1316&gt;=3),$M1316*$AF1316*2,0)</f>
        <v>0</v>
      </c>
      <c r="BG1316" s="153" t="n">
        <f aca="false">($BB1316+$BC1316)*$AK1316</f>
        <v>1364.82516</v>
      </c>
      <c r="BH1316" s="153" t="n">
        <f aca="false">IF(AND($M1316&lt;&gt;"",$N1316="VCA",$Q1316="LINEAR"),($M1316*2)/100,IF(AND($M1316&lt;&gt;"",$N1316="MND",$Q1316="EMBOQUE"),($AN1316*2)/100,0))</f>
        <v>5.8778</v>
      </c>
      <c r="BI1316" s="153" t="n">
        <f aca="false">IF(AND($M1316&lt;&gt;"",$N1316="VCA",$Q1316="LINEAR"),$M1316,IF(AND($M1316&lt;&gt;"",$N1316="MND",$Q1316="EMBOQUE"),$AN1316*2,0))</f>
        <v>293.89</v>
      </c>
      <c r="BJ1316" s="153" t="n">
        <f aca="false">IF(AND($M1316&lt;&gt;"",$N1316="VCA",$Q1316="LINEAR"),($M1316*6.8)/100,IF(AND($M1316&lt;&gt;"",$N1316="MND",$Q1316="EMBOQUE"),($AN1316*2*6.8)/100,0))</f>
        <v>19.98452</v>
      </c>
      <c r="BK1316" s="153" t="n">
        <f aca="false">IF(AND($M1316&lt;&gt;"",$N1316="VCA",$Q1316="LINEAR"),($M1316*2.5)/50,IF(AND($M1316&lt;&gt;"",$N1316="MND",$Q1316="EMBOQUE"),($AN1316*2*2.5)/50,0))</f>
        <v>14.6945</v>
      </c>
      <c r="BL1316" s="157" t="str">
        <f aca="false">K1316&amp;J1316</f>
        <v>ADUTORAREDES</v>
      </c>
      <c r="BM1316" s="152" t="s">
        <v>2229</v>
      </c>
      <c r="BN1316" s="152" t="s">
        <v>2230</v>
      </c>
      <c r="BO1316" s="152" t="s">
        <v>6516</v>
      </c>
      <c r="BP1316" s="152" t="s">
        <v>6531</v>
      </c>
      <c r="BQ1316" s="152" t="s">
        <v>6527</v>
      </c>
      <c r="BR1316" s="152" t="s">
        <v>6532</v>
      </c>
      <c r="BS1316" s="152" t="n">
        <v>203948.298</v>
      </c>
      <c r="BT1316" s="152" t="n">
        <v>8235850.613</v>
      </c>
      <c r="BU1316" s="152" t="n">
        <v>203885.366</v>
      </c>
      <c r="BV1316" s="152" t="n">
        <v>8236137.586</v>
      </c>
      <c r="BW1316" s="152" t="n">
        <v>-15.9376889</v>
      </c>
      <c r="BX1316" s="152" t="n">
        <v>-47.7655861</v>
      </c>
      <c r="BY1316" s="152" t="s">
        <v>6531</v>
      </c>
    </row>
    <row r="1317" customFormat="false" ht="13.8" hidden="false" customHeight="false" outlineLevel="0" collapsed="false">
      <c r="A1317" s="149" t="n">
        <f aca="false">IF(C1317&lt;&gt;"",ROW(A1312),"")</f>
        <v>1312</v>
      </c>
      <c r="B1317" s="150" t="str">
        <f aca="false">HYPERLINK("https://www.google.com/maps/dir/-15.917302,-47.760003/-15.9389861,-47.7653002/data=!4m3!4m2!3e0!5i1")</f>
        <v>https://www.google.com/maps/dir/-15.917302,-47.760003/-15.9389861,-47.7653002/data=!4m3!4m2!3e0!5i1</v>
      </c>
      <c r="C1317" s="151" t="s">
        <v>117</v>
      </c>
      <c r="D1317" s="152" t="s">
        <v>112</v>
      </c>
      <c r="E1317" s="152" t="s">
        <v>113</v>
      </c>
      <c r="F1317" s="152" t="s">
        <v>117</v>
      </c>
      <c r="G1317" s="152" t="s">
        <v>114</v>
      </c>
      <c r="H1317" s="152" t="n">
        <v>500</v>
      </c>
      <c r="I1317" s="152" t="s">
        <v>115</v>
      </c>
      <c r="J1317" s="152" t="s">
        <v>6</v>
      </c>
      <c r="K1317" s="152" t="s">
        <v>2224</v>
      </c>
      <c r="L1317" s="152" t="s">
        <v>120</v>
      </c>
      <c r="M1317" s="153" t="n">
        <f aca="false">13.13</f>
        <v>13.13</v>
      </c>
      <c r="N1317" s="152" t="s">
        <v>1548</v>
      </c>
      <c r="O1317" s="152" t="s">
        <v>1549</v>
      </c>
      <c r="P1317" s="152" t="s">
        <v>1550</v>
      </c>
      <c r="Q1317" s="152" t="s">
        <v>1551</v>
      </c>
      <c r="R1317" s="154" t="s">
        <v>6533</v>
      </c>
      <c r="S1317" s="154" t="s">
        <v>2226</v>
      </c>
      <c r="T1317" s="155" t="s">
        <v>6514</v>
      </c>
      <c r="U1317" s="152" t="str">
        <f aca="false">RIGHT(T1317,7)</f>
        <v>024/037</v>
      </c>
      <c r="V1317" s="152" t="s">
        <v>1555</v>
      </c>
      <c r="W1317" s="156" t="n">
        <v>45882</v>
      </c>
      <c r="X1317" s="152" t="s">
        <v>1594</v>
      </c>
      <c r="Y1317" s="152"/>
      <c r="Z1317" s="152" t="s">
        <v>1557</v>
      </c>
      <c r="AA1317" s="153" t="n">
        <v>4.3</v>
      </c>
      <c r="AB1317" s="151" t="s">
        <v>6534</v>
      </c>
      <c r="AC1317" s="151" t="s">
        <v>523</v>
      </c>
      <c r="AD1317" s="151" t="str">
        <f aca="false">CONCATENATE($C1317,$I1317,$H1317,$N1317,$J1317,$K1317)</f>
        <v>TUBO PEADPEAD500VCAREDESADUTORA</v>
      </c>
      <c r="AE1317" s="153" t="n">
        <f aca="false">IFERROR(INDEX(APOIO_REDES!$A:$W,MATCH($C1317&amp;$I1317&amp;$H1317&amp;$N1317&amp;$O1317,APOIO_REDES!$W:$W,0),MATCH(AE$5,APOIO_REDES!$5:$5,0)),0)</f>
        <v>1.2</v>
      </c>
      <c r="AF1317" s="153" t="n">
        <f aca="false">IFERROR(INDEX(APOIO_REDES!$A:$W,MATCH($C1317&amp;$I1317&amp;$H1317&amp;$N1317&amp;$O1317,APOIO_REDES!$W:$W,0),MATCH(AF$5,APOIO_REDES!$5:$5,0)),0)</f>
        <v>1.8</v>
      </c>
      <c r="AG1317" s="153" t="n">
        <f aca="false">IFERROR(INDEX(APOIO_REDES!$A:$W,MATCH($C1317&amp;$I1317&amp;$H1317&amp;$N1317&amp;$O1317,APOIO_REDES!$W:$W,0),MATCH(AG$5,APOIO_REDES!$5:$5,0)),0)</f>
        <v>1.2</v>
      </c>
      <c r="AH1317" s="153" t="n">
        <f aca="false">IFERROR(INDEX(APOIO_REDES!$A:$W,MATCH($C1317&amp;$I1317&amp;$H1317&amp;$N1317&amp;$O1317,APOIO_REDES!$W:$W,0),MATCH(AH$5,APOIO_REDES!$5:$5,0)),0)</f>
        <v>0.1</v>
      </c>
      <c r="AI1317" s="153" t="n">
        <f aca="false">IFERROR(IF($H1317&lt;&gt;"",(((($H1317/1000)/2)^2)*PI()*$M1317),0),0)</f>
        <v>2.57806947135212</v>
      </c>
      <c r="AJ1317" s="153" t="n">
        <f aca="false">IFERROR(IF(AND($H1317&lt;&gt;"",$I1317="FoFo",OR($N1317="MND",$N1317="VCA"),$Q1317="LINEAR"),0,IF(AND($H1317&lt;&gt;"",$I1317="PEAD",$N1317="VCA",$Q1317="LINEAR"),($H1317/1000)+0.3,IF(AND($H1317&lt;&gt;"",$I1317="PEAD",$N1317="MND",$Q1317="EMBOQUE"),0,IF(AND($H1317&lt;&gt;"",$I1317="PVC",$N1317="VCA",$Q1317="LINEAR"),($H1317/1000)+0.2,IF(AND($H1317&lt;&gt;"",$I1317="PVC",$N1317="MND",$Q1317="EMBOQUE"),0,IF(AND($H1317&lt;&gt;"",$I1317="PEAD",$N1317="VCA",$Q1317="PREDIAL"),0,0)))))),0)</f>
        <v>0.8</v>
      </c>
      <c r="AK1317" s="153" t="n">
        <f aca="false">IF(AA1317&lt;&gt;"",AA1317,0)</f>
        <v>4.3</v>
      </c>
      <c r="AL1317" s="153" t="n">
        <f aca="false">IF(AND($N1317="MND",$Q1317="EMBOQUE"),$M1317,IF(AND($N1317="VCA",$Q1317="LINEAR"),$M1317,IF(AND($N1317="VCA",$Q1317="PREDIAL"),0,0)))</f>
        <v>13.13</v>
      </c>
      <c r="AM1317" s="153" t="n">
        <f aca="false">IF(AND($N1317="MND",$Q1317="EMBOQUE"),$M1317,IF(AND($N1317="VCA",$Q1317="LINEAR"),$M1317,IF(AND($N1317="VCA",$Q1317="PREDIAL"),0,0)))</f>
        <v>13.13</v>
      </c>
      <c r="AN1317" s="153" t="n">
        <f aca="false">ROUND(IF(AND($N1317="VCA",$M1317&lt;&gt;"",$Q1317="LINEAR"),$M1317/100,IF(AND($N1317="MND",$M1317&gt;100,$Q1317="EMBOQUE"),$M1317/100,0)),0)</f>
        <v>0</v>
      </c>
      <c r="AO1317" s="153" t="n">
        <f aca="false">IF(AND($N1317="MND",$Q1317="EMBOQUE"),$AN1317*2*2,IF(AND($N1317="VCA",$Q1317="LINEAR"),$M1317*2,IF(AND($N1317="VCA",$Q1317="PREDIAL"),0,0)))</f>
        <v>26.26</v>
      </c>
      <c r="AP1317" s="153" t="n">
        <f aca="false">IFERROR($M1317*$AF1317*$AG1317,0)</f>
        <v>28.3608</v>
      </c>
      <c r="AQ1317" s="153" t="n">
        <f aca="false">IFERROR(IF(AND($N1317="VCA",$AH1317&gt;0),$M1317*$AG1317*$AH1317,0),0)</f>
        <v>1.5756</v>
      </c>
      <c r="AR1317" s="153" t="n">
        <f aca="false">IFERROR(IF(AND($N1317="VCA",$AJ1317&gt;0),($M1317*$AG1317*$AJ1317)-$AI1317,0),0)</f>
        <v>10.0267305286479</v>
      </c>
      <c r="AS1317" s="153" t="n">
        <f aca="false">IFERROR(IF(AND($N1317="VCA",$AP1317&gt;0),$AP1317-$AI1317-$AQ1317-$AR1317,0),0)</f>
        <v>14.1804</v>
      </c>
      <c r="AT1317" s="153" t="n">
        <f aca="false">IFERROR(IF($N1317="VCA",INDEX(APOIO_REDES!$A:$W,MATCH($C1317&amp;$I1317&amp;$H1317&amp;$N1317&amp;$O1317,APOIO_REDES!$W:$W,0),MATCH(AT$5,APOIO_REDES!$5:$5,0)),0)*$AP1317,0)</f>
        <v>0.30857389836831</v>
      </c>
      <c r="AU1317" s="153" t="n">
        <f aca="false">IFERROR(IF($N1317="VCA",INDEX(APOIO_REDES!$A:$W,MATCH($C1317&amp;$I1317&amp;$H1317&amp;$N1317&amp;$O1317,APOIO_REDES!$W:$W,0),MATCH(AU$5,APOIO_REDES!$5:$5,0)),0)*$AP1317,0)</f>
        <v>0.246418757995895</v>
      </c>
      <c r="AV1317" s="153" t="n">
        <f aca="false">IFERROR(IF($N1317="VCA",INDEX(APOIO_REDES!$A:$W,MATCH($C1317&amp;$I1317&amp;$H1317&amp;$N1317&amp;$O1317,APOIO_REDES!$W:$W,0),MATCH(AV$5,APOIO_REDES!$5:$5,0)),0)*$AP1317,0)</f>
        <v>0.0341024216435351</v>
      </c>
      <c r="AW1317" s="153" t="n">
        <f aca="false">IFERROR(IF($N1317="VCA",INDEX(APOIO_REDES!$A:$W,MATCH($C1317&amp;$I1317&amp;$H1317&amp;$N1317&amp;$O1317,APOIO_REDES!$W:$W,0),MATCH(AW$5,APOIO_REDES!$5:$5,0)),0)*$AP1317,0)</f>
        <v>19.4670728702017</v>
      </c>
      <c r="AX1317" s="153" t="n">
        <f aca="false">IFERROR(IF($N1317="VCA",INDEX(APOIO_REDES!$A:$W,MATCH($C1317&amp;$I1317&amp;$H1317&amp;$N1317&amp;$O1317,APOIO_REDES!$W:$W,0),MATCH(AX$5,APOIO_REDES!$5:$5,0)),0)*$AP1317,0)</f>
        <v>2.69418743222918</v>
      </c>
      <c r="AY1317" s="153" t="n">
        <f aca="false">IFERROR(IF($N1317="VCA",INDEX(APOIO_REDES!$A:$W,MATCH($C1317&amp;$I1317&amp;$H1317&amp;$N1317&amp;$O1317,APOIO_REDES!$W:$W,0),MATCH(AY$5,APOIO_REDES!$5:$5,0)),0)*$AP1317,0)</f>
        <v>4.92837215609322</v>
      </c>
      <c r="AZ1317" s="153" t="n">
        <f aca="false">IFERROR(IF($N1317="VCA",INDEX(APOIO_REDES!$A:$W,MATCH($C1317&amp;$I1317&amp;$H1317&amp;$N1317&amp;$O1317,APOIO_REDES!$W:$W,0),MATCH(AZ$5,APOIO_REDES!$5:$5,0)),0)*$AP1317,0)</f>
        <v>0.682072463468178</v>
      </c>
      <c r="BA1317" s="153" t="n">
        <f aca="false">IFERROR(IF(AND($N1317="VCA",$Q1317="LINEAR"),INDEX(APOIO_REDES!$A:$W,MATCH($C1317&amp;$I1317&amp;$H1317&amp;$N1317&amp;$O1317,APOIO_REDES!$W:$W,0),MATCH(BA$5,APOIO_REDES!$5:$5,0)),IF(AND($N1317="MND",$Q1317="EMBOQUE"),INDEX(APOIO_REDES!$A:$W,MATCH($C1317&amp;$I1317&amp;$H1317&amp;$N1317&amp;$O1317,APOIO_REDES!$W:$W,0),MATCH(BA$5,APOIO_REDES!$5:$5,0)),0))*$M1317/10,0)</f>
        <v>1.05824488062252</v>
      </c>
      <c r="BB1317" s="153" t="n">
        <f aca="false">IFERROR(IF($N1317="VCA",INDEX(APOIO_REDES!$A:$W,MATCH($C1317&amp;$I1317&amp;$H1317&amp;$N1317&amp;$O1317,APOIO_REDES!$W:$W,0),MATCH(BB$5,APOIO_REDES!$5:$5,0)),0)*($AI1317+$AQ1317+$AR1317),0)</f>
        <v>14.0261130508158</v>
      </c>
      <c r="BC1317" s="153" t="n">
        <f aca="false">IFERROR(IF($N1317="VCA",INDEX(APOIO_REDES!$A:$W,MATCH($C1317&amp;$I1317&amp;$H1317&amp;$N1317&amp;$O1317,APOIO_REDES!$W:$W,0),MATCH(BC$5,APOIO_REDES!$5:$5,0)),0)*($AI1317+$AQ1317+$AR1317),0)</f>
        <v>0.154286949184155</v>
      </c>
      <c r="BD1317" s="153" t="n">
        <f aca="false">IF(AND($N1317="VCA",$AF1317&gt;=1.25,$AF1317&lt;1.5),$M1317*$AF1317*2,0)</f>
        <v>0</v>
      </c>
      <c r="BE1317" s="153" t="n">
        <f aca="false">IF(AND($N1317="VCA",$AF1317&gt;=1.5,$AF1317&lt;3),$M1317*$AF1317*2,0)</f>
        <v>47.268</v>
      </c>
      <c r="BF1317" s="153" t="n">
        <f aca="false">IF(AND($N1317="VCA",$AF1317&gt;=3),$M1317*$AF1317*2,0)</f>
        <v>0</v>
      </c>
      <c r="BG1317" s="153" t="n">
        <f aca="false">($BB1317+$BC1317)*$AK1317</f>
        <v>60.97572</v>
      </c>
      <c r="BH1317" s="153" t="n">
        <f aca="false">IF(AND($M1317&lt;&gt;"",$N1317="VCA",$Q1317="LINEAR"),($M1317*2)/100,IF(AND($M1317&lt;&gt;"",$N1317="MND",$Q1317="EMBOQUE"),($AN1317*2)/100,0))</f>
        <v>0.2626</v>
      </c>
      <c r="BI1317" s="153" t="n">
        <f aca="false">IF(AND($M1317&lt;&gt;"",$N1317="VCA",$Q1317="LINEAR"),$M1317,IF(AND($M1317&lt;&gt;"",$N1317="MND",$Q1317="EMBOQUE"),$AN1317*2,0))</f>
        <v>13.13</v>
      </c>
      <c r="BJ1317" s="153" t="n">
        <f aca="false">IF(AND($M1317&lt;&gt;"",$N1317="VCA",$Q1317="LINEAR"),($M1317*6.8)/100,IF(AND($M1317&lt;&gt;"",$N1317="MND",$Q1317="EMBOQUE"),($AN1317*2*6.8)/100,0))</f>
        <v>0.89284</v>
      </c>
      <c r="BK1317" s="153" t="n">
        <f aca="false">IF(AND($M1317&lt;&gt;"",$N1317="VCA",$Q1317="LINEAR"),($M1317*2.5)/50,IF(AND($M1317&lt;&gt;"",$N1317="MND",$Q1317="EMBOQUE"),($AN1317*2*2.5)/50,0))</f>
        <v>0.6565</v>
      </c>
      <c r="BL1317" s="157" t="str">
        <f aca="false">K1317&amp;J1317</f>
        <v>ADUTORAREDES</v>
      </c>
      <c r="BM1317" s="152" t="s">
        <v>2229</v>
      </c>
      <c r="BN1317" s="152" t="s">
        <v>2230</v>
      </c>
      <c r="BO1317" s="152" t="s">
        <v>6516</v>
      </c>
      <c r="BP1317" s="152" t="s">
        <v>2232</v>
      </c>
      <c r="BQ1317" s="152" t="s">
        <v>6531</v>
      </c>
      <c r="BR1317" s="152" t="s">
        <v>6535</v>
      </c>
      <c r="BS1317" s="152" t="n">
        <v>203960.814</v>
      </c>
      <c r="BT1317" s="152" t="n">
        <v>8235854.567</v>
      </c>
      <c r="BU1317" s="152" t="n">
        <v>203948.298</v>
      </c>
      <c r="BV1317" s="152" t="n">
        <v>8235850.613</v>
      </c>
      <c r="BW1317" s="152" t="n">
        <v>-15.938969</v>
      </c>
      <c r="BX1317" s="152" t="n">
        <v>-47.7652415</v>
      </c>
      <c r="BY1317" s="152" t="s">
        <v>6531</v>
      </c>
    </row>
    <row r="1318" customFormat="false" ht="13.8" hidden="false" customHeight="false" outlineLevel="0" collapsed="false">
      <c r="A1318" s="149" t="n">
        <f aca="false">IF(C1318&lt;&gt;"",ROW(A1313),"")</f>
        <v>1313</v>
      </c>
      <c r="B1318" s="150" t="str">
        <f aca="false">HYPERLINK("https://www.google.com/maps/dir/-15.917302,-47.760003/-15.9389861,-47.7653002/data=!4m3!4m2!3e0!5i1")</f>
        <v>https://www.google.com/maps/dir/-15.917302,-47.760003/-15.9389861,-47.7653002/data=!4m3!4m2!3e0!5i1</v>
      </c>
      <c r="C1318" s="151" t="s">
        <v>117</v>
      </c>
      <c r="D1318" s="152" t="s">
        <v>112</v>
      </c>
      <c r="E1318" s="152" t="s">
        <v>113</v>
      </c>
      <c r="F1318" s="152" t="s">
        <v>117</v>
      </c>
      <c r="G1318" s="152" t="s">
        <v>114</v>
      </c>
      <c r="H1318" s="152" t="n">
        <v>500</v>
      </c>
      <c r="I1318" s="152" t="s">
        <v>115</v>
      </c>
      <c r="J1318" s="152" t="s">
        <v>6</v>
      </c>
      <c r="K1318" s="152" t="s">
        <v>2224</v>
      </c>
      <c r="L1318" s="152" t="s">
        <v>120</v>
      </c>
      <c r="M1318" s="153" t="n">
        <f aca="false">2.4</f>
        <v>2.4</v>
      </c>
      <c r="N1318" s="152" t="s">
        <v>1548</v>
      </c>
      <c r="O1318" s="152" t="s">
        <v>1549</v>
      </c>
      <c r="P1318" s="152" t="s">
        <v>1550</v>
      </c>
      <c r="Q1318" s="152" t="s">
        <v>1551</v>
      </c>
      <c r="R1318" s="154" t="s">
        <v>6536</v>
      </c>
      <c r="S1318" s="154" t="s">
        <v>2226</v>
      </c>
      <c r="T1318" s="155" t="s">
        <v>6514</v>
      </c>
      <c r="U1318" s="152" t="str">
        <f aca="false">RIGHT(T1318,7)</f>
        <v>024/037</v>
      </c>
      <c r="V1318" s="152" t="s">
        <v>1555</v>
      </c>
      <c r="W1318" s="156" t="n">
        <v>45882</v>
      </c>
      <c r="X1318" s="152" t="s">
        <v>1594</v>
      </c>
      <c r="Y1318" s="152"/>
      <c r="Z1318" s="152" t="s">
        <v>1557</v>
      </c>
      <c r="AA1318" s="153" t="n">
        <v>4.3</v>
      </c>
      <c r="AB1318" s="151" t="s">
        <v>2238</v>
      </c>
      <c r="AC1318" s="151" t="s">
        <v>523</v>
      </c>
      <c r="AD1318" s="151" t="str">
        <f aca="false">CONCATENATE($C1318,$I1318,$H1318,$N1318,$J1318,$K1318)</f>
        <v>TUBO PEADPEAD500VCAREDESADUTORA</v>
      </c>
      <c r="AE1318" s="153" t="n">
        <f aca="false">IFERROR(INDEX(APOIO_REDES!$A:$W,MATCH($C1318&amp;$I1318&amp;$H1318&amp;$N1318&amp;$O1318,APOIO_REDES!$W:$W,0),MATCH(AE$5,APOIO_REDES!$5:$5,0)),0)</f>
        <v>1.2</v>
      </c>
      <c r="AF1318" s="153" t="n">
        <f aca="false">IFERROR(INDEX(APOIO_REDES!$A:$W,MATCH($C1318&amp;$I1318&amp;$H1318&amp;$N1318&amp;$O1318,APOIO_REDES!$W:$W,0),MATCH(AF$5,APOIO_REDES!$5:$5,0)),0)</f>
        <v>1.8</v>
      </c>
      <c r="AG1318" s="153" t="n">
        <f aca="false">IFERROR(INDEX(APOIO_REDES!$A:$W,MATCH($C1318&amp;$I1318&amp;$H1318&amp;$N1318&amp;$O1318,APOIO_REDES!$W:$W,0),MATCH(AG$5,APOIO_REDES!$5:$5,0)),0)</f>
        <v>1.2</v>
      </c>
      <c r="AH1318" s="153" t="n">
        <f aca="false">IFERROR(INDEX(APOIO_REDES!$A:$W,MATCH($C1318&amp;$I1318&amp;$H1318&amp;$N1318&amp;$O1318,APOIO_REDES!$W:$W,0),MATCH(AH$5,APOIO_REDES!$5:$5,0)),0)</f>
        <v>0.1</v>
      </c>
      <c r="AI1318" s="153" t="n">
        <f aca="false">IFERROR(IF($H1318&lt;&gt;"",(((($H1318/1000)/2)^2)*PI()*$M1318),0),0)</f>
        <v>0.471238898038469</v>
      </c>
      <c r="AJ1318" s="153" t="n">
        <f aca="false">IFERROR(IF(AND($H1318&lt;&gt;"",$I1318="FoFo",OR($N1318="MND",$N1318="VCA"),$Q1318="LINEAR"),0,IF(AND($H1318&lt;&gt;"",$I1318="PEAD",$N1318="VCA",$Q1318="LINEAR"),($H1318/1000)+0.3,IF(AND($H1318&lt;&gt;"",$I1318="PEAD",$N1318="MND",$Q1318="EMBOQUE"),0,IF(AND($H1318&lt;&gt;"",$I1318="PVC",$N1318="VCA",$Q1318="LINEAR"),($H1318/1000)+0.2,IF(AND($H1318&lt;&gt;"",$I1318="PVC",$N1318="MND",$Q1318="EMBOQUE"),0,IF(AND($H1318&lt;&gt;"",$I1318="PEAD",$N1318="VCA",$Q1318="PREDIAL"),0,0)))))),0)</f>
        <v>0.8</v>
      </c>
      <c r="AK1318" s="153" t="n">
        <f aca="false">IF(AA1318&lt;&gt;"",AA1318,0)</f>
        <v>4.3</v>
      </c>
      <c r="AL1318" s="153" t="n">
        <f aca="false">IF(AND($N1318="MND",$Q1318="EMBOQUE"),$M1318,IF(AND($N1318="VCA",$Q1318="LINEAR"),$M1318,IF(AND($N1318="VCA",$Q1318="PREDIAL"),0,0)))</f>
        <v>2.4</v>
      </c>
      <c r="AM1318" s="153" t="n">
        <f aca="false">IF(AND($N1318="MND",$Q1318="EMBOQUE"),$M1318,IF(AND($N1318="VCA",$Q1318="LINEAR"),$M1318,IF(AND($N1318="VCA",$Q1318="PREDIAL"),0,0)))</f>
        <v>2.4</v>
      </c>
      <c r="AN1318" s="153" t="n">
        <f aca="false">ROUND(IF(AND($N1318="VCA",$M1318&lt;&gt;"",$Q1318="LINEAR"),$M1318/100,IF(AND($N1318="MND",$M1318&gt;100,$Q1318="EMBOQUE"),$M1318/100,0)),0)</f>
        <v>0</v>
      </c>
      <c r="AO1318" s="153" t="n">
        <f aca="false">IF(AND($N1318="MND",$Q1318="EMBOQUE"),$AN1318*2*2,IF(AND($N1318="VCA",$Q1318="LINEAR"),$M1318*2,IF(AND($N1318="VCA",$Q1318="PREDIAL"),0,0)))</f>
        <v>4.8</v>
      </c>
      <c r="AP1318" s="153" t="n">
        <f aca="false">IFERROR($M1318*$AF1318*$AG1318,0)</f>
        <v>5.184</v>
      </c>
      <c r="AQ1318" s="153" t="n">
        <f aca="false">IFERROR(IF(AND($N1318="VCA",$AH1318&gt;0),$M1318*$AG1318*$AH1318,0),0)</f>
        <v>0.288</v>
      </c>
      <c r="AR1318" s="153" t="n">
        <f aca="false">IFERROR(IF(AND($N1318="VCA",$AJ1318&gt;0),($M1318*$AG1318*$AJ1318)-$AI1318,0),0)</f>
        <v>1.83276110196153</v>
      </c>
      <c r="AS1318" s="153" t="n">
        <f aca="false">IFERROR(IF(AND($N1318="VCA",$AP1318&gt;0),$AP1318-$AI1318-$AQ1318-$AR1318,0),0)</f>
        <v>2.592</v>
      </c>
      <c r="AT1318" s="153" t="n">
        <f aca="false">IFERROR(IF($N1318="VCA",INDEX(APOIO_REDES!$A:$W,MATCH($C1318&amp;$I1318&amp;$H1318&amp;$N1318&amp;$O1318,APOIO_REDES!$W:$W,0),MATCH(AT$5,APOIO_REDES!$5:$5,0)),0)*$AP1318,0)</f>
        <v>0.0564034543856775</v>
      </c>
      <c r="AU1318" s="153" t="n">
        <f aca="false">IFERROR(IF($N1318="VCA",INDEX(APOIO_REDES!$A:$W,MATCH($C1318&amp;$I1318&amp;$H1318&amp;$N1318&amp;$O1318,APOIO_REDES!$W:$W,0),MATCH(AU$5,APOIO_REDES!$5:$5,0)),0)*$AP1318,0)</f>
        <v>0.0450422710731264</v>
      </c>
      <c r="AV1318" s="153" t="n">
        <f aca="false">IFERROR(IF($N1318="VCA",INDEX(APOIO_REDES!$A:$W,MATCH($C1318&amp;$I1318&amp;$H1318&amp;$N1318&amp;$O1318,APOIO_REDES!$W:$W,0),MATCH(AV$5,APOIO_REDES!$5:$5,0)),0)*$AP1318,0)</f>
        <v>0.00623349672082896</v>
      </c>
      <c r="AW1318" s="153" t="n">
        <f aca="false">IFERROR(IF($N1318="VCA",INDEX(APOIO_REDES!$A:$W,MATCH($C1318&amp;$I1318&amp;$H1318&amp;$N1318&amp;$O1318,APOIO_REDES!$W:$W,0),MATCH(AW$5,APOIO_REDES!$5:$5,0)),0)*$AP1318,0)</f>
        <v>3.55833776759208</v>
      </c>
      <c r="AX1318" s="153" t="n">
        <f aca="false">IFERROR(IF($N1318="VCA",INDEX(APOIO_REDES!$A:$W,MATCH($C1318&amp;$I1318&amp;$H1318&amp;$N1318&amp;$O1318,APOIO_REDES!$W:$W,0),MATCH(AX$5,APOIO_REDES!$5:$5,0)),0)*$AP1318,0)</f>
        <v>0.492463810917747</v>
      </c>
      <c r="AY1318" s="153" t="n">
        <f aca="false">IFERROR(IF($N1318="VCA",INDEX(APOIO_REDES!$A:$W,MATCH($C1318&amp;$I1318&amp;$H1318&amp;$N1318&amp;$O1318,APOIO_REDES!$W:$W,0),MATCH(AY$5,APOIO_REDES!$5:$5,0)),0)*$AP1318,0)</f>
        <v>0.900844872400894</v>
      </c>
      <c r="AZ1318" s="153" t="n">
        <f aca="false">IFERROR(IF($N1318="VCA",INDEX(APOIO_REDES!$A:$W,MATCH($C1318&amp;$I1318&amp;$H1318&amp;$N1318&amp;$O1318,APOIO_REDES!$W:$W,0),MATCH(AZ$5,APOIO_REDES!$5:$5,0)),0)*$AP1318,0)</f>
        <v>0.124674326909644</v>
      </c>
      <c r="BA1318" s="153" t="n">
        <f aca="false">IFERROR(IF(AND($N1318="VCA",$Q1318="LINEAR"),INDEX(APOIO_REDES!$A:$W,MATCH($C1318&amp;$I1318&amp;$H1318&amp;$N1318&amp;$O1318,APOIO_REDES!$W:$W,0),MATCH(BA$5,APOIO_REDES!$5:$5,0)),IF(AND($N1318="MND",$Q1318="EMBOQUE"),INDEX(APOIO_REDES!$A:$W,MATCH($C1318&amp;$I1318&amp;$H1318&amp;$N1318&amp;$O1318,APOIO_REDES!$W:$W,0),MATCH(BA$5,APOIO_REDES!$5:$5,0)),0))*$M1318/10,0)</f>
        <v>0.193433946191473</v>
      </c>
      <c r="BB1318" s="153" t="n">
        <f aca="false">IFERROR(IF($N1318="VCA",INDEX(APOIO_REDES!$A:$W,MATCH($C1318&amp;$I1318&amp;$H1318&amp;$N1318&amp;$O1318,APOIO_REDES!$W:$W,0),MATCH(BB$5,APOIO_REDES!$5:$5,0)),0)*($AI1318+$AQ1318+$AR1318),0)</f>
        <v>2.56379827280716</v>
      </c>
      <c r="BC1318" s="153" t="n">
        <f aca="false">IFERROR(IF($N1318="VCA",INDEX(APOIO_REDES!$A:$W,MATCH($C1318&amp;$I1318&amp;$H1318&amp;$N1318&amp;$O1318,APOIO_REDES!$W:$W,0),MATCH(BC$5,APOIO_REDES!$5:$5,0)),0)*($AI1318+$AQ1318+$AR1318),0)</f>
        <v>0.0282017271928387</v>
      </c>
      <c r="BD1318" s="153" t="n">
        <f aca="false">IF(AND($N1318="VCA",$AF1318&gt;=1.25,$AF1318&lt;1.5),$M1318*$AF1318*2,0)</f>
        <v>0</v>
      </c>
      <c r="BE1318" s="153" t="n">
        <f aca="false">IF(AND($N1318="VCA",$AF1318&gt;=1.5,$AF1318&lt;3),$M1318*$AF1318*2,0)</f>
        <v>8.64</v>
      </c>
      <c r="BF1318" s="153" t="n">
        <f aca="false">IF(AND($N1318="VCA",$AF1318&gt;=3),$M1318*$AF1318*2,0)</f>
        <v>0</v>
      </c>
      <c r="BG1318" s="153" t="n">
        <f aca="false">($BB1318+$BC1318)*$AK1318</f>
        <v>11.1456</v>
      </c>
      <c r="BH1318" s="153" t="n">
        <f aca="false">IF(AND($M1318&lt;&gt;"",$N1318="VCA",$Q1318="LINEAR"),($M1318*2)/100,IF(AND($M1318&lt;&gt;"",$N1318="MND",$Q1318="EMBOQUE"),($AN1318*2)/100,0))</f>
        <v>0.048</v>
      </c>
      <c r="BI1318" s="153" t="n">
        <f aca="false">IF(AND($M1318&lt;&gt;"",$N1318="VCA",$Q1318="LINEAR"),$M1318,IF(AND($M1318&lt;&gt;"",$N1318="MND",$Q1318="EMBOQUE"),$AN1318*2,0))</f>
        <v>2.4</v>
      </c>
      <c r="BJ1318" s="153" t="n">
        <f aca="false">IF(AND($M1318&lt;&gt;"",$N1318="VCA",$Q1318="LINEAR"),($M1318*6.8)/100,IF(AND($M1318&lt;&gt;"",$N1318="MND",$Q1318="EMBOQUE"),($AN1318*2*6.8)/100,0))</f>
        <v>0.1632</v>
      </c>
      <c r="BK1318" s="153" t="n">
        <f aca="false">IF(AND($M1318&lt;&gt;"",$N1318="VCA",$Q1318="LINEAR"),($M1318*2.5)/50,IF(AND($M1318&lt;&gt;"",$N1318="MND",$Q1318="EMBOQUE"),($AN1318*2*2.5)/50,0))</f>
        <v>0.12</v>
      </c>
      <c r="BL1318" s="157" t="str">
        <f aca="false">K1318&amp;J1318</f>
        <v>ADUTORAREDES</v>
      </c>
      <c r="BM1318" s="152" t="s">
        <v>2229</v>
      </c>
      <c r="BN1318" s="152" t="s">
        <v>2230</v>
      </c>
      <c r="BO1318" s="152" t="s">
        <v>6516</v>
      </c>
      <c r="BP1318" s="152" t="s">
        <v>2232</v>
      </c>
      <c r="BQ1318" s="152" t="s">
        <v>2232</v>
      </c>
      <c r="BR1318" s="152" t="s">
        <v>6537</v>
      </c>
      <c r="BS1318" s="152" t="n">
        <v>203955.503</v>
      </c>
      <c r="BT1318" s="152" t="n">
        <v>8235819.001</v>
      </c>
      <c r="BU1318" s="152" t="n">
        <v>203956.126</v>
      </c>
      <c r="BV1318" s="152" t="n">
        <v>8235816.684</v>
      </c>
      <c r="BW1318" s="152" t="n">
        <v>-15.9392829</v>
      </c>
      <c r="BX1318" s="152" t="n">
        <v>-47.7652341</v>
      </c>
      <c r="BY1318" s="152" t="s">
        <v>6531</v>
      </c>
    </row>
    <row r="1319" customFormat="false" ht="13.8" hidden="false" customHeight="false" outlineLevel="0" collapsed="false">
      <c r="A1319" s="149" t="n">
        <f aca="false">IF(C1319&lt;&gt;"",ROW(A1314),"")</f>
        <v>1314</v>
      </c>
      <c r="B1319" s="150" t="str">
        <f aca="false">HYPERLINK("https://www.google.com/maps/dir/-15.917302,-47.760003/-15.9354480,-47.7615415/data=!4m3!4m2!3e0!5i2")</f>
        <v>https://www.google.com/maps/dir/-15.917302,-47.760003/-15.9354480,-47.7615415/data=!4m3!4m2!3e0!5i2</v>
      </c>
      <c r="C1319" s="151" t="s">
        <v>117</v>
      </c>
      <c r="D1319" s="152" t="s">
        <v>112</v>
      </c>
      <c r="E1319" s="152" t="s">
        <v>113</v>
      </c>
      <c r="F1319" s="152" t="s">
        <v>117</v>
      </c>
      <c r="G1319" s="152" t="s">
        <v>782</v>
      </c>
      <c r="H1319" s="152" t="n">
        <v>90</v>
      </c>
      <c r="I1319" s="152" t="s">
        <v>115</v>
      </c>
      <c r="J1319" s="152" t="s">
        <v>6</v>
      </c>
      <c r="K1319" s="152" t="s">
        <v>6081</v>
      </c>
      <c r="L1319" s="152" t="s">
        <v>120</v>
      </c>
      <c r="M1319" s="153" t="n">
        <f aca="false">41.38+0.09</f>
        <v>41.47</v>
      </c>
      <c r="N1319" s="152" t="s">
        <v>1548</v>
      </c>
      <c r="O1319" s="152" t="s">
        <v>1549</v>
      </c>
      <c r="P1319" s="152" t="s">
        <v>1550</v>
      </c>
      <c r="Q1319" s="152" t="s">
        <v>1551</v>
      </c>
      <c r="R1319" s="154" t="s">
        <v>6538</v>
      </c>
      <c r="S1319" s="154" t="s">
        <v>1593</v>
      </c>
      <c r="T1319" s="155" t="s">
        <v>6514</v>
      </c>
      <c r="U1319" s="152" t="str">
        <f aca="false">RIGHT(T1319,7)</f>
        <v>024/037</v>
      </c>
      <c r="V1319" s="152" t="s">
        <v>1555</v>
      </c>
      <c r="W1319" s="156" t="n">
        <v>45882</v>
      </c>
      <c r="X1319" s="152" t="s">
        <v>3938</v>
      </c>
      <c r="Y1319" s="152" t="s">
        <v>2916</v>
      </c>
      <c r="Z1319" s="152" t="s">
        <v>1557</v>
      </c>
      <c r="AA1319" s="153" t="n">
        <v>4.8</v>
      </c>
      <c r="AB1319" s="151" t="s">
        <v>6539</v>
      </c>
      <c r="AC1319" s="151" t="s">
        <v>526</v>
      </c>
      <c r="AD1319" s="151" t="str">
        <f aca="false">CONCATENATE($C1319,$I1319,$H1319,$N1319,$J1319,$K1319)</f>
        <v>TUBO PEADPEAD90VCAREDESZona11</v>
      </c>
      <c r="AE1319" s="153" t="n">
        <f aca="false">IFERROR(INDEX(APOIO_REDES!$A:$W,MATCH($C1319&amp;$I1319&amp;$H1319&amp;$N1319&amp;$O1319,APOIO_REDES!$W:$W,0),MATCH(AE$5,APOIO_REDES!$5:$5,0)),0)</f>
        <v>1.2</v>
      </c>
      <c r="AF1319" s="153" t="n">
        <f aca="false">IFERROR(INDEX(APOIO_REDES!$A:$W,MATCH($C1319&amp;$I1319&amp;$H1319&amp;$N1319&amp;$O1319,APOIO_REDES!$W:$W,0),MATCH(AF$5,APOIO_REDES!$5:$5,0)),0)</f>
        <v>1.39</v>
      </c>
      <c r="AG1319" s="153" t="n">
        <f aca="false">IFERROR(INDEX(APOIO_REDES!$A:$W,MATCH($C1319&amp;$I1319&amp;$H1319&amp;$N1319&amp;$O1319,APOIO_REDES!$W:$W,0),MATCH(AG$5,APOIO_REDES!$5:$5,0)),0)</f>
        <v>0.75</v>
      </c>
      <c r="AH1319" s="153" t="n">
        <f aca="false">IFERROR(INDEX(APOIO_REDES!$A:$W,MATCH($C1319&amp;$I1319&amp;$H1319&amp;$N1319&amp;$O1319,APOIO_REDES!$W:$W,0),MATCH(AH$5,APOIO_REDES!$5:$5,0)),0)</f>
        <v>0.1</v>
      </c>
      <c r="AI1319" s="153" t="n">
        <f aca="false">IFERROR(IF($H1319&lt;&gt;"",(((($H1319/1000)/2)^2)*PI()*$M1319),0),0)</f>
        <v>0.263820740872347</v>
      </c>
      <c r="AJ1319" s="153" t="n">
        <f aca="false">IFERROR(IF(AND($H1319&lt;&gt;"",$I1319="FoFo",OR($N1319="MND",$N1319="VCA"),$Q1319="LINEAR"),0,IF(AND($H1319&lt;&gt;"",$I1319="PEAD",$N1319="VCA",$Q1319="LINEAR"),($H1319/1000)+0.3,IF(AND($H1319&lt;&gt;"",$I1319="PEAD",$N1319="MND",$Q1319="EMBOQUE"),0,IF(AND($H1319&lt;&gt;"",$I1319="PVC",$N1319="VCA",$Q1319="LINEAR"),($H1319/1000)+0.2,IF(AND($H1319&lt;&gt;"",$I1319="PVC",$N1319="MND",$Q1319="EMBOQUE"),0,IF(AND($H1319&lt;&gt;"",$I1319="PEAD",$N1319="VCA",$Q1319="PREDIAL"),0,0)))))),0)</f>
        <v>0.39</v>
      </c>
      <c r="AK1319" s="153" t="n">
        <f aca="false">IF(AA1319&lt;&gt;"",AA1319,0)</f>
        <v>4.8</v>
      </c>
      <c r="AL1319" s="153" t="n">
        <f aca="false">IF(AND($N1319="MND",$Q1319="EMBOQUE"),$M1319,IF(AND($N1319="VCA",$Q1319="LINEAR"),$M1319,IF(AND($N1319="VCA",$Q1319="PREDIAL"),0,0)))</f>
        <v>41.47</v>
      </c>
      <c r="AM1319" s="153" t="n">
        <f aca="false">IF(AND($N1319="MND",$Q1319="EMBOQUE"),$M1319,IF(AND($N1319="VCA",$Q1319="LINEAR"),$M1319,IF(AND($N1319="VCA",$Q1319="PREDIAL"),0,0)))</f>
        <v>41.47</v>
      </c>
      <c r="AN1319" s="153" t="n">
        <f aca="false">ROUND(IF(AND($N1319="VCA",$M1319&lt;&gt;"",$Q1319="LINEAR"),$M1319/100,IF(AND($N1319="MND",$M1319&gt;100,$Q1319="EMBOQUE"),$M1319/100,0)),0)</f>
        <v>0</v>
      </c>
      <c r="AO1319" s="153" t="n">
        <f aca="false">IF(AND($N1319="MND",$Q1319="EMBOQUE"),$AN1319*2*2,IF(AND($N1319="VCA",$Q1319="LINEAR"),$M1319*2,IF(AND($N1319="VCA",$Q1319="PREDIAL"),0,0)))</f>
        <v>82.94</v>
      </c>
      <c r="AP1319" s="153" t="n">
        <f aca="false">IFERROR($M1319*$AF1319*$AG1319,0)</f>
        <v>43.232475</v>
      </c>
      <c r="AQ1319" s="153" t="n">
        <f aca="false">IFERROR(IF(AND($N1319="VCA",$AH1319&gt;0),$M1319*$AG1319*$AH1319,0),0)</f>
        <v>3.11025</v>
      </c>
      <c r="AR1319" s="153" t="n">
        <f aca="false">IFERROR(IF(AND($N1319="VCA",$AJ1319&gt;0),($M1319*$AG1319*$AJ1319)-$AI1319,0),0)</f>
        <v>11.8661542591277</v>
      </c>
      <c r="AS1319" s="153" t="n">
        <f aca="false">IFERROR(IF(AND($N1319="VCA",$AP1319&gt;0),$AP1319-$AI1319-$AQ1319-$AR1319,0),0)</f>
        <v>27.99225</v>
      </c>
      <c r="AT1319" s="153" t="n">
        <f aca="false">IFERROR(IF($N1319="VCA",INDEX(APOIO_REDES!$A:$W,MATCH($C1319&amp;$I1319&amp;$H1319&amp;$N1319&amp;$O1319,APOIO_REDES!$W:$W,0),MATCH(AT$5,APOIO_REDES!$5:$5,0)),0)*$AP1319,0)</f>
        <v>0.470382124159422</v>
      </c>
      <c r="AU1319" s="153" t="n">
        <f aca="false">IFERROR(IF($N1319="VCA",INDEX(APOIO_REDES!$A:$W,MATCH($C1319&amp;$I1319&amp;$H1319&amp;$N1319&amp;$O1319,APOIO_REDES!$W:$W,0),MATCH(AU$5,APOIO_REDES!$5:$5,0)),0)*$AP1319,0)</f>
        <v>0.375634424790154</v>
      </c>
      <c r="AV1319" s="153" t="n">
        <f aca="false">IFERROR(IF($N1319="VCA",INDEX(APOIO_REDES!$A:$W,MATCH($C1319&amp;$I1319&amp;$H1319&amp;$N1319&amp;$O1319,APOIO_REDES!$W:$W,0),MATCH(AV$5,APOIO_REDES!$5:$5,0)),0)*$AP1319,0)</f>
        <v>0.0519848555451041</v>
      </c>
      <c r="AW1319" s="153" t="n">
        <f aca="false">IFERROR(IF($N1319="VCA",INDEX(APOIO_REDES!$A:$W,MATCH($C1319&amp;$I1319&amp;$H1319&amp;$N1319&amp;$O1319,APOIO_REDES!$W:$W,0),MATCH(AW$5,APOIO_REDES!$5:$5,0)),0)*$AP1319,0)</f>
        <v>29.6751058215626</v>
      </c>
      <c r="AX1319" s="153" t="n">
        <f aca="false">IFERROR(IF($N1319="VCA",INDEX(APOIO_REDES!$A:$W,MATCH($C1319&amp;$I1319&amp;$H1319&amp;$N1319&amp;$O1319,APOIO_REDES!$W:$W,0),MATCH(AX$5,APOIO_REDES!$5:$5,0)),0)*$AP1319,0)</f>
        <v>4.10695011456525</v>
      </c>
      <c r="AY1319" s="153" t="n">
        <f aca="false">IFERROR(IF($N1319="VCA",INDEX(APOIO_REDES!$A:$W,MATCH($C1319&amp;$I1319&amp;$H1319&amp;$N1319&amp;$O1319,APOIO_REDES!$W:$W,0),MATCH(AY$5,APOIO_REDES!$5:$5,0)),0)*$AP1319,0)</f>
        <v>7.51268391684989</v>
      </c>
      <c r="AZ1319" s="153" t="n">
        <f aca="false">IFERROR(IF($N1319="VCA",INDEX(APOIO_REDES!$A:$W,MATCH($C1319&amp;$I1319&amp;$H1319&amp;$N1319&amp;$O1319,APOIO_REDES!$W:$W,0),MATCH(AZ$5,APOIO_REDES!$5:$5,0)),0)*$AP1319,0)</f>
        <v>1.03973374252759</v>
      </c>
      <c r="BA1319" s="153" t="n">
        <f aca="false">IFERROR(IF(AND($N1319="VCA",$Q1319="LINEAR"),INDEX(APOIO_REDES!$A:$W,MATCH($C1319&amp;$I1319&amp;$H1319&amp;$N1319&amp;$O1319,APOIO_REDES!$W:$W,0),MATCH(BA$5,APOIO_REDES!$5:$5,0)),IF(AND($N1319="MND",$Q1319="EMBOQUE"),INDEX(APOIO_REDES!$A:$W,MATCH($C1319&amp;$I1319&amp;$H1319&amp;$N1319&amp;$O1319,APOIO_REDES!$W:$W,0),MATCH(BA$5,APOIO_REDES!$5:$5,0)),0))*$M1319/10,0)</f>
        <v>3.34237739523349</v>
      </c>
      <c r="BB1319" s="153" t="n">
        <f aca="false">IFERROR(IF($N1319="VCA",INDEX(APOIO_REDES!$A:$W,MATCH($C1319&amp;$I1319&amp;$H1319&amp;$N1319&amp;$O1319,APOIO_REDES!$W:$W,0),MATCH(BB$5,APOIO_REDES!$5:$5,0)),0)*($AI1319+$AQ1319+$AR1319),0)</f>
        <v>15.0744068411237</v>
      </c>
      <c r="BC1319" s="153" t="n">
        <f aca="false">IFERROR(IF($N1319="VCA",INDEX(APOIO_REDES!$A:$W,MATCH($C1319&amp;$I1319&amp;$H1319&amp;$N1319&amp;$O1319,APOIO_REDES!$W:$W,0),MATCH(BC$5,APOIO_REDES!$5:$5,0)),0)*($AI1319+$AQ1319+$AR1319),0)</f>
        <v>0.165818158876343</v>
      </c>
      <c r="BD1319" s="153" t="n">
        <f aca="false">IF(AND($N1319="VCA",$AF1319&gt;=1.25,$AF1319&lt;1.5),$M1319*$AF1319*2,0)</f>
        <v>115.2866</v>
      </c>
      <c r="BE1319" s="153" t="n">
        <f aca="false">IF(AND($N1319="VCA",$AF1319&gt;=1.5,$AF1319&lt;3),$M1319*$AF1319*2,0)</f>
        <v>0</v>
      </c>
      <c r="BF1319" s="153" t="n">
        <f aca="false">IF(AND($N1319="VCA",$AF1319&gt;=3),$M1319*$AF1319*2,0)</f>
        <v>0</v>
      </c>
      <c r="BG1319" s="153" t="n">
        <f aca="false">($BB1319+$BC1319)*$AK1319</f>
        <v>73.15308</v>
      </c>
      <c r="BH1319" s="153" t="n">
        <f aca="false">IF(AND($M1319&lt;&gt;"",$N1319="VCA",$Q1319="LINEAR"),($M1319*2)/100,IF(AND($M1319&lt;&gt;"",$N1319="MND",$Q1319="EMBOQUE"),($AN1319*2)/100,0))</f>
        <v>0.8294</v>
      </c>
      <c r="BI1319" s="153" t="n">
        <f aca="false">IF(AND($M1319&lt;&gt;"",$N1319="VCA",$Q1319="LINEAR"),$M1319,IF(AND($M1319&lt;&gt;"",$N1319="MND",$Q1319="EMBOQUE"),$AN1319*2,0))</f>
        <v>41.47</v>
      </c>
      <c r="BJ1319" s="153" t="n">
        <f aca="false">IF(AND($M1319&lt;&gt;"",$N1319="VCA",$Q1319="LINEAR"),($M1319*6.8)/100,IF(AND($M1319&lt;&gt;"",$N1319="MND",$Q1319="EMBOQUE"),($AN1319*2*6.8)/100,0))</f>
        <v>2.81996</v>
      </c>
      <c r="BK1319" s="153" t="n">
        <f aca="false">IF(AND($M1319&lt;&gt;"",$N1319="VCA",$Q1319="LINEAR"),($M1319*2.5)/50,IF(AND($M1319&lt;&gt;"",$N1319="MND",$Q1319="EMBOQUE"),($AN1319*2*2.5)/50,0))</f>
        <v>2.0735</v>
      </c>
      <c r="BL1319" s="157" t="str">
        <f aca="false">K1319&amp;J1319</f>
        <v>Zona11REDES</v>
      </c>
      <c r="BM1319" s="152" t="s">
        <v>6084</v>
      </c>
      <c r="BN1319" s="152" t="s">
        <v>1560</v>
      </c>
      <c r="BO1319" s="152" t="s">
        <v>6516</v>
      </c>
      <c r="BP1319" s="152" t="s">
        <v>6183</v>
      </c>
      <c r="BQ1319" s="152" t="s">
        <v>6540</v>
      </c>
      <c r="BR1319" s="152" t="s">
        <v>6541</v>
      </c>
      <c r="BS1319" s="152" t="n">
        <v>204346.123</v>
      </c>
      <c r="BT1319" s="152" t="n">
        <v>8236246.391</v>
      </c>
      <c r="BU1319" s="152" t="n">
        <v>204358.725</v>
      </c>
      <c r="BV1319" s="152" t="n">
        <v>8236206.987</v>
      </c>
      <c r="BW1319" s="152" t="n">
        <v>-15.9356393</v>
      </c>
      <c r="BX1319" s="152" t="n">
        <v>-47.7614848</v>
      </c>
      <c r="BY1319" s="152" t="s">
        <v>6183</v>
      </c>
    </row>
    <row r="1320" customFormat="false" ht="13.8" hidden="false" customHeight="false" outlineLevel="0" collapsed="false">
      <c r="A1320" s="149" t="n">
        <f aca="false">IF(C1320&lt;&gt;"",ROW(A1315),"")</f>
        <v>1315</v>
      </c>
      <c r="B1320" s="150" t="str">
        <f aca="false">HYPERLINK("https://www.google.com/maps/dir/-15.917302,-47.760003/-15.9357962,-47.7628482/data=!4m3!4m2!3e0!5i2")</f>
        <v>https://www.google.com/maps/dir/-15.917302,-47.760003/-15.9357962,-47.7628482/data=!4m3!4m2!3e0!5i2</v>
      </c>
      <c r="C1320" s="151" t="s">
        <v>117</v>
      </c>
      <c r="D1320" s="152" t="s">
        <v>112</v>
      </c>
      <c r="E1320" s="152" t="s">
        <v>113</v>
      </c>
      <c r="F1320" s="152" t="s">
        <v>117</v>
      </c>
      <c r="G1320" s="152" t="s">
        <v>782</v>
      </c>
      <c r="H1320" s="152" t="n">
        <v>63</v>
      </c>
      <c r="I1320" s="152" t="s">
        <v>115</v>
      </c>
      <c r="J1320" s="152" t="s">
        <v>6</v>
      </c>
      <c r="K1320" s="152" t="s">
        <v>6081</v>
      </c>
      <c r="L1320" s="152" t="s">
        <v>120</v>
      </c>
      <c r="M1320" s="153" t="n">
        <f aca="false">50.98</f>
        <v>50.98</v>
      </c>
      <c r="N1320" s="152" t="s">
        <v>1548</v>
      </c>
      <c r="O1320" s="152" t="s">
        <v>1549</v>
      </c>
      <c r="P1320" s="152" t="s">
        <v>1550</v>
      </c>
      <c r="Q1320" s="152" t="s">
        <v>1551</v>
      </c>
      <c r="R1320" s="154" t="s">
        <v>6542</v>
      </c>
      <c r="S1320" s="154" t="s">
        <v>1553</v>
      </c>
      <c r="T1320" s="155" t="s">
        <v>6514</v>
      </c>
      <c r="U1320" s="152" t="str">
        <f aca="false">RIGHT(T1320,7)</f>
        <v>024/037</v>
      </c>
      <c r="V1320" s="152" t="s">
        <v>1555</v>
      </c>
      <c r="W1320" s="156" t="n">
        <v>45882</v>
      </c>
      <c r="X1320" s="152" t="s">
        <v>3938</v>
      </c>
      <c r="Y1320" s="152" t="s">
        <v>5541</v>
      </c>
      <c r="Z1320" s="152" t="s">
        <v>1557</v>
      </c>
      <c r="AA1320" s="153" t="n">
        <v>5</v>
      </c>
      <c r="AB1320" s="151" t="s">
        <v>6543</v>
      </c>
      <c r="AC1320" s="151" t="s">
        <v>186</v>
      </c>
      <c r="AD1320" s="151" t="str">
        <f aca="false">CONCATENATE($C1320,$I1320,$H1320,$N1320,$J1320,$K1320)</f>
        <v>TUBO PEADPEAD63VCAREDESZona11</v>
      </c>
      <c r="AE1320" s="153" t="n">
        <f aca="false">IFERROR(INDEX(APOIO_REDES!$A:$W,MATCH($C1320&amp;$I1320&amp;$H1320&amp;$N1320&amp;$O1320,APOIO_REDES!$W:$W,0),MATCH(AE$5,APOIO_REDES!$5:$5,0)),0)</f>
        <v>1.2</v>
      </c>
      <c r="AF1320" s="153" t="n">
        <f aca="false">IFERROR(INDEX(APOIO_REDES!$A:$W,MATCH($C1320&amp;$I1320&amp;$H1320&amp;$N1320&amp;$O1320,APOIO_REDES!$W:$W,0),MATCH(AF$5,APOIO_REDES!$5:$5,0)),0)</f>
        <v>1.363</v>
      </c>
      <c r="AG1320" s="153" t="n">
        <f aca="false">IFERROR(INDEX(APOIO_REDES!$A:$W,MATCH($C1320&amp;$I1320&amp;$H1320&amp;$N1320&amp;$O1320,APOIO_REDES!$W:$W,0),MATCH(AG$5,APOIO_REDES!$5:$5,0)),0)</f>
        <v>0.65</v>
      </c>
      <c r="AH1320" s="153" t="n">
        <f aca="false">IFERROR(INDEX(APOIO_REDES!$A:$W,MATCH($C1320&amp;$I1320&amp;$H1320&amp;$N1320&amp;$O1320,APOIO_REDES!$W:$W,0),MATCH(AH$5,APOIO_REDES!$5:$5,0)),0)</f>
        <v>0.1</v>
      </c>
      <c r="AI1320" s="153" t="n">
        <f aca="false">IFERROR(IF($H1320&lt;&gt;"",(((($H1320/1000)/2)^2)*PI()*$M1320),0),0)</f>
        <v>0.158917165930538</v>
      </c>
      <c r="AJ1320" s="153" t="n">
        <f aca="false">IFERROR(IF(AND($H1320&lt;&gt;"",$I1320="FoFo",OR($N1320="MND",$N1320="VCA"),$Q1320="LINEAR"),0,IF(AND($H1320&lt;&gt;"",$I1320="PEAD",$N1320="VCA",$Q1320="LINEAR"),($H1320/1000)+0.3,IF(AND($H1320&lt;&gt;"",$I1320="PEAD",$N1320="MND",$Q1320="EMBOQUE"),0,IF(AND($H1320&lt;&gt;"",$I1320="PVC",$N1320="VCA",$Q1320="LINEAR"),($H1320/1000)+0.2,IF(AND($H1320&lt;&gt;"",$I1320="PVC",$N1320="MND",$Q1320="EMBOQUE"),0,IF(AND($H1320&lt;&gt;"",$I1320="PEAD",$N1320="VCA",$Q1320="PREDIAL"),0,0)))))),0)</f>
        <v>0.363</v>
      </c>
      <c r="AK1320" s="153" t="n">
        <f aca="false">IF(AA1320&lt;&gt;"",AA1320,0)</f>
        <v>5</v>
      </c>
      <c r="AL1320" s="153" t="n">
        <f aca="false">IF(AND($N1320="MND",$Q1320="EMBOQUE"),$M1320,IF(AND($N1320="VCA",$Q1320="LINEAR"),$M1320,IF(AND($N1320="VCA",$Q1320="PREDIAL"),0,0)))</f>
        <v>50.98</v>
      </c>
      <c r="AM1320" s="153" t="n">
        <f aca="false">IF(AND($N1320="MND",$Q1320="EMBOQUE"),$M1320,IF(AND($N1320="VCA",$Q1320="LINEAR"),$M1320,IF(AND($N1320="VCA",$Q1320="PREDIAL"),0,0)))</f>
        <v>50.98</v>
      </c>
      <c r="AN1320" s="153" t="n">
        <f aca="false">ROUND(IF(AND($N1320="VCA",$M1320&lt;&gt;"",$Q1320="LINEAR"),$M1320/100,IF(AND($N1320="MND",$M1320&gt;100,$Q1320="EMBOQUE"),$M1320/100,0)),0)</f>
        <v>1</v>
      </c>
      <c r="AO1320" s="153" t="n">
        <f aca="false">IF(AND($N1320="MND",$Q1320="EMBOQUE"),$AN1320*2*2,IF(AND($N1320="VCA",$Q1320="LINEAR"),$M1320*2,IF(AND($N1320="VCA",$Q1320="PREDIAL"),0,0)))</f>
        <v>101.96</v>
      </c>
      <c r="AP1320" s="153" t="n">
        <f aca="false">IFERROR($M1320*$AF1320*$AG1320,0)</f>
        <v>45.165731</v>
      </c>
      <c r="AQ1320" s="153" t="n">
        <f aca="false">IFERROR(IF(AND($N1320="VCA",$AH1320&gt;0),$M1320*$AG1320*$AH1320,0),0)</f>
        <v>3.3137</v>
      </c>
      <c r="AR1320" s="153" t="n">
        <f aca="false">IFERROR(IF(AND($N1320="VCA",$AJ1320&gt;0),($M1320*$AG1320*$AJ1320)-$AI1320,0),0)</f>
        <v>11.8698138340695</v>
      </c>
      <c r="AS1320" s="153" t="n">
        <f aca="false">IFERROR(IF(AND($N1320="VCA",$AP1320&gt;0),$AP1320-$AI1320-$AQ1320-$AR1320,0),0)</f>
        <v>29.8233</v>
      </c>
      <c r="AT1320" s="153" t="n">
        <f aca="false">IFERROR(IF($N1320="VCA",INDEX(APOIO_REDES!$A:$W,MATCH($C1320&amp;$I1320&amp;$H1320&amp;$N1320&amp;$O1320,APOIO_REDES!$W:$W,0),MATCH(AT$5,APOIO_REDES!$5:$5,0)),0)*$AP1320,0)</f>
        <v>0.491416521653989</v>
      </c>
      <c r="AU1320" s="153" t="n">
        <f aca="false">IFERROR(IF($N1320="VCA",INDEX(APOIO_REDES!$A:$W,MATCH($C1320&amp;$I1320&amp;$H1320&amp;$N1320&amp;$O1320,APOIO_REDES!$W:$W,0),MATCH(AU$5,APOIO_REDES!$5:$5,0)),0)*$AP1320,0)</f>
        <v>0.392431924945584</v>
      </c>
      <c r="AV1320" s="153" t="n">
        <f aca="false">IFERROR(IF($N1320="VCA",INDEX(APOIO_REDES!$A:$W,MATCH($C1320&amp;$I1320&amp;$H1320&amp;$N1320&amp;$O1320,APOIO_REDES!$W:$W,0),MATCH(AV$5,APOIO_REDES!$5:$5,0)),0)*$AP1320,0)</f>
        <v>0.0543094977010692</v>
      </c>
      <c r="AW1320" s="153" t="n">
        <f aca="false">IFERROR(IF($N1320="VCA",INDEX(APOIO_REDES!$A:$W,MATCH($C1320&amp;$I1320&amp;$H1320&amp;$N1320&amp;$O1320,APOIO_REDES!$W:$W,0),MATCH(AW$5,APOIO_REDES!$5:$5,0)),0)*$AP1320,0)</f>
        <v>31.0021077195611</v>
      </c>
      <c r="AX1320" s="153" t="n">
        <f aca="false">IFERROR(IF($N1320="VCA",INDEX(APOIO_REDES!$A:$W,MATCH($C1320&amp;$I1320&amp;$H1320&amp;$N1320&amp;$O1320,APOIO_REDES!$W:$W,0),MATCH(AX$5,APOIO_REDES!$5:$5,0)),0)*$AP1320,0)</f>
        <v>4.29060339721177</v>
      </c>
      <c r="AY1320" s="153" t="n">
        <f aca="false">IFERROR(IF($N1320="VCA",INDEX(APOIO_REDES!$A:$W,MATCH($C1320&amp;$I1320&amp;$H1320&amp;$N1320&amp;$O1320,APOIO_REDES!$W:$W,0),MATCH(AY$5,APOIO_REDES!$5:$5,0)),0)*$AP1320,0)</f>
        <v>7.84863371519832</v>
      </c>
      <c r="AZ1320" s="153" t="n">
        <f aca="false">IFERROR(IF($N1320="VCA",INDEX(APOIO_REDES!$A:$W,MATCH($C1320&amp;$I1320&amp;$H1320&amp;$N1320&amp;$O1320,APOIO_REDES!$W:$W,0),MATCH(AZ$5,APOIO_REDES!$5:$5,0)),0)*$AP1320,0)</f>
        <v>1.08622822372821</v>
      </c>
      <c r="BA1320" s="153" t="n">
        <f aca="false">IFERROR(IF(AND($N1320="VCA",$Q1320="LINEAR"),INDEX(APOIO_REDES!$A:$W,MATCH($C1320&amp;$I1320&amp;$H1320&amp;$N1320&amp;$O1320,APOIO_REDES!$W:$W,0),MATCH(BA$5,APOIO_REDES!$5:$5,0)),IF(AND($N1320="MND",$Q1320="EMBOQUE"),INDEX(APOIO_REDES!$A:$W,MATCH($C1320&amp;$I1320&amp;$H1320&amp;$N1320&amp;$O1320,APOIO_REDES!$W:$W,0),MATCH(BA$5,APOIO_REDES!$5:$5,0)),0))*$M1320/10,0)</f>
        <v>4.1088594070172</v>
      </c>
      <c r="BB1320" s="153" t="n">
        <f aca="false">IFERROR(IF($N1320="VCA",INDEX(APOIO_REDES!$A:$W,MATCH($C1320&amp;$I1320&amp;$H1320&amp;$N1320&amp;$O1320,APOIO_REDES!$W:$W,0),MATCH(BB$5,APOIO_REDES!$5:$5,0)),0)*($AI1320+$AQ1320+$AR1320),0)</f>
        <v>15.1755008095922</v>
      </c>
      <c r="BC1320" s="153" t="n">
        <f aca="false">IFERROR(IF($N1320="VCA",INDEX(APOIO_REDES!$A:$W,MATCH($C1320&amp;$I1320&amp;$H1320&amp;$N1320&amp;$O1320,APOIO_REDES!$W:$W,0),MATCH(BC$5,APOIO_REDES!$5:$5,0)),0)*($AI1320+$AQ1320+$AR1320),0)</f>
        <v>0.166930190407775</v>
      </c>
      <c r="BD1320" s="153" t="n">
        <f aca="false">IF(AND($N1320="VCA",$AF1320&gt;=1.25,$AF1320&lt;1.5),$M1320*$AF1320*2,0)</f>
        <v>138.97148</v>
      </c>
      <c r="BE1320" s="153" t="n">
        <f aca="false">IF(AND($N1320="VCA",$AF1320&gt;=1.5,$AF1320&lt;3),$M1320*$AF1320*2,0)</f>
        <v>0</v>
      </c>
      <c r="BF1320" s="153" t="n">
        <f aca="false">IF(AND($N1320="VCA",$AF1320&gt;=3),$M1320*$AF1320*2,0)</f>
        <v>0</v>
      </c>
      <c r="BG1320" s="153" t="n">
        <f aca="false">($BB1320+$BC1320)*$AK1320</f>
        <v>76.712155</v>
      </c>
      <c r="BH1320" s="153" t="n">
        <f aca="false">IF(AND($M1320&lt;&gt;"",$N1320="VCA",$Q1320="LINEAR"),($M1320*2)/100,IF(AND($M1320&lt;&gt;"",$N1320="MND",$Q1320="EMBOQUE"),($AN1320*2)/100,0))</f>
        <v>1.0196</v>
      </c>
      <c r="BI1320" s="153" t="n">
        <f aca="false">IF(AND($M1320&lt;&gt;"",$N1320="VCA",$Q1320="LINEAR"),$M1320,IF(AND($M1320&lt;&gt;"",$N1320="MND",$Q1320="EMBOQUE"),$AN1320*2,0))</f>
        <v>50.98</v>
      </c>
      <c r="BJ1320" s="153" t="n">
        <f aca="false">IF(AND($M1320&lt;&gt;"",$N1320="VCA",$Q1320="LINEAR"),($M1320*6.8)/100,IF(AND($M1320&lt;&gt;"",$N1320="MND",$Q1320="EMBOQUE"),($AN1320*2*6.8)/100,0))</f>
        <v>3.46664</v>
      </c>
      <c r="BK1320" s="153" t="n">
        <f aca="false">IF(AND($M1320&lt;&gt;"",$N1320="VCA",$Q1320="LINEAR"),($M1320*2.5)/50,IF(AND($M1320&lt;&gt;"",$N1320="MND",$Q1320="EMBOQUE"),($AN1320*2*2.5)/50,0))</f>
        <v>2.549</v>
      </c>
      <c r="BL1320" s="157" t="str">
        <f aca="false">K1320&amp;J1320</f>
        <v>Zona11REDES</v>
      </c>
      <c r="BM1320" s="152" t="s">
        <v>6084</v>
      </c>
      <c r="BN1320" s="152" t="s">
        <v>1560</v>
      </c>
      <c r="BO1320" s="152" t="s">
        <v>6516</v>
      </c>
      <c r="BP1320" s="152" t="s">
        <v>6208</v>
      </c>
      <c r="BQ1320" s="152" t="s">
        <v>6179</v>
      </c>
      <c r="BR1320" s="152" t="s">
        <v>6544</v>
      </c>
      <c r="BS1320" s="152" t="n">
        <v>204206.36</v>
      </c>
      <c r="BT1320" s="152" t="n">
        <v>8236207.11</v>
      </c>
      <c r="BU1320" s="152" t="n">
        <v>204255.076</v>
      </c>
      <c r="BV1320" s="152" t="n">
        <v>8236222.099</v>
      </c>
      <c r="BW1320" s="152" t="n">
        <v>-15.9357357</v>
      </c>
      <c r="BX1320" s="152" t="n">
        <v>-47.7626186</v>
      </c>
      <c r="BY1320" s="152" t="s">
        <v>6208</v>
      </c>
    </row>
    <row r="1321" customFormat="false" ht="13.8" hidden="false" customHeight="false" outlineLevel="0" collapsed="false">
      <c r="A1321" s="149" t="n">
        <f aca="false">IF(C1321&lt;&gt;"",ROW(A1316),"")</f>
        <v>1316</v>
      </c>
      <c r="B1321" s="150" t="str">
        <f aca="false">HYPERLINK("https://www.google.com/maps/dir/-15.917302,-47.760003/-15.9356055,-47.7605369/data=!4m3!4m2!3e0!5i1")</f>
        <v>https://www.google.com/maps/dir/-15.917302,-47.760003/-15.9356055,-47.7605369/data=!4m3!4m2!3e0!5i1</v>
      </c>
      <c r="C1321" s="151" t="s">
        <v>117</v>
      </c>
      <c r="D1321" s="152" t="s">
        <v>112</v>
      </c>
      <c r="E1321" s="152" t="s">
        <v>113</v>
      </c>
      <c r="F1321" s="152" t="s">
        <v>117</v>
      </c>
      <c r="G1321" s="152" t="s">
        <v>782</v>
      </c>
      <c r="H1321" s="152" t="n">
        <v>63</v>
      </c>
      <c r="I1321" s="152" t="s">
        <v>115</v>
      </c>
      <c r="J1321" s="152" t="s">
        <v>6</v>
      </c>
      <c r="K1321" s="152" t="s">
        <v>6081</v>
      </c>
      <c r="L1321" s="152" t="s">
        <v>120</v>
      </c>
      <c r="M1321" s="153" t="n">
        <f aca="false">58.35+4.37</f>
        <v>62.72</v>
      </c>
      <c r="N1321" s="152" t="s">
        <v>1548</v>
      </c>
      <c r="O1321" s="152" t="s">
        <v>1549</v>
      </c>
      <c r="P1321" s="152" t="s">
        <v>1550</v>
      </c>
      <c r="Q1321" s="152" t="s">
        <v>1551</v>
      </c>
      <c r="R1321" s="154" t="s">
        <v>6545</v>
      </c>
      <c r="S1321" s="154" t="s">
        <v>1553</v>
      </c>
      <c r="T1321" s="155" t="s">
        <v>6514</v>
      </c>
      <c r="U1321" s="152" t="str">
        <f aca="false">RIGHT(T1321,7)</f>
        <v>024/037</v>
      </c>
      <c r="V1321" s="152" t="s">
        <v>1555</v>
      </c>
      <c r="W1321" s="156" t="n">
        <v>45882</v>
      </c>
      <c r="X1321" s="152" t="s">
        <v>1594</v>
      </c>
      <c r="Y1321" s="152" t="s">
        <v>6546</v>
      </c>
      <c r="Z1321" s="152" t="s">
        <v>1557</v>
      </c>
      <c r="AA1321" s="153" t="n">
        <v>4.8</v>
      </c>
      <c r="AB1321" s="151" t="s">
        <v>6547</v>
      </c>
      <c r="AC1321" s="151" t="s">
        <v>186</v>
      </c>
      <c r="AD1321" s="151" t="str">
        <f aca="false">CONCATENATE($C1321,$I1321,$H1321,$N1321,$J1321,$K1321)</f>
        <v>TUBO PEADPEAD63VCAREDESZona11</v>
      </c>
      <c r="AE1321" s="153" t="n">
        <f aca="false">IFERROR(INDEX(APOIO_REDES!$A:$W,MATCH($C1321&amp;$I1321&amp;$H1321&amp;$N1321&amp;$O1321,APOIO_REDES!$W:$W,0),MATCH(AE$5,APOIO_REDES!$5:$5,0)),0)</f>
        <v>1.2</v>
      </c>
      <c r="AF1321" s="153" t="n">
        <f aca="false">IFERROR(INDEX(APOIO_REDES!$A:$W,MATCH($C1321&amp;$I1321&amp;$H1321&amp;$N1321&amp;$O1321,APOIO_REDES!$W:$W,0),MATCH(AF$5,APOIO_REDES!$5:$5,0)),0)</f>
        <v>1.363</v>
      </c>
      <c r="AG1321" s="153" t="n">
        <f aca="false">IFERROR(INDEX(APOIO_REDES!$A:$W,MATCH($C1321&amp;$I1321&amp;$H1321&amp;$N1321&amp;$O1321,APOIO_REDES!$W:$W,0),MATCH(AG$5,APOIO_REDES!$5:$5,0)),0)</f>
        <v>0.65</v>
      </c>
      <c r="AH1321" s="153" t="n">
        <f aca="false">IFERROR(INDEX(APOIO_REDES!$A:$W,MATCH($C1321&amp;$I1321&amp;$H1321&amp;$N1321&amp;$O1321,APOIO_REDES!$W:$W,0),MATCH(AH$5,APOIO_REDES!$5:$5,0)),0)</f>
        <v>0.1</v>
      </c>
      <c r="AI1321" s="153" t="n">
        <f aca="false">IFERROR(IF($H1321&lt;&gt;"",(((($H1321/1000)/2)^2)*PI()*$M1321),0),0)</f>
        <v>0.195513625876095</v>
      </c>
      <c r="AJ1321" s="153" t="n">
        <f aca="false">IFERROR(IF(AND($H1321&lt;&gt;"",$I1321="FoFo",OR($N1321="MND",$N1321="VCA"),$Q1321="LINEAR"),0,IF(AND($H1321&lt;&gt;"",$I1321="PEAD",$N1321="VCA",$Q1321="LINEAR"),($H1321/1000)+0.3,IF(AND($H1321&lt;&gt;"",$I1321="PEAD",$N1321="MND",$Q1321="EMBOQUE"),0,IF(AND($H1321&lt;&gt;"",$I1321="PVC",$N1321="VCA",$Q1321="LINEAR"),($H1321/1000)+0.2,IF(AND($H1321&lt;&gt;"",$I1321="PVC",$N1321="MND",$Q1321="EMBOQUE"),0,IF(AND($H1321&lt;&gt;"",$I1321="PEAD",$N1321="VCA",$Q1321="PREDIAL"),0,0)))))),0)</f>
        <v>0.363</v>
      </c>
      <c r="AK1321" s="153" t="n">
        <f aca="false">IF(AA1321&lt;&gt;"",AA1321,0)</f>
        <v>4.8</v>
      </c>
      <c r="AL1321" s="153" t="n">
        <f aca="false">IF(AND($N1321="MND",$Q1321="EMBOQUE"),$M1321,IF(AND($N1321="VCA",$Q1321="LINEAR"),$M1321,IF(AND($N1321="VCA",$Q1321="PREDIAL"),0,0)))</f>
        <v>62.72</v>
      </c>
      <c r="AM1321" s="153" t="n">
        <f aca="false">IF(AND($N1321="MND",$Q1321="EMBOQUE"),$M1321,IF(AND($N1321="VCA",$Q1321="LINEAR"),$M1321,IF(AND($N1321="VCA",$Q1321="PREDIAL"),0,0)))</f>
        <v>62.72</v>
      </c>
      <c r="AN1321" s="153" t="n">
        <f aca="false">ROUND(IF(AND($N1321="VCA",$M1321&lt;&gt;"",$Q1321="LINEAR"),$M1321/100,IF(AND($N1321="MND",$M1321&gt;100,$Q1321="EMBOQUE"),$M1321/100,0)),0)</f>
        <v>1</v>
      </c>
      <c r="AO1321" s="153" t="n">
        <f aca="false">IF(AND($N1321="MND",$Q1321="EMBOQUE"),$AN1321*2*2,IF(AND($N1321="VCA",$Q1321="LINEAR"),$M1321*2,IF(AND($N1321="VCA",$Q1321="PREDIAL"),0,0)))</f>
        <v>125.44</v>
      </c>
      <c r="AP1321" s="153" t="n">
        <f aca="false">IFERROR($M1321*$AF1321*$AG1321,0)</f>
        <v>55.566784</v>
      </c>
      <c r="AQ1321" s="153" t="n">
        <f aca="false">IFERROR(IF(AND($N1321="VCA",$AH1321&gt;0),$M1321*$AG1321*$AH1321,0),0)</f>
        <v>4.0768</v>
      </c>
      <c r="AR1321" s="153" t="n">
        <f aca="false">IFERROR(IF(AND($N1321="VCA",$AJ1321&gt;0),($M1321*$AG1321*$AJ1321)-$AI1321,0),0)</f>
        <v>14.6032703741239</v>
      </c>
      <c r="AS1321" s="153" t="n">
        <f aca="false">IFERROR(IF(AND($N1321="VCA",$AP1321&gt;0),$AP1321-$AI1321-$AQ1321-$AR1321,0),0)</f>
        <v>36.6912</v>
      </c>
      <c r="AT1321" s="153" t="n">
        <f aca="false">IFERROR(IF($N1321="VCA",INDEX(APOIO_REDES!$A:$W,MATCH($C1321&amp;$I1321&amp;$H1321&amp;$N1321&amp;$O1321,APOIO_REDES!$W:$W,0),MATCH(AT$5,APOIO_REDES!$5:$5,0)),0)*$AP1321,0)</f>
        <v>0.604583056848532</v>
      </c>
      <c r="AU1321" s="153" t="n">
        <f aca="false">IFERROR(IF($N1321="VCA",INDEX(APOIO_REDES!$A:$W,MATCH($C1321&amp;$I1321&amp;$H1321&amp;$N1321&amp;$O1321,APOIO_REDES!$W:$W,0),MATCH(AU$5,APOIO_REDES!$5:$5,0)),0)*$AP1321,0)</f>
        <v>0.482803655013476</v>
      </c>
      <c r="AV1321" s="153" t="n">
        <f aca="false">IFERROR(IF($N1321="VCA",INDEX(APOIO_REDES!$A:$W,MATCH($C1321&amp;$I1321&amp;$H1321&amp;$N1321&amp;$O1321,APOIO_REDES!$W:$W,0),MATCH(AV$5,APOIO_REDES!$5:$5,0)),0)*$AP1321,0)</f>
        <v>0.0668162356965685</v>
      </c>
      <c r="AW1321" s="153" t="n">
        <f aca="false">IFERROR(IF($N1321="VCA",INDEX(APOIO_REDES!$A:$W,MATCH($C1321&amp;$I1321&amp;$H1321&amp;$N1321&amp;$O1321,APOIO_REDES!$W:$W,0),MATCH(AW$5,APOIO_REDES!$5:$5,0)),0)*$AP1321,0)</f>
        <v>38.1414710900524</v>
      </c>
      <c r="AX1321" s="153" t="n">
        <f aca="false">IFERROR(IF($N1321="VCA",INDEX(APOIO_REDES!$A:$W,MATCH($C1321&amp;$I1321&amp;$H1321&amp;$N1321&amp;$O1321,APOIO_REDES!$W:$W,0),MATCH(AX$5,APOIO_REDES!$5:$5,0)),0)*$AP1321,0)</f>
        <v>5.27867095082626</v>
      </c>
      <c r="AY1321" s="153" t="n">
        <f aca="false">IFERROR(IF($N1321="VCA",INDEX(APOIO_REDES!$A:$W,MATCH($C1321&amp;$I1321&amp;$H1321&amp;$N1321&amp;$O1321,APOIO_REDES!$W:$W,0),MATCH(AY$5,APOIO_REDES!$5:$5,0)),0)*$AP1321,0)</f>
        <v>9.6560672149321</v>
      </c>
      <c r="AZ1321" s="153" t="n">
        <f aca="false">IFERROR(IF($N1321="VCA",INDEX(APOIO_REDES!$A:$W,MATCH($C1321&amp;$I1321&amp;$H1321&amp;$N1321&amp;$O1321,APOIO_REDES!$W:$W,0),MATCH(AZ$5,APOIO_REDES!$5:$5,0)),0)*$AP1321,0)</f>
        <v>1.33637179663071</v>
      </c>
      <c r="BA1321" s="153" t="n">
        <f aca="false">IFERROR(IF(AND($N1321="VCA",$Q1321="LINEAR"),INDEX(APOIO_REDES!$A:$W,MATCH($C1321&amp;$I1321&amp;$H1321&amp;$N1321&amp;$O1321,APOIO_REDES!$W:$W,0),MATCH(BA$5,APOIO_REDES!$5:$5,0)),IF(AND($N1321="MND",$Q1321="EMBOQUE"),INDEX(APOIO_REDES!$A:$W,MATCH($C1321&amp;$I1321&amp;$H1321&amp;$N1321&amp;$O1321,APOIO_REDES!$W:$W,0),MATCH(BA$5,APOIO_REDES!$5:$5,0)),0))*$M1321/10,0)</f>
        <v>5.05507379380382</v>
      </c>
      <c r="BB1321" s="153" t="n">
        <f aca="false">IFERROR(IF($N1321="VCA",INDEX(APOIO_REDES!$A:$W,MATCH($C1321&amp;$I1321&amp;$H1321&amp;$N1321&amp;$O1321,APOIO_REDES!$W:$W,0),MATCH(BB$5,APOIO_REDES!$5:$5,0)),0)*($AI1321+$AQ1321+$AR1321),0)</f>
        <v>18.6702120591923</v>
      </c>
      <c r="BC1321" s="153" t="n">
        <f aca="false">IFERROR(IF($N1321="VCA",INDEX(APOIO_REDES!$A:$W,MATCH($C1321&amp;$I1321&amp;$H1321&amp;$N1321&amp;$O1321,APOIO_REDES!$W:$W,0),MATCH(BC$5,APOIO_REDES!$5:$5,0)),0)*($AI1321+$AQ1321+$AR1321),0)</f>
        <v>0.205371940807682</v>
      </c>
      <c r="BD1321" s="153" t="n">
        <f aca="false">IF(AND($N1321="VCA",$AF1321&gt;=1.25,$AF1321&lt;1.5),$M1321*$AF1321*2,0)</f>
        <v>170.97472</v>
      </c>
      <c r="BE1321" s="153" t="n">
        <f aca="false">IF(AND($N1321="VCA",$AF1321&gt;=1.5,$AF1321&lt;3),$M1321*$AF1321*2,0)</f>
        <v>0</v>
      </c>
      <c r="BF1321" s="153" t="n">
        <f aca="false">IF(AND($N1321="VCA",$AF1321&gt;=3),$M1321*$AF1321*2,0)</f>
        <v>0</v>
      </c>
      <c r="BG1321" s="153" t="n">
        <f aca="false">($BB1321+$BC1321)*$AK1321</f>
        <v>90.6028032</v>
      </c>
      <c r="BH1321" s="153" t="n">
        <f aca="false">IF(AND($M1321&lt;&gt;"",$N1321="VCA",$Q1321="LINEAR"),($M1321*2)/100,IF(AND($M1321&lt;&gt;"",$N1321="MND",$Q1321="EMBOQUE"),($AN1321*2)/100,0))</f>
        <v>1.2544</v>
      </c>
      <c r="BI1321" s="153" t="n">
        <f aca="false">IF(AND($M1321&lt;&gt;"",$N1321="VCA",$Q1321="LINEAR"),$M1321,IF(AND($M1321&lt;&gt;"",$N1321="MND",$Q1321="EMBOQUE"),$AN1321*2,0))</f>
        <v>62.72</v>
      </c>
      <c r="BJ1321" s="153" t="n">
        <f aca="false">IF(AND($M1321&lt;&gt;"",$N1321="VCA",$Q1321="LINEAR"),($M1321*6.8)/100,IF(AND($M1321&lt;&gt;"",$N1321="MND",$Q1321="EMBOQUE"),($AN1321*2*6.8)/100,0))</f>
        <v>4.26496</v>
      </c>
      <c r="BK1321" s="153" t="n">
        <f aca="false">IF(AND($M1321&lt;&gt;"",$N1321="VCA",$Q1321="LINEAR"),($M1321*2.5)/50,IF(AND($M1321&lt;&gt;"",$N1321="MND",$Q1321="EMBOQUE"),($AN1321*2*2.5)/50,0))</f>
        <v>3.136</v>
      </c>
      <c r="BL1321" s="157" t="str">
        <f aca="false">K1321&amp;J1321</f>
        <v>Zona11REDES</v>
      </c>
      <c r="BM1321" s="152" t="s">
        <v>6084</v>
      </c>
      <c r="BN1321" s="152" t="s">
        <v>1560</v>
      </c>
      <c r="BO1321" s="152" t="s">
        <v>6516</v>
      </c>
      <c r="BP1321" s="152" t="s">
        <v>6548</v>
      </c>
      <c r="BQ1321" s="152" t="s">
        <v>6549</v>
      </c>
      <c r="BR1321" s="152" t="s">
        <v>6550</v>
      </c>
      <c r="BS1321" s="152" t="n">
        <v>204453.639</v>
      </c>
      <c r="BT1321" s="152" t="n">
        <v>8236231.685</v>
      </c>
      <c r="BU1321" s="152" t="n">
        <v>204426.754</v>
      </c>
      <c r="BV1321" s="152" t="n">
        <v>8236181.375</v>
      </c>
      <c r="BW1321" s="152" t="n">
        <v>-15.935824</v>
      </c>
      <c r="BX1321" s="152" t="n">
        <v>-47.7606811</v>
      </c>
      <c r="BY1321" s="152" t="s">
        <v>6548</v>
      </c>
    </row>
    <row r="1322" customFormat="false" ht="13.8" hidden="false" customHeight="false" outlineLevel="0" collapsed="false">
      <c r="A1322" s="149" t="n">
        <f aca="false">IF(C1322&lt;&gt;"",ROW(A1317),"")</f>
        <v>1317</v>
      </c>
      <c r="B1322" s="150" t="str">
        <f aca="false">HYPERLINK("https://www.google.com/maps/dir/-15.917302,-47.760003/-15.9358035,-47.7628460/data=!4m3!4m2!3e0!5i2")</f>
        <v>https://www.google.com/maps/dir/-15.917302,-47.760003/-15.9358035,-47.7628460/data=!4m3!4m2!3e0!5i2</v>
      </c>
      <c r="C1322" s="151" t="s">
        <v>117</v>
      </c>
      <c r="D1322" s="152" t="s">
        <v>112</v>
      </c>
      <c r="E1322" s="152" t="s">
        <v>113</v>
      </c>
      <c r="F1322" s="152" t="s">
        <v>117</v>
      </c>
      <c r="G1322" s="152" t="s">
        <v>782</v>
      </c>
      <c r="H1322" s="152" t="n">
        <v>63</v>
      </c>
      <c r="I1322" s="152" t="s">
        <v>115</v>
      </c>
      <c r="J1322" s="152" t="s">
        <v>6</v>
      </c>
      <c r="K1322" s="152" t="s">
        <v>6081</v>
      </c>
      <c r="L1322" s="152" t="s">
        <v>120</v>
      </c>
      <c r="M1322" s="153" t="n">
        <f aca="false">0.66</f>
        <v>0.66</v>
      </c>
      <c r="N1322" s="152" t="s">
        <v>1548</v>
      </c>
      <c r="O1322" s="152" t="s">
        <v>1549</v>
      </c>
      <c r="P1322" s="152" t="s">
        <v>1550</v>
      </c>
      <c r="Q1322" s="152" t="s">
        <v>1551</v>
      </c>
      <c r="R1322" s="154" t="s">
        <v>6551</v>
      </c>
      <c r="S1322" s="154" t="s">
        <v>1553</v>
      </c>
      <c r="T1322" s="155" t="s">
        <v>6514</v>
      </c>
      <c r="U1322" s="152" t="str">
        <f aca="false">RIGHT(T1322,7)</f>
        <v>024/037</v>
      </c>
      <c r="V1322" s="152" t="s">
        <v>1555</v>
      </c>
      <c r="W1322" s="156" t="n">
        <v>45882</v>
      </c>
      <c r="X1322" s="152" t="s">
        <v>3938</v>
      </c>
      <c r="Y1322" s="152" t="s">
        <v>5541</v>
      </c>
      <c r="Z1322" s="152" t="s">
        <v>1557</v>
      </c>
      <c r="AA1322" s="153" t="n">
        <v>5</v>
      </c>
      <c r="AB1322" s="151" t="s">
        <v>6552</v>
      </c>
      <c r="AC1322" s="151" t="s">
        <v>186</v>
      </c>
      <c r="AD1322" s="151" t="str">
        <f aca="false">CONCATENATE($C1322,$I1322,$H1322,$N1322,$J1322,$K1322)</f>
        <v>TUBO PEADPEAD63VCAREDESZona11</v>
      </c>
      <c r="AE1322" s="153" t="n">
        <f aca="false">IFERROR(INDEX(APOIO_REDES!$A:$W,MATCH($C1322&amp;$I1322&amp;$H1322&amp;$N1322&amp;$O1322,APOIO_REDES!$W:$W,0),MATCH(AE$5,APOIO_REDES!$5:$5,0)),0)</f>
        <v>1.2</v>
      </c>
      <c r="AF1322" s="153" t="n">
        <f aca="false">IFERROR(INDEX(APOIO_REDES!$A:$W,MATCH($C1322&amp;$I1322&amp;$H1322&amp;$N1322&amp;$O1322,APOIO_REDES!$W:$W,0),MATCH(AF$5,APOIO_REDES!$5:$5,0)),0)</f>
        <v>1.363</v>
      </c>
      <c r="AG1322" s="153" t="n">
        <f aca="false">IFERROR(INDEX(APOIO_REDES!$A:$W,MATCH($C1322&amp;$I1322&amp;$H1322&amp;$N1322&amp;$O1322,APOIO_REDES!$W:$W,0),MATCH(AG$5,APOIO_REDES!$5:$5,0)),0)</f>
        <v>0.65</v>
      </c>
      <c r="AH1322" s="153" t="n">
        <f aca="false">IFERROR(INDEX(APOIO_REDES!$A:$W,MATCH($C1322&amp;$I1322&amp;$H1322&amp;$N1322&amp;$O1322,APOIO_REDES!$W:$W,0),MATCH(AH$5,APOIO_REDES!$5:$5,0)),0)</f>
        <v>0.1</v>
      </c>
      <c r="AI1322" s="153" t="n">
        <f aca="false">IFERROR(IF($H1322&lt;&gt;"",(((($H1322/1000)/2)^2)*PI()*$M1322),0),0)</f>
        <v>0.00205738190494615</v>
      </c>
      <c r="AJ1322" s="153" t="n">
        <f aca="false">IFERROR(IF(AND($H1322&lt;&gt;"",$I1322="FoFo",OR($N1322="MND",$N1322="VCA"),$Q1322="LINEAR"),0,IF(AND($H1322&lt;&gt;"",$I1322="PEAD",$N1322="VCA",$Q1322="LINEAR"),($H1322/1000)+0.3,IF(AND($H1322&lt;&gt;"",$I1322="PEAD",$N1322="MND",$Q1322="EMBOQUE"),0,IF(AND($H1322&lt;&gt;"",$I1322="PVC",$N1322="VCA",$Q1322="LINEAR"),($H1322/1000)+0.2,IF(AND($H1322&lt;&gt;"",$I1322="PVC",$N1322="MND",$Q1322="EMBOQUE"),0,IF(AND($H1322&lt;&gt;"",$I1322="PEAD",$N1322="VCA",$Q1322="PREDIAL"),0,0)))))),0)</f>
        <v>0.363</v>
      </c>
      <c r="AK1322" s="153" t="n">
        <f aca="false">IF(AA1322&lt;&gt;"",AA1322,0)</f>
        <v>5</v>
      </c>
      <c r="AL1322" s="153" t="n">
        <f aca="false">IF(AND($N1322="MND",$Q1322="EMBOQUE"),$M1322,IF(AND($N1322="VCA",$Q1322="LINEAR"),$M1322,IF(AND($N1322="VCA",$Q1322="PREDIAL"),0,0)))</f>
        <v>0.66</v>
      </c>
      <c r="AM1322" s="153" t="n">
        <f aca="false">IF(AND($N1322="MND",$Q1322="EMBOQUE"),$M1322,IF(AND($N1322="VCA",$Q1322="LINEAR"),$M1322,IF(AND($N1322="VCA",$Q1322="PREDIAL"),0,0)))</f>
        <v>0.66</v>
      </c>
      <c r="AN1322" s="153" t="n">
        <f aca="false">ROUND(IF(AND($N1322="VCA",$M1322&lt;&gt;"",$Q1322="LINEAR"),$M1322/100,IF(AND($N1322="MND",$M1322&gt;100,$Q1322="EMBOQUE"),$M1322/100,0)),0)</f>
        <v>0</v>
      </c>
      <c r="AO1322" s="153" t="n">
        <f aca="false">IF(AND($N1322="MND",$Q1322="EMBOQUE"),$AN1322*2*2,IF(AND($N1322="VCA",$Q1322="LINEAR"),$M1322*2,IF(AND($N1322="VCA",$Q1322="PREDIAL"),0,0)))</f>
        <v>1.32</v>
      </c>
      <c r="AP1322" s="153" t="n">
        <f aca="false">IFERROR($M1322*$AF1322*$AG1322,0)</f>
        <v>0.584727</v>
      </c>
      <c r="AQ1322" s="153" t="n">
        <f aca="false">IFERROR(IF(AND($N1322="VCA",$AH1322&gt;0),$M1322*$AG1322*$AH1322,0),0)</f>
        <v>0.0429</v>
      </c>
      <c r="AR1322" s="153" t="n">
        <f aca="false">IFERROR(IF(AND($N1322="VCA",$AJ1322&gt;0),($M1322*$AG1322*$AJ1322)-$AI1322,0),0)</f>
        <v>0.153669618095054</v>
      </c>
      <c r="AS1322" s="153" t="n">
        <f aca="false">IFERROR(IF(AND($N1322="VCA",$AP1322&gt;0),$AP1322-$AI1322-$AQ1322-$AR1322,0),0)</f>
        <v>0.3861</v>
      </c>
      <c r="AT1322" s="153" t="n">
        <f aca="false">IFERROR(IF($N1322="VCA",INDEX(APOIO_REDES!$A:$W,MATCH($C1322&amp;$I1322&amp;$H1322&amp;$N1322&amp;$O1322,APOIO_REDES!$W:$W,0),MATCH(AT$5,APOIO_REDES!$5:$5,0)),0)*$AP1322,0)</f>
        <v>0.00636200283035764</v>
      </c>
      <c r="AU1322" s="153" t="n">
        <f aca="false">IFERROR(IF($N1322="VCA",INDEX(APOIO_REDES!$A:$W,MATCH($C1322&amp;$I1322&amp;$H1322&amp;$N1322&amp;$O1322,APOIO_REDES!$W:$W,0),MATCH(AU$5,APOIO_REDES!$5:$5,0)),0)*$AP1322,0)</f>
        <v>0.00508052315543518</v>
      </c>
      <c r="AV1322" s="153" t="n">
        <f aca="false">IFERROR(IF($N1322="VCA",INDEX(APOIO_REDES!$A:$W,MATCH($C1322&amp;$I1322&amp;$H1322&amp;$N1322&amp;$O1322,APOIO_REDES!$W:$W,0),MATCH(AV$5,APOIO_REDES!$5:$5,0)),0)*$AP1322,0)</f>
        <v>0.000703104521041696</v>
      </c>
      <c r="AW1322" s="153" t="n">
        <f aca="false">IFERROR(IF($N1322="VCA",INDEX(APOIO_REDES!$A:$W,MATCH($C1322&amp;$I1322&amp;$H1322&amp;$N1322&amp;$O1322,APOIO_REDES!$W:$W,0),MATCH(AW$5,APOIO_REDES!$5:$5,0)),0)*$AP1322,0)</f>
        <v>0.401361143485883</v>
      </c>
      <c r="AX1322" s="153" t="n">
        <f aca="false">IFERROR(IF($N1322="VCA",INDEX(APOIO_REDES!$A:$W,MATCH($C1322&amp;$I1322&amp;$H1322&amp;$N1322&amp;$O1322,APOIO_REDES!$W:$W,0),MATCH(AX$5,APOIO_REDES!$5:$5,0)),0)*$AP1322,0)</f>
        <v>0.0555472389595875</v>
      </c>
      <c r="AY1322" s="153" t="n">
        <f aca="false">IFERROR(IF($N1322="VCA",INDEX(APOIO_REDES!$A:$W,MATCH($C1322&amp;$I1322&amp;$H1322&amp;$N1322&amp;$O1322,APOIO_REDES!$W:$W,0),MATCH(AY$5,APOIO_REDES!$5:$5,0)),0)*$AP1322,0)</f>
        <v>0.101610401177538</v>
      </c>
      <c r="AZ1322" s="153" t="n">
        <f aca="false">IFERROR(IF($N1322="VCA",INDEX(APOIO_REDES!$A:$W,MATCH($C1322&amp;$I1322&amp;$H1322&amp;$N1322&amp;$O1322,APOIO_REDES!$W:$W,0),MATCH(AZ$5,APOIO_REDES!$5:$5,0)),0)*$AP1322,0)</f>
        <v>0.0140625858701573</v>
      </c>
      <c r="BA1322" s="153" t="n">
        <f aca="false">IFERROR(IF(AND($N1322="VCA",$Q1322="LINEAR"),INDEX(APOIO_REDES!$A:$W,MATCH($C1322&amp;$I1322&amp;$H1322&amp;$N1322&amp;$O1322,APOIO_REDES!$W:$W,0),MATCH(BA$5,APOIO_REDES!$5:$5,0)),IF(AND($N1322="MND",$Q1322="EMBOQUE"),INDEX(APOIO_REDES!$A:$W,MATCH($C1322&amp;$I1322&amp;$H1322&amp;$N1322&amp;$O1322,APOIO_REDES!$W:$W,0),MATCH(BA$5,APOIO_REDES!$5:$5,0)),0))*$M1322/10,0)</f>
        <v>0.053194335202655</v>
      </c>
      <c r="BB1322" s="153" t="n">
        <f aca="false">IFERROR(IF($N1322="VCA",INDEX(APOIO_REDES!$A:$W,MATCH($C1322&amp;$I1322&amp;$H1322&amp;$N1322&amp;$O1322,APOIO_REDES!$W:$W,0),MATCH(BB$5,APOIO_REDES!$5:$5,0)),0)*($AI1322+$AQ1322+$AR1322),0)</f>
        <v>0.196465879449409</v>
      </c>
      <c r="BC1322" s="153" t="n">
        <f aca="false">IFERROR(IF($N1322="VCA",INDEX(APOIO_REDES!$A:$W,MATCH($C1322&amp;$I1322&amp;$H1322&amp;$N1322&amp;$O1322,APOIO_REDES!$W:$W,0),MATCH(BC$5,APOIO_REDES!$5:$5,0)),0)*($AI1322+$AQ1322+$AR1322),0)</f>
        <v>0.00216112055059104</v>
      </c>
      <c r="BD1322" s="153" t="n">
        <f aca="false">IF(AND($N1322="VCA",$AF1322&gt;=1.25,$AF1322&lt;1.5),$M1322*$AF1322*2,0)</f>
        <v>1.79916</v>
      </c>
      <c r="BE1322" s="153" t="n">
        <f aca="false">IF(AND($N1322="VCA",$AF1322&gt;=1.5,$AF1322&lt;3),$M1322*$AF1322*2,0)</f>
        <v>0</v>
      </c>
      <c r="BF1322" s="153" t="n">
        <f aca="false">IF(AND($N1322="VCA",$AF1322&gt;=3),$M1322*$AF1322*2,0)</f>
        <v>0</v>
      </c>
      <c r="BG1322" s="153" t="n">
        <f aca="false">($BB1322+$BC1322)*$AK1322</f>
        <v>0.993135</v>
      </c>
      <c r="BH1322" s="153" t="n">
        <f aca="false">IF(AND($M1322&lt;&gt;"",$N1322="VCA",$Q1322="LINEAR"),($M1322*2)/100,IF(AND($M1322&lt;&gt;"",$N1322="MND",$Q1322="EMBOQUE"),($AN1322*2)/100,0))</f>
        <v>0.0132</v>
      </c>
      <c r="BI1322" s="153" t="n">
        <f aca="false">IF(AND($M1322&lt;&gt;"",$N1322="VCA",$Q1322="LINEAR"),$M1322,IF(AND($M1322&lt;&gt;"",$N1322="MND",$Q1322="EMBOQUE"),$AN1322*2,0))</f>
        <v>0.66</v>
      </c>
      <c r="BJ1322" s="153" t="n">
        <f aca="false">IF(AND($M1322&lt;&gt;"",$N1322="VCA",$Q1322="LINEAR"),($M1322*6.8)/100,IF(AND($M1322&lt;&gt;"",$N1322="MND",$Q1322="EMBOQUE"),($AN1322*2*6.8)/100,0))</f>
        <v>0.04488</v>
      </c>
      <c r="BK1322" s="153" t="n">
        <f aca="false">IF(AND($M1322&lt;&gt;"",$N1322="VCA",$Q1322="LINEAR"),($M1322*2.5)/50,IF(AND($M1322&lt;&gt;"",$N1322="MND",$Q1322="EMBOQUE"),($AN1322*2*2.5)/50,0))</f>
        <v>0.033</v>
      </c>
      <c r="BL1322" s="157" t="str">
        <f aca="false">K1322&amp;J1322</f>
        <v>Zona11REDES</v>
      </c>
      <c r="BM1322" s="152" t="s">
        <v>6084</v>
      </c>
      <c r="BN1322" s="152" t="s">
        <v>1560</v>
      </c>
      <c r="BO1322" s="152" t="s">
        <v>6516</v>
      </c>
      <c r="BP1322" s="152" t="s">
        <v>6553</v>
      </c>
      <c r="BQ1322" s="152" t="s">
        <v>6208</v>
      </c>
      <c r="BR1322" s="152" t="s">
        <v>6554</v>
      </c>
      <c r="BS1322" s="152" t="n">
        <v>204206.548</v>
      </c>
      <c r="BT1322" s="152" t="n">
        <v>8236206.482</v>
      </c>
      <c r="BU1322" s="152" t="n">
        <v>204206.36</v>
      </c>
      <c r="BV1322" s="152" t="n">
        <v>8236207.11</v>
      </c>
      <c r="BW1322" s="152" t="n">
        <v>-15.9358007</v>
      </c>
      <c r="BX1322" s="152" t="n">
        <v>-47.7628468</v>
      </c>
      <c r="BY1322" s="152" t="s">
        <v>6553</v>
      </c>
    </row>
    <row r="1323" customFormat="false" ht="13.8" hidden="false" customHeight="false" outlineLevel="0" collapsed="false">
      <c r="A1323" s="149" t="n">
        <f aca="false">IF(C1323&lt;&gt;"",ROW(A1318),"")</f>
        <v>1318</v>
      </c>
      <c r="B1323" s="150" t="str">
        <f aca="false">HYPERLINK("https://www.google.com/maps/dir/-15.917302,-47.760003/-15.9357659,-47.7645253/data=!4m3!4m2!3e0!5i1")</f>
        <v>https://www.google.com/maps/dir/-15.917302,-47.760003/-15.9357659,-47.7645253/data=!4m3!4m2!3e0!5i1</v>
      </c>
      <c r="C1323" s="151" t="s">
        <v>117</v>
      </c>
      <c r="D1323" s="152" t="s">
        <v>112</v>
      </c>
      <c r="E1323" s="152" t="s">
        <v>113</v>
      </c>
      <c r="F1323" s="152" t="s">
        <v>117</v>
      </c>
      <c r="G1323" s="152" t="s">
        <v>782</v>
      </c>
      <c r="H1323" s="152" t="n">
        <v>63</v>
      </c>
      <c r="I1323" s="152" t="s">
        <v>115</v>
      </c>
      <c r="J1323" s="152" t="s">
        <v>6</v>
      </c>
      <c r="K1323" s="152" t="s">
        <v>6081</v>
      </c>
      <c r="L1323" s="152" t="s">
        <v>120</v>
      </c>
      <c r="M1323" s="153" t="n">
        <f aca="false">5.24</f>
        <v>5.24</v>
      </c>
      <c r="N1323" s="152" t="s">
        <v>1548</v>
      </c>
      <c r="O1323" s="152" t="s">
        <v>1549</v>
      </c>
      <c r="P1323" s="152" t="s">
        <v>1550</v>
      </c>
      <c r="Q1323" s="152" t="s">
        <v>1551</v>
      </c>
      <c r="R1323" s="154" t="s">
        <v>6555</v>
      </c>
      <c r="S1323" s="154" t="s">
        <v>1553</v>
      </c>
      <c r="T1323" s="155" t="s">
        <v>6514</v>
      </c>
      <c r="U1323" s="152" t="str">
        <f aca="false">RIGHT(T1323,7)</f>
        <v>024/037</v>
      </c>
      <c r="V1323" s="152" t="s">
        <v>1555</v>
      </c>
      <c r="W1323" s="156" t="n">
        <v>45882</v>
      </c>
      <c r="X1323" s="152" t="s">
        <v>3938</v>
      </c>
      <c r="Y1323" s="152" t="s">
        <v>1952</v>
      </c>
      <c r="Z1323" s="152" t="s">
        <v>1557</v>
      </c>
      <c r="AA1323" s="153" t="n">
        <v>3.9</v>
      </c>
      <c r="AB1323" s="151" t="s">
        <v>6556</v>
      </c>
      <c r="AC1323" s="151" t="s">
        <v>186</v>
      </c>
      <c r="AD1323" s="151" t="str">
        <f aca="false">CONCATENATE($C1323,$I1323,$H1323,$N1323,$J1323,$K1323)</f>
        <v>TUBO PEADPEAD63VCAREDESZona11</v>
      </c>
      <c r="AE1323" s="153" t="n">
        <f aca="false">IFERROR(INDEX(APOIO_REDES!$A:$W,MATCH($C1323&amp;$I1323&amp;$H1323&amp;$N1323&amp;$O1323,APOIO_REDES!$W:$W,0),MATCH(AE$5,APOIO_REDES!$5:$5,0)),0)</f>
        <v>1.2</v>
      </c>
      <c r="AF1323" s="153" t="n">
        <f aca="false">IFERROR(INDEX(APOIO_REDES!$A:$W,MATCH($C1323&amp;$I1323&amp;$H1323&amp;$N1323&amp;$O1323,APOIO_REDES!$W:$W,0),MATCH(AF$5,APOIO_REDES!$5:$5,0)),0)</f>
        <v>1.363</v>
      </c>
      <c r="AG1323" s="153" t="n">
        <f aca="false">IFERROR(INDEX(APOIO_REDES!$A:$W,MATCH($C1323&amp;$I1323&amp;$H1323&amp;$N1323&amp;$O1323,APOIO_REDES!$W:$W,0),MATCH(AG$5,APOIO_REDES!$5:$5,0)),0)</f>
        <v>0.65</v>
      </c>
      <c r="AH1323" s="153" t="n">
        <f aca="false">IFERROR(INDEX(APOIO_REDES!$A:$W,MATCH($C1323&amp;$I1323&amp;$H1323&amp;$N1323&amp;$O1323,APOIO_REDES!$W:$W,0),MATCH(AH$5,APOIO_REDES!$5:$5,0)),0)</f>
        <v>0.1</v>
      </c>
      <c r="AI1323" s="153" t="n">
        <f aca="false">IFERROR(IF($H1323&lt;&gt;"",(((($H1323/1000)/2)^2)*PI()*$M1323),0),0)</f>
        <v>0.0163343654271482</v>
      </c>
      <c r="AJ1323" s="153" t="n">
        <f aca="false">IFERROR(IF(AND($H1323&lt;&gt;"",$I1323="FoFo",OR($N1323="MND",$N1323="VCA"),$Q1323="LINEAR"),0,IF(AND($H1323&lt;&gt;"",$I1323="PEAD",$N1323="VCA",$Q1323="LINEAR"),($H1323/1000)+0.3,IF(AND($H1323&lt;&gt;"",$I1323="PEAD",$N1323="MND",$Q1323="EMBOQUE"),0,IF(AND($H1323&lt;&gt;"",$I1323="PVC",$N1323="VCA",$Q1323="LINEAR"),($H1323/1000)+0.2,IF(AND($H1323&lt;&gt;"",$I1323="PVC",$N1323="MND",$Q1323="EMBOQUE"),0,IF(AND($H1323&lt;&gt;"",$I1323="PEAD",$N1323="VCA",$Q1323="PREDIAL"),0,0)))))),0)</f>
        <v>0.363</v>
      </c>
      <c r="AK1323" s="153" t="n">
        <f aca="false">IF(AA1323&lt;&gt;"",AA1323,0)</f>
        <v>3.9</v>
      </c>
      <c r="AL1323" s="153" t="n">
        <f aca="false">IF(AND($N1323="MND",$Q1323="EMBOQUE"),$M1323,IF(AND($N1323="VCA",$Q1323="LINEAR"),$M1323,IF(AND($N1323="VCA",$Q1323="PREDIAL"),0,0)))</f>
        <v>5.24</v>
      </c>
      <c r="AM1323" s="153" t="n">
        <f aca="false">IF(AND($N1323="MND",$Q1323="EMBOQUE"),$M1323,IF(AND($N1323="VCA",$Q1323="LINEAR"),$M1323,IF(AND($N1323="VCA",$Q1323="PREDIAL"),0,0)))</f>
        <v>5.24</v>
      </c>
      <c r="AN1323" s="153" t="n">
        <f aca="false">ROUND(IF(AND($N1323="VCA",$M1323&lt;&gt;"",$Q1323="LINEAR"),$M1323/100,IF(AND($N1323="MND",$M1323&gt;100,$Q1323="EMBOQUE"),$M1323/100,0)),0)</f>
        <v>0</v>
      </c>
      <c r="AO1323" s="153" t="n">
        <f aca="false">IF(AND($N1323="MND",$Q1323="EMBOQUE"),$AN1323*2*2,IF(AND($N1323="VCA",$Q1323="LINEAR"),$M1323*2,IF(AND($N1323="VCA",$Q1323="PREDIAL"),0,0)))</f>
        <v>10.48</v>
      </c>
      <c r="AP1323" s="153" t="n">
        <f aca="false">IFERROR($M1323*$AF1323*$AG1323,0)</f>
        <v>4.642378</v>
      </c>
      <c r="AQ1323" s="153" t="n">
        <f aca="false">IFERROR(IF(AND($N1323="VCA",$AH1323&gt;0),$M1323*$AG1323*$AH1323,0),0)</f>
        <v>0.3406</v>
      </c>
      <c r="AR1323" s="153" t="n">
        <f aca="false">IFERROR(IF(AND($N1323="VCA",$AJ1323&gt;0),($M1323*$AG1323*$AJ1323)-$AI1323,0),0)</f>
        <v>1.22004363457285</v>
      </c>
      <c r="AS1323" s="153" t="n">
        <f aca="false">IFERROR(IF(AND($N1323="VCA",$AP1323&gt;0),$AP1323-$AI1323-$AQ1323-$AR1323,0),0)</f>
        <v>3.0654</v>
      </c>
      <c r="AT1323" s="153" t="n">
        <f aca="false">IFERROR(IF($N1323="VCA",INDEX(APOIO_REDES!$A:$W,MATCH($C1323&amp;$I1323&amp;$H1323&amp;$N1323&amp;$O1323,APOIO_REDES!$W:$W,0),MATCH(AT$5,APOIO_REDES!$5:$5,0)),0)*$AP1323,0)</f>
        <v>0.0505104467137486</v>
      </c>
      <c r="AU1323" s="153" t="n">
        <f aca="false">IFERROR(IF($N1323="VCA",INDEX(APOIO_REDES!$A:$W,MATCH($C1323&amp;$I1323&amp;$H1323&amp;$N1323&amp;$O1323,APOIO_REDES!$W:$W,0),MATCH(AU$5,APOIO_REDES!$5:$5,0)),0)*$AP1323,0)</f>
        <v>0.0403362747492126</v>
      </c>
      <c r="AV1323" s="153" t="n">
        <f aca="false">IFERROR(IF($N1323="VCA",INDEX(APOIO_REDES!$A:$W,MATCH($C1323&amp;$I1323&amp;$H1323&amp;$N1323&amp;$O1323,APOIO_REDES!$W:$W,0),MATCH(AV$5,APOIO_REDES!$5:$5,0)),0)*$AP1323,0)</f>
        <v>0.00558222377311892</v>
      </c>
      <c r="AW1323" s="153" t="n">
        <f aca="false">IFERROR(IF($N1323="VCA",INDEX(APOIO_REDES!$A:$W,MATCH($C1323&amp;$I1323&amp;$H1323&amp;$N1323&amp;$O1323,APOIO_REDES!$W:$W,0),MATCH(AW$5,APOIO_REDES!$5:$5,0)),0)*$AP1323,0)</f>
        <v>3.18656423010004</v>
      </c>
      <c r="AX1323" s="153" t="n">
        <f aca="false">IFERROR(IF($N1323="VCA",INDEX(APOIO_REDES!$A:$W,MATCH($C1323&amp;$I1323&amp;$H1323&amp;$N1323&amp;$O1323,APOIO_REDES!$W:$W,0),MATCH(AX$5,APOIO_REDES!$5:$5,0)),0)*$AP1323,0)</f>
        <v>0.441011412345816</v>
      </c>
      <c r="AY1323" s="153" t="n">
        <f aca="false">IFERROR(IF($N1323="VCA",INDEX(APOIO_REDES!$A:$W,MATCH($C1323&amp;$I1323&amp;$H1323&amp;$N1323&amp;$O1323,APOIO_REDES!$W:$W,0),MATCH(AY$5,APOIO_REDES!$5:$5,0)),0)*$AP1323,0)</f>
        <v>0.806725003288333</v>
      </c>
      <c r="AZ1323" s="153" t="n">
        <f aca="false">IFERROR(IF($N1323="VCA",INDEX(APOIO_REDES!$A:$W,MATCH($C1323&amp;$I1323&amp;$H1323&amp;$N1323&amp;$O1323,APOIO_REDES!$W:$W,0),MATCH(AZ$5,APOIO_REDES!$5:$5,0)),0)*$AP1323,0)</f>
        <v>0.111648409029734</v>
      </c>
      <c r="BA1323" s="153" t="n">
        <f aca="false">IFERROR(IF(AND($N1323="VCA",$Q1323="LINEAR"),INDEX(APOIO_REDES!$A:$W,MATCH($C1323&amp;$I1323&amp;$H1323&amp;$N1323&amp;$O1323,APOIO_REDES!$W:$W,0),MATCH(BA$5,APOIO_REDES!$5:$5,0)),IF(AND($N1323="MND",$Q1323="EMBOQUE"),INDEX(APOIO_REDES!$A:$W,MATCH($C1323&amp;$I1323&amp;$H1323&amp;$N1323&amp;$O1323,APOIO_REDES!$W:$W,0),MATCH(BA$5,APOIO_REDES!$5:$5,0)),0))*$M1323/10,0)</f>
        <v>0.422330782518049</v>
      </c>
      <c r="BB1323" s="153" t="n">
        <f aca="false">IFERROR(IF($N1323="VCA",INDEX(APOIO_REDES!$A:$W,MATCH($C1323&amp;$I1323&amp;$H1323&amp;$N1323&amp;$O1323,APOIO_REDES!$W:$W,0),MATCH(BB$5,APOIO_REDES!$5:$5,0)),0)*($AI1323+$AQ1323+$AR1323),0)</f>
        <v>1.55982001259834</v>
      </c>
      <c r="BC1323" s="153" t="n">
        <f aca="false">IFERROR(IF($N1323="VCA",INDEX(APOIO_REDES!$A:$W,MATCH($C1323&amp;$I1323&amp;$H1323&amp;$N1323&amp;$O1323,APOIO_REDES!$W:$W,0),MATCH(BC$5,APOIO_REDES!$5:$5,0)),0)*($AI1323+$AQ1323+$AR1323),0)</f>
        <v>0.0171579874016622</v>
      </c>
      <c r="BD1323" s="153" t="n">
        <f aca="false">IF(AND($N1323="VCA",$AF1323&gt;=1.25,$AF1323&lt;1.5),$M1323*$AF1323*2,0)</f>
        <v>14.28424</v>
      </c>
      <c r="BE1323" s="153" t="n">
        <f aca="false">IF(AND($N1323="VCA",$AF1323&gt;=1.5,$AF1323&lt;3),$M1323*$AF1323*2,0)</f>
        <v>0</v>
      </c>
      <c r="BF1323" s="153" t="n">
        <f aca="false">IF(AND($N1323="VCA",$AF1323&gt;=3),$M1323*$AF1323*2,0)</f>
        <v>0</v>
      </c>
      <c r="BG1323" s="153" t="n">
        <f aca="false">($BB1323+$BC1323)*$AK1323</f>
        <v>6.1502142</v>
      </c>
      <c r="BH1323" s="153" t="n">
        <f aca="false">IF(AND($M1323&lt;&gt;"",$N1323="VCA",$Q1323="LINEAR"),($M1323*2)/100,IF(AND($M1323&lt;&gt;"",$N1323="MND",$Q1323="EMBOQUE"),($AN1323*2)/100,0))</f>
        <v>0.1048</v>
      </c>
      <c r="BI1323" s="153" t="n">
        <f aca="false">IF(AND($M1323&lt;&gt;"",$N1323="VCA",$Q1323="LINEAR"),$M1323,IF(AND($M1323&lt;&gt;"",$N1323="MND",$Q1323="EMBOQUE"),$AN1323*2,0))</f>
        <v>5.24</v>
      </c>
      <c r="BJ1323" s="153" t="n">
        <f aca="false">IF(AND($M1323&lt;&gt;"",$N1323="VCA",$Q1323="LINEAR"),($M1323*6.8)/100,IF(AND($M1323&lt;&gt;"",$N1323="MND",$Q1323="EMBOQUE"),($AN1323*2*6.8)/100,0))</f>
        <v>0.35632</v>
      </c>
      <c r="BK1323" s="153" t="n">
        <f aca="false">IF(AND($M1323&lt;&gt;"",$N1323="VCA",$Q1323="LINEAR"),($M1323*2.5)/50,IF(AND($M1323&lt;&gt;"",$N1323="MND",$Q1323="EMBOQUE"),($AN1323*2*2.5)/50,0))</f>
        <v>0.262</v>
      </c>
      <c r="BL1323" s="157" t="str">
        <f aca="false">K1323&amp;J1323</f>
        <v>Zona11REDES</v>
      </c>
      <c r="BM1323" s="152" t="s">
        <v>6084</v>
      </c>
      <c r="BN1323" s="152" t="s">
        <v>1560</v>
      </c>
      <c r="BO1323" s="152" t="s">
        <v>6516</v>
      </c>
      <c r="BP1323" s="152" t="s">
        <v>6557</v>
      </c>
      <c r="BQ1323" s="152" t="s">
        <v>6558</v>
      </c>
      <c r="BR1323" s="152" t="s">
        <v>6559</v>
      </c>
      <c r="BS1323" s="152" t="n">
        <v>204026.584</v>
      </c>
      <c r="BT1323" s="152" t="n">
        <v>8236208.264</v>
      </c>
      <c r="BU1323" s="152" t="n">
        <v>204028.234</v>
      </c>
      <c r="BV1323" s="152" t="n">
        <v>8236203.289</v>
      </c>
      <c r="BW1323" s="152" t="n">
        <v>-15.9357885</v>
      </c>
      <c r="BX1323" s="152" t="n">
        <v>-47.7645179</v>
      </c>
      <c r="BY1323" s="152" t="s">
        <v>6557</v>
      </c>
    </row>
    <row r="1324" customFormat="false" ht="13.8" hidden="false" customHeight="false" outlineLevel="0" collapsed="false">
      <c r="A1324" s="149" t="n">
        <f aca="false">IF(C1324&lt;&gt;"",ROW(A1319),"")</f>
        <v>1319</v>
      </c>
      <c r="B1324" s="150" t="str">
        <f aca="false">HYPERLINK("https://www.google.com/maps/dir/-15.917302,-47.760003/-15.9358168,-47.7628918/data=!4m3!4m2!3e0!5i2")</f>
        <v>https://www.google.com/maps/dir/-15.917302,-47.760003/-15.9358168,-47.7628918/data=!4m3!4m2!3e0!5i2</v>
      </c>
      <c r="C1324" s="151" t="s">
        <v>117</v>
      </c>
      <c r="D1324" s="152" t="s">
        <v>112</v>
      </c>
      <c r="E1324" s="152" t="s">
        <v>113</v>
      </c>
      <c r="F1324" s="152" t="s">
        <v>117</v>
      </c>
      <c r="G1324" s="152" t="s">
        <v>782</v>
      </c>
      <c r="H1324" s="152" t="n">
        <v>63</v>
      </c>
      <c r="I1324" s="152" t="s">
        <v>115</v>
      </c>
      <c r="J1324" s="152" t="s">
        <v>6</v>
      </c>
      <c r="K1324" s="152" t="s">
        <v>6081</v>
      </c>
      <c r="L1324" s="152" t="s">
        <v>120</v>
      </c>
      <c r="M1324" s="153" t="n">
        <f aca="false">5.12</f>
        <v>5.12</v>
      </c>
      <c r="N1324" s="152" t="s">
        <v>1548</v>
      </c>
      <c r="O1324" s="152" t="s">
        <v>1549</v>
      </c>
      <c r="P1324" s="152" t="s">
        <v>1550</v>
      </c>
      <c r="Q1324" s="152" t="s">
        <v>1551</v>
      </c>
      <c r="R1324" s="154" t="s">
        <v>6560</v>
      </c>
      <c r="S1324" s="154" t="s">
        <v>1553</v>
      </c>
      <c r="T1324" s="155" t="s">
        <v>6514</v>
      </c>
      <c r="U1324" s="152" t="str">
        <f aca="false">RIGHT(T1324,7)</f>
        <v>024/037</v>
      </c>
      <c r="V1324" s="152" t="s">
        <v>1555</v>
      </c>
      <c r="W1324" s="156" t="n">
        <v>45882</v>
      </c>
      <c r="X1324" s="152" t="s">
        <v>3938</v>
      </c>
      <c r="Y1324" s="152" t="s">
        <v>2524</v>
      </c>
      <c r="Z1324" s="152" t="s">
        <v>1557</v>
      </c>
      <c r="AA1324" s="153" t="n">
        <v>5</v>
      </c>
      <c r="AB1324" s="151" t="s">
        <v>6561</v>
      </c>
      <c r="AC1324" s="151" t="s">
        <v>186</v>
      </c>
      <c r="AD1324" s="151" t="str">
        <f aca="false">CONCATENATE($C1324,$I1324,$H1324,$N1324,$J1324,$K1324)</f>
        <v>TUBO PEADPEAD63VCAREDESZona11</v>
      </c>
      <c r="AE1324" s="153" t="n">
        <f aca="false">IFERROR(INDEX(APOIO_REDES!$A:$W,MATCH($C1324&amp;$I1324&amp;$H1324&amp;$N1324&amp;$O1324,APOIO_REDES!$W:$W,0),MATCH(AE$5,APOIO_REDES!$5:$5,0)),0)</f>
        <v>1.2</v>
      </c>
      <c r="AF1324" s="153" t="n">
        <f aca="false">IFERROR(INDEX(APOIO_REDES!$A:$W,MATCH($C1324&amp;$I1324&amp;$H1324&amp;$N1324&amp;$O1324,APOIO_REDES!$W:$W,0),MATCH(AF$5,APOIO_REDES!$5:$5,0)),0)</f>
        <v>1.363</v>
      </c>
      <c r="AG1324" s="153" t="n">
        <f aca="false">IFERROR(INDEX(APOIO_REDES!$A:$W,MATCH($C1324&amp;$I1324&amp;$H1324&amp;$N1324&amp;$O1324,APOIO_REDES!$W:$W,0),MATCH(AG$5,APOIO_REDES!$5:$5,0)),0)</f>
        <v>0.65</v>
      </c>
      <c r="AH1324" s="153" t="n">
        <f aca="false">IFERROR(INDEX(APOIO_REDES!$A:$W,MATCH($C1324&amp;$I1324&amp;$H1324&amp;$N1324&amp;$O1324,APOIO_REDES!$W:$W,0),MATCH(AH$5,APOIO_REDES!$5:$5,0)),0)</f>
        <v>0.1</v>
      </c>
      <c r="AI1324" s="153" t="n">
        <f aca="false">IFERROR(IF($H1324&lt;&gt;"",(((($H1324/1000)/2)^2)*PI()*$M1324),0),0)</f>
        <v>0.0159602959898853</v>
      </c>
      <c r="AJ1324" s="153" t="n">
        <f aca="false">IFERROR(IF(AND($H1324&lt;&gt;"",$I1324="FoFo",OR($N1324="MND",$N1324="VCA"),$Q1324="LINEAR"),0,IF(AND($H1324&lt;&gt;"",$I1324="PEAD",$N1324="VCA",$Q1324="LINEAR"),($H1324/1000)+0.3,IF(AND($H1324&lt;&gt;"",$I1324="PEAD",$N1324="MND",$Q1324="EMBOQUE"),0,IF(AND($H1324&lt;&gt;"",$I1324="PVC",$N1324="VCA",$Q1324="LINEAR"),($H1324/1000)+0.2,IF(AND($H1324&lt;&gt;"",$I1324="PVC",$N1324="MND",$Q1324="EMBOQUE"),0,IF(AND($H1324&lt;&gt;"",$I1324="PEAD",$N1324="VCA",$Q1324="PREDIAL"),0,0)))))),0)</f>
        <v>0.363</v>
      </c>
      <c r="AK1324" s="153" t="n">
        <f aca="false">IF(AA1324&lt;&gt;"",AA1324,0)</f>
        <v>5</v>
      </c>
      <c r="AL1324" s="153" t="n">
        <f aca="false">IF(AND($N1324="MND",$Q1324="EMBOQUE"),$M1324,IF(AND($N1324="VCA",$Q1324="LINEAR"),$M1324,IF(AND($N1324="VCA",$Q1324="PREDIAL"),0,0)))</f>
        <v>5.12</v>
      </c>
      <c r="AM1324" s="153" t="n">
        <f aca="false">IF(AND($N1324="MND",$Q1324="EMBOQUE"),$M1324,IF(AND($N1324="VCA",$Q1324="LINEAR"),$M1324,IF(AND($N1324="VCA",$Q1324="PREDIAL"),0,0)))</f>
        <v>5.12</v>
      </c>
      <c r="AN1324" s="153" t="n">
        <f aca="false">ROUND(IF(AND($N1324="VCA",$M1324&lt;&gt;"",$Q1324="LINEAR"),$M1324/100,IF(AND($N1324="MND",$M1324&gt;100,$Q1324="EMBOQUE"),$M1324/100,0)),0)</f>
        <v>0</v>
      </c>
      <c r="AO1324" s="153" t="n">
        <f aca="false">IF(AND($N1324="MND",$Q1324="EMBOQUE"),$AN1324*2*2,IF(AND($N1324="VCA",$Q1324="LINEAR"),$M1324*2,IF(AND($N1324="VCA",$Q1324="PREDIAL"),0,0)))</f>
        <v>10.24</v>
      </c>
      <c r="AP1324" s="153" t="n">
        <f aca="false">IFERROR($M1324*$AF1324*$AG1324,0)</f>
        <v>4.536064</v>
      </c>
      <c r="AQ1324" s="153" t="n">
        <f aca="false">IFERROR(IF(AND($N1324="VCA",$AH1324&gt;0),$M1324*$AG1324*$AH1324,0),0)</f>
        <v>0.3328</v>
      </c>
      <c r="AR1324" s="153" t="n">
        <f aca="false">IFERROR(IF(AND($N1324="VCA",$AJ1324&gt;0),($M1324*$AG1324*$AJ1324)-$AI1324,0),0)</f>
        <v>1.19210370401011</v>
      </c>
      <c r="AS1324" s="153" t="n">
        <f aca="false">IFERROR(IF(AND($N1324="VCA",$AP1324&gt;0),$AP1324-$AI1324-$AQ1324-$AR1324,0),0)</f>
        <v>2.9952</v>
      </c>
      <c r="AT1324" s="153" t="n">
        <f aca="false">IFERROR(IF($N1324="VCA",INDEX(APOIO_REDES!$A:$W,MATCH($C1324&amp;$I1324&amp;$H1324&amp;$N1324&amp;$O1324,APOIO_REDES!$W:$W,0),MATCH(AT$5,APOIO_REDES!$5:$5,0)),0)*$AP1324,0)</f>
        <v>0.0493537189264108</v>
      </c>
      <c r="AU1324" s="153" t="n">
        <f aca="false">IFERROR(IF($N1324="VCA",INDEX(APOIO_REDES!$A:$W,MATCH($C1324&amp;$I1324&amp;$H1324&amp;$N1324&amp;$O1324,APOIO_REDES!$W:$W,0),MATCH(AU$5,APOIO_REDES!$5:$5,0)),0)*$AP1324,0)</f>
        <v>0.0394125432664062</v>
      </c>
      <c r="AV1324" s="153" t="n">
        <f aca="false">IFERROR(IF($N1324="VCA",INDEX(APOIO_REDES!$A:$W,MATCH($C1324&amp;$I1324&amp;$H1324&amp;$N1324&amp;$O1324,APOIO_REDES!$W:$W,0),MATCH(AV$5,APOIO_REDES!$5:$5,0)),0)*$AP1324,0)</f>
        <v>0.00545438658747498</v>
      </c>
      <c r="AW1324" s="153" t="n">
        <f aca="false">IFERROR(IF($N1324="VCA",INDEX(APOIO_REDES!$A:$W,MATCH($C1324&amp;$I1324&amp;$H1324&amp;$N1324&amp;$O1324,APOIO_REDES!$W:$W,0),MATCH(AW$5,APOIO_REDES!$5:$5,0)),0)*$AP1324,0)</f>
        <v>3.11358947673897</v>
      </c>
      <c r="AX1324" s="153" t="n">
        <f aca="false">IFERROR(IF($N1324="VCA",INDEX(APOIO_REDES!$A:$W,MATCH($C1324&amp;$I1324&amp;$H1324&amp;$N1324&amp;$O1324,APOIO_REDES!$W:$W,0),MATCH(AX$5,APOIO_REDES!$5:$5,0)),0)*$AP1324,0)</f>
        <v>0.430911914353164</v>
      </c>
      <c r="AY1324" s="153" t="n">
        <f aca="false">IFERROR(IF($N1324="VCA",INDEX(APOIO_REDES!$A:$W,MATCH($C1324&amp;$I1324&amp;$H1324&amp;$N1324&amp;$O1324,APOIO_REDES!$W:$W,0),MATCH(AY$5,APOIO_REDES!$5:$5,0)),0)*$AP1324,0)</f>
        <v>0.788250384892417</v>
      </c>
      <c r="AZ1324" s="153" t="n">
        <f aca="false">IFERROR(IF($N1324="VCA",INDEX(APOIO_REDES!$A:$W,MATCH($C1324&amp;$I1324&amp;$H1324&amp;$N1324&amp;$O1324,APOIO_REDES!$W:$W,0),MATCH(AZ$5,APOIO_REDES!$5:$5,0)),0)*$AP1324,0)</f>
        <v>0.10909157523516</v>
      </c>
      <c r="BA1324" s="153" t="n">
        <f aca="false">IFERROR(IF(AND($N1324="VCA",$Q1324="LINEAR"),INDEX(APOIO_REDES!$A:$W,MATCH($C1324&amp;$I1324&amp;$H1324&amp;$N1324&amp;$O1324,APOIO_REDES!$W:$W,0),MATCH(BA$5,APOIO_REDES!$5:$5,0)),IF(AND($N1324="MND",$Q1324="EMBOQUE"),INDEX(APOIO_REDES!$A:$W,MATCH($C1324&amp;$I1324&amp;$H1324&amp;$N1324&amp;$O1324,APOIO_REDES!$W:$W,0),MATCH(BA$5,APOIO_REDES!$5:$5,0)),0))*$M1324/10,0)</f>
        <v>0.412659085208475</v>
      </c>
      <c r="BB1324" s="153" t="n">
        <f aca="false">IFERROR(IF($N1324="VCA",INDEX(APOIO_REDES!$A:$W,MATCH($C1324&amp;$I1324&amp;$H1324&amp;$N1324&amp;$O1324,APOIO_REDES!$W:$W,0),MATCH(BB$5,APOIO_REDES!$5:$5,0)),0)*($AI1324+$AQ1324+$AR1324),0)</f>
        <v>1.52409894360754</v>
      </c>
      <c r="BC1324" s="153" t="n">
        <f aca="false">IFERROR(IF($N1324="VCA",INDEX(APOIO_REDES!$A:$W,MATCH($C1324&amp;$I1324&amp;$H1324&amp;$N1324&amp;$O1324,APOIO_REDES!$W:$W,0),MATCH(BC$5,APOIO_REDES!$5:$5,0)),0)*($AI1324+$AQ1324+$AR1324),0)</f>
        <v>0.0167650563924638</v>
      </c>
      <c r="BD1324" s="153" t="n">
        <f aca="false">IF(AND($N1324="VCA",$AF1324&gt;=1.25,$AF1324&lt;1.5),$M1324*$AF1324*2,0)</f>
        <v>13.95712</v>
      </c>
      <c r="BE1324" s="153" t="n">
        <f aca="false">IF(AND($N1324="VCA",$AF1324&gt;=1.5,$AF1324&lt;3),$M1324*$AF1324*2,0)</f>
        <v>0</v>
      </c>
      <c r="BF1324" s="153" t="n">
        <f aca="false">IF(AND($N1324="VCA",$AF1324&gt;=3),$M1324*$AF1324*2,0)</f>
        <v>0</v>
      </c>
      <c r="BG1324" s="153" t="n">
        <f aca="false">($BB1324+$BC1324)*$AK1324</f>
        <v>7.70432</v>
      </c>
      <c r="BH1324" s="153" t="n">
        <f aca="false">IF(AND($M1324&lt;&gt;"",$N1324="VCA",$Q1324="LINEAR"),($M1324*2)/100,IF(AND($M1324&lt;&gt;"",$N1324="MND",$Q1324="EMBOQUE"),($AN1324*2)/100,0))</f>
        <v>0.1024</v>
      </c>
      <c r="BI1324" s="153" t="n">
        <f aca="false">IF(AND($M1324&lt;&gt;"",$N1324="VCA",$Q1324="LINEAR"),$M1324,IF(AND($M1324&lt;&gt;"",$N1324="MND",$Q1324="EMBOQUE"),$AN1324*2,0))</f>
        <v>5.12</v>
      </c>
      <c r="BJ1324" s="153" t="n">
        <f aca="false">IF(AND($M1324&lt;&gt;"",$N1324="VCA",$Q1324="LINEAR"),($M1324*6.8)/100,IF(AND($M1324&lt;&gt;"",$N1324="MND",$Q1324="EMBOQUE"),($AN1324*2*6.8)/100,0))</f>
        <v>0.34816</v>
      </c>
      <c r="BK1324" s="153" t="n">
        <f aca="false">IF(AND($M1324&lt;&gt;"",$N1324="VCA",$Q1324="LINEAR"),($M1324*2.5)/50,IF(AND($M1324&lt;&gt;"",$N1324="MND",$Q1324="EMBOQUE"),($AN1324*2*2.5)/50,0))</f>
        <v>0.256</v>
      </c>
      <c r="BL1324" s="157" t="str">
        <f aca="false">K1324&amp;J1324</f>
        <v>Zona11REDES</v>
      </c>
      <c r="BM1324" s="152" t="s">
        <v>6084</v>
      </c>
      <c r="BN1324" s="152" t="s">
        <v>1560</v>
      </c>
      <c r="BO1324" s="152" t="s">
        <v>6516</v>
      </c>
      <c r="BP1324" s="152" t="s">
        <v>6562</v>
      </c>
      <c r="BQ1324" s="152" t="s">
        <v>6553</v>
      </c>
      <c r="BR1324" s="152" t="s">
        <v>6554</v>
      </c>
      <c r="BS1324" s="152" t="n">
        <v>204201.664</v>
      </c>
      <c r="BT1324" s="152" t="n">
        <v>8236204.948</v>
      </c>
      <c r="BU1324" s="152" t="n">
        <v>204206.548</v>
      </c>
      <c r="BV1324" s="152" t="n">
        <v>8236206.482</v>
      </c>
      <c r="BW1324" s="152" t="n">
        <v>-15.9358102</v>
      </c>
      <c r="BX1324" s="152" t="n">
        <v>-47.7628689</v>
      </c>
      <c r="BY1324" s="152" t="s">
        <v>6562</v>
      </c>
    </row>
    <row r="1325" customFormat="false" ht="13.8" hidden="false" customHeight="false" outlineLevel="0" collapsed="false">
      <c r="A1325" s="149" t="n">
        <f aca="false">IF(C1325&lt;&gt;"",ROW(A1320),"")</f>
        <v>1320</v>
      </c>
      <c r="B1325" s="150" t="str">
        <f aca="false">HYPERLINK("https://www.google.com/maps/dir/-15.917302,-47.760003/-15.9358120,-47.7647162/data=!4m3!4m2!3e0!5i1")</f>
        <v>https://www.google.com/maps/dir/-15.917302,-47.760003/-15.9358120,-47.7647162/data=!4m3!4m2!3e0!5i1</v>
      </c>
      <c r="C1325" s="151" t="s">
        <v>117</v>
      </c>
      <c r="D1325" s="152" t="s">
        <v>112</v>
      </c>
      <c r="E1325" s="152" t="s">
        <v>113</v>
      </c>
      <c r="F1325" s="152" t="s">
        <v>117</v>
      </c>
      <c r="G1325" s="152" t="s">
        <v>782</v>
      </c>
      <c r="H1325" s="152" t="n">
        <v>63</v>
      </c>
      <c r="I1325" s="152" t="s">
        <v>115</v>
      </c>
      <c r="J1325" s="152" t="s">
        <v>6</v>
      </c>
      <c r="K1325" s="152" t="s">
        <v>6081</v>
      </c>
      <c r="L1325" s="152" t="s">
        <v>120</v>
      </c>
      <c r="M1325" s="153" t="n">
        <f aca="false">21.08</f>
        <v>21.08</v>
      </c>
      <c r="N1325" s="152" t="s">
        <v>1548</v>
      </c>
      <c r="O1325" s="152" t="s">
        <v>1549</v>
      </c>
      <c r="P1325" s="152" t="s">
        <v>1550</v>
      </c>
      <c r="Q1325" s="152" t="s">
        <v>1551</v>
      </c>
      <c r="R1325" s="154" t="s">
        <v>6563</v>
      </c>
      <c r="S1325" s="154" t="s">
        <v>1553</v>
      </c>
      <c r="T1325" s="155" t="s">
        <v>6514</v>
      </c>
      <c r="U1325" s="152" t="str">
        <f aca="false">RIGHT(T1325,7)</f>
        <v>024/037</v>
      </c>
      <c r="V1325" s="152" t="s">
        <v>1555</v>
      </c>
      <c r="W1325" s="156" t="n">
        <v>45882</v>
      </c>
      <c r="X1325" s="152" t="s">
        <v>3938</v>
      </c>
      <c r="Y1325" s="152" t="s">
        <v>1952</v>
      </c>
      <c r="Z1325" s="152" t="s">
        <v>1557</v>
      </c>
      <c r="AA1325" s="153" t="n">
        <v>3.9</v>
      </c>
      <c r="AB1325" s="151" t="s">
        <v>6564</v>
      </c>
      <c r="AC1325" s="151" t="s">
        <v>186</v>
      </c>
      <c r="AD1325" s="151" t="str">
        <f aca="false">CONCATENATE($C1325,$I1325,$H1325,$N1325,$J1325,$K1325)</f>
        <v>TUBO PEADPEAD63VCAREDESZona11</v>
      </c>
      <c r="AE1325" s="153" t="n">
        <f aca="false">IFERROR(INDEX(APOIO_REDES!$A:$W,MATCH($C1325&amp;$I1325&amp;$H1325&amp;$N1325&amp;$O1325,APOIO_REDES!$W:$W,0),MATCH(AE$5,APOIO_REDES!$5:$5,0)),0)</f>
        <v>1.2</v>
      </c>
      <c r="AF1325" s="153" t="n">
        <f aca="false">IFERROR(INDEX(APOIO_REDES!$A:$W,MATCH($C1325&amp;$I1325&amp;$H1325&amp;$N1325&amp;$O1325,APOIO_REDES!$W:$W,0),MATCH(AF$5,APOIO_REDES!$5:$5,0)),0)</f>
        <v>1.363</v>
      </c>
      <c r="AG1325" s="153" t="n">
        <f aca="false">IFERROR(INDEX(APOIO_REDES!$A:$W,MATCH($C1325&amp;$I1325&amp;$H1325&amp;$N1325&amp;$O1325,APOIO_REDES!$W:$W,0),MATCH(AG$5,APOIO_REDES!$5:$5,0)),0)</f>
        <v>0.65</v>
      </c>
      <c r="AH1325" s="153" t="n">
        <f aca="false">IFERROR(INDEX(APOIO_REDES!$A:$W,MATCH($C1325&amp;$I1325&amp;$H1325&amp;$N1325&amp;$O1325,APOIO_REDES!$W:$W,0),MATCH(AH$5,APOIO_REDES!$5:$5,0)),0)</f>
        <v>0.1</v>
      </c>
      <c r="AI1325" s="153" t="n">
        <f aca="false">IFERROR(IF($H1325&lt;&gt;"",(((($H1325/1000)/2)^2)*PI()*$M1325),0),0)</f>
        <v>0.0657115311458559</v>
      </c>
      <c r="AJ1325" s="153" t="n">
        <f aca="false">IFERROR(IF(AND($H1325&lt;&gt;"",$I1325="FoFo",OR($N1325="MND",$N1325="VCA"),$Q1325="LINEAR"),0,IF(AND($H1325&lt;&gt;"",$I1325="PEAD",$N1325="VCA",$Q1325="LINEAR"),($H1325/1000)+0.3,IF(AND($H1325&lt;&gt;"",$I1325="PEAD",$N1325="MND",$Q1325="EMBOQUE"),0,IF(AND($H1325&lt;&gt;"",$I1325="PVC",$N1325="VCA",$Q1325="LINEAR"),($H1325/1000)+0.2,IF(AND($H1325&lt;&gt;"",$I1325="PVC",$N1325="MND",$Q1325="EMBOQUE"),0,IF(AND($H1325&lt;&gt;"",$I1325="PEAD",$N1325="VCA",$Q1325="PREDIAL"),0,0)))))),0)</f>
        <v>0.363</v>
      </c>
      <c r="AK1325" s="153" t="n">
        <f aca="false">IF(AA1325&lt;&gt;"",AA1325,0)</f>
        <v>3.9</v>
      </c>
      <c r="AL1325" s="153" t="n">
        <f aca="false">IF(AND($N1325="MND",$Q1325="EMBOQUE"),$M1325,IF(AND($N1325="VCA",$Q1325="LINEAR"),$M1325,IF(AND($N1325="VCA",$Q1325="PREDIAL"),0,0)))</f>
        <v>21.08</v>
      </c>
      <c r="AM1325" s="153" t="n">
        <f aca="false">IF(AND($N1325="MND",$Q1325="EMBOQUE"),$M1325,IF(AND($N1325="VCA",$Q1325="LINEAR"),$M1325,IF(AND($N1325="VCA",$Q1325="PREDIAL"),0,0)))</f>
        <v>21.08</v>
      </c>
      <c r="AN1325" s="153" t="n">
        <f aca="false">ROUND(IF(AND($N1325="VCA",$M1325&lt;&gt;"",$Q1325="LINEAR"),$M1325/100,IF(AND($N1325="MND",$M1325&gt;100,$Q1325="EMBOQUE"),$M1325/100,0)),0)</f>
        <v>0</v>
      </c>
      <c r="AO1325" s="153" t="n">
        <f aca="false">IF(AND($N1325="MND",$Q1325="EMBOQUE"),$AN1325*2*2,IF(AND($N1325="VCA",$Q1325="LINEAR"),$M1325*2,IF(AND($N1325="VCA",$Q1325="PREDIAL"),0,0)))</f>
        <v>42.16</v>
      </c>
      <c r="AP1325" s="153" t="n">
        <f aca="false">IFERROR($M1325*$AF1325*$AG1325,0)</f>
        <v>18.675826</v>
      </c>
      <c r="AQ1325" s="153" t="n">
        <f aca="false">IFERROR(IF(AND($N1325="VCA",$AH1325&gt;0),$M1325*$AG1325*$AH1325,0),0)</f>
        <v>1.3702</v>
      </c>
      <c r="AR1325" s="153" t="n">
        <f aca="false">IFERROR(IF(AND($N1325="VCA",$AJ1325&gt;0),($M1325*$AG1325*$AJ1325)-$AI1325,0),0)</f>
        <v>4.90811446885414</v>
      </c>
      <c r="AS1325" s="153" t="n">
        <f aca="false">IFERROR(IF(AND($N1325="VCA",$AP1325&gt;0),$AP1325-$AI1325-$AQ1325-$AR1325,0),0)</f>
        <v>12.3318</v>
      </c>
      <c r="AT1325" s="153" t="n">
        <f aca="false">IFERROR(IF($N1325="VCA",INDEX(APOIO_REDES!$A:$W,MATCH($C1325&amp;$I1325&amp;$H1325&amp;$N1325&amp;$O1325,APOIO_REDES!$W:$W,0),MATCH(AT$5,APOIO_REDES!$5:$5,0)),0)*$AP1325,0)</f>
        <v>0.203198514642332</v>
      </c>
      <c r="AU1325" s="153" t="n">
        <f aca="false">IFERROR(IF($N1325="VCA",INDEX(APOIO_REDES!$A:$W,MATCH($C1325&amp;$I1325&amp;$H1325&amp;$N1325&amp;$O1325,APOIO_REDES!$W:$W,0),MATCH(AU$5,APOIO_REDES!$5:$5,0)),0)*$AP1325,0)</f>
        <v>0.162268830479657</v>
      </c>
      <c r="AV1325" s="153" t="n">
        <f aca="false">IFERROR(IF($N1325="VCA",INDEX(APOIO_REDES!$A:$W,MATCH($C1325&amp;$I1325&amp;$H1325&amp;$N1325&amp;$O1325,APOIO_REDES!$W:$W,0),MATCH(AV$5,APOIO_REDES!$5:$5,0)),0)*$AP1325,0)</f>
        <v>0.0224567322781196</v>
      </c>
      <c r="AW1325" s="153" t="n">
        <f aca="false">IFERROR(IF($N1325="VCA",INDEX(APOIO_REDES!$A:$W,MATCH($C1325&amp;$I1325&amp;$H1325&amp;$N1325&amp;$O1325,APOIO_REDES!$W:$W,0),MATCH(AW$5,APOIO_REDES!$5:$5,0)),0)*$AP1325,0)</f>
        <v>12.8192316737612</v>
      </c>
      <c r="AX1325" s="153" t="n">
        <f aca="false">IFERROR(IF($N1325="VCA",INDEX(APOIO_REDES!$A:$W,MATCH($C1325&amp;$I1325&amp;$H1325&amp;$N1325&amp;$O1325,APOIO_REDES!$W:$W,0),MATCH(AX$5,APOIO_REDES!$5:$5,0)),0)*$AP1325,0)</f>
        <v>1.77414514737592</v>
      </c>
      <c r="AY1325" s="153" t="n">
        <f aca="false">IFERROR(IF($N1325="VCA",INDEX(APOIO_REDES!$A:$W,MATCH($C1325&amp;$I1325&amp;$H1325&amp;$N1325&amp;$O1325,APOIO_REDES!$W:$W,0),MATCH(AY$5,APOIO_REDES!$5:$5,0)),0)*$AP1325,0)</f>
        <v>3.24537463154925</v>
      </c>
      <c r="AZ1325" s="153" t="n">
        <f aca="false">IFERROR(IF($N1325="VCA",INDEX(APOIO_REDES!$A:$W,MATCH($C1325&amp;$I1325&amp;$H1325&amp;$N1325&amp;$O1325,APOIO_REDES!$W:$W,0),MATCH(AZ$5,APOIO_REDES!$5:$5,0)),0)*$AP1325,0)</f>
        <v>0.449150469913509</v>
      </c>
      <c r="BA1325" s="153" t="n">
        <f aca="false">IFERROR(IF(AND($N1325="VCA",$Q1325="LINEAR"),INDEX(APOIO_REDES!$A:$W,MATCH($C1325&amp;$I1325&amp;$H1325&amp;$N1325&amp;$O1325,APOIO_REDES!$W:$W,0),MATCH(BA$5,APOIO_REDES!$5:$5,0)),IF(AND($N1325="MND",$Q1325="EMBOQUE"),INDEX(APOIO_REDES!$A:$W,MATCH($C1325&amp;$I1325&amp;$H1325&amp;$N1325&amp;$O1325,APOIO_REDES!$W:$W,0),MATCH(BA$5,APOIO_REDES!$5:$5,0)),0))*$M1325/10,0)</f>
        <v>1.69899482738177</v>
      </c>
      <c r="BB1325" s="153" t="n">
        <f aca="false">IFERROR(IF($N1325="VCA",INDEX(APOIO_REDES!$A:$W,MATCH($C1325&amp;$I1325&amp;$H1325&amp;$N1325&amp;$O1325,APOIO_REDES!$W:$W,0),MATCH(BB$5,APOIO_REDES!$5:$5,0)),0)*($AI1325+$AQ1325+$AR1325),0)</f>
        <v>6.27500111938415</v>
      </c>
      <c r="BC1325" s="153" t="n">
        <f aca="false">IFERROR(IF($N1325="VCA",INDEX(APOIO_REDES!$A:$W,MATCH($C1325&amp;$I1325&amp;$H1325&amp;$N1325&amp;$O1325,APOIO_REDES!$W:$W,0),MATCH(BC$5,APOIO_REDES!$5:$5,0)),0)*($AI1325+$AQ1325+$AR1325),0)</f>
        <v>0.0690248806158472</v>
      </c>
      <c r="BD1325" s="153" t="n">
        <f aca="false">IF(AND($N1325="VCA",$AF1325&gt;=1.25,$AF1325&lt;1.5),$M1325*$AF1325*2,0)</f>
        <v>57.46408</v>
      </c>
      <c r="BE1325" s="153" t="n">
        <f aca="false">IF(AND($N1325="VCA",$AF1325&gt;=1.5,$AF1325&lt;3),$M1325*$AF1325*2,0)</f>
        <v>0</v>
      </c>
      <c r="BF1325" s="153" t="n">
        <f aca="false">IF(AND($N1325="VCA",$AF1325&gt;=3),$M1325*$AF1325*2,0)</f>
        <v>0</v>
      </c>
      <c r="BG1325" s="153" t="n">
        <f aca="false">($BB1325+$BC1325)*$AK1325</f>
        <v>24.7417014</v>
      </c>
      <c r="BH1325" s="153" t="n">
        <f aca="false">IF(AND($M1325&lt;&gt;"",$N1325="VCA",$Q1325="LINEAR"),($M1325*2)/100,IF(AND($M1325&lt;&gt;"",$N1325="MND",$Q1325="EMBOQUE"),($AN1325*2)/100,0))</f>
        <v>0.4216</v>
      </c>
      <c r="BI1325" s="153" t="n">
        <f aca="false">IF(AND($M1325&lt;&gt;"",$N1325="VCA",$Q1325="LINEAR"),$M1325,IF(AND($M1325&lt;&gt;"",$N1325="MND",$Q1325="EMBOQUE"),$AN1325*2,0))</f>
        <v>21.08</v>
      </c>
      <c r="BJ1325" s="153" t="n">
        <f aca="false">IF(AND($M1325&lt;&gt;"",$N1325="VCA",$Q1325="LINEAR"),($M1325*6.8)/100,IF(AND($M1325&lt;&gt;"",$N1325="MND",$Q1325="EMBOQUE"),($AN1325*2*6.8)/100,0))</f>
        <v>1.43344</v>
      </c>
      <c r="BK1325" s="153" t="n">
        <f aca="false">IF(AND($M1325&lt;&gt;"",$N1325="VCA",$Q1325="LINEAR"),($M1325*2.5)/50,IF(AND($M1325&lt;&gt;"",$N1325="MND",$Q1325="EMBOQUE"),($AN1325*2*2.5)/50,0))</f>
        <v>1.054</v>
      </c>
      <c r="BL1325" s="157" t="str">
        <f aca="false">K1325&amp;J1325</f>
        <v>Zona11REDES</v>
      </c>
      <c r="BM1325" s="152" t="s">
        <v>6084</v>
      </c>
      <c r="BN1325" s="152" t="s">
        <v>1560</v>
      </c>
      <c r="BO1325" s="152" t="s">
        <v>6516</v>
      </c>
      <c r="BP1325" s="152" t="s">
        <v>6231</v>
      </c>
      <c r="BQ1325" s="152" t="s">
        <v>6557</v>
      </c>
      <c r="BR1325" s="152" t="s">
        <v>6565</v>
      </c>
      <c r="BS1325" s="152" t="n">
        <v>204006.2</v>
      </c>
      <c r="BT1325" s="152" t="n">
        <v>8236202.885</v>
      </c>
      <c r="BU1325" s="152" t="n">
        <v>204026.584</v>
      </c>
      <c r="BV1325" s="152" t="n">
        <v>8236208.264</v>
      </c>
      <c r="BW1325" s="152" t="n">
        <v>-15.935789</v>
      </c>
      <c r="BX1325" s="152" t="n">
        <v>-47.7646208</v>
      </c>
      <c r="BY1325" s="152" t="s">
        <v>6231</v>
      </c>
    </row>
    <row r="1326" customFormat="false" ht="13.8" hidden="false" customHeight="false" outlineLevel="0" collapsed="false">
      <c r="A1326" s="149" t="n">
        <f aca="false">IF(C1326&lt;&gt;"",ROW(A1321),"")</f>
        <v>1321</v>
      </c>
      <c r="B1326" s="150" t="str">
        <f aca="false">HYPERLINK("https://www.google.com/maps/dir/-15.917302,-47.760003/-15.9358110,-47.7645105/data=!4m3!4m2!3e0!5i1")</f>
        <v>https://www.google.com/maps/dir/-15.917302,-47.760003/-15.9358110,-47.7645105/data=!4m3!4m2!3e0!5i1</v>
      </c>
      <c r="C1326" s="151" t="s">
        <v>117</v>
      </c>
      <c r="D1326" s="152" t="s">
        <v>112</v>
      </c>
      <c r="E1326" s="152" t="s">
        <v>113</v>
      </c>
      <c r="F1326" s="152" t="s">
        <v>117</v>
      </c>
      <c r="G1326" s="152" t="s">
        <v>782</v>
      </c>
      <c r="H1326" s="152" t="n">
        <v>63</v>
      </c>
      <c r="I1326" s="152" t="s">
        <v>115</v>
      </c>
      <c r="J1326" s="152" t="s">
        <v>6</v>
      </c>
      <c r="K1326" s="152" t="s">
        <v>6081</v>
      </c>
      <c r="L1326" s="152" t="s">
        <v>120</v>
      </c>
      <c r="M1326" s="153" t="n">
        <f aca="false">18.97</f>
        <v>18.97</v>
      </c>
      <c r="N1326" s="152" t="s">
        <v>1548</v>
      </c>
      <c r="O1326" s="152" t="s">
        <v>1549</v>
      </c>
      <c r="P1326" s="152" t="s">
        <v>1550</v>
      </c>
      <c r="Q1326" s="152" t="s">
        <v>1551</v>
      </c>
      <c r="R1326" s="154" t="s">
        <v>6566</v>
      </c>
      <c r="S1326" s="154" t="s">
        <v>1553</v>
      </c>
      <c r="T1326" s="155" t="s">
        <v>6514</v>
      </c>
      <c r="U1326" s="152" t="str">
        <f aca="false">RIGHT(T1326,7)</f>
        <v>024/037</v>
      </c>
      <c r="V1326" s="152" t="s">
        <v>1555</v>
      </c>
      <c r="W1326" s="156" t="n">
        <v>45882</v>
      </c>
      <c r="X1326" s="152" t="s">
        <v>3938</v>
      </c>
      <c r="Y1326" s="152" t="s">
        <v>1952</v>
      </c>
      <c r="Z1326" s="152" t="s">
        <v>1557</v>
      </c>
      <c r="AA1326" s="153" t="n">
        <v>3.9</v>
      </c>
      <c r="AB1326" s="151" t="s">
        <v>6567</v>
      </c>
      <c r="AC1326" s="151" t="s">
        <v>186</v>
      </c>
      <c r="AD1326" s="151" t="str">
        <f aca="false">CONCATENATE($C1326,$I1326,$H1326,$N1326,$J1326,$K1326)</f>
        <v>TUBO PEADPEAD63VCAREDESZona11</v>
      </c>
      <c r="AE1326" s="153" t="n">
        <f aca="false">IFERROR(INDEX(APOIO_REDES!$A:$W,MATCH($C1326&amp;$I1326&amp;$H1326&amp;$N1326&amp;$O1326,APOIO_REDES!$W:$W,0),MATCH(AE$5,APOIO_REDES!$5:$5,0)),0)</f>
        <v>1.2</v>
      </c>
      <c r="AF1326" s="153" t="n">
        <f aca="false">IFERROR(INDEX(APOIO_REDES!$A:$W,MATCH($C1326&amp;$I1326&amp;$H1326&amp;$N1326&amp;$O1326,APOIO_REDES!$W:$W,0),MATCH(AF$5,APOIO_REDES!$5:$5,0)),0)</f>
        <v>1.363</v>
      </c>
      <c r="AG1326" s="153" t="n">
        <f aca="false">IFERROR(INDEX(APOIO_REDES!$A:$W,MATCH($C1326&amp;$I1326&amp;$H1326&amp;$N1326&amp;$O1326,APOIO_REDES!$W:$W,0),MATCH(AG$5,APOIO_REDES!$5:$5,0)),0)</f>
        <v>0.65</v>
      </c>
      <c r="AH1326" s="153" t="n">
        <f aca="false">IFERROR(INDEX(APOIO_REDES!$A:$W,MATCH($C1326&amp;$I1326&amp;$H1326&amp;$N1326&amp;$O1326,APOIO_REDES!$W:$W,0),MATCH(AH$5,APOIO_REDES!$5:$5,0)),0)</f>
        <v>0.1</v>
      </c>
      <c r="AI1326" s="153" t="n">
        <f aca="false">IFERROR(IF($H1326&lt;&gt;"",(((($H1326/1000)/2)^2)*PI()*$M1326),0),0)</f>
        <v>0.0591341435406492</v>
      </c>
      <c r="AJ1326" s="153" t="n">
        <f aca="false">IFERROR(IF(AND($H1326&lt;&gt;"",$I1326="FoFo",OR($N1326="MND",$N1326="VCA"),$Q1326="LINEAR"),0,IF(AND($H1326&lt;&gt;"",$I1326="PEAD",$N1326="VCA",$Q1326="LINEAR"),($H1326/1000)+0.3,IF(AND($H1326&lt;&gt;"",$I1326="PEAD",$N1326="MND",$Q1326="EMBOQUE"),0,IF(AND($H1326&lt;&gt;"",$I1326="PVC",$N1326="VCA",$Q1326="LINEAR"),($H1326/1000)+0.2,IF(AND($H1326&lt;&gt;"",$I1326="PVC",$N1326="MND",$Q1326="EMBOQUE"),0,IF(AND($H1326&lt;&gt;"",$I1326="PEAD",$N1326="VCA",$Q1326="PREDIAL"),0,0)))))),0)</f>
        <v>0.363</v>
      </c>
      <c r="AK1326" s="153" t="n">
        <f aca="false">IF(AA1326&lt;&gt;"",AA1326,0)</f>
        <v>3.9</v>
      </c>
      <c r="AL1326" s="153" t="n">
        <f aca="false">IF(AND($N1326="MND",$Q1326="EMBOQUE"),$M1326,IF(AND($N1326="VCA",$Q1326="LINEAR"),$M1326,IF(AND($N1326="VCA",$Q1326="PREDIAL"),0,0)))</f>
        <v>18.97</v>
      </c>
      <c r="AM1326" s="153" t="n">
        <f aca="false">IF(AND($N1326="MND",$Q1326="EMBOQUE"),$M1326,IF(AND($N1326="VCA",$Q1326="LINEAR"),$M1326,IF(AND($N1326="VCA",$Q1326="PREDIAL"),0,0)))</f>
        <v>18.97</v>
      </c>
      <c r="AN1326" s="153" t="n">
        <f aca="false">ROUND(IF(AND($N1326="VCA",$M1326&lt;&gt;"",$Q1326="LINEAR"),$M1326/100,IF(AND($N1326="MND",$M1326&gt;100,$Q1326="EMBOQUE"),$M1326/100,0)),0)</f>
        <v>0</v>
      </c>
      <c r="AO1326" s="153" t="n">
        <f aca="false">IF(AND($N1326="MND",$Q1326="EMBOQUE"),$AN1326*2*2,IF(AND($N1326="VCA",$Q1326="LINEAR"),$M1326*2,IF(AND($N1326="VCA",$Q1326="PREDIAL"),0,0)))</f>
        <v>37.94</v>
      </c>
      <c r="AP1326" s="153" t="n">
        <f aca="false">IFERROR($M1326*$AF1326*$AG1326,0)</f>
        <v>16.8064715</v>
      </c>
      <c r="AQ1326" s="153" t="n">
        <f aca="false">IFERROR(IF(AND($N1326="VCA",$AH1326&gt;0),$M1326*$AG1326*$AH1326,0),0)</f>
        <v>1.23305</v>
      </c>
      <c r="AR1326" s="153" t="n">
        <f aca="false">IFERROR(IF(AND($N1326="VCA",$AJ1326&gt;0),($M1326*$AG1326*$AJ1326)-$AI1326,0),0)</f>
        <v>4.41683735645935</v>
      </c>
      <c r="AS1326" s="153" t="n">
        <f aca="false">IFERROR(IF(AND($N1326="VCA",$AP1326&gt;0),$AP1326-$AI1326-$AQ1326-$AR1326,0),0)</f>
        <v>11.09745</v>
      </c>
      <c r="AT1326" s="153" t="n">
        <f aca="false">IFERROR(IF($N1326="VCA",INDEX(APOIO_REDES!$A:$W,MATCH($C1326&amp;$I1326&amp;$H1326&amp;$N1326&amp;$O1326,APOIO_REDES!$W:$W,0),MATCH(AT$5,APOIO_REDES!$5:$5,0)),0)*$AP1326,0)</f>
        <v>0.182859384381643</v>
      </c>
      <c r="AU1326" s="153" t="n">
        <f aca="false">IFERROR(IF($N1326="VCA",INDEX(APOIO_REDES!$A:$W,MATCH($C1326&amp;$I1326&amp;$H1326&amp;$N1326&amp;$O1326,APOIO_REDES!$W:$W,0),MATCH(AU$5,APOIO_REDES!$5:$5,0)),0)*$AP1326,0)</f>
        <v>0.146026551906978</v>
      </c>
      <c r="AV1326" s="153" t="n">
        <f aca="false">IFERROR(IF($N1326="VCA",INDEX(APOIO_REDES!$A:$W,MATCH($C1326&amp;$I1326&amp;$H1326&amp;$N1326&amp;$O1326,APOIO_REDES!$W:$W,0),MATCH(AV$5,APOIO_REDES!$5:$5,0)),0)*$AP1326,0)</f>
        <v>0.0202089284305469</v>
      </c>
      <c r="AW1326" s="153" t="n">
        <f aca="false">IFERROR(IF($N1326="VCA",INDEX(APOIO_REDES!$A:$W,MATCH($C1326&amp;$I1326&amp;$H1326&amp;$N1326&amp;$O1326,APOIO_REDES!$W:$W,0),MATCH(AW$5,APOIO_REDES!$5:$5,0)),0)*$AP1326,0)</f>
        <v>11.5360922604957</v>
      </c>
      <c r="AX1326" s="153" t="n">
        <f aca="false">IFERROR(IF($N1326="VCA",INDEX(APOIO_REDES!$A:$W,MATCH($C1326&amp;$I1326&amp;$H1326&amp;$N1326&amp;$O1326,APOIO_REDES!$W:$W,0),MATCH(AX$5,APOIO_REDES!$5:$5,0)),0)*$AP1326,0)</f>
        <v>1.59656230767178</v>
      </c>
      <c r="AY1326" s="153" t="n">
        <f aca="false">IFERROR(IF($N1326="VCA",INDEX(APOIO_REDES!$A:$W,MATCH($C1326&amp;$I1326&amp;$H1326&amp;$N1326&amp;$O1326,APOIO_REDES!$W:$W,0),MATCH(AY$5,APOIO_REDES!$5:$5,0)),0)*$AP1326,0)</f>
        <v>2.92052925808772</v>
      </c>
      <c r="AZ1326" s="153" t="n">
        <f aca="false">IFERROR(IF($N1326="VCA",INDEX(APOIO_REDES!$A:$W,MATCH($C1326&amp;$I1326&amp;$H1326&amp;$N1326&amp;$O1326,APOIO_REDES!$W:$W,0),MATCH(AZ$5,APOIO_REDES!$5:$5,0)),0)*$AP1326,0)</f>
        <v>0.404192809025582</v>
      </c>
      <c r="BA1326" s="153" t="n">
        <f aca="false">IFERROR(IF(AND($N1326="VCA",$Q1326="LINEAR"),INDEX(APOIO_REDES!$A:$W,MATCH($C1326&amp;$I1326&amp;$H1326&amp;$N1326&amp;$O1326,APOIO_REDES!$W:$W,0),MATCH(BA$5,APOIO_REDES!$5:$5,0)),IF(AND($N1326="MND",$Q1326="EMBOQUE"),INDEX(APOIO_REDES!$A:$W,MATCH($C1326&amp;$I1326&amp;$H1326&amp;$N1326&amp;$O1326,APOIO_REDES!$W:$W,0),MATCH(BA$5,APOIO_REDES!$5:$5,0)),0))*$M1326/10,0)</f>
        <v>1.52893414968843</v>
      </c>
      <c r="BB1326" s="153" t="n">
        <f aca="false">IFERROR(IF($N1326="VCA",INDEX(APOIO_REDES!$A:$W,MATCH($C1326&amp;$I1326&amp;$H1326&amp;$N1326&amp;$O1326,APOIO_REDES!$W:$W,0),MATCH(BB$5,APOIO_REDES!$5:$5,0)),0)*($AI1326+$AQ1326+$AR1326),0)</f>
        <v>5.64690565629589</v>
      </c>
      <c r="BC1326" s="153" t="n">
        <f aca="false">IFERROR(IF($N1326="VCA",INDEX(APOIO_REDES!$A:$W,MATCH($C1326&amp;$I1326&amp;$H1326&amp;$N1326&amp;$O1326,APOIO_REDES!$W:$W,0),MATCH(BC$5,APOIO_REDES!$5:$5,0)),0)*($AI1326+$AQ1326+$AR1326),0)</f>
        <v>0.0621158437041092</v>
      </c>
      <c r="BD1326" s="153" t="n">
        <f aca="false">IF(AND($N1326="VCA",$AF1326&gt;=1.25,$AF1326&lt;1.5),$M1326*$AF1326*2,0)</f>
        <v>51.71222</v>
      </c>
      <c r="BE1326" s="153" t="n">
        <f aca="false">IF(AND($N1326="VCA",$AF1326&gt;=1.5,$AF1326&lt;3),$M1326*$AF1326*2,0)</f>
        <v>0</v>
      </c>
      <c r="BF1326" s="153" t="n">
        <f aca="false">IF(AND($N1326="VCA",$AF1326&gt;=3),$M1326*$AF1326*2,0)</f>
        <v>0</v>
      </c>
      <c r="BG1326" s="153" t="n">
        <f aca="false">($BB1326+$BC1326)*$AK1326</f>
        <v>22.26518385</v>
      </c>
      <c r="BH1326" s="153" t="n">
        <f aca="false">IF(AND($M1326&lt;&gt;"",$N1326="VCA",$Q1326="LINEAR"),($M1326*2)/100,IF(AND($M1326&lt;&gt;"",$N1326="MND",$Q1326="EMBOQUE"),($AN1326*2)/100,0))</f>
        <v>0.3794</v>
      </c>
      <c r="BI1326" s="153" t="n">
        <f aca="false">IF(AND($M1326&lt;&gt;"",$N1326="VCA",$Q1326="LINEAR"),$M1326,IF(AND($M1326&lt;&gt;"",$N1326="MND",$Q1326="EMBOQUE"),$AN1326*2,0))</f>
        <v>18.97</v>
      </c>
      <c r="BJ1326" s="153" t="n">
        <f aca="false">IF(AND($M1326&lt;&gt;"",$N1326="VCA",$Q1326="LINEAR"),($M1326*6.8)/100,IF(AND($M1326&lt;&gt;"",$N1326="MND",$Q1326="EMBOQUE"),($AN1326*2*6.8)/100,0))</f>
        <v>1.28996</v>
      </c>
      <c r="BK1326" s="153" t="n">
        <f aca="false">IF(AND($M1326&lt;&gt;"",$N1326="VCA",$Q1326="LINEAR"),($M1326*2.5)/50,IF(AND($M1326&lt;&gt;"",$N1326="MND",$Q1326="EMBOQUE"),($AN1326*2*2.5)/50,0))</f>
        <v>0.9485</v>
      </c>
      <c r="BL1326" s="157" t="str">
        <f aca="false">K1326&amp;J1326</f>
        <v>Zona11REDES</v>
      </c>
      <c r="BM1326" s="152" t="s">
        <v>6084</v>
      </c>
      <c r="BN1326" s="152" t="s">
        <v>1560</v>
      </c>
      <c r="BO1326" s="152" t="s">
        <v>6516</v>
      </c>
      <c r="BP1326" s="152" t="s">
        <v>6558</v>
      </c>
      <c r="BQ1326" s="152" t="s">
        <v>6223</v>
      </c>
      <c r="BR1326" s="152" t="s">
        <v>6559</v>
      </c>
      <c r="BS1326" s="152" t="n">
        <v>204028.234</v>
      </c>
      <c r="BT1326" s="152" t="n">
        <v>8236203.289</v>
      </c>
      <c r="BU1326" s="152" t="n">
        <v>204046.733</v>
      </c>
      <c r="BV1326" s="152" t="n">
        <v>8236207.479</v>
      </c>
      <c r="BW1326" s="152" t="n">
        <v>-15.9357932</v>
      </c>
      <c r="BX1326" s="152" t="n">
        <v>-47.7644239</v>
      </c>
      <c r="BY1326" s="152" t="s">
        <v>6558</v>
      </c>
    </row>
    <row r="1327" customFormat="false" ht="13.8" hidden="false" customHeight="false" outlineLevel="0" collapsed="false">
      <c r="A1327" s="149" t="n">
        <f aca="false">IF(C1327&lt;&gt;"",ROW(A1322),"")</f>
        <v>1322</v>
      </c>
      <c r="B1327" s="150" t="str">
        <f aca="false">HYPERLINK("https://www.google.com/maps/dir/-15.917302,-47.760003/-15.9358074,-47.7638201/data=!4m3!4m2!3e0!5i1")</f>
        <v>https://www.google.com/maps/dir/-15.917302,-47.760003/-15.9358074,-47.7638201/data=!4m3!4m2!3e0!5i1</v>
      </c>
      <c r="C1327" s="151" t="s">
        <v>117</v>
      </c>
      <c r="D1327" s="152" t="s">
        <v>112</v>
      </c>
      <c r="E1327" s="152" t="s">
        <v>113</v>
      </c>
      <c r="F1327" s="152" t="s">
        <v>117</v>
      </c>
      <c r="G1327" s="152" t="s">
        <v>782</v>
      </c>
      <c r="H1327" s="152" t="n">
        <v>63</v>
      </c>
      <c r="I1327" s="152" t="s">
        <v>115</v>
      </c>
      <c r="J1327" s="152" t="s">
        <v>6</v>
      </c>
      <c r="K1327" s="152" t="s">
        <v>6081</v>
      </c>
      <c r="L1327" s="152" t="s">
        <v>120</v>
      </c>
      <c r="M1327" s="153" t="n">
        <f aca="false">5.09</f>
        <v>5.09</v>
      </c>
      <c r="N1327" s="152" t="s">
        <v>1548</v>
      </c>
      <c r="O1327" s="152" t="s">
        <v>1549</v>
      </c>
      <c r="P1327" s="152" t="s">
        <v>1550</v>
      </c>
      <c r="Q1327" s="152" t="s">
        <v>1551</v>
      </c>
      <c r="R1327" s="154" t="s">
        <v>6568</v>
      </c>
      <c r="S1327" s="154" t="s">
        <v>1553</v>
      </c>
      <c r="T1327" s="155" t="s">
        <v>6514</v>
      </c>
      <c r="U1327" s="152" t="str">
        <f aca="false">RIGHT(T1327,7)</f>
        <v>024/037</v>
      </c>
      <c r="V1327" s="152" t="s">
        <v>1555</v>
      </c>
      <c r="W1327" s="156" t="n">
        <v>45882</v>
      </c>
      <c r="X1327" s="152" t="s">
        <v>3938</v>
      </c>
      <c r="Y1327" s="152" t="s">
        <v>2524</v>
      </c>
      <c r="Z1327" s="152" t="s">
        <v>1557</v>
      </c>
      <c r="AA1327" s="153" t="n">
        <v>3.8</v>
      </c>
      <c r="AB1327" s="151" t="s">
        <v>6569</v>
      </c>
      <c r="AC1327" s="151" t="s">
        <v>186</v>
      </c>
      <c r="AD1327" s="151" t="str">
        <f aca="false">CONCATENATE($C1327,$I1327,$H1327,$N1327,$J1327,$K1327)</f>
        <v>TUBO PEADPEAD63VCAREDESZona11</v>
      </c>
      <c r="AE1327" s="153" t="n">
        <f aca="false">IFERROR(INDEX(APOIO_REDES!$A:$W,MATCH($C1327&amp;$I1327&amp;$H1327&amp;$N1327&amp;$O1327,APOIO_REDES!$W:$W,0),MATCH(AE$5,APOIO_REDES!$5:$5,0)),0)</f>
        <v>1.2</v>
      </c>
      <c r="AF1327" s="153" t="n">
        <f aca="false">IFERROR(INDEX(APOIO_REDES!$A:$W,MATCH($C1327&amp;$I1327&amp;$H1327&amp;$N1327&amp;$O1327,APOIO_REDES!$W:$W,0),MATCH(AF$5,APOIO_REDES!$5:$5,0)),0)</f>
        <v>1.363</v>
      </c>
      <c r="AG1327" s="153" t="n">
        <f aca="false">IFERROR(INDEX(APOIO_REDES!$A:$W,MATCH($C1327&amp;$I1327&amp;$H1327&amp;$N1327&amp;$O1327,APOIO_REDES!$W:$W,0),MATCH(AG$5,APOIO_REDES!$5:$5,0)),0)</f>
        <v>0.65</v>
      </c>
      <c r="AH1327" s="153" t="n">
        <f aca="false">IFERROR(INDEX(APOIO_REDES!$A:$W,MATCH($C1327&amp;$I1327&amp;$H1327&amp;$N1327&amp;$O1327,APOIO_REDES!$W:$W,0),MATCH(AH$5,APOIO_REDES!$5:$5,0)),0)</f>
        <v>0.1</v>
      </c>
      <c r="AI1327" s="153" t="n">
        <f aca="false">IFERROR(IF($H1327&lt;&gt;"",(((($H1327/1000)/2)^2)*PI()*$M1327),0),0)</f>
        <v>0.0158667786305696</v>
      </c>
      <c r="AJ1327" s="153" t="n">
        <f aca="false">IFERROR(IF(AND($H1327&lt;&gt;"",$I1327="FoFo",OR($N1327="MND",$N1327="VCA"),$Q1327="LINEAR"),0,IF(AND($H1327&lt;&gt;"",$I1327="PEAD",$N1327="VCA",$Q1327="LINEAR"),($H1327/1000)+0.3,IF(AND($H1327&lt;&gt;"",$I1327="PEAD",$N1327="MND",$Q1327="EMBOQUE"),0,IF(AND($H1327&lt;&gt;"",$I1327="PVC",$N1327="VCA",$Q1327="LINEAR"),($H1327/1000)+0.2,IF(AND($H1327&lt;&gt;"",$I1327="PVC",$N1327="MND",$Q1327="EMBOQUE"),0,IF(AND($H1327&lt;&gt;"",$I1327="PEAD",$N1327="VCA",$Q1327="PREDIAL"),0,0)))))),0)</f>
        <v>0.363</v>
      </c>
      <c r="AK1327" s="153" t="n">
        <f aca="false">IF(AA1327&lt;&gt;"",AA1327,0)</f>
        <v>3.8</v>
      </c>
      <c r="AL1327" s="153" t="n">
        <f aca="false">IF(AND($N1327="MND",$Q1327="EMBOQUE"),$M1327,IF(AND($N1327="VCA",$Q1327="LINEAR"),$M1327,IF(AND($N1327="VCA",$Q1327="PREDIAL"),0,0)))</f>
        <v>5.09</v>
      </c>
      <c r="AM1327" s="153" t="n">
        <f aca="false">IF(AND($N1327="MND",$Q1327="EMBOQUE"),$M1327,IF(AND($N1327="VCA",$Q1327="LINEAR"),$M1327,IF(AND($N1327="VCA",$Q1327="PREDIAL"),0,0)))</f>
        <v>5.09</v>
      </c>
      <c r="AN1327" s="153" t="n">
        <f aca="false">ROUND(IF(AND($N1327="VCA",$M1327&lt;&gt;"",$Q1327="LINEAR"),$M1327/100,IF(AND($N1327="MND",$M1327&gt;100,$Q1327="EMBOQUE"),$M1327/100,0)),0)</f>
        <v>0</v>
      </c>
      <c r="AO1327" s="153" t="n">
        <f aca="false">IF(AND($N1327="MND",$Q1327="EMBOQUE"),$AN1327*2*2,IF(AND($N1327="VCA",$Q1327="LINEAR"),$M1327*2,IF(AND($N1327="VCA",$Q1327="PREDIAL"),0,0)))</f>
        <v>10.18</v>
      </c>
      <c r="AP1327" s="153" t="n">
        <f aca="false">IFERROR($M1327*$AF1327*$AG1327,0)</f>
        <v>4.5094855</v>
      </c>
      <c r="AQ1327" s="153" t="n">
        <f aca="false">IFERROR(IF(AND($N1327="VCA",$AH1327&gt;0),$M1327*$AG1327*$AH1327,0),0)</f>
        <v>0.33085</v>
      </c>
      <c r="AR1327" s="153" t="n">
        <f aca="false">IFERROR(IF(AND($N1327="VCA",$AJ1327&gt;0),($M1327*$AG1327*$AJ1327)-$AI1327,0),0)</f>
        <v>1.18511872136943</v>
      </c>
      <c r="AS1327" s="153" t="n">
        <f aca="false">IFERROR(IF(AND($N1327="VCA",$AP1327&gt;0),$AP1327-$AI1327-$AQ1327-$AR1327,0),0)</f>
        <v>2.97765</v>
      </c>
      <c r="AT1327" s="153" t="n">
        <f aca="false">IFERROR(IF($N1327="VCA",INDEX(APOIO_REDES!$A:$W,MATCH($C1327&amp;$I1327&amp;$H1327&amp;$N1327&amp;$O1327,APOIO_REDES!$W:$W,0),MATCH(AT$5,APOIO_REDES!$5:$5,0)),0)*$AP1327,0)</f>
        <v>0.0490645369795764</v>
      </c>
      <c r="AU1327" s="153" t="n">
        <f aca="false">IFERROR(IF($N1327="VCA",INDEX(APOIO_REDES!$A:$W,MATCH($C1327&amp;$I1327&amp;$H1327&amp;$N1327&amp;$O1327,APOIO_REDES!$W:$W,0),MATCH(AU$5,APOIO_REDES!$5:$5,0)),0)*$AP1327,0)</f>
        <v>0.0391816103957046</v>
      </c>
      <c r="AV1327" s="153" t="n">
        <f aca="false">IFERROR(IF($N1327="VCA",INDEX(APOIO_REDES!$A:$W,MATCH($C1327&amp;$I1327&amp;$H1327&amp;$N1327&amp;$O1327,APOIO_REDES!$W:$W,0),MATCH(AV$5,APOIO_REDES!$5:$5,0)),0)*$AP1327,0)</f>
        <v>0.00542242729106399</v>
      </c>
      <c r="AW1327" s="153" t="n">
        <f aca="false">IFERROR(IF($N1327="VCA",INDEX(APOIO_REDES!$A:$W,MATCH($C1327&amp;$I1327&amp;$H1327&amp;$N1327&amp;$O1327,APOIO_REDES!$W:$W,0),MATCH(AW$5,APOIO_REDES!$5:$5,0)),0)*$AP1327,0)</f>
        <v>3.0953457883987</v>
      </c>
      <c r="AX1327" s="153" t="n">
        <f aca="false">IFERROR(IF($N1327="VCA",INDEX(APOIO_REDES!$A:$W,MATCH($C1327&amp;$I1327&amp;$H1327&amp;$N1327&amp;$O1327,APOIO_REDES!$W:$W,0),MATCH(AX$5,APOIO_REDES!$5:$5,0)),0)*$AP1327,0)</f>
        <v>0.428387039855001</v>
      </c>
      <c r="AY1327" s="153" t="n">
        <f aca="false">IFERROR(IF($N1327="VCA",INDEX(APOIO_REDES!$A:$W,MATCH($C1327&amp;$I1327&amp;$H1327&amp;$N1327&amp;$O1327,APOIO_REDES!$W:$W,0),MATCH(AY$5,APOIO_REDES!$5:$5,0)),0)*$AP1327,0)</f>
        <v>0.783631730293438</v>
      </c>
      <c r="AZ1327" s="153" t="n">
        <f aca="false">IFERROR(IF($N1327="VCA",INDEX(APOIO_REDES!$A:$W,MATCH($C1327&amp;$I1327&amp;$H1327&amp;$N1327&amp;$O1327,APOIO_REDES!$W:$W,0),MATCH(AZ$5,APOIO_REDES!$5:$5,0)),0)*$AP1327,0)</f>
        <v>0.108452366786516</v>
      </c>
      <c r="BA1327" s="153" t="n">
        <f aca="false">IFERROR(IF(AND($N1327="VCA",$Q1327="LINEAR"),INDEX(APOIO_REDES!$A:$W,MATCH($C1327&amp;$I1327&amp;$H1327&amp;$N1327&amp;$O1327,APOIO_REDES!$W:$W,0),MATCH(BA$5,APOIO_REDES!$5:$5,0)),IF(AND($N1327="MND",$Q1327="EMBOQUE"),INDEX(APOIO_REDES!$A:$W,MATCH($C1327&amp;$I1327&amp;$H1327&amp;$N1327&amp;$O1327,APOIO_REDES!$W:$W,0),MATCH(BA$5,APOIO_REDES!$5:$5,0)),0))*$M1327/10,0)</f>
        <v>0.410241160881082</v>
      </c>
      <c r="BB1327" s="153" t="n">
        <f aca="false">IFERROR(IF($N1327="VCA",INDEX(APOIO_REDES!$A:$W,MATCH($C1327&amp;$I1327&amp;$H1327&amp;$N1327&amp;$O1327,APOIO_REDES!$W:$W,0),MATCH(BB$5,APOIO_REDES!$5:$5,0)),0)*($AI1327+$AQ1327+$AR1327),0)</f>
        <v>1.51516867635984</v>
      </c>
      <c r="BC1327" s="153" t="n">
        <f aca="false">IFERROR(IF($N1327="VCA",INDEX(APOIO_REDES!$A:$W,MATCH($C1327&amp;$I1327&amp;$H1327&amp;$N1327&amp;$O1327,APOIO_REDES!$W:$W,0),MATCH(BC$5,APOIO_REDES!$5:$5,0)),0)*($AI1327+$AQ1327+$AR1327),0)</f>
        <v>0.0166668236401642</v>
      </c>
      <c r="BD1327" s="153" t="n">
        <f aca="false">IF(AND($N1327="VCA",$AF1327&gt;=1.25,$AF1327&lt;1.5),$M1327*$AF1327*2,0)</f>
        <v>13.87534</v>
      </c>
      <c r="BE1327" s="153" t="n">
        <f aca="false">IF(AND($N1327="VCA",$AF1327&gt;=1.5,$AF1327&lt;3),$M1327*$AF1327*2,0)</f>
        <v>0</v>
      </c>
      <c r="BF1327" s="153" t="n">
        <f aca="false">IF(AND($N1327="VCA",$AF1327&gt;=3),$M1327*$AF1327*2,0)</f>
        <v>0</v>
      </c>
      <c r="BG1327" s="153" t="n">
        <f aca="false">($BB1327+$BC1327)*$AK1327</f>
        <v>5.8209749</v>
      </c>
      <c r="BH1327" s="153" t="n">
        <f aca="false">IF(AND($M1327&lt;&gt;"",$N1327="VCA",$Q1327="LINEAR"),($M1327*2)/100,IF(AND($M1327&lt;&gt;"",$N1327="MND",$Q1327="EMBOQUE"),($AN1327*2)/100,0))</f>
        <v>0.1018</v>
      </c>
      <c r="BI1327" s="153" t="n">
        <f aca="false">IF(AND($M1327&lt;&gt;"",$N1327="VCA",$Q1327="LINEAR"),$M1327,IF(AND($M1327&lt;&gt;"",$N1327="MND",$Q1327="EMBOQUE"),$AN1327*2,0))</f>
        <v>5.09</v>
      </c>
      <c r="BJ1327" s="153" t="n">
        <f aca="false">IF(AND($M1327&lt;&gt;"",$N1327="VCA",$Q1327="LINEAR"),($M1327*6.8)/100,IF(AND($M1327&lt;&gt;"",$N1327="MND",$Q1327="EMBOQUE"),($AN1327*2*6.8)/100,0))</f>
        <v>0.34612</v>
      </c>
      <c r="BK1327" s="153" t="n">
        <f aca="false">IF(AND($M1327&lt;&gt;"",$N1327="VCA",$Q1327="LINEAR"),($M1327*2.5)/50,IF(AND($M1327&lt;&gt;"",$N1327="MND",$Q1327="EMBOQUE"),($AN1327*2*2.5)/50,0))</f>
        <v>0.2545</v>
      </c>
      <c r="BL1327" s="157" t="str">
        <f aca="false">K1327&amp;J1327</f>
        <v>Zona11REDES</v>
      </c>
      <c r="BM1327" s="152" t="s">
        <v>6084</v>
      </c>
      <c r="BN1327" s="152" t="s">
        <v>1560</v>
      </c>
      <c r="BO1327" s="152" t="s">
        <v>6516</v>
      </c>
      <c r="BP1327" s="152" t="s">
        <v>6199</v>
      </c>
      <c r="BQ1327" s="152" t="s">
        <v>6570</v>
      </c>
      <c r="BR1327" s="152" t="s">
        <v>6571</v>
      </c>
      <c r="BS1327" s="152" t="n">
        <v>204102.195</v>
      </c>
      <c r="BT1327" s="152" t="n">
        <v>8236204.675</v>
      </c>
      <c r="BU1327" s="152" t="n">
        <v>204103.589</v>
      </c>
      <c r="BV1327" s="152" t="n">
        <v>8236199.777</v>
      </c>
      <c r="BW1327" s="152" t="n">
        <v>-15.9358296</v>
      </c>
      <c r="BX1327" s="152" t="n">
        <v>-47.7638139</v>
      </c>
      <c r="BY1327" s="152" t="s">
        <v>6199</v>
      </c>
    </row>
    <row r="1328" customFormat="false" ht="13.8" hidden="false" customHeight="false" outlineLevel="0" collapsed="false">
      <c r="A1328" s="149" t="n">
        <f aca="false">IF(C1328&lt;&gt;"",ROW(A1323),"")</f>
        <v>1323</v>
      </c>
      <c r="B1328" s="150" t="str">
        <f aca="false">HYPERLINK("https://www.google.com/maps/dir/-15.917302,-47.760003/-15.9358103,-47.7636237/data=!4m3!4m2!3e0!5i2")</f>
        <v>https://www.google.com/maps/dir/-15.917302,-47.760003/-15.9358103,-47.7636237/data=!4m3!4m2!3e0!5i2</v>
      </c>
      <c r="C1328" s="151" t="s">
        <v>117</v>
      </c>
      <c r="D1328" s="152" t="s">
        <v>112</v>
      </c>
      <c r="E1328" s="152" t="s">
        <v>113</v>
      </c>
      <c r="F1328" s="152" t="s">
        <v>117</v>
      </c>
      <c r="G1328" s="152" t="s">
        <v>782</v>
      </c>
      <c r="H1328" s="152" t="n">
        <v>63</v>
      </c>
      <c r="I1328" s="152" t="s">
        <v>115</v>
      </c>
      <c r="J1328" s="152" t="s">
        <v>6</v>
      </c>
      <c r="K1328" s="152" t="s">
        <v>6081</v>
      </c>
      <c r="L1328" s="152" t="s">
        <v>120</v>
      </c>
      <c r="M1328" s="153" t="n">
        <f aca="false">20.26+1.29</f>
        <v>21.55</v>
      </c>
      <c r="N1328" s="152" t="s">
        <v>1548</v>
      </c>
      <c r="O1328" s="152" t="s">
        <v>1549</v>
      </c>
      <c r="P1328" s="152" t="s">
        <v>1550</v>
      </c>
      <c r="Q1328" s="152" t="s">
        <v>1551</v>
      </c>
      <c r="R1328" s="154" t="s">
        <v>6572</v>
      </c>
      <c r="S1328" s="154" t="s">
        <v>1553</v>
      </c>
      <c r="T1328" s="155" t="s">
        <v>6514</v>
      </c>
      <c r="U1328" s="152" t="str">
        <f aca="false">RIGHT(T1328,7)</f>
        <v>024/037</v>
      </c>
      <c r="V1328" s="152" t="s">
        <v>1555</v>
      </c>
      <c r="W1328" s="156" t="n">
        <v>45882</v>
      </c>
      <c r="X1328" s="152" t="s">
        <v>3938</v>
      </c>
      <c r="Y1328" s="152" t="s">
        <v>2524</v>
      </c>
      <c r="Z1328" s="152" t="s">
        <v>1557</v>
      </c>
      <c r="AA1328" s="153" t="n">
        <v>5.1</v>
      </c>
      <c r="AB1328" s="151" t="s">
        <v>6573</v>
      </c>
      <c r="AC1328" s="151" t="s">
        <v>186</v>
      </c>
      <c r="AD1328" s="151" t="str">
        <f aca="false">CONCATENATE($C1328,$I1328,$H1328,$N1328,$J1328,$K1328)</f>
        <v>TUBO PEADPEAD63VCAREDESZona11</v>
      </c>
      <c r="AE1328" s="153" t="n">
        <f aca="false">IFERROR(INDEX(APOIO_REDES!$A:$W,MATCH($C1328&amp;$I1328&amp;$H1328&amp;$N1328&amp;$O1328,APOIO_REDES!$W:$W,0),MATCH(AE$5,APOIO_REDES!$5:$5,0)),0)</f>
        <v>1.2</v>
      </c>
      <c r="AF1328" s="153" t="n">
        <f aca="false">IFERROR(INDEX(APOIO_REDES!$A:$W,MATCH($C1328&amp;$I1328&amp;$H1328&amp;$N1328&amp;$O1328,APOIO_REDES!$W:$W,0),MATCH(AF$5,APOIO_REDES!$5:$5,0)),0)</f>
        <v>1.363</v>
      </c>
      <c r="AG1328" s="153" t="n">
        <f aca="false">IFERROR(INDEX(APOIO_REDES!$A:$W,MATCH($C1328&amp;$I1328&amp;$H1328&amp;$N1328&amp;$O1328,APOIO_REDES!$W:$W,0),MATCH(AG$5,APOIO_REDES!$5:$5,0)),0)</f>
        <v>0.65</v>
      </c>
      <c r="AH1328" s="153" t="n">
        <f aca="false">IFERROR(INDEX(APOIO_REDES!$A:$W,MATCH($C1328&amp;$I1328&amp;$H1328&amp;$N1328&amp;$O1328,APOIO_REDES!$W:$W,0),MATCH(AH$5,APOIO_REDES!$5:$5,0)),0)</f>
        <v>0.1</v>
      </c>
      <c r="AI1328" s="153" t="n">
        <f aca="false">IFERROR(IF($H1328&lt;&gt;"",(((($H1328/1000)/2)^2)*PI()*$M1328),0),0)</f>
        <v>0.0671766364418024</v>
      </c>
      <c r="AJ1328" s="153" t="n">
        <f aca="false">IFERROR(IF(AND($H1328&lt;&gt;"",$I1328="FoFo",OR($N1328="MND",$N1328="VCA"),$Q1328="LINEAR"),0,IF(AND($H1328&lt;&gt;"",$I1328="PEAD",$N1328="VCA",$Q1328="LINEAR"),($H1328/1000)+0.3,IF(AND($H1328&lt;&gt;"",$I1328="PEAD",$N1328="MND",$Q1328="EMBOQUE"),0,IF(AND($H1328&lt;&gt;"",$I1328="PVC",$N1328="VCA",$Q1328="LINEAR"),($H1328/1000)+0.2,IF(AND($H1328&lt;&gt;"",$I1328="PVC",$N1328="MND",$Q1328="EMBOQUE"),0,IF(AND($H1328&lt;&gt;"",$I1328="PEAD",$N1328="VCA",$Q1328="PREDIAL"),0,0)))))),0)</f>
        <v>0.363</v>
      </c>
      <c r="AK1328" s="153" t="n">
        <f aca="false">IF(AA1328&lt;&gt;"",AA1328,0)</f>
        <v>5.1</v>
      </c>
      <c r="AL1328" s="153" t="n">
        <f aca="false">IF(AND($N1328="MND",$Q1328="EMBOQUE"),$M1328,IF(AND($N1328="VCA",$Q1328="LINEAR"),$M1328,IF(AND($N1328="VCA",$Q1328="PREDIAL"),0,0)))</f>
        <v>21.55</v>
      </c>
      <c r="AM1328" s="153" t="n">
        <f aca="false">IF(AND($N1328="MND",$Q1328="EMBOQUE"),$M1328,IF(AND($N1328="VCA",$Q1328="LINEAR"),$M1328,IF(AND($N1328="VCA",$Q1328="PREDIAL"),0,0)))</f>
        <v>21.55</v>
      </c>
      <c r="AN1328" s="153" t="n">
        <f aca="false">ROUND(IF(AND($N1328="VCA",$M1328&lt;&gt;"",$Q1328="LINEAR"),$M1328/100,IF(AND($N1328="MND",$M1328&gt;100,$Q1328="EMBOQUE"),$M1328/100,0)),0)</f>
        <v>0</v>
      </c>
      <c r="AO1328" s="153" t="n">
        <f aca="false">IF(AND($N1328="MND",$Q1328="EMBOQUE"),$AN1328*2*2,IF(AND($N1328="VCA",$Q1328="LINEAR"),$M1328*2,IF(AND($N1328="VCA",$Q1328="PREDIAL"),0,0)))</f>
        <v>43.1</v>
      </c>
      <c r="AP1328" s="153" t="n">
        <f aca="false">IFERROR($M1328*$AF1328*$AG1328,0)</f>
        <v>19.0922225</v>
      </c>
      <c r="AQ1328" s="153" t="n">
        <f aca="false">IFERROR(IF(AND($N1328="VCA",$AH1328&gt;0),$M1328*$AG1328*$AH1328,0),0)</f>
        <v>1.40075</v>
      </c>
      <c r="AR1328" s="153" t="n">
        <f aca="false">IFERROR(IF(AND($N1328="VCA",$AJ1328&gt;0),($M1328*$AG1328*$AJ1328)-$AI1328,0),0)</f>
        <v>5.0175458635582</v>
      </c>
      <c r="AS1328" s="153" t="n">
        <f aca="false">IFERROR(IF(AND($N1328="VCA",$AP1328&gt;0),$AP1328-$AI1328-$AQ1328-$AR1328,0),0)</f>
        <v>12.60675</v>
      </c>
      <c r="AT1328" s="153" t="n">
        <f aca="false">IFERROR(IF($N1328="VCA",INDEX(APOIO_REDES!$A:$W,MATCH($C1328&amp;$I1328&amp;$H1328&amp;$N1328&amp;$O1328,APOIO_REDES!$W:$W,0),MATCH(AT$5,APOIO_REDES!$5:$5,0)),0)*$AP1328,0)</f>
        <v>0.207729031809405</v>
      </c>
      <c r="AU1328" s="153" t="n">
        <f aca="false">IFERROR(IF($N1328="VCA",INDEX(APOIO_REDES!$A:$W,MATCH($C1328&amp;$I1328&amp;$H1328&amp;$N1328&amp;$O1328,APOIO_REDES!$W:$W,0),MATCH(AU$5,APOIO_REDES!$5:$5,0)),0)*$AP1328,0)</f>
        <v>0.165886778787315</v>
      </c>
      <c r="AV1328" s="153" t="n">
        <f aca="false">IFERROR(IF($N1328="VCA",INDEX(APOIO_REDES!$A:$W,MATCH($C1328&amp;$I1328&amp;$H1328&amp;$N1328&amp;$O1328,APOIO_REDES!$W:$W,0),MATCH(AV$5,APOIO_REDES!$5:$5,0)),0)*$AP1328,0)</f>
        <v>0.0229574279218918</v>
      </c>
      <c r="AW1328" s="153" t="n">
        <f aca="false">IFERROR(IF($N1328="VCA",INDEX(APOIO_REDES!$A:$W,MATCH($C1328&amp;$I1328&amp;$H1328&amp;$N1328&amp;$O1328,APOIO_REDES!$W:$W,0),MATCH(AW$5,APOIO_REDES!$5:$5,0)),0)*$AP1328,0)</f>
        <v>13.1050494577587</v>
      </c>
      <c r="AX1328" s="153" t="n">
        <f aca="false">IFERROR(IF($N1328="VCA",INDEX(APOIO_REDES!$A:$W,MATCH($C1328&amp;$I1328&amp;$H1328&amp;$N1328&amp;$O1328,APOIO_REDES!$W:$W,0),MATCH(AX$5,APOIO_REDES!$5:$5,0)),0)*$AP1328,0)</f>
        <v>1.8137015145138</v>
      </c>
      <c r="AY1328" s="153" t="n">
        <f aca="false">IFERROR(IF($N1328="VCA",INDEX(APOIO_REDES!$A:$W,MATCH($C1328&amp;$I1328&amp;$H1328&amp;$N1328&amp;$O1328,APOIO_REDES!$W:$W,0),MATCH(AY$5,APOIO_REDES!$5:$5,0)),0)*$AP1328,0)</f>
        <v>3.31773355359992</v>
      </c>
      <c r="AZ1328" s="153" t="n">
        <f aca="false">IFERROR(IF($N1328="VCA",INDEX(APOIO_REDES!$A:$W,MATCH($C1328&amp;$I1328&amp;$H1328&amp;$N1328&amp;$O1328,APOIO_REDES!$W:$W,0),MATCH(AZ$5,APOIO_REDES!$5:$5,0)),0)*$AP1328,0)</f>
        <v>0.459164735608924</v>
      </c>
      <c r="BA1328" s="153" t="n">
        <f aca="false">IFERROR(IF(AND($N1328="VCA",$Q1328="LINEAR"),INDEX(APOIO_REDES!$A:$W,MATCH($C1328&amp;$I1328&amp;$H1328&amp;$N1328&amp;$O1328,APOIO_REDES!$W:$W,0),MATCH(BA$5,APOIO_REDES!$5:$5,0)),IF(AND($N1328="MND",$Q1328="EMBOQUE"),INDEX(APOIO_REDES!$A:$W,MATCH($C1328&amp;$I1328&amp;$H1328&amp;$N1328&amp;$O1328,APOIO_REDES!$W:$W,0),MATCH(BA$5,APOIO_REDES!$5:$5,0)),0))*$M1328/10,0)</f>
        <v>1.73687564184427</v>
      </c>
      <c r="BB1328" s="153" t="n">
        <f aca="false">IFERROR(IF($N1328="VCA",INDEX(APOIO_REDES!$A:$W,MATCH($C1328&amp;$I1328&amp;$H1328&amp;$N1328&amp;$O1328,APOIO_REDES!$W:$W,0),MATCH(BB$5,APOIO_REDES!$5:$5,0)),0)*($AI1328+$AQ1328+$AR1328),0)</f>
        <v>6.41490863959813</v>
      </c>
      <c r="BC1328" s="153" t="n">
        <f aca="false">IFERROR(IF($N1328="VCA",INDEX(APOIO_REDES!$A:$W,MATCH($C1328&amp;$I1328&amp;$H1328&amp;$N1328&amp;$O1328,APOIO_REDES!$W:$W,0),MATCH(BC$5,APOIO_REDES!$5:$5,0)),0)*($AI1328+$AQ1328+$AR1328),0)</f>
        <v>0.0705638604018741</v>
      </c>
      <c r="BD1328" s="153" t="n">
        <f aca="false">IF(AND($N1328="VCA",$AF1328&gt;=1.25,$AF1328&lt;1.5),$M1328*$AF1328*2,0)</f>
        <v>58.7453</v>
      </c>
      <c r="BE1328" s="153" t="n">
        <f aca="false">IF(AND($N1328="VCA",$AF1328&gt;=1.5,$AF1328&lt;3),$M1328*$AF1328*2,0)</f>
        <v>0</v>
      </c>
      <c r="BF1328" s="153" t="n">
        <f aca="false">IF(AND($N1328="VCA",$AF1328&gt;=3),$M1328*$AF1328*2,0)</f>
        <v>0</v>
      </c>
      <c r="BG1328" s="153" t="n">
        <f aca="false">($BB1328+$BC1328)*$AK1328</f>
        <v>33.07590975</v>
      </c>
      <c r="BH1328" s="153" t="n">
        <f aca="false">IF(AND($M1328&lt;&gt;"",$N1328="VCA",$Q1328="LINEAR"),($M1328*2)/100,IF(AND($M1328&lt;&gt;"",$N1328="MND",$Q1328="EMBOQUE"),($AN1328*2)/100,0))</f>
        <v>0.431</v>
      </c>
      <c r="BI1328" s="153" t="n">
        <f aca="false">IF(AND($M1328&lt;&gt;"",$N1328="VCA",$Q1328="LINEAR"),$M1328,IF(AND($M1328&lt;&gt;"",$N1328="MND",$Q1328="EMBOQUE"),$AN1328*2,0))</f>
        <v>21.55</v>
      </c>
      <c r="BJ1328" s="153" t="n">
        <f aca="false">IF(AND($M1328&lt;&gt;"",$N1328="VCA",$Q1328="LINEAR"),($M1328*6.8)/100,IF(AND($M1328&lt;&gt;"",$N1328="MND",$Q1328="EMBOQUE"),($AN1328*2*6.8)/100,0))</f>
        <v>1.4654</v>
      </c>
      <c r="BK1328" s="153" t="n">
        <f aca="false">IF(AND($M1328&lt;&gt;"",$N1328="VCA",$Q1328="LINEAR"),($M1328*2.5)/50,IF(AND($M1328&lt;&gt;"",$N1328="MND",$Q1328="EMBOQUE"),($AN1328*2*2.5)/50,0))</f>
        <v>1.0775</v>
      </c>
      <c r="BL1328" s="157" t="str">
        <f aca="false">K1328&amp;J1328</f>
        <v>Zona11REDES</v>
      </c>
      <c r="BM1328" s="152" t="s">
        <v>6084</v>
      </c>
      <c r="BN1328" s="152" t="s">
        <v>1560</v>
      </c>
      <c r="BO1328" s="152" t="s">
        <v>6516</v>
      </c>
      <c r="BP1328" s="152" t="s">
        <v>6574</v>
      </c>
      <c r="BQ1328" s="152" t="s">
        <v>6570</v>
      </c>
      <c r="BR1328" s="152" t="s">
        <v>6575</v>
      </c>
      <c r="BS1328" s="152" t="n">
        <v>204123.239</v>
      </c>
      <c r="BT1328" s="152" t="n">
        <v>8236204.624</v>
      </c>
      <c r="BU1328" s="152" t="n">
        <v>204103.924</v>
      </c>
      <c r="BV1328" s="152" t="n">
        <v>8236198.523</v>
      </c>
      <c r="BW1328" s="152" t="n">
        <v>-15.9358372</v>
      </c>
      <c r="BX1328" s="152" t="n">
        <v>-47.7637141</v>
      </c>
      <c r="BY1328" s="152" t="s">
        <v>6574</v>
      </c>
    </row>
    <row r="1329" customFormat="false" ht="13.8" hidden="false" customHeight="false" outlineLevel="0" collapsed="false">
      <c r="A1329" s="149" t="n">
        <f aca="false">IF(C1329&lt;&gt;"",ROW(A1324),"")</f>
        <v>1324</v>
      </c>
      <c r="B1329" s="150" t="str">
        <f aca="false">HYPERLINK("https://www.google.com/maps/dir/-15.917302,-47.760003/-15.9359215,-47.7642827/data=!4m3!4m2!3e0!5i1")</f>
        <v>https://www.google.com/maps/dir/-15.917302,-47.760003/-15.9359215,-47.7642827/data=!4m3!4m2!3e0!5i1</v>
      </c>
      <c r="C1329" s="151" t="s">
        <v>117</v>
      </c>
      <c r="D1329" s="152" t="s">
        <v>112</v>
      </c>
      <c r="E1329" s="152" t="s">
        <v>113</v>
      </c>
      <c r="F1329" s="152" t="s">
        <v>117</v>
      </c>
      <c r="G1329" s="152" t="s">
        <v>782</v>
      </c>
      <c r="H1329" s="152" t="n">
        <v>63</v>
      </c>
      <c r="I1329" s="152" t="s">
        <v>115</v>
      </c>
      <c r="J1329" s="152" t="s">
        <v>6</v>
      </c>
      <c r="K1329" s="152" t="s">
        <v>6081</v>
      </c>
      <c r="L1329" s="152" t="s">
        <v>120</v>
      </c>
      <c r="M1329" s="153" t="n">
        <f aca="false">17.2</f>
        <v>17.2</v>
      </c>
      <c r="N1329" s="152" t="s">
        <v>1548</v>
      </c>
      <c r="O1329" s="152" t="s">
        <v>1549</v>
      </c>
      <c r="P1329" s="152" t="s">
        <v>1550</v>
      </c>
      <c r="Q1329" s="152" t="s">
        <v>1551</v>
      </c>
      <c r="R1329" s="154" t="s">
        <v>6576</v>
      </c>
      <c r="S1329" s="154" t="s">
        <v>1553</v>
      </c>
      <c r="T1329" s="155" t="s">
        <v>6514</v>
      </c>
      <c r="U1329" s="152" t="str">
        <f aca="false">RIGHT(T1329,7)</f>
        <v>024/037</v>
      </c>
      <c r="V1329" s="152" t="s">
        <v>1555</v>
      </c>
      <c r="W1329" s="156" t="n">
        <v>45882</v>
      </c>
      <c r="X1329" s="152" t="s">
        <v>3938</v>
      </c>
      <c r="Y1329" s="152" t="s">
        <v>1952</v>
      </c>
      <c r="Z1329" s="152" t="s">
        <v>1557</v>
      </c>
      <c r="AA1329" s="153" t="n">
        <v>3.9</v>
      </c>
      <c r="AB1329" s="151" t="s">
        <v>6577</v>
      </c>
      <c r="AC1329" s="151" t="s">
        <v>186</v>
      </c>
      <c r="AD1329" s="151" t="str">
        <f aca="false">CONCATENATE($C1329,$I1329,$H1329,$N1329,$J1329,$K1329)</f>
        <v>TUBO PEADPEAD63VCAREDESZona11</v>
      </c>
      <c r="AE1329" s="153" t="n">
        <f aca="false">IFERROR(INDEX(APOIO_REDES!$A:$W,MATCH($C1329&amp;$I1329&amp;$H1329&amp;$N1329&amp;$O1329,APOIO_REDES!$W:$W,0),MATCH(AE$5,APOIO_REDES!$5:$5,0)),0)</f>
        <v>1.2</v>
      </c>
      <c r="AF1329" s="153" t="n">
        <f aca="false">IFERROR(INDEX(APOIO_REDES!$A:$W,MATCH($C1329&amp;$I1329&amp;$H1329&amp;$N1329&amp;$O1329,APOIO_REDES!$W:$W,0),MATCH(AF$5,APOIO_REDES!$5:$5,0)),0)</f>
        <v>1.363</v>
      </c>
      <c r="AG1329" s="153" t="n">
        <f aca="false">IFERROR(INDEX(APOIO_REDES!$A:$W,MATCH($C1329&amp;$I1329&amp;$H1329&amp;$N1329&amp;$O1329,APOIO_REDES!$W:$W,0),MATCH(AG$5,APOIO_REDES!$5:$5,0)),0)</f>
        <v>0.65</v>
      </c>
      <c r="AH1329" s="153" t="n">
        <f aca="false">IFERROR(INDEX(APOIO_REDES!$A:$W,MATCH($C1329&amp;$I1329&amp;$H1329&amp;$N1329&amp;$O1329,APOIO_REDES!$W:$W,0),MATCH(AH$5,APOIO_REDES!$5:$5,0)),0)</f>
        <v>0.1</v>
      </c>
      <c r="AI1329" s="153" t="n">
        <f aca="false">IFERROR(IF($H1329&lt;&gt;"",(((($H1329/1000)/2)^2)*PI()*$M1329),0),0)</f>
        <v>0.0536166193410209</v>
      </c>
      <c r="AJ1329" s="153" t="n">
        <f aca="false">IFERROR(IF(AND($H1329&lt;&gt;"",$I1329="FoFo",OR($N1329="MND",$N1329="VCA"),$Q1329="LINEAR"),0,IF(AND($H1329&lt;&gt;"",$I1329="PEAD",$N1329="VCA",$Q1329="LINEAR"),($H1329/1000)+0.3,IF(AND($H1329&lt;&gt;"",$I1329="PEAD",$N1329="MND",$Q1329="EMBOQUE"),0,IF(AND($H1329&lt;&gt;"",$I1329="PVC",$N1329="VCA",$Q1329="LINEAR"),($H1329/1000)+0.2,IF(AND($H1329&lt;&gt;"",$I1329="PVC",$N1329="MND",$Q1329="EMBOQUE"),0,IF(AND($H1329&lt;&gt;"",$I1329="PEAD",$N1329="VCA",$Q1329="PREDIAL"),0,0)))))),0)</f>
        <v>0.363</v>
      </c>
      <c r="AK1329" s="153" t="n">
        <f aca="false">IF(AA1329&lt;&gt;"",AA1329,0)</f>
        <v>3.9</v>
      </c>
      <c r="AL1329" s="153" t="n">
        <f aca="false">IF(AND($N1329="MND",$Q1329="EMBOQUE"),$M1329,IF(AND($N1329="VCA",$Q1329="LINEAR"),$M1329,IF(AND($N1329="VCA",$Q1329="PREDIAL"),0,0)))</f>
        <v>17.2</v>
      </c>
      <c r="AM1329" s="153" t="n">
        <f aca="false">IF(AND($N1329="MND",$Q1329="EMBOQUE"),$M1329,IF(AND($N1329="VCA",$Q1329="LINEAR"),$M1329,IF(AND($N1329="VCA",$Q1329="PREDIAL"),0,0)))</f>
        <v>17.2</v>
      </c>
      <c r="AN1329" s="153" t="n">
        <f aca="false">ROUND(IF(AND($N1329="VCA",$M1329&lt;&gt;"",$Q1329="LINEAR"),$M1329/100,IF(AND($N1329="MND",$M1329&gt;100,$Q1329="EMBOQUE"),$M1329/100,0)),0)</f>
        <v>0</v>
      </c>
      <c r="AO1329" s="153" t="n">
        <f aca="false">IF(AND($N1329="MND",$Q1329="EMBOQUE"),$AN1329*2*2,IF(AND($N1329="VCA",$Q1329="LINEAR"),$M1329*2,IF(AND($N1329="VCA",$Q1329="PREDIAL"),0,0)))</f>
        <v>34.4</v>
      </c>
      <c r="AP1329" s="153" t="n">
        <f aca="false">IFERROR($M1329*$AF1329*$AG1329,0)</f>
        <v>15.23834</v>
      </c>
      <c r="AQ1329" s="153" t="n">
        <f aca="false">IFERROR(IF(AND($N1329="VCA",$AH1329&gt;0),$M1329*$AG1329*$AH1329,0),0)</f>
        <v>1.118</v>
      </c>
      <c r="AR1329" s="153" t="n">
        <f aca="false">IFERROR(IF(AND($N1329="VCA",$AJ1329&gt;0),($M1329*$AG1329*$AJ1329)-$AI1329,0),0)</f>
        <v>4.00472338065898</v>
      </c>
      <c r="AS1329" s="153" t="n">
        <f aca="false">IFERROR(IF(AND($N1329="VCA",$AP1329&gt;0),$AP1329-$AI1329-$AQ1329-$AR1329,0),0)</f>
        <v>10.062</v>
      </c>
      <c r="AT1329" s="153" t="n">
        <f aca="false">IFERROR(IF($N1329="VCA",INDEX(APOIO_REDES!$A:$W,MATCH($C1329&amp;$I1329&amp;$H1329&amp;$N1329&amp;$O1329,APOIO_REDES!$W:$W,0),MATCH(AT$5,APOIO_REDES!$5:$5,0)),0)*$AP1329,0)</f>
        <v>0.165797649518411</v>
      </c>
      <c r="AU1329" s="153" t="n">
        <f aca="false">IFERROR(IF($N1329="VCA",INDEX(APOIO_REDES!$A:$W,MATCH($C1329&amp;$I1329&amp;$H1329&amp;$N1329&amp;$O1329,APOIO_REDES!$W:$W,0),MATCH(AU$5,APOIO_REDES!$5:$5,0)),0)*$AP1329,0)</f>
        <v>0.132401512535583</v>
      </c>
      <c r="AV1329" s="153" t="n">
        <f aca="false">IFERROR(IF($N1329="VCA",INDEX(APOIO_REDES!$A:$W,MATCH($C1329&amp;$I1329&amp;$H1329&amp;$N1329&amp;$O1329,APOIO_REDES!$W:$W,0),MATCH(AV$5,APOIO_REDES!$5:$5,0)),0)*$AP1329,0)</f>
        <v>0.0183233299422988</v>
      </c>
      <c r="AW1329" s="153" t="n">
        <f aca="false">IFERROR(IF($N1329="VCA",INDEX(APOIO_REDES!$A:$W,MATCH($C1329&amp;$I1329&amp;$H1329&amp;$N1329&amp;$O1329,APOIO_REDES!$W:$W,0),MATCH(AW$5,APOIO_REDES!$5:$5,0)),0)*$AP1329,0)</f>
        <v>10.45971464842</v>
      </c>
      <c r="AX1329" s="153" t="n">
        <f aca="false">IFERROR(IF($N1329="VCA",INDEX(APOIO_REDES!$A:$W,MATCH($C1329&amp;$I1329&amp;$H1329&amp;$N1329&amp;$O1329,APOIO_REDES!$W:$W,0),MATCH(AX$5,APOIO_REDES!$5:$5,0)),0)*$AP1329,0)</f>
        <v>1.44759471228016</v>
      </c>
      <c r="AY1329" s="153" t="n">
        <f aca="false">IFERROR(IF($N1329="VCA",INDEX(APOIO_REDES!$A:$W,MATCH($C1329&amp;$I1329&amp;$H1329&amp;$N1329&amp;$O1329,APOIO_REDES!$W:$W,0),MATCH(AY$5,APOIO_REDES!$5:$5,0)),0)*$AP1329,0)</f>
        <v>2.64802863674796</v>
      </c>
      <c r="AZ1329" s="153" t="n">
        <f aca="false">IFERROR(IF($N1329="VCA",INDEX(APOIO_REDES!$A:$W,MATCH($C1329&amp;$I1329&amp;$H1329&amp;$N1329&amp;$O1329,APOIO_REDES!$W:$W,0),MATCH(AZ$5,APOIO_REDES!$5:$5,0)),0)*$AP1329,0)</f>
        <v>0.366479510555615</v>
      </c>
      <c r="BA1329" s="153" t="n">
        <f aca="false">IFERROR(IF(AND($N1329="VCA",$Q1329="LINEAR"),INDEX(APOIO_REDES!$A:$W,MATCH($C1329&amp;$I1329&amp;$H1329&amp;$N1329&amp;$O1329,APOIO_REDES!$W:$W,0),MATCH(BA$5,APOIO_REDES!$5:$5,0)),IF(AND($N1329="MND",$Q1329="EMBOQUE"),INDEX(APOIO_REDES!$A:$W,MATCH($C1329&amp;$I1329&amp;$H1329&amp;$N1329&amp;$O1329,APOIO_REDES!$W:$W,0),MATCH(BA$5,APOIO_REDES!$5:$5,0)),0))*$M1329/10,0)</f>
        <v>1.38627661437222</v>
      </c>
      <c r="BB1329" s="153" t="n">
        <f aca="false">IFERROR(IF($N1329="VCA",INDEX(APOIO_REDES!$A:$W,MATCH($C1329&amp;$I1329&amp;$H1329&amp;$N1329&amp;$O1329,APOIO_REDES!$W:$W,0),MATCH(BB$5,APOIO_REDES!$5:$5,0)),0)*($AI1329+$AQ1329+$AR1329),0)</f>
        <v>5.12001988868157</v>
      </c>
      <c r="BC1329" s="153" t="n">
        <f aca="false">IFERROR(IF($N1329="VCA",INDEX(APOIO_REDES!$A:$W,MATCH($C1329&amp;$I1329&amp;$H1329&amp;$N1329&amp;$O1329,APOIO_REDES!$W:$W,0),MATCH(BC$5,APOIO_REDES!$5:$5,0)),0)*($AI1329+$AQ1329+$AR1329),0)</f>
        <v>0.0563201113184332</v>
      </c>
      <c r="BD1329" s="153" t="n">
        <f aca="false">IF(AND($N1329="VCA",$AF1329&gt;=1.25,$AF1329&lt;1.5),$M1329*$AF1329*2,0)</f>
        <v>46.8872</v>
      </c>
      <c r="BE1329" s="153" t="n">
        <f aca="false">IF(AND($N1329="VCA",$AF1329&gt;=1.5,$AF1329&lt;3),$M1329*$AF1329*2,0)</f>
        <v>0</v>
      </c>
      <c r="BF1329" s="153" t="n">
        <f aca="false">IF(AND($N1329="VCA",$AF1329&gt;=3),$M1329*$AF1329*2,0)</f>
        <v>0</v>
      </c>
      <c r="BG1329" s="153" t="n">
        <f aca="false">($BB1329+$BC1329)*$AK1329</f>
        <v>20.187726</v>
      </c>
      <c r="BH1329" s="153" t="n">
        <f aca="false">IF(AND($M1329&lt;&gt;"",$N1329="VCA",$Q1329="LINEAR"),($M1329*2)/100,IF(AND($M1329&lt;&gt;"",$N1329="MND",$Q1329="EMBOQUE"),($AN1329*2)/100,0))</f>
        <v>0.344</v>
      </c>
      <c r="BI1329" s="153" t="n">
        <f aca="false">IF(AND($M1329&lt;&gt;"",$N1329="VCA",$Q1329="LINEAR"),$M1329,IF(AND($M1329&lt;&gt;"",$N1329="MND",$Q1329="EMBOQUE"),$AN1329*2,0))</f>
        <v>17.2</v>
      </c>
      <c r="BJ1329" s="153" t="n">
        <f aca="false">IF(AND($M1329&lt;&gt;"",$N1329="VCA",$Q1329="LINEAR"),($M1329*6.8)/100,IF(AND($M1329&lt;&gt;"",$N1329="MND",$Q1329="EMBOQUE"),($AN1329*2*6.8)/100,0))</f>
        <v>1.1696</v>
      </c>
      <c r="BK1329" s="153" t="n">
        <f aca="false">IF(AND($M1329&lt;&gt;"",$N1329="VCA",$Q1329="LINEAR"),($M1329*2.5)/50,IF(AND($M1329&lt;&gt;"",$N1329="MND",$Q1329="EMBOQUE"),($AN1329*2*2.5)/50,0))</f>
        <v>0.86</v>
      </c>
      <c r="BL1329" s="157" t="str">
        <f aca="false">K1329&amp;J1329</f>
        <v>Zona11REDES</v>
      </c>
      <c r="BM1329" s="152" t="s">
        <v>6084</v>
      </c>
      <c r="BN1329" s="152" t="s">
        <v>1560</v>
      </c>
      <c r="BO1329" s="152" t="s">
        <v>6516</v>
      </c>
      <c r="BP1329" s="152" t="s">
        <v>6578</v>
      </c>
      <c r="BQ1329" s="152" t="s">
        <v>6223</v>
      </c>
      <c r="BR1329" s="152" t="s">
        <v>6579</v>
      </c>
      <c r="BS1329" s="152" t="n">
        <v>204052.807</v>
      </c>
      <c r="BT1329" s="152" t="n">
        <v>8236191.386</v>
      </c>
      <c r="BU1329" s="152" t="n">
        <v>204046.733</v>
      </c>
      <c r="BV1329" s="152" t="n">
        <v>8236207.479</v>
      </c>
      <c r="BW1329" s="152" t="n">
        <v>-15.9358484</v>
      </c>
      <c r="BX1329" s="152" t="n">
        <v>-47.76431</v>
      </c>
      <c r="BY1329" s="152" t="s">
        <v>6578</v>
      </c>
    </row>
    <row r="1330" customFormat="false" ht="13.8" hidden="false" customHeight="false" outlineLevel="0" collapsed="false">
      <c r="A1330" s="149" t="n">
        <f aca="false">IF(C1330&lt;&gt;"",ROW(A1325),"")</f>
        <v>1325</v>
      </c>
      <c r="B1330" s="150" t="str">
        <f aca="false">HYPERLINK("https://www.google.com/maps/dir/-15.917302,-47.760003/-15.9358074,-47.7638201/data=!4m3!4m2!3e0!5i1")</f>
        <v>https://www.google.com/maps/dir/-15.917302,-47.760003/-15.9358074,-47.7638201/data=!4m3!4m2!3e0!5i1</v>
      </c>
      <c r="C1330" s="151" t="s">
        <v>117</v>
      </c>
      <c r="D1330" s="152" t="s">
        <v>112</v>
      </c>
      <c r="E1330" s="152" t="s">
        <v>113</v>
      </c>
      <c r="F1330" s="152" t="s">
        <v>117</v>
      </c>
      <c r="G1330" s="152" t="s">
        <v>782</v>
      </c>
      <c r="H1330" s="152" t="n">
        <v>63</v>
      </c>
      <c r="I1330" s="152" t="s">
        <v>115</v>
      </c>
      <c r="J1330" s="152" t="s">
        <v>6</v>
      </c>
      <c r="K1330" s="152" t="s">
        <v>6081</v>
      </c>
      <c r="L1330" s="152" t="s">
        <v>120</v>
      </c>
      <c r="M1330" s="153" t="n">
        <f aca="false">51.14</f>
        <v>51.14</v>
      </c>
      <c r="N1330" s="152" t="s">
        <v>1548</v>
      </c>
      <c r="O1330" s="152" t="s">
        <v>1549</v>
      </c>
      <c r="P1330" s="152" t="s">
        <v>1550</v>
      </c>
      <c r="Q1330" s="152" t="s">
        <v>1551</v>
      </c>
      <c r="R1330" s="154" t="s">
        <v>6580</v>
      </c>
      <c r="S1330" s="154" t="s">
        <v>1553</v>
      </c>
      <c r="T1330" s="155" t="s">
        <v>6514</v>
      </c>
      <c r="U1330" s="152" t="str">
        <f aca="false">RIGHT(T1330,7)</f>
        <v>024/037</v>
      </c>
      <c r="V1330" s="152" t="s">
        <v>1555</v>
      </c>
      <c r="W1330" s="156" t="n">
        <v>45882</v>
      </c>
      <c r="X1330" s="152" t="s">
        <v>3938</v>
      </c>
      <c r="Y1330" s="152" t="s">
        <v>2524</v>
      </c>
      <c r="Z1330" s="152" t="s">
        <v>1557</v>
      </c>
      <c r="AA1330" s="153" t="n">
        <v>3.8</v>
      </c>
      <c r="AB1330" s="151" t="s">
        <v>6581</v>
      </c>
      <c r="AC1330" s="151" t="s">
        <v>186</v>
      </c>
      <c r="AD1330" s="151" t="str">
        <f aca="false">CONCATENATE($C1330,$I1330,$H1330,$N1330,$J1330,$K1330)</f>
        <v>TUBO PEADPEAD63VCAREDESZona11</v>
      </c>
      <c r="AE1330" s="153" t="n">
        <f aca="false">IFERROR(INDEX(APOIO_REDES!$A:$W,MATCH($C1330&amp;$I1330&amp;$H1330&amp;$N1330&amp;$O1330,APOIO_REDES!$W:$W,0),MATCH(AE$5,APOIO_REDES!$5:$5,0)),0)</f>
        <v>1.2</v>
      </c>
      <c r="AF1330" s="153" t="n">
        <f aca="false">IFERROR(INDEX(APOIO_REDES!$A:$W,MATCH($C1330&amp;$I1330&amp;$H1330&amp;$N1330&amp;$O1330,APOIO_REDES!$W:$W,0),MATCH(AF$5,APOIO_REDES!$5:$5,0)),0)</f>
        <v>1.363</v>
      </c>
      <c r="AG1330" s="153" t="n">
        <f aca="false">IFERROR(INDEX(APOIO_REDES!$A:$W,MATCH($C1330&amp;$I1330&amp;$H1330&amp;$N1330&amp;$O1330,APOIO_REDES!$W:$W,0),MATCH(AG$5,APOIO_REDES!$5:$5,0)),0)</f>
        <v>0.65</v>
      </c>
      <c r="AH1330" s="153" t="n">
        <f aca="false">IFERROR(INDEX(APOIO_REDES!$A:$W,MATCH($C1330&amp;$I1330&amp;$H1330&amp;$N1330&amp;$O1330,APOIO_REDES!$W:$W,0),MATCH(AH$5,APOIO_REDES!$5:$5,0)),0)</f>
        <v>0.1</v>
      </c>
      <c r="AI1330" s="153" t="n">
        <f aca="false">IFERROR(IF($H1330&lt;&gt;"",(((($H1330/1000)/2)^2)*PI()*$M1330),0),0)</f>
        <v>0.159415925180222</v>
      </c>
      <c r="AJ1330" s="153" t="n">
        <f aca="false">IFERROR(IF(AND($H1330&lt;&gt;"",$I1330="FoFo",OR($N1330="MND",$N1330="VCA"),$Q1330="LINEAR"),0,IF(AND($H1330&lt;&gt;"",$I1330="PEAD",$N1330="VCA",$Q1330="LINEAR"),($H1330/1000)+0.3,IF(AND($H1330&lt;&gt;"",$I1330="PEAD",$N1330="MND",$Q1330="EMBOQUE"),0,IF(AND($H1330&lt;&gt;"",$I1330="PVC",$N1330="VCA",$Q1330="LINEAR"),($H1330/1000)+0.2,IF(AND($H1330&lt;&gt;"",$I1330="PVC",$N1330="MND",$Q1330="EMBOQUE"),0,IF(AND($H1330&lt;&gt;"",$I1330="PEAD",$N1330="VCA",$Q1330="PREDIAL"),0,0)))))),0)</f>
        <v>0.363</v>
      </c>
      <c r="AK1330" s="153" t="n">
        <f aca="false">IF(AA1330&lt;&gt;"",AA1330,0)</f>
        <v>3.8</v>
      </c>
      <c r="AL1330" s="153" t="n">
        <f aca="false">IF(AND($N1330="MND",$Q1330="EMBOQUE"),$M1330,IF(AND($N1330="VCA",$Q1330="LINEAR"),$M1330,IF(AND($N1330="VCA",$Q1330="PREDIAL"),0,0)))</f>
        <v>51.14</v>
      </c>
      <c r="AM1330" s="153" t="n">
        <f aca="false">IF(AND($N1330="MND",$Q1330="EMBOQUE"),$M1330,IF(AND($N1330="VCA",$Q1330="LINEAR"),$M1330,IF(AND($N1330="VCA",$Q1330="PREDIAL"),0,0)))</f>
        <v>51.14</v>
      </c>
      <c r="AN1330" s="153" t="n">
        <f aca="false">ROUND(IF(AND($N1330="VCA",$M1330&lt;&gt;"",$Q1330="LINEAR"),$M1330/100,IF(AND($N1330="MND",$M1330&gt;100,$Q1330="EMBOQUE"),$M1330/100,0)),0)</f>
        <v>1</v>
      </c>
      <c r="AO1330" s="153" t="n">
        <f aca="false">IF(AND($N1330="MND",$Q1330="EMBOQUE"),$AN1330*2*2,IF(AND($N1330="VCA",$Q1330="LINEAR"),$M1330*2,IF(AND($N1330="VCA",$Q1330="PREDIAL"),0,0)))</f>
        <v>102.28</v>
      </c>
      <c r="AP1330" s="153" t="n">
        <f aca="false">IFERROR($M1330*$AF1330*$AG1330,0)</f>
        <v>45.307483</v>
      </c>
      <c r="AQ1330" s="153" t="n">
        <f aca="false">IFERROR(IF(AND($N1330="VCA",$AH1330&gt;0),$M1330*$AG1330*$AH1330,0),0)</f>
        <v>3.3241</v>
      </c>
      <c r="AR1330" s="153" t="n">
        <f aca="false">IFERROR(IF(AND($N1330="VCA",$AJ1330&gt;0),($M1330*$AG1330*$AJ1330)-$AI1330,0),0)</f>
        <v>11.9070670748198</v>
      </c>
      <c r="AS1330" s="153" t="n">
        <f aca="false">IFERROR(IF(AND($N1330="VCA",$AP1330&gt;0),$AP1330-$AI1330-$AQ1330-$AR1330,0),0)</f>
        <v>29.9169</v>
      </c>
      <c r="AT1330" s="153" t="n">
        <f aca="false">IFERROR(IF($N1330="VCA",INDEX(APOIO_REDES!$A:$W,MATCH($C1330&amp;$I1330&amp;$H1330&amp;$N1330&amp;$O1330,APOIO_REDES!$W:$W,0),MATCH(AT$5,APOIO_REDES!$5:$5,0)),0)*$AP1330,0)</f>
        <v>0.492958825370439</v>
      </c>
      <c r="AU1330" s="153" t="n">
        <f aca="false">IFERROR(IF($N1330="VCA",INDEX(APOIO_REDES!$A:$W,MATCH($C1330&amp;$I1330&amp;$H1330&amp;$N1330&amp;$O1330,APOIO_REDES!$W:$W,0),MATCH(AU$5,APOIO_REDES!$5:$5,0)),0)*$AP1330,0)</f>
        <v>0.393663566922659</v>
      </c>
      <c r="AV1330" s="153" t="n">
        <f aca="false">IFERROR(IF($N1330="VCA",INDEX(APOIO_REDES!$A:$W,MATCH($C1330&amp;$I1330&amp;$H1330&amp;$N1330&amp;$O1330,APOIO_REDES!$W:$W,0),MATCH(AV$5,APOIO_REDES!$5:$5,0)),0)*$AP1330,0)</f>
        <v>0.0544799472819278</v>
      </c>
      <c r="AW1330" s="153" t="n">
        <f aca="false">IFERROR(IF($N1330="VCA",INDEX(APOIO_REDES!$A:$W,MATCH($C1330&amp;$I1330&amp;$H1330&amp;$N1330&amp;$O1330,APOIO_REDES!$W:$W,0),MATCH(AW$5,APOIO_REDES!$5:$5,0)),0)*$AP1330,0)</f>
        <v>31.0994073907091</v>
      </c>
      <c r="AX1330" s="153" t="n">
        <f aca="false">IFERROR(IF($N1330="VCA",INDEX(APOIO_REDES!$A:$W,MATCH($C1330&amp;$I1330&amp;$H1330&amp;$N1330&amp;$O1330,APOIO_REDES!$W:$W,0),MATCH(AX$5,APOIO_REDES!$5:$5,0)),0)*$AP1330,0)</f>
        <v>4.30406939453531</v>
      </c>
      <c r="AY1330" s="153" t="n">
        <f aca="false">IFERROR(IF($N1330="VCA",INDEX(APOIO_REDES!$A:$W,MATCH($C1330&amp;$I1330&amp;$H1330&amp;$N1330&amp;$O1330,APOIO_REDES!$W:$W,0),MATCH(AY$5,APOIO_REDES!$5:$5,0)),0)*$AP1330,0)</f>
        <v>7.87326653972621</v>
      </c>
      <c r="AZ1330" s="153" t="n">
        <f aca="false">IFERROR(IF($N1330="VCA",INDEX(APOIO_REDES!$A:$W,MATCH($C1330&amp;$I1330&amp;$H1330&amp;$N1330&amp;$O1330,APOIO_REDES!$W:$W,0),MATCH(AZ$5,APOIO_REDES!$5:$5,0)),0)*$AP1330,0)</f>
        <v>1.08963733545431</v>
      </c>
      <c r="BA1330" s="153" t="n">
        <f aca="false">IFERROR(IF(AND($N1330="VCA",$Q1330="LINEAR"),INDEX(APOIO_REDES!$A:$W,MATCH($C1330&amp;$I1330&amp;$H1330&amp;$N1330&amp;$O1330,APOIO_REDES!$W:$W,0),MATCH(BA$5,APOIO_REDES!$5:$5,0)),IF(AND($N1330="MND",$Q1330="EMBOQUE"),INDEX(APOIO_REDES!$A:$W,MATCH($C1330&amp;$I1330&amp;$H1330&amp;$N1330&amp;$O1330,APOIO_REDES!$W:$W,0),MATCH(BA$5,APOIO_REDES!$5:$5,0)),0))*$M1330/10,0)</f>
        <v>4.12175500342996</v>
      </c>
      <c r="BB1330" s="153" t="n">
        <f aca="false">IFERROR(IF($N1330="VCA",INDEX(APOIO_REDES!$A:$W,MATCH($C1330&amp;$I1330&amp;$H1330&amp;$N1330&amp;$O1330,APOIO_REDES!$W:$W,0),MATCH(BB$5,APOIO_REDES!$5:$5,0)),0)*($AI1330+$AQ1330+$AR1330),0)</f>
        <v>15.22312890158</v>
      </c>
      <c r="BC1330" s="153" t="n">
        <f aca="false">IFERROR(IF($N1330="VCA",INDEX(APOIO_REDES!$A:$W,MATCH($C1330&amp;$I1330&amp;$H1330&amp;$N1330&amp;$O1330,APOIO_REDES!$W:$W,0),MATCH(BC$5,APOIO_REDES!$5:$5,0)),0)*($AI1330+$AQ1330+$AR1330),0)</f>
        <v>0.167454098420039</v>
      </c>
      <c r="BD1330" s="153" t="n">
        <f aca="false">IF(AND($N1330="VCA",$AF1330&gt;=1.25,$AF1330&lt;1.5),$M1330*$AF1330*2,0)</f>
        <v>139.40764</v>
      </c>
      <c r="BE1330" s="153" t="n">
        <f aca="false">IF(AND($N1330="VCA",$AF1330&gt;=1.5,$AF1330&lt;3),$M1330*$AF1330*2,0)</f>
        <v>0</v>
      </c>
      <c r="BF1330" s="153" t="n">
        <f aca="false">IF(AND($N1330="VCA",$AF1330&gt;=3),$M1330*$AF1330*2,0)</f>
        <v>0</v>
      </c>
      <c r="BG1330" s="153" t="n">
        <f aca="false">($BB1330+$BC1330)*$AK1330</f>
        <v>58.4842154</v>
      </c>
      <c r="BH1330" s="153" t="n">
        <f aca="false">IF(AND($M1330&lt;&gt;"",$N1330="VCA",$Q1330="LINEAR"),($M1330*2)/100,IF(AND($M1330&lt;&gt;"",$N1330="MND",$Q1330="EMBOQUE"),($AN1330*2)/100,0))</f>
        <v>1.0228</v>
      </c>
      <c r="BI1330" s="153" t="n">
        <f aca="false">IF(AND($M1330&lt;&gt;"",$N1330="VCA",$Q1330="LINEAR"),$M1330,IF(AND($M1330&lt;&gt;"",$N1330="MND",$Q1330="EMBOQUE"),$AN1330*2,0))</f>
        <v>51.14</v>
      </c>
      <c r="BJ1330" s="153" t="n">
        <f aca="false">IF(AND($M1330&lt;&gt;"",$N1330="VCA",$Q1330="LINEAR"),($M1330*6.8)/100,IF(AND($M1330&lt;&gt;"",$N1330="MND",$Q1330="EMBOQUE"),($AN1330*2*6.8)/100,0))</f>
        <v>3.47752</v>
      </c>
      <c r="BK1330" s="153" t="n">
        <f aca="false">IF(AND($M1330&lt;&gt;"",$N1330="VCA",$Q1330="LINEAR"),($M1330*2.5)/50,IF(AND($M1330&lt;&gt;"",$N1330="MND",$Q1330="EMBOQUE"),($AN1330*2*2.5)/50,0))</f>
        <v>2.557</v>
      </c>
      <c r="BL1330" s="157" t="str">
        <f aca="false">K1330&amp;J1330</f>
        <v>Zona11REDES</v>
      </c>
      <c r="BM1330" s="152" t="s">
        <v>6084</v>
      </c>
      <c r="BN1330" s="152" t="s">
        <v>1560</v>
      </c>
      <c r="BO1330" s="152" t="s">
        <v>6516</v>
      </c>
      <c r="BP1330" s="152" t="s">
        <v>6199</v>
      </c>
      <c r="BQ1330" s="152" t="s">
        <v>6578</v>
      </c>
      <c r="BR1330" s="152" t="s">
        <v>6579</v>
      </c>
      <c r="BS1330" s="152" t="n">
        <v>204102.195</v>
      </c>
      <c r="BT1330" s="152" t="n">
        <v>8236204.675</v>
      </c>
      <c r="BU1330" s="152" t="n">
        <v>204052.807</v>
      </c>
      <c r="BV1330" s="152" t="n">
        <v>8236191.386</v>
      </c>
      <c r="BW1330" s="152" t="n">
        <v>-15.9358644</v>
      </c>
      <c r="BX1330" s="152" t="n">
        <v>-47.7640514</v>
      </c>
      <c r="BY1330" s="152" t="s">
        <v>6199</v>
      </c>
    </row>
    <row r="1331" customFormat="false" ht="13.8" hidden="false" customHeight="false" outlineLevel="0" collapsed="false">
      <c r="A1331" s="149" t="n">
        <f aca="false">IF(C1331&lt;&gt;"",ROW(A1326),"")</f>
        <v>1326</v>
      </c>
      <c r="B1331" s="150" t="str">
        <f aca="false">HYPERLINK("https://www.google.com/maps/dir/-15.917302,-47.760003/-15.9358103,-47.7636237/data=!4m3!4m2!3e0!5i2")</f>
        <v>https://www.google.com/maps/dir/-15.917302,-47.760003/-15.9358103,-47.7636237/data=!4m3!4m2!3e0!5i2</v>
      </c>
      <c r="C1331" s="151" t="s">
        <v>117</v>
      </c>
      <c r="D1331" s="152" t="s">
        <v>112</v>
      </c>
      <c r="E1331" s="152" t="s">
        <v>113</v>
      </c>
      <c r="F1331" s="152" t="s">
        <v>117</v>
      </c>
      <c r="G1331" s="152" t="s">
        <v>782</v>
      </c>
      <c r="H1331" s="152" t="n">
        <v>63</v>
      </c>
      <c r="I1331" s="152" t="s">
        <v>115</v>
      </c>
      <c r="J1331" s="152" t="s">
        <v>6</v>
      </c>
      <c r="K1331" s="152" t="s">
        <v>6081</v>
      </c>
      <c r="L1331" s="152" t="s">
        <v>120</v>
      </c>
      <c r="M1331" s="153" t="n">
        <f aca="false">14.57</f>
        <v>14.57</v>
      </c>
      <c r="N1331" s="152" t="s">
        <v>1548</v>
      </c>
      <c r="O1331" s="152" t="s">
        <v>1549</v>
      </c>
      <c r="P1331" s="152" t="s">
        <v>1550</v>
      </c>
      <c r="Q1331" s="152" t="s">
        <v>1551</v>
      </c>
      <c r="R1331" s="154" t="s">
        <v>6582</v>
      </c>
      <c r="S1331" s="154" t="s">
        <v>1553</v>
      </c>
      <c r="T1331" s="155" t="s">
        <v>6514</v>
      </c>
      <c r="U1331" s="152" t="str">
        <f aca="false">RIGHT(T1331,7)</f>
        <v>024/037</v>
      </c>
      <c r="V1331" s="152" t="s">
        <v>1555</v>
      </c>
      <c r="W1331" s="156" t="n">
        <v>45882</v>
      </c>
      <c r="X1331" s="152" t="s">
        <v>3938</v>
      </c>
      <c r="Y1331" s="152" t="s">
        <v>2524</v>
      </c>
      <c r="Z1331" s="152" t="s">
        <v>1557</v>
      </c>
      <c r="AA1331" s="153" t="n">
        <v>5.1</v>
      </c>
      <c r="AB1331" s="151" t="s">
        <v>6583</v>
      </c>
      <c r="AC1331" s="151" t="s">
        <v>186</v>
      </c>
      <c r="AD1331" s="151" t="str">
        <f aca="false">CONCATENATE($C1331,$I1331,$H1331,$N1331,$J1331,$K1331)</f>
        <v>TUBO PEADPEAD63VCAREDESZona11</v>
      </c>
      <c r="AE1331" s="153" t="n">
        <f aca="false">IFERROR(INDEX(APOIO_REDES!$A:$W,MATCH($C1331&amp;$I1331&amp;$H1331&amp;$N1331&amp;$O1331,APOIO_REDES!$W:$W,0),MATCH(AE$5,APOIO_REDES!$5:$5,0)),0)</f>
        <v>1.2</v>
      </c>
      <c r="AF1331" s="153" t="n">
        <f aca="false">IFERROR(INDEX(APOIO_REDES!$A:$W,MATCH($C1331&amp;$I1331&amp;$H1331&amp;$N1331&amp;$O1331,APOIO_REDES!$W:$W,0),MATCH(AF$5,APOIO_REDES!$5:$5,0)),0)</f>
        <v>1.363</v>
      </c>
      <c r="AG1331" s="153" t="n">
        <f aca="false">IFERROR(INDEX(APOIO_REDES!$A:$W,MATCH($C1331&amp;$I1331&amp;$H1331&amp;$N1331&amp;$O1331,APOIO_REDES!$W:$W,0),MATCH(AG$5,APOIO_REDES!$5:$5,0)),0)</f>
        <v>0.65</v>
      </c>
      <c r="AH1331" s="153" t="n">
        <f aca="false">IFERROR(INDEX(APOIO_REDES!$A:$W,MATCH($C1331&amp;$I1331&amp;$H1331&amp;$N1331&amp;$O1331,APOIO_REDES!$W:$W,0),MATCH(AH$5,APOIO_REDES!$5:$5,0)),0)</f>
        <v>0.1</v>
      </c>
      <c r="AI1331" s="153" t="n">
        <f aca="false">IFERROR(IF($H1331&lt;&gt;"",(((($H1331/1000)/2)^2)*PI()*$M1331),0),0)</f>
        <v>0.0454182641743416</v>
      </c>
      <c r="AJ1331" s="153" t="n">
        <f aca="false">IFERROR(IF(AND($H1331&lt;&gt;"",$I1331="FoFo",OR($N1331="MND",$N1331="VCA"),$Q1331="LINEAR"),0,IF(AND($H1331&lt;&gt;"",$I1331="PEAD",$N1331="VCA",$Q1331="LINEAR"),($H1331/1000)+0.3,IF(AND($H1331&lt;&gt;"",$I1331="PEAD",$N1331="MND",$Q1331="EMBOQUE"),0,IF(AND($H1331&lt;&gt;"",$I1331="PVC",$N1331="VCA",$Q1331="LINEAR"),($H1331/1000)+0.2,IF(AND($H1331&lt;&gt;"",$I1331="PVC",$N1331="MND",$Q1331="EMBOQUE"),0,IF(AND($H1331&lt;&gt;"",$I1331="PEAD",$N1331="VCA",$Q1331="PREDIAL"),0,0)))))),0)</f>
        <v>0.363</v>
      </c>
      <c r="AK1331" s="153" t="n">
        <f aca="false">IF(AA1331&lt;&gt;"",AA1331,0)</f>
        <v>5.1</v>
      </c>
      <c r="AL1331" s="153" t="n">
        <f aca="false">IF(AND($N1331="MND",$Q1331="EMBOQUE"),$M1331,IF(AND($N1331="VCA",$Q1331="LINEAR"),$M1331,IF(AND($N1331="VCA",$Q1331="PREDIAL"),0,0)))</f>
        <v>14.57</v>
      </c>
      <c r="AM1331" s="153" t="n">
        <f aca="false">IF(AND($N1331="MND",$Q1331="EMBOQUE"),$M1331,IF(AND($N1331="VCA",$Q1331="LINEAR"),$M1331,IF(AND($N1331="VCA",$Q1331="PREDIAL"),0,0)))</f>
        <v>14.57</v>
      </c>
      <c r="AN1331" s="153" t="n">
        <f aca="false">ROUND(IF(AND($N1331="VCA",$M1331&lt;&gt;"",$Q1331="LINEAR"),$M1331/100,IF(AND($N1331="MND",$M1331&gt;100,$Q1331="EMBOQUE"),$M1331/100,0)),0)</f>
        <v>0</v>
      </c>
      <c r="AO1331" s="153" t="n">
        <f aca="false">IF(AND($N1331="MND",$Q1331="EMBOQUE"),$AN1331*2*2,IF(AND($N1331="VCA",$Q1331="LINEAR"),$M1331*2,IF(AND($N1331="VCA",$Q1331="PREDIAL"),0,0)))</f>
        <v>29.14</v>
      </c>
      <c r="AP1331" s="153" t="n">
        <f aca="false">IFERROR($M1331*$AF1331*$AG1331,0)</f>
        <v>12.9082915</v>
      </c>
      <c r="AQ1331" s="153" t="n">
        <f aca="false">IFERROR(IF(AND($N1331="VCA",$AH1331&gt;0),$M1331*$AG1331*$AH1331,0),0)</f>
        <v>0.94705</v>
      </c>
      <c r="AR1331" s="153" t="n">
        <f aca="false">IFERROR(IF(AND($N1331="VCA",$AJ1331&gt;0),($M1331*$AG1331*$AJ1331)-$AI1331,0),0)</f>
        <v>3.39237323582566</v>
      </c>
      <c r="AS1331" s="153" t="n">
        <f aca="false">IFERROR(IF(AND($N1331="VCA",$AP1331&gt;0),$AP1331-$AI1331-$AQ1331-$AR1331,0),0)</f>
        <v>8.52345</v>
      </c>
      <c r="AT1331" s="153" t="n">
        <f aca="false">IFERROR(IF($N1331="VCA",INDEX(APOIO_REDES!$A:$W,MATCH($C1331&amp;$I1331&amp;$H1331&amp;$N1331&amp;$O1331,APOIO_REDES!$W:$W,0),MATCH(AT$5,APOIO_REDES!$5:$5,0)),0)*$AP1331,0)</f>
        <v>0.140446032179259</v>
      </c>
      <c r="AU1331" s="153" t="n">
        <f aca="false">IFERROR(IF($N1331="VCA",INDEX(APOIO_REDES!$A:$W,MATCH($C1331&amp;$I1331&amp;$H1331&amp;$N1331&amp;$O1331,APOIO_REDES!$W:$W,0),MATCH(AU$5,APOIO_REDES!$5:$5,0)),0)*$AP1331,0)</f>
        <v>0.11215639753741</v>
      </c>
      <c r="AV1331" s="153" t="n">
        <f aca="false">IFERROR(IF($N1331="VCA",INDEX(APOIO_REDES!$A:$W,MATCH($C1331&amp;$I1331&amp;$H1331&amp;$N1331&amp;$O1331,APOIO_REDES!$W:$W,0),MATCH(AV$5,APOIO_REDES!$5:$5,0)),0)*$AP1331,0)</f>
        <v>0.0155215649569356</v>
      </c>
      <c r="AW1331" s="153" t="n">
        <f aca="false">IFERROR(IF($N1331="VCA",INDEX(APOIO_REDES!$A:$W,MATCH($C1331&amp;$I1331&amp;$H1331&amp;$N1331&amp;$O1331,APOIO_REDES!$W:$W,0),MATCH(AW$5,APOIO_REDES!$5:$5,0)),0)*$AP1331,0)</f>
        <v>8.8603513039232</v>
      </c>
      <c r="AX1331" s="153" t="n">
        <f aca="false">IFERROR(IF($N1331="VCA",INDEX(APOIO_REDES!$A:$W,MATCH($C1331&amp;$I1331&amp;$H1331&amp;$N1331&amp;$O1331,APOIO_REDES!$W:$W,0),MATCH(AX$5,APOIO_REDES!$5:$5,0)),0)*$AP1331,0)</f>
        <v>1.22624738127453</v>
      </c>
      <c r="AY1331" s="153" t="n">
        <f aca="false">IFERROR(IF($N1331="VCA",INDEX(APOIO_REDES!$A:$W,MATCH($C1331&amp;$I1331&amp;$H1331&amp;$N1331&amp;$O1331,APOIO_REDES!$W:$W,0),MATCH(AY$5,APOIO_REDES!$5:$5,0)),0)*$AP1331,0)</f>
        <v>2.2431265835708</v>
      </c>
      <c r="AZ1331" s="153" t="n">
        <f aca="false">IFERROR(IF($N1331="VCA",INDEX(APOIO_REDES!$A:$W,MATCH($C1331&amp;$I1331&amp;$H1331&amp;$N1331&amp;$O1331,APOIO_REDES!$W:$W,0),MATCH(AZ$5,APOIO_REDES!$5:$5,0)),0)*$AP1331,0)</f>
        <v>0.310442236557867</v>
      </c>
      <c r="BA1331" s="153" t="n">
        <f aca="false">IFERROR(IF(AND($N1331="VCA",$Q1331="LINEAR"),INDEX(APOIO_REDES!$A:$W,MATCH($C1331&amp;$I1331&amp;$H1331&amp;$N1331&amp;$O1331,APOIO_REDES!$W:$W,0),MATCH(BA$5,APOIO_REDES!$5:$5,0)),IF(AND($N1331="MND",$Q1331="EMBOQUE"),INDEX(APOIO_REDES!$A:$W,MATCH($C1331&amp;$I1331&amp;$H1331&amp;$N1331&amp;$O1331,APOIO_REDES!$W:$W,0),MATCH(BA$5,APOIO_REDES!$5:$5,0)),0))*$M1331/10,0)</f>
        <v>1.1743052483374</v>
      </c>
      <c r="BB1331" s="153" t="n">
        <f aca="false">IFERROR(IF($N1331="VCA",INDEX(APOIO_REDES!$A:$W,MATCH($C1331&amp;$I1331&amp;$H1331&amp;$N1331&amp;$O1331,APOIO_REDES!$W:$W,0),MATCH(BB$5,APOIO_REDES!$5:$5,0)),0)*($AI1331+$AQ1331+$AR1331),0)</f>
        <v>4.33713312663317</v>
      </c>
      <c r="BC1331" s="153" t="n">
        <f aca="false">IFERROR(IF($N1331="VCA",INDEX(APOIO_REDES!$A:$W,MATCH($C1331&amp;$I1331&amp;$H1331&amp;$N1331&amp;$O1331,APOIO_REDES!$W:$W,0),MATCH(BC$5,APOIO_REDES!$5:$5,0)),0)*($AI1331+$AQ1331+$AR1331),0)</f>
        <v>0.0477083733668356</v>
      </c>
      <c r="BD1331" s="153" t="n">
        <f aca="false">IF(AND($N1331="VCA",$AF1331&gt;=1.25,$AF1331&lt;1.5),$M1331*$AF1331*2,0)</f>
        <v>39.71782</v>
      </c>
      <c r="BE1331" s="153" t="n">
        <f aca="false">IF(AND($N1331="VCA",$AF1331&gt;=1.5,$AF1331&lt;3),$M1331*$AF1331*2,0)</f>
        <v>0</v>
      </c>
      <c r="BF1331" s="153" t="n">
        <f aca="false">IF(AND($N1331="VCA",$AF1331&gt;=3),$M1331*$AF1331*2,0)</f>
        <v>0</v>
      </c>
      <c r="BG1331" s="153" t="n">
        <f aca="false">($BB1331+$BC1331)*$AK1331</f>
        <v>22.36269165</v>
      </c>
      <c r="BH1331" s="153" t="n">
        <f aca="false">IF(AND($M1331&lt;&gt;"",$N1331="VCA",$Q1331="LINEAR"),($M1331*2)/100,IF(AND($M1331&lt;&gt;"",$N1331="MND",$Q1331="EMBOQUE"),($AN1331*2)/100,0))</f>
        <v>0.2914</v>
      </c>
      <c r="BI1331" s="153" t="n">
        <f aca="false">IF(AND($M1331&lt;&gt;"",$N1331="VCA",$Q1331="LINEAR"),$M1331,IF(AND($M1331&lt;&gt;"",$N1331="MND",$Q1331="EMBOQUE"),$AN1331*2,0))</f>
        <v>14.57</v>
      </c>
      <c r="BJ1331" s="153" t="n">
        <f aca="false">IF(AND($M1331&lt;&gt;"",$N1331="VCA",$Q1331="LINEAR"),($M1331*6.8)/100,IF(AND($M1331&lt;&gt;"",$N1331="MND",$Q1331="EMBOQUE"),($AN1331*2*6.8)/100,0))</f>
        <v>0.99076</v>
      </c>
      <c r="BK1331" s="153" t="n">
        <f aca="false">IF(AND($M1331&lt;&gt;"",$N1331="VCA",$Q1331="LINEAR"),($M1331*2.5)/50,IF(AND($M1331&lt;&gt;"",$N1331="MND",$Q1331="EMBOQUE"),($AN1331*2*2.5)/50,0))</f>
        <v>0.7285</v>
      </c>
      <c r="BL1331" s="157" t="str">
        <f aca="false">K1331&amp;J1331</f>
        <v>Zona11REDES</v>
      </c>
      <c r="BM1331" s="152" t="s">
        <v>6084</v>
      </c>
      <c r="BN1331" s="152" t="s">
        <v>1560</v>
      </c>
      <c r="BO1331" s="152" t="s">
        <v>6516</v>
      </c>
      <c r="BP1331" s="152" t="s">
        <v>6574</v>
      </c>
      <c r="BQ1331" s="152" t="s">
        <v>6584</v>
      </c>
      <c r="BR1331" s="152" t="s">
        <v>6585</v>
      </c>
      <c r="BS1331" s="152" t="n">
        <v>204123.239</v>
      </c>
      <c r="BT1331" s="152" t="n">
        <v>8236204.624</v>
      </c>
      <c r="BU1331" s="152" t="n">
        <v>204126.869</v>
      </c>
      <c r="BV1331" s="152" t="n">
        <v>8236190.517</v>
      </c>
      <c r="BW1331" s="152" t="n">
        <v>-15.9358743</v>
      </c>
      <c r="BX1331" s="152" t="n">
        <v>-47.7636076</v>
      </c>
      <c r="BY1331" s="152" t="s">
        <v>6574</v>
      </c>
    </row>
    <row r="1332" customFormat="false" ht="13.8" hidden="false" customHeight="false" outlineLevel="0" collapsed="false">
      <c r="A1332" s="149" t="n">
        <f aca="false">IF(C1332&lt;&gt;"",ROW(A1327),"")</f>
        <v>1327</v>
      </c>
      <c r="B1332" s="150" t="str">
        <f aca="false">HYPERLINK("https://www.google.com/maps/dir/-15.917302,-47.760003/-15.9358188,-47.7614309/data=!4m3!4m2!3e0!5i1")</f>
        <v>https://www.google.com/maps/dir/-15.917302,-47.760003/-15.9358188,-47.7614309/data=!4m3!4m2!3e0!5i1</v>
      </c>
      <c r="C1332" s="151" t="s">
        <v>117</v>
      </c>
      <c r="D1332" s="152" t="s">
        <v>112</v>
      </c>
      <c r="E1332" s="152" t="s">
        <v>113</v>
      </c>
      <c r="F1332" s="152" t="s">
        <v>117</v>
      </c>
      <c r="G1332" s="152" t="s">
        <v>782</v>
      </c>
      <c r="H1332" s="152" t="n">
        <v>90</v>
      </c>
      <c r="I1332" s="152" t="s">
        <v>115</v>
      </c>
      <c r="J1332" s="152" t="s">
        <v>6</v>
      </c>
      <c r="K1332" s="152" t="s">
        <v>6081</v>
      </c>
      <c r="L1332" s="152" t="s">
        <v>120</v>
      </c>
      <c r="M1332" s="153" t="n">
        <f aca="false">35.03</f>
        <v>35.03</v>
      </c>
      <c r="N1332" s="152" t="s">
        <v>1548</v>
      </c>
      <c r="O1332" s="152" t="s">
        <v>1549</v>
      </c>
      <c r="P1332" s="152" t="s">
        <v>1550</v>
      </c>
      <c r="Q1332" s="152" t="s">
        <v>1551</v>
      </c>
      <c r="R1332" s="154" t="s">
        <v>6586</v>
      </c>
      <c r="S1332" s="154" t="s">
        <v>1593</v>
      </c>
      <c r="T1332" s="155" t="s">
        <v>6514</v>
      </c>
      <c r="U1332" s="152" t="str">
        <f aca="false">RIGHT(T1332,7)</f>
        <v>024/037</v>
      </c>
      <c r="V1332" s="152" t="s">
        <v>1555</v>
      </c>
      <c r="W1332" s="156" t="n">
        <v>45882</v>
      </c>
      <c r="X1332" s="152" t="s">
        <v>3938</v>
      </c>
      <c r="Y1332" s="152" t="s">
        <v>6202</v>
      </c>
      <c r="Z1332" s="152" t="s">
        <v>1557</v>
      </c>
      <c r="AA1332" s="153" t="n">
        <v>4.8</v>
      </c>
      <c r="AB1332" s="151" t="s">
        <v>6587</v>
      </c>
      <c r="AC1332" s="151" t="s">
        <v>526</v>
      </c>
      <c r="AD1332" s="151" t="str">
        <f aca="false">CONCATENATE($C1332,$I1332,$H1332,$N1332,$J1332,$K1332)</f>
        <v>TUBO PEADPEAD90VCAREDESZona11</v>
      </c>
      <c r="AE1332" s="153" t="n">
        <f aca="false">IFERROR(INDEX(APOIO_REDES!$A:$W,MATCH($C1332&amp;$I1332&amp;$H1332&amp;$N1332&amp;$O1332,APOIO_REDES!$W:$W,0),MATCH(AE$5,APOIO_REDES!$5:$5,0)),0)</f>
        <v>1.2</v>
      </c>
      <c r="AF1332" s="153" t="n">
        <f aca="false">IFERROR(INDEX(APOIO_REDES!$A:$W,MATCH($C1332&amp;$I1332&amp;$H1332&amp;$N1332&amp;$O1332,APOIO_REDES!$W:$W,0),MATCH(AF$5,APOIO_REDES!$5:$5,0)),0)</f>
        <v>1.39</v>
      </c>
      <c r="AG1332" s="153" t="n">
        <f aca="false">IFERROR(INDEX(APOIO_REDES!$A:$W,MATCH($C1332&amp;$I1332&amp;$H1332&amp;$N1332&amp;$O1332,APOIO_REDES!$W:$W,0),MATCH(AG$5,APOIO_REDES!$5:$5,0)),0)</f>
        <v>0.75</v>
      </c>
      <c r="AH1332" s="153" t="n">
        <f aca="false">IFERROR(INDEX(APOIO_REDES!$A:$W,MATCH($C1332&amp;$I1332&amp;$H1332&amp;$N1332&amp;$O1332,APOIO_REDES!$W:$W,0),MATCH(AH$5,APOIO_REDES!$5:$5,0)),0)</f>
        <v>0.1</v>
      </c>
      <c r="AI1332" s="153" t="n">
        <f aca="false">IFERROR(IF($H1332&lt;&gt;"",(((($H1332/1000)/2)^2)*PI()*$M1332),0),0)</f>
        <v>0.222851231076882</v>
      </c>
      <c r="AJ1332" s="153" t="n">
        <f aca="false">IFERROR(IF(AND($H1332&lt;&gt;"",$I1332="FoFo",OR($N1332="MND",$N1332="VCA"),$Q1332="LINEAR"),0,IF(AND($H1332&lt;&gt;"",$I1332="PEAD",$N1332="VCA",$Q1332="LINEAR"),($H1332/1000)+0.3,IF(AND($H1332&lt;&gt;"",$I1332="PEAD",$N1332="MND",$Q1332="EMBOQUE"),0,IF(AND($H1332&lt;&gt;"",$I1332="PVC",$N1332="VCA",$Q1332="LINEAR"),($H1332/1000)+0.2,IF(AND($H1332&lt;&gt;"",$I1332="PVC",$N1332="MND",$Q1332="EMBOQUE"),0,IF(AND($H1332&lt;&gt;"",$I1332="PEAD",$N1332="VCA",$Q1332="PREDIAL"),0,0)))))),0)</f>
        <v>0.39</v>
      </c>
      <c r="AK1332" s="153" t="n">
        <f aca="false">IF(AA1332&lt;&gt;"",AA1332,0)</f>
        <v>4.8</v>
      </c>
      <c r="AL1332" s="153" t="n">
        <f aca="false">IF(AND($N1332="MND",$Q1332="EMBOQUE"),$M1332,IF(AND($N1332="VCA",$Q1332="LINEAR"),$M1332,IF(AND($N1332="VCA",$Q1332="PREDIAL"),0,0)))</f>
        <v>35.03</v>
      </c>
      <c r="AM1332" s="153" t="n">
        <f aca="false">IF(AND($N1332="MND",$Q1332="EMBOQUE"),$M1332,IF(AND($N1332="VCA",$Q1332="LINEAR"),$M1332,IF(AND($N1332="VCA",$Q1332="PREDIAL"),0,0)))</f>
        <v>35.03</v>
      </c>
      <c r="AN1332" s="153" t="n">
        <f aca="false">ROUND(IF(AND($N1332="VCA",$M1332&lt;&gt;"",$Q1332="LINEAR"),$M1332/100,IF(AND($N1332="MND",$M1332&gt;100,$Q1332="EMBOQUE"),$M1332/100,0)),0)</f>
        <v>0</v>
      </c>
      <c r="AO1332" s="153" t="n">
        <f aca="false">IF(AND($N1332="MND",$Q1332="EMBOQUE"),$AN1332*2*2,IF(AND($N1332="VCA",$Q1332="LINEAR"),$M1332*2,IF(AND($N1332="VCA",$Q1332="PREDIAL"),0,0)))</f>
        <v>70.06</v>
      </c>
      <c r="AP1332" s="153" t="n">
        <f aca="false">IFERROR($M1332*$AF1332*$AG1332,0)</f>
        <v>36.518775</v>
      </c>
      <c r="AQ1332" s="153" t="n">
        <f aca="false">IFERROR(IF(AND($N1332="VCA",$AH1332&gt;0),$M1332*$AG1332*$AH1332,0),0)</f>
        <v>2.62725</v>
      </c>
      <c r="AR1332" s="153" t="n">
        <f aca="false">IFERROR(IF(AND($N1332="VCA",$AJ1332&gt;0),($M1332*$AG1332*$AJ1332)-$AI1332,0),0)</f>
        <v>10.0234237689231</v>
      </c>
      <c r="AS1332" s="153" t="n">
        <f aca="false">IFERROR(IF(AND($N1332="VCA",$AP1332&gt;0),$AP1332-$AI1332-$AQ1332-$AR1332,0),0)</f>
        <v>23.64525</v>
      </c>
      <c r="AT1332" s="153" t="n">
        <f aca="false">IFERROR(IF($N1332="VCA",INDEX(APOIO_REDES!$A:$W,MATCH($C1332&amp;$I1332&amp;$H1332&amp;$N1332&amp;$O1332,APOIO_REDES!$W:$W,0),MATCH(AT$5,APOIO_REDES!$5:$5,0)),0)*$AP1332,0)</f>
        <v>0.397335081005656</v>
      </c>
      <c r="AU1332" s="153" t="n">
        <f aca="false">IFERROR(IF($N1332="VCA",INDEX(APOIO_REDES!$A:$W,MATCH($C1332&amp;$I1332&amp;$H1332&amp;$N1332&amp;$O1332,APOIO_REDES!$W:$W,0),MATCH(AU$5,APOIO_REDES!$5:$5,0)),0)*$AP1332,0)</f>
        <v>0.317301034492382</v>
      </c>
      <c r="AV1332" s="153" t="n">
        <f aca="false">IFERROR(IF($N1332="VCA",INDEX(APOIO_REDES!$A:$W,MATCH($C1332&amp;$I1332&amp;$H1332&amp;$N1332&amp;$O1332,APOIO_REDES!$W:$W,0),MATCH(AV$5,APOIO_REDES!$5:$5,0)),0)*$AP1332,0)</f>
        <v>0.0439119722629611</v>
      </c>
      <c r="AW1332" s="153" t="n">
        <f aca="false">IFERROR(IF($N1332="VCA",INDEX(APOIO_REDES!$A:$W,MATCH($C1332&amp;$I1332&amp;$H1332&amp;$N1332&amp;$O1332,APOIO_REDES!$W:$W,0),MATCH(AW$5,APOIO_REDES!$5:$5,0)),0)*$AP1332,0)</f>
        <v>25.0667701212765</v>
      </c>
      <c r="AX1332" s="153" t="n">
        <f aca="false">IFERROR(IF($N1332="VCA",INDEX(APOIO_REDES!$A:$W,MATCH($C1332&amp;$I1332&amp;$H1332&amp;$N1332&amp;$O1332,APOIO_REDES!$W:$W,0),MATCH(AX$5,APOIO_REDES!$5:$5,0)),0)*$AP1332,0)</f>
        <v>3.46916958073838</v>
      </c>
      <c r="AY1332" s="153" t="n">
        <f aca="false">IFERROR(IF($N1332="VCA",INDEX(APOIO_REDES!$A:$W,MATCH($C1332&amp;$I1332&amp;$H1332&amp;$N1332&amp;$O1332,APOIO_REDES!$W:$W,0),MATCH(AY$5,APOIO_REDES!$5:$5,0)),0)*$AP1332,0)</f>
        <v>6.34601682197376</v>
      </c>
      <c r="AZ1332" s="153" t="n">
        <f aca="false">IFERROR(IF($N1332="VCA",INDEX(APOIO_REDES!$A:$W,MATCH($C1332&amp;$I1332&amp;$H1332&amp;$N1332&amp;$O1332,APOIO_REDES!$W:$W,0),MATCH(AZ$5,APOIO_REDES!$5:$5,0)),0)*$AP1332,0)</f>
        <v>0.878270388250335</v>
      </c>
      <c r="BA1332" s="153" t="n">
        <f aca="false">IFERROR(IF(AND($N1332="VCA",$Q1332="LINEAR"),INDEX(APOIO_REDES!$A:$W,MATCH($C1332&amp;$I1332&amp;$H1332&amp;$N1332&amp;$O1332,APOIO_REDES!$W:$W,0),MATCH(BA$5,APOIO_REDES!$5:$5,0)),IF(AND($N1332="MND",$Q1332="EMBOQUE"),INDEX(APOIO_REDES!$A:$W,MATCH($C1332&amp;$I1332&amp;$H1332&amp;$N1332&amp;$O1332,APOIO_REDES!$W:$W,0),MATCH(BA$5,APOIO_REDES!$5:$5,0)),0))*$M1332/10,0)</f>
        <v>2.8233296396197</v>
      </c>
      <c r="BB1332" s="153" t="n">
        <f aca="false">IFERROR(IF($N1332="VCA",INDEX(APOIO_REDES!$A:$W,MATCH($C1332&amp;$I1332&amp;$H1332&amp;$N1332&amp;$O1332,APOIO_REDES!$W:$W,0),MATCH(BB$5,APOIO_REDES!$5:$5,0)),0)*($AI1332+$AQ1332+$AR1332),0)</f>
        <v>12.7334572376311</v>
      </c>
      <c r="BC1332" s="153" t="n">
        <f aca="false">IFERROR(IF($N1332="VCA",INDEX(APOIO_REDES!$A:$W,MATCH($C1332&amp;$I1332&amp;$H1332&amp;$N1332&amp;$O1332,APOIO_REDES!$W:$W,0),MATCH(BC$5,APOIO_REDES!$5:$5,0)),0)*($AI1332+$AQ1332+$AR1332),0)</f>
        <v>0.1400677623689</v>
      </c>
      <c r="BD1332" s="153" t="n">
        <f aca="false">IF(AND($N1332="VCA",$AF1332&gt;=1.25,$AF1332&lt;1.5),$M1332*$AF1332*2,0)</f>
        <v>97.3834</v>
      </c>
      <c r="BE1332" s="153" t="n">
        <f aca="false">IF(AND($N1332="VCA",$AF1332&gt;=1.5,$AF1332&lt;3),$M1332*$AF1332*2,0)</f>
        <v>0</v>
      </c>
      <c r="BF1332" s="153" t="n">
        <f aca="false">IF(AND($N1332="VCA",$AF1332&gt;=3),$M1332*$AF1332*2,0)</f>
        <v>0</v>
      </c>
      <c r="BG1332" s="153" t="n">
        <f aca="false">($BB1332+$BC1332)*$AK1332</f>
        <v>61.79292</v>
      </c>
      <c r="BH1332" s="153" t="n">
        <f aca="false">IF(AND($M1332&lt;&gt;"",$N1332="VCA",$Q1332="LINEAR"),($M1332*2)/100,IF(AND($M1332&lt;&gt;"",$N1332="MND",$Q1332="EMBOQUE"),($AN1332*2)/100,0))</f>
        <v>0.7006</v>
      </c>
      <c r="BI1332" s="153" t="n">
        <f aca="false">IF(AND($M1332&lt;&gt;"",$N1332="VCA",$Q1332="LINEAR"),$M1332,IF(AND($M1332&lt;&gt;"",$N1332="MND",$Q1332="EMBOQUE"),$AN1332*2,0))</f>
        <v>35.03</v>
      </c>
      <c r="BJ1332" s="153" t="n">
        <f aca="false">IF(AND($M1332&lt;&gt;"",$N1332="VCA",$Q1332="LINEAR"),($M1332*6.8)/100,IF(AND($M1332&lt;&gt;"",$N1332="MND",$Q1332="EMBOQUE"),($AN1332*2*6.8)/100,0))</f>
        <v>2.38204</v>
      </c>
      <c r="BK1332" s="153" t="n">
        <f aca="false">IF(AND($M1332&lt;&gt;"",$N1332="VCA",$Q1332="LINEAR"),($M1332*2.5)/50,IF(AND($M1332&lt;&gt;"",$N1332="MND",$Q1332="EMBOQUE"),($AN1332*2*2.5)/50,0))</f>
        <v>1.7515</v>
      </c>
      <c r="BL1332" s="157" t="str">
        <f aca="false">K1332&amp;J1332</f>
        <v>Zona11REDES</v>
      </c>
      <c r="BM1332" s="152" t="s">
        <v>6084</v>
      </c>
      <c r="BN1332" s="152" t="s">
        <v>1560</v>
      </c>
      <c r="BO1332" s="152" t="s">
        <v>6516</v>
      </c>
      <c r="BP1332" s="152" t="s">
        <v>6540</v>
      </c>
      <c r="BQ1332" s="152" t="s">
        <v>6588</v>
      </c>
      <c r="BR1332" s="152" t="s">
        <v>6589</v>
      </c>
      <c r="BS1332" s="152" t="n">
        <v>204358.753</v>
      </c>
      <c r="BT1332" s="152" t="n">
        <v>8236206.906</v>
      </c>
      <c r="BU1332" s="152" t="n">
        <v>204377.719</v>
      </c>
      <c r="BV1332" s="152" t="n">
        <v>8236177.675</v>
      </c>
      <c r="BW1332" s="152" t="n">
        <v>-15.9359432</v>
      </c>
      <c r="BX1332" s="152" t="n">
        <v>-47.7613263</v>
      </c>
      <c r="BY1332" s="152" t="s">
        <v>6540</v>
      </c>
    </row>
    <row r="1333" customFormat="false" ht="13.8" hidden="false" customHeight="false" outlineLevel="0" collapsed="false">
      <c r="A1333" s="149" t="n">
        <f aca="false">IF(C1333&lt;&gt;"",ROW(A1328),"")</f>
        <v>1328</v>
      </c>
      <c r="B1333" s="150" t="str">
        <f aca="false">HYPERLINK("https://www.google.com/maps/dir/-15.917302,-47.760003/-15.9361033,-47.7650541/data=!4m3!4m2!3e0!5i2")</f>
        <v>https://www.google.com/maps/dir/-15.917302,-47.760003/-15.9361033,-47.7650541/data=!4m3!4m2!3e0!5i2</v>
      </c>
      <c r="C1333" s="151" t="s">
        <v>117</v>
      </c>
      <c r="D1333" s="152" t="s">
        <v>112</v>
      </c>
      <c r="E1333" s="152" t="s">
        <v>113</v>
      </c>
      <c r="F1333" s="152" t="s">
        <v>117</v>
      </c>
      <c r="G1333" s="152" t="s">
        <v>782</v>
      </c>
      <c r="H1333" s="152" t="n">
        <v>63</v>
      </c>
      <c r="I1333" s="152" t="s">
        <v>115</v>
      </c>
      <c r="J1333" s="152" t="s">
        <v>6</v>
      </c>
      <c r="K1333" s="152" t="s">
        <v>6081</v>
      </c>
      <c r="L1333" s="152" t="s">
        <v>120</v>
      </c>
      <c r="M1333" s="153" t="n">
        <f aca="false">44.16</f>
        <v>44.16</v>
      </c>
      <c r="N1333" s="152" t="s">
        <v>1548</v>
      </c>
      <c r="O1333" s="152" t="s">
        <v>1549</v>
      </c>
      <c r="P1333" s="152" t="s">
        <v>1550</v>
      </c>
      <c r="Q1333" s="152" t="s">
        <v>1551</v>
      </c>
      <c r="R1333" s="154" t="s">
        <v>6590</v>
      </c>
      <c r="S1333" s="154" t="s">
        <v>1553</v>
      </c>
      <c r="T1333" s="155" t="s">
        <v>6514</v>
      </c>
      <c r="U1333" s="152" t="str">
        <f aca="false">RIGHT(T1333,7)</f>
        <v>024/037</v>
      </c>
      <c r="V1333" s="152" t="s">
        <v>1555</v>
      </c>
      <c r="W1333" s="156" t="n">
        <v>45882</v>
      </c>
      <c r="X1333" s="152" t="s">
        <v>1594</v>
      </c>
      <c r="Y1333" s="152" t="s">
        <v>3251</v>
      </c>
      <c r="Z1333" s="152" t="s">
        <v>1557</v>
      </c>
      <c r="AA1333" s="153" t="n">
        <v>5.6</v>
      </c>
      <c r="AB1333" s="151" t="s">
        <v>6591</v>
      </c>
      <c r="AC1333" s="151" t="s">
        <v>186</v>
      </c>
      <c r="AD1333" s="151" t="str">
        <f aca="false">CONCATENATE($C1333,$I1333,$H1333,$N1333,$J1333,$K1333)</f>
        <v>TUBO PEADPEAD63VCAREDESZona11</v>
      </c>
      <c r="AE1333" s="153" t="n">
        <f aca="false">IFERROR(INDEX(APOIO_REDES!$A:$W,MATCH($C1333&amp;$I1333&amp;$H1333&amp;$N1333&amp;$O1333,APOIO_REDES!$W:$W,0),MATCH(AE$5,APOIO_REDES!$5:$5,0)),0)</f>
        <v>1.2</v>
      </c>
      <c r="AF1333" s="153" t="n">
        <f aca="false">IFERROR(INDEX(APOIO_REDES!$A:$W,MATCH($C1333&amp;$I1333&amp;$H1333&amp;$N1333&amp;$O1333,APOIO_REDES!$W:$W,0),MATCH(AF$5,APOIO_REDES!$5:$5,0)),0)</f>
        <v>1.363</v>
      </c>
      <c r="AG1333" s="153" t="n">
        <f aca="false">IFERROR(INDEX(APOIO_REDES!$A:$W,MATCH($C1333&amp;$I1333&amp;$H1333&amp;$N1333&amp;$O1333,APOIO_REDES!$W:$W,0),MATCH(AG$5,APOIO_REDES!$5:$5,0)),0)</f>
        <v>0.65</v>
      </c>
      <c r="AH1333" s="153" t="n">
        <f aca="false">IFERROR(INDEX(APOIO_REDES!$A:$W,MATCH($C1333&amp;$I1333&amp;$H1333&amp;$N1333&amp;$O1333,APOIO_REDES!$W:$W,0),MATCH(AH$5,APOIO_REDES!$5:$5,0)),0)</f>
        <v>0.1</v>
      </c>
      <c r="AI1333" s="153" t="n">
        <f aca="false">IFERROR(IF($H1333&lt;&gt;"",(((($H1333/1000)/2)^2)*PI()*$M1333),0),0)</f>
        <v>0.137657552912761</v>
      </c>
      <c r="AJ1333" s="153" t="n">
        <f aca="false">IFERROR(IF(AND($H1333&lt;&gt;"",$I1333="FoFo",OR($N1333="MND",$N1333="VCA"),$Q1333="LINEAR"),0,IF(AND($H1333&lt;&gt;"",$I1333="PEAD",$N1333="VCA",$Q1333="LINEAR"),($H1333/1000)+0.3,IF(AND($H1333&lt;&gt;"",$I1333="PEAD",$N1333="MND",$Q1333="EMBOQUE"),0,IF(AND($H1333&lt;&gt;"",$I1333="PVC",$N1333="VCA",$Q1333="LINEAR"),($H1333/1000)+0.2,IF(AND($H1333&lt;&gt;"",$I1333="PVC",$N1333="MND",$Q1333="EMBOQUE"),0,IF(AND($H1333&lt;&gt;"",$I1333="PEAD",$N1333="VCA",$Q1333="PREDIAL"),0,0)))))),0)</f>
        <v>0.363</v>
      </c>
      <c r="AK1333" s="153" t="n">
        <f aca="false">IF(AA1333&lt;&gt;"",AA1333,0)</f>
        <v>5.6</v>
      </c>
      <c r="AL1333" s="153" t="n">
        <f aca="false">IF(AND($N1333="MND",$Q1333="EMBOQUE"),$M1333,IF(AND($N1333="VCA",$Q1333="LINEAR"),$M1333,IF(AND($N1333="VCA",$Q1333="PREDIAL"),0,0)))</f>
        <v>44.16</v>
      </c>
      <c r="AM1333" s="153" t="n">
        <f aca="false">IF(AND($N1333="MND",$Q1333="EMBOQUE"),$M1333,IF(AND($N1333="VCA",$Q1333="LINEAR"),$M1333,IF(AND($N1333="VCA",$Q1333="PREDIAL"),0,0)))</f>
        <v>44.16</v>
      </c>
      <c r="AN1333" s="153" t="n">
        <f aca="false">ROUND(IF(AND($N1333="VCA",$M1333&lt;&gt;"",$Q1333="LINEAR"),$M1333/100,IF(AND($N1333="MND",$M1333&gt;100,$Q1333="EMBOQUE"),$M1333/100,0)),0)</f>
        <v>0</v>
      </c>
      <c r="AO1333" s="153" t="n">
        <f aca="false">IF(AND($N1333="MND",$Q1333="EMBOQUE"),$AN1333*2*2,IF(AND($N1333="VCA",$Q1333="LINEAR"),$M1333*2,IF(AND($N1333="VCA",$Q1333="PREDIAL"),0,0)))</f>
        <v>88.32</v>
      </c>
      <c r="AP1333" s="153" t="n">
        <f aca="false">IFERROR($M1333*$AF1333*$AG1333,0)</f>
        <v>39.123552</v>
      </c>
      <c r="AQ1333" s="153" t="n">
        <f aca="false">IFERROR(IF(AND($N1333="VCA",$AH1333&gt;0),$M1333*$AG1333*$AH1333,0),0)</f>
        <v>2.8704</v>
      </c>
      <c r="AR1333" s="153" t="n">
        <f aca="false">IFERROR(IF(AND($N1333="VCA",$AJ1333&gt;0),($M1333*$AG1333*$AJ1333)-$AI1333,0),0)</f>
        <v>10.2818944470872</v>
      </c>
      <c r="AS1333" s="153" t="n">
        <f aca="false">IFERROR(IF(AND($N1333="VCA",$AP1333&gt;0),$AP1333-$AI1333-$AQ1333-$AR1333,0),0)</f>
        <v>25.8336</v>
      </c>
      <c r="AT1333" s="153" t="n">
        <f aca="false">IFERROR(IF($N1333="VCA",INDEX(APOIO_REDES!$A:$W,MATCH($C1333&amp;$I1333&amp;$H1333&amp;$N1333&amp;$O1333,APOIO_REDES!$W:$W,0),MATCH(AT$5,APOIO_REDES!$5:$5,0)),0)*$AP1333,0)</f>
        <v>0.425675825740293</v>
      </c>
      <c r="AU1333" s="153" t="n">
        <f aca="false">IFERROR(IF($N1333="VCA",INDEX(APOIO_REDES!$A:$W,MATCH($C1333&amp;$I1333&amp;$H1333&amp;$N1333&amp;$O1333,APOIO_REDES!$W:$W,0),MATCH(AU$5,APOIO_REDES!$5:$5,0)),0)*$AP1333,0)</f>
        <v>0.339933185672754</v>
      </c>
      <c r="AV1333" s="153" t="n">
        <f aca="false">IFERROR(IF($N1333="VCA",INDEX(APOIO_REDES!$A:$W,MATCH($C1333&amp;$I1333&amp;$H1333&amp;$N1333&amp;$O1333,APOIO_REDES!$W:$W,0),MATCH(AV$5,APOIO_REDES!$5:$5,0)),0)*$AP1333,0)</f>
        <v>0.0470440843169717</v>
      </c>
      <c r="AW1333" s="153" t="n">
        <f aca="false">IFERROR(IF($N1333="VCA",INDEX(APOIO_REDES!$A:$W,MATCH($C1333&amp;$I1333&amp;$H1333&amp;$N1333&amp;$O1333,APOIO_REDES!$W:$W,0),MATCH(AW$5,APOIO_REDES!$5:$5,0)),0)*$AP1333,0)</f>
        <v>26.8547092368736</v>
      </c>
      <c r="AX1333" s="153" t="n">
        <f aca="false">IFERROR(IF($N1333="VCA",INDEX(APOIO_REDES!$A:$W,MATCH($C1333&amp;$I1333&amp;$H1333&amp;$N1333&amp;$O1333,APOIO_REDES!$W:$W,0),MATCH(AX$5,APOIO_REDES!$5:$5,0)),0)*$AP1333,0)</f>
        <v>3.71661526129604</v>
      </c>
      <c r="AY1333" s="153" t="n">
        <f aca="false">IFERROR(IF($N1333="VCA",INDEX(APOIO_REDES!$A:$W,MATCH($C1333&amp;$I1333&amp;$H1333&amp;$N1333&amp;$O1333,APOIO_REDES!$W:$W,0),MATCH(AY$5,APOIO_REDES!$5:$5,0)),0)*$AP1333,0)</f>
        <v>6.79865956969709</v>
      </c>
      <c r="AZ1333" s="153" t="n">
        <f aca="false">IFERROR(IF($N1333="VCA",INDEX(APOIO_REDES!$A:$W,MATCH($C1333&amp;$I1333&amp;$H1333&amp;$N1333&amp;$O1333,APOIO_REDES!$W:$W,0),MATCH(AZ$5,APOIO_REDES!$5:$5,0)),0)*$AP1333,0)</f>
        <v>0.940914836403252</v>
      </c>
      <c r="BA1333" s="153" t="n">
        <f aca="false">IFERROR(IF(AND($N1333="VCA",$Q1333="LINEAR"),INDEX(APOIO_REDES!$A:$W,MATCH($C1333&amp;$I1333&amp;$H1333&amp;$N1333&amp;$O1333,APOIO_REDES!$W:$W,0),MATCH(BA$5,APOIO_REDES!$5:$5,0)),IF(AND($N1333="MND",$Q1333="EMBOQUE"),INDEX(APOIO_REDES!$A:$W,MATCH($C1333&amp;$I1333&amp;$H1333&amp;$N1333&amp;$O1333,APOIO_REDES!$W:$W,0),MATCH(BA$5,APOIO_REDES!$5:$5,0)),0))*$M1333/10,0)</f>
        <v>3.5591846099231</v>
      </c>
      <c r="BB1333" s="153" t="n">
        <f aca="false">IFERROR(IF($N1333="VCA",INDEX(APOIO_REDES!$A:$W,MATCH($C1333&amp;$I1333&amp;$H1333&amp;$N1333&amp;$O1333,APOIO_REDES!$W:$W,0),MATCH(BB$5,APOIO_REDES!$5:$5,0)),0)*($AI1333+$AQ1333+$AR1333),0)</f>
        <v>13.145353388615</v>
      </c>
      <c r="BC1333" s="153" t="n">
        <f aca="false">IFERROR(IF($N1333="VCA",INDEX(APOIO_REDES!$A:$W,MATCH($C1333&amp;$I1333&amp;$H1333&amp;$N1333&amp;$O1333,APOIO_REDES!$W:$W,0),MATCH(BC$5,APOIO_REDES!$5:$5,0)),0)*($AI1333+$AQ1333+$AR1333),0)</f>
        <v>0.144598611385001</v>
      </c>
      <c r="BD1333" s="153" t="n">
        <f aca="false">IF(AND($N1333="VCA",$AF1333&gt;=1.25,$AF1333&lt;1.5),$M1333*$AF1333*2,0)</f>
        <v>120.38016</v>
      </c>
      <c r="BE1333" s="153" t="n">
        <f aca="false">IF(AND($N1333="VCA",$AF1333&gt;=1.5,$AF1333&lt;3),$M1333*$AF1333*2,0)</f>
        <v>0</v>
      </c>
      <c r="BF1333" s="153" t="n">
        <f aca="false">IF(AND($N1333="VCA",$AF1333&gt;=3),$M1333*$AF1333*2,0)</f>
        <v>0</v>
      </c>
      <c r="BG1333" s="153" t="n">
        <f aca="false">($BB1333+$BC1333)*$AK1333</f>
        <v>74.4237312</v>
      </c>
      <c r="BH1333" s="153" t="n">
        <f aca="false">IF(AND($M1333&lt;&gt;"",$N1333="VCA",$Q1333="LINEAR"),($M1333*2)/100,IF(AND($M1333&lt;&gt;"",$N1333="MND",$Q1333="EMBOQUE"),($AN1333*2)/100,0))</f>
        <v>0.8832</v>
      </c>
      <c r="BI1333" s="153" t="n">
        <f aca="false">IF(AND($M1333&lt;&gt;"",$N1333="VCA",$Q1333="LINEAR"),$M1333,IF(AND($M1333&lt;&gt;"",$N1333="MND",$Q1333="EMBOQUE"),$AN1333*2,0))</f>
        <v>44.16</v>
      </c>
      <c r="BJ1333" s="153" t="n">
        <f aca="false">IF(AND($M1333&lt;&gt;"",$N1333="VCA",$Q1333="LINEAR"),($M1333*6.8)/100,IF(AND($M1333&lt;&gt;"",$N1333="MND",$Q1333="EMBOQUE"),($AN1333*2*6.8)/100,0))</f>
        <v>3.00288</v>
      </c>
      <c r="BK1333" s="153" t="n">
        <f aca="false">IF(AND($M1333&lt;&gt;"",$N1333="VCA",$Q1333="LINEAR"),($M1333*2.5)/50,IF(AND($M1333&lt;&gt;"",$N1333="MND",$Q1333="EMBOQUE"),($AN1333*2*2.5)/50,0))</f>
        <v>2.208</v>
      </c>
      <c r="BL1333" s="157" t="str">
        <f aca="false">K1333&amp;J1333</f>
        <v>Zona11REDES</v>
      </c>
      <c r="BM1333" s="152" t="s">
        <v>6084</v>
      </c>
      <c r="BN1333" s="152" t="s">
        <v>1560</v>
      </c>
      <c r="BO1333" s="152" t="s">
        <v>6516</v>
      </c>
      <c r="BP1333" s="152" t="s">
        <v>6592</v>
      </c>
      <c r="BQ1333" s="152" t="s">
        <v>6239</v>
      </c>
      <c r="BR1333" s="152" t="s">
        <v>6593</v>
      </c>
      <c r="BS1333" s="152" t="n">
        <v>203970.43</v>
      </c>
      <c r="BT1333" s="152" t="n">
        <v>8236170.16</v>
      </c>
      <c r="BU1333" s="152" t="n">
        <v>203956.824</v>
      </c>
      <c r="BV1333" s="152" t="n">
        <v>8236210.232</v>
      </c>
      <c r="BW1333" s="152" t="n">
        <v>-15.935908</v>
      </c>
      <c r="BX1333" s="152" t="n">
        <v>-47.7650955</v>
      </c>
      <c r="BY1333" s="152" t="s">
        <v>6592</v>
      </c>
    </row>
    <row r="1334" customFormat="false" ht="13.8" hidden="false" customHeight="false" outlineLevel="0" collapsed="false">
      <c r="A1334" s="149" t="n">
        <f aca="false">IF(C1334&lt;&gt;"",ROW(A1329),"")</f>
        <v>1329</v>
      </c>
      <c r="B1334" s="150" t="str">
        <f aca="false">HYPERLINK("https://www.google.com/maps/dir/-15.917302,-47.760003/-15.9359382,-47.7635916/data=!4m3!4m2!3e0!5i2")</f>
        <v>https://www.google.com/maps/dir/-15.917302,-47.760003/-15.9359382,-47.7635916/data=!4m3!4m2!3e0!5i2</v>
      </c>
      <c r="C1334" s="151" t="s">
        <v>117</v>
      </c>
      <c r="D1334" s="152" t="s">
        <v>112</v>
      </c>
      <c r="E1334" s="152" t="s">
        <v>113</v>
      </c>
      <c r="F1334" s="152" t="s">
        <v>117</v>
      </c>
      <c r="G1334" s="152" t="s">
        <v>782</v>
      </c>
      <c r="H1334" s="152" t="n">
        <v>63</v>
      </c>
      <c r="I1334" s="152" t="s">
        <v>115</v>
      </c>
      <c r="J1334" s="152" t="s">
        <v>6</v>
      </c>
      <c r="K1334" s="152" t="s">
        <v>6081</v>
      </c>
      <c r="L1334" s="152" t="s">
        <v>120</v>
      </c>
      <c r="M1334" s="153" t="n">
        <f aca="false">5.25</f>
        <v>5.25</v>
      </c>
      <c r="N1334" s="152" t="s">
        <v>1548</v>
      </c>
      <c r="O1334" s="152" t="s">
        <v>1549</v>
      </c>
      <c r="P1334" s="152" t="s">
        <v>1550</v>
      </c>
      <c r="Q1334" s="152" t="s">
        <v>1551</v>
      </c>
      <c r="R1334" s="154" t="s">
        <v>6594</v>
      </c>
      <c r="S1334" s="154" t="s">
        <v>1553</v>
      </c>
      <c r="T1334" s="155" t="s">
        <v>6514</v>
      </c>
      <c r="U1334" s="152" t="str">
        <f aca="false">RIGHT(T1334,7)</f>
        <v>024/037</v>
      </c>
      <c r="V1334" s="152" t="s">
        <v>1555</v>
      </c>
      <c r="W1334" s="156" t="n">
        <v>45882</v>
      </c>
      <c r="X1334" s="152" t="s">
        <v>3938</v>
      </c>
      <c r="Y1334" s="152" t="s">
        <v>2524</v>
      </c>
      <c r="Z1334" s="152" t="s">
        <v>1557</v>
      </c>
      <c r="AA1334" s="153" t="n">
        <v>5.1</v>
      </c>
      <c r="AB1334" s="151" t="s">
        <v>6595</v>
      </c>
      <c r="AC1334" s="151" t="s">
        <v>186</v>
      </c>
      <c r="AD1334" s="151" t="str">
        <f aca="false">CONCATENATE($C1334,$I1334,$H1334,$N1334,$J1334,$K1334)</f>
        <v>TUBO PEADPEAD63VCAREDESZona11</v>
      </c>
      <c r="AE1334" s="153" t="n">
        <f aca="false">IFERROR(INDEX(APOIO_REDES!$A:$W,MATCH($C1334&amp;$I1334&amp;$H1334&amp;$N1334&amp;$O1334,APOIO_REDES!$W:$W,0),MATCH(AE$5,APOIO_REDES!$5:$5,0)),0)</f>
        <v>1.2</v>
      </c>
      <c r="AF1334" s="153" t="n">
        <f aca="false">IFERROR(INDEX(APOIO_REDES!$A:$W,MATCH($C1334&amp;$I1334&amp;$H1334&amp;$N1334&amp;$O1334,APOIO_REDES!$W:$W,0),MATCH(AF$5,APOIO_REDES!$5:$5,0)),0)</f>
        <v>1.363</v>
      </c>
      <c r="AG1334" s="153" t="n">
        <f aca="false">IFERROR(INDEX(APOIO_REDES!$A:$W,MATCH($C1334&amp;$I1334&amp;$H1334&amp;$N1334&amp;$O1334,APOIO_REDES!$W:$W,0),MATCH(AG$5,APOIO_REDES!$5:$5,0)),0)</f>
        <v>0.65</v>
      </c>
      <c r="AH1334" s="153" t="n">
        <f aca="false">IFERROR(INDEX(APOIO_REDES!$A:$W,MATCH($C1334&amp;$I1334&amp;$H1334&amp;$N1334&amp;$O1334,APOIO_REDES!$W:$W,0),MATCH(AH$5,APOIO_REDES!$5:$5,0)),0)</f>
        <v>0.1</v>
      </c>
      <c r="AI1334" s="153" t="n">
        <f aca="false">IFERROR(IF($H1334&lt;&gt;"",(((($H1334/1000)/2)^2)*PI()*$M1334),0),0)</f>
        <v>0.0163655378802535</v>
      </c>
      <c r="AJ1334" s="153" t="n">
        <f aca="false">IFERROR(IF(AND($H1334&lt;&gt;"",$I1334="FoFo",OR($N1334="MND",$N1334="VCA"),$Q1334="LINEAR"),0,IF(AND($H1334&lt;&gt;"",$I1334="PEAD",$N1334="VCA",$Q1334="LINEAR"),($H1334/1000)+0.3,IF(AND($H1334&lt;&gt;"",$I1334="PEAD",$N1334="MND",$Q1334="EMBOQUE"),0,IF(AND($H1334&lt;&gt;"",$I1334="PVC",$N1334="VCA",$Q1334="LINEAR"),($H1334/1000)+0.2,IF(AND($H1334&lt;&gt;"",$I1334="PVC",$N1334="MND",$Q1334="EMBOQUE"),0,IF(AND($H1334&lt;&gt;"",$I1334="PEAD",$N1334="VCA",$Q1334="PREDIAL"),0,0)))))),0)</f>
        <v>0.363</v>
      </c>
      <c r="AK1334" s="153" t="n">
        <f aca="false">IF(AA1334&lt;&gt;"",AA1334,0)</f>
        <v>5.1</v>
      </c>
      <c r="AL1334" s="153" t="n">
        <f aca="false">IF(AND($N1334="MND",$Q1334="EMBOQUE"),$M1334,IF(AND($N1334="VCA",$Q1334="LINEAR"),$M1334,IF(AND($N1334="VCA",$Q1334="PREDIAL"),0,0)))</f>
        <v>5.25</v>
      </c>
      <c r="AM1334" s="153" t="n">
        <f aca="false">IF(AND($N1334="MND",$Q1334="EMBOQUE"),$M1334,IF(AND($N1334="VCA",$Q1334="LINEAR"),$M1334,IF(AND($N1334="VCA",$Q1334="PREDIAL"),0,0)))</f>
        <v>5.25</v>
      </c>
      <c r="AN1334" s="153" t="n">
        <f aca="false">ROUND(IF(AND($N1334="VCA",$M1334&lt;&gt;"",$Q1334="LINEAR"),$M1334/100,IF(AND($N1334="MND",$M1334&gt;100,$Q1334="EMBOQUE"),$M1334/100,0)),0)</f>
        <v>0</v>
      </c>
      <c r="AO1334" s="153" t="n">
        <f aca="false">IF(AND($N1334="MND",$Q1334="EMBOQUE"),$AN1334*2*2,IF(AND($N1334="VCA",$Q1334="LINEAR"),$M1334*2,IF(AND($N1334="VCA",$Q1334="PREDIAL"),0,0)))</f>
        <v>10.5</v>
      </c>
      <c r="AP1334" s="153" t="n">
        <f aca="false">IFERROR($M1334*$AF1334*$AG1334,0)</f>
        <v>4.6512375</v>
      </c>
      <c r="AQ1334" s="153" t="n">
        <f aca="false">IFERROR(IF(AND($N1334="VCA",$AH1334&gt;0),$M1334*$AG1334*$AH1334,0),0)</f>
        <v>0.34125</v>
      </c>
      <c r="AR1334" s="153" t="n">
        <f aca="false">IFERROR(IF(AND($N1334="VCA",$AJ1334&gt;0),($M1334*$AG1334*$AJ1334)-$AI1334,0),0)</f>
        <v>1.22237196211975</v>
      </c>
      <c r="AS1334" s="153" t="n">
        <f aca="false">IFERROR(IF(AND($N1334="VCA",$AP1334&gt;0),$AP1334-$AI1334-$AQ1334-$AR1334,0),0)</f>
        <v>3.07125</v>
      </c>
      <c r="AT1334" s="153" t="n">
        <f aca="false">IFERROR(IF($N1334="VCA",INDEX(APOIO_REDES!$A:$W,MATCH($C1334&amp;$I1334&amp;$H1334&amp;$N1334&amp;$O1334,APOIO_REDES!$W:$W,0),MATCH(AT$5,APOIO_REDES!$5:$5,0)),0)*$AP1334,0)</f>
        <v>0.0506068406960267</v>
      </c>
      <c r="AU1334" s="153" t="n">
        <f aca="false">IFERROR(IF($N1334="VCA",INDEX(APOIO_REDES!$A:$W,MATCH($C1334&amp;$I1334&amp;$H1334&amp;$N1334&amp;$O1334,APOIO_REDES!$W:$W,0),MATCH(AU$5,APOIO_REDES!$5:$5,0)),0)*$AP1334,0)</f>
        <v>0.0404132523727798</v>
      </c>
      <c r="AV1334" s="153" t="n">
        <f aca="false">IFERROR(IF($N1334="VCA",INDEX(APOIO_REDES!$A:$W,MATCH($C1334&amp;$I1334&amp;$H1334&amp;$N1334&amp;$O1334,APOIO_REDES!$W:$W,0),MATCH(AV$5,APOIO_REDES!$5:$5,0)),0)*$AP1334,0)</f>
        <v>0.00559287687192258</v>
      </c>
      <c r="AW1334" s="153" t="n">
        <f aca="false">IFERROR(IF($N1334="VCA",INDEX(APOIO_REDES!$A:$W,MATCH($C1334&amp;$I1334&amp;$H1334&amp;$N1334&amp;$O1334,APOIO_REDES!$W:$W,0),MATCH(AW$5,APOIO_REDES!$5:$5,0)),0)*$AP1334,0)</f>
        <v>3.19264545954679</v>
      </c>
      <c r="AX1334" s="153" t="n">
        <f aca="false">IFERROR(IF($N1334="VCA",INDEX(APOIO_REDES!$A:$W,MATCH($C1334&amp;$I1334&amp;$H1334&amp;$N1334&amp;$O1334,APOIO_REDES!$W:$W,0),MATCH(AX$5,APOIO_REDES!$5:$5,0)),0)*$AP1334,0)</f>
        <v>0.441853037178537</v>
      </c>
      <c r="AY1334" s="153" t="n">
        <f aca="false">IFERROR(IF($N1334="VCA",INDEX(APOIO_REDES!$A:$W,MATCH($C1334&amp;$I1334&amp;$H1334&amp;$N1334&amp;$O1334,APOIO_REDES!$W:$W,0),MATCH(AY$5,APOIO_REDES!$5:$5,0)),0)*$AP1334,0)</f>
        <v>0.808264554821326</v>
      </c>
      <c r="AZ1334" s="153" t="n">
        <f aca="false">IFERROR(IF($N1334="VCA",INDEX(APOIO_REDES!$A:$W,MATCH($C1334&amp;$I1334&amp;$H1334&amp;$N1334&amp;$O1334,APOIO_REDES!$W:$W,0),MATCH(AZ$5,APOIO_REDES!$5:$5,0)),0)*$AP1334,0)</f>
        <v>0.111861478512615</v>
      </c>
      <c r="BA1334" s="153" t="n">
        <f aca="false">IFERROR(IF(AND($N1334="VCA",$Q1334="LINEAR"),INDEX(APOIO_REDES!$A:$W,MATCH($C1334&amp;$I1334&amp;$H1334&amp;$N1334&amp;$O1334,APOIO_REDES!$W:$W,0),MATCH(BA$5,APOIO_REDES!$5:$5,0)),IF(AND($N1334="MND",$Q1334="EMBOQUE"),INDEX(APOIO_REDES!$A:$W,MATCH($C1334&amp;$I1334&amp;$H1334&amp;$N1334&amp;$O1334,APOIO_REDES!$W:$W,0),MATCH(BA$5,APOIO_REDES!$5:$5,0)),0))*$M1334/10,0)</f>
        <v>0.423136757293847</v>
      </c>
      <c r="BB1334" s="153" t="n">
        <f aca="false">IFERROR(IF($N1334="VCA",INDEX(APOIO_REDES!$A:$W,MATCH($C1334&amp;$I1334&amp;$H1334&amp;$N1334&amp;$O1334,APOIO_REDES!$W:$W,0),MATCH(BB$5,APOIO_REDES!$5:$5,0)),0)*($AI1334+$AQ1334+$AR1334),0)</f>
        <v>1.56279676834757</v>
      </c>
      <c r="BC1334" s="153" t="n">
        <f aca="false">IFERROR(IF($N1334="VCA",INDEX(APOIO_REDES!$A:$W,MATCH($C1334&amp;$I1334&amp;$H1334&amp;$N1334&amp;$O1334,APOIO_REDES!$W:$W,0),MATCH(BC$5,APOIO_REDES!$5:$5,0)),0)*($AI1334+$AQ1334+$AR1334),0)</f>
        <v>0.0171907316524287</v>
      </c>
      <c r="BD1334" s="153" t="n">
        <f aca="false">IF(AND($N1334="VCA",$AF1334&gt;=1.25,$AF1334&lt;1.5),$M1334*$AF1334*2,0)</f>
        <v>14.3115</v>
      </c>
      <c r="BE1334" s="153" t="n">
        <f aca="false">IF(AND($N1334="VCA",$AF1334&gt;=1.5,$AF1334&lt;3),$M1334*$AF1334*2,0)</f>
        <v>0</v>
      </c>
      <c r="BF1334" s="153" t="n">
        <f aca="false">IF(AND($N1334="VCA",$AF1334&gt;=3),$M1334*$AF1334*2,0)</f>
        <v>0</v>
      </c>
      <c r="BG1334" s="153" t="n">
        <f aca="false">($BB1334+$BC1334)*$AK1334</f>
        <v>8.05793625</v>
      </c>
      <c r="BH1334" s="153" t="n">
        <f aca="false">IF(AND($M1334&lt;&gt;"",$N1334="VCA",$Q1334="LINEAR"),($M1334*2)/100,IF(AND($M1334&lt;&gt;"",$N1334="MND",$Q1334="EMBOQUE"),($AN1334*2)/100,0))</f>
        <v>0.105</v>
      </c>
      <c r="BI1334" s="153" t="n">
        <f aca="false">IF(AND($M1334&lt;&gt;"",$N1334="VCA",$Q1334="LINEAR"),$M1334,IF(AND($M1334&lt;&gt;"",$N1334="MND",$Q1334="EMBOQUE"),$AN1334*2,0))</f>
        <v>5.25</v>
      </c>
      <c r="BJ1334" s="153" t="n">
        <f aca="false">IF(AND($M1334&lt;&gt;"",$N1334="VCA",$Q1334="LINEAR"),($M1334*6.8)/100,IF(AND($M1334&lt;&gt;"",$N1334="MND",$Q1334="EMBOQUE"),($AN1334*2*6.8)/100,0))</f>
        <v>0.357</v>
      </c>
      <c r="BK1334" s="153" t="n">
        <f aca="false">IF(AND($M1334&lt;&gt;"",$N1334="VCA",$Q1334="LINEAR"),($M1334*2.5)/50,IF(AND($M1334&lt;&gt;"",$N1334="MND",$Q1334="EMBOQUE"),($AN1334*2*2.5)/50,0))</f>
        <v>0.2625</v>
      </c>
      <c r="BL1334" s="157" t="str">
        <f aca="false">K1334&amp;J1334</f>
        <v>Zona11REDES</v>
      </c>
      <c r="BM1334" s="152" t="s">
        <v>6084</v>
      </c>
      <c r="BN1334" s="152" t="s">
        <v>1560</v>
      </c>
      <c r="BO1334" s="152" t="s">
        <v>6516</v>
      </c>
      <c r="BP1334" s="152" t="s">
        <v>6584</v>
      </c>
      <c r="BQ1334" s="152" t="s">
        <v>6596</v>
      </c>
      <c r="BR1334" s="152" t="s">
        <v>6597</v>
      </c>
      <c r="BS1334" s="152" t="n">
        <v>204126.869</v>
      </c>
      <c r="BT1334" s="152" t="n">
        <v>8236190.517</v>
      </c>
      <c r="BU1334" s="152" t="n">
        <v>204131.893</v>
      </c>
      <c r="BV1334" s="152" t="n">
        <v>8236192.048</v>
      </c>
      <c r="BW1334" s="152" t="n">
        <v>-15.9359316</v>
      </c>
      <c r="BX1334" s="152" t="n">
        <v>-47.763568</v>
      </c>
      <c r="BY1334" s="152" t="s">
        <v>6584</v>
      </c>
    </row>
    <row r="1335" customFormat="false" ht="13.8" hidden="false" customHeight="false" outlineLevel="0" collapsed="false">
      <c r="A1335" s="149" t="n">
        <f aca="false">IF(C1335&lt;&gt;"",ROW(A1330),"")</f>
        <v>1330</v>
      </c>
      <c r="B1335" s="150" t="str">
        <f aca="false">HYPERLINK("https://www.google.com/maps/dir/-15.917302,-47.760003/-15.9361221,-47.7667441/data=!4m3!4m2!3e0!5i1")</f>
        <v>https://www.google.com/maps/dir/-15.917302,-47.760003/-15.9361221,-47.7667441/data=!4m3!4m2!3e0!5i1</v>
      </c>
      <c r="C1335" s="151" t="s">
        <v>117</v>
      </c>
      <c r="D1335" s="152" t="s">
        <v>112</v>
      </c>
      <c r="E1335" s="152" t="s">
        <v>113</v>
      </c>
      <c r="F1335" s="152" t="s">
        <v>117</v>
      </c>
      <c r="G1335" s="152" t="s">
        <v>782</v>
      </c>
      <c r="H1335" s="152" t="n">
        <v>63</v>
      </c>
      <c r="I1335" s="152" t="s">
        <v>115</v>
      </c>
      <c r="J1335" s="152" t="s">
        <v>6</v>
      </c>
      <c r="K1335" s="152" t="s">
        <v>6081</v>
      </c>
      <c r="L1335" s="152" t="s">
        <v>120</v>
      </c>
      <c r="M1335" s="153" t="n">
        <f aca="false">173.32</f>
        <v>173.32</v>
      </c>
      <c r="N1335" s="152" t="s">
        <v>1548</v>
      </c>
      <c r="O1335" s="152" t="s">
        <v>1549</v>
      </c>
      <c r="P1335" s="152" t="s">
        <v>1550</v>
      </c>
      <c r="Q1335" s="152" t="s">
        <v>1551</v>
      </c>
      <c r="R1335" s="154" t="s">
        <v>6598</v>
      </c>
      <c r="S1335" s="154" t="s">
        <v>1553</v>
      </c>
      <c r="T1335" s="155" t="s">
        <v>6514</v>
      </c>
      <c r="U1335" s="152" t="str">
        <f aca="false">RIGHT(T1335,7)</f>
        <v>024/037</v>
      </c>
      <c r="V1335" s="152" t="s">
        <v>1555</v>
      </c>
      <c r="W1335" s="156" t="n">
        <v>45882</v>
      </c>
      <c r="X1335" s="152" t="s">
        <v>1594</v>
      </c>
      <c r="Y1335" s="152" t="s">
        <v>3251</v>
      </c>
      <c r="Z1335" s="152" t="s">
        <v>1557</v>
      </c>
      <c r="AA1335" s="153" t="n">
        <v>4</v>
      </c>
      <c r="AB1335" s="151" t="s">
        <v>6599</v>
      </c>
      <c r="AC1335" s="151" t="s">
        <v>186</v>
      </c>
      <c r="AD1335" s="151" t="str">
        <f aca="false">CONCATENATE($C1335,$I1335,$H1335,$N1335,$J1335,$K1335)</f>
        <v>TUBO PEADPEAD63VCAREDESZona11</v>
      </c>
      <c r="AE1335" s="153" t="n">
        <f aca="false">IFERROR(INDEX(APOIO_REDES!$A:$W,MATCH($C1335&amp;$I1335&amp;$H1335&amp;$N1335&amp;$O1335,APOIO_REDES!$W:$W,0),MATCH(AE$5,APOIO_REDES!$5:$5,0)),0)</f>
        <v>1.2</v>
      </c>
      <c r="AF1335" s="153" t="n">
        <f aca="false">IFERROR(INDEX(APOIO_REDES!$A:$W,MATCH($C1335&amp;$I1335&amp;$H1335&amp;$N1335&amp;$O1335,APOIO_REDES!$W:$W,0),MATCH(AF$5,APOIO_REDES!$5:$5,0)),0)</f>
        <v>1.363</v>
      </c>
      <c r="AG1335" s="153" t="n">
        <f aca="false">IFERROR(INDEX(APOIO_REDES!$A:$W,MATCH($C1335&amp;$I1335&amp;$H1335&amp;$N1335&amp;$O1335,APOIO_REDES!$W:$W,0),MATCH(AG$5,APOIO_REDES!$5:$5,0)),0)</f>
        <v>0.65</v>
      </c>
      <c r="AH1335" s="153" t="n">
        <f aca="false">IFERROR(INDEX(APOIO_REDES!$A:$W,MATCH($C1335&amp;$I1335&amp;$H1335&amp;$N1335&amp;$O1335,APOIO_REDES!$W:$W,0),MATCH(AH$5,APOIO_REDES!$5:$5,0)),0)</f>
        <v>0.1</v>
      </c>
      <c r="AI1335" s="153" t="n">
        <f aca="false">IFERROR(IF($H1335&lt;&gt;"",(((($H1335/1000)/2)^2)*PI()*$M1335),0),0)</f>
        <v>0.540280957220102</v>
      </c>
      <c r="AJ1335" s="153" t="n">
        <f aca="false">IFERROR(IF(AND($H1335&lt;&gt;"",$I1335="FoFo",OR($N1335="MND",$N1335="VCA"),$Q1335="LINEAR"),0,IF(AND($H1335&lt;&gt;"",$I1335="PEAD",$N1335="VCA",$Q1335="LINEAR"),($H1335/1000)+0.3,IF(AND($H1335&lt;&gt;"",$I1335="PEAD",$N1335="MND",$Q1335="EMBOQUE"),0,IF(AND($H1335&lt;&gt;"",$I1335="PVC",$N1335="VCA",$Q1335="LINEAR"),($H1335/1000)+0.2,IF(AND($H1335&lt;&gt;"",$I1335="PVC",$N1335="MND",$Q1335="EMBOQUE"),0,IF(AND($H1335&lt;&gt;"",$I1335="PEAD",$N1335="VCA",$Q1335="PREDIAL"),0,0)))))),0)</f>
        <v>0.363</v>
      </c>
      <c r="AK1335" s="153" t="n">
        <f aca="false">IF(AA1335&lt;&gt;"",AA1335,0)</f>
        <v>4</v>
      </c>
      <c r="AL1335" s="153" t="n">
        <f aca="false">IF(AND($N1335="MND",$Q1335="EMBOQUE"),$M1335,IF(AND($N1335="VCA",$Q1335="LINEAR"),$M1335,IF(AND($N1335="VCA",$Q1335="PREDIAL"),0,0)))</f>
        <v>173.32</v>
      </c>
      <c r="AM1335" s="153" t="n">
        <f aca="false">IF(AND($N1335="MND",$Q1335="EMBOQUE"),$M1335,IF(AND($N1335="VCA",$Q1335="LINEAR"),$M1335,IF(AND($N1335="VCA",$Q1335="PREDIAL"),0,0)))</f>
        <v>173.32</v>
      </c>
      <c r="AN1335" s="153" t="n">
        <f aca="false">ROUND(IF(AND($N1335="VCA",$M1335&lt;&gt;"",$Q1335="LINEAR"),$M1335/100,IF(AND($N1335="MND",$M1335&gt;100,$Q1335="EMBOQUE"),$M1335/100,0)),0)</f>
        <v>2</v>
      </c>
      <c r="AO1335" s="153" t="n">
        <f aca="false">IF(AND($N1335="MND",$Q1335="EMBOQUE"),$AN1335*2*2,IF(AND($N1335="VCA",$Q1335="LINEAR"),$M1335*2,IF(AND($N1335="VCA",$Q1335="PREDIAL"),0,0)))</f>
        <v>346.64</v>
      </c>
      <c r="AP1335" s="153" t="n">
        <f aca="false">IFERROR($M1335*$AF1335*$AG1335,0)</f>
        <v>153.552854</v>
      </c>
      <c r="AQ1335" s="153" t="n">
        <f aca="false">IFERROR(IF(AND($N1335="VCA",$AH1335&gt;0),$M1335*$AG1335*$AH1335,0),0)</f>
        <v>11.2658</v>
      </c>
      <c r="AR1335" s="153" t="n">
        <f aca="false">IFERROR(IF(AND($N1335="VCA",$AJ1335&gt;0),($M1335*$AG1335*$AJ1335)-$AI1335,0),0)</f>
        <v>40.3545730427799</v>
      </c>
      <c r="AS1335" s="153" t="n">
        <f aca="false">IFERROR(IF(AND($N1335="VCA",$AP1335&gt;0),$AP1335-$AI1335-$AQ1335-$AR1335,0),0)</f>
        <v>101.3922</v>
      </c>
      <c r="AT1335" s="153" t="n">
        <f aca="false">IFERROR(IF($N1335="VCA",INDEX(APOIO_REDES!$A:$W,MATCH($C1335&amp;$I1335&amp;$H1335&amp;$N1335&amp;$O1335,APOIO_REDES!$W:$W,0),MATCH(AT$5,APOIO_REDES!$5:$5,0)),0)*$AP1335,0)</f>
        <v>1.67070050084483</v>
      </c>
      <c r="AU1335" s="153" t="n">
        <f aca="false">IFERROR(IF($N1335="VCA",INDEX(APOIO_REDES!$A:$W,MATCH($C1335&amp;$I1335&amp;$H1335&amp;$N1335&amp;$O1335,APOIO_REDES!$W:$W,0),MATCH(AU$5,APOIO_REDES!$5:$5,0)),0)*$AP1335,0)</f>
        <v>1.3341761716667</v>
      </c>
      <c r="AV1335" s="153" t="n">
        <f aca="false">IFERROR(IF($N1335="VCA",INDEX(APOIO_REDES!$A:$W,MATCH($C1335&amp;$I1335&amp;$H1335&amp;$N1335&amp;$O1335,APOIO_REDES!$W:$W,0),MATCH(AV$5,APOIO_REDES!$5:$5,0)),0)*$AP1335,0)</f>
        <v>0.184639508465071</v>
      </c>
      <c r="AW1335" s="153" t="n">
        <f aca="false">IFERROR(IF($N1335="VCA",INDEX(APOIO_REDES!$A:$W,MATCH($C1335&amp;$I1335&amp;$H1335&amp;$N1335&amp;$O1335,APOIO_REDES!$W:$W,0),MATCH(AW$5,APOIO_REDES!$5:$5,0)),0)*$AP1335,0)</f>
        <v>105.399868771171</v>
      </c>
      <c r="AX1335" s="153" t="n">
        <f aca="false">IFERROR(IF($N1335="VCA",INDEX(APOIO_REDES!$A:$W,MATCH($C1335&amp;$I1335&amp;$H1335&amp;$N1335&amp;$O1335,APOIO_REDES!$W:$W,0),MATCH(AX$5,APOIO_REDES!$5:$5,0)),0)*$AP1335,0)</f>
        <v>14.5870416007208</v>
      </c>
      <c r="AY1335" s="153" t="n">
        <f aca="false">IFERROR(IF($N1335="VCA",INDEX(APOIO_REDES!$A:$W,MATCH($C1335&amp;$I1335&amp;$H1335&amp;$N1335&amp;$O1335,APOIO_REDES!$W:$W,0),MATCH(AY$5,APOIO_REDES!$5:$5,0)),0)*$AP1335,0)</f>
        <v>26.6835071698347</v>
      </c>
      <c r="AZ1335" s="153" t="n">
        <f aca="false">IFERROR(IF($N1335="VCA",INDEX(APOIO_REDES!$A:$W,MATCH($C1335&amp;$I1335&amp;$H1335&amp;$N1335&amp;$O1335,APOIO_REDES!$W:$W,0),MATCH(AZ$5,APOIO_REDES!$5:$5,0)),0)*$AP1335,0)</f>
        <v>3.69292027729646</v>
      </c>
      <c r="BA1335" s="153" t="n">
        <f aca="false">IFERROR(IF(AND($N1335="VCA",$Q1335="LINEAR"),INDEX(APOIO_REDES!$A:$W,MATCH($C1335&amp;$I1335&amp;$H1335&amp;$N1335&amp;$O1335,APOIO_REDES!$W:$W,0),MATCH(BA$5,APOIO_REDES!$5:$5,0)),IF(AND($N1335="MND",$Q1335="EMBOQUE"),INDEX(APOIO_REDES!$A:$W,MATCH($C1335&amp;$I1335&amp;$H1335&amp;$N1335&amp;$O1335,APOIO_REDES!$W:$W,0),MATCH(BA$5,APOIO_REDES!$5:$5,0)),0))*$M1335/10,0)</f>
        <v>13.9691548141275</v>
      </c>
      <c r="BB1335" s="153" t="n">
        <f aca="false">IFERROR(IF($N1335="VCA",INDEX(APOIO_REDES!$A:$W,MATCH($C1335&amp;$I1335&amp;$H1335&amp;$N1335&amp;$O1335,APOIO_REDES!$W:$W,0),MATCH(BB$5,APOIO_REDES!$5:$5,0)),0)*($AI1335+$AQ1335+$AR1335),0)</f>
        <v>51.5931306457145</v>
      </c>
      <c r="BC1335" s="153" t="n">
        <f aca="false">IFERROR(IF($N1335="VCA",INDEX(APOIO_REDES!$A:$W,MATCH($C1335&amp;$I1335&amp;$H1335&amp;$N1335&amp;$O1335,APOIO_REDES!$W:$W,0),MATCH(BC$5,APOIO_REDES!$5:$5,0)),0)*($AI1335+$AQ1335+$AR1335),0)</f>
        <v>0.567523354285514</v>
      </c>
      <c r="BD1335" s="153" t="n">
        <f aca="false">IF(AND($N1335="VCA",$AF1335&gt;=1.25,$AF1335&lt;1.5),$M1335*$AF1335*2,0)</f>
        <v>472.47032</v>
      </c>
      <c r="BE1335" s="153" t="n">
        <f aca="false">IF(AND($N1335="VCA",$AF1335&gt;=1.5,$AF1335&lt;3),$M1335*$AF1335*2,0)</f>
        <v>0</v>
      </c>
      <c r="BF1335" s="153" t="n">
        <f aca="false">IF(AND($N1335="VCA",$AF1335&gt;=3),$M1335*$AF1335*2,0)</f>
        <v>0</v>
      </c>
      <c r="BG1335" s="153" t="n">
        <f aca="false">($BB1335+$BC1335)*$AK1335</f>
        <v>208.642616</v>
      </c>
      <c r="BH1335" s="153" t="n">
        <f aca="false">IF(AND($M1335&lt;&gt;"",$N1335="VCA",$Q1335="LINEAR"),($M1335*2)/100,IF(AND($M1335&lt;&gt;"",$N1335="MND",$Q1335="EMBOQUE"),($AN1335*2)/100,0))</f>
        <v>3.4664</v>
      </c>
      <c r="BI1335" s="153" t="n">
        <f aca="false">IF(AND($M1335&lt;&gt;"",$N1335="VCA",$Q1335="LINEAR"),$M1335,IF(AND($M1335&lt;&gt;"",$N1335="MND",$Q1335="EMBOQUE"),$AN1335*2,0))</f>
        <v>173.32</v>
      </c>
      <c r="BJ1335" s="153" t="n">
        <f aca="false">IF(AND($M1335&lt;&gt;"",$N1335="VCA",$Q1335="LINEAR"),($M1335*6.8)/100,IF(AND($M1335&lt;&gt;"",$N1335="MND",$Q1335="EMBOQUE"),($AN1335*2*6.8)/100,0))</f>
        <v>11.78576</v>
      </c>
      <c r="BK1335" s="153" t="n">
        <f aca="false">IF(AND($M1335&lt;&gt;"",$N1335="VCA",$Q1335="LINEAR"),($M1335*2.5)/50,IF(AND($M1335&lt;&gt;"",$N1335="MND",$Q1335="EMBOQUE"),($AN1335*2*2.5)/50,0))</f>
        <v>8.666</v>
      </c>
      <c r="BL1335" s="157" t="str">
        <f aca="false">K1335&amp;J1335</f>
        <v>Zona11REDES</v>
      </c>
      <c r="BM1335" s="152" t="s">
        <v>6084</v>
      </c>
      <c r="BN1335" s="152" t="s">
        <v>1560</v>
      </c>
      <c r="BO1335" s="152" t="s">
        <v>6516</v>
      </c>
      <c r="BP1335" s="152" t="s">
        <v>6090</v>
      </c>
      <c r="BQ1335" s="152" t="s">
        <v>6239</v>
      </c>
      <c r="BR1335" s="152" t="s">
        <v>6600</v>
      </c>
      <c r="BS1335" s="152" t="n">
        <v>203789.402</v>
      </c>
      <c r="BT1335" s="152" t="n">
        <v>8236165.671</v>
      </c>
      <c r="BU1335" s="152" t="n">
        <v>203956.824</v>
      </c>
      <c r="BV1335" s="152" t="n">
        <v>8236210.232</v>
      </c>
      <c r="BW1335" s="152" t="n">
        <v>-15.9359204</v>
      </c>
      <c r="BX1335" s="152" t="n">
        <v>-47.7659627</v>
      </c>
      <c r="BY1335" s="152" t="s">
        <v>6090</v>
      </c>
    </row>
    <row r="1336" customFormat="false" ht="13.8" hidden="false" customHeight="false" outlineLevel="0" collapsed="false">
      <c r="A1336" s="149" t="n">
        <f aca="false">IF(C1336&lt;&gt;"",ROW(A1331),"")</f>
        <v>1331</v>
      </c>
      <c r="B1336" s="150" t="str">
        <f aca="false">HYPERLINK("https://www.google.com/maps/dir/-15.917302,-47.760003/-15.9361530,-47.7628046/data=!4m3!4m2!3e0!5i2")</f>
        <v>https://www.google.com/maps/dir/-15.917302,-47.760003/-15.9361530,-47.7628046/data=!4m3!4m2!3e0!5i2</v>
      </c>
      <c r="C1336" s="151" t="s">
        <v>117</v>
      </c>
      <c r="D1336" s="152" t="s">
        <v>112</v>
      </c>
      <c r="E1336" s="152" t="s">
        <v>113</v>
      </c>
      <c r="F1336" s="152" t="s">
        <v>117</v>
      </c>
      <c r="G1336" s="152" t="s">
        <v>782</v>
      </c>
      <c r="H1336" s="152" t="n">
        <v>63</v>
      </c>
      <c r="I1336" s="152" t="s">
        <v>115</v>
      </c>
      <c r="J1336" s="152" t="s">
        <v>6</v>
      </c>
      <c r="K1336" s="152" t="s">
        <v>6081</v>
      </c>
      <c r="L1336" s="152" t="s">
        <v>120</v>
      </c>
      <c r="M1336" s="153" t="n">
        <f aca="false">151.84+0.63</f>
        <v>152.47</v>
      </c>
      <c r="N1336" s="152" t="s">
        <v>1548</v>
      </c>
      <c r="O1336" s="152" t="s">
        <v>1549</v>
      </c>
      <c r="P1336" s="152" t="s">
        <v>1550</v>
      </c>
      <c r="Q1336" s="152" t="s">
        <v>1551</v>
      </c>
      <c r="R1336" s="154" t="s">
        <v>6601</v>
      </c>
      <c r="S1336" s="154" t="s">
        <v>1553</v>
      </c>
      <c r="T1336" s="155" t="s">
        <v>6514</v>
      </c>
      <c r="U1336" s="152" t="str">
        <f aca="false">RIGHT(T1336,7)</f>
        <v>024/037</v>
      </c>
      <c r="V1336" s="152" t="s">
        <v>1555</v>
      </c>
      <c r="W1336" s="156" t="n">
        <v>45882</v>
      </c>
      <c r="X1336" s="152" t="s">
        <v>3938</v>
      </c>
      <c r="Y1336" s="152" t="s">
        <v>2524</v>
      </c>
      <c r="Z1336" s="152" t="s">
        <v>1557</v>
      </c>
      <c r="AA1336" s="153" t="n">
        <v>4.9</v>
      </c>
      <c r="AB1336" s="151" t="s">
        <v>6602</v>
      </c>
      <c r="AC1336" s="151" t="s">
        <v>186</v>
      </c>
      <c r="AD1336" s="151" t="str">
        <f aca="false">CONCATENATE($C1336,$I1336,$H1336,$N1336,$J1336,$K1336)</f>
        <v>TUBO PEADPEAD63VCAREDESZona11</v>
      </c>
      <c r="AE1336" s="153" t="n">
        <f aca="false">IFERROR(INDEX(APOIO_REDES!$A:$W,MATCH($C1336&amp;$I1336&amp;$H1336&amp;$N1336&amp;$O1336,APOIO_REDES!$W:$W,0),MATCH(AE$5,APOIO_REDES!$5:$5,0)),0)</f>
        <v>1.2</v>
      </c>
      <c r="AF1336" s="153" t="n">
        <f aca="false">IFERROR(INDEX(APOIO_REDES!$A:$W,MATCH($C1336&amp;$I1336&amp;$H1336&amp;$N1336&amp;$O1336,APOIO_REDES!$W:$W,0),MATCH(AF$5,APOIO_REDES!$5:$5,0)),0)</f>
        <v>1.363</v>
      </c>
      <c r="AG1336" s="153" t="n">
        <f aca="false">IFERROR(INDEX(APOIO_REDES!$A:$W,MATCH($C1336&amp;$I1336&amp;$H1336&amp;$N1336&amp;$O1336,APOIO_REDES!$W:$W,0),MATCH(AG$5,APOIO_REDES!$5:$5,0)),0)</f>
        <v>0.65</v>
      </c>
      <c r="AH1336" s="153" t="n">
        <f aca="false">IFERROR(INDEX(APOIO_REDES!$A:$W,MATCH($C1336&amp;$I1336&amp;$H1336&amp;$N1336&amp;$O1336,APOIO_REDES!$W:$W,0),MATCH(AH$5,APOIO_REDES!$5:$5,0)),0)</f>
        <v>0.1</v>
      </c>
      <c r="AI1336" s="153" t="n">
        <f aca="false">IFERROR(IF($H1336&lt;&gt;"",(((($H1336/1000)/2)^2)*PI()*$M1336),0),0)</f>
        <v>0.475286392495666</v>
      </c>
      <c r="AJ1336" s="153" t="n">
        <f aca="false">IFERROR(IF(AND($H1336&lt;&gt;"",$I1336="FoFo",OR($N1336="MND",$N1336="VCA"),$Q1336="LINEAR"),0,IF(AND($H1336&lt;&gt;"",$I1336="PEAD",$N1336="VCA",$Q1336="LINEAR"),($H1336/1000)+0.3,IF(AND($H1336&lt;&gt;"",$I1336="PEAD",$N1336="MND",$Q1336="EMBOQUE"),0,IF(AND($H1336&lt;&gt;"",$I1336="PVC",$N1336="VCA",$Q1336="LINEAR"),($H1336/1000)+0.2,IF(AND($H1336&lt;&gt;"",$I1336="PVC",$N1336="MND",$Q1336="EMBOQUE"),0,IF(AND($H1336&lt;&gt;"",$I1336="PEAD",$N1336="VCA",$Q1336="PREDIAL"),0,0)))))),0)</f>
        <v>0.363</v>
      </c>
      <c r="AK1336" s="153" t="n">
        <f aca="false">IF(AA1336&lt;&gt;"",AA1336,0)</f>
        <v>4.9</v>
      </c>
      <c r="AL1336" s="153" t="n">
        <f aca="false">IF(AND($N1336="MND",$Q1336="EMBOQUE"),$M1336,IF(AND($N1336="VCA",$Q1336="LINEAR"),$M1336,IF(AND($N1336="VCA",$Q1336="PREDIAL"),0,0)))</f>
        <v>152.47</v>
      </c>
      <c r="AM1336" s="153" t="n">
        <f aca="false">IF(AND($N1336="MND",$Q1336="EMBOQUE"),$M1336,IF(AND($N1336="VCA",$Q1336="LINEAR"),$M1336,IF(AND($N1336="VCA",$Q1336="PREDIAL"),0,0)))</f>
        <v>152.47</v>
      </c>
      <c r="AN1336" s="153" t="n">
        <f aca="false">ROUND(IF(AND($N1336="VCA",$M1336&lt;&gt;"",$Q1336="LINEAR"),$M1336/100,IF(AND($N1336="MND",$M1336&gt;100,$Q1336="EMBOQUE"),$M1336/100,0)),0)</f>
        <v>2</v>
      </c>
      <c r="AO1336" s="153" t="n">
        <f aca="false">IF(AND($N1336="MND",$Q1336="EMBOQUE"),$AN1336*2*2,IF(AND($N1336="VCA",$Q1336="LINEAR"),$M1336*2,IF(AND($N1336="VCA",$Q1336="PREDIAL"),0,0)))</f>
        <v>304.94</v>
      </c>
      <c r="AP1336" s="153" t="n">
        <f aca="false">IFERROR($M1336*$AF1336*$AG1336,0)</f>
        <v>135.0807965</v>
      </c>
      <c r="AQ1336" s="153" t="n">
        <f aca="false">IFERROR(IF(AND($N1336="VCA",$AH1336&gt;0),$M1336*$AG1336*$AH1336,0),0)</f>
        <v>9.91055</v>
      </c>
      <c r="AR1336" s="153" t="n">
        <f aca="false">IFERROR(IF(AND($N1336="VCA",$AJ1336&gt;0),($M1336*$AG1336*$AJ1336)-$AI1336,0),0)</f>
        <v>35.5000101075043</v>
      </c>
      <c r="AS1336" s="153" t="n">
        <f aca="false">IFERROR(IF(AND($N1336="VCA",$AP1336&gt;0),$AP1336-$AI1336-$AQ1336-$AR1336,0),0)</f>
        <v>89.19495</v>
      </c>
      <c r="AT1336" s="153" t="n">
        <f aca="false">IFERROR(IF($N1336="VCA",INDEX(APOIO_REDES!$A:$W,MATCH($C1336&amp;$I1336&amp;$H1336&amp;$N1336&amp;$O1336,APOIO_REDES!$W:$W,0),MATCH(AT$5,APOIO_REDES!$5:$5,0)),0)*$AP1336,0)</f>
        <v>1.46971904779489</v>
      </c>
      <c r="AU1336" s="153" t="n">
        <f aca="false">IFERROR(IF($N1336="VCA",INDEX(APOIO_REDES!$A:$W,MATCH($C1336&amp;$I1336&amp;$H1336&amp;$N1336&amp;$O1336,APOIO_REDES!$W:$W,0),MATCH(AU$5,APOIO_REDES!$5:$5,0)),0)*$AP1336,0)</f>
        <v>1.17367782652909</v>
      </c>
      <c r="AV1336" s="153" t="n">
        <f aca="false">IFERROR(IF($N1336="VCA",INDEX(APOIO_REDES!$A:$W,MATCH($C1336&amp;$I1336&amp;$H1336&amp;$N1336&amp;$O1336,APOIO_REDES!$W:$W,0),MATCH(AV$5,APOIO_REDES!$5:$5,0)),0)*$AP1336,0)</f>
        <v>0.162427797459435</v>
      </c>
      <c r="AW1336" s="153" t="n">
        <f aca="false">IFERROR(IF($N1336="VCA",INDEX(APOIO_REDES!$A:$W,MATCH($C1336&amp;$I1336&amp;$H1336&amp;$N1336&amp;$O1336,APOIO_REDES!$W:$W,0),MATCH(AW$5,APOIO_REDES!$5:$5,0)),0)*$AP1336,0)</f>
        <v>92.7205053746856</v>
      </c>
      <c r="AX1336" s="153" t="n">
        <f aca="false">IFERROR(IF($N1336="VCA",INDEX(APOIO_REDES!$A:$W,MATCH($C1336&amp;$I1336&amp;$H1336&amp;$N1336&amp;$O1336,APOIO_REDES!$W:$W,0),MATCH(AX$5,APOIO_REDES!$5:$5,0)),0)*$AP1336,0)</f>
        <v>12.8322538244974</v>
      </c>
      <c r="AY1336" s="153" t="n">
        <f aca="false">IFERROR(IF($N1336="VCA",INDEX(APOIO_REDES!$A:$W,MATCH($C1336&amp;$I1336&amp;$H1336&amp;$N1336&amp;$O1336,APOIO_REDES!$W:$W,0),MATCH(AY$5,APOIO_REDES!$5:$5,0)),0)*$AP1336,0)</f>
        <v>23.4735422235443</v>
      </c>
      <c r="AZ1336" s="153" t="n">
        <f aca="false">IFERROR(IF($N1336="VCA",INDEX(APOIO_REDES!$A:$W,MATCH($C1336&amp;$I1336&amp;$H1336&amp;$N1336&amp;$O1336,APOIO_REDES!$W:$W,0),MATCH(AZ$5,APOIO_REDES!$5:$5,0)),0)*$AP1336,0)</f>
        <v>3.24867040548922</v>
      </c>
      <c r="BA1336" s="153" t="n">
        <f aca="false">IFERROR(IF(AND($N1336="VCA",$Q1336="LINEAR"),INDEX(APOIO_REDES!$A:$W,MATCH($C1336&amp;$I1336&amp;$H1336&amp;$N1336&amp;$O1336,APOIO_REDES!$W:$W,0),MATCH(BA$5,APOIO_REDES!$5:$5,0)),IF(AND($N1336="MND",$Q1336="EMBOQUE"),INDEX(APOIO_REDES!$A:$W,MATCH($C1336&amp;$I1336&amp;$H1336&amp;$N1336&amp;$O1336,APOIO_REDES!$W:$W,0),MATCH(BA$5,APOIO_REDES!$5:$5,0)),0))*$M1336/10,0)</f>
        <v>12.2886974065891</v>
      </c>
      <c r="BB1336" s="153" t="n">
        <f aca="false">IFERROR(IF($N1336="VCA",INDEX(APOIO_REDES!$A:$W,MATCH($C1336&amp;$I1336&amp;$H1336&amp;$N1336&amp;$O1336,APOIO_REDES!$W:$W,0),MATCH(BB$5,APOIO_REDES!$5:$5,0)),0)*($AI1336+$AQ1336+$AR1336),0)</f>
        <v>45.3865949085627</v>
      </c>
      <c r="BC1336" s="153" t="n">
        <f aca="false">IFERROR(IF($N1336="VCA",INDEX(APOIO_REDES!$A:$W,MATCH($C1336&amp;$I1336&amp;$H1336&amp;$N1336&amp;$O1336,APOIO_REDES!$W:$W,0),MATCH(BC$5,APOIO_REDES!$5:$5,0)),0)*($AI1336+$AQ1336+$AR1336),0)</f>
        <v>0.499251591437297</v>
      </c>
      <c r="BD1336" s="153" t="n">
        <f aca="false">IF(AND($N1336="VCA",$AF1336&gt;=1.25,$AF1336&lt;1.5),$M1336*$AF1336*2,0)</f>
        <v>415.63322</v>
      </c>
      <c r="BE1336" s="153" t="n">
        <f aca="false">IF(AND($N1336="VCA",$AF1336&gt;=1.5,$AF1336&lt;3),$M1336*$AF1336*2,0)</f>
        <v>0</v>
      </c>
      <c r="BF1336" s="153" t="n">
        <f aca="false">IF(AND($N1336="VCA",$AF1336&gt;=3),$M1336*$AF1336*2,0)</f>
        <v>0</v>
      </c>
      <c r="BG1336" s="153" t="n">
        <f aca="false">($BB1336+$BC1336)*$AK1336</f>
        <v>224.84064785</v>
      </c>
      <c r="BH1336" s="153" t="n">
        <f aca="false">IF(AND($M1336&lt;&gt;"",$N1336="VCA",$Q1336="LINEAR"),($M1336*2)/100,IF(AND($M1336&lt;&gt;"",$N1336="MND",$Q1336="EMBOQUE"),($AN1336*2)/100,0))</f>
        <v>3.0494</v>
      </c>
      <c r="BI1336" s="153" t="n">
        <f aca="false">IF(AND($M1336&lt;&gt;"",$N1336="VCA",$Q1336="LINEAR"),$M1336,IF(AND($M1336&lt;&gt;"",$N1336="MND",$Q1336="EMBOQUE"),$AN1336*2,0))</f>
        <v>152.47</v>
      </c>
      <c r="BJ1336" s="153" t="n">
        <f aca="false">IF(AND($M1336&lt;&gt;"",$N1336="VCA",$Q1336="LINEAR"),($M1336*6.8)/100,IF(AND($M1336&lt;&gt;"",$N1336="MND",$Q1336="EMBOQUE"),($AN1336*2*6.8)/100,0))</f>
        <v>10.36796</v>
      </c>
      <c r="BK1336" s="153" t="n">
        <f aca="false">IF(AND($M1336&lt;&gt;"",$N1336="VCA",$Q1336="LINEAR"),($M1336*2.5)/50,IF(AND($M1336&lt;&gt;"",$N1336="MND",$Q1336="EMBOQUE"),($AN1336*2*2.5)/50,0))</f>
        <v>7.6235</v>
      </c>
      <c r="BL1336" s="157" t="str">
        <f aca="false">K1336&amp;J1336</f>
        <v>Zona11REDES</v>
      </c>
      <c r="BM1336" s="152" t="s">
        <v>6084</v>
      </c>
      <c r="BN1336" s="152" t="s">
        <v>1560</v>
      </c>
      <c r="BO1336" s="152" t="s">
        <v>6516</v>
      </c>
      <c r="BP1336" s="152" t="s">
        <v>6603</v>
      </c>
      <c r="BQ1336" s="152" t="s">
        <v>6540</v>
      </c>
      <c r="BR1336" s="152" t="s">
        <v>6604</v>
      </c>
      <c r="BS1336" s="152" t="n">
        <v>204211.5</v>
      </c>
      <c r="BT1336" s="152" t="n">
        <v>8236167.844</v>
      </c>
      <c r="BU1336" s="152" t="n">
        <v>204358.177</v>
      </c>
      <c r="BV1336" s="152" t="n">
        <v>8236206.799</v>
      </c>
      <c r="BW1336" s="152" t="n">
        <v>-15.9359781</v>
      </c>
      <c r="BX1336" s="152" t="n">
        <v>-47.7621196</v>
      </c>
      <c r="BY1336" s="152" t="s">
        <v>6603</v>
      </c>
    </row>
    <row r="1337" customFormat="false" ht="13.8" hidden="false" customHeight="false" outlineLevel="0" collapsed="false">
      <c r="A1337" s="149" t="n">
        <f aca="false">IF(C1337&lt;&gt;"",ROW(A1332),"")</f>
        <v>1332</v>
      </c>
      <c r="B1337" s="150" t="str">
        <f aca="false">HYPERLINK("https://www.google.com/maps/dir/-15.917302,-47.760003/-15.9361530,-47.7628046/data=!4m3!4m2!3e0!5i2")</f>
        <v>https://www.google.com/maps/dir/-15.917302,-47.760003/-15.9361530,-47.7628046/data=!4m3!4m2!3e0!5i2</v>
      </c>
      <c r="C1337" s="151" t="s">
        <v>117</v>
      </c>
      <c r="D1337" s="152" t="s">
        <v>112</v>
      </c>
      <c r="E1337" s="152" t="s">
        <v>113</v>
      </c>
      <c r="F1337" s="152" t="s">
        <v>117</v>
      </c>
      <c r="G1337" s="152" t="s">
        <v>782</v>
      </c>
      <c r="H1337" s="152" t="n">
        <v>63</v>
      </c>
      <c r="I1337" s="152" t="s">
        <v>115</v>
      </c>
      <c r="J1337" s="152" t="s">
        <v>6</v>
      </c>
      <c r="K1337" s="152" t="s">
        <v>6081</v>
      </c>
      <c r="L1337" s="152" t="s">
        <v>120</v>
      </c>
      <c r="M1337" s="153" t="n">
        <f aca="false">38.39</f>
        <v>38.39</v>
      </c>
      <c r="N1337" s="152" t="s">
        <v>1548</v>
      </c>
      <c r="O1337" s="152" t="s">
        <v>1549</v>
      </c>
      <c r="P1337" s="152" t="s">
        <v>1550</v>
      </c>
      <c r="Q1337" s="152" t="s">
        <v>1551</v>
      </c>
      <c r="R1337" s="154" t="s">
        <v>6605</v>
      </c>
      <c r="S1337" s="154" t="s">
        <v>1553</v>
      </c>
      <c r="T1337" s="155" t="s">
        <v>6514</v>
      </c>
      <c r="U1337" s="152" t="str">
        <f aca="false">RIGHT(T1337,7)</f>
        <v>024/037</v>
      </c>
      <c r="V1337" s="152" t="s">
        <v>1555</v>
      </c>
      <c r="W1337" s="156" t="n">
        <v>45882</v>
      </c>
      <c r="X1337" s="152" t="s">
        <v>3938</v>
      </c>
      <c r="Y1337" s="152" t="s">
        <v>2524</v>
      </c>
      <c r="Z1337" s="152" t="s">
        <v>1557</v>
      </c>
      <c r="AA1337" s="153" t="n">
        <v>4.9</v>
      </c>
      <c r="AB1337" s="151" t="s">
        <v>6606</v>
      </c>
      <c r="AC1337" s="151" t="s">
        <v>186</v>
      </c>
      <c r="AD1337" s="151" t="str">
        <f aca="false">CONCATENATE($C1337,$I1337,$H1337,$N1337,$J1337,$K1337)</f>
        <v>TUBO PEADPEAD63VCAREDESZona11</v>
      </c>
      <c r="AE1337" s="153" t="n">
        <f aca="false">IFERROR(INDEX(APOIO_REDES!$A:$W,MATCH($C1337&amp;$I1337&amp;$H1337&amp;$N1337&amp;$O1337,APOIO_REDES!$W:$W,0),MATCH(AE$5,APOIO_REDES!$5:$5,0)),0)</f>
        <v>1.2</v>
      </c>
      <c r="AF1337" s="153" t="n">
        <f aca="false">IFERROR(INDEX(APOIO_REDES!$A:$W,MATCH($C1337&amp;$I1337&amp;$H1337&amp;$N1337&amp;$O1337,APOIO_REDES!$W:$W,0),MATCH(AF$5,APOIO_REDES!$5:$5,0)),0)</f>
        <v>1.363</v>
      </c>
      <c r="AG1337" s="153" t="n">
        <f aca="false">IFERROR(INDEX(APOIO_REDES!$A:$W,MATCH($C1337&amp;$I1337&amp;$H1337&amp;$N1337&amp;$O1337,APOIO_REDES!$W:$W,0),MATCH(AG$5,APOIO_REDES!$5:$5,0)),0)</f>
        <v>0.65</v>
      </c>
      <c r="AH1337" s="153" t="n">
        <f aca="false">IFERROR(INDEX(APOIO_REDES!$A:$W,MATCH($C1337&amp;$I1337&amp;$H1337&amp;$N1337&amp;$O1337,APOIO_REDES!$W:$W,0),MATCH(AH$5,APOIO_REDES!$5:$5,0)),0)</f>
        <v>0.1</v>
      </c>
      <c r="AI1337" s="153" t="n">
        <f aca="false">IFERROR(IF($H1337&lt;&gt;"",(((($H1337/1000)/2)^2)*PI()*$M1337),0),0)</f>
        <v>0.119671047471034</v>
      </c>
      <c r="AJ1337" s="153" t="n">
        <f aca="false">IFERROR(IF(AND($H1337&lt;&gt;"",$I1337="FoFo",OR($N1337="MND",$N1337="VCA"),$Q1337="LINEAR"),0,IF(AND($H1337&lt;&gt;"",$I1337="PEAD",$N1337="VCA",$Q1337="LINEAR"),($H1337/1000)+0.3,IF(AND($H1337&lt;&gt;"",$I1337="PEAD",$N1337="MND",$Q1337="EMBOQUE"),0,IF(AND($H1337&lt;&gt;"",$I1337="PVC",$N1337="VCA",$Q1337="LINEAR"),($H1337/1000)+0.2,IF(AND($H1337&lt;&gt;"",$I1337="PVC",$N1337="MND",$Q1337="EMBOQUE"),0,IF(AND($H1337&lt;&gt;"",$I1337="PEAD",$N1337="VCA",$Q1337="PREDIAL"),0,0)))))),0)</f>
        <v>0.363</v>
      </c>
      <c r="AK1337" s="153" t="n">
        <f aca="false">IF(AA1337&lt;&gt;"",AA1337,0)</f>
        <v>4.9</v>
      </c>
      <c r="AL1337" s="153" t="n">
        <f aca="false">IF(AND($N1337="MND",$Q1337="EMBOQUE"),$M1337,IF(AND($N1337="VCA",$Q1337="LINEAR"),$M1337,IF(AND($N1337="VCA",$Q1337="PREDIAL"),0,0)))</f>
        <v>38.39</v>
      </c>
      <c r="AM1337" s="153" t="n">
        <f aca="false">IF(AND($N1337="MND",$Q1337="EMBOQUE"),$M1337,IF(AND($N1337="VCA",$Q1337="LINEAR"),$M1337,IF(AND($N1337="VCA",$Q1337="PREDIAL"),0,0)))</f>
        <v>38.39</v>
      </c>
      <c r="AN1337" s="153" t="n">
        <f aca="false">ROUND(IF(AND($N1337="VCA",$M1337&lt;&gt;"",$Q1337="LINEAR"),$M1337/100,IF(AND($N1337="MND",$M1337&gt;100,$Q1337="EMBOQUE"),$M1337/100,0)),0)</f>
        <v>0</v>
      </c>
      <c r="AO1337" s="153" t="n">
        <f aca="false">IF(AND($N1337="MND",$Q1337="EMBOQUE"),$AN1337*2*2,IF(AND($N1337="VCA",$Q1337="LINEAR"),$M1337*2,IF(AND($N1337="VCA",$Q1337="PREDIAL"),0,0)))</f>
        <v>76.78</v>
      </c>
      <c r="AP1337" s="153" t="n">
        <f aca="false">IFERROR($M1337*$AF1337*$AG1337,0)</f>
        <v>34.0116205</v>
      </c>
      <c r="AQ1337" s="153" t="n">
        <f aca="false">IFERROR(IF(AND($N1337="VCA",$AH1337&gt;0),$M1337*$AG1337*$AH1337,0),0)</f>
        <v>2.49535</v>
      </c>
      <c r="AR1337" s="153" t="n">
        <f aca="false">IFERROR(IF(AND($N1337="VCA",$AJ1337&gt;0),($M1337*$AG1337*$AJ1337)-$AI1337,0),0)</f>
        <v>8.93844945252897</v>
      </c>
      <c r="AS1337" s="153" t="n">
        <f aca="false">IFERROR(IF(AND($N1337="VCA",$AP1337&gt;0),$AP1337-$AI1337-$AQ1337-$AR1337,0),0)</f>
        <v>22.45815</v>
      </c>
      <c r="AT1337" s="153" t="n">
        <f aca="false">IFERROR(IF($N1337="VCA",INDEX(APOIO_REDES!$A:$W,MATCH($C1337&amp;$I1337&amp;$H1337&amp;$N1337&amp;$O1337,APOIO_REDES!$W:$W,0),MATCH(AT$5,APOIO_REDES!$5:$5,0)),0)*$AP1337,0)</f>
        <v>0.370056497965803</v>
      </c>
      <c r="AU1337" s="153" t="n">
        <f aca="false">IFERROR(IF($N1337="VCA",INDEX(APOIO_REDES!$A:$W,MATCH($C1337&amp;$I1337&amp;$H1337&amp;$N1337&amp;$O1337,APOIO_REDES!$W:$W,0),MATCH(AU$5,APOIO_REDES!$5:$5,0)),0)*$AP1337,0)</f>
        <v>0.295517096874479</v>
      </c>
      <c r="AV1337" s="153" t="n">
        <f aca="false">IFERROR(IF($N1337="VCA",INDEX(APOIO_REDES!$A:$W,MATCH($C1337&amp;$I1337&amp;$H1337&amp;$N1337&amp;$O1337,APOIO_REDES!$W:$W,0),MATCH(AV$5,APOIO_REDES!$5:$5,0)),0)*$AP1337,0)</f>
        <v>0.0408972463072587</v>
      </c>
      <c r="AW1337" s="153" t="n">
        <f aca="false">IFERROR(IF($N1337="VCA",INDEX(APOIO_REDES!$A:$W,MATCH($C1337&amp;$I1337&amp;$H1337&amp;$N1337&amp;$O1337,APOIO_REDES!$W:$W,0),MATCH(AW$5,APOIO_REDES!$5:$5,0)),0)*$AP1337,0)</f>
        <v>23.3458398460955</v>
      </c>
      <c r="AX1337" s="153" t="n">
        <f aca="false">IFERROR(IF($N1337="VCA",INDEX(APOIO_REDES!$A:$W,MATCH($C1337&amp;$I1337&amp;$H1337&amp;$N1337&amp;$O1337,APOIO_REDES!$W:$W,0),MATCH(AX$5,APOIO_REDES!$5:$5,0)),0)*$AP1337,0)</f>
        <v>3.23099773281601</v>
      </c>
      <c r="AY1337" s="153" t="n">
        <f aca="false">IFERROR(IF($N1337="VCA",INDEX(APOIO_REDES!$A:$W,MATCH($C1337&amp;$I1337&amp;$H1337&amp;$N1337&amp;$O1337,APOIO_REDES!$W:$W,0),MATCH(AY$5,APOIO_REDES!$5:$5,0)),0)*$AP1337,0)</f>
        <v>5.91033833516013</v>
      </c>
      <c r="AZ1337" s="153" t="n">
        <f aca="false">IFERROR(IF($N1337="VCA",INDEX(APOIO_REDES!$A:$W,MATCH($C1337&amp;$I1337&amp;$H1337&amp;$N1337&amp;$O1337,APOIO_REDES!$W:$W,0),MATCH(AZ$5,APOIO_REDES!$5:$5,0)),0)*$AP1337,0)</f>
        <v>0.817973744780816</v>
      </c>
      <c r="BA1337" s="153" t="n">
        <f aca="false">IFERROR(IF(AND($N1337="VCA",$Q1337="LINEAR"),INDEX(APOIO_REDES!$A:$W,MATCH($C1337&amp;$I1337&amp;$H1337&amp;$N1337&amp;$O1337,APOIO_REDES!$W:$W,0),MATCH(BA$5,APOIO_REDES!$5:$5,0)),IF(AND($N1337="MND",$Q1337="EMBOQUE"),INDEX(APOIO_REDES!$A:$W,MATCH($C1337&amp;$I1337&amp;$H1337&amp;$N1337&amp;$O1337,APOIO_REDES!$W:$W,0),MATCH(BA$5,APOIO_REDES!$5:$5,0)),0))*$M1337/10,0)</f>
        <v>3.09413716428777</v>
      </c>
      <c r="BB1337" s="153" t="n">
        <f aca="false">IFERROR(IF($N1337="VCA",INDEX(APOIO_REDES!$A:$W,MATCH($C1337&amp;$I1337&amp;$H1337&amp;$N1337&amp;$O1337,APOIO_REDES!$W:$W,0),MATCH(BB$5,APOIO_REDES!$5:$5,0)),0)*($AI1337+$AQ1337+$AR1337),0)</f>
        <v>11.4277653213073</v>
      </c>
      <c r="BC1337" s="153" t="n">
        <f aca="false">IFERROR(IF($N1337="VCA",INDEX(APOIO_REDES!$A:$W,MATCH($C1337&amp;$I1337&amp;$H1337&amp;$N1337&amp;$O1337,APOIO_REDES!$W:$W,0),MATCH(BC$5,APOIO_REDES!$5:$5,0)),0)*($AI1337+$AQ1337+$AR1337),0)</f>
        <v>0.125705178692712</v>
      </c>
      <c r="BD1337" s="153" t="n">
        <f aca="false">IF(AND($N1337="VCA",$AF1337&gt;=1.25,$AF1337&lt;1.5),$M1337*$AF1337*2,0)</f>
        <v>104.65114</v>
      </c>
      <c r="BE1337" s="153" t="n">
        <f aca="false">IF(AND($N1337="VCA",$AF1337&gt;=1.5,$AF1337&lt;3),$M1337*$AF1337*2,0)</f>
        <v>0</v>
      </c>
      <c r="BF1337" s="153" t="n">
        <f aca="false">IF(AND($N1337="VCA",$AF1337&gt;=3),$M1337*$AF1337*2,0)</f>
        <v>0</v>
      </c>
      <c r="BG1337" s="153" t="n">
        <f aca="false">($BB1337+$BC1337)*$AK1337</f>
        <v>56.61200545</v>
      </c>
      <c r="BH1337" s="153" t="n">
        <f aca="false">IF(AND($M1337&lt;&gt;"",$N1337="VCA",$Q1337="LINEAR"),($M1337*2)/100,IF(AND($M1337&lt;&gt;"",$N1337="MND",$Q1337="EMBOQUE"),($AN1337*2)/100,0))</f>
        <v>0.7678</v>
      </c>
      <c r="BI1337" s="153" t="n">
        <f aca="false">IF(AND($M1337&lt;&gt;"",$N1337="VCA",$Q1337="LINEAR"),$M1337,IF(AND($M1337&lt;&gt;"",$N1337="MND",$Q1337="EMBOQUE"),$AN1337*2,0))</f>
        <v>38.39</v>
      </c>
      <c r="BJ1337" s="153" t="n">
        <f aca="false">IF(AND($M1337&lt;&gt;"",$N1337="VCA",$Q1337="LINEAR"),($M1337*6.8)/100,IF(AND($M1337&lt;&gt;"",$N1337="MND",$Q1337="EMBOQUE"),($AN1337*2*6.8)/100,0))</f>
        <v>2.61052</v>
      </c>
      <c r="BK1337" s="153" t="n">
        <f aca="false">IF(AND($M1337&lt;&gt;"",$N1337="VCA",$Q1337="LINEAR"),($M1337*2.5)/50,IF(AND($M1337&lt;&gt;"",$N1337="MND",$Q1337="EMBOQUE"),($AN1337*2*2.5)/50,0))</f>
        <v>1.9195</v>
      </c>
      <c r="BL1337" s="157" t="str">
        <f aca="false">K1337&amp;J1337</f>
        <v>Zona11REDES</v>
      </c>
      <c r="BM1337" s="152" t="s">
        <v>6084</v>
      </c>
      <c r="BN1337" s="152" t="s">
        <v>1560</v>
      </c>
      <c r="BO1337" s="152" t="s">
        <v>6516</v>
      </c>
      <c r="BP1337" s="152" t="s">
        <v>6603</v>
      </c>
      <c r="BQ1337" s="152" t="s">
        <v>6562</v>
      </c>
      <c r="BR1337" s="152" t="s">
        <v>6607</v>
      </c>
      <c r="BS1337" s="152" t="n">
        <v>204211.5</v>
      </c>
      <c r="BT1337" s="152" t="n">
        <v>8236167.844</v>
      </c>
      <c r="BU1337" s="152" t="n">
        <v>204201.664</v>
      </c>
      <c r="BV1337" s="152" t="n">
        <v>8236204.948</v>
      </c>
      <c r="BW1337" s="152" t="n">
        <v>-15.9359847</v>
      </c>
      <c r="BX1337" s="152" t="n">
        <v>-47.7628471</v>
      </c>
      <c r="BY1337" s="152" t="s">
        <v>6603</v>
      </c>
    </row>
    <row r="1338" customFormat="false" ht="13.8" hidden="false" customHeight="false" outlineLevel="0" collapsed="false">
      <c r="A1338" s="149" t="n">
        <f aca="false">IF(C1338&lt;&gt;"",ROW(A1333),"")</f>
        <v>1333</v>
      </c>
      <c r="B1338" s="150" t="str">
        <f aca="false">HYPERLINK("https://www.google.com/maps/dir/-15.917302,-47.760003/-15.9360411,-47.7611031/data=!4m3!4m2!3e0!5i0")</f>
        <v>https://www.google.com/maps/dir/-15.917302,-47.760003/-15.9360411,-47.7611031/data=!4m3!4m2!3e0!5i0</v>
      </c>
      <c r="C1338" s="151" t="s">
        <v>117</v>
      </c>
      <c r="D1338" s="152" t="s">
        <v>112</v>
      </c>
      <c r="E1338" s="152" t="s">
        <v>113</v>
      </c>
      <c r="F1338" s="152" t="s">
        <v>117</v>
      </c>
      <c r="G1338" s="152" t="s">
        <v>782</v>
      </c>
      <c r="H1338" s="152" t="n">
        <v>90</v>
      </c>
      <c r="I1338" s="152" t="s">
        <v>115</v>
      </c>
      <c r="J1338" s="152" t="s">
        <v>6</v>
      </c>
      <c r="K1338" s="152" t="s">
        <v>6081</v>
      </c>
      <c r="L1338" s="152" t="s">
        <v>120</v>
      </c>
      <c r="M1338" s="153" t="n">
        <f aca="false">16.66</f>
        <v>16.66</v>
      </c>
      <c r="N1338" s="152" t="s">
        <v>1548</v>
      </c>
      <c r="O1338" s="152" t="s">
        <v>1549</v>
      </c>
      <c r="P1338" s="152" t="s">
        <v>1550</v>
      </c>
      <c r="Q1338" s="152" t="s">
        <v>1551</v>
      </c>
      <c r="R1338" s="154" t="s">
        <v>6608</v>
      </c>
      <c r="S1338" s="154" t="s">
        <v>1593</v>
      </c>
      <c r="T1338" s="155" t="s">
        <v>6514</v>
      </c>
      <c r="U1338" s="152" t="str">
        <f aca="false">RIGHT(T1338,7)</f>
        <v>024/037</v>
      </c>
      <c r="V1338" s="152" t="s">
        <v>1555</v>
      </c>
      <c r="W1338" s="156" t="n">
        <v>45882</v>
      </c>
      <c r="X1338" s="152" t="s">
        <v>3938</v>
      </c>
      <c r="Y1338" s="152" t="s">
        <v>6202</v>
      </c>
      <c r="Z1338" s="152" t="s">
        <v>1557</v>
      </c>
      <c r="AA1338" s="153" t="n">
        <v>4.7</v>
      </c>
      <c r="AB1338" s="151" t="s">
        <v>6609</v>
      </c>
      <c r="AC1338" s="151" t="s">
        <v>526</v>
      </c>
      <c r="AD1338" s="151" t="str">
        <f aca="false">CONCATENATE($C1338,$I1338,$H1338,$N1338,$J1338,$K1338)</f>
        <v>TUBO PEADPEAD90VCAREDESZona11</v>
      </c>
      <c r="AE1338" s="153" t="n">
        <f aca="false">IFERROR(INDEX(APOIO_REDES!$A:$W,MATCH($C1338&amp;$I1338&amp;$H1338&amp;$N1338&amp;$O1338,APOIO_REDES!$W:$W,0),MATCH(AE$5,APOIO_REDES!$5:$5,0)),0)</f>
        <v>1.2</v>
      </c>
      <c r="AF1338" s="153" t="n">
        <f aca="false">IFERROR(INDEX(APOIO_REDES!$A:$W,MATCH($C1338&amp;$I1338&amp;$H1338&amp;$N1338&amp;$O1338,APOIO_REDES!$W:$W,0),MATCH(AF$5,APOIO_REDES!$5:$5,0)),0)</f>
        <v>1.39</v>
      </c>
      <c r="AG1338" s="153" t="n">
        <f aca="false">IFERROR(INDEX(APOIO_REDES!$A:$W,MATCH($C1338&amp;$I1338&amp;$H1338&amp;$N1338&amp;$O1338,APOIO_REDES!$W:$W,0),MATCH(AG$5,APOIO_REDES!$5:$5,0)),0)</f>
        <v>0.75</v>
      </c>
      <c r="AH1338" s="153" t="n">
        <f aca="false">IFERROR(INDEX(APOIO_REDES!$A:$W,MATCH($C1338&amp;$I1338&amp;$H1338&amp;$N1338&amp;$O1338,APOIO_REDES!$W:$W,0),MATCH(AH$5,APOIO_REDES!$5:$5,0)),0)</f>
        <v>0.1</v>
      </c>
      <c r="AI1338" s="153" t="n">
        <f aca="false">IFERROR(IF($H1338&lt;&gt;"",(((($H1338/1000)/2)^2)*PI()*$M1338),0),0)</f>
        <v>0.105986340557832</v>
      </c>
      <c r="AJ1338" s="153" t="n">
        <f aca="false">IFERROR(IF(AND($H1338&lt;&gt;"",$I1338="FoFo",OR($N1338="MND",$N1338="VCA"),$Q1338="LINEAR"),0,IF(AND($H1338&lt;&gt;"",$I1338="PEAD",$N1338="VCA",$Q1338="LINEAR"),($H1338/1000)+0.3,IF(AND($H1338&lt;&gt;"",$I1338="PEAD",$N1338="MND",$Q1338="EMBOQUE"),0,IF(AND($H1338&lt;&gt;"",$I1338="PVC",$N1338="VCA",$Q1338="LINEAR"),($H1338/1000)+0.2,IF(AND($H1338&lt;&gt;"",$I1338="PVC",$N1338="MND",$Q1338="EMBOQUE"),0,IF(AND($H1338&lt;&gt;"",$I1338="PEAD",$N1338="VCA",$Q1338="PREDIAL"),0,0)))))),0)</f>
        <v>0.39</v>
      </c>
      <c r="AK1338" s="153" t="n">
        <f aca="false">IF(AA1338&lt;&gt;"",AA1338,0)</f>
        <v>4.7</v>
      </c>
      <c r="AL1338" s="153" t="n">
        <f aca="false">IF(AND($N1338="MND",$Q1338="EMBOQUE"),$M1338,IF(AND($N1338="VCA",$Q1338="LINEAR"),$M1338,IF(AND($N1338="VCA",$Q1338="PREDIAL"),0,0)))</f>
        <v>16.66</v>
      </c>
      <c r="AM1338" s="153" t="n">
        <f aca="false">IF(AND($N1338="MND",$Q1338="EMBOQUE"),$M1338,IF(AND($N1338="VCA",$Q1338="LINEAR"),$M1338,IF(AND($N1338="VCA",$Q1338="PREDIAL"),0,0)))</f>
        <v>16.66</v>
      </c>
      <c r="AN1338" s="153" t="n">
        <f aca="false">ROUND(IF(AND($N1338="VCA",$M1338&lt;&gt;"",$Q1338="LINEAR"),$M1338/100,IF(AND($N1338="MND",$M1338&gt;100,$Q1338="EMBOQUE"),$M1338/100,0)),0)</f>
        <v>0</v>
      </c>
      <c r="AO1338" s="153" t="n">
        <f aca="false">IF(AND($N1338="MND",$Q1338="EMBOQUE"),$AN1338*2*2,IF(AND($N1338="VCA",$Q1338="LINEAR"),$M1338*2,IF(AND($N1338="VCA",$Q1338="PREDIAL"),0,0)))</f>
        <v>33.32</v>
      </c>
      <c r="AP1338" s="153" t="n">
        <f aca="false">IFERROR($M1338*$AF1338*$AG1338,0)</f>
        <v>17.36805</v>
      </c>
      <c r="AQ1338" s="153" t="n">
        <f aca="false">IFERROR(IF(AND($N1338="VCA",$AH1338&gt;0),$M1338*$AG1338*$AH1338,0),0)</f>
        <v>1.2495</v>
      </c>
      <c r="AR1338" s="153" t="n">
        <f aca="false">IFERROR(IF(AND($N1338="VCA",$AJ1338&gt;0),($M1338*$AG1338*$AJ1338)-$AI1338,0),0)</f>
        <v>4.76706365944217</v>
      </c>
      <c r="AS1338" s="153" t="n">
        <f aca="false">IFERROR(IF(AND($N1338="VCA",$AP1338&gt;0),$AP1338-$AI1338-$AQ1338-$AR1338,0),0)</f>
        <v>11.2455</v>
      </c>
      <c r="AT1338" s="153" t="n">
        <f aca="false">IFERROR(IF($N1338="VCA",INDEX(APOIO_REDES!$A:$W,MATCH($C1338&amp;$I1338&amp;$H1338&amp;$N1338&amp;$O1338,APOIO_REDES!$W:$W,0),MATCH(AT$5,APOIO_REDES!$5:$5,0)),0)*$AP1338,0)</f>
        <v>0.188969524680395</v>
      </c>
      <c r="AU1338" s="153" t="n">
        <f aca="false">IFERROR(IF($N1338="VCA",INDEX(APOIO_REDES!$A:$W,MATCH($C1338&amp;$I1338&amp;$H1338&amp;$N1338&amp;$O1338,APOIO_REDES!$W:$W,0),MATCH(AU$5,APOIO_REDES!$5:$5,0)),0)*$AP1338,0)</f>
        <v>0.150905944465975</v>
      </c>
      <c r="AV1338" s="153" t="n">
        <f aca="false">IFERROR(IF($N1338="VCA",INDEX(APOIO_REDES!$A:$W,MATCH($C1338&amp;$I1338&amp;$H1338&amp;$N1338&amp;$O1338,APOIO_REDES!$W:$W,0),MATCH(AV$5,APOIO_REDES!$5:$5,0)),0)*$AP1338,0)</f>
        <v>0.0208841980559787</v>
      </c>
      <c r="AW1338" s="153" t="n">
        <f aca="false">IFERROR(IF($N1338="VCA",INDEX(APOIO_REDES!$A:$W,MATCH($C1338&amp;$I1338&amp;$H1338&amp;$N1338&amp;$O1338,APOIO_REDES!$W:$W,0),MATCH(AW$5,APOIO_REDES!$5:$5,0)),0)*$AP1338,0)</f>
        <v>11.9215640942183</v>
      </c>
      <c r="AX1338" s="153" t="n">
        <f aca="false">IFERROR(IF($N1338="VCA",INDEX(APOIO_REDES!$A:$W,MATCH($C1338&amp;$I1338&amp;$H1338&amp;$N1338&amp;$O1338,APOIO_REDES!$W:$W,0),MATCH(AX$5,APOIO_REDES!$5:$5,0)),0)*$AP1338,0)</f>
        <v>1.64991051142168</v>
      </c>
      <c r="AY1338" s="153" t="n">
        <f aca="false">IFERROR(IF($N1338="VCA",INDEX(APOIO_REDES!$A:$W,MATCH($C1338&amp;$I1338&amp;$H1338&amp;$N1338&amp;$O1338,APOIO_REDES!$W:$W,0),MATCH(AY$5,APOIO_REDES!$5:$5,0)),0)*$AP1338,0)</f>
        <v>3.01811704978826</v>
      </c>
      <c r="AZ1338" s="153" t="n">
        <f aca="false">IFERROR(IF($N1338="VCA",INDEX(APOIO_REDES!$A:$W,MATCH($C1338&amp;$I1338&amp;$H1338&amp;$N1338&amp;$O1338,APOIO_REDES!$W:$W,0),MATCH(AZ$5,APOIO_REDES!$5:$5,0)),0)*$AP1338,0)</f>
        <v>0.417698677369414</v>
      </c>
      <c r="BA1338" s="153" t="n">
        <f aca="false">IFERROR(IF(AND($N1338="VCA",$Q1338="LINEAR"),INDEX(APOIO_REDES!$A:$W,MATCH($C1338&amp;$I1338&amp;$H1338&amp;$N1338&amp;$O1338,APOIO_REDES!$W:$W,0),MATCH(BA$5,APOIO_REDES!$5:$5,0)),IF(AND($N1338="MND",$Q1338="EMBOQUE"),INDEX(APOIO_REDES!$A:$W,MATCH($C1338&amp;$I1338&amp;$H1338&amp;$N1338&amp;$O1338,APOIO_REDES!$W:$W,0),MATCH(BA$5,APOIO_REDES!$5:$5,0)),0))*$M1338/10,0)</f>
        <v>1.34275397647914</v>
      </c>
      <c r="BB1338" s="153" t="n">
        <f aca="false">IFERROR(IF($N1338="VCA",INDEX(APOIO_REDES!$A:$W,MATCH($C1338&amp;$I1338&amp;$H1338&amp;$N1338&amp;$O1338,APOIO_REDES!$W:$W,0),MATCH(BB$5,APOIO_REDES!$5:$5,0)),0)*($AI1338+$AQ1338+$AR1338),0)</f>
        <v>6.0559348438177</v>
      </c>
      <c r="BC1338" s="153" t="n">
        <f aca="false">IFERROR(IF($N1338="VCA",INDEX(APOIO_REDES!$A:$W,MATCH($C1338&amp;$I1338&amp;$H1338&amp;$N1338&amp;$O1338,APOIO_REDES!$W:$W,0),MATCH(BC$5,APOIO_REDES!$5:$5,0)),0)*($AI1338+$AQ1338+$AR1338),0)</f>
        <v>0.0666151561822974</v>
      </c>
      <c r="BD1338" s="153" t="n">
        <f aca="false">IF(AND($N1338="VCA",$AF1338&gt;=1.25,$AF1338&lt;1.5),$M1338*$AF1338*2,0)</f>
        <v>46.3148</v>
      </c>
      <c r="BE1338" s="153" t="n">
        <f aca="false">IF(AND($N1338="VCA",$AF1338&gt;=1.5,$AF1338&lt;3),$M1338*$AF1338*2,0)</f>
        <v>0</v>
      </c>
      <c r="BF1338" s="153" t="n">
        <f aca="false">IF(AND($N1338="VCA",$AF1338&gt;=3),$M1338*$AF1338*2,0)</f>
        <v>0</v>
      </c>
      <c r="BG1338" s="153" t="n">
        <f aca="false">($BB1338+$BC1338)*$AK1338</f>
        <v>28.775985</v>
      </c>
      <c r="BH1338" s="153" t="n">
        <f aca="false">IF(AND($M1338&lt;&gt;"",$N1338="VCA",$Q1338="LINEAR"),($M1338*2)/100,IF(AND($M1338&lt;&gt;"",$N1338="MND",$Q1338="EMBOQUE"),($AN1338*2)/100,0))</f>
        <v>0.3332</v>
      </c>
      <c r="BI1338" s="153" t="n">
        <f aca="false">IF(AND($M1338&lt;&gt;"",$N1338="VCA",$Q1338="LINEAR"),$M1338,IF(AND($M1338&lt;&gt;"",$N1338="MND",$Q1338="EMBOQUE"),$AN1338*2,0))</f>
        <v>16.66</v>
      </c>
      <c r="BJ1338" s="153" t="n">
        <f aca="false">IF(AND($M1338&lt;&gt;"",$N1338="VCA",$Q1338="LINEAR"),($M1338*6.8)/100,IF(AND($M1338&lt;&gt;"",$N1338="MND",$Q1338="EMBOQUE"),($AN1338*2*6.8)/100,0))</f>
        <v>1.13288</v>
      </c>
      <c r="BK1338" s="153" t="n">
        <f aca="false">IF(AND($M1338&lt;&gt;"",$N1338="VCA",$Q1338="LINEAR"),($M1338*2.5)/50,IF(AND($M1338&lt;&gt;"",$N1338="MND",$Q1338="EMBOQUE"),($AN1338*2*2.5)/50,0))</f>
        <v>0.833</v>
      </c>
      <c r="BL1338" s="157" t="str">
        <f aca="false">K1338&amp;J1338</f>
        <v>Zona11REDES</v>
      </c>
      <c r="BM1338" s="152" t="s">
        <v>6084</v>
      </c>
      <c r="BN1338" s="152" t="s">
        <v>1560</v>
      </c>
      <c r="BO1338" s="152" t="s">
        <v>6516</v>
      </c>
      <c r="BP1338" s="152" t="s">
        <v>6610</v>
      </c>
      <c r="BQ1338" s="152" t="s">
        <v>6588</v>
      </c>
      <c r="BR1338" s="152" t="s">
        <v>6611</v>
      </c>
      <c r="BS1338" s="152" t="n">
        <v>204393.619</v>
      </c>
      <c r="BT1338" s="152" t="n">
        <v>8236182.648</v>
      </c>
      <c r="BU1338" s="152" t="n">
        <v>204377.719</v>
      </c>
      <c r="BV1338" s="152" t="n">
        <v>8236177.675</v>
      </c>
      <c r="BW1338" s="152" t="n">
        <v>-15.9360626</v>
      </c>
      <c r="BX1338" s="152" t="n">
        <v>-47.7611776</v>
      </c>
      <c r="BY1338" s="152" t="s">
        <v>6610</v>
      </c>
    </row>
    <row r="1339" customFormat="false" ht="13.8" hidden="false" customHeight="false" outlineLevel="0" collapsed="false">
      <c r="A1339" s="149" t="n">
        <f aca="false">IF(C1339&lt;&gt;"",ROW(A1334),"")</f>
        <v>1334</v>
      </c>
      <c r="B1339" s="150" t="str">
        <f aca="false">HYPERLINK("https://www.google.com/maps/dir/-15.917302,-47.760003/-15.9361026,-47.7610896/data=!4m3!4m2!3e0!5i0")</f>
        <v>https://www.google.com/maps/dir/-15.917302,-47.760003/-15.9361026,-47.7610896/data=!4m3!4m2!3e0!5i0</v>
      </c>
      <c r="C1339" s="151" t="s">
        <v>117</v>
      </c>
      <c r="D1339" s="152" t="s">
        <v>112</v>
      </c>
      <c r="E1339" s="152" t="s">
        <v>113</v>
      </c>
      <c r="F1339" s="152" t="s">
        <v>117</v>
      </c>
      <c r="G1339" s="152" t="s">
        <v>782</v>
      </c>
      <c r="H1339" s="152" t="n">
        <v>90</v>
      </c>
      <c r="I1339" s="152" t="s">
        <v>115</v>
      </c>
      <c r="J1339" s="152" t="s">
        <v>6</v>
      </c>
      <c r="K1339" s="152" t="s">
        <v>6081</v>
      </c>
      <c r="L1339" s="152" t="s">
        <v>120</v>
      </c>
      <c r="M1339" s="153" t="n">
        <f aca="false">6.96</f>
        <v>6.96</v>
      </c>
      <c r="N1339" s="152" t="s">
        <v>1548</v>
      </c>
      <c r="O1339" s="152" t="s">
        <v>1549</v>
      </c>
      <c r="P1339" s="152" t="s">
        <v>1550</v>
      </c>
      <c r="Q1339" s="152" t="s">
        <v>1551</v>
      </c>
      <c r="R1339" s="154" t="s">
        <v>6612</v>
      </c>
      <c r="S1339" s="154" t="s">
        <v>1593</v>
      </c>
      <c r="T1339" s="155" t="s">
        <v>6514</v>
      </c>
      <c r="U1339" s="152" t="str">
        <f aca="false">RIGHT(T1339,7)</f>
        <v>024/037</v>
      </c>
      <c r="V1339" s="152" t="s">
        <v>1555</v>
      </c>
      <c r="W1339" s="156" t="n">
        <v>45882</v>
      </c>
      <c r="X1339" s="152" t="s">
        <v>3938</v>
      </c>
      <c r="Y1339" s="152" t="s">
        <v>6202</v>
      </c>
      <c r="Z1339" s="152" t="s">
        <v>1557</v>
      </c>
      <c r="AA1339" s="153" t="n">
        <v>4.7</v>
      </c>
      <c r="AB1339" s="151" t="s">
        <v>6613</v>
      </c>
      <c r="AC1339" s="151" t="s">
        <v>526</v>
      </c>
      <c r="AD1339" s="151" t="str">
        <f aca="false">CONCATENATE($C1339,$I1339,$H1339,$N1339,$J1339,$K1339)</f>
        <v>TUBO PEADPEAD90VCAREDESZona11</v>
      </c>
      <c r="AE1339" s="153" t="n">
        <f aca="false">IFERROR(INDEX(APOIO_REDES!$A:$W,MATCH($C1339&amp;$I1339&amp;$H1339&amp;$N1339&amp;$O1339,APOIO_REDES!$W:$W,0),MATCH(AE$5,APOIO_REDES!$5:$5,0)),0)</f>
        <v>1.2</v>
      </c>
      <c r="AF1339" s="153" t="n">
        <f aca="false">IFERROR(INDEX(APOIO_REDES!$A:$W,MATCH($C1339&amp;$I1339&amp;$H1339&amp;$N1339&amp;$O1339,APOIO_REDES!$W:$W,0),MATCH(AF$5,APOIO_REDES!$5:$5,0)),0)</f>
        <v>1.39</v>
      </c>
      <c r="AG1339" s="153" t="n">
        <f aca="false">IFERROR(INDEX(APOIO_REDES!$A:$W,MATCH($C1339&amp;$I1339&amp;$H1339&amp;$N1339&amp;$O1339,APOIO_REDES!$W:$W,0),MATCH(AG$5,APOIO_REDES!$5:$5,0)),0)</f>
        <v>0.75</v>
      </c>
      <c r="AH1339" s="153" t="n">
        <f aca="false">IFERROR(INDEX(APOIO_REDES!$A:$W,MATCH($C1339&amp;$I1339&amp;$H1339&amp;$N1339&amp;$O1339,APOIO_REDES!$W:$W,0),MATCH(AH$5,APOIO_REDES!$5:$5,0)),0)</f>
        <v>0.1</v>
      </c>
      <c r="AI1339" s="153" t="n">
        <f aca="false">IFERROR(IF($H1339&lt;&gt;"",(((($H1339/1000)/2)^2)*PI()*$M1339),0),0)</f>
        <v>0.0442776068596945</v>
      </c>
      <c r="AJ1339" s="153" t="n">
        <f aca="false">IFERROR(IF(AND($H1339&lt;&gt;"",$I1339="FoFo",OR($N1339="MND",$N1339="VCA"),$Q1339="LINEAR"),0,IF(AND($H1339&lt;&gt;"",$I1339="PEAD",$N1339="VCA",$Q1339="LINEAR"),($H1339/1000)+0.3,IF(AND($H1339&lt;&gt;"",$I1339="PEAD",$N1339="MND",$Q1339="EMBOQUE"),0,IF(AND($H1339&lt;&gt;"",$I1339="PVC",$N1339="VCA",$Q1339="LINEAR"),($H1339/1000)+0.2,IF(AND($H1339&lt;&gt;"",$I1339="PVC",$N1339="MND",$Q1339="EMBOQUE"),0,IF(AND($H1339&lt;&gt;"",$I1339="PEAD",$N1339="VCA",$Q1339="PREDIAL"),0,0)))))),0)</f>
        <v>0.39</v>
      </c>
      <c r="AK1339" s="153" t="n">
        <f aca="false">IF(AA1339&lt;&gt;"",AA1339,0)</f>
        <v>4.7</v>
      </c>
      <c r="AL1339" s="153" t="n">
        <f aca="false">IF(AND($N1339="MND",$Q1339="EMBOQUE"),$M1339,IF(AND($N1339="VCA",$Q1339="LINEAR"),$M1339,IF(AND($N1339="VCA",$Q1339="PREDIAL"),0,0)))</f>
        <v>6.96</v>
      </c>
      <c r="AM1339" s="153" t="n">
        <f aca="false">IF(AND($N1339="MND",$Q1339="EMBOQUE"),$M1339,IF(AND($N1339="VCA",$Q1339="LINEAR"),$M1339,IF(AND($N1339="VCA",$Q1339="PREDIAL"),0,0)))</f>
        <v>6.96</v>
      </c>
      <c r="AN1339" s="153" t="n">
        <f aca="false">ROUND(IF(AND($N1339="VCA",$M1339&lt;&gt;"",$Q1339="LINEAR"),$M1339/100,IF(AND($N1339="MND",$M1339&gt;100,$Q1339="EMBOQUE"),$M1339/100,0)),0)</f>
        <v>0</v>
      </c>
      <c r="AO1339" s="153" t="n">
        <f aca="false">IF(AND($N1339="MND",$Q1339="EMBOQUE"),$AN1339*2*2,IF(AND($N1339="VCA",$Q1339="LINEAR"),$M1339*2,IF(AND($N1339="VCA",$Q1339="PREDIAL"),0,0)))</f>
        <v>13.92</v>
      </c>
      <c r="AP1339" s="153" t="n">
        <f aca="false">IFERROR($M1339*$AF1339*$AG1339,0)</f>
        <v>7.2558</v>
      </c>
      <c r="AQ1339" s="153" t="n">
        <f aca="false">IFERROR(IF(AND($N1339="VCA",$AH1339&gt;0),$M1339*$AG1339*$AH1339,0),0)</f>
        <v>0.522</v>
      </c>
      <c r="AR1339" s="153" t="n">
        <f aca="false">IFERROR(IF(AND($N1339="VCA",$AJ1339&gt;0),($M1339*$AG1339*$AJ1339)-$AI1339,0),0)</f>
        <v>1.99152239314031</v>
      </c>
      <c r="AS1339" s="153" t="n">
        <f aca="false">IFERROR(IF(AND($N1339="VCA",$AP1339&gt;0),$AP1339-$AI1339-$AQ1339-$AR1339,0),0)</f>
        <v>4.698</v>
      </c>
      <c r="AT1339" s="153" t="n">
        <f aca="false">IFERROR(IF($N1339="VCA",INDEX(APOIO_REDES!$A:$W,MATCH($C1339&amp;$I1339&amp;$H1339&amp;$N1339&amp;$O1339,APOIO_REDES!$W:$W,0),MATCH(AT$5,APOIO_REDES!$5:$5,0)),0)*$AP1339,0)</f>
        <v>0.0789452516071756</v>
      </c>
      <c r="AU1339" s="153" t="n">
        <f aca="false">IFERROR(IF($N1339="VCA",INDEX(APOIO_REDES!$A:$W,MATCH($C1339&amp;$I1339&amp;$H1339&amp;$N1339&amp;$O1339,APOIO_REDES!$W:$W,0),MATCH(AU$5,APOIO_REDES!$5:$5,0)),0)*$AP1339,0)</f>
        <v>0.063043539824921</v>
      </c>
      <c r="AV1339" s="153" t="n">
        <f aca="false">IFERROR(IF($N1339="VCA",INDEX(APOIO_REDES!$A:$W,MATCH($C1339&amp;$I1339&amp;$H1339&amp;$N1339&amp;$O1339,APOIO_REDES!$W:$W,0),MATCH(AV$5,APOIO_REDES!$5:$5,0)),0)*$AP1339,0)</f>
        <v>0.00872473100057692</v>
      </c>
      <c r="AW1339" s="153" t="n">
        <f aca="false">IFERROR(IF($N1339="VCA",INDEX(APOIO_REDES!$A:$W,MATCH($C1339&amp;$I1339&amp;$H1339&amp;$N1339&amp;$O1339,APOIO_REDES!$W:$W,0),MATCH(AW$5,APOIO_REDES!$5:$5,0)),0)*$AP1339,0)</f>
        <v>4.98043734068184</v>
      </c>
      <c r="AX1339" s="153" t="n">
        <f aca="false">IFERROR(IF($N1339="VCA",INDEX(APOIO_REDES!$A:$W,MATCH($C1339&amp;$I1339&amp;$H1339&amp;$N1339&amp;$O1339,APOIO_REDES!$W:$W,0),MATCH(AX$5,APOIO_REDES!$5:$5,0)),0)*$AP1339,0)</f>
        <v>0.689278340906056</v>
      </c>
      <c r="AY1339" s="153" t="n">
        <f aca="false">IFERROR(IF($N1339="VCA",INDEX(APOIO_REDES!$A:$W,MATCH($C1339&amp;$I1339&amp;$H1339&amp;$N1339&amp;$O1339,APOIO_REDES!$W:$W,0),MATCH(AY$5,APOIO_REDES!$5:$5,0)),0)*$AP1339,0)</f>
        <v>1.26087002800278</v>
      </c>
      <c r="AZ1339" s="153" t="n">
        <f aca="false">IFERROR(IF($N1339="VCA",INDEX(APOIO_REDES!$A:$W,MATCH($C1339&amp;$I1339&amp;$H1339&amp;$N1339&amp;$O1339,APOIO_REDES!$W:$W,0),MATCH(AZ$5,APOIO_REDES!$5:$5,0)),0)*$AP1339,0)</f>
        <v>0.174500767976658</v>
      </c>
      <c r="BA1339" s="153" t="n">
        <f aca="false">IFERROR(IF(AND($N1339="VCA",$Q1339="LINEAR"),INDEX(APOIO_REDES!$A:$W,MATCH($C1339&amp;$I1339&amp;$H1339&amp;$N1339&amp;$O1339,APOIO_REDES!$W:$W,0),MATCH(BA$5,APOIO_REDES!$5:$5,0)),IF(AND($N1339="MND",$Q1339="EMBOQUE"),INDEX(APOIO_REDES!$A:$W,MATCH($C1339&amp;$I1339&amp;$H1339&amp;$N1339&amp;$O1339,APOIO_REDES!$W:$W,0),MATCH(BA$5,APOIO_REDES!$5:$5,0)),0))*$M1339/10,0)</f>
        <v>0.560958443955271</v>
      </c>
      <c r="BB1339" s="153" t="n">
        <f aca="false">IFERROR(IF($N1339="VCA",INDEX(APOIO_REDES!$A:$W,MATCH($C1339&amp;$I1339&amp;$H1339&amp;$N1339&amp;$O1339,APOIO_REDES!$W:$W,0),MATCH(BB$5,APOIO_REDES!$5:$5,0)),0)*($AI1339+$AQ1339+$AR1339),0)</f>
        <v>2.52997037892984</v>
      </c>
      <c r="BC1339" s="153" t="n">
        <f aca="false">IFERROR(IF($N1339="VCA",INDEX(APOIO_REDES!$A:$W,MATCH($C1339&amp;$I1339&amp;$H1339&amp;$N1339&amp;$O1339,APOIO_REDES!$W:$W,0),MATCH(BC$5,APOIO_REDES!$5:$5,0)),0)*($AI1339+$AQ1339+$AR1339),0)</f>
        <v>0.0278296210701554</v>
      </c>
      <c r="BD1339" s="153" t="n">
        <f aca="false">IF(AND($N1339="VCA",$AF1339&gt;=1.25,$AF1339&lt;1.5),$M1339*$AF1339*2,0)</f>
        <v>19.3488</v>
      </c>
      <c r="BE1339" s="153" t="n">
        <f aca="false">IF(AND($N1339="VCA",$AF1339&gt;=1.5,$AF1339&lt;3),$M1339*$AF1339*2,0)</f>
        <v>0</v>
      </c>
      <c r="BF1339" s="153" t="n">
        <f aca="false">IF(AND($N1339="VCA",$AF1339&gt;=3),$M1339*$AF1339*2,0)</f>
        <v>0</v>
      </c>
      <c r="BG1339" s="153" t="n">
        <f aca="false">($BB1339+$BC1339)*$AK1339</f>
        <v>12.02166</v>
      </c>
      <c r="BH1339" s="153" t="n">
        <f aca="false">IF(AND($M1339&lt;&gt;"",$N1339="VCA",$Q1339="LINEAR"),($M1339*2)/100,IF(AND($M1339&lt;&gt;"",$N1339="MND",$Q1339="EMBOQUE"),($AN1339*2)/100,0))</f>
        <v>0.1392</v>
      </c>
      <c r="BI1339" s="153" t="n">
        <f aca="false">IF(AND($M1339&lt;&gt;"",$N1339="VCA",$Q1339="LINEAR"),$M1339,IF(AND($M1339&lt;&gt;"",$N1339="MND",$Q1339="EMBOQUE"),$AN1339*2,0))</f>
        <v>6.96</v>
      </c>
      <c r="BJ1339" s="153" t="n">
        <f aca="false">IF(AND($M1339&lt;&gt;"",$N1339="VCA",$Q1339="LINEAR"),($M1339*6.8)/100,IF(AND($M1339&lt;&gt;"",$N1339="MND",$Q1339="EMBOQUE"),($AN1339*2*6.8)/100,0))</f>
        <v>0.47328</v>
      </c>
      <c r="BK1339" s="153" t="n">
        <f aca="false">IF(AND($M1339&lt;&gt;"",$N1339="VCA",$Q1339="LINEAR"),($M1339*2.5)/50,IF(AND($M1339&lt;&gt;"",$N1339="MND",$Q1339="EMBOQUE"),($AN1339*2*2.5)/50,0))</f>
        <v>0.348</v>
      </c>
      <c r="BL1339" s="157" t="str">
        <f aca="false">K1339&amp;J1339</f>
        <v>Zona11REDES</v>
      </c>
      <c r="BM1339" s="152" t="s">
        <v>6084</v>
      </c>
      <c r="BN1339" s="152" t="s">
        <v>1560</v>
      </c>
      <c r="BO1339" s="152" t="s">
        <v>6516</v>
      </c>
      <c r="BP1339" s="152" t="s">
        <v>6614</v>
      </c>
      <c r="BQ1339" s="152" t="s">
        <v>6610</v>
      </c>
      <c r="BR1339" s="152" t="s">
        <v>6615</v>
      </c>
      <c r="BS1339" s="152" t="n">
        <v>204395.149</v>
      </c>
      <c r="BT1339" s="152" t="n">
        <v>8236175.861</v>
      </c>
      <c r="BU1339" s="152" t="n">
        <v>204393.619</v>
      </c>
      <c r="BV1339" s="152" t="n">
        <v>8236182.648</v>
      </c>
      <c r="BW1339" s="152" t="n">
        <v>-15.9360718</v>
      </c>
      <c r="BX1339" s="152" t="n">
        <v>-47.761096</v>
      </c>
      <c r="BY1339" s="152" t="s">
        <v>6614</v>
      </c>
    </row>
    <row r="1340" customFormat="false" ht="13.8" hidden="false" customHeight="false" outlineLevel="0" collapsed="false">
      <c r="A1340" s="149" t="n">
        <f aca="false">IF(C1340&lt;&gt;"",ROW(A1335),"")</f>
        <v>1335</v>
      </c>
      <c r="B1340" s="150" t="str">
        <f aca="false">HYPERLINK("https://www.google.com/maps/dir/-15.917302,-47.760003/-15.9361026,-47.7610896/data=!4m3!4m2!3e0!5i0")</f>
        <v>https://www.google.com/maps/dir/-15.917302,-47.760003/-15.9361026,-47.7610896/data=!4m3!4m2!3e0!5i0</v>
      </c>
      <c r="C1340" s="151" t="s">
        <v>117</v>
      </c>
      <c r="D1340" s="152" t="s">
        <v>112</v>
      </c>
      <c r="E1340" s="152" t="s">
        <v>113</v>
      </c>
      <c r="F1340" s="152" t="s">
        <v>117</v>
      </c>
      <c r="G1340" s="152" t="s">
        <v>782</v>
      </c>
      <c r="H1340" s="152" t="n">
        <v>90</v>
      </c>
      <c r="I1340" s="152" t="s">
        <v>115</v>
      </c>
      <c r="J1340" s="152" t="s">
        <v>6</v>
      </c>
      <c r="K1340" s="152" t="s">
        <v>6081</v>
      </c>
      <c r="L1340" s="152" t="s">
        <v>120</v>
      </c>
      <c r="M1340" s="153" t="n">
        <f aca="false">31.99</f>
        <v>31.99</v>
      </c>
      <c r="N1340" s="152" t="s">
        <v>1548</v>
      </c>
      <c r="O1340" s="152" t="s">
        <v>1549</v>
      </c>
      <c r="P1340" s="152" t="s">
        <v>1550</v>
      </c>
      <c r="Q1340" s="152" t="s">
        <v>1551</v>
      </c>
      <c r="R1340" s="154" t="s">
        <v>6616</v>
      </c>
      <c r="S1340" s="154" t="s">
        <v>1593</v>
      </c>
      <c r="T1340" s="155" t="s">
        <v>6514</v>
      </c>
      <c r="U1340" s="152" t="str">
        <f aca="false">RIGHT(T1340,7)</f>
        <v>024/037</v>
      </c>
      <c r="V1340" s="152" t="s">
        <v>1555</v>
      </c>
      <c r="W1340" s="156" t="n">
        <v>45882</v>
      </c>
      <c r="X1340" s="152" t="s">
        <v>3938</v>
      </c>
      <c r="Y1340" s="152" t="s">
        <v>6202</v>
      </c>
      <c r="Z1340" s="152" t="s">
        <v>1557</v>
      </c>
      <c r="AA1340" s="153" t="n">
        <v>4.7</v>
      </c>
      <c r="AB1340" s="151" t="s">
        <v>6617</v>
      </c>
      <c r="AC1340" s="151" t="s">
        <v>526</v>
      </c>
      <c r="AD1340" s="151" t="str">
        <f aca="false">CONCATENATE($C1340,$I1340,$H1340,$N1340,$J1340,$K1340)</f>
        <v>TUBO PEADPEAD90VCAREDESZona11</v>
      </c>
      <c r="AE1340" s="153" t="n">
        <f aca="false">IFERROR(INDEX(APOIO_REDES!$A:$W,MATCH($C1340&amp;$I1340&amp;$H1340&amp;$N1340&amp;$O1340,APOIO_REDES!$W:$W,0),MATCH(AE$5,APOIO_REDES!$5:$5,0)),0)</f>
        <v>1.2</v>
      </c>
      <c r="AF1340" s="153" t="n">
        <f aca="false">IFERROR(INDEX(APOIO_REDES!$A:$W,MATCH($C1340&amp;$I1340&amp;$H1340&amp;$N1340&amp;$O1340,APOIO_REDES!$W:$W,0),MATCH(AF$5,APOIO_REDES!$5:$5,0)),0)</f>
        <v>1.39</v>
      </c>
      <c r="AG1340" s="153" t="n">
        <f aca="false">IFERROR(INDEX(APOIO_REDES!$A:$W,MATCH($C1340&amp;$I1340&amp;$H1340&amp;$N1340&amp;$O1340,APOIO_REDES!$W:$W,0),MATCH(AG$5,APOIO_REDES!$5:$5,0)),0)</f>
        <v>0.75</v>
      </c>
      <c r="AH1340" s="153" t="n">
        <f aca="false">IFERROR(INDEX(APOIO_REDES!$A:$W,MATCH($C1340&amp;$I1340&amp;$H1340&amp;$N1340&amp;$O1340,APOIO_REDES!$W:$W,0),MATCH(AH$5,APOIO_REDES!$5:$5,0)),0)</f>
        <v>0.1</v>
      </c>
      <c r="AI1340" s="153" t="n">
        <f aca="false">IFERROR(IF($H1340&lt;&gt;"",(((($H1340/1000)/2)^2)*PI()*$M1340),0),0)</f>
        <v>0.203511586701383</v>
      </c>
      <c r="AJ1340" s="153" t="n">
        <f aca="false">IFERROR(IF(AND($H1340&lt;&gt;"",$I1340="FoFo",OR($N1340="MND",$N1340="VCA"),$Q1340="LINEAR"),0,IF(AND($H1340&lt;&gt;"",$I1340="PEAD",$N1340="VCA",$Q1340="LINEAR"),($H1340/1000)+0.3,IF(AND($H1340&lt;&gt;"",$I1340="PEAD",$N1340="MND",$Q1340="EMBOQUE"),0,IF(AND($H1340&lt;&gt;"",$I1340="PVC",$N1340="VCA",$Q1340="LINEAR"),($H1340/1000)+0.2,IF(AND($H1340&lt;&gt;"",$I1340="PVC",$N1340="MND",$Q1340="EMBOQUE"),0,IF(AND($H1340&lt;&gt;"",$I1340="PEAD",$N1340="VCA",$Q1340="PREDIAL"),0,0)))))),0)</f>
        <v>0.39</v>
      </c>
      <c r="AK1340" s="153" t="n">
        <f aca="false">IF(AA1340&lt;&gt;"",AA1340,0)</f>
        <v>4.7</v>
      </c>
      <c r="AL1340" s="153" t="n">
        <f aca="false">IF(AND($N1340="MND",$Q1340="EMBOQUE"),$M1340,IF(AND($N1340="VCA",$Q1340="LINEAR"),$M1340,IF(AND($N1340="VCA",$Q1340="PREDIAL"),0,0)))</f>
        <v>31.99</v>
      </c>
      <c r="AM1340" s="153" t="n">
        <f aca="false">IF(AND($N1340="MND",$Q1340="EMBOQUE"),$M1340,IF(AND($N1340="VCA",$Q1340="LINEAR"),$M1340,IF(AND($N1340="VCA",$Q1340="PREDIAL"),0,0)))</f>
        <v>31.99</v>
      </c>
      <c r="AN1340" s="153" t="n">
        <f aca="false">ROUND(IF(AND($N1340="VCA",$M1340&lt;&gt;"",$Q1340="LINEAR"),$M1340/100,IF(AND($N1340="MND",$M1340&gt;100,$Q1340="EMBOQUE"),$M1340/100,0)),0)</f>
        <v>0</v>
      </c>
      <c r="AO1340" s="153" t="n">
        <f aca="false">IF(AND($N1340="MND",$Q1340="EMBOQUE"),$AN1340*2*2,IF(AND($N1340="VCA",$Q1340="LINEAR"),$M1340*2,IF(AND($N1340="VCA",$Q1340="PREDIAL"),0,0)))</f>
        <v>63.98</v>
      </c>
      <c r="AP1340" s="153" t="n">
        <f aca="false">IFERROR($M1340*$AF1340*$AG1340,0)</f>
        <v>33.349575</v>
      </c>
      <c r="AQ1340" s="153" t="n">
        <f aca="false">IFERROR(IF(AND($N1340="VCA",$AH1340&gt;0),$M1340*$AG1340*$AH1340,0),0)</f>
        <v>2.39925</v>
      </c>
      <c r="AR1340" s="153" t="n">
        <f aca="false">IFERROR(IF(AND($N1340="VCA",$AJ1340&gt;0),($M1340*$AG1340*$AJ1340)-$AI1340,0),0)</f>
        <v>9.15356341329862</v>
      </c>
      <c r="AS1340" s="153" t="n">
        <f aca="false">IFERROR(IF(AND($N1340="VCA",$AP1340&gt;0),$AP1340-$AI1340-$AQ1340-$AR1340,0),0)</f>
        <v>21.59325</v>
      </c>
      <c r="AT1340" s="153" t="n">
        <f aca="false">IFERROR(IF($N1340="VCA",INDEX(APOIO_REDES!$A:$W,MATCH($C1340&amp;$I1340&amp;$H1340&amp;$N1340&amp;$O1340,APOIO_REDES!$W:$W,0),MATCH(AT$5,APOIO_REDES!$5:$5,0)),0)*$AP1340,0)</f>
        <v>0.362853246970337</v>
      </c>
      <c r="AU1340" s="153" t="n">
        <f aca="false">IFERROR(IF($N1340="VCA",INDEX(APOIO_REDES!$A:$W,MATCH($C1340&amp;$I1340&amp;$H1340&amp;$N1340&amp;$O1340,APOIO_REDES!$W:$W,0),MATCH(AU$5,APOIO_REDES!$5:$5,0)),0)*$AP1340,0)</f>
        <v>0.289764775718279</v>
      </c>
      <c r="AV1340" s="153" t="n">
        <f aca="false">IFERROR(IF($N1340="VCA",INDEX(APOIO_REDES!$A:$W,MATCH($C1340&amp;$I1340&amp;$H1340&amp;$N1340&amp;$O1340,APOIO_REDES!$W:$W,0),MATCH(AV$5,APOIO_REDES!$5:$5,0)),0)*$AP1340,0)</f>
        <v>0.0401011702167321</v>
      </c>
      <c r="AW1340" s="153" t="n">
        <f aca="false">IFERROR(IF($N1340="VCA",INDEX(APOIO_REDES!$A:$W,MATCH($C1340&amp;$I1340&amp;$H1340&amp;$N1340&amp;$O1340,APOIO_REDES!$W:$W,0),MATCH(AW$5,APOIO_REDES!$5:$5,0)),0)*$AP1340,0)</f>
        <v>22.8914066851167</v>
      </c>
      <c r="AX1340" s="153" t="n">
        <f aca="false">IFERROR(IF($N1340="VCA",INDEX(APOIO_REDES!$A:$W,MATCH($C1340&amp;$I1340&amp;$H1340&amp;$N1340&amp;$O1340,APOIO_REDES!$W:$W,0),MATCH(AX$5,APOIO_REDES!$5:$5,0)),0)*$AP1340,0)</f>
        <v>3.1681054778139</v>
      </c>
      <c r="AY1340" s="153" t="n">
        <f aca="false">IFERROR(IF($N1340="VCA",INDEX(APOIO_REDES!$A:$W,MATCH($C1340&amp;$I1340&amp;$H1340&amp;$N1340&amp;$O1340,APOIO_REDES!$W:$W,0),MATCH(AY$5,APOIO_REDES!$5:$5,0)),0)*$AP1340,0)</f>
        <v>5.79529198215645</v>
      </c>
      <c r="AZ1340" s="153" t="n">
        <f aca="false">IFERROR(IF($N1340="VCA",INDEX(APOIO_REDES!$A:$W,MATCH($C1340&amp;$I1340&amp;$H1340&amp;$N1340&amp;$O1340,APOIO_REDES!$W:$W,0),MATCH(AZ$5,APOIO_REDES!$5:$5,0)),0)*$AP1340,0)</f>
        <v>0.802051662007657</v>
      </c>
      <c r="BA1340" s="153" t="n">
        <f aca="false">IFERROR(IF(AND($N1340="VCA",$Q1340="LINEAR"),INDEX(APOIO_REDES!$A:$W,MATCH($C1340&amp;$I1340&amp;$H1340&amp;$N1340&amp;$O1340,APOIO_REDES!$W:$W,0),MATCH(BA$5,APOIO_REDES!$5:$5,0)),IF(AND($N1340="MND",$Q1340="EMBOQUE"),INDEX(APOIO_REDES!$A:$W,MATCH($C1340&amp;$I1340&amp;$H1340&amp;$N1340&amp;$O1340,APOIO_REDES!$W:$W,0),MATCH(BA$5,APOIO_REDES!$5:$5,0)),0))*$M1340/10,0)</f>
        <v>2.57831330777717</v>
      </c>
      <c r="BB1340" s="153" t="n">
        <f aca="false">IFERROR(IF($N1340="VCA",INDEX(APOIO_REDES!$A:$W,MATCH($C1340&amp;$I1340&amp;$H1340&amp;$N1340&amp;$O1340,APOIO_REDES!$W:$W,0),MATCH(BB$5,APOIO_REDES!$5:$5,0)),0)*($AI1340+$AQ1340+$AR1340),0)</f>
        <v>11.6284127043054</v>
      </c>
      <c r="BC1340" s="153" t="n">
        <f aca="false">IFERROR(IF($N1340="VCA",INDEX(APOIO_REDES!$A:$W,MATCH($C1340&amp;$I1340&amp;$H1340&amp;$N1340&amp;$O1340,APOIO_REDES!$W:$W,0),MATCH(BC$5,APOIO_REDES!$5:$5,0)),0)*($AI1340+$AQ1340+$AR1340),0)</f>
        <v>0.127912295694579</v>
      </c>
      <c r="BD1340" s="153" t="n">
        <f aca="false">IF(AND($N1340="VCA",$AF1340&gt;=1.25,$AF1340&lt;1.5),$M1340*$AF1340*2,0)</f>
        <v>88.9322</v>
      </c>
      <c r="BE1340" s="153" t="n">
        <f aca="false">IF(AND($N1340="VCA",$AF1340&gt;=1.5,$AF1340&lt;3),$M1340*$AF1340*2,0)</f>
        <v>0</v>
      </c>
      <c r="BF1340" s="153" t="n">
        <f aca="false">IF(AND($N1340="VCA",$AF1340&gt;=3),$M1340*$AF1340*2,0)</f>
        <v>0</v>
      </c>
      <c r="BG1340" s="153" t="n">
        <f aca="false">($BB1340+$BC1340)*$AK1340</f>
        <v>55.2547275</v>
      </c>
      <c r="BH1340" s="153" t="n">
        <f aca="false">IF(AND($M1340&lt;&gt;"",$N1340="VCA",$Q1340="LINEAR"),($M1340*2)/100,IF(AND($M1340&lt;&gt;"",$N1340="MND",$Q1340="EMBOQUE"),($AN1340*2)/100,0))</f>
        <v>0.6398</v>
      </c>
      <c r="BI1340" s="153" t="n">
        <f aca="false">IF(AND($M1340&lt;&gt;"",$N1340="VCA",$Q1340="LINEAR"),$M1340,IF(AND($M1340&lt;&gt;"",$N1340="MND",$Q1340="EMBOQUE"),$AN1340*2,0))</f>
        <v>31.99</v>
      </c>
      <c r="BJ1340" s="153" t="n">
        <f aca="false">IF(AND($M1340&lt;&gt;"",$N1340="VCA",$Q1340="LINEAR"),($M1340*6.8)/100,IF(AND($M1340&lt;&gt;"",$N1340="MND",$Q1340="EMBOQUE"),($AN1340*2*6.8)/100,0))</f>
        <v>2.17532</v>
      </c>
      <c r="BK1340" s="153" t="n">
        <f aca="false">IF(AND($M1340&lt;&gt;"",$N1340="VCA",$Q1340="LINEAR"),($M1340*2.5)/50,IF(AND($M1340&lt;&gt;"",$N1340="MND",$Q1340="EMBOQUE"),($AN1340*2*2.5)/50,0))</f>
        <v>1.5995</v>
      </c>
      <c r="BL1340" s="157" t="str">
        <f aca="false">K1340&amp;J1340</f>
        <v>Zona11REDES</v>
      </c>
      <c r="BM1340" s="152" t="s">
        <v>6084</v>
      </c>
      <c r="BN1340" s="152" t="s">
        <v>1560</v>
      </c>
      <c r="BO1340" s="152" t="s">
        <v>6516</v>
      </c>
      <c r="BP1340" s="152" t="s">
        <v>6614</v>
      </c>
      <c r="BQ1340" s="152" t="s">
        <v>6549</v>
      </c>
      <c r="BR1340" s="152" t="s">
        <v>6618</v>
      </c>
      <c r="BS1340" s="152" t="n">
        <v>204395.149</v>
      </c>
      <c r="BT1340" s="152" t="n">
        <v>8236175.861</v>
      </c>
      <c r="BU1340" s="152" t="n">
        <v>204426.686</v>
      </c>
      <c r="BV1340" s="152" t="n">
        <v>8236181.013</v>
      </c>
      <c r="BW1340" s="152" t="n">
        <v>-15.9360768</v>
      </c>
      <c r="BX1340" s="152" t="n">
        <v>-47.7609427</v>
      </c>
      <c r="BY1340" s="152" t="s">
        <v>6614</v>
      </c>
    </row>
    <row r="1341" customFormat="false" ht="13.8" hidden="false" customHeight="false" outlineLevel="0" collapsed="false">
      <c r="A1341" s="149" t="n">
        <f aca="false">IF(C1341&lt;&gt;"",ROW(A1336),"")</f>
        <v>1336</v>
      </c>
      <c r="B1341" s="150" t="str">
        <f aca="false">HYPERLINK("https://www.google.com/maps/dir/-15.917302,-47.760003/-15.9359249,-47.7635445/data=!4m3!4m2!3e0!5i2")</f>
        <v>https://www.google.com/maps/dir/-15.917302,-47.760003/-15.9359249,-47.7635445/data=!4m3!4m2!3e0!5i2</v>
      </c>
      <c r="C1341" s="151" t="s">
        <v>117</v>
      </c>
      <c r="D1341" s="152" t="s">
        <v>112</v>
      </c>
      <c r="E1341" s="152" t="s">
        <v>113</v>
      </c>
      <c r="F1341" s="152" t="s">
        <v>117</v>
      </c>
      <c r="G1341" s="152" t="s">
        <v>782</v>
      </c>
      <c r="H1341" s="152" t="n">
        <v>63</v>
      </c>
      <c r="I1341" s="152" t="s">
        <v>115</v>
      </c>
      <c r="J1341" s="152" t="s">
        <v>6</v>
      </c>
      <c r="K1341" s="152" t="s">
        <v>6081</v>
      </c>
      <c r="L1341" s="152" t="s">
        <v>120</v>
      </c>
      <c r="M1341" s="153" t="n">
        <f aca="false">35.83+1.11</f>
        <v>36.94</v>
      </c>
      <c r="N1341" s="152" t="s">
        <v>1548</v>
      </c>
      <c r="O1341" s="152" t="s">
        <v>1549</v>
      </c>
      <c r="P1341" s="152" t="s">
        <v>1550</v>
      </c>
      <c r="Q1341" s="152" t="s">
        <v>1551</v>
      </c>
      <c r="R1341" s="154" t="s">
        <v>6619</v>
      </c>
      <c r="S1341" s="154" t="s">
        <v>1553</v>
      </c>
      <c r="T1341" s="155" t="s">
        <v>6514</v>
      </c>
      <c r="U1341" s="152" t="str">
        <f aca="false">RIGHT(T1341,7)</f>
        <v>024/037</v>
      </c>
      <c r="V1341" s="152" t="s">
        <v>1555</v>
      </c>
      <c r="W1341" s="156" t="n">
        <v>45882</v>
      </c>
      <c r="X1341" s="152" t="s">
        <v>3938</v>
      </c>
      <c r="Y1341" s="152" t="s">
        <v>2524</v>
      </c>
      <c r="Z1341" s="152" t="s">
        <v>1557</v>
      </c>
      <c r="AA1341" s="153" t="n">
        <v>5.1</v>
      </c>
      <c r="AB1341" s="151" t="s">
        <v>6620</v>
      </c>
      <c r="AC1341" s="151" t="s">
        <v>186</v>
      </c>
      <c r="AD1341" s="151" t="str">
        <f aca="false">CONCATENATE($C1341,$I1341,$H1341,$N1341,$J1341,$K1341)</f>
        <v>TUBO PEADPEAD63VCAREDESZona11</v>
      </c>
      <c r="AE1341" s="153" t="n">
        <f aca="false">IFERROR(INDEX(APOIO_REDES!$A:$W,MATCH($C1341&amp;$I1341&amp;$H1341&amp;$N1341&amp;$O1341,APOIO_REDES!$W:$W,0),MATCH(AE$5,APOIO_REDES!$5:$5,0)),0)</f>
        <v>1.2</v>
      </c>
      <c r="AF1341" s="153" t="n">
        <f aca="false">IFERROR(INDEX(APOIO_REDES!$A:$W,MATCH($C1341&amp;$I1341&amp;$H1341&amp;$N1341&amp;$O1341,APOIO_REDES!$W:$W,0),MATCH(AF$5,APOIO_REDES!$5:$5,0)),0)</f>
        <v>1.363</v>
      </c>
      <c r="AG1341" s="153" t="n">
        <f aca="false">IFERROR(INDEX(APOIO_REDES!$A:$W,MATCH($C1341&amp;$I1341&amp;$H1341&amp;$N1341&amp;$O1341,APOIO_REDES!$W:$W,0),MATCH(AG$5,APOIO_REDES!$5:$5,0)),0)</f>
        <v>0.65</v>
      </c>
      <c r="AH1341" s="153" t="n">
        <f aca="false">IFERROR(INDEX(APOIO_REDES!$A:$W,MATCH($C1341&amp;$I1341&amp;$H1341&amp;$N1341&amp;$O1341,APOIO_REDES!$W:$W,0),MATCH(AH$5,APOIO_REDES!$5:$5,0)),0)</f>
        <v>0.1</v>
      </c>
      <c r="AI1341" s="153" t="n">
        <f aca="false">IFERROR(IF($H1341&lt;&gt;"",(((($H1341/1000)/2)^2)*PI()*$M1341),0),0)</f>
        <v>0.115151041770774</v>
      </c>
      <c r="AJ1341" s="153" t="n">
        <f aca="false">IFERROR(IF(AND($H1341&lt;&gt;"",$I1341="FoFo",OR($N1341="MND",$N1341="VCA"),$Q1341="LINEAR"),0,IF(AND($H1341&lt;&gt;"",$I1341="PEAD",$N1341="VCA",$Q1341="LINEAR"),($H1341/1000)+0.3,IF(AND($H1341&lt;&gt;"",$I1341="PEAD",$N1341="MND",$Q1341="EMBOQUE"),0,IF(AND($H1341&lt;&gt;"",$I1341="PVC",$N1341="VCA",$Q1341="LINEAR"),($H1341/1000)+0.2,IF(AND($H1341&lt;&gt;"",$I1341="PVC",$N1341="MND",$Q1341="EMBOQUE"),0,IF(AND($H1341&lt;&gt;"",$I1341="PEAD",$N1341="VCA",$Q1341="PREDIAL"),0,0)))))),0)</f>
        <v>0.363</v>
      </c>
      <c r="AK1341" s="153" t="n">
        <f aca="false">IF(AA1341&lt;&gt;"",AA1341,0)</f>
        <v>5.1</v>
      </c>
      <c r="AL1341" s="153" t="n">
        <f aca="false">IF(AND($N1341="MND",$Q1341="EMBOQUE"),$M1341,IF(AND($N1341="VCA",$Q1341="LINEAR"),$M1341,IF(AND($N1341="VCA",$Q1341="PREDIAL"),0,0)))</f>
        <v>36.94</v>
      </c>
      <c r="AM1341" s="153" t="n">
        <f aca="false">IF(AND($N1341="MND",$Q1341="EMBOQUE"),$M1341,IF(AND($N1341="VCA",$Q1341="LINEAR"),$M1341,IF(AND($N1341="VCA",$Q1341="PREDIAL"),0,0)))</f>
        <v>36.94</v>
      </c>
      <c r="AN1341" s="153" t="n">
        <f aca="false">ROUND(IF(AND($N1341="VCA",$M1341&lt;&gt;"",$Q1341="LINEAR"),$M1341/100,IF(AND($N1341="MND",$M1341&gt;100,$Q1341="EMBOQUE"),$M1341/100,0)),0)</f>
        <v>0</v>
      </c>
      <c r="AO1341" s="153" t="n">
        <f aca="false">IF(AND($N1341="MND",$Q1341="EMBOQUE"),$AN1341*2*2,IF(AND($N1341="VCA",$Q1341="LINEAR"),$M1341*2,IF(AND($N1341="VCA",$Q1341="PREDIAL"),0,0)))</f>
        <v>73.88</v>
      </c>
      <c r="AP1341" s="153" t="n">
        <f aca="false">IFERROR($M1341*$AF1341*$AG1341,0)</f>
        <v>32.726993</v>
      </c>
      <c r="AQ1341" s="153" t="n">
        <f aca="false">IFERROR(IF(AND($N1341="VCA",$AH1341&gt;0),$M1341*$AG1341*$AH1341,0),0)</f>
        <v>2.4011</v>
      </c>
      <c r="AR1341" s="153" t="n">
        <f aca="false">IFERROR(IF(AND($N1341="VCA",$AJ1341&gt;0),($M1341*$AG1341*$AJ1341)-$AI1341,0),0)</f>
        <v>8.60084195822923</v>
      </c>
      <c r="AS1341" s="153" t="n">
        <f aca="false">IFERROR(IF(AND($N1341="VCA",$AP1341&gt;0),$AP1341-$AI1341-$AQ1341-$AR1341,0),0)</f>
        <v>21.6099</v>
      </c>
      <c r="AT1341" s="153" t="n">
        <f aca="false">IFERROR(IF($N1341="VCA",INDEX(APOIO_REDES!$A:$W,MATCH($C1341&amp;$I1341&amp;$H1341&amp;$N1341&amp;$O1341,APOIO_REDES!$W:$W,0),MATCH(AT$5,APOIO_REDES!$5:$5,0)),0)*$AP1341,0)</f>
        <v>0.356079370535472</v>
      </c>
      <c r="AU1341" s="153" t="n">
        <f aca="false">IFERROR(IF($N1341="VCA",INDEX(APOIO_REDES!$A:$W,MATCH($C1341&amp;$I1341&amp;$H1341&amp;$N1341&amp;$O1341,APOIO_REDES!$W:$W,0),MATCH(AU$5,APOIO_REDES!$5:$5,0)),0)*$AP1341,0)</f>
        <v>0.284355341457235</v>
      </c>
      <c r="AV1341" s="153" t="n">
        <f aca="false">IFERROR(IF($N1341="VCA",INDEX(APOIO_REDES!$A:$W,MATCH($C1341&amp;$I1341&amp;$H1341&amp;$N1341&amp;$O1341,APOIO_REDES!$W:$W,0),MATCH(AV$5,APOIO_REDES!$5:$5,0)),0)*$AP1341,0)</f>
        <v>0.0393525469807277</v>
      </c>
      <c r="AW1341" s="153" t="n">
        <f aca="false">IFERROR(IF($N1341="VCA",INDEX(APOIO_REDES!$A:$W,MATCH($C1341&amp;$I1341&amp;$H1341&amp;$N1341&amp;$O1341,APOIO_REDES!$W:$W,0),MATCH(AW$5,APOIO_REDES!$5:$5,0)),0)*$AP1341,0)</f>
        <v>22.4640615763159</v>
      </c>
      <c r="AX1341" s="153" t="n">
        <f aca="false">IFERROR(IF($N1341="VCA",INDEX(APOIO_REDES!$A:$W,MATCH($C1341&amp;$I1341&amp;$H1341&amp;$N1341&amp;$O1341,APOIO_REDES!$W:$W,0),MATCH(AX$5,APOIO_REDES!$5:$5,0)),0)*$AP1341,0)</f>
        <v>3.10896213207146</v>
      </c>
      <c r="AY1341" s="153" t="n">
        <f aca="false">IFERROR(IF($N1341="VCA",INDEX(APOIO_REDES!$A:$W,MATCH($C1341&amp;$I1341&amp;$H1341&amp;$N1341&amp;$O1341,APOIO_REDES!$W:$W,0),MATCH(AY$5,APOIO_REDES!$5:$5,0)),0)*$AP1341,0)</f>
        <v>5.68710336287615</v>
      </c>
      <c r="AZ1341" s="153" t="n">
        <f aca="false">IFERROR(IF($N1341="VCA",INDEX(APOIO_REDES!$A:$W,MATCH($C1341&amp;$I1341&amp;$H1341&amp;$N1341&amp;$O1341,APOIO_REDES!$W:$W,0),MATCH(AZ$5,APOIO_REDES!$5:$5,0)),0)*$AP1341,0)</f>
        <v>0.787078669763047</v>
      </c>
      <c r="BA1341" s="153" t="n">
        <f aca="false">IFERROR(IF(AND($N1341="VCA",$Q1341="LINEAR"),INDEX(APOIO_REDES!$A:$W,MATCH($C1341&amp;$I1341&amp;$H1341&amp;$N1341&amp;$O1341,APOIO_REDES!$W:$W,0),MATCH(BA$5,APOIO_REDES!$5:$5,0)),IF(AND($N1341="MND",$Q1341="EMBOQUE"),INDEX(APOIO_REDES!$A:$W,MATCH($C1341&amp;$I1341&amp;$H1341&amp;$N1341&amp;$O1341,APOIO_REDES!$W:$W,0),MATCH(BA$5,APOIO_REDES!$5:$5,0)),0))*$M1341/10,0)</f>
        <v>2.97727082179708</v>
      </c>
      <c r="BB1341" s="153" t="n">
        <f aca="false">IFERROR(IF($N1341="VCA",INDEX(APOIO_REDES!$A:$W,MATCH($C1341&amp;$I1341&amp;$H1341&amp;$N1341&amp;$O1341,APOIO_REDES!$W:$W,0),MATCH(BB$5,APOIO_REDES!$5:$5,0)),0)*($AI1341+$AQ1341+$AR1341),0)</f>
        <v>10.9961357376684</v>
      </c>
      <c r="BC1341" s="153" t="n">
        <f aca="false">IFERROR(IF($N1341="VCA",INDEX(APOIO_REDES!$A:$W,MATCH($C1341&amp;$I1341&amp;$H1341&amp;$N1341&amp;$O1341,APOIO_REDES!$W:$W,0),MATCH(BC$5,APOIO_REDES!$5:$5,0)),0)*($AI1341+$AQ1341+$AR1341),0)</f>
        <v>0.120957262331565</v>
      </c>
      <c r="BD1341" s="153" t="n">
        <f aca="false">IF(AND($N1341="VCA",$AF1341&gt;=1.25,$AF1341&lt;1.5),$M1341*$AF1341*2,0)</f>
        <v>100.69844</v>
      </c>
      <c r="BE1341" s="153" t="n">
        <f aca="false">IF(AND($N1341="VCA",$AF1341&gt;=1.5,$AF1341&lt;3),$M1341*$AF1341*2,0)</f>
        <v>0</v>
      </c>
      <c r="BF1341" s="153" t="n">
        <f aca="false">IF(AND($N1341="VCA",$AF1341&gt;=3),$M1341*$AF1341*2,0)</f>
        <v>0</v>
      </c>
      <c r="BG1341" s="153" t="n">
        <f aca="false">($BB1341+$BC1341)*$AK1341</f>
        <v>56.6971743</v>
      </c>
      <c r="BH1341" s="153" t="n">
        <f aca="false">IF(AND($M1341&lt;&gt;"",$N1341="VCA",$Q1341="LINEAR"),($M1341*2)/100,IF(AND($M1341&lt;&gt;"",$N1341="MND",$Q1341="EMBOQUE"),($AN1341*2)/100,0))</f>
        <v>0.7388</v>
      </c>
      <c r="BI1341" s="153" t="n">
        <f aca="false">IF(AND($M1341&lt;&gt;"",$N1341="VCA",$Q1341="LINEAR"),$M1341,IF(AND($M1341&lt;&gt;"",$N1341="MND",$Q1341="EMBOQUE"),$AN1341*2,0))</f>
        <v>36.94</v>
      </c>
      <c r="BJ1341" s="153" t="n">
        <f aca="false">IF(AND($M1341&lt;&gt;"",$N1341="VCA",$Q1341="LINEAR"),($M1341*6.8)/100,IF(AND($M1341&lt;&gt;"",$N1341="MND",$Q1341="EMBOQUE"),($AN1341*2*6.8)/100,0))</f>
        <v>2.51192</v>
      </c>
      <c r="BK1341" s="153" t="n">
        <f aca="false">IF(AND($M1341&lt;&gt;"",$N1341="VCA",$Q1341="LINEAR"),($M1341*2.5)/50,IF(AND($M1341&lt;&gt;"",$N1341="MND",$Q1341="EMBOQUE"),($AN1341*2*2.5)/50,0))</f>
        <v>1.847</v>
      </c>
      <c r="BL1341" s="157" t="str">
        <f aca="false">K1341&amp;J1341</f>
        <v>Zona11REDES</v>
      </c>
      <c r="BM1341" s="152" t="s">
        <v>6084</v>
      </c>
      <c r="BN1341" s="152" t="s">
        <v>1560</v>
      </c>
      <c r="BO1341" s="152" t="s">
        <v>6516</v>
      </c>
      <c r="BP1341" s="152" t="s">
        <v>6596</v>
      </c>
      <c r="BQ1341" s="152" t="s">
        <v>6621</v>
      </c>
      <c r="BR1341" s="152" t="s">
        <v>6597</v>
      </c>
      <c r="BS1341" s="152" t="n">
        <v>204131.893</v>
      </c>
      <c r="BT1341" s="152" t="n">
        <v>8236192.048</v>
      </c>
      <c r="BU1341" s="152" t="n">
        <v>204143.992</v>
      </c>
      <c r="BV1341" s="152" t="n">
        <v>8236158.412</v>
      </c>
      <c r="BW1341" s="152" t="n">
        <v>-15.9360755</v>
      </c>
      <c r="BX1341" s="152" t="n">
        <v>-47.7634848</v>
      </c>
      <c r="BY1341" s="152" t="s">
        <v>6596</v>
      </c>
    </row>
    <row r="1342" customFormat="false" ht="13.8" hidden="false" customHeight="false" outlineLevel="0" collapsed="false">
      <c r="A1342" s="149" t="n">
        <f aca="false">IF(C1342&lt;&gt;"",ROW(A1337),"")</f>
        <v>1337</v>
      </c>
      <c r="B1342" s="150" t="str">
        <f aca="false">HYPERLINK("https://www.google.com/maps/dir/-15.917302,-47.760003/-15.9363571,-47.7610435/data=!4m3!4m2!3e0!5i0")</f>
        <v>https://www.google.com/maps/dir/-15.917302,-47.760003/-15.9363571,-47.7610435/data=!4m3!4m2!3e0!5i0</v>
      </c>
      <c r="C1342" s="151" t="s">
        <v>117</v>
      </c>
      <c r="D1342" s="152" t="s">
        <v>112</v>
      </c>
      <c r="E1342" s="152" t="s">
        <v>113</v>
      </c>
      <c r="F1342" s="152" t="s">
        <v>117</v>
      </c>
      <c r="G1342" s="152" t="s">
        <v>782</v>
      </c>
      <c r="H1342" s="152" t="n">
        <v>90</v>
      </c>
      <c r="I1342" s="152" t="s">
        <v>115</v>
      </c>
      <c r="J1342" s="152" t="s">
        <v>6</v>
      </c>
      <c r="K1342" s="152" t="s">
        <v>6081</v>
      </c>
      <c r="L1342" s="152" t="s">
        <v>120</v>
      </c>
      <c r="M1342" s="153" t="n">
        <f aca="false">28.57</f>
        <v>28.57</v>
      </c>
      <c r="N1342" s="152" t="s">
        <v>1548</v>
      </c>
      <c r="O1342" s="152" t="s">
        <v>1549</v>
      </c>
      <c r="P1342" s="152" t="s">
        <v>1550</v>
      </c>
      <c r="Q1342" s="152" t="s">
        <v>1551</v>
      </c>
      <c r="R1342" s="154" t="s">
        <v>6622</v>
      </c>
      <c r="S1342" s="154" t="s">
        <v>1593</v>
      </c>
      <c r="T1342" s="155" t="s">
        <v>6514</v>
      </c>
      <c r="U1342" s="152" t="str">
        <f aca="false">RIGHT(T1342,7)</f>
        <v>024/037</v>
      </c>
      <c r="V1342" s="152" t="s">
        <v>1555</v>
      </c>
      <c r="W1342" s="156" t="n">
        <v>45882</v>
      </c>
      <c r="X1342" s="152" t="s">
        <v>3938</v>
      </c>
      <c r="Y1342" s="152" t="s">
        <v>6202</v>
      </c>
      <c r="Z1342" s="152" t="s">
        <v>1557</v>
      </c>
      <c r="AA1342" s="153" t="n">
        <v>4.7</v>
      </c>
      <c r="AB1342" s="151" t="s">
        <v>6623</v>
      </c>
      <c r="AC1342" s="151" t="s">
        <v>526</v>
      </c>
      <c r="AD1342" s="151" t="str">
        <f aca="false">CONCATENATE($C1342,$I1342,$H1342,$N1342,$J1342,$K1342)</f>
        <v>TUBO PEADPEAD90VCAREDESZona11</v>
      </c>
      <c r="AE1342" s="153" t="n">
        <f aca="false">IFERROR(INDEX(APOIO_REDES!$A:$W,MATCH($C1342&amp;$I1342&amp;$H1342&amp;$N1342&amp;$O1342,APOIO_REDES!$W:$W,0),MATCH(AE$5,APOIO_REDES!$5:$5,0)),0)</f>
        <v>1.2</v>
      </c>
      <c r="AF1342" s="153" t="n">
        <f aca="false">IFERROR(INDEX(APOIO_REDES!$A:$W,MATCH($C1342&amp;$I1342&amp;$H1342&amp;$N1342&amp;$O1342,APOIO_REDES!$W:$W,0),MATCH(AF$5,APOIO_REDES!$5:$5,0)),0)</f>
        <v>1.39</v>
      </c>
      <c r="AG1342" s="153" t="n">
        <f aca="false">IFERROR(INDEX(APOIO_REDES!$A:$W,MATCH($C1342&amp;$I1342&amp;$H1342&amp;$N1342&amp;$O1342,APOIO_REDES!$W:$W,0),MATCH(AG$5,APOIO_REDES!$5:$5,0)),0)</f>
        <v>0.75</v>
      </c>
      <c r="AH1342" s="153" t="n">
        <f aca="false">IFERROR(INDEX(APOIO_REDES!$A:$W,MATCH($C1342&amp;$I1342&amp;$H1342&amp;$N1342&amp;$O1342,APOIO_REDES!$W:$W,0),MATCH(AH$5,APOIO_REDES!$5:$5,0)),0)</f>
        <v>0.1</v>
      </c>
      <c r="AI1342" s="153" t="n">
        <f aca="false">IFERROR(IF($H1342&lt;&gt;"",(((($H1342/1000)/2)^2)*PI()*$M1342),0),0)</f>
        <v>0.181754486778947</v>
      </c>
      <c r="AJ1342" s="153" t="n">
        <f aca="false">IFERROR(IF(AND($H1342&lt;&gt;"",$I1342="FoFo",OR($N1342="MND",$N1342="VCA"),$Q1342="LINEAR"),0,IF(AND($H1342&lt;&gt;"",$I1342="PEAD",$N1342="VCA",$Q1342="LINEAR"),($H1342/1000)+0.3,IF(AND($H1342&lt;&gt;"",$I1342="PEAD",$N1342="MND",$Q1342="EMBOQUE"),0,IF(AND($H1342&lt;&gt;"",$I1342="PVC",$N1342="VCA",$Q1342="LINEAR"),($H1342/1000)+0.2,IF(AND($H1342&lt;&gt;"",$I1342="PVC",$N1342="MND",$Q1342="EMBOQUE"),0,IF(AND($H1342&lt;&gt;"",$I1342="PEAD",$N1342="VCA",$Q1342="PREDIAL"),0,0)))))),0)</f>
        <v>0.39</v>
      </c>
      <c r="AK1342" s="153" t="n">
        <f aca="false">IF(AA1342&lt;&gt;"",AA1342,0)</f>
        <v>4.7</v>
      </c>
      <c r="AL1342" s="153" t="n">
        <f aca="false">IF(AND($N1342="MND",$Q1342="EMBOQUE"),$M1342,IF(AND($N1342="VCA",$Q1342="LINEAR"),$M1342,IF(AND($N1342="VCA",$Q1342="PREDIAL"),0,0)))</f>
        <v>28.57</v>
      </c>
      <c r="AM1342" s="153" t="n">
        <f aca="false">IF(AND($N1342="MND",$Q1342="EMBOQUE"),$M1342,IF(AND($N1342="VCA",$Q1342="LINEAR"),$M1342,IF(AND($N1342="VCA",$Q1342="PREDIAL"),0,0)))</f>
        <v>28.57</v>
      </c>
      <c r="AN1342" s="153" t="n">
        <f aca="false">ROUND(IF(AND($N1342="VCA",$M1342&lt;&gt;"",$Q1342="LINEAR"),$M1342/100,IF(AND($N1342="MND",$M1342&gt;100,$Q1342="EMBOQUE"),$M1342/100,0)),0)</f>
        <v>0</v>
      </c>
      <c r="AO1342" s="153" t="n">
        <f aca="false">IF(AND($N1342="MND",$Q1342="EMBOQUE"),$AN1342*2*2,IF(AND($N1342="VCA",$Q1342="LINEAR"),$M1342*2,IF(AND($N1342="VCA",$Q1342="PREDIAL"),0,0)))</f>
        <v>57.14</v>
      </c>
      <c r="AP1342" s="153" t="n">
        <f aca="false">IFERROR($M1342*$AF1342*$AG1342,0)</f>
        <v>29.784225</v>
      </c>
      <c r="AQ1342" s="153" t="n">
        <f aca="false">IFERROR(IF(AND($N1342="VCA",$AH1342&gt;0),$M1342*$AG1342*$AH1342,0),0)</f>
        <v>2.14275</v>
      </c>
      <c r="AR1342" s="153" t="n">
        <f aca="false">IFERROR(IF(AND($N1342="VCA",$AJ1342&gt;0),($M1342*$AG1342*$AJ1342)-$AI1342,0),0)</f>
        <v>8.17497051322105</v>
      </c>
      <c r="AS1342" s="153" t="n">
        <f aca="false">IFERROR(IF(AND($N1342="VCA",$AP1342&gt;0),$AP1342-$AI1342-$AQ1342-$AR1342,0),0)</f>
        <v>19.28475</v>
      </c>
      <c r="AT1342" s="153" t="n">
        <f aca="false">IFERROR(IF($N1342="VCA",INDEX(APOIO_REDES!$A:$W,MATCH($C1342&amp;$I1342&amp;$H1342&amp;$N1342&amp;$O1342,APOIO_REDES!$W:$W,0),MATCH(AT$5,APOIO_REDES!$5:$5,0)),0)*$AP1342,0)</f>
        <v>0.324061183680605</v>
      </c>
      <c r="AU1342" s="153" t="n">
        <f aca="false">IFERROR(IF($N1342="VCA",INDEX(APOIO_REDES!$A:$W,MATCH($C1342&amp;$I1342&amp;$H1342&amp;$N1342&amp;$O1342,APOIO_REDES!$W:$W,0),MATCH(AU$5,APOIO_REDES!$5:$5,0)),0)*$AP1342,0)</f>
        <v>0.258786484597413</v>
      </c>
      <c r="AV1342" s="153" t="n">
        <f aca="false">IFERROR(IF($N1342="VCA",INDEX(APOIO_REDES!$A:$W,MATCH($C1342&amp;$I1342&amp;$H1342&amp;$N1342&amp;$O1342,APOIO_REDES!$W:$W,0),MATCH(AV$5,APOIO_REDES!$5:$5,0)),0)*$AP1342,0)</f>
        <v>0.0358140179147245</v>
      </c>
      <c r="AW1342" s="153" t="n">
        <f aca="false">IFERROR(IF($N1342="VCA",INDEX(APOIO_REDES!$A:$W,MATCH($C1342&amp;$I1342&amp;$H1342&amp;$N1342&amp;$O1342,APOIO_REDES!$W:$W,0),MATCH(AW$5,APOIO_REDES!$5:$5,0)),0)*$AP1342,0)</f>
        <v>20.4441228194368</v>
      </c>
      <c r="AX1342" s="153" t="n">
        <f aca="false">IFERROR(IF($N1342="VCA",INDEX(APOIO_REDES!$A:$W,MATCH($C1342&amp;$I1342&amp;$H1342&amp;$N1342&amp;$O1342,APOIO_REDES!$W:$W,0),MATCH(AX$5,APOIO_REDES!$5:$5,0)),0)*$AP1342,0)</f>
        <v>2.82940836202385</v>
      </c>
      <c r="AY1342" s="153" t="n">
        <f aca="false">IFERROR(IF($N1342="VCA",INDEX(APOIO_REDES!$A:$W,MATCH($C1342&amp;$I1342&amp;$H1342&amp;$N1342&amp;$O1342,APOIO_REDES!$W:$W,0),MATCH(AY$5,APOIO_REDES!$5:$5,0)),0)*$AP1342,0)</f>
        <v>5.17572653736198</v>
      </c>
      <c r="AZ1342" s="153" t="n">
        <f aca="false">IFERROR(IF($N1342="VCA",INDEX(APOIO_REDES!$A:$W,MATCH($C1342&amp;$I1342&amp;$H1342&amp;$N1342&amp;$O1342,APOIO_REDES!$W:$W,0),MATCH(AZ$5,APOIO_REDES!$5:$5,0)),0)*$AP1342,0)</f>
        <v>0.716305594984644</v>
      </c>
      <c r="BA1342" s="153" t="n">
        <f aca="false">IFERROR(IF(AND($N1342="VCA",$Q1342="LINEAR"),INDEX(APOIO_REDES!$A:$W,MATCH($C1342&amp;$I1342&amp;$H1342&amp;$N1342&amp;$O1342,APOIO_REDES!$W:$W,0),MATCH(BA$5,APOIO_REDES!$5:$5,0)),IF(AND($N1342="MND",$Q1342="EMBOQUE"),INDEX(APOIO_REDES!$A:$W,MATCH($C1342&amp;$I1342&amp;$H1342&amp;$N1342&amp;$O1342,APOIO_REDES!$W:$W,0),MATCH(BA$5,APOIO_REDES!$5:$5,0)),0))*$M1342/10,0)</f>
        <v>2.30266993445432</v>
      </c>
      <c r="BB1342" s="153" t="n">
        <f aca="false">IFERROR(IF($N1342="VCA",INDEX(APOIO_REDES!$A:$W,MATCH($C1342&amp;$I1342&amp;$H1342&amp;$N1342&amp;$O1342,APOIO_REDES!$W:$W,0),MATCH(BB$5,APOIO_REDES!$5:$5,0)),0)*($AI1342+$AQ1342+$AR1342),0)</f>
        <v>10.385237604314</v>
      </c>
      <c r="BC1342" s="153" t="n">
        <f aca="false">IFERROR(IF($N1342="VCA",INDEX(APOIO_REDES!$A:$W,MATCH($C1342&amp;$I1342&amp;$H1342&amp;$N1342&amp;$O1342,APOIO_REDES!$W:$W,0),MATCH(BC$5,APOIO_REDES!$5:$5,0)),0)*($AI1342+$AQ1342+$AR1342),0)</f>
        <v>0.114237395685969</v>
      </c>
      <c r="BD1342" s="153" t="n">
        <f aca="false">IF(AND($N1342="VCA",$AF1342&gt;=1.25,$AF1342&lt;1.5),$M1342*$AF1342*2,0)</f>
        <v>79.4246</v>
      </c>
      <c r="BE1342" s="153" t="n">
        <f aca="false">IF(AND($N1342="VCA",$AF1342&gt;=1.5,$AF1342&lt;3),$M1342*$AF1342*2,0)</f>
        <v>0</v>
      </c>
      <c r="BF1342" s="153" t="n">
        <f aca="false">IF(AND($N1342="VCA",$AF1342&gt;=3),$M1342*$AF1342*2,0)</f>
        <v>0</v>
      </c>
      <c r="BG1342" s="153" t="n">
        <f aca="false">($BB1342+$BC1342)*$AK1342</f>
        <v>49.3475325</v>
      </c>
      <c r="BH1342" s="153" t="n">
        <f aca="false">IF(AND($M1342&lt;&gt;"",$N1342="VCA",$Q1342="LINEAR"),($M1342*2)/100,IF(AND($M1342&lt;&gt;"",$N1342="MND",$Q1342="EMBOQUE"),($AN1342*2)/100,0))</f>
        <v>0.5714</v>
      </c>
      <c r="BI1342" s="153" t="n">
        <f aca="false">IF(AND($M1342&lt;&gt;"",$N1342="VCA",$Q1342="LINEAR"),$M1342,IF(AND($M1342&lt;&gt;"",$N1342="MND",$Q1342="EMBOQUE"),$AN1342*2,0))</f>
        <v>28.57</v>
      </c>
      <c r="BJ1342" s="153" t="n">
        <f aca="false">IF(AND($M1342&lt;&gt;"",$N1342="VCA",$Q1342="LINEAR"),($M1342*6.8)/100,IF(AND($M1342&lt;&gt;"",$N1342="MND",$Q1342="EMBOQUE"),($AN1342*2*6.8)/100,0))</f>
        <v>1.94276</v>
      </c>
      <c r="BK1342" s="153" t="n">
        <f aca="false">IF(AND($M1342&lt;&gt;"",$N1342="VCA",$Q1342="LINEAR"),($M1342*2.5)/50,IF(AND($M1342&lt;&gt;"",$N1342="MND",$Q1342="EMBOQUE"),($AN1342*2*2.5)/50,0))</f>
        <v>1.4285</v>
      </c>
      <c r="BL1342" s="157" t="str">
        <f aca="false">K1342&amp;J1342</f>
        <v>Zona11REDES</v>
      </c>
      <c r="BM1342" s="152" t="s">
        <v>6084</v>
      </c>
      <c r="BN1342" s="152" t="s">
        <v>1560</v>
      </c>
      <c r="BO1342" s="152" t="s">
        <v>6516</v>
      </c>
      <c r="BP1342" s="152" t="s">
        <v>6624</v>
      </c>
      <c r="BQ1342" s="152" t="s">
        <v>6614</v>
      </c>
      <c r="BR1342" s="152" t="s">
        <v>6625</v>
      </c>
      <c r="BS1342" s="152" t="n">
        <v>204400.831</v>
      </c>
      <c r="BT1342" s="152" t="n">
        <v>8236147.869</v>
      </c>
      <c r="BU1342" s="152" t="n">
        <v>204395.149</v>
      </c>
      <c r="BV1342" s="152" t="n">
        <v>8236175.861</v>
      </c>
      <c r="BW1342" s="152" t="n">
        <v>-15.9362292</v>
      </c>
      <c r="BX1342" s="152" t="n">
        <v>-47.7610643</v>
      </c>
      <c r="BY1342" s="152" t="s">
        <v>6624</v>
      </c>
    </row>
    <row r="1343" customFormat="false" ht="13.8" hidden="false" customHeight="false" outlineLevel="0" collapsed="false">
      <c r="A1343" s="149" t="n">
        <f aca="false">IF(C1343&lt;&gt;"",ROW(A1338),"")</f>
        <v>1338</v>
      </c>
      <c r="B1343" s="150" t="str">
        <f aca="false">HYPERLINK("https://www.google.com/maps/dir/-15.917302,-47.760003/-15.9362301,-47.7634358/data=!4m3!4m2!3e0!5i2")</f>
        <v>https://www.google.com/maps/dir/-15.917302,-47.760003/-15.9362301,-47.7634358/data=!4m3!4m2!3e0!5i2</v>
      </c>
      <c r="C1343" s="151" t="s">
        <v>117</v>
      </c>
      <c r="D1343" s="152" t="s">
        <v>112</v>
      </c>
      <c r="E1343" s="152" t="s">
        <v>113</v>
      </c>
      <c r="F1343" s="152" t="s">
        <v>117</v>
      </c>
      <c r="G1343" s="152" t="s">
        <v>782</v>
      </c>
      <c r="H1343" s="152" t="n">
        <v>63</v>
      </c>
      <c r="I1343" s="152" t="s">
        <v>115</v>
      </c>
      <c r="J1343" s="152" t="s">
        <v>6</v>
      </c>
      <c r="K1343" s="152" t="s">
        <v>6081</v>
      </c>
      <c r="L1343" s="152" t="s">
        <v>120</v>
      </c>
      <c r="M1343" s="153" t="n">
        <f aca="false">18.84</f>
        <v>18.84</v>
      </c>
      <c r="N1343" s="152" t="s">
        <v>1548</v>
      </c>
      <c r="O1343" s="152" t="s">
        <v>1549</v>
      </c>
      <c r="P1343" s="152" t="s">
        <v>1550</v>
      </c>
      <c r="Q1343" s="152" t="s">
        <v>1551</v>
      </c>
      <c r="R1343" s="154" t="s">
        <v>6626</v>
      </c>
      <c r="S1343" s="154" t="s">
        <v>1553</v>
      </c>
      <c r="T1343" s="155" t="s">
        <v>6514</v>
      </c>
      <c r="U1343" s="152" t="str">
        <f aca="false">RIGHT(T1343,7)</f>
        <v>024/037</v>
      </c>
      <c r="V1343" s="152" t="s">
        <v>1555</v>
      </c>
      <c r="W1343" s="156" t="n">
        <v>45882</v>
      </c>
      <c r="X1343" s="152" t="s">
        <v>3938</v>
      </c>
      <c r="Y1343" s="152" t="s">
        <v>2524</v>
      </c>
      <c r="Z1343" s="152" t="s">
        <v>1557</v>
      </c>
      <c r="AA1343" s="153" t="n">
        <v>5</v>
      </c>
      <c r="AB1343" s="151" t="s">
        <v>6627</v>
      </c>
      <c r="AC1343" s="151" t="s">
        <v>186</v>
      </c>
      <c r="AD1343" s="151" t="str">
        <f aca="false">CONCATENATE($C1343,$I1343,$H1343,$N1343,$J1343,$K1343)</f>
        <v>TUBO PEADPEAD63VCAREDESZona11</v>
      </c>
      <c r="AE1343" s="153" t="n">
        <f aca="false">IFERROR(INDEX(APOIO_REDES!$A:$W,MATCH($C1343&amp;$I1343&amp;$H1343&amp;$N1343&amp;$O1343,APOIO_REDES!$W:$W,0),MATCH(AE$5,APOIO_REDES!$5:$5,0)),0)</f>
        <v>1.2</v>
      </c>
      <c r="AF1343" s="153" t="n">
        <f aca="false">IFERROR(INDEX(APOIO_REDES!$A:$W,MATCH($C1343&amp;$I1343&amp;$H1343&amp;$N1343&amp;$O1343,APOIO_REDES!$W:$W,0),MATCH(AF$5,APOIO_REDES!$5:$5,0)),0)</f>
        <v>1.363</v>
      </c>
      <c r="AG1343" s="153" t="n">
        <f aca="false">IFERROR(INDEX(APOIO_REDES!$A:$W,MATCH($C1343&amp;$I1343&amp;$H1343&amp;$N1343&amp;$O1343,APOIO_REDES!$W:$W,0),MATCH(AG$5,APOIO_REDES!$5:$5,0)),0)</f>
        <v>0.65</v>
      </c>
      <c r="AH1343" s="153" t="n">
        <f aca="false">IFERROR(INDEX(APOIO_REDES!$A:$W,MATCH($C1343&amp;$I1343&amp;$H1343&amp;$N1343&amp;$O1343,APOIO_REDES!$W:$W,0),MATCH(AH$5,APOIO_REDES!$5:$5,0)),0)</f>
        <v>0.1</v>
      </c>
      <c r="AI1343" s="153" t="n">
        <f aca="false">IFERROR(IF($H1343&lt;&gt;"",(((($H1343/1000)/2)^2)*PI()*$M1343),0),0)</f>
        <v>0.0587289016502811</v>
      </c>
      <c r="AJ1343" s="153" t="n">
        <f aca="false">IFERROR(IF(AND($H1343&lt;&gt;"",$I1343="FoFo",OR($N1343="MND",$N1343="VCA"),$Q1343="LINEAR"),0,IF(AND($H1343&lt;&gt;"",$I1343="PEAD",$N1343="VCA",$Q1343="LINEAR"),($H1343/1000)+0.3,IF(AND($H1343&lt;&gt;"",$I1343="PEAD",$N1343="MND",$Q1343="EMBOQUE"),0,IF(AND($H1343&lt;&gt;"",$I1343="PVC",$N1343="VCA",$Q1343="LINEAR"),($H1343/1000)+0.2,IF(AND($H1343&lt;&gt;"",$I1343="PVC",$N1343="MND",$Q1343="EMBOQUE"),0,IF(AND($H1343&lt;&gt;"",$I1343="PEAD",$N1343="VCA",$Q1343="PREDIAL"),0,0)))))),0)</f>
        <v>0.363</v>
      </c>
      <c r="AK1343" s="153" t="n">
        <f aca="false">IF(AA1343&lt;&gt;"",AA1343,0)</f>
        <v>5</v>
      </c>
      <c r="AL1343" s="153" t="n">
        <f aca="false">IF(AND($N1343="MND",$Q1343="EMBOQUE"),$M1343,IF(AND($N1343="VCA",$Q1343="LINEAR"),$M1343,IF(AND($N1343="VCA",$Q1343="PREDIAL"),0,0)))</f>
        <v>18.84</v>
      </c>
      <c r="AM1343" s="153" t="n">
        <f aca="false">IF(AND($N1343="MND",$Q1343="EMBOQUE"),$M1343,IF(AND($N1343="VCA",$Q1343="LINEAR"),$M1343,IF(AND($N1343="VCA",$Q1343="PREDIAL"),0,0)))</f>
        <v>18.84</v>
      </c>
      <c r="AN1343" s="153" t="n">
        <f aca="false">ROUND(IF(AND($N1343="VCA",$M1343&lt;&gt;"",$Q1343="LINEAR"),$M1343/100,IF(AND($N1343="MND",$M1343&gt;100,$Q1343="EMBOQUE"),$M1343/100,0)),0)</f>
        <v>0</v>
      </c>
      <c r="AO1343" s="153" t="n">
        <f aca="false">IF(AND($N1343="MND",$Q1343="EMBOQUE"),$AN1343*2*2,IF(AND($N1343="VCA",$Q1343="LINEAR"),$M1343*2,IF(AND($N1343="VCA",$Q1343="PREDIAL"),0,0)))</f>
        <v>37.68</v>
      </c>
      <c r="AP1343" s="153" t="n">
        <f aca="false">IFERROR($M1343*$AF1343*$AG1343,0)</f>
        <v>16.691298</v>
      </c>
      <c r="AQ1343" s="153" t="n">
        <f aca="false">IFERROR(IF(AND($N1343="VCA",$AH1343&gt;0),$M1343*$AG1343*$AH1343,0),0)</f>
        <v>1.2246</v>
      </c>
      <c r="AR1343" s="153" t="n">
        <f aca="false">IFERROR(IF(AND($N1343="VCA",$AJ1343&gt;0),($M1343*$AG1343*$AJ1343)-$AI1343,0),0)</f>
        <v>4.38656909834972</v>
      </c>
      <c r="AS1343" s="153" t="n">
        <f aca="false">IFERROR(IF(AND($N1343="VCA",$AP1343&gt;0),$AP1343-$AI1343-$AQ1343-$AR1343,0),0)</f>
        <v>11.0214</v>
      </c>
      <c r="AT1343" s="153" t="n">
        <f aca="false">IFERROR(IF($N1343="VCA",INDEX(APOIO_REDES!$A:$W,MATCH($C1343&amp;$I1343&amp;$H1343&amp;$N1343&amp;$O1343,APOIO_REDES!$W:$W,0),MATCH(AT$5,APOIO_REDES!$5:$5,0)),0)*$AP1343,0)</f>
        <v>0.181606262612027</v>
      </c>
      <c r="AU1343" s="153" t="n">
        <f aca="false">IFERROR(IF($N1343="VCA",INDEX(APOIO_REDES!$A:$W,MATCH($C1343&amp;$I1343&amp;$H1343&amp;$N1343&amp;$O1343,APOIO_REDES!$W:$W,0),MATCH(AU$5,APOIO_REDES!$5:$5,0)),0)*$AP1343,0)</f>
        <v>0.145025842800604</v>
      </c>
      <c r="AV1343" s="153" t="n">
        <f aca="false">IFERROR(IF($N1343="VCA",INDEX(APOIO_REDES!$A:$W,MATCH($C1343&amp;$I1343&amp;$H1343&amp;$N1343&amp;$O1343,APOIO_REDES!$W:$W,0),MATCH(AV$5,APOIO_REDES!$5:$5,0)),0)*$AP1343,0)</f>
        <v>0.0200704381460993</v>
      </c>
      <c r="AW1343" s="153" t="n">
        <f aca="false">IFERROR(IF($N1343="VCA",INDEX(APOIO_REDES!$A:$W,MATCH($C1343&amp;$I1343&amp;$H1343&amp;$N1343&amp;$O1343,APOIO_REDES!$W:$W,0),MATCH(AW$5,APOIO_REDES!$5:$5,0)),0)*$AP1343,0)</f>
        <v>11.4570362776879</v>
      </c>
      <c r="AX1343" s="153" t="n">
        <f aca="false">IFERROR(IF($N1343="VCA",INDEX(APOIO_REDES!$A:$W,MATCH($C1343&amp;$I1343&amp;$H1343&amp;$N1343&amp;$O1343,APOIO_REDES!$W:$W,0),MATCH(AX$5,APOIO_REDES!$5:$5,0)),0)*$AP1343,0)</f>
        <v>1.58562118484641</v>
      </c>
      <c r="AY1343" s="153" t="n">
        <f aca="false">IFERROR(IF($N1343="VCA",INDEX(APOIO_REDES!$A:$W,MATCH($C1343&amp;$I1343&amp;$H1343&amp;$N1343&amp;$O1343,APOIO_REDES!$W:$W,0),MATCH(AY$5,APOIO_REDES!$5:$5,0)),0)*$AP1343,0)</f>
        <v>2.90051508815881</v>
      </c>
      <c r="AZ1343" s="153" t="n">
        <f aca="false">IFERROR(IF($N1343="VCA",INDEX(APOIO_REDES!$A:$W,MATCH($C1343&amp;$I1343&amp;$H1343&amp;$N1343&amp;$O1343,APOIO_REDES!$W:$W,0),MATCH(AZ$5,APOIO_REDES!$5:$5,0)),0)*$AP1343,0)</f>
        <v>0.401422905748127</v>
      </c>
      <c r="BA1343" s="153" t="n">
        <f aca="false">IFERROR(IF(AND($N1343="VCA",$Q1343="LINEAR"),INDEX(APOIO_REDES!$A:$W,MATCH($C1343&amp;$I1343&amp;$H1343&amp;$N1343&amp;$O1343,APOIO_REDES!$W:$W,0),MATCH(BA$5,APOIO_REDES!$5:$5,0)),IF(AND($N1343="MND",$Q1343="EMBOQUE"),INDEX(APOIO_REDES!$A:$W,MATCH($C1343&amp;$I1343&amp;$H1343&amp;$N1343&amp;$O1343,APOIO_REDES!$W:$W,0),MATCH(BA$5,APOIO_REDES!$5:$5,0)),0))*$M1343/10,0)</f>
        <v>1.51845647760306</v>
      </c>
      <c r="BB1343" s="153" t="n">
        <f aca="false">IFERROR(IF($N1343="VCA",INDEX(APOIO_REDES!$A:$W,MATCH($C1343&amp;$I1343&amp;$H1343&amp;$N1343&amp;$O1343,APOIO_REDES!$W:$W,0),MATCH(BB$5,APOIO_REDES!$5:$5,0)),0)*($AI1343+$AQ1343+$AR1343),0)</f>
        <v>5.60820783155586</v>
      </c>
      <c r="BC1343" s="153" t="n">
        <f aca="false">IFERROR(IF($N1343="VCA",INDEX(APOIO_REDES!$A:$W,MATCH($C1343&amp;$I1343&amp;$H1343&amp;$N1343&amp;$O1343,APOIO_REDES!$W:$W,0),MATCH(BC$5,APOIO_REDES!$5:$5,0)),0)*($AI1343+$AQ1343+$AR1343),0)</f>
        <v>0.0616901684441443</v>
      </c>
      <c r="BD1343" s="153" t="n">
        <f aca="false">IF(AND($N1343="VCA",$AF1343&gt;=1.25,$AF1343&lt;1.5),$M1343*$AF1343*2,0)</f>
        <v>51.35784</v>
      </c>
      <c r="BE1343" s="153" t="n">
        <f aca="false">IF(AND($N1343="VCA",$AF1343&gt;=1.5,$AF1343&lt;3),$M1343*$AF1343*2,0)</f>
        <v>0</v>
      </c>
      <c r="BF1343" s="153" t="n">
        <f aca="false">IF(AND($N1343="VCA",$AF1343&gt;=3),$M1343*$AF1343*2,0)</f>
        <v>0</v>
      </c>
      <c r="BG1343" s="153" t="n">
        <f aca="false">($BB1343+$BC1343)*$AK1343</f>
        <v>28.34949</v>
      </c>
      <c r="BH1343" s="153" t="n">
        <f aca="false">IF(AND($M1343&lt;&gt;"",$N1343="VCA",$Q1343="LINEAR"),($M1343*2)/100,IF(AND($M1343&lt;&gt;"",$N1343="MND",$Q1343="EMBOQUE"),($AN1343*2)/100,0))</f>
        <v>0.3768</v>
      </c>
      <c r="BI1343" s="153" t="n">
        <f aca="false">IF(AND($M1343&lt;&gt;"",$N1343="VCA",$Q1343="LINEAR"),$M1343,IF(AND($M1343&lt;&gt;"",$N1343="MND",$Q1343="EMBOQUE"),$AN1343*2,0))</f>
        <v>18.84</v>
      </c>
      <c r="BJ1343" s="153" t="n">
        <f aca="false">IF(AND($M1343&lt;&gt;"",$N1343="VCA",$Q1343="LINEAR"),($M1343*6.8)/100,IF(AND($M1343&lt;&gt;"",$N1343="MND",$Q1343="EMBOQUE"),($AN1343*2*6.8)/100,0))</f>
        <v>1.28112</v>
      </c>
      <c r="BK1343" s="153" t="n">
        <f aca="false">IF(AND($M1343&lt;&gt;"",$N1343="VCA",$Q1343="LINEAR"),($M1343*2.5)/50,IF(AND($M1343&lt;&gt;"",$N1343="MND",$Q1343="EMBOQUE"),($AN1343*2*2.5)/50,0))</f>
        <v>0.942</v>
      </c>
      <c r="BL1343" s="157" t="str">
        <f aca="false">K1343&amp;J1343</f>
        <v>Zona11REDES</v>
      </c>
      <c r="BM1343" s="152" t="s">
        <v>6084</v>
      </c>
      <c r="BN1343" s="152" t="s">
        <v>1560</v>
      </c>
      <c r="BO1343" s="152" t="s">
        <v>6516</v>
      </c>
      <c r="BP1343" s="152" t="s">
        <v>6621</v>
      </c>
      <c r="BQ1343" s="152" t="s">
        <v>6204</v>
      </c>
      <c r="BR1343" s="152" t="s">
        <v>6628</v>
      </c>
      <c r="BS1343" s="152" t="n">
        <v>204145.052</v>
      </c>
      <c r="BT1343" s="152" t="n">
        <v>8236158.746</v>
      </c>
      <c r="BU1343" s="152" t="n">
        <v>204163.038</v>
      </c>
      <c r="BV1343" s="152" t="n">
        <v>8236164.346</v>
      </c>
      <c r="BW1343" s="152" t="n">
        <v>-15.936203</v>
      </c>
      <c r="BX1343" s="152" t="n">
        <v>-47.7633415</v>
      </c>
      <c r="BY1343" s="152" t="s">
        <v>6621</v>
      </c>
    </row>
    <row r="1344" customFormat="false" ht="13.8" hidden="false" customHeight="false" outlineLevel="0" collapsed="false">
      <c r="A1344" s="149" t="n">
        <f aca="false">IF(C1344&lt;&gt;"",ROW(A1339),"")</f>
        <v>1339</v>
      </c>
      <c r="B1344" s="150" t="str">
        <f aca="false">HYPERLINK("https://www.google.com/maps/dir/-15.917302,-47.760003/-15.9360566,-47.7607940/data=!4m3!4m2!3e0!5i1")</f>
        <v>https://www.google.com/maps/dir/-15.917302,-47.760003/-15.9360566,-47.7607940/data=!4m3!4m2!3e0!5i1</v>
      </c>
      <c r="C1344" s="151" t="s">
        <v>117</v>
      </c>
      <c r="D1344" s="152" t="s">
        <v>112</v>
      </c>
      <c r="E1344" s="152" t="s">
        <v>113</v>
      </c>
      <c r="F1344" s="152" t="s">
        <v>117</v>
      </c>
      <c r="G1344" s="152" t="s">
        <v>782</v>
      </c>
      <c r="H1344" s="152" t="n">
        <v>90</v>
      </c>
      <c r="I1344" s="152" t="s">
        <v>115</v>
      </c>
      <c r="J1344" s="152" t="s">
        <v>6</v>
      </c>
      <c r="K1344" s="152" t="s">
        <v>6081</v>
      </c>
      <c r="L1344" s="152" t="s">
        <v>120</v>
      </c>
      <c r="M1344" s="153" t="n">
        <f aca="false">43.75</f>
        <v>43.75</v>
      </c>
      <c r="N1344" s="152" t="s">
        <v>1548</v>
      </c>
      <c r="O1344" s="152" t="s">
        <v>1549</v>
      </c>
      <c r="P1344" s="152" t="s">
        <v>1550</v>
      </c>
      <c r="Q1344" s="152" t="s">
        <v>1551</v>
      </c>
      <c r="R1344" s="154" t="s">
        <v>6629</v>
      </c>
      <c r="S1344" s="154" t="s">
        <v>1593</v>
      </c>
      <c r="T1344" s="155" t="s">
        <v>6514</v>
      </c>
      <c r="U1344" s="152" t="str">
        <f aca="false">RIGHT(T1344,7)</f>
        <v>024/037</v>
      </c>
      <c r="V1344" s="152" t="s">
        <v>1555</v>
      </c>
      <c r="W1344" s="156" t="n">
        <v>45882</v>
      </c>
      <c r="X1344" s="152" t="s">
        <v>3938</v>
      </c>
      <c r="Y1344" s="152" t="s">
        <v>6546</v>
      </c>
      <c r="Z1344" s="152" t="s">
        <v>1557</v>
      </c>
      <c r="AA1344" s="153" t="n">
        <v>4.8</v>
      </c>
      <c r="AB1344" s="151" t="s">
        <v>6630</v>
      </c>
      <c r="AC1344" s="151" t="s">
        <v>526</v>
      </c>
      <c r="AD1344" s="151" t="str">
        <f aca="false">CONCATENATE($C1344,$I1344,$H1344,$N1344,$J1344,$K1344)</f>
        <v>TUBO PEADPEAD90VCAREDESZona11</v>
      </c>
      <c r="AE1344" s="153" t="n">
        <f aca="false">IFERROR(INDEX(APOIO_REDES!$A:$W,MATCH($C1344&amp;$I1344&amp;$H1344&amp;$N1344&amp;$O1344,APOIO_REDES!$W:$W,0),MATCH(AE$5,APOIO_REDES!$5:$5,0)),0)</f>
        <v>1.2</v>
      </c>
      <c r="AF1344" s="153" t="n">
        <f aca="false">IFERROR(INDEX(APOIO_REDES!$A:$W,MATCH($C1344&amp;$I1344&amp;$H1344&amp;$N1344&amp;$O1344,APOIO_REDES!$W:$W,0),MATCH(AF$5,APOIO_REDES!$5:$5,0)),0)</f>
        <v>1.39</v>
      </c>
      <c r="AG1344" s="153" t="n">
        <f aca="false">IFERROR(INDEX(APOIO_REDES!$A:$W,MATCH($C1344&amp;$I1344&amp;$H1344&amp;$N1344&amp;$O1344,APOIO_REDES!$W:$W,0),MATCH(AG$5,APOIO_REDES!$5:$5,0)),0)</f>
        <v>0.75</v>
      </c>
      <c r="AH1344" s="153" t="n">
        <f aca="false">IFERROR(INDEX(APOIO_REDES!$A:$W,MATCH($C1344&amp;$I1344&amp;$H1344&amp;$N1344&amp;$O1344,APOIO_REDES!$W:$W,0),MATCH(AH$5,APOIO_REDES!$5:$5,0)),0)</f>
        <v>0.1</v>
      </c>
      <c r="AI1344" s="153" t="n">
        <f aca="false">IFERROR(IF($H1344&lt;&gt;"",(((($H1344/1000)/2)^2)*PI()*$M1344),0),0)</f>
        <v>0.278325474153971</v>
      </c>
      <c r="AJ1344" s="153" t="n">
        <f aca="false">IFERROR(IF(AND($H1344&lt;&gt;"",$I1344="FoFo",OR($N1344="MND",$N1344="VCA"),$Q1344="LINEAR"),0,IF(AND($H1344&lt;&gt;"",$I1344="PEAD",$N1344="VCA",$Q1344="LINEAR"),($H1344/1000)+0.3,IF(AND($H1344&lt;&gt;"",$I1344="PEAD",$N1344="MND",$Q1344="EMBOQUE"),0,IF(AND($H1344&lt;&gt;"",$I1344="PVC",$N1344="VCA",$Q1344="LINEAR"),($H1344/1000)+0.2,IF(AND($H1344&lt;&gt;"",$I1344="PVC",$N1344="MND",$Q1344="EMBOQUE"),0,IF(AND($H1344&lt;&gt;"",$I1344="PEAD",$N1344="VCA",$Q1344="PREDIAL"),0,0)))))),0)</f>
        <v>0.39</v>
      </c>
      <c r="AK1344" s="153" t="n">
        <f aca="false">IF(AA1344&lt;&gt;"",AA1344,0)</f>
        <v>4.8</v>
      </c>
      <c r="AL1344" s="153" t="n">
        <f aca="false">IF(AND($N1344="MND",$Q1344="EMBOQUE"),$M1344,IF(AND($N1344="VCA",$Q1344="LINEAR"),$M1344,IF(AND($N1344="VCA",$Q1344="PREDIAL"),0,0)))</f>
        <v>43.75</v>
      </c>
      <c r="AM1344" s="153" t="n">
        <f aca="false">IF(AND($N1344="MND",$Q1344="EMBOQUE"),$M1344,IF(AND($N1344="VCA",$Q1344="LINEAR"),$M1344,IF(AND($N1344="VCA",$Q1344="PREDIAL"),0,0)))</f>
        <v>43.75</v>
      </c>
      <c r="AN1344" s="153" t="n">
        <f aca="false">ROUND(IF(AND($N1344="VCA",$M1344&lt;&gt;"",$Q1344="LINEAR"),$M1344/100,IF(AND($N1344="MND",$M1344&gt;100,$Q1344="EMBOQUE"),$M1344/100,0)),0)</f>
        <v>0</v>
      </c>
      <c r="AO1344" s="153" t="n">
        <f aca="false">IF(AND($N1344="MND",$Q1344="EMBOQUE"),$AN1344*2*2,IF(AND($N1344="VCA",$Q1344="LINEAR"),$M1344*2,IF(AND($N1344="VCA",$Q1344="PREDIAL"),0,0)))</f>
        <v>87.5</v>
      </c>
      <c r="AP1344" s="153" t="n">
        <f aca="false">IFERROR($M1344*$AF1344*$AG1344,0)</f>
        <v>45.609375</v>
      </c>
      <c r="AQ1344" s="153" t="n">
        <f aca="false">IFERROR(IF(AND($N1344="VCA",$AH1344&gt;0),$M1344*$AG1344*$AH1344,0),0)</f>
        <v>3.28125</v>
      </c>
      <c r="AR1344" s="153" t="n">
        <f aca="false">IFERROR(IF(AND($N1344="VCA",$AJ1344&gt;0),($M1344*$AG1344*$AJ1344)-$AI1344,0),0)</f>
        <v>12.518549525846</v>
      </c>
      <c r="AS1344" s="153" t="n">
        <f aca="false">IFERROR(IF(AND($N1344="VCA",$AP1344&gt;0),$AP1344-$AI1344-$AQ1344-$AR1344,0),0)</f>
        <v>29.53125</v>
      </c>
      <c r="AT1344" s="153" t="n">
        <f aca="false">IFERROR(IF($N1344="VCA",INDEX(APOIO_REDES!$A:$W,MATCH($C1344&amp;$I1344&amp;$H1344&amp;$N1344&amp;$O1344,APOIO_REDES!$W:$W,0),MATCH(AT$5,APOIO_REDES!$5:$5,0)),0)*$AP1344,0)</f>
        <v>0.49624349968591</v>
      </c>
      <c r="AU1344" s="153" t="n">
        <f aca="false">IFERROR(IF($N1344="VCA",INDEX(APOIO_REDES!$A:$W,MATCH($C1344&amp;$I1344&amp;$H1344&amp;$N1344&amp;$O1344,APOIO_REDES!$W:$W,0),MATCH(AU$5,APOIO_REDES!$5:$5,0)),0)*$AP1344,0)</f>
        <v>0.396286618870732</v>
      </c>
      <c r="AV1344" s="153" t="n">
        <f aca="false">IFERROR(IF($N1344="VCA",INDEX(APOIO_REDES!$A:$W,MATCH($C1344&amp;$I1344&amp;$H1344&amp;$N1344&amp;$O1344,APOIO_REDES!$W:$W,0),MATCH(AV$5,APOIO_REDES!$5:$5,0)),0)*$AP1344,0)</f>
        <v>0.0548429570797759</v>
      </c>
      <c r="AW1344" s="153" t="n">
        <f aca="false">IFERROR(IF($N1344="VCA",INDEX(APOIO_REDES!$A:$W,MATCH($C1344&amp;$I1344&amp;$H1344&amp;$N1344&amp;$O1344,APOIO_REDES!$W:$W,0),MATCH(AW$5,APOIO_REDES!$5:$5,0)),0)*$AP1344,0)</f>
        <v>31.3066283986825</v>
      </c>
      <c r="AX1344" s="153" t="n">
        <f aca="false">IFERROR(IF($N1344="VCA",INDEX(APOIO_REDES!$A:$W,MATCH($C1344&amp;$I1344&amp;$H1344&amp;$N1344&amp;$O1344,APOIO_REDES!$W:$W,0),MATCH(AX$5,APOIO_REDES!$5:$5,0)),0)*$AP1344,0)</f>
        <v>4.33274819175861</v>
      </c>
      <c r="AY1344" s="153" t="n">
        <f aca="false">IFERROR(IF($N1344="VCA",INDEX(APOIO_REDES!$A:$W,MATCH($C1344&amp;$I1344&amp;$H1344&amp;$N1344&amp;$O1344,APOIO_REDES!$W:$W,0),MATCH(AY$5,APOIO_REDES!$5:$5,0)),0)*$AP1344,0)</f>
        <v>7.92572754671287</v>
      </c>
      <c r="AZ1344" s="153" t="n">
        <f aca="false">IFERROR(IF($N1344="VCA",INDEX(APOIO_REDES!$A:$W,MATCH($C1344&amp;$I1344&amp;$H1344&amp;$N1344&amp;$O1344,APOIO_REDES!$W:$W,0),MATCH(AZ$5,APOIO_REDES!$5:$5,0)),0)*$AP1344,0)</f>
        <v>1.0968977872096</v>
      </c>
      <c r="BA1344" s="153" t="n">
        <f aca="false">IFERROR(IF(AND($N1344="VCA",$Q1344="LINEAR"),INDEX(APOIO_REDES!$A:$W,MATCH($C1344&amp;$I1344&amp;$H1344&amp;$N1344&amp;$O1344,APOIO_REDES!$W:$W,0),MATCH(BA$5,APOIO_REDES!$5:$5,0)),IF(AND($N1344="MND",$Q1344="EMBOQUE"),INDEX(APOIO_REDES!$A:$W,MATCH($C1344&amp;$I1344&amp;$H1344&amp;$N1344&amp;$O1344,APOIO_REDES!$W:$W,0),MATCH(BA$5,APOIO_REDES!$5:$5,0)),0))*$M1344/10,0)</f>
        <v>3.52613964411539</v>
      </c>
      <c r="BB1344" s="153" t="n">
        <f aca="false">IFERROR(IF($N1344="VCA",INDEX(APOIO_REDES!$A:$W,MATCH($C1344&amp;$I1344&amp;$H1344&amp;$N1344&amp;$O1344,APOIO_REDES!$W:$W,0),MATCH(BB$5,APOIO_REDES!$5:$5,0)),0)*($AI1344+$AQ1344+$AR1344),0)</f>
        <v>15.9031902411179</v>
      </c>
      <c r="BC1344" s="153" t="n">
        <f aca="false">IFERROR(IF($N1344="VCA",INDEX(APOIO_REDES!$A:$W,MATCH($C1344&amp;$I1344&amp;$H1344&amp;$N1344&amp;$O1344,APOIO_REDES!$W:$W,0),MATCH(BC$5,APOIO_REDES!$5:$5,0)),0)*($AI1344+$AQ1344+$AR1344),0)</f>
        <v>0.174934758882083</v>
      </c>
      <c r="BD1344" s="153" t="n">
        <f aca="false">IF(AND($N1344="VCA",$AF1344&gt;=1.25,$AF1344&lt;1.5),$M1344*$AF1344*2,0)</f>
        <v>121.625</v>
      </c>
      <c r="BE1344" s="153" t="n">
        <f aca="false">IF(AND($N1344="VCA",$AF1344&gt;=1.5,$AF1344&lt;3),$M1344*$AF1344*2,0)</f>
        <v>0</v>
      </c>
      <c r="BF1344" s="153" t="n">
        <f aca="false">IF(AND($N1344="VCA",$AF1344&gt;=3),$M1344*$AF1344*2,0)</f>
        <v>0</v>
      </c>
      <c r="BG1344" s="153" t="n">
        <f aca="false">($BB1344+$BC1344)*$AK1344</f>
        <v>77.175</v>
      </c>
      <c r="BH1344" s="153" t="n">
        <f aca="false">IF(AND($M1344&lt;&gt;"",$N1344="VCA",$Q1344="LINEAR"),($M1344*2)/100,IF(AND($M1344&lt;&gt;"",$N1344="MND",$Q1344="EMBOQUE"),($AN1344*2)/100,0))</f>
        <v>0.875</v>
      </c>
      <c r="BI1344" s="153" t="n">
        <f aca="false">IF(AND($M1344&lt;&gt;"",$N1344="VCA",$Q1344="LINEAR"),$M1344,IF(AND($M1344&lt;&gt;"",$N1344="MND",$Q1344="EMBOQUE"),$AN1344*2,0))</f>
        <v>43.75</v>
      </c>
      <c r="BJ1344" s="153" t="n">
        <f aca="false">IF(AND($M1344&lt;&gt;"",$N1344="VCA",$Q1344="LINEAR"),($M1344*6.8)/100,IF(AND($M1344&lt;&gt;"",$N1344="MND",$Q1344="EMBOQUE"),($AN1344*2*6.8)/100,0))</f>
        <v>2.975</v>
      </c>
      <c r="BK1344" s="153" t="n">
        <f aca="false">IF(AND($M1344&lt;&gt;"",$N1344="VCA",$Q1344="LINEAR"),($M1344*2.5)/50,IF(AND($M1344&lt;&gt;"",$N1344="MND",$Q1344="EMBOQUE"),($AN1344*2*2.5)/50,0))</f>
        <v>2.1875</v>
      </c>
      <c r="BL1344" s="157" t="str">
        <f aca="false">K1344&amp;J1344</f>
        <v>Zona11REDES</v>
      </c>
      <c r="BM1344" s="152" t="s">
        <v>6084</v>
      </c>
      <c r="BN1344" s="152" t="s">
        <v>1560</v>
      </c>
      <c r="BO1344" s="152" t="s">
        <v>6516</v>
      </c>
      <c r="BP1344" s="152" t="s">
        <v>6549</v>
      </c>
      <c r="BQ1344" s="152" t="s">
        <v>6631</v>
      </c>
      <c r="BR1344" s="152" t="s">
        <v>6632</v>
      </c>
      <c r="BS1344" s="152" t="n">
        <v>204426.686</v>
      </c>
      <c r="BT1344" s="152" t="n">
        <v>8236181.013</v>
      </c>
      <c r="BU1344" s="152" t="n">
        <v>204434.002</v>
      </c>
      <c r="BV1344" s="152" t="n">
        <v>8236138.263</v>
      </c>
      <c r="BW1344" s="152" t="n">
        <v>-15.9362535</v>
      </c>
      <c r="BX1344" s="152" t="n">
        <v>-47.7607739</v>
      </c>
      <c r="BY1344" s="152" t="s">
        <v>6549</v>
      </c>
    </row>
    <row r="1345" customFormat="false" ht="13.8" hidden="false" customHeight="false" outlineLevel="0" collapsed="false">
      <c r="A1345" s="149" t="n">
        <f aca="false">IF(C1345&lt;&gt;"",ROW(A1340),"")</f>
        <v>1340</v>
      </c>
      <c r="B1345" s="150" t="str">
        <f aca="false">HYPERLINK("https://www.google.com/maps/dir/-15.917302,-47.760003/-15.9364682,-47.7627118/data=!4m3!4m2!3e0!5i2")</f>
        <v>https://www.google.com/maps/dir/-15.917302,-47.760003/-15.9364682,-47.7627118/data=!4m3!4m2!3e0!5i2</v>
      </c>
      <c r="C1345" s="151" t="s">
        <v>117</v>
      </c>
      <c r="D1345" s="152" t="s">
        <v>112</v>
      </c>
      <c r="E1345" s="152" t="s">
        <v>113</v>
      </c>
      <c r="F1345" s="152" t="s">
        <v>117</v>
      </c>
      <c r="G1345" s="152" t="s">
        <v>782</v>
      </c>
      <c r="H1345" s="152" t="n">
        <v>63</v>
      </c>
      <c r="I1345" s="152" t="s">
        <v>115</v>
      </c>
      <c r="J1345" s="152" t="s">
        <v>6</v>
      </c>
      <c r="K1345" s="152" t="s">
        <v>6081</v>
      </c>
      <c r="L1345" s="152" t="s">
        <v>120</v>
      </c>
      <c r="M1345" s="153" t="n">
        <f aca="false">162.12</f>
        <v>162.12</v>
      </c>
      <c r="N1345" s="152" t="s">
        <v>1548</v>
      </c>
      <c r="O1345" s="152" t="s">
        <v>1549</v>
      </c>
      <c r="P1345" s="152" t="s">
        <v>1550</v>
      </c>
      <c r="Q1345" s="152" t="s">
        <v>1551</v>
      </c>
      <c r="R1345" s="154" t="s">
        <v>6633</v>
      </c>
      <c r="S1345" s="154" t="s">
        <v>1553</v>
      </c>
      <c r="T1345" s="155" t="s">
        <v>6514</v>
      </c>
      <c r="U1345" s="152" t="str">
        <f aca="false">RIGHT(T1345,7)</f>
        <v>024/037</v>
      </c>
      <c r="V1345" s="152" t="s">
        <v>1555</v>
      </c>
      <c r="W1345" s="156" t="n">
        <v>45882</v>
      </c>
      <c r="X1345" s="152" t="s">
        <v>3938</v>
      </c>
      <c r="Y1345" s="152" t="s">
        <v>2524</v>
      </c>
      <c r="Z1345" s="152" t="s">
        <v>1557</v>
      </c>
      <c r="AA1345" s="153" t="n">
        <v>4.9</v>
      </c>
      <c r="AB1345" s="151" t="s">
        <v>6634</v>
      </c>
      <c r="AC1345" s="151" t="s">
        <v>186</v>
      </c>
      <c r="AD1345" s="151" t="str">
        <f aca="false">CONCATENATE($C1345,$I1345,$H1345,$N1345,$J1345,$K1345)</f>
        <v>TUBO PEADPEAD63VCAREDESZona11</v>
      </c>
      <c r="AE1345" s="153" t="n">
        <f aca="false">IFERROR(INDEX(APOIO_REDES!$A:$W,MATCH($C1345&amp;$I1345&amp;$H1345&amp;$N1345&amp;$O1345,APOIO_REDES!$W:$W,0),MATCH(AE$5,APOIO_REDES!$5:$5,0)),0)</f>
        <v>1.2</v>
      </c>
      <c r="AF1345" s="153" t="n">
        <f aca="false">IFERROR(INDEX(APOIO_REDES!$A:$W,MATCH($C1345&amp;$I1345&amp;$H1345&amp;$N1345&amp;$O1345,APOIO_REDES!$W:$W,0),MATCH(AF$5,APOIO_REDES!$5:$5,0)),0)</f>
        <v>1.363</v>
      </c>
      <c r="AG1345" s="153" t="n">
        <f aca="false">IFERROR(INDEX(APOIO_REDES!$A:$W,MATCH($C1345&amp;$I1345&amp;$H1345&amp;$N1345&amp;$O1345,APOIO_REDES!$W:$W,0),MATCH(AG$5,APOIO_REDES!$5:$5,0)),0)</f>
        <v>0.65</v>
      </c>
      <c r="AH1345" s="153" t="n">
        <f aca="false">IFERROR(INDEX(APOIO_REDES!$A:$W,MATCH($C1345&amp;$I1345&amp;$H1345&amp;$N1345&amp;$O1345,APOIO_REDES!$W:$W,0),MATCH(AH$5,APOIO_REDES!$5:$5,0)),0)</f>
        <v>0.1</v>
      </c>
      <c r="AI1345" s="153" t="n">
        <f aca="false">IFERROR(IF($H1345&lt;&gt;"",(((($H1345/1000)/2)^2)*PI()*$M1345),0),0)</f>
        <v>0.505367809742228</v>
      </c>
      <c r="AJ1345" s="153" t="n">
        <f aca="false">IFERROR(IF(AND($H1345&lt;&gt;"",$I1345="FoFo",OR($N1345="MND",$N1345="VCA"),$Q1345="LINEAR"),0,IF(AND($H1345&lt;&gt;"",$I1345="PEAD",$N1345="VCA",$Q1345="LINEAR"),($H1345/1000)+0.3,IF(AND($H1345&lt;&gt;"",$I1345="PEAD",$N1345="MND",$Q1345="EMBOQUE"),0,IF(AND($H1345&lt;&gt;"",$I1345="PVC",$N1345="VCA",$Q1345="LINEAR"),($H1345/1000)+0.2,IF(AND($H1345&lt;&gt;"",$I1345="PVC",$N1345="MND",$Q1345="EMBOQUE"),0,IF(AND($H1345&lt;&gt;"",$I1345="PEAD",$N1345="VCA",$Q1345="PREDIAL"),0,0)))))),0)</f>
        <v>0.363</v>
      </c>
      <c r="AK1345" s="153" t="n">
        <f aca="false">IF(AA1345&lt;&gt;"",AA1345,0)</f>
        <v>4.9</v>
      </c>
      <c r="AL1345" s="153" t="n">
        <f aca="false">IF(AND($N1345="MND",$Q1345="EMBOQUE"),$M1345,IF(AND($N1345="VCA",$Q1345="LINEAR"),$M1345,IF(AND($N1345="VCA",$Q1345="PREDIAL"),0,0)))</f>
        <v>162.12</v>
      </c>
      <c r="AM1345" s="153" t="n">
        <f aca="false">IF(AND($N1345="MND",$Q1345="EMBOQUE"),$M1345,IF(AND($N1345="VCA",$Q1345="LINEAR"),$M1345,IF(AND($N1345="VCA",$Q1345="PREDIAL"),0,0)))</f>
        <v>162.12</v>
      </c>
      <c r="AN1345" s="153" t="n">
        <f aca="false">ROUND(IF(AND($N1345="VCA",$M1345&lt;&gt;"",$Q1345="LINEAR"),$M1345/100,IF(AND($N1345="MND",$M1345&gt;100,$Q1345="EMBOQUE"),$M1345/100,0)),0)</f>
        <v>2</v>
      </c>
      <c r="AO1345" s="153" t="n">
        <f aca="false">IF(AND($N1345="MND",$Q1345="EMBOQUE"),$AN1345*2*2,IF(AND($N1345="VCA",$Q1345="LINEAR"),$M1345*2,IF(AND($N1345="VCA",$Q1345="PREDIAL"),0,0)))</f>
        <v>324.24</v>
      </c>
      <c r="AP1345" s="153" t="n">
        <f aca="false">IFERROR($M1345*$AF1345*$AG1345,0)</f>
        <v>143.630214</v>
      </c>
      <c r="AQ1345" s="153" t="n">
        <f aca="false">IFERROR(IF(AND($N1345="VCA",$AH1345&gt;0),$M1345*$AG1345*$AH1345,0),0)</f>
        <v>10.5378</v>
      </c>
      <c r="AR1345" s="153" t="n">
        <f aca="false">IFERROR(IF(AND($N1345="VCA",$AJ1345&gt;0),($M1345*$AG1345*$AJ1345)-$AI1345,0),0)</f>
        <v>37.7468461902578</v>
      </c>
      <c r="AS1345" s="153" t="n">
        <f aca="false">IFERROR(IF(AND($N1345="VCA",$AP1345&gt;0),$AP1345-$AI1345-$AQ1345-$AR1345,0),0)</f>
        <v>94.8402</v>
      </c>
      <c r="AT1345" s="153" t="n">
        <f aca="false">IFERROR(IF($N1345="VCA",INDEX(APOIO_REDES!$A:$W,MATCH($C1345&amp;$I1345&amp;$H1345&amp;$N1345&amp;$O1345,APOIO_REDES!$W:$W,0),MATCH(AT$5,APOIO_REDES!$5:$5,0)),0)*$AP1345,0)</f>
        <v>1.5627392406933</v>
      </c>
      <c r="AU1345" s="153" t="n">
        <f aca="false">IFERROR(IF($N1345="VCA",INDEX(APOIO_REDES!$A:$W,MATCH($C1345&amp;$I1345&amp;$H1345&amp;$N1345&amp;$O1345,APOIO_REDES!$W:$W,0),MATCH(AU$5,APOIO_REDES!$5:$5,0)),0)*$AP1345,0)</f>
        <v>1.24796123327144</v>
      </c>
      <c r="AV1345" s="153" t="n">
        <f aca="false">IFERROR(IF($N1345="VCA",INDEX(APOIO_REDES!$A:$W,MATCH($C1345&amp;$I1345&amp;$H1345&amp;$N1345&amp;$O1345,APOIO_REDES!$W:$W,0),MATCH(AV$5,APOIO_REDES!$5:$5,0)),0)*$AP1345,0)</f>
        <v>0.172708037804969</v>
      </c>
      <c r="AW1345" s="153" t="n">
        <f aca="false">IFERROR(IF($N1345="VCA",INDEX(APOIO_REDES!$A:$W,MATCH($C1345&amp;$I1345&amp;$H1345&amp;$N1345&amp;$O1345,APOIO_REDES!$W:$W,0),MATCH(AW$5,APOIO_REDES!$5:$5,0)),0)*$AP1345,0)</f>
        <v>98.588891790805</v>
      </c>
      <c r="AX1345" s="153" t="n">
        <f aca="false">IFERROR(IF($N1345="VCA",INDEX(APOIO_REDES!$A:$W,MATCH($C1345&amp;$I1345&amp;$H1345&amp;$N1345&amp;$O1345,APOIO_REDES!$W:$W,0),MATCH(AX$5,APOIO_REDES!$5:$5,0)),0)*$AP1345,0)</f>
        <v>13.6444217880732</v>
      </c>
      <c r="AY1345" s="153" t="n">
        <f aca="false">IFERROR(IF($N1345="VCA",INDEX(APOIO_REDES!$A:$W,MATCH($C1345&amp;$I1345&amp;$H1345&amp;$N1345&amp;$O1345,APOIO_REDES!$W:$W,0),MATCH(AY$5,APOIO_REDES!$5:$5,0)),0)*$AP1345,0)</f>
        <v>24.9592094528825</v>
      </c>
      <c r="AZ1345" s="153" t="n">
        <f aca="false">IFERROR(IF($N1345="VCA",INDEX(APOIO_REDES!$A:$W,MATCH($C1345&amp;$I1345&amp;$H1345&amp;$N1345&amp;$O1345,APOIO_REDES!$W:$W,0),MATCH(AZ$5,APOIO_REDES!$5:$5,0)),0)*$AP1345,0)</f>
        <v>3.45428245646955</v>
      </c>
      <c r="BA1345" s="153" t="n">
        <f aca="false">IFERROR(IF(AND($N1345="VCA",$Q1345="LINEAR"),INDEX(APOIO_REDES!$A:$W,MATCH($C1345&amp;$I1345&amp;$H1345&amp;$N1345&amp;$O1345,APOIO_REDES!$W:$W,0),MATCH(BA$5,APOIO_REDES!$5:$5,0)),IF(AND($N1345="MND",$Q1345="EMBOQUE"),INDEX(APOIO_REDES!$A:$W,MATCH($C1345&amp;$I1345&amp;$H1345&amp;$N1345&amp;$O1345,APOIO_REDES!$W:$W,0),MATCH(BA$5,APOIO_REDES!$5:$5,0)),0))*$M1345/10,0)</f>
        <v>13.066463065234</v>
      </c>
      <c r="BB1345" s="153" t="n">
        <f aca="false">IFERROR(IF($N1345="VCA",INDEX(APOIO_REDES!$A:$W,MATCH($C1345&amp;$I1345&amp;$H1345&amp;$N1345&amp;$O1345,APOIO_REDES!$W:$W,0),MATCH(BB$5,APOIO_REDES!$5:$5,0)),0)*($AI1345+$AQ1345+$AR1345),0)</f>
        <v>48.259164206573</v>
      </c>
      <c r="BC1345" s="153" t="n">
        <f aca="false">IFERROR(IF($N1345="VCA",INDEX(APOIO_REDES!$A:$W,MATCH($C1345&amp;$I1345&amp;$H1345&amp;$N1345&amp;$O1345,APOIO_REDES!$W:$W,0),MATCH(BC$5,APOIO_REDES!$5:$5,0)),0)*($AI1345+$AQ1345+$AR1345),0)</f>
        <v>0.530849793426999</v>
      </c>
      <c r="BD1345" s="153" t="n">
        <f aca="false">IF(AND($N1345="VCA",$AF1345&gt;=1.25,$AF1345&lt;1.5),$M1345*$AF1345*2,0)</f>
        <v>441.93912</v>
      </c>
      <c r="BE1345" s="153" t="n">
        <f aca="false">IF(AND($N1345="VCA",$AF1345&gt;=1.5,$AF1345&lt;3),$M1345*$AF1345*2,0)</f>
        <v>0</v>
      </c>
      <c r="BF1345" s="153" t="n">
        <f aca="false">IF(AND($N1345="VCA",$AF1345&gt;=3),$M1345*$AF1345*2,0)</f>
        <v>0</v>
      </c>
      <c r="BG1345" s="153" t="n">
        <f aca="false">($BB1345+$BC1345)*$AK1345</f>
        <v>239.0710686</v>
      </c>
      <c r="BH1345" s="153" t="n">
        <f aca="false">IF(AND($M1345&lt;&gt;"",$N1345="VCA",$Q1345="LINEAR"),($M1345*2)/100,IF(AND($M1345&lt;&gt;"",$N1345="MND",$Q1345="EMBOQUE"),($AN1345*2)/100,0))</f>
        <v>3.2424</v>
      </c>
      <c r="BI1345" s="153" t="n">
        <f aca="false">IF(AND($M1345&lt;&gt;"",$N1345="VCA",$Q1345="LINEAR"),$M1345,IF(AND($M1345&lt;&gt;"",$N1345="MND",$Q1345="EMBOQUE"),$AN1345*2,0))</f>
        <v>162.12</v>
      </c>
      <c r="BJ1345" s="153" t="n">
        <f aca="false">IF(AND($M1345&lt;&gt;"",$N1345="VCA",$Q1345="LINEAR"),($M1345*6.8)/100,IF(AND($M1345&lt;&gt;"",$N1345="MND",$Q1345="EMBOQUE"),($AN1345*2*6.8)/100,0))</f>
        <v>11.02416</v>
      </c>
      <c r="BK1345" s="153" t="n">
        <f aca="false">IF(AND($M1345&lt;&gt;"",$N1345="VCA",$Q1345="LINEAR"),($M1345*2.5)/50,IF(AND($M1345&lt;&gt;"",$N1345="MND",$Q1345="EMBOQUE"),($AN1345*2*2.5)/50,0))</f>
        <v>8.106</v>
      </c>
      <c r="BL1345" s="157" t="str">
        <f aca="false">K1345&amp;J1345</f>
        <v>Zona11REDES</v>
      </c>
      <c r="BM1345" s="152" t="s">
        <v>6084</v>
      </c>
      <c r="BN1345" s="152" t="s">
        <v>1560</v>
      </c>
      <c r="BO1345" s="152" t="s">
        <v>6516</v>
      </c>
      <c r="BP1345" s="152" t="s">
        <v>6635</v>
      </c>
      <c r="BQ1345" s="152" t="s">
        <v>6588</v>
      </c>
      <c r="BR1345" s="152" t="s">
        <v>6636</v>
      </c>
      <c r="BS1345" s="152" t="n">
        <v>204221.898</v>
      </c>
      <c r="BT1345" s="152" t="n">
        <v>8236133.077</v>
      </c>
      <c r="BU1345" s="152" t="n">
        <v>204377.719</v>
      </c>
      <c r="BV1345" s="152" t="n">
        <v>8236177.675</v>
      </c>
      <c r="BW1345" s="152" t="n">
        <v>-15.9362792</v>
      </c>
      <c r="BX1345" s="152" t="n">
        <v>-47.7619811</v>
      </c>
      <c r="BY1345" s="152" t="s">
        <v>6635</v>
      </c>
    </row>
    <row r="1346" customFormat="false" ht="13.8" hidden="false" customHeight="false" outlineLevel="0" collapsed="false">
      <c r="A1346" s="149" t="n">
        <f aca="false">IF(C1346&lt;&gt;"",ROW(A1341),"")</f>
        <v>1341</v>
      </c>
      <c r="B1346" s="150" t="str">
        <f aca="false">HYPERLINK("https://www.google.com/maps/dir/-15.917302,-47.760003/-15.9363549,-47.7659080/data=!4m3!4m2!3e0!5i2")</f>
        <v>https://www.google.com/maps/dir/-15.917302,-47.760003/-15.9363549,-47.7659080/data=!4m3!4m2!3e0!5i2</v>
      </c>
      <c r="C1346" s="151" t="s">
        <v>117</v>
      </c>
      <c r="D1346" s="152" t="s">
        <v>112</v>
      </c>
      <c r="E1346" s="152" t="s">
        <v>113</v>
      </c>
      <c r="F1346" s="152" t="s">
        <v>117</v>
      </c>
      <c r="G1346" s="152" t="s">
        <v>782</v>
      </c>
      <c r="H1346" s="152" t="n">
        <v>63</v>
      </c>
      <c r="I1346" s="152" t="s">
        <v>115</v>
      </c>
      <c r="J1346" s="152" t="s">
        <v>6</v>
      </c>
      <c r="K1346" s="152" t="s">
        <v>6081</v>
      </c>
      <c r="L1346" s="152" t="s">
        <v>120</v>
      </c>
      <c r="M1346" s="153" t="n">
        <f aca="false">95.79</f>
        <v>95.79</v>
      </c>
      <c r="N1346" s="152" t="s">
        <v>1548</v>
      </c>
      <c r="O1346" s="152" t="s">
        <v>1549</v>
      </c>
      <c r="P1346" s="152" t="s">
        <v>1550</v>
      </c>
      <c r="Q1346" s="152" t="s">
        <v>1551</v>
      </c>
      <c r="R1346" s="154" t="s">
        <v>6637</v>
      </c>
      <c r="S1346" s="154" t="s">
        <v>1553</v>
      </c>
      <c r="T1346" s="155" t="s">
        <v>6514</v>
      </c>
      <c r="U1346" s="152" t="str">
        <f aca="false">RIGHT(T1346,7)</f>
        <v>024/037</v>
      </c>
      <c r="V1346" s="152" t="s">
        <v>1555</v>
      </c>
      <c r="W1346" s="156" t="n">
        <v>45882</v>
      </c>
      <c r="X1346" s="152" t="s">
        <v>1594</v>
      </c>
      <c r="Y1346" s="152" t="s">
        <v>3251</v>
      </c>
      <c r="Z1346" s="152" t="s">
        <v>1557</v>
      </c>
      <c r="AA1346" s="153" t="n">
        <v>5.5</v>
      </c>
      <c r="AB1346" s="151" t="s">
        <v>6638</v>
      </c>
      <c r="AC1346" s="151" t="s">
        <v>186</v>
      </c>
      <c r="AD1346" s="151" t="str">
        <f aca="false">CONCATENATE($C1346,$I1346,$H1346,$N1346,$J1346,$K1346)</f>
        <v>TUBO PEADPEAD63VCAREDESZona11</v>
      </c>
      <c r="AE1346" s="153" t="n">
        <f aca="false">IFERROR(INDEX(APOIO_REDES!$A:$W,MATCH($C1346&amp;$I1346&amp;$H1346&amp;$N1346&amp;$O1346,APOIO_REDES!$W:$W,0),MATCH(AE$5,APOIO_REDES!$5:$5,0)),0)</f>
        <v>1.2</v>
      </c>
      <c r="AF1346" s="153" t="n">
        <f aca="false">IFERROR(INDEX(APOIO_REDES!$A:$W,MATCH($C1346&amp;$I1346&amp;$H1346&amp;$N1346&amp;$O1346,APOIO_REDES!$W:$W,0),MATCH(AF$5,APOIO_REDES!$5:$5,0)),0)</f>
        <v>1.363</v>
      </c>
      <c r="AG1346" s="153" t="n">
        <f aca="false">IFERROR(INDEX(APOIO_REDES!$A:$W,MATCH($C1346&amp;$I1346&amp;$H1346&amp;$N1346&amp;$O1346,APOIO_REDES!$W:$W,0),MATCH(AG$5,APOIO_REDES!$5:$5,0)),0)</f>
        <v>0.65</v>
      </c>
      <c r="AH1346" s="153" t="n">
        <f aca="false">IFERROR(INDEX(APOIO_REDES!$A:$W,MATCH($C1346&amp;$I1346&amp;$H1346&amp;$N1346&amp;$O1346,APOIO_REDES!$W:$W,0),MATCH(AH$5,APOIO_REDES!$5:$5,0)),0)</f>
        <v>0.1</v>
      </c>
      <c r="AI1346" s="153" t="n">
        <f aca="false">IFERROR(IF($H1346&lt;&gt;"",(((($H1346/1000)/2)^2)*PI()*$M1346),0),0)</f>
        <v>0.298600928295139</v>
      </c>
      <c r="AJ1346" s="153" t="n">
        <f aca="false">IFERROR(IF(AND($H1346&lt;&gt;"",$I1346="FoFo",OR($N1346="MND",$N1346="VCA"),$Q1346="LINEAR"),0,IF(AND($H1346&lt;&gt;"",$I1346="PEAD",$N1346="VCA",$Q1346="LINEAR"),($H1346/1000)+0.3,IF(AND($H1346&lt;&gt;"",$I1346="PEAD",$N1346="MND",$Q1346="EMBOQUE"),0,IF(AND($H1346&lt;&gt;"",$I1346="PVC",$N1346="VCA",$Q1346="LINEAR"),($H1346/1000)+0.2,IF(AND($H1346&lt;&gt;"",$I1346="PVC",$N1346="MND",$Q1346="EMBOQUE"),0,IF(AND($H1346&lt;&gt;"",$I1346="PEAD",$N1346="VCA",$Q1346="PREDIAL"),0,0)))))),0)</f>
        <v>0.363</v>
      </c>
      <c r="AK1346" s="153" t="n">
        <f aca="false">IF(AA1346&lt;&gt;"",AA1346,0)</f>
        <v>5.5</v>
      </c>
      <c r="AL1346" s="153" t="n">
        <f aca="false">IF(AND($N1346="MND",$Q1346="EMBOQUE"),$M1346,IF(AND($N1346="VCA",$Q1346="LINEAR"),$M1346,IF(AND($N1346="VCA",$Q1346="PREDIAL"),0,0)))</f>
        <v>95.79</v>
      </c>
      <c r="AM1346" s="153" t="n">
        <f aca="false">IF(AND($N1346="MND",$Q1346="EMBOQUE"),$M1346,IF(AND($N1346="VCA",$Q1346="LINEAR"),$M1346,IF(AND($N1346="VCA",$Q1346="PREDIAL"),0,0)))</f>
        <v>95.79</v>
      </c>
      <c r="AN1346" s="153" t="n">
        <f aca="false">ROUND(IF(AND($N1346="VCA",$M1346&lt;&gt;"",$Q1346="LINEAR"),$M1346/100,IF(AND($N1346="MND",$M1346&gt;100,$Q1346="EMBOQUE"),$M1346/100,0)),0)</f>
        <v>1</v>
      </c>
      <c r="AO1346" s="153" t="n">
        <f aca="false">IF(AND($N1346="MND",$Q1346="EMBOQUE"),$AN1346*2*2,IF(AND($N1346="VCA",$Q1346="LINEAR"),$M1346*2,IF(AND($N1346="VCA",$Q1346="PREDIAL"),0,0)))</f>
        <v>191.58</v>
      </c>
      <c r="AP1346" s="153" t="n">
        <f aca="false">IFERROR($M1346*$AF1346*$AG1346,0)</f>
        <v>84.8651505</v>
      </c>
      <c r="AQ1346" s="153" t="n">
        <f aca="false">IFERROR(IF(AND($N1346="VCA",$AH1346&gt;0),$M1346*$AG1346*$AH1346,0),0)</f>
        <v>6.22635</v>
      </c>
      <c r="AR1346" s="153" t="n">
        <f aca="false">IFERROR(IF(AND($N1346="VCA",$AJ1346&gt;0),($M1346*$AG1346*$AJ1346)-$AI1346,0),0)</f>
        <v>22.3030495717049</v>
      </c>
      <c r="AS1346" s="153" t="n">
        <f aca="false">IFERROR(IF(AND($N1346="VCA",$AP1346&gt;0),$AP1346-$AI1346-$AQ1346-$AR1346,0),0)</f>
        <v>56.03715</v>
      </c>
      <c r="AT1346" s="153" t="n">
        <f aca="false">IFERROR(IF($N1346="VCA",INDEX(APOIO_REDES!$A:$W,MATCH($C1346&amp;$I1346&amp;$H1346&amp;$N1346&amp;$O1346,APOIO_REDES!$W:$W,0),MATCH(AT$5,APOIO_REDES!$5:$5,0)),0)*$AP1346,0)</f>
        <v>0.923357956242362</v>
      </c>
      <c r="AU1346" s="153" t="n">
        <f aca="false">IFERROR(IF($N1346="VCA",INDEX(APOIO_REDES!$A:$W,MATCH($C1346&amp;$I1346&amp;$H1346&amp;$N1346&amp;$O1346,APOIO_REDES!$W:$W,0),MATCH(AU$5,APOIO_REDES!$5:$5,0)),0)*$AP1346,0)</f>
        <v>0.737368656150205</v>
      </c>
      <c r="AV1346" s="153" t="n">
        <f aca="false">IFERROR(IF($N1346="VCA",INDEX(APOIO_REDES!$A:$W,MATCH($C1346&amp;$I1346&amp;$H1346&amp;$N1346&amp;$O1346,APOIO_REDES!$W:$W,0),MATCH(AV$5,APOIO_REDES!$5:$5,0)),0)*$AP1346,0)</f>
        <v>0.102046033440279</v>
      </c>
      <c r="AW1346" s="153" t="n">
        <f aca="false">IFERROR(IF($N1346="VCA",INDEX(APOIO_REDES!$A:$W,MATCH($C1346&amp;$I1346&amp;$H1346&amp;$N1346&amp;$O1346,APOIO_REDES!$W:$W,0),MATCH(AW$5,APOIO_REDES!$5:$5,0)),0)*$AP1346,0)</f>
        <v>58.2520968704738</v>
      </c>
      <c r="AX1346" s="153" t="n">
        <f aca="false">IFERROR(IF($N1346="VCA",INDEX(APOIO_REDES!$A:$W,MATCH($C1346&amp;$I1346&amp;$H1346&amp;$N1346&amp;$O1346,APOIO_REDES!$W:$W,0),MATCH(AX$5,APOIO_REDES!$5:$5,0)),0)*$AP1346,0)</f>
        <v>8.06192427263468</v>
      </c>
      <c r="AY1346" s="153" t="n">
        <f aca="false">IFERROR(IF($N1346="VCA",INDEX(APOIO_REDES!$A:$W,MATCH($C1346&amp;$I1346&amp;$H1346&amp;$N1346&amp;$O1346,APOIO_REDES!$W:$W,0),MATCH(AY$5,APOIO_REDES!$5:$5,0)),0)*$AP1346,0)</f>
        <v>14.74736413454</v>
      </c>
      <c r="AZ1346" s="153" t="n">
        <f aca="false">IFERROR(IF($N1346="VCA",INDEX(APOIO_REDES!$A:$W,MATCH($C1346&amp;$I1346&amp;$H1346&amp;$N1346&amp;$O1346,APOIO_REDES!$W:$W,0),MATCH(AZ$5,APOIO_REDES!$5:$5,0)),0)*$AP1346,0)</f>
        <v>2.04099257651874</v>
      </c>
      <c r="BA1346" s="153" t="n">
        <f aca="false">IFERROR(IF(AND($N1346="VCA",$Q1346="LINEAR"),INDEX(APOIO_REDES!$A:$W,MATCH($C1346&amp;$I1346&amp;$H1346&amp;$N1346&amp;$O1346,APOIO_REDES!$W:$W,0),MATCH(BA$5,APOIO_REDES!$5:$5,0)),IF(AND($N1346="MND",$Q1346="EMBOQUE"),INDEX(APOIO_REDES!$A:$W,MATCH($C1346&amp;$I1346&amp;$H1346&amp;$N1346&amp;$O1346,APOIO_REDES!$W:$W,0),MATCH(BA$5,APOIO_REDES!$5:$5,0)),0))*$M1346/10,0)</f>
        <v>7.72043237736716</v>
      </c>
      <c r="BB1346" s="153" t="n">
        <f aca="false">IFERROR(IF($N1346="VCA",INDEX(APOIO_REDES!$A:$W,MATCH($C1346&amp;$I1346&amp;$H1346&amp;$N1346&amp;$O1346,APOIO_REDES!$W:$W,0),MATCH(BB$5,APOIO_REDES!$5:$5,0)),0)*($AI1346+$AQ1346+$AR1346),0)</f>
        <v>28.5143433219074</v>
      </c>
      <c r="BC1346" s="153" t="n">
        <f aca="false">IFERROR(IF($N1346="VCA",INDEX(APOIO_REDES!$A:$W,MATCH($C1346&amp;$I1346&amp;$H1346&amp;$N1346&amp;$O1346,APOIO_REDES!$W:$W,0),MATCH(BC$5,APOIO_REDES!$5:$5,0)),0)*($AI1346+$AQ1346+$AR1346),0)</f>
        <v>0.3136571780926</v>
      </c>
      <c r="BD1346" s="153" t="n">
        <f aca="false">IF(AND($N1346="VCA",$AF1346&gt;=1.25,$AF1346&lt;1.5),$M1346*$AF1346*2,0)</f>
        <v>261.12354</v>
      </c>
      <c r="BE1346" s="153" t="n">
        <f aca="false">IF(AND($N1346="VCA",$AF1346&gt;=1.5,$AF1346&lt;3),$M1346*$AF1346*2,0)</f>
        <v>0</v>
      </c>
      <c r="BF1346" s="153" t="n">
        <f aca="false">IF(AND($N1346="VCA",$AF1346&gt;=3),$M1346*$AF1346*2,0)</f>
        <v>0</v>
      </c>
      <c r="BG1346" s="153" t="n">
        <f aca="false">($BB1346+$BC1346)*$AK1346</f>
        <v>158.55400275</v>
      </c>
      <c r="BH1346" s="153" t="n">
        <f aca="false">IF(AND($M1346&lt;&gt;"",$N1346="VCA",$Q1346="LINEAR"),($M1346*2)/100,IF(AND($M1346&lt;&gt;"",$N1346="MND",$Q1346="EMBOQUE"),($AN1346*2)/100,0))</f>
        <v>1.9158</v>
      </c>
      <c r="BI1346" s="153" t="n">
        <f aca="false">IF(AND($M1346&lt;&gt;"",$N1346="VCA",$Q1346="LINEAR"),$M1346,IF(AND($M1346&lt;&gt;"",$N1346="MND",$Q1346="EMBOQUE"),$AN1346*2,0))</f>
        <v>95.79</v>
      </c>
      <c r="BJ1346" s="153" t="n">
        <f aca="false">IF(AND($M1346&lt;&gt;"",$N1346="VCA",$Q1346="LINEAR"),($M1346*6.8)/100,IF(AND($M1346&lt;&gt;"",$N1346="MND",$Q1346="EMBOQUE"),($AN1346*2*6.8)/100,0))</f>
        <v>6.51372</v>
      </c>
      <c r="BK1346" s="153" t="n">
        <f aca="false">IF(AND($M1346&lt;&gt;"",$N1346="VCA",$Q1346="LINEAR"),($M1346*2.5)/50,IF(AND($M1346&lt;&gt;"",$N1346="MND",$Q1346="EMBOQUE"),($AN1346*2*2.5)/50,0))</f>
        <v>4.7895</v>
      </c>
      <c r="BL1346" s="157" t="str">
        <f aca="false">K1346&amp;J1346</f>
        <v>Zona11REDES</v>
      </c>
      <c r="BM1346" s="152" t="s">
        <v>6084</v>
      </c>
      <c r="BN1346" s="152" t="s">
        <v>1560</v>
      </c>
      <c r="BO1346" s="152" t="s">
        <v>6516</v>
      </c>
      <c r="BP1346" s="152" t="s">
        <v>6403</v>
      </c>
      <c r="BQ1346" s="152" t="s">
        <v>6592</v>
      </c>
      <c r="BR1346" s="152" t="s">
        <v>6639</v>
      </c>
      <c r="BS1346" s="152" t="n">
        <v>203879.315</v>
      </c>
      <c r="BT1346" s="152" t="n">
        <v>8236141.084</v>
      </c>
      <c r="BU1346" s="152" t="n">
        <v>203970.43</v>
      </c>
      <c r="BV1346" s="152" t="n">
        <v>8236170.16</v>
      </c>
      <c r="BW1346" s="152" t="n">
        <v>-15.9362399</v>
      </c>
      <c r="BX1346" s="152" t="n">
        <v>-47.7654775</v>
      </c>
      <c r="BY1346" s="152" t="s">
        <v>6403</v>
      </c>
    </row>
    <row r="1347" customFormat="false" ht="13.8" hidden="false" customHeight="false" outlineLevel="0" collapsed="false">
      <c r="A1347" s="149" t="n">
        <f aca="false">IF(C1347&lt;&gt;"",ROW(A1342),"")</f>
        <v>1342</v>
      </c>
      <c r="B1347" s="150" t="str">
        <f aca="false">HYPERLINK("https://www.google.com/maps/dir/-15.917302,-47.760003/-15.9364682,-47.7627118/data=!4m3!4m2!3e0!5i2")</f>
        <v>https://www.google.com/maps/dir/-15.917302,-47.760003/-15.9364682,-47.7627118/data=!4m3!4m2!3e0!5i2</v>
      </c>
      <c r="C1347" s="151" t="s">
        <v>117</v>
      </c>
      <c r="D1347" s="152" t="s">
        <v>112</v>
      </c>
      <c r="E1347" s="152" t="s">
        <v>113</v>
      </c>
      <c r="F1347" s="152" t="s">
        <v>117</v>
      </c>
      <c r="G1347" s="152" t="s">
        <v>782</v>
      </c>
      <c r="H1347" s="152" t="n">
        <v>63</v>
      </c>
      <c r="I1347" s="152" t="s">
        <v>115</v>
      </c>
      <c r="J1347" s="152" t="s">
        <v>6</v>
      </c>
      <c r="K1347" s="152" t="s">
        <v>6081</v>
      </c>
      <c r="L1347" s="152" t="s">
        <v>120</v>
      </c>
      <c r="M1347" s="153" t="n">
        <f aca="false">36.3</f>
        <v>36.3</v>
      </c>
      <c r="N1347" s="152" t="s">
        <v>1548</v>
      </c>
      <c r="O1347" s="152" t="s">
        <v>1549</v>
      </c>
      <c r="P1347" s="152" t="s">
        <v>1550</v>
      </c>
      <c r="Q1347" s="152" t="s">
        <v>1551</v>
      </c>
      <c r="R1347" s="154" t="s">
        <v>6640</v>
      </c>
      <c r="S1347" s="154" t="s">
        <v>1553</v>
      </c>
      <c r="T1347" s="155" t="s">
        <v>6514</v>
      </c>
      <c r="U1347" s="152" t="str">
        <f aca="false">RIGHT(T1347,7)</f>
        <v>024/037</v>
      </c>
      <c r="V1347" s="152" t="s">
        <v>1555</v>
      </c>
      <c r="W1347" s="156" t="n">
        <v>45882</v>
      </c>
      <c r="X1347" s="152" t="s">
        <v>3938</v>
      </c>
      <c r="Y1347" s="152" t="s">
        <v>2524</v>
      </c>
      <c r="Z1347" s="152" t="s">
        <v>1557</v>
      </c>
      <c r="AA1347" s="153" t="n">
        <v>4.9</v>
      </c>
      <c r="AB1347" s="151" t="s">
        <v>6641</v>
      </c>
      <c r="AC1347" s="151" t="s">
        <v>186</v>
      </c>
      <c r="AD1347" s="151" t="str">
        <f aca="false">CONCATENATE($C1347,$I1347,$H1347,$N1347,$J1347,$K1347)</f>
        <v>TUBO PEADPEAD63VCAREDESZona11</v>
      </c>
      <c r="AE1347" s="153" t="n">
        <f aca="false">IFERROR(INDEX(APOIO_REDES!$A:$W,MATCH($C1347&amp;$I1347&amp;$H1347&amp;$N1347&amp;$O1347,APOIO_REDES!$W:$W,0),MATCH(AE$5,APOIO_REDES!$5:$5,0)),0)</f>
        <v>1.2</v>
      </c>
      <c r="AF1347" s="153" t="n">
        <f aca="false">IFERROR(INDEX(APOIO_REDES!$A:$W,MATCH($C1347&amp;$I1347&amp;$H1347&amp;$N1347&amp;$O1347,APOIO_REDES!$W:$W,0),MATCH(AF$5,APOIO_REDES!$5:$5,0)),0)</f>
        <v>1.363</v>
      </c>
      <c r="AG1347" s="153" t="n">
        <f aca="false">IFERROR(INDEX(APOIO_REDES!$A:$W,MATCH($C1347&amp;$I1347&amp;$H1347&amp;$N1347&amp;$O1347,APOIO_REDES!$W:$W,0),MATCH(AG$5,APOIO_REDES!$5:$5,0)),0)</f>
        <v>0.65</v>
      </c>
      <c r="AH1347" s="153" t="n">
        <f aca="false">IFERROR(INDEX(APOIO_REDES!$A:$W,MATCH($C1347&amp;$I1347&amp;$H1347&amp;$N1347&amp;$O1347,APOIO_REDES!$W:$W,0),MATCH(AH$5,APOIO_REDES!$5:$5,0)),0)</f>
        <v>0.1</v>
      </c>
      <c r="AI1347" s="153" t="n">
        <f aca="false">IFERROR(IF($H1347&lt;&gt;"",(((($H1347/1000)/2)^2)*PI()*$M1347),0),0)</f>
        <v>0.113156004772038</v>
      </c>
      <c r="AJ1347" s="153" t="n">
        <f aca="false">IFERROR(IF(AND($H1347&lt;&gt;"",$I1347="FoFo",OR($N1347="MND",$N1347="VCA"),$Q1347="LINEAR"),0,IF(AND($H1347&lt;&gt;"",$I1347="PEAD",$N1347="VCA",$Q1347="LINEAR"),($H1347/1000)+0.3,IF(AND($H1347&lt;&gt;"",$I1347="PEAD",$N1347="MND",$Q1347="EMBOQUE"),0,IF(AND($H1347&lt;&gt;"",$I1347="PVC",$N1347="VCA",$Q1347="LINEAR"),($H1347/1000)+0.2,IF(AND($H1347&lt;&gt;"",$I1347="PVC",$N1347="MND",$Q1347="EMBOQUE"),0,IF(AND($H1347&lt;&gt;"",$I1347="PEAD",$N1347="VCA",$Q1347="PREDIAL"),0,0)))))),0)</f>
        <v>0.363</v>
      </c>
      <c r="AK1347" s="153" t="n">
        <f aca="false">IF(AA1347&lt;&gt;"",AA1347,0)</f>
        <v>4.9</v>
      </c>
      <c r="AL1347" s="153" t="n">
        <f aca="false">IF(AND($N1347="MND",$Q1347="EMBOQUE"),$M1347,IF(AND($N1347="VCA",$Q1347="LINEAR"),$M1347,IF(AND($N1347="VCA",$Q1347="PREDIAL"),0,0)))</f>
        <v>36.3</v>
      </c>
      <c r="AM1347" s="153" t="n">
        <f aca="false">IF(AND($N1347="MND",$Q1347="EMBOQUE"),$M1347,IF(AND($N1347="VCA",$Q1347="LINEAR"),$M1347,IF(AND($N1347="VCA",$Q1347="PREDIAL"),0,0)))</f>
        <v>36.3</v>
      </c>
      <c r="AN1347" s="153" t="n">
        <f aca="false">ROUND(IF(AND($N1347="VCA",$M1347&lt;&gt;"",$Q1347="LINEAR"),$M1347/100,IF(AND($N1347="MND",$M1347&gt;100,$Q1347="EMBOQUE"),$M1347/100,0)),0)</f>
        <v>0</v>
      </c>
      <c r="AO1347" s="153" t="n">
        <f aca="false">IF(AND($N1347="MND",$Q1347="EMBOQUE"),$AN1347*2*2,IF(AND($N1347="VCA",$Q1347="LINEAR"),$M1347*2,IF(AND($N1347="VCA",$Q1347="PREDIAL"),0,0)))</f>
        <v>72.6</v>
      </c>
      <c r="AP1347" s="153" t="n">
        <f aca="false">IFERROR($M1347*$AF1347*$AG1347,0)</f>
        <v>32.159985</v>
      </c>
      <c r="AQ1347" s="153" t="n">
        <f aca="false">IFERROR(IF(AND($N1347="VCA",$AH1347&gt;0),$M1347*$AG1347*$AH1347,0),0)</f>
        <v>2.3595</v>
      </c>
      <c r="AR1347" s="153" t="n">
        <f aca="false">IFERROR(IF(AND($N1347="VCA",$AJ1347&gt;0),($M1347*$AG1347*$AJ1347)-$AI1347,0),0)</f>
        <v>8.45182899522796</v>
      </c>
      <c r="AS1347" s="153" t="n">
        <f aca="false">IFERROR(IF(AND($N1347="VCA",$AP1347&gt;0),$AP1347-$AI1347-$AQ1347-$AR1347,0),0)</f>
        <v>21.2355</v>
      </c>
      <c r="AT1347" s="153" t="n">
        <f aca="false">IFERROR(IF($N1347="VCA",INDEX(APOIO_REDES!$A:$W,MATCH($C1347&amp;$I1347&amp;$H1347&amp;$N1347&amp;$O1347,APOIO_REDES!$W:$W,0),MATCH(AT$5,APOIO_REDES!$5:$5,0)),0)*$AP1347,0)</f>
        <v>0.34991015566967</v>
      </c>
      <c r="AU1347" s="153" t="n">
        <f aca="false">IFERROR(IF($N1347="VCA",INDEX(APOIO_REDES!$A:$W,MATCH($C1347&amp;$I1347&amp;$H1347&amp;$N1347&amp;$O1347,APOIO_REDES!$W:$W,0),MATCH(AU$5,APOIO_REDES!$5:$5,0)),0)*$AP1347,0)</f>
        <v>0.279428773548935</v>
      </c>
      <c r="AV1347" s="153" t="n">
        <f aca="false">IFERROR(IF($N1347="VCA",INDEX(APOIO_REDES!$A:$W,MATCH($C1347&amp;$I1347&amp;$H1347&amp;$N1347&amp;$O1347,APOIO_REDES!$W:$W,0),MATCH(AV$5,APOIO_REDES!$5:$5,0)),0)*$AP1347,0)</f>
        <v>0.0386707486572933</v>
      </c>
      <c r="AW1347" s="153" t="n">
        <f aca="false">IFERROR(IF($N1347="VCA",INDEX(APOIO_REDES!$A:$W,MATCH($C1347&amp;$I1347&amp;$H1347&amp;$N1347&amp;$O1347,APOIO_REDES!$W:$W,0),MATCH(AW$5,APOIO_REDES!$5:$5,0)),0)*$AP1347,0)</f>
        <v>22.0748628917235</v>
      </c>
      <c r="AX1347" s="153" t="n">
        <f aca="false">IFERROR(IF($N1347="VCA",INDEX(APOIO_REDES!$A:$W,MATCH($C1347&amp;$I1347&amp;$H1347&amp;$N1347&amp;$O1347,APOIO_REDES!$W:$W,0),MATCH(AX$5,APOIO_REDES!$5:$5,0)),0)*$AP1347,0)</f>
        <v>3.05509814277731</v>
      </c>
      <c r="AY1347" s="153" t="n">
        <f aca="false">IFERROR(IF($N1347="VCA",INDEX(APOIO_REDES!$A:$W,MATCH($C1347&amp;$I1347&amp;$H1347&amp;$N1347&amp;$O1347,APOIO_REDES!$W:$W,0),MATCH(AY$5,APOIO_REDES!$5:$5,0)),0)*$AP1347,0)</f>
        <v>5.5885720647646</v>
      </c>
      <c r="AZ1347" s="153" t="n">
        <f aca="false">IFERROR(IF($N1347="VCA",INDEX(APOIO_REDES!$A:$W,MATCH($C1347&amp;$I1347&amp;$H1347&amp;$N1347&amp;$O1347,APOIO_REDES!$W:$W,0),MATCH(AZ$5,APOIO_REDES!$5:$5,0)),0)*$AP1347,0)</f>
        <v>0.773442222858652</v>
      </c>
      <c r="BA1347" s="153" t="n">
        <f aca="false">IFERROR(IF(AND($N1347="VCA",$Q1347="LINEAR"),INDEX(APOIO_REDES!$A:$W,MATCH($C1347&amp;$I1347&amp;$H1347&amp;$N1347&amp;$O1347,APOIO_REDES!$W:$W,0),MATCH(BA$5,APOIO_REDES!$5:$5,0)),IF(AND($N1347="MND",$Q1347="EMBOQUE"),INDEX(APOIO_REDES!$A:$W,MATCH($C1347&amp;$I1347&amp;$H1347&amp;$N1347&amp;$O1347,APOIO_REDES!$W:$W,0),MATCH(BA$5,APOIO_REDES!$5:$5,0)),0))*$M1347/10,0)</f>
        <v>2.92568843614602</v>
      </c>
      <c r="BB1347" s="153" t="n">
        <f aca="false">IFERROR(IF($N1347="VCA",INDEX(APOIO_REDES!$A:$W,MATCH($C1347&amp;$I1347&amp;$H1347&amp;$N1347&amp;$O1347,APOIO_REDES!$W:$W,0),MATCH(BB$5,APOIO_REDES!$5:$5,0)),0)*($AI1347+$AQ1347+$AR1347),0)</f>
        <v>10.8056233697175</v>
      </c>
      <c r="BC1347" s="153" t="n">
        <f aca="false">IFERROR(IF($N1347="VCA",INDEX(APOIO_REDES!$A:$W,MATCH($C1347&amp;$I1347&amp;$H1347&amp;$N1347&amp;$O1347,APOIO_REDES!$W:$W,0),MATCH(BC$5,APOIO_REDES!$5:$5,0)),0)*($AI1347+$AQ1347+$AR1347),0)</f>
        <v>0.118861630282507</v>
      </c>
      <c r="BD1347" s="153" t="n">
        <f aca="false">IF(AND($N1347="VCA",$AF1347&gt;=1.25,$AF1347&lt;1.5),$M1347*$AF1347*2,0)</f>
        <v>98.9538</v>
      </c>
      <c r="BE1347" s="153" t="n">
        <f aca="false">IF(AND($N1347="VCA",$AF1347&gt;=1.5,$AF1347&lt;3),$M1347*$AF1347*2,0)</f>
        <v>0</v>
      </c>
      <c r="BF1347" s="153" t="n">
        <f aca="false">IF(AND($N1347="VCA",$AF1347&gt;=3),$M1347*$AF1347*2,0)</f>
        <v>0</v>
      </c>
      <c r="BG1347" s="153" t="n">
        <f aca="false">($BB1347+$BC1347)*$AK1347</f>
        <v>53.5299765</v>
      </c>
      <c r="BH1347" s="153" t="n">
        <f aca="false">IF(AND($M1347&lt;&gt;"",$N1347="VCA",$Q1347="LINEAR"),($M1347*2)/100,IF(AND($M1347&lt;&gt;"",$N1347="MND",$Q1347="EMBOQUE"),($AN1347*2)/100,0))</f>
        <v>0.726</v>
      </c>
      <c r="BI1347" s="153" t="n">
        <f aca="false">IF(AND($M1347&lt;&gt;"",$N1347="VCA",$Q1347="LINEAR"),$M1347,IF(AND($M1347&lt;&gt;"",$N1347="MND",$Q1347="EMBOQUE"),$AN1347*2,0))</f>
        <v>36.3</v>
      </c>
      <c r="BJ1347" s="153" t="n">
        <f aca="false">IF(AND($M1347&lt;&gt;"",$N1347="VCA",$Q1347="LINEAR"),($M1347*6.8)/100,IF(AND($M1347&lt;&gt;"",$N1347="MND",$Q1347="EMBOQUE"),($AN1347*2*6.8)/100,0))</f>
        <v>2.4684</v>
      </c>
      <c r="BK1347" s="153" t="n">
        <f aca="false">IF(AND($M1347&lt;&gt;"",$N1347="VCA",$Q1347="LINEAR"),($M1347*2.5)/50,IF(AND($M1347&lt;&gt;"",$N1347="MND",$Q1347="EMBOQUE"),($AN1347*2*2.5)/50,0))</f>
        <v>1.815</v>
      </c>
      <c r="BL1347" s="157" t="str">
        <f aca="false">K1347&amp;J1347</f>
        <v>Zona11REDES</v>
      </c>
      <c r="BM1347" s="152" t="s">
        <v>6084</v>
      </c>
      <c r="BN1347" s="152" t="s">
        <v>1560</v>
      </c>
      <c r="BO1347" s="152" t="s">
        <v>6516</v>
      </c>
      <c r="BP1347" s="152" t="s">
        <v>6635</v>
      </c>
      <c r="BQ1347" s="152" t="s">
        <v>6603</v>
      </c>
      <c r="BR1347" s="152" t="s">
        <v>6642</v>
      </c>
      <c r="BS1347" s="152" t="n">
        <v>204221.898</v>
      </c>
      <c r="BT1347" s="152" t="n">
        <v>8236133.077</v>
      </c>
      <c r="BU1347" s="152" t="n">
        <v>204211.5</v>
      </c>
      <c r="BV1347" s="152" t="n">
        <v>8236167.844</v>
      </c>
      <c r="BW1347" s="152" t="n">
        <v>-15.9363112</v>
      </c>
      <c r="BX1347" s="152" t="n">
        <v>-47.7627602</v>
      </c>
      <c r="BY1347" s="152" t="s">
        <v>6635</v>
      </c>
    </row>
    <row r="1348" customFormat="false" ht="13.8" hidden="false" customHeight="false" outlineLevel="0" collapsed="false">
      <c r="A1348" s="149" t="n">
        <f aca="false">IF(C1348&lt;&gt;"",ROW(A1343),"")</f>
        <v>1343</v>
      </c>
      <c r="B1348" s="150" t="str">
        <f aca="false">HYPERLINK("https://www.google.com/maps/dir/-15.917302,-47.760003/-15.9367224,-47.7609679/data=!4m3!4m2!3e0!5i0")</f>
        <v>https://www.google.com/maps/dir/-15.917302,-47.760003/-15.9367224,-47.7609679/data=!4m3!4m2!3e0!5i0</v>
      </c>
      <c r="C1348" s="151" t="s">
        <v>117</v>
      </c>
      <c r="D1348" s="152" t="s">
        <v>112</v>
      </c>
      <c r="E1348" s="152" t="s">
        <v>113</v>
      </c>
      <c r="F1348" s="152" t="s">
        <v>117</v>
      </c>
      <c r="G1348" s="152" t="s">
        <v>782</v>
      </c>
      <c r="H1348" s="152" t="n">
        <v>90</v>
      </c>
      <c r="I1348" s="152" t="s">
        <v>115</v>
      </c>
      <c r="J1348" s="152" t="s">
        <v>6</v>
      </c>
      <c r="K1348" s="152" t="s">
        <v>6081</v>
      </c>
      <c r="L1348" s="152" t="s">
        <v>120</v>
      </c>
      <c r="M1348" s="153" t="n">
        <f aca="false">41.24+0.08</f>
        <v>41.32</v>
      </c>
      <c r="N1348" s="152" t="s">
        <v>1548</v>
      </c>
      <c r="O1348" s="152" t="s">
        <v>1549</v>
      </c>
      <c r="P1348" s="152" t="s">
        <v>1550</v>
      </c>
      <c r="Q1348" s="152" t="s">
        <v>1551</v>
      </c>
      <c r="R1348" s="154" t="s">
        <v>6643</v>
      </c>
      <c r="S1348" s="154" t="s">
        <v>1593</v>
      </c>
      <c r="T1348" s="155" t="s">
        <v>6514</v>
      </c>
      <c r="U1348" s="152" t="str">
        <f aca="false">RIGHT(T1348,7)</f>
        <v>024/037</v>
      </c>
      <c r="V1348" s="152" t="s">
        <v>1555</v>
      </c>
      <c r="W1348" s="156" t="n">
        <v>45882</v>
      </c>
      <c r="X1348" s="152" t="s">
        <v>3938</v>
      </c>
      <c r="Y1348" s="152" t="s">
        <v>6202</v>
      </c>
      <c r="Z1348" s="152" t="s">
        <v>1557</v>
      </c>
      <c r="AA1348" s="153" t="n">
        <v>4.6</v>
      </c>
      <c r="AB1348" s="151" t="s">
        <v>6644</v>
      </c>
      <c r="AC1348" s="151" t="s">
        <v>526</v>
      </c>
      <c r="AD1348" s="151" t="str">
        <f aca="false">CONCATENATE($C1348,$I1348,$H1348,$N1348,$J1348,$K1348)</f>
        <v>TUBO PEADPEAD90VCAREDESZona11</v>
      </c>
      <c r="AE1348" s="153" t="n">
        <f aca="false">IFERROR(INDEX(APOIO_REDES!$A:$W,MATCH($C1348&amp;$I1348&amp;$H1348&amp;$N1348&amp;$O1348,APOIO_REDES!$W:$W,0),MATCH(AE$5,APOIO_REDES!$5:$5,0)),0)</f>
        <v>1.2</v>
      </c>
      <c r="AF1348" s="153" t="n">
        <f aca="false">IFERROR(INDEX(APOIO_REDES!$A:$W,MATCH($C1348&amp;$I1348&amp;$H1348&amp;$N1348&amp;$O1348,APOIO_REDES!$W:$W,0),MATCH(AF$5,APOIO_REDES!$5:$5,0)),0)</f>
        <v>1.39</v>
      </c>
      <c r="AG1348" s="153" t="n">
        <f aca="false">IFERROR(INDEX(APOIO_REDES!$A:$W,MATCH($C1348&amp;$I1348&amp;$H1348&amp;$N1348&amp;$O1348,APOIO_REDES!$W:$W,0),MATCH(AG$5,APOIO_REDES!$5:$5,0)),0)</f>
        <v>0.75</v>
      </c>
      <c r="AH1348" s="153" t="n">
        <f aca="false">IFERROR(INDEX(APOIO_REDES!$A:$W,MATCH($C1348&amp;$I1348&amp;$H1348&amp;$N1348&amp;$O1348,APOIO_REDES!$W:$W,0),MATCH(AH$5,APOIO_REDES!$5:$5,0)),0)</f>
        <v>0.1</v>
      </c>
      <c r="AI1348" s="153" t="n">
        <f aca="false">IFERROR(IF($H1348&lt;&gt;"",(((($H1348/1000)/2)^2)*PI()*$M1348),0),0)</f>
        <v>0.262866482103819</v>
      </c>
      <c r="AJ1348" s="153" t="n">
        <f aca="false">IFERROR(IF(AND($H1348&lt;&gt;"",$I1348="FoFo",OR($N1348="MND",$N1348="VCA"),$Q1348="LINEAR"),0,IF(AND($H1348&lt;&gt;"",$I1348="PEAD",$N1348="VCA",$Q1348="LINEAR"),($H1348/1000)+0.3,IF(AND($H1348&lt;&gt;"",$I1348="PEAD",$N1348="MND",$Q1348="EMBOQUE"),0,IF(AND($H1348&lt;&gt;"",$I1348="PVC",$N1348="VCA",$Q1348="LINEAR"),($H1348/1000)+0.2,IF(AND($H1348&lt;&gt;"",$I1348="PVC",$N1348="MND",$Q1348="EMBOQUE"),0,IF(AND($H1348&lt;&gt;"",$I1348="PEAD",$N1348="VCA",$Q1348="PREDIAL"),0,0)))))),0)</f>
        <v>0.39</v>
      </c>
      <c r="AK1348" s="153" t="n">
        <f aca="false">IF(AA1348&lt;&gt;"",AA1348,0)</f>
        <v>4.6</v>
      </c>
      <c r="AL1348" s="153" t="n">
        <f aca="false">IF(AND($N1348="MND",$Q1348="EMBOQUE"),$M1348,IF(AND($N1348="VCA",$Q1348="LINEAR"),$M1348,IF(AND($N1348="VCA",$Q1348="PREDIAL"),0,0)))</f>
        <v>41.32</v>
      </c>
      <c r="AM1348" s="153" t="n">
        <f aca="false">IF(AND($N1348="MND",$Q1348="EMBOQUE"),$M1348,IF(AND($N1348="VCA",$Q1348="LINEAR"),$M1348,IF(AND($N1348="VCA",$Q1348="PREDIAL"),0,0)))</f>
        <v>41.32</v>
      </c>
      <c r="AN1348" s="153" t="n">
        <f aca="false">ROUND(IF(AND($N1348="VCA",$M1348&lt;&gt;"",$Q1348="LINEAR"),$M1348/100,IF(AND($N1348="MND",$M1348&gt;100,$Q1348="EMBOQUE"),$M1348/100,0)),0)</f>
        <v>0</v>
      </c>
      <c r="AO1348" s="153" t="n">
        <f aca="false">IF(AND($N1348="MND",$Q1348="EMBOQUE"),$AN1348*2*2,IF(AND($N1348="VCA",$Q1348="LINEAR"),$M1348*2,IF(AND($N1348="VCA",$Q1348="PREDIAL"),0,0)))</f>
        <v>82.64</v>
      </c>
      <c r="AP1348" s="153" t="n">
        <f aca="false">IFERROR($M1348*$AF1348*$AG1348,0)</f>
        <v>43.0761</v>
      </c>
      <c r="AQ1348" s="153" t="n">
        <f aca="false">IFERROR(IF(AND($N1348="VCA",$AH1348&gt;0),$M1348*$AG1348*$AH1348,0),0)</f>
        <v>3.099</v>
      </c>
      <c r="AR1348" s="153" t="n">
        <f aca="false">IFERROR(IF(AND($N1348="VCA",$AJ1348&gt;0),($M1348*$AG1348*$AJ1348)-$AI1348,0),0)</f>
        <v>11.8232335178962</v>
      </c>
      <c r="AS1348" s="153" t="n">
        <f aca="false">IFERROR(IF(AND($N1348="VCA",$AP1348&gt;0),$AP1348-$AI1348-$AQ1348-$AR1348,0),0)</f>
        <v>27.891</v>
      </c>
      <c r="AT1348" s="153" t="n">
        <f aca="false">IFERROR(IF($N1348="VCA",INDEX(APOIO_REDES!$A:$W,MATCH($C1348&amp;$I1348&amp;$H1348&amp;$N1348&amp;$O1348,APOIO_REDES!$W:$W,0),MATCH(AT$5,APOIO_REDES!$5:$5,0)),0)*$AP1348,0)</f>
        <v>0.468680717874784</v>
      </c>
      <c r="AU1348" s="153" t="n">
        <f aca="false">IFERROR(IF($N1348="VCA",INDEX(APOIO_REDES!$A:$W,MATCH($C1348&amp;$I1348&amp;$H1348&amp;$N1348&amp;$O1348,APOIO_REDES!$W:$W,0),MATCH(AU$5,APOIO_REDES!$5:$5,0)),0)*$AP1348,0)</f>
        <v>0.374275727811169</v>
      </c>
      <c r="AV1348" s="153" t="n">
        <f aca="false">IFERROR(IF($N1348="VCA",INDEX(APOIO_REDES!$A:$W,MATCH($C1348&amp;$I1348&amp;$H1348&amp;$N1348&amp;$O1348,APOIO_REDES!$W:$W,0),MATCH(AV$5,APOIO_REDES!$5:$5,0)),0)*$AP1348,0)</f>
        <v>0.051796822549402</v>
      </c>
      <c r="AW1348" s="153" t="n">
        <f aca="false">IFERROR(IF($N1348="VCA",INDEX(APOIO_REDES!$A:$W,MATCH($C1348&amp;$I1348&amp;$H1348&amp;$N1348&amp;$O1348,APOIO_REDES!$W:$W,0),MATCH(AW$5,APOIO_REDES!$5:$5,0)),0)*$AP1348,0)</f>
        <v>29.56776880991</v>
      </c>
      <c r="AX1348" s="153" t="n">
        <f aca="false">IFERROR(IF($N1348="VCA",INDEX(APOIO_REDES!$A:$W,MATCH($C1348&amp;$I1348&amp;$H1348&amp;$N1348&amp;$O1348,APOIO_REDES!$W:$W,0),MATCH(AX$5,APOIO_REDES!$5:$5,0)),0)*$AP1348,0)</f>
        <v>4.09209497790779</v>
      </c>
      <c r="AY1348" s="153" t="n">
        <f aca="false">IFERROR(IF($N1348="VCA",INDEX(APOIO_REDES!$A:$W,MATCH($C1348&amp;$I1348&amp;$H1348&amp;$N1348&amp;$O1348,APOIO_REDES!$W:$W,0),MATCH(AY$5,APOIO_REDES!$5:$5,0)),0)*$AP1348,0)</f>
        <v>7.48550999383259</v>
      </c>
      <c r="AZ1348" s="153" t="n">
        <f aca="false">IFERROR(IF($N1348="VCA",INDEX(APOIO_REDES!$A:$W,MATCH($C1348&amp;$I1348&amp;$H1348&amp;$N1348&amp;$O1348,APOIO_REDES!$W:$W,0),MATCH(AZ$5,APOIO_REDES!$5:$5,0)),0)*$AP1348,0)</f>
        <v>1.0359729501143</v>
      </c>
      <c r="BA1348" s="153" t="n">
        <f aca="false">IFERROR(IF(AND($N1348="VCA",$Q1348="LINEAR"),INDEX(APOIO_REDES!$A:$W,MATCH($C1348&amp;$I1348&amp;$H1348&amp;$N1348&amp;$O1348,APOIO_REDES!$W:$W,0),MATCH(BA$5,APOIO_REDES!$5:$5,0)),IF(AND($N1348="MND",$Q1348="EMBOQUE"),INDEX(APOIO_REDES!$A:$W,MATCH($C1348&amp;$I1348&amp;$H1348&amp;$N1348&amp;$O1348,APOIO_REDES!$W:$W,0),MATCH(BA$5,APOIO_REDES!$5:$5,0)),0))*$M1348/10,0)</f>
        <v>3.33028777359652</v>
      </c>
      <c r="BB1348" s="153" t="n">
        <f aca="false">IFERROR(IF($N1348="VCA",INDEX(APOIO_REDES!$A:$W,MATCH($C1348&amp;$I1348&amp;$H1348&amp;$N1348&amp;$O1348,APOIO_REDES!$W:$W,0),MATCH(BB$5,APOIO_REDES!$5:$5,0)),0)*($AI1348+$AQ1348+$AR1348),0)</f>
        <v>15.0198816174398</v>
      </c>
      <c r="BC1348" s="153" t="n">
        <f aca="false">IFERROR(IF($N1348="VCA",INDEX(APOIO_REDES!$A:$W,MATCH($C1348&amp;$I1348&amp;$H1348&amp;$N1348&amp;$O1348,APOIO_REDES!$W:$W,0),MATCH(BC$5,APOIO_REDES!$5:$5,0)),0)*($AI1348+$AQ1348+$AR1348),0)</f>
        <v>0.165218382560176</v>
      </c>
      <c r="BD1348" s="153" t="n">
        <f aca="false">IF(AND($N1348="VCA",$AF1348&gt;=1.25,$AF1348&lt;1.5),$M1348*$AF1348*2,0)</f>
        <v>114.8696</v>
      </c>
      <c r="BE1348" s="153" t="n">
        <f aca="false">IF(AND($N1348="VCA",$AF1348&gt;=1.5,$AF1348&lt;3),$M1348*$AF1348*2,0)</f>
        <v>0</v>
      </c>
      <c r="BF1348" s="153" t="n">
        <f aca="false">IF(AND($N1348="VCA",$AF1348&gt;=3),$M1348*$AF1348*2,0)</f>
        <v>0</v>
      </c>
      <c r="BG1348" s="153" t="n">
        <f aca="false">($BB1348+$BC1348)*$AK1348</f>
        <v>69.85146</v>
      </c>
      <c r="BH1348" s="153" t="n">
        <f aca="false">IF(AND($M1348&lt;&gt;"",$N1348="VCA",$Q1348="LINEAR"),($M1348*2)/100,IF(AND($M1348&lt;&gt;"",$N1348="MND",$Q1348="EMBOQUE"),($AN1348*2)/100,0))</f>
        <v>0.8264</v>
      </c>
      <c r="BI1348" s="153" t="n">
        <f aca="false">IF(AND($M1348&lt;&gt;"",$N1348="VCA",$Q1348="LINEAR"),$M1348,IF(AND($M1348&lt;&gt;"",$N1348="MND",$Q1348="EMBOQUE"),$AN1348*2,0))</f>
        <v>41.32</v>
      </c>
      <c r="BJ1348" s="153" t="n">
        <f aca="false">IF(AND($M1348&lt;&gt;"",$N1348="VCA",$Q1348="LINEAR"),($M1348*6.8)/100,IF(AND($M1348&lt;&gt;"",$N1348="MND",$Q1348="EMBOQUE"),($AN1348*2*6.8)/100,0))</f>
        <v>2.80976</v>
      </c>
      <c r="BK1348" s="153" t="n">
        <f aca="false">IF(AND($M1348&lt;&gt;"",$N1348="VCA",$Q1348="LINEAR"),($M1348*2.5)/50,IF(AND($M1348&lt;&gt;"",$N1348="MND",$Q1348="EMBOQUE"),($AN1348*2*2.5)/50,0))</f>
        <v>2.066</v>
      </c>
      <c r="BL1348" s="157" t="str">
        <f aca="false">K1348&amp;J1348</f>
        <v>Zona11REDES</v>
      </c>
      <c r="BM1348" s="152" t="s">
        <v>6084</v>
      </c>
      <c r="BN1348" s="152" t="s">
        <v>1560</v>
      </c>
      <c r="BO1348" s="152" t="s">
        <v>6516</v>
      </c>
      <c r="BP1348" s="152" t="s">
        <v>6645</v>
      </c>
      <c r="BQ1348" s="152" t="s">
        <v>6624</v>
      </c>
      <c r="BR1348" s="152" t="s">
        <v>6625</v>
      </c>
      <c r="BS1348" s="152" t="n">
        <v>204409.585</v>
      </c>
      <c r="BT1348" s="152" t="n">
        <v>8236107.519</v>
      </c>
      <c r="BU1348" s="152" t="n">
        <v>204400.84</v>
      </c>
      <c r="BV1348" s="152" t="n">
        <v>8236147.79</v>
      </c>
      <c r="BW1348" s="152" t="n">
        <v>-15.9365396</v>
      </c>
      <c r="BX1348" s="152" t="n">
        <v>-47.7610047</v>
      </c>
      <c r="BY1348" s="152" t="s">
        <v>6645</v>
      </c>
    </row>
    <row r="1349" customFormat="false" ht="13.8" hidden="false" customHeight="false" outlineLevel="0" collapsed="false">
      <c r="A1349" s="149" t="n">
        <f aca="false">IF(C1349&lt;&gt;"",ROW(A1344),"")</f>
        <v>1344</v>
      </c>
      <c r="B1349" s="150" t="str">
        <f aca="false">HYPERLINK("https://www.google.com/maps/dir/-15.917302,-47.760003/-15.9367725,-47.7626313/data=!4m3!4m2!3e0!5i1")</f>
        <v>https://www.google.com/maps/dir/-15.917302,-47.760003/-15.9367725,-47.7626313/data=!4m3!4m2!3e0!5i1</v>
      </c>
      <c r="C1349" s="151" t="s">
        <v>117</v>
      </c>
      <c r="D1349" s="152" t="s">
        <v>112</v>
      </c>
      <c r="E1349" s="152" t="s">
        <v>113</v>
      </c>
      <c r="F1349" s="152" t="s">
        <v>117</v>
      </c>
      <c r="G1349" s="152" t="s">
        <v>782</v>
      </c>
      <c r="H1349" s="152" t="n">
        <v>63</v>
      </c>
      <c r="I1349" s="152" t="s">
        <v>115</v>
      </c>
      <c r="J1349" s="152" t="s">
        <v>6</v>
      </c>
      <c r="K1349" s="152" t="s">
        <v>6081</v>
      </c>
      <c r="L1349" s="152" t="s">
        <v>120</v>
      </c>
      <c r="M1349" s="153" t="n">
        <f aca="false">176.38+0.38</f>
        <v>176.76</v>
      </c>
      <c r="N1349" s="152" t="s">
        <v>1548</v>
      </c>
      <c r="O1349" s="152" t="s">
        <v>1549</v>
      </c>
      <c r="P1349" s="152" t="s">
        <v>1550</v>
      </c>
      <c r="Q1349" s="152" t="s">
        <v>1551</v>
      </c>
      <c r="R1349" s="154" t="s">
        <v>6646</v>
      </c>
      <c r="S1349" s="154" t="s">
        <v>1553</v>
      </c>
      <c r="T1349" s="155" t="s">
        <v>6514</v>
      </c>
      <c r="U1349" s="152" t="str">
        <f aca="false">RIGHT(T1349,7)</f>
        <v>024/037</v>
      </c>
      <c r="V1349" s="152" t="s">
        <v>1555</v>
      </c>
      <c r="W1349" s="156" t="n">
        <v>45882</v>
      </c>
      <c r="X1349" s="152" t="s">
        <v>3938</v>
      </c>
      <c r="Y1349" s="152"/>
      <c r="Z1349" s="152" t="s">
        <v>1557</v>
      </c>
      <c r="AA1349" s="153" t="n">
        <v>4.9</v>
      </c>
      <c r="AB1349" s="151" t="s">
        <v>6647</v>
      </c>
      <c r="AC1349" s="151" t="s">
        <v>186</v>
      </c>
      <c r="AD1349" s="151" t="str">
        <f aca="false">CONCATENATE($C1349,$I1349,$H1349,$N1349,$J1349,$K1349)</f>
        <v>TUBO PEADPEAD63VCAREDESZona11</v>
      </c>
      <c r="AE1349" s="153" t="n">
        <f aca="false">IFERROR(INDEX(APOIO_REDES!$A:$W,MATCH($C1349&amp;$I1349&amp;$H1349&amp;$N1349&amp;$O1349,APOIO_REDES!$W:$W,0),MATCH(AE$5,APOIO_REDES!$5:$5,0)),0)</f>
        <v>1.2</v>
      </c>
      <c r="AF1349" s="153" t="n">
        <f aca="false">IFERROR(INDEX(APOIO_REDES!$A:$W,MATCH($C1349&amp;$I1349&amp;$H1349&amp;$N1349&amp;$O1349,APOIO_REDES!$W:$W,0),MATCH(AF$5,APOIO_REDES!$5:$5,0)),0)</f>
        <v>1.363</v>
      </c>
      <c r="AG1349" s="153" t="n">
        <f aca="false">IFERROR(INDEX(APOIO_REDES!$A:$W,MATCH($C1349&amp;$I1349&amp;$H1349&amp;$N1349&amp;$O1349,APOIO_REDES!$W:$W,0),MATCH(AG$5,APOIO_REDES!$5:$5,0)),0)</f>
        <v>0.65</v>
      </c>
      <c r="AH1349" s="153" t="n">
        <f aca="false">IFERROR(INDEX(APOIO_REDES!$A:$W,MATCH($C1349&amp;$I1349&amp;$H1349&amp;$N1349&amp;$O1349,APOIO_REDES!$W:$W,0),MATCH(AH$5,APOIO_REDES!$5:$5,0)),0)</f>
        <v>0.1</v>
      </c>
      <c r="AI1349" s="153" t="n">
        <f aca="false">IFERROR(IF($H1349&lt;&gt;"",(((($H1349/1000)/2)^2)*PI()*$M1349),0),0)</f>
        <v>0.551004281088306</v>
      </c>
      <c r="AJ1349" s="153" t="n">
        <f aca="false">IFERROR(IF(AND($H1349&lt;&gt;"",$I1349="FoFo",OR($N1349="MND",$N1349="VCA"),$Q1349="LINEAR"),0,IF(AND($H1349&lt;&gt;"",$I1349="PEAD",$N1349="VCA",$Q1349="LINEAR"),($H1349/1000)+0.3,IF(AND($H1349&lt;&gt;"",$I1349="PEAD",$N1349="MND",$Q1349="EMBOQUE"),0,IF(AND($H1349&lt;&gt;"",$I1349="PVC",$N1349="VCA",$Q1349="LINEAR"),($H1349/1000)+0.2,IF(AND($H1349&lt;&gt;"",$I1349="PVC",$N1349="MND",$Q1349="EMBOQUE"),0,IF(AND($H1349&lt;&gt;"",$I1349="PEAD",$N1349="VCA",$Q1349="PREDIAL"),0,0)))))),0)</f>
        <v>0.363</v>
      </c>
      <c r="AK1349" s="153" t="n">
        <f aca="false">IF(AA1349&lt;&gt;"",AA1349,0)</f>
        <v>4.9</v>
      </c>
      <c r="AL1349" s="153" t="n">
        <f aca="false">IF(AND($N1349="MND",$Q1349="EMBOQUE"),$M1349,IF(AND($N1349="VCA",$Q1349="LINEAR"),$M1349,IF(AND($N1349="VCA",$Q1349="PREDIAL"),0,0)))</f>
        <v>176.76</v>
      </c>
      <c r="AM1349" s="153" t="n">
        <f aca="false">IF(AND($N1349="MND",$Q1349="EMBOQUE"),$M1349,IF(AND($N1349="VCA",$Q1349="LINEAR"),$M1349,IF(AND($N1349="VCA",$Q1349="PREDIAL"),0,0)))</f>
        <v>176.76</v>
      </c>
      <c r="AN1349" s="153" t="n">
        <f aca="false">ROUND(IF(AND($N1349="VCA",$M1349&lt;&gt;"",$Q1349="LINEAR"),$M1349/100,IF(AND($N1349="MND",$M1349&gt;100,$Q1349="EMBOQUE"),$M1349/100,0)),0)</f>
        <v>2</v>
      </c>
      <c r="AO1349" s="153" t="n">
        <f aca="false">IF(AND($N1349="MND",$Q1349="EMBOQUE"),$AN1349*2*2,IF(AND($N1349="VCA",$Q1349="LINEAR"),$M1349*2,IF(AND($N1349="VCA",$Q1349="PREDIAL"),0,0)))</f>
        <v>353.52</v>
      </c>
      <c r="AP1349" s="153" t="n">
        <f aca="false">IFERROR($M1349*$AF1349*$AG1349,0)</f>
        <v>156.600522</v>
      </c>
      <c r="AQ1349" s="153" t="n">
        <f aca="false">IFERROR(IF(AND($N1349="VCA",$AH1349&gt;0),$M1349*$AG1349*$AH1349,0),0)</f>
        <v>11.4894</v>
      </c>
      <c r="AR1349" s="153" t="n">
        <f aca="false">IFERROR(IF(AND($N1349="VCA",$AJ1349&gt;0),($M1349*$AG1349*$AJ1349)-$AI1349,0),0)</f>
        <v>41.1555177189117</v>
      </c>
      <c r="AS1349" s="153" t="n">
        <f aca="false">IFERROR(IF(AND($N1349="VCA",$AP1349&gt;0),$AP1349-$AI1349-$AQ1349-$AR1349,0),0)</f>
        <v>103.4046</v>
      </c>
      <c r="AT1349" s="153" t="n">
        <f aca="false">IFERROR(IF($N1349="VCA",INDEX(APOIO_REDES!$A:$W,MATCH($C1349&amp;$I1349&amp;$H1349&amp;$N1349&amp;$O1349,APOIO_REDES!$W:$W,0),MATCH(AT$5,APOIO_REDES!$5:$5,0)),0)*$AP1349,0)</f>
        <v>1.70386003074851</v>
      </c>
      <c r="AU1349" s="153" t="n">
        <f aca="false">IFERROR(IF($N1349="VCA",INDEX(APOIO_REDES!$A:$W,MATCH($C1349&amp;$I1349&amp;$H1349&amp;$N1349&amp;$O1349,APOIO_REDES!$W:$W,0),MATCH(AU$5,APOIO_REDES!$5:$5,0)),0)*$AP1349,0)</f>
        <v>1.36065647417382</v>
      </c>
      <c r="AV1349" s="153" t="n">
        <f aca="false">IFERROR(IF($N1349="VCA",INDEX(APOIO_REDES!$A:$W,MATCH($C1349&amp;$I1349&amp;$H1349&amp;$N1349&amp;$O1349,APOIO_REDES!$W:$W,0),MATCH(AV$5,APOIO_REDES!$5:$5,0)),0)*$AP1349,0)</f>
        <v>0.188304174453531</v>
      </c>
      <c r="AW1349" s="153" t="n">
        <f aca="false">IFERROR(IF($N1349="VCA",INDEX(APOIO_REDES!$A:$W,MATCH($C1349&amp;$I1349&amp;$H1349&amp;$N1349&amp;$O1349,APOIO_REDES!$W:$W,0),MATCH(AW$5,APOIO_REDES!$5:$5,0)),0)*$AP1349,0)</f>
        <v>107.491811700855</v>
      </c>
      <c r="AX1349" s="153" t="n">
        <f aca="false">IFERROR(IF($N1349="VCA",INDEX(APOIO_REDES!$A:$W,MATCH($C1349&amp;$I1349&amp;$H1349&amp;$N1349&amp;$O1349,APOIO_REDES!$W:$W,0),MATCH(AX$5,APOIO_REDES!$5:$5,0)),0)*$AP1349,0)</f>
        <v>14.8765605431768</v>
      </c>
      <c r="AY1349" s="153" t="n">
        <f aca="false">IFERROR(IF($N1349="VCA",INDEX(APOIO_REDES!$A:$W,MATCH($C1349&amp;$I1349&amp;$H1349&amp;$N1349&amp;$O1349,APOIO_REDES!$W:$W,0),MATCH(AY$5,APOIO_REDES!$5:$5,0)),0)*$AP1349,0)</f>
        <v>27.2131128971843</v>
      </c>
      <c r="AZ1349" s="153" t="n">
        <f aca="false">IFERROR(IF($N1349="VCA",INDEX(APOIO_REDES!$A:$W,MATCH($C1349&amp;$I1349&amp;$H1349&amp;$N1349&amp;$O1349,APOIO_REDES!$W:$W,0),MATCH(AZ$5,APOIO_REDES!$5:$5,0)),0)*$AP1349,0)</f>
        <v>3.76621617940758</v>
      </c>
      <c r="BA1349" s="153" t="n">
        <f aca="false">IFERROR(IF(AND($N1349="VCA",$Q1349="LINEAR"),INDEX(APOIO_REDES!$A:$W,MATCH($C1349&amp;$I1349&amp;$H1349&amp;$N1349&amp;$O1349,APOIO_REDES!$W:$W,0),MATCH(BA$5,APOIO_REDES!$5:$5,0)),IF(AND($N1349="MND",$Q1349="EMBOQUE"),INDEX(APOIO_REDES!$A:$W,MATCH($C1349&amp;$I1349&amp;$H1349&amp;$N1349&amp;$O1349,APOIO_REDES!$W:$W,0),MATCH(BA$5,APOIO_REDES!$5:$5,0)),0))*$M1349/10,0)</f>
        <v>14.246410137002</v>
      </c>
      <c r="BB1349" s="153" t="n">
        <f aca="false">IFERROR(IF($N1349="VCA",INDEX(APOIO_REDES!$A:$W,MATCH($C1349&amp;$I1349&amp;$H1349&amp;$N1349&amp;$O1349,APOIO_REDES!$W:$W,0),MATCH(BB$5,APOIO_REDES!$5:$5,0)),0)*($AI1349+$AQ1349+$AR1349),0)</f>
        <v>52.6171346234508</v>
      </c>
      <c r="BC1349" s="153" t="n">
        <f aca="false">IFERROR(IF($N1349="VCA",INDEX(APOIO_REDES!$A:$W,MATCH($C1349&amp;$I1349&amp;$H1349&amp;$N1349&amp;$O1349,APOIO_REDES!$W:$W,0),MATCH(BC$5,APOIO_REDES!$5:$5,0)),0)*($AI1349+$AQ1349+$AR1349),0)</f>
        <v>0.578787376549201</v>
      </c>
      <c r="BD1349" s="153" t="n">
        <f aca="false">IF(AND($N1349="VCA",$AF1349&gt;=1.25,$AF1349&lt;1.5),$M1349*$AF1349*2,0)</f>
        <v>481.84776</v>
      </c>
      <c r="BE1349" s="153" t="n">
        <f aca="false">IF(AND($N1349="VCA",$AF1349&gt;=1.5,$AF1349&lt;3),$M1349*$AF1349*2,0)</f>
        <v>0</v>
      </c>
      <c r="BF1349" s="153" t="n">
        <f aca="false">IF(AND($N1349="VCA",$AF1349&gt;=3),$M1349*$AF1349*2,0)</f>
        <v>0</v>
      </c>
      <c r="BG1349" s="153" t="n">
        <f aca="false">($BB1349+$BC1349)*$AK1349</f>
        <v>260.6600178</v>
      </c>
      <c r="BH1349" s="153" t="n">
        <f aca="false">IF(AND($M1349&lt;&gt;"",$N1349="VCA",$Q1349="LINEAR"),($M1349*2)/100,IF(AND($M1349&lt;&gt;"",$N1349="MND",$Q1349="EMBOQUE"),($AN1349*2)/100,0))</f>
        <v>3.5352</v>
      </c>
      <c r="BI1349" s="153" t="n">
        <f aca="false">IF(AND($M1349&lt;&gt;"",$N1349="VCA",$Q1349="LINEAR"),$M1349,IF(AND($M1349&lt;&gt;"",$N1349="MND",$Q1349="EMBOQUE"),$AN1349*2,0))</f>
        <v>176.76</v>
      </c>
      <c r="BJ1349" s="153" t="n">
        <f aca="false">IF(AND($M1349&lt;&gt;"",$N1349="VCA",$Q1349="LINEAR"),($M1349*6.8)/100,IF(AND($M1349&lt;&gt;"",$N1349="MND",$Q1349="EMBOQUE"),($AN1349*2*6.8)/100,0))</f>
        <v>12.01968</v>
      </c>
      <c r="BK1349" s="153" t="n">
        <f aca="false">IF(AND($M1349&lt;&gt;"",$N1349="VCA",$Q1349="LINEAR"),($M1349*2.5)/50,IF(AND($M1349&lt;&gt;"",$N1349="MND",$Q1349="EMBOQUE"),($AN1349*2*2.5)/50,0))</f>
        <v>8.838</v>
      </c>
      <c r="BL1349" s="157" t="str">
        <f aca="false">K1349&amp;J1349</f>
        <v>Zona11REDES</v>
      </c>
      <c r="BM1349" s="152" t="s">
        <v>6084</v>
      </c>
      <c r="BN1349" s="152" t="s">
        <v>1560</v>
      </c>
      <c r="BO1349" s="152" t="s">
        <v>6516</v>
      </c>
      <c r="BP1349" s="152" t="s">
        <v>6648</v>
      </c>
      <c r="BQ1349" s="152" t="s">
        <v>6624</v>
      </c>
      <c r="BR1349" s="152" t="s">
        <v>6649</v>
      </c>
      <c r="BS1349" s="152" t="n">
        <v>204230.969</v>
      </c>
      <c r="BT1349" s="152" t="n">
        <v>8236099.501</v>
      </c>
      <c r="BU1349" s="152" t="n">
        <v>204400.468</v>
      </c>
      <c r="BV1349" s="152" t="n">
        <v>8236147.748</v>
      </c>
      <c r="BW1349" s="152" t="n">
        <v>-15.9365806</v>
      </c>
      <c r="BX1349" s="152" t="n">
        <v>-47.7618332</v>
      </c>
      <c r="BY1349" s="152" t="s">
        <v>6648</v>
      </c>
    </row>
    <row r="1350" customFormat="false" ht="13.8" hidden="false" customHeight="false" outlineLevel="0" collapsed="false">
      <c r="A1350" s="149" t="n">
        <f aca="false">IF(C1350&lt;&gt;"",ROW(A1345),"")</f>
        <v>1345</v>
      </c>
      <c r="B1350" s="150" t="str">
        <f aca="false">HYPERLINK("https://www.google.com/maps/dir/-15.917302,-47.760003/-15.9364467,-47.7607317/data=!4m3!4m2!3e0!5i1")</f>
        <v>https://www.google.com/maps/dir/-15.917302,-47.760003/-15.9364467,-47.7607317/data=!4m3!4m2!3e0!5i1</v>
      </c>
      <c r="C1350" s="151" t="s">
        <v>117</v>
      </c>
      <c r="D1350" s="152" t="s">
        <v>112</v>
      </c>
      <c r="E1350" s="152" t="s">
        <v>113</v>
      </c>
      <c r="F1350" s="152" t="s">
        <v>117</v>
      </c>
      <c r="G1350" s="152" t="s">
        <v>782</v>
      </c>
      <c r="H1350" s="152" t="n">
        <v>90</v>
      </c>
      <c r="I1350" s="152" t="s">
        <v>115</v>
      </c>
      <c r="J1350" s="152" t="s">
        <v>6</v>
      </c>
      <c r="K1350" s="152" t="s">
        <v>6081</v>
      </c>
      <c r="L1350" s="152" t="s">
        <v>120</v>
      </c>
      <c r="M1350" s="153" t="n">
        <f aca="false">43.04</f>
        <v>43.04</v>
      </c>
      <c r="N1350" s="152" t="s">
        <v>1548</v>
      </c>
      <c r="O1350" s="152" t="s">
        <v>1549</v>
      </c>
      <c r="P1350" s="152" t="s">
        <v>1550</v>
      </c>
      <c r="Q1350" s="152" t="s">
        <v>1551</v>
      </c>
      <c r="R1350" s="154" t="s">
        <v>6650</v>
      </c>
      <c r="S1350" s="154" t="s">
        <v>1593</v>
      </c>
      <c r="T1350" s="155" t="s">
        <v>6514</v>
      </c>
      <c r="U1350" s="152" t="str">
        <f aca="false">RIGHT(T1350,7)</f>
        <v>024/037</v>
      </c>
      <c r="V1350" s="152" t="s">
        <v>1555</v>
      </c>
      <c r="W1350" s="156" t="n">
        <v>45882</v>
      </c>
      <c r="X1350" s="152" t="s">
        <v>3938</v>
      </c>
      <c r="Y1350" s="152" t="s">
        <v>6546</v>
      </c>
      <c r="Z1350" s="152" t="s">
        <v>1557</v>
      </c>
      <c r="AA1350" s="153" t="n">
        <v>4.7</v>
      </c>
      <c r="AB1350" s="151" t="s">
        <v>6651</v>
      </c>
      <c r="AC1350" s="151" t="s">
        <v>526</v>
      </c>
      <c r="AD1350" s="151" t="str">
        <f aca="false">CONCATENATE($C1350,$I1350,$H1350,$N1350,$J1350,$K1350)</f>
        <v>TUBO PEADPEAD90VCAREDESZona11</v>
      </c>
      <c r="AE1350" s="153" t="n">
        <f aca="false">IFERROR(INDEX(APOIO_REDES!$A:$W,MATCH($C1350&amp;$I1350&amp;$H1350&amp;$N1350&amp;$O1350,APOIO_REDES!$W:$W,0),MATCH(AE$5,APOIO_REDES!$5:$5,0)),0)</f>
        <v>1.2</v>
      </c>
      <c r="AF1350" s="153" t="n">
        <f aca="false">IFERROR(INDEX(APOIO_REDES!$A:$W,MATCH($C1350&amp;$I1350&amp;$H1350&amp;$N1350&amp;$O1350,APOIO_REDES!$W:$W,0),MATCH(AF$5,APOIO_REDES!$5:$5,0)),0)</f>
        <v>1.39</v>
      </c>
      <c r="AG1350" s="153" t="n">
        <f aca="false">IFERROR(INDEX(APOIO_REDES!$A:$W,MATCH($C1350&amp;$I1350&amp;$H1350&amp;$N1350&amp;$O1350,APOIO_REDES!$W:$W,0),MATCH(AG$5,APOIO_REDES!$5:$5,0)),0)</f>
        <v>0.75</v>
      </c>
      <c r="AH1350" s="153" t="n">
        <f aca="false">IFERROR(INDEX(APOIO_REDES!$A:$W,MATCH($C1350&amp;$I1350&amp;$H1350&amp;$N1350&amp;$O1350,APOIO_REDES!$W:$W,0),MATCH(AH$5,APOIO_REDES!$5:$5,0)),0)</f>
        <v>0.1</v>
      </c>
      <c r="AI1350" s="153" t="n">
        <f aca="false">IFERROR(IF($H1350&lt;&gt;"",(((($H1350/1000)/2)^2)*PI()*$M1350),0),0)</f>
        <v>0.273808649316272</v>
      </c>
      <c r="AJ1350" s="153" t="n">
        <f aca="false">IFERROR(IF(AND($H1350&lt;&gt;"",$I1350="FoFo",OR($N1350="MND",$N1350="VCA"),$Q1350="LINEAR"),0,IF(AND($H1350&lt;&gt;"",$I1350="PEAD",$N1350="VCA",$Q1350="LINEAR"),($H1350/1000)+0.3,IF(AND($H1350&lt;&gt;"",$I1350="PEAD",$N1350="MND",$Q1350="EMBOQUE"),0,IF(AND($H1350&lt;&gt;"",$I1350="PVC",$N1350="VCA",$Q1350="LINEAR"),($H1350/1000)+0.2,IF(AND($H1350&lt;&gt;"",$I1350="PVC",$N1350="MND",$Q1350="EMBOQUE"),0,IF(AND($H1350&lt;&gt;"",$I1350="PEAD",$N1350="VCA",$Q1350="PREDIAL"),0,0)))))),0)</f>
        <v>0.39</v>
      </c>
      <c r="AK1350" s="153" t="n">
        <f aca="false">IF(AA1350&lt;&gt;"",AA1350,0)</f>
        <v>4.7</v>
      </c>
      <c r="AL1350" s="153" t="n">
        <f aca="false">IF(AND($N1350="MND",$Q1350="EMBOQUE"),$M1350,IF(AND($N1350="VCA",$Q1350="LINEAR"),$M1350,IF(AND($N1350="VCA",$Q1350="PREDIAL"),0,0)))</f>
        <v>43.04</v>
      </c>
      <c r="AM1350" s="153" t="n">
        <f aca="false">IF(AND($N1350="MND",$Q1350="EMBOQUE"),$M1350,IF(AND($N1350="VCA",$Q1350="LINEAR"),$M1350,IF(AND($N1350="VCA",$Q1350="PREDIAL"),0,0)))</f>
        <v>43.04</v>
      </c>
      <c r="AN1350" s="153" t="n">
        <f aca="false">ROUND(IF(AND($N1350="VCA",$M1350&lt;&gt;"",$Q1350="LINEAR"),$M1350/100,IF(AND($N1350="MND",$M1350&gt;100,$Q1350="EMBOQUE"),$M1350/100,0)),0)</f>
        <v>0</v>
      </c>
      <c r="AO1350" s="153" t="n">
        <f aca="false">IF(AND($N1350="MND",$Q1350="EMBOQUE"),$AN1350*2*2,IF(AND($N1350="VCA",$Q1350="LINEAR"),$M1350*2,IF(AND($N1350="VCA",$Q1350="PREDIAL"),0,0)))</f>
        <v>86.08</v>
      </c>
      <c r="AP1350" s="153" t="n">
        <f aca="false">IFERROR($M1350*$AF1350*$AG1350,0)</f>
        <v>44.8692</v>
      </c>
      <c r="AQ1350" s="153" t="n">
        <f aca="false">IFERROR(IF(AND($N1350="VCA",$AH1350&gt;0),$M1350*$AG1350*$AH1350,0),0)</f>
        <v>3.228</v>
      </c>
      <c r="AR1350" s="153" t="n">
        <f aca="false">IFERROR(IF(AND($N1350="VCA",$AJ1350&gt;0),($M1350*$AG1350*$AJ1350)-$AI1350,0),0)</f>
        <v>12.3153913506837</v>
      </c>
      <c r="AS1350" s="153" t="n">
        <f aca="false">IFERROR(IF(AND($N1350="VCA",$AP1350&gt;0),$AP1350-$AI1350-$AQ1350-$AR1350,0),0)</f>
        <v>29.052</v>
      </c>
      <c r="AT1350" s="153" t="n">
        <f aca="false">IFERROR(IF($N1350="VCA",INDEX(APOIO_REDES!$A:$W,MATCH($C1350&amp;$I1350&amp;$H1350&amp;$N1350&amp;$O1350,APOIO_REDES!$W:$W,0),MATCH(AT$5,APOIO_REDES!$5:$5,0)),0)*$AP1350,0)</f>
        <v>0.488190176605293</v>
      </c>
      <c r="AU1350" s="153" t="n">
        <f aca="false">IFERROR(IF($N1350="VCA",INDEX(APOIO_REDES!$A:$W,MATCH($C1350&amp;$I1350&amp;$H1350&amp;$N1350&amp;$O1350,APOIO_REDES!$W:$W,0),MATCH(AU$5,APOIO_REDES!$5:$5,0)),0)*$AP1350,0)</f>
        <v>0.389855453170201</v>
      </c>
      <c r="AV1350" s="153" t="n">
        <f aca="false">IFERROR(IF($N1350="VCA",INDEX(APOIO_REDES!$A:$W,MATCH($C1350&amp;$I1350&amp;$H1350&amp;$N1350&amp;$O1350,APOIO_REDES!$W:$W,0),MATCH(AV$5,APOIO_REDES!$5:$5,0)),0)*$AP1350,0)</f>
        <v>0.0539529342334527</v>
      </c>
      <c r="AW1350" s="153" t="n">
        <f aca="false">IFERROR(IF($N1350="VCA",INDEX(APOIO_REDES!$A:$W,MATCH($C1350&amp;$I1350&amp;$H1350&amp;$N1350&amp;$O1350,APOIO_REDES!$W:$W,0),MATCH(AW$5,APOIO_REDES!$5:$5,0)),0)*$AP1350,0)</f>
        <v>30.7985665435267</v>
      </c>
      <c r="AX1350" s="153" t="n">
        <f aca="false">IFERROR(IF($N1350="VCA",INDEX(APOIO_REDES!$A:$W,MATCH($C1350&amp;$I1350&amp;$H1350&amp;$N1350&amp;$O1350,APOIO_REDES!$W:$W,0),MATCH(AX$5,APOIO_REDES!$5:$5,0)),0)*$AP1350,0)</f>
        <v>4.26243387824664</v>
      </c>
      <c r="AY1350" s="153" t="n">
        <f aca="false">IFERROR(IF($N1350="VCA",INDEX(APOIO_REDES!$A:$W,MATCH($C1350&amp;$I1350&amp;$H1350&amp;$N1350&amp;$O1350,APOIO_REDES!$W:$W,0),MATCH(AY$5,APOIO_REDES!$5:$5,0)),0)*$AP1350,0)</f>
        <v>7.79710431109764</v>
      </c>
      <c r="AZ1350" s="153" t="n">
        <f aca="false">IFERROR(IF($N1350="VCA",INDEX(APOIO_REDES!$A:$W,MATCH($C1350&amp;$I1350&amp;$H1350&amp;$N1350&amp;$O1350,APOIO_REDES!$W:$W,0),MATCH(AZ$5,APOIO_REDES!$5:$5,0)),0)*$AP1350,0)</f>
        <v>1.07909670312002</v>
      </c>
      <c r="BA1350" s="153" t="n">
        <f aca="false">IFERROR(IF(AND($N1350="VCA",$Q1350="LINEAR"),INDEX(APOIO_REDES!$A:$W,MATCH($C1350&amp;$I1350&amp;$H1350&amp;$N1350&amp;$O1350,APOIO_REDES!$W:$W,0),MATCH(BA$5,APOIO_REDES!$5:$5,0)),IF(AND($N1350="MND",$Q1350="EMBOQUE"),INDEX(APOIO_REDES!$A:$W,MATCH($C1350&amp;$I1350&amp;$H1350&amp;$N1350&amp;$O1350,APOIO_REDES!$W:$W,0),MATCH(BA$5,APOIO_REDES!$5:$5,0)),0))*$M1350/10,0)</f>
        <v>3.46891543503374</v>
      </c>
      <c r="BB1350" s="153" t="n">
        <f aca="false">IFERROR(IF($N1350="VCA",INDEX(APOIO_REDES!$A:$W,MATCH($C1350&amp;$I1350&amp;$H1350&amp;$N1350&amp;$O1350,APOIO_REDES!$W:$W,0),MATCH(BB$5,APOIO_REDES!$5:$5,0)),0)*($AI1350+$AQ1350+$AR1350),0)</f>
        <v>15.6451041823478</v>
      </c>
      <c r="BC1350" s="153" t="n">
        <f aca="false">IFERROR(IF($N1350="VCA",INDEX(APOIO_REDES!$A:$W,MATCH($C1350&amp;$I1350&amp;$H1350&amp;$N1350&amp;$O1350,APOIO_REDES!$W:$W,0),MATCH(BC$5,APOIO_REDES!$5:$5,0)),0)*($AI1350+$AQ1350+$AR1350),0)</f>
        <v>0.172095817652226</v>
      </c>
      <c r="BD1350" s="153" t="n">
        <f aca="false">IF(AND($N1350="VCA",$AF1350&gt;=1.25,$AF1350&lt;1.5),$M1350*$AF1350*2,0)</f>
        <v>119.6512</v>
      </c>
      <c r="BE1350" s="153" t="n">
        <f aca="false">IF(AND($N1350="VCA",$AF1350&gt;=1.5,$AF1350&lt;3),$M1350*$AF1350*2,0)</f>
        <v>0</v>
      </c>
      <c r="BF1350" s="153" t="n">
        <f aca="false">IF(AND($N1350="VCA",$AF1350&gt;=3),$M1350*$AF1350*2,0)</f>
        <v>0</v>
      </c>
      <c r="BG1350" s="153" t="n">
        <f aca="false">($BB1350+$BC1350)*$AK1350</f>
        <v>74.34084</v>
      </c>
      <c r="BH1350" s="153" t="n">
        <f aca="false">IF(AND($M1350&lt;&gt;"",$N1350="VCA",$Q1350="LINEAR"),($M1350*2)/100,IF(AND($M1350&lt;&gt;"",$N1350="MND",$Q1350="EMBOQUE"),($AN1350*2)/100,0))</f>
        <v>0.8608</v>
      </c>
      <c r="BI1350" s="153" t="n">
        <f aca="false">IF(AND($M1350&lt;&gt;"",$N1350="VCA",$Q1350="LINEAR"),$M1350,IF(AND($M1350&lt;&gt;"",$N1350="MND",$Q1350="EMBOQUE"),$AN1350*2,0))</f>
        <v>43.04</v>
      </c>
      <c r="BJ1350" s="153" t="n">
        <f aca="false">IF(AND($M1350&lt;&gt;"",$N1350="VCA",$Q1350="LINEAR"),($M1350*6.8)/100,IF(AND($M1350&lt;&gt;"",$N1350="MND",$Q1350="EMBOQUE"),($AN1350*2*6.8)/100,0))</f>
        <v>2.92672</v>
      </c>
      <c r="BK1350" s="153" t="n">
        <f aca="false">IF(AND($M1350&lt;&gt;"",$N1350="VCA",$Q1350="LINEAR"),($M1350*2.5)/50,IF(AND($M1350&lt;&gt;"",$N1350="MND",$Q1350="EMBOQUE"),($AN1350*2*2.5)/50,0))</f>
        <v>2.152</v>
      </c>
      <c r="BL1350" s="157" t="str">
        <f aca="false">K1350&amp;J1350</f>
        <v>Zona11REDES</v>
      </c>
      <c r="BM1350" s="152" t="s">
        <v>6084</v>
      </c>
      <c r="BN1350" s="152" t="s">
        <v>1560</v>
      </c>
      <c r="BO1350" s="152" t="s">
        <v>6516</v>
      </c>
      <c r="BP1350" s="152" t="s">
        <v>6631</v>
      </c>
      <c r="BQ1350" s="152" t="s">
        <v>6652</v>
      </c>
      <c r="BR1350" s="152" t="s">
        <v>6653</v>
      </c>
      <c r="BS1350" s="152" t="n">
        <v>204434.002</v>
      </c>
      <c r="BT1350" s="152" t="n">
        <v>8236138.263</v>
      </c>
      <c r="BU1350" s="152" t="n">
        <v>204444.617</v>
      </c>
      <c r="BV1350" s="152" t="n">
        <v>8236096.551</v>
      </c>
      <c r="BW1350" s="152" t="n">
        <v>-15.9366357</v>
      </c>
      <c r="BX1350" s="152" t="n">
        <v>-47.7606847</v>
      </c>
      <c r="BY1350" s="152" t="s">
        <v>6631</v>
      </c>
    </row>
    <row r="1351" customFormat="false" ht="13.8" hidden="false" customHeight="false" outlineLevel="0" collapsed="false">
      <c r="A1351" s="149" t="n">
        <f aca="false">IF(C1351&lt;&gt;"",ROW(A1346),"")</f>
        <v>1346</v>
      </c>
      <c r="B1351" s="150" t="str">
        <f aca="false">HYPERLINK("https://www.google.com/maps/dir/-15.917302,-47.760003/-15.9364682,-47.7627118/data=!4m3!4m2!3e0!5i2")</f>
        <v>https://www.google.com/maps/dir/-15.917302,-47.760003/-15.9364682,-47.7627118/data=!4m3!4m2!3e0!5i2</v>
      </c>
      <c r="C1351" s="151" t="s">
        <v>117</v>
      </c>
      <c r="D1351" s="152" t="s">
        <v>112</v>
      </c>
      <c r="E1351" s="152" t="s">
        <v>113</v>
      </c>
      <c r="F1351" s="152" t="s">
        <v>117</v>
      </c>
      <c r="G1351" s="152" t="s">
        <v>782</v>
      </c>
      <c r="H1351" s="152" t="n">
        <v>63</v>
      </c>
      <c r="I1351" s="152" t="s">
        <v>115</v>
      </c>
      <c r="J1351" s="152" t="s">
        <v>6</v>
      </c>
      <c r="K1351" s="152" t="s">
        <v>6081</v>
      </c>
      <c r="L1351" s="152" t="s">
        <v>120</v>
      </c>
      <c r="M1351" s="153" t="n">
        <f aca="false">34.79</f>
        <v>34.79</v>
      </c>
      <c r="N1351" s="152" t="s">
        <v>1548</v>
      </c>
      <c r="O1351" s="152" t="s">
        <v>1549</v>
      </c>
      <c r="P1351" s="152" t="s">
        <v>1550</v>
      </c>
      <c r="Q1351" s="152" t="s">
        <v>1551</v>
      </c>
      <c r="R1351" s="154" t="s">
        <v>6654</v>
      </c>
      <c r="S1351" s="154" t="s">
        <v>1553</v>
      </c>
      <c r="T1351" s="155" t="s">
        <v>6514</v>
      </c>
      <c r="U1351" s="152" t="str">
        <f aca="false">RIGHT(T1351,7)</f>
        <v>024/037</v>
      </c>
      <c r="V1351" s="152" t="s">
        <v>1555</v>
      </c>
      <c r="W1351" s="156" t="n">
        <v>45882</v>
      </c>
      <c r="X1351" s="152" t="s">
        <v>3938</v>
      </c>
      <c r="Y1351" s="152" t="s">
        <v>2524</v>
      </c>
      <c r="Z1351" s="152" t="s">
        <v>1557</v>
      </c>
      <c r="AA1351" s="153" t="n">
        <v>4.9</v>
      </c>
      <c r="AB1351" s="151" t="s">
        <v>6655</v>
      </c>
      <c r="AC1351" s="151" t="s">
        <v>186</v>
      </c>
      <c r="AD1351" s="151" t="str">
        <f aca="false">CONCATENATE($C1351,$I1351,$H1351,$N1351,$J1351,$K1351)</f>
        <v>TUBO PEADPEAD63VCAREDESZona11</v>
      </c>
      <c r="AE1351" s="153" t="n">
        <f aca="false">IFERROR(INDEX(APOIO_REDES!$A:$W,MATCH($C1351&amp;$I1351&amp;$H1351&amp;$N1351&amp;$O1351,APOIO_REDES!$W:$W,0),MATCH(AE$5,APOIO_REDES!$5:$5,0)),0)</f>
        <v>1.2</v>
      </c>
      <c r="AF1351" s="153" t="n">
        <f aca="false">IFERROR(INDEX(APOIO_REDES!$A:$W,MATCH($C1351&amp;$I1351&amp;$H1351&amp;$N1351&amp;$O1351,APOIO_REDES!$W:$W,0),MATCH(AF$5,APOIO_REDES!$5:$5,0)),0)</f>
        <v>1.363</v>
      </c>
      <c r="AG1351" s="153" t="n">
        <f aca="false">IFERROR(INDEX(APOIO_REDES!$A:$W,MATCH($C1351&amp;$I1351&amp;$H1351&amp;$N1351&amp;$O1351,APOIO_REDES!$W:$W,0),MATCH(AG$5,APOIO_REDES!$5:$5,0)),0)</f>
        <v>0.65</v>
      </c>
      <c r="AH1351" s="153" t="n">
        <f aca="false">IFERROR(INDEX(APOIO_REDES!$A:$W,MATCH($C1351&amp;$I1351&amp;$H1351&amp;$N1351&amp;$O1351,APOIO_REDES!$W:$W,0),MATCH(AH$5,APOIO_REDES!$5:$5,0)),0)</f>
        <v>0.1</v>
      </c>
      <c r="AI1351" s="153" t="n">
        <f aca="false">IFERROR(IF($H1351&lt;&gt;"",(((($H1351/1000)/2)^2)*PI()*$M1351),0),0)</f>
        <v>0.108448964353146</v>
      </c>
      <c r="AJ1351" s="153" t="n">
        <f aca="false">IFERROR(IF(AND($H1351&lt;&gt;"",$I1351="FoFo",OR($N1351="MND",$N1351="VCA"),$Q1351="LINEAR"),0,IF(AND($H1351&lt;&gt;"",$I1351="PEAD",$N1351="VCA",$Q1351="LINEAR"),($H1351/1000)+0.3,IF(AND($H1351&lt;&gt;"",$I1351="PEAD",$N1351="MND",$Q1351="EMBOQUE"),0,IF(AND($H1351&lt;&gt;"",$I1351="PVC",$N1351="VCA",$Q1351="LINEAR"),($H1351/1000)+0.2,IF(AND($H1351&lt;&gt;"",$I1351="PVC",$N1351="MND",$Q1351="EMBOQUE"),0,IF(AND($H1351&lt;&gt;"",$I1351="PEAD",$N1351="VCA",$Q1351="PREDIAL"),0,0)))))),0)</f>
        <v>0.363</v>
      </c>
      <c r="AK1351" s="153" t="n">
        <f aca="false">IF(AA1351&lt;&gt;"",AA1351,0)</f>
        <v>4.9</v>
      </c>
      <c r="AL1351" s="153" t="n">
        <f aca="false">IF(AND($N1351="MND",$Q1351="EMBOQUE"),$M1351,IF(AND($N1351="VCA",$Q1351="LINEAR"),$M1351,IF(AND($N1351="VCA",$Q1351="PREDIAL"),0,0)))</f>
        <v>34.79</v>
      </c>
      <c r="AM1351" s="153" t="n">
        <f aca="false">IF(AND($N1351="MND",$Q1351="EMBOQUE"),$M1351,IF(AND($N1351="VCA",$Q1351="LINEAR"),$M1351,IF(AND($N1351="VCA",$Q1351="PREDIAL"),0,0)))</f>
        <v>34.79</v>
      </c>
      <c r="AN1351" s="153" t="n">
        <f aca="false">ROUND(IF(AND($N1351="VCA",$M1351&lt;&gt;"",$Q1351="LINEAR"),$M1351/100,IF(AND($N1351="MND",$M1351&gt;100,$Q1351="EMBOQUE"),$M1351/100,0)),0)</f>
        <v>0</v>
      </c>
      <c r="AO1351" s="153" t="n">
        <f aca="false">IF(AND($N1351="MND",$Q1351="EMBOQUE"),$AN1351*2*2,IF(AND($N1351="VCA",$Q1351="LINEAR"),$M1351*2,IF(AND($N1351="VCA",$Q1351="PREDIAL"),0,0)))</f>
        <v>69.58</v>
      </c>
      <c r="AP1351" s="153" t="n">
        <f aca="false">IFERROR($M1351*$AF1351*$AG1351,0)</f>
        <v>30.8222005</v>
      </c>
      <c r="AQ1351" s="153" t="n">
        <f aca="false">IFERROR(IF(AND($N1351="VCA",$AH1351&gt;0),$M1351*$AG1351*$AH1351,0),0)</f>
        <v>2.26135</v>
      </c>
      <c r="AR1351" s="153" t="n">
        <f aca="false">IFERROR(IF(AND($N1351="VCA",$AJ1351&gt;0),($M1351*$AG1351*$AJ1351)-$AI1351,0),0)</f>
        <v>8.10025153564686</v>
      </c>
      <c r="AS1351" s="153" t="n">
        <f aca="false">IFERROR(IF(AND($N1351="VCA",$AP1351&gt;0),$AP1351-$AI1351-$AQ1351-$AR1351,0),0)</f>
        <v>20.35215</v>
      </c>
      <c r="AT1351" s="153" t="n">
        <f aca="false">IFERROR(IF($N1351="VCA",INDEX(APOIO_REDES!$A:$W,MATCH($C1351&amp;$I1351&amp;$H1351&amp;$N1351&amp;$O1351,APOIO_REDES!$W:$W,0),MATCH(AT$5,APOIO_REDES!$5:$5,0)),0)*$AP1351,0)</f>
        <v>0.33535466434567</v>
      </c>
      <c r="AU1351" s="153" t="n">
        <f aca="false">IFERROR(IF($N1351="VCA",INDEX(APOIO_REDES!$A:$W,MATCH($C1351&amp;$I1351&amp;$H1351&amp;$N1351&amp;$O1351,APOIO_REDES!$W:$W,0),MATCH(AU$5,APOIO_REDES!$5:$5,0)),0)*$AP1351,0)</f>
        <v>0.267805152390288</v>
      </c>
      <c r="AV1351" s="153" t="n">
        <f aca="false">IFERROR(IF($N1351="VCA",INDEX(APOIO_REDES!$A:$W,MATCH($C1351&amp;$I1351&amp;$H1351&amp;$N1351&amp;$O1351,APOIO_REDES!$W:$W,0),MATCH(AV$5,APOIO_REDES!$5:$5,0)),0)*$AP1351,0)</f>
        <v>0.0370621307379403</v>
      </c>
      <c r="AW1351" s="153" t="n">
        <f aca="false">IFERROR(IF($N1351="VCA",INDEX(APOIO_REDES!$A:$W,MATCH($C1351&amp;$I1351&amp;$H1351&amp;$N1351&amp;$O1351,APOIO_REDES!$W:$W,0),MATCH(AW$5,APOIO_REDES!$5:$5,0)),0)*$AP1351,0)</f>
        <v>21.1565972452634</v>
      </c>
      <c r="AX1351" s="153" t="n">
        <f aca="false">IFERROR(IF($N1351="VCA",INDEX(APOIO_REDES!$A:$W,MATCH($C1351&amp;$I1351&amp;$H1351&amp;$N1351&amp;$O1351,APOIO_REDES!$W:$W,0),MATCH(AX$5,APOIO_REDES!$5:$5,0)),0)*$AP1351,0)</f>
        <v>2.92801279303644</v>
      </c>
      <c r="AY1351" s="153" t="n">
        <f aca="false">IFERROR(IF($N1351="VCA",INDEX(APOIO_REDES!$A:$W,MATCH($C1351&amp;$I1351&amp;$H1351&amp;$N1351&amp;$O1351,APOIO_REDES!$W:$W,0),MATCH(AY$5,APOIO_REDES!$5:$5,0)),0)*$AP1351,0)</f>
        <v>5.35609978328265</v>
      </c>
      <c r="AZ1351" s="153" t="n">
        <f aca="false">IFERROR(IF($N1351="VCA",INDEX(APOIO_REDES!$A:$W,MATCH($C1351&amp;$I1351&amp;$H1351&amp;$N1351&amp;$O1351,APOIO_REDES!$W:$W,0),MATCH(AZ$5,APOIO_REDES!$5:$5,0)),0)*$AP1351,0)</f>
        <v>0.741268730943595</v>
      </c>
      <c r="BA1351" s="153" t="n">
        <f aca="false">IFERROR(IF(AND($N1351="VCA",$Q1351="LINEAR"),INDEX(APOIO_REDES!$A:$W,MATCH($C1351&amp;$I1351&amp;$H1351&amp;$N1351&amp;$O1351,APOIO_REDES!$W:$W,0),MATCH(BA$5,APOIO_REDES!$5:$5,0)),IF(AND($N1351="MND",$Q1351="EMBOQUE"),INDEX(APOIO_REDES!$A:$W,MATCH($C1351&amp;$I1351&amp;$H1351&amp;$N1351&amp;$O1351,APOIO_REDES!$W:$W,0),MATCH(BA$5,APOIO_REDES!$5:$5,0)),0))*$M1351/10,0)</f>
        <v>2.80398624500056</v>
      </c>
      <c r="BB1351" s="153" t="n">
        <f aca="false">IFERROR(IF($N1351="VCA",INDEX(APOIO_REDES!$A:$W,MATCH($C1351&amp;$I1351&amp;$H1351&amp;$N1351&amp;$O1351,APOIO_REDES!$W:$W,0),MATCH(BB$5,APOIO_REDES!$5:$5,0)),0)*($AI1351+$AQ1351+$AR1351),0)</f>
        <v>10.3561332515832</v>
      </c>
      <c r="BC1351" s="153" t="n">
        <f aca="false">IFERROR(IF($N1351="VCA",INDEX(APOIO_REDES!$A:$W,MATCH($C1351&amp;$I1351&amp;$H1351&amp;$N1351&amp;$O1351,APOIO_REDES!$W:$W,0),MATCH(BC$5,APOIO_REDES!$5:$5,0)),0)*($AI1351+$AQ1351+$AR1351),0)</f>
        <v>0.113917248416761</v>
      </c>
      <c r="BD1351" s="153" t="n">
        <f aca="false">IF(AND($N1351="VCA",$AF1351&gt;=1.25,$AF1351&lt;1.5),$M1351*$AF1351*2,0)</f>
        <v>94.83754</v>
      </c>
      <c r="BE1351" s="153" t="n">
        <f aca="false">IF(AND($N1351="VCA",$AF1351&gt;=1.5,$AF1351&lt;3),$M1351*$AF1351*2,0)</f>
        <v>0</v>
      </c>
      <c r="BF1351" s="153" t="n">
        <f aca="false">IF(AND($N1351="VCA",$AF1351&gt;=3),$M1351*$AF1351*2,0)</f>
        <v>0</v>
      </c>
      <c r="BG1351" s="153" t="n">
        <f aca="false">($BB1351+$BC1351)*$AK1351</f>
        <v>51.30324745</v>
      </c>
      <c r="BH1351" s="153" t="n">
        <f aca="false">IF(AND($M1351&lt;&gt;"",$N1351="VCA",$Q1351="LINEAR"),($M1351*2)/100,IF(AND($M1351&lt;&gt;"",$N1351="MND",$Q1351="EMBOQUE"),($AN1351*2)/100,0))</f>
        <v>0.6958</v>
      </c>
      <c r="BI1351" s="153" t="n">
        <f aca="false">IF(AND($M1351&lt;&gt;"",$N1351="VCA",$Q1351="LINEAR"),$M1351,IF(AND($M1351&lt;&gt;"",$N1351="MND",$Q1351="EMBOQUE"),$AN1351*2,0))</f>
        <v>34.79</v>
      </c>
      <c r="BJ1351" s="153" t="n">
        <f aca="false">IF(AND($M1351&lt;&gt;"",$N1351="VCA",$Q1351="LINEAR"),($M1351*6.8)/100,IF(AND($M1351&lt;&gt;"",$N1351="MND",$Q1351="EMBOQUE"),($AN1351*2*6.8)/100,0))</f>
        <v>2.36572</v>
      </c>
      <c r="BK1351" s="153" t="n">
        <f aca="false">IF(AND($M1351&lt;&gt;"",$N1351="VCA",$Q1351="LINEAR"),($M1351*2.5)/50,IF(AND($M1351&lt;&gt;"",$N1351="MND",$Q1351="EMBOQUE"),($AN1351*2*2.5)/50,0))</f>
        <v>1.7395</v>
      </c>
      <c r="BL1351" s="157" t="str">
        <f aca="false">K1351&amp;J1351</f>
        <v>Zona11REDES</v>
      </c>
      <c r="BM1351" s="152" t="s">
        <v>6084</v>
      </c>
      <c r="BN1351" s="152" t="s">
        <v>1560</v>
      </c>
      <c r="BO1351" s="152" t="s">
        <v>6516</v>
      </c>
      <c r="BP1351" s="152" t="s">
        <v>6635</v>
      </c>
      <c r="BQ1351" s="152" t="s">
        <v>6648</v>
      </c>
      <c r="BR1351" s="152" t="s">
        <v>6656</v>
      </c>
      <c r="BS1351" s="152" t="n">
        <v>204221.898</v>
      </c>
      <c r="BT1351" s="152" t="n">
        <v>8236133.077</v>
      </c>
      <c r="BU1351" s="152" t="n">
        <v>204230.969</v>
      </c>
      <c r="BV1351" s="152" t="n">
        <v>8236099.501</v>
      </c>
      <c r="BW1351" s="152" t="n">
        <v>-15.93662</v>
      </c>
      <c r="BX1351" s="152" t="n">
        <v>-47.76267</v>
      </c>
      <c r="BY1351" s="152" t="s">
        <v>6635</v>
      </c>
    </row>
    <row r="1352" customFormat="false" ht="13.8" hidden="false" customHeight="false" outlineLevel="0" collapsed="false">
      <c r="A1352" s="149" t="n">
        <f aca="false">IF(C1352&lt;&gt;"",ROW(A1347),"")</f>
        <v>1347</v>
      </c>
      <c r="B1352" s="150" t="str">
        <f aca="false">HYPERLINK("https://www.google.com/maps/dir/-15.917302,-47.760003/-15.9363549,-47.7659080/data=!4m3!4m2!3e0!5i2")</f>
        <v>https://www.google.com/maps/dir/-15.917302,-47.760003/-15.9363549,-47.7659080/data=!4m3!4m2!3e0!5i2</v>
      </c>
      <c r="C1352" s="151" t="s">
        <v>117</v>
      </c>
      <c r="D1352" s="152" t="s">
        <v>112</v>
      </c>
      <c r="E1352" s="152" t="s">
        <v>113</v>
      </c>
      <c r="F1352" s="152" t="s">
        <v>117</v>
      </c>
      <c r="G1352" s="152" t="s">
        <v>782</v>
      </c>
      <c r="H1352" s="152" t="n">
        <v>63</v>
      </c>
      <c r="I1352" s="152" t="s">
        <v>115</v>
      </c>
      <c r="J1352" s="152" t="s">
        <v>6</v>
      </c>
      <c r="K1352" s="152" t="s">
        <v>6081</v>
      </c>
      <c r="L1352" s="152" t="s">
        <v>120</v>
      </c>
      <c r="M1352" s="153" t="n">
        <f aca="false">60.22</f>
        <v>60.22</v>
      </c>
      <c r="N1352" s="152" t="s">
        <v>1548</v>
      </c>
      <c r="O1352" s="152" t="s">
        <v>1549</v>
      </c>
      <c r="P1352" s="152" t="s">
        <v>1550</v>
      </c>
      <c r="Q1352" s="152" t="s">
        <v>1551</v>
      </c>
      <c r="R1352" s="154" t="s">
        <v>6657</v>
      </c>
      <c r="S1352" s="154" t="s">
        <v>1553</v>
      </c>
      <c r="T1352" s="155" t="s">
        <v>6514</v>
      </c>
      <c r="U1352" s="152" t="str">
        <f aca="false">RIGHT(T1352,7)</f>
        <v>024/037</v>
      </c>
      <c r="V1352" s="152" t="s">
        <v>1555</v>
      </c>
      <c r="W1352" s="156" t="n">
        <v>45882</v>
      </c>
      <c r="X1352" s="152" t="s">
        <v>1594</v>
      </c>
      <c r="Y1352" s="152" t="s">
        <v>3251</v>
      </c>
      <c r="Z1352" s="152" t="s">
        <v>1557</v>
      </c>
      <c r="AA1352" s="153" t="n">
        <v>5.5</v>
      </c>
      <c r="AB1352" s="151" t="s">
        <v>6658</v>
      </c>
      <c r="AC1352" s="151" t="s">
        <v>186</v>
      </c>
      <c r="AD1352" s="151" t="str">
        <f aca="false">CONCATENATE($C1352,$I1352,$H1352,$N1352,$J1352,$K1352)</f>
        <v>TUBO PEADPEAD63VCAREDESZona11</v>
      </c>
      <c r="AE1352" s="153" t="n">
        <f aca="false">IFERROR(INDEX(APOIO_REDES!$A:$W,MATCH($C1352&amp;$I1352&amp;$H1352&amp;$N1352&amp;$O1352,APOIO_REDES!$W:$W,0),MATCH(AE$5,APOIO_REDES!$5:$5,0)),0)</f>
        <v>1.2</v>
      </c>
      <c r="AF1352" s="153" t="n">
        <f aca="false">IFERROR(INDEX(APOIO_REDES!$A:$W,MATCH($C1352&amp;$I1352&amp;$H1352&amp;$N1352&amp;$O1352,APOIO_REDES!$W:$W,0),MATCH(AF$5,APOIO_REDES!$5:$5,0)),0)</f>
        <v>1.363</v>
      </c>
      <c r="AG1352" s="153" t="n">
        <f aca="false">IFERROR(INDEX(APOIO_REDES!$A:$W,MATCH($C1352&amp;$I1352&amp;$H1352&amp;$N1352&amp;$O1352,APOIO_REDES!$W:$W,0),MATCH(AG$5,APOIO_REDES!$5:$5,0)),0)</f>
        <v>0.65</v>
      </c>
      <c r="AH1352" s="153" t="n">
        <f aca="false">IFERROR(INDEX(APOIO_REDES!$A:$W,MATCH($C1352&amp;$I1352&amp;$H1352&amp;$N1352&amp;$O1352,APOIO_REDES!$W:$W,0),MATCH(AH$5,APOIO_REDES!$5:$5,0)),0)</f>
        <v>0.1</v>
      </c>
      <c r="AI1352" s="153" t="n">
        <f aca="false">IFERROR(IF($H1352&lt;&gt;"",(((($H1352/1000)/2)^2)*PI()*$M1352),0),0)</f>
        <v>0.187720512599784</v>
      </c>
      <c r="AJ1352" s="153" t="n">
        <f aca="false">IFERROR(IF(AND($H1352&lt;&gt;"",$I1352="FoFo",OR($N1352="MND",$N1352="VCA"),$Q1352="LINEAR"),0,IF(AND($H1352&lt;&gt;"",$I1352="PEAD",$N1352="VCA",$Q1352="LINEAR"),($H1352/1000)+0.3,IF(AND($H1352&lt;&gt;"",$I1352="PEAD",$N1352="MND",$Q1352="EMBOQUE"),0,IF(AND($H1352&lt;&gt;"",$I1352="PVC",$N1352="VCA",$Q1352="LINEAR"),($H1352/1000)+0.2,IF(AND($H1352&lt;&gt;"",$I1352="PVC",$N1352="MND",$Q1352="EMBOQUE"),0,IF(AND($H1352&lt;&gt;"",$I1352="PEAD",$N1352="VCA",$Q1352="PREDIAL"),0,0)))))),0)</f>
        <v>0.363</v>
      </c>
      <c r="AK1352" s="153" t="n">
        <f aca="false">IF(AA1352&lt;&gt;"",AA1352,0)</f>
        <v>5.5</v>
      </c>
      <c r="AL1352" s="153" t="n">
        <f aca="false">IF(AND($N1352="MND",$Q1352="EMBOQUE"),$M1352,IF(AND($N1352="VCA",$Q1352="LINEAR"),$M1352,IF(AND($N1352="VCA",$Q1352="PREDIAL"),0,0)))</f>
        <v>60.22</v>
      </c>
      <c r="AM1352" s="153" t="n">
        <f aca="false">IF(AND($N1352="MND",$Q1352="EMBOQUE"),$M1352,IF(AND($N1352="VCA",$Q1352="LINEAR"),$M1352,IF(AND($N1352="VCA",$Q1352="PREDIAL"),0,0)))</f>
        <v>60.22</v>
      </c>
      <c r="AN1352" s="153" t="n">
        <f aca="false">ROUND(IF(AND($N1352="VCA",$M1352&lt;&gt;"",$Q1352="LINEAR"),$M1352/100,IF(AND($N1352="MND",$M1352&gt;100,$Q1352="EMBOQUE"),$M1352/100,0)),0)</f>
        <v>1</v>
      </c>
      <c r="AO1352" s="153" t="n">
        <f aca="false">IF(AND($N1352="MND",$Q1352="EMBOQUE"),$AN1352*2*2,IF(AND($N1352="VCA",$Q1352="LINEAR"),$M1352*2,IF(AND($N1352="VCA",$Q1352="PREDIAL"),0,0)))</f>
        <v>120.44</v>
      </c>
      <c r="AP1352" s="153" t="n">
        <f aca="false">IFERROR($M1352*$AF1352*$AG1352,0)</f>
        <v>53.351909</v>
      </c>
      <c r="AQ1352" s="153" t="n">
        <f aca="false">IFERROR(IF(AND($N1352="VCA",$AH1352&gt;0),$M1352*$AG1352*$AH1352,0),0)</f>
        <v>3.9143</v>
      </c>
      <c r="AR1352" s="153" t="n">
        <f aca="false">IFERROR(IF(AND($N1352="VCA",$AJ1352&gt;0),($M1352*$AG1352*$AJ1352)-$AI1352,0),0)</f>
        <v>14.0211884874002</v>
      </c>
      <c r="AS1352" s="153" t="n">
        <f aca="false">IFERROR(IF(AND($N1352="VCA",$AP1352&gt;0),$AP1352-$AI1352-$AQ1352-$AR1352,0),0)</f>
        <v>35.2287</v>
      </c>
      <c r="AT1352" s="153" t="n">
        <f aca="false">IFERROR(IF($N1352="VCA",INDEX(APOIO_REDES!$A:$W,MATCH($C1352&amp;$I1352&amp;$H1352&amp;$N1352&amp;$O1352,APOIO_REDES!$W:$W,0),MATCH(AT$5,APOIO_REDES!$5:$5,0)),0)*$AP1352,0)</f>
        <v>0.580484561278996</v>
      </c>
      <c r="AU1352" s="153" t="n">
        <f aca="false">IFERROR(IF($N1352="VCA",INDEX(APOIO_REDES!$A:$W,MATCH($C1352&amp;$I1352&amp;$H1352&amp;$N1352&amp;$O1352,APOIO_REDES!$W:$W,0),MATCH(AU$5,APOIO_REDES!$5:$5,0)),0)*$AP1352,0)</f>
        <v>0.463559249121676</v>
      </c>
      <c r="AV1352" s="153" t="n">
        <f aca="false">IFERROR(IF($N1352="VCA",INDEX(APOIO_REDES!$A:$W,MATCH($C1352&amp;$I1352&amp;$H1352&amp;$N1352&amp;$O1352,APOIO_REDES!$W:$W,0),MATCH(AV$5,APOIO_REDES!$5:$5,0)),0)*$AP1352,0)</f>
        <v>0.0641529609956529</v>
      </c>
      <c r="AW1352" s="153" t="n">
        <f aca="false">IFERROR(IF($N1352="VCA",INDEX(APOIO_REDES!$A:$W,MATCH($C1352&amp;$I1352&amp;$H1352&amp;$N1352&amp;$O1352,APOIO_REDES!$W:$W,0),MATCH(AW$5,APOIO_REDES!$5:$5,0)),0)*$AP1352,0)</f>
        <v>36.6211637283634</v>
      </c>
      <c r="AX1352" s="153" t="n">
        <f aca="false">IFERROR(IF($N1352="VCA",INDEX(APOIO_REDES!$A:$W,MATCH($C1352&amp;$I1352&amp;$H1352&amp;$N1352&amp;$O1352,APOIO_REDES!$W:$W,0),MATCH(AX$5,APOIO_REDES!$5:$5,0)),0)*$AP1352,0)</f>
        <v>5.068264742646</v>
      </c>
      <c r="AY1352" s="153" t="n">
        <f aca="false">IFERROR(IF($N1352="VCA",INDEX(APOIO_REDES!$A:$W,MATCH($C1352&amp;$I1352&amp;$H1352&amp;$N1352&amp;$O1352,APOIO_REDES!$W:$W,0),MATCH(AY$5,APOIO_REDES!$5:$5,0)),0)*$AP1352,0)</f>
        <v>9.27117933168385</v>
      </c>
      <c r="AZ1352" s="153" t="n">
        <f aca="false">IFERROR(IF($N1352="VCA",INDEX(APOIO_REDES!$A:$W,MATCH($C1352&amp;$I1352&amp;$H1352&amp;$N1352&amp;$O1352,APOIO_REDES!$W:$W,0),MATCH(AZ$5,APOIO_REDES!$5:$5,0)),0)*$AP1352,0)</f>
        <v>1.28310442591041</v>
      </c>
      <c r="BA1352" s="153" t="n">
        <f aca="false">IFERROR(IF(AND($N1352="VCA",$Q1352="LINEAR"),INDEX(APOIO_REDES!$A:$W,MATCH($C1352&amp;$I1352&amp;$H1352&amp;$N1352&amp;$O1352,APOIO_REDES!$W:$W,0),MATCH(BA$5,APOIO_REDES!$5:$5,0)),IF(AND($N1352="MND",$Q1352="EMBOQUE"),INDEX(APOIO_REDES!$A:$W,MATCH($C1352&amp;$I1352&amp;$H1352&amp;$N1352&amp;$O1352,APOIO_REDES!$W:$W,0),MATCH(BA$5,APOIO_REDES!$5:$5,0)),0))*$M1352/10,0)</f>
        <v>4.85358009985437</v>
      </c>
      <c r="BB1352" s="153" t="n">
        <f aca="false">IFERROR(IF($N1352="VCA",INDEX(APOIO_REDES!$A:$W,MATCH($C1352&amp;$I1352&amp;$H1352&amp;$N1352&amp;$O1352,APOIO_REDES!$W:$W,0),MATCH(BB$5,APOIO_REDES!$5:$5,0)),0)*($AI1352+$AQ1352+$AR1352),0)</f>
        <v>17.926023121884</v>
      </c>
      <c r="BC1352" s="153" t="n">
        <f aca="false">IFERROR(IF($N1352="VCA",INDEX(APOIO_REDES!$A:$W,MATCH($C1352&amp;$I1352&amp;$H1352&amp;$N1352&amp;$O1352,APOIO_REDES!$W:$W,0),MATCH(BC$5,APOIO_REDES!$5:$5,0)),0)*($AI1352+$AQ1352+$AR1352),0)</f>
        <v>0.197185878116049</v>
      </c>
      <c r="BD1352" s="153" t="n">
        <f aca="false">IF(AND($N1352="VCA",$AF1352&gt;=1.25,$AF1352&lt;1.5),$M1352*$AF1352*2,0)</f>
        <v>164.15972</v>
      </c>
      <c r="BE1352" s="153" t="n">
        <f aca="false">IF(AND($N1352="VCA",$AF1352&gt;=1.5,$AF1352&lt;3),$M1352*$AF1352*2,0)</f>
        <v>0</v>
      </c>
      <c r="BF1352" s="153" t="n">
        <f aca="false">IF(AND($N1352="VCA",$AF1352&gt;=3),$M1352*$AF1352*2,0)</f>
        <v>0</v>
      </c>
      <c r="BG1352" s="153" t="n">
        <f aca="false">($BB1352+$BC1352)*$AK1352</f>
        <v>99.6776495</v>
      </c>
      <c r="BH1352" s="153" t="n">
        <f aca="false">IF(AND($M1352&lt;&gt;"",$N1352="VCA",$Q1352="LINEAR"),($M1352*2)/100,IF(AND($M1352&lt;&gt;"",$N1352="MND",$Q1352="EMBOQUE"),($AN1352*2)/100,0))</f>
        <v>1.2044</v>
      </c>
      <c r="BI1352" s="153" t="n">
        <f aca="false">IF(AND($M1352&lt;&gt;"",$N1352="VCA",$Q1352="LINEAR"),$M1352,IF(AND($M1352&lt;&gt;"",$N1352="MND",$Q1352="EMBOQUE"),$AN1352*2,0))</f>
        <v>60.22</v>
      </c>
      <c r="BJ1352" s="153" t="n">
        <f aca="false">IF(AND($M1352&lt;&gt;"",$N1352="VCA",$Q1352="LINEAR"),($M1352*6.8)/100,IF(AND($M1352&lt;&gt;"",$N1352="MND",$Q1352="EMBOQUE"),($AN1352*2*6.8)/100,0))</f>
        <v>4.09496</v>
      </c>
      <c r="BK1352" s="153" t="n">
        <f aca="false">IF(AND($M1352&lt;&gt;"",$N1352="VCA",$Q1352="LINEAR"),($M1352*2.5)/50,IF(AND($M1352&lt;&gt;"",$N1352="MND",$Q1352="EMBOQUE"),($AN1352*2*2.5)/50,0))</f>
        <v>3.011</v>
      </c>
      <c r="BL1352" s="157" t="str">
        <f aca="false">K1352&amp;J1352</f>
        <v>Zona11REDES</v>
      </c>
      <c r="BM1352" s="152" t="s">
        <v>6084</v>
      </c>
      <c r="BN1352" s="152" t="s">
        <v>1560</v>
      </c>
      <c r="BO1352" s="152" t="s">
        <v>6516</v>
      </c>
      <c r="BP1352" s="152" t="s">
        <v>6403</v>
      </c>
      <c r="BQ1352" s="152" t="s">
        <v>6659</v>
      </c>
      <c r="BR1352" s="152" t="s">
        <v>6660</v>
      </c>
      <c r="BS1352" s="152" t="n">
        <v>203879.315</v>
      </c>
      <c r="BT1352" s="152" t="n">
        <v>8236141.084</v>
      </c>
      <c r="BU1352" s="152" t="n">
        <v>203893.443</v>
      </c>
      <c r="BV1352" s="152" t="n">
        <v>8236082.54</v>
      </c>
      <c r="BW1352" s="152" t="n">
        <v>-15.9366199</v>
      </c>
      <c r="BX1352" s="152" t="n">
        <v>-47.765845</v>
      </c>
      <c r="BY1352" s="152" t="s">
        <v>6403</v>
      </c>
    </row>
    <row r="1353" customFormat="false" ht="13.8" hidden="false" customHeight="false" outlineLevel="0" collapsed="false">
      <c r="A1353" s="149" t="n">
        <f aca="false">IF(C1353&lt;&gt;"",ROW(A1348),"")</f>
        <v>1348</v>
      </c>
      <c r="B1353" s="150" t="str">
        <f aca="false">HYPERLINK("https://www.google.com/maps/dir/-15.917302,-47.760003/-15.9370589,-47.7608886/data=!4m3!4m2!3e0!5i1")</f>
        <v>https://www.google.com/maps/dir/-15.917302,-47.760003/-15.9370589,-47.7608886/data=!4m3!4m2!3e0!5i1</v>
      </c>
      <c r="C1353" s="151" t="s">
        <v>117</v>
      </c>
      <c r="D1353" s="152" t="s">
        <v>112</v>
      </c>
      <c r="E1353" s="152" t="s">
        <v>113</v>
      </c>
      <c r="F1353" s="152" t="s">
        <v>117</v>
      </c>
      <c r="G1353" s="152" t="s">
        <v>782</v>
      </c>
      <c r="H1353" s="152" t="n">
        <v>90</v>
      </c>
      <c r="I1353" s="152" t="s">
        <v>115</v>
      </c>
      <c r="J1353" s="152" t="s">
        <v>6</v>
      </c>
      <c r="K1353" s="152" t="s">
        <v>6081</v>
      </c>
      <c r="L1353" s="152" t="s">
        <v>120</v>
      </c>
      <c r="M1353" s="153" t="n">
        <f aca="false">38.21</f>
        <v>38.21</v>
      </c>
      <c r="N1353" s="152" t="s">
        <v>1548</v>
      </c>
      <c r="O1353" s="152" t="s">
        <v>1549</v>
      </c>
      <c r="P1353" s="152" t="s">
        <v>1550</v>
      </c>
      <c r="Q1353" s="152" t="s">
        <v>1551</v>
      </c>
      <c r="R1353" s="154" t="s">
        <v>6661</v>
      </c>
      <c r="S1353" s="154" t="s">
        <v>1593</v>
      </c>
      <c r="T1353" s="155" t="s">
        <v>6514</v>
      </c>
      <c r="U1353" s="152" t="str">
        <f aca="false">RIGHT(T1353,7)</f>
        <v>024/037</v>
      </c>
      <c r="V1353" s="152" t="s">
        <v>1555</v>
      </c>
      <c r="W1353" s="156" t="n">
        <v>45882</v>
      </c>
      <c r="X1353" s="152" t="s">
        <v>3938</v>
      </c>
      <c r="Y1353" s="152" t="s">
        <v>1956</v>
      </c>
      <c r="Z1353" s="152" t="s">
        <v>1557</v>
      </c>
      <c r="AA1353" s="153" t="n">
        <v>4.7</v>
      </c>
      <c r="AB1353" s="151" t="s">
        <v>6662</v>
      </c>
      <c r="AC1353" s="151" t="s">
        <v>526</v>
      </c>
      <c r="AD1353" s="151" t="str">
        <f aca="false">CONCATENATE($C1353,$I1353,$H1353,$N1353,$J1353,$K1353)</f>
        <v>TUBO PEADPEAD90VCAREDESZona11</v>
      </c>
      <c r="AE1353" s="153" t="n">
        <f aca="false">IFERROR(INDEX(APOIO_REDES!$A:$W,MATCH($C1353&amp;$I1353&amp;$H1353&amp;$N1353&amp;$O1353,APOIO_REDES!$W:$W,0),MATCH(AE$5,APOIO_REDES!$5:$5,0)),0)</f>
        <v>1.2</v>
      </c>
      <c r="AF1353" s="153" t="n">
        <f aca="false">IFERROR(INDEX(APOIO_REDES!$A:$W,MATCH($C1353&amp;$I1353&amp;$H1353&amp;$N1353&amp;$O1353,APOIO_REDES!$W:$W,0),MATCH(AF$5,APOIO_REDES!$5:$5,0)),0)</f>
        <v>1.39</v>
      </c>
      <c r="AG1353" s="153" t="n">
        <f aca="false">IFERROR(INDEX(APOIO_REDES!$A:$W,MATCH($C1353&amp;$I1353&amp;$H1353&amp;$N1353&amp;$O1353,APOIO_REDES!$W:$W,0),MATCH(AG$5,APOIO_REDES!$5:$5,0)),0)</f>
        <v>0.75</v>
      </c>
      <c r="AH1353" s="153" t="n">
        <f aca="false">IFERROR(INDEX(APOIO_REDES!$A:$W,MATCH($C1353&amp;$I1353&amp;$H1353&amp;$N1353&amp;$O1353,APOIO_REDES!$W:$W,0),MATCH(AH$5,APOIO_REDES!$5:$5,0)),0)</f>
        <v>0.1</v>
      </c>
      <c r="AI1353" s="153" t="n">
        <f aca="false">IFERROR(IF($H1353&lt;&gt;"",(((($H1353/1000)/2)^2)*PI()*$M1353),0),0)</f>
        <v>0.243081516969674</v>
      </c>
      <c r="AJ1353" s="153" t="n">
        <f aca="false">IFERROR(IF(AND($H1353&lt;&gt;"",$I1353="FoFo",OR($N1353="MND",$N1353="VCA"),$Q1353="LINEAR"),0,IF(AND($H1353&lt;&gt;"",$I1353="PEAD",$N1353="VCA",$Q1353="LINEAR"),($H1353/1000)+0.3,IF(AND($H1353&lt;&gt;"",$I1353="PEAD",$N1353="MND",$Q1353="EMBOQUE"),0,IF(AND($H1353&lt;&gt;"",$I1353="PVC",$N1353="VCA",$Q1353="LINEAR"),($H1353/1000)+0.2,IF(AND($H1353&lt;&gt;"",$I1353="PVC",$N1353="MND",$Q1353="EMBOQUE"),0,IF(AND($H1353&lt;&gt;"",$I1353="PEAD",$N1353="VCA",$Q1353="PREDIAL"),0,0)))))),0)</f>
        <v>0.39</v>
      </c>
      <c r="AK1353" s="153" t="n">
        <f aca="false">IF(AA1353&lt;&gt;"",AA1353,0)</f>
        <v>4.7</v>
      </c>
      <c r="AL1353" s="153" t="n">
        <f aca="false">IF(AND($N1353="MND",$Q1353="EMBOQUE"),$M1353,IF(AND($N1353="VCA",$Q1353="LINEAR"),$M1353,IF(AND($N1353="VCA",$Q1353="PREDIAL"),0,0)))</f>
        <v>38.21</v>
      </c>
      <c r="AM1353" s="153" t="n">
        <f aca="false">IF(AND($N1353="MND",$Q1353="EMBOQUE"),$M1353,IF(AND($N1353="VCA",$Q1353="LINEAR"),$M1353,IF(AND($N1353="VCA",$Q1353="PREDIAL"),0,0)))</f>
        <v>38.21</v>
      </c>
      <c r="AN1353" s="153" t="n">
        <f aca="false">ROUND(IF(AND($N1353="VCA",$M1353&lt;&gt;"",$Q1353="LINEAR"),$M1353/100,IF(AND($N1353="MND",$M1353&gt;100,$Q1353="EMBOQUE"),$M1353/100,0)),0)</f>
        <v>0</v>
      </c>
      <c r="AO1353" s="153" t="n">
        <f aca="false">IF(AND($N1353="MND",$Q1353="EMBOQUE"),$AN1353*2*2,IF(AND($N1353="VCA",$Q1353="LINEAR"),$M1353*2,IF(AND($N1353="VCA",$Q1353="PREDIAL"),0,0)))</f>
        <v>76.42</v>
      </c>
      <c r="AP1353" s="153" t="n">
        <f aca="false">IFERROR($M1353*$AF1353*$AG1353,0)</f>
        <v>39.833925</v>
      </c>
      <c r="AQ1353" s="153" t="n">
        <f aca="false">IFERROR(IF(AND($N1353="VCA",$AH1353&gt;0),$M1353*$AG1353*$AH1353,0),0)</f>
        <v>2.86575</v>
      </c>
      <c r="AR1353" s="153" t="n">
        <f aca="false">IFERROR(IF(AND($N1353="VCA",$AJ1353&gt;0),($M1353*$AG1353*$AJ1353)-$AI1353,0),0)</f>
        <v>10.9333434830303</v>
      </c>
      <c r="AS1353" s="153" t="n">
        <f aca="false">IFERROR(IF(AND($N1353="VCA",$AP1353&gt;0),$AP1353-$AI1353-$AQ1353-$AR1353,0),0)</f>
        <v>25.79175</v>
      </c>
      <c r="AT1353" s="153" t="n">
        <f aca="false">IFERROR(IF($N1353="VCA",INDEX(APOIO_REDES!$A:$W,MATCH($C1353&amp;$I1353&amp;$H1353&amp;$N1353&amp;$O1353,APOIO_REDES!$W:$W,0),MATCH(AT$5,APOIO_REDES!$5:$5,0)),0)*$AP1353,0)</f>
        <v>0.433404894239969</v>
      </c>
      <c r="AU1353" s="153" t="n">
        <f aca="false">IFERROR(IF($N1353="VCA",INDEX(APOIO_REDES!$A:$W,MATCH($C1353&amp;$I1353&amp;$H1353&amp;$N1353&amp;$O1353,APOIO_REDES!$W:$W,0),MATCH(AU$5,APOIO_REDES!$5:$5,0)),0)*$AP1353,0)</f>
        <v>0.346105410446872</v>
      </c>
      <c r="AV1353" s="153" t="n">
        <f aca="false">IFERROR(IF($N1353="VCA",INDEX(APOIO_REDES!$A:$W,MATCH($C1353&amp;$I1353&amp;$H1353&amp;$N1353&amp;$O1353,APOIO_REDES!$W:$W,0),MATCH(AV$5,APOIO_REDES!$5:$5,0)),0)*$AP1353,0)</f>
        <v>0.0478982717718454</v>
      </c>
      <c r="AW1353" s="153" t="n">
        <f aca="false">IFERROR(IF($N1353="VCA",INDEX(APOIO_REDES!$A:$W,MATCH($C1353&amp;$I1353&amp;$H1353&amp;$N1353&amp;$O1353,APOIO_REDES!$W:$W,0),MATCH(AW$5,APOIO_REDES!$5:$5,0)),0)*$AP1353,0)</f>
        <v>27.3423147683122</v>
      </c>
      <c r="AX1353" s="153" t="n">
        <f aca="false">IFERROR(IF($N1353="VCA",INDEX(APOIO_REDES!$A:$W,MATCH($C1353&amp;$I1353&amp;$H1353&amp;$N1353&amp;$O1353,APOIO_REDES!$W:$W,0),MATCH(AX$5,APOIO_REDES!$5:$5,0)),0)*$AP1353,0)</f>
        <v>3.78409847787649</v>
      </c>
      <c r="AY1353" s="153" t="n">
        <f aca="false">IFERROR(IF($N1353="VCA",INDEX(APOIO_REDES!$A:$W,MATCH($C1353&amp;$I1353&amp;$H1353&amp;$N1353&amp;$O1353,APOIO_REDES!$W:$W,0),MATCH(AY$5,APOIO_REDES!$5:$5,0)),0)*$AP1353,0)</f>
        <v>6.92210398994054</v>
      </c>
      <c r="AZ1353" s="153" t="n">
        <f aca="false">IFERROR(IF($N1353="VCA",INDEX(APOIO_REDES!$A:$W,MATCH($C1353&amp;$I1353&amp;$H1353&amp;$N1353&amp;$O1353,APOIO_REDES!$W:$W,0),MATCH(AZ$5,APOIO_REDES!$5:$5,0)),0)*$AP1353,0)</f>
        <v>0.957999187412084</v>
      </c>
      <c r="BA1353" s="153" t="n">
        <f aca="false">IFERROR(IF(AND($N1353="VCA",$Q1353="LINEAR"),INDEX(APOIO_REDES!$A:$W,MATCH($C1353&amp;$I1353&amp;$H1353&amp;$N1353&amp;$O1353,APOIO_REDES!$W:$W,0),MATCH(BA$5,APOIO_REDES!$5:$5,0)),IF(AND($N1353="MND",$Q1353="EMBOQUE"),INDEX(APOIO_REDES!$A:$W,MATCH($C1353&amp;$I1353&amp;$H1353&amp;$N1353&amp;$O1353,APOIO_REDES!$W:$W,0),MATCH(BA$5,APOIO_REDES!$5:$5,0)),0))*$M1353/10,0)</f>
        <v>3.0796296183234</v>
      </c>
      <c r="BB1353" s="153" t="n">
        <f aca="false">IFERROR(IF($N1353="VCA",INDEX(APOIO_REDES!$A:$W,MATCH($C1353&amp;$I1353&amp;$H1353&amp;$N1353&amp;$O1353,APOIO_REDES!$W:$W,0),MATCH(BB$5,APOIO_REDES!$5:$5,0)),0)*($AI1353+$AQ1353+$AR1353),0)</f>
        <v>13.8893919797284</v>
      </c>
      <c r="BC1353" s="153" t="n">
        <f aca="false">IFERROR(IF($N1353="VCA",INDEX(APOIO_REDES!$A:$W,MATCH($C1353&amp;$I1353&amp;$H1353&amp;$N1353&amp;$O1353,APOIO_REDES!$W:$W,0),MATCH(BC$5,APOIO_REDES!$5:$5,0)),0)*($AI1353+$AQ1353+$AR1353),0)</f>
        <v>0.152783020271644</v>
      </c>
      <c r="BD1353" s="153" t="n">
        <f aca="false">IF(AND($N1353="VCA",$AF1353&gt;=1.25,$AF1353&lt;1.5),$M1353*$AF1353*2,0)</f>
        <v>106.2238</v>
      </c>
      <c r="BE1353" s="153" t="n">
        <f aca="false">IF(AND($N1353="VCA",$AF1353&gt;=1.5,$AF1353&lt;3),$M1353*$AF1353*2,0)</f>
        <v>0</v>
      </c>
      <c r="BF1353" s="153" t="n">
        <f aca="false">IF(AND($N1353="VCA",$AF1353&gt;=3),$M1353*$AF1353*2,0)</f>
        <v>0</v>
      </c>
      <c r="BG1353" s="153" t="n">
        <f aca="false">($BB1353+$BC1353)*$AK1353</f>
        <v>65.9982225</v>
      </c>
      <c r="BH1353" s="153" t="n">
        <f aca="false">IF(AND($M1353&lt;&gt;"",$N1353="VCA",$Q1353="LINEAR"),($M1353*2)/100,IF(AND($M1353&lt;&gt;"",$N1353="MND",$Q1353="EMBOQUE"),($AN1353*2)/100,0))</f>
        <v>0.7642</v>
      </c>
      <c r="BI1353" s="153" t="n">
        <f aca="false">IF(AND($M1353&lt;&gt;"",$N1353="VCA",$Q1353="LINEAR"),$M1353,IF(AND($M1353&lt;&gt;"",$N1353="MND",$Q1353="EMBOQUE"),$AN1353*2,0))</f>
        <v>38.21</v>
      </c>
      <c r="BJ1353" s="153" t="n">
        <f aca="false">IF(AND($M1353&lt;&gt;"",$N1353="VCA",$Q1353="LINEAR"),($M1353*6.8)/100,IF(AND($M1353&lt;&gt;"",$N1353="MND",$Q1353="EMBOQUE"),($AN1353*2*6.8)/100,0))</f>
        <v>2.59828</v>
      </c>
      <c r="BK1353" s="153" t="n">
        <f aca="false">IF(AND($M1353&lt;&gt;"",$N1353="VCA",$Q1353="LINEAR"),($M1353*2.5)/50,IF(AND($M1353&lt;&gt;"",$N1353="MND",$Q1353="EMBOQUE"),($AN1353*2*2.5)/50,0))</f>
        <v>1.9105</v>
      </c>
      <c r="BL1353" s="157" t="str">
        <f aca="false">K1353&amp;J1353</f>
        <v>Zona11REDES</v>
      </c>
      <c r="BM1353" s="152" t="s">
        <v>6084</v>
      </c>
      <c r="BN1353" s="152" t="s">
        <v>1560</v>
      </c>
      <c r="BO1353" s="152" t="s">
        <v>6516</v>
      </c>
      <c r="BP1353" s="152" t="s">
        <v>6663</v>
      </c>
      <c r="BQ1353" s="152" t="s">
        <v>6645</v>
      </c>
      <c r="BR1353" s="152" t="s">
        <v>6625</v>
      </c>
      <c r="BS1353" s="152" t="n">
        <v>204418.361</v>
      </c>
      <c r="BT1353" s="152" t="n">
        <v>8236070.333</v>
      </c>
      <c r="BU1353" s="152" t="n">
        <v>204409.585</v>
      </c>
      <c r="BV1353" s="152" t="n">
        <v>8236107.519</v>
      </c>
      <c r="BW1353" s="152" t="n">
        <v>-15.93689</v>
      </c>
      <c r="BX1353" s="152" t="n">
        <v>-47.7609252</v>
      </c>
      <c r="BY1353" s="152" t="s">
        <v>6663</v>
      </c>
    </row>
    <row r="1354" customFormat="false" ht="13.8" hidden="false" customHeight="false" outlineLevel="0" collapsed="false">
      <c r="A1354" s="149" t="n">
        <f aca="false">IF(C1354&lt;&gt;"",ROW(A1349),"")</f>
        <v>1349</v>
      </c>
      <c r="B1354" s="150" t="str">
        <f aca="false">HYPERLINK("https://www.google.com/maps/dir/-15.917302,-47.760003/-15.9371100,-47.7625464/data=!4m3!4m2!3e0!5i1")</f>
        <v>https://www.google.com/maps/dir/-15.917302,-47.760003/-15.9371100,-47.7625464/data=!4m3!4m2!3e0!5i1</v>
      </c>
      <c r="C1354" s="151" t="s">
        <v>117</v>
      </c>
      <c r="D1354" s="152" t="s">
        <v>112</v>
      </c>
      <c r="E1354" s="152" t="s">
        <v>113</v>
      </c>
      <c r="F1354" s="152" t="s">
        <v>117</v>
      </c>
      <c r="G1354" s="152" t="s">
        <v>782</v>
      </c>
      <c r="H1354" s="152" t="n">
        <v>63</v>
      </c>
      <c r="I1354" s="152" t="s">
        <v>115</v>
      </c>
      <c r="J1354" s="152" t="s">
        <v>6</v>
      </c>
      <c r="K1354" s="152" t="s">
        <v>6081</v>
      </c>
      <c r="L1354" s="152" t="s">
        <v>120</v>
      </c>
      <c r="M1354" s="153" t="n">
        <f aca="false">174.48+0.5</f>
        <v>174.98</v>
      </c>
      <c r="N1354" s="152" t="s">
        <v>1548</v>
      </c>
      <c r="O1354" s="152" t="s">
        <v>1549</v>
      </c>
      <c r="P1354" s="152" t="s">
        <v>1550</v>
      </c>
      <c r="Q1354" s="152" t="s">
        <v>1551</v>
      </c>
      <c r="R1354" s="154" t="s">
        <v>6664</v>
      </c>
      <c r="S1354" s="154" t="s">
        <v>1553</v>
      </c>
      <c r="T1354" s="155" t="s">
        <v>6514</v>
      </c>
      <c r="U1354" s="152" t="str">
        <f aca="false">RIGHT(T1354,7)</f>
        <v>024/037</v>
      </c>
      <c r="V1354" s="152" t="s">
        <v>1555</v>
      </c>
      <c r="W1354" s="156" t="n">
        <v>45882</v>
      </c>
      <c r="X1354" s="152" t="s">
        <v>3938</v>
      </c>
      <c r="Y1354" s="152" t="s">
        <v>6234</v>
      </c>
      <c r="Z1354" s="152" t="s">
        <v>1557</v>
      </c>
      <c r="AA1354" s="153" t="n">
        <v>4.8</v>
      </c>
      <c r="AB1354" s="151" t="s">
        <v>6665</v>
      </c>
      <c r="AC1354" s="151" t="s">
        <v>186</v>
      </c>
      <c r="AD1354" s="151" t="str">
        <f aca="false">CONCATENATE($C1354,$I1354,$H1354,$N1354,$J1354,$K1354)</f>
        <v>TUBO PEADPEAD63VCAREDESZona11</v>
      </c>
      <c r="AE1354" s="153" t="n">
        <f aca="false">IFERROR(INDEX(APOIO_REDES!$A:$W,MATCH($C1354&amp;$I1354&amp;$H1354&amp;$N1354&amp;$O1354,APOIO_REDES!$W:$W,0),MATCH(AE$5,APOIO_REDES!$5:$5,0)),0)</f>
        <v>1.2</v>
      </c>
      <c r="AF1354" s="153" t="n">
        <f aca="false">IFERROR(INDEX(APOIO_REDES!$A:$W,MATCH($C1354&amp;$I1354&amp;$H1354&amp;$N1354&amp;$O1354,APOIO_REDES!$W:$W,0),MATCH(AF$5,APOIO_REDES!$5:$5,0)),0)</f>
        <v>1.363</v>
      </c>
      <c r="AG1354" s="153" t="n">
        <f aca="false">IFERROR(INDEX(APOIO_REDES!$A:$W,MATCH($C1354&amp;$I1354&amp;$H1354&amp;$N1354&amp;$O1354,APOIO_REDES!$W:$W,0),MATCH(AG$5,APOIO_REDES!$5:$5,0)),0)</f>
        <v>0.65</v>
      </c>
      <c r="AH1354" s="153" t="n">
        <f aca="false">IFERROR(INDEX(APOIO_REDES!$A:$W,MATCH($C1354&amp;$I1354&amp;$H1354&amp;$N1354&amp;$O1354,APOIO_REDES!$W:$W,0),MATCH(AH$5,APOIO_REDES!$5:$5,0)),0)</f>
        <v>0.1</v>
      </c>
      <c r="AI1354" s="153" t="n">
        <f aca="false">IFERROR(IF($H1354&lt;&gt;"",(((($H1354/1000)/2)^2)*PI()*$M1354),0),0)</f>
        <v>0.545455584435572</v>
      </c>
      <c r="AJ1354" s="153" t="n">
        <f aca="false">IFERROR(IF(AND($H1354&lt;&gt;"",$I1354="FoFo",OR($N1354="MND",$N1354="VCA"),$Q1354="LINEAR"),0,IF(AND($H1354&lt;&gt;"",$I1354="PEAD",$N1354="VCA",$Q1354="LINEAR"),($H1354/1000)+0.3,IF(AND($H1354&lt;&gt;"",$I1354="PEAD",$N1354="MND",$Q1354="EMBOQUE"),0,IF(AND($H1354&lt;&gt;"",$I1354="PVC",$N1354="VCA",$Q1354="LINEAR"),($H1354/1000)+0.2,IF(AND($H1354&lt;&gt;"",$I1354="PVC",$N1354="MND",$Q1354="EMBOQUE"),0,IF(AND($H1354&lt;&gt;"",$I1354="PEAD",$N1354="VCA",$Q1354="PREDIAL"),0,0)))))),0)</f>
        <v>0.363</v>
      </c>
      <c r="AK1354" s="153" t="n">
        <f aca="false">IF(AA1354&lt;&gt;"",AA1354,0)</f>
        <v>4.8</v>
      </c>
      <c r="AL1354" s="153" t="n">
        <f aca="false">IF(AND($N1354="MND",$Q1354="EMBOQUE"),$M1354,IF(AND($N1354="VCA",$Q1354="LINEAR"),$M1354,IF(AND($N1354="VCA",$Q1354="PREDIAL"),0,0)))</f>
        <v>174.98</v>
      </c>
      <c r="AM1354" s="153" t="n">
        <f aca="false">IF(AND($N1354="MND",$Q1354="EMBOQUE"),$M1354,IF(AND($N1354="VCA",$Q1354="LINEAR"),$M1354,IF(AND($N1354="VCA",$Q1354="PREDIAL"),0,0)))</f>
        <v>174.98</v>
      </c>
      <c r="AN1354" s="153" t="n">
        <f aca="false">ROUND(IF(AND($N1354="VCA",$M1354&lt;&gt;"",$Q1354="LINEAR"),$M1354/100,IF(AND($N1354="MND",$M1354&gt;100,$Q1354="EMBOQUE"),$M1354/100,0)),0)</f>
        <v>2</v>
      </c>
      <c r="AO1354" s="153" t="n">
        <f aca="false">IF(AND($N1354="MND",$Q1354="EMBOQUE"),$AN1354*2*2,IF(AND($N1354="VCA",$Q1354="LINEAR"),$M1354*2,IF(AND($N1354="VCA",$Q1354="PREDIAL"),0,0)))</f>
        <v>349.96</v>
      </c>
      <c r="AP1354" s="153" t="n">
        <f aca="false">IFERROR($M1354*$AF1354*$AG1354,0)</f>
        <v>155.023531</v>
      </c>
      <c r="AQ1354" s="153" t="n">
        <f aca="false">IFERROR(IF(AND($N1354="VCA",$AH1354&gt;0),$M1354*$AG1354*$AH1354,0),0)</f>
        <v>11.3737</v>
      </c>
      <c r="AR1354" s="153" t="n">
        <f aca="false">IFERROR(IF(AND($N1354="VCA",$AJ1354&gt;0),($M1354*$AG1354*$AJ1354)-$AI1354,0),0)</f>
        <v>40.7410754155644</v>
      </c>
      <c r="AS1354" s="153" t="n">
        <f aca="false">IFERROR(IF(AND($N1354="VCA",$AP1354&gt;0),$AP1354-$AI1354-$AQ1354-$AR1354,0),0)</f>
        <v>102.3633</v>
      </c>
      <c r="AT1354" s="153" t="n">
        <f aca="false">IFERROR(IF($N1354="VCA",INDEX(APOIO_REDES!$A:$W,MATCH($C1354&amp;$I1354&amp;$H1354&amp;$N1354&amp;$O1354,APOIO_REDES!$W:$W,0),MATCH(AT$5,APOIO_REDES!$5:$5,0)),0)*$AP1354,0)</f>
        <v>1.686701901903</v>
      </c>
      <c r="AU1354" s="153" t="n">
        <f aca="false">IFERROR(IF($N1354="VCA",INDEX(APOIO_REDES!$A:$W,MATCH($C1354&amp;$I1354&amp;$H1354&amp;$N1354&amp;$O1354,APOIO_REDES!$W:$W,0),MATCH(AU$5,APOIO_REDES!$5:$5,0)),0)*$AP1354,0)</f>
        <v>1.34695445717886</v>
      </c>
      <c r="AV1354" s="153" t="n">
        <f aca="false">IFERROR(IF($N1354="VCA",INDEX(APOIO_REDES!$A:$W,MATCH($C1354&amp;$I1354&amp;$H1354&amp;$N1354&amp;$O1354,APOIO_REDES!$W:$W,0),MATCH(AV$5,APOIO_REDES!$5:$5,0)),0)*$AP1354,0)</f>
        <v>0.186407922866479</v>
      </c>
      <c r="AW1354" s="153" t="n">
        <f aca="false">IFERROR(IF($N1354="VCA",INDEX(APOIO_REDES!$A:$W,MATCH($C1354&amp;$I1354&amp;$H1354&amp;$N1354&amp;$O1354,APOIO_REDES!$W:$W,0),MATCH(AW$5,APOIO_REDES!$5:$5,0)),0)*$AP1354,0)</f>
        <v>106.409352859333</v>
      </c>
      <c r="AX1354" s="153" t="n">
        <f aca="false">IFERROR(IF($N1354="VCA",INDEX(APOIO_REDES!$A:$W,MATCH($C1354&amp;$I1354&amp;$H1354&amp;$N1354&amp;$O1354,APOIO_REDES!$W:$W,0),MATCH(AX$5,APOIO_REDES!$5:$5,0)),0)*$AP1354,0)</f>
        <v>14.7267513229525</v>
      </c>
      <c r="AY1354" s="153" t="n">
        <f aca="false">IFERROR(IF($N1354="VCA",INDEX(APOIO_REDES!$A:$W,MATCH($C1354&amp;$I1354&amp;$H1354&amp;$N1354&amp;$O1354,APOIO_REDES!$W:$W,0),MATCH(AY$5,APOIO_REDES!$5:$5,0)),0)*$AP1354,0)</f>
        <v>26.9390727243115</v>
      </c>
      <c r="AZ1354" s="153" t="n">
        <f aca="false">IFERROR(IF($N1354="VCA",INDEX(APOIO_REDES!$A:$W,MATCH($C1354&amp;$I1354&amp;$H1354&amp;$N1354&amp;$O1354,APOIO_REDES!$W:$W,0),MATCH(AZ$5,APOIO_REDES!$5:$5,0)),0)*$AP1354,0)</f>
        <v>3.72828981145473</v>
      </c>
      <c r="BA1354" s="153" t="n">
        <f aca="false">IFERROR(IF(AND($N1354="VCA",$Q1354="LINEAR"),INDEX(APOIO_REDES!$A:$W,MATCH($C1354&amp;$I1354&amp;$H1354&amp;$N1354&amp;$O1354,APOIO_REDES!$W:$W,0),MATCH(BA$5,APOIO_REDES!$5:$5,0)),IF(AND($N1354="MND",$Q1354="EMBOQUE"),INDEX(APOIO_REDES!$A:$W,MATCH($C1354&amp;$I1354&amp;$H1354&amp;$N1354&amp;$O1354,APOIO_REDES!$W:$W,0),MATCH(BA$5,APOIO_REDES!$5:$5,0)),0))*$M1354/10,0)</f>
        <v>14.10294662691</v>
      </c>
      <c r="BB1354" s="153" t="n">
        <f aca="false">IFERROR(IF($N1354="VCA",INDEX(APOIO_REDES!$A:$W,MATCH($C1354&amp;$I1354&amp;$H1354&amp;$N1354&amp;$O1354,APOIO_REDES!$W:$W,0),MATCH(BB$5,APOIO_REDES!$5:$5,0)),0)*($AI1354+$AQ1354+$AR1354),0)</f>
        <v>52.0872721000872</v>
      </c>
      <c r="BC1354" s="153" t="n">
        <f aca="false">IFERROR(IF($N1354="VCA",INDEX(APOIO_REDES!$A:$W,MATCH($C1354&amp;$I1354&amp;$H1354&amp;$N1354&amp;$O1354,APOIO_REDES!$W:$W,0),MATCH(BC$5,APOIO_REDES!$5:$5,0)),0)*($AI1354+$AQ1354+$AR1354),0)</f>
        <v>0.572958899912758</v>
      </c>
      <c r="BD1354" s="153" t="n">
        <f aca="false">IF(AND($N1354="VCA",$AF1354&gt;=1.25,$AF1354&lt;1.5),$M1354*$AF1354*2,0)</f>
        <v>476.99548</v>
      </c>
      <c r="BE1354" s="153" t="n">
        <f aca="false">IF(AND($N1354="VCA",$AF1354&gt;=1.5,$AF1354&lt;3),$M1354*$AF1354*2,0)</f>
        <v>0</v>
      </c>
      <c r="BF1354" s="153" t="n">
        <f aca="false">IF(AND($N1354="VCA",$AF1354&gt;=3),$M1354*$AF1354*2,0)</f>
        <v>0</v>
      </c>
      <c r="BG1354" s="153" t="n">
        <f aca="false">($BB1354+$BC1354)*$AK1354</f>
        <v>252.7691088</v>
      </c>
      <c r="BH1354" s="153" t="n">
        <f aca="false">IF(AND($M1354&lt;&gt;"",$N1354="VCA",$Q1354="LINEAR"),($M1354*2)/100,IF(AND($M1354&lt;&gt;"",$N1354="MND",$Q1354="EMBOQUE"),($AN1354*2)/100,0))</f>
        <v>3.4996</v>
      </c>
      <c r="BI1354" s="153" t="n">
        <f aca="false">IF(AND($M1354&lt;&gt;"",$N1354="VCA",$Q1354="LINEAR"),$M1354,IF(AND($M1354&lt;&gt;"",$N1354="MND",$Q1354="EMBOQUE"),$AN1354*2,0))</f>
        <v>174.98</v>
      </c>
      <c r="BJ1354" s="153" t="n">
        <f aca="false">IF(AND($M1354&lt;&gt;"",$N1354="VCA",$Q1354="LINEAR"),($M1354*6.8)/100,IF(AND($M1354&lt;&gt;"",$N1354="MND",$Q1354="EMBOQUE"),($AN1354*2*6.8)/100,0))</f>
        <v>11.89864</v>
      </c>
      <c r="BK1354" s="153" t="n">
        <f aca="false">IF(AND($M1354&lt;&gt;"",$N1354="VCA",$Q1354="LINEAR"),($M1354*2.5)/50,IF(AND($M1354&lt;&gt;"",$N1354="MND",$Q1354="EMBOQUE"),($AN1354*2*2.5)/50,0))</f>
        <v>8.749</v>
      </c>
      <c r="BL1354" s="157" t="str">
        <f aca="false">K1354&amp;J1354</f>
        <v>Zona11REDES</v>
      </c>
      <c r="BM1354" s="152" t="s">
        <v>6084</v>
      </c>
      <c r="BN1354" s="152" t="s">
        <v>1560</v>
      </c>
      <c r="BO1354" s="152" t="s">
        <v>6516</v>
      </c>
      <c r="BP1354" s="152" t="s">
        <v>6666</v>
      </c>
      <c r="BQ1354" s="152" t="s">
        <v>6645</v>
      </c>
      <c r="BR1354" s="152" t="s">
        <v>6667</v>
      </c>
      <c r="BS1354" s="152" t="n">
        <v>204240.564</v>
      </c>
      <c r="BT1354" s="152" t="n">
        <v>8236062.251</v>
      </c>
      <c r="BU1354" s="152" t="n">
        <v>204409.095</v>
      </c>
      <c r="BV1354" s="152" t="n">
        <v>8236107.406</v>
      </c>
      <c r="BW1354" s="152" t="n">
        <v>-15.9369121</v>
      </c>
      <c r="BX1354" s="152" t="n">
        <v>-47.7617582</v>
      </c>
      <c r="BY1354" s="152" t="s">
        <v>6666</v>
      </c>
    </row>
    <row r="1355" customFormat="false" ht="13.8" hidden="false" customHeight="false" outlineLevel="0" collapsed="false">
      <c r="A1355" s="149" t="n">
        <f aca="false">IF(C1355&lt;&gt;"",ROW(A1350),"")</f>
        <v>1350</v>
      </c>
      <c r="B1355" s="150" t="str">
        <f aca="false">HYPERLINK("https://www.google.com/maps/dir/-15.917302,-47.760003/-15.9367725,-47.7626313/data=!4m3!4m2!3e0!5i1")</f>
        <v>https://www.google.com/maps/dir/-15.917302,-47.760003/-15.9367725,-47.7626313/data=!4m3!4m2!3e0!5i1</v>
      </c>
      <c r="C1355" s="151" t="s">
        <v>117</v>
      </c>
      <c r="D1355" s="152" t="s">
        <v>112</v>
      </c>
      <c r="E1355" s="152" t="s">
        <v>113</v>
      </c>
      <c r="F1355" s="152" t="s">
        <v>117</v>
      </c>
      <c r="G1355" s="152" t="s">
        <v>782</v>
      </c>
      <c r="H1355" s="152" t="n">
        <v>63</v>
      </c>
      <c r="I1355" s="152" t="s">
        <v>115</v>
      </c>
      <c r="J1355" s="152" t="s">
        <v>6</v>
      </c>
      <c r="K1355" s="152" t="s">
        <v>6081</v>
      </c>
      <c r="L1355" s="152" t="s">
        <v>120</v>
      </c>
      <c r="M1355" s="153" t="n">
        <f aca="false">38.47</f>
        <v>38.47</v>
      </c>
      <c r="N1355" s="152" t="s">
        <v>1548</v>
      </c>
      <c r="O1355" s="152" t="s">
        <v>1549</v>
      </c>
      <c r="P1355" s="152" t="s">
        <v>1550</v>
      </c>
      <c r="Q1355" s="152" t="s">
        <v>1551</v>
      </c>
      <c r="R1355" s="154" t="s">
        <v>6668</v>
      </c>
      <c r="S1355" s="154" t="s">
        <v>1553</v>
      </c>
      <c r="T1355" s="155" t="s">
        <v>6514</v>
      </c>
      <c r="U1355" s="152" t="str">
        <f aca="false">RIGHT(T1355,7)</f>
        <v>024/037</v>
      </c>
      <c r="V1355" s="152" t="s">
        <v>1555</v>
      </c>
      <c r="W1355" s="156" t="n">
        <v>45882</v>
      </c>
      <c r="X1355" s="152" t="s">
        <v>3938</v>
      </c>
      <c r="Y1355" s="152"/>
      <c r="Z1355" s="152" t="s">
        <v>1557</v>
      </c>
      <c r="AA1355" s="153" t="n">
        <v>4.9</v>
      </c>
      <c r="AB1355" s="151" t="s">
        <v>6669</v>
      </c>
      <c r="AC1355" s="151" t="s">
        <v>186</v>
      </c>
      <c r="AD1355" s="151" t="str">
        <f aca="false">CONCATENATE($C1355,$I1355,$H1355,$N1355,$J1355,$K1355)</f>
        <v>TUBO PEADPEAD63VCAREDESZona11</v>
      </c>
      <c r="AE1355" s="153" t="n">
        <f aca="false">IFERROR(INDEX(APOIO_REDES!$A:$W,MATCH($C1355&amp;$I1355&amp;$H1355&amp;$N1355&amp;$O1355,APOIO_REDES!$W:$W,0),MATCH(AE$5,APOIO_REDES!$5:$5,0)),0)</f>
        <v>1.2</v>
      </c>
      <c r="AF1355" s="153" t="n">
        <f aca="false">IFERROR(INDEX(APOIO_REDES!$A:$W,MATCH($C1355&amp;$I1355&amp;$H1355&amp;$N1355&amp;$O1355,APOIO_REDES!$W:$W,0),MATCH(AF$5,APOIO_REDES!$5:$5,0)),0)</f>
        <v>1.363</v>
      </c>
      <c r="AG1355" s="153" t="n">
        <f aca="false">IFERROR(INDEX(APOIO_REDES!$A:$W,MATCH($C1355&amp;$I1355&amp;$H1355&amp;$N1355&amp;$O1355,APOIO_REDES!$W:$W,0),MATCH(AG$5,APOIO_REDES!$5:$5,0)),0)</f>
        <v>0.65</v>
      </c>
      <c r="AH1355" s="153" t="n">
        <f aca="false">IFERROR(INDEX(APOIO_REDES!$A:$W,MATCH($C1355&amp;$I1355&amp;$H1355&amp;$N1355&amp;$O1355,APOIO_REDES!$W:$W,0),MATCH(AH$5,APOIO_REDES!$5:$5,0)),0)</f>
        <v>0.1</v>
      </c>
      <c r="AI1355" s="153" t="n">
        <f aca="false">IFERROR(IF($H1355&lt;&gt;"",(((($H1355/1000)/2)^2)*PI()*$M1355),0),0)</f>
        <v>0.119920427095876</v>
      </c>
      <c r="AJ1355" s="153" t="n">
        <f aca="false">IFERROR(IF(AND($H1355&lt;&gt;"",$I1355="FoFo",OR($N1355="MND",$N1355="VCA"),$Q1355="LINEAR"),0,IF(AND($H1355&lt;&gt;"",$I1355="PEAD",$N1355="VCA",$Q1355="LINEAR"),($H1355/1000)+0.3,IF(AND($H1355&lt;&gt;"",$I1355="PEAD",$N1355="MND",$Q1355="EMBOQUE"),0,IF(AND($H1355&lt;&gt;"",$I1355="PVC",$N1355="VCA",$Q1355="LINEAR"),($H1355/1000)+0.2,IF(AND($H1355&lt;&gt;"",$I1355="PVC",$N1355="MND",$Q1355="EMBOQUE"),0,IF(AND($H1355&lt;&gt;"",$I1355="PEAD",$N1355="VCA",$Q1355="PREDIAL"),0,0)))))),0)</f>
        <v>0.363</v>
      </c>
      <c r="AK1355" s="153" t="n">
        <f aca="false">IF(AA1355&lt;&gt;"",AA1355,0)</f>
        <v>4.9</v>
      </c>
      <c r="AL1355" s="153" t="n">
        <f aca="false">IF(AND($N1355="MND",$Q1355="EMBOQUE"),$M1355,IF(AND($N1355="VCA",$Q1355="LINEAR"),$M1355,IF(AND($N1355="VCA",$Q1355="PREDIAL"),0,0)))</f>
        <v>38.47</v>
      </c>
      <c r="AM1355" s="153" t="n">
        <f aca="false">IF(AND($N1355="MND",$Q1355="EMBOQUE"),$M1355,IF(AND($N1355="VCA",$Q1355="LINEAR"),$M1355,IF(AND($N1355="VCA",$Q1355="PREDIAL"),0,0)))</f>
        <v>38.47</v>
      </c>
      <c r="AN1355" s="153" t="n">
        <f aca="false">ROUND(IF(AND($N1355="VCA",$M1355&lt;&gt;"",$Q1355="LINEAR"),$M1355/100,IF(AND($N1355="MND",$M1355&gt;100,$Q1355="EMBOQUE"),$M1355/100,0)),0)</f>
        <v>0</v>
      </c>
      <c r="AO1355" s="153" t="n">
        <f aca="false">IF(AND($N1355="MND",$Q1355="EMBOQUE"),$AN1355*2*2,IF(AND($N1355="VCA",$Q1355="LINEAR"),$M1355*2,IF(AND($N1355="VCA",$Q1355="PREDIAL"),0,0)))</f>
        <v>76.94</v>
      </c>
      <c r="AP1355" s="153" t="n">
        <f aca="false">IFERROR($M1355*$AF1355*$AG1355,0)</f>
        <v>34.0824965</v>
      </c>
      <c r="AQ1355" s="153" t="n">
        <f aca="false">IFERROR(IF(AND($N1355="VCA",$AH1355&gt;0),$M1355*$AG1355*$AH1355,0),0)</f>
        <v>2.50055</v>
      </c>
      <c r="AR1355" s="153" t="n">
        <f aca="false">IFERROR(IF(AND($N1355="VCA",$AJ1355&gt;0),($M1355*$AG1355*$AJ1355)-$AI1355,0),0)</f>
        <v>8.95707607290412</v>
      </c>
      <c r="AS1355" s="153" t="n">
        <f aca="false">IFERROR(IF(AND($N1355="VCA",$AP1355&gt;0),$AP1355-$AI1355-$AQ1355-$AR1355,0),0)</f>
        <v>22.50495</v>
      </c>
      <c r="AT1355" s="153" t="n">
        <f aca="false">IFERROR(IF($N1355="VCA",INDEX(APOIO_REDES!$A:$W,MATCH($C1355&amp;$I1355&amp;$H1355&amp;$N1355&amp;$O1355,APOIO_REDES!$W:$W,0),MATCH(AT$5,APOIO_REDES!$5:$5,0)),0)*$AP1355,0)</f>
        <v>0.370827649824028</v>
      </c>
      <c r="AU1355" s="153" t="n">
        <f aca="false">IFERROR(IF($N1355="VCA",INDEX(APOIO_REDES!$A:$W,MATCH($C1355&amp;$I1355&amp;$H1355&amp;$N1355&amp;$O1355,APOIO_REDES!$W:$W,0),MATCH(AU$5,APOIO_REDES!$5:$5,0)),0)*$AP1355,0)</f>
        <v>0.296132917863017</v>
      </c>
      <c r="AV1355" s="153" t="n">
        <f aca="false">IFERROR(IF($N1355="VCA",INDEX(APOIO_REDES!$A:$W,MATCH($C1355&amp;$I1355&amp;$H1355&amp;$N1355&amp;$O1355,APOIO_REDES!$W:$W,0),MATCH(AV$5,APOIO_REDES!$5:$5,0)),0)*$AP1355,0)</f>
        <v>0.040982471097688</v>
      </c>
      <c r="AW1355" s="153" t="n">
        <f aca="false">IFERROR(IF($N1355="VCA",INDEX(APOIO_REDES!$A:$W,MATCH($C1355&amp;$I1355&amp;$H1355&amp;$N1355&amp;$O1355,APOIO_REDES!$W:$W,0),MATCH(AW$5,APOIO_REDES!$5:$5,0)),0)*$AP1355,0)</f>
        <v>23.3944896816695</v>
      </c>
      <c r="AX1355" s="153" t="n">
        <f aca="false">IFERROR(IF($N1355="VCA",INDEX(APOIO_REDES!$A:$W,MATCH($C1355&amp;$I1355&amp;$H1355&amp;$N1355&amp;$O1355,APOIO_REDES!$W:$W,0),MATCH(AX$5,APOIO_REDES!$5:$5,0)),0)*$AP1355,0)</f>
        <v>3.23773073147778</v>
      </c>
      <c r="AY1355" s="153" t="n">
        <f aca="false">IFERROR(IF($N1355="VCA",INDEX(APOIO_REDES!$A:$W,MATCH($C1355&amp;$I1355&amp;$H1355&amp;$N1355&amp;$O1355,APOIO_REDES!$W:$W,0),MATCH(AY$5,APOIO_REDES!$5:$5,0)),0)*$AP1355,0)</f>
        <v>5.92265474742408</v>
      </c>
      <c r="AZ1355" s="153" t="n">
        <f aca="false">IFERROR(IF($N1355="VCA",INDEX(APOIO_REDES!$A:$W,MATCH($C1355&amp;$I1355&amp;$H1355&amp;$N1355&amp;$O1355,APOIO_REDES!$W:$W,0),MATCH(AZ$5,APOIO_REDES!$5:$5,0)),0)*$AP1355,0)</f>
        <v>0.819678300643866</v>
      </c>
      <c r="BA1355" s="153" t="n">
        <f aca="false">IFERROR(IF(AND($N1355="VCA",$Q1355="LINEAR"),INDEX(APOIO_REDES!$A:$W,MATCH($C1355&amp;$I1355&amp;$H1355&amp;$N1355&amp;$O1355,APOIO_REDES!$W:$W,0),MATCH(BA$5,APOIO_REDES!$5:$5,0)),IF(AND($N1355="MND",$Q1355="EMBOQUE"),INDEX(APOIO_REDES!$A:$W,MATCH($C1355&amp;$I1355&amp;$H1355&amp;$N1355&amp;$O1355,APOIO_REDES!$W:$W,0),MATCH(BA$5,APOIO_REDES!$5:$5,0)),0))*$M1355/10,0)</f>
        <v>3.10058496249415</v>
      </c>
      <c r="BB1355" s="153" t="n">
        <f aca="false">IFERROR(IF($N1355="VCA",INDEX(APOIO_REDES!$A:$W,MATCH($C1355&amp;$I1355&amp;$H1355&amp;$N1355&amp;$O1355,APOIO_REDES!$W:$W,0),MATCH(BB$5,APOIO_REDES!$5:$5,0)),0)*($AI1355+$AQ1355+$AR1355),0)</f>
        <v>11.4515793673012</v>
      </c>
      <c r="BC1355" s="153" t="n">
        <f aca="false">IFERROR(IF($N1355="VCA",INDEX(APOIO_REDES!$A:$W,MATCH($C1355&amp;$I1355&amp;$H1355&amp;$N1355&amp;$O1355,APOIO_REDES!$W:$W,0),MATCH(BC$5,APOIO_REDES!$5:$5,0)),0)*($AI1355+$AQ1355+$AR1355),0)</f>
        <v>0.125967132698844</v>
      </c>
      <c r="BD1355" s="153" t="n">
        <f aca="false">IF(AND($N1355="VCA",$AF1355&gt;=1.25,$AF1355&lt;1.5),$M1355*$AF1355*2,0)</f>
        <v>104.86922</v>
      </c>
      <c r="BE1355" s="153" t="n">
        <f aca="false">IF(AND($N1355="VCA",$AF1355&gt;=1.5,$AF1355&lt;3),$M1355*$AF1355*2,0)</f>
        <v>0</v>
      </c>
      <c r="BF1355" s="153" t="n">
        <f aca="false">IF(AND($N1355="VCA",$AF1355&gt;=3),$M1355*$AF1355*2,0)</f>
        <v>0</v>
      </c>
      <c r="BG1355" s="153" t="n">
        <f aca="false">($BB1355+$BC1355)*$AK1355</f>
        <v>56.72997785</v>
      </c>
      <c r="BH1355" s="153" t="n">
        <f aca="false">IF(AND($M1355&lt;&gt;"",$N1355="VCA",$Q1355="LINEAR"),($M1355*2)/100,IF(AND($M1355&lt;&gt;"",$N1355="MND",$Q1355="EMBOQUE"),($AN1355*2)/100,0))</f>
        <v>0.7694</v>
      </c>
      <c r="BI1355" s="153" t="n">
        <f aca="false">IF(AND($M1355&lt;&gt;"",$N1355="VCA",$Q1355="LINEAR"),$M1355,IF(AND($M1355&lt;&gt;"",$N1355="MND",$Q1355="EMBOQUE"),$AN1355*2,0))</f>
        <v>38.47</v>
      </c>
      <c r="BJ1355" s="153" t="n">
        <f aca="false">IF(AND($M1355&lt;&gt;"",$N1355="VCA",$Q1355="LINEAR"),($M1355*6.8)/100,IF(AND($M1355&lt;&gt;"",$N1355="MND",$Q1355="EMBOQUE"),($AN1355*2*6.8)/100,0))</f>
        <v>2.61596</v>
      </c>
      <c r="BK1355" s="153" t="n">
        <f aca="false">IF(AND($M1355&lt;&gt;"",$N1355="VCA",$Q1355="LINEAR"),($M1355*2.5)/50,IF(AND($M1355&lt;&gt;"",$N1355="MND",$Q1355="EMBOQUE"),($AN1355*2*2.5)/50,0))</f>
        <v>1.9235</v>
      </c>
      <c r="BL1355" s="157" t="str">
        <f aca="false">K1355&amp;J1355</f>
        <v>Zona11REDES</v>
      </c>
      <c r="BM1355" s="152" t="s">
        <v>6084</v>
      </c>
      <c r="BN1355" s="152" t="s">
        <v>1560</v>
      </c>
      <c r="BO1355" s="152" t="s">
        <v>6516</v>
      </c>
      <c r="BP1355" s="152" t="s">
        <v>6648</v>
      </c>
      <c r="BQ1355" s="152" t="s">
        <v>6666</v>
      </c>
      <c r="BR1355" s="152" t="s">
        <v>6670</v>
      </c>
      <c r="BS1355" s="152" t="n">
        <v>204230.969</v>
      </c>
      <c r="BT1355" s="152" t="n">
        <v>8236099.501</v>
      </c>
      <c r="BU1355" s="152" t="n">
        <v>204240.564</v>
      </c>
      <c r="BV1355" s="152" t="n">
        <v>8236062.251</v>
      </c>
      <c r="BW1355" s="152" t="n">
        <v>-15.9369411</v>
      </c>
      <c r="BX1355" s="152" t="n">
        <v>-47.7625884</v>
      </c>
      <c r="BY1355" s="152" t="s">
        <v>6648</v>
      </c>
    </row>
    <row r="1356" customFormat="false" ht="13.8" hidden="false" customHeight="false" outlineLevel="0" collapsed="false">
      <c r="A1356" s="149" t="n">
        <f aca="false">IF(C1356&lt;&gt;"",ROW(A1351),"")</f>
        <v>1351</v>
      </c>
      <c r="B1356" s="150" t="str">
        <f aca="false">HYPERLINK("https://www.google.com/maps/dir/-15.917302,-47.760003/-15.9371433,-47.7605706/data=!4m3!4m2!3e0!5i1")</f>
        <v>https://www.google.com/maps/dir/-15.917302,-47.760003/-15.9371433,-47.7605706/data=!4m3!4m2!3e0!5i1</v>
      </c>
      <c r="C1356" s="151" t="s">
        <v>117</v>
      </c>
      <c r="D1356" s="152" t="s">
        <v>112</v>
      </c>
      <c r="E1356" s="152" t="s">
        <v>113</v>
      </c>
      <c r="F1356" s="152" t="s">
        <v>117</v>
      </c>
      <c r="G1356" s="152" t="s">
        <v>782</v>
      </c>
      <c r="H1356" s="152" t="n">
        <v>90</v>
      </c>
      <c r="I1356" s="152" t="s">
        <v>115</v>
      </c>
      <c r="J1356" s="152" t="s">
        <v>6</v>
      </c>
      <c r="K1356" s="152" t="s">
        <v>6081</v>
      </c>
      <c r="L1356" s="152" t="s">
        <v>120</v>
      </c>
      <c r="M1356" s="153" t="n">
        <f aca="false">36.03</f>
        <v>36.03</v>
      </c>
      <c r="N1356" s="152" t="s">
        <v>1548</v>
      </c>
      <c r="O1356" s="152" t="s">
        <v>1549</v>
      </c>
      <c r="P1356" s="152" t="s">
        <v>1550</v>
      </c>
      <c r="Q1356" s="152" t="s">
        <v>1551</v>
      </c>
      <c r="R1356" s="154" t="s">
        <v>6671</v>
      </c>
      <c r="S1356" s="154" t="s">
        <v>1593</v>
      </c>
      <c r="T1356" s="155" t="s">
        <v>6514</v>
      </c>
      <c r="U1356" s="152" t="str">
        <f aca="false">RIGHT(T1356,7)</f>
        <v>024/037</v>
      </c>
      <c r="V1356" s="152" t="s">
        <v>1555</v>
      </c>
      <c r="W1356" s="156" t="n">
        <v>45882</v>
      </c>
      <c r="X1356" s="152" t="s">
        <v>3938</v>
      </c>
      <c r="Y1356" s="152"/>
      <c r="Z1356" s="152" t="s">
        <v>1557</v>
      </c>
      <c r="AA1356" s="153" t="n">
        <v>4.6</v>
      </c>
      <c r="AB1356" s="151" t="s">
        <v>6672</v>
      </c>
      <c r="AC1356" s="151" t="s">
        <v>526</v>
      </c>
      <c r="AD1356" s="151" t="str">
        <f aca="false">CONCATENATE($C1356,$I1356,$H1356,$N1356,$J1356,$K1356)</f>
        <v>TUBO PEADPEAD90VCAREDESZona11</v>
      </c>
      <c r="AE1356" s="153" t="n">
        <f aca="false">IFERROR(INDEX(APOIO_REDES!$A:$W,MATCH($C1356&amp;$I1356&amp;$H1356&amp;$N1356&amp;$O1356,APOIO_REDES!$W:$W,0),MATCH(AE$5,APOIO_REDES!$5:$5,0)),0)</f>
        <v>1.2</v>
      </c>
      <c r="AF1356" s="153" t="n">
        <f aca="false">IFERROR(INDEX(APOIO_REDES!$A:$W,MATCH($C1356&amp;$I1356&amp;$H1356&amp;$N1356&amp;$O1356,APOIO_REDES!$W:$W,0),MATCH(AF$5,APOIO_REDES!$5:$5,0)),0)</f>
        <v>1.39</v>
      </c>
      <c r="AG1356" s="153" t="n">
        <f aca="false">IFERROR(INDEX(APOIO_REDES!$A:$W,MATCH($C1356&amp;$I1356&amp;$H1356&amp;$N1356&amp;$O1356,APOIO_REDES!$W:$W,0),MATCH(AG$5,APOIO_REDES!$5:$5,0)),0)</f>
        <v>0.75</v>
      </c>
      <c r="AH1356" s="153" t="n">
        <f aca="false">IFERROR(INDEX(APOIO_REDES!$A:$W,MATCH($C1356&amp;$I1356&amp;$H1356&amp;$N1356&amp;$O1356,APOIO_REDES!$W:$W,0),MATCH(AH$5,APOIO_REDES!$5:$5,0)),0)</f>
        <v>0.1</v>
      </c>
      <c r="AI1356" s="153" t="n">
        <f aca="false">IFERROR(IF($H1356&lt;&gt;"",(((($H1356/1000)/2)^2)*PI()*$M1356),0),0)</f>
        <v>0.229212956200402</v>
      </c>
      <c r="AJ1356" s="153" t="n">
        <f aca="false">IFERROR(IF(AND($H1356&lt;&gt;"",$I1356="FoFo",OR($N1356="MND",$N1356="VCA"),$Q1356="LINEAR"),0,IF(AND($H1356&lt;&gt;"",$I1356="PEAD",$N1356="VCA",$Q1356="LINEAR"),($H1356/1000)+0.3,IF(AND($H1356&lt;&gt;"",$I1356="PEAD",$N1356="MND",$Q1356="EMBOQUE"),0,IF(AND($H1356&lt;&gt;"",$I1356="PVC",$N1356="VCA",$Q1356="LINEAR"),($H1356/1000)+0.2,IF(AND($H1356&lt;&gt;"",$I1356="PVC",$N1356="MND",$Q1356="EMBOQUE"),0,IF(AND($H1356&lt;&gt;"",$I1356="PEAD",$N1356="VCA",$Q1356="PREDIAL"),0,0)))))),0)</f>
        <v>0.39</v>
      </c>
      <c r="AK1356" s="153" t="n">
        <f aca="false">IF(AA1356&lt;&gt;"",AA1356,0)</f>
        <v>4.6</v>
      </c>
      <c r="AL1356" s="153" t="n">
        <f aca="false">IF(AND($N1356="MND",$Q1356="EMBOQUE"),$M1356,IF(AND($N1356="VCA",$Q1356="LINEAR"),$M1356,IF(AND($N1356="VCA",$Q1356="PREDIAL"),0,0)))</f>
        <v>36.03</v>
      </c>
      <c r="AM1356" s="153" t="n">
        <f aca="false">IF(AND($N1356="MND",$Q1356="EMBOQUE"),$M1356,IF(AND($N1356="VCA",$Q1356="LINEAR"),$M1356,IF(AND($N1356="VCA",$Q1356="PREDIAL"),0,0)))</f>
        <v>36.03</v>
      </c>
      <c r="AN1356" s="153" t="n">
        <f aca="false">ROUND(IF(AND($N1356="VCA",$M1356&lt;&gt;"",$Q1356="LINEAR"),$M1356/100,IF(AND($N1356="MND",$M1356&gt;100,$Q1356="EMBOQUE"),$M1356/100,0)),0)</f>
        <v>0</v>
      </c>
      <c r="AO1356" s="153" t="n">
        <f aca="false">IF(AND($N1356="MND",$Q1356="EMBOQUE"),$AN1356*2*2,IF(AND($N1356="VCA",$Q1356="LINEAR"),$M1356*2,IF(AND($N1356="VCA",$Q1356="PREDIAL"),0,0)))</f>
        <v>72.06</v>
      </c>
      <c r="AP1356" s="153" t="n">
        <f aca="false">IFERROR($M1356*$AF1356*$AG1356,0)</f>
        <v>37.561275</v>
      </c>
      <c r="AQ1356" s="153" t="n">
        <f aca="false">IFERROR(IF(AND($N1356="VCA",$AH1356&gt;0),$M1356*$AG1356*$AH1356,0),0)</f>
        <v>2.70225</v>
      </c>
      <c r="AR1356" s="153" t="n">
        <f aca="false">IFERROR(IF(AND($N1356="VCA",$AJ1356&gt;0),($M1356*$AG1356*$AJ1356)-$AI1356,0),0)</f>
        <v>10.3095620437996</v>
      </c>
      <c r="AS1356" s="153" t="n">
        <f aca="false">IFERROR(IF(AND($N1356="VCA",$AP1356&gt;0),$AP1356-$AI1356-$AQ1356-$AR1356,0),0)</f>
        <v>24.32025</v>
      </c>
      <c r="AT1356" s="153" t="n">
        <f aca="false">IFERROR(IF($N1356="VCA",INDEX(APOIO_REDES!$A:$W,MATCH($C1356&amp;$I1356&amp;$H1356&amp;$N1356&amp;$O1356,APOIO_REDES!$W:$W,0),MATCH(AT$5,APOIO_REDES!$5:$5,0)),0)*$AP1356,0)</f>
        <v>0.408677789569905</v>
      </c>
      <c r="AU1356" s="153" t="n">
        <f aca="false">IFERROR(IF($N1356="VCA",INDEX(APOIO_REDES!$A:$W,MATCH($C1356&amp;$I1356&amp;$H1356&amp;$N1356&amp;$O1356,APOIO_REDES!$W:$W,0),MATCH(AU$5,APOIO_REDES!$5:$5,0)),0)*$AP1356,0)</f>
        <v>0.326359014352285</v>
      </c>
      <c r="AV1356" s="153" t="n">
        <f aca="false">IFERROR(IF($N1356="VCA",INDEX(APOIO_REDES!$A:$W,MATCH($C1356&amp;$I1356&amp;$H1356&amp;$N1356&amp;$O1356,APOIO_REDES!$W:$W,0),MATCH(AV$5,APOIO_REDES!$5:$5,0)),0)*$AP1356,0)</f>
        <v>0.0451655255676417</v>
      </c>
      <c r="AW1356" s="153" t="n">
        <f aca="false">IFERROR(IF($N1356="VCA",INDEX(APOIO_REDES!$A:$W,MATCH($C1356&amp;$I1356&amp;$H1356&amp;$N1356&amp;$O1356,APOIO_REDES!$W:$W,0),MATCH(AW$5,APOIO_REDES!$5:$5,0)),0)*$AP1356,0)</f>
        <v>25.7823501989607</v>
      </c>
      <c r="AX1356" s="153" t="n">
        <f aca="false">IFERROR(IF($N1356="VCA",INDEX(APOIO_REDES!$A:$W,MATCH($C1356&amp;$I1356&amp;$H1356&amp;$N1356&amp;$O1356,APOIO_REDES!$W:$W,0),MATCH(AX$5,APOIO_REDES!$5:$5,0)),0)*$AP1356,0)</f>
        <v>3.56820382512143</v>
      </c>
      <c r="AY1356" s="153" t="n">
        <f aca="false">IFERROR(IF($N1356="VCA",INDEX(APOIO_REDES!$A:$W,MATCH($C1356&amp;$I1356&amp;$H1356&amp;$N1356&amp;$O1356,APOIO_REDES!$W:$W,0),MATCH(AY$5,APOIO_REDES!$5:$5,0)),0)*$AP1356,0)</f>
        <v>6.52717630875577</v>
      </c>
      <c r="AZ1356" s="153" t="n">
        <f aca="false">IFERROR(IF($N1356="VCA",INDEX(APOIO_REDES!$A:$W,MATCH($C1356&amp;$I1356&amp;$H1356&amp;$N1356&amp;$O1356,APOIO_REDES!$W:$W,0),MATCH(AZ$5,APOIO_REDES!$5:$5,0)),0)*$AP1356,0)</f>
        <v>0.903342337672269</v>
      </c>
      <c r="BA1356" s="153" t="n">
        <f aca="false">IFERROR(IF(AND($N1356="VCA",$Q1356="LINEAR"),INDEX(APOIO_REDES!$A:$W,MATCH($C1356&amp;$I1356&amp;$H1356&amp;$N1356&amp;$O1356,APOIO_REDES!$W:$W,0),MATCH(BA$5,APOIO_REDES!$5:$5,0)),IF(AND($N1356="MND",$Q1356="EMBOQUE"),INDEX(APOIO_REDES!$A:$W,MATCH($C1356&amp;$I1356&amp;$H1356&amp;$N1356&amp;$O1356,APOIO_REDES!$W:$W,0),MATCH(BA$5,APOIO_REDES!$5:$5,0)),0))*$M1356/10,0)</f>
        <v>2.90392711719948</v>
      </c>
      <c r="BB1356" s="153" t="n">
        <f aca="false">IFERROR(IF($N1356="VCA",INDEX(APOIO_REDES!$A:$W,MATCH($C1356&amp;$I1356&amp;$H1356&amp;$N1356&amp;$O1356,APOIO_REDES!$W:$W,0),MATCH(BB$5,APOIO_REDES!$5:$5,0)),0)*($AI1356+$AQ1356+$AR1356),0)</f>
        <v>13.0969587288567</v>
      </c>
      <c r="BC1356" s="153" t="n">
        <f aca="false">IFERROR(IF($N1356="VCA",INDEX(APOIO_REDES!$A:$W,MATCH($C1356&amp;$I1356&amp;$H1356&amp;$N1356&amp;$O1356,APOIO_REDES!$W:$W,0),MATCH(BC$5,APOIO_REDES!$5:$5,0)),0)*($AI1356+$AQ1356+$AR1356),0)</f>
        <v>0.144066271143348</v>
      </c>
      <c r="BD1356" s="153" t="n">
        <f aca="false">IF(AND($N1356="VCA",$AF1356&gt;=1.25,$AF1356&lt;1.5),$M1356*$AF1356*2,0)</f>
        <v>100.1634</v>
      </c>
      <c r="BE1356" s="153" t="n">
        <f aca="false">IF(AND($N1356="VCA",$AF1356&gt;=1.5,$AF1356&lt;3),$M1356*$AF1356*2,0)</f>
        <v>0</v>
      </c>
      <c r="BF1356" s="153" t="n">
        <f aca="false">IF(AND($N1356="VCA",$AF1356&gt;=3),$M1356*$AF1356*2,0)</f>
        <v>0</v>
      </c>
      <c r="BG1356" s="153" t="n">
        <f aca="false">($BB1356+$BC1356)*$AK1356</f>
        <v>60.908715</v>
      </c>
      <c r="BH1356" s="153" t="n">
        <f aca="false">IF(AND($M1356&lt;&gt;"",$N1356="VCA",$Q1356="LINEAR"),($M1356*2)/100,IF(AND($M1356&lt;&gt;"",$N1356="MND",$Q1356="EMBOQUE"),($AN1356*2)/100,0))</f>
        <v>0.7206</v>
      </c>
      <c r="BI1356" s="153" t="n">
        <f aca="false">IF(AND($M1356&lt;&gt;"",$N1356="VCA",$Q1356="LINEAR"),$M1356,IF(AND($M1356&lt;&gt;"",$N1356="MND",$Q1356="EMBOQUE"),$AN1356*2,0))</f>
        <v>36.03</v>
      </c>
      <c r="BJ1356" s="153" t="n">
        <f aca="false">IF(AND($M1356&lt;&gt;"",$N1356="VCA",$Q1356="LINEAR"),($M1356*6.8)/100,IF(AND($M1356&lt;&gt;"",$N1356="MND",$Q1356="EMBOQUE"),($AN1356*2*6.8)/100,0))</f>
        <v>2.45004</v>
      </c>
      <c r="BK1356" s="153" t="n">
        <f aca="false">IF(AND($M1356&lt;&gt;"",$N1356="VCA",$Q1356="LINEAR"),($M1356*2.5)/50,IF(AND($M1356&lt;&gt;"",$N1356="MND",$Q1356="EMBOQUE"),($AN1356*2*2.5)/50,0))</f>
        <v>1.8015</v>
      </c>
      <c r="BL1356" s="157" t="str">
        <f aca="false">K1356&amp;J1356</f>
        <v>Zona11REDES</v>
      </c>
      <c r="BM1356" s="152" t="s">
        <v>6084</v>
      </c>
      <c r="BN1356" s="152" t="s">
        <v>1560</v>
      </c>
      <c r="BO1356" s="152" t="s">
        <v>6516</v>
      </c>
      <c r="BP1356" s="152" t="s">
        <v>6673</v>
      </c>
      <c r="BQ1356" s="152" t="s">
        <v>6652</v>
      </c>
      <c r="BR1356" s="152" t="s">
        <v>6674</v>
      </c>
      <c r="BS1356" s="152" t="n">
        <v>204451.941</v>
      </c>
      <c r="BT1356" s="152" t="n">
        <v>8236061.28</v>
      </c>
      <c r="BU1356" s="152" t="n">
        <v>204444.617</v>
      </c>
      <c r="BV1356" s="152" t="n">
        <v>8236096.551</v>
      </c>
      <c r="BW1356" s="152" t="n">
        <v>-15.9369846</v>
      </c>
      <c r="BX1356" s="152" t="n">
        <v>-47.7606071</v>
      </c>
      <c r="BY1356" s="152" t="s">
        <v>6673</v>
      </c>
    </row>
    <row r="1357" customFormat="false" ht="13.8" hidden="false" customHeight="false" outlineLevel="0" collapsed="false">
      <c r="A1357" s="149" t="n">
        <f aca="false">IF(C1357&lt;&gt;"",ROW(A1352),"")</f>
        <v>1352</v>
      </c>
      <c r="B1357" s="150" t="str">
        <f aca="false">HYPERLINK("https://www.google.com/maps/dir/-15.917302,-47.760003/-15.9377381,-47.7629281/data=!4m3!4m2!3e0!5i1")</f>
        <v>https://www.google.com/maps/dir/-15.917302,-47.760003/-15.9377381,-47.7629281/data=!4m3!4m2!3e0!5i1</v>
      </c>
      <c r="C1357" s="151" t="s">
        <v>117</v>
      </c>
      <c r="D1357" s="152" t="s">
        <v>112</v>
      </c>
      <c r="E1357" s="152" t="s">
        <v>113</v>
      </c>
      <c r="F1357" s="152" t="s">
        <v>117</v>
      </c>
      <c r="G1357" s="152" t="s">
        <v>782</v>
      </c>
      <c r="H1357" s="152" t="n">
        <v>110</v>
      </c>
      <c r="I1357" s="152" t="s">
        <v>115</v>
      </c>
      <c r="J1357" s="152" t="s">
        <v>6</v>
      </c>
      <c r="K1357" s="152" t="s">
        <v>6081</v>
      </c>
      <c r="L1357" s="152" t="s">
        <v>120</v>
      </c>
      <c r="M1357" s="153" t="n">
        <f aca="false">176.24</f>
        <v>176.24</v>
      </c>
      <c r="N1357" s="152" t="s">
        <v>1548</v>
      </c>
      <c r="O1357" s="152" t="s">
        <v>1549</v>
      </c>
      <c r="P1357" s="152" t="s">
        <v>1550</v>
      </c>
      <c r="Q1357" s="152" t="s">
        <v>1551</v>
      </c>
      <c r="R1357" s="154" t="s">
        <v>6675</v>
      </c>
      <c r="S1357" s="154" t="s">
        <v>1593</v>
      </c>
      <c r="T1357" s="155" t="s">
        <v>6514</v>
      </c>
      <c r="U1357" s="152" t="str">
        <f aca="false">RIGHT(T1357,7)</f>
        <v>024/037</v>
      </c>
      <c r="V1357" s="152" t="s">
        <v>1555</v>
      </c>
      <c r="W1357" s="156" t="n">
        <v>45882</v>
      </c>
      <c r="X1357" s="152"/>
      <c r="Y1357" s="152"/>
      <c r="Z1357" s="152" t="s">
        <v>1557</v>
      </c>
      <c r="AA1357" s="153" t="n">
        <v>5</v>
      </c>
      <c r="AB1357" s="151" t="s">
        <v>6676</v>
      </c>
      <c r="AC1357" s="151" t="s">
        <v>502</v>
      </c>
      <c r="AD1357" s="151" t="str">
        <f aca="false">CONCATENATE($C1357,$I1357,$H1357,$N1357,$J1357,$K1357)</f>
        <v>TUBO PEADPEAD110VCAREDESZona11</v>
      </c>
      <c r="AE1357" s="153" t="n">
        <f aca="false">IFERROR(INDEX(APOIO_REDES!$A:$W,MATCH($C1357&amp;$I1357&amp;$H1357&amp;$N1357&amp;$O1357,APOIO_REDES!$W:$W,0),MATCH(AE$5,APOIO_REDES!$5:$5,0)),0)</f>
        <v>1.2</v>
      </c>
      <c r="AF1357" s="153" t="n">
        <f aca="false">IFERROR(INDEX(APOIO_REDES!$A:$W,MATCH($C1357&amp;$I1357&amp;$H1357&amp;$N1357&amp;$O1357,APOIO_REDES!$W:$W,0),MATCH(AF$5,APOIO_REDES!$5:$5,0)),0)</f>
        <v>1.41</v>
      </c>
      <c r="AG1357" s="153" t="n">
        <f aca="false">IFERROR(INDEX(APOIO_REDES!$A:$W,MATCH($C1357&amp;$I1357&amp;$H1357&amp;$N1357&amp;$O1357,APOIO_REDES!$W:$W,0),MATCH(AG$5,APOIO_REDES!$5:$5,0)),0)</f>
        <v>0.75</v>
      </c>
      <c r="AH1357" s="153" t="n">
        <f aca="false">IFERROR(INDEX(APOIO_REDES!$A:$W,MATCH($C1357&amp;$I1357&amp;$H1357&amp;$N1357&amp;$O1357,APOIO_REDES!$W:$W,0),MATCH(AH$5,APOIO_REDES!$5:$5,0)),0)</f>
        <v>0.1</v>
      </c>
      <c r="AI1357" s="153" t="n">
        <f aca="false">IFERROR(IF($H1357&lt;&gt;"",(((($H1357/1000)/2)^2)*PI()*$M1357),0),0)</f>
        <v>1.67486472503771</v>
      </c>
      <c r="AJ1357" s="153" t="n">
        <f aca="false">IFERROR(IF(AND($H1357&lt;&gt;"",$I1357="FoFo",OR($N1357="MND",$N1357="VCA"),$Q1357="LINEAR"),0,IF(AND($H1357&lt;&gt;"",$I1357="PEAD",$N1357="VCA",$Q1357="LINEAR"),($H1357/1000)+0.3,IF(AND($H1357&lt;&gt;"",$I1357="PEAD",$N1357="MND",$Q1357="EMBOQUE"),0,IF(AND($H1357&lt;&gt;"",$I1357="PVC",$N1357="VCA",$Q1357="LINEAR"),($H1357/1000)+0.2,IF(AND($H1357&lt;&gt;"",$I1357="PVC",$N1357="MND",$Q1357="EMBOQUE"),0,IF(AND($H1357&lt;&gt;"",$I1357="PEAD",$N1357="VCA",$Q1357="PREDIAL"),0,0)))))),0)</f>
        <v>0.41</v>
      </c>
      <c r="AK1357" s="153" t="n">
        <f aca="false">IF(AA1357&lt;&gt;"",AA1357,0)</f>
        <v>5</v>
      </c>
      <c r="AL1357" s="153" t="n">
        <f aca="false">IF(AND($N1357="MND",$Q1357="EMBOQUE"),$M1357,IF(AND($N1357="VCA",$Q1357="LINEAR"),$M1357,IF(AND($N1357="VCA",$Q1357="PREDIAL"),0,0)))</f>
        <v>176.24</v>
      </c>
      <c r="AM1357" s="153" t="n">
        <f aca="false">IF(AND($N1357="MND",$Q1357="EMBOQUE"),$M1357,IF(AND($N1357="VCA",$Q1357="LINEAR"),$M1357,IF(AND($N1357="VCA",$Q1357="PREDIAL"),0,0)))</f>
        <v>176.24</v>
      </c>
      <c r="AN1357" s="153" t="n">
        <f aca="false">ROUND(IF(AND($N1357="VCA",$M1357&lt;&gt;"",$Q1357="LINEAR"),$M1357/100,IF(AND($N1357="MND",$M1357&gt;100,$Q1357="EMBOQUE"),$M1357/100,0)),0)</f>
        <v>2</v>
      </c>
      <c r="AO1357" s="153" t="n">
        <f aca="false">IF(AND($N1357="MND",$Q1357="EMBOQUE"),$AN1357*2*2,IF(AND($N1357="VCA",$Q1357="LINEAR"),$M1357*2,IF(AND($N1357="VCA",$Q1357="PREDIAL"),0,0)))</f>
        <v>352.48</v>
      </c>
      <c r="AP1357" s="153" t="n">
        <f aca="false">IFERROR($M1357*$AF1357*$AG1357,0)</f>
        <v>186.3738</v>
      </c>
      <c r="AQ1357" s="153" t="n">
        <f aca="false">IFERROR(IF(AND($N1357="VCA",$AH1357&gt;0),$M1357*$AG1357*$AH1357,0),0)</f>
        <v>13.218</v>
      </c>
      <c r="AR1357" s="153" t="n">
        <f aca="false">IFERROR(IF(AND($N1357="VCA",$AJ1357&gt;0),($M1357*$AG1357*$AJ1357)-$AI1357,0),0)</f>
        <v>52.5189352749623</v>
      </c>
      <c r="AS1357" s="153" t="n">
        <f aca="false">IFERROR(IF(AND($N1357="VCA",$AP1357&gt;0),$AP1357-$AI1357-$AQ1357-$AR1357,0),0)</f>
        <v>118.962</v>
      </c>
      <c r="AT1357" s="153" t="n">
        <f aca="false">IFERROR(IF($N1357="VCA",INDEX(APOIO_REDES!$A:$W,MATCH($C1357&amp;$I1357&amp;$H1357&amp;$N1357&amp;$O1357,APOIO_REDES!$W:$W,0),MATCH(AT$5,APOIO_REDES!$5:$5,0)),0)*$AP1357,0)</f>
        <v>2.02780210782897</v>
      </c>
      <c r="AU1357" s="153" t="n">
        <f aca="false">IFERROR(IF($N1357="VCA",INDEX(APOIO_REDES!$A:$W,MATCH($C1357&amp;$I1357&amp;$H1357&amp;$N1357&amp;$O1357,APOIO_REDES!$W:$W,0),MATCH(AU$5,APOIO_REDES!$5:$5,0)),0)*$AP1357,0)</f>
        <v>1.61934784346617</v>
      </c>
      <c r="AV1357" s="153" t="n">
        <f aca="false">IFERROR(IF($N1357="VCA",INDEX(APOIO_REDES!$A:$W,MATCH($C1357&amp;$I1357&amp;$H1357&amp;$N1357&amp;$O1357,APOIO_REDES!$W:$W,0),MATCH(AV$5,APOIO_REDES!$5:$5,0)),0)*$AP1357,0)</f>
        <v>0.224105029156719</v>
      </c>
      <c r="AW1357" s="153" t="n">
        <f aca="false">IFERROR(IF($N1357="VCA",INDEX(APOIO_REDES!$A:$W,MATCH($C1357&amp;$I1357&amp;$H1357&amp;$N1357&amp;$O1357,APOIO_REDES!$W:$W,0),MATCH(AW$5,APOIO_REDES!$5:$5,0)),0)*$AP1357,0)</f>
        <v>127.928420414671</v>
      </c>
      <c r="AX1357" s="153" t="n">
        <f aca="false">IFERROR(IF($N1357="VCA",INDEX(APOIO_REDES!$A:$W,MATCH($C1357&amp;$I1357&amp;$H1357&amp;$N1357&amp;$O1357,APOIO_REDES!$W:$W,0),MATCH(AX$5,APOIO_REDES!$5:$5,0)),0)*$AP1357,0)</f>
        <v>17.704928974387</v>
      </c>
      <c r="AY1357" s="153" t="n">
        <f aca="false">IFERROR(IF($N1357="VCA",INDEX(APOIO_REDES!$A:$W,MATCH($C1357&amp;$I1357&amp;$H1357&amp;$N1357&amp;$O1357,APOIO_REDES!$W:$W,0),MATCH(AY$5,APOIO_REDES!$5:$5,0)),0)*$AP1357,0)</f>
        <v>32.3869371296045</v>
      </c>
      <c r="AZ1357" s="153" t="n">
        <f aca="false">IFERROR(IF($N1357="VCA",INDEX(APOIO_REDES!$A:$W,MATCH($C1357&amp;$I1357&amp;$H1357&amp;$N1357&amp;$O1357,APOIO_REDES!$W:$W,0),MATCH(AZ$5,APOIO_REDES!$5:$5,0)),0)*$AP1357,0)</f>
        <v>4.48225850088592</v>
      </c>
      <c r="BA1357" s="153" t="n">
        <f aca="false">IFERROR(IF(AND($N1357="VCA",$Q1357="LINEAR"),INDEX(APOIO_REDES!$A:$W,MATCH($C1357&amp;$I1357&amp;$H1357&amp;$N1357&amp;$O1357,APOIO_REDES!$W:$W,0),MATCH(BA$5,APOIO_REDES!$5:$5,0)),IF(AND($N1357="MND",$Q1357="EMBOQUE"),INDEX(APOIO_REDES!$A:$W,MATCH($C1357&amp;$I1357&amp;$H1357&amp;$N1357&amp;$O1357,APOIO_REDES!$W:$W,0),MATCH(BA$5,APOIO_REDES!$5:$5,0)),0))*$M1357/10,0)</f>
        <v>14.2044994486605</v>
      </c>
      <c r="BB1357" s="153" t="n">
        <f aca="false">IFERROR(IF($N1357="VCA",INDEX(APOIO_REDES!$A:$W,MATCH($C1357&amp;$I1357&amp;$H1357&amp;$N1357&amp;$O1357,APOIO_REDES!$W:$W,0),MATCH(BB$5,APOIO_REDES!$5:$5,0)),0)*($AI1357+$AQ1357+$AR1357),0)</f>
        <v>66.6783396631257</v>
      </c>
      <c r="BC1357" s="153" t="n">
        <f aca="false">IFERROR(IF($N1357="VCA",INDEX(APOIO_REDES!$A:$W,MATCH($C1357&amp;$I1357&amp;$H1357&amp;$N1357&amp;$O1357,APOIO_REDES!$W:$W,0),MATCH(BC$5,APOIO_REDES!$5:$5,0)),0)*($AI1357+$AQ1357+$AR1357),0)</f>
        <v>0.733460336874308</v>
      </c>
      <c r="BD1357" s="153" t="n">
        <f aca="false">IF(AND($N1357="VCA",$AF1357&gt;=1.25,$AF1357&lt;1.5),$M1357*$AF1357*2,0)</f>
        <v>496.9968</v>
      </c>
      <c r="BE1357" s="153" t="n">
        <f aca="false">IF(AND($N1357="VCA",$AF1357&gt;=1.5,$AF1357&lt;3),$M1357*$AF1357*2,0)</f>
        <v>0</v>
      </c>
      <c r="BF1357" s="153" t="n">
        <f aca="false">IF(AND($N1357="VCA",$AF1357&gt;=3),$M1357*$AF1357*2,0)</f>
        <v>0</v>
      </c>
      <c r="BG1357" s="153" t="n">
        <f aca="false">($BB1357+$BC1357)*$AK1357</f>
        <v>337.059</v>
      </c>
      <c r="BH1357" s="153" t="n">
        <f aca="false">IF(AND($M1357&lt;&gt;"",$N1357="VCA",$Q1357="LINEAR"),($M1357*2)/100,IF(AND($M1357&lt;&gt;"",$N1357="MND",$Q1357="EMBOQUE"),($AN1357*2)/100,0))</f>
        <v>3.5248</v>
      </c>
      <c r="BI1357" s="153" t="n">
        <f aca="false">IF(AND($M1357&lt;&gt;"",$N1357="VCA",$Q1357="LINEAR"),$M1357,IF(AND($M1357&lt;&gt;"",$N1357="MND",$Q1357="EMBOQUE"),$AN1357*2,0))</f>
        <v>176.24</v>
      </c>
      <c r="BJ1357" s="153" t="n">
        <f aca="false">IF(AND($M1357&lt;&gt;"",$N1357="VCA",$Q1357="LINEAR"),($M1357*6.8)/100,IF(AND($M1357&lt;&gt;"",$N1357="MND",$Q1357="EMBOQUE"),($AN1357*2*6.8)/100,0))</f>
        <v>11.98432</v>
      </c>
      <c r="BK1357" s="153" t="n">
        <f aca="false">IF(AND($M1357&lt;&gt;"",$N1357="VCA",$Q1357="LINEAR"),($M1357*2.5)/50,IF(AND($M1357&lt;&gt;"",$N1357="MND",$Q1357="EMBOQUE"),($AN1357*2*2.5)/50,0))</f>
        <v>8.812</v>
      </c>
      <c r="BL1357" s="157" t="str">
        <f aca="false">K1357&amp;J1357</f>
        <v>Zona11REDES</v>
      </c>
      <c r="BM1357" s="152" t="s">
        <v>6084</v>
      </c>
      <c r="BN1357" s="152" t="s">
        <v>1560</v>
      </c>
      <c r="BO1357" s="152" t="s">
        <v>6516</v>
      </c>
      <c r="BP1357" s="152" t="s">
        <v>6677</v>
      </c>
      <c r="BQ1357" s="152" t="s">
        <v>6204</v>
      </c>
      <c r="BR1357" s="152" t="s">
        <v>6678</v>
      </c>
      <c r="BS1357" s="152" t="n">
        <v>204200.595</v>
      </c>
      <c r="BT1357" s="152" t="n">
        <v>8235992.162</v>
      </c>
      <c r="BU1357" s="152" t="n">
        <v>204163.038</v>
      </c>
      <c r="BV1357" s="152" t="n">
        <v>8236164.346</v>
      </c>
      <c r="BW1357" s="152" t="n">
        <v>-15.9369575</v>
      </c>
      <c r="BX1357" s="152" t="n">
        <v>-47.763088</v>
      </c>
      <c r="BY1357" s="152" t="s">
        <v>6677</v>
      </c>
    </row>
    <row r="1358" customFormat="false" ht="13.8" hidden="false" customHeight="false" outlineLevel="0" collapsed="false">
      <c r="A1358" s="149" t="n">
        <f aca="false">IF(C1358&lt;&gt;"",ROW(A1353),"")</f>
        <v>1353</v>
      </c>
      <c r="B1358" s="150" t="str">
        <f aca="false">HYPERLINK("https://www.google.com/maps/dir/-15.917302,-47.760003/-15.9370293,-47.7664684/data=!4m3!4m2!3e0!5i2")</f>
        <v>https://www.google.com/maps/dir/-15.917302,-47.760003/-15.9370293,-47.7664684/data=!4m3!4m2!3e0!5i2</v>
      </c>
      <c r="C1358" s="151" t="s">
        <v>117</v>
      </c>
      <c r="D1358" s="152" t="s">
        <v>112</v>
      </c>
      <c r="E1358" s="152" t="s">
        <v>113</v>
      </c>
      <c r="F1358" s="152" t="s">
        <v>117</v>
      </c>
      <c r="G1358" s="152" t="s">
        <v>782</v>
      </c>
      <c r="H1358" s="152" t="n">
        <v>63</v>
      </c>
      <c r="I1358" s="152" t="s">
        <v>115</v>
      </c>
      <c r="J1358" s="152" t="s">
        <v>6</v>
      </c>
      <c r="K1358" s="152" t="s">
        <v>6081</v>
      </c>
      <c r="L1358" s="152" t="s">
        <v>120</v>
      </c>
      <c r="M1358" s="153" t="n">
        <f aca="false">75.11+3.96</f>
        <v>79.07</v>
      </c>
      <c r="N1358" s="152" t="s">
        <v>1548</v>
      </c>
      <c r="O1358" s="152" t="s">
        <v>1549</v>
      </c>
      <c r="P1358" s="152" t="s">
        <v>1550</v>
      </c>
      <c r="Q1358" s="152" t="s">
        <v>1551</v>
      </c>
      <c r="R1358" s="154" t="s">
        <v>6679</v>
      </c>
      <c r="S1358" s="154" t="s">
        <v>1553</v>
      </c>
      <c r="T1358" s="155" t="s">
        <v>6514</v>
      </c>
      <c r="U1358" s="152" t="str">
        <f aca="false">RIGHT(T1358,7)</f>
        <v>024/037</v>
      </c>
      <c r="V1358" s="152" t="s">
        <v>1555</v>
      </c>
      <c r="W1358" s="156" t="n">
        <v>45882</v>
      </c>
      <c r="X1358" s="152" t="s">
        <v>1594</v>
      </c>
      <c r="Y1358" s="152" t="s">
        <v>6525</v>
      </c>
      <c r="Z1358" s="152" t="s">
        <v>1557</v>
      </c>
      <c r="AA1358" s="153" t="n">
        <v>5.7</v>
      </c>
      <c r="AB1358" s="151" t="s">
        <v>6680</v>
      </c>
      <c r="AC1358" s="151" t="s">
        <v>186</v>
      </c>
      <c r="AD1358" s="151" t="str">
        <f aca="false">CONCATENATE($C1358,$I1358,$H1358,$N1358,$J1358,$K1358)</f>
        <v>TUBO PEADPEAD63VCAREDESZona11</v>
      </c>
      <c r="AE1358" s="153" t="n">
        <f aca="false">IFERROR(INDEX(APOIO_REDES!$A:$W,MATCH($C1358&amp;$I1358&amp;$H1358&amp;$N1358&amp;$O1358,APOIO_REDES!$W:$W,0),MATCH(AE$5,APOIO_REDES!$5:$5,0)),0)</f>
        <v>1.2</v>
      </c>
      <c r="AF1358" s="153" t="n">
        <f aca="false">IFERROR(INDEX(APOIO_REDES!$A:$W,MATCH($C1358&amp;$I1358&amp;$H1358&amp;$N1358&amp;$O1358,APOIO_REDES!$W:$W,0),MATCH(AF$5,APOIO_REDES!$5:$5,0)),0)</f>
        <v>1.363</v>
      </c>
      <c r="AG1358" s="153" t="n">
        <f aca="false">IFERROR(INDEX(APOIO_REDES!$A:$W,MATCH($C1358&amp;$I1358&amp;$H1358&amp;$N1358&amp;$O1358,APOIO_REDES!$W:$W,0),MATCH(AG$5,APOIO_REDES!$5:$5,0)),0)</f>
        <v>0.65</v>
      </c>
      <c r="AH1358" s="153" t="n">
        <f aca="false">IFERROR(INDEX(APOIO_REDES!$A:$W,MATCH($C1358&amp;$I1358&amp;$H1358&amp;$N1358&amp;$O1358,APOIO_REDES!$W:$W,0),MATCH(AH$5,APOIO_REDES!$5:$5,0)),0)</f>
        <v>0.1</v>
      </c>
      <c r="AI1358" s="153" t="n">
        <f aca="false">IFERROR(IF($H1358&lt;&gt;"",(((($H1358/1000)/2)^2)*PI()*$M1358),0),0)</f>
        <v>0.24648058670317</v>
      </c>
      <c r="AJ1358" s="153" t="n">
        <f aca="false">IFERROR(IF(AND($H1358&lt;&gt;"",$I1358="FoFo",OR($N1358="MND",$N1358="VCA"),$Q1358="LINEAR"),0,IF(AND($H1358&lt;&gt;"",$I1358="PEAD",$N1358="VCA",$Q1358="LINEAR"),($H1358/1000)+0.3,IF(AND($H1358&lt;&gt;"",$I1358="PEAD",$N1358="MND",$Q1358="EMBOQUE"),0,IF(AND($H1358&lt;&gt;"",$I1358="PVC",$N1358="VCA",$Q1358="LINEAR"),($H1358/1000)+0.2,IF(AND($H1358&lt;&gt;"",$I1358="PVC",$N1358="MND",$Q1358="EMBOQUE"),0,IF(AND($H1358&lt;&gt;"",$I1358="PEAD",$N1358="VCA",$Q1358="PREDIAL"),0,0)))))),0)</f>
        <v>0.363</v>
      </c>
      <c r="AK1358" s="153" t="n">
        <f aca="false">IF(AA1358&lt;&gt;"",AA1358,0)</f>
        <v>5.7</v>
      </c>
      <c r="AL1358" s="153" t="n">
        <f aca="false">IF(AND($N1358="MND",$Q1358="EMBOQUE"),$M1358,IF(AND($N1358="VCA",$Q1358="LINEAR"),$M1358,IF(AND($N1358="VCA",$Q1358="PREDIAL"),0,0)))</f>
        <v>79.07</v>
      </c>
      <c r="AM1358" s="153" t="n">
        <f aca="false">IF(AND($N1358="MND",$Q1358="EMBOQUE"),$M1358,IF(AND($N1358="VCA",$Q1358="LINEAR"),$M1358,IF(AND($N1358="VCA",$Q1358="PREDIAL"),0,0)))</f>
        <v>79.07</v>
      </c>
      <c r="AN1358" s="153" t="n">
        <f aca="false">ROUND(IF(AND($N1358="VCA",$M1358&lt;&gt;"",$Q1358="LINEAR"),$M1358/100,IF(AND($N1358="MND",$M1358&gt;100,$Q1358="EMBOQUE"),$M1358/100,0)),0)</f>
        <v>1</v>
      </c>
      <c r="AO1358" s="153" t="n">
        <f aca="false">IF(AND($N1358="MND",$Q1358="EMBOQUE"),$AN1358*2*2,IF(AND($N1358="VCA",$Q1358="LINEAR"),$M1358*2,IF(AND($N1358="VCA",$Q1358="PREDIAL"),0,0)))</f>
        <v>158.14</v>
      </c>
      <c r="AP1358" s="153" t="n">
        <f aca="false">IFERROR($M1358*$AF1358*$AG1358,0)</f>
        <v>70.0520665</v>
      </c>
      <c r="AQ1358" s="153" t="n">
        <f aca="false">IFERROR(IF(AND($N1358="VCA",$AH1358&gt;0),$M1358*$AG1358*$AH1358,0),0)</f>
        <v>5.13955</v>
      </c>
      <c r="AR1358" s="153" t="n">
        <f aca="false">IFERROR(IF(AND($N1358="VCA",$AJ1358&gt;0),($M1358*$AG1358*$AJ1358)-$AI1358,0),0)</f>
        <v>18.4100859132968</v>
      </c>
      <c r="AS1358" s="153" t="n">
        <f aca="false">IFERROR(IF(AND($N1358="VCA",$AP1358&gt;0),$AP1358-$AI1358-$AQ1358-$AR1358,0),0)</f>
        <v>46.25595</v>
      </c>
      <c r="AT1358" s="153" t="n">
        <f aca="false">IFERROR(IF($N1358="VCA",INDEX(APOIO_REDES!$A:$W,MATCH($C1358&amp;$I1358&amp;$H1358&amp;$N1358&amp;$O1358,APOIO_REDES!$W:$W,0),MATCH(AT$5,APOIO_REDES!$5:$5,0)),0)*$AP1358,0)</f>
        <v>0.762187217873301</v>
      </c>
      <c r="AU1358" s="153" t="n">
        <f aca="false">IFERROR(IF($N1358="VCA",INDEX(APOIO_REDES!$A:$W,MATCH($C1358&amp;$I1358&amp;$H1358&amp;$N1358&amp;$O1358,APOIO_REDES!$W:$W,0),MATCH(AU$5,APOIO_REDES!$5:$5,0)),0)*$AP1358,0)</f>
        <v>0.608662069545848</v>
      </c>
      <c r="AV1358" s="153" t="n">
        <f aca="false">IFERROR(IF($N1358="VCA",INDEX(APOIO_REDES!$A:$W,MATCH($C1358&amp;$I1358&amp;$H1358&amp;$N1358&amp;$O1358,APOIO_REDES!$W:$W,0),MATCH(AV$5,APOIO_REDES!$5:$5,0)),0)*$AP1358,0)</f>
        <v>0.0842340522405559</v>
      </c>
      <c r="AW1358" s="153" t="n">
        <f aca="false">IFERROR(IF($N1358="VCA",INDEX(APOIO_REDES!$A:$W,MATCH($C1358&amp;$I1358&amp;$H1358&amp;$N1358&amp;$O1358,APOIO_REDES!$W:$W,0),MATCH(AW$5,APOIO_REDES!$5:$5,0)),0)*$AP1358,0)</f>
        <v>48.0842812354981</v>
      </c>
      <c r="AX1358" s="153" t="n">
        <f aca="false">IFERROR(IF($N1358="VCA",INDEX(APOIO_REDES!$A:$W,MATCH($C1358&amp;$I1358&amp;$H1358&amp;$N1358&amp;$O1358,APOIO_REDES!$W:$W,0),MATCH(AX$5,APOIO_REDES!$5:$5,0)),0)*$AP1358,0)</f>
        <v>6.65472755232513</v>
      </c>
      <c r="AY1358" s="153" t="n">
        <f aca="false">IFERROR(IF($N1358="VCA",INDEX(APOIO_REDES!$A:$W,MATCH($C1358&amp;$I1358&amp;$H1358&amp;$N1358&amp;$O1358,APOIO_REDES!$W:$W,0),MATCH(AY$5,APOIO_REDES!$5:$5,0)),0)*$AP1358,0)</f>
        <v>12.1732339713757</v>
      </c>
      <c r="AZ1358" s="153" t="n">
        <f aca="false">IFERROR(IF($N1358="VCA",INDEX(APOIO_REDES!$A:$W,MATCH($C1358&amp;$I1358&amp;$H1358&amp;$N1358&amp;$O1358,APOIO_REDES!$W:$W,0),MATCH(AZ$5,APOIO_REDES!$5:$5,0)),0)*$AP1358,0)</f>
        <v>1.68474040114142</v>
      </c>
      <c r="BA1358" s="153" t="n">
        <f aca="false">IFERROR(IF(AND($N1358="VCA",$Q1358="LINEAR"),INDEX(APOIO_REDES!$A:$W,MATCH($C1358&amp;$I1358&amp;$H1358&amp;$N1358&amp;$O1358,APOIO_REDES!$W:$W,0),MATCH(BA$5,APOIO_REDES!$5:$5,0)),IF(AND($N1358="MND",$Q1358="EMBOQUE"),INDEX(APOIO_REDES!$A:$W,MATCH($C1358&amp;$I1358&amp;$H1358&amp;$N1358&amp;$O1358,APOIO_REDES!$W:$W,0),MATCH(BA$5,APOIO_REDES!$5:$5,0)),0))*$M1358/10,0)</f>
        <v>6.37284255223323</v>
      </c>
      <c r="BB1358" s="153" t="n">
        <f aca="false">IFERROR(IF($N1358="VCA",INDEX(APOIO_REDES!$A:$W,MATCH($C1358&amp;$I1358&amp;$H1358&amp;$N1358&amp;$O1358,APOIO_REDES!$W:$W,0),MATCH(BB$5,APOIO_REDES!$5:$5,0)),0)*($AI1358+$AQ1358+$AR1358),0)</f>
        <v>23.537207709189</v>
      </c>
      <c r="BC1358" s="153" t="n">
        <f aca="false">IFERROR(IF($N1358="VCA",INDEX(APOIO_REDES!$A:$W,MATCH($C1358&amp;$I1358&amp;$H1358&amp;$N1358&amp;$O1358,APOIO_REDES!$W:$W,0),MATCH(BC$5,APOIO_REDES!$5:$5,0)),0)*($AI1358+$AQ1358+$AR1358),0)</f>
        <v>0.25890879081096</v>
      </c>
      <c r="BD1358" s="153" t="n">
        <f aca="false">IF(AND($N1358="VCA",$AF1358&gt;=1.25,$AF1358&lt;1.5),$M1358*$AF1358*2,0)</f>
        <v>215.54482</v>
      </c>
      <c r="BE1358" s="153" t="n">
        <f aca="false">IF(AND($N1358="VCA",$AF1358&gt;=1.5,$AF1358&lt;3),$M1358*$AF1358*2,0)</f>
        <v>0</v>
      </c>
      <c r="BF1358" s="153" t="n">
        <f aca="false">IF(AND($N1358="VCA",$AF1358&gt;=3),$M1358*$AF1358*2,0)</f>
        <v>0</v>
      </c>
      <c r="BG1358" s="153" t="n">
        <f aca="false">($BB1358+$BC1358)*$AK1358</f>
        <v>135.63786405</v>
      </c>
      <c r="BH1358" s="153" t="n">
        <f aca="false">IF(AND($M1358&lt;&gt;"",$N1358="VCA",$Q1358="LINEAR"),($M1358*2)/100,IF(AND($M1358&lt;&gt;"",$N1358="MND",$Q1358="EMBOQUE"),($AN1358*2)/100,0))</f>
        <v>1.5814</v>
      </c>
      <c r="BI1358" s="153" t="n">
        <f aca="false">IF(AND($M1358&lt;&gt;"",$N1358="VCA",$Q1358="LINEAR"),$M1358,IF(AND($M1358&lt;&gt;"",$N1358="MND",$Q1358="EMBOQUE"),$AN1358*2,0))</f>
        <v>79.07</v>
      </c>
      <c r="BJ1358" s="153" t="n">
        <f aca="false">IF(AND($M1358&lt;&gt;"",$N1358="VCA",$Q1358="LINEAR"),($M1358*6.8)/100,IF(AND($M1358&lt;&gt;"",$N1358="MND",$Q1358="EMBOQUE"),($AN1358*2*6.8)/100,0))</f>
        <v>5.37676</v>
      </c>
      <c r="BK1358" s="153" t="n">
        <f aca="false">IF(AND($M1358&lt;&gt;"",$N1358="VCA",$Q1358="LINEAR"),($M1358*2.5)/50,IF(AND($M1358&lt;&gt;"",$N1358="MND",$Q1358="EMBOQUE"),($AN1358*2*2.5)/50,0))</f>
        <v>3.9535</v>
      </c>
      <c r="BL1358" s="157" t="str">
        <f aca="false">K1358&amp;J1358</f>
        <v>Zona11REDES</v>
      </c>
      <c r="BM1358" s="152" t="s">
        <v>6084</v>
      </c>
      <c r="BN1358" s="152" t="s">
        <v>1560</v>
      </c>
      <c r="BO1358" s="152" t="s">
        <v>6516</v>
      </c>
      <c r="BP1358" s="152" t="s">
        <v>6681</v>
      </c>
      <c r="BQ1358" s="152" t="s">
        <v>6659</v>
      </c>
      <c r="BR1358" s="152" t="s">
        <v>6682</v>
      </c>
      <c r="BS1358" s="152" t="n">
        <v>203820.268</v>
      </c>
      <c r="BT1358" s="152" t="n">
        <v>8236065.615</v>
      </c>
      <c r="BU1358" s="152" t="n">
        <v>203893.443</v>
      </c>
      <c r="BV1358" s="152" t="n">
        <v>8236082.54</v>
      </c>
      <c r="BW1358" s="152" t="n">
        <v>-15.9369556</v>
      </c>
      <c r="BX1358" s="152" t="n">
        <v>-47.7661263</v>
      </c>
      <c r="BY1358" s="152" t="s">
        <v>6681</v>
      </c>
    </row>
    <row r="1359" customFormat="false" ht="13.8" hidden="false" customHeight="false" outlineLevel="0" collapsed="false">
      <c r="A1359" s="149" t="n">
        <f aca="false">IF(C1359&lt;&gt;"",ROW(A1354),"")</f>
        <v>1354</v>
      </c>
      <c r="B1359" s="150" t="str">
        <f aca="false">HYPERLINK("https://www.google.com/maps/dir/-15.917302,-47.760003/-15.9368852,-47.7657834/data=!4m3!4m2!3e0!5i2")</f>
        <v>https://www.google.com/maps/dir/-15.917302,-47.760003/-15.9368852,-47.7657834/data=!4m3!4m2!3e0!5i2</v>
      </c>
      <c r="C1359" s="151" t="s">
        <v>117</v>
      </c>
      <c r="D1359" s="152" t="s">
        <v>112</v>
      </c>
      <c r="E1359" s="152" t="s">
        <v>113</v>
      </c>
      <c r="F1359" s="152" t="s">
        <v>117</v>
      </c>
      <c r="G1359" s="152" t="s">
        <v>782</v>
      </c>
      <c r="H1359" s="152" t="n">
        <v>63</v>
      </c>
      <c r="I1359" s="152" t="s">
        <v>115</v>
      </c>
      <c r="J1359" s="152" t="s">
        <v>6</v>
      </c>
      <c r="K1359" s="152" t="s">
        <v>6081</v>
      </c>
      <c r="L1359" s="152" t="s">
        <v>120</v>
      </c>
      <c r="M1359" s="153" t="n">
        <f aca="false">50.65</f>
        <v>50.65</v>
      </c>
      <c r="N1359" s="152" t="s">
        <v>1548</v>
      </c>
      <c r="O1359" s="152" t="s">
        <v>1549</v>
      </c>
      <c r="P1359" s="152" t="s">
        <v>1550</v>
      </c>
      <c r="Q1359" s="152" t="s">
        <v>1551</v>
      </c>
      <c r="R1359" s="154" t="s">
        <v>6683</v>
      </c>
      <c r="S1359" s="154" t="s">
        <v>1553</v>
      </c>
      <c r="T1359" s="155" t="s">
        <v>6514</v>
      </c>
      <c r="U1359" s="152" t="str">
        <f aca="false">RIGHT(T1359,7)</f>
        <v>024/037</v>
      </c>
      <c r="V1359" s="152" t="s">
        <v>1555</v>
      </c>
      <c r="W1359" s="156" t="n">
        <v>45882</v>
      </c>
      <c r="X1359" s="152" t="s">
        <v>1594</v>
      </c>
      <c r="Y1359" s="152" t="s">
        <v>6525</v>
      </c>
      <c r="Z1359" s="152" t="s">
        <v>1557</v>
      </c>
      <c r="AA1359" s="153" t="n">
        <v>5.6</v>
      </c>
      <c r="AB1359" s="151" t="s">
        <v>6684</v>
      </c>
      <c r="AC1359" s="151" t="s">
        <v>186</v>
      </c>
      <c r="AD1359" s="151" t="str">
        <f aca="false">CONCATENATE($C1359,$I1359,$H1359,$N1359,$J1359,$K1359)</f>
        <v>TUBO PEADPEAD63VCAREDESZona11</v>
      </c>
      <c r="AE1359" s="153" t="n">
        <f aca="false">IFERROR(INDEX(APOIO_REDES!$A:$W,MATCH($C1359&amp;$I1359&amp;$H1359&amp;$N1359&amp;$O1359,APOIO_REDES!$W:$W,0),MATCH(AE$5,APOIO_REDES!$5:$5,0)),0)</f>
        <v>1.2</v>
      </c>
      <c r="AF1359" s="153" t="n">
        <f aca="false">IFERROR(INDEX(APOIO_REDES!$A:$W,MATCH($C1359&amp;$I1359&amp;$H1359&amp;$N1359&amp;$O1359,APOIO_REDES!$W:$W,0),MATCH(AF$5,APOIO_REDES!$5:$5,0)),0)</f>
        <v>1.363</v>
      </c>
      <c r="AG1359" s="153" t="n">
        <f aca="false">IFERROR(INDEX(APOIO_REDES!$A:$W,MATCH($C1359&amp;$I1359&amp;$H1359&amp;$N1359&amp;$O1359,APOIO_REDES!$W:$W,0),MATCH(AG$5,APOIO_REDES!$5:$5,0)),0)</f>
        <v>0.65</v>
      </c>
      <c r="AH1359" s="153" t="n">
        <f aca="false">IFERROR(INDEX(APOIO_REDES!$A:$W,MATCH($C1359&amp;$I1359&amp;$H1359&amp;$N1359&amp;$O1359,APOIO_REDES!$W:$W,0),MATCH(AH$5,APOIO_REDES!$5:$5,0)),0)</f>
        <v>0.1</v>
      </c>
      <c r="AI1359" s="153" t="n">
        <f aca="false">IFERROR(IF($H1359&lt;&gt;"",(((($H1359/1000)/2)^2)*PI()*$M1359),0),0)</f>
        <v>0.157888474978065</v>
      </c>
      <c r="AJ1359" s="153" t="n">
        <f aca="false">IFERROR(IF(AND($H1359&lt;&gt;"",$I1359="FoFo",OR($N1359="MND",$N1359="VCA"),$Q1359="LINEAR"),0,IF(AND($H1359&lt;&gt;"",$I1359="PEAD",$N1359="VCA",$Q1359="LINEAR"),($H1359/1000)+0.3,IF(AND($H1359&lt;&gt;"",$I1359="PEAD",$N1359="MND",$Q1359="EMBOQUE"),0,IF(AND($H1359&lt;&gt;"",$I1359="PVC",$N1359="VCA",$Q1359="LINEAR"),($H1359/1000)+0.2,IF(AND($H1359&lt;&gt;"",$I1359="PVC",$N1359="MND",$Q1359="EMBOQUE"),0,IF(AND($H1359&lt;&gt;"",$I1359="PEAD",$N1359="VCA",$Q1359="PREDIAL"),0,0)))))),0)</f>
        <v>0.363</v>
      </c>
      <c r="AK1359" s="153" t="n">
        <f aca="false">IF(AA1359&lt;&gt;"",AA1359,0)</f>
        <v>5.6</v>
      </c>
      <c r="AL1359" s="153" t="n">
        <f aca="false">IF(AND($N1359="MND",$Q1359="EMBOQUE"),$M1359,IF(AND($N1359="VCA",$Q1359="LINEAR"),$M1359,IF(AND($N1359="VCA",$Q1359="PREDIAL"),0,0)))</f>
        <v>50.65</v>
      </c>
      <c r="AM1359" s="153" t="n">
        <f aca="false">IF(AND($N1359="MND",$Q1359="EMBOQUE"),$M1359,IF(AND($N1359="VCA",$Q1359="LINEAR"),$M1359,IF(AND($N1359="VCA",$Q1359="PREDIAL"),0,0)))</f>
        <v>50.65</v>
      </c>
      <c r="AN1359" s="153" t="n">
        <f aca="false">ROUND(IF(AND($N1359="VCA",$M1359&lt;&gt;"",$Q1359="LINEAR"),$M1359/100,IF(AND($N1359="MND",$M1359&gt;100,$Q1359="EMBOQUE"),$M1359/100,0)),0)</f>
        <v>1</v>
      </c>
      <c r="AO1359" s="153" t="n">
        <f aca="false">IF(AND($N1359="MND",$Q1359="EMBOQUE"),$AN1359*2*2,IF(AND($N1359="VCA",$Q1359="LINEAR"),$M1359*2,IF(AND($N1359="VCA",$Q1359="PREDIAL"),0,0)))</f>
        <v>101.3</v>
      </c>
      <c r="AP1359" s="153" t="n">
        <f aca="false">IFERROR($M1359*$AF1359*$AG1359,0)</f>
        <v>44.8733675</v>
      </c>
      <c r="AQ1359" s="153" t="n">
        <f aca="false">IFERROR(IF(AND($N1359="VCA",$AH1359&gt;0),$M1359*$AG1359*$AH1359,0),0)</f>
        <v>3.29225</v>
      </c>
      <c r="AR1359" s="153" t="n">
        <f aca="false">IFERROR(IF(AND($N1359="VCA",$AJ1359&gt;0),($M1359*$AG1359*$AJ1359)-$AI1359,0),0)</f>
        <v>11.7929790250219</v>
      </c>
      <c r="AS1359" s="153" t="n">
        <f aca="false">IFERROR(IF(AND($N1359="VCA",$AP1359&gt;0),$AP1359-$AI1359-$AQ1359-$AR1359,0),0)</f>
        <v>29.63025</v>
      </c>
      <c r="AT1359" s="153" t="n">
        <f aca="false">IFERROR(IF($N1359="VCA",INDEX(APOIO_REDES!$A:$W,MATCH($C1359&amp;$I1359&amp;$H1359&amp;$N1359&amp;$O1359,APOIO_REDES!$W:$W,0),MATCH(AT$5,APOIO_REDES!$5:$5,0)),0)*$AP1359,0)</f>
        <v>0.48823552023881</v>
      </c>
      <c r="AU1359" s="153" t="n">
        <f aca="false">IFERROR(IF($N1359="VCA",INDEX(APOIO_REDES!$A:$W,MATCH($C1359&amp;$I1359&amp;$H1359&amp;$N1359&amp;$O1359,APOIO_REDES!$W:$W,0),MATCH(AU$5,APOIO_REDES!$5:$5,0)),0)*$AP1359,0)</f>
        <v>0.389891663367866</v>
      </c>
      <c r="AV1359" s="153" t="n">
        <f aca="false">IFERROR(IF($N1359="VCA",INDEX(APOIO_REDES!$A:$W,MATCH($C1359&amp;$I1359&amp;$H1359&amp;$N1359&amp;$O1359,APOIO_REDES!$W:$W,0),MATCH(AV$5,APOIO_REDES!$5:$5,0)),0)*$AP1359,0)</f>
        <v>0.0539579454405484</v>
      </c>
      <c r="AW1359" s="153" t="n">
        <f aca="false">IFERROR(IF($N1359="VCA",INDEX(APOIO_REDES!$A:$W,MATCH($C1359&amp;$I1359&amp;$H1359&amp;$N1359&amp;$O1359,APOIO_REDES!$W:$W,0),MATCH(AW$5,APOIO_REDES!$5:$5,0)),0)*$AP1359,0)</f>
        <v>30.8014271478181</v>
      </c>
      <c r="AX1359" s="153" t="n">
        <f aca="false">IFERROR(IF($N1359="VCA",INDEX(APOIO_REDES!$A:$W,MATCH($C1359&amp;$I1359&amp;$H1359&amp;$N1359&amp;$O1359,APOIO_REDES!$W:$W,0),MATCH(AX$5,APOIO_REDES!$5:$5,0)),0)*$AP1359,0)</f>
        <v>4.26282977773198</v>
      </c>
      <c r="AY1359" s="153" t="n">
        <f aca="false">IFERROR(IF($N1359="VCA",INDEX(APOIO_REDES!$A:$W,MATCH($C1359&amp;$I1359&amp;$H1359&amp;$N1359&amp;$O1359,APOIO_REDES!$W:$W,0),MATCH(AY$5,APOIO_REDES!$5:$5,0)),0)*$AP1359,0)</f>
        <v>7.79782851460955</v>
      </c>
      <c r="AZ1359" s="153" t="n">
        <f aca="false">IFERROR(IF($N1359="VCA",INDEX(APOIO_REDES!$A:$W,MATCH($C1359&amp;$I1359&amp;$H1359&amp;$N1359&amp;$O1359,APOIO_REDES!$W:$W,0),MATCH(AZ$5,APOIO_REDES!$5:$5,0)),0)*$AP1359,0)</f>
        <v>1.07919693079313</v>
      </c>
      <c r="BA1359" s="153" t="n">
        <f aca="false">IFERROR(IF(AND($N1359="VCA",$Q1359="LINEAR"),INDEX(APOIO_REDES!$A:$W,MATCH($C1359&amp;$I1359&amp;$H1359&amp;$N1359&amp;$O1359,APOIO_REDES!$W:$W,0),MATCH(BA$5,APOIO_REDES!$5:$5,0)),IF(AND($N1359="MND",$Q1359="EMBOQUE"),INDEX(APOIO_REDES!$A:$W,MATCH($C1359&amp;$I1359&amp;$H1359&amp;$N1359&amp;$O1359,APOIO_REDES!$W:$W,0),MATCH(BA$5,APOIO_REDES!$5:$5,0)),0))*$M1359/10,0)</f>
        <v>4.08226223941587</v>
      </c>
      <c r="BB1359" s="153" t="n">
        <f aca="false">IFERROR(IF($N1359="VCA",INDEX(APOIO_REDES!$A:$W,MATCH($C1359&amp;$I1359&amp;$H1359&amp;$N1359&amp;$O1359,APOIO_REDES!$W:$W,0),MATCH(BB$5,APOIO_REDES!$5:$5,0)),0)*($AI1359+$AQ1359+$AR1359),0)</f>
        <v>15.0772678698675</v>
      </c>
      <c r="BC1359" s="153" t="n">
        <f aca="false">IFERROR(IF($N1359="VCA",INDEX(APOIO_REDES!$A:$W,MATCH($C1359&amp;$I1359&amp;$H1359&amp;$N1359&amp;$O1359,APOIO_REDES!$W:$W,0),MATCH(BC$5,APOIO_REDES!$5:$5,0)),0)*($AI1359+$AQ1359+$AR1359),0)</f>
        <v>0.165849630132479</v>
      </c>
      <c r="BD1359" s="153" t="n">
        <f aca="false">IF(AND($N1359="VCA",$AF1359&gt;=1.25,$AF1359&lt;1.5),$M1359*$AF1359*2,0)</f>
        <v>138.0719</v>
      </c>
      <c r="BE1359" s="153" t="n">
        <f aca="false">IF(AND($N1359="VCA",$AF1359&gt;=1.5,$AF1359&lt;3),$M1359*$AF1359*2,0)</f>
        <v>0</v>
      </c>
      <c r="BF1359" s="153" t="n">
        <f aca="false">IF(AND($N1359="VCA",$AF1359&gt;=3),$M1359*$AF1359*2,0)</f>
        <v>0</v>
      </c>
      <c r="BG1359" s="153" t="n">
        <f aca="false">($BB1359+$BC1359)*$AK1359</f>
        <v>85.361458</v>
      </c>
      <c r="BH1359" s="153" t="n">
        <f aca="false">IF(AND($M1359&lt;&gt;"",$N1359="VCA",$Q1359="LINEAR"),($M1359*2)/100,IF(AND($M1359&lt;&gt;"",$N1359="MND",$Q1359="EMBOQUE"),($AN1359*2)/100,0))</f>
        <v>1.013</v>
      </c>
      <c r="BI1359" s="153" t="n">
        <f aca="false">IF(AND($M1359&lt;&gt;"",$N1359="VCA",$Q1359="LINEAR"),$M1359,IF(AND($M1359&lt;&gt;"",$N1359="MND",$Q1359="EMBOQUE"),$AN1359*2,0))</f>
        <v>50.65</v>
      </c>
      <c r="BJ1359" s="153" t="n">
        <f aca="false">IF(AND($M1359&lt;&gt;"",$N1359="VCA",$Q1359="LINEAR"),($M1359*6.8)/100,IF(AND($M1359&lt;&gt;"",$N1359="MND",$Q1359="EMBOQUE"),($AN1359*2*6.8)/100,0))</f>
        <v>3.4442</v>
      </c>
      <c r="BK1359" s="153" t="n">
        <f aca="false">IF(AND($M1359&lt;&gt;"",$N1359="VCA",$Q1359="LINEAR"),($M1359*2.5)/50,IF(AND($M1359&lt;&gt;"",$N1359="MND",$Q1359="EMBOQUE"),($AN1359*2*2.5)/50,0))</f>
        <v>2.5325</v>
      </c>
      <c r="BL1359" s="157" t="str">
        <f aca="false">K1359&amp;J1359</f>
        <v>Zona11REDES</v>
      </c>
      <c r="BM1359" s="152" t="s">
        <v>6084</v>
      </c>
      <c r="BN1359" s="152" t="s">
        <v>1560</v>
      </c>
      <c r="BO1359" s="152" t="s">
        <v>6516</v>
      </c>
      <c r="BP1359" s="152" t="s">
        <v>6659</v>
      </c>
      <c r="BQ1359" s="152" t="s">
        <v>6685</v>
      </c>
      <c r="BR1359" s="152" t="s">
        <v>6686</v>
      </c>
      <c r="BS1359" s="152" t="n">
        <v>203893.443</v>
      </c>
      <c r="BT1359" s="152" t="n">
        <v>8236082.54</v>
      </c>
      <c r="BU1359" s="152" t="n">
        <v>203903.503</v>
      </c>
      <c r="BV1359" s="152" t="n">
        <v>8236032.907</v>
      </c>
      <c r="BW1359" s="152" t="n">
        <v>-15.9371106</v>
      </c>
      <c r="BX1359" s="152" t="n">
        <v>-47.765743</v>
      </c>
      <c r="BY1359" s="152" t="s">
        <v>6659</v>
      </c>
    </row>
    <row r="1360" customFormat="false" ht="13.8" hidden="false" customHeight="false" outlineLevel="0" collapsed="false">
      <c r="A1360" s="149" t="n">
        <f aca="false">IF(C1360&lt;&gt;"",ROW(A1355),"")</f>
        <v>1355</v>
      </c>
      <c r="B1360" s="150" t="str">
        <f aca="false">HYPERLINK("https://www.google.com/maps/dir/-15.917302,-47.760003/-15.9374342,-47.7624871/data=!4m3!4m2!3e0!5i1")</f>
        <v>https://www.google.com/maps/dir/-15.917302,-47.760003/-15.9374342,-47.7624871/data=!4m3!4m2!3e0!5i1</v>
      </c>
      <c r="C1360" s="151" t="s">
        <v>117</v>
      </c>
      <c r="D1360" s="152" t="s">
        <v>112</v>
      </c>
      <c r="E1360" s="152" t="s">
        <v>113</v>
      </c>
      <c r="F1360" s="152" t="s">
        <v>117</v>
      </c>
      <c r="G1360" s="152" t="s">
        <v>782</v>
      </c>
      <c r="H1360" s="152" t="n">
        <v>63</v>
      </c>
      <c r="I1360" s="152" t="s">
        <v>115</v>
      </c>
      <c r="J1360" s="152" t="s">
        <v>6</v>
      </c>
      <c r="K1360" s="152" t="s">
        <v>6081</v>
      </c>
      <c r="L1360" s="152" t="s">
        <v>120</v>
      </c>
      <c r="M1360" s="153" t="n">
        <f aca="false">175.89+0.57</f>
        <v>176.46</v>
      </c>
      <c r="N1360" s="152" t="s">
        <v>1548</v>
      </c>
      <c r="O1360" s="152" t="s">
        <v>1549</v>
      </c>
      <c r="P1360" s="152" t="s">
        <v>1550</v>
      </c>
      <c r="Q1360" s="152" t="s">
        <v>1551</v>
      </c>
      <c r="R1360" s="154" t="s">
        <v>6687</v>
      </c>
      <c r="S1360" s="154" t="s">
        <v>1553</v>
      </c>
      <c r="T1360" s="155" t="s">
        <v>6514</v>
      </c>
      <c r="U1360" s="152" t="str">
        <f aca="false">RIGHT(T1360,7)</f>
        <v>024/037</v>
      </c>
      <c r="V1360" s="152" t="s">
        <v>1555</v>
      </c>
      <c r="W1360" s="156" t="n">
        <v>45882</v>
      </c>
      <c r="X1360" s="152" t="s">
        <v>3938</v>
      </c>
      <c r="Y1360" s="152" t="s">
        <v>6234</v>
      </c>
      <c r="Z1360" s="152" t="s">
        <v>1557</v>
      </c>
      <c r="AA1360" s="153" t="n">
        <v>4.9</v>
      </c>
      <c r="AB1360" s="151" t="s">
        <v>6688</v>
      </c>
      <c r="AC1360" s="151" t="s">
        <v>186</v>
      </c>
      <c r="AD1360" s="151" t="str">
        <f aca="false">CONCATENATE($C1360,$I1360,$H1360,$N1360,$J1360,$K1360)</f>
        <v>TUBO PEADPEAD63VCAREDESZona11</v>
      </c>
      <c r="AE1360" s="153" t="n">
        <f aca="false">IFERROR(INDEX(APOIO_REDES!$A:$W,MATCH($C1360&amp;$I1360&amp;$H1360&amp;$N1360&amp;$O1360,APOIO_REDES!$W:$W,0),MATCH(AE$5,APOIO_REDES!$5:$5,0)),0)</f>
        <v>1.2</v>
      </c>
      <c r="AF1360" s="153" t="n">
        <f aca="false">IFERROR(INDEX(APOIO_REDES!$A:$W,MATCH($C1360&amp;$I1360&amp;$H1360&amp;$N1360&amp;$O1360,APOIO_REDES!$W:$W,0),MATCH(AF$5,APOIO_REDES!$5:$5,0)),0)</f>
        <v>1.363</v>
      </c>
      <c r="AG1360" s="153" t="n">
        <f aca="false">IFERROR(INDEX(APOIO_REDES!$A:$W,MATCH($C1360&amp;$I1360&amp;$H1360&amp;$N1360&amp;$O1360,APOIO_REDES!$W:$W,0),MATCH(AG$5,APOIO_REDES!$5:$5,0)),0)</f>
        <v>0.65</v>
      </c>
      <c r="AH1360" s="153" t="n">
        <f aca="false">IFERROR(INDEX(APOIO_REDES!$A:$W,MATCH($C1360&amp;$I1360&amp;$H1360&amp;$N1360&amp;$O1360,APOIO_REDES!$W:$W,0),MATCH(AH$5,APOIO_REDES!$5:$5,0)),0)</f>
        <v>0.1</v>
      </c>
      <c r="AI1360" s="153" t="n">
        <f aca="false">IFERROR(IF($H1360&lt;&gt;"",(((($H1360/1000)/2)^2)*PI()*$M1360),0),0)</f>
        <v>0.550069107495148</v>
      </c>
      <c r="AJ1360" s="153" t="n">
        <f aca="false">IFERROR(IF(AND($H1360&lt;&gt;"",$I1360="FoFo",OR($N1360="MND",$N1360="VCA"),$Q1360="LINEAR"),0,IF(AND($H1360&lt;&gt;"",$I1360="PEAD",$N1360="VCA",$Q1360="LINEAR"),($H1360/1000)+0.3,IF(AND($H1360&lt;&gt;"",$I1360="PEAD",$N1360="MND",$Q1360="EMBOQUE"),0,IF(AND($H1360&lt;&gt;"",$I1360="PVC",$N1360="VCA",$Q1360="LINEAR"),($H1360/1000)+0.2,IF(AND($H1360&lt;&gt;"",$I1360="PVC",$N1360="MND",$Q1360="EMBOQUE"),0,IF(AND($H1360&lt;&gt;"",$I1360="PEAD",$N1360="VCA",$Q1360="PREDIAL"),0,0)))))),0)</f>
        <v>0.363</v>
      </c>
      <c r="AK1360" s="153" t="n">
        <f aca="false">IF(AA1360&lt;&gt;"",AA1360,0)</f>
        <v>4.9</v>
      </c>
      <c r="AL1360" s="153" t="n">
        <f aca="false">IF(AND($N1360="MND",$Q1360="EMBOQUE"),$M1360,IF(AND($N1360="VCA",$Q1360="LINEAR"),$M1360,IF(AND($N1360="VCA",$Q1360="PREDIAL"),0,0)))</f>
        <v>176.46</v>
      </c>
      <c r="AM1360" s="153" t="n">
        <f aca="false">IF(AND($N1360="MND",$Q1360="EMBOQUE"),$M1360,IF(AND($N1360="VCA",$Q1360="LINEAR"),$M1360,IF(AND($N1360="VCA",$Q1360="PREDIAL"),0,0)))</f>
        <v>176.46</v>
      </c>
      <c r="AN1360" s="153" t="n">
        <f aca="false">ROUND(IF(AND($N1360="VCA",$M1360&lt;&gt;"",$Q1360="LINEAR"),$M1360/100,IF(AND($N1360="MND",$M1360&gt;100,$Q1360="EMBOQUE"),$M1360/100,0)),0)</f>
        <v>2</v>
      </c>
      <c r="AO1360" s="153" t="n">
        <f aca="false">IF(AND($N1360="MND",$Q1360="EMBOQUE"),$AN1360*2*2,IF(AND($N1360="VCA",$Q1360="LINEAR"),$M1360*2,IF(AND($N1360="VCA",$Q1360="PREDIAL"),0,0)))</f>
        <v>352.92</v>
      </c>
      <c r="AP1360" s="153" t="n">
        <f aca="false">IFERROR($M1360*$AF1360*$AG1360,0)</f>
        <v>156.334737</v>
      </c>
      <c r="AQ1360" s="153" t="n">
        <f aca="false">IFERROR(IF(AND($N1360="VCA",$AH1360&gt;0),$M1360*$AG1360*$AH1360,0),0)</f>
        <v>11.4699</v>
      </c>
      <c r="AR1360" s="153" t="n">
        <f aca="false">IFERROR(IF(AND($N1360="VCA",$AJ1360&gt;0),($M1360*$AG1360*$AJ1360)-$AI1360,0),0)</f>
        <v>41.0856678925048</v>
      </c>
      <c r="AS1360" s="153" t="n">
        <f aca="false">IFERROR(IF(AND($N1360="VCA",$AP1360&gt;0),$AP1360-$AI1360-$AQ1360-$AR1360,0),0)</f>
        <v>103.2291</v>
      </c>
      <c r="AT1360" s="153" t="n">
        <f aca="false">IFERROR(IF($N1360="VCA",INDEX(APOIO_REDES!$A:$W,MATCH($C1360&amp;$I1360&amp;$H1360&amp;$N1360&amp;$O1360,APOIO_REDES!$W:$W,0),MATCH(AT$5,APOIO_REDES!$5:$5,0)),0)*$AP1360,0)</f>
        <v>1.70096821128017</v>
      </c>
      <c r="AU1360" s="153" t="n">
        <f aca="false">IFERROR(IF($N1360="VCA",INDEX(APOIO_REDES!$A:$W,MATCH($C1360&amp;$I1360&amp;$H1360&amp;$N1360&amp;$O1360,APOIO_REDES!$W:$W,0),MATCH(AU$5,APOIO_REDES!$5:$5,0)),0)*$AP1360,0)</f>
        <v>1.3583471454668</v>
      </c>
      <c r="AV1360" s="153" t="n">
        <f aca="false">IFERROR(IF($N1360="VCA",INDEX(APOIO_REDES!$A:$W,MATCH($C1360&amp;$I1360&amp;$H1360&amp;$N1360&amp;$O1360,APOIO_REDES!$W:$W,0),MATCH(AV$5,APOIO_REDES!$5:$5,0)),0)*$AP1360,0)</f>
        <v>0.187984581489421</v>
      </c>
      <c r="AW1360" s="153" t="n">
        <f aca="false">IFERROR(IF($N1360="VCA",INDEX(APOIO_REDES!$A:$W,MATCH($C1360&amp;$I1360&amp;$H1360&amp;$N1360&amp;$O1360,APOIO_REDES!$W:$W,0),MATCH(AW$5,APOIO_REDES!$5:$5,0)),0)*$AP1360,0)</f>
        <v>107.309374817453</v>
      </c>
      <c r="AX1360" s="153" t="n">
        <f aca="false">IFERROR(IF($N1360="VCA",INDEX(APOIO_REDES!$A:$W,MATCH($C1360&amp;$I1360&amp;$H1360&amp;$N1360&amp;$O1360,APOIO_REDES!$W:$W,0),MATCH(AX$5,APOIO_REDES!$5:$5,0)),0)*$AP1360,0)</f>
        <v>14.8513117981952</v>
      </c>
      <c r="AY1360" s="153" t="n">
        <f aca="false">IFERROR(IF($N1360="VCA",INDEX(APOIO_REDES!$A:$W,MATCH($C1360&amp;$I1360&amp;$H1360&amp;$N1360&amp;$O1360,APOIO_REDES!$W:$W,0),MATCH(AY$5,APOIO_REDES!$5:$5,0)),0)*$AP1360,0)</f>
        <v>27.1669263511945</v>
      </c>
      <c r="AZ1360" s="153" t="n">
        <f aca="false">IFERROR(IF($N1360="VCA",INDEX(APOIO_REDES!$A:$W,MATCH($C1360&amp;$I1360&amp;$H1360&amp;$N1360&amp;$O1360,APOIO_REDES!$W:$W,0),MATCH(AZ$5,APOIO_REDES!$5:$5,0)),0)*$AP1360,0)</f>
        <v>3.75982409492115</v>
      </c>
      <c r="BA1360" s="153" t="n">
        <f aca="false">IFERROR(IF(AND($N1360="VCA",$Q1360="LINEAR"),INDEX(APOIO_REDES!$A:$W,MATCH($C1360&amp;$I1360&amp;$H1360&amp;$N1360&amp;$O1360,APOIO_REDES!$W:$W,0),MATCH(BA$5,APOIO_REDES!$5:$5,0)),IF(AND($N1360="MND",$Q1360="EMBOQUE"),INDEX(APOIO_REDES!$A:$W,MATCH($C1360&amp;$I1360&amp;$H1360&amp;$N1360&amp;$O1360,APOIO_REDES!$W:$W,0),MATCH(BA$5,APOIO_REDES!$5:$5,0)),0))*$M1360/10,0)</f>
        <v>14.222230893728</v>
      </c>
      <c r="BB1360" s="153" t="n">
        <f aca="false">IFERROR(IF($N1360="VCA",INDEX(APOIO_REDES!$A:$W,MATCH($C1360&amp;$I1360&amp;$H1360&amp;$N1360&amp;$O1360,APOIO_REDES!$W:$W,0),MATCH(BB$5,APOIO_REDES!$5:$5,0)),0)*($AI1360+$AQ1360+$AR1360),0)</f>
        <v>52.5278319509738</v>
      </c>
      <c r="BC1360" s="153" t="n">
        <f aca="false">IFERROR(IF($N1360="VCA",INDEX(APOIO_REDES!$A:$W,MATCH($C1360&amp;$I1360&amp;$H1360&amp;$N1360&amp;$O1360,APOIO_REDES!$W:$W,0),MATCH(BC$5,APOIO_REDES!$5:$5,0)),0)*($AI1360+$AQ1360+$AR1360),0)</f>
        <v>0.577805049026205</v>
      </c>
      <c r="BD1360" s="153" t="n">
        <f aca="false">IF(AND($N1360="VCA",$AF1360&gt;=1.25,$AF1360&lt;1.5),$M1360*$AF1360*2,0)</f>
        <v>481.02996</v>
      </c>
      <c r="BE1360" s="153" t="n">
        <f aca="false">IF(AND($N1360="VCA",$AF1360&gt;=1.5,$AF1360&lt;3),$M1360*$AF1360*2,0)</f>
        <v>0</v>
      </c>
      <c r="BF1360" s="153" t="n">
        <f aca="false">IF(AND($N1360="VCA",$AF1360&gt;=3),$M1360*$AF1360*2,0)</f>
        <v>0</v>
      </c>
      <c r="BG1360" s="153" t="n">
        <f aca="false">($BB1360+$BC1360)*$AK1360</f>
        <v>260.2176213</v>
      </c>
      <c r="BH1360" s="153" t="n">
        <f aca="false">IF(AND($M1360&lt;&gt;"",$N1360="VCA",$Q1360="LINEAR"),($M1360*2)/100,IF(AND($M1360&lt;&gt;"",$N1360="MND",$Q1360="EMBOQUE"),($AN1360*2)/100,0))</f>
        <v>3.5292</v>
      </c>
      <c r="BI1360" s="153" t="n">
        <f aca="false">IF(AND($M1360&lt;&gt;"",$N1360="VCA",$Q1360="LINEAR"),$M1360,IF(AND($M1360&lt;&gt;"",$N1360="MND",$Q1360="EMBOQUE"),$AN1360*2,0))</f>
        <v>176.46</v>
      </c>
      <c r="BJ1360" s="153" t="n">
        <f aca="false">IF(AND($M1360&lt;&gt;"",$N1360="VCA",$Q1360="LINEAR"),($M1360*6.8)/100,IF(AND($M1360&lt;&gt;"",$N1360="MND",$Q1360="EMBOQUE"),($AN1360*2*6.8)/100,0))</f>
        <v>11.99928</v>
      </c>
      <c r="BK1360" s="153" t="n">
        <f aca="false">IF(AND($M1360&lt;&gt;"",$N1360="VCA",$Q1360="LINEAR"),($M1360*2.5)/50,IF(AND($M1360&lt;&gt;"",$N1360="MND",$Q1360="EMBOQUE"),($AN1360*2*2.5)/50,0))</f>
        <v>8.823</v>
      </c>
      <c r="BL1360" s="157" t="str">
        <f aca="false">K1360&amp;J1360</f>
        <v>Zona11REDES</v>
      </c>
      <c r="BM1360" s="152" t="s">
        <v>6084</v>
      </c>
      <c r="BN1360" s="152" t="s">
        <v>1560</v>
      </c>
      <c r="BO1360" s="152" t="s">
        <v>6516</v>
      </c>
      <c r="BP1360" s="152" t="s">
        <v>6689</v>
      </c>
      <c r="BQ1360" s="152" t="s">
        <v>6663</v>
      </c>
      <c r="BR1360" s="152" t="s">
        <v>6690</v>
      </c>
      <c r="BS1360" s="152" t="n">
        <v>204247.388</v>
      </c>
      <c r="BT1360" s="152" t="n">
        <v>8236026.807</v>
      </c>
      <c r="BU1360" s="152" t="n">
        <v>204417.808</v>
      </c>
      <c r="BV1360" s="152" t="n">
        <v>8236070.193</v>
      </c>
      <c r="BW1360" s="152" t="n">
        <v>-15.9372406</v>
      </c>
      <c r="BX1360" s="152" t="n">
        <v>-47.7616904</v>
      </c>
      <c r="BY1360" s="152" t="s">
        <v>6689</v>
      </c>
    </row>
    <row r="1361" customFormat="false" ht="13.8" hidden="false" customHeight="false" outlineLevel="0" collapsed="false">
      <c r="A1361" s="149" t="n">
        <f aca="false">IF(C1361&lt;&gt;"",ROW(A1356),"")</f>
        <v>1356</v>
      </c>
      <c r="B1361" s="150" t="str">
        <f aca="false">HYPERLINK("https://www.google.com/maps/dir/-15.917302,-47.760003/-15.9371100,-47.7625464/data=!4m3!4m2!3e0!5i1")</f>
        <v>https://www.google.com/maps/dir/-15.917302,-47.760003/-15.9371100,-47.7625464/data=!4m3!4m2!3e0!5i1</v>
      </c>
      <c r="C1361" s="151" t="s">
        <v>117</v>
      </c>
      <c r="D1361" s="152" t="s">
        <v>112</v>
      </c>
      <c r="E1361" s="152" t="s">
        <v>113</v>
      </c>
      <c r="F1361" s="152" t="s">
        <v>117</v>
      </c>
      <c r="G1361" s="152" t="s">
        <v>782</v>
      </c>
      <c r="H1361" s="152" t="n">
        <v>63</v>
      </c>
      <c r="I1361" s="152" t="s">
        <v>115</v>
      </c>
      <c r="J1361" s="152" t="s">
        <v>6</v>
      </c>
      <c r="K1361" s="152" t="s">
        <v>6081</v>
      </c>
      <c r="L1361" s="152" t="s">
        <v>120</v>
      </c>
      <c r="M1361" s="153" t="n">
        <f aca="false">36.22</f>
        <v>36.22</v>
      </c>
      <c r="N1361" s="152" t="s">
        <v>1548</v>
      </c>
      <c r="O1361" s="152" t="s">
        <v>1549</v>
      </c>
      <c r="P1361" s="152" t="s">
        <v>1550</v>
      </c>
      <c r="Q1361" s="152" t="s">
        <v>1551</v>
      </c>
      <c r="R1361" s="154" t="s">
        <v>6691</v>
      </c>
      <c r="S1361" s="154" t="s">
        <v>1553</v>
      </c>
      <c r="T1361" s="155" t="s">
        <v>6514</v>
      </c>
      <c r="U1361" s="152" t="str">
        <f aca="false">RIGHT(T1361,7)</f>
        <v>024/037</v>
      </c>
      <c r="V1361" s="152" t="s">
        <v>1555</v>
      </c>
      <c r="W1361" s="156" t="n">
        <v>45882</v>
      </c>
      <c r="X1361" s="152" t="s">
        <v>3938</v>
      </c>
      <c r="Y1361" s="152" t="s">
        <v>6234</v>
      </c>
      <c r="Z1361" s="152" t="s">
        <v>1557</v>
      </c>
      <c r="AA1361" s="153" t="n">
        <v>4.8</v>
      </c>
      <c r="AB1361" s="151" t="s">
        <v>6692</v>
      </c>
      <c r="AC1361" s="151" t="s">
        <v>186</v>
      </c>
      <c r="AD1361" s="151" t="str">
        <f aca="false">CONCATENATE($C1361,$I1361,$H1361,$N1361,$J1361,$K1361)</f>
        <v>TUBO PEADPEAD63VCAREDESZona11</v>
      </c>
      <c r="AE1361" s="153" t="n">
        <f aca="false">IFERROR(INDEX(APOIO_REDES!$A:$W,MATCH($C1361&amp;$I1361&amp;$H1361&amp;$N1361&amp;$O1361,APOIO_REDES!$W:$W,0),MATCH(AE$5,APOIO_REDES!$5:$5,0)),0)</f>
        <v>1.2</v>
      </c>
      <c r="AF1361" s="153" t="n">
        <f aca="false">IFERROR(INDEX(APOIO_REDES!$A:$W,MATCH($C1361&amp;$I1361&amp;$H1361&amp;$N1361&amp;$O1361,APOIO_REDES!$W:$W,0),MATCH(AF$5,APOIO_REDES!$5:$5,0)),0)</f>
        <v>1.363</v>
      </c>
      <c r="AG1361" s="153" t="n">
        <f aca="false">IFERROR(INDEX(APOIO_REDES!$A:$W,MATCH($C1361&amp;$I1361&amp;$H1361&amp;$N1361&amp;$O1361,APOIO_REDES!$W:$W,0),MATCH(AG$5,APOIO_REDES!$5:$5,0)),0)</f>
        <v>0.65</v>
      </c>
      <c r="AH1361" s="153" t="n">
        <f aca="false">IFERROR(INDEX(APOIO_REDES!$A:$W,MATCH($C1361&amp;$I1361&amp;$H1361&amp;$N1361&amp;$O1361,APOIO_REDES!$W:$W,0),MATCH(AH$5,APOIO_REDES!$5:$5,0)),0)</f>
        <v>0.1</v>
      </c>
      <c r="AI1361" s="153" t="n">
        <f aca="false">IFERROR(IF($H1361&lt;&gt;"",(((($H1361/1000)/2)^2)*PI()*$M1361),0),0)</f>
        <v>0.112906625147196</v>
      </c>
      <c r="AJ1361" s="153" t="n">
        <f aca="false">IFERROR(IF(AND($H1361&lt;&gt;"",$I1361="FoFo",OR($N1361="MND",$N1361="VCA"),$Q1361="LINEAR"),0,IF(AND($H1361&lt;&gt;"",$I1361="PEAD",$N1361="VCA",$Q1361="LINEAR"),($H1361/1000)+0.3,IF(AND($H1361&lt;&gt;"",$I1361="PEAD",$N1361="MND",$Q1361="EMBOQUE"),0,IF(AND($H1361&lt;&gt;"",$I1361="PVC",$N1361="VCA",$Q1361="LINEAR"),($H1361/1000)+0.2,IF(AND($H1361&lt;&gt;"",$I1361="PVC",$N1361="MND",$Q1361="EMBOQUE"),0,IF(AND($H1361&lt;&gt;"",$I1361="PEAD",$N1361="VCA",$Q1361="PREDIAL"),0,0)))))),0)</f>
        <v>0.363</v>
      </c>
      <c r="AK1361" s="153" t="n">
        <f aca="false">IF(AA1361&lt;&gt;"",AA1361,0)</f>
        <v>4.8</v>
      </c>
      <c r="AL1361" s="153" t="n">
        <f aca="false">IF(AND($N1361="MND",$Q1361="EMBOQUE"),$M1361,IF(AND($N1361="VCA",$Q1361="LINEAR"),$M1361,IF(AND($N1361="VCA",$Q1361="PREDIAL"),0,0)))</f>
        <v>36.22</v>
      </c>
      <c r="AM1361" s="153" t="n">
        <f aca="false">IF(AND($N1361="MND",$Q1361="EMBOQUE"),$M1361,IF(AND($N1361="VCA",$Q1361="LINEAR"),$M1361,IF(AND($N1361="VCA",$Q1361="PREDIAL"),0,0)))</f>
        <v>36.22</v>
      </c>
      <c r="AN1361" s="153" t="n">
        <f aca="false">ROUND(IF(AND($N1361="VCA",$M1361&lt;&gt;"",$Q1361="LINEAR"),$M1361/100,IF(AND($N1361="MND",$M1361&gt;100,$Q1361="EMBOQUE"),$M1361/100,0)),0)</f>
        <v>0</v>
      </c>
      <c r="AO1361" s="153" t="n">
        <f aca="false">IF(AND($N1361="MND",$Q1361="EMBOQUE"),$AN1361*2*2,IF(AND($N1361="VCA",$Q1361="LINEAR"),$M1361*2,IF(AND($N1361="VCA",$Q1361="PREDIAL"),0,0)))</f>
        <v>72.44</v>
      </c>
      <c r="AP1361" s="153" t="n">
        <f aca="false">IFERROR($M1361*$AF1361*$AG1361,0)</f>
        <v>32.089109</v>
      </c>
      <c r="AQ1361" s="153" t="n">
        <f aca="false">IFERROR(IF(AND($N1361="VCA",$AH1361&gt;0),$M1361*$AG1361*$AH1361,0),0)</f>
        <v>2.3543</v>
      </c>
      <c r="AR1361" s="153" t="n">
        <f aca="false">IFERROR(IF(AND($N1361="VCA",$AJ1361&gt;0),($M1361*$AG1361*$AJ1361)-$AI1361,0),0)</f>
        <v>8.4332023748528</v>
      </c>
      <c r="AS1361" s="153" t="n">
        <f aca="false">IFERROR(IF(AND($N1361="VCA",$AP1361&gt;0),$AP1361-$AI1361-$AQ1361-$AR1361,0),0)</f>
        <v>21.1887</v>
      </c>
      <c r="AT1361" s="153" t="n">
        <f aca="false">IFERROR(IF($N1361="VCA",INDEX(APOIO_REDES!$A:$W,MATCH($C1361&amp;$I1361&amp;$H1361&amp;$N1361&amp;$O1361,APOIO_REDES!$W:$W,0),MATCH(AT$5,APOIO_REDES!$5:$5,0)),0)*$AP1361,0)</f>
        <v>0.349139003811445</v>
      </c>
      <c r="AU1361" s="153" t="n">
        <f aca="false">IFERROR(IF($N1361="VCA",INDEX(APOIO_REDES!$A:$W,MATCH($C1361&amp;$I1361&amp;$H1361&amp;$N1361&amp;$O1361,APOIO_REDES!$W:$W,0),MATCH(AU$5,APOIO_REDES!$5:$5,0)),0)*$AP1361,0)</f>
        <v>0.278812952560397</v>
      </c>
      <c r="AV1361" s="153" t="n">
        <f aca="false">IFERROR(IF($N1361="VCA",INDEX(APOIO_REDES!$A:$W,MATCH($C1361&amp;$I1361&amp;$H1361&amp;$N1361&amp;$O1361,APOIO_REDES!$W:$W,0),MATCH(AV$5,APOIO_REDES!$5:$5,0)),0)*$AP1361,0)</f>
        <v>0.038585523866864</v>
      </c>
      <c r="AW1361" s="153" t="n">
        <f aca="false">IFERROR(IF($N1361="VCA",INDEX(APOIO_REDES!$A:$W,MATCH($C1361&amp;$I1361&amp;$H1361&amp;$N1361&amp;$O1361,APOIO_REDES!$W:$W,0),MATCH(AW$5,APOIO_REDES!$5:$5,0)),0)*$AP1361,0)</f>
        <v>22.0262130561495</v>
      </c>
      <c r="AX1361" s="153" t="n">
        <f aca="false">IFERROR(IF($N1361="VCA",INDEX(APOIO_REDES!$A:$W,MATCH($C1361&amp;$I1361&amp;$H1361&amp;$N1361&amp;$O1361,APOIO_REDES!$W:$W,0),MATCH(AX$5,APOIO_REDES!$5:$5,0)),0)*$AP1361,0)</f>
        <v>3.04836514411555</v>
      </c>
      <c r="AY1361" s="153" t="n">
        <f aca="false">IFERROR(IF($N1361="VCA",INDEX(APOIO_REDES!$A:$W,MATCH($C1361&amp;$I1361&amp;$H1361&amp;$N1361&amp;$O1361,APOIO_REDES!$W:$W,0),MATCH(AY$5,APOIO_REDES!$5:$5,0)),0)*$AP1361,0)</f>
        <v>5.57625565250065</v>
      </c>
      <c r="AZ1361" s="153" t="n">
        <f aca="false">IFERROR(IF($N1361="VCA",INDEX(APOIO_REDES!$A:$W,MATCH($C1361&amp;$I1361&amp;$H1361&amp;$N1361&amp;$O1361,APOIO_REDES!$W:$W,0),MATCH(AZ$5,APOIO_REDES!$5:$5,0)),0)*$AP1361,0)</f>
        <v>0.771737666995602</v>
      </c>
      <c r="BA1361" s="153" t="n">
        <f aca="false">IFERROR(IF(AND($N1361="VCA",$Q1361="LINEAR"),INDEX(APOIO_REDES!$A:$W,MATCH($C1361&amp;$I1361&amp;$H1361&amp;$N1361&amp;$O1361,APOIO_REDES!$W:$W,0),MATCH(BA$5,APOIO_REDES!$5:$5,0)),IF(AND($N1361="MND",$Q1361="EMBOQUE"),INDEX(APOIO_REDES!$A:$W,MATCH($C1361&amp;$I1361&amp;$H1361&amp;$N1361&amp;$O1361,APOIO_REDES!$W:$W,0),MATCH(BA$5,APOIO_REDES!$5:$5,0)),0))*$M1361/10,0)</f>
        <v>2.91924063793964</v>
      </c>
      <c r="BB1361" s="153" t="n">
        <f aca="false">IFERROR(IF($N1361="VCA",INDEX(APOIO_REDES!$A:$W,MATCH($C1361&amp;$I1361&amp;$H1361&amp;$N1361&amp;$O1361,APOIO_REDES!$W:$W,0),MATCH(BB$5,APOIO_REDES!$5:$5,0)),0)*($AI1361+$AQ1361+$AR1361),0)</f>
        <v>10.7818093237236</v>
      </c>
      <c r="BC1361" s="153" t="n">
        <f aca="false">IFERROR(IF($N1361="VCA",INDEX(APOIO_REDES!$A:$W,MATCH($C1361&amp;$I1361&amp;$H1361&amp;$N1361&amp;$O1361,APOIO_REDES!$W:$W,0),MATCH(BC$5,APOIO_REDES!$5:$5,0)),0)*($AI1361+$AQ1361+$AR1361),0)</f>
        <v>0.118599676276375</v>
      </c>
      <c r="BD1361" s="153" t="n">
        <f aca="false">IF(AND($N1361="VCA",$AF1361&gt;=1.25,$AF1361&lt;1.5),$M1361*$AF1361*2,0)</f>
        <v>98.73572</v>
      </c>
      <c r="BE1361" s="153" t="n">
        <f aca="false">IF(AND($N1361="VCA",$AF1361&gt;=1.5,$AF1361&lt;3),$M1361*$AF1361*2,0)</f>
        <v>0</v>
      </c>
      <c r="BF1361" s="153" t="n">
        <f aca="false">IF(AND($N1361="VCA",$AF1361&gt;=3),$M1361*$AF1361*2,0)</f>
        <v>0</v>
      </c>
      <c r="BG1361" s="153" t="n">
        <f aca="false">($BB1361+$BC1361)*$AK1361</f>
        <v>52.3219632</v>
      </c>
      <c r="BH1361" s="153" t="n">
        <f aca="false">IF(AND($M1361&lt;&gt;"",$N1361="VCA",$Q1361="LINEAR"),($M1361*2)/100,IF(AND($M1361&lt;&gt;"",$N1361="MND",$Q1361="EMBOQUE"),($AN1361*2)/100,0))</f>
        <v>0.7244</v>
      </c>
      <c r="BI1361" s="153" t="n">
        <f aca="false">IF(AND($M1361&lt;&gt;"",$N1361="VCA",$Q1361="LINEAR"),$M1361,IF(AND($M1361&lt;&gt;"",$N1361="MND",$Q1361="EMBOQUE"),$AN1361*2,0))</f>
        <v>36.22</v>
      </c>
      <c r="BJ1361" s="153" t="n">
        <f aca="false">IF(AND($M1361&lt;&gt;"",$N1361="VCA",$Q1361="LINEAR"),($M1361*6.8)/100,IF(AND($M1361&lt;&gt;"",$N1361="MND",$Q1361="EMBOQUE"),($AN1361*2*6.8)/100,0))</f>
        <v>2.46296</v>
      </c>
      <c r="BK1361" s="153" t="n">
        <f aca="false">IF(AND($M1361&lt;&gt;"",$N1361="VCA",$Q1361="LINEAR"),($M1361*2.5)/50,IF(AND($M1361&lt;&gt;"",$N1361="MND",$Q1361="EMBOQUE"),($AN1361*2*2.5)/50,0))</f>
        <v>1.811</v>
      </c>
      <c r="BL1361" s="157" t="str">
        <f aca="false">K1361&amp;J1361</f>
        <v>Zona11REDES</v>
      </c>
      <c r="BM1361" s="152" t="s">
        <v>6084</v>
      </c>
      <c r="BN1361" s="152" t="s">
        <v>1560</v>
      </c>
      <c r="BO1361" s="152" t="s">
        <v>6516</v>
      </c>
      <c r="BP1361" s="152" t="s">
        <v>6666</v>
      </c>
      <c r="BQ1361" s="152" t="s">
        <v>6689</v>
      </c>
      <c r="BR1361" s="152" t="s">
        <v>6693</v>
      </c>
      <c r="BS1361" s="152" t="n">
        <v>204240.564</v>
      </c>
      <c r="BT1361" s="152" t="n">
        <v>8236062.251</v>
      </c>
      <c r="BU1361" s="152" t="n">
        <v>204247.388</v>
      </c>
      <c r="BV1361" s="152" t="n">
        <v>8236026.807</v>
      </c>
      <c r="BW1361" s="152" t="n">
        <v>-15.9372694</v>
      </c>
      <c r="BX1361" s="152" t="n">
        <v>-47.7625086</v>
      </c>
      <c r="BY1361" s="152" t="s">
        <v>6666</v>
      </c>
    </row>
    <row r="1362" customFormat="false" ht="13.8" hidden="false" customHeight="false" outlineLevel="0" collapsed="false">
      <c r="A1362" s="149" t="n">
        <f aca="false">IF(C1362&lt;&gt;"",ROW(A1357),"")</f>
        <v>1357</v>
      </c>
      <c r="B1362" s="150" t="str">
        <f aca="false">HYPERLINK("https://www.google.com/maps/dir/-15.917302,-47.760003/-15.9375882,-47.7607562/data=!4m3!4m2!3e0!5i1")</f>
        <v>https://www.google.com/maps/dir/-15.917302,-47.760003/-15.9375882,-47.7607562/data=!4m3!4m2!3e0!5i1</v>
      </c>
      <c r="C1362" s="151" t="s">
        <v>117</v>
      </c>
      <c r="D1362" s="152" t="s">
        <v>112</v>
      </c>
      <c r="E1362" s="152" t="s">
        <v>113</v>
      </c>
      <c r="F1362" s="152" t="s">
        <v>117</v>
      </c>
      <c r="G1362" s="152" t="s">
        <v>782</v>
      </c>
      <c r="H1362" s="152" t="n">
        <v>90</v>
      </c>
      <c r="I1362" s="152" t="s">
        <v>115</v>
      </c>
      <c r="J1362" s="152" t="s">
        <v>6</v>
      </c>
      <c r="K1362" s="152" t="s">
        <v>6081</v>
      </c>
      <c r="L1362" s="152" t="s">
        <v>120</v>
      </c>
      <c r="M1362" s="153" t="n">
        <f aca="false">60.29</f>
        <v>60.29</v>
      </c>
      <c r="N1362" s="152" t="s">
        <v>1548</v>
      </c>
      <c r="O1362" s="152" t="s">
        <v>1549</v>
      </c>
      <c r="P1362" s="152" t="s">
        <v>1550</v>
      </c>
      <c r="Q1362" s="152" t="s">
        <v>1551</v>
      </c>
      <c r="R1362" s="154" t="s">
        <v>6694</v>
      </c>
      <c r="S1362" s="154" t="s">
        <v>1593</v>
      </c>
      <c r="T1362" s="155" t="s">
        <v>6514</v>
      </c>
      <c r="U1362" s="152" t="str">
        <f aca="false">RIGHT(T1362,7)</f>
        <v>024/037</v>
      </c>
      <c r="V1362" s="152" t="s">
        <v>1555</v>
      </c>
      <c r="W1362" s="156" t="n">
        <v>45882</v>
      </c>
      <c r="X1362" s="152" t="s">
        <v>3938</v>
      </c>
      <c r="Y1362" s="152"/>
      <c r="Z1362" s="152" t="s">
        <v>1557</v>
      </c>
      <c r="AA1362" s="153" t="n">
        <v>4.6</v>
      </c>
      <c r="AB1362" s="151" t="s">
        <v>6695</v>
      </c>
      <c r="AC1362" s="151" t="s">
        <v>526</v>
      </c>
      <c r="AD1362" s="151" t="str">
        <f aca="false">CONCATENATE($C1362,$I1362,$H1362,$N1362,$J1362,$K1362)</f>
        <v>TUBO PEADPEAD90VCAREDESZona11</v>
      </c>
      <c r="AE1362" s="153" t="n">
        <f aca="false">IFERROR(INDEX(APOIO_REDES!$A:$W,MATCH($C1362&amp;$I1362&amp;$H1362&amp;$N1362&amp;$O1362,APOIO_REDES!$W:$W,0),MATCH(AE$5,APOIO_REDES!$5:$5,0)),0)</f>
        <v>1.2</v>
      </c>
      <c r="AF1362" s="153" t="n">
        <f aca="false">IFERROR(INDEX(APOIO_REDES!$A:$W,MATCH($C1362&amp;$I1362&amp;$H1362&amp;$N1362&amp;$O1362,APOIO_REDES!$W:$W,0),MATCH(AF$5,APOIO_REDES!$5:$5,0)),0)</f>
        <v>1.39</v>
      </c>
      <c r="AG1362" s="153" t="n">
        <f aca="false">IFERROR(INDEX(APOIO_REDES!$A:$W,MATCH($C1362&amp;$I1362&amp;$H1362&amp;$N1362&amp;$O1362,APOIO_REDES!$W:$W,0),MATCH(AG$5,APOIO_REDES!$5:$5,0)),0)</f>
        <v>0.75</v>
      </c>
      <c r="AH1362" s="153" t="n">
        <f aca="false">IFERROR(INDEX(APOIO_REDES!$A:$W,MATCH($C1362&amp;$I1362&amp;$H1362&amp;$N1362&amp;$O1362,APOIO_REDES!$W:$W,0),MATCH(AH$5,APOIO_REDES!$5:$5,0)),0)</f>
        <v>0.1</v>
      </c>
      <c r="AI1362" s="153" t="n">
        <f aca="false">IFERROR(IF($H1362&lt;&gt;"",(((($H1362/1000)/2)^2)*PI()*$M1362),0),0)</f>
        <v>0.38354840769698</v>
      </c>
      <c r="AJ1362" s="153" t="n">
        <f aca="false">IFERROR(IF(AND($H1362&lt;&gt;"",$I1362="FoFo",OR($N1362="MND",$N1362="VCA"),$Q1362="LINEAR"),0,IF(AND($H1362&lt;&gt;"",$I1362="PEAD",$N1362="VCA",$Q1362="LINEAR"),($H1362/1000)+0.3,IF(AND($H1362&lt;&gt;"",$I1362="PEAD",$N1362="MND",$Q1362="EMBOQUE"),0,IF(AND($H1362&lt;&gt;"",$I1362="PVC",$N1362="VCA",$Q1362="LINEAR"),($H1362/1000)+0.2,IF(AND($H1362&lt;&gt;"",$I1362="PVC",$N1362="MND",$Q1362="EMBOQUE"),0,IF(AND($H1362&lt;&gt;"",$I1362="PEAD",$N1362="VCA",$Q1362="PREDIAL"),0,0)))))),0)</f>
        <v>0.39</v>
      </c>
      <c r="AK1362" s="153" t="n">
        <f aca="false">IF(AA1362&lt;&gt;"",AA1362,0)</f>
        <v>4.6</v>
      </c>
      <c r="AL1362" s="153" t="n">
        <f aca="false">IF(AND($N1362="MND",$Q1362="EMBOQUE"),$M1362,IF(AND($N1362="VCA",$Q1362="LINEAR"),$M1362,IF(AND($N1362="VCA",$Q1362="PREDIAL"),0,0)))</f>
        <v>60.29</v>
      </c>
      <c r="AM1362" s="153" t="n">
        <f aca="false">IF(AND($N1362="MND",$Q1362="EMBOQUE"),$M1362,IF(AND($N1362="VCA",$Q1362="LINEAR"),$M1362,IF(AND($N1362="VCA",$Q1362="PREDIAL"),0,0)))</f>
        <v>60.29</v>
      </c>
      <c r="AN1362" s="153" t="n">
        <f aca="false">ROUND(IF(AND($N1362="VCA",$M1362&lt;&gt;"",$Q1362="LINEAR"),$M1362/100,IF(AND($N1362="MND",$M1362&gt;100,$Q1362="EMBOQUE"),$M1362/100,0)),0)</f>
        <v>1</v>
      </c>
      <c r="AO1362" s="153" t="n">
        <f aca="false">IF(AND($N1362="MND",$Q1362="EMBOQUE"),$AN1362*2*2,IF(AND($N1362="VCA",$Q1362="LINEAR"),$M1362*2,IF(AND($N1362="VCA",$Q1362="PREDIAL"),0,0)))</f>
        <v>120.58</v>
      </c>
      <c r="AP1362" s="153" t="n">
        <f aca="false">IFERROR($M1362*$AF1362*$AG1362,0)</f>
        <v>62.852325</v>
      </c>
      <c r="AQ1362" s="153" t="n">
        <f aca="false">IFERROR(IF(AND($N1362="VCA",$AH1362&gt;0),$M1362*$AG1362*$AH1362,0),0)</f>
        <v>4.52175</v>
      </c>
      <c r="AR1362" s="153" t="n">
        <f aca="false">IFERROR(IF(AND($N1362="VCA",$AJ1362&gt;0),($M1362*$AG1362*$AJ1362)-$AI1362,0),0)</f>
        <v>17.251276592303</v>
      </c>
      <c r="AS1362" s="153" t="n">
        <f aca="false">IFERROR(IF(AND($N1362="VCA",$AP1362&gt;0),$AP1362-$AI1362-$AQ1362-$AR1362,0),0)</f>
        <v>40.69575</v>
      </c>
      <c r="AT1362" s="153" t="n">
        <f aca="false">IFERROR(IF($N1362="VCA",INDEX(APOIO_REDES!$A:$W,MATCH($C1362&amp;$I1362&amp;$H1362&amp;$N1362&amp;$O1362,APOIO_REDES!$W:$W,0),MATCH(AT$5,APOIO_REDES!$5:$5,0)),0)*$AP1362,0)</f>
        <v>0.683851899338595</v>
      </c>
      <c r="AU1362" s="153" t="n">
        <f aca="false">IFERROR(IF($N1362="VCA",INDEX(APOIO_REDES!$A:$W,MATCH($C1362&amp;$I1362&amp;$H1362&amp;$N1362&amp;$O1362,APOIO_REDES!$W:$W,0),MATCH(AU$5,APOIO_REDES!$5:$5,0)),0)*$AP1362,0)</f>
        <v>0.546105605753518</v>
      </c>
      <c r="AV1362" s="153" t="n">
        <f aca="false">IFERROR(IF($N1362="VCA",INDEX(APOIO_REDES!$A:$W,MATCH($C1362&amp;$I1362&amp;$H1362&amp;$N1362&amp;$O1362,APOIO_REDES!$W:$W,0),MATCH(AV$5,APOIO_REDES!$5:$5,0)),0)*$AP1362,0)</f>
        <v>0.0755767287391929</v>
      </c>
      <c r="AW1362" s="153" t="n">
        <f aca="false">IFERROR(IF($N1362="VCA",INDEX(APOIO_REDES!$A:$W,MATCH($C1362&amp;$I1362&amp;$H1362&amp;$N1362&amp;$O1362,APOIO_REDES!$W:$W,0),MATCH(AW$5,APOIO_REDES!$5:$5,0)),0)*$AP1362,0)</f>
        <v>43.1423228835787</v>
      </c>
      <c r="AX1362" s="153" t="n">
        <f aca="false">IFERROR(IF($N1362="VCA",INDEX(APOIO_REDES!$A:$W,MATCH($C1362&amp;$I1362&amp;$H1362&amp;$N1362&amp;$O1362,APOIO_REDES!$W:$W,0),MATCH(AX$5,APOIO_REDES!$5:$5,0)),0)*$AP1362,0)</f>
        <v>5.97077459385432</v>
      </c>
      <c r="AY1362" s="153" t="n">
        <f aca="false">IFERROR(IF($N1362="VCA",INDEX(APOIO_REDES!$A:$W,MATCH($C1362&amp;$I1362&amp;$H1362&amp;$N1362&amp;$O1362,APOIO_REDES!$W:$W,0),MATCH(AY$5,APOIO_REDES!$5:$5,0)),0)*$AP1362,0)</f>
        <v>10.9221054580873</v>
      </c>
      <c r="AZ1362" s="153" t="n">
        <f aca="false">IFERROR(IF($N1362="VCA",INDEX(APOIO_REDES!$A:$W,MATCH($C1362&amp;$I1362&amp;$H1362&amp;$N1362&amp;$O1362,APOIO_REDES!$W:$W,0),MATCH(AZ$5,APOIO_REDES!$5:$5,0)),0)*$AP1362,0)</f>
        <v>1.51158783064838</v>
      </c>
      <c r="BA1362" s="153" t="n">
        <f aca="false">IFERROR(IF(AND($N1362="VCA",$Q1362="LINEAR"),INDEX(APOIO_REDES!$A:$W,MATCH($C1362&amp;$I1362&amp;$H1362&amp;$N1362&amp;$O1362,APOIO_REDES!$W:$W,0),MATCH(BA$5,APOIO_REDES!$5:$5,0)),IF(AND($N1362="MND",$Q1362="EMBOQUE"),INDEX(APOIO_REDES!$A:$W,MATCH($C1362&amp;$I1362&amp;$H1362&amp;$N1362&amp;$O1362,APOIO_REDES!$W:$W,0),MATCH(BA$5,APOIO_REDES!$5:$5,0)),0))*$M1362/10,0)</f>
        <v>4.85922192328495</v>
      </c>
      <c r="BB1362" s="153" t="n">
        <f aca="false">IFERROR(IF($N1362="VCA",INDEX(APOIO_REDES!$A:$W,MATCH($C1362&amp;$I1362&amp;$H1362&amp;$N1362&amp;$O1362,APOIO_REDES!$W:$W,0),MATCH(BB$5,APOIO_REDES!$5:$5,0)),0)*($AI1362+$AQ1362+$AR1362),0)</f>
        <v>21.9155049059886</v>
      </c>
      <c r="BC1362" s="153" t="n">
        <f aca="false">IFERROR(IF($N1362="VCA",INDEX(APOIO_REDES!$A:$W,MATCH($C1362&amp;$I1362&amp;$H1362&amp;$N1362&amp;$O1362,APOIO_REDES!$W:$W,0),MATCH(BC$5,APOIO_REDES!$5:$5,0)),0)*($AI1362+$AQ1362+$AR1362),0)</f>
        <v>0.241070094011447</v>
      </c>
      <c r="BD1362" s="153" t="n">
        <f aca="false">IF(AND($N1362="VCA",$AF1362&gt;=1.25,$AF1362&lt;1.5),$M1362*$AF1362*2,0)</f>
        <v>167.6062</v>
      </c>
      <c r="BE1362" s="153" t="n">
        <f aca="false">IF(AND($N1362="VCA",$AF1362&gt;=1.5,$AF1362&lt;3),$M1362*$AF1362*2,0)</f>
        <v>0</v>
      </c>
      <c r="BF1362" s="153" t="n">
        <f aca="false">IF(AND($N1362="VCA",$AF1362&gt;=3),$M1362*$AF1362*2,0)</f>
        <v>0</v>
      </c>
      <c r="BG1362" s="153" t="n">
        <f aca="false">($BB1362+$BC1362)*$AK1362</f>
        <v>101.920245</v>
      </c>
      <c r="BH1362" s="153" t="n">
        <f aca="false">IF(AND($M1362&lt;&gt;"",$N1362="VCA",$Q1362="LINEAR"),($M1362*2)/100,IF(AND($M1362&lt;&gt;"",$N1362="MND",$Q1362="EMBOQUE"),($AN1362*2)/100,0))</f>
        <v>1.2058</v>
      </c>
      <c r="BI1362" s="153" t="n">
        <f aca="false">IF(AND($M1362&lt;&gt;"",$N1362="VCA",$Q1362="LINEAR"),$M1362,IF(AND($M1362&lt;&gt;"",$N1362="MND",$Q1362="EMBOQUE"),$AN1362*2,0))</f>
        <v>60.29</v>
      </c>
      <c r="BJ1362" s="153" t="n">
        <f aca="false">IF(AND($M1362&lt;&gt;"",$N1362="VCA",$Q1362="LINEAR"),($M1362*6.8)/100,IF(AND($M1362&lt;&gt;"",$N1362="MND",$Q1362="EMBOQUE"),($AN1362*2*6.8)/100,0))</f>
        <v>4.09972</v>
      </c>
      <c r="BK1362" s="153" t="n">
        <f aca="false">IF(AND($M1362&lt;&gt;"",$N1362="VCA",$Q1362="LINEAR"),($M1362*2.5)/50,IF(AND($M1362&lt;&gt;"",$N1362="MND",$Q1362="EMBOQUE"),($AN1362*2*2.5)/50,0))</f>
        <v>3.0145</v>
      </c>
      <c r="BL1362" s="157" t="str">
        <f aca="false">K1362&amp;J1362</f>
        <v>Zona11REDES</v>
      </c>
      <c r="BM1362" s="152" t="s">
        <v>6084</v>
      </c>
      <c r="BN1362" s="152" t="s">
        <v>1560</v>
      </c>
      <c r="BO1362" s="152" t="s">
        <v>6516</v>
      </c>
      <c r="BP1362" s="152" t="s">
        <v>6696</v>
      </c>
      <c r="BQ1362" s="152" t="s">
        <v>6663</v>
      </c>
      <c r="BR1362" s="152" t="s">
        <v>6697</v>
      </c>
      <c r="BS1362" s="152" t="n">
        <v>204433.44</v>
      </c>
      <c r="BT1362" s="152" t="n">
        <v>8236011.957</v>
      </c>
      <c r="BU1362" s="152" t="n">
        <v>204418.361</v>
      </c>
      <c r="BV1362" s="152" t="n">
        <v>8236070.333</v>
      </c>
      <c r="BW1362" s="152" t="n">
        <v>-15.9373228</v>
      </c>
      <c r="BX1362" s="152" t="n">
        <v>-47.7608193</v>
      </c>
      <c r="BY1362" s="152" t="s">
        <v>6696</v>
      </c>
    </row>
    <row r="1363" customFormat="false" ht="13.8" hidden="false" customHeight="false" outlineLevel="0" collapsed="false">
      <c r="A1363" s="149" t="n">
        <f aca="false">IF(C1363&lt;&gt;"",ROW(A1358),"")</f>
        <v>1358</v>
      </c>
      <c r="B1363" s="150" t="str">
        <f aca="false">HYPERLINK("https://www.google.com/maps/dir/-15.917302,-47.760003/-15.9374544,-47.7663960/data=!4m3!4m2!3e0!5i0")</f>
        <v>https://www.google.com/maps/dir/-15.917302,-47.760003/-15.9374544,-47.7663960/data=!4m3!4m2!3e0!5i0</v>
      </c>
      <c r="C1363" s="151" t="s">
        <v>117</v>
      </c>
      <c r="D1363" s="152" t="s">
        <v>112</v>
      </c>
      <c r="E1363" s="152" t="s">
        <v>113</v>
      </c>
      <c r="F1363" s="152" t="s">
        <v>117</v>
      </c>
      <c r="G1363" s="152" t="s">
        <v>782</v>
      </c>
      <c r="H1363" s="152" t="n">
        <v>63</v>
      </c>
      <c r="I1363" s="152" t="s">
        <v>115</v>
      </c>
      <c r="J1363" s="152" t="s">
        <v>6</v>
      </c>
      <c r="K1363" s="152" t="s">
        <v>6081</v>
      </c>
      <c r="L1363" s="152" t="s">
        <v>120</v>
      </c>
      <c r="M1363" s="153" t="n">
        <f aca="false">76.21+4.11</f>
        <v>80.32</v>
      </c>
      <c r="N1363" s="152" t="s">
        <v>1548</v>
      </c>
      <c r="O1363" s="152" t="s">
        <v>1549</v>
      </c>
      <c r="P1363" s="152" t="s">
        <v>1550</v>
      </c>
      <c r="Q1363" s="152" t="s">
        <v>1551</v>
      </c>
      <c r="R1363" s="154" t="s">
        <v>6698</v>
      </c>
      <c r="S1363" s="154" t="s">
        <v>1553</v>
      </c>
      <c r="T1363" s="155" t="s">
        <v>6514</v>
      </c>
      <c r="U1363" s="152" t="str">
        <f aca="false">RIGHT(T1363,7)</f>
        <v>024/037</v>
      </c>
      <c r="V1363" s="152" t="s">
        <v>1555</v>
      </c>
      <c r="W1363" s="156" t="n">
        <v>45882</v>
      </c>
      <c r="X1363" s="152" t="s">
        <v>1594</v>
      </c>
      <c r="Y1363" s="152" t="s">
        <v>6525</v>
      </c>
      <c r="Z1363" s="152" t="s">
        <v>1557</v>
      </c>
      <c r="AA1363" s="153" t="n">
        <v>5.3</v>
      </c>
      <c r="AB1363" s="151" t="s">
        <v>6699</v>
      </c>
      <c r="AC1363" s="151" t="s">
        <v>186</v>
      </c>
      <c r="AD1363" s="151" t="str">
        <f aca="false">CONCATENATE($C1363,$I1363,$H1363,$N1363,$J1363,$K1363)</f>
        <v>TUBO PEADPEAD63VCAREDESZona11</v>
      </c>
      <c r="AE1363" s="153" t="n">
        <f aca="false">IFERROR(INDEX(APOIO_REDES!$A:$W,MATCH($C1363&amp;$I1363&amp;$H1363&amp;$N1363&amp;$O1363,APOIO_REDES!$W:$W,0),MATCH(AE$5,APOIO_REDES!$5:$5,0)),0)</f>
        <v>1.2</v>
      </c>
      <c r="AF1363" s="153" t="n">
        <f aca="false">IFERROR(INDEX(APOIO_REDES!$A:$W,MATCH($C1363&amp;$I1363&amp;$H1363&amp;$N1363&amp;$O1363,APOIO_REDES!$W:$W,0),MATCH(AF$5,APOIO_REDES!$5:$5,0)),0)</f>
        <v>1.363</v>
      </c>
      <c r="AG1363" s="153" t="n">
        <f aca="false">IFERROR(INDEX(APOIO_REDES!$A:$W,MATCH($C1363&amp;$I1363&amp;$H1363&amp;$N1363&amp;$O1363,APOIO_REDES!$W:$W,0),MATCH(AG$5,APOIO_REDES!$5:$5,0)),0)</f>
        <v>0.65</v>
      </c>
      <c r="AH1363" s="153" t="n">
        <f aca="false">IFERROR(INDEX(APOIO_REDES!$A:$W,MATCH($C1363&amp;$I1363&amp;$H1363&amp;$N1363&amp;$O1363,APOIO_REDES!$W:$W,0),MATCH(AH$5,APOIO_REDES!$5:$5,0)),0)</f>
        <v>0.1</v>
      </c>
      <c r="AI1363" s="153" t="n">
        <f aca="false">IFERROR(IF($H1363&lt;&gt;"",(((($H1363/1000)/2)^2)*PI()*$M1363),0),0)</f>
        <v>0.250377143341326</v>
      </c>
      <c r="AJ1363" s="153" t="n">
        <f aca="false">IFERROR(IF(AND($H1363&lt;&gt;"",$I1363="FoFo",OR($N1363="MND",$N1363="VCA"),$Q1363="LINEAR"),0,IF(AND($H1363&lt;&gt;"",$I1363="PEAD",$N1363="VCA",$Q1363="LINEAR"),($H1363/1000)+0.3,IF(AND($H1363&lt;&gt;"",$I1363="PEAD",$N1363="MND",$Q1363="EMBOQUE"),0,IF(AND($H1363&lt;&gt;"",$I1363="PVC",$N1363="VCA",$Q1363="LINEAR"),($H1363/1000)+0.2,IF(AND($H1363&lt;&gt;"",$I1363="PVC",$N1363="MND",$Q1363="EMBOQUE"),0,IF(AND($H1363&lt;&gt;"",$I1363="PEAD",$N1363="VCA",$Q1363="PREDIAL"),0,0)))))),0)</f>
        <v>0.363</v>
      </c>
      <c r="AK1363" s="153" t="n">
        <f aca="false">IF(AA1363&lt;&gt;"",AA1363,0)</f>
        <v>5.3</v>
      </c>
      <c r="AL1363" s="153" t="n">
        <f aca="false">IF(AND($N1363="MND",$Q1363="EMBOQUE"),$M1363,IF(AND($N1363="VCA",$Q1363="LINEAR"),$M1363,IF(AND($N1363="VCA",$Q1363="PREDIAL"),0,0)))</f>
        <v>80.32</v>
      </c>
      <c r="AM1363" s="153" t="n">
        <f aca="false">IF(AND($N1363="MND",$Q1363="EMBOQUE"),$M1363,IF(AND($N1363="VCA",$Q1363="LINEAR"),$M1363,IF(AND($N1363="VCA",$Q1363="PREDIAL"),0,0)))</f>
        <v>80.32</v>
      </c>
      <c r="AN1363" s="153" t="n">
        <f aca="false">ROUND(IF(AND($N1363="VCA",$M1363&lt;&gt;"",$Q1363="LINEAR"),$M1363/100,IF(AND($N1363="MND",$M1363&gt;100,$Q1363="EMBOQUE"),$M1363/100,0)),0)</f>
        <v>1</v>
      </c>
      <c r="AO1363" s="153" t="n">
        <f aca="false">IF(AND($N1363="MND",$Q1363="EMBOQUE"),$AN1363*2*2,IF(AND($N1363="VCA",$Q1363="LINEAR"),$M1363*2,IF(AND($N1363="VCA",$Q1363="PREDIAL"),0,0)))</f>
        <v>160.64</v>
      </c>
      <c r="AP1363" s="153" t="n">
        <f aca="false">IFERROR($M1363*$AF1363*$AG1363,0)</f>
        <v>71.159504</v>
      </c>
      <c r="AQ1363" s="153" t="n">
        <f aca="false">IFERROR(IF(AND($N1363="VCA",$AH1363&gt;0),$M1363*$AG1363*$AH1363,0),0)</f>
        <v>5.2208</v>
      </c>
      <c r="AR1363" s="153" t="n">
        <f aca="false">IFERROR(IF(AND($N1363="VCA",$AJ1363&gt;0),($M1363*$AG1363*$AJ1363)-$AI1363,0),0)</f>
        <v>18.7011268566587</v>
      </c>
      <c r="AS1363" s="153" t="n">
        <f aca="false">IFERROR(IF(AND($N1363="VCA",$AP1363&gt;0),$AP1363-$AI1363-$AQ1363-$AR1363,0),0)</f>
        <v>46.9872</v>
      </c>
      <c r="AT1363" s="153" t="n">
        <f aca="false">IFERROR(IF($N1363="VCA",INDEX(APOIO_REDES!$A:$W,MATCH($C1363&amp;$I1363&amp;$H1363&amp;$N1363&amp;$O1363,APOIO_REDES!$W:$W,0),MATCH(AT$5,APOIO_REDES!$5:$5,0)),0)*$AP1363,0)</f>
        <v>0.77423646565807</v>
      </c>
      <c r="AU1363" s="153" t="n">
        <f aca="false">IFERROR(IF($N1363="VCA",INDEX(APOIO_REDES!$A:$W,MATCH($C1363&amp;$I1363&amp;$H1363&amp;$N1363&amp;$O1363,APOIO_REDES!$W:$W,0),MATCH(AU$5,APOIO_REDES!$5:$5,0)),0)*$AP1363,0)</f>
        <v>0.618284272491747</v>
      </c>
      <c r="AV1363" s="153" t="n">
        <f aca="false">IFERROR(IF($N1363="VCA",INDEX(APOIO_REDES!$A:$W,MATCH($C1363&amp;$I1363&amp;$H1363&amp;$N1363&amp;$O1363,APOIO_REDES!$W:$W,0),MATCH(AV$5,APOIO_REDES!$5:$5,0)),0)*$AP1363,0)</f>
        <v>0.0855656895910137</v>
      </c>
      <c r="AW1363" s="153" t="n">
        <f aca="false">IFERROR(IF($N1363="VCA",INDEX(APOIO_REDES!$A:$W,MATCH($C1363&amp;$I1363&amp;$H1363&amp;$N1363&amp;$O1363,APOIO_REDES!$W:$W,0),MATCH(AW$5,APOIO_REDES!$5:$5,0)),0)*$AP1363,0)</f>
        <v>48.8444349163426</v>
      </c>
      <c r="AX1363" s="153" t="n">
        <f aca="false">IFERROR(IF($N1363="VCA",INDEX(APOIO_REDES!$A:$W,MATCH($C1363&amp;$I1363&amp;$H1363&amp;$N1363&amp;$O1363,APOIO_REDES!$W:$W,0),MATCH(AX$5,APOIO_REDES!$5:$5,0)),0)*$AP1363,0)</f>
        <v>6.75993065641526</v>
      </c>
      <c r="AY1363" s="153" t="n">
        <f aca="false">IFERROR(IF($N1363="VCA",INDEX(APOIO_REDES!$A:$W,MATCH($C1363&amp;$I1363&amp;$H1363&amp;$N1363&amp;$O1363,APOIO_REDES!$W:$W,0),MATCH(AY$5,APOIO_REDES!$5:$5,0)),0)*$AP1363,0)</f>
        <v>12.3656779129998</v>
      </c>
      <c r="AZ1363" s="153" t="n">
        <f aca="false">IFERROR(IF($N1363="VCA",INDEX(APOIO_REDES!$A:$W,MATCH($C1363&amp;$I1363&amp;$H1363&amp;$N1363&amp;$O1363,APOIO_REDES!$W:$W,0),MATCH(AZ$5,APOIO_REDES!$5:$5,0)),0)*$AP1363,0)</f>
        <v>1.71137408650157</v>
      </c>
      <c r="BA1363" s="153" t="n">
        <f aca="false">IFERROR(IF(AND($N1363="VCA",$Q1363="LINEAR"),INDEX(APOIO_REDES!$A:$W,MATCH($C1363&amp;$I1363&amp;$H1363&amp;$N1363&amp;$O1363,APOIO_REDES!$W:$W,0),MATCH(BA$5,APOIO_REDES!$5:$5,0)),IF(AND($N1363="MND",$Q1363="EMBOQUE"),INDEX(APOIO_REDES!$A:$W,MATCH($C1363&amp;$I1363&amp;$H1363&amp;$N1363&amp;$O1363,APOIO_REDES!$W:$W,0),MATCH(BA$5,APOIO_REDES!$5:$5,0)),0))*$M1363/10,0)</f>
        <v>6.47358939920795</v>
      </c>
      <c r="BB1363" s="153" t="n">
        <f aca="false">IFERROR(IF($N1363="VCA",INDEX(APOIO_REDES!$A:$W,MATCH($C1363&amp;$I1363&amp;$H1363&amp;$N1363&amp;$O1363,APOIO_REDES!$W:$W,0),MATCH(BB$5,APOIO_REDES!$5:$5,0)),0)*($AI1363+$AQ1363+$AR1363),0)</f>
        <v>23.9093021778432</v>
      </c>
      <c r="BC1363" s="153" t="n">
        <f aca="false">IFERROR(IF($N1363="VCA",INDEX(APOIO_REDES!$A:$W,MATCH($C1363&amp;$I1363&amp;$H1363&amp;$N1363&amp;$O1363,APOIO_REDES!$W:$W,0),MATCH(BC$5,APOIO_REDES!$5:$5,0)),0)*($AI1363+$AQ1363+$AR1363),0)</f>
        <v>0.263001822156776</v>
      </c>
      <c r="BD1363" s="153" t="n">
        <f aca="false">IF(AND($N1363="VCA",$AF1363&gt;=1.25,$AF1363&lt;1.5),$M1363*$AF1363*2,0)</f>
        <v>218.95232</v>
      </c>
      <c r="BE1363" s="153" t="n">
        <f aca="false">IF(AND($N1363="VCA",$AF1363&gt;=1.5,$AF1363&lt;3),$M1363*$AF1363*2,0)</f>
        <v>0</v>
      </c>
      <c r="BF1363" s="153" t="n">
        <f aca="false">IF(AND($N1363="VCA",$AF1363&gt;=3),$M1363*$AF1363*2,0)</f>
        <v>0</v>
      </c>
      <c r="BG1363" s="153" t="n">
        <f aca="false">($BB1363+$BC1363)*$AK1363</f>
        <v>128.1132112</v>
      </c>
      <c r="BH1363" s="153" t="n">
        <f aca="false">IF(AND($M1363&lt;&gt;"",$N1363="VCA",$Q1363="LINEAR"),($M1363*2)/100,IF(AND($M1363&lt;&gt;"",$N1363="MND",$Q1363="EMBOQUE"),($AN1363*2)/100,0))</f>
        <v>1.6064</v>
      </c>
      <c r="BI1363" s="153" t="n">
        <f aca="false">IF(AND($M1363&lt;&gt;"",$N1363="VCA",$Q1363="LINEAR"),$M1363,IF(AND($M1363&lt;&gt;"",$N1363="MND",$Q1363="EMBOQUE"),$AN1363*2,0))</f>
        <v>80.32</v>
      </c>
      <c r="BJ1363" s="153" t="n">
        <f aca="false">IF(AND($M1363&lt;&gt;"",$N1363="VCA",$Q1363="LINEAR"),($M1363*6.8)/100,IF(AND($M1363&lt;&gt;"",$N1363="MND",$Q1363="EMBOQUE"),($AN1363*2*6.8)/100,0))</f>
        <v>5.46176</v>
      </c>
      <c r="BK1363" s="153" t="n">
        <f aca="false">IF(AND($M1363&lt;&gt;"",$N1363="VCA",$Q1363="LINEAR"),($M1363*2.5)/50,IF(AND($M1363&lt;&gt;"",$N1363="MND",$Q1363="EMBOQUE"),($AN1363*2*2.5)/50,0))</f>
        <v>4.016</v>
      </c>
      <c r="BL1363" s="157" t="str">
        <f aca="false">K1363&amp;J1363</f>
        <v>Zona11REDES</v>
      </c>
      <c r="BM1363" s="152" t="s">
        <v>6084</v>
      </c>
      <c r="BN1363" s="152" t="s">
        <v>1560</v>
      </c>
      <c r="BO1363" s="152" t="s">
        <v>6516</v>
      </c>
      <c r="BP1363" s="152" t="s">
        <v>6700</v>
      </c>
      <c r="BQ1363" s="152" t="s">
        <v>6685</v>
      </c>
      <c r="BR1363" s="152" t="s">
        <v>6701</v>
      </c>
      <c r="BS1363" s="152" t="n">
        <v>203828.65</v>
      </c>
      <c r="BT1363" s="152" t="n">
        <v>8236018.646</v>
      </c>
      <c r="BU1363" s="152" t="n">
        <v>203903.503</v>
      </c>
      <c r="BV1363" s="152" t="n">
        <v>8236032.907</v>
      </c>
      <c r="BW1363" s="152" t="n">
        <v>-15.9373995</v>
      </c>
      <c r="BX1363" s="152" t="n">
        <v>-47.7660449</v>
      </c>
      <c r="BY1363" s="152" t="s">
        <v>6700</v>
      </c>
    </row>
    <row r="1364" customFormat="false" ht="13.8" hidden="false" customHeight="false" outlineLevel="0" collapsed="false">
      <c r="A1364" s="149" t="n">
        <f aca="false">IF(C1364&lt;&gt;"",ROW(A1359),"")</f>
        <v>1359</v>
      </c>
      <c r="B1364" s="150" t="str">
        <f aca="false">HYPERLINK("https://www.google.com/maps/dir/-15.917302,-47.760003/-15.9377986,-47.7625546/data=!4m3!4m2!3e0!5i1")</f>
        <v>https://www.google.com/maps/dir/-15.917302,-47.760003/-15.9377986,-47.7625546/data=!4m3!4m2!3e0!5i1</v>
      </c>
      <c r="C1364" s="151" t="s">
        <v>117</v>
      </c>
      <c r="D1364" s="152" t="s">
        <v>112</v>
      </c>
      <c r="E1364" s="152" t="s">
        <v>113</v>
      </c>
      <c r="F1364" s="152" t="s">
        <v>117</v>
      </c>
      <c r="G1364" s="152" t="s">
        <v>782</v>
      </c>
      <c r="H1364" s="152" t="n">
        <v>90</v>
      </c>
      <c r="I1364" s="152" t="s">
        <v>115</v>
      </c>
      <c r="J1364" s="152" t="s">
        <v>6</v>
      </c>
      <c r="K1364" s="152" t="s">
        <v>6081</v>
      </c>
      <c r="L1364" s="152" t="s">
        <v>120</v>
      </c>
      <c r="M1364" s="153" t="n">
        <f aca="false">43.32+0.38</f>
        <v>43.7</v>
      </c>
      <c r="N1364" s="152" t="s">
        <v>1548</v>
      </c>
      <c r="O1364" s="152" t="s">
        <v>1549</v>
      </c>
      <c r="P1364" s="152" t="s">
        <v>1550</v>
      </c>
      <c r="Q1364" s="152" t="s">
        <v>1551</v>
      </c>
      <c r="R1364" s="154" t="s">
        <v>6702</v>
      </c>
      <c r="S1364" s="154" t="s">
        <v>1593</v>
      </c>
      <c r="T1364" s="155" t="s">
        <v>6514</v>
      </c>
      <c r="U1364" s="152" t="str">
        <f aca="false">RIGHT(T1364,7)</f>
        <v>024/037</v>
      </c>
      <c r="V1364" s="152" t="s">
        <v>1555</v>
      </c>
      <c r="W1364" s="156" t="n">
        <v>45882</v>
      </c>
      <c r="X1364" s="152" t="s">
        <v>3938</v>
      </c>
      <c r="Y1364" s="152" t="s">
        <v>6234</v>
      </c>
      <c r="Z1364" s="152" t="s">
        <v>1557</v>
      </c>
      <c r="AA1364" s="153" t="n">
        <v>4.8</v>
      </c>
      <c r="AB1364" s="151" t="s">
        <v>6703</v>
      </c>
      <c r="AC1364" s="151" t="s">
        <v>526</v>
      </c>
      <c r="AD1364" s="151" t="str">
        <f aca="false">CONCATENATE($C1364,$I1364,$H1364,$N1364,$J1364,$K1364)</f>
        <v>TUBO PEADPEAD90VCAREDESZona11</v>
      </c>
      <c r="AE1364" s="153" t="n">
        <f aca="false">IFERROR(INDEX(APOIO_REDES!$A:$W,MATCH($C1364&amp;$I1364&amp;$H1364&amp;$N1364&amp;$O1364,APOIO_REDES!$W:$W,0),MATCH(AE$5,APOIO_REDES!$5:$5,0)),0)</f>
        <v>1.2</v>
      </c>
      <c r="AF1364" s="153" t="n">
        <f aca="false">IFERROR(INDEX(APOIO_REDES!$A:$W,MATCH($C1364&amp;$I1364&amp;$H1364&amp;$N1364&amp;$O1364,APOIO_REDES!$W:$W,0),MATCH(AF$5,APOIO_REDES!$5:$5,0)),0)</f>
        <v>1.39</v>
      </c>
      <c r="AG1364" s="153" t="n">
        <f aca="false">IFERROR(INDEX(APOIO_REDES!$A:$W,MATCH($C1364&amp;$I1364&amp;$H1364&amp;$N1364&amp;$O1364,APOIO_REDES!$W:$W,0),MATCH(AG$5,APOIO_REDES!$5:$5,0)),0)</f>
        <v>0.75</v>
      </c>
      <c r="AH1364" s="153" t="n">
        <f aca="false">IFERROR(INDEX(APOIO_REDES!$A:$W,MATCH($C1364&amp;$I1364&amp;$H1364&amp;$N1364&amp;$O1364,APOIO_REDES!$W:$W,0),MATCH(AH$5,APOIO_REDES!$5:$5,0)),0)</f>
        <v>0.1</v>
      </c>
      <c r="AI1364" s="153" t="n">
        <f aca="false">IFERROR(IF($H1364&lt;&gt;"",(((($H1364/1000)/2)^2)*PI()*$M1364),0),0)</f>
        <v>0.278007387897795</v>
      </c>
      <c r="AJ1364" s="153" t="n">
        <f aca="false">IFERROR(IF(AND($H1364&lt;&gt;"",$I1364="FoFo",OR($N1364="MND",$N1364="VCA"),$Q1364="LINEAR"),0,IF(AND($H1364&lt;&gt;"",$I1364="PEAD",$N1364="VCA",$Q1364="LINEAR"),($H1364/1000)+0.3,IF(AND($H1364&lt;&gt;"",$I1364="PEAD",$N1364="MND",$Q1364="EMBOQUE"),0,IF(AND($H1364&lt;&gt;"",$I1364="PVC",$N1364="VCA",$Q1364="LINEAR"),($H1364/1000)+0.2,IF(AND($H1364&lt;&gt;"",$I1364="PVC",$N1364="MND",$Q1364="EMBOQUE"),0,IF(AND($H1364&lt;&gt;"",$I1364="PEAD",$N1364="VCA",$Q1364="PREDIAL"),0,0)))))),0)</f>
        <v>0.39</v>
      </c>
      <c r="AK1364" s="153" t="n">
        <f aca="false">IF(AA1364&lt;&gt;"",AA1364,0)</f>
        <v>4.8</v>
      </c>
      <c r="AL1364" s="153" t="n">
        <f aca="false">IF(AND($N1364="MND",$Q1364="EMBOQUE"),$M1364,IF(AND($N1364="VCA",$Q1364="LINEAR"),$M1364,IF(AND($N1364="VCA",$Q1364="PREDIAL"),0,0)))</f>
        <v>43.7</v>
      </c>
      <c r="AM1364" s="153" t="n">
        <f aca="false">IF(AND($N1364="MND",$Q1364="EMBOQUE"),$M1364,IF(AND($N1364="VCA",$Q1364="LINEAR"),$M1364,IF(AND($N1364="VCA",$Q1364="PREDIAL"),0,0)))</f>
        <v>43.7</v>
      </c>
      <c r="AN1364" s="153" t="n">
        <f aca="false">ROUND(IF(AND($N1364="VCA",$M1364&lt;&gt;"",$Q1364="LINEAR"),$M1364/100,IF(AND($N1364="MND",$M1364&gt;100,$Q1364="EMBOQUE"),$M1364/100,0)),0)</f>
        <v>0</v>
      </c>
      <c r="AO1364" s="153" t="n">
        <f aca="false">IF(AND($N1364="MND",$Q1364="EMBOQUE"),$AN1364*2*2,IF(AND($N1364="VCA",$Q1364="LINEAR"),$M1364*2,IF(AND($N1364="VCA",$Q1364="PREDIAL"),0,0)))</f>
        <v>87.4</v>
      </c>
      <c r="AP1364" s="153" t="n">
        <f aca="false">IFERROR($M1364*$AF1364*$AG1364,0)</f>
        <v>45.55725</v>
      </c>
      <c r="AQ1364" s="153" t="n">
        <f aca="false">IFERROR(IF(AND($N1364="VCA",$AH1364&gt;0),$M1364*$AG1364*$AH1364,0),0)</f>
        <v>3.2775</v>
      </c>
      <c r="AR1364" s="153" t="n">
        <f aca="false">IFERROR(IF(AND($N1364="VCA",$AJ1364&gt;0),($M1364*$AG1364*$AJ1364)-$AI1364,0),0)</f>
        <v>12.5042426121022</v>
      </c>
      <c r="AS1364" s="153" t="n">
        <f aca="false">IFERROR(IF(AND($N1364="VCA",$AP1364&gt;0),$AP1364-$AI1364-$AQ1364-$AR1364,0),0)</f>
        <v>29.4975</v>
      </c>
      <c r="AT1364" s="153" t="n">
        <f aca="false">IFERROR(IF($N1364="VCA",INDEX(APOIO_REDES!$A:$W,MATCH($C1364&amp;$I1364&amp;$H1364&amp;$N1364&amp;$O1364,APOIO_REDES!$W:$W,0),MATCH(AT$5,APOIO_REDES!$5:$5,0)),0)*$AP1364,0)</f>
        <v>0.495676364257698</v>
      </c>
      <c r="AU1364" s="153" t="n">
        <f aca="false">IFERROR(IF($N1364="VCA",INDEX(APOIO_REDES!$A:$W,MATCH($C1364&amp;$I1364&amp;$H1364&amp;$N1364&amp;$O1364,APOIO_REDES!$W:$W,0),MATCH(AU$5,APOIO_REDES!$5:$5,0)),0)*$AP1364,0)</f>
        <v>0.395833719877736</v>
      </c>
      <c r="AV1364" s="153" t="n">
        <f aca="false">IFERROR(IF($N1364="VCA",INDEX(APOIO_REDES!$A:$W,MATCH($C1364&amp;$I1364&amp;$H1364&amp;$N1364&amp;$O1364,APOIO_REDES!$W:$W,0),MATCH(AV$5,APOIO_REDES!$5:$5,0)),0)*$AP1364,0)</f>
        <v>0.0547802794145419</v>
      </c>
      <c r="AW1364" s="153" t="n">
        <f aca="false">IFERROR(IF($N1364="VCA",INDEX(APOIO_REDES!$A:$W,MATCH($C1364&amp;$I1364&amp;$H1364&amp;$N1364&amp;$O1364,APOIO_REDES!$W:$W,0),MATCH(AW$5,APOIO_REDES!$5:$5,0)),0)*$AP1364,0)</f>
        <v>31.2708493947983</v>
      </c>
      <c r="AX1364" s="153" t="n">
        <f aca="false">IFERROR(IF($N1364="VCA",INDEX(APOIO_REDES!$A:$W,MATCH($C1364&amp;$I1364&amp;$H1364&amp;$N1364&amp;$O1364,APOIO_REDES!$W:$W,0),MATCH(AX$5,APOIO_REDES!$5:$5,0)),0)*$AP1364,0)</f>
        <v>4.32779647953946</v>
      </c>
      <c r="AY1364" s="153" t="n">
        <f aca="false">IFERROR(IF($N1364="VCA",INDEX(APOIO_REDES!$A:$W,MATCH($C1364&amp;$I1364&amp;$H1364&amp;$N1364&amp;$O1364,APOIO_REDES!$W:$W,0),MATCH(AY$5,APOIO_REDES!$5:$5,0)),0)*$AP1364,0)</f>
        <v>7.91666957237377</v>
      </c>
      <c r="AZ1364" s="153" t="n">
        <f aca="false">IFERROR(IF($N1364="VCA",INDEX(APOIO_REDES!$A:$W,MATCH($C1364&amp;$I1364&amp;$H1364&amp;$N1364&amp;$O1364,APOIO_REDES!$W:$W,0),MATCH(AZ$5,APOIO_REDES!$5:$5,0)),0)*$AP1364,0)</f>
        <v>1.0956441897385</v>
      </c>
      <c r="BA1364" s="153" t="n">
        <f aca="false">IFERROR(IF(AND($N1364="VCA",$Q1364="LINEAR"),INDEX(APOIO_REDES!$A:$W,MATCH($C1364&amp;$I1364&amp;$H1364&amp;$N1364&amp;$O1364,APOIO_REDES!$W:$W,0),MATCH(BA$5,APOIO_REDES!$5:$5,0)),IF(AND($N1364="MND",$Q1364="EMBOQUE"),INDEX(APOIO_REDES!$A:$W,MATCH($C1364&amp;$I1364&amp;$H1364&amp;$N1364&amp;$O1364,APOIO_REDES!$W:$W,0),MATCH(BA$5,APOIO_REDES!$5:$5,0)),0))*$M1364/10,0)</f>
        <v>3.5221097702364</v>
      </c>
      <c r="BB1364" s="153" t="n">
        <f aca="false">IFERROR(IF($N1364="VCA",INDEX(APOIO_REDES!$A:$W,MATCH($C1364&amp;$I1364&amp;$H1364&amp;$N1364&amp;$O1364,APOIO_REDES!$W:$W,0),MATCH(BB$5,APOIO_REDES!$5:$5,0)),0)*($AI1364+$AQ1364+$AR1364),0)</f>
        <v>15.8850151665566</v>
      </c>
      <c r="BC1364" s="153" t="n">
        <f aca="false">IFERROR(IF($N1364="VCA",INDEX(APOIO_REDES!$A:$W,MATCH($C1364&amp;$I1364&amp;$H1364&amp;$N1364&amp;$O1364,APOIO_REDES!$W:$W,0),MATCH(BC$5,APOIO_REDES!$5:$5,0)),0)*($AI1364+$AQ1364+$AR1364),0)</f>
        <v>0.174734833443361</v>
      </c>
      <c r="BD1364" s="153" t="n">
        <f aca="false">IF(AND($N1364="VCA",$AF1364&gt;=1.25,$AF1364&lt;1.5),$M1364*$AF1364*2,0)</f>
        <v>121.486</v>
      </c>
      <c r="BE1364" s="153" t="n">
        <f aca="false">IF(AND($N1364="VCA",$AF1364&gt;=1.5,$AF1364&lt;3),$M1364*$AF1364*2,0)</f>
        <v>0</v>
      </c>
      <c r="BF1364" s="153" t="n">
        <f aca="false">IF(AND($N1364="VCA",$AF1364&gt;=3),$M1364*$AF1364*2,0)</f>
        <v>0</v>
      </c>
      <c r="BG1364" s="153" t="n">
        <f aca="false">($BB1364+$BC1364)*$AK1364</f>
        <v>77.0868</v>
      </c>
      <c r="BH1364" s="153" t="n">
        <f aca="false">IF(AND($M1364&lt;&gt;"",$N1364="VCA",$Q1364="LINEAR"),($M1364*2)/100,IF(AND($M1364&lt;&gt;"",$N1364="MND",$Q1364="EMBOQUE"),($AN1364*2)/100,0))</f>
        <v>0.874</v>
      </c>
      <c r="BI1364" s="153" t="n">
        <f aca="false">IF(AND($M1364&lt;&gt;"",$N1364="VCA",$Q1364="LINEAR"),$M1364,IF(AND($M1364&lt;&gt;"",$N1364="MND",$Q1364="EMBOQUE"),$AN1364*2,0))</f>
        <v>43.7</v>
      </c>
      <c r="BJ1364" s="153" t="n">
        <f aca="false">IF(AND($M1364&lt;&gt;"",$N1364="VCA",$Q1364="LINEAR"),($M1364*6.8)/100,IF(AND($M1364&lt;&gt;"",$N1364="MND",$Q1364="EMBOQUE"),($AN1364*2*6.8)/100,0))</f>
        <v>2.9716</v>
      </c>
      <c r="BK1364" s="153" t="n">
        <f aca="false">IF(AND($M1364&lt;&gt;"",$N1364="VCA",$Q1364="LINEAR"),($M1364*2.5)/50,IF(AND($M1364&lt;&gt;"",$N1364="MND",$Q1364="EMBOQUE"),($AN1364*2*2.5)/50,0))</f>
        <v>2.185</v>
      </c>
      <c r="BL1364" s="157" t="str">
        <f aca="false">K1364&amp;J1364</f>
        <v>Zona11REDES</v>
      </c>
      <c r="BM1364" s="152" t="s">
        <v>6084</v>
      </c>
      <c r="BN1364" s="152" t="s">
        <v>1560</v>
      </c>
      <c r="BO1364" s="152" t="s">
        <v>6516</v>
      </c>
      <c r="BP1364" s="152" t="s">
        <v>6704</v>
      </c>
      <c r="BQ1364" s="152" t="s">
        <v>6689</v>
      </c>
      <c r="BR1364" s="152" t="s">
        <v>6705</v>
      </c>
      <c r="BS1364" s="152" t="n">
        <v>204240.696</v>
      </c>
      <c r="BT1364" s="152" t="n">
        <v>8235985.999</v>
      </c>
      <c r="BU1364" s="152" t="n">
        <v>204247.388</v>
      </c>
      <c r="BV1364" s="152" t="n">
        <v>8236026.441</v>
      </c>
      <c r="BW1364" s="152" t="n">
        <v>-15.9376108</v>
      </c>
      <c r="BX1364" s="152" t="n">
        <v>-47.7625687</v>
      </c>
      <c r="BY1364" s="152" t="s">
        <v>6704</v>
      </c>
    </row>
    <row r="1365" customFormat="false" ht="13.8" hidden="false" customHeight="false" outlineLevel="0" collapsed="false">
      <c r="A1365" s="149" t="n">
        <f aca="false">IF(C1365&lt;&gt;"",ROW(A1360),"")</f>
        <v>1360</v>
      </c>
      <c r="B1365" s="150" t="str">
        <f aca="false">HYPERLINK("https://www.google.com/maps/dir/-15.917302,-47.760003/-15.9375882,-47.7607562/data=!4m3!4m2!3e0!5i1")</f>
        <v>https://www.google.com/maps/dir/-15.917302,-47.760003/-15.9375882,-47.7607562/data=!4m3!4m2!3e0!5i1</v>
      </c>
      <c r="C1365" s="151" t="s">
        <v>117</v>
      </c>
      <c r="D1365" s="152" t="s">
        <v>112</v>
      </c>
      <c r="E1365" s="152" t="s">
        <v>113</v>
      </c>
      <c r="F1365" s="152" t="s">
        <v>117</v>
      </c>
      <c r="G1365" s="152" t="s">
        <v>782</v>
      </c>
      <c r="H1365" s="152" t="n">
        <v>63</v>
      </c>
      <c r="I1365" s="152" t="s">
        <v>115</v>
      </c>
      <c r="J1365" s="152" t="s">
        <v>6</v>
      </c>
      <c r="K1365" s="152" t="s">
        <v>6081</v>
      </c>
      <c r="L1365" s="152" t="s">
        <v>120</v>
      </c>
      <c r="M1365" s="153" t="n">
        <f aca="false">89.29+4.41</f>
        <v>93.7</v>
      </c>
      <c r="N1365" s="152" t="s">
        <v>1548</v>
      </c>
      <c r="O1365" s="152" t="s">
        <v>1549</v>
      </c>
      <c r="P1365" s="152" t="s">
        <v>1550</v>
      </c>
      <c r="Q1365" s="152" t="s">
        <v>1551</v>
      </c>
      <c r="R1365" s="154" t="s">
        <v>6706</v>
      </c>
      <c r="S1365" s="154" t="s">
        <v>1553</v>
      </c>
      <c r="T1365" s="155" t="s">
        <v>6514</v>
      </c>
      <c r="U1365" s="152" t="str">
        <f aca="false">RIGHT(T1365,7)</f>
        <v>024/037</v>
      </c>
      <c r="V1365" s="152" t="s">
        <v>1555</v>
      </c>
      <c r="W1365" s="156" t="n">
        <v>45882</v>
      </c>
      <c r="X1365" s="152" t="s">
        <v>3938</v>
      </c>
      <c r="Y1365" s="152"/>
      <c r="Z1365" s="152" t="s">
        <v>1557</v>
      </c>
      <c r="AA1365" s="153" t="n">
        <v>4.6</v>
      </c>
      <c r="AB1365" s="151" t="s">
        <v>6707</v>
      </c>
      <c r="AC1365" s="151" t="s">
        <v>186</v>
      </c>
      <c r="AD1365" s="151" t="str">
        <f aca="false">CONCATENATE($C1365,$I1365,$H1365,$N1365,$J1365,$K1365)</f>
        <v>TUBO PEADPEAD63VCAREDESZona11</v>
      </c>
      <c r="AE1365" s="153" t="n">
        <f aca="false">IFERROR(INDEX(APOIO_REDES!$A:$W,MATCH($C1365&amp;$I1365&amp;$H1365&amp;$N1365&amp;$O1365,APOIO_REDES!$W:$W,0),MATCH(AE$5,APOIO_REDES!$5:$5,0)),0)</f>
        <v>1.2</v>
      </c>
      <c r="AF1365" s="153" t="n">
        <f aca="false">IFERROR(INDEX(APOIO_REDES!$A:$W,MATCH($C1365&amp;$I1365&amp;$H1365&amp;$N1365&amp;$O1365,APOIO_REDES!$W:$W,0),MATCH(AF$5,APOIO_REDES!$5:$5,0)),0)</f>
        <v>1.363</v>
      </c>
      <c r="AG1365" s="153" t="n">
        <f aca="false">IFERROR(INDEX(APOIO_REDES!$A:$W,MATCH($C1365&amp;$I1365&amp;$H1365&amp;$N1365&amp;$O1365,APOIO_REDES!$W:$W,0),MATCH(AG$5,APOIO_REDES!$5:$5,0)),0)</f>
        <v>0.65</v>
      </c>
      <c r="AH1365" s="153" t="n">
        <f aca="false">IFERROR(INDEX(APOIO_REDES!$A:$W,MATCH($C1365&amp;$I1365&amp;$H1365&amp;$N1365&amp;$O1365,APOIO_REDES!$W:$W,0),MATCH(AH$5,APOIO_REDES!$5:$5,0)),0)</f>
        <v>0.1</v>
      </c>
      <c r="AI1365" s="153" t="n">
        <f aca="false">IFERROR(IF($H1365&lt;&gt;"",(((($H1365/1000)/2)^2)*PI()*$M1365),0),0)</f>
        <v>0.292085885596143</v>
      </c>
      <c r="AJ1365" s="153" t="n">
        <f aca="false">IFERROR(IF(AND($H1365&lt;&gt;"",$I1365="FoFo",OR($N1365="MND",$N1365="VCA"),$Q1365="LINEAR"),0,IF(AND($H1365&lt;&gt;"",$I1365="PEAD",$N1365="VCA",$Q1365="LINEAR"),($H1365/1000)+0.3,IF(AND($H1365&lt;&gt;"",$I1365="PEAD",$N1365="MND",$Q1365="EMBOQUE"),0,IF(AND($H1365&lt;&gt;"",$I1365="PVC",$N1365="VCA",$Q1365="LINEAR"),($H1365/1000)+0.2,IF(AND($H1365&lt;&gt;"",$I1365="PVC",$N1365="MND",$Q1365="EMBOQUE"),0,IF(AND($H1365&lt;&gt;"",$I1365="PEAD",$N1365="VCA",$Q1365="PREDIAL"),0,0)))))),0)</f>
        <v>0.363</v>
      </c>
      <c r="AK1365" s="153" t="n">
        <f aca="false">IF(AA1365&lt;&gt;"",AA1365,0)</f>
        <v>4.6</v>
      </c>
      <c r="AL1365" s="153" t="n">
        <f aca="false">IF(AND($N1365="MND",$Q1365="EMBOQUE"),$M1365,IF(AND($N1365="VCA",$Q1365="LINEAR"),$M1365,IF(AND($N1365="VCA",$Q1365="PREDIAL"),0,0)))</f>
        <v>93.7</v>
      </c>
      <c r="AM1365" s="153" t="n">
        <f aca="false">IF(AND($N1365="MND",$Q1365="EMBOQUE"),$M1365,IF(AND($N1365="VCA",$Q1365="LINEAR"),$M1365,IF(AND($N1365="VCA",$Q1365="PREDIAL"),0,0)))</f>
        <v>93.7</v>
      </c>
      <c r="AN1365" s="153" t="n">
        <f aca="false">ROUND(IF(AND($N1365="VCA",$M1365&lt;&gt;"",$Q1365="LINEAR"),$M1365/100,IF(AND($N1365="MND",$M1365&gt;100,$Q1365="EMBOQUE"),$M1365/100,0)),0)</f>
        <v>1</v>
      </c>
      <c r="AO1365" s="153" t="n">
        <f aca="false">IF(AND($N1365="MND",$Q1365="EMBOQUE"),$AN1365*2*2,IF(AND($N1365="VCA",$Q1365="LINEAR"),$M1365*2,IF(AND($N1365="VCA",$Q1365="PREDIAL"),0,0)))</f>
        <v>187.4</v>
      </c>
      <c r="AP1365" s="153" t="n">
        <f aca="false">IFERROR($M1365*$AF1365*$AG1365,0)</f>
        <v>83.013515</v>
      </c>
      <c r="AQ1365" s="153" t="n">
        <f aca="false">IFERROR(IF(AND($N1365="VCA",$AH1365&gt;0),$M1365*$AG1365*$AH1365,0),0)</f>
        <v>6.0905</v>
      </c>
      <c r="AR1365" s="153" t="n">
        <f aca="false">IFERROR(IF(AND($N1365="VCA",$AJ1365&gt;0),($M1365*$AG1365*$AJ1365)-$AI1365,0),0)</f>
        <v>21.8164291144039</v>
      </c>
      <c r="AS1365" s="153" t="n">
        <f aca="false">IFERROR(IF(AND($N1365="VCA",$AP1365&gt;0),$AP1365-$AI1365-$AQ1365-$AR1365,0),0)</f>
        <v>54.8145</v>
      </c>
      <c r="AT1365" s="153" t="n">
        <f aca="false">IFERROR(IF($N1365="VCA",INDEX(APOIO_REDES!$A:$W,MATCH($C1365&amp;$I1365&amp;$H1365&amp;$N1365&amp;$O1365,APOIO_REDES!$W:$W,0),MATCH(AT$5,APOIO_REDES!$5:$5,0)),0)*$AP1365,0)</f>
        <v>0.903211613946229</v>
      </c>
      <c r="AU1365" s="153" t="n">
        <f aca="false">IFERROR(IF($N1365="VCA",INDEX(APOIO_REDES!$A:$W,MATCH($C1365&amp;$I1365&amp;$H1365&amp;$N1365&amp;$O1365,APOIO_REDES!$W:$W,0),MATCH(AU$5,APOIO_REDES!$5:$5,0)),0)*$AP1365,0)</f>
        <v>0.721280332824661</v>
      </c>
      <c r="AV1365" s="153" t="n">
        <f aca="false">IFERROR(IF($N1365="VCA",INDEX(APOIO_REDES!$A:$W,MATCH($C1365&amp;$I1365&amp;$H1365&amp;$N1365&amp;$O1365,APOIO_REDES!$W:$W,0),MATCH(AV$5,APOIO_REDES!$5:$5,0)),0)*$AP1365,0)</f>
        <v>0.0998195357903135</v>
      </c>
      <c r="AW1365" s="153" t="n">
        <f aca="false">IFERROR(IF($N1365="VCA",INDEX(APOIO_REDES!$A:$W,MATCH($C1365&amp;$I1365&amp;$H1365&amp;$N1365&amp;$O1365,APOIO_REDES!$W:$W,0),MATCH(AW$5,APOIO_REDES!$5:$5,0)),0)*$AP1365,0)</f>
        <v>56.9811199161018</v>
      </c>
      <c r="AX1365" s="153" t="n">
        <f aca="false">IFERROR(IF($N1365="VCA",INDEX(APOIO_REDES!$A:$W,MATCH($C1365&amp;$I1365&amp;$H1365&amp;$N1365&amp;$O1365,APOIO_REDES!$W:$W,0),MATCH(AX$5,APOIO_REDES!$5:$5,0)),0)*$AP1365,0)</f>
        <v>7.88602468259599</v>
      </c>
      <c r="AY1365" s="153" t="n">
        <f aca="false">IFERROR(IF($N1365="VCA",INDEX(APOIO_REDES!$A:$W,MATCH($C1365&amp;$I1365&amp;$H1365&amp;$N1365&amp;$O1365,APOIO_REDES!$W:$W,0),MATCH(AY$5,APOIO_REDES!$5:$5,0)),0)*$AP1365,0)</f>
        <v>14.4255978641444</v>
      </c>
      <c r="AZ1365" s="153" t="n">
        <f aca="false">IFERROR(IF($N1365="VCA",INDEX(APOIO_REDES!$A:$W,MATCH($C1365&amp;$I1365&amp;$H1365&amp;$N1365&amp;$O1365,APOIO_REDES!$W:$W,0),MATCH(AZ$5,APOIO_REDES!$5:$5,0)),0)*$AP1365,0)</f>
        <v>1.99646105459657</v>
      </c>
      <c r="BA1365" s="153" t="n">
        <f aca="false">IFERROR(IF(AND($N1365="VCA",$Q1365="LINEAR"),INDEX(APOIO_REDES!$A:$W,MATCH($C1365&amp;$I1365&amp;$H1365&amp;$N1365&amp;$O1365,APOIO_REDES!$W:$W,0),MATCH(BA$5,APOIO_REDES!$5:$5,0)),IF(AND($N1365="MND",$Q1365="EMBOQUE"),INDEX(APOIO_REDES!$A:$W,MATCH($C1365&amp;$I1365&amp;$H1365&amp;$N1365&amp;$O1365,APOIO_REDES!$W:$W,0),MATCH(BA$5,APOIO_REDES!$5:$5,0)),0))*$M1365/10,0)</f>
        <v>7.55198364922541</v>
      </c>
      <c r="BB1365" s="153" t="n">
        <f aca="false">IFERROR(IF($N1365="VCA",INDEX(APOIO_REDES!$A:$W,MATCH($C1365&amp;$I1365&amp;$H1365&amp;$N1365&amp;$O1365,APOIO_REDES!$W:$W,0),MATCH(BB$5,APOIO_REDES!$5:$5,0)),0)*($AI1365+$AQ1365+$AR1365),0)</f>
        <v>27.8922013703176</v>
      </c>
      <c r="BC1365" s="153" t="n">
        <f aca="false">IFERROR(IF($N1365="VCA",INDEX(APOIO_REDES!$A:$W,MATCH($C1365&amp;$I1365&amp;$H1365&amp;$N1365&amp;$O1365,APOIO_REDES!$W:$W,0),MATCH(BC$5,APOIO_REDES!$5:$5,0)),0)*($AI1365+$AQ1365+$AR1365),0)</f>
        <v>0.306813629682395</v>
      </c>
      <c r="BD1365" s="153" t="n">
        <f aca="false">IF(AND($N1365="VCA",$AF1365&gt;=1.25,$AF1365&lt;1.5),$M1365*$AF1365*2,0)</f>
        <v>255.4262</v>
      </c>
      <c r="BE1365" s="153" t="n">
        <f aca="false">IF(AND($N1365="VCA",$AF1365&gt;=1.5,$AF1365&lt;3),$M1365*$AF1365*2,0)</f>
        <v>0</v>
      </c>
      <c r="BF1365" s="153" t="n">
        <f aca="false">IF(AND($N1365="VCA",$AF1365&gt;=3),$M1365*$AF1365*2,0)</f>
        <v>0</v>
      </c>
      <c r="BG1365" s="153" t="n">
        <f aca="false">($BB1365+$BC1365)*$AK1365</f>
        <v>129.715469</v>
      </c>
      <c r="BH1365" s="153" t="n">
        <f aca="false">IF(AND($M1365&lt;&gt;"",$N1365="VCA",$Q1365="LINEAR"),($M1365*2)/100,IF(AND($M1365&lt;&gt;"",$N1365="MND",$Q1365="EMBOQUE"),($AN1365*2)/100,0))</f>
        <v>1.874</v>
      </c>
      <c r="BI1365" s="153" t="n">
        <f aca="false">IF(AND($M1365&lt;&gt;"",$N1365="VCA",$Q1365="LINEAR"),$M1365,IF(AND($M1365&lt;&gt;"",$N1365="MND",$Q1365="EMBOQUE"),$AN1365*2,0))</f>
        <v>93.7</v>
      </c>
      <c r="BJ1365" s="153" t="n">
        <f aca="false">IF(AND($M1365&lt;&gt;"",$N1365="VCA",$Q1365="LINEAR"),($M1365*6.8)/100,IF(AND($M1365&lt;&gt;"",$N1365="MND",$Q1365="EMBOQUE"),($AN1365*2*6.8)/100,0))</f>
        <v>6.3716</v>
      </c>
      <c r="BK1365" s="153" t="n">
        <f aca="false">IF(AND($M1365&lt;&gt;"",$N1365="VCA",$Q1365="LINEAR"),($M1365*2.5)/50,IF(AND($M1365&lt;&gt;"",$N1365="MND",$Q1365="EMBOQUE"),($AN1365*2*2.5)/50,0))</f>
        <v>4.685</v>
      </c>
      <c r="BL1365" s="157" t="str">
        <f aca="false">K1365&amp;J1365</f>
        <v>Zona11REDES</v>
      </c>
      <c r="BM1365" s="152" t="s">
        <v>6084</v>
      </c>
      <c r="BN1365" s="152" t="s">
        <v>1560</v>
      </c>
      <c r="BO1365" s="152" t="s">
        <v>6516</v>
      </c>
      <c r="BP1365" s="152" t="s">
        <v>6696</v>
      </c>
      <c r="BQ1365" s="152" t="s">
        <v>6708</v>
      </c>
      <c r="BR1365" s="152" t="s">
        <v>6709</v>
      </c>
      <c r="BS1365" s="152" t="n">
        <v>204433.045</v>
      </c>
      <c r="BT1365" s="152" t="n">
        <v>8236011.846</v>
      </c>
      <c r="BU1365" s="152" t="n">
        <v>204347.092</v>
      </c>
      <c r="BV1365" s="152" t="n">
        <v>8235987.657</v>
      </c>
      <c r="BW1365" s="152" t="n">
        <v>-15.9376922</v>
      </c>
      <c r="BX1365" s="152" t="n">
        <v>-47.7611588</v>
      </c>
      <c r="BY1365" s="152" t="s">
        <v>6696</v>
      </c>
    </row>
    <row r="1366" customFormat="false" ht="13.8" hidden="false" customHeight="false" outlineLevel="0" collapsed="false">
      <c r="A1366" s="149" t="n">
        <f aca="false">IF(C1366&lt;&gt;"",ROW(A1361),"")</f>
        <v>1361</v>
      </c>
      <c r="B1366" s="150" t="str">
        <f aca="false">HYPERLINK("https://www.google.com/maps/dir/-15.917302,-47.760003/-15.9375884,-47.7617283/data=!4m3!4m2!3e0!5i1")</f>
        <v>https://www.google.com/maps/dir/-15.917302,-47.760003/-15.9375884,-47.7617283/data=!4m3!4m2!3e0!5i1</v>
      </c>
      <c r="C1366" s="151" t="s">
        <v>117</v>
      </c>
      <c r="D1366" s="152" t="s">
        <v>112</v>
      </c>
      <c r="E1366" s="152" t="s">
        <v>113</v>
      </c>
      <c r="F1366" s="152" t="s">
        <v>117</v>
      </c>
      <c r="G1366" s="152" t="s">
        <v>782</v>
      </c>
      <c r="H1366" s="152" t="n">
        <v>63</v>
      </c>
      <c r="I1366" s="152" t="s">
        <v>115</v>
      </c>
      <c r="J1366" s="152" t="s">
        <v>6</v>
      </c>
      <c r="K1366" s="152" t="s">
        <v>6081</v>
      </c>
      <c r="L1366" s="152" t="s">
        <v>120</v>
      </c>
      <c r="M1366" s="153" t="n">
        <f aca="false">91.65+4</f>
        <v>95.65</v>
      </c>
      <c r="N1366" s="152" t="s">
        <v>1548</v>
      </c>
      <c r="O1366" s="152" t="s">
        <v>1549</v>
      </c>
      <c r="P1366" s="152" t="s">
        <v>1550</v>
      </c>
      <c r="Q1366" s="152" t="s">
        <v>1551</v>
      </c>
      <c r="R1366" s="154" t="s">
        <v>6710</v>
      </c>
      <c r="S1366" s="154" t="s">
        <v>1553</v>
      </c>
      <c r="T1366" s="155" t="s">
        <v>6514</v>
      </c>
      <c r="U1366" s="152" t="str">
        <f aca="false">RIGHT(T1366,7)</f>
        <v>024/037</v>
      </c>
      <c r="V1366" s="152" t="s">
        <v>1555</v>
      </c>
      <c r="W1366" s="156" t="n">
        <v>45882</v>
      </c>
      <c r="X1366" s="152" t="s">
        <v>3938</v>
      </c>
      <c r="Y1366" s="152" t="s">
        <v>6234</v>
      </c>
      <c r="Z1366" s="152" t="s">
        <v>1557</v>
      </c>
      <c r="AA1366" s="153" t="n">
        <v>4.9</v>
      </c>
      <c r="AB1366" s="151" t="s">
        <v>6711</v>
      </c>
      <c r="AC1366" s="151" t="s">
        <v>186</v>
      </c>
      <c r="AD1366" s="151" t="str">
        <f aca="false">CONCATENATE($C1366,$I1366,$H1366,$N1366,$J1366,$K1366)</f>
        <v>TUBO PEADPEAD63VCAREDESZona11</v>
      </c>
      <c r="AE1366" s="153" t="n">
        <f aca="false">IFERROR(INDEX(APOIO_REDES!$A:$W,MATCH($C1366&amp;$I1366&amp;$H1366&amp;$N1366&amp;$O1366,APOIO_REDES!$W:$W,0),MATCH(AE$5,APOIO_REDES!$5:$5,0)),0)</f>
        <v>1.2</v>
      </c>
      <c r="AF1366" s="153" t="n">
        <f aca="false">IFERROR(INDEX(APOIO_REDES!$A:$W,MATCH($C1366&amp;$I1366&amp;$H1366&amp;$N1366&amp;$O1366,APOIO_REDES!$W:$W,0),MATCH(AF$5,APOIO_REDES!$5:$5,0)),0)</f>
        <v>1.363</v>
      </c>
      <c r="AG1366" s="153" t="n">
        <f aca="false">IFERROR(INDEX(APOIO_REDES!$A:$W,MATCH($C1366&amp;$I1366&amp;$H1366&amp;$N1366&amp;$O1366,APOIO_REDES!$W:$W,0),MATCH(AG$5,APOIO_REDES!$5:$5,0)),0)</f>
        <v>0.65</v>
      </c>
      <c r="AH1366" s="153" t="n">
        <f aca="false">IFERROR(INDEX(APOIO_REDES!$A:$W,MATCH($C1366&amp;$I1366&amp;$H1366&amp;$N1366&amp;$O1366,APOIO_REDES!$W:$W,0),MATCH(AH$5,APOIO_REDES!$5:$5,0)),0)</f>
        <v>0.1</v>
      </c>
      <c r="AI1366" s="153" t="n">
        <f aca="false">IFERROR(IF($H1366&lt;&gt;"",(((($H1366/1000)/2)^2)*PI()*$M1366),0),0)</f>
        <v>0.298164513951666</v>
      </c>
      <c r="AJ1366" s="153" t="n">
        <f aca="false">IFERROR(IF(AND($H1366&lt;&gt;"",$I1366="FoFo",OR($N1366="MND",$N1366="VCA"),$Q1366="LINEAR"),0,IF(AND($H1366&lt;&gt;"",$I1366="PEAD",$N1366="VCA",$Q1366="LINEAR"),($H1366/1000)+0.3,IF(AND($H1366&lt;&gt;"",$I1366="PEAD",$N1366="MND",$Q1366="EMBOQUE"),0,IF(AND($H1366&lt;&gt;"",$I1366="PVC",$N1366="VCA",$Q1366="LINEAR"),($H1366/1000)+0.2,IF(AND($H1366&lt;&gt;"",$I1366="PVC",$N1366="MND",$Q1366="EMBOQUE"),0,IF(AND($H1366&lt;&gt;"",$I1366="PEAD",$N1366="VCA",$Q1366="PREDIAL"),0,0)))))),0)</f>
        <v>0.363</v>
      </c>
      <c r="AK1366" s="153" t="n">
        <f aca="false">IF(AA1366&lt;&gt;"",AA1366,0)</f>
        <v>4.9</v>
      </c>
      <c r="AL1366" s="153" t="n">
        <f aca="false">IF(AND($N1366="MND",$Q1366="EMBOQUE"),$M1366,IF(AND($N1366="VCA",$Q1366="LINEAR"),$M1366,IF(AND($N1366="VCA",$Q1366="PREDIAL"),0,0)))</f>
        <v>95.65</v>
      </c>
      <c r="AM1366" s="153" t="n">
        <f aca="false">IF(AND($N1366="MND",$Q1366="EMBOQUE"),$M1366,IF(AND($N1366="VCA",$Q1366="LINEAR"),$M1366,IF(AND($N1366="VCA",$Q1366="PREDIAL"),0,0)))</f>
        <v>95.65</v>
      </c>
      <c r="AN1366" s="153" t="n">
        <f aca="false">ROUND(IF(AND($N1366="VCA",$M1366&lt;&gt;"",$Q1366="LINEAR"),$M1366/100,IF(AND($N1366="MND",$M1366&gt;100,$Q1366="EMBOQUE"),$M1366/100,0)),0)</f>
        <v>1</v>
      </c>
      <c r="AO1366" s="153" t="n">
        <f aca="false">IF(AND($N1366="MND",$Q1366="EMBOQUE"),$AN1366*2*2,IF(AND($N1366="VCA",$Q1366="LINEAR"),$M1366*2,IF(AND($N1366="VCA",$Q1366="PREDIAL"),0,0)))</f>
        <v>191.3</v>
      </c>
      <c r="AP1366" s="153" t="n">
        <f aca="false">IFERROR($M1366*$AF1366*$AG1366,0)</f>
        <v>84.7411175</v>
      </c>
      <c r="AQ1366" s="153" t="n">
        <f aca="false">IFERROR(IF(AND($N1366="VCA",$AH1366&gt;0),$M1366*$AG1366*$AH1366,0),0)</f>
        <v>6.21725</v>
      </c>
      <c r="AR1366" s="153" t="n">
        <f aca="false">IFERROR(IF(AND($N1366="VCA",$AJ1366&gt;0),($M1366*$AG1366*$AJ1366)-$AI1366,0),0)</f>
        <v>22.2704529860483</v>
      </c>
      <c r="AS1366" s="153" t="n">
        <f aca="false">IFERROR(IF(AND($N1366="VCA",$AP1366&gt;0),$AP1366-$AI1366-$AQ1366-$AR1366,0),0)</f>
        <v>55.95525</v>
      </c>
      <c r="AT1366" s="153" t="n">
        <f aca="false">IFERROR(IF($N1366="VCA",INDEX(APOIO_REDES!$A:$W,MATCH($C1366&amp;$I1366&amp;$H1366&amp;$N1366&amp;$O1366,APOIO_REDES!$W:$W,0),MATCH(AT$5,APOIO_REDES!$5:$5,0)),0)*$AP1366,0)</f>
        <v>0.922008440490468</v>
      </c>
      <c r="AU1366" s="153" t="n">
        <f aca="false">IFERROR(IF($N1366="VCA",INDEX(APOIO_REDES!$A:$W,MATCH($C1366&amp;$I1366&amp;$H1366&amp;$N1366&amp;$O1366,APOIO_REDES!$W:$W,0),MATCH(AU$5,APOIO_REDES!$5:$5,0)),0)*$AP1366,0)</f>
        <v>0.736290969420265</v>
      </c>
      <c r="AV1366" s="153" t="n">
        <f aca="false">IFERROR(IF($N1366="VCA",INDEX(APOIO_REDES!$A:$W,MATCH($C1366&amp;$I1366&amp;$H1366&amp;$N1366&amp;$O1366,APOIO_REDES!$W:$W,0),MATCH(AV$5,APOIO_REDES!$5:$5,0)),0)*$AP1366,0)</f>
        <v>0.101896890057028</v>
      </c>
      <c r="AW1366" s="153" t="n">
        <f aca="false">IFERROR(IF($N1366="VCA",INDEX(APOIO_REDES!$A:$W,MATCH($C1366&amp;$I1366&amp;$H1366&amp;$N1366&amp;$O1366,APOIO_REDES!$W:$W,0),MATCH(AW$5,APOIO_REDES!$5:$5,0)),0)*$AP1366,0)</f>
        <v>58.1669596582192</v>
      </c>
      <c r="AX1366" s="153" t="n">
        <f aca="false">IFERROR(IF($N1366="VCA",INDEX(APOIO_REDES!$A:$W,MATCH($C1366&amp;$I1366&amp;$H1366&amp;$N1366&amp;$O1366,APOIO_REDES!$W:$W,0),MATCH(AX$5,APOIO_REDES!$5:$5,0)),0)*$AP1366,0)</f>
        <v>8.05014152497659</v>
      </c>
      <c r="AY1366" s="153" t="n">
        <f aca="false">IFERROR(IF($N1366="VCA",INDEX(APOIO_REDES!$A:$W,MATCH($C1366&amp;$I1366&amp;$H1366&amp;$N1366&amp;$O1366,APOIO_REDES!$W:$W,0),MATCH(AY$5,APOIO_REDES!$5:$5,0)),0)*$AP1366,0)</f>
        <v>14.7258104130781</v>
      </c>
      <c r="AZ1366" s="153" t="n">
        <f aca="false">IFERROR(IF($N1366="VCA",INDEX(APOIO_REDES!$A:$W,MATCH($C1366&amp;$I1366&amp;$H1366&amp;$N1366&amp;$O1366,APOIO_REDES!$W:$W,0),MATCH(AZ$5,APOIO_REDES!$5:$5,0)),0)*$AP1366,0)</f>
        <v>2.0380096037584</v>
      </c>
      <c r="BA1366" s="153" t="n">
        <f aca="false">IFERROR(IF(AND($N1366="VCA",$Q1366="LINEAR"),INDEX(APOIO_REDES!$A:$W,MATCH($C1366&amp;$I1366&amp;$H1366&amp;$N1366&amp;$O1366,APOIO_REDES!$W:$W,0),MATCH(BA$5,APOIO_REDES!$5:$5,0)),IF(AND($N1366="MND",$Q1366="EMBOQUE"),INDEX(APOIO_REDES!$A:$W,MATCH($C1366&amp;$I1366&amp;$H1366&amp;$N1366&amp;$O1366,APOIO_REDES!$W:$W,0),MATCH(BA$5,APOIO_REDES!$5:$5,0)),0))*$M1366/10,0)</f>
        <v>7.70914873050598</v>
      </c>
      <c r="BB1366" s="153" t="n">
        <f aca="false">IFERROR(IF($N1366="VCA",INDEX(APOIO_REDES!$A:$W,MATCH($C1366&amp;$I1366&amp;$H1366&amp;$N1366&amp;$O1366,APOIO_REDES!$W:$W,0),MATCH(BB$5,APOIO_REDES!$5:$5,0)),0)*($AI1366+$AQ1366+$AR1366),0)</f>
        <v>28.4726687414181</v>
      </c>
      <c r="BC1366" s="153" t="n">
        <f aca="false">IFERROR(IF($N1366="VCA",INDEX(APOIO_REDES!$A:$W,MATCH($C1366&amp;$I1366&amp;$H1366&amp;$N1366&amp;$O1366,APOIO_REDES!$W:$W,0),MATCH(BC$5,APOIO_REDES!$5:$5,0)),0)*($AI1366+$AQ1366+$AR1366),0)</f>
        <v>0.313198758581868</v>
      </c>
      <c r="BD1366" s="153" t="n">
        <f aca="false">IF(AND($N1366="VCA",$AF1366&gt;=1.25,$AF1366&lt;1.5),$M1366*$AF1366*2,0)</f>
        <v>260.7419</v>
      </c>
      <c r="BE1366" s="153" t="n">
        <f aca="false">IF(AND($N1366="VCA",$AF1366&gt;=1.5,$AF1366&lt;3),$M1366*$AF1366*2,0)</f>
        <v>0</v>
      </c>
      <c r="BF1366" s="153" t="n">
        <f aca="false">IF(AND($N1366="VCA",$AF1366&gt;=3),$M1366*$AF1366*2,0)</f>
        <v>0</v>
      </c>
      <c r="BG1366" s="153" t="n">
        <f aca="false">($BB1366+$BC1366)*$AK1366</f>
        <v>141.05075075</v>
      </c>
      <c r="BH1366" s="153" t="n">
        <f aca="false">IF(AND($M1366&lt;&gt;"",$N1366="VCA",$Q1366="LINEAR"),($M1366*2)/100,IF(AND($M1366&lt;&gt;"",$N1366="MND",$Q1366="EMBOQUE"),($AN1366*2)/100,0))</f>
        <v>1.913</v>
      </c>
      <c r="BI1366" s="153" t="n">
        <f aca="false">IF(AND($M1366&lt;&gt;"",$N1366="VCA",$Q1366="LINEAR"),$M1366,IF(AND($M1366&lt;&gt;"",$N1366="MND",$Q1366="EMBOQUE"),$AN1366*2,0))</f>
        <v>95.65</v>
      </c>
      <c r="BJ1366" s="153" t="n">
        <f aca="false">IF(AND($M1366&lt;&gt;"",$N1366="VCA",$Q1366="LINEAR"),($M1366*6.8)/100,IF(AND($M1366&lt;&gt;"",$N1366="MND",$Q1366="EMBOQUE"),($AN1366*2*6.8)/100,0))</f>
        <v>6.5042</v>
      </c>
      <c r="BK1366" s="153" t="n">
        <f aca="false">IF(AND($M1366&lt;&gt;"",$N1366="VCA",$Q1366="LINEAR"),($M1366*2.5)/50,IF(AND($M1366&lt;&gt;"",$N1366="MND",$Q1366="EMBOQUE"),($AN1366*2*2.5)/50,0))</f>
        <v>4.7825</v>
      </c>
      <c r="BL1366" s="157" t="str">
        <f aca="false">K1366&amp;J1366</f>
        <v>Zona11REDES</v>
      </c>
      <c r="BM1366" s="152" t="s">
        <v>6084</v>
      </c>
      <c r="BN1366" s="152" t="s">
        <v>1560</v>
      </c>
      <c r="BO1366" s="152" t="s">
        <v>6516</v>
      </c>
      <c r="BP1366" s="152" t="s">
        <v>6712</v>
      </c>
      <c r="BQ1366" s="152" t="s">
        <v>6704</v>
      </c>
      <c r="BR1366" s="152" t="s">
        <v>6713</v>
      </c>
      <c r="BS1366" s="152" t="n">
        <v>204328.902</v>
      </c>
      <c r="BT1366" s="152" t="n">
        <v>8236010.444</v>
      </c>
      <c r="BU1366" s="152" t="n">
        <v>204240.696</v>
      </c>
      <c r="BV1366" s="152" t="n">
        <v>8235985.999</v>
      </c>
      <c r="BW1366" s="152" t="n">
        <v>-15.9376948</v>
      </c>
      <c r="BX1366" s="152" t="n">
        <v>-47.7621405</v>
      </c>
      <c r="BY1366" s="152" t="s">
        <v>6712</v>
      </c>
    </row>
    <row r="1367" customFormat="false" ht="13.8" hidden="false" customHeight="false" outlineLevel="0" collapsed="false">
      <c r="A1367" s="149" t="n">
        <f aca="false">IF(C1367&lt;&gt;"",ROW(A1362),"")</f>
        <v>1362</v>
      </c>
      <c r="B1367" s="150" t="str">
        <f aca="false">HYPERLINK("https://www.google.com/maps/dir/-15.917302,-47.760003/-15.9377381,-47.7629281/data=!4m3!4m2!3e0!5i1")</f>
        <v>https://www.google.com/maps/dir/-15.917302,-47.760003/-15.9377381,-47.7629281/data=!4m3!4m2!3e0!5i1</v>
      </c>
      <c r="C1367" s="151" t="s">
        <v>117</v>
      </c>
      <c r="D1367" s="152" t="s">
        <v>112</v>
      </c>
      <c r="E1367" s="152" t="s">
        <v>113</v>
      </c>
      <c r="F1367" s="152" t="s">
        <v>117</v>
      </c>
      <c r="G1367" s="152" t="s">
        <v>114</v>
      </c>
      <c r="H1367" s="152" t="n">
        <v>225</v>
      </c>
      <c r="I1367" s="152" t="s">
        <v>115</v>
      </c>
      <c r="J1367" s="152" t="s">
        <v>6</v>
      </c>
      <c r="K1367" s="152" t="s">
        <v>6081</v>
      </c>
      <c r="L1367" s="152" t="s">
        <v>120</v>
      </c>
      <c r="M1367" s="153" t="n">
        <f aca="false">1.54</f>
        <v>1.54</v>
      </c>
      <c r="N1367" s="152" t="s">
        <v>1548</v>
      </c>
      <c r="O1367" s="152" t="s">
        <v>1549</v>
      </c>
      <c r="P1367" s="152" t="s">
        <v>1550</v>
      </c>
      <c r="Q1367" s="152" t="s">
        <v>1551</v>
      </c>
      <c r="R1367" s="154" t="s">
        <v>6714</v>
      </c>
      <c r="S1367" s="154" t="s">
        <v>1593</v>
      </c>
      <c r="T1367" s="155" t="s">
        <v>6514</v>
      </c>
      <c r="U1367" s="152" t="str">
        <f aca="false">RIGHT(T1367,7)</f>
        <v>024/037</v>
      </c>
      <c r="V1367" s="152" t="s">
        <v>1555</v>
      </c>
      <c r="W1367" s="156" t="n">
        <v>45882</v>
      </c>
      <c r="X1367" s="152"/>
      <c r="Y1367" s="152"/>
      <c r="Z1367" s="152" t="s">
        <v>1557</v>
      </c>
      <c r="AA1367" s="153" t="n">
        <v>5</v>
      </c>
      <c r="AB1367" s="151" t="s">
        <v>6715</v>
      </c>
      <c r="AC1367" s="151" t="s">
        <v>508</v>
      </c>
      <c r="AD1367" s="151" t="str">
        <f aca="false">CONCATENATE($C1367,$I1367,$H1367,$N1367,$J1367,$K1367)</f>
        <v>TUBO PEADPEAD225VCAREDESZona11</v>
      </c>
      <c r="AE1367" s="153" t="n">
        <f aca="false">IFERROR(INDEX(APOIO_REDES!$A:$W,MATCH($C1367&amp;$I1367&amp;$H1367&amp;$N1367&amp;$O1367,APOIO_REDES!$W:$W,0),MATCH(AE$5,APOIO_REDES!$5:$5,0)),0)</f>
        <v>1.2</v>
      </c>
      <c r="AF1367" s="153" t="n">
        <f aca="false">IFERROR(INDEX(APOIO_REDES!$A:$W,MATCH($C1367&amp;$I1367&amp;$H1367&amp;$N1367&amp;$O1367,APOIO_REDES!$W:$W,0),MATCH(AF$5,APOIO_REDES!$5:$5,0)),0)</f>
        <v>1.525</v>
      </c>
      <c r="AG1367" s="153" t="n">
        <f aca="false">IFERROR(INDEX(APOIO_REDES!$A:$W,MATCH($C1367&amp;$I1367&amp;$H1367&amp;$N1367&amp;$O1367,APOIO_REDES!$W:$W,0),MATCH(AG$5,APOIO_REDES!$5:$5,0)),0)</f>
        <v>0.8</v>
      </c>
      <c r="AH1367" s="153" t="n">
        <f aca="false">IFERROR(INDEX(APOIO_REDES!$A:$W,MATCH($C1367&amp;$I1367&amp;$H1367&amp;$N1367&amp;$O1367,APOIO_REDES!$W:$W,0),MATCH(AH$5,APOIO_REDES!$5:$5,0)),0)</f>
        <v>0.1</v>
      </c>
      <c r="AI1367" s="153" t="n">
        <f aca="false">IFERROR(IF($H1367&lt;&gt;"",(((($H1367/1000)/2)^2)*PI()*$M1367),0),0)</f>
        <v>0.0612316043138736</v>
      </c>
      <c r="AJ1367" s="153" t="n">
        <f aca="false">IFERROR(IF(AND($H1367&lt;&gt;"",$I1367="FoFo",OR($N1367="MND",$N1367="VCA"),$Q1367="LINEAR"),0,IF(AND($H1367&lt;&gt;"",$I1367="PEAD",$N1367="VCA",$Q1367="LINEAR"),($H1367/1000)+0.3,IF(AND($H1367&lt;&gt;"",$I1367="PEAD",$N1367="MND",$Q1367="EMBOQUE"),0,IF(AND($H1367&lt;&gt;"",$I1367="PVC",$N1367="VCA",$Q1367="LINEAR"),($H1367/1000)+0.2,IF(AND($H1367&lt;&gt;"",$I1367="PVC",$N1367="MND",$Q1367="EMBOQUE"),0,IF(AND($H1367&lt;&gt;"",$I1367="PEAD",$N1367="VCA",$Q1367="PREDIAL"),0,0)))))),0)</f>
        <v>0.525</v>
      </c>
      <c r="AK1367" s="153" t="n">
        <f aca="false">IF(AA1367&lt;&gt;"",AA1367,0)</f>
        <v>5</v>
      </c>
      <c r="AL1367" s="153" t="n">
        <f aca="false">IF(AND($N1367="MND",$Q1367="EMBOQUE"),$M1367,IF(AND($N1367="VCA",$Q1367="LINEAR"),$M1367,IF(AND($N1367="VCA",$Q1367="PREDIAL"),0,0)))</f>
        <v>1.54</v>
      </c>
      <c r="AM1367" s="153" t="n">
        <f aca="false">IF(AND($N1367="MND",$Q1367="EMBOQUE"),$M1367,IF(AND($N1367="VCA",$Q1367="LINEAR"),$M1367,IF(AND($N1367="VCA",$Q1367="PREDIAL"),0,0)))</f>
        <v>1.54</v>
      </c>
      <c r="AN1367" s="153" t="n">
        <f aca="false">ROUND(IF(AND($N1367="VCA",$M1367&lt;&gt;"",$Q1367="LINEAR"),$M1367/100,IF(AND($N1367="MND",$M1367&gt;100,$Q1367="EMBOQUE"),$M1367/100,0)),0)</f>
        <v>0</v>
      </c>
      <c r="AO1367" s="153" t="n">
        <f aca="false">IF(AND($N1367="MND",$Q1367="EMBOQUE"),$AN1367*2*2,IF(AND($N1367="VCA",$Q1367="LINEAR"),$M1367*2,IF(AND($N1367="VCA",$Q1367="PREDIAL"),0,0)))</f>
        <v>3.08</v>
      </c>
      <c r="AP1367" s="153" t="n">
        <f aca="false">IFERROR($M1367*$AF1367*$AG1367,0)</f>
        <v>1.8788</v>
      </c>
      <c r="AQ1367" s="153" t="n">
        <f aca="false">IFERROR(IF(AND($N1367="VCA",$AH1367&gt;0),$M1367*$AG1367*$AH1367,0),0)</f>
        <v>0.1232</v>
      </c>
      <c r="AR1367" s="153" t="n">
        <f aca="false">IFERROR(IF(AND($N1367="VCA",$AJ1367&gt;0),($M1367*$AG1367*$AJ1367)-$AI1367,0),0)</f>
        <v>0.585568395686127</v>
      </c>
      <c r="AS1367" s="153" t="n">
        <f aca="false">IFERROR(IF(AND($N1367="VCA",$AP1367&gt;0),$AP1367-$AI1367-$AQ1367-$AR1367,0),0)</f>
        <v>1.1088</v>
      </c>
      <c r="AT1367" s="153" t="n">
        <f aca="false">IFERROR(IF($N1367="VCA",INDEX(APOIO_REDES!$A:$W,MATCH($C1367&amp;$I1367&amp;$H1367&amp;$N1367&amp;$O1367,APOIO_REDES!$W:$W,0),MATCH(AT$5,APOIO_REDES!$5:$5,0)),0)*$AP1367,0)</f>
        <v>0.0204419000964141</v>
      </c>
      <c r="AU1367" s="153" t="n">
        <f aca="false">IFERROR(IF($N1367="VCA",INDEX(APOIO_REDES!$A:$W,MATCH($C1367&amp;$I1367&amp;$H1367&amp;$N1367&amp;$O1367,APOIO_REDES!$W:$W,0),MATCH(AU$5,APOIO_REDES!$5:$5,0)),0)*$AP1367,0)</f>
        <v>0.0163243477801292</v>
      </c>
      <c r="AV1367" s="153" t="n">
        <f aca="false">IFERROR(IF($N1367="VCA",INDEX(APOIO_REDES!$A:$W,MATCH($C1367&amp;$I1367&amp;$H1367&amp;$N1367&amp;$O1367,APOIO_REDES!$W:$W,0),MATCH(AV$5,APOIO_REDES!$5:$5,0)),0)*$AP1367,0)</f>
        <v>0.00225916158161525</v>
      </c>
      <c r="AW1367" s="153" t="n">
        <f aca="false">IFERROR(IF($N1367="VCA",INDEX(APOIO_REDES!$A:$W,MATCH($C1367&amp;$I1367&amp;$H1367&amp;$N1367&amp;$O1367,APOIO_REDES!$W:$W,0),MATCH(AW$5,APOIO_REDES!$5:$5,0)),0)*$AP1367,0)</f>
        <v>1.28962287765278</v>
      </c>
      <c r="AX1367" s="153" t="n">
        <f aca="false">IFERROR(IF($N1367="VCA",INDEX(APOIO_REDES!$A:$W,MATCH($C1367&amp;$I1367&amp;$H1367&amp;$N1367&amp;$O1367,APOIO_REDES!$W:$W,0),MATCH(AX$5,APOIO_REDES!$5:$5,0)),0)*$AP1367,0)</f>
        <v>0.178480132706841</v>
      </c>
      <c r="AY1367" s="153" t="n">
        <f aca="false">IFERROR(IF($N1367="VCA",INDEX(APOIO_REDES!$A:$W,MATCH($C1367&amp;$I1367&amp;$H1367&amp;$N1367&amp;$O1367,APOIO_REDES!$W:$W,0),MATCH(AY$5,APOIO_REDES!$5:$5,0)),0)*$AP1367,0)</f>
        <v>0.326486756610108</v>
      </c>
      <c r="AZ1367" s="153" t="n">
        <f aca="false">IFERROR(IF($N1367="VCA",INDEX(APOIO_REDES!$A:$W,MATCH($C1367&amp;$I1367&amp;$H1367&amp;$N1367&amp;$O1367,APOIO_REDES!$W:$W,0),MATCH(AZ$5,APOIO_REDES!$5:$5,0)),0)*$AP1367,0)</f>
        <v>0.0451848235721141</v>
      </c>
      <c r="BA1367" s="153" t="n">
        <f aca="false">IFERROR(IF(AND($N1367="VCA",$Q1367="LINEAR"),INDEX(APOIO_REDES!$A:$W,MATCH($C1367&amp;$I1367&amp;$H1367&amp;$N1367&amp;$O1367,APOIO_REDES!$W:$W,0),MATCH(BA$5,APOIO_REDES!$5:$5,0)),IF(AND($N1367="MND",$Q1367="EMBOQUE"),INDEX(APOIO_REDES!$A:$W,MATCH($C1367&amp;$I1367&amp;$H1367&amp;$N1367&amp;$O1367,APOIO_REDES!$W:$W,0),MATCH(BA$5,APOIO_REDES!$5:$5,0)),0))*$M1367/10,0)</f>
        <v>0.124120115472862</v>
      </c>
      <c r="BB1367" s="153" t="n">
        <f aca="false">IFERROR(IF($N1367="VCA",INDEX(APOIO_REDES!$A:$W,MATCH($C1367&amp;$I1367&amp;$H1367&amp;$N1367&amp;$O1367,APOIO_REDES!$W:$W,0),MATCH(BB$5,APOIO_REDES!$5:$5,0)),0)*($AI1367+$AQ1367+$AR1367),0)</f>
        <v>0.761622172091634</v>
      </c>
      <c r="BC1367" s="153" t="n">
        <f aca="false">IFERROR(IF($N1367="VCA",INDEX(APOIO_REDES!$A:$W,MATCH($C1367&amp;$I1367&amp;$H1367&amp;$N1367&amp;$O1367,APOIO_REDES!$W:$W,0),MATCH(BC$5,APOIO_REDES!$5:$5,0)),0)*($AI1367+$AQ1367+$AR1367),0)</f>
        <v>0.00837782790836645</v>
      </c>
      <c r="BD1367" s="153" t="n">
        <f aca="false">IF(AND($N1367="VCA",$AF1367&gt;=1.25,$AF1367&lt;1.5),$M1367*$AF1367*2,0)</f>
        <v>0</v>
      </c>
      <c r="BE1367" s="153" t="n">
        <f aca="false">IF(AND($N1367="VCA",$AF1367&gt;=1.5,$AF1367&lt;3),$M1367*$AF1367*2,0)</f>
        <v>4.697</v>
      </c>
      <c r="BF1367" s="153" t="n">
        <f aca="false">IF(AND($N1367="VCA",$AF1367&gt;=3),$M1367*$AF1367*2,0)</f>
        <v>0</v>
      </c>
      <c r="BG1367" s="153" t="n">
        <f aca="false">($BB1367+$BC1367)*$AK1367</f>
        <v>3.85</v>
      </c>
      <c r="BH1367" s="153" t="n">
        <f aca="false">IF(AND($M1367&lt;&gt;"",$N1367="VCA",$Q1367="LINEAR"),($M1367*2)/100,IF(AND($M1367&lt;&gt;"",$N1367="MND",$Q1367="EMBOQUE"),($AN1367*2)/100,0))</f>
        <v>0.0308</v>
      </c>
      <c r="BI1367" s="153" t="n">
        <f aca="false">IF(AND($M1367&lt;&gt;"",$N1367="VCA",$Q1367="LINEAR"),$M1367,IF(AND($M1367&lt;&gt;"",$N1367="MND",$Q1367="EMBOQUE"),$AN1367*2,0))</f>
        <v>1.54</v>
      </c>
      <c r="BJ1367" s="153" t="n">
        <f aca="false">IF(AND($M1367&lt;&gt;"",$N1367="VCA",$Q1367="LINEAR"),($M1367*6.8)/100,IF(AND($M1367&lt;&gt;"",$N1367="MND",$Q1367="EMBOQUE"),($AN1367*2*6.8)/100,0))</f>
        <v>0.10472</v>
      </c>
      <c r="BK1367" s="153" t="n">
        <f aca="false">IF(AND($M1367&lt;&gt;"",$N1367="VCA",$Q1367="LINEAR"),($M1367*2.5)/50,IF(AND($M1367&lt;&gt;"",$N1367="MND",$Q1367="EMBOQUE"),($AN1367*2*2.5)/50,0))</f>
        <v>0.077</v>
      </c>
      <c r="BL1367" s="157" t="str">
        <f aca="false">K1367&amp;J1367</f>
        <v>Zona11REDES</v>
      </c>
      <c r="BM1367" s="152" t="s">
        <v>6084</v>
      </c>
      <c r="BN1367" s="152" t="s">
        <v>1560</v>
      </c>
      <c r="BO1367" s="152" t="s">
        <v>6516</v>
      </c>
      <c r="BP1367" s="152" t="s">
        <v>6677</v>
      </c>
      <c r="BQ1367" s="152" t="s">
        <v>6716</v>
      </c>
      <c r="BR1367" s="152" t="s">
        <v>6717</v>
      </c>
      <c r="BS1367" s="152" t="n">
        <v>204200.595</v>
      </c>
      <c r="BT1367" s="152" t="n">
        <v>8235992.162</v>
      </c>
      <c r="BU1367" s="152" t="n">
        <v>204200.93</v>
      </c>
      <c r="BV1367" s="152" t="n">
        <v>8235990.658</v>
      </c>
      <c r="BW1367" s="152" t="n">
        <v>-15.9377449</v>
      </c>
      <c r="BX1367" s="152" t="n">
        <v>-47.7629266</v>
      </c>
      <c r="BY1367" s="152" t="s">
        <v>6677</v>
      </c>
    </row>
    <row r="1368" customFormat="false" ht="13.8" hidden="false" customHeight="false" outlineLevel="0" collapsed="false">
      <c r="A1368" s="149" t="n">
        <f aca="false">IF(C1368&lt;&gt;"",ROW(A1363),"")</f>
        <v>1363</v>
      </c>
      <c r="B1368" s="150" t="str">
        <f aca="false">HYPERLINK("https://www.google.com/maps/dir/-15.917302,-47.760003/-15.9380135,-47.7606666/data=!4m3!4m2!3e0!5i1")</f>
        <v>https://www.google.com/maps/dir/-15.917302,-47.760003/-15.9380135,-47.7606666/data=!4m3!4m2!3e0!5i1</v>
      </c>
      <c r="C1368" s="151" t="s">
        <v>117</v>
      </c>
      <c r="D1368" s="152" t="s">
        <v>112</v>
      </c>
      <c r="E1368" s="152" t="s">
        <v>113</v>
      </c>
      <c r="F1368" s="152" t="s">
        <v>117</v>
      </c>
      <c r="G1368" s="152" t="s">
        <v>782</v>
      </c>
      <c r="H1368" s="152" t="n">
        <v>90</v>
      </c>
      <c r="I1368" s="152" t="s">
        <v>115</v>
      </c>
      <c r="J1368" s="152" t="s">
        <v>6</v>
      </c>
      <c r="K1368" s="152" t="s">
        <v>6081</v>
      </c>
      <c r="L1368" s="152" t="s">
        <v>120</v>
      </c>
      <c r="M1368" s="153" t="n">
        <f aca="false">48.11+0.43</f>
        <v>48.54</v>
      </c>
      <c r="N1368" s="152" t="s">
        <v>1548</v>
      </c>
      <c r="O1368" s="152" t="s">
        <v>1549</v>
      </c>
      <c r="P1368" s="152" t="s">
        <v>1550</v>
      </c>
      <c r="Q1368" s="152" t="s">
        <v>1551</v>
      </c>
      <c r="R1368" s="154" t="s">
        <v>6718</v>
      </c>
      <c r="S1368" s="154" t="s">
        <v>1593</v>
      </c>
      <c r="T1368" s="155" t="s">
        <v>6514</v>
      </c>
      <c r="U1368" s="152" t="str">
        <f aca="false">RIGHT(T1368,7)</f>
        <v>024/037</v>
      </c>
      <c r="V1368" s="152" t="s">
        <v>1555</v>
      </c>
      <c r="W1368" s="156" t="n">
        <v>45882</v>
      </c>
      <c r="X1368" s="152" t="s">
        <v>3938</v>
      </c>
      <c r="Y1368" s="152" t="s">
        <v>6234</v>
      </c>
      <c r="Z1368" s="152" t="s">
        <v>1557</v>
      </c>
      <c r="AA1368" s="153" t="n">
        <v>4.6</v>
      </c>
      <c r="AB1368" s="151" t="s">
        <v>6719</v>
      </c>
      <c r="AC1368" s="151" t="s">
        <v>526</v>
      </c>
      <c r="AD1368" s="151" t="str">
        <f aca="false">CONCATENATE($C1368,$I1368,$H1368,$N1368,$J1368,$K1368)</f>
        <v>TUBO PEADPEAD90VCAREDESZona11</v>
      </c>
      <c r="AE1368" s="153" t="n">
        <f aca="false">IFERROR(INDEX(APOIO_REDES!$A:$W,MATCH($C1368&amp;$I1368&amp;$H1368&amp;$N1368&amp;$O1368,APOIO_REDES!$W:$W,0),MATCH(AE$5,APOIO_REDES!$5:$5,0)),0)</f>
        <v>1.2</v>
      </c>
      <c r="AF1368" s="153" t="n">
        <f aca="false">IFERROR(INDEX(APOIO_REDES!$A:$W,MATCH($C1368&amp;$I1368&amp;$H1368&amp;$N1368&amp;$O1368,APOIO_REDES!$W:$W,0),MATCH(AF$5,APOIO_REDES!$5:$5,0)),0)</f>
        <v>1.39</v>
      </c>
      <c r="AG1368" s="153" t="n">
        <f aca="false">IFERROR(INDEX(APOIO_REDES!$A:$W,MATCH($C1368&amp;$I1368&amp;$H1368&amp;$N1368&amp;$O1368,APOIO_REDES!$W:$W,0),MATCH(AG$5,APOIO_REDES!$5:$5,0)),0)</f>
        <v>0.75</v>
      </c>
      <c r="AH1368" s="153" t="n">
        <f aca="false">IFERROR(INDEX(APOIO_REDES!$A:$W,MATCH($C1368&amp;$I1368&amp;$H1368&amp;$N1368&amp;$O1368,APOIO_REDES!$W:$W,0),MATCH(AH$5,APOIO_REDES!$5:$5,0)),0)</f>
        <v>0.1</v>
      </c>
      <c r="AI1368" s="153" t="n">
        <f aca="false">IFERROR(IF($H1368&lt;&gt;"",(((($H1368/1000)/2)^2)*PI()*$M1368),0),0)</f>
        <v>0.308798137495628</v>
      </c>
      <c r="AJ1368" s="153" t="n">
        <f aca="false">IFERROR(IF(AND($H1368&lt;&gt;"",$I1368="FoFo",OR($N1368="MND",$N1368="VCA"),$Q1368="LINEAR"),0,IF(AND($H1368&lt;&gt;"",$I1368="PEAD",$N1368="VCA",$Q1368="LINEAR"),($H1368/1000)+0.3,IF(AND($H1368&lt;&gt;"",$I1368="PEAD",$N1368="MND",$Q1368="EMBOQUE"),0,IF(AND($H1368&lt;&gt;"",$I1368="PVC",$N1368="VCA",$Q1368="LINEAR"),($H1368/1000)+0.2,IF(AND($H1368&lt;&gt;"",$I1368="PVC",$N1368="MND",$Q1368="EMBOQUE"),0,IF(AND($H1368&lt;&gt;"",$I1368="PEAD",$N1368="VCA",$Q1368="PREDIAL"),0,0)))))),0)</f>
        <v>0.39</v>
      </c>
      <c r="AK1368" s="153" t="n">
        <f aca="false">IF(AA1368&lt;&gt;"",AA1368,0)</f>
        <v>4.6</v>
      </c>
      <c r="AL1368" s="153" t="n">
        <f aca="false">IF(AND($N1368="MND",$Q1368="EMBOQUE"),$M1368,IF(AND($N1368="VCA",$Q1368="LINEAR"),$M1368,IF(AND($N1368="VCA",$Q1368="PREDIAL"),0,0)))</f>
        <v>48.54</v>
      </c>
      <c r="AM1368" s="153" t="n">
        <f aca="false">IF(AND($N1368="MND",$Q1368="EMBOQUE"),$M1368,IF(AND($N1368="VCA",$Q1368="LINEAR"),$M1368,IF(AND($N1368="VCA",$Q1368="PREDIAL"),0,0)))</f>
        <v>48.54</v>
      </c>
      <c r="AN1368" s="153" t="n">
        <f aca="false">ROUND(IF(AND($N1368="VCA",$M1368&lt;&gt;"",$Q1368="LINEAR"),$M1368/100,IF(AND($N1368="MND",$M1368&gt;100,$Q1368="EMBOQUE"),$M1368/100,0)),0)</f>
        <v>0</v>
      </c>
      <c r="AO1368" s="153" t="n">
        <f aca="false">IF(AND($N1368="MND",$Q1368="EMBOQUE"),$AN1368*2*2,IF(AND($N1368="VCA",$Q1368="LINEAR"),$M1368*2,IF(AND($N1368="VCA",$Q1368="PREDIAL"),0,0)))</f>
        <v>97.08</v>
      </c>
      <c r="AP1368" s="153" t="n">
        <f aca="false">IFERROR($M1368*$AF1368*$AG1368,0)</f>
        <v>50.60295</v>
      </c>
      <c r="AQ1368" s="153" t="n">
        <f aca="false">IFERROR(IF(AND($N1368="VCA",$AH1368&gt;0),$M1368*$AG1368*$AH1368,0),0)</f>
        <v>3.6405</v>
      </c>
      <c r="AR1368" s="153" t="n">
        <f aca="false">IFERROR(IF(AND($N1368="VCA",$AJ1368&gt;0),($M1368*$AG1368*$AJ1368)-$AI1368,0),0)</f>
        <v>13.8891518625044</v>
      </c>
      <c r="AS1368" s="153" t="n">
        <f aca="false">IFERROR(IF(AND($N1368="VCA",$AP1368&gt;0),$AP1368-$AI1368-$AQ1368-$AR1368,0),0)</f>
        <v>32.7645</v>
      </c>
      <c r="AT1368" s="153" t="n">
        <f aca="false">IFERROR(IF($N1368="VCA",INDEX(APOIO_REDES!$A:$W,MATCH($C1368&amp;$I1368&amp;$H1368&amp;$N1368&amp;$O1368,APOIO_REDES!$W:$W,0),MATCH(AT$5,APOIO_REDES!$5:$5,0)),0)*$AP1368,0)</f>
        <v>0.550575073708665</v>
      </c>
      <c r="AU1368" s="153" t="n">
        <f aca="false">IFERROR(IF($N1368="VCA",INDEX(APOIO_REDES!$A:$W,MATCH($C1368&amp;$I1368&amp;$H1368&amp;$N1368&amp;$O1368,APOIO_REDES!$W:$W,0),MATCH(AU$5,APOIO_REDES!$5:$5,0)),0)*$AP1368,0)</f>
        <v>0.439674342399664</v>
      </c>
      <c r="AV1368" s="153" t="n">
        <f aca="false">IFERROR(IF($N1368="VCA",INDEX(APOIO_REDES!$A:$W,MATCH($C1368&amp;$I1368&amp;$H1368&amp;$N1368&amp;$O1368,APOIO_REDES!$W:$W,0),MATCH(AV$5,APOIO_REDES!$5:$5,0)),0)*$AP1368,0)</f>
        <v>0.0608474774091959</v>
      </c>
      <c r="AW1368" s="153" t="n">
        <f aca="false">IFERROR(IF($N1368="VCA",INDEX(APOIO_REDES!$A:$W,MATCH($C1368&amp;$I1368&amp;$H1368&amp;$N1368&amp;$O1368,APOIO_REDES!$W:$W,0),MATCH(AW$5,APOIO_REDES!$5:$5,0)),0)*$AP1368,0)</f>
        <v>34.7342569707897</v>
      </c>
      <c r="AX1368" s="153" t="n">
        <f aca="false">IFERROR(IF($N1368="VCA",INDEX(APOIO_REDES!$A:$W,MATCH($C1368&amp;$I1368&amp;$H1368&amp;$N1368&amp;$O1368,APOIO_REDES!$W:$W,0),MATCH(AX$5,APOIO_REDES!$5:$5,0)),0)*$AP1368,0)</f>
        <v>4.80712222235344</v>
      </c>
      <c r="AY1368" s="153" t="n">
        <f aca="false">IFERROR(IF($N1368="VCA",INDEX(APOIO_REDES!$A:$W,MATCH($C1368&amp;$I1368&amp;$H1368&amp;$N1368&amp;$O1368,APOIO_REDES!$W:$W,0),MATCH(AY$5,APOIO_REDES!$5:$5,0)),0)*$AP1368,0)</f>
        <v>8.79348148839869</v>
      </c>
      <c r="AZ1368" s="153" t="n">
        <f aca="false">IFERROR(IF($N1368="VCA",INDEX(APOIO_REDES!$A:$W,MATCH($C1368&amp;$I1368&amp;$H1368&amp;$N1368&amp;$O1368,APOIO_REDES!$W:$W,0),MATCH(AZ$5,APOIO_REDES!$5:$5,0)),0)*$AP1368,0)</f>
        <v>1.21699242494066</v>
      </c>
      <c r="BA1368" s="153" t="n">
        <f aca="false">IFERROR(IF(AND($N1368="VCA",$Q1368="LINEAR"),INDEX(APOIO_REDES!$A:$W,MATCH($C1368&amp;$I1368&amp;$H1368&amp;$N1368&amp;$O1368,APOIO_REDES!$W:$W,0),MATCH(BA$5,APOIO_REDES!$5:$5,0)),IF(AND($N1368="MND",$Q1368="EMBOQUE"),INDEX(APOIO_REDES!$A:$W,MATCH($C1368&amp;$I1368&amp;$H1368&amp;$N1368&amp;$O1368,APOIO_REDES!$W:$W,0),MATCH(BA$5,APOIO_REDES!$5:$5,0)),0))*$M1368/10,0)</f>
        <v>3.91220156172254</v>
      </c>
      <c r="BB1368" s="153" t="n">
        <f aca="false">IFERROR(IF($N1368="VCA",INDEX(APOIO_REDES!$A:$W,MATCH($C1368&amp;$I1368&amp;$H1368&amp;$N1368&amp;$O1368,APOIO_REDES!$W:$W,0),MATCH(BB$5,APOIO_REDES!$5:$5,0)),0)*($AI1368+$AQ1368+$AR1368),0)</f>
        <v>17.6443623840883</v>
      </c>
      <c r="BC1368" s="153" t="n">
        <f aca="false">IFERROR(IF($N1368="VCA",INDEX(APOIO_REDES!$A:$W,MATCH($C1368&amp;$I1368&amp;$H1368&amp;$N1368&amp;$O1368,APOIO_REDES!$W:$W,0),MATCH(BC$5,APOIO_REDES!$5:$5,0)),0)*($AI1368+$AQ1368+$AR1368),0)</f>
        <v>0.194087615911688</v>
      </c>
      <c r="BD1368" s="153" t="n">
        <f aca="false">IF(AND($N1368="VCA",$AF1368&gt;=1.25,$AF1368&lt;1.5),$M1368*$AF1368*2,0)</f>
        <v>134.9412</v>
      </c>
      <c r="BE1368" s="153" t="n">
        <f aca="false">IF(AND($N1368="VCA",$AF1368&gt;=1.5,$AF1368&lt;3),$M1368*$AF1368*2,0)</f>
        <v>0</v>
      </c>
      <c r="BF1368" s="153" t="n">
        <f aca="false">IF(AND($N1368="VCA",$AF1368&gt;=3),$M1368*$AF1368*2,0)</f>
        <v>0</v>
      </c>
      <c r="BG1368" s="153" t="n">
        <f aca="false">($BB1368+$BC1368)*$AK1368</f>
        <v>82.05687</v>
      </c>
      <c r="BH1368" s="153" t="n">
        <f aca="false">IF(AND($M1368&lt;&gt;"",$N1368="VCA",$Q1368="LINEAR"),($M1368*2)/100,IF(AND($M1368&lt;&gt;"",$N1368="MND",$Q1368="EMBOQUE"),($AN1368*2)/100,0))</f>
        <v>0.9708</v>
      </c>
      <c r="BI1368" s="153" t="n">
        <f aca="false">IF(AND($M1368&lt;&gt;"",$N1368="VCA",$Q1368="LINEAR"),$M1368,IF(AND($M1368&lt;&gt;"",$N1368="MND",$Q1368="EMBOQUE"),$AN1368*2,0))</f>
        <v>48.54</v>
      </c>
      <c r="BJ1368" s="153" t="n">
        <f aca="false">IF(AND($M1368&lt;&gt;"",$N1368="VCA",$Q1368="LINEAR"),($M1368*6.8)/100,IF(AND($M1368&lt;&gt;"",$N1368="MND",$Q1368="EMBOQUE"),($AN1368*2*6.8)/100,0))</f>
        <v>3.30072</v>
      </c>
      <c r="BK1368" s="153" t="n">
        <f aca="false">IF(AND($M1368&lt;&gt;"",$N1368="VCA",$Q1368="LINEAR"),($M1368*2.5)/50,IF(AND($M1368&lt;&gt;"",$N1368="MND",$Q1368="EMBOQUE"),($AN1368*2*2.5)/50,0))</f>
        <v>2.427</v>
      </c>
      <c r="BL1368" s="157" t="str">
        <f aca="false">K1368&amp;J1368</f>
        <v>Zona11REDES</v>
      </c>
      <c r="BM1368" s="152" t="s">
        <v>6084</v>
      </c>
      <c r="BN1368" s="152" t="s">
        <v>1560</v>
      </c>
      <c r="BO1368" s="152" t="s">
        <v>6516</v>
      </c>
      <c r="BP1368" s="152" t="s">
        <v>6720</v>
      </c>
      <c r="BQ1368" s="152" t="s">
        <v>6696</v>
      </c>
      <c r="BR1368" s="152" t="s">
        <v>6721</v>
      </c>
      <c r="BS1368" s="152" t="n">
        <v>204443.319</v>
      </c>
      <c r="BT1368" s="152" t="n">
        <v>8235964.892</v>
      </c>
      <c r="BU1368" s="152" t="n">
        <v>204433.44</v>
      </c>
      <c r="BV1368" s="152" t="n">
        <v>8236011.957</v>
      </c>
      <c r="BW1368" s="152" t="n">
        <v>-15.9378005</v>
      </c>
      <c r="BX1368" s="152" t="n">
        <v>-47.7607103</v>
      </c>
      <c r="BY1368" s="152" t="s">
        <v>6720</v>
      </c>
    </row>
    <row r="1369" customFormat="false" ht="13.8" hidden="false" customHeight="false" outlineLevel="0" collapsed="false">
      <c r="A1369" s="149" t="n">
        <f aca="false">IF(C1369&lt;&gt;"",ROW(A1364),"")</f>
        <v>1364</v>
      </c>
      <c r="B1369" s="150" t="str">
        <f aca="false">HYPERLINK("https://www.google.com/maps/dir/-15.917302,-47.760003/-15.9379457,-47.7637722/data=!4m3!4m2!3e0!5i1")</f>
        <v>https://www.google.com/maps/dir/-15.917302,-47.760003/-15.9379457,-47.7637722/data=!4m3!4m2!3e0!5i1</v>
      </c>
      <c r="C1369" s="151" t="s">
        <v>117</v>
      </c>
      <c r="D1369" s="152" t="s">
        <v>112</v>
      </c>
      <c r="E1369" s="152" t="s">
        <v>113</v>
      </c>
      <c r="F1369" s="152" t="s">
        <v>117</v>
      </c>
      <c r="G1369" s="152" t="s">
        <v>114</v>
      </c>
      <c r="H1369" s="152" t="n">
        <v>225</v>
      </c>
      <c r="I1369" s="152" t="s">
        <v>115</v>
      </c>
      <c r="J1369" s="152" t="s">
        <v>6</v>
      </c>
      <c r="K1369" s="152" t="s">
        <v>6081</v>
      </c>
      <c r="L1369" s="152" t="s">
        <v>120</v>
      </c>
      <c r="M1369" s="153" t="n">
        <f aca="false">93.31</f>
        <v>93.31</v>
      </c>
      <c r="N1369" s="152" t="s">
        <v>1548</v>
      </c>
      <c r="O1369" s="152" t="s">
        <v>1549</v>
      </c>
      <c r="P1369" s="152" t="s">
        <v>1550</v>
      </c>
      <c r="Q1369" s="152" t="s">
        <v>1551</v>
      </c>
      <c r="R1369" s="154" t="s">
        <v>6722</v>
      </c>
      <c r="S1369" s="154" t="s">
        <v>1593</v>
      </c>
      <c r="T1369" s="155" t="s">
        <v>6514</v>
      </c>
      <c r="U1369" s="152" t="str">
        <f aca="false">RIGHT(T1369,7)</f>
        <v>024/037</v>
      </c>
      <c r="V1369" s="152" t="s">
        <v>1555</v>
      </c>
      <c r="W1369" s="156" t="n">
        <v>45882</v>
      </c>
      <c r="X1369" s="152" t="s">
        <v>3938</v>
      </c>
      <c r="Y1369" s="152"/>
      <c r="Z1369" s="152" t="s">
        <v>1557</v>
      </c>
      <c r="AA1369" s="153" t="n">
        <v>5</v>
      </c>
      <c r="AB1369" s="151" t="s">
        <v>6723</v>
      </c>
      <c r="AC1369" s="151" t="s">
        <v>508</v>
      </c>
      <c r="AD1369" s="151" t="str">
        <f aca="false">CONCATENATE($C1369,$I1369,$H1369,$N1369,$J1369,$K1369)</f>
        <v>TUBO PEADPEAD225VCAREDESZona11</v>
      </c>
      <c r="AE1369" s="153" t="n">
        <f aca="false">IFERROR(INDEX(APOIO_REDES!$A:$W,MATCH($C1369&amp;$I1369&amp;$H1369&amp;$N1369&amp;$O1369,APOIO_REDES!$W:$W,0),MATCH(AE$5,APOIO_REDES!$5:$5,0)),0)</f>
        <v>1.2</v>
      </c>
      <c r="AF1369" s="153" t="n">
        <f aca="false">IFERROR(INDEX(APOIO_REDES!$A:$W,MATCH($C1369&amp;$I1369&amp;$H1369&amp;$N1369&amp;$O1369,APOIO_REDES!$W:$W,0),MATCH(AF$5,APOIO_REDES!$5:$5,0)),0)</f>
        <v>1.525</v>
      </c>
      <c r="AG1369" s="153" t="n">
        <f aca="false">IFERROR(INDEX(APOIO_REDES!$A:$W,MATCH($C1369&amp;$I1369&amp;$H1369&amp;$N1369&amp;$O1369,APOIO_REDES!$W:$W,0),MATCH(AG$5,APOIO_REDES!$5:$5,0)),0)</f>
        <v>0.8</v>
      </c>
      <c r="AH1369" s="153" t="n">
        <f aca="false">IFERROR(INDEX(APOIO_REDES!$A:$W,MATCH($C1369&amp;$I1369&amp;$H1369&amp;$N1369&amp;$O1369,APOIO_REDES!$W:$W,0),MATCH(AH$5,APOIO_REDES!$5:$5,0)),0)</f>
        <v>0.1</v>
      </c>
      <c r="AI1369" s="153" t="n">
        <f aca="false">IFERROR(IF($H1369&lt;&gt;"",(((($H1369/1000)/2)^2)*PI()*$M1369),0),0)</f>
        <v>3.71007857047243</v>
      </c>
      <c r="AJ1369" s="153" t="n">
        <f aca="false">IFERROR(IF(AND($H1369&lt;&gt;"",$I1369="FoFo",OR($N1369="MND",$N1369="VCA"),$Q1369="LINEAR"),0,IF(AND($H1369&lt;&gt;"",$I1369="PEAD",$N1369="VCA",$Q1369="LINEAR"),($H1369/1000)+0.3,IF(AND($H1369&lt;&gt;"",$I1369="PEAD",$N1369="MND",$Q1369="EMBOQUE"),0,IF(AND($H1369&lt;&gt;"",$I1369="PVC",$N1369="VCA",$Q1369="LINEAR"),($H1369/1000)+0.2,IF(AND($H1369&lt;&gt;"",$I1369="PVC",$N1369="MND",$Q1369="EMBOQUE"),0,IF(AND($H1369&lt;&gt;"",$I1369="PEAD",$N1369="VCA",$Q1369="PREDIAL"),0,0)))))),0)</f>
        <v>0.525</v>
      </c>
      <c r="AK1369" s="153" t="n">
        <f aca="false">IF(AA1369&lt;&gt;"",AA1369,0)</f>
        <v>5</v>
      </c>
      <c r="AL1369" s="153" t="n">
        <f aca="false">IF(AND($N1369="MND",$Q1369="EMBOQUE"),$M1369,IF(AND($N1369="VCA",$Q1369="LINEAR"),$M1369,IF(AND($N1369="VCA",$Q1369="PREDIAL"),0,0)))</f>
        <v>93.31</v>
      </c>
      <c r="AM1369" s="153" t="n">
        <f aca="false">IF(AND($N1369="MND",$Q1369="EMBOQUE"),$M1369,IF(AND($N1369="VCA",$Q1369="LINEAR"),$M1369,IF(AND($N1369="VCA",$Q1369="PREDIAL"),0,0)))</f>
        <v>93.31</v>
      </c>
      <c r="AN1369" s="153" t="n">
        <f aca="false">ROUND(IF(AND($N1369="VCA",$M1369&lt;&gt;"",$Q1369="LINEAR"),$M1369/100,IF(AND($N1369="MND",$M1369&gt;100,$Q1369="EMBOQUE"),$M1369/100,0)),0)</f>
        <v>1</v>
      </c>
      <c r="AO1369" s="153" t="n">
        <f aca="false">IF(AND($N1369="MND",$Q1369="EMBOQUE"),$AN1369*2*2,IF(AND($N1369="VCA",$Q1369="LINEAR"),$M1369*2,IF(AND($N1369="VCA",$Q1369="PREDIAL"),0,0)))</f>
        <v>186.62</v>
      </c>
      <c r="AP1369" s="153" t="n">
        <f aca="false">IFERROR($M1369*$AF1369*$AG1369,0)</f>
        <v>113.8382</v>
      </c>
      <c r="AQ1369" s="153" t="n">
        <f aca="false">IFERROR(IF(AND($N1369="VCA",$AH1369&gt;0),$M1369*$AG1369*$AH1369,0),0)</f>
        <v>7.4648</v>
      </c>
      <c r="AR1369" s="153" t="n">
        <f aca="false">IFERROR(IF(AND($N1369="VCA",$AJ1369&gt;0),($M1369*$AG1369*$AJ1369)-$AI1369,0),0)</f>
        <v>35.4801214295276</v>
      </c>
      <c r="AS1369" s="153" t="n">
        <f aca="false">IFERROR(IF(AND($N1369="VCA",$AP1369&gt;0),$AP1369-$AI1369-$AQ1369-$AR1369,0),0)</f>
        <v>67.1832</v>
      </c>
      <c r="AT1369" s="153" t="n">
        <f aca="false">IFERROR(IF($N1369="VCA",INDEX(APOIO_REDES!$A:$W,MATCH($C1369&amp;$I1369&amp;$H1369&amp;$N1369&amp;$O1369,APOIO_REDES!$W:$W,0),MATCH(AT$5,APOIO_REDES!$5:$5,0)),0)*$AP1369,0)</f>
        <v>1.23859331038727</v>
      </c>
      <c r="AU1369" s="153" t="n">
        <f aca="false">IFERROR(IF($N1369="VCA",INDEX(APOIO_REDES!$A:$W,MATCH($C1369&amp;$I1369&amp;$H1369&amp;$N1369&amp;$O1369,APOIO_REDES!$W:$W,0),MATCH(AU$5,APOIO_REDES!$5:$5,0)),0)*$AP1369,0)</f>
        <v>0.989107072314192</v>
      </c>
      <c r="AV1369" s="153" t="n">
        <f aca="false">IFERROR(IF($N1369="VCA",INDEX(APOIO_REDES!$A:$W,MATCH($C1369&amp;$I1369&amp;$H1369&amp;$N1369&amp;$O1369,APOIO_REDES!$W:$W,0),MATCH(AV$5,APOIO_REDES!$5:$5,0)),0)*$AP1369,0)</f>
        <v>0.136884654013324</v>
      </c>
      <c r="AW1369" s="153" t="n">
        <f aca="false">IFERROR(IF($N1369="VCA",INDEX(APOIO_REDES!$A:$W,MATCH($C1369&amp;$I1369&amp;$H1369&amp;$N1369&amp;$O1369,APOIO_REDES!$W:$W,0),MATCH(AW$5,APOIO_REDES!$5:$5,0)),0)*$AP1369,0)</f>
        <v>78.1394225414161</v>
      </c>
      <c r="AX1369" s="153" t="n">
        <f aca="false">IFERROR(IF($N1369="VCA",INDEX(APOIO_REDES!$A:$W,MATCH($C1369&amp;$I1369&amp;$H1369&amp;$N1369&amp;$O1369,APOIO_REDES!$W:$W,0),MATCH(AX$5,APOIO_REDES!$5:$5,0)),0)*$AP1369,0)</f>
        <v>10.8142734953736</v>
      </c>
      <c r="AY1369" s="153" t="n">
        <f aca="false">IFERROR(IF($N1369="VCA",INDEX(APOIO_REDES!$A:$W,MATCH($C1369&amp;$I1369&amp;$H1369&amp;$N1369&amp;$O1369,APOIO_REDES!$W:$W,0),MATCH(AY$5,APOIO_REDES!$5:$5,0)),0)*$AP1369,0)</f>
        <v>19.7821293891488</v>
      </c>
      <c r="AZ1369" s="153" t="n">
        <f aca="false">IFERROR(IF($N1369="VCA",INDEX(APOIO_REDES!$A:$W,MATCH($C1369&amp;$I1369&amp;$H1369&amp;$N1369&amp;$O1369,APOIO_REDES!$W:$W,0),MATCH(AZ$5,APOIO_REDES!$5:$5,0)),0)*$AP1369,0)</f>
        <v>2.73778953734673</v>
      </c>
      <c r="BA1369" s="153" t="n">
        <f aca="false">IFERROR(IF(AND($N1369="VCA",$Q1369="LINEAR"),INDEX(APOIO_REDES!$A:$W,MATCH($C1369&amp;$I1369&amp;$H1369&amp;$N1369&amp;$O1369,APOIO_REDES!$W:$W,0),MATCH(BA$5,APOIO_REDES!$5:$5,0)),IF(AND($N1369="MND",$Q1369="EMBOQUE"),INDEX(APOIO_REDES!$A:$W,MATCH($C1369&amp;$I1369&amp;$H1369&amp;$N1369&amp;$O1369,APOIO_REDES!$W:$W,0),MATCH(BA$5,APOIO_REDES!$5:$5,0)),0))*$M1369/10,0)</f>
        <v>7.5205506329693</v>
      </c>
      <c r="BB1369" s="153" t="n">
        <f aca="false">IFERROR(IF($N1369="VCA",INDEX(APOIO_REDES!$A:$W,MATCH($C1369&amp;$I1369&amp;$H1369&amp;$N1369&amp;$O1369,APOIO_REDES!$W:$W,0),MATCH(BB$5,APOIO_REDES!$5:$5,0)),0)*($AI1369+$AQ1369+$AR1369),0)</f>
        <v>46.1473797908249</v>
      </c>
      <c r="BC1369" s="153" t="n">
        <f aca="false">IFERROR(IF($N1369="VCA",INDEX(APOIO_REDES!$A:$W,MATCH($C1369&amp;$I1369&amp;$H1369&amp;$N1369&amp;$O1369,APOIO_REDES!$W:$W,0),MATCH(BC$5,APOIO_REDES!$5:$5,0)),0)*($AI1369+$AQ1369+$AR1369),0)</f>
        <v>0.507620209175112</v>
      </c>
      <c r="BD1369" s="153" t="n">
        <f aca="false">IF(AND($N1369="VCA",$AF1369&gt;=1.25,$AF1369&lt;1.5),$M1369*$AF1369*2,0)</f>
        <v>0</v>
      </c>
      <c r="BE1369" s="153" t="n">
        <f aca="false">IF(AND($N1369="VCA",$AF1369&gt;=1.5,$AF1369&lt;3),$M1369*$AF1369*2,0)</f>
        <v>284.5955</v>
      </c>
      <c r="BF1369" s="153" t="n">
        <f aca="false">IF(AND($N1369="VCA",$AF1369&gt;=3),$M1369*$AF1369*2,0)</f>
        <v>0</v>
      </c>
      <c r="BG1369" s="153" t="n">
        <f aca="false">($BB1369+$BC1369)*$AK1369</f>
        <v>233.275</v>
      </c>
      <c r="BH1369" s="153" t="n">
        <f aca="false">IF(AND($M1369&lt;&gt;"",$N1369="VCA",$Q1369="LINEAR"),($M1369*2)/100,IF(AND($M1369&lt;&gt;"",$N1369="MND",$Q1369="EMBOQUE"),($AN1369*2)/100,0))</f>
        <v>1.8662</v>
      </c>
      <c r="BI1369" s="153" t="n">
        <f aca="false">IF(AND($M1369&lt;&gt;"",$N1369="VCA",$Q1369="LINEAR"),$M1369,IF(AND($M1369&lt;&gt;"",$N1369="MND",$Q1369="EMBOQUE"),$AN1369*2,0))</f>
        <v>93.31</v>
      </c>
      <c r="BJ1369" s="153" t="n">
        <f aca="false">IF(AND($M1369&lt;&gt;"",$N1369="VCA",$Q1369="LINEAR"),($M1369*6.8)/100,IF(AND($M1369&lt;&gt;"",$N1369="MND",$Q1369="EMBOQUE"),($AN1369*2*6.8)/100,0))</f>
        <v>6.34508</v>
      </c>
      <c r="BK1369" s="153" t="n">
        <f aca="false">IF(AND($M1369&lt;&gt;"",$N1369="VCA",$Q1369="LINEAR"),($M1369*2.5)/50,IF(AND($M1369&lt;&gt;"",$N1369="MND",$Q1369="EMBOQUE"),($AN1369*2*2.5)/50,0))</f>
        <v>4.6655</v>
      </c>
      <c r="BL1369" s="157" t="str">
        <f aca="false">K1369&amp;J1369</f>
        <v>Zona11REDES</v>
      </c>
      <c r="BM1369" s="152" t="s">
        <v>6084</v>
      </c>
      <c r="BN1369" s="152" t="s">
        <v>1560</v>
      </c>
      <c r="BO1369" s="152" t="s">
        <v>6516</v>
      </c>
      <c r="BP1369" s="152" t="s">
        <v>6724</v>
      </c>
      <c r="BQ1369" s="152" t="s">
        <v>6677</v>
      </c>
      <c r="BR1369" s="152" t="s">
        <v>6717</v>
      </c>
      <c r="BS1369" s="152" t="n">
        <v>204110.096</v>
      </c>
      <c r="BT1369" s="152" t="n">
        <v>8235969.43</v>
      </c>
      <c r="BU1369" s="152" t="n">
        <v>204200.595</v>
      </c>
      <c r="BV1369" s="152" t="n">
        <v>8235992.162</v>
      </c>
      <c r="BW1369" s="152" t="n">
        <v>-15.9378353</v>
      </c>
      <c r="BX1369" s="152" t="n">
        <v>-47.7633518</v>
      </c>
      <c r="BY1369" s="152" t="s">
        <v>6724</v>
      </c>
    </row>
    <row r="1370" customFormat="false" ht="13.8" hidden="false" customHeight="false" outlineLevel="0" collapsed="false">
      <c r="A1370" s="149" t="n">
        <f aca="false">IF(C1370&lt;&gt;"",ROW(A1365),"")</f>
        <v>1365</v>
      </c>
      <c r="B1370" s="150" t="str">
        <f aca="false">HYPERLINK("https://www.google.com/maps/dir/-15.917302,-47.760003/-15.9379457,-47.7637722/data=!4m3!4m2!3e0!5i1")</f>
        <v>https://www.google.com/maps/dir/-15.917302,-47.760003/-15.9379457,-47.7637722/data=!4m3!4m2!3e0!5i1</v>
      </c>
      <c r="C1370" s="151" t="s">
        <v>117</v>
      </c>
      <c r="D1370" s="152" t="s">
        <v>112</v>
      </c>
      <c r="E1370" s="152" t="s">
        <v>113</v>
      </c>
      <c r="F1370" s="152" t="s">
        <v>117</v>
      </c>
      <c r="G1370" s="152" t="s">
        <v>114</v>
      </c>
      <c r="H1370" s="152" t="n">
        <v>160</v>
      </c>
      <c r="I1370" s="152" t="s">
        <v>115</v>
      </c>
      <c r="J1370" s="152" t="s">
        <v>6</v>
      </c>
      <c r="K1370" s="152" t="s">
        <v>6081</v>
      </c>
      <c r="L1370" s="152" t="s">
        <v>120</v>
      </c>
      <c r="M1370" s="153" t="n">
        <f aca="false">91.77</f>
        <v>91.77</v>
      </c>
      <c r="N1370" s="152" t="s">
        <v>1548</v>
      </c>
      <c r="O1370" s="152" t="s">
        <v>1549</v>
      </c>
      <c r="P1370" s="152" t="s">
        <v>1550</v>
      </c>
      <c r="Q1370" s="152" t="s">
        <v>1551</v>
      </c>
      <c r="R1370" s="154" t="s">
        <v>6725</v>
      </c>
      <c r="S1370" s="154" t="s">
        <v>1593</v>
      </c>
      <c r="T1370" s="155" t="s">
        <v>6514</v>
      </c>
      <c r="U1370" s="152" t="str">
        <f aca="false">RIGHT(T1370,7)</f>
        <v>024/037</v>
      </c>
      <c r="V1370" s="152" t="s">
        <v>1555</v>
      </c>
      <c r="W1370" s="156" t="n">
        <v>45882</v>
      </c>
      <c r="X1370" s="152" t="s">
        <v>3938</v>
      </c>
      <c r="Y1370" s="152"/>
      <c r="Z1370" s="152" t="s">
        <v>1557</v>
      </c>
      <c r="AA1370" s="153" t="n">
        <v>5</v>
      </c>
      <c r="AB1370" s="151" t="s">
        <v>6726</v>
      </c>
      <c r="AC1370" s="151" t="s">
        <v>505</v>
      </c>
      <c r="AD1370" s="151" t="str">
        <f aca="false">CONCATENATE($C1370,$I1370,$H1370,$N1370,$J1370,$K1370)</f>
        <v>TUBO PEADPEAD160VCAREDESZona11</v>
      </c>
      <c r="AE1370" s="153" t="n">
        <f aca="false">IFERROR(INDEX(APOIO_REDES!$A:$W,MATCH($C1370&amp;$I1370&amp;$H1370&amp;$N1370&amp;$O1370,APOIO_REDES!$W:$W,0),MATCH(AE$5,APOIO_REDES!$5:$5,0)),0)</f>
        <v>1.2</v>
      </c>
      <c r="AF1370" s="153" t="n">
        <f aca="false">IFERROR(INDEX(APOIO_REDES!$A:$W,MATCH($C1370&amp;$I1370&amp;$H1370&amp;$N1370&amp;$O1370,APOIO_REDES!$W:$W,0),MATCH(AF$5,APOIO_REDES!$5:$5,0)),0)</f>
        <v>1.46</v>
      </c>
      <c r="AG1370" s="153" t="n">
        <f aca="false">IFERROR(INDEX(APOIO_REDES!$A:$W,MATCH($C1370&amp;$I1370&amp;$H1370&amp;$N1370&amp;$O1370,APOIO_REDES!$W:$W,0),MATCH(AG$5,APOIO_REDES!$5:$5,0)),0)</f>
        <v>0.75</v>
      </c>
      <c r="AH1370" s="153" t="n">
        <f aca="false">IFERROR(INDEX(APOIO_REDES!$A:$W,MATCH($C1370&amp;$I1370&amp;$H1370&amp;$N1370&amp;$O1370,APOIO_REDES!$W:$W,0),MATCH(AH$5,APOIO_REDES!$5:$5,0)),0)</f>
        <v>0.1</v>
      </c>
      <c r="AI1370" s="153" t="n">
        <f aca="false">IFERROR(IF($H1370&lt;&gt;"",(((($H1370/1000)/2)^2)*PI()*$M1370),0),0)</f>
        <v>1.84514533004759</v>
      </c>
      <c r="AJ1370" s="153" t="n">
        <f aca="false">IFERROR(IF(AND($H1370&lt;&gt;"",$I1370="FoFo",OR($N1370="MND",$N1370="VCA"),$Q1370="LINEAR"),0,IF(AND($H1370&lt;&gt;"",$I1370="PEAD",$N1370="VCA",$Q1370="LINEAR"),($H1370/1000)+0.3,IF(AND($H1370&lt;&gt;"",$I1370="PEAD",$N1370="MND",$Q1370="EMBOQUE"),0,IF(AND($H1370&lt;&gt;"",$I1370="PVC",$N1370="VCA",$Q1370="LINEAR"),($H1370/1000)+0.2,IF(AND($H1370&lt;&gt;"",$I1370="PVC",$N1370="MND",$Q1370="EMBOQUE"),0,IF(AND($H1370&lt;&gt;"",$I1370="PEAD",$N1370="VCA",$Q1370="PREDIAL"),0,0)))))),0)</f>
        <v>0.46</v>
      </c>
      <c r="AK1370" s="153" t="n">
        <f aca="false">IF(AA1370&lt;&gt;"",AA1370,0)</f>
        <v>5</v>
      </c>
      <c r="AL1370" s="153" t="n">
        <f aca="false">IF(AND($N1370="MND",$Q1370="EMBOQUE"),$M1370,IF(AND($N1370="VCA",$Q1370="LINEAR"),$M1370,IF(AND($N1370="VCA",$Q1370="PREDIAL"),0,0)))</f>
        <v>91.77</v>
      </c>
      <c r="AM1370" s="153" t="n">
        <f aca="false">IF(AND($N1370="MND",$Q1370="EMBOQUE"),$M1370,IF(AND($N1370="VCA",$Q1370="LINEAR"),$M1370,IF(AND($N1370="VCA",$Q1370="PREDIAL"),0,0)))</f>
        <v>91.77</v>
      </c>
      <c r="AN1370" s="153" t="n">
        <f aca="false">ROUND(IF(AND($N1370="VCA",$M1370&lt;&gt;"",$Q1370="LINEAR"),$M1370/100,IF(AND($N1370="MND",$M1370&gt;100,$Q1370="EMBOQUE"),$M1370/100,0)),0)</f>
        <v>1</v>
      </c>
      <c r="AO1370" s="153" t="n">
        <f aca="false">IF(AND($N1370="MND",$Q1370="EMBOQUE"),$AN1370*2*2,IF(AND($N1370="VCA",$Q1370="LINEAR"),$M1370*2,IF(AND($N1370="VCA",$Q1370="PREDIAL"),0,0)))</f>
        <v>183.54</v>
      </c>
      <c r="AP1370" s="153" t="n">
        <f aca="false">IFERROR($M1370*$AF1370*$AG1370,0)</f>
        <v>100.48815</v>
      </c>
      <c r="AQ1370" s="153" t="n">
        <f aca="false">IFERROR(IF(AND($N1370="VCA",$AH1370&gt;0),$M1370*$AG1370*$AH1370,0),0)</f>
        <v>6.88275</v>
      </c>
      <c r="AR1370" s="153" t="n">
        <f aca="false">IFERROR(IF(AND($N1370="VCA",$AJ1370&gt;0),($M1370*$AG1370*$AJ1370)-$AI1370,0),0)</f>
        <v>29.8155046699524</v>
      </c>
      <c r="AS1370" s="153" t="n">
        <f aca="false">IFERROR(IF(AND($N1370="VCA",$AP1370&gt;0),$AP1370-$AI1370-$AQ1370-$AR1370,0),0)</f>
        <v>61.94475</v>
      </c>
      <c r="AT1370" s="153" t="n">
        <f aca="false">IFERROR(IF($N1370="VCA",INDEX(APOIO_REDES!$A:$W,MATCH($C1370&amp;$I1370&amp;$H1370&amp;$N1370&amp;$O1370,APOIO_REDES!$W:$W,0),MATCH(AT$5,APOIO_REDES!$5:$5,0)),0)*$AP1370,0)</f>
        <v>1.09334081497417</v>
      </c>
      <c r="AU1370" s="153" t="n">
        <f aca="false">IFERROR(IF($N1370="VCA",INDEX(APOIO_REDES!$A:$W,MATCH($C1370&amp;$I1370&amp;$H1370&amp;$N1370&amp;$O1370,APOIO_REDES!$W:$W,0),MATCH(AU$5,APOIO_REDES!$5:$5,0)),0)*$AP1370,0)</f>
        <v>0.87311236341377</v>
      </c>
      <c r="AV1370" s="153" t="n">
        <f aca="false">IFERROR(IF($N1370="VCA",INDEX(APOIO_REDES!$A:$W,MATCH($C1370&amp;$I1370&amp;$H1370&amp;$N1370&amp;$O1370,APOIO_REDES!$W:$W,0),MATCH(AV$5,APOIO_REDES!$5:$5,0)),0)*$AP1370,0)</f>
        <v>0.120831896895673</v>
      </c>
      <c r="AW1370" s="153" t="n">
        <f aca="false">IFERROR(IF($N1370="VCA",INDEX(APOIO_REDES!$A:$W,MATCH($C1370&amp;$I1370&amp;$H1370&amp;$N1370&amp;$O1370,APOIO_REDES!$W:$W,0),MATCH(AW$5,APOIO_REDES!$5:$5,0)),0)*$AP1370,0)</f>
        <v>68.975844780181</v>
      </c>
      <c r="AX1370" s="153" t="n">
        <f aca="false">IFERROR(IF($N1370="VCA",INDEX(APOIO_REDES!$A:$W,MATCH($C1370&amp;$I1370&amp;$H1370&amp;$N1370&amp;$O1370,APOIO_REDES!$W:$W,0),MATCH(AX$5,APOIO_REDES!$5:$5,0)),0)*$AP1370,0)</f>
        <v>9.54606043616401</v>
      </c>
      <c r="AY1370" s="153" t="n">
        <f aca="false">IFERROR(IF($N1370="VCA",INDEX(APOIO_REDES!$A:$W,MATCH($C1370&amp;$I1370&amp;$H1370&amp;$N1370&amp;$O1370,APOIO_REDES!$W:$W,0),MATCH(AY$5,APOIO_REDES!$5:$5,0)),0)*$AP1370,0)</f>
        <v>17.4622366251065</v>
      </c>
      <c r="AZ1370" s="153" t="n">
        <f aca="false">IFERROR(IF($N1370="VCA",INDEX(APOIO_REDES!$A:$W,MATCH($C1370&amp;$I1370&amp;$H1370&amp;$N1370&amp;$O1370,APOIO_REDES!$W:$W,0),MATCH(AZ$5,APOIO_REDES!$5:$5,0)),0)*$AP1370,0)</f>
        <v>2.41672308326492</v>
      </c>
      <c r="BA1370" s="153" t="n">
        <f aca="false">IFERROR(IF(AND($N1370="VCA",$Q1370="LINEAR"),INDEX(APOIO_REDES!$A:$W,MATCH($C1370&amp;$I1370&amp;$H1370&amp;$N1370&amp;$O1370,APOIO_REDES!$W:$W,0),MATCH(BA$5,APOIO_REDES!$5:$5,0)),IF(AND($N1370="MND",$Q1370="EMBOQUE"),INDEX(APOIO_REDES!$A:$W,MATCH($C1370&amp;$I1370&amp;$H1370&amp;$N1370&amp;$O1370,APOIO_REDES!$W:$W,0),MATCH(BA$5,APOIO_REDES!$5:$5,0)),0))*$M1370/10,0)</f>
        <v>7.39643051749644</v>
      </c>
      <c r="BB1370" s="153" t="n">
        <f aca="false">IFERROR(IF($N1370="VCA",INDEX(APOIO_REDES!$A:$W,MATCH($C1370&amp;$I1370&amp;$H1370&amp;$N1370&amp;$O1370,APOIO_REDES!$W:$W,0),MATCH(BB$5,APOIO_REDES!$5:$5,0)),0)*($AI1370+$AQ1370+$AR1370),0)</f>
        <v>38.1240363997359</v>
      </c>
      <c r="BC1370" s="153" t="n">
        <f aca="false">IFERROR(IF($N1370="VCA",INDEX(APOIO_REDES!$A:$W,MATCH($C1370&amp;$I1370&amp;$H1370&amp;$N1370&amp;$O1370,APOIO_REDES!$W:$W,0),MATCH(BC$5,APOIO_REDES!$5:$5,0)),0)*($AI1370+$AQ1370+$AR1370),0)</f>
        <v>0.419363600264066</v>
      </c>
      <c r="BD1370" s="153" t="n">
        <f aca="false">IF(AND($N1370="VCA",$AF1370&gt;=1.25,$AF1370&lt;1.5),$M1370*$AF1370*2,0)</f>
        <v>267.9684</v>
      </c>
      <c r="BE1370" s="153" t="n">
        <f aca="false">IF(AND($N1370="VCA",$AF1370&gt;=1.5,$AF1370&lt;3),$M1370*$AF1370*2,0)</f>
        <v>0</v>
      </c>
      <c r="BF1370" s="153" t="n">
        <f aca="false">IF(AND($N1370="VCA",$AF1370&gt;=3),$M1370*$AF1370*2,0)</f>
        <v>0</v>
      </c>
      <c r="BG1370" s="153" t="n">
        <f aca="false">($BB1370+$BC1370)*$AK1370</f>
        <v>192.717</v>
      </c>
      <c r="BH1370" s="153" t="n">
        <f aca="false">IF(AND($M1370&lt;&gt;"",$N1370="VCA",$Q1370="LINEAR"),($M1370*2)/100,IF(AND($M1370&lt;&gt;"",$N1370="MND",$Q1370="EMBOQUE"),($AN1370*2)/100,0))</f>
        <v>1.8354</v>
      </c>
      <c r="BI1370" s="153" t="n">
        <f aca="false">IF(AND($M1370&lt;&gt;"",$N1370="VCA",$Q1370="LINEAR"),$M1370,IF(AND($M1370&lt;&gt;"",$N1370="MND",$Q1370="EMBOQUE"),$AN1370*2,0))</f>
        <v>91.77</v>
      </c>
      <c r="BJ1370" s="153" t="n">
        <f aca="false">IF(AND($M1370&lt;&gt;"",$N1370="VCA",$Q1370="LINEAR"),($M1370*6.8)/100,IF(AND($M1370&lt;&gt;"",$N1370="MND",$Q1370="EMBOQUE"),($AN1370*2*6.8)/100,0))</f>
        <v>6.24036</v>
      </c>
      <c r="BK1370" s="153" t="n">
        <f aca="false">IF(AND($M1370&lt;&gt;"",$N1370="VCA",$Q1370="LINEAR"),($M1370*2.5)/50,IF(AND($M1370&lt;&gt;"",$N1370="MND",$Q1370="EMBOQUE"),($AN1370*2*2.5)/50,0))</f>
        <v>4.5885</v>
      </c>
      <c r="BL1370" s="157" t="str">
        <f aca="false">K1370&amp;J1370</f>
        <v>Zona11REDES</v>
      </c>
      <c r="BM1370" s="152" t="s">
        <v>6084</v>
      </c>
      <c r="BN1370" s="152" t="s">
        <v>1560</v>
      </c>
      <c r="BO1370" s="152" t="s">
        <v>6516</v>
      </c>
      <c r="BP1370" s="152" t="s">
        <v>6724</v>
      </c>
      <c r="BQ1370" s="152" t="s">
        <v>6716</v>
      </c>
      <c r="BR1370" s="152" t="s">
        <v>6727</v>
      </c>
      <c r="BS1370" s="152" t="n">
        <v>204110.461</v>
      </c>
      <c r="BT1370" s="152" t="n">
        <v>8235967.975</v>
      </c>
      <c r="BU1370" s="152" t="n">
        <v>204199.466</v>
      </c>
      <c r="BV1370" s="152" t="n">
        <v>8235990.332</v>
      </c>
      <c r="BW1370" s="152" t="n">
        <v>-15.9378501</v>
      </c>
      <c r="BX1370" s="152" t="n">
        <v>-47.7633555</v>
      </c>
      <c r="BY1370" s="152" t="s">
        <v>6724</v>
      </c>
    </row>
    <row r="1371" customFormat="false" ht="13.8" hidden="false" customHeight="false" outlineLevel="0" collapsed="false">
      <c r="A1371" s="149" t="n">
        <f aca="false">IF(C1371&lt;&gt;"",ROW(A1366),"")</f>
        <v>1366</v>
      </c>
      <c r="B1371" s="150" t="str">
        <f aca="false">HYPERLINK("https://www.google.com/maps/dir/-15.917302,-47.760003/-15.9379357,-47.7637891/data=!4m3!4m2!3e0!5i1")</f>
        <v>https://www.google.com/maps/dir/-15.917302,-47.760003/-15.9379357,-47.7637891/data=!4m3!4m2!3e0!5i1</v>
      </c>
      <c r="C1371" s="151" t="s">
        <v>117</v>
      </c>
      <c r="D1371" s="152" t="s">
        <v>112</v>
      </c>
      <c r="E1371" s="152" t="s">
        <v>113</v>
      </c>
      <c r="F1371" s="152" t="s">
        <v>117</v>
      </c>
      <c r="G1371" s="152" t="s">
        <v>114</v>
      </c>
      <c r="H1371" s="152" t="n">
        <v>225</v>
      </c>
      <c r="I1371" s="152" t="s">
        <v>115</v>
      </c>
      <c r="J1371" s="152" t="s">
        <v>6</v>
      </c>
      <c r="K1371" s="152" t="s">
        <v>6081</v>
      </c>
      <c r="L1371" s="152" t="s">
        <v>120</v>
      </c>
      <c r="M1371" s="153" t="n">
        <f aca="false">1.51</f>
        <v>1.51</v>
      </c>
      <c r="N1371" s="152" t="s">
        <v>1548</v>
      </c>
      <c r="O1371" s="152" t="s">
        <v>1549</v>
      </c>
      <c r="P1371" s="152" t="s">
        <v>1550</v>
      </c>
      <c r="Q1371" s="152" t="s">
        <v>1551</v>
      </c>
      <c r="R1371" s="154" t="s">
        <v>6728</v>
      </c>
      <c r="S1371" s="154" t="s">
        <v>1593</v>
      </c>
      <c r="T1371" s="155" t="s">
        <v>6514</v>
      </c>
      <c r="U1371" s="152" t="str">
        <f aca="false">RIGHT(T1371,7)</f>
        <v>024/037</v>
      </c>
      <c r="V1371" s="152" t="s">
        <v>1555</v>
      </c>
      <c r="W1371" s="156" t="n">
        <v>45882</v>
      </c>
      <c r="X1371" s="152" t="s">
        <v>3938</v>
      </c>
      <c r="Y1371" s="152"/>
      <c r="Z1371" s="152" t="s">
        <v>1557</v>
      </c>
      <c r="AA1371" s="153" t="n">
        <v>5</v>
      </c>
      <c r="AB1371" s="151" t="s">
        <v>6729</v>
      </c>
      <c r="AC1371" s="151" t="s">
        <v>508</v>
      </c>
      <c r="AD1371" s="151" t="str">
        <f aca="false">CONCATENATE($C1371,$I1371,$H1371,$N1371,$J1371,$K1371)</f>
        <v>TUBO PEADPEAD225VCAREDESZona11</v>
      </c>
      <c r="AE1371" s="153" t="n">
        <f aca="false">IFERROR(INDEX(APOIO_REDES!$A:$W,MATCH($C1371&amp;$I1371&amp;$H1371&amp;$N1371&amp;$O1371,APOIO_REDES!$W:$W,0),MATCH(AE$5,APOIO_REDES!$5:$5,0)),0)</f>
        <v>1.2</v>
      </c>
      <c r="AF1371" s="153" t="n">
        <f aca="false">IFERROR(INDEX(APOIO_REDES!$A:$W,MATCH($C1371&amp;$I1371&amp;$H1371&amp;$N1371&amp;$O1371,APOIO_REDES!$W:$W,0),MATCH(AF$5,APOIO_REDES!$5:$5,0)),0)</f>
        <v>1.525</v>
      </c>
      <c r="AG1371" s="153" t="n">
        <f aca="false">IFERROR(INDEX(APOIO_REDES!$A:$W,MATCH($C1371&amp;$I1371&amp;$H1371&amp;$N1371&amp;$O1371,APOIO_REDES!$W:$W,0),MATCH(AG$5,APOIO_REDES!$5:$5,0)),0)</f>
        <v>0.8</v>
      </c>
      <c r="AH1371" s="153" t="n">
        <f aca="false">IFERROR(INDEX(APOIO_REDES!$A:$W,MATCH($C1371&amp;$I1371&amp;$H1371&amp;$N1371&amp;$O1371,APOIO_REDES!$W:$W,0),MATCH(AH$5,APOIO_REDES!$5:$5,0)),0)</f>
        <v>0.1</v>
      </c>
      <c r="AI1371" s="153" t="n">
        <f aca="false">IFERROR(IF($H1371&lt;&gt;"",(((($H1371/1000)/2)^2)*PI()*$M1371),0),0)</f>
        <v>0.0600387808532137</v>
      </c>
      <c r="AJ1371" s="153" t="n">
        <f aca="false">IFERROR(IF(AND($H1371&lt;&gt;"",$I1371="FoFo",OR($N1371="MND",$N1371="VCA"),$Q1371="LINEAR"),0,IF(AND($H1371&lt;&gt;"",$I1371="PEAD",$N1371="VCA",$Q1371="LINEAR"),($H1371/1000)+0.3,IF(AND($H1371&lt;&gt;"",$I1371="PEAD",$N1371="MND",$Q1371="EMBOQUE"),0,IF(AND($H1371&lt;&gt;"",$I1371="PVC",$N1371="VCA",$Q1371="LINEAR"),($H1371/1000)+0.2,IF(AND($H1371&lt;&gt;"",$I1371="PVC",$N1371="MND",$Q1371="EMBOQUE"),0,IF(AND($H1371&lt;&gt;"",$I1371="PEAD",$N1371="VCA",$Q1371="PREDIAL"),0,0)))))),0)</f>
        <v>0.525</v>
      </c>
      <c r="AK1371" s="153" t="n">
        <f aca="false">IF(AA1371&lt;&gt;"",AA1371,0)</f>
        <v>5</v>
      </c>
      <c r="AL1371" s="153" t="n">
        <f aca="false">IF(AND($N1371="MND",$Q1371="EMBOQUE"),$M1371,IF(AND($N1371="VCA",$Q1371="LINEAR"),$M1371,IF(AND($N1371="VCA",$Q1371="PREDIAL"),0,0)))</f>
        <v>1.51</v>
      </c>
      <c r="AM1371" s="153" t="n">
        <f aca="false">IF(AND($N1371="MND",$Q1371="EMBOQUE"),$M1371,IF(AND($N1371="VCA",$Q1371="LINEAR"),$M1371,IF(AND($N1371="VCA",$Q1371="PREDIAL"),0,0)))</f>
        <v>1.51</v>
      </c>
      <c r="AN1371" s="153" t="n">
        <f aca="false">ROUND(IF(AND($N1371="VCA",$M1371&lt;&gt;"",$Q1371="LINEAR"),$M1371/100,IF(AND($N1371="MND",$M1371&gt;100,$Q1371="EMBOQUE"),$M1371/100,0)),0)</f>
        <v>0</v>
      </c>
      <c r="AO1371" s="153" t="n">
        <f aca="false">IF(AND($N1371="MND",$Q1371="EMBOQUE"),$AN1371*2*2,IF(AND($N1371="VCA",$Q1371="LINEAR"),$M1371*2,IF(AND($N1371="VCA",$Q1371="PREDIAL"),0,0)))</f>
        <v>3.02</v>
      </c>
      <c r="AP1371" s="153" t="n">
        <f aca="false">IFERROR($M1371*$AF1371*$AG1371,0)</f>
        <v>1.8422</v>
      </c>
      <c r="AQ1371" s="153" t="n">
        <f aca="false">IFERROR(IF(AND($N1371="VCA",$AH1371&gt;0),$M1371*$AG1371*$AH1371,0),0)</f>
        <v>0.1208</v>
      </c>
      <c r="AR1371" s="153" t="n">
        <f aca="false">IFERROR(IF(AND($N1371="VCA",$AJ1371&gt;0),($M1371*$AG1371*$AJ1371)-$AI1371,0),0)</f>
        <v>0.574161219146786</v>
      </c>
      <c r="AS1371" s="153" t="n">
        <f aca="false">IFERROR(IF(AND($N1371="VCA",$AP1371&gt;0),$AP1371-$AI1371-$AQ1371-$AR1371,0),0)</f>
        <v>1.0872</v>
      </c>
      <c r="AT1371" s="153" t="n">
        <f aca="false">IFERROR(IF($N1371="VCA",INDEX(APOIO_REDES!$A:$W,MATCH($C1371&amp;$I1371&amp;$H1371&amp;$N1371&amp;$O1371,APOIO_REDES!$W:$W,0),MATCH(AT$5,APOIO_REDES!$5:$5,0)),0)*$AP1371,0)</f>
        <v>0.0200436812633671</v>
      </c>
      <c r="AU1371" s="153" t="n">
        <f aca="false">IFERROR(IF($N1371="VCA",INDEX(APOIO_REDES!$A:$W,MATCH($C1371&amp;$I1371&amp;$H1371&amp;$N1371&amp;$O1371,APOIO_REDES!$W:$W,0),MATCH(AU$5,APOIO_REDES!$5:$5,0)),0)*$AP1371,0)</f>
        <v>0.0160063410051916</v>
      </c>
      <c r="AV1371" s="153" t="n">
        <f aca="false">IFERROR(IF($N1371="VCA",INDEX(APOIO_REDES!$A:$W,MATCH($C1371&amp;$I1371&amp;$H1371&amp;$N1371&amp;$O1371,APOIO_REDES!$W:$W,0),MATCH(AV$5,APOIO_REDES!$5:$5,0)),0)*$AP1371,0)</f>
        <v>0.00221515194041495</v>
      </c>
      <c r="AW1371" s="153" t="n">
        <f aca="false">IFERROR(IF($N1371="VCA",INDEX(APOIO_REDES!$A:$W,MATCH($C1371&amp;$I1371&amp;$H1371&amp;$N1371&amp;$O1371,APOIO_REDES!$W:$W,0),MATCH(AW$5,APOIO_REDES!$5:$5,0)),0)*$AP1371,0)</f>
        <v>1.26450035406214</v>
      </c>
      <c r="AX1371" s="153" t="n">
        <f aca="false">IFERROR(IF($N1371="VCA",INDEX(APOIO_REDES!$A:$W,MATCH($C1371&amp;$I1371&amp;$H1371&amp;$N1371&amp;$O1371,APOIO_REDES!$W:$W,0),MATCH(AX$5,APOIO_REDES!$5:$5,0)),0)*$AP1371,0)</f>
        <v>0.17500324700476</v>
      </c>
      <c r="AY1371" s="153" t="n">
        <f aca="false">IFERROR(IF($N1371="VCA",INDEX(APOIO_REDES!$A:$W,MATCH($C1371&amp;$I1371&amp;$H1371&amp;$N1371&amp;$O1371,APOIO_REDES!$W:$W,0),MATCH(AY$5,APOIO_REDES!$5:$5,0)),0)*$AP1371,0)</f>
        <v>0.320126624987833</v>
      </c>
      <c r="AZ1371" s="153" t="n">
        <f aca="false">IFERROR(IF($N1371="VCA",INDEX(APOIO_REDES!$A:$W,MATCH($C1371&amp;$I1371&amp;$H1371&amp;$N1371&amp;$O1371,APOIO_REDES!$W:$W,0),MATCH(AZ$5,APOIO_REDES!$5:$5,0)),0)*$AP1371,0)</f>
        <v>0.0443045997362937</v>
      </c>
      <c r="BA1371" s="153" t="n">
        <f aca="false">IFERROR(IF(AND($N1371="VCA",$Q1371="LINEAR"),INDEX(APOIO_REDES!$A:$W,MATCH($C1371&amp;$I1371&amp;$H1371&amp;$N1371&amp;$O1371,APOIO_REDES!$W:$W,0),MATCH(BA$5,APOIO_REDES!$5:$5,0)),IF(AND($N1371="MND",$Q1371="EMBOQUE"),INDEX(APOIO_REDES!$A:$W,MATCH($C1371&amp;$I1371&amp;$H1371&amp;$N1371&amp;$O1371,APOIO_REDES!$W:$W,0),MATCH(BA$5,APOIO_REDES!$5:$5,0)),0))*$M1371/10,0)</f>
        <v>0.121702191145468</v>
      </c>
      <c r="BB1371" s="153" t="n">
        <f aca="false">IFERROR(IF($N1371="VCA",INDEX(APOIO_REDES!$A:$W,MATCH($C1371&amp;$I1371&amp;$H1371&amp;$N1371&amp;$O1371,APOIO_REDES!$W:$W,0),MATCH(BB$5,APOIO_REDES!$5:$5,0)),0)*($AI1371+$AQ1371+$AR1371),0)</f>
        <v>0.746785376531407</v>
      </c>
      <c r="BC1371" s="153" t="n">
        <f aca="false">IFERROR(IF($N1371="VCA",INDEX(APOIO_REDES!$A:$W,MATCH($C1371&amp;$I1371&amp;$H1371&amp;$N1371&amp;$O1371,APOIO_REDES!$W:$W,0),MATCH(BC$5,APOIO_REDES!$5:$5,0)),0)*($AI1371+$AQ1371+$AR1371),0)</f>
        <v>0.00821462346859307</v>
      </c>
      <c r="BD1371" s="153" t="n">
        <f aca="false">IF(AND($N1371="VCA",$AF1371&gt;=1.25,$AF1371&lt;1.5),$M1371*$AF1371*2,0)</f>
        <v>0</v>
      </c>
      <c r="BE1371" s="153" t="n">
        <f aca="false">IF(AND($N1371="VCA",$AF1371&gt;=1.5,$AF1371&lt;3),$M1371*$AF1371*2,0)</f>
        <v>4.6055</v>
      </c>
      <c r="BF1371" s="153" t="n">
        <f aca="false">IF(AND($N1371="VCA",$AF1371&gt;=3),$M1371*$AF1371*2,0)</f>
        <v>0</v>
      </c>
      <c r="BG1371" s="153" t="n">
        <f aca="false">($BB1371+$BC1371)*$AK1371</f>
        <v>3.775</v>
      </c>
      <c r="BH1371" s="153" t="n">
        <f aca="false">IF(AND($M1371&lt;&gt;"",$N1371="VCA",$Q1371="LINEAR"),($M1371*2)/100,IF(AND($M1371&lt;&gt;"",$N1371="MND",$Q1371="EMBOQUE"),($AN1371*2)/100,0))</f>
        <v>0.0302</v>
      </c>
      <c r="BI1371" s="153" t="n">
        <f aca="false">IF(AND($M1371&lt;&gt;"",$N1371="VCA",$Q1371="LINEAR"),$M1371,IF(AND($M1371&lt;&gt;"",$N1371="MND",$Q1371="EMBOQUE"),$AN1371*2,0))</f>
        <v>1.51</v>
      </c>
      <c r="BJ1371" s="153" t="n">
        <f aca="false">IF(AND($M1371&lt;&gt;"",$N1371="VCA",$Q1371="LINEAR"),($M1371*6.8)/100,IF(AND($M1371&lt;&gt;"",$N1371="MND",$Q1371="EMBOQUE"),($AN1371*2*6.8)/100,0))</f>
        <v>0.10268</v>
      </c>
      <c r="BK1371" s="153" t="n">
        <f aca="false">IF(AND($M1371&lt;&gt;"",$N1371="VCA",$Q1371="LINEAR"),($M1371*2.5)/50,IF(AND($M1371&lt;&gt;"",$N1371="MND",$Q1371="EMBOQUE"),($AN1371*2*2.5)/50,0))</f>
        <v>0.0755</v>
      </c>
      <c r="BL1371" s="157" t="str">
        <f aca="false">K1371&amp;J1371</f>
        <v>Zona11REDES</v>
      </c>
      <c r="BM1371" s="152" t="s">
        <v>6084</v>
      </c>
      <c r="BN1371" s="152" t="s">
        <v>1560</v>
      </c>
      <c r="BO1371" s="152" t="s">
        <v>6516</v>
      </c>
      <c r="BP1371" s="152" t="s">
        <v>6730</v>
      </c>
      <c r="BQ1371" s="152" t="s">
        <v>6724</v>
      </c>
      <c r="BR1371" s="152" t="s">
        <v>6717</v>
      </c>
      <c r="BS1371" s="152" t="n">
        <v>204108.635</v>
      </c>
      <c r="BT1371" s="152" t="n">
        <v>8235969.063</v>
      </c>
      <c r="BU1371" s="152" t="n">
        <v>204110.096</v>
      </c>
      <c r="BV1371" s="152" t="n">
        <v>8235969.43</v>
      </c>
      <c r="BW1371" s="152" t="n">
        <v>-15.9379341</v>
      </c>
      <c r="BX1371" s="152" t="n">
        <v>-47.7637823</v>
      </c>
      <c r="BY1371" s="152" t="s">
        <v>6730</v>
      </c>
    </row>
    <row r="1372" customFormat="false" ht="13.8" hidden="false" customHeight="false" outlineLevel="0" collapsed="false">
      <c r="A1372" s="149" t="n">
        <f aca="false">IF(C1372&lt;&gt;"",ROW(A1367),"")</f>
        <v>1367</v>
      </c>
      <c r="B1372" s="150" t="str">
        <f aca="false">HYPERLINK("https://www.google.com/maps/dir/-15.917302,-47.760003/-15.9377986,-47.7625546/data=!4m3!4m2!3e0!5i1")</f>
        <v>https://www.google.com/maps/dir/-15.917302,-47.760003/-15.9377986,-47.7625546/data=!4m3!4m2!3e0!5i1</v>
      </c>
      <c r="C1372" s="151" t="s">
        <v>117</v>
      </c>
      <c r="D1372" s="152" t="s">
        <v>112</v>
      </c>
      <c r="E1372" s="152" t="s">
        <v>113</v>
      </c>
      <c r="F1372" s="152" t="s">
        <v>117</v>
      </c>
      <c r="G1372" s="152" t="s">
        <v>782</v>
      </c>
      <c r="H1372" s="152" t="n">
        <v>90</v>
      </c>
      <c r="I1372" s="152" t="s">
        <v>115</v>
      </c>
      <c r="J1372" s="152" t="s">
        <v>6</v>
      </c>
      <c r="K1372" s="152" t="s">
        <v>6081</v>
      </c>
      <c r="L1372" s="152" t="s">
        <v>120</v>
      </c>
      <c r="M1372" s="153" t="n">
        <f aca="false">35.93</f>
        <v>35.93</v>
      </c>
      <c r="N1372" s="152" t="s">
        <v>1548</v>
      </c>
      <c r="O1372" s="152" t="s">
        <v>1549</v>
      </c>
      <c r="P1372" s="152" t="s">
        <v>1550</v>
      </c>
      <c r="Q1372" s="152" t="s">
        <v>1551</v>
      </c>
      <c r="R1372" s="154" t="s">
        <v>6731</v>
      </c>
      <c r="S1372" s="154" t="s">
        <v>1593</v>
      </c>
      <c r="T1372" s="155" t="s">
        <v>6514</v>
      </c>
      <c r="U1372" s="152" t="str">
        <f aca="false">RIGHT(T1372,7)</f>
        <v>024/037</v>
      </c>
      <c r="V1372" s="152" t="s">
        <v>1555</v>
      </c>
      <c r="W1372" s="156" t="n">
        <v>45882</v>
      </c>
      <c r="X1372" s="152" t="s">
        <v>3938</v>
      </c>
      <c r="Y1372" s="152" t="s">
        <v>6234</v>
      </c>
      <c r="Z1372" s="152" t="s">
        <v>1557</v>
      </c>
      <c r="AA1372" s="153" t="n">
        <v>4.8</v>
      </c>
      <c r="AB1372" s="151" t="s">
        <v>6732</v>
      </c>
      <c r="AC1372" s="151" t="s">
        <v>526</v>
      </c>
      <c r="AD1372" s="151" t="str">
        <f aca="false">CONCATENATE($C1372,$I1372,$H1372,$N1372,$J1372,$K1372)</f>
        <v>TUBO PEADPEAD90VCAREDESZona11</v>
      </c>
      <c r="AE1372" s="153" t="n">
        <f aca="false">IFERROR(INDEX(APOIO_REDES!$A:$W,MATCH($C1372&amp;$I1372&amp;$H1372&amp;$N1372&amp;$O1372,APOIO_REDES!$W:$W,0),MATCH(AE$5,APOIO_REDES!$5:$5,0)),0)</f>
        <v>1.2</v>
      </c>
      <c r="AF1372" s="153" t="n">
        <f aca="false">IFERROR(INDEX(APOIO_REDES!$A:$W,MATCH($C1372&amp;$I1372&amp;$H1372&amp;$N1372&amp;$O1372,APOIO_REDES!$W:$W,0),MATCH(AF$5,APOIO_REDES!$5:$5,0)),0)</f>
        <v>1.39</v>
      </c>
      <c r="AG1372" s="153" t="n">
        <f aca="false">IFERROR(INDEX(APOIO_REDES!$A:$W,MATCH($C1372&amp;$I1372&amp;$H1372&amp;$N1372&amp;$O1372,APOIO_REDES!$W:$W,0),MATCH(AG$5,APOIO_REDES!$5:$5,0)),0)</f>
        <v>0.75</v>
      </c>
      <c r="AH1372" s="153" t="n">
        <f aca="false">IFERROR(INDEX(APOIO_REDES!$A:$W,MATCH($C1372&amp;$I1372&amp;$H1372&amp;$N1372&amp;$O1372,APOIO_REDES!$W:$W,0),MATCH(AH$5,APOIO_REDES!$5:$5,0)),0)</f>
        <v>0.1</v>
      </c>
      <c r="AI1372" s="153" t="n">
        <f aca="false">IFERROR(IF($H1372&lt;&gt;"",(((($H1372/1000)/2)^2)*PI()*$M1372),0),0)</f>
        <v>0.22857678368805</v>
      </c>
      <c r="AJ1372" s="153" t="n">
        <f aca="false">IFERROR(IF(AND($H1372&lt;&gt;"",$I1372="FoFo",OR($N1372="MND",$N1372="VCA"),$Q1372="LINEAR"),0,IF(AND($H1372&lt;&gt;"",$I1372="PEAD",$N1372="VCA",$Q1372="LINEAR"),($H1372/1000)+0.3,IF(AND($H1372&lt;&gt;"",$I1372="PEAD",$N1372="MND",$Q1372="EMBOQUE"),0,IF(AND($H1372&lt;&gt;"",$I1372="PVC",$N1372="VCA",$Q1372="LINEAR"),($H1372/1000)+0.2,IF(AND($H1372&lt;&gt;"",$I1372="PVC",$N1372="MND",$Q1372="EMBOQUE"),0,IF(AND($H1372&lt;&gt;"",$I1372="PEAD",$N1372="VCA",$Q1372="PREDIAL"),0,0)))))),0)</f>
        <v>0.39</v>
      </c>
      <c r="AK1372" s="153" t="n">
        <f aca="false">IF(AA1372&lt;&gt;"",AA1372,0)</f>
        <v>4.8</v>
      </c>
      <c r="AL1372" s="153" t="n">
        <f aca="false">IF(AND($N1372="MND",$Q1372="EMBOQUE"),$M1372,IF(AND($N1372="VCA",$Q1372="LINEAR"),$M1372,IF(AND($N1372="VCA",$Q1372="PREDIAL"),0,0)))</f>
        <v>35.93</v>
      </c>
      <c r="AM1372" s="153" t="n">
        <f aca="false">IF(AND($N1372="MND",$Q1372="EMBOQUE"),$M1372,IF(AND($N1372="VCA",$Q1372="LINEAR"),$M1372,IF(AND($N1372="VCA",$Q1372="PREDIAL"),0,0)))</f>
        <v>35.93</v>
      </c>
      <c r="AN1372" s="153" t="n">
        <f aca="false">ROUND(IF(AND($N1372="VCA",$M1372&lt;&gt;"",$Q1372="LINEAR"),$M1372/100,IF(AND($N1372="MND",$M1372&gt;100,$Q1372="EMBOQUE"),$M1372/100,0)),0)</f>
        <v>0</v>
      </c>
      <c r="AO1372" s="153" t="n">
        <f aca="false">IF(AND($N1372="MND",$Q1372="EMBOQUE"),$AN1372*2*2,IF(AND($N1372="VCA",$Q1372="LINEAR"),$M1372*2,IF(AND($N1372="VCA",$Q1372="PREDIAL"),0,0)))</f>
        <v>71.86</v>
      </c>
      <c r="AP1372" s="153" t="n">
        <f aca="false">IFERROR($M1372*$AF1372*$AG1372,0)</f>
        <v>37.457025</v>
      </c>
      <c r="AQ1372" s="153" t="n">
        <f aca="false">IFERROR(IF(AND($N1372="VCA",$AH1372&gt;0),$M1372*$AG1372*$AH1372,0),0)</f>
        <v>2.69475</v>
      </c>
      <c r="AR1372" s="153" t="n">
        <f aca="false">IFERROR(IF(AND($N1372="VCA",$AJ1372&gt;0),($M1372*$AG1372*$AJ1372)-$AI1372,0),0)</f>
        <v>10.280948216312</v>
      </c>
      <c r="AS1372" s="153" t="n">
        <f aca="false">IFERROR(IF(AND($N1372="VCA",$AP1372&gt;0),$AP1372-$AI1372-$AQ1372-$AR1372,0),0)</f>
        <v>24.25275</v>
      </c>
      <c r="AT1372" s="153" t="n">
        <f aca="false">IFERROR(IF($N1372="VCA",INDEX(APOIO_REDES!$A:$W,MATCH($C1372&amp;$I1372&amp;$H1372&amp;$N1372&amp;$O1372,APOIO_REDES!$W:$W,0),MATCH(AT$5,APOIO_REDES!$5:$5,0)),0)*$AP1372,0)</f>
        <v>0.40754351871348</v>
      </c>
      <c r="AU1372" s="153" t="n">
        <f aca="false">IFERROR(IF($N1372="VCA",INDEX(APOIO_REDES!$A:$W,MATCH($C1372&amp;$I1372&amp;$H1372&amp;$N1372&amp;$O1372,APOIO_REDES!$W:$W,0),MATCH(AU$5,APOIO_REDES!$5:$5,0)),0)*$AP1372,0)</f>
        <v>0.325453216366295</v>
      </c>
      <c r="AV1372" s="153" t="n">
        <f aca="false">IFERROR(IF($N1372="VCA",INDEX(APOIO_REDES!$A:$W,MATCH($C1372&amp;$I1372&amp;$H1372&amp;$N1372&amp;$O1372,APOIO_REDES!$W:$W,0),MATCH(AV$5,APOIO_REDES!$5:$5,0)),0)*$AP1372,0)</f>
        <v>0.0450401702371737</v>
      </c>
      <c r="AW1372" s="153" t="n">
        <f aca="false">IFERROR(IF($N1372="VCA",INDEX(APOIO_REDES!$A:$W,MATCH($C1372&amp;$I1372&amp;$H1372&amp;$N1372&amp;$O1372,APOIO_REDES!$W:$W,0),MATCH(AW$5,APOIO_REDES!$5:$5,0)),0)*$AP1372,0)</f>
        <v>25.7107921911923</v>
      </c>
      <c r="AX1372" s="153" t="n">
        <f aca="false">IFERROR(IF($N1372="VCA",INDEX(APOIO_REDES!$A:$W,MATCH($C1372&amp;$I1372&amp;$H1372&amp;$N1372&amp;$O1372,APOIO_REDES!$W:$W,0),MATCH(AX$5,APOIO_REDES!$5:$5,0)),0)*$AP1372,0)</f>
        <v>3.55830040068313</v>
      </c>
      <c r="AY1372" s="153" t="n">
        <f aca="false">IFERROR(IF($N1372="VCA",INDEX(APOIO_REDES!$A:$W,MATCH($C1372&amp;$I1372&amp;$H1372&amp;$N1372&amp;$O1372,APOIO_REDES!$W:$W,0),MATCH(AY$5,APOIO_REDES!$5:$5,0)),0)*$AP1372,0)</f>
        <v>6.50906036007756</v>
      </c>
      <c r="AZ1372" s="153" t="n">
        <f aca="false">IFERROR(IF($N1372="VCA",INDEX(APOIO_REDES!$A:$W,MATCH($C1372&amp;$I1372&amp;$H1372&amp;$N1372&amp;$O1372,APOIO_REDES!$W:$W,0),MATCH(AZ$5,APOIO_REDES!$5:$5,0)),0)*$AP1372,0)</f>
        <v>0.900835142730076</v>
      </c>
      <c r="BA1372" s="153" t="n">
        <f aca="false">IFERROR(IF(AND($N1372="VCA",$Q1372="LINEAR"),INDEX(APOIO_REDES!$A:$W,MATCH($C1372&amp;$I1372&amp;$H1372&amp;$N1372&amp;$O1372,APOIO_REDES!$W:$W,0),MATCH(BA$5,APOIO_REDES!$5:$5,0)),IF(AND($N1372="MND",$Q1372="EMBOQUE"),INDEX(APOIO_REDES!$A:$W,MATCH($C1372&amp;$I1372&amp;$H1372&amp;$N1372&amp;$O1372,APOIO_REDES!$W:$W,0),MATCH(BA$5,APOIO_REDES!$5:$5,0)),0))*$M1372/10,0)</f>
        <v>2.89586736944151</v>
      </c>
      <c r="BB1372" s="153" t="n">
        <f aca="false">IFERROR(IF($N1372="VCA",INDEX(APOIO_REDES!$A:$W,MATCH($C1372&amp;$I1372&amp;$H1372&amp;$N1372&amp;$O1372,APOIO_REDES!$W:$W,0),MATCH(BB$5,APOIO_REDES!$5:$5,0)),0)*($AI1372+$AQ1372+$AR1372),0)</f>
        <v>13.0606085797341</v>
      </c>
      <c r="BC1372" s="153" t="n">
        <f aca="false">IFERROR(IF($N1372="VCA",INDEX(APOIO_REDES!$A:$W,MATCH($C1372&amp;$I1372&amp;$H1372&amp;$N1372&amp;$O1372,APOIO_REDES!$W:$W,0),MATCH(BC$5,APOIO_REDES!$5:$5,0)),0)*($AI1372+$AQ1372+$AR1372),0)</f>
        <v>0.143666420265903</v>
      </c>
      <c r="BD1372" s="153" t="n">
        <f aca="false">IF(AND($N1372="VCA",$AF1372&gt;=1.25,$AF1372&lt;1.5),$M1372*$AF1372*2,0)</f>
        <v>99.8854</v>
      </c>
      <c r="BE1372" s="153" t="n">
        <f aca="false">IF(AND($N1372="VCA",$AF1372&gt;=1.5,$AF1372&lt;3),$M1372*$AF1372*2,0)</f>
        <v>0</v>
      </c>
      <c r="BF1372" s="153" t="n">
        <f aca="false">IF(AND($N1372="VCA",$AF1372&gt;=3),$M1372*$AF1372*2,0)</f>
        <v>0</v>
      </c>
      <c r="BG1372" s="153" t="n">
        <f aca="false">($BB1372+$BC1372)*$AK1372</f>
        <v>63.38052</v>
      </c>
      <c r="BH1372" s="153" t="n">
        <f aca="false">IF(AND($M1372&lt;&gt;"",$N1372="VCA",$Q1372="LINEAR"),($M1372*2)/100,IF(AND($M1372&lt;&gt;"",$N1372="MND",$Q1372="EMBOQUE"),($AN1372*2)/100,0))</f>
        <v>0.7186</v>
      </c>
      <c r="BI1372" s="153" t="n">
        <f aca="false">IF(AND($M1372&lt;&gt;"",$N1372="VCA",$Q1372="LINEAR"),$M1372,IF(AND($M1372&lt;&gt;"",$N1372="MND",$Q1372="EMBOQUE"),$AN1372*2,0))</f>
        <v>35.93</v>
      </c>
      <c r="BJ1372" s="153" t="n">
        <f aca="false">IF(AND($M1372&lt;&gt;"",$N1372="VCA",$Q1372="LINEAR"),($M1372*6.8)/100,IF(AND($M1372&lt;&gt;"",$N1372="MND",$Q1372="EMBOQUE"),($AN1372*2*6.8)/100,0))</f>
        <v>2.44324</v>
      </c>
      <c r="BK1372" s="153" t="n">
        <f aca="false">IF(AND($M1372&lt;&gt;"",$N1372="VCA",$Q1372="LINEAR"),($M1372*2.5)/50,IF(AND($M1372&lt;&gt;"",$N1372="MND",$Q1372="EMBOQUE"),($AN1372*2*2.5)/50,0))</f>
        <v>1.7965</v>
      </c>
      <c r="BL1372" s="157" t="str">
        <f aca="false">K1372&amp;J1372</f>
        <v>Zona11REDES</v>
      </c>
      <c r="BM1372" s="152" t="s">
        <v>6084</v>
      </c>
      <c r="BN1372" s="152" t="s">
        <v>1560</v>
      </c>
      <c r="BO1372" s="152" t="s">
        <v>6516</v>
      </c>
      <c r="BP1372" s="152" t="s">
        <v>6704</v>
      </c>
      <c r="BQ1372" s="152" t="s">
        <v>6733</v>
      </c>
      <c r="BR1372" s="152" t="s">
        <v>6734</v>
      </c>
      <c r="BS1372" s="152" t="n">
        <v>204240.696</v>
      </c>
      <c r="BT1372" s="152" t="n">
        <v>8235985.999</v>
      </c>
      <c r="BU1372" s="152" t="n">
        <v>204249.01</v>
      </c>
      <c r="BV1372" s="152" t="n">
        <v>8235951.051</v>
      </c>
      <c r="BW1372" s="152" t="n">
        <v>-15.9379566</v>
      </c>
      <c r="BX1372" s="152" t="n">
        <v>-47.7625166</v>
      </c>
      <c r="BY1372" s="152" t="s">
        <v>6704</v>
      </c>
    </row>
    <row r="1373" customFormat="false" ht="13.8" hidden="false" customHeight="false" outlineLevel="0" collapsed="false">
      <c r="A1373" s="149" t="n">
        <f aca="false">IF(C1373&lt;&gt;"",ROW(A1368),"")</f>
        <v>1368</v>
      </c>
      <c r="B1373" s="150" t="str">
        <f aca="false">HYPERLINK("https://www.google.com/maps/dir/-15.917302,-47.760003/-15.9373346,-47.7656957/data=!4m3!4m2!3e0!5i2")</f>
        <v>https://www.google.com/maps/dir/-15.917302,-47.760003/-15.9373346,-47.7656957/data=!4m3!4m2!3e0!5i2</v>
      </c>
      <c r="C1373" s="151" t="s">
        <v>117</v>
      </c>
      <c r="D1373" s="152" t="s">
        <v>112</v>
      </c>
      <c r="E1373" s="152" t="s">
        <v>113</v>
      </c>
      <c r="F1373" s="152" t="s">
        <v>117</v>
      </c>
      <c r="G1373" s="152" t="s">
        <v>782</v>
      </c>
      <c r="H1373" s="152" t="n">
        <v>63</v>
      </c>
      <c r="I1373" s="152" t="s">
        <v>115</v>
      </c>
      <c r="J1373" s="152" t="s">
        <v>6</v>
      </c>
      <c r="K1373" s="152" t="s">
        <v>6081</v>
      </c>
      <c r="L1373" s="152" t="s">
        <v>120</v>
      </c>
      <c r="M1373" s="153" t="n">
        <f aca="false">132.58</f>
        <v>132.58</v>
      </c>
      <c r="N1373" s="152" t="s">
        <v>1548</v>
      </c>
      <c r="O1373" s="152" t="s">
        <v>1549</v>
      </c>
      <c r="P1373" s="152" t="s">
        <v>1550</v>
      </c>
      <c r="Q1373" s="152" t="s">
        <v>1551</v>
      </c>
      <c r="R1373" s="154" t="s">
        <v>6735</v>
      </c>
      <c r="S1373" s="154" t="s">
        <v>1553</v>
      </c>
      <c r="T1373" s="155" t="s">
        <v>6514</v>
      </c>
      <c r="U1373" s="152" t="str">
        <f aca="false">RIGHT(T1373,7)</f>
        <v>024/037</v>
      </c>
      <c r="V1373" s="152" t="s">
        <v>1555</v>
      </c>
      <c r="W1373" s="156" t="n">
        <v>45882</v>
      </c>
      <c r="X1373" s="152" t="s">
        <v>1594</v>
      </c>
      <c r="Y1373" s="152" t="s">
        <v>6525</v>
      </c>
      <c r="Z1373" s="152" t="s">
        <v>1557</v>
      </c>
      <c r="AA1373" s="153" t="n">
        <v>5.6</v>
      </c>
      <c r="AB1373" s="151" t="s">
        <v>6736</v>
      </c>
      <c r="AC1373" s="151" t="s">
        <v>186</v>
      </c>
      <c r="AD1373" s="151" t="str">
        <f aca="false">CONCATENATE($C1373,$I1373,$H1373,$N1373,$J1373,$K1373)</f>
        <v>TUBO PEADPEAD63VCAREDESZona11</v>
      </c>
      <c r="AE1373" s="153" t="n">
        <f aca="false">IFERROR(INDEX(APOIO_REDES!$A:$W,MATCH($C1373&amp;$I1373&amp;$H1373&amp;$N1373&amp;$O1373,APOIO_REDES!$W:$W,0),MATCH(AE$5,APOIO_REDES!$5:$5,0)),0)</f>
        <v>1.2</v>
      </c>
      <c r="AF1373" s="153" t="n">
        <f aca="false">IFERROR(INDEX(APOIO_REDES!$A:$W,MATCH($C1373&amp;$I1373&amp;$H1373&amp;$N1373&amp;$O1373,APOIO_REDES!$W:$W,0),MATCH(AF$5,APOIO_REDES!$5:$5,0)),0)</f>
        <v>1.363</v>
      </c>
      <c r="AG1373" s="153" t="n">
        <f aca="false">IFERROR(INDEX(APOIO_REDES!$A:$W,MATCH($C1373&amp;$I1373&amp;$H1373&amp;$N1373&amp;$O1373,APOIO_REDES!$W:$W,0),MATCH(AG$5,APOIO_REDES!$5:$5,0)),0)</f>
        <v>0.65</v>
      </c>
      <c r="AH1373" s="153" t="n">
        <f aca="false">IFERROR(INDEX(APOIO_REDES!$A:$W,MATCH($C1373&amp;$I1373&amp;$H1373&amp;$N1373&amp;$O1373,APOIO_REDES!$W:$W,0),MATCH(AH$5,APOIO_REDES!$5:$5,0)),0)</f>
        <v>0.1</v>
      </c>
      <c r="AI1373" s="153" t="n">
        <f aca="false">IFERROR(IF($H1373&lt;&gt;"",(((($H1373/1000)/2)^2)*PI()*$M1373),0),0)</f>
        <v>0.413284383269335</v>
      </c>
      <c r="AJ1373" s="153" t="n">
        <f aca="false">IFERROR(IF(AND($H1373&lt;&gt;"",$I1373="FoFo",OR($N1373="MND",$N1373="VCA"),$Q1373="LINEAR"),0,IF(AND($H1373&lt;&gt;"",$I1373="PEAD",$N1373="VCA",$Q1373="LINEAR"),($H1373/1000)+0.3,IF(AND($H1373&lt;&gt;"",$I1373="PEAD",$N1373="MND",$Q1373="EMBOQUE"),0,IF(AND($H1373&lt;&gt;"",$I1373="PVC",$N1373="VCA",$Q1373="LINEAR"),($H1373/1000)+0.2,IF(AND($H1373&lt;&gt;"",$I1373="PVC",$N1373="MND",$Q1373="EMBOQUE"),0,IF(AND($H1373&lt;&gt;"",$I1373="PEAD",$N1373="VCA",$Q1373="PREDIAL"),0,0)))))),0)</f>
        <v>0.363</v>
      </c>
      <c r="AK1373" s="153" t="n">
        <f aca="false">IF(AA1373&lt;&gt;"",AA1373,0)</f>
        <v>5.6</v>
      </c>
      <c r="AL1373" s="153" t="n">
        <f aca="false">IF(AND($N1373="MND",$Q1373="EMBOQUE"),$M1373,IF(AND($N1373="VCA",$Q1373="LINEAR"),$M1373,IF(AND($N1373="VCA",$Q1373="PREDIAL"),0,0)))</f>
        <v>132.58</v>
      </c>
      <c r="AM1373" s="153" t="n">
        <f aca="false">IF(AND($N1373="MND",$Q1373="EMBOQUE"),$M1373,IF(AND($N1373="VCA",$Q1373="LINEAR"),$M1373,IF(AND($N1373="VCA",$Q1373="PREDIAL"),0,0)))</f>
        <v>132.58</v>
      </c>
      <c r="AN1373" s="153" t="n">
        <f aca="false">ROUND(IF(AND($N1373="VCA",$M1373&lt;&gt;"",$Q1373="LINEAR"),$M1373/100,IF(AND($N1373="MND",$M1373&gt;100,$Q1373="EMBOQUE"),$M1373/100,0)),0)</f>
        <v>1</v>
      </c>
      <c r="AO1373" s="153" t="n">
        <f aca="false">IF(AND($N1373="MND",$Q1373="EMBOQUE"),$AN1373*2*2,IF(AND($N1373="VCA",$Q1373="LINEAR"),$M1373*2,IF(AND($N1373="VCA",$Q1373="PREDIAL"),0,0)))</f>
        <v>265.16</v>
      </c>
      <c r="AP1373" s="153" t="n">
        <f aca="false">IFERROR($M1373*$AF1373*$AG1373,0)</f>
        <v>117.459251</v>
      </c>
      <c r="AQ1373" s="153" t="n">
        <f aca="false">IFERROR(IF(AND($N1373="VCA",$AH1373&gt;0),$M1373*$AG1373*$AH1373,0),0)</f>
        <v>8.6177</v>
      </c>
      <c r="AR1373" s="153" t="n">
        <f aca="false">IFERROR(IF(AND($N1373="VCA",$AJ1373&gt;0),($M1373*$AG1373*$AJ1373)-$AI1373,0),0)</f>
        <v>30.8689666167307</v>
      </c>
      <c r="AS1373" s="153" t="n">
        <f aca="false">IFERROR(IF(AND($N1373="VCA",$AP1373&gt;0),$AP1373-$AI1373-$AQ1373-$AR1373,0),0)</f>
        <v>77.5593</v>
      </c>
      <c r="AT1373" s="153" t="n">
        <f aca="false">IFERROR(IF($N1373="VCA",INDEX(APOIO_REDES!$A:$W,MATCH($C1373&amp;$I1373&amp;$H1373&amp;$N1373&amp;$O1373,APOIO_REDES!$W:$W,0),MATCH(AT$5,APOIO_REDES!$5:$5,0)),0)*$AP1373,0)</f>
        <v>1.27799141704366</v>
      </c>
      <c r="AU1373" s="153" t="n">
        <f aca="false">IFERROR(IF($N1373="VCA",INDEX(APOIO_REDES!$A:$W,MATCH($C1373&amp;$I1373&amp;$H1373&amp;$N1373&amp;$O1373,APOIO_REDES!$W:$W,0),MATCH(AU$5,APOIO_REDES!$5:$5,0)),0)*$AP1373,0)</f>
        <v>1.02056933325393</v>
      </c>
      <c r="AV1373" s="153" t="n">
        <f aca="false">IFERROR(IF($N1373="VCA",INDEX(APOIO_REDES!$A:$W,MATCH($C1373&amp;$I1373&amp;$H1373&amp;$N1373&amp;$O1373,APOIO_REDES!$W:$W,0),MATCH(AV$5,APOIO_REDES!$5:$5,0)),0)*$AP1373,0)</f>
        <v>0.141238783938952</v>
      </c>
      <c r="AW1373" s="153" t="n">
        <f aca="false">IFERROR(IF($N1373="VCA",INDEX(APOIO_REDES!$A:$W,MATCH($C1373&amp;$I1373&amp;$H1373&amp;$N1373&amp;$O1373,APOIO_REDES!$W:$W,0),MATCH(AW$5,APOIO_REDES!$5:$5,0)),0)*$AP1373,0)</f>
        <v>80.6249400050884</v>
      </c>
      <c r="AX1373" s="153" t="n">
        <f aca="false">IFERROR(IF($N1373="VCA",INDEX(APOIO_REDES!$A:$W,MATCH($C1373&amp;$I1373&amp;$H1373&amp;$N1373&amp;$O1373,APOIO_REDES!$W:$W,0),MATCH(AX$5,APOIO_REDES!$5:$5,0)),0)*$AP1373,0)</f>
        <v>11.1582620322153</v>
      </c>
      <c r="AY1373" s="153" t="n">
        <f aca="false">IFERROR(IF($N1373="VCA",INDEX(APOIO_REDES!$A:$W,MATCH($C1373&amp;$I1373&amp;$H1373&amp;$N1373&amp;$O1373,APOIO_REDES!$W:$W,0),MATCH(AY$5,APOIO_REDES!$5:$5,0)),0)*$AP1373,0)</f>
        <v>20.4113742244212</v>
      </c>
      <c r="AZ1373" s="153" t="n">
        <f aca="false">IFERROR(IF($N1373="VCA",INDEX(APOIO_REDES!$A:$W,MATCH($C1373&amp;$I1373&amp;$H1373&amp;$N1373&amp;$O1373,APOIO_REDES!$W:$W,0),MATCH(AZ$5,APOIO_REDES!$5:$5,0)),0)*$AP1373,0)</f>
        <v>2.82487520403857</v>
      </c>
      <c r="BA1373" s="153" t="n">
        <f aca="false">IFERROR(IF(AND($N1373="VCA",$Q1373="LINEAR"),INDEX(APOIO_REDES!$A:$W,MATCH($C1373&amp;$I1373&amp;$H1373&amp;$N1373&amp;$O1373,APOIO_REDES!$W:$W,0),MATCH(BA$5,APOIO_REDES!$5:$5,0)),IF(AND($N1373="MND",$Q1373="EMBOQUE"),INDEX(APOIO_REDES!$A:$W,MATCH($C1373&amp;$I1373&amp;$H1373&amp;$N1373&amp;$O1373,APOIO_REDES!$W:$W,0),MATCH(BA$5,APOIO_REDES!$5:$5,0)),0))*$M1373/10,0)</f>
        <v>10.6856135775273</v>
      </c>
      <c r="BB1373" s="153" t="n">
        <f aca="false">IFERROR(IF($N1373="VCA",INDEX(APOIO_REDES!$A:$W,MATCH($C1373&amp;$I1373&amp;$H1373&amp;$N1373&amp;$O1373,APOIO_REDES!$W:$W,0),MATCH(BB$5,APOIO_REDES!$5:$5,0)),0)*($AI1373+$AQ1373+$AR1373),0)</f>
        <v>39.4658277233373</v>
      </c>
      <c r="BC1373" s="153" t="n">
        <f aca="false">IFERROR(IF($N1373="VCA",INDEX(APOIO_REDES!$A:$W,MATCH($C1373&amp;$I1373&amp;$H1373&amp;$N1373&amp;$O1373,APOIO_REDES!$W:$W,0),MATCH(BC$5,APOIO_REDES!$5:$5,0)),0)*($AI1373+$AQ1373+$AR1373),0)</f>
        <v>0.434123276662667</v>
      </c>
      <c r="BD1373" s="153" t="n">
        <f aca="false">IF(AND($N1373="VCA",$AF1373&gt;=1.25,$AF1373&lt;1.5),$M1373*$AF1373*2,0)</f>
        <v>361.41308</v>
      </c>
      <c r="BE1373" s="153" t="n">
        <f aca="false">IF(AND($N1373="VCA",$AF1373&gt;=1.5,$AF1373&lt;3),$M1373*$AF1373*2,0)</f>
        <v>0</v>
      </c>
      <c r="BF1373" s="153" t="n">
        <f aca="false">IF(AND($N1373="VCA",$AF1373&gt;=3),$M1373*$AF1373*2,0)</f>
        <v>0</v>
      </c>
      <c r="BG1373" s="153" t="n">
        <f aca="false">($BB1373+$BC1373)*$AK1373</f>
        <v>223.4397256</v>
      </c>
      <c r="BH1373" s="153" t="n">
        <f aca="false">IF(AND($M1373&lt;&gt;"",$N1373="VCA",$Q1373="LINEAR"),($M1373*2)/100,IF(AND($M1373&lt;&gt;"",$N1373="MND",$Q1373="EMBOQUE"),($AN1373*2)/100,0))</f>
        <v>2.6516</v>
      </c>
      <c r="BI1373" s="153" t="n">
        <f aca="false">IF(AND($M1373&lt;&gt;"",$N1373="VCA",$Q1373="LINEAR"),$M1373,IF(AND($M1373&lt;&gt;"",$N1373="MND",$Q1373="EMBOQUE"),$AN1373*2,0))</f>
        <v>132.58</v>
      </c>
      <c r="BJ1373" s="153" t="n">
        <f aca="false">IF(AND($M1373&lt;&gt;"",$N1373="VCA",$Q1373="LINEAR"),($M1373*6.8)/100,IF(AND($M1373&lt;&gt;"",$N1373="MND",$Q1373="EMBOQUE"),($AN1373*2*6.8)/100,0))</f>
        <v>9.01544</v>
      </c>
      <c r="BK1373" s="153" t="n">
        <f aca="false">IF(AND($M1373&lt;&gt;"",$N1373="VCA",$Q1373="LINEAR"),($M1373*2.5)/50,IF(AND($M1373&lt;&gt;"",$N1373="MND",$Q1373="EMBOQUE"),($AN1373*2*2.5)/50,0))</f>
        <v>6.629</v>
      </c>
      <c r="BL1373" s="157" t="str">
        <f aca="false">K1373&amp;J1373</f>
        <v>Zona11REDES</v>
      </c>
      <c r="BM1373" s="152" t="s">
        <v>6084</v>
      </c>
      <c r="BN1373" s="152" t="s">
        <v>1560</v>
      </c>
      <c r="BO1373" s="152" t="s">
        <v>6516</v>
      </c>
      <c r="BP1373" s="152" t="s">
        <v>6685</v>
      </c>
      <c r="BQ1373" s="152" t="s">
        <v>6737</v>
      </c>
      <c r="BR1373" s="152" t="s">
        <v>6738</v>
      </c>
      <c r="BS1373" s="152" t="n">
        <v>203903.503</v>
      </c>
      <c r="BT1373" s="152" t="n">
        <v>8236032.907</v>
      </c>
      <c r="BU1373" s="152" t="n">
        <v>203929.633</v>
      </c>
      <c r="BV1373" s="152" t="n">
        <v>8235902.95</v>
      </c>
      <c r="BW1373" s="152" t="n">
        <v>-15.9379238</v>
      </c>
      <c r="BX1373" s="152" t="n">
        <v>-47.765586</v>
      </c>
      <c r="BY1373" s="152" t="s">
        <v>6685</v>
      </c>
    </row>
    <row r="1374" customFormat="false" ht="13.8" hidden="false" customHeight="false" outlineLevel="0" collapsed="false">
      <c r="A1374" s="149" t="n">
        <f aca="false">IF(C1374&lt;&gt;"",ROW(A1369),"")</f>
        <v>1369</v>
      </c>
      <c r="B1374" s="150" t="str">
        <f aca="false">HYPERLINK("https://www.google.com/maps/dir/-15.917302,-47.760003/-15.9379869,-47.7619052/data=!4m3!4m2!3e0!5i1")</f>
        <v>https://www.google.com/maps/dir/-15.917302,-47.760003/-15.9379869,-47.7619052/data=!4m3!4m2!3e0!5i1</v>
      </c>
      <c r="C1374" s="151" t="s">
        <v>117</v>
      </c>
      <c r="D1374" s="152" t="s">
        <v>112</v>
      </c>
      <c r="E1374" s="152" t="s">
        <v>113</v>
      </c>
      <c r="F1374" s="152" t="s">
        <v>117</v>
      </c>
      <c r="G1374" s="152" t="s">
        <v>782</v>
      </c>
      <c r="H1374" s="152" t="n">
        <v>63</v>
      </c>
      <c r="I1374" s="152" t="s">
        <v>115</v>
      </c>
      <c r="J1374" s="152" t="s">
        <v>6</v>
      </c>
      <c r="K1374" s="152" t="s">
        <v>6081</v>
      </c>
      <c r="L1374" s="152" t="s">
        <v>120</v>
      </c>
      <c r="M1374" s="153" t="n">
        <f aca="false">62.54+4.79</f>
        <v>67.33</v>
      </c>
      <c r="N1374" s="152" t="s">
        <v>1548</v>
      </c>
      <c r="O1374" s="152" t="s">
        <v>1549</v>
      </c>
      <c r="P1374" s="152" t="s">
        <v>1550</v>
      </c>
      <c r="Q1374" s="152" t="s">
        <v>1551</v>
      </c>
      <c r="R1374" s="154" t="s">
        <v>6739</v>
      </c>
      <c r="S1374" s="154" t="s">
        <v>1553</v>
      </c>
      <c r="T1374" s="155" t="s">
        <v>6514</v>
      </c>
      <c r="U1374" s="152" t="str">
        <f aca="false">RIGHT(T1374,7)</f>
        <v>024/037</v>
      </c>
      <c r="V1374" s="152" t="s">
        <v>1555</v>
      </c>
      <c r="W1374" s="156" t="n">
        <v>45882</v>
      </c>
      <c r="X1374" s="152" t="s">
        <v>3938</v>
      </c>
      <c r="Y1374" s="152" t="s">
        <v>6234</v>
      </c>
      <c r="Z1374" s="152" t="s">
        <v>1557</v>
      </c>
      <c r="AA1374" s="153" t="n">
        <v>4.9</v>
      </c>
      <c r="AB1374" s="151" t="s">
        <v>6740</v>
      </c>
      <c r="AC1374" s="151" t="s">
        <v>186</v>
      </c>
      <c r="AD1374" s="151" t="str">
        <f aca="false">CONCATENATE($C1374,$I1374,$H1374,$N1374,$J1374,$K1374)</f>
        <v>TUBO PEADPEAD63VCAREDESZona11</v>
      </c>
      <c r="AE1374" s="153" t="n">
        <f aca="false">IFERROR(INDEX(APOIO_REDES!$A:$W,MATCH($C1374&amp;$I1374&amp;$H1374&amp;$N1374&amp;$O1374,APOIO_REDES!$W:$W,0),MATCH(AE$5,APOIO_REDES!$5:$5,0)),0)</f>
        <v>1.2</v>
      </c>
      <c r="AF1374" s="153" t="n">
        <f aca="false">IFERROR(INDEX(APOIO_REDES!$A:$W,MATCH($C1374&amp;$I1374&amp;$H1374&amp;$N1374&amp;$O1374,APOIO_REDES!$W:$W,0),MATCH(AF$5,APOIO_REDES!$5:$5,0)),0)</f>
        <v>1.363</v>
      </c>
      <c r="AG1374" s="153" t="n">
        <f aca="false">IFERROR(INDEX(APOIO_REDES!$A:$W,MATCH($C1374&amp;$I1374&amp;$H1374&amp;$N1374&amp;$O1374,APOIO_REDES!$W:$W,0),MATCH(AG$5,APOIO_REDES!$5:$5,0)),0)</f>
        <v>0.65</v>
      </c>
      <c r="AH1374" s="153" t="n">
        <f aca="false">IFERROR(INDEX(APOIO_REDES!$A:$W,MATCH($C1374&amp;$I1374&amp;$H1374&amp;$N1374&amp;$O1374,APOIO_REDES!$W:$W,0),MATCH(AH$5,APOIO_REDES!$5:$5,0)),0)</f>
        <v>0.1</v>
      </c>
      <c r="AI1374" s="153" t="n">
        <f aca="false">IFERROR(IF($H1374&lt;&gt;"",(((($H1374/1000)/2)^2)*PI()*$M1374),0),0)</f>
        <v>0.209884126757613</v>
      </c>
      <c r="AJ1374" s="153" t="n">
        <f aca="false">IFERROR(IF(AND($H1374&lt;&gt;"",$I1374="FoFo",OR($N1374="MND",$N1374="VCA"),$Q1374="LINEAR"),0,IF(AND($H1374&lt;&gt;"",$I1374="PEAD",$N1374="VCA",$Q1374="LINEAR"),($H1374/1000)+0.3,IF(AND($H1374&lt;&gt;"",$I1374="PEAD",$N1374="MND",$Q1374="EMBOQUE"),0,IF(AND($H1374&lt;&gt;"",$I1374="PVC",$N1374="VCA",$Q1374="LINEAR"),($H1374/1000)+0.2,IF(AND($H1374&lt;&gt;"",$I1374="PVC",$N1374="MND",$Q1374="EMBOQUE"),0,IF(AND($H1374&lt;&gt;"",$I1374="PEAD",$N1374="VCA",$Q1374="PREDIAL"),0,0)))))),0)</f>
        <v>0.363</v>
      </c>
      <c r="AK1374" s="153" t="n">
        <f aca="false">IF(AA1374&lt;&gt;"",AA1374,0)</f>
        <v>4.9</v>
      </c>
      <c r="AL1374" s="153" t="n">
        <f aca="false">IF(AND($N1374="MND",$Q1374="EMBOQUE"),$M1374,IF(AND($N1374="VCA",$Q1374="LINEAR"),$M1374,IF(AND($N1374="VCA",$Q1374="PREDIAL"),0,0)))</f>
        <v>67.33</v>
      </c>
      <c r="AM1374" s="153" t="n">
        <f aca="false">IF(AND($N1374="MND",$Q1374="EMBOQUE"),$M1374,IF(AND($N1374="VCA",$Q1374="LINEAR"),$M1374,IF(AND($N1374="VCA",$Q1374="PREDIAL"),0,0)))</f>
        <v>67.33</v>
      </c>
      <c r="AN1374" s="153" t="n">
        <f aca="false">ROUND(IF(AND($N1374="VCA",$M1374&lt;&gt;"",$Q1374="LINEAR"),$M1374/100,IF(AND($N1374="MND",$M1374&gt;100,$Q1374="EMBOQUE"),$M1374/100,0)),0)</f>
        <v>1</v>
      </c>
      <c r="AO1374" s="153" t="n">
        <f aca="false">IF(AND($N1374="MND",$Q1374="EMBOQUE"),$AN1374*2*2,IF(AND($N1374="VCA",$Q1374="LINEAR"),$M1374*2,IF(AND($N1374="VCA",$Q1374="PREDIAL"),0,0)))</f>
        <v>134.66</v>
      </c>
      <c r="AP1374" s="153" t="n">
        <f aca="false">IFERROR($M1374*$AF1374*$AG1374,0)</f>
        <v>59.6510135</v>
      </c>
      <c r="AQ1374" s="153" t="n">
        <f aca="false">IFERROR(IF(AND($N1374="VCA",$AH1374&gt;0),$M1374*$AG1374*$AH1374,0),0)</f>
        <v>4.37645</v>
      </c>
      <c r="AR1374" s="153" t="n">
        <f aca="false">IFERROR(IF(AND($N1374="VCA",$AJ1374&gt;0),($M1374*$AG1374*$AJ1374)-$AI1374,0),0)</f>
        <v>15.6766293732424</v>
      </c>
      <c r="AS1374" s="153" t="n">
        <f aca="false">IFERROR(IF(AND($N1374="VCA",$AP1374&gt;0),$AP1374-$AI1374-$AQ1374-$AR1374,0),0)</f>
        <v>39.38805</v>
      </c>
      <c r="AT1374" s="153" t="n">
        <f aca="false">IFERROR(IF($N1374="VCA",INDEX(APOIO_REDES!$A:$W,MATCH($C1374&amp;$I1374&amp;$H1374&amp;$N1374&amp;$O1374,APOIO_REDES!$W:$W,0),MATCH(AT$5,APOIO_REDES!$5:$5,0)),0)*$AP1374,0)</f>
        <v>0.649020682678758</v>
      </c>
      <c r="AU1374" s="153" t="n">
        <f aca="false">IFERROR(IF($N1374="VCA",INDEX(APOIO_REDES!$A:$W,MATCH($C1374&amp;$I1374&amp;$H1374&amp;$N1374&amp;$O1374,APOIO_REDES!$W:$W,0),MATCH(AU$5,APOIO_REDES!$5:$5,0)),0)*$AP1374,0)</f>
        <v>0.518290339477955</v>
      </c>
      <c r="AV1374" s="153" t="n">
        <f aca="false">IFERROR(IF($N1374="VCA",INDEX(APOIO_REDES!$A:$W,MATCH($C1374&amp;$I1374&amp;$H1374&amp;$N1374&amp;$O1374,APOIO_REDES!$W:$W,0),MATCH(AV$5,APOIO_REDES!$5:$5,0)),0)*$AP1374,0)</f>
        <v>0.0717273142450567</v>
      </c>
      <c r="AW1374" s="153" t="n">
        <f aca="false">IFERROR(IF($N1374="VCA",INDEX(APOIO_REDES!$A:$W,MATCH($C1374&amp;$I1374&amp;$H1374&amp;$N1374&amp;$O1374,APOIO_REDES!$W:$W,0),MATCH(AW$5,APOIO_REDES!$5:$5,0)),0)*$AP1374,0)</f>
        <v>40.9449178650068</v>
      </c>
      <c r="AX1374" s="153" t="n">
        <f aca="false">IFERROR(IF($N1374="VCA",INDEX(APOIO_REDES!$A:$W,MATCH($C1374&amp;$I1374&amp;$H1374&amp;$N1374&amp;$O1374,APOIO_REDES!$W:$W,0),MATCH(AX$5,APOIO_REDES!$5:$5,0)),0)*$AP1374,0)</f>
        <v>5.66665999871065</v>
      </c>
      <c r="AY1374" s="153" t="n">
        <f aca="false">IFERROR(IF($N1374="VCA",INDEX(APOIO_REDES!$A:$W,MATCH($C1374&amp;$I1374&amp;$H1374&amp;$N1374&amp;$O1374,APOIO_REDES!$W:$W,0),MATCH(AY$5,APOIO_REDES!$5:$5,0)),0)*$AP1374,0)</f>
        <v>10.3658004716419</v>
      </c>
      <c r="AZ1374" s="153" t="n">
        <f aca="false">IFERROR(IF($N1374="VCA",INDEX(APOIO_REDES!$A:$W,MATCH($C1374&amp;$I1374&amp;$H1374&amp;$N1374&amp;$O1374,APOIO_REDES!$W:$W,0),MATCH(AZ$5,APOIO_REDES!$5:$5,0)),0)*$AP1374,0)</f>
        <v>1.43459682823893</v>
      </c>
      <c r="BA1374" s="153" t="n">
        <f aca="false">IFERROR(IF(AND($N1374="VCA",$Q1374="LINEAR"),INDEX(APOIO_REDES!$A:$W,MATCH($C1374&amp;$I1374&amp;$H1374&amp;$N1374&amp;$O1374,APOIO_REDES!$W:$W,0),MATCH(BA$5,APOIO_REDES!$5:$5,0)),IF(AND($N1374="MND",$Q1374="EMBOQUE"),INDEX(APOIO_REDES!$A:$W,MATCH($C1374&amp;$I1374&amp;$H1374&amp;$N1374&amp;$O1374,APOIO_REDES!$W:$W,0),MATCH(BA$5,APOIO_REDES!$5:$5,0)),0))*$M1374/10,0)</f>
        <v>5.42662816544661</v>
      </c>
      <c r="BB1374" s="153" t="n">
        <f aca="false">IFERROR(IF($N1374="VCA",INDEX(APOIO_REDES!$A:$W,MATCH($C1374&amp;$I1374&amp;$H1374&amp;$N1374&amp;$O1374,APOIO_REDES!$W:$W,0),MATCH(BB$5,APOIO_REDES!$5:$5,0)),0)*($AI1374+$AQ1374+$AR1374),0)</f>
        <v>20.0424964595889</v>
      </c>
      <c r="BC1374" s="153" t="n">
        <f aca="false">IFERROR(IF($N1374="VCA",INDEX(APOIO_REDES!$A:$W,MATCH($C1374&amp;$I1374&amp;$H1374&amp;$N1374&amp;$O1374,APOIO_REDES!$W:$W,0),MATCH(BC$5,APOIO_REDES!$5:$5,0)),0)*($AI1374+$AQ1374+$AR1374),0)</f>
        <v>0.220467040411053</v>
      </c>
      <c r="BD1374" s="153" t="n">
        <f aca="false">IF(AND($N1374="VCA",$AF1374&gt;=1.25,$AF1374&lt;1.5),$M1374*$AF1374*2,0)</f>
        <v>183.54158</v>
      </c>
      <c r="BE1374" s="153" t="n">
        <f aca="false">IF(AND($N1374="VCA",$AF1374&gt;=1.5,$AF1374&lt;3),$M1374*$AF1374*2,0)</f>
        <v>0</v>
      </c>
      <c r="BF1374" s="153" t="n">
        <f aca="false">IF(AND($N1374="VCA",$AF1374&gt;=3),$M1374*$AF1374*2,0)</f>
        <v>0</v>
      </c>
      <c r="BG1374" s="153" t="n">
        <f aca="false">($BB1374+$BC1374)*$AK1374</f>
        <v>99.28852115</v>
      </c>
      <c r="BH1374" s="153" t="n">
        <f aca="false">IF(AND($M1374&lt;&gt;"",$N1374="VCA",$Q1374="LINEAR"),($M1374*2)/100,IF(AND($M1374&lt;&gt;"",$N1374="MND",$Q1374="EMBOQUE"),($AN1374*2)/100,0))</f>
        <v>1.3466</v>
      </c>
      <c r="BI1374" s="153" t="n">
        <f aca="false">IF(AND($M1374&lt;&gt;"",$N1374="VCA",$Q1374="LINEAR"),$M1374,IF(AND($M1374&lt;&gt;"",$N1374="MND",$Q1374="EMBOQUE"),$AN1374*2,0))</f>
        <v>67.33</v>
      </c>
      <c r="BJ1374" s="153" t="n">
        <f aca="false">IF(AND($M1374&lt;&gt;"",$N1374="VCA",$Q1374="LINEAR"),($M1374*6.8)/100,IF(AND($M1374&lt;&gt;"",$N1374="MND",$Q1374="EMBOQUE"),($AN1374*2*6.8)/100,0))</f>
        <v>4.57844</v>
      </c>
      <c r="BK1374" s="153" t="n">
        <f aca="false">IF(AND($M1374&lt;&gt;"",$N1374="VCA",$Q1374="LINEAR"),($M1374*2.5)/50,IF(AND($M1374&lt;&gt;"",$N1374="MND",$Q1374="EMBOQUE"),($AN1374*2*2.5)/50,0))</f>
        <v>3.3665</v>
      </c>
      <c r="BL1374" s="157" t="str">
        <f aca="false">K1374&amp;J1374</f>
        <v>Zona11REDES</v>
      </c>
      <c r="BM1374" s="152" t="s">
        <v>6084</v>
      </c>
      <c r="BN1374" s="152" t="s">
        <v>1560</v>
      </c>
      <c r="BO1374" s="152" t="s">
        <v>6516</v>
      </c>
      <c r="BP1374" s="152" t="s">
        <v>6741</v>
      </c>
      <c r="BQ1374" s="152" t="s">
        <v>6733</v>
      </c>
      <c r="BR1374" s="152" t="s">
        <v>6742</v>
      </c>
      <c r="BS1374" s="152" t="n">
        <v>204310.545</v>
      </c>
      <c r="BT1374" s="152" t="n">
        <v>8235966.067</v>
      </c>
      <c r="BU1374" s="152" t="n">
        <v>204249.784</v>
      </c>
      <c r="BV1374" s="152" t="n">
        <v>8235951.24</v>
      </c>
      <c r="BW1374" s="152" t="n">
        <v>-15.9380502</v>
      </c>
      <c r="BX1374" s="152" t="n">
        <v>-47.7621896</v>
      </c>
      <c r="BY1374" s="152" t="s">
        <v>6741</v>
      </c>
    </row>
    <row r="1375" customFormat="false" ht="13.8" hidden="false" customHeight="false" outlineLevel="0" collapsed="false">
      <c r="A1375" s="149" t="n">
        <f aca="false">IF(C1375&lt;&gt;"",ROW(A1370),"")</f>
        <v>1370</v>
      </c>
      <c r="B1375" s="150" t="str">
        <f aca="false">HYPERLINK("https://www.google.com/maps/dir/-15.917302,-47.760003/-15.9384169,-47.7627674/data=!4m3!4m2!3e0!5i1")</f>
        <v>https://www.google.com/maps/dir/-15.917302,-47.760003/-15.9384169,-47.7627674/data=!4m3!4m2!3e0!5i1</v>
      </c>
      <c r="C1375" s="151" t="s">
        <v>117</v>
      </c>
      <c r="D1375" s="152" t="s">
        <v>112</v>
      </c>
      <c r="E1375" s="152" t="s">
        <v>113</v>
      </c>
      <c r="F1375" s="152" t="s">
        <v>117</v>
      </c>
      <c r="G1375" s="152" t="s">
        <v>114</v>
      </c>
      <c r="H1375" s="152" t="n">
        <v>225</v>
      </c>
      <c r="I1375" s="152" t="s">
        <v>115</v>
      </c>
      <c r="J1375" s="152" t="s">
        <v>6</v>
      </c>
      <c r="K1375" s="152" t="s">
        <v>6081</v>
      </c>
      <c r="L1375" s="152" t="s">
        <v>120</v>
      </c>
      <c r="M1375" s="153" t="n">
        <f aca="false">75.57+0.02</f>
        <v>75.59</v>
      </c>
      <c r="N1375" s="152" t="s">
        <v>1548</v>
      </c>
      <c r="O1375" s="152" t="s">
        <v>1549</v>
      </c>
      <c r="P1375" s="152" t="s">
        <v>1550</v>
      </c>
      <c r="Q1375" s="152" t="s">
        <v>1551</v>
      </c>
      <c r="R1375" s="154" t="s">
        <v>6743</v>
      </c>
      <c r="S1375" s="154" t="s">
        <v>1593</v>
      </c>
      <c r="T1375" s="155" t="s">
        <v>6514</v>
      </c>
      <c r="U1375" s="152" t="str">
        <f aca="false">RIGHT(T1375,7)</f>
        <v>024/037</v>
      </c>
      <c r="V1375" s="152" t="s">
        <v>1555</v>
      </c>
      <c r="W1375" s="156" t="n">
        <v>45882</v>
      </c>
      <c r="X1375" s="152" t="s">
        <v>3938</v>
      </c>
      <c r="Y1375" s="152"/>
      <c r="Z1375" s="152" t="s">
        <v>1557</v>
      </c>
      <c r="AA1375" s="153" t="n">
        <v>4.9</v>
      </c>
      <c r="AB1375" s="151" t="s">
        <v>6744</v>
      </c>
      <c r="AC1375" s="151" t="s">
        <v>508</v>
      </c>
      <c r="AD1375" s="151" t="str">
        <f aca="false">CONCATENATE($C1375,$I1375,$H1375,$N1375,$J1375,$K1375)</f>
        <v>TUBO PEADPEAD225VCAREDESZona11</v>
      </c>
      <c r="AE1375" s="153" t="n">
        <f aca="false">IFERROR(INDEX(APOIO_REDES!$A:$W,MATCH($C1375&amp;$I1375&amp;$H1375&amp;$N1375&amp;$O1375,APOIO_REDES!$W:$W,0),MATCH(AE$5,APOIO_REDES!$5:$5,0)),0)</f>
        <v>1.2</v>
      </c>
      <c r="AF1375" s="153" t="n">
        <f aca="false">IFERROR(INDEX(APOIO_REDES!$A:$W,MATCH($C1375&amp;$I1375&amp;$H1375&amp;$N1375&amp;$O1375,APOIO_REDES!$W:$W,0),MATCH(AF$5,APOIO_REDES!$5:$5,0)),0)</f>
        <v>1.525</v>
      </c>
      <c r="AG1375" s="153" t="n">
        <f aca="false">IFERROR(INDEX(APOIO_REDES!$A:$W,MATCH($C1375&amp;$I1375&amp;$H1375&amp;$N1375&amp;$O1375,APOIO_REDES!$W:$W,0),MATCH(AG$5,APOIO_REDES!$5:$5,0)),0)</f>
        <v>0.8</v>
      </c>
      <c r="AH1375" s="153" t="n">
        <f aca="false">IFERROR(INDEX(APOIO_REDES!$A:$W,MATCH($C1375&amp;$I1375&amp;$H1375&amp;$N1375&amp;$O1375,APOIO_REDES!$W:$W,0),MATCH(AH$5,APOIO_REDES!$5:$5,0)),0)</f>
        <v>0.1</v>
      </c>
      <c r="AI1375" s="153" t="n">
        <f aca="false">IFERROR(IF($H1375&lt;&gt;"",(((($H1375/1000)/2)^2)*PI()*$M1375),0),0)</f>
        <v>3.00551751304266</v>
      </c>
      <c r="AJ1375" s="153" t="n">
        <f aca="false">IFERROR(IF(AND($H1375&lt;&gt;"",$I1375="FoFo",OR($N1375="MND",$N1375="VCA"),$Q1375="LINEAR"),0,IF(AND($H1375&lt;&gt;"",$I1375="PEAD",$N1375="VCA",$Q1375="LINEAR"),($H1375/1000)+0.3,IF(AND($H1375&lt;&gt;"",$I1375="PEAD",$N1375="MND",$Q1375="EMBOQUE"),0,IF(AND($H1375&lt;&gt;"",$I1375="PVC",$N1375="VCA",$Q1375="LINEAR"),($H1375/1000)+0.2,IF(AND($H1375&lt;&gt;"",$I1375="PVC",$N1375="MND",$Q1375="EMBOQUE"),0,IF(AND($H1375&lt;&gt;"",$I1375="PEAD",$N1375="VCA",$Q1375="PREDIAL"),0,0)))))),0)</f>
        <v>0.525</v>
      </c>
      <c r="AK1375" s="153" t="n">
        <f aca="false">IF(AA1375&lt;&gt;"",AA1375,0)</f>
        <v>4.9</v>
      </c>
      <c r="AL1375" s="153" t="n">
        <f aca="false">IF(AND($N1375="MND",$Q1375="EMBOQUE"),$M1375,IF(AND($N1375="VCA",$Q1375="LINEAR"),$M1375,IF(AND($N1375="VCA",$Q1375="PREDIAL"),0,0)))</f>
        <v>75.59</v>
      </c>
      <c r="AM1375" s="153" t="n">
        <f aca="false">IF(AND($N1375="MND",$Q1375="EMBOQUE"),$M1375,IF(AND($N1375="VCA",$Q1375="LINEAR"),$M1375,IF(AND($N1375="VCA",$Q1375="PREDIAL"),0,0)))</f>
        <v>75.59</v>
      </c>
      <c r="AN1375" s="153" t="n">
        <f aca="false">ROUND(IF(AND($N1375="VCA",$M1375&lt;&gt;"",$Q1375="LINEAR"),$M1375/100,IF(AND($N1375="MND",$M1375&gt;100,$Q1375="EMBOQUE"),$M1375/100,0)),0)</f>
        <v>1</v>
      </c>
      <c r="AO1375" s="153" t="n">
        <f aca="false">IF(AND($N1375="MND",$Q1375="EMBOQUE"),$AN1375*2*2,IF(AND($N1375="VCA",$Q1375="LINEAR"),$M1375*2,IF(AND($N1375="VCA",$Q1375="PREDIAL"),0,0)))</f>
        <v>151.18</v>
      </c>
      <c r="AP1375" s="153" t="n">
        <f aca="false">IFERROR($M1375*$AF1375*$AG1375,0)</f>
        <v>92.2198</v>
      </c>
      <c r="AQ1375" s="153" t="n">
        <f aca="false">IFERROR(IF(AND($N1375="VCA",$AH1375&gt;0),$M1375*$AG1375*$AH1375,0),0)</f>
        <v>6.0472</v>
      </c>
      <c r="AR1375" s="153" t="n">
        <f aca="false">IFERROR(IF(AND($N1375="VCA",$AJ1375&gt;0),($M1375*$AG1375*$AJ1375)-$AI1375,0),0)</f>
        <v>28.7422824869573</v>
      </c>
      <c r="AS1375" s="153" t="n">
        <f aca="false">IFERROR(IF(AND($N1375="VCA",$AP1375&gt;0),$AP1375-$AI1375-$AQ1375-$AR1375,0),0)</f>
        <v>54.4248</v>
      </c>
      <c r="AT1375" s="153" t="n">
        <f aca="false">IFERROR(IF($N1375="VCA",INDEX(APOIO_REDES!$A:$W,MATCH($C1375&amp;$I1375&amp;$H1375&amp;$N1375&amp;$O1375,APOIO_REDES!$W:$W,0),MATCH(AT$5,APOIO_REDES!$5:$5,0)),0)*$AP1375,0)</f>
        <v>1.0033787196675</v>
      </c>
      <c r="AU1375" s="153" t="n">
        <f aca="false">IFERROR(IF($N1375="VCA",INDEX(APOIO_REDES!$A:$W,MATCH($C1375&amp;$I1375&amp;$H1375&amp;$N1375&amp;$O1375,APOIO_REDES!$W:$W,0),MATCH(AU$5,APOIO_REDES!$5:$5,0)),0)*$AP1375,0)</f>
        <v>0.801271070584394</v>
      </c>
      <c r="AV1375" s="153" t="n">
        <f aca="false">IFERROR(IF($N1375="VCA",INDEX(APOIO_REDES!$A:$W,MATCH($C1375&amp;$I1375&amp;$H1375&amp;$N1375&amp;$O1375,APOIO_REDES!$W:$W,0),MATCH(AV$5,APOIO_REDES!$5:$5,0)),0)*$AP1375,0)</f>
        <v>0.110889625944348</v>
      </c>
      <c r="AW1375" s="153" t="n">
        <f aca="false">IFERROR(IF($N1375="VCA",INDEX(APOIO_REDES!$A:$W,MATCH($C1375&amp;$I1375&amp;$H1375&amp;$N1375&amp;$O1375,APOIO_REDES!$W:$W,0),MATCH(AW$5,APOIO_REDES!$5:$5,0)),0)*$AP1375,0)</f>
        <v>63.3003852738789</v>
      </c>
      <c r="AX1375" s="153" t="n">
        <f aca="false">IFERROR(IF($N1375="VCA",INDEX(APOIO_REDES!$A:$W,MATCH($C1375&amp;$I1375&amp;$H1375&amp;$N1375&amp;$O1375,APOIO_REDES!$W:$W,0),MATCH(AX$5,APOIO_REDES!$5:$5,0)),0)*$AP1375,0)</f>
        <v>8.76059300734423</v>
      </c>
      <c r="AY1375" s="153" t="n">
        <f aca="false">IFERROR(IF($N1375="VCA",INDEX(APOIO_REDES!$A:$W,MATCH($C1375&amp;$I1375&amp;$H1375&amp;$N1375&amp;$O1375,APOIO_REDES!$W:$W,0),MATCH(AY$5,APOIO_REDES!$5:$5,0)),0)*$AP1375,0)</f>
        <v>16.0254116442585</v>
      </c>
      <c r="AZ1375" s="153" t="n">
        <f aca="false">IFERROR(IF($N1375="VCA",INDEX(APOIO_REDES!$A:$W,MATCH($C1375&amp;$I1375&amp;$H1375&amp;$N1375&amp;$O1375,APOIO_REDES!$W:$W,0),MATCH(AZ$5,APOIO_REDES!$5:$5,0)),0)*$AP1375,0)</f>
        <v>2.21787065832214</v>
      </c>
      <c r="BA1375" s="153" t="n">
        <f aca="false">IFERROR(IF(AND($N1375="VCA",$Q1375="LINEAR"),INDEX(APOIO_REDES!$A:$W,MATCH($C1375&amp;$I1375&amp;$H1375&amp;$N1375&amp;$O1375,APOIO_REDES!$W:$W,0),MATCH(BA$5,APOIO_REDES!$5:$5,0)),IF(AND($N1375="MND",$Q1375="EMBOQUE"),INDEX(APOIO_REDES!$A:$W,MATCH($C1375&amp;$I1375&amp;$H1375&amp;$N1375&amp;$O1375,APOIO_REDES!$W:$W,0),MATCH(BA$5,APOIO_REDES!$5:$5,0)),0))*$M1375/10,0)</f>
        <v>6.09236333025559</v>
      </c>
      <c r="BB1375" s="153" t="n">
        <f aca="false">IFERROR(IF($N1375="VCA",INDEX(APOIO_REDES!$A:$W,MATCH($C1375&amp;$I1375&amp;$H1375&amp;$N1375&amp;$O1375,APOIO_REDES!$W:$W,0),MATCH(BB$5,APOIO_REDES!$5:$5,0)),0)*($AI1375+$AQ1375+$AR1375),0)</f>
        <v>37.383779213251</v>
      </c>
      <c r="BC1375" s="153" t="n">
        <f aca="false">IFERROR(IF($N1375="VCA",INDEX(APOIO_REDES!$A:$W,MATCH($C1375&amp;$I1375&amp;$H1375&amp;$N1375&amp;$O1375,APOIO_REDES!$W:$W,0),MATCH(BC$5,APOIO_REDES!$5:$5,0)),0)*($AI1375+$AQ1375+$AR1375),0)</f>
        <v>0.411220786748974</v>
      </c>
      <c r="BD1375" s="153" t="n">
        <f aca="false">IF(AND($N1375="VCA",$AF1375&gt;=1.25,$AF1375&lt;1.5),$M1375*$AF1375*2,0)</f>
        <v>0</v>
      </c>
      <c r="BE1375" s="153" t="n">
        <f aca="false">IF(AND($N1375="VCA",$AF1375&gt;=1.5,$AF1375&lt;3),$M1375*$AF1375*2,0)</f>
        <v>230.5495</v>
      </c>
      <c r="BF1375" s="153" t="n">
        <f aca="false">IF(AND($N1375="VCA",$AF1375&gt;=3),$M1375*$AF1375*2,0)</f>
        <v>0</v>
      </c>
      <c r="BG1375" s="153" t="n">
        <f aca="false">($BB1375+$BC1375)*$AK1375</f>
        <v>185.1955</v>
      </c>
      <c r="BH1375" s="153" t="n">
        <f aca="false">IF(AND($M1375&lt;&gt;"",$N1375="VCA",$Q1375="LINEAR"),($M1375*2)/100,IF(AND($M1375&lt;&gt;"",$N1375="MND",$Q1375="EMBOQUE"),($AN1375*2)/100,0))</f>
        <v>1.5118</v>
      </c>
      <c r="BI1375" s="153" t="n">
        <f aca="false">IF(AND($M1375&lt;&gt;"",$N1375="VCA",$Q1375="LINEAR"),$M1375,IF(AND($M1375&lt;&gt;"",$N1375="MND",$Q1375="EMBOQUE"),$AN1375*2,0))</f>
        <v>75.59</v>
      </c>
      <c r="BJ1375" s="153" t="n">
        <f aca="false">IF(AND($M1375&lt;&gt;"",$N1375="VCA",$Q1375="LINEAR"),($M1375*6.8)/100,IF(AND($M1375&lt;&gt;"",$N1375="MND",$Q1375="EMBOQUE"),($AN1375*2*6.8)/100,0))</f>
        <v>5.14012</v>
      </c>
      <c r="BK1375" s="153" t="n">
        <f aca="false">IF(AND($M1375&lt;&gt;"",$N1375="VCA",$Q1375="LINEAR"),($M1375*2.5)/50,IF(AND($M1375&lt;&gt;"",$N1375="MND",$Q1375="EMBOQUE"),($AN1375*2*2.5)/50,0))</f>
        <v>3.7795</v>
      </c>
      <c r="BL1375" s="157" t="str">
        <f aca="false">K1375&amp;J1375</f>
        <v>Zona11REDES</v>
      </c>
      <c r="BM1375" s="152" t="s">
        <v>6084</v>
      </c>
      <c r="BN1375" s="152" t="s">
        <v>1560</v>
      </c>
      <c r="BO1375" s="152" t="s">
        <v>6516</v>
      </c>
      <c r="BP1375" s="152" t="s">
        <v>6745</v>
      </c>
      <c r="BQ1375" s="152" t="s">
        <v>6716</v>
      </c>
      <c r="BR1375" s="152" t="s">
        <v>6746</v>
      </c>
      <c r="BS1375" s="152" t="n">
        <v>204218.819</v>
      </c>
      <c r="BT1375" s="152" t="n">
        <v>8235917.24</v>
      </c>
      <c r="BU1375" s="152" t="n">
        <v>204200.93</v>
      </c>
      <c r="BV1375" s="152" t="n">
        <v>8235990.658</v>
      </c>
      <c r="BW1375" s="152" t="n">
        <v>-15.9380848</v>
      </c>
      <c r="BX1375" s="152" t="n">
        <v>-47.7628488</v>
      </c>
      <c r="BY1375" s="152" t="s">
        <v>6745</v>
      </c>
    </row>
    <row r="1376" customFormat="false" ht="13.8" hidden="false" customHeight="false" outlineLevel="0" collapsed="false">
      <c r="A1376" s="149" t="n">
        <f aca="false">IF(C1376&lt;&gt;"",ROW(A1371),"")</f>
        <v>1371</v>
      </c>
      <c r="B1376" s="150" t="str">
        <f aca="false">HYPERLINK("https://www.google.com/maps/dir/-15.917302,-47.760003/-15.9377545,-47.7629388/data=!4m3!4m2!3e0!5i1")</f>
        <v>https://www.google.com/maps/dir/-15.917302,-47.760003/-15.9377545,-47.7629388/data=!4m3!4m2!3e0!5i1</v>
      </c>
      <c r="C1376" s="151" t="s">
        <v>117</v>
      </c>
      <c r="D1376" s="152" t="s">
        <v>112</v>
      </c>
      <c r="E1376" s="152" t="s">
        <v>113</v>
      </c>
      <c r="F1376" s="152" t="s">
        <v>117</v>
      </c>
      <c r="G1376" s="152" t="s">
        <v>114</v>
      </c>
      <c r="H1376" s="152" t="n">
        <v>160</v>
      </c>
      <c r="I1376" s="152" t="s">
        <v>115</v>
      </c>
      <c r="J1376" s="152" t="s">
        <v>6</v>
      </c>
      <c r="K1376" s="152" t="s">
        <v>6081</v>
      </c>
      <c r="L1376" s="152" t="s">
        <v>120</v>
      </c>
      <c r="M1376" s="153" t="n">
        <f aca="false">75.61</f>
        <v>75.61</v>
      </c>
      <c r="N1376" s="152" t="s">
        <v>1548</v>
      </c>
      <c r="O1376" s="152" t="s">
        <v>1549</v>
      </c>
      <c r="P1376" s="152" t="s">
        <v>1550</v>
      </c>
      <c r="Q1376" s="152" t="s">
        <v>1551</v>
      </c>
      <c r="R1376" s="154" t="s">
        <v>6747</v>
      </c>
      <c r="S1376" s="154" t="s">
        <v>1593</v>
      </c>
      <c r="T1376" s="155" t="s">
        <v>6514</v>
      </c>
      <c r="U1376" s="152" t="str">
        <f aca="false">RIGHT(T1376,7)</f>
        <v>024/037</v>
      </c>
      <c r="V1376" s="152" t="s">
        <v>1555</v>
      </c>
      <c r="W1376" s="156" t="n">
        <v>45882</v>
      </c>
      <c r="X1376" s="152"/>
      <c r="Y1376" s="152"/>
      <c r="Z1376" s="152" t="s">
        <v>1557</v>
      </c>
      <c r="AA1376" s="153" t="n">
        <v>5</v>
      </c>
      <c r="AB1376" s="151" t="s">
        <v>6748</v>
      </c>
      <c r="AC1376" s="151" t="s">
        <v>505</v>
      </c>
      <c r="AD1376" s="151" t="str">
        <f aca="false">CONCATENATE($C1376,$I1376,$H1376,$N1376,$J1376,$K1376)</f>
        <v>TUBO PEADPEAD160VCAREDESZona11</v>
      </c>
      <c r="AE1376" s="153" t="n">
        <f aca="false">IFERROR(INDEX(APOIO_REDES!$A:$W,MATCH($C1376&amp;$I1376&amp;$H1376&amp;$N1376&amp;$O1376,APOIO_REDES!$W:$W,0),MATCH(AE$5,APOIO_REDES!$5:$5,0)),0)</f>
        <v>1.2</v>
      </c>
      <c r="AF1376" s="153" t="n">
        <f aca="false">IFERROR(INDEX(APOIO_REDES!$A:$W,MATCH($C1376&amp;$I1376&amp;$H1376&amp;$N1376&amp;$O1376,APOIO_REDES!$W:$W,0),MATCH(AF$5,APOIO_REDES!$5:$5,0)),0)</f>
        <v>1.46</v>
      </c>
      <c r="AG1376" s="153" t="n">
        <f aca="false">IFERROR(INDEX(APOIO_REDES!$A:$W,MATCH($C1376&amp;$I1376&amp;$H1376&amp;$N1376&amp;$O1376,APOIO_REDES!$W:$W,0),MATCH(AG$5,APOIO_REDES!$5:$5,0)),0)</f>
        <v>0.75</v>
      </c>
      <c r="AH1376" s="153" t="n">
        <f aca="false">IFERROR(INDEX(APOIO_REDES!$A:$W,MATCH($C1376&amp;$I1376&amp;$H1376&amp;$N1376&amp;$O1376,APOIO_REDES!$W:$W,0),MATCH(AH$5,APOIO_REDES!$5:$5,0)),0)</f>
        <v>0.1</v>
      </c>
      <c r="AI1376" s="153" t="n">
        <f aca="false">IFERROR(IF($H1376&lt;&gt;"",(((($H1376/1000)/2)^2)*PI()*$M1376),0),0)</f>
        <v>1.52022925144272</v>
      </c>
      <c r="AJ1376" s="153" t="n">
        <f aca="false">IFERROR(IF(AND($H1376&lt;&gt;"",$I1376="FoFo",OR($N1376="MND",$N1376="VCA"),$Q1376="LINEAR"),0,IF(AND($H1376&lt;&gt;"",$I1376="PEAD",$N1376="VCA",$Q1376="LINEAR"),($H1376/1000)+0.3,IF(AND($H1376&lt;&gt;"",$I1376="PEAD",$N1376="MND",$Q1376="EMBOQUE"),0,IF(AND($H1376&lt;&gt;"",$I1376="PVC",$N1376="VCA",$Q1376="LINEAR"),($H1376/1000)+0.2,IF(AND($H1376&lt;&gt;"",$I1376="PVC",$N1376="MND",$Q1376="EMBOQUE"),0,IF(AND($H1376&lt;&gt;"",$I1376="PEAD",$N1376="VCA",$Q1376="PREDIAL"),0,0)))))),0)</f>
        <v>0.46</v>
      </c>
      <c r="AK1376" s="153" t="n">
        <f aca="false">IF(AA1376&lt;&gt;"",AA1376,0)</f>
        <v>5</v>
      </c>
      <c r="AL1376" s="153" t="n">
        <f aca="false">IF(AND($N1376="MND",$Q1376="EMBOQUE"),$M1376,IF(AND($N1376="VCA",$Q1376="LINEAR"),$M1376,IF(AND($N1376="VCA",$Q1376="PREDIAL"),0,0)))</f>
        <v>75.61</v>
      </c>
      <c r="AM1376" s="153" t="n">
        <f aca="false">IF(AND($N1376="MND",$Q1376="EMBOQUE"),$M1376,IF(AND($N1376="VCA",$Q1376="LINEAR"),$M1376,IF(AND($N1376="VCA",$Q1376="PREDIAL"),0,0)))</f>
        <v>75.61</v>
      </c>
      <c r="AN1376" s="153" t="n">
        <f aca="false">ROUND(IF(AND($N1376="VCA",$M1376&lt;&gt;"",$Q1376="LINEAR"),$M1376/100,IF(AND($N1376="MND",$M1376&gt;100,$Q1376="EMBOQUE"),$M1376/100,0)),0)</f>
        <v>1</v>
      </c>
      <c r="AO1376" s="153" t="n">
        <f aca="false">IF(AND($N1376="MND",$Q1376="EMBOQUE"),$AN1376*2*2,IF(AND($N1376="VCA",$Q1376="LINEAR"),$M1376*2,IF(AND($N1376="VCA",$Q1376="PREDIAL"),0,0)))</f>
        <v>151.22</v>
      </c>
      <c r="AP1376" s="153" t="n">
        <f aca="false">IFERROR($M1376*$AF1376*$AG1376,0)</f>
        <v>82.79295</v>
      </c>
      <c r="AQ1376" s="153" t="n">
        <f aca="false">IFERROR(IF(AND($N1376="VCA",$AH1376&gt;0),$M1376*$AG1376*$AH1376,0),0)</f>
        <v>5.67075</v>
      </c>
      <c r="AR1376" s="153" t="n">
        <f aca="false">IFERROR(IF(AND($N1376="VCA",$AJ1376&gt;0),($M1376*$AG1376*$AJ1376)-$AI1376,0),0)</f>
        <v>24.5652207485573</v>
      </c>
      <c r="AS1376" s="153" t="n">
        <f aca="false">IFERROR(IF(AND($N1376="VCA",$AP1376&gt;0),$AP1376-$AI1376-$AQ1376-$AR1376,0),0)</f>
        <v>51.03675</v>
      </c>
      <c r="AT1376" s="153" t="n">
        <f aca="false">IFERROR(IF($N1376="VCA",INDEX(APOIO_REDES!$A:$W,MATCH($C1376&amp;$I1376&amp;$H1376&amp;$N1376&amp;$O1376,APOIO_REDES!$W:$W,0),MATCH(AT$5,APOIO_REDES!$5:$5,0)),0)*$AP1376,0)</f>
        <v>0.900811801462321</v>
      </c>
      <c r="AU1376" s="153" t="n">
        <f aca="false">IFERROR(IF($N1376="VCA",INDEX(APOIO_REDES!$A:$W,MATCH($C1376&amp;$I1376&amp;$H1376&amp;$N1376&amp;$O1376,APOIO_REDES!$W:$W,0),MATCH(AU$5,APOIO_REDES!$5:$5,0)),0)*$AP1376,0)</f>
        <v>0.719363907570177</v>
      </c>
      <c r="AV1376" s="153" t="n">
        <f aca="false">IFERROR(IF($N1376="VCA",INDEX(APOIO_REDES!$A:$W,MATCH($C1376&amp;$I1376&amp;$H1376&amp;$N1376&amp;$O1376,APOIO_REDES!$W:$W,0),MATCH(AV$5,APOIO_REDES!$5:$5,0)),0)*$AP1376,0)</f>
        <v>0.0995543175796211</v>
      </c>
      <c r="AW1376" s="153" t="n">
        <f aca="false">IFERROR(IF($N1376="VCA",INDEX(APOIO_REDES!$A:$W,MATCH($C1376&amp;$I1376&amp;$H1376&amp;$N1376&amp;$O1376,APOIO_REDES!$W:$W,0),MATCH(AW$5,APOIO_REDES!$5:$5,0)),0)*$AP1376,0)</f>
        <v>56.8297223910808</v>
      </c>
      <c r="AX1376" s="153" t="n">
        <f aca="false">IFERROR(IF($N1376="VCA",INDEX(APOIO_REDES!$A:$W,MATCH($C1376&amp;$I1376&amp;$H1376&amp;$N1376&amp;$O1376,APOIO_REDES!$W:$W,0),MATCH(AX$5,APOIO_REDES!$5:$5,0)),0)*$AP1376,0)</f>
        <v>7.86507169639709</v>
      </c>
      <c r="AY1376" s="153" t="n">
        <f aca="false">IFERROR(IF($N1376="VCA",INDEX(APOIO_REDES!$A:$W,MATCH($C1376&amp;$I1376&amp;$H1376&amp;$N1376&amp;$O1376,APOIO_REDES!$W:$W,0),MATCH(AY$5,APOIO_REDES!$5:$5,0)),0)*$AP1376,0)</f>
        <v>14.3872693824158</v>
      </c>
      <c r="AZ1376" s="153" t="n">
        <f aca="false">IFERROR(IF($N1376="VCA",INDEX(APOIO_REDES!$A:$W,MATCH($C1376&amp;$I1376&amp;$H1376&amp;$N1376&amp;$O1376,APOIO_REDES!$W:$W,0),MATCH(AZ$5,APOIO_REDES!$5:$5,0)),0)*$AP1376,0)</f>
        <v>1.99115650349418</v>
      </c>
      <c r="BA1376" s="153" t="n">
        <f aca="false">IFERROR(IF(AND($N1376="VCA",$Q1376="LINEAR"),INDEX(APOIO_REDES!$A:$W,MATCH($C1376&amp;$I1376&amp;$H1376&amp;$N1376&amp;$O1376,APOIO_REDES!$W:$W,0),MATCH(BA$5,APOIO_REDES!$5:$5,0)),IF(AND($N1376="MND",$Q1376="EMBOQUE"),INDEX(APOIO_REDES!$A:$W,MATCH($C1376&amp;$I1376&amp;$H1376&amp;$N1376&amp;$O1376,APOIO_REDES!$W:$W,0),MATCH(BA$5,APOIO_REDES!$5:$5,0)),0))*$M1376/10,0)</f>
        <v>6.09397527980719</v>
      </c>
      <c r="BB1376" s="153" t="n">
        <f aca="false">IFERROR(IF($N1376="VCA",INDEX(APOIO_REDES!$A:$W,MATCH($C1376&amp;$I1376&amp;$H1376&amp;$N1376&amp;$O1376,APOIO_REDES!$W:$W,0),MATCH(BB$5,APOIO_REDES!$5:$5,0)),0)*($AI1376+$AQ1376+$AR1376),0)</f>
        <v>31.4106831446446</v>
      </c>
      <c r="BC1376" s="153" t="n">
        <f aca="false">IFERROR(IF($N1376="VCA",INDEX(APOIO_REDES!$A:$W,MATCH($C1376&amp;$I1376&amp;$H1376&amp;$N1376&amp;$O1376,APOIO_REDES!$W:$W,0),MATCH(BC$5,APOIO_REDES!$5:$5,0)),0)*($AI1376+$AQ1376+$AR1376),0)</f>
        <v>0.345516855355411</v>
      </c>
      <c r="BD1376" s="153" t="n">
        <f aca="false">IF(AND($N1376="VCA",$AF1376&gt;=1.25,$AF1376&lt;1.5),$M1376*$AF1376*2,0)</f>
        <v>220.7812</v>
      </c>
      <c r="BE1376" s="153" t="n">
        <f aca="false">IF(AND($N1376="VCA",$AF1376&gt;=1.5,$AF1376&lt;3),$M1376*$AF1376*2,0)</f>
        <v>0</v>
      </c>
      <c r="BF1376" s="153" t="n">
        <f aca="false">IF(AND($N1376="VCA",$AF1376&gt;=3),$M1376*$AF1376*2,0)</f>
        <v>0</v>
      </c>
      <c r="BG1376" s="153" t="n">
        <f aca="false">($BB1376+$BC1376)*$AK1376</f>
        <v>158.781</v>
      </c>
      <c r="BH1376" s="153" t="n">
        <f aca="false">IF(AND($M1376&lt;&gt;"",$N1376="VCA",$Q1376="LINEAR"),($M1376*2)/100,IF(AND($M1376&lt;&gt;"",$N1376="MND",$Q1376="EMBOQUE"),($AN1376*2)/100,0))</f>
        <v>1.5122</v>
      </c>
      <c r="BI1376" s="153" t="n">
        <f aca="false">IF(AND($M1376&lt;&gt;"",$N1376="VCA",$Q1376="LINEAR"),$M1376,IF(AND($M1376&lt;&gt;"",$N1376="MND",$Q1376="EMBOQUE"),$AN1376*2,0))</f>
        <v>75.61</v>
      </c>
      <c r="BJ1376" s="153" t="n">
        <f aca="false">IF(AND($M1376&lt;&gt;"",$N1376="VCA",$Q1376="LINEAR"),($M1376*6.8)/100,IF(AND($M1376&lt;&gt;"",$N1376="MND",$Q1376="EMBOQUE"),($AN1376*2*6.8)/100,0))</f>
        <v>5.14148</v>
      </c>
      <c r="BK1376" s="153" t="n">
        <f aca="false">IF(AND($M1376&lt;&gt;"",$N1376="VCA",$Q1376="LINEAR"),($M1376*2.5)/50,IF(AND($M1376&lt;&gt;"",$N1376="MND",$Q1376="EMBOQUE"),($AN1376*2*2.5)/50,0))</f>
        <v>3.7805</v>
      </c>
      <c r="BL1376" s="157" t="str">
        <f aca="false">K1376&amp;J1376</f>
        <v>Zona11REDES</v>
      </c>
      <c r="BM1376" s="152" t="s">
        <v>6084</v>
      </c>
      <c r="BN1376" s="152" t="s">
        <v>1560</v>
      </c>
      <c r="BO1376" s="152" t="s">
        <v>6516</v>
      </c>
      <c r="BP1376" s="152" t="s">
        <v>6716</v>
      </c>
      <c r="BQ1376" s="152" t="s">
        <v>6745</v>
      </c>
      <c r="BR1376" s="152" t="s">
        <v>6727</v>
      </c>
      <c r="BS1376" s="152" t="n">
        <v>204199.466</v>
      </c>
      <c r="BT1376" s="152" t="n">
        <v>8235990.332</v>
      </c>
      <c r="BU1376" s="152" t="n">
        <v>204217.364</v>
      </c>
      <c r="BV1376" s="152" t="n">
        <v>8235916.874</v>
      </c>
      <c r="BW1376" s="152" t="n">
        <v>-15.9380878</v>
      </c>
      <c r="BX1376" s="152" t="n">
        <v>-47.7628624</v>
      </c>
      <c r="BY1376" s="152" t="s">
        <v>6716</v>
      </c>
    </row>
    <row r="1377" customFormat="false" ht="13.8" hidden="false" customHeight="false" outlineLevel="0" collapsed="false">
      <c r="A1377" s="149" t="n">
        <f aca="false">IF(C1377&lt;&gt;"",ROW(A1372),"")</f>
        <v>1372</v>
      </c>
      <c r="B1377" s="150" t="str">
        <f aca="false">HYPERLINK("https://www.google.com/maps/dir/-15.917302,-47.760003/-15.9383334,-47.7636901/data=!4m3!4m2!3e0!5i1")</f>
        <v>https://www.google.com/maps/dir/-15.917302,-47.760003/-15.9383334,-47.7636901/data=!4m3!4m2!3e0!5i1</v>
      </c>
      <c r="C1377" s="151" t="s">
        <v>117</v>
      </c>
      <c r="D1377" s="152" t="s">
        <v>112</v>
      </c>
      <c r="E1377" s="152" t="s">
        <v>113</v>
      </c>
      <c r="F1377" s="152" t="s">
        <v>117</v>
      </c>
      <c r="G1377" s="152" t="s">
        <v>114</v>
      </c>
      <c r="H1377" s="152" t="n">
        <v>225</v>
      </c>
      <c r="I1377" s="152" t="s">
        <v>115</v>
      </c>
      <c r="J1377" s="152" t="s">
        <v>6</v>
      </c>
      <c r="K1377" s="152" t="s">
        <v>6081</v>
      </c>
      <c r="L1377" s="152" t="s">
        <v>120</v>
      </c>
      <c r="M1377" s="153" t="n">
        <f aca="false">45.3</f>
        <v>45.3</v>
      </c>
      <c r="N1377" s="152" t="s">
        <v>1548</v>
      </c>
      <c r="O1377" s="152" t="s">
        <v>1549</v>
      </c>
      <c r="P1377" s="152" t="s">
        <v>1550</v>
      </c>
      <c r="Q1377" s="152" t="s">
        <v>1551</v>
      </c>
      <c r="R1377" s="154" t="s">
        <v>6749</v>
      </c>
      <c r="S1377" s="154" t="s">
        <v>1593</v>
      </c>
      <c r="T1377" s="155" t="s">
        <v>6514</v>
      </c>
      <c r="U1377" s="152" t="str">
        <f aca="false">RIGHT(T1377,7)</f>
        <v>024/037</v>
      </c>
      <c r="V1377" s="152" t="s">
        <v>1555</v>
      </c>
      <c r="W1377" s="156" t="n">
        <v>45882</v>
      </c>
      <c r="X1377" s="152" t="s">
        <v>3938</v>
      </c>
      <c r="Y1377" s="152"/>
      <c r="Z1377" s="152" t="s">
        <v>1557</v>
      </c>
      <c r="AA1377" s="153" t="n">
        <v>4.9</v>
      </c>
      <c r="AB1377" s="151" t="s">
        <v>6750</v>
      </c>
      <c r="AC1377" s="151" t="s">
        <v>508</v>
      </c>
      <c r="AD1377" s="151" t="str">
        <f aca="false">CONCATENATE($C1377,$I1377,$H1377,$N1377,$J1377,$K1377)</f>
        <v>TUBO PEADPEAD225VCAREDESZona11</v>
      </c>
      <c r="AE1377" s="153" t="n">
        <f aca="false">IFERROR(INDEX(APOIO_REDES!$A:$W,MATCH($C1377&amp;$I1377&amp;$H1377&amp;$N1377&amp;$O1377,APOIO_REDES!$W:$W,0),MATCH(AE$5,APOIO_REDES!$5:$5,0)),0)</f>
        <v>1.2</v>
      </c>
      <c r="AF1377" s="153" t="n">
        <f aca="false">IFERROR(INDEX(APOIO_REDES!$A:$W,MATCH($C1377&amp;$I1377&amp;$H1377&amp;$N1377&amp;$O1377,APOIO_REDES!$W:$W,0),MATCH(AF$5,APOIO_REDES!$5:$5,0)),0)</f>
        <v>1.525</v>
      </c>
      <c r="AG1377" s="153" t="n">
        <f aca="false">IFERROR(INDEX(APOIO_REDES!$A:$W,MATCH($C1377&amp;$I1377&amp;$H1377&amp;$N1377&amp;$O1377,APOIO_REDES!$W:$W,0),MATCH(AG$5,APOIO_REDES!$5:$5,0)),0)</f>
        <v>0.8</v>
      </c>
      <c r="AH1377" s="153" t="n">
        <f aca="false">IFERROR(INDEX(APOIO_REDES!$A:$W,MATCH($C1377&amp;$I1377&amp;$H1377&amp;$N1377&amp;$O1377,APOIO_REDES!$W:$W,0),MATCH(AH$5,APOIO_REDES!$5:$5,0)),0)</f>
        <v>0.1</v>
      </c>
      <c r="AI1377" s="153" t="n">
        <f aca="false">IFERROR(IF($H1377&lt;&gt;"",(((($H1377/1000)/2)^2)*PI()*$M1377),0),0)</f>
        <v>1.80116342559641</v>
      </c>
      <c r="AJ1377" s="153" t="n">
        <f aca="false">IFERROR(IF(AND($H1377&lt;&gt;"",$I1377="FoFo",OR($N1377="MND",$N1377="VCA"),$Q1377="LINEAR"),0,IF(AND($H1377&lt;&gt;"",$I1377="PEAD",$N1377="VCA",$Q1377="LINEAR"),($H1377/1000)+0.3,IF(AND($H1377&lt;&gt;"",$I1377="PEAD",$N1377="MND",$Q1377="EMBOQUE"),0,IF(AND($H1377&lt;&gt;"",$I1377="PVC",$N1377="VCA",$Q1377="LINEAR"),($H1377/1000)+0.2,IF(AND($H1377&lt;&gt;"",$I1377="PVC",$N1377="MND",$Q1377="EMBOQUE"),0,IF(AND($H1377&lt;&gt;"",$I1377="PEAD",$N1377="VCA",$Q1377="PREDIAL"),0,0)))))),0)</f>
        <v>0.525</v>
      </c>
      <c r="AK1377" s="153" t="n">
        <f aca="false">IF(AA1377&lt;&gt;"",AA1377,0)</f>
        <v>4.9</v>
      </c>
      <c r="AL1377" s="153" t="n">
        <f aca="false">IF(AND($N1377="MND",$Q1377="EMBOQUE"),$M1377,IF(AND($N1377="VCA",$Q1377="LINEAR"),$M1377,IF(AND($N1377="VCA",$Q1377="PREDIAL"),0,0)))</f>
        <v>45.3</v>
      </c>
      <c r="AM1377" s="153" t="n">
        <f aca="false">IF(AND($N1377="MND",$Q1377="EMBOQUE"),$M1377,IF(AND($N1377="VCA",$Q1377="LINEAR"),$M1377,IF(AND($N1377="VCA",$Q1377="PREDIAL"),0,0)))</f>
        <v>45.3</v>
      </c>
      <c r="AN1377" s="153" t="n">
        <f aca="false">ROUND(IF(AND($N1377="VCA",$M1377&lt;&gt;"",$Q1377="LINEAR"),$M1377/100,IF(AND($N1377="MND",$M1377&gt;100,$Q1377="EMBOQUE"),$M1377/100,0)),0)</f>
        <v>0</v>
      </c>
      <c r="AO1377" s="153" t="n">
        <f aca="false">IF(AND($N1377="MND",$Q1377="EMBOQUE"),$AN1377*2*2,IF(AND($N1377="VCA",$Q1377="LINEAR"),$M1377*2,IF(AND($N1377="VCA",$Q1377="PREDIAL"),0,0)))</f>
        <v>90.6</v>
      </c>
      <c r="AP1377" s="153" t="n">
        <f aca="false">IFERROR($M1377*$AF1377*$AG1377,0)</f>
        <v>55.266</v>
      </c>
      <c r="AQ1377" s="153" t="n">
        <f aca="false">IFERROR(IF(AND($N1377="VCA",$AH1377&gt;0),$M1377*$AG1377*$AH1377,0),0)</f>
        <v>3.624</v>
      </c>
      <c r="AR1377" s="153" t="n">
        <f aca="false">IFERROR(IF(AND($N1377="VCA",$AJ1377&gt;0),($M1377*$AG1377*$AJ1377)-$AI1377,0),0)</f>
        <v>17.2248365744036</v>
      </c>
      <c r="AS1377" s="153" t="n">
        <f aca="false">IFERROR(IF(AND($N1377="VCA",$AP1377&gt;0),$AP1377-$AI1377-$AQ1377-$AR1377,0),0)</f>
        <v>32.616</v>
      </c>
      <c r="AT1377" s="153" t="n">
        <f aca="false">IFERROR(IF($N1377="VCA",INDEX(APOIO_REDES!$A:$W,MATCH($C1377&amp;$I1377&amp;$H1377&amp;$N1377&amp;$O1377,APOIO_REDES!$W:$W,0),MATCH(AT$5,APOIO_REDES!$5:$5,0)),0)*$AP1377,0)</f>
        <v>0.601310437901013</v>
      </c>
      <c r="AU1377" s="153" t="n">
        <f aca="false">IFERROR(IF($N1377="VCA",INDEX(APOIO_REDES!$A:$W,MATCH($C1377&amp;$I1377&amp;$H1377&amp;$N1377&amp;$O1377,APOIO_REDES!$W:$W,0),MATCH(AU$5,APOIO_REDES!$5:$5,0)),0)*$AP1377,0)</f>
        <v>0.480190230155749</v>
      </c>
      <c r="AV1377" s="153" t="n">
        <f aca="false">IFERROR(IF($N1377="VCA",INDEX(APOIO_REDES!$A:$W,MATCH($C1377&amp;$I1377&amp;$H1377&amp;$N1377&amp;$O1377,APOIO_REDES!$W:$W,0),MATCH(AV$5,APOIO_REDES!$5:$5,0)),0)*$AP1377,0)</f>
        <v>0.0664545582124485</v>
      </c>
      <c r="AW1377" s="153" t="n">
        <f aca="false">IFERROR(IF($N1377="VCA",INDEX(APOIO_REDES!$A:$W,MATCH($C1377&amp;$I1377&amp;$H1377&amp;$N1377&amp;$O1377,APOIO_REDES!$W:$W,0),MATCH(AW$5,APOIO_REDES!$5:$5,0)),0)*$AP1377,0)</f>
        <v>37.9350106218642</v>
      </c>
      <c r="AX1377" s="153" t="n">
        <f aca="false">IFERROR(IF($N1377="VCA",INDEX(APOIO_REDES!$A:$W,MATCH($C1377&amp;$I1377&amp;$H1377&amp;$N1377&amp;$O1377,APOIO_REDES!$W:$W,0),MATCH(AX$5,APOIO_REDES!$5:$5,0)),0)*$AP1377,0)</f>
        <v>5.25009741014279</v>
      </c>
      <c r="AY1377" s="153" t="n">
        <f aca="false">IFERROR(IF($N1377="VCA",INDEX(APOIO_REDES!$A:$W,MATCH($C1377&amp;$I1377&amp;$H1377&amp;$N1377&amp;$O1377,APOIO_REDES!$W:$W,0),MATCH(AY$5,APOIO_REDES!$5:$5,0)),0)*$AP1377,0)</f>
        <v>9.60379874963499</v>
      </c>
      <c r="AZ1377" s="153" t="n">
        <f aca="false">IFERROR(IF($N1377="VCA",INDEX(APOIO_REDES!$A:$W,MATCH($C1377&amp;$I1377&amp;$H1377&amp;$N1377&amp;$O1377,APOIO_REDES!$W:$W,0),MATCH(AZ$5,APOIO_REDES!$5:$5,0)),0)*$AP1377,0)</f>
        <v>1.32913799208881</v>
      </c>
      <c r="BA1377" s="153" t="n">
        <f aca="false">IFERROR(IF(AND($N1377="VCA",$Q1377="LINEAR"),INDEX(APOIO_REDES!$A:$W,MATCH($C1377&amp;$I1377&amp;$H1377&amp;$N1377&amp;$O1377,APOIO_REDES!$W:$W,0),MATCH(BA$5,APOIO_REDES!$5:$5,0)),IF(AND($N1377="MND",$Q1377="EMBOQUE"),INDEX(APOIO_REDES!$A:$W,MATCH($C1377&amp;$I1377&amp;$H1377&amp;$N1377&amp;$O1377,APOIO_REDES!$W:$W,0),MATCH(BA$5,APOIO_REDES!$5:$5,0)),0))*$M1377/10,0)</f>
        <v>3.65106573436405</v>
      </c>
      <c r="BB1377" s="153" t="n">
        <f aca="false">IFERROR(IF($N1377="VCA",INDEX(APOIO_REDES!$A:$W,MATCH($C1377&amp;$I1377&amp;$H1377&amp;$N1377&amp;$O1377,APOIO_REDES!$W:$W,0),MATCH(BB$5,APOIO_REDES!$5:$5,0)),0)*($AI1377+$AQ1377+$AR1377),0)</f>
        <v>22.4035612959422</v>
      </c>
      <c r="BC1377" s="153" t="n">
        <f aca="false">IFERROR(IF($N1377="VCA",INDEX(APOIO_REDES!$A:$W,MATCH($C1377&amp;$I1377&amp;$H1377&amp;$N1377&amp;$O1377,APOIO_REDES!$W:$W,0),MATCH(BC$5,APOIO_REDES!$5:$5,0)),0)*($AI1377+$AQ1377+$AR1377),0)</f>
        <v>0.246438704057792</v>
      </c>
      <c r="BD1377" s="153" t="n">
        <f aca="false">IF(AND($N1377="VCA",$AF1377&gt;=1.25,$AF1377&lt;1.5),$M1377*$AF1377*2,0)</f>
        <v>0</v>
      </c>
      <c r="BE1377" s="153" t="n">
        <f aca="false">IF(AND($N1377="VCA",$AF1377&gt;=1.5,$AF1377&lt;3),$M1377*$AF1377*2,0)</f>
        <v>138.165</v>
      </c>
      <c r="BF1377" s="153" t="n">
        <f aca="false">IF(AND($N1377="VCA",$AF1377&gt;=3),$M1377*$AF1377*2,0)</f>
        <v>0</v>
      </c>
      <c r="BG1377" s="153" t="n">
        <f aca="false">($BB1377+$BC1377)*$AK1377</f>
        <v>110.985</v>
      </c>
      <c r="BH1377" s="153" t="n">
        <f aca="false">IF(AND($M1377&lt;&gt;"",$N1377="VCA",$Q1377="LINEAR"),($M1377*2)/100,IF(AND($M1377&lt;&gt;"",$N1377="MND",$Q1377="EMBOQUE"),($AN1377*2)/100,0))</f>
        <v>0.906</v>
      </c>
      <c r="BI1377" s="153" t="n">
        <f aca="false">IF(AND($M1377&lt;&gt;"",$N1377="VCA",$Q1377="LINEAR"),$M1377,IF(AND($M1377&lt;&gt;"",$N1377="MND",$Q1377="EMBOQUE"),$AN1377*2,0))</f>
        <v>45.3</v>
      </c>
      <c r="BJ1377" s="153" t="n">
        <f aca="false">IF(AND($M1377&lt;&gt;"",$N1377="VCA",$Q1377="LINEAR"),($M1377*6.8)/100,IF(AND($M1377&lt;&gt;"",$N1377="MND",$Q1377="EMBOQUE"),($AN1377*2*6.8)/100,0))</f>
        <v>3.0804</v>
      </c>
      <c r="BK1377" s="153" t="n">
        <f aca="false">IF(AND($M1377&lt;&gt;"",$N1377="VCA",$Q1377="LINEAR"),($M1377*2.5)/50,IF(AND($M1377&lt;&gt;"",$N1377="MND",$Q1377="EMBOQUE"),($AN1377*2*2.5)/50,0))</f>
        <v>2.265</v>
      </c>
      <c r="BL1377" s="157" t="str">
        <f aca="false">K1377&amp;J1377</f>
        <v>Zona11REDES</v>
      </c>
      <c r="BM1377" s="152" t="s">
        <v>6084</v>
      </c>
      <c r="BN1377" s="152" t="s">
        <v>1560</v>
      </c>
      <c r="BO1377" s="152" t="s">
        <v>6516</v>
      </c>
      <c r="BP1377" s="152" t="s">
        <v>6751</v>
      </c>
      <c r="BQ1377" s="152" t="s">
        <v>6730</v>
      </c>
      <c r="BR1377" s="152" t="s">
        <v>6717</v>
      </c>
      <c r="BS1377" s="152" t="n">
        <v>204119.825</v>
      </c>
      <c r="BT1377" s="152" t="n">
        <v>8235925.165</v>
      </c>
      <c r="BU1377" s="152" t="n">
        <v>204108.635</v>
      </c>
      <c r="BV1377" s="152" t="n">
        <v>8235969.063</v>
      </c>
      <c r="BW1377" s="152" t="n">
        <v>-15.9381346</v>
      </c>
      <c r="BX1377" s="152" t="n">
        <v>-47.7637396</v>
      </c>
      <c r="BY1377" s="152" t="s">
        <v>6751</v>
      </c>
    </row>
    <row r="1378" customFormat="false" ht="13.8" hidden="false" customHeight="false" outlineLevel="0" collapsed="false">
      <c r="A1378" s="149" t="n">
        <f aca="false">IF(C1378&lt;&gt;"",ROW(A1373),"")</f>
        <v>1373</v>
      </c>
      <c r="B1378" s="150" t="str">
        <f aca="false">HYPERLINK("https://www.google.com/maps/dir/-15.917302,-47.760003/-15.9383334,-47.7636901/data=!4m3!4m2!3e0!5i1")</f>
        <v>https://www.google.com/maps/dir/-15.917302,-47.760003/-15.9383334,-47.7636901/data=!4m3!4m2!3e0!5i1</v>
      </c>
      <c r="C1378" s="151" t="s">
        <v>117</v>
      </c>
      <c r="D1378" s="152" t="s">
        <v>112</v>
      </c>
      <c r="E1378" s="152" t="s">
        <v>113</v>
      </c>
      <c r="F1378" s="152" t="s">
        <v>117</v>
      </c>
      <c r="G1378" s="152" t="s">
        <v>114</v>
      </c>
      <c r="H1378" s="152" t="n">
        <v>160</v>
      </c>
      <c r="I1378" s="152" t="s">
        <v>115</v>
      </c>
      <c r="J1378" s="152" t="s">
        <v>6</v>
      </c>
      <c r="K1378" s="152" t="s">
        <v>6081</v>
      </c>
      <c r="L1378" s="152" t="s">
        <v>120</v>
      </c>
      <c r="M1378" s="153" t="n">
        <f aca="false">43.8</f>
        <v>43.8</v>
      </c>
      <c r="N1378" s="152" t="s">
        <v>1548</v>
      </c>
      <c r="O1378" s="152" t="s">
        <v>1549</v>
      </c>
      <c r="P1378" s="152" t="s">
        <v>1550</v>
      </c>
      <c r="Q1378" s="152" t="s">
        <v>1551</v>
      </c>
      <c r="R1378" s="154" t="s">
        <v>6752</v>
      </c>
      <c r="S1378" s="154" t="s">
        <v>1593</v>
      </c>
      <c r="T1378" s="155" t="s">
        <v>6514</v>
      </c>
      <c r="U1378" s="152" t="str">
        <f aca="false">RIGHT(T1378,7)</f>
        <v>024/037</v>
      </c>
      <c r="V1378" s="152" t="s">
        <v>1555</v>
      </c>
      <c r="W1378" s="156" t="n">
        <v>45882</v>
      </c>
      <c r="X1378" s="152" t="s">
        <v>3938</v>
      </c>
      <c r="Y1378" s="152"/>
      <c r="Z1378" s="152" t="s">
        <v>1557</v>
      </c>
      <c r="AA1378" s="153" t="n">
        <v>4.9</v>
      </c>
      <c r="AB1378" s="151" t="s">
        <v>6753</v>
      </c>
      <c r="AC1378" s="151" t="s">
        <v>505</v>
      </c>
      <c r="AD1378" s="151" t="str">
        <f aca="false">CONCATENATE($C1378,$I1378,$H1378,$N1378,$J1378,$K1378)</f>
        <v>TUBO PEADPEAD160VCAREDESZona11</v>
      </c>
      <c r="AE1378" s="153" t="n">
        <f aca="false">IFERROR(INDEX(APOIO_REDES!$A:$W,MATCH($C1378&amp;$I1378&amp;$H1378&amp;$N1378&amp;$O1378,APOIO_REDES!$W:$W,0),MATCH(AE$5,APOIO_REDES!$5:$5,0)),0)</f>
        <v>1.2</v>
      </c>
      <c r="AF1378" s="153" t="n">
        <f aca="false">IFERROR(INDEX(APOIO_REDES!$A:$W,MATCH($C1378&amp;$I1378&amp;$H1378&amp;$N1378&amp;$O1378,APOIO_REDES!$W:$W,0),MATCH(AF$5,APOIO_REDES!$5:$5,0)),0)</f>
        <v>1.46</v>
      </c>
      <c r="AG1378" s="153" t="n">
        <f aca="false">IFERROR(INDEX(APOIO_REDES!$A:$W,MATCH($C1378&amp;$I1378&amp;$H1378&amp;$N1378&amp;$O1378,APOIO_REDES!$W:$W,0),MATCH(AG$5,APOIO_REDES!$5:$5,0)),0)</f>
        <v>0.75</v>
      </c>
      <c r="AH1378" s="153" t="n">
        <f aca="false">IFERROR(INDEX(APOIO_REDES!$A:$W,MATCH($C1378&amp;$I1378&amp;$H1378&amp;$N1378&amp;$O1378,APOIO_REDES!$W:$W,0),MATCH(AH$5,APOIO_REDES!$5:$5,0)),0)</f>
        <v>0.1</v>
      </c>
      <c r="AI1378" s="153" t="n">
        <f aca="false">IFERROR(IF($H1378&lt;&gt;"",(((($H1378/1000)/2)^2)*PI()*$M1378),0),0)</f>
        <v>0.880651252654291</v>
      </c>
      <c r="AJ1378" s="153" t="n">
        <f aca="false">IFERROR(IF(AND($H1378&lt;&gt;"",$I1378="FoFo",OR($N1378="MND",$N1378="VCA"),$Q1378="LINEAR"),0,IF(AND($H1378&lt;&gt;"",$I1378="PEAD",$N1378="VCA",$Q1378="LINEAR"),($H1378/1000)+0.3,IF(AND($H1378&lt;&gt;"",$I1378="PEAD",$N1378="MND",$Q1378="EMBOQUE"),0,IF(AND($H1378&lt;&gt;"",$I1378="PVC",$N1378="VCA",$Q1378="LINEAR"),($H1378/1000)+0.2,IF(AND($H1378&lt;&gt;"",$I1378="PVC",$N1378="MND",$Q1378="EMBOQUE"),0,IF(AND($H1378&lt;&gt;"",$I1378="PEAD",$N1378="VCA",$Q1378="PREDIAL"),0,0)))))),0)</f>
        <v>0.46</v>
      </c>
      <c r="AK1378" s="153" t="n">
        <f aca="false">IF(AA1378&lt;&gt;"",AA1378,0)</f>
        <v>4.9</v>
      </c>
      <c r="AL1378" s="153" t="n">
        <f aca="false">IF(AND($N1378="MND",$Q1378="EMBOQUE"),$M1378,IF(AND($N1378="VCA",$Q1378="LINEAR"),$M1378,IF(AND($N1378="VCA",$Q1378="PREDIAL"),0,0)))</f>
        <v>43.8</v>
      </c>
      <c r="AM1378" s="153" t="n">
        <f aca="false">IF(AND($N1378="MND",$Q1378="EMBOQUE"),$M1378,IF(AND($N1378="VCA",$Q1378="LINEAR"),$M1378,IF(AND($N1378="VCA",$Q1378="PREDIAL"),0,0)))</f>
        <v>43.8</v>
      </c>
      <c r="AN1378" s="153" t="n">
        <f aca="false">ROUND(IF(AND($N1378="VCA",$M1378&lt;&gt;"",$Q1378="LINEAR"),$M1378/100,IF(AND($N1378="MND",$M1378&gt;100,$Q1378="EMBOQUE"),$M1378/100,0)),0)</f>
        <v>0</v>
      </c>
      <c r="AO1378" s="153" t="n">
        <f aca="false">IF(AND($N1378="MND",$Q1378="EMBOQUE"),$AN1378*2*2,IF(AND($N1378="VCA",$Q1378="LINEAR"),$M1378*2,IF(AND($N1378="VCA",$Q1378="PREDIAL"),0,0)))</f>
        <v>87.6</v>
      </c>
      <c r="AP1378" s="153" t="n">
        <f aca="false">IFERROR($M1378*$AF1378*$AG1378,0)</f>
        <v>47.961</v>
      </c>
      <c r="AQ1378" s="153" t="n">
        <f aca="false">IFERROR(IF(AND($N1378="VCA",$AH1378&gt;0),$M1378*$AG1378*$AH1378,0),0)</f>
        <v>3.285</v>
      </c>
      <c r="AR1378" s="153" t="n">
        <f aca="false">IFERROR(IF(AND($N1378="VCA",$AJ1378&gt;0),($M1378*$AG1378*$AJ1378)-$AI1378,0),0)</f>
        <v>14.2303487473457</v>
      </c>
      <c r="AS1378" s="153" t="n">
        <f aca="false">IFERROR(IF(AND($N1378="VCA",$AP1378&gt;0),$AP1378-$AI1378-$AQ1378-$AR1378,0),0)</f>
        <v>29.565</v>
      </c>
      <c r="AT1378" s="153" t="n">
        <f aca="false">IFERROR(IF($N1378="VCA",INDEX(APOIO_REDES!$A:$W,MATCH($C1378&amp;$I1378&amp;$H1378&amp;$N1378&amp;$O1378,APOIO_REDES!$W:$W,0),MATCH(AT$5,APOIO_REDES!$5:$5,0)),0)*$AP1378,0)</f>
        <v>0.521829875731381</v>
      </c>
      <c r="AU1378" s="153" t="n">
        <f aca="false">IFERROR(IF($N1378="VCA",INDEX(APOIO_REDES!$A:$W,MATCH($C1378&amp;$I1378&amp;$H1378&amp;$N1378&amp;$O1378,APOIO_REDES!$W:$W,0),MATCH(AU$5,APOIO_REDES!$5:$5,0)),0)*$AP1378,0)</f>
        <v>0.416719205813698</v>
      </c>
      <c r="AV1378" s="153" t="n">
        <f aca="false">IFERROR(IF($N1378="VCA",INDEX(APOIO_REDES!$A:$W,MATCH($C1378&amp;$I1378&amp;$H1378&amp;$N1378&amp;$O1378,APOIO_REDES!$W:$W,0),MATCH(AV$5,APOIO_REDES!$5:$5,0)),0)*$AP1378,0)</f>
        <v>0.057670666710586</v>
      </c>
      <c r="AW1378" s="153" t="n">
        <f aca="false">IFERROR(IF($N1378="VCA",INDEX(APOIO_REDES!$A:$W,MATCH($C1378&amp;$I1378&amp;$H1378&amp;$N1378&amp;$O1378,APOIO_REDES!$W:$W,0),MATCH(AW$5,APOIO_REDES!$5:$5,0)),0)*$AP1378,0)</f>
        <v>32.9208020199622</v>
      </c>
      <c r="AX1378" s="153" t="n">
        <f aca="false">IFERROR(IF($N1378="VCA",INDEX(APOIO_REDES!$A:$W,MATCH($C1378&amp;$I1378&amp;$H1378&amp;$N1378&amp;$O1378,APOIO_REDES!$W:$W,0),MATCH(AX$5,APOIO_REDES!$5:$5,0)),0)*$AP1378,0)</f>
        <v>4.55614522288312</v>
      </c>
      <c r="AY1378" s="153" t="n">
        <f aca="false">IFERROR(IF($N1378="VCA",INDEX(APOIO_REDES!$A:$W,MATCH($C1378&amp;$I1378&amp;$H1378&amp;$N1378&amp;$O1378,APOIO_REDES!$W:$W,0),MATCH(AY$5,APOIO_REDES!$5:$5,0)),0)*$AP1378,0)</f>
        <v>8.33437903650063</v>
      </c>
      <c r="AZ1378" s="153" t="n">
        <f aca="false">IFERROR(IF($N1378="VCA",INDEX(APOIO_REDES!$A:$W,MATCH($C1378&amp;$I1378&amp;$H1378&amp;$N1378&amp;$O1378,APOIO_REDES!$W:$W,0),MATCH(AZ$5,APOIO_REDES!$5:$5,0)),0)*$AP1378,0)</f>
        <v>1.15345397239843</v>
      </c>
      <c r="BA1378" s="153" t="n">
        <f aca="false">IFERROR(IF(AND($N1378="VCA",$Q1378="LINEAR"),INDEX(APOIO_REDES!$A:$W,MATCH($C1378&amp;$I1378&amp;$H1378&amp;$N1378&amp;$O1378,APOIO_REDES!$W:$W,0),MATCH(BA$5,APOIO_REDES!$5:$5,0)),IF(AND($N1378="MND",$Q1378="EMBOQUE"),INDEX(APOIO_REDES!$A:$W,MATCH($C1378&amp;$I1378&amp;$H1378&amp;$N1378&amp;$O1378,APOIO_REDES!$W:$W,0),MATCH(BA$5,APOIO_REDES!$5:$5,0)),0))*$M1378/10,0)</f>
        <v>3.53016951799438</v>
      </c>
      <c r="BB1378" s="153" t="n">
        <f aca="false">IFERROR(IF($N1378="VCA",INDEX(APOIO_REDES!$A:$W,MATCH($C1378&amp;$I1378&amp;$H1378&amp;$N1378&amp;$O1378,APOIO_REDES!$W:$W,0),MATCH(BB$5,APOIO_REDES!$5:$5,0)),0)*($AI1378+$AQ1378+$AR1378),0)</f>
        <v>18.1958460750619</v>
      </c>
      <c r="BC1378" s="153" t="n">
        <f aca="false">IFERROR(IF($N1378="VCA",INDEX(APOIO_REDES!$A:$W,MATCH($C1378&amp;$I1378&amp;$H1378&amp;$N1378&amp;$O1378,APOIO_REDES!$W:$W,0),MATCH(BC$5,APOIO_REDES!$5:$5,0)),0)*($AI1378+$AQ1378+$AR1378),0)</f>
        <v>0.200153924938064</v>
      </c>
      <c r="BD1378" s="153" t="n">
        <f aca="false">IF(AND($N1378="VCA",$AF1378&gt;=1.25,$AF1378&lt;1.5),$M1378*$AF1378*2,0)</f>
        <v>127.896</v>
      </c>
      <c r="BE1378" s="153" t="n">
        <f aca="false">IF(AND($N1378="VCA",$AF1378&gt;=1.5,$AF1378&lt;3),$M1378*$AF1378*2,0)</f>
        <v>0</v>
      </c>
      <c r="BF1378" s="153" t="n">
        <f aca="false">IF(AND($N1378="VCA",$AF1378&gt;=3),$M1378*$AF1378*2,0)</f>
        <v>0</v>
      </c>
      <c r="BG1378" s="153" t="n">
        <f aca="false">($BB1378+$BC1378)*$AK1378</f>
        <v>90.1404</v>
      </c>
      <c r="BH1378" s="153" t="n">
        <f aca="false">IF(AND($M1378&lt;&gt;"",$N1378="VCA",$Q1378="LINEAR"),($M1378*2)/100,IF(AND($M1378&lt;&gt;"",$N1378="MND",$Q1378="EMBOQUE"),($AN1378*2)/100,0))</f>
        <v>0.876</v>
      </c>
      <c r="BI1378" s="153" t="n">
        <f aca="false">IF(AND($M1378&lt;&gt;"",$N1378="VCA",$Q1378="LINEAR"),$M1378,IF(AND($M1378&lt;&gt;"",$N1378="MND",$Q1378="EMBOQUE"),$AN1378*2,0))</f>
        <v>43.8</v>
      </c>
      <c r="BJ1378" s="153" t="n">
        <f aca="false">IF(AND($M1378&lt;&gt;"",$N1378="VCA",$Q1378="LINEAR"),($M1378*6.8)/100,IF(AND($M1378&lt;&gt;"",$N1378="MND",$Q1378="EMBOQUE"),($AN1378*2*6.8)/100,0))</f>
        <v>2.9784</v>
      </c>
      <c r="BK1378" s="153" t="n">
        <f aca="false">IF(AND($M1378&lt;&gt;"",$N1378="VCA",$Q1378="LINEAR"),($M1378*2.5)/50,IF(AND($M1378&lt;&gt;"",$N1378="MND",$Q1378="EMBOQUE"),($AN1378*2*2.5)/50,0))</f>
        <v>2.19</v>
      </c>
      <c r="BL1378" s="157" t="str">
        <f aca="false">K1378&amp;J1378</f>
        <v>Zona11REDES</v>
      </c>
      <c r="BM1378" s="152" t="s">
        <v>6084</v>
      </c>
      <c r="BN1378" s="152" t="s">
        <v>1560</v>
      </c>
      <c r="BO1378" s="152" t="s">
        <v>6516</v>
      </c>
      <c r="BP1378" s="152" t="s">
        <v>6751</v>
      </c>
      <c r="BQ1378" s="152" t="s">
        <v>6724</v>
      </c>
      <c r="BR1378" s="152" t="s">
        <v>6727</v>
      </c>
      <c r="BS1378" s="152" t="n">
        <v>204121.274</v>
      </c>
      <c r="BT1378" s="152" t="n">
        <v>8235925.534</v>
      </c>
      <c r="BU1378" s="152" t="n">
        <v>204110.461</v>
      </c>
      <c r="BV1378" s="152" t="n">
        <v>8235967.975</v>
      </c>
      <c r="BW1378" s="152" t="n">
        <v>-15.938138</v>
      </c>
      <c r="BX1378" s="152" t="n">
        <v>-47.7637244</v>
      </c>
      <c r="BY1378" s="152" t="s">
        <v>6751</v>
      </c>
    </row>
    <row r="1379" customFormat="false" ht="13.8" hidden="false" customHeight="false" outlineLevel="0" collapsed="false">
      <c r="A1379" s="149" t="n">
        <f aca="false">IF(C1379&lt;&gt;"",ROW(A1374),"")</f>
        <v>1374</v>
      </c>
      <c r="B1379" s="150" t="str">
        <f aca="false">HYPERLINK("https://www.google.com/maps/dir/-15.917302,-47.760003/-15.9384671,-47.7624080/data=!4m3!4m2!3e0!5i1")</f>
        <v>https://www.google.com/maps/dir/-15.917302,-47.760003/-15.9384671,-47.7624080/data=!4m3!4m2!3e0!5i1</v>
      </c>
      <c r="C1379" s="151" t="s">
        <v>117</v>
      </c>
      <c r="D1379" s="152" t="s">
        <v>112</v>
      </c>
      <c r="E1379" s="152" t="s">
        <v>113</v>
      </c>
      <c r="F1379" s="152" t="s">
        <v>117</v>
      </c>
      <c r="G1379" s="152" t="s">
        <v>114</v>
      </c>
      <c r="H1379" s="152" t="n">
        <v>160</v>
      </c>
      <c r="I1379" s="152" t="s">
        <v>115</v>
      </c>
      <c r="J1379" s="152" t="s">
        <v>6</v>
      </c>
      <c r="K1379" s="152" t="s">
        <v>6081</v>
      </c>
      <c r="L1379" s="152" t="s">
        <v>120</v>
      </c>
      <c r="M1379" s="153" t="n">
        <f aca="false">220.06+1.5</f>
        <v>221.56</v>
      </c>
      <c r="N1379" s="152" t="s">
        <v>1548</v>
      </c>
      <c r="O1379" s="152" t="s">
        <v>1549</v>
      </c>
      <c r="P1379" s="152" t="s">
        <v>1550</v>
      </c>
      <c r="Q1379" s="152" t="s">
        <v>1551</v>
      </c>
      <c r="R1379" s="154" t="s">
        <v>6754</v>
      </c>
      <c r="S1379" s="154" t="s">
        <v>1593</v>
      </c>
      <c r="T1379" s="155" t="s">
        <v>6514</v>
      </c>
      <c r="U1379" s="152" t="str">
        <f aca="false">RIGHT(T1379,7)</f>
        <v>024/037</v>
      </c>
      <c r="V1379" s="152" t="s">
        <v>1555</v>
      </c>
      <c r="W1379" s="156" t="n">
        <v>45882</v>
      </c>
      <c r="X1379" s="152" t="s">
        <v>3938</v>
      </c>
      <c r="Y1379" s="152" t="s">
        <v>6234</v>
      </c>
      <c r="Z1379" s="152" t="s">
        <v>1557</v>
      </c>
      <c r="AA1379" s="153" t="n">
        <v>4.8</v>
      </c>
      <c r="AB1379" s="151" t="s">
        <v>6755</v>
      </c>
      <c r="AC1379" s="151" t="s">
        <v>505</v>
      </c>
      <c r="AD1379" s="151" t="str">
        <f aca="false">CONCATENATE($C1379,$I1379,$H1379,$N1379,$J1379,$K1379)</f>
        <v>TUBO PEADPEAD160VCAREDESZona11</v>
      </c>
      <c r="AE1379" s="153" t="n">
        <f aca="false">IFERROR(INDEX(APOIO_REDES!$A:$W,MATCH($C1379&amp;$I1379&amp;$H1379&amp;$N1379&amp;$O1379,APOIO_REDES!$W:$W,0),MATCH(AE$5,APOIO_REDES!$5:$5,0)),0)</f>
        <v>1.2</v>
      </c>
      <c r="AF1379" s="153" t="n">
        <f aca="false">IFERROR(INDEX(APOIO_REDES!$A:$W,MATCH($C1379&amp;$I1379&amp;$H1379&amp;$N1379&amp;$O1379,APOIO_REDES!$W:$W,0),MATCH(AF$5,APOIO_REDES!$5:$5,0)),0)</f>
        <v>1.46</v>
      </c>
      <c r="AG1379" s="153" t="n">
        <f aca="false">IFERROR(INDEX(APOIO_REDES!$A:$W,MATCH($C1379&amp;$I1379&amp;$H1379&amp;$N1379&amp;$O1379,APOIO_REDES!$W:$W,0),MATCH(AG$5,APOIO_REDES!$5:$5,0)),0)</f>
        <v>0.75</v>
      </c>
      <c r="AH1379" s="153" t="n">
        <f aca="false">IFERROR(INDEX(APOIO_REDES!$A:$W,MATCH($C1379&amp;$I1379&amp;$H1379&amp;$N1379&amp;$O1379,APOIO_REDES!$W:$W,0),MATCH(AH$5,APOIO_REDES!$5:$5,0)),0)</f>
        <v>0.1</v>
      </c>
      <c r="AI1379" s="153" t="n">
        <f aca="false">IFERROR(IF($H1379&lt;&gt;"",(((($H1379/1000)/2)^2)*PI()*$M1379),0),0)</f>
        <v>4.45472811730787</v>
      </c>
      <c r="AJ1379" s="153" t="n">
        <f aca="false">IFERROR(IF(AND($H1379&lt;&gt;"",$I1379="FoFo",OR($N1379="MND",$N1379="VCA"),$Q1379="LINEAR"),0,IF(AND($H1379&lt;&gt;"",$I1379="PEAD",$N1379="VCA",$Q1379="LINEAR"),($H1379/1000)+0.3,IF(AND($H1379&lt;&gt;"",$I1379="PEAD",$N1379="MND",$Q1379="EMBOQUE"),0,IF(AND($H1379&lt;&gt;"",$I1379="PVC",$N1379="VCA",$Q1379="LINEAR"),($H1379/1000)+0.2,IF(AND($H1379&lt;&gt;"",$I1379="PVC",$N1379="MND",$Q1379="EMBOQUE"),0,IF(AND($H1379&lt;&gt;"",$I1379="PEAD",$N1379="VCA",$Q1379="PREDIAL"),0,0)))))),0)</f>
        <v>0.46</v>
      </c>
      <c r="AK1379" s="153" t="n">
        <f aca="false">IF(AA1379&lt;&gt;"",AA1379,0)</f>
        <v>4.8</v>
      </c>
      <c r="AL1379" s="153" t="n">
        <f aca="false">IF(AND($N1379="MND",$Q1379="EMBOQUE"),$M1379,IF(AND($N1379="VCA",$Q1379="LINEAR"),$M1379,IF(AND($N1379="VCA",$Q1379="PREDIAL"),0,0)))</f>
        <v>221.56</v>
      </c>
      <c r="AM1379" s="153" t="n">
        <f aca="false">IF(AND($N1379="MND",$Q1379="EMBOQUE"),$M1379,IF(AND($N1379="VCA",$Q1379="LINEAR"),$M1379,IF(AND($N1379="VCA",$Q1379="PREDIAL"),0,0)))</f>
        <v>221.56</v>
      </c>
      <c r="AN1379" s="153" t="n">
        <f aca="false">ROUND(IF(AND($N1379="VCA",$M1379&lt;&gt;"",$Q1379="LINEAR"),$M1379/100,IF(AND($N1379="MND",$M1379&gt;100,$Q1379="EMBOQUE"),$M1379/100,0)),0)</f>
        <v>2</v>
      </c>
      <c r="AO1379" s="153" t="n">
        <f aca="false">IF(AND($N1379="MND",$Q1379="EMBOQUE"),$AN1379*2*2,IF(AND($N1379="VCA",$Q1379="LINEAR"),$M1379*2,IF(AND($N1379="VCA",$Q1379="PREDIAL"),0,0)))</f>
        <v>443.12</v>
      </c>
      <c r="AP1379" s="153" t="n">
        <f aca="false">IFERROR($M1379*$AF1379*$AG1379,0)</f>
        <v>242.6082</v>
      </c>
      <c r="AQ1379" s="153" t="n">
        <f aca="false">IFERROR(IF(AND($N1379="VCA",$AH1379&gt;0),$M1379*$AG1379*$AH1379,0),0)</f>
        <v>16.617</v>
      </c>
      <c r="AR1379" s="153" t="n">
        <f aca="false">IFERROR(IF(AND($N1379="VCA",$AJ1379&gt;0),($M1379*$AG1379*$AJ1379)-$AI1379,0),0)</f>
        <v>71.9834718826921</v>
      </c>
      <c r="AS1379" s="153" t="n">
        <f aca="false">IFERROR(IF(AND($N1379="VCA",$AP1379&gt;0),$AP1379-$AI1379-$AQ1379-$AR1379,0),0)</f>
        <v>149.553</v>
      </c>
      <c r="AT1379" s="153" t="n">
        <f aca="false">IFERROR(IF($N1379="VCA",INDEX(APOIO_REDES!$A:$W,MATCH($C1379&amp;$I1379&amp;$H1379&amp;$N1379&amp;$O1379,APOIO_REDES!$W:$W,0),MATCH(AT$5,APOIO_REDES!$5:$5,0)),0)*$AP1379,0)</f>
        <v>2.63964902436175</v>
      </c>
      <c r="AU1379" s="153" t="n">
        <f aca="false">IFERROR(IF($N1379="VCA",INDEX(APOIO_REDES!$A:$W,MATCH($C1379&amp;$I1379&amp;$H1379&amp;$N1379&amp;$O1379,APOIO_REDES!$W:$W,0),MATCH(AU$5,APOIO_REDES!$5:$5,0)),0)*$AP1379,0)</f>
        <v>2.10795222009322</v>
      </c>
      <c r="AV1379" s="153" t="n">
        <f aca="false">IFERROR(IF($N1379="VCA",INDEX(APOIO_REDES!$A:$W,MATCH($C1379&amp;$I1379&amp;$H1379&amp;$N1379&amp;$O1379,APOIO_REDES!$W:$W,0),MATCH(AV$5,APOIO_REDES!$5:$5,0)),0)*$AP1379,0)</f>
        <v>0.291724039187156</v>
      </c>
      <c r="AW1379" s="153" t="n">
        <f aca="false">IFERROR(IF($N1379="VCA",INDEX(APOIO_REDES!$A:$W,MATCH($C1379&amp;$I1379&amp;$H1379&amp;$N1379&amp;$O1379,APOIO_REDES!$W:$W,0),MATCH(AW$5,APOIO_REDES!$5:$5,0)),0)*$AP1379,0)</f>
        <v>166.528148300064</v>
      </c>
      <c r="AX1379" s="153" t="n">
        <f aca="false">IFERROR(IF($N1379="VCA",INDEX(APOIO_REDES!$A:$W,MATCH($C1379&amp;$I1379&amp;$H1379&amp;$N1379&amp;$O1379,APOIO_REDES!$W:$W,0),MATCH(AX$5,APOIO_REDES!$5:$5,0)),0)*$AP1379,0)</f>
        <v>23.0470213603193</v>
      </c>
      <c r="AY1379" s="153" t="n">
        <f aca="false">IFERROR(IF($N1379="VCA",INDEX(APOIO_REDES!$A:$W,MATCH($C1379&amp;$I1379&amp;$H1379&amp;$N1379&amp;$O1379,APOIO_REDES!$W:$W,0),MATCH(AY$5,APOIO_REDES!$5:$5,0)),0)*$AP1379,0)</f>
        <v>42.1590187060977</v>
      </c>
      <c r="AZ1379" s="153" t="n">
        <f aca="false">IFERROR(IF($N1379="VCA",INDEX(APOIO_REDES!$A:$W,MATCH($C1379&amp;$I1379&amp;$H1379&amp;$N1379&amp;$O1379,APOIO_REDES!$W:$W,0),MATCH(AZ$5,APOIO_REDES!$5:$5,0)),0)*$AP1379,0)</f>
        <v>5.8346863498766</v>
      </c>
      <c r="BA1379" s="153" t="n">
        <f aca="false">IFERROR(IF(AND($N1379="VCA",$Q1379="LINEAR"),INDEX(APOIO_REDES!$A:$W,MATCH($C1379&amp;$I1379&amp;$H1379&amp;$N1379&amp;$O1379,APOIO_REDES!$W:$W,0),MATCH(BA$5,APOIO_REDES!$5:$5,0)),IF(AND($N1379="MND",$Q1379="EMBOQUE"),INDEX(APOIO_REDES!$A:$W,MATCH($C1379&amp;$I1379&amp;$H1379&amp;$N1379&amp;$O1379,APOIO_REDES!$W:$W,0),MATCH(BA$5,APOIO_REDES!$5:$5,0)),0))*$M1379/10,0)</f>
        <v>17.8571771325761</v>
      </c>
      <c r="BB1379" s="153" t="n">
        <f aca="false">IFERROR(IF($N1379="VCA",INDEX(APOIO_REDES!$A:$W,MATCH($C1379&amp;$I1379&amp;$H1379&amp;$N1379&amp;$O1379,APOIO_REDES!$W:$W,0),MATCH(BB$5,APOIO_REDES!$5:$5,0)),0)*($AI1379+$AQ1379+$AR1379),0)</f>
        <v>92.0427318810667</v>
      </c>
      <c r="BC1379" s="153" t="n">
        <f aca="false">IFERROR(IF($N1379="VCA",INDEX(APOIO_REDES!$A:$W,MATCH($C1379&amp;$I1379&amp;$H1379&amp;$N1379&amp;$O1379,APOIO_REDES!$W:$W,0),MATCH(BC$5,APOIO_REDES!$5:$5,0)),0)*($AI1379+$AQ1379+$AR1379),0)</f>
        <v>1.01246811893327</v>
      </c>
      <c r="BD1379" s="153" t="n">
        <f aca="false">IF(AND($N1379="VCA",$AF1379&gt;=1.25,$AF1379&lt;1.5),$M1379*$AF1379*2,0)</f>
        <v>646.9552</v>
      </c>
      <c r="BE1379" s="153" t="n">
        <f aca="false">IF(AND($N1379="VCA",$AF1379&gt;=1.5,$AF1379&lt;3),$M1379*$AF1379*2,0)</f>
        <v>0</v>
      </c>
      <c r="BF1379" s="153" t="n">
        <f aca="false">IF(AND($N1379="VCA",$AF1379&gt;=3),$M1379*$AF1379*2,0)</f>
        <v>0</v>
      </c>
      <c r="BG1379" s="153" t="n">
        <f aca="false">($BB1379+$BC1379)*$AK1379</f>
        <v>446.66496</v>
      </c>
      <c r="BH1379" s="153" t="n">
        <f aca="false">IF(AND($M1379&lt;&gt;"",$N1379="VCA",$Q1379="LINEAR"),($M1379*2)/100,IF(AND($M1379&lt;&gt;"",$N1379="MND",$Q1379="EMBOQUE"),($AN1379*2)/100,0))</f>
        <v>4.4312</v>
      </c>
      <c r="BI1379" s="153" t="n">
        <f aca="false">IF(AND($M1379&lt;&gt;"",$N1379="VCA",$Q1379="LINEAR"),$M1379,IF(AND($M1379&lt;&gt;"",$N1379="MND",$Q1379="EMBOQUE"),$AN1379*2,0))</f>
        <v>221.56</v>
      </c>
      <c r="BJ1379" s="153" t="n">
        <f aca="false">IF(AND($M1379&lt;&gt;"",$N1379="VCA",$Q1379="LINEAR"),($M1379*6.8)/100,IF(AND($M1379&lt;&gt;"",$N1379="MND",$Q1379="EMBOQUE"),($AN1379*2*6.8)/100,0))</f>
        <v>15.06608</v>
      </c>
      <c r="BK1379" s="153" t="n">
        <f aca="false">IF(AND($M1379&lt;&gt;"",$N1379="VCA",$Q1379="LINEAR"),($M1379*2.5)/50,IF(AND($M1379&lt;&gt;"",$N1379="MND",$Q1379="EMBOQUE"),($AN1379*2*2.5)/50,0))</f>
        <v>11.078</v>
      </c>
      <c r="BL1379" s="157" t="str">
        <f aca="false">K1379&amp;J1379</f>
        <v>Zona11REDES</v>
      </c>
      <c r="BM1379" s="152" t="s">
        <v>6084</v>
      </c>
      <c r="BN1379" s="152" t="s">
        <v>1560</v>
      </c>
      <c r="BO1379" s="152" t="s">
        <v>6516</v>
      </c>
      <c r="BP1379" s="152" t="s">
        <v>6756</v>
      </c>
      <c r="BQ1379" s="152" t="s">
        <v>6757</v>
      </c>
      <c r="BR1379" s="152" t="s">
        <v>6727</v>
      </c>
      <c r="BS1379" s="152" t="n">
        <v>204258.84</v>
      </c>
      <c r="BT1379" s="152" t="n">
        <v>8235912.521</v>
      </c>
      <c r="BU1379" s="152" t="n">
        <v>204471.145</v>
      </c>
      <c r="BV1379" s="152" t="n">
        <v>8235970.071</v>
      </c>
      <c r="BW1379" s="152" t="n">
        <v>-15.9382102</v>
      </c>
      <c r="BX1379" s="152" t="n">
        <v>-47.7614019</v>
      </c>
      <c r="BY1379" s="152" t="s">
        <v>6756</v>
      </c>
    </row>
    <row r="1380" customFormat="false" ht="13.8" hidden="false" customHeight="false" outlineLevel="0" collapsed="false">
      <c r="A1380" s="149" t="n">
        <f aca="false">IF(C1380&lt;&gt;"",ROW(A1375),"")</f>
        <v>1375</v>
      </c>
      <c r="B1380" s="150" t="str">
        <f aca="false">HYPERLINK("https://www.google.com/maps/dir/-15.917302,-47.760003/-15.9384510,-47.7623973/data=!4m3!4m2!3e0!5i1")</f>
        <v>https://www.google.com/maps/dir/-15.917302,-47.760003/-15.9384510,-47.7623973/data=!4m3!4m2!3e0!5i1</v>
      </c>
      <c r="C1380" s="151" t="s">
        <v>117</v>
      </c>
      <c r="D1380" s="152" t="s">
        <v>112</v>
      </c>
      <c r="E1380" s="152" t="s">
        <v>113</v>
      </c>
      <c r="F1380" s="152" t="s">
        <v>117</v>
      </c>
      <c r="G1380" s="152" t="s">
        <v>114</v>
      </c>
      <c r="H1380" s="152" t="n">
        <v>160</v>
      </c>
      <c r="I1380" s="152" t="s">
        <v>115</v>
      </c>
      <c r="J1380" s="152" t="s">
        <v>6</v>
      </c>
      <c r="K1380" s="152" t="s">
        <v>6081</v>
      </c>
      <c r="L1380" s="152" t="s">
        <v>120</v>
      </c>
      <c r="M1380" s="153" t="n">
        <f aca="false">191.48+1.14</f>
        <v>192.62</v>
      </c>
      <c r="N1380" s="152" t="s">
        <v>1548</v>
      </c>
      <c r="O1380" s="152" t="s">
        <v>1549</v>
      </c>
      <c r="P1380" s="152" t="s">
        <v>1550</v>
      </c>
      <c r="Q1380" s="152" t="s">
        <v>1551</v>
      </c>
      <c r="R1380" s="154" t="s">
        <v>6758</v>
      </c>
      <c r="S1380" s="154" t="s">
        <v>1593</v>
      </c>
      <c r="T1380" s="155" t="s">
        <v>6514</v>
      </c>
      <c r="U1380" s="152" t="str">
        <f aca="false">RIGHT(T1380,7)</f>
        <v>024/037</v>
      </c>
      <c r="V1380" s="152" t="s">
        <v>1555</v>
      </c>
      <c r="W1380" s="156" t="n">
        <v>45882</v>
      </c>
      <c r="X1380" s="152" t="s">
        <v>3938</v>
      </c>
      <c r="Y1380" s="152" t="s">
        <v>6234</v>
      </c>
      <c r="Z1380" s="152" t="s">
        <v>1557</v>
      </c>
      <c r="AA1380" s="153" t="n">
        <v>4.8</v>
      </c>
      <c r="AB1380" s="151" t="s">
        <v>6759</v>
      </c>
      <c r="AC1380" s="151" t="s">
        <v>505</v>
      </c>
      <c r="AD1380" s="151" t="str">
        <f aca="false">CONCATENATE($C1380,$I1380,$H1380,$N1380,$J1380,$K1380)</f>
        <v>TUBO PEADPEAD160VCAREDESZona11</v>
      </c>
      <c r="AE1380" s="153" t="n">
        <f aca="false">IFERROR(INDEX(APOIO_REDES!$A:$W,MATCH($C1380&amp;$I1380&amp;$H1380&amp;$N1380&amp;$O1380,APOIO_REDES!$W:$W,0),MATCH(AE$5,APOIO_REDES!$5:$5,0)),0)</f>
        <v>1.2</v>
      </c>
      <c r="AF1380" s="153" t="n">
        <f aca="false">IFERROR(INDEX(APOIO_REDES!$A:$W,MATCH($C1380&amp;$I1380&amp;$H1380&amp;$N1380&amp;$O1380,APOIO_REDES!$W:$W,0),MATCH(AF$5,APOIO_REDES!$5:$5,0)),0)</f>
        <v>1.46</v>
      </c>
      <c r="AG1380" s="153" t="n">
        <f aca="false">IFERROR(INDEX(APOIO_REDES!$A:$W,MATCH($C1380&amp;$I1380&amp;$H1380&amp;$N1380&amp;$O1380,APOIO_REDES!$W:$W,0),MATCH(AG$5,APOIO_REDES!$5:$5,0)),0)</f>
        <v>0.75</v>
      </c>
      <c r="AH1380" s="153" t="n">
        <f aca="false">IFERROR(INDEX(APOIO_REDES!$A:$W,MATCH($C1380&amp;$I1380&amp;$H1380&amp;$N1380&amp;$O1380,APOIO_REDES!$W:$W,0),MATCH(AH$5,APOIO_REDES!$5:$5,0)),0)</f>
        <v>0.1</v>
      </c>
      <c r="AI1380" s="153" t="n">
        <f aca="false">IFERROR(IF($H1380&lt;&gt;"",(((($H1380/1000)/2)^2)*PI()*$M1380),0),0)</f>
        <v>3.87285489238058</v>
      </c>
      <c r="AJ1380" s="153" t="n">
        <f aca="false">IFERROR(IF(AND($H1380&lt;&gt;"",$I1380="FoFo",OR($N1380="MND",$N1380="VCA"),$Q1380="LINEAR"),0,IF(AND($H1380&lt;&gt;"",$I1380="PEAD",$N1380="VCA",$Q1380="LINEAR"),($H1380/1000)+0.3,IF(AND($H1380&lt;&gt;"",$I1380="PEAD",$N1380="MND",$Q1380="EMBOQUE"),0,IF(AND($H1380&lt;&gt;"",$I1380="PVC",$N1380="VCA",$Q1380="LINEAR"),($H1380/1000)+0.2,IF(AND($H1380&lt;&gt;"",$I1380="PVC",$N1380="MND",$Q1380="EMBOQUE"),0,IF(AND($H1380&lt;&gt;"",$I1380="PEAD",$N1380="VCA",$Q1380="PREDIAL"),0,0)))))),0)</f>
        <v>0.46</v>
      </c>
      <c r="AK1380" s="153" t="n">
        <f aca="false">IF(AA1380&lt;&gt;"",AA1380,0)</f>
        <v>4.8</v>
      </c>
      <c r="AL1380" s="153" t="n">
        <f aca="false">IF(AND($N1380="MND",$Q1380="EMBOQUE"),$M1380,IF(AND($N1380="VCA",$Q1380="LINEAR"),$M1380,IF(AND($N1380="VCA",$Q1380="PREDIAL"),0,0)))</f>
        <v>192.62</v>
      </c>
      <c r="AM1380" s="153" t="n">
        <f aca="false">IF(AND($N1380="MND",$Q1380="EMBOQUE"),$M1380,IF(AND($N1380="VCA",$Q1380="LINEAR"),$M1380,IF(AND($N1380="VCA",$Q1380="PREDIAL"),0,0)))</f>
        <v>192.62</v>
      </c>
      <c r="AN1380" s="153" t="n">
        <f aca="false">ROUND(IF(AND($N1380="VCA",$M1380&lt;&gt;"",$Q1380="LINEAR"),$M1380/100,IF(AND($N1380="MND",$M1380&gt;100,$Q1380="EMBOQUE"),$M1380/100,0)),0)</f>
        <v>2</v>
      </c>
      <c r="AO1380" s="153" t="n">
        <f aca="false">IF(AND($N1380="MND",$Q1380="EMBOQUE"),$AN1380*2*2,IF(AND($N1380="VCA",$Q1380="LINEAR"),$M1380*2,IF(AND($N1380="VCA",$Q1380="PREDIAL"),0,0)))</f>
        <v>385.24</v>
      </c>
      <c r="AP1380" s="153" t="n">
        <f aca="false">IFERROR($M1380*$AF1380*$AG1380,0)</f>
        <v>210.9189</v>
      </c>
      <c r="AQ1380" s="153" t="n">
        <f aca="false">IFERROR(IF(AND($N1380="VCA",$AH1380&gt;0),$M1380*$AG1380*$AH1380,0),0)</f>
        <v>14.4465</v>
      </c>
      <c r="AR1380" s="153" t="n">
        <f aca="false">IFERROR(IF(AND($N1380="VCA",$AJ1380&gt;0),($M1380*$AG1380*$AJ1380)-$AI1380,0),0)</f>
        <v>62.5810451076194</v>
      </c>
      <c r="AS1380" s="153" t="n">
        <f aca="false">IFERROR(IF(AND($N1380="VCA",$AP1380&gt;0),$AP1380-$AI1380-$AQ1380-$AR1380,0),0)</f>
        <v>130.0185</v>
      </c>
      <c r="AT1380" s="153" t="n">
        <f aca="false">IFERROR(IF($N1380="VCA",INDEX(APOIO_REDES!$A:$W,MATCH($C1380&amp;$I1380&amp;$H1380&amp;$N1380&amp;$O1380,APOIO_REDES!$W:$W,0),MATCH(AT$5,APOIO_REDES!$5:$5,0)),0)*$AP1380,0)</f>
        <v>2.29486006080773</v>
      </c>
      <c r="AU1380" s="153" t="n">
        <f aca="false">IFERROR(IF($N1380="VCA",INDEX(APOIO_REDES!$A:$W,MATCH($C1380&amp;$I1380&amp;$H1380&amp;$N1380&amp;$O1380,APOIO_REDES!$W:$W,0),MATCH(AU$5,APOIO_REDES!$5:$5,0)),0)*$AP1380,0)</f>
        <v>1.83261309186837</v>
      </c>
      <c r="AV1380" s="153" t="n">
        <f aca="false">IFERROR(IF($N1380="VCA",INDEX(APOIO_REDES!$A:$W,MATCH($C1380&amp;$I1380&amp;$H1380&amp;$N1380&amp;$O1380,APOIO_REDES!$W:$W,0),MATCH(AV$5,APOIO_REDES!$5:$5,0)),0)*$AP1380,0)</f>
        <v>0.253619265337741</v>
      </c>
      <c r="AW1380" s="153" t="n">
        <f aca="false">IFERROR(IF($N1380="VCA",INDEX(APOIO_REDES!$A:$W,MATCH($C1380&amp;$I1380&amp;$H1380&amp;$N1380&amp;$O1380,APOIO_REDES!$W:$W,0),MATCH(AW$5,APOIO_REDES!$5:$5,0)),0)*$AP1380,0)</f>
        <v>144.776367239386</v>
      </c>
      <c r="AX1380" s="153" t="n">
        <f aca="false">IFERROR(IF($N1380="VCA",INDEX(APOIO_REDES!$A:$W,MATCH($C1380&amp;$I1380&amp;$H1380&amp;$N1380&amp;$O1380,APOIO_REDES!$W:$W,0),MATCH(AX$5,APOIO_REDES!$5:$5,0)),0)*$AP1380,0)</f>
        <v>20.0366368226426</v>
      </c>
      <c r="AY1380" s="153" t="n">
        <f aca="false">IFERROR(IF($N1380="VCA",INDEX(APOIO_REDES!$A:$W,MATCH($C1380&amp;$I1380&amp;$H1380&amp;$N1380&amp;$O1380,APOIO_REDES!$W:$W,0),MATCH(AY$5,APOIO_REDES!$5:$5,0)),0)*$AP1380,0)</f>
        <v>36.6522394979624</v>
      </c>
      <c r="AZ1380" s="153" t="n">
        <f aca="false">IFERROR(IF($N1380="VCA",INDEX(APOIO_REDES!$A:$W,MATCH($C1380&amp;$I1380&amp;$H1380&amp;$N1380&amp;$O1380,APOIO_REDES!$W:$W,0),MATCH(AZ$5,APOIO_REDES!$5:$5,0)),0)*$AP1380,0)</f>
        <v>5.07256402199509</v>
      </c>
      <c r="BA1380" s="153" t="n">
        <f aca="false">IFERROR(IF(AND($N1380="VCA",$Q1380="LINEAR"),INDEX(APOIO_REDES!$A:$W,MATCH($C1380&amp;$I1380&amp;$H1380&amp;$N1380&amp;$O1380,APOIO_REDES!$W:$W,0),MATCH(BA$5,APOIO_REDES!$5:$5,0)),IF(AND($N1380="MND",$Q1380="EMBOQUE"),INDEX(APOIO_REDES!$A:$W,MATCH($C1380&amp;$I1380&amp;$H1380&amp;$N1380&amp;$O1380,APOIO_REDES!$W:$W,0),MATCH(BA$5,APOIO_REDES!$5:$5,0)),0))*$M1380/10,0)</f>
        <v>15.5246861314173</v>
      </c>
      <c r="BB1380" s="153" t="n">
        <f aca="false">IFERROR(IF($N1380="VCA",INDEX(APOIO_REDES!$A:$W,MATCH($C1380&amp;$I1380&amp;$H1380&amp;$N1380&amp;$O1380,APOIO_REDES!$W:$W,0),MATCH(BB$5,APOIO_REDES!$5:$5,0)),0)*($AI1380+$AQ1380+$AR1380),0)</f>
        <v>80.0201797027039</v>
      </c>
      <c r="BC1380" s="153" t="n">
        <f aca="false">IFERROR(IF($N1380="VCA",INDEX(APOIO_REDES!$A:$W,MATCH($C1380&amp;$I1380&amp;$H1380&amp;$N1380&amp;$O1380,APOIO_REDES!$W:$W,0),MATCH(BC$5,APOIO_REDES!$5:$5,0)),0)*($AI1380+$AQ1380+$AR1380),0)</f>
        <v>0.880220297296115</v>
      </c>
      <c r="BD1380" s="153" t="n">
        <f aca="false">IF(AND($N1380="VCA",$AF1380&gt;=1.25,$AF1380&lt;1.5),$M1380*$AF1380*2,0)</f>
        <v>562.4504</v>
      </c>
      <c r="BE1380" s="153" t="n">
        <f aca="false">IF(AND($N1380="VCA",$AF1380&gt;=1.5,$AF1380&lt;3),$M1380*$AF1380*2,0)</f>
        <v>0</v>
      </c>
      <c r="BF1380" s="153" t="n">
        <f aca="false">IF(AND($N1380="VCA",$AF1380&gt;=3),$M1380*$AF1380*2,0)</f>
        <v>0</v>
      </c>
      <c r="BG1380" s="153" t="n">
        <f aca="false">($BB1380+$BC1380)*$AK1380</f>
        <v>388.32192</v>
      </c>
      <c r="BH1380" s="153" t="n">
        <f aca="false">IF(AND($M1380&lt;&gt;"",$N1380="VCA",$Q1380="LINEAR"),($M1380*2)/100,IF(AND($M1380&lt;&gt;"",$N1380="MND",$Q1380="EMBOQUE"),($AN1380*2)/100,0))</f>
        <v>3.8524</v>
      </c>
      <c r="BI1380" s="153" t="n">
        <f aca="false">IF(AND($M1380&lt;&gt;"",$N1380="VCA",$Q1380="LINEAR"),$M1380,IF(AND($M1380&lt;&gt;"",$N1380="MND",$Q1380="EMBOQUE"),$AN1380*2,0))</f>
        <v>192.62</v>
      </c>
      <c r="BJ1380" s="153" t="n">
        <f aca="false">IF(AND($M1380&lt;&gt;"",$N1380="VCA",$Q1380="LINEAR"),($M1380*6.8)/100,IF(AND($M1380&lt;&gt;"",$N1380="MND",$Q1380="EMBOQUE"),($AN1380*2*6.8)/100,0))</f>
        <v>13.09816</v>
      </c>
      <c r="BK1380" s="153" t="n">
        <f aca="false">IF(AND($M1380&lt;&gt;"",$N1380="VCA",$Q1380="LINEAR"),($M1380*2.5)/50,IF(AND($M1380&lt;&gt;"",$N1380="MND",$Q1380="EMBOQUE"),($AN1380*2*2.5)/50,0))</f>
        <v>9.631</v>
      </c>
      <c r="BL1380" s="157" t="str">
        <f aca="false">K1380&amp;J1380</f>
        <v>Zona11REDES</v>
      </c>
      <c r="BM1380" s="152" t="s">
        <v>6084</v>
      </c>
      <c r="BN1380" s="152" t="s">
        <v>1560</v>
      </c>
      <c r="BO1380" s="152" t="s">
        <v>6516</v>
      </c>
      <c r="BP1380" s="152" t="s">
        <v>6760</v>
      </c>
      <c r="BQ1380" s="152" t="s">
        <v>6720</v>
      </c>
      <c r="BR1380" s="152" t="s">
        <v>6761</v>
      </c>
      <c r="BS1380" s="152" t="n">
        <v>204258.501</v>
      </c>
      <c r="BT1380" s="152" t="n">
        <v>8235913.983</v>
      </c>
      <c r="BU1380" s="152" t="n">
        <v>204443.13</v>
      </c>
      <c r="BV1380" s="152" t="n">
        <v>8235964.415</v>
      </c>
      <c r="BW1380" s="152" t="n">
        <v>-15.9382351</v>
      </c>
      <c r="BX1380" s="152" t="n">
        <v>-47.7615323</v>
      </c>
      <c r="BY1380" s="152" t="s">
        <v>6760</v>
      </c>
    </row>
    <row r="1381" customFormat="false" ht="13.8" hidden="false" customHeight="false" outlineLevel="0" collapsed="false">
      <c r="A1381" s="149" t="n">
        <f aca="false">IF(C1381&lt;&gt;"",ROW(A1376),"")</f>
        <v>1376</v>
      </c>
      <c r="B1381" s="150" t="str">
        <f aca="false">HYPERLINK("https://www.google.com/maps/dir/-15.917302,-47.760003/-15.9381140,-47.7624739/data=!4m3!4m2!3e0!5i1")</f>
        <v>https://www.google.com/maps/dir/-15.917302,-47.760003/-15.9381140,-47.7624739/data=!4m3!4m2!3e0!5i1</v>
      </c>
      <c r="C1381" s="151" t="s">
        <v>117</v>
      </c>
      <c r="D1381" s="152" t="s">
        <v>112</v>
      </c>
      <c r="E1381" s="152" t="s">
        <v>113</v>
      </c>
      <c r="F1381" s="152" t="s">
        <v>117</v>
      </c>
      <c r="G1381" s="152" t="s">
        <v>782</v>
      </c>
      <c r="H1381" s="152" t="n">
        <v>90</v>
      </c>
      <c r="I1381" s="152" t="s">
        <v>115</v>
      </c>
      <c r="J1381" s="152" t="s">
        <v>6</v>
      </c>
      <c r="K1381" s="152" t="s">
        <v>6081</v>
      </c>
      <c r="L1381" s="152" t="s">
        <v>120</v>
      </c>
      <c r="M1381" s="153" t="n">
        <f aca="false">25</f>
        <v>25</v>
      </c>
      <c r="N1381" s="152" t="s">
        <v>1548</v>
      </c>
      <c r="O1381" s="152" t="s">
        <v>1549</v>
      </c>
      <c r="P1381" s="152" t="s">
        <v>1550</v>
      </c>
      <c r="Q1381" s="152" t="s">
        <v>1551</v>
      </c>
      <c r="R1381" s="154" t="s">
        <v>6762</v>
      </c>
      <c r="S1381" s="154" t="s">
        <v>1593</v>
      </c>
      <c r="T1381" s="155" t="s">
        <v>6514</v>
      </c>
      <c r="U1381" s="152" t="str">
        <f aca="false">RIGHT(T1381,7)</f>
        <v>024/037</v>
      </c>
      <c r="V1381" s="152" t="s">
        <v>1555</v>
      </c>
      <c r="W1381" s="156" t="n">
        <v>45882</v>
      </c>
      <c r="X1381" s="152" t="s">
        <v>3938</v>
      </c>
      <c r="Y1381" s="152" t="s">
        <v>6234</v>
      </c>
      <c r="Z1381" s="152" t="s">
        <v>1557</v>
      </c>
      <c r="AA1381" s="153" t="n">
        <v>4.8</v>
      </c>
      <c r="AB1381" s="151" t="s">
        <v>6763</v>
      </c>
      <c r="AC1381" s="151" t="s">
        <v>526</v>
      </c>
      <c r="AD1381" s="151" t="str">
        <f aca="false">CONCATENATE($C1381,$I1381,$H1381,$N1381,$J1381,$K1381)</f>
        <v>TUBO PEADPEAD90VCAREDESZona11</v>
      </c>
      <c r="AE1381" s="153" t="n">
        <f aca="false">IFERROR(INDEX(APOIO_REDES!$A:$W,MATCH($C1381&amp;$I1381&amp;$H1381&amp;$N1381&amp;$O1381,APOIO_REDES!$W:$W,0),MATCH(AE$5,APOIO_REDES!$5:$5,0)),0)</f>
        <v>1.2</v>
      </c>
      <c r="AF1381" s="153" t="n">
        <f aca="false">IFERROR(INDEX(APOIO_REDES!$A:$W,MATCH($C1381&amp;$I1381&amp;$H1381&amp;$N1381&amp;$O1381,APOIO_REDES!$W:$W,0),MATCH(AF$5,APOIO_REDES!$5:$5,0)),0)</f>
        <v>1.39</v>
      </c>
      <c r="AG1381" s="153" t="n">
        <f aca="false">IFERROR(INDEX(APOIO_REDES!$A:$W,MATCH($C1381&amp;$I1381&amp;$H1381&amp;$N1381&amp;$O1381,APOIO_REDES!$W:$W,0),MATCH(AG$5,APOIO_REDES!$5:$5,0)),0)</f>
        <v>0.75</v>
      </c>
      <c r="AH1381" s="153" t="n">
        <f aca="false">IFERROR(INDEX(APOIO_REDES!$A:$W,MATCH($C1381&amp;$I1381&amp;$H1381&amp;$N1381&amp;$O1381,APOIO_REDES!$W:$W,0),MATCH(AH$5,APOIO_REDES!$5:$5,0)),0)</f>
        <v>0.1</v>
      </c>
      <c r="AI1381" s="153" t="n">
        <f aca="false">IFERROR(IF($H1381&lt;&gt;"",(((($H1381/1000)/2)^2)*PI()*$M1381),0),0)</f>
        <v>0.159043128087983</v>
      </c>
      <c r="AJ1381" s="153" t="n">
        <f aca="false">IFERROR(IF(AND($H1381&lt;&gt;"",$I1381="FoFo",OR($N1381="MND",$N1381="VCA"),$Q1381="LINEAR"),0,IF(AND($H1381&lt;&gt;"",$I1381="PEAD",$N1381="VCA",$Q1381="LINEAR"),($H1381/1000)+0.3,IF(AND($H1381&lt;&gt;"",$I1381="PEAD",$N1381="MND",$Q1381="EMBOQUE"),0,IF(AND($H1381&lt;&gt;"",$I1381="PVC",$N1381="VCA",$Q1381="LINEAR"),($H1381/1000)+0.2,IF(AND($H1381&lt;&gt;"",$I1381="PVC",$N1381="MND",$Q1381="EMBOQUE"),0,IF(AND($H1381&lt;&gt;"",$I1381="PEAD",$N1381="VCA",$Q1381="PREDIAL"),0,0)))))),0)</f>
        <v>0.39</v>
      </c>
      <c r="AK1381" s="153" t="n">
        <f aca="false">IF(AA1381&lt;&gt;"",AA1381,0)</f>
        <v>4.8</v>
      </c>
      <c r="AL1381" s="153" t="n">
        <f aca="false">IF(AND($N1381="MND",$Q1381="EMBOQUE"),$M1381,IF(AND($N1381="VCA",$Q1381="LINEAR"),$M1381,IF(AND($N1381="VCA",$Q1381="PREDIAL"),0,0)))</f>
        <v>25</v>
      </c>
      <c r="AM1381" s="153" t="n">
        <f aca="false">IF(AND($N1381="MND",$Q1381="EMBOQUE"),$M1381,IF(AND($N1381="VCA",$Q1381="LINEAR"),$M1381,IF(AND($N1381="VCA",$Q1381="PREDIAL"),0,0)))</f>
        <v>25</v>
      </c>
      <c r="AN1381" s="153" t="n">
        <f aca="false">ROUND(IF(AND($N1381="VCA",$M1381&lt;&gt;"",$Q1381="LINEAR"),$M1381/100,IF(AND($N1381="MND",$M1381&gt;100,$Q1381="EMBOQUE"),$M1381/100,0)),0)</f>
        <v>0</v>
      </c>
      <c r="AO1381" s="153" t="n">
        <f aca="false">IF(AND($N1381="MND",$Q1381="EMBOQUE"),$AN1381*2*2,IF(AND($N1381="VCA",$Q1381="LINEAR"),$M1381*2,IF(AND($N1381="VCA",$Q1381="PREDIAL"),0,0)))</f>
        <v>50</v>
      </c>
      <c r="AP1381" s="153" t="n">
        <f aca="false">IFERROR($M1381*$AF1381*$AG1381,0)</f>
        <v>26.0625</v>
      </c>
      <c r="AQ1381" s="153" t="n">
        <f aca="false">IFERROR(IF(AND($N1381="VCA",$AH1381&gt;0),$M1381*$AG1381*$AH1381,0),0)</f>
        <v>1.875</v>
      </c>
      <c r="AR1381" s="153" t="n">
        <f aca="false">IFERROR(IF(AND($N1381="VCA",$AJ1381&gt;0),($M1381*$AG1381*$AJ1381)-$AI1381,0),0)</f>
        <v>7.15345687191202</v>
      </c>
      <c r="AS1381" s="153" t="n">
        <f aca="false">IFERROR(IF(AND($N1381="VCA",$AP1381&gt;0),$AP1381-$AI1381-$AQ1381-$AR1381,0),0)</f>
        <v>16.875</v>
      </c>
      <c r="AT1381" s="153" t="n">
        <f aca="false">IFERROR(IF($N1381="VCA",INDEX(APOIO_REDES!$A:$W,MATCH($C1381&amp;$I1381&amp;$H1381&amp;$N1381&amp;$O1381,APOIO_REDES!$W:$W,0),MATCH(AT$5,APOIO_REDES!$5:$5,0)),0)*$AP1381,0)</f>
        <v>0.283567714106234</v>
      </c>
      <c r="AU1381" s="153" t="n">
        <f aca="false">IFERROR(IF($N1381="VCA",INDEX(APOIO_REDES!$A:$W,MATCH($C1381&amp;$I1381&amp;$H1381&amp;$N1381&amp;$O1381,APOIO_REDES!$W:$W,0),MATCH(AU$5,APOIO_REDES!$5:$5,0)),0)*$AP1381,0)</f>
        <v>0.226449496497561</v>
      </c>
      <c r="AV1381" s="153" t="n">
        <f aca="false">IFERROR(IF($N1381="VCA",INDEX(APOIO_REDES!$A:$W,MATCH($C1381&amp;$I1381&amp;$H1381&amp;$N1381&amp;$O1381,APOIO_REDES!$W:$W,0),MATCH(AV$5,APOIO_REDES!$5:$5,0)),0)*$AP1381,0)</f>
        <v>0.0313388326170148</v>
      </c>
      <c r="AW1381" s="153" t="n">
        <f aca="false">IFERROR(IF($N1381="VCA",INDEX(APOIO_REDES!$A:$W,MATCH($C1381&amp;$I1381&amp;$H1381&amp;$N1381&amp;$O1381,APOIO_REDES!$W:$W,0),MATCH(AW$5,APOIO_REDES!$5:$5,0)),0)*$AP1381,0)</f>
        <v>17.8895019421043</v>
      </c>
      <c r="AX1381" s="153" t="n">
        <f aca="false">IFERROR(IF($N1381="VCA",INDEX(APOIO_REDES!$A:$W,MATCH($C1381&amp;$I1381&amp;$H1381&amp;$N1381&amp;$O1381,APOIO_REDES!$W:$W,0),MATCH(AX$5,APOIO_REDES!$5:$5,0)),0)*$AP1381,0)</f>
        <v>2.47585610957635</v>
      </c>
      <c r="AY1381" s="153" t="n">
        <f aca="false">IFERROR(IF($N1381="VCA",INDEX(APOIO_REDES!$A:$W,MATCH($C1381&amp;$I1381&amp;$H1381&amp;$N1381&amp;$O1381,APOIO_REDES!$W:$W,0),MATCH(AY$5,APOIO_REDES!$5:$5,0)),0)*$AP1381,0)</f>
        <v>4.52898716955021</v>
      </c>
      <c r="AZ1381" s="153" t="n">
        <f aca="false">IFERROR(IF($N1381="VCA",INDEX(APOIO_REDES!$A:$W,MATCH($C1381&amp;$I1381&amp;$H1381&amp;$N1381&amp;$O1381,APOIO_REDES!$W:$W,0),MATCH(AZ$5,APOIO_REDES!$5:$5,0)),0)*$AP1381,0)</f>
        <v>0.626798735548341</v>
      </c>
      <c r="BA1381" s="153" t="n">
        <f aca="false">IFERROR(IF(AND($N1381="VCA",$Q1381="LINEAR"),INDEX(APOIO_REDES!$A:$W,MATCH($C1381&amp;$I1381&amp;$H1381&amp;$N1381&amp;$O1381,APOIO_REDES!$W:$W,0),MATCH(BA$5,APOIO_REDES!$5:$5,0)),IF(AND($N1381="MND",$Q1381="EMBOQUE"),INDEX(APOIO_REDES!$A:$W,MATCH($C1381&amp;$I1381&amp;$H1381&amp;$N1381&amp;$O1381,APOIO_REDES!$W:$W,0),MATCH(BA$5,APOIO_REDES!$5:$5,0)),0))*$M1381/10,0)</f>
        <v>2.01493693949451</v>
      </c>
      <c r="BB1381" s="153" t="n">
        <f aca="false">IFERROR(IF($N1381="VCA",INDEX(APOIO_REDES!$A:$W,MATCH($C1381&amp;$I1381&amp;$H1381&amp;$N1381&amp;$O1381,APOIO_REDES!$W:$W,0),MATCH(BB$5,APOIO_REDES!$5:$5,0)),0)*($AI1381+$AQ1381+$AR1381),0)</f>
        <v>9.08753728063881</v>
      </c>
      <c r="BC1381" s="153" t="n">
        <f aca="false">IFERROR(IF($N1381="VCA",INDEX(APOIO_REDES!$A:$W,MATCH($C1381&amp;$I1381&amp;$H1381&amp;$N1381&amp;$O1381,APOIO_REDES!$W:$W,0),MATCH(BC$5,APOIO_REDES!$5:$5,0)),0)*($AI1381+$AQ1381+$AR1381),0)</f>
        <v>0.0999627193611905</v>
      </c>
      <c r="BD1381" s="153" t="n">
        <f aca="false">IF(AND($N1381="VCA",$AF1381&gt;=1.25,$AF1381&lt;1.5),$M1381*$AF1381*2,0)</f>
        <v>69.5</v>
      </c>
      <c r="BE1381" s="153" t="n">
        <f aca="false">IF(AND($N1381="VCA",$AF1381&gt;=1.5,$AF1381&lt;3),$M1381*$AF1381*2,0)</f>
        <v>0</v>
      </c>
      <c r="BF1381" s="153" t="n">
        <f aca="false">IF(AND($N1381="VCA",$AF1381&gt;=3),$M1381*$AF1381*2,0)</f>
        <v>0</v>
      </c>
      <c r="BG1381" s="153" t="n">
        <f aca="false">($BB1381+$BC1381)*$AK1381</f>
        <v>44.1</v>
      </c>
      <c r="BH1381" s="153" t="n">
        <f aca="false">IF(AND($M1381&lt;&gt;"",$N1381="VCA",$Q1381="LINEAR"),($M1381*2)/100,IF(AND($M1381&lt;&gt;"",$N1381="MND",$Q1381="EMBOQUE"),($AN1381*2)/100,0))</f>
        <v>0.5</v>
      </c>
      <c r="BI1381" s="153" t="n">
        <f aca="false">IF(AND($M1381&lt;&gt;"",$N1381="VCA",$Q1381="LINEAR"),$M1381,IF(AND($M1381&lt;&gt;"",$N1381="MND",$Q1381="EMBOQUE"),$AN1381*2,0))</f>
        <v>25</v>
      </c>
      <c r="BJ1381" s="153" t="n">
        <f aca="false">IF(AND($M1381&lt;&gt;"",$N1381="VCA",$Q1381="LINEAR"),($M1381*6.8)/100,IF(AND($M1381&lt;&gt;"",$N1381="MND",$Q1381="EMBOQUE"),($AN1381*2*6.8)/100,0))</f>
        <v>1.7</v>
      </c>
      <c r="BK1381" s="153" t="n">
        <f aca="false">IF(AND($M1381&lt;&gt;"",$N1381="VCA",$Q1381="LINEAR"),($M1381*2.5)/50,IF(AND($M1381&lt;&gt;"",$N1381="MND",$Q1381="EMBOQUE"),($AN1381*2*2.5)/50,0))</f>
        <v>1.25</v>
      </c>
      <c r="BL1381" s="157" t="str">
        <f aca="false">K1381&amp;J1381</f>
        <v>Zona11REDES</v>
      </c>
      <c r="BM1381" s="152" t="s">
        <v>6084</v>
      </c>
      <c r="BN1381" s="152" t="s">
        <v>1560</v>
      </c>
      <c r="BO1381" s="152" t="s">
        <v>6516</v>
      </c>
      <c r="BP1381" s="152" t="s">
        <v>6733</v>
      </c>
      <c r="BQ1381" s="152" t="s">
        <v>6764</v>
      </c>
      <c r="BR1381" s="152" t="s">
        <v>6765</v>
      </c>
      <c r="BS1381" s="152" t="n">
        <v>204249.01</v>
      </c>
      <c r="BT1381" s="152" t="n">
        <v>8235951.051</v>
      </c>
      <c r="BU1381" s="152" t="n">
        <v>204254.843</v>
      </c>
      <c r="BV1381" s="152" t="n">
        <v>8235926.743</v>
      </c>
      <c r="BW1381" s="152" t="n">
        <v>-15.9382255</v>
      </c>
      <c r="BX1381" s="152" t="n">
        <v>-47.7624566</v>
      </c>
      <c r="BY1381" s="152" t="s">
        <v>6733</v>
      </c>
    </row>
    <row r="1382" customFormat="false" ht="13.8" hidden="false" customHeight="false" outlineLevel="0" collapsed="false">
      <c r="A1382" s="149" t="n">
        <f aca="false">IF(C1382&lt;&gt;"",ROW(A1377),"")</f>
        <v>1377</v>
      </c>
      <c r="B1382" s="150" t="str">
        <f aca="false">HYPERLINK("https://www.google.com/maps/dir/-15.917302,-47.760003/-15.9383353,-47.7624299/data=!4m3!4m2!3e0!5i1")</f>
        <v>https://www.google.com/maps/dir/-15.917302,-47.760003/-15.9383353,-47.7624299/data=!4m3!4m2!3e0!5i1</v>
      </c>
      <c r="C1382" s="151" t="s">
        <v>117</v>
      </c>
      <c r="D1382" s="152" t="s">
        <v>112</v>
      </c>
      <c r="E1382" s="152" t="s">
        <v>113</v>
      </c>
      <c r="F1382" s="152" t="s">
        <v>117</v>
      </c>
      <c r="G1382" s="152" t="s">
        <v>114</v>
      </c>
      <c r="H1382" s="152" t="n">
        <v>160</v>
      </c>
      <c r="I1382" s="152" t="s">
        <v>115</v>
      </c>
      <c r="J1382" s="152" t="s">
        <v>6</v>
      </c>
      <c r="K1382" s="152" t="s">
        <v>6081</v>
      </c>
      <c r="L1382" s="152" t="s">
        <v>120</v>
      </c>
      <c r="M1382" s="153" t="n">
        <f aca="false">1.5</f>
        <v>1.5</v>
      </c>
      <c r="N1382" s="152" t="s">
        <v>1548</v>
      </c>
      <c r="O1382" s="152" t="s">
        <v>1549</v>
      </c>
      <c r="P1382" s="152" t="s">
        <v>1550</v>
      </c>
      <c r="Q1382" s="152" t="s">
        <v>1551</v>
      </c>
      <c r="R1382" s="154" t="s">
        <v>6766</v>
      </c>
      <c r="S1382" s="154" t="s">
        <v>1593</v>
      </c>
      <c r="T1382" s="155" t="s">
        <v>6514</v>
      </c>
      <c r="U1382" s="152" t="str">
        <f aca="false">RIGHT(T1382,7)</f>
        <v>024/037</v>
      </c>
      <c r="V1382" s="152" t="s">
        <v>1555</v>
      </c>
      <c r="W1382" s="156" t="n">
        <v>45882</v>
      </c>
      <c r="X1382" s="152" t="s">
        <v>3938</v>
      </c>
      <c r="Y1382" s="152" t="s">
        <v>6234</v>
      </c>
      <c r="Z1382" s="152" t="s">
        <v>1557</v>
      </c>
      <c r="AA1382" s="153" t="n">
        <v>4.8</v>
      </c>
      <c r="AB1382" s="151" t="s">
        <v>6767</v>
      </c>
      <c r="AC1382" s="151" t="s">
        <v>505</v>
      </c>
      <c r="AD1382" s="151" t="str">
        <f aca="false">CONCATENATE($C1382,$I1382,$H1382,$N1382,$J1382,$K1382)</f>
        <v>TUBO PEADPEAD160VCAREDESZona11</v>
      </c>
      <c r="AE1382" s="153" t="n">
        <f aca="false">IFERROR(INDEX(APOIO_REDES!$A:$W,MATCH($C1382&amp;$I1382&amp;$H1382&amp;$N1382&amp;$O1382,APOIO_REDES!$W:$W,0),MATCH(AE$5,APOIO_REDES!$5:$5,0)),0)</f>
        <v>1.2</v>
      </c>
      <c r="AF1382" s="153" t="n">
        <f aca="false">IFERROR(INDEX(APOIO_REDES!$A:$W,MATCH($C1382&amp;$I1382&amp;$H1382&amp;$N1382&amp;$O1382,APOIO_REDES!$W:$W,0),MATCH(AF$5,APOIO_REDES!$5:$5,0)),0)</f>
        <v>1.46</v>
      </c>
      <c r="AG1382" s="153" t="n">
        <f aca="false">IFERROR(INDEX(APOIO_REDES!$A:$W,MATCH($C1382&amp;$I1382&amp;$H1382&amp;$N1382&amp;$O1382,APOIO_REDES!$W:$W,0),MATCH(AG$5,APOIO_REDES!$5:$5,0)),0)</f>
        <v>0.75</v>
      </c>
      <c r="AH1382" s="153" t="n">
        <f aca="false">IFERROR(INDEX(APOIO_REDES!$A:$W,MATCH($C1382&amp;$I1382&amp;$H1382&amp;$N1382&amp;$O1382,APOIO_REDES!$W:$W,0),MATCH(AH$5,APOIO_REDES!$5:$5,0)),0)</f>
        <v>0.1</v>
      </c>
      <c r="AI1382" s="153" t="n">
        <f aca="false">IFERROR(IF($H1382&lt;&gt;"",(((($H1382/1000)/2)^2)*PI()*$M1382),0),0)</f>
        <v>0.030159289474462</v>
      </c>
      <c r="AJ1382" s="153" t="n">
        <f aca="false">IFERROR(IF(AND($H1382&lt;&gt;"",$I1382="FoFo",OR($N1382="MND",$N1382="VCA"),$Q1382="LINEAR"),0,IF(AND($H1382&lt;&gt;"",$I1382="PEAD",$N1382="VCA",$Q1382="LINEAR"),($H1382/1000)+0.3,IF(AND($H1382&lt;&gt;"",$I1382="PEAD",$N1382="MND",$Q1382="EMBOQUE"),0,IF(AND($H1382&lt;&gt;"",$I1382="PVC",$N1382="VCA",$Q1382="LINEAR"),($H1382/1000)+0.2,IF(AND($H1382&lt;&gt;"",$I1382="PVC",$N1382="MND",$Q1382="EMBOQUE"),0,IF(AND($H1382&lt;&gt;"",$I1382="PEAD",$N1382="VCA",$Q1382="PREDIAL"),0,0)))))),0)</f>
        <v>0.46</v>
      </c>
      <c r="AK1382" s="153" t="n">
        <f aca="false">IF(AA1382&lt;&gt;"",AA1382,0)</f>
        <v>4.8</v>
      </c>
      <c r="AL1382" s="153" t="n">
        <f aca="false">IF(AND($N1382="MND",$Q1382="EMBOQUE"),$M1382,IF(AND($N1382="VCA",$Q1382="LINEAR"),$M1382,IF(AND($N1382="VCA",$Q1382="PREDIAL"),0,0)))</f>
        <v>1.5</v>
      </c>
      <c r="AM1382" s="153" t="n">
        <f aca="false">IF(AND($N1382="MND",$Q1382="EMBOQUE"),$M1382,IF(AND($N1382="VCA",$Q1382="LINEAR"),$M1382,IF(AND($N1382="VCA",$Q1382="PREDIAL"),0,0)))</f>
        <v>1.5</v>
      </c>
      <c r="AN1382" s="153" t="n">
        <f aca="false">ROUND(IF(AND($N1382="VCA",$M1382&lt;&gt;"",$Q1382="LINEAR"),$M1382/100,IF(AND($N1382="MND",$M1382&gt;100,$Q1382="EMBOQUE"),$M1382/100,0)),0)</f>
        <v>0</v>
      </c>
      <c r="AO1382" s="153" t="n">
        <f aca="false">IF(AND($N1382="MND",$Q1382="EMBOQUE"),$AN1382*2*2,IF(AND($N1382="VCA",$Q1382="LINEAR"),$M1382*2,IF(AND($N1382="VCA",$Q1382="PREDIAL"),0,0)))</f>
        <v>3</v>
      </c>
      <c r="AP1382" s="153" t="n">
        <f aca="false">IFERROR($M1382*$AF1382*$AG1382,0)</f>
        <v>1.6425</v>
      </c>
      <c r="AQ1382" s="153" t="n">
        <f aca="false">IFERROR(IF(AND($N1382="VCA",$AH1382&gt;0),$M1382*$AG1382*$AH1382,0),0)</f>
        <v>0.1125</v>
      </c>
      <c r="AR1382" s="153" t="n">
        <f aca="false">IFERROR(IF(AND($N1382="VCA",$AJ1382&gt;0),($M1382*$AG1382*$AJ1382)-$AI1382,0),0)</f>
        <v>0.487340710525538</v>
      </c>
      <c r="AS1382" s="153" t="n">
        <f aca="false">IFERROR(IF(AND($N1382="VCA",$AP1382&gt;0),$AP1382-$AI1382-$AQ1382-$AR1382,0),0)</f>
        <v>1.0125</v>
      </c>
      <c r="AT1382" s="153" t="n">
        <f aca="false">IFERROR(IF($N1382="VCA",INDEX(APOIO_REDES!$A:$W,MATCH($C1382&amp;$I1382&amp;$H1382&amp;$N1382&amp;$O1382,APOIO_REDES!$W:$W,0),MATCH(AT$5,APOIO_REDES!$5:$5,0)),0)*$AP1382,0)</f>
        <v>0.0178708861551843</v>
      </c>
      <c r="AU1382" s="153" t="n">
        <f aca="false">IFERROR(IF($N1382="VCA",INDEX(APOIO_REDES!$A:$W,MATCH($C1382&amp;$I1382&amp;$H1382&amp;$N1382&amp;$O1382,APOIO_REDES!$W:$W,0),MATCH(AU$5,APOIO_REDES!$5:$5,0)),0)*$AP1382,0)</f>
        <v>0.0142712056785513</v>
      </c>
      <c r="AV1382" s="153" t="n">
        <f aca="false">IFERROR(IF($N1382="VCA",INDEX(APOIO_REDES!$A:$W,MATCH($C1382&amp;$I1382&amp;$H1382&amp;$N1382&amp;$O1382,APOIO_REDES!$W:$W,0),MATCH(AV$5,APOIO_REDES!$5:$5,0)),0)*$AP1382,0)</f>
        <v>0.00197502283255431</v>
      </c>
      <c r="AW1382" s="153" t="n">
        <f aca="false">IFERROR(IF($N1382="VCA",INDEX(APOIO_REDES!$A:$W,MATCH($C1382&amp;$I1382&amp;$H1382&amp;$N1382&amp;$O1382,APOIO_REDES!$W:$W,0),MATCH(AW$5,APOIO_REDES!$5:$5,0)),0)*$AP1382,0)</f>
        <v>1.12742472671103</v>
      </c>
      <c r="AX1382" s="153" t="n">
        <f aca="false">IFERROR(IF($N1382="VCA",INDEX(APOIO_REDES!$A:$W,MATCH($C1382&amp;$I1382&amp;$H1382&amp;$N1382&amp;$O1382,APOIO_REDES!$W:$W,0),MATCH(AX$5,APOIO_REDES!$5:$5,0)),0)*$AP1382,0)</f>
        <v>0.156032370646682</v>
      </c>
      <c r="AY1382" s="153" t="n">
        <f aca="false">IFERROR(IF($N1382="VCA",INDEX(APOIO_REDES!$A:$W,MATCH($C1382&amp;$I1382&amp;$H1382&amp;$N1382&amp;$O1382,APOIO_REDES!$W:$W,0),MATCH(AY$5,APOIO_REDES!$5:$5,0)),0)*$AP1382,0)</f>
        <v>0.285423939606186</v>
      </c>
      <c r="AZ1382" s="153" t="n">
        <f aca="false">IFERROR(IF($N1382="VCA",INDEX(APOIO_REDES!$A:$W,MATCH($C1382&amp;$I1382&amp;$H1382&amp;$N1382&amp;$O1382,APOIO_REDES!$W:$W,0),MATCH(AZ$5,APOIO_REDES!$5:$5,0)),0)*$AP1382,0)</f>
        <v>0.0395018483698091</v>
      </c>
      <c r="BA1382" s="153" t="n">
        <f aca="false">IFERROR(IF(AND($N1382="VCA",$Q1382="LINEAR"),INDEX(APOIO_REDES!$A:$W,MATCH($C1382&amp;$I1382&amp;$H1382&amp;$N1382&amp;$O1382,APOIO_REDES!$W:$W,0),MATCH(BA$5,APOIO_REDES!$5:$5,0)),IF(AND($N1382="MND",$Q1382="EMBOQUE"),INDEX(APOIO_REDES!$A:$W,MATCH($C1382&amp;$I1382&amp;$H1382&amp;$N1382&amp;$O1382,APOIO_REDES!$W:$W,0),MATCH(BA$5,APOIO_REDES!$5:$5,0)),0))*$M1382/10,0)</f>
        <v>0.12089621636967</v>
      </c>
      <c r="BB1382" s="153" t="n">
        <f aca="false">IFERROR(IF($N1382="VCA",INDEX(APOIO_REDES!$A:$W,MATCH($C1382&amp;$I1382&amp;$H1382&amp;$N1382&amp;$O1382,APOIO_REDES!$W:$W,0),MATCH(BB$5,APOIO_REDES!$5:$5,0)),0)*($AI1382+$AQ1382+$AR1382),0)</f>
        <v>0.623145413529518</v>
      </c>
      <c r="BC1382" s="153" t="n">
        <f aca="false">IFERROR(IF($N1382="VCA",INDEX(APOIO_REDES!$A:$W,MATCH($C1382&amp;$I1382&amp;$H1382&amp;$N1382&amp;$O1382,APOIO_REDES!$W:$W,0),MATCH(BC$5,APOIO_REDES!$5:$5,0)),0)*($AI1382+$AQ1382+$AR1382),0)</f>
        <v>0.00685458647048164</v>
      </c>
      <c r="BD1382" s="153" t="n">
        <f aca="false">IF(AND($N1382="VCA",$AF1382&gt;=1.25,$AF1382&lt;1.5),$M1382*$AF1382*2,0)</f>
        <v>4.38</v>
      </c>
      <c r="BE1382" s="153" t="n">
        <f aca="false">IF(AND($N1382="VCA",$AF1382&gt;=1.5,$AF1382&lt;3),$M1382*$AF1382*2,0)</f>
        <v>0</v>
      </c>
      <c r="BF1382" s="153" t="n">
        <f aca="false">IF(AND($N1382="VCA",$AF1382&gt;=3),$M1382*$AF1382*2,0)</f>
        <v>0</v>
      </c>
      <c r="BG1382" s="153" t="n">
        <f aca="false">($BB1382+$BC1382)*$AK1382</f>
        <v>3.024</v>
      </c>
      <c r="BH1382" s="153" t="n">
        <f aca="false">IF(AND($M1382&lt;&gt;"",$N1382="VCA",$Q1382="LINEAR"),($M1382*2)/100,IF(AND($M1382&lt;&gt;"",$N1382="MND",$Q1382="EMBOQUE"),($AN1382*2)/100,0))</f>
        <v>0.03</v>
      </c>
      <c r="BI1382" s="153" t="n">
        <f aca="false">IF(AND($M1382&lt;&gt;"",$N1382="VCA",$Q1382="LINEAR"),$M1382,IF(AND($M1382&lt;&gt;"",$N1382="MND",$Q1382="EMBOQUE"),$AN1382*2,0))</f>
        <v>1.5</v>
      </c>
      <c r="BJ1382" s="153" t="n">
        <f aca="false">IF(AND($M1382&lt;&gt;"",$N1382="VCA",$Q1382="LINEAR"),($M1382*6.8)/100,IF(AND($M1382&lt;&gt;"",$N1382="MND",$Q1382="EMBOQUE"),($AN1382*2*6.8)/100,0))</f>
        <v>0.102</v>
      </c>
      <c r="BK1382" s="153" t="n">
        <f aca="false">IF(AND($M1382&lt;&gt;"",$N1382="VCA",$Q1382="LINEAR"),($M1382*2.5)/50,IF(AND($M1382&lt;&gt;"",$N1382="MND",$Q1382="EMBOQUE"),($AN1382*2*2.5)/50,0))</f>
        <v>0.075</v>
      </c>
      <c r="BL1382" s="157" t="str">
        <f aca="false">K1382&amp;J1382</f>
        <v>Zona11REDES</v>
      </c>
      <c r="BM1382" s="152" t="s">
        <v>6084</v>
      </c>
      <c r="BN1382" s="152" t="s">
        <v>1560</v>
      </c>
      <c r="BO1382" s="152" t="s">
        <v>6516</v>
      </c>
      <c r="BP1382" s="152" t="s">
        <v>6764</v>
      </c>
      <c r="BQ1382" s="152" t="s">
        <v>6768</v>
      </c>
      <c r="BR1382" s="152" t="s">
        <v>6769</v>
      </c>
      <c r="BS1382" s="152" t="n">
        <v>204254.937</v>
      </c>
      <c r="BT1382" s="152" t="n">
        <v>8235926.768</v>
      </c>
      <c r="BU1382" s="152" t="n">
        <v>204255.34</v>
      </c>
      <c r="BV1382" s="152" t="n">
        <v>8235925.324</v>
      </c>
      <c r="BW1382" s="152" t="n">
        <v>-15.9383417</v>
      </c>
      <c r="BX1382" s="152" t="n">
        <v>-47.7624272</v>
      </c>
      <c r="BY1382" s="152" t="s">
        <v>6764</v>
      </c>
    </row>
    <row r="1383" customFormat="false" ht="13.8" hidden="false" customHeight="false" outlineLevel="0" collapsed="false">
      <c r="A1383" s="149" t="n">
        <f aca="false">IF(C1383&lt;&gt;"",ROW(A1378),"")</f>
        <v>1378</v>
      </c>
      <c r="B1383" s="150" t="str">
        <f aca="false">HYPERLINK("https://www.google.com/maps/dir/-15.917302,-47.760003/-15.9383476,-47.7636723/data=!4m3!4m2!3e0!5i1")</f>
        <v>https://www.google.com/maps/dir/-15.917302,-47.760003/-15.9383476,-47.7636723/data=!4m3!4m2!3e0!5i1</v>
      </c>
      <c r="C1383" s="151" t="s">
        <v>117</v>
      </c>
      <c r="D1383" s="152" t="s">
        <v>112</v>
      </c>
      <c r="E1383" s="152" t="s">
        <v>113</v>
      </c>
      <c r="F1383" s="152" t="s">
        <v>117</v>
      </c>
      <c r="G1383" s="152" t="s">
        <v>114</v>
      </c>
      <c r="H1383" s="152" t="n">
        <v>160</v>
      </c>
      <c r="I1383" s="152" t="s">
        <v>115</v>
      </c>
      <c r="J1383" s="152" t="s">
        <v>6</v>
      </c>
      <c r="K1383" s="152" t="s">
        <v>6081</v>
      </c>
      <c r="L1383" s="152" t="s">
        <v>120</v>
      </c>
      <c r="M1383" s="153" t="n">
        <f aca="false">1.98</f>
        <v>1.98</v>
      </c>
      <c r="N1383" s="152" t="s">
        <v>1548</v>
      </c>
      <c r="O1383" s="152" t="s">
        <v>1549</v>
      </c>
      <c r="P1383" s="152" t="s">
        <v>1550</v>
      </c>
      <c r="Q1383" s="152" t="s">
        <v>1551</v>
      </c>
      <c r="R1383" s="154" t="s">
        <v>6770</v>
      </c>
      <c r="S1383" s="154" t="s">
        <v>1593</v>
      </c>
      <c r="T1383" s="155" t="s">
        <v>6514</v>
      </c>
      <c r="U1383" s="152" t="str">
        <f aca="false">RIGHT(T1383,7)</f>
        <v>024/037</v>
      </c>
      <c r="V1383" s="152" t="s">
        <v>1555</v>
      </c>
      <c r="W1383" s="156" t="n">
        <v>45882</v>
      </c>
      <c r="X1383" s="152" t="s">
        <v>3938</v>
      </c>
      <c r="Y1383" s="152"/>
      <c r="Z1383" s="152" t="s">
        <v>1557</v>
      </c>
      <c r="AA1383" s="153" t="n">
        <v>4.9</v>
      </c>
      <c r="AB1383" s="151" t="s">
        <v>6771</v>
      </c>
      <c r="AC1383" s="151" t="s">
        <v>505</v>
      </c>
      <c r="AD1383" s="151" t="str">
        <f aca="false">CONCATENATE($C1383,$I1383,$H1383,$N1383,$J1383,$K1383)</f>
        <v>TUBO PEADPEAD160VCAREDESZona11</v>
      </c>
      <c r="AE1383" s="153" t="n">
        <f aca="false">IFERROR(INDEX(APOIO_REDES!$A:$W,MATCH($C1383&amp;$I1383&amp;$H1383&amp;$N1383&amp;$O1383,APOIO_REDES!$W:$W,0),MATCH(AE$5,APOIO_REDES!$5:$5,0)),0)</f>
        <v>1.2</v>
      </c>
      <c r="AF1383" s="153" t="n">
        <f aca="false">IFERROR(INDEX(APOIO_REDES!$A:$W,MATCH($C1383&amp;$I1383&amp;$H1383&amp;$N1383&amp;$O1383,APOIO_REDES!$W:$W,0),MATCH(AF$5,APOIO_REDES!$5:$5,0)),0)</f>
        <v>1.46</v>
      </c>
      <c r="AG1383" s="153" t="n">
        <f aca="false">IFERROR(INDEX(APOIO_REDES!$A:$W,MATCH($C1383&amp;$I1383&amp;$H1383&amp;$N1383&amp;$O1383,APOIO_REDES!$W:$W,0),MATCH(AG$5,APOIO_REDES!$5:$5,0)),0)</f>
        <v>0.75</v>
      </c>
      <c r="AH1383" s="153" t="n">
        <f aca="false">IFERROR(INDEX(APOIO_REDES!$A:$W,MATCH($C1383&amp;$I1383&amp;$H1383&amp;$N1383&amp;$O1383,APOIO_REDES!$W:$W,0),MATCH(AH$5,APOIO_REDES!$5:$5,0)),0)</f>
        <v>0.1</v>
      </c>
      <c r="AI1383" s="153" t="n">
        <f aca="false">IFERROR(IF($H1383&lt;&gt;"",(((($H1383/1000)/2)^2)*PI()*$M1383),0),0)</f>
        <v>0.0398102621062899</v>
      </c>
      <c r="AJ1383" s="153" t="n">
        <f aca="false">IFERROR(IF(AND($H1383&lt;&gt;"",$I1383="FoFo",OR($N1383="MND",$N1383="VCA"),$Q1383="LINEAR"),0,IF(AND($H1383&lt;&gt;"",$I1383="PEAD",$N1383="VCA",$Q1383="LINEAR"),($H1383/1000)+0.3,IF(AND($H1383&lt;&gt;"",$I1383="PEAD",$N1383="MND",$Q1383="EMBOQUE"),0,IF(AND($H1383&lt;&gt;"",$I1383="PVC",$N1383="VCA",$Q1383="LINEAR"),($H1383/1000)+0.2,IF(AND($H1383&lt;&gt;"",$I1383="PVC",$N1383="MND",$Q1383="EMBOQUE"),0,IF(AND($H1383&lt;&gt;"",$I1383="PEAD",$N1383="VCA",$Q1383="PREDIAL"),0,0)))))),0)</f>
        <v>0.46</v>
      </c>
      <c r="AK1383" s="153" t="n">
        <f aca="false">IF(AA1383&lt;&gt;"",AA1383,0)</f>
        <v>4.9</v>
      </c>
      <c r="AL1383" s="153" t="n">
        <f aca="false">IF(AND($N1383="MND",$Q1383="EMBOQUE"),$M1383,IF(AND($N1383="VCA",$Q1383="LINEAR"),$M1383,IF(AND($N1383="VCA",$Q1383="PREDIAL"),0,0)))</f>
        <v>1.98</v>
      </c>
      <c r="AM1383" s="153" t="n">
        <f aca="false">IF(AND($N1383="MND",$Q1383="EMBOQUE"),$M1383,IF(AND($N1383="VCA",$Q1383="LINEAR"),$M1383,IF(AND($N1383="VCA",$Q1383="PREDIAL"),0,0)))</f>
        <v>1.98</v>
      </c>
      <c r="AN1383" s="153" t="n">
        <f aca="false">ROUND(IF(AND($N1383="VCA",$M1383&lt;&gt;"",$Q1383="LINEAR"),$M1383/100,IF(AND($N1383="MND",$M1383&gt;100,$Q1383="EMBOQUE"),$M1383/100,0)),0)</f>
        <v>0</v>
      </c>
      <c r="AO1383" s="153" t="n">
        <f aca="false">IF(AND($N1383="MND",$Q1383="EMBOQUE"),$AN1383*2*2,IF(AND($N1383="VCA",$Q1383="LINEAR"),$M1383*2,IF(AND($N1383="VCA",$Q1383="PREDIAL"),0,0)))</f>
        <v>3.96</v>
      </c>
      <c r="AP1383" s="153" t="n">
        <f aca="false">IFERROR($M1383*$AF1383*$AG1383,0)</f>
        <v>2.1681</v>
      </c>
      <c r="AQ1383" s="153" t="n">
        <f aca="false">IFERROR(IF(AND($N1383="VCA",$AH1383&gt;0),$M1383*$AG1383*$AH1383,0),0)</f>
        <v>0.1485</v>
      </c>
      <c r="AR1383" s="153" t="n">
        <f aca="false">IFERROR(IF(AND($N1383="VCA",$AJ1383&gt;0),($M1383*$AG1383*$AJ1383)-$AI1383,0),0)</f>
        <v>0.64328973789371</v>
      </c>
      <c r="AS1383" s="153" t="n">
        <f aca="false">IFERROR(IF(AND($N1383="VCA",$AP1383&gt;0),$AP1383-$AI1383-$AQ1383-$AR1383,0),0)</f>
        <v>1.3365</v>
      </c>
      <c r="AT1383" s="153" t="n">
        <f aca="false">IFERROR(IF($N1383="VCA",INDEX(APOIO_REDES!$A:$W,MATCH($C1383&amp;$I1383&amp;$H1383&amp;$N1383&amp;$O1383,APOIO_REDES!$W:$W,0),MATCH(AT$5,APOIO_REDES!$5:$5,0)),0)*$AP1383,0)</f>
        <v>0.0235895697248432</v>
      </c>
      <c r="AU1383" s="153" t="n">
        <f aca="false">IFERROR(IF($N1383="VCA",INDEX(APOIO_REDES!$A:$W,MATCH($C1383&amp;$I1383&amp;$H1383&amp;$N1383&amp;$O1383,APOIO_REDES!$W:$W,0),MATCH(AU$5,APOIO_REDES!$5:$5,0)),0)*$AP1383,0)</f>
        <v>0.0188379914956877</v>
      </c>
      <c r="AV1383" s="153" t="n">
        <f aca="false">IFERROR(IF($N1383="VCA",INDEX(APOIO_REDES!$A:$W,MATCH($C1383&amp;$I1383&amp;$H1383&amp;$N1383&amp;$O1383,APOIO_REDES!$W:$W,0),MATCH(AV$5,APOIO_REDES!$5:$5,0)),0)*$AP1383,0)</f>
        <v>0.00260703013897169</v>
      </c>
      <c r="AW1383" s="153" t="n">
        <f aca="false">IFERROR(IF($N1383="VCA",INDEX(APOIO_REDES!$A:$W,MATCH($C1383&amp;$I1383&amp;$H1383&amp;$N1383&amp;$O1383,APOIO_REDES!$W:$W,0),MATCH(AW$5,APOIO_REDES!$5:$5,0)),0)*$AP1383,0)</f>
        <v>1.48820063925856</v>
      </c>
      <c r="AX1383" s="153" t="n">
        <f aca="false">IFERROR(IF($N1383="VCA",INDEX(APOIO_REDES!$A:$W,MATCH($C1383&amp;$I1383&amp;$H1383&amp;$N1383&amp;$O1383,APOIO_REDES!$W:$W,0),MATCH(AX$5,APOIO_REDES!$5:$5,0)),0)*$AP1383,0)</f>
        <v>0.20596272925362</v>
      </c>
      <c r="AY1383" s="153" t="n">
        <f aca="false">IFERROR(IF($N1383="VCA",INDEX(APOIO_REDES!$A:$W,MATCH($C1383&amp;$I1383&amp;$H1383&amp;$N1383&amp;$O1383,APOIO_REDES!$W:$W,0),MATCH(AY$5,APOIO_REDES!$5:$5,0)),0)*$AP1383,0)</f>
        <v>0.376759600280166</v>
      </c>
      <c r="AZ1383" s="153" t="n">
        <f aca="false">IFERROR(IF($N1383="VCA",INDEX(APOIO_REDES!$A:$W,MATCH($C1383&amp;$I1383&amp;$H1383&amp;$N1383&amp;$O1383,APOIO_REDES!$W:$W,0),MATCH(AZ$5,APOIO_REDES!$5:$5,0)),0)*$AP1383,0)</f>
        <v>0.052142439848148</v>
      </c>
      <c r="BA1383" s="153" t="n">
        <f aca="false">IFERROR(IF(AND($N1383="VCA",$Q1383="LINEAR"),INDEX(APOIO_REDES!$A:$W,MATCH($C1383&amp;$I1383&amp;$H1383&amp;$N1383&amp;$O1383,APOIO_REDES!$W:$W,0),MATCH(BA$5,APOIO_REDES!$5:$5,0)),IF(AND($N1383="MND",$Q1383="EMBOQUE"),INDEX(APOIO_REDES!$A:$W,MATCH($C1383&amp;$I1383&amp;$H1383&amp;$N1383&amp;$O1383,APOIO_REDES!$W:$W,0),MATCH(BA$5,APOIO_REDES!$5:$5,0)),0))*$M1383/10,0)</f>
        <v>0.159583005607965</v>
      </c>
      <c r="BB1383" s="153" t="n">
        <f aca="false">IFERROR(IF($N1383="VCA",INDEX(APOIO_REDES!$A:$W,MATCH($C1383&amp;$I1383&amp;$H1383&amp;$N1383&amp;$O1383,APOIO_REDES!$W:$W,0),MATCH(BB$5,APOIO_REDES!$5:$5,0)),0)*($AI1383+$AQ1383+$AR1383),0)</f>
        <v>0.822551945858964</v>
      </c>
      <c r="BC1383" s="153" t="n">
        <f aca="false">IFERROR(IF($N1383="VCA",INDEX(APOIO_REDES!$A:$W,MATCH($C1383&amp;$I1383&amp;$H1383&amp;$N1383&amp;$O1383,APOIO_REDES!$W:$W,0),MATCH(BC$5,APOIO_REDES!$5:$5,0)),0)*($AI1383+$AQ1383+$AR1383),0)</f>
        <v>0.00904805414103576</v>
      </c>
      <c r="BD1383" s="153" t="n">
        <f aca="false">IF(AND($N1383="VCA",$AF1383&gt;=1.25,$AF1383&lt;1.5),$M1383*$AF1383*2,0)</f>
        <v>5.7816</v>
      </c>
      <c r="BE1383" s="153" t="n">
        <f aca="false">IF(AND($N1383="VCA",$AF1383&gt;=1.5,$AF1383&lt;3),$M1383*$AF1383*2,0)</f>
        <v>0</v>
      </c>
      <c r="BF1383" s="153" t="n">
        <f aca="false">IF(AND($N1383="VCA",$AF1383&gt;=3),$M1383*$AF1383*2,0)</f>
        <v>0</v>
      </c>
      <c r="BG1383" s="153" t="n">
        <f aca="false">($BB1383+$BC1383)*$AK1383</f>
        <v>4.07484</v>
      </c>
      <c r="BH1383" s="153" t="n">
        <f aca="false">IF(AND($M1383&lt;&gt;"",$N1383="VCA",$Q1383="LINEAR"),($M1383*2)/100,IF(AND($M1383&lt;&gt;"",$N1383="MND",$Q1383="EMBOQUE"),($AN1383*2)/100,0))</f>
        <v>0.0396</v>
      </c>
      <c r="BI1383" s="153" t="n">
        <f aca="false">IF(AND($M1383&lt;&gt;"",$N1383="VCA",$Q1383="LINEAR"),$M1383,IF(AND($M1383&lt;&gt;"",$N1383="MND",$Q1383="EMBOQUE"),$AN1383*2,0))</f>
        <v>1.98</v>
      </c>
      <c r="BJ1383" s="153" t="n">
        <f aca="false">IF(AND($M1383&lt;&gt;"",$N1383="VCA",$Q1383="LINEAR"),($M1383*6.8)/100,IF(AND($M1383&lt;&gt;"",$N1383="MND",$Q1383="EMBOQUE"),($AN1383*2*6.8)/100,0))</f>
        <v>0.13464</v>
      </c>
      <c r="BK1383" s="153" t="n">
        <f aca="false">IF(AND($M1383&lt;&gt;"",$N1383="VCA",$Q1383="LINEAR"),($M1383*2.5)/50,IF(AND($M1383&lt;&gt;"",$N1383="MND",$Q1383="EMBOQUE"),($AN1383*2*2.5)/50,0))</f>
        <v>0.099</v>
      </c>
      <c r="BL1383" s="157" t="str">
        <f aca="false">K1383&amp;J1383</f>
        <v>Zona11REDES</v>
      </c>
      <c r="BM1383" s="152" t="s">
        <v>6084</v>
      </c>
      <c r="BN1383" s="152" t="s">
        <v>1560</v>
      </c>
      <c r="BO1383" s="152" t="s">
        <v>6516</v>
      </c>
      <c r="BP1383" s="152" t="s">
        <v>6772</v>
      </c>
      <c r="BQ1383" s="152" t="s">
        <v>6751</v>
      </c>
      <c r="BR1383" s="152" t="s">
        <v>6727</v>
      </c>
      <c r="BS1383" s="152" t="n">
        <v>204121.762</v>
      </c>
      <c r="BT1383" s="152" t="n">
        <v>8235923.617</v>
      </c>
      <c r="BU1383" s="152" t="n">
        <v>204121.274</v>
      </c>
      <c r="BV1383" s="152" t="n">
        <v>8235925.534</v>
      </c>
      <c r="BW1383" s="152" t="n">
        <v>-15.9383389</v>
      </c>
      <c r="BX1383" s="152" t="n">
        <v>-47.7636744</v>
      </c>
      <c r="BY1383" s="152" t="s">
        <v>6772</v>
      </c>
    </row>
    <row r="1384" customFormat="false" ht="13.8" hidden="false" customHeight="false" outlineLevel="0" collapsed="false">
      <c r="A1384" s="149" t="n">
        <f aca="false">IF(C1384&lt;&gt;"",ROW(A1379),"")</f>
        <v>1379</v>
      </c>
      <c r="B1384" s="150" t="str">
        <f aca="false">HYPERLINK("https://www.google.com/maps/dir/-15.917302,-47.760003/-15.9384169,-47.7627674/data=!4m3!4m2!3e0!5i1")</f>
        <v>https://www.google.com/maps/dir/-15.917302,-47.760003/-15.9384169,-47.7627674/data=!4m3!4m2!3e0!5i1</v>
      </c>
      <c r="C1384" s="151" t="s">
        <v>117</v>
      </c>
      <c r="D1384" s="152" t="s">
        <v>112</v>
      </c>
      <c r="E1384" s="152" t="s">
        <v>113</v>
      </c>
      <c r="F1384" s="152" t="s">
        <v>117</v>
      </c>
      <c r="G1384" s="152" t="s">
        <v>114</v>
      </c>
      <c r="H1384" s="152" t="n">
        <v>225</v>
      </c>
      <c r="I1384" s="152" t="s">
        <v>115</v>
      </c>
      <c r="J1384" s="152" t="s">
        <v>6</v>
      </c>
      <c r="K1384" s="152" t="s">
        <v>6081</v>
      </c>
      <c r="L1384" s="152" t="s">
        <v>120</v>
      </c>
      <c r="M1384" s="153" t="n">
        <f aca="false">35.87+1.48</f>
        <v>37.35</v>
      </c>
      <c r="N1384" s="152" t="s">
        <v>1548</v>
      </c>
      <c r="O1384" s="152" t="s">
        <v>1549</v>
      </c>
      <c r="P1384" s="152" t="s">
        <v>1550</v>
      </c>
      <c r="Q1384" s="152" t="s">
        <v>1551</v>
      </c>
      <c r="R1384" s="154" t="s">
        <v>6773</v>
      </c>
      <c r="S1384" s="154" t="s">
        <v>1593</v>
      </c>
      <c r="T1384" s="155" t="s">
        <v>6514</v>
      </c>
      <c r="U1384" s="152" t="str">
        <f aca="false">RIGHT(T1384,7)</f>
        <v>024/037</v>
      </c>
      <c r="V1384" s="152" t="s">
        <v>1555</v>
      </c>
      <c r="W1384" s="156" t="n">
        <v>45882</v>
      </c>
      <c r="X1384" s="152" t="s">
        <v>3938</v>
      </c>
      <c r="Y1384" s="152"/>
      <c r="Z1384" s="152" t="s">
        <v>1557</v>
      </c>
      <c r="AA1384" s="153" t="n">
        <v>4.9</v>
      </c>
      <c r="AB1384" s="151" t="s">
        <v>6774</v>
      </c>
      <c r="AC1384" s="151" t="s">
        <v>508</v>
      </c>
      <c r="AD1384" s="151" t="str">
        <f aca="false">CONCATENATE($C1384,$I1384,$H1384,$N1384,$J1384,$K1384)</f>
        <v>TUBO PEADPEAD225VCAREDESZona11</v>
      </c>
      <c r="AE1384" s="153" t="n">
        <f aca="false">IFERROR(INDEX(APOIO_REDES!$A:$W,MATCH($C1384&amp;$I1384&amp;$H1384&amp;$N1384&amp;$O1384,APOIO_REDES!$W:$W,0),MATCH(AE$5,APOIO_REDES!$5:$5,0)),0)</f>
        <v>1.2</v>
      </c>
      <c r="AF1384" s="153" t="n">
        <f aca="false">IFERROR(INDEX(APOIO_REDES!$A:$W,MATCH($C1384&amp;$I1384&amp;$H1384&amp;$N1384&amp;$O1384,APOIO_REDES!$W:$W,0),MATCH(AF$5,APOIO_REDES!$5:$5,0)),0)</f>
        <v>1.525</v>
      </c>
      <c r="AG1384" s="153" t="n">
        <f aca="false">IFERROR(INDEX(APOIO_REDES!$A:$W,MATCH($C1384&amp;$I1384&amp;$H1384&amp;$N1384&amp;$O1384,APOIO_REDES!$W:$W,0),MATCH(AG$5,APOIO_REDES!$5:$5,0)),0)</f>
        <v>0.8</v>
      </c>
      <c r="AH1384" s="153" t="n">
        <f aca="false">IFERROR(INDEX(APOIO_REDES!$A:$W,MATCH($C1384&amp;$I1384&amp;$H1384&amp;$N1384&amp;$O1384,APOIO_REDES!$W:$W,0),MATCH(AH$5,APOIO_REDES!$5:$5,0)),0)</f>
        <v>0.1</v>
      </c>
      <c r="AI1384" s="153" t="n">
        <f aca="false">IFERROR(IF($H1384&lt;&gt;"",(((($H1384/1000)/2)^2)*PI()*$M1384),0),0)</f>
        <v>1.48506520852154</v>
      </c>
      <c r="AJ1384" s="153" t="n">
        <f aca="false">IFERROR(IF(AND($H1384&lt;&gt;"",$I1384="FoFo",OR($N1384="MND",$N1384="VCA"),$Q1384="LINEAR"),0,IF(AND($H1384&lt;&gt;"",$I1384="PEAD",$N1384="VCA",$Q1384="LINEAR"),($H1384/1000)+0.3,IF(AND($H1384&lt;&gt;"",$I1384="PEAD",$N1384="MND",$Q1384="EMBOQUE"),0,IF(AND($H1384&lt;&gt;"",$I1384="PVC",$N1384="VCA",$Q1384="LINEAR"),($H1384/1000)+0.2,IF(AND($H1384&lt;&gt;"",$I1384="PVC",$N1384="MND",$Q1384="EMBOQUE"),0,IF(AND($H1384&lt;&gt;"",$I1384="PEAD",$N1384="VCA",$Q1384="PREDIAL"),0,0)))))),0)</f>
        <v>0.525</v>
      </c>
      <c r="AK1384" s="153" t="n">
        <f aca="false">IF(AA1384&lt;&gt;"",AA1384,0)</f>
        <v>4.9</v>
      </c>
      <c r="AL1384" s="153" t="n">
        <f aca="false">IF(AND($N1384="MND",$Q1384="EMBOQUE"),$M1384,IF(AND($N1384="VCA",$Q1384="LINEAR"),$M1384,IF(AND($N1384="VCA",$Q1384="PREDIAL"),0,0)))</f>
        <v>37.35</v>
      </c>
      <c r="AM1384" s="153" t="n">
        <f aca="false">IF(AND($N1384="MND",$Q1384="EMBOQUE"),$M1384,IF(AND($N1384="VCA",$Q1384="LINEAR"),$M1384,IF(AND($N1384="VCA",$Q1384="PREDIAL"),0,0)))</f>
        <v>37.35</v>
      </c>
      <c r="AN1384" s="153" t="n">
        <f aca="false">ROUND(IF(AND($N1384="VCA",$M1384&lt;&gt;"",$Q1384="LINEAR"),$M1384/100,IF(AND($N1384="MND",$M1384&gt;100,$Q1384="EMBOQUE"),$M1384/100,0)),0)</f>
        <v>0</v>
      </c>
      <c r="AO1384" s="153" t="n">
        <f aca="false">IF(AND($N1384="MND",$Q1384="EMBOQUE"),$AN1384*2*2,IF(AND($N1384="VCA",$Q1384="LINEAR"),$M1384*2,IF(AND($N1384="VCA",$Q1384="PREDIAL"),0,0)))</f>
        <v>74.7</v>
      </c>
      <c r="AP1384" s="153" t="n">
        <f aca="false">IFERROR($M1384*$AF1384*$AG1384,0)</f>
        <v>45.567</v>
      </c>
      <c r="AQ1384" s="153" t="n">
        <f aca="false">IFERROR(IF(AND($N1384="VCA",$AH1384&gt;0),$M1384*$AG1384*$AH1384,0),0)</f>
        <v>2.988</v>
      </c>
      <c r="AR1384" s="153" t="n">
        <f aca="false">IFERROR(IF(AND($N1384="VCA",$AJ1384&gt;0),($M1384*$AG1384*$AJ1384)-$AI1384,0),0)</f>
        <v>14.2019347914785</v>
      </c>
      <c r="AS1384" s="153" t="n">
        <f aca="false">IFERROR(IF(AND($N1384="VCA",$AP1384&gt;0),$AP1384-$AI1384-$AQ1384-$AR1384,0),0)</f>
        <v>26.892</v>
      </c>
      <c r="AT1384" s="153" t="n">
        <f aca="false">IFERROR(IF($N1384="VCA",INDEX(APOIO_REDES!$A:$W,MATCH($C1384&amp;$I1384&amp;$H1384&amp;$N1384&amp;$O1384,APOIO_REDES!$W:$W,0),MATCH(AT$5,APOIO_REDES!$5:$5,0)),0)*$AP1384,0)</f>
        <v>0.49578244714355</v>
      </c>
      <c r="AU1384" s="153" t="n">
        <f aca="false">IFERROR(IF($N1384="VCA",INDEX(APOIO_REDES!$A:$W,MATCH($C1384&amp;$I1384&amp;$H1384&amp;$N1384&amp;$O1384,APOIO_REDES!$W:$W,0),MATCH(AU$5,APOIO_REDES!$5:$5,0)),0)*$AP1384,0)</f>
        <v>0.395918434797289</v>
      </c>
      <c r="AV1384" s="153" t="n">
        <f aca="false">IFERROR(IF($N1384="VCA",INDEX(APOIO_REDES!$A:$W,MATCH($C1384&amp;$I1384&amp;$H1384&amp;$N1384&amp;$O1384,APOIO_REDES!$W:$W,0),MATCH(AV$5,APOIO_REDES!$5:$5,0)),0)*$AP1384,0)</f>
        <v>0.0547920032943698</v>
      </c>
      <c r="AW1384" s="153" t="n">
        <f aca="false">IFERROR(IF($N1384="VCA",INDEX(APOIO_REDES!$A:$W,MATCH($C1384&amp;$I1384&amp;$H1384&amp;$N1384&amp;$O1384,APOIO_REDES!$W:$W,0),MATCH(AW$5,APOIO_REDES!$5:$5,0)),0)*$AP1384,0)</f>
        <v>31.277541870345</v>
      </c>
      <c r="AX1384" s="153" t="n">
        <f aca="false">IFERROR(IF($N1384="VCA",INDEX(APOIO_REDES!$A:$W,MATCH($C1384&amp;$I1384&amp;$H1384&amp;$N1384&amp;$O1384,APOIO_REDES!$W:$W,0),MATCH(AX$5,APOIO_REDES!$5:$5,0)),0)*$AP1384,0)</f>
        <v>4.32872269909124</v>
      </c>
      <c r="AY1384" s="153" t="n">
        <f aca="false">IFERROR(IF($N1384="VCA",INDEX(APOIO_REDES!$A:$W,MATCH($C1384&amp;$I1384&amp;$H1384&amp;$N1384&amp;$O1384,APOIO_REDES!$W:$W,0),MATCH(AY$5,APOIO_REDES!$5:$5,0)),0)*$AP1384,0)</f>
        <v>7.91836386973216</v>
      </c>
      <c r="AZ1384" s="153" t="n">
        <f aca="false">IFERROR(IF($N1384="VCA",INDEX(APOIO_REDES!$A:$W,MATCH($C1384&amp;$I1384&amp;$H1384&amp;$N1384&amp;$O1384,APOIO_REDES!$W:$W,0),MATCH(AZ$5,APOIO_REDES!$5:$5,0)),0)*$AP1384,0)</f>
        <v>1.0958786755964</v>
      </c>
      <c r="BA1384" s="153" t="n">
        <f aca="false">IFERROR(IF(AND($N1384="VCA",$Q1384="LINEAR"),INDEX(APOIO_REDES!$A:$W,MATCH($C1384&amp;$I1384&amp;$H1384&amp;$N1384&amp;$O1384,APOIO_REDES!$W:$W,0),MATCH(BA$5,APOIO_REDES!$5:$5,0)),IF(AND($N1384="MND",$Q1384="EMBOQUE"),INDEX(APOIO_REDES!$A:$W,MATCH($C1384&amp;$I1384&amp;$H1384&amp;$N1384&amp;$O1384,APOIO_REDES!$W:$W,0),MATCH(BA$5,APOIO_REDES!$5:$5,0)),0))*$M1384/10,0)</f>
        <v>3.01031578760479</v>
      </c>
      <c r="BB1384" s="153" t="n">
        <f aca="false">IFERROR(IF($N1384="VCA",INDEX(APOIO_REDES!$A:$W,MATCH($C1384&amp;$I1384&amp;$H1384&amp;$N1384&amp;$O1384,APOIO_REDES!$W:$W,0),MATCH(BB$5,APOIO_REDES!$5:$5,0)),0)*($AI1384+$AQ1384+$AR1384),0)</f>
        <v>18.4718104724821</v>
      </c>
      <c r="BC1384" s="153" t="n">
        <f aca="false">IFERROR(IF($N1384="VCA",INDEX(APOIO_REDES!$A:$W,MATCH($C1384&amp;$I1384&amp;$H1384&amp;$N1384&amp;$O1384,APOIO_REDES!$W:$W,0),MATCH(BC$5,APOIO_REDES!$5:$5,0)),0)*($AI1384+$AQ1384+$AR1384),0)</f>
        <v>0.203189527517848</v>
      </c>
      <c r="BD1384" s="153" t="n">
        <f aca="false">IF(AND($N1384="VCA",$AF1384&gt;=1.25,$AF1384&lt;1.5),$M1384*$AF1384*2,0)</f>
        <v>0</v>
      </c>
      <c r="BE1384" s="153" t="n">
        <f aca="false">IF(AND($N1384="VCA",$AF1384&gt;=1.5,$AF1384&lt;3),$M1384*$AF1384*2,0)</f>
        <v>113.9175</v>
      </c>
      <c r="BF1384" s="153" t="n">
        <f aca="false">IF(AND($N1384="VCA",$AF1384&gt;=3),$M1384*$AF1384*2,0)</f>
        <v>0</v>
      </c>
      <c r="BG1384" s="153" t="n">
        <f aca="false">($BB1384+$BC1384)*$AK1384</f>
        <v>91.5075</v>
      </c>
      <c r="BH1384" s="153" t="n">
        <f aca="false">IF(AND($M1384&lt;&gt;"",$N1384="VCA",$Q1384="LINEAR"),($M1384*2)/100,IF(AND($M1384&lt;&gt;"",$N1384="MND",$Q1384="EMBOQUE"),($AN1384*2)/100,0))</f>
        <v>0.747</v>
      </c>
      <c r="BI1384" s="153" t="n">
        <f aca="false">IF(AND($M1384&lt;&gt;"",$N1384="VCA",$Q1384="LINEAR"),$M1384,IF(AND($M1384&lt;&gt;"",$N1384="MND",$Q1384="EMBOQUE"),$AN1384*2,0))</f>
        <v>37.35</v>
      </c>
      <c r="BJ1384" s="153" t="n">
        <f aca="false">IF(AND($M1384&lt;&gt;"",$N1384="VCA",$Q1384="LINEAR"),($M1384*6.8)/100,IF(AND($M1384&lt;&gt;"",$N1384="MND",$Q1384="EMBOQUE"),($AN1384*2*6.8)/100,0))</f>
        <v>2.5398</v>
      </c>
      <c r="BK1384" s="153" t="n">
        <f aca="false">IF(AND($M1384&lt;&gt;"",$N1384="VCA",$Q1384="LINEAR"),($M1384*2.5)/50,IF(AND($M1384&lt;&gt;"",$N1384="MND",$Q1384="EMBOQUE"),($AN1384*2*2.5)/50,0))</f>
        <v>1.8675</v>
      </c>
      <c r="BL1384" s="157" t="str">
        <f aca="false">K1384&amp;J1384</f>
        <v>Zona11REDES</v>
      </c>
      <c r="BM1384" s="152" t="s">
        <v>6084</v>
      </c>
      <c r="BN1384" s="152" t="s">
        <v>1560</v>
      </c>
      <c r="BO1384" s="152" t="s">
        <v>6516</v>
      </c>
      <c r="BP1384" s="152" t="s">
        <v>6745</v>
      </c>
      <c r="BQ1384" s="152" t="s">
        <v>6764</v>
      </c>
      <c r="BR1384" s="152" t="s">
        <v>6775</v>
      </c>
      <c r="BS1384" s="152" t="n">
        <v>204218.819</v>
      </c>
      <c r="BT1384" s="152" t="n">
        <v>8235917.24</v>
      </c>
      <c r="BU1384" s="152" t="n">
        <v>204253.506</v>
      </c>
      <c r="BV1384" s="152" t="n">
        <v>8235926.391</v>
      </c>
      <c r="BW1384" s="152" t="n">
        <v>-15.9383776</v>
      </c>
      <c r="BX1384" s="152" t="n">
        <v>-47.7626048</v>
      </c>
      <c r="BY1384" s="152" t="s">
        <v>6745</v>
      </c>
    </row>
    <row r="1385" customFormat="false" ht="13.8" hidden="false" customHeight="false" outlineLevel="0" collapsed="false">
      <c r="A1385" s="149" t="n">
        <f aca="false">IF(C1385&lt;&gt;"",ROW(A1380),"")</f>
        <v>1380</v>
      </c>
      <c r="B1385" s="150" t="str">
        <f aca="false">HYPERLINK("https://www.google.com/maps/dir/-15.917302,-47.760003/-15.9384331,-47.7627776/data=!4m3!4m2!3e0!5i1")</f>
        <v>https://www.google.com/maps/dir/-15.917302,-47.760003/-15.9384331,-47.7627776/data=!4m3!4m2!3e0!5i1</v>
      </c>
      <c r="C1385" s="151" t="s">
        <v>117</v>
      </c>
      <c r="D1385" s="152" t="s">
        <v>112</v>
      </c>
      <c r="E1385" s="152" t="s">
        <v>113</v>
      </c>
      <c r="F1385" s="152" t="s">
        <v>117</v>
      </c>
      <c r="G1385" s="152" t="s">
        <v>114</v>
      </c>
      <c r="H1385" s="152" t="n">
        <v>160</v>
      </c>
      <c r="I1385" s="152" t="s">
        <v>115</v>
      </c>
      <c r="J1385" s="152" t="s">
        <v>6</v>
      </c>
      <c r="K1385" s="152" t="s">
        <v>6081</v>
      </c>
      <c r="L1385" s="152" t="s">
        <v>120</v>
      </c>
      <c r="M1385" s="153" t="n">
        <f aca="false">37.39</f>
        <v>37.39</v>
      </c>
      <c r="N1385" s="152" t="s">
        <v>1548</v>
      </c>
      <c r="O1385" s="152" t="s">
        <v>1549</v>
      </c>
      <c r="P1385" s="152" t="s">
        <v>1550</v>
      </c>
      <c r="Q1385" s="152" t="s">
        <v>1551</v>
      </c>
      <c r="R1385" s="154" t="s">
        <v>6776</v>
      </c>
      <c r="S1385" s="154" t="s">
        <v>1593</v>
      </c>
      <c r="T1385" s="155" t="s">
        <v>6514</v>
      </c>
      <c r="U1385" s="152" t="str">
        <f aca="false">RIGHT(T1385,7)</f>
        <v>024/037</v>
      </c>
      <c r="V1385" s="152" t="s">
        <v>1555</v>
      </c>
      <c r="W1385" s="156" t="n">
        <v>45882</v>
      </c>
      <c r="X1385" s="152" t="s">
        <v>3938</v>
      </c>
      <c r="Y1385" s="152"/>
      <c r="Z1385" s="152" t="s">
        <v>1557</v>
      </c>
      <c r="AA1385" s="153" t="n">
        <v>4.9</v>
      </c>
      <c r="AB1385" s="151" t="s">
        <v>6777</v>
      </c>
      <c r="AC1385" s="151" t="s">
        <v>505</v>
      </c>
      <c r="AD1385" s="151" t="str">
        <f aca="false">CONCATENATE($C1385,$I1385,$H1385,$N1385,$J1385,$K1385)</f>
        <v>TUBO PEADPEAD160VCAREDESZona11</v>
      </c>
      <c r="AE1385" s="153" t="n">
        <f aca="false">IFERROR(INDEX(APOIO_REDES!$A:$W,MATCH($C1385&amp;$I1385&amp;$H1385&amp;$N1385&amp;$O1385,APOIO_REDES!$W:$W,0),MATCH(AE$5,APOIO_REDES!$5:$5,0)),0)</f>
        <v>1.2</v>
      </c>
      <c r="AF1385" s="153" t="n">
        <f aca="false">IFERROR(INDEX(APOIO_REDES!$A:$W,MATCH($C1385&amp;$I1385&amp;$H1385&amp;$N1385&amp;$O1385,APOIO_REDES!$W:$W,0),MATCH(AF$5,APOIO_REDES!$5:$5,0)),0)</f>
        <v>1.46</v>
      </c>
      <c r="AG1385" s="153" t="n">
        <f aca="false">IFERROR(INDEX(APOIO_REDES!$A:$W,MATCH($C1385&amp;$I1385&amp;$H1385&amp;$N1385&amp;$O1385,APOIO_REDES!$W:$W,0),MATCH(AG$5,APOIO_REDES!$5:$5,0)),0)</f>
        <v>0.75</v>
      </c>
      <c r="AH1385" s="153" t="n">
        <f aca="false">IFERROR(INDEX(APOIO_REDES!$A:$W,MATCH($C1385&amp;$I1385&amp;$H1385&amp;$N1385&amp;$O1385,APOIO_REDES!$W:$W,0),MATCH(AH$5,APOIO_REDES!$5:$5,0)),0)</f>
        <v>0.1</v>
      </c>
      <c r="AI1385" s="153" t="n">
        <f aca="false">IFERROR(IF($H1385&lt;&gt;"",(((($H1385/1000)/2)^2)*PI()*$M1385),0),0)</f>
        <v>0.751770555633423</v>
      </c>
      <c r="AJ1385" s="153" t="n">
        <f aca="false">IFERROR(IF(AND($H1385&lt;&gt;"",$I1385="FoFo",OR($N1385="MND",$N1385="VCA"),$Q1385="LINEAR"),0,IF(AND($H1385&lt;&gt;"",$I1385="PEAD",$N1385="VCA",$Q1385="LINEAR"),($H1385/1000)+0.3,IF(AND($H1385&lt;&gt;"",$I1385="PEAD",$N1385="MND",$Q1385="EMBOQUE"),0,IF(AND($H1385&lt;&gt;"",$I1385="PVC",$N1385="VCA",$Q1385="LINEAR"),($H1385/1000)+0.2,IF(AND($H1385&lt;&gt;"",$I1385="PVC",$N1385="MND",$Q1385="EMBOQUE"),0,IF(AND($H1385&lt;&gt;"",$I1385="PEAD",$N1385="VCA",$Q1385="PREDIAL"),0,0)))))),0)</f>
        <v>0.46</v>
      </c>
      <c r="AK1385" s="153" t="n">
        <f aca="false">IF(AA1385&lt;&gt;"",AA1385,0)</f>
        <v>4.9</v>
      </c>
      <c r="AL1385" s="153" t="n">
        <f aca="false">IF(AND($N1385="MND",$Q1385="EMBOQUE"),$M1385,IF(AND($N1385="VCA",$Q1385="LINEAR"),$M1385,IF(AND($N1385="VCA",$Q1385="PREDIAL"),0,0)))</f>
        <v>37.39</v>
      </c>
      <c r="AM1385" s="153" t="n">
        <f aca="false">IF(AND($N1385="MND",$Q1385="EMBOQUE"),$M1385,IF(AND($N1385="VCA",$Q1385="LINEAR"),$M1385,IF(AND($N1385="VCA",$Q1385="PREDIAL"),0,0)))</f>
        <v>37.39</v>
      </c>
      <c r="AN1385" s="153" t="n">
        <f aca="false">ROUND(IF(AND($N1385="VCA",$M1385&lt;&gt;"",$Q1385="LINEAR"),$M1385/100,IF(AND($N1385="MND",$M1385&gt;100,$Q1385="EMBOQUE"),$M1385/100,0)),0)</f>
        <v>0</v>
      </c>
      <c r="AO1385" s="153" t="n">
        <f aca="false">IF(AND($N1385="MND",$Q1385="EMBOQUE"),$AN1385*2*2,IF(AND($N1385="VCA",$Q1385="LINEAR"),$M1385*2,IF(AND($N1385="VCA",$Q1385="PREDIAL"),0,0)))</f>
        <v>74.78</v>
      </c>
      <c r="AP1385" s="153" t="n">
        <f aca="false">IFERROR($M1385*$AF1385*$AG1385,0)</f>
        <v>40.94205</v>
      </c>
      <c r="AQ1385" s="153" t="n">
        <f aca="false">IFERROR(IF(AND($N1385="VCA",$AH1385&gt;0),$M1385*$AG1385*$AH1385,0),0)</f>
        <v>2.80425</v>
      </c>
      <c r="AR1385" s="153" t="n">
        <f aca="false">IFERROR(IF(AND($N1385="VCA",$AJ1385&gt;0),($M1385*$AG1385*$AJ1385)-$AI1385,0),0)</f>
        <v>12.1477794443666</v>
      </c>
      <c r="AS1385" s="153" t="n">
        <f aca="false">IFERROR(IF(AND($N1385="VCA",$AP1385&gt;0),$AP1385-$AI1385-$AQ1385-$AR1385,0),0)</f>
        <v>25.23825</v>
      </c>
      <c r="AT1385" s="153" t="n">
        <f aca="false">IFERROR(IF($N1385="VCA",INDEX(APOIO_REDES!$A:$W,MATCH($C1385&amp;$I1385&amp;$H1385&amp;$N1385&amp;$O1385,APOIO_REDES!$W:$W,0),MATCH(AT$5,APOIO_REDES!$5:$5,0)),0)*$AP1385,0)</f>
        <v>0.445461622228226</v>
      </c>
      <c r="AU1385" s="153" t="n">
        <f aca="false">IFERROR(IF($N1385="VCA",INDEX(APOIO_REDES!$A:$W,MATCH($C1385&amp;$I1385&amp;$H1385&amp;$N1385&amp;$O1385,APOIO_REDES!$W:$W,0),MATCH(AU$5,APOIO_REDES!$5:$5,0)),0)*$AP1385,0)</f>
        <v>0.355733586880689</v>
      </c>
      <c r="AV1385" s="153" t="n">
        <f aca="false">IFERROR(IF($N1385="VCA",INDEX(APOIO_REDES!$A:$W,MATCH($C1385&amp;$I1385&amp;$H1385&amp;$N1385&amp;$O1385,APOIO_REDES!$W:$W,0),MATCH(AV$5,APOIO_REDES!$5:$5,0)),0)*$AP1385,0)</f>
        <v>0.0492307358061372</v>
      </c>
      <c r="AW1385" s="153" t="n">
        <f aca="false">IFERROR(IF($N1385="VCA",INDEX(APOIO_REDES!$A:$W,MATCH($C1385&amp;$I1385&amp;$H1385&amp;$N1385&amp;$O1385,APOIO_REDES!$W:$W,0),MATCH(AW$5,APOIO_REDES!$5:$5,0)),0)*$AP1385,0)</f>
        <v>28.1029403544837</v>
      </c>
      <c r="AX1385" s="153" t="n">
        <f aca="false">IFERROR(IF($N1385="VCA",INDEX(APOIO_REDES!$A:$W,MATCH($C1385&amp;$I1385&amp;$H1385&amp;$N1385&amp;$O1385,APOIO_REDES!$W:$W,0),MATCH(AX$5,APOIO_REDES!$5:$5,0)),0)*$AP1385,0)</f>
        <v>3.88936689231963</v>
      </c>
      <c r="AY1385" s="153" t="n">
        <f aca="false">IFERROR(IF($N1385="VCA",INDEX(APOIO_REDES!$A:$W,MATCH($C1385&amp;$I1385&amp;$H1385&amp;$N1385&amp;$O1385,APOIO_REDES!$W:$W,0),MATCH(AY$5,APOIO_REDES!$5:$5,0)),0)*$AP1385,0)</f>
        <v>7.1146674012502</v>
      </c>
      <c r="AZ1385" s="153" t="n">
        <f aca="false">IFERROR(IF($N1385="VCA",INDEX(APOIO_REDES!$A:$W,MATCH($C1385&amp;$I1385&amp;$H1385&amp;$N1385&amp;$O1385,APOIO_REDES!$W:$W,0),MATCH(AZ$5,APOIO_REDES!$5:$5,0)),0)*$AP1385,0)</f>
        <v>0.984649407031442</v>
      </c>
      <c r="BA1385" s="153" t="n">
        <f aca="false">IFERROR(IF(AND($N1385="VCA",$Q1385="LINEAR"),INDEX(APOIO_REDES!$A:$W,MATCH($C1385&amp;$I1385&amp;$H1385&amp;$N1385&amp;$O1385,APOIO_REDES!$W:$W,0),MATCH(BA$5,APOIO_REDES!$5:$5,0)),IF(AND($N1385="MND",$Q1385="EMBOQUE"),INDEX(APOIO_REDES!$A:$W,MATCH($C1385&amp;$I1385&amp;$H1385&amp;$N1385&amp;$O1385,APOIO_REDES!$W:$W,0),MATCH(BA$5,APOIO_REDES!$5:$5,0)),0))*$M1385/10,0)</f>
        <v>3.01353968670799</v>
      </c>
      <c r="BB1385" s="153" t="n">
        <f aca="false">IFERROR(IF($N1385="VCA",INDEX(APOIO_REDES!$A:$W,MATCH($C1385&amp;$I1385&amp;$H1385&amp;$N1385&amp;$O1385,APOIO_REDES!$W:$W,0),MATCH(BB$5,APOIO_REDES!$5:$5,0)),0)*($AI1385+$AQ1385+$AR1385),0)</f>
        <v>15.5329380079125</v>
      </c>
      <c r="BC1385" s="153" t="n">
        <f aca="false">IFERROR(IF($N1385="VCA",INDEX(APOIO_REDES!$A:$W,MATCH($C1385&amp;$I1385&amp;$H1385&amp;$N1385&amp;$O1385,APOIO_REDES!$W:$W,0),MATCH(BC$5,APOIO_REDES!$5:$5,0)),0)*($AI1385+$AQ1385+$AR1385),0)</f>
        <v>0.170861992087539</v>
      </c>
      <c r="BD1385" s="153" t="n">
        <f aca="false">IF(AND($N1385="VCA",$AF1385&gt;=1.25,$AF1385&lt;1.5),$M1385*$AF1385*2,0)</f>
        <v>109.1788</v>
      </c>
      <c r="BE1385" s="153" t="n">
        <f aca="false">IF(AND($N1385="VCA",$AF1385&gt;=1.5,$AF1385&lt;3),$M1385*$AF1385*2,0)</f>
        <v>0</v>
      </c>
      <c r="BF1385" s="153" t="n">
        <f aca="false">IF(AND($N1385="VCA",$AF1385&gt;=3),$M1385*$AF1385*2,0)</f>
        <v>0</v>
      </c>
      <c r="BG1385" s="153" t="n">
        <f aca="false">($BB1385+$BC1385)*$AK1385</f>
        <v>76.94862</v>
      </c>
      <c r="BH1385" s="153" t="n">
        <f aca="false">IF(AND($M1385&lt;&gt;"",$N1385="VCA",$Q1385="LINEAR"),($M1385*2)/100,IF(AND($M1385&lt;&gt;"",$N1385="MND",$Q1385="EMBOQUE"),($AN1385*2)/100,0))</f>
        <v>0.7478</v>
      </c>
      <c r="BI1385" s="153" t="n">
        <f aca="false">IF(AND($M1385&lt;&gt;"",$N1385="VCA",$Q1385="LINEAR"),$M1385,IF(AND($M1385&lt;&gt;"",$N1385="MND",$Q1385="EMBOQUE"),$AN1385*2,0))</f>
        <v>37.39</v>
      </c>
      <c r="BJ1385" s="153" t="n">
        <f aca="false">IF(AND($M1385&lt;&gt;"",$N1385="VCA",$Q1385="LINEAR"),($M1385*6.8)/100,IF(AND($M1385&lt;&gt;"",$N1385="MND",$Q1385="EMBOQUE"),($AN1385*2*6.8)/100,0))</f>
        <v>2.54252</v>
      </c>
      <c r="BK1385" s="153" t="n">
        <f aca="false">IF(AND($M1385&lt;&gt;"",$N1385="VCA",$Q1385="LINEAR"),($M1385*2.5)/50,IF(AND($M1385&lt;&gt;"",$N1385="MND",$Q1385="EMBOQUE"),($AN1385*2*2.5)/50,0))</f>
        <v>1.8695</v>
      </c>
      <c r="BL1385" s="157" t="str">
        <f aca="false">K1385&amp;J1385</f>
        <v>Zona11REDES</v>
      </c>
      <c r="BM1385" s="152" t="s">
        <v>6084</v>
      </c>
      <c r="BN1385" s="152" t="s">
        <v>1560</v>
      </c>
      <c r="BO1385" s="152" t="s">
        <v>6516</v>
      </c>
      <c r="BP1385" s="152" t="s">
        <v>6778</v>
      </c>
      <c r="BQ1385" s="152" t="s">
        <v>6768</v>
      </c>
      <c r="BR1385" s="152" t="s">
        <v>6727</v>
      </c>
      <c r="BS1385" s="152" t="n">
        <v>204217.73</v>
      </c>
      <c r="BT1385" s="152" t="n">
        <v>8235915.42</v>
      </c>
      <c r="BU1385" s="152" t="n">
        <v>204253.894</v>
      </c>
      <c r="BV1385" s="152" t="n">
        <v>8235924.921</v>
      </c>
      <c r="BW1385" s="152" t="n">
        <v>-15.9383924</v>
      </c>
      <c r="BX1385" s="152" t="n">
        <v>-47.7626083</v>
      </c>
      <c r="BY1385" s="152" t="s">
        <v>6778</v>
      </c>
    </row>
    <row r="1386" customFormat="false" ht="13.8" hidden="false" customHeight="false" outlineLevel="0" collapsed="false">
      <c r="A1386" s="149" t="n">
        <f aca="false">IF(C1386&lt;&gt;"",ROW(A1381),"")</f>
        <v>1381</v>
      </c>
      <c r="B1386" s="150" t="str">
        <f aca="false">HYPERLINK("https://www.google.com/maps/dir/-15.917302,-47.760003/-15.9383517,-47.7624389/data=!4m3!4m2!3e0!5i1")</f>
        <v>https://www.google.com/maps/dir/-15.917302,-47.760003/-15.9383517,-47.7624389/data=!4m3!4m2!3e0!5i1</v>
      </c>
      <c r="C1386" s="151" t="s">
        <v>117</v>
      </c>
      <c r="D1386" s="152" t="s">
        <v>112</v>
      </c>
      <c r="E1386" s="152" t="s">
        <v>113</v>
      </c>
      <c r="F1386" s="152" t="s">
        <v>117</v>
      </c>
      <c r="G1386" s="152" t="s">
        <v>114</v>
      </c>
      <c r="H1386" s="152" t="n">
        <v>160</v>
      </c>
      <c r="I1386" s="152" t="s">
        <v>115</v>
      </c>
      <c r="J1386" s="152" t="s">
        <v>6</v>
      </c>
      <c r="K1386" s="152" t="s">
        <v>6081</v>
      </c>
      <c r="L1386" s="152" t="s">
        <v>120</v>
      </c>
      <c r="M1386" s="153" t="n">
        <f aca="false">11.77</f>
        <v>11.77</v>
      </c>
      <c r="N1386" s="152" t="s">
        <v>1548</v>
      </c>
      <c r="O1386" s="152" t="s">
        <v>1549</v>
      </c>
      <c r="P1386" s="152" t="s">
        <v>1550</v>
      </c>
      <c r="Q1386" s="152" t="s">
        <v>1551</v>
      </c>
      <c r="R1386" s="154" t="s">
        <v>6779</v>
      </c>
      <c r="S1386" s="154" t="s">
        <v>1593</v>
      </c>
      <c r="T1386" s="155" t="s">
        <v>6514</v>
      </c>
      <c r="U1386" s="152" t="str">
        <f aca="false">RIGHT(T1386,7)</f>
        <v>024/037</v>
      </c>
      <c r="V1386" s="152" t="s">
        <v>1555</v>
      </c>
      <c r="W1386" s="156" t="n">
        <v>45882</v>
      </c>
      <c r="X1386" s="152" t="s">
        <v>3938</v>
      </c>
      <c r="Y1386" s="152" t="s">
        <v>6234</v>
      </c>
      <c r="Z1386" s="152" t="s">
        <v>1557</v>
      </c>
      <c r="AA1386" s="153" t="n">
        <v>4.8</v>
      </c>
      <c r="AB1386" s="151" t="s">
        <v>6780</v>
      </c>
      <c r="AC1386" s="151" t="s">
        <v>505</v>
      </c>
      <c r="AD1386" s="151" t="str">
        <f aca="false">CONCATENATE($C1386,$I1386,$H1386,$N1386,$J1386,$K1386)</f>
        <v>TUBO PEADPEAD160VCAREDESZona11</v>
      </c>
      <c r="AE1386" s="153" t="n">
        <f aca="false">IFERROR(INDEX(APOIO_REDES!$A:$W,MATCH($C1386&amp;$I1386&amp;$H1386&amp;$N1386&amp;$O1386,APOIO_REDES!$W:$W,0),MATCH(AE$5,APOIO_REDES!$5:$5,0)),0)</f>
        <v>1.2</v>
      </c>
      <c r="AF1386" s="153" t="n">
        <f aca="false">IFERROR(INDEX(APOIO_REDES!$A:$W,MATCH($C1386&amp;$I1386&amp;$H1386&amp;$N1386&amp;$O1386,APOIO_REDES!$W:$W,0),MATCH(AF$5,APOIO_REDES!$5:$5,0)),0)</f>
        <v>1.46</v>
      </c>
      <c r="AG1386" s="153" t="n">
        <f aca="false">IFERROR(INDEX(APOIO_REDES!$A:$W,MATCH($C1386&amp;$I1386&amp;$H1386&amp;$N1386&amp;$O1386,APOIO_REDES!$W:$W,0),MATCH(AG$5,APOIO_REDES!$5:$5,0)),0)</f>
        <v>0.75</v>
      </c>
      <c r="AH1386" s="153" t="n">
        <f aca="false">IFERROR(INDEX(APOIO_REDES!$A:$W,MATCH($C1386&amp;$I1386&amp;$H1386&amp;$N1386&amp;$O1386,APOIO_REDES!$W:$W,0),MATCH(AH$5,APOIO_REDES!$5:$5,0)),0)</f>
        <v>0.1</v>
      </c>
      <c r="AI1386" s="153" t="n">
        <f aca="false">IFERROR(IF($H1386&lt;&gt;"",(((($H1386/1000)/2)^2)*PI()*$M1386),0),0)</f>
        <v>0.236649891409612</v>
      </c>
      <c r="AJ1386" s="153" t="n">
        <f aca="false">IFERROR(IF(AND($H1386&lt;&gt;"",$I1386="FoFo",OR($N1386="MND",$N1386="VCA"),$Q1386="LINEAR"),0,IF(AND($H1386&lt;&gt;"",$I1386="PEAD",$N1386="VCA",$Q1386="LINEAR"),($H1386/1000)+0.3,IF(AND($H1386&lt;&gt;"",$I1386="PEAD",$N1386="MND",$Q1386="EMBOQUE"),0,IF(AND($H1386&lt;&gt;"",$I1386="PVC",$N1386="VCA",$Q1386="LINEAR"),($H1386/1000)+0.2,IF(AND($H1386&lt;&gt;"",$I1386="PVC",$N1386="MND",$Q1386="EMBOQUE"),0,IF(AND($H1386&lt;&gt;"",$I1386="PEAD",$N1386="VCA",$Q1386="PREDIAL"),0,0)))))),0)</f>
        <v>0.46</v>
      </c>
      <c r="AK1386" s="153" t="n">
        <f aca="false">IF(AA1386&lt;&gt;"",AA1386,0)</f>
        <v>4.8</v>
      </c>
      <c r="AL1386" s="153" t="n">
        <f aca="false">IF(AND($N1386="MND",$Q1386="EMBOQUE"),$M1386,IF(AND($N1386="VCA",$Q1386="LINEAR"),$M1386,IF(AND($N1386="VCA",$Q1386="PREDIAL"),0,0)))</f>
        <v>11.77</v>
      </c>
      <c r="AM1386" s="153" t="n">
        <f aca="false">IF(AND($N1386="MND",$Q1386="EMBOQUE"),$M1386,IF(AND($N1386="VCA",$Q1386="LINEAR"),$M1386,IF(AND($N1386="VCA",$Q1386="PREDIAL"),0,0)))</f>
        <v>11.77</v>
      </c>
      <c r="AN1386" s="153" t="n">
        <f aca="false">ROUND(IF(AND($N1386="VCA",$M1386&lt;&gt;"",$Q1386="LINEAR"),$M1386/100,IF(AND($N1386="MND",$M1386&gt;100,$Q1386="EMBOQUE"),$M1386/100,0)),0)</f>
        <v>0</v>
      </c>
      <c r="AO1386" s="153" t="n">
        <f aca="false">IF(AND($N1386="MND",$Q1386="EMBOQUE"),$AN1386*2*2,IF(AND($N1386="VCA",$Q1386="LINEAR"),$M1386*2,IF(AND($N1386="VCA",$Q1386="PREDIAL"),0,0)))</f>
        <v>23.54</v>
      </c>
      <c r="AP1386" s="153" t="n">
        <f aca="false">IFERROR($M1386*$AF1386*$AG1386,0)</f>
        <v>12.88815</v>
      </c>
      <c r="AQ1386" s="153" t="n">
        <f aca="false">IFERROR(IF(AND($N1386="VCA",$AH1386&gt;0),$M1386*$AG1386*$AH1386,0),0)</f>
        <v>0.88275</v>
      </c>
      <c r="AR1386" s="153" t="n">
        <f aca="false">IFERROR(IF(AND($N1386="VCA",$AJ1386&gt;0),($M1386*$AG1386*$AJ1386)-$AI1386,0),0)</f>
        <v>3.82400010859039</v>
      </c>
      <c r="AS1386" s="153" t="n">
        <f aca="false">IFERROR(IF(AND($N1386="VCA",$AP1386&gt;0),$AP1386-$AI1386-$AQ1386-$AR1386,0),0)</f>
        <v>7.94475</v>
      </c>
      <c r="AT1386" s="153" t="n">
        <f aca="false">IFERROR(IF($N1386="VCA",INDEX(APOIO_REDES!$A:$W,MATCH($C1386&amp;$I1386&amp;$H1386&amp;$N1386&amp;$O1386,APOIO_REDES!$W:$W,0),MATCH(AT$5,APOIO_REDES!$5:$5,0)),0)*$AP1386,0)</f>
        <v>0.140226886697679</v>
      </c>
      <c r="AU1386" s="153" t="n">
        <f aca="false">IFERROR(IF($N1386="VCA",INDEX(APOIO_REDES!$A:$W,MATCH($C1386&amp;$I1386&amp;$H1386&amp;$N1386&amp;$O1386,APOIO_REDES!$W:$W,0),MATCH(AU$5,APOIO_REDES!$5:$5,0)),0)*$AP1386,0)</f>
        <v>0.111981393891033</v>
      </c>
      <c r="AV1386" s="153" t="n">
        <f aca="false">IFERROR(IF($N1386="VCA",INDEX(APOIO_REDES!$A:$W,MATCH($C1386&amp;$I1386&amp;$H1386&amp;$N1386&amp;$O1386,APOIO_REDES!$W:$W,0),MATCH(AV$5,APOIO_REDES!$5:$5,0)),0)*$AP1386,0)</f>
        <v>0.0154973458261095</v>
      </c>
      <c r="AW1386" s="153" t="n">
        <f aca="false">IFERROR(IF($N1386="VCA",INDEX(APOIO_REDES!$A:$W,MATCH($C1386&amp;$I1386&amp;$H1386&amp;$N1386&amp;$O1386,APOIO_REDES!$W:$W,0),MATCH(AW$5,APOIO_REDES!$5:$5,0)),0)*$AP1386,0)</f>
        <v>8.84652602225924</v>
      </c>
      <c r="AX1386" s="153" t="n">
        <f aca="false">IFERROR(IF($N1386="VCA",INDEX(APOIO_REDES!$A:$W,MATCH($C1386&amp;$I1386&amp;$H1386&amp;$N1386&amp;$O1386,APOIO_REDES!$W:$W,0),MATCH(AX$5,APOIO_REDES!$5:$5,0)),0)*$AP1386,0)</f>
        <v>1.2243340016743</v>
      </c>
      <c r="AY1386" s="153" t="n">
        <f aca="false">IFERROR(IF($N1386="VCA",INDEX(APOIO_REDES!$A:$W,MATCH($C1386&amp;$I1386&amp;$H1386&amp;$N1386&amp;$O1386,APOIO_REDES!$W:$W,0),MATCH(AY$5,APOIO_REDES!$5:$5,0)),0)*$AP1386,0)</f>
        <v>2.23962651277654</v>
      </c>
      <c r="AZ1386" s="153" t="n">
        <f aca="false">IFERROR(IF($N1386="VCA",INDEX(APOIO_REDES!$A:$W,MATCH($C1386&amp;$I1386&amp;$H1386&amp;$N1386&amp;$O1386,APOIO_REDES!$W:$W,0),MATCH(AZ$5,APOIO_REDES!$5:$5,0)),0)*$AP1386,0)</f>
        <v>0.309957836875102</v>
      </c>
      <c r="BA1386" s="153" t="n">
        <f aca="false">IFERROR(IF(AND($N1386="VCA",$Q1386="LINEAR"),INDEX(APOIO_REDES!$A:$W,MATCH($C1386&amp;$I1386&amp;$H1386&amp;$N1386&amp;$O1386,APOIO_REDES!$W:$W,0),MATCH(BA$5,APOIO_REDES!$5:$5,0)),IF(AND($N1386="MND",$Q1386="EMBOQUE"),INDEX(APOIO_REDES!$A:$W,MATCH($C1386&amp;$I1386&amp;$H1386&amp;$N1386&amp;$O1386,APOIO_REDES!$W:$W,0),MATCH(BA$5,APOIO_REDES!$5:$5,0)),0))*$M1386/10,0)</f>
        <v>0.948632311114014</v>
      </c>
      <c r="BB1386" s="153" t="n">
        <f aca="false">IFERROR(IF($N1386="VCA",INDEX(APOIO_REDES!$A:$W,MATCH($C1386&amp;$I1386&amp;$H1386&amp;$N1386&amp;$O1386,APOIO_REDES!$W:$W,0),MATCH(BB$5,APOIO_REDES!$5:$5,0)),0)*($AI1386+$AQ1386+$AR1386),0)</f>
        <v>4.88961434482829</v>
      </c>
      <c r="BC1386" s="153" t="n">
        <f aca="false">IFERROR(IF($N1386="VCA",INDEX(APOIO_REDES!$A:$W,MATCH($C1386&amp;$I1386&amp;$H1386&amp;$N1386&amp;$O1386,APOIO_REDES!$W:$W,0),MATCH(BC$5,APOIO_REDES!$5:$5,0)),0)*($AI1386+$AQ1386+$AR1386),0)</f>
        <v>0.0537856551717126</v>
      </c>
      <c r="BD1386" s="153" t="n">
        <f aca="false">IF(AND($N1386="VCA",$AF1386&gt;=1.25,$AF1386&lt;1.5),$M1386*$AF1386*2,0)</f>
        <v>34.3684</v>
      </c>
      <c r="BE1386" s="153" t="n">
        <f aca="false">IF(AND($N1386="VCA",$AF1386&gt;=1.5,$AF1386&lt;3),$M1386*$AF1386*2,0)</f>
        <v>0</v>
      </c>
      <c r="BF1386" s="153" t="n">
        <f aca="false">IF(AND($N1386="VCA",$AF1386&gt;=3),$M1386*$AF1386*2,0)</f>
        <v>0</v>
      </c>
      <c r="BG1386" s="153" t="n">
        <f aca="false">($BB1386+$BC1386)*$AK1386</f>
        <v>23.72832</v>
      </c>
      <c r="BH1386" s="153" t="n">
        <f aca="false">IF(AND($M1386&lt;&gt;"",$N1386="VCA",$Q1386="LINEAR"),($M1386*2)/100,IF(AND($M1386&lt;&gt;"",$N1386="MND",$Q1386="EMBOQUE"),($AN1386*2)/100,0))</f>
        <v>0.2354</v>
      </c>
      <c r="BI1386" s="153" t="n">
        <f aca="false">IF(AND($M1386&lt;&gt;"",$N1386="VCA",$Q1386="LINEAR"),$M1386,IF(AND($M1386&lt;&gt;"",$N1386="MND",$Q1386="EMBOQUE"),$AN1386*2,0))</f>
        <v>11.77</v>
      </c>
      <c r="BJ1386" s="153" t="n">
        <f aca="false">IF(AND($M1386&lt;&gt;"",$N1386="VCA",$Q1386="LINEAR"),($M1386*6.8)/100,IF(AND($M1386&lt;&gt;"",$N1386="MND",$Q1386="EMBOQUE"),($AN1386*2*6.8)/100,0))</f>
        <v>0.80036</v>
      </c>
      <c r="BK1386" s="153" t="n">
        <f aca="false">IF(AND($M1386&lt;&gt;"",$N1386="VCA",$Q1386="LINEAR"),($M1386*2.5)/50,IF(AND($M1386&lt;&gt;"",$N1386="MND",$Q1386="EMBOQUE"),($AN1386*2*2.5)/50,0))</f>
        <v>0.5885</v>
      </c>
      <c r="BL1386" s="157" t="str">
        <f aca="false">K1386&amp;J1386</f>
        <v>Zona11REDES</v>
      </c>
      <c r="BM1386" s="152" t="s">
        <v>6084</v>
      </c>
      <c r="BN1386" s="152" t="s">
        <v>1560</v>
      </c>
      <c r="BO1386" s="152" t="s">
        <v>6516</v>
      </c>
      <c r="BP1386" s="152" t="s">
        <v>6768</v>
      </c>
      <c r="BQ1386" s="152" t="s">
        <v>6760</v>
      </c>
      <c r="BR1386" s="152" t="s">
        <v>6769</v>
      </c>
      <c r="BS1386" s="152" t="n">
        <v>204255.34</v>
      </c>
      <c r="BT1386" s="152" t="n">
        <v>8235925.324</v>
      </c>
      <c r="BU1386" s="152" t="n">
        <v>204258.501</v>
      </c>
      <c r="BV1386" s="152" t="n">
        <v>8235913.983</v>
      </c>
      <c r="BW1386" s="152" t="n">
        <v>-15.9383996</v>
      </c>
      <c r="BX1386" s="152" t="n">
        <v>-47.7624114</v>
      </c>
      <c r="BY1386" s="152" t="s">
        <v>6768</v>
      </c>
    </row>
    <row r="1387" customFormat="false" ht="13.8" hidden="false" customHeight="false" outlineLevel="0" collapsed="false">
      <c r="A1387" s="149" t="n">
        <f aca="false">IF(C1387&lt;&gt;"",ROW(A1382),"")</f>
        <v>1382</v>
      </c>
      <c r="B1387" s="150" t="str">
        <f aca="false">HYPERLINK("https://www.google.com/maps/dir/-15.917302,-47.760003/-15.9383517,-47.7624389/data=!4m3!4m2!3e0!5i1")</f>
        <v>https://www.google.com/maps/dir/-15.917302,-47.760003/-15.9383517,-47.7624389/data=!4m3!4m2!3e0!5i1</v>
      </c>
      <c r="C1387" s="151" t="s">
        <v>117</v>
      </c>
      <c r="D1387" s="152" t="s">
        <v>112</v>
      </c>
      <c r="E1387" s="152" t="s">
        <v>113</v>
      </c>
      <c r="F1387" s="152" t="s">
        <v>117</v>
      </c>
      <c r="G1387" s="152" t="s">
        <v>114</v>
      </c>
      <c r="H1387" s="152" t="n">
        <v>160</v>
      </c>
      <c r="I1387" s="152" t="s">
        <v>115</v>
      </c>
      <c r="J1387" s="152" t="s">
        <v>6</v>
      </c>
      <c r="K1387" s="152" t="s">
        <v>6081</v>
      </c>
      <c r="L1387" s="152" t="s">
        <v>120</v>
      </c>
      <c r="M1387" s="153" t="n">
        <f aca="false">13.21</f>
        <v>13.21</v>
      </c>
      <c r="N1387" s="152" t="s">
        <v>1548</v>
      </c>
      <c r="O1387" s="152" t="s">
        <v>1549</v>
      </c>
      <c r="P1387" s="152" t="s">
        <v>1550</v>
      </c>
      <c r="Q1387" s="152" t="s">
        <v>1551</v>
      </c>
      <c r="R1387" s="154" t="s">
        <v>6781</v>
      </c>
      <c r="S1387" s="154" t="s">
        <v>1593</v>
      </c>
      <c r="T1387" s="155" t="s">
        <v>6514</v>
      </c>
      <c r="U1387" s="152" t="str">
        <f aca="false">RIGHT(T1387,7)</f>
        <v>024/037</v>
      </c>
      <c r="V1387" s="152" t="s">
        <v>1555</v>
      </c>
      <c r="W1387" s="156" t="n">
        <v>45882</v>
      </c>
      <c r="X1387" s="152" t="s">
        <v>3938</v>
      </c>
      <c r="Y1387" s="152" t="s">
        <v>6234</v>
      </c>
      <c r="Z1387" s="152" t="s">
        <v>1557</v>
      </c>
      <c r="AA1387" s="153" t="n">
        <v>4.8</v>
      </c>
      <c r="AB1387" s="151" t="s">
        <v>6782</v>
      </c>
      <c r="AC1387" s="151" t="s">
        <v>505</v>
      </c>
      <c r="AD1387" s="151" t="str">
        <f aca="false">CONCATENATE($C1387,$I1387,$H1387,$N1387,$J1387,$K1387)</f>
        <v>TUBO PEADPEAD160VCAREDESZona11</v>
      </c>
      <c r="AE1387" s="153" t="n">
        <f aca="false">IFERROR(INDEX(APOIO_REDES!$A:$W,MATCH($C1387&amp;$I1387&amp;$H1387&amp;$N1387&amp;$O1387,APOIO_REDES!$W:$W,0),MATCH(AE$5,APOIO_REDES!$5:$5,0)),0)</f>
        <v>1.2</v>
      </c>
      <c r="AF1387" s="153" t="n">
        <f aca="false">IFERROR(INDEX(APOIO_REDES!$A:$W,MATCH($C1387&amp;$I1387&amp;$H1387&amp;$N1387&amp;$O1387,APOIO_REDES!$W:$W,0),MATCH(AF$5,APOIO_REDES!$5:$5,0)),0)</f>
        <v>1.46</v>
      </c>
      <c r="AG1387" s="153" t="n">
        <f aca="false">IFERROR(INDEX(APOIO_REDES!$A:$W,MATCH($C1387&amp;$I1387&amp;$H1387&amp;$N1387&amp;$O1387,APOIO_REDES!$W:$W,0),MATCH(AG$5,APOIO_REDES!$5:$5,0)),0)</f>
        <v>0.75</v>
      </c>
      <c r="AH1387" s="153" t="n">
        <f aca="false">IFERROR(INDEX(APOIO_REDES!$A:$W,MATCH($C1387&amp;$I1387&amp;$H1387&amp;$N1387&amp;$O1387,APOIO_REDES!$W:$W,0),MATCH(AH$5,APOIO_REDES!$5:$5,0)),0)</f>
        <v>0.1</v>
      </c>
      <c r="AI1387" s="153" t="n">
        <f aca="false">IFERROR(IF($H1387&lt;&gt;"",(((($H1387/1000)/2)^2)*PI()*$M1387),0),0)</f>
        <v>0.265602809305096</v>
      </c>
      <c r="AJ1387" s="153" t="n">
        <f aca="false">IFERROR(IF(AND($H1387&lt;&gt;"",$I1387="FoFo",OR($N1387="MND",$N1387="VCA"),$Q1387="LINEAR"),0,IF(AND($H1387&lt;&gt;"",$I1387="PEAD",$N1387="VCA",$Q1387="LINEAR"),($H1387/1000)+0.3,IF(AND($H1387&lt;&gt;"",$I1387="PEAD",$N1387="MND",$Q1387="EMBOQUE"),0,IF(AND($H1387&lt;&gt;"",$I1387="PVC",$N1387="VCA",$Q1387="LINEAR"),($H1387/1000)+0.2,IF(AND($H1387&lt;&gt;"",$I1387="PVC",$N1387="MND",$Q1387="EMBOQUE"),0,IF(AND($H1387&lt;&gt;"",$I1387="PEAD",$N1387="VCA",$Q1387="PREDIAL"),0,0)))))),0)</f>
        <v>0.46</v>
      </c>
      <c r="AK1387" s="153" t="n">
        <f aca="false">IF(AA1387&lt;&gt;"",AA1387,0)</f>
        <v>4.8</v>
      </c>
      <c r="AL1387" s="153" t="n">
        <f aca="false">IF(AND($N1387="MND",$Q1387="EMBOQUE"),$M1387,IF(AND($N1387="VCA",$Q1387="LINEAR"),$M1387,IF(AND($N1387="VCA",$Q1387="PREDIAL"),0,0)))</f>
        <v>13.21</v>
      </c>
      <c r="AM1387" s="153" t="n">
        <f aca="false">IF(AND($N1387="MND",$Q1387="EMBOQUE"),$M1387,IF(AND($N1387="VCA",$Q1387="LINEAR"),$M1387,IF(AND($N1387="VCA",$Q1387="PREDIAL"),0,0)))</f>
        <v>13.21</v>
      </c>
      <c r="AN1387" s="153" t="n">
        <f aca="false">ROUND(IF(AND($N1387="VCA",$M1387&lt;&gt;"",$Q1387="LINEAR"),$M1387/100,IF(AND($N1387="MND",$M1387&gt;100,$Q1387="EMBOQUE"),$M1387/100,0)),0)</f>
        <v>0</v>
      </c>
      <c r="AO1387" s="153" t="n">
        <f aca="false">IF(AND($N1387="MND",$Q1387="EMBOQUE"),$AN1387*2*2,IF(AND($N1387="VCA",$Q1387="LINEAR"),$M1387*2,IF(AND($N1387="VCA",$Q1387="PREDIAL"),0,0)))</f>
        <v>26.42</v>
      </c>
      <c r="AP1387" s="153" t="n">
        <f aca="false">IFERROR($M1387*$AF1387*$AG1387,0)</f>
        <v>14.46495</v>
      </c>
      <c r="AQ1387" s="153" t="n">
        <f aca="false">IFERROR(IF(AND($N1387="VCA",$AH1387&gt;0),$M1387*$AG1387*$AH1387,0),0)</f>
        <v>0.99075</v>
      </c>
      <c r="AR1387" s="153" t="n">
        <f aca="false">IFERROR(IF(AND($N1387="VCA",$AJ1387&gt;0),($M1387*$AG1387*$AJ1387)-$AI1387,0),0)</f>
        <v>4.29184719069491</v>
      </c>
      <c r="AS1387" s="153" t="n">
        <f aca="false">IFERROR(IF(AND($N1387="VCA",$AP1387&gt;0),$AP1387-$AI1387-$AQ1387-$AR1387,0),0)</f>
        <v>8.91675</v>
      </c>
      <c r="AT1387" s="153" t="n">
        <f aca="false">IFERROR(IF($N1387="VCA",INDEX(APOIO_REDES!$A:$W,MATCH($C1387&amp;$I1387&amp;$H1387&amp;$N1387&amp;$O1387,APOIO_REDES!$W:$W,0),MATCH(AT$5,APOIO_REDES!$5:$5,0)),0)*$AP1387,0)</f>
        <v>0.157382937406656</v>
      </c>
      <c r="AU1387" s="153" t="n">
        <f aca="false">IFERROR(IF($N1387="VCA",INDEX(APOIO_REDES!$A:$W,MATCH($C1387&amp;$I1387&amp;$H1387&amp;$N1387&amp;$O1387,APOIO_REDES!$W:$W,0),MATCH(AU$5,APOIO_REDES!$5:$5,0)),0)*$AP1387,0)</f>
        <v>0.125681751342442</v>
      </c>
      <c r="AV1387" s="153" t="n">
        <f aca="false">IFERROR(IF($N1387="VCA",INDEX(APOIO_REDES!$A:$W,MATCH($C1387&amp;$I1387&amp;$H1387&amp;$N1387&amp;$O1387,APOIO_REDES!$W:$W,0),MATCH(AV$5,APOIO_REDES!$5:$5,0)),0)*$AP1387,0)</f>
        <v>0.0173933677453617</v>
      </c>
      <c r="AW1387" s="153" t="n">
        <f aca="false">IFERROR(IF($N1387="VCA",INDEX(APOIO_REDES!$A:$W,MATCH($C1387&amp;$I1387&amp;$H1387&amp;$N1387&amp;$O1387,APOIO_REDES!$W:$W,0),MATCH(AW$5,APOIO_REDES!$5:$5,0)),0)*$AP1387,0)</f>
        <v>9.92885375990183</v>
      </c>
      <c r="AX1387" s="153" t="n">
        <f aca="false">IFERROR(IF($N1387="VCA",INDEX(APOIO_REDES!$A:$W,MATCH($C1387&amp;$I1387&amp;$H1387&amp;$N1387&amp;$O1387,APOIO_REDES!$W:$W,0),MATCH(AX$5,APOIO_REDES!$5:$5,0)),0)*$AP1387,0)</f>
        <v>1.37412507749511</v>
      </c>
      <c r="AY1387" s="153" t="n">
        <f aca="false">IFERROR(IF($N1387="VCA",INDEX(APOIO_REDES!$A:$W,MATCH($C1387&amp;$I1387&amp;$H1387&amp;$N1387&amp;$O1387,APOIO_REDES!$W:$W,0),MATCH(AY$5,APOIO_REDES!$5:$5,0)),0)*$AP1387,0)</f>
        <v>2.51363349479848</v>
      </c>
      <c r="AZ1387" s="153" t="n">
        <f aca="false">IFERROR(IF($N1387="VCA",INDEX(APOIO_REDES!$A:$W,MATCH($C1387&amp;$I1387&amp;$H1387&amp;$N1387&amp;$O1387,APOIO_REDES!$W:$W,0),MATCH(AZ$5,APOIO_REDES!$5:$5,0)),0)*$AP1387,0)</f>
        <v>0.347879611310119</v>
      </c>
      <c r="BA1387" s="153" t="n">
        <f aca="false">IFERROR(IF(AND($N1387="VCA",$Q1387="LINEAR"),INDEX(APOIO_REDES!$A:$W,MATCH($C1387&amp;$I1387&amp;$H1387&amp;$N1387&amp;$O1387,APOIO_REDES!$W:$W,0),MATCH(BA$5,APOIO_REDES!$5:$5,0)),IF(AND($N1387="MND",$Q1387="EMBOQUE"),INDEX(APOIO_REDES!$A:$W,MATCH($C1387&amp;$I1387&amp;$H1387&amp;$N1387&amp;$O1387,APOIO_REDES!$W:$W,0),MATCH(BA$5,APOIO_REDES!$5:$5,0)),0))*$M1387/10,0)</f>
        <v>1.0646926788289</v>
      </c>
      <c r="BB1387" s="153" t="n">
        <f aca="false">IFERROR(IF($N1387="VCA",INDEX(APOIO_REDES!$A:$W,MATCH($C1387&amp;$I1387&amp;$H1387&amp;$N1387&amp;$O1387,APOIO_REDES!$W:$W,0),MATCH(BB$5,APOIO_REDES!$5:$5,0)),0)*($AI1387+$AQ1387+$AR1387),0)</f>
        <v>5.48783394181663</v>
      </c>
      <c r="BC1387" s="153" t="n">
        <f aca="false">IFERROR(IF($N1387="VCA",INDEX(APOIO_REDES!$A:$W,MATCH($C1387&amp;$I1387&amp;$H1387&amp;$N1387&amp;$O1387,APOIO_REDES!$W:$W,0),MATCH(BC$5,APOIO_REDES!$5:$5,0)),0)*($AI1387+$AQ1387+$AR1387),0)</f>
        <v>0.0603660581833749</v>
      </c>
      <c r="BD1387" s="153" t="n">
        <f aca="false">IF(AND($N1387="VCA",$AF1387&gt;=1.25,$AF1387&lt;1.5),$M1387*$AF1387*2,0)</f>
        <v>38.5732</v>
      </c>
      <c r="BE1387" s="153" t="n">
        <f aca="false">IF(AND($N1387="VCA",$AF1387&gt;=1.5,$AF1387&lt;3),$M1387*$AF1387*2,0)</f>
        <v>0</v>
      </c>
      <c r="BF1387" s="153" t="n">
        <f aca="false">IF(AND($N1387="VCA",$AF1387&gt;=3),$M1387*$AF1387*2,0)</f>
        <v>0</v>
      </c>
      <c r="BG1387" s="153" t="n">
        <f aca="false">($BB1387+$BC1387)*$AK1387</f>
        <v>26.63136</v>
      </c>
      <c r="BH1387" s="153" t="n">
        <f aca="false">IF(AND($M1387&lt;&gt;"",$N1387="VCA",$Q1387="LINEAR"),($M1387*2)/100,IF(AND($M1387&lt;&gt;"",$N1387="MND",$Q1387="EMBOQUE"),($AN1387*2)/100,0))</f>
        <v>0.2642</v>
      </c>
      <c r="BI1387" s="153" t="n">
        <f aca="false">IF(AND($M1387&lt;&gt;"",$N1387="VCA",$Q1387="LINEAR"),$M1387,IF(AND($M1387&lt;&gt;"",$N1387="MND",$Q1387="EMBOQUE"),$AN1387*2,0))</f>
        <v>13.21</v>
      </c>
      <c r="BJ1387" s="153" t="n">
        <f aca="false">IF(AND($M1387&lt;&gt;"",$N1387="VCA",$Q1387="LINEAR"),($M1387*6.8)/100,IF(AND($M1387&lt;&gt;"",$N1387="MND",$Q1387="EMBOQUE"),($AN1387*2*6.8)/100,0))</f>
        <v>0.89828</v>
      </c>
      <c r="BK1387" s="153" t="n">
        <f aca="false">IF(AND($M1387&lt;&gt;"",$N1387="VCA",$Q1387="LINEAR"),($M1387*2.5)/50,IF(AND($M1387&lt;&gt;"",$N1387="MND",$Q1387="EMBOQUE"),($AN1387*2*2.5)/50,0))</f>
        <v>0.6605</v>
      </c>
      <c r="BL1387" s="157" t="str">
        <f aca="false">K1387&amp;J1387</f>
        <v>Zona11REDES</v>
      </c>
      <c r="BM1387" s="152" t="s">
        <v>6084</v>
      </c>
      <c r="BN1387" s="152" t="s">
        <v>1560</v>
      </c>
      <c r="BO1387" s="152" t="s">
        <v>6516</v>
      </c>
      <c r="BP1387" s="152" t="s">
        <v>6768</v>
      </c>
      <c r="BQ1387" s="152" t="s">
        <v>6756</v>
      </c>
      <c r="BR1387" s="152" t="s">
        <v>6727</v>
      </c>
      <c r="BS1387" s="152" t="n">
        <v>204253.894</v>
      </c>
      <c r="BT1387" s="152" t="n">
        <v>8235924.921</v>
      </c>
      <c r="BU1387" s="152" t="n">
        <v>204257.38</v>
      </c>
      <c r="BV1387" s="152" t="n">
        <v>8235912.183</v>
      </c>
      <c r="BW1387" s="152" t="n">
        <v>-15.9384094</v>
      </c>
      <c r="BX1387" s="152" t="n">
        <v>-47.7624235</v>
      </c>
      <c r="BY1387" s="152" t="s">
        <v>6768</v>
      </c>
    </row>
    <row r="1388" customFormat="false" ht="13.8" hidden="false" customHeight="false" outlineLevel="0" collapsed="false">
      <c r="A1388" s="149" t="n">
        <f aca="false">IF(C1388&lt;&gt;"",ROW(A1383),"")</f>
        <v>1383</v>
      </c>
      <c r="B1388" s="150" t="str">
        <f aca="false">HYPERLINK("https://www.google.com/maps/dir/-15.917302,-47.760003/-15.9384739,-47.7642596/data=!4m3!4m2!3e0!5i1")</f>
        <v>https://www.google.com/maps/dir/-15.917302,-47.760003/-15.9384739,-47.7642596/data=!4m3!4m2!3e0!5i1</v>
      </c>
      <c r="C1388" s="151" t="s">
        <v>117</v>
      </c>
      <c r="D1388" s="152" t="s">
        <v>112</v>
      </c>
      <c r="E1388" s="152" t="s">
        <v>113</v>
      </c>
      <c r="F1388" s="152" t="s">
        <v>117</v>
      </c>
      <c r="G1388" s="152" t="s">
        <v>114</v>
      </c>
      <c r="H1388" s="152" t="n">
        <v>225</v>
      </c>
      <c r="I1388" s="152" t="s">
        <v>115</v>
      </c>
      <c r="J1388" s="152" t="s">
        <v>6</v>
      </c>
      <c r="K1388" s="152" t="s">
        <v>6081</v>
      </c>
      <c r="L1388" s="152" t="s">
        <v>120</v>
      </c>
      <c r="M1388" s="153" t="n">
        <f aca="false">62.96</f>
        <v>62.96</v>
      </c>
      <c r="N1388" s="152" t="s">
        <v>1548</v>
      </c>
      <c r="O1388" s="152" t="s">
        <v>1549</v>
      </c>
      <c r="P1388" s="152" t="s">
        <v>1550</v>
      </c>
      <c r="Q1388" s="152" t="s">
        <v>1551</v>
      </c>
      <c r="R1388" s="154" t="s">
        <v>6783</v>
      </c>
      <c r="S1388" s="154" t="s">
        <v>1593</v>
      </c>
      <c r="T1388" s="155" t="s">
        <v>6514</v>
      </c>
      <c r="U1388" s="152" t="str">
        <f aca="false">RIGHT(T1388,7)</f>
        <v>024/037</v>
      </c>
      <c r="V1388" s="152" t="s">
        <v>1555</v>
      </c>
      <c r="W1388" s="156" t="n">
        <v>45882</v>
      </c>
      <c r="X1388" s="152" t="s">
        <v>1594</v>
      </c>
      <c r="Y1388" s="152"/>
      <c r="Z1388" s="152" t="s">
        <v>1557</v>
      </c>
      <c r="AA1388" s="153" t="n">
        <v>5</v>
      </c>
      <c r="AB1388" s="151" t="s">
        <v>6784</v>
      </c>
      <c r="AC1388" s="151" t="s">
        <v>508</v>
      </c>
      <c r="AD1388" s="151" t="str">
        <f aca="false">CONCATENATE($C1388,$I1388,$H1388,$N1388,$J1388,$K1388)</f>
        <v>TUBO PEADPEAD225VCAREDESZona11</v>
      </c>
      <c r="AE1388" s="153" t="n">
        <f aca="false">IFERROR(INDEX(APOIO_REDES!$A:$W,MATCH($C1388&amp;$I1388&amp;$H1388&amp;$N1388&amp;$O1388,APOIO_REDES!$W:$W,0),MATCH(AE$5,APOIO_REDES!$5:$5,0)),0)</f>
        <v>1.2</v>
      </c>
      <c r="AF1388" s="153" t="n">
        <f aca="false">IFERROR(INDEX(APOIO_REDES!$A:$W,MATCH($C1388&amp;$I1388&amp;$H1388&amp;$N1388&amp;$O1388,APOIO_REDES!$W:$W,0),MATCH(AF$5,APOIO_REDES!$5:$5,0)),0)</f>
        <v>1.525</v>
      </c>
      <c r="AG1388" s="153" t="n">
        <f aca="false">IFERROR(INDEX(APOIO_REDES!$A:$W,MATCH($C1388&amp;$I1388&amp;$H1388&amp;$N1388&amp;$O1388,APOIO_REDES!$W:$W,0),MATCH(AG$5,APOIO_REDES!$5:$5,0)),0)</f>
        <v>0.8</v>
      </c>
      <c r="AH1388" s="153" t="n">
        <f aca="false">IFERROR(INDEX(APOIO_REDES!$A:$W,MATCH($C1388&amp;$I1388&amp;$H1388&amp;$N1388&amp;$O1388,APOIO_REDES!$W:$W,0),MATCH(AH$5,APOIO_REDES!$5:$5,0)),0)</f>
        <v>0.1</v>
      </c>
      <c r="AI1388" s="153" t="n">
        <f aca="false">IFERROR(IF($H1388&lt;&gt;"",(((($H1388/1000)/2)^2)*PI()*$M1388),0),0)</f>
        <v>2.50333883610486</v>
      </c>
      <c r="AJ1388" s="153" t="n">
        <f aca="false">IFERROR(IF(AND($H1388&lt;&gt;"",$I1388="FoFo",OR($N1388="MND",$N1388="VCA"),$Q1388="LINEAR"),0,IF(AND($H1388&lt;&gt;"",$I1388="PEAD",$N1388="VCA",$Q1388="LINEAR"),($H1388/1000)+0.3,IF(AND($H1388&lt;&gt;"",$I1388="PEAD",$N1388="MND",$Q1388="EMBOQUE"),0,IF(AND($H1388&lt;&gt;"",$I1388="PVC",$N1388="VCA",$Q1388="LINEAR"),($H1388/1000)+0.2,IF(AND($H1388&lt;&gt;"",$I1388="PVC",$N1388="MND",$Q1388="EMBOQUE"),0,IF(AND($H1388&lt;&gt;"",$I1388="PEAD",$N1388="VCA",$Q1388="PREDIAL"),0,0)))))),0)</f>
        <v>0.525</v>
      </c>
      <c r="AK1388" s="153" t="n">
        <f aca="false">IF(AA1388&lt;&gt;"",AA1388,0)</f>
        <v>5</v>
      </c>
      <c r="AL1388" s="153" t="n">
        <f aca="false">IF(AND($N1388="MND",$Q1388="EMBOQUE"),$M1388,IF(AND($N1388="VCA",$Q1388="LINEAR"),$M1388,IF(AND($N1388="VCA",$Q1388="PREDIAL"),0,0)))</f>
        <v>62.96</v>
      </c>
      <c r="AM1388" s="153" t="n">
        <f aca="false">IF(AND($N1388="MND",$Q1388="EMBOQUE"),$M1388,IF(AND($N1388="VCA",$Q1388="LINEAR"),$M1388,IF(AND($N1388="VCA",$Q1388="PREDIAL"),0,0)))</f>
        <v>62.96</v>
      </c>
      <c r="AN1388" s="153" t="n">
        <f aca="false">ROUND(IF(AND($N1388="VCA",$M1388&lt;&gt;"",$Q1388="LINEAR"),$M1388/100,IF(AND($N1388="MND",$M1388&gt;100,$Q1388="EMBOQUE"),$M1388/100,0)),0)</f>
        <v>1</v>
      </c>
      <c r="AO1388" s="153" t="n">
        <f aca="false">IF(AND($N1388="MND",$Q1388="EMBOQUE"),$AN1388*2*2,IF(AND($N1388="VCA",$Q1388="LINEAR"),$M1388*2,IF(AND($N1388="VCA",$Q1388="PREDIAL"),0,0)))</f>
        <v>125.92</v>
      </c>
      <c r="AP1388" s="153" t="n">
        <f aca="false">IFERROR($M1388*$AF1388*$AG1388,0)</f>
        <v>76.8112</v>
      </c>
      <c r="AQ1388" s="153" t="n">
        <f aca="false">IFERROR(IF(AND($N1388="VCA",$AH1388&gt;0),$M1388*$AG1388*$AH1388,0),0)</f>
        <v>5.0368</v>
      </c>
      <c r="AR1388" s="153" t="n">
        <f aca="false">IFERROR(IF(AND($N1388="VCA",$AJ1388&gt;0),($M1388*$AG1388*$AJ1388)-$AI1388,0),0)</f>
        <v>23.9398611638951</v>
      </c>
      <c r="AS1388" s="153" t="n">
        <f aca="false">IFERROR(IF(AND($N1388="VCA",$AP1388&gt;0),$AP1388-$AI1388-$AQ1388-$AR1388,0),0)</f>
        <v>45.3312</v>
      </c>
      <c r="AT1388" s="153" t="n">
        <f aca="false">IFERROR(IF($N1388="VCA",INDEX(APOIO_REDES!$A:$W,MATCH($C1388&amp;$I1388&amp;$H1388&amp;$N1388&amp;$O1388,APOIO_REDES!$W:$W,0),MATCH(AT$5,APOIO_REDES!$5:$5,0)),0)*$AP1388,0)</f>
        <v>0.835728590954697</v>
      </c>
      <c r="AU1388" s="153" t="n">
        <f aca="false">IFERROR(IF($N1388="VCA",INDEX(APOIO_REDES!$A:$W,MATCH($C1388&amp;$I1388&amp;$H1388&amp;$N1388&amp;$O1388,APOIO_REDES!$W:$W,0),MATCH(AU$5,APOIO_REDES!$5:$5,0)),0)*$AP1388,0)</f>
        <v>0.667390218335672</v>
      </c>
      <c r="AV1388" s="153" t="n">
        <f aca="false">IFERROR(IF($N1388="VCA",INDEX(APOIO_REDES!$A:$W,MATCH($C1388&amp;$I1388&amp;$H1388&amp;$N1388&amp;$O1388,APOIO_REDES!$W:$W,0),MATCH(AV$5,APOIO_REDES!$5:$5,0)),0)*$AP1388,0)</f>
        <v>0.0923615669990234</v>
      </c>
      <c r="AW1388" s="153" t="n">
        <f aca="false">IFERROR(IF($N1388="VCA",INDEX(APOIO_REDES!$A:$W,MATCH($C1388&amp;$I1388&amp;$H1388&amp;$N1388&amp;$O1388,APOIO_REDES!$W:$W,0),MATCH(AW$5,APOIO_REDES!$5:$5,0)),0)*$AP1388,0)</f>
        <v>52.7238028422201</v>
      </c>
      <c r="AX1388" s="153" t="n">
        <f aca="false">IFERROR(IF($N1388="VCA",INDEX(APOIO_REDES!$A:$W,MATCH($C1388&amp;$I1388&amp;$H1388&amp;$N1388&amp;$O1388,APOIO_REDES!$W:$W,0),MATCH(AX$5,APOIO_REDES!$5:$5,0)),0)*$AP1388,0)</f>
        <v>7.296824126768</v>
      </c>
      <c r="AY1388" s="153" t="n">
        <f aca="false">IFERROR(IF($N1388="VCA",INDEX(APOIO_REDES!$A:$W,MATCH($C1388&amp;$I1388&amp;$H1388&amp;$N1388&amp;$O1388,APOIO_REDES!$W:$W,0),MATCH(AY$5,APOIO_REDES!$5:$5,0)),0)*$AP1388,0)</f>
        <v>13.3477962312808</v>
      </c>
      <c r="AZ1388" s="153" t="n">
        <f aca="false">IFERROR(IF($N1388="VCA",INDEX(APOIO_REDES!$A:$W,MATCH($C1388&amp;$I1388&amp;$H1388&amp;$N1388&amp;$O1388,APOIO_REDES!$W:$W,0),MATCH(AZ$5,APOIO_REDES!$5:$5,0)),0)*$AP1388,0)</f>
        <v>1.84729642344175</v>
      </c>
      <c r="BA1388" s="153" t="n">
        <f aca="false">IFERROR(IF(AND($N1388="VCA",$Q1388="LINEAR"),INDEX(APOIO_REDES!$A:$W,MATCH($C1388&amp;$I1388&amp;$H1388&amp;$N1388&amp;$O1388,APOIO_REDES!$W:$W,0),MATCH(BA$5,APOIO_REDES!$5:$5,0)),IF(AND($N1388="MND",$Q1388="EMBOQUE"),INDEX(APOIO_REDES!$A:$W,MATCH($C1388&amp;$I1388&amp;$H1388&amp;$N1388&amp;$O1388,APOIO_REDES!$W:$W,0),MATCH(BA$5,APOIO_REDES!$5:$5,0)),0))*$M1388/10,0)</f>
        <v>5.07441718842297</v>
      </c>
      <c r="BB1388" s="153" t="n">
        <f aca="false">IFERROR(IF($N1388="VCA",INDEX(APOIO_REDES!$A:$W,MATCH($C1388&amp;$I1388&amp;$H1388&amp;$N1388&amp;$O1388,APOIO_REDES!$W:$W,0),MATCH(BB$5,APOIO_REDES!$5:$5,0)),0)*($AI1388+$AQ1388+$AR1388),0)</f>
        <v>31.1374882823956</v>
      </c>
      <c r="BC1388" s="153" t="n">
        <f aca="false">IFERROR(IF($N1388="VCA",INDEX(APOIO_REDES!$A:$W,MATCH($C1388&amp;$I1388&amp;$H1388&amp;$N1388&amp;$O1388,APOIO_REDES!$W:$W,0),MATCH(BC$5,APOIO_REDES!$5:$5,0)),0)*($AI1388+$AQ1388+$AR1388),0)</f>
        <v>0.342511717604384</v>
      </c>
      <c r="BD1388" s="153" t="n">
        <f aca="false">IF(AND($N1388="VCA",$AF1388&gt;=1.25,$AF1388&lt;1.5),$M1388*$AF1388*2,0)</f>
        <v>0</v>
      </c>
      <c r="BE1388" s="153" t="n">
        <f aca="false">IF(AND($N1388="VCA",$AF1388&gt;=1.5,$AF1388&lt;3),$M1388*$AF1388*2,0)</f>
        <v>192.028</v>
      </c>
      <c r="BF1388" s="153" t="n">
        <f aca="false">IF(AND($N1388="VCA",$AF1388&gt;=3),$M1388*$AF1388*2,0)</f>
        <v>0</v>
      </c>
      <c r="BG1388" s="153" t="n">
        <f aca="false">($BB1388+$BC1388)*$AK1388</f>
        <v>157.4</v>
      </c>
      <c r="BH1388" s="153" t="n">
        <f aca="false">IF(AND($M1388&lt;&gt;"",$N1388="VCA",$Q1388="LINEAR"),($M1388*2)/100,IF(AND($M1388&lt;&gt;"",$N1388="MND",$Q1388="EMBOQUE"),($AN1388*2)/100,0))</f>
        <v>1.2592</v>
      </c>
      <c r="BI1388" s="153" t="n">
        <f aca="false">IF(AND($M1388&lt;&gt;"",$N1388="VCA",$Q1388="LINEAR"),$M1388,IF(AND($M1388&lt;&gt;"",$N1388="MND",$Q1388="EMBOQUE"),$AN1388*2,0))</f>
        <v>62.96</v>
      </c>
      <c r="BJ1388" s="153" t="n">
        <f aca="false">IF(AND($M1388&lt;&gt;"",$N1388="VCA",$Q1388="LINEAR"),($M1388*6.8)/100,IF(AND($M1388&lt;&gt;"",$N1388="MND",$Q1388="EMBOQUE"),($AN1388*2*6.8)/100,0))</f>
        <v>4.28128</v>
      </c>
      <c r="BK1388" s="153" t="n">
        <f aca="false">IF(AND($M1388&lt;&gt;"",$N1388="VCA",$Q1388="LINEAR"),($M1388*2.5)/50,IF(AND($M1388&lt;&gt;"",$N1388="MND",$Q1388="EMBOQUE"),($AN1388*2*2.5)/50,0))</f>
        <v>3.148</v>
      </c>
      <c r="BL1388" s="157" t="str">
        <f aca="false">K1388&amp;J1388</f>
        <v>Zona11REDES</v>
      </c>
      <c r="BM1388" s="152" t="s">
        <v>6084</v>
      </c>
      <c r="BN1388" s="152" t="s">
        <v>1560</v>
      </c>
      <c r="BO1388" s="152" t="s">
        <v>6516</v>
      </c>
      <c r="BP1388" s="152" t="s">
        <v>6785</v>
      </c>
      <c r="BQ1388" s="152" t="s">
        <v>6751</v>
      </c>
      <c r="BR1388" s="152" t="s">
        <v>6717</v>
      </c>
      <c r="BS1388" s="152" t="n">
        <v>204059.041</v>
      </c>
      <c r="BT1388" s="152" t="n">
        <v>8235908.758</v>
      </c>
      <c r="BU1388" s="152" t="n">
        <v>204119.825</v>
      </c>
      <c r="BV1388" s="152" t="n">
        <v>8235925.165</v>
      </c>
      <c r="BW1388" s="152" t="n">
        <v>-15.9384039</v>
      </c>
      <c r="BX1388" s="152" t="n">
        <v>-47.7639748</v>
      </c>
      <c r="BY1388" s="152" t="s">
        <v>6785</v>
      </c>
    </row>
    <row r="1389" customFormat="false" ht="13.8" hidden="false" customHeight="false" outlineLevel="0" collapsed="false">
      <c r="A1389" s="149" t="n">
        <f aca="false">IF(C1389&lt;&gt;"",ROW(A1384),"")</f>
        <v>1384</v>
      </c>
      <c r="B1389" s="150" t="str">
        <f aca="false">HYPERLINK("https://www.google.com/maps/dir/-15.917302,-47.760003/-15.9384169,-47.7627674/data=!4m3!4m2!3e0!5i1")</f>
        <v>https://www.google.com/maps/dir/-15.917302,-47.760003/-15.9384169,-47.7627674/data=!4m3!4m2!3e0!5i1</v>
      </c>
      <c r="C1389" s="151" t="s">
        <v>117</v>
      </c>
      <c r="D1389" s="152" t="s">
        <v>112</v>
      </c>
      <c r="E1389" s="152" t="s">
        <v>113</v>
      </c>
      <c r="F1389" s="152" t="s">
        <v>117</v>
      </c>
      <c r="G1389" s="152" t="s">
        <v>114</v>
      </c>
      <c r="H1389" s="152" t="n">
        <v>160</v>
      </c>
      <c r="I1389" s="152" t="s">
        <v>115</v>
      </c>
      <c r="J1389" s="152" t="s">
        <v>6</v>
      </c>
      <c r="K1389" s="152" t="s">
        <v>6081</v>
      </c>
      <c r="L1389" s="152" t="s">
        <v>120</v>
      </c>
      <c r="M1389" s="153" t="n">
        <f aca="false">1.5</f>
        <v>1.5</v>
      </c>
      <c r="N1389" s="152" t="s">
        <v>1548</v>
      </c>
      <c r="O1389" s="152" t="s">
        <v>1549</v>
      </c>
      <c r="P1389" s="152" t="s">
        <v>1550</v>
      </c>
      <c r="Q1389" s="152" t="s">
        <v>1551</v>
      </c>
      <c r="R1389" s="154" t="s">
        <v>6786</v>
      </c>
      <c r="S1389" s="154" t="s">
        <v>1593</v>
      </c>
      <c r="T1389" s="155" t="s">
        <v>6514</v>
      </c>
      <c r="U1389" s="152" t="str">
        <f aca="false">RIGHT(T1389,7)</f>
        <v>024/037</v>
      </c>
      <c r="V1389" s="152" t="s">
        <v>1555</v>
      </c>
      <c r="W1389" s="156" t="n">
        <v>45882</v>
      </c>
      <c r="X1389" s="152" t="s">
        <v>3938</v>
      </c>
      <c r="Y1389" s="152"/>
      <c r="Z1389" s="152" t="s">
        <v>1557</v>
      </c>
      <c r="AA1389" s="153" t="n">
        <v>4.9</v>
      </c>
      <c r="AB1389" s="151" t="s">
        <v>6787</v>
      </c>
      <c r="AC1389" s="151" t="s">
        <v>505</v>
      </c>
      <c r="AD1389" s="151" t="str">
        <f aca="false">CONCATENATE($C1389,$I1389,$H1389,$N1389,$J1389,$K1389)</f>
        <v>TUBO PEADPEAD160VCAREDESZona11</v>
      </c>
      <c r="AE1389" s="153" t="n">
        <f aca="false">IFERROR(INDEX(APOIO_REDES!$A:$W,MATCH($C1389&amp;$I1389&amp;$H1389&amp;$N1389&amp;$O1389,APOIO_REDES!$W:$W,0),MATCH(AE$5,APOIO_REDES!$5:$5,0)),0)</f>
        <v>1.2</v>
      </c>
      <c r="AF1389" s="153" t="n">
        <f aca="false">IFERROR(INDEX(APOIO_REDES!$A:$W,MATCH($C1389&amp;$I1389&amp;$H1389&amp;$N1389&amp;$O1389,APOIO_REDES!$W:$W,0),MATCH(AF$5,APOIO_REDES!$5:$5,0)),0)</f>
        <v>1.46</v>
      </c>
      <c r="AG1389" s="153" t="n">
        <f aca="false">IFERROR(INDEX(APOIO_REDES!$A:$W,MATCH($C1389&amp;$I1389&amp;$H1389&amp;$N1389&amp;$O1389,APOIO_REDES!$W:$W,0),MATCH(AG$5,APOIO_REDES!$5:$5,0)),0)</f>
        <v>0.75</v>
      </c>
      <c r="AH1389" s="153" t="n">
        <f aca="false">IFERROR(INDEX(APOIO_REDES!$A:$W,MATCH($C1389&amp;$I1389&amp;$H1389&amp;$N1389&amp;$O1389,APOIO_REDES!$W:$W,0),MATCH(AH$5,APOIO_REDES!$5:$5,0)),0)</f>
        <v>0.1</v>
      </c>
      <c r="AI1389" s="153" t="n">
        <f aca="false">IFERROR(IF($H1389&lt;&gt;"",(((($H1389/1000)/2)^2)*PI()*$M1389),0),0)</f>
        <v>0.030159289474462</v>
      </c>
      <c r="AJ1389" s="153" t="n">
        <f aca="false">IFERROR(IF(AND($H1389&lt;&gt;"",$I1389="FoFo",OR($N1389="MND",$N1389="VCA"),$Q1389="LINEAR"),0,IF(AND($H1389&lt;&gt;"",$I1389="PEAD",$N1389="VCA",$Q1389="LINEAR"),($H1389/1000)+0.3,IF(AND($H1389&lt;&gt;"",$I1389="PEAD",$N1389="MND",$Q1389="EMBOQUE"),0,IF(AND($H1389&lt;&gt;"",$I1389="PVC",$N1389="VCA",$Q1389="LINEAR"),($H1389/1000)+0.2,IF(AND($H1389&lt;&gt;"",$I1389="PVC",$N1389="MND",$Q1389="EMBOQUE"),0,IF(AND($H1389&lt;&gt;"",$I1389="PEAD",$N1389="VCA",$Q1389="PREDIAL"),0,0)))))),0)</f>
        <v>0.46</v>
      </c>
      <c r="AK1389" s="153" t="n">
        <f aca="false">IF(AA1389&lt;&gt;"",AA1389,0)</f>
        <v>4.9</v>
      </c>
      <c r="AL1389" s="153" t="n">
        <f aca="false">IF(AND($N1389="MND",$Q1389="EMBOQUE"),$M1389,IF(AND($N1389="VCA",$Q1389="LINEAR"),$M1389,IF(AND($N1389="VCA",$Q1389="PREDIAL"),0,0)))</f>
        <v>1.5</v>
      </c>
      <c r="AM1389" s="153" t="n">
        <f aca="false">IF(AND($N1389="MND",$Q1389="EMBOQUE"),$M1389,IF(AND($N1389="VCA",$Q1389="LINEAR"),$M1389,IF(AND($N1389="VCA",$Q1389="PREDIAL"),0,0)))</f>
        <v>1.5</v>
      </c>
      <c r="AN1389" s="153" t="n">
        <f aca="false">ROUND(IF(AND($N1389="VCA",$M1389&lt;&gt;"",$Q1389="LINEAR"),$M1389/100,IF(AND($N1389="MND",$M1389&gt;100,$Q1389="EMBOQUE"),$M1389/100,0)),0)</f>
        <v>0</v>
      </c>
      <c r="AO1389" s="153" t="n">
        <f aca="false">IF(AND($N1389="MND",$Q1389="EMBOQUE"),$AN1389*2*2,IF(AND($N1389="VCA",$Q1389="LINEAR"),$M1389*2,IF(AND($N1389="VCA",$Q1389="PREDIAL"),0,0)))</f>
        <v>3</v>
      </c>
      <c r="AP1389" s="153" t="n">
        <f aca="false">IFERROR($M1389*$AF1389*$AG1389,0)</f>
        <v>1.6425</v>
      </c>
      <c r="AQ1389" s="153" t="n">
        <f aca="false">IFERROR(IF(AND($N1389="VCA",$AH1389&gt;0),$M1389*$AG1389*$AH1389,0),0)</f>
        <v>0.1125</v>
      </c>
      <c r="AR1389" s="153" t="n">
        <f aca="false">IFERROR(IF(AND($N1389="VCA",$AJ1389&gt;0),($M1389*$AG1389*$AJ1389)-$AI1389,0),0)</f>
        <v>0.487340710525538</v>
      </c>
      <c r="AS1389" s="153" t="n">
        <f aca="false">IFERROR(IF(AND($N1389="VCA",$AP1389&gt;0),$AP1389-$AI1389-$AQ1389-$AR1389,0),0)</f>
        <v>1.0125</v>
      </c>
      <c r="AT1389" s="153" t="n">
        <f aca="false">IFERROR(IF($N1389="VCA",INDEX(APOIO_REDES!$A:$W,MATCH($C1389&amp;$I1389&amp;$H1389&amp;$N1389&amp;$O1389,APOIO_REDES!$W:$W,0),MATCH(AT$5,APOIO_REDES!$5:$5,0)),0)*$AP1389,0)</f>
        <v>0.0178708861551843</v>
      </c>
      <c r="AU1389" s="153" t="n">
        <f aca="false">IFERROR(IF($N1389="VCA",INDEX(APOIO_REDES!$A:$W,MATCH($C1389&amp;$I1389&amp;$H1389&amp;$N1389&amp;$O1389,APOIO_REDES!$W:$W,0),MATCH(AU$5,APOIO_REDES!$5:$5,0)),0)*$AP1389,0)</f>
        <v>0.0142712056785513</v>
      </c>
      <c r="AV1389" s="153" t="n">
        <f aca="false">IFERROR(IF($N1389="VCA",INDEX(APOIO_REDES!$A:$W,MATCH($C1389&amp;$I1389&amp;$H1389&amp;$N1389&amp;$O1389,APOIO_REDES!$W:$W,0),MATCH(AV$5,APOIO_REDES!$5:$5,0)),0)*$AP1389,0)</f>
        <v>0.00197502283255431</v>
      </c>
      <c r="AW1389" s="153" t="n">
        <f aca="false">IFERROR(IF($N1389="VCA",INDEX(APOIO_REDES!$A:$W,MATCH($C1389&amp;$I1389&amp;$H1389&amp;$N1389&amp;$O1389,APOIO_REDES!$W:$W,0),MATCH(AW$5,APOIO_REDES!$5:$5,0)),0)*$AP1389,0)</f>
        <v>1.12742472671103</v>
      </c>
      <c r="AX1389" s="153" t="n">
        <f aca="false">IFERROR(IF($N1389="VCA",INDEX(APOIO_REDES!$A:$W,MATCH($C1389&amp;$I1389&amp;$H1389&amp;$N1389&amp;$O1389,APOIO_REDES!$W:$W,0),MATCH(AX$5,APOIO_REDES!$5:$5,0)),0)*$AP1389,0)</f>
        <v>0.156032370646682</v>
      </c>
      <c r="AY1389" s="153" t="n">
        <f aca="false">IFERROR(IF($N1389="VCA",INDEX(APOIO_REDES!$A:$W,MATCH($C1389&amp;$I1389&amp;$H1389&amp;$N1389&amp;$O1389,APOIO_REDES!$W:$W,0),MATCH(AY$5,APOIO_REDES!$5:$5,0)),0)*$AP1389,0)</f>
        <v>0.285423939606186</v>
      </c>
      <c r="AZ1389" s="153" t="n">
        <f aca="false">IFERROR(IF($N1389="VCA",INDEX(APOIO_REDES!$A:$W,MATCH($C1389&amp;$I1389&amp;$H1389&amp;$N1389&amp;$O1389,APOIO_REDES!$W:$W,0),MATCH(AZ$5,APOIO_REDES!$5:$5,0)),0)*$AP1389,0)</f>
        <v>0.0395018483698091</v>
      </c>
      <c r="BA1389" s="153" t="n">
        <f aca="false">IFERROR(IF(AND($N1389="VCA",$Q1389="LINEAR"),INDEX(APOIO_REDES!$A:$W,MATCH($C1389&amp;$I1389&amp;$H1389&amp;$N1389&amp;$O1389,APOIO_REDES!$W:$W,0),MATCH(BA$5,APOIO_REDES!$5:$5,0)),IF(AND($N1389="MND",$Q1389="EMBOQUE"),INDEX(APOIO_REDES!$A:$W,MATCH($C1389&amp;$I1389&amp;$H1389&amp;$N1389&amp;$O1389,APOIO_REDES!$W:$W,0),MATCH(BA$5,APOIO_REDES!$5:$5,0)),0))*$M1389/10,0)</f>
        <v>0.12089621636967</v>
      </c>
      <c r="BB1389" s="153" t="n">
        <f aca="false">IFERROR(IF($N1389="VCA",INDEX(APOIO_REDES!$A:$W,MATCH($C1389&amp;$I1389&amp;$H1389&amp;$N1389&amp;$O1389,APOIO_REDES!$W:$W,0),MATCH(BB$5,APOIO_REDES!$5:$5,0)),0)*($AI1389+$AQ1389+$AR1389),0)</f>
        <v>0.623145413529518</v>
      </c>
      <c r="BC1389" s="153" t="n">
        <f aca="false">IFERROR(IF($N1389="VCA",INDEX(APOIO_REDES!$A:$W,MATCH($C1389&amp;$I1389&amp;$H1389&amp;$N1389&amp;$O1389,APOIO_REDES!$W:$W,0),MATCH(BC$5,APOIO_REDES!$5:$5,0)),0)*($AI1389+$AQ1389+$AR1389),0)</f>
        <v>0.00685458647048164</v>
      </c>
      <c r="BD1389" s="153" t="n">
        <f aca="false">IF(AND($N1389="VCA",$AF1389&gt;=1.25,$AF1389&lt;1.5),$M1389*$AF1389*2,0)</f>
        <v>4.38</v>
      </c>
      <c r="BE1389" s="153" t="n">
        <f aca="false">IF(AND($N1389="VCA",$AF1389&gt;=1.5,$AF1389&lt;3),$M1389*$AF1389*2,0)</f>
        <v>0</v>
      </c>
      <c r="BF1389" s="153" t="n">
        <f aca="false">IF(AND($N1389="VCA",$AF1389&gt;=3),$M1389*$AF1389*2,0)</f>
        <v>0</v>
      </c>
      <c r="BG1389" s="153" t="n">
        <f aca="false">($BB1389+$BC1389)*$AK1389</f>
        <v>3.087</v>
      </c>
      <c r="BH1389" s="153" t="n">
        <f aca="false">IF(AND($M1389&lt;&gt;"",$N1389="VCA",$Q1389="LINEAR"),($M1389*2)/100,IF(AND($M1389&lt;&gt;"",$N1389="MND",$Q1389="EMBOQUE"),($AN1389*2)/100,0))</f>
        <v>0.03</v>
      </c>
      <c r="BI1389" s="153" t="n">
        <f aca="false">IF(AND($M1389&lt;&gt;"",$N1389="VCA",$Q1389="LINEAR"),$M1389,IF(AND($M1389&lt;&gt;"",$N1389="MND",$Q1389="EMBOQUE"),$AN1389*2,0))</f>
        <v>1.5</v>
      </c>
      <c r="BJ1389" s="153" t="n">
        <f aca="false">IF(AND($M1389&lt;&gt;"",$N1389="VCA",$Q1389="LINEAR"),($M1389*6.8)/100,IF(AND($M1389&lt;&gt;"",$N1389="MND",$Q1389="EMBOQUE"),($AN1389*2*6.8)/100,0))</f>
        <v>0.102</v>
      </c>
      <c r="BK1389" s="153" t="n">
        <f aca="false">IF(AND($M1389&lt;&gt;"",$N1389="VCA",$Q1389="LINEAR"),($M1389*2.5)/50,IF(AND($M1389&lt;&gt;"",$N1389="MND",$Q1389="EMBOQUE"),($AN1389*2*2.5)/50,0))</f>
        <v>0.075</v>
      </c>
      <c r="BL1389" s="157" t="str">
        <f aca="false">K1389&amp;J1389</f>
        <v>Zona11REDES</v>
      </c>
      <c r="BM1389" s="152" t="s">
        <v>6084</v>
      </c>
      <c r="BN1389" s="152" t="s">
        <v>1560</v>
      </c>
      <c r="BO1389" s="152" t="s">
        <v>6516</v>
      </c>
      <c r="BP1389" s="152" t="s">
        <v>6745</v>
      </c>
      <c r="BQ1389" s="152" t="s">
        <v>6778</v>
      </c>
      <c r="BR1389" s="152" t="s">
        <v>6727</v>
      </c>
      <c r="BS1389" s="152" t="n">
        <v>204217.364</v>
      </c>
      <c r="BT1389" s="152" t="n">
        <v>8235916.874</v>
      </c>
      <c r="BU1389" s="152" t="n">
        <v>204217.73</v>
      </c>
      <c r="BV1389" s="152" t="n">
        <v>8235915.42</v>
      </c>
      <c r="BW1389" s="152" t="n">
        <v>-15.9384265</v>
      </c>
      <c r="BX1389" s="152" t="n">
        <v>-47.7627792</v>
      </c>
      <c r="BY1389" s="152" t="s">
        <v>6745</v>
      </c>
    </row>
    <row r="1390" customFormat="false" ht="13.8" hidden="false" customHeight="false" outlineLevel="0" collapsed="false">
      <c r="A1390" s="149" t="n">
        <f aca="false">IF(C1390&lt;&gt;"",ROW(A1385),"")</f>
        <v>1385</v>
      </c>
      <c r="B1390" s="150" t="str">
        <f aca="false">HYPERLINK("https://www.google.com/maps/dir/-15.917302,-47.760003/-15.9385777,-47.7646031/data=!4m3!4m2!3e0!5i1")</f>
        <v>https://www.google.com/maps/dir/-15.917302,-47.760003/-15.9385777,-47.7646031/data=!4m3!4m2!3e0!5i1</v>
      </c>
      <c r="C1390" s="151" t="s">
        <v>117</v>
      </c>
      <c r="D1390" s="152" t="s">
        <v>112</v>
      </c>
      <c r="E1390" s="152" t="s">
        <v>113</v>
      </c>
      <c r="F1390" s="152" t="s">
        <v>117</v>
      </c>
      <c r="G1390" s="152" t="s">
        <v>114</v>
      </c>
      <c r="H1390" s="152" t="n">
        <v>160</v>
      </c>
      <c r="I1390" s="152" t="s">
        <v>115</v>
      </c>
      <c r="J1390" s="152" t="s">
        <v>6</v>
      </c>
      <c r="K1390" s="152" t="s">
        <v>6081</v>
      </c>
      <c r="L1390" s="152" t="s">
        <v>120</v>
      </c>
      <c r="M1390" s="153" t="n">
        <f aca="false">102.94</f>
        <v>102.94</v>
      </c>
      <c r="N1390" s="152" t="s">
        <v>1548</v>
      </c>
      <c r="O1390" s="152" t="s">
        <v>1549</v>
      </c>
      <c r="P1390" s="152" t="s">
        <v>1550</v>
      </c>
      <c r="Q1390" s="152" t="s">
        <v>1551</v>
      </c>
      <c r="R1390" s="154" t="s">
        <v>6788</v>
      </c>
      <c r="S1390" s="154" t="s">
        <v>1593</v>
      </c>
      <c r="T1390" s="155" t="s">
        <v>6514</v>
      </c>
      <c r="U1390" s="152" t="str">
        <f aca="false">RIGHT(T1390,7)</f>
        <v>024/037</v>
      </c>
      <c r="V1390" s="152" t="s">
        <v>1555</v>
      </c>
      <c r="W1390" s="156" t="n">
        <v>45882</v>
      </c>
      <c r="X1390" s="152" t="s">
        <v>1594</v>
      </c>
      <c r="Y1390" s="152" t="s">
        <v>6234</v>
      </c>
      <c r="Z1390" s="152" t="s">
        <v>1557</v>
      </c>
      <c r="AA1390" s="153" t="n">
        <v>5</v>
      </c>
      <c r="AB1390" s="151" t="s">
        <v>6789</v>
      </c>
      <c r="AC1390" s="151" t="s">
        <v>505</v>
      </c>
      <c r="AD1390" s="151" t="str">
        <f aca="false">CONCATENATE($C1390,$I1390,$H1390,$N1390,$J1390,$K1390)</f>
        <v>TUBO PEADPEAD160VCAREDESZona11</v>
      </c>
      <c r="AE1390" s="153" t="n">
        <f aca="false">IFERROR(INDEX(APOIO_REDES!$A:$W,MATCH($C1390&amp;$I1390&amp;$H1390&amp;$N1390&amp;$O1390,APOIO_REDES!$W:$W,0),MATCH(AE$5,APOIO_REDES!$5:$5,0)),0)</f>
        <v>1.2</v>
      </c>
      <c r="AF1390" s="153" t="n">
        <f aca="false">IFERROR(INDEX(APOIO_REDES!$A:$W,MATCH($C1390&amp;$I1390&amp;$H1390&amp;$N1390&amp;$O1390,APOIO_REDES!$W:$W,0),MATCH(AF$5,APOIO_REDES!$5:$5,0)),0)</f>
        <v>1.46</v>
      </c>
      <c r="AG1390" s="153" t="n">
        <f aca="false">IFERROR(INDEX(APOIO_REDES!$A:$W,MATCH($C1390&amp;$I1390&amp;$H1390&amp;$N1390&amp;$O1390,APOIO_REDES!$W:$W,0),MATCH(AG$5,APOIO_REDES!$5:$5,0)),0)</f>
        <v>0.75</v>
      </c>
      <c r="AH1390" s="153" t="n">
        <f aca="false">IFERROR(INDEX(APOIO_REDES!$A:$W,MATCH($C1390&amp;$I1390&amp;$H1390&amp;$N1390&amp;$O1390,APOIO_REDES!$W:$W,0),MATCH(AH$5,APOIO_REDES!$5:$5,0)),0)</f>
        <v>0.1</v>
      </c>
      <c r="AI1390" s="153" t="n">
        <f aca="false">IFERROR(IF($H1390&lt;&gt;"",(((($H1390/1000)/2)^2)*PI()*$M1390),0),0)</f>
        <v>2.06973150566741</v>
      </c>
      <c r="AJ1390" s="153" t="n">
        <f aca="false">IFERROR(IF(AND($H1390&lt;&gt;"",$I1390="FoFo",OR($N1390="MND",$N1390="VCA"),$Q1390="LINEAR"),0,IF(AND($H1390&lt;&gt;"",$I1390="PEAD",$N1390="VCA",$Q1390="LINEAR"),($H1390/1000)+0.3,IF(AND($H1390&lt;&gt;"",$I1390="PEAD",$N1390="MND",$Q1390="EMBOQUE"),0,IF(AND($H1390&lt;&gt;"",$I1390="PVC",$N1390="VCA",$Q1390="LINEAR"),($H1390/1000)+0.2,IF(AND($H1390&lt;&gt;"",$I1390="PVC",$N1390="MND",$Q1390="EMBOQUE"),0,IF(AND($H1390&lt;&gt;"",$I1390="PEAD",$N1390="VCA",$Q1390="PREDIAL"),0,0)))))),0)</f>
        <v>0.46</v>
      </c>
      <c r="AK1390" s="153" t="n">
        <f aca="false">IF(AA1390&lt;&gt;"",AA1390,0)</f>
        <v>5</v>
      </c>
      <c r="AL1390" s="153" t="n">
        <f aca="false">IF(AND($N1390="MND",$Q1390="EMBOQUE"),$M1390,IF(AND($N1390="VCA",$Q1390="LINEAR"),$M1390,IF(AND($N1390="VCA",$Q1390="PREDIAL"),0,0)))</f>
        <v>102.94</v>
      </c>
      <c r="AM1390" s="153" t="n">
        <f aca="false">IF(AND($N1390="MND",$Q1390="EMBOQUE"),$M1390,IF(AND($N1390="VCA",$Q1390="LINEAR"),$M1390,IF(AND($N1390="VCA",$Q1390="PREDIAL"),0,0)))</f>
        <v>102.94</v>
      </c>
      <c r="AN1390" s="153" t="n">
        <f aca="false">ROUND(IF(AND($N1390="VCA",$M1390&lt;&gt;"",$Q1390="LINEAR"),$M1390/100,IF(AND($N1390="MND",$M1390&gt;100,$Q1390="EMBOQUE"),$M1390/100,0)),0)</f>
        <v>1</v>
      </c>
      <c r="AO1390" s="153" t="n">
        <f aca="false">IF(AND($N1390="MND",$Q1390="EMBOQUE"),$AN1390*2*2,IF(AND($N1390="VCA",$Q1390="LINEAR"),$M1390*2,IF(AND($N1390="VCA",$Q1390="PREDIAL"),0,0)))</f>
        <v>205.88</v>
      </c>
      <c r="AP1390" s="153" t="n">
        <f aca="false">IFERROR($M1390*$AF1390*$AG1390,0)</f>
        <v>112.7193</v>
      </c>
      <c r="AQ1390" s="153" t="n">
        <f aca="false">IFERROR(IF(AND($N1390="VCA",$AH1390&gt;0),$M1390*$AG1390*$AH1390,0),0)</f>
        <v>7.7205</v>
      </c>
      <c r="AR1390" s="153" t="n">
        <f aca="false">IFERROR(IF(AND($N1390="VCA",$AJ1390&gt;0),($M1390*$AG1390*$AJ1390)-$AI1390,0),0)</f>
        <v>33.4445684943326</v>
      </c>
      <c r="AS1390" s="153" t="n">
        <f aca="false">IFERROR(IF(AND($N1390="VCA",$AP1390&gt;0),$AP1390-$AI1390-$AQ1390-$AR1390,0),0)</f>
        <v>69.4845</v>
      </c>
      <c r="AT1390" s="153" t="n">
        <f aca="false">IFERROR(IF($N1390="VCA",INDEX(APOIO_REDES!$A:$W,MATCH($C1390&amp;$I1390&amp;$H1390&amp;$N1390&amp;$O1390,APOIO_REDES!$W:$W,0),MATCH(AT$5,APOIO_REDES!$5:$5,0)),0)*$AP1390,0)</f>
        <v>1.22641934720978</v>
      </c>
      <c r="AU1390" s="153" t="n">
        <f aca="false">IFERROR(IF($N1390="VCA",INDEX(APOIO_REDES!$A:$W,MATCH($C1390&amp;$I1390&amp;$H1390&amp;$N1390&amp;$O1390,APOIO_REDES!$W:$W,0),MATCH(AU$5,APOIO_REDES!$5:$5,0)),0)*$AP1390,0)</f>
        <v>0.979385275033382</v>
      </c>
      <c r="AV1390" s="153" t="n">
        <f aca="false">IFERROR(IF($N1390="VCA",INDEX(APOIO_REDES!$A:$W,MATCH($C1390&amp;$I1390&amp;$H1390&amp;$N1390&amp;$O1390,APOIO_REDES!$W:$W,0),MATCH(AV$5,APOIO_REDES!$5:$5,0)),0)*$AP1390,0)</f>
        <v>0.135539233588761</v>
      </c>
      <c r="AW1390" s="153" t="n">
        <f aca="false">IFERROR(IF($N1390="VCA",INDEX(APOIO_REDES!$A:$W,MATCH($C1390&amp;$I1390&amp;$H1390&amp;$N1390&amp;$O1390,APOIO_REDES!$W:$W,0),MATCH(AW$5,APOIO_REDES!$5:$5,0)),0)*$AP1390,0)</f>
        <v>77.3714009117558</v>
      </c>
      <c r="AX1390" s="153" t="n">
        <f aca="false">IFERROR(IF($N1390="VCA",INDEX(APOIO_REDES!$A:$W,MATCH($C1390&amp;$I1390&amp;$H1390&amp;$N1390&amp;$O1390,APOIO_REDES!$W:$W,0),MATCH(AX$5,APOIO_REDES!$5:$5,0)),0)*$AP1390,0)</f>
        <v>10.7079814895796</v>
      </c>
      <c r="AY1390" s="153" t="n">
        <f aca="false">IFERROR(IF($N1390="VCA",INDEX(APOIO_REDES!$A:$W,MATCH($C1390&amp;$I1390&amp;$H1390&amp;$N1390&amp;$O1390,APOIO_REDES!$W:$W,0),MATCH(AY$5,APOIO_REDES!$5:$5,0)),0)*$AP1390,0)</f>
        <v>19.5876935620405</v>
      </c>
      <c r="AZ1390" s="153" t="n">
        <f aca="false">IFERROR(IF($N1390="VCA",INDEX(APOIO_REDES!$A:$W,MATCH($C1390&amp;$I1390&amp;$H1390&amp;$N1390&amp;$O1390,APOIO_REDES!$W:$W,0),MATCH(AZ$5,APOIO_REDES!$5:$5,0)),0)*$AP1390,0)</f>
        <v>2.7108801807921</v>
      </c>
      <c r="BA1390" s="153" t="n">
        <f aca="false">IFERROR(IF(AND($N1390="VCA",$Q1390="LINEAR"),INDEX(APOIO_REDES!$A:$W,MATCH($C1390&amp;$I1390&amp;$H1390&amp;$N1390&amp;$O1390,APOIO_REDES!$W:$W,0),MATCH(BA$5,APOIO_REDES!$5:$5,0)),IF(AND($N1390="MND",$Q1390="EMBOQUE"),INDEX(APOIO_REDES!$A:$W,MATCH($C1390&amp;$I1390&amp;$H1390&amp;$N1390&amp;$O1390,APOIO_REDES!$W:$W,0),MATCH(BA$5,APOIO_REDES!$5:$5,0)),0))*$M1390/10,0)</f>
        <v>8.29670434206258</v>
      </c>
      <c r="BB1390" s="153" t="n">
        <f aca="false">IFERROR(IF($N1390="VCA",INDEX(APOIO_REDES!$A:$W,MATCH($C1390&amp;$I1390&amp;$H1390&amp;$N1390&amp;$O1390,APOIO_REDES!$W:$W,0),MATCH(BB$5,APOIO_REDES!$5:$5,0)),0)*($AI1390+$AQ1390+$AR1390),0)</f>
        <v>42.7643925791524</v>
      </c>
      <c r="BC1390" s="153" t="n">
        <f aca="false">IFERROR(IF($N1390="VCA",INDEX(APOIO_REDES!$A:$W,MATCH($C1390&amp;$I1390&amp;$H1390&amp;$N1390&amp;$O1390,APOIO_REDES!$W:$W,0),MATCH(BC$5,APOIO_REDES!$5:$5,0)),0)*($AI1390+$AQ1390+$AR1390),0)</f>
        <v>0.470407420847586</v>
      </c>
      <c r="BD1390" s="153" t="n">
        <f aca="false">IF(AND($N1390="VCA",$AF1390&gt;=1.25,$AF1390&lt;1.5),$M1390*$AF1390*2,0)</f>
        <v>300.5848</v>
      </c>
      <c r="BE1390" s="153" t="n">
        <f aca="false">IF(AND($N1390="VCA",$AF1390&gt;=1.5,$AF1390&lt;3),$M1390*$AF1390*2,0)</f>
        <v>0</v>
      </c>
      <c r="BF1390" s="153" t="n">
        <f aca="false">IF(AND($N1390="VCA",$AF1390&gt;=3),$M1390*$AF1390*2,0)</f>
        <v>0</v>
      </c>
      <c r="BG1390" s="153" t="n">
        <f aca="false">($BB1390+$BC1390)*$AK1390</f>
        <v>216.174</v>
      </c>
      <c r="BH1390" s="153" t="n">
        <f aca="false">IF(AND($M1390&lt;&gt;"",$N1390="VCA",$Q1390="LINEAR"),($M1390*2)/100,IF(AND($M1390&lt;&gt;"",$N1390="MND",$Q1390="EMBOQUE"),($AN1390*2)/100,0))</f>
        <v>2.0588</v>
      </c>
      <c r="BI1390" s="153" t="n">
        <f aca="false">IF(AND($M1390&lt;&gt;"",$N1390="VCA",$Q1390="LINEAR"),$M1390,IF(AND($M1390&lt;&gt;"",$N1390="MND",$Q1390="EMBOQUE"),$AN1390*2,0))</f>
        <v>102.94</v>
      </c>
      <c r="BJ1390" s="153" t="n">
        <f aca="false">IF(AND($M1390&lt;&gt;"",$N1390="VCA",$Q1390="LINEAR"),($M1390*6.8)/100,IF(AND($M1390&lt;&gt;"",$N1390="MND",$Q1390="EMBOQUE"),($AN1390*2*6.8)/100,0))</f>
        <v>6.99992</v>
      </c>
      <c r="BK1390" s="153" t="n">
        <f aca="false">IF(AND($M1390&lt;&gt;"",$N1390="VCA",$Q1390="LINEAR"),($M1390*2.5)/50,IF(AND($M1390&lt;&gt;"",$N1390="MND",$Q1390="EMBOQUE"),($AN1390*2*2.5)/50,0))</f>
        <v>5.147</v>
      </c>
      <c r="BL1390" s="157" t="str">
        <f aca="false">K1390&amp;J1390</f>
        <v>Zona11REDES</v>
      </c>
      <c r="BM1390" s="152" t="s">
        <v>6084</v>
      </c>
      <c r="BN1390" s="152" t="s">
        <v>1560</v>
      </c>
      <c r="BO1390" s="152" t="s">
        <v>6516</v>
      </c>
      <c r="BP1390" s="152" t="s">
        <v>6790</v>
      </c>
      <c r="BQ1390" s="152" t="s">
        <v>6772</v>
      </c>
      <c r="BR1390" s="152" t="s">
        <v>6727</v>
      </c>
      <c r="BS1390" s="152" t="n">
        <v>204022.376</v>
      </c>
      <c r="BT1390" s="152" t="n">
        <v>8235896.817</v>
      </c>
      <c r="BU1390" s="152" t="n">
        <v>204121.762</v>
      </c>
      <c r="BV1390" s="152" t="n">
        <v>8235923.617</v>
      </c>
      <c r="BW1390" s="152" t="n">
        <v>-15.9384627</v>
      </c>
      <c r="BX1390" s="152" t="n">
        <v>-47.7641377</v>
      </c>
      <c r="BY1390" s="152" t="s">
        <v>6790</v>
      </c>
    </row>
    <row r="1391" customFormat="false" ht="13.8" hidden="false" customHeight="false" outlineLevel="0" collapsed="false">
      <c r="A1391" s="149" t="n">
        <f aca="false">IF(C1391&lt;&gt;"",ROW(A1386),"")</f>
        <v>1386</v>
      </c>
      <c r="B1391" s="150" t="str">
        <f aca="false">HYPERLINK("https://www.google.com/maps/dir/-15.917302,-47.760003/-15.9385518,-47.7645731/data=!4m3!4m2!3e0!5i1")</f>
        <v>https://www.google.com/maps/dir/-15.917302,-47.760003/-15.9385518,-47.7645731/data=!4m3!4m2!3e0!5i1</v>
      </c>
      <c r="C1391" s="151" t="s">
        <v>117</v>
      </c>
      <c r="D1391" s="152" t="s">
        <v>112</v>
      </c>
      <c r="E1391" s="152" t="s">
        <v>113</v>
      </c>
      <c r="F1391" s="152" t="s">
        <v>117</v>
      </c>
      <c r="G1391" s="152" t="s">
        <v>114</v>
      </c>
      <c r="H1391" s="152" t="n">
        <v>225</v>
      </c>
      <c r="I1391" s="152" t="s">
        <v>115</v>
      </c>
      <c r="J1391" s="152" t="s">
        <v>6</v>
      </c>
      <c r="K1391" s="152" t="s">
        <v>6081</v>
      </c>
      <c r="L1391" s="152" t="s">
        <v>120</v>
      </c>
      <c r="M1391" s="153" t="n">
        <f aca="false">34.69</f>
        <v>34.69</v>
      </c>
      <c r="N1391" s="152" t="s">
        <v>1548</v>
      </c>
      <c r="O1391" s="152" t="s">
        <v>1549</v>
      </c>
      <c r="P1391" s="152" t="s">
        <v>1550</v>
      </c>
      <c r="Q1391" s="152" t="s">
        <v>1551</v>
      </c>
      <c r="R1391" s="154" t="s">
        <v>6791</v>
      </c>
      <c r="S1391" s="154" t="s">
        <v>1593</v>
      </c>
      <c r="T1391" s="155" t="s">
        <v>6514</v>
      </c>
      <c r="U1391" s="152" t="str">
        <f aca="false">RIGHT(T1391,7)</f>
        <v>024/037</v>
      </c>
      <c r="V1391" s="152" t="s">
        <v>1555</v>
      </c>
      <c r="W1391" s="156" t="n">
        <v>45882</v>
      </c>
      <c r="X1391" s="152" t="s">
        <v>1594</v>
      </c>
      <c r="Y1391" s="152" t="s">
        <v>6234</v>
      </c>
      <c r="Z1391" s="152" t="s">
        <v>1557</v>
      </c>
      <c r="AA1391" s="153" t="n">
        <v>5</v>
      </c>
      <c r="AB1391" s="151" t="s">
        <v>6792</v>
      </c>
      <c r="AC1391" s="151" t="s">
        <v>508</v>
      </c>
      <c r="AD1391" s="151" t="str">
        <f aca="false">CONCATENATE($C1391,$I1391,$H1391,$N1391,$J1391,$K1391)</f>
        <v>TUBO PEADPEAD225VCAREDESZona11</v>
      </c>
      <c r="AE1391" s="153" t="n">
        <f aca="false">IFERROR(INDEX(APOIO_REDES!$A:$W,MATCH($C1391&amp;$I1391&amp;$H1391&amp;$N1391&amp;$O1391,APOIO_REDES!$W:$W,0),MATCH(AE$5,APOIO_REDES!$5:$5,0)),0)</f>
        <v>1.2</v>
      </c>
      <c r="AF1391" s="153" t="n">
        <f aca="false">IFERROR(INDEX(APOIO_REDES!$A:$W,MATCH($C1391&amp;$I1391&amp;$H1391&amp;$N1391&amp;$O1391,APOIO_REDES!$W:$W,0),MATCH(AF$5,APOIO_REDES!$5:$5,0)),0)</f>
        <v>1.525</v>
      </c>
      <c r="AG1391" s="153" t="n">
        <f aca="false">IFERROR(INDEX(APOIO_REDES!$A:$W,MATCH($C1391&amp;$I1391&amp;$H1391&amp;$N1391&amp;$O1391,APOIO_REDES!$W:$W,0),MATCH(AG$5,APOIO_REDES!$5:$5,0)),0)</f>
        <v>0.8</v>
      </c>
      <c r="AH1391" s="153" t="n">
        <f aca="false">IFERROR(INDEX(APOIO_REDES!$A:$W,MATCH($C1391&amp;$I1391&amp;$H1391&amp;$N1391&amp;$O1391,APOIO_REDES!$W:$W,0),MATCH(AH$5,APOIO_REDES!$5:$5,0)),0)</f>
        <v>0.1</v>
      </c>
      <c r="AI1391" s="153" t="n">
        <f aca="false">IFERROR(IF($H1391&lt;&gt;"",(((($H1391/1000)/2)^2)*PI()*$M1391),0),0)</f>
        <v>1.37930152834304</v>
      </c>
      <c r="AJ1391" s="153" t="n">
        <f aca="false">IFERROR(IF(AND($H1391&lt;&gt;"",$I1391="FoFo",OR($N1391="MND",$N1391="VCA"),$Q1391="LINEAR"),0,IF(AND($H1391&lt;&gt;"",$I1391="PEAD",$N1391="VCA",$Q1391="LINEAR"),($H1391/1000)+0.3,IF(AND($H1391&lt;&gt;"",$I1391="PEAD",$N1391="MND",$Q1391="EMBOQUE"),0,IF(AND($H1391&lt;&gt;"",$I1391="PVC",$N1391="VCA",$Q1391="LINEAR"),($H1391/1000)+0.2,IF(AND($H1391&lt;&gt;"",$I1391="PVC",$N1391="MND",$Q1391="EMBOQUE"),0,IF(AND($H1391&lt;&gt;"",$I1391="PEAD",$N1391="VCA",$Q1391="PREDIAL"),0,0)))))),0)</f>
        <v>0.525</v>
      </c>
      <c r="AK1391" s="153" t="n">
        <f aca="false">IF(AA1391&lt;&gt;"",AA1391,0)</f>
        <v>5</v>
      </c>
      <c r="AL1391" s="153" t="n">
        <f aca="false">IF(AND($N1391="MND",$Q1391="EMBOQUE"),$M1391,IF(AND($N1391="VCA",$Q1391="LINEAR"),$M1391,IF(AND($N1391="VCA",$Q1391="PREDIAL"),0,0)))</f>
        <v>34.69</v>
      </c>
      <c r="AM1391" s="153" t="n">
        <f aca="false">IF(AND($N1391="MND",$Q1391="EMBOQUE"),$M1391,IF(AND($N1391="VCA",$Q1391="LINEAR"),$M1391,IF(AND($N1391="VCA",$Q1391="PREDIAL"),0,0)))</f>
        <v>34.69</v>
      </c>
      <c r="AN1391" s="153" t="n">
        <f aca="false">ROUND(IF(AND($N1391="VCA",$M1391&lt;&gt;"",$Q1391="LINEAR"),$M1391/100,IF(AND($N1391="MND",$M1391&gt;100,$Q1391="EMBOQUE"),$M1391/100,0)),0)</f>
        <v>0</v>
      </c>
      <c r="AO1391" s="153" t="n">
        <f aca="false">IF(AND($N1391="MND",$Q1391="EMBOQUE"),$AN1391*2*2,IF(AND($N1391="VCA",$Q1391="LINEAR"),$M1391*2,IF(AND($N1391="VCA",$Q1391="PREDIAL"),0,0)))</f>
        <v>69.38</v>
      </c>
      <c r="AP1391" s="153" t="n">
        <f aca="false">IFERROR($M1391*$AF1391*$AG1391,0)</f>
        <v>42.3218</v>
      </c>
      <c r="AQ1391" s="153" t="n">
        <f aca="false">IFERROR(IF(AND($N1391="VCA",$AH1391&gt;0),$M1391*$AG1391*$AH1391,0),0)</f>
        <v>2.7752</v>
      </c>
      <c r="AR1391" s="153" t="n">
        <f aca="false">IFERROR(IF(AND($N1391="VCA",$AJ1391&gt;0),($M1391*$AG1391*$AJ1391)-$AI1391,0),0)</f>
        <v>13.190498471657</v>
      </c>
      <c r="AS1391" s="153" t="n">
        <f aca="false">IFERROR(IF(AND($N1391="VCA",$AP1391&gt;0),$AP1391-$AI1391-$AQ1391-$AR1391,0),0)</f>
        <v>24.9768</v>
      </c>
      <c r="AT1391" s="153" t="n">
        <f aca="false">IFERROR(IF($N1391="VCA",INDEX(APOIO_REDES!$A:$W,MATCH($C1391&amp;$I1391&amp;$H1391&amp;$N1391&amp;$O1391,APOIO_REDES!$W:$W,0),MATCH(AT$5,APOIO_REDES!$5:$5,0)),0)*$AP1391,0)</f>
        <v>0.46047371061338</v>
      </c>
      <c r="AU1391" s="153" t="n">
        <f aca="false">IFERROR(IF($N1391="VCA",INDEX(APOIO_REDES!$A:$W,MATCH($C1391&amp;$I1391&amp;$H1391&amp;$N1391&amp;$O1391,APOIO_REDES!$W:$W,0),MATCH(AU$5,APOIO_REDES!$5:$5,0)),0)*$AP1391,0)</f>
        <v>0.367721834086157</v>
      </c>
      <c r="AV1391" s="153" t="n">
        <f aca="false">IFERROR(IF($N1391="VCA",INDEX(APOIO_REDES!$A:$W,MATCH($C1391&amp;$I1391&amp;$H1391&amp;$N1391&amp;$O1391,APOIO_REDES!$W:$W,0),MATCH(AV$5,APOIO_REDES!$5:$5,0)),0)*$AP1391,0)</f>
        <v>0.0508898151079435</v>
      </c>
      <c r="AW1391" s="153" t="n">
        <f aca="false">IFERROR(IF($N1391="VCA",INDEX(APOIO_REDES!$A:$W,MATCH($C1391&amp;$I1391&amp;$H1391&amp;$N1391&amp;$O1391,APOIO_REDES!$W:$W,0),MATCH(AW$5,APOIO_REDES!$5:$5,0)),0)*$AP1391,0)</f>
        <v>29.0500114453084</v>
      </c>
      <c r="AX1391" s="153" t="n">
        <f aca="false">IFERROR(IF($N1391="VCA",INDEX(APOIO_REDES!$A:$W,MATCH($C1391&amp;$I1391&amp;$H1391&amp;$N1391&amp;$O1391,APOIO_REDES!$W:$W,0),MATCH(AX$5,APOIO_REDES!$5:$5,0)),0)*$AP1391,0)</f>
        <v>4.0204388335067</v>
      </c>
      <c r="AY1391" s="153" t="n">
        <f aca="false">IFERROR(IF($N1391="VCA",INDEX(APOIO_REDES!$A:$W,MATCH($C1391&amp;$I1391&amp;$H1391&amp;$N1391&amp;$O1391,APOIO_REDES!$W:$W,0),MATCH(AY$5,APOIO_REDES!$5:$5,0)),0)*$AP1391,0)</f>
        <v>7.35443219922379</v>
      </c>
      <c r="AZ1391" s="153" t="n">
        <f aca="false">IFERROR(IF($N1391="VCA",INDEX(APOIO_REDES!$A:$W,MATCH($C1391&amp;$I1391&amp;$H1391&amp;$N1391&amp;$O1391,APOIO_REDES!$W:$W,0),MATCH(AZ$5,APOIO_REDES!$5:$5,0)),0)*$AP1391,0)</f>
        <v>1.01783216215366</v>
      </c>
      <c r="BA1391" s="153" t="n">
        <f aca="false">IFERROR(IF(AND($N1391="VCA",$Q1391="LINEAR"),INDEX(APOIO_REDES!$A:$W,MATCH($C1391&amp;$I1391&amp;$H1391&amp;$N1391&amp;$O1391,APOIO_REDES!$W:$W,0),MATCH(BA$5,APOIO_REDES!$5:$5,0)),IF(AND($N1391="MND",$Q1391="EMBOQUE"),INDEX(APOIO_REDES!$A:$W,MATCH($C1391&amp;$I1391&amp;$H1391&amp;$N1391&amp;$O1391,APOIO_REDES!$W:$W,0),MATCH(BA$5,APOIO_REDES!$5:$5,0)),0))*$M1391/10,0)</f>
        <v>2.79592649724258</v>
      </c>
      <c r="BB1391" s="153" t="n">
        <f aca="false">IFERROR(IF($N1391="VCA",INDEX(APOIO_REDES!$A:$W,MATCH($C1391&amp;$I1391&amp;$H1391&amp;$N1391&amp;$O1391,APOIO_REDES!$W:$W,0),MATCH(BB$5,APOIO_REDES!$5:$5,0)),0)*($AI1391+$AQ1391+$AR1391),0)</f>
        <v>17.1562812661421</v>
      </c>
      <c r="BC1391" s="153" t="n">
        <f aca="false">IFERROR(IF($N1391="VCA",INDEX(APOIO_REDES!$A:$W,MATCH($C1391&amp;$I1391&amp;$H1391&amp;$N1391&amp;$O1391,APOIO_REDES!$W:$W,0),MATCH(BC$5,APOIO_REDES!$5:$5,0)),0)*($AI1391+$AQ1391+$AR1391),0)</f>
        <v>0.188718733857943</v>
      </c>
      <c r="BD1391" s="153" t="n">
        <f aca="false">IF(AND($N1391="VCA",$AF1391&gt;=1.25,$AF1391&lt;1.5),$M1391*$AF1391*2,0)</f>
        <v>0</v>
      </c>
      <c r="BE1391" s="153" t="n">
        <f aca="false">IF(AND($N1391="VCA",$AF1391&gt;=1.5,$AF1391&lt;3),$M1391*$AF1391*2,0)</f>
        <v>105.8045</v>
      </c>
      <c r="BF1391" s="153" t="n">
        <f aca="false">IF(AND($N1391="VCA",$AF1391&gt;=3),$M1391*$AF1391*2,0)</f>
        <v>0</v>
      </c>
      <c r="BG1391" s="153" t="n">
        <f aca="false">($BB1391+$BC1391)*$AK1391</f>
        <v>86.725</v>
      </c>
      <c r="BH1391" s="153" t="n">
        <f aca="false">IF(AND($M1391&lt;&gt;"",$N1391="VCA",$Q1391="LINEAR"),($M1391*2)/100,IF(AND($M1391&lt;&gt;"",$N1391="MND",$Q1391="EMBOQUE"),($AN1391*2)/100,0))</f>
        <v>0.6938</v>
      </c>
      <c r="BI1391" s="153" t="n">
        <f aca="false">IF(AND($M1391&lt;&gt;"",$N1391="VCA",$Q1391="LINEAR"),$M1391,IF(AND($M1391&lt;&gt;"",$N1391="MND",$Q1391="EMBOQUE"),$AN1391*2,0))</f>
        <v>34.69</v>
      </c>
      <c r="BJ1391" s="153" t="n">
        <f aca="false">IF(AND($M1391&lt;&gt;"",$N1391="VCA",$Q1391="LINEAR"),($M1391*6.8)/100,IF(AND($M1391&lt;&gt;"",$N1391="MND",$Q1391="EMBOQUE"),($AN1391*2*6.8)/100,0))</f>
        <v>2.35892</v>
      </c>
      <c r="BK1391" s="153" t="n">
        <f aca="false">IF(AND($M1391&lt;&gt;"",$N1391="VCA",$Q1391="LINEAR"),($M1391*2.5)/50,IF(AND($M1391&lt;&gt;"",$N1391="MND",$Q1391="EMBOQUE"),($AN1391*2*2.5)/50,0))</f>
        <v>1.7345</v>
      </c>
      <c r="BL1391" s="157" t="str">
        <f aca="false">K1391&amp;J1391</f>
        <v>Zona11REDES</v>
      </c>
      <c r="BM1391" s="152" t="s">
        <v>6084</v>
      </c>
      <c r="BN1391" s="152" t="s">
        <v>1560</v>
      </c>
      <c r="BO1391" s="152" t="s">
        <v>6516</v>
      </c>
      <c r="BP1391" s="152" t="s">
        <v>6793</v>
      </c>
      <c r="BQ1391" s="152" t="s">
        <v>6785</v>
      </c>
      <c r="BR1391" s="152" t="s">
        <v>6717</v>
      </c>
      <c r="BS1391" s="152" t="n">
        <v>204025.553</v>
      </c>
      <c r="BT1391" s="152" t="n">
        <v>8235899.72</v>
      </c>
      <c r="BU1391" s="152" t="n">
        <v>204059.041</v>
      </c>
      <c r="BV1391" s="152" t="n">
        <v>8235908.758</v>
      </c>
      <c r="BW1391" s="152" t="n">
        <v>-15.9385131</v>
      </c>
      <c r="BX1391" s="152" t="n">
        <v>-47.7644163</v>
      </c>
      <c r="BY1391" s="152" t="s">
        <v>6793</v>
      </c>
    </row>
    <row r="1392" customFormat="false" ht="13.8" hidden="false" customHeight="false" outlineLevel="0" collapsed="false">
      <c r="A1392" s="149" t="n">
        <f aca="false">IF(C1392&lt;&gt;"",ROW(A1387),"")</f>
        <v>1387</v>
      </c>
      <c r="B1392" s="150" t="str">
        <f aca="false">HYPERLINK("https://www.google.com/maps/dir/-15.917302,-47.760003/-15.9385602,-47.7646076/data=!4m3!4m2!3e0!5i1")</f>
        <v>https://www.google.com/maps/dir/-15.917302,-47.760003/-15.9385602,-47.7646076/data=!4m3!4m2!3e0!5i1</v>
      </c>
      <c r="C1392" s="151" t="s">
        <v>117</v>
      </c>
      <c r="D1392" s="152" t="s">
        <v>112</v>
      </c>
      <c r="E1392" s="152" t="s">
        <v>113</v>
      </c>
      <c r="F1392" s="152" t="s">
        <v>117</v>
      </c>
      <c r="G1392" s="152" t="s">
        <v>114</v>
      </c>
      <c r="H1392" s="152" t="n">
        <v>225</v>
      </c>
      <c r="I1392" s="152" t="s">
        <v>115</v>
      </c>
      <c r="J1392" s="152" t="s">
        <v>6</v>
      </c>
      <c r="K1392" s="152" t="s">
        <v>6081</v>
      </c>
      <c r="L1392" s="152" t="s">
        <v>120</v>
      </c>
      <c r="M1392" s="153" t="n">
        <f aca="false">3.81</f>
        <v>3.81</v>
      </c>
      <c r="N1392" s="152" t="s">
        <v>1548</v>
      </c>
      <c r="O1392" s="152" t="s">
        <v>1549</v>
      </c>
      <c r="P1392" s="152" t="s">
        <v>1550</v>
      </c>
      <c r="Q1392" s="152" t="s">
        <v>1551</v>
      </c>
      <c r="R1392" s="154" t="s">
        <v>6794</v>
      </c>
      <c r="S1392" s="154" t="s">
        <v>1593</v>
      </c>
      <c r="T1392" s="155" t="s">
        <v>6514</v>
      </c>
      <c r="U1392" s="152" t="str">
        <f aca="false">RIGHT(T1392,7)</f>
        <v>024/037</v>
      </c>
      <c r="V1392" s="152" t="s">
        <v>1555</v>
      </c>
      <c r="W1392" s="156" t="n">
        <v>45882</v>
      </c>
      <c r="X1392" s="152" t="s">
        <v>1594</v>
      </c>
      <c r="Y1392" s="152" t="s">
        <v>6234</v>
      </c>
      <c r="Z1392" s="152" t="s">
        <v>1557</v>
      </c>
      <c r="AA1392" s="153" t="n">
        <v>5</v>
      </c>
      <c r="AB1392" s="151" t="s">
        <v>6795</v>
      </c>
      <c r="AC1392" s="151" t="s">
        <v>508</v>
      </c>
      <c r="AD1392" s="151" t="str">
        <f aca="false">CONCATENATE($C1392,$I1392,$H1392,$N1392,$J1392,$K1392)</f>
        <v>TUBO PEADPEAD225VCAREDESZona11</v>
      </c>
      <c r="AE1392" s="153" t="n">
        <f aca="false">IFERROR(INDEX(APOIO_REDES!$A:$W,MATCH($C1392&amp;$I1392&amp;$H1392&amp;$N1392&amp;$O1392,APOIO_REDES!$W:$W,0),MATCH(AE$5,APOIO_REDES!$5:$5,0)),0)</f>
        <v>1.2</v>
      </c>
      <c r="AF1392" s="153" t="n">
        <f aca="false">IFERROR(INDEX(APOIO_REDES!$A:$W,MATCH($C1392&amp;$I1392&amp;$H1392&amp;$N1392&amp;$O1392,APOIO_REDES!$W:$W,0),MATCH(AF$5,APOIO_REDES!$5:$5,0)),0)</f>
        <v>1.525</v>
      </c>
      <c r="AG1392" s="153" t="n">
        <f aca="false">IFERROR(INDEX(APOIO_REDES!$A:$W,MATCH($C1392&amp;$I1392&amp;$H1392&amp;$N1392&amp;$O1392,APOIO_REDES!$W:$W,0),MATCH(AG$5,APOIO_REDES!$5:$5,0)),0)</f>
        <v>0.8</v>
      </c>
      <c r="AH1392" s="153" t="n">
        <f aca="false">IFERROR(INDEX(APOIO_REDES!$A:$W,MATCH($C1392&amp;$I1392&amp;$H1392&amp;$N1392&amp;$O1392,APOIO_REDES!$W:$W,0),MATCH(AH$5,APOIO_REDES!$5:$5,0)),0)</f>
        <v>0.1</v>
      </c>
      <c r="AI1392" s="153" t="n">
        <f aca="false">IFERROR(IF($H1392&lt;&gt;"",(((($H1392/1000)/2)^2)*PI()*$M1392),0),0)</f>
        <v>0.151488579503804</v>
      </c>
      <c r="AJ1392" s="153" t="n">
        <f aca="false">IFERROR(IF(AND($H1392&lt;&gt;"",$I1392="FoFo",OR($N1392="MND",$N1392="VCA"),$Q1392="LINEAR"),0,IF(AND($H1392&lt;&gt;"",$I1392="PEAD",$N1392="VCA",$Q1392="LINEAR"),($H1392/1000)+0.3,IF(AND($H1392&lt;&gt;"",$I1392="PEAD",$N1392="MND",$Q1392="EMBOQUE"),0,IF(AND($H1392&lt;&gt;"",$I1392="PVC",$N1392="VCA",$Q1392="LINEAR"),($H1392/1000)+0.2,IF(AND($H1392&lt;&gt;"",$I1392="PVC",$N1392="MND",$Q1392="EMBOQUE"),0,IF(AND($H1392&lt;&gt;"",$I1392="PEAD",$N1392="VCA",$Q1392="PREDIAL"),0,0)))))),0)</f>
        <v>0.525</v>
      </c>
      <c r="AK1392" s="153" t="n">
        <f aca="false">IF(AA1392&lt;&gt;"",AA1392,0)</f>
        <v>5</v>
      </c>
      <c r="AL1392" s="153" t="n">
        <f aca="false">IF(AND($N1392="MND",$Q1392="EMBOQUE"),$M1392,IF(AND($N1392="VCA",$Q1392="LINEAR"),$M1392,IF(AND($N1392="VCA",$Q1392="PREDIAL"),0,0)))</f>
        <v>3.81</v>
      </c>
      <c r="AM1392" s="153" t="n">
        <f aca="false">IF(AND($N1392="MND",$Q1392="EMBOQUE"),$M1392,IF(AND($N1392="VCA",$Q1392="LINEAR"),$M1392,IF(AND($N1392="VCA",$Q1392="PREDIAL"),0,0)))</f>
        <v>3.81</v>
      </c>
      <c r="AN1392" s="153" t="n">
        <f aca="false">ROUND(IF(AND($N1392="VCA",$M1392&lt;&gt;"",$Q1392="LINEAR"),$M1392/100,IF(AND($N1392="MND",$M1392&gt;100,$Q1392="EMBOQUE"),$M1392/100,0)),0)</f>
        <v>0</v>
      </c>
      <c r="AO1392" s="153" t="n">
        <f aca="false">IF(AND($N1392="MND",$Q1392="EMBOQUE"),$AN1392*2*2,IF(AND($N1392="VCA",$Q1392="LINEAR"),$M1392*2,IF(AND($N1392="VCA",$Q1392="PREDIAL"),0,0)))</f>
        <v>7.62</v>
      </c>
      <c r="AP1392" s="153" t="n">
        <f aca="false">IFERROR($M1392*$AF1392*$AG1392,0)</f>
        <v>4.6482</v>
      </c>
      <c r="AQ1392" s="153" t="n">
        <f aca="false">IFERROR(IF(AND($N1392="VCA",$AH1392&gt;0),$M1392*$AG1392*$AH1392,0),0)</f>
        <v>0.3048</v>
      </c>
      <c r="AR1392" s="153" t="n">
        <f aca="false">IFERROR(IF(AND($N1392="VCA",$AJ1392&gt;0),($M1392*$AG1392*$AJ1392)-$AI1392,0),0)</f>
        <v>1.4487114204962</v>
      </c>
      <c r="AS1392" s="153" t="n">
        <f aca="false">IFERROR(IF(AND($N1392="VCA",$AP1392&gt;0),$AP1392-$AI1392-$AQ1392-$AR1392,0),0)</f>
        <v>2.7432</v>
      </c>
      <c r="AT1392" s="153" t="n">
        <f aca="false">IFERROR(IF($N1392="VCA",INDEX(APOIO_REDES!$A:$W,MATCH($C1392&amp;$I1392&amp;$H1392&amp;$N1392&amp;$O1392,APOIO_REDES!$W:$W,0),MATCH(AT$5,APOIO_REDES!$5:$5,0)),0)*$AP1392,0)</f>
        <v>0.0505737917969726</v>
      </c>
      <c r="AU1392" s="153" t="n">
        <f aca="false">IFERROR(IF($N1392="VCA",INDEX(APOIO_REDES!$A:$W,MATCH($C1392&amp;$I1392&amp;$H1392&amp;$N1392&amp;$O1392,APOIO_REDES!$W:$W,0),MATCH(AU$5,APOIO_REDES!$5:$5,0)),0)*$AP1392,0)</f>
        <v>0.0403868604170729</v>
      </c>
      <c r="AV1392" s="153" t="n">
        <f aca="false">IFERROR(IF($N1392="VCA",INDEX(APOIO_REDES!$A:$W,MATCH($C1392&amp;$I1392&amp;$H1392&amp;$N1392&amp;$O1392,APOIO_REDES!$W:$W,0),MATCH(AV$5,APOIO_REDES!$5:$5,0)),0)*$AP1392,0)</f>
        <v>0.00558922443243772</v>
      </c>
      <c r="AW1392" s="153" t="n">
        <f aca="false">IFERROR(IF($N1392="VCA",INDEX(APOIO_REDES!$A:$W,MATCH($C1392&amp;$I1392&amp;$H1392&amp;$N1392&amp;$O1392,APOIO_REDES!$W:$W,0),MATCH(AW$5,APOIO_REDES!$5:$5,0)),0)*$AP1392,0)</f>
        <v>3.1905604960111</v>
      </c>
      <c r="AX1392" s="153" t="n">
        <f aca="false">IFERROR(IF($N1392="VCA",INDEX(APOIO_REDES!$A:$W,MATCH($C1392&amp;$I1392&amp;$H1392&amp;$N1392&amp;$O1392,APOIO_REDES!$W:$W,0),MATCH(AX$5,APOIO_REDES!$5:$5,0)),0)*$AP1392,0)</f>
        <v>0.441564484164328</v>
      </c>
      <c r="AY1392" s="153" t="n">
        <f aca="false">IFERROR(IF($N1392="VCA",INDEX(APOIO_REDES!$A:$W,MATCH($C1392&amp;$I1392&amp;$H1392&amp;$N1392&amp;$O1392,APOIO_REDES!$W:$W,0),MATCH(AY$5,APOIO_REDES!$5:$5,0)),0)*$AP1392,0)</f>
        <v>0.807736716028903</v>
      </c>
      <c r="AZ1392" s="153" t="n">
        <f aca="false">IFERROR(IF($N1392="VCA",INDEX(APOIO_REDES!$A:$W,MATCH($C1392&amp;$I1392&amp;$H1392&amp;$N1392&amp;$O1392,APOIO_REDES!$W:$W,0),MATCH(AZ$5,APOIO_REDES!$5:$5,0)),0)*$AP1392,0)</f>
        <v>0.111788427149191</v>
      </c>
      <c r="BA1392" s="153" t="n">
        <f aca="false">IFERROR(IF(AND($N1392="VCA",$Q1392="LINEAR"),INDEX(APOIO_REDES!$A:$W,MATCH($C1392&amp;$I1392&amp;$H1392&amp;$N1392&amp;$O1392,APOIO_REDES!$W:$W,0),MATCH(BA$5,APOIO_REDES!$5:$5,0)),IF(AND($N1392="MND",$Q1392="EMBOQUE"),INDEX(APOIO_REDES!$A:$W,MATCH($C1392&amp;$I1392&amp;$H1392&amp;$N1392&amp;$O1392,APOIO_REDES!$W:$W,0),MATCH(BA$5,APOIO_REDES!$5:$5,0)),0))*$M1392/10,0)</f>
        <v>0.307076389578963</v>
      </c>
      <c r="BB1392" s="153" t="n">
        <f aca="false">IFERROR(IF($N1392="VCA",INDEX(APOIO_REDES!$A:$W,MATCH($C1392&amp;$I1392&amp;$H1392&amp;$N1392&amp;$O1392,APOIO_REDES!$W:$W,0),MATCH(BB$5,APOIO_REDES!$5:$5,0)),0)*($AI1392+$AQ1392+$AR1392),0)</f>
        <v>1.88427303614878</v>
      </c>
      <c r="BC1392" s="153" t="n">
        <f aca="false">IFERROR(IF($N1392="VCA",INDEX(APOIO_REDES!$A:$W,MATCH($C1392&amp;$I1392&amp;$H1392&amp;$N1392&amp;$O1392,APOIO_REDES!$W:$W,0),MATCH(BC$5,APOIO_REDES!$5:$5,0)),0)*($AI1392+$AQ1392+$AR1392),0)</f>
        <v>0.0207269638512183</v>
      </c>
      <c r="BD1392" s="153" t="n">
        <f aca="false">IF(AND($N1392="VCA",$AF1392&gt;=1.25,$AF1392&lt;1.5),$M1392*$AF1392*2,0)</f>
        <v>0</v>
      </c>
      <c r="BE1392" s="153" t="n">
        <f aca="false">IF(AND($N1392="VCA",$AF1392&gt;=1.5,$AF1392&lt;3),$M1392*$AF1392*2,0)</f>
        <v>11.6205</v>
      </c>
      <c r="BF1392" s="153" t="n">
        <f aca="false">IF(AND($N1392="VCA",$AF1392&gt;=3),$M1392*$AF1392*2,0)</f>
        <v>0</v>
      </c>
      <c r="BG1392" s="153" t="n">
        <f aca="false">($BB1392+$BC1392)*$AK1392</f>
        <v>9.525</v>
      </c>
      <c r="BH1392" s="153" t="n">
        <f aca="false">IF(AND($M1392&lt;&gt;"",$N1392="VCA",$Q1392="LINEAR"),($M1392*2)/100,IF(AND($M1392&lt;&gt;"",$N1392="MND",$Q1392="EMBOQUE"),($AN1392*2)/100,0))</f>
        <v>0.0762</v>
      </c>
      <c r="BI1392" s="153" t="n">
        <f aca="false">IF(AND($M1392&lt;&gt;"",$N1392="VCA",$Q1392="LINEAR"),$M1392,IF(AND($M1392&lt;&gt;"",$N1392="MND",$Q1392="EMBOQUE"),$AN1392*2,0))</f>
        <v>3.81</v>
      </c>
      <c r="BJ1392" s="153" t="n">
        <f aca="false">IF(AND($M1392&lt;&gt;"",$N1392="VCA",$Q1392="LINEAR"),($M1392*6.8)/100,IF(AND($M1392&lt;&gt;"",$N1392="MND",$Q1392="EMBOQUE"),($AN1392*2*6.8)/100,0))</f>
        <v>0.25908</v>
      </c>
      <c r="BK1392" s="153" t="n">
        <f aca="false">IF(AND($M1392&lt;&gt;"",$N1392="VCA",$Q1392="LINEAR"),($M1392*2.5)/50,IF(AND($M1392&lt;&gt;"",$N1392="MND",$Q1392="EMBOQUE"),($AN1392*2*2.5)/50,0))</f>
        <v>0.1905</v>
      </c>
      <c r="BL1392" s="157" t="str">
        <f aca="false">K1392&amp;J1392</f>
        <v>Zona11REDES</v>
      </c>
      <c r="BM1392" s="152" t="s">
        <v>6084</v>
      </c>
      <c r="BN1392" s="152" t="s">
        <v>1560</v>
      </c>
      <c r="BO1392" s="152" t="s">
        <v>6516</v>
      </c>
      <c r="BP1392" s="152" t="s">
        <v>6796</v>
      </c>
      <c r="BQ1392" s="152" t="s">
        <v>6793</v>
      </c>
      <c r="BR1392" s="152" t="s">
        <v>6717</v>
      </c>
      <c r="BS1392" s="152" t="n">
        <v>204021.875</v>
      </c>
      <c r="BT1392" s="152" t="n">
        <v>8235898.727</v>
      </c>
      <c r="BU1392" s="152" t="n">
        <v>204025.553</v>
      </c>
      <c r="BV1392" s="152" t="n">
        <v>8235899.72</v>
      </c>
      <c r="BW1392" s="152" t="n">
        <v>-15.9385562</v>
      </c>
      <c r="BX1392" s="152" t="n">
        <v>-47.7645903</v>
      </c>
      <c r="BY1392" s="152" t="s">
        <v>6796</v>
      </c>
    </row>
    <row r="1393" customFormat="false" ht="13.8" hidden="false" customHeight="false" outlineLevel="0" collapsed="false">
      <c r="A1393" s="149" t="n">
        <f aca="false">IF(C1393&lt;&gt;"",ROW(A1388),"")</f>
        <v>1388</v>
      </c>
      <c r="B1393" s="150" t="str">
        <f aca="false">HYPERLINK("https://www.google.com/maps/dir/-15.917302,-47.760003/-15.9385602,-47.7646076/data=!4m3!4m2!3e0!5i1")</f>
        <v>https://www.google.com/maps/dir/-15.917302,-47.760003/-15.9385602,-47.7646076/data=!4m3!4m2!3e0!5i1</v>
      </c>
      <c r="C1393" s="151" t="s">
        <v>117</v>
      </c>
      <c r="D1393" s="152" t="s">
        <v>112</v>
      </c>
      <c r="E1393" s="152" t="s">
        <v>113</v>
      </c>
      <c r="F1393" s="152" t="s">
        <v>117</v>
      </c>
      <c r="G1393" s="152" t="s">
        <v>114</v>
      </c>
      <c r="H1393" s="152" t="n">
        <v>160</v>
      </c>
      <c r="I1393" s="152" t="s">
        <v>115</v>
      </c>
      <c r="J1393" s="152" t="s">
        <v>6</v>
      </c>
      <c r="K1393" s="152" t="s">
        <v>6081</v>
      </c>
      <c r="L1393" s="152" t="s">
        <v>120</v>
      </c>
      <c r="M1393" s="153" t="n">
        <f aca="false">2</f>
        <v>2</v>
      </c>
      <c r="N1393" s="152" t="s">
        <v>1548</v>
      </c>
      <c r="O1393" s="152" t="s">
        <v>1549</v>
      </c>
      <c r="P1393" s="152" t="s">
        <v>1550</v>
      </c>
      <c r="Q1393" s="152" t="s">
        <v>1551</v>
      </c>
      <c r="R1393" s="154" t="s">
        <v>6797</v>
      </c>
      <c r="S1393" s="154" t="s">
        <v>1593</v>
      </c>
      <c r="T1393" s="155" t="s">
        <v>6514</v>
      </c>
      <c r="U1393" s="152" t="str">
        <f aca="false">RIGHT(T1393,7)</f>
        <v>024/037</v>
      </c>
      <c r="V1393" s="152" t="s">
        <v>1555</v>
      </c>
      <c r="W1393" s="156" t="n">
        <v>45882</v>
      </c>
      <c r="X1393" s="152" t="s">
        <v>1594</v>
      </c>
      <c r="Y1393" s="152" t="s">
        <v>6234</v>
      </c>
      <c r="Z1393" s="152" t="s">
        <v>1557</v>
      </c>
      <c r="AA1393" s="153" t="n">
        <v>5</v>
      </c>
      <c r="AB1393" s="151" t="s">
        <v>6798</v>
      </c>
      <c r="AC1393" s="151" t="s">
        <v>505</v>
      </c>
      <c r="AD1393" s="151" t="str">
        <f aca="false">CONCATENATE($C1393,$I1393,$H1393,$N1393,$J1393,$K1393)</f>
        <v>TUBO PEADPEAD160VCAREDESZona11</v>
      </c>
      <c r="AE1393" s="153" t="n">
        <f aca="false">IFERROR(INDEX(APOIO_REDES!$A:$W,MATCH($C1393&amp;$I1393&amp;$H1393&amp;$N1393&amp;$O1393,APOIO_REDES!$W:$W,0),MATCH(AE$5,APOIO_REDES!$5:$5,0)),0)</f>
        <v>1.2</v>
      </c>
      <c r="AF1393" s="153" t="n">
        <f aca="false">IFERROR(INDEX(APOIO_REDES!$A:$W,MATCH($C1393&amp;$I1393&amp;$H1393&amp;$N1393&amp;$O1393,APOIO_REDES!$W:$W,0),MATCH(AF$5,APOIO_REDES!$5:$5,0)),0)</f>
        <v>1.46</v>
      </c>
      <c r="AG1393" s="153" t="n">
        <f aca="false">IFERROR(INDEX(APOIO_REDES!$A:$W,MATCH($C1393&amp;$I1393&amp;$H1393&amp;$N1393&amp;$O1393,APOIO_REDES!$W:$W,0),MATCH(AG$5,APOIO_REDES!$5:$5,0)),0)</f>
        <v>0.75</v>
      </c>
      <c r="AH1393" s="153" t="n">
        <f aca="false">IFERROR(INDEX(APOIO_REDES!$A:$W,MATCH($C1393&amp;$I1393&amp;$H1393&amp;$N1393&amp;$O1393,APOIO_REDES!$W:$W,0),MATCH(AH$5,APOIO_REDES!$5:$5,0)),0)</f>
        <v>0.1</v>
      </c>
      <c r="AI1393" s="153" t="n">
        <f aca="false">IFERROR(IF($H1393&lt;&gt;"",(((($H1393/1000)/2)^2)*PI()*$M1393),0),0)</f>
        <v>0.0402123859659494</v>
      </c>
      <c r="AJ1393" s="153" t="n">
        <f aca="false">IFERROR(IF(AND($H1393&lt;&gt;"",$I1393="FoFo",OR($N1393="MND",$N1393="VCA"),$Q1393="LINEAR"),0,IF(AND($H1393&lt;&gt;"",$I1393="PEAD",$N1393="VCA",$Q1393="LINEAR"),($H1393/1000)+0.3,IF(AND($H1393&lt;&gt;"",$I1393="PEAD",$N1393="MND",$Q1393="EMBOQUE"),0,IF(AND($H1393&lt;&gt;"",$I1393="PVC",$N1393="VCA",$Q1393="LINEAR"),($H1393/1000)+0.2,IF(AND($H1393&lt;&gt;"",$I1393="PVC",$N1393="MND",$Q1393="EMBOQUE"),0,IF(AND($H1393&lt;&gt;"",$I1393="PEAD",$N1393="VCA",$Q1393="PREDIAL"),0,0)))))),0)</f>
        <v>0.46</v>
      </c>
      <c r="AK1393" s="153" t="n">
        <f aca="false">IF(AA1393&lt;&gt;"",AA1393,0)</f>
        <v>5</v>
      </c>
      <c r="AL1393" s="153" t="n">
        <f aca="false">IF(AND($N1393="MND",$Q1393="EMBOQUE"),$M1393,IF(AND($N1393="VCA",$Q1393="LINEAR"),$M1393,IF(AND($N1393="VCA",$Q1393="PREDIAL"),0,0)))</f>
        <v>2</v>
      </c>
      <c r="AM1393" s="153" t="n">
        <f aca="false">IF(AND($N1393="MND",$Q1393="EMBOQUE"),$M1393,IF(AND($N1393="VCA",$Q1393="LINEAR"),$M1393,IF(AND($N1393="VCA",$Q1393="PREDIAL"),0,0)))</f>
        <v>2</v>
      </c>
      <c r="AN1393" s="153" t="n">
        <f aca="false">ROUND(IF(AND($N1393="VCA",$M1393&lt;&gt;"",$Q1393="LINEAR"),$M1393/100,IF(AND($N1393="MND",$M1393&gt;100,$Q1393="EMBOQUE"),$M1393/100,0)),0)</f>
        <v>0</v>
      </c>
      <c r="AO1393" s="153" t="n">
        <f aca="false">IF(AND($N1393="MND",$Q1393="EMBOQUE"),$AN1393*2*2,IF(AND($N1393="VCA",$Q1393="LINEAR"),$M1393*2,IF(AND($N1393="VCA",$Q1393="PREDIAL"),0,0)))</f>
        <v>4</v>
      </c>
      <c r="AP1393" s="153" t="n">
        <f aca="false">IFERROR($M1393*$AF1393*$AG1393,0)</f>
        <v>2.19</v>
      </c>
      <c r="AQ1393" s="153" t="n">
        <f aca="false">IFERROR(IF(AND($N1393="VCA",$AH1393&gt;0),$M1393*$AG1393*$AH1393,0),0)</f>
        <v>0.15</v>
      </c>
      <c r="AR1393" s="153" t="n">
        <f aca="false">IFERROR(IF(AND($N1393="VCA",$AJ1393&gt;0),($M1393*$AG1393*$AJ1393)-$AI1393,0),0)</f>
        <v>0.649787614034051</v>
      </c>
      <c r="AS1393" s="153" t="n">
        <f aca="false">IFERROR(IF(AND($N1393="VCA",$AP1393&gt;0),$AP1393-$AI1393-$AQ1393-$AR1393,0),0)</f>
        <v>1.35</v>
      </c>
      <c r="AT1393" s="153" t="n">
        <f aca="false">IFERROR(IF($N1393="VCA",INDEX(APOIO_REDES!$A:$W,MATCH($C1393&amp;$I1393&amp;$H1393&amp;$N1393&amp;$O1393,APOIO_REDES!$W:$W,0),MATCH(AT$5,APOIO_REDES!$5:$5,0)),0)*$AP1393,0)</f>
        <v>0.0238278482069124</v>
      </c>
      <c r="AU1393" s="153" t="n">
        <f aca="false">IFERROR(IF($N1393="VCA",INDEX(APOIO_REDES!$A:$W,MATCH($C1393&amp;$I1393&amp;$H1393&amp;$N1393&amp;$O1393,APOIO_REDES!$W:$W,0),MATCH(AU$5,APOIO_REDES!$5:$5,0)),0)*$AP1393,0)</f>
        <v>0.0190282742380684</v>
      </c>
      <c r="AV1393" s="153" t="n">
        <f aca="false">IFERROR(IF($N1393="VCA",INDEX(APOIO_REDES!$A:$W,MATCH($C1393&amp;$I1393&amp;$H1393&amp;$N1393&amp;$O1393,APOIO_REDES!$W:$W,0),MATCH(AV$5,APOIO_REDES!$5:$5,0)),0)*$AP1393,0)</f>
        <v>0.00263336377673908</v>
      </c>
      <c r="AW1393" s="153" t="n">
        <f aca="false">IFERROR(IF($N1393="VCA",INDEX(APOIO_REDES!$A:$W,MATCH($C1393&amp;$I1393&amp;$H1393&amp;$N1393&amp;$O1393,APOIO_REDES!$W:$W,0),MATCH(AW$5,APOIO_REDES!$5:$5,0)),0)*$AP1393,0)</f>
        <v>1.50323296894804</v>
      </c>
      <c r="AX1393" s="153" t="n">
        <f aca="false">IFERROR(IF($N1393="VCA",INDEX(APOIO_REDES!$A:$W,MATCH($C1393&amp;$I1393&amp;$H1393&amp;$N1393&amp;$O1393,APOIO_REDES!$W:$W,0),MATCH(AX$5,APOIO_REDES!$5:$5,0)),0)*$AP1393,0)</f>
        <v>0.208043160862243</v>
      </c>
      <c r="AY1393" s="153" t="n">
        <f aca="false">IFERROR(IF($N1393="VCA",INDEX(APOIO_REDES!$A:$W,MATCH($C1393&amp;$I1393&amp;$H1393&amp;$N1393&amp;$O1393,APOIO_REDES!$W:$W,0),MATCH(AY$5,APOIO_REDES!$5:$5,0)),0)*$AP1393,0)</f>
        <v>0.380565252808248</v>
      </c>
      <c r="AZ1393" s="153" t="n">
        <f aca="false">IFERROR(IF($N1393="VCA",INDEX(APOIO_REDES!$A:$W,MATCH($C1393&amp;$I1393&amp;$H1393&amp;$N1393&amp;$O1393,APOIO_REDES!$W:$W,0),MATCH(AZ$5,APOIO_REDES!$5:$5,0)),0)*$AP1393,0)</f>
        <v>0.0526691311597455</v>
      </c>
      <c r="BA1393" s="153" t="n">
        <f aca="false">IFERROR(IF(AND($N1393="VCA",$Q1393="LINEAR"),INDEX(APOIO_REDES!$A:$W,MATCH($C1393&amp;$I1393&amp;$H1393&amp;$N1393&amp;$O1393,APOIO_REDES!$W:$W,0),MATCH(BA$5,APOIO_REDES!$5:$5,0)),IF(AND($N1393="MND",$Q1393="EMBOQUE"),INDEX(APOIO_REDES!$A:$W,MATCH($C1393&amp;$I1393&amp;$H1393&amp;$N1393&amp;$O1393,APOIO_REDES!$W:$W,0),MATCH(BA$5,APOIO_REDES!$5:$5,0)),0))*$M1393/10,0)</f>
        <v>0.161194955159561</v>
      </c>
      <c r="BB1393" s="153" t="n">
        <f aca="false">IFERROR(IF($N1393="VCA",INDEX(APOIO_REDES!$A:$W,MATCH($C1393&amp;$I1393&amp;$H1393&amp;$N1393&amp;$O1393,APOIO_REDES!$W:$W,0),MATCH(BB$5,APOIO_REDES!$5:$5,0)),0)*($AI1393+$AQ1393+$AR1393),0)</f>
        <v>0.830860551372691</v>
      </c>
      <c r="BC1393" s="153" t="n">
        <f aca="false">IFERROR(IF($N1393="VCA",INDEX(APOIO_REDES!$A:$W,MATCH($C1393&amp;$I1393&amp;$H1393&amp;$N1393&amp;$O1393,APOIO_REDES!$W:$W,0),MATCH(BC$5,APOIO_REDES!$5:$5,0)),0)*($AI1393+$AQ1393+$AR1393),0)</f>
        <v>0.00913944862730885</v>
      </c>
      <c r="BD1393" s="153" t="n">
        <f aca="false">IF(AND($N1393="VCA",$AF1393&gt;=1.25,$AF1393&lt;1.5),$M1393*$AF1393*2,0)</f>
        <v>5.84</v>
      </c>
      <c r="BE1393" s="153" t="n">
        <f aca="false">IF(AND($N1393="VCA",$AF1393&gt;=1.5,$AF1393&lt;3),$M1393*$AF1393*2,0)</f>
        <v>0</v>
      </c>
      <c r="BF1393" s="153" t="n">
        <f aca="false">IF(AND($N1393="VCA",$AF1393&gt;=3),$M1393*$AF1393*2,0)</f>
        <v>0</v>
      </c>
      <c r="BG1393" s="153" t="n">
        <f aca="false">($BB1393+$BC1393)*$AK1393</f>
        <v>4.2</v>
      </c>
      <c r="BH1393" s="153" t="n">
        <f aca="false">IF(AND($M1393&lt;&gt;"",$N1393="VCA",$Q1393="LINEAR"),($M1393*2)/100,IF(AND($M1393&lt;&gt;"",$N1393="MND",$Q1393="EMBOQUE"),($AN1393*2)/100,0))</f>
        <v>0.04</v>
      </c>
      <c r="BI1393" s="153" t="n">
        <f aca="false">IF(AND($M1393&lt;&gt;"",$N1393="VCA",$Q1393="LINEAR"),$M1393,IF(AND($M1393&lt;&gt;"",$N1393="MND",$Q1393="EMBOQUE"),$AN1393*2,0))</f>
        <v>2</v>
      </c>
      <c r="BJ1393" s="153" t="n">
        <f aca="false">IF(AND($M1393&lt;&gt;"",$N1393="VCA",$Q1393="LINEAR"),($M1393*6.8)/100,IF(AND($M1393&lt;&gt;"",$N1393="MND",$Q1393="EMBOQUE"),($AN1393*2*6.8)/100,0))</f>
        <v>0.136</v>
      </c>
      <c r="BK1393" s="153" t="n">
        <f aca="false">IF(AND($M1393&lt;&gt;"",$N1393="VCA",$Q1393="LINEAR"),($M1393*2.5)/50,IF(AND($M1393&lt;&gt;"",$N1393="MND",$Q1393="EMBOQUE"),($AN1393*2*2.5)/50,0))</f>
        <v>0.1</v>
      </c>
      <c r="BL1393" s="157" t="str">
        <f aca="false">K1393&amp;J1393</f>
        <v>Zona11REDES</v>
      </c>
      <c r="BM1393" s="152" t="s">
        <v>6084</v>
      </c>
      <c r="BN1393" s="152" t="s">
        <v>1560</v>
      </c>
      <c r="BO1393" s="152" t="s">
        <v>6516</v>
      </c>
      <c r="BP1393" s="152" t="s">
        <v>6796</v>
      </c>
      <c r="BQ1393" s="152" t="s">
        <v>6790</v>
      </c>
      <c r="BR1393" s="152" t="s">
        <v>6727</v>
      </c>
      <c r="BS1393" s="152" t="n">
        <v>204021.868</v>
      </c>
      <c r="BT1393" s="152" t="n">
        <v>8235898.751</v>
      </c>
      <c r="BU1393" s="152" t="n">
        <v>204022.376</v>
      </c>
      <c r="BV1393" s="152" t="n">
        <v>8235896.817</v>
      </c>
      <c r="BW1393" s="152" t="n">
        <v>-15.938569</v>
      </c>
      <c r="BX1393" s="152" t="n">
        <v>-47.7646054</v>
      </c>
      <c r="BY1393" s="152" t="s">
        <v>6796</v>
      </c>
    </row>
    <row r="1394" customFormat="false" ht="13.8" hidden="false" customHeight="false" outlineLevel="0" collapsed="false">
      <c r="A1394" s="149" t="n">
        <f aca="false">IF(C1394&lt;&gt;"",ROW(A1389),"")</f>
        <v>1389</v>
      </c>
      <c r="B1394" s="150" t="str">
        <f aca="false">HYPERLINK("https://www.google.com/maps/dir/-15.917302,-47.760003/-15.9385112,-47.7654679/data=!4m3!4m2!3e0!5i2")</f>
        <v>https://www.google.com/maps/dir/-15.917302,-47.760003/-15.9385112,-47.7654679/data=!4m3!4m2!3e0!5i2</v>
      </c>
      <c r="C1394" s="151" t="s">
        <v>117</v>
      </c>
      <c r="D1394" s="152" t="s">
        <v>112</v>
      </c>
      <c r="E1394" s="152" t="s">
        <v>113</v>
      </c>
      <c r="F1394" s="152" t="s">
        <v>117</v>
      </c>
      <c r="G1394" s="152" t="s">
        <v>114</v>
      </c>
      <c r="H1394" s="152" t="n">
        <v>225</v>
      </c>
      <c r="I1394" s="152" t="s">
        <v>115</v>
      </c>
      <c r="J1394" s="152" t="s">
        <v>6</v>
      </c>
      <c r="K1394" s="152" t="s">
        <v>6081</v>
      </c>
      <c r="L1394" s="152" t="s">
        <v>120</v>
      </c>
      <c r="M1394" s="153" t="n">
        <f aca="false">10.84</f>
        <v>10.84</v>
      </c>
      <c r="N1394" s="152" t="s">
        <v>1548</v>
      </c>
      <c r="O1394" s="152" t="s">
        <v>1549</v>
      </c>
      <c r="P1394" s="152" t="s">
        <v>1550</v>
      </c>
      <c r="Q1394" s="152" t="s">
        <v>1551</v>
      </c>
      <c r="R1394" s="154" t="s">
        <v>6799</v>
      </c>
      <c r="S1394" s="154" t="s">
        <v>1593</v>
      </c>
      <c r="T1394" s="155" t="s">
        <v>6514</v>
      </c>
      <c r="U1394" s="152" t="str">
        <f aca="false">RIGHT(T1394,7)</f>
        <v>024/037</v>
      </c>
      <c r="V1394" s="152" t="s">
        <v>1555</v>
      </c>
      <c r="W1394" s="156" t="n">
        <v>45882</v>
      </c>
      <c r="X1394" s="152" t="s">
        <v>1594</v>
      </c>
      <c r="Y1394" s="152"/>
      <c r="Z1394" s="152" t="s">
        <v>1557</v>
      </c>
      <c r="AA1394" s="153" t="n">
        <v>5.8</v>
      </c>
      <c r="AB1394" s="151" t="s">
        <v>6800</v>
      </c>
      <c r="AC1394" s="151" t="s">
        <v>508</v>
      </c>
      <c r="AD1394" s="151" t="str">
        <f aca="false">CONCATENATE($C1394,$I1394,$H1394,$N1394,$J1394,$K1394)</f>
        <v>TUBO PEADPEAD225VCAREDESZona11</v>
      </c>
      <c r="AE1394" s="153" t="n">
        <f aca="false">IFERROR(INDEX(APOIO_REDES!$A:$W,MATCH($C1394&amp;$I1394&amp;$H1394&amp;$N1394&amp;$O1394,APOIO_REDES!$W:$W,0),MATCH(AE$5,APOIO_REDES!$5:$5,0)),0)</f>
        <v>1.2</v>
      </c>
      <c r="AF1394" s="153" t="n">
        <f aca="false">IFERROR(INDEX(APOIO_REDES!$A:$W,MATCH($C1394&amp;$I1394&amp;$H1394&amp;$N1394&amp;$O1394,APOIO_REDES!$W:$W,0),MATCH(AF$5,APOIO_REDES!$5:$5,0)),0)</f>
        <v>1.525</v>
      </c>
      <c r="AG1394" s="153" t="n">
        <f aca="false">IFERROR(INDEX(APOIO_REDES!$A:$W,MATCH($C1394&amp;$I1394&amp;$H1394&amp;$N1394&amp;$O1394,APOIO_REDES!$W:$W,0),MATCH(AG$5,APOIO_REDES!$5:$5,0)),0)</f>
        <v>0.8</v>
      </c>
      <c r="AH1394" s="153" t="n">
        <f aca="false">IFERROR(INDEX(APOIO_REDES!$A:$W,MATCH($C1394&amp;$I1394&amp;$H1394&amp;$N1394&amp;$O1394,APOIO_REDES!$W:$W,0),MATCH(AH$5,APOIO_REDES!$5:$5,0)),0)</f>
        <v>0.1</v>
      </c>
      <c r="AI1394" s="153" t="n">
        <f aca="false">IFERROR(IF($H1394&lt;&gt;"",(((($H1394/1000)/2)^2)*PI()*$M1394),0),0)</f>
        <v>0.431006877118435</v>
      </c>
      <c r="AJ1394" s="153" t="n">
        <f aca="false">IFERROR(IF(AND($H1394&lt;&gt;"",$I1394="FoFo",OR($N1394="MND",$N1394="VCA"),$Q1394="LINEAR"),0,IF(AND($H1394&lt;&gt;"",$I1394="PEAD",$N1394="VCA",$Q1394="LINEAR"),($H1394/1000)+0.3,IF(AND($H1394&lt;&gt;"",$I1394="PEAD",$N1394="MND",$Q1394="EMBOQUE"),0,IF(AND($H1394&lt;&gt;"",$I1394="PVC",$N1394="VCA",$Q1394="LINEAR"),($H1394/1000)+0.2,IF(AND($H1394&lt;&gt;"",$I1394="PVC",$N1394="MND",$Q1394="EMBOQUE"),0,IF(AND($H1394&lt;&gt;"",$I1394="PEAD",$N1394="VCA",$Q1394="PREDIAL"),0,0)))))),0)</f>
        <v>0.525</v>
      </c>
      <c r="AK1394" s="153" t="n">
        <f aca="false">IF(AA1394&lt;&gt;"",AA1394,0)</f>
        <v>5.8</v>
      </c>
      <c r="AL1394" s="153" t="n">
        <f aca="false">IF(AND($N1394="MND",$Q1394="EMBOQUE"),$M1394,IF(AND($N1394="VCA",$Q1394="LINEAR"),$M1394,IF(AND($N1394="VCA",$Q1394="PREDIAL"),0,0)))</f>
        <v>10.84</v>
      </c>
      <c r="AM1394" s="153" t="n">
        <f aca="false">IF(AND($N1394="MND",$Q1394="EMBOQUE"),$M1394,IF(AND($N1394="VCA",$Q1394="LINEAR"),$M1394,IF(AND($N1394="VCA",$Q1394="PREDIAL"),0,0)))</f>
        <v>10.84</v>
      </c>
      <c r="AN1394" s="153" t="n">
        <f aca="false">ROUND(IF(AND($N1394="VCA",$M1394&lt;&gt;"",$Q1394="LINEAR"),$M1394/100,IF(AND($N1394="MND",$M1394&gt;100,$Q1394="EMBOQUE"),$M1394/100,0)),0)</f>
        <v>0</v>
      </c>
      <c r="AO1394" s="153" t="n">
        <f aca="false">IF(AND($N1394="MND",$Q1394="EMBOQUE"),$AN1394*2*2,IF(AND($N1394="VCA",$Q1394="LINEAR"),$M1394*2,IF(AND($N1394="VCA",$Q1394="PREDIAL"),0,0)))</f>
        <v>21.68</v>
      </c>
      <c r="AP1394" s="153" t="n">
        <f aca="false">IFERROR($M1394*$AF1394*$AG1394,0)</f>
        <v>13.2248</v>
      </c>
      <c r="AQ1394" s="153" t="n">
        <f aca="false">IFERROR(IF(AND($N1394="VCA",$AH1394&gt;0),$M1394*$AG1394*$AH1394,0),0)</f>
        <v>0.8672</v>
      </c>
      <c r="AR1394" s="153" t="n">
        <f aca="false">IFERROR(IF(AND($N1394="VCA",$AJ1394&gt;0),($M1394*$AG1394*$AJ1394)-$AI1394,0),0)</f>
        <v>4.12179312288157</v>
      </c>
      <c r="AS1394" s="153" t="n">
        <f aca="false">IFERROR(IF(AND($N1394="VCA",$AP1394&gt;0),$AP1394-$AI1394-$AQ1394-$AR1394,0),0)</f>
        <v>7.8048</v>
      </c>
      <c r="AT1394" s="153" t="n">
        <f aca="false">IFERROR(IF($N1394="VCA",INDEX(APOIO_REDES!$A:$W,MATCH($C1394&amp;$I1394&amp;$H1394&amp;$N1394&amp;$O1394,APOIO_REDES!$W:$W,0),MATCH(AT$5,APOIO_REDES!$5:$5,0)),0)*$AP1394,0)</f>
        <v>0.143889738340993</v>
      </c>
      <c r="AU1394" s="153" t="n">
        <f aca="false">IFERROR(IF($N1394="VCA",INDEX(APOIO_REDES!$A:$W,MATCH($C1394&amp;$I1394&amp;$H1394&amp;$N1394&amp;$O1394,APOIO_REDES!$W:$W,0),MATCH(AU$5,APOIO_REDES!$5:$5,0)),0)*$AP1394,0)</f>
        <v>0.11490644801078</v>
      </c>
      <c r="AV1394" s="153" t="n">
        <f aca="false">IFERROR(IF($N1394="VCA",INDEX(APOIO_REDES!$A:$W,MATCH($C1394&amp;$I1394&amp;$H1394&amp;$N1394&amp;$O1394,APOIO_REDES!$W:$W,0),MATCH(AV$5,APOIO_REDES!$5:$5,0)),0)*$AP1394,0)</f>
        <v>0.0159021503537073</v>
      </c>
      <c r="AW1394" s="153" t="n">
        <f aca="false">IFERROR(IF($N1394="VCA",INDEX(APOIO_REDES!$A:$W,MATCH($C1394&amp;$I1394&amp;$H1394&amp;$N1394&amp;$O1394,APOIO_REDES!$W:$W,0),MATCH(AW$5,APOIO_REDES!$5:$5,0)),0)*$AP1394,0)</f>
        <v>9.07760519075073</v>
      </c>
      <c r="AX1394" s="153" t="n">
        <f aca="false">IFERROR(IF($N1394="VCA",INDEX(APOIO_REDES!$A:$W,MATCH($C1394&amp;$I1394&amp;$H1394&amp;$N1394&amp;$O1394,APOIO_REDES!$W:$W,0),MATCH(AX$5,APOIO_REDES!$5:$5,0)),0)*$AP1394,0)</f>
        <v>1.25631470035205</v>
      </c>
      <c r="AY1394" s="153" t="n">
        <f aca="false">IFERROR(IF($N1394="VCA",INDEX(APOIO_REDES!$A:$W,MATCH($C1394&amp;$I1394&amp;$H1394&amp;$N1394&amp;$O1394,APOIO_REDES!$W:$W,0),MATCH(AY$5,APOIO_REDES!$5:$5,0)),0)*$AP1394,0)</f>
        <v>2.29812755951531</v>
      </c>
      <c r="AZ1394" s="153" t="n">
        <f aca="false">IFERROR(IF($N1394="VCA",INDEX(APOIO_REDES!$A:$W,MATCH($C1394&amp;$I1394&amp;$H1394&amp;$N1394&amp;$O1394,APOIO_REDES!$W:$W,0),MATCH(AZ$5,APOIO_REDES!$5:$5,0)),0)*$AP1394,0)</f>
        <v>0.318054212676439</v>
      </c>
      <c r="BA1394" s="153" t="n">
        <f aca="false">IFERROR(IF(AND($N1394="VCA",$Q1394="LINEAR"),INDEX(APOIO_REDES!$A:$W,MATCH($C1394&amp;$I1394&amp;$H1394&amp;$N1394&amp;$O1394,APOIO_REDES!$W:$W,0),MATCH(BA$5,APOIO_REDES!$5:$5,0)),IF(AND($N1394="MND",$Q1394="EMBOQUE"),INDEX(APOIO_REDES!$A:$W,MATCH($C1394&amp;$I1394&amp;$H1394&amp;$N1394&amp;$O1394,APOIO_REDES!$W:$W,0),MATCH(BA$5,APOIO_REDES!$5:$5,0)),0))*$M1394/10,0)</f>
        <v>0.873676656964818</v>
      </c>
      <c r="BB1394" s="153" t="n">
        <f aca="false">IFERROR(IF($N1394="VCA",INDEX(APOIO_REDES!$A:$W,MATCH($C1394&amp;$I1394&amp;$H1394&amp;$N1394&amp;$O1394,APOIO_REDES!$W:$W,0),MATCH(BB$5,APOIO_REDES!$5:$5,0)),0)*($AI1394+$AQ1394+$AR1394),0)</f>
        <v>5.36102879576189</v>
      </c>
      <c r="BC1394" s="153" t="n">
        <f aca="false">IFERROR(IF($N1394="VCA",INDEX(APOIO_REDES!$A:$W,MATCH($C1394&amp;$I1394&amp;$H1394&amp;$N1394&amp;$O1394,APOIO_REDES!$W:$W,0),MATCH(BC$5,APOIO_REDES!$5:$5,0)),0)*($AI1394+$AQ1394+$AR1394),0)</f>
        <v>0.0589712042381118</v>
      </c>
      <c r="BD1394" s="153" t="n">
        <f aca="false">IF(AND($N1394="VCA",$AF1394&gt;=1.25,$AF1394&lt;1.5),$M1394*$AF1394*2,0)</f>
        <v>0</v>
      </c>
      <c r="BE1394" s="153" t="n">
        <f aca="false">IF(AND($N1394="VCA",$AF1394&gt;=1.5,$AF1394&lt;3),$M1394*$AF1394*2,0)</f>
        <v>33.062</v>
      </c>
      <c r="BF1394" s="153" t="n">
        <f aca="false">IF(AND($N1394="VCA",$AF1394&gt;=3),$M1394*$AF1394*2,0)</f>
        <v>0</v>
      </c>
      <c r="BG1394" s="153" t="n">
        <f aca="false">($BB1394+$BC1394)*$AK1394</f>
        <v>31.436</v>
      </c>
      <c r="BH1394" s="153" t="n">
        <f aca="false">IF(AND($M1394&lt;&gt;"",$N1394="VCA",$Q1394="LINEAR"),($M1394*2)/100,IF(AND($M1394&lt;&gt;"",$N1394="MND",$Q1394="EMBOQUE"),($AN1394*2)/100,0))</f>
        <v>0.2168</v>
      </c>
      <c r="BI1394" s="153" t="n">
        <f aca="false">IF(AND($M1394&lt;&gt;"",$N1394="VCA",$Q1394="LINEAR"),$M1394,IF(AND($M1394&lt;&gt;"",$N1394="MND",$Q1394="EMBOQUE"),$AN1394*2,0))</f>
        <v>10.84</v>
      </c>
      <c r="BJ1394" s="153" t="n">
        <f aca="false">IF(AND($M1394&lt;&gt;"",$N1394="VCA",$Q1394="LINEAR"),($M1394*6.8)/100,IF(AND($M1394&lt;&gt;"",$N1394="MND",$Q1394="EMBOQUE"),($AN1394*2*6.8)/100,0))</f>
        <v>0.73712</v>
      </c>
      <c r="BK1394" s="153" t="n">
        <f aca="false">IF(AND($M1394&lt;&gt;"",$N1394="VCA",$Q1394="LINEAR"),($M1394*2.5)/50,IF(AND($M1394&lt;&gt;"",$N1394="MND",$Q1394="EMBOQUE"),($AN1394*2*2.5)/50,0))</f>
        <v>0.542</v>
      </c>
      <c r="BL1394" s="157" t="str">
        <f aca="false">K1394&amp;J1394</f>
        <v>Zona11REDES</v>
      </c>
      <c r="BM1394" s="152" t="s">
        <v>6084</v>
      </c>
      <c r="BN1394" s="152" t="s">
        <v>1560</v>
      </c>
      <c r="BO1394" s="152" t="s">
        <v>6516</v>
      </c>
      <c r="BP1394" s="152" t="s">
        <v>6737</v>
      </c>
      <c r="BQ1394" s="152" t="s">
        <v>6801</v>
      </c>
      <c r="BR1394" s="152" t="s">
        <v>6802</v>
      </c>
      <c r="BS1394" s="152" t="n">
        <v>203929.633</v>
      </c>
      <c r="BT1394" s="152" t="n">
        <v>8235902.95</v>
      </c>
      <c r="BU1394" s="152" t="n">
        <v>203932.554</v>
      </c>
      <c r="BV1394" s="152" t="n">
        <v>8235892.51</v>
      </c>
      <c r="BW1394" s="152" t="n">
        <v>-15.9385586</v>
      </c>
      <c r="BX1394" s="152" t="n">
        <v>-47.7654549</v>
      </c>
      <c r="BY1394" s="152" t="s">
        <v>6737</v>
      </c>
    </row>
    <row r="1395" customFormat="false" ht="13.8" hidden="false" customHeight="false" outlineLevel="0" collapsed="false">
      <c r="A1395" s="149" t="n">
        <f aca="false">IF(C1395&lt;&gt;"",ROW(A1390),"")</f>
        <v>1390</v>
      </c>
      <c r="B1395" s="150" t="str">
        <f aca="false">HYPERLINK("https://www.google.com/maps/dir/-15.917302,-47.760003/-15.9385602,-47.7646076/data=!4m3!4m2!3e0!5i1")</f>
        <v>https://www.google.com/maps/dir/-15.917302,-47.760003/-15.9385602,-47.7646076/data=!4m3!4m2!3e0!5i1</v>
      </c>
      <c r="C1395" s="151" t="s">
        <v>117</v>
      </c>
      <c r="D1395" s="152" t="s">
        <v>112</v>
      </c>
      <c r="E1395" s="152" t="s">
        <v>113</v>
      </c>
      <c r="F1395" s="152" t="s">
        <v>117</v>
      </c>
      <c r="G1395" s="152" t="s">
        <v>114</v>
      </c>
      <c r="H1395" s="152" t="n">
        <v>225</v>
      </c>
      <c r="I1395" s="152" t="s">
        <v>115</v>
      </c>
      <c r="J1395" s="152" t="s">
        <v>6</v>
      </c>
      <c r="K1395" s="152" t="s">
        <v>6081</v>
      </c>
      <c r="L1395" s="152" t="s">
        <v>120</v>
      </c>
      <c r="M1395" s="153" t="n">
        <f aca="false">9.44</f>
        <v>9.44</v>
      </c>
      <c r="N1395" s="152" t="s">
        <v>1548</v>
      </c>
      <c r="O1395" s="152" t="s">
        <v>1549</v>
      </c>
      <c r="P1395" s="152" t="s">
        <v>1550</v>
      </c>
      <c r="Q1395" s="152" t="s">
        <v>1551</v>
      </c>
      <c r="R1395" s="154" t="s">
        <v>6803</v>
      </c>
      <c r="S1395" s="154" t="s">
        <v>1593</v>
      </c>
      <c r="T1395" s="155" t="s">
        <v>6514</v>
      </c>
      <c r="U1395" s="152" t="str">
        <f aca="false">RIGHT(T1395,7)</f>
        <v>024/037</v>
      </c>
      <c r="V1395" s="152" t="s">
        <v>1555</v>
      </c>
      <c r="W1395" s="156" t="n">
        <v>45882</v>
      </c>
      <c r="X1395" s="152" t="s">
        <v>1594</v>
      </c>
      <c r="Y1395" s="152" t="s">
        <v>6234</v>
      </c>
      <c r="Z1395" s="152" t="s">
        <v>1557</v>
      </c>
      <c r="AA1395" s="153" t="n">
        <v>5</v>
      </c>
      <c r="AB1395" s="151" t="s">
        <v>6804</v>
      </c>
      <c r="AC1395" s="151" t="s">
        <v>508</v>
      </c>
      <c r="AD1395" s="151" t="str">
        <f aca="false">CONCATENATE($C1395,$I1395,$H1395,$N1395,$J1395,$K1395)</f>
        <v>TUBO PEADPEAD225VCAREDESZona11</v>
      </c>
      <c r="AE1395" s="153" t="n">
        <f aca="false">IFERROR(INDEX(APOIO_REDES!$A:$W,MATCH($C1395&amp;$I1395&amp;$H1395&amp;$N1395&amp;$O1395,APOIO_REDES!$W:$W,0),MATCH(AE$5,APOIO_REDES!$5:$5,0)),0)</f>
        <v>1.2</v>
      </c>
      <c r="AF1395" s="153" t="n">
        <f aca="false">IFERROR(INDEX(APOIO_REDES!$A:$W,MATCH($C1395&amp;$I1395&amp;$H1395&amp;$N1395&amp;$O1395,APOIO_REDES!$W:$W,0),MATCH(AF$5,APOIO_REDES!$5:$5,0)),0)</f>
        <v>1.525</v>
      </c>
      <c r="AG1395" s="153" t="n">
        <f aca="false">IFERROR(INDEX(APOIO_REDES!$A:$W,MATCH($C1395&amp;$I1395&amp;$H1395&amp;$N1395&amp;$O1395,APOIO_REDES!$W:$W,0),MATCH(AG$5,APOIO_REDES!$5:$5,0)),0)</f>
        <v>0.8</v>
      </c>
      <c r="AH1395" s="153" t="n">
        <f aca="false">IFERROR(INDEX(APOIO_REDES!$A:$W,MATCH($C1395&amp;$I1395&amp;$H1395&amp;$N1395&amp;$O1395,APOIO_REDES!$W:$W,0),MATCH(AH$5,APOIO_REDES!$5:$5,0)),0)</f>
        <v>0.1</v>
      </c>
      <c r="AI1395" s="153" t="n">
        <f aca="false">IFERROR(IF($H1395&lt;&gt;"",(((($H1395/1000)/2)^2)*PI()*$M1395),0),0)</f>
        <v>0.375341782287641</v>
      </c>
      <c r="AJ1395" s="153" t="n">
        <f aca="false">IFERROR(IF(AND($H1395&lt;&gt;"",$I1395="FoFo",OR($N1395="MND",$N1395="VCA"),$Q1395="LINEAR"),0,IF(AND($H1395&lt;&gt;"",$I1395="PEAD",$N1395="VCA",$Q1395="LINEAR"),($H1395/1000)+0.3,IF(AND($H1395&lt;&gt;"",$I1395="PEAD",$N1395="MND",$Q1395="EMBOQUE"),0,IF(AND($H1395&lt;&gt;"",$I1395="PVC",$N1395="VCA",$Q1395="LINEAR"),($H1395/1000)+0.2,IF(AND($H1395&lt;&gt;"",$I1395="PVC",$N1395="MND",$Q1395="EMBOQUE"),0,IF(AND($H1395&lt;&gt;"",$I1395="PEAD",$N1395="VCA",$Q1395="PREDIAL"),0,0)))))),0)</f>
        <v>0.525</v>
      </c>
      <c r="AK1395" s="153" t="n">
        <f aca="false">IF(AA1395&lt;&gt;"",AA1395,0)</f>
        <v>5</v>
      </c>
      <c r="AL1395" s="153" t="n">
        <f aca="false">IF(AND($N1395="MND",$Q1395="EMBOQUE"),$M1395,IF(AND($N1395="VCA",$Q1395="LINEAR"),$M1395,IF(AND($N1395="VCA",$Q1395="PREDIAL"),0,0)))</f>
        <v>9.44</v>
      </c>
      <c r="AM1395" s="153" t="n">
        <f aca="false">IF(AND($N1395="MND",$Q1395="EMBOQUE"),$M1395,IF(AND($N1395="VCA",$Q1395="LINEAR"),$M1395,IF(AND($N1395="VCA",$Q1395="PREDIAL"),0,0)))</f>
        <v>9.44</v>
      </c>
      <c r="AN1395" s="153" t="n">
        <f aca="false">ROUND(IF(AND($N1395="VCA",$M1395&lt;&gt;"",$Q1395="LINEAR"),$M1395/100,IF(AND($N1395="MND",$M1395&gt;100,$Q1395="EMBOQUE"),$M1395/100,0)),0)</f>
        <v>0</v>
      </c>
      <c r="AO1395" s="153" t="n">
        <f aca="false">IF(AND($N1395="MND",$Q1395="EMBOQUE"),$AN1395*2*2,IF(AND($N1395="VCA",$Q1395="LINEAR"),$M1395*2,IF(AND($N1395="VCA",$Q1395="PREDIAL"),0,0)))</f>
        <v>18.88</v>
      </c>
      <c r="AP1395" s="153" t="n">
        <f aca="false">IFERROR($M1395*$AF1395*$AG1395,0)</f>
        <v>11.5168</v>
      </c>
      <c r="AQ1395" s="153" t="n">
        <f aca="false">IFERROR(IF(AND($N1395="VCA",$AH1395&gt;0),$M1395*$AG1395*$AH1395,0),0)</f>
        <v>0.7552</v>
      </c>
      <c r="AR1395" s="153" t="n">
        <f aca="false">IFERROR(IF(AND($N1395="VCA",$AJ1395&gt;0),($M1395*$AG1395*$AJ1395)-$AI1395,0),0)</f>
        <v>3.58945821771236</v>
      </c>
      <c r="AS1395" s="153" t="n">
        <f aca="false">IFERROR(IF(AND($N1395="VCA",$AP1395&gt;0),$AP1395-$AI1395-$AQ1395-$AR1395,0),0)</f>
        <v>6.7968</v>
      </c>
      <c r="AT1395" s="153" t="n">
        <f aca="false">IFERROR(IF($N1395="VCA",INDEX(APOIO_REDES!$A:$W,MATCH($C1395&amp;$I1395&amp;$H1395&amp;$N1395&amp;$O1395,APOIO_REDES!$W:$W,0),MATCH(AT$5,APOIO_REDES!$5:$5,0)),0)*$AP1395,0)</f>
        <v>0.125306192798798</v>
      </c>
      <c r="AU1395" s="153" t="n">
        <f aca="false">IFERROR(IF($N1395="VCA",INDEX(APOIO_REDES!$A:$W,MATCH($C1395&amp;$I1395&amp;$H1395&amp;$N1395&amp;$O1395,APOIO_REDES!$W:$W,0),MATCH(AU$5,APOIO_REDES!$5:$5,0)),0)*$AP1395,0)</f>
        <v>0.100066131847026</v>
      </c>
      <c r="AV1395" s="153" t="n">
        <f aca="false">IFERROR(IF($N1395="VCA",INDEX(APOIO_REDES!$A:$W,MATCH($C1395&amp;$I1395&amp;$H1395&amp;$N1395&amp;$O1395,APOIO_REDES!$W:$W,0),MATCH(AV$5,APOIO_REDES!$5:$5,0)),0)*$AP1395,0)</f>
        <v>0.0138483670976935</v>
      </c>
      <c r="AW1395" s="153" t="n">
        <f aca="false">IFERROR(IF($N1395="VCA",INDEX(APOIO_REDES!$A:$W,MATCH($C1395&amp;$I1395&amp;$H1395&amp;$N1395&amp;$O1395,APOIO_REDES!$W:$W,0),MATCH(AW$5,APOIO_REDES!$5:$5,0)),0)*$AP1395,0)</f>
        <v>7.90522075652093</v>
      </c>
      <c r="AX1395" s="153" t="n">
        <f aca="false">IFERROR(IF($N1395="VCA",INDEX(APOIO_REDES!$A:$W,MATCH($C1395&amp;$I1395&amp;$H1395&amp;$N1395&amp;$O1395,APOIO_REDES!$W:$W,0),MATCH(AX$5,APOIO_REDES!$5:$5,0)),0)*$AP1395,0)</f>
        <v>1.09406003425492</v>
      </c>
      <c r="AY1395" s="153" t="n">
        <f aca="false">IFERROR(IF($N1395="VCA",INDEX(APOIO_REDES!$A:$W,MATCH($C1395&amp;$I1395&amp;$H1395&amp;$N1395&amp;$O1395,APOIO_REDES!$W:$W,0),MATCH(AY$5,APOIO_REDES!$5:$5,0)),0)*$AP1395,0)</f>
        <v>2.00132141714248</v>
      </c>
      <c r="AZ1395" s="153" t="n">
        <f aca="false">IFERROR(IF($N1395="VCA",INDEX(APOIO_REDES!$A:$W,MATCH($C1395&amp;$I1395&amp;$H1395&amp;$N1395&amp;$O1395,APOIO_REDES!$W:$W,0),MATCH(AZ$5,APOIO_REDES!$5:$5,0)),0)*$AP1395,0)</f>
        <v>0.276977100338154</v>
      </c>
      <c r="BA1395" s="153" t="n">
        <f aca="false">IFERROR(IF(AND($N1395="VCA",$Q1395="LINEAR"),INDEX(APOIO_REDES!$A:$W,MATCH($C1395&amp;$I1395&amp;$H1395&amp;$N1395&amp;$O1395,APOIO_REDES!$W:$W,0),MATCH(BA$5,APOIO_REDES!$5:$5,0)),IF(AND($N1395="MND",$Q1395="EMBOQUE"),INDEX(APOIO_REDES!$A:$W,MATCH($C1395&amp;$I1395&amp;$H1395&amp;$N1395&amp;$O1395,APOIO_REDES!$W:$W,0),MATCH(BA$5,APOIO_REDES!$5:$5,0)),0))*$M1395/10,0)</f>
        <v>0.760840188353126</v>
      </c>
      <c r="BB1395" s="153" t="n">
        <f aca="false">IFERROR(IF($N1395="VCA",INDEX(APOIO_REDES!$A:$W,MATCH($C1395&amp;$I1395&amp;$H1395&amp;$N1395&amp;$O1395,APOIO_REDES!$W:$W,0),MATCH(BB$5,APOIO_REDES!$5:$5,0)),0)*($AI1395+$AQ1395+$AR1395),0)</f>
        <v>4.66864500295131</v>
      </c>
      <c r="BC1395" s="153" t="n">
        <f aca="false">IFERROR(IF($N1395="VCA",INDEX(APOIO_REDES!$A:$W,MATCH($C1395&amp;$I1395&amp;$H1395&amp;$N1395&amp;$O1395,APOIO_REDES!$W:$W,0),MATCH(BC$5,APOIO_REDES!$5:$5,0)),0)*($AI1395+$AQ1395+$AR1395),0)</f>
        <v>0.0513549970486878</v>
      </c>
      <c r="BD1395" s="153" t="n">
        <f aca="false">IF(AND($N1395="VCA",$AF1395&gt;=1.25,$AF1395&lt;1.5),$M1395*$AF1395*2,0)</f>
        <v>0</v>
      </c>
      <c r="BE1395" s="153" t="n">
        <f aca="false">IF(AND($N1395="VCA",$AF1395&gt;=1.5,$AF1395&lt;3),$M1395*$AF1395*2,0)</f>
        <v>28.792</v>
      </c>
      <c r="BF1395" s="153" t="n">
        <f aca="false">IF(AND($N1395="VCA",$AF1395&gt;=3),$M1395*$AF1395*2,0)</f>
        <v>0</v>
      </c>
      <c r="BG1395" s="153" t="n">
        <f aca="false">($BB1395+$BC1395)*$AK1395</f>
        <v>23.6</v>
      </c>
      <c r="BH1395" s="153" t="n">
        <f aca="false">IF(AND($M1395&lt;&gt;"",$N1395="VCA",$Q1395="LINEAR"),($M1395*2)/100,IF(AND($M1395&lt;&gt;"",$N1395="MND",$Q1395="EMBOQUE"),($AN1395*2)/100,0))</f>
        <v>0.1888</v>
      </c>
      <c r="BI1395" s="153" t="n">
        <f aca="false">IF(AND($M1395&lt;&gt;"",$N1395="VCA",$Q1395="LINEAR"),$M1395,IF(AND($M1395&lt;&gt;"",$N1395="MND",$Q1395="EMBOQUE"),$AN1395*2,0))</f>
        <v>9.44</v>
      </c>
      <c r="BJ1395" s="153" t="n">
        <f aca="false">IF(AND($M1395&lt;&gt;"",$N1395="VCA",$Q1395="LINEAR"),($M1395*6.8)/100,IF(AND($M1395&lt;&gt;"",$N1395="MND",$Q1395="EMBOQUE"),($AN1395*2*6.8)/100,0))</f>
        <v>0.64192</v>
      </c>
      <c r="BK1395" s="153" t="n">
        <f aca="false">IF(AND($M1395&lt;&gt;"",$N1395="VCA",$Q1395="LINEAR"),($M1395*2.5)/50,IF(AND($M1395&lt;&gt;"",$N1395="MND",$Q1395="EMBOQUE"),($AN1395*2*2.5)/50,0))</f>
        <v>0.472</v>
      </c>
      <c r="BL1395" s="157" t="str">
        <f aca="false">K1395&amp;J1395</f>
        <v>Zona11REDES</v>
      </c>
      <c r="BM1395" s="152" t="s">
        <v>6084</v>
      </c>
      <c r="BN1395" s="152" t="s">
        <v>1560</v>
      </c>
      <c r="BO1395" s="152" t="s">
        <v>6516</v>
      </c>
      <c r="BP1395" s="152" t="s">
        <v>2232</v>
      </c>
      <c r="BQ1395" s="152" t="s">
        <v>6796</v>
      </c>
      <c r="BR1395" s="152" t="s">
        <v>6717</v>
      </c>
      <c r="BS1395" s="152" t="n">
        <v>204012.758</v>
      </c>
      <c r="BT1395" s="152" t="n">
        <v>8235896.266</v>
      </c>
      <c r="BU1395" s="152" t="n">
        <v>204021.875</v>
      </c>
      <c r="BV1395" s="152" t="n">
        <v>8235898.727</v>
      </c>
      <c r="BW1395" s="152" t="n">
        <v>-15.938571</v>
      </c>
      <c r="BX1395" s="152" t="n">
        <v>-47.7646503</v>
      </c>
      <c r="BY1395" s="152" t="s">
        <v>6796</v>
      </c>
    </row>
    <row r="1396" customFormat="false" ht="13.8" hidden="false" customHeight="false" outlineLevel="0" collapsed="false">
      <c r="A1396" s="149" t="n">
        <f aca="false">IF(C1396&lt;&gt;"",ROW(A1391),"")</f>
        <v>1391</v>
      </c>
      <c r="B1396" s="150" t="str">
        <f aca="false">HYPERLINK("https://www.google.com/maps/dir/-15.917302,-47.760003/-15.9385112,-47.7654679/data=!4m3!4m2!3e0!5i2")</f>
        <v>https://www.google.com/maps/dir/-15.917302,-47.760003/-15.9385112,-47.7654679/data=!4m3!4m2!3e0!5i2</v>
      </c>
      <c r="C1396" s="151" t="s">
        <v>117</v>
      </c>
      <c r="D1396" s="152" t="s">
        <v>112</v>
      </c>
      <c r="E1396" s="152" t="s">
        <v>113</v>
      </c>
      <c r="F1396" s="152" t="s">
        <v>117</v>
      </c>
      <c r="G1396" s="152" t="s">
        <v>114</v>
      </c>
      <c r="H1396" s="152" t="n">
        <v>225</v>
      </c>
      <c r="I1396" s="152" t="s">
        <v>115</v>
      </c>
      <c r="J1396" s="152" t="s">
        <v>6</v>
      </c>
      <c r="K1396" s="152" t="s">
        <v>6081</v>
      </c>
      <c r="L1396" s="152" t="s">
        <v>120</v>
      </c>
      <c r="M1396" s="153" t="n">
        <f aca="false">109.01</f>
        <v>109.01</v>
      </c>
      <c r="N1396" s="152" t="s">
        <v>1548</v>
      </c>
      <c r="O1396" s="152" t="s">
        <v>1549</v>
      </c>
      <c r="P1396" s="152" t="s">
        <v>1550</v>
      </c>
      <c r="Q1396" s="152" t="s">
        <v>1551</v>
      </c>
      <c r="R1396" s="154" t="s">
        <v>6805</v>
      </c>
      <c r="S1396" s="154" t="s">
        <v>1593</v>
      </c>
      <c r="T1396" s="155" t="s">
        <v>6514</v>
      </c>
      <c r="U1396" s="152" t="str">
        <f aca="false">RIGHT(T1396,7)</f>
        <v>024/037</v>
      </c>
      <c r="V1396" s="152" t="s">
        <v>1555</v>
      </c>
      <c r="W1396" s="156" t="n">
        <v>45882</v>
      </c>
      <c r="X1396" s="152" t="s">
        <v>1594</v>
      </c>
      <c r="Y1396" s="152"/>
      <c r="Z1396" s="152" t="s">
        <v>1557</v>
      </c>
      <c r="AA1396" s="153" t="n">
        <v>5.8</v>
      </c>
      <c r="AB1396" s="151" t="s">
        <v>6806</v>
      </c>
      <c r="AC1396" s="151" t="s">
        <v>508</v>
      </c>
      <c r="AD1396" s="151" t="str">
        <f aca="false">CONCATENATE($C1396,$I1396,$H1396,$N1396,$J1396,$K1396)</f>
        <v>TUBO PEADPEAD225VCAREDESZona11</v>
      </c>
      <c r="AE1396" s="153" t="n">
        <f aca="false">IFERROR(INDEX(APOIO_REDES!$A:$W,MATCH($C1396&amp;$I1396&amp;$H1396&amp;$N1396&amp;$O1396,APOIO_REDES!$W:$W,0),MATCH(AE$5,APOIO_REDES!$5:$5,0)),0)</f>
        <v>1.2</v>
      </c>
      <c r="AF1396" s="153" t="n">
        <f aca="false">IFERROR(INDEX(APOIO_REDES!$A:$W,MATCH($C1396&amp;$I1396&amp;$H1396&amp;$N1396&amp;$O1396,APOIO_REDES!$W:$W,0),MATCH(AF$5,APOIO_REDES!$5:$5,0)),0)</f>
        <v>1.525</v>
      </c>
      <c r="AG1396" s="153" t="n">
        <f aca="false">IFERROR(INDEX(APOIO_REDES!$A:$W,MATCH($C1396&amp;$I1396&amp;$H1396&amp;$N1396&amp;$O1396,APOIO_REDES!$W:$W,0),MATCH(AG$5,APOIO_REDES!$5:$5,0)),0)</f>
        <v>0.8</v>
      </c>
      <c r="AH1396" s="153" t="n">
        <f aca="false">IFERROR(INDEX(APOIO_REDES!$A:$W,MATCH($C1396&amp;$I1396&amp;$H1396&amp;$N1396&amp;$O1396,APOIO_REDES!$W:$W,0),MATCH(AH$5,APOIO_REDES!$5:$5,0)),0)</f>
        <v>0.1</v>
      </c>
      <c r="AI1396" s="153" t="n">
        <f aca="false">IFERROR(IF($H1396&lt;&gt;"",(((($H1396/1000)/2)^2)*PI()*$M1396),0),0)</f>
        <v>4.33432284821777</v>
      </c>
      <c r="AJ1396" s="153" t="n">
        <f aca="false">IFERROR(IF(AND($H1396&lt;&gt;"",$I1396="FoFo",OR($N1396="MND",$N1396="VCA"),$Q1396="LINEAR"),0,IF(AND($H1396&lt;&gt;"",$I1396="PEAD",$N1396="VCA",$Q1396="LINEAR"),($H1396/1000)+0.3,IF(AND($H1396&lt;&gt;"",$I1396="PEAD",$N1396="MND",$Q1396="EMBOQUE"),0,IF(AND($H1396&lt;&gt;"",$I1396="PVC",$N1396="VCA",$Q1396="LINEAR"),($H1396/1000)+0.2,IF(AND($H1396&lt;&gt;"",$I1396="PVC",$N1396="MND",$Q1396="EMBOQUE"),0,IF(AND($H1396&lt;&gt;"",$I1396="PEAD",$N1396="VCA",$Q1396="PREDIAL"),0,0)))))),0)</f>
        <v>0.525</v>
      </c>
      <c r="AK1396" s="153" t="n">
        <f aca="false">IF(AA1396&lt;&gt;"",AA1396,0)</f>
        <v>5.8</v>
      </c>
      <c r="AL1396" s="153" t="n">
        <f aca="false">IF(AND($N1396="MND",$Q1396="EMBOQUE"),$M1396,IF(AND($N1396="VCA",$Q1396="LINEAR"),$M1396,IF(AND($N1396="VCA",$Q1396="PREDIAL"),0,0)))</f>
        <v>109.01</v>
      </c>
      <c r="AM1396" s="153" t="n">
        <f aca="false">IF(AND($N1396="MND",$Q1396="EMBOQUE"),$M1396,IF(AND($N1396="VCA",$Q1396="LINEAR"),$M1396,IF(AND($N1396="VCA",$Q1396="PREDIAL"),0,0)))</f>
        <v>109.01</v>
      </c>
      <c r="AN1396" s="153" t="n">
        <f aca="false">ROUND(IF(AND($N1396="VCA",$M1396&lt;&gt;"",$Q1396="LINEAR"),$M1396/100,IF(AND($N1396="MND",$M1396&gt;100,$Q1396="EMBOQUE"),$M1396/100,0)),0)</f>
        <v>1</v>
      </c>
      <c r="AO1396" s="153" t="n">
        <f aca="false">IF(AND($N1396="MND",$Q1396="EMBOQUE"),$AN1396*2*2,IF(AND($N1396="VCA",$Q1396="LINEAR"),$M1396*2,IF(AND($N1396="VCA",$Q1396="PREDIAL"),0,0)))</f>
        <v>218.02</v>
      </c>
      <c r="AP1396" s="153" t="n">
        <f aca="false">IFERROR($M1396*$AF1396*$AG1396,0)</f>
        <v>132.9922</v>
      </c>
      <c r="AQ1396" s="153" t="n">
        <f aca="false">IFERROR(IF(AND($N1396="VCA",$AH1396&gt;0),$M1396*$AG1396*$AH1396,0),0)</f>
        <v>8.7208</v>
      </c>
      <c r="AR1396" s="153" t="n">
        <f aca="false">IFERROR(IF(AND($N1396="VCA",$AJ1396&gt;0),($M1396*$AG1396*$AJ1396)-$AI1396,0),0)</f>
        <v>41.4498771517822</v>
      </c>
      <c r="AS1396" s="153" t="n">
        <f aca="false">IFERROR(IF(AND($N1396="VCA",$AP1396&gt;0),$AP1396-$AI1396-$AQ1396-$AR1396,0),0)</f>
        <v>78.4872</v>
      </c>
      <c r="AT1396" s="153" t="n">
        <f aca="false">IFERROR(IF($N1396="VCA",INDEX(APOIO_REDES!$A:$W,MATCH($C1396&amp;$I1396&amp;$H1396&amp;$N1396&amp;$O1396,APOIO_REDES!$W:$W,0),MATCH(AT$5,APOIO_REDES!$5:$5,0)),0)*$AP1396,0)</f>
        <v>1.44699449968189</v>
      </c>
      <c r="AU1396" s="153" t="n">
        <f aca="false">IFERROR(IF($N1396="VCA",INDEX(APOIO_REDES!$A:$W,MATCH($C1396&amp;$I1396&amp;$H1396&amp;$N1396&amp;$O1396,APOIO_REDES!$W:$W,0),MATCH(AU$5,APOIO_REDES!$5:$5,0)),0)*$AP1396,0)</f>
        <v>1.15553061786486</v>
      </c>
      <c r="AV1396" s="153" t="n">
        <f aca="false">IFERROR(IF($N1396="VCA",INDEX(APOIO_REDES!$A:$W,MATCH($C1396&amp;$I1396&amp;$H1396&amp;$N1396&amp;$O1396,APOIO_REDES!$W:$W,0),MATCH(AV$5,APOIO_REDES!$5:$5,0)),0)*$AP1396,0)</f>
        <v>0.159916366241479</v>
      </c>
      <c r="AW1396" s="153" t="n">
        <f aca="false">IFERROR(IF($N1396="VCA",INDEX(APOIO_REDES!$A:$W,MATCH($C1396&amp;$I1396&amp;$H1396&amp;$N1396&amp;$O1396,APOIO_REDES!$W:$W,0),MATCH(AW$5,APOIO_REDES!$5:$5,0)),0)*$AP1396,0)</f>
        <v>91.2868765538503</v>
      </c>
      <c r="AX1396" s="153" t="n">
        <f aca="false">IFERROR(IF($N1396="VCA",INDEX(APOIO_REDES!$A:$W,MATCH($C1396&amp;$I1396&amp;$H1396&amp;$N1396&amp;$O1396,APOIO_REDES!$W:$W,0),MATCH(AX$5,APOIO_REDES!$5:$5,0)),0)*$AP1396,0)</f>
        <v>12.6338436794628</v>
      </c>
      <c r="AY1396" s="153" t="n">
        <f aca="false">IFERROR(IF($N1396="VCA",INDEX(APOIO_REDES!$A:$W,MATCH($C1396&amp;$I1396&amp;$H1396&amp;$N1396&amp;$O1396,APOIO_REDES!$W:$W,0),MATCH(AY$5,APOIO_REDES!$5:$5,0)),0)*$AP1396,0)</f>
        <v>23.1105982714726</v>
      </c>
      <c r="AZ1396" s="153" t="n">
        <f aca="false">IFERROR(IF($N1396="VCA",INDEX(APOIO_REDES!$A:$W,MATCH($C1396&amp;$I1396&amp;$H1396&amp;$N1396&amp;$O1396,APOIO_REDES!$W:$W,0),MATCH(AZ$5,APOIO_REDES!$5:$5,0)),0)*$AP1396,0)</f>
        <v>3.19844001142607</v>
      </c>
      <c r="BA1396" s="153" t="n">
        <f aca="false">IFERROR(IF(AND($N1396="VCA",$Q1396="LINEAR"),INDEX(APOIO_REDES!$A:$W,MATCH($C1396&amp;$I1396&amp;$H1396&amp;$N1396&amp;$O1396,APOIO_REDES!$W:$W,0),MATCH(BA$5,APOIO_REDES!$5:$5,0)),IF(AND($N1396="MND",$Q1396="EMBOQUE"),INDEX(APOIO_REDES!$A:$W,MATCH($C1396&amp;$I1396&amp;$H1396&amp;$N1396&amp;$O1396,APOIO_REDES!$W:$W,0),MATCH(BA$5,APOIO_REDES!$5:$5,0)),0))*$M1396/10,0)</f>
        <v>8.78593103097185</v>
      </c>
      <c r="BB1396" s="153" t="n">
        <f aca="false">IFERROR(IF($N1396="VCA",INDEX(APOIO_REDES!$A:$W,MATCH($C1396&amp;$I1396&amp;$H1396&amp;$N1396&amp;$O1396,APOIO_REDES!$W:$W,0),MATCH(BB$5,APOIO_REDES!$5:$5,0)),0)*($AI1396+$AQ1396+$AR1396),0)</f>
        <v>53.9119694673435</v>
      </c>
      <c r="BC1396" s="153" t="n">
        <f aca="false">IFERROR(IF($N1396="VCA",INDEX(APOIO_REDES!$A:$W,MATCH($C1396&amp;$I1396&amp;$H1396&amp;$N1396&amp;$O1396,APOIO_REDES!$W:$W,0),MATCH(BC$5,APOIO_REDES!$5:$5,0)),0)*($AI1396+$AQ1396+$AR1396),0)</f>
        <v>0.59303053265651</v>
      </c>
      <c r="BD1396" s="153" t="n">
        <f aca="false">IF(AND($N1396="VCA",$AF1396&gt;=1.25,$AF1396&lt;1.5),$M1396*$AF1396*2,0)</f>
        <v>0</v>
      </c>
      <c r="BE1396" s="153" t="n">
        <f aca="false">IF(AND($N1396="VCA",$AF1396&gt;=1.5,$AF1396&lt;3),$M1396*$AF1396*2,0)</f>
        <v>332.4805</v>
      </c>
      <c r="BF1396" s="153" t="n">
        <f aca="false">IF(AND($N1396="VCA",$AF1396&gt;=3),$M1396*$AF1396*2,0)</f>
        <v>0</v>
      </c>
      <c r="BG1396" s="153" t="n">
        <f aca="false">($BB1396+$BC1396)*$AK1396</f>
        <v>316.129</v>
      </c>
      <c r="BH1396" s="153" t="n">
        <f aca="false">IF(AND($M1396&lt;&gt;"",$N1396="VCA",$Q1396="LINEAR"),($M1396*2)/100,IF(AND($M1396&lt;&gt;"",$N1396="MND",$Q1396="EMBOQUE"),($AN1396*2)/100,0))</f>
        <v>2.1802</v>
      </c>
      <c r="BI1396" s="153" t="n">
        <f aca="false">IF(AND($M1396&lt;&gt;"",$N1396="VCA",$Q1396="LINEAR"),$M1396,IF(AND($M1396&lt;&gt;"",$N1396="MND",$Q1396="EMBOQUE"),$AN1396*2,0))</f>
        <v>109.01</v>
      </c>
      <c r="BJ1396" s="153" t="n">
        <f aca="false">IF(AND($M1396&lt;&gt;"",$N1396="VCA",$Q1396="LINEAR"),($M1396*6.8)/100,IF(AND($M1396&lt;&gt;"",$N1396="MND",$Q1396="EMBOQUE"),($AN1396*2*6.8)/100,0))</f>
        <v>7.41268</v>
      </c>
      <c r="BK1396" s="153" t="n">
        <f aca="false">IF(AND($M1396&lt;&gt;"",$N1396="VCA",$Q1396="LINEAR"),($M1396*2.5)/50,IF(AND($M1396&lt;&gt;"",$N1396="MND",$Q1396="EMBOQUE"),($AN1396*2*2.5)/50,0))</f>
        <v>5.4505</v>
      </c>
      <c r="BL1396" s="157" t="str">
        <f aca="false">K1396&amp;J1396</f>
        <v>Zona11REDES</v>
      </c>
      <c r="BM1396" s="152" t="s">
        <v>6084</v>
      </c>
      <c r="BN1396" s="152" t="s">
        <v>1560</v>
      </c>
      <c r="BO1396" s="152" t="s">
        <v>6516</v>
      </c>
      <c r="BP1396" s="152" t="s">
        <v>6737</v>
      </c>
      <c r="BQ1396" s="152" t="s">
        <v>6442</v>
      </c>
      <c r="BR1396" s="152" t="s">
        <v>6807</v>
      </c>
      <c r="BS1396" s="152" t="n">
        <v>203929.633</v>
      </c>
      <c r="BT1396" s="152" t="n">
        <v>8235902.95</v>
      </c>
      <c r="BU1396" s="152" t="n">
        <v>203823.482</v>
      </c>
      <c r="BV1396" s="152" t="n">
        <v>8235878.157</v>
      </c>
      <c r="BW1396" s="152" t="n">
        <v>-15.9386168</v>
      </c>
      <c r="BX1396" s="152" t="n">
        <v>-47.7659648</v>
      </c>
      <c r="BY1396" s="152" t="s">
        <v>6737</v>
      </c>
    </row>
    <row r="1397" customFormat="false" ht="13.8" hidden="false" customHeight="false" outlineLevel="0" collapsed="false">
      <c r="A1397" s="149" t="n">
        <f aca="false">IF(C1397&lt;&gt;"",ROW(A1392),"")</f>
        <v>1392</v>
      </c>
      <c r="B1397" s="150" t="str">
        <f aca="false">HYPERLINK("https://www.google.com/maps/dir/-15.917302,-47.760003/-15.9386064,-47.7654439/data=!4m3!4m2!3e0!5i2")</f>
        <v>https://www.google.com/maps/dir/-15.917302,-47.760003/-15.9386064,-47.7654439/data=!4m3!4m2!3e0!5i2</v>
      </c>
      <c r="C1397" s="151" t="s">
        <v>117</v>
      </c>
      <c r="D1397" s="152" t="s">
        <v>112</v>
      </c>
      <c r="E1397" s="152" t="s">
        <v>113</v>
      </c>
      <c r="F1397" s="152" t="s">
        <v>117</v>
      </c>
      <c r="G1397" s="152" t="s">
        <v>114</v>
      </c>
      <c r="H1397" s="152" t="n">
        <v>225</v>
      </c>
      <c r="I1397" s="152" t="s">
        <v>115</v>
      </c>
      <c r="J1397" s="152" t="s">
        <v>6</v>
      </c>
      <c r="K1397" s="152" t="s">
        <v>6081</v>
      </c>
      <c r="L1397" s="152" t="s">
        <v>120</v>
      </c>
      <c r="M1397" s="153" t="n">
        <f aca="false">41.66</f>
        <v>41.66</v>
      </c>
      <c r="N1397" s="152" t="s">
        <v>1548</v>
      </c>
      <c r="O1397" s="152" t="s">
        <v>1549</v>
      </c>
      <c r="P1397" s="152" t="s">
        <v>1550</v>
      </c>
      <c r="Q1397" s="152" t="s">
        <v>1551</v>
      </c>
      <c r="R1397" s="154" t="s">
        <v>6808</v>
      </c>
      <c r="S1397" s="154" t="s">
        <v>1593</v>
      </c>
      <c r="T1397" s="155" t="s">
        <v>6514</v>
      </c>
      <c r="U1397" s="152" t="str">
        <f aca="false">RIGHT(T1397,7)</f>
        <v>024/037</v>
      </c>
      <c r="V1397" s="152" t="s">
        <v>1555</v>
      </c>
      <c r="W1397" s="156" t="n">
        <v>45882</v>
      </c>
      <c r="X1397" s="152" t="s">
        <v>1594</v>
      </c>
      <c r="Y1397" s="152"/>
      <c r="Z1397" s="152" t="s">
        <v>1557</v>
      </c>
      <c r="AA1397" s="153" t="n">
        <v>5.8</v>
      </c>
      <c r="AB1397" s="151" t="s">
        <v>6809</v>
      </c>
      <c r="AC1397" s="151" t="s">
        <v>508</v>
      </c>
      <c r="AD1397" s="151" t="str">
        <f aca="false">CONCATENATE($C1397,$I1397,$H1397,$N1397,$J1397,$K1397)</f>
        <v>TUBO PEADPEAD225VCAREDESZona11</v>
      </c>
      <c r="AE1397" s="153" t="n">
        <f aca="false">IFERROR(INDEX(APOIO_REDES!$A:$W,MATCH($C1397&amp;$I1397&amp;$H1397&amp;$N1397&amp;$O1397,APOIO_REDES!$W:$W,0),MATCH(AE$5,APOIO_REDES!$5:$5,0)),0)</f>
        <v>1.2</v>
      </c>
      <c r="AF1397" s="153" t="n">
        <f aca="false">IFERROR(INDEX(APOIO_REDES!$A:$W,MATCH($C1397&amp;$I1397&amp;$H1397&amp;$N1397&amp;$O1397,APOIO_REDES!$W:$W,0),MATCH(AF$5,APOIO_REDES!$5:$5,0)),0)</f>
        <v>1.525</v>
      </c>
      <c r="AG1397" s="153" t="n">
        <f aca="false">IFERROR(INDEX(APOIO_REDES!$A:$W,MATCH($C1397&amp;$I1397&amp;$H1397&amp;$N1397&amp;$O1397,APOIO_REDES!$W:$W,0),MATCH(AG$5,APOIO_REDES!$5:$5,0)),0)</f>
        <v>0.8</v>
      </c>
      <c r="AH1397" s="153" t="n">
        <f aca="false">IFERROR(INDEX(APOIO_REDES!$A:$W,MATCH($C1397&amp;$I1397&amp;$H1397&amp;$N1397&amp;$O1397,APOIO_REDES!$W:$W,0),MATCH(AH$5,APOIO_REDES!$5:$5,0)),0)</f>
        <v>0.1</v>
      </c>
      <c r="AI1397" s="153" t="n">
        <f aca="false">IFERROR(IF($H1397&lt;&gt;"",(((($H1397/1000)/2)^2)*PI()*$M1397),0),0)</f>
        <v>1.65643417903635</v>
      </c>
      <c r="AJ1397" s="153" t="n">
        <f aca="false">IFERROR(IF(AND($H1397&lt;&gt;"",$I1397="FoFo",OR($N1397="MND",$N1397="VCA"),$Q1397="LINEAR"),0,IF(AND($H1397&lt;&gt;"",$I1397="PEAD",$N1397="VCA",$Q1397="LINEAR"),($H1397/1000)+0.3,IF(AND($H1397&lt;&gt;"",$I1397="PEAD",$N1397="MND",$Q1397="EMBOQUE"),0,IF(AND($H1397&lt;&gt;"",$I1397="PVC",$N1397="VCA",$Q1397="LINEAR"),($H1397/1000)+0.2,IF(AND($H1397&lt;&gt;"",$I1397="PVC",$N1397="MND",$Q1397="EMBOQUE"),0,IF(AND($H1397&lt;&gt;"",$I1397="PEAD",$N1397="VCA",$Q1397="PREDIAL"),0,0)))))),0)</f>
        <v>0.525</v>
      </c>
      <c r="AK1397" s="153" t="n">
        <f aca="false">IF(AA1397&lt;&gt;"",AA1397,0)</f>
        <v>5.8</v>
      </c>
      <c r="AL1397" s="153" t="n">
        <f aca="false">IF(AND($N1397="MND",$Q1397="EMBOQUE"),$M1397,IF(AND($N1397="VCA",$Q1397="LINEAR"),$M1397,IF(AND($N1397="VCA",$Q1397="PREDIAL"),0,0)))</f>
        <v>41.66</v>
      </c>
      <c r="AM1397" s="153" t="n">
        <f aca="false">IF(AND($N1397="MND",$Q1397="EMBOQUE"),$M1397,IF(AND($N1397="VCA",$Q1397="LINEAR"),$M1397,IF(AND($N1397="VCA",$Q1397="PREDIAL"),0,0)))</f>
        <v>41.66</v>
      </c>
      <c r="AN1397" s="153" t="n">
        <f aca="false">ROUND(IF(AND($N1397="VCA",$M1397&lt;&gt;"",$Q1397="LINEAR"),$M1397/100,IF(AND($N1397="MND",$M1397&gt;100,$Q1397="EMBOQUE"),$M1397/100,0)),0)</f>
        <v>0</v>
      </c>
      <c r="AO1397" s="153" t="n">
        <f aca="false">IF(AND($N1397="MND",$Q1397="EMBOQUE"),$AN1397*2*2,IF(AND($N1397="VCA",$Q1397="LINEAR"),$M1397*2,IF(AND($N1397="VCA",$Q1397="PREDIAL"),0,0)))</f>
        <v>83.32</v>
      </c>
      <c r="AP1397" s="153" t="n">
        <f aca="false">IFERROR($M1397*$AF1397*$AG1397,0)</f>
        <v>50.8252</v>
      </c>
      <c r="AQ1397" s="153" t="n">
        <f aca="false">IFERROR(IF(AND($N1397="VCA",$AH1397&gt;0),$M1397*$AG1397*$AH1397,0),0)</f>
        <v>3.3328</v>
      </c>
      <c r="AR1397" s="153" t="n">
        <f aca="false">IFERROR(IF(AND($N1397="VCA",$AJ1397&gt;0),($M1397*$AG1397*$AJ1397)-$AI1397,0),0)</f>
        <v>15.8407658209637</v>
      </c>
      <c r="AS1397" s="153" t="n">
        <f aca="false">IFERROR(IF(AND($N1397="VCA",$AP1397&gt;0),$AP1397-$AI1397-$AQ1397-$AR1397,0),0)</f>
        <v>29.9952</v>
      </c>
      <c r="AT1397" s="153" t="n">
        <f aca="false">IFERROR(IF($N1397="VCA",INDEX(APOIO_REDES!$A:$W,MATCH($C1397&amp;$I1397&amp;$H1397&amp;$N1397&amp;$O1397,APOIO_REDES!$W:$W,0),MATCH(AT$5,APOIO_REDES!$5:$5,0)),0)*$AP1397,0)</f>
        <v>0.552993219491307</v>
      </c>
      <c r="AU1397" s="153" t="n">
        <f aca="false">IFERROR(IF($N1397="VCA",INDEX(APOIO_REDES!$A:$W,MATCH($C1397&amp;$I1397&amp;$H1397&amp;$N1397&amp;$O1397,APOIO_REDES!$W:$W,0),MATCH(AU$5,APOIO_REDES!$5:$5,0)),0)*$AP1397,0)</f>
        <v>0.441605408129989</v>
      </c>
      <c r="AV1397" s="153" t="n">
        <f aca="false">IFERROR(IF($N1397="VCA",INDEX(APOIO_REDES!$A:$W,MATCH($C1397&amp;$I1397&amp;$H1397&amp;$N1397&amp;$O1397,APOIO_REDES!$W:$W,0),MATCH(AV$5,APOIO_REDES!$5:$5,0)),0)*$AP1397,0)</f>
        <v>0.0611147217468125</v>
      </c>
      <c r="AW1397" s="153" t="n">
        <f aca="false">IFERROR(IF($N1397="VCA",INDEX(APOIO_REDES!$A:$W,MATCH($C1397&amp;$I1397&amp;$H1397&amp;$N1397&amp;$O1397,APOIO_REDES!$W:$W,0),MATCH(AW$5,APOIO_REDES!$5:$5,0)),0)*$AP1397,0)</f>
        <v>34.8868110928667</v>
      </c>
      <c r="AX1397" s="153" t="n">
        <f aca="false">IFERROR(IF($N1397="VCA",INDEX(APOIO_REDES!$A:$W,MATCH($C1397&amp;$I1397&amp;$H1397&amp;$N1397&amp;$O1397,APOIO_REDES!$W:$W,0),MATCH(AX$5,APOIO_REDES!$5:$5,0)),0)*$AP1397,0)</f>
        <v>4.82823527829026</v>
      </c>
      <c r="AY1397" s="153" t="n">
        <f aca="false">IFERROR(IF($N1397="VCA",INDEX(APOIO_REDES!$A:$W,MATCH($C1397&amp;$I1397&amp;$H1397&amp;$N1397&amp;$O1397,APOIO_REDES!$W:$W,0),MATCH(AY$5,APOIO_REDES!$5:$5,0)),0)*$AP1397,0)</f>
        <v>8.83210277946565</v>
      </c>
      <c r="AZ1397" s="153" t="n">
        <f aca="false">IFERROR(IF($N1397="VCA",INDEX(APOIO_REDES!$A:$W,MATCH($C1397&amp;$I1397&amp;$H1397&amp;$N1397&amp;$O1397,APOIO_REDES!$W:$W,0),MATCH(AZ$5,APOIO_REDES!$5:$5,0)),0)*$AP1397,0)</f>
        <v>1.22233750000927</v>
      </c>
      <c r="BA1397" s="153" t="n">
        <f aca="false">IFERROR(IF(AND($N1397="VCA",$Q1397="LINEAR"),INDEX(APOIO_REDES!$A:$W,MATCH($C1397&amp;$I1397&amp;$H1397&amp;$N1397&amp;$O1397,APOIO_REDES!$W:$W,0),MATCH(BA$5,APOIO_REDES!$5:$5,0)),IF(AND($N1397="MND",$Q1397="EMBOQUE"),INDEX(APOIO_REDES!$A:$W,MATCH($C1397&amp;$I1397&amp;$H1397&amp;$N1397&amp;$O1397,APOIO_REDES!$W:$W,0),MATCH(BA$5,APOIO_REDES!$5:$5,0)),0))*$M1397/10,0)</f>
        <v>3.35769091597365</v>
      </c>
      <c r="BB1397" s="153" t="n">
        <f aca="false">IFERROR(IF($N1397="VCA",INDEX(APOIO_REDES!$A:$W,MATCH($C1397&amp;$I1397&amp;$H1397&amp;$N1397&amp;$O1397,APOIO_REDES!$W:$W,0),MATCH(BB$5,APOIO_REDES!$5:$5,0)),0)*($AI1397+$AQ1397+$AR1397),0)</f>
        <v>20.6033634346347</v>
      </c>
      <c r="BC1397" s="153" t="n">
        <f aca="false">IFERROR(IF($N1397="VCA",INDEX(APOIO_REDES!$A:$W,MATCH($C1397&amp;$I1397&amp;$H1397&amp;$N1397&amp;$O1397,APOIO_REDES!$W:$W,0),MATCH(BC$5,APOIO_REDES!$5:$5,0)),0)*($AI1397+$AQ1397+$AR1397),0)</f>
        <v>0.22663656536529</v>
      </c>
      <c r="BD1397" s="153" t="n">
        <f aca="false">IF(AND($N1397="VCA",$AF1397&gt;=1.25,$AF1397&lt;1.5),$M1397*$AF1397*2,0)</f>
        <v>0</v>
      </c>
      <c r="BE1397" s="153" t="n">
        <f aca="false">IF(AND($N1397="VCA",$AF1397&gt;=1.5,$AF1397&lt;3),$M1397*$AF1397*2,0)</f>
        <v>127.063</v>
      </c>
      <c r="BF1397" s="153" t="n">
        <f aca="false">IF(AND($N1397="VCA",$AF1397&gt;=3),$M1397*$AF1397*2,0)</f>
        <v>0</v>
      </c>
      <c r="BG1397" s="153" t="n">
        <f aca="false">($BB1397+$BC1397)*$AK1397</f>
        <v>120.814</v>
      </c>
      <c r="BH1397" s="153" t="n">
        <f aca="false">IF(AND($M1397&lt;&gt;"",$N1397="VCA",$Q1397="LINEAR"),($M1397*2)/100,IF(AND($M1397&lt;&gt;"",$N1397="MND",$Q1397="EMBOQUE"),($AN1397*2)/100,0))</f>
        <v>0.8332</v>
      </c>
      <c r="BI1397" s="153" t="n">
        <f aca="false">IF(AND($M1397&lt;&gt;"",$N1397="VCA",$Q1397="LINEAR"),$M1397,IF(AND($M1397&lt;&gt;"",$N1397="MND",$Q1397="EMBOQUE"),$AN1397*2,0))</f>
        <v>41.66</v>
      </c>
      <c r="BJ1397" s="153" t="n">
        <f aca="false">IF(AND($M1397&lt;&gt;"",$N1397="VCA",$Q1397="LINEAR"),($M1397*6.8)/100,IF(AND($M1397&lt;&gt;"",$N1397="MND",$Q1397="EMBOQUE"),($AN1397*2*6.8)/100,0))</f>
        <v>2.83288</v>
      </c>
      <c r="BK1397" s="153" t="n">
        <f aca="false">IF(AND($M1397&lt;&gt;"",$N1397="VCA",$Q1397="LINEAR"),($M1397*2.5)/50,IF(AND($M1397&lt;&gt;"",$N1397="MND",$Q1397="EMBOQUE"),($AN1397*2*2.5)/50,0))</f>
        <v>2.083</v>
      </c>
      <c r="BL1397" s="157" t="str">
        <f aca="false">K1397&amp;J1397</f>
        <v>Zona11REDES</v>
      </c>
      <c r="BM1397" s="152" t="s">
        <v>6084</v>
      </c>
      <c r="BN1397" s="152" t="s">
        <v>1560</v>
      </c>
      <c r="BO1397" s="152" t="s">
        <v>6516</v>
      </c>
      <c r="BP1397" s="152" t="s">
        <v>6801</v>
      </c>
      <c r="BQ1397" s="152" t="s">
        <v>6810</v>
      </c>
      <c r="BR1397" s="152" t="s">
        <v>6811</v>
      </c>
      <c r="BS1397" s="152" t="n">
        <v>203932.554</v>
      </c>
      <c r="BT1397" s="152" t="n">
        <v>8235892.51</v>
      </c>
      <c r="BU1397" s="152" t="n">
        <v>203944.06</v>
      </c>
      <c r="BV1397" s="152" t="n">
        <v>8235852.478</v>
      </c>
      <c r="BW1397" s="152" t="n">
        <v>-15.9387875</v>
      </c>
      <c r="BX1397" s="152" t="n">
        <v>-47.7653913</v>
      </c>
      <c r="BY1397" s="152" t="s">
        <v>6801</v>
      </c>
    </row>
    <row r="1398" customFormat="false" ht="13.8" hidden="false" customHeight="false" outlineLevel="0" collapsed="false">
      <c r="A1398" s="149" t="n">
        <f aca="false">IF(C1398&lt;&gt;"",ROW(A1393),"")</f>
        <v>1393</v>
      </c>
      <c r="B1398" s="150" t="str">
        <f aca="false">HYPERLINK("https://www.google.com/maps/dir/-15.917302,-47.760003/-15.9389687,-47.7653395/data=!4m3!4m2!3e0!5i1")</f>
        <v>https://www.google.com/maps/dir/-15.917302,-47.760003/-15.9389687,-47.7653395/data=!4m3!4m2!3e0!5i1</v>
      </c>
      <c r="C1398" s="151" t="s">
        <v>117</v>
      </c>
      <c r="D1398" s="152" t="s">
        <v>112</v>
      </c>
      <c r="E1398" s="152" t="s">
        <v>113</v>
      </c>
      <c r="F1398" s="152" t="s">
        <v>117</v>
      </c>
      <c r="G1398" s="152" t="s">
        <v>114</v>
      </c>
      <c r="H1398" s="152" t="n">
        <v>225</v>
      </c>
      <c r="I1398" s="152" t="s">
        <v>115</v>
      </c>
      <c r="J1398" s="152" t="s">
        <v>6</v>
      </c>
      <c r="K1398" s="152" t="s">
        <v>6081</v>
      </c>
      <c r="L1398" s="152" t="s">
        <v>120</v>
      </c>
      <c r="M1398" s="153" t="n">
        <f aca="false">22.92</f>
        <v>22.92</v>
      </c>
      <c r="N1398" s="152" t="s">
        <v>1548</v>
      </c>
      <c r="O1398" s="152" t="s">
        <v>1549</v>
      </c>
      <c r="P1398" s="152" t="s">
        <v>1550</v>
      </c>
      <c r="Q1398" s="152" t="s">
        <v>1551</v>
      </c>
      <c r="R1398" s="154" t="s">
        <v>6812</v>
      </c>
      <c r="S1398" s="154" t="s">
        <v>1593</v>
      </c>
      <c r="T1398" s="155" t="s">
        <v>6514</v>
      </c>
      <c r="U1398" s="152" t="str">
        <f aca="false">RIGHT(T1398,7)</f>
        <v>024/037</v>
      </c>
      <c r="V1398" s="152" t="s">
        <v>1555</v>
      </c>
      <c r="W1398" s="156" t="n">
        <v>45882</v>
      </c>
      <c r="X1398" s="152" t="s">
        <v>1594</v>
      </c>
      <c r="Y1398" s="152"/>
      <c r="Z1398" s="152" t="s">
        <v>1557</v>
      </c>
      <c r="AA1398" s="153" t="n">
        <v>4.3</v>
      </c>
      <c r="AB1398" s="151" t="s">
        <v>6813</v>
      </c>
      <c r="AC1398" s="151" t="s">
        <v>508</v>
      </c>
      <c r="AD1398" s="151" t="str">
        <f aca="false">CONCATENATE($C1398,$I1398,$H1398,$N1398,$J1398,$K1398)</f>
        <v>TUBO PEADPEAD225VCAREDESZona11</v>
      </c>
      <c r="AE1398" s="153" t="n">
        <f aca="false">IFERROR(INDEX(APOIO_REDES!$A:$W,MATCH($C1398&amp;$I1398&amp;$H1398&amp;$N1398&amp;$O1398,APOIO_REDES!$W:$W,0),MATCH(AE$5,APOIO_REDES!$5:$5,0)),0)</f>
        <v>1.2</v>
      </c>
      <c r="AF1398" s="153" t="n">
        <f aca="false">IFERROR(INDEX(APOIO_REDES!$A:$W,MATCH($C1398&amp;$I1398&amp;$H1398&amp;$N1398&amp;$O1398,APOIO_REDES!$W:$W,0),MATCH(AF$5,APOIO_REDES!$5:$5,0)),0)</f>
        <v>1.525</v>
      </c>
      <c r="AG1398" s="153" t="n">
        <f aca="false">IFERROR(INDEX(APOIO_REDES!$A:$W,MATCH($C1398&amp;$I1398&amp;$H1398&amp;$N1398&amp;$O1398,APOIO_REDES!$W:$W,0),MATCH(AG$5,APOIO_REDES!$5:$5,0)),0)</f>
        <v>0.8</v>
      </c>
      <c r="AH1398" s="153" t="n">
        <f aca="false">IFERROR(INDEX(APOIO_REDES!$A:$W,MATCH($C1398&amp;$I1398&amp;$H1398&amp;$N1398&amp;$O1398,APOIO_REDES!$W:$W,0),MATCH(AH$5,APOIO_REDES!$5:$5,0)),0)</f>
        <v>0.1</v>
      </c>
      <c r="AI1398" s="153" t="n">
        <f aca="false">IFERROR(IF($H1398&lt;&gt;"",(((($H1398/1000)/2)^2)*PI()*$M1398),0),0)</f>
        <v>0.911317123944144</v>
      </c>
      <c r="AJ1398" s="153" t="n">
        <f aca="false">IFERROR(IF(AND($H1398&lt;&gt;"",$I1398="FoFo",OR($N1398="MND",$N1398="VCA"),$Q1398="LINEAR"),0,IF(AND($H1398&lt;&gt;"",$I1398="PEAD",$N1398="VCA",$Q1398="LINEAR"),($H1398/1000)+0.3,IF(AND($H1398&lt;&gt;"",$I1398="PEAD",$N1398="MND",$Q1398="EMBOQUE"),0,IF(AND($H1398&lt;&gt;"",$I1398="PVC",$N1398="VCA",$Q1398="LINEAR"),($H1398/1000)+0.2,IF(AND($H1398&lt;&gt;"",$I1398="PVC",$N1398="MND",$Q1398="EMBOQUE"),0,IF(AND($H1398&lt;&gt;"",$I1398="PEAD",$N1398="VCA",$Q1398="PREDIAL"),0,0)))))),0)</f>
        <v>0.525</v>
      </c>
      <c r="AK1398" s="153" t="n">
        <f aca="false">IF(AA1398&lt;&gt;"",AA1398,0)</f>
        <v>4.3</v>
      </c>
      <c r="AL1398" s="153" t="n">
        <f aca="false">IF(AND($N1398="MND",$Q1398="EMBOQUE"),$M1398,IF(AND($N1398="VCA",$Q1398="LINEAR"),$M1398,IF(AND($N1398="VCA",$Q1398="PREDIAL"),0,0)))</f>
        <v>22.92</v>
      </c>
      <c r="AM1398" s="153" t="n">
        <f aca="false">IF(AND($N1398="MND",$Q1398="EMBOQUE"),$M1398,IF(AND($N1398="VCA",$Q1398="LINEAR"),$M1398,IF(AND($N1398="VCA",$Q1398="PREDIAL"),0,0)))</f>
        <v>22.92</v>
      </c>
      <c r="AN1398" s="153" t="n">
        <f aca="false">ROUND(IF(AND($N1398="VCA",$M1398&lt;&gt;"",$Q1398="LINEAR"),$M1398/100,IF(AND($N1398="MND",$M1398&gt;100,$Q1398="EMBOQUE"),$M1398/100,0)),0)</f>
        <v>0</v>
      </c>
      <c r="AO1398" s="153" t="n">
        <f aca="false">IF(AND($N1398="MND",$Q1398="EMBOQUE"),$AN1398*2*2,IF(AND($N1398="VCA",$Q1398="LINEAR"),$M1398*2,IF(AND($N1398="VCA",$Q1398="PREDIAL"),0,0)))</f>
        <v>45.84</v>
      </c>
      <c r="AP1398" s="153" t="n">
        <f aca="false">IFERROR($M1398*$AF1398*$AG1398,0)</f>
        <v>27.9624</v>
      </c>
      <c r="AQ1398" s="153" t="n">
        <f aca="false">IFERROR(IF(AND($N1398="VCA",$AH1398&gt;0),$M1398*$AG1398*$AH1398,0),0)</f>
        <v>1.8336</v>
      </c>
      <c r="AR1398" s="153" t="n">
        <f aca="false">IFERROR(IF(AND($N1398="VCA",$AJ1398&gt;0),($M1398*$AG1398*$AJ1398)-$AI1398,0),0)</f>
        <v>8.71508287605586</v>
      </c>
      <c r="AS1398" s="153" t="n">
        <f aca="false">IFERROR(IF(AND($N1398="VCA",$AP1398&gt;0),$AP1398-$AI1398-$AQ1398-$AR1398,0),0)</f>
        <v>16.5024</v>
      </c>
      <c r="AT1398" s="153" t="n">
        <f aca="false">IFERROR(IF($N1398="VCA",INDEX(APOIO_REDES!$A:$W,MATCH($C1398&amp;$I1398&amp;$H1398&amp;$N1398&amp;$O1398,APOIO_REDES!$W:$W,0),MATCH(AT$5,APOIO_REDES!$5:$5,0)),0)*$AP1398,0)</f>
        <v>0.30423918844793</v>
      </c>
      <c r="AU1398" s="153" t="n">
        <f aca="false">IFERROR(IF($N1398="VCA",INDEX(APOIO_REDES!$A:$W,MATCH($C1398&amp;$I1398&amp;$H1398&amp;$N1398&amp;$O1398,APOIO_REDES!$W:$W,0),MATCH(AU$5,APOIO_REDES!$5:$5,0)),0)*$AP1398,0)</f>
        <v>0.242957176052313</v>
      </c>
      <c r="AV1398" s="153" t="n">
        <f aca="false">IFERROR(IF($N1398="VCA",INDEX(APOIO_REDES!$A:$W,MATCH($C1398&amp;$I1398&amp;$H1398&amp;$N1398&amp;$O1398,APOIO_REDES!$W:$W,0),MATCH(AV$5,APOIO_REDES!$5:$5,0)),0)*$AP1398,0)</f>
        <v>0.0336233658770269</v>
      </c>
      <c r="AW1398" s="153" t="n">
        <f aca="false">IFERROR(IF($N1398="VCA",INDEX(APOIO_REDES!$A:$W,MATCH($C1398&amp;$I1398&amp;$H1398&amp;$N1398&amp;$O1398,APOIO_REDES!$W:$W,0),MATCH(AW$5,APOIO_REDES!$5:$5,0)),0)*$AP1398,0)</f>
        <v>19.1936080232478</v>
      </c>
      <c r="AX1398" s="153" t="n">
        <f aca="false">IFERROR(IF($N1398="VCA",INDEX(APOIO_REDES!$A:$W,MATCH($C1398&amp;$I1398&amp;$H1398&amp;$N1398&amp;$O1398,APOIO_REDES!$W:$W,0),MATCH(AX$5,APOIO_REDES!$5:$5,0)),0)*$AP1398,0)</f>
        <v>2.65634067639013</v>
      </c>
      <c r="AY1398" s="153" t="n">
        <f aca="false">IFERROR(IF($N1398="VCA",INDEX(APOIO_REDES!$A:$W,MATCH($C1398&amp;$I1398&amp;$H1398&amp;$N1398&amp;$O1398,APOIO_REDES!$W:$W,0),MATCH(AY$5,APOIO_REDES!$5:$5,0)),0)*$AP1398,0)</f>
        <v>4.85914055941797</v>
      </c>
      <c r="AZ1398" s="153" t="n">
        <f aca="false">IFERROR(IF($N1398="VCA",INDEX(APOIO_REDES!$A:$W,MATCH($C1398&amp;$I1398&amp;$H1398&amp;$N1398&amp;$O1398,APOIO_REDES!$W:$W,0),MATCH(AZ$5,APOIO_REDES!$5:$5,0)),0)*$AP1398,0)</f>
        <v>0.672491010566789</v>
      </c>
      <c r="BA1398" s="153" t="n">
        <f aca="false">IFERROR(IF(AND($N1398="VCA",$Q1398="LINEAR"),INDEX(APOIO_REDES!$A:$W,MATCH($C1398&amp;$I1398&amp;$H1398&amp;$N1398&amp;$O1398,APOIO_REDES!$W:$W,0),MATCH(BA$5,APOIO_REDES!$5:$5,0)),IF(AND($N1398="MND",$Q1398="EMBOQUE"),INDEX(APOIO_REDES!$A:$W,MATCH($C1398&amp;$I1398&amp;$H1398&amp;$N1398&amp;$O1398,APOIO_REDES!$W:$W,0),MATCH(BA$5,APOIO_REDES!$5:$5,0)),0))*$M1398/10,0)</f>
        <v>1.84729418612856</v>
      </c>
      <c r="BB1398" s="153" t="n">
        <f aca="false">IFERROR(IF($N1398="VCA",INDEX(APOIO_REDES!$A:$W,MATCH($C1398&amp;$I1398&amp;$H1398&amp;$N1398&amp;$O1398,APOIO_REDES!$W:$W,0),MATCH(BB$5,APOIO_REDES!$5:$5,0)),0)*($AI1398+$AQ1398+$AR1398),0)</f>
        <v>11.3353118080131</v>
      </c>
      <c r="BC1398" s="153" t="n">
        <f aca="false">IFERROR(IF($N1398="VCA",INDEX(APOIO_REDES!$A:$W,MATCH($C1398&amp;$I1398&amp;$H1398&amp;$N1398&amp;$O1398,APOIO_REDES!$W:$W,0),MATCH(BC$5,APOIO_REDES!$5:$5,0)),0)*($AI1398+$AQ1398+$AR1398),0)</f>
        <v>0.124688191986856</v>
      </c>
      <c r="BD1398" s="153" t="n">
        <f aca="false">IF(AND($N1398="VCA",$AF1398&gt;=1.25,$AF1398&lt;1.5),$M1398*$AF1398*2,0)</f>
        <v>0</v>
      </c>
      <c r="BE1398" s="153" t="n">
        <f aca="false">IF(AND($N1398="VCA",$AF1398&gt;=1.5,$AF1398&lt;3),$M1398*$AF1398*2,0)</f>
        <v>69.906</v>
      </c>
      <c r="BF1398" s="153" t="n">
        <f aca="false">IF(AND($N1398="VCA",$AF1398&gt;=3),$M1398*$AF1398*2,0)</f>
        <v>0</v>
      </c>
      <c r="BG1398" s="153" t="n">
        <f aca="false">($BB1398+$BC1398)*$AK1398</f>
        <v>49.278</v>
      </c>
      <c r="BH1398" s="153" t="n">
        <f aca="false">IF(AND($M1398&lt;&gt;"",$N1398="VCA",$Q1398="LINEAR"),($M1398*2)/100,IF(AND($M1398&lt;&gt;"",$N1398="MND",$Q1398="EMBOQUE"),($AN1398*2)/100,0))</f>
        <v>0.4584</v>
      </c>
      <c r="BI1398" s="153" t="n">
        <f aca="false">IF(AND($M1398&lt;&gt;"",$N1398="VCA",$Q1398="LINEAR"),$M1398,IF(AND($M1398&lt;&gt;"",$N1398="MND",$Q1398="EMBOQUE"),$AN1398*2,0))</f>
        <v>22.92</v>
      </c>
      <c r="BJ1398" s="153" t="n">
        <f aca="false">IF(AND($M1398&lt;&gt;"",$N1398="VCA",$Q1398="LINEAR"),($M1398*6.8)/100,IF(AND($M1398&lt;&gt;"",$N1398="MND",$Q1398="EMBOQUE"),($AN1398*2*6.8)/100,0))</f>
        <v>1.55856</v>
      </c>
      <c r="BK1398" s="153" t="n">
        <f aca="false">IF(AND($M1398&lt;&gt;"",$N1398="VCA",$Q1398="LINEAR"),($M1398*2.5)/50,IF(AND($M1398&lt;&gt;"",$N1398="MND",$Q1398="EMBOQUE"),($AN1398*2*2.5)/50,0))</f>
        <v>1.146</v>
      </c>
      <c r="BL1398" s="157" t="str">
        <f aca="false">K1398&amp;J1398</f>
        <v>Zona11REDES</v>
      </c>
      <c r="BM1398" s="152" t="s">
        <v>6084</v>
      </c>
      <c r="BN1398" s="152" t="s">
        <v>1560</v>
      </c>
      <c r="BO1398" s="152" t="s">
        <v>6516</v>
      </c>
      <c r="BP1398" s="152" t="s">
        <v>6810</v>
      </c>
      <c r="BQ1398" s="152" t="s">
        <v>2232</v>
      </c>
      <c r="BR1398" s="152" t="s">
        <v>6814</v>
      </c>
      <c r="BS1398" s="152" t="n">
        <v>203944.06</v>
      </c>
      <c r="BT1398" s="152" t="n">
        <v>8235852.478</v>
      </c>
      <c r="BU1398" s="152" t="n">
        <v>203965.526</v>
      </c>
      <c r="BV1398" s="152" t="n">
        <v>8235859.252</v>
      </c>
      <c r="BW1398" s="152" t="n">
        <v>-15.93894</v>
      </c>
      <c r="BX1398" s="152" t="n">
        <v>-47.7652408</v>
      </c>
      <c r="BY1398" s="152" t="s">
        <v>6810</v>
      </c>
    </row>
    <row r="1399" customFormat="false" ht="13.8" hidden="false" customHeight="false" outlineLevel="0" collapsed="false">
      <c r="A1399" s="149" t="n">
        <f aca="false">IF(C1399&lt;&gt;"",ROW(A1394),"")</f>
        <v>1394</v>
      </c>
      <c r="B1399" s="150" t="str">
        <f aca="false">HYPERLINK("https://www.google.com/maps/dir/-15.917302,-47.760003/-15.9396159,-47.7662758/data=!4m3!4m2!3e0!5i1")</f>
        <v>https://www.google.com/maps/dir/-15.917302,-47.760003/-15.9396159,-47.7662758/data=!4m3!4m2!3e0!5i1</v>
      </c>
      <c r="C1399" s="151" t="s">
        <v>117</v>
      </c>
      <c r="D1399" s="152" t="s">
        <v>112</v>
      </c>
      <c r="E1399" s="152" t="s">
        <v>113</v>
      </c>
      <c r="F1399" s="152" t="s">
        <v>117</v>
      </c>
      <c r="G1399" s="152" t="s">
        <v>114</v>
      </c>
      <c r="H1399" s="152" t="n">
        <v>225</v>
      </c>
      <c r="I1399" s="152" t="s">
        <v>115</v>
      </c>
      <c r="J1399" s="152" t="s">
        <v>6</v>
      </c>
      <c r="K1399" s="152" t="s">
        <v>6081</v>
      </c>
      <c r="L1399" s="152" t="s">
        <v>120</v>
      </c>
      <c r="M1399" s="153" t="n">
        <f aca="false">100.96</f>
        <v>100.96</v>
      </c>
      <c r="N1399" s="152" t="s">
        <v>1548</v>
      </c>
      <c r="O1399" s="152" t="s">
        <v>1549</v>
      </c>
      <c r="P1399" s="152" t="s">
        <v>1550</v>
      </c>
      <c r="Q1399" s="152" t="s">
        <v>1551</v>
      </c>
      <c r="R1399" s="154" t="s">
        <v>6815</v>
      </c>
      <c r="S1399" s="154" t="s">
        <v>1593</v>
      </c>
      <c r="T1399" s="155" t="s">
        <v>6514</v>
      </c>
      <c r="U1399" s="152" t="str">
        <f aca="false">RIGHT(T1399,7)</f>
        <v>024/037</v>
      </c>
      <c r="V1399" s="152" t="s">
        <v>1555</v>
      </c>
      <c r="W1399" s="156" t="n">
        <v>45882</v>
      </c>
      <c r="X1399" s="152" t="s">
        <v>1594</v>
      </c>
      <c r="Y1399" s="152" t="s">
        <v>1986</v>
      </c>
      <c r="Z1399" s="152" t="s">
        <v>1557</v>
      </c>
      <c r="AA1399" s="153" t="n">
        <v>5.2</v>
      </c>
      <c r="AB1399" s="151" t="s">
        <v>6816</v>
      </c>
      <c r="AC1399" s="151" t="s">
        <v>508</v>
      </c>
      <c r="AD1399" s="151" t="str">
        <f aca="false">CONCATENATE($C1399,$I1399,$H1399,$N1399,$J1399,$K1399)</f>
        <v>TUBO PEADPEAD225VCAREDESZona11</v>
      </c>
      <c r="AE1399" s="153" t="n">
        <f aca="false">IFERROR(INDEX(APOIO_REDES!$A:$W,MATCH($C1399&amp;$I1399&amp;$H1399&amp;$N1399&amp;$O1399,APOIO_REDES!$W:$W,0),MATCH(AE$5,APOIO_REDES!$5:$5,0)),0)</f>
        <v>1.2</v>
      </c>
      <c r="AF1399" s="153" t="n">
        <f aca="false">IFERROR(INDEX(APOIO_REDES!$A:$W,MATCH($C1399&amp;$I1399&amp;$H1399&amp;$N1399&amp;$O1399,APOIO_REDES!$W:$W,0),MATCH(AF$5,APOIO_REDES!$5:$5,0)),0)</f>
        <v>1.525</v>
      </c>
      <c r="AG1399" s="153" t="n">
        <f aca="false">IFERROR(INDEX(APOIO_REDES!$A:$W,MATCH($C1399&amp;$I1399&amp;$H1399&amp;$N1399&amp;$O1399,APOIO_REDES!$W:$W,0),MATCH(AG$5,APOIO_REDES!$5:$5,0)),0)</f>
        <v>0.8</v>
      </c>
      <c r="AH1399" s="153" t="n">
        <f aca="false">IFERROR(INDEX(APOIO_REDES!$A:$W,MATCH($C1399&amp;$I1399&amp;$H1399&amp;$N1399&amp;$O1399,APOIO_REDES!$W:$W,0),MATCH(AH$5,APOIO_REDES!$5:$5,0)),0)</f>
        <v>0.1</v>
      </c>
      <c r="AI1399" s="153" t="n">
        <f aca="false">IFERROR(IF($H1399&lt;&gt;"",(((($H1399/1000)/2)^2)*PI()*$M1399),0),0)</f>
        <v>4.0142485529407</v>
      </c>
      <c r="AJ1399" s="153" t="n">
        <f aca="false">IFERROR(IF(AND($H1399&lt;&gt;"",$I1399="FoFo",OR($N1399="MND",$N1399="VCA"),$Q1399="LINEAR"),0,IF(AND($H1399&lt;&gt;"",$I1399="PEAD",$N1399="VCA",$Q1399="LINEAR"),($H1399/1000)+0.3,IF(AND($H1399&lt;&gt;"",$I1399="PEAD",$N1399="MND",$Q1399="EMBOQUE"),0,IF(AND($H1399&lt;&gt;"",$I1399="PVC",$N1399="VCA",$Q1399="LINEAR"),($H1399/1000)+0.2,IF(AND($H1399&lt;&gt;"",$I1399="PVC",$N1399="MND",$Q1399="EMBOQUE"),0,IF(AND($H1399&lt;&gt;"",$I1399="PEAD",$N1399="VCA",$Q1399="PREDIAL"),0,0)))))),0)</f>
        <v>0.525</v>
      </c>
      <c r="AK1399" s="153" t="n">
        <f aca="false">IF(AA1399&lt;&gt;"",AA1399,0)</f>
        <v>5.2</v>
      </c>
      <c r="AL1399" s="153" t="n">
        <f aca="false">IF(AND($N1399="MND",$Q1399="EMBOQUE"),$M1399,IF(AND($N1399="VCA",$Q1399="LINEAR"),$M1399,IF(AND($N1399="VCA",$Q1399="PREDIAL"),0,0)))</f>
        <v>100.96</v>
      </c>
      <c r="AM1399" s="153" t="n">
        <f aca="false">IF(AND($N1399="MND",$Q1399="EMBOQUE"),$M1399,IF(AND($N1399="VCA",$Q1399="LINEAR"),$M1399,IF(AND($N1399="VCA",$Q1399="PREDIAL"),0,0)))</f>
        <v>100.96</v>
      </c>
      <c r="AN1399" s="153" t="n">
        <f aca="false">ROUND(IF(AND($N1399="VCA",$M1399&lt;&gt;"",$Q1399="LINEAR"),$M1399/100,IF(AND($N1399="MND",$M1399&gt;100,$Q1399="EMBOQUE"),$M1399/100,0)),0)</f>
        <v>1</v>
      </c>
      <c r="AO1399" s="153" t="n">
        <f aca="false">IF(AND($N1399="MND",$Q1399="EMBOQUE"),$AN1399*2*2,IF(AND($N1399="VCA",$Q1399="LINEAR"),$M1399*2,IF(AND($N1399="VCA",$Q1399="PREDIAL"),0,0)))</f>
        <v>201.92</v>
      </c>
      <c r="AP1399" s="153" t="n">
        <f aca="false">IFERROR($M1399*$AF1399*$AG1399,0)</f>
        <v>123.1712</v>
      </c>
      <c r="AQ1399" s="153" t="n">
        <f aca="false">IFERROR(IF(AND($N1399="VCA",$AH1399&gt;0),$M1399*$AG1399*$AH1399,0),0)</f>
        <v>8.0768</v>
      </c>
      <c r="AR1399" s="153" t="n">
        <f aca="false">IFERROR(IF(AND($N1399="VCA",$AJ1399&gt;0),($M1399*$AG1399*$AJ1399)-$AI1399,0),0)</f>
        <v>38.3889514470593</v>
      </c>
      <c r="AS1399" s="153" t="n">
        <f aca="false">IFERROR(IF(AND($N1399="VCA",$AP1399&gt;0),$AP1399-$AI1399-$AQ1399-$AR1399,0),0)</f>
        <v>72.6912</v>
      </c>
      <c r="AT1399" s="153" t="n">
        <f aca="false">IFERROR(IF($N1399="VCA",INDEX(APOIO_REDES!$A:$W,MATCH($C1399&amp;$I1399&amp;$H1399&amp;$N1399&amp;$O1399,APOIO_REDES!$W:$W,0),MATCH(AT$5,APOIO_REDES!$5:$5,0)),0)*$AP1399,0)</f>
        <v>1.34013911281427</v>
      </c>
      <c r="AU1399" s="153" t="n">
        <f aca="false">IFERROR(IF($N1399="VCA",INDEX(APOIO_REDES!$A:$W,MATCH($C1399&amp;$I1399&amp;$H1399&amp;$N1399&amp;$O1399,APOIO_REDES!$W:$W,0),MATCH(AU$5,APOIO_REDES!$5:$5,0)),0)*$AP1399,0)</f>
        <v>1.07019879992328</v>
      </c>
      <c r="AV1399" s="153" t="n">
        <f aca="false">IFERROR(IF($N1399="VCA",INDEX(APOIO_REDES!$A:$W,MATCH($C1399&amp;$I1399&amp;$H1399&amp;$N1399&amp;$O1399,APOIO_REDES!$W:$W,0),MATCH(AV$5,APOIO_REDES!$5:$5,0)),0)*$AP1399,0)</f>
        <v>0.1481071125194</v>
      </c>
      <c r="AW1399" s="153" t="n">
        <f aca="false">IFERROR(IF($N1399="VCA",INDEX(APOIO_REDES!$A:$W,MATCH($C1399&amp;$I1399&amp;$H1399&amp;$N1399&amp;$O1399,APOIO_REDES!$W:$W,0),MATCH(AW$5,APOIO_REDES!$5:$5,0)),0)*$AP1399,0)</f>
        <v>84.5456660570289</v>
      </c>
      <c r="AX1399" s="153" t="n">
        <f aca="false">IFERROR(IF($N1399="VCA",INDEX(APOIO_REDES!$A:$W,MATCH($C1399&amp;$I1399&amp;$H1399&amp;$N1399&amp;$O1399,APOIO_REDES!$W:$W,0),MATCH(AX$5,APOIO_REDES!$5:$5,0)),0)*$AP1399,0)</f>
        <v>11.7008793494043</v>
      </c>
      <c r="AY1399" s="153" t="n">
        <f aca="false">IFERROR(IF($N1399="VCA",INDEX(APOIO_REDES!$A:$W,MATCH($C1399&amp;$I1399&amp;$H1399&amp;$N1399&amp;$O1399,APOIO_REDES!$W:$W,0),MATCH(AY$5,APOIO_REDES!$5:$5,0)),0)*$AP1399,0)</f>
        <v>21.4039629528289</v>
      </c>
      <c r="AZ1399" s="153" t="n">
        <f aca="false">IFERROR(IF($N1399="VCA",INDEX(APOIO_REDES!$A:$W,MATCH($C1399&amp;$I1399&amp;$H1399&amp;$N1399&amp;$O1399,APOIO_REDES!$W:$W,0),MATCH(AZ$5,APOIO_REDES!$5:$5,0)),0)*$AP1399,0)</f>
        <v>2.96224661548093</v>
      </c>
      <c r="BA1399" s="153" t="n">
        <f aca="false">IFERROR(IF(AND($N1399="VCA",$Q1399="LINEAR"),INDEX(APOIO_REDES!$A:$W,MATCH($C1399&amp;$I1399&amp;$H1399&amp;$N1399&amp;$O1399,APOIO_REDES!$W:$W,0),MATCH(BA$5,APOIO_REDES!$5:$5,0)),IF(AND($N1399="MND",$Q1399="EMBOQUE"),INDEX(APOIO_REDES!$A:$W,MATCH($C1399&amp;$I1399&amp;$H1399&amp;$N1399&amp;$O1399,APOIO_REDES!$W:$W,0),MATCH(BA$5,APOIO_REDES!$5:$5,0)),0))*$M1399/10,0)</f>
        <v>8.13712133645462</v>
      </c>
      <c r="BB1399" s="153" t="n">
        <f aca="false">IFERROR(IF($N1399="VCA",INDEX(APOIO_REDES!$A:$W,MATCH($C1399&amp;$I1399&amp;$H1399&amp;$N1399&amp;$O1399,APOIO_REDES!$W:$W,0),MATCH(BB$5,APOIO_REDES!$5:$5,0)),0)*($AI1399+$AQ1399+$AR1399),0)</f>
        <v>49.9307626586827</v>
      </c>
      <c r="BC1399" s="153" t="n">
        <f aca="false">IFERROR(IF($N1399="VCA",INDEX(APOIO_REDES!$A:$W,MATCH($C1399&amp;$I1399&amp;$H1399&amp;$N1399&amp;$O1399,APOIO_REDES!$W:$W,0),MATCH(BC$5,APOIO_REDES!$5:$5,0)),0)*($AI1399+$AQ1399+$AR1399),0)</f>
        <v>0.549237341317322</v>
      </c>
      <c r="BD1399" s="153" t="n">
        <f aca="false">IF(AND($N1399="VCA",$AF1399&gt;=1.25,$AF1399&lt;1.5),$M1399*$AF1399*2,0)</f>
        <v>0</v>
      </c>
      <c r="BE1399" s="153" t="n">
        <f aca="false">IF(AND($N1399="VCA",$AF1399&gt;=1.5,$AF1399&lt;3),$M1399*$AF1399*2,0)</f>
        <v>307.928</v>
      </c>
      <c r="BF1399" s="153" t="n">
        <f aca="false">IF(AND($N1399="VCA",$AF1399&gt;=3),$M1399*$AF1399*2,0)</f>
        <v>0</v>
      </c>
      <c r="BG1399" s="153" t="n">
        <f aca="false">($BB1399+$BC1399)*$AK1399</f>
        <v>262.496</v>
      </c>
      <c r="BH1399" s="153" t="n">
        <f aca="false">IF(AND($M1399&lt;&gt;"",$N1399="VCA",$Q1399="LINEAR"),($M1399*2)/100,IF(AND($M1399&lt;&gt;"",$N1399="MND",$Q1399="EMBOQUE"),($AN1399*2)/100,0))</f>
        <v>2.0192</v>
      </c>
      <c r="BI1399" s="153" t="n">
        <f aca="false">IF(AND($M1399&lt;&gt;"",$N1399="VCA",$Q1399="LINEAR"),$M1399,IF(AND($M1399&lt;&gt;"",$N1399="MND",$Q1399="EMBOQUE"),$AN1399*2,0))</f>
        <v>100.96</v>
      </c>
      <c r="BJ1399" s="153" t="n">
        <f aca="false">IF(AND($M1399&lt;&gt;"",$N1399="VCA",$Q1399="LINEAR"),($M1399*6.8)/100,IF(AND($M1399&lt;&gt;"",$N1399="MND",$Q1399="EMBOQUE"),($AN1399*2*6.8)/100,0))</f>
        <v>6.86528</v>
      </c>
      <c r="BK1399" s="153" t="n">
        <f aca="false">IF(AND($M1399&lt;&gt;"",$N1399="VCA",$Q1399="LINEAR"),($M1399*2.5)/50,IF(AND($M1399&lt;&gt;"",$N1399="MND",$Q1399="EMBOQUE"),($AN1399*2*2.5)/50,0))</f>
        <v>5.048</v>
      </c>
      <c r="BL1399" s="157" t="str">
        <f aca="false">K1399&amp;J1399</f>
        <v>Zona11REDES</v>
      </c>
      <c r="BM1399" s="152" t="s">
        <v>6084</v>
      </c>
      <c r="BN1399" s="152" t="s">
        <v>1560</v>
      </c>
      <c r="BO1399" s="152" t="s">
        <v>6516</v>
      </c>
      <c r="BP1399" s="152" t="s">
        <v>6817</v>
      </c>
      <c r="BQ1399" s="152" t="s">
        <v>6442</v>
      </c>
      <c r="BR1399" s="152" t="s">
        <v>6818</v>
      </c>
      <c r="BS1399" s="152" t="n">
        <v>203844.711</v>
      </c>
      <c r="BT1399" s="152" t="n">
        <v>8235779.491</v>
      </c>
      <c r="BU1399" s="152" t="n">
        <v>203823.482</v>
      </c>
      <c r="BV1399" s="152" t="n">
        <v>8235878.157</v>
      </c>
      <c r="BW1399" s="152" t="n">
        <v>-15.9391702</v>
      </c>
      <c r="BX1399" s="152" t="n">
        <v>-47.7663738</v>
      </c>
      <c r="BY1399" s="152" t="s">
        <v>6817</v>
      </c>
    </row>
    <row r="1400" customFormat="false" ht="13.8" hidden="false" customHeight="false" outlineLevel="0" collapsed="false">
      <c r="A1400" s="149" t="n">
        <f aca="false">IF(C1400&lt;&gt;"",ROW(A1395),"")</f>
        <v>1395</v>
      </c>
      <c r="B1400" s="150" t="str">
        <f aca="false">HYPERLINK("https://www.google.com/maps/dir/-15.917302,-47.760003/-15.9345890,-47.7559614/data=!4m3!4m2!3e0!5i1")</f>
        <v>https://www.google.com/maps/dir/-15.917302,-47.760003/-15.9345890,-47.7559614/data=!4m3!4m2!3e0!5i1</v>
      </c>
      <c r="C1400" s="151" t="s">
        <v>117</v>
      </c>
      <c r="D1400" s="152" t="s">
        <v>112</v>
      </c>
      <c r="E1400" s="152" t="s">
        <v>113</v>
      </c>
      <c r="F1400" s="152" t="s">
        <v>117</v>
      </c>
      <c r="G1400" s="152" t="s">
        <v>782</v>
      </c>
      <c r="H1400" s="152" t="n">
        <v>63</v>
      </c>
      <c r="I1400" s="152" t="s">
        <v>115</v>
      </c>
      <c r="J1400" s="152" t="s">
        <v>6</v>
      </c>
      <c r="K1400" s="152" t="s">
        <v>6081</v>
      </c>
      <c r="L1400" s="152" t="s">
        <v>120</v>
      </c>
      <c r="M1400" s="153" t="n">
        <f aca="false">46.05</f>
        <v>46.05</v>
      </c>
      <c r="N1400" s="152" t="s">
        <v>1548</v>
      </c>
      <c r="O1400" s="152" t="s">
        <v>1549</v>
      </c>
      <c r="P1400" s="152" t="s">
        <v>1550</v>
      </c>
      <c r="Q1400" s="152" t="s">
        <v>1551</v>
      </c>
      <c r="R1400" s="154" t="s">
        <v>6819</v>
      </c>
      <c r="S1400" s="154" t="s">
        <v>1553</v>
      </c>
      <c r="T1400" s="155" t="s">
        <v>6820</v>
      </c>
      <c r="U1400" s="152" t="str">
        <f aca="false">RIGHT(T1400,7)</f>
        <v>025/037</v>
      </c>
      <c r="V1400" s="152" t="s">
        <v>1555</v>
      </c>
      <c r="W1400" s="156" t="n">
        <v>45882</v>
      </c>
      <c r="X1400" s="152" t="s">
        <v>3938</v>
      </c>
      <c r="Y1400" s="152" t="s">
        <v>6292</v>
      </c>
      <c r="Z1400" s="152" t="s">
        <v>1557</v>
      </c>
      <c r="AA1400" s="153" t="n">
        <v>3.1</v>
      </c>
      <c r="AB1400" s="151" t="s">
        <v>6821</v>
      </c>
      <c r="AC1400" s="151" t="s">
        <v>186</v>
      </c>
      <c r="AD1400" s="151" t="str">
        <f aca="false">CONCATENATE($C1400,$I1400,$H1400,$N1400,$J1400,$K1400)</f>
        <v>TUBO PEADPEAD63VCAREDESZona11</v>
      </c>
      <c r="AE1400" s="153" t="n">
        <f aca="false">IFERROR(INDEX(APOIO_REDES!$A:$W,MATCH($C1400&amp;$I1400&amp;$H1400&amp;$N1400&amp;$O1400,APOIO_REDES!$W:$W,0),MATCH(AE$5,APOIO_REDES!$5:$5,0)),0)</f>
        <v>1.2</v>
      </c>
      <c r="AF1400" s="153" t="n">
        <f aca="false">IFERROR(INDEX(APOIO_REDES!$A:$W,MATCH($C1400&amp;$I1400&amp;$H1400&amp;$N1400&amp;$O1400,APOIO_REDES!$W:$W,0),MATCH(AF$5,APOIO_REDES!$5:$5,0)),0)</f>
        <v>1.363</v>
      </c>
      <c r="AG1400" s="153" t="n">
        <f aca="false">IFERROR(INDEX(APOIO_REDES!$A:$W,MATCH($C1400&amp;$I1400&amp;$H1400&amp;$N1400&amp;$O1400,APOIO_REDES!$W:$W,0),MATCH(AG$5,APOIO_REDES!$5:$5,0)),0)</f>
        <v>0.65</v>
      </c>
      <c r="AH1400" s="153" t="n">
        <f aca="false">IFERROR(INDEX(APOIO_REDES!$A:$W,MATCH($C1400&amp;$I1400&amp;$H1400&amp;$N1400&amp;$O1400,APOIO_REDES!$W:$W,0),MATCH(AH$5,APOIO_REDES!$5:$5,0)),0)</f>
        <v>0.1</v>
      </c>
      <c r="AI1400" s="153" t="n">
        <f aca="false">IFERROR(IF($H1400&lt;&gt;"",(((($H1400/1000)/2)^2)*PI()*$M1400),0),0)</f>
        <v>0.143549146549652</v>
      </c>
      <c r="AJ1400" s="153" t="n">
        <f aca="false">IFERROR(IF(AND($H1400&lt;&gt;"",$I1400="FoFo",OR($N1400="MND",$N1400="VCA"),$Q1400="LINEAR"),0,IF(AND($H1400&lt;&gt;"",$I1400="PEAD",$N1400="VCA",$Q1400="LINEAR"),($H1400/1000)+0.3,IF(AND($H1400&lt;&gt;"",$I1400="PEAD",$N1400="MND",$Q1400="EMBOQUE"),0,IF(AND($H1400&lt;&gt;"",$I1400="PVC",$N1400="VCA",$Q1400="LINEAR"),($H1400/1000)+0.2,IF(AND($H1400&lt;&gt;"",$I1400="PVC",$N1400="MND",$Q1400="EMBOQUE"),0,IF(AND($H1400&lt;&gt;"",$I1400="PEAD",$N1400="VCA",$Q1400="PREDIAL"),0,0)))))),0)</f>
        <v>0.363</v>
      </c>
      <c r="AK1400" s="153" t="n">
        <f aca="false">IF(AA1400&lt;&gt;"",AA1400,0)</f>
        <v>3.1</v>
      </c>
      <c r="AL1400" s="153" t="n">
        <f aca="false">IF(AND($N1400="MND",$Q1400="EMBOQUE"),$M1400,IF(AND($N1400="VCA",$Q1400="LINEAR"),$M1400,IF(AND($N1400="VCA",$Q1400="PREDIAL"),0,0)))</f>
        <v>46.05</v>
      </c>
      <c r="AM1400" s="153" t="n">
        <f aca="false">IF(AND($N1400="MND",$Q1400="EMBOQUE"),$M1400,IF(AND($N1400="VCA",$Q1400="LINEAR"),$M1400,IF(AND($N1400="VCA",$Q1400="PREDIAL"),0,0)))</f>
        <v>46.05</v>
      </c>
      <c r="AN1400" s="153" t="n">
        <f aca="false">ROUND(IF(AND($N1400="VCA",$M1400&lt;&gt;"",$Q1400="LINEAR"),$M1400/100,IF(AND($N1400="MND",$M1400&gt;100,$Q1400="EMBOQUE"),$M1400/100,0)),0)</f>
        <v>0</v>
      </c>
      <c r="AO1400" s="153" t="n">
        <f aca="false">IF(AND($N1400="MND",$Q1400="EMBOQUE"),$AN1400*2*2,IF(AND($N1400="VCA",$Q1400="LINEAR"),$M1400*2,IF(AND($N1400="VCA",$Q1400="PREDIAL"),0,0)))</f>
        <v>92.1</v>
      </c>
      <c r="AP1400" s="153" t="n">
        <f aca="false">IFERROR($M1400*$AF1400*$AG1400,0)</f>
        <v>40.7979975</v>
      </c>
      <c r="AQ1400" s="153" t="n">
        <f aca="false">IFERROR(IF(AND($N1400="VCA",$AH1400&gt;0),$M1400*$AG1400*$AH1400,0),0)</f>
        <v>2.99325</v>
      </c>
      <c r="AR1400" s="153" t="n">
        <f aca="false">IFERROR(IF(AND($N1400="VCA",$AJ1400&gt;0),($M1400*$AG1400*$AJ1400)-$AI1400,0),0)</f>
        <v>10.7219483534503</v>
      </c>
      <c r="AS1400" s="153" t="n">
        <f aca="false">IFERROR(IF(AND($N1400="VCA",$AP1400&gt;0),$AP1400-$AI1400-$AQ1400-$AR1400,0),0)</f>
        <v>26.93925</v>
      </c>
      <c r="AT1400" s="153" t="n">
        <f aca="false">IFERROR(IF($N1400="VCA",INDEX(APOIO_REDES!$A:$W,MATCH($C1400&amp;$I1400&amp;$H1400&amp;$N1400&amp;$O1400,APOIO_REDES!$W:$W,0),MATCH(AT$5,APOIO_REDES!$5:$5,0)),0)*$AP1400,0)</f>
        <v>0.443894288390863</v>
      </c>
      <c r="AU1400" s="153" t="n">
        <f aca="false">IFERROR(IF($N1400="VCA",INDEX(APOIO_REDES!$A:$W,MATCH($C1400&amp;$I1400&amp;$H1400&amp;$N1400&amp;$O1400,APOIO_REDES!$W:$W,0),MATCH(AU$5,APOIO_REDES!$5:$5,0)),0)*$AP1400,0)</f>
        <v>0.354481956526954</v>
      </c>
      <c r="AV1400" s="153" t="n">
        <f aca="false">IFERROR(IF($N1400="VCA",INDEX(APOIO_REDES!$A:$W,MATCH($C1400&amp;$I1400&amp;$H1400&amp;$N1400&amp;$O1400,APOIO_REDES!$W:$W,0),MATCH(AV$5,APOIO_REDES!$5:$5,0)),0)*$AP1400,0)</f>
        <v>0.0490575199908638</v>
      </c>
      <c r="AW1400" s="153" t="n">
        <f aca="false">IFERROR(IF($N1400="VCA",INDEX(APOIO_REDES!$A:$W,MATCH($C1400&amp;$I1400&amp;$H1400&amp;$N1400&amp;$O1400,APOIO_REDES!$W:$W,0),MATCH(AW$5,APOIO_REDES!$5:$5,0)),0)*$AP1400,0)</f>
        <v>28.0040616023104</v>
      </c>
      <c r="AX1400" s="153" t="n">
        <f aca="false">IFERROR(IF($N1400="VCA",INDEX(APOIO_REDES!$A:$W,MATCH($C1400&amp;$I1400&amp;$H1400&amp;$N1400&amp;$O1400,APOIO_REDES!$W:$W,0),MATCH(AX$5,APOIO_REDES!$5:$5,0)),0)*$AP1400,0)</f>
        <v>3.87568235468031</v>
      </c>
      <c r="AY1400" s="153" t="n">
        <f aca="false">IFERROR(IF($N1400="VCA",INDEX(APOIO_REDES!$A:$W,MATCH($C1400&amp;$I1400&amp;$H1400&amp;$N1400&amp;$O1400,APOIO_REDES!$W:$W,0),MATCH(AY$5,APOIO_REDES!$5:$5,0)),0)*$AP1400,0)</f>
        <v>7.08963480943277</v>
      </c>
      <c r="AZ1400" s="153" t="n">
        <f aca="false">IFERROR(IF($N1400="VCA",INDEX(APOIO_REDES!$A:$W,MATCH($C1400&amp;$I1400&amp;$H1400&amp;$N1400&amp;$O1400,APOIO_REDES!$W:$W,0),MATCH(AZ$5,APOIO_REDES!$5:$5,0)),0)*$AP1400,0)</f>
        <v>0.981184968667794</v>
      </c>
      <c r="BA1400" s="153" t="n">
        <f aca="false">IFERROR(IF(AND($N1400="VCA",$Q1400="LINEAR"),INDEX(APOIO_REDES!$A:$W,MATCH($C1400&amp;$I1400&amp;$H1400&amp;$N1400&amp;$O1400,APOIO_REDES!$W:$W,0),MATCH(BA$5,APOIO_REDES!$5:$5,0)),IF(AND($N1400="MND",$Q1400="EMBOQUE"),INDEX(APOIO_REDES!$A:$W,MATCH($C1400&amp;$I1400&amp;$H1400&amp;$N1400&amp;$O1400,APOIO_REDES!$W:$W,0),MATCH(BA$5,APOIO_REDES!$5:$5,0)),0))*$M1400/10,0)</f>
        <v>3.71151384254888</v>
      </c>
      <c r="BB1400" s="153" t="n">
        <f aca="false">IFERROR(IF($N1400="VCA",INDEX(APOIO_REDES!$A:$W,MATCH($C1400&amp;$I1400&amp;$H1400&amp;$N1400&amp;$O1400,APOIO_REDES!$W:$W,0),MATCH(BB$5,APOIO_REDES!$5:$5,0)),0)*($AI1400+$AQ1400+$AR1400),0)</f>
        <v>13.7079602252201</v>
      </c>
      <c r="BC1400" s="153" t="n">
        <f aca="false">IFERROR(IF($N1400="VCA",INDEX(APOIO_REDES!$A:$W,MATCH($C1400&amp;$I1400&amp;$H1400&amp;$N1400&amp;$O1400,APOIO_REDES!$W:$W,0),MATCH(BC$5,APOIO_REDES!$5:$5,0)),0)*($AI1400+$AQ1400+$AR1400),0)</f>
        <v>0.150787274779875</v>
      </c>
      <c r="BD1400" s="153" t="n">
        <f aca="false">IF(AND($N1400="VCA",$AF1400&gt;=1.25,$AF1400&lt;1.5),$M1400*$AF1400*2,0)</f>
        <v>125.5323</v>
      </c>
      <c r="BE1400" s="153" t="n">
        <f aca="false">IF(AND($N1400="VCA",$AF1400&gt;=1.5,$AF1400&lt;3),$M1400*$AF1400*2,0)</f>
        <v>0</v>
      </c>
      <c r="BF1400" s="153" t="n">
        <f aca="false">IF(AND($N1400="VCA",$AF1400&gt;=3),$M1400*$AF1400*2,0)</f>
        <v>0</v>
      </c>
      <c r="BG1400" s="153" t="n">
        <f aca="false">($BB1400+$BC1400)*$AK1400</f>
        <v>42.96211725</v>
      </c>
      <c r="BH1400" s="153" t="n">
        <f aca="false">IF(AND($M1400&lt;&gt;"",$N1400="VCA",$Q1400="LINEAR"),($M1400*2)/100,IF(AND($M1400&lt;&gt;"",$N1400="MND",$Q1400="EMBOQUE"),($AN1400*2)/100,0))</f>
        <v>0.921</v>
      </c>
      <c r="BI1400" s="153" t="n">
        <f aca="false">IF(AND($M1400&lt;&gt;"",$N1400="VCA",$Q1400="LINEAR"),$M1400,IF(AND($M1400&lt;&gt;"",$N1400="MND",$Q1400="EMBOQUE"),$AN1400*2,0))</f>
        <v>46.05</v>
      </c>
      <c r="BJ1400" s="153" t="n">
        <f aca="false">IF(AND($M1400&lt;&gt;"",$N1400="VCA",$Q1400="LINEAR"),($M1400*6.8)/100,IF(AND($M1400&lt;&gt;"",$N1400="MND",$Q1400="EMBOQUE"),($AN1400*2*6.8)/100,0))</f>
        <v>3.1314</v>
      </c>
      <c r="BK1400" s="153" t="n">
        <f aca="false">IF(AND($M1400&lt;&gt;"",$N1400="VCA",$Q1400="LINEAR"),($M1400*2.5)/50,IF(AND($M1400&lt;&gt;"",$N1400="MND",$Q1400="EMBOQUE"),($AN1400*2*2.5)/50,0))</f>
        <v>2.3025</v>
      </c>
      <c r="BL1400" s="157" t="str">
        <f aca="false">K1400&amp;J1400</f>
        <v>Zona11REDES</v>
      </c>
      <c r="BM1400" s="152" t="s">
        <v>6084</v>
      </c>
      <c r="BN1400" s="152" t="s">
        <v>1560</v>
      </c>
      <c r="BO1400" s="152" t="s">
        <v>6822</v>
      </c>
      <c r="BP1400" s="152" t="s">
        <v>6823</v>
      </c>
      <c r="BQ1400" s="152" t="s">
        <v>6294</v>
      </c>
      <c r="BR1400" s="152" t="s">
        <v>6824</v>
      </c>
      <c r="BS1400" s="152" t="n">
        <v>204942.332</v>
      </c>
      <c r="BT1400" s="152" t="n">
        <v>8236350.719</v>
      </c>
      <c r="BU1400" s="152" t="n">
        <v>204925.363</v>
      </c>
      <c r="BV1400" s="152" t="n">
        <v>8236393.484</v>
      </c>
      <c r="BW1400" s="152" t="n">
        <v>-15.9343958</v>
      </c>
      <c r="BX1400" s="152" t="n">
        <v>-47.7560401</v>
      </c>
      <c r="BY1400" s="152" t="s">
        <v>6823</v>
      </c>
    </row>
    <row r="1401" customFormat="false" ht="13.8" hidden="false" customHeight="false" outlineLevel="0" collapsed="false">
      <c r="A1401" s="149" t="n">
        <f aca="false">IF(C1401&lt;&gt;"",ROW(A1396),"")</f>
        <v>1396</v>
      </c>
      <c r="B1401" s="150" t="str">
        <f aca="false">HYPERLINK("https://www.google.com/maps/dir/-15.917302,-47.760003/-15.9343029,-47.7565816/data=!4m3!4m2!3e0!5i1")</f>
        <v>https://www.google.com/maps/dir/-15.917302,-47.760003/-15.9343029,-47.7565816/data=!4m3!4m2!3e0!5i1</v>
      </c>
      <c r="C1401" s="151" t="s">
        <v>117</v>
      </c>
      <c r="D1401" s="152" t="s">
        <v>112</v>
      </c>
      <c r="E1401" s="152" t="s">
        <v>113</v>
      </c>
      <c r="F1401" s="152" t="s">
        <v>117</v>
      </c>
      <c r="G1401" s="152" t="s">
        <v>782</v>
      </c>
      <c r="H1401" s="152" t="n">
        <v>63</v>
      </c>
      <c r="I1401" s="152" t="s">
        <v>115</v>
      </c>
      <c r="J1401" s="152" t="s">
        <v>6</v>
      </c>
      <c r="K1401" s="152" t="s">
        <v>6081</v>
      </c>
      <c r="L1401" s="152" t="s">
        <v>120</v>
      </c>
      <c r="M1401" s="153" t="n">
        <f aca="false">48.94</f>
        <v>48.94</v>
      </c>
      <c r="N1401" s="152" t="s">
        <v>1548</v>
      </c>
      <c r="O1401" s="152" t="s">
        <v>1549</v>
      </c>
      <c r="P1401" s="152" t="s">
        <v>1550</v>
      </c>
      <c r="Q1401" s="152" t="s">
        <v>1551</v>
      </c>
      <c r="R1401" s="154" t="s">
        <v>6825</v>
      </c>
      <c r="S1401" s="154" t="s">
        <v>1553</v>
      </c>
      <c r="T1401" s="155" t="s">
        <v>6820</v>
      </c>
      <c r="U1401" s="152" t="str">
        <f aca="false">RIGHT(T1401,7)</f>
        <v>025/037</v>
      </c>
      <c r="V1401" s="152" t="s">
        <v>1555</v>
      </c>
      <c r="W1401" s="156" t="n">
        <v>45882</v>
      </c>
      <c r="X1401" s="152" t="s">
        <v>3938</v>
      </c>
      <c r="Y1401" s="152" t="s">
        <v>6292</v>
      </c>
      <c r="Z1401" s="152" t="s">
        <v>1557</v>
      </c>
      <c r="AA1401" s="153" t="n">
        <v>3.1</v>
      </c>
      <c r="AB1401" s="151" t="s">
        <v>6826</v>
      </c>
      <c r="AC1401" s="151" t="s">
        <v>186</v>
      </c>
      <c r="AD1401" s="151" t="str">
        <f aca="false">CONCATENATE($C1401,$I1401,$H1401,$N1401,$J1401,$K1401)</f>
        <v>TUBO PEADPEAD63VCAREDESZona11</v>
      </c>
      <c r="AE1401" s="153" t="n">
        <f aca="false">IFERROR(INDEX(APOIO_REDES!$A:$W,MATCH($C1401&amp;$I1401&amp;$H1401&amp;$N1401&amp;$O1401,APOIO_REDES!$W:$W,0),MATCH(AE$5,APOIO_REDES!$5:$5,0)),0)</f>
        <v>1.2</v>
      </c>
      <c r="AF1401" s="153" t="n">
        <f aca="false">IFERROR(INDEX(APOIO_REDES!$A:$W,MATCH($C1401&amp;$I1401&amp;$H1401&amp;$N1401&amp;$O1401,APOIO_REDES!$W:$W,0),MATCH(AF$5,APOIO_REDES!$5:$5,0)),0)</f>
        <v>1.363</v>
      </c>
      <c r="AG1401" s="153" t="n">
        <f aca="false">IFERROR(INDEX(APOIO_REDES!$A:$W,MATCH($C1401&amp;$I1401&amp;$H1401&amp;$N1401&amp;$O1401,APOIO_REDES!$W:$W,0),MATCH(AG$5,APOIO_REDES!$5:$5,0)),0)</f>
        <v>0.65</v>
      </c>
      <c r="AH1401" s="153" t="n">
        <f aca="false">IFERROR(INDEX(APOIO_REDES!$A:$W,MATCH($C1401&amp;$I1401&amp;$H1401&amp;$N1401&amp;$O1401,APOIO_REDES!$W:$W,0),MATCH(AH$5,APOIO_REDES!$5:$5,0)),0)</f>
        <v>0.1</v>
      </c>
      <c r="AI1401" s="153" t="n">
        <f aca="false">IFERROR(IF($H1401&lt;&gt;"",(((($H1401/1000)/2)^2)*PI()*$M1401),0),0)</f>
        <v>0.152557985497068</v>
      </c>
      <c r="AJ1401" s="153" t="n">
        <f aca="false">IFERROR(IF(AND($H1401&lt;&gt;"",$I1401="FoFo",OR($N1401="MND",$N1401="VCA"),$Q1401="LINEAR"),0,IF(AND($H1401&lt;&gt;"",$I1401="PEAD",$N1401="VCA",$Q1401="LINEAR"),($H1401/1000)+0.3,IF(AND($H1401&lt;&gt;"",$I1401="PEAD",$N1401="MND",$Q1401="EMBOQUE"),0,IF(AND($H1401&lt;&gt;"",$I1401="PVC",$N1401="VCA",$Q1401="LINEAR"),($H1401/1000)+0.2,IF(AND($H1401&lt;&gt;"",$I1401="PVC",$N1401="MND",$Q1401="EMBOQUE"),0,IF(AND($H1401&lt;&gt;"",$I1401="PEAD",$N1401="VCA",$Q1401="PREDIAL"),0,0)))))),0)</f>
        <v>0.363</v>
      </c>
      <c r="AK1401" s="153" t="n">
        <f aca="false">IF(AA1401&lt;&gt;"",AA1401,0)</f>
        <v>3.1</v>
      </c>
      <c r="AL1401" s="153" t="n">
        <f aca="false">IF(AND($N1401="MND",$Q1401="EMBOQUE"),$M1401,IF(AND($N1401="VCA",$Q1401="LINEAR"),$M1401,IF(AND($N1401="VCA",$Q1401="PREDIAL"),0,0)))</f>
        <v>48.94</v>
      </c>
      <c r="AM1401" s="153" t="n">
        <f aca="false">IF(AND($N1401="MND",$Q1401="EMBOQUE"),$M1401,IF(AND($N1401="VCA",$Q1401="LINEAR"),$M1401,IF(AND($N1401="VCA",$Q1401="PREDIAL"),0,0)))</f>
        <v>48.94</v>
      </c>
      <c r="AN1401" s="153" t="n">
        <f aca="false">ROUND(IF(AND($N1401="VCA",$M1401&lt;&gt;"",$Q1401="LINEAR"),$M1401/100,IF(AND($N1401="MND",$M1401&gt;100,$Q1401="EMBOQUE"),$M1401/100,0)),0)</f>
        <v>0</v>
      </c>
      <c r="AO1401" s="153" t="n">
        <f aca="false">IF(AND($N1401="MND",$Q1401="EMBOQUE"),$AN1401*2*2,IF(AND($N1401="VCA",$Q1401="LINEAR"),$M1401*2,IF(AND($N1401="VCA",$Q1401="PREDIAL"),0,0)))</f>
        <v>97.88</v>
      </c>
      <c r="AP1401" s="153" t="n">
        <f aca="false">IFERROR($M1401*$AF1401*$AG1401,0)</f>
        <v>43.358393</v>
      </c>
      <c r="AQ1401" s="153" t="n">
        <f aca="false">IFERROR(IF(AND($N1401="VCA",$AH1401&gt;0),$M1401*$AG1401*$AH1401,0),0)</f>
        <v>3.1811</v>
      </c>
      <c r="AR1401" s="153" t="n">
        <f aca="false">IFERROR(IF(AND($N1401="VCA",$AJ1401&gt;0),($M1401*$AG1401*$AJ1401)-$AI1401,0),0)</f>
        <v>11.3948350145029</v>
      </c>
      <c r="AS1401" s="153" t="n">
        <f aca="false">IFERROR(IF(AND($N1401="VCA",$AP1401&gt;0),$AP1401-$AI1401-$AQ1401-$AR1401,0),0)</f>
        <v>28.6299</v>
      </c>
      <c r="AT1401" s="153" t="n">
        <f aca="false">IFERROR(IF($N1401="VCA",INDEX(APOIO_REDES!$A:$W,MATCH($C1401&amp;$I1401&amp;$H1401&amp;$N1401&amp;$O1401,APOIO_REDES!$W:$W,0),MATCH(AT$5,APOIO_REDES!$5:$5,0)),0)*$AP1401,0)</f>
        <v>0.471752149269247</v>
      </c>
      <c r="AU1401" s="153" t="n">
        <f aca="false">IFERROR(IF($N1401="VCA",INDEX(APOIO_REDES!$A:$W,MATCH($C1401&amp;$I1401&amp;$H1401&amp;$N1401&amp;$O1401,APOIO_REDES!$W:$W,0),MATCH(AU$5,APOIO_REDES!$5:$5,0)),0)*$AP1401,0)</f>
        <v>0.376728489737875</v>
      </c>
      <c r="AV1401" s="153" t="n">
        <f aca="false">IFERROR(IF($N1401="VCA",INDEX(APOIO_REDES!$A:$W,MATCH($C1401&amp;$I1401&amp;$H1401&amp;$N1401&amp;$O1401,APOIO_REDES!$W:$W,0),MATCH(AV$5,APOIO_REDES!$5:$5,0)),0)*$AP1401,0)</f>
        <v>0.0521362655451221</v>
      </c>
      <c r="AW1401" s="153" t="n">
        <f aca="false">IFERROR(IF($N1401="VCA",INDEX(APOIO_REDES!$A:$W,MATCH($C1401&amp;$I1401&amp;$H1401&amp;$N1401&amp;$O1401,APOIO_REDES!$W:$W,0),MATCH(AW$5,APOIO_REDES!$5:$5,0)),0)*$AP1401,0)</f>
        <v>29.7615369124229</v>
      </c>
      <c r="AX1401" s="153" t="n">
        <f aca="false">IFERROR(IF($N1401="VCA",INDEX(APOIO_REDES!$A:$W,MATCH($C1401&amp;$I1401&amp;$H1401&amp;$N1401&amp;$O1401,APOIO_REDES!$W:$W,0),MATCH(AX$5,APOIO_REDES!$5:$5,0)),0)*$AP1401,0)</f>
        <v>4.11891193133669</v>
      </c>
      <c r="AY1401" s="153" t="n">
        <f aca="false">IFERROR(IF($N1401="VCA",INDEX(APOIO_REDES!$A:$W,MATCH($C1401&amp;$I1401&amp;$H1401&amp;$N1401&amp;$O1401,APOIO_REDES!$W:$W,0),MATCH(AY$5,APOIO_REDES!$5:$5,0)),0)*$AP1401,0)</f>
        <v>7.53456520246775</v>
      </c>
      <c r="AZ1401" s="153" t="n">
        <f aca="false">IFERROR(IF($N1401="VCA",INDEX(APOIO_REDES!$A:$W,MATCH($C1401&amp;$I1401&amp;$H1401&amp;$N1401&amp;$O1401,APOIO_REDES!$W:$W,0),MATCH(AZ$5,APOIO_REDES!$5:$5,0)),0)*$AP1401,0)</f>
        <v>1.04276204922045</v>
      </c>
      <c r="BA1401" s="153" t="n">
        <f aca="false">IFERROR(IF(AND($N1401="VCA",$Q1401="LINEAR"),INDEX(APOIO_REDES!$A:$W,MATCH($C1401&amp;$I1401&amp;$H1401&amp;$N1401&amp;$O1401,APOIO_REDES!$W:$W,0),MATCH(BA$5,APOIO_REDES!$5:$5,0)),IF(AND($N1401="MND",$Q1401="EMBOQUE"),INDEX(APOIO_REDES!$A:$W,MATCH($C1401&amp;$I1401&amp;$H1401&amp;$N1401&amp;$O1401,APOIO_REDES!$W:$W,0),MATCH(BA$5,APOIO_REDES!$5:$5,0)),0))*$M1401/10,0)</f>
        <v>3.94444055275445</v>
      </c>
      <c r="BB1401" s="153" t="n">
        <f aca="false">IFERROR(IF($N1401="VCA",INDEX(APOIO_REDES!$A:$W,MATCH($C1401&amp;$I1401&amp;$H1401&amp;$N1401&amp;$O1401,APOIO_REDES!$W:$W,0),MATCH(BB$5,APOIO_REDES!$5:$5,0)),0)*($AI1401+$AQ1401+$AR1401),0)</f>
        <v>14.5682426367486</v>
      </c>
      <c r="BC1401" s="153" t="n">
        <f aca="false">IFERROR(IF($N1401="VCA",INDEX(APOIO_REDES!$A:$W,MATCH($C1401&amp;$I1401&amp;$H1401&amp;$N1401&amp;$O1401,APOIO_REDES!$W:$W,0),MATCH(BC$5,APOIO_REDES!$5:$5,0)),0)*($AI1401+$AQ1401+$AR1401),0)</f>
        <v>0.160250363251402</v>
      </c>
      <c r="BD1401" s="153" t="n">
        <f aca="false">IF(AND($N1401="VCA",$AF1401&gt;=1.25,$AF1401&lt;1.5),$M1401*$AF1401*2,0)</f>
        <v>133.41044</v>
      </c>
      <c r="BE1401" s="153" t="n">
        <f aca="false">IF(AND($N1401="VCA",$AF1401&gt;=1.5,$AF1401&lt;3),$M1401*$AF1401*2,0)</f>
        <v>0</v>
      </c>
      <c r="BF1401" s="153" t="n">
        <f aca="false">IF(AND($N1401="VCA",$AF1401&gt;=3),$M1401*$AF1401*2,0)</f>
        <v>0</v>
      </c>
      <c r="BG1401" s="153" t="n">
        <f aca="false">($BB1401+$BC1401)*$AK1401</f>
        <v>45.6583283</v>
      </c>
      <c r="BH1401" s="153" t="n">
        <f aca="false">IF(AND($M1401&lt;&gt;"",$N1401="VCA",$Q1401="LINEAR"),($M1401*2)/100,IF(AND($M1401&lt;&gt;"",$N1401="MND",$Q1401="EMBOQUE"),($AN1401*2)/100,0))</f>
        <v>0.9788</v>
      </c>
      <c r="BI1401" s="153" t="n">
        <f aca="false">IF(AND($M1401&lt;&gt;"",$N1401="VCA",$Q1401="LINEAR"),$M1401,IF(AND($M1401&lt;&gt;"",$N1401="MND",$Q1401="EMBOQUE"),$AN1401*2,0))</f>
        <v>48.94</v>
      </c>
      <c r="BJ1401" s="153" t="n">
        <f aca="false">IF(AND($M1401&lt;&gt;"",$N1401="VCA",$Q1401="LINEAR"),($M1401*6.8)/100,IF(AND($M1401&lt;&gt;"",$N1401="MND",$Q1401="EMBOQUE"),($AN1401*2*6.8)/100,0))</f>
        <v>3.32792</v>
      </c>
      <c r="BK1401" s="153" t="n">
        <f aca="false">IF(AND($M1401&lt;&gt;"",$N1401="VCA",$Q1401="LINEAR"),($M1401*2.5)/50,IF(AND($M1401&lt;&gt;"",$N1401="MND",$Q1401="EMBOQUE"),($AN1401*2*2.5)/50,0))</f>
        <v>2.447</v>
      </c>
      <c r="BL1401" s="157" t="str">
        <f aca="false">K1401&amp;J1401</f>
        <v>Zona11REDES</v>
      </c>
      <c r="BM1401" s="152" t="s">
        <v>6084</v>
      </c>
      <c r="BN1401" s="152" t="s">
        <v>1560</v>
      </c>
      <c r="BO1401" s="152" t="s">
        <v>6822</v>
      </c>
      <c r="BP1401" s="152" t="s">
        <v>6317</v>
      </c>
      <c r="BQ1401" s="152" t="s">
        <v>6827</v>
      </c>
      <c r="BR1401" s="152" t="s">
        <v>6828</v>
      </c>
      <c r="BS1401" s="152" t="n">
        <v>204875.464</v>
      </c>
      <c r="BT1401" s="152" t="n">
        <v>8236381.516</v>
      </c>
      <c r="BU1401" s="152" t="n">
        <v>204894.804</v>
      </c>
      <c r="BV1401" s="152" t="n">
        <v>8236336.78</v>
      </c>
      <c r="BW1401" s="152" t="n">
        <v>-15.9345027</v>
      </c>
      <c r="BX1401" s="152" t="n">
        <v>-47.7564855</v>
      </c>
      <c r="BY1401" s="152" t="s">
        <v>6317</v>
      </c>
    </row>
    <row r="1402" customFormat="false" ht="13.8" hidden="false" customHeight="false" outlineLevel="0" collapsed="false">
      <c r="A1402" s="149" t="n">
        <f aca="false">IF(C1402&lt;&gt;"",ROW(A1397),"")</f>
        <v>1397</v>
      </c>
      <c r="B1402" s="150" t="str">
        <f aca="false">HYPERLINK("https://www.google.com/maps/dir/-15.917302,-47.760003/-15.9345890,-47.7559614/data=!4m3!4m2!3e0!5i1")</f>
        <v>https://www.google.com/maps/dir/-15.917302,-47.760003/-15.9345890,-47.7559614/data=!4m3!4m2!3e0!5i1</v>
      </c>
      <c r="C1402" s="151" t="s">
        <v>117</v>
      </c>
      <c r="D1402" s="152" t="s">
        <v>112</v>
      </c>
      <c r="E1402" s="152" t="s">
        <v>113</v>
      </c>
      <c r="F1402" s="152" t="s">
        <v>117</v>
      </c>
      <c r="G1402" s="152" t="s">
        <v>782</v>
      </c>
      <c r="H1402" s="152" t="n">
        <v>63</v>
      </c>
      <c r="I1402" s="152" t="s">
        <v>115</v>
      </c>
      <c r="J1402" s="152" t="s">
        <v>6</v>
      </c>
      <c r="K1402" s="152" t="s">
        <v>6081</v>
      </c>
      <c r="L1402" s="152" t="s">
        <v>120</v>
      </c>
      <c r="M1402" s="153" t="n">
        <f aca="false">49.53</f>
        <v>49.53</v>
      </c>
      <c r="N1402" s="152" t="s">
        <v>1548</v>
      </c>
      <c r="O1402" s="152" t="s">
        <v>1549</v>
      </c>
      <c r="P1402" s="152" t="s">
        <v>1550</v>
      </c>
      <c r="Q1402" s="152" t="s">
        <v>1551</v>
      </c>
      <c r="R1402" s="154" t="s">
        <v>6829</v>
      </c>
      <c r="S1402" s="154" t="s">
        <v>1553</v>
      </c>
      <c r="T1402" s="155" t="s">
        <v>6820</v>
      </c>
      <c r="U1402" s="152" t="str">
        <f aca="false">RIGHT(T1402,7)</f>
        <v>025/037</v>
      </c>
      <c r="V1402" s="152" t="s">
        <v>1555</v>
      </c>
      <c r="W1402" s="156" t="n">
        <v>45882</v>
      </c>
      <c r="X1402" s="152" t="s">
        <v>3938</v>
      </c>
      <c r="Y1402" s="152" t="s">
        <v>6292</v>
      </c>
      <c r="Z1402" s="152" t="s">
        <v>1557</v>
      </c>
      <c r="AA1402" s="153" t="n">
        <v>3.1</v>
      </c>
      <c r="AB1402" s="151" t="s">
        <v>6830</v>
      </c>
      <c r="AC1402" s="151" t="s">
        <v>186</v>
      </c>
      <c r="AD1402" s="151" t="str">
        <f aca="false">CONCATENATE($C1402,$I1402,$H1402,$N1402,$J1402,$K1402)</f>
        <v>TUBO PEADPEAD63VCAREDESZona11</v>
      </c>
      <c r="AE1402" s="153" t="n">
        <f aca="false">IFERROR(INDEX(APOIO_REDES!$A:$W,MATCH($C1402&amp;$I1402&amp;$H1402&amp;$N1402&amp;$O1402,APOIO_REDES!$W:$W,0),MATCH(AE$5,APOIO_REDES!$5:$5,0)),0)</f>
        <v>1.2</v>
      </c>
      <c r="AF1402" s="153" t="n">
        <f aca="false">IFERROR(INDEX(APOIO_REDES!$A:$W,MATCH($C1402&amp;$I1402&amp;$H1402&amp;$N1402&amp;$O1402,APOIO_REDES!$W:$W,0),MATCH(AF$5,APOIO_REDES!$5:$5,0)),0)</f>
        <v>1.363</v>
      </c>
      <c r="AG1402" s="153" t="n">
        <f aca="false">IFERROR(INDEX(APOIO_REDES!$A:$W,MATCH($C1402&amp;$I1402&amp;$H1402&amp;$N1402&amp;$O1402,APOIO_REDES!$W:$W,0),MATCH(AG$5,APOIO_REDES!$5:$5,0)),0)</f>
        <v>0.65</v>
      </c>
      <c r="AH1402" s="153" t="n">
        <f aca="false">IFERROR(INDEX(APOIO_REDES!$A:$W,MATCH($C1402&amp;$I1402&amp;$H1402&amp;$N1402&amp;$O1402,APOIO_REDES!$W:$W,0),MATCH(AH$5,APOIO_REDES!$5:$5,0)),0)</f>
        <v>0.1</v>
      </c>
      <c r="AI1402" s="153" t="n">
        <f aca="false">IFERROR(IF($H1402&lt;&gt;"",(((($H1402/1000)/2)^2)*PI()*$M1402),0),0)</f>
        <v>0.154397160230277</v>
      </c>
      <c r="AJ1402" s="153" t="n">
        <f aca="false">IFERROR(IF(AND($H1402&lt;&gt;"",$I1402="FoFo",OR($N1402="MND",$N1402="VCA"),$Q1402="LINEAR"),0,IF(AND($H1402&lt;&gt;"",$I1402="PEAD",$N1402="VCA",$Q1402="LINEAR"),($H1402/1000)+0.3,IF(AND($H1402&lt;&gt;"",$I1402="PEAD",$N1402="MND",$Q1402="EMBOQUE"),0,IF(AND($H1402&lt;&gt;"",$I1402="PVC",$N1402="VCA",$Q1402="LINEAR"),($H1402/1000)+0.2,IF(AND($H1402&lt;&gt;"",$I1402="PVC",$N1402="MND",$Q1402="EMBOQUE"),0,IF(AND($H1402&lt;&gt;"",$I1402="PEAD",$N1402="VCA",$Q1402="PREDIAL"),0,0)))))),0)</f>
        <v>0.363</v>
      </c>
      <c r="AK1402" s="153" t="n">
        <f aca="false">IF(AA1402&lt;&gt;"",AA1402,0)</f>
        <v>3.1</v>
      </c>
      <c r="AL1402" s="153" t="n">
        <f aca="false">IF(AND($N1402="MND",$Q1402="EMBOQUE"),$M1402,IF(AND($N1402="VCA",$Q1402="LINEAR"),$M1402,IF(AND($N1402="VCA",$Q1402="PREDIAL"),0,0)))</f>
        <v>49.53</v>
      </c>
      <c r="AM1402" s="153" t="n">
        <f aca="false">IF(AND($N1402="MND",$Q1402="EMBOQUE"),$M1402,IF(AND($N1402="VCA",$Q1402="LINEAR"),$M1402,IF(AND($N1402="VCA",$Q1402="PREDIAL"),0,0)))</f>
        <v>49.53</v>
      </c>
      <c r="AN1402" s="153" t="n">
        <f aca="false">ROUND(IF(AND($N1402="VCA",$M1402&lt;&gt;"",$Q1402="LINEAR"),$M1402/100,IF(AND($N1402="MND",$M1402&gt;100,$Q1402="EMBOQUE"),$M1402/100,0)),0)</f>
        <v>0</v>
      </c>
      <c r="AO1402" s="153" t="n">
        <f aca="false">IF(AND($N1402="MND",$Q1402="EMBOQUE"),$AN1402*2*2,IF(AND($N1402="VCA",$Q1402="LINEAR"),$M1402*2,IF(AND($N1402="VCA",$Q1402="PREDIAL"),0,0)))</f>
        <v>99.06</v>
      </c>
      <c r="AP1402" s="153" t="n">
        <f aca="false">IFERROR($M1402*$AF1402*$AG1402,0)</f>
        <v>43.8811035</v>
      </c>
      <c r="AQ1402" s="153" t="n">
        <f aca="false">IFERROR(IF(AND($N1402="VCA",$AH1402&gt;0),$M1402*$AG1402*$AH1402,0),0)</f>
        <v>3.21945</v>
      </c>
      <c r="AR1402" s="153" t="n">
        <f aca="false">IFERROR(IF(AND($N1402="VCA",$AJ1402&gt;0),($M1402*$AG1402*$AJ1402)-$AI1402,0),0)</f>
        <v>11.5322063397697</v>
      </c>
      <c r="AS1402" s="153" t="n">
        <f aca="false">IFERROR(IF(AND($N1402="VCA",$AP1402&gt;0),$AP1402-$AI1402-$AQ1402-$AR1402,0),0)</f>
        <v>28.97505</v>
      </c>
      <c r="AT1402" s="153" t="n">
        <f aca="false">IFERROR(IF($N1402="VCA",INDEX(APOIO_REDES!$A:$W,MATCH($C1402&amp;$I1402&amp;$H1402&amp;$N1402&amp;$O1402,APOIO_REDES!$W:$W,0),MATCH(AT$5,APOIO_REDES!$5:$5,0)),0)*$AP1402,0)</f>
        <v>0.477439394223658</v>
      </c>
      <c r="AU1402" s="153" t="n">
        <f aca="false">IFERROR(IF($N1402="VCA",INDEX(APOIO_REDES!$A:$W,MATCH($C1402&amp;$I1402&amp;$H1402&amp;$N1402&amp;$O1402,APOIO_REDES!$W:$W,0),MATCH(AU$5,APOIO_REDES!$5:$5,0)),0)*$AP1402,0)</f>
        <v>0.38127016952834</v>
      </c>
      <c r="AV1402" s="153" t="n">
        <f aca="false">IFERROR(IF($N1402="VCA",INDEX(APOIO_REDES!$A:$W,MATCH($C1402&amp;$I1402&amp;$H1402&amp;$N1402&amp;$O1402,APOIO_REDES!$W:$W,0),MATCH(AV$5,APOIO_REDES!$5:$5,0)),0)*$AP1402,0)</f>
        <v>0.0527647983745382</v>
      </c>
      <c r="AW1402" s="153" t="n">
        <f aca="false">IFERROR(IF($N1402="VCA",INDEX(APOIO_REDES!$A:$W,MATCH($C1402&amp;$I1402&amp;$H1402&amp;$N1402&amp;$O1402,APOIO_REDES!$W:$W,0),MATCH(AW$5,APOIO_REDES!$5:$5,0)),0)*$AP1402,0)</f>
        <v>30.1203294497815</v>
      </c>
      <c r="AX1402" s="153" t="n">
        <f aca="false">IFERROR(IF($N1402="VCA",INDEX(APOIO_REDES!$A:$W,MATCH($C1402&amp;$I1402&amp;$H1402&amp;$N1402&amp;$O1402,APOIO_REDES!$W:$W,0),MATCH(AX$5,APOIO_REDES!$5:$5,0)),0)*$AP1402,0)</f>
        <v>4.16856779646723</v>
      </c>
      <c r="AY1402" s="153" t="n">
        <f aca="false">IFERROR(IF($N1402="VCA",INDEX(APOIO_REDES!$A:$W,MATCH($C1402&amp;$I1402&amp;$H1402&amp;$N1402&amp;$O1402,APOIO_REDES!$W:$W,0),MATCH(AY$5,APOIO_REDES!$5:$5,0)),0)*$AP1402,0)</f>
        <v>7.62539874291434</v>
      </c>
      <c r="AZ1402" s="153" t="n">
        <f aca="false">IFERROR(IF($N1402="VCA",INDEX(APOIO_REDES!$A:$W,MATCH($C1402&amp;$I1402&amp;$H1402&amp;$N1402&amp;$O1402,APOIO_REDES!$W:$W,0),MATCH(AZ$5,APOIO_REDES!$5:$5,0)),0)*$AP1402,0)</f>
        <v>1.05533314871044</v>
      </c>
      <c r="BA1402" s="153" t="n">
        <f aca="false">IFERROR(IF(AND($N1402="VCA",$Q1402="LINEAR"),INDEX(APOIO_REDES!$A:$W,MATCH($C1402&amp;$I1402&amp;$H1402&amp;$N1402&amp;$O1402,APOIO_REDES!$W:$W,0),MATCH(BA$5,APOIO_REDES!$5:$5,0)),IF(AND($N1402="MND",$Q1402="EMBOQUE"),INDEX(APOIO_REDES!$A:$W,MATCH($C1402&amp;$I1402&amp;$H1402&amp;$N1402&amp;$O1402,APOIO_REDES!$W:$W,0),MATCH(BA$5,APOIO_REDES!$5:$5,0)),0))*$M1402/10,0)</f>
        <v>3.99199306452652</v>
      </c>
      <c r="BB1402" s="153" t="n">
        <f aca="false">IFERROR(IF($N1402="VCA",INDEX(APOIO_REDES!$A:$W,MATCH($C1402&amp;$I1402&amp;$H1402&amp;$N1402&amp;$O1402,APOIO_REDES!$W:$W,0),MATCH(BB$5,APOIO_REDES!$5:$5,0)),0)*($AI1402+$AQ1402+$AR1402),0)</f>
        <v>14.7438712259534</v>
      </c>
      <c r="BC1402" s="153" t="n">
        <f aca="false">IFERROR(IF($N1402="VCA",INDEX(APOIO_REDES!$A:$W,MATCH($C1402&amp;$I1402&amp;$H1402&amp;$N1402&amp;$O1402,APOIO_REDES!$W:$W,0),MATCH(BC$5,APOIO_REDES!$5:$5,0)),0)*($AI1402+$AQ1402+$AR1402),0)</f>
        <v>0.162182274046628</v>
      </c>
      <c r="BD1402" s="153" t="n">
        <f aca="false">IF(AND($N1402="VCA",$AF1402&gt;=1.25,$AF1402&lt;1.5),$M1402*$AF1402*2,0)</f>
        <v>135.01878</v>
      </c>
      <c r="BE1402" s="153" t="n">
        <f aca="false">IF(AND($N1402="VCA",$AF1402&gt;=1.5,$AF1402&lt;3),$M1402*$AF1402*2,0)</f>
        <v>0</v>
      </c>
      <c r="BF1402" s="153" t="n">
        <f aca="false">IF(AND($N1402="VCA",$AF1402&gt;=3),$M1402*$AF1402*2,0)</f>
        <v>0</v>
      </c>
      <c r="BG1402" s="153" t="n">
        <f aca="false">($BB1402+$BC1402)*$AK1402</f>
        <v>46.20876585</v>
      </c>
      <c r="BH1402" s="153" t="n">
        <f aca="false">IF(AND($M1402&lt;&gt;"",$N1402="VCA",$Q1402="LINEAR"),($M1402*2)/100,IF(AND($M1402&lt;&gt;"",$N1402="MND",$Q1402="EMBOQUE"),($AN1402*2)/100,0))</f>
        <v>0.9906</v>
      </c>
      <c r="BI1402" s="153" t="n">
        <f aca="false">IF(AND($M1402&lt;&gt;"",$N1402="VCA",$Q1402="LINEAR"),$M1402,IF(AND($M1402&lt;&gt;"",$N1402="MND",$Q1402="EMBOQUE"),$AN1402*2,0))</f>
        <v>49.53</v>
      </c>
      <c r="BJ1402" s="153" t="n">
        <f aca="false">IF(AND($M1402&lt;&gt;"",$N1402="VCA",$Q1402="LINEAR"),($M1402*6.8)/100,IF(AND($M1402&lt;&gt;"",$N1402="MND",$Q1402="EMBOQUE"),($AN1402*2*6.8)/100,0))</f>
        <v>3.36804</v>
      </c>
      <c r="BK1402" s="153" t="n">
        <f aca="false">IF(AND($M1402&lt;&gt;"",$N1402="VCA",$Q1402="LINEAR"),($M1402*2.5)/50,IF(AND($M1402&lt;&gt;"",$N1402="MND",$Q1402="EMBOQUE"),($AN1402*2*2.5)/50,0))</f>
        <v>2.4765</v>
      </c>
      <c r="BL1402" s="157" t="str">
        <f aca="false">K1402&amp;J1402</f>
        <v>Zona11REDES</v>
      </c>
      <c r="BM1402" s="152" t="s">
        <v>6084</v>
      </c>
      <c r="BN1402" s="152" t="s">
        <v>1560</v>
      </c>
      <c r="BO1402" s="152" t="s">
        <v>6822</v>
      </c>
      <c r="BP1402" s="152" t="s">
        <v>6823</v>
      </c>
      <c r="BQ1402" s="152" t="s">
        <v>6827</v>
      </c>
      <c r="BR1402" s="152" t="s">
        <v>6831</v>
      </c>
      <c r="BS1402" s="152" t="n">
        <v>204942.332</v>
      </c>
      <c r="BT1402" s="152" t="n">
        <v>8236350.719</v>
      </c>
      <c r="BU1402" s="152" t="n">
        <v>204894.804</v>
      </c>
      <c r="BV1402" s="152" t="n">
        <v>8236336.78</v>
      </c>
      <c r="BW1402" s="152" t="n">
        <v>-15.9346491</v>
      </c>
      <c r="BX1402" s="152" t="n">
        <v>-47.756184</v>
      </c>
      <c r="BY1402" s="152" t="s">
        <v>6823</v>
      </c>
    </row>
    <row r="1403" customFormat="false" ht="13.8" hidden="false" customHeight="false" outlineLevel="0" collapsed="false">
      <c r="A1403" s="149" t="n">
        <f aca="false">IF(C1403&lt;&gt;"",ROW(A1398),"")</f>
        <v>1398</v>
      </c>
      <c r="B1403" s="150" t="str">
        <f aca="false">HYPERLINK("https://www.google.com/maps/dir/-15.917302,-47.760003/-15.9350079,-47.7557906/data=!4m3!4m2!3e0!5i1")</f>
        <v>https://www.google.com/maps/dir/-15.917302,-47.760003/-15.9350079,-47.7557906/data=!4m3!4m2!3e0!5i1</v>
      </c>
      <c r="C1403" s="151" t="s">
        <v>117</v>
      </c>
      <c r="D1403" s="152" t="s">
        <v>112</v>
      </c>
      <c r="E1403" s="152" t="s">
        <v>113</v>
      </c>
      <c r="F1403" s="152" t="s">
        <v>117</v>
      </c>
      <c r="G1403" s="152" t="s">
        <v>782</v>
      </c>
      <c r="H1403" s="152" t="n">
        <v>63</v>
      </c>
      <c r="I1403" s="152" t="s">
        <v>115</v>
      </c>
      <c r="J1403" s="152" t="s">
        <v>6</v>
      </c>
      <c r="K1403" s="152" t="s">
        <v>6081</v>
      </c>
      <c r="L1403" s="152" t="s">
        <v>120</v>
      </c>
      <c r="M1403" s="153" t="n">
        <f aca="false">49.92</f>
        <v>49.92</v>
      </c>
      <c r="N1403" s="152" t="s">
        <v>1548</v>
      </c>
      <c r="O1403" s="152" t="s">
        <v>1549</v>
      </c>
      <c r="P1403" s="152" t="s">
        <v>1550</v>
      </c>
      <c r="Q1403" s="152" t="s">
        <v>1551</v>
      </c>
      <c r="R1403" s="154" t="s">
        <v>6832</v>
      </c>
      <c r="S1403" s="154" t="s">
        <v>1553</v>
      </c>
      <c r="T1403" s="155" t="s">
        <v>6820</v>
      </c>
      <c r="U1403" s="152" t="str">
        <f aca="false">RIGHT(T1403,7)</f>
        <v>025/037</v>
      </c>
      <c r="V1403" s="152" t="s">
        <v>1555</v>
      </c>
      <c r="W1403" s="156" t="n">
        <v>45882</v>
      </c>
      <c r="X1403" s="152" t="s">
        <v>3938</v>
      </c>
      <c r="Y1403" s="152" t="s">
        <v>6292</v>
      </c>
      <c r="Z1403" s="152" t="s">
        <v>1557</v>
      </c>
      <c r="AA1403" s="153" t="n">
        <v>3.2</v>
      </c>
      <c r="AB1403" s="151" t="s">
        <v>6833</v>
      </c>
      <c r="AC1403" s="151" t="s">
        <v>186</v>
      </c>
      <c r="AD1403" s="151" t="str">
        <f aca="false">CONCATENATE($C1403,$I1403,$H1403,$N1403,$J1403,$K1403)</f>
        <v>TUBO PEADPEAD63VCAREDESZona11</v>
      </c>
      <c r="AE1403" s="153" t="n">
        <f aca="false">IFERROR(INDEX(APOIO_REDES!$A:$W,MATCH($C1403&amp;$I1403&amp;$H1403&amp;$N1403&amp;$O1403,APOIO_REDES!$W:$W,0),MATCH(AE$5,APOIO_REDES!$5:$5,0)),0)</f>
        <v>1.2</v>
      </c>
      <c r="AF1403" s="153" t="n">
        <f aca="false">IFERROR(INDEX(APOIO_REDES!$A:$W,MATCH($C1403&amp;$I1403&amp;$H1403&amp;$N1403&amp;$O1403,APOIO_REDES!$W:$W,0),MATCH(AF$5,APOIO_REDES!$5:$5,0)),0)</f>
        <v>1.363</v>
      </c>
      <c r="AG1403" s="153" t="n">
        <f aca="false">IFERROR(INDEX(APOIO_REDES!$A:$W,MATCH($C1403&amp;$I1403&amp;$H1403&amp;$N1403&amp;$O1403,APOIO_REDES!$W:$W,0),MATCH(AG$5,APOIO_REDES!$5:$5,0)),0)</f>
        <v>0.65</v>
      </c>
      <c r="AH1403" s="153" t="n">
        <f aca="false">IFERROR(INDEX(APOIO_REDES!$A:$W,MATCH($C1403&amp;$I1403&amp;$H1403&amp;$N1403&amp;$O1403,APOIO_REDES!$W:$W,0),MATCH(AH$5,APOIO_REDES!$5:$5,0)),0)</f>
        <v>0.1</v>
      </c>
      <c r="AI1403" s="153" t="n">
        <f aca="false">IFERROR(IF($H1403&lt;&gt;"",(((($H1403/1000)/2)^2)*PI()*$M1403),0),0)</f>
        <v>0.155612885901382</v>
      </c>
      <c r="AJ1403" s="153" t="n">
        <f aca="false">IFERROR(IF(AND($H1403&lt;&gt;"",$I1403="FoFo",OR($N1403="MND",$N1403="VCA"),$Q1403="LINEAR"),0,IF(AND($H1403&lt;&gt;"",$I1403="PEAD",$N1403="VCA",$Q1403="LINEAR"),($H1403/1000)+0.3,IF(AND($H1403&lt;&gt;"",$I1403="PEAD",$N1403="MND",$Q1403="EMBOQUE"),0,IF(AND($H1403&lt;&gt;"",$I1403="PVC",$N1403="VCA",$Q1403="LINEAR"),($H1403/1000)+0.2,IF(AND($H1403&lt;&gt;"",$I1403="PVC",$N1403="MND",$Q1403="EMBOQUE"),0,IF(AND($H1403&lt;&gt;"",$I1403="PEAD",$N1403="VCA",$Q1403="PREDIAL"),0,0)))))),0)</f>
        <v>0.363</v>
      </c>
      <c r="AK1403" s="153" t="n">
        <f aca="false">IF(AA1403&lt;&gt;"",AA1403,0)</f>
        <v>3.2</v>
      </c>
      <c r="AL1403" s="153" t="n">
        <f aca="false">IF(AND($N1403="MND",$Q1403="EMBOQUE"),$M1403,IF(AND($N1403="VCA",$Q1403="LINEAR"),$M1403,IF(AND($N1403="VCA",$Q1403="PREDIAL"),0,0)))</f>
        <v>49.92</v>
      </c>
      <c r="AM1403" s="153" t="n">
        <f aca="false">IF(AND($N1403="MND",$Q1403="EMBOQUE"),$M1403,IF(AND($N1403="VCA",$Q1403="LINEAR"),$M1403,IF(AND($N1403="VCA",$Q1403="PREDIAL"),0,0)))</f>
        <v>49.92</v>
      </c>
      <c r="AN1403" s="153" t="n">
        <f aca="false">ROUND(IF(AND($N1403="VCA",$M1403&lt;&gt;"",$Q1403="LINEAR"),$M1403/100,IF(AND($N1403="MND",$M1403&gt;100,$Q1403="EMBOQUE"),$M1403/100,0)),0)</f>
        <v>0</v>
      </c>
      <c r="AO1403" s="153" t="n">
        <f aca="false">IF(AND($N1403="MND",$Q1403="EMBOQUE"),$AN1403*2*2,IF(AND($N1403="VCA",$Q1403="LINEAR"),$M1403*2,IF(AND($N1403="VCA",$Q1403="PREDIAL"),0,0)))</f>
        <v>99.84</v>
      </c>
      <c r="AP1403" s="153" t="n">
        <f aca="false">IFERROR($M1403*$AF1403*$AG1403,0)</f>
        <v>44.226624</v>
      </c>
      <c r="AQ1403" s="153" t="n">
        <f aca="false">IFERROR(IF(AND($N1403="VCA",$AH1403&gt;0),$M1403*$AG1403*$AH1403,0),0)</f>
        <v>3.2448</v>
      </c>
      <c r="AR1403" s="153" t="n">
        <f aca="false">IFERROR(IF(AND($N1403="VCA",$AJ1403&gt;0),($M1403*$AG1403*$AJ1403)-$AI1403,0),0)</f>
        <v>11.6230111140986</v>
      </c>
      <c r="AS1403" s="153" t="n">
        <f aca="false">IFERROR(IF(AND($N1403="VCA",$AP1403&gt;0),$AP1403-$AI1403-$AQ1403-$AR1403,0),0)</f>
        <v>29.2032</v>
      </c>
      <c r="AT1403" s="153" t="n">
        <f aca="false">IFERROR(IF($N1403="VCA",INDEX(APOIO_REDES!$A:$W,MATCH($C1403&amp;$I1403&amp;$H1403&amp;$N1403&amp;$O1403,APOIO_REDES!$W:$W,0),MATCH(AT$5,APOIO_REDES!$5:$5,0)),0)*$AP1403,0)</f>
        <v>0.481198759532505</v>
      </c>
      <c r="AU1403" s="153" t="n">
        <f aca="false">IFERROR(IF($N1403="VCA",INDEX(APOIO_REDES!$A:$W,MATCH($C1403&amp;$I1403&amp;$H1403&amp;$N1403&amp;$O1403,APOIO_REDES!$W:$W,0),MATCH(AU$5,APOIO_REDES!$5:$5,0)),0)*$AP1403,0)</f>
        <v>0.384272296847461</v>
      </c>
      <c r="AV1403" s="153" t="n">
        <f aca="false">IFERROR(IF($N1403="VCA",INDEX(APOIO_REDES!$A:$W,MATCH($C1403&amp;$I1403&amp;$H1403&amp;$N1403&amp;$O1403,APOIO_REDES!$W:$W,0),MATCH(AV$5,APOIO_REDES!$5:$5,0)),0)*$AP1403,0)</f>
        <v>0.053180269227881</v>
      </c>
      <c r="AW1403" s="153" t="n">
        <f aca="false">IFERROR(IF($N1403="VCA",INDEX(APOIO_REDES!$A:$W,MATCH($C1403&amp;$I1403&amp;$H1403&amp;$N1403&amp;$O1403,APOIO_REDES!$W:$W,0),MATCH(AW$5,APOIO_REDES!$5:$5,0)),0)*$AP1403,0)</f>
        <v>30.3574973982049</v>
      </c>
      <c r="AX1403" s="153" t="n">
        <f aca="false">IFERROR(IF($N1403="VCA",INDEX(APOIO_REDES!$A:$W,MATCH($C1403&amp;$I1403&amp;$H1403&amp;$N1403&amp;$O1403,APOIO_REDES!$W:$W,0),MATCH(AX$5,APOIO_REDES!$5:$5,0)),0)*$AP1403,0)</f>
        <v>4.20139116494335</v>
      </c>
      <c r="AY1403" s="153" t="n">
        <f aca="false">IFERROR(IF($N1403="VCA",INDEX(APOIO_REDES!$A:$W,MATCH($C1403&amp;$I1403&amp;$H1403&amp;$N1403&amp;$O1403,APOIO_REDES!$W:$W,0),MATCH(AY$5,APOIO_REDES!$5:$5,0)),0)*$AP1403,0)</f>
        <v>7.68544125270106</v>
      </c>
      <c r="AZ1403" s="153" t="n">
        <f aca="false">IFERROR(IF($N1403="VCA",INDEX(APOIO_REDES!$A:$W,MATCH($C1403&amp;$I1403&amp;$H1403&amp;$N1403&amp;$O1403,APOIO_REDES!$W:$W,0),MATCH(AZ$5,APOIO_REDES!$5:$5,0)),0)*$AP1403,0)</f>
        <v>1.06364285854281</v>
      </c>
      <c r="BA1403" s="153" t="n">
        <f aca="false">IFERROR(IF(AND($N1403="VCA",$Q1403="LINEAR"),INDEX(APOIO_REDES!$A:$W,MATCH($C1403&amp;$I1403&amp;$H1403&amp;$N1403&amp;$O1403,APOIO_REDES!$W:$W,0),MATCH(BA$5,APOIO_REDES!$5:$5,0)),IF(AND($N1403="MND",$Q1403="EMBOQUE"),INDEX(APOIO_REDES!$A:$W,MATCH($C1403&amp;$I1403&amp;$H1403&amp;$N1403&amp;$O1403,APOIO_REDES!$W:$W,0),MATCH(BA$5,APOIO_REDES!$5:$5,0)),0))*$M1403/10,0)</f>
        <v>4.02342608078263</v>
      </c>
      <c r="BB1403" s="153" t="n">
        <f aca="false">IFERROR(IF($N1403="VCA",INDEX(APOIO_REDES!$A:$W,MATCH($C1403&amp;$I1403&amp;$H1403&amp;$N1403&amp;$O1403,APOIO_REDES!$W:$W,0),MATCH(BB$5,APOIO_REDES!$5:$5,0)),0)*($AI1403+$AQ1403+$AR1403),0)</f>
        <v>14.8599647001735</v>
      </c>
      <c r="BC1403" s="153" t="n">
        <f aca="false">IFERROR(IF($N1403="VCA",INDEX(APOIO_REDES!$A:$W,MATCH($C1403&amp;$I1403&amp;$H1403&amp;$N1403&amp;$O1403,APOIO_REDES!$W:$W,0),MATCH(BC$5,APOIO_REDES!$5:$5,0)),0)*($AI1403+$AQ1403+$AR1403),0)</f>
        <v>0.163459299826522</v>
      </c>
      <c r="BD1403" s="153" t="n">
        <f aca="false">IF(AND($N1403="VCA",$AF1403&gt;=1.25,$AF1403&lt;1.5),$M1403*$AF1403*2,0)</f>
        <v>136.08192</v>
      </c>
      <c r="BE1403" s="153" t="n">
        <f aca="false">IF(AND($N1403="VCA",$AF1403&gt;=1.5,$AF1403&lt;3),$M1403*$AF1403*2,0)</f>
        <v>0</v>
      </c>
      <c r="BF1403" s="153" t="n">
        <f aca="false">IF(AND($N1403="VCA",$AF1403&gt;=3),$M1403*$AF1403*2,0)</f>
        <v>0</v>
      </c>
      <c r="BG1403" s="153" t="n">
        <f aca="false">($BB1403+$BC1403)*$AK1403</f>
        <v>48.0749568</v>
      </c>
      <c r="BH1403" s="153" t="n">
        <f aca="false">IF(AND($M1403&lt;&gt;"",$N1403="VCA",$Q1403="LINEAR"),($M1403*2)/100,IF(AND($M1403&lt;&gt;"",$N1403="MND",$Q1403="EMBOQUE"),($AN1403*2)/100,0))</f>
        <v>0.9984</v>
      </c>
      <c r="BI1403" s="153" t="n">
        <f aca="false">IF(AND($M1403&lt;&gt;"",$N1403="VCA",$Q1403="LINEAR"),$M1403,IF(AND($M1403&lt;&gt;"",$N1403="MND",$Q1403="EMBOQUE"),$AN1403*2,0))</f>
        <v>49.92</v>
      </c>
      <c r="BJ1403" s="153" t="n">
        <f aca="false">IF(AND($M1403&lt;&gt;"",$N1403="VCA",$Q1403="LINEAR"),($M1403*6.8)/100,IF(AND($M1403&lt;&gt;"",$N1403="MND",$Q1403="EMBOQUE"),($AN1403*2*6.8)/100,0))</f>
        <v>3.39456</v>
      </c>
      <c r="BK1403" s="153" t="n">
        <f aca="false">IF(AND($M1403&lt;&gt;"",$N1403="VCA",$Q1403="LINEAR"),($M1403*2.5)/50,IF(AND($M1403&lt;&gt;"",$N1403="MND",$Q1403="EMBOQUE"),($AN1403*2*2.5)/50,0))</f>
        <v>2.496</v>
      </c>
      <c r="BL1403" s="157" t="str">
        <f aca="false">K1403&amp;J1403</f>
        <v>Zona11REDES</v>
      </c>
      <c r="BM1403" s="152" t="s">
        <v>6084</v>
      </c>
      <c r="BN1403" s="152" t="s">
        <v>1560</v>
      </c>
      <c r="BO1403" s="152" t="s">
        <v>6822</v>
      </c>
      <c r="BP1403" s="152" t="s">
        <v>6834</v>
      </c>
      <c r="BQ1403" s="152" t="s">
        <v>6823</v>
      </c>
      <c r="BR1403" s="152" t="s">
        <v>6835</v>
      </c>
      <c r="BS1403" s="152" t="n">
        <v>204961.239</v>
      </c>
      <c r="BT1403" s="152" t="n">
        <v>8236304.583</v>
      </c>
      <c r="BU1403" s="152" t="n">
        <v>204942.332</v>
      </c>
      <c r="BV1403" s="152" t="n">
        <v>8236350.719</v>
      </c>
      <c r="BW1403" s="152" t="n">
        <v>-15.9347963</v>
      </c>
      <c r="BX1403" s="152" t="n">
        <v>-47.7558703</v>
      </c>
      <c r="BY1403" s="152" t="s">
        <v>6834</v>
      </c>
    </row>
    <row r="1404" customFormat="false" ht="13.8" hidden="false" customHeight="false" outlineLevel="0" collapsed="false">
      <c r="A1404" s="149" t="n">
        <f aca="false">IF(C1404&lt;&gt;"",ROW(A1399),"")</f>
        <v>1399</v>
      </c>
      <c r="B1404" s="150" t="str">
        <f aca="false">HYPERLINK("https://www.google.com/maps/dir/-15.917302,-47.760003/-15.9341368,-47.7575465/data=!4m3!4m2!3e0!5i1")</f>
        <v>https://www.google.com/maps/dir/-15.917302,-47.760003/-15.9341368,-47.7575465/data=!4m3!4m2!3e0!5i1</v>
      </c>
      <c r="C1404" s="151" t="s">
        <v>117</v>
      </c>
      <c r="D1404" s="152" t="s">
        <v>112</v>
      </c>
      <c r="E1404" s="152" t="s">
        <v>113</v>
      </c>
      <c r="F1404" s="152" t="s">
        <v>117</v>
      </c>
      <c r="G1404" s="152" t="s">
        <v>782</v>
      </c>
      <c r="H1404" s="152" t="n">
        <v>90</v>
      </c>
      <c r="I1404" s="152" t="s">
        <v>115</v>
      </c>
      <c r="J1404" s="152" t="s">
        <v>6</v>
      </c>
      <c r="K1404" s="152" t="s">
        <v>6081</v>
      </c>
      <c r="L1404" s="152" t="s">
        <v>120</v>
      </c>
      <c r="M1404" s="153" t="n">
        <f aca="false">165.61+0.44</f>
        <v>166.05</v>
      </c>
      <c r="N1404" s="152" t="s">
        <v>1548</v>
      </c>
      <c r="O1404" s="152" t="s">
        <v>1549</v>
      </c>
      <c r="P1404" s="152" t="s">
        <v>1550</v>
      </c>
      <c r="Q1404" s="152" t="s">
        <v>1551</v>
      </c>
      <c r="R1404" s="154" t="s">
        <v>6836</v>
      </c>
      <c r="S1404" s="154" t="s">
        <v>1593</v>
      </c>
      <c r="T1404" s="155" t="s">
        <v>6820</v>
      </c>
      <c r="U1404" s="152" t="str">
        <f aca="false">RIGHT(T1404,7)</f>
        <v>025/037</v>
      </c>
      <c r="V1404" s="152" t="s">
        <v>1555</v>
      </c>
      <c r="W1404" s="156" t="n">
        <v>45882</v>
      </c>
      <c r="X1404" s="152" t="s">
        <v>1594</v>
      </c>
      <c r="Y1404" s="152" t="s">
        <v>6837</v>
      </c>
      <c r="Z1404" s="152" t="s">
        <v>1557</v>
      </c>
      <c r="AA1404" s="153" t="n">
        <v>3.2</v>
      </c>
      <c r="AB1404" s="151" t="s">
        <v>6838</v>
      </c>
      <c r="AC1404" s="151" t="s">
        <v>526</v>
      </c>
      <c r="AD1404" s="151" t="str">
        <f aca="false">CONCATENATE($C1404,$I1404,$H1404,$N1404,$J1404,$K1404)</f>
        <v>TUBO PEADPEAD90VCAREDESZona11</v>
      </c>
      <c r="AE1404" s="153" t="n">
        <f aca="false">IFERROR(INDEX(APOIO_REDES!$A:$W,MATCH($C1404&amp;$I1404&amp;$H1404&amp;$N1404&amp;$O1404,APOIO_REDES!$W:$W,0),MATCH(AE$5,APOIO_REDES!$5:$5,0)),0)</f>
        <v>1.2</v>
      </c>
      <c r="AF1404" s="153" t="n">
        <f aca="false">IFERROR(INDEX(APOIO_REDES!$A:$W,MATCH($C1404&amp;$I1404&amp;$H1404&amp;$N1404&amp;$O1404,APOIO_REDES!$W:$W,0),MATCH(AF$5,APOIO_REDES!$5:$5,0)),0)</f>
        <v>1.39</v>
      </c>
      <c r="AG1404" s="153" t="n">
        <f aca="false">IFERROR(INDEX(APOIO_REDES!$A:$W,MATCH($C1404&amp;$I1404&amp;$H1404&amp;$N1404&amp;$O1404,APOIO_REDES!$W:$W,0),MATCH(AG$5,APOIO_REDES!$5:$5,0)),0)</f>
        <v>0.75</v>
      </c>
      <c r="AH1404" s="153" t="n">
        <f aca="false">IFERROR(INDEX(APOIO_REDES!$A:$W,MATCH($C1404&amp;$I1404&amp;$H1404&amp;$N1404&amp;$O1404,APOIO_REDES!$W:$W,0),MATCH(AH$5,APOIO_REDES!$5:$5,0)),0)</f>
        <v>0.1</v>
      </c>
      <c r="AI1404" s="153" t="n">
        <f aca="false">IFERROR(IF($H1404&lt;&gt;"",(((($H1404/1000)/2)^2)*PI()*$M1404),0),0)</f>
        <v>1.05636445676039</v>
      </c>
      <c r="AJ1404" s="153" t="n">
        <f aca="false">IFERROR(IF(AND($H1404&lt;&gt;"",$I1404="FoFo",OR($N1404="MND",$N1404="VCA"),$Q1404="LINEAR"),0,IF(AND($H1404&lt;&gt;"",$I1404="PEAD",$N1404="VCA",$Q1404="LINEAR"),($H1404/1000)+0.3,IF(AND($H1404&lt;&gt;"",$I1404="PEAD",$N1404="MND",$Q1404="EMBOQUE"),0,IF(AND($H1404&lt;&gt;"",$I1404="PVC",$N1404="VCA",$Q1404="LINEAR"),($H1404/1000)+0.2,IF(AND($H1404&lt;&gt;"",$I1404="PVC",$N1404="MND",$Q1404="EMBOQUE"),0,IF(AND($H1404&lt;&gt;"",$I1404="PEAD",$N1404="VCA",$Q1404="PREDIAL"),0,0)))))),0)</f>
        <v>0.39</v>
      </c>
      <c r="AK1404" s="153" t="n">
        <f aca="false">IF(AA1404&lt;&gt;"",AA1404,0)</f>
        <v>3.2</v>
      </c>
      <c r="AL1404" s="153" t="n">
        <f aca="false">IF(AND($N1404="MND",$Q1404="EMBOQUE"),$M1404,IF(AND($N1404="VCA",$Q1404="LINEAR"),$M1404,IF(AND($N1404="VCA",$Q1404="PREDIAL"),0,0)))</f>
        <v>166.05</v>
      </c>
      <c r="AM1404" s="153" t="n">
        <f aca="false">IF(AND($N1404="MND",$Q1404="EMBOQUE"),$M1404,IF(AND($N1404="VCA",$Q1404="LINEAR"),$M1404,IF(AND($N1404="VCA",$Q1404="PREDIAL"),0,0)))</f>
        <v>166.05</v>
      </c>
      <c r="AN1404" s="153" t="n">
        <f aca="false">ROUND(IF(AND($N1404="VCA",$M1404&lt;&gt;"",$Q1404="LINEAR"),$M1404/100,IF(AND($N1404="MND",$M1404&gt;100,$Q1404="EMBOQUE"),$M1404/100,0)),0)</f>
        <v>2</v>
      </c>
      <c r="AO1404" s="153" t="n">
        <f aca="false">IF(AND($N1404="MND",$Q1404="EMBOQUE"),$AN1404*2*2,IF(AND($N1404="VCA",$Q1404="LINEAR"),$M1404*2,IF(AND($N1404="VCA",$Q1404="PREDIAL"),0,0)))</f>
        <v>332.1</v>
      </c>
      <c r="AP1404" s="153" t="n">
        <f aca="false">IFERROR($M1404*$AF1404*$AG1404,0)</f>
        <v>173.107125</v>
      </c>
      <c r="AQ1404" s="153" t="n">
        <f aca="false">IFERROR(IF(AND($N1404="VCA",$AH1404&gt;0),$M1404*$AG1404*$AH1404,0),0)</f>
        <v>12.45375</v>
      </c>
      <c r="AR1404" s="153" t="n">
        <f aca="false">IFERROR(IF(AND($N1404="VCA",$AJ1404&gt;0),($M1404*$AG1404*$AJ1404)-$AI1404,0),0)</f>
        <v>47.5132605432396</v>
      </c>
      <c r="AS1404" s="153" t="n">
        <f aca="false">IFERROR(IF(AND($N1404="VCA",$AP1404&gt;0),$AP1404-$AI1404-$AQ1404-$AR1404,0),0)</f>
        <v>112.08375</v>
      </c>
      <c r="AT1404" s="153" t="n">
        <f aca="false">IFERROR(IF($N1404="VCA",INDEX(APOIO_REDES!$A:$W,MATCH($C1404&amp;$I1404&amp;$H1404&amp;$N1404&amp;$O1404,APOIO_REDES!$W:$W,0),MATCH(AT$5,APOIO_REDES!$5:$5,0)),0)*$AP1404,0)</f>
        <v>1.88345675709361</v>
      </c>
      <c r="AU1404" s="153" t="n">
        <f aca="false">IFERROR(IF($N1404="VCA",INDEX(APOIO_REDES!$A:$W,MATCH($C1404&amp;$I1404&amp;$H1404&amp;$N1404&amp;$O1404,APOIO_REDES!$W:$W,0),MATCH(AU$5,APOIO_REDES!$5:$5,0)),0)*$AP1404,0)</f>
        <v>1.5040775557368</v>
      </c>
      <c r="AV1404" s="153" t="n">
        <f aca="false">IFERROR(IF($N1404="VCA",INDEX(APOIO_REDES!$A:$W,MATCH($C1404&amp;$I1404&amp;$H1404&amp;$N1404&amp;$O1404,APOIO_REDES!$W:$W,0),MATCH(AV$5,APOIO_REDES!$5:$5,0)),0)*$AP1404,0)</f>
        <v>0.208152526242212</v>
      </c>
      <c r="AW1404" s="153" t="n">
        <f aca="false">IFERROR(IF($N1404="VCA",INDEX(APOIO_REDES!$A:$W,MATCH($C1404&amp;$I1404&amp;$H1404&amp;$N1404&amp;$O1404,APOIO_REDES!$W:$W,0),MATCH(AW$5,APOIO_REDES!$5:$5,0)),0)*$AP1404,0)</f>
        <v>118.822071899457</v>
      </c>
      <c r="AX1404" s="153" t="n">
        <f aca="false">IFERROR(IF($N1404="VCA",INDEX(APOIO_REDES!$A:$W,MATCH($C1404&amp;$I1404&amp;$H1404&amp;$N1404&amp;$O1404,APOIO_REDES!$W:$W,0),MATCH(AX$5,APOIO_REDES!$5:$5,0)),0)*$AP1404,0)</f>
        <v>16.4446362798061</v>
      </c>
      <c r="AY1404" s="153" t="n">
        <f aca="false">IFERROR(IF($N1404="VCA",INDEX(APOIO_REDES!$A:$W,MATCH($C1404&amp;$I1404&amp;$H1404&amp;$N1404&amp;$O1404,APOIO_REDES!$W:$W,0),MATCH(AY$5,APOIO_REDES!$5:$5,0)),0)*$AP1404,0)</f>
        <v>30.0815327801525</v>
      </c>
      <c r="AZ1404" s="153" t="n">
        <f aca="false">IFERROR(IF($N1404="VCA",INDEX(APOIO_REDES!$A:$W,MATCH($C1404&amp;$I1404&amp;$H1404&amp;$N1404&amp;$O1404,APOIO_REDES!$W:$W,0),MATCH(AZ$5,APOIO_REDES!$5:$5,0)),0)*$AP1404,0)</f>
        <v>4.16319720151208</v>
      </c>
      <c r="BA1404" s="153" t="n">
        <f aca="false">IFERROR(IF(AND($N1404="VCA",$Q1404="LINEAR"),INDEX(APOIO_REDES!$A:$W,MATCH($C1404&amp;$I1404&amp;$H1404&amp;$N1404&amp;$O1404,APOIO_REDES!$W:$W,0),MATCH(BA$5,APOIO_REDES!$5:$5,0)),IF(AND($N1404="MND",$Q1404="EMBOQUE"),INDEX(APOIO_REDES!$A:$W,MATCH($C1404&amp;$I1404&amp;$H1404&amp;$N1404&amp;$O1404,APOIO_REDES!$W:$W,0),MATCH(BA$5,APOIO_REDES!$5:$5,0)),0))*$M1404/10,0)</f>
        <v>13.3832111521225</v>
      </c>
      <c r="BB1404" s="153" t="n">
        <f aca="false">IFERROR(IF($N1404="VCA",INDEX(APOIO_REDES!$A:$W,MATCH($C1404&amp;$I1404&amp;$H1404&amp;$N1404&amp;$O1404,APOIO_REDES!$W:$W,0),MATCH(BB$5,APOIO_REDES!$5:$5,0)),0)*($AI1404+$AQ1404+$AR1404),0)</f>
        <v>60.359422618003</v>
      </c>
      <c r="BC1404" s="153" t="n">
        <f aca="false">IFERROR(IF($N1404="VCA",INDEX(APOIO_REDES!$A:$W,MATCH($C1404&amp;$I1404&amp;$H1404&amp;$N1404&amp;$O1404,APOIO_REDES!$W:$W,0),MATCH(BC$5,APOIO_REDES!$5:$5,0)),0)*($AI1404+$AQ1404+$AR1404),0)</f>
        <v>0.663952381997027</v>
      </c>
      <c r="BD1404" s="153" t="n">
        <f aca="false">IF(AND($N1404="VCA",$AF1404&gt;=1.25,$AF1404&lt;1.5),$M1404*$AF1404*2,0)</f>
        <v>461.619</v>
      </c>
      <c r="BE1404" s="153" t="n">
        <f aca="false">IF(AND($N1404="VCA",$AF1404&gt;=1.5,$AF1404&lt;3),$M1404*$AF1404*2,0)</f>
        <v>0</v>
      </c>
      <c r="BF1404" s="153" t="n">
        <f aca="false">IF(AND($N1404="VCA",$AF1404&gt;=3),$M1404*$AF1404*2,0)</f>
        <v>0</v>
      </c>
      <c r="BG1404" s="153" t="n">
        <f aca="false">($BB1404+$BC1404)*$AK1404</f>
        <v>195.2748</v>
      </c>
      <c r="BH1404" s="153" t="n">
        <f aca="false">IF(AND($M1404&lt;&gt;"",$N1404="VCA",$Q1404="LINEAR"),($M1404*2)/100,IF(AND($M1404&lt;&gt;"",$N1404="MND",$Q1404="EMBOQUE"),($AN1404*2)/100,0))</f>
        <v>3.321</v>
      </c>
      <c r="BI1404" s="153" t="n">
        <f aca="false">IF(AND($M1404&lt;&gt;"",$N1404="VCA",$Q1404="LINEAR"),$M1404,IF(AND($M1404&lt;&gt;"",$N1404="MND",$Q1404="EMBOQUE"),$AN1404*2,0))</f>
        <v>166.05</v>
      </c>
      <c r="BJ1404" s="153" t="n">
        <f aca="false">IF(AND($M1404&lt;&gt;"",$N1404="VCA",$Q1404="LINEAR"),($M1404*6.8)/100,IF(AND($M1404&lt;&gt;"",$N1404="MND",$Q1404="EMBOQUE"),($AN1404*2*6.8)/100,0))</f>
        <v>11.2914</v>
      </c>
      <c r="BK1404" s="153" t="n">
        <f aca="false">IF(AND($M1404&lt;&gt;"",$N1404="VCA",$Q1404="LINEAR"),($M1404*2.5)/50,IF(AND($M1404&lt;&gt;"",$N1404="MND",$Q1404="EMBOQUE"),($AN1404*2*2.5)/50,0))</f>
        <v>8.3025</v>
      </c>
      <c r="BL1404" s="157" t="str">
        <f aca="false">K1404&amp;J1404</f>
        <v>Zona11REDES</v>
      </c>
      <c r="BM1404" s="152" t="s">
        <v>6084</v>
      </c>
      <c r="BN1404" s="152" t="s">
        <v>1560</v>
      </c>
      <c r="BO1404" s="152" t="s">
        <v>6822</v>
      </c>
      <c r="BP1404" s="152" t="s">
        <v>6289</v>
      </c>
      <c r="BQ1404" s="152" t="s">
        <v>6839</v>
      </c>
      <c r="BR1404" s="152" t="s">
        <v>6840</v>
      </c>
      <c r="BS1404" s="152" t="n">
        <v>204771.856</v>
      </c>
      <c r="BT1404" s="152" t="n">
        <v>8236398.549</v>
      </c>
      <c r="BU1404" s="152" t="n">
        <v>204818.671</v>
      </c>
      <c r="BV1404" s="152" t="n">
        <v>8236239.706</v>
      </c>
      <c r="BW1404" s="152" t="n">
        <v>-15.9348567</v>
      </c>
      <c r="BX1404" s="152" t="n">
        <v>-47.7573378</v>
      </c>
      <c r="BY1404" s="152" t="s">
        <v>6289</v>
      </c>
    </row>
    <row r="1405" customFormat="false" ht="13.8" hidden="false" customHeight="false" outlineLevel="0" collapsed="false">
      <c r="A1405" s="149" t="n">
        <f aca="false">IF(C1405&lt;&gt;"",ROW(A1400),"")</f>
        <v>1400</v>
      </c>
      <c r="B1405" s="150" t="str">
        <f aca="false">HYPERLINK("https://www.google.com/maps/dir/-15.917302,-47.760003/-15.9343183,-47.7569992/data=!4m3!4m2!3e0!5i1")</f>
        <v>https://www.google.com/maps/dir/-15.917302,-47.760003/-15.9343183,-47.7569992/data=!4m3!4m2!3e0!5i1</v>
      </c>
      <c r="C1405" s="151" t="s">
        <v>117</v>
      </c>
      <c r="D1405" s="152" t="s">
        <v>112</v>
      </c>
      <c r="E1405" s="152" t="s">
        <v>113</v>
      </c>
      <c r="F1405" s="152" t="s">
        <v>117</v>
      </c>
      <c r="G1405" s="152" t="s">
        <v>782</v>
      </c>
      <c r="H1405" s="152" t="n">
        <v>63</v>
      </c>
      <c r="I1405" s="152" t="s">
        <v>115</v>
      </c>
      <c r="J1405" s="152" t="s">
        <v>6</v>
      </c>
      <c r="K1405" s="152" t="s">
        <v>6081</v>
      </c>
      <c r="L1405" s="152" t="s">
        <v>120</v>
      </c>
      <c r="M1405" s="153" t="n">
        <f aca="false">131.47+4</f>
        <v>135.47</v>
      </c>
      <c r="N1405" s="152" t="s">
        <v>1548</v>
      </c>
      <c r="O1405" s="152" t="s">
        <v>1549</v>
      </c>
      <c r="P1405" s="152" t="s">
        <v>1550</v>
      </c>
      <c r="Q1405" s="152" t="s">
        <v>1551</v>
      </c>
      <c r="R1405" s="154" t="s">
        <v>6841</v>
      </c>
      <c r="S1405" s="154" t="s">
        <v>1553</v>
      </c>
      <c r="T1405" s="155" t="s">
        <v>6820</v>
      </c>
      <c r="U1405" s="152" t="str">
        <f aca="false">RIGHT(T1405,7)</f>
        <v>025/037</v>
      </c>
      <c r="V1405" s="152" t="s">
        <v>1555</v>
      </c>
      <c r="W1405" s="156" t="n">
        <v>45882</v>
      </c>
      <c r="X1405" s="152" t="s">
        <v>3938</v>
      </c>
      <c r="Y1405" s="152" t="s">
        <v>6292</v>
      </c>
      <c r="Z1405" s="152" t="s">
        <v>1557</v>
      </c>
      <c r="AA1405" s="153" t="n">
        <v>3.3</v>
      </c>
      <c r="AB1405" s="151" t="s">
        <v>6842</v>
      </c>
      <c r="AC1405" s="151" t="s">
        <v>186</v>
      </c>
      <c r="AD1405" s="151" t="str">
        <f aca="false">CONCATENATE($C1405,$I1405,$H1405,$N1405,$J1405,$K1405)</f>
        <v>TUBO PEADPEAD63VCAREDESZona11</v>
      </c>
      <c r="AE1405" s="153" t="n">
        <f aca="false">IFERROR(INDEX(APOIO_REDES!$A:$W,MATCH($C1405&amp;$I1405&amp;$H1405&amp;$N1405&amp;$O1405,APOIO_REDES!$W:$W,0),MATCH(AE$5,APOIO_REDES!$5:$5,0)),0)</f>
        <v>1.2</v>
      </c>
      <c r="AF1405" s="153" t="n">
        <f aca="false">IFERROR(INDEX(APOIO_REDES!$A:$W,MATCH($C1405&amp;$I1405&amp;$H1405&amp;$N1405&amp;$O1405,APOIO_REDES!$W:$W,0),MATCH(AF$5,APOIO_REDES!$5:$5,0)),0)</f>
        <v>1.363</v>
      </c>
      <c r="AG1405" s="153" t="n">
        <f aca="false">IFERROR(INDEX(APOIO_REDES!$A:$W,MATCH($C1405&amp;$I1405&amp;$H1405&amp;$N1405&amp;$O1405,APOIO_REDES!$W:$W,0),MATCH(AG$5,APOIO_REDES!$5:$5,0)),0)</f>
        <v>0.65</v>
      </c>
      <c r="AH1405" s="153" t="n">
        <f aca="false">IFERROR(INDEX(APOIO_REDES!$A:$W,MATCH($C1405&amp;$I1405&amp;$H1405&amp;$N1405&amp;$O1405,APOIO_REDES!$W:$W,0),MATCH(AH$5,APOIO_REDES!$5:$5,0)),0)</f>
        <v>0.1</v>
      </c>
      <c r="AI1405" s="153" t="n">
        <f aca="false">IFERROR(IF($H1405&lt;&gt;"",(((($H1405/1000)/2)^2)*PI()*$M1405),0),0)</f>
        <v>0.42229322221675</v>
      </c>
      <c r="AJ1405" s="153" t="n">
        <f aca="false">IFERROR(IF(AND($H1405&lt;&gt;"",$I1405="FoFo",OR($N1405="MND",$N1405="VCA"),$Q1405="LINEAR"),0,IF(AND($H1405&lt;&gt;"",$I1405="PEAD",$N1405="VCA",$Q1405="LINEAR"),($H1405/1000)+0.3,IF(AND($H1405&lt;&gt;"",$I1405="PEAD",$N1405="MND",$Q1405="EMBOQUE"),0,IF(AND($H1405&lt;&gt;"",$I1405="PVC",$N1405="VCA",$Q1405="LINEAR"),($H1405/1000)+0.2,IF(AND($H1405&lt;&gt;"",$I1405="PVC",$N1405="MND",$Q1405="EMBOQUE"),0,IF(AND($H1405&lt;&gt;"",$I1405="PEAD",$N1405="VCA",$Q1405="PREDIAL"),0,0)))))),0)</f>
        <v>0.363</v>
      </c>
      <c r="AK1405" s="153" t="n">
        <f aca="false">IF(AA1405&lt;&gt;"",AA1405,0)</f>
        <v>3.3</v>
      </c>
      <c r="AL1405" s="153" t="n">
        <f aca="false">IF(AND($N1405="MND",$Q1405="EMBOQUE"),$M1405,IF(AND($N1405="VCA",$Q1405="LINEAR"),$M1405,IF(AND($N1405="VCA",$Q1405="PREDIAL"),0,0)))</f>
        <v>135.47</v>
      </c>
      <c r="AM1405" s="153" t="n">
        <f aca="false">IF(AND($N1405="MND",$Q1405="EMBOQUE"),$M1405,IF(AND($N1405="VCA",$Q1405="LINEAR"),$M1405,IF(AND($N1405="VCA",$Q1405="PREDIAL"),0,0)))</f>
        <v>135.47</v>
      </c>
      <c r="AN1405" s="153" t="n">
        <f aca="false">ROUND(IF(AND($N1405="VCA",$M1405&lt;&gt;"",$Q1405="LINEAR"),$M1405/100,IF(AND($N1405="MND",$M1405&gt;100,$Q1405="EMBOQUE"),$M1405/100,0)),0)</f>
        <v>1</v>
      </c>
      <c r="AO1405" s="153" t="n">
        <f aca="false">IF(AND($N1405="MND",$Q1405="EMBOQUE"),$AN1405*2*2,IF(AND($N1405="VCA",$Q1405="LINEAR"),$M1405*2,IF(AND($N1405="VCA",$Q1405="PREDIAL"),0,0)))</f>
        <v>270.94</v>
      </c>
      <c r="AP1405" s="153" t="n">
        <f aca="false">IFERROR($M1405*$AF1405*$AG1405,0)</f>
        <v>120.0196465</v>
      </c>
      <c r="AQ1405" s="153" t="n">
        <f aca="false">IFERROR(IF(AND($N1405="VCA",$AH1405&gt;0),$M1405*$AG1405*$AH1405,0),0)</f>
        <v>8.80555</v>
      </c>
      <c r="AR1405" s="153" t="n">
        <f aca="false">IFERROR(IF(AND($N1405="VCA",$AJ1405&gt;0),($M1405*$AG1405*$AJ1405)-$AI1405,0),0)</f>
        <v>31.5418532777833</v>
      </c>
      <c r="AS1405" s="153" t="n">
        <f aca="false">IFERROR(IF(AND($N1405="VCA",$AP1405&gt;0),$AP1405-$AI1405-$AQ1405-$AR1405,0),0)</f>
        <v>79.24995</v>
      </c>
      <c r="AT1405" s="153" t="n">
        <f aca="false">IFERROR(IF($N1405="VCA",INDEX(APOIO_REDES!$A:$W,MATCH($C1405&amp;$I1405&amp;$H1405&amp;$N1405&amp;$O1405,APOIO_REDES!$W:$W,0),MATCH(AT$5,APOIO_REDES!$5:$5,0)),0)*$AP1405,0)</f>
        <v>1.30584927792205</v>
      </c>
      <c r="AU1405" s="153" t="n">
        <f aca="false">IFERROR(IF($N1405="VCA",INDEX(APOIO_REDES!$A:$W,MATCH($C1405&amp;$I1405&amp;$H1405&amp;$N1405&amp;$O1405,APOIO_REDES!$W:$W,0),MATCH(AU$5,APOIO_REDES!$5:$5,0)),0)*$AP1405,0)</f>
        <v>1.04281586646485</v>
      </c>
      <c r="AV1405" s="153" t="n">
        <f aca="false">IFERROR(IF($N1405="VCA",INDEX(APOIO_REDES!$A:$W,MATCH($C1405&amp;$I1405&amp;$H1405&amp;$N1405&amp;$O1405,APOIO_REDES!$W:$W,0),MATCH(AV$5,APOIO_REDES!$5:$5,0)),0)*$AP1405,0)</f>
        <v>0.14431752949321</v>
      </c>
      <c r="AW1405" s="153" t="n">
        <f aca="false">IFERROR(IF($N1405="VCA",INDEX(APOIO_REDES!$A:$W,MATCH($C1405&amp;$I1405&amp;$H1405&amp;$N1405&amp;$O1405,APOIO_REDES!$W:$W,0),MATCH(AW$5,APOIO_REDES!$5:$5,0)),0)*$AP1405,0)</f>
        <v>82.3824153152008</v>
      </c>
      <c r="AX1405" s="153" t="n">
        <f aca="false">IFERROR(IF($N1405="VCA",INDEX(APOIO_REDES!$A:$W,MATCH($C1405&amp;$I1405&amp;$H1405&amp;$N1405&amp;$O1405,APOIO_REDES!$W:$W,0),MATCH(AX$5,APOIO_REDES!$5:$5,0)),0)*$AP1405,0)</f>
        <v>11.4014916088717</v>
      </c>
      <c r="AY1405" s="153" t="n">
        <f aca="false">IFERROR(IF($N1405="VCA",INDEX(APOIO_REDES!$A:$W,MATCH($C1405&amp;$I1405&amp;$H1405&amp;$N1405&amp;$O1405,APOIO_REDES!$W:$W,0),MATCH(AY$5,APOIO_REDES!$5:$5,0)),0)*$AP1405,0)</f>
        <v>20.8563046174562</v>
      </c>
      <c r="AZ1405" s="153" t="n">
        <f aca="false">IFERROR(IF($N1405="VCA",INDEX(APOIO_REDES!$A:$W,MATCH($C1405&amp;$I1405&amp;$H1405&amp;$N1405&amp;$O1405,APOIO_REDES!$W:$W,0),MATCH(AZ$5,APOIO_REDES!$5:$5,0)),0)*$AP1405,0)</f>
        <v>2.88645228459123</v>
      </c>
      <c r="BA1405" s="153" t="n">
        <f aca="false">IFERROR(IF(AND($N1405="VCA",$Q1405="LINEAR"),INDEX(APOIO_REDES!$A:$W,MATCH($C1405&amp;$I1405&amp;$H1405&amp;$N1405&amp;$O1405,APOIO_REDES!$W:$W,0),MATCH(BA$5,APOIO_REDES!$5:$5,0)),IF(AND($N1405="MND",$Q1405="EMBOQUE"),INDEX(APOIO_REDES!$A:$W,MATCH($C1405&amp;$I1405&amp;$H1405&amp;$N1405&amp;$O1405,APOIO_REDES!$W:$W,0),MATCH(BA$5,APOIO_REDES!$5:$5,0)),0))*$M1405/10,0)</f>
        <v>10.9185402877328</v>
      </c>
      <c r="BB1405" s="153" t="n">
        <f aca="false">IFERROR(IF($N1405="VCA",INDEX(APOIO_REDES!$A:$W,MATCH($C1405&amp;$I1405&amp;$H1405&amp;$N1405&amp;$O1405,APOIO_REDES!$W:$W,0),MATCH(BB$5,APOIO_REDES!$5:$5,0)),0)*($AI1405+$AQ1405+$AR1405),0)</f>
        <v>40.3261101348658</v>
      </c>
      <c r="BC1405" s="153" t="n">
        <f aca="false">IFERROR(IF($N1405="VCA",INDEX(APOIO_REDES!$A:$W,MATCH($C1405&amp;$I1405&amp;$H1405&amp;$N1405&amp;$O1405,APOIO_REDES!$W:$W,0),MATCH(BC$5,APOIO_REDES!$5:$5,0)),0)*($AI1405+$AQ1405+$AR1405),0)</f>
        <v>0.443586365134194</v>
      </c>
      <c r="BD1405" s="153" t="n">
        <f aca="false">IF(AND($N1405="VCA",$AF1405&gt;=1.25,$AF1405&lt;1.5),$M1405*$AF1405*2,0)</f>
        <v>369.29122</v>
      </c>
      <c r="BE1405" s="153" t="n">
        <f aca="false">IF(AND($N1405="VCA",$AF1405&gt;=1.5,$AF1405&lt;3),$M1405*$AF1405*2,0)</f>
        <v>0</v>
      </c>
      <c r="BF1405" s="153" t="n">
        <f aca="false">IF(AND($N1405="VCA",$AF1405&gt;=3),$M1405*$AF1405*2,0)</f>
        <v>0</v>
      </c>
      <c r="BG1405" s="153" t="n">
        <f aca="false">($BB1405+$BC1405)*$AK1405</f>
        <v>134.53999845</v>
      </c>
      <c r="BH1405" s="153" t="n">
        <f aca="false">IF(AND($M1405&lt;&gt;"",$N1405="VCA",$Q1405="LINEAR"),($M1405*2)/100,IF(AND($M1405&lt;&gt;"",$N1405="MND",$Q1405="EMBOQUE"),($AN1405*2)/100,0))</f>
        <v>2.7094</v>
      </c>
      <c r="BI1405" s="153" t="n">
        <f aca="false">IF(AND($M1405&lt;&gt;"",$N1405="VCA",$Q1405="LINEAR"),$M1405,IF(AND($M1405&lt;&gt;"",$N1405="MND",$Q1405="EMBOQUE"),$AN1405*2,0))</f>
        <v>135.47</v>
      </c>
      <c r="BJ1405" s="153" t="n">
        <f aca="false">IF(AND($M1405&lt;&gt;"",$N1405="VCA",$Q1405="LINEAR"),($M1405*6.8)/100,IF(AND($M1405&lt;&gt;"",$N1405="MND",$Q1405="EMBOQUE"),($AN1405*2*6.8)/100,0))</f>
        <v>9.21196</v>
      </c>
      <c r="BK1405" s="153" t="n">
        <f aca="false">IF(AND($M1405&lt;&gt;"",$N1405="VCA",$Q1405="LINEAR"),($M1405*2.5)/50,IF(AND($M1405&lt;&gt;"",$N1405="MND",$Q1405="EMBOQUE"),($AN1405*2*2.5)/50,0))</f>
        <v>6.7735</v>
      </c>
      <c r="BL1405" s="157" t="str">
        <f aca="false">K1405&amp;J1405</f>
        <v>Zona11REDES</v>
      </c>
      <c r="BM1405" s="152" t="s">
        <v>6084</v>
      </c>
      <c r="BN1405" s="152" t="s">
        <v>1560</v>
      </c>
      <c r="BO1405" s="152" t="s">
        <v>6822</v>
      </c>
      <c r="BP1405" s="152" t="s">
        <v>6843</v>
      </c>
      <c r="BQ1405" s="152" t="s">
        <v>6844</v>
      </c>
      <c r="BR1405" s="152" t="s">
        <v>6845</v>
      </c>
      <c r="BS1405" s="152" t="n">
        <v>204830.752</v>
      </c>
      <c r="BT1405" s="152" t="n">
        <v>8236379.222</v>
      </c>
      <c r="BU1405" s="152" t="n">
        <v>204868.189</v>
      </c>
      <c r="BV1405" s="152" t="n">
        <v>8236253.249</v>
      </c>
      <c r="BW1405" s="152" t="n">
        <v>-15.9348909</v>
      </c>
      <c r="BX1405" s="152" t="n">
        <v>-47.7568384</v>
      </c>
      <c r="BY1405" s="152" t="s">
        <v>6843</v>
      </c>
    </row>
    <row r="1406" customFormat="false" ht="13.8" hidden="false" customHeight="false" outlineLevel="0" collapsed="false">
      <c r="A1406" s="149" t="n">
        <f aca="false">IF(C1406&lt;&gt;"",ROW(A1401),"")</f>
        <v>1401</v>
      </c>
      <c r="B1406" s="150" t="str">
        <f aca="false">HYPERLINK("https://www.google.com/maps/dir/-15.917302,-47.760003/-15.9347092,-47.7564067/data=!4m3!4m2!3e0!5i1")</f>
        <v>https://www.google.com/maps/dir/-15.917302,-47.760003/-15.9347092,-47.7564067/data=!4m3!4m2!3e0!5i1</v>
      </c>
      <c r="C1406" s="151" t="s">
        <v>117</v>
      </c>
      <c r="D1406" s="152" t="s">
        <v>112</v>
      </c>
      <c r="E1406" s="152" t="s">
        <v>113</v>
      </c>
      <c r="F1406" s="152" t="s">
        <v>117</v>
      </c>
      <c r="G1406" s="152" t="s">
        <v>782</v>
      </c>
      <c r="H1406" s="152" t="n">
        <v>63</v>
      </c>
      <c r="I1406" s="152" t="s">
        <v>115</v>
      </c>
      <c r="J1406" s="152" t="s">
        <v>6</v>
      </c>
      <c r="K1406" s="152" t="s">
        <v>6081</v>
      </c>
      <c r="L1406" s="152" t="s">
        <v>120</v>
      </c>
      <c r="M1406" s="153" t="n">
        <f aca="false">48.44</f>
        <v>48.44</v>
      </c>
      <c r="N1406" s="152" t="s">
        <v>1548</v>
      </c>
      <c r="O1406" s="152" t="s">
        <v>1549</v>
      </c>
      <c r="P1406" s="152" t="s">
        <v>1550</v>
      </c>
      <c r="Q1406" s="152" t="s">
        <v>1551</v>
      </c>
      <c r="R1406" s="154" t="s">
        <v>6846</v>
      </c>
      <c r="S1406" s="154" t="s">
        <v>1553</v>
      </c>
      <c r="T1406" s="155" t="s">
        <v>6820</v>
      </c>
      <c r="U1406" s="152" t="str">
        <f aca="false">RIGHT(T1406,7)</f>
        <v>025/037</v>
      </c>
      <c r="V1406" s="152" t="s">
        <v>1555</v>
      </c>
      <c r="W1406" s="156" t="n">
        <v>45882</v>
      </c>
      <c r="X1406" s="152" t="s">
        <v>3938</v>
      </c>
      <c r="Y1406" s="152" t="s">
        <v>6292</v>
      </c>
      <c r="Z1406" s="152" t="s">
        <v>1557</v>
      </c>
      <c r="AA1406" s="153" t="n">
        <v>3.2</v>
      </c>
      <c r="AB1406" s="151" t="s">
        <v>6847</v>
      </c>
      <c r="AC1406" s="151" t="s">
        <v>186</v>
      </c>
      <c r="AD1406" s="151" t="str">
        <f aca="false">CONCATENATE($C1406,$I1406,$H1406,$N1406,$J1406,$K1406)</f>
        <v>TUBO PEADPEAD63VCAREDESZona11</v>
      </c>
      <c r="AE1406" s="153" t="n">
        <f aca="false">IFERROR(INDEX(APOIO_REDES!$A:$W,MATCH($C1406&amp;$I1406&amp;$H1406&amp;$N1406&amp;$O1406,APOIO_REDES!$W:$W,0),MATCH(AE$5,APOIO_REDES!$5:$5,0)),0)</f>
        <v>1.2</v>
      </c>
      <c r="AF1406" s="153" t="n">
        <f aca="false">IFERROR(INDEX(APOIO_REDES!$A:$W,MATCH($C1406&amp;$I1406&amp;$H1406&amp;$N1406&amp;$O1406,APOIO_REDES!$W:$W,0),MATCH(AF$5,APOIO_REDES!$5:$5,0)),0)</f>
        <v>1.363</v>
      </c>
      <c r="AG1406" s="153" t="n">
        <f aca="false">IFERROR(INDEX(APOIO_REDES!$A:$W,MATCH($C1406&amp;$I1406&amp;$H1406&amp;$N1406&amp;$O1406,APOIO_REDES!$W:$W,0),MATCH(AG$5,APOIO_REDES!$5:$5,0)),0)</f>
        <v>0.65</v>
      </c>
      <c r="AH1406" s="153" t="n">
        <f aca="false">IFERROR(INDEX(APOIO_REDES!$A:$W,MATCH($C1406&amp;$I1406&amp;$H1406&amp;$N1406&amp;$O1406,APOIO_REDES!$W:$W,0),MATCH(AH$5,APOIO_REDES!$5:$5,0)),0)</f>
        <v>0.1</v>
      </c>
      <c r="AI1406" s="153" t="n">
        <f aca="false">IFERROR(IF($H1406&lt;&gt;"",(((($H1406/1000)/2)^2)*PI()*$M1406),0),0)</f>
        <v>0.150999362841805</v>
      </c>
      <c r="AJ1406" s="153" t="n">
        <f aca="false">IFERROR(IF(AND($H1406&lt;&gt;"",$I1406="FoFo",OR($N1406="MND",$N1406="VCA"),$Q1406="LINEAR"),0,IF(AND($H1406&lt;&gt;"",$I1406="PEAD",$N1406="VCA",$Q1406="LINEAR"),($H1406/1000)+0.3,IF(AND($H1406&lt;&gt;"",$I1406="PEAD",$N1406="MND",$Q1406="EMBOQUE"),0,IF(AND($H1406&lt;&gt;"",$I1406="PVC",$N1406="VCA",$Q1406="LINEAR"),($H1406/1000)+0.2,IF(AND($H1406&lt;&gt;"",$I1406="PVC",$N1406="MND",$Q1406="EMBOQUE"),0,IF(AND($H1406&lt;&gt;"",$I1406="PEAD",$N1406="VCA",$Q1406="PREDIAL"),0,0)))))),0)</f>
        <v>0.363</v>
      </c>
      <c r="AK1406" s="153" t="n">
        <f aca="false">IF(AA1406&lt;&gt;"",AA1406,0)</f>
        <v>3.2</v>
      </c>
      <c r="AL1406" s="153" t="n">
        <f aca="false">IF(AND($N1406="MND",$Q1406="EMBOQUE"),$M1406,IF(AND($N1406="VCA",$Q1406="LINEAR"),$M1406,IF(AND($N1406="VCA",$Q1406="PREDIAL"),0,0)))</f>
        <v>48.44</v>
      </c>
      <c r="AM1406" s="153" t="n">
        <f aca="false">IF(AND($N1406="MND",$Q1406="EMBOQUE"),$M1406,IF(AND($N1406="VCA",$Q1406="LINEAR"),$M1406,IF(AND($N1406="VCA",$Q1406="PREDIAL"),0,0)))</f>
        <v>48.44</v>
      </c>
      <c r="AN1406" s="153" t="n">
        <f aca="false">ROUND(IF(AND($N1406="VCA",$M1406&lt;&gt;"",$Q1406="LINEAR"),$M1406/100,IF(AND($N1406="MND",$M1406&gt;100,$Q1406="EMBOQUE"),$M1406/100,0)),0)</f>
        <v>0</v>
      </c>
      <c r="AO1406" s="153" t="n">
        <f aca="false">IF(AND($N1406="MND",$Q1406="EMBOQUE"),$AN1406*2*2,IF(AND($N1406="VCA",$Q1406="LINEAR"),$M1406*2,IF(AND($N1406="VCA",$Q1406="PREDIAL"),0,0)))</f>
        <v>96.88</v>
      </c>
      <c r="AP1406" s="153" t="n">
        <f aca="false">IFERROR($M1406*$AF1406*$AG1406,0)</f>
        <v>42.915418</v>
      </c>
      <c r="AQ1406" s="153" t="n">
        <f aca="false">IFERROR(IF(AND($N1406="VCA",$AH1406&gt;0),$M1406*$AG1406*$AH1406,0),0)</f>
        <v>3.1486</v>
      </c>
      <c r="AR1406" s="153" t="n">
        <f aca="false">IFERROR(IF(AND($N1406="VCA",$AJ1406&gt;0),($M1406*$AG1406*$AJ1406)-$AI1406,0),0)</f>
        <v>11.2784186371582</v>
      </c>
      <c r="AS1406" s="153" t="n">
        <f aca="false">IFERROR(IF(AND($N1406="VCA",$AP1406&gt;0),$AP1406-$AI1406-$AQ1406-$AR1406,0),0)</f>
        <v>28.3374</v>
      </c>
      <c r="AT1406" s="153" t="n">
        <f aca="false">IFERROR(IF($N1406="VCA",INDEX(APOIO_REDES!$A:$W,MATCH($C1406&amp;$I1406&amp;$H1406&amp;$N1406&amp;$O1406,APOIO_REDES!$W:$W,0),MATCH(AT$5,APOIO_REDES!$5:$5,0)),0)*$AP1406,0)</f>
        <v>0.46693245015534</v>
      </c>
      <c r="AU1406" s="153" t="n">
        <f aca="false">IFERROR(IF($N1406="VCA",INDEX(APOIO_REDES!$A:$W,MATCH($C1406&amp;$I1406&amp;$H1406&amp;$N1406&amp;$O1406,APOIO_REDES!$W:$W,0),MATCH(AU$5,APOIO_REDES!$5:$5,0)),0)*$AP1406,0)</f>
        <v>0.372879608559515</v>
      </c>
      <c r="AV1406" s="153" t="n">
        <f aca="false">IFERROR(IF($N1406="VCA",INDEX(APOIO_REDES!$A:$W,MATCH($C1406&amp;$I1406&amp;$H1406&amp;$N1406&amp;$O1406,APOIO_REDES!$W:$W,0),MATCH(AV$5,APOIO_REDES!$5:$5,0)),0)*$AP1406,0)</f>
        <v>0.051603610604939</v>
      </c>
      <c r="AW1406" s="153" t="n">
        <f aca="false">IFERROR(IF($N1406="VCA",INDEX(APOIO_REDES!$A:$W,MATCH($C1406&amp;$I1406&amp;$H1406&amp;$N1406&amp;$O1406,APOIO_REDES!$W:$W,0),MATCH(AW$5,APOIO_REDES!$5:$5,0)),0)*$AP1406,0)</f>
        <v>29.4574754400851</v>
      </c>
      <c r="AX1406" s="153" t="n">
        <f aca="false">IFERROR(IF($N1406="VCA",INDEX(APOIO_REDES!$A:$W,MATCH($C1406&amp;$I1406&amp;$H1406&amp;$N1406&amp;$O1406,APOIO_REDES!$W:$W,0),MATCH(AX$5,APOIO_REDES!$5:$5,0)),0)*$AP1406,0)</f>
        <v>4.07683068970064</v>
      </c>
      <c r="AY1406" s="153" t="n">
        <f aca="false">IFERROR(IF($N1406="VCA",INDEX(APOIO_REDES!$A:$W,MATCH($C1406&amp;$I1406&amp;$H1406&amp;$N1406&amp;$O1406,APOIO_REDES!$W:$W,0),MATCH(AY$5,APOIO_REDES!$5:$5,0)),0)*$AP1406,0)</f>
        <v>7.4575876258181</v>
      </c>
      <c r="AZ1406" s="153" t="n">
        <f aca="false">IFERROR(IF($N1406="VCA",INDEX(APOIO_REDES!$A:$W,MATCH($C1406&amp;$I1406&amp;$H1406&amp;$N1406&amp;$O1406,APOIO_REDES!$W:$W,0),MATCH(AZ$5,APOIO_REDES!$5:$5,0)),0)*$AP1406,0)</f>
        <v>1.03210857507639</v>
      </c>
      <c r="BA1406" s="153" t="n">
        <f aca="false">IFERROR(IF(AND($N1406="VCA",$Q1406="LINEAR"),INDEX(APOIO_REDES!$A:$W,MATCH($C1406&amp;$I1406&amp;$H1406&amp;$N1406&amp;$O1406,APOIO_REDES!$W:$W,0),MATCH(BA$5,APOIO_REDES!$5:$5,0)),IF(AND($N1406="MND",$Q1406="EMBOQUE"),INDEX(APOIO_REDES!$A:$W,MATCH($C1406&amp;$I1406&amp;$H1406&amp;$N1406&amp;$O1406,APOIO_REDES!$W:$W,0),MATCH(BA$5,APOIO_REDES!$5:$5,0)),0))*$M1406/10,0)</f>
        <v>3.90414181396456</v>
      </c>
      <c r="BB1406" s="153" t="n">
        <f aca="false">IFERROR(IF($N1406="VCA",INDEX(APOIO_REDES!$A:$W,MATCH($C1406&amp;$I1406&amp;$H1406&amp;$N1406&amp;$O1406,APOIO_REDES!$W:$W,0),MATCH(BB$5,APOIO_REDES!$5:$5,0)),0)*($AI1406+$AQ1406+$AR1406),0)</f>
        <v>14.4194048492869</v>
      </c>
      <c r="BC1406" s="153" t="n">
        <f aca="false">IFERROR(IF($N1406="VCA",INDEX(APOIO_REDES!$A:$W,MATCH($C1406&amp;$I1406&amp;$H1406&amp;$N1406&amp;$O1406,APOIO_REDES!$W:$W,0),MATCH(BC$5,APOIO_REDES!$5:$5,0)),0)*($AI1406+$AQ1406+$AR1406),0)</f>
        <v>0.158613150713076</v>
      </c>
      <c r="BD1406" s="153" t="n">
        <f aca="false">IF(AND($N1406="VCA",$AF1406&gt;=1.25,$AF1406&lt;1.5),$M1406*$AF1406*2,0)</f>
        <v>132.04744</v>
      </c>
      <c r="BE1406" s="153" t="n">
        <f aca="false">IF(AND($N1406="VCA",$AF1406&gt;=1.5,$AF1406&lt;3),$M1406*$AF1406*2,0)</f>
        <v>0</v>
      </c>
      <c r="BF1406" s="153" t="n">
        <f aca="false">IF(AND($N1406="VCA",$AF1406&gt;=3),$M1406*$AF1406*2,0)</f>
        <v>0</v>
      </c>
      <c r="BG1406" s="153" t="n">
        <f aca="false">($BB1406+$BC1406)*$AK1406</f>
        <v>46.6496576</v>
      </c>
      <c r="BH1406" s="153" t="n">
        <f aca="false">IF(AND($M1406&lt;&gt;"",$N1406="VCA",$Q1406="LINEAR"),($M1406*2)/100,IF(AND($M1406&lt;&gt;"",$N1406="MND",$Q1406="EMBOQUE"),($AN1406*2)/100,0))</f>
        <v>0.9688</v>
      </c>
      <c r="BI1406" s="153" t="n">
        <f aca="false">IF(AND($M1406&lt;&gt;"",$N1406="VCA",$Q1406="LINEAR"),$M1406,IF(AND($M1406&lt;&gt;"",$N1406="MND",$Q1406="EMBOQUE"),$AN1406*2,0))</f>
        <v>48.44</v>
      </c>
      <c r="BJ1406" s="153" t="n">
        <f aca="false">IF(AND($M1406&lt;&gt;"",$N1406="VCA",$Q1406="LINEAR"),($M1406*6.8)/100,IF(AND($M1406&lt;&gt;"",$N1406="MND",$Q1406="EMBOQUE"),($AN1406*2*6.8)/100,0))</f>
        <v>3.29392</v>
      </c>
      <c r="BK1406" s="153" t="n">
        <f aca="false">IF(AND($M1406&lt;&gt;"",$N1406="VCA",$Q1406="LINEAR"),($M1406*2.5)/50,IF(AND($M1406&lt;&gt;"",$N1406="MND",$Q1406="EMBOQUE"),($AN1406*2*2.5)/50,0))</f>
        <v>2.422</v>
      </c>
      <c r="BL1406" s="157" t="str">
        <f aca="false">K1406&amp;J1406</f>
        <v>Zona11REDES</v>
      </c>
      <c r="BM1406" s="152" t="s">
        <v>6084</v>
      </c>
      <c r="BN1406" s="152" t="s">
        <v>1560</v>
      </c>
      <c r="BO1406" s="152" t="s">
        <v>6822</v>
      </c>
      <c r="BP1406" s="152" t="s">
        <v>6827</v>
      </c>
      <c r="BQ1406" s="152" t="s">
        <v>6848</v>
      </c>
      <c r="BR1406" s="152" t="s">
        <v>6849</v>
      </c>
      <c r="BS1406" s="152" t="n">
        <v>204894.804</v>
      </c>
      <c r="BT1406" s="152" t="n">
        <v>8236336.78</v>
      </c>
      <c r="BU1406" s="152" t="n">
        <v>204908.139</v>
      </c>
      <c r="BV1406" s="152" t="n">
        <v>8236290.219</v>
      </c>
      <c r="BW1406" s="152" t="n">
        <v>-15.9349199</v>
      </c>
      <c r="BX1406" s="152" t="n">
        <v>-47.756346</v>
      </c>
      <c r="BY1406" s="152" t="s">
        <v>6827</v>
      </c>
    </row>
    <row r="1407" customFormat="false" ht="13.8" hidden="false" customHeight="false" outlineLevel="0" collapsed="false">
      <c r="A1407" s="149" t="n">
        <f aca="false">IF(C1407&lt;&gt;"",ROW(A1402),"")</f>
        <v>1402</v>
      </c>
      <c r="B1407" s="150" t="str">
        <f aca="false">HYPERLINK("https://www.google.com/maps/dir/-15.917302,-47.760003/-15.9350079,-47.7557906/data=!4m3!4m2!3e0!5i1")</f>
        <v>https://www.google.com/maps/dir/-15.917302,-47.760003/-15.9350079,-47.7557906/data=!4m3!4m2!3e0!5i1</v>
      </c>
      <c r="C1407" s="151" t="s">
        <v>117</v>
      </c>
      <c r="D1407" s="152" t="s">
        <v>112</v>
      </c>
      <c r="E1407" s="152" t="s">
        <v>113</v>
      </c>
      <c r="F1407" s="152" t="s">
        <v>117</v>
      </c>
      <c r="G1407" s="152" t="s">
        <v>782</v>
      </c>
      <c r="H1407" s="152" t="n">
        <v>63</v>
      </c>
      <c r="I1407" s="152" t="s">
        <v>115</v>
      </c>
      <c r="J1407" s="152" t="s">
        <v>6</v>
      </c>
      <c r="K1407" s="152" t="s">
        <v>6081</v>
      </c>
      <c r="L1407" s="152" t="s">
        <v>120</v>
      </c>
      <c r="M1407" s="153" t="n">
        <f aca="false">55.01</f>
        <v>55.01</v>
      </c>
      <c r="N1407" s="152" t="s">
        <v>1548</v>
      </c>
      <c r="O1407" s="152" t="s">
        <v>1549</v>
      </c>
      <c r="P1407" s="152" t="s">
        <v>1550</v>
      </c>
      <c r="Q1407" s="152" t="s">
        <v>1551</v>
      </c>
      <c r="R1407" s="154" t="s">
        <v>6850</v>
      </c>
      <c r="S1407" s="154" t="s">
        <v>1553</v>
      </c>
      <c r="T1407" s="155" t="s">
        <v>6820</v>
      </c>
      <c r="U1407" s="152" t="str">
        <f aca="false">RIGHT(T1407,7)</f>
        <v>025/037</v>
      </c>
      <c r="V1407" s="152" t="s">
        <v>1555</v>
      </c>
      <c r="W1407" s="156" t="n">
        <v>45882</v>
      </c>
      <c r="X1407" s="152" t="s">
        <v>3938</v>
      </c>
      <c r="Y1407" s="152" t="s">
        <v>6292</v>
      </c>
      <c r="Z1407" s="152" t="s">
        <v>1557</v>
      </c>
      <c r="AA1407" s="153" t="n">
        <v>3.2</v>
      </c>
      <c r="AB1407" s="151" t="s">
        <v>6851</v>
      </c>
      <c r="AC1407" s="151" t="s">
        <v>186</v>
      </c>
      <c r="AD1407" s="151" t="str">
        <f aca="false">CONCATENATE($C1407,$I1407,$H1407,$N1407,$J1407,$K1407)</f>
        <v>TUBO PEADPEAD63VCAREDESZona11</v>
      </c>
      <c r="AE1407" s="153" t="n">
        <f aca="false">IFERROR(INDEX(APOIO_REDES!$A:$W,MATCH($C1407&amp;$I1407&amp;$H1407&amp;$N1407&amp;$O1407,APOIO_REDES!$W:$W,0),MATCH(AE$5,APOIO_REDES!$5:$5,0)),0)</f>
        <v>1.2</v>
      </c>
      <c r="AF1407" s="153" t="n">
        <f aca="false">IFERROR(INDEX(APOIO_REDES!$A:$W,MATCH($C1407&amp;$I1407&amp;$H1407&amp;$N1407&amp;$O1407,APOIO_REDES!$W:$W,0),MATCH(AF$5,APOIO_REDES!$5:$5,0)),0)</f>
        <v>1.363</v>
      </c>
      <c r="AG1407" s="153" t="n">
        <f aca="false">IFERROR(INDEX(APOIO_REDES!$A:$W,MATCH($C1407&amp;$I1407&amp;$H1407&amp;$N1407&amp;$O1407,APOIO_REDES!$W:$W,0),MATCH(AG$5,APOIO_REDES!$5:$5,0)),0)</f>
        <v>0.65</v>
      </c>
      <c r="AH1407" s="153" t="n">
        <f aca="false">IFERROR(INDEX(APOIO_REDES!$A:$W,MATCH($C1407&amp;$I1407&amp;$H1407&amp;$N1407&amp;$O1407,APOIO_REDES!$W:$W,0),MATCH(AH$5,APOIO_REDES!$5:$5,0)),0)</f>
        <v>0.1</v>
      </c>
      <c r="AI1407" s="153" t="n">
        <f aca="false">IFERROR(IF($H1407&lt;&gt;"",(((($H1407/1000)/2)^2)*PI()*$M1407),0),0)</f>
        <v>0.171479664531951</v>
      </c>
      <c r="AJ1407" s="153" t="n">
        <f aca="false">IFERROR(IF(AND($H1407&lt;&gt;"",$I1407="FoFo",OR($N1407="MND",$N1407="VCA"),$Q1407="LINEAR"),0,IF(AND($H1407&lt;&gt;"",$I1407="PEAD",$N1407="VCA",$Q1407="LINEAR"),($H1407/1000)+0.3,IF(AND($H1407&lt;&gt;"",$I1407="PEAD",$N1407="MND",$Q1407="EMBOQUE"),0,IF(AND($H1407&lt;&gt;"",$I1407="PVC",$N1407="VCA",$Q1407="LINEAR"),($H1407/1000)+0.2,IF(AND($H1407&lt;&gt;"",$I1407="PVC",$N1407="MND",$Q1407="EMBOQUE"),0,IF(AND($H1407&lt;&gt;"",$I1407="PEAD",$N1407="VCA",$Q1407="PREDIAL"),0,0)))))),0)</f>
        <v>0.363</v>
      </c>
      <c r="AK1407" s="153" t="n">
        <f aca="false">IF(AA1407&lt;&gt;"",AA1407,0)</f>
        <v>3.2</v>
      </c>
      <c r="AL1407" s="153" t="n">
        <f aca="false">IF(AND($N1407="MND",$Q1407="EMBOQUE"),$M1407,IF(AND($N1407="VCA",$Q1407="LINEAR"),$M1407,IF(AND($N1407="VCA",$Q1407="PREDIAL"),0,0)))</f>
        <v>55.01</v>
      </c>
      <c r="AM1407" s="153" t="n">
        <f aca="false">IF(AND($N1407="MND",$Q1407="EMBOQUE"),$M1407,IF(AND($N1407="VCA",$Q1407="LINEAR"),$M1407,IF(AND($N1407="VCA",$Q1407="PREDIAL"),0,0)))</f>
        <v>55.01</v>
      </c>
      <c r="AN1407" s="153" t="n">
        <f aca="false">ROUND(IF(AND($N1407="VCA",$M1407&lt;&gt;"",$Q1407="LINEAR"),$M1407/100,IF(AND($N1407="MND",$M1407&gt;100,$Q1407="EMBOQUE"),$M1407/100,0)),0)</f>
        <v>1</v>
      </c>
      <c r="AO1407" s="153" t="n">
        <f aca="false">IF(AND($N1407="MND",$Q1407="EMBOQUE"),$AN1407*2*2,IF(AND($N1407="VCA",$Q1407="LINEAR"),$M1407*2,IF(AND($N1407="VCA",$Q1407="PREDIAL"),0,0)))</f>
        <v>110.02</v>
      </c>
      <c r="AP1407" s="153" t="n">
        <f aca="false">IFERROR($M1407*$AF1407*$AG1407,0)</f>
        <v>48.7361095</v>
      </c>
      <c r="AQ1407" s="153" t="n">
        <f aca="false">IFERROR(IF(AND($N1407="VCA",$AH1407&gt;0),$M1407*$AG1407*$AH1407,0),0)</f>
        <v>3.57565</v>
      </c>
      <c r="AR1407" s="153" t="n">
        <f aca="false">IFERROR(IF(AND($N1407="VCA",$AJ1407&gt;0),($M1407*$AG1407*$AJ1407)-$AI1407,0),0)</f>
        <v>12.8081298354681</v>
      </c>
      <c r="AS1407" s="153" t="n">
        <f aca="false">IFERROR(IF(AND($N1407="VCA",$AP1407&gt;0),$AP1407-$AI1407-$AQ1407-$AR1407,0),0)</f>
        <v>32.18085</v>
      </c>
      <c r="AT1407" s="153" t="n">
        <f aca="false">IFERROR(IF($N1407="VCA",INDEX(APOIO_REDES!$A:$W,MATCH($C1407&amp;$I1407&amp;$H1407&amp;$N1407&amp;$O1407,APOIO_REDES!$W:$W,0),MATCH(AT$5,APOIO_REDES!$5:$5,0)),0)*$AP1407,0)</f>
        <v>0.530263296512082</v>
      </c>
      <c r="AU1407" s="153" t="n">
        <f aca="false">IFERROR(IF($N1407="VCA",INDEX(APOIO_REDES!$A:$W,MATCH($C1407&amp;$I1407&amp;$H1407&amp;$N1407&amp;$O1407,APOIO_REDES!$W:$W,0),MATCH(AU$5,APOIO_REDES!$5:$5,0)),0)*$AP1407,0)</f>
        <v>0.423453907243165</v>
      </c>
      <c r="AV1407" s="153" t="n">
        <f aca="false">IFERROR(IF($N1407="VCA",INDEX(APOIO_REDES!$A:$W,MATCH($C1407&amp;$I1407&amp;$H1407&amp;$N1407&amp;$O1407,APOIO_REDES!$W:$W,0),MATCH(AV$5,APOIO_REDES!$5:$5,0)),0)*$AP1407,0)</f>
        <v>0.058602696518945</v>
      </c>
      <c r="AW1407" s="153" t="n">
        <f aca="false">IFERROR(IF($N1407="VCA",INDEX(APOIO_REDES!$A:$W,MATCH($C1407&amp;$I1407&amp;$H1407&amp;$N1407&amp;$O1407,APOIO_REDES!$W:$W,0),MATCH(AW$5,APOIO_REDES!$5:$5,0)),0)*$AP1407,0)</f>
        <v>33.4528431866036</v>
      </c>
      <c r="AX1407" s="153" t="n">
        <f aca="false">IFERROR(IF($N1407="VCA",INDEX(APOIO_REDES!$A:$W,MATCH($C1407&amp;$I1407&amp;$H1407&amp;$N1407&amp;$O1407,APOIO_REDES!$W:$W,0),MATCH(AX$5,APOIO_REDES!$5:$5,0)),0)*$AP1407,0)</f>
        <v>4.62977820479835</v>
      </c>
      <c r="AY1407" s="153" t="n">
        <f aca="false">IFERROR(IF($N1407="VCA",INDEX(APOIO_REDES!$A:$W,MATCH($C1407&amp;$I1407&amp;$H1407&amp;$N1407&amp;$O1407,APOIO_REDES!$W:$W,0),MATCH(AY$5,APOIO_REDES!$5:$5,0)),0)*$AP1407,0)</f>
        <v>8.4690729829945</v>
      </c>
      <c r="AZ1407" s="153" t="n">
        <f aca="false">IFERROR(IF($N1407="VCA",INDEX(APOIO_REDES!$A:$W,MATCH($C1407&amp;$I1407&amp;$H1407&amp;$N1407&amp;$O1407,APOIO_REDES!$W:$W,0),MATCH(AZ$5,APOIO_REDES!$5:$5,0)),0)*$AP1407,0)</f>
        <v>1.17209522532932</v>
      </c>
      <c r="BA1407" s="153" t="n">
        <f aca="false">IFERROR(IF(AND($N1407="VCA",$Q1407="LINEAR"),INDEX(APOIO_REDES!$A:$W,MATCH($C1407&amp;$I1407&amp;$H1407&amp;$N1407&amp;$O1407,APOIO_REDES!$W:$W,0),MATCH(BA$5,APOIO_REDES!$5:$5,0)),IF(AND($N1407="MND",$Q1407="EMBOQUE"),INDEX(APOIO_REDES!$A:$W,MATCH($C1407&amp;$I1407&amp;$H1407&amp;$N1407&amp;$O1407,APOIO_REDES!$W:$W,0),MATCH(BA$5,APOIO_REDES!$5:$5,0)),0))*$M1407/10,0)</f>
        <v>4.43366724166371</v>
      </c>
      <c r="BB1407" s="153" t="n">
        <f aca="false">IFERROR(IF($N1407="VCA",INDEX(APOIO_REDES!$A:$W,MATCH($C1407&amp;$I1407&amp;$H1407&amp;$N1407&amp;$O1407,APOIO_REDES!$W:$W,0),MATCH(BB$5,APOIO_REDES!$5:$5,0)),0)*($AI1407+$AQ1407+$AR1407),0)</f>
        <v>16.3751333765333</v>
      </c>
      <c r="BC1407" s="153" t="n">
        <f aca="false">IFERROR(IF($N1407="VCA",INDEX(APOIO_REDES!$A:$W,MATCH($C1407&amp;$I1407&amp;$H1407&amp;$N1407&amp;$O1407,APOIO_REDES!$W:$W,0),MATCH(BC$5,APOIO_REDES!$5:$5,0)),0)*($AI1407+$AQ1407+$AR1407),0)</f>
        <v>0.180126123466687</v>
      </c>
      <c r="BD1407" s="153" t="n">
        <f aca="false">IF(AND($N1407="VCA",$AF1407&gt;=1.25,$AF1407&lt;1.5),$M1407*$AF1407*2,0)</f>
        <v>149.95726</v>
      </c>
      <c r="BE1407" s="153" t="n">
        <f aca="false">IF(AND($N1407="VCA",$AF1407&gt;=1.5,$AF1407&lt;3),$M1407*$AF1407*2,0)</f>
        <v>0</v>
      </c>
      <c r="BF1407" s="153" t="n">
        <f aca="false">IF(AND($N1407="VCA",$AF1407&gt;=3),$M1407*$AF1407*2,0)</f>
        <v>0</v>
      </c>
      <c r="BG1407" s="153" t="n">
        <f aca="false">($BB1407+$BC1407)*$AK1407</f>
        <v>52.9768304</v>
      </c>
      <c r="BH1407" s="153" t="n">
        <f aca="false">IF(AND($M1407&lt;&gt;"",$N1407="VCA",$Q1407="LINEAR"),($M1407*2)/100,IF(AND($M1407&lt;&gt;"",$N1407="MND",$Q1407="EMBOQUE"),($AN1407*2)/100,0))</f>
        <v>1.1002</v>
      </c>
      <c r="BI1407" s="153" t="n">
        <f aca="false">IF(AND($M1407&lt;&gt;"",$N1407="VCA",$Q1407="LINEAR"),$M1407,IF(AND($M1407&lt;&gt;"",$N1407="MND",$Q1407="EMBOQUE"),$AN1407*2,0))</f>
        <v>55.01</v>
      </c>
      <c r="BJ1407" s="153" t="n">
        <f aca="false">IF(AND($M1407&lt;&gt;"",$N1407="VCA",$Q1407="LINEAR"),($M1407*6.8)/100,IF(AND($M1407&lt;&gt;"",$N1407="MND",$Q1407="EMBOQUE"),($AN1407*2*6.8)/100,0))</f>
        <v>3.74068</v>
      </c>
      <c r="BK1407" s="153" t="n">
        <f aca="false">IF(AND($M1407&lt;&gt;"",$N1407="VCA",$Q1407="LINEAR"),($M1407*2.5)/50,IF(AND($M1407&lt;&gt;"",$N1407="MND",$Q1407="EMBOQUE"),($AN1407*2*2.5)/50,0))</f>
        <v>2.7505</v>
      </c>
      <c r="BL1407" s="157" t="str">
        <f aca="false">K1407&amp;J1407</f>
        <v>Zona11REDES</v>
      </c>
      <c r="BM1407" s="152" t="s">
        <v>6084</v>
      </c>
      <c r="BN1407" s="152" t="s">
        <v>1560</v>
      </c>
      <c r="BO1407" s="152" t="s">
        <v>6822</v>
      </c>
      <c r="BP1407" s="152" t="s">
        <v>6834</v>
      </c>
      <c r="BQ1407" s="152" t="s">
        <v>6848</v>
      </c>
      <c r="BR1407" s="152" t="s">
        <v>6852</v>
      </c>
      <c r="BS1407" s="152" t="n">
        <v>204961.239</v>
      </c>
      <c r="BT1407" s="152" t="n">
        <v>8236304.583</v>
      </c>
      <c r="BU1407" s="152" t="n">
        <v>204908.139</v>
      </c>
      <c r="BV1407" s="152" t="n">
        <v>8236290.219</v>
      </c>
      <c r="BW1407" s="152" t="n">
        <v>-15.9350696</v>
      </c>
      <c r="BX1407" s="152" t="n">
        <v>-47.7560393</v>
      </c>
      <c r="BY1407" s="152" t="s">
        <v>6834</v>
      </c>
    </row>
    <row r="1408" customFormat="false" ht="13.8" hidden="false" customHeight="false" outlineLevel="0" collapsed="false">
      <c r="A1408" s="149" t="n">
        <f aca="false">IF(C1408&lt;&gt;"",ROW(A1403),"")</f>
        <v>1403</v>
      </c>
      <c r="B1408" s="150" t="str">
        <f aca="false">HYPERLINK("https://www.google.com/maps/dir/-15.917302,-47.760003/-15.9353890,-47.7556463/data=!4m3!4m2!3e0!5i1")</f>
        <v>https://www.google.com/maps/dir/-15.917302,-47.760003/-15.9353890,-47.7556463/data=!4m3!4m2!3e0!5i1</v>
      </c>
      <c r="C1408" s="151" t="s">
        <v>117</v>
      </c>
      <c r="D1408" s="152" t="s">
        <v>112</v>
      </c>
      <c r="E1408" s="152" t="s">
        <v>113</v>
      </c>
      <c r="F1408" s="152" t="s">
        <v>117</v>
      </c>
      <c r="G1408" s="152" t="s">
        <v>782</v>
      </c>
      <c r="H1408" s="152" t="n">
        <v>63</v>
      </c>
      <c r="I1408" s="152" t="s">
        <v>115</v>
      </c>
      <c r="J1408" s="152" t="s">
        <v>6</v>
      </c>
      <c r="K1408" s="152" t="s">
        <v>6081</v>
      </c>
      <c r="L1408" s="152" t="s">
        <v>120</v>
      </c>
      <c r="M1408" s="153" t="n">
        <f aca="false">45</f>
        <v>45</v>
      </c>
      <c r="N1408" s="152" t="s">
        <v>1548</v>
      </c>
      <c r="O1408" s="152" t="s">
        <v>1549</v>
      </c>
      <c r="P1408" s="152" t="s">
        <v>1550</v>
      </c>
      <c r="Q1408" s="152" t="s">
        <v>1551</v>
      </c>
      <c r="R1408" s="154" t="s">
        <v>6853</v>
      </c>
      <c r="S1408" s="154" t="s">
        <v>1553</v>
      </c>
      <c r="T1408" s="155" t="s">
        <v>6820</v>
      </c>
      <c r="U1408" s="152" t="str">
        <f aca="false">RIGHT(T1408,7)</f>
        <v>025/037</v>
      </c>
      <c r="V1408" s="152" t="s">
        <v>1555</v>
      </c>
      <c r="W1408" s="156" t="n">
        <v>45882</v>
      </c>
      <c r="X1408" s="152" t="s">
        <v>3938</v>
      </c>
      <c r="Y1408" s="152" t="s">
        <v>6292</v>
      </c>
      <c r="Z1408" s="152" t="s">
        <v>1557</v>
      </c>
      <c r="AA1408" s="153" t="n">
        <v>4</v>
      </c>
      <c r="AB1408" s="151" t="s">
        <v>6854</v>
      </c>
      <c r="AC1408" s="151" t="s">
        <v>186</v>
      </c>
      <c r="AD1408" s="151" t="str">
        <f aca="false">CONCATENATE($C1408,$I1408,$H1408,$N1408,$J1408,$K1408)</f>
        <v>TUBO PEADPEAD63VCAREDESZona11</v>
      </c>
      <c r="AE1408" s="153" t="n">
        <f aca="false">IFERROR(INDEX(APOIO_REDES!$A:$W,MATCH($C1408&amp;$I1408&amp;$H1408&amp;$N1408&amp;$O1408,APOIO_REDES!$W:$W,0),MATCH(AE$5,APOIO_REDES!$5:$5,0)),0)</f>
        <v>1.2</v>
      </c>
      <c r="AF1408" s="153" t="n">
        <f aca="false">IFERROR(INDEX(APOIO_REDES!$A:$W,MATCH($C1408&amp;$I1408&amp;$H1408&amp;$N1408&amp;$O1408,APOIO_REDES!$W:$W,0),MATCH(AF$5,APOIO_REDES!$5:$5,0)),0)</f>
        <v>1.363</v>
      </c>
      <c r="AG1408" s="153" t="n">
        <f aca="false">IFERROR(INDEX(APOIO_REDES!$A:$W,MATCH($C1408&amp;$I1408&amp;$H1408&amp;$N1408&amp;$O1408,APOIO_REDES!$W:$W,0),MATCH(AG$5,APOIO_REDES!$5:$5,0)),0)</f>
        <v>0.65</v>
      </c>
      <c r="AH1408" s="153" t="n">
        <f aca="false">IFERROR(INDEX(APOIO_REDES!$A:$W,MATCH($C1408&amp;$I1408&amp;$H1408&amp;$N1408&amp;$O1408,APOIO_REDES!$W:$W,0),MATCH(AH$5,APOIO_REDES!$5:$5,0)),0)</f>
        <v>0.1</v>
      </c>
      <c r="AI1408" s="153" t="n">
        <f aca="false">IFERROR(IF($H1408&lt;&gt;"",(((($H1408/1000)/2)^2)*PI()*$M1408),0),0)</f>
        <v>0.140276038973601</v>
      </c>
      <c r="AJ1408" s="153" t="n">
        <f aca="false">IFERROR(IF(AND($H1408&lt;&gt;"",$I1408="FoFo",OR($N1408="MND",$N1408="VCA"),$Q1408="LINEAR"),0,IF(AND($H1408&lt;&gt;"",$I1408="PEAD",$N1408="VCA",$Q1408="LINEAR"),($H1408/1000)+0.3,IF(AND($H1408&lt;&gt;"",$I1408="PEAD",$N1408="MND",$Q1408="EMBOQUE"),0,IF(AND($H1408&lt;&gt;"",$I1408="PVC",$N1408="VCA",$Q1408="LINEAR"),($H1408/1000)+0.2,IF(AND($H1408&lt;&gt;"",$I1408="PVC",$N1408="MND",$Q1408="EMBOQUE"),0,IF(AND($H1408&lt;&gt;"",$I1408="PEAD",$N1408="VCA",$Q1408="PREDIAL"),0,0)))))),0)</f>
        <v>0.363</v>
      </c>
      <c r="AK1408" s="153" t="n">
        <f aca="false">IF(AA1408&lt;&gt;"",AA1408,0)</f>
        <v>4</v>
      </c>
      <c r="AL1408" s="153" t="n">
        <f aca="false">IF(AND($N1408="MND",$Q1408="EMBOQUE"),$M1408,IF(AND($N1408="VCA",$Q1408="LINEAR"),$M1408,IF(AND($N1408="VCA",$Q1408="PREDIAL"),0,0)))</f>
        <v>45</v>
      </c>
      <c r="AM1408" s="153" t="n">
        <f aca="false">IF(AND($N1408="MND",$Q1408="EMBOQUE"),$M1408,IF(AND($N1408="VCA",$Q1408="LINEAR"),$M1408,IF(AND($N1408="VCA",$Q1408="PREDIAL"),0,0)))</f>
        <v>45</v>
      </c>
      <c r="AN1408" s="153" t="n">
        <f aca="false">ROUND(IF(AND($N1408="VCA",$M1408&lt;&gt;"",$Q1408="LINEAR"),$M1408/100,IF(AND($N1408="MND",$M1408&gt;100,$Q1408="EMBOQUE"),$M1408/100,0)),0)</f>
        <v>0</v>
      </c>
      <c r="AO1408" s="153" t="n">
        <f aca="false">IF(AND($N1408="MND",$Q1408="EMBOQUE"),$AN1408*2*2,IF(AND($N1408="VCA",$Q1408="LINEAR"),$M1408*2,IF(AND($N1408="VCA",$Q1408="PREDIAL"),0,0)))</f>
        <v>90</v>
      </c>
      <c r="AP1408" s="153" t="n">
        <f aca="false">IFERROR($M1408*$AF1408*$AG1408,0)</f>
        <v>39.86775</v>
      </c>
      <c r="AQ1408" s="153" t="n">
        <f aca="false">IFERROR(IF(AND($N1408="VCA",$AH1408&gt;0),$M1408*$AG1408*$AH1408,0),0)</f>
        <v>2.925</v>
      </c>
      <c r="AR1408" s="153" t="n">
        <f aca="false">IFERROR(IF(AND($N1408="VCA",$AJ1408&gt;0),($M1408*$AG1408*$AJ1408)-$AI1408,0),0)</f>
        <v>10.4774739610264</v>
      </c>
      <c r="AS1408" s="153" t="n">
        <f aca="false">IFERROR(IF(AND($N1408="VCA",$AP1408&gt;0),$AP1408-$AI1408-$AQ1408-$AR1408,0),0)</f>
        <v>26.325</v>
      </c>
      <c r="AT1408" s="153" t="n">
        <f aca="false">IFERROR(IF($N1408="VCA",INDEX(APOIO_REDES!$A:$W,MATCH($C1408&amp;$I1408&amp;$H1408&amp;$N1408&amp;$O1408,APOIO_REDES!$W:$W,0),MATCH(AT$5,APOIO_REDES!$5:$5,0)),0)*$AP1408,0)</f>
        <v>0.433772920251658</v>
      </c>
      <c r="AU1408" s="153" t="n">
        <f aca="false">IFERROR(IF($N1408="VCA",INDEX(APOIO_REDES!$A:$W,MATCH($C1408&amp;$I1408&amp;$H1408&amp;$N1408&amp;$O1408,APOIO_REDES!$W:$W,0),MATCH(AU$5,APOIO_REDES!$5:$5,0)),0)*$AP1408,0)</f>
        <v>0.346399306052398</v>
      </c>
      <c r="AV1408" s="153" t="n">
        <f aca="false">IFERROR(IF($N1408="VCA",INDEX(APOIO_REDES!$A:$W,MATCH($C1408&amp;$I1408&amp;$H1408&amp;$N1408&amp;$O1408,APOIO_REDES!$W:$W,0),MATCH(AV$5,APOIO_REDES!$5:$5,0)),0)*$AP1408,0)</f>
        <v>0.0479389446164793</v>
      </c>
      <c r="AW1408" s="153" t="n">
        <f aca="false">IFERROR(IF($N1408="VCA",INDEX(APOIO_REDES!$A:$W,MATCH($C1408&amp;$I1408&amp;$H1408&amp;$N1408&amp;$O1408,APOIO_REDES!$W:$W,0),MATCH(AW$5,APOIO_REDES!$5:$5,0)),0)*$AP1408,0)</f>
        <v>27.3655325104011</v>
      </c>
      <c r="AX1408" s="153" t="n">
        <f aca="false">IFERROR(IF($N1408="VCA",INDEX(APOIO_REDES!$A:$W,MATCH($C1408&amp;$I1408&amp;$H1408&amp;$N1408&amp;$O1408,APOIO_REDES!$W:$W,0),MATCH(AX$5,APOIO_REDES!$5:$5,0)),0)*$AP1408,0)</f>
        <v>3.7873117472446</v>
      </c>
      <c r="AY1408" s="153" t="n">
        <f aca="false">IFERROR(IF($N1408="VCA",INDEX(APOIO_REDES!$A:$W,MATCH($C1408&amp;$I1408&amp;$H1408&amp;$N1408&amp;$O1408,APOIO_REDES!$W:$W,0),MATCH(AY$5,APOIO_REDES!$5:$5,0)),0)*$AP1408,0)</f>
        <v>6.92798189846851</v>
      </c>
      <c r="AZ1408" s="153" t="n">
        <f aca="false">IFERROR(IF($N1408="VCA",INDEX(APOIO_REDES!$A:$W,MATCH($C1408&amp;$I1408&amp;$H1408&amp;$N1408&amp;$O1408,APOIO_REDES!$W:$W,0),MATCH(AZ$5,APOIO_REDES!$5:$5,0)),0)*$AP1408,0)</f>
        <v>0.958812672965271</v>
      </c>
      <c r="BA1408" s="153" t="n">
        <f aca="false">IFERROR(IF(AND($N1408="VCA",$Q1408="LINEAR"),INDEX(APOIO_REDES!$A:$W,MATCH($C1408&amp;$I1408&amp;$H1408&amp;$N1408&amp;$O1408,APOIO_REDES!$W:$W,0),MATCH(BA$5,APOIO_REDES!$5:$5,0)),IF(AND($N1408="MND",$Q1408="EMBOQUE"),INDEX(APOIO_REDES!$A:$W,MATCH($C1408&amp;$I1408&amp;$H1408&amp;$N1408&amp;$O1408,APOIO_REDES!$W:$W,0),MATCH(BA$5,APOIO_REDES!$5:$5,0)),0))*$M1408/10,0)</f>
        <v>3.62688649109011</v>
      </c>
      <c r="BB1408" s="153" t="n">
        <f aca="false">IFERROR(IF($N1408="VCA",INDEX(APOIO_REDES!$A:$W,MATCH($C1408&amp;$I1408&amp;$H1408&amp;$N1408&amp;$O1408,APOIO_REDES!$W:$W,0),MATCH(BB$5,APOIO_REDES!$5:$5,0)),0)*($AI1408+$AQ1408+$AR1408),0)</f>
        <v>13.3954008715506</v>
      </c>
      <c r="BC1408" s="153" t="n">
        <f aca="false">IFERROR(IF($N1408="VCA",INDEX(APOIO_REDES!$A:$W,MATCH($C1408&amp;$I1408&amp;$H1408&amp;$N1408&amp;$O1408,APOIO_REDES!$W:$W,0),MATCH(BC$5,APOIO_REDES!$5:$5,0)),0)*($AI1408+$AQ1408+$AR1408),0)</f>
        <v>0.147349128449389</v>
      </c>
      <c r="BD1408" s="153" t="n">
        <f aca="false">IF(AND($N1408="VCA",$AF1408&gt;=1.25,$AF1408&lt;1.5),$M1408*$AF1408*2,0)</f>
        <v>122.67</v>
      </c>
      <c r="BE1408" s="153" t="n">
        <f aca="false">IF(AND($N1408="VCA",$AF1408&gt;=1.5,$AF1408&lt;3),$M1408*$AF1408*2,0)</f>
        <v>0</v>
      </c>
      <c r="BF1408" s="153" t="n">
        <f aca="false">IF(AND($N1408="VCA",$AF1408&gt;=3),$M1408*$AF1408*2,0)</f>
        <v>0</v>
      </c>
      <c r="BG1408" s="153" t="n">
        <f aca="false">($BB1408+$BC1408)*$AK1408</f>
        <v>54.171</v>
      </c>
      <c r="BH1408" s="153" t="n">
        <f aca="false">IF(AND($M1408&lt;&gt;"",$N1408="VCA",$Q1408="LINEAR"),($M1408*2)/100,IF(AND($M1408&lt;&gt;"",$N1408="MND",$Q1408="EMBOQUE"),($AN1408*2)/100,0))</f>
        <v>0.9</v>
      </c>
      <c r="BI1408" s="153" t="n">
        <f aca="false">IF(AND($M1408&lt;&gt;"",$N1408="VCA",$Q1408="LINEAR"),$M1408,IF(AND($M1408&lt;&gt;"",$N1408="MND",$Q1408="EMBOQUE"),$AN1408*2,0))</f>
        <v>45</v>
      </c>
      <c r="BJ1408" s="153" t="n">
        <f aca="false">IF(AND($M1408&lt;&gt;"",$N1408="VCA",$Q1408="LINEAR"),($M1408*6.8)/100,IF(AND($M1408&lt;&gt;"",$N1408="MND",$Q1408="EMBOQUE"),($AN1408*2*6.8)/100,0))</f>
        <v>3.06</v>
      </c>
      <c r="BK1408" s="153" t="n">
        <f aca="false">IF(AND($M1408&lt;&gt;"",$N1408="VCA",$Q1408="LINEAR"),($M1408*2.5)/50,IF(AND($M1408&lt;&gt;"",$N1408="MND",$Q1408="EMBOQUE"),($AN1408*2*2.5)/50,0))</f>
        <v>2.25</v>
      </c>
      <c r="BL1408" s="157" t="str">
        <f aca="false">K1408&amp;J1408</f>
        <v>Zona11REDES</v>
      </c>
      <c r="BM1408" s="152" t="s">
        <v>6084</v>
      </c>
      <c r="BN1408" s="152" t="s">
        <v>1560</v>
      </c>
      <c r="BO1408" s="152" t="s">
        <v>6822</v>
      </c>
      <c r="BP1408" s="152" t="s">
        <v>6855</v>
      </c>
      <c r="BQ1408" s="152" t="s">
        <v>6834</v>
      </c>
      <c r="BR1408" s="152" t="s">
        <v>6856</v>
      </c>
      <c r="BS1408" s="152" t="n">
        <v>204977.263</v>
      </c>
      <c r="BT1408" s="152" t="n">
        <v>8236262.585</v>
      </c>
      <c r="BU1408" s="152" t="n">
        <v>204961.239</v>
      </c>
      <c r="BV1408" s="152" t="n">
        <v>8236304.583</v>
      </c>
      <c r="BW1408" s="152" t="n">
        <v>-15.9351957</v>
      </c>
      <c r="BX1408" s="152" t="n">
        <v>-47.7557107</v>
      </c>
      <c r="BY1408" s="152" t="s">
        <v>6855</v>
      </c>
    </row>
    <row r="1409" customFormat="false" ht="13.8" hidden="false" customHeight="false" outlineLevel="0" collapsed="false">
      <c r="A1409" s="149" t="n">
        <f aca="false">IF(C1409&lt;&gt;"",ROW(A1404),"")</f>
        <v>1404</v>
      </c>
      <c r="B1409" s="150" t="str">
        <f aca="false">HYPERLINK("https://www.google.com/maps/dir/-15.917302,-47.760003/-15.9364614,-47.7547535/data=!4m3!4m2!3e0!5i2")</f>
        <v>https://www.google.com/maps/dir/-15.917302,-47.760003/-15.9364614,-47.7547535/data=!4m3!4m2!3e0!5i2</v>
      </c>
      <c r="C1409" s="151" t="s">
        <v>117</v>
      </c>
      <c r="D1409" s="152" t="s">
        <v>112</v>
      </c>
      <c r="E1409" s="152" t="s">
        <v>113</v>
      </c>
      <c r="F1409" s="152" t="s">
        <v>117</v>
      </c>
      <c r="G1409" s="152" t="s">
        <v>782</v>
      </c>
      <c r="H1409" s="152" t="n">
        <v>90</v>
      </c>
      <c r="I1409" s="152" t="s">
        <v>115</v>
      </c>
      <c r="J1409" s="152" t="s">
        <v>6</v>
      </c>
      <c r="K1409" s="152" t="s">
        <v>6081</v>
      </c>
      <c r="L1409" s="152" t="s">
        <v>120</v>
      </c>
      <c r="M1409" s="153" t="n">
        <f aca="false">279.31</f>
        <v>279.31</v>
      </c>
      <c r="N1409" s="152" t="s">
        <v>1548</v>
      </c>
      <c r="O1409" s="152" t="s">
        <v>1549</v>
      </c>
      <c r="P1409" s="152" t="s">
        <v>1550</v>
      </c>
      <c r="Q1409" s="152" t="s">
        <v>1551</v>
      </c>
      <c r="R1409" s="154" t="s">
        <v>6857</v>
      </c>
      <c r="S1409" s="154" t="s">
        <v>1593</v>
      </c>
      <c r="T1409" s="155" t="s">
        <v>6820</v>
      </c>
      <c r="U1409" s="152" t="str">
        <f aca="false">RIGHT(T1409,7)</f>
        <v>025/037</v>
      </c>
      <c r="V1409" s="152" t="s">
        <v>1555</v>
      </c>
      <c r="W1409" s="156" t="n">
        <v>45882</v>
      </c>
      <c r="X1409" s="152" t="s">
        <v>3938</v>
      </c>
      <c r="Y1409" s="152" t="s">
        <v>6292</v>
      </c>
      <c r="Z1409" s="152" t="s">
        <v>1557</v>
      </c>
      <c r="AA1409" s="153" t="n">
        <v>4</v>
      </c>
      <c r="AB1409" s="151" t="s">
        <v>6858</v>
      </c>
      <c r="AC1409" s="151" t="s">
        <v>526</v>
      </c>
      <c r="AD1409" s="151" t="str">
        <f aca="false">CONCATENATE($C1409,$I1409,$H1409,$N1409,$J1409,$K1409)</f>
        <v>TUBO PEADPEAD90VCAREDESZona11</v>
      </c>
      <c r="AE1409" s="153" t="n">
        <f aca="false">IFERROR(INDEX(APOIO_REDES!$A:$W,MATCH($C1409&amp;$I1409&amp;$H1409&amp;$N1409&amp;$O1409,APOIO_REDES!$W:$W,0),MATCH(AE$5,APOIO_REDES!$5:$5,0)),0)</f>
        <v>1.2</v>
      </c>
      <c r="AF1409" s="153" t="n">
        <f aca="false">IFERROR(INDEX(APOIO_REDES!$A:$W,MATCH($C1409&amp;$I1409&amp;$H1409&amp;$N1409&amp;$O1409,APOIO_REDES!$W:$W,0),MATCH(AF$5,APOIO_REDES!$5:$5,0)),0)</f>
        <v>1.39</v>
      </c>
      <c r="AG1409" s="153" t="n">
        <f aca="false">IFERROR(INDEX(APOIO_REDES!$A:$W,MATCH($C1409&amp;$I1409&amp;$H1409&amp;$N1409&amp;$O1409,APOIO_REDES!$W:$W,0),MATCH(AG$5,APOIO_REDES!$5:$5,0)),0)</f>
        <v>0.75</v>
      </c>
      <c r="AH1409" s="153" t="n">
        <f aca="false">IFERROR(INDEX(APOIO_REDES!$A:$W,MATCH($C1409&amp;$I1409&amp;$H1409&amp;$N1409&amp;$O1409,APOIO_REDES!$W:$W,0),MATCH(AH$5,APOIO_REDES!$5:$5,0)),0)</f>
        <v>0.1</v>
      </c>
      <c r="AI1409" s="153" t="n">
        <f aca="false">IFERROR(IF($H1409&lt;&gt;"",(((($H1409/1000)/2)^2)*PI()*$M1409),0),0)</f>
        <v>1.77689344425018</v>
      </c>
      <c r="AJ1409" s="153" t="n">
        <f aca="false">IFERROR(IF(AND($H1409&lt;&gt;"",$I1409="FoFo",OR($N1409="MND",$N1409="VCA"),$Q1409="LINEAR"),0,IF(AND($H1409&lt;&gt;"",$I1409="PEAD",$N1409="VCA",$Q1409="LINEAR"),($H1409/1000)+0.3,IF(AND($H1409&lt;&gt;"",$I1409="PEAD",$N1409="MND",$Q1409="EMBOQUE"),0,IF(AND($H1409&lt;&gt;"",$I1409="PVC",$N1409="VCA",$Q1409="LINEAR"),($H1409/1000)+0.2,IF(AND($H1409&lt;&gt;"",$I1409="PVC",$N1409="MND",$Q1409="EMBOQUE"),0,IF(AND($H1409&lt;&gt;"",$I1409="PEAD",$N1409="VCA",$Q1409="PREDIAL"),0,0)))))),0)</f>
        <v>0.39</v>
      </c>
      <c r="AK1409" s="153" t="n">
        <f aca="false">IF(AA1409&lt;&gt;"",AA1409,0)</f>
        <v>4</v>
      </c>
      <c r="AL1409" s="153" t="n">
        <f aca="false">IF(AND($N1409="MND",$Q1409="EMBOQUE"),$M1409,IF(AND($N1409="VCA",$Q1409="LINEAR"),$M1409,IF(AND($N1409="VCA",$Q1409="PREDIAL"),0,0)))</f>
        <v>279.31</v>
      </c>
      <c r="AM1409" s="153" t="n">
        <f aca="false">IF(AND($N1409="MND",$Q1409="EMBOQUE"),$M1409,IF(AND($N1409="VCA",$Q1409="LINEAR"),$M1409,IF(AND($N1409="VCA",$Q1409="PREDIAL"),0,0)))</f>
        <v>279.31</v>
      </c>
      <c r="AN1409" s="153" t="n">
        <f aca="false">ROUND(IF(AND($N1409="VCA",$M1409&lt;&gt;"",$Q1409="LINEAR"),$M1409/100,IF(AND($N1409="MND",$M1409&gt;100,$Q1409="EMBOQUE"),$M1409/100,0)),0)</f>
        <v>3</v>
      </c>
      <c r="AO1409" s="153" t="n">
        <f aca="false">IF(AND($N1409="MND",$Q1409="EMBOQUE"),$AN1409*2*2,IF(AND($N1409="VCA",$Q1409="LINEAR"),$M1409*2,IF(AND($N1409="VCA",$Q1409="PREDIAL"),0,0)))</f>
        <v>558.62</v>
      </c>
      <c r="AP1409" s="153" t="n">
        <f aca="false">IFERROR($M1409*$AF1409*$AG1409,0)</f>
        <v>291.180675</v>
      </c>
      <c r="AQ1409" s="153" t="n">
        <f aca="false">IFERROR(IF(AND($N1409="VCA",$AH1409&gt;0),$M1409*$AG1409*$AH1409,0),0)</f>
        <v>20.94825</v>
      </c>
      <c r="AR1409" s="153" t="n">
        <f aca="false">IFERROR(IF(AND($N1409="VCA",$AJ1409&gt;0),($M1409*$AG1409*$AJ1409)-$AI1409,0),0)</f>
        <v>79.9212815557498</v>
      </c>
      <c r="AS1409" s="153" t="n">
        <f aca="false">IFERROR(IF(AND($N1409="VCA",$AP1409&gt;0),$AP1409-$AI1409-$AQ1409-$AR1409,0),0)</f>
        <v>188.53425</v>
      </c>
      <c r="AT1409" s="153" t="n">
        <f aca="false">IFERROR(IF($N1409="VCA",INDEX(APOIO_REDES!$A:$W,MATCH($C1409&amp;$I1409&amp;$H1409&amp;$N1409&amp;$O1409,APOIO_REDES!$W:$W,0),MATCH(AT$5,APOIO_REDES!$5:$5,0)),0)*$AP1409,0)</f>
        <v>3.16813192908049</v>
      </c>
      <c r="AU1409" s="153" t="n">
        <f aca="false">IFERROR(IF($N1409="VCA",INDEX(APOIO_REDES!$A:$W,MATCH($C1409&amp;$I1409&amp;$H1409&amp;$N1409&amp;$O1409,APOIO_REDES!$W:$W,0),MATCH(AU$5,APOIO_REDES!$5:$5,0)),0)*$AP1409,0)</f>
        <v>2.52998435466935</v>
      </c>
      <c r="AV1409" s="153" t="n">
        <f aca="false">IFERROR(IF($N1409="VCA",INDEX(APOIO_REDES!$A:$W,MATCH($C1409&amp;$I1409&amp;$H1409&amp;$N1409&amp;$O1409,APOIO_REDES!$W:$W,0),MATCH(AV$5,APOIO_REDES!$5:$5,0)),0)*$AP1409,0)</f>
        <v>0.350129973530336</v>
      </c>
      <c r="AW1409" s="153" t="n">
        <f aca="false">IFERROR(IF($N1409="VCA",INDEX(APOIO_REDES!$A:$W,MATCH($C1409&amp;$I1409&amp;$H1409&amp;$N1409&amp;$O1409,APOIO_REDES!$W:$W,0),MATCH(AW$5,APOIO_REDES!$5:$5,0)),0)*$AP1409,0)</f>
        <v>199.868671497966</v>
      </c>
      <c r="AX1409" s="153" t="n">
        <f aca="false">IFERROR(IF($N1409="VCA",INDEX(APOIO_REDES!$A:$W,MATCH($C1409&amp;$I1409&amp;$H1409&amp;$N1409&amp;$O1409,APOIO_REDES!$W:$W,0),MATCH(AX$5,APOIO_REDES!$5:$5,0)),0)*$AP1409,0)</f>
        <v>27.6612547986308</v>
      </c>
      <c r="AY1409" s="153" t="n">
        <f aca="false">IFERROR(IF($N1409="VCA",INDEX(APOIO_REDES!$A:$W,MATCH($C1409&amp;$I1409&amp;$H1409&amp;$N1409&amp;$O1409,APOIO_REDES!$W:$W,0),MATCH(AY$5,APOIO_REDES!$5:$5,0)),0)*$AP1409,0)</f>
        <v>50.5996562530828</v>
      </c>
      <c r="AZ1409" s="153" t="n">
        <f aca="false">IFERROR(IF($N1409="VCA",INDEX(APOIO_REDES!$A:$W,MATCH($C1409&amp;$I1409&amp;$H1409&amp;$N1409&amp;$O1409,APOIO_REDES!$W:$W,0),MATCH(AZ$5,APOIO_REDES!$5:$5,0)),0)*$AP1409,0)</f>
        <v>7.00284619304028</v>
      </c>
      <c r="BA1409" s="153" t="n">
        <f aca="false">IFERROR(IF(AND($N1409="VCA",$Q1409="LINEAR"),INDEX(APOIO_REDES!$A:$W,MATCH($C1409&amp;$I1409&amp;$H1409&amp;$N1409&amp;$O1409,APOIO_REDES!$W:$W,0),MATCH(BA$5,APOIO_REDES!$5:$5,0)),IF(AND($N1409="MND",$Q1409="EMBOQUE"),INDEX(APOIO_REDES!$A:$W,MATCH($C1409&amp;$I1409&amp;$H1409&amp;$N1409&amp;$O1409,APOIO_REDES!$W:$W,0),MATCH(BA$5,APOIO_REDES!$5:$5,0)),0))*$M1409/10,0)</f>
        <v>22.5116814628084</v>
      </c>
      <c r="BB1409" s="153" t="n">
        <f aca="false">IFERROR(IF($N1409="VCA",INDEX(APOIO_REDES!$A:$W,MATCH($C1409&amp;$I1409&amp;$H1409&amp;$N1409&amp;$O1409,APOIO_REDES!$W:$W,0),MATCH(BB$5,APOIO_REDES!$5:$5,0)),0)*($AI1409+$AQ1409+$AR1409),0)</f>
        <v>101.529601514209</v>
      </c>
      <c r="BC1409" s="153" t="n">
        <f aca="false">IFERROR(IF($N1409="VCA",INDEX(APOIO_REDES!$A:$W,MATCH($C1409&amp;$I1409&amp;$H1409&amp;$N1409&amp;$O1409,APOIO_REDES!$W:$W,0),MATCH(BC$5,APOIO_REDES!$5:$5,0)),0)*($AI1409+$AQ1409+$AR1409),0)</f>
        <v>1.11682348579097</v>
      </c>
      <c r="BD1409" s="153" t="n">
        <f aca="false">IF(AND($N1409="VCA",$AF1409&gt;=1.25,$AF1409&lt;1.5),$M1409*$AF1409*2,0)</f>
        <v>776.4818</v>
      </c>
      <c r="BE1409" s="153" t="n">
        <f aca="false">IF(AND($N1409="VCA",$AF1409&gt;=1.5,$AF1409&lt;3),$M1409*$AF1409*2,0)</f>
        <v>0</v>
      </c>
      <c r="BF1409" s="153" t="n">
        <f aca="false">IF(AND($N1409="VCA",$AF1409&gt;=3),$M1409*$AF1409*2,0)</f>
        <v>0</v>
      </c>
      <c r="BG1409" s="153" t="n">
        <f aca="false">($BB1409+$BC1409)*$AK1409</f>
        <v>410.5857</v>
      </c>
      <c r="BH1409" s="153" t="n">
        <f aca="false">IF(AND($M1409&lt;&gt;"",$N1409="VCA",$Q1409="LINEAR"),($M1409*2)/100,IF(AND($M1409&lt;&gt;"",$N1409="MND",$Q1409="EMBOQUE"),($AN1409*2)/100,0))</f>
        <v>5.5862</v>
      </c>
      <c r="BI1409" s="153" t="n">
        <f aca="false">IF(AND($M1409&lt;&gt;"",$N1409="VCA",$Q1409="LINEAR"),$M1409,IF(AND($M1409&lt;&gt;"",$N1409="MND",$Q1409="EMBOQUE"),$AN1409*2,0))</f>
        <v>279.31</v>
      </c>
      <c r="BJ1409" s="153" t="n">
        <f aca="false">IF(AND($M1409&lt;&gt;"",$N1409="VCA",$Q1409="LINEAR"),($M1409*6.8)/100,IF(AND($M1409&lt;&gt;"",$N1409="MND",$Q1409="EMBOQUE"),($AN1409*2*6.8)/100,0))</f>
        <v>18.99308</v>
      </c>
      <c r="BK1409" s="153" t="n">
        <f aca="false">IF(AND($M1409&lt;&gt;"",$N1409="VCA",$Q1409="LINEAR"),($M1409*2.5)/50,IF(AND($M1409&lt;&gt;"",$N1409="MND",$Q1409="EMBOQUE"),($AN1409*2*2.5)/50,0))</f>
        <v>13.9655</v>
      </c>
      <c r="BL1409" s="157" t="str">
        <f aca="false">K1409&amp;J1409</f>
        <v>Zona11REDES</v>
      </c>
      <c r="BM1409" s="152" t="s">
        <v>6084</v>
      </c>
      <c r="BN1409" s="152" t="s">
        <v>1560</v>
      </c>
      <c r="BO1409" s="152" t="s">
        <v>6822</v>
      </c>
      <c r="BP1409" s="152" t="s">
        <v>6859</v>
      </c>
      <c r="BQ1409" s="152" t="s">
        <v>6310</v>
      </c>
      <c r="BR1409" s="152" t="s">
        <v>6860</v>
      </c>
      <c r="BS1409" s="152" t="n">
        <v>205074.478</v>
      </c>
      <c r="BT1409" s="152" t="n">
        <v>8236145.116</v>
      </c>
      <c r="BU1409" s="152" t="n">
        <v>204969.789</v>
      </c>
      <c r="BV1409" s="152" t="n">
        <v>8236404.004</v>
      </c>
      <c r="BW1409" s="152" t="n">
        <v>-15.935285</v>
      </c>
      <c r="BX1409" s="152" t="n">
        <v>-47.7552224</v>
      </c>
      <c r="BY1409" s="152" t="s">
        <v>6859</v>
      </c>
    </row>
    <row r="1410" customFormat="false" ht="13.8" hidden="false" customHeight="false" outlineLevel="0" collapsed="false">
      <c r="A1410" s="149" t="n">
        <f aca="false">IF(C1410&lt;&gt;"",ROW(A1405),"")</f>
        <v>1405</v>
      </c>
      <c r="B1410" s="150" t="str">
        <f aca="false">HYPERLINK("https://www.google.com/maps/dir/-15.917302,-47.760003/-15.9351312,-47.7562880/data=!4m3!4m2!3e0!5i0")</f>
        <v>https://www.google.com/maps/dir/-15.917302,-47.760003/-15.9351312,-47.7562880/data=!4m3!4m2!3e0!5i0</v>
      </c>
      <c r="C1410" s="151" t="s">
        <v>117</v>
      </c>
      <c r="D1410" s="152" t="s">
        <v>112</v>
      </c>
      <c r="E1410" s="152" t="s">
        <v>113</v>
      </c>
      <c r="F1410" s="152" t="s">
        <v>117</v>
      </c>
      <c r="G1410" s="152" t="s">
        <v>782</v>
      </c>
      <c r="H1410" s="152" t="n">
        <v>90</v>
      </c>
      <c r="I1410" s="152" t="s">
        <v>115</v>
      </c>
      <c r="J1410" s="152" t="s">
        <v>6</v>
      </c>
      <c r="K1410" s="152" t="s">
        <v>6081</v>
      </c>
      <c r="L1410" s="152" t="s">
        <v>120</v>
      </c>
      <c r="M1410" s="153" t="n">
        <f aca="false">45.82</f>
        <v>45.82</v>
      </c>
      <c r="N1410" s="152" t="s">
        <v>1548</v>
      </c>
      <c r="O1410" s="152" t="s">
        <v>1549</v>
      </c>
      <c r="P1410" s="152" t="s">
        <v>1550</v>
      </c>
      <c r="Q1410" s="152" t="s">
        <v>1551</v>
      </c>
      <c r="R1410" s="154" t="s">
        <v>6861</v>
      </c>
      <c r="S1410" s="154" t="s">
        <v>1593</v>
      </c>
      <c r="T1410" s="155" t="s">
        <v>6820</v>
      </c>
      <c r="U1410" s="152" t="str">
        <f aca="false">RIGHT(T1410,7)</f>
        <v>025/037</v>
      </c>
      <c r="V1410" s="152" t="s">
        <v>1555</v>
      </c>
      <c r="W1410" s="156" t="n">
        <v>45882</v>
      </c>
      <c r="X1410" s="152" t="s">
        <v>3938</v>
      </c>
      <c r="Y1410" s="152" t="s">
        <v>6292</v>
      </c>
      <c r="Z1410" s="152" t="s">
        <v>1557</v>
      </c>
      <c r="AA1410" s="153" t="n">
        <v>3.1</v>
      </c>
      <c r="AB1410" s="151" t="s">
        <v>6862</v>
      </c>
      <c r="AC1410" s="151" t="s">
        <v>526</v>
      </c>
      <c r="AD1410" s="151" t="str">
        <f aca="false">CONCATENATE($C1410,$I1410,$H1410,$N1410,$J1410,$K1410)</f>
        <v>TUBO PEADPEAD90VCAREDESZona11</v>
      </c>
      <c r="AE1410" s="153" t="n">
        <f aca="false">IFERROR(INDEX(APOIO_REDES!$A:$W,MATCH($C1410&amp;$I1410&amp;$H1410&amp;$N1410&amp;$O1410,APOIO_REDES!$W:$W,0),MATCH(AE$5,APOIO_REDES!$5:$5,0)),0)</f>
        <v>1.2</v>
      </c>
      <c r="AF1410" s="153" t="n">
        <f aca="false">IFERROR(INDEX(APOIO_REDES!$A:$W,MATCH($C1410&amp;$I1410&amp;$H1410&amp;$N1410&amp;$O1410,APOIO_REDES!$W:$W,0),MATCH(AF$5,APOIO_REDES!$5:$5,0)),0)</f>
        <v>1.39</v>
      </c>
      <c r="AG1410" s="153" t="n">
        <f aca="false">IFERROR(INDEX(APOIO_REDES!$A:$W,MATCH($C1410&amp;$I1410&amp;$H1410&amp;$N1410&amp;$O1410,APOIO_REDES!$W:$W,0),MATCH(AG$5,APOIO_REDES!$5:$5,0)),0)</f>
        <v>0.75</v>
      </c>
      <c r="AH1410" s="153" t="n">
        <f aca="false">IFERROR(INDEX(APOIO_REDES!$A:$W,MATCH($C1410&amp;$I1410&amp;$H1410&amp;$N1410&amp;$O1410,APOIO_REDES!$W:$W,0),MATCH(AH$5,APOIO_REDES!$5:$5,0)),0)</f>
        <v>0.1</v>
      </c>
      <c r="AI1410" s="153" t="n">
        <f aca="false">IFERROR(IF($H1410&lt;&gt;"",(((($H1410/1000)/2)^2)*PI()*$M1410),0),0)</f>
        <v>0.291494245159656</v>
      </c>
      <c r="AJ1410" s="153" t="n">
        <f aca="false">IFERROR(IF(AND($H1410&lt;&gt;"",$I1410="FoFo",OR($N1410="MND",$N1410="VCA"),$Q1410="LINEAR"),0,IF(AND($H1410&lt;&gt;"",$I1410="PEAD",$N1410="VCA",$Q1410="LINEAR"),($H1410/1000)+0.3,IF(AND($H1410&lt;&gt;"",$I1410="PEAD",$N1410="MND",$Q1410="EMBOQUE"),0,IF(AND($H1410&lt;&gt;"",$I1410="PVC",$N1410="VCA",$Q1410="LINEAR"),($H1410/1000)+0.2,IF(AND($H1410&lt;&gt;"",$I1410="PVC",$N1410="MND",$Q1410="EMBOQUE"),0,IF(AND($H1410&lt;&gt;"",$I1410="PEAD",$N1410="VCA",$Q1410="PREDIAL"),0,0)))))),0)</f>
        <v>0.39</v>
      </c>
      <c r="AK1410" s="153" t="n">
        <f aca="false">IF(AA1410&lt;&gt;"",AA1410,0)</f>
        <v>3.1</v>
      </c>
      <c r="AL1410" s="153" t="n">
        <f aca="false">IF(AND($N1410="MND",$Q1410="EMBOQUE"),$M1410,IF(AND($N1410="VCA",$Q1410="LINEAR"),$M1410,IF(AND($N1410="VCA",$Q1410="PREDIAL"),0,0)))</f>
        <v>45.82</v>
      </c>
      <c r="AM1410" s="153" t="n">
        <f aca="false">IF(AND($N1410="MND",$Q1410="EMBOQUE"),$M1410,IF(AND($N1410="VCA",$Q1410="LINEAR"),$M1410,IF(AND($N1410="VCA",$Q1410="PREDIAL"),0,0)))</f>
        <v>45.82</v>
      </c>
      <c r="AN1410" s="153" t="n">
        <f aca="false">ROUND(IF(AND($N1410="VCA",$M1410&lt;&gt;"",$Q1410="LINEAR"),$M1410/100,IF(AND($N1410="MND",$M1410&gt;100,$Q1410="EMBOQUE"),$M1410/100,0)),0)</f>
        <v>0</v>
      </c>
      <c r="AO1410" s="153" t="n">
        <f aca="false">IF(AND($N1410="MND",$Q1410="EMBOQUE"),$AN1410*2*2,IF(AND($N1410="VCA",$Q1410="LINEAR"),$M1410*2,IF(AND($N1410="VCA",$Q1410="PREDIAL"),0,0)))</f>
        <v>91.64</v>
      </c>
      <c r="AP1410" s="153" t="n">
        <f aca="false">IFERROR($M1410*$AF1410*$AG1410,0)</f>
        <v>47.76735</v>
      </c>
      <c r="AQ1410" s="153" t="n">
        <f aca="false">IFERROR(IF(AND($N1410="VCA",$AH1410&gt;0),$M1410*$AG1410*$AH1410,0),0)</f>
        <v>3.4365</v>
      </c>
      <c r="AR1410" s="153" t="n">
        <f aca="false">IFERROR(IF(AND($N1410="VCA",$AJ1410&gt;0),($M1410*$AG1410*$AJ1410)-$AI1410,0),0)</f>
        <v>13.1108557548403</v>
      </c>
      <c r="AS1410" s="153" t="n">
        <f aca="false">IFERROR(IF(AND($N1410="VCA",$AP1410&gt;0),$AP1410-$AI1410-$AQ1410-$AR1410,0),0)</f>
        <v>30.9285</v>
      </c>
      <c r="AT1410" s="153" t="n">
        <f aca="false">IFERROR(IF($N1410="VCA",INDEX(APOIO_REDES!$A:$W,MATCH($C1410&amp;$I1410&amp;$H1410&amp;$N1410&amp;$O1410,APOIO_REDES!$W:$W,0),MATCH(AT$5,APOIO_REDES!$5:$5,0)),0)*$AP1410,0)</f>
        <v>0.519722906413906</v>
      </c>
      <c r="AU1410" s="153" t="n">
        <f aca="false">IFERROR(IF($N1410="VCA",INDEX(APOIO_REDES!$A:$W,MATCH($C1410&amp;$I1410&amp;$H1410&amp;$N1410&amp;$O1410,APOIO_REDES!$W:$W,0),MATCH(AU$5,APOIO_REDES!$5:$5,0)),0)*$AP1410,0)</f>
        <v>0.41503663718073</v>
      </c>
      <c r="AV1410" s="153" t="n">
        <f aca="false">IFERROR(IF($N1410="VCA",INDEX(APOIO_REDES!$A:$W,MATCH($C1410&amp;$I1410&amp;$H1410&amp;$N1410&amp;$O1410,APOIO_REDES!$W:$W,0),MATCH(AV$5,APOIO_REDES!$5:$5,0)),0)*$AP1410,0)</f>
        <v>0.0574378124204647</v>
      </c>
      <c r="AW1410" s="153" t="n">
        <f aca="false">IFERROR(IF($N1410="VCA",INDEX(APOIO_REDES!$A:$W,MATCH($C1410&amp;$I1410&amp;$H1410&amp;$N1410&amp;$O1410,APOIO_REDES!$W:$W,0),MATCH(AW$5,APOIO_REDES!$5:$5,0)),0)*$AP1410,0)</f>
        <v>32.7878791594887</v>
      </c>
      <c r="AX1410" s="153" t="n">
        <f aca="false">IFERROR(IF($N1410="VCA",INDEX(APOIO_REDES!$A:$W,MATCH($C1410&amp;$I1410&amp;$H1410&amp;$N1410&amp;$O1410,APOIO_REDES!$W:$W,0),MATCH(AX$5,APOIO_REDES!$5:$5,0)),0)*$AP1410,0)</f>
        <v>4.53774907763153</v>
      </c>
      <c r="AY1410" s="153" t="n">
        <f aca="false">IFERROR(IF($N1410="VCA",INDEX(APOIO_REDES!$A:$W,MATCH($C1410&amp;$I1410&amp;$H1410&amp;$N1410&amp;$O1410,APOIO_REDES!$W:$W,0),MATCH(AY$5,APOIO_REDES!$5:$5,0)),0)*$AP1410,0)</f>
        <v>8.30072768435163</v>
      </c>
      <c r="AZ1410" s="153" t="n">
        <f aca="false">IFERROR(IF($N1410="VCA",INDEX(APOIO_REDES!$A:$W,MATCH($C1410&amp;$I1410&amp;$H1410&amp;$N1410&amp;$O1410,APOIO_REDES!$W:$W,0),MATCH(AZ$5,APOIO_REDES!$5:$5,0)),0)*$AP1410,0)</f>
        <v>1.148796722513</v>
      </c>
      <c r="BA1410" s="153" t="n">
        <f aca="false">IFERROR(IF(AND($N1410="VCA",$Q1410="LINEAR"),INDEX(APOIO_REDES!$A:$W,MATCH($C1410&amp;$I1410&amp;$H1410&amp;$N1410&amp;$O1410,APOIO_REDES!$W:$W,0),MATCH(BA$5,APOIO_REDES!$5:$5,0)),IF(AND($N1410="MND",$Q1410="EMBOQUE"),INDEX(APOIO_REDES!$A:$W,MATCH($C1410&amp;$I1410&amp;$H1410&amp;$N1410&amp;$O1410,APOIO_REDES!$W:$W,0),MATCH(BA$5,APOIO_REDES!$5:$5,0)),0))*$M1410/10,0)</f>
        <v>3.69297642270553</v>
      </c>
      <c r="BB1410" s="153" t="n">
        <f aca="false">IFERROR(IF($N1410="VCA",INDEX(APOIO_REDES!$A:$W,MATCH($C1410&amp;$I1410&amp;$H1410&amp;$N1410&amp;$O1410,APOIO_REDES!$W:$W,0),MATCH(BB$5,APOIO_REDES!$5:$5,0)),0)*($AI1410+$AQ1410+$AR1410),0)</f>
        <v>16.6556383279548</v>
      </c>
      <c r="BC1410" s="153" t="n">
        <f aca="false">IFERROR(IF($N1410="VCA",INDEX(APOIO_REDES!$A:$W,MATCH($C1410&amp;$I1410&amp;$H1410&amp;$N1410&amp;$O1410,APOIO_REDES!$W:$W,0),MATCH(BC$5,APOIO_REDES!$5:$5,0)),0)*($AI1410+$AQ1410+$AR1410),0)</f>
        <v>0.18321167204519</v>
      </c>
      <c r="BD1410" s="153" t="n">
        <f aca="false">IF(AND($N1410="VCA",$AF1410&gt;=1.25,$AF1410&lt;1.5),$M1410*$AF1410*2,0)</f>
        <v>127.3796</v>
      </c>
      <c r="BE1410" s="153" t="n">
        <f aca="false">IF(AND($N1410="VCA",$AF1410&gt;=1.5,$AF1410&lt;3),$M1410*$AF1410*2,0)</f>
        <v>0</v>
      </c>
      <c r="BF1410" s="153" t="n">
        <f aca="false">IF(AND($N1410="VCA",$AF1410&gt;=3),$M1410*$AF1410*2,0)</f>
        <v>0</v>
      </c>
      <c r="BG1410" s="153" t="n">
        <f aca="false">($BB1410+$BC1410)*$AK1410</f>
        <v>52.200435</v>
      </c>
      <c r="BH1410" s="153" t="n">
        <f aca="false">IF(AND($M1410&lt;&gt;"",$N1410="VCA",$Q1410="LINEAR"),($M1410*2)/100,IF(AND($M1410&lt;&gt;"",$N1410="MND",$Q1410="EMBOQUE"),($AN1410*2)/100,0))</f>
        <v>0.9164</v>
      </c>
      <c r="BI1410" s="153" t="n">
        <f aca="false">IF(AND($M1410&lt;&gt;"",$N1410="VCA",$Q1410="LINEAR"),$M1410,IF(AND($M1410&lt;&gt;"",$N1410="MND",$Q1410="EMBOQUE"),$AN1410*2,0))</f>
        <v>45.82</v>
      </c>
      <c r="BJ1410" s="153" t="n">
        <f aca="false">IF(AND($M1410&lt;&gt;"",$N1410="VCA",$Q1410="LINEAR"),($M1410*6.8)/100,IF(AND($M1410&lt;&gt;"",$N1410="MND",$Q1410="EMBOQUE"),($AN1410*2*6.8)/100,0))</f>
        <v>3.11576</v>
      </c>
      <c r="BK1410" s="153" t="n">
        <f aca="false">IF(AND($M1410&lt;&gt;"",$N1410="VCA",$Q1410="LINEAR"),($M1410*2.5)/50,IF(AND($M1410&lt;&gt;"",$N1410="MND",$Q1410="EMBOQUE"),($AN1410*2*2.5)/50,0))</f>
        <v>2.291</v>
      </c>
      <c r="BL1410" s="157" t="str">
        <f aca="false">K1410&amp;J1410</f>
        <v>Zona11REDES</v>
      </c>
      <c r="BM1410" s="152" t="s">
        <v>6084</v>
      </c>
      <c r="BN1410" s="152" t="s">
        <v>1560</v>
      </c>
      <c r="BO1410" s="152" t="s">
        <v>6822</v>
      </c>
      <c r="BP1410" s="152" t="s">
        <v>6848</v>
      </c>
      <c r="BQ1410" s="152" t="s">
        <v>6863</v>
      </c>
      <c r="BR1410" s="152" t="s">
        <v>6864</v>
      </c>
      <c r="BS1410" s="152" t="n">
        <v>204908.139</v>
      </c>
      <c r="BT1410" s="152" t="n">
        <v>8236290.219</v>
      </c>
      <c r="BU1410" s="152" t="n">
        <v>204920.836</v>
      </c>
      <c r="BV1410" s="152" t="n">
        <v>8236246.298</v>
      </c>
      <c r="BW1410" s="152" t="n">
        <v>-15.9353322</v>
      </c>
      <c r="BX1410" s="152" t="n">
        <v>-47.7562372</v>
      </c>
      <c r="BY1410" s="152" t="s">
        <v>6848</v>
      </c>
    </row>
    <row r="1411" customFormat="false" ht="13.8" hidden="false" customHeight="false" outlineLevel="0" collapsed="false">
      <c r="A1411" s="149" t="n">
        <f aca="false">IF(C1411&lt;&gt;"",ROW(A1406),"")</f>
        <v>1406</v>
      </c>
      <c r="B1411" s="150" t="str">
        <f aca="false">HYPERLINK("https://www.google.com/maps/dir/-15.917302,-47.760003/-15.9353890,-47.7556463/data=!4m3!4m2!3e0!5i1")</f>
        <v>https://www.google.com/maps/dir/-15.917302,-47.760003/-15.9353890,-47.7556463/data=!4m3!4m2!3e0!5i1</v>
      </c>
      <c r="C1411" s="151" t="s">
        <v>117</v>
      </c>
      <c r="D1411" s="152" t="s">
        <v>112</v>
      </c>
      <c r="E1411" s="152" t="s">
        <v>113</v>
      </c>
      <c r="F1411" s="152" t="s">
        <v>117</v>
      </c>
      <c r="G1411" s="152" t="s">
        <v>782</v>
      </c>
      <c r="H1411" s="152" t="n">
        <v>63</v>
      </c>
      <c r="I1411" s="152" t="s">
        <v>115</v>
      </c>
      <c r="J1411" s="152" t="s">
        <v>6</v>
      </c>
      <c r="K1411" s="152" t="s">
        <v>6081</v>
      </c>
      <c r="L1411" s="152" t="s">
        <v>120</v>
      </c>
      <c r="M1411" s="153" t="n">
        <f aca="false">58.75</f>
        <v>58.75</v>
      </c>
      <c r="N1411" s="152" t="s">
        <v>1548</v>
      </c>
      <c r="O1411" s="152" t="s">
        <v>1549</v>
      </c>
      <c r="P1411" s="152" t="s">
        <v>1550</v>
      </c>
      <c r="Q1411" s="152" t="s">
        <v>1551</v>
      </c>
      <c r="R1411" s="154" t="s">
        <v>6865</v>
      </c>
      <c r="S1411" s="154" t="s">
        <v>1553</v>
      </c>
      <c r="T1411" s="155" t="s">
        <v>6820</v>
      </c>
      <c r="U1411" s="152" t="str">
        <f aca="false">RIGHT(T1411,7)</f>
        <v>025/037</v>
      </c>
      <c r="V1411" s="152" t="s">
        <v>1555</v>
      </c>
      <c r="W1411" s="156" t="n">
        <v>45882</v>
      </c>
      <c r="X1411" s="152" t="s">
        <v>3938</v>
      </c>
      <c r="Y1411" s="152" t="s">
        <v>6292</v>
      </c>
      <c r="Z1411" s="152" t="s">
        <v>1557</v>
      </c>
      <c r="AA1411" s="153" t="n">
        <v>4</v>
      </c>
      <c r="AB1411" s="151" t="s">
        <v>6866</v>
      </c>
      <c r="AC1411" s="151" t="s">
        <v>186</v>
      </c>
      <c r="AD1411" s="151" t="str">
        <f aca="false">CONCATENATE($C1411,$I1411,$H1411,$N1411,$J1411,$K1411)</f>
        <v>TUBO PEADPEAD63VCAREDESZona11</v>
      </c>
      <c r="AE1411" s="153" t="n">
        <f aca="false">IFERROR(INDEX(APOIO_REDES!$A:$W,MATCH($C1411&amp;$I1411&amp;$H1411&amp;$N1411&amp;$O1411,APOIO_REDES!$W:$W,0),MATCH(AE$5,APOIO_REDES!$5:$5,0)),0)</f>
        <v>1.2</v>
      </c>
      <c r="AF1411" s="153" t="n">
        <f aca="false">IFERROR(INDEX(APOIO_REDES!$A:$W,MATCH($C1411&amp;$I1411&amp;$H1411&amp;$N1411&amp;$O1411,APOIO_REDES!$W:$W,0),MATCH(AF$5,APOIO_REDES!$5:$5,0)),0)</f>
        <v>1.363</v>
      </c>
      <c r="AG1411" s="153" t="n">
        <f aca="false">IFERROR(INDEX(APOIO_REDES!$A:$W,MATCH($C1411&amp;$I1411&amp;$H1411&amp;$N1411&amp;$O1411,APOIO_REDES!$W:$W,0),MATCH(AG$5,APOIO_REDES!$5:$5,0)),0)</f>
        <v>0.65</v>
      </c>
      <c r="AH1411" s="153" t="n">
        <f aca="false">IFERROR(INDEX(APOIO_REDES!$A:$W,MATCH($C1411&amp;$I1411&amp;$H1411&amp;$N1411&amp;$O1411,APOIO_REDES!$W:$W,0),MATCH(AH$5,APOIO_REDES!$5:$5,0)),0)</f>
        <v>0.1</v>
      </c>
      <c r="AI1411" s="153" t="n">
        <f aca="false">IFERROR(IF($H1411&lt;&gt;"",(((($H1411/1000)/2)^2)*PI()*$M1411),0),0)</f>
        <v>0.183138161993313</v>
      </c>
      <c r="AJ1411" s="153" t="n">
        <f aca="false">IFERROR(IF(AND($H1411&lt;&gt;"",$I1411="FoFo",OR($N1411="MND",$N1411="VCA"),$Q1411="LINEAR"),0,IF(AND($H1411&lt;&gt;"",$I1411="PEAD",$N1411="VCA",$Q1411="LINEAR"),($H1411/1000)+0.3,IF(AND($H1411&lt;&gt;"",$I1411="PEAD",$N1411="MND",$Q1411="EMBOQUE"),0,IF(AND($H1411&lt;&gt;"",$I1411="PVC",$N1411="VCA",$Q1411="LINEAR"),($H1411/1000)+0.2,IF(AND($H1411&lt;&gt;"",$I1411="PVC",$N1411="MND",$Q1411="EMBOQUE"),0,IF(AND($H1411&lt;&gt;"",$I1411="PEAD",$N1411="VCA",$Q1411="PREDIAL"),0,0)))))),0)</f>
        <v>0.363</v>
      </c>
      <c r="AK1411" s="153" t="n">
        <f aca="false">IF(AA1411&lt;&gt;"",AA1411,0)</f>
        <v>4</v>
      </c>
      <c r="AL1411" s="153" t="n">
        <f aca="false">IF(AND($N1411="MND",$Q1411="EMBOQUE"),$M1411,IF(AND($N1411="VCA",$Q1411="LINEAR"),$M1411,IF(AND($N1411="VCA",$Q1411="PREDIAL"),0,0)))</f>
        <v>58.75</v>
      </c>
      <c r="AM1411" s="153" t="n">
        <f aca="false">IF(AND($N1411="MND",$Q1411="EMBOQUE"),$M1411,IF(AND($N1411="VCA",$Q1411="LINEAR"),$M1411,IF(AND($N1411="VCA",$Q1411="PREDIAL"),0,0)))</f>
        <v>58.75</v>
      </c>
      <c r="AN1411" s="153" t="n">
        <f aca="false">ROUND(IF(AND($N1411="VCA",$M1411&lt;&gt;"",$Q1411="LINEAR"),$M1411/100,IF(AND($N1411="MND",$M1411&gt;100,$Q1411="EMBOQUE"),$M1411/100,0)),0)</f>
        <v>1</v>
      </c>
      <c r="AO1411" s="153" t="n">
        <f aca="false">IF(AND($N1411="MND",$Q1411="EMBOQUE"),$AN1411*2*2,IF(AND($N1411="VCA",$Q1411="LINEAR"),$M1411*2,IF(AND($N1411="VCA",$Q1411="PREDIAL"),0,0)))</f>
        <v>117.5</v>
      </c>
      <c r="AP1411" s="153" t="n">
        <f aca="false">IFERROR($M1411*$AF1411*$AG1411,0)</f>
        <v>52.0495625</v>
      </c>
      <c r="AQ1411" s="153" t="n">
        <f aca="false">IFERROR(IF(AND($N1411="VCA",$AH1411&gt;0),$M1411*$AG1411*$AH1411,0),0)</f>
        <v>3.81875</v>
      </c>
      <c r="AR1411" s="153" t="n">
        <f aca="false">IFERROR(IF(AND($N1411="VCA",$AJ1411&gt;0),($M1411*$AG1411*$AJ1411)-$AI1411,0),0)</f>
        <v>13.6789243380067</v>
      </c>
      <c r="AS1411" s="153" t="n">
        <f aca="false">IFERROR(IF(AND($N1411="VCA",$AP1411&gt;0),$AP1411-$AI1411-$AQ1411-$AR1411,0),0)</f>
        <v>34.36875</v>
      </c>
      <c r="AT1411" s="153" t="n">
        <f aca="false">IFERROR(IF($N1411="VCA",INDEX(APOIO_REDES!$A:$W,MATCH($C1411&amp;$I1411&amp;$H1411&amp;$N1411&amp;$O1411,APOIO_REDES!$W:$W,0),MATCH(AT$5,APOIO_REDES!$5:$5,0)),0)*$AP1411,0)</f>
        <v>0.566314645884108</v>
      </c>
      <c r="AU1411" s="153" t="n">
        <f aca="false">IFERROR(IF($N1411="VCA",INDEX(APOIO_REDES!$A:$W,MATCH($C1411&amp;$I1411&amp;$H1411&amp;$N1411&amp;$O1411,APOIO_REDES!$W:$W,0),MATCH(AU$5,APOIO_REDES!$5:$5,0)),0)*$AP1411,0)</f>
        <v>0.452243538457298</v>
      </c>
      <c r="AV1411" s="153" t="n">
        <f aca="false">IFERROR(IF($N1411="VCA",INDEX(APOIO_REDES!$A:$W,MATCH($C1411&amp;$I1411&amp;$H1411&amp;$N1411&amp;$O1411,APOIO_REDES!$W:$W,0),MATCH(AV$5,APOIO_REDES!$5:$5,0)),0)*$AP1411,0)</f>
        <v>0.0625869554715146</v>
      </c>
      <c r="AW1411" s="153" t="n">
        <f aca="false">IFERROR(IF($N1411="VCA",INDEX(APOIO_REDES!$A:$W,MATCH($C1411&amp;$I1411&amp;$H1411&amp;$N1411&amp;$O1411,APOIO_REDES!$W:$W,0),MATCH(AW$5,APOIO_REDES!$5:$5,0)),0)*$AP1411,0)</f>
        <v>35.7272229996903</v>
      </c>
      <c r="AX1411" s="153" t="n">
        <f aca="false">IFERROR(IF($N1411="VCA",INDEX(APOIO_REDES!$A:$W,MATCH($C1411&amp;$I1411&amp;$H1411&amp;$N1411&amp;$O1411,APOIO_REDES!$W:$W,0),MATCH(AX$5,APOIO_REDES!$5:$5,0)),0)*$AP1411,0)</f>
        <v>4.94454589223601</v>
      </c>
      <c r="AY1411" s="153" t="n">
        <f aca="false">IFERROR(IF($N1411="VCA",INDEX(APOIO_REDES!$A:$W,MATCH($C1411&amp;$I1411&amp;$H1411&amp;$N1411&amp;$O1411,APOIO_REDES!$W:$W,0),MATCH(AY$5,APOIO_REDES!$5:$5,0)),0)*$AP1411,0)</f>
        <v>9.04486525633388</v>
      </c>
      <c r="AZ1411" s="153" t="n">
        <f aca="false">IFERROR(IF($N1411="VCA",INDEX(APOIO_REDES!$A:$W,MATCH($C1411&amp;$I1411&amp;$H1411&amp;$N1411&amp;$O1411,APOIO_REDES!$W:$W,0),MATCH(AZ$5,APOIO_REDES!$5:$5,0)),0)*$AP1411,0)</f>
        <v>1.25178321192688</v>
      </c>
      <c r="BA1411" s="153" t="n">
        <f aca="false">IFERROR(IF(AND($N1411="VCA",$Q1411="LINEAR"),INDEX(APOIO_REDES!$A:$W,MATCH($C1411&amp;$I1411&amp;$H1411&amp;$N1411&amp;$O1411,APOIO_REDES!$W:$W,0),MATCH(BA$5,APOIO_REDES!$5:$5,0)),IF(AND($N1411="MND",$Q1411="EMBOQUE"),INDEX(APOIO_REDES!$A:$W,MATCH($C1411&amp;$I1411&amp;$H1411&amp;$N1411&amp;$O1411,APOIO_REDES!$W:$W,0),MATCH(BA$5,APOIO_REDES!$5:$5,0)),0))*$M1411/10,0)</f>
        <v>4.73510180781209</v>
      </c>
      <c r="BB1411" s="153" t="n">
        <f aca="false">IFERROR(IF($N1411="VCA",INDEX(APOIO_REDES!$A:$W,MATCH($C1411&amp;$I1411&amp;$H1411&amp;$N1411&amp;$O1411,APOIO_REDES!$W:$W,0),MATCH(BB$5,APOIO_REDES!$5:$5,0)),0)*($AI1411+$AQ1411+$AR1411),0)</f>
        <v>17.4884400267466</v>
      </c>
      <c r="BC1411" s="153" t="n">
        <f aca="false">IFERROR(IF($N1411="VCA",INDEX(APOIO_REDES!$A:$W,MATCH($C1411&amp;$I1411&amp;$H1411&amp;$N1411&amp;$O1411,APOIO_REDES!$W:$W,0),MATCH(BC$5,APOIO_REDES!$5:$5,0)),0)*($AI1411+$AQ1411+$AR1411),0)</f>
        <v>0.192372473253369</v>
      </c>
      <c r="BD1411" s="153" t="n">
        <f aca="false">IF(AND($N1411="VCA",$AF1411&gt;=1.25,$AF1411&lt;1.5),$M1411*$AF1411*2,0)</f>
        <v>160.1525</v>
      </c>
      <c r="BE1411" s="153" t="n">
        <f aca="false">IF(AND($N1411="VCA",$AF1411&gt;=1.5,$AF1411&lt;3),$M1411*$AF1411*2,0)</f>
        <v>0</v>
      </c>
      <c r="BF1411" s="153" t="n">
        <f aca="false">IF(AND($N1411="VCA",$AF1411&gt;=3),$M1411*$AF1411*2,0)</f>
        <v>0</v>
      </c>
      <c r="BG1411" s="153" t="n">
        <f aca="false">($BB1411+$BC1411)*$AK1411</f>
        <v>70.72325</v>
      </c>
      <c r="BH1411" s="153" t="n">
        <f aca="false">IF(AND($M1411&lt;&gt;"",$N1411="VCA",$Q1411="LINEAR"),($M1411*2)/100,IF(AND($M1411&lt;&gt;"",$N1411="MND",$Q1411="EMBOQUE"),($AN1411*2)/100,0))</f>
        <v>1.175</v>
      </c>
      <c r="BI1411" s="153" t="n">
        <f aca="false">IF(AND($M1411&lt;&gt;"",$N1411="VCA",$Q1411="LINEAR"),$M1411,IF(AND($M1411&lt;&gt;"",$N1411="MND",$Q1411="EMBOQUE"),$AN1411*2,0))</f>
        <v>58.75</v>
      </c>
      <c r="BJ1411" s="153" t="n">
        <f aca="false">IF(AND($M1411&lt;&gt;"",$N1411="VCA",$Q1411="LINEAR"),($M1411*6.8)/100,IF(AND($M1411&lt;&gt;"",$N1411="MND",$Q1411="EMBOQUE"),($AN1411*2*6.8)/100,0))</f>
        <v>3.995</v>
      </c>
      <c r="BK1411" s="153" t="n">
        <f aca="false">IF(AND($M1411&lt;&gt;"",$N1411="VCA",$Q1411="LINEAR"),($M1411*2.5)/50,IF(AND($M1411&lt;&gt;"",$N1411="MND",$Q1411="EMBOQUE"),($AN1411*2*2.5)/50,0))</f>
        <v>2.9375</v>
      </c>
      <c r="BL1411" s="157" t="str">
        <f aca="false">K1411&amp;J1411</f>
        <v>Zona11REDES</v>
      </c>
      <c r="BM1411" s="152" t="s">
        <v>6084</v>
      </c>
      <c r="BN1411" s="152" t="s">
        <v>1560</v>
      </c>
      <c r="BO1411" s="152" t="s">
        <v>6822</v>
      </c>
      <c r="BP1411" s="152" t="s">
        <v>6855</v>
      </c>
      <c r="BQ1411" s="152" t="s">
        <v>6863</v>
      </c>
      <c r="BR1411" s="152" t="s">
        <v>6867</v>
      </c>
      <c r="BS1411" s="152" t="n">
        <v>204977.263</v>
      </c>
      <c r="BT1411" s="152" t="n">
        <v>8236262.585</v>
      </c>
      <c r="BU1411" s="152" t="n">
        <v>204920.836</v>
      </c>
      <c r="BV1411" s="152" t="n">
        <v>8236246.298</v>
      </c>
      <c r="BW1411" s="152" t="n">
        <v>-15.9354636</v>
      </c>
      <c r="BX1411" s="152" t="n">
        <v>-47.7559093</v>
      </c>
      <c r="BY1411" s="152" t="s">
        <v>6855</v>
      </c>
    </row>
    <row r="1412" customFormat="false" ht="13.8" hidden="false" customHeight="false" outlineLevel="0" collapsed="false">
      <c r="A1412" s="149" t="n">
        <f aca="false">IF(C1412&lt;&gt;"",ROW(A1407),"")</f>
        <v>1407</v>
      </c>
      <c r="B1412" s="150" t="str">
        <f aca="false">HYPERLINK("https://www.google.com/maps/dir/-15.917302,-47.760003/-15.9355767,-47.7571292/data=!4m3!4m2!3e0!5i1")</f>
        <v>https://www.google.com/maps/dir/-15.917302,-47.760003/-15.9355767,-47.7571292/data=!4m3!4m2!3e0!5i1</v>
      </c>
      <c r="C1412" s="151" t="s">
        <v>117</v>
      </c>
      <c r="D1412" s="152" t="s">
        <v>112</v>
      </c>
      <c r="E1412" s="152" t="s">
        <v>113</v>
      </c>
      <c r="F1412" s="152" t="s">
        <v>117</v>
      </c>
      <c r="G1412" s="152" t="s">
        <v>782</v>
      </c>
      <c r="H1412" s="152" t="n">
        <v>63</v>
      </c>
      <c r="I1412" s="152" t="s">
        <v>115</v>
      </c>
      <c r="J1412" s="152" t="s">
        <v>6</v>
      </c>
      <c r="K1412" s="152" t="s">
        <v>6081</v>
      </c>
      <c r="L1412" s="152" t="s">
        <v>120</v>
      </c>
      <c r="M1412" s="153" t="n">
        <f aca="false">51.34</f>
        <v>51.34</v>
      </c>
      <c r="N1412" s="152" t="s">
        <v>1548</v>
      </c>
      <c r="O1412" s="152" t="s">
        <v>1549</v>
      </c>
      <c r="P1412" s="152" t="s">
        <v>1550</v>
      </c>
      <c r="Q1412" s="152" t="s">
        <v>1551</v>
      </c>
      <c r="R1412" s="154" t="s">
        <v>6868</v>
      </c>
      <c r="S1412" s="154" t="s">
        <v>1553</v>
      </c>
      <c r="T1412" s="155" t="s">
        <v>6820</v>
      </c>
      <c r="U1412" s="152" t="str">
        <f aca="false">RIGHT(T1412,7)</f>
        <v>025/037</v>
      </c>
      <c r="V1412" s="152" t="s">
        <v>1555</v>
      </c>
      <c r="W1412" s="156" t="n">
        <v>45882</v>
      </c>
      <c r="X1412" s="152" t="s">
        <v>3938</v>
      </c>
      <c r="Y1412" s="152" t="s">
        <v>2973</v>
      </c>
      <c r="Z1412" s="152" t="s">
        <v>1557</v>
      </c>
      <c r="AA1412" s="153" t="n">
        <v>4.2</v>
      </c>
      <c r="AB1412" s="151" t="s">
        <v>6869</v>
      </c>
      <c r="AC1412" s="151" t="s">
        <v>186</v>
      </c>
      <c r="AD1412" s="151" t="str">
        <f aca="false">CONCATENATE($C1412,$I1412,$H1412,$N1412,$J1412,$K1412)</f>
        <v>TUBO PEADPEAD63VCAREDESZona11</v>
      </c>
      <c r="AE1412" s="153" t="n">
        <f aca="false">IFERROR(INDEX(APOIO_REDES!$A:$W,MATCH($C1412&amp;$I1412&amp;$H1412&amp;$N1412&amp;$O1412,APOIO_REDES!$W:$W,0),MATCH(AE$5,APOIO_REDES!$5:$5,0)),0)</f>
        <v>1.2</v>
      </c>
      <c r="AF1412" s="153" t="n">
        <f aca="false">IFERROR(INDEX(APOIO_REDES!$A:$W,MATCH($C1412&amp;$I1412&amp;$H1412&amp;$N1412&amp;$O1412,APOIO_REDES!$W:$W,0),MATCH(AF$5,APOIO_REDES!$5:$5,0)),0)</f>
        <v>1.363</v>
      </c>
      <c r="AG1412" s="153" t="n">
        <f aca="false">IFERROR(INDEX(APOIO_REDES!$A:$W,MATCH($C1412&amp;$I1412&amp;$H1412&amp;$N1412&amp;$O1412,APOIO_REDES!$W:$W,0),MATCH(AG$5,APOIO_REDES!$5:$5,0)),0)</f>
        <v>0.65</v>
      </c>
      <c r="AH1412" s="153" t="n">
        <f aca="false">IFERROR(INDEX(APOIO_REDES!$A:$W,MATCH($C1412&amp;$I1412&amp;$H1412&amp;$N1412&amp;$O1412,APOIO_REDES!$W:$W,0),MATCH(AH$5,APOIO_REDES!$5:$5,0)),0)</f>
        <v>0.1</v>
      </c>
      <c r="AI1412" s="153" t="n">
        <f aca="false">IFERROR(IF($H1412&lt;&gt;"",(((($H1412/1000)/2)^2)*PI()*$M1412),0),0)</f>
        <v>0.160039374242326</v>
      </c>
      <c r="AJ1412" s="153" t="n">
        <f aca="false">IFERROR(IF(AND($H1412&lt;&gt;"",$I1412="FoFo",OR($N1412="MND",$N1412="VCA"),$Q1412="LINEAR"),0,IF(AND($H1412&lt;&gt;"",$I1412="PEAD",$N1412="VCA",$Q1412="LINEAR"),($H1412/1000)+0.3,IF(AND($H1412&lt;&gt;"",$I1412="PEAD",$N1412="MND",$Q1412="EMBOQUE"),0,IF(AND($H1412&lt;&gt;"",$I1412="PVC",$N1412="VCA",$Q1412="LINEAR"),($H1412/1000)+0.2,IF(AND($H1412&lt;&gt;"",$I1412="PVC",$N1412="MND",$Q1412="EMBOQUE"),0,IF(AND($H1412&lt;&gt;"",$I1412="PEAD",$N1412="VCA",$Q1412="PREDIAL"),0,0)))))),0)</f>
        <v>0.363</v>
      </c>
      <c r="AK1412" s="153" t="n">
        <f aca="false">IF(AA1412&lt;&gt;"",AA1412,0)</f>
        <v>4.2</v>
      </c>
      <c r="AL1412" s="153" t="n">
        <f aca="false">IF(AND($N1412="MND",$Q1412="EMBOQUE"),$M1412,IF(AND($N1412="VCA",$Q1412="LINEAR"),$M1412,IF(AND($N1412="VCA",$Q1412="PREDIAL"),0,0)))</f>
        <v>51.34</v>
      </c>
      <c r="AM1412" s="153" t="n">
        <f aca="false">IF(AND($N1412="MND",$Q1412="EMBOQUE"),$M1412,IF(AND($N1412="VCA",$Q1412="LINEAR"),$M1412,IF(AND($N1412="VCA",$Q1412="PREDIAL"),0,0)))</f>
        <v>51.34</v>
      </c>
      <c r="AN1412" s="153" t="n">
        <f aca="false">ROUND(IF(AND($N1412="VCA",$M1412&lt;&gt;"",$Q1412="LINEAR"),$M1412/100,IF(AND($N1412="MND",$M1412&gt;100,$Q1412="EMBOQUE"),$M1412/100,0)),0)</f>
        <v>1</v>
      </c>
      <c r="AO1412" s="153" t="n">
        <f aca="false">IF(AND($N1412="MND",$Q1412="EMBOQUE"),$AN1412*2*2,IF(AND($N1412="VCA",$Q1412="LINEAR"),$M1412*2,IF(AND($N1412="VCA",$Q1412="PREDIAL"),0,0)))</f>
        <v>102.68</v>
      </c>
      <c r="AP1412" s="153" t="n">
        <f aca="false">IFERROR($M1412*$AF1412*$AG1412,0)</f>
        <v>45.484673</v>
      </c>
      <c r="AQ1412" s="153" t="n">
        <f aca="false">IFERROR(IF(AND($N1412="VCA",$AH1412&gt;0),$M1412*$AG1412*$AH1412,0),0)</f>
        <v>3.3371</v>
      </c>
      <c r="AR1412" s="153" t="n">
        <f aca="false">IFERROR(IF(AND($N1412="VCA",$AJ1412&gt;0),($M1412*$AG1412*$AJ1412)-$AI1412,0),0)</f>
        <v>11.9536336257577</v>
      </c>
      <c r="AS1412" s="153" t="n">
        <f aca="false">IFERROR(IF(AND($N1412="VCA",$AP1412&gt;0),$AP1412-$AI1412-$AQ1412-$AR1412,0),0)</f>
        <v>30.0339</v>
      </c>
      <c r="AT1412" s="153" t="n">
        <f aca="false">IFERROR(IF($N1412="VCA",INDEX(APOIO_REDES!$A:$W,MATCH($C1412&amp;$I1412&amp;$H1412&amp;$N1412&amp;$O1412,APOIO_REDES!$W:$W,0),MATCH(AT$5,APOIO_REDES!$5:$5,0)),0)*$AP1412,0)</f>
        <v>0.494886705016002</v>
      </c>
      <c r="AU1412" s="153" t="n">
        <f aca="false">IFERROR(IF($N1412="VCA",INDEX(APOIO_REDES!$A:$W,MATCH($C1412&amp;$I1412&amp;$H1412&amp;$N1412&amp;$O1412,APOIO_REDES!$W:$W,0),MATCH(AU$5,APOIO_REDES!$5:$5,0)),0)*$AP1412,0)</f>
        <v>0.395203119394003</v>
      </c>
      <c r="AV1412" s="153" t="n">
        <f aca="false">IFERROR(IF($N1412="VCA",INDEX(APOIO_REDES!$A:$W,MATCH($C1412&amp;$I1412&amp;$H1412&amp;$N1412&amp;$O1412,APOIO_REDES!$W:$W,0),MATCH(AV$5,APOIO_REDES!$5:$5,0)),0)*$AP1412,0)</f>
        <v>0.054693009258001</v>
      </c>
      <c r="AW1412" s="153" t="n">
        <f aca="false">IFERROR(IF($N1412="VCA",INDEX(APOIO_REDES!$A:$W,MATCH($C1412&amp;$I1412&amp;$H1412&amp;$N1412&amp;$O1412,APOIO_REDES!$W:$W,0),MATCH(AW$5,APOIO_REDES!$5:$5,0)),0)*$AP1412,0)</f>
        <v>31.2210319796443</v>
      </c>
      <c r="AX1412" s="153" t="n">
        <f aca="false">IFERROR(IF($N1412="VCA",INDEX(APOIO_REDES!$A:$W,MATCH($C1412&amp;$I1412&amp;$H1412&amp;$N1412&amp;$O1412,APOIO_REDES!$W:$W,0),MATCH(AX$5,APOIO_REDES!$5:$5,0)),0)*$AP1412,0)</f>
        <v>4.32090189118973</v>
      </c>
      <c r="AY1412" s="153" t="n">
        <f aca="false">IFERROR(IF($N1412="VCA",INDEX(APOIO_REDES!$A:$W,MATCH($C1412&amp;$I1412&amp;$H1412&amp;$N1412&amp;$O1412,APOIO_REDES!$W:$W,0),MATCH(AY$5,APOIO_REDES!$5:$5,0)),0)*$AP1412,0)</f>
        <v>7.90405757038607</v>
      </c>
      <c r="AZ1412" s="153" t="n">
        <f aca="false">IFERROR(IF($N1412="VCA",INDEX(APOIO_REDES!$A:$W,MATCH($C1412&amp;$I1412&amp;$H1412&amp;$N1412&amp;$O1412,APOIO_REDES!$W:$W,0),MATCH(AZ$5,APOIO_REDES!$5:$5,0)),0)*$AP1412,0)</f>
        <v>1.09389872511193</v>
      </c>
      <c r="BA1412" s="153" t="n">
        <f aca="false">IFERROR(IF(AND($N1412="VCA",$Q1412="LINEAR"),INDEX(APOIO_REDES!$A:$W,MATCH($C1412&amp;$I1412&amp;$H1412&amp;$N1412&amp;$O1412,APOIO_REDES!$W:$W,0),MATCH(BA$5,APOIO_REDES!$5:$5,0)),IF(AND($N1412="MND",$Q1412="EMBOQUE"),INDEX(APOIO_REDES!$A:$W,MATCH($C1412&amp;$I1412&amp;$H1412&amp;$N1412&amp;$O1412,APOIO_REDES!$W:$W,0),MATCH(BA$5,APOIO_REDES!$5:$5,0)),0))*$M1412/10,0)</f>
        <v>4.13787449894592</v>
      </c>
      <c r="BB1412" s="153" t="n">
        <f aca="false">IFERROR(IF($N1412="VCA",INDEX(APOIO_REDES!$A:$W,MATCH($C1412&amp;$I1412&amp;$H1412&amp;$N1412&amp;$O1412,APOIO_REDES!$W:$W,0),MATCH(BB$5,APOIO_REDES!$5:$5,0)),0)*($AI1412+$AQ1412+$AR1412),0)</f>
        <v>15.2826640165646</v>
      </c>
      <c r="BC1412" s="153" t="n">
        <f aca="false">IFERROR(IF($N1412="VCA",INDEX(APOIO_REDES!$A:$W,MATCH($C1412&amp;$I1412&amp;$H1412&amp;$N1412&amp;$O1412,APOIO_REDES!$W:$W,0),MATCH(BC$5,APOIO_REDES!$5:$5,0)),0)*($AI1412+$AQ1412+$AR1412),0)</f>
        <v>0.16810898343537</v>
      </c>
      <c r="BD1412" s="153" t="n">
        <f aca="false">IF(AND($N1412="VCA",$AF1412&gt;=1.25,$AF1412&lt;1.5),$M1412*$AF1412*2,0)</f>
        <v>139.95284</v>
      </c>
      <c r="BE1412" s="153" t="n">
        <f aca="false">IF(AND($N1412="VCA",$AF1412&gt;=1.5,$AF1412&lt;3),$M1412*$AF1412*2,0)</f>
        <v>0</v>
      </c>
      <c r="BF1412" s="153" t="n">
        <f aca="false">IF(AND($N1412="VCA",$AF1412&gt;=3),$M1412*$AF1412*2,0)</f>
        <v>0</v>
      </c>
      <c r="BG1412" s="153" t="n">
        <f aca="false">($BB1412+$BC1412)*$AK1412</f>
        <v>64.8932466</v>
      </c>
      <c r="BH1412" s="153" t="n">
        <f aca="false">IF(AND($M1412&lt;&gt;"",$N1412="VCA",$Q1412="LINEAR"),($M1412*2)/100,IF(AND($M1412&lt;&gt;"",$N1412="MND",$Q1412="EMBOQUE"),($AN1412*2)/100,0))</f>
        <v>1.0268</v>
      </c>
      <c r="BI1412" s="153" t="n">
        <f aca="false">IF(AND($M1412&lt;&gt;"",$N1412="VCA",$Q1412="LINEAR"),$M1412,IF(AND($M1412&lt;&gt;"",$N1412="MND",$Q1412="EMBOQUE"),$AN1412*2,0))</f>
        <v>51.34</v>
      </c>
      <c r="BJ1412" s="153" t="n">
        <f aca="false">IF(AND($M1412&lt;&gt;"",$N1412="VCA",$Q1412="LINEAR"),($M1412*6.8)/100,IF(AND($M1412&lt;&gt;"",$N1412="MND",$Q1412="EMBOQUE"),($AN1412*2*6.8)/100,0))</f>
        <v>3.49112</v>
      </c>
      <c r="BK1412" s="153" t="n">
        <f aca="false">IF(AND($M1412&lt;&gt;"",$N1412="VCA",$Q1412="LINEAR"),($M1412*2.5)/50,IF(AND($M1412&lt;&gt;"",$N1412="MND",$Q1412="EMBOQUE"),($AN1412*2*2.5)/50,0))</f>
        <v>2.567</v>
      </c>
      <c r="BL1412" s="157" t="str">
        <f aca="false">K1412&amp;J1412</f>
        <v>Zona11REDES</v>
      </c>
      <c r="BM1412" s="152" t="s">
        <v>6084</v>
      </c>
      <c r="BN1412" s="152" t="s">
        <v>1560</v>
      </c>
      <c r="BO1412" s="152" t="s">
        <v>6822</v>
      </c>
      <c r="BP1412" s="152" t="s">
        <v>6839</v>
      </c>
      <c r="BQ1412" s="152" t="s">
        <v>6844</v>
      </c>
      <c r="BR1412" s="152" t="s">
        <v>6870</v>
      </c>
      <c r="BS1412" s="152" t="n">
        <v>204818.671</v>
      </c>
      <c r="BT1412" s="152" t="n">
        <v>8236239.706</v>
      </c>
      <c r="BU1412" s="152" t="n">
        <v>204868.189</v>
      </c>
      <c r="BV1412" s="152" t="n">
        <v>8236253.249</v>
      </c>
      <c r="BW1412" s="152" t="n">
        <v>-15.9355185</v>
      </c>
      <c r="BX1412" s="152" t="n">
        <v>-47.7568973</v>
      </c>
      <c r="BY1412" s="152" t="s">
        <v>6839</v>
      </c>
    </row>
    <row r="1413" customFormat="false" ht="13.8" hidden="false" customHeight="false" outlineLevel="0" collapsed="false">
      <c r="A1413" s="149" t="n">
        <f aca="false">IF(C1413&lt;&gt;"",ROW(A1408),"")</f>
        <v>1408</v>
      </c>
      <c r="B1413" s="150" t="str">
        <f aca="false">HYPERLINK("https://www.google.com/maps/dir/-15.917302,-47.760003/-15.9357886,-47.7555074/data=!4m3!4m2!3e0!5i0")</f>
        <v>https://www.google.com/maps/dir/-15.917302,-47.760003/-15.9357886,-47.7555074/data=!4m3!4m2!3e0!5i0</v>
      </c>
      <c r="C1413" s="151" t="s">
        <v>117</v>
      </c>
      <c r="D1413" s="152" t="s">
        <v>112</v>
      </c>
      <c r="E1413" s="152" t="s">
        <v>113</v>
      </c>
      <c r="F1413" s="152" t="s">
        <v>117</v>
      </c>
      <c r="G1413" s="152" t="s">
        <v>782</v>
      </c>
      <c r="H1413" s="152" t="n">
        <v>63</v>
      </c>
      <c r="I1413" s="152" t="s">
        <v>115</v>
      </c>
      <c r="J1413" s="152" t="s">
        <v>6</v>
      </c>
      <c r="K1413" s="152" t="s">
        <v>6081</v>
      </c>
      <c r="L1413" s="152" t="s">
        <v>120</v>
      </c>
      <c r="M1413" s="153" t="n">
        <f aca="false">46.69</f>
        <v>46.69</v>
      </c>
      <c r="N1413" s="152" t="s">
        <v>1548</v>
      </c>
      <c r="O1413" s="152" t="s">
        <v>1549</v>
      </c>
      <c r="P1413" s="152" t="s">
        <v>1550</v>
      </c>
      <c r="Q1413" s="152" t="s">
        <v>1551</v>
      </c>
      <c r="R1413" s="154" t="s">
        <v>6871</v>
      </c>
      <c r="S1413" s="154" t="s">
        <v>1553</v>
      </c>
      <c r="T1413" s="155" t="s">
        <v>6820</v>
      </c>
      <c r="U1413" s="152" t="str">
        <f aca="false">RIGHT(T1413,7)</f>
        <v>025/037</v>
      </c>
      <c r="V1413" s="152" t="s">
        <v>1555</v>
      </c>
      <c r="W1413" s="156" t="n">
        <v>45882</v>
      </c>
      <c r="X1413" s="152" t="s">
        <v>3938</v>
      </c>
      <c r="Y1413" s="152" t="s">
        <v>6292</v>
      </c>
      <c r="Z1413" s="152" t="s">
        <v>1557</v>
      </c>
      <c r="AA1413" s="153" t="n">
        <v>4</v>
      </c>
      <c r="AB1413" s="151" t="s">
        <v>6872</v>
      </c>
      <c r="AC1413" s="151" t="s">
        <v>186</v>
      </c>
      <c r="AD1413" s="151" t="str">
        <f aca="false">CONCATENATE($C1413,$I1413,$H1413,$N1413,$J1413,$K1413)</f>
        <v>TUBO PEADPEAD63VCAREDESZona11</v>
      </c>
      <c r="AE1413" s="153" t="n">
        <f aca="false">IFERROR(INDEX(APOIO_REDES!$A:$W,MATCH($C1413&amp;$I1413&amp;$H1413&amp;$N1413&amp;$O1413,APOIO_REDES!$W:$W,0),MATCH(AE$5,APOIO_REDES!$5:$5,0)),0)</f>
        <v>1.2</v>
      </c>
      <c r="AF1413" s="153" t="n">
        <f aca="false">IFERROR(INDEX(APOIO_REDES!$A:$W,MATCH($C1413&amp;$I1413&amp;$H1413&amp;$N1413&amp;$O1413,APOIO_REDES!$W:$W,0),MATCH(AF$5,APOIO_REDES!$5:$5,0)),0)</f>
        <v>1.363</v>
      </c>
      <c r="AG1413" s="153" t="n">
        <f aca="false">IFERROR(INDEX(APOIO_REDES!$A:$W,MATCH($C1413&amp;$I1413&amp;$H1413&amp;$N1413&amp;$O1413,APOIO_REDES!$W:$W,0),MATCH(AG$5,APOIO_REDES!$5:$5,0)),0)</f>
        <v>0.65</v>
      </c>
      <c r="AH1413" s="153" t="n">
        <f aca="false">IFERROR(INDEX(APOIO_REDES!$A:$W,MATCH($C1413&amp;$I1413&amp;$H1413&amp;$N1413&amp;$O1413,APOIO_REDES!$W:$W,0),MATCH(AH$5,APOIO_REDES!$5:$5,0)),0)</f>
        <v>0.1</v>
      </c>
      <c r="AI1413" s="153" t="n">
        <f aca="false">IFERROR(IF($H1413&lt;&gt;"",(((($H1413/1000)/2)^2)*PI()*$M1413),0),0)</f>
        <v>0.145544183548388</v>
      </c>
      <c r="AJ1413" s="153" t="n">
        <f aca="false">IFERROR(IF(AND($H1413&lt;&gt;"",$I1413="FoFo",OR($N1413="MND",$N1413="VCA"),$Q1413="LINEAR"),0,IF(AND($H1413&lt;&gt;"",$I1413="PEAD",$N1413="VCA",$Q1413="LINEAR"),($H1413/1000)+0.3,IF(AND($H1413&lt;&gt;"",$I1413="PEAD",$N1413="MND",$Q1413="EMBOQUE"),0,IF(AND($H1413&lt;&gt;"",$I1413="PVC",$N1413="VCA",$Q1413="LINEAR"),($H1413/1000)+0.2,IF(AND($H1413&lt;&gt;"",$I1413="PVC",$N1413="MND",$Q1413="EMBOQUE"),0,IF(AND($H1413&lt;&gt;"",$I1413="PEAD",$N1413="VCA",$Q1413="PREDIAL"),0,0)))))),0)</f>
        <v>0.363</v>
      </c>
      <c r="AK1413" s="153" t="n">
        <f aca="false">IF(AA1413&lt;&gt;"",AA1413,0)</f>
        <v>4</v>
      </c>
      <c r="AL1413" s="153" t="n">
        <f aca="false">IF(AND($N1413="MND",$Q1413="EMBOQUE"),$M1413,IF(AND($N1413="VCA",$Q1413="LINEAR"),$M1413,IF(AND($N1413="VCA",$Q1413="PREDIAL"),0,0)))</f>
        <v>46.69</v>
      </c>
      <c r="AM1413" s="153" t="n">
        <f aca="false">IF(AND($N1413="MND",$Q1413="EMBOQUE"),$M1413,IF(AND($N1413="VCA",$Q1413="LINEAR"),$M1413,IF(AND($N1413="VCA",$Q1413="PREDIAL"),0,0)))</f>
        <v>46.69</v>
      </c>
      <c r="AN1413" s="153" t="n">
        <f aca="false">ROUND(IF(AND($N1413="VCA",$M1413&lt;&gt;"",$Q1413="LINEAR"),$M1413/100,IF(AND($N1413="MND",$M1413&gt;100,$Q1413="EMBOQUE"),$M1413/100,0)),0)</f>
        <v>0</v>
      </c>
      <c r="AO1413" s="153" t="n">
        <f aca="false">IF(AND($N1413="MND",$Q1413="EMBOQUE"),$AN1413*2*2,IF(AND($N1413="VCA",$Q1413="LINEAR"),$M1413*2,IF(AND($N1413="VCA",$Q1413="PREDIAL"),0,0)))</f>
        <v>93.38</v>
      </c>
      <c r="AP1413" s="153" t="n">
        <f aca="false">IFERROR($M1413*$AF1413*$AG1413,0)</f>
        <v>41.3650055</v>
      </c>
      <c r="AQ1413" s="153" t="n">
        <f aca="false">IFERROR(IF(AND($N1413="VCA",$AH1413&gt;0),$M1413*$AG1413*$AH1413,0),0)</f>
        <v>3.03485</v>
      </c>
      <c r="AR1413" s="153" t="n">
        <f aca="false">IFERROR(IF(AND($N1413="VCA",$AJ1413&gt;0),($M1413*$AG1413*$AJ1413)-$AI1413,0),0)</f>
        <v>10.8709613164516</v>
      </c>
      <c r="AS1413" s="153" t="n">
        <f aca="false">IFERROR(IF(AND($N1413="VCA",$AP1413&gt;0),$AP1413-$AI1413-$AQ1413-$AR1413,0),0)</f>
        <v>27.31365</v>
      </c>
      <c r="AT1413" s="153" t="n">
        <f aca="false">IFERROR(IF($N1413="VCA",INDEX(APOIO_REDES!$A:$W,MATCH($C1413&amp;$I1413&amp;$H1413&amp;$N1413&amp;$O1413,APOIO_REDES!$W:$W,0),MATCH(AT$5,APOIO_REDES!$5:$5,0)),0)*$AP1413,0)</f>
        <v>0.450063503256664</v>
      </c>
      <c r="AU1413" s="153" t="n">
        <f aca="false">IFERROR(IF($N1413="VCA",INDEX(APOIO_REDES!$A:$W,MATCH($C1413&amp;$I1413&amp;$H1413&amp;$N1413&amp;$O1413,APOIO_REDES!$W:$W,0),MATCH(AU$5,APOIO_REDES!$5:$5,0)),0)*$AP1413,0)</f>
        <v>0.359408524435255</v>
      </c>
      <c r="AV1413" s="153" t="n">
        <f aca="false">IFERROR(IF($N1413="VCA",INDEX(APOIO_REDES!$A:$W,MATCH($C1413&amp;$I1413&amp;$H1413&amp;$N1413&amp;$O1413,APOIO_REDES!$W:$W,0),MATCH(AV$5,APOIO_REDES!$5:$5,0)),0)*$AP1413,0)</f>
        <v>0.0497393183142982</v>
      </c>
      <c r="AW1413" s="153" t="n">
        <f aca="false">IFERROR(IF($N1413="VCA",INDEX(APOIO_REDES!$A:$W,MATCH($C1413&amp;$I1413&amp;$H1413&amp;$N1413&amp;$O1413,APOIO_REDES!$W:$W,0),MATCH(AW$5,APOIO_REDES!$5:$5,0)),0)*$AP1413,0)</f>
        <v>28.3932602869028</v>
      </c>
      <c r="AX1413" s="153" t="n">
        <f aca="false">IFERROR(IF($N1413="VCA",INDEX(APOIO_REDES!$A:$W,MATCH($C1413&amp;$I1413&amp;$H1413&amp;$N1413&amp;$O1413,APOIO_REDES!$W:$W,0),MATCH(AX$5,APOIO_REDES!$5:$5,0)),0)*$AP1413,0)</f>
        <v>3.92954634397446</v>
      </c>
      <c r="AY1413" s="153" t="n">
        <f aca="false">IFERROR(IF($N1413="VCA",INDEX(APOIO_REDES!$A:$W,MATCH($C1413&amp;$I1413&amp;$H1413&amp;$N1413&amp;$O1413,APOIO_REDES!$W:$W,0),MATCH(AY$5,APOIO_REDES!$5:$5,0)),0)*$AP1413,0)</f>
        <v>7.18816610754432</v>
      </c>
      <c r="AZ1413" s="153" t="n">
        <f aca="false">IFERROR(IF($N1413="VCA",INDEX(APOIO_REDES!$A:$W,MATCH($C1413&amp;$I1413&amp;$H1413&amp;$N1413&amp;$O1413,APOIO_REDES!$W:$W,0),MATCH(AZ$5,APOIO_REDES!$5:$5,0)),0)*$AP1413,0)</f>
        <v>0.994821415572189</v>
      </c>
      <c r="BA1413" s="153" t="n">
        <f aca="false">IFERROR(IF(AND($N1413="VCA",$Q1413="LINEAR"),INDEX(APOIO_REDES!$A:$W,MATCH($C1413&amp;$I1413&amp;$H1413&amp;$N1413&amp;$O1413,APOIO_REDES!$W:$W,0),MATCH(BA$5,APOIO_REDES!$5:$5,0)),IF(AND($N1413="MND",$Q1413="EMBOQUE"),INDEX(APOIO_REDES!$A:$W,MATCH($C1413&amp;$I1413&amp;$H1413&amp;$N1413&amp;$O1413,APOIO_REDES!$W:$W,0),MATCH(BA$5,APOIO_REDES!$5:$5,0)),0))*$M1413/10,0)</f>
        <v>3.76309622819994</v>
      </c>
      <c r="BB1413" s="153" t="n">
        <f aca="false">IFERROR(IF($N1413="VCA",INDEX(APOIO_REDES!$A:$W,MATCH($C1413&amp;$I1413&amp;$H1413&amp;$N1413&amp;$O1413,APOIO_REDES!$W:$W,0),MATCH(BB$5,APOIO_REDES!$5:$5,0)),0)*($AI1413+$AQ1413+$AR1413),0)</f>
        <v>13.8984725931711</v>
      </c>
      <c r="BC1413" s="153" t="n">
        <f aca="false">IFERROR(IF($N1413="VCA",INDEX(APOIO_REDES!$A:$W,MATCH($C1413&amp;$I1413&amp;$H1413&amp;$N1413&amp;$O1413,APOIO_REDES!$W:$W,0),MATCH(BC$5,APOIO_REDES!$5:$5,0)),0)*($AI1413+$AQ1413+$AR1413),0)</f>
        <v>0.152882906828933</v>
      </c>
      <c r="BD1413" s="153" t="n">
        <f aca="false">IF(AND($N1413="VCA",$AF1413&gt;=1.25,$AF1413&lt;1.5),$M1413*$AF1413*2,0)</f>
        <v>127.27694</v>
      </c>
      <c r="BE1413" s="153" t="n">
        <f aca="false">IF(AND($N1413="VCA",$AF1413&gt;=1.5,$AF1413&lt;3),$M1413*$AF1413*2,0)</f>
        <v>0</v>
      </c>
      <c r="BF1413" s="153" t="n">
        <f aca="false">IF(AND($N1413="VCA",$AF1413&gt;=3),$M1413*$AF1413*2,0)</f>
        <v>0</v>
      </c>
      <c r="BG1413" s="153" t="n">
        <f aca="false">($BB1413+$BC1413)*$AK1413</f>
        <v>56.205422</v>
      </c>
      <c r="BH1413" s="153" t="n">
        <f aca="false">IF(AND($M1413&lt;&gt;"",$N1413="VCA",$Q1413="LINEAR"),($M1413*2)/100,IF(AND($M1413&lt;&gt;"",$N1413="MND",$Q1413="EMBOQUE"),($AN1413*2)/100,0))</f>
        <v>0.9338</v>
      </c>
      <c r="BI1413" s="153" t="n">
        <f aca="false">IF(AND($M1413&lt;&gt;"",$N1413="VCA",$Q1413="LINEAR"),$M1413,IF(AND($M1413&lt;&gt;"",$N1413="MND",$Q1413="EMBOQUE"),$AN1413*2,0))</f>
        <v>46.69</v>
      </c>
      <c r="BJ1413" s="153" t="n">
        <f aca="false">IF(AND($M1413&lt;&gt;"",$N1413="VCA",$Q1413="LINEAR"),($M1413*6.8)/100,IF(AND($M1413&lt;&gt;"",$N1413="MND",$Q1413="EMBOQUE"),($AN1413*2*6.8)/100,0))</f>
        <v>3.17492</v>
      </c>
      <c r="BK1413" s="153" t="n">
        <f aca="false">IF(AND($M1413&lt;&gt;"",$N1413="VCA",$Q1413="LINEAR"),($M1413*2.5)/50,IF(AND($M1413&lt;&gt;"",$N1413="MND",$Q1413="EMBOQUE"),($AN1413*2*2.5)/50,0))</f>
        <v>2.3345</v>
      </c>
      <c r="BL1413" s="157" t="str">
        <f aca="false">K1413&amp;J1413</f>
        <v>Zona11REDES</v>
      </c>
      <c r="BM1413" s="152" t="s">
        <v>6084</v>
      </c>
      <c r="BN1413" s="152" t="s">
        <v>1560</v>
      </c>
      <c r="BO1413" s="152" t="s">
        <v>6822</v>
      </c>
      <c r="BP1413" s="152" t="s">
        <v>6873</v>
      </c>
      <c r="BQ1413" s="152" t="s">
        <v>6855</v>
      </c>
      <c r="BR1413" s="152" t="s">
        <v>6874</v>
      </c>
      <c r="BS1413" s="152" t="n">
        <v>204992.721</v>
      </c>
      <c r="BT1413" s="152" t="n">
        <v>8236218.54</v>
      </c>
      <c r="BU1413" s="152" t="n">
        <v>204977.263</v>
      </c>
      <c r="BV1413" s="152" t="n">
        <v>8236262.585</v>
      </c>
      <c r="BW1413" s="152" t="n">
        <v>-15.9355892</v>
      </c>
      <c r="BX1413" s="152" t="n">
        <v>-47.7555781</v>
      </c>
      <c r="BY1413" s="152" t="s">
        <v>6873</v>
      </c>
    </row>
    <row r="1414" customFormat="false" ht="13.8" hidden="false" customHeight="false" outlineLevel="0" collapsed="false">
      <c r="A1414" s="149" t="n">
        <f aca="false">IF(C1414&lt;&gt;"",ROW(A1409),"")</f>
        <v>1409</v>
      </c>
      <c r="B1414" s="150" t="str">
        <f aca="false">HYPERLINK("https://www.google.com/maps/dir/-15.917302,-47.760003/-15.9355294,-47.7561749/data=!4m3!4m2!3e0!5i0")</f>
        <v>https://www.google.com/maps/dir/-15.917302,-47.760003/-15.9355294,-47.7561749/data=!4m3!4m2!3e0!5i0</v>
      </c>
      <c r="C1414" s="151" t="s">
        <v>117</v>
      </c>
      <c r="D1414" s="152" t="s">
        <v>112</v>
      </c>
      <c r="E1414" s="152" t="s">
        <v>113</v>
      </c>
      <c r="F1414" s="152" t="s">
        <v>117</v>
      </c>
      <c r="G1414" s="152" t="s">
        <v>782</v>
      </c>
      <c r="H1414" s="152" t="n">
        <v>90</v>
      </c>
      <c r="I1414" s="152" t="s">
        <v>115</v>
      </c>
      <c r="J1414" s="152" t="s">
        <v>6</v>
      </c>
      <c r="K1414" s="152" t="s">
        <v>6081</v>
      </c>
      <c r="L1414" s="152" t="s">
        <v>120</v>
      </c>
      <c r="M1414" s="153" t="n">
        <f aca="false">45.44</f>
        <v>45.44</v>
      </c>
      <c r="N1414" s="152" t="s">
        <v>1548</v>
      </c>
      <c r="O1414" s="152" t="s">
        <v>1549</v>
      </c>
      <c r="P1414" s="152" t="s">
        <v>1550</v>
      </c>
      <c r="Q1414" s="152" t="s">
        <v>1551</v>
      </c>
      <c r="R1414" s="154" t="s">
        <v>6875</v>
      </c>
      <c r="S1414" s="154" t="s">
        <v>1593</v>
      </c>
      <c r="T1414" s="155" t="s">
        <v>6820</v>
      </c>
      <c r="U1414" s="152" t="str">
        <f aca="false">RIGHT(T1414,7)</f>
        <v>025/037</v>
      </c>
      <c r="V1414" s="152" t="s">
        <v>1555</v>
      </c>
      <c r="W1414" s="156" t="n">
        <v>45882</v>
      </c>
      <c r="X1414" s="152" t="s">
        <v>3938</v>
      </c>
      <c r="Y1414" s="152" t="s">
        <v>6292</v>
      </c>
      <c r="Z1414" s="152" t="s">
        <v>1557</v>
      </c>
      <c r="AA1414" s="153" t="n">
        <v>3.2</v>
      </c>
      <c r="AB1414" s="151" t="s">
        <v>6876</v>
      </c>
      <c r="AC1414" s="151" t="s">
        <v>526</v>
      </c>
      <c r="AD1414" s="151" t="str">
        <f aca="false">CONCATENATE($C1414,$I1414,$H1414,$N1414,$J1414,$K1414)</f>
        <v>TUBO PEADPEAD90VCAREDESZona11</v>
      </c>
      <c r="AE1414" s="153" t="n">
        <f aca="false">IFERROR(INDEX(APOIO_REDES!$A:$W,MATCH($C1414&amp;$I1414&amp;$H1414&amp;$N1414&amp;$O1414,APOIO_REDES!$W:$W,0),MATCH(AE$5,APOIO_REDES!$5:$5,0)),0)</f>
        <v>1.2</v>
      </c>
      <c r="AF1414" s="153" t="n">
        <f aca="false">IFERROR(INDEX(APOIO_REDES!$A:$W,MATCH($C1414&amp;$I1414&amp;$H1414&amp;$N1414&amp;$O1414,APOIO_REDES!$W:$W,0),MATCH(AF$5,APOIO_REDES!$5:$5,0)),0)</f>
        <v>1.39</v>
      </c>
      <c r="AG1414" s="153" t="n">
        <f aca="false">IFERROR(INDEX(APOIO_REDES!$A:$W,MATCH($C1414&amp;$I1414&amp;$H1414&amp;$N1414&amp;$O1414,APOIO_REDES!$W:$W,0),MATCH(AG$5,APOIO_REDES!$5:$5,0)),0)</f>
        <v>0.75</v>
      </c>
      <c r="AH1414" s="153" t="n">
        <f aca="false">IFERROR(INDEX(APOIO_REDES!$A:$W,MATCH($C1414&amp;$I1414&amp;$H1414&amp;$N1414&amp;$O1414,APOIO_REDES!$W:$W,0),MATCH(AH$5,APOIO_REDES!$5:$5,0)),0)</f>
        <v>0.1</v>
      </c>
      <c r="AI1414" s="153" t="n">
        <f aca="false">IFERROR(IF($H1414&lt;&gt;"",(((($H1414/1000)/2)^2)*PI()*$M1414),0),0)</f>
        <v>0.289076789612718</v>
      </c>
      <c r="AJ1414" s="153" t="n">
        <f aca="false">IFERROR(IF(AND($H1414&lt;&gt;"",$I1414="FoFo",OR($N1414="MND",$N1414="VCA"),$Q1414="LINEAR"),0,IF(AND($H1414&lt;&gt;"",$I1414="PEAD",$N1414="VCA",$Q1414="LINEAR"),($H1414/1000)+0.3,IF(AND($H1414&lt;&gt;"",$I1414="PEAD",$N1414="MND",$Q1414="EMBOQUE"),0,IF(AND($H1414&lt;&gt;"",$I1414="PVC",$N1414="VCA",$Q1414="LINEAR"),($H1414/1000)+0.2,IF(AND($H1414&lt;&gt;"",$I1414="PVC",$N1414="MND",$Q1414="EMBOQUE"),0,IF(AND($H1414&lt;&gt;"",$I1414="PEAD",$N1414="VCA",$Q1414="PREDIAL"),0,0)))))),0)</f>
        <v>0.39</v>
      </c>
      <c r="AK1414" s="153" t="n">
        <f aca="false">IF(AA1414&lt;&gt;"",AA1414,0)</f>
        <v>3.2</v>
      </c>
      <c r="AL1414" s="153" t="n">
        <f aca="false">IF(AND($N1414="MND",$Q1414="EMBOQUE"),$M1414,IF(AND($N1414="VCA",$Q1414="LINEAR"),$M1414,IF(AND($N1414="VCA",$Q1414="PREDIAL"),0,0)))</f>
        <v>45.44</v>
      </c>
      <c r="AM1414" s="153" t="n">
        <f aca="false">IF(AND($N1414="MND",$Q1414="EMBOQUE"),$M1414,IF(AND($N1414="VCA",$Q1414="LINEAR"),$M1414,IF(AND($N1414="VCA",$Q1414="PREDIAL"),0,0)))</f>
        <v>45.44</v>
      </c>
      <c r="AN1414" s="153" t="n">
        <f aca="false">ROUND(IF(AND($N1414="VCA",$M1414&lt;&gt;"",$Q1414="LINEAR"),$M1414/100,IF(AND($N1414="MND",$M1414&gt;100,$Q1414="EMBOQUE"),$M1414/100,0)),0)</f>
        <v>0</v>
      </c>
      <c r="AO1414" s="153" t="n">
        <f aca="false">IF(AND($N1414="MND",$Q1414="EMBOQUE"),$AN1414*2*2,IF(AND($N1414="VCA",$Q1414="LINEAR"),$M1414*2,IF(AND($N1414="VCA",$Q1414="PREDIAL"),0,0)))</f>
        <v>90.88</v>
      </c>
      <c r="AP1414" s="153" t="n">
        <f aca="false">IFERROR($M1414*$AF1414*$AG1414,0)</f>
        <v>47.3712</v>
      </c>
      <c r="AQ1414" s="153" t="n">
        <f aca="false">IFERROR(IF(AND($N1414="VCA",$AH1414&gt;0),$M1414*$AG1414*$AH1414,0),0)</f>
        <v>3.408</v>
      </c>
      <c r="AR1414" s="153" t="n">
        <f aca="false">IFERROR(IF(AND($N1414="VCA",$AJ1414&gt;0),($M1414*$AG1414*$AJ1414)-$AI1414,0),0)</f>
        <v>13.0021232103873</v>
      </c>
      <c r="AS1414" s="153" t="n">
        <f aca="false">IFERROR(IF(AND($N1414="VCA",$AP1414&gt;0),$AP1414-$AI1414-$AQ1414-$AR1414,0),0)</f>
        <v>30.672</v>
      </c>
      <c r="AT1414" s="153" t="n">
        <f aca="false">IFERROR(IF($N1414="VCA",INDEX(APOIO_REDES!$A:$W,MATCH($C1414&amp;$I1414&amp;$H1414&amp;$N1414&amp;$O1414,APOIO_REDES!$W:$W,0),MATCH(AT$5,APOIO_REDES!$5:$5,0)),0)*$AP1414,0)</f>
        <v>0.515412677159492</v>
      </c>
      <c r="AU1414" s="153" t="n">
        <f aca="false">IFERROR(IF($N1414="VCA",INDEX(APOIO_REDES!$A:$W,MATCH($C1414&amp;$I1414&amp;$H1414&amp;$N1414&amp;$O1414,APOIO_REDES!$W:$W,0),MATCH(AU$5,APOIO_REDES!$5:$5,0)),0)*$AP1414,0)</f>
        <v>0.411594604833967</v>
      </c>
      <c r="AV1414" s="153" t="n">
        <f aca="false">IFERROR(IF($N1414="VCA",INDEX(APOIO_REDES!$A:$W,MATCH($C1414&amp;$I1414&amp;$H1414&amp;$N1414&amp;$O1414,APOIO_REDES!$W:$W,0),MATCH(AV$5,APOIO_REDES!$5:$5,0)),0)*$AP1414,0)</f>
        <v>0.0569614621646861</v>
      </c>
      <c r="AW1414" s="153" t="n">
        <f aca="false">IFERROR(IF($N1414="VCA",INDEX(APOIO_REDES!$A:$W,MATCH($C1414&amp;$I1414&amp;$H1414&amp;$N1414&amp;$O1414,APOIO_REDES!$W:$W,0),MATCH(AW$5,APOIO_REDES!$5:$5,0)),0)*$AP1414,0)</f>
        <v>32.5159587299688</v>
      </c>
      <c r="AX1414" s="153" t="n">
        <f aca="false">IFERROR(IF($N1414="VCA",INDEX(APOIO_REDES!$A:$W,MATCH($C1414&amp;$I1414&amp;$H1414&amp;$N1414&amp;$O1414,APOIO_REDES!$W:$W,0),MATCH(AX$5,APOIO_REDES!$5:$5,0)),0)*$AP1414,0)</f>
        <v>4.50011606476597</v>
      </c>
      <c r="AY1414" s="153" t="n">
        <f aca="false">IFERROR(IF($N1414="VCA",INDEX(APOIO_REDES!$A:$W,MATCH($C1414&amp;$I1414&amp;$H1414&amp;$N1414&amp;$O1414,APOIO_REDES!$W:$W,0),MATCH(AY$5,APOIO_REDES!$5:$5,0)),0)*$AP1414,0)</f>
        <v>8.23188707937447</v>
      </c>
      <c r="AZ1414" s="153" t="n">
        <f aca="false">IFERROR(IF($N1414="VCA",INDEX(APOIO_REDES!$A:$W,MATCH($C1414&amp;$I1414&amp;$H1414&amp;$N1414&amp;$O1414,APOIO_REDES!$W:$W,0),MATCH(AZ$5,APOIO_REDES!$5:$5,0)),0)*$AP1414,0)</f>
        <v>1.13926938173266</v>
      </c>
      <c r="BA1414" s="153" t="n">
        <f aca="false">IFERROR(IF(AND($N1414="VCA",$Q1414="LINEAR"),INDEX(APOIO_REDES!$A:$W,MATCH($C1414&amp;$I1414&amp;$H1414&amp;$N1414&amp;$O1414,APOIO_REDES!$W:$W,0),MATCH(BA$5,APOIO_REDES!$5:$5,0)),IF(AND($N1414="MND",$Q1414="EMBOQUE"),INDEX(APOIO_REDES!$A:$W,MATCH($C1414&amp;$I1414&amp;$H1414&amp;$N1414&amp;$O1414,APOIO_REDES!$W:$W,0),MATCH(BA$5,APOIO_REDES!$5:$5,0)),0))*$M1414/10,0)</f>
        <v>3.66234938122522</v>
      </c>
      <c r="BB1414" s="153" t="n">
        <f aca="false">IFERROR(IF($N1414="VCA",INDEX(APOIO_REDES!$A:$W,MATCH($C1414&amp;$I1414&amp;$H1414&amp;$N1414&amp;$O1414,APOIO_REDES!$W:$W,0),MATCH(BB$5,APOIO_REDES!$5:$5,0)),0)*($AI1414+$AQ1414+$AR1414),0)</f>
        <v>16.5175077612891</v>
      </c>
      <c r="BC1414" s="153" t="n">
        <f aca="false">IFERROR(IF($N1414="VCA",INDEX(APOIO_REDES!$A:$W,MATCH($C1414&amp;$I1414&amp;$H1414&amp;$N1414&amp;$O1414,APOIO_REDES!$W:$W,0),MATCH(BC$5,APOIO_REDES!$5:$5,0)),0)*($AI1414+$AQ1414+$AR1414),0)</f>
        <v>0.1816922387109</v>
      </c>
      <c r="BD1414" s="153" t="n">
        <f aca="false">IF(AND($N1414="VCA",$AF1414&gt;=1.25,$AF1414&lt;1.5),$M1414*$AF1414*2,0)</f>
        <v>126.3232</v>
      </c>
      <c r="BE1414" s="153" t="n">
        <f aca="false">IF(AND($N1414="VCA",$AF1414&gt;=1.5,$AF1414&lt;3),$M1414*$AF1414*2,0)</f>
        <v>0</v>
      </c>
      <c r="BF1414" s="153" t="n">
        <f aca="false">IF(AND($N1414="VCA",$AF1414&gt;=3),$M1414*$AF1414*2,0)</f>
        <v>0</v>
      </c>
      <c r="BG1414" s="153" t="n">
        <f aca="false">($BB1414+$BC1414)*$AK1414</f>
        <v>53.43744</v>
      </c>
      <c r="BH1414" s="153" t="n">
        <f aca="false">IF(AND($M1414&lt;&gt;"",$N1414="VCA",$Q1414="LINEAR"),($M1414*2)/100,IF(AND($M1414&lt;&gt;"",$N1414="MND",$Q1414="EMBOQUE"),($AN1414*2)/100,0))</f>
        <v>0.9088</v>
      </c>
      <c r="BI1414" s="153" t="n">
        <f aca="false">IF(AND($M1414&lt;&gt;"",$N1414="VCA",$Q1414="LINEAR"),$M1414,IF(AND($M1414&lt;&gt;"",$N1414="MND",$Q1414="EMBOQUE"),$AN1414*2,0))</f>
        <v>45.44</v>
      </c>
      <c r="BJ1414" s="153" t="n">
        <f aca="false">IF(AND($M1414&lt;&gt;"",$N1414="VCA",$Q1414="LINEAR"),($M1414*6.8)/100,IF(AND($M1414&lt;&gt;"",$N1414="MND",$Q1414="EMBOQUE"),($AN1414*2*6.8)/100,0))</f>
        <v>3.08992</v>
      </c>
      <c r="BK1414" s="153" t="n">
        <f aca="false">IF(AND($M1414&lt;&gt;"",$N1414="VCA",$Q1414="LINEAR"),($M1414*2.5)/50,IF(AND($M1414&lt;&gt;"",$N1414="MND",$Q1414="EMBOQUE"),($AN1414*2*2.5)/50,0))</f>
        <v>2.272</v>
      </c>
      <c r="BL1414" s="157" t="str">
        <f aca="false">K1414&amp;J1414</f>
        <v>Zona11REDES</v>
      </c>
      <c r="BM1414" s="152" t="s">
        <v>6084</v>
      </c>
      <c r="BN1414" s="152" t="s">
        <v>1560</v>
      </c>
      <c r="BO1414" s="152" t="s">
        <v>6822</v>
      </c>
      <c r="BP1414" s="152" t="s">
        <v>6863</v>
      </c>
      <c r="BQ1414" s="152" t="s">
        <v>6877</v>
      </c>
      <c r="BR1414" s="152" t="s">
        <v>6878</v>
      </c>
      <c r="BS1414" s="152" t="n">
        <v>204920.836</v>
      </c>
      <c r="BT1414" s="152" t="n">
        <v>8236246.298</v>
      </c>
      <c r="BU1414" s="152" t="n">
        <v>204933.731</v>
      </c>
      <c r="BV1414" s="152" t="n">
        <v>8236202.766</v>
      </c>
      <c r="BW1414" s="152" t="n">
        <v>-15.935725</v>
      </c>
      <c r="BX1414" s="152" t="n">
        <v>-47.7561114</v>
      </c>
      <c r="BY1414" s="152" t="s">
        <v>6863</v>
      </c>
    </row>
    <row r="1415" customFormat="false" ht="13.8" hidden="false" customHeight="false" outlineLevel="0" collapsed="false">
      <c r="A1415" s="149" t="n">
        <f aca="false">IF(C1415&lt;&gt;"",ROW(A1410),"")</f>
        <v>1410</v>
      </c>
      <c r="B1415" s="150" t="str">
        <f aca="false">HYPERLINK("https://www.google.com/maps/dir/-15.917302,-47.760003/-15.9354603,-47.7566654/data=!4m3!4m2!3e0!5i1")</f>
        <v>https://www.google.com/maps/dir/-15.917302,-47.760003/-15.9354603,-47.7566654/data=!4m3!4m2!3e0!5i1</v>
      </c>
      <c r="C1415" s="151" t="s">
        <v>117</v>
      </c>
      <c r="D1415" s="152" t="s">
        <v>112</v>
      </c>
      <c r="E1415" s="152" t="s">
        <v>113</v>
      </c>
      <c r="F1415" s="152" t="s">
        <v>117</v>
      </c>
      <c r="G1415" s="152" t="s">
        <v>782</v>
      </c>
      <c r="H1415" s="152" t="n">
        <v>63</v>
      </c>
      <c r="I1415" s="152" t="s">
        <v>115</v>
      </c>
      <c r="J1415" s="152" t="s">
        <v>6</v>
      </c>
      <c r="K1415" s="152" t="s">
        <v>6081</v>
      </c>
      <c r="L1415" s="152" t="s">
        <v>120</v>
      </c>
      <c r="M1415" s="153" t="n">
        <f aca="false">80.26</f>
        <v>80.26</v>
      </c>
      <c r="N1415" s="152" t="s">
        <v>1548</v>
      </c>
      <c r="O1415" s="152" t="s">
        <v>1549</v>
      </c>
      <c r="P1415" s="152" t="s">
        <v>1550</v>
      </c>
      <c r="Q1415" s="152" t="s">
        <v>1551</v>
      </c>
      <c r="R1415" s="154" t="s">
        <v>6879</v>
      </c>
      <c r="S1415" s="154" t="s">
        <v>1553</v>
      </c>
      <c r="T1415" s="155" t="s">
        <v>6820</v>
      </c>
      <c r="U1415" s="152" t="str">
        <f aca="false">RIGHT(T1415,7)</f>
        <v>025/037</v>
      </c>
      <c r="V1415" s="152" t="s">
        <v>1555</v>
      </c>
      <c r="W1415" s="156" t="n">
        <v>45882</v>
      </c>
      <c r="X1415" s="152" t="s">
        <v>3938</v>
      </c>
      <c r="Y1415" s="152" t="s">
        <v>6292</v>
      </c>
      <c r="Z1415" s="152" t="s">
        <v>1557</v>
      </c>
      <c r="AA1415" s="153" t="n">
        <v>4.2</v>
      </c>
      <c r="AB1415" s="151" t="s">
        <v>6880</v>
      </c>
      <c r="AC1415" s="151" t="s">
        <v>186</v>
      </c>
      <c r="AD1415" s="151" t="str">
        <f aca="false">CONCATENATE($C1415,$I1415,$H1415,$N1415,$J1415,$K1415)</f>
        <v>TUBO PEADPEAD63VCAREDESZona11</v>
      </c>
      <c r="AE1415" s="153" t="n">
        <f aca="false">IFERROR(INDEX(APOIO_REDES!$A:$W,MATCH($C1415&amp;$I1415&amp;$H1415&amp;$N1415&amp;$O1415,APOIO_REDES!$W:$W,0),MATCH(AE$5,APOIO_REDES!$5:$5,0)),0)</f>
        <v>1.2</v>
      </c>
      <c r="AF1415" s="153" t="n">
        <f aca="false">IFERROR(INDEX(APOIO_REDES!$A:$W,MATCH($C1415&amp;$I1415&amp;$H1415&amp;$N1415&amp;$O1415,APOIO_REDES!$W:$W,0),MATCH(AF$5,APOIO_REDES!$5:$5,0)),0)</f>
        <v>1.363</v>
      </c>
      <c r="AG1415" s="153" t="n">
        <f aca="false">IFERROR(INDEX(APOIO_REDES!$A:$W,MATCH($C1415&amp;$I1415&amp;$H1415&amp;$N1415&amp;$O1415,APOIO_REDES!$W:$W,0),MATCH(AG$5,APOIO_REDES!$5:$5,0)),0)</f>
        <v>0.65</v>
      </c>
      <c r="AH1415" s="153" t="n">
        <f aca="false">IFERROR(INDEX(APOIO_REDES!$A:$W,MATCH($C1415&amp;$I1415&amp;$H1415&amp;$N1415&amp;$O1415,APOIO_REDES!$W:$W,0),MATCH(AH$5,APOIO_REDES!$5:$5,0)),0)</f>
        <v>0.1</v>
      </c>
      <c r="AI1415" s="153" t="n">
        <f aca="false">IFERROR(IF($H1415&lt;&gt;"",(((($H1415/1000)/2)^2)*PI()*$M1415),0),0)</f>
        <v>0.250190108622694</v>
      </c>
      <c r="AJ1415" s="153" t="n">
        <f aca="false">IFERROR(IF(AND($H1415&lt;&gt;"",$I1415="FoFo",OR($N1415="MND",$N1415="VCA"),$Q1415="LINEAR"),0,IF(AND($H1415&lt;&gt;"",$I1415="PEAD",$N1415="VCA",$Q1415="LINEAR"),($H1415/1000)+0.3,IF(AND($H1415&lt;&gt;"",$I1415="PEAD",$N1415="MND",$Q1415="EMBOQUE"),0,IF(AND($H1415&lt;&gt;"",$I1415="PVC",$N1415="VCA",$Q1415="LINEAR"),($H1415/1000)+0.2,IF(AND($H1415&lt;&gt;"",$I1415="PVC",$N1415="MND",$Q1415="EMBOQUE"),0,IF(AND($H1415&lt;&gt;"",$I1415="PEAD",$N1415="VCA",$Q1415="PREDIAL"),0,0)))))),0)</f>
        <v>0.363</v>
      </c>
      <c r="AK1415" s="153" t="n">
        <f aca="false">IF(AA1415&lt;&gt;"",AA1415,0)</f>
        <v>4.2</v>
      </c>
      <c r="AL1415" s="153" t="n">
        <f aca="false">IF(AND($N1415="MND",$Q1415="EMBOQUE"),$M1415,IF(AND($N1415="VCA",$Q1415="LINEAR"),$M1415,IF(AND($N1415="VCA",$Q1415="PREDIAL"),0,0)))</f>
        <v>80.26</v>
      </c>
      <c r="AM1415" s="153" t="n">
        <f aca="false">IF(AND($N1415="MND",$Q1415="EMBOQUE"),$M1415,IF(AND($N1415="VCA",$Q1415="LINEAR"),$M1415,IF(AND($N1415="VCA",$Q1415="PREDIAL"),0,0)))</f>
        <v>80.26</v>
      </c>
      <c r="AN1415" s="153" t="n">
        <f aca="false">ROUND(IF(AND($N1415="VCA",$M1415&lt;&gt;"",$Q1415="LINEAR"),$M1415/100,IF(AND($N1415="MND",$M1415&gt;100,$Q1415="EMBOQUE"),$M1415/100,0)),0)</f>
        <v>1</v>
      </c>
      <c r="AO1415" s="153" t="n">
        <f aca="false">IF(AND($N1415="MND",$Q1415="EMBOQUE"),$AN1415*2*2,IF(AND($N1415="VCA",$Q1415="LINEAR"),$M1415*2,IF(AND($N1415="VCA",$Q1415="PREDIAL"),0,0)))</f>
        <v>160.52</v>
      </c>
      <c r="AP1415" s="153" t="n">
        <f aca="false">IFERROR($M1415*$AF1415*$AG1415,0)</f>
        <v>71.106347</v>
      </c>
      <c r="AQ1415" s="153" t="n">
        <f aca="false">IFERROR(IF(AND($N1415="VCA",$AH1415&gt;0),$M1415*$AG1415*$AH1415,0),0)</f>
        <v>5.2169</v>
      </c>
      <c r="AR1415" s="153" t="n">
        <f aca="false">IFERROR(IF(AND($N1415="VCA",$AJ1415&gt;0),($M1415*$AG1415*$AJ1415)-$AI1415,0),0)</f>
        <v>18.6871568913773</v>
      </c>
      <c r="AS1415" s="153" t="n">
        <f aca="false">IFERROR(IF(AND($N1415="VCA",$AP1415&gt;0),$AP1415-$AI1415-$AQ1415-$AR1415,0),0)</f>
        <v>46.9521</v>
      </c>
      <c r="AT1415" s="153" t="n">
        <f aca="false">IFERROR(IF($N1415="VCA",INDEX(APOIO_REDES!$A:$W,MATCH($C1415&amp;$I1415&amp;$H1415&amp;$N1415&amp;$O1415,APOIO_REDES!$W:$W,0),MATCH(AT$5,APOIO_REDES!$5:$5,0)),0)*$AP1415,0)</f>
        <v>0.773658101764401</v>
      </c>
      <c r="AU1415" s="153" t="n">
        <f aca="false">IFERROR(IF($N1415="VCA",INDEX(APOIO_REDES!$A:$W,MATCH($C1415&amp;$I1415&amp;$H1415&amp;$N1415&amp;$O1415,APOIO_REDES!$W:$W,0),MATCH(AU$5,APOIO_REDES!$5:$5,0)),0)*$AP1415,0)</f>
        <v>0.617822406750344</v>
      </c>
      <c r="AV1415" s="153" t="n">
        <f aca="false">IFERROR(IF($N1415="VCA",INDEX(APOIO_REDES!$A:$W,MATCH($C1415&amp;$I1415&amp;$H1415&amp;$N1415&amp;$O1415,APOIO_REDES!$W:$W,0),MATCH(AV$5,APOIO_REDES!$5:$5,0)),0)*$AP1415,0)</f>
        <v>0.0855017709981917</v>
      </c>
      <c r="AW1415" s="153" t="n">
        <f aca="false">IFERROR(IF($N1415="VCA",INDEX(APOIO_REDES!$A:$W,MATCH($C1415&amp;$I1415&amp;$H1415&amp;$N1415&amp;$O1415,APOIO_REDES!$W:$W,0),MATCH(AW$5,APOIO_REDES!$5:$5,0)),0)*$AP1415,0)</f>
        <v>48.807947539662</v>
      </c>
      <c r="AX1415" s="153" t="n">
        <f aca="false">IFERROR(IF($N1415="VCA",INDEX(APOIO_REDES!$A:$W,MATCH($C1415&amp;$I1415&amp;$H1415&amp;$N1415&amp;$O1415,APOIO_REDES!$W:$W,0),MATCH(AX$5,APOIO_REDES!$5:$5,0)),0)*$AP1415,0)</f>
        <v>6.75488090741893</v>
      </c>
      <c r="AY1415" s="153" t="n">
        <f aca="false">IFERROR(IF($N1415="VCA",INDEX(APOIO_REDES!$A:$W,MATCH($C1415&amp;$I1415&amp;$H1415&amp;$N1415&amp;$O1415,APOIO_REDES!$W:$W,0),MATCH(AY$5,APOIO_REDES!$5:$5,0)),0)*$AP1415,0)</f>
        <v>12.3564406038018</v>
      </c>
      <c r="AZ1415" s="153" t="n">
        <f aca="false">IFERROR(IF($N1415="VCA",INDEX(APOIO_REDES!$A:$W,MATCH($C1415&amp;$I1415&amp;$H1415&amp;$N1415&amp;$O1415,APOIO_REDES!$W:$W,0),MATCH(AZ$5,APOIO_REDES!$5:$5,0)),0)*$AP1415,0)</f>
        <v>1.71009566960428</v>
      </c>
      <c r="BA1415" s="153" t="n">
        <f aca="false">IFERROR(IF(AND($N1415="VCA",$Q1415="LINEAR"),INDEX(APOIO_REDES!$A:$W,MATCH($C1415&amp;$I1415&amp;$H1415&amp;$N1415&amp;$O1415,APOIO_REDES!$W:$W,0),MATCH(BA$5,APOIO_REDES!$5:$5,0)),IF(AND($N1415="MND",$Q1415="EMBOQUE"),INDEX(APOIO_REDES!$A:$W,MATCH($C1415&amp;$I1415&amp;$H1415&amp;$N1415&amp;$O1415,APOIO_REDES!$W:$W,0),MATCH(BA$5,APOIO_REDES!$5:$5,0)),0))*$M1415/10,0)</f>
        <v>6.46875355055317</v>
      </c>
      <c r="BB1415" s="153" t="n">
        <f aca="false">IFERROR(IF($N1415="VCA",INDEX(APOIO_REDES!$A:$W,MATCH($C1415&amp;$I1415&amp;$H1415&amp;$N1415&amp;$O1415,APOIO_REDES!$W:$W,0),MATCH(BB$5,APOIO_REDES!$5:$5,0)),0)*($AI1415+$AQ1415+$AR1415),0)</f>
        <v>23.8914416433478</v>
      </c>
      <c r="BC1415" s="153" t="n">
        <f aca="false">IFERROR(IF($N1415="VCA",INDEX(APOIO_REDES!$A:$W,MATCH($C1415&amp;$I1415&amp;$H1415&amp;$N1415&amp;$O1415,APOIO_REDES!$W:$W,0),MATCH(BC$5,APOIO_REDES!$5:$5,0)),0)*($AI1415+$AQ1415+$AR1415),0)</f>
        <v>0.262805356652177</v>
      </c>
      <c r="BD1415" s="153" t="n">
        <f aca="false">IF(AND($N1415="VCA",$AF1415&gt;=1.25,$AF1415&lt;1.5),$M1415*$AF1415*2,0)</f>
        <v>218.78876</v>
      </c>
      <c r="BE1415" s="153" t="n">
        <f aca="false">IF(AND($N1415="VCA",$AF1415&gt;=1.5,$AF1415&lt;3),$M1415*$AF1415*2,0)</f>
        <v>0</v>
      </c>
      <c r="BF1415" s="153" t="n">
        <f aca="false">IF(AND($N1415="VCA",$AF1415&gt;=3),$M1415*$AF1415*2,0)</f>
        <v>0</v>
      </c>
      <c r="BG1415" s="153" t="n">
        <f aca="false">($BB1415+$BC1415)*$AK1415</f>
        <v>101.4478374</v>
      </c>
      <c r="BH1415" s="153" t="n">
        <f aca="false">IF(AND($M1415&lt;&gt;"",$N1415="VCA",$Q1415="LINEAR"),($M1415*2)/100,IF(AND($M1415&lt;&gt;"",$N1415="MND",$Q1415="EMBOQUE"),($AN1415*2)/100,0))</f>
        <v>1.6052</v>
      </c>
      <c r="BI1415" s="153" t="n">
        <f aca="false">IF(AND($M1415&lt;&gt;"",$N1415="VCA",$Q1415="LINEAR"),$M1415,IF(AND($M1415&lt;&gt;"",$N1415="MND",$Q1415="EMBOQUE"),$AN1415*2,0))</f>
        <v>80.26</v>
      </c>
      <c r="BJ1415" s="153" t="n">
        <f aca="false">IF(AND($M1415&lt;&gt;"",$N1415="VCA",$Q1415="LINEAR"),($M1415*6.8)/100,IF(AND($M1415&lt;&gt;"",$N1415="MND",$Q1415="EMBOQUE"),($AN1415*2*6.8)/100,0))</f>
        <v>5.45768</v>
      </c>
      <c r="BK1415" s="153" t="n">
        <f aca="false">IF(AND($M1415&lt;&gt;"",$N1415="VCA",$Q1415="LINEAR"),($M1415*2.5)/50,IF(AND($M1415&lt;&gt;"",$N1415="MND",$Q1415="EMBOQUE"),($AN1415*2*2.5)/50,0))</f>
        <v>4.013</v>
      </c>
      <c r="BL1415" s="157" t="str">
        <f aca="false">K1415&amp;J1415</f>
        <v>Zona11REDES</v>
      </c>
      <c r="BM1415" s="152" t="s">
        <v>6084</v>
      </c>
      <c r="BN1415" s="152" t="s">
        <v>1560</v>
      </c>
      <c r="BO1415" s="152" t="s">
        <v>6822</v>
      </c>
      <c r="BP1415" s="152" t="s">
        <v>6844</v>
      </c>
      <c r="BQ1415" s="152" t="s">
        <v>6881</v>
      </c>
      <c r="BR1415" s="152" t="s">
        <v>6882</v>
      </c>
      <c r="BS1415" s="152" t="n">
        <v>204868.189</v>
      </c>
      <c r="BT1415" s="152" t="n">
        <v>8236253.249</v>
      </c>
      <c r="BU1415" s="152" t="n">
        <v>204891.18</v>
      </c>
      <c r="BV1415" s="152" t="n">
        <v>8236176.365</v>
      </c>
      <c r="BW1415" s="152" t="n">
        <v>-15.9358098</v>
      </c>
      <c r="BX1415" s="152" t="n">
        <v>-47.7565663</v>
      </c>
      <c r="BY1415" s="152" t="s">
        <v>6844</v>
      </c>
    </row>
    <row r="1416" customFormat="false" ht="13.8" hidden="false" customHeight="false" outlineLevel="0" collapsed="false">
      <c r="A1416" s="149" t="n">
        <f aca="false">IF(C1416&lt;&gt;"",ROW(A1411),"")</f>
        <v>1411</v>
      </c>
      <c r="B1416" s="150" t="str">
        <f aca="false">HYPERLINK("https://www.google.com/maps/dir/-15.917302,-47.760003/-15.9357886,-47.7555074/data=!4m3!4m2!3e0!5i0")</f>
        <v>https://www.google.com/maps/dir/-15.917302,-47.760003/-15.9357886,-47.7555074/data=!4m3!4m2!3e0!5i0</v>
      </c>
      <c r="C1416" s="151" t="s">
        <v>117</v>
      </c>
      <c r="D1416" s="152" t="s">
        <v>112</v>
      </c>
      <c r="E1416" s="152" t="s">
        <v>113</v>
      </c>
      <c r="F1416" s="152" t="s">
        <v>117</v>
      </c>
      <c r="G1416" s="152" t="s">
        <v>782</v>
      </c>
      <c r="H1416" s="152" t="n">
        <v>63</v>
      </c>
      <c r="I1416" s="152" t="s">
        <v>115</v>
      </c>
      <c r="J1416" s="152" t="s">
        <v>6</v>
      </c>
      <c r="K1416" s="152" t="s">
        <v>6081</v>
      </c>
      <c r="L1416" s="152" t="s">
        <v>120</v>
      </c>
      <c r="M1416" s="153" t="n">
        <f aca="false">61.07</f>
        <v>61.07</v>
      </c>
      <c r="N1416" s="152" t="s">
        <v>1548</v>
      </c>
      <c r="O1416" s="152" t="s">
        <v>1549</v>
      </c>
      <c r="P1416" s="152" t="s">
        <v>1550</v>
      </c>
      <c r="Q1416" s="152" t="s">
        <v>1551</v>
      </c>
      <c r="R1416" s="154" t="s">
        <v>6883</v>
      </c>
      <c r="S1416" s="154" t="s">
        <v>1553</v>
      </c>
      <c r="T1416" s="155" t="s">
        <v>6820</v>
      </c>
      <c r="U1416" s="152" t="str">
        <f aca="false">RIGHT(T1416,7)</f>
        <v>025/037</v>
      </c>
      <c r="V1416" s="152" t="s">
        <v>1555</v>
      </c>
      <c r="W1416" s="156" t="n">
        <v>45882</v>
      </c>
      <c r="X1416" s="152" t="s">
        <v>3938</v>
      </c>
      <c r="Y1416" s="152" t="s">
        <v>6292</v>
      </c>
      <c r="Z1416" s="152" t="s">
        <v>1557</v>
      </c>
      <c r="AA1416" s="153" t="n">
        <v>4</v>
      </c>
      <c r="AB1416" s="151" t="s">
        <v>6884</v>
      </c>
      <c r="AC1416" s="151" t="s">
        <v>186</v>
      </c>
      <c r="AD1416" s="151" t="str">
        <f aca="false">CONCATENATE($C1416,$I1416,$H1416,$N1416,$J1416,$K1416)</f>
        <v>TUBO PEADPEAD63VCAREDESZona11</v>
      </c>
      <c r="AE1416" s="153" t="n">
        <f aca="false">IFERROR(INDEX(APOIO_REDES!$A:$W,MATCH($C1416&amp;$I1416&amp;$H1416&amp;$N1416&amp;$O1416,APOIO_REDES!$W:$W,0),MATCH(AE$5,APOIO_REDES!$5:$5,0)),0)</f>
        <v>1.2</v>
      </c>
      <c r="AF1416" s="153" t="n">
        <f aca="false">IFERROR(INDEX(APOIO_REDES!$A:$W,MATCH($C1416&amp;$I1416&amp;$H1416&amp;$N1416&amp;$O1416,APOIO_REDES!$W:$W,0),MATCH(AF$5,APOIO_REDES!$5:$5,0)),0)</f>
        <v>1.363</v>
      </c>
      <c r="AG1416" s="153" t="n">
        <f aca="false">IFERROR(INDEX(APOIO_REDES!$A:$W,MATCH($C1416&amp;$I1416&amp;$H1416&amp;$N1416&amp;$O1416,APOIO_REDES!$W:$W,0),MATCH(AG$5,APOIO_REDES!$5:$5,0)),0)</f>
        <v>0.65</v>
      </c>
      <c r="AH1416" s="153" t="n">
        <f aca="false">IFERROR(INDEX(APOIO_REDES!$A:$W,MATCH($C1416&amp;$I1416&amp;$H1416&amp;$N1416&amp;$O1416,APOIO_REDES!$W:$W,0),MATCH(AH$5,APOIO_REDES!$5:$5,0)),0)</f>
        <v>0.1</v>
      </c>
      <c r="AI1416" s="153" t="n">
        <f aca="false">IFERROR(IF($H1416&lt;&gt;"",(((($H1416/1000)/2)^2)*PI()*$M1416),0),0)</f>
        <v>0.19037017111373</v>
      </c>
      <c r="AJ1416" s="153" t="n">
        <f aca="false">IFERROR(IF(AND($H1416&lt;&gt;"",$I1416="FoFo",OR($N1416="MND",$N1416="VCA"),$Q1416="LINEAR"),0,IF(AND($H1416&lt;&gt;"",$I1416="PEAD",$N1416="VCA",$Q1416="LINEAR"),($H1416/1000)+0.3,IF(AND($H1416&lt;&gt;"",$I1416="PEAD",$N1416="MND",$Q1416="EMBOQUE"),0,IF(AND($H1416&lt;&gt;"",$I1416="PVC",$N1416="VCA",$Q1416="LINEAR"),($H1416/1000)+0.2,IF(AND($H1416&lt;&gt;"",$I1416="PVC",$N1416="MND",$Q1416="EMBOQUE"),0,IF(AND($H1416&lt;&gt;"",$I1416="PEAD",$N1416="VCA",$Q1416="PREDIAL"),0,0)))))),0)</f>
        <v>0.363</v>
      </c>
      <c r="AK1416" s="153" t="n">
        <f aca="false">IF(AA1416&lt;&gt;"",AA1416,0)</f>
        <v>4</v>
      </c>
      <c r="AL1416" s="153" t="n">
        <f aca="false">IF(AND($N1416="MND",$Q1416="EMBOQUE"),$M1416,IF(AND($N1416="VCA",$Q1416="LINEAR"),$M1416,IF(AND($N1416="VCA",$Q1416="PREDIAL"),0,0)))</f>
        <v>61.07</v>
      </c>
      <c r="AM1416" s="153" t="n">
        <f aca="false">IF(AND($N1416="MND",$Q1416="EMBOQUE"),$M1416,IF(AND($N1416="VCA",$Q1416="LINEAR"),$M1416,IF(AND($N1416="VCA",$Q1416="PREDIAL"),0,0)))</f>
        <v>61.07</v>
      </c>
      <c r="AN1416" s="153" t="n">
        <f aca="false">ROUND(IF(AND($N1416="VCA",$M1416&lt;&gt;"",$Q1416="LINEAR"),$M1416/100,IF(AND($N1416="MND",$M1416&gt;100,$Q1416="EMBOQUE"),$M1416/100,0)),0)</f>
        <v>1</v>
      </c>
      <c r="AO1416" s="153" t="n">
        <f aca="false">IF(AND($N1416="MND",$Q1416="EMBOQUE"),$AN1416*2*2,IF(AND($N1416="VCA",$Q1416="LINEAR"),$M1416*2,IF(AND($N1416="VCA",$Q1416="PREDIAL"),0,0)))</f>
        <v>122.14</v>
      </c>
      <c r="AP1416" s="153" t="n">
        <f aca="false">IFERROR($M1416*$AF1416*$AG1416,0)</f>
        <v>54.1049665</v>
      </c>
      <c r="AQ1416" s="153" t="n">
        <f aca="false">IFERROR(IF(AND($N1416="VCA",$AH1416&gt;0),$M1416*$AG1416*$AH1416,0),0)</f>
        <v>3.96955</v>
      </c>
      <c r="AR1416" s="153" t="n">
        <f aca="false">IFERROR(IF(AND($N1416="VCA",$AJ1416&gt;0),($M1416*$AG1416*$AJ1416)-$AI1416,0),0)</f>
        <v>14.2190963288863</v>
      </c>
      <c r="AS1416" s="153" t="n">
        <f aca="false">IFERROR(IF(AND($N1416="VCA",$AP1416&gt;0),$AP1416-$AI1416-$AQ1416-$AR1416,0),0)</f>
        <v>35.72595</v>
      </c>
      <c r="AT1416" s="153" t="n">
        <f aca="false">IFERROR(IF($N1416="VCA",INDEX(APOIO_REDES!$A:$W,MATCH($C1416&amp;$I1416&amp;$H1416&amp;$N1416&amp;$O1416,APOIO_REDES!$W:$W,0),MATCH(AT$5,APOIO_REDES!$5:$5,0)),0)*$AP1416,0)</f>
        <v>0.588678049772638</v>
      </c>
      <c r="AU1416" s="153" t="n">
        <f aca="false">IFERROR(IF($N1416="VCA",INDEX(APOIO_REDES!$A:$W,MATCH($C1416&amp;$I1416&amp;$H1416&amp;$N1416&amp;$O1416,APOIO_REDES!$W:$W,0),MATCH(AU$5,APOIO_REDES!$5:$5,0)),0)*$AP1416,0)</f>
        <v>0.470102347124888</v>
      </c>
      <c r="AV1416" s="153" t="n">
        <f aca="false">IFERROR(IF($N1416="VCA",INDEX(APOIO_REDES!$A:$W,MATCH($C1416&amp;$I1416&amp;$H1416&amp;$N1416&amp;$O1416,APOIO_REDES!$W:$W,0),MATCH(AV$5,APOIO_REDES!$5:$5,0)),0)*$AP1416,0)</f>
        <v>0.0650584743939642</v>
      </c>
      <c r="AW1416" s="153" t="n">
        <f aca="false">IFERROR(IF($N1416="VCA",INDEX(APOIO_REDES!$A:$W,MATCH($C1416&amp;$I1416&amp;$H1416&amp;$N1416&amp;$O1416,APOIO_REDES!$W:$W,0),MATCH(AW$5,APOIO_REDES!$5:$5,0)),0)*$AP1416,0)</f>
        <v>37.1380682313377</v>
      </c>
      <c r="AX1416" s="153" t="n">
        <f aca="false">IFERROR(IF($N1416="VCA",INDEX(APOIO_REDES!$A:$W,MATCH($C1416&amp;$I1416&amp;$H1416&amp;$N1416&amp;$O1416,APOIO_REDES!$W:$W,0),MATCH(AX$5,APOIO_REDES!$5:$5,0)),0)*$AP1416,0)</f>
        <v>5.13980285342729</v>
      </c>
      <c r="AY1416" s="153" t="n">
        <f aca="false">IFERROR(IF($N1416="VCA",INDEX(APOIO_REDES!$A:$W,MATCH($C1416&amp;$I1416&amp;$H1416&amp;$N1416&amp;$O1416,APOIO_REDES!$W:$W,0),MATCH(AY$5,APOIO_REDES!$5:$5,0)),0)*$AP1416,0)</f>
        <v>9.40204121198826</v>
      </c>
      <c r="AZ1416" s="153" t="n">
        <f aca="false">IFERROR(IF($N1416="VCA",INDEX(APOIO_REDES!$A:$W,MATCH($C1416&amp;$I1416&amp;$H1416&amp;$N1416&amp;$O1416,APOIO_REDES!$W:$W,0),MATCH(AZ$5,APOIO_REDES!$5:$5,0)),0)*$AP1416,0)</f>
        <v>1.30121533195531</v>
      </c>
      <c r="BA1416" s="153" t="n">
        <f aca="false">IFERROR(IF(AND($N1416="VCA",$Q1416="LINEAR"),INDEX(APOIO_REDES!$A:$W,MATCH($C1416&amp;$I1416&amp;$H1416&amp;$N1416&amp;$O1416,APOIO_REDES!$W:$W,0),MATCH(BA$5,APOIO_REDES!$5:$5,0)),IF(AND($N1416="MND",$Q1416="EMBOQUE"),INDEX(APOIO_REDES!$A:$W,MATCH($C1416&amp;$I1416&amp;$H1416&amp;$N1416&amp;$O1416,APOIO_REDES!$W:$W,0),MATCH(BA$5,APOIO_REDES!$5:$5,0)),0))*$M1416/10,0)</f>
        <v>4.92208795579718</v>
      </c>
      <c r="BB1416" s="153" t="n">
        <f aca="false">IFERROR(IF($N1416="VCA",INDEX(APOIO_REDES!$A:$W,MATCH($C1416&amp;$I1416&amp;$H1416&amp;$N1416&amp;$O1416,APOIO_REDES!$W:$W,0),MATCH(BB$5,APOIO_REDES!$5:$5,0)),0)*($AI1416+$AQ1416+$AR1416),0)</f>
        <v>18.1790473605688</v>
      </c>
      <c r="BC1416" s="153" t="n">
        <f aca="false">IFERROR(IF($N1416="VCA",INDEX(APOIO_REDES!$A:$W,MATCH($C1416&amp;$I1416&amp;$H1416&amp;$N1416&amp;$O1416,APOIO_REDES!$W:$W,0),MATCH(BC$5,APOIO_REDES!$5:$5,0)),0)*($AI1416+$AQ1416+$AR1416),0)</f>
        <v>0.199969139431204</v>
      </c>
      <c r="BD1416" s="153" t="n">
        <f aca="false">IF(AND($N1416="VCA",$AF1416&gt;=1.25,$AF1416&lt;1.5),$M1416*$AF1416*2,0)</f>
        <v>166.47682</v>
      </c>
      <c r="BE1416" s="153" t="n">
        <f aca="false">IF(AND($N1416="VCA",$AF1416&gt;=1.5,$AF1416&lt;3),$M1416*$AF1416*2,0)</f>
        <v>0</v>
      </c>
      <c r="BF1416" s="153" t="n">
        <f aca="false">IF(AND($N1416="VCA",$AF1416&gt;=3),$M1416*$AF1416*2,0)</f>
        <v>0</v>
      </c>
      <c r="BG1416" s="153" t="n">
        <f aca="false">($BB1416+$BC1416)*$AK1416</f>
        <v>73.516066</v>
      </c>
      <c r="BH1416" s="153" t="n">
        <f aca="false">IF(AND($M1416&lt;&gt;"",$N1416="VCA",$Q1416="LINEAR"),($M1416*2)/100,IF(AND($M1416&lt;&gt;"",$N1416="MND",$Q1416="EMBOQUE"),($AN1416*2)/100,0))</f>
        <v>1.2214</v>
      </c>
      <c r="BI1416" s="153" t="n">
        <f aca="false">IF(AND($M1416&lt;&gt;"",$N1416="VCA",$Q1416="LINEAR"),$M1416,IF(AND($M1416&lt;&gt;"",$N1416="MND",$Q1416="EMBOQUE"),$AN1416*2,0))</f>
        <v>61.07</v>
      </c>
      <c r="BJ1416" s="153" t="n">
        <f aca="false">IF(AND($M1416&lt;&gt;"",$N1416="VCA",$Q1416="LINEAR"),($M1416*6.8)/100,IF(AND($M1416&lt;&gt;"",$N1416="MND",$Q1416="EMBOQUE"),($AN1416*2*6.8)/100,0))</f>
        <v>4.15276</v>
      </c>
      <c r="BK1416" s="153" t="n">
        <f aca="false">IF(AND($M1416&lt;&gt;"",$N1416="VCA",$Q1416="LINEAR"),($M1416*2.5)/50,IF(AND($M1416&lt;&gt;"",$N1416="MND",$Q1416="EMBOQUE"),($AN1416*2*2.5)/50,0))</f>
        <v>3.0535</v>
      </c>
      <c r="BL1416" s="157" t="str">
        <f aca="false">K1416&amp;J1416</f>
        <v>Zona11REDES</v>
      </c>
      <c r="BM1416" s="152" t="s">
        <v>6084</v>
      </c>
      <c r="BN1416" s="152" t="s">
        <v>1560</v>
      </c>
      <c r="BO1416" s="152" t="s">
        <v>6822</v>
      </c>
      <c r="BP1416" s="152" t="s">
        <v>6873</v>
      </c>
      <c r="BQ1416" s="152" t="s">
        <v>6877</v>
      </c>
      <c r="BR1416" s="152" t="s">
        <v>6885</v>
      </c>
      <c r="BS1416" s="152" t="n">
        <v>204992.721</v>
      </c>
      <c r="BT1416" s="152" t="n">
        <v>8236218.54</v>
      </c>
      <c r="BU1416" s="152" t="n">
        <v>204933.731</v>
      </c>
      <c r="BV1416" s="152" t="n">
        <v>8236202.766</v>
      </c>
      <c r="BW1416" s="152" t="n">
        <v>-15.9358577</v>
      </c>
      <c r="BX1416" s="152" t="n">
        <v>-47.7557833</v>
      </c>
      <c r="BY1416" s="152" t="s">
        <v>6873</v>
      </c>
    </row>
    <row r="1417" customFormat="false" ht="13.8" hidden="false" customHeight="false" outlineLevel="0" collapsed="false">
      <c r="A1417" s="149" t="n">
        <f aca="false">IF(C1417&lt;&gt;"",ROW(A1412),"")</f>
        <v>1412</v>
      </c>
      <c r="B1417" s="150" t="str">
        <f aca="false">HYPERLINK("https://www.google.com/maps/dir/-15.917302,-47.760003/-15.9355767,-47.7571292/data=!4m3!4m2!3e0!5i1")</f>
        <v>https://www.google.com/maps/dir/-15.917302,-47.760003/-15.9355767,-47.7571292/data=!4m3!4m2!3e0!5i1</v>
      </c>
      <c r="C1417" s="151" t="s">
        <v>117</v>
      </c>
      <c r="D1417" s="152" t="s">
        <v>112</v>
      </c>
      <c r="E1417" s="152" t="s">
        <v>113</v>
      </c>
      <c r="F1417" s="152" t="s">
        <v>117</v>
      </c>
      <c r="G1417" s="152" t="s">
        <v>782</v>
      </c>
      <c r="H1417" s="152" t="n">
        <v>90</v>
      </c>
      <c r="I1417" s="152" t="s">
        <v>115</v>
      </c>
      <c r="J1417" s="152" t="s">
        <v>6</v>
      </c>
      <c r="K1417" s="152" t="s">
        <v>6081</v>
      </c>
      <c r="L1417" s="152" t="s">
        <v>120</v>
      </c>
      <c r="M1417" s="153" t="n">
        <f aca="false">81.41</f>
        <v>81.41</v>
      </c>
      <c r="N1417" s="152" t="s">
        <v>1548</v>
      </c>
      <c r="O1417" s="152" t="s">
        <v>1549</v>
      </c>
      <c r="P1417" s="152" t="s">
        <v>1550</v>
      </c>
      <c r="Q1417" s="152" t="s">
        <v>1551</v>
      </c>
      <c r="R1417" s="154" t="s">
        <v>6886</v>
      </c>
      <c r="S1417" s="154" t="s">
        <v>1593</v>
      </c>
      <c r="T1417" s="155" t="s">
        <v>6820</v>
      </c>
      <c r="U1417" s="152" t="str">
        <f aca="false">RIGHT(T1417,7)</f>
        <v>025/037</v>
      </c>
      <c r="V1417" s="152" t="s">
        <v>1555</v>
      </c>
      <c r="W1417" s="156" t="n">
        <v>45882</v>
      </c>
      <c r="X1417" s="152" t="s">
        <v>3938</v>
      </c>
      <c r="Y1417" s="152" t="s">
        <v>2973</v>
      </c>
      <c r="Z1417" s="152" t="s">
        <v>1557</v>
      </c>
      <c r="AA1417" s="153" t="n">
        <v>4.2</v>
      </c>
      <c r="AB1417" s="151" t="s">
        <v>6887</v>
      </c>
      <c r="AC1417" s="151" t="s">
        <v>526</v>
      </c>
      <c r="AD1417" s="151" t="str">
        <f aca="false">CONCATENATE($C1417,$I1417,$H1417,$N1417,$J1417,$K1417)</f>
        <v>TUBO PEADPEAD90VCAREDESZona11</v>
      </c>
      <c r="AE1417" s="153" t="n">
        <f aca="false">IFERROR(INDEX(APOIO_REDES!$A:$W,MATCH($C1417&amp;$I1417&amp;$H1417&amp;$N1417&amp;$O1417,APOIO_REDES!$W:$W,0),MATCH(AE$5,APOIO_REDES!$5:$5,0)),0)</f>
        <v>1.2</v>
      </c>
      <c r="AF1417" s="153" t="n">
        <f aca="false">IFERROR(INDEX(APOIO_REDES!$A:$W,MATCH($C1417&amp;$I1417&amp;$H1417&amp;$N1417&amp;$O1417,APOIO_REDES!$W:$W,0),MATCH(AF$5,APOIO_REDES!$5:$5,0)),0)</f>
        <v>1.39</v>
      </c>
      <c r="AG1417" s="153" t="n">
        <f aca="false">IFERROR(INDEX(APOIO_REDES!$A:$W,MATCH($C1417&amp;$I1417&amp;$H1417&amp;$N1417&amp;$O1417,APOIO_REDES!$W:$W,0),MATCH(AG$5,APOIO_REDES!$5:$5,0)),0)</f>
        <v>0.75</v>
      </c>
      <c r="AH1417" s="153" t="n">
        <f aca="false">IFERROR(INDEX(APOIO_REDES!$A:$W,MATCH($C1417&amp;$I1417&amp;$H1417&amp;$N1417&amp;$O1417,APOIO_REDES!$W:$W,0),MATCH(AH$5,APOIO_REDES!$5:$5,0)),0)</f>
        <v>0.1</v>
      </c>
      <c r="AI1417" s="153" t="n">
        <f aca="false">IFERROR(IF($H1417&lt;&gt;"",(((($H1417/1000)/2)^2)*PI()*$M1417),0),0)</f>
        <v>0.517908042305709</v>
      </c>
      <c r="AJ1417" s="153" t="n">
        <f aca="false">IFERROR(IF(AND($H1417&lt;&gt;"",$I1417="FoFo",OR($N1417="MND",$N1417="VCA"),$Q1417="LINEAR"),0,IF(AND($H1417&lt;&gt;"",$I1417="PEAD",$N1417="VCA",$Q1417="LINEAR"),($H1417/1000)+0.3,IF(AND($H1417&lt;&gt;"",$I1417="PEAD",$N1417="MND",$Q1417="EMBOQUE"),0,IF(AND($H1417&lt;&gt;"",$I1417="PVC",$N1417="VCA",$Q1417="LINEAR"),($H1417/1000)+0.2,IF(AND($H1417&lt;&gt;"",$I1417="PVC",$N1417="MND",$Q1417="EMBOQUE"),0,IF(AND($H1417&lt;&gt;"",$I1417="PEAD",$N1417="VCA",$Q1417="PREDIAL"),0,0)))))),0)</f>
        <v>0.39</v>
      </c>
      <c r="AK1417" s="153" t="n">
        <f aca="false">IF(AA1417&lt;&gt;"",AA1417,0)</f>
        <v>4.2</v>
      </c>
      <c r="AL1417" s="153" t="n">
        <f aca="false">IF(AND($N1417="MND",$Q1417="EMBOQUE"),$M1417,IF(AND($N1417="VCA",$Q1417="LINEAR"),$M1417,IF(AND($N1417="VCA",$Q1417="PREDIAL"),0,0)))</f>
        <v>81.41</v>
      </c>
      <c r="AM1417" s="153" t="n">
        <f aca="false">IF(AND($N1417="MND",$Q1417="EMBOQUE"),$M1417,IF(AND($N1417="VCA",$Q1417="LINEAR"),$M1417,IF(AND($N1417="VCA",$Q1417="PREDIAL"),0,0)))</f>
        <v>81.41</v>
      </c>
      <c r="AN1417" s="153" t="n">
        <f aca="false">ROUND(IF(AND($N1417="VCA",$M1417&lt;&gt;"",$Q1417="LINEAR"),$M1417/100,IF(AND($N1417="MND",$M1417&gt;100,$Q1417="EMBOQUE"),$M1417/100,0)),0)</f>
        <v>1</v>
      </c>
      <c r="AO1417" s="153" t="n">
        <f aca="false">IF(AND($N1417="MND",$Q1417="EMBOQUE"),$AN1417*2*2,IF(AND($N1417="VCA",$Q1417="LINEAR"),$M1417*2,IF(AND($N1417="VCA",$Q1417="PREDIAL"),0,0)))</f>
        <v>162.82</v>
      </c>
      <c r="AP1417" s="153" t="n">
        <f aca="false">IFERROR($M1417*$AF1417*$AG1417,0)</f>
        <v>84.869925</v>
      </c>
      <c r="AQ1417" s="153" t="n">
        <f aca="false">IFERROR(IF(AND($N1417="VCA",$AH1417&gt;0),$M1417*$AG1417*$AH1417,0),0)</f>
        <v>6.10575</v>
      </c>
      <c r="AR1417" s="153" t="n">
        <f aca="false">IFERROR(IF(AND($N1417="VCA",$AJ1417&gt;0),($M1417*$AG1417*$AJ1417)-$AI1417,0),0)</f>
        <v>23.2945169576943</v>
      </c>
      <c r="AS1417" s="153" t="n">
        <f aca="false">IFERROR(IF(AND($N1417="VCA",$AP1417&gt;0),$AP1417-$AI1417-$AQ1417-$AR1417,0),0)</f>
        <v>54.95175</v>
      </c>
      <c r="AT1417" s="153" t="n">
        <f aca="false">IFERROR(IF($N1417="VCA",INDEX(APOIO_REDES!$A:$W,MATCH($C1417&amp;$I1417&amp;$H1417&amp;$N1417&amp;$O1417,APOIO_REDES!$W:$W,0),MATCH(AT$5,APOIO_REDES!$5:$5,0)),0)*$AP1417,0)</f>
        <v>0.923409904215542</v>
      </c>
      <c r="AU1417" s="153" t="n">
        <f aca="false">IFERROR(IF($N1417="VCA",INDEX(APOIO_REDES!$A:$W,MATCH($C1417&amp;$I1417&amp;$H1417&amp;$N1417&amp;$O1417,APOIO_REDES!$W:$W,0),MATCH(AU$5,APOIO_REDES!$5:$5,0)),0)*$AP1417,0)</f>
        <v>0.737410140394657</v>
      </c>
      <c r="AV1417" s="153" t="n">
        <f aca="false">IFERROR(IF($N1417="VCA",INDEX(APOIO_REDES!$A:$W,MATCH($C1417&amp;$I1417&amp;$H1417&amp;$N1417&amp;$O1417,APOIO_REDES!$W:$W,0),MATCH(AV$5,APOIO_REDES!$5:$5,0)),0)*$AP1417,0)</f>
        <v>0.102051774534047</v>
      </c>
      <c r="AW1417" s="153" t="n">
        <f aca="false">IFERROR(IF($N1417="VCA",INDEX(APOIO_REDES!$A:$W,MATCH($C1417&amp;$I1417&amp;$H1417&amp;$N1417&amp;$O1417,APOIO_REDES!$W:$W,0),MATCH(AW$5,APOIO_REDES!$5:$5,0)),0)*$AP1417,0)</f>
        <v>58.2553741242684</v>
      </c>
      <c r="AX1417" s="153" t="n">
        <f aca="false">IFERROR(IF($N1417="VCA",INDEX(APOIO_REDES!$A:$W,MATCH($C1417&amp;$I1417&amp;$H1417&amp;$N1417&amp;$O1417,APOIO_REDES!$W:$W,0),MATCH(AX$5,APOIO_REDES!$5:$5,0)),0)*$AP1417,0)</f>
        <v>8.06237783522442</v>
      </c>
      <c r="AY1417" s="153" t="n">
        <f aca="false">IFERROR(IF($N1417="VCA",INDEX(APOIO_REDES!$A:$W,MATCH($C1417&amp;$I1417&amp;$H1417&amp;$N1417&amp;$O1417,APOIO_REDES!$W:$W,0),MATCH(AY$5,APOIO_REDES!$5:$5,0)),0)*$AP1417,0)</f>
        <v>14.7481938189233</v>
      </c>
      <c r="AZ1417" s="153" t="n">
        <f aca="false">IFERROR(IF($N1417="VCA",INDEX(APOIO_REDES!$A:$W,MATCH($C1417&amp;$I1417&amp;$H1417&amp;$N1417&amp;$O1417,APOIO_REDES!$W:$W,0),MATCH(AZ$5,APOIO_REDES!$5:$5,0)),0)*$AP1417,0)</f>
        <v>2.04110740243962</v>
      </c>
      <c r="BA1417" s="153" t="n">
        <f aca="false">IFERROR(IF(AND($N1417="VCA",$Q1417="LINEAR"),INDEX(APOIO_REDES!$A:$W,MATCH($C1417&amp;$I1417&amp;$H1417&amp;$N1417&amp;$O1417,APOIO_REDES!$W:$W,0),MATCH(BA$5,APOIO_REDES!$5:$5,0)),IF(AND($N1417="MND",$Q1417="EMBOQUE"),INDEX(APOIO_REDES!$A:$W,MATCH($C1417&amp;$I1417&amp;$H1417&amp;$N1417&amp;$O1417,APOIO_REDES!$W:$W,0),MATCH(BA$5,APOIO_REDES!$5:$5,0)),0))*$M1417/10,0)</f>
        <v>6.56144064976991</v>
      </c>
      <c r="BB1417" s="153" t="n">
        <f aca="false">IFERROR(IF($N1417="VCA",INDEX(APOIO_REDES!$A:$W,MATCH($C1417&amp;$I1417&amp;$H1417&amp;$N1417&amp;$O1417,APOIO_REDES!$W:$W,0),MATCH(BB$5,APOIO_REDES!$5:$5,0)),0)*($AI1417+$AQ1417+$AR1417),0)</f>
        <v>29.5926564006722</v>
      </c>
      <c r="BC1417" s="153" t="n">
        <f aca="false">IFERROR(IF($N1417="VCA",INDEX(APOIO_REDES!$A:$W,MATCH($C1417&amp;$I1417&amp;$H1417&amp;$N1417&amp;$O1417,APOIO_REDES!$W:$W,0),MATCH(BC$5,APOIO_REDES!$5:$5,0)),0)*($AI1417+$AQ1417+$AR1417),0)</f>
        <v>0.325518599327781</v>
      </c>
      <c r="BD1417" s="153" t="n">
        <f aca="false">IF(AND($N1417="VCA",$AF1417&gt;=1.25,$AF1417&lt;1.5),$M1417*$AF1417*2,0)</f>
        <v>226.3198</v>
      </c>
      <c r="BE1417" s="153" t="n">
        <f aca="false">IF(AND($N1417="VCA",$AF1417&gt;=1.5,$AF1417&lt;3),$M1417*$AF1417*2,0)</f>
        <v>0</v>
      </c>
      <c r="BF1417" s="153" t="n">
        <f aca="false">IF(AND($N1417="VCA",$AF1417&gt;=3),$M1417*$AF1417*2,0)</f>
        <v>0</v>
      </c>
      <c r="BG1417" s="153" t="n">
        <f aca="false">($BB1417+$BC1417)*$AK1417</f>
        <v>125.656335</v>
      </c>
      <c r="BH1417" s="153" t="n">
        <f aca="false">IF(AND($M1417&lt;&gt;"",$N1417="VCA",$Q1417="LINEAR"),($M1417*2)/100,IF(AND($M1417&lt;&gt;"",$N1417="MND",$Q1417="EMBOQUE"),($AN1417*2)/100,0))</f>
        <v>1.6282</v>
      </c>
      <c r="BI1417" s="153" t="n">
        <f aca="false">IF(AND($M1417&lt;&gt;"",$N1417="VCA",$Q1417="LINEAR"),$M1417,IF(AND($M1417&lt;&gt;"",$N1417="MND",$Q1417="EMBOQUE"),$AN1417*2,0))</f>
        <v>81.41</v>
      </c>
      <c r="BJ1417" s="153" t="n">
        <f aca="false">IF(AND($M1417&lt;&gt;"",$N1417="VCA",$Q1417="LINEAR"),($M1417*6.8)/100,IF(AND($M1417&lt;&gt;"",$N1417="MND",$Q1417="EMBOQUE"),($AN1417*2*6.8)/100,0))</f>
        <v>5.53588</v>
      </c>
      <c r="BK1417" s="153" t="n">
        <f aca="false">IF(AND($M1417&lt;&gt;"",$N1417="VCA",$Q1417="LINEAR"),($M1417*2.5)/50,IF(AND($M1417&lt;&gt;"",$N1417="MND",$Q1417="EMBOQUE"),($AN1417*2*2.5)/50,0))</f>
        <v>4.0705</v>
      </c>
      <c r="BL1417" s="157" t="str">
        <f aca="false">K1417&amp;J1417</f>
        <v>Zona11REDES</v>
      </c>
      <c r="BM1417" s="152" t="s">
        <v>6084</v>
      </c>
      <c r="BN1417" s="152" t="s">
        <v>1560</v>
      </c>
      <c r="BO1417" s="152" t="s">
        <v>6822</v>
      </c>
      <c r="BP1417" s="152" t="s">
        <v>6839</v>
      </c>
      <c r="BQ1417" s="152" t="s">
        <v>6888</v>
      </c>
      <c r="BR1417" s="152" t="s">
        <v>6889</v>
      </c>
      <c r="BS1417" s="152" t="n">
        <v>204818.671</v>
      </c>
      <c r="BT1417" s="152" t="n">
        <v>8236239.706</v>
      </c>
      <c r="BU1417" s="152" t="n">
        <v>204845.819</v>
      </c>
      <c r="BV1417" s="152" t="n">
        <v>8236163.674</v>
      </c>
      <c r="BW1417" s="152" t="n">
        <v>-15.9359318</v>
      </c>
      <c r="BX1417" s="152" t="n">
        <v>-47.757033</v>
      </c>
      <c r="BY1417" s="152" t="s">
        <v>6839</v>
      </c>
    </row>
    <row r="1418" customFormat="false" ht="13.8" hidden="false" customHeight="false" outlineLevel="0" collapsed="false">
      <c r="A1418" s="149" t="n">
        <f aca="false">IF(C1418&lt;&gt;"",ROW(A1413),"")</f>
        <v>1413</v>
      </c>
      <c r="B1418" s="150" t="str">
        <f aca="false">HYPERLINK("https://www.google.com/maps/dir/-15.917302,-47.760003/-15.9357886,-47.7555074/data=!4m3!4m2!3e0!5i0")</f>
        <v>https://www.google.com/maps/dir/-15.917302,-47.760003/-15.9357886,-47.7555074/data=!4m3!4m2!3e0!5i0</v>
      </c>
      <c r="C1418" s="151" t="s">
        <v>117</v>
      </c>
      <c r="D1418" s="152" t="s">
        <v>112</v>
      </c>
      <c r="E1418" s="152" t="s">
        <v>113</v>
      </c>
      <c r="F1418" s="152" t="s">
        <v>117</v>
      </c>
      <c r="G1418" s="152" t="s">
        <v>782</v>
      </c>
      <c r="H1418" s="152" t="n">
        <v>63</v>
      </c>
      <c r="I1418" s="152" t="s">
        <v>115</v>
      </c>
      <c r="J1418" s="152" t="s">
        <v>6</v>
      </c>
      <c r="K1418" s="152" t="s">
        <v>6081</v>
      </c>
      <c r="L1418" s="152" t="s">
        <v>120</v>
      </c>
      <c r="M1418" s="153" t="n">
        <f aca="false">91.27+0.37</f>
        <v>91.64</v>
      </c>
      <c r="N1418" s="152" t="s">
        <v>1548</v>
      </c>
      <c r="O1418" s="152" t="s">
        <v>1549</v>
      </c>
      <c r="P1418" s="152" t="s">
        <v>1550</v>
      </c>
      <c r="Q1418" s="152" t="s">
        <v>1551</v>
      </c>
      <c r="R1418" s="154" t="s">
        <v>6890</v>
      </c>
      <c r="S1418" s="154" t="s">
        <v>1553</v>
      </c>
      <c r="T1418" s="155" t="s">
        <v>6820</v>
      </c>
      <c r="U1418" s="152" t="str">
        <f aca="false">RIGHT(T1418,7)</f>
        <v>025/037</v>
      </c>
      <c r="V1418" s="152" t="s">
        <v>1555</v>
      </c>
      <c r="W1418" s="156" t="n">
        <v>45882</v>
      </c>
      <c r="X1418" s="152" t="s">
        <v>3938</v>
      </c>
      <c r="Y1418" s="152" t="s">
        <v>6292</v>
      </c>
      <c r="Z1418" s="152" t="s">
        <v>1557</v>
      </c>
      <c r="AA1418" s="153" t="n">
        <v>4</v>
      </c>
      <c r="AB1418" s="151" t="s">
        <v>6891</v>
      </c>
      <c r="AC1418" s="151" t="s">
        <v>186</v>
      </c>
      <c r="AD1418" s="151" t="str">
        <f aca="false">CONCATENATE($C1418,$I1418,$H1418,$N1418,$J1418,$K1418)</f>
        <v>TUBO PEADPEAD63VCAREDESZona11</v>
      </c>
      <c r="AE1418" s="153" t="n">
        <f aca="false">IFERROR(INDEX(APOIO_REDES!$A:$W,MATCH($C1418&amp;$I1418&amp;$H1418&amp;$N1418&amp;$O1418,APOIO_REDES!$W:$W,0),MATCH(AE$5,APOIO_REDES!$5:$5,0)),0)</f>
        <v>1.2</v>
      </c>
      <c r="AF1418" s="153" t="n">
        <f aca="false">IFERROR(INDEX(APOIO_REDES!$A:$W,MATCH($C1418&amp;$I1418&amp;$H1418&amp;$N1418&amp;$O1418,APOIO_REDES!$W:$W,0),MATCH(AF$5,APOIO_REDES!$5:$5,0)),0)</f>
        <v>1.363</v>
      </c>
      <c r="AG1418" s="153" t="n">
        <f aca="false">IFERROR(INDEX(APOIO_REDES!$A:$W,MATCH($C1418&amp;$I1418&amp;$H1418&amp;$N1418&amp;$O1418,APOIO_REDES!$W:$W,0),MATCH(AG$5,APOIO_REDES!$5:$5,0)),0)</f>
        <v>0.65</v>
      </c>
      <c r="AH1418" s="153" t="n">
        <f aca="false">IFERROR(INDEX(APOIO_REDES!$A:$W,MATCH($C1418&amp;$I1418&amp;$H1418&amp;$N1418&amp;$O1418,APOIO_REDES!$W:$W,0),MATCH(AH$5,APOIO_REDES!$5:$5,0)),0)</f>
        <v>0.1</v>
      </c>
      <c r="AI1418" s="153" t="n">
        <f aca="false">IFERROR(IF($H1418&lt;&gt;"",(((($H1418/1000)/2)^2)*PI()*$M1418),0),0)</f>
        <v>0.285664360256463</v>
      </c>
      <c r="AJ1418" s="153" t="n">
        <f aca="false">IFERROR(IF(AND($H1418&lt;&gt;"",$I1418="FoFo",OR($N1418="MND",$N1418="VCA"),$Q1418="LINEAR"),0,IF(AND($H1418&lt;&gt;"",$I1418="PEAD",$N1418="VCA",$Q1418="LINEAR"),($H1418/1000)+0.3,IF(AND($H1418&lt;&gt;"",$I1418="PEAD",$N1418="MND",$Q1418="EMBOQUE"),0,IF(AND($H1418&lt;&gt;"",$I1418="PVC",$N1418="VCA",$Q1418="LINEAR"),($H1418/1000)+0.2,IF(AND($H1418&lt;&gt;"",$I1418="PVC",$N1418="MND",$Q1418="EMBOQUE"),0,IF(AND($H1418&lt;&gt;"",$I1418="PEAD",$N1418="VCA",$Q1418="PREDIAL"),0,0)))))),0)</f>
        <v>0.363</v>
      </c>
      <c r="AK1418" s="153" t="n">
        <f aca="false">IF(AA1418&lt;&gt;"",AA1418,0)</f>
        <v>4</v>
      </c>
      <c r="AL1418" s="153" t="n">
        <f aca="false">IF(AND($N1418="MND",$Q1418="EMBOQUE"),$M1418,IF(AND($N1418="VCA",$Q1418="LINEAR"),$M1418,IF(AND($N1418="VCA",$Q1418="PREDIAL"),0,0)))</f>
        <v>91.64</v>
      </c>
      <c r="AM1418" s="153" t="n">
        <f aca="false">IF(AND($N1418="MND",$Q1418="EMBOQUE"),$M1418,IF(AND($N1418="VCA",$Q1418="LINEAR"),$M1418,IF(AND($N1418="VCA",$Q1418="PREDIAL"),0,0)))</f>
        <v>91.64</v>
      </c>
      <c r="AN1418" s="153" t="n">
        <f aca="false">ROUND(IF(AND($N1418="VCA",$M1418&lt;&gt;"",$Q1418="LINEAR"),$M1418/100,IF(AND($N1418="MND",$M1418&gt;100,$Q1418="EMBOQUE"),$M1418/100,0)),0)</f>
        <v>1</v>
      </c>
      <c r="AO1418" s="153" t="n">
        <f aca="false">IF(AND($N1418="MND",$Q1418="EMBOQUE"),$AN1418*2*2,IF(AND($N1418="VCA",$Q1418="LINEAR"),$M1418*2,IF(AND($N1418="VCA",$Q1418="PREDIAL"),0,0)))</f>
        <v>183.28</v>
      </c>
      <c r="AP1418" s="153" t="n">
        <f aca="false">IFERROR($M1418*$AF1418*$AG1418,0)</f>
        <v>81.188458</v>
      </c>
      <c r="AQ1418" s="153" t="n">
        <f aca="false">IFERROR(IF(AND($N1418="VCA",$AH1418&gt;0),$M1418*$AG1418*$AH1418,0),0)</f>
        <v>5.9566</v>
      </c>
      <c r="AR1418" s="153" t="n">
        <f aca="false">IFERROR(IF(AND($N1418="VCA",$AJ1418&gt;0),($M1418*$AG1418*$AJ1418)-$AI1418,0),0)</f>
        <v>21.3367936397435</v>
      </c>
      <c r="AS1418" s="153" t="n">
        <f aca="false">IFERROR(IF(AND($N1418="VCA",$AP1418&gt;0),$AP1418-$AI1418-$AQ1418-$AR1418,0),0)</f>
        <v>53.6094</v>
      </c>
      <c r="AT1418" s="153" t="n">
        <f aca="false">IFERROR(IF($N1418="VCA",INDEX(APOIO_REDES!$A:$W,MATCH($C1418&amp;$I1418&amp;$H1418&amp;$N1418&amp;$O1418,APOIO_REDES!$W:$W,0),MATCH(AT$5,APOIO_REDES!$5:$5,0)),0)*$AP1418,0)</f>
        <v>0.883354453596931</v>
      </c>
      <c r="AU1418" s="153" t="n">
        <f aca="false">IFERROR(IF($N1418="VCA",INDEX(APOIO_REDES!$A:$W,MATCH($C1418&amp;$I1418&amp;$H1418&amp;$N1418&amp;$O1418,APOIO_REDES!$W:$W,0),MATCH(AU$5,APOIO_REDES!$5:$5,0)),0)*$AP1418,0)</f>
        <v>0.705422942369818</v>
      </c>
      <c r="AV1418" s="153" t="n">
        <f aca="false">IFERROR(IF($N1418="VCA",INDEX(APOIO_REDES!$A:$W,MATCH($C1418&amp;$I1418&amp;$H1418&amp;$N1418&amp;$O1418,APOIO_REDES!$W:$W,0),MATCH(AV$5,APOIO_REDES!$5:$5,0)),0)*$AP1418,0)</f>
        <v>0.0976249974367592</v>
      </c>
      <c r="AW1418" s="153" t="n">
        <f aca="false">IFERROR(IF($N1418="VCA",INDEX(APOIO_REDES!$A:$W,MATCH($C1418&amp;$I1418&amp;$H1418&amp;$N1418&amp;$O1418,APOIO_REDES!$W:$W,0),MATCH(AW$5,APOIO_REDES!$5:$5,0)),0)*$AP1418,0)</f>
        <v>55.7283866500701</v>
      </c>
      <c r="AX1418" s="153" t="n">
        <f aca="false">IFERROR(IF($N1418="VCA",INDEX(APOIO_REDES!$A:$W,MATCH($C1418&amp;$I1418&amp;$H1418&amp;$N1418&amp;$O1418,APOIO_REDES!$W:$W,0),MATCH(AX$5,APOIO_REDES!$5:$5,0)),0)*$AP1418,0)</f>
        <v>7.71264996705546</v>
      </c>
      <c r="AY1418" s="153" t="n">
        <f aca="false">IFERROR(IF($N1418="VCA",INDEX(APOIO_REDES!$A:$W,MATCH($C1418&amp;$I1418&amp;$H1418&amp;$N1418&amp;$O1418,APOIO_REDES!$W:$W,0),MATCH(AY$5,APOIO_REDES!$5:$5,0)),0)*$AP1418,0)</f>
        <v>14.1084502483479</v>
      </c>
      <c r="AZ1418" s="153" t="n">
        <f aca="false">IFERROR(IF($N1418="VCA",INDEX(APOIO_REDES!$A:$W,MATCH($C1418&amp;$I1418&amp;$H1418&amp;$N1418&amp;$O1418,APOIO_REDES!$W:$W,0),MATCH(AZ$5,APOIO_REDES!$5:$5,0)),0)*$AP1418,0)</f>
        <v>1.95256874112305</v>
      </c>
      <c r="BA1418" s="153" t="n">
        <f aca="false">IFERROR(IF(AND($N1418="VCA",$Q1418="LINEAR"),INDEX(APOIO_REDES!$A:$W,MATCH($C1418&amp;$I1418&amp;$H1418&amp;$N1418&amp;$O1418,APOIO_REDES!$W:$W,0),MATCH(BA$5,APOIO_REDES!$5:$5,0)),IF(AND($N1418="MND",$Q1418="EMBOQUE"),INDEX(APOIO_REDES!$A:$W,MATCH($C1418&amp;$I1418&amp;$H1418&amp;$N1418&amp;$O1418,APOIO_REDES!$W:$W,0),MATCH(BA$5,APOIO_REDES!$5:$5,0)),0))*$M1418/10,0)</f>
        <v>7.38595284541107</v>
      </c>
      <c r="BB1418" s="153" t="n">
        <f aca="false">IFERROR(IF($N1418="VCA",INDEX(APOIO_REDES!$A:$W,MATCH($C1418&amp;$I1418&amp;$H1418&amp;$N1418&amp;$O1418,APOIO_REDES!$W:$W,0),MATCH(BB$5,APOIO_REDES!$5:$5,0)),0)*($AI1418+$AQ1418+$AR1418),0)</f>
        <v>27.2789896859755</v>
      </c>
      <c r="BC1418" s="153" t="n">
        <f aca="false">IFERROR(IF($N1418="VCA",INDEX(APOIO_REDES!$A:$W,MATCH($C1418&amp;$I1418&amp;$H1418&amp;$N1418&amp;$O1418,APOIO_REDES!$W:$W,0),MATCH(BC$5,APOIO_REDES!$5:$5,0)),0)*($AI1418+$AQ1418+$AR1418),0)</f>
        <v>0.300068314024489</v>
      </c>
      <c r="BD1418" s="153" t="n">
        <f aca="false">IF(AND($N1418="VCA",$AF1418&gt;=1.25,$AF1418&lt;1.5),$M1418*$AF1418*2,0)</f>
        <v>249.81064</v>
      </c>
      <c r="BE1418" s="153" t="n">
        <f aca="false">IF(AND($N1418="VCA",$AF1418&gt;=1.5,$AF1418&lt;3),$M1418*$AF1418*2,0)</f>
        <v>0</v>
      </c>
      <c r="BF1418" s="153" t="n">
        <f aca="false">IF(AND($N1418="VCA",$AF1418&gt;=3),$M1418*$AF1418*2,0)</f>
        <v>0</v>
      </c>
      <c r="BG1418" s="153" t="n">
        <f aca="false">($BB1418+$BC1418)*$AK1418</f>
        <v>110.316232</v>
      </c>
      <c r="BH1418" s="153" t="n">
        <f aca="false">IF(AND($M1418&lt;&gt;"",$N1418="VCA",$Q1418="LINEAR"),($M1418*2)/100,IF(AND($M1418&lt;&gt;"",$N1418="MND",$Q1418="EMBOQUE"),($AN1418*2)/100,0))</f>
        <v>1.8328</v>
      </c>
      <c r="BI1418" s="153" t="n">
        <f aca="false">IF(AND($M1418&lt;&gt;"",$N1418="VCA",$Q1418="LINEAR"),$M1418,IF(AND($M1418&lt;&gt;"",$N1418="MND",$Q1418="EMBOQUE"),$AN1418*2,0))</f>
        <v>91.64</v>
      </c>
      <c r="BJ1418" s="153" t="n">
        <f aca="false">IF(AND($M1418&lt;&gt;"",$N1418="VCA",$Q1418="LINEAR"),($M1418*6.8)/100,IF(AND($M1418&lt;&gt;"",$N1418="MND",$Q1418="EMBOQUE"),($AN1418*2*6.8)/100,0))</f>
        <v>6.23152</v>
      </c>
      <c r="BK1418" s="153" t="n">
        <f aca="false">IF(AND($M1418&lt;&gt;"",$N1418="VCA",$Q1418="LINEAR"),($M1418*2.5)/50,IF(AND($M1418&lt;&gt;"",$N1418="MND",$Q1418="EMBOQUE"),($AN1418*2*2.5)/50,0))</f>
        <v>4.582</v>
      </c>
      <c r="BL1418" s="157" t="str">
        <f aca="false">K1418&amp;J1418</f>
        <v>Zona11REDES</v>
      </c>
      <c r="BM1418" s="152" t="s">
        <v>6084</v>
      </c>
      <c r="BN1418" s="152" t="s">
        <v>1560</v>
      </c>
      <c r="BO1418" s="152" t="s">
        <v>6822</v>
      </c>
      <c r="BP1418" s="152" t="s">
        <v>6873</v>
      </c>
      <c r="BQ1418" s="152" t="s">
        <v>6892</v>
      </c>
      <c r="BR1418" s="152" t="s">
        <v>6893</v>
      </c>
      <c r="BS1418" s="152" t="n">
        <v>204992.721</v>
      </c>
      <c r="BT1418" s="152" t="n">
        <v>8236218.54</v>
      </c>
      <c r="BU1418" s="152" t="n">
        <v>205018.589</v>
      </c>
      <c r="BV1418" s="152" t="n">
        <v>8236132.237</v>
      </c>
      <c r="BW1418" s="152" t="n">
        <v>-15.9361745</v>
      </c>
      <c r="BX1418" s="152" t="n">
        <v>-47.755358</v>
      </c>
      <c r="BY1418" s="152" t="s">
        <v>6873</v>
      </c>
    </row>
    <row r="1419" customFormat="false" ht="13.8" hidden="false" customHeight="false" outlineLevel="0" collapsed="false">
      <c r="A1419" s="149" t="n">
        <f aca="false">IF(C1419&lt;&gt;"",ROW(A1414),"")</f>
        <v>1414</v>
      </c>
      <c r="B1419" s="150" t="str">
        <f aca="false">HYPERLINK("https://www.google.com/maps/dir/-15.917302,-47.760003/-15.9361573,-47.7564603/data=!4m3!4m2!3e0!5i0")</f>
        <v>https://www.google.com/maps/dir/-15.917302,-47.760003/-15.9361573,-47.7564603/data=!4m3!4m2!3e0!5i0</v>
      </c>
      <c r="C1419" s="151" t="s">
        <v>117</v>
      </c>
      <c r="D1419" s="152" t="s">
        <v>112</v>
      </c>
      <c r="E1419" s="152" t="s">
        <v>113</v>
      </c>
      <c r="F1419" s="152" t="s">
        <v>117</v>
      </c>
      <c r="G1419" s="152" t="s">
        <v>782</v>
      </c>
      <c r="H1419" s="152" t="n">
        <v>63</v>
      </c>
      <c r="I1419" s="152" t="s">
        <v>115</v>
      </c>
      <c r="J1419" s="152" t="s">
        <v>6</v>
      </c>
      <c r="K1419" s="152" t="s">
        <v>6081</v>
      </c>
      <c r="L1419" s="152" t="s">
        <v>120</v>
      </c>
      <c r="M1419" s="153" t="n">
        <f aca="false">47.13</f>
        <v>47.13</v>
      </c>
      <c r="N1419" s="152" t="s">
        <v>1548</v>
      </c>
      <c r="O1419" s="152" t="s">
        <v>1549</v>
      </c>
      <c r="P1419" s="152" t="s">
        <v>1550</v>
      </c>
      <c r="Q1419" s="152" t="s">
        <v>1551</v>
      </c>
      <c r="R1419" s="154" t="s">
        <v>6894</v>
      </c>
      <c r="S1419" s="154" t="s">
        <v>1553</v>
      </c>
      <c r="T1419" s="155" t="s">
        <v>6820</v>
      </c>
      <c r="U1419" s="152" t="str">
        <f aca="false">RIGHT(T1419,7)</f>
        <v>025/037</v>
      </c>
      <c r="V1419" s="152" t="s">
        <v>1555</v>
      </c>
      <c r="W1419" s="156" t="n">
        <v>45882</v>
      </c>
      <c r="X1419" s="152" t="s">
        <v>3938</v>
      </c>
      <c r="Y1419" s="152" t="s">
        <v>2973</v>
      </c>
      <c r="Z1419" s="152" t="s">
        <v>1557</v>
      </c>
      <c r="AA1419" s="153" t="n">
        <v>4.2</v>
      </c>
      <c r="AB1419" s="151" t="s">
        <v>6895</v>
      </c>
      <c r="AC1419" s="151" t="s">
        <v>186</v>
      </c>
      <c r="AD1419" s="151" t="str">
        <f aca="false">CONCATENATE($C1419,$I1419,$H1419,$N1419,$J1419,$K1419)</f>
        <v>TUBO PEADPEAD63VCAREDESZona11</v>
      </c>
      <c r="AE1419" s="153" t="n">
        <f aca="false">IFERROR(INDEX(APOIO_REDES!$A:$W,MATCH($C1419&amp;$I1419&amp;$H1419&amp;$N1419&amp;$O1419,APOIO_REDES!$W:$W,0),MATCH(AE$5,APOIO_REDES!$5:$5,0)),0)</f>
        <v>1.2</v>
      </c>
      <c r="AF1419" s="153" t="n">
        <f aca="false">IFERROR(INDEX(APOIO_REDES!$A:$W,MATCH($C1419&amp;$I1419&amp;$H1419&amp;$N1419&amp;$O1419,APOIO_REDES!$W:$W,0),MATCH(AF$5,APOIO_REDES!$5:$5,0)),0)</f>
        <v>1.363</v>
      </c>
      <c r="AG1419" s="153" t="n">
        <f aca="false">IFERROR(INDEX(APOIO_REDES!$A:$W,MATCH($C1419&amp;$I1419&amp;$H1419&amp;$N1419&amp;$O1419,APOIO_REDES!$W:$W,0),MATCH(AG$5,APOIO_REDES!$5:$5,0)),0)</f>
        <v>0.65</v>
      </c>
      <c r="AH1419" s="153" t="n">
        <f aca="false">IFERROR(INDEX(APOIO_REDES!$A:$W,MATCH($C1419&amp;$I1419&amp;$H1419&amp;$N1419&amp;$O1419,APOIO_REDES!$W:$W,0),MATCH(AH$5,APOIO_REDES!$5:$5,0)),0)</f>
        <v>0.1</v>
      </c>
      <c r="AI1419" s="153" t="n">
        <f aca="false">IFERROR(IF($H1419&lt;&gt;"",(((($H1419/1000)/2)^2)*PI()*$M1419),0),0)</f>
        <v>0.146915771485018</v>
      </c>
      <c r="AJ1419" s="153" t="n">
        <f aca="false">IFERROR(IF(AND($H1419&lt;&gt;"",$I1419="FoFo",OR($N1419="MND",$N1419="VCA"),$Q1419="LINEAR"),0,IF(AND($H1419&lt;&gt;"",$I1419="PEAD",$N1419="VCA",$Q1419="LINEAR"),($H1419/1000)+0.3,IF(AND($H1419&lt;&gt;"",$I1419="PEAD",$N1419="MND",$Q1419="EMBOQUE"),0,IF(AND($H1419&lt;&gt;"",$I1419="PVC",$N1419="VCA",$Q1419="LINEAR"),($H1419/1000)+0.2,IF(AND($H1419&lt;&gt;"",$I1419="PVC",$N1419="MND",$Q1419="EMBOQUE"),0,IF(AND($H1419&lt;&gt;"",$I1419="PEAD",$N1419="VCA",$Q1419="PREDIAL"),0,0)))))),0)</f>
        <v>0.363</v>
      </c>
      <c r="AK1419" s="153" t="n">
        <f aca="false">IF(AA1419&lt;&gt;"",AA1419,0)</f>
        <v>4.2</v>
      </c>
      <c r="AL1419" s="153" t="n">
        <f aca="false">IF(AND($N1419="MND",$Q1419="EMBOQUE"),$M1419,IF(AND($N1419="VCA",$Q1419="LINEAR"),$M1419,IF(AND($N1419="VCA",$Q1419="PREDIAL"),0,0)))</f>
        <v>47.13</v>
      </c>
      <c r="AM1419" s="153" t="n">
        <f aca="false">IF(AND($N1419="MND",$Q1419="EMBOQUE"),$M1419,IF(AND($N1419="VCA",$Q1419="LINEAR"),$M1419,IF(AND($N1419="VCA",$Q1419="PREDIAL"),0,0)))</f>
        <v>47.13</v>
      </c>
      <c r="AN1419" s="153" t="n">
        <f aca="false">ROUND(IF(AND($N1419="VCA",$M1419&lt;&gt;"",$Q1419="LINEAR"),$M1419/100,IF(AND($N1419="MND",$M1419&gt;100,$Q1419="EMBOQUE"),$M1419/100,0)),0)</f>
        <v>0</v>
      </c>
      <c r="AO1419" s="153" t="n">
        <f aca="false">IF(AND($N1419="MND",$Q1419="EMBOQUE"),$AN1419*2*2,IF(AND($N1419="VCA",$Q1419="LINEAR"),$M1419*2,IF(AND($N1419="VCA",$Q1419="PREDIAL"),0,0)))</f>
        <v>94.26</v>
      </c>
      <c r="AP1419" s="153" t="n">
        <f aca="false">IFERROR($M1419*$AF1419*$AG1419,0)</f>
        <v>41.7548235</v>
      </c>
      <c r="AQ1419" s="153" t="n">
        <f aca="false">IFERROR(IF(AND($N1419="VCA",$AH1419&gt;0),$M1419*$AG1419*$AH1419,0),0)</f>
        <v>3.06345</v>
      </c>
      <c r="AR1419" s="153" t="n">
        <f aca="false">IFERROR(IF(AND($N1419="VCA",$AJ1419&gt;0),($M1419*$AG1419*$AJ1419)-$AI1419,0),0)</f>
        <v>10.973407728515</v>
      </c>
      <c r="AS1419" s="153" t="n">
        <f aca="false">IFERROR(IF(AND($N1419="VCA",$AP1419&gt;0),$AP1419-$AI1419-$AQ1419-$AR1419,0),0)</f>
        <v>27.57105</v>
      </c>
      <c r="AT1419" s="153" t="n">
        <f aca="false">IFERROR(IF($N1419="VCA",INDEX(APOIO_REDES!$A:$W,MATCH($C1419&amp;$I1419&amp;$H1419&amp;$N1419&amp;$O1419,APOIO_REDES!$W:$W,0),MATCH(AT$5,APOIO_REDES!$5:$5,0)),0)*$AP1419,0)</f>
        <v>0.454304838476903</v>
      </c>
      <c r="AU1419" s="153" t="n">
        <f aca="false">IFERROR(IF($N1419="VCA",INDEX(APOIO_REDES!$A:$W,MATCH($C1419&amp;$I1419&amp;$H1419&amp;$N1419&amp;$O1419,APOIO_REDES!$W:$W,0),MATCH(AU$5,APOIO_REDES!$5:$5,0)),0)*$AP1419,0)</f>
        <v>0.362795539872212</v>
      </c>
      <c r="AV1419" s="153" t="n">
        <f aca="false">IFERROR(IF($N1419="VCA",INDEX(APOIO_REDES!$A:$W,MATCH($C1419&amp;$I1419&amp;$H1419&amp;$N1419&amp;$O1419,APOIO_REDES!$W:$W,0),MATCH(AV$5,APOIO_REDES!$5:$5,0)),0)*$AP1419,0)</f>
        <v>0.0502080546616593</v>
      </c>
      <c r="AW1419" s="153" t="n">
        <f aca="false">IFERROR(IF($N1419="VCA",INDEX(APOIO_REDES!$A:$W,MATCH($C1419&amp;$I1419&amp;$H1419&amp;$N1419&amp;$O1419,APOIO_REDES!$W:$W,0),MATCH(AW$5,APOIO_REDES!$5:$5,0)),0)*$AP1419,0)</f>
        <v>28.6608343825601</v>
      </c>
      <c r="AX1419" s="153" t="n">
        <f aca="false">IFERROR(IF($N1419="VCA",INDEX(APOIO_REDES!$A:$W,MATCH($C1419&amp;$I1419&amp;$H1419&amp;$N1419&amp;$O1419,APOIO_REDES!$W:$W,0),MATCH(AX$5,APOIO_REDES!$5:$5,0)),0)*$AP1419,0)</f>
        <v>3.96657783661418</v>
      </c>
      <c r="AY1419" s="153" t="n">
        <f aca="false">IFERROR(IF($N1419="VCA",INDEX(APOIO_REDES!$A:$W,MATCH($C1419&amp;$I1419&amp;$H1419&amp;$N1419&amp;$O1419,APOIO_REDES!$W:$W,0),MATCH(AY$5,APOIO_REDES!$5:$5,0)),0)*$AP1419,0)</f>
        <v>7.25590637499602</v>
      </c>
      <c r="AZ1419" s="153" t="n">
        <f aca="false">IFERROR(IF($N1419="VCA",INDEX(APOIO_REDES!$A:$W,MATCH($C1419&amp;$I1419&amp;$H1419&amp;$N1419&amp;$O1419,APOIO_REDES!$W:$W,0),MATCH(AZ$5,APOIO_REDES!$5:$5,0)),0)*$AP1419,0)</f>
        <v>1.00419647281896</v>
      </c>
      <c r="BA1419" s="153" t="n">
        <f aca="false">IFERROR(IF(AND($N1419="VCA",$Q1419="LINEAR"),INDEX(APOIO_REDES!$A:$W,MATCH($C1419&amp;$I1419&amp;$H1419&amp;$N1419&amp;$O1419,APOIO_REDES!$W:$W,0),MATCH(BA$5,APOIO_REDES!$5:$5,0)),IF(AND($N1419="MND",$Q1419="EMBOQUE"),INDEX(APOIO_REDES!$A:$W,MATCH($C1419&amp;$I1419&amp;$H1419&amp;$N1419&amp;$O1419,APOIO_REDES!$W:$W,0),MATCH(BA$5,APOIO_REDES!$5:$5,0)),0))*$M1419/10,0)</f>
        <v>3.79855911833505</v>
      </c>
      <c r="BB1419" s="153" t="n">
        <f aca="false">IFERROR(IF($N1419="VCA",INDEX(APOIO_REDES!$A:$W,MATCH($C1419&amp;$I1419&amp;$H1419&amp;$N1419&amp;$O1419,APOIO_REDES!$W:$W,0),MATCH(BB$5,APOIO_REDES!$5:$5,0)),0)*($AI1419+$AQ1419+$AR1419),0)</f>
        <v>14.0294498461373</v>
      </c>
      <c r="BC1419" s="153" t="n">
        <f aca="false">IFERROR(IF($N1419="VCA",INDEX(APOIO_REDES!$A:$W,MATCH($C1419&amp;$I1419&amp;$H1419&amp;$N1419&amp;$O1419,APOIO_REDES!$W:$W,0),MATCH(BC$5,APOIO_REDES!$5:$5,0)),0)*($AI1419+$AQ1419+$AR1419),0)</f>
        <v>0.15432365386266</v>
      </c>
      <c r="BD1419" s="153" t="n">
        <f aca="false">IF(AND($N1419="VCA",$AF1419&gt;=1.25,$AF1419&lt;1.5),$M1419*$AF1419*2,0)</f>
        <v>128.47638</v>
      </c>
      <c r="BE1419" s="153" t="n">
        <f aca="false">IF(AND($N1419="VCA",$AF1419&gt;=1.5,$AF1419&lt;3),$M1419*$AF1419*2,0)</f>
        <v>0</v>
      </c>
      <c r="BF1419" s="153" t="n">
        <f aca="false">IF(AND($N1419="VCA",$AF1419&gt;=3),$M1419*$AF1419*2,0)</f>
        <v>0</v>
      </c>
      <c r="BG1419" s="153" t="n">
        <f aca="false">($BB1419+$BC1419)*$AK1419</f>
        <v>59.5718487</v>
      </c>
      <c r="BH1419" s="153" t="n">
        <f aca="false">IF(AND($M1419&lt;&gt;"",$N1419="VCA",$Q1419="LINEAR"),($M1419*2)/100,IF(AND($M1419&lt;&gt;"",$N1419="MND",$Q1419="EMBOQUE"),($AN1419*2)/100,0))</f>
        <v>0.9426</v>
      </c>
      <c r="BI1419" s="153" t="n">
        <f aca="false">IF(AND($M1419&lt;&gt;"",$N1419="VCA",$Q1419="LINEAR"),$M1419,IF(AND($M1419&lt;&gt;"",$N1419="MND",$Q1419="EMBOQUE"),$AN1419*2,0))</f>
        <v>47.13</v>
      </c>
      <c r="BJ1419" s="153" t="n">
        <f aca="false">IF(AND($M1419&lt;&gt;"",$N1419="VCA",$Q1419="LINEAR"),($M1419*6.8)/100,IF(AND($M1419&lt;&gt;"",$N1419="MND",$Q1419="EMBOQUE"),($AN1419*2*6.8)/100,0))</f>
        <v>3.20484</v>
      </c>
      <c r="BK1419" s="153" t="n">
        <f aca="false">IF(AND($M1419&lt;&gt;"",$N1419="VCA",$Q1419="LINEAR"),($M1419*2.5)/50,IF(AND($M1419&lt;&gt;"",$N1419="MND",$Q1419="EMBOQUE"),($AN1419*2*2.5)/50,0))</f>
        <v>2.3565</v>
      </c>
      <c r="BL1419" s="157" t="str">
        <f aca="false">K1419&amp;J1419</f>
        <v>Zona11REDES</v>
      </c>
      <c r="BM1419" s="152" t="s">
        <v>6084</v>
      </c>
      <c r="BN1419" s="152" t="s">
        <v>1560</v>
      </c>
      <c r="BO1419" s="152" t="s">
        <v>6822</v>
      </c>
      <c r="BP1419" s="152" t="s">
        <v>6881</v>
      </c>
      <c r="BQ1419" s="152" t="s">
        <v>6888</v>
      </c>
      <c r="BR1419" s="152" t="s">
        <v>6896</v>
      </c>
      <c r="BS1419" s="152" t="n">
        <v>204891.18</v>
      </c>
      <c r="BT1419" s="152" t="n">
        <v>8236176.365</v>
      </c>
      <c r="BU1419" s="152" t="n">
        <v>204845.818</v>
      </c>
      <c r="BV1419" s="152" t="n">
        <v>8236163.674</v>
      </c>
      <c r="BW1419" s="152" t="n">
        <v>-15.9362066</v>
      </c>
      <c r="BX1419" s="152" t="n">
        <v>-47.7566742</v>
      </c>
      <c r="BY1419" s="152" t="s">
        <v>6881</v>
      </c>
    </row>
    <row r="1420" customFormat="false" ht="13.8" hidden="false" customHeight="false" outlineLevel="0" collapsed="false">
      <c r="A1420" s="149" t="n">
        <f aca="false">IF(C1420&lt;&gt;"",ROW(A1415),"")</f>
        <v>1415</v>
      </c>
      <c r="B1420" s="150" t="str">
        <f aca="false">HYPERLINK("https://www.google.com/maps/dir/-15.917302,-47.760003/-15.9354715,-47.7599753/data=!4m3!4m2!3e0!5i1")</f>
        <v>https://www.google.com/maps/dir/-15.917302,-47.760003/-15.9354715,-47.7599753/data=!4m3!4m2!3e0!5i1</v>
      </c>
      <c r="C1420" s="151" t="s">
        <v>117</v>
      </c>
      <c r="D1420" s="152" t="s">
        <v>112</v>
      </c>
      <c r="E1420" s="152" t="s">
        <v>113</v>
      </c>
      <c r="F1420" s="152" t="s">
        <v>117</v>
      </c>
      <c r="G1420" s="152" t="s">
        <v>782</v>
      </c>
      <c r="H1420" s="152" t="n">
        <v>63</v>
      </c>
      <c r="I1420" s="152" t="s">
        <v>115</v>
      </c>
      <c r="J1420" s="152" t="s">
        <v>6</v>
      </c>
      <c r="K1420" s="152" t="s">
        <v>6081</v>
      </c>
      <c r="L1420" s="152" t="s">
        <v>120</v>
      </c>
      <c r="M1420" s="153" t="n">
        <f aca="false">178.77+4</f>
        <v>182.77</v>
      </c>
      <c r="N1420" s="152" t="s">
        <v>1548</v>
      </c>
      <c r="O1420" s="152" t="s">
        <v>1549</v>
      </c>
      <c r="P1420" s="152" t="s">
        <v>1550</v>
      </c>
      <c r="Q1420" s="152" t="s">
        <v>1551</v>
      </c>
      <c r="R1420" s="154" t="s">
        <v>6897</v>
      </c>
      <c r="S1420" s="154" t="s">
        <v>1553</v>
      </c>
      <c r="T1420" s="155" t="s">
        <v>6820</v>
      </c>
      <c r="U1420" s="152" t="str">
        <f aca="false">RIGHT(T1420,7)</f>
        <v>025/037</v>
      </c>
      <c r="V1420" s="152" t="s">
        <v>1555</v>
      </c>
      <c r="W1420" s="156" t="n">
        <v>45882</v>
      </c>
      <c r="X1420" s="152" t="s">
        <v>3938</v>
      </c>
      <c r="Y1420" s="152" t="s">
        <v>1839</v>
      </c>
      <c r="Z1420" s="152" t="s">
        <v>1557</v>
      </c>
      <c r="AA1420" s="153" t="n">
        <v>4.8</v>
      </c>
      <c r="AB1420" s="151" t="s">
        <v>6898</v>
      </c>
      <c r="AC1420" s="151" t="s">
        <v>186</v>
      </c>
      <c r="AD1420" s="151" t="str">
        <f aca="false">CONCATENATE($C1420,$I1420,$H1420,$N1420,$J1420,$K1420)</f>
        <v>TUBO PEADPEAD63VCAREDESZona11</v>
      </c>
      <c r="AE1420" s="153" t="n">
        <f aca="false">IFERROR(INDEX(APOIO_REDES!$A:$W,MATCH($C1420&amp;$I1420&amp;$H1420&amp;$N1420&amp;$O1420,APOIO_REDES!$W:$W,0),MATCH(AE$5,APOIO_REDES!$5:$5,0)),0)</f>
        <v>1.2</v>
      </c>
      <c r="AF1420" s="153" t="n">
        <f aca="false">IFERROR(INDEX(APOIO_REDES!$A:$W,MATCH($C1420&amp;$I1420&amp;$H1420&amp;$N1420&amp;$O1420,APOIO_REDES!$W:$W,0),MATCH(AF$5,APOIO_REDES!$5:$5,0)),0)</f>
        <v>1.363</v>
      </c>
      <c r="AG1420" s="153" t="n">
        <f aca="false">IFERROR(INDEX(APOIO_REDES!$A:$W,MATCH($C1420&amp;$I1420&amp;$H1420&amp;$N1420&amp;$O1420,APOIO_REDES!$W:$W,0),MATCH(AG$5,APOIO_REDES!$5:$5,0)),0)</f>
        <v>0.65</v>
      </c>
      <c r="AH1420" s="153" t="n">
        <f aca="false">IFERROR(INDEX(APOIO_REDES!$A:$W,MATCH($C1420&amp;$I1420&amp;$H1420&amp;$N1420&amp;$O1420,APOIO_REDES!$W:$W,0),MATCH(AH$5,APOIO_REDES!$5:$5,0)),0)</f>
        <v>0.1</v>
      </c>
      <c r="AI1420" s="153" t="n">
        <f aca="false">IFERROR(IF($H1420&lt;&gt;"",(((($H1420/1000)/2)^2)*PI()*$M1420),0),0)</f>
        <v>0.569738925404558</v>
      </c>
      <c r="AJ1420" s="153" t="n">
        <f aca="false">IFERROR(IF(AND($H1420&lt;&gt;"",$I1420="FoFo",OR($N1420="MND",$N1420="VCA"),$Q1420="LINEAR"),0,IF(AND($H1420&lt;&gt;"",$I1420="PEAD",$N1420="VCA",$Q1420="LINEAR"),($H1420/1000)+0.3,IF(AND($H1420&lt;&gt;"",$I1420="PEAD",$N1420="MND",$Q1420="EMBOQUE"),0,IF(AND($H1420&lt;&gt;"",$I1420="PVC",$N1420="VCA",$Q1420="LINEAR"),($H1420/1000)+0.2,IF(AND($H1420&lt;&gt;"",$I1420="PVC",$N1420="MND",$Q1420="EMBOQUE"),0,IF(AND($H1420&lt;&gt;"",$I1420="PEAD",$N1420="VCA",$Q1420="PREDIAL"),0,0)))))),0)</f>
        <v>0.363</v>
      </c>
      <c r="AK1420" s="153" t="n">
        <f aca="false">IF(AA1420&lt;&gt;"",AA1420,0)</f>
        <v>4.8</v>
      </c>
      <c r="AL1420" s="153" t="n">
        <f aca="false">IF(AND($N1420="MND",$Q1420="EMBOQUE"),$M1420,IF(AND($N1420="VCA",$Q1420="LINEAR"),$M1420,IF(AND($N1420="VCA",$Q1420="PREDIAL"),0,0)))</f>
        <v>182.77</v>
      </c>
      <c r="AM1420" s="153" t="n">
        <f aca="false">IF(AND($N1420="MND",$Q1420="EMBOQUE"),$M1420,IF(AND($N1420="VCA",$Q1420="LINEAR"),$M1420,IF(AND($N1420="VCA",$Q1420="PREDIAL"),0,0)))</f>
        <v>182.77</v>
      </c>
      <c r="AN1420" s="153" t="n">
        <f aca="false">ROUND(IF(AND($N1420="VCA",$M1420&lt;&gt;"",$Q1420="LINEAR"),$M1420/100,IF(AND($N1420="MND",$M1420&gt;100,$Q1420="EMBOQUE"),$M1420/100,0)),0)</f>
        <v>2</v>
      </c>
      <c r="AO1420" s="153" t="n">
        <f aca="false">IF(AND($N1420="MND",$Q1420="EMBOQUE"),$AN1420*2*2,IF(AND($N1420="VCA",$Q1420="LINEAR"),$M1420*2,IF(AND($N1420="VCA",$Q1420="PREDIAL"),0,0)))</f>
        <v>365.54</v>
      </c>
      <c r="AP1420" s="153" t="n">
        <f aca="false">IFERROR($M1420*$AF1420*$AG1420,0)</f>
        <v>161.9250815</v>
      </c>
      <c r="AQ1420" s="153" t="n">
        <f aca="false">IFERROR(IF(AND($N1420="VCA",$AH1420&gt;0),$M1420*$AG1420*$AH1420,0),0)</f>
        <v>11.88005</v>
      </c>
      <c r="AR1420" s="153" t="n">
        <f aca="false">IFERROR(IF(AND($N1420="VCA",$AJ1420&gt;0),($M1420*$AG1420*$AJ1420)-$AI1420,0),0)</f>
        <v>42.5548425745955</v>
      </c>
      <c r="AS1420" s="153" t="n">
        <f aca="false">IFERROR(IF(AND($N1420="VCA",$AP1420&gt;0),$AP1420-$AI1420-$AQ1420-$AR1420,0),0)</f>
        <v>106.92045</v>
      </c>
      <c r="AT1420" s="153" t="n">
        <f aca="false">IFERROR(IF($N1420="VCA",INDEX(APOIO_REDES!$A:$W,MATCH($C1420&amp;$I1420&amp;$H1420&amp;$N1420&amp;$O1420,APOIO_REDES!$W:$W,0),MATCH(AT$5,APOIO_REDES!$5:$5,0)),0)*$AP1420,0)</f>
        <v>1.76179281409768</v>
      </c>
      <c r="AU1420" s="153" t="n">
        <f aca="false">IFERROR(IF($N1420="VCA",INDEX(APOIO_REDES!$A:$W,MATCH($C1420&amp;$I1420&amp;$H1420&amp;$N1420&amp;$O1420,APOIO_REDES!$W:$W,0),MATCH(AU$5,APOIO_REDES!$5:$5,0)),0)*$AP1420,0)</f>
        <v>1.40692002593771</v>
      </c>
      <c r="AV1420" s="153" t="n">
        <f aca="false">IFERROR(IF($N1420="VCA",INDEX(APOIO_REDES!$A:$W,MATCH($C1420&amp;$I1420&amp;$H1420&amp;$N1420&amp;$O1420,APOIO_REDES!$W:$W,0),MATCH(AV$5,APOIO_REDES!$5:$5,0)),0)*$AP1420,0)</f>
        <v>0.194706686834532</v>
      </c>
      <c r="AW1420" s="153" t="n">
        <f aca="false">IFERROR(IF($N1420="VCA",INDEX(APOIO_REDES!$A:$W,MATCH($C1420&amp;$I1420&amp;$H1420&amp;$N1420&amp;$O1420,APOIO_REDES!$W:$W,0),MATCH(AW$5,APOIO_REDES!$5:$5,0)),0)*$AP1420,0)</f>
        <v>111.146630598356</v>
      </c>
      <c r="AX1420" s="153" t="n">
        <f aca="false">IFERROR(IF($N1420="VCA",INDEX(APOIO_REDES!$A:$W,MATCH($C1420&amp;$I1420&amp;$H1420&amp;$N1420&amp;$O1420,APOIO_REDES!$W:$W,0),MATCH(AX$5,APOIO_REDES!$5:$5,0)),0)*$AP1420,0)</f>
        <v>15.3823770676421</v>
      </c>
      <c r="AY1420" s="153" t="n">
        <f aca="false">IFERROR(IF($N1420="VCA",INDEX(APOIO_REDES!$A:$W,MATCH($C1420&amp;$I1420&amp;$H1420&amp;$N1420&amp;$O1420,APOIO_REDES!$W:$W,0),MATCH(AY$5,APOIO_REDES!$5:$5,0)),0)*$AP1420,0)</f>
        <v>28.1383833685131</v>
      </c>
      <c r="AZ1420" s="153" t="n">
        <f aca="false">IFERROR(IF($N1420="VCA",INDEX(APOIO_REDES!$A:$W,MATCH($C1420&amp;$I1420&amp;$H1420&amp;$N1420&amp;$O1420,APOIO_REDES!$W:$W,0),MATCH(AZ$5,APOIO_REDES!$5:$5,0)),0)*$AP1420,0)</f>
        <v>3.89427093861917</v>
      </c>
      <c r="BA1420" s="153" t="n">
        <f aca="false">IFERROR(IF(AND($N1420="VCA",$Q1420="LINEAR"),INDEX(APOIO_REDES!$A:$W,MATCH($C1420&amp;$I1420&amp;$H1420&amp;$N1420&amp;$O1420,APOIO_REDES!$W:$W,0),MATCH(BA$5,APOIO_REDES!$5:$5,0)),IF(AND($N1420="MND",$Q1420="EMBOQUE"),INDEX(APOIO_REDES!$A:$W,MATCH($C1420&amp;$I1420&amp;$H1420&amp;$N1420&amp;$O1420,APOIO_REDES!$W:$W,0),MATCH(BA$5,APOIO_REDES!$5:$5,0)),0))*$M1420/10,0)</f>
        <v>14.7308009772564</v>
      </c>
      <c r="BB1420" s="153" t="n">
        <f aca="false">IFERROR(IF($N1420="VCA",INDEX(APOIO_REDES!$A:$W,MATCH($C1420&amp;$I1420&amp;$H1420&amp;$N1420&amp;$O1420,APOIO_REDES!$W:$W,0),MATCH(BB$5,APOIO_REDES!$5:$5,0)),0)*($AI1420+$AQ1420+$AR1420),0)</f>
        <v>54.4061648287401</v>
      </c>
      <c r="BC1420" s="153" t="n">
        <f aca="false">IFERROR(IF($N1420="VCA",INDEX(APOIO_REDES!$A:$W,MATCH($C1420&amp;$I1420&amp;$H1420&amp;$N1420&amp;$O1420,APOIO_REDES!$W:$W,0),MATCH(BC$5,APOIO_REDES!$5:$5,0)),0)*($AI1420+$AQ1420+$AR1420),0)</f>
        <v>0.598466671259886</v>
      </c>
      <c r="BD1420" s="153" t="n">
        <f aca="false">IF(AND($N1420="VCA",$AF1420&gt;=1.25,$AF1420&lt;1.5),$M1420*$AF1420*2,0)</f>
        <v>498.23102</v>
      </c>
      <c r="BE1420" s="153" t="n">
        <f aca="false">IF(AND($N1420="VCA",$AF1420&gt;=1.5,$AF1420&lt;3),$M1420*$AF1420*2,0)</f>
        <v>0</v>
      </c>
      <c r="BF1420" s="153" t="n">
        <f aca="false">IF(AND($N1420="VCA",$AF1420&gt;=3),$M1420*$AF1420*2,0)</f>
        <v>0</v>
      </c>
      <c r="BG1420" s="153" t="n">
        <f aca="false">($BB1420+$BC1420)*$AK1420</f>
        <v>264.0222312</v>
      </c>
      <c r="BH1420" s="153" t="n">
        <f aca="false">IF(AND($M1420&lt;&gt;"",$N1420="VCA",$Q1420="LINEAR"),($M1420*2)/100,IF(AND($M1420&lt;&gt;"",$N1420="MND",$Q1420="EMBOQUE"),($AN1420*2)/100,0))</f>
        <v>3.6554</v>
      </c>
      <c r="BI1420" s="153" t="n">
        <f aca="false">IF(AND($M1420&lt;&gt;"",$N1420="VCA",$Q1420="LINEAR"),$M1420,IF(AND($M1420&lt;&gt;"",$N1420="MND",$Q1420="EMBOQUE"),$AN1420*2,0))</f>
        <v>182.77</v>
      </c>
      <c r="BJ1420" s="153" t="n">
        <f aca="false">IF(AND($M1420&lt;&gt;"",$N1420="VCA",$Q1420="LINEAR"),($M1420*6.8)/100,IF(AND($M1420&lt;&gt;"",$N1420="MND",$Q1420="EMBOQUE"),($AN1420*2*6.8)/100,0))</f>
        <v>12.42836</v>
      </c>
      <c r="BK1420" s="153" t="n">
        <f aca="false">IF(AND($M1420&lt;&gt;"",$N1420="VCA",$Q1420="LINEAR"),($M1420*2.5)/50,IF(AND($M1420&lt;&gt;"",$N1420="MND",$Q1420="EMBOQUE"),($AN1420*2*2.5)/50,0))</f>
        <v>9.1385</v>
      </c>
      <c r="BL1420" s="157" t="str">
        <f aca="false">K1420&amp;J1420</f>
        <v>Zona11REDES</v>
      </c>
      <c r="BM1420" s="152" t="s">
        <v>6084</v>
      </c>
      <c r="BN1420" s="152" t="s">
        <v>1560</v>
      </c>
      <c r="BO1420" s="152" t="s">
        <v>6822</v>
      </c>
      <c r="BP1420" s="152" t="s">
        <v>6899</v>
      </c>
      <c r="BQ1420" s="152" t="s">
        <v>6900</v>
      </c>
      <c r="BR1420" s="152" t="s">
        <v>6901</v>
      </c>
      <c r="BS1420" s="152" t="n">
        <v>204513.607</v>
      </c>
      <c r="BT1420" s="152" t="n">
        <v>8236247.322</v>
      </c>
      <c r="BU1420" s="152" t="n">
        <v>204526.023</v>
      </c>
      <c r="BV1420" s="152" t="n">
        <v>8236081.092</v>
      </c>
      <c r="BW1420" s="152" t="n">
        <v>-15.9362619</v>
      </c>
      <c r="BX1420" s="152" t="n">
        <v>-47.7598172</v>
      </c>
      <c r="BY1420" s="152" t="s">
        <v>6899</v>
      </c>
    </row>
    <row r="1421" customFormat="false" ht="13.8" hidden="false" customHeight="false" outlineLevel="0" collapsed="false">
      <c r="A1421" s="149" t="n">
        <f aca="false">IF(C1421&lt;&gt;"",ROW(A1416),"")</f>
        <v>1416</v>
      </c>
      <c r="B1421" s="150" t="str">
        <f aca="false">HYPERLINK("https://www.google.com/maps/dir/-15.917302,-47.760003/-15.9359240,-47.7560599/data=!4m3!4m2!3e0!5i1")</f>
        <v>https://www.google.com/maps/dir/-15.917302,-47.760003/-15.9359240,-47.7560599/data=!4m3!4m2!3e0!5i1</v>
      </c>
      <c r="C1421" s="151" t="s">
        <v>117</v>
      </c>
      <c r="D1421" s="152" t="s">
        <v>112</v>
      </c>
      <c r="E1421" s="152" t="s">
        <v>113</v>
      </c>
      <c r="F1421" s="152" t="s">
        <v>117</v>
      </c>
      <c r="G1421" s="152" t="s">
        <v>782</v>
      </c>
      <c r="H1421" s="152" t="n">
        <v>90</v>
      </c>
      <c r="I1421" s="152" t="s">
        <v>115</v>
      </c>
      <c r="J1421" s="152" t="s">
        <v>6</v>
      </c>
      <c r="K1421" s="152" t="s">
        <v>6081</v>
      </c>
      <c r="L1421" s="152" t="s">
        <v>120</v>
      </c>
      <c r="M1421" s="153" t="n">
        <f aca="false">100.95+0.34</f>
        <v>101.29</v>
      </c>
      <c r="N1421" s="152" t="s">
        <v>1548</v>
      </c>
      <c r="O1421" s="152" t="s">
        <v>1549</v>
      </c>
      <c r="P1421" s="152" t="s">
        <v>1550</v>
      </c>
      <c r="Q1421" s="152" t="s">
        <v>1551</v>
      </c>
      <c r="R1421" s="154" t="s">
        <v>6902</v>
      </c>
      <c r="S1421" s="154" t="s">
        <v>1593</v>
      </c>
      <c r="T1421" s="155" t="s">
        <v>6820</v>
      </c>
      <c r="U1421" s="152" t="str">
        <f aca="false">RIGHT(T1421,7)</f>
        <v>025/037</v>
      </c>
      <c r="V1421" s="152" t="s">
        <v>1555</v>
      </c>
      <c r="W1421" s="156" t="n">
        <v>45882</v>
      </c>
      <c r="X1421" s="152" t="s">
        <v>1594</v>
      </c>
      <c r="Y1421" s="152" t="s">
        <v>6292</v>
      </c>
      <c r="Z1421" s="152" t="s">
        <v>1557</v>
      </c>
      <c r="AA1421" s="153" t="n">
        <v>4</v>
      </c>
      <c r="AB1421" s="151" t="s">
        <v>6903</v>
      </c>
      <c r="AC1421" s="151" t="s">
        <v>526</v>
      </c>
      <c r="AD1421" s="151" t="str">
        <f aca="false">CONCATENATE($C1421,$I1421,$H1421,$N1421,$J1421,$K1421)</f>
        <v>TUBO PEADPEAD90VCAREDESZona11</v>
      </c>
      <c r="AE1421" s="153" t="n">
        <f aca="false">IFERROR(INDEX(APOIO_REDES!$A:$W,MATCH($C1421&amp;$I1421&amp;$H1421&amp;$N1421&amp;$O1421,APOIO_REDES!$W:$W,0),MATCH(AE$5,APOIO_REDES!$5:$5,0)),0)</f>
        <v>1.2</v>
      </c>
      <c r="AF1421" s="153" t="n">
        <f aca="false">IFERROR(INDEX(APOIO_REDES!$A:$W,MATCH($C1421&amp;$I1421&amp;$H1421&amp;$N1421&amp;$O1421,APOIO_REDES!$W:$W,0),MATCH(AF$5,APOIO_REDES!$5:$5,0)),0)</f>
        <v>1.39</v>
      </c>
      <c r="AG1421" s="153" t="n">
        <f aca="false">IFERROR(INDEX(APOIO_REDES!$A:$W,MATCH($C1421&amp;$I1421&amp;$H1421&amp;$N1421&amp;$O1421,APOIO_REDES!$W:$W,0),MATCH(AG$5,APOIO_REDES!$5:$5,0)),0)</f>
        <v>0.75</v>
      </c>
      <c r="AH1421" s="153" t="n">
        <f aca="false">IFERROR(INDEX(APOIO_REDES!$A:$W,MATCH($C1421&amp;$I1421&amp;$H1421&amp;$N1421&amp;$O1421,APOIO_REDES!$W:$W,0),MATCH(AH$5,APOIO_REDES!$5:$5,0)),0)</f>
        <v>0.1</v>
      </c>
      <c r="AI1421" s="153" t="n">
        <f aca="false">IFERROR(IF($H1421&lt;&gt;"",(((($H1421/1000)/2)^2)*PI()*$M1421),0),0)</f>
        <v>0.644379137761273</v>
      </c>
      <c r="AJ1421" s="153" t="n">
        <f aca="false">IFERROR(IF(AND($H1421&lt;&gt;"",$I1421="FoFo",OR($N1421="MND",$N1421="VCA"),$Q1421="LINEAR"),0,IF(AND($H1421&lt;&gt;"",$I1421="PEAD",$N1421="VCA",$Q1421="LINEAR"),($H1421/1000)+0.3,IF(AND($H1421&lt;&gt;"",$I1421="PEAD",$N1421="MND",$Q1421="EMBOQUE"),0,IF(AND($H1421&lt;&gt;"",$I1421="PVC",$N1421="VCA",$Q1421="LINEAR"),($H1421/1000)+0.2,IF(AND($H1421&lt;&gt;"",$I1421="PVC",$N1421="MND",$Q1421="EMBOQUE"),0,IF(AND($H1421&lt;&gt;"",$I1421="PEAD",$N1421="VCA",$Q1421="PREDIAL"),0,0)))))),0)</f>
        <v>0.39</v>
      </c>
      <c r="AK1421" s="153" t="n">
        <f aca="false">IF(AA1421&lt;&gt;"",AA1421,0)</f>
        <v>4</v>
      </c>
      <c r="AL1421" s="153" t="n">
        <f aca="false">IF(AND($N1421="MND",$Q1421="EMBOQUE"),$M1421,IF(AND($N1421="VCA",$Q1421="LINEAR"),$M1421,IF(AND($N1421="VCA",$Q1421="PREDIAL"),0,0)))</f>
        <v>101.29</v>
      </c>
      <c r="AM1421" s="153" t="n">
        <f aca="false">IF(AND($N1421="MND",$Q1421="EMBOQUE"),$M1421,IF(AND($N1421="VCA",$Q1421="LINEAR"),$M1421,IF(AND($N1421="VCA",$Q1421="PREDIAL"),0,0)))</f>
        <v>101.29</v>
      </c>
      <c r="AN1421" s="153" t="n">
        <f aca="false">ROUND(IF(AND($N1421="VCA",$M1421&lt;&gt;"",$Q1421="LINEAR"),$M1421/100,IF(AND($N1421="MND",$M1421&gt;100,$Q1421="EMBOQUE"),$M1421/100,0)),0)</f>
        <v>1</v>
      </c>
      <c r="AO1421" s="153" t="n">
        <f aca="false">IF(AND($N1421="MND",$Q1421="EMBOQUE"),$AN1421*2*2,IF(AND($N1421="VCA",$Q1421="LINEAR"),$M1421*2,IF(AND($N1421="VCA",$Q1421="PREDIAL"),0,0)))</f>
        <v>202.58</v>
      </c>
      <c r="AP1421" s="153" t="n">
        <f aca="false">IFERROR($M1421*$AF1421*$AG1421,0)</f>
        <v>105.594825</v>
      </c>
      <c r="AQ1421" s="153" t="n">
        <f aca="false">IFERROR(IF(AND($N1421="VCA",$AH1421&gt;0),$M1421*$AG1421*$AH1421,0),0)</f>
        <v>7.59675</v>
      </c>
      <c r="AR1421" s="153" t="n">
        <f aca="false">IFERROR(IF(AND($N1421="VCA",$AJ1421&gt;0),($M1421*$AG1421*$AJ1421)-$AI1421,0),0)</f>
        <v>28.9829458622387</v>
      </c>
      <c r="AS1421" s="153" t="n">
        <f aca="false">IFERROR(IF(AND($N1421="VCA",$AP1421&gt;0),$AP1421-$AI1421-$AQ1421-$AR1421,0),0)</f>
        <v>68.37075</v>
      </c>
      <c r="AT1421" s="153" t="n">
        <f aca="false">IFERROR(IF($N1421="VCA",INDEX(APOIO_REDES!$A:$W,MATCH($C1421&amp;$I1421&amp;$H1421&amp;$N1421&amp;$O1421,APOIO_REDES!$W:$W,0),MATCH(AT$5,APOIO_REDES!$5:$5,0)),0)*$AP1421,0)</f>
        <v>1.14890295047282</v>
      </c>
      <c r="AU1421" s="153" t="n">
        <f aca="false">IFERROR(IF($N1421="VCA",INDEX(APOIO_REDES!$A:$W,MATCH($C1421&amp;$I1421&amp;$H1421&amp;$N1421&amp;$O1421,APOIO_REDES!$W:$W,0),MATCH(AU$5,APOIO_REDES!$5:$5,0)),0)*$AP1421,0)</f>
        <v>0.917482780009518</v>
      </c>
      <c r="AV1421" s="153" t="n">
        <f aca="false">IFERROR(IF($N1421="VCA",INDEX(APOIO_REDES!$A:$W,MATCH($C1421&amp;$I1421&amp;$H1421&amp;$N1421&amp;$O1421,APOIO_REDES!$W:$W,0),MATCH(AV$5,APOIO_REDES!$5:$5,0)),0)*$AP1421,0)</f>
        <v>0.126972414231097</v>
      </c>
      <c r="AW1421" s="153" t="n">
        <f aca="false">IFERROR(IF($N1421="VCA",INDEX(APOIO_REDES!$A:$W,MATCH($C1421&amp;$I1421&amp;$H1421&amp;$N1421&amp;$O1421,APOIO_REDES!$W:$W,0),MATCH(AW$5,APOIO_REDES!$5:$5,0)),0)*$AP1421,0)</f>
        <v>72.4811060686298</v>
      </c>
      <c r="AX1421" s="153" t="n">
        <f aca="false">IFERROR(IF($N1421="VCA",INDEX(APOIO_REDES!$A:$W,MATCH($C1421&amp;$I1421&amp;$H1421&amp;$N1421&amp;$O1421,APOIO_REDES!$W:$W,0),MATCH(AX$5,APOIO_REDES!$5:$5,0)),0)*$AP1421,0)</f>
        <v>10.0311786135595</v>
      </c>
      <c r="AY1421" s="153" t="n">
        <f aca="false">IFERROR(IF($N1421="VCA",INDEX(APOIO_REDES!$A:$W,MATCH($C1421&amp;$I1421&amp;$H1421&amp;$N1421&amp;$O1421,APOIO_REDES!$W:$W,0),MATCH(AY$5,APOIO_REDES!$5:$5,0)),0)*$AP1421,0)</f>
        <v>18.3496444161496</v>
      </c>
      <c r="AZ1421" s="153" t="n">
        <f aca="false">IFERROR(IF($N1421="VCA",INDEX(APOIO_REDES!$A:$W,MATCH($C1421&amp;$I1421&amp;$H1421&amp;$N1421&amp;$O1421,APOIO_REDES!$W:$W,0),MATCH(AZ$5,APOIO_REDES!$5:$5,0)),0)*$AP1421,0)</f>
        <v>2.53953775694766</v>
      </c>
      <c r="BA1421" s="153" t="n">
        <f aca="false">IFERROR(IF(AND($N1421="VCA",$Q1421="LINEAR"),INDEX(APOIO_REDES!$A:$W,MATCH($C1421&amp;$I1421&amp;$H1421&amp;$N1421&amp;$O1421,APOIO_REDES!$W:$W,0),MATCH(BA$5,APOIO_REDES!$5:$5,0)),IF(AND($N1421="MND",$Q1421="EMBOQUE"),INDEX(APOIO_REDES!$A:$W,MATCH($C1421&amp;$I1421&amp;$H1421&amp;$N1421&amp;$O1421,APOIO_REDES!$W:$W,0),MATCH(BA$5,APOIO_REDES!$5:$5,0)),0))*$M1421/10,0)</f>
        <v>8.16371850405595</v>
      </c>
      <c r="BB1421" s="153" t="n">
        <f aca="false">IFERROR(IF($N1421="VCA",INDEX(APOIO_REDES!$A:$W,MATCH($C1421&amp;$I1421&amp;$H1421&amp;$N1421&amp;$O1421,APOIO_REDES!$W:$W,0),MATCH(BB$5,APOIO_REDES!$5:$5,0)),0)*($AI1421+$AQ1421+$AR1421),0)</f>
        <v>36.8190660462362</v>
      </c>
      <c r="BC1421" s="153" t="n">
        <f aca="false">IFERROR(IF($N1421="VCA",INDEX(APOIO_REDES!$A:$W,MATCH($C1421&amp;$I1421&amp;$H1421&amp;$N1421&amp;$O1421,APOIO_REDES!$W:$W,0),MATCH(BC$5,APOIO_REDES!$5:$5,0)),0)*($AI1421+$AQ1421+$AR1421),0)</f>
        <v>0.4050089537638</v>
      </c>
      <c r="BD1421" s="153" t="n">
        <f aca="false">IF(AND($N1421="VCA",$AF1421&gt;=1.25,$AF1421&lt;1.5),$M1421*$AF1421*2,0)</f>
        <v>281.5862</v>
      </c>
      <c r="BE1421" s="153" t="n">
        <f aca="false">IF(AND($N1421="VCA",$AF1421&gt;=1.5,$AF1421&lt;3),$M1421*$AF1421*2,0)</f>
        <v>0</v>
      </c>
      <c r="BF1421" s="153" t="n">
        <f aca="false">IF(AND($N1421="VCA",$AF1421&gt;=3),$M1421*$AF1421*2,0)</f>
        <v>0</v>
      </c>
      <c r="BG1421" s="153" t="n">
        <f aca="false">($BB1421+$BC1421)*$AK1421</f>
        <v>148.8963</v>
      </c>
      <c r="BH1421" s="153" t="n">
        <f aca="false">IF(AND($M1421&lt;&gt;"",$N1421="VCA",$Q1421="LINEAR"),($M1421*2)/100,IF(AND($M1421&lt;&gt;"",$N1421="MND",$Q1421="EMBOQUE"),($AN1421*2)/100,0))</f>
        <v>2.0258</v>
      </c>
      <c r="BI1421" s="153" t="n">
        <f aca="false">IF(AND($M1421&lt;&gt;"",$N1421="VCA",$Q1421="LINEAR"),$M1421,IF(AND($M1421&lt;&gt;"",$N1421="MND",$Q1421="EMBOQUE"),$AN1421*2,0))</f>
        <v>101.29</v>
      </c>
      <c r="BJ1421" s="153" t="n">
        <f aca="false">IF(AND($M1421&lt;&gt;"",$N1421="VCA",$Q1421="LINEAR"),($M1421*6.8)/100,IF(AND($M1421&lt;&gt;"",$N1421="MND",$Q1421="EMBOQUE"),($AN1421*2*6.8)/100,0))</f>
        <v>6.88772</v>
      </c>
      <c r="BK1421" s="153" t="n">
        <f aca="false">IF(AND($M1421&lt;&gt;"",$N1421="VCA",$Q1421="LINEAR"),($M1421*2.5)/50,IF(AND($M1421&lt;&gt;"",$N1421="MND",$Q1421="EMBOQUE"),($AN1421*2*2.5)/50,0))</f>
        <v>5.0645</v>
      </c>
      <c r="BL1421" s="157" t="str">
        <f aca="false">K1421&amp;J1421</f>
        <v>Zona11REDES</v>
      </c>
      <c r="BM1421" s="152" t="s">
        <v>6084</v>
      </c>
      <c r="BN1421" s="152" t="s">
        <v>1560</v>
      </c>
      <c r="BO1421" s="152" t="s">
        <v>6822</v>
      </c>
      <c r="BP1421" s="152" t="s">
        <v>6877</v>
      </c>
      <c r="BQ1421" s="152" t="s">
        <v>6904</v>
      </c>
      <c r="BR1421" s="152" t="s">
        <v>6905</v>
      </c>
      <c r="BS1421" s="152" t="n">
        <v>204933.731</v>
      </c>
      <c r="BT1421" s="152" t="n">
        <v>8236202.766</v>
      </c>
      <c r="BU1421" s="152" t="n">
        <v>204957.639</v>
      </c>
      <c r="BV1421" s="152" t="n">
        <v>8236104.742</v>
      </c>
      <c r="BW1421" s="152" t="n">
        <v>-15.9363674</v>
      </c>
      <c r="BX1421" s="152" t="n">
        <v>-47.7559517</v>
      </c>
      <c r="BY1421" s="152" t="s">
        <v>6877</v>
      </c>
    </row>
    <row r="1422" customFormat="false" ht="13.8" hidden="false" customHeight="false" outlineLevel="0" collapsed="false">
      <c r="A1422" s="149" t="n">
        <f aca="false">IF(C1422&lt;&gt;"",ROW(A1417),"")</f>
        <v>1417</v>
      </c>
      <c r="B1422" s="150" t="str">
        <f aca="false">HYPERLINK("https://www.google.com/maps/dir/-15.917302,-47.760003/-15.9363387,-47.7602436/data=!4m3!4m2!3e0!5i1")</f>
        <v>https://www.google.com/maps/dir/-15.917302,-47.760003/-15.9363387,-47.7602436/data=!4m3!4m2!3e0!5i1</v>
      </c>
      <c r="C1422" s="151" t="s">
        <v>117</v>
      </c>
      <c r="D1422" s="152" t="s">
        <v>112</v>
      </c>
      <c r="E1422" s="152" t="s">
        <v>113</v>
      </c>
      <c r="F1422" s="152" t="s">
        <v>117</v>
      </c>
      <c r="G1422" s="152" t="s">
        <v>782</v>
      </c>
      <c r="H1422" s="152" t="n">
        <v>63</v>
      </c>
      <c r="I1422" s="152" t="s">
        <v>115</v>
      </c>
      <c r="J1422" s="152" t="s">
        <v>6</v>
      </c>
      <c r="K1422" s="152" t="s">
        <v>6081</v>
      </c>
      <c r="L1422" s="152" t="s">
        <v>120</v>
      </c>
      <c r="M1422" s="153" t="n">
        <f aca="false">53.64+4.01</f>
        <v>57.65</v>
      </c>
      <c r="N1422" s="152" t="s">
        <v>1548</v>
      </c>
      <c r="O1422" s="152" t="s">
        <v>1549</v>
      </c>
      <c r="P1422" s="152" t="s">
        <v>1550</v>
      </c>
      <c r="Q1422" s="152" t="s">
        <v>1551</v>
      </c>
      <c r="R1422" s="154" t="s">
        <v>6906</v>
      </c>
      <c r="S1422" s="154" t="s">
        <v>1553</v>
      </c>
      <c r="T1422" s="155" t="s">
        <v>6820</v>
      </c>
      <c r="U1422" s="152" t="str">
        <f aca="false">RIGHT(T1422,7)</f>
        <v>025/037</v>
      </c>
      <c r="V1422" s="152" t="s">
        <v>1555</v>
      </c>
      <c r="W1422" s="156" t="n">
        <v>45882</v>
      </c>
      <c r="X1422" s="152" t="s">
        <v>3938</v>
      </c>
      <c r="Y1422" s="152" t="s">
        <v>6546</v>
      </c>
      <c r="Z1422" s="152" t="s">
        <v>1557</v>
      </c>
      <c r="AA1422" s="153" t="n">
        <v>4.8</v>
      </c>
      <c r="AB1422" s="151" t="s">
        <v>6907</v>
      </c>
      <c r="AC1422" s="151" t="s">
        <v>186</v>
      </c>
      <c r="AD1422" s="151" t="str">
        <f aca="false">CONCATENATE($C1422,$I1422,$H1422,$N1422,$J1422,$K1422)</f>
        <v>TUBO PEADPEAD63VCAREDESZona11</v>
      </c>
      <c r="AE1422" s="153" t="n">
        <f aca="false">IFERROR(INDEX(APOIO_REDES!$A:$W,MATCH($C1422&amp;$I1422&amp;$H1422&amp;$N1422&amp;$O1422,APOIO_REDES!$W:$W,0),MATCH(AE$5,APOIO_REDES!$5:$5,0)),0)</f>
        <v>1.2</v>
      </c>
      <c r="AF1422" s="153" t="n">
        <f aca="false">IFERROR(INDEX(APOIO_REDES!$A:$W,MATCH($C1422&amp;$I1422&amp;$H1422&amp;$N1422&amp;$O1422,APOIO_REDES!$W:$W,0),MATCH(AF$5,APOIO_REDES!$5:$5,0)),0)</f>
        <v>1.363</v>
      </c>
      <c r="AG1422" s="153" t="n">
        <f aca="false">IFERROR(INDEX(APOIO_REDES!$A:$W,MATCH($C1422&amp;$I1422&amp;$H1422&amp;$N1422&amp;$O1422,APOIO_REDES!$W:$W,0),MATCH(AG$5,APOIO_REDES!$5:$5,0)),0)</f>
        <v>0.65</v>
      </c>
      <c r="AH1422" s="153" t="n">
        <f aca="false">IFERROR(INDEX(APOIO_REDES!$A:$W,MATCH($C1422&amp;$I1422&amp;$H1422&amp;$N1422&amp;$O1422,APOIO_REDES!$W:$W,0),MATCH(AH$5,APOIO_REDES!$5:$5,0)),0)</f>
        <v>0.1</v>
      </c>
      <c r="AI1422" s="153" t="n">
        <f aca="false">IFERROR(IF($H1422&lt;&gt;"",(((($H1422/1000)/2)^2)*PI()*$M1422),0),0)</f>
        <v>0.179709192151736</v>
      </c>
      <c r="AJ1422" s="153" t="n">
        <f aca="false">IFERROR(IF(AND($H1422&lt;&gt;"",$I1422="FoFo",OR($N1422="MND",$N1422="VCA"),$Q1422="LINEAR"),0,IF(AND($H1422&lt;&gt;"",$I1422="PEAD",$N1422="VCA",$Q1422="LINEAR"),($H1422/1000)+0.3,IF(AND($H1422&lt;&gt;"",$I1422="PEAD",$N1422="MND",$Q1422="EMBOQUE"),0,IF(AND($H1422&lt;&gt;"",$I1422="PVC",$N1422="VCA",$Q1422="LINEAR"),($H1422/1000)+0.2,IF(AND($H1422&lt;&gt;"",$I1422="PVC",$N1422="MND",$Q1422="EMBOQUE"),0,IF(AND($H1422&lt;&gt;"",$I1422="PEAD",$N1422="VCA",$Q1422="PREDIAL"),0,0)))))),0)</f>
        <v>0.363</v>
      </c>
      <c r="AK1422" s="153" t="n">
        <f aca="false">IF(AA1422&lt;&gt;"",AA1422,0)</f>
        <v>4.8</v>
      </c>
      <c r="AL1422" s="153" t="n">
        <f aca="false">IF(AND($N1422="MND",$Q1422="EMBOQUE"),$M1422,IF(AND($N1422="VCA",$Q1422="LINEAR"),$M1422,IF(AND($N1422="VCA",$Q1422="PREDIAL"),0,0)))</f>
        <v>57.65</v>
      </c>
      <c r="AM1422" s="153" t="n">
        <f aca="false">IF(AND($N1422="MND",$Q1422="EMBOQUE"),$M1422,IF(AND($N1422="VCA",$Q1422="LINEAR"),$M1422,IF(AND($N1422="VCA",$Q1422="PREDIAL"),0,0)))</f>
        <v>57.65</v>
      </c>
      <c r="AN1422" s="153" t="n">
        <f aca="false">ROUND(IF(AND($N1422="VCA",$M1422&lt;&gt;"",$Q1422="LINEAR"),$M1422/100,IF(AND($N1422="MND",$M1422&gt;100,$Q1422="EMBOQUE"),$M1422/100,0)),0)</f>
        <v>1</v>
      </c>
      <c r="AO1422" s="153" t="n">
        <f aca="false">IF(AND($N1422="MND",$Q1422="EMBOQUE"),$AN1422*2*2,IF(AND($N1422="VCA",$Q1422="LINEAR"),$M1422*2,IF(AND($N1422="VCA",$Q1422="PREDIAL"),0,0)))</f>
        <v>115.3</v>
      </c>
      <c r="AP1422" s="153" t="n">
        <f aca="false">IFERROR($M1422*$AF1422*$AG1422,0)</f>
        <v>51.0750175</v>
      </c>
      <c r="AQ1422" s="153" t="n">
        <f aca="false">IFERROR(IF(AND($N1422="VCA",$AH1422&gt;0),$M1422*$AG1422*$AH1422,0),0)</f>
        <v>3.74725</v>
      </c>
      <c r="AR1422" s="153" t="n">
        <f aca="false">IFERROR(IF(AND($N1422="VCA",$AJ1422&gt;0),($M1422*$AG1422*$AJ1422)-$AI1422,0),0)</f>
        <v>13.4228083078483</v>
      </c>
      <c r="AS1422" s="153" t="n">
        <f aca="false">IFERROR(IF(AND($N1422="VCA",$AP1422&gt;0),$AP1422-$AI1422-$AQ1422-$AR1422,0),0)</f>
        <v>33.72525</v>
      </c>
      <c r="AT1422" s="153" t="n">
        <f aca="false">IFERROR(IF($N1422="VCA",INDEX(APOIO_REDES!$A:$W,MATCH($C1422&amp;$I1422&amp;$H1422&amp;$N1422&amp;$O1422,APOIO_REDES!$W:$W,0),MATCH(AT$5,APOIO_REDES!$5:$5,0)),0)*$AP1422,0)</f>
        <v>0.555711307833512</v>
      </c>
      <c r="AU1422" s="153" t="n">
        <f aca="false">IFERROR(IF($N1422="VCA",INDEX(APOIO_REDES!$A:$W,MATCH($C1422&amp;$I1422&amp;$H1422&amp;$N1422&amp;$O1422,APOIO_REDES!$W:$W,0),MATCH(AU$5,APOIO_REDES!$5:$5,0)),0)*$AP1422,0)</f>
        <v>0.443775999864906</v>
      </c>
      <c r="AV1422" s="153" t="n">
        <f aca="false">IFERROR(IF($N1422="VCA",INDEX(APOIO_REDES!$A:$W,MATCH($C1422&amp;$I1422&amp;$H1422&amp;$N1422&amp;$O1422,APOIO_REDES!$W:$W,0),MATCH(AV$5,APOIO_REDES!$5:$5,0)),0)*$AP1422,0)</f>
        <v>0.0614151146031118</v>
      </c>
      <c r="AW1422" s="153" t="n">
        <f aca="false">IFERROR(IF($N1422="VCA",INDEX(APOIO_REDES!$A:$W,MATCH($C1422&amp;$I1422&amp;$H1422&amp;$N1422&amp;$O1422,APOIO_REDES!$W:$W,0),MATCH(AW$5,APOIO_REDES!$5:$5,0)),0)*$AP1422,0)</f>
        <v>35.0582877605472</v>
      </c>
      <c r="AX1422" s="153" t="n">
        <f aca="false">IFERROR(IF($N1422="VCA",INDEX(APOIO_REDES!$A:$W,MATCH($C1422&amp;$I1422&amp;$H1422&amp;$N1422&amp;$O1422,APOIO_REDES!$W:$W,0),MATCH(AX$5,APOIO_REDES!$5:$5,0)),0)*$AP1422,0)</f>
        <v>4.8519671606367</v>
      </c>
      <c r="AY1422" s="153" t="n">
        <f aca="false">IFERROR(IF($N1422="VCA",INDEX(APOIO_REDES!$A:$W,MATCH($C1422&amp;$I1422&amp;$H1422&amp;$N1422&amp;$O1422,APOIO_REDES!$W:$W,0),MATCH(AY$5,APOIO_REDES!$5:$5,0)),0)*$AP1422,0)</f>
        <v>8.87551458770465</v>
      </c>
      <c r="AZ1422" s="153" t="n">
        <f aca="false">IFERROR(IF($N1422="VCA",INDEX(APOIO_REDES!$A:$W,MATCH($C1422&amp;$I1422&amp;$H1422&amp;$N1422&amp;$O1422,APOIO_REDES!$W:$W,0),MATCH(AZ$5,APOIO_REDES!$5:$5,0)),0)*$AP1422,0)</f>
        <v>1.22834556880995</v>
      </c>
      <c r="BA1422" s="153" t="n">
        <f aca="false">IFERROR(IF(AND($N1422="VCA",$Q1422="LINEAR"),INDEX(APOIO_REDES!$A:$W,MATCH($C1422&amp;$I1422&amp;$H1422&amp;$N1422&amp;$O1422,APOIO_REDES!$W:$W,0),MATCH(BA$5,APOIO_REDES!$5:$5,0)),IF(AND($N1422="MND",$Q1422="EMBOQUE"),INDEX(APOIO_REDES!$A:$W,MATCH($C1422&amp;$I1422&amp;$H1422&amp;$N1422&amp;$O1422,APOIO_REDES!$W:$W,0),MATCH(BA$5,APOIO_REDES!$5:$5,0)),0))*$M1422/10,0)</f>
        <v>4.64644458247433</v>
      </c>
      <c r="BB1422" s="153" t="n">
        <f aca="false">IFERROR(IF($N1422="VCA",INDEX(APOIO_REDES!$A:$W,MATCH($C1422&amp;$I1422&amp;$H1422&amp;$N1422&amp;$O1422,APOIO_REDES!$W:$W,0),MATCH(BB$5,APOIO_REDES!$5:$5,0)),0)*($AI1422+$AQ1422+$AR1422),0)</f>
        <v>17.160996894331</v>
      </c>
      <c r="BC1422" s="153" t="n">
        <f aca="false">IFERROR(IF($N1422="VCA",INDEX(APOIO_REDES!$A:$W,MATCH($C1422&amp;$I1422&amp;$H1422&amp;$N1422&amp;$O1422,APOIO_REDES!$W:$W,0),MATCH(BC$5,APOIO_REDES!$5:$5,0)),0)*($AI1422+$AQ1422+$AR1422),0)</f>
        <v>0.188770605669051</v>
      </c>
      <c r="BD1422" s="153" t="n">
        <f aca="false">IF(AND($N1422="VCA",$AF1422&gt;=1.25,$AF1422&lt;1.5),$M1422*$AF1422*2,0)</f>
        <v>157.1539</v>
      </c>
      <c r="BE1422" s="153" t="n">
        <f aca="false">IF(AND($N1422="VCA",$AF1422&gt;=1.5,$AF1422&lt;3),$M1422*$AF1422*2,0)</f>
        <v>0</v>
      </c>
      <c r="BF1422" s="153" t="n">
        <f aca="false">IF(AND($N1422="VCA",$AF1422&gt;=3),$M1422*$AF1422*2,0)</f>
        <v>0</v>
      </c>
      <c r="BG1422" s="153" t="n">
        <f aca="false">($BB1422+$BC1422)*$AK1422</f>
        <v>83.278884</v>
      </c>
      <c r="BH1422" s="153" t="n">
        <f aca="false">IF(AND($M1422&lt;&gt;"",$N1422="VCA",$Q1422="LINEAR"),($M1422*2)/100,IF(AND($M1422&lt;&gt;"",$N1422="MND",$Q1422="EMBOQUE"),($AN1422*2)/100,0))</f>
        <v>1.153</v>
      </c>
      <c r="BI1422" s="153" t="n">
        <f aca="false">IF(AND($M1422&lt;&gt;"",$N1422="VCA",$Q1422="LINEAR"),$M1422,IF(AND($M1422&lt;&gt;"",$N1422="MND",$Q1422="EMBOQUE"),$AN1422*2,0))</f>
        <v>57.65</v>
      </c>
      <c r="BJ1422" s="153" t="n">
        <f aca="false">IF(AND($M1422&lt;&gt;"",$N1422="VCA",$Q1422="LINEAR"),($M1422*6.8)/100,IF(AND($M1422&lt;&gt;"",$N1422="MND",$Q1422="EMBOQUE"),($AN1422*2*6.8)/100,0))</f>
        <v>3.9202</v>
      </c>
      <c r="BK1422" s="153" t="n">
        <f aca="false">IF(AND($M1422&lt;&gt;"",$N1422="VCA",$Q1422="LINEAR"),($M1422*2.5)/50,IF(AND($M1422&lt;&gt;"",$N1422="MND",$Q1422="EMBOQUE"),($AN1422*2*2.5)/50,0))</f>
        <v>2.8825</v>
      </c>
      <c r="BL1422" s="157" t="str">
        <f aca="false">K1422&amp;J1422</f>
        <v>Zona11REDES</v>
      </c>
      <c r="BM1422" s="152" t="s">
        <v>6084</v>
      </c>
      <c r="BN1422" s="152" t="s">
        <v>1560</v>
      </c>
      <c r="BO1422" s="152" t="s">
        <v>6822</v>
      </c>
      <c r="BP1422" s="152" t="s">
        <v>6908</v>
      </c>
      <c r="BQ1422" s="152" t="s">
        <v>6631</v>
      </c>
      <c r="BR1422" s="152" t="s">
        <v>6909</v>
      </c>
      <c r="BS1422" s="152" t="n">
        <v>204486.129</v>
      </c>
      <c r="BT1422" s="152" t="n">
        <v>8236150.915</v>
      </c>
      <c r="BU1422" s="152" t="n">
        <v>204434.002</v>
      </c>
      <c r="BV1422" s="152" t="n">
        <v>8236138.263</v>
      </c>
      <c r="BW1422" s="152" t="n">
        <v>-15.9363926</v>
      </c>
      <c r="BX1422" s="152" t="n">
        <v>-47.7604877</v>
      </c>
      <c r="BY1422" s="152" t="s">
        <v>6908</v>
      </c>
    </row>
    <row r="1423" customFormat="false" ht="13.8" hidden="false" customHeight="false" outlineLevel="0" collapsed="false">
      <c r="A1423" s="149" t="n">
        <f aca="false">IF(C1423&lt;&gt;"",ROW(A1418),"")</f>
        <v>1418</v>
      </c>
      <c r="B1423" s="150" t="str">
        <f aca="false">HYPERLINK("https://www.google.com/maps/dir/-15.917302,-47.760003/-15.9365710,-47.7552768/data=!4m3!4m2!3e0!5i1")</f>
        <v>https://www.google.com/maps/dir/-15.917302,-47.760003/-15.9365710,-47.7552768/data=!4m3!4m2!3e0!5i1</v>
      </c>
      <c r="C1423" s="151" t="s">
        <v>117</v>
      </c>
      <c r="D1423" s="152" t="s">
        <v>112</v>
      </c>
      <c r="E1423" s="152" t="s">
        <v>113</v>
      </c>
      <c r="F1423" s="152" t="s">
        <v>117</v>
      </c>
      <c r="G1423" s="152" t="s">
        <v>782</v>
      </c>
      <c r="H1423" s="152" t="n">
        <v>90</v>
      </c>
      <c r="I1423" s="152" t="s">
        <v>115</v>
      </c>
      <c r="J1423" s="152" t="s">
        <v>6</v>
      </c>
      <c r="K1423" s="152" t="s">
        <v>6081</v>
      </c>
      <c r="L1423" s="152" t="s">
        <v>120</v>
      </c>
      <c r="M1423" s="153" t="n">
        <f aca="false">57.37</f>
        <v>57.37</v>
      </c>
      <c r="N1423" s="152" t="s">
        <v>1548</v>
      </c>
      <c r="O1423" s="152" t="s">
        <v>1549</v>
      </c>
      <c r="P1423" s="152" t="s">
        <v>1550</v>
      </c>
      <c r="Q1423" s="152" t="s">
        <v>1551</v>
      </c>
      <c r="R1423" s="154" t="s">
        <v>6910</v>
      </c>
      <c r="S1423" s="154" t="s">
        <v>1593</v>
      </c>
      <c r="T1423" s="155" t="s">
        <v>6820</v>
      </c>
      <c r="U1423" s="152" t="str">
        <f aca="false">RIGHT(T1423,7)</f>
        <v>025/037</v>
      </c>
      <c r="V1423" s="152" t="s">
        <v>1555</v>
      </c>
      <c r="W1423" s="156" t="n">
        <v>45882</v>
      </c>
      <c r="X1423" s="152" t="s">
        <v>1594</v>
      </c>
      <c r="Y1423" s="152" t="s">
        <v>6911</v>
      </c>
      <c r="Z1423" s="152" t="s">
        <v>1557</v>
      </c>
      <c r="AA1423" s="153" t="n">
        <v>4</v>
      </c>
      <c r="AB1423" s="151" t="s">
        <v>6912</v>
      </c>
      <c r="AC1423" s="151" t="s">
        <v>526</v>
      </c>
      <c r="AD1423" s="151" t="str">
        <f aca="false">CONCATENATE($C1423,$I1423,$H1423,$N1423,$J1423,$K1423)</f>
        <v>TUBO PEADPEAD90VCAREDESZona11</v>
      </c>
      <c r="AE1423" s="153" t="n">
        <f aca="false">IFERROR(INDEX(APOIO_REDES!$A:$W,MATCH($C1423&amp;$I1423&amp;$H1423&amp;$N1423&amp;$O1423,APOIO_REDES!$W:$W,0),MATCH(AE$5,APOIO_REDES!$5:$5,0)),0)</f>
        <v>1.2</v>
      </c>
      <c r="AF1423" s="153" t="n">
        <f aca="false">IFERROR(INDEX(APOIO_REDES!$A:$W,MATCH($C1423&amp;$I1423&amp;$H1423&amp;$N1423&amp;$O1423,APOIO_REDES!$W:$W,0),MATCH(AF$5,APOIO_REDES!$5:$5,0)),0)</f>
        <v>1.39</v>
      </c>
      <c r="AG1423" s="153" t="n">
        <f aca="false">IFERROR(INDEX(APOIO_REDES!$A:$W,MATCH($C1423&amp;$I1423&amp;$H1423&amp;$N1423&amp;$O1423,APOIO_REDES!$W:$W,0),MATCH(AG$5,APOIO_REDES!$5:$5,0)),0)</f>
        <v>0.75</v>
      </c>
      <c r="AH1423" s="153" t="n">
        <f aca="false">IFERROR(INDEX(APOIO_REDES!$A:$W,MATCH($C1423&amp;$I1423&amp;$H1423&amp;$N1423&amp;$O1423,APOIO_REDES!$W:$W,0),MATCH(AH$5,APOIO_REDES!$5:$5,0)),0)</f>
        <v>0.1</v>
      </c>
      <c r="AI1423" s="153" t="n">
        <f aca="false">IFERROR(IF($H1423&lt;&gt;"",(((($H1423/1000)/2)^2)*PI()*$M1423),0),0)</f>
        <v>0.364972170336304</v>
      </c>
      <c r="AJ1423" s="153" t="n">
        <f aca="false">IFERROR(IF(AND($H1423&lt;&gt;"",$I1423="FoFo",OR($N1423="MND",$N1423="VCA"),$Q1423="LINEAR"),0,IF(AND($H1423&lt;&gt;"",$I1423="PEAD",$N1423="VCA",$Q1423="LINEAR"),($H1423/1000)+0.3,IF(AND($H1423&lt;&gt;"",$I1423="PEAD",$N1423="MND",$Q1423="EMBOQUE"),0,IF(AND($H1423&lt;&gt;"",$I1423="PVC",$N1423="VCA",$Q1423="LINEAR"),($H1423/1000)+0.2,IF(AND($H1423&lt;&gt;"",$I1423="PVC",$N1423="MND",$Q1423="EMBOQUE"),0,IF(AND($H1423&lt;&gt;"",$I1423="PEAD",$N1423="VCA",$Q1423="PREDIAL"),0,0)))))),0)</f>
        <v>0.39</v>
      </c>
      <c r="AK1423" s="153" t="n">
        <f aca="false">IF(AA1423&lt;&gt;"",AA1423,0)</f>
        <v>4</v>
      </c>
      <c r="AL1423" s="153" t="n">
        <f aca="false">IF(AND($N1423="MND",$Q1423="EMBOQUE"),$M1423,IF(AND($N1423="VCA",$Q1423="LINEAR"),$M1423,IF(AND($N1423="VCA",$Q1423="PREDIAL"),0,0)))</f>
        <v>57.37</v>
      </c>
      <c r="AM1423" s="153" t="n">
        <f aca="false">IF(AND($N1423="MND",$Q1423="EMBOQUE"),$M1423,IF(AND($N1423="VCA",$Q1423="LINEAR"),$M1423,IF(AND($N1423="VCA",$Q1423="PREDIAL"),0,0)))</f>
        <v>57.37</v>
      </c>
      <c r="AN1423" s="153" t="n">
        <f aca="false">ROUND(IF(AND($N1423="VCA",$M1423&lt;&gt;"",$Q1423="LINEAR"),$M1423/100,IF(AND($N1423="MND",$M1423&gt;100,$Q1423="EMBOQUE"),$M1423/100,0)),0)</f>
        <v>1</v>
      </c>
      <c r="AO1423" s="153" t="n">
        <f aca="false">IF(AND($N1423="MND",$Q1423="EMBOQUE"),$AN1423*2*2,IF(AND($N1423="VCA",$Q1423="LINEAR"),$M1423*2,IF(AND($N1423="VCA",$Q1423="PREDIAL"),0,0)))</f>
        <v>114.74</v>
      </c>
      <c r="AP1423" s="153" t="n">
        <f aca="false">IFERROR($M1423*$AF1423*$AG1423,0)</f>
        <v>59.808225</v>
      </c>
      <c r="AQ1423" s="153" t="n">
        <f aca="false">IFERROR(IF(AND($N1423="VCA",$AH1423&gt;0),$M1423*$AG1423*$AH1423,0),0)</f>
        <v>4.30275</v>
      </c>
      <c r="AR1423" s="153" t="n">
        <f aca="false">IFERROR(IF(AND($N1423="VCA",$AJ1423&gt;0),($M1423*$AG1423*$AJ1423)-$AI1423,0),0)</f>
        <v>16.4157528296637</v>
      </c>
      <c r="AS1423" s="153" t="n">
        <f aca="false">IFERROR(IF(AND($N1423="VCA",$AP1423&gt;0),$AP1423-$AI1423-$AQ1423-$AR1423,0),0)</f>
        <v>38.72475</v>
      </c>
      <c r="AT1423" s="153" t="n">
        <f aca="false">IFERROR(IF($N1423="VCA",INDEX(APOIO_REDES!$A:$W,MATCH($C1423&amp;$I1423&amp;$H1423&amp;$N1423&amp;$O1423,APOIO_REDES!$W:$W,0),MATCH(AT$5,APOIO_REDES!$5:$5,0)),0)*$AP1423,0)</f>
        <v>0.650731190330987</v>
      </c>
      <c r="AU1423" s="153" t="n">
        <f aca="false">IFERROR(IF($N1423="VCA",INDEX(APOIO_REDES!$A:$W,MATCH($C1423&amp;$I1423&amp;$H1423&amp;$N1423&amp;$O1423,APOIO_REDES!$W:$W,0),MATCH(AU$5,APOIO_REDES!$5:$5,0)),0)*$AP1423,0)</f>
        <v>0.519656304562603</v>
      </c>
      <c r="AV1423" s="153" t="n">
        <f aca="false">IFERROR(IF($N1423="VCA",INDEX(APOIO_REDES!$A:$W,MATCH($C1423&amp;$I1423&amp;$H1423&amp;$N1423&amp;$O1423,APOIO_REDES!$W:$W,0),MATCH(AV$5,APOIO_REDES!$5:$5,0)),0)*$AP1423,0)</f>
        <v>0.0719163530895255</v>
      </c>
      <c r="AW1423" s="153" t="n">
        <f aca="false">IFERROR(IF($N1423="VCA",INDEX(APOIO_REDES!$A:$W,MATCH($C1423&amp;$I1423&amp;$H1423&amp;$N1423&amp;$O1423,APOIO_REDES!$W:$W,0),MATCH(AW$5,APOIO_REDES!$5:$5,0)),0)*$AP1423,0)</f>
        <v>41.0528290567409</v>
      </c>
      <c r="AX1423" s="153" t="n">
        <f aca="false">IFERROR(IF($N1423="VCA",INDEX(APOIO_REDES!$A:$W,MATCH($C1423&amp;$I1423&amp;$H1423&amp;$N1423&amp;$O1423,APOIO_REDES!$W:$W,0),MATCH(AX$5,APOIO_REDES!$5:$5,0)),0)*$AP1423,0)</f>
        <v>5.68159460025581</v>
      </c>
      <c r="AY1423" s="153" t="n">
        <f aca="false">IFERROR(IF($N1423="VCA",INDEX(APOIO_REDES!$A:$W,MATCH($C1423&amp;$I1423&amp;$H1423&amp;$N1423&amp;$O1423,APOIO_REDES!$W:$W,0),MATCH(AY$5,APOIO_REDES!$5:$5,0)),0)*$AP1423,0)</f>
        <v>10.3931197566838</v>
      </c>
      <c r="AZ1423" s="153" t="n">
        <f aca="false">IFERROR(IF($N1423="VCA",INDEX(APOIO_REDES!$A:$W,MATCH($C1423&amp;$I1423&amp;$H1423&amp;$N1423&amp;$O1423,APOIO_REDES!$W:$W,0),MATCH(AZ$5,APOIO_REDES!$5:$5,0)),0)*$AP1423,0)</f>
        <v>1.43837773833633</v>
      </c>
      <c r="BA1423" s="153" t="n">
        <f aca="false">IFERROR(IF(AND($N1423="VCA",$Q1423="LINEAR"),INDEX(APOIO_REDES!$A:$W,MATCH($C1423&amp;$I1423&amp;$H1423&amp;$N1423&amp;$O1423,APOIO_REDES!$W:$W,0),MATCH(BA$5,APOIO_REDES!$5:$5,0)),IF(AND($N1423="MND",$Q1423="EMBOQUE"),INDEX(APOIO_REDES!$A:$W,MATCH($C1423&amp;$I1423&amp;$H1423&amp;$N1423&amp;$O1423,APOIO_REDES!$W:$W,0),MATCH(BA$5,APOIO_REDES!$5:$5,0)),0))*$M1423/10,0)</f>
        <v>4.623877288752</v>
      </c>
      <c r="BB1423" s="153" t="n">
        <f aca="false">IFERROR(IF($N1423="VCA",INDEX(APOIO_REDES!$A:$W,MATCH($C1423&amp;$I1423&amp;$H1423&amp;$N1423&amp;$O1423,APOIO_REDES!$W:$W,0),MATCH(BB$5,APOIO_REDES!$5:$5,0)),0)*($AI1423+$AQ1423+$AR1423),0)</f>
        <v>20.8540805516099</v>
      </c>
      <c r="BC1423" s="153" t="n">
        <f aca="false">IFERROR(IF($N1423="VCA",INDEX(APOIO_REDES!$A:$W,MATCH($C1423&amp;$I1423&amp;$H1423&amp;$N1423&amp;$O1423,APOIO_REDES!$W:$W,0),MATCH(BC$5,APOIO_REDES!$5:$5,0)),0)*($AI1423+$AQ1423+$AR1423),0)</f>
        <v>0.22939444839006</v>
      </c>
      <c r="BD1423" s="153" t="n">
        <f aca="false">IF(AND($N1423="VCA",$AF1423&gt;=1.25,$AF1423&lt;1.5),$M1423*$AF1423*2,0)</f>
        <v>159.4886</v>
      </c>
      <c r="BE1423" s="153" t="n">
        <f aca="false">IF(AND($N1423="VCA",$AF1423&gt;=1.5,$AF1423&lt;3),$M1423*$AF1423*2,0)</f>
        <v>0</v>
      </c>
      <c r="BF1423" s="153" t="n">
        <f aca="false">IF(AND($N1423="VCA",$AF1423&gt;=3),$M1423*$AF1423*2,0)</f>
        <v>0</v>
      </c>
      <c r="BG1423" s="153" t="n">
        <f aca="false">($BB1423+$BC1423)*$AK1423</f>
        <v>84.3339</v>
      </c>
      <c r="BH1423" s="153" t="n">
        <f aca="false">IF(AND($M1423&lt;&gt;"",$N1423="VCA",$Q1423="LINEAR"),($M1423*2)/100,IF(AND($M1423&lt;&gt;"",$N1423="MND",$Q1423="EMBOQUE"),($AN1423*2)/100,0))</f>
        <v>1.1474</v>
      </c>
      <c r="BI1423" s="153" t="n">
        <f aca="false">IF(AND($M1423&lt;&gt;"",$N1423="VCA",$Q1423="LINEAR"),$M1423,IF(AND($M1423&lt;&gt;"",$N1423="MND",$Q1423="EMBOQUE"),$AN1423*2,0))</f>
        <v>57.37</v>
      </c>
      <c r="BJ1423" s="153" t="n">
        <f aca="false">IF(AND($M1423&lt;&gt;"",$N1423="VCA",$Q1423="LINEAR"),($M1423*6.8)/100,IF(AND($M1423&lt;&gt;"",$N1423="MND",$Q1423="EMBOQUE"),($AN1423*2*6.8)/100,0))</f>
        <v>3.90116</v>
      </c>
      <c r="BK1423" s="153" t="n">
        <f aca="false">IF(AND($M1423&lt;&gt;"",$N1423="VCA",$Q1423="LINEAR"),($M1423*2.5)/50,IF(AND($M1423&lt;&gt;"",$N1423="MND",$Q1423="EMBOQUE"),($AN1423*2*2.5)/50,0))</f>
        <v>2.8685</v>
      </c>
      <c r="BL1423" s="157" t="str">
        <f aca="false">K1423&amp;J1423</f>
        <v>Zona11REDES</v>
      </c>
      <c r="BM1423" s="152" t="s">
        <v>6084</v>
      </c>
      <c r="BN1423" s="152" t="s">
        <v>1560</v>
      </c>
      <c r="BO1423" s="152" t="s">
        <v>6822</v>
      </c>
      <c r="BP1423" s="152" t="s">
        <v>6892</v>
      </c>
      <c r="BQ1423" s="152" t="s">
        <v>6859</v>
      </c>
      <c r="BR1423" s="152" t="s">
        <v>6913</v>
      </c>
      <c r="BS1423" s="152" t="n">
        <v>205018.651</v>
      </c>
      <c r="BT1423" s="152" t="n">
        <v>8236131.918</v>
      </c>
      <c r="BU1423" s="152" t="n">
        <v>205074.478</v>
      </c>
      <c r="BV1423" s="152" t="n">
        <v>8236145.116</v>
      </c>
      <c r="BW1423" s="152" t="n">
        <v>-15.9365176</v>
      </c>
      <c r="BX1423" s="152" t="n">
        <v>-47.7550148</v>
      </c>
      <c r="BY1423" s="152" t="s">
        <v>6892</v>
      </c>
    </row>
    <row r="1424" customFormat="false" ht="13.8" hidden="false" customHeight="false" outlineLevel="0" collapsed="false">
      <c r="A1424" s="149" t="n">
        <f aca="false">IF(C1424&lt;&gt;"",ROW(A1419),"")</f>
        <v>1419</v>
      </c>
      <c r="B1424" s="150" t="str">
        <f aca="false">HYPERLINK("https://www.google.com/maps/dir/-15.917302,-47.760003/-15.9362665,-47.7568852/data=!4m3!4m2!3e0!5i0")</f>
        <v>https://www.google.com/maps/dir/-15.917302,-47.760003/-15.9362665,-47.7568852/data=!4m3!4m2!3e0!5i0</v>
      </c>
      <c r="C1424" s="151" t="s">
        <v>117</v>
      </c>
      <c r="D1424" s="152" t="s">
        <v>112</v>
      </c>
      <c r="E1424" s="152" t="s">
        <v>113</v>
      </c>
      <c r="F1424" s="152" t="s">
        <v>117</v>
      </c>
      <c r="G1424" s="152" t="s">
        <v>782</v>
      </c>
      <c r="H1424" s="152" t="n">
        <v>90</v>
      </c>
      <c r="I1424" s="152" t="s">
        <v>115</v>
      </c>
      <c r="J1424" s="152" t="s">
        <v>6</v>
      </c>
      <c r="K1424" s="152" t="s">
        <v>6081</v>
      </c>
      <c r="L1424" s="152" t="s">
        <v>120</v>
      </c>
      <c r="M1424" s="153" t="n">
        <f aca="false">86.64+1.65</f>
        <v>88.29</v>
      </c>
      <c r="N1424" s="152" t="s">
        <v>1548</v>
      </c>
      <c r="O1424" s="152" t="s">
        <v>1549</v>
      </c>
      <c r="P1424" s="152" t="s">
        <v>1550</v>
      </c>
      <c r="Q1424" s="152" t="s">
        <v>1551</v>
      </c>
      <c r="R1424" s="154" t="s">
        <v>6914</v>
      </c>
      <c r="S1424" s="154" t="s">
        <v>1593</v>
      </c>
      <c r="T1424" s="155" t="s">
        <v>6820</v>
      </c>
      <c r="U1424" s="152" t="str">
        <f aca="false">RIGHT(T1424,7)</f>
        <v>025/037</v>
      </c>
      <c r="V1424" s="152" t="s">
        <v>1555</v>
      </c>
      <c r="W1424" s="156" t="n">
        <v>45882</v>
      </c>
      <c r="X1424" s="152" t="s">
        <v>3938</v>
      </c>
      <c r="Y1424" s="152" t="s">
        <v>2973</v>
      </c>
      <c r="Z1424" s="152" t="s">
        <v>1557</v>
      </c>
      <c r="AA1424" s="153" t="n">
        <v>4.1</v>
      </c>
      <c r="AB1424" s="151" t="s">
        <v>6915</v>
      </c>
      <c r="AC1424" s="151" t="s">
        <v>526</v>
      </c>
      <c r="AD1424" s="151" t="str">
        <f aca="false">CONCATENATE($C1424,$I1424,$H1424,$N1424,$J1424,$K1424)</f>
        <v>TUBO PEADPEAD90VCAREDESZona11</v>
      </c>
      <c r="AE1424" s="153" t="n">
        <f aca="false">IFERROR(INDEX(APOIO_REDES!$A:$W,MATCH($C1424&amp;$I1424&amp;$H1424&amp;$N1424&amp;$O1424,APOIO_REDES!$W:$W,0),MATCH(AE$5,APOIO_REDES!$5:$5,0)),0)</f>
        <v>1.2</v>
      </c>
      <c r="AF1424" s="153" t="n">
        <f aca="false">IFERROR(INDEX(APOIO_REDES!$A:$W,MATCH($C1424&amp;$I1424&amp;$H1424&amp;$N1424&amp;$O1424,APOIO_REDES!$W:$W,0),MATCH(AF$5,APOIO_REDES!$5:$5,0)),0)</f>
        <v>1.39</v>
      </c>
      <c r="AG1424" s="153" t="n">
        <f aca="false">IFERROR(INDEX(APOIO_REDES!$A:$W,MATCH($C1424&amp;$I1424&amp;$H1424&amp;$N1424&amp;$O1424,APOIO_REDES!$W:$W,0),MATCH(AG$5,APOIO_REDES!$5:$5,0)),0)</f>
        <v>0.75</v>
      </c>
      <c r="AH1424" s="153" t="n">
        <f aca="false">IFERROR(INDEX(APOIO_REDES!$A:$W,MATCH($C1424&amp;$I1424&amp;$H1424&amp;$N1424&amp;$O1424,APOIO_REDES!$W:$W,0),MATCH(AH$5,APOIO_REDES!$5:$5,0)),0)</f>
        <v>0.1</v>
      </c>
      <c r="AI1424" s="153" t="n">
        <f aca="false">IFERROR(IF($H1424&lt;&gt;"",(((($H1424/1000)/2)^2)*PI()*$M1424),0),0)</f>
        <v>0.561676711155522</v>
      </c>
      <c r="AJ1424" s="153" t="n">
        <f aca="false">IFERROR(IF(AND($H1424&lt;&gt;"",$I1424="FoFo",OR($N1424="MND",$N1424="VCA"),$Q1424="LINEAR"),0,IF(AND($H1424&lt;&gt;"",$I1424="PEAD",$N1424="VCA",$Q1424="LINEAR"),($H1424/1000)+0.3,IF(AND($H1424&lt;&gt;"",$I1424="PEAD",$N1424="MND",$Q1424="EMBOQUE"),0,IF(AND($H1424&lt;&gt;"",$I1424="PVC",$N1424="VCA",$Q1424="LINEAR"),($H1424/1000)+0.2,IF(AND($H1424&lt;&gt;"",$I1424="PVC",$N1424="MND",$Q1424="EMBOQUE"),0,IF(AND($H1424&lt;&gt;"",$I1424="PEAD",$N1424="VCA",$Q1424="PREDIAL"),0,0)))))),0)</f>
        <v>0.39</v>
      </c>
      <c r="AK1424" s="153" t="n">
        <f aca="false">IF(AA1424&lt;&gt;"",AA1424,0)</f>
        <v>4.1</v>
      </c>
      <c r="AL1424" s="153" t="n">
        <f aca="false">IF(AND($N1424="MND",$Q1424="EMBOQUE"),$M1424,IF(AND($N1424="VCA",$Q1424="LINEAR"),$M1424,IF(AND($N1424="VCA",$Q1424="PREDIAL"),0,0)))</f>
        <v>88.29</v>
      </c>
      <c r="AM1424" s="153" t="n">
        <f aca="false">IF(AND($N1424="MND",$Q1424="EMBOQUE"),$M1424,IF(AND($N1424="VCA",$Q1424="LINEAR"),$M1424,IF(AND($N1424="VCA",$Q1424="PREDIAL"),0,0)))</f>
        <v>88.29</v>
      </c>
      <c r="AN1424" s="153" t="n">
        <f aca="false">ROUND(IF(AND($N1424="VCA",$M1424&lt;&gt;"",$Q1424="LINEAR"),$M1424/100,IF(AND($N1424="MND",$M1424&gt;100,$Q1424="EMBOQUE"),$M1424/100,0)),0)</f>
        <v>1</v>
      </c>
      <c r="AO1424" s="153" t="n">
        <f aca="false">IF(AND($N1424="MND",$Q1424="EMBOQUE"),$AN1424*2*2,IF(AND($N1424="VCA",$Q1424="LINEAR"),$M1424*2,IF(AND($N1424="VCA",$Q1424="PREDIAL"),0,0)))</f>
        <v>176.58</v>
      </c>
      <c r="AP1424" s="153" t="n">
        <f aca="false">IFERROR($M1424*$AF1424*$AG1424,0)</f>
        <v>92.042325</v>
      </c>
      <c r="AQ1424" s="153" t="n">
        <f aca="false">IFERROR(IF(AND($N1424="VCA",$AH1424&gt;0),$M1424*$AG1424*$AH1424,0),0)</f>
        <v>6.62175</v>
      </c>
      <c r="AR1424" s="153" t="n">
        <f aca="false">IFERROR(IF(AND($N1424="VCA",$AJ1424&gt;0),($M1424*$AG1424*$AJ1424)-$AI1424,0),0)</f>
        <v>25.2631482888445</v>
      </c>
      <c r="AS1424" s="153" t="n">
        <f aca="false">IFERROR(IF(AND($N1424="VCA",$AP1424&gt;0),$AP1424-$AI1424-$AQ1424-$AR1424,0),0)</f>
        <v>59.59575</v>
      </c>
      <c r="AT1424" s="153" t="n">
        <f aca="false">IFERROR(IF($N1424="VCA",INDEX(APOIO_REDES!$A:$W,MATCH($C1424&amp;$I1424&amp;$H1424&amp;$N1424&amp;$O1424,APOIO_REDES!$W:$W,0),MATCH(AT$5,APOIO_REDES!$5:$5,0)),0)*$AP1424,0)</f>
        <v>1.00144773913758</v>
      </c>
      <c r="AU1424" s="153" t="n">
        <f aca="false">IFERROR(IF($N1424="VCA",INDEX(APOIO_REDES!$A:$W,MATCH($C1424&amp;$I1424&amp;$H1424&amp;$N1424&amp;$O1424,APOIO_REDES!$W:$W,0),MATCH(AU$5,APOIO_REDES!$5:$5,0)),0)*$AP1424,0)</f>
        <v>0.799729041830786</v>
      </c>
      <c r="AV1424" s="153" t="n">
        <f aca="false">IFERROR(IF($N1424="VCA",INDEX(APOIO_REDES!$A:$W,MATCH($C1424&amp;$I1424&amp;$H1424&amp;$N1424&amp;$O1424,APOIO_REDES!$W:$W,0),MATCH(AV$5,APOIO_REDES!$5:$5,0)),0)*$AP1424,0)</f>
        <v>0.110676221270249</v>
      </c>
      <c r="AW1424" s="153" t="n">
        <f aca="false">IFERROR(IF($N1424="VCA",INDEX(APOIO_REDES!$A:$W,MATCH($C1424&amp;$I1424&amp;$H1424&amp;$N1424&amp;$O1424,APOIO_REDES!$W:$W,0),MATCH(AW$5,APOIO_REDES!$5:$5,0)),0)*$AP1424,0)</f>
        <v>63.1785650587355</v>
      </c>
      <c r="AX1424" s="153" t="n">
        <f aca="false">IFERROR(IF($N1424="VCA",INDEX(APOIO_REDES!$A:$W,MATCH($C1424&amp;$I1424&amp;$H1424&amp;$N1424&amp;$O1424,APOIO_REDES!$W:$W,0),MATCH(AX$5,APOIO_REDES!$5:$5,0)),0)*$AP1424,0)</f>
        <v>8.74373343657983</v>
      </c>
      <c r="AY1424" s="153" t="n">
        <f aca="false">IFERROR(IF($N1424="VCA",INDEX(APOIO_REDES!$A:$W,MATCH($C1424&amp;$I1424&amp;$H1424&amp;$N1424&amp;$O1424,APOIO_REDES!$W:$W,0),MATCH(AY$5,APOIO_REDES!$5:$5,0)),0)*$AP1424,0)</f>
        <v>15.9945710879835</v>
      </c>
      <c r="AZ1424" s="153" t="n">
        <f aca="false">IFERROR(IF($N1424="VCA",INDEX(APOIO_REDES!$A:$W,MATCH($C1424&amp;$I1424&amp;$H1424&amp;$N1424&amp;$O1424,APOIO_REDES!$W:$W,0),MATCH(AZ$5,APOIO_REDES!$5:$5,0)),0)*$AP1424,0)</f>
        <v>2.21360241446252</v>
      </c>
      <c r="BA1424" s="153" t="n">
        <f aca="false">IFERROR(IF(AND($N1424="VCA",$Q1424="LINEAR"),INDEX(APOIO_REDES!$A:$W,MATCH($C1424&amp;$I1424&amp;$H1424&amp;$N1424&amp;$O1424,APOIO_REDES!$W:$W,0),MATCH(BA$5,APOIO_REDES!$5:$5,0)),IF(AND($N1424="MND",$Q1424="EMBOQUE"),INDEX(APOIO_REDES!$A:$W,MATCH($C1424&amp;$I1424&amp;$H1424&amp;$N1424&amp;$O1424,APOIO_REDES!$W:$W,0),MATCH(BA$5,APOIO_REDES!$5:$5,0)),0))*$M1424/10,0)</f>
        <v>7.1159512955188</v>
      </c>
      <c r="BB1424" s="153" t="n">
        <f aca="false">IFERROR(IF($N1424="VCA",INDEX(APOIO_REDES!$A:$W,MATCH($C1424&amp;$I1424&amp;$H1424&amp;$N1424&amp;$O1424,APOIO_REDES!$W:$W,0),MATCH(BB$5,APOIO_REDES!$5:$5,0)),0)*($AI1424+$AQ1424+$AR1424),0)</f>
        <v>32.093546660304</v>
      </c>
      <c r="BC1424" s="153" t="n">
        <f aca="false">IFERROR(IF($N1424="VCA",INDEX(APOIO_REDES!$A:$W,MATCH($C1424&amp;$I1424&amp;$H1424&amp;$N1424&amp;$O1424,APOIO_REDES!$W:$W,0),MATCH(BC$5,APOIO_REDES!$5:$5,0)),0)*($AI1424+$AQ1424+$AR1424),0)</f>
        <v>0.35302833969598</v>
      </c>
      <c r="BD1424" s="153" t="n">
        <f aca="false">IF(AND($N1424="VCA",$AF1424&gt;=1.25,$AF1424&lt;1.5),$M1424*$AF1424*2,0)</f>
        <v>245.4462</v>
      </c>
      <c r="BE1424" s="153" t="n">
        <f aca="false">IF(AND($N1424="VCA",$AF1424&gt;=1.5,$AF1424&lt;3),$M1424*$AF1424*2,0)</f>
        <v>0</v>
      </c>
      <c r="BF1424" s="153" t="n">
        <f aca="false">IF(AND($N1424="VCA",$AF1424&gt;=3),$M1424*$AF1424*2,0)</f>
        <v>0</v>
      </c>
      <c r="BG1424" s="153" t="n">
        <f aca="false">($BB1424+$BC1424)*$AK1424</f>
        <v>133.0309575</v>
      </c>
      <c r="BH1424" s="153" t="n">
        <f aca="false">IF(AND($M1424&lt;&gt;"",$N1424="VCA",$Q1424="LINEAR"),($M1424*2)/100,IF(AND($M1424&lt;&gt;"",$N1424="MND",$Q1424="EMBOQUE"),($AN1424*2)/100,0))</f>
        <v>1.7658</v>
      </c>
      <c r="BI1424" s="153" t="n">
        <f aca="false">IF(AND($M1424&lt;&gt;"",$N1424="VCA",$Q1424="LINEAR"),$M1424,IF(AND($M1424&lt;&gt;"",$N1424="MND",$Q1424="EMBOQUE"),$AN1424*2,0))</f>
        <v>88.29</v>
      </c>
      <c r="BJ1424" s="153" t="n">
        <f aca="false">IF(AND($M1424&lt;&gt;"",$N1424="VCA",$Q1424="LINEAR"),($M1424*6.8)/100,IF(AND($M1424&lt;&gt;"",$N1424="MND",$Q1424="EMBOQUE"),($AN1424*2*6.8)/100,0))</f>
        <v>6.00372</v>
      </c>
      <c r="BK1424" s="153" t="n">
        <f aca="false">IF(AND($M1424&lt;&gt;"",$N1424="VCA",$Q1424="LINEAR"),($M1424*2.5)/50,IF(AND($M1424&lt;&gt;"",$N1424="MND",$Q1424="EMBOQUE"),($AN1424*2*2.5)/50,0))</f>
        <v>4.4145</v>
      </c>
      <c r="BL1424" s="157" t="str">
        <f aca="false">K1424&amp;J1424</f>
        <v>Zona11REDES</v>
      </c>
      <c r="BM1424" s="152" t="s">
        <v>6084</v>
      </c>
      <c r="BN1424" s="152" t="s">
        <v>1560</v>
      </c>
      <c r="BO1424" s="152" t="s">
        <v>6822</v>
      </c>
      <c r="BP1424" s="152" t="s">
        <v>6888</v>
      </c>
      <c r="BQ1424" s="152" t="s">
        <v>6916</v>
      </c>
      <c r="BR1424" s="152" t="s">
        <v>6917</v>
      </c>
      <c r="BS1424" s="152" t="n">
        <v>204846.231</v>
      </c>
      <c r="BT1424" s="152" t="n">
        <v>8236162.626</v>
      </c>
      <c r="BU1424" s="152" t="n">
        <v>204870.34</v>
      </c>
      <c r="BV1424" s="152" t="n">
        <v>8236079.454</v>
      </c>
      <c r="BW1424" s="152" t="n">
        <v>-15.9366518</v>
      </c>
      <c r="BX1424" s="152" t="n">
        <v>-47.7567701</v>
      </c>
      <c r="BY1424" s="152" t="s">
        <v>6888</v>
      </c>
    </row>
    <row r="1425" customFormat="false" ht="13.8" hidden="false" customHeight="false" outlineLevel="0" collapsed="false">
      <c r="A1425" s="149" t="n">
        <f aca="false">IF(C1425&lt;&gt;"",ROW(A1420),"")</f>
        <v>1420</v>
      </c>
      <c r="B1425" s="150" t="str">
        <f aca="false">HYPERLINK("https://www.google.com/maps/dir/-15.917302,-47.760003/-15.9365710,-47.7552768/data=!4m3!4m2!3e0!5i1")</f>
        <v>https://www.google.com/maps/dir/-15.917302,-47.760003/-15.9365710,-47.7552768/data=!4m3!4m2!3e0!5i1</v>
      </c>
      <c r="C1425" s="151" t="s">
        <v>117</v>
      </c>
      <c r="D1425" s="152" t="s">
        <v>112</v>
      </c>
      <c r="E1425" s="152" t="s">
        <v>113</v>
      </c>
      <c r="F1425" s="152" t="s">
        <v>117</v>
      </c>
      <c r="G1425" s="152" t="s">
        <v>782</v>
      </c>
      <c r="H1425" s="152" t="n">
        <v>90</v>
      </c>
      <c r="I1425" s="152" t="s">
        <v>115</v>
      </c>
      <c r="J1425" s="152" t="s">
        <v>6</v>
      </c>
      <c r="K1425" s="152" t="s">
        <v>6081</v>
      </c>
      <c r="L1425" s="152" t="s">
        <v>120</v>
      </c>
      <c r="M1425" s="153" t="n">
        <f aca="false">68.39+0.16</f>
        <v>68.55</v>
      </c>
      <c r="N1425" s="152" t="s">
        <v>1548</v>
      </c>
      <c r="O1425" s="152" t="s">
        <v>1549</v>
      </c>
      <c r="P1425" s="152" t="s">
        <v>1550</v>
      </c>
      <c r="Q1425" s="152" t="s">
        <v>1551</v>
      </c>
      <c r="R1425" s="154" t="s">
        <v>6918</v>
      </c>
      <c r="S1425" s="154" t="s">
        <v>1593</v>
      </c>
      <c r="T1425" s="155" t="s">
        <v>6820</v>
      </c>
      <c r="U1425" s="152" t="str">
        <f aca="false">RIGHT(T1425,7)</f>
        <v>025/037</v>
      </c>
      <c r="V1425" s="152" t="s">
        <v>1555</v>
      </c>
      <c r="W1425" s="156" t="n">
        <v>45882</v>
      </c>
      <c r="X1425" s="152" t="s">
        <v>1594</v>
      </c>
      <c r="Y1425" s="152" t="s">
        <v>6911</v>
      </c>
      <c r="Z1425" s="152" t="s">
        <v>1557</v>
      </c>
      <c r="AA1425" s="153" t="n">
        <v>4</v>
      </c>
      <c r="AB1425" s="151" t="s">
        <v>6919</v>
      </c>
      <c r="AC1425" s="151" t="s">
        <v>526</v>
      </c>
      <c r="AD1425" s="151" t="str">
        <f aca="false">CONCATENATE($C1425,$I1425,$H1425,$N1425,$J1425,$K1425)</f>
        <v>TUBO PEADPEAD90VCAREDESZona11</v>
      </c>
      <c r="AE1425" s="153" t="n">
        <f aca="false">IFERROR(INDEX(APOIO_REDES!$A:$W,MATCH($C1425&amp;$I1425&amp;$H1425&amp;$N1425&amp;$O1425,APOIO_REDES!$W:$W,0),MATCH(AE$5,APOIO_REDES!$5:$5,0)),0)</f>
        <v>1.2</v>
      </c>
      <c r="AF1425" s="153" t="n">
        <f aca="false">IFERROR(INDEX(APOIO_REDES!$A:$W,MATCH($C1425&amp;$I1425&amp;$H1425&amp;$N1425&amp;$O1425,APOIO_REDES!$W:$W,0),MATCH(AF$5,APOIO_REDES!$5:$5,0)),0)</f>
        <v>1.39</v>
      </c>
      <c r="AG1425" s="153" t="n">
        <f aca="false">IFERROR(INDEX(APOIO_REDES!$A:$W,MATCH($C1425&amp;$I1425&amp;$H1425&amp;$N1425&amp;$O1425,APOIO_REDES!$W:$W,0),MATCH(AG$5,APOIO_REDES!$5:$5,0)),0)</f>
        <v>0.75</v>
      </c>
      <c r="AH1425" s="153" t="n">
        <f aca="false">IFERROR(INDEX(APOIO_REDES!$A:$W,MATCH($C1425&amp;$I1425&amp;$H1425&amp;$N1425&amp;$O1425,APOIO_REDES!$W:$W,0),MATCH(AH$5,APOIO_REDES!$5:$5,0)),0)</f>
        <v>0.1</v>
      </c>
      <c r="AI1425" s="153" t="n">
        <f aca="false">IFERROR(IF($H1425&lt;&gt;"",(((($H1425/1000)/2)^2)*PI()*$M1425),0),0)</f>
        <v>0.43609625721725</v>
      </c>
      <c r="AJ1425" s="153" t="n">
        <f aca="false">IFERROR(IF(AND($H1425&lt;&gt;"",$I1425="FoFo",OR($N1425="MND",$N1425="VCA"),$Q1425="LINEAR"),0,IF(AND($H1425&lt;&gt;"",$I1425="PEAD",$N1425="VCA",$Q1425="LINEAR"),($H1425/1000)+0.3,IF(AND($H1425&lt;&gt;"",$I1425="PEAD",$N1425="MND",$Q1425="EMBOQUE"),0,IF(AND($H1425&lt;&gt;"",$I1425="PVC",$N1425="VCA",$Q1425="LINEAR"),($H1425/1000)+0.2,IF(AND($H1425&lt;&gt;"",$I1425="PVC",$N1425="MND",$Q1425="EMBOQUE"),0,IF(AND($H1425&lt;&gt;"",$I1425="PEAD",$N1425="VCA",$Q1425="PREDIAL"),0,0)))))),0)</f>
        <v>0.39</v>
      </c>
      <c r="AK1425" s="153" t="n">
        <f aca="false">IF(AA1425&lt;&gt;"",AA1425,0)</f>
        <v>4</v>
      </c>
      <c r="AL1425" s="153" t="n">
        <f aca="false">IF(AND($N1425="MND",$Q1425="EMBOQUE"),$M1425,IF(AND($N1425="VCA",$Q1425="LINEAR"),$M1425,IF(AND($N1425="VCA",$Q1425="PREDIAL"),0,0)))</f>
        <v>68.55</v>
      </c>
      <c r="AM1425" s="153" t="n">
        <f aca="false">IF(AND($N1425="MND",$Q1425="EMBOQUE"),$M1425,IF(AND($N1425="VCA",$Q1425="LINEAR"),$M1425,IF(AND($N1425="VCA",$Q1425="PREDIAL"),0,0)))</f>
        <v>68.55</v>
      </c>
      <c r="AN1425" s="153" t="n">
        <f aca="false">ROUND(IF(AND($N1425="VCA",$M1425&lt;&gt;"",$Q1425="LINEAR"),$M1425/100,IF(AND($N1425="MND",$M1425&gt;100,$Q1425="EMBOQUE"),$M1425/100,0)),0)</f>
        <v>1</v>
      </c>
      <c r="AO1425" s="153" t="n">
        <f aca="false">IF(AND($N1425="MND",$Q1425="EMBOQUE"),$AN1425*2*2,IF(AND($N1425="VCA",$Q1425="LINEAR"),$M1425*2,IF(AND($N1425="VCA",$Q1425="PREDIAL"),0,0)))</f>
        <v>137.1</v>
      </c>
      <c r="AP1425" s="153" t="n">
        <f aca="false">IFERROR($M1425*$AF1425*$AG1425,0)</f>
        <v>71.463375</v>
      </c>
      <c r="AQ1425" s="153" t="n">
        <f aca="false">IFERROR(IF(AND($N1425="VCA",$AH1425&gt;0),$M1425*$AG1425*$AH1425,0),0)</f>
        <v>5.14125</v>
      </c>
      <c r="AR1425" s="153" t="n">
        <f aca="false">IFERROR(IF(AND($N1425="VCA",$AJ1425&gt;0),($M1425*$AG1425*$AJ1425)-$AI1425,0),0)</f>
        <v>19.6147787427827</v>
      </c>
      <c r="AS1425" s="153" t="n">
        <f aca="false">IFERROR(IF(AND($N1425="VCA",$AP1425&gt;0),$AP1425-$AI1425-$AQ1425-$AR1425,0),0)</f>
        <v>46.27125</v>
      </c>
      <c r="AT1425" s="153" t="n">
        <f aca="false">IFERROR(IF($N1425="VCA",INDEX(APOIO_REDES!$A:$W,MATCH($C1425&amp;$I1425&amp;$H1425&amp;$N1425&amp;$O1425,APOIO_REDES!$W:$W,0),MATCH(AT$5,APOIO_REDES!$5:$5,0)),0)*$AP1425,0)</f>
        <v>0.777542672079295</v>
      </c>
      <c r="AU1425" s="153" t="n">
        <f aca="false">IFERROR(IF($N1425="VCA",INDEX(APOIO_REDES!$A:$W,MATCH($C1425&amp;$I1425&amp;$H1425&amp;$N1425&amp;$O1425,APOIO_REDES!$W:$W,0),MATCH(AU$5,APOIO_REDES!$5:$5,0)),0)*$AP1425,0)</f>
        <v>0.620924519396312</v>
      </c>
      <c r="AV1425" s="153" t="n">
        <f aca="false">IFERROR(IF($N1425="VCA",INDEX(APOIO_REDES!$A:$W,MATCH($C1425&amp;$I1425&amp;$H1425&amp;$N1425&amp;$O1425,APOIO_REDES!$W:$W,0),MATCH(AV$5,APOIO_REDES!$5:$5,0)),0)*$AP1425,0)</f>
        <v>0.0859310790358546</v>
      </c>
      <c r="AW1425" s="153" t="n">
        <f aca="false">IFERROR(IF($N1425="VCA",INDEX(APOIO_REDES!$A:$W,MATCH($C1425&amp;$I1425&amp;$H1425&amp;$N1425&amp;$O1425,APOIO_REDES!$W:$W,0),MATCH(AW$5,APOIO_REDES!$5:$5,0)),0)*$AP1425,0)</f>
        <v>49.05301432525</v>
      </c>
      <c r="AX1425" s="153" t="n">
        <f aca="false">IFERROR(IF($N1425="VCA",INDEX(APOIO_REDES!$A:$W,MATCH($C1425&amp;$I1425&amp;$H1425&amp;$N1425&amp;$O1425,APOIO_REDES!$W:$W,0),MATCH(AX$5,APOIO_REDES!$5:$5,0)),0)*$AP1425,0)</f>
        <v>6.78879745245835</v>
      </c>
      <c r="AY1425" s="153" t="n">
        <f aca="false">IFERROR(IF($N1425="VCA",INDEX(APOIO_REDES!$A:$W,MATCH($C1425&amp;$I1425&amp;$H1425&amp;$N1425&amp;$O1425,APOIO_REDES!$W:$W,0),MATCH(AY$5,APOIO_REDES!$5:$5,0)),0)*$AP1425,0)</f>
        <v>12.4184828189067</v>
      </c>
      <c r="AZ1425" s="153" t="n">
        <f aca="false">IFERROR(IF($N1425="VCA",INDEX(APOIO_REDES!$A:$W,MATCH($C1425&amp;$I1425&amp;$H1425&amp;$N1425&amp;$O1425,APOIO_REDES!$W:$W,0),MATCH(AZ$5,APOIO_REDES!$5:$5,0)),0)*$AP1425,0)</f>
        <v>1.71868213287355</v>
      </c>
      <c r="BA1425" s="153" t="n">
        <f aca="false">IFERROR(IF(AND($N1425="VCA",$Q1425="LINEAR"),INDEX(APOIO_REDES!$A:$W,MATCH($C1425&amp;$I1425&amp;$H1425&amp;$N1425&amp;$O1425,APOIO_REDES!$W:$W,0),MATCH(BA$5,APOIO_REDES!$5:$5,0)),IF(AND($N1425="MND",$Q1425="EMBOQUE"),INDEX(APOIO_REDES!$A:$W,MATCH($C1425&amp;$I1425&amp;$H1425&amp;$N1425&amp;$O1425,APOIO_REDES!$W:$W,0),MATCH(BA$5,APOIO_REDES!$5:$5,0)),0))*$M1425/10,0)</f>
        <v>5.52495708809394</v>
      </c>
      <c r="BB1425" s="153" t="n">
        <f aca="false">IFERROR(IF($N1425="VCA",INDEX(APOIO_REDES!$A:$W,MATCH($C1425&amp;$I1425&amp;$H1425&amp;$N1425&amp;$O1425,APOIO_REDES!$W:$W,0),MATCH(BB$5,APOIO_REDES!$5:$5,0)),0)*($AI1425+$AQ1425+$AR1425),0)</f>
        <v>24.9180272235116</v>
      </c>
      <c r="BC1425" s="153" t="n">
        <f aca="false">IFERROR(IF($N1425="VCA",INDEX(APOIO_REDES!$A:$W,MATCH($C1425&amp;$I1425&amp;$H1425&amp;$N1425&amp;$O1425,APOIO_REDES!$W:$W,0),MATCH(BC$5,APOIO_REDES!$5:$5,0)),0)*($AI1425+$AQ1425+$AR1425),0)</f>
        <v>0.274097776488384</v>
      </c>
      <c r="BD1425" s="153" t="n">
        <f aca="false">IF(AND($N1425="VCA",$AF1425&gt;=1.25,$AF1425&lt;1.5),$M1425*$AF1425*2,0)</f>
        <v>190.569</v>
      </c>
      <c r="BE1425" s="153" t="n">
        <f aca="false">IF(AND($N1425="VCA",$AF1425&gt;=1.5,$AF1425&lt;3),$M1425*$AF1425*2,0)</f>
        <v>0</v>
      </c>
      <c r="BF1425" s="153" t="n">
        <f aca="false">IF(AND($N1425="VCA",$AF1425&gt;=3),$M1425*$AF1425*2,0)</f>
        <v>0</v>
      </c>
      <c r="BG1425" s="153" t="n">
        <f aca="false">($BB1425+$BC1425)*$AK1425</f>
        <v>100.7685</v>
      </c>
      <c r="BH1425" s="153" t="n">
        <f aca="false">IF(AND($M1425&lt;&gt;"",$N1425="VCA",$Q1425="LINEAR"),($M1425*2)/100,IF(AND($M1425&lt;&gt;"",$N1425="MND",$Q1425="EMBOQUE"),($AN1425*2)/100,0))</f>
        <v>1.371</v>
      </c>
      <c r="BI1425" s="153" t="n">
        <f aca="false">IF(AND($M1425&lt;&gt;"",$N1425="VCA",$Q1425="LINEAR"),$M1425,IF(AND($M1425&lt;&gt;"",$N1425="MND",$Q1425="EMBOQUE"),$AN1425*2,0))</f>
        <v>68.55</v>
      </c>
      <c r="BJ1425" s="153" t="n">
        <f aca="false">IF(AND($M1425&lt;&gt;"",$N1425="VCA",$Q1425="LINEAR"),($M1425*6.8)/100,IF(AND($M1425&lt;&gt;"",$N1425="MND",$Q1425="EMBOQUE"),($AN1425*2*6.8)/100,0))</f>
        <v>4.6614</v>
      </c>
      <c r="BK1425" s="153" t="n">
        <f aca="false">IF(AND($M1425&lt;&gt;"",$N1425="VCA",$Q1425="LINEAR"),($M1425*2.5)/50,IF(AND($M1425&lt;&gt;"",$N1425="MND",$Q1425="EMBOQUE"),($AN1425*2*2.5)/50,0))</f>
        <v>3.4275</v>
      </c>
      <c r="BL1425" s="157" t="str">
        <f aca="false">K1425&amp;J1425</f>
        <v>Zona11REDES</v>
      </c>
      <c r="BM1425" s="152" t="s">
        <v>6084</v>
      </c>
      <c r="BN1425" s="152" t="s">
        <v>1560</v>
      </c>
      <c r="BO1425" s="152" t="s">
        <v>6822</v>
      </c>
      <c r="BP1425" s="152" t="s">
        <v>6892</v>
      </c>
      <c r="BQ1425" s="152" t="s">
        <v>6904</v>
      </c>
      <c r="BR1425" s="152" t="s">
        <v>6920</v>
      </c>
      <c r="BS1425" s="152" t="n">
        <v>205018.496</v>
      </c>
      <c r="BT1425" s="152" t="n">
        <v>8236131.881</v>
      </c>
      <c r="BU1425" s="152" t="n">
        <v>204957.639</v>
      </c>
      <c r="BV1425" s="152" t="n">
        <v>8236104.742</v>
      </c>
      <c r="BW1425" s="152" t="n">
        <v>-15.9367403</v>
      </c>
      <c r="BX1425" s="152" t="n">
        <v>-47.7555388</v>
      </c>
      <c r="BY1425" s="152" t="s">
        <v>6892</v>
      </c>
    </row>
    <row r="1426" customFormat="false" ht="13.8" hidden="false" customHeight="false" outlineLevel="0" collapsed="false">
      <c r="A1426" s="149" t="n">
        <f aca="false">IF(C1426&lt;&gt;"",ROW(A1421),"")</f>
        <v>1421</v>
      </c>
      <c r="B1426" s="150" t="str">
        <f aca="false">HYPERLINK("https://www.google.com/maps/dir/-15.917302,-47.760003/-15.9366590,-47.7600336/data=!4m3!4m2!3e0!5i1")</f>
        <v>https://www.google.com/maps/dir/-15.917302,-47.760003/-15.9366590,-47.7600336/data=!4m3!4m2!3e0!5i1</v>
      </c>
      <c r="C1426" s="151" t="s">
        <v>117</v>
      </c>
      <c r="D1426" s="152" t="s">
        <v>112</v>
      </c>
      <c r="E1426" s="152" t="s">
        <v>113</v>
      </c>
      <c r="F1426" s="152" t="s">
        <v>117</v>
      </c>
      <c r="G1426" s="152" t="s">
        <v>782</v>
      </c>
      <c r="H1426" s="152" t="n">
        <v>63</v>
      </c>
      <c r="I1426" s="152" t="s">
        <v>115</v>
      </c>
      <c r="J1426" s="152" t="s">
        <v>6</v>
      </c>
      <c r="K1426" s="152" t="s">
        <v>6081</v>
      </c>
      <c r="L1426" s="152" t="s">
        <v>120</v>
      </c>
      <c r="M1426" s="153" t="n">
        <f aca="false">66.91+4.37</f>
        <v>71.28</v>
      </c>
      <c r="N1426" s="152" t="s">
        <v>1548</v>
      </c>
      <c r="O1426" s="152" t="s">
        <v>1549</v>
      </c>
      <c r="P1426" s="152" t="s">
        <v>1550</v>
      </c>
      <c r="Q1426" s="152" t="s">
        <v>1551</v>
      </c>
      <c r="R1426" s="154" t="s">
        <v>6921</v>
      </c>
      <c r="S1426" s="154" t="s">
        <v>1553</v>
      </c>
      <c r="T1426" s="155" t="s">
        <v>6820</v>
      </c>
      <c r="U1426" s="152" t="str">
        <f aca="false">RIGHT(T1426,7)</f>
        <v>025/037</v>
      </c>
      <c r="V1426" s="152" t="s">
        <v>1555</v>
      </c>
      <c r="W1426" s="156" t="n">
        <v>45882</v>
      </c>
      <c r="X1426" s="152" t="s">
        <v>3938</v>
      </c>
      <c r="Y1426" s="152" t="s">
        <v>6546</v>
      </c>
      <c r="Z1426" s="152" t="s">
        <v>1557</v>
      </c>
      <c r="AA1426" s="153" t="n">
        <v>4.7</v>
      </c>
      <c r="AB1426" s="151" t="s">
        <v>6922</v>
      </c>
      <c r="AC1426" s="151" t="s">
        <v>186</v>
      </c>
      <c r="AD1426" s="151" t="str">
        <f aca="false">CONCATENATE($C1426,$I1426,$H1426,$N1426,$J1426,$K1426)</f>
        <v>TUBO PEADPEAD63VCAREDESZona11</v>
      </c>
      <c r="AE1426" s="153" t="n">
        <f aca="false">IFERROR(INDEX(APOIO_REDES!$A:$W,MATCH($C1426&amp;$I1426&amp;$H1426&amp;$N1426&amp;$O1426,APOIO_REDES!$W:$W,0),MATCH(AE$5,APOIO_REDES!$5:$5,0)),0)</f>
        <v>1.2</v>
      </c>
      <c r="AF1426" s="153" t="n">
        <f aca="false">IFERROR(INDEX(APOIO_REDES!$A:$W,MATCH($C1426&amp;$I1426&amp;$H1426&amp;$N1426&amp;$O1426,APOIO_REDES!$W:$W,0),MATCH(AF$5,APOIO_REDES!$5:$5,0)),0)</f>
        <v>1.363</v>
      </c>
      <c r="AG1426" s="153" t="n">
        <f aca="false">IFERROR(INDEX(APOIO_REDES!$A:$W,MATCH($C1426&amp;$I1426&amp;$H1426&amp;$N1426&amp;$O1426,APOIO_REDES!$W:$W,0),MATCH(AG$5,APOIO_REDES!$5:$5,0)),0)</f>
        <v>0.65</v>
      </c>
      <c r="AH1426" s="153" t="n">
        <f aca="false">IFERROR(INDEX(APOIO_REDES!$A:$W,MATCH($C1426&amp;$I1426&amp;$H1426&amp;$N1426&amp;$O1426,APOIO_REDES!$W:$W,0),MATCH(AH$5,APOIO_REDES!$5:$5,0)),0)</f>
        <v>0.1</v>
      </c>
      <c r="AI1426" s="153" t="n">
        <f aca="false">IFERROR(IF($H1426&lt;&gt;"",(((($H1426/1000)/2)^2)*PI()*$M1426),0),0)</f>
        <v>0.222197245734184</v>
      </c>
      <c r="AJ1426" s="153" t="n">
        <f aca="false">IFERROR(IF(AND($H1426&lt;&gt;"",$I1426="FoFo",OR($N1426="MND",$N1426="VCA"),$Q1426="LINEAR"),0,IF(AND($H1426&lt;&gt;"",$I1426="PEAD",$N1426="VCA",$Q1426="LINEAR"),($H1426/1000)+0.3,IF(AND($H1426&lt;&gt;"",$I1426="PEAD",$N1426="MND",$Q1426="EMBOQUE"),0,IF(AND($H1426&lt;&gt;"",$I1426="PVC",$N1426="VCA",$Q1426="LINEAR"),($H1426/1000)+0.2,IF(AND($H1426&lt;&gt;"",$I1426="PVC",$N1426="MND",$Q1426="EMBOQUE"),0,IF(AND($H1426&lt;&gt;"",$I1426="PEAD",$N1426="VCA",$Q1426="PREDIAL"),0,0)))))),0)</f>
        <v>0.363</v>
      </c>
      <c r="AK1426" s="153" t="n">
        <f aca="false">IF(AA1426&lt;&gt;"",AA1426,0)</f>
        <v>4.7</v>
      </c>
      <c r="AL1426" s="153" t="n">
        <f aca="false">IF(AND($N1426="MND",$Q1426="EMBOQUE"),$M1426,IF(AND($N1426="VCA",$Q1426="LINEAR"),$M1426,IF(AND($N1426="VCA",$Q1426="PREDIAL"),0,0)))</f>
        <v>71.28</v>
      </c>
      <c r="AM1426" s="153" t="n">
        <f aca="false">IF(AND($N1426="MND",$Q1426="EMBOQUE"),$M1426,IF(AND($N1426="VCA",$Q1426="LINEAR"),$M1426,IF(AND($N1426="VCA",$Q1426="PREDIAL"),0,0)))</f>
        <v>71.28</v>
      </c>
      <c r="AN1426" s="153" t="n">
        <f aca="false">ROUND(IF(AND($N1426="VCA",$M1426&lt;&gt;"",$Q1426="LINEAR"),$M1426/100,IF(AND($N1426="MND",$M1426&gt;100,$Q1426="EMBOQUE"),$M1426/100,0)),0)</f>
        <v>1</v>
      </c>
      <c r="AO1426" s="153" t="n">
        <f aca="false">IF(AND($N1426="MND",$Q1426="EMBOQUE"),$AN1426*2*2,IF(AND($N1426="VCA",$Q1426="LINEAR"),$M1426*2,IF(AND($N1426="VCA",$Q1426="PREDIAL"),0,0)))</f>
        <v>142.56</v>
      </c>
      <c r="AP1426" s="153" t="n">
        <f aca="false">IFERROR($M1426*$AF1426*$AG1426,0)</f>
        <v>63.150516</v>
      </c>
      <c r="AQ1426" s="153" t="n">
        <f aca="false">IFERROR(IF(AND($N1426="VCA",$AH1426&gt;0),$M1426*$AG1426*$AH1426,0),0)</f>
        <v>4.6332</v>
      </c>
      <c r="AR1426" s="153" t="n">
        <f aca="false">IFERROR(IF(AND($N1426="VCA",$AJ1426&gt;0),($M1426*$AG1426*$AJ1426)-$AI1426,0),0)</f>
        <v>16.5963187542658</v>
      </c>
      <c r="AS1426" s="153" t="n">
        <f aca="false">IFERROR(IF(AND($N1426="VCA",$AP1426&gt;0),$AP1426-$AI1426-$AQ1426-$AR1426,0),0)</f>
        <v>41.6988</v>
      </c>
      <c r="AT1426" s="153" t="n">
        <f aca="false">IFERROR(IF($N1426="VCA",INDEX(APOIO_REDES!$A:$W,MATCH($C1426&amp;$I1426&amp;$H1426&amp;$N1426&amp;$O1426,APOIO_REDES!$W:$W,0),MATCH(AT$5,APOIO_REDES!$5:$5,0)),0)*$AP1426,0)</f>
        <v>0.687096305678626</v>
      </c>
      <c r="AU1426" s="153" t="n">
        <f aca="false">IFERROR(IF($N1426="VCA",INDEX(APOIO_REDES!$A:$W,MATCH($C1426&amp;$I1426&amp;$H1426&amp;$N1426&amp;$O1426,APOIO_REDES!$W:$W,0),MATCH(AU$5,APOIO_REDES!$5:$5,0)),0)*$AP1426,0)</f>
        <v>0.548696500786999</v>
      </c>
      <c r="AV1426" s="153" t="n">
        <f aca="false">IFERROR(IF($N1426="VCA",INDEX(APOIO_REDES!$A:$W,MATCH($C1426&amp;$I1426&amp;$H1426&amp;$N1426&amp;$O1426,APOIO_REDES!$W:$W,0),MATCH(AV$5,APOIO_REDES!$5:$5,0)),0)*$AP1426,0)</f>
        <v>0.0759352882725032</v>
      </c>
      <c r="AW1426" s="153" t="n">
        <f aca="false">IFERROR(IF($N1426="VCA",INDEX(APOIO_REDES!$A:$W,MATCH($C1426&amp;$I1426&amp;$H1426&amp;$N1426&amp;$O1426,APOIO_REDES!$W:$W,0),MATCH(AW$5,APOIO_REDES!$5:$5,0)),0)*$AP1426,0)</f>
        <v>43.3470034964753</v>
      </c>
      <c r="AX1426" s="153" t="n">
        <f aca="false">IFERROR(IF($N1426="VCA",INDEX(APOIO_REDES!$A:$W,MATCH($C1426&amp;$I1426&amp;$H1426&amp;$N1426&amp;$O1426,APOIO_REDES!$W:$W,0),MATCH(AX$5,APOIO_REDES!$5:$5,0)),0)*$AP1426,0)</f>
        <v>5.99910180763545</v>
      </c>
      <c r="AY1426" s="153" t="n">
        <f aca="false">IFERROR(IF($N1426="VCA",INDEX(APOIO_REDES!$A:$W,MATCH($C1426&amp;$I1426&amp;$H1426&amp;$N1426&amp;$O1426,APOIO_REDES!$W:$W,0),MATCH(AY$5,APOIO_REDES!$5:$5,0)),0)*$AP1426,0)</f>
        <v>10.9739233271741</v>
      </c>
      <c r="AZ1426" s="153" t="n">
        <f aca="false">IFERROR(IF($N1426="VCA",INDEX(APOIO_REDES!$A:$W,MATCH($C1426&amp;$I1426&amp;$H1426&amp;$N1426&amp;$O1426,APOIO_REDES!$W:$W,0),MATCH(AZ$5,APOIO_REDES!$5:$5,0)),0)*$AP1426,0)</f>
        <v>1.51875927397699</v>
      </c>
      <c r="BA1426" s="153" t="n">
        <f aca="false">IFERROR(IF(AND($N1426="VCA",$Q1426="LINEAR"),INDEX(APOIO_REDES!$A:$W,MATCH($C1426&amp;$I1426&amp;$H1426&amp;$N1426&amp;$O1426,APOIO_REDES!$W:$W,0),MATCH(BA$5,APOIO_REDES!$5:$5,0)),IF(AND($N1426="MND",$Q1426="EMBOQUE"),INDEX(APOIO_REDES!$A:$W,MATCH($C1426&amp;$I1426&amp;$H1426&amp;$N1426&amp;$O1426,APOIO_REDES!$W:$W,0),MATCH(BA$5,APOIO_REDES!$5:$5,0)),0))*$M1426/10,0)</f>
        <v>5.74498820188674</v>
      </c>
      <c r="BB1426" s="153" t="n">
        <f aca="false">IFERROR(IF($N1426="VCA",INDEX(APOIO_REDES!$A:$W,MATCH($C1426&amp;$I1426&amp;$H1426&amp;$N1426&amp;$O1426,APOIO_REDES!$W:$W,0),MATCH(BB$5,APOIO_REDES!$5:$5,0)),0)*($AI1426+$AQ1426+$AR1426),0)</f>
        <v>21.2183149805362</v>
      </c>
      <c r="BC1426" s="153" t="n">
        <f aca="false">IFERROR(IF($N1426="VCA",INDEX(APOIO_REDES!$A:$W,MATCH($C1426&amp;$I1426&amp;$H1426&amp;$N1426&amp;$O1426,APOIO_REDES!$W:$W,0),MATCH(BC$5,APOIO_REDES!$5:$5,0)),0)*($AI1426+$AQ1426+$AR1426),0)</f>
        <v>0.233401019463832</v>
      </c>
      <c r="BD1426" s="153" t="n">
        <f aca="false">IF(AND($N1426="VCA",$AF1426&gt;=1.25,$AF1426&lt;1.5),$M1426*$AF1426*2,0)</f>
        <v>194.30928</v>
      </c>
      <c r="BE1426" s="153" t="n">
        <f aca="false">IF(AND($N1426="VCA",$AF1426&gt;=1.5,$AF1426&lt;3),$M1426*$AF1426*2,0)</f>
        <v>0</v>
      </c>
      <c r="BF1426" s="153" t="n">
        <f aca="false">IF(AND($N1426="VCA",$AF1426&gt;=3),$M1426*$AF1426*2,0)</f>
        <v>0</v>
      </c>
      <c r="BG1426" s="153" t="n">
        <f aca="false">($BB1426+$BC1426)*$AK1426</f>
        <v>100.8230652</v>
      </c>
      <c r="BH1426" s="153" t="n">
        <f aca="false">IF(AND($M1426&lt;&gt;"",$N1426="VCA",$Q1426="LINEAR"),($M1426*2)/100,IF(AND($M1426&lt;&gt;"",$N1426="MND",$Q1426="EMBOQUE"),($AN1426*2)/100,0))</f>
        <v>1.4256</v>
      </c>
      <c r="BI1426" s="153" t="n">
        <f aca="false">IF(AND($M1426&lt;&gt;"",$N1426="VCA",$Q1426="LINEAR"),$M1426,IF(AND($M1426&lt;&gt;"",$N1426="MND",$Q1426="EMBOQUE"),$AN1426*2,0))</f>
        <v>71.28</v>
      </c>
      <c r="BJ1426" s="153" t="n">
        <f aca="false">IF(AND($M1426&lt;&gt;"",$N1426="VCA",$Q1426="LINEAR"),($M1426*6.8)/100,IF(AND($M1426&lt;&gt;"",$N1426="MND",$Q1426="EMBOQUE"),($AN1426*2*6.8)/100,0))</f>
        <v>4.84704</v>
      </c>
      <c r="BK1426" s="153" t="n">
        <f aca="false">IF(AND($M1426&lt;&gt;"",$N1426="VCA",$Q1426="LINEAR"),($M1426*2.5)/50,IF(AND($M1426&lt;&gt;"",$N1426="MND",$Q1426="EMBOQUE"),($AN1426*2*2.5)/50,0))</f>
        <v>3.564</v>
      </c>
      <c r="BL1426" s="157" t="str">
        <f aca="false">K1426&amp;J1426</f>
        <v>Zona11REDES</v>
      </c>
      <c r="BM1426" s="152" t="s">
        <v>6084</v>
      </c>
      <c r="BN1426" s="152" t="s">
        <v>1560</v>
      </c>
      <c r="BO1426" s="152" t="s">
        <v>6822</v>
      </c>
      <c r="BP1426" s="152" t="s">
        <v>6923</v>
      </c>
      <c r="BQ1426" s="152" t="s">
        <v>6652</v>
      </c>
      <c r="BR1426" s="152" t="s">
        <v>6924</v>
      </c>
      <c r="BS1426" s="152" t="n">
        <v>204509.098</v>
      </c>
      <c r="BT1426" s="152" t="n">
        <v>8236115.756</v>
      </c>
      <c r="BU1426" s="152" t="n">
        <v>204444.969</v>
      </c>
      <c r="BV1426" s="152" t="n">
        <v>8236096.656</v>
      </c>
      <c r="BW1426" s="152" t="n">
        <v>-15.9367414</v>
      </c>
      <c r="BX1426" s="152" t="n">
        <v>-47.760334</v>
      </c>
      <c r="BY1426" s="152" t="s">
        <v>6923</v>
      </c>
    </row>
    <row r="1427" customFormat="false" ht="13.8" hidden="false" customHeight="false" outlineLevel="0" collapsed="false">
      <c r="A1427" s="149" t="n">
        <f aca="false">IF(C1427&lt;&gt;"",ROW(A1422),"")</f>
        <v>1422</v>
      </c>
      <c r="B1427" s="150" t="str">
        <f aca="false">HYPERLINK("https://www.google.com/maps/dir/-15.917302,-47.760003/-15.9370299,-47.7566665/data=!4m3!4m2!3e0!5i1")</f>
        <v>https://www.google.com/maps/dir/-15.917302,-47.760003/-15.9370299,-47.7566665/data=!4m3!4m2!3e0!5i1</v>
      </c>
      <c r="C1427" s="151" t="s">
        <v>117</v>
      </c>
      <c r="D1427" s="152" t="s">
        <v>112</v>
      </c>
      <c r="E1427" s="152" t="s">
        <v>113</v>
      </c>
      <c r="F1427" s="152" t="s">
        <v>117</v>
      </c>
      <c r="G1427" s="152" t="s">
        <v>114</v>
      </c>
      <c r="H1427" s="152" t="n">
        <v>160</v>
      </c>
      <c r="I1427" s="152" t="s">
        <v>115</v>
      </c>
      <c r="J1427" s="152" t="s">
        <v>6</v>
      </c>
      <c r="K1427" s="152" t="s">
        <v>6081</v>
      </c>
      <c r="L1427" s="152" t="s">
        <v>120</v>
      </c>
      <c r="M1427" s="153" t="n">
        <f aca="false">90.78</f>
        <v>90.78</v>
      </c>
      <c r="N1427" s="152" t="s">
        <v>1548</v>
      </c>
      <c r="O1427" s="152" t="s">
        <v>1549</v>
      </c>
      <c r="P1427" s="152" t="s">
        <v>1550</v>
      </c>
      <c r="Q1427" s="152" t="s">
        <v>1551</v>
      </c>
      <c r="R1427" s="154" t="s">
        <v>6925</v>
      </c>
      <c r="S1427" s="154" t="s">
        <v>1593</v>
      </c>
      <c r="T1427" s="155" t="s">
        <v>6820</v>
      </c>
      <c r="U1427" s="152" t="str">
        <f aca="false">RIGHT(T1427,7)</f>
        <v>025/037</v>
      </c>
      <c r="V1427" s="152" t="s">
        <v>1555</v>
      </c>
      <c r="W1427" s="156" t="n">
        <v>45882</v>
      </c>
      <c r="X1427" s="152" t="s">
        <v>3938</v>
      </c>
      <c r="Y1427" s="152" t="s">
        <v>2973</v>
      </c>
      <c r="Z1427" s="152" t="s">
        <v>1557</v>
      </c>
      <c r="AA1427" s="153" t="n">
        <v>4.1</v>
      </c>
      <c r="AB1427" s="151" t="s">
        <v>6926</v>
      </c>
      <c r="AC1427" s="151" t="s">
        <v>505</v>
      </c>
      <c r="AD1427" s="151" t="str">
        <f aca="false">CONCATENATE($C1427,$I1427,$H1427,$N1427,$J1427,$K1427)</f>
        <v>TUBO PEADPEAD160VCAREDESZona11</v>
      </c>
      <c r="AE1427" s="153" t="n">
        <f aca="false">IFERROR(INDEX(APOIO_REDES!$A:$W,MATCH($C1427&amp;$I1427&amp;$H1427&amp;$N1427&amp;$O1427,APOIO_REDES!$W:$W,0),MATCH(AE$5,APOIO_REDES!$5:$5,0)),0)</f>
        <v>1.2</v>
      </c>
      <c r="AF1427" s="153" t="n">
        <f aca="false">IFERROR(INDEX(APOIO_REDES!$A:$W,MATCH($C1427&amp;$I1427&amp;$H1427&amp;$N1427&amp;$O1427,APOIO_REDES!$W:$W,0),MATCH(AF$5,APOIO_REDES!$5:$5,0)),0)</f>
        <v>1.46</v>
      </c>
      <c r="AG1427" s="153" t="n">
        <f aca="false">IFERROR(INDEX(APOIO_REDES!$A:$W,MATCH($C1427&amp;$I1427&amp;$H1427&amp;$N1427&amp;$O1427,APOIO_REDES!$W:$W,0),MATCH(AG$5,APOIO_REDES!$5:$5,0)),0)</f>
        <v>0.75</v>
      </c>
      <c r="AH1427" s="153" t="n">
        <f aca="false">IFERROR(INDEX(APOIO_REDES!$A:$W,MATCH($C1427&amp;$I1427&amp;$H1427&amp;$N1427&amp;$O1427,APOIO_REDES!$W:$W,0),MATCH(AH$5,APOIO_REDES!$5:$5,0)),0)</f>
        <v>0.1</v>
      </c>
      <c r="AI1427" s="153" t="n">
        <f aca="false">IFERROR(IF($H1427&lt;&gt;"",(((($H1427/1000)/2)^2)*PI()*$M1427),0),0)</f>
        <v>1.82524019899444</v>
      </c>
      <c r="AJ1427" s="153" t="n">
        <f aca="false">IFERROR(IF(AND($H1427&lt;&gt;"",$I1427="FoFo",OR($N1427="MND",$N1427="VCA"),$Q1427="LINEAR"),0,IF(AND($H1427&lt;&gt;"",$I1427="PEAD",$N1427="VCA",$Q1427="LINEAR"),($H1427/1000)+0.3,IF(AND($H1427&lt;&gt;"",$I1427="PEAD",$N1427="MND",$Q1427="EMBOQUE"),0,IF(AND($H1427&lt;&gt;"",$I1427="PVC",$N1427="VCA",$Q1427="LINEAR"),($H1427/1000)+0.2,IF(AND($H1427&lt;&gt;"",$I1427="PVC",$N1427="MND",$Q1427="EMBOQUE"),0,IF(AND($H1427&lt;&gt;"",$I1427="PEAD",$N1427="VCA",$Q1427="PREDIAL"),0,0)))))),0)</f>
        <v>0.46</v>
      </c>
      <c r="AK1427" s="153" t="n">
        <f aca="false">IF(AA1427&lt;&gt;"",AA1427,0)</f>
        <v>4.1</v>
      </c>
      <c r="AL1427" s="153" t="n">
        <f aca="false">IF(AND($N1427="MND",$Q1427="EMBOQUE"),$M1427,IF(AND($N1427="VCA",$Q1427="LINEAR"),$M1427,IF(AND($N1427="VCA",$Q1427="PREDIAL"),0,0)))</f>
        <v>90.78</v>
      </c>
      <c r="AM1427" s="153" t="n">
        <f aca="false">IF(AND($N1427="MND",$Q1427="EMBOQUE"),$M1427,IF(AND($N1427="VCA",$Q1427="LINEAR"),$M1427,IF(AND($N1427="VCA",$Q1427="PREDIAL"),0,0)))</f>
        <v>90.78</v>
      </c>
      <c r="AN1427" s="153" t="n">
        <f aca="false">ROUND(IF(AND($N1427="VCA",$M1427&lt;&gt;"",$Q1427="LINEAR"),$M1427/100,IF(AND($N1427="MND",$M1427&gt;100,$Q1427="EMBOQUE"),$M1427/100,0)),0)</f>
        <v>1</v>
      </c>
      <c r="AO1427" s="153" t="n">
        <f aca="false">IF(AND($N1427="MND",$Q1427="EMBOQUE"),$AN1427*2*2,IF(AND($N1427="VCA",$Q1427="LINEAR"),$M1427*2,IF(AND($N1427="VCA",$Q1427="PREDIAL"),0,0)))</f>
        <v>181.56</v>
      </c>
      <c r="AP1427" s="153" t="n">
        <f aca="false">IFERROR($M1427*$AF1427*$AG1427,0)</f>
        <v>99.4041</v>
      </c>
      <c r="AQ1427" s="153" t="n">
        <f aca="false">IFERROR(IF(AND($N1427="VCA",$AH1427&gt;0),$M1427*$AG1427*$AH1427,0),0)</f>
        <v>6.8085</v>
      </c>
      <c r="AR1427" s="153" t="n">
        <f aca="false">IFERROR(IF(AND($N1427="VCA",$AJ1427&gt;0),($M1427*$AG1427*$AJ1427)-$AI1427,0),0)</f>
        <v>29.4938598010056</v>
      </c>
      <c r="AS1427" s="153" t="n">
        <f aca="false">IFERROR(IF(AND($N1427="VCA",$AP1427&gt;0),$AP1427-$AI1427-$AQ1427-$AR1427,0),0)</f>
        <v>61.2765</v>
      </c>
      <c r="AT1427" s="153" t="n">
        <f aca="false">IFERROR(IF($N1427="VCA",INDEX(APOIO_REDES!$A:$W,MATCH($C1427&amp;$I1427&amp;$H1427&amp;$N1427&amp;$O1427,APOIO_REDES!$W:$W,0),MATCH(AT$5,APOIO_REDES!$5:$5,0)),0)*$AP1427,0)</f>
        <v>1.08154603011175</v>
      </c>
      <c r="AU1427" s="153" t="n">
        <f aca="false">IFERROR(IF($N1427="VCA",INDEX(APOIO_REDES!$A:$W,MATCH($C1427&amp;$I1427&amp;$H1427&amp;$N1427&amp;$O1427,APOIO_REDES!$W:$W,0),MATCH(AU$5,APOIO_REDES!$5:$5,0)),0)*$AP1427,0)</f>
        <v>0.863693367665926</v>
      </c>
      <c r="AV1427" s="153" t="n">
        <f aca="false">IFERROR(IF($N1427="VCA",INDEX(APOIO_REDES!$A:$W,MATCH($C1427&amp;$I1427&amp;$H1427&amp;$N1427&amp;$O1427,APOIO_REDES!$W:$W,0),MATCH(AV$5,APOIO_REDES!$5:$5,0)),0)*$AP1427,0)</f>
        <v>0.119528381826187</v>
      </c>
      <c r="AW1427" s="153" t="n">
        <f aca="false">IFERROR(IF($N1427="VCA",INDEX(APOIO_REDES!$A:$W,MATCH($C1427&amp;$I1427&amp;$H1427&amp;$N1427&amp;$O1427,APOIO_REDES!$W:$W,0),MATCH(AW$5,APOIO_REDES!$5:$5,0)),0)*$AP1427,0)</f>
        <v>68.2317444605517</v>
      </c>
      <c r="AX1427" s="153" t="n">
        <f aca="false">IFERROR(IF($N1427="VCA",INDEX(APOIO_REDES!$A:$W,MATCH($C1427&amp;$I1427&amp;$H1427&amp;$N1427&amp;$O1427,APOIO_REDES!$W:$W,0),MATCH(AX$5,APOIO_REDES!$5:$5,0)),0)*$AP1427,0)</f>
        <v>9.4430790715372</v>
      </c>
      <c r="AY1427" s="153" t="n">
        <f aca="false">IFERROR(IF($N1427="VCA",INDEX(APOIO_REDES!$A:$W,MATCH($C1427&amp;$I1427&amp;$H1427&amp;$N1427&amp;$O1427,APOIO_REDES!$W:$W,0),MATCH(AY$5,APOIO_REDES!$5:$5,0)),0)*$AP1427,0)</f>
        <v>17.2738568249664</v>
      </c>
      <c r="AZ1427" s="153" t="n">
        <f aca="false">IFERROR(IF($N1427="VCA",INDEX(APOIO_REDES!$A:$W,MATCH($C1427&amp;$I1427&amp;$H1427&amp;$N1427&amp;$O1427,APOIO_REDES!$W:$W,0),MATCH(AZ$5,APOIO_REDES!$5:$5,0)),0)*$AP1427,0)</f>
        <v>2.39065186334085</v>
      </c>
      <c r="BA1427" s="153" t="n">
        <f aca="false">IFERROR(IF(AND($N1427="VCA",$Q1427="LINEAR"),INDEX(APOIO_REDES!$A:$W,MATCH($C1427&amp;$I1427&amp;$H1427&amp;$N1427&amp;$O1427,APOIO_REDES!$W:$W,0),MATCH(BA$5,APOIO_REDES!$5:$5,0)),IF(AND($N1427="MND",$Q1427="EMBOQUE"),INDEX(APOIO_REDES!$A:$W,MATCH($C1427&amp;$I1427&amp;$H1427&amp;$N1427&amp;$O1427,APOIO_REDES!$W:$W,0),MATCH(BA$5,APOIO_REDES!$5:$5,0)),0))*$M1427/10,0)</f>
        <v>7.31663901469245</v>
      </c>
      <c r="BB1427" s="153" t="n">
        <f aca="false">IFERROR(IF($N1427="VCA",INDEX(APOIO_REDES!$A:$W,MATCH($C1427&amp;$I1427&amp;$H1427&amp;$N1427&amp;$O1427,APOIO_REDES!$W:$W,0),MATCH(BB$5,APOIO_REDES!$5:$5,0)),0)*($AI1427+$AQ1427+$AR1427),0)</f>
        <v>37.7127604268065</v>
      </c>
      <c r="BC1427" s="153" t="n">
        <f aca="false">IFERROR(IF($N1427="VCA",INDEX(APOIO_REDES!$A:$W,MATCH($C1427&amp;$I1427&amp;$H1427&amp;$N1427&amp;$O1427,APOIO_REDES!$W:$W,0),MATCH(BC$5,APOIO_REDES!$5:$5,0)),0)*($AI1427+$AQ1427+$AR1427),0)</f>
        <v>0.414839573193549</v>
      </c>
      <c r="BD1427" s="153" t="n">
        <f aca="false">IF(AND($N1427="VCA",$AF1427&gt;=1.25,$AF1427&lt;1.5),$M1427*$AF1427*2,0)</f>
        <v>265.0776</v>
      </c>
      <c r="BE1427" s="153" t="n">
        <f aca="false">IF(AND($N1427="VCA",$AF1427&gt;=1.5,$AF1427&lt;3),$M1427*$AF1427*2,0)</f>
        <v>0</v>
      </c>
      <c r="BF1427" s="153" t="n">
        <f aca="false">IF(AND($N1427="VCA",$AF1427&gt;=3),$M1427*$AF1427*2,0)</f>
        <v>0</v>
      </c>
      <c r="BG1427" s="153" t="n">
        <f aca="false">($BB1427+$BC1427)*$AK1427</f>
        <v>156.32316</v>
      </c>
      <c r="BH1427" s="153" t="n">
        <f aca="false">IF(AND($M1427&lt;&gt;"",$N1427="VCA",$Q1427="LINEAR"),($M1427*2)/100,IF(AND($M1427&lt;&gt;"",$N1427="MND",$Q1427="EMBOQUE"),($AN1427*2)/100,0))</f>
        <v>1.8156</v>
      </c>
      <c r="BI1427" s="153" t="n">
        <f aca="false">IF(AND($M1427&lt;&gt;"",$N1427="VCA",$Q1427="LINEAR"),$M1427,IF(AND($M1427&lt;&gt;"",$N1427="MND",$Q1427="EMBOQUE"),$AN1427*2,0))</f>
        <v>90.78</v>
      </c>
      <c r="BJ1427" s="153" t="n">
        <f aca="false">IF(AND($M1427&lt;&gt;"",$N1427="VCA",$Q1427="LINEAR"),($M1427*6.8)/100,IF(AND($M1427&lt;&gt;"",$N1427="MND",$Q1427="EMBOQUE"),($AN1427*2*6.8)/100,0))</f>
        <v>6.17304</v>
      </c>
      <c r="BK1427" s="153" t="n">
        <f aca="false">IF(AND($M1427&lt;&gt;"",$N1427="VCA",$Q1427="LINEAR"),($M1427*2.5)/50,IF(AND($M1427&lt;&gt;"",$N1427="MND",$Q1427="EMBOQUE"),($AN1427*2*2.5)/50,0))</f>
        <v>4.539</v>
      </c>
      <c r="BL1427" s="157" t="str">
        <f aca="false">K1427&amp;J1427</f>
        <v>Zona11REDES</v>
      </c>
      <c r="BM1427" s="152" t="s">
        <v>6084</v>
      </c>
      <c r="BN1427" s="152" t="s">
        <v>1560</v>
      </c>
      <c r="BO1427" s="152" t="s">
        <v>6822</v>
      </c>
      <c r="BP1427" s="152" t="s">
        <v>6916</v>
      </c>
      <c r="BQ1427" s="152" t="s">
        <v>6904</v>
      </c>
      <c r="BR1427" s="152" t="s">
        <v>6927</v>
      </c>
      <c r="BS1427" s="152" t="n">
        <v>204870.587</v>
      </c>
      <c r="BT1427" s="152" t="n">
        <v>8236078.995</v>
      </c>
      <c r="BU1427" s="152" t="n">
        <v>204957.639</v>
      </c>
      <c r="BV1427" s="152" t="n">
        <v>8236104.742</v>
      </c>
      <c r="BW1427" s="152" t="n">
        <v>-15.936923</v>
      </c>
      <c r="BX1427" s="152" t="n">
        <v>-47.7562567</v>
      </c>
      <c r="BY1427" s="152" t="s">
        <v>6916</v>
      </c>
    </row>
    <row r="1428" customFormat="false" ht="13.8" hidden="false" customHeight="false" outlineLevel="0" collapsed="false">
      <c r="A1428" s="149" t="n">
        <f aca="false">IF(C1428&lt;&gt;"",ROW(A1423),"")</f>
        <v>1423</v>
      </c>
      <c r="B1428" s="150" t="str">
        <f aca="false">HYPERLINK("https://www.google.com/maps/dir/-15.917302,-47.760003/-15.9369740,-47.7598799/data=!4m3!4m2!3e0!5i1")</f>
        <v>https://www.google.com/maps/dir/-15.917302,-47.760003/-15.9369740,-47.7598799/data=!4m3!4m2!3e0!5i1</v>
      </c>
      <c r="C1428" s="151" t="s">
        <v>117</v>
      </c>
      <c r="D1428" s="152" t="s">
        <v>112</v>
      </c>
      <c r="E1428" s="152" t="s">
        <v>113</v>
      </c>
      <c r="F1428" s="152" t="s">
        <v>117</v>
      </c>
      <c r="G1428" s="152" t="s">
        <v>782</v>
      </c>
      <c r="H1428" s="152" t="n">
        <v>63</v>
      </c>
      <c r="I1428" s="152" t="s">
        <v>115</v>
      </c>
      <c r="J1428" s="152" t="s">
        <v>6</v>
      </c>
      <c r="K1428" s="152" t="s">
        <v>6081</v>
      </c>
      <c r="L1428" s="152" t="s">
        <v>120</v>
      </c>
      <c r="M1428" s="153" t="n">
        <f aca="false">12.73</f>
        <v>12.73</v>
      </c>
      <c r="N1428" s="152" t="s">
        <v>1548</v>
      </c>
      <c r="O1428" s="152" t="s">
        <v>1549</v>
      </c>
      <c r="P1428" s="152" t="s">
        <v>1550</v>
      </c>
      <c r="Q1428" s="152" t="s">
        <v>1551</v>
      </c>
      <c r="R1428" s="154" t="s">
        <v>6928</v>
      </c>
      <c r="S1428" s="154" t="s">
        <v>1553</v>
      </c>
      <c r="T1428" s="155" t="s">
        <v>6820</v>
      </c>
      <c r="U1428" s="152" t="str">
        <f aca="false">RIGHT(T1428,7)</f>
        <v>025/037</v>
      </c>
      <c r="V1428" s="152" t="s">
        <v>1555</v>
      </c>
      <c r="W1428" s="156" t="n">
        <v>45882</v>
      </c>
      <c r="X1428" s="152" t="s">
        <v>3938</v>
      </c>
      <c r="Y1428" s="152" t="s">
        <v>6546</v>
      </c>
      <c r="Z1428" s="152" t="s">
        <v>1557</v>
      </c>
      <c r="AA1428" s="153" t="n">
        <v>4.6</v>
      </c>
      <c r="AB1428" s="151" t="s">
        <v>6929</v>
      </c>
      <c r="AC1428" s="151" t="s">
        <v>186</v>
      </c>
      <c r="AD1428" s="151" t="str">
        <f aca="false">CONCATENATE($C1428,$I1428,$H1428,$N1428,$J1428,$K1428)</f>
        <v>TUBO PEADPEAD63VCAREDESZona11</v>
      </c>
      <c r="AE1428" s="153" t="n">
        <f aca="false">IFERROR(INDEX(APOIO_REDES!$A:$W,MATCH($C1428&amp;$I1428&amp;$H1428&amp;$N1428&amp;$O1428,APOIO_REDES!$W:$W,0),MATCH(AE$5,APOIO_REDES!$5:$5,0)),0)</f>
        <v>1.2</v>
      </c>
      <c r="AF1428" s="153" t="n">
        <f aca="false">IFERROR(INDEX(APOIO_REDES!$A:$W,MATCH($C1428&amp;$I1428&amp;$H1428&amp;$N1428&amp;$O1428,APOIO_REDES!$W:$W,0),MATCH(AF$5,APOIO_REDES!$5:$5,0)),0)</f>
        <v>1.363</v>
      </c>
      <c r="AG1428" s="153" t="n">
        <f aca="false">IFERROR(INDEX(APOIO_REDES!$A:$W,MATCH($C1428&amp;$I1428&amp;$H1428&amp;$N1428&amp;$O1428,APOIO_REDES!$W:$W,0),MATCH(AG$5,APOIO_REDES!$5:$5,0)),0)</f>
        <v>0.65</v>
      </c>
      <c r="AH1428" s="153" t="n">
        <f aca="false">IFERROR(INDEX(APOIO_REDES!$A:$W,MATCH($C1428&amp;$I1428&amp;$H1428&amp;$N1428&amp;$O1428,APOIO_REDES!$W:$W,0),MATCH(AH$5,APOIO_REDES!$5:$5,0)),0)</f>
        <v>0.1</v>
      </c>
      <c r="AI1428" s="153" t="n">
        <f aca="false">IFERROR(IF($H1428&lt;&gt;"",(((($H1428/1000)/2)^2)*PI()*$M1428),0),0)</f>
        <v>0.0396825328029765</v>
      </c>
      <c r="AJ1428" s="153" t="n">
        <f aca="false">IFERROR(IF(AND($H1428&lt;&gt;"",$I1428="FoFo",OR($N1428="MND",$N1428="VCA"),$Q1428="LINEAR"),0,IF(AND($H1428&lt;&gt;"",$I1428="PEAD",$N1428="VCA",$Q1428="LINEAR"),($H1428/1000)+0.3,IF(AND($H1428&lt;&gt;"",$I1428="PEAD",$N1428="MND",$Q1428="EMBOQUE"),0,IF(AND($H1428&lt;&gt;"",$I1428="PVC",$N1428="VCA",$Q1428="LINEAR"),($H1428/1000)+0.2,IF(AND($H1428&lt;&gt;"",$I1428="PVC",$N1428="MND",$Q1428="EMBOQUE"),0,IF(AND($H1428&lt;&gt;"",$I1428="PEAD",$N1428="VCA",$Q1428="PREDIAL"),0,0)))))),0)</f>
        <v>0.363</v>
      </c>
      <c r="AK1428" s="153" t="n">
        <f aca="false">IF(AA1428&lt;&gt;"",AA1428,0)</f>
        <v>4.6</v>
      </c>
      <c r="AL1428" s="153" t="n">
        <f aca="false">IF(AND($N1428="MND",$Q1428="EMBOQUE"),$M1428,IF(AND($N1428="VCA",$Q1428="LINEAR"),$M1428,IF(AND($N1428="VCA",$Q1428="PREDIAL"),0,0)))</f>
        <v>12.73</v>
      </c>
      <c r="AM1428" s="153" t="n">
        <f aca="false">IF(AND($N1428="MND",$Q1428="EMBOQUE"),$M1428,IF(AND($N1428="VCA",$Q1428="LINEAR"),$M1428,IF(AND($N1428="VCA",$Q1428="PREDIAL"),0,0)))</f>
        <v>12.73</v>
      </c>
      <c r="AN1428" s="153" t="n">
        <f aca="false">ROUND(IF(AND($N1428="VCA",$M1428&lt;&gt;"",$Q1428="LINEAR"),$M1428/100,IF(AND($N1428="MND",$M1428&gt;100,$Q1428="EMBOQUE"),$M1428/100,0)),0)</f>
        <v>0</v>
      </c>
      <c r="AO1428" s="153" t="n">
        <f aca="false">IF(AND($N1428="MND",$Q1428="EMBOQUE"),$AN1428*2*2,IF(AND($N1428="VCA",$Q1428="LINEAR"),$M1428*2,IF(AND($N1428="VCA",$Q1428="PREDIAL"),0,0)))</f>
        <v>25.46</v>
      </c>
      <c r="AP1428" s="153" t="n">
        <f aca="false">IFERROR($M1428*$AF1428*$AG1428,0)</f>
        <v>11.2781435</v>
      </c>
      <c r="AQ1428" s="153" t="n">
        <f aca="false">IFERROR(IF(AND($N1428="VCA",$AH1428&gt;0),$M1428*$AG1428*$AH1428,0),0)</f>
        <v>0.82745</v>
      </c>
      <c r="AR1428" s="153" t="n">
        <f aca="false">IFERROR(IF(AND($N1428="VCA",$AJ1428&gt;0),($M1428*$AG1428*$AJ1428)-$AI1428,0),0)</f>
        <v>2.96396096719702</v>
      </c>
      <c r="AS1428" s="153" t="n">
        <f aca="false">IFERROR(IF(AND($N1428="VCA",$AP1428&gt;0),$AP1428-$AI1428-$AQ1428-$AR1428,0),0)</f>
        <v>7.44705</v>
      </c>
      <c r="AT1428" s="153" t="n">
        <f aca="false">IFERROR(IF($N1428="VCA",INDEX(APOIO_REDES!$A:$W,MATCH($C1428&amp;$I1428&amp;$H1428&amp;$N1428&amp;$O1428,APOIO_REDES!$W:$W,0),MATCH(AT$5,APOIO_REDES!$5:$5,0)),0)*$AP1428,0)</f>
        <v>0.12270953944008</v>
      </c>
      <c r="AU1428" s="153" t="n">
        <f aca="false">IFERROR(IF($N1428="VCA",INDEX(APOIO_REDES!$A:$W,MATCH($C1428&amp;$I1428&amp;$H1428&amp;$N1428&amp;$O1428,APOIO_REDES!$W:$W,0),MATCH(AU$5,APOIO_REDES!$5:$5,0)),0)*$AP1428,0)</f>
        <v>0.0979925148010451</v>
      </c>
      <c r="AV1428" s="153" t="n">
        <f aca="false">IFERROR(IF($N1428="VCA",INDEX(APOIO_REDES!$A:$W,MATCH($C1428&amp;$I1428&amp;$H1428&amp;$N1428&amp;$O1428,APOIO_REDES!$W:$W,0),MATCH(AV$5,APOIO_REDES!$5:$5,0)),0)*$AP1428,0)</f>
        <v>0.0135613947770618</v>
      </c>
      <c r="AW1428" s="153" t="n">
        <f aca="false">IFERROR(IF($N1428="VCA",INDEX(APOIO_REDES!$A:$W,MATCH($C1428&amp;$I1428&amp;$H1428&amp;$N1428&amp;$O1428,APOIO_REDES!$W:$W,0),MATCH(AW$5,APOIO_REDES!$5:$5,0)),0)*$AP1428,0)</f>
        <v>7.74140508572013</v>
      </c>
      <c r="AX1428" s="153" t="n">
        <f aca="false">IFERROR(IF($N1428="VCA",INDEX(APOIO_REDES!$A:$W,MATCH($C1428&amp;$I1428&amp;$H1428&amp;$N1428&amp;$O1428,APOIO_REDES!$W:$W,0),MATCH(AX$5,APOIO_REDES!$5:$5,0)),0)*$AP1428,0)</f>
        <v>1.07138841205386</v>
      </c>
      <c r="AY1428" s="153" t="n">
        <f aca="false">IFERROR(IF($N1428="VCA",INDEX(APOIO_REDES!$A:$W,MATCH($C1428&amp;$I1428&amp;$H1428&amp;$N1428&amp;$O1428,APOIO_REDES!$W:$W,0),MATCH(AY$5,APOIO_REDES!$5:$5,0)),0)*$AP1428,0)</f>
        <v>1.95984910150009</v>
      </c>
      <c r="AZ1428" s="153" t="n">
        <f aca="false">IFERROR(IF($N1428="VCA",INDEX(APOIO_REDES!$A:$W,MATCH($C1428&amp;$I1428&amp;$H1428&amp;$N1428&amp;$O1428,APOIO_REDES!$W:$W,0),MATCH(AZ$5,APOIO_REDES!$5:$5,0)),0)*$AP1428,0)</f>
        <v>0.271237451707731</v>
      </c>
      <c r="BA1428" s="153" t="n">
        <f aca="false">IFERROR(IF(AND($N1428="VCA",$Q1428="LINEAR"),INDEX(APOIO_REDES!$A:$W,MATCH($C1428&amp;$I1428&amp;$H1428&amp;$N1428&amp;$O1428,APOIO_REDES!$W:$W,0),MATCH(BA$5,APOIO_REDES!$5:$5,0)),IF(AND($N1428="MND",$Q1428="EMBOQUE"),INDEX(APOIO_REDES!$A:$W,MATCH($C1428&amp;$I1428&amp;$H1428&amp;$N1428&amp;$O1428,APOIO_REDES!$W:$W,0),MATCH(BA$5,APOIO_REDES!$5:$5,0)),0))*$M1428/10,0)</f>
        <v>1.0260058895906</v>
      </c>
      <c r="BB1428" s="153" t="n">
        <f aca="false">IFERROR(IF($N1428="VCA",INDEX(APOIO_REDES!$A:$W,MATCH($C1428&amp;$I1428&amp;$H1428&amp;$N1428&amp;$O1428,APOIO_REDES!$W:$W,0),MATCH(BB$5,APOIO_REDES!$5:$5,0)),0)*($AI1428+$AQ1428+$AR1428),0)</f>
        <v>3.78941006877421</v>
      </c>
      <c r="BC1428" s="153" t="n">
        <f aca="false">IFERROR(IF($N1428="VCA",INDEX(APOIO_REDES!$A:$W,MATCH($C1428&amp;$I1428&amp;$H1428&amp;$N1428&amp;$O1428,APOIO_REDES!$W:$W,0),MATCH(BC$5,APOIO_REDES!$5:$5,0)),0)*($AI1428+$AQ1428+$AR1428),0)</f>
        <v>0.0416834312257939</v>
      </c>
      <c r="BD1428" s="153" t="n">
        <f aca="false">IF(AND($N1428="VCA",$AF1428&gt;=1.25,$AF1428&lt;1.5),$M1428*$AF1428*2,0)</f>
        <v>34.70198</v>
      </c>
      <c r="BE1428" s="153" t="n">
        <f aca="false">IF(AND($N1428="VCA",$AF1428&gt;=1.5,$AF1428&lt;3),$M1428*$AF1428*2,0)</f>
        <v>0</v>
      </c>
      <c r="BF1428" s="153" t="n">
        <f aca="false">IF(AND($N1428="VCA",$AF1428&gt;=3),$M1428*$AF1428*2,0)</f>
        <v>0</v>
      </c>
      <c r="BG1428" s="153" t="n">
        <f aca="false">($BB1428+$BC1428)*$AK1428</f>
        <v>17.6230301</v>
      </c>
      <c r="BH1428" s="153" t="n">
        <f aca="false">IF(AND($M1428&lt;&gt;"",$N1428="VCA",$Q1428="LINEAR"),($M1428*2)/100,IF(AND($M1428&lt;&gt;"",$N1428="MND",$Q1428="EMBOQUE"),($AN1428*2)/100,0))</f>
        <v>0.2546</v>
      </c>
      <c r="BI1428" s="153" t="n">
        <f aca="false">IF(AND($M1428&lt;&gt;"",$N1428="VCA",$Q1428="LINEAR"),$M1428,IF(AND($M1428&lt;&gt;"",$N1428="MND",$Q1428="EMBOQUE"),$AN1428*2,0))</f>
        <v>12.73</v>
      </c>
      <c r="BJ1428" s="153" t="n">
        <f aca="false">IF(AND($M1428&lt;&gt;"",$N1428="VCA",$Q1428="LINEAR"),($M1428*6.8)/100,IF(AND($M1428&lt;&gt;"",$N1428="MND",$Q1428="EMBOQUE"),($AN1428*2*6.8)/100,0))</f>
        <v>0.86564</v>
      </c>
      <c r="BK1428" s="153" t="n">
        <f aca="false">IF(AND($M1428&lt;&gt;"",$N1428="VCA",$Q1428="LINEAR"),($M1428*2.5)/50,IF(AND($M1428&lt;&gt;"",$N1428="MND",$Q1428="EMBOQUE"),($AN1428*2*2.5)/50,0))</f>
        <v>0.6365</v>
      </c>
      <c r="BL1428" s="157" t="str">
        <f aca="false">K1428&amp;J1428</f>
        <v>Zona11REDES</v>
      </c>
      <c r="BM1428" s="152" t="s">
        <v>6084</v>
      </c>
      <c r="BN1428" s="152" t="s">
        <v>1560</v>
      </c>
      <c r="BO1428" s="152" t="s">
        <v>6822</v>
      </c>
      <c r="BP1428" s="152" t="s">
        <v>6900</v>
      </c>
      <c r="BQ1428" s="152" t="s">
        <v>6930</v>
      </c>
      <c r="BR1428" s="152" t="s">
        <v>6931</v>
      </c>
      <c r="BS1428" s="152" t="n">
        <v>204526.023</v>
      </c>
      <c r="BT1428" s="152" t="n">
        <v>8236081.092</v>
      </c>
      <c r="BU1428" s="152" t="n">
        <v>204538.67</v>
      </c>
      <c r="BV1428" s="152" t="n">
        <v>8236082.509</v>
      </c>
      <c r="BW1428" s="152" t="n">
        <v>-15.9369684</v>
      </c>
      <c r="BX1428" s="152" t="n">
        <v>-47.7598208</v>
      </c>
      <c r="BY1428" s="152" t="s">
        <v>6900</v>
      </c>
    </row>
    <row r="1429" customFormat="false" ht="13.8" hidden="false" customHeight="false" outlineLevel="0" collapsed="false">
      <c r="A1429" s="149" t="n">
        <f aca="false">IF(C1429&lt;&gt;"",ROW(A1424),"")</f>
        <v>1424</v>
      </c>
      <c r="B1429" s="150" t="str">
        <f aca="false">HYPERLINK("https://www.google.com/maps/dir/-15.917302,-47.760003/-15.9371433,-47.7605706/data=!4m3!4m2!3e0!5i1")</f>
        <v>https://www.google.com/maps/dir/-15.917302,-47.760003/-15.9371433,-47.7605706/data=!4m3!4m2!3e0!5i1</v>
      </c>
      <c r="C1429" s="151" t="s">
        <v>117</v>
      </c>
      <c r="D1429" s="152" t="s">
        <v>112</v>
      </c>
      <c r="E1429" s="152" t="s">
        <v>113</v>
      </c>
      <c r="F1429" s="152" t="s">
        <v>117</v>
      </c>
      <c r="G1429" s="152" t="s">
        <v>782</v>
      </c>
      <c r="H1429" s="152" t="n">
        <v>63</v>
      </c>
      <c r="I1429" s="152" t="s">
        <v>115</v>
      </c>
      <c r="J1429" s="152" t="s">
        <v>6</v>
      </c>
      <c r="K1429" s="152" t="s">
        <v>6081</v>
      </c>
      <c r="L1429" s="152" t="s">
        <v>120</v>
      </c>
      <c r="M1429" s="153" t="n">
        <f aca="false">67.68+4.35</f>
        <v>72.03</v>
      </c>
      <c r="N1429" s="152" t="s">
        <v>1548</v>
      </c>
      <c r="O1429" s="152" t="s">
        <v>1549</v>
      </c>
      <c r="P1429" s="152" t="s">
        <v>1550</v>
      </c>
      <c r="Q1429" s="152" t="s">
        <v>1551</v>
      </c>
      <c r="R1429" s="154" t="s">
        <v>6932</v>
      </c>
      <c r="S1429" s="154" t="s">
        <v>1553</v>
      </c>
      <c r="T1429" s="155" t="s">
        <v>6820</v>
      </c>
      <c r="U1429" s="152" t="str">
        <f aca="false">RIGHT(T1429,7)</f>
        <v>025/037</v>
      </c>
      <c r="V1429" s="152" t="s">
        <v>1555</v>
      </c>
      <c r="W1429" s="156" t="n">
        <v>45882</v>
      </c>
      <c r="X1429" s="152" t="s">
        <v>3938</v>
      </c>
      <c r="Y1429" s="152"/>
      <c r="Z1429" s="152" t="s">
        <v>1557</v>
      </c>
      <c r="AA1429" s="153" t="n">
        <v>4.6</v>
      </c>
      <c r="AB1429" s="151" t="s">
        <v>6933</v>
      </c>
      <c r="AC1429" s="151" t="s">
        <v>186</v>
      </c>
      <c r="AD1429" s="151" t="str">
        <f aca="false">CONCATENATE($C1429,$I1429,$H1429,$N1429,$J1429,$K1429)</f>
        <v>TUBO PEADPEAD63VCAREDESZona11</v>
      </c>
      <c r="AE1429" s="153" t="n">
        <f aca="false">IFERROR(INDEX(APOIO_REDES!$A:$W,MATCH($C1429&amp;$I1429&amp;$H1429&amp;$N1429&amp;$O1429,APOIO_REDES!$W:$W,0),MATCH(AE$5,APOIO_REDES!$5:$5,0)),0)</f>
        <v>1.2</v>
      </c>
      <c r="AF1429" s="153" t="n">
        <f aca="false">IFERROR(INDEX(APOIO_REDES!$A:$W,MATCH($C1429&amp;$I1429&amp;$H1429&amp;$N1429&amp;$O1429,APOIO_REDES!$W:$W,0),MATCH(AF$5,APOIO_REDES!$5:$5,0)),0)</f>
        <v>1.363</v>
      </c>
      <c r="AG1429" s="153" t="n">
        <f aca="false">IFERROR(INDEX(APOIO_REDES!$A:$W,MATCH($C1429&amp;$I1429&amp;$H1429&amp;$N1429&amp;$O1429,APOIO_REDES!$W:$W,0),MATCH(AG$5,APOIO_REDES!$5:$5,0)),0)</f>
        <v>0.65</v>
      </c>
      <c r="AH1429" s="153" t="n">
        <f aca="false">IFERROR(INDEX(APOIO_REDES!$A:$W,MATCH($C1429&amp;$I1429&amp;$H1429&amp;$N1429&amp;$O1429,APOIO_REDES!$W:$W,0),MATCH(AH$5,APOIO_REDES!$5:$5,0)),0)</f>
        <v>0.1</v>
      </c>
      <c r="AI1429" s="153" t="n">
        <f aca="false">IFERROR(IF($H1429&lt;&gt;"",(((($H1429/1000)/2)^2)*PI()*$M1429),0),0)</f>
        <v>0.224535179717078</v>
      </c>
      <c r="AJ1429" s="153" t="n">
        <f aca="false">IFERROR(IF(AND($H1429&lt;&gt;"",$I1429="FoFo",OR($N1429="MND",$N1429="VCA"),$Q1429="LINEAR"),0,IF(AND($H1429&lt;&gt;"",$I1429="PEAD",$N1429="VCA",$Q1429="LINEAR"),($H1429/1000)+0.3,IF(AND($H1429&lt;&gt;"",$I1429="PEAD",$N1429="MND",$Q1429="EMBOQUE"),0,IF(AND($H1429&lt;&gt;"",$I1429="PVC",$N1429="VCA",$Q1429="LINEAR"),($H1429/1000)+0.2,IF(AND($H1429&lt;&gt;"",$I1429="PVC",$N1429="MND",$Q1429="EMBOQUE"),0,IF(AND($H1429&lt;&gt;"",$I1429="PEAD",$N1429="VCA",$Q1429="PREDIAL"),0,0)))))),0)</f>
        <v>0.363</v>
      </c>
      <c r="AK1429" s="153" t="n">
        <f aca="false">IF(AA1429&lt;&gt;"",AA1429,0)</f>
        <v>4.6</v>
      </c>
      <c r="AL1429" s="153" t="n">
        <f aca="false">IF(AND($N1429="MND",$Q1429="EMBOQUE"),$M1429,IF(AND($N1429="VCA",$Q1429="LINEAR"),$M1429,IF(AND($N1429="VCA",$Q1429="PREDIAL"),0,0)))</f>
        <v>72.03</v>
      </c>
      <c r="AM1429" s="153" t="n">
        <f aca="false">IF(AND($N1429="MND",$Q1429="EMBOQUE"),$M1429,IF(AND($N1429="VCA",$Q1429="LINEAR"),$M1429,IF(AND($N1429="VCA",$Q1429="PREDIAL"),0,0)))</f>
        <v>72.03</v>
      </c>
      <c r="AN1429" s="153" t="n">
        <f aca="false">ROUND(IF(AND($N1429="VCA",$M1429&lt;&gt;"",$Q1429="LINEAR"),$M1429/100,IF(AND($N1429="MND",$M1429&gt;100,$Q1429="EMBOQUE"),$M1429/100,0)),0)</f>
        <v>1</v>
      </c>
      <c r="AO1429" s="153" t="n">
        <f aca="false">IF(AND($N1429="MND",$Q1429="EMBOQUE"),$AN1429*2*2,IF(AND($N1429="VCA",$Q1429="LINEAR"),$M1429*2,IF(AND($N1429="VCA",$Q1429="PREDIAL"),0,0)))</f>
        <v>144.06</v>
      </c>
      <c r="AP1429" s="153" t="n">
        <f aca="false">IFERROR($M1429*$AF1429*$AG1429,0)</f>
        <v>63.8149785</v>
      </c>
      <c r="AQ1429" s="153" t="n">
        <f aca="false">IFERROR(IF(AND($N1429="VCA",$AH1429&gt;0),$M1429*$AG1429*$AH1429,0),0)</f>
        <v>4.68195</v>
      </c>
      <c r="AR1429" s="153" t="n">
        <f aca="false">IFERROR(IF(AND($N1429="VCA",$AJ1429&gt;0),($M1429*$AG1429*$AJ1429)-$AI1429,0),0)</f>
        <v>16.7709433202829</v>
      </c>
      <c r="AS1429" s="153" t="n">
        <f aca="false">IFERROR(IF(AND($N1429="VCA",$AP1429&gt;0),$AP1429-$AI1429-$AQ1429-$AR1429,0),0)</f>
        <v>42.13755</v>
      </c>
      <c r="AT1429" s="153" t="n">
        <f aca="false">IFERROR(IF($N1429="VCA",INDEX(APOIO_REDES!$A:$W,MATCH($C1429&amp;$I1429&amp;$H1429&amp;$N1429&amp;$O1429,APOIO_REDES!$W:$W,0),MATCH(AT$5,APOIO_REDES!$5:$5,0)),0)*$AP1429,0)</f>
        <v>0.694325854349487</v>
      </c>
      <c r="AU1429" s="153" t="n">
        <f aca="false">IFERROR(IF($N1429="VCA",INDEX(APOIO_REDES!$A:$W,MATCH($C1429&amp;$I1429&amp;$H1429&amp;$N1429&amp;$O1429,APOIO_REDES!$W:$W,0),MATCH(AU$5,APOIO_REDES!$5:$5,0)),0)*$AP1429,0)</f>
        <v>0.554469822554539</v>
      </c>
      <c r="AV1429" s="153" t="n">
        <f aca="false">IFERROR(IF($N1429="VCA",INDEX(APOIO_REDES!$A:$W,MATCH($C1429&amp;$I1429&amp;$H1429&amp;$N1429&amp;$O1429,APOIO_REDES!$W:$W,0),MATCH(AV$5,APOIO_REDES!$5:$5,0)),0)*$AP1429,0)</f>
        <v>0.0767342706827778</v>
      </c>
      <c r="AW1429" s="153" t="n">
        <f aca="false">IFERROR(IF($N1429="VCA",INDEX(APOIO_REDES!$A:$W,MATCH($C1429&amp;$I1429&amp;$H1429&amp;$N1429&amp;$O1429,APOIO_REDES!$W:$W,0),MATCH(AW$5,APOIO_REDES!$5:$5,0)),0)*$AP1429,0)</f>
        <v>43.803095704982</v>
      </c>
      <c r="AX1429" s="153" t="n">
        <f aca="false">IFERROR(IF($N1429="VCA",INDEX(APOIO_REDES!$A:$W,MATCH($C1429&amp;$I1429&amp;$H1429&amp;$N1429&amp;$O1429,APOIO_REDES!$W:$W,0),MATCH(AX$5,APOIO_REDES!$5:$5,0)),0)*$AP1429,0)</f>
        <v>6.06222367008953</v>
      </c>
      <c r="AY1429" s="153" t="n">
        <f aca="false">IFERROR(IF($N1429="VCA",INDEX(APOIO_REDES!$A:$W,MATCH($C1429&amp;$I1429&amp;$H1429&amp;$N1429&amp;$O1429,APOIO_REDES!$W:$W,0),MATCH(AY$5,APOIO_REDES!$5:$5,0)),0)*$AP1429,0)</f>
        <v>11.0893896921486</v>
      </c>
      <c r="AZ1429" s="153" t="n">
        <f aca="false">IFERROR(IF($N1429="VCA",INDEX(APOIO_REDES!$A:$W,MATCH($C1429&amp;$I1429&amp;$H1429&amp;$N1429&amp;$O1429,APOIO_REDES!$W:$W,0),MATCH(AZ$5,APOIO_REDES!$5:$5,0)),0)*$AP1429,0)</f>
        <v>1.53473948519308</v>
      </c>
      <c r="BA1429" s="153" t="n">
        <f aca="false">IFERROR(IF(AND($N1429="VCA",$Q1429="LINEAR"),INDEX(APOIO_REDES!$A:$W,MATCH($C1429&amp;$I1429&amp;$H1429&amp;$N1429&amp;$O1429,APOIO_REDES!$W:$W,0),MATCH(BA$5,APOIO_REDES!$5:$5,0)),IF(AND($N1429="MND",$Q1429="EMBOQUE"),INDEX(APOIO_REDES!$A:$W,MATCH($C1429&amp;$I1429&amp;$H1429&amp;$N1429&amp;$O1429,APOIO_REDES!$W:$W,0),MATCH(BA$5,APOIO_REDES!$5:$5,0)),0))*$M1429/10,0)</f>
        <v>5.80543631007157</v>
      </c>
      <c r="BB1429" s="153" t="n">
        <f aca="false">IFERROR(IF($N1429="VCA",INDEX(APOIO_REDES!$A:$W,MATCH($C1429&amp;$I1429&amp;$H1429&amp;$N1429&amp;$O1429,APOIO_REDES!$W:$W,0),MATCH(BB$5,APOIO_REDES!$5:$5,0)),0)*($AI1429+$AQ1429+$AR1429),0)</f>
        <v>21.4415716617287</v>
      </c>
      <c r="BC1429" s="153" t="n">
        <f aca="false">IFERROR(IF($N1429="VCA",INDEX(APOIO_REDES!$A:$W,MATCH($C1429&amp;$I1429&amp;$H1429&amp;$N1429&amp;$O1429,APOIO_REDES!$W:$W,0),MATCH(BC$5,APOIO_REDES!$5:$5,0)),0)*($AI1429+$AQ1429+$AR1429),0)</f>
        <v>0.235856838271322</v>
      </c>
      <c r="BD1429" s="153" t="n">
        <f aca="false">IF(AND($N1429="VCA",$AF1429&gt;=1.25,$AF1429&lt;1.5),$M1429*$AF1429*2,0)</f>
        <v>196.35378</v>
      </c>
      <c r="BE1429" s="153" t="n">
        <f aca="false">IF(AND($N1429="VCA",$AF1429&gt;=1.5,$AF1429&lt;3),$M1429*$AF1429*2,0)</f>
        <v>0</v>
      </c>
      <c r="BF1429" s="153" t="n">
        <f aca="false">IF(AND($N1429="VCA",$AF1429&gt;=3),$M1429*$AF1429*2,0)</f>
        <v>0</v>
      </c>
      <c r="BG1429" s="153" t="n">
        <f aca="false">($BB1429+$BC1429)*$AK1429</f>
        <v>99.7161711</v>
      </c>
      <c r="BH1429" s="153" t="n">
        <f aca="false">IF(AND($M1429&lt;&gt;"",$N1429="VCA",$Q1429="LINEAR"),($M1429*2)/100,IF(AND($M1429&lt;&gt;"",$N1429="MND",$Q1429="EMBOQUE"),($AN1429*2)/100,0))</f>
        <v>1.4406</v>
      </c>
      <c r="BI1429" s="153" t="n">
        <f aca="false">IF(AND($M1429&lt;&gt;"",$N1429="VCA",$Q1429="LINEAR"),$M1429,IF(AND($M1429&lt;&gt;"",$N1429="MND",$Q1429="EMBOQUE"),$AN1429*2,0))</f>
        <v>72.03</v>
      </c>
      <c r="BJ1429" s="153" t="n">
        <f aca="false">IF(AND($M1429&lt;&gt;"",$N1429="VCA",$Q1429="LINEAR"),($M1429*6.8)/100,IF(AND($M1429&lt;&gt;"",$N1429="MND",$Q1429="EMBOQUE"),($AN1429*2*6.8)/100,0))</f>
        <v>4.89804</v>
      </c>
      <c r="BK1429" s="153" t="n">
        <f aca="false">IF(AND($M1429&lt;&gt;"",$N1429="VCA",$Q1429="LINEAR"),($M1429*2.5)/50,IF(AND($M1429&lt;&gt;"",$N1429="MND",$Q1429="EMBOQUE"),($AN1429*2*2.5)/50,0))</f>
        <v>3.6015</v>
      </c>
      <c r="BL1429" s="157" t="str">
        <f aca="false">K1429&amp;J1429</f>
        <v>Zona11REDES</v>
      </c>
      <c r="BM1429" s="152" t="s">
        <v>6084</v>
      </c>
      <c r="BN1429" s="152" t="s">
        <v>1560</v>
      </c>
      <c r="BO1429" s="152" t="s">
        <v>6822</v>
      </c>
      <c r="BP1429" s="152" t="s">
        <v>6673</v>
      </c>
      <c r="BQ1429" s="152" t="s">
        <v>6934</v>
      </c>
      <c r="BR1429" s="152" t="s">
        <v>6935</v>
      </c>
      <c r="BS1429" s="152" t="n">
        <v>204452.279</v>
      </c>
      <c r="BT1429" s="152" t="n">
        <v>8236061.366</v>
      </c>
      <c r="BU1429" s="152" t="n">
        <v>204517.856</v>
      </c>
      <c r="BV1429" s="152" t="n">
        <v>8236078.112</v>
      </c>
      <c r="BW1429" s="152" t="n">
        <v>-15.9370716</v>
      </c>
      <c r="BX1429" s="152" t="n">
        <v>-47.7602636</v>
      </c>
      <c r="BY1429" s="152" t="s">
        <v>6673</v>
      </c>
    </row>
    <row r="1430" customFormat="false" ht="13.8" hidden="false" customHeight="false" outlineLevel="0" collapsed="false">
      <c r="A1430" s="149" t="n">
        <f aca="false">IF(C1430&lt;&gt;"",ROW(A1425),"")</f>
        <v>1425</v>
      </c>
      <c r="B1430" s="150" t="str">
        <f aca="false">HYPERLINK("https://www.google.com/maps/dir/-15.917302,-47.760003/-15.9370299,-47.7566665/data=!4m3!4m2!3e0!5i1")</f>
        <v>https://www.google.com/maps/dir/-15.917302,-47.760003/-15.9370299,-47.7566665/data=!4m3!4m2!3e0!5i1</v>
      </c>
      <c r="C1430" s="151" t="s">
        <v>117</v>
      </c>
      <c r="D1430" s="152" t="s">
        <v>112</v>
      </c>
      <c r="E1430" s="152" t="s">
        <v>113</v>
      </c>
      <c r="F1430" s="152" t="s">
        <v>117</v>
      </c>
      <c r="G1430" s="152" t="s">
        <v>114</v>
      </c>
      <c r="H1430" s="152" t="n">
        <v>160</v>
      </c>
      <c r="I1430" s="152" t="s">
        <v>115</v>
      </c>
      <c r="J1430" s="152" t="s">
        <v>6</v>
      </c>
      <c r="K1430" s="152" t="s">
        <v>6081</v>
      </c>
      <c r="L1430" s="152" t="s">
        <v>120</v>
      </c>
      <c r="M1430" s="153" t="n">
        <f aca="false">308.89+0.36</f>
        <v>309.25</v>
      </c>
      <c r="N1430" s="152" t="s">
        <v>1548</v>
      </c>
      <c r="O1430" s="152" t="s">
        <v>1549</v>
      </c>
      <c r="P1430" s="152" t="s">
        <v>1550</v>
      </c>
      <c r="Q1430" s="152" t="s">
        <v>1551</v>
      </c>
      <c r="R1430" s="154" t="s">
        <v>6936</v>
      </c>
      <c r="S1430" s="154" t="s">
        <v>1593</v>
      </c>
      <c r="T1430" s="155" t="s">
        <v>6820</v>
      </c>
      <c r="U1430" s="152" t="str">
        <f aca="false">RIGHT(T1430,7)</f>
        <v>025/037</v>
      </c>
      <c r="V1430" s="152" t="s">
        <v>1555</v>
      </c>
      <c r="W1430" s="156" t="n">
        <v>45882</v>
      </c>
      <c r="X1430" s="152" t="s">
        <v>3938</v>
      </c>
      <c r="Y1430" s="152" t="s">
        <v>2973</v>
      </c>
      <c r="Z1430" s="152" t="s">
        <v>1557</v>
      </c>
      <c r="AA1430" s="153" t="n">
        <v>4.1</v>
      </c>
      <c r="AB1430" s="151" t="s">
        <v>6937</v>
      </c>
      <c r="AC1430" s="151" t="s">
        <v>505</v>
      </c>
      <c r="AD1430" s="151" t="str">
        <f aca="false">CONCATENATE($C1430,$I1430,$H1430,$N1430,$J1430,$K1430)</f>
        <v>TUBO PEADPEAD160VCAREDESZona11</v>
      </c>
      <c r="AE1430" s="153" t="n">
        <f aca="false">IFERROR(INDEX(APOIO_REDES!$A:$W,MATCH($C1430&amp;$I1430&amp;$H1430&amp;$N1430&amp;$O1430,APOIO_REDES!$W:$W,0),MATCH(AE$5,APOIO_REDES!$5:$5,0)),0)</f>
        <v>1.2</v>
      </c>
      <c r="AF1430" s="153" t="n">
        <f aca="false">IFERROR(INDEX(APOIO_REDES!$A:$W,MATCH($C1430&amp;$I1430&amp;$H1430&amp;$N1430&amp;$O1430,APOIO_REDES!$W:$W,0),MATCH(AF$5,APOIO_REDES!$5:$5,0)),0)</f>
        <v>1.46</v>
      </c>
      <c r="AG1430" s="153" t="n">
        <f aca="false">IFERROR(INDEX(APOIO_REDES!$A:$W,MATCH($C1430&amp;$I1430&amp;$H1430&amp;$N1430&amp;$O1430,APOIO_REDES!$W:$W,0),MATCH(AG$5,APOIO_REDES!$5:$5,0)),0)</f>
        <v>0.75</v>
      </c>
      <c r="AH1430" s="153" t="n">
        <f aca="false">IFERROR(INDEX(APOIO_REDES!$A:$W,MATCH($C1430&amp;$I1430&amp;$H1430&amp;$N1430&amp;$O1430,APOIO_REDES!$W:$W,0),MATCH(AH$5,APOIO_REDES!$5:$5,0)),0)</f>
        <v>0.1</v>
      </c>
      <c r="AI1430" s="153" t="n">
        <f aca="false">IFERROR(IF($H1430&lt;&gt;"",(((($H1430/1000)/2)^2)*PI()*$M1430),0),0)</f>
        <v>6.21784017998492</v>
      </c>
      <c r="AJ1430" s="153" t="n">
        <f aca="false">IFERROR(IF(AND($H1430&lt;&gt;"",$I1430="FoFo",OR($N1430="MND",$N1430="VCA"),$Q1430="LINEAR"),0,IF(AND($H1430&lt;&gt;"",$I1430="PEAD",$N1430="VCA",$Q1430="LINEAR"),($H1430/1000)+0.3,IF(AND($H1430&lt;&gt;"",$I1430="PEAD",$N1430="MND",$Q1430="EMBOQUE"),0,IF(AND($H1430&lt;&gt;"",$I1430="PVC",$N1430="VCA",$Q1430="LINEAR"),($H1430/1000)+0.2,IF(AND($H1430&lt;&gt;"",$I1430="PVC",$N1430="MND",$Q1430="EMBOQUE"),0,IF(AND($H1430&lt;&gt;"",$I1430="PEAD",$N1430="VCA",$Q1430="PREDIAL"),0,0)))))),0)</f>
        <v>0.46</v>
      </c>
      <c r="AK1430" s="153" t="n">
        <f aca="false">IF(AA1430&lt;&gt;"",AA1430,0)</f>
        <v>4.1</v>
      </c>
      <c r="AL1430" s="153" t="n">
        <f aca="false">IF(AND($N1430="MND",$Q1430="EMBOQUE"),$M1430,IF(AND($N1430="VCA",$Q1430="LINEAR"),$M1430,IF(AND($N1430="VCA",$Q1430="PREDIAL"),0,0)))</f>
        <v>309.25</v>
      </c>
      <c r="AM1430" s="153" t="n">
        <f aca="false">IF(AND($N1430="MND",$Q1430="EMBOQUE"),$M1430,IF(AND($N1430="VCA",$Q1430="LINEAR"),$M1430,IF(AND($N1430="VCA",$Q1430="PREDIAL"),0,0)))</f>
        <v>309.25</v>
      </c>
      <c r="AN1430" s="153" t="n">
        <f aca="false">ROUND(IF(AND($N1430="VCA",$M1430&lt;&gt;"",$Q1430="LINEAR"),$M1430/100,IF(AND($N1430="MND",$M1430&gt;100,$Q1430="EMBOQUE"),$M1430/100,0)),0)</f>
        <v>3</v>
      </c>
      <c r="AO1430" s="153" t="n">
        <f aca="false">IF(AND($N1430="MND",$Q1430="EMBOQUE"),$AN1430*2*2,IF(AND($N1430="VCA",$Q1430="LINEAR"),$M1430*2,IF(AND($N1430="VCA",$Q1430="PREDIAL"),0,0)))</f>
        <v>618.5</v>
      </c>
      <c r="AP1430" s="153" t="n">
        <f aca="false">IFERROR($M1430*$AF1430*$AG1430,0)</f>
        <v>338.62875</v>
      </c>
      <c r="AQ1430" s="153" t="n">
        <f aca="false">IFERROR(IF(AND($N1430="VCA",$AH1430&gt;0),$M1430*$AG1430*$AH1430,0),0)</f>
        <v>23.19375</v>
      </c>
      <c r="AR1430" s="153" t="n">
        <f aca="false">IFERROR(IF(AND($N1430="VCA",$AJ1430&gt;0),($M1430*$AG1430*$AJ1430)-$AI1430,0),0)</f>
        <v>100.473409820015</v>
      </c>
      <c r="AS1430" s="153" t="n">
        <f aca="false">IFERROR(IF(AND($N1430="VCA",$AP1430&gt;0),$AP1430-$AI1430-$AQ1430-$AR1430,0),0)</f>
        <v>208.74375</v>
      </c>
      <c r="AT1430" s="153" t="n">
        <f aca="false">IFERROR(IF($N1430="VCA",INDEX(APOIO_REDES!$A:$W,MATCH($C1430&amp;$I1430&amp;$H1430&amp;$N1430&amp;$O1430,APOIO_REDES!$W:$W,0),MATCH(AT$5,APOIO_REDES!$5:$5,0)),0)*$AP1430,0)</f>
        <v>3.68438102899382</v>
      </c>
      <c r="AU1430" s="153" t="n">
        <f aca="false">IFERROR(IF($N1430="VCA",INDEX(APOIO_REDES!$A:$W,MATCH($C1430&amp;$I1430&amp;$H1430&amp;$N1430&amp;$O1430,APOIO_REDES!$W:$W,0),MATCH(AU$5,APOIO_REDES!$5:$5,0)),0)*$AP1430,0)</f>
        <v>2.94224690406133</v>
      </c>
      <c r="AV1430" s="153" t="n">
        <f aca="false">IFERROR(IF($N1430="VCA",INDEX(APOIO_REDES!$A:$W,MATCH($C1430&amp;$I1430&amp;$H1430&amp;$N1430&amp;$O1430,APOIO_REDES!$W:$W,0),MATCH(AV$5,APOIO_REDES!$5:$5,0)),0)*$AP1430,0)</f>
        <v>0.407183873978281</v>
      </c>
      <c r="AW1430" s="153" t="n">
        <f aca="false">IFERROR(IF($N1430="VCA",INDEX(APOIO_REDES!$A:$W,MATCH($C1430&amp;$I1430&amp;$H1430&amp;$N1430&amp;$O1430,APOIO_REDES!$W:$W,0),MATCH(AW$5,APOIO_REDES!$5:$5,0)),0)*$AP1430,0)</f>
        <v>232.437397823591</v>
      </c>
      <c r="AX1430" s="153" t="n">
        <f aca="false">IFERROR(IF($N1430="VCA",INDEX(APOIO_REDES!$A:$W,MATCH($C1430&amp;$I1430&amp;$H1430&amp;$N1430&amp;$O1430,APOIO_REDES!$W:$W,0),MATCH(AX$5,APOIO_REDES!$5:$5,0)),0)*$AP1430,0)</f>
        <v>32.1686737483243</v>
      </c>
      <c r="AY1430" s="153" t="n">
        <f aca="false">IFERROR(IF($N1430="VCA",INDEX(APOIO_REDES!$A:$W,MATCH($C1430&amp;$I1430&amp;$H1430&amp;$N1430&amp;$O1430,APOIO_REDES!$W:$W,0),MATCH(AY$5,APOIO_REDES!$5:$5,0)),0)*$AP1430,0)</f>
        <v>58.8449022154753</v>
      </c>
      <c r="AZ1430" s="153" t="n">
        <f aca="false">IFERROR(IF($N1430="VCA",INDEX(APOIO_REDES!$A:$W,MATCH($C1430&amp;$I1430&amp;$H1430&amp;$N1430&amp;$O1430,APOIO_REDES!$W:$W,0),MATCH(AZ$5,APOIO_REDES!$5:$5,0)),0)*$AP1430,0)</f>
        <v>8.14396440557564</v>
      </c>
      <c r="BA1430" s="153" t="n">
        <f aca="false">IFERROR(IF(AND($N1430="VCA",$Q1430="LINEAR"),INDEX(APOIO_REDES!$A:$W,MATCH($C1430&amp;$I1430&amp;$H1430&amp;$N1430&amp;$O1430,APOIO_REDES!$W:$W,0),MATCH(BA$5,APOIO_REDES!$5:$5,0)),IF(AND($N1430="MND",$Q1430="EMBOQUE"),INDEX(APOIO_REDES!$A:$W,MATCH($C1430&amp;$I1430&amp;$H1430&amp;$N1430&amp;$O1430,APOIO_REDES!$W:$W,0),MATCH(BA$5,APOIO_REDES!$5:$5,0)),0))*$M1430/10,0)</f>
        <v>24.9247699415471</v>
      </c>
      <c r="BB1430" s="153" t="n">
        <f aca="false">IFERROR(IF($N1430="VCA",INDEX(APOIO_REDES!$A:$W,MATCH($C1430&amp;$I1430&amp;$H1430&amp;$N1430&amp;$O1430,APOIO_REDES!$W:$W,0),MATCH(BB$5,APOIO_REDES!$5:$5,0)),0)*($AI1430+$AQ1430+$AR1430),0)</f>
        <v>128.471812756002</v>
      </c>
      <c r="BC1430" s="153" t="n">
        <f aca="false">IFERROR(IF($N1430="VCA",INDEX(APOIO_REDES!$A:$W,MATCH($C1430&amp;$I1430&amp;$H1430&amp;$N1430&amp;$O1430,APOIO_REDES!$W:$W,0),MATCH(BC$5,APOIO_REDES!$5:$5,0)),0)*($AI1430+$AQ1430+$AR1430),0)</f>
        <v>1.41318724399763</v>
      </c>
      <c r="BD1430" s="153" t="n">
        <f aca="false">IF(AND($N1430="VCA",$AF1430&gt;=1.25,$AF1430&lt;1.5),$M1430*$AF1430*2,0)</f>
        <v>903.01</v>
      </c>
      <c r="BE1430" s="153" t="n">
        <f aca="false">IF(AND($N1430="VCA",$AF1430&gt;=1.5,$AF1430&lt;3),$M1430*$AF1430*2,0)</f>
        <v>0</v>
      </c>
      <c r="BF1430" s="153" t="n">
        <f aca="false">IF(AND($N1430="VCA",$AF1430&gt;=3),$M1430*$AF1430*2,0)</f>
        <v>0</v>
      </c>
      <c r="BG1430" s="153" t="n">
        <f aca="false">($BB1430+$BC1430)*$AK1430</f>
        <v>532.5285</v>
      </c>
      <c r="BH1430" s="153" t="n">
        <f aca="false">IF(AND($M1430&lt;&gt;"",$N1430="VCA",$Q1430="LINEAR"),($M1430*2)/100,IF(AND($M1430&lt;&gt;"",$N1430="MND",$Q1430="EMBOQUE"),($AN1430*2)/100,0))</f>
        <v>6.185</v>
      </c>
      <c r="BI1430" s="153" t="n">
        <f aca="false">IF(AND($M1430&lt;&gt;"",$N1430="VCA",$Q1430="LINEAR"),$M1430,IF(AND($M1430&lt;&gt;"",$N1430="MND",$Q1430="EMBOQUE"),$AN1430*2,0))</f>
        <v>309.25</v>
      </c>
      <c r="BJ1430" s="153" t="n">
        <f aca="false">IF(AND($M1430&lt;&gt;"",$N1430="VCA",$Q1430="LINEAR"),($M1430*6.8)/100,IF(AND($M1430&lt;&gt;"",$N1430="MND",$Q1430="EMBOQUE"),($AN1430*2*6.8)/100,0))</f>
        <v>21.029</v>
      </c>
      <c r="BK1430" s="153" t="n">
        <f aca="false">IF(AND($M1430&lt;&gt;"",$N1430="VCA",$Q1430="LINEAR"),($M1430*2.5)/50,IF(AND($M1430&lt;&gt;"",$N1430="MND",$Q1430="EMBOQUE"),($AN1430*2*2.5)/50,0))</f>
        <v>15.4625</v>
      </c>
      <c r="BL1430" s="157" t="str">
        <f aca="false">K1430&amp;J1430</f>
        <v>Zona11REDES</v>
      </c>
      <c r="BM1430" s="152" t="s">
        <v>6084</v>
      </c>
      <c r="BN1430" s="152" t="s">
        <v>1560</v>
      </c>
      <c r="BO1430" s="152" t="s">
        <v>6822</v>
      </c>
      <c r="BP1430" s="152" t="s">
        <v>6916</v>
      </c>
      <c r="BQ1430" s="152" t="s">
        <v>6938</v>
      </c>
      <c r="BR1430" s="152" t="s">
        <v>6939</v>
      </c>
      <c r="BS1430" s="152" t="n">
        <v>204870.245</v>
      </c>
      <c r="BT1430" s="152" t="n">
        <v>8236078.894</v>
      </c>
      <c r="BU1430" s="152" t="n">
        <v>204571.526</v>
      </c>
      <c r="BV1430" s="152" t="n">
        <v>8236000.546</v>
      </c>
      <c r="BW1430" s="152" t="n">
        <v>-15.9373586</v>
      </c>
      <c r="BX1430" s="152" t="n">
        <v>-47.7580696</v>
      </c>
      <c r="BY1430" s="152" t="s">
        <v>6916</v>
      </c>
    </row>
    <row r="1431" customFormat="false" ht="13.8" hidden="false" customHeight="false" outlineLevel="0" collapsed="false">
      <c r="A1431" s="149" t="n">
        <f aca="false">IF(C1431&lt;&gt;"",ROW(A1426),"")</f>
        <v>1426</v>
      </c>
      <c r="B1431" s="150" t="str">
        <f aca="false">HYPERLINK("https://www.google.com/maps/dir/-15.917302,-47.760003/-15.9375095,-47.7604919/data=!4m3!4m2!3e0!5i1")</f>
        <v>https://www.google.com/maps/dir/-15.917302,-47.760003/-15.9375095,-47.7604919/data=!4m3!4m2!3e0!5i1</v>
      </c>
      <c r="C1431" s="151" t="s">
        <v>117</v>
      </c>
      <c r="D1431" s="152" t="s">
        <v>112</v>
      </c>
      <c r="E1431" s="152" t="s">
        <v>113</v>
      </c>
      <c r="F1431" s="152" t="s">
        <v>117</v>
      </c>
      <c r="G1431" s="152" t="s">
        <v>782</v>
      </c>
      <c r="H1431" s="152" t="n">
        <v>90</v>
      </c>
      <c r="I1431" s="152" t="s">
        <v>115</v>
      </c>
      <c r="J1431" s="152" t="s">
        <v>6</v>
      </c>
      <c r="K1431" s="152" t="s">
        <v>6081</v>
      </c>
      <c r="L1431" s="152" t="s">
        <v>120</v>
      </c>
      <c r="M1431" s="153" t="n">
        <f aca="false">41.41</f>
        <v>41.41</v>
      </c>
      <c r="N1431" s="152" t="s">
        <v>1548</v>
      </c>
      <c r="O1431" s="152" t="s">
        <v>1549</v>
      </c>
      <c r="P1431" s="152" t="s">
        <v>1550</v>
      </c>
      <c r="Q1431" s="152" t="s">
        <v>1551</v>
      </c>
      <c r="R1431" s="154" t="s">
        <v>6940</v>
      </c>
      <c r="S1431" s="154" t="s">
        <v>1593</v>
      </c>
      <c r="T1431" s="155" t="s">
        <v>6820</v>
      </c>
      <c r="U1431" s="152" t="str">
        <f aca="false">RIGHT(T1431,7)</f>
        <v>025/037</v>
      </c>
      <c r="V1431" s="152" t="s">
        <v>1555</v>
      </c>
      <c r="W1431" s="156" t="n">
        <v>45882</v>
      </c>
      <c r="X1431" s="152" t="s">
        <v>3938</v>
      </c>
      <c r="Y1431" s="152" t="s">
        <v>6546</v>
      </c>
      <c r="Z1431" s="152" t="s">
        <v>1557</v>
      </c>
      <c r="AA1431" s="153" t="n">
        <v>4.6</v>
      </c>
      <c r="AB1431" s="151" t="s">
        <v>6941</v>
      </c>
      <c r="AC1431" s="151" t="s">
        <v>526</v>
      </c>
      <c r="AD1431" s="151" t="str">
        <f aca="false">CONCATENATE($C1431,$I1431,$H1431,$N1431,$J1431,$K1431)</f>
        <v>TUBO PEADPEAD90VCAREDESZona11</v>
      </c>
      <c r="AE1431" s="153" t="n">
        <f aca="false">IFERROR(INDEX(APOIO_REDES!$A:$W,MATCH($C1431&amp;$I1431&amp;$H1431&amp;$N1431&amp;$O1431,APOIO_REDES!$W:$W,0),MATCH(AE$5,APOIO_REDES!$5:$5,0)),0)</f>
        <v>1.2</v>
      </c>
      <c r="AF1431" s="153" t="n">
        <f aca="false">IFERROR(INDEX(APOIO_REDES!$A:$W,MATCH($C1431&amp;$I1431&amp;$H1431&amp;$N1431&amp;$O1431,APOIO_REDES!$W:$W,0),MATCH(AF$5,APOIO_REDES!$5:$5,0)),0)</f>
        <v>1.39</v>
      </c>
      <c r="AG1431" s="153" t="n">
        <f aca="false">IFERROR(INDEX(APOIO_REDES!$A:$W,MATCH($C1431&amp;$I1431&amp;$H1431&amp;$N1431&amp;$O1431,APOIO_REDES!$W:$W,0),MATCH(AG$5,APOIO_REDES!$5:$5,0)),0)</f>
        <v>0.75</v>
      </c>
      <c r="AH1431" s="153" t="n">
        <f aca="false">IFERROR(INDEX(APOIO_REDES!$A:$W,MATCH($C1431&amp;$I1431&amp;$H1431&amp;$N1431&amp;$O1431,APOIO_REDES!$W:$W,0),MATCH(AH$5,APOIO_REDES!$5:$5,0)),0)</f>
        <v>0.1</v>
      </c>
      <c r="AI1431" s="153" t="n">
        <f aca="false">IFERROR(IF($H1431&lt;&gt;"",(((($H1431/1000)/2)^2)*PI()*$M1431),0),0)</f>
        <v>0.263439037364935</v>
      </c>
      <c r="AJ1431" s="153" t="n">
        <f aca="false">IFERROR(IF(AND($H1431&lt;&gt;"",$I1431="FoFo",OR($N1431="MND",$N1431="VCA"),$Q1431="LINEAR"),0,IF(AND($H1431&lt;&gt;"",$I1431="PEAD",$N1431="VCA",$Q1431="LINEAR"),($H1431/1000)+0.3,IF(AND($H1431&lt;&gt;"",$I1431="PEAD",$N1431="MND",$Q1431="EMBOQUE"),0,IF(AND($H1431&lt;&gt;"",$I1431="PVC",$N1431="VCA",$Q1431="LINEAR"),($H1431/1000)+0.2,IF(AND($H1431&lt;&gt;"",$I1431="PVC",$N1431="MND",$Q1431="EMBOQUE"),0,IF(AND($H1431&lt;&gt;"",$I1431="PEAD",$N1431="VCA",$Q1431="PREDIAL"),0,0)))))),0)</f>
        <v>0.39</v>
      </c>
      <c r="AK1431" s="153" t="n">
        <f aca="false">IF(AA1431&lt;&gt;"",AA1431,0)</f>
        <v>4.6</v>
      </c>
      <c r="AL1431" s="153" t="n">
        <f aca="false">IF(AND($N1431="MND",$Q1431="EMBOQUE"),$M1431,IF(AND($N1431="VCA",$Q1431="LINEAR"),$M1431,IF(AND($N1431="VCA",$Q1431="PREDIAL"),0,0)))</f>
        <v>41.41</v>
      </c>
      <c r="AM1431" s="153" t="n">
        <f aca="false">IF(AND($N1431="MND",$Q1431="EMBOQUE"),$M1431,IF(AND($N1431="VCA",$Q1431="LINEAR"),$M1431,IF(AND($N1431="VCA",$Q1431="PREDIAL"),0,0)))</f>
        <v>41.41</v>
      </c>
      <c r="AN1431" s="153" t="n">
        <f aca="false">ROUND(IF(AND($N1431="VCA",$M1431&lt;&gt;"",$Q1431="LINEAR"),$M1431/100,IF(AND($N1431="MND",$M1431&gt;100,$Q1431="EMBOQUE"),$M1431/100,0)),0)</f>
        <v>0</v>
      </c>
      <c r="AO1431" s="153" t="n">
        <f aca="false">IF(AND($N1431="MND",$Q1431="EMBOQUE"),$AN1431*2*2,IF(AND($N1431="VCA",$Q1431="LINEAR"),$M1431*2,IF(AND($N1431="VCA",$Q1431="PREDIAL"),0,0)))</f>
        <v>82.82</v>
      </c>
      <c r="AP1431" s="153" t="n">
        <f aca="false">IFERROR($M1431*$AF1431*$AG1431,0)</f>
        <v>43.169925</v>
      </c>
      <c r="AQ1431" s="153" t="n">
        <f aca="false">IFERROR(IF(AND($N1431="VCA",$AH1431&gt;0),$M1431*$AG1431*$AH1431,0),0)</f>
        <v>3.10575</v>
      </c>
      <c r="AR1431" s="153" t="n">
        <f aca="false">IFERROR(IF(AND($N1431="VCA",$AJ1431&gt;0),($M1431*$AG1431*$AJ1431)-$AI1431,0),0)</f>
        <v>11.8489859626351</v>
      </c>
      <c r="AS1431" s="153" t="n">
        <f aca="false">IFERROR(IF(AND($N1431="VCA",$AP1431&gt;0),$AP1431-$AI1431-$AQ1431-$AR1431,0),0)</f>
        <v>27.95175</v>
      </c>
      <c r="AT1431" s="153" t="n">
        <f aca="false">IFERROR(IF($N1431="VCA",INDEX(APOIO_REDES!$A:$W,MATCH($C1431&amp;$I1431&amp;$H1431&amp;$N1431&amp;$O1431,APOIO_REDES!$W:$W,0),MATCH(AT$5,APOIO_REDES!$5:$5,0)),0)*$AP1431,0)</f>
        <v>0.469701561645567</v>
      </c>
      <c r="AU1431" s="153" t="n">
        <f aca="false">IFERROR(IF($N1431="VCA",INDEX(APOIO_REDES!$A:$W,MATCH($C1431&amp;$I1431&amp;$H1431&amp;$N1431&amp;$O1431,APOIO_REDES!$W:$W,0),MATCH(AU$5,APOIO_REDES!$5:$5,0)),0)*$AP1431,0)</f>
        <v>0.37509094599856</v>
      </c>
      <c r="AV1431" s="153" t="n">
        <f aca="false">IFERROR(IF($N1431="VCA",INDEX(APOIO_REDES!$A:$W,MATCH($C1431&amp;$I1431&amp;$H1431&amp;$N1431&amp;$O1431,APOIO_REDES!$W:$W,0),MATCH(AV$5,APOIO_REDES!$5:$5,0)),0)*$AP1431,0)</f>
        <v>0.0519096423468233</v>
      </c>
      <c r="AW1431" s="153" t="n">
        <f aca="false">IFERROR(IF($N1431="VCA",INDEX(APOIO_REDES!$A:$W,MATCH($C1431&amp;$I1431&amp;$H1431&amp;$N1431&amp;$O1431,APOIO_REDES!$W:$W,0),MATCH(AW$5,APOIO_REDES!$5:$5,0)),0)*$AP1431,0)</f>
        <v>29.6321710169015</v>
      </c>
      <c r="AX1431" s="153" t="n">
        <f aca="false">IFERROR(IF($N1431="VCA",INDEX(APOIO_REDES!$A:$W,MATCH($C1431&amp;$I1431&amp;$H1431&amp;$N1431&amp;$O1431,APOIO_REDES!$W:$W,0),MATCH(AX$5,APOIO_REDES!$5:$5,0)),0)*$AP1431,0)</f>
        <v>4.10100805990226</v>
      </c>
      <c r="AY1431" s="153" t="n">
        <f aca="false">IFERROR(IF($N1431="VCA",INDEX(APOIO_REDES!$A:$W,MATCH($C1431&amp;$I1431&amp;$H1431&amp;$N1431&amp;$O1431,APOIO_REDES!$W:$W,0),MATCH(AY$5,APOIO_REDES!$5:$5,0)),0)*$AP1431,0)</f>
        <v>7.50181434764297</v>
      </c>
      <c r="AZ1431" s="153" t="n">
        <f aca="false">IFERROR(IF($N1431="VCA",INDEX(APOIO_REDES!$A:$W,MATCH($C1431&amp;$I1431&amp;$H1431&amp;$N1431&amp;$O1431,APOIO_REDES!$W:$W,0),MATCH(AZ$5,APOIO_REDES!$5:$5,0)),0)*$AP1431,0)</f>
        <v>1.03822942556227</v>
      </c>
      <c r="BA1431" s="153" t="n">
        <f aca="false">IFERROR(IF(AND($N1431="VCA",$Q1431="LINEAR"),INDEX(APOIO_REDES!$A:$W,MATCH($C1431&amp;$I1431&amp;$H1431&amp;$N1431&amp;$O1431,APOIO_REDES!$W:$W,0),MATCH(BA$5,APOIO_REDES!$5:$5,0)),IF(AND($N1431="MND",$Q1431="EMBOQUE"),INDEX(APOIO_REDES!$A:$W,MATCH($C1431&amp;$I1431&amp;$H1431&amp;$N1431&amp;$O1431,APOIO_REDES!$W:$W,0),MATCH(BA$5,APOIO_REDES!$5:$5,0)),0))*$M1431/10,0)</f>
        <v>3.3375415465787</v>
      </c>
      <c r="BB1431" s="153" t="n">
        <f aca="false">IFERROR(IF($N1431="VCA",INDEX(APOIO_REDES!$A:$W,MATCH($C1431&amp;$I1431&amp;$H1431&amp;$N1431&amp;$O1431,APOIO_REDES!$W:$W,0),MATCH(BB$5,APOIO_REDES!$5:$5,0)),0)*($AI1431+$AQ1431+$AR1431),0)</f>
        <v>15.0525967516501</v>
      </c>
      <c r="BC1431" s="153" t="n">
        <f aca="false">IFERROR(IF($N1431="VCA",INDEX(APOIO_REDES!$A:$W,MATCH($C1431&amp;$I1431&amp;$H1431&amp;$N1431&amp;$O1431,APOIO_REDES!$W:$W,0),MATCH(BC$5,APOIO_REDES!$5:$5,0)),0)*($AI1431+$AQ1431+$AR1431),0)</f>
        <v>0.165578248349876</v>
      </c>
      <c r="BD1431" s="153" t="n">
        <f aca="false">IF(AND($N1431="VCA",$AF1431&gt;=1.25,$AF1431&lt;1.5),$M1431*$AF1431*2,0)</f>
        <v>115.1198</v>
      </c>
      <c r="BE1431" s="153" t="n">
        <f aca="false">IF(AND($N1431="VCA",$AF1431&gt;=1.5,$AF1431&lt;3),$M1431*$AF1431*2,0)</f>
        <v>0</v>
      </c>
      <c r="BF1431" s="153" t="n">
        <f aca="false">IF(AND($N1431="VCA",$AF1431&gt;=3),$M1431*$AF1431*2,0)</f>
        <v>0</v>
      </c>
      <c r="BG1431" s="153" t="n">
        <f aca="false">($BB1431+$BC1431)*$AK1431</f>
        <v>70.003605</v>
      </c>
      <c r="BH1431" s="153" t="n">
        <f aca="false">IF(AND($M1431&lt;&gt;"",$N1431="VCA",$Q1431="LINEAR"),($M1431*2)/100,IF(AND($M1431&lt;&gt;"",$N1431="MND",$Q1431="EMBOQUE"),($AN1431*2)/100,0))</f>
        <v>0.8282</v>
      </c>
      <c r="BI1431" s="153" t="n">
        <f aca="false">IF(AND($M1431&lt;&gt;"",$N1431="VCA",$Q1431="LINEAR"),$M1431,IF(AND($M1431&lt;&gt;"",$N1431="MND",$Q1431="EMBOQUE"),$AN1431*2,0))</f>
        <v>41.41</v>
      </c>
      <c r="BJ1431" s="153" t="n">
        <f aca="false">IF(AND($M1431&lt;&gt;"",$N1431="VCA",$Q1431="LINEAR"),($M1431*6.8)/100,IF(AND($M1431&lt;&gt;"",$N1431="MND",$Q1431="EMBOQUE"),($AN1431*2*6.8)/100,0))</f>
        <v>2.81588</v>
      </c>
      <c r="BK1431" s="153" t="n">
        <f aca="false">IF(AND($M1431&lt;&gt;"",$N1431="VCA",$Q1431="LINEAR"),($M1431*2.5)/50,IF(AND($M1431&lt;&gt;"",$N1431="MND",$Q1431="EMBOQUE"),($AN1431*2*2.5)/50,0))</f>
        <v>2.0705</v>
      </c>
      <c r="BL1431" s="157" t="str">
        <f aca="false">K1431&amp;J1431</f>
        <v>Zona11REDES</v>
      </c>
      <c r="BM1431" s="152" t="s">
        <v>6084</v>
      </c>
      <c r="BN1431" s="152" t="s">
        <v>1560</v>
      </c>
      <c r="BO1431" s="152" t="s">
        <v>6822</v>
      </c>
      <c r="BP1431" s="152" t="s">
        <v>6942</v>
      </c>
      <c r="BQ1431" s="152" t="s">
        <v>6673</v>
      </c>
      <c r="BR1431" s="152" t="s">
        <v>6943</v>
      </c>
      <c r="BS1431" s="152" t="n">
        <v>204460.852</v>
      </c>
      <c r="BT1431" s="152" t="n">
        <v>8236020.842</v>
      </c>
      <c r="BU1431" s="152" t="n">
        <v>204451.941</v>
      </c>
      <c r="BV1431" s="152" t="n">
        <v>8236061.28</v>
      </c>
      <c r="BW1431" s="152" t="n">
        <v>-15.9373273</v>
      </c>
      <c r="BX1431" s="152" t="n">
        <v>-47.7605356</v>
      </c>
      <c r="BY1431" s="152" t="s">
        <v>6942</v>
      </c>
    </row>
    <row r="1432" customFormat="false" ht="13.8" hidden="false" customHeight="false" outlineLevel="0" collapsed="false">
      <c r="A1432" s="149" t="n">
        <f aca="false">IF(C1432&lt;&gt;"",ROW(A1427),"")</f>
        <v>1427</v>
      </c>
      <c r="B1432" s="150" t="str">
        <f aca="false">HYPERLINK("https://www.google.com/maps/dir/-15.917302,-47.760003/-15.9369627,-47.7597617/data=!4m3!4m2!3e0!5i1")</f>
        <v>https://www.google.com/maps/dir/-15.917302,-47.760003/-15.9369627,-47.7597617/data=!4m3!4m2!3e0!5i1</v>
      </c>
      <c r="C1432" s="151" t="s">
        <v>117</v>
      </c>
      <c r="D1432" s="152" t="s">
        <v>112</v>
      </c>
      <c r="E1432" s="152" t="s">
        <v>113</v>
      </c>
      <c r="F1432" s="152" t="s">
        <v>117</v>
      </c>
      <c r="G1432" s="152" t="s">
        <v>782</v>
      </c>
      <c r="H1432" s="152" t="n">
        <v>63</v>
      </c>
      <c r="I1432" s="152" t="s">
        <v>115</v>
      </c>
      <c r="J1432" s="152" t="s">
        <v>6</v>
      </c>
      <c r="K1432" s="152" t="s">
        <v>6081</v>
      </c>
      <c r="L1432" s="152" t="s">
        <v>120</v>
      </c>
      <c r="M1432" s="153" t="n">
        <f aca="false">86.85+0.62</f>
        <v>87.47</v>
      </c>
      <c r="N1432" s="152" t="s">
        <v>1548</v>
      </c>
      <c r="O1432" s="152" t="s">
        <v>1549</v>
      </c>
      <c r="P1432" s="152" t="s">
        <v>1550</v>
      </c>
      <c r="Q1432" s="152" t="s">
        <v>1551</v>
      </c>
      <c r="R1432" s="154" t="s">
        <v>6944</v>
      </c>
      <c r="S1432" s="154" t="s">
        <v>1553</v>
      </c>
      <c r="T1432" s="155" t="s">
        <v>6820</v>
      </c>
      <c r="U1432" s="152" t="str">
        <f aca="false">RIGHT(T1432,7)</f>
        <v>025/037</v>
      </c>
      <c r="V1432" s="152" t="s">
        <v>1555</v>
      </c>
      <c r="W1432" s="156" t="n">
        <v>45882</v>
      </c>
      <c r="X1432" s="152"/>
      <c r="Y1432" s="152"/>
      <c r="Z1432" s="152" t="s">
        <v>1557</v>
      </c>
      <c r="AA1432" s="153" t="n">
        <v>4.6</v>
      </c>
      <c r="AB1432" s="151" t="s">
        <v>6945</v>
      </c>
      <c r="AC1432" s="151" t="s">
        <v>186</v>
      </c>
      <c r="AD1432" s="151" t="str">
        <f aca="false">CONCATENATE($C1432,$I1432,$H1432,$N1432,$J1432,$K1432)</f>
        <v>TUBO PEADPEAD63VCAREDESZona11</v>
      </c>
      <c r="AE1432" s="153" t="n">
        <f aca="false">IFERROR(INDEX(APOIO_REDES!$A:$W,MATCH($C1432&amp;$I1432&amp;$H1432&amp;$N1432&amp;$O1432,APOIO_REDES!$W:$W,0),MATCH(AE$5,APOIO_REDES!$5:$5,0)),0)</f>
        <v>1.2</v>
      </c>
      <c r="AF1432" s="153" t="n">
        <f aca="false">IFERROR(INDEX(APOIO_REDES!$A:$W,MATCH($C1432&amp;$I1432&amp;$H1432&amp;$N1432&amp;$O1432,APOIO_REDES!$W:$W,0),MATCH(AF$5,APOIO_REDES!$5:$5,0)),0)</f>
        <v>1.363</v>
      </c>
      <c r="AG1432" s="153" t="n">
        <f aca="false">IFERROR(INDEX(APOIO_REDES!$A:$W,MATCH($C1432&amp;$I1432&amp;$H1432&amp;$N1432&amp;$O1432,APOIO_REDES!$W:$W,0),MATCH(AG$5,APOIO_REDES!$5:$5,0)),0)</f>
        <v>0.65</v>
      </c>
      <c r="AH1432" s="153" t="n">
        <f aca="false">IFERROR(INDEX(APOIO_REDES!$A:$W,MATCH($C1432&amp;$I1432&amp;$H1432&amp;$N1432&amp;$O1432,APOIO_REDES!$W:$W,0),MATCH(AH$5,APOIO_REDES!$5:$5,0)),0)</f>
        <v>0.1</v>
      </c>
      <c r="AI1432" s="153" t="n">
        <f aca="false">IFERROR(IF($H1432&lt;&gt;"",(((($H1432/1000)/2)^2)*PI()*$M1432),0),0)</f>
        <v>0.272665447311576</v>
      </c>
      <c r="AJ1432" s="153" t="n">
        <f aca="false">IFERROR(IF(AND($H1432&lt;&gt;"",$I1432="FoFo",OR($N1432="MND",$N1432="VCA"),$Q1432="LINEAR"),0,IF(AND($H1432&lt;&gt;"",$I1432="PEAD",$N1432="VCA",$Q1432="LINEAR"),($H1432/1000)+0.3,IF(AND($H1432&lt;&gt;"",$I1432="PEAD",$N1432="MND",$Q1432="EMBOQUE"),0,IF(AND($H1432&lt;&gt;"",$I1432="PVC",$N1432="VCA",$Q1432="LINEAR"),($H1432/1000)+0.2,IF(AND($H1432&lt;&gt;"",$I1432="PVC",$N1432="MND",$Q1432="EMBOQUE"),0,IF(AND($H1432&lt;&gt;"",$I1432="PEAD",$N1432="VCA",$Q1432="PREDIAL"),0,0)))))),0)</f>
        <v>0.363</v>
      </c>
      <c r="AK1432" s="153" t="n">
        <f aca="false">IF(AA1432&lt;&gt;"",AA1432,0)</f>
        <v>4.6</v>
      </c>
      <c r="AL1432" s="153" t="n">
        <f aca="false">IF(AND($N1432="MND",$Q1432="EMBOQUE"),$M1432,IF(AND($N1432="VCA",$Q1432="LINEAR"),$M1432,IF(AND($N1432="VCA",$Q1432="PREDIAL"),0,0)))</f>
        <v>87.47</v>
      </c>
      <c r="AM1432" s="153" t="n">
        <f aca="false">IF(AND($N1432="MND",$Q1432="EMBOQUE"),$M1432,IF(AND($N1432="VCA",$Q1432="LINEAR"),$M1432,IF(AND($N1432="VCA",$Q1432="PREDIAL"),0,0)))</f>
        <v>87.47</v>
      </c>
      <c r="AN1432" s="153" t="n">
        <f aca="false">ROUND(IF(AND($N1432="VCA",$M1432&lt;&gt;"",$Q1432="LINEAR"),$M1432/100,IF(AND($N1432="MND",$M1432&gt;100,$Q1432="EMBOQUE"),$M1432/100,0)),0)</f>
        <v>1</v>
      </c>
      <c r="AO1432" s="153" t="n">
        <f aca="false">IF(AND($N1432="MND",$Q1432="EMBOQUE"),$AN1432*2*2,IF(AND($N1432="VCA",$Q1432="LINEAR"),$M1432*2,IF(AND($N1432="VCA",$Q1432="PREDIAL"),0,0)))</f>
        <v>174.94</v>
      </c>
      <c r="AP1432" s="153" t="n">
        <f aca="false">IFERROR($M1432*$AF1432*$AG1432,0)</f>
        <v>77.4940465</v>
      </c>
      <c r="AQ1432" s="153" t="n">
        <f aca="false">IFERROR(IF(AND($N1432="VCA",$AH1432&gt;0),$M1432*$AG1432*$AH1432,0),0)</f>
        <v>5.68555</v>
      </c>
      <c r="AR1432" s="153" t="n">
        <f aca="false">IFERROR(IF(AND($N1432="VCA",$AJ1432&gt;0),($M1432*$AG1432*$AJ1432)-$AI1432,0),0)</f>
        <v>20.3658810526884</v>
      </c>
      <c r="AS1432" s="153" t="n">
        <f aca="false">IFERROR(IF(AND($N1432="VCA",$AP1432&gt;0),$AP1432-$AI1432-$AQ1432-$AR1432,0),0)</f>
        <v>51.16995</v>
      </c>
      <c r="AT1432" s="153" t="n">
        <f aca="false">IFERROR(IF($N1432="VCA",INDEX(APOIO_REDES!$A:$W,MATCH($C1432&amp;$I1432&amp;$H1432&amp;$N1432&amp;$O1432,APOIO_REDES!$W:$W,0),MATCH(AT$5,APOIO_REDES!$5:$5,0)),0)*$AP1432,0)</f>
        <v>0.843158162986944</v>
      </c>
      <c r="AU1432" s="153" t="n">
        <f aca="false">IFERROR(IF($N1432="VCA",INDEX(APOIO_REDES!$A:$W,MATCH($C1432&amp;$I1432&amp;$H1432&amp;$N1432&amp;$O1432,APOIO_REDES!$W:$W,0),MATCH(AU$5,APOIO_REDES!$5:$5,0)),0)*$AP1432,0)</f>
        <v>0.673323273342295</v>
      </c>
      <c r="AV1432" s="153" t="n">
        <f aca="false">IFERROR(IF($N1432="VCA",INDEX(APOIO_REDES!$A:$W,MATCH($C1432&amp;$I1432&amp;$H1432&amp;$N1432&amp;$O1432,APOIO_REDES!$W:$W,0),MATCH(AV$5,APOIO_REDES!$5:$5,0)),0)*$AP1432,0)</f>
        <v>0.0931826552356321</v>
      </c>
      <c r="AW1432" s="153" t="n">
        <f aca="false">IFERROR(IF($N1432="VCA",INDEX(APOIO_REDES!$A:$W,MATCH($C1432&amp;$I1432&amp;$H1432&amp;$N1432&amp;$O1432,APOIO_REDES!$W:$W,0),MATCH(AW$5,APOIO_REDES!$5:$5,0)),0)*$AP1432,0)</f>
        <v>53.192513970773</v>
      </c>
      <c r="AX1432" s="153" t="n">
        <f aca="false">IFERROR(IF($N1432="VCA",INDEX(APOIO_REDES!$A:$W,MATCH($C1432&amp;$I1432&amp;$H1432&amp;$N1432&amp;$O1432,APOIO_REDES!$W:$W,0),MATCH(AX$5,APOIO_REDES!$5:$5,0)),0)*$AP1432,0)</f>
        <v>7.36169241181079</v>
      </c>
      <c r="AY1432" s="153" t="n">
        <f aca="false">IFERROR(IF($N1432="VCA",INDEX(APOIO_REDES!$A:$W,MATCH($C1432&amp;$I1432&amp;$H1432&amp;$N1432&amp;$O1432,APOIO_REDES!$W:$W,0),MATCH(AY$5,APOIO_REDES!$5:$5,0)),0)*$AP1432,0)</f>
        <v>13.4664572590898</v>
      </c>
      <c r="AZ1432" s="153" t="n">
        <f aca="false">IFERROR(IF($N1432="VCA",INDEX(APOIO_REDES!$A:$W,MATCH($C1432&amp;$I1432&amp;$H1432&amp;$N1432&amp;$O1432,APOIO_REDES!$W:$W,0),MATCH(AZ$5,APOIO_REDES!$5:$5,0)),0)*$AP1432,0)</f>
        <v>1.8637187667616</v>
      </c>
      <c r="BA1432" s="153" t="n">
        <f aca="false">IFERROR(IF(AND($N1432="VCA",$Q1432="LINEAR"),INDEX(APOIO_REDES!$A:$W,MATCH($C1432&amp;$I1432&amp;$H1432&amp;$N1432&amp;$O1432,APOIO_REDES!$W:$W,0),MATCH(BA$5,APOIO_REDES!$5:$5,0)),IF(AND($N1432="MND",$Q1432="EMBOQUE"),INDEX(APOIO_REDES!$A:$W,MATCH($C1432&amp;$I1432&amp;$H1432&amp;$N1432&amp;$O1432,APOIO_REDES!$W:$W,0),MATCH(BA$5,APOIO_REDES!$5:$5,0)),0))*$M1432/10,0)</f>
        <v>7.04986136390338</v>
      </c>
      <c r="BB1432" s="153" t="n">
        <f aca="false">IFERROR(IF($N1432="VCA",INDEX(APOIO_REDES!$A:$W,MATCH($C1432&amp;$I1432&amp;$H1432&amp;$N1432&amp;$O1432,APOIO_REDES!$W:$W,0),MATCH(BB$5,APOIO_REDES!$5:$5,0)),0)*($AI1432+$AQ1432+$AR1432),0)</f>
        <v>26.0376825385452</v>
      </c>
      <c r="BC1432" s="153" t="n">
        <f aca="false">IFERROR(IF($N1432="VCA",INDEX(APOIO_REDES!$A:$W,MATCH($C1432&amp;$I1432&amp;$H1432&amp;$N1432&amp;$O1432,APOIO_REDES!$W:$W,0),MATCH(BC$5,APOIO_REDES!$5:$5,0)),0)*($AI1432+$AQ1432+$AR1432),0)</f>
        <v>0.286413961454846</v>
      </c>
      <c r="BD1432" s="153" t="n">
        <f aca="false">IF(AND($N1432="VCA",$AF1432&gt;=1.25,$AF1432&lt;1.5),$M1432*$AF1432*2,0)</f>
        <v>238.44322</v>
      </c>
      <c r="BE1432" s="153" t="n">
        <f aca="false">IF(AND($N1432="VCA",$AF1432&gt;=1.5,$AF1432&lt;3),$M1432*$AF1432*2,0)</f>
        <v>0</v>
      </c>
      <c r="BF1432" s="153" t="n">
        <f aca="false">IF(AND($N1432="VCA",$AF1432&gt;=3),$M1432*$AF1432*2,0)</f>
        <v>0</v>
      </c>
      <c r="BG1432" s="153" t="n">
        <f aca="false">($BB1432+$BC1432)*$AK1432</f>
        <v>121.0908439</v>
      </c>
      <c r="BH1432" s="153" t="n">
        <f aca="false">IF(AND($M1432&lt;&gt;"",$N1432="VCA",$Q1432="LINEAR"),($M1432*2)/100,IF(AND($M1432&lt;&gt;"",$N1432="MND",$Q1432="EMBOQUE"),($AN1432*2)/100,0))</f>
        <v>1.7494</v>
      </c>
      <c r="BI1432" s="153" t="n">
        <f aca="false">IF(AND($M1432&lt;&gt;"",$N1432="VCA",$Q1432="LINEAR"),$M1432,IF(AND($M1432&lt;&gt;"",$N1432="MND",$Q1432="EMBOQUE"),$AN1432*2,0))</f>
        <v>87.47</v>
      </c>
      <c r="BJ1432" s="153" t="n">
        <f aca="false">IF(AND($M1432&lt;&gt;"",$N1432="VCA",$Q1432="LINEAR"),($M1432*6.8)/100,IF(AND($M1432&lt;&gt;"",$N1432="MND",$Q1432="EMBOQUE"),($AN1432*2*6.8)/100,0))</f>
        <v>5.94796</v>
      </c>
      <c r="BK1432" s="153" t="n">
        <f aca="false">IF(AND($M1432&lt;&gt;"",$N1432="VCA",$Q1432="LINEAR"),($M1432*2.5)/50,IF(AND($M1432&lt;&gt;"",$N1432="MND",$Q1432="EMBOQUE"),($AN1432*2*2.5)/50,0))</f>
        <v>4.3735</v>
      </c>
      <c r="BL1432" s="157" t="str">
        <f aca="false">K1432&amp;J1432</f>
        <v>Zona11REDES</v>
      </c>
      <c r="BM1432" s="152" t="s">
        <v>6084</v>
      </c>
      <c r="BN1432" s="152" t="s">
        <v>1560</v>
      </c>
      <c r="BO1432" s="152" t="s">
        <v>6822</v>
      </c>
      <c r="BP1432" s="152" t="s">
        <v>6930</v>
      </c>
      <c r="BQ1432" s="152" t="s">
        <v>6946</v>
      </c>
      <c r="BR1432" s="152" t="s">
        <v>6947</v>
      </c>
      <c r="BS1432" s="152" t="n">
        <v>204538.67</v>
      </c>
      <c r="BT1432" s="152" t="n">
        <v>8236082.509</v>
      </c>
      <c r="BU1432" s="152" t="n">
        <v>204561.566</v>
      </c>
      <c r="BV1432" s="152" t="n">
        <v>8235998.759</v>
      </c>
      <c r="BW1432" s="152" t="n">
        <v>-15.937341</v>
      </c>
      <c r="BX1432" s="152" t="n">
        <v>-47.7596552</v>
      </c>
      <c r="BY1432" s="152" t="s">
        <v>6930</v>
      </c>
    </row>
    <row r="1433" customFormat="false" ht="13.8" hidden="false" customHeight="false" outlineLevel="0" collapsed="false">
      <c r="A1433" s="149" t="n">
        <f aca="false">IF(C1433&lt;&gt;"",ROW(A1428),"")</f>
        <v>1428</v>
      </c>
      <c r="B1433" s="150" t="str">
        <f aca="false">HYPERLINK("https://www.google.com/maps/dir/-15.917302,-47.760003/-15.9373716,-47.7598830/data=!4m3!4m2!3e0!5i1")</f>
        <v>https://www.google.com/maps/dir/-15.917302,-47.760003/-15.9373716,-47.7598830/data=!4m3!4m2!3e0!5i1</v>
      </c>
      <c r="C1433" s="151" t="s">
        <v>117</v>
      </c>
      <c r="D1433" s="152" t="s">
        <v>112</v>
      </c>
      <c r="E1433" s="152" t="s">
        <v>113</v>
      </c>
      <c r="F1433" s="152" t="s">
        <v>117</v>
      </c>
      <c r="G1433" s="152" t="s">
        <v>782</v>
      </c>
      <c r="H1433" s="152" t="n">
        <v>63</v>
      </c>
      <c r="I1433" s="152" t="s">
        <v>115</v>
      </c>
      <c r="J1433" s="152" t="s">
        <v>6</v>
      </c>
      <c r="K1433" s="152" t="s">
        <v>6081</v>
      </c>
      <c r="L1433" s="152" t="s">
        <v>120</v>
      </c>
      <c r="M1433" s="153" t="n">
        <f aca="false">67+4.41</f>
        <v>71.41</v>
      </c>
      <c r="N1433" s="152" t="s">
        <v>1548</v>
      </c>
      <c r="O1433" s="152" t="s">
        <v>1549</v>
      </c>
      <c r="P1433" s="152" t="s">
        <v>1550</v>
      </c>
      <c r="Q1433" s="152" t="s">
        <v>1551</v>
      </c>
      <c r="R1433" s="154" t="s">
        <v>6948</v>
      </c>
      <c r="S1433" s="154" t="s">
        <v>1553</v>
      </c>
      <c r="T1433" s="155" t="s">
        <v>6820</v>
      </c>
      <c r="U1433" s="152" t="str">
        <f aca="false">RIGHT(T1433,7)</f>
        <v>025/037</v>
      </c>
      <c r="V1433" s="152" t="s">
        <v>1555</v>
      </c>
      <c r="W1433" s="156" t="n">
        <v>45882</v>
      </c>
      <c r="X1433" s="152" t="s">
        <v>3938</v>
      </c>
      <c r="Y1433" s="152" t="s">
        <v>6546</v>
      </c>
      <c r="Z1433" s="152" t="s">
        <v>1557</v>
      </c>
      <c r="AA1433" s="153" t="n">
        <v>4.7</v>
      </c>
      <c r="AB1433" s="151" t="s">
        <v>6949</v>
      </c>
      <c r="AC1433" s="151" t="s">
        <v>186</v>
      </c>
      <c r="AD1433" s="151" t="str">
        <f aca="false">CONCATENATE($C1433,$I1433,$H1433,$N1433,$J1433,$K1433)</f>
        <v>TUBO PEADPEAD63VCAREDESZona11</v>
      </c>
      <c r="AE1433" s="153" t="n">
        <f aca="false">IFERROR(INDEX(APOIO_REDES!$A:$W,MATCH($C1433&amp;$I1433&amp;$H1433&amp;$N1433&amp;$O1433,APOIO_REDES!$W:$W,0),MATCH(AE$5,APOIO_REDES!$5:$5,0)),0)</f>
        <v>1.2</v>
      </c>
      <c r="AF1433" s="153" t="n">
        <f aca="false">IFERROR(INDEX(APOIO_REDES!$A:$W,MATCH($C1433&amp;$I1433&amp;$H1433&amp;$N1433&amp;$O1433,APOIO_REDES!$W:$W,0),MATCH(AF$5,APOIO_REDES!$5:$5,0)),0)</f>
        <v>1.363</v>
      </c>
      <c r="AG1433" s="153" t="n">
        <f aca="false">IFERROR(INDEX(APOIO_REDES!$A:$W,MATCH($C1433&amp;$I1433&amp;$H1433&amp;$N1433&amp;$O1433,APOIO_REDES!$W:$W,0),MATCH(AG$5,APOIO_REDES!$5:$5,0)),0)</f>
        <v>0.65</v>
      </c>
      <c r="AH1433" s="153" t="n">
        <f aca="false">IFERROR(INDEX(APOIO_REDES!$A:$W,MATCH($C1433&amp;$I1433&amp;$H1433&amp;$N1433&amp;$O1433,APOIO_REDES!$W:$W,0),MATCH(AH$5,APOIO_REDES!$5:$5,0)),0)</f>
        <v>0.1</v>
      </c>
      <c r="AI1433" s="153" t="n">
        <f aca="false">IFERROR(IF($H1433&lt;&gt;"",(((($H1433/1000)/2)^2)*PI()*$M1433),0),0)</f>
        <v>0.222602487624553</v>
      </c>
      <c r="AJ1433" s="153" t="n">
        <f aca="false">IFERROR(IF(AND($H1433&lt;&gt;"",$I1433="FoFo",OR($N1433="MND",$N1433="VCA"),$Q1433="LINEAR"),0,IF(AND($H1433&lt;&gt;"",$I1433="PEAD",$N1433="VCA",$Q1433="LINEAR"),($H1433/1000)+0.3,IF(AND($H1433&lt;&gt;"",$I1433="PEAD",$N1433="MND",$Q1433="EMBOQUE"),0,IF(AND($H1433&lt;&gt;"",$I1433="PVC",$N1433="VCA",$Q1433="LINEAR"),($H1433/1000)+0.2,IF(AND($H1433&lt;&gt;"",$I1433="PVC",$N1433="MND",$Q1433="EMBOQUE"),0,IF(AND($H1433&lt;&gt;"",$I1433="PEAD",$N1433="VCA",$Q1433="PREDIAL"),0,0)))))),0)</f>
        <v>0.363</v>
      </c>
      <c r="AK1433" s="153" t="n">
        <f aca="false">IF(AA1433&lt;&gt;"",AA1433,0)</f>
        <v>4.7</v>
      </c>
      <c r="AL1433" s="153" t="n">
        <f aca="false">IF(AND($N1433="MND",$Q1433="EMBOQUE"),$M1433,IF(AND($N1433="VCA",$Q1433="LINEAR"),$M1433,IF(AND($N1433="VCA",$Q1433="PREDIAL"),0,0)))</f>
        <v>71.41</v>
      </c>
      <c r="AM1433" s="153" t="n">
        <f aca="false">IF(AND($N1433="MND",$Q1433="EMBOQUE"),$M1433,IF(AND($N1433="VCA",$Q1433="LINEAR"),$M1433,IF(AND($N1433="VCA",$Q1433="PREDIAL"),0,0)))</f>
        <v>71.41</v>
      </c>
      <c r="AN1433" s="153" t="n">
        <f aca="false">ROUND(IF(AND($N1433="VCA",$M1433&lt;&gt;"",$Q1433="LINEAR"),$M1433/100,IF(AND($N1433="MND",$M1433&gt;100,$Q1433="EMBOQUE"),$M1433/100,0)),0)</f>
        <v>1</v>
      </c>
      <c r="AO1433" s="153" t="n">
        <f aca="false">IF(AND($N1433="MND",$Q1433="EMBOQUE"),$AN1433*2*2,IF(AND($N1433="VCA",$Q1433="LINEAR"),$M1433*2,IF(AND($N1433="VCA",$Q1433="PREDIAL"),0,0)))</f>
        <v>142.82</v>
      </c>
      <c r="AP1433" s="153" t="n">
        <f aca="false">IFERROR($M1433*$AF1433*$AG1433,0)</f>
        <v>63.2656895</v>
      </c>
      <c r="AQ1433" s="153" t="n">
        <f aca="false">IFERROR(IF(AND($N1433="VCA",$AH1433&gt;0),$M1433*$AG1433*$AH1433,0),0)</f>
        <v>4.64165</v>
      </c>
      <c r="AR1433" s="153" t="n">
        <f aca="false">IFERROR(IF(AND($N1433="VCA",$AJ1433&gt;0),($M1433*$AG1433*$AJ1433)-$AI1433,0),0)</f>
        <v>16.6265870123754</v>
      </c>
      <c r="AS1433" s="153" t="n">
        <f aca="false">IFERROR(IF(AND($N1433="VCA",$AP1433&gt;0),$AP1433-$AI1433-$AQ1433-$AR1433,0),0)</f>
        <v>41.77485</v>
      </c>
      <c r="AT1433" s="153" t="n">
        <f aca="false">IFERROR(IF($N1433="VCA",INDEX(APOIO_REDES!$A:$W,MATCH($C1433&amp;$I1433&amp;$H1433&amp;$N1433&amp;$O1433,APOIO_REDES!$W:$W,0),MATCH(AT$5,APOIO_REDES!$5:$5,0)),0)*$AP1433,0)</f>
        <v>0.688349427448241</v>
      </c>
      <c r="AU1433" s="153" t="n">
        <f aca="false">IFERROR(IF($N1433="VCA",INDEX(APOIO_REDES!$A:$W,MATCH($C1433&amp;$I1433&amp;$H1433&amp;$N1433&amp;$O1433,APOIO_REDES!$W:$W,0),MATCH(AU$5,APOIO_REDES!$5:$5,0)),0)*$AP1433,0)</f>
        <v>0.549697209893373</v>
      </c>
      <c r="AV1433" s="153" t="n">
        <f aca="false">IFERROR(IF($N1433="VCA",INDEX(APOIO_REDES!$A:$W,MATCH($C1433&amp;$I1433&amp;$H1433&amp;$N1433&amp;$O1433,APOIO_REDES!$W:$W,0),MATCH(AV$5,APOIO_REDES!$5:$5,0)),0)*$AP1433,0)</f>
        <v>0.0760737785569508</v>
      </c>
      <c r="AW1433" s="153" t="n">
        <f aca="false">IFERROR(IF($N1433="VCA",INDEX(APOIO_REDES!$A:$W,MATCH($C1433&amp;$I1433&amp;$H1433&amp;$N1433&amp;$O1433,APOIO_REDES!$W:$W,0),MATCH(AW$5,APOIO_REDES!$5:$5,0)),0)*$AP1433,0)</f>
        <v>43.4260594792832</v>
      </c>
      <c r="AX1433" s="153" t="n">
        <f aca="false">IFERROR(IF($N1433="VCA",INDEX(APOIO_REDES!$A:$W,MATCH($C1433&amp;$I1433&amp;$H1433&amp;$N1433&amp;$O1433,APOIO_REDES!$W:$W,0),MATCH(AX$5,APOIO_REDES!$5:$5,0)),0)*$AP1433,0)</f>
        <v>6.01004293046083</v>
      </c>
      <c r="AY1433" s="153" t="n">
        <f aca="false">IFERROR(IF($N1433="VCA",INDEX(APOIO_REDES!$A:$W,MATCH($C1433&amp;$I1433&amp;$H1433&amp;$N1433&amp;$O1433,APOIO_REDES!$W:$W,0),MATCH(AY$5,APOIO_REDES!$5:$5,0)),0)*$AP1433,0)</f>
        <v>10.993937497103</v>
      </c>
      <c r="AZ1433" s="153" t="n">
        <f aca="false">IFERROR(IF($N1433="VCA",INDEX(APOIO_REDES!$A:$W,MATCH($C1433&amp;$I1433&amp;$H1433&amp;$N1433&amp;$O1433,APOIO_REDES!$W:$W,0),MATCH(AZ$5,APOIO_REDES!$5:$5,0)),0)*$AP1433,0)</f>
        <v>1.52152917725444</v>
      </c>
      <c r="BA1433" s="153" t="n">
        <f aca="false">IFERROR(IF(AND($N1433="VCA",$Q1433="LINEAR"),INDEX(APOIO_REDES!$A:$W,MATCH($C1433&amp;$I1433&amp;$H1433&amp;$N1433&amp;$O1433,APOIO_REDES!$W:$W,0),MATCH(BA$5,APOIO_REDES!$5:$5,0)),IF(AND($N1433="MND",$Q1433="EMBOQUE"),INDEX(APOIO_REDES!$A:$W,MATCH($C1433&amp;$I1433&amp;$H1433&amp;$N1433&amp;$O1433,APOIO_REDES!$W:$W,0),MATCH(BA$5,APOIO_REDES!$5:$5,0)),0))*$M1433/10,0)</f>
        <v>5.75546587397211</v>
      </c>
      <c r="BB1433" s="153" t="n">
        <f aca="false">IFERROR(IF($N1433="VCA",INDEX(APOIO_REDES!$A:$W,MATCH($C1433&amp;$I1433&amp;$H1433&amp;$N1433&amp;$O1433,APOIO_REDES!$W:$W,0),MATCH(BB$5,APOIO_REDES!$5:$5,0)),0)*($AI1433+$AQ1433+$AR1433),0)</f>
        <v>21.2570128052762</v>
      </c>
      <c r="BC1433" s="153" t="n">
        <f aca="false">IFERROR(IF($N1433="VCA",INDEX(APOIO_REDES!$A:$W,MATCH($C1433&amp;$I1433&amp;$H1433&amp;$N1433&amp;$O1433,APOIO_REDES!$W:$W,0),MATCH(BC$5,APOIO_REDES!$5:$5,0)),0)*($AI1433+$AQ1433+$AR1433),0)</f>
        <v>0.233826694723797</v>
      </c>
      <c r="BD1433" s="153" t="n">
        <f aca="false">IF(AND($N1433="VCA",$AF1433&gt;=1.25,$AF1433&lt;1.5),$M1433*$AF1433*2,0)</f>
        <v>194.66366</v>
      </c>
      <c r="BE1433" s="153" t="n">
        <f aca="false">IF(AND($N1433="VCA",$AF1433&gt;=1.5,$AF1433&lt;3),$M1433*$AF1433*2,0)</f>
        <v>0</v>
      </c>
      <c r="BF1433" s="153" t="n">
        <f aca="false">IF(AND($N1433="VCA",$AF1433&gt;=3),$M1433*$AF1433*2,0)</f>
        <v>0</v>
      </c>
      <c r="BG1433" s="153" t="n">
        <f aca="false">($BB1433+$BC1433)*$AK1433</f>
        <v>101.00694565</v>
      </c>
      <c r="BH1433" s="153" t="n">
        <f aca="false">IF(AND($M1433&lt;&gt;"",$N1433="VCA",$Q1433="LINEAR"),($M1433*2)/100,IF(AND($M1433&lt;&gt;"",$N1433="MND",$Q1433="EMBOQUE"),($AN1433*2)/100,0))</f>
        <v>1.4282</v>
      </c>
      <c r="BI1433" s="153" t="n">
        <f aca="false">IF(AND($M1433&lt;&gt;"",$N1433="VCA",$Q1433="LINEAR"),$M1433,IF(AND($M1433&lt;&gt;"",$N1433="MND",$Q1433="EMBOQUE"),$AN1433*2,0))</f>
        <v>71.41</v>
      </c>
      <c r="BJ1433" s="153" t="n">
        <f aca="false">IF(AND($M1433&lt;&gt;"",$N1433="VCA",$Q1433="LINEAR"),($M1433*6.8)/100,IF(AND($M1433&lt;&gt;"",$N1433="MND",$Q1433="EMBOQUE"),($AN1433*2*6.8)/100,0))</f>
        <v>4.85588</v>
      </c>
      <c r="BK1433" s="153" t="n">
        <f aca="false">IF(AND($M1433&lt;&gt;"",$N1433="VCA",$Q1433="LINEAR"),($M1433*2.5)/50,IF(AND($M1433&lt;&gt;"",$N1433="MND",$Q1433="EMBOQUE"),($AN1433*2*2.5)/50,0))</f>
        <v>3.5705</v>
      </c>
      <c r="BL1433" s="157" t="str">
        <f aca="false">K1433&amp;J1433</f>
        <v>Zona11REDES</v>
      </c>
      <c r="BM1433" s="152" t="s">
        <v>6084</v>
      </c>
      <c r="BN1433" s="152" t="s">
        <v>1560</v>
      </c>
      <c r="BO1433" s="152" t="s">
        <v>6822</v>
      </c>
      <c r="BP1433" s="152" t="s">
        <v>6950</v>
      </c>
      <c r="BQ1433" s="152" t="s">
        <v>6942</v>
      </c>
      <c r="BR1433" s="152" t="s">
        <v>6951</v>
      </c>
      <c r="BS1433" s="152" t="n">
        <v>204526.276</v>
      </c>
      <c r="BT1433" s="152" t="n">
        <v>8236037.068</v>
      </c>
      <c r="BU1433" s="152" t="n">
        <v>204461.25</v>
      </c>
      <c r="BV1433" s="152" t="n">
        <v>8236020.932</v>
      </c>
      <c r="BW1433" s="152" t="n">
        <v>-15.9374405</v>
      </c>
      <c r="BX1433" s="152" t="n">
        <v>-47.7601874</v>
      </c>
      <c r="BY1433" s="152" t="s">
        <v>6950</v>
      </c>
    </row>
    <row r="1434" customFormat="false" ht="13.8" hidden="false" customHeight="false" outlineLevel="0" collapsed="false">
      <c r="A1434" s="149" t="n">
        <f aca="false">IF(C1434&lt;&gt;"",ROW(A1429),"")</f>
        <v>1429</v>
      </c>
      <c r="B1434" s="150" t="str">
        <f aca="false">HYPERLINK("https://www.google.com/maps/dir/-15.917302,-47.760003/-15.9377152,-47.7595071/data=!4m3!4m2!3e0!5i1")</f>
        <v>https://www.google.com/maps/dir/-15.917302,-47.760003/-15.9377152,-47.7595071/data=!4m3!4m2!3e0!5i1</v>
      </c>
      <c r="C1434" s="151" t="s">
        <v>117</v>
      </c>
      <c r="D1434" s="152" t="s">
        <v>112</v>
      </c>
      <c r="E1434" s="152" t="s">
        <v>113</v>
      </c>
      <c r="F1434" s="152" t="s">
        <v>117</v>
      </c>
      <c r="G1434" s="152" t="s">
        <v>114</v>
      </c>
      <c r="H1434" s="152" t="n">
        <v>160</v>
      </c>
      <c r="I1434" s="152" t="s">
        <v>115</v>
      </c>
      <c r="J1434" s="152" t="s">
        <v>6</v>
      </c>
      <c r="K1434" s="152" t="s">
        <v>6081</v>
      </c>
      <c r="L1434" s="152" t="s">
        <v>120</v>
      </c>
      <c r="M1434" s="153" t="n">
        <f aca="false">4.58</f>
        <v>4.58</v>
      </c>
      <c r="N1434" s="152" t="s">
        <v>1548</v>
      </c>
      <c r="O1434" s="152" t="s">
        <v>1549</v>
      </c>
      <c r="P1434" s="152" t="s">
        <v>1550</v>
      </c>
      <c r="Q1434" s="152" t="s">
        <v>1551</v>
      </c>
      <c r="R1434" s="154" t="s">
        <v>6952</v>
      </c>
      <c r="S1434" s="154" t="s">
        <v>1593</v>
      </c>
      <c r="T1434" s="155" t="s">
        <v>6820</v>
      </c>
      <c r="U1434" s="152" t="str">
        <f aca="false">RIGHT(T1434,7)</f>
        <v>025/037</v>
      </c>
      <c r="V1434" s="152" t="s">
        <v>1555</v>
      </c>
      <c r="W1434" s="156" t="n">
        <v>45882</v>
      </c>
      <c r="X1434" s="152" t="s">
        <v>3938</v>
      </c>
      <c r="Y1434" s="152"/>
      <c r="Z1434" s="152" t="s">
        <v>1557</v>
      </c>
      <c r="AA1434" s="153" t="n">
        <v>4.5</v>
      </c>
      <c r="AB1434" s="151" t="s">
        <v>6953</v>
      </c>
      <c r="AC1434" s="151" t="s">
        <v>505</v>
      </c>
      <c r="AD1434" s="151" t="str">
        <f aca="false">CONCATENATE($C1434,$I1434,$H1434,$N1434,$J1434,$K1434)</f>
        <v>TUBO PEADPEAD160VCAREDESZona11</v>
      </c>
      <c r="AE1434" s="153" t="n">
        <f aca="false">IFERROR(INDEX(APOIO_REDES!$A:$W,MATCH($C1434&amp;$I1434&amp;$H1434&amp;$N1434&amp;$O1434,APOIO_REDES!$W:$W,0),MATCH(AE$5,APOIO_REDES!$5:$5,0)),0)</f>
        <v>1.2</v>
      </c>
      <c r="AF1434" s="153" t="n">
        <f aca="false">IFERROR(INDEX(APOIO_REDES!$A:$W,MATCH($C1434&amp;$I1434&amp;$H1434&amp;$N1434&amp;$O1434,APOIO_REDES!$W:$W,0),MATCH(AF$5,APOIO_REDES!$5:$5,0)),0)</f>
        <v>1.46</v>
      </c>
      <c r="AG1434" s="153" t="n">
        <f aca="false">IFERROR(INDEX(APOIO_REDES!$A:$W,MATCH($C1434&amp;$I1434&amp;$H1434&amp;$N1434&amp;$O1434,APOIO_REDES!$W:$W,0),MATCH(AG$5,APOIO_REDES!$5:$5,0)),0)</f>
        <v>0.75</v>
      </c>
      <c r="AH1434" s="153" t="n">
        <f aca="false">IFERROR(INDEX(APOIO_REDES!$A:$W,MATCH($C1434&amp;$I1434&amp;$H1434&amp;$N1434&amp;$O1434,APOIO_REDES!$W:$W,0),MATCH(AH$5,APOIO_REDES!$5:$5,0)),0)</f>
        <v>0.1</v>
      </c>
      <c r="AI1434" s="153" t="n">
        <f aca="false">IFERROR(IF($H1434&lt;&gt;"",(((($H1434/1000)/2)^2)*PI()*$M1434),0),0)</f>
        <v>0.092086363862024</v>
      </c>
      <c r="AJ1434" s="153" t="n">
        <f aca="false">IFERROR(IF(AND($H1434&lt;&gt;"",$I1434="FoFo",OR($N1434="MND",$N1434="VCA"),$Q1434="LINEAR"),0,IF(AND($H1434&lt;&gt;"",$I1434="PEAD",$N1434="VCA",$Q1434="LINEAR"),($H1434/1000)+0.3,IF(AND($H1434&lt;&gt;"",$I1434="PEAD",$N1434="MND",$Q1434="EMBOQUE"),0,IF(AND($H1434&lt;&gt;"",$I1434="PVC",$N1434="VCA",$Q1434="LINEAR"),($H1434/1000)+0.2,IF(AND($H1434&lt;&gt;"",$I1434="PVC",$N1434="MND",$Q1434="EMBOQUE"),0,IF(AND($H1434&lt;&gt;"",$I1434="PEAD",$N1434="VCA",$Q1434="PREDIAL"),0,0)))))),0)</f>
        <v>0.46</v>
      </c>
      <c r="AK1434" s="153" t="n">
        <f aca="false">IF(AA1434&lt;&gt;"",AA1434,0)</f>
        <v>4.5</v>
      </c>
      <c r="AL1434" s="153" t="n">
        <f aca="false">IF(AND($N1434="MND",$Q1434="EMBOQUE"),$M1434,IF(AND($N1434="VCA",$Q1434="LINEAR"),$M1434,IF(AND($N1434="VCA",$Q1434="PREDIAL"),0,0)))</f>
        <v>4.58</v>
      </c>
      <c r="AM1434" s="153" t="n">
        <f aca="false">IF(AND($N1434="MND",$Q1434="EMBOQUE"),$M1434,IF(AND($N1434="VCA",$Q1434="LINEAR"),$M1434,IF(AND($N1434="VCA",$Q1434="PREDIAL"),0,0)))</f>
        <v>4.58</v>
      </c>
      <c r="AN1434" s="153" t="n">
        <f aca="false">ROUND(IF(AND($N1434="VCA",$M1434&lt;&gt;"",$Q1434="LINEAR"),$M1434/100,IF(AND($N1434="MND",$M1434&gt;100,$Q1434="EMBOQUE"),$M1434/100,0)),0)</f>
        <v>0</v>
      </c>
      <c r="AO1434" s="153" t="n">
        <f aca="false">IF(AND($N1434="MND",$Q1434="EMBOQUE"),$AN1434*2*2,IF(AND($N1434="VCA",$Q1434="LINEAR"),$M1434*2,IF(AND($N1434="VCA",$Q1434="PREDIAL"),0,0)))</f>
        <v>9.16</v>
      </c>
      <c r="AP1434" s="153" t="n">
        <f aca="false">IFERROR($M1434*$AF1434*$AG1434,0)</f>
        <v>5.0151</v>
      </c>
      <c r="AQ1434" s="153" t="n">
        <f aca="false">IFERROR(IF(AND($N1434="VCA",$AH1434&gt;0),$M1434*$AG1434*$AH1434,0),0)</f>
        <v>0.3435</v>
      </c>
      <c r="AR1434" s="153" t="n">
        <f aca="false">IFERROR(IF(AND($N1434="VCA",$AJ1434&gt;0),($M1434*$AG1434*$AJ1434)-$AI1434,0),0)</f>
        <v>1.48801363613798</v>
      </c>
      <c r="AS1434" s="153" t="n">
        <f aca="false">IFERROR(IF(AND($N1434="VCA",$AP1434&gt;0),$AP1434-$AI1434-$AQ1434-$AR1434,0),0)</f>
        <v>3.0915</v>
      </c>
      <c r="AT1434" s="153" t="n">
        <f aca="false">IFERROR(IF($N1434="VCA",INDEX(APOIO_REDES!$A:$W,MATCH($C1434&amp;$I1434&amp;$H1434&amp;$N1434&amp;$O1434,APOIO_REDES!$W:$W,0),MATCH(AT$5,APOIO_REDES!$5:$5,0)),0)*$AP1434,0)</f>
        <v>0.0545657723938293</v>
      </c>
      <c r="AU1434" s="153" t="n">
        <f aca="false">IFERROR(IF($N1434="VCA",INDEX(APOIO_REDES!$A:$W,MATCH($C1434&amp;$I1434&amp;$H1434&amp;$N1434&amp;$O1434,APOIO_REDES!$W:$W,0),MATCH(AU$5,APOIO_REDES!$5:$5,0)),0)*$AP1434,0)</f>
        <v>0.0435747480051767</v>
      </c>
      <c r="AV1434" s="153" t="n">
        <f aca="false">IFERROR(IF($N1434="VCA",INDEX(APOIO_REDES!$A:$W,MATCH($C1434&amp;$I1434&amp;$H1434&amp;$N1434&amp;$O1434,APOIO_REDES!$W:$W,0),MATCH(AV$5,APOIO_REDES!$5:$5,0)),0)*$AP1434,0)</f>
        <v>0.0060304030487325</v>
      </c>
      <c r="AW1434" s="153" t="n">
        <f aca="false">IFERROR(IF($N1434="VCA",INDEX(APOIO_REDES!$A:$W,MATCH($C1434&amp;$I1434&amp;$H1434&amp;$N1434&amp;$O1434,APOIO_REDES!$W:$W,0),MATCH(AW$5,APOIO_REDES!$5:$5,0)),0)*$AP1434,0)</f>
        <v>3.44240349889102</v>
      </c>
      <c r="AX1434" s="153" t="n">
        <f aca="false">IFERROR(IF($N1434="VCA",INDEX(APOIO_REDES!$A:$W,MATCH($C1434&amp;$I1434&amp;$H1434&amp;$N1434&amp;$O1434,APOIO_REDES!$W:$W,0),MATCH(AX$5,APOIO_REDES!$5:$5,0)),0)*$AP1434,0)</f>
        <v>0.476418838374536</v>
      </c>
      <c r="AY1434" s="153" t="n">
        <f aca="false">IFERROR(IF($N1434="VCA",INDEX(APOIO_REDES!$A:$W,MATCH($C1434&amp;$I1434&amp;$H1434&amp;$N1434&amp;$O1434,APOIO_REDES!$W:$W,0),MATCH(AY$5,APOIO_REDES!$5:$5,0)),0)*$AP1434,0)</f>
        <v>0.871494428930888</v>
      </c>
      <c r="AZ1434" s="153" t="n">
        <f aca="false">IFERROR(IF($N1434="VCA",INDEX(APOIO_REDES!$A:$W,MATCH($C1434&amp;$I1434&amp;$H1434&amp;$N1434&amp;$O1434,APOIO_REDES!$W:$W,0),MATCH(AZ$5,APOIO_REDES!$5:$5,0)),0)*$AP1434,0)</f>
        <v>0.120612310355817</v>
      </c>
      <c r="BA1434" s="153" t="n">
        <f aca="false">IFERROR(IF(AND($N1434="VCA",$Q1434="LINEAR"),INDEX(APOIO_REDES!$A:$W,MATCH($C1434&amp;$I1434&amp;$H1434&amp;$N1434&amp;$O1434,APOIO_REDES!$W:$W,0),MATCH(BA$5,APOIO_REDES!$5:$5,0)),IF(AND($N1434="MND",$Q1434="EMBOQUE"),INDEX(APOIO_REDES!$A:$W,MATCH($C1434&amp;$I1434&amp;$H1434&amp;$N1434&amp;$O1434,APOIO_REDES!$W:$W,0),MATCH(BA$5,APOIO_REDES!$5:$5,0)),0))*$M1434/10,0)</f>
        <v>0.369136447315394</v>
      </c>
      <c r="BB1434" s="153" t="n">
        <f aca="false">IFERROR(IF($N1434="VCA",INDEX(APOIO_REDES!$A:$W,MATCH($C1434&amp;$I1434&amp;$H1434&amp;$N1434&amp;$O1434,APOIO_REDES!$W:$W,0),MATCH(BB$5,APOIO_REDES!$5:$5,0)),0)*($AI1434+$AQ1434+$AR1434),0)</f>
        <v>1.90267066264346</v>
      </c>
      <c r="BC1434" s="153" t="n">
        <f aca="false">IFERROR(IF($N1434="VCA",INDEX(APOIO_REDES!$A:$W,MATCH($C1434&amp;$I1434&amp;$H1434&amp;$N1434&amp;$O1434,APOIO_REDES!$W:$W,0),MATCH(BC$5,APOIO_REDES!$5:$5,0)),0)*($AI1434+$AQ1434+$AR1434),0)</f>
        <v>0.0209293373565373</v>
      </c>
      <c r="BD1434" s="153" t="n">
        <f aca="false">IF(AND($N1434="VCA",$AF1434&gt;=1.25,$AF1434&lt;1.5),$M1434*$AF1434*2,0)</f>
        <v>13.3736</v>
      </c>
      <c r="BE1434" s="153" t="n">
        <f aca="false">IF(AND($N1434="VCA",$AF1434&gt;=1.5,$AF1434&lt;3),$M1434*$AF1434*2,0)</f>
        <v>0</v>
      </c>
      <c r="BF1434" s="153" t="n">
        <f aca="false">IF(AND($N1434="VCA",$AF1434&gt;=3),$M1434*$AF1434*2,0)</f>
        <v>0</v>
      </c>
      <c r="BG1434" s="153" t="n">
        <f aca="false">($BB1434+$BC1434)*$AK1434</f>
        <v>8.6562</v>
      </c>
      <c r="BH1434" s="153" t="n">
        <f aca="false">IF(AND($M1434&lt;&gt;"",$N1434="VCA",$Q1434="LINEAR"),($M1434*2)/100,IF(AND($M1434&lt;&gt;"",$N1434="MND",$Q1434="EMBOQUE"),($AN1434*2)/100,0))</f>
        <v>0.0916</v>
      </c>
      <c r="BI1434" s="153" t="n">
        <f aca="false">IF(AND($M1434&lt;&gt;"",$N1434="VCA",$Q1434="LINEAR"),$M1434,IF(AND($M1434&lt;&gt;"",$N1434="MND",$Q1434="EMBOQUE"),$AN1434*2,0))</f>
        <v>4.58</v>
      </c>
      <c r="BJ1434" s="153" t="n">
        <f aca="false">IF(AND($M1434&lt;&gt;"",$N1434="VCA",$Q1434="LINEAR"),($M1434*6.8)/100,IF(AND($M1434&lt;&gt;"",$N1434="MND",$Q1434="EMBOQUE"),($AN1434*2*6.8)/100,0))</f>
        <v>0.31144</v>
      </c>
      <c r="BK1434" s="153" t="n">
        <f aca="false">IF(AND($M1434&lt;&gt;"",$N1434="VCA",$Q1434="LINEAR"),($M1434*2.5)/50,IF(AND($M1434&lt;&gt;"",$N1434="MND",$Q1434="EMBOQUE"),($AN1434*2*2.5)/50,0))</f>
        <v>0.229</v>
      </c>
      <c r="BL1434" s="157" t="str">
        <f aca="false">K1434&amp;J1434</f>
        <v>Zona11REDES</v>
      </c>
      <c r="BM1434" s="152" t="s">
        <v>6084</v>
      </c>
      <c r="BN1434" s="152" t="s">
        <v>1560</v>
      </c>
      <c r="BO1434" s="152" t="s">
        <v>6822</v>
      </c>
      <c r="BP1434" s="152" t="s">
        <v>6954</v>
      </c>
      <c r="BQ1434" s="152" t="s">
        <v>6938</v>
      </c>
      <c r="BR1434" s="152" t="s">
        <v>6955</v>
      </c>
      <c r="BS1434" s="152" t="n">
        <v>204567.072</v>
      </c>
      <c r="BT1434" s="152" t="n">
        <v>8235999.463</v>
      </c>
      <c r="BU1434" s="152" t="n">
        <v>204571.526</v>
      </c>
      <c r="BV1434" s="152" t="n">
        <v>8236000.546</v>
      </c>
      <c r="BW1434" s="152" t="n">
        <v>-15.9377114</v>
      </c>
      <c r="BX1434" s="152" t="n">
        <v>-47.7594861</v>
      </c>
      <c r="BY1434" s="152" t="s">
        <v>6954</v>
      </c>
    </row>
    <row r="1435" customFormat="false" ht="13.8" hidden="false" customHeight="false" outlineLevel="0" collapsed="false">
      <c r="A1435" s="149" t="n">
        <f aca="false">IF(C1435&lt;&gt;"",ROW(A1430),"")</f>
        <v>1430</v>
      </c>
      <c r="B1435" s="150" t="str">
        <f aca="false">HYPERLINK("https://www.google.com/maps/dir/-15.917302,-47.760003/-15.9377292,-47.7595038/data=!4m3!4m2!3e0!5i1")</f>
        <v>https://www.google.com/maps/dir/-15.917302,-47.760003/-15.9377292,-47.7595038/data=!4m3!4m2!3e0!5i1</v>
      </c>
      <c r="C1435" s="151" t="s">
        <v>117</v>
      </c>
      <c r="D1435" s="152" t="s">
        <v>112</v>
      </c>
      <c r="E1435" s="152" t="s">
        <v>113</v>
      </c>
      <c r="F1435" s="152" t="s">
        <v>117</v>
      </c>
      <c r="G1435" s="152" t="s">
        <v>114</v>
      </c>
      <c r="H1435" s="152" t="n">
        <v>160</v>
      </c>
      <c r="I1435" s="152" t="s">
        <v>115</v>
      </c>
      <c r="J1435" s="152" t="s">
        <v>6</v>
      </c>
      <c r="K1435" s="152" t="s">
        <v>6081</v>
      </c>
      <c r="L1435" s="152" t="s">
        <v>120</v>
      </c>
      <c r="M1435" s="153" t="n">
        <f aca="false">1.5</f>
        <v>1.5</v>
      </c>
      <c r="N1435" s="152" t="s">
        <v>1548</v>
      </c>
      <c r="O1435" s="152" t="s">
        <v>1549</v>
      </c>
      <c r="P1435" s="152" t="s">
        <v>1550</v>
      </c>
      <c r="Q1435" s="152" t="s">
        <v>1551</v>
      </c>
      <c r="R1435" s="154" t="s">
        <v>6956</v>
      </c>
      <c r="S1435" s="154" t="s">
        <v>1593</v>
      </c>
      <c r="T1435" s="155" t="s">
        <v>6820</v>
      </c>
      <c r="U1435" s="152" t="str">
        <f aca="false">RIGHT(T1435,7)</f>
        <v>025/037</v>
      </c>
      <c r="V1435" s="152" t="s">
        <v>1555</v>
      </c>
      <c r="W1435" s="156" t="n">
        <v>45882</v>
      </c>
      <c r="X1435" s="152" t="s">
        <v>3938</v>
      </c>
      <c r="Y1435" s="152"/>
      <c r="Z1435" s="152" t="s">
        <v>1557</v>
      </c>
      <c r="AA1435" s="153" t="n">
        <v>4.5</v>
      </c>
      <c r="AB1435" s="151" t="s">
        <v>6957</v>
      </c>
      <c r="AC1435" s="151" t="s">
        <v>505</v>
      </c>
      <c r="AD1435" s="151" t="str">
        <f aca="false">CONCATENATE($C1435,$I1435,$H1435,$N1435,$J1435,$K1435)</f>
        <v>TUBO PEADPEAD160VCAREDESZona11</v>
      </c>
      <c r="AE1435" s="153" t="n">
        <f aca="false">IFERROR(INDEX(APOIO_REDES!$A:$W,MATCH($C1435&amp;$I1435&amp;$H1435&amp;$N1435&amp;$O1435,APOIO_REDES!$W:$W,0),MATCH(AE$5,APOIO_REDES!$5:$5,0)),0)</f>
        <v>1.2</v>
      </c>
      <c r="AF1435" s="153" t="n">
        <f aca="false">IFERROR(INDEX(APOIO_REDES!$A:$W,MATCH($C1435&amp;$I1435&amp;$H1435&amp;$N1435&amp;$O1435,APOIO_REDES!$W:$W,0),MATCH(AF$5,APOIO_REDES!$5:$5,0)),0)</f>
        <v>1.46</v>
      </c>
      <c r="AG1435" s="153" t="n">
        <f aca="false">IFERROR(INDEX(APOIO_REDES!$A:$W,MATCH($C1435&amp;$I1435&amp;$H1435&amp;$N1435&amp;$O1435,APOIO_REDES!$W:$W,0),MATCH(AG$5,APOIO_REDES!$5:$5,0)),0)</f>
        <v>0.75</v>
      </c>
      <c r="AH1435" s="153" t="n">
        <f aca="false">IFERROR(INDEX(APOIO_REDES!$A:$W,MATCH($C1435&amp;$I1435&amp;$H1435&amp;$N1435&amp;$O1435,APOIO_REDES!$W:$W,0),MATCH(AH$5,APOIO_REDES!$5:$5,0)),0)</f>
        <v>0.1</v>
      </c>
      <c r="AI1435" s="153" t="n">
        <f aca="false">IFERROR(IF($H1435&lt;&gt;"",(((($H1435/1000)/2)^2)*PI()*$M1435),0),0)</f>
        <v>0.030159289474462</v>
      </c>
      <c r="AJ1435" s="153" t="n">
        <f aca="false">IFERROR(IF(AND($H1435&lt;&gt;"",$I1435="FoFo",OR($N1435="MND",$N1435="VCA"),$Q1435="LINEAR"),0,IF(AND($H1435&lt;&gt;"",$I1435="PEAD",$N1435="VCA",$Q1435="LINEAR"),($H1435/1000)+0.3,IF(AND($H1435&lt;&gt;"",$I1435="PEAD",$N1435="MND",$Q1435="EMBOQUE"),0,IF(AND($H1435&lt;&gt;"",$I1435="PVC",$N1435="VCA",$Q1435="LINEAR"),($H1435/1000)+0.2,IF(AND($H1435&lt;&gt;"",$I1435="PVC",$N1435="MND",$Q1435="EMBOQUE"),0,IF(AND($H1435&lt;&gt;"",$I1435="PEAD",$N1435="VCA",$Q1435="PREDIAL"),0,0)))))),0)</f>
        <v>0.46</v>
      </c>
      <c r="AK1435" s="153" t="n">
        <f aca="false">IF(AA1435&lt;&gt;"",AA1435,0)</f>
        <v>4.5</v>
      </c>
      <c r="AL1435" s="153" t="n">
        <f aca="false">IF(AND($N1435="MND",$Q1435="EMBOQUE"),$M1435,IF(AND($N1435="VCA",$Q1435="LINEAR"),$M1435,IF(AND($N1435="VCA",$Q1435="PREDIAL"),0,0)))</f>
        <v>1.5</v>
      </c>
      <c r="AM1435" s="153" t="n">
        <f aca="false">IF(AND($N1435="MND",$Q1435="EMBOQUE"),$M1435,IF(AND($N1435="VCA",$Q1435="LINEAR"),$M1435,IF(AND($N1435="VCA",$Q1435="PREDIAL"),0,0)))</f>
        <v>1.5</v>
      </c>
      <c r="AN1435" s="153" t="n">
        <f aca="false">ROUND(IF(AND($N1435="VCA",$M1435&lt;&gt;"",$Q1435="LINEAR"),$M1435/100,IF(AND($N1435="MND",$M1435&gt;100,$Q1435="EMBOQUE"),$M1435/100,0)),0)</f>
        <v>0</v>
      </c>
      <c r="AO1435" s="153" t="n">
        <f aca="false">IF(AND($N1435="MND",$Q1435="EMBOQUE"),$AN1435*2*2,IF(AND($N1435="VCA",$Q1435="LINEAR"),$M1435*2,IF(AND($N1435="VCA",$Q1435="PREDIAL"),0,0)))</f>
        <v>3</v>
      </c>
      <c r="AP1435" s="153" t="n">
        <f aca="false">IFERROR($M1435*$AF1435*$AG1435,0)</f>
        <v>1.6425</v>
      </c>
      <c r="AQ1435" s="153" t="n">
        <f aca="false">IFERROR(IF(AND($N1435="VCA",$AH1435&gt;0),$M1435*$AG1435*$AH1435,0),0)</f>
        <v>0.1125</v>
      </c>
      <c r="AR1435" s="153" t="n">
        <f aca="false">IFERROR(IF(AND($N1435="VCA",$AJ1435&gt;0),($M1435*$AG1435*$AJ1435)-$AI1435,0),0)</f>
        <v>0.487340710525538</v>
      </c>
      <c r="AS1435" s="153" t="n">
        <f aca="false">IFERROR(IF(AND($N1435="VCA",$AP1435&gt;0),$AP1435-$AI1435-$AQ1435-$AR1435,0),0)</f>
        <v>1.0125</v>
      </c>
      <c r="AT1435" s="153" t="n">
        <f aca="false">IFERROR(IF($N1435="VCA",INDEX(APOIO_REDES!$A:$W,MATCH($C1435&amp;$I1435&amp;$H1435&amp;$N1435&amp;$O1435,APOIO_REDES!$W:$W,0),MATCH(AT$5,APOIO_REDES!$5:$5,0)),0)*$AP1435,0)</f>
        <v>0.0178708861551843</v>
      </c>
      <c r="AU1435" s="153" t="n">
        <f aca="false">IFERROR(IF($N1435="VCA",INDEX(APOIO_REDES!$A:$W,MATCH($C1435&amp;$I1435&amp;$H1435&amp;$N1435&amp;$O1435,APOIO_REDES!$W:$W,0),MATCH(AU$5,APOIO_REDES!$5:$5,0)),0)*$AP1435,0)</f>
        <v>0.0142712056785513</v>
      </c>
      <c r="AV1435" s="153" t="n">
        <f aca="false">IFERROR(IF($N1435="VCA",INDEX(APOIO_REDES!$A:$W,MATCH($C1435&amp;$I1435&amp;$H1435&amp;$N1435&amp;$O1435,APOIO_REDES!$W:$W,0),MATCH(AV$5,APOIO_REDES!$5:$5,0)),0)*$AP1435,0)</f>
        <v>0.00197502283255431</v>
      </c>
      <c r="AW1435" s="153" t="n">
        <f aca="false">IFERROR(IF($N1435="VCA",INDEX(APOIO_REDES!$A:$W,MATCH($C1435&amp;$I1435&amp;$H1435&amp;$N1435&amp;$O1435,APOIO_REDES!$W:$W,0),MATCH(AW$5,APOIO_REDES!$5:$5,0)),0)*$AP1435,0)</f>
        <v>1.12742472671103</v>
      </c>
      <c r="AX1435" s="153" t="n">
        <f aca="false">IFERROR(IF($N1435="VCA",INDEX(APOIO_REDES!$A:$W,MATCH($C1435&amp;$I1435&amp;$H1435&amp;$N1435&amp;$O1435,APOIO_REDES!$W:$W,0),MATCH(AX$5,APOIO_REDES!$5:$5,0)),0)*$AP1435,0)</f>
        <v>0.156032370646682</v>
      </c>
      <c r="AY1435" s="153" t="n">
        <f aca="false">IFERROR(IF($N1435="VCA",INDEX(APOIO_REDES!$A:$W,MATCH($C1435&amp;$I1435&amp;$H1435&amp;$N1435&amp;$O1435,APOIO_REDES!$W:$W,0),MATCH(AY$5,APOIO_REDES!$5:$5,0)),0)*$AP1435,0)</f>
        <v>0.285423939606186</v>
      </c>
      <c r="AZ1435" s="153" t="n">
        <f aca="false">IFERROR(IF($N1435="VCA",INDEX(APOIO_REDES!$A:$W,MATCH($C1435&amp;$I1435&amp;$H1435&amp;$N1435&amp;$O1435,APOIO_REDES!$W:$W,0),MATCH(AZ$5,APOIO_REDES!$5:$5,0)),0)*$AP1435,0)</f>
        <v>0.0395018483698091</v>
      </c>
      <c r="BA1435" s="153" t="n">
        <f aca="false">IFERROR(IF(AND($N1435="VCA",$Q1435="LINEAR"),INDEX(APOIO_REDES!$A:$W,MATCH($C1435&amp;$I1435&amp;$H1435&amp;$N1435&amp;$O1435,APOIO_REDES!$W:$W,0),MATCH(BA$5,APOIO_REDES!$5:$5,0)),IF(AND($N1435="MND",$Q1435="EMBOQUE"),INDEX(APOIO_REDES!$A:$W,MATCH($C1435&amp;$I1435&amp;$H1435&amp;$N1435&amp;$O1435,APOIO_REDES!$W:$W,0),MATCH(BA$5,APOIO_REDES!$5:$5,0)),0))*$M1435/10,0)</f>
        <v>0.12089621636967</v>
      </c>
      <c r="BB1435" s="153" t="n">
        <f aca="false">IFERROR(IF($N1435="VCA",INDEX(APOIO_REDES!$A:$W,MATCH($C1435&amp;$I1435&amp;$H1435&amp;$N1435&amp;$O1435,APOIO_REDES!$W:$W,0),MATCH(BB$5,APOIO_REDES!$5:$5,0)),0)*($AI1435+$AQ1435+$AR1435),0)</f>
        <v>0.623145413529518</v>
      </c>
      <c r="BC1435" s="153" t="n">
        <f aca="false">IFERROR(IF($N1435="VCA",INDEX(APOIO_REDES!$A:$W,MATCH($C1435&amp;$I1435&amp;$H1435&amp;$N1435&amp;$O1435,APOIO_REDES!$W:$W,0),MATCH(BC$5,APOIO_REDES!$5:$5,0)),0)*($AI1435+$AQ1435+$AR1435),0)</f>
        <v>0.00685458647048164</v>
      </c>
      <c r="BD1435" s="153" t="n">
        <f aca="false">IF(AND($N1435="VCA",$AF1435&gt;=1.25,$AF1435&lt;1.5),$M1435*$AF1435*2,0)</f>
        <v>4.38</v>
      </c>
      <c r="BE1435" s="153" t="n">
        <f aca="false">IF(AND($N1435="VCA",$AF1435&gt;=1.5,$AF1435&lt;3),$M1435*$AF1435*2,0)</f>
        <v>0</v>
      </c>
      <c r="BF1435" s="153" t="n">
        <f aca="false">IF(AND($N1435="VCA",$AF1435&gt;=3),$M1435*$AF1435*2,0)</f>
        <v>0</v>
      </c>
      <c r="BG1435" s="153" t="n">
        <f aca="false">($BB1435+$BC1435)*$AK1435</f>
        <v>2.835</v>
      </c>
      <c r="BH1435" s="153" t="n">
        <f aca="false">IF(AND($M1435&lt;&gt;"",$N1435="VCA",$Q1435="LINEAR"),($M1435*2)/100,IF(AND($M1435&lt;&gt;"",$N1435="MND",$Q1435="EMBOQUE"),($AN1435*2)/100,0))</f>
        <v>0.03</v>
      </c>
      <c r="BI1435" s="153" t="n">
        <f aca="false">IF(AND($M1435&lt;&gt;"",$N1435="VCA",$Q1435="LINEAR"),$M1435,IF(AND($M1435&lt;&gt;"",$N1435="MND",$Q1435="EMBOQUE"),$AN1435*2,0))</f>
        <v>1.5</v>
      </c>
      <c r="BJ1435" s="153" t="n">
        <f aca="false">IF(AND($M1435&lt;&gt;"",$N1435="VCA",$Q1435="LINEAR"),($M1435*6.8)/100,IF(AND($M1435&lt;&gt;"",$N1435="MND",$Q1435="EMBOQUE"),($AN1435*2*6.8)/100,0))</f>
        <v>0.102</v>
      </c>
      <c r="BK1435" s="153" t="n">
        <f aca="false">IF(AND($M1435&lt;&gt;"",$N1435="VCA",$Q1435="LINEAR"),($M1435*2.5)/50,IF(AND($M1435&lt;&gt;"",$N1435="MND",$Q1435="EMBOQUE"),($AN1435*2*2.5)/50,0))</f>
        <v>0.075</v>
      </c>
      <c r="BL1435" s="157" t="str">
        <f aca="false">K1435&amp;J1435</f>
        <v>Zona11REDES</v>
      </c>
      <c r="BM1435" s="152" t="s">
        <v>6084</v>
      </c>
      <c r="BN1435" s="152" t="s">
        <v>1560</v>
      </c>
      <c r="BO1435" s="152" t="s">
        <v>6822</v>
      </c>
      <c r="BP1435" s="152" t="s">
        <v>6958</v>
      </c>
      <c r="BQ1435" s="152" t="s">
        <v>6954</v>
      </c>
      <c r="BR1435" s="152" t="s">
        <v>6727</v>
      </c>
      <c r="BS1435" s="152" t="n">
        <v>204567.427</v>
      </c>
      <c r="BT1435" s="152" t="n">
        <v>8235998.005</v>
      </c>
      <c r="BU1435" s="152" t="n">
        <v>204567.072</v>
      </c>
      <c r="BV1435" s="152" t="n">
        <v>8235999.463</v>
      </c>
      <c r="BW1435" s="152" t="n">
        <v>-15.9377226</v>
      </c>
      <c r="BX1435" s="152" t="n">
        <v>-47.7595054</v>
      </c>
      <c r="BY1435" s="152" t="s">
        <v>6958</v>
      </c>
    </row>
    <row r="1436" customFormat="false" ht="13.8" hidden="false" customHeight="false" outlineLevel="0" collapsed="false">
      <c r="A1436" s="149" t="n">
        <f aca="false">IF(C1436&lt;&gt;"",ROW(A1431),"")</f>
        <v>1431</v>
      </c>
      <c r="B1436" s="150" t="str">
        <f aca="false">HYPERLINK("https://www.google.com/maps/dir/-15.917302,-47.760003/-15.9377264,-47.7595570/data=!4m3!4m2!3e0!5i1")</f>
        <v>https://www.google.com/maps/dir/-15.917302,-47.760003/-15.9377264,-47.7595570/data=!4m3!4m2!3e0!5i1</v>
      </c>
      <c r="C1436" s="151" t="s">
        <v>117</v>
      </c>
      <c r="D1436" s="152" t="s">
        <v>112</v>
      </c>
      <c r="E1436" s="152" t="s">
        <v>113</v>
      </c>
      <c r="F1436" s="152" t="s">
        <v>117</v>
      </c>
      <c r="G1436" s="152" t="s">
        <v>114</v>
      </c>
      <c r="H1436" s="152" t="n">
        <v>160</v>
      </c>
      <c r="I1436" s="152" t="s">
        <v>115</v>
      </c>
      <c r="J1436" s="152" t="s">
        <v>6</v>
      </c>
      <c r="K1436" s="152" t="s">
        <v>6081</v>
      </c>
      <c r="L1436" s="152" t="s">
        <v>120</v>
      </c>
      <c r="M1436" s="153" t="n">
        <f aca="false">5.49</f>
        <v>5.49</v>
      </c>
      <c r="N1436" s="152" t="s">
        <v>1548</v>
      </c>
      <c r="O1436" s="152" t="s">
        <v>1549</v>
      </c>
      <c r="P1436" s="152" t="s">
        <v>1550</v>
      </c>
      <c r="Q1436" s="152" t="s">
        <v>1551</v>
      </c>
      <c r="R1436" s="154" t="s">
        <v>6959</v>
      </c>
      <c r="S1436" s="154" t="s">
        <v>1593</v>
      </c>
      <c r="T1436" s="155" t="s">
        <v>6820</v>
      </c>
      <c r="U1436" s="152" t="str">
        <f aca="false">RIGHT(T1436,7)</f>
        <v>025/037</v>
      </c>
      <c r="V1436" s="152" t="s">
        <v>1555</v>
      </c>
      <c r="W1436" s="156" t="n">
        <v>45882</v>
      </c>
      <c r="X1436" s="152" t="s">
        <v>3938</v>
      </c>
      <c r="Y1436" s="152" t="s">
        <v>6546</v>
      </c>
      <c r="Z1436" s="152" t="s">
        <v>1557</v>
      </c>
      <c r="AA1436" s="153" t="n">
        <v>4.5</v>
      </c>
      <c r="AB1436" s="151" t="s">
        <v>6960</v>
      </c>
      <c r="AC1436" s="151" t="s">
        <v>505</v>
      </c>
      <c r="AD1436" s="151" t="str">
        <f aca="false">CONCATENATE($C1436,$I1436,$H1436,$N1436,$J1436,$K1436)</f>
        <v>TUBO PEADPEAD160VCAREDESZona11</v>
      </c>
      <c r="AE1436" s="153" t="n">
        <f aca="false">IFERROR(INDEX(APOIO_REDES!$A:$W,MATCH($C1436&amp;$I1436&amp;$H1436&amp;$N1436&amp;$O1436,APOIO_REDES!$W:$W,0),MATCH(AE$5,APOIO_REDES!$5:$5,0)),0)</f>
        <v>1.2</v>
      </c>
      <c r="AF1436" s="153" t="n">
        <f aca="false">IFERROR(INDEX(APOIO_REDES!$A:$W,MATCH($C1436&amp;$I1436&amp;$H1436&amp;$N1436&amp;$O1436,APOIO_REDES!$W:$W,0),MATCH(AF$5,APOIO_REDES!$5:$5,0)),0)</f>
        <v>1.46</v>
      </c>
      <c r="AG1436" s="153" t="n">
        <f aca="false">IFERROR(INDEX(APOIO_REDES!$A:$W,MATCH($C1436&amp;$I1436&amp;$H1436&amp;$N1436&amp;$O1436,APOIO_REDES!$W:$W,0),MATCH(AG$5,APOIO_REDES!$5:$5,0)),0)</f>
        <v>0.75</v>
      </c>
      <c r="AH1436" s="153" t="n">
        <f aca="false">IFERROR(INDEX(APOIO_REDES!$A:$W,MATCH($C1436&amp;$I1436&amp;$H1436&amp;$N1436&amp;$O1436,APOIO_REDES!$W:$W,0),MATCH(AH$5,APOIO_REDES!$5:$5,0)),0)</f>
        <v>0.1</v>
      </c>
      <c r="AI1436" s="153" t="n">
        <f aca="false">IFERROR(IF($H1436&lt;&gt;"",(((($H1436/1000)/2)^2)*PI()*$M1436),0),0)</f>
        <v>0.110382999476531</v>
      </c>
      <c r="AJ1436" s="153" t="n">
        <f aca="false">IFERROR(IF(AND($H1436&lt;&gt;"",$I1436="FoFo",OR($N1436="MND",$N1436="VCA"),$Q1436="LINEAR"),0,IF(AND($H1436&lt;&gt;"",$I1436="PEAD",$N1436="VCA",$Q1436="LINEAR"),($H1436/1000)+0.3,IF(AND($H1436&lt;&gt;"",$I1436="PEAD",$N1436="MND",$Q1436="EMBOQUE"),0,IF(AND($H1436&lt;&gt;"",$I1436="PVC",$N1436="VCA",$Q1436="LINEAR"),($H1436/1000)+0.2,IF(AND($H1436&lt;&gt;"",$I1436="PVC",$N1436="MND",$Q1436="EMBOQUE"),0,IF(AND($H1436&lt;&gt;"",$I1436="PEAD",$N1436="VCA",$Q1436="PREDIAL"),0,0)))))),0)</f>
        <v>0.46</v>
      </c>
      <c r="AK1436" s="153" t="n">
        <f aca="false">IF(AA1436&lt;&gt;"",AA1436,0)</f>
        <v>4.5</v>
      </c>
      <c r="AL1436" s="153" t="n">
        <f aca="false">IF(AND($N1436="MND",$Q1436="EMBOQUE"),$M1436,IF(AND($N1436="VCA",$Q1436="LINEAR"),$M1436,IF(AND($N1436="VCA",$Q1436="PREDIAL"),0,0)))</f>
        <v>5.49</v>
      </c>
      <c r="AM1436" s="153" t="n">
        <f aca="false">IF(AND($N1436="MND",$Q1436="EMBOQUE"),$M1436,IF(AND($N1436="VCA",$Q1436="LINEAR"),$M1436,IF(AND($N1436="VCA",$Q1436="PREDIAL"),0,0)))</f>
        <v>5.49</v>
      </c>
      <c r="AN1436" s="153" t="n">
        <f aca="false">ROUND(IF(AND($N1436="VCA",$M1436&lt;&gt;"",$Q1436="LINEAR"),$M1436/100,IF(AND($N1436="MND",$M1436&gt;100,$Q1436="EMBOQUE"),$M1436/100,0)),0)</f>
        <v>0</v>
      </c>
      <c r="AO1436" s="153" t="n">
        <f aca="false">IF(AND($N1436="MND",$Q1436="EMBOQUE"),$AN1436*2*2,IF(AND($N1436="VCA",$Q1436="LINEAR"),$M1436*2,IF(AND($N1436="VCA",$Q1436="PREDIAL"),0,0)))</f>
        <v>10.98</v>
      </c>
      <c r="AP1436" s="153" t="n">
        <f aca="false">IFERROR($M1436*$AF1436*$AG1436,0)</f>
        <v>6.01155</v>
      </c>
      <c r="AQ1436" s="153" t="n">
        <f aca="false">IFERROR(IF(AND($N1436="VCA",$AH1436&gt;0),$M1436*$AG1436*$AH1436,0),0)</f>
        <v>0.41175</v>
      </c>
      <c r="AR1436" s="153" t="n">
        <f aca="false">IFERROR(IF(AND($N1436="VCA",$AJ1436&gt;0),($M1436*$AG1436*$AJ1436)-$AI1436,0),0)</f>
        <v>1.78366700052347</v>
      </c>
      <c r="AS1436" s="153" t="n">
        <f aca="false">IFERROR(IF(AND($N1436="VCA",$AP1436&gt;0),$AP1436-$AI1436-$AQ1436-$AR1436,0),0)</f>
        <v>3.70575</v>
      </c>
      <c r="AT1436" s="153" t="n">
        <f aca="false">IFERROR(IF($N1436="VCA",INDEX(APOIO_REDES!$A:$W,MATCH($C1436&amp;$I1436&amp;$H1436&amp;$N1436&amp;$O1436,APOIO_REDES!$W:$W,0),MATCH(AT$5,APOIO_REDES!$5:$5,0)),0)*$AP1436,0)</f>
        <v>0.0654074433279744</v>
      </c>
      <c r="AU1436" s="153" t="n">
        <f aca="false">IFERROR(IF($N1436="VCA",INDEX(APOIO_REDES!$A:$W,MATCH($C1436&amp;$I1436&amp;$H1436&amp;$N1436&amp;$O1436,APOIO_REDES!$W:$W,0),MATCH(AU$5,APOIO_REDES!$5:$5,0)),0)*$AP1436,0)</f>
        <v>0.0522326127834978</v>
      </c>
      <c r="AV1436" s="153" t="n">
        <f aca="false">IFERROR(IF($N1436="VCA",INDEX(APOIO_REDES!$A:$W,MATCH($C1436&amp;$I1436&amp;$H1436&amp;$N1436&amp;$O1436,APOIO_REDES!$W:$W,0),MATCH(AV$5,APOIO_REDES!$5:$5,0)),0)*$AP1436,0)</f>
        <v>0.00722858356714879</v>
      </c>
      <c r="AW1436" s="153" t="n">
        <f aca="false">IFERROR(IF($N1436="VCA",INDEX(APOIO_REDES!$A:$W,MATCH($C1436&amp;$I1436&amp;$H1436&amp;$N1436&amp;$O1436,APOIO_REDES!$W:$W,0),MATCH(AW$5,APOIO_REDES!$5:$5,0)),0)*$AP1436,0)</f>
        <v>4.12637449976238</v>
      </c>
      <c r="AX1436" s="153" t="n">
        <f aca="false">IFERROR(IF($N1436="VCA",INDEX(APOIO_REDES!$A:$W,MATCH($C1436&amp;$I1436&amp;$H1436&amp;$N1436&amp;$O1436,APOIO_REDES!$W:$W,0),MATCH(AX$5,APOIO_REDES!$5:$5,0)),0)*$AP1436,0)</f>
        <v>0.571078476566857</v>
      </c>
      <c r="AY1436" s="153" t="n">
        <f aca="false">IFERROR(IF($N1436="VCA",INDEX(APOIO_REDES!$A:$W,MATCH($C1436&amp;$I1436&amp;$H1436&amp;$N1436&amp;$O1436,APOIO_REDES!$W:$W,0),MATCH(AY$5,APOIO_REDES!$5:$5,0)),0)*$AP1436,0)</f>
        <v>1.04465161895864</v>
      </c>
      <c r="AZ1436" s="153" t="n">
        <f aca="false">IFERROR(IF($N1436="VCA",INDEX(APOIO_REDES!$A:$W,MATCH($C1436&amp;$I1436&amp;$H1436&amp;$N1436&amp;$O1436,APOIO_REDES!$W:$W,0),MATCH(AZ$5,APOIO_REDES!$5:$5,0)),0)*$AP1436,0)</f>
        <v>0.144576765033501</v>
      </c>
      <c r="BA1436" s="153" t="n">
        <f aca="false">IFERROR(IF(AND($N1436="VCA",$Q1436="LINEAR"),INDEX(APOIO_REDES!$A:$W,MATCH($C1436&amp;$I1436&amp;$H1436&amp;$N1436&amp;$O1436,APOIO_REDES!$W:$W,0),MATCH(BA$5,APOIO_REDES!$5:$5,0)),IF(AND($N1436="MND",$Q1436="EMBOQUE"),INDEX(APOIO_REDES!$A:$W,MATCH($C1436&amp;$I1436&amp;$H1436&amp;$N1436&amp;$O1436,APOIO_REDES!$W:$W,0),MATCH(BA$5,APOIO_REDES!$5:$5,0)),0))*$M1436/10,0)</f>
        <v>0.442480151912994</v>
      </c>
      <c r="BB1436" s="153" t="n">
        <f aca="false">IFERROR(IF($N1436="VCA",INDEX(APOIO_REDES!$A:$W,MATCH($C1436&amp;$I1436&amp;$H1436&amp;$N1436&amp;$O1436,APOIO_REDES!$W:$W,0),MATCH(BB$5,APOIO_REDES!$5:$5,0)),0)*($AI1436+$AQ1436+$AR1436),0)</f>
        <v>2.28071221351804</v>
      </c>
      <c r="BC1436" s="153" t="n">
        <f aca="false">IFERROR(IF($N1436="VCA",INDEX(APOIO_REDES!$A:$W,MATCH($C1436&amp;$I1436&amp;$H1436&amp;$N1436&amp;$O1436,APOIO_REDES!$W:$W,0),MATCH(BC$5,APOIO_REDES!$5:$5,0)),0)*($AI1436+$AQ1436+$AR1436),0)</f>
        <v>0.0250877864819628</v>
      </c>
      <c r="BD1436" s="153" t="n">
        <f aca="false">IF(AND($N1436="VCA",$AF1436&gt;=1.25,$AF1436&lt;1.5),$M1436*$AF1436*2,0)</f>
        <v>16.0308</v>
      </c>
      <c r="BE1436" s="153" t="n">
        <f aca="false">IF(AND($N1436="VCA",$AF1436&gt;=1.5,$AF1436&lt;3),$M1436*$AF1436*2,0)</f>
        <v>0</v>
      </c>
      <c r="BF1436" s="153" t="n">
        <f aca="false">IF(AND($N1436="VCA",$AF1436&gt;=3),$M1436*$AF1436*2,0)</f>
        <v>0</v>
      </c>
      <c r="BG1436" s="153" t="n">
        <f aca="false">($BB1436+$BC1436)*$AK1436</f>
        <v>10.3761</v>
      </c>
      <c r="BH1436" s="153" t="n">
        <f aca="false">IF(AND($M1436&lt;&gt;"",$N1436="VCA",$Q1436="LINEAR"),($M1436*2)/100,IF(AND($M1436&lt;&gt;"",$N1436="MND",$Q1436="EMBOQUE"),($AN1436*2)/100,0))</f>
        <v>0.1098</v>
      </c>
      <c r="BI1436" s="153" t="n">
        <f aca="false">IF(AND($M1436&lt;&gt;"",$N1436="VCA",$Q1436="LINEAR"),$M1436,IF(AND($M1436&lt;&gt;"",$N1436="MND",$Q1436="EMBOQUE"),$AN1436*2,0))</f>
        <v>5.49</v>
      </c>
      <c r="BJ1436" s="153" t="n">
        <f aca="false">IF(AND($M1436&lt;&gt;"",$N1436="VCA",$Q1436="LINEAR"),($M1436*6.8)/100,IF(AND($M1436&lt;&gt;"",$N1436="MND",$Q1436="EMBOQUE"),($AN1436*2*6.8)/100,0))</f>
        <v>0.37332</v>
      </c>
      <c r="BK1436" s="153" t="n">
        <f aca="false">IF(AND($M1436&lt;&gt;"",$N1436="VCA",$Q1436="LINEAR"),($M1436*2.5)/50,IF(AND($M1436&lt;&gt;"",$N1436="MND",$Q1436="EMBOQUE"),($AN1436*2*2.5)/50,0))</f>
        <v>0.2745</v>
      </c>
      <c r="BL1436" s="157" t="str">
        <f aca="false">K1436&amp;J1436</f>
        <v>Zona11REDES</v>
      </c>
      <c r="BM1436" s="152" t="s">
        <v>6084</v>
      </c>
      <c r="BN1436" s="152" t="s">
        <v>1560</v>
      </c>
      <c r="BO1436" s="152" t="s">
        <v>6822</v>
      </c>
      <c r="BP1436" s="152" t="s">
        <v>6946</v>
      </c>
      <c r="BQ1436" s="152" t="s">
        <v>6958</v>
      </c>
      <c r="BR1436" s="152" t="s">
        <v>6727</v>
      </c>
      <c r="BS1436" s="152" t="n">
        <v>204562.097</v>
      </c>
      <c r="BT1436" s="152" t="n">
        <v>8235996.709</v>
      </c>
      <c r="BU1436" s="152" t="n">
        <v>204567.427</v>
      </c>
      <c r="BV1436" s="152" t="n">
        <v>8235998.005</v>
      </c>
      <c r="BW1436" s="152" t="n">
        <v>-15.9377348</v>
      </c>
      <c r="BX1436" s="152" t="n">
        <v>-47.7595287</v>
      </c>
      <c r="BY1436" s="152" t="s">
        <v>6946</v>
      </c>
    </row>
    <row r="1437" customFormat="false" ht="13.8" hidden="false" customHeight="false" outlineLevel="0" collapsed="false">
      <c r="A1437" s="149" t="n">
        <f aca="false">IF(C1437&lt;&gt;"",ROW(A1432),"")</f>
        <v>1432</v>
      </c>
      <c r="B1437" s="150" t="str">
        <f aca="false">HYPERLINK("https://www.google.com/maps/dir/-15.917302,-47.760003/-15.9379563,-47.7604093/data=!4m3!4m2!3e0!5i1")</f>
        <v>https://www.google.com/maps/dir/-15.917302,-47.760003/-15.9379563,-47.7604093/data=!4m3!4m2!3e0!5i1</v>
      </c>
      <c r="C1437" s="151" t="s">
        <v>117</v>
      </c>
      <c r="D1437" s="152" t="s">
        <v>112</v>
      </c>
      <c r="E1437" s="152" t="s">
        <v>113</v>
      </c>
      <c r="F1437" s="152" t="s">
        <v>117</v>
      </c>
      <c r="G1437" s="152" t="s">
        <v>782</v>
      </c>
      <c r="H1437" s="152" t="n">
        <v>90</v>
      </c>
      <c r="I1437" s="152" t="s">
        <v>115</v>
      </c>
      <c r="J1437" s="152" t="s">
        <v>6</v>
      </c>
      <c r="K1437" s="152" t="s">
        <v>6081</v>
      </c>
      <c r="L1437" s="152" t="s">
        <v>120</v>
      </c>
      <c r="M1437" s="153" t="n">
        <f aca="false">48.76+1.57</f>
        <v>50.33</v>
      </c>
      <c r="N1437" s="152" t="s">
        <v>1548</v>
      </c>
      <c r="O1437" s="152" t="s">
        <v>1549</v>
      </c>
      <c r="P1437" s="152" t="s">
        <v>1550</v>
      </c>
      <c r="Q1437" s="152" t="s">
        <v>1551</v>
      </c>
      <c r="R1437" s="154" t="s">
        <v>6961</v>
      </c>
      <c r="S1437" s="154" t="s">
        <v>1593</v>
      </c>
      <c r="T1437" s="155" t="s">
        <v>6820</v>
      </c>
      <c r="U1437" s="152" t="str">
        <f aca="false">RIGHT(T1437,7)</f>
        <v>025/037</v>
      </c>
      <c r="V1437" s="152" t="s">
        <v>1555</v>
      </c>
      <c r="W1437" s="156" t="n">
        <v>45882</v>
      </c>
      <c r="X1437" s="152" t="s">
        <v>3938</v>
      </c>
      <c r="Y1437" s="152" t="s">
        <v>6962</v>
      </c>
      <c r="Z1437" s="152" t="s">
        <v>1557</v>
      </c>
      <c r="AA1437" s="153" t="n">
        <v>4.5</v>
      </c>
      <c r="AB1437" s="151" t="s">
        <v>6963</v>
      </c>
      <c r="AC1437" s="151" t="s">
        <v>526</v>
      </c>
      <c r="AD1437" s="151" t="str">
        <f aca="false">CONCATENATE($C1437,$I1437,$H1437,$N1437,$J1437,$K1437)</f>
        <v>TUBO PEADPEAD90VCAREDESZona11</v>
      </c>
      <c r="AE1437" s="153" t="n">
        <f aca="false">IFERROR(INDEX(APOIO_REDES!$A:$W,MATCH($C1437&amp;$I1437&amp;$H1437&amp;$N1437&amp;$O1437,APOIO_REDES!$W:$W,0),MATCH(AE$5,APOIO_REDES!$5:$5,0)),0)</f>
        <v>1.2</v>
      </c>
      <c r="AF1437" s="153" t="n">
        <f aca="false">IFERROR(INDEX(APOIO_REDES!$A:$W,MATCH($C1437&amp;$I1437&amp;$H1437&amp;$N1437&amp;$O1437,APOIO_REDES!$W:$W,0),MATCH(AF$5,APOIO_REDES!$5:$5,0)),0)</f>
        <v>1.39</v>
      </c>
      <c r="AG1437" s="153" t="n">
        <f aca="false">IFERROR(INDEX(APOIO_REDES!$A:$W,MATCH($C1437&amp;$I1437&amp;$H1437&amp;$N1437&amp;$O1437,APOIO_REDES!$W:$W,0),MATCH(AG$5,APOIO_REDES!$5:$5,0)),0)</f>
        <v>0.75</v>
      </c>
      <c r="AH1437" s="153" t="n">
        <f aca="false">IFERROR(INDEX(APOIO_REDES!$A:$W,MATCH($C1437&amp;$I1437&amp;$H1437&amp;$N1437&amp;$O1437,APOIO_REDES!$W:$W,0),MATCH(AH$5,APOIO_REDES!$5:$5,0)),0)</f>
        <v>0.1</v>
      </c>
      <c r="AI1437" s="153" t="n">
        <f aca="false">IFERROR(IF($H1437&lt;&gt;"",(((($H1437/1000)/2)^2)*PI()*$M1437),0),0)</f>
        <v>0.320185625466728</v>
      </c>
      <c r="AJ1437" s="153" t="n">
        <f aca="false">IFERROR(IF(AND($H1437&lt;&gt;"",$I1437="FoFo",OR($N1437="MND",$N1437="VCA"),$Q1437="LINEAR"),0,IF(AND($H1437&lt;&gt;"",$I1437="PEAD",$N1437="VCA",$Q1437="LINEAR"),($H1437/1000)+0.3,IF(AND($H1437&lt;&gt;"",$I1437="PEAD",$N1437="MND",$Q1437="EMBOQUE"),0,IF(AND($H1437&lt;&gt;"",$I1437="PVC",$N1437="VCA",$Q1437="LINEAR"),($H1437/1000)+0.2,IF(AND($H1437&lt;&gt;"",$I1437="PVC",$N1437="MND",$Q1437="EMBOQUE"),0,IF(AND($H1437&lt;&gt;"",$I1437="PEAD",$N1437="VCA",$Q1437="PREDIAL"),0,0)))))),0)</f>
        <v>0.39</v>
      </c>
      <c r="AK1437" s="153" t="n">
        <f aca="false">IF(AA1437&lt;&gt;"",AA1437,0)</f>
        <v>4.5</v>
      </c>
      <c r="AL1437" s="153" t="n">
        <f aca="false">IF(AND($N1437="MND",$Q1437="EMBOQUE"),$M1437,IF(AND($N1437="VCA",$Q1437="LINEAR"),$M1437,IF(AND($N1437="VCA",$Q1437="PREDIAL"),0,0)))</f>
        <v>50.33</v>
      </c>
      <c r="AM1437" s="153" t="n">
        <f aca="false">IF(AND($N1437="MND",$Q1437="EMBOQUE"),$M1437,IF(AND($N1437="VCA",$Q1437="LINEAR"),$M1437,IF(AND($N1437="VCA",$Q1437="PREDIAL"),0,0)))</f>
        <v>50.33</v>
      </c>
      <c r="AN1437" s="153" t="n">
        <f aca="false">ROUND(IF(AND($N1437="VCA",$M1437&lt;&gt;"",$Q1437="LINEAR"),$M1437/100,IF(AND($N1437="MND",$M1437&gt;100,$Q1437="EMBOQUE"),$M1437/100,0)),0)</f>
        <v>1</v>
      </c>
      <c r="AO1437" s="153" t="n">
        <f aca="false">IF(AND($N1437="MND",$Q1437="EMBOQUE"),$AN1437*2*2,IF(AND($N1437="VCA",$Q1437="LINEAR"),$M1437*2,IF(AND($N1437="VCA",$Q1437="PREDIAL"),0,0)))</f>
        <v>100.66</v>
      </c>
      <c r="AP1437" s="153" t="n">
        <f aca="false">IFERROR($M1437*$AF1437*$AG1437,0)</f>
        <v>52.469025</v>
      </c>
      <c r="AQ1437" s="153" t="n">
        <f aca="false">IFERROR(IF(AND($N1437="VCA",$AH1437&gt;0),$M1437*$AG1437*$AH1437,0),0)</f>
        <v>3.77475</v>
      </c>
      <c r="AR1437" s="153" t="n">
        <f aca="false">IFERROR(IF(AND($N1437="VCA",$AJ1437&gt;0),($M1437*$AG1437*$AJ1437)-$AI1437,0),0)</f>
        <v>14.4013393745333</v>
      </c>
      <c r="AS1437" s="153" t="n">
        <f aca="false">IFERROR(IF(AND($N1437="VCA",$AP1437&gt;0),$AP1437-$AI1437-$AQ1437-$AR1437,0),0)</f>
        <v>33.97275</v>
      </c>
      <c r="AT1437" s="153" t="n">
        <f aca="false">IFERROR(IF($N1437="VCA",INDEX(APOIO_REDES!$A:$W,MATCH($C1437&amp;$I1437&amp;$H1437&amp;$N1437&amp;$O1437,APOIO_REDES!$W:$W,0),MATCH(AT$5,APOIO_REDES!$5:$5,0)),0)*$AP1437,0)</f>
        <v>0.570878522038671</v>
      </c>
      <c r="AU1437" s="153" t="n">
        <f aca="false">IFERROR(IF($N1437="VCA",INDEX(APOIO_REDES!$A:$W,MATCH($C1437&amp;$I1437&amp;$H1437&amp;$N1437&amp;$O1437,APOIO_REDES!$W:$W,0),MATCH(AU$5,APOIO_REDES!$5:$5,0)),0)*$AP1437,0)</f>
        <v>0.45588812634889</v>
      </c>
      <c r="AV1437" s="153" t="n">
        <f aca="false">IFERROR(IF($N1437="VCA",INDEX(APOIO_REDES!$A:$W,MATCH($C1437&amp;$I1437&amp;$H1437&amp;$N1437&amp;$O1437,APOIO_REDES!$W:$W,0),MATCH(AV$5,APOIO_REDES!$5:$5,0)),0)*$AP1437,0)</f>
        <v>0.0630913378245742</v>
      </c>
      <c r="AW1437" s="153" t="n">
        <f aca="false">IFERROR(IF($N1437="VCA",INDEX(APOIO_REDES!$A:$W,MATCH($C1437&amp;$I1437&amp;$H1437&amp;$N1437&amp;$O1437,APOIO_REDES!$W:$W,0),MATCH(AW$5,APOIO_REDES!$5:$5,0)),0)*$AP1437,0)</f>
        <v>36.0151453098444</v>
      </c>
      <c r="AX1437" s="153" t="n">
        <f aca="false">IFERROR(IF($N1437="VCA",INDEX(APOIO_REDES!$A:$W,MATCH($C1437&amp;$I1437&amp;$H1437&amp;$N1437&amp;$O1437,APOIO_REDES!$W:$W,0),MATCH(AX$5,APOIO_REDES!$5:$5,0)),0)*$AP1437,0)</f>
        <v>4.98439351979911</v>
      </c>
      <c r="AY1437" s="153" t="n">
        <f aca="false">IFERROR(IF($N1437="VCA",INDEX(APOIO_REDES!$A:$W,MATCH($C1437&amp;$I1437&amp;$H1437&amp;$N1437&amp;$O1437,APOIO_REDES!$W:$W,0),MATCH(AY$5,APOIO_REDES!$5:$5,0)),0)*$AP1437,0)</f>
        <v>9.11775696973849</v>
      </c>
      <c r="AZ1437" s="153" t="n">
        <f aca="false">IFERROR(IF($N1437="VCA",INDEX(APOIO_REDES!$A:$W,MATCH($C1437&amp;$I1437&amp;$H1437&amp;$N1437&amp;$O1437,APOIO_REDES!$W:$W,0),MATCH(AZ$5,APOIO_REDES!$5:$5,0)),0)*$AP1437,0)</f>
        <v>1.26187121440592</v>
      </c>
      <c r="BA1437" s="153" t="n">
        <f aca="false">IFERROR(IF(AND($N1437="VCA",$Q1437="LINEAR"),INDEX(APOIO_REDES!$A:$W,MATCH($C1437&amp;$I1437&amp;$H1437&amp;$N1437&amp;$O1437,APOIO_REDES!$W:$W,0),MATCH(BA$5,APOIO_REDES!$5:$5,0)),IF(AND($N1437="MND",$Q1437="EMBOQUE"),INDEX(APOIO_REDES!$A:$W,MATCH($C1437&amp;$I1437&amp;$H1437&amp;$N1437&amp;$O1437,APOIO_REDES!$W:$W,0),MATCH(BA$5,APOIO_REDES!$5:$5,0)),0))*$M1437/10,0)</f>
        <v>4.05647104659034</v>
      </c>
      <c r="BB1437" s="153" t="n">
        <f aca="false">IFERROR(IF($N1437="VCA",INDEX(APOIO_REDES!$A:$W,MATCH($C1437&amp;$I1437&amp;$H1437&amp;$N1437&amp;$O1437,APOIO_REDES!$W:$W,0),MATCH(BB$5,APOIO_REDES!$5:$5,0)),0)*($AI1437+$AQ1437+$AR1437),0)</f>
        <v>18.2950300533821</v>
      </c>
      <c r="BC1437" s="153" t="n">
        <f aca="false">IFERROR(IF($N1437="VCA",INDEX(APOIO_REDES!$A:$W,MATCH($C1437&amp;$I1437&amp;$H1437&amp;$N1437&amp;$O1437,APOIO_REDES!$W:$W,0),MATCH(BC$5,APOIO_REDES!$5:$5,0)),0)*($AI1437+$AQ1437+$AR1437),0)</f>
        <v>0.201244946617949</v>
      </c>
      <c r="BD1437" s="153" t="n">
        <f aca="false">IF(AND($N1437="VCA",$AF1437&gt;=1.25,$AF1437&lt;1.5),$M1437*$AF1437*2,0)</f>
        <v>139.9174</v>
      </c>
      <c r="BE1437" s="153" t="n">
        <f aca="false">IF(AND($N1437="VCA",$AF1437&gt;=1.5,$AF1437&lt;3),$M1437*$AF1437*2,0)</f>
        <v>0</v>
      </c>
      <c r="BF1437" s="153" t="n">
        <f aca="false">IF(AND($N1437="VCA",$AF1437&gt;=3),$M1437*$AF1437*2,0)</f>
        <v>0</v>
      </c>
      <c r="BG1437" s="153" t="n">
        <f aca="false">($BB1437+$BC1437)*$AK1437</f>
        <v>83.2332375</v>
      </c>
      <c r="BH1437" s="153" t="n">
        <f aca="false">IF(AND($M1437&lt;&gt;"",$N1437="VCA",$Q1437="LINEAR"),($M1437*2)/100,IF(AND($M1437&lt;&gt;"",$N1437="MND",$Q1437="EMBOQUE"),($AN1437*2)/100,0))</f>
        <v>1.0066</v>
      </c>
      <c r="BI1437" s="153" t="n">
        <f aca="false">IF(AND($M1437&lt;&gt;"",$N1437="VCA",$Q1437="LINEAR"),$M1437,IF(AND($M1437&lt;&gt;"",$N1437="MND",$Q1437="EMBOQUE"),$AN1437*2,0))</f>
        <v>50.33</v>
      </c>
      <c r="BJ1437" s="153" t="n">
        <f aca="false">IF(AND($M1437&lt;&gt;"",$N1437="VCA",$Q1437="LINEAR"),($M1437*6.8)/100,IF(AND($M1437&lt;&gt;"",$N1437="MND",$Q1437="EMBOQUE"),($AN1437*2*6.8)/100,0))</f>
        <v>3.42244</v>
      </c>
      <c r="BK1437" s="153" t="n">
        <f aca="false">IF(AND($M1437&lt;&gt;"",$N1437="VCA",$Q1437="LINEAR"),($M1437*2.5)/50,IF(AND($M1437&lt;&gt;"",$N1437="MND",$Q1437="EMBOQUE"),($AN1437*2*2.5)/50,0))</f>
        <v>2.5165</v>
      </c>
      <c r="BL1437" s="157" t="str">
        <f aca="false">K1437&amp;J1437</f>
        <v>Zona11REDES</v>
      </c>
      <c r="BM1437" s="152" t="s">
        <v>6084</v>
      </c>
      <c r="BN1437" s="152" t="s">
        <v>1560</v>
      </c>
      <c r="BO1437" s="152" t="s">
        <v>6822</v>
      </c>
      <c r="BP1437" s="152" t="s">
        <v>6757</v>
      </c>
      <c r="BQ1437" s="152" t="s">
        <v>6942</v>
      </c>
      <c r="BR1437" s="152" t="s">
        <v>6964</v>
      </c>
      <c r="BS1437" s="152" t="n">
        <v>204470.754</v>
      </c>
      <c r="BT1437" s="152" t="n">
        <v>8235971.575</v>
      </c>
      <c r="BU1437" s="152" t="n">
        <v>204461.186</v>
      </c>
      <c r="BV1437" s="152" t="n">
        <v>8236019.361</v>
      </c>
      <c r="BW1437" s="152" t="n">
        <v>-15.9377407</v>
      </c>
      <c r="BX1437" s="152" t="n">
        <v>-47.760455</v>
      </c>
      <c r="BY1437" s="152" t="s">
        <v>6757</v>
      </c>
    </row>
    <row r="1438" customFormat="false" ht="13.8" hidden="false" customHeight="false" outlineLevel="0" collapsed="false">
      <c r="A1438" s="149" t="n">
        <f aca="false">IF(C1438&lt;&gt;"",ROW(A1433),"")</f>
        <v>1433</v>
      </c>
      <c r="B1438" s="150" t="str">
        <f aca="false">HYPERLINK("https://www.google.com/maps/dir/-15.917302,-47.760003/-15.9379563,-47.7604093/data=!4m3!4m2!3e0!5i1")</f>
        <v>https://www.google.com/maps/dir/-15.917302,-47.760003/-15.9379563,-47.7604093/data=!4m3!4m2!3e0!5i1</v>
      </c>
      <c r="C1438" s="151" t="s">
        <v>117</v>
      </c>
      <c r="D1438" s="152" t="s">
        <v>112</v>
      </c>
      <c r="E1438" s="152" t="s">
        <v>113</v>
      </c>
      <c r="F1438" s="152" t="s">
        <v>117</v>
      </c>
      <c r="G1438" s="152" t="s">
        <v>114</v>
      </c>
      <c r="H1438" s="152" t="n">
        <v>160</v>
      </c>
      <c r="I1438" s="152" t="s">
        <v>115</v>
      </c>
      <c r="J1438" s="152" t="s">
        <v>6</v>
      </c>
      <c r="K1438" s="152" t="s">
        <v>6081</v>
      </c>
      <c r="L1438" s="152" t="s">
        <v>120</v>
      </c>
      <c r="M1438" s="153" t="n">
        <f aca="false">94.83+0.36</f>
        <v>95.19</v>
      </c>
      <c r="N1438" s="152" t="s">
        <v>1548</v>
      </c>
      <c r="O1438" s="152" t="s">
        <v>1549</v>
      </c>
      <c r="P1438" s="152" t="s">
        <v>1550</v>
      </c>
      <c r="Q1438" s="152" t="s">
        <v>1551</v>
      </c>
      <c r="R1438" s="154" t="s">
        <v>6965</v>
      </c>
      <c r="S1438" s="154" t="s">
        <v>1593</v>
      </c>
      <c r="T1438" s="155" t="s">
        <v>6820</v>
      </c>
      <c r="U1438" s="152" t="str">
        <f aca="false">RIGHT(T1438,7)</f>
        <v>025/037</v>
      </c>
      <c r="V1438" s="152" t="s">
        <v>1555</v>
      </c>
      <c r="W1438" s="156" t="n">
        <v>45882</v>
      </c>
      <c r="X1438" s="152" t="s">
        <v>3938</v>
      </c>
      <c r="Y1438" s="152" t="s">
        <v>6962</v>
      </c>
      <c r="Z1438" s="152" t="s">
        <v>1557</v>
      </c>
      <c r="AA1438" s="153" t="n">
        <v>4.5</v>
      </c>
      <c r="AB1438" s="151" t="s">
        <v>6966</v>
      </c>
      <c r="AC1438" s="151" t="s">
        <v>505</v>
      </c>
      <c r="AD1438" s="151" t="str">
        <f aca="false">CONCATENATE($C1438,$I1438,$H1438,$N1438,$J1438,$K1438)</f>
        <v>TUBO PEADPEAD160VCAREDESZona11</v>
      </c>
      <c r="AE1438" s="153" t="n">
        <f aca="false">IFERROR(INDEX(APOIO_REDES!$A:$W,MATCH($C1438&amp;$I1438&amp;$H1438&amp;$N1438&amp;$O1438,APOIO_REDES!$W:$W,0),MATCH(AE$5,APOIO_REDES!$5:$5,0)),0)</f>
        <v>1.2</v>
      </c>
      <c r="AF1438" s="153" t="n">
        <f aca="false">IFERROR(INDEX(APOIO_REDES!$A:$W,MATCH($C1438&amp;$I1438&amp;$H1438&amp;$N1438&amp;$O1438,APOIO_REDES!$W:$W,0),MATCH(AF$5,APOIO_REDES!$5:$5,0)),0)</f>
        <v>1.46</v>
      </c>
      <c r="AG1438" s="153" t="n">
        <f aca="false">IFERROR(INDEX(APOIO_REDES!$A:$W,MATCH($C1438&amp;$I1438&amp;$H1438&amp;$N1438&amp;$O1438,APOIO_REDES!$W:$W,0),MATCH(AG$5,APOIO_REDES!$5:$5,0)),0)</f>
        <v>0.75</v>
      </c>
      <c r="AH1438" s="153" t="n">
        <f aca="false">IFERROR(INDEX(APOIO_REDES!$A:$W,MATCH($C1438&amp;$I1438&amp;$H1438&amp;$N1438&amp;$O1438,APOIO_REDES!$W:$W,0),MATCH(AH$5,APOIO_REDES!$5:$5,0)),0)</f>
        <v>0.1</v>
      </c>
      <c r="AI1438" s="153" t="n">
        <f aca="false">IFERROR(IF($H1438&lt;&gt;"",(((($H1438/1000)/2)^2)*PI()*$M1438),0),0)</f>
        <v>1.91390851004936</v>
      </c>
      <c r="AJ1438" s="153" t="n">
        <f aca="false">IFERROR(IF(AND($H1438&lt;&gt;"",$I1438="FoFo",OR($N1438="MND",$N1438="VCA"),$Q1438="LINEAR"),0,IF(AND($H1438&lt;&gt;"",$I1438="PEAD",$N1438="VCA",$Q1438="LINEAR"),($H1438/1000)+0.3,IF(AND($H1438&lt;&gt;"",$I1438="PEAD",$N1438="MND",$Q1438="EMBOQUE"),0,IF(AND($H1438&lt;&gt;"",$I1438="PVC",$N1438="VCA",$Q1438="LINEAR"),($H1438/1000)+0.2,IF(AND($H1438&lt;&gt;"",$I1438="PVC",$N1438="MND",$Q1438="EMBOQUE"),0,IF(AND($H1438&lt;&gt;"",$I1438="PEAD",$N1438="VCA",$Q1438="PREDIAL"),0,0)))))),0)</f>
        <v>0.46</v>
      </c>
      <c r="AK1438" s="153" t="n">
        <f aca="false">IF(AA1438&lt;&gt;"",AA1438,0)</f>
        <v>4.5</v>
      </c>
      <c r="AL1438" s="153" t="n">
        <f aca="false">IF(AND($N1438="MND",$Q1438="EMBOQUE"),$M1438,IF(AND($N1438="VCA",$Q1438="LINEAR"),$M1438,IF(AND($N1438="VCA",$Q1438="PREDIAL"),0,0)))</f>
        <v>95.19</v>
      </c>
      <c r="AM1438" s="153" t="n">
        <f aca="false">IF(AND($N1438="MND",$Q1438="EMBOQUE"),$M1438,IF(AND($N1438="VCA",$Q1438="LINEAR"),$M1438,IF(AND($N1438="VCA",$Q1438="PREDIAL"),0,0)))</f>
        <v>95.19</v>
      </c>
      <c r="AN1438" s="153" t="n">
        <f aca="false">ROUND(IF(AND($N1438="VCA",$M1438&lt;&gt;"",$Q1438="LINEAR"),$M1438/100,IF(AND($N1438="MND",$M1438&gt;100,$Q1438="EMBOQUE"),$M1438/100,0)),0)</f>
        <v>1</v>
      </c>
      <c r="AO1438" s="153" t="n">
        <f aca="false">IF(AND($N1438="MND",$Q1438="EMBOQUE"),$AN1438*2*2,IF(AND($N1438="VCA",$Q1438="LINEAR"),$M1438*2,IF(AND($N1438="VCA",$Q1438="PREDIAL"),0,0)))</f>
        <v>190.38</v>
      </c>
      <c r="AP1438" s="153" t="n">
        <f aca="false">IFERROR($M1438*$AF1438*$AG1438,0)</f>
        <v>104.23305</v>
      </c>
      <c r="AQ1438" s="153" t="n">
        <f aca="false">IFERROR(IF(AND($N1438="VCA",$AH1438&gt;0),$M1438*$AG1438*$AH1438,0),0)</f>
        <v>7.13925</v>
      </c>
      <c r="AR1438" s="153" t="n">
        <f aca="false">IFERROR(IF(AND($N1438="VCA",$AJ1438&gt;0),($M1438*$AG1438*$AJ1438)-$AI1438,0),0)</f>
        <v>30.9266414899506</v>
      </c>
      <c r="AS1438" s="153" t="n">
        <f aca="false">IFERROR(IF(AND($N1438="VCA",$AP1438&gt;0),$AP1438-$AI1438-$AQ1438-$AR1438,0),0)</f>
        <v>64.25325</v>
      </c>
      <c r="AT1438" s="153" t="n">
        <f aca="false">IFERROR(IF($N1438="VCA",INDEX(APOIO_REDES!$A:$W,MATCH($C1438&amp;$I1438&amp;$H1438&amp;$N1438&amp;$O1438,APOIO_REDES!$W:$W,0),MATCH(AT$5,APOIO_REDES!$5:$5,0)),0)*$AP1438,0)</f>
        <v>1.13408643540799</v>
      </c>
      <c r="AU1438" s="153" t="n">
        <f aca="false">IFERROR(IF($N1438="VCA",INDEX(APOIO_REDES!$A:$W,MATCH($C1438&amp;$I1438&amp;$H1438&amp;$N1438&amp;$O1438,APOIO_REDES!$W:$W,0),MATCH(AU$5,APOIO_REDES!$5:$5,0)),0)*$AP1438,0)</f>
        <v>0.905650712360867</v>
      </c>
      <c r="AV1438" s="153" t="n">
        <f aca="false">IFERROR(IF($N1438="VCA",INDEX(APOIO_REDES!$A:$W,MATCH($C1438&amp;$I1438&amp;$H1438&amp;$N1438&amp;$O1438,APOIO_REDES!$W:$W,0),MATCH(AV$5,APOIO_REDES!$5:$5,0)),0)*$AP1438,0)</f>
        <v>0.125334948953897</v>
      </c>
      <c r="AW1438" s="153" t="n">
        <f aca="false">IFERROR(IF($N1438="VCA",INDEX(APOIO_REDES!$A:$W,MATCH($C1438&amp;$I1438&amp;$H1438&amp;$N1438&amp;$O1438,APOIO_REDES!$W:$W,0),MATCH(AW$5,APOIO_REDES!$5:$5,0)),0)*$AP1438,0)</f>
        <v>71.5463731570821</v>
      </c>
      <c r="AX1438" s="153" t="n">
        <f aca="false">IFERROR(IF($N1438="VCA",INDEX(APOIO_REDES!$A:$W,MATCH($C1438&amp;$I1438&amp;$H1438&amp;$N1438&amp;$O1438,APOIO_REDES!$W:$W,0),MATCH(AX$5,APOIO_REDES!$5:$5,0)),0)*$AP1438,0)</f>
        <v>9.90181424123845</v>
      </c>
      <c r="AY1438" s="153" t="n">
        <f aca="false">IFERROR(IF($N1438="VCA",INDEX(APOIO_REDES!$A:$W,MATCH($C1438&amp;$I1438&amp;$H1438&amp;$N1438&amp;$O1438,APOIO_REDES!$W:$W,0),MATCH(AY$5,APOIO_REDES!$5:$5,0)),0)*$AP1438,0)</f>
        <v>18.1130032074086</v>
      </c>
      <c r="AZ1438" s="153" t="n">
        <f aca="false">IFERROR(IF($N1438="VCA",INDEX(APOIO_REDES!$A:$W,MATCH($C1438&amp;$I1438&amp;$H1438&amp;$N1438&amp;$O1438,APOIO_REDES!$W:$W,0),MATCH(AZ$5,APOIO_REDES!$5:$5,0)),0)*$AP1438,0)</f>
        <v>2.50678729754809</v>
      </c>
      <c r="BA1438" s="153" t="n">
        <f aca="false">IFERROR(IF(AND($N1438="VCA",$Q1438="LINEAR"),INDEX(APOIO_REDES!$A:$W,MATCH($C1438&amp;$I1438&amp;$H1438&amp;$N1438&amp;$O1438,APOIO_REDES!$W:$W,0),MATCH(BA$5,APOIO_REDES!$5:$5,0)),IF(AND($N1438="MND",$Q1438="EMBOQUE"),INDEX(APOIO_REDES!$A:$W,MATCH($C1438&amp;$I1438&amp;$H1438&amp;$N1438&amp;$O1438,APOIO_REDES!$W:$W,0),MATCH(BA$5,APOIO_REDES!$5:$5,0)),0))*$M1438/10,0)</f>
        <v>7.67207389081929</v>
      </c>
      <c r="BB1438" s="153" t="n">
        <f aca="false">IFERROR(IF($N1438="VCA",INDEX(APOIO_REDES!$A:$W,MATCH($C1438&amp;$I1438&amp;$H1438&amp;$N1438&amp;$O1438,APOIO_REDES!$W:$W,0),MATCH(BB$5,APOIO_REDES!$5:$5,0)),0)*($AI1438+$AQ1438+$AR1438),0)</f>
        <v>39.5448079425832</v>
      </c>
      <c r="BC1438" s="153" t="n">
        <f aca="false">IFERROR(IF($N1438="VCA",INDEX(APOIO_REDES!$A:$W,MATCH($C1438&amp;$I1438&amp;$H1438&amp;$N1438&amp;$O1438,APOIO_REDES!$W:$W,0),MATCH(BC$5,APOIO_REDES!$5:$5,0)),0)*($AI1438+$AQ1438+$AR1438),0)</f>
        <v>0.434992057416765</v>
      </c>
      <c r="BD1438" s="153" t="n">
        <f aca="false">IF(AND($N1438="VCA",$AF1438&gt;=1.25,$AF1438&lt;1.5),$M1438*$AF1438*2,0)</f>
        <v>277.9548</v>
      </c>
      <c r="BE1438" s="153" t="n">
        <f aca="false">IF(AND($N1438="VCA",$AF1438&gt;=1.5,$AF1438&lt;3),$M1438*$AF1438*2,0)</f>
        <v>0</v>
      </c>
      <c r="BF1438" s="153" t="n">
        <f aca="false">IF(AND($N1438="VCA",$AF1438&gt;=3),$M1438*$AF1438*2,0)</f>
        <v>0</v>
      </c>
      <c r="BG1438" s="153" t="n">
        <f aca="false">($BB1438+$BC1438)*$AK1438</f>
        <v>179.9091</v>
      </c>
      <c r="BH1438" s="153" t="n">
        <f aca="false">IF(AND($M1438&lt;&gt;"",$N1438="VCA",$Q1438="LINEAR"),($M1438*2)/100,IF(AND($M1438&lt;&gt;"",$N1438="MND",$Q1438="EMBOQUE"),($AN1438*2)/100,0))</f>
        <v>1.9038</v>
      </c>
      <c r="BI1438" s="153" t="n">
        <f aca="false">IF(AND($M1438&lt;&gt;"",$N1438="VCA",$Q1438="LINEAR"),$M1438,IF(AND($M1438&lt;&gt;"",$N1438="MND",$Q1438="EMBOQUE"),$AN1438*2,0))</f>
        <v>95.19</v>
      </c>
      <c r="BJ1438" s="153" t="n">
        <f aca="false">IF(AND($M1438&lt;&gt;"",$N1438="VCA",$Q1438="LINEAR"),($M1438*6.8)/100,IF(AND($M1438&lt;&gt;"",$N1438="MND",$Q1438="EMBOQUE"),($AN1438*2*6.8)/100,0))</f>
        <v>6.47292</v>
      </c>
      <c r="BK1438" s="153" t="n">
        <f aca="false">IF(AND($M1438&lt;&gt;"",$N1438="VCA",$Q1438="LINEAR"),($M1438*2.5)/50,IF(AND($M1438&lt;&gt;"",$N1438="MND",$Q1438="EMBOQUE"),($AN1438*2*2.5)/50,0))</f>
        <v>4.7595</v>
      </c>
      <c r="BL1438" s="157" t="str">
        <f aca="false">K1438&amp;J1438</f>
        <v>Zona11REDES</v>
      </c>
      <c r="BM1438" s="152" t="s">
        <v>6084</v>
      </c>
      <c r="BN1438" s="152" t="s">
        <v>1560</v>
      </c>
      <c r="BO1438" s="152" t="s">
        <v>6822</v>
      </c>
      <c r="BP1438" s="152" t="s">
        <v>6757</v>
      </c>
      <c r="BQ1438" s="152" t="s">
        <v>6946</v>
      </c>
      <c r="BR1438" s="152" t="s">
        <v>6967</v>
      </c>
      <c r="BS1438" s="152" t="n">
        <v>204470.768</v>
      </c>
      <c r="BT1438" s="152" t="n">
        <v>8235971.523</v>
      </c>
      <c r="BU1438" s="152" t="n">
        <v>204561.747</v>
      </c>
      <c r="BV1438" s="152" t="n">
        <v>8235998.168</v>
      </c>
      <c r="BW1438" s="152" t="n">
        <v>-15.9378373</v>
      </c>
      <c r="BX1438" s="152" t="n">
        <v>-47.7599842</v>
      </c>
      <c r="BY1438" s="152" t="s">
        <v>6757</v>
      </c>
    </row>
    <row r="1439" customFormat="false" ht="13.8" hidden="false" customHeight="false" outlineLevel="0" collapsed="false">
      <c r="A1439" s="149" t="n">
        <f aca="false">IF(C1439&lt;&gt;"",ROW(A1434),"")</f>
        <v>1434</v>
      </c>
      <c r="B1439" s="150" t="str">
        <f aca="false">HYPERLINK("https://www.google.com/maps/dir/-15.917302,-47.760003/-15.9379563,-47.7604093/data=!4m3!4m2!3e0!5i1")</f>
        <v>https://www.google.com/maps/dir/-15.917302,-47.760003/-15.9379563,-47.7604093/data=!4m3!4m2!3e0!5i1</v>
      </c>
      <c r="C1439" s="151" t="s">
        <v>117</v>
      </c>
      <c r="D1439" s="152" t="s">
        <v>112</v>
      </c>
      <c r="E1439" s="152" t="s">
        <v>113</v>
      </c>
      <c r="F1439" s="152" t="s">
        <v>117</v>
      </c>
      <c r="G1439" s="152" t="s">
        <v>114</v>
      </c>
      <c r="H1439" s="152" t="n">
        <v>160</v>
      </c>
      <c r="I1439" s="152" t="s">
        <v>115</v>
      </c>
      <c r="J1439" s="152" t="s">
        <v>6</v>
      </c>
      <c r="K1439" s="152" t="s">
        <v>6081</v>
      </c>
      <c r="L1439" s="152" t="s">
        <v>120</v>
      </c>
      <c r="M1439" s="153" t="n">
        <f aca="false">94.8</f>
        <v>94.8</v>
      </c>
      <c r="N1439" s="152" t="s">
        <v>1548</v>
      </c>
      <c r="O1439" s="152" t="s">
        <v>1549</v>
      </c>
      <c r="P1439" s="152" t="s">
        <v>1550</v>
      </c>
      <c r="Q1439" s="152" t="s">
        <v>1551</v>
      </c>
      <c r="R1439" s="154" t="s">
        <v>6968</v>
      </c>
      <c r="S1439" s="154" t="s">
        <v>1593</v>
      </c>
      <c r="T1439" s="155" t="s">
        <v>6820</v>
      </c>
      <c r="U1439" s="152" t="str">
        <f aca="false">RIGHT(T1439,7)</f>
        <v>025/037</v>
      </c>
      <c r="V1439" s="152" t="s">
        <v>1555</v>
      </c>
      <c r="W1439" s="156" t="n">
        <v>45882</v>
      </c>
      <c r="X1439" s="152" t="s">
        <v>3938</v>
      </c>
      <c r="Y1439" s="152" t="s">
        <v>6962</v>
      </c>
      <c r="Z1439" s="152" t="s">
        <v>1557</v>
      </c>
      <c r="AA1439" s="153" t="n">
        <v>4.5</v>
      </c>
      <c r="AB1439" s="151" t="s">
        <v>6969</v>
      </c>
      <c r="AC1439" s="151" t="s">
        <v>505</v>
      </c>
      <c r="AD1439" s="151" t="str">
        <f aca="false">CONCATENATE($C1439,$I1439,$H1439,$N1439,$J1439,$K1439)</f>
        <v>TUBO PEADPEAD160VCAREDESZona11</v>
      </c>
      <c r="AE1439" s="153" t="n">
        <f aca="false">IFERROR(INDEX(APOIO_REDES!$A:$W,MATCH($C1439&amp;$I1439&amp;$H1439&amp;$N1439&amp;$O1439,APOIO_REDES!$W:$W,0),MATCH(AE$5,APOIO_REDES!$5:$5,0)),0)</f>
        <v>1.2</v>
      </c>
      <c r="AF1439" s="153" t="n">
        <f aca="false">IFERROR(INDEX(APOIO_REDES!$A:$W,MATCH($C1439&amp;$I1439&amp;$H1439&amp;$N1439&amp;$O1439,APOIO_REDES!$W:$W,0),MATCH(AF$5,APOIO_REDES!$5:$5,0)),0)</f>
        <v>1.46</v>
      </c>
      <c r="AG1439" s="153" t="n">
        <f aca="false">IFERROR(INDEX(APOIO_REDES!$A:$W,MATCH($C1439&amp;$I1439&amp;$H1439&amp;$N1439&amp;$O1439,APOIO_REDES!$W:$W,0),MATCH(AG$5,APOIO_REDES!$5:$5,0)),0)</f>
        <v>0.75</v>
      </c>
      <c r="AH1439" s="153" t="n">
        <f aca="false">IFERROR(INDEX(APOIO_REDES!$A:$W,MATCH($C1439&amp;$I1439&amp;$H1439&amp;$N1439&amp;$O1439,APOIO_REDES!$W:$W,0),MATCH(AH$5,APOIO_REDES!$5:$5,0)),0)</f>
        <v>0.1</v>
      </c>
      <c r="AI1439" s="153" t="n">
        <f aca="false">IFERROR(IF($H1439&lt;&gt;"",(((($H1439/1000)/2)^2)*PI()*$M1439),0),0)</f>
        <v>1.906067094786</v>
      </c>
      <c r="AJ1439" s="153" t="n">
        <f aca="false">IFERROR(IF(AND($H1439&lt;&gt;"",$I1439="FoFo",OR($N1439="MND",$N1439="VCA"),$Q1439="LINEAR"),0,IF(AND($H1439&lt;&gt;"",$I1439="PEAD",$N1439="VCA",$Q1439="LINEAR"),($H1439/1000)+0.3,IF(AND($H1439&lt;&gt;"",$I1439="PEAD",$N1439="MND",$Q1439="EMBOQUE"),0,IF(AND($H1439&lt;&gt;"",$I1439="PVC",$N1439="VCA",$Q1439="LINEAR"),($H1439/1000)+0.2,IF(AND($H1439&lt;&gt;"",$I1439="PVC",$N1439="MND",$Q1439="EMBOQUE"),0,IF(AND($H1439&lt;&gt;"",$I1439="PEAD",$N1439="VCA",$Q1439="PREDIAL"),0,0)))))),0)</f>
        <v>0.46</v>
      </c>
      <c r="AK1439" s="153" t="n">
        <f aca="false">IF(AA1439&lt;&gt;"",AA1439,0)</f>
        <v>4.5</v>
      </c>
      <c r="AL1439" s="153" t="n">
        <f aca="false">IF(AND($N1439="MND",$Q1439="EMBOQUE"),$M1439,IF(AND($N1439="VCA",$Q1439="LINEAR"),$M1439,IF(AND($N1439="VCA",$Q1439="PREDIAL"),0,0)))</f>
        <v>94.8</v>
      </c>
      <c r="AM1439" s="153" t="n">
        <f aca="false">IF(AND($N1439="MND",$Q1439="EMBOQUE"),$M1439,IF(AND($N1439="VCA",$Q1439="LINEAR"),$M1439,IF(AND($N1439="VCA",$Q1439="PREDIAL"),0,0)))</f>
        <v>94.8</v>
      </c>
      <c r="AN1439" s="153" t="n">
        <f aca="false">ROUND(IF(AND($N1439="VCA",$M1439&lt;&gt;"",$Q1439="LINEAR"),$M1439/100,IF(AND($N1439="MND",$M1439&gt;100,$Q1439="EMBOQUE"),$M1439/100,0)),0)</f>
        <v>1</v>
      </c>
      <c r="AO1439" s="153" t="n">
        <f aca="false">IF(AND($N1439="MND",$Q1439="EMBOQUE"),$AN1439*2*2,IF(AND($N1439="VCA",$Q1439="LINEAR"),$M1439*2,IF(AND($N1439="VCA",$Q1439="PREDIAL"),0,0)))</f>
        <v>189.6</v>
      </c>
      <c r="AP1439" s="153" t="n">
        <f aca="false">IFERROR($M1439*$AF1439*$AG1439,0)</f>
        <v>103.806</v>
      </c>
      <c r="AQ1439" s="153" t="n">
        <f aca="false">IFERROR(IF(AND($N1439="VCA",$AH1439&gt;0),$M1439*$AG1439*$AH1439,0),0)</f>
        <v>7.11</v>
      </c>
      <c r="AR1439" s="153" t="n">
        <f aca="false">IFERROR(IF(AND($N1439="VCA",$AJ1439&gt;0),($M1439*$AG1439*$AJ1439)-$AI1439,0),0)</f>
        <v>30.799932905214</v>
      </c>
      <c r="AS1439" s="153" t="n">
        <f aca="false">IFERROR(IF(AND($N1439="VCA",$AP1439&gt;0),$AP1439-$AI1439-$AQ1439-$AR1439,0),0)</f>
        <v>63.99</v>
      </c>
      <c r="AT1439" s="153" t="n">
        <f aca="false">IFERROR(IF($N1439="VCA",INDEX(APOIO_REDES!$A:$W,MATCH($C1439&amp;$I1439&amp;$H1439&amp;$N1439&amp;$O1439,APOIO_REDES!$W:$W,0),MATCH(AT$5,APOIO_REDES!$5:$5,0)),0)*$AP1439,0)</f>
        <v>1.12944000500765</v>
      </c>
      <c r="AU1439" s="153" t="n">
        <f aca="false">IFERROR(IF($N1439="VCA",INDEX(APOIO_REDES!$A:$W,MATCH($C1439&amp;$I1439&amp;$H1439&amp;$N1439&amp;$O1439,APOIO_REDES!$W:$W,0),MATCH(AU$5,APOIO_REDES!$5:$5,0)),0)*$AP1439,0)</f>
        <v>0.901940198884443</v>
      </c>
      <c r="AV1439" s="153" t="n">
        <f aca="false">IFERROR(IF($N1439="VCA",INDEX(APOIO_REDES!$A:$W,MATCH($C1439&amp;$I1439&amp;$H1439&amp;$N1439&amp;$O1439,APOIO_REDES!$W:$W,0),MATCH(AV$5,APOIO_REDES!$5:$5,0)),0)*$AP1439,0)</f>
        <v>0.124821443017433</v>
      </c>
      <c r="AW1439" s="153" t="n">
        <f aca="false">IFERROR(IF($N1439="VCA",INDEX(APOIO_REDES!$A:$W,MATCH($C1439&amp;$I1439&amp;$H1439&amp;$N1439&amp;$O1439,APOIO_REDES!$W:$W,0),MATCH(AW$5,APOIO_REDES!$5:$5,0)),0)*$AP1439,0)</f>
        <v>71.2532427281373</v>
      </c>
      <c r="AX1439" s="153" t="n">
        <f aca="false">IFERROR(IF($N1439="VCA",INDEX(APOIO_REDES!$A:$W,MATCH($C1439&amp;$I1439&amp;$H1439&amp;$N1439&amp;$O1439,APOIO_REDES!$W:$W,0),MATCH(AX$5,APOIO_REDES!$5:$5,0)),0)*$AP1439,0)</f>
        <v>9.86124582487031</v>
      </c>
      <c r="AY1439" s="153" t="n">
        <f aca="false">IFERROR(IF($N1439="VCA",INDEX(APOIO_REDES!$A:$W,MATCH($C1439&amp;$I1439&amp;$H1439&amp;$N1439&amp;$O1439,APOIO_REDES!$W:$W,0),MATCH(AY$5,APOIO_REDES!$5:$5,0)),0)*$AP1439,0)</f>
        <v>18.038792983111</v>
      </c>
      <c r="AZ1439" s="153" t="n">
        <f aca="false">IFERROR(IF($N1439="VCA",INDEX(APOIO_REDES!$A:$W,MATCH($C1439&amp;$I1439&amp;$H1439&amp;$N1439&amp;$O1439,APOIO_REDES!$W:$W,0),MATCH(AZ$5,APOIO_REDES!$5:$5,0)),0)*$AP1439,0)</f>
        <v>2.49651681697194</v>
      </c>
      <c r="BA1439" s="153" t="n">
        <f aca="false">IFERROR(IF(AND($N1439="VCA",$Q1439="LINEAR"),INDEX(APOIO_REDES!$A:$W,MATCH($C1439&amp;$I1439&amp;$H1439&amp;$N1439&amp;$O1439,APOIO_REDES!$W:$W,0),MATCH(BA$5,APOIO_REDES!$5:$5,0)),IF(AND($N1439="MND",$Q1439="EMBOQUE"),INDEX(APOIO_REDES!$A:$W,MATCH($C1439&amp;$I1439&amp;$H1439&amp;$N1439&amp;$O1439,APOIO_REDES!$W:$W,0),MATCH(BA$5,APOIO_REDES!$5:$5,0)),0))*$M1439/10,0)</f>
        <v>7.64064087456317</v>
      </c>
      <c r="BB1439" s="153" t="n">
        <f aca="false">IFERROR(IF($N1439="VCA",INDEX(APOIO_REDES!$A:$W,MATCH($C1439&amp;$I1439&amp;$H1439&amp;$N1439&amp;$O1439,APOIO_REDES!$W:$W,0),MATCH(BB$5,APOIO_REDES!$5:$5,0)),0)*($AI1439+$AQ1439+$AR1439),0)</f>
        <v>39.3827901350656</v>
      </c>
      <c r="BC1439" s="153" t="n">
        <f aca="false">IFERROR(IF($N1439="VCA",INDEX(APOIO_REDES!$A:$W,MATCH($C1439&amp;$I1439&amp;$H1439&amp;$N1439&amp;$O1439,APOIO_REDES!$W:$W,0),MATCH(BC$5,APOIO_REDES!$5:$5,0)),0)*($AI1439+$AQ1439+$AR1439),0)</f>
        <v>0.433209864934439</v>
      </c>
      <c r="BD1439" s="153" t="n">
        <f aca="false">IF(AND($N1439="VCA",$AF1439&gt;=1.25,$AF1439&lt;1.5),$M1439*$AF1439*2,0)</f>
        <v>276.816</v>
      </c>
      <c r="BE1439" s="153" t="n">
        <f aca="false">IF(AND($N1439="VCA",$AF1439&gt;=1.5,$AF1439&lt;3),$M1439*$AF1439*2,0)</f>
        <v>0</v>
      </c>
      <c r="BF1439" s="153" t="n">
        <f aca="false">IF(AND($N1439="VCA",$AF1439&gt;=3),$M1439*$AF1439*2,0)</f>
        <v>0</v>
      </c>
      <c r="BG1439" s="153" t="n">
        <f aca="false">($BB1439+$BC1439)*$AK1439</f>
        <v>179.172</v>
      </c>
      <c r="BH1439" s="153" t="n">
        <f aca="false">IF(AND($M1439&lt;&gt;"",$N1439="VCA",$Q1439="LINEAR"),($M1439*2)/100,IF(AND($M1439&lt;&gt;"",$N1439="MND",$Q1439="EMBOQUE"),($AN1439*2)/100,0))</f>
        <v>1.896</v>
      </c>
      <c r="BI1439" s="153" t="n">
        <f aca="false">IF(AND($M1439&lt;&gt;"",$N1439="VCA",$Q1439="LINEAR"),$M1439,IF(AND($M1439&lt;&gt;"",$N1439="MND",$Q1439="EMBOQUE"),$AN1439*2,0))</f>
        <v>94.8</v>
      </c>
      <c r="BJ1439" s="153" t="n">
        <f aca="false">IF(AND($M1439&lt;&gt;"",$N1439="VCA",$Q1439="LINEAR"),($M1439*6.8)/100,IF(AND($M1439&lt;&gt;"",$N1439="MND",$Q1439="EMBOQUE"),($AN1439*2*6.8)/100,0))</f>
        <v>6.4464</v>
      </c>
      <c r="BK1439" s="153" t="n">
        <f aca="false">IF(AND($M1439&lt;&gt;"",$N1439="VCA",$Q1439="LINEAR"),($M1439*2.5)/50,IF(AND($M1439&lt;&gt;"",$N1439="MND",$Q1439="EMBOQUE"),($AN1439*2*2.5)/50,0))</f>
        <v>4.74</v>
      </c>
      <c r="BL1439" s="157" t="str">
        <f aca="false">K1439&amp;J1439</f>
        <v>Zona11REDES</v>
      </c>
      <c r="BM1439" s="152" t="s">
        <v>6084</v>
      </c>
      <c r="BN1439" s="152" t="s">
        <v>1560</v>
      </c>
      <c r="BO1439" s="152" t="s">
        <v>6822</v>
      </c>
      <c r="BP1439" s="152" t="s">
        <v>6757</v>
      </c>
      <c r="BQ1439" s="152" t="s">
        <v>6946</v>
      </c>
      <c r="BR1439" s="152" t="s">
        <v>6727</v>
      </c>
      <c r="BS1439" s="152" t="n">
        <v>204471.145</v>
      </c>
      <c r="BT1439" s="152" t="n">
        <v>8235970.071</v>
      </c>
      <c r="BU1439" s="152" t="n">
        <v>204562.097</v>
      </c>
      <c r="BV1439" s="152" t="n">
        <v>8235996.709</v>
      </c>
      <c r="BW1439" s="152" t="n">
        <v>-15.9378505</v>
      </c>
      <c r="BX1439" s="152" t="n">
        <v>-47.759981</v>
      </c>
      <c r="BY1439" s="152" t="s">
        <v>6757</v>
      </c>
    </row>
    <row r="1440" customFormat="false" ht="13.8" hidden="false" customHeight="false" outlineLevel="0" collapsed="false">
      <c r="A1440" s="149" t="n">
        <f aca="false">IF(C1440&lt;&gt;"",ROW(A1435),"")</f>
        <v>1435</v>
      </c>
      <c r="B1440" s="150" t="str">
        <f aca="false">HYPERLINK("https://www.google.com/maps/dir/-15.917302,-47.760003/-15.9380135,-47.7606666/data=!4m3!4m2!3e0!5i1")</f>
        <v>https://www.google.com/maps/dir/-15.917302,-47.760003/-15.9380135,-47.7606666/data=!4m3!4m2!3e0!5i1</v>
      </c>
      <c r="C1440" s="151" t="s">
        <v>117</v>
      </c>
      <c r="D1440" s="152" t="s">
        <v>112</v>
      </c>
      <c r="E1440" s="152" t="s">
        <v>113</v>
      </c>
      <c r="F1440" s="152" t="s">
        <v>117</v>
      </c>
      <c r="G1440" s="152" t="s">
        <v>114</v>
      </c>
      <c r="H1440" s="152" t="n">
        <v>160</v>
      </c>
      <c r="I1440" s="152" t="s">
        <v>115</v>
      </c>
      <c r="J1440" s="152" t="s">
        <v>6</v>
      </c>
      <c r="K1440" s="152" t="s">
        <v>6081</v>
      </c>
      <c r="L1440" s="152" t="s">
        <v>120</v>
      </c>
      <c r="M1440" s="153" t="n">
        <f aca="false">27.4</f>
        <v>27.4</v>
      </c>
      <c r="N1440" s="152" t="s">
        <v>1548</v>
      </c>
      <c r="O1440" s="152" t="s">
        <v>1549</v>
      </c>
      <c r="P1440" s="152" t="s">
        <v>1550</v>
      </c>
      <c r="Q1440" s="152" t="s">
        <v>1551</v>
      </c>
      <c r="R1440" s="154" t="s">
        <v>6970</v>
      </c>
      <c r="S1440" s="154" t="s">
        <v>1593</v>
      </c>
      <c r="T1440" s="155" t="s">
        <v>6820</v>
      </c>
      <c r="U1440" s="152" t="str">
        <f aca="false">RIGHT(T1440,7)</f>
        <v>025/037</v>
      </c>
      <c r="V1440" s="152" t="s">
        <v>1555</v>
      </c>
      <c r="W1440" s="156" t="n">
        <v>45882</v>
      </c>
      <c r="X1440" s="152" t="s">
        <v>3938</v>
      </c>
      <c r="Y1440" s="152" t="s">
        <v>6234</v>
      </c>
      <c r="Z1440" s="152" t="s">
        <v>1557</v>
      </c>
      <c r="AA1440" s="153" t="n">
        <v>4.6</v>
      </c>
      <c r="AB1440" s="151" t="s">
        <v>6971</v>
      </c>
      <c r="AC1440" s="151" t="s">
        <v>505</v>
      </c>
      <c r="AD1440" s="151" t="str">
        <f aca="false">CONCATENATE($C1440,$I1440,$H1440,$N1440,$J1440,$K1440)</f>
        <v>TUBO PEADPEAD160VCAREDESZona11</v>
      </c>
      <c r="AE1440" s="153" t="n">
        <f aca="false">IFERROR(INDEX(APOIO_REDES!$A:$W,MATCH($C1440&amp;$I1440&amp;$H1440&amp;$N1440&amp;$O1440,APOIO_REDES!$W:$W,0),MATCH(AE$5,APOIO_REDES!$5:$5,0)),0)</f>
        <v>1.2</v>
      </c>
      <c r="AF1440" s="153" t="n">
        <f aca="false">IFERROR(INDEX(APOIO_REDES!$A:$W,MATCH($C1440&amp;$I1440&amp;$H1440&amp;$N1440&amp;$O1440,APOIO_REDES!$W:$W,0),MATCH(AF$5,APOIO_REDES!$5:$5,0)),0)</f>
        <v>1.46</v>
      </c>
      <c r="AG1440" s="153" t="n">
        <f aca="false">IFERROR(INDEX(APOIO_REDES!$A:$W,MATCH($C1440&amp;$I1440&amp;$H1440&amp;$N1440&amp;$O1440,APOIO_REDES!$W:$W,0),MATCH(AG$5,APOIO_REDES!$5:$5,0)),0)</f>
        <v>0.75</v>
      </c>
      <c r="AH1440" s="153" t="n">
        <f aca="false">IFERROR(INDEX(APOIO_REDES!$A:$W,MATCH($C1440&amp;$I1440&amp;$H1440&amp;$N1440&amp;$O1440,APOIO_REDES!$W:$W,0),MATCH(AH$5,APOIO_REDES!$5:$5,0)),0)</f>
        <v>0.1</v>
      </c>
      <c r="AI1440" s="153" t="n">
        <f aca="false">IFERROR(IF($H1440&lt;&gt;"",(((($H1440/1000)/2)^2)*PI()*$M1440),0),0)</f>
        <v>0.550909687733506</v>
      </c>
      <c r="AJ1440" s="153" t="n">
        <f aca="false">IFERROR(IF(AND($H1440&lt;&gt;"",$I1440="FoFo",OR($N1440="MND",$N1440="VCA"),$Q1440="LINEAR"),0,IF(AND($H1440&lt;&gt;"",$I1440="PEAD",$N1440="VCA",$Q1440="LINEAR"),($H1440/1000)+0.3,IF(AND($H1440&lt;&gt;"",$I1440="PEAD",$N1440="MND",$Q1440="EMBOQUE"),0,IF(AND($H1440&lt;&gt;"",$I1440="PVC",$N1440="VCA",$Q1440="LINEAR"),($H1440/1000)+0.2,IF(AND($H1440&lt;&gt;"",$I1440="PVC",$N1440="MND",$Q1440="EMBOQUE"),0,IF(AND($H1440&lt;&gt;"",$I1440="PEAD",$N1440="VCA",$Q1440="PREDIAL"),0,0)))))),0)</f>
        <v>0.46</v>
      </c>
      <c r="AK1440" s="153" t="n">
        <f aca="false">IF(AA1440&lt;&gt;"",AA1440,0)</f>
        <v>4.6</v>
      </c>
      <c r="AL1440" s="153" t="n">
        <f aca="false">IF(AND($N1440="MND",$Q1440="EMBOQUE"),$M1440,IF(AND($N1440="VCA",$Q1440="LINEAR"),$M1440,IF(AND($N1440="VCA",$Q1440="PREDIAL"),0,0)))</f>
        <v>27.4</v>
      </c>
      <c r="AM1440" s="153" t="n">
        <f aca="false">IF(AND($N1440="MND",$Q1440="EMBOQUE"),$M1440,IF(AND($N1440="VCA",$Q1440="LINEAR"),$M1440,IF(AND($N1440="VCA",$Q1440="PREDIAL"),0,0)))</f>
        <v>27.4</v>
      </c>
      <c r="AN1440" s="153" t="n">
        <f aca="false">ROUND(IF(AND($N1440="VCA",$M1440&lt;&gt;"",$Q1440="LINEAR"),$M1440/100,IF(AND($N1440="MND",$M1440&gt;100,$Q1440="EMBOQUE"),$M1440/100,0)),0)</f>
        <v>0</v>
      </c>
      <c r="AO1440" s="153" t="n">
        <f aca="false">IF(AND($N1440="MND",$Q1440="EMBOQUE"),$AN1440*2*2,IF(AND($N1440="VCA",$Q1440="LINEAR"),$M1440*2,IF(AND($N1440="VCA",$Q1440="PREDIAL"),0,0)))</f>
        <v>54.8</v>
      </c>
      <c r="AP1440" s="153" t="n">
        <f aca="false">IFERROR($M1440*$AF1440*$AG1440,0)</f>
        <v>30.003</v>
      </c>
      <c r="AQ1440" s="153" t="n">
        <f aca="false">IFERROR(IF(AND($N1440="VCA",$AH1440&gt;0),$M1440*$AG1440*$AH1440,0),0)</f>
        <v>2.055</v>
      </c>
      <c r="AR1440" s="153" t="n">
        <f aca="false">IFERROR(IF(AND($N1440="VCA",$AJ1440&gt;0),($M1440*$AG1440*$AJ1440)-$AI1440,0),0)</f>
        <v>8.90209031226649</v>
      </c>
      <c r="AS1440" s="153" t="n">
        <f aca="false">IFERROR(IF(AND($N1440="VCA",$AP1440&gt;0),$AP1440-$AI1440-$AQ1440-$AR1440,0),0)</f>
        <v>18.495</v>
      </c>
      <c r="AT1440" s="153" t="n">
        <f aca="false">IFERROR(IF($N1440="VCA",INDEX(APOIO_REDES!$A:$W,MATCH($C1440&amp;$I1440&amp;$H1440&amp;$N1440&amp;$O1440,APOIO_REDES!$W:$W,0),MATCH(AT$5,APOIO_REDES!$5:$5,0)),0)*$AP1440,0)</f>
        <v>0.326441520434699</v>
      </c>
      <c r="AU1440" s="153" t="n">
        <f aca="false">IFERROR(IF($N1440="VCA",INDEX(APOIO_REDES!$A:$W,MATCH($C1440&amp;$I1440&amp;$H1440&amp;$N1440&amp;$O1440,APOIO_REDES!$W:$W,0),MATCH(AU$5,APOIO_REDES!$5:$5,0)),0)*$AP1440,0)</f>
        <v>0.260687357061537</v>
      </c>
      <c r="AV1440" s="153" t="n">
        <f aca="false">IFERROR(IF($N1440="VCA",INDEX(APOIO_REDES!$A:$W,MATCH($C1440&amp;$I1440&amp;$H1440&amp;$N1440&amp;$O1440,APOIO_REDES!$W:$W,0),MATCH(AV$5,APOIO_REDES!$5:$5,0)),0)*$AP1440,0)</f>
        <v>0.0360770837413255</v>
      </c>
      <c r="AW1440" s="153" t="n">
        <f aca="false">IFERROR(IF($N1440="VCA",INDEX(APOIO_REDES!$A:$W,MATCH($C1440&amp;$I1440&amp;$H1440&amp;$N1440&amp;$O1440,APOIO_REDES!$W:$W,0),MATCH(AW$5,APOIO_REDES!$5:$5,0)),0)*$AP1440,0)</f>
        <v>20.5942916745882</v>
      </c>
      <c r="AX1440" s="153" t="n">
        <f aca="false">IFERROR(IF($N1440="VCA",INDEX(APOIO_REDES!$A:$W,MATCH($C1440&amp;$I1440&amp;$H1440&amp;$N1440&amp;$O1440,APOIO_REDES!$W:$W,0),MATCH(AX$5,APOIO_REDES!$5:$5,0)),0)*$AP1440,0)</f>
        <v>2.85019130381273</v>
      </c>
      <c r="AY1440" s="153" t="n">
        <f aca="false">IFERROR(IF($N1440="VCA",INDEX(APOIO_REDES!$A:$W,MATCH($C1440&amp;$I1440&amp;$H1440&amp;$N1440&amp;$O1440,APOIO_REDES!$W:$W,0),MATCH(AY$5,APOIO_REDES!$5:$5,0)),0)*$AP1440,0)</f>
        <v>5.213743963473</v>
      </c>
      <c r="AZ1440" s="153" t="n">
        <f aca="false">IFERROR(IF($N1440="VCA",INDEX(APOIO_REDES!$A:$W,MATCH($C1440&amp;$I1440&amp;$H1440&amp;$N1440&amp;$O1440,APOIO_REDES!$W:$W,0),MATCH(AZ$5,APOIO_REDES!$5:$5,0)),0)*$AP1440,0)</f>
        <v>0.721567096888513</v>
      </c>
      <c r="BA1440" s="153" t="n">
        <f aca="false">IFERROR(IF(AND($N1440="VCA",$Q1440="LINEAR"),INDEX(APOIO_REDES!$A:$W,MATCH($C1440&amp;$I1440&amp;$H1440&amp;$N1440&amp;$O1440,APOIO_REDES!$W:$W,0),MATCH(BA$5,APOIO_REDES!$5:$5,0)),IF(AND($N1440="MND",$Q1440="EMBOQUE"),INDEX(APOIO_REDES!$A:$W,MATCH($C1440&amp;$I1440&amp;$H1440&amp;$N1440&amp;$O1440,APOIO_REDES!$W:$W,0),MATCH(BA$5,APOIO_REDES!$5:$5,0)),0))*$M1440/10,0)</f>
        <v>2.20837088568598</v>
      </c>
      <c r="BB1440" s="153" t="n">
        <f aca="false">IFERROR(IF($N1440="VCA",INDEX(APOIO_REDES!$A:$W,MATCH($C1440&amp;$I1440&amp;$H1440&amp;$N1440&amp;$O1440,APOIO_REDES!$W:$W,0),MATCH(BB$5,APOIO_REDES!$5:$5,0)),0)*($AI1440+$AQ1440+$AR1440),0)</f>
        <v>11.3827895538059</v>
      </c>
      <c r="BC1440" s="153" t="n">
        <f aca="false">IFERROR(IF($N1440="VCA",INDEX(APOIO_REDES!$A:$W,MATCH($C1440&amp;$I1440&amp;$H1440&amp;$N1440&amp;$O1440,APOIO_REDES!$W:$W,0),MATCH(BC$5,APOIO_REDES!$5:$5,0)),0)*($AI1440+$AQ1440+$AR1440),0)</f>
        <v>0.125210446194131</v>
      </c>
      <c r="BD1440" s="153" t="n">
        <f aca="false">IF(AND($N1440="VCA",$AF1440&gt;=1.25,$AF1440&lt;1.5),$M1440*$AF1440*2,0)</f>
        <v>80.008</v>
      </c>
      <c r="BE1440" s="153" t="n">
        <f aca="false">IF(AND($N1440="VCA",$AF1440&gt;=1.5,$AF1440&lt;3),$M1440*$AF1440*2,0)</f>
        <v>0</v>
      </c>
      <c r="BF1440" s="153" t="n">
        <f aca="false">IF(AND($N1440="VCA",$AF1440&gt;=3),$M1440*$AF1440*2,0)</f>
        <v>0</v>
      </c>
      <c r="BG1440" s="153" t="n">
        <f aca="false">($BB1440+$BC1440)*$AK1440</f>
        <v>52.9368</v>
      </c>
      <c r="BH1440" s="153" t="n">
        <f aca="false">IF(AND($M1440&lt;&gt;"",$N1440="VCA",$Q1440="LINEAR"),($M1440*2)/100,IF(AND($M1440&lt;&gt;"",$N1440="MND",$Q1440="EMBOQUE"),($AN1440*2)/100,0))</f>
        <v>0.548</v>
      </c>
      <c r="BI1440" s="153" t="n">
        <f aca="false">IF(AND($M1440&lt;&gt;"",$N1440="VCA",$Q1440="LINEAR"),$M1440,IF(AND($M1440&lt;&gt;"",$N1440="MND",$Q1440="EMBOQUE"),$AN1440*2,0))</f>
        <v>27.4</v>
      </c>
      <c r="BJ1440" s="153" t="n">
        <f aca="false">IF(AND($M1440&lt;&gt;"",$N1440="VCA",$Q1440="LINEAR"),($M1440*6.8)/100,IF(AND($M1440&lt;&gt;"",$N1440="MND",$Q1440="EMBOQUE"),($AN1440*2*6.8)/100,0))</f>
        <v>1.8632</v>
      </c>
      <c r="BK1440" s="153" t="n">
        <f aca="false">IF(AND($M1440&lt;&gt;"",$N1440="VCA",$Q1440="LINEAR"),($M1440*2.5)/50,IF(AND($M1440&lt;&gt;"",$N1440="MND",$Q1440="EMBOQUE"),($AN1440*2*2.5)/50,0))</f>
        <v>1.37</v>
      </c>
      <c r="BL1440" s="157" t="str">
        <f aca="false">K1440&amp;J1440</f>
        <v>Zona11REDES</v>
      </c>
      <c r="BM1440" s="152" t="s">
        <v>6084</v>
      </c>
      <c r="BN1440" s="152" t="s">
        <v>1560</v>
      </c>
      <c r="BO1440" s="152" t="s">
        <v>6822</v>
      </c>
      <c r="BP1440" s="152" t="s">
        <v>6720</v>
      </c>
      <c r="BQ1440" s="152" t="s">
        <v>6757</v>
      </c>
      <c r="BR1440" s="152" t="s">
        <v>6972</v>
      </c>
      <c r="BS1440" s="152" t="n">
        <v>204444.247</v>
      </c>
      <c r="BT1440" s="152" t="n">
        <v>8235964.632</v>
      </c>
      <c r="BU1440" s="152" t="n">
        <v>204470.768</v>
      </c>
      <c r="BV1440" s="152" t="n">
        <v>8235971.523</v>
      </c>
      <c r="BW1440" s="152" t="n">
        <v>-15.9379863</v>
      </c>
      <c r="BX1440" s="152" t="n">
        <v>-47.7605333</v>
      </c>
      <c r="BY1440" s="152" t="s">
        <v>6720</v>
      </c>
    </row>
    <row r="1441" customFormat="false" ht="13.8" hidden="false" customHeight="false" outlineLevel="0" collapsed="false">
      <c r="A1441" s="149" t="n">
        <f aca="false">IF(C1441&lt;&gt;"",ROW(A1436),"")</f>
        <v>1436</v>
      </c>
      <c r="B1441" s="150" t="str">
        <f aca="false">HYPERLINK("https://www.google.com/maps/dir/-15.917302,-47.760003/-15.9397286,-47.7666869/data=!4m3!4m2!3e0!5i1")</f>
        <v>https://www.google.com/maps/dir/-15.917302,-47.760003/-15.9397286,-47.7666869/data=!4m3!4m2!3e0!5i1</v>
      </c>
      <c r="C1441" s="151" t="s">
        <v>117</v>
      </c>
      <c r="D1441" s="152" t="s">
        <v>112</v>
      </c>
      <c r="E1441" s="152" t="s">
        <v>113</v>
      </c>
      <c r="F1441" s="152" t="s">
        <v>117</v>
      </c>
      <c r="G1441" s="152" t="s">
        <v>114</v>
      </c>
      <c r="H1441" s="152" t="n">
        <v>225</v>
      </c>
      <c r="I1441" s="152" t="s">
        <v>115</v>
      </c>
      <c r="J1441" s="152" t="s">
        <v>6</v>
      </c>
      <c r="K1441" s="152" t="s">
        <v>6081</v>
      </c>
      <c r="L1441" s="152" t="s">
        <v>120</v>
      </c>
      <c r="M1441" s="153" t="n">
        <f aca="false">45.78+0.14</f>
        <v>45.92</v>
      </c>
      <c r="N1441" s="152" t="s">
        <v>1548</v>
      </c>
      <c r="O1441" s="152" t="s">
        <v>1549</v>
      </c>
      <c r="P1441" s="152" t="s">
        <v>1550</v>
      </c>
      <c r="Q1441" s="152" t="s">
        <v>1551</v>
      </c>
      <c r="R1441" s="154" t="s">
        <v>6973</v>
      </c>
      <c r="S1441" s="154" t="s">
        <v>1593</v>
      </c>
      <c r="T1441" s="155" t="s">
        <v>6974</v>
      </c>
      <c r="U1441" s="152" t="str">
        <f aca="false">RIGHT(T1441,7)</f>
        <v>026/037</v>
      </c>
      <c r="V1441" s="152"/>
      <c r="W1441" s="156"/>
      <c r="X1441" s="152" t="s">
        <v>1594</v>
      </c>
      <c r="Y1441" s="152" t="s">
        <v>1986</v>
      </c>
      <c r="Z1441" s="152" t="s">
        <v>1557</v>
      </c>
      <c r="AA1441" s="153" t="n">
        <v>5.2</v>
      </c>
      <c r="AB1441" s="151" t="s">
        <v>6975</v>
      </c>
      <c r="AC1441" s="151" t="s">
        <v>508</v>
      </c>
      <c r="AD1441" s="151" t="str">
        <f aca="false">CONCATENATE($C1441,$I1441,$H1441,$N1441,$J1441,$K1441)</f>
        <v>TUBO PEADPEAD225VCAREDESZona11</v>
      </c>
      <c r="AE1441" s="153" t="n">
        <f aca="false">IFERROR(INDEX(APOIO_REDES!$A:$W,MATCH($C1441&amp;$I1441&amp;$H1441&amp;$N1441&amp;$O1441,APOIO_REDES!$W:$W,0),MATCH(AE$5,APOIO_REDES!$5:$5,0)),0)</f>
        <v>1.2</v>
      </c>
      <c r="AF1441" s="153" t="n">
        <f aca="false">IFERROR(INDEX(APOIO_REDES!$A:$W,MATCH($C1441&amp;$I1441&amp;$H1441&amp;$N1441&amp;$O1441,APOIO_REDES!$W:$W,0),MATCH(AF$5,APOIO_REDES!$5:$5,0)),0)</f>
        <v>1.525</v>
      </c>
      <c r="AG1441" s="153" t="n">
        <f aca="false">IFERROR(INDEX(APOIO_REDES!$A:$W,MATCH($C1441&amp;$I1441&amp;$H1441&amp;$N1441&amp;$O1441,APOIO_REDES!$W:$W,0),MATCH(AG$5,APOIO_REDES!$5:$5,0)),0)</f>
        <v>0.8</v>
      </c>
      <c r="AH1441" s="153" t="n">
        <f aca="false">IFERROR(INDEX(APOIO_REDES!$A:$W,MATCH($C1441&amp;$I1441&amp;$H1441&amp;$N1441&amp;$O1441,APOIO_REDES!$W:$W,0),MATCH(AH$5,APOIO_REDES!$5:$5,0)),0)</f>
        <v>0.1</v>
      </c>
      <c r="AI1441" s="153" t="n">
        <f aca="false">IFERROR(IF($H1441&lt;&gt;"",(((($H1441/1000)/2)^2)*PI()*$M1441),0),0)</f>
        <v>1.82581511045005</v>
      </c>
      <c r="AJ1441" s="153" t="n">
        <f aca="false">IFERROR(IF(AND($H1441&lt;&gt;"",$I1441="FoFo",OR($N1441="MND",$N1441="VCA"),$Q1441="LINEAR"),0,IF(AND($H1441&lt;&gt;"",$I1441="PEAD",$N1441="VCA",$Q1441="LINEAR"),($H1441/1000)+0.3,IF(AND($H1441&lt;&gt;"",$I1441="PEAD",$N1441="MND",$Q1441="EMBOQUE"),0,IF(AND($H1441&lt;&gt;"",$I1441="PVC",$N1441="VCA",$Q1441="LINEAR"),($H1441/1000)+0.2,IF(AND($H1441&lt;&gt;"",$I1441="PVC",$N1441="MND",$Q1441="EMBOQUE"),0,IF(AND($H1441&lt;&gt;"",$I1441="PEAD",$N1441="VCA",$Q1441="PREDIAL"),0,0)))))),0)</f>
        <v>0.525</v>
      </c>
      <c r="AK1441" s="153" t="n">
        <f aca="false">IF(AA1441&lt;&gt;"",AA1441,0)</f>
        <v>5.2</v>
      </c>
      <c r="AL1441" s="153" t="n">
        <f aca="false">IF(AND($N1441="MND",$Q1441="EMBOQUE"),$M1441,IF(AND($N1441="VCA",$Q1441="LINEAR"),$M1441,IF(AND($N1441="VCA",$Q1441="PREDIAL"),0,0)))</f>
        <v>45.92</v>
      </c>
      <c r="AM1441" s="153" t="n">
        <f aca="false">IF(AND($N1441="MND",$Q1441="EMBOQUE"),$M1441,IF(AND($N1441="VCA",$Q1441="LINEAR"),$M1441,IF(AND($N1441="VCA",$Q1441="PREDIAL"),0,0)))</f>
        <v>45.92</v>
      </c>
      <c r="AN1441" s="153" t="n">
        <f aca="false">ROUND(IF(AND($N1441="VCA",$M1441&lt;&gt;"",$Q1441="LINEAR"),$M1441/100,IF(AND($N1441="MND",$M1441&gt;100,$Q1441="EMBOQUE"),$M1441/100,0)),0)</f>
        <v>0</v>
      </c>
      <c r="AO1441" s="153" t="n">
        <f aca="false">IF(AND($N1441="MND",$Q1441="EMBOQUE"),$AN1441*2*2,IF(AND($N1441="VCA",$Q1441="LINEAR"),$M1441*2,IF(AND($N1441="VCA",$Q1441="PREDIAL"),0,0)))</f>
        <v>91.84</v>
      </c>
      <c r="AP1441" s="153" t="n">
        <f aca="false">IFERROR($M1441*$AF1441*$AG1441,0)</f>
        <v>56.0224</v>
      </c>
      <c r="AQ1441" s="153" t="n">
        <f aca="false">IFERROR(IF(AND($N1441="VCA",$AH1441&gt;0),$M1441*$AG1441*$AH1441,0),0)</f>
        <v>3.6736</v>
      </c>
      <c r="AR1441" s="153" t="n">
        <f aca="false">IFERROR(IF(AND($N1441="VCA",$AJ1441&gt;0),($M1441*$AG1441*$AJ1441)-$AI1441,0),0)</f>
        <v>17.46058488955</v>
      </c>
      <c r="AS1441" s="153" t="n">
        <f aca="false">IFERROR(IF(AND($N1441="VCA",$AP1441&gt;0),$AP1441-$AI1441-$AQ1441-$AR1441,0),0)</f>
        <v>33.0624</v>
      </c>
      <c r="AT1441" s="153" t="n">
        <f aca="false">IFERROR(IF($N1441="VCA",INDEX(APOIO_REDES!$A:$W,MATCH($C1441&amp;$I1441&amp;$H1441&amp;$N1441&amp;$O1441,APOIO_REDES!$W:$W,0),MATCH(AT$5,APOIO_REDES!$5:$5,0)),0)*$AP1441,0)</f>
        <v>0.609540293783985</v>
      </c>
      <c r="AU1441" s="153" t="n">
        <f aca="false">IFERROR(IF($N1441="VCA",INDEX(APOIO_REDES!$A:$W,MATCH($C1441&amp;$I1441&amp;$H1441&amp;$N1441&amp;$O1441,APOIO_REDES!$W:$W,0),MATCH(AU$5,APOIO_REDES!$5:$5,0)),0)*$AP1441,0)</f>
        <v>0.486762370171125</v>
      </c>
      <c r="AV1441" s="153" t="n">
        <f aca="false">IFERROR(IF($N1441="VCA",INDEX(APOIO_REDES!$A:$W,MATCH($C1441&amp;$I1441&amp;$H1441&amp;$N1441&amp;$O1441,APOIO_REDES!$W:$W,0),MATCH(AV$5,APOIO_REDES!$5:$5,0)),0)*$AP1441,0)</f>
        <v>0.0673640907972547</v>
      </c>
      <c r="AW1441" s="153" t="n">
        <f aca="false">IFERROR(IF($N1441="VCA",INDEX(APOIO_REDES!$A:$W,MATCH($C1441&amp;$I1441&amp;$H1441&amp;$N1441&amp;$O1441,APOIO_REDES!$W:$W,0),MATCH(AW$5,APOIO_REDES!$5:$5,0)),0)*$AP1441,0)</f>
        <v>38.4542094427374</v>
      </c>
      <c r="AX1441" s="153" t="n">
        <f aca="false">IFERROR(IF($N1441="VCA",INDEX(APOIO_REDES!$A:$W,MATCH($C1441&amp;$I1441&amp;$H1441&amp;$N1441&amp;$O1441,APOIO_REDES!$W:$W,0),MATCH(AX$5,APOIO_REDES!$5:$5,0)),0)*$AP1441,0)</f>
        <v>5.32195304798581</v>
      </c>
      <c r="AY1441" s="153" t="n">
        <f aca="false">IFERROR(IF($N1441="VCA",INDEX(APOIO_REDES!$A:$W,MATCH($C1441&amp;$I1441&amp;$H1441&amp;$N1441&amp;$O1441,APOIO_REDES!$W:$W,0),MATCH(AY$5,APOIO_REDES!$5:$5,0)),0)*$AP1441,0)</f>
        <v>9.73524146982867</v>
      </c>
      <c r="AZ1441" s="153" t="n">
        <f aca="false">IFERROR(IF($N1441="VCA",INDEX(APOIO_REDES!$A:$W,MATCH($C1441&amp;$I1441&amp;$H1441&amp;$N1441&amp;$O1441,APOIO_REDES!$W:$W,0),MATCH(AZ$5,APOIO_REDES!$5:$5,0)),0)*$AP1441,0)</f>
        <v>1.34732928469577</v>
      </c>
      <c r="BA1441" s="153" t="n">
        <f aca="false">IFERROR(IF(AND($N1441="VCA",$Q1441="LINEAR"),INDEX(APOIO_REDES!$A:$W,MATCH($C1441&amp;$I1441&amp;$H1441&amp;$N1441&amp;$O1441,APOIO_REDES!$W:$W,0),MATCH(BA$5,APOIO_REDES!$5:$5,0)),IF(AND($N1441="MND",$Q1441="EMBOQUE"),INDEX(APOIO_REDES!$A:$W,MATCH($C1441&amp;$I1441&amp;$H1441&amp;$N1441&amp;$O1441,APOIO_REDES!$W:$W,0),MATCH(BA$5,APOIO_REDES!$5:$5,0)),0))*$M1441/10,0)</f>
        <v>3.70103617046351</v>
      </c>
      <c r="BB1441" s="153" t="n">
        <f aca="false">IFERROR(IF($N1441="VCA",INDEX(APOIO_REDES!$A:$W,MATCH($C1441&amp;$I1441&amp;$H1441&amp;$N1441&amp;$O1441,APOIO_REDES!$W:$W,0),MATCH(BB$5,APOIO_REDES!$5:$5,0)),0)*($AI1441+$AQ1441+$AR1441),0)</f>
        <v>22.7101884041869</v>
      </c>
      <c r="BC1441" s="153" t="n">
        <f aca="false">IFERROR(IF($N1441="VCA",INDEX(APOIO_REDES!$A:$W,MATCH($C1441&amp;$I1441&amp;$H1441&amp;$N1441&amp;$O1441,APOIO_REDES!$W:$W,0),MATCH(BC$5,APOIO_REDES!$5:$5,0)),0)*($AI1441+$AQ1441+$AR1441),0)</f>
        <v>0.249811595813109</v>
      </c>
      <c r="BD1441" s="153" t="n">
        <f aca="false">IF(AND($N1441="VCA",$AF1441&gt;=1.25,$AF1441&lt;1.5),$M1441*$AF1441*2,0)</f>
        <v>0</v>
      </c>
      <c r="BE1441" s="153" t="n">
        <f aca="false">IF(AND($N1441="VCA",$AF1441&gt;=1.5,$AF1441&lt;3),$M1441*$AF1441*2,0)</f>
        <v>140.056</v>
      </c>
      <c r="BF1441" s="153" t="n">
        <f aca="false">IF(AND($N1441="VCA",$AF1441&gt;=3),$M1441*$AF1441*2,0)</f>
        <v>0</v>
      </c>
      <c r="BG1441" s="153" t="n">
        <f aca="false">($BB1441+$BC1441)*$AK1441</f>
        <v>119.392</v>
      </c>
      <c r="BH1441" s="153" t="n">
        <f aca="false">IF(AND($M1441&lt;&gt;"",$N1441="VCA",$Q1441="LINEAR"),($M1441*2)/100,IF(AND($M1441&lt;&gt;"",$N1441="MND",$Q1441="EMBOQUE"),($AN1441*2)/100,0))</f>
        <v>0.9184</v>
      </c>
      <c r="BI1441" s="153" t="n">
        <f aca="false">IF(AND($M1441&lt;&gt;"",$N1441="VCA",$Q1441="LINEAR"),$M1441,IF(AND($M1441&lt;&gt;"",$N1441="MND",$Q1441="EMBOQUE"),$AN1441*2,0))</f>
        <v>45.92</v>
      </c>
      <c r="BJ1441" s="153" t="n">
        <f aca="false">IF(AND($M1441&lt;&gt;"",$N1441="VCA",$Q1441="LINEAR"),($M1441*6.8)/100,IF(AND($M1441&lt;&gt;"",$N1441="MND",$Q1441="EMBOQUE"),($AN1441*2*6.8)/100,0))</f>
        <v>3.12256</v>
      </c>
      <c r="BK1441" s="153" t="n">
        <f aca="false">IF(AND($M1441&lt;&gt;"",$N1441="VCA",$Q1441="LINEAR"),($M1441*2.5)/50,IF(AND($M1441&lt;&gt;"",$N1441="MND",$Q1441="EMBOQUE"),($AN1441*2*2.5)/50,0))</f>
        <v>2.296</v>
      </c>
      <c r="BL1441" s="157" t="str">
        <f aca="false">K1441&amp;J1441</f>
        <v>Zona11REDES</v>
      </c>
      <c r="BM1441" s="152" t="s">
        <v>6084</v>
      </c>
      <c r="BN1441" s="152" t="s">
        <v>1560</v>
      </c>
      <c r="BO1441" s="152" t="s">
        <v>6976</v>
      </c>
      <c r="BP1441" s="152" t="s">
        <v>6508</v>
      </c>
      <c r="BQ1441" s="152" t="s">
        <v>6817</v>
      </c>
      <c r="BR1441" s="152" t="s">
        <v>6977</v>
      </c>
      <c r="BS1441" s="152" t="n">
        <v>203800.832</v>
      </c>
      <c r="BT1441" s="152" t="n">
        <v>8235766.431</v>
      </c>
      <c r="BU1441" s="152" t="n">
        <v>203844.711</v>
      </c>
      <c r="BV1441" s="152" t="n">
        <v>8235779.491</v>
      </c>
      <c r="BW1441" s="152" t="n">
        <v>-15.9396723</v>
      </c>
      <c r="BX1441" s="152" t="n">
        <v>-47.7664813</v>
      </c>
      <c r="BY1441" s="152" t="s">
        <v>6508</v>
      </c>
    </row>
  </sheetData>
  <mergeCells count="1">
    <mergeCell ref="A1:L2"/>
  </mergeCells>
  <dataValidations count="7">
    <dataValidation allowBlank="true" errorStyle="stop" operator="between" showDropDown="false" showErrorMessage="true" showInputMessage="true" sqref="J6:J413" type="list">
      <formula1>"REDES"</formula1>
      <formula2>0</formula2>
    </dataValidation>
    <dataValidation allowBlank="true" errorStyle="stop" operator="between" showDropDown="false" showErrorMessage="true" showInputMessage="true" sqref="N6:N413" type="list">
      <formula1>"VCA,MND"</formula1>
      <formula2>0</formula2>
    </dataValidation>
    <dataValidation allowBlank="true" errorStyle="stop" operator="between" showDropDown="false" showErrorMessage="true" showInputMessage="true" sqref="O6:O413" type="list">
      <formula1>"VIA,PASSEIO"</formula1>
      <formula2>0</formula2>
    </dataValidation>
    <dataValidation allowBlank="true" errorStyle="stop" operator="between" showDropDown="false" showErrorMessage="true" showInputMessage="true" sqref="P6:P413" type="list">
      <formula1>"REDE,LIGAÇÃO"</formula1>
      <formula2>0</formula2>
    </dataValidation>
    <dataValidation allowBlank="true" errorStyle="stop" operator="between" showDropDown="false" showErrorMessage="true" showInputMessage="true" sqref="Q6:Q413" type="list">
      <formula1>"LINEAR,EMBOQUE,PREDIAL"</formula1>
      <formula2>0</formula2>
    </dataValidation>
    <dataValidation allowBlank="true" errorStyle="stop" operator="between" showDropDown="false" showErrorMessage="true" showInputMessage="true" sqref="C6:C413" type="list">
      <formula1>"TUBO PEAD,TUBO PVC,TUBO FERRO FUNDIDO,TUBO AÇO"</formula1>
      <formula2>0</formula2>
    </dataValidation>
    <dataValidation allowBlank="true" errorStyle="stop" operator="between" showDropDown="false" showErrorMessage="true" showInputMessage="true" sqref="K6:K1441" type="list">
      <formula1>"Zona01,Zona02,Zona03,Zona04,Zona05,Zona06,Zona07,Zona08,Zona09,Zona10,Zona11,ADUTORA"</formula1>
      <formula2>0</formula2>
    </dataValidation>
  </dataValidation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2"/>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5" topLeftCell="A6" activePane="bottomLeft" state="frozen"/>
      <selection pane="topLeft" activeCell="A1" activeCellId="0" sqref="A1"/>
      <selection pane="bottomLeft" activeCell="C13" activeCellId="0" sqref="C13"/>
    </sheetView>
  </sheetViews>
  <sheetFormatPr defaultColWidth="8.6796875" defaultRowHeight="14.4" zeroHeight="false" outlineLevelRow="0" outlineLevelCol="0"/>
  <cols>
    <col collapsed="false" customWidth="true" hidden="false" outlineLevel="0" max="1" min="1" style="158" width="23.56"/>
    <col collapsed="false" customWidth="true" hidden="false" outlineLevel="0" max="2" min="2" style="158" width="16.11"/>
    <col collapsed="false" customWidth="true" hidden="false" outlineLevel="0" max="3" min="3" style="158" width="16.67"/>
    <col collapsed="false" customWidth="true" hidden="false" outlineLevel="0" max="4" min="4" style="158" width="12.67"/>
    <col collapsed="false" customWidth="true" hidden="false" outlineLevel="0" max="5" min="5" style="158" width="20.56"/>
    <col collapsed="false" customWidth="true" hidden="false" outlineLevel="0" max="6" min="6" style="158" width="16.33"/>
    <col collapsed="false" customWidth="true" hidden="false" outlineLevel="0" max="7" min="7" style="3" width="13.56"/>
    <col collapsed="false" customWidth="true" hidden="false" outlineLevel="0" max="9" min="8" style="3" width="12.33"/>
    <col collapsed="false" customWidth="true" hidden="false" outlineLevel="0" max="10" min="10" style="3" width="14.11"/>
    <col collapsed="false" customWidth="true" hidden="false" outlineLevel="0" max="11" min="11" style="3" width="20.44"/>
    <col collapsed="false" customWidth="true" hidden="false" outlineLevel="0" max="12" min="12" style="3" width="19.56"/>
    <col collapsed="false" customWidth="true" hidden="false" outlineLevel="0" max="13" min="13" style="3" width="25.67"/>
    <col collapsed="false" customWidth="true" hidden="false" outlineLevel="0" max="17" min="14" style="3" width="30.22"/>
    <col collapsed="false" customWidth="true" hidden="false" outlineLevel="0" max="18" min="18" style="3" width="30"/>
    <col collapsed="false" customWidth="true" hidden="false" outlineLevel="0" max="20" min="19" style="3" width="14"/>
    <col collapsed="false" customWidth="true" hidden="false" outlineLevel="0" max="21" min="21" style="3" width="18"/>
    <col collapsed="false" customWidth="true" hidden="false" outlineLevel="0" max="22" min="22" style="3" width="19"/>
    <col collapsed="false" customWidth="true" hidden="false" outlineLevel="0" max="23" min="23" style="3" width="41.67"/>
    <col collapsed="false" customWidth="true" hidden="false" outlineLevel="0" max="24" min="24" style="3" width="22.33"/>
    <col collapsed="false" customWidth="true" hidden="false" outlineLevel="0" max="26" min="26" style="3" width="13.34"/>
    <col collapsed="false" customWidth="true" hidden="false" outlineLevel="0" max="28" min="28" style="3" width="81.56"/>
    <col collapsed="false" customWidth="true" hidden="false" outlineLevel="0" max="29" min="29" style="3" width="11.11"/>
    <col collapsed="false" customWidth="true" hidden="false" outlineLevel="0" max="30" min="30" style="3" width="11.89"/>
    <col collapsed="false" customWidth="true" hidden="false" outlineLevel="0" max="32" min="31" style="3" width="10.33"/>
  </cols>
  <sheetData>
    <row r="1" customFormat="false" ht="19.95" hidden="false" customHeight="true" outlineLevel="0" collapsed="false"/>
    <row r="2" customFormat="false" ht="19.95" hidden="false" customHeight="true" outlineLevel="0" collapsed="false"/>
    <row r="3" customFormat="false" ht="19.95" hidden="false" customHeight="true" outlineLevel="0" collapsed="false">
      <c r="L3" s="159"/>
      <c r="M3" s="160"/>
      <c r="N3" s="161"/>
    </row>
    <row r="4" customFormat="false" ht="19.95" hidden="false" customHeight="true" outlineLevel="0" collapsed="false">
      <c r="J4" s="158"/>
      <c r="K4" s="158"/>
      <c r="L4" s="160"/>
      <c r="M4" s="158"/>
      <c r="N4" s="158"/>
      <c r="O4" s="158"/>
      <c r="P4" s="158"/>
      <c r="Q4" s="158"/>
      <c r="R4" s="158"/>
      <c r="S4" s="158"/>
      <c r="T4" s="158"/>
      <c r="U4" s="158"/>
    </row>
    <row r="5" s="166" customFormat="true" ht="40.2" hidden="false" customHeight="true" outlineLevel="0" collapsed="false">
      <c r="A5" s="162" t="s">
        <v>21</v>
      </c>
      <c r="B5" s="163" t="s">
        <v>27</v>
      </c>
      <c r="C5" s="163" t="s">
        <v>26</v>
      </c>
      <c r="D5" s="163" t="s">
        <v>6978</v>
      </c>
      <c r="E5" s="163" t="s">
        <v>1483</v>
      </c>
      <c r="F5" s="163" t="s">
        <v>28</v>
      </c>
      <c r="G5" s="163" t="s">
        <v>1500</v>
      </c>
      <c r="H5" s="163" t="s">
        <v>1501</v>
      </c>
      <c r="I5" s="163" t="s">
        <v>1502</v>
      </c>
      <c r="J5" s="163" t="s">
        <v>1503</v>
      </c>
      <c r="K5" s="163" t="s">
        <v>6979</v>
      </c>
      <c r="L5" s="163" t="s">
        <v>1515</v>
      </c>
      <c r="M5" s="163" t="s">
        <v>1516</v>
      </c>
      <c r="N5" s="163" t="s">
        <v>1517</v>
      </c>
      <c r="O5" s="163" t="s">
        <v>1518</v>
      </c>
      <c r="P5" s="163" t="s">
        <v>1519</v>
      </c>
      <c r="Q5" s="163" t="s">
        <v>1520</v>
      </c>
      <c r="R5" s="163" t="s">
        <v>1521</v>
      </c>
      <c r="S5" s="163" t="s">
        <v>1522</v>
      </c>
      <c r="T5" s="163" t="s">
        <v>1523</v>
      </c>
      <c r="U5" s="163" t="s">
        <v>1524</v>
      </c>
      <c r="V5" s="163" t="s">
        <v>6980</v>
      </c>
      <c r="W5" s="163" t="s">
        <v>6981</v>
      </c>
      <c r="X5" s="164" t="s">
        <v>6982</v>
      </c>
      <c r="Y5" s="165"/>
      <c r="AA5" s="166" t="s">
        <v>6983</v>
      </c>
      <c r="AB5" s="166" t="s">
        <v>21</v>
      </c>
      <c r="AC5" s="166" t="s">
        <v>34</v>
      </c>
      <c r="AD5" s="166" t="s">
        <v>6984</v>
      </c>
      <c r="AE5" s="166" t="s">
        <v>4</v>
      </c>
      <c r="AF5" s="166" t="s">
        <v>6985</v>
      </c>
    </row>
    <row r="6" customFormat="false" ht="14.4" hidden="false" customHeight="false" outlineLevel="0" collapsed="false">
      <c r="A6" s="167" t="s">
        <v>117</v>
      </c>
      <c r="B6" s="155" t="s">
        <v>115</v>
      </c>
      <c r="C6" s="155" t="n">
        <v>63</v>
      </c>
      <c r="D6" s="155" t="s">
        <v>1549</v>
      </c>
      <c r="E6" s="155" t="s">
        <v>1548</v>
      </c>
      <c r="F6" s="155" t="s">
        <v>6</v>
      </c>
      <c r="G6" s="168" t="n">
        <v>1.2</v>
      </c>
      <c r="H6" s="168" t="n">
        <f aca="false">IFERROR(IF($C6&lt;&gt;"",($C6/1000)+$G6+$J6,0),)</f>
        <v>1.363</v>
      </c>
      <c r="I6" s="168" t="n">
        <v>0.65</v>
      </c>
      <c r="J6" s="168" t="n">
        <v>0.1</v>
      </c>
      <c r="K6" s="168" t="n">
        <f aca="false">IFERROR(IF(AND($C6&lt;&gt;"",$B6="FoFo"),0,IF(AND($C6&lt;&gt;"",$B6="PVC"),($C6/1000)+0.2,IF(AND($C6&lt;&gt;"",$B6="PEAD"),($C6/1000)+0.3,0))),0)</f>
        <v>0.363</v>
      </c>
      <c r="L6" s="169" t="n">
        <f aca="false">$AD$6</f>
        <v>0.0108802959848915</v>
      </c>
      <c r="M6" s="169" t="n">
        <f aca="false">$AD$7</f>
        <v>0.00868870969774814</v>
      </c>
      <c r="N6" s="169" t="n">
        <f aca="false">$AD$8</f>
        <v>0.00120244921312287</v>
      </c>
      <c r="O6" s="169" t="n">
        <f aca="false">$AD$9</f>
        <v>0.686407748378102</v>
      </c>
      <c r="P6" s="169" t="n">
        <f aca="false">$AD$10</f>
        <v>0.094996877106047</v>
      </c>
      <c r="Q6" s="169" t="n">
        <f aca="false">$AD$11</f>
        <v>0.173774088040296</v>
      </c>
      <c r="R6" s="169" t="n">
        <f aca="false">$AD$12</f>
        <v>0.0240498315797925</v>
      </c>
      <c r="S6" s="168" t="n">
        <f aca="false">$AD$41</f>
        <v>0.805974775797803</v>
      </c>
      <c r="T6" s="170" t="n">
        <f aca="false">1-$AD$42</f>
        <v>0.989119704015109</v>
      </c>
      <c r="U6" s="170" t="n">
        <f aca="false">$AD$42</f>
        <v>0.0108802959848915</v>
      </c>
      <c r="V6" s="168" t="s">
        <v>6986</v>
      </c>
      <c r="W6" s="168" t="str">
        <f aca="false">CONCATENATE($A6,$B6,$C6,$E6,$D6)</f>
        <v>TUBO PEADPEAD63VCAVIA</v>
      </c>
      <c r="X6" s="171" t="str">
        <f aca="false">CONCATENATE(C6,B6,F6)</f>
        <v>63PEADREDES</v>
      </c>
      <c r="Y6" s="172"/>
      <c r="Z6" s="3" t="s">
        <v>6</v>
      </c>
      <c r="AA6" s="3" t="s">
        <v>380</v>
      </c>
      <c r="AB6" s="3" t="s">
        <v>6987</v>
      </c>
      <c r="AC6" s="173" t="n">
        <v>1027.27</v>
      </c>
      <c r="AD6" s="161" t="n">
        <f aca="false">AC6/$AC$13</f>
        <v>0.0108802959848915</v>
      </c>
      <c r="AE6" s="173"/>
      <c r="AF6" s="173" t="n">
        <f aca="false">AC6-AE6</f>
        <v>1027.27</v>
      </c>
    </row>
    <row r="7" customFormat="false" ht="14.4" hidden="false" customHeight="false" outlineLevel="0" collapsed="false">
      <c r="A7" s="167" t="s">
        <v>117</v>
      </c>
      <c r="B7" s="155" t="s">
        <v>115</v>
      </c>
      <c r="C7" s="155" t="n">
        <v>90</v>
      </c>
      <c r="D7" s="155" t="s">
        <v>1549</v>
      </c>
      <c r="E7" s="155" t="s">
        <v>1548</v>
      </c>
      <c r="F7" s="155" t="s">
        <v>6</v>
      </c>
      <c r="G7" s="168" t="n">
        <v>1.2</v>
      </c>
      <c r="H7" s="168" t="n">
        <f aca="false">IFERROR(IF($C7&lt;&gt;"",($C7/1000)+$G7+$J7,0),)</f>
        <v>1.39</v>
      </c>
      <c r="I7" s="168" t="n">
        <v>0.75</v>
      </c>
      <c r="J7" s="168" t="n">
        <v>0.1</v>
      </c>
      <c r="K7" s="168" t="n">
        <f aca="false">IFERROR(IF(AND($C7&lt;&gt;"",$B7="FoFo"),0,IF(AND($C7&lt;&gt;"",$B7="PVC"),($C7/1000)+0.2,IF(AND($C7&lt;&gt;"",$B7="PEAD"),($C7/1000)+0.3,0))),0)</f>
        <v>0.39</v>
      </c>
      <c r="L7" s="169" t="n">
        <f aca="false">$AD$6</f>
        <v>0.0108802959848915</v>
      </c>
      <c r="M7" s="169" t="n">
        <f aca="false">$AD$7</f>
        <v>0.00868870969774814</v>
      </c>
      <c r="N7" s="169" t="n">
        <f aca="false">$AD$8</f>
        <v>0.00120244921312287</v>
      </c>
      <c r="O7" s="169" t="n">
        <f aca="false">$AD$9</f>
        <v>0.686407748378102</v>
      </c>
      <c r="P7" s="169" t="n">
        <f aca="false">$AD$10</f>
        <v>0.094996877106047</v>
      </c>
      <c r="Q7" s="169" t="n">
        <f aca="false">$AD$11</f>
        <v>0.173774088040296</v>
      </c>
      <c r="R7" s="169" t="n">
        <f aca="false">$AD$12</f>
        <v>0.0240498315797925</v>
      </c>
      <c r="S7" s="168" t="n">
        <f aca="false">$AD$41</f>
        <v>0.805974775797803</v>
      </c>
      <c r="T7" s="170" t="n">
        <f aca="false">1-$AD$42</f>
        <v>0.989119704015109</v>
      </c>
      <c r="U7" s="170" t="n">
        <f aca="false">$AD$42</f>
        <v>0.0108802959848915</v>
      </c>
      <c r="V7" s="168" t="s">
        <v>6986</v>
      </c>
      <c r="W7" s="168" t="str">
        <f aca="false">CONCATENATE($A7,$B7,$C7,$E7,$D7)</f>
        <v>TUBO PEADPEAD90VCAVIA</v>
      </c>
      <c r="X7" s="171" t="str">
        <f aca="false">CONCATENATE(C7,B7,F7)</f>
        <v>90PEADREDES</v>
      </c>
      <c r="Y7" s="172"/>
      <c r="Z7" s="3" t="s">
        <v>6</v>
      </c>
      <c r="AA7" s="3" t="s">
        <v>383</v>
      </c>
      <c r="AB7" s="3" t="s">
        <v>6988</v>
      </c>
      <c r="AC7" s="173" t="n">
        <v>820.35</v>
      </c>
      <c r="AD7" s="161" t="n">
        <f aca="false">AC7/$AC$13</f>
        <v>0.00868870969774814</v>
      </c>
      <c r="AE7" s="173"/>
      <c r="AF7" s="173" t="n">
        <f aca="false">AC7-AE7</f>
        <v>820.35</v>
      </c>
    </row>
    <row r="8" customFormat="false" ht="14.4" hidden="false" customHeight="false" outlineLevel="0" collapsed="false">
      <c r="A8" s="167" t="s">
        <v>117</v>
      </c>
      <c r="B8" s="155" t="s">
        <v>115</v>
      </c>
      <c r="C8" s="155" t="n">
        <v>110</v>
      </c>
      <c r="D8" s="155" t="s">
        <v>1549</v>
      </c>
      <c r="E8" s="155" t="s">
        <v>1548</v>
      </c>
      <c r="F8" s="155" t="s">
        <v>6</v>
      </c>
      <c r="G8" s="168" t="n">
        <v>1.2</v>
      </c>
      <c r="H8" s="168" t="n">
        <f aca="false">IFERROR(IF($C8&lt;&gt;"",($C8/1000)+$G8+$J8,0),)</f>
        <v>1.41</v>
      </c>
      <c r="I8" s="168" t="n">
        <v>0.75</v>
      </c>
      <c r="J8" s="168" t="n">
        <v>0.1</v>
      </c>
      <c r="K8" s="168" t="n">
        <f aca="false">IFERROR(IF(AND($C8&lt;&gt;"",$B8="FoFo"),0,IF(AND($C8&lt;&gt;"",$B8="PVC"),($C8/1000)+0.2,IF(AND($C8&lt;&gt;"",$B8="PEAD"),($C8/1000)+0.3,0))),0)</f>
        <v>0.41</v>
      </c>
      <c r="L8" s="169" t="n">
        <f aca="false">$AD$6</f>
        <v>0.0108802959848915</v>
      </c>
      <c r="M8" s="169" t="n">
        <f aca="false">$AD$7</f>
        <v>0.00868870969774814</v>
      </c>
      <c r="N8" s="169" t="n">
        <f aca="false">$AD$8</f>
        <v>0.00120244921312287</v>
      </c>
      <c r="O8" s="169" t="n">
        <f aca="false">$AD$9</f>
        <v>0.686407748378102</v>
      </c>
      <c r="P8" s="169" t="n">
        <f aca="false">$AD$10</f>
        <v>0.094996877106047</v>
      </c>
      <c r="Q8" s="169" t="n">
        <f aca="false">$AD$11</f>
        <v>0.173774088040296</v>
      </c>
      <c r="R8" s="169" t="n">
        <f aca="false">$AD$12</f>
        <v>0.0240498315797925</v>
      </c>
      <c r="S8" s="168" t="n">
        <f aca="false">$AD$41</f>
        <v>0.805974775797803</v>
      </c>
      <c r="T8" s="170" t="n">
        <f aca="false">1-$AD$42</f>
        <v>0.989119704015109</v>
      </c>
      <c r="U8" s="170" t="n">
        <f aca="false">$AD$42</f>
        <v>0.0108802959848915</v>
      </c>
      <c r="V8" s="168" t="s">
        <v>6986</v>
      </c>
      <c r="W8" s="168" t="str">
        <f aca="false">CONCATENATE($A8,$B8,$C8,$E8,$D8)</f>
        <v>TUBO PEADPEAD110VCAVIA</v>
      </c>
      <c r="X8" s="171" t="str">
        <f aca="false">CONCATENATE(C8,B8,F8)</f>
        <v>110PEADREDES</v>
      </c>
      <c r="Y8" s="172"/>
      <c r="Z8" s="3" t="s">
        <v>6</v>
      </c>
      <c r="AA8" s="3" t="s">
        <v>386</v>
      </c>
      <c r="AB8" s="3" t="s">
        <v>6989</v>
      </c>
      <c r="AC8" s="173" t="n">
        <v>113.53</v>
      </c>
      <c r="AD8" s="161" t="n">
        <f aca="false">AC8/$AC$13</f>
        <v>0.00120244921312287</v>
      </c>
      <c r="AE8" s="173"/>
      <c r="AF8" s="173" t="n">
        <f aca="false">AC8-AE8</f>
        <v>113.53</v>
      </c>
    </row>
    <row r="9" customFormat="false" ht="14.4" hidden="false" customHeight="false" outlineLevel="0" collapsed="false">
      <c r="A9" s="167" t="s">
        <v>117</v>
      </c>
      <c r="B9" s="155" t="s">
        <v>115</v>
      </c>
      <c r="C9" s="155" t="n">
        <v>125</v>
      </c>
      <c r="D9" s="155" t="s">
        <v>1549</v>
      </c>
      <c r="E9" s="155" t="s">
        <v>1548</v>
      </c>
      <c r="F9" s="155" t="s">
        <v>6</v>
      </c>
      <c r="G9" s="168" t="n">
        <v>1.2</v>
      </c>
      <c r="H9" s="168" t="n">
        <f aca="false">IFERROR(IF($C9&lt;&gt;"",($C9/1000)+$G9+$J9,0),)</f>
        <v>1.425</v>
      </c>
      <c r="I9" s="168" t="n">
        <v>0.75</v>
      </c>
      <c r="J9" s="168" t="n">
        <v>0.1</v>
      </c>
      <c r="K9" s="168" t="n">
        <f aca="false">IFERROR(IF(AND($C9&lt;&gt;"",$B9="FoFo"),0,IF(AND($C9&lt;&gt;"",$B9="PVC"),($C9/1000)+0.2,IF(AND($C9&lt;&gt;"",$B9="PEAD"),($C9/1000)+0.3,0))),0)</f>
        <v>0.425</v>
      </c>
      <c r="L9" s="169" t="n">
        <f aca="false">$AD$6</f>
        <v>0.0108802959848915</v>
      </c>
      <c r="M9" s="169" t="n">
        <f aca="false">$AD$7</f>
        <v>0.00868870969774814</v>
      </c>
      <c r="N9" s="169" t="n">
        <f aca="false">$AD$8</f>
        <v>0.00120244921312287</v>
      </c>
      <c r="O9" s="169" t="n">
        <f aca="false">$AD$9</f>
        <v>0.686407748378102</v>
      </c>
      <c r="P9" s="169" t="n">
        <f aca="false">$AD$10</f>
        <v>0.094996877106047</v>
      </c>
      <c r="Q9" s="169" t="n">
        <f aca="false">$AD$11</f>
        <v>0.173774088040296</v>
      </c>
      <c r="R9" s="169" t="n">
        <f aca="false">$AD$12</f>
        <v>0.0240498315797925</v>
      </c>
      <c r="S9" s="168" t="n">
        <f aca="false">$AD$41</f>
        <v>0.805974775797803</v>
      </c>
      <c r="T9" s="170" t="n">
        <f aca="false">1-$AD$42</f>
        <v>0.989119704015109</v>
      </c>
      <c r="U9" s="170" t="n">
        <f aca="false">$AD$42</f>
        <v>0.0108802959848915</v>
      </c>
      <c r="V9" s="168" t="s">
        <v>6986</v>
      </c>
      <c r="W9" s="168" t="str">
        <f aca="false">CONCATENATE($A9,$B9,$C9,$E9,$D9)</f>
        <v>TUBO PEADPEAD125VCAVIA</v>
      </c>
      <c r="X9" s="171" t="str">
        <f aca="false">CONCATENATE(C9,B9,F9)</f>
        <v>125PEADREDES</v>
      </c>
      <c r="Y9" s="172"/>
      <c r="Z9" s="3" t="s">
        <v>6</v>
      </c>
      <c r="AA9" s="3" t="s">
        <v>6990</v>
      </c>
      <c r="AB9" s="3" t="s">
        <v>6991</v>
      </c>
      <c r="AC9" s="173" t="n">
        <v>64807.62</v>
      </c>
      <c r="AD9" s="161" t="n">
        <f aca="false">AC9/$AC$13</f>
        <v>0.686407748378102</v>
      </c>
      <c r="AE9" s="173"/>
      <c r="AF9" s="173" t="n">
        <f aca="false">AC9-AE9</f>
        <v>64807.62</v>
      </c>
    </row>
    <row r="10" customFormat="false" ht="14.4" hidden="false" customHeight="false" outlineLevel="0" collapsed="false">
      <c r="A10" s="167" t="s">
        <v>117</v>
      </c>
      <c r="B10" s="155" t="s">
        <v>115</v>
      </c>
      <c r="C10" s="155" t="n">
        <v>160</v>
      </c>
      <c r="D10" s="155" t="s">
        <v>1549</v>
      </c>
      <c r="E10" s="155" t="s">
        <v>1548</v>
      </c>
      <c r="F10" s="155" t="s">
        <v>6</v>
      </c>
      <c r="G10" s="168" t="n">
        <v>1.2</v>
      </c>
      <c r="H10" s="168" t="n">
        <f aca="false">IFERROR(IF($C10&lt;&gt;"",($C10/1000)+$G10+$J10,0),)</f>
        <v>1.46</v>
      </c>
      <c r="I10" s="168" t="n">
        <v>0.75</v>
      </c>
      <c r="J10" s="168" t="n">
        <v>0.1</v>
      </c>
      <c r="K10" s="168" t="n">
        <f aca="false">IFERROR(IF(AND($C10&lt;&gt;"",$B10="FoFo"),0,IF(AND($C10&lt;&gt;"",$B10="PVC"),($C10/1000)+0.2,IF(AND($C10&lt;&gt;"",$B10="PEAD"),($C10/1000)+0.3,0))),0)</f>
        <v>0.46</v>
      </c>
      <c r="L10" s="169" t="n">
        <f aca="false">$AD$6</f>
        <v>0.0108802959848915</v>
      </c>
      <c r="M10" s="169" t="n">
        <f aca="false">$AD$7</f>
        <v>0.00868870969774814</v>
      </c>
      <c r="N10" s="169" t="n">
        <f aca="false">$AD$8</f>
        <v>0.00120244921312287</v>
      </c>
      <c r="O10" s="169" t="n">
        <f aca="false">$AD$9</f>
        <v>0.686407748378102</v>
      </c>
      <c r="P10" s="169" t="n">
        <f aca="false">$AD$10</f>
        <v>0.094996877106047</v>
      </c>
      <c r="Q10" s="169" t="n">
        <f aca="false">$AD$11</f>
        <v>0.173774088040296</v>
      </c>
      <c r="R10" s="169" t="n">
        <f aca="false">$AD$12</f>
        <v>0.0240498315797925</v>
      </c>
      <c r="S10" s="168" t="n">
        <f aca="false">$AD$41</f>
        <v>0.805974775797803</v>
      </c>
      <c r="T10" s="170" t="n">
        <f aca="false">1-$AD$42</f>
        <v>0.989119704015109</v>
      </c>
      <c r="U10" s="170" t="n">
        <f aca="false">$AD$42</f>
        <v>0.0108802959848915</v>
      </c>
      <c r="V10" s="168" t="s">
        <v>6986</v>
      </c>
      <c r="W10" s="168" t="str">
        <f aca="false">CONCATENATE($A10,$B10,$C10,$E10,$D10)</f>
        <v>TUBO PEADPEAD160VCAVIA</v>
      </c>
      <c r="X10" s="171" t="str">
        <f aca="false">CONCATENATE(C10,B10,F10)</f>
        <v>160PEADREDES</v>
      </c>
      <c r="Y10" s="172"/>
      <c r="Z10" s="3" t="s">
        <v>6</v>
      </c>
      <c r="AA10" s="3" t="s">
        <v>6992</v>
      </c>
      <c r="AB10" s="3" t="s">
        <v>6993</v>
      </c>
      <c r="AC10" s="173" t="n">
        <v>8969.19</v>
      </c>
      <c r="AD10" s="161" t="n">
        <f aca="false">AC10/$AC$13</f>
        <v>0.094996877106047</v>
      </c>
      <c r="AE10" s="173"/>
      <c r="AF10" s="173" t="n">
        <f aca="false">AC10-AE10</f>
        <v>8969.19</v>
      </c>
    </row>
    <row r="11" customFormat="false" ht="14.4" hidden="false" customHeight="false" outlineLevel="0" collapsed="false">
      <c r="A11" s="167" t="s">
        <v>117</v>
      </c>
      <c r="B11" s="155" t="s">
        <v>115</v>
      </c>
      <c r="C11" s="155" t="n">
        <v>225</v>
      </c>
      <c r="D11" s="155" t="s">
        <v>1549</v>
      </c>
      <c r="E11" s="155" t="s">
        <v>1548</v>
      </c>
      <c r="F11" s="155" t="s">
        <v>6</v>
      </c>
      <c r="G11" s="168" t="n">
        <v>1.2</v>
      </c>
      <c r="H11" s="168" t="n">
        <f aca="false">IFERROR(IF($C11&lt;&gt;"",($C11/1000)+$G11+$J11,0),)</f>
        <v>1.525</v>
      </c>
      <c r="I11" s="168" t="n">
        <v>0.8</v>
      </c>
      <c r="J11" s="168" t="n">
        <v>0.1</v>
      </c>
      <c r="K11" s="168" t="n">
        <f aca="false">IFERROR(IF(AND($C11&lt;&gt;"",$B11="FoFo"),0,IF(AND($C11&lt;&gt;"",$B11="PVC"),($C11/1000)+0.2,IF(AND($C11&lt;&gt;"",$B11="PEAD"),($C11/1000)+0.3,0))),0)</f>
        <v>0.525</v>
      </c>
      <c r="L11" s="169" t="n">
        <f aca="false">$AD$6</f>
        <v>0.0108802959848915</v>
      </c>
      <c r="M11" s="169" t="n">
        <f aca="false">$AD$7</f>
        <v>0.00868870969774814</v>
      </c>
      <c r="N11" s="169" t="n">
        <f aca="false">$AD$8</f>
        <v>0.00120244921312287</v>
      </c>
      <c r="O11" s="169" t="n">
        <f aca="false">$AD$9</f>
        <v>0.686407748378102</v>
      </c>
      <c r="P11" s="169" t="n">
        <f aca="false">$AD$10</f>
        <v>0.094996877106047</v>
      </c>
      <c r="Q11" s="169" t="n">
        <f aca="false">$AD$11</f>
        <v>0.173774088040296</v>
      </c>
      <c r="R11" s="169" t="n">
        <f aca="false">$AD$12</f>
        <v>0.0240498315797925</v>
      </c>
      <c r="S11" s="168" t="n">
        <f aca="false">$AD$41</f>
        <v>0.805974775797803</v>
      </c>
      <c r="T11" s="170" t="n">
        <f aca="false">1-$AD$42</f>
        <v>0.989119704015109</v>
      </c>
      <c r="U11" s="170" t="n">
        <f aca="false">$AD$42</f>
        <v>0.0108802959848915</v>
      </c>
      <c r="V11" s="168" t="s">
        <v>6986</v>
      </c>
      <c r="W11" s="168" t="str">
        <f aca="false">CONCATENATE($A11,$B11,$C11,$E11,$D11)</f>
        <v>TUBO PEADPEAD225VCAVIA</v>
      </c>
      <c r="X11" s="171" t="str">
        <f aca="false">CONCATENATE(C11,B11,F11)</f>
        <v>225PEADREDES</v>
      </c>
      <c r="Y11" s="172"/>
      <c r="Z11" s="3" t="s">
        <v>6</v>
      </c>
      <c r="AA11" s="3" t="s">
        <v>392</v>
      </c>
      <c r="AB11" s="3" t="s">
        <v>6994</v>
      </c>
      <c r="AC11" s="173" t="n">
        <v>16406.99</v>
      </c>
      <c r="AD11" s="161" t="n">
        <f aca="false">AC11/$AC$13</f>
        <v>0.173774088040296</v>
      </c>
      <c r="AE11" s="173"/>
      <c r="AF11" s="173" t="n">
        <f aca="false">AC11-AE11</f>
        <v>16406.99</v>
      </c>
    </row>
    <row r="12" customFormat="false" ht="14.4" hidden="false" customHeight="false" outlineLevel="0" collapsed="false">
      <c r="A12" s="167" t="s">
        <v>117</v>
      </c>
      <c r="B12" s="155" t="s">
        <v>115</v>
      </c>
      <c r="C12" s="155" t="n">
        <v>250</v>
      </c>
      <c r="D12" s="155" t="s">
        <v>1549</v>
      </c>
      <c r="E12" s="155" t="s">
        <v>1548</v>
      </c>
      <c r="F12" s="155" t="s">
        <v>6</v>
      </c>
      <c r="G12" s="168" t="n">
        <v>1.2</v>
      </c>
      <c r="H12" s="168" t="n">
        <f aca="false">IFERROR(IF($C12&lt;&gt;"",($C12/1000)+$G12+$J12,0),)</f>
        <v>1.55</v>
      </c>
      <c r="I12" s="168" t="n">
        <v>0.85</v>
      </c>
      <c r="J12" s="168" t="n">
        <v>0.1</v>
      </c>
      <c r="K12" s="168" t="n">
        <f aca="false">IFERROR(IF(AND($C12&lt;&gt;"",$B12="FoFo"),0,IF(AND($C12&lt;&gt;"",$B12="PVC"),($C12/1000)+0.2,IF(AND($C12&lt;&gt;"",$B12="PEAD"),($C12/1000)+0.3,0))),0)</f>
        <v>0.55</v>
      </c>
      <c r="L12" s="169" t="n">
        <f aca="false">$AD$6</f>
        <v>0.0108802959848915</v>
      </c>
      <c r="M12" s="169" t="n">
        <f aca="false">$AD$7</f>
        <v>0.00868870969774814</v>
      </c>
      <c r="N12" s="169" t="n">
        <f aca="false">$AD$8</f>
        <v>0.00120244921312287</v>
      </c>
      <c r="O12" s="169" t="n">
        <f aca="false">$AD$9</f>
        <v>0.686407748378102</v>
      </c>
      <c r="P12" s="169" t="n">
        <f aca="false">$AD$10</f>
        <v>0.094996877106047</v>
      </c>
      <c r="Q12" s="169" t="n">
        <f aca="false">$AD$11</f>
        <v>0.173774088040296</v>
      </c>
      <c r="R12" s="169" t="n">
        <f aca="false">$AD$12</f>
        <v>0.0240498315797925</v>
      </c>
      <c r="S12" s="168" t="n">
        <f aca="false">$AD$41</f>
        <v>0.805974775797803</v>
      </c>
      <c r="T12" s="170" t="n">
        <f aca="false">1-$AD$42</f>
        <v>0.989119704015109</v>
      </c>
      <c r="U12" s="170" t="n">
        <f aca="false">$AD$42</f>
        <v>0.0108802959848915</v>
      </c>
      <c r="V12" s="168" t="s">
        <v>6986</v>
      </c>
      <c r="W12" s="168" t="str">
        <f aca="false">CONCATENATE($A12,$B12,$C12,$E12,$D12)</f>
        <v>TUBO PEADPEAD250VCAVIA</v>
      </c>
      <c r="X12" s="171" t="str">
        <f aca="false">CONCATENATE(C12,B12,F12)</f>
        <v>250PEADREDES</v>
      </c>
      <c r="Y12" s="172"/>
      <c r="Z12" s="3" t="s">
        <v>6</v>
      </c>
      <c r="AA12" s="3" t="s">
        <v>404</v>
      </c>
      <c r="AB12" s="3" t="s">
        <v>6995</v>
      </c>
      <c r="AC12" s="173" t="n">
        <v>2270.68</v>
      </c>
      <c r="AD12" s="161" t="n">
        <f aca="false">AC12/$AC$13</f>
        <v>0.0240498315797925</v>
      </c>
      <c r="AE12" s="173"/>
      <c r="AF12" s="173" t="n">
        <f aca="false">AC12-AE12</f>
        <v>2270.68</v>
      </c>
    </row>
    <row r="13" customFormat="false" ht="14.4" hidden="false" customHeight="false" outlineLevel="0" collapsed="false">
      <c r="A13" s="167" t="s">
        <v>117</v>
      </c>
      <c r="B13" s="155" t="s">
        <v>115</v>
      </c>
      <c r="C13" s="155" t="n">
        <v>280</v>
      </c>
      <c r="D13" s="155" t="s">
        <v>1549</v>
      </c>
      <c r="E13" s="155" t="s">
        <v>1548</v>
      </c>
      <c r="F13" s="155" t="s">
        <v>6</v>
      </c>
      <c r="G13" s="168" t="n">
        <v>1.2</v>
      </c>
      <c r="H13" s="168" t="n">
        <f aca="false">IFERROR(IF($C13&lt;&gt;"",($C13/1000)+$G13+$J13,0),)</f>
        <v>1.58</v>
      </c>
      <c r="I13" s="168" t="n">
        <v>0.9</v>
      </c>
      <c r="J13" s="168" t="n">
        <v>0.1</v>
      </c>
      <c r="K13" s="168" t="n">
        <f aca="false">IFERROR(IF(AND($C13&lt;&gt;"",$B13="FoFo"),0,IF(AND($C13&lt;&gt;"",$B13="PVC"),($C13/1000)+0.2,IF(AND($C13&lt;&gt;"",$B13="PEAD"),($C13/1000)+0.3,0))),0)</f>
        <v>0.58</v>
      </c>
      <c r="L13" s="169" t="n">
        <f aca="false">$AD$6</f>
        <v>0.0108802959848915</v>
      </c>
      <c r="M13" s="169" t="n">
        <f aca="false">$AD$7</f>
        <v>0.00868870969774814</v>
      </c>
      <c r="N13" s="169" t="n">
        <f aca="false">$AD$8</f>
        <v>0.00120244921312287</v>
      </c>
      <c r="O13" s="169" t="n">
        <f aca="false">$AD$9</f>
        <v>0.686407748378102</v>
      </c>
      <c r="P13" s="169" t="n">
        <f aca="false">$AD$10</f>
        <v>0.094996877106047</v>
      </c>
      <c r="Q13" s="169" t="n">
        <f aca="false">$AD$11</f>
        <v>0.173774088040296</v>
      </c>
      <c r="R13" s="169" t="n">
        <f aca="false">$AD$12</f>
        <v>0.0240498315797925</v>
      </c>
      <c r="S13" s="168" t="n">
        <f aca="false">$AD$41</f>
        <v>0.805974775797803</v>
      </c>
      <c r="T13" s="170" t="n">
        <f aca="false">1-$AD$42</f>
        <v>0.989119704015109</v>
      </c>
      <c r="U13" s="170" t="n">
        <f aca="false">$AD$42</f>
        <v>0.0108802959848915</v>
      </c>
      <c r="V13" s="168" t="s">
        <v>6986</v>
      </c>
      <c r="W13" s="168" t="str">
        <f aca="false">CONCATENATE($A13,$B13,$C13,$E13,$D13)</f>
        <v>TUBO PEADPEAD280VCAVIA</v>
      </c>
      <c r="X13" s="171" t="str">
        <f aca="false">CONCATENATE(C13,B13,F13)</f>
        <v>280PEADREDES</v>
      </c>
      <c r="Y13" s="172"/>
      <c r="Z13" s="3" t="s">
        <v>6</v>
      </c>
      <c r="AB13" s="3" t="s">
        <v>6996</v>
      </c>
      <c r="AC13" s="173" t="n">
        <f aca="false">SUM(AC6:AC12)</f>
        <v>94415.63</v>
      </c>
      <c r="AD13" s="161" t="n">
        <f aca="false">SUM(AD6:AD12)</f>
        <v>1</v>
      </c>
      <c r="AF13" s="173" t="n">
        <f aca="false">SUM(AF6:AF12)</f>
        <v>94415.63</v>
      </c>
    </row>
    <row r="14" customFormat="false" ht="14.4" hidden="false" customHeight="false" outlineLevel="0" collapsed="false">
      <c r="A14" s="167" t="s">
        <v>117</v>
      </c>
      <c r="B14" s="155" t="s">
        <v>115</v>
      </c>
      <c r="C14" s="155" t="n">
        <v>315</v>
      </c>
      <c r="D14" s="155" t="s">
        <v>1549</v>
      </c>
      <c r="E14" s="155" t="s">
        <v>1548</v>
      </c>
      <c r="F14" s="155" t="s">
        <v>6</v>
      </c>
      <c r="G14" s="168" t="n">
        <v>1.2</v>
      </c>
      <c r="H14" s="168" t="n">
        <f aca="false">IFERROR(IF($C14&lt;&gt;"",($C14/1000)+$G14+$J14,0),)</f>
        <v>1.615</v>
      </c>
      <c r="I14" s="168" t="n">
        <v>0.9</v>
      </c>
      <c r="J14" s="168" t="n">
        <v>0.1</v>
      </c>
      <c r="K14" s="168" t="n">
        <f aca="false">IFERROR(IF(AND($C14&lt;&gt;"",$B14="FoFo"),0,IF(AND($C14&lt;&gt;"",$B14="PVC"),($C14/1000)+0.2,IF(AND($C14&lt;&gt;"",$B14="PEAD"),($C14/1000)+0.3,0))),0)</f>
        <v>0.615</v>
      </c>
      <c r="L14" s="169" t="n">
        <f aca="false">$AD$6</f>
        <v>0.0108802959848915</v>
      </c>
      <c r="M14" s="169" t="n">
        <f aca="false">$AD$7</f>
        <v>0.00868870969774814</v>
      </c>
      <c r="N14" s="169" t="n">
        <f aca="false">$AD$8</f>
        <v>0.00120244921312287</v>
      </c>
      <c r="O14" s="169" t="n">
        <f aca="false">$AD$9</f>
        <v>0.686407748378102</v>
      </c>
      <c r="P14" s="169" t="n">
        <f aca="false">$AD$10</f>
        <v>0.094996877106047</v>
      </c>
      <c r="Q14" s="169" t="n">
        <f aca="false">$AD$11</f>
        <v>0.173774088040296</v>
      </c>
      <c r="R14" s="169" t="n">
        <f aca="false">$AD$12</f>
        <v>0.0240498315797925</v>
      </c>
      <c r="S14" s="168" t="n">
        <f aca="false">$AD$41</f>
        <v>0.805974775797803</v>
      </c>
      <c r="T14" s="170" t="n">
        <f aca="false">1-$AD$42</f>
        <v>0.989119704015109</v>
      </c>
      <c r="U14" s="170" t="n">
        <f aca="false">$AD$42</f>
        <v>0.0108802959848915</v>
      </c>
      <c r="V14" s="168" t="s">
        <v>6986</v>
      </c>
      <c r="W14" s="168" t="str">
        <f aca="false">CONCATENATE($A14,$B14,$C14,$E14,$D14)</f>
        <v>TUBO PEADPEAD315VCAVIA</v>
      </c>
      <c r="X14" s="171" t="str">
        <f aca="false">CONCATENATE(C14,B14,F14)</f>
        <v>315PEADREDES</v>
      </c>
      <c r="Y14" s="172"/>
    </row>
    <row r="15" customFormat="false" ht="14.4" hidden="false" customHeight="false" outlineLevel="0" collapsed="false">
      <c r="A15" s="167" t="s">
        <v>117</v>
      </c>
      <c r="B15" s="155" t="s">
        <v>115</v>
      </c>
      <c r="C15" s="155" t="n">
        <v>355</v>
      </c>
      <c r="D15" s="155" t="s">
        <v>1549</v>
      </c>
      <c r="E15" s="155" t="s">
        <v>1548</v>
      </c>
      <c r="F15" s="155" t="s">
        <v>6</v>
      </c>
      <c r="G15" s="168" t="n">
        <v>1.2</v>
      </c>
      <c r="H15" s="168" t="n">
        <f aca="false">IFERROR(IF($C15&lt;&gt;"",($C15/1000)+$G15+$J15,0),)</f>
        <v>1.655</v>
      </c>
      <c r="I15" s="168" t="n">
        <v>1</v>
      </c>
      <c r="J15" s="168" t="n">
        <v>0.1</v>
      </c>
      <c r="K15" s="168" t="n">
        <f aca="false">IFERROR(IF(AND($C15&lt;&gt;"",$B15="FoFo"),0,IF(AND($C15&lt;&gt;"",$B15="PVC"),($C15/1000)+0.2,IF(AND($C15&lt;&gt;"",$B15="PEAD"),($C15/1000)+0.3,0))),0)</f>
        <v>0.655</v>
      </c>
      <c r="L15" s="169" t="n">
        <f aca="false">$AD$6</f>
        <v>0.0108802959848915</v>
      </c>
      <c r="M15" s="169" t="n">
        <f aca="false">$AD$7</f>
        <v>0.00868870969774814</v>
      </c>
      <c r="N15" s="169" t="n">
        <f aca="false">$AD$8</f>
        <v>0.00120244921312287</v>
      </c>
      <c r="O15" s="169" t="n">
        <f aca="false">$AD$9</f>
        <v>0.686407748378102</v>
      </c>
      <c r="P15" s="169" t="n">
        <f aca="false">$AD$10</f>
        <v>0.094996877106047</v>
      </c>
      <c r="Q15" s="169" t="n">
        <f aca="false">$AD$11</f>
        <v>0.173774088040296</v>
      </c>
      <c r="R15" s="169" t="n">
        <f aca="false">$AD$12</f>
        <v>0.0240498315797925</v>
      </c>
      <c r="S15" s="168" t="n">
        <f aca="false">$AD$41</f>
        <v>0.805974775797803</v>
      </c>
      <c r="T15" s="170" t="n">
        <f aca="false">1-$AD$42</f>
        <v>0.989119704015109</v>
      </c>
      <c r="U15" s="170" t="n">
        <f aca="false">$AD$42</f>
        <v>0.0108802959848915</v>
      </c>
      <c r="V15" s="168" t="s">
        <v>6986</v>
      </c>
      <c r="W15" s="168" t="str">
        <f aca="false">CONCATENATE($A15,$B15,$C15,$E15,$D15)</f>
        <v>TUBO PEADPEAD355VCAVIA</v>
      </c>
      <c r="X15" s="171" t="str">
        <f aca="false">CONCATENATE(C15,B15,F15)</f>
        <v>355PEADREDES</v>
      </c>
      <c r="Y15" s="172"/>
      <c r="Z15" s="3" t="s">
        <v>6997</v>
      </c>
    </row>
    <row r="16" customFormat="false" ht="14.4" hidden="false" customHeight="false" outlineLevel="0" collapsed="false">
      <c r="A16" s="167" t="s">
        <v>117</v>
      </c>
      <c r="B16" s="155" t="s">
        <v>115</v>
      </c>
      <c r="C16" s="155" t="n">
        <v>400</v>
      </c>
      <c r="D16" s="155" t="s">
        <v>1549</v>
      </c>
      <c r="E16" s="155" t="s">
        <v>1548</v>
      </c>
      <c r="F16" s="155" t="s">
        <v>6</v>
      </c>
      <c r="G16" s="168" t="n">
        <v>1.2</v>
      </c>
      <c r="H16" s="168" t="n">
        <f aca="false">IFERROR(IF($C16&lt;&gt;"",($C16/1000)+$G16+$J16,0),)</f>
        <v>1.7</v>
      </c>
      <c r="I16" s="168" t="n">
        <v>1</v>
      </c>
      <c r="J16" s="168" t="n">
        <v>0.1</v>
      </c>
      <c r="K16" s="168" t="n">
        <f aca="false">IFERROR(IF(AND($C16&lt;&gt;"",$B16="FoFo"),0,IF(AND($C16&lt;&gt;"",$B16="PVC"),($C16/1000)+0.2,IF(AND($C16&lt;&gt;"",$B16="PEAD"),($C16/1000)+0.3,0))),0)</f>
        <v>0.7</v>
      </c>
      <c r="L16" s="169" t="n">
        <f aca="false">$AD$6</f>
        <v>0.0108802959848915</v>
      </c>
      <c r="M16" s="169" t="n">
        <f aca="false">$AD$7</f>
        <v>0.00868870969774814</v>
      </c>
      <c r="N16" s="169" t="n">
        <f aca="false">$AD$8</f>
        <v>0.00120244921312287</v>
      </c>
      <c r="O16" s="169" t="n">
        <f aca="false">$AD$9</f>
        <v>0.686407748378102</v>
      </c>
      <c r="P16" s="169" t="n">
        <f aca="false">$AD$10</f>
        <v>0.094996877106047</v>
      </c>
      <c r="Q16" s="169" t="n">
        <f aca="false">$AD$11</f>
        <v>0.173774088040296</v>
      </c>
      <c r="R16" s="169" t="n">
        <f aca="false">$AD$12</f>
        <v>0.0240498315797925</v>
      </c>
      <c r="S16" s="168" t="n">
        <f aca="false">$AD$41</f>
        <v>0.805974775797803</v>
      </c>
      <c r="T16" s="170" t="n">
        <f aca="false">1-$AD$42</f>
        <v>0.989119704015109</v>
      </c>
      <c r="U16" s="170" t="n">
        <f aca="false">$AD$42</f>
        <v>0.0108802959848915</v>
      </c>
      <c r="V16" s="168" t="s">
        <v>6986</v>
      </c>
      <c r="W16" s="168" t="str">
        <f aca="false">CONCATENATE($A16,$B16,$C16,$E16,$D16)</f>
        <v>TUBO PEADPEAD400VCAVIA</v>
      </c>
      <c r="X16" s="171" t="str">
        <f aca="false">CONCATENATE(C16,B16,F16)</f>
        <v>400PEADREDES</v>
      </c>
      <c r="Y16" s="172"/>
      <c r="Z16" s="3" t="s">
        <v>6</v>
      </c>
      <c r="AA16" s="3" t="s">
        <v>380</v>
      </c>
      <c r="AB16" s="3" t="s">
        <v>382</v>
      </c>
      <c r="AC16" s="173" t="n">
        <v>1027.27</v>
      </c>
      <c r="AE16" s="3" t="s">
        <v>6998</v>
      </c>
    </row>
    <row r="17" customFormat="false" ht="14.4" hidden="false" customHeight="false" outlineLevel="0" collapsed="false">
      <c r="A17" s="167" t="s">
        <v>117</v>
      </c>
      <c r="B17" s="155" t="s">
        <v>115</v>
      </c>
      <c r="C17" s="155" t="n">
        <v>500</v>
      </c>
      <c r="D17" s="155" t="s">
        <v>1549</v>
      </c>
      <c r="E17" s="155" t="s">
        <v>1548</v>
      </c>
      <c r="F17" s="155" t="s">
        <v>6</v>
      </c>
      <c r="G17" s="168" t="n">
        <v>1.2</v>
      </c>
      <c r="H17" s="168" t="n">
        <f aca="false">IFERROR(IF($C17&lt;&gt;"",($C17/1000)+$G17+$J17,0),)</f>
        <v>1.8</v>
      </c>
      <c r="I17" s="168" t="n">
        <v>1.2</v>
      </c>
      <c r="J17" s="168" t="n">
        <v>0.1</v>
      </c>
      <c r="K17" s="168" t="n">
        <f aca="false">IFERROR(IF(AND($C17&lt;&gt;"",$B17="FoFo"),0,IF(AND($C17&lt;&gt;"",$B17="PVC"),($C17/1000)+0.2,IF(AND($C17&lt;&gt;"",$B17="PEAD"),($C17/1000)+0.3,0))),0)</f>
        <v>0.8</v>
      </c>
      <c r="L17" s="169" t="n">
        <f aca="false">$AD$6</f>
        <v>0.0108802959848915</v>
      </c>
      <c r="M17" s="169" t="n">
        <f aca="false">$AD$7</f>
        <v>0.00868870969774814</v>
      </c>
      <c r="N17" s="169" t="n">
        <f aca="false">$AD$8</f>
        <v>0.00120244921312287</v>
      </c>
      <c r="O17" s="169" t="n">
        <f aca="false">$AD$9</f>
        <v>0.686407748378102</v>
      </c>
      <c r="P17" s="169" t="n">
        <f aca="false">$AD$10</f>
        <v>0.094996877106047</v>
      </c>
      <c r="Q17" s="169" t="n">
        <f aca="false">$AD$11</f>
        <v>0.173774088040296</v>
      </c>
      <c r="R17" s="169" t="n">
        <f aca="false">$AD$12</f>
        <v>0.0240498315797925</v>
      </c>
      <c r="S17" s="168" t="n">
        <f aca="false">$AD$41</f>
        <v>0.805974775797803</v>
      </c>
      <c r="T17" s="170" t="n">
        <f aca="false">1-$AD$42</f>
        <v>0.989119704015109</v>
      </c>
      <c r="U17" s="170" t="n">
        <f aca="false">$AD$42</f>
        <v>0.0108802959848915</v>
      </c>
      <c r="V17" s="168" t="s">
        <v>6986</v>
      </c>
      <c r="W17" s="168" t="str">
        <f aca="false">CONCATENATE($A17,$B17,$C17,$E17,$D17)</f>
        <v>TUBO PEADPEAD500VCAVIA</v>
      </c>
      <c r="X17" s="171" t="str">
        <f aca="false">CONCATENATE(C17,B17,F17)</f>
        <v>500PEADREDES</v>
      </c>
      <c r="Y17" s="172"/>
      <c r="Z17" s="3" t="s">
        <v>6</v>
      </c>
      <c r="AA17" s="3" t="s">
        <v>383</v>
      </c>
      <c r="AB17" s="3" t="s">
        <v>385</v>
      </c>
      <c r="AC17" s="173" t="n">
        <v>820.35</v>
      </c>
      <c r="AE17" s="3" t="s">
        <v>6999</v>
      </c>
    </row>
    <row r="18" customFormat="false" ht="14.4" hidden="false" customHeight="false" outlineLevel="0" collapsed="false">
      <c r="A18" s="167" t="s">
        <v>117</v>
      </c>
      <c r="B18" s="155" t="s">
        <v>115</v>
      </c>
      <c r="C18" s="155" t="n">
        <v>63</v>
      </c>
      <c r="D18" s="155" t="s">
        <v>7000</v>
      </c>
      <c r="E18" s="155" t="s">
        <v>1548</v>
      </c>
      <c r="F18" s="155" t="s">
        <v>6</v>
      </c>
      <c r="G18" s="168" t="n">
        <v>1.2</v>
      </c>
      <c r="H18" s="168" t="n">
        <f aca="false">IFERROR(IF($C18&lt;&gt;"",($C18/1000)+$G18+$J18,0),)</f>
        <v>1.363</v>
      </c>
      <c r="I18" s="168" t="n">
        <v>0.65</v>
      </c>
      <c r="J18" s="168" t="n">
        <v>0.1</v>
      </c>
      <c r="K18" s="168" t="n">
        <f aca="false">IFERROR(IF(AND($C18&lt;&gt;"",$B18="FoFo"),0,IF(AND($C18&lt;&gt;"",$B18="PVC"),($C18/1000)+0.2,IF(AND($C18&lt;&gt;"",$B18="PEAD"),($C18/1000)+0.3,0))),0)</f>
        <v>0.363</v>
      </c>
      <c r="L18" s="169" t="n">
        <f aca="false">$AD$6</f>
        <v>0.0108802959848915</v>
      </c>
      <c r="M18" s="169" t="n">
        <f aca="false">$AD$7</f>
        <v>0.00868870969774814</v>
      </c>
      <c r="N18" s="169" t="n">
        <f aca="false">$AD$8</f>
        <v>0.00120244921312287</v>
      </c>
      <c r="O18" s="169" t="n">
        <f aca="false">$AD$9</f>
        <v>0.686407748378102</v>
      </c>
      <c r="P18" s="169" t="n">
        <f aca="false">$AD$10</f>
        <v>0.094996877106047</v>
      </c>
      <c r="Q18" s="169" t="n">
        <f aca="false">$AD$11</f>
        <v>0.173774088040296</v>
      </c>
      <c r="R18" s="169" t="n">
        <f aca="false">$AD$12</f>
        <v>0.0240498315797925</v>
      </c>
      <c r="S18" s="168" t="n">
        <f aca="false">$AD$41</f>
        <v>0.805974775797803</v>
      </c>
      <c r="T18" s="170" t="n">
        <f aca="false">1-$AD$42</f>
        <v>0.989119704015109</v>
      </c>
      <c r="U18" s="170" t="n">
        <f aca="false">$AD$42</f>
        <v>0.0108802959848915</v>
      </c>
      <c r="V18" s="168" t="s">
        <v>6986</v>
      </c>
      <c r="W18" s="168" t="str">
        <f aca="false">CONCATENATE($A18,$B18,$C18,$E18,$D18)</f>
        <v>TUBO PEADPEAD63VCAPASSEIO</v>
      </c>
      <c r="X18" s="171" t="str">
        <f aca="false">CONCATENATE(C18,B18,F18)</f>
        <v>63PEADREDES</v>
      </c>
      <c r="Y18" s="172"/>
      <c r="Z18" s="3" t="s">
        <v>6</v>
      </c>
      <c r="AA18" s="3" t="s">
        <v>386</v>
      </c>
      <c r="AB18" s="3" t="s">
        <v>388</v>
      </c>
      <c r="AC18" s="173" t="n">
        <v>113.53</v>
      </c>
      <c r="AE18" s="3" t="s">
        <v>7001</v>
      </c>
    </row>
    <row r="19" customFormat="false" ht="14.4" hidden="false" customHeight="false" outlineLevel="0" collapsed="false">
      <c r="A19" s="167" t="s">
        <v>117</v>
      </c>
      <c r="B19" s="155" t="s">
        <v>115</v>
      </c>
      <c r="C19" s="155" t="n">
        <v>90</v>
      </c>
      <c r="D19" s="155" t="s">
        <v>7000</v>
      </c>
      <c r="E19" s="155" t="s">
        <v>1548</v>
      </c>
      <c r="F19" s="155" t="s">
        <v>6</v>
      </c>
      <c r="G19" s="168" t="n">
        <v>1.2</v>
      </c>
      <c r="H19" s="168" t="n">
        <f aca="false">IFERROR(IF($C19&lt;&gt;"",($C19/1000)+$G19+$J19,0),)</f>
        <v>1.39</v>
      </c>
      <c r="I19" s="168" t="n">
        <v>0.75</v>
      </c>
      <c r="J19" s="168" t="n">
        <v>0.1</v>
      </c>
      <c r="K19" s="168" t="n">
        <f aca="false">IFERROR(IF(AND($C19&lt;&gt;"",$B19="FoFo"),0,IF(AND($C19&lt;&gt;"",$B19="PVC"),($C19/1000)+0.2,IF(AND($C19&lt;&gt;"",$B19="PEAD"),($C19/1000)+0.3,0))),0)</f>
        <v>0.39</v>
      </c>
      <c r="L19" s="169" t="n">
        <f aca="false">$AD$6</f>
        <v>0.0108802959848915</v>
      </c>
      <c r="M19" s="169" t="n">
        <f aca="false">$AD$7</f>
        <v>0.00868870969774814</v>
      </c>
      <c r="N19" s="169" t="n">
        <f aca="false">$AD$8</f>
        <v>0.00120244921312287</v>
      </c>
      <c r="O19" s="169" t="n">
        <f aca="false">$AD$9</f>
        <v>0.686407748378102</v>
      </c>
      <c r="P19" s="169" t="n">
        <f aca="false">$AD$10</f>
        <v>0.094996877106047</v>
      </c>
      <c r="Q19" s="169" t="n">
        <f aca="false">$AD$11</f>
        <v>0.173774088040296</v>
      </c>
      <c r="R19" s="169" t="n">
        <f aca="false">$AD$12</f>
        <v>0.0240498315797925</v>
      </c>
      <c r="S19" s="168" t="n">
        <f aca="false">$AD$41</f>
        <v>0.805974775797803</v>
      </c>
      <c r="T19" s="170" t="n">
        <f aca="false">1-$AD$42</f>
        <v>0.989119704015109</v>
      </c>
      <c r="U19" s="170" t="n">
        <f aca="false">$AD$42</f>
        <v>0.0108802959848915</v>
      </c>
      <c r="V19" s="168" t="s">
        <v>6986</v>
      </c>
      <c r="W19" s="168" t="str">
        <f aca="false">CONCATENATE($A19,$B19,$C19,$E19,$D19)</f>
        <v>TUBO PEADPEAD90VCAPASSEIO</v>
      </c>
      <c r="X19" s="171" t="str">
        <f aca="false">CONCATENATE(C19,B19,F19)</f>
        <v>90PEADREDES</v>
      </c>
      <c r="Y19" s="172"/>
      <c r="Z19" s="3" t="s">
        <v>6</v>
      </c>
      <c r="AA19" s="3" t="s">
        <v>389</v>
      </c>
      <c r="AB19" s="3" t="s">
        <v>391</v>
      </c>
      <c r="AC19" s="173" t="n">
        <v>56604.12</v>
      </c>
      <c r="AE19" s="3" t="s">
        <v>7002</v>
      </c>
    </row>
    <row r="20" customFormat="false" ht="14.4" hidden="false" customHeight="false" outlineLevel="0" collapsed="false">
      <c r="A20" s="167" t="s">
        <v>117</v>
      </c>
      <c r="B20" s="155" t="s">
        <v>115</v>
      </c>
      <c r="C20" s="155" t="n">
        <v>110</v>
      </c>
      <c r="D20" s="155" t="s">
        <v>7000</v>
      </c>
      <c r="E20" s="155" t="s">
        <v>1548</v>
      </c>
      <c r="F20" s="155" t="s">
        <v>6</v>
      </c>
      <c r="G20" s="168" t="n">
        <v>1.2</v>
      </c>
      <c r="H20" s="168" t="n">
        <f aca="false">IFERROR(IF($C20&lt;&gt;"",($C20/1000)+$G20+$J20,0),)</f>
        <v>1.41</v>
      </c>
      <c r="I20" s="168" t="n">
        <v>0.75</v>
      </c>
      <c r="J20" s="168" t="n">
        <v>0.1</v>
      </c>
      <c r="K20" s="168" t="n">
        <f aca="false">IFERROR(IF(AND($C20&lt;&gt;"",$B20="FoFo"),0,IF(AND($C20&lt;&gt;"",$B20="PVC"),($C20/1000)+0.2,IF(AND($C20&lt;&gt;"",$B20="PEAD"),($C20/1000)+0.3,0))),0)</f>
        <v>0.41</v>
      </c>
      <c r="L20" s="169" t="n">
        <f aca="false">$AD$6</f>
        <v>0.0108802959848915</v>
      </c>
      <c r="M20" s="169" t="n">
        <f aca="false">$AD$7</f>
        <v>0.00868870969774814</v>
      </c>
      <c r="N20" s="169" t="n">
        <f aca="false">$AD$8</f>
        <v>0.00120244921312287</v>
      </c>
      <c r="O20" s="169" t="n">
        <f aca="false">$AD$9</f>
        <v>0.686407748378102</v>
      </c>
      <c r="P20" s="169" t="n">
        <f aca="false">$AD$10</f>
        <v>0.094996877106047</v>
      </c>
      <c r="Q20" s="169" t="n">
        <f aca="false">$AD$11</f>
        <v>0.173774088040296</v>
      </c>
      <c r="R20" s="169" t="n">
        <f aca="false">$AD$12</f>
        <v>0.0240498315797925</v>
      </c>
      <c r="S20" s="168" t="n">
        <f aca="false">$AD$41</f>
        <v>0.805974775797803</v>
      </c>
      <c r="T20" s="170" t="n">
        <f aca="false">1-$AD$42</f>
        <v>0.989119704015109</v>
      </c>
      <c r="U20" s="170" t="n">
        <f aca="false">$AD$42</f>
        <v>0.0108802959848915</v>
      </c>
      <c r="V20" s="168" t="s">
        <v>6986</v>
      </c>
      <c r="W20" s="168" t="str">
        <f aca="false">CONCATENATE($A20,$B20,$C20,$E20,$D20)</f>
        <v>TUBO PEADPEAD110VCAPASSEIO</v>
      </c>
      <c r="X20" s="171" t="str">
        <f aca="false">CONCATENATE(C20,B20,F20)</f>
        <v>110PEADREDES</v>
      </c>
      <c r="Y20" s="172"/>
      <c r="Z20" s="3" t="s">
        <v>6</v>
      </c>
      <c r="AA20" s="3" t="s">
        <v>395</v>
      </c>
      <c r="AB20" s="3" t="s">
        <v>397</v>
      </c>
      <c r="AC20" s="173" t="n">
        <v>8203.5</v>
      </c>
      <c r="AE20" s="3" t="s">
        <v>7002</v>
      </c>
    </row>
    <row r="21" customFormat="false" ht="14.4" hidden="false" customHeight="false" outlineLevel="0" collapsed="false">
      <c r="A21" s="167" t="s">
        <v>117</v>
      </c>
      <c r="B21" s="155" t="s">
        <v>115</v>
      </c>
      <c r="C21" s="155" t="n">
        <v>125</v>
      </c>
      <c r="D21" s="155" t="s">
        <v>7000</v>
      </c>
      <c r="E21" s="155" t="s">
        <v>1548</v>
      </c>
      <c r="F21" s="155" t="s">
        <v>6</v>
      </c>
      <c r="G21" s="168" t="n">
        <v>1.2</v>
      </c>
      <c r="H21" s="168" t="n">
        <f aca="false">IFERROR(IF($C21&lt;&gt;"",($C21/1000)+$G21+$J21,0),)</f>
        <v>1.425</v>
      </c>
      <c r="I21" s="168" t="n">
        <v>0.75</v>
      </c>
      <c r="J21" s="168" t="n">
        <v>0.1</v>
      </c>
      <c r="K21" s="168" t="n">
        <f aca="false">IFERROR(IF(AND($C21&lt;&gt;"",$B21="FoFo"),0,IF(AND($C21&lt;&gt;"",$B21="PVC"),($C21/1000)+0.2,IF(AND($C21&lt;&gt;"",$B21="PEAD"),($C21/1000)+0.3,0))),0)</f>
        <v>0.425</v>
      </c>
      <c r="L21" s="169" t="n">
        <f aca="false">$AD$6</f>
        <v>0.0108802959848915</v>
      </c>
      <c r="M21" s="169" t="n">
        <f aca="false">$AD$7</f>
        <v>0.00868870969774814</v>
      </c>
      <c r="N21" s="169" t="n">
        <f aca="false">$AD$8</f>
        <v>0.00120244921312287</v>
      </c>
      <c r="O21" s="169" t="n">
        <f aca="false">$AD$9</f>
        <v>0.686407748378102</v>
      </c>
      <c r="P21" s="169" t="n">
        <f aca="false">$AD$10</f>
        <v>0.094996877106047</v>
      </c>
      <c r="Q21" s="169" t="n">
        <f aca="false">$AD$11</f>
        <v>0.173774088040296</v>
      </c>
      <c r="R21" s="169" t="n">
        <f aca="false">$AD$12</f>
        <v>0.0240498315797925</v>
      </c>
      <c r="S21" s="168" t="n">
        <f aca="false">$AD$41</f>
        <v>0.805974775797803</v>
      </c>
      <c r="T21" s="170" t="n">
        <f aca="false">1-$AD$42</f>
        <v>0.989119704015109</v>
      </c>
      <c r="U21" s="170" t="n">
        <f aca="false">$AD$42</f>
        <v>0.0108802959848915</v>
      </c>
      <c r="V21" s="168" t="s">
        <v>6986</v>
      </c>
      <c r="W21" s="168" t="str">
        <f aca="false">CONCATENATE($A21,$B21,$C21,$E21,$D21)</f>
        <v>TUBO PEADPEAD125VCAPASSEIO</v>
      </c>
      <c r="X21" s="171" t="str">
        <f aca="false">CONCATENATE(C21,B21,F21)</f>
        <v>125PEADREDES</v>
      </c>
      <c r="Y21" s="172"/>
      <c r="Z21" s="3" t="s">
        <v>6</v>
      </c>
      <c r="AA21" s="3" t="s">
        <v>401</v>
      </c>
      <c r="AB21" s="3" t="s">
        <v>403</v>
      </c>
      <c r="AC21" s="173" t="n">
        <v>7833.85</v>
      </c>
      <c r="AE21" s="3" t="s">
        <v>7003</v>
      </c>
    </row>
    <row r="22" customFormat="false" ht="14.4" hidden="false" customHeight="false" outlineLevel="0" collapsed="false">
      <c r="A22" s="167" t="s">
        <v>117</v>
      </c>
      <c r="B22" s="155" t="s">
        <v>115</v>
      </c>
      <c r="C22" s="155" t="n">
        <v>160</v>
      </c>
      <c r="D22" s="155" t="s">
        <v>7000</v>
      </c>
      <c r="E22" s="155" t="s">
        <v>1548</v>
      </c>
      <c r="F22" s="155" t="s">
        <v>6</v>
      </c>
      <c r="G22" s="168" t="n">
        <v>1.2</v>
      </c>
      <c r="H22" s="168" t="n">
        <f aca="false">IFERROR(IF($C22&lt;&gt;"",($C22/1000)+$G22+$J22,0),)</f>
        <v>1.46</v>
      </c>
      <c r="I22" s="168" t="n">
        <v>0.75</v>
      </c>
      <c r="J22" s="168" t="n">
        <v>0.1</v>
      </c>
      <c r="K22" s="168" t="n">
        <f aca="false">IFERROR(IF(AND($C22&lt;&gt;"",$B22="FoFo"),0,IF(AND($C22&lt;&gt;"",$B22="PVC"),($C22/1000)+0.2,IF(AND($C22&lt;&gt;"",$B22="PEAD"),($C22/1000)+0.3,0))),0)</f>
        <v>0.46</v>
      </c>
      <c r="L22" s="169" t="n">
        <f aca="false">$AD$6</f>
        <v>0.0108802959848915</v>
      </c>
      <c r="M22" s="169" t="n">
        <f aca="false">$AD$7</f>
        <v>0.00868870969774814</v>
      </c>
      <c r="N22" s="169" t="n">
        <f aca="false">$AD$8</f>
        <v>0.00120244921312287</v>
      </c>
      <c r="O22" s="169" t="n">
        <f aca="false">$AD$9</f>
        <v>0.686407748378102</v>
      </c>
      <c r="P22" s="169" t="n">
        <f aca="false">$AD$10</f>
        <v>0.094996877106047</v>
      </c>
      <c r="Q22" s="169" t="n">
        <f aca="false">$AD$11</f>
        <v>0.173774088040296</v>
      </c>
      <c r="R22" s="169" t="n">
        <f aca="false">$AD$12</f>
        <v>0.0240498315797925</v>
      </c>
      <c r="S22" s="168" t="n">
        <f aca="false">$AD$41</f>
        <v>0.805974775797803</v>
      </c>
      <c r="T22" s="170" t="n">
        <f aca="false">1-$AD$42</f>
        <v>0.989119704015109</v>
      </c>
      <c r="U22" s="170" t="n">
        <f aca="false">$AD$42</f>
        <v>0.0108802959848915</v>
      </c>
      <c r="V22" s="168" t="s">
        <v>6986</v>
      </c>
      <c r="W22" s="168" t="str">
        <f aca="false">CONCATENATE($A22,$B22,$C22,$E22,$D22)</f>
        <v>TUBO PEADPEAD160VCAPASSEIO</v>
      </c>
      <c r="X22" s="171" t="str">
        <f aca="false">CONCATENATE(C22,B22,F22)</f>
        <v>160PEADREDES</v>
      </c>
      <c r="Y22" s="172"/>
      <c r="Z22" s="3" t="s">
        <v>6</v>
      </c>
      <c r="AA22" s="3" t="s">
        <v>398</v>
      </c>
      <c r="AB22" s="3" t="s">
        <v>400</v>
      </c>
      <c r="AC22" s="173" t="n">
        <v>1135.34</v>
      </c>
      <c r="AE22" s="3" t="s">
        <v>7003</v>
      </c>
    </row>
    <row r="23" customFormat="false" ht="14.4" hidden="false" customHeight="false" outlineLevel="0" collapsed="false">
      <c r="A23" s="167" t="s">
        <v>117</v>
      </c>
      <c r="B23" s="155" t="s">
        <v>115</v>
      </c>
      <c r="C23" s="155" t="n">
        <v>225</v>
      </c>
      <c r="D23" s="155" t="s">
        <v>7000</v>
      </c>
      <c r="E23" s="155" t="s">
        <v>1548</v>
      </c>
      <c r="F23" s="155" t="s">
        <v>6</v>
      </c>
      <c r="G23" s="168" t="n">
        <v>1.2</v>
      </c>
      <c r="H23" s="168" t="n">
        <f aca="false">IFERROR(IF($C23&lt;&gt;"",($C23/1000)+$G23+$J23,0),)</f>
        <v>1.525</v>
      </c>
      <c r="I23" s="168" t="n">
        <v>0.8</v>
      </c>
      <c r="J23" s="168" t="n">
        <v>0.1</v>
      </c>
      <c r="K23" s="168" t="n">
        <f aca="false">IFERROR(IF(AND($C23&lt;&gt;"",$B23="FoFo"),0,IF(AND($C23&lt;&gt;"",$B23="PVC"),($C23/1000)+0.2,IF(AND($C23&lt;&gt;"",$B23="PEAD"),($C23/1000)+0.3,0))),0)</f>
        <v>0.525</v>
      </c>
      <c r="L23" s="169" t="n">
        <f aca="false">$AD$6</f>
        <v>0.0108802959848915</v>
      </c>
      <c r="M23" s="169" t="n">
        <f aca="false">$AD$7</f>
        <v>0.00868870969774814</v>
      </c>
      <c r="N23" s="169" t="n">
        <f aca="false">$AD$8</f>
        <v>0.00120244921312287</v>
      </c>
      <c r="O23" s="169" t="n">
        <f aca="false">$AD$9</f>
        <v>0.686407748378102</v>
      </c>
      <c r="P23" s="169" t="n">
        <f aca="false">$AD$10</f>
        <v>0.094996877106047</v>
      </c>
      <c r="Q23" s="169" t="n">
        <f aca="false">$AD$11</f>
        <v>0.173774088040296</v>
      </c>
      <c r="R23" s="169" t="n">
        <f aca="false">$AD$12</f>
        <v>0.0240498315797925</v>
      </c>
      <c r="S23" s="168" t="n">
        <f aca="false">$AD$41</f>
        <v>0.805974775797803</v>
      </c>
      <c r="T23" s="170" t="n">
        <f aca="false">1-$AD$42</f>
        <v>0.989119704015109</v>
      </c>
      <c r="U23" s="170" t="n">
        <f aca="false">$AD$42</f>
        <v>0.0108802959848915</v>
      </c>
      <c r="V23" s="168" t="s">
        <v>6986</v>
      </c>
      <c r="W23" s="168" t="str">
        <f aca="false">CONCATENATE($A23,$B23,$C23,$E23,$D23)</f>
        <v>TUBO PEADPEAD225VCAPASSEIO</v>
      </c>
      <c r="X23" s="171" t="str">
        <f aca="false">CONCATENATE(C23,B23,F23)</f>
        <v>225PEADREDES</v>
      </c>
      <c r="Y23" s="172"/>
      <c r="Z23" s="3" t="s">
        <v>6</v>
      </c>
      <c r="AA23" s="3" t="s">
        <v>392</v>
      </c>
      <c r="AB23" s="3" t="s">
        <v>394</v>
      </c>
      <c r="AC23" s="173" t="n">
        <v>16406.99</v>
      </c>
      <c r="AE23" s="3" t="s">
        <v>7004</v>
      </c>
    </row>
    <row r="24" customFormat="false" ht="14.4" hidden="false" customHeight="false" outlineLevel="0" collapsed="false">
      <c r="A24" s="167" t="s">
        <v>117</v>
      </c>
      <c r="B24" s="155" t="s">
        <v>115</v>
      </c>
      <c r="C24" s="155" t="n">
        <v>250</v>
      </c>
      <c r="D24" s="155" t="s">
        <v>7000</v>
      </c>
      <c r="E24" s="155" t="s">
        <v>1548</v>
      </c>
      <c r="F24" s="155" t="s">
        <v>6</v>
      </c>
      <c r="G24" s="168" t="n">
        <v>1.2</v>
      </c>
      <c r="H24" s="168" t="n">
        <f aca="false">IFERROR(IF($C24&lt;&gt;"",($C24/1000)+$G24+$J24,0),)</f>
        <v>1.55</v>
      </c>
      <c r="I24" s="168" t="n">
        <v>0.85</v>
      </c>
      <c r="J24" s="168" t="n">
        <v>0.1</v>
      </c>
      <c r="K24" s="168" t="n">
        <f aca="false">IFERROR(IF(AND($C24&lt;&gt;"",$B24="FoFo"),0,IF(AND($C24&lt;&gt;"",$B24="PVC"),($C24/1000)+0.2,IF(AND($C24&lt;&gt;"",$B24="PEAD"),($C24/1000)+0.3,0))),0)</f>
        <v>0.55</v>
      </c>
      <c r="L24" s="169" t="n">
        <f aca="false">$AD$6</f>
        <v>0.0108802959848915</v>
      </c>
      <c r="M24" s="169" t="n">
        <f aca="false">$AD$7</f>
        <v>0.00868870969774814</v>
      </c>
      <c r="N24" s="169" t="n">
        <f aca="false">$AD$8</f>
        <v>0.00120244921312287</v>
      </c>
      <c r="O24" s="169" t="n">
        <f aca="false">$AD$9</f>
        <v>0.686407748378102</v>
      </c>
      <c r="P24" s="169" t="n">
        <f aca="false">$AD$10</f>
        <v>0.094996877106047</v>
      </c>
      <c r="Q24" s="169" t="n">
        <f aca="false">$AD$11</f>
        <v>0.173774088040296</v>
      </c>
      <c r="R24" s="169" t="n">
        <f aca="false">$AD$12</f>
        <v>0.0240498315797925</v>
      </c>
      <c r="S24" s="168" t="n">
        <f aca="false">$AD$41</f>
        <v>0.805974775797803</v>
      </c>
      <c r="T24" s="170" t="n">
        <f aca="false">1-$AD$42</f>
        <v>0.989119704015109</v>
      </c>
      <c r="U24" s="170" t="n">
        <f aca="false">$AD$42</f>
        <v>0.0108802959848915</v>
      </c>
      <c r="V24" s="168" t="s">
        <v>6986</v>
      </c>
      <c r="W24" s="168" t="str">
        <f aca="false">CONCATENATE($A24,$B24,$C24,$E24,$D24)</f>
        <v>TUBO PEADPEAD250VCAPASSEIO</v>
      </c>
      <c r="X24" s="171" t="str">
        <f aca="false">CONCATENATE(C24,B24,F24)</f>
        <v>250PEADREDES</v>
      </c>
      <c r="Y24" s="172"/>
      <c r="Z24" s="3" t="s">
        <v>6</v>
      </c>
      <c r="AA24" s="3" t="s">
        <v>404</v>
      </c>
      <c r="AB24" s="3" t="s">
        <v>406</v>
      </c>
      <c r="AC24" s="173" t="n">
        <v>2270.68</v>
      </c>
      <c r="AE24" s="3" t="s">
        <v>7005</v>
      </c>
    </row>
    <row r="25" customFormat="false" ht="14.4" hidden="false" customHeight="false" outlineLevel="0" collapsed="false">
      <c r="A25" s="167" t="s">
        <v>117</v>
      </c>
      <c r="B25" s="155" t="s">
        <v>115</v>
      </c>
      <c r="C25" s="155" t="n">
        <v>280</v>
      </c>
      <c r="D25" s="155" t="s">
        <v>7000</v>
      </c>
      <c r="E25" s="155" t="s">
        <v>1548</v>
      </c>
      <c r="F25" s="155" t="s">
        <v>6</v>
      </c>
      <c r="G25" s="168" t="n">
        <v>1.2</v>
      </c>
      <c r="H25" s="168" t="n">
        <f aca="false">IFERROR(IF($C25&lt;&gt;"",($C25/1000)+$G25+$J25,0),)</f>
        <v>1.58</v>
      </c>
      <c r="I25" s="168" t="n">
        <v>0.9</v>
      </c>
      <c r="J25" s="168" t="n">
        <v>0.1</v>
      </c>
      <c r="K25" s="168" t="n">
        <f aca="false">IFERROR(IF(AND($C25&lt;&gt;"",$B25="FoFo"),0,IF(AND($C25&lt;&gt;"",$B25="PVC"),($C25/1000)+0.2,IF(AND($C25&lt;&gt;"",$B25="PEAD"),($C25/1000)+0.3,0))),0)</f>
        <v>0.58</v>
      </c>
      <c r="L25" s="169" t="n">
        <f aca="false">$AD$6</f>
        <v>0.0108802959848915</v>
      </c>
      <c r="M25" s="169" t="n">
        <f aca="false">$AD$7</f>
        <v>0.00868870969774814</v>
      </c>
      <c r="N25" s="169" t="n">
        <f aca="false">$AD$8</f>
        <v>0.00120244921312287</v>
      </c>
      <c r="O25" s="169" t="n">
        <f aca="false">$AD$9</f>
        <v>0.686407748378102</v>
      </c>
      <c r="P25" s="169" t="n">
        <f aca="false">$AD$10</f>
        <v>0.094996877106047</v>
      </c>
      <c r="Q25" s="169" t="n">
        <f aca="false">$AD$11</f>
        <v>0.173774088040296</v>
      </c>
      <c r="R25" s="169" t="n">
        <f aca="false">$AD$12</f>
        <v>0.0240498315797925</v>
      </c>
      <c r="S25" s="168" t="n">
        <f aca="false">$AD$41</f>
        <v>0.805974775797803</v>
      </c>
      <c r="T25" s="170" t="n">
        <f aca="false">1-$AD$42</f>
        <v>0.989119704015109</v>
      </c>
      <c r="U25" s="170" t="n">
        <f aca="false">$AD$42</f>
        <v>0.0108802959848915</v>
      </c>
      <c r="V25" s="168" t="s">
        <v>6986</v>
      </c>
      <c r="W25" s="168" t="str">
        <f aca="false">CONCATENATE($A25,$B25,$C25,$E25,$D25)</f>
        <v>TUBO PEADPEAD280VCAPASSEIO</v>
      </c>
      <c r="X25" s="171" t="str">
        <f aca="false">CONCATENATE(C25,B25,F25)</f>
        <v>280PEADREDES</v>
      </c>
      <c r="Y25" s="172"/>
    </row>
    <row r="26" customFormat="false" ht="14.4" hidden="false" customHeight="false" outlineLevel="0" collapsed="false">
      <c r="A26" s="167" t="s">
        <v>117</v>
      </c>
      <c r="B26" s="155" t="s">
        <v>115</v>
      </c>
      <c r="C26" s="155" t="n">
        <v>315</v>
      </c>
      <c r="D26" s="155" t="s">
        <v>7000</v>
      </c>
      <c r="E26" s="155" t="s">
        <v>1548</v>
      </c>
      <c r="F26" s="155" t="s">
        <v>6</v>
      </c>
      <c r="G26" s="168" t="n">
        <v>1.2</v>
      </c>
      <c r="H26" s="168" t="n">
        <f aca="false">IFERROR(IF($C26&lt;&gt;"",($C26/1000)+$G26+$J26,0),)</f>
        <v>1.615</v>
      </c>
      <c r="I26" s="168" t="n">
        <v>0.9</v>
      </c>
      <c r="J26" s="168" t="n">
        <v>0.1</v>
      </c>
      <c r="K26" s="168" t="n">
        <f aca="false">IFERROR(IF(AND($C26&lt;&gt;"",$B26="FoFo"),0,IF(AND($C26&lt;&gt;"",$B26="PVC"),($C26/1000)+0.2,IF(AND($C26&lt;&gt;"",$B26="PEAD"),($C26/1000)+0.3,0))),0)</f>
        <v>0.615</v>
      </c>
      <c r="L26" s="169" t="n">
        <f aca="false">$AD$6</f>
        <v>0.0108802959848915</v>
      </c>
      <c r="M26" s="169" t="n">
        <f aca="false">$AD$7</f>
        <v>0.00868870969774814</v>
      </c>
      <c r="N26" s="169" t="n">
        <f aca="false">$AD$8</f>
        <v>0.00120244921312287</v>
      </c>
      <c r="O26" s="169" t="n">
        <f aca="false">$AD$9</f>
        <v>0.686407748378102</v>
      </c>
      <c r="P26" s="169" t="n">
        <f aca="false">$AD$10</f>
        <v>0.094996877106047</v>
      </c>
      <c r="Q26" s="169" t="n">
        <f aca="false">$AD$11</f>
        <v>0.173774088040296</v>
      </c>
      <c r="R26" s="169" t="n">
        <f aca="false">$AD$12</f>
        <v>0.0240498315797925</v>
      </c>
      <c r="S26" s="168" t="n">
        <f aca="false">$AD$41</f>
        <v>0.805974775797803</v>
      </c>
      <c r="T26" s="170" t="n">
        <f aca="false">1-$AD$42</f>
        <v>0.989119704015109</v>
      </c>
      <c r="U26" s="170" t="n">
        <f aca="false">$AD$42</f>
        <v>0.0108802959848915</v>
      </c>
      <c r="V26" s="168" t="s">
        <v>6986</v>
      </c>
      <c r="W26" s="168" t="str">
        <f aca="false">CONCATENATE($A26,$B26,$C26,$E26,$D26)</f>
        <v>TUBO PEADPEAD315VCAPASSEIO</v>
      </c>
      <c r="X26" s="171" t="str">
        <f aca="false">CONCATENATE(C26,B26,F26)</f>
        <v>315PEADREDES</v>
      </c>
      <c r="Y26" s="172"/>
    </row>
    <row r="27" customFormat="false" ht="14.4" hidden="false" customHeight="false" outlineLevel="0" collapsed="false">
      <c r="A27" s="167" t="s">
        <v>117</v>
      </c>
      <c r="B27" s="155" t="s">
        <v>115</v>
      </c>
      <c r="C27" s="155" t="n">
        <v>355</v>
      </c>
      <c r="D27" s="155" t="s">
        <v>7000</v>
      </c>
      <c r="E27" s="155" t="s">
        <v>1548</v>
      </c>
      <c r="F27" s="155" t="s">
        <v>6</v>
      </c>
      <c r="G27" s="168" t="n">
        <v>1.2</v>
      </c>
      <c r="H27" s="168" t="n">
        <f aca="false">IFERROR(IF($C27&lt;&gt;"",($C27/1000)+$G27+$J27,0),)</f>
        <v>1.655</v>
      </c>
      <c r="I27" s="168" t="n">
        <v>1</v>
      </c>
      <c r="J27" s="168" t="n">
        <v>0.1</v>
      </c>
      <c r="K27" s="168" t="n">
        <f aca="false">IFERROR(IF(AND($C27&lt;&gt;"",$B27="FoFo"),0,IF(AND($C27&lt;&gt;"",$B27="PVC"),($C27/1000)+0.2,IF(AND($C27&lt;&gt;"",$B27="PEAD"),($C27/1000)+0.3,0))),0)</f>
        <v>0.655</v>
      </c>
      <c r="L27" s="169" t="n">
        <f aca="false">$AD$6</f>
        <v>0.0108802959848915</v>
      </c>
      <c r="M27" s="169" t="n">
        <f aca="false">$AD$7</f>
        <v>0.00868870969774814</v>
      </c>
      <c r="N27" s="169" t="n">
        <f aca="false">$AD$8</f>
        <v>0.00120244921312287</v>
      </c>
      <c r="O27" s="169" t="n">
        <f aca="false">$AD$9</f>
        <v>0.686407748378102</v>
      </c>
      <c r="P27" s="169" t="n">
        <f aca="false">$AD$10</f>
        <v>0.094996877106047</v>
      </c>
      <c r="Q27" s="169" t="n">
        <f aca="false">$AD$11</f>
        <v>0.173774088040296</v>
      </c>
      <c r="R27" s="169" t="n">
        <f aca="false">$AD$12</f>
        <v>0.0240498315797925</v>
      </c>
      <c r="S27" s="168" t="n">
        <f aca="false">$AD$41</f>
        <v>0.805974775797803</v>
      </c>
      <c r="T27" s="170" t="n">
        <f aca="false">1-$AD$42</f>
        <v>0.989119704015109</v>
      </c>
      <c r="U27" s="170" t="n">
        <f aca="false">$AD$42</f>
        <v>0.0108802959848915</v>
      </c>
      <c r="V27" s="168" t="s">
        <v>6986</v>
      </c>
      <c r="W27" s="168" t="str">
        <f aca="false">CONCATENATE($A27,$B27,$C27,$E27,$D27)</f>
        <v>TUBO PEADPEAD355VCAPASSEIO</v>
      </c>
      <c r="X27" s="171" t="str">
        <f aca="false">CONCATENATE(C27,B27,F27)</f>
        <v>355PEADREDES</v>
      </c>
      <c r="Y27" s="172"/>
      <c r="Z27" s="3" t="s">
        <v>7006</v>
      </c>
    </row>
    <row r="28" customFormat="false" ht="14.4" hidden="false" customHeight="false" outlineLevel="0" collapsed="false">
      <c r="A28" s="167" t="s">
        <v>117</v>
      </c>
      <c r="B28" s="155" t="s">
        <v>115</v>
      </c>
      <c r="C28" s="155" t="n">
        <v>400</v>
      </c>
      <c r="D28" s="155" t="s">
        <v>7000</v>
      </c>
      <c r="E28" s="155" t="s">
        <v>1548</v>
      </c>
      <c r="F28" s="155" t="s">
        <v>6</v>
      </c>
      <c r="G28" s="168" t="n">
        <v>1.2</v>
      </c>
      <c r="H28" s="168" t="n">
        <f aca="false">IFERROR(IF($C28&lt;&gt;"",($C28/1000)+$G28+$J28,0),)</f>
        <v>1.7</v>
      </c>
      <c r="I28" s="168" t="n">
        <v>1</v>
      </c>
      <c r="J28" s="168" t="n">
        <v>0.1</v>
      </c>
      <c r="K28" s="168" t="n">
        <f aca="false">IFERROR(IF(AND($C28&lt;&gt;"",$B28="FoFo"),0,IF(AND($C28&lt;&gt;"",$B28="PVC"),($C28/1000)+0.2,IF(AND($C28&lt;&gt;"",$B28="PEAD"),($C28/1000)+0.3,0))),0)</f>
        <v>0.7</v>
      </c>
      <c r="L28" s="169" t="n">
        <f aca="false">$AD$6</f>
        <v>0.0108802959848915</v>
      </c>
      <c r="M28" s="169" t="n">
        <f aca="false">$AD$7</f>
        <v>0.00868870969774814</v>
      </c>
      <c r="N28" s="169" t="n">
        <f aca="false">$AD$8</f>
        <v>0.00120244921312287</v>
      </c>
      <c r="O28" s="169" t="n">
        <f aca="false">$AD$9</f>
        <v>0.686407748378102</v>
      </c>
      <c r="P28" s="169" t="n">
        <f aca="false">$AD$10</f>
        <v>0.094996877106047</v>
      </c>
      <c r="Q28" s="169" t="n">
        <f aca="false">$AD$11</f>
        <v>0.173774088040296</v>
      </c>
      <c r="R28" s="169" t="n">
        <f aca="false">$AD$12</f>
        <v>0.0240498315797925</v>
      </c>
      <c r="S28" s="168" t="n">
        <f aca="false">$AD$41</f>
        <v>0.805974775797803</v>
      </c>
      <c r="T28" s="170" t="n">
        <f aca="false">1-$AD$42</f>
        <v>0.989119704015109</v>
      </c>
      <c r="U28" s="170" t="n">
        <f aca="false">$AD$42</f>
        <v>0.0108802959848915</v>
      </c>
      <c r="V28" s="168" t="s">
        <v>6986</v>
      </c>
      <c r="W28" s="168" t="str">
        <f aca="false">CONCATENATE($A28,$B28,$C28,$E28,$D28)</f>
        <v>TUBO PEADPEAD400VCAPASSEIO</v>
      </c>
      <c r="X28" s="171" t="str">
        <f aca="false">CONCATENATE(C28,B28,F28)</f>
        <v>400PEADREDES</v>
      </c>
      <c r="Y28" s="172"/>
      <c r="Z28" s="3" t="s">
        <v>6</v>
      </c>
      <c r="AA28" s="3" t="s">
        <v>186</v>
      </c>
      <c r="AB28" s="3" t="s">
        <v>7007</v>
      </c>
      <c r="AC28" s="173" t="n">
        <v>70458.38</v>
      </c>
      <c r="AE28" s="173" t="n">
        <f aca="false">SUMIFS(REDE!$M:$M,REDE!$AC:$AC,AA28)</f>
        <v>70439.31</v>
      </c>
      <c r="AF28" s="173" t="n">
        <f aca="false">AC28-AE28</f>
        <v>19.070000000007</v>
      </c>
    </row>
    <row r="29" customFormat="false" ht="14.4" hidden="false" customHeight="false" outlineLevel="0" collapsed="false">
      <c r="A29" s="167" t="s">
        <v>117</v>
      </c>
      <c r="B29" s="155" t="s">
        <v>115</v>
      </c>
      <c r="C29" s="155" t="n">
        <v>500</v>
      </c>
      <c r="D29" s="155" t="s">
        <v>7000</v>
      </c>
      <c r="E29" s="155" t="s">
        <v>1548</v>
      </c>
      <c r="F29" s="155" t="s">
        <v>6</v>
      </c>
      <c r="G29" s="168" t="n">
        <v>1.2</v>
      </c>
      <c r="H29" s="168" t="n">
        <f aca="false">IFERROR(IF($C29&lt;&gt;"",($C29/1000)+$G29+$J29,0),)</f>
        <v>1.8</v>
      </c>
      <c r="I29" s="168" t="n">
        <v>1.2</v>
      </c>
      <c r="J29" s="168" t="n">
        <v>0.1</v>
      </c>
      <c r="K29" s="168" t="n">
        <f aca="false">IFERROR(IF(AND($C29&lt;&gt;"",$B29="FoFo"),0,IF(AND($C29&lt;&gt;"",$B29="PVC"),($C29/1000)+0.2,IF(AND($C29&lt;&gt;"",$B29="PEAD"),($C29/1000)+0.3,0))),0)</f>
        <v>0.8</v>
      </c>
      <c r="L29" s="169" t="n">
        <f aca="false">$AD$6</f>
        <v>0.0108802959848915</v>
      </c>
      <c r="M29" s="169" t="n">
        <f aca="false">$AD$7</f>
        <v>0.00868870969774814</v>
      </c>
      <c r="N29" s="169" t="n">
        <f aca="false">$AD$8</f>
        <v>0.00120244921312287</v>
      </c>
      <c r="O29" s="169" t="n">
        <f aca="false">$AD$9</f>
        <v>0.686407748378102</v>
      </c>
      <c r="P29" s="169" t="n">
        <f aca="false">$AD$10</f>
        <v>0.094996877106047</v>
      </c>
      <c r="Q29" s="169" t="n">
        <f aca="false">$AD$11</f>
        <v>0.173774088040296</v>
      </c>
      <c r="R29" s="169" t="n">
        <f aca="false">$AD$12</f>
        <v>0.0240498315797925</v>
      </c>
      <c r="S29" s="168" t="n">
        <f aca="false">$AD$41</f>
        <v>0.805974775797803</v>
      </c>
      <c r="T29" s="170" t="n">
        <f aca="false">1-$AD$42</f>
        <v>0.989119704015109</v>
      </c>
      <c r="U29" s="170" t="n">
        <f aca="false">$AD$42</f>
        <v>0.0108802959848915</v>
      </c>
      <c r="V29" s="168" t="s">
        <v>6986</v>
      </c>
      <c r="W29" s="168" t="str">
        <f aca="false">CONCATENATE($A29,$B29,$C29,$E29,$D29)</f>
        <v>TUBO PEADPEAD500VCAPASSEIO</v>
      </c>
      <c r="X29" s="171" t="str">
        <f aca="false">CONCATENATE(C29,B29,F29)</f>
        <v>500PEADREDES</v>
      </c>
      <c r="Y29" s="172"/>
      <c r="Z29" s="3" t="s">
        <v>6</v>
      </c>
      <c r="AA29" s="3" t="s">
        <v>526</v>
      </c>
      <c r="AB29" s="3" t="s">
        <v>7008</v>
      </c>
      <c r="AC29" s="173" t="n">
        <v>7892.38</v>
      </c>
      <c r="AE29" s="173" t="n">
        <f aca="false">SUMIFS(REDE!$M:$M,REDE!$AC:$AC,AA29)</f>
        <v>7877.16</v>
      </c>
      <c r="AF29" s="173" t="n">
        <f aca="false">AC29-AE29</f>
        <v>15.2200000000003</v>
      </c>
    </row>
    <row r="30" customFormat="false" ht="14.4" hidden="false" customHeight="false" outlineLevel="0" collapsed="false">
      <c r="Z30" s="3" t="s">
        <v>6</v>
      </c>
      <c r="AA30" s="3" t="s">
        <v>502</v>
      </c>
      <c r="AB30" s="3" t="s">
        <v>7009</v>
      </c>
      <c r="AC30" s="173" t="n">
        <v>8672.68</v>
      </c>
      <c r="AE30" s="173" t="n">
        <f aca="false">SUMIFS(REDE!$M:$M,REDE!$AC:$AC,AA30)</f>
        <v>8529.34</v>
      </c>
      <c r="AF30" s="173" t="n">
        <f aca="false">AC30-AE30</f>
        <v>143.34</v>
      </c>
    </row>
    <row r="31" customFormat="false" ht="14.4" hidden="false" customHeight="false" outlineLevel="0" collapsed="false">
      <c r="Z31" s="3" t="s">
        <v>6</v>
      </c>
      <c r="AA31" s="3" t="s">
        <v>505</v>
      </c>
      <c r="AB31" s="3" t="s">
        <v>7010</v>
      </c>
      <c r="AC31" s="173" t="n">
        <v>13455.06</v>
      </c>
      <c r="AE31" s="173" t="n">
        <f aca="false">SUMIFS(REDE!$M:$M,REDE!$AC:$AC,AA31)</f>
        <v>13376.84</v>
      </c>
      <c r="AF31" s="173" t="n">
        <f aca="false">AC31-AE31</f>
        <v>78.2199999999994</v>
      </c>
    </row>
    <row r="32" customFormat="false" ht="14.4" hidden="false" customHeight="false" outlineLevel="0" collapsed="false">
      <c r="Z32" s="3" t="s">
        <v>6</v>
      </c>
      <c r="AA32" s="3" t="s">
        <v>508</v>
      </c>
      <c r="AB32" s="3" t="s">
        <v>7011</v>
      </c>
      <c r="AC32" s="173" t="n">
        <v>4097.26</v>
      </c>
      <c r="AE32" s="173" t="n">
        <f aca="false">SUMIFS(REDE!$M:$M,REDE!$AC:$AC,AA32)</f>
        <v>4097.25</v>
      </c>
      <c r="AF32" s="173" t="n">
        <f aca="false">AC32-AE32</f>
        <v>0.0100000000002183</v>
      </c>
    </row>
    <row r="33" customFormat="false" ht="14.4" hidden="false" customHeight="false" outlineLevel="0" collapsed="false">
      <c r="Z33" s="3" t="s">
        <v>6</v>
      </c>
      <c r="AA33" s="3" t="s">
        <v>511</v>
      </c>
      <c r="AB33" s="3" t="s">
        <v>7012</v>
      </c>
      <c r="AC33" s="173" t="n">
        <v>1001.09</v>
      </c>
      <c r="AE33" s="173" t="n">
        <f aca="false">SUMIFS(REDE!$M:$M,REDE!$AC:$AC,AA33)</f>
        <v>1001.08</v>
      </c>
      <c r="AF33" s="173" t="n">
        <f aca="false">AC33-AE33</f>
        <v>0.00999999999999091</v>
      </c>
    </row>
    <row r="34" customFormat="false" ht="14.4" hidden="false" customHeight="false" outlineLevel="0" collapsed="false">
      <c r="Z34" s="3" t="s">
        <v>6</v>
      </c>
      <c r="AA34" s="3" t="s">
        <v>499</v>
      </c>
      <c r="AB34" s="3" t="s">
        <v>7013</v>
      </c>
      <c r="AC34" s="173" t="n">
        <v>463.85</v>
      </c>
      <c r="AE34" s="173" t="n">
        <f aca="false">SUMIFS(REDE!$M:$M,REDE!$AC:$AC,AA34)</f>
        <v>463.85</v>
      </c>
      <c r="AF34" s="173" t="n">
        <f aca="false">AC34-AE34</f>
        <v>0</v>
      </c>
    </row>
    <row r="35" customFormat="false" ht="14.4" hidden="false" customHeight="false" outlineLevel="0" collapsed="false">
      <c r="Z35" s="3" t="s">
        <v>6</v>
      </c>
      <c r="AA35" s="3" t="s">
        <v>514</v>
      </c>
      <c r="AB35" s="3" t="s">
        <v>7014</v>
      </c>
      <c r="AC35" s="173" t="n">
        <v>2450.75</v>
      </c>
      <c r="AE35" s="173" t="n">
        <f aca="false">SUMIFS(REDE!$M:$M,REDE!$AC:$AC,AA35)</f>
        <v>2173.44</v>
      </c>
      <c r="AF35" s="173" t="n">
        <f aca="false">AC35-AE35</f>
        <v>277.31</v>
      </c>
    </row>
    <row r="36" customFormat="false" ht="14.4" hidden="false" customHeight="false" outlineLevel="0" collapsed="false">
      <c r="Z36" s="3" t="s">
        <v>6</v>
      </c>
      <c r="AA36" s="3" t="s">
        <v>517</v>
      </c>
      <c r="AB36" s="3" t="s">
        <v>7015</v>
      </c>
      <c r="AC36" s="173" t="n">
        <v>683.91</v>
      </c>
      <c r="AE36" s="173" t="n">
        <f aca="false">SUMIFS(REDE!$M:$M,REDE!$AC:$AC,AA36)</f>
        <v>683.91</v>
      </c>
      <c r="AF36" s="173" t="n">
        <f aca="false">AC36-AE36</f>
        <v>0</v>
      </c>
    </row>
    <row r="37" customFormat="false" ht="14.4" hidden="false" customHeight="false" outlineLevel="0" collapsed="false">
      <c r="Z37" s="3" t="s">
        <v>6</v>
      </c>
      <c r="AA37" s="3" t="s">
        <v>520</v>
      </c>
      <c r="AB37" s="3" t="s">
        <v>7016</v>
      </c>
      <c r="AC37" s="173" t="n">
        <v>608.93</v>
      </c>
      <c r="AE37" s="173" t="n">
        <f aca="false">SUMIFS(REDE!$M:$M,REDE!$AC:$AC,AA37)</f>
        <v>608.93</v>
      </c>
      <c r="AF37" s="173" t="n">
        <f aca="false">AC37-AE37</f>
        <v>0</v>
      </c>
    </row>
    <row r="38" customFormat="false" ht="14.4" hidden="false" customHeight="false" outlineLevel="0" collapsed="false">
      <c r="Z38" s="3" t="s">
        <v>6</v>
      </c>
      <c r="AA38" s="3" t="s">
        <v>523</v>
      </c>
      <c r="AB38" s="3" t="s">
        <v>7017</v>
      </c>
      <c r="AC38" s="173" t="n">
        <v>1434.91</v>
      </c>
      <c r="AE38" s="173" t="n">
        <f aca="false">SUMIFS(REDE!$M:$M,REDE!$AC:$AC,AA38)</f>
        <v>1434.92</v>
      </c>
      <c r="AF38" s="173" t="n">
        <f aca="false">AC38-AE38</f>
        <v>-0.00999999999976353</v>
      </c>
    </row>
    <row r="39" customFormat="false" ht="14.4" hidden="false" customHeight="false" outlineLevel="0" collapsed="false">
      <c r="AB39" s="3" t="s">
        <v>7018</v>
      </c>
      <c r="AC39" s="173" t="n">
        <f aca="false">SUM(AC28:AC38)</f>
        <v>111219.2</v>
      </c>
      <c r="AE39" s="173" t="n">
        <f aca="false">SUM(AE28:AE38)</f>
        <v>110686.03</v>
      </c>
      <c r="AF39" s="173" t="n">
        <f aca="false">AC39-AE39</f>
        <v>533.170000000013</v>
      </c>
    </row>
    <row r="40" customFormat="false" ht="14.4" hidden="false" customHeight="false" outlineLevel="0" collapsed="false">
      <c r="Z40" s="3" t="s">
        <v>7019</v>
      </c>
    </row>
    <row r="41" customFormat="false" ht="14.4" hidden="false" customHeight="false" outlineLevel="0" collapsed="false">
      <c r="Z41" s="3" t="s">
        <v>6</v>
      </c>
      <c r="AA41" s="3" t="s">
        <v>438</v>
      </c>
      <c r="AB41" s="3" t="s">
        <v>7020</v>
      </c>
      <c r="AC41" s="173" t="n">
        <v>8897.54</v>
      </c>
      <c r="AD41" s="173" t="n">
        <f aca="false">IFERROR(AC41/AE41*10,0)</f>
        <v>0.805974775797803</v>
      </c>
      <c r="AE41" s="173" t="n">
        <f aca="false">SUMIFS(REDE!$M:$M,REDE!$N:$N,"VCA")</f>
        <v>110394.77</v>
      </c>
    </row>
    <row r="42" customFormat="false" ht="14.4" hidden="false" customHeight="false" outlineLevel="0" collapsed="false">
      <c r="Z42" s="3" t="s">
        <v>6</v>
      </c>
      <c r="AA42" s="3" t="s">
        <v>380</v>
      </c>
      <c r="AB42" s="3" t="s">
        <v>7021</v>
      </c>
      <c r="AC42" s="173" t="n">
        <v>1027.27</v>
      </c>
      <c r="AD42" s="161" t="n">
        <f aca="false">IFERROR(AC42/AE42,0)</f>
        <v>0.0108802959848915</v>
      </c>
      <c r="AE42" s="173" t="n">
        <f aca="false">AC13</f>
        <v>94415.63</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E7" activeCellId="0" sqref="E7"/>
    </sheetView>
  </sheetViews>
  <sheetFormatPr defaultColWidth="8.6796875" defaultRowHeight="14.4" zeroHeight="false" outlineLevelRow="0" outlineLevelCol="0"/>
  <cols>
    <col collapsed="false" customWidth="true" hidden="false" outlineLevel="0" max="1" min="1" style="3" width="30.77"/>
    <col collapsed="false" customWidth="true" hidden="false" outlineLevel="0" max="15" min="2" style="3" width="15.78"/>
    <col collapsed="false" customWidth="true" hidden="false" outlineLevel="0" max="18" min="16" style="3" width="20.78"/>
  </cols>
  <sheetData>
    <row r="1" customFormat="false" ht="19.95" hidden="false" customHeight="true" outlineLevel="0" collapsed="false">
      <c r="A1" s="174" t="s">
        <v>7022</v>
      </c>
      <c r="B1" s="174"/>
      <c r="C1" s="174"/>
      <c r="D1" s="174"/>
      <c r="E1" s="174"/>
      <c r="F1" s="174"/>
      <c r="G1" s="174"/>
      <c r="H1" s="174"/>
      <c r="I1" s="175" t="s">
        <v>2</v>
      </c>
      <c r="J1" s="176"/>
      <c r="K1" s="175" t="s">
        <v>1475</v>
      </c>
      <c r="L1" s="176"/>
      <c r="M1" s="177"/>
    </row>
    <row r="2" customFormat="false" ht="19.95" hidden="false" customHeight="true" outlineLevel="0" collapsed="false">
      <c r="A2" s="174"/>
      <c r="B2" s="174"/>
      <c r="C2" s="174"/>
      <c r="D2" s="174"/>
      <c r="E2" s="174"/>
      <c r="F2" s="174"/>
      <c r="G2" s="174"/>
      <c r="H2" s="174"/>
      <c r="I2" s="178" t="s">
        <v>1476</v>
      </c>
      <c r="J2" s="178"/>
      <c r="K2" s="179" t="n">
        <v>46308</v>
      </c>
      <c r="L2" s="180"/>
      <c r="M2" s="181"/>
    </row>
    <row r="3" customFormat="false" ht="19.95" hidden="false" customHeight="true" outlineLevel="0" collapsed="false">
      <c r="A3" s="182" t="s">
        <v>7</v>
      </c>
      <c r="B3" s="183"/>
      <c r="C3" s="183"/>
      <c r="D3" s="183"/>
      <c r="E3" s="183"/>
      <c r="F3" s="183"/>
      <c r="G3" s="183"/>
      <c r="H3" s="183"/>
      <c r="I3" s="184"/>
      <c r="J3" s="185"/>
      <c r="K3" s="186" t="s">
        <v>1477</v>
      </c>
      <c r="L3" s="187"/>
      <c r="M3" s="188"/>
    </row>
    <row r="4" customFormat="false" ht="19.95" hidden="false" customHeight="true" outlineLevel="0" collapsed="false">
      <c r="A4" s="30" t="s">
        <v>13</v>
      </c>
      <c r="B4" s="32"/>
      <c r="C4" s="32"/>
      <c r="D4" s="32"/>
      <c r="E4" s="32"/>
      <c r="F4" s="32"/>
      <c r="G4" s="32"/>
      <c r="H4" s="32"/>
      <c r="I4" s="32"/>
      <c r="J4" s="189"/>
      <c r="K4" s="190" t="s">
        <v>1478</v>
      </c>
      <c r="L4" s="191"/>
      <c r="M4" s="192"/>
    </row>
    <row r="5" customFormat="false" ht="14.4" hidden="false" customHeight="false" outlineLevel="0" collapsed="false">
      <c r="A5" s="193" t="s">
        <v>7023</v>
      </c>
      <c r="B5" s="194"/>
      <c r="C5" s="195"/>
      <c r="D5" s="196" t="s">
        <v>28</v>
      </c>
      <c r="E5" s="196" t="s">
        <v>1481</v>
      </c>
      <c r="F5" s="194"/>
      <c r="G5" s="194"/>
      <c r="H5" s="194"/>
      <c r="I5" s="194"/>
      <c r="J5" s="194"/>
      <c r="K5" s="194"/>
      <c r="L5" s="194"/>
      <c r="M5" s="194"/>
      <c r="N5" s="194"/>
      <c r="O5" s="194"/>
      <c r="P5" s="194"/>
      <c r="Q5" s="197"/>
    </row>
    <row r="6" customFormat="false" ht="14.4" hidden="false" customHeight="false" outlineLevel="0" collapsed="false">
      <c r="A6" s="198"/>
      <c r="B6" s="199"/>
      <c r="C6" s="200"/>
      <c r="D6" s="201" t="s">
        <v>6</v>
      </c>
      <c r="E6" s="202"/>
      <c r="F6" s="202"/>
      <c r="G6" s="202"/>
      <c r="H6" s="202"/>
      <c r="I6" s="202"/>
      <c r="J6" s="202"/>
      <c r="K6" s="202"/>
      <c r="L6" s="202"/>
      <c r="M6" s="202"/>
      <c r="N6" s="202"/>
      <c r="O6" s="202"/>
      <c r="P6" s="203" t="s">
        <v>7024</v>
      </c>
      <c r="Q6" s="204" t="s">
        <v>7025</v>
      </c>
    </row>
    <row r="7" customFormat="false" ht="14.4" hidden="false" customHeight="false" outlineLevel="0" collapsed="false">
      <c r="A7" s="205" t="s">
        <v>21</v>
      </c>
      <c r="B7" s="206" t="s">
        <v>26</v>
      </c>
      <c r="C7" s="206" t="s">
        <v>1485</v>
      </c>
      <c r="D7" s="207" t="s">
        <v>2224</v>
      </c>
      <c r="E7" s="208" t="s">
        <v>1547</v>
      </c>
      <c r="F7" s="208" t="s">
        <v>2033</v>
      </c>
      <c r="G7" s="208" t="s">
        <v>2522</v>
      </c>
      <c r="H7" s="208" t="s">
        <v>2966</v>
      </c>
      <c r="I7" s="208" t="s">
        <v>3352</v>
      </c>
      <c r="J7" s="208" t="s">
        <v>3786</v>
      </c>
      <c r="K7" s="208" t="s">
        <v>4221</v>
      </c>
      <c r="L7" s="208" t="s">
        <v>4831</v>
      </c>
      <c r="M7" s="208" t="s">
        <v>5106</v>
      </c>
      <c r="N7" s="208" t="s">
        <v>5700</v>
      </c>
      <c r="O7" s="208" t="s">
        <v>6081</v>
      </c>
      <c r="P7" s="209"/>
      <c r="Q7" s="210"/>
    </row>
    <row r="8" customFormat="false" ht="14.4" hidden="false" customHeight="false" outlineLevel="0" collapsed="false">
      <c r="A8" s="211" t="s">
        <v>117</v>
      </c>
      <c r="B8" s="212" t="n">
        <v>63</v>
      </c>
      <c r="C8" s="212" t="s">
        <v>1550</v>
      </c>
      <c r="D8" s="213"/>
      <c r="E8" s="214" t="n">
        <v>7447.72</v>
      </c>
      <c r="F8" s="214" t="n">
        <v>6821.67</v>
      </c>
      <c r="G8" s="214" t="n">
        <v>4243.48</v>
      </c>
      <c r="H8" s="214" t="n">
        <v>4592.58</v>
      </c>
      <c r="I8" s="214" t="n">
        <v>6061.91</v>
      </c>
      <c r="J8" s="214" t="n">
        <v>4963.66</v>
      </c>
      <c r="K8" s="214" t="n">
        <v>5975.96</v>
      </c>
      <c r="L8" s="214" t="n">
        <v>3400.71</v>
      </c>
      <c r="M8" s="214" t="n">
        <v>9139.29</v>
      </c>
      <c r="N8" s="214" t="n">
        <v>5819.66</v>
      </c>
      <c r="O8" s="215" t="n">
        <v>11972.67</v>
      </c>
      <c r="P8" s="216" t="n">
        <v>70439.31</v>
      </c>
      <c r="Q8" s="217" t="n">
        <v>70439.31</v>
      </c>
    </row>
    <row r="9" customFormat="false" ht="14.4" hidden="false" customHeight="false" outlineLevel="0" collapsed="false">
      <c r="A9" s="218"/>
      <c r="B9" s="212" t="n">
        <v>90</v>
      </c>
      <c r="C9" s="212" t="s">
        <v>1550</v>
      </c>
      <c r="D9" s="213"/>
      <c r="E9" s="214" t="n">
        <v>1351.84</v>
      </c>
      <c r="F9" s="214" t="n">
        <v>295.48</v>
      </c>
      <c r="G9" s="214" t="n">
        <v>30.55</v>
      </c>
      <c r="H9" s="214" t="n">
        <v>460.21</v>
      </c>
      <c r="I9" s="214" t="n">
        <v>495.68</v>
      </c>
      <c r="J9" s="219"/>
      <c r="K9" s="214" t="n">
        <v>1005.78</v>
      </c>
      <c r="L9" s="214" t="n">
        <v>730.54</v>
      </c>
      <c r="M9" s="214" t="n">
        <v>1010.05</v>
      </c>
      <c r="N9" s="214" t="n">
        <v>107.92</v>
      </c>
      <c r="O9" s="215" t="n">
        <v>2389.11</v>
      </c>
      <c r="P9" s="216" t="n">
        <v>7877.16</v>
      </c>
      <c r="Q9" s="217" t="n">
        <v>7877.16</v>
      </c>
    </row>
    <row r="10" customFormat="false" ht="14.4" hidden="false" customHeight="false" outlineLevel="0" collapsed="false">
      <c r="A10" s="218"/>
      <c r="B10" s="212" t="n">
        <v>110</v>
      </c>
      <c r="C10" s="212" t="s">
        <v>1550</v>
      </c>
      <c r="D10" s="213"/>
      <c r="E10" s="214" t="n">
        <v>638.57</v>
      </c>
      <c r="F10" s="214" t="n">
        <v>335.71</v>
      </c>
      <c r="G10" s="214" t="n">
        <v>2525.33</v>
      </c>
      <c r="H10" s="214" t="n">
        <v>111.17</v>
      </c>
      <c r="I10" s="214" t="n">
        <v>532.92</v>
      </c>
      <c r="J10" s="214" t="n">
        <v>1881.98</v>
      </c>
      <c r="K10" s="214" t="n">
        <v>644.07</v>
      </c>
      <c r="L10" s="214" t="n">
        <v>363.54</v>
      </c>
      <c r="M10" s="214" t="n">
        <v>1058.21</v>
      </c>
      <c r="N10" s="214" t="n">
        <v>261.6</v>
      </c>
      <c r="O10" s="215" t="n">
        <v>176.24</v>
      </c>
      <c r="P10" s="216" t="n">
        <v>8529.34</v>
      </c>
      <c r="Q10" s="217" t="n">
        <v>8529.34</v>
      </c>
    </row>
    <row r="11" customFormat="false" ht="14.4" hidden="false" customHeight="false" outlineLevel="0" collapsed="false">
      <c r="A11" s="218"/>
      <c r="B11" s="212" t="n">
        <v>160</v>
      </c>
      <c r="C11" s="212" t="s">
        <v>1550</v>
      </c>
      <c r="D11" s="213"/>
      <c r="E11" s="214" t="n">
        <v>635</v>
      </c>
      <c r="F11" s="214" t="n">
        <v>718.57</v>
      </c>
      <c r="G11" s="214" t="n">
        <v>2472.19</v>
      </c>
      <c r="H11" s="214" t="n">
        <v>1020.51</v>
      </c>
      <c r="I11" s="214" t="n">
        <v>383.59</v>
      </c>
      <c r="J11" s="214" t="n">
        <v>728.73</v>
      </c>
      <c r="K11" s="214" t="n">
        <v>2804.21</v>
      </c>
      <c r="L11" s="214" t="n">
        <v>429.8</v>
      </c>
      <c r="M11" s="214" t="n">
        <v>891.98</v>
      </c>
      <c r="N11" s="214" t="n">
        <v>983.95</v>
      </c>
      <c r="O11" s="215" t="n">
        <v>1426.64</v>
      </c>
      <c r="P11" s="216" t="n">
        <v>12495.17</v>
      </c>
      <c r="Q11" s="217" t="n">
        <v>12495.17</v>
      </c>
    </row>
    <row r="12" customFormat="false" ht="14.4" hidden="false" customHeight="false" outlineLevel="0" collapsed="false">
      <c r="A12" s="218"/>
      <c r="B12" s="212" t="n">
        <v>250</v>
      </c>
      <c r="C12" s="212" t="s">
        <v>1550</v>
      </c>
      <c r="D12" s="213"/>
      <c r="E12" s="219"/>
      <c r="F12" s="214" t="n">
        <v>98.22</v>
      </c>
      <c r="G12" s="214" t="n">
        <v>448.17</v>
      </c>
      <c r="H12" s="214" t="n">
        <v>2.03</v>
      </c>
      <c r="I12" s="214" t="n">
        <v>413.9</v>
      </c>
      <c r="J12" s="219"/>
      <c r="K12" s="219"/>
      <c r="L12" s="214" t="n">
        <v>6.74</v>
      </c>
      <c r="M12" s="214" t="n">
        <v>7.06</v>
      </c>
      <c r="N12" s="214" t="n">
        <v>24.96</v>
      </c>
      <c r="O12" s="220"/>
      <c r="P12" s="216" t="n">
        <v>1001.08</v>
      </c>
      <c r="Q12" s="217" t="n">
        <v>1001.08</v>
      </c>
    </row>
    <row r="13" customFormat="false" ht="14.4" hidden="false" customHeight="false" outlineLevel="0" collapsed="false">
      <c r="A13" s="218"/>
      <c r="B13" s="212" t="n">
        <v>280</v>
      </c>
      <c r="C13" s="212" t="s">
        <v>1550</v>
      </c>
      <c r="D13" s="221" t="n">
        <v>463.85</v>
      </c>
      <c r="E13" s="219"/>
      <c r="F13" s="219"/>
      <c r="G13" s="219"/>
      <c r="H13" s="219"/>
      <c r="I13" s="219"/>
      <c r="J13" s="219"/>
      <c r="K13" s="219"/>
      <c r="L13" s="219"/>
      <c r="M13" s="219"/>
      <c r="N13" s="219"/>
      <c r="O13" s="220"/>
      <c r="P13" s="216" t="n">
        <v>463.85</v>
      </c>
      <c r="Q13" s="217" t="n">
        <v>463.85</v>
      </c>
    </row>
    <row r="14" customFormat="false" ht="14.4" hidden="false" customHeight="false" outlineLevel="0" collapsed="false">
      <c r="A14" s="218"/>
      <c r="B14" s="212" t="n">
        <v>125</v>
      </c>
      <c r="C14" s="212" t="s">
        <v>1550</v>
      </c>
      <c r="D14" s="213"/>
      <c r="E14" s="219"/>
      <c r="F14" s="219"/>
      <c r="G14" s="214" t="n">
        <v>124.11</v>
      </c>
      <c r="H14" s="214" t="n">
        <v>718.72</v>
      </c>
      <c r="I14" s="219"/>
      <c r="J14" s="219"/>
      <c r="K14" s="214" t="n">
        <v>38.84</v>
      </c>
      <c r="L14" s="219"/>
      <c r="M14" s="219"/>
      <c r="N14" s="219"/>
      <c r="O14" s="220"/>
      <c r="P14" s="216" t="n">
        <v>881.67</v>
      </c>
      <c r="Q14" s="217" t="n">
        <v>881.67</v>
      </c>
    </row>
    <row r="15" customFormat="false" ht="14.4" hidden="false" customHeight="false" outlineLevel="0" collapsed="false">
      <c r="A15" s="218"/>
      <c r="B15" s="212" t="n">
        <v>225</v>
      </c>
      <c r="C15" s="212" t="s">
        <v>1550</v>
      </c>
      <c r="D15" s="213"/>
      <c r="E15" s="214" t="n">
        <v>825.22</v>
      </c>
      <c r="F15" s="214" t="n">
        <v>340.4</v>
      </c>
      <c r="G15" s="214" t="n">
        <v>26.39</v>
      </c>
      <c r="H15" s="214" t="n">
        <v>142</v>
      </c>
      <c r="I15" s="214" t="n">
        <v>1163.31</v>
      </c>
      <c r="J15" s="214" t="n">
        <v>250.63</v>
      </c>
      <c r="K15" s="219"/>
      <c r="L15" s="219"/>
      <c r="M15" s="214" t="n">
        <v>6.41</v>
      </c>
      <c r="N15" s="214" t="n">
        <v>332.49</v>
      </c>
      <c r="O15" s="215" t="n">
        <v>1010.4</v>
      </c>
      <c r="P15" s="216" t="n">
        <v>4097.25</v>
      </c>
      <c r="Q15" s="217" t="n">
        <v>4097.25</v>
      </c>
    </row>
    <row r="16" customFormat="false" ht="14.4" hidden="false" customHeight="false" outlineLevel="0" collapsed="false">
      <c r="A16" s="218"/>
      <c r="B16" s="212" t="n">
        <v>315</v>
      </c>
      <c r="C16" s="212" t="s">
        <v>1550</v>
      </c>
      <c r="D16" s="221" t="n">
        <v>2173.44</v>
      </c>
      <c r="E16" s="219"/>
      <c r="F16" s="219"/>
      <c r="G16" s="219"/>
      <c r="H16" s="219"/>
      <c r="I16" s="219"/>
      <c r="J16" s="219"/>
      <c r="K16" s="219"/>
      <c r="L16" s="219"/>
      <c r="M16" s="219"/>
      <c r="N16" s="219"/>
      <c r="O16" s="220"/>
      <c r="P16" s="216" t="n">
        <v>2173.44</v>
      </c>
      <c r="Q16" s="217" t="n">
        <v>2173.44</v>
      </c>
    </row>
    <row r="17" customFormat="false" ht="14.4" hidden="false" customHeight="false" outlineLevel="0" collapsed="false">
      <c r="A17" s="218"/>
      <c r="B17" s="212" t="n">
        <v>355</v>
      </c>
      <c r="C17" s="212" t="s">
        <v>1550</v>
      </c>
      <c r="D17" s="221" t="n">
        <v>683.91</v>
      </c>
      <c r="E17" s="219"/>
      <c r="F17" s="219"/>
      <c r="G17" s="219"/>
      <c r="H17" s="219"/>
      <c r="I17" s="219"/>
      <c r="J17" s="219"/>
      <c r="K17" s="219"/>
      <c r="L17" s="219"/>
      <c r="M17" s="219"/>
      <c r="N17" s="219"/>
      <c r="O17" s="220"/>
      <c r="P17" s="216" t="n">
        <v>683.91</v>
      </c>
      <c r="Q17" s="217" t="n">
        <v>683.91</v>
      </c>
    </row>
    <row r="18" customFormat="false" ht="14.4" hidden="false" customHeight="false" outlineLevel="0" collapsed="false">
      <c r="A18" s="218"/>
      <c r="B18" s="212" t="n">
        <v>400</v>
      </c>
      <c r="C18" s="212" t="s">
        <v>1550</v>
      </c>
      <c r="D18" s="221" t="n">
        <v>608.93</v>
      </c>
      <c r="E18" s="219"/>
      <c r="F18" s="219"/>
      <c r="G18" s="219"/>
      <c r="H18" s="219"/>
      <c r="I18" s="219"/>
      <c r="J18" s="219"/>
      <c r="K18" s="219"/>
      <c r="L18" s="219"/>
      <c r="M18" s="219"/>
      <c r="N18" s="219"/>
      <c r="O18" s="220"/>
      <c r="P18" s="216" t="n">
        <v>608.93</v>
      </c>
      <c r="Q18" s="217" t="n">
        <v>608.93</v>
      </c>
    </row>
    <row r="19" customFormat="false" ht="14.4" hidden="false" customHeight="false" outlineLevel="0" collapsed="false">
      <c r="A19" s="222"/>
      <c r="B19" s="212" t="n">
        <v>500</v>
      </c>
      <c r="C19" s="212" t="s">
        <v>1550</v>
      </c>
      <c r="D19" s="221" t="n">
        <v>1434.92</v>
      </c>
      <c r="E19" s="219"/>
      <c r="F19" s="219"/>
      <c r="G19" s="219"/>
      <c r="H19" s="219"/>
      <c r="I19" s="219"/>
      <c r="J19" s="219"/>
      <c r="K19" s="219"/>
      <c r="L19" s="219"/>
      <c r="M19" s="219"/>
      <c r="N19" s="219"/>
      <c r="O19" s="220"/>
      <c r="P19" s="216" t="n">
        <v>1434.92</v>
      </c>
      <c r="Q19" s="217" t="n">
        <v>1434.92</v>
      </c>
    </row>
    <row r="20" customFormat="false" ht="14.4" hidden="false" customHeight="false" outlineLevel="0" collapsed="false">
      <c r="A20" s="223" t="s">
        <v>7026</v>
      </c>
      <c r="B20" s="224"/>
      <c r="C20" s="225"/>
      <c r="D20" s="226" t="n">
        <v>5365.05</v>
      </c>
      <c r="E20" s="227" t="n">
        <v>10898.35</v>
      </c>
      <c r="F20" s="227" t="n">
        <v>8610.05</v>
      </c>
      <c r="G20" s="227" t="n">
        <v>9870.22</v>
      </c>
      <c r="H20" s="227" t="n">
        <v>7047.22</v>
      </c>
      <c r="I20" s="227" t="n">
        <v>9051.31</v>
      </c>
      <c r="J20" s="227" t="n">
        <v>7825</v>
      </c>
      <c r="K20" s="227" t="n">
        <v>10468.86</v>
      </c>
      <c r="L20" s="227" t="n">
        <v>4931.33</v>
      </c>
      <c r="M20" s="227" t="n">
        <v>12113</v>
      </c>
      <c r="N20" s="227" t="n">
        <v>7530.58</v>
      </c>
      <c r="O20" s="228" t="n">
        <v>16975.06</v>
      </c>
      <c r="P20" s="216" t="n">
        <v>110686.03</v>
      </c>
      <c r="Q20" s="217" t="n">
        <v>110686.03</v>
      </c>
    </row>
    <row r="21" customFormat="false" ht="14.4" hidden="false" customHeight="false" outlineLevel="0" collapsed="false">
      <c r="A21" s="229" t="s">
        <v>7025</v>
      </c>
      <c r="B21" s="230"/>
      <c r="C21" s="231"/>
      <c r="D21" s="232" t="n">
        <v>5365.05</v>
      </c>
      <c r="E21" s="233" t="n">
        <v>10898.35</v>
      </c>
      <c r="F21" s="233" t="n">
        <v>8610.05</v>
      </c>
      <c r="G21" s="233" t="n">
        <v>9870.22</v>
      </c>
      <c r="H21" s="233" t="n">
        <v>7047.22</v>
      </c>
      <c r="I21" s="233" t="n">
        <v>9051.31</v>
      </c>
      <c r="J21" s="233" t="n">
        <v>7825</v>
      </c>
      <c r="K21" s="233" t="n">
        <v>10468.86</v>
      </c>
      <c r="L21" s="233" t="n">
        <v>4931.33</v>
      </c>
      <c r="M21" s="233" t="n">
        <v>12113</v>
      </c>
      <c r="N21" s="233" t="n">
        <v>7530.58</v>
      </c>
      <c r="O21" s="234" t="n">
        <v>16975.06</v>
      </c>
      <c r="P21" s="235" t="n">
        <v>110686.03</v>
      </c>
      <c r="Q21" s="236" t="n">
        <v>110686.03</v>
      </c>
    </row>
    <row r="22" customFormat="false" ht="14.4" hidden="false" customHeight="false" outlineLevel="0" collapsed="false">
      <c r="A22" s="0"/>
      <c r="B22" s="0"/>
      <c r="C22" s="0"/>
      <c r="D22" s="0"/>
      <c r="E22" s="0"/>
      <c r="F22" s="0"/>
      <c r="G22" s="0"/>
      <c r="H22" s="0"/>
      <c r="I22" s="0"/>
      <c r="J22" s="0"/>
      <c r="K22" s="0"/>
      <c r="L22" s="0"/>
      <c r="M22" s="0"/>
    </row>
    <row r="23" customFormat="false" ht="14.4" hidden="false" customHeight="false" outlineLevel="0" collapsed="false">
      <c r="A23" s="0"/>
      <c r="B23" s="0"/>
      <c r="C23" s="0"/>
      <c r="D23" s="0"/>
      <c r="E23" s="0"/>
      <c r="F23" s="0"/>
      <c r="G23" s="0"/>
      <c r="H23" s="0"/>
      <c r="I23" s="0"/>
      <c r="J23" s="0"/>
      <c r="K23" s="0"/>
      <c r="L23" s="0"/>
      <c r="M23" s="0"/>
    </row>
    <row r="24" customFormat="false" ht="14.4" hidden="false" customHeight="false" outlineLevel="0" collapsed="false">
      <c r="A24" s="0"/>
      <c r="B24" s="0"/>
      <c r="C24" s="0"/>
      <c r="D24" s="0"/>
      <c r="E24" s="0"/>
      <c r="F24" s="0"/>
      <c r="G24" s="0"/>
      <c r="H24" s="0"/>
      <c r="I24" s="0"/>
      <c r="J24" s="0"/>
      <c r="K24" s="0"/>
      <c r="L24" s="0"/>
      <c r="M24" s="0"/>
    </row>
  </sheetData>
  <mergeCells count="1">
    <mergeCell ref="A1:H2"/>
  </mergeCells>
  <printOptions headings="false" gridLines="false" gridLinesSet="true" horizontalCentered="true" verticalCentered="false"/>
  <pageMargins left="0.196527777777778" right="0.196527777777778" top="0.7875" bottom="0.7875" header="0.511811023622047" footer="0.315277777777778"/>
  <pageSetup paperSize="77" scale="60" fitToWidth="1" fitToHeight="1" pageOrder="downThenOver" orientation="landscape" blackAndWhite="false" draft="false" cellComments="none" horizontalDpi="300" verticalDpi="300" copies="1"/>
  <headerFooter differentFirst="false" differentOddEven="false">
    <oddHeader/>
    <oddFooter>&amp;L&amp;A&amp;R&amp;P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42"/>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pane xSplit="0" ySplit="5" topLeftCell="A123" activePane="bottomLeft" state="frozen"/>
      <selection pane="topLeft" activeCell="C1" activeCellId="0" sqref="C1"/>
      <selection pane="bottomLeft" activeCell="J125" activeCellId="0" sqref="J125"/>
    </sheetView>
  </sheetViews>
  <sheetFormatPr defaultColWidth="8.88671875" defaultRowHeight="13.8" zeroHeight="false" outlineLevelRow="0" outlineLevelCol="0"/>
  <cols>
    <col collapsed="false" customWidth="true" hidden="false" outlineLevel="0" max="1" min="1" style="237" width="20"/>
    <col collapsed="false" customWidth="true" hidden="false" outlineLevel="0" max="2" min="2" style="237" width="14.79"/>
    <col collapsed="false" customWidth="true" hidden="false" outlineLevel="0" max="3" min="3" style="237" width="20.22"/>
    <col collapsed="false" customWidth="true" hidden="false" outlineLevel="0" max="4" min="4" style="237" width="18.11"/>
    <col collapsed="false" customWidth="true" hidden="false" outlineLevel="0" max="5" min="5" style="237" width="18.22"/>
    <col collapsed="false" customWidth="true" hidden="false" outlineLevel="0" max="6" min="6" style="237" width="11.89"/>
    <col collapsed="false" customWidth="true" hidden="false" outlineLevel="0" max="7" min="7" style="237" width="14.44"/>
    <col collapsed="false" customWidth="true" hidden="false" outlineLevel="0" max="8" min="8" style="237" width="11.11"/>
    <col collapsed="false" customWidth="true" hidden="false" outlineLevel="0" max="9" min="9" style="237" width="20.66"/>
    <col collapsed="false" customWidth="true" hidden="false" outlineLevel="0" max="11" min="10" style="237" width="19.21"/>
    <col collapsed="false" customWidth="true" hidden="false" outlineLevel="0" max="77" min="12" style="237" width="11.44"/>
    <col collapsed="false" customWidth="true" hidden="false" outlineLevel="0" max="78" min="78" style="237" width="10.44"/>
    <col collapsed="false" customWidth="false" hidden="false" outlineLevel="0" max="16384" min="79" style="237" width="8.88"/>
  </cols>
  <sheetData>
    <row r="1" customFormat="false" ht="19.95" hidden="false" customHeight="true" outlineLevel="0" collapsed="false">
      <c r="A1" s="238" t="s">
        <v>7027</v>
      </c>
      <c r="B1" s="239"/>
      <c r="C1" s="239"/>
      <c r="D1" s="239"/>
      <c r="E1" s="175" t="s">
        <v>2</v>
      </c>
      <c r="F1" s="176"/>
      <c r="G1" s="175" t="s">
        <v>1475</v>
      </c>
      <c r="H1" s="176"/>
      <c r="I1" s="13"/>
    </row>
    <row r="2" customFormat="false" ht="19.95" hidden="false" customHeight="true" outlineLevel="0" collapsed="false">
      <c r="A2" s="240"/>
      <c r="B2" s="241"/>
      <c r="C2" s="241"/>
      <c r="D2" s="241"/>
      <c r="E2" s="178" t="s">
        <v>1476</v>
      </c>
      <c r="F2" s="178"/>
      <c r="G2" s="179" t="n">
        <v>46308</v>
      </c>
      <c r="H2" s="180"/>
      <c r="I2" s="242"/>
    </row>
    <row r="3" customFormat="false" ht="19.95" hidden="false" customHeight="true" outlineLevel="0" collapsed="false">
      <c r="A3" s="243" t="s">
        <v>7</v>
      </c>
      <c r="C3" s="183"/>
      <c r="D3" s="183"/>
      <c r="E3" s="184"/>
      <c r="F3" s="185"/>
      <c r="G3" s="186" t="s">
        <v>1477</v>
      </c>
      <c r="H3" s="187"/>
      <c r="I3" s="244"/>
    </row>
    <row r="4" customFormat="false" ht="19.95" hidden="false" customHeight="true" outlineLevel="0" collapsed="false">
      <c r="A4" s="30" t="s">
        <v>13</v>
      </c>
      <c r="B4" s="245"/>
      <c r="C4" s="245"/>
      <c r="D4" s="245"/>
      <c r="E4" s="32"/>
      <c r="F4" s="189"/>
      <c r="G4" s="190" t="s">
        <v>1478</v>
      </c>
      <c r="H4" s="191"/>
      <c r="I4" s="246"/>
    </row>
    <row r="5" customFormat="false" ht="13.8" hidden="false" customHeight="false" outlineLevel="0" collapsed="false">
      <c r="A5" s="247" t="s">
        <v>28</v>
      </c>
      <c r="B5" s="196" t="s">
        <v>1490</v>
      </c>
      <c r="C5" s="196" t="s">
        <v>21</v>
      </c>
      <c r="D5" s="196" t="s">
        <v>1483</v>
      </c>
      <c r="E5" s="196" t="s">
        <v>1487</v>
      </c>
      <c r="F5" s="196" t="s">
        <v>1481</v>
      </c>
      <c r="G5" s="196" t="s">
        <v>26</v>
      </c>
      <c r="H5" s="196" t="s">
        <v>33</v>
      </c>
      <c r="I5" s="248" t="s">
        <v>7028</v>
      </c>
    </row>
    <row r="6" customFormat="false" ht="13.8" hidden="false" customHeight="false" outlineLevel="0" collapsed="false">
      <c r="A6" s="211" t="s">
        <v>6</v>
      </c>
      <c r="B6" s="249" t="s">
        <v>7029</v>
      </c>
      <c r="C6" s="249" t="s">
        <v>117</v>
      </c>
      <c r="D6" s="249" t="s">
        <v>1548</v>
      </c>
      <c r="E6" s="212" t="s">
        <v>1552</v>
      </c>
      <c r="F6" s="212" t="s">
        <v>1547</v>
      </c>
      <c r="G6" s="212" t="n">
        <v>63</v>
      </c>
      <c r="H6" s="212" t="s">
        <v>120</v>
      </c>
      <c r="I6" s="250" t="n">
        <v>76.55</v>
      </c>
    </row>
    <row r="7" customFormat="false" ht="13.8" hidden="false" customHeight="false" outlineLevel="0" collapsed="false">
      <c r="A7" s="218"/>
      <c r="B7" s="251"/>
      <c r="C7" s="251"/>
      <c r="D7" s="251"/>
      <c r="E7" s="212" t="s">
        <v>1565</v>
      </c>
      <c r="F7" s="212" t="s">
        <v>1547</v>
      </c>
      <c r="G7" s="212" t="n">
        <v>63</v>
      </c>
      <c r="H7" s="212" t="s">
        <v>120</v>
      </c>
      <c r="I7" s="250" t="n">
        <v>75.07</v>
      </c>
    </row>
    <row r="8" customFormat="false" ht="13.8" hidden="false" customHeight="false" outlineLevel="0" collapsed="false">
      <c r="A8" s="218"/>
      <c r="B8" s="251"/>
      <c r="C8" s="251"/>
      <c r="D8" s="251"/>
      <c r="E8" s="212" t="s">
        <v>1568</v>
      </c>
      <c r="F8" s="212" t="s">
        <v>1547</v>
      </c>
      <c r="G8" s="212" t="n">
        <v>63</v>
      </c>
      <c r="H8" s="212" t="s">
        <v>120</v>
      </c>
      <c r="I8" s="250" t="n">
        <v>3.22</v>
      </c>
    </row>
    <row r="9" customFormat="false" ht="13.8" hidden="false" customHeight="false" outlineLevel="0" collapsed="false">
      <c r="A9" s="218"/>
      <c r="B9" s="251"/>
      <c r="C9" s="251"/>
      <c r="D9" s="251"/>
      <c r="E9" s="212" t="s">
        <v>1571</v>
      </c>
      <c r="F9" s="212" t="s">
        <v>1547</v>
      </c>
      <c r="G9" s="212" t="n">
        <v>63</v>
      </c>
      <c r="H9" s="212" t="s">
        <v>120</v>
      </c>
      <c r="I9" s="250" t="n">
        <v>27.68</v>
      </c>
    </row>
    <row r="10" customFormat="false" ht="13.8" hidden="false" customHeight="false" outlineLevel="0" collapsed="false">
      <c r="A10" s="218"/>
      <c r="B10" s="251"/>
      <c r="C10" s="251"/>
      <c r="D10" s="251"/>
      <c r="E10" s="212" t="s">
        <v>1574</v>
      </c>
      <c r="F10" s="212" t="s">
        <v>1547</v>
      </c>
      <c r="G10" s="212" t="n">
        <v>63</v>
      </c>
      <c r="H10" s="212" t="s">
        <v>120</v>
      </c>
      <c r="I10" s="250" t="n">
        <v>50.68</v>
      </c>
    </row>
    <row r="11" customFormat="false" ht="13.8" hidden="false" customHeight="false" outlineLevel="0" collapsed="false">
      <c r="A11" s="218"/>
      <c r="B11" s="251"/>
      <c r="C11" s="251"/>
      <c r="D11" s="251"/>
      <c r="E11" s="212" t="s">
        <v>1577</v>
      </c>
      <c r="F11" s="212" t="s">
        <v>1547</v>
      </c>
      <c r="G11" s="212" t="n">
        <v>63</v>
      </c>
      <c r="H11" s="212" t="s">
        <v>120</v>
      </c>
      <c r="I11" s="250" t="n">
        <v>106.09</v>
      </c>
    </row>
    <row r="12" customFormat="false" ht="13.8" hidden="false" customHeight="false" outlineLevel="0" collapsed="false">
      <c r="A12" s="218"/>
      <c r="B12" s="251"/>
      <c r="C12" s="251"/>
      <c r="D12" s="251"/>
      <c r="E12" s="212" t="s">
        <v>1581</v>
      </c>
      <c r="F12" s="212" t="s">
        <v>1547</v>
      </c>
      <c r="G12" s="212" t="n">
        <v>63</v>
      </c>
      <c r="H12" s="212" t="s">
        <v>120</v>
      </c>
      <c r="I12" s="250" t="n">
        <v>135.3</v>
      </c>
    </row>
    <row r="13" customFormat="false" ht="13.8" hidden="false" customHeight="false" outlineLevel="0" collapsed="false">
      <c r="A13" s="218"/>
      <c r="B13" s="251"/>
      <c r="C13" s="251"/>
      <c r="D13" s="251"/>
      <c r="E13" s="212" t="s">
        <v>1585</v>
      </c>
      <c r="F13" s="212" t="s">
        <v>1547</v>
      </c>
      <c r="G13" s="212" t="n">
        <v>63</v>
      </c>
      <c r="H13" s="212" t="s">
        <v>120</v>
      </c>
      <c r="I13" s="250" t="n">
        <v>44.52</v>
      </c>
    </row>
    <row r="14" customFormat="false" ht="13.8" hidden="false" customHeight="false" outlineLevel="0" collapsed="false">
      <c r="A14" s="218"/>
      <c r="B14" s="251"/>
      <c r="C14" s="251"/>
      <c r="D14" s="251"/>
      <c r="E14" s="212" t="s">
        <v>1588</v>
      </c>
      <c r="F14" s="212" t="s">
        <v>1547</v>
      </c>
      <c r="G14" s="212" t="n">
        <v>63</v>
      </c>
      <c r="H14" s="212" t="s">
        <v>120</v>
      </c>
      <c r="I14" s="250" t="n">
        <v>60.4</v>
      </c>
    </row>
    <row r="15" customFormat="false" ht="13.8" hidden="false" customHeight="false" outlineLevel="0" collapsed="false">
      <c r="A15" s="218"/>
      <c r="B15" s="251"/>
      <c r="C15" s="251"/>
      <c r="D15" s="251"/>
      <c r="E15" s="212" t="s">
        <v>1592</v>
      </c>
      <c r="F15" s="212" t="s">
        <v>1547</v>
      </c>
      <c r="G15" s="212" t="n">
        <v>110</v>
      </c>
      <c r="H15" s="212" t="s">
        <v>120</v>
      </c>
      <c r="I15" s="250" t="n">
        <v>150.31</v>
      </c>
    </row>
    <row r="16" customFormat="false" ht="13.8" hidden="false" customHeight="false" outlineLevel="0" collapsed="false">
      <c r="A16" s="218"/>
      <c r="B16" s="251"/>
      <c r="C16" s="251"/>
      <c r="D16" s="251"/>
      <c r="E16" s="212" t="s">
        <v>1598</v>
      </c>
      <c r="F16" s="212" t="s">
        <v>1547</v>
      </c>
      <c r="G16" s="212" t="n">
        <v>63</v>
      </c>
      <c r="H16" s="212" t="s">
        <v>120</v>
      </c>
      <c r="I16" s="250" t="n">
        <v>8.04</v>
      </c>
    </row>
    <row r="17" customFormat="false" ht="13.8" hidden="false" customHeight="false" outlineLevel="0" collapsed="false">
      <c r="A17" s="218"/>
      <c r="B17" s="251"/>
      <c r="C17" s="251"/>
      <c r="D17" s="251"/>
      <c r="E17" s="212" t="s">
        <v>1602</v>
      </c>
      <c r="F17" s="212" t="s">
        <v>1547</v>
      </c>
      <c r="G17" s="212" t="n">
        <v>63</v>
      </c>
      <c r="H17" s="212" t="s">
        <v>120</v>
      </c>
      <c r="I17" s="250" t="n">
        <v>3.81</v>
      </c>
    </row>
    <row r="18" customFormat="false" ht="13.8" hidden="false" customHeight="false" outlineLevel="0" collapsed="false">
      <c r="A18" s="218"/>
      <c r="B18" s="251"/>
      <c r="C18" s="251"/>
      <c r="D18" s="251"/>
      <c r="E18" s="212" t="s">
        <v>1604</v>
      </c>
      <c r="F18" s="212" t="s">
        <v>1547</v>
      </c>
      <c r="G18" s="212" t="n">
        <v>63</v>
      </c>
      <c r="H18" s="212" t="s">
        <v>120</v>
      </c>
      <c r="I18" s="250" t="n">
        <v>103.9</v>
      </c>
    </row>
    <row r="19" customFormat="false" ht="13.8" hidden="false" customHeight="false" outlineLevel="0" collapsed="false">
      <c r="A19" s="218"/>
      <c r="B19" s="251"/>
      <c r="C19" s="251"/>
      <c r="D19" s="251"/>
      <c r="E19" s="212" t="s">
        <v>1607</v>
      </c>
      <c r="F19" s="212" t="s">
        <v>1547</v>
      </c>
      <c r="G19" s="212" t="n">
        <v>63</v>
      </c>
      <c r="H19" s="212" t="s">
        <v>120</v>
      </c>
      <c r="I19" s="250" t="n">
        <v>28.61</v>
      </c>
    </row>
    <row r="20" customFormat="false" ht="13.8" hidden="false" customHeight="false" outlineLevel="0" collapsed="false">
      <c r="A20" s="218"/>
      <c r="B20" s="251"/>
      <c r="C20" s="251"/>
      <c r="D20" s="251"/>
      <c r="E20" s="212" t="s">
        <v>1610</v>
      </c>
      <c r="F20" s="212" t="s">
        <v>1547</v>
      </c>
      <c r="G20" s="212" t="n">
        <v>110</v>
      </c>
      <c r="H20" s="212" t="s">
        <v>120</v>
      </c>
      <c r="I20" s="250" t="n">
        <v>169.2</v>
      </c>
    </row>
    <row r="21" customFormat="false" ht="13.8" hidden="false" customHeight="false" outlineLevel="0" collapsed="false">
      <c r="A21" s="218"/>
      <c r="B21" s="251"/>
      <c r="C21" s="251"/>
      <c r="D21" s="251"/>
      <c r="E21" s="212" t="s">
        <v>1613</v>
      </c>
      <c r="F21" s="212" t="s">
        <v>1547</v>
      </c>
      <c r="G21" s="212" t="n">
        <v>110</v>
      </c>
      <c r="H21" s="212" t="s">
        <v>120</v>
      </c>
      <c r="I21" s="250" t="n">
        <v>197.24</v>
      </c>
    </row>
    <row r="22" customFormat="false" ht="13.8" hidden="false" customHeight="false" outlineLevel="0" collapsed="false">
      <c r="A22" s="218"/>
      <c r="B22" s="251"/>
      <c r="C22" s="251"/>
      <c r="D22" s="251"/>
      <c r="E22" s="212" t="s">
        <v>1618</v>
      </c>
      <c r="F22" s="212" t="s">
        <v>1547</v>
      </c>
      <c r="G22" s="212" t="n">
        <v>63</v>
      </c>
      <c r="H22" s="212" t="s">
        <v>120</v>
      </c>
      <c r="I22" s="250" t="n">
        <v>89.64</v>
      </c>
    </row>
    <row r="23" customFormat="false" ht="13.8" hidden="false" customHeight="false" outlineLevel="0" collapsed="false">
      <c r="A23" s="218"/>
      <c r="B23" s="251"/>
      <c r="C23" s="251"/>
      <c r="D23" s="251"/>
      <c r="E23" s="212" t="s">
        <v>1622</v>
      </c>
      <c r="F23" s="212" t="s">
        <v>1547</v>
      </c>
      <c r="G23" s="212" t="n">
        <v>63</v>
      </c>
      <c r="H23" s="212" t="s">
        <v>120</v>
      </c>
      <c r="I23" s="250" t="n">
        <v>27.43</v>
      </c>
    </row>
    <row r="24" customFormat="false" ht="13.8" hidden="false" customHeight="false" outlineLevel="0" collapsed="false">
      <c r="A24" s="218"/>
      <c r="B24" s="251"/>
      <c r="C24" s="251"/>
      <c r="D24" s="251"/>
      <c r="E24" s="212" t="s">
        <v>1625</v>
      </c>
      <c r="F24" s="212" t="s">
        <v>1547</v>
      </c>
      <c r="G24" s="212" t="n">
        <v>63</v>
      </c>
      <c r="H24" s="212" t="s">
        <v>120</v>
      </c>
      <c r="I24" s="250" t="n">
        <v>5.71</v>
      </c>
    </row>
    <row r="25" customFormat="false" ht="13.8" hidden="false" customHeight="false" outlineLevel="0" collapsed="false">
      <c r="A25" s="218"/>
      <c r="B25" s="251"/>
      <c r="C25" s="251"/>
      <c r="D25" s="251"/>
      <c r="E25" s="212" t="s">
        <v>1629</v>
      </c>
      <c r="F25" s="212" t="s">
        <v>1547</v>
      </c>
      <c r="G25" s="212" t="n">
        <v>63</v>
      </c>
      <c r="H25" s="212" t="s">
        <v>120</v>
      </c>
      <c r="I25" s="250" t="n">
        <v>8.27</v>
      </c>
    </row>
    <row r="26" customFormat="false" ht="13.8" hidden="false" customHeight="false" outlineLevel="0" collapsed="false">
      <c r="A26" s="218"/>
      <c r="B26" s="251"/>
      <c r="C26" s="251"/>
      <c r="D26" s="251"/>
      <c r="E26" s="212" t="s">
        <v>1632</v>
      </c>
      <c r="F26" s="212" t="s">
        <v>1547</v>
      </c>
      <c r="G26" s="212" t="n">
        <v>90</v>
      </c>
      <c r="H26" s="212" t="s">
        <v>120</v>
      </c>
      <c r="I26" s="250" t="n">
        <v>30.27</v>
      </c>
    </row>
    <row r="27" customFormat="false" ht="13.8" hidden="false" customHeight="false" outlineLevel="0" collapsed="false">
      <c r="A27" s="218"/>
      <c r="B27" s="251"/>
      <c r="C27" s="251"/>
      <c r="D27" s="251"/>
      <c r="E27" s="212" t="s">
        <v>1635</v>
      </c>
      <c r="F27" s="212" t="s">
        <v>1547</v>
      </c>
      <c r="G27" s="212" t="n">
        <v>110</v>
      </c>
      <c r="H27" s="212" t="s">
        <v>120</v>
      </c>
      <c r="I27" s="250" t="n">
        <v>38.02</v>
      </c>
    </row>
    <row r="28" customFormat="false" ht="13.8" hidden="false" customHeight="false" outlineLevel="0" collapsed="false">
      <c r="A28" s="218"/>
      <c r="B28" s="251"/>
      <c r="C28" s="251"/>
      <c r="D28" s="251"/>
      <c r="E28" s="212" t="s">
        <v>1639</v>
      </c>
      <c r="F28" s="212" t="s">
        <v>1547</v>
      </c>
      <c r="G28" s="212" t="n">
        <v>63</v>
      </c>
      <c r="H28" s="212" t="s">
        <v>120</v>
      </c>
      <c r="I28" s="250" t="n">
        <v>23.36</v>
      </c>
    </row>
    <row r="29" customFormat="false" ht="13.8" hidden="false" customHeight="false" outlineLevel="0" collapsed="false">
      <c r="A29" s="218"/>
      <c r="B29" s="251"/>
      <c r="C29" s="251"/>
      <c r="D29" s="251"/>
      <c r="E29" s="212" t="s">
        <v>1642</v>
      </c>
      <c r="F29" s="212" t="s">
        <v>1547</v>
      </c>
      <c r="G29" s="212" t="n">
        <v>63</v>
      </c>
      <c r="H29" s="212" t="s">
        <v>120</v>
      </c>
      <c r="I29" s="250" t="n">
        <v>15.26</v>
      </c>
    </row>
    <row r="30" customFormat="false" ht="13.8" hidden="false" customHeight="false" outlineLevel="0" collapsed="false">
      <c r="A30" s="218"/>
      <c r="B30" s="251"/>
      <c r="C30" s="251"/>
      <c r="D30" s="251"/>
      <c r="E30" s="212" t="s">
        <v>1646</v>
      </c>
      <c r="F30" s="212" t="s">
        <v>1547</v>
      </c>
      <c r="G30" s="212" t="n">
        <v>63</v>
      </c>
      <c r="H30" s="212" t="s">
        <v>120</v>
      </c>
      <c r="I30" s="250" t="n">
        <v>99.64</v>
      </c>
    </row>
    <row r="31" customFormat="false" ht="13.8" hidden="false" customHeight="false" outlineLevel="0" collapsed="false">
      <c r="A31" s="218"/>
      <c r="B31" s="251"/>
      <c r="C31" s="251"/>
      <c r="D31" s="251"/>
      <c r="E31" s="212" t="s">
        <v>1650</v>
      </c>
      <c r="F31" s="212" t="s">
        <v>1547</v>
      </c>
      <c r="G31" s="212" t="n">
        <v>63</v>
      </c>
      <c r="H31" s="212" t="s">
        <v>120</v>
      </c>
      <c r="I31" s="250" t="n">
        <v>15.6</v>
      </c>
    </row>
    <row r="32" customFormat="false" ht="13.8" hidden="false" customHeight="false" outlineLevel="0" collapsed="false">
      <c r="A32" s="218"/>
      <c r="B32" s="251"/>
      <c r="C32" s="251"/>
      <c r="D32" s="251"/>
      <c r="E32" s="212" t="s">
        <v>1653</v>
      </c>
      <c r="F32" s="212" t="s">
        <v>1547</v>
      </c>
      <c r="G32" s="212" t="n">
        <v>110</v>
      </c>
      <c r="H32" s="212" t="s">
        <v>120</v>
      </c>
      <c r="I32" s="250" t="n">
        <v>39</v>
      </c>
    </row>
    <row r="33" customFormat="false" ht="13.8" hidden="false" customHeight="false" outlineLevel="0" collapsed="false">
      <c r="A33" s="218"/>
      <c r="B33" s="251"/>
      <c r="C33" s="251"/>
      <c r="D33" s="251"/>
      <c r="E33" s="212" t="s">
        <v>1656</v>
      </c>
      <c r="F33" s="212" t="s">
        <v>1547</v>
      </c>
      <c r="G33" s="212" t="n">
        <v>63</v>
      </c>
      <c r="H33" s="212" t="s">
        <v>120</v>
      </c>
      <c r="I33" s="250" t="n">
        <v>1.96</v>
      </c>
    </row>
    <row r="34" customFormat="false" ht="13.8" hidden="false" customHeight="false" outlineLevel="0" collapsed="false">
      <c r="A34" s="218"/>
      <c r="B34" s="251"/>
      <c r="C34" s="251"/>
      <c r="D34" s="251"/>
      <c r="E34" s="212" t="s">
        <v>1659</v>
      </c>
      <c r="F34" s="212" t="s">
        <v>1547</v>
      </c>
      <c r="G34" s="212" t="n">
        <v>90</v>
      </c>
      <c r="H34" s="212" t="s">
        <v>120</v>
      </c>
      <c r="I34" s="250" t="n">
        <v>26.54</v>
      </c>
    </row>
    <row r="35" customFormat="false" ht="13.8" hidden="false" customHeight="false" outlineLevel="0" collapsed="false">
      <c r="A35" s="218"/>
      <c r="B35" s="251"/>
      <c r="C35" s="251"/>
      <c r="D35" s="251"/>
      <c r="E35" s="212" t="s">
        <v>1662</v>
      </c>
      <c r="F35" s="212" t="s">
        <v>1547</v>
      </c>
      <c r="G35" s="212" t="n">
        <v>110</v>
      </c>
      <c r="H35" s="212" t="s">
        <v>120</v>
      </c>
      <c r="I35" s="250" t="n">
        <v>44.8</v>
      </c>
    </row>
    <row r="36" customFormat="false" ht="13.8" hidden="false" customHeight="false" outlineLevel="0" collapsed="false">
      <c r="A36" s="218"/>
      <c r="B36" s="251"/>
      <c r="C36" s="251"/>
      <c r="D36" s="251"/>
      <c r="E36" s="212" t="s">
        <v>1665</v>
      </c>
      <c r="F36" s="212" t="s">
        <v>1547</v>
      </c>
      <c r="G36" s="212" t="n">
        <v>63</v>
      </c>
      <c r="H36" s="212" t="s">
        <v>120</v>
      </c>
      <c r="I36" s="250" t="n">
        <v>96.65</v>
      </c>
    </row>
    <row r="37" customFormat="false" ht="13.8" hidden="false" customHeight="false" outlineLevel="0" collapsed="false">
      <c r="A37" s="218"/>
      <c r="B37" s="251"/>
      <c r="C37" s="251"/>
      <c r="D37" s="251"/>
      <c r="E37" s="212" t="s">
        <v>1668</v>
      </c>
      <c r="F37" s="212" t="s">
        <v>1547</v>
      </c>
      <c r="G37" s="212" t="n">
        <v>63</v>
      </c>
      <c r="H37" s="212" t="s">
        <v>120</v>
      </c>
      <c r="I37" s="250" t="n">
        <v>43.51</v>
      </c>
    </row>
    <row r="38" customFormat="false" ht="13.8" hidden="false" customHeight="false" outlineLevel="0" collapsed="false">
      <c r="A38" s="218"/>
      <c r="B38" s="251"/>
      <c r="C38" s="251"/>
      <c r="D38" s="251"/>
      <c r="E38" s="212" t="s">
        <v>1671</v>
      </c>
      <c r="F38" s="212" t="s">
        <v>1547</v>
      </c>
      <c r="G38" s="212" t="n">
        <v>63</v>
      </c>
      <c r="H38" s="212" t="s">
        <v>120</v>
      </c>
      <c r="I38" s="250" t="n">
        <v>93.29</v>
      </c>
    </row>
    <row r="39" customFormat="false" ht="13.8" hidden="false" customHeight="false" outlineLevel="0" collapsed="false">
      <c r="A39" s="218"/>
      <c r="B39" s="251"/>
      <c r="C39" s="251"/>
      <c r="D39" s="251"/>
      <c r="E39" s="212" t="s">
        <v>1675</v>
      </c>
      <c r="F39" s="212" t="s">
        <v>1547</v>
      </c>
      <c r="G39" s="212" t="n">
        <v>90</v>
      </c>
      <c r="H39" s="212" t="s">
        <v>120</v>
      </c>
      <c r="I39" s="250" t="n">
        <v>53.93</v>
      </c>
    </row>
    <row r="40" customFormat="false" ht="13.8" hidden="false" customHeight="false" outlineLevel="0" collapsed="false">
      <c r="A40" s="218"/>
      <c r="B40" s="251"/>
      <c r="C40" s="251"/>
      <c r="D40" s="251"/>
      <c r="E40" s="212" t="s">
        <v>1678</v>
      </c>
      <c r="F40" s="212" t="s">
        <v>1547</v>
      </c>
      <c r="G40" s="212" t="n">
        <v>90</v>
      </c>
      <c r="H40" s="212" t="s">
        <v>120</v>
      </c>
      <c r="I40" s="250" t="n">
        <v>187.33</v>
      </c>
    </row>
    <row r="41" customFormat="false" ht="13.8" hidden="false" customHeight="false" outlineLevel="0" collapsed="false">
      <c r="A41" s="218"/>
      <c r="B41" s="251"/>
      <c r="C41" s="251"/>
      <c r="D41" s="251"/>
      <c r="E41" s="212" t="s">
        <v>1682</v>
      </c>
      <c r="F41" s="212" t="s">
        <v>1547</v>
      </c>
      <c r="G41" s="212" t="n">
        <v>160</v>
      </c>
      <c r="H41" s="212" t="s">
        <v>120</v>
      </c>
      <c r="I41" s="250" t="n">
        <v>115.61</v>
      </c>
    </row>
    <row r="42" customFormat="false" ht="13.8" hidden="false" customHeight="false" outlineLevel="0" collapsed="false">
      <c r="A42" s="218"/>
      <c r="B42" s="251"/>
      <c r="C42" s="251"/>
      <c r="D42" s="251"/>
      <c r="E42" s="212" t="s">
        <v>1686</v>
      </c>
      <c r="F42" s="212" t="s">
        <v>1547</v>
      </c>
      <c r="G42" s="212" t="n">
        <v>63</v>
      </c>
      <c r="H42" s="212" t="s">
        <v>120</v>
      </c>
      <c r="I42" s="250" t="n">
        <v>135.21</v>
      </c>
    </row>
    <row r="43" customFormat="false" ht="13.8" hidden="false" customHeight="false" outlineLevel="0" collapsed="false">
      <c r="A43" s="218"/>
      <c r="B43" s="251"/>
      <c r="C43" s="251"/>
      <c r="D43" s="251"/>
      <c r="E43" s="212" t="s">
        <v>1689</v>
      </c>
      <c r="F43" s="212" t="s">
        <v>1547</v>
      </c>
      <c r="G43" s="212" t="n">
        <v>63</v>
      </c>
      <c r="H43" s="212" t="s">
        <v>120</v>
      </c>
      <c r="I43" s="250" t="n">
        <v>124.3</v>
      </c>
    </row>
    <row r="44" customFormat="false" ht="13.8" hidden="false" customHeight="false" outlineLevel="0" collapsed="false">
      <c r="A44" s="218"/>
      <c r="B44" s="251"/>
      <c r="C44" s="251"/>
      <c r="D44" s="251"/>
      <c r="E44" s="212" t="s">
        <v>1693</v>
      </c>
      <c r="F44" s="212" t="s">
        <v>1547</v>
      </c>
      <c r="G44" s="212" t="n">
        <v>90</v>
      </c>
      <c r="H44" s="212" t="s">
        <v>120</v>
      </c>
      <c r="I44" s="250" t="n">
        <v>173.01</v>
      </c>
    </row>
    <row r="45" customFormat="false" ht="13.8" hidden="false" customHeight="false" outlineLevel="0" collapsed="false">
      <c r="A45" s="218"/>
      <c r="B45" s="251"/>
      <c r="C45" s="251"/>
      <c r="D45" s="251"/>
      <c r="E45" s="212" t="s">
        <v>1696</v>
      </c>
      <c r="F45" s="212" t="s">
        <v>1547</v>
      </c>
      <c r="G45" s="212" t="n">
        <v>63</v>
      </c>
      <c r="H45" s="212" t="s">
        <v>120</v>
      </c>
      <c r="I45" s="250" t="n">
        <v>186.59</v>
      </c>
    </row>
    <row r="46" customFormat="false" ht="13.8" hidden="false" customHeight="false" outlineLevel="0" collapsed="false">
      <c r="A46" s="218"/>
      <c r="B46" s="251"/>
      <c r="C46" s="251"/>
      <c r="D46" s="251"/>
      <c r="E46" s="212" t="s">
        <v>1700</v>
      </c>
      <c r="F46" s="212" t="s">
        <v>1547</v>
      </c>
      <c r="G46" s="212" t="n">
        <v>63</v>
      </c>
      <c r="H46" s="212" t="s">
        <v>120</v>
      </c>
      <c r="I46" s="250" t="n">
        <v>137.25</v>
      </c>
    </row>
    <row r="47" customFormat="false" ht="13.8" hidden="false" customHeight="false" outlineLevel="0" collapsed="false">
      <c r="A47" s="218"/>
      <c r="B47" s="251"/>
      <c r="C47" s="251"/>
      <c r="D47" s="251"/>
      <c r="E47" s="212" t="s">
        <v>1705</v>
      </c>
      <c r="F47" s="212" t="s">
        <v>1547</v>
      </c>
      <c r="G47" s="212" t="n">
        <v>160</v>
      </c>
      <c r="H47" s="212" t="s">
        <v>120</v>
      </c>
      <c r="I47" s="250" t="n">
        <v>45.72</v>
      </c>
    </row>
    <row r="48" customFormat="false" ht="13.8" hidden="false" customHeight="false" outlineLevel="0" collapsed="false">
      <c r="A48" s="218"/>
      <c r="B48" s="251"/>
      <c r="C48" s="251"/>
      <c r="D48" s="251"/>
      <c r="E48" s="212" t="s">
        <v>1708</v>
      </c>
      <c r="F48" s="212" t="s">
        <v>1547</v>
      </c>
      <c r="G48" s="212" t="n">
        <v>90</v>
      </c>
      <c r="H48" s="212" t="s">
        <v>120</v>
      </c>
      <c r="I48" s="250" t="n">
        <v>43.48</v>
      </c>
    </row>
    <row r="49" customFormat="false" ht="13.8" hidden="false" customHeight="false" outlineLevel="0" collapsed="false">
      <c r="A49" s="218"/>
      <c r="B49" s="251"/>
      <c r="C49" s="251"/>
      <c r="D49" s="251"/>
      <c r="E49" s="212" t="s">
        <v>1711</v>
      </c>
      <c r="F49" s="212" t="s">
        <v>1547</v>
      </c>
      <c r="G49" s="212" t="n">
        <v>63</v>
      </c>
      <c r="H49" s="212" t="s">
        <v>120</v>
      </c>
      <c r="I49" s="250" t="n">
        <v>156.01</v>
      </c>
    </row>
    <row r="50" customFormat="false" ht="13.8" hidden="false" customHeight="false" outlineLevel="0" collapsed="false">
      <c r="A50" s="218"/>
      <c r="B50" s="251"/>
      <c r="C50" s="251"/>
      <c r="D50" s="251"/>
      <c r="E50" s="212" t="s">
        <v>1716</v>
      </c>
      <c r="F50" s="212" t="s">
        <v>1547</v>
      </c>
      <c r="G50" s="212" t="n">
        <v>90</v>
      </c>
      <c r="H50" s="212" t="s">
        <v>120</v>
      </c>
      <c r="I50" s="250" t="n">
        <v>24.75</v>
      </c>
    </row>
    <row r="51" customFormat="false" ht="13.8" hidden="false" customHeight="false" outlineLevel="0" collapsed="false">
      <c r="A51" s="218"/>
      <c r="B51" s="251"/>
      <c r="C51" s="251"/>
      <c r="D51" s="251"/>
      <c r="E51" s="212" t="s">
        <v>1720</v>
      </c>
      <c r="F51" s="212" t="s">
        <v>1547</v>
      </c>
      <c r="G51" s="212" t="n">
        <v>63</v>
      </c>
      <c r="H51" s="212" t="s">
        <v>120</v>
      </c>
      <c r="I51" s="250" t="n">
        <v>16.63</v>
      </c>
    </row>
    <row r="52" customFormat="false" ht="13.8" hidden="false" customHeight="false" outlineLevel="0" collapsed="false">
      <c r="A52" s="218"/>
      <c r="B52" s="251"/>
      <c r="C52" s="251"/>
      <c r="D52" s="251"/>
      <c r="E52" s="212" t="s">
        <v>1724</v>
      </c>
      <c r="F52" s="212" t="s">
        <v>1547</v>
      </c>
      <c r="G52" s="212" t="n">
        <v>160</v>
      </c>
      <c r="H52" s="212" t="s">
        <v>120</v>
      </c>
      <c r="I52" s="250" t="n">
        <v>50.99</v>
      </c>
    </row>
    <row r="53" customFormat="false" ht="13.8" hidden="false" customHeight="false" outlineLevel="0" collapsed="false">
      <c r="A53" s="218"/>
      <c r="B53" s="251"/>
      <c r="C53" s="251"/>
      <c r="D53" s="251"/>
      <c r="E53" s="212" t="s">
        <v>1727</v>
      </c>
      <c r="F53" s="212" t="s">
        <v>1547</v>
      </c>
      <c r="G53" s="212" t="n">
        <v>90</v>
      </c>
      <c r="H53" s="212" t="s">
        <v>120</v>
      </c>
      <c r="I53" s="250" t="n">
        <v>184.87</v>
      </c>
    </row>
    <row r="54" customFormat="false" ht="13.8" hidden="false" customHeight="false" outlineLevel="0" collapsed="false">
      <c r="A54" s="218"/>
      <c r="B54" s="251"/>
      <c r="C54" s="251"/>
      <c r="D54" s="251"/>
      <c r="E54" s="212" t="s">
        <v>1731</v>
      </c>
      <c r="F54" s="212" t="s">
        <v>1547</v>
      </c>
      <c r="G54" s="212" t="n">
        <v>63</v>
      </c>
      <c r="H54" s="212" t="s">
        <v>120</v>
      </c>
      <c r="I54" s="250" t="n">
        <v>42.09</v>
      </c>
    </row>
    <row r="55" customFormat="false" ht="13.8" hidden="false" customHeight="false" outlineLevel="0" collapsed="false">
      <c r="A55" s="218"/>
      <c r="B55" s="251"/>
      <c r="C55" s="251"/>
      <c r="D55" s="251"/>
      <c r="E55" s="212" t="s">
        <v>1735</v>
      </c>
      <c r="F55" s="212" t="s">
        <v>1547</v>
      </c>
      <c r="G55" s="212" t="n">
        <v>160</v>
      </c>
      <c r="H55" s="212" t="s">
        <v>120</v>
      </c>
      <c r="I55" s="250" t="n">
        <v>49.75</v>
      </c>
    </row>
    <row r="56" customFormat="false" ht="13.8" hidden="false" customHeight="false" outlineLevel="0" collapsed="false">
      <c r="A56" s="218"/>
      <c r="B56" s="251"/>
      <c r="C56" s="251"/>
      <c r="D56" s="251"/>
      <c r="E56" s="212" t="s">
        <v>1737</v>
      </c>
      <c r="F56" s="212" t="s">
        <v>1547</v>
      </c>
      <c r="G56" s="212" t="n">
        <v>63</v>
      </c>
      <c r="H56" s="212" t="s">
        <v>120</v>
      </c>
      <c r="I56" s="250" t="n">
        <v>45.07</v>
      </c>
    </row>
    <row r="57" customFormat="false" ht="13.8" hidden="false" customHeight="false" outlineLevel="0" collapsed="false">
      <c r="A57" s="218"/>
      <c r="B57" s="251"/>
      <c r="C57" s="251"/>
      <c r="D57" s="251"/>
      <c r="E57" s="212" t="s">
        <v>1741</v>
      </c>
      <c r="F57" s="212" t="s">
        <v>1547</v>
      </c>
      <c r="G57" s="212" t="n">
        <v>63</v>
      </c>
      <c r="H57" s="212" t="s">
        <v>120</v>
      </c>
      <c r="I57" s="250" t="n">
        <v>178.41</v>
      </c>
    </row>
    <row r="58" customFormat="false" ht="13.8" hidden="false" customHeight="false" outlineLevel="0" collapsed="false">
      <c r="A58" s="218"/>
      <c r="B58" s="251"/>
      <c r="C58" s="251"/>
      <c r="D58" s="251"/>
      <c r="E58" s="212" t="s">
        <v>2967</v>
      </c>
      <c r="F58" s="212" t="s">
        <v>2966</v>
      </c>
      <c r="G58" s="212" t="n">
        <v>63</v>
      </c>
      <c r="H58" s="212" t="s">
        <v>120</v>
      </c>
      <c r="I58" s="250" t="n">
        <v>174.16</v>
      </c>
    </row>
    <row r="59" customFormat="false" ht="13.8" hidden="false" customHeight="false" outlineLevel="0" collapsed="false">
      <c r="A59" s="218"/>
      <c r="B59" s="251"/>
      <c r="C59" s="251"/>
      <c r="D59" s="251"/>
      <c r="E59" s="212" t="s">
        <v>2972</v>
      </c>
      <c r="F59" s="212" t="s">
        <v>2966</v>
      </c>
      <c r="G59" s="212" t="n">
        <v>160</v>
      </c>
      <c r="H59" s="212" t="s">
        <v>120</v>
      </c>
      <c r="I59" s="250" t="n">
        <v>53.76</v>
      </c>
    </row>
    <row r="60" customFormat="false" ht="13.8" hidden="false" customHeight="false" outlineLevel="0" collapsed="false">
      <c r="A60" s="218"/>
      <c r="B60" s="251"/>
      <c r="C60" s="251"/>
      <c r="D60" s="251"/>
      <c r="E60" s="212" t="s">
        <v>2977</v>
      </c>
      <c r="F60" s="212" t="s">
        <v>2966</v>
      </c>
      <c r="G60" s="212" t="n">
        <v>63</v>
      </c>
      <c r="H60" s="212" t="s">
        <v>120</v>
      </c>
      <c r="I60" s="250" t="n">
        <v>173.89</v>
      </c>
    </row>
    <row r="61" customFormat="false" ht="13.8" hidden="false" customHeight="false" outlineLevel="0" collapsed="false">
      <c r="A61" s="218"/>
      <c r="B61" s="251"/>
      <c r="C61" s="251"/>
      <c r="D61" s="251"/>
      <c r="E61" s="212" t="s">
        <v>2981</v>
      </c>
      <c r="F61" s="212" t="s">
        <v>2966</v>
      </c>
      <c r="G61" s="212" t="n">
        <v>63</v>
      </c>
      <c r="H61" s="212" t="s">
        <v>120</v>
      </c>
      <c r="I61" s="250" t="n">
        <v>53.83</v>
      </c>
    </row>
    <row r="62" customFormat="false" ht="13.8" hidden="false" customHeight="false" outlineLevel="0" collapsed="false">
      <c r="A62" s="218"/>
      <c r="B62" s="251"/>
      <c r="C62" s="251"/>
      <c r="D62" s="251"/>
      <c r="E62" s="212" t="s">
        <v>2985</v>
      </c>
      <c r="F62" s="212" t="s">
        <v>2966</v>
      </c>
      <c r="G62" s="212" t="n">
        <v>63</v>
      </c>
      <c r="H62" s="212" t="s">
        <v>120</v>
      </c>
      <c r="I62" s="250" t="n">
        <v>63.25</v>
      </c>
    </row>
    <row r="63" customFormat="false" ht="13.8" hidden="false" customHeight="false" outlineLevel="0" collapsed="false">
      <c r="A63" s="218"/>
      <c r="B63" s="251"/>
      <c r="C63" s="251"/>
      <c r="D63" s="251"/>
      <c r="E63" s="212" t="s">
        <v>2989</v>
      </c>
      <c r="F63" s="212" t="s">
        <v>2966</v>
      </c>
      <c r="G63" s="212" t="n">
        <v>63</v>
      </c>
      <c r="H63" s="212" t="s">
        <v>120</v>
      </c>
      <c r="I63" s="250" t="n">
        <v>37.01</v>
      </c>
    </row>
    <row r="64" customFormat="false" ht="13.8" hidden="false" customHeight="false" outlineLevel="0" collapsed="false">
      <c r="A64" s="218"/>
      <c r="B64" s="251"/>
      <c r="C64" s="251"/>
      <c r="D64" s="251"/>
      <c r="E64" s="212" t="s">
        <v>2994</v>
      </c>
      <c r="F64" s="212" t="s">
        <v>2966</v>
      </c>
      <c r="G64" s="212" t="n">
        <v>63</v>
      </c>
      <c r="H64" s="212" t="s">
        <v>120</v>
      </c>
      <c r="I64" s="250" t="n">
        <v>7.65</v>
      </c>
    </row>
    <row r="65" customFormat="false" ht="13.8" hidden="false" customHeight="false" outlineLevel="0" collapsed="false">
      <c r="A65" s="218"/>
      <c r="B65" s="252"/>
      <c r="C65" s="252"/>
      <c r="D65" s="252"/>
      <c r="E65" s="212" t="s">
        <v>2998</v>
      </c>
      <c r="F65" s="212" t="s">
        <v>2966</v>
      </c>
      <c r="G65" s="212" t="n">
        <v>63</v>
      </c>
      <c r="H65" s="212" t="s">
        <v>120</v>
      </c>
      <c r="I65" s="250" t="n">
        <v>56.74</v>
      </c>
    </row>
    <row r="66" customFormat="false" ht="13.8" hidden="false" customHeight="false" outlineLevel="0" collapsed="false">
      <c r="A66" s="218"/>
      <c r="B66" s="249" t="s">
        <v>7030</v>
      </c>
      <c r="C66" s="249" t="s">
        <v>117</v>
      </c>
      <c r="D66" s="249" t="s">
        <v>1548</v>
      </c>
      <c r="E66" s="212" t="s">
        <v>1745</v>
      </c>
      <c r="F66" s="212" t="s">
        <v>1547</v>
      </c>
      <c r="G66" s="212" t="n">
        <v>63</v>
      </c>
      <c r="H66" s="212" t="s">
        <v>120</v>
      </c>
      <c r="I66" s="250" t="n">
        <v>41.58</v>
      </c>
    </row>
    <row r="67" customFormat="false" ht="13.8" hidden="false" customHeight="false" outlineLevel="0" collapsed="false">
      <c r="A67" s="218"/>
      <c r="B67" s="251"/>
      <c r="C67" s="251"/>
      <c r="D67" s="251"/>
      <c r="E67" s="212" t="s">
        <v>1751</v>
      </c>
      <c r="F67" s="212" t="s">
        <v>1547</v>
      </c>
      <c r="G67" s="212" t="n">
        <v>225</v>
      </c>
      <c r="H67" s="212" t="s">
        <v>120</v>
      </c>
      <c r="I67" s="250" t="n">
        <v>49.55</v>
      </c>
    </row>
    <row r="68" customFormat="false" ht="13.8" hidden="false" customHeight="false" outlineLevel="0" collapsed="false">
      <c r="A68" s="218"/>
      <c r="B68" s="251"/>
      <c r="C68" s="251"/>
      <c r="D68" s="251"/>
      <c r="E68" s="212" t="s">
        <v>1754</v>
      </c>
      <c r="F68" s="212" t="s">
        <v>1547</v>
      </c>
      <c r="G68" s="212" t="n">
        <v>63</v>
      </c>
      <c r="H68" s="212" t="s">
        <v>120</v>
      </c>
      <c r="I68" s="250" t="n">
        <v>190.03</v>
      </c>
    </row>
    <row r="69" customFormat="false" ht="13.8" hidden="false" customHeight="false" outlineLevel="0" collapsed="false">
      <c r="A69" s="218"/>
      <c r="B69" s="251"/>
      <c r="C69" s="251"/>
      <c r="D69" s="251"/>
      <c r="E69" s="212" t="s">
        <v>1758</v>
      </c>
      <c r="F69" s="212" t="s">
        <v>1547</v>
      </c>
      <c r="G69" s="212" t="n">
        <v>63</v>
      </c>
      <c r="H69" s="212" t="s">
        <v>120</v>
      </c>
      <c r="I69" s="250" t="n">
        <v>47.06</v>
      </c>
    </row>
    <row r="70" customFormat="false" ht="13.8" hidden="false" customHeight="false" outlineLevel="0" collapsed="false">
      <c r="A70" s="218"/>
      <c r="B70" s="251"/>
      <c r="C70" s="251"/>
      <c r="D70" s="251"/>
      <c r="E70" s="212" t="s">
        <v>1764</v>
      </c>
      <c r="F70" s="212" t="s">
        <v>1547</v>
      </c>
      <c r="G70" s="212" t="n">
        <v>63</v>
      </c>
      <c r="H70" s="212" t="s">
        <v>120</v>
      </c>
      <c r="I70" s="250" t="n">
        <v>40.73</v>
      </c>
    </row>
    <row r="71" customFormat="false" ht="13.8" hidden="false" customHeight="false" outlineLevel="0" collapsed="false">
      <c r="A71" s="218"/>
      <c r="B71" s="251"/>
      <c r="C71" s="251"/>
      <c r="D71" s="251"/>
      <c r="E71" s="212" t="s">
        <v>1768</v>
      </c>
      <c r="F71" s="212" t="s">
        <v>1547</v>
      </c>
      <c r="G71" s="212" t="n">
        <v>63</v>
      </c>
      <c r="H71" s="212" t="s">
        <v>120</v>
      </c>
      <c r="I71" s="250" t="n">
        <v>0.59</v>
      </c>
    </row>
    <row r="72" customFormat="false" ht="13.8" hidden="false" customHeight="false" outlineLevel="0" collapsed="false">
      <c r="A72" s="218"/>
      <c r="B72" s="251"/>
      <c r="C72" s="251"/>
      <c r="D72" s="251"/>
      <c r="E72" s="212" t="s">
        <v>1771</v>
      </c>
      <c r="F72" s="212" t="s">
        <v>1547</v>
      </c>
      <c r="G72" s="212" t="n">
        <v>63</v>
      </c>
      <c r="H72" s="212" t="s">
        <v>120</v>
      </c>
      <c r="I72" s="250" t="n">
        <v>144.02</v>
      </c>
    </row>
    <row r="73" customFormat="false" ht="13.8" hidden="false" customHeight="false" outlineLevel="0" collapsed="false">
      <c r="A73" s="218"/>
      <c r="B73" s="251"/>
      <c r="C73" s="251"/>
      <c r="D73" s="251"/>
      <c r="E73" s="212" t="s">
        <v>1776</v>
      </c>
      <c r="F73" s="212" t="s">
        <v>1547</v>
      </c>
      <c r="G73" s="212" t="n">
        <v>63</v>
      </c>
      <c r="H73" s="212" t="s">
        <v>120</v>
      </c>
      <c r="I73" s="250" t="n">
        <v>202.23</v>
      </c>
    </row>
    <row r="74" customFormat="false" ht="13.8" hidden="false" customHeight="false" outlineLevel="0" collapsed="false">
      <c r="A74" s="218"/>
      <c r="B74" s="251"/>
      <c r="C74" s="251"/>
      <c r="D74" s="251"/>
      <c r="E74" s="212" t="s">
        <v>1780</v>
      </c>
      <c r="F74" s="212" t="s">
        <v>1547</v>
      </c>
      <c r="G74" s="212" t="n">
        <v>225</v>
      </c>
      <c r="H74" s="212" t="s">
        <v>120</v>
      </c>
      <c r="I74" s="250" t="n">
        <v>42.7</v>
      </c>
    </row>
    <row r="75" customFormat="false" ht="13.8" hidden="false" customHeight="false" outlineLevel="0" collapsed="false">
      <c r="A75" s="218"/>
      <c r="B75" s="251"/>
      <c r="C75" s="251"/>
      <c r="D75" s="251"/>
      <c r="E75" s="212" t="s">
        <v>1783</v>
      </c>
      <c r="F75" s="212" t="s">
        <v>1547</v>
      </c>
      <c r="G75" s="212" t="n">
        <v>63</v>
      </c>
      <c r="H75" s="212" t="s">
        <v>120</v>
      </c>
      <c r="I75" s="250" t="n">
        <v>41.63</v>
      </c>
    </row>
    <row r="76" customFormat="false" ht="13.8" hidden="false" customHeight="false" outlineLevel="0" collapsed="false">
      <c r="A76" s="218"/>
      <c r="B76" s="251"/>
      <c r="C76" s="251"/>
      <c r="D76" s="251"/>
      <c r="E76" s="212" t="s">
        <v>1786</v>
      </c>
      <c r="F76" s="212" t="s">
        <v>1547</v>
      </c>
      <c r="G76" s="212" t="n">
        <v>63</v>
      </c>
      <c r="H76" s="212" t="s">
        <v>120</v>
      </c>
      <c r="I76" s="250" t="n">
        <v>146.23</v>
      </c>
    </row>
    <row r="77" customFormat="false" ht="13.8" hidden="false" customHeight="false" outlineLevel="0" collapsed="false">
      <c r="A77" s="218"/>
      <c r="B77" s="251"/>
      <c r="C77" s="251"/>
      <c r="D77" s="251"/>
      <c r="E77" s="212" t="s">
        <v>1790</v>
      </c>
      <c r="F77" s="212" t="s">
        <v>1547</v>
      </c>
      <c r="G77" s="212" t="n">
        <v>63</v>
      </c>
      <c r="H77" s="212" t="s">
        <v>120</v>
      </c>
      <c r="I77" s="250" t="n">
        <v>211.33</v>
      </c>
    </row>
    <row r="78" customFormat="false" ht="13.8" hidden="false" customHeight="false" outlineLevel="0" collapsed="false">
      <c r="A78" s="218"/>
      <c r="B78" s="251"/>
      <c r="C78" s="251"/>
      <c r="D78" s="251"/>
      <c r="E78" s="212" t="s">
        <v>1794</v>
      </c>
      <c r="F78" s="212" t="s">
        <v>1547</v>
      </c>
      <c r="G78" s="212" t="n">
        <v>63</v>
      </c>
      <c r="H78" s="212" t="s">
        <v>120</v>
      </c>
      <c r="I78" s="250" t="n">
        <v>2.47</v>
      </c>
    </row>
    <row r="79" customFormat="false" ht="13.8" hidden="false" customHeight="false" outlineLevel="0" collapsed="false">
      <c r="A79" s="218"/>
      <c r="B79" s="251"/>
      <c r="C79" s="251"/>
      <c r="D79" s="251"/>
      <c r="E79" s="212" t="s">
        <v>1798</v>
      </c>
      <c r="F79" s="212" t="s">
        <v>1547</v>
      </c>
      <c r="G79" s="212" t="n">
        <v>225</v>
      </c>
      <c r="H79" s="212" t="s">
        <v>120</v>
      </c>
      <c r="I79" s="250" t="n">
        <v>43.45</v>
      </c>
    </row>
    <row r="80" customFormat="false" ht="13.8" hidden="false" customHeight="false" outlineLevel="0" collapsed="false">
      <c r="A80" s="218"/>
      <c r="B80" s="251"/>
      <c r="C80" s="251"/>
      <c r="D80" s="251"/>
      <c r="E80" s="212" t="s">
        <v>1801</v>
      </c>
      <c r="F80" s="212" t="s">
        <v>1547</v>
      </c>
      <c r="G80" s="212" t="n">
        <v>63</v>
      </c>
      <c r="H80" s="212" t="s">
        <v>120</v>
      </c>
      <c r="I80" s="250" t="n">
        <v>43.36</v>
      </c>
    </row>
    <row r="81" customFormat="false" ht="13.8" hidden="false" customHeight="false" outlineLevel="0" collapsed="false">
      <c r="A81" s="218"/>
      <c r="B81" s="251"/>
      <c r="C81" s="251"/>
      <c r="D81" s="251"/>
      <c r="E81" s="212" t="s">
        <v>1804</v>
      </c>
      <c r="F81" s="212" t="s">
        <v>1547</v>
      </c>
      <c r="G81" s="212" t="n">
        <v>63</v>
      </c>
      <c r="H81" s="212" t="s">
        <v>120</v>
      </c>
      <c r="I81" s="250" t="n">
        <v>220.66</v>
      </c>
    </row>
    <row r="82" customFormat="false" ht="13.8" hidden="false" customHeight="false" outlineLevel="0" collapsed="false">
      <c r="A82" s="218"/>
      <c r="B82" s="251"/>
      <c r="C82" s="251"/>
      <c r="D82" s="251"/>
      <c r="E82" s="212" t="s">
        <v>1808</v>
      </c>
      <c r="F82" s="212" t="s">
        <v>1547</v>
      </c>
      <c r="G82" s="212" t="n">
        <v>63</v>
      </c>
      <c r="H82" s="212" t="s">
        <v>120</v>
      </c>
      <c r="I82" s="250" t="n">
        <v>44.37</v>
      </c>
    </row>
    <row r="83" customFormat="false" ht="13.8" hidden="false" customHeight="false" outlineLevel="0" collapsed="false">
      <c r="A83" s="218"/>
      <c r="B83" s="251"/>
      <c r="C83" s="251"/>
      <c r="D83" s="251"/>
      <c r="E83" s="212" t="s">
        <v>1813</v>
      </c>
      <c r="F83" s="212" t="s">
        <v>1547</v>
      </c>
      <c r="G83" s="212" t="n">
        <v>225</v>
      </c>
      <c r="H83" s="212" t="s">
        <v>120</v>
      </c>
      <c r="I83" s="250" t="n">
        <v>44.23</v>
      </c>
    </row>
    <row r="84" customFormat="false" ht="13.8" hidden="false" customHeight="false" outlineLevel="0" collapsed="false">
      <c r="A84" s="218"/>
      <c r="B84" s="251"/>
      <c r="C84" s="251"/>
      <c r="D84" s="251"/>
      <c r="E84" s="212" t="s">
        <v>1816</v>
      </c>
      <c r="F84" s="212" t="s">
        <v>1547</v>
      </c>
      <c r="G84" s="212" t="n">
        <v>63</v>
      </c>
      <c r="H84" s="212" t="s">
        <v>120</v>
      </c>
      <c r="I84" s="250" t="n">
        <v>80.93</v>
      </c>
    </row>
    <row r="85" customFormat="false" ht="13.8" hidden="false" customHeight="false" outlineLevel="0" collapsed="false">
      <c r="A85" s="218"/>
      <c r="B85" s="251"/>
      <c r="C85" s="251"/>
      <c r="D85" s="251"/>
      <c r="E85" s="212" t="s">
        <v>1820</v>
      </c>
      <c r="F85" s="212" t="s">
        <v>1547</v>
      </c>
      <c r="G85" s="212" t="n">
        <v>63</v>
      </c>
      <c r="H85" s="212" t="s">
        <v>120</v>
      </c>
      <c r="I85" s="250" t="n">
        <v>29.26</v>
      </c>
    </row>
    <row r="86" customFormat="false" ht="13.8" hidden="false" customHeight="false" outlineLevel="0" collapsed="false">
      <c r="A86" s="218"/>
      <c r="B86" s="251"/>
      <c r="C86" s="251"/>
      <c r="D86" s="251"/>
      <c r="E86" s="212" t="s">
        <v>1824</v>
      </c>
      <c r="F86" s="212" t="s">
        <v>1547</v>
      </c>
      <c r="G86" s="212" t="n">
        <v>63</v>
      </c>
      <c r="H86" s="212" t="s">
        <v>120</v>
      </c>
      <c r="I86" s="250" t="n">
        <v>230.72</v>
      </c>
    </row>
    <row r="87" customFormat="false" ht="13.8" hidden="false" customHeight="false" outlineLevel="0" collapsed="false">
      <c r="A87" s="218"/>
      <c r="B87" s="251"/>
      <c r="C87" s="251"/>
      <c r="D87" s="251"/>
      <c r="E87" s="212" t="s">
        <v>1828</v>
      </c>
      <c r="F87" s="212" t="s">
        <v>1547</v>
      </c>
      <c r="G87" s="212" t="n">
        <v>225</v>
      </c>
      <c r="H87" s="212" t="s">
        <v>120</v>
      </c>
      <c r="I87" s="250" t="n">
        <v>40.95</v>
      </c>
    </row>
    <row r="88" customFormat="false" ht="13.8" hidden="false" customHeight="false" outlineLevel="0" collapsed="false">
      <c r="A88" s="218"/>
      <c r="B88" s="251"/>
      <c r="C88" s="251"/>
      <c r="D88" s="251"/>
      <c r="E88" s="212" t="s">
        <v>1831</v>
      </c>
      <c r="F88" s="212" t="s">
        <v>1547</v>
      </c>
      <c r="G88" s="212" t="n">
        <v>63</v>
      </c>
      <c r="H88" s="212" t="s">
        <v>120</v>
      </c>
      <c r="I88" s="250" t="n">
        <v>47.75</v>
      </c>
    </row>
    <row r="89" customFormat="false" ht="13.8" hidden="false" customHeight="false" outlineLevel="0" collapsed="false">
      <c r="A89" s="218"/>
      <c r="B89" s="251"/>
      <c r="C89" s="251"/>
      <c r="D89" s="251"/>
      <c r="E89" s="212" t="s">
        <v>1835</v>
      </c>
      <c r="F89" s="212" t="s">
        <v>1547</v>
      </c>
      <c r="G89" s="212" t="n">
        <v>63</v>
      </c>
      <c r="H89" s="212" t="s">
        <v>120</v>
      </c>
      <c r="I89" s="250" t="n">
        <v>46.67</v>
      </c>
    </row>
    <row r="90" customFormat="false" ht="13.8" hidden="false" customHeight="false" outlineLevel="0" collapsed="false">
      <c r="A90" s="218"/>
      <c r="B90" s="251"/>
      <c r="C90" s="251"/>
      <c r="D90" s="251"/>
      <c r="E90" s="212" t="s">
        <v>1838</v>
      </c>
      <c r="F90" s="212" t="s">
        <v>1547</v>
      </c>
      <c r="G90" s="212" t="n">
        <v>63</v>
      </c>
      <c r="H90" s="212" t="s">
        <v>120</v>
      </c>
      <c r="I90" s="250" t="n">
        <v>39.24</v>
      </c>
    </row>
    <row r="91" customFormat="false" ht="13.8" hidden="false" customHeight="false" outlineLevel="0" collapsed="false">
      <c r="A91" s="218"/>
      <c r="B91" s="251"/>
      <c r="C91" s="251"/>
      <c r="D91" s="251"/>
      <c r="E91" s="212" t="s">
        <v>1843</v>
      </c>
      <c r="F91" s="212" t="s">
        <v>1547</v>
      </c>
      <c r="G91" s="212" t="n">
        <v>63</v>
      </c>
      <c r="H91" s="212" t="s">
        <v>120</v>
      </c>
      <c r="I91" s="250" t="n">
        <v>236.95</v>
      </c>
    </row>
    <row r="92" customFormat="false" ht="13.8" hidden="false" customHeight="false" outlineLevel="0" collapsed="false">
      <c r="A92" s="218"/>
      <c r="B92" s="251"/>
      <c r="C92" s="251"/>
      <c r="D92" s="251"/>
      <c r="E92" s="212" t="s">
        <v>1847</v>
      </c>
      <c r="F92" s="212" t="s">
        <v>1547</v>
      </c>
      <c r="G92" s="212" t="n">
        <v>63</v>
      </c>
      <c r="H92" s="212" t="s">
        <v>120</v>
      </c>
      <c r="I92" s="250" t="n">
        <v>44.34</v>
      </c>
    </row>
    <row r="93" customFormat="false" ht="13.8" hidden="false" customHeight="false" outlineLevel="0" collapsed="false">
      <c r="A93" s="218"/>
      <c r="B93" s="251"/>
      <c r="C93" s="251"/>
      <c r="D93" s="251"/>
      <c r="E93" s="212" t="s">
        <v>1851</v>
      </c>
      <c r="F93" s="212" t="s">
        <v>1547</v>
      </c>
      <c r="G93" s="212" t="n">
        <v>225</v>
      </c>
      <c r="H93" s="212" t="s">
        <v>120</v>
      </c>
      <c r="I93" s="250" t="n">
        <v>40.01</v>
      </c>
    </row>
    <row r="94" customFormat="false" ht="13.8" hidden="false" customHeight="false" outlineLevel="0" collapsed="false">
      <c r="A94" s="218"/>
      <c r="B94" s="251"/>
      <c r="C94" s="251"/>
      <c r="D94" s="251"/>
      <c r="E94" s="212" t="s">
        <v>1854</v>
      </c>
      <c r="F94" s="212" t="s">
        <v>1547</v>
      </c>
      <c r="G94" s="212" t="n">
        <v>63</v>
      </c>
      <c r="H94" s="212" t="s">
        <v>120</v>
      </c>
      <c r="I94" s="250" t="n">
        <v>241.83</v>
      </c>
    </row>
    <row r="95" customFormat="false" ht="13.8" hidden="false" customHeight="false" outlineLevel="0" collapsed="false">
      <c r="A95" s="218"/>
      <c r="B95" s="251"/>
      <c r="C95" s="251"/>
      <c r="D95" s="251"/>
      <c r="E95" s="212" t="s">
        <v>1859</v>
      </c>
      <c r="F95" s="212" t="s">
        <v>1547</v>
      </c>
      <c r="G95" s="212" t="n">
        <v>63</v>
      </c>
      <c r="H95" s="212" t="s">
        <v>120</v>
      </c>
      <c r="I95" s="250" t="n">
        <v>111.84</v>
      </c>
    </row>
    <row r="96" customFormat="false" ht="13.8" hidden="false" customHeight="false" outlineLevel="0" collapsed="false">
      <c r="A96" s="218"/>
      <c r="B96" s="251"/>
      <c r="C96" s="251"/>
      <c r="D96" s="251"/>
      <c r="E96" s="212" t="s">
        <v>1863</v>
      </c>
      <c r="F96" s="212" t="s">
        <v>1547</v>
      </c>
      <c r="G96" s="212" t="n">
        <v>63</v>
      </c>
      <c r="H96" s="212" t="s">
        <v>120</v>
      </c>
      <c r="I96" s="250" t="n">
        <v>240.25</v>
      </c>
    </row>
    <row r="97" customFormat="false" ht="13.8" hidden="false" customHeight="false" outlineLevel="0" collapsed="false">
      <c r="A97" s="218"/>
      <c r="B97" s="251"/>
      <c r="C97" s="251"/>
      <c r="D97" s="251"/>
      <c r="E97" s="212" t="s">
        <v>1867</v>
      </c>
      <c r="F97" s="212" t="s">
        <v>1547</v>
      </c>
      <c r="G97" s="212" t="n">
        <v>225</v>
      </c>
      <c r="H97" s="212" t="s">
        <v>120</v>
      </c>
      <c r="I97" s="250" t="n">
        <v>45.14</v>
      </c>
    </row>
    <row r="98" customFormat="false" ht="13.8" hidden="false" customHeight="false" outlineLevel="0" collapsed="false">
      <c r="A98" s="218"/>
      <c r="B98" s="251"/>
      <c r="C98" s="251"/>
      <c r="D98" s="251"/>
      <c r="E98" s="212" t="s">
        <v>1870</v>
      </c>
      <c r="F98" s="212" t="s">
        <v>1547</v>
      </c>
      <c r="G98" s="212" t="n">
        <v>63</v>
      </c>
      <c r="H98" s="212" t="s">
        <v>120</v>
      </c>
      <c r="I98" s="250" t="n">
        <v>123.57</v>
      </c>
    </row>
    <row r="99" customFormat="false" ht="13.8" hidden="false" customHeight="false" outlineLevel="0" collapsed="false">
      <c r="A99" s="218"/>
      <c r="B99" s="251"/>
      <c r="C99" s="251"/>
      <c r="D99" s="251"/>
      <c r="E99" s="212" t="s">
        <v>1874</v>
      </c>
      <c r="F99" s="212" t="s">
        <v>1547</v>
      </c>
      <c r="G99" s="212" t="n">
        <v>63</v>
      </c>
      <c r="H99" s="212" t="s">
        <v>120</v>
      </c>
      <c r="I99" s="250" t="n">
        <v>0.67</v>
      </c>
    </row>
    <row r="100" customFormat="false" ht="13.8" hidden="false" customHeight="false" outlineLevel="0" collapsed="false">
      <c r="A100" s="218"/>
      <c r="B100" s="251"/>
      <c r="C100" s="251"/>
      <c r="D100" s="251"/>
      <c r="E100" s="212" t="s">
        <v>1877</v>
      </c>
      <c r="F100" s="212" t="s">
        <v>1547</v>
      </c>
      <c r="G100" s="212" t="n">
        <v>225</v>
      </c>
      <c r="H100" s="212" t="s">
        <v>120</v>
      </c>
      <c r="I100" s="250" t="n">
        <v>25.62</v>
      </c>
    </row>
    <row r="101" customFormat="false" ht="13.8" hidden="false" customHeight="false" outlineLevel="0" collapsed="false">
      <c r="A101" s="218"/>
      <c r="B101" s="251"/>
      <c r="C101" s="251"/>
      <c r="D101" s="251"/>
      <c r="E101" s="212" t="s">
        <v>1881</v>
      </c>
      <c r="F101" s="212" t="s">
        <v>1547</v>
      </c>
      <c r="G101" s="212" t="n">
        <v>63</v>
      </c>
      <c r="H101" s="212" t="s">
        <v>120</v>
      </c>
      <c r="I101" s="250" t="n">
        <v>239.35</v>
      </c>
    </row>
    <row r="102" customFormat="false" ht="13.8" hidden="false" customHeight="false" outlineLevel="0" collapsed="false">
      <c r="A102" s="218"/>
      <c r="B102" s="251"/>
      <c r="C102" s="251"/>
      <c r="D102" s="251"/>
      <c r="E102" s="212" t="s">
        <v>1885</v>
      </c>
      <c r="F102" s="212" t="s">
        <v>1547</v>
      </c>
      <c r="G102" s="212" t="n">
        <v>63</v>
      </c>
      <c r="H102" s="212" t="s">
        <v>120</v>
      </c>
      <c r="I102" s="250" t="n">
        <v>23.18</v>
      </c>
    </row>
    <row r="103" customFormat="false" ht="13.8" hidden="false" customHeight="false" outlineLevel="0" collapsed="false">
      <c r="A103" s="218"/>
      <c r="B103" s="251"/>
      <c r="C103" s="251"/>
      <c r="D103" s="251"/>
      <c r="E103" s="212" t="s">
        <v>1889</v>
      </c>
      <c r="F103" s="212" t="s">
        <v>1547</v>
      </c>
      <c r="G103" s="212" t="n">
        <v>63</v>
      </c>
      <c r="H103" s="212" t="s">
        <v>120</v>
      </c>
      <c r="I103" s="250" t="n">
        <v>11.01</v>
      </c>
    </row>
    <row r="104" customFormat="false" ht="13.8" hidden="false" customHeight="false" outlineLevel="0" collapsed="false">
      <c r="A104" s="218"/>
      <c r="B104" s="251"/>
      <c r="C104" s="251"/>
      <c r="D104" s="251"/>
      <c r="E104" s="212" t="s">
        <v>1892</v>
      </c>
      <c r="F104" s="212" t="s">
        <v>1547</v>
      </c>
      <c r="G104" s="212" t="n">
        <v>225</v>
      </c>
      <c r="H104" s="212" t="s">
        <v>120</v>
      </c>
      <c r="I104" s="250" t="n">
        <v>5.19</v>
      </c>
    </row>
    <row r="105" customFormat="false" ht="13.8" hidden="false" customHeight="false" outlineLevel="0" collapsed="false">
      <c r="A105" s="218"/>
      <c r="B105" s="251"/>
      <c r="C105" s="251"/>
      <c r="D105" s="251"/>
      <c r="E105" s="212" t="s">
        <v>1896</v>
      </c>
      <c r="F105" s="212" t="s">
        <v>1547</v>
      </c>
      <c r="G105" s="212" t="n">
        <v>225</v>
      </c>
      <c r="H105" s="212" t="s">
        <v>120</v>
      </c>
      <c r="I105" s="250" t="n">
        <v>4.09</v>
      </c>
    </row>
    <row r="106" customFormat="false" ht="13.8" hidden="false" customHeight="false" outlineLevel="0" collapsed="false">
      <c r="A106" s="218"/>
      <c r="B106" s="251"/>
      <c r="C106" s="251"/>
      <c r="D106" s="251"/>
      <c r="E106" s="212" t="s">
        <v>1900</v>
      </c>
      <c r="F106" s="212" t="s">
        <v>1547</v>
      </c>
      <c r="G106" s="212" t="n">
        <v>90</v>
      </c>
      <c r="H106" s="212" t="s">
        <v>120</v>
      </c>
      <c r="I106" s="250" t="n">
        <v>12.12</v>
      </c>
    </row>
    <row r="107" customFormat="false" ht="13.8" hidden="false" customHeight="false" outlineLevel="0" collapsed="false">
      <c r="A107" s="218"/>
      <c r="B107" s="251"/>
      <c r="C107" s="251"/>
      <c r="D107" s="251"/>
      <c r="E107" s="212" t="s">
        <v>1904</v>
      </c>
      <c r="F107" s="212" t="s">
        <v>1547</v>
      </c>
      <c r="G107" s="212" t="n">
        <v>63</v>
      </c>
      <c r="H107" s="212" t="s">
        <v>120</v>
      </c>
      <c r="I107" s="250" t="n">
        <v>26.54</v>
      </c>
    </row>
    <row r="108" customFormat="false" ht="13.8" hidden="false" customHeight="false" outlineLevel="0" collapsed="false">
      <c r="A108" s="218"/>
      <c r="B108" s="251"/>
      <c r="C108" s="251"/>
      <c r="D108" s="251"/>
      <c r="E108" s="212" t="s">
        <v>1907</v>
      </c>
      <c r="F108" s="212" t="s">
        <v>1547</v>
      </c>
      <c r="G108" s="212" t="n">
        <v>90</v>
      </c>
      <c r="H108" s="212" t="s">
        <v>120</v>
      </c>
      <c r="I108" s="250" t="n">
        <v>45.53</v>
      </c>
    </row>
    <row r="109" customFormat="false" ht="13.8" hidden="false" customHeight="false" outlineLevel="0" collapsed="false">
      <c r="A109" s="218"/>
      <c r="B109" s="251"/>
      <c r="C109" s="251"/>
      <c r="D109" s="251"/>
      <c r="E109" s="212" t="s">
        <v>1911</v>
      </c>
      <c r="F109" s="212" t="s">
        <v>1547</v>
      </c>
      <c r="G109" s="212" t="n">
        <v>63</v>
      </c>
      <c r="H109" s="212" t="s">
        <v>120</v>
      </c>
      <c r="I109" s="250" t="n">
        <v>93.58</v>
      </c>
    </row>
    <row r="110" customFormat="false" ht="13.8" hidden="false" customHeight="false" outlineLevel="0" collapsed="false">
      <c r="A110" s="218"/>
      <c r="B110" s="251"/>
      <c r="C110" s="251"/>
      <c r="D110" s="251"/>
      <c r="E110" s="212" t="s">
        <v>1914</v>
      </c>
      <c r="F110" s="212" t="s">
        <v>1547</v>
      </c>
      <c r="G110" s="212" t="n">
        <v>63</v>
      </c>
      <c r="H110" s="212" t="s">
        <v>120</v>
      </c>
      <c r="I110" s="250" t="n">
        <v>47.99</v>
      </c>
    </row>
    <row r="111" customFormat="false" ht="13.8" hidden="false" customHeight="false" outlineLevel="0" collapsed="false">
      <c r="A111" s="218"/>
      <c r="B111" s="251"/>
      <c r="C111" s="251"/>
      <c r="D111" s="251"/>
      <c r="E111" s="212" t="s">
        <v>1917</v>
      </c>
      <c r="F111" s="212" t="s">
        <v>1547</v>
      </c>
      <c r="G111" s="212" t="n">
        <v>63</v>
      </c>
      <c r="H111" s="212" t="s">
        <v>120</v>
      </c>
      <c r="I111" s="250" t="n">
        <v>28.42</v>
      </c>
    </row>
    <row r="112" customFormat="false" ht="13.8" hidden="false" customHeight="false" outlineLevel="0" collapsed="false">
      <c r="A112" s="218"/>
      <c r="B112" s="251"/>
      <c r="C112" s="251"/>
      <c r="D112" s="251"/>
      <c r="E112" s="212" t="s">
        <v>1921</v>
      </c>
      <c r="F112" s="212" t="s">
        <v>1547</v>
      </c>
      <c r="G112" s="212" t="n">
        <v>160</v>
      </c>
      <c r="H112" s="212" t="s">
        <v>120</v>
      </c>
      <c r="I112" s="250" t="n">
        <v>81.59</v>
      </c>
    </row>
    <row r="113" customFormat="false" ht="13.8" hidden="false" customHeight="false" outlineLevel="0" collapsed="false">
      <c r="A113" s="218"/>
      <c r="B113" s="251"/>
      <c r="C113" s="251"/>
      <c r="D113" s="251"/>
      <c r="E113" s="212" t="s">
        <v>1925</v>
      </c>
      <c r="F113" s="212" t="s">
        <v>1547</v>
      </c>
      <c r="G113" s="212" t="n">
        <v>63</v>
      </c>
      <c r="H113" s="212" t="s">
        <v>120</v>
      </c>
      <c r="I113" s="250" t="n">
        <v>15.22</v>
      </c>
    </row>
    <row r="114" customFormat="false" ht="13.8" hidden="false" customHeight="false" outlineLevel="0" collapsed="false">
      <c r="A114" s="218"/>
      <c r="B114" s="251"/>
      <c r="C114" s="251"/>
      <c r="D114" s="251"/>
      <c r="E114" s="212" t="s">
        <v>1928</v>
      </c>
      <c r="F114" s="212" t="s">
        <v>1547</v>
      </c>
      <c r="G114" s="212" t="n">
        <v>63</v>
      </c>
      <c r="H114" s="212" t="s">
        <v>120</v>
      </c>
      <c r="I114" s="250" t="n">
        <v>68.63</v>
      </c>
    </row>
    <row r="115" customFormat="false" ht="13.8" hidden="false" customHeight="false" outlineLevel="0" collapsed="false">
      <c r="A115" s="218"/>
      <c r="B115" s="251"/>
      <c r="C115" s="251"/>
      <c r="D115" s="251"/>
      <c r="E115" s="212" t="s">
        <v>1931</v>
      </c>
      <c r="F115" s="212" t="s">
        <v>1547</v>
      </c>
      <c r="G115" s="212" t="n">
        <v>63</v>
      </c>
      <c r="H115" s="212" t="s">
        <v>120</v>
      </c>
      <c r="I115" s="250" t="n">
        <v>15.25</v>
      </c>
    </row>
    <row r="116" customFormat="false" ht="13.8" hidden="false" customHeight="false" outlineLevel="0" collapsed="false">
      <c r="A116" s="218"/>
      <c r="B116" s="251"/>
      <c r="C116" s="251"/>
      <c r="D116" s="251"/>
      <c r="E116" s="212" t="s">
        <v>1934</v>
      </c>
      <c r="F116" s="212" t="s">
        <v>1547</v>
      </c>
      <c r="G116" s="212" t="n">
        <v>63</v>
      </c>
      <c r="H116" s="212" t="s">
        <v>120</v>
      </c>
      <c r="I116" s="250" t="n">
        <v>17.29</v>
      </c>
    </row>
    <row r="117" customFormat="false" ht="13.8" hidden="false" customHeight="false" outlineLevel="0" collapsed="false">
      <c r="A117" s="218"/>
      <c r="B117" s="251"/>
      <c r="C117" s="251"/>
      <c r="D117" s="251"/>
      <c r="E117" s="212" t="s">
        <v>1936</v>
      </c>
      <c r="F117" s="212" t="s">
        <v>1547</v>
      </c>
      <c r="G117" s="212" t="n">
        <v>90</v>
      </c>
      <c r="H117" s="212" t="s">
        <v>120</v>
      </c>
      <c r="I117" s="250" t="n">
        <v>68.18</v>
      </c>
    </row>
    <row r="118" customFormat="false" ht="13.8" hidden="false" customHeight="false" outlineLevel="0" collapsed="false">
      <c r="A118" s="218"/>
      <c r="B118" s="251"/>
      <c r="C118" s="251"/>
      <c r="D118" s="251"/>
      <c r="E118" s="212" t="s">
        <v>1939</v>
      </c>
      <c r="F118" s="212" t="s">
        <v>1547</v>
      </c>
      <c r="G118" s="212" t="n">
        <v>90</v>
      </c>
      <c r="H118" s="212" t="s">
        <v>120</v>
      </c>
      <c r="I118" s="250" t="n">
        <v>240.69</v>
      </c>
    </row>
    <row r="119" customFormat="false" ht="13.8" hidden="false" customHeight="false" outlineLevel="0" collapsed="false">
      <c r="A119" s="218"/>
      <c r="B119" s="251"/>
      <c r="C119" s="251"/>
      <c r="D119" s="251"/>
      <c r="E119" s="212" t="s">
        <v>1944</v>
      </c>
      <c r="F119" s="212" t="s">
        <v>1547</v>
      </c>
      <c r="G119" s="212" t="n">
        <v>63</v>
      </c>
      <c r="H119" s="212" t="s">
        <v>120</v>
      </c>
      <c r="I119" s="250" t="n">
        <v>47.65</v>
      </c>
    </row>
    <row r="120" customFormat="false" ht="13.8" hidden="false" customHeight="false" outlineLevel="0" collapsed="false">
      <c r="A120" s="218"/>
      <c r="B120" s="251"/>
      <c r="C120" s="251"/>
      <c r="D120" s="251"/>
      <c r="E120" s="212" t="s">
        <v>1947</v>
      </c>
      <c r="F120" s="212" t="s">
        <v>1547</v>
      </c>
      <c r="G120" s="212" t="n">
        <v>63</v>
      </c>
      <c r="H120" s="212" t="s">
        <v>120</v>
      </c>
      <c r="I120" s="250" t="n">
        <v>413.9</v>
      </c>
    </row>
    <row r="121" customFormat="false" ht="13.8" hidden="false" customHeight="false" outlineLevel="0" collapsed="false">
      <c r="A121" s="218"/>
      <c r="B121" s="251"/>
      <c r="C121" s="251"/>
      <c r="D121" s="251"/>
      <c r="E121" s="212" t="s">
        <v>1951</v>
      </c>
      <c r="F121" s="212" t="s">
        <v>1547</v>
      </c>
      <c r="G121" s="212" t="n">
        <v>63</v>
      </c>
      <c r="H121" s="212" t="s">
        <v>120</v>
      </c>
      <c r="I121" s="250" t="n">
        <v>27.77</v>
      </c>
    </row>
    <row r="122" customFormat="false" ht="13.8" hidden="false" customHeight="false" outlineLevel="0" collapsed="false">
      <c r="A122" s="218"/>
      <c r="B122" s="251"/>
      <c r="C122" s="251"/>
      <c r="D122" s="251"/>
      <c r="E122" s="212" t="s">
        <v>1955</v>
      </c>
      <c r="F122" s="212" t="s">
        <v>1547</v>
      </c>
      <c r="G122" s="212" t="n">
        <v>63</v>
      </c>
      <c r="H122" s="212" t="s">
        <v>120</v>
      </c>
      <c r="I122" s="250" t="n">
        <v>287.24</v>
      </c>
    </row>
    <row r="123" customFormat="false" ht="13.8" hidden="false" customHeight="false" outlineLevel="0" collapsed="false">
      <c r="A123" s="218"/>
      <c r="B123" s="251"/>
      <c r="C123" s="251"/>
      <c r="D123" s="251"/>
      <c r="E123" s="212" t="s">
        <v>1961</v>
      </c>
      <c r="F123" s="212" t="s">
        <v>1547</v>
      </c>
      <c r="G123" s="212" t="n">
        <v>160</v>
      </c>
      <c r="H123" s="212" t="s">
        <v>120</v>
      </c>
      <c r="I123" s="250" t="n">
        <v>58.6</v>
      </c>
    </row>
    <row r="124" customFormat="false" ht="13.8" hidden="false" customHeight="false" outlineLevel="0" collapsed="false">
      <c r="A124" s="218"/>
      <c r="B124" s="251"/>
      <c r="C124" s="251"/>
      <c r="D124" s="251"/>
      <c r="E124" s="212" t="s">
        <v>3001</v>
      </c>
      <c r="F124" s="212" t="s">
        <v>2966</v>
      </c>
      <c r="G124" s="212" t="n">
        <v>160</v>
      </c>
      <c r="H124" s="212" t="s">
        <v>120</v>
      </c>
      <c r="I124" s="250" t="n">
        <v>200.08</v>
      </c>
    </row>
    <row r="125" customFormat="false" ht="13.8" hidden="false" customHeight="false" outlineLevel="0" collapsed="false">
      <c r="A125" s="218"/>
      <c r="B125" s="251"/>
      <c r="C125" s="251"/>
      <c r="D125" s="251"/>
      <c r="E125" s="212" t="s">
        <v>3005</v>
      </c>
      <c r="F125" s="212" t="s">
        <v>2966</v>
      </c>
      <c r="G125" s="212" t="n">
        <v>90</v>
      </c>
      <c r="H125" s="212" t="s">
        <v>120</v>
      </c>
      <c r="I125" s="250" t="n">
        <v>33.67</v>
      </c>
    </row>
    <row r="126" customFormat="false" ht="13.8" hidden="false" customHeight="false" outlineLevel="0" collapsed="false">
      <c r="A126" s="218"/>
      <c r="B126" s="251"/>
      <c r="C126" s="251"/>
      <c r="D126" s="251"/>
      <c r="E126" s="212" t="s">
        <v>3009</v>
      </c>
      <c r="F126" s="212" t="s">
        <v>2966</v>
      </c>
      <c r="G126" s="212" t="n">
        <v>63</v>
      </c>
      <c r="H126" s="212" t="s">
        <v>120</v>
      </c>
      <c r="I126" s="250" t="n">
        <v>0.77</v>
      </c>
    </row>
    <row r="127" customFormat="false" ht="13.8" hidden="false" customHeight="false" outlineLevel="0" collapsed="false">
      <c r="A127" s="218"/>
      <c r="B127" s="251"/>
      <c r="C127" s="251"/>
      <c r="D127" s="251"/>
      <c r="E127" s="212" t="s">
        <v>3014</v>
      </c>
      <c r="F127" s="212" t="s">
        <v>2966</v>
      </c>
      <c r="G127" s="212" t="n">
        <v>63</v>
      </c>
      <c r="H127" s="212" t="s">
        <v>120</v>
      </c>
      <c r="I127" s="250" t="n">
        <v>45.26</v>
      </c>
    </row>
    <row r="128" customFormat="false" ht="13.8" hidden="false" customHeight="false" outlineLevel="0" collapsed="false">
      <c r="A128" s="218"/>
      <c r="B128" s="251"/>
      <c r="C128" s="251"/>
      <c r="D128" s="251"/>
      <c r="E128" s="212" t="s">
        <v>3019</v>
      </c>
      <c r="F128" s="212" t="s">
        <v>2966</v>
      </c>
      <c r="G128" s="212" t="n">
        <v>160</v>
      </c>
      <c r="H128" s="212" t="s">
        <v>120</v>
      </c>
      <c r="I128" s="250" t="n">
        <v>97.34</v>
      </c>
    </row>
    <row r="129" customFormat="false" ht="13.8" hidden="false" customHeight="false" outlineLevel="0" collapsed="false">
      <c r="A129" s="218"/>
      <c r="B129" s="251"/>
      <c r="C129" s="251"/>
      <c r="D129" s="251"/>
      <c r="E129" s="212" t="s">
        <v>3023</v>
      </c>
      <c r="F129" s="212" t="s">
        <v>2966</v>
      </c>
      <c r="G129" s="212" t="n">
        <v>90</v>
      </c>
      <c r="H129" s="212" t="s">
        <v>120</v>
      </c>
      <c r="I129" s="250" t="n">
        <v>63.52</v>
      </c>
    </row>
    <row r="130" customFormat="false" ht="13.8" hidden="false" customHeight="false" outlineLevel="0" collapsed="false">
      <c r="A130" s="218"/>
      <c r="B130" s="251"/>
      <c r="C130" s="251"/>
      <c r="D130" s="251"/>
      <c r="E130" s="212" t="s">
        <v>3027</v>
      </c>
      <c r="F130" s="212" t="s">
        <v>2966</v>
      </c>
      <c r="G130" s="212" t="n">
        <v>160</v>
      </c>
      <c r="H130" s="212" t="s">
        <v>120</v>
      </c>
      <c r="I130" s="250" t="n">
        <v>134.14</v>
      </c>
    </row>
    <row r="131" customFormat="false" ht="13.8" hidden="false" customHeight="false" outlineLevel="0" collapsed="false">
      <c r="A131" s="218"/>
      <c r="B131" s="251"/>
      <c r="C131" s="251"/>
      <c r="D131" s="251"/>
      <c r="E131" s="212" t="s">
        <v>3031</v>
      </c>
      <c r="F131" s="212" t="s">
        <v>2966</v>
      </c>
      <c r="G131" s="212" t="n">
        <v>125</v>
      </c>
      <c r="H131" s="212" t="s">
        <v>120</v>
      </c>
      <c r="I131" s="250" t="n">
        <v>42.53</v>
      </c>
    </row>
    <row r="132" customFormat="false" ht="13.8" hidden="false" customHeight="false" outlineLevel="0" collapsed="false">
      <c r="A132" s="218"/>
      <c r="B132" s="251"/>
      <c r="C132" s="251"/>
      <c r="D132" s="251"/>
      <c r="E132" s="212" t="s">
        <v>3036</v>
      </c>
      <c r="F132" s="212" t="s">
        <v>2966</v>
      </c>
      <c r="G132" s="212" t="n">
        <v>125</v>
      </c>
      <c r="H132" s="212" t="s">
        <v>120</v>
      </c>
      <c r="I132" s="250" t="n">
        <v>34.89</v>
      </c>
    </row>
    <row r="133" customFormat="false" ht="13.8" hidden="false" customHeight="false" outlineLevel="0" collapsed="false">
      <c r="A133" s="218"/>
      <c r="B133" s="251"/>
      <c r="C133" s="251"/>
      <c r="D133" s="251"/>
      <c r="E133" s="212" t="s">
        <v>3040</v>
      </c>
      <c r="F133" s="212" t="s">
        <v>2966</v>
      </c>
      <c r="G133" s="212" t="n">
        <v>160</v>
      </c>
      <c r="H133" s="212" t="s">
        <v>120</v>
      </c>
      <c r="I133" s="250" t="n">
        <v>20.5</v>
      </c>
    </row>
    <row r="134" customFormat="false" ht="13.8" hidden="false" customHeight="false" outlineLevel="0" collapsed="false">
      <c r="A134" s="218"/>
      <c r="B134" s="251"/>
      <c r="C134" s="251"/>
      <c r="D134" s="251"/>
      <c r="E134" s="212" t="s">
        <v>3043</v>
      </c>
      <c r="F134" s="212" t="s">
        <v>2966</v>
      </c>
      <c r="G134" s="212" t="n">
        <v>125</v>
      </c>
      <c r="H134" s="212" t="s">
        <v>120</v>
      </c>
      <c r="I134" s="250" t="n">
        <v>5.99</v>
      </c>
    </row>
    <row r="135" customFormat="false" ht="13.8" hidden="false" customHeight="false" outlineLevel="0" collapsed="false">
      <c r="A135" s="218"/>
      <c r="B135" s="251"/>
      <c r="C135" s="251"/>
      <c r="D135" s="251"/>
      <c r="E135" s="212" t="s">
        <v>3047</v>
      </c>
      <c r="F135" s="212" t="s">
        <v>2966</v>
      </c>
      <c r="G135" s="212" t="n">
        <v>63</v>
      </c>
      <c r="H135" s="212" t="s">
        <v>120</v>
      </c>
      <c r="I135" s="250" t="n">
        <v>37.03</v>
      </c>
    </row>
    <row r="136" customFormat="false" ht="13.8" hidden="false" customHeight="false" outlineLevel="0" collapsed="false">
      <c r="A136" s="218"/>
      <c r="B136" s="251"/>
      <c r="C136" s="251"/>
      <c r="D136" s="251"/>
      <c r="E136" s="212" t="s">
        <v>3051</v>
      </c>
      <c r="F136" s="212" t="s">
        <v>2966</v>
      </c>
      <c r="G136" s="212" t="n">
        <v>125</v>
      </c>
      <c r="H136" s="212" t="s">
        <v>120</v>
      </c>
      <c r="I136" s="250" t="n">
        <v>37.26</v>
      </c>
    </row>
    <row r="137" customFormat="false" ht="13.8" hidden="false" customHeight="false" outlineLevel="0" collapsed="false">
      <c r="A137" s="218"/>
      <c r="B137" s="251"/>
      <c r="C137" s="251"/>
      <c r="D137" s="251"/>
      <c r="E137" s="212" t="s">
        <v>3055</v>
      </c>
      <c r="F137" s="212" t="s">
        <v>2966</v>
      </c>
      <c r="G137" s="212" t="n">
        <v>160</v>
      </c>
      <c r="H137" s="212" t="s">
        <v>120</v>
      </c>
      <c r="I137" s="250" t="n">
        <v>46.78</v>
      </c>
    </row>
    <row r="138" customFormat="false" ht="13.8" hidden="false" customHeight="false" outlineLevel="0" collapsed="false">
      <c r="A138" s="218"/>
      <c r="B138" s="251"/>
      <c r="C138" s="251"/>
      <c r="D138" s="251"/>
      <c r="E138" s="212" t="s">
        <v>3059</v>
      </c>
      <c r="F138" s="212" t="s">
        <v>2966</v>
      </c>
      <c r="G138" s="212" t="n">
        <v>63</v>
      </c>
      <c r="H138" s="212" t="s">
        <v>120</v>
      </c>
      <c r="I138" s="250" t="n">
        <v>63.79</v>
      </c>
    </row>
    <row r="139" customFormat="false" ht="13.8" hidden="false" customHeight="false" outlineLevel="0" collapsed="false">
      <c r="A139" s="218"/>
      <c r="B139" s="251"/>
      <c r="C139" s="251"/>
      <c r="D139" s="251"/>
      <c r="E139" s="212" t="s">
        <v>3063</v>
      </c>
      <c r="F139" s="212" t="s">
        <v>2966</v>
      </c>
      <c r="G139" s="212" t="n">
        <v>125</v>
      </c>
      <c r="H139" s="212" t="s">
        <v>120</v>
      </c>
      <c r="I139" s="250" t="n">
        <v>3.9</v>
      </c>
    </row>
    <row r="140" customFormat="false" ht="13.8" hidden="false" customHeight="false" outlineLevel="0" collapsed="false">
      <c r="A140" s="218"/>
      <c r="B140" s="251"/>
      <c r="C140" s="251"/>
      <c r="D140" s="251"/>
      <c r="E140" s="212" t="s">
        <v>3067</v>
      </c>
      <c r="F140" s="212" t="s">
        <v>2966</v>
      </c>
      <c r="G140" s="212" t="n">
        <v>63</v>
      </c>
      <c r="H140" s="212" t="s">
        <v>120</v>
      </c>
      <c r="I140" s="250" t="n">
        <v>86.21</v>
      </c>
    </row>
    <row r="141" customFormat="false" ht="13.8" hidden="false" customHeight="false" outlineLevel="0" collapsed="false">
      <c r="A141" s="218"/>
      <c r="B141" s="251"/>
      <c r="C141" s="251"/>
      <c r="D141" s="251"/>
      <c r="E141" s="212" t="s">
        <v>3071</v>
      </c>
      <c r="F141" s="212" t="s">
        <v>2966</v>
      </c>
      <c r="G141" s="212" t="n">
        <v>125</v>
      </c>
      <c r="H141" s="212" t="s">
        <v>120</v>
      </c>
      <c r="I141" s="250" t="n">
        <v>53.99</v>
      </c>
    </row>
    <row r="142" customFormat="false" ht="13.8" hidden="false" customHeight="false" outlineLevel="0" collapsed="false">
      <c r="A142" s="218"/>
      <c r="B142" s="251"/>
      <c r="C142" s="251"/>
      <c r="D142" s="251"/>
      <c r="E142" s="212" t="s">
        <v>3075</v>
      </c>
      <c r="F142" s="212" t="s">
        <v>2966</v>
      </c>
      <c r="G142" s="212" t="n">
        <v>160</v>
      </c>
      <c r="H142" s="212" t="s">
        <v>120</v>
      </c>
      <c r="I142" s="250" t="n">
        <v>39.5</v>
      </c>
    </row>
    <row r="143" customFormat="false" ht="13.8" hidden="false" customHeight="false" outlineLevel="0" collapsed="false">
      <c r="A143" s="218"/>
      <c r="B143" s="251"/>
      <c r="C143" s="251"/>
      <c r="D143" s="251"/>
      <c r="E143" s="212" t="s">
        <v>3080</v>
      </c>
      <c r="F143" s="212" t="s">
        <v>2966</v>
      </c>
      <c r="G143" s="212" t="n">
        <v>63</v>
      </c>
      <c r="H143" s="212" t="s">
        <v>120</v>
      </c>
      <c r="I143" s="250" t="n">
        <v>27.78</v>
      </c>
    </row>
    <row r="144" customFormat="false" ht="13.8" hidden="false" customHeight="false" outlineLevel="0" collapsed="false">
      <c r="A144" s="218"/>
      <c r="B144" s="251"/>
      <c r="C144" s="251"/>
      <c r="D144" s="251"/>
      <c r="E144" s="212" t="s">
        <v>3085</v>
      </c>
      <c r="F144" s="212" t="s">
        <v>2966</v>
      </c>
      <c r="G144" s="212" t="n">
        <v>160</v>
      </c>
      <c r="H144" s="212" t="s">
        <v>120</v>
      </c>
      <c r="I144" s="250" t="n">
        <v>3.47</v>
      </c>
    </row>
    <row r="145" customFormat="false" ht="13.8" hidden="false" customHeight="false" outlineLevel="0" collapsed="false">
      <c r="A145" s="218"/>
      <c r="B145" s="251"/>
      <c r="C145" s="251"/>
      <c r="D145" s="251"/>
      <c r="E145" s="212" t="s">
        <v>3088</v>
      </c>
      <c r="F145" s="212" t="s">
        <v>2966</v>
      </c>
      <c r="G145" s="212" t="n">
        <v>160</v>
      </c>
      <c r="H145" s="212" t="s">
        <v>120</v>
      </c>
      <c r="I145" s="250" t="n">
        <v>2.42</v>
      </c>
    </row>
    <row r="146" customFormat="false" ht="13.8" hidden="false" customHeight="false" outlineLevel="0" collapsed="false">
      <c r="A146" s="218"/>
      <c r="B146" s="251"/>
      <c r="C146" s="251"/>
      <c r="D146" s="251"/>
      <c r="E146" s="212" t="s">
        <v>3092</v>
      </c>
      <c r="F146" s="212" t="s">
        <v>2966</v>
      </c>
      <c r="G146" s="212" t="n">
        <v>63</v>
      </c>
      <c r="H146" s="212" t="s">
        <v>120</v>
      </c>
      <c r="I146" s="250" t="n">
        <v>15.38</v>
      </c>
    </row>
    <row r="147" customFormat="false" ht="13.8" hidden="false" customHeight="false" outlineLevel="0" collapsed="false">
      <c r="A147" s="218"/>
      <c r="B147" s="252"/>
      <c r="C147" s="252"/>
      <c r="D147" s="252"/>
      <c r="E147" s="212" t="s">
        <v>3096</v>
      </c>
      <c r="F147" s="212" t="s">
        <v>2966</v>
      </c>
      <c r="G147" s="212" t="n">
        <v>63</v>
      </c>
      <c r="H147" s="212" t="s">
        <v>120</v>
      </c>
      <c r="I147" s="250" t="n">
        <v>103.17</v>
      </c>
    </row>
    <row r="148" customFormat="false" ht="13.8" hidden="false" customHeight="false" outlineLevel="0" collapsed="false">
      <c r="A148" s="218"/>
      <c r="B148" s="249" t="s">
        <v>7031</v>
      </c>
      <c r="C148" s="249" t="s">
        <v>117</v>
      </c>
      <c r="D148" s="249" t="s">
        <v>1548</v>
      </c>
      <c r="E148" s="212" t="s">
        <v>3100</v>
      </c>
      <c r="F148" s="212" t="s">
        <v>2966</v>
      </c>
      <c r="G148" s="212" t="n">
        <v>63</v>
      </c>
      <c r="H148" s="212" t="s">
        <v>120</v>
      </c>
      <c r="I148" s="250" t="n">
        <v>34.18</v>
      </c>
    </row>
    <row r="149" customFormat="false" ht="13.8" hidden="false" customHeight="false" outlineLevel="0" collapsed="false">
      <c r="A149" s="218"/>
      <c r="B149" s="251"/>
      <c r="C149" s="251"/>
      <c r="D149" s="251"/>
      <c r="E149" s="212" t="s">
        <v>3108</v>
      </c>
      <c r="F149" s="212" t="s">
        <v>2966</v>
      </c>
      <c r="G149" s="212" t="n">
        <v>63</v>
      </c>
      <c r="H149" s="212" t="s">
        <v>120</v>
      </c>
      <c r="I149" s="250" t="n">
        <v>67.52</v>
      </c>
    </row>
    <row r="150" customFormat="false" ht="13.8" hidden="false" customHeight="false" outlineLevel="0" collapsed="false">
      <c r="A150" s="218"/>
      <c r="B150" s="251"/>
      <c r="C150" s="251"/>
      <c r="D150" s="251"/>
      <c r="E150" s="212" t="s">
        <v>3113</v>
      </c>
      <c r="F150" s="212" t="s">
        <v>2966</v>
      </c>
      <c r="G150" s="212" t="n">
        <v>63</v>
      </c>
      <c r="H150" s="212" t="s">
        <v>120</v>
      </c>
      <c r="I150" s="250" t="n">
        <v>47.94</v>
      </c>
    </row>
    <row r="151" customFormat="false" ht="13.8" hidden="false" customHeight="false" outlineLevel="0" collapsed="false">
      <c r="A151" s="218"/>
      <c r="B151" s="251"/>
      <c r="C151" s="251"/>
      <c r="D151" s="251"/>
      <c r="E151" s="212" t="s">
        <v>3117</v>
      </c>
      <c r="F151" s="212" t="s">
        <v>2966</v>
      </c>
      <c r="G151" s="212" t="n">
        <v>63</v>
      </c>
      <c r="H151" s="212" t="s">
        <v>120</v>
      </c>
      <c r="I151" s="250" t="n">
        <v>45.41</v>
      </c>
    </row>
    <row r="152" customFormat="false" ht="13.8" hidden="false" customHeight="false" outlineLevel="0" collapsed="false">
      <c r="A152" s="218"/>
      <c r="B152" s="251"/>
      <c r="C152" s="251"/>
      <c r="D152" s="251"/>
      <c r="E152" s="212" t="s">
        <v>3120</v>
      </c>
      <c r="F152" s="212" t="s">
        <v>2966</v>
      </c>
      <c r="G152" s="212" t="n">
        <v>63</v>
      </c>
      <c r="H152" s="212" t="s">
        <v>120</v>
      </c>
      <c r="I152" s="250" t="n">
        <v>42.43</v>
      </c>
    </row>
    <row r="153" customFormat="false" ht="13.8" hidden="false" customHeight="false" outlineLevel="0" collapsed="false">
      <c r="A153" s="218"/>
      <c r="B153" s="251"/>
      <c r="C153" s="251"/>
      <c r="D153" s="251"/>
      <c r="E153" s="212" t="s">
        <v>3124</v>
      </c>
      <c r="F153" s="212" t="s">
        <v>2966</v>
      </c>
      <c r="G153" s="212" t="n">
        <v>90</v>
      </c>
      <c r="H153" s="212" t="s">
        <v>120</v>
      </c>
      <c r="I153" s="250" t="n">
        <v>80.3</v>
      </c>
    </row>
    <row r="154" customFormat="false" ht="13.8" hidden="false" customHeight="false" outlineLevel="0" collapsed="false">
      <c r="A154" s="218"/>
      <c r="B154" s="251"/>
      <c r="C154" s="251"/>
      <c r="D154" s="251"/>
      <c r="E154" s="212" t="s">
        <v>3128</v>
      </c>
      <c r="F154" s="212" t="s">
        <v>2966</v>
      </c>
      <c r="G154" s="212" t="n">
        <v>63</v>
      </c>
      <c r="H154" s="212" t="s">
        <v>120</v>
      </c>
      <c r="I154" s="250" t="n">
        <v>44.62</v>
      </c>
    </row>
    <row r="155" customFormat="false" ht="13.8" hidden="false" customHeight="false" outlineLevel="0" collapsed="false">
      <c r="A155" s="218"/>
      <c r="B155" s="251"/>
      <c r="C155" s="251"/>
      <c r="D155" s="251"/>
      <c r="E155" s="212" t="s">
        <v>3133</v>
      </c>
      <c r="F155" s="212" t="s">
        <v>2966</v>
      </c>
      <c r="G155" s="212" t="n">
        <v>63</v>
      </c>
      <c r="H155" s="212" t="s">
        <v>120</v>
      </c>
      <c r="I155" s="250" t="n">
        <v>53.99</v>
      </c>
    </row>
    <row r="156" customFormat="false" ht="13.8" hidden="false" customHeight="false" outlineLevel="0" collapsed="false">
      <c r="A156" s="218"/>
      <c r="B156" s="251"/>
      <c r="C156" s="251"/>
      <c r="D156" s="251"/>
      <c r="E156" s="212" t="s">
        <v>3137</v>
      </c>
      <c r="F156" s="212" t="s">
        <v>2966</v>
      </c>
      <c r="G156" s="212" t="n">
        <v>90</v>
      </c>
      <c r="H156" s="212" t="s">
        <v>120</v>
      </c>
      <c r="I156" s="250" t="n">
        <v>46.98</v>
      </c>
    </row>
    <row r="157" customFormat="false" ht="13.8" hidden="false" customHeight="false" outlineLevel="0" collapsed="false">
      <c r="A157" s="218"/>
      <c r="B157" s="251"/>
      <c r="C157" s="251"/>
      <c r="D157" s="251"/>
      <c r="E157" s="212" t="s">
        <v>3140</v>
      </c>
      <c r="F157" s="212" t="s">
        <v>2966</v>
      </c>
      <c r="G157" s="212" t="n">
        <v>90</v>
      </c>
      <c r="H157" s="212" t="s">
        <v>120</v>
      </c>
      <c r="I157" s="250" t="n">
        <v>1.84</v>
      </c>
    </row>
    <row r="158" customFormat="false" ht="13.8" hidden="false" customHeight="false" outlineLevel="0" collapsed="false">
      <c r="A158" s="218"/>
      <c r="B158" s="251"/>
      <c r="C158" s="251"/>
      <c r="D158" s="251"/>
      <c r="E158" s="212" t="s">
        <v>3143</v>
      </c>
      <c r="F158" s="212" t="s">
        <v>2966</v>
      </c>
      <c r="G158" s="212" t="n">
        <v>90</v>
      </c>
      <c r="H158" s="212" t="s">
        <v>120</v>
      </c>
      <c r="I158" s="250" t="n">
        <v>46.47</v>
      </c>
    </row>
    <row r="159" customFormat="false" ht="13.8" hidden="false" customHeight="false" outlineLevel="0" collapsed="false">
      <c r="A159" s="218"/>
      <c r="B159" s="251"/>
      <c r="C159" s="251"/>
      <c r="D159" s="251"/>
      <c r="E159" s="212" t="s">
        <v>3146</v>
      </c>
      <c r="F159" s="212" t="s">
        <v>2966</v>
      </c>
      <c r="G159" s="212" t="n">
        <v>63</v>
      </c>
      <c r="H159" s="212" t="s">
        <v>120</v>
      </c>
      <c r="I159" s="250" t="n">
        <v>3.31</v>
      </c>
    </row>
    <row r="160" customFormat="false" ht="13.8" hidden="false" customHeight="false" outlineLevel="0" collapsed="false">
      <c r="A160" s="218"/>
      <c r="B160" s="251"/>
      <c r="C160" s="251"/>
      <c r="D160" s="251"/>
      <c r="E160" s="212" t="s">
        <v>3151</v>
      </c>
      <c r="F160" s="212" t="s">
        <v>2966</v>
      </c>
      <c r="G160" s="212" t="n">
        <v>63</v>
      </c>
      <c r="H160" s="212" t="s">
        <v>120</v>
      </c>
      <c r="I160" s="250" t="n">
        <v>48.17</v>
      </c>
    </row>
    <row r="161" customFormat="false" ht="13.8" hidden="false" customHeight="false" outlineLevel="0" collapsed="false">
      <c r="A161" s="218"/>
      <c r="B161" s="251"/>
      <c r="C161" s="251"/>
      <c r="D161" s="251"/>
      <c r="E161" s="212" t="s">
        <v>3153</v>
      </c>
      <c r="F161" s="212" t="s">
        <v>2966</v>
      </c>
      <c r="G161" s="212" t="n">
        <v>63</v>
      </c>
      <c r="H161" s="212" t="s">
        <v>120</v>
      </c>
      <c r="I161" s="250" t="n">
        <v>68.33</v>
      </c>
    </row>
    <row r="162" customFormat="false" ht="13.8" hidden="false" customHeight="false" outlineLevel="0" collapsed="false">
      <c r="A162" s="218"/>
      <c r="B162" s="251"/>
      <c r="C162" s="251"/>
      <c r="D162" s="251"/>
      <c r="E162" s="212" t="s">
        <v>3157</v>
      </c>
      <c r="F162" s="212" t="s">
        <v>2966</v>
      </c>
      <c r="G162" s="212" t="n">
        <v>63</v>
      </c>
      <c r="H162" s="212" t="s">
        <v>120</v>
      </c>
      <c r="I162" s="250" t="n">
        <v>338.7</v>
      </c>
    </row>
    <row r="163" customFormat="false" ht="13.8" hidden="false" customHeight="false" outlineLevel="0" collapsed="false">
      <c r="A163" s="218"/>
      <c r="B163" s="251"/>
      <c r="C163" s="251"/>
      <c r="D163" s="251"/>
      <c r="E163" s="212" t="s">
        <v>3160</v>
      </c>
      <c r="F163" s="212" t="s">
        <v>2966</v>
      </c>
      <c r="G163" s="212" t="n">
        <v>90</v>
      </c>
      <c r="H163" s="212" t="s">
        <v>120</v>
      </c>
      <c r="I163" s="250" t="n">
        <v>152.69</v>
      </c>
    </row>
    <row r="164" customFormat="false" ht="13.8" hidden="false" customHeight="false" outlineLevel="0" collapsed="false">
      <c r="A164" s="218"/>
      <c r="B164" s="251"/>
      <c r="C164" s="251"/>
      <c r="D164" s="251"/>
      <c r="E164" s="212" t="s">
        <v>3163</v>
      </c>
      <c r="F164" s="212" t="s">
        <v>2966</v>
      </c>
      <c r="G164" s="212" t="n">
        <v>63</v>
      </c>
      <c r="H164" s="212" t="s">
        <v>120</v>
      </c>
      <c r="I164" s="250" t="n">
        <v>250.74</v>
      </c>
    </row>
    <row r="165" customFormat="false" ht="13.8" hidden="false" customHeight="false" outlineLevel="0" collapsed="false">
      <c r="A165" s="218"/>
      <c r="B165" s="251"/>
      <c r="C165" s="251"/>
      <c r="D165" s="251"/>
      <c r="E165" s="212" t="s">
        <v>3166</v>
      </c>
      <c r="F165" s="212" t="s">
        <v>2966</v>
      </c>
      <c r="G165" s="212" t="n">
        <v>63</v>
      </c>
      <c r="H165" s="212" t="s">
        <v>120</v>
      </c>
      <c r="I165" s="250" t="n">
        <v>324.1</v>
      </c>
    </row>
    <row r="166" customFormat="false" ht="13.8" hidden="false" customHeight="false" outlineLevel="0" collapsed="false">
      <c r="A166" s="218"/>
      <c r="B166" s="251"/>
      <c r="C166" s="251"/>
      <c r="D166" s="251"/>
      <c r="E166" s="212" t="s">
        <v>3169</v>
      </c>
      <c r="F166" s="212" t="s">
        <v>2966</v>
      </c>
      <c r="G166" s="212" t="n">
        <v>63</v>
      </c>
      <c r="H166" s="212" t="s">
        <v>120</v>
      </c>
      <c r="I166" s="250" t="n">
        <v>178.02</v>
      </c>
    </row>
    <row r="167" customFormat="false" ht="13.8" hidden="false" customHeight="false" outlineLevel="0" collapsed="false">
      <c r="A167" s="218"/>
      <c r="B167" s="252"/>
      <c r="C167" s="252"/>
      <c r="D167" s="252"/>
      <c r="E167" s="212" t="s">
        <v>3174</v>
      </c>
      <c r="F167" s="212" t="s">
        <v>2966</v>
      </c>
      <c r="G167" s="212" t="n">
        <v>63</v>
      </c>
      <c r="H167" s="212" t="s">
        <v>120</v>
      </c>
      <c r="I167" s="250" t="n">
        <v>204.96</v>
      </c>
    </row>
    <row r="168" customFormat="false" ht="13.8" hidden="false" customHeight="false" outlineLevel="0" collapsed="false">
      <c r="A168" s="218"/>
      <c r="B168" s="249" t="s">
        <v>7032</v>
      </c>
      <c r="C168" s="249" t="s">
        <v>117</v>
      </c>
      <c r="D168" s="212" t="s">
        <v>2173</v>
      </c>
      <c r="E168" s="212" t="s">
        <v>2174</v>
      </c>
      <c r="F168" s="212" t="s">
        <v>2033</v>
      </c>
      <c r="G168" s="212" t="n">
        <v>63</v>
      </c>
      <c r="H168" s="212" t="s">
        <v>120</v>
      </c>
      <c r="I168" s="250" t="n">
        <v>17.95</v>
      </c>
    </row>
    <row r="169" customFormat="false" ht="13.8" hidden="false" customHeight="false" outlineLevel="0" collapsed="false">
      <c r="A169" s="218"/>
      <c r="B169" s="251"/>
      <c r="C169" s="251"/>
      <c r="D169" s="249" t="s">
        <v>1548</v>
      </c>
      <c r="E169" s="212" t="s">
        <v>1964</v>
      </c>
      <c r="F169" s="212" t="s">
        <v>1547</v>
      </c>
      <c r="G169" s="212" t="n">
        <v>63</v>
      </c>
      <c r="H169" s="212" t="s">
        <v>120</v>
      </c>
      <c r="I169" s="250" t="n">
        <v>50.57</v>
      </c>
    </row>
    <row r="170" customFormat="false" ht="13.8" hidden="false" customHeight="false" outlineLevel="0" collapsed="false">
      <c r="A170" s="218"/>
      <c r="B170" s="251"/>
      <c r="C170" s="251"/>
      <c r="D170" s="251"/>
      <c r="E170" s="212" t="s">
        <v>1970</v>
      </c>
      <c r="F170" s="212" t="s">
        <v>1547</v>
      </c>
      <c r="G170" s="212" t="n">
        <v>63</v>
      </c>
      <c r="H170" s="212" t="s">
        <v>120</v>
      </c>
      <c r="I170" s="250" t="n">
        <v>225.1</v>
      </c>
    </row>
    <row r="171" customFormat="false" ht="13.8" hidden="false" customHeight="false" outlineLevel="0" collapsed="false">
      <c r="A171" s="218"/>
      <c r="B171" s="251"/>
      <c r="C171" s="251"/>
      <c r="D171" s="251"/>
      <c r="E171" s="212" t="s">
        <v>1975</v>
      </c>
      <c r="F171" s="212" t="s">
        <v>1547</v>
      </c>
      <c r="G171" s="212" t="n">
        <v>63</v>
      </c>
      <c r="H171" s="212" t="s">
        <v>120</v>
      </c>
      <c r="I171" s="250" t="n">
        <v>219.94</v>
      </c>
    </row>
    <row r="172" customFormat="false" ht="13.8" hidden="false" customHeight="false" outlineLevel="0" collapsed="false">
      <c r="A172" s="218"/>
      <c r="B172" s="251"/>
      <c r="C172" s="251"/>
      <c r="D172" s="251"/>
      <c r="E172" s="212" t="s">
        <v>2034</v>
      </c>
      <c r="F172" s="212" t="s">
        <v>2033</v>
      </c>
      <c r="G172" s="212" t="n">
        <v>63</v>
      </c>
      <c r="H172" s="212" t="s">
        <v>120</v>
      </c>
      <c r="I172" s="250" t="n">
        <v>65.09</v>
      </c>
    </row>
    <row r="173" customFormat="false" ht="13.8" hidden="false" customHeight="false" outlineLevel="0" collapsed="false">
      <c r="A173" s="218"/>
      <c r="B173" s="251"/>
      <c r="C173" s="251"/>
      <c r="D173" s="251"/>
      <c r="E173" s="212" t="s">
        <v>2041</v>
      </c>
      <c r="F173" s="212" t="s">
        <v>2033</v>
      </c>
      <c r="G173" s="212" t="n">
        <v>63</v>
      </c>
      <c r="H173" s="212" t="s">
        <v>120</v>
      </c>
      <c r="I173" s="250" t="n">
        <v>25.23</v>
      </c>
    </row>
    <row r="174" customFormat="false" ht="13.8" hidden="false" customHeight="false" outlineLevel="0" collapsed="false">
      <c r="A174" s="218"/>
      <c r="B174" s="251"/>
      <c r="C174" s="251"/>
      <c r="D174" s="251"/>
      <c r="E174" s="212" t="s">
        <v>2047</v>
      </c>
      <c r="F174" s="212" t="s">
        <v>2033</v>
      </c>
      <c r="G174" s="212" t="n">
        <v>63</v>
      </c>
      <c r="H174" s="212" t="s">
        <v>120</v>
      </c>
      <c r="I174" s="250" t="n">
        <v>14.82</v>
      </c>
    </row>
    <row r="175" customFormat="false" ht="13.8" hidden="false" customHeight="false" outlineLevel="0" collapsed="false">
      <c r="A175" s="218"/>
      <c r="B175" s="251"/>
      <c r="C175" s="251"/>
      <c r="D175" s="251"/>
      <c r="E175" s="212" t="s">
        <v>2049</v>
      </c>
      <c r="F175" s="212" t="s">
        <v>2033</v>
      </c>
      <c r="G175" s="212" t="n">
        <v>63</v>
      </c>
      <c r="H175" s="212" t="s">
        <v>120</v>
      </c>
      <c r="I175" s="250" t="n">
        <v>31.76</v>
      </c>
    </row>
    <row r="176" customFormat="false" ht="13.8" hidden="false" customHeight="false" outlineLevel="0" collapsed="false">
      <c r="A176" s="218"/>
      <c r="B176" s="251"/>
      <c r="C176" s="251"/>
      <c r="D176" s="251"/>
      <c r="E176" s="212" t="s">
        <v>2052</v>
      </c>
      <c r="F176" s="212" t="s">
        <v>2033</v>
      </c>
      <c r="G176" s="212" t="n">
        <v>63</v>
      </c>
      <c r="H176" s="212" t="s">
        <v>120</v>
      </c>
      <c r="I176" s="250" t="n">
        <v>66.41</v>
      </c>
    </row>
    <row r="177" customFormat="false" ht="13.8" hidden="false" customHeight="false" outlineLevel="0" collapsed="false">
      <c r="A177" s="218"/>
      <c r="B177" s="251"/>
      <c r="C177" s="251"/>
      <c r="D177" s="251"/>
      <c r="E177" s="212" t="s">
        <v>2058</v>
      </c>
      <c r="F177" s="212" t="s">
        <v>2033</v>
      </c>
      <c r="G177" s="212" t="n">
        <v>63</v>
      </c>
      <c r="H177" s="212" t="s">
        <v>120</v>
      </c>
      <c r="I177" s="250" t="n">
        <v>27.38</v>
      </c>
    </row>
    <row r="178" customFormat="false" ht="13.8" hidden="false" customHeight="false" outlineLevel="0" collapsed="false">
      <c r="A178" s="218"/>
      <c r="B178" s="251"/>
      <c r="C178" s="251"/>
      <c r="D178" s="251"/>
      <c r="E178" s="212" t="s">
        <v>2062</v>
      </c>
      <c r="F178" s="212" t="s">
        <v>2033</v>
      </c>
      <c r="G178" s="212" t="n">
        <v>63</v>
      </c>
      <c r="H178" s="212" t="s">
        <v>120</v>
      </c>
      <c r="I178" s="250" t="n">
        <v>71.45</v>
      </c>
    </row>
    <row r="179" customFormat="false" ht="13.8" hidden="false" customHeight="false" outlineLevel="0" collapsed="false">
      <c r="A179" s="218"/>
      <c r="B179" s="251"/>
      <c r="C179" s="251"/>
      <c r="D179" s="251"/>
      <c r="E179" s="212" t="s">
        <v>2068</v>
      </c>
      <c r="F179" s="212" t="s">
        <v>2033</v>
      </c>
      <c r="G179" s="212" t="n">
        <v>63</v>
      </c>
      <c r="H179" s="212" t="s">
        <v>120</v>
      </c>
      <c r="I179" s="250" t="n">
        <v>75.99</v>
      </c>
    </row>
    <row r="180" customFormat="false" ht="13.8" hidden="false" customHeight="false" outlineLevel="0" collapsed="false">
      <c r="A180" s="218"/>
      <c r="B180" s="251"/>
      <c r="C180" s="251"/>
      <c r="D180" s="251"/>
      <c r="E180" s="212" t="s">
        <v>2073</v>
      </c>
      <c r="F180" s="212" t="s">
        <v>2033</v>
      </c>
      <c r="G180" s="212" t="n">
        <v>63</v>
      </c>
      <c r="H180" s="212" t="s">
        <v>120</v>
      </c>
      <c r="I180" s="250" t="n">
        <v>399.22</v>
      </c>
    </row>
    <row r="181" customFormat="false" ht="13.8" hidden="false" customHeight="false" outlineLevel="0" collapsed="false">
      <c r="A181" s="218"/>
      <c r="B181" s="251"/>
      <c r="C181" s="251"/>
      <c r="D181" s="251"/>
      <c r="E181" s="212" t="s">
        <v>2077</v>
      </c>
      <c r="F181" s="212" t="s">
        <v>2033</v>
      </c>
      <c r="G181" s="212" t="n">
        <v>63</v>
      </c>
      <c r="H181" s="212" t="s">
        <v>120</v>
      </c>
      <c r="I181" s="250" t="n">
        <v>25.15</v>
      </c>
    </row>
    <row r="182" customFormat="false" ht="13.8" hidden="false" customHeight="false" outlineLevel="0" collapsed="false">
      <c r="A182" s="218"/>
      <c r="B182" s="251"/>
      <c r="C182" s="251"/>
      <c r="D182" s="251"/>
      <c r="E182" s="212" t="s">
        <v>2079</v>
      </c>
      <c r="F182" s="212" t="s">
        <v>2033</v>
      </c>
      <c r="G182" s="212" t="n">
        <v>63</v>
      </c>
      <c r="H182" s="212" t="s">
        <v>120</v>
      </c>
      <c r="I182" s="250" t="n">
        <v>60.24</v>
      </c>
    </row>
    <row r="183" customFormat="false" ht="13.8" hidden="false" customHeight="false" outlineLevel="0" collapsed="false">
      <c r="A183" s="218"/>
      <c r="B183" s="251"/>
      <c r="C183" s="251"/>
      <c r="D183" s="251"/>
      <c r="E183" s="212" t="s">
        <v>2083</v>
      </c>
      <c r="F183" s="212" t="s">
        <v>2033</v>
      </c>
      <c r="G183" s="212" t="n">
        <v>63</v>
      </c>
      <c r="H183" s="212" t="s">
        <v>120</v>
      </c>
      <c r="I183" s="250" t="n">
        <v>20.36</v>
      </c>
    </row>
    <row r="184" customFormat="false" ht="13.8" hidden="false" customHeight="false" outlineLevel="0" collapsed="false">
      <c r="A184" s="218"/>
      <c r="B184" s="251"/>
      <c r="C184" s="251"/>
      <c r="D184" s="251"/>
      <c r="E184" s="212" t="s">
        <v>2086</v>
      </c>
      <c r="F184" s="212" t="s">
        <v>2033</v>
      </c>
      <c r="G184" s="212" t="n">
        <v>63</v>
      </c>
      <c r="H184" s="212" t="s">
        <v>120</v>
      </c>
      <c r="I184" s="250" t="n">
        <v>23.86</v>
      </c>
    </row>
    <row r="185" customFormat="false" ht="13.8" hidden="false" customHeight="false" outlineLevel="0" collapsed="false">
      <c r="A185" s="218"/>
      <c r="B185" s="251"/>
      <c r="C185" s="251"/>
      <c r="D185" s="251"/>
      <c r="E185" s="212" t="s">
        <v>2089</v>
      </c>
      <c r="F185" s="212" t="s">
        <v>2033</v>
      </c>
      <c r="G185" s="212" t="n">
        <v>63</v>
      </c>
      <c r="H185" s="212" t="s">
        <v>120</v>
      </c>
      <c r="I185" s="250" t="n">
        <v>12.88</v>
      </c>
    </row>
    <row r="186" customFormat="false" ht="13.8" hidden="false" customHeight="false" outlineLevel="0" collapsed="false">
      <c r="A186" s="218"/>
      <c r="B186" s="251"/>
      <c r="C186" s="251"/>
      <c r="D186" s="251"/>
      <c r="E186" s="212" t="s">
        <v>2093</v>
      </c>
      <c r="F186" s="212" t="s">
        <v>2033</v>
      </c>
      <c r="G186" s="212" t="n">
        <v>63</v>
      </c>
      <c r="H186" s="212" t="s">
        <v>120</v>
      </c>
      <c r="I186" s="250" t="n">
        <v>20.89</v>
      </c>
    </row>
    <row r="187" customFormat="false" ht="13.8" hidden="false" customHeight="false" outlineLevel="0" collapsed="false">
      <c r="A187" s="218"/>
      <c r="B187" s="251"/>
      <c r="C187" s="251"/>
      <c r="D187" s="251"/>
      <c r="E187" s="212" t="s">
        <v>2096</v>
      </c>
      <c r="F187" s="212" t="s">
        <v>2033</v>
      </c>
      <c r="G187" s="212" t="n">
        <v>63</v>
      </c>
      <c r="H187" s="212" t="s">
        <v>120</v>
      </c>
      <c r="I187" s="250" t="n">
        <v>25.82</v>
      </c>
    </row>
    <row r="188" customFormat="false" ht="13.8" hidden="false" customHeight="false" outlineLevel="0" collapsed="false">
      <c r="A188" s="218"/>
      <c r="B188" s="251"/>
      <c r="C188" s="251"/>
      <c r="D188" s="251"/>
      <c r="E188" s="212" t="s">
        <v>2100</v>
      </c>
      <c r="F188" s="212" t="s">
        <v>2033</v>
      </c>
      <c r="G188" s="212" t="n">
        <v>63</v>
      </c>
      <c r="H188" s="212" t="s">
        <v>120</v>
      </c>
      <c r="I188" s="250" t="n">
        <v>61.89</v>
      </c>
    </row>
    <row r="189" customFormat="false" ht="13.8" hidden="false" customHeight="false" outlineLevel="0" collapsed="false">
      <c r="A189" s="218"/>
      <c r="B189" s="251"/>
      <c r="C189" s="251"/>
      <c r="D189" s="251"/>
      <c r="E189" s="212" t="s">
        <v>2105</v>
      </c>
      <c r="F189" s="212" t="s">
        <v>2033</v>
      </c>
      <c r="G189" s="212" t="n">
        <v>63</v>
      </c>
      <c r="H189" s="212" t="s">
        <v>120</v>
      </c>
      <c r="I189" s="250" t="n">
        <v>10.93</v>
      </c>
    </row>
    <row r="190" customFormat="false" ht="13.8" hidden="false" customHeight="false" outlineLevel="0" collapsed="false">
      <c r="A190" s="218"/>
      <c r="B190" s="251"/>
      <c r="C190" s="251"/>
      <c r="D190" s="251"/>
      <c r="E190" s="212" t="s">
        <v>2108</v>
      </c>
      <c r="F190" s="212" t="s">
        <v>2033</v>
      </c>
      <c r="G190" s="212" t="n">
        <v>110</v>
      </c>
      <c r="H190" s="212" t="s">
        <v>120</v>
      </c>
      <c r="I190" s="250" t="n">
        <v>72.22</v>
      </c>
    </row>
    <row r="191" customFormat="false" ht="13.8" hidden="false" customHeight="false" outlineLevel="0" collapsed="false">
      <c r="A191" s="218"/>
      <c r="B191" s="251"/>
      <c r="C191" s="251"/>
      <c r="D191" s="251"/>
      <c r="E191" s="212" t="s">
        <v>2111</v>
      </c>
      <c r="F191" s="212" t="s">
        <v>2033</v>
      </c>
      <c r="G191" s="212" t="n">
        <v>63</v>
      </c>
      <c r="H191" s="212" t="s">
        <v>120</v>
      </c>
      <c r="I191" s="250" t="n">
        <v>63.39</v>
      </c>
    </row>
    <row r="192" customFormat="false" ht="13.8" hidden="false" customHeight="false" outlineLevel="0" collapsed="false">
      <c r="A192" s="218"/>
      <c r="B192" s="251"/>
      <c r="C192" s="251"/>
      <c r="D192" s="251"/>
      <c r="E192" s="212" t="s">
        <v>2116</v>
      </c>
      <c r="F192" s="212" t="s">
        <v>2033</v>
      </c>
      <c r="G192" s="212" t="n">
        <v>63</v>
      </c>
      <c r="H192" s="212" t="s">
        <v>120</v>
      </c>
      <c r="I192" s="250" t="n">
        <v>14.39</v>
      </c>
    </row>
    <row r="193" customFormat="false" ht="13.8" hidden="false" customHeight="false" outlineLevel="0" collapsed="false">
      <c r="A193" s="218"/>
      <c r="B193" s="251"/>
      <c r="C193" s="251"/>
      <c r="D193" s="251"/>
      <c r="E193" s="212" t="s">
        <v>2120</v>
      </c>
      <c r="F193" s="212" t="s">
        <v>2033</v>
      </c>
      <c r="G193" s="212" t="n">
        <v>63</v>
      </c>
      <c r="H193" s="212" t="s">
        <v>120</v>
      </c>
      <c r="I193" s="250" t="n">
        <v>23.37</v>
      </c>
    </row>
    <row r="194" customFormat="false" ht="13.8" hidden="false" customHeight="false" outlineLevel="0" collapsed="false">
      <c r="A194" s="218"/>
      <c r="B194" s="251"/>
      <c r="C194" s="251"/>
      <c r="D194" s="251"/>
      <c r="E194" s="212" t="s">
        <v>2123</v>
      </c>
      <c r="F194" s="212" t="s">
        <v>2033</v>
      </c>
      <c r="G194" s="212" t="n">
        <v>110</v>
      </c>
      <c r="H194" s="212" t="s">
        <v>120</v>
      </c>
      <c r="I194" s="250" t="n">
        <v>18.28</v>
      </c>
    </row>
    <row r="195" customFormat="false" ht="13.8" hidden="false" customHeight="false" outlineLevel="0" collapsed="false">
      <c r="A195" s="218"/>
      <c r="B195" s="251"/>
      <c r="C195" s="251"/>
      <c r="D195" s="251"/>
      <c r="E195" s="212" t="s">
        <v>2126</v>
      </c>
      <c r="F195" s="212" t="s">
        <v>2033</v>
      </c>
      <c r="G195" s="212" t="n">
        <v>63</v>
      </c>
      <c r="H195" s="212" t="s">
        <v>120</v>
      </c>
      <c r="I195" s="250" t="n">
        <v>57.63</v>
      </c>
    </row>
    <row r="196" customFormat="false" ht="13.8" hidden="false" customHeight="false" outlineLevel="0" collapsed="false">
      <c r="A196" s="218"/>
      <c r="B196" s="251"/>
      <c r="C196" s="251"/>
      <c r="D196" s="251"/>
      <c r="E196" s="212" t="s">
        <v>2131</v>
      </c>
      <c r="F196" s="212" t="s">
        <v>2033</v>
      </c>
      <c r="G196" s="212" t="n">
        <v>63</v>
      </c>
      <c r="H196" s="212" t="s">
        <v>120</v>
      </c>
      <c r="I196" s="250" t="n">
        <v>21.66</v>
      </c>
    </row>
    <row r="197" customFormat="false" ht="13.8" hidden="false" customHeight="false" outlineLevel="0" collapsed="false">
      <c r="A197" s="218"/>
      <c r="B197" s="251"/>
      <c r="C197" s="251"/>
      <c r="D197" s="251"/>
      <c r="E197" s="212" t="s">
        <v>2134</v>
      </c>
      <c r="F197" s="212" t="s">
        <v>2033</v>
      </c>
      <c r="G197" s="212" t="n">
        <v>63</v>
      </c>
      <c r="H197" s="212" t="s">
        <v>120</v>
      </c>
      <c r="I197" s="250" t="n">
        <v>72.64</v>
      </c>
    </row>
    <row r="198" customFormat="false" ht="13.8" hidden="false" customHeight="false" outlineLevel="0" collapsed="false">
      <c r="A198" s="218"/>
      <c r="B198" s="251"/>
      <c r="C198" s="251"/>
      <c r="D198" s="251"/>
      <c r="E198" s="212" t="s">
        <v>2139</v>
      </c>
      <c r="F198" s="212" t="s">
        <v>2033</v>
      </c>
      <c r="G198" s="212" t="n">
        <v>110</v>
      </c>
      <c r="H198" s="212" t="s">
        <v>120</v>
      </c>
      <c r="I198" s="250" t="n">
        <v>56.57</v>
      </c>
    </row>
    <row r="199" customFormat="false" ht="13.8" hidden="false" customHeight="false" outlineLevel="0" collapsed="false">
      <c r="A199" s="218"/>
      <c r="B199" s="251"/>
      <c r="C199" s="251"/>
      <c r="D199" s="251"/>
      <c r="E199" s="212" t="s">
        <v>2142</v>
      </c>
      <c r="F199" s="212" t="s">
        <v>2033</v>
      </c>
      <c r="G199" s="212" t="n">
        <v>63</v>
      </c>
      <c r="H199" s="212" t="s">
        <v>120</v>
      </c>
      <c r="I199" s="250" t="n">
        <v>12.04</v>
      </c>
    </row>
    <row r="200" customFormat="false" ht="13.8" hidden="false" customHeight="false" outlineLevel="0" collapsed="false">
      <c r="A200" s="218"/>
      <c r="B200" s="251"/>
      <c r="C200" s="251"/>
      <c r="D200" s="251"/>
      <c r="E200" s="212" t="s">
        <v>2145</v>
      </c>
      <c r="F200" s="212" t="s">
        <v>2033</v>
      </c>
      <c r="G200" s="212" t="n">
        <v>63</v>
      </c>
      <c r="H200" s="212" t="s">
        <v>120</v>
      </c>
      <c r="I200" s="250" t="n">
        <v>71.94</v>
      </c>
    </row>
    <row r="201" customFormat="false" ht="13.8" hidden="false" customHeight="false" outlineLevel="0" collapsed="false">
      <c r="A201" s="218"/>
      <c r="B201" s="251"/>
      <c r="C201" s="251"/>
      <c r="D201" s="251"/>
      <c r="E201" s="212" t="s">
        <v>2150</v>
      </c>
      <c r="F201" s="212" t="s">
        <v>2033</v>
      </c>
      <c r="G201" s="212" t="n">
        <v>110</v>
      </c>
      <c r="H201" s="212" t="s">
        <v>120</v>
      </c>
      <c r="I201" s="250" t="n">
        <v>33.96</v>
      </c>
    </row>
    <row r="202" customFormat="false" ht="13.8" hidden="false" customHeight="false" outlineLevel="0" collapsed="false">
      <c r="A202" s="218"/>
      <c r="B202" s="251"/>
      <c r="C202" s="251"/>
      <c r="D202" s="251"/>
      <c r="E202" s="212" t="s">
        <v>2153</v>
      </c>
      <c r="F202" s="212" t="s">
        <v>2033</v>
      </c>
      <c r="G202" s="212" t="n">
        <v>110</v>
      </c>
      <c r="H202" s="212" t="s">
        <v>120</v>
      </c>
      <c r="I202" s="250" t="n">
        <v>33.18</v>
      </c>
    </row>
    <row r="203" customFormat="false" ht="13.8" hidden="false" customHeight="false" outlineLevel="0" collapsed="false">
      <c r="A203" s="218"/>
      <c r="B203" s="251"/>
      <c r="C203" s="251"/>
      <c r="D203" s="251"/>
      <c r="E203" s="212" t="s">
        <v>2157</v>
      </c>
      <c r="F203" s="212" t="s">
        <v>2033</v>
      </c>
      <c r="G203" s="212" t="n">
        <v>110</v>
      </c>
      <c r="H203" s="212" t="s">
        <v>120</v>
      </c>
      <c r="I203" s="250" t="n">
        <v>1.39</v>
      </c>
    </row>
    <row r="204" customFormat="false" ht="13.8" hidden="false" customHeight="false" outlineLevel="0" collapsed="false">
      <c r="A204" s="218"/>
      <c r="B204" s="251"/>
      <c r="C204" s="251"/>
      <c r="D204" s="251"/>
      <c r="E204" s="212" t="s">
        <v>2159</v>
      </c>
      <c r="F204" s="212" t="s">
        <v>2033</v>
      </c>
      <c r="G204" s="212" t="n">
        <v>63</v>
      </c>
      <c r="H204" s="212" t="s">
        <v>120</v>
      </c>
      <c r="I204" s="250" t="n">
        <v>227.81</v>
      </c>
    </row>
    <row r="205" customFormat="false" ht="13.8" hidden="false" customHeight="false" outlineLevel="0" collapsed="false">
      <c r="A205" s="218"/>
      <c r="B205" s="251"/>
      <c r="C205" s="251"/>
      <c r="D205" s="251"/>
      <c r="E205" s="212" t="s">
        <v>2163</v>
      </c>
      <c r="F205" s="212" t="s">
        <v>2033</v>
      </c>
      <c r="G205" s="212" t="n">
        <v>63</v>
      </c>
      <c r="H205" s="212" t="s">
        <v>120</v>
      </c>
      <c r="I205" s="250" t="n">
        <v>391.22</v>
      </c>
    </row>
    <row r="206" customFormat="false" ht="13.8" hidden="false" customHeight="false" outlineLevel="0" collapsed="false">
      <c r="A206" s="218"/>
      <c r="B206" s="251"/>
      <c r="C206" s="251"/>
      <c r="D206" s="251"/>
      <c r="E206" s="212" t="s">
        <v>2168</v>
      </c>
      <c r="F206" s="212" t="s">
        <v>2033</v>
      </c>
      <c r="G206" s="212" t="n">
        <v>63</v>
      </c>
      <c r="H206" s="212" t="s">
        <v>120</v>
      </c>
      <c r="I206" s="250" t="n">
        <v>8.89</v>
      </c>
    </row>
    <row r="207" customFormat="false" ht="13.8" hidden="false" customHeight="false" outlineLevel="0" collapsed="false">
      <c r="A207" s="218"/>
      <c r="B207" s="251"/>
      <c r="C207" s="251"/>
      <c r="D207" s="251"/>
      <c r="E207" s="212" t="s">
        <v>2178</v>
      </c>
      <c r="F207" s="212" t="s">
        <v>2033</v>
      </c>
      <c r="G207" s="212" t="n">
        <v>110</v>
      </c>
      <c r="H207" s="212" t="s">
        <v>120</v>
      </c>
      <c r="I207" s="250" t="n">
        <v>75.73</v>
      </c>
    </row>
    <row r="208" customFormat="false" ht="13.8" hidden="false" customHeight="false" outlineLevel="0" collapsed="false">
      <c r="A208" s="218"/>
      <c r="B208" s="251"/>
      <c r="C208" s="251"/>
      <c r="D208" s="251"/>
      <c r="E208" s="212" t="s">
        <v>2182</v>
      </c>
      <c r="F208" s="212" t="s">
        <v>2033</v>
      </c>
      <c r="G208" s="212" t="n">
        <v>63</v>
      </c>
      <c r="H208" s="212" t="s">
        <v>120</v>
      </c>
      <c r="I208" s="250" t="n">
        <v>41.46</v>
      </c>
    </row>
    <row r="209" customFormat="false" ht="13.8" hidden="false" customHeight="false" outlineLevel="0" collapsed="false">
      <c r="A209" s="218"/>
      <c r="B209" s="251"/>
      <c r="C209" s="251"/>
      <c r="D209" s="251"/>
      <c r="E209" s="212" t="s">
        <v>2185</v>
      </c>
      <c r="F209" s="212" t="s">
        <v>2033</v>
      </c>
      <c r="G209" s="212" t="n">
        <v>63</v>
      </c>
      <c r="H209" s="212" t="s">
        <v>120</v>
      </c>
      <c r="I209" s="250" t="n">
        <v>375.8</v>
      </c>
    </row>
    <row r="210" customFormat="false" ht="13.8" hidden="false" customHeight="false" outlineLevel="0" collapsed="false">
      <c r="A210" s="218"/>
      <c r="B210" s="251"/>
      <c r="C210" s="251"/>
      <c r="D210" s="251"/>
      <c r="E210" s="212" t="s">
        <v>2190</v>
      </c>
      <c r="F210" s="212" t="s">
        <v>2033</v>
      </c>
      <c r="G210" s="212" t="n">
        <v>63</v>
      </c>
      <c r="H210" s="212" t="s">
        <v>120</v>
      </c>
      <c r="I210" s="250" t="n">
        <v>13.38</v>
      </c>
    </row>
    <row r="211" customFormat="false" ht="13.8" hidden="false" customHeight="false" outlineLevel="0" collapsed="false">
      <c r="A211" s="218"/>
      <c r="B211" s="251"/>
      <c r="C211" s="251"/>
      <c r="D211" s="251"/>
      <c r="E211" s="212" t="s">
        <v>2193</v>
      </c>
      <c r="F211" s="212" t="s">
        <v>2033</v>
      </c>
      <c r="G211" s="212" t="n">
        <v>63</v>
      </c>
      <c r="H211" s="212" t="s">
        <v>120</v>
      </c>
      <c r="I211" s="250" t="n">
        <v>26.93</v>
      </c>
    </row>
    <row r="212" customFormat="false" ht="13.8" hidden="false" customHeight="false" outlineLevel="0" collapsed="false">
      <c r="A212" s="218"/>
      <c r="B212" s="251"/>
      <c r="C212" s="251"/>
      <c r="D212" s="251"/>
      <c r="E212" s="212" t="s">
        <v>2197</v>
      </c>
      <c r="F212" s="212" t="s">
        <v>2033</v>
      </c>
      <c r="G212" s="212" t="n">
        <v>63</v>
      </c>
      <c r="H212" s="212" t="s">
        <v>120</v>
      </c>
      <c r="I212" s="250" t="n">
        <v>359.87</v>
      </c>
    </row>
    <row r="213" customFormat="false" ht="13.8" hidden="false" customHeight="false" outlineLevel="0" collapsed="false">
      <c r="A213" s="218"/>
      <c r="B213" s="251"/>
      <c r="C213" s="251"/>
      <c r="D213" s="251"/>
      <c r="E213" s="212" t="s">
        <v>2201</v>
      </c>
      <c r="F213" s="212" t="s">
        <v>2033</v>
      </c>
      <c r="G213" s="212" t="n">
        <v>160</v>
      </c>
      <c r="H213" s="212" t="s">
        <v>120</v>
      </c>
      <c r="I213" s="250" t="n">
        <v>106.49</v>
      </c>
    </row>
    <row r="214" customFormat="false" ht="13.8" hidden="false" customHeight="false" outlineLevel="0" collapsed="false">
      <c r="A214" s="218"/>
      <c r="B214" s="252"/>
      <c r="C214" s="252"/>
      <c r="D214" s="252"/>
      <c r="E214" s="212" t="s">
        <v>2204</v>
      </c>
      <c r="F214" s="212" t="s">
        <v>2033</v>
      </c>
      <c r="G214" s="212" t="n">
        <v>63</v>
      </c>
      <c r="H214" s="212" t="s">
        <v>120</v>
      </c>
      <c r="I214" s="250" t="n">
        <v>205.73</v>
      </c>
    </row>
    <row r="215" customFormat="false" ht="13.8" hidden="false" customHeight="false" outlineLevel="0" collapsed="false">
      <c r="A215" s="218"/>
      <c r="B215" s="249" t="s">
        <v>7033</v>
      </c>
      <c r="C215" s="249" t="s">
        <v>117</v>
      </c>
      <c r="D215" s="249" t="s">
        <v>1548</v>
      </c>
      <c r="E215" s="212" t="s">
        <v>1978</v>
      </c>
      <c r="F215" s="212" t="s">
        <v>1547</v>
      </c>
      <c r="G215" s="212" t="n">
        <v>63</v>
      </c>
      <c r="H215" s="212" t="s">
        <v>120</v>
      </c>
      <c r="I215" s="250" t="n">
        <v>320.5</v>
      </c>
    </row>
    <row r="216" customFormat="false" ht="13.8" hidden="false" customHeight="false" outlineLevel="0" collapsed="false">
      <c r="A216" s="218"/>
      <c r="B216" s="251"/>
      <c r="C216" s="251"/>
      <c r="D216" s="251"/>
      <c r="E216" s="212" t="s">
        <v>1985</v>
      </c>
      <c r="F216" s="212" t="s">
        <v>1547</v>
      </c>
      <c r="G216" s="212" t="n">
        <v>63</v>
      </c>
      <c r="H216" s="212" t="s">
        <v>120</v>
      </c>
      <c r="I216" s="250" t="n">
        <v>152.53</v>
      </c>
    </row>
    <row r="217" customFormat="false" ht="13.8" hidden="false" customHeight="false" outlineLevel="0" collapsed="false">
      <c r="A217" s="218"/>
      <c r="B217" s="251"/>
      <c r="C217" s="251"/>
      <c r="D217" s="251"/>
      <c r="E217" s="212" t="s">
        <v>1991</v>
      </c>
      <c r="F217" s="212" t="s">
        <v>1547</v>
      </c>
      <c r="G217" s="212" t="n">
        <v>225</v>
      </c>
      <c r="H217" s="212" t="s">
        <v>120</v>
      </c>
      <c r="I217" s="250" t="n">
        <v>397.16</v>
      </c>
    </row>
    <row r="218" customFormat="false" ht="13.8" hidden="false" customHeight="false" outlineLevel="0" collapsed="false">
      <c r="A218" s="218"/>
      <c r="B218" s="251"/>
      <c r="C218" s="251"/>
      <c r="D218" s="251"/>
      <c r="E218" s="212" t="s">
        <v>1994</v>
      </c>
      <c r="F218" s="212" t="s">
        <v>1547</v>
      </c>
      <c r="G218" s="212" t="n">
        <v>160</v>
      </c>
      <c r="H218" s="212" t="s">
        <v>120</v>
      </c>
      <c r="I218" s="250" t="n">
        <v>71.99</v>
      </c>
    </row>
    <row r="219" customFormat="false" ht="13.8" hidden="false" customHeight="false" outlineLevel="0" collapsed="false">
      <c r="A219" s="218"/>
      <c r="B219" s="251"/>
      <c r="C219" s="251"/>
      <c r="D219" s="251"/>
      <c r="E219" s="212" t="s">
        <v>1997</v>
      </c>
      <c r="F219" s="212" t="s">
        <v>1547</v>
      </c>
      <c r="G219" s="212" t="n">
        <v>160</v>
      </c>
      <c r="H219" s="212" t="s">
        <v>120</v>
      </c>
      <c r="I219" s="250" t="n">
        <v>23.93</v>
      </c>
    </row>
    <row r="220" customFormat="false" ht="13.8" hidden="false" customHeight="false" outlineLevel="0" collapsed="false">
      <c r="A220" s="218"/>
      <c r="B220" s="251"/>
      <c r="C220" s="251"/>
      <c r="D220" s="251"/>
      <c r="E220" s="212" t="s">
        <v>2000</v>
      </c>
      <c r="F220" s="212" t="s">
        <v>1547</v>
      </c>
      <c r="G220" s="212" t="n">
        <v>160</v>
      </c>
      <c r="H220" s="212" t="s">
        <v>120</v>
      </c>
      <c r="I220" s="250" t="n">
        <v>40.75</v>
      </c>
    </row>
    <row r="221" customFormat="false" ht="13.8" hidden="false" customHeight="false" outlineLevel="0" collapsed="false">
      <c r="A221" s="218"/>
      <c r="B221" s="251"/>
      <c r="C221" s="251"/>
      <c r="D221" s="251"/>
      <c r="E221" s="212" t="s">
        <v>2003</v>
      </c>
      <c r="F221" s="212" t="s">
        <v>1547</v>
      </c>
      <c r="G221" s="212" t="n">
        <v>90</v>
      </c>
      <c r="H221" s="212" t="s">
        <v>120</v>
      </c>
      <c r="I221" s="250" t="n">
        <v>135.75</v>
      </c>
    </row>
    <row r="222" customFormat="false" ht="13.8" hidden="false" customHeight="false" outlineLevel="0" collapsed="false">
      <c r="A222" s="218"/>
      <c r="B222" s="251"/>
      <c r="C222" s="251"/>
      <c r="D222" s="251"/>
      <c r="E222" s="212" t="s">
        <v>2007</v>
      </c>
      <c r="F222" s="212" t="s">
        <v>1547</v>
      </c>
      <c r="G222" s="212" t="n">
        <v>160</v>
      </c>
      <c r="H222" s="212" t="s">
        <v>120</v>
      </c>
      <c r="I222" s="250" t="n">
        <v>40.33</v>
      </c>
    </row>
    <row r="223" customFormat="false" ht="13.8" hidden="false" customHeight="false" outlineLevel="0" collapsed="false">
      <c r="A223" s="218"/>
      <c r="B223" s="251"/>
      <c r="C223" s="251"/>
      <c r="D223" s="251"/>
      <c r="E223" s="212" t="s">
        <v>2010</v>
      </c>
      <c r="F223" s="212" t="s">
        <v>1547</v>
      </c>
      <c r="G223" s="212" t="n">
        <v>90</v>
      </c>
      <c r="H223" s="212" t="s">
        <v>120</v>
      </c>
      <c r="I223" s="250" t="n">
        <v>125.39</v>
      </c>
    </row>
    <row r="224" customFormat="false" ht="13.8" hidden="false" customHeight="false" outlineLevel="0" collapsed="false">
      <c r="A224" s="218"/>
      <c r="B224" s="251"/>
      <c r="C224" s="251"/>
      <c r="D224" s="251"/>
      <c r="E224" s="212" t="s">
        <v>2014</v>
      </c>
      <c r="F224" s="212" t="s">
        <v>1547</v>
      </c>
      <c r="G224" s="212" t="n">
        <v>160</v>
      </c>
      <c r="H224" s="212" t="s">
        <v>120</v>
      </c>
      <c r="I224" s="250" t="n">
        <v>40.78</v>
      </c>
    </row>
    <row r="225" customFormat="false" ht="13.8" hidden="false" customHeight="false" outlineLevel="0" collapsed="false">
      <c r="A225" s="218"/>
      <c r="B225" s="251"/>
      <c r="C225" s="251"/>
      <c r="D225" s="251"/>
      <c r="E225" s="212" t="s">
        <v>2017</v>
      </c>
      <c r="F225" s="212" t="s">
        <v>1547</v>
      </c>
      <c r="G225" s="212" t="n">
        <v>160</v>
      </c>
      <c r="H225" s="212" t="s">
        <v>120</v>
      </c>
      <c r="I225" s="250" t="n">
        <v>10.64</v>
      </c>
    </row>
    <row r="226" customFormat="false" ht="13.8" hidden="false" customHeight="false" outlineLevel="0" collapsed="false">
      <c r="A226" s="218"/>
      <c r="B226" s="251"/>
      <c r="C226" s="251"/>
      <c r="D226" s="251"/>
      <c r="E226" s="212" t="s">
        <v>2021</v>
      </c>
      <c r="F226" s="212" t="s">
        <v>1547</v>
      </c>
      <c r="G226" s="212" t="n">
        <v>160</v>
      </c>
      <c r="H226" s="212" t="s">
        <v>120</v>
      </c>
      <c r="I226" s="250" t="n">
        <v>4.32</v>
      </c>
    </row>
    <row r="227" customFormat="false" ht="13.8" hidden="false" customHeight="false" outlineLevel="0" collapsed="false">
      <c r="A227" s="218"/>
      <c r="B227" s="251"/>
      <c r="C227" s="251"/>
      <c r="D227" s="251"/>
      <c r="E227" s="212" t="s">
        <v>2024</v>
      </c>
      <c r="F227" s="212" t="s">
        <v>1547</v>
      </c>
      <c r="G227" s="212" t="n">
        <v>225</v>
      </c>
      <c r="H227" s="212" t="s">
        <v>120</v>
      </c>
      <c r="I227" s="250" t="n">
        <v>2.77</v>
      </c>
    </row>
    <row r="228" customFormat="false" ht="13.8" hidden="false" customHeight="false" outlineLevel="0" collapsed="false">
      <c r="A228" s="218"/>
      <c r="B228" s="251"/>
      <c r="C228" s="251"/>
      <c r="D228" s="251"/>
      <c r="E228" s="212" t="s">
        <v>2028</v>
      </c>
      <c r="F228" s="212" t="s">
        <v>1547</v>
      </c>
      <c r="G228" s="212" t="n">
        <v>225</v>
      </c>
      <c r="H228" s="212" t="s">
        <v>120</v>
      </c>
      <c r="I228" s="250" t="n">
        <v>4.01</v>
      </c>
    </row>
    <row r="229" customFormat="false" ht="13.8" hidden="false" customHeight="false" outlineLevel="0" collapsed="false">
      <c r="A229" s="218"/>
      <c r="B229" s="251"/>
      <c r="C229" s="251"/>
      <c r="D229" s="251"/>
      <c r="E229" s="212" t="s">
        <v>2030</v>
      </c>
      <c r="F229" s="212" t="s">
        <v>1547</v>
      </c>
      <c r="G229" s="212" t="n">
        <v>225</v>
      </c>
      <c r="H229" s="212" t="s">
        <v>120</v>
      </c>
      <c r="I229" s="250" t="n">
        <v>80.35</v>
      </c>
    </row>
    <row r="230" customFormat="false" ht="13.8" hidden="false" customHeight="false" outlineLevel="0" collapsed="false">
      <c r="A230" s="218"/>
      <c r="B230" s="251"/>
      <c r="C230" s="251"/>
      <c r="D230" s="251"/>
      <c r="E230" s="212" t="s">
        <v>2208</v>
      </c>
      <c r="F230" s="212" t="s">
        <v>2033</v>
      </c>
      <c r="G230" s="212" t="n">
        <v>225</v>
      </c>
      <c r="H230" s="212" t="s">
        <v>120</v>
      </c>
      <c r="I230" s="250" t="n">
        <v>8.61</v>
      </c>
    </row>
    <row r="231" customFormat="false" ht="13.8" hidden="false" customHeight="false" outlineLevel="0" collapsed="false">
      <c r="A231" s="218"/>
      <c r="B231" s="251"/>
      <c r="C231" s="251"/>
      <c r="D231" s="251"/>
      <c r="E231" s="212" t="s">
        <v>2212</v>
      </c>
      <c r="F231" s="212" t="s">
        <v>2033</v>
      </c>
      <c r="G231" s="212" t="n">
        <v>225</v>
      </c>
      <c r="H231" s="212" t="s">
        <v>120</v>
      </c>
      <c r="I231" s="250" t="n">
        <v>28.83</v>
      </c>
    </row>
    <row r="232" customFormat="false" ht="13.8" hidden="false" customHeight="false" outlineLevel="0" collapsed="false">
      <c r="A232" s="218"/>
      <c r="B232" s="251"/>
      <c r="C232" s="251"/>
      <c r="D232" s="251"/>
      <c r="E232" s="212" t="s">
        <v>2215</v>
      </c>
      <c r="F232" s="212" t="s">
        <v>2033</v>
      </c>
      <c r="G232" s="212" t="n">
        <v>225</v>
      </c>
      <c r="H232" s="212" t="s">
        <v>120</v>
      </c>
      <c r="I232" s="250" t="n">
        <v>2.62</v>
      </c>
    </row>
    <row r="233" customFormat="false" ht="13.8" hidden="false" customHeight="false" outlineLevel="0" collapsed="false">
      <c r="A233" s="218"/>
      <c r="B233" s="251"/>
      <c r="C233" s="251"/>
      <c r="D233" s="251"/>
      <c r="E233" s="212" t="s">
        <v>2219</v>
      </c>
      <c r="F233" s="212" t="s">
        <v>2033</v>
      </c>
      <c r="G233" s="212" t="n">
        <v>160</v>
      </c>
      <c r="H233" s="212" t="s">
        <v>120</v>
      </c>
      <c r="I233" s="250" t="n">
        <v>102.33</v>
      </c>
    </row>
    <row r="234" customFormat="false" ht="13.8" hidden="false" customHeight="false" outlineLevel="0" collapsed="false">
      <c r="A234" s="218"/>
      <c r="B234" s="251"/>
      <c r="C234" s="251"/>
      <c r="D234" s="251"/>
      <c r="E234" s="212" t="s">
        <v>2222</v>
      </c>
      <c r="F234" s="212" t="s">
        <v>2033</v>
      </c>
      <c r="G234" s="212" t="n">
        <v>225</v>
      </c>
      <c r="H234" s="212" t="s">
        <v>120</v>
      </c>
      <c r="I234" s="250" t="n">
        <v>230.28</v>
      </c>
    </row>
    <row r="235" customFormat="false" ht="13.8" hidden="false" customHeight="false" outlineLevel="0" collapsed="false">
      <c r="A235" s="218"/>
      <c r="B235" s="251"/>
      <c r="C235" s="251"/>
      <c r="D235" s="251"/>
      <c r="E235" s="212" t="s">
        <v>2523</v>
      </c>
      <c r="F235" s="212" t="s">
        <v>2522</v>
      </c>
      <c r="G235" s="212" t="n">
        <v>110</v>
      </c>
      <c r="H235" s="212" t="s">
        <v>120</v>
      </c>
      <c r="I235" s="250" t="n">
        <v>89.99</v>
      </c>
    </row>
    <row r="236" customFormat="false" ht="13.8" hidden="false" customHeight="false" outlineLevel="0" collapsed="false">
      <c r="A236" s="218"/>
      <c r="B236" s="251"/>
      <c r="C236" s="251"/>
      <c r="D236" s="251"/>
      <c r="E236" s="212" t="s">
        <v>2530</v>
      </c>
      <c r="F236" s="212" t="s">
        <v>2522</v>
      </c>
      <c r="G236" s="212" t="n">
        <v>63</v>
      </c>
      <c r="H236" s="212" t="s">
        <v>120</v>
      </c>
      <c r="I236" s="250" t="n">
        <v>6.81</v>
      </c>
    </row>
    <row r="237" customFormat="false" ht="13.8" hidden="false" customHeight="false" outlineLevel="0" collapsed="false">
      <c r="A237" s="218"/>
      <c r="B237" s="251"/>
      <c r="C237" s="251"/>
      <c r="D237" s="251"/>
      <c r="E237" s="212" t="s">
        <v>2536</v>
      </c>
      <c r="F237" s="212" t="s">
        <v>2522</v>
      </c>
      <c r="G237" s="212" t="n">
        <v>63</v>
      </c>
      <c r="H237" s="212" t="s">
        <v>120</v>
      </c>
      <c r="I237" s="250" t="n">
        <v>164.37</v>
      </c>
    </row>
    <row r="238" customFormat="false" ht="13.8" hidden="false" customHeight="false" outlineLevel="0" collapsed="false">
      <c r="A238" s="218"/>
      <c r="B238" s="251"/>
      <c r="C238" s="251"/>
      <c r="D238" s="251"/>
      <c r="E238" s="212" t="s">
        <v>2541</v>
      </c>
      <c r="F238" s="212" t="s">
        <v>2522</v>
      </c>
      <c r="G238" s="212" t="n">
        <v>63</v>
      </c>
      <c r="H238" s="212" t="s">
        <v>120</v>
      </c>
      <c r="I238" s="250" t="n">
        <v>105.53</v>
      </c>
    </row>
    <row r="239" customFormat="false" ht="13.8" hidden="false" customHeight="false" outlineLevel="0" collapsed="false">
      <c r="A239" s="218"/>
      <c r="B239" s="251"/>
      <c r="C239" s="251"/>
      <c r="D239" s="251"/>
      <c r="E239" s="212" t="s">
        <v>2544</v>
      </c>
      <c r="F239" s="212" t="s">
        <v>2522</v>
      </c>
      <c r="G239" s="212" t="n">
        <v>63</v>
      </c>
      <c r="H239" s="212" t="s">
        <v>120</v>
      </c>
      <c r="I239" s="250" t="n">
        <v>27.19</v>
      </c>
    </row>
    <row r="240" customFormat="false" ht="13.8" hidden="false" customHeight="false" outlineLevel="0" collapsed="false">
      <c r="A240" s="218"/>
      <c r="B240" s="251"/>
      <c r="C240" s="251"/>
      <c r="D240" s="251"/>
      <c r="E240" s="212" t="s">
        <v>2548</v>
      </c>
      <c r="F240" s="212" t="s">
        <v>2522</v>
      </c>
      <c r="G240" s="212" t="n">
        <v>125</v>
      </c>
      <c r="H240" s="212" t="s">
        <v>120</v>
      </c>
      <c r="I240" s="250" t="n">
        <v>124.11</v>
      </c>
    </row>
    <row r="241" customFormat="false" ht="13.8" hidden="false" customHeight="false" outlineLevel="0" collapsed="false">
      <c r="A241" s="218"/>
      <c r="B241" s="251"/>
      <c r="C241" s="251"/>
      <c r="D241" s="251"/>
      <c r="E241" s="212" t="s">
        <v>2552</v>
      </c>
      <c r="F241" s="212" t="s">
        <v>2522</v>
      </c>
      <c r="G241" s="212" t="n">
        <v>110</v>
      </c>
      <c r="H241" s="212" t="s">
        <v>120</v>
      </c>
      <c r="I241" s="250" t="n">
        <v>47.55</v>
      </c>
    </row>
    <row r="242" customFormat="false" ht="13.8" hidden="false" customHeight="false" outlineLevel="0" collapsed="false">
      <c r="A242" s="218"/>
      <c r="B242" s="251"/>
      <c r="C242" s="251"/>
      <c r="D242" s="251"/>
      <c r="E242" s="212" t="s">
        <v>2557</v>
      </c>
      <c r="F242" s="212" t="s">
        <v>2522</v>
      </c>
      <c r="G242" s="212" t="n">
        <v>110</v>
      </c>
      <c r="H242" s="212" t="s">
        <v>120</v>
      </c>
      <c r="I242" s="250" t="n">
        <v>291.43</v>
      </c>
    </row>
    <row r="243" customFormat="false" ht="13.8" hidden="false" customHeight="false" outlineLevel="0" collapsed="false">
      <c r="A243" s="218"/>
      <c r="B243" s="251"/>
      <c r="C243" s="251"/>
      <c r="D243" s="251"/>
      <c r="E243" s="212" t="s">
        <v>2560</v>
      </c>
      <c r="F243" s="212" t="s">
        <v>2522</v>
      </c>
      <c r="G243" s="212" t="n">
        <v>110</v>
      </c>
      <c r="H243" s="212" t="s">
        <v>120</v>
      </c>
      <c r="I243" s="250" t="n">
        <v>61.15</v>
      </c>
    </row>
    <row r="244" customFormat="false" ht="13.8" hidden="false" customHeight="false" outlineLevel="0" collapsed="false">
      <c r="A244" s="218"/>
      <c r="B244" s="251"/>
      <c r="C244" s="251"/>
      <c r="D244" s="251"/>
      <c r="E244" s="212" t="s">
        <v>2564</v>
      </c>
      <c r="F244" s="212" t="s">
        <v>2522</v>
      </c>
      <c r="G244" s="212" t="n">
        <v>110</v>
      </c>
      <c r="H244" s="212" t="s">
        <v>120</v>
      </c>
      <c r="I244" s="250" t="n">
        <v>58.81</v>
      </c>
    </row>
    <row r="245" customFormat="false" ht="13.8" hidden="false" customHeight="false" outlineLevel="0" collapsed="false">
      <c r="A245" s="218"/>
      <c r="B245" s="251"/>
      <c r="C245" s="251"/>
      <c r="D245" s="251"/>
      <c r="E245" s="212" t="s">
        <v>2568</v>
      </c>
      <c r="F245" s="212" t="s">
        <v>2522</v>
      </c>
      <c r="G245" s="212" t="n">
        <v>160</v>
      </c>
      <c r="H245" s="212" t="s">
        <v>120</v>
      </c>
      <c r="I245" s="250" t="n">
        <v>78.86</v>
      </c>
    </row>
    <row r="246" customFormat="false" ht="13.8" hidden="false" customHeight="false" outlineLevel="0" collapsed="false">
      <c r="A246" s="218"/>
      <c r="B246" s="251"/>
      <c r="C246" s="251"/>
      <c r="D246" s="251"/>
      <c r="E246" s="212" t="s">
        <v>2572</v>
      </c>
      <c r="F246" s="212" t="s">
        <v>2522</v>
      </c>
      <c r="G246" s="212" t="n">
        <v>110</v>
      </c>
      <c r="H246" s="212" t="s">
        <v>120</v>
      </c>
      <c r="I246" s="250" t="n">
        <v>44.1</v>
      </c>
    </row>
    <row r="247" customFormat="false" ht="13.8" hidden="false" customHeight="false" outlineLevel="0" collapsed="false">
      <c r="A247" s="218"/>
      <c r="B247" s="251"/>
      <c r="C247" s="251"/>
      <c r="D247" s="251"/>
      <c r="E247" s="212" t="s">
        <v>2576</v>
      </c>
      <c r="F247" s="212" t="s">
        <v>2522</v>
      </c>
      <c r="G247" s="212" t="n">
        <v>110</v>
      </c>
      <c r="H247" s="212" t="s">
        <v>120</v>
      </c>
      <c r="I247" s="250" t="n">
        <v>50.91</v>
      </c>
    </row>
    <row r="248" customFormat="false" ht="13.8" hidden="false" customHeight="false" outlineLevel="0" collapsed="false">
      <c r="A248" s="218"/>
      <c r="B248" s="251"/>
      <c r="C248" s="251"/>
      <c r="D248" s="251"/>
      <c r="E248" s="212" t="s">
        <v>2580</v>
      </c>
      <c r="F248" s="212" t="s">
        <v>2522</v>
      </c>
      <c r="G248" s="212" t="n">
        <v>63</v>
      </c>
      <c r="H248" s="212" t="s">
        <v>120</v>
      </c>
      <c r="I248" s="250" t="n">
        <v>216.34</v>
      </c>
    </row>
    <row r="249" customFormat="false" ht="13.8" hidden="false" customHeight="false" outlineLevel="0" collapsed="false">
      <c r="A249" s="218"/>
      <c r="B249" s="251"/>
      <c r="C249" s="251"/>
      <c r="D249" s="251"/>
      <c r="E249" s="212" t="s">
        <v>2584</v>
      </c>
      <c r="F249" s="212" t="s">
        <v>2522</v>
      </c>
      <c r="G249" s="212" t="n">
        <v>63</v>
      </c>
      <c r="H249" s="212" t="s">
        <v>120</v>
      </c>
      <c r="I249" s="250" t="n">
        <v>122.67</v>
      </c>
    </row>
    <row r="250" customFormat="false" ht="13.8" hidden="false" customHeight="false" outlineLevel="0" collapsed="false">
      <c r="A250" s="218"/>
      <c r="B250" s="251"/>
      <c r="C250" s="251"/>
      <c r="D250" s="251"/>
      <c r="E250" s="212" t="s">
        <v>2588</v>
      </c>
      <c r="F250" s="212" t="s">
        <v>2522</v>
      </c>
      <c r="G250" s="212" t="n">
        <v>110</v>
      </c>
      <c r="H250" s="212" t="s">
        <v>120</v>
      </c>
      <c r="I250" s="250" t="n">
        <v>58.76</v>
      </c>
    </row>
    <row r="251" customFormat="false" ht="13.8" hidden="false" customHeight="false" outlineLevel="0" collapsed="false">
      <c r="A251" s="218"/>
      <c r="B251" s="251"/>
      <c r="C251" s="251"/>
      <c r="D251" s="251"/>
      <c r="E251" s="212" t="s">
        <v>2591</v>
      </c>
      <c r="F251" s="212" t="s">
        <v>2522</v>
      </c>
      <c r="G251" s="212" t="n">
        <v>160</v>
      </c>
      <c r="H251" s="212" t="s">
        <v>120</v>
      </c>
      <c r="I251" s="250" t="n">
        <v>54.6</v>
      </c>
    </row>
    <row r="252" customFormat="false" ht="13.8" hidden="false" customHeight="false" outlineLevel="0" collapsed="false">
      <c r="A252" s="218"/>
      <c r="B252" s="251"/>
      <c r="C252" s="251"/>
      <c r="D252" s="251"/>
      <c r="E252" s="212" t="s">
        <v>2595</v>
      </c>
      <c r="F252" s="212" t="s">
        <v>2522</v>
      </c>
      <c r="G252" s="212" t="n">
        <v>110</v>
      </c>
      <c r="H252" s="212" t="s">
        <v>120</v>
      </c>
      <c r="I252" s="250" t="n">
        <v>82.54</v>
      </c>
    </row>
    <row r="253" customFormat="false" ht="13.8" hidden="false" customHeight="false" outlineLevel="0" collapsed="false">
      <c r="A253" s="218"/>
      <c r="B253" s="251"/>
      <c r="C253" s="251"/>
      <c r="D253" s="251"/>
      <c r="E253" s="212" t="s">
        <v>2599</v>
      </c>
      <c r="F253" s="212" t="s">
        <v>2522</v>
      </c>
      <c r="G253" s="212" t="n">
        <v>110</v>
      </c>
      <c r="H253" s="212" t="s">
        <v>120</v>
      </c>
      <c r="I253" s="250" t="n">
        <v>125.97</v>
      </c>
    </row>
    <row r="254" customFormat="false" ht="13.8" hidden="false" customHeight="false" outlineLevel="0" collapsed="false">
      <c r="A254" s="218"/>
      <c r="B254" s="251"/>
      <c r="C254" s="251"/>
      <c r="D254" s="251"/>
      <c r="E254" s="212" t="s">
        <v>2603</v>
      </c>
      <c r="F254" s="212" t="s">
        <v>2522</v>
      </c>
      <c r="G254" s="212" t="n">
        <v>110</v>
      </c>
      <c r="H254" s="212" t="s">
        <v>120</v>
      </c>
      <c r="I254" s="250" t="n">
        <v>76.2</v>
      </c>
    </row>
    <row r="255" customFormat="false" ht="13.8" hidden="false" customHeight="false" outlineLevel="0" collapsed="false">
      <c r="A255" s="218"/>
      <c r="B255" s="251"/>
      <c r="C255" s="251"/>
      <c r="D255" s="251"/>
      <c r="E255" s="212" t="s">
        <v>2606</v>
      </c>
      <c r="F255" s="212" t="s">
        <v>2522</v>
      </c>
      <c r="G255" s="212" t="n">
        <v>110</v>
      </c>
      <c r="H255" s="212" t="s">
        <v>120</v>
      </c>
      <c r="I255" s="250" t="n">
        <v>25.15</v>
      </c>
    </row>
    <row r="256" customFormat="false" ht="13.8" hidden="false" customHeight="false" outlineLevel="0" collapsed="false">
      <c r="A256" s="218"/>
      <c r="B256" s="251"/>
      <c r="C256" s="251"/>
      <c r="D256" s="251"/>
      <c r="E256" s="212" t="s">
        <v>2610</v>
      </c>
      <c r="F256" s="212" t="s">
        <v>2522</v>
      </c>
      <c r="G256" s="212" t="n">
        <v>160</v>
      </c>
      <c r="H256" s="212" t="s">
        <v>120</v>
      </c>
      <c r="I256" s="250" t="n">
        <v>6.83</v>
      </c>
    </row>
    <row r="257" customFormat="false" ht="13.8" hidden="false" customHeight="false" outlineLevel="0" collapsed="false">
      <c r="A257" s="218"/>
      <c r="B257" s="251"/>
      <c r="C257" s="251"/>
      <c r="D257" s="251"/>
      <c r="E257" s="212" t="s">
        <v>2614</v>
      </c>
      <c r="F257" s="212" t="s">
        <v>2522</v>
      </c>
      <c r="G257" s="212" t="n">
        <v>110</v>
      </c>
      <c r="H257" s="212" t="s">
        <v>120</v>
      </c>
      <c r="I257" s="250" t="n">
        <v>144.14</v>
      </c>
    </row>
    <row r="258" customFormat="false" ht="13.8" hidden="false" customHeight="false" outlineLevel="0" collapsed="false">
      <c r="A258" s="218"/>
      <c r="B258" s="251"/>
      <c r="C258" s="251"/>
      <c r="D258" s="251"/>
      <c r="E258" s="212" t="s">
        <v>2619</v>
      </c>
      <c r="F258" s="212" t="s">
        <v>2522</v>
      </c>
      <c r="G258" s="212" t="n">
        <v>110</v>
      </c>
      <c r="H258" s="212" t="s">
        <v>120</v>
      </c>
      <c r="I258" s="250" t="n">
        <v>292.79</v>
      </c>
    </row>
    <row r="259" customFormat="false" ht="13.8" hidden="false" customHeight="false" outlineLevel="0" collapsed="false">
      <c r="A259" s="218"/>
      <c r="B259" s="251"/>
      <c r="C259" s="251"/>
      <c r="D259" s="251"/>
      <c r="E259" s="212" t="s">
        <v>2623</v>
      </c>
      <c r="F259" s="212" t="s">
        <v>2522</v>
      </c>
      <c r="G259" s="212" t="n">
        <v>160</v>
      </c>
      <c r="H259" s="212" t="s">
        <v>120</v>
      </c>
      <c r="I259" s="250" t="n">
        <v>24.84</v>
      </c>
    </row>
    <row r="260" customFormat="false" ht="13.8" hidden="false" customHeight="false" outlineLevel="0" collapsed="false">
      <c r="A260" s="218"/>
      <c r="B260" s="251"/>
      <c r="C260" s="251"/>
      <c r="D260" s="251"/>
      <c r="E260" s="212" t="s">
        <v>2626</v>
      </c>
      <c r="F260" s="212" t="s">
        <v>2522</v>
      </c>
      <c r="G260" s="212" t="n">
        <v>160</v>
      </c>
      <c r="H260" s="212" t="s">
        <v>120</v>
      </c>
      <c r="I260" s="250" t="n">
        <v>217.2</v>
      </c>
    </row>
    <row r="261" customFormat="false" ht="13.8" hidden="false" customHeight="false" outlineLevel="0" collapsed="false">
      <c r="A261" s="218"/>
      <c r="B261" s="251"/>
      <c r="C261" s="251"/>
      <c r="D261" s="251"/>
      <c r="E261" s="212" t="s">
        <v>2629</v>
      </c>
      <c r="F261" s="212" t="s">
        <v>2522</v>
      </c>
      <c r="G261" s="212" t="n">
        <v>63</v>
      </c>
      <c r="H261" s="212" t="s">
        <v>120</v>
      </c>
      <c r="I261" s="250" t="n">
        <v>46.87</v>
      </c>
    </row>
    <row r="262" customFormat="false" ht="13.8" hidden="false" customHeight="false" outlineLevel="0" collapsed="false">
      <c r="A262" s="218"/>
      <c r="B262" s="251"/>
      <c r="C262" s="251"/>
      <c r="D262" s="251"/>
      <c r="E262" s="212" t="s">
        <v>2634</v>
      </c>
      <c r="F262" s="212" t="s">
        <v>2522</v>
      </c>
      <c r="G262" s="212" t="n">
        <v>110</v>
      </c>
      <c r="H262" s="212" t="s">
        <v>120</v>
      </c>
      <c r="I262" s="250" t="n">
        <v>46.38</v>
      </c>
    </row>
    <row r="263" customFormat="false" ht="13.8" hidden="false" customHeight="false" outlineLevel="0" collapsed="false">
      <c r="A263" s="218"/>
      <c r="B263" s="251"/>
      <c r="C263" s="251"/>
      <c r="D263" s="251"/>
      <c r="E263" s="212" t="s">
        <v>2637</v>
      </c>
      <c r="F263" s="212" t="s">
        <v>2522</v>
      </c>
      <c r="G263" s="212" t="n">
        <v>110</v>
      </c>
      <c r="H263" s="212" t="s">
        <v>120</v>
      </c>
      <c r="I263" s="250" t="n">
        <v>32.7</v>
      </c>
    </row>
    <row r="264" customFormat="false" ht="13.8" hidden="false" customHeight="false" outlineLevel="0" collapsed="false">
      <c r="A264" s="218"/>
      <c r="B264" s="251"/>
      <c r="C264" s="251"/>
      <c r="D264" s="251"/>
      <c r="E264" s="212" t="s">
        <v>3179</v>
      </c>
      <c r="F264" s="212" t="s">
        <v>2966</v>
      </c>
      <c r="G264" s="212" t="n">
        <v>125</v>
      </c>
      <c r="H264" s="212" t="s">
        <v>120</v>
      </c>
      <c r="I264" s="250" t="n">
        <v>10.43</v>
      </c>
    </row>
    <row r="265" customFormat="false" ht="13.8" hidden="false" customHeight="false" outlineLevel="0" collapsed="false">
      <c r="A265" s="218"/>
      <c r="B265" s="251"/>
      <c r="C265" s="251"/>
      <c r="D265" s="251"/>
      <c r="E265" s="212" t="s">
        <v>3183</v>
      </c>
      <c r="F265" s="212" t="s">
        <v>2966</v>
      </c>
      <c r="G265" s="212" t="n">
        <v>63</v>
      </c>
      <c r="H265" s="212" t="s">
        <v>120</v>
      </c>
      <c r="I265" s="250" t="n">
        <v>125.08</v>
      </c>
    </row>
    <row r="266" customFormat="false" ht="13.8" hidden="false" customHeight="false" outlineLevel="0" collapsed="false">
      <c r="A266" s="218"/>
      <c r="B266" s="251"/>
      <c r="C266" s="251"/>
      <c r="D266" s="251"/>
      <c r="E266" s="212" t="s">
        <v>3189</v>
      </c>
      <c r="F266" s="212" t="s">
        <v>2966</v>
      </c>
      <c r="G266" s="212" t="n">
        <v>63</v>
      </c>
      <c r="H266" s="212" t="s">
        <v>120</v>
      </c>
      <c r="I266" s="250" t="n">
        <v>44.19</v>
      </c>
    </row>
    <row r="267" customFormat="false" ht="13.8" hidden="false" customHeight="false" outlineLevel="0" collapsed="false">
      <c r="A267" s="218"/>
      <c r="B267" s="251"/>
      <c r="C267" s="251"/>
      <c r="D267" s="251"/>
      <c r="E267" s="212" t="s">
        <v>3194</v>
      </c>
      <c r="F267" s="212" t="s">
        <v>2966</v>
      </c>
      <c r="G267" s="212" t="n">
        <v>160</v>
      </c>
      <c r="H267" s="212" t="s">
        <v>120</v>
      </c>
      <c r="I267" s="250" t="n">
        <v>56.69</v>
      </c>
    </row>
    <row r="268" customFormat="false" ht="13.8" hidden="false" customHeight="false" outlineLevel="0" collapsed="false">
      <c r="A268" s="218"/>
      <c r="B268" s="251"/>
      <c r="C268" s="251"/>
      <c r="D268" s="251"/>
      <c r="E268" s="212" t="s">
        <v>3199</v>
      </c>
      <c r="F268" s="212" t="s">
        <v>2966</v>
      </c>
      <c r="G268" s="212" t="n">
        <v>125</v>
      </c>
      <c r="H268" s="212" t="s">
        <v>120</v>
      </c>
      <c r="I268" s="250" t="n">
        <v>45.36</v>
      </c>
    </row>
    <row r="269" customFormat="false" ht="13.8" hidden="false" customHeight="false" outlineLevel="0" collapsed="false">
      <c r="A269" s="218"/>
      <c r="B269" s="251"/>
      <c r="C269" s="251"/>
      <c r="D269" s="251"/>
      <c r="E269" s="212" t="s">
        <v>3201</v>
      </c>
      <c r="F269" s="212" t="s">
        <v>2966</v>
      </c>
      <c r="G269" s="212" t="n">
        <v>110</v>
      </c>
      <c r="H269" s="212" t="s">
        <v>120</v>
      </c>
      <c r="I269" s="250" t="n">
        <v>111.17</v>
      </c>
    </row>
    <row r="270" customFormat="false" ht="13.8" hidden="false" customHeight="false" outlineLevel="0" collapsed="false">
      <c r="A270" s="218"/>
      <c r="B270" s="251"/>
      <c r="C270" s="251"/>
      <c r="D270" s="251"/>
      <c r="E270" s="212" t="s">
        <v>3206</v>
      </c>
      <c r="F270" s="212" t="s">
        <v>2966</v>
      </c>
      <c r="G270" s="212" t="n">
        <v>63</v>
      </c>
      <c r="H270" s="212" t="s">
        <v>120</v>
      </c>
      <c r="I270" s="250" t="n">
        <v>36.15</v>
      </c>
    </row>
    <row r="271" customFormat="false" ht="13.8" hidden="false" customHeight="false" outlineLevel="0" collapsed="false">
      <c r="A271" s="218"/>
      <c r="B271" s="251"/>
      <c r="C271" s="251"/>
      <c r="D271" s="251"/>
      <c r="E271" s="212" t="s">
        <v>3210</v>
      </c>
      <c r="F271" s="212" t="s">
        <v>2966</v>
      </c>
      <c r="G271" s="212" t="n">
        <v>63</v>
      </c>
      <c r="H271" s="212" t="s">
        <v>120</v>
      </c>
      <c r="I271" s="250" t="n">
        <v>63.51</v>
      </c>
    </row>
    <row r="272" customFormat="false" ht="13.8" hidden="false" customHeight="false" outlineLevel="0" collapsed="false">
      <c r="A272" s="218"/>
      <c r="B272" s="251"/>
      <c r="C272" s="251"/>
      <c r="D272" s="251"/>
      <c r="E272" s="212" t="s">
        <v>3213</v>
      </c>
      <c r="F272" s="212" t="s">
        <v>2966</v>
      </c>
      <c r="G272" s="212" t="n">
        <v>160</v>
      </c>
      <c r="H272" s="212" t="s">
        <v>120</v>
      </c>
      <c r="I272" s="250" t="n">
        <v>48.02</v>
      </c>
    </row>
    <row r="273" customFormat="false" ht="13.8" hidden="false" customHeight="false" outlineLevel="0" collapsed="false">
      <c r="A273" s="218"/>
      <c r="B273" s="251"/>
      <c r="C273" s="251"/>
      <c r="D273" s="251"/>
      <c r="E273" s="212" t="s">
        <v>3217</v>
      </c>
      <c r="F273" s="212" t="s">
        <v>2966</v>
      </c>
      <c r="G273" s="212" t="n">
        <v>63</v>
      </c>
      <c r="H273" s="212" t="s">
        <v>120</v>
      </c>
      <c r="I273" s="250" t="n">
        <v>58.82</v>
      </c>
    </row>
    <row r="274" customFormat="false" ht="13.8" hidden="false" customHeight="false" outlineLevel="0" collapsed="false">
      <c r="A274" s="218"/>
      <c r="B274" s="251"/>
      <c r="C274" s="251"/>
      <c r="D274" s="251"/>
      <c r="E274" s="212" t="s">
        <v>3220</v>
      </c>
      <c r="F274" s="212" t="s">
        <v>2966</v>
      </c>
      <c r="G274" s="212" t="n">
        <v>63</v>
      </c>
      <c r="H274" s="212" t="s">
        <v>120</v>
      </c>
      <c r="I274" s="250" t="n">
        <v>149.04</v>
      </c>
    </row>
    <row r="275" customFormat="false" ht="13.8" hidden="false" customHeight="false" outlineLevel="0" collapsed="false">
      <c r="A275" s="218"/>
      <c r="B275" s="251"/>
      <c r="C275" s="251"/>
      <c r="D275" s="251"/>
      <c r="E275" s="212" t="s">
        <v>3224</v>
      </c>
      <c r="F275" s="212" t="s">
        <v>2966</v>
      </c>
      <c r="G275" s="212" t="n">
        <v>63</v>
      </c>
      <c r="H275" s="212" t="s">
        <v>120</v>
      </c>
      <c r="I275" s="250" t="n">
        <v>61.89</v>
      </c>
    </row>
    <row r="276" customFormat="false" ht="13.8" hidden="false" customHeight="false" outlineLevel="0" collapsed="false">
      <c r="A276" s="218"/>
      <c r="B276" s="251"/>
      <c r="C276" s="251"/>
      <c r="D276" s="251"/>
      <c r="E276" s="212" t="s">
        <v>3228</v>
      </c>
      <c r="F276" s="212" t="s">
        <v>2966</v>
      </c>
      <c r="G276" s="212" t="n">
        <v>125</v>
      </c>
      <c r="H276" s="212" t="s">
        <v>120</v>
      </c>
      <c r="I276" s="250" t="n">
        <v>50.97</v>
      </c>
    </row>
    <row r="277" customFormat="false" ht="13.8" hidden="false" customHeight="false" outlineLevel="0" collapsed="false">
      <c r="A277" s="218"/>
      <c r="B277" s="251"/>
      <c r="C277" s="251"/>
      <c r="D277" s="251"/>
      <c r="E277" s="212" t="s">
        <v>3232</v>
      </c>
      <c r="F277" s="212" t="s">
        <v>2966</v>
      </c>
      <c r="G277" s="212" t="n">
        <v>160</v>
      </c>
      <c r="H277" s="212" t="s">
        <v>120</v>
      </c>
      <c r="I277" s="250" t="n">
        <v>211.04</v>
      </c>
    </row>
    <row r="278" customFormat="false" ht="13.8" hidden="false" customHeight="false" outlineLevel="0" collapsed="false">
      <c r="A278" s="218"/>
      <c r="B278" s="251"/>
      <c r="C278" s="251"/>
      <c r="D278" s="251"/>
      <c r="E278" s="212" t="s">
        <v>3236</v>
      </c>
      <c r="F278" s="212" t="s">
        <v>2966</v>
      </c>
      <c r="G278" s="212" t="n">
        <v>63</v>
      </c>
      <c r="H278" s="212" t="s">
        <v>120</v>
      </c>
      <c r="I278" s="250" t="n">
        <v>53.9</v>
      </c>
    </row>
    <row r="279" customFormat="false" ht="13.8" hidden="false" customHeight="false" outlineLevel="0" collapsed="false">
      <c r="A279" s="218"/>
      <c r="B279" s="251"/>
      <c r="C279" s="251"/>
      <c r="D279" s="251"/>
      <c r="E279" s="212" t="s">
        <v>3241</v>
      </c>
      <c r="F279" s="212" t="s">
        <v>2966</v>
      </c>
      <c r="G279" s="212" t="n">
        <v>90</v>
      </c>
      <c r="H279" s="212" t="s">
        <v>120</v>
      </c>
      <c r="I279" s="250" t="n">
        <v>15.8</v>
      </c>
    </row>
    <row r="280" customFormat="false" ht="13.8" hidden="false" customHeight="false" outlineLevel="0" collapsed="false">
      <c r="A280" s="218"/>
      <c r="B280" s="251"/>
      <c r="C280" s="251"/>
      <c r="D280" s="251"/>
      <c r="E280" s="212" t="s">
        <v>3244</v>
      </c>
      <c r="F280" s="212" t="s">
        <v>2966</v>
      </c>
      <c r="G280" s="212" t="n">
        <v>63</v>
      </c>
      <c r="H280" s="212" t="s">
        <v>120</v>
      </c>
      <c r="I280" s="250" t="n">
        <v>5.79</v>
      </c>
    </row>
    <row r="281" customFormat="false" ht="13.8" hidden="false" customHeight="false" outlineLevel="0" collapsed="false">
      <c r="A281" s="218"/>
      <c r="B281" s="251"/>
      <c r="C281" s="251"/>
      <c r="D281" s="251"/>
      <c r="E281" s="212" t="s">
        <v>3246</v>
      </c>
      <c r="F281" s="212" t="s">
        <v>2966</v>
      </c>
      <c r="G281" s="212" t="n">
        <v>63</v>
      </c>
      <c r="H281" s="212" t="s">
        <v>120</v>
      </c>
      <c r="I281" s="250" t="n">
        <v>186.49</v>
      </c>
    </row>
    <row r="282" customFormat="false" ht="13.8" hidden="false" customHeight="false" outlineLevel="0" collapsed="false">
      <c r="A282" s="218"/>
      <c r="B282" s="251"/>
      <c r="C282" s="251"/>
      <c r="D282" s="251"/>
      <c r="E282" s="212" t="s">
        <v>3250</v>
      </c>
      <c r="F282" s="212" t="s">
        <v>2966</v>
      </c>
      <c r="G282" s="212" t="n">
        <v>125</v>
      </c>
      <c r="H282" s="212" t="s">
        <v>120</v>
      </c>
      <c r="I282" s="250" t="n">
        <v>5.71</v>
      </c>
    </row>
    <row r="283" customFormat="false" ht="13.8" hidden="false" customHeight="false" outlineLevel="0" collapsed="false">
      <c r="A283" s="218"/>
      <c r="B283" s="251"/>
      <c r="C283" s="251"/>
      <c r="D283" s="251"/>
      <c r="E283" s="212" t="s">
        <v>3254</v>
      </c>
      <c r="F283" s="212" t="s">
        <v>2966</v>
      </c>
      <c r="G283" s="212" t="n">
        <v>160</v>
      </c>
      <c r="H283" s="212" t="s">
        <v>120</v>
      </c>
      <c r="I283" s="250" t="n">
        <v>72.98</v>
      </c>
    </row>
    <row r="284" customFormat="false" ht="13.8" hidden="false" customHeight="false" outlineLevel="0" collapsed="false">
      <c r="A284" s="218"/>
      <c r="B284" s="251"/>
      <c r="C284" s="251"/>
      <c r="D284" s="251"/>
      <c r="E284" s="212" t="s">
        <v>3258</v>
      </c>
      <c r="F284" s="212" t="s">
        <v>2966</v>
      </c>
      <c r="G284" s="212" t="n">
        <v>63</v>
      </c>
      <c r="H284" s="212" t="s">
        <v>120</v>
      </c>
      <c r="I284" s="250" t="n">
        <v>106.5</v>
      </c>
    </row>
    <row r="285" customFormat="false" ht="13.8" hidden="false" customHeight="false" outlineLevel="0" collapsed="false">
      <c r="A285" s="218"/>
      <c r="B285" s="251"/>
      <c r="C285" s="251"/>
      <c r="D285" s="251"/>
      <c r="E285" s="212" t="s">
        <v>3263</v>
      </c>
      <c r="F285" s="212" t="s">
        <v>2966</v>
      </c>
      <c r="G285" s="212" t="n">
        <v>63</v>
      </c>
      <c r="H285" s="212" t="s">
        <v>120</v>
      </c>
      <c r="I285" s="250" t="n">
        <v>93.64</v>
      </c>
    </row>
    <row r="286" customFormat="false" ht="13.8" hidden="false" customHeight="false" outlineLevel="0" collapsed="false">
      <c r="A286" s="218"/>
      <c r="B286" s="251"/>
      <c r="C286" s="251"/>
      <c r="D286" s="251"/>
      <c r="E286" s="212" t="s">
        <v>3267</v>
      </c>
      <c r="F286" s="212" t="s">
        <v>2966</v>
      </c>
      <c r="G286" s="212" t="n">
        <v>63</v>
      </c>
      <c r="H286" s="212" t="s">
        <v>120</v>
      </c>
      <c r="I286" s="250" t="n">
        <v>60.33</v>
      </c>
    </row>
    <row r="287" customFormat="false" ht="13.8" hidden="false" customHeight="false" outlineLevel="0" collapsed="false">
      <c r="A287" s="218"/>
      <c r="B287" s="251"/>
      <c r="C287" s="251"/>
      <c r="D287" s="251"/>
      <c r="E287" s="212" t="s">
        <v>3271</v>
      </c>
      <c r="F287" s="212" t="s">
        <v>2966</v>
      </c>
      <c r="G287" s="212" t="n">
        <v>63</v>
      </c>
      <c r="H287" s="212" t="s">
        <v>120</v>
      </c>
      <c r="I287" s="250" t="n">
        <v>268.53</v>
      </c>
    </row>
    <row r="288" customFormat="false" ht="13.8" hidden="false" customHeight="false" outlineLevel="0" collapsed="false">
      <c r="A288" s="218"/>
      <c r="B288" s="251"/>
      <c r="C288" s="251"/>
      <c r="D288" s="251"/>
      <c r="E288" s="212" t="s">
        <v>3276</v>
      </c>
      <c r="F288" s="212" t="s">
        <v>2966</v>
      </c>
      <c r="G288" s="212" t="n">
        <v>125</v>
      </c>
      <c r="H288" s="212" t="s">
        <v>120</v>
      </c>
      <c r="I288" s="250" t="n">
        <v>184.97</v>
      </c>
    </row>
    <row r="289" customFormat="false" ht="13.8" hidden="false" customHeight="false" outlineLevel="0" collapsed="false">
      <c r="A289" s="218"/>
      <c r="B289" s="251"/>
      <c r="C289" s="251"/>
      <c r="D289" s="251"/>
      <c r="E289" s="212" t="s">
        <v>3280</v>
      </c>
      <c r="F289" s="212" t="s">
        <v>2966</v>
      </c>
      <c r="G289" s="212" t="n">
        <v>125</v>
      </c>
      <c r="H289" s="212" t="s">
        <v>120</v>
      </c>
      <c r="I289" s="250" t="n">
        <v>77.33</v>
      </c>
    </row>
    <row r="290" customFormat="false" ht="13.8" hidden="false" customHeight="false" outlineLevel="0" collapsed="false">
      <c r="A290" s="218"/>
      <c r="B290" s="251"/>
      <c r="C290" s="251"/>
      <c r="D290" s="251"/>
      <c r="E290" s="212" t="s">
        <v>3284</v>
      </c>
      <c r="F290" s="212" t="s">
        <v>2966</v>
      </c>
      <c r="G290" s="212" t="n">
        <v>160</v>
      </c>
      <c r="H290" s="212" t="s">
        <v>120</v>
      </c>
      <c r="I290" s="250" t="n">
        <v>27.04</v>
      </c>
    </row>
    <row r="291" customFormat="false" ht="13.8" hidden="false" customHeight="false" outlineLevel="0" collapsed="false">
      <c r="A291" s="218"/>
      <c r="B291" s="251"/>
      <c r="C291" s="251"/>
      <c r="D291" s="251"/>
      <c r="E291" s="212" t="s">
        <v>3288</v>
      </c>
      <c r="F291" s="212" t="s">
        <v>2966</v>
      </c>
      <c r="G291" s="212" t="n">
        <v>160</v>
      </c>
      <c r="H291" s="212" t="s">
        <v>120</v>
      </c>
      <c r="I291" s="250" t="n">
        <v>4.7</v>
      </c>
    </row>
    <row r="292" customFormat="false" ht="13.8" hidden="false" customHeight="false" outlineLevel="0" collapsed="false">
      <c r="A292" s="218"/>
      <c r="B292" s="251"/>
      <c r="C292" s="251"/>
      <c r="D292" s="251"/>
      <c r="E292" s="212" t="s">
        <v>3291</v>
      </c>
      <c r="F292" s="212" t="s">
        <v>2966</v>
      </c>
      <c r="G292" s="212" t="n">
        <v>160</v>
      </c>
      <c r="H292" s="212" t="s">
        <v>120</v>
      </c>
      <c r="I292" s="250" t="n">
        <v>2.05</v>
      </c>
    </row>
    <row r="293" customFormat="false" ht="13.8" hidden="false" customHeight="false" outlineLevel="0" collapsed="false">
      <c r="A293" s="218"/>
      <c r="B293" s="251"/>
      <c r="C293" s="251"/>
      <c r="D293" s="251"/>
      <c r="E293" s="212" t="s">
        <v>3293</v>
      </c>
      <c r="F293" s="212" t="s">
        <v>2966</v>
      </c>
      <c r="G293" s="212" t="n">
        <v>225</v>
      </c>
      <c r="H293" s="212" t="s">
        <v>120</v>
      </c>
      <c r="I293" s="250" t="n">
        <v>5.57</v>
      </c>
    </row>
    <row r="294" customFormat="false" ht="13.8" hidden="false" customHeight="false" outlineLevel="0" collapsed="false">
      <c r="A294" s="218"/>
      <c r="B294" s="251"/>
      <c r="C294" s="251"/>
      <c r="D294" s="251"/>
      <c r="E294" s="212" t="s">
        <v>3297</v>
      </c>
      <c r="F294" s="212" t="s">
        <v>2966</v>
      </c>
      <c r="G294" s="212" t="n">
        <v>63</v>
      </c>
      <c r="H294" s="212" t="s">
        <v>120</v>
      </c>
      <c r="I294" s="250" t="n">
        <v>117.53</v>
      </c>
    </row>
    <row r="295" customFormat="false" ht="13.8" hidden="false" customHeight="false" outlineLevel="0" collapsed="false">
      <c r="A295" s="218"/>
      <c r="B295" s="251"/>
      <c r="C295" s="251"/>
      <c r="D295" s="251"/>
      <c r="E295" s="212" t="s">
        <v>3302</v>
      </c>
      <c r="F295" s="212" t="s">
        <v>2966</v>
      </c>
      <c r="G295" s="212" t="n">
        <v>63</v>
      </c>
      <c r="H295" s="212" t="s">
        <v>120</v>
      </c>
      <c r="I295" s="250" t="n">
        <v>98.14</v>
      </c>
    </row>
    <row r="296" customFormat="false" ht="13.8" hidden="false" customHeight="false" outlineLevel="0" collapsed="false">
      <c r="A296" s="218"/>
      <c r="B296" s="251"/>
      <c r="C296" s="251"/>
      <c r="D296" s="251"/>
      <c r="E296" s="212" t="s">
        <v>3306</v>
      </c>
      <c r="F296" s="212" t="s">
        <v>2966</v>
      </c>
      <c r="G296" s="212" t="n">
        <v>63</v>
      </c>
      <c r="H296" s="212" t="s">
        <v>120</v>
      </c>
      <c r="I296" s="250" t="n">
        <v>104.76</v>
      </c>
    </row>
    <row r="297" customFormat="false" ht="13.8" hidden="false" customHeight="false" outlineLevel="0" collapsed="false">
      <c r="A297" s="218"/>
      <c r="B297" s="251"/>
      <c r="C297" s="251"/>
      <c r="D297" s="251"/>
      <c r="E297" s="212" t="s">
        <v>3310</v>
      </c>
      <c r="F297" s="212" t="s">
        <v>2966</v>
      </c>
      <c r="G297" s="212" t="n">
        <v>125</v>
      </c>
      <c r="H297" s="212" t="s">
        <v>120</v>
      </c>
      <c r="I297" s="250" t="n">
        <v>28.23</v>
      </c>
    </row>
    <row r="298" customFormat="false" ht="13.8" hidden="false" customHeight="false" outlineLevel="0" collapsed="false">
      <c r="A298" s="218"/>
      <c r="B298" s="251"/>
      <c r="C298" s="251"/>
      <c r="D298" s="251"/>
      <c r="E298" s="212" t="s">
        <v>3314</v>
      </c>
      <c r="F298" s="212" t="s">
        <v>2966</v>
      </c>
      <c r="G298" s="212" t="n">
        <v>125</v>
      </c>
      <c r="H298" s="212" t="s">
        <v>120</v>
      </c>
      <c r="I298" s="250" t="n">
        <v>137.16</v>
      </c>
    </row>
    <row r="299" customFormat="false" ht="13.8" hidden="false" customHeight="false" outlineLevel="0" collapsed="false">
      <c r="A299" s="218"/>
      <c r="B299" s="251"/>
      <c r="C299" s="251"/>
      <c r="D299" s="251"/>
      <c r="E299" s="212" t="s">
        <v>3317</v>
      </c>
      <c r="F299" s="212" t="s">
        <v>2966</v>
      </c>
      <c r="G299" s="212" t="n">
        <v>90</v>
      </c>
      <c r="H299" s="212" t="s">
        <v>120</v>
      </c>
      <c r="I299" s="250" t="n">
        <v>18.94</v>
      </c>
    </row>
    <row r="300" customFormat="false" ht="13.8" hidden="false" customHeight="false" outlineLevel="0" collapsed="false">
      <c r="A300" s="218"/>
      <c r="B300" s="251"/>
      <c r="C300" s="251"/>
      <c r="D300" s="251"/>
      <c r="E300" s="212" t="s">
        <v>3320</v>
      </c>
      <c r="F300" s="212" t="s">
        <v>2966</v>
      </c>
      <c r="G300" s="212" t="n">
        <v>225</v>
      </c>
      <c r="H300" s="212" t="s">
        <v>120</v>
      </c>
      <c r="I300" s="250" t="n">
        <v>131.53</v>
      </c>
    </row>
    <row r="301" customFormat="false" ht="13.8" hidden="false" customHeight="false" outlineLevel="0" collapsed="false">
      <c r="A301" s="218"/>
      <c r="B301" s="251"/>
      <c r="C301" s="251"/>
      <c r="D301" s="251"/>
      <c r="E301" s="212" t="s">
        <v>3323</v>
      </c>
      <c r="F301" s="212" t="s">
        <v>2966</v>
      </c>
      <c r="G301" s="212" t="n">
        <v>63</v>
      </c>
      <c r="H301" s="212" t="s">
        <v>120</v>
      </c>
      <c r="I301" s="250" t="n">
        <v>58.73</v>
      </c>
    </row>
    <row r="302" customFormat="false" ht="13.8" hidden="false" customHeight="false" outlineLevel="0" collapsed="false">
      <c r="A302" s="218"/>
      <c r="B302" s="251"/>
      <c r="C302" s="251"/>
      <c r="D302" s="251"/>
      <c r="E302" s="212" t="s">
        <v>3327</v>
      </c>
      <c r="F302" s="212" t="s">
        <v>2966</v>
      </c>
      <c r="G302" s="212" t="n">
        <v>63</v>
      </c>
      <c r="H302" s="212" t="s">
        <v>120</v>
      </c>
      <c r="I302" s="250" t="n">
        <v>3.45</v>
      </c>
    </row>
    <row r="303" customFormat="false" ht="13.8" hidden="false" customHeight="false" outlineLevel="0" collapsed="false">
      <c r="A303" s="218"/>
      <c r="B303" s="251"/>
      <c r="C303" s="251"/>
      <c r="D303" s="251"/>
      <c r="E303" s="212" t="s">
        <v>3330</v>
      </c>
      <c r="F303" s="212" t="s">
        <v>2966</v>
      </c>
      <c r="G303" s="212" t="n">
        <v>63</v>
      </c>
      <c r="H303" s="212" t="s">
        <v>120</v>
      </c>
      <c r="I303" s="250" t="n">
        <v>30.79</v>
      </c>
    </row>
    <row r="304" customFormat="false" ht="13.8" hidden="false" customHeight="false" outlineLevel="0" collapsed="false">
      <c r="A304" s="218"/>
      <c r="B304" s="251"/>
      <c r="C304" s="251"/>
      <c r="D304" s="251"/>
      <c r="E304" s="212" t="s">
        <v>3334</v>
      </c>
      <c r="F304" s="212" t="s">
        <v>2966</v>
      </c>
      <c r="G304" s="212" t="n">
        <v>225</v>
      </c>
      <c r="H304" s="212" t="s">
        <v>120</v>
      </c>
      <c r="I304" s="250" t="n">
        <v>4.9</v>
      </c>
    </row>
    <row r="305" customFormat="false" ht="13.8" hidden="false" customHeight="false" outlineLevel="0" collapsed="false">
      <c r="A305" s="218"/>
      <c r="B305" s="252"/>
      <c r="C305" s="252"/>
      <c r="D305" s="252"/>
      <c r="E305" s="212" t="s">
        <v>3337</v>
      </c>
      <c r="F305" s="212" t="s">
        <v>2966</v>
      </c>
      <c r="G305" s="212" t="n">
        <v>250</v>
      </c>
      <c r="H305" s="212" t="s">
        <v>120</v>
      </c>
      <c r="I305" s="250" t="n">
        <v>2.03</v>
      </c>
    </row>
    <row r="306" customFormat="false" ht="13.8" hidden="false" customHeight="false" outlineLevel="0" collapsed="false">
      <c r="A306" s="218"/>
      <c r="B306" s="249" t="s">
        <v>7034</v>
      </c>
      <c r="C306" s="249" t="s">
        <v>117</v>
      </c>
      <c r="D306" s="249" t="s">
        <v>1548</v>
      </c>
      <c r="E306" s="212" t="s">
        <v>2642</v>
      </c>
      <c r="F306" s="212" t="s">
        <v>2522</v>
      </c>
      <c r="G306" s="212" t="n">
        <v>63</v>
      </c>
      <c r="H306" s="212" t="s">
        <v>120</v>
      </c>
      <c r="I306" s="250" t="n">
        <v>1.31</v>
      </c>
    </row>
    <row r="307" customFormat="false" ht="13.8" hidden="false" customHeight="false" outlineLevel="0" collapsed="false">
      <c r="A307" s="218"/>
      <c r="B307" s="251"/>
      <c r="C307" s="251"/>
      <c r="D307" s="251"/>
      <c r="E307" s="212" t="s">
        <v>2649</v>
      </c>
      <c r="F307" s="212" t="s">
        <v>2522</v>
      </c>
      <c r="G307" s="212" t="n">
        <v>63</v>
      </c>
      <c r="H307" s="212" t="s">
        <v>120</v>
      </c>
      <c r="I307" s="250" t="n">
        <v>161.66</v>
      </c>
    </row>
    <row r="308" customFormat="false" ht="13.8" hidden="false" customHeight="false" outlineLevel="0" collapsed="false">
      <c r="A308" s="218"/>
      <c r="B308" s="251"/>
      <c r="C308" s="251"/>
      <c r="D308" s="251"/>
      <c r="E308" s="212" t="s">
        <v>2652</v>
      </c>
      <c r="F308" s="212" t="s">
        <v>2522</v>
      </c>
      <c r="G308" s="212" t="n">
        <v>63</v>
      </c>
      <c r="H308" s="212" t="s">
        <v>120</v>
      </c>
      <c r="I308" s="250" t="n">
        <v>125.95</v>
      </c>
    </row>
    <row r="309" customFormat="false" ht="13.8" hidden="false" customHeight="false" outlineLevel="0" collapsed="false">
      <c r="A309" s="218"/>
      <c r="B309" s="251"/>
      <c r="C309" s="251"/>
      <c r="D309" s="251"/>
      <c r="E309" s="212" t="s">
        <v>2655</v>
      </c>
      <c r="F309" s="212" t="s">
        <v>2522</v>
      </c>
      <c r="G309" s="212" t="n">
        <v>63</v>
      </c>
      <c r="H309" s="212" t="s">
        <v>120</v>
      </c>
      <c r="I309" s="250" t="n">
        <v>38.49</v>
      </c>
    </row>
    <row r="310" customFormat="false" ht="13.8" hidden="false" customHeight="false" outlineLevel="0" collapsed="false">
      <c r="A310" s="218"/>
      <c r="B310" s="251"/>
      <c r="C310" s="251"/>
      <c r="D310" s="251"/>
      <c r="E310" s="212" t="s">
        <v>2659</v>
      </c>
      <c r="F310" s="212" t="s">
        <v>2522</v>
      </c>
      <c r="G310" s="212" t="n">
        <v>63</v>
      </c>
      <c r="H310" s="212" t="s">
        <v>120</v>
      </c>
      <c r="I310" s="250" t="n">
        <v>84.64</v>
      </c>
    </row>
    <row r="311" customFormat="false" ht="13.8" hidden="false" customHeight="false" outlineLevel="0" collapsed="false">
      <c r="A311" s="218"/>
      <c r="B311" s="251"/>
      <c r="C311" s="251"/>
      <c r="D311" s="251"/>
      <c r="E311" s="212" t="s">
        <v>2663</v>
      </c>
      <c r="F311" s="212" t="s">
        <v>2522</v>
      </c>
      <c r="G311" s="212" t="n">
        <v>63</v>
      </c>
      <c r="H311" s="212" t="s">
        <v>120</v>
      </c>
      <c r="I311" s="250" t="n">
        <v>86.24</v>
      </c>
    </row>
    <row r="312" customFormat="false" ht="13.8" hidden="false" customHeight="false" outlineLevel="0" collapsed="false">
      <c r="A312" s="218"/>
      <c r="B312" s="251"/>
      <c r="C312" s="251"/>
      <c r="D312" s="251"/>
      <c r="E312" s="212" t="s">
        <v>2666</v>
      </c>
      <c r="F312" s="212" t="s">
        <v>2522</v>
      </c>
      <c r="G312" s="212" t="n">
        <v>63</v>
      </c>
      <c r="H312" s="212" t="s">
        <v>120</v>
      </c>
      <c r="I312" s="250" t="n">
        <v>44.65</v>
      </c>
    </row>
    <row r="313" customFormat="false" ht="13.8" hidden="false" customHeight="false" outlineLevel="0" collapsed="false">
      <c r="A313" s="218"/>
      <c r="B313" s="251"/>
      <c r="C313" s="251"/>
      <c r="D313" s="251"/>
      <c r="E313" s="212" t="s">
        <v>2670</v>
      </c>
      <c r="F313" s="212" t="s">
        <v>2522</v>
      </c>
      <c r="G313" s="212" t="n">
        <v>63</v>
      </c>
      <c r="H313" s="212" t="s">
        <v>120</v>
      </c>
      <c r="I313" s="250" t="n">
        <v>37.69</v>
      </c>
    </row>
    <row r="314" customFormat="false" ht="13.8" hidden="false" customHeight="false" outlineLevel="0" collapsed="false">
      <c r="A314" s="218"/>
      <c r="B314" s="251"/>
      <c r="C314" s="251"/>
      <c r="D314" s="251"/>
      <c r="E314" s="212" t="s">
        <v>2674</v>
      </c>
      <c r="F314" s="212" t="s">
        <v>2522</v>
      </c>
      <c r="G314" s="212" t="n">
        <v>63</v>
      </c>
      <c r="H314" s="212" t="s">
        <v>120</v>
      </c>
      <c r="I314" s="250" t="n">
        <v>15.75</v>
      </c>
    </row>
    <row r="315" customFormat="false" ht="13.8" hidden="false" customHeight="false" outlineLevel="0" collapsed="false">
      <c r="A315" s="218"/>
      <c r="B315" s="251"/>
      <c r="C315" s="251"/>
      <c r="D315" s="251"/>
      <c r="E315" s="212" t="s">
        <v>2678</v>
      </c>
      <c r="F315" s="212" t="s">
        <v>2522</v>
      </c>
      <c r="G315" s="212" t="n">
        <v>63</v>
      </c>
      <c r="H315" s="212" t="s">
        <v>120</v>
      </c>
      <c r="I315" s="250" t="n">
        <v>11.74</v>
      </c>
    </row>
    <row r="316" customFormat="false" ht="13.8" hidden="false" customHeight="false" outlineLevel="0" collapsed="false">
      <c r="A316" s="218"/>
      <c r="B316" s="251"/>
      <c r="C316" s="251"/>
      <c r="D316" s="251"/>
      <c r="E316" s="212" t="s">
        <v>2682</v>
      </c>
      <c r="F316" s="212" t="s">
        <v>2522</v>
      </c>
      <c r="G316" s="212" t="n">
        <v>63</v>
      </c>
      <c r="H316" s="212" t="s">
        <v>120</v>
      </c>
      <c r="I316" s="250" t="n">
        <v>33.25</v>
      </c>
    </row>
    <row r="317" customFormat="false" ht="13.8" hidden="false" customHeight="false" outlineLevel="0" collapsed="false">
      <c r="A317" s="218"/>
      <c r="B317" s="251"/>
      <c r="C317" s="251"/>
      <c r="D317" s="251"/>
      <c r="E317" s="212" t="s">
        <v>2686</v>
      </c>
      <c r="F317" s="212" t="s">
        <v>2522</v>
      </c>
      <c r="G317" s="212" t="n">
        <v>63</v>
      </c>
      <c r="H317" s="212" t="s">
        <v>120</v>
      </c>
      <c r="I317" s="250" t="n">
        <v>39.54</v>
      </c>
    </row>
    <row r="318" customFormat="false" ht="13.8" hidden="false" customHeight="false" outlineLevel="0" collapsed="false">
      <c r="A318" s="218"/>
      <c r="B318" s="251"/>
      <c r="C318" s="251"/>
      <c r="D318" s="251"/>
      <c r="E318" s="212" t="s">
        <v>2688</v>
      </c>
      <c r="F318" s="212" t="s">
        <v>2522</v>
      </c>
      <c r="G318" s="212" t="n">
        <v>63</v>
      </c>
      <c r="H318" s="212" t="s">
        <v>120</v>
      </c>
      <c r="I318" s="250" t="n">
        <v>172.73</v>
      </c>
    </row>
    <row r="319" customFormat="false" ht="13.8" hidden="false" customHeight="false" outlineLevel="0" collapsed="false">
      <c r="A319" s="218"/>
      <c r="B319" s="251"/>
      <c r="C319" s="251"/>
      <c r="D319" s="251"/>
      <c r="E319" s="212" t="s">
        <v>2691</v>
      </c>
      <c r="F319" s="212" t="s">
        <v>2522</v>
      </c>
      <c r="G319" s="212" t="n">
        <v>63</v>
      </c>
      <c r="H319" s="212" t="s">
        <v>120</v>
      </c>
      <c r="I319" s="250" t="n">
        <v>156.53</v>
      </c>
    </row>
    <row r="320" customFormat="false" ht="13.8" hidden="false" customHeight="false" outlineLevel="0" collapsed="false">
      <c r="A320" s="218"/>
      <c r="B320" s="251"/>
      <c r="C320" s="251"/>
      <c r="D320" s="251"/>
      <c r="E320" s="212" t="s">
        <v>2694</v>
      </c>
      <c r="F320" s="212" t="s">
        <v>2522</v>
      </c>
      <c r="G320" s="212" t="n">
        <v>63</v>
      </c>
      <c r="H320" s="212" t="s">
        <v>120</v>
      </c>
      <c r="I320" s="250" t="n">
        <v>186.41</v>
      </c>
    </row>
    <row r="321" customFormat="false" ht="13.8" hidden="false" customHeight="false" outlineLevel="0" collapsed="false">
      <c r="A321" s="218"/>
      <c r="B321" s="251"/>
      <c r="C321" s="251"/>
      <c r="D321" s="251"/>
      <c r="E321" s="212" t="s">
        <v>2698</v>
      </c>
      <c r="F321" s="212" t="s">
        <v>2522</v>
      </c>
      <c r="G321" s="212" t="n">
        <v>63</v>
      </c>
      <c r="H321" s="212" t="s">
        <v>120</v>
      </c>
      <c r="I321" s="250" t="n">
        <v>158.75</v>
      </c>
    </row>
    <row r="322" customFormat="false" ht="13.8" hidden="false" customHeight="false" outlineLevel="0" collapsed="false">
      <c r="A322" s="218"/>
      <c r="B322" s="251"/>
      <c r="C322" s="251"/>
      <c r="D322" s="251"/>
      <c r="E322" s="212" t="s">
        <v>2701</v>
      </c>
      <c r="F322" s="212" t="s">
        <v>2522</v>
      </c>
      <c r="G322" s="212" t="n">
        <v>110</v>
      </c>
      <c r="H322" s="212" t="s">
        <v>120</v>
      </c>
      <c r="I322" s="250" t="n">
        <v>34.2</v>
      </c>
    </row>
    <row r="323" customFormat="false" ht="13.8" hidden="false" customHeight="false" outlineLevel="0" collapsed="false">
      <c r="A323" s="218"/>
      <c r="B323" s="251"/>
      <c r="C323" s="251"/>
      <c r="D323" s="251"/>
      <c r="E323" s="212" t="s">
        <v>2704</v>
      </c>
      <c r="F323" s="212" t="s">
        <v>2522</v>
      </c>
      <c r="G323" s="212" t="n">
        <v>110</v>
      </c>
      <c r="H323" s="212" t="s">
        <v>120</v>
      </c>
      <c r="I323" s="250" t="n">
        <v>3.46</v>
      </c>
    </row>
    <row r="324" customFormat="false" ht="13.8" hidden="false" customHeight="false" outlineLevel="0" collapsed="false">
      <c r="A324" s="218"/>
      <c r="B324" s="251"/>
      <c r="C324" s="251"/>
      <c r="D324" s="251"/>
      <c r="E324" s="212" t="s">
        <v>2708</v>
      </c>
      <c r="F324" s="212" t="s">
        <v>2522</v>
      </c>
      <c r="G324" s="212" t="n">
        <v>63</v>
      </c>
      <c r="H324" s="212" t="s">
        <v>120</v>
      </c>
      <c r="I324" s="250" t="n">
        <v>54.93</v>
      </c>
    </row>
    <row r="325" customFormat="false" ht="13.8" hidden="false" customHeight="false" outlineLevel="0" collapsed="false">
      <c r="A325" s="218"/>
      <c r="B325" s="251"/>
      <c r="C325" s="251"/>
      <c r="D325" s="251"/>
      <c r="E325" s="212" t="s">
        <v>2712</v>
      </c>
      <c r="F325" s="212" t="s">
        <v>2522</v>
      </c>
      <c r="G325" s="212" t="n">
        <v>63</v>
      </c>
      <c r="H325" s="212" t="s">
        <v>120</v>
      </c>
      <c r="I325" s="250" t="n">
        <v>75.23</v>
      </c>
    </row>
    <row r="326" customFormat="false" ht="13.8" hidden="false" customHeight="false" outlineLevel="0" collapsed="false">
      <c r="A326" s="218"/>
      <c r="B326" s="251"/>
      <c r="C326" s="251"/>
      <c r="D326" s="251"/>
      <c r="E326" s="212" t="s">
        <v>2716</v>
      </c>
      <c r="F326" s="212" t="s">
        <v>2522</v>
      </c>
      <c r="G326" s="212" t="n">
        <v>110</v>
      </c>
      <c r="H326" s="212" t="s">
        <v>120</v>
      </c>
      <c r="I326" s="250" t="n">
        <v>216.12</v>
      </c>
    </row>
    <row r="327" customFormat="false" ht="13.8" hidden="false" customHeight="false" outlineLevel="0" collapsed="false">
      <c r="A327" s="218"/>
      <c r="B327" s="251"/>
      <c r="C327" s="251"/>
      <c r="D327" s="251"/>
      <c r="E327" s="212" t="s">
        <v>3339</v>
      </c>
      <c r="F327" s="212" t="s">
        <v>2966</v>
      </c>
      <c r="G327" s="212" t="n">
        <v>63</v>
      </c>
      <c r="H327" s="212" t="s">
        <v>120</v>
      </c>
      <c r="I327" s="250" t="n">
        <v>91.44</v>
      </c>
    </row>
    <row r="328" customFormat="false" ht="13.8" hidden="false" customHeight="false" outlineLevel="0" collapsed="false">
      <c r="A328" s="218"/>
      <c r="B328" s="251"/>
      <c r="C328" s="251"/>
      <c r="D328" s="251"/>
      <c r="E328" s="212" t="s">
        <v>3342</v>
      </c>
      <c r="F328" s="212" t="s">
        <v>2966</v>
      </c>
      <c r="G328" s="212" t="n">
        <v>63</v>
      </c>
      <c r="H328" s="212" t="s">
        <v>120</v>
      </c>
      <c r="I328" s="250" t="n">
        <v>3.17</v>
      </c>
    </row>
    <row r="329" customFormat="false" ht="13.8" hidden="false" customHeight="false" outlineLevel="0" collapsed="false">
      <c r="A329" s="218"/>
      <c r="B329" s="251"/>
      <c r="C329" s="251"/>
      <c r="D329" s="251"/>
      <c r="E329" s="212" t="s">
        <v>3347</v>
      </c>
      <c r="F329" s="212" t="s">
        <v>2966</v>
      </c>
      <c r="G329" s="212" t="n">
        <v>63</v>
      </c>
      <c r="H329" s="212" t="s">
        <v>120</v>
      </c>
      <c r="I329" s="250" t="n">
        <v>7.02</v>
      </c>
    </row>
    <row r="330" customFormat="false" ht="13.8" hidden="false" customHeight="false" outlineLevel="0" collapsed="false">
      <c r="A330" s="218"/>
      <c r="B330" s="252"/>
      <c r="C330" s="252"/>
      <c r="D330" s="252"/>
      <c r="E330" s="212" t="s">
        <v>3349</v>
      </c>
      <c r="F330" s="212" t="s">
        <v>2966</v>
      </c>
      <c r="G330" s="212" t="n">
        <v>63</v>
      </c>
      <c r="H330" s="212" t="s">
        <v>120</v>
      </c>
      <c r="I330" s="250" t="n">
        <v>65.35</v>
      </c>
    </row>
    <row r="331" customFormat="false" ht="13.8" hidden="false" customHeight="false" outlineLevel="0" collapsed="false">
      <c r="A331" s="218"/>
      <c r="B331" s="249" t="s">
        <v>7035</v>
      </c>
      <c r="C331" s="249" t="s">
        <v>117</v>
      </c>
      <c r="D331" s="249" t="s">
        <v>1548</v>
      </c>
      <c r="E331" s="212" t="s">
        <v>2225</v>
      </c>
      <c r="F331" s="212" t="s">
        <v>2224</v>
      </c>
      <c r="G331" s="212" t="n">
        <v>280</v>
      </c>
      <c r="H331" s="212" t="s">
        <v>120</v>
      </c>
      <c r="I331" s="250" t="n">
        <v>157.36</v>
      </c>
    </row>
    <row r="332" customFormat="false" ht="13.8" hidden="false" customHeight="false" outlineLevel="0" collapsed="false">
      <c r="A332" s="218"/>
      <c r="B332" s="251"/>
      <c r="C332" s="251"/>
      <c r="D332" s="251"/>
      <c r="E332" s="212" t="s">
        <v>2236</v>
      </c>
      <c r="F332" s="212" t="s">
        <v>2224</v>
      </c>
      <c r="G332" s="212" t="n">
        <v>280</v>
      </c>
      <c r="H332" s="212" t="s">
        <v>120</v>
      </c>
      <c r="I332" s="250" t="n">
        <v>9.11</v>
      </c>
    </row>
    <row r="333" customFormat="false" ht="13.8" hidden="false" customHeight="false" outlineLevel="0" collapsed="false">
      <c r="A333" s="218"/>
      <c r="B333" s="251"/>
      <c r="C333" s="251"/>
      <c r="D333" s="251"/>
      <c r="E333" s="212" t="s">
        <v>2241</v>
      </c>
      <c r="F333" s="212" t="s">
        <v>2224</v>
      </c>
      <c r="G333" s="212" t="n">
        <v>280</v>
      </c>
      <c r="H333" s="212" t="s">
        <v>120</v>
      </c>
      <c r="I333" s="250" t="n">
        <v>38.44</v>
      </c>
    </row>
    <row r="334" customFormat="false" ht="13.8" hidden="false" customHeight="false" outlineLevel="0" collapsed="false">
      <c r="A334" s="218"/>
      <c r="B334" s="251"/>
      <c r="C334" s="251"/>
      <c r="D334" s="251"/>
      <c r="E334" s="212" t="s">
        <v>2245</v>
      </c>
      <c r="F334" s="212" t="s">
        <v>2224</v>
      </c>
      <c r="G334" s="212" t="n">
        <v>280</v>
      </c>
      <c r="H334" s="212" t="s">
        <v>120</v>
      </c>
      <c r="I334" s="250" t="n">
        <v>217.08</v>
      </c>
    </row>
    <row r="335" customFormat="false" ht="13.8" hidden="false" customHeight="false" outlineLevel="0" collapsed="false">
      <c r="A335" s="218"/>
      <c r="B335" s="251"/>
      <c r="C335" s="251"/>
      <c r="D335" s="251"/>
      <c r="E335" s="212" t="s">
        <v>2249</v>
      </c>
      <c r="F335" s="212" t="s">
        <v>2033</v>
      </c>
      <c r="G335" s="212" t="n">
        <v>63</v>
      </c>
      <c r="H335" s="212" t="s">
        <v>120</v>
      </c>
      <c r="I335" s="250" t="n">
        <v>25.27</v>
      </c>
    </row>
    <row r="336" customFormat="false" ht="13.8" hidden="false" customHeight="false" outlineLevel="0" collapsed="false">
      <c r="A336" s="218"/>
      <c r="B336" s="251"/>
      <c r="C336" s="251"/>
      <c r="D336" s="251"/>
      <c r="E336" s="212" t="s">
        <v>2252</v>
      </c>
      <c r="F336" s="212" t="s">
        <v>2033</v>
      </c>
      <c r="G336" s="212" t="n">
        <v>63</v>
      </c>
      <c r="H336" s="212" t="s">
        <v>120</v>
      </c>
      <c r="I336" s="250" t="n">
        <v>208.19</v>
      </c>
    </row>
    <row r="337" customFormat="false" ht="13.8" hidden="false" customHeight="false" outlineLevel="0" collapsed="false">
      <c r="A337" s="218"/>
      <c r="B337" s="251"/>
      <c r="C337" s="251"/>
      <c r="D337" s="251"/>
      <c r="E337" s="212" t="s">
        <v>2256</v>
      </c>
      <c r="F337" s="212" t="s">
        <v>2033</v>
      </c>
      <c r="G337" s="212" t="n">
        <v>160</v>
      </c>
      <c r="H337" s="212" t="s">
        <v>120</v>
      </c>
      <c r="I337" s="250" t="n">
        <v>45.64</v>
      </c>
    </row>
    <row r="338" customFormat="false" ht="13.8" hidden="false" customHeight="false" outlineLevel="0" collapsed="false">
      <c r="A338" s="218"/>
      <c r="B338" s="251"/>
      <c r="C338" s="251"/>
      <c r="D338" s="251"/>
      <c r="E338" s="212" t="s">
        <v>2259</v>
      </c>
      <c r="F338" s="212" t="s">
        <v>2033</v>
      </c>
      <c r="G338" s="212" t="n">
        <v>63</v>
      </c>
      <c r="H338" s="212" t="s">
        <v>120</v>
      </c>
      <c r="I338" s="250" t="n">
        <v>32.26</v>
      </c>
    </row>
    <row r="339" customFormat="false" ht="13.8" hidden="false" customHeight="false" outlineLevel="0" collapsed="false">
      <c r="A339" s="218"/>
      <c r="B339" s="251"/>
      <c r="C339" s="251"/>
      <c r="D339" s="251"/>
      <c r="E339" s="212" t="s">
        <v>2263</v>
      </c>
      <c r="F339" s="212" t="s">
        <v>2033</v>
      </c>
      <c r="G339" s="212" t="n">
        <v>225</v>
      </c>
      <c r="H339" s="212" t="s">
        <v>120</v>
      </c>
      <c r="I339" s="250" t="n">
        <v>35.68</v>
      </c>
    </row>
    <row r="340" customFormat="false" ht="13.8" hidden="false" customHeight="false" outlineLevel="0" collapsed="false">
      <c r="A340" s="218"/>
      <c r="B340" s="251"/>
      <c r="C340" s="251"/>
      <c r="D340" s="251"/>
      <c r="E340" s="212" t="s">
        <v>2265</v>
      </c>
      <c r="F340" s="212" t="s">
        <v>2033</v>
      </c>
      <c r="G340" s="212" t="n">
        <v>63</v>
      </c>
      <c r="H340" s="212" t="s">
        <v>120</v>
      </c>
      <c r="I340" s="250" t="n">
        <v>48.87</v>
      </c>
    </row>
    <row r="341" customFormat="false" ht="13.8" hidden="false" customHeight="false" outlineLevel="0" collapsed="false">
      <c r="A341" s="218"/>
      <c r="B341" s="251"/>
      <c r="C341" s="251"/>
      <c r="D341" s="251"/>
      <c r="E341" s="212" t="s">
        <v>2268</v>
      </c>
      <c r="F341" s="212" t="s">
        <v>2033</v>
      </c>
      <c r="G341" s="212" t="n">
        <v>160</v>
      </c>
      <c r="H341" s="212" t="s">
        <v>120</v>
      </c>
      <c r="I341" s="250" t="n">
        <v>32.57</v>
      </c>
    </row>
    <row r="342" customFormat="false" ht="13.8" hidden="false" customHeight="false" outlineLevel="0" collapsed="false">
      <c r="A342" s="218"/>
      <c r="B342" s="251"/>
      <c r="C342" s="251"/>
      <c r="D342" s="251"/>
      <c r="E342" s="212" t="s">
        <v>2271</v>
      </c>
      <c r="F342" s="212" t="s">
        <v>2033</v>
      </c>
      <c r="G342" s="212" t="n">
        <v>160</v>
      </c>
      <c r="H342" s="212" t="s">
        <v>120</v>
      </c>
      <c r="I342" s="250" t="n">
        <v>3.77</v>
      </c>
    </row>
    <row r="343" customFormat="false" ht="13.8" hidden="false" customHeight="false" outlineLevel="0" collapsed="false">
      <c r="A343" s="218"/>
      <c r="B343" s="251"/>
      <c r="C343" s="251"/>
      <c r="D343" s="251"/>
      <c r="E343" s="212" t="s">
        <v>2275</v>
      </c>
      <c r="F343" s="212" t="s">
        <v>2033</v>
      </c>
      <c r="G343" s="212" t="n">
        <v>63</v>
      </c>
      <c r="H343" s="212" t="s">
        <v>120</v>
      </c>
      <c r="I343" s="250" t="n">
        <v>0.96</v>
      </c>
    </row>
    <row r="344" customFormat="false" ht="13.8" hidden="false" customHeight="false" outlineLevel="0" collapsed="false">
      <c r="A344" s="218"/>
      <c r="B344" s="251"/>
      <c r="C344" s="251"/>
      <c r="D344" s="251"/>
      <c r="E344" s="212" t="s">
        <v>2281</v>
      </c>
      <c r="F344" s="212" t="s">
        <v>2033</v>
      </c>
      <c r="G344" s="212" t="n">
        <v>160</v>
      </c>
      <c r="H344" s="212" t="s">
        <v>120</v>
      </c>
      <c r="I344" s="250" t="n">
        <v>19.33</v>
      </c>
    </row>
    <row r="345" customFormat="false" ht="13.8" hidden="false" customHeight="false" outlineLevel="0" collapsed="false">
      <c r="A345" s="218"/>
      <c r="B345" s="251"/>
      <c r="C345" s="251"/>
      <c r="D345" s="251"/>
      <c r="E345" s="212" t="s">
        <v>2284</v>
      </c>
      <c r="F345" s="212" t="s">
        <v>2033</v>
      </c>
      <c r="G345" s="212" t="n">
        <v>63</v>
      </c>
      <c r="H345" s="212" t="s">
        <v>120</v>
      </c>
      <c r="I345" s="250" t="n">
        <v>2.77</v>
      </c>
    </row>
    <row r="346" customFormat="false" ht="13.8" hidden="false" customHeight="false" outlineLevel="0" collapsed="false">
      <c r="A346" s="218"/>
      <c r="B346" s="251"/>
      <c r="C346" s="251"/>
      <c r="D346" s="251"/>
      <c r="E346" s="212" t="s">
        <v>2287</v>
      </c>
      <c r="F346" s="212" t="s">
        <v>2033</v>
      </c>
      <c r="G346" s="212" t="n">
        <v>225</v>
      </c>
      <c r="H346" s="212" t="s">
        <v>120</v>
      </c>
      <c r="I346" s="250" t="n">
        <v>34.38</v>
      </c>
    </row>
    <row r="347" customFormat="false" ht="13.8" hidden="false" customHeight="false" outlineLevel="0" collapsed="false">
      <c r="A347" s="218"/>
      <c r="B347" s="251"/>
      <c r="C347" s="251"/>
      <c r="D347" s="251"/>
      <c r="E347" s="212" t="s">
        <v>2289</v>
      </c>
      <c r="F347" s="212" t="s">
        <v>2033</v>
      </c>
      <c r="G347" s="212" t="n">
        <v>63</v>
      </c>
      <c r="H347" s="212" t="s">
        <v>120</v>
      </c>
      <c r="I347" s="250" t="n">
        <v>31.48</v>
      </c>
    </row>
    <row r="348" customFormat="false" ht="13.8" hidden="false" customHeight="false" outlineLevel="0" collapsed="false">
      <c r="A348" s="218"/>
      <c r="B348" s="251"/>
      <c r="C348" s="251"/>
      <c r="D348" s="251"/>
      <c r="E348" s="212" t="s">
        <v>2292</v>
      </c>
      <c r="F348" s="212" t="s">
        <v>2033</v>
      </c>
      <c r="G348" s="212" t="n">
        <v>63</v>
      </c>
      <c r="H348" s="212" t="s">
        <v>120</v>
      </c>
      <c r="I348" s="250" t="n">
        <v>334.49</v>
      </c>
    </row>
    <row r="349" customFormat="false" ht="13.8" hidden="false" customHeight="false" outlineLevel="0" collapsed="false">
      <c r="A349" s="218"/>
      <c r="B349" s="251"/>
      <c r="C349" s="251"/>
      <c r="D349" s="251"/>
      <c r="E349" s="212" t="s">
        <v>2296</v>
      </c>
      <c r="F349" s="212" t="s">
        <v>2033</v>
      </c>
      <c r="G349" s="212" t="n">
        <v>160</v>
      </c>
      <c r="H349" s="212" t="s">
        <v>120</v>
      </c>
      <c r="I349" s="250" t="n">
        <v>10.36</v>
      </c>
    </row>
    <row r="350" customFormat="false" ht="13.8" hidden="false" customHeight="false" outlineLevel="0" collapsed="false">
      <c r="A350" s="218"/>
      <c r="B350" s="251"/>
      <c r="C350" s="251"/>
      <c r="D350" s="251"/>
      <c r="E350" s="212" t="s">
        <v>2299</v>
      </c>
      <c r="F350" s="212" t="s">
        <v>2033</v>
      </c>
      <c r="G350" s="212" t="n">
        <v>63</v>
      </c>
      <c r="H350" s="212" t="s">
        <v>120</v>
      </c>
      <c r="I350" s="250" t="n">
        <v>91.64</v>
      </c>
    </row>
    <row r="351" customFormat="false" ht="13.8" hidden="false" customHeight="false" outlineLevel="0" collapsed="false">
      <c r="A351" s="218"/>
      <c r="B351" s="251"/>
      <c r="C351" s="251"/>
      <c r="D351" s="251"/>
      <c r="E351" s="212" t="s">
        <v>2303</v>
      </c>
      <c r="F351" s="212" t="s">
        <v>2033</v>
      </c>
      <c r="G351" s="212" t="n">
        <v>160</v>
      </c>
      <c r="H351" s="212" t="s">
        <v>120</v>
      </c>
      <c r="I351" s="250" t="n">
        <v>1.94</v>
      </c>
    </row>
    <row r="352" customFormat="false" ht="13.8" hidden="false" customHeight="false" outlineLevel="0" collapsed="false">
      <c r="A352" s="218"/>
      <c r="B352" s="251"/>
      <c r="C352" s="251"/>
      <c r="D352" s="251"/>
      <c r="E352" s="212" t="s">
        <v>2305</v>
      </c>
      <c r="F352" s="212" t="s">
        <v>2033</v>
      </c>
      <c r="G352" s="212" t="n">
        <v>63</v>
      </c>
      <c r="H352" s="212" t="s">
        <v>120</v>
      </c>
      <c r="I352" s="250" t="n">
        <v>4.44</v>
      </c>
    </row>
    <row r="353" customFormat="false" ht="13.8" hidden="false" customHeight="false" outlineLevel="0" collapsed="false">
      <c r="A353" s="218"/>
      <c r="B353" s="251"/>
      <c r="C353" s="251"/>
      <c r="D353" s="251"/>
      <c r="E353" s="212" t="s">
        <v>2308</v>
      </c>
      <c r="F353" s="212" t="s">
        <v>2033</v>
      </c>
      <c r="G353" s="212" t="n">
        <v>63</v>
      </c>
      <c r="H353" s="212" t="s">
        <v>120</v>
      </c>
      <c r="I353" s="250" t="n">
        <v>18.59</v>
      </c>
    </row>
    <row r="354" customFormat="false" ht="13.8" hidden="false" customHeight="false" outlineLevel="0" collapsed="false">
      <c r="A354" s="218"/>
      <c r="B354" s="251"/>
      <c r="C354" s="251"/>
      <c r="D354" s="251"/>
      <c r="E354" s="212" t="s">
        <v>2312</v>
      </c>
      <c r="F354" s="212" t="s">
        <v>2033</v>
      </c>
      <c r="G354" s="212" t="n">
        <v>63</v>
      </c>
      <c r="H354" s="212" t="s">
        <v>120</v>
      </c>
      <c r="I354" s="250" t="n">
        <v>18.17</v>
      </c>
    </row>
    <row r="355" customFormat="false" ht="13.8" hidden="false" customHeight="false" outlineLevel="0" collapsed="false">
      <c r="A355" s="218"/>
      <c r="B355" s="251"/>
      <c r="C355" s="251"/>
      <c r="D355" s="251"/>
      <c r="E355" s="212" t="s">
        <v>2315</v>
      </c>
      <c r="F355" s="212" t="s">
        <v>2033</v>
      </c>
      <c r="G355" s="212" t="n">
        <v>63</v>
      </c>
      <c r="H355" s="212" t="s">
        <v>120</v>
      </c>
      <c r="I355" s="250" t="n">
        <v>42.4</v>
      </c>
    </row>
    <row r="356" customFormat="false" ht="13.8" hidden="false" customHeight="false" outlineLevel="0" collapsed="false">
      <c r="A356" s="218"/>
      <c r="B356" s="251"/>
      <c r="C356" s="251"/>
      <c r="D356" s="251"/>
      <c r="E356" s="212" t="s">
        <v>2318</v>
      </c>
      <c r="F356" s="212" t="s">
        <v>2033</v>
      </c>
      <c r="G356" s="212" t="n">
        <v>63</v>
      </c>
      <c r="H356" s="212" t="s">
        <v>120</v>
      </c>
      <c r="I356" s="250" t="n">
        <v>35.35</v>
      </c>
    </row>
    <row r="357" customFormat="false" ht="13.8" hidden="false" customHeight="false" outlineLevel="0" collapsed="false">
      <c r="A357" s="218"/>
      <c r="B357" s="251"/>
      <c r="C357" s="251"/>
      <c r="D357" s="251"/>
      <c r="E357" s="212" t="s">
        <v>2322</v>
      </c>
      <c r="F357" s="212" t="s">
        <v>2033</v>
      </c>
      <c r="G357" s="212" t="n">
        <v>63</v>
      </c>
      <c r="H357" s="212" t="s">
        <v>120</v>
      </c>
      <c r="I357" s="250" t="n">
        <v>61.65</v>
      </c>
    </row>
    <row r="358" customFormat="false" ht="13.8" hidden="false" customHeight="false" outlineLevel="0" collapsed="false">
      <c r="A358" s="218"/>
      <c r="B358" s="251"/>
      <c r="C358" s="251"/>
      <c r="D358" s="251"/>
      <c r="E358" s="212" t="s">
        <v>2327</v>
      </c>
      <c r="F358" s="212" t="s">
        <v>2033</v>
      </c>
      <c r="G358" s="212" t="n">
        <v>63</v>
      </c>
      <c r="H358" s="212" t="s">
        <v>120</v>
      </c>
      <c r="I358" s="250" t="n">
        <v>31.94</v>
      </c>
    </row>
    <row r="359" customFormat="false" ht="13.8" hidden="false" customHeight="false" outlineLevel="0" collapsed="false">
      <c r="A359" s="218"/>
      <c r="B359" s="251"/>
      <c r="C359" s="251"/>
      <c r="D359" s="251"/>
      <c r="E359" s="212" t="s">
        <v>2332</v>
      </c>
      <c r="F359" s="212" t="s">
        <v>2033</v>
      </c>
      <c r="G359" s="212" t="n">
        <v>63</v>
      </c>
      <c r="H359" s="212" t="s">
        <v>120</v>
      </c>
      <c r="I359" s="250" t="n">
        <v>58.4</v>
      </c>
    </row>
    <row r="360" customFormat="false" ht="13.8" hidden="false" customHeight="false" outlineLevel="0" collapsed="false">
      <c r="A360" s="218"/>
      <c r="B360" s="251"/>
      <c r="C360" s="251"/>
      <c r="D360" s="251"/>
      <c r="E360" s="212" t="s">
        <v>2334</v>
      </c>
      <c r="F360" s="212" t="s">
        <v>2033</v>
      </c>
      <c r="G360" s="212" t="n">
        <v>250</v>
      </c>
      <c r="H360" s="212" t="s">
        <v>120</v>
      </c>
      <c r="I360" s="250" t="n">
        <v>94.91</v>
      </c>
    </row>
    <row r="361" customFormat="false" ht="13.8" hidden="false" customHeight="false" outlineLevel="0" collapsed="false">
      <c r="A361" s="218"/>
      <c r="B361" s="251"/>
      <c r="C361" s="251"/>
      <c r="D361" s="251"/>
      <c r="E361" s="212" t="s">
        <v>2338</v>
      </c>
      <c r="F361" s="212" t="s">
        <v>2033</v>
      </c>
      <c r="G361" s="212" t="n">
        <v>63</v>
      </c>
      <c r="H361" s="212" t="s">
        <v>120</v>
      </c>
      <c r="I361" s="250" t="n">
        <v>48.01</v>
      </c>
    </row>
    <row r="362" customFormat="false" ht="13.8" hidden="false" customHeight="false" outlineLevel="0" collapsed="false">
      <c r="A362" s="218"/>
      <c r="B362" s="251"/>
      <c r="C362" s="251"/>
      <c r="D362" s="251"/>
      <c r="E362" s="212" t="s">
        <v>2343</v>
      </c>
      <c r="F362" s="212" t="s">
        <v>2033</v>
      </c>
      <c r="G362" s="212" t="n">
        <v>63</v>
      </c>
      <c r="H362" s="212" t="s">
        <v>120</v>
      </c>
      <c r="I362" s="250" t="n">
        <v>61.88</v>
      </c>
    </row>
    <row r="363" customFormat="false" ht="13.8" hidden="false" customHeight="false" outlineLevel="0" collapsed="false">
      <c r="A363" s="218"/>
      <c r="B363" s="251"/>
      <c r="C363" s="251"/>
      <c r="D363" s="251"/>
      <c r="E363" s="212" t="s">
        <v>2347</v>
      </c>
      <c r="F363" s="212" t="s">
        <v>2033</v>
      </c>
      <c r="G363" s="212" t="n">
        <v>63</v>
      </c>
      <c r="H363" s="212" t="s">
        <v>120</v>
      </c>
      <c r="I363" s="250" t="n">
        <v>263.82</v>
      </c>
    </row>
    <row r="364" customFormat="false" ht="13.8" hidden="false" customHeight="false" outlineLevel="0" collapsed="false">
      <c r="A364" s="218"/>
      <c r="B364" s="251"/>
      <c r="C364" s="251"/>
      <c r="D364" s="251"/>
      <c r="E364" s="212" t="s">
        <v>2351</v>
      </c>
      <c r="F364" s="212" t="s">
        <v>2033</v>
      </c>
      <c r="G364" s="212" t="n">
        <v>160</v>
      </c>
      <c r="H364" s="212" t="s">
        <v>120</v>
      </c>
      <c r="I364" s="250" t="n">
        <v>66.06</v>
      </c>
    </row>
    <row r="365" customFormat="false" ht="13.8" hidden="false" customHeight="false" outlineLevel="0" collapsed="false">
      <c r="A365" s="218"/>
      <c r="B365" s="251"/>
      <c r="C365" s="251"/>
      <c r="D365" s="251"/>
      <c r="E365" s="212" t="s">
        <v>2354</v>
      </c>
      <c r="F365" s="212" t="s">
        <v>2033</v>
      </c>
      <c r="G365" s="212" t="n">
        <v>63</v>
      </c>
      <c r="H365" s="212" t="s">
        <v>120</v>
      </c>
      <c r="I365" s="250" t="n">
        <v>12.78</v>
      </c>
    </row>
    <row r="366" customFormat="false" ht="13.8" hidden="false" customHeight="false" outlineLevel="0" collapsed="false">
      <c r="A366" s="218"/>
      <c r="B366" s="251"/>
      <c r="C366" s="251"/>
      <c r="D366" s="251"/>
      <c r="E366" s="212" t="s">
        <v>2358</v>
      </c>
      <c r="F366" s="212" t="s">
        <v>2033</v>
      </c>
      <c r="G366" s="212" t="n">
        <v>63</v>
      </c>
      <c r="H366" s="212" t="s">
        <v>120</v>
      </c>
      <c r="I366" s="250" t="n">
        <v>100.21</v>
      </c>
    </row>
    <row r="367" customFormat="false" ht="13.8" hidden="false" customHeight="false" outlineLevel="0" collapsed="false">
      <c r="A367" s="218"/>
      <c r="B367" s="251"/>
      <c r="C367" s="251"/>
      <c r="D367" s="251"/>
      <c r="E367" s="212" t="s">
        <v>2362</v>
      </c>
      <c r="F367" s="212" t="s">
        <v>2033</v>
      </c>
      <c r="G367" s="212" t="n">
        <v>250</v>
      </c>
      <c r="H367" s="212" t="s">
        <v>120</v>
      </c>
      <c r="I367" s="250" t="n">
        <v>3.31</v>
      </c>
    </row>
    <row r="368" customFormat="false" ht="13.8" hidden="false" customHeight="false" outlineLevel="0" collapsed="false">
      <c r="A368" s="218"/>
      <c r="B368" s="251"/>
      <c r="C368" s="251"/>
      <c r="D368" s="251"/>
      <c r="E368" s="212" t="s">
        <v>2366</v>
      </c>
      <c r="F368" s="212" t="s">
        <v>2033</v>
      </c>
      <c r="G368" s="212" t="n">
        <v>63</v>
      </c>
      <c r="H368" s="212" t="s">
        <v>120</v>
      </c>
      <c r="I368" s="250" t="n">
        <v>63.42</v>
      </c>
    </row>
    <row r="369" customFormat="false" ht="13.8" hidden="false" customHeight="false" outlineLevel="0" collapsed="false">
      <c r="A369" s="218"/>
      <c r="B369" s="251"/>
      <c r="C369" s="251"/>
      <c r="D369" s="251"/>
      <c r="E369" s="212" t="s">
        <v>2369</v>
      </c>
      <c r="F369" s="212" t="s">
        <v>2033</v>
      </c>
      <c r="G369" s="212" t="n">
        <v>63</v>
      </c>
      <c r="H369" s="212" t="s">
        <v>120</v>
      </c>
      <c r="I369" s="250" t="n">
        <v>117.97</v>
      </c>
    </row>
    <row r="370" customFormat="false" ht="13.8" hidden="false" customHeight="false" outlineLevel="0" collapsed="false">
      <c r="A370" s="218"/>
      <c r="B370" s="251"/>
      <c r="C370" s="251"/>
      <c r="D370" s="251"/>
      <c r="E370" s="212" t="s">
        <v>2372</v>
      </c>
      <c r="F370" s="212" t="s">
        <v>2033</v>
      </c>
      <c r="G370" s="212" t="n">
        <v>160</v>
      </c>
      <c r="H370" s="212" t="s">
        <v>120</v>
      </c>
      <c r="I370" s="250" t="n">
        <v>49.96</v>
      </c>
    </row>
    <row r="371" customFormat="false" ht="13.8" hidden="false" customHeight="false" outlineLevel="0" collapsed="false">
      <c r="A371" s="218"/>
      <c r="B371" s="251"/>
      <c r="C371" s="251"/>
      <c r="D371" s="251"/>
      <c r="E371" s="212" t="s">
        <v>2374</v>
      </c>
      <c r="F371" s="212" t="s">
        <v>2033</v>
      </c>
      <c r="G371" s="212" t="n">
        <v>63</v>
      </c>
      <c r="H371" s="212" t="s">
        <v>120</v>
      </c>
      <c r="I371" s="250" t="n">
        <v>123.6</v>
      </c>
    </row>
    <row r="372" customFormat="false" ht="13.8" hidden="false" customHeight="false" outlineLevel="0" collapsed="false">
      <c r="A372" s="218"/>
      <c r="B372" s="251"/>
      <c r="C372" s="251"/>
      <c r="D372" s="251"/>
      <c r="E372" s="212" t="s">
        <v>2378</v>
      </c>
      <c r="F372" s="212" t="s">
        <v>2033</v>
      </c>
      <c r="G372" s="212" t="n">
        <v>160</v>
      </c>
      <c r="H372" s="212" t="s">
        <v>120</v>
      </c>
      <c r="I372" s="250" t="n">
        <v>9.05</v>
      </c>
    </row>
    <row r="373" customFormat="false" ht="13.8" hidden="false" customHeight="false" outlineLevel="0" collapsed="false">
      <c r="A373" s="218"/>
      <c r="B373" s="251"/>
      <c r="C373" s="251"/>
      <c r="D373" s="251"/>
      <c r="E373" s="212" t="s">
        <v>2381</v>
      </c>
      <c r="F373" s="212" t="s">
        <v>2033</v>
      </c>
      <c r="G373" s="212" t="n">
        <v>63</v>
      </c>
      <c r="H373" s="212" t="s">
        <v>120</v>
      </c>
      <c r="I373" s="250" t="n">
        <v>83.86</v>
      </c>
    </row>
    <row r="374" customFormat="false" ht="13.8" hidden="false" customHeight="false" outlineLevel="0" collapsed="false">
      <c r="A374" s="218"/>
      <c r="B374" s="251"/>
      <c r="C374" s="251"/>
      <c r="D374" s="251"/>
      <c r="E374" s="212" t="s">
        <v>2386</v>
      </c>
      <c r="F374" s="212" t="s">
        <v>2033</v>
      </c>
      <c r="G374" s="212" t="n">
        <v>63</v>
      </c>
      <c r="H374" s="212" t="s">
        <v>120</v>
      </c>
      <c r="I374" s="250" t="n">
        <v>266.27</v>
      </c>
    </row>
    <row r="375" customFormat="false" ht="13.8" hidden="false" customHeight="false" outlineLevel="0" collapsed="false">
      <c r="A375" s="218"/>
      <c r="B375" s="251"/>
      <c r="C375" s="251"/>
      <c r="D375" s="251"/>
      <c r="E375" s="212" t="s">
        <v>2391</v>
      </c>
      <c r="F375" s="212" t="s">
        <v>2033</v>
      </c>
      <c r="G375" s="212" t="n">
        <v>63</v>
      </c>
      <c r="H375" s="212" t="s">
        <v>120</v>
      </c>
      <c r="I375" s="250" t="n">
        <v>44.85</v>
      </c>
    </row>
    <row r="376" customFormat="false" ht="13.8" hidden="false" customHeight="false" outlineLevel="0" collapsed="false">
      <c r="A376" s="218"/>
      <c r="B376" s="251"/>
      <c r="C376" s="251"/>
      <c r="D376" s="251"/>
      <c r="E376" s="212" t="s">
        <v>2396</v>
      </c>
      <c r="F376" s="212" t="s">
        <v>2033</v>
      </c>
      <c r="G376" s="212" t="n">
        <v>160</v>
      </c>
      <c r="H376" s="212" t="s">
        <v>120</v>
      </c>
      <c r="I376" s="250" t="n">
        <v>38.45</v>
      </c>
    </row>
    <row r="377" customFormat="false" ht="13.8" hidden="false" customHeight="false" outlineLevel="0" collapsed="false">
      <c r="A377" s="218"/>
      <c r="B377" s="251"/>
      <c r="C377" s="251"/>
      <c r="D377" s="251"/>
      <c r="E377" s="212" t="s">
        <v>2399</v>
      </c>
      <c r="F377" s="212" t="s">
        <v>2033</v>
      </c>
      <c r="G377" s="212" t="n">
        <v>63</v>
      </c>
      <c r="H377" s="212" t="s">
        <v>120</v>
      </c>
      <c r="I377" s="250" t="n">
        <v>80.96</v>
      </c>
    </row>
    <row r="378" customFormat="false" ht="13.8" hidden="false" customHeight="false" outlineLevel="0" collapsed="false">
      <c r="A378" s="218"/>
      <c r="B378" s="251"/>
      <c r="C378" s="251"/>
      <c r="D378" s="251"/>
      <c r="E378" s="212" t="s">
        <v>2404</v>
      </c>
      <c r="F378" s="212" t="s">
        <v>2033</v>
      </c>
      <c r="G378" s="212" t="n">
        <v>63</v>
      </c>
      <c r="H378" s="212" t="s">
        <v>120</v>
      </c>
      <c r="I378" s="250" t="n">
        <v>117.94</v>
      </c>
    </row>
    <row r="379" customFormat="false" ht="13.8" hidden="false" customHeight="false" outlineLevel="0" collapsed="false">
      <c r="A379" s="218"/>
      <c r="B379" s="251"/>
      <c r="C379" s="251"/>
      <c r="D379" s="251"/>
      <c r="E379" s="212" t="s">
        <v>2408</v>
      </c>
      <c r="F379" s="212" t="s">
        <v>2033</v>
      </c>
      <c r="G379" s="212" t="n">
        <v>63</v>
      </c>
      <c r="H379" s="212" t="s">
        <v>120</v>
      </c>
      <c r="I379" s="250" t="n">
        <v>23.79</v>
      </c>
    </row>
    <row r="380" customFormat="false" ht="13.8" hidden="false" customHeight="false" outlineLevel="0" collapsed="false">
      <c r="A380" s="218"/>
      <c r="B380" s="251"/>
      <c r="C380" s="251"/>
      <c r="D380" s="251"/>
      <c r="E380" s="212" t="s">
        <v>2411</v>
      </c>
      <c r="F380" s="212" t="s">
        <v>2033</v>
      </c>
      <c r="G380" s="212" t="n">
        <v>63</v>
      </c>
      <c r="H380" s="212" t="s">
        <v>120</v>
      </c>
      <c r="I380" s="250" t="n">
        <v>2.53</v>
      </c>
    </row>
    <row r="381" customFormat="false" ht="13.8" hidden="false" customHeight="false" outlineLevel="0" collapsed="false">
      <c r="A381" s="218"/>
      <c r="B381" s="251"/>
      <c r="C381" s="251"/>
      <c r="D381" s="251"/>
      <c r="E381" s="212" t="s">
        <v>2414</v>
      </c>
      <c r="F381" s="212" t="s">
        <v>2033</v>
      </c>
      <c r="G381" s="212" t="n">
        <v>90</v>
      </c>
      <c r="H381" s="212" t="s">
        <v>120</v>
      </c>
      <c r="I381" s="250" t="n">
        <v>45.91</v>
      </c>
    </row>
    <row r="382" customFormat="false" ht="13.8" hidden="false" customHeight="false" outlineLevel="0" collapsed="false">
      <c r="A382" s="218"/>
      <c r="B382" s="251"/>
      <c r="C382" s="251"/>
      <c r="D382" s="251"/>
      <c r="E382" s="212" t="s">
        <v>2418</v>
      </c>
      <c r="F382" s="212" t="s">
        <v>2033</v>
      </c>
      <c r="G382" s="212" t="n">
        <v>63</v>
      </c>
      <c r="H382" s="212" t="s">
        <v>120</v>
      </c>
      <c r="I382" s="250" t="n">
        <v>21.43</v>
      </c>
    </row>
    <row r="383" customFormat="false" ht="13.8" hidden="false" customHeight="false" outlineLevel="0" collapsed="false">
      <c r="A383" s="218"/>
      <c r="B383" s="251"/>
      <c r="C383" s="251"/>
      <c r="D383" s="251"/>
      <c r="E383" s="212" t="s">
        <v>2420</v>
      </c>
      <c r="F383" s="212" t="s">
        <v>2033</v>
      </c>
      <c r="G383" s="212" t="n">
        <v>160</v>
      </c>
      <c r="H383" s="212" t="s">
        <v>120</v>
      </c>
      <c r="I383" s="250" t="n">
        <v>26.3</v>
      </c>
    </row>
    <row r="384" customFormat="false" ht="13.8" hidden="false" customHeight="false" outlineLevel="0" collapsed="false">
      <c r="A384" s="218"/>
      <c r="B384" s="251"/>
      <c r="C384" s="251"/>
      <c r="D384" s="251"/>
      <c r="E384" s="212" t="s">
        <v>2423</v>
      </c>
      <c r="F384" s="212" t="s">
        <v>2033</v>
      </c>
      <c r="G384" s="212" t="n">
        <v>63</v>
      </c>
      <c r="H384" s="212" t="s">
        <v>120</v>
      </c>
      <c r="I384" s="250" t="n">
        <v>49.36</v>
      </c>
    </row>
    <row r="385" customFormat="false" ht="13.8" hidden="false" customHeight="false" outlineLevel="0" collapsed="false">
      <c r="A385" s="218"/>
      <c r="B385" s="251"/>
      <c r="C385" s="251"/>
      <c r="D385" s="251"/>
      <c r="E385" s="212" t="s">
        <v>2427</v>
      </c>
      <c r="F385" s="212" t="s">
        <v>2033</v>
      </c>
      <c r="G385" s="212" t="n">
        <v>63</v>
      </c>
      <c r="H385" s="212" t="s">
        <v>120</v>
      </c>
      <c r="I385" s="250" t="n">
        <v>60.2</v>
      </c>
    </row>
    <row r="386" customFormat="false" ht="13.8" hidden="false" customHeight="false" outlineLevel="0" collapsed="false">
      <c r="A386" s="218"/>
      <c r="B386" s="251"/>
      <c r="C386" s="251"/>
      <c r="D386" s="251"/>
      <c r="E386" s="212" t="s">
        <v>2431</v>
      </c>
      <c r="F386" s="212" t="s">
        <v>2033</v>
      </c>
      <c r="G386" s="212" t="n">
        <v>90</v>
      </c>
      <c r="H386" s="212" t="s">
        <v>120</v>
      </c>
      <c r="I386" s="250" t="n">
        <v>38.69</v>
      </c>
    </row>
    <row r="387" customFormat="false" ht="13.8" hidden="false" customHeight="false" outlineLevel="0" collapsed="false">
      <c r="A387" s="218"/>
      <c r="B387" s="251"/>
      <c r="C387" s="251"/>
      <c r="D387" s="251"/>
      <c r="E387" s="212" t="s">
        <v>2435</v>
      </c>
      <c r="F387" s="212" t="s">
        <v>2033</v>
      </c>
      <c r="G387" s="212" t="n">
        <v>160</v>
      </c>
      <c r="H387" s="212" t="s">
        <v>120</v>
      </c>
      <c r="I387" s="250" t="n">
        <v>46.2</v>
      </c>
    </row>
    <row r="388" customFormat="false" ht="13.8" hidden="false" customHeight="false" outlineLevel="0" collapsed="false">
      <c r="A388" s="218"/>
      <c r="B388" s="251"/>
      <c r="C388" s="251"/>
      <c r="D388" s="251"/>
      <c r="E388" s="212" t="s">
        <v>2438</v>
      </c>
      <c r="F388" s="212" t="s">
        <v>2033</v>
      </c>
      <c r="G388" s="212" t="n">
        <v>63</v>
      </c>
      <c r="H388" s="212" t="s">
        <v>120</v>
      </c>
      <c r="I388" s="250" t="n">
        <v>48.78</v>
      </c>
    </row>
    <row r="389" customFormat="false" ht="13.8" hidden="false" customHeight="false" outlineLevel="0" collapsed="false">
      <c r="A389" s="218"/>
      <c r="B389" s="251"/>
      <c r="C389" s="251"/>
      <c r="D389" s="251"/>
      <c r="E389" s="212" t="s">
        <v>2442</v>
      </c>
      <c r="F389" s="212" t="s">
        <v>2033</v>
      </c>
      <c r="G389" s="212" t="n">
        <v>90</v>
      </c>
      <c r="H389" s="212" t="s">
        <v>120</v>
      </c>
      <c r="I389" s="250" t="n">
        <v>47.46</v>
      </c>
    </row>
    <row r="390" customFormat="false" ht="13.8" hidden="false" customHeight="false" outlineLevel="0" collapsed="false">
      <c r="A390" s="218"/>
      <c r="B390" s="251"/>
      <c r="C390" s="251"/>
      <c r="D390" s="251"/>
      <c r="E390" s="212" t="s">
        <v>2446</v>
      </c>
      <c r="F390" s="212" t="s">
        <v>2033</v>
      </c>
      <c r="G390" s="212" t="n">
        <v>63</v>
      </c>
      <c r="H390" s="212" t="s">
        <v>120</v>
      </c>
      <c r="I390" s="250" t="n">
        <v>135.68</v>
      </c>
    </row>
    <row r="391" customFormat="false" ht="13.8" hidden="false" customHeight="false" outlineLevel="0" collapsed="false">
      <c r="A391" s="218"/>
      <c r="B391" s="251"/>
      <c r="C391" s="251"/>
      <c r="D391" s="251"/>
      <c r="E391" s="212" t="s">
        <v>2450</v>
      </c>
      <c r="F391" s="212" t="s">
        <v>2033</v>
      </c>
      <c r="G391" s="212" t="n">
        <v>63</v>
      </c>
      <c r="H391" s="212" t="s">
        <v>120</v>
      </c>
      <c r="I391" s="250" t="n">
        <v>53.86</v>
      </c>
    </row>
    <row r="392" customFormat="false" ht="13.8" hidden="false" customHeight="false" outlineLevel="0" collapsed="false">
      <c r="A392" s="218"/>
      <c r="B392" s="251"/>
      <c r="C392" s="251"/>
      <c r="D392" s="251"/>
      <c r="E392" s="212" t="s">
        <v>2454</v>
      </c>
      <c r="F392" s="212" t="s">
        <v>2033</v>
      </c>
      <c r="G392" s="212" t="n">
        <v>63</v>
      </c>
      <c r="H392" s="212" t="s">
        <v>120</v>
      </c>
      <c r="I392" s="250" t="n">
        <v>79.49</v>
      </c>
    </row>
    <row r="393" customFormat="false" ht="13.8" hidden="false" customHeight="false" outlineLevel="0" collapsed="false">
      <c r="A393" s="218"/>
      <c r="B393" s="251"/>
      <c r="C393" s="251"/>
      <c r="D393" s="251"/>
      <c r="E393" s="212" t="s">
        <v>2458</v>
      </c>
      <c r="F393" s="212" t="s">
        <v>2033</v>
      </c>
      <c r="G393" s="212" t="n">
        <v>160</v>
      </c>
      <c r="H393" s="212" t="s">
        <v>120</v>
      </c>
      <c r="I393" s="250" t="n">
        <v>53.44</v>
      </c>
    </row>
    <row r="394" customFormat="false" ht="13.8" hidden="false" customHeight="false" outlineLevel="0" collapsed="false">
      <c r="A394" s="218"/>
      <c r="B394" s="251"/>
      <c r="C394" s="251"/>
      <c r="D394" s="251"/>
      <c r="E394" s="212" t="s">
        <v>2462</v>
      </c>
      <c r="F394" s="212" t="s">
        <v>2033</v>
      </c>
      <c r="G394" s="212" t="n">
        <v>110</v>
      </c>
      <c r="H394" s="212" t="s">
        <v>120</v>
      </c>
      <c r="I394" s="250" t="n">
        <v>44.38</v>
      </c>
    </row>
    <row r="395" customFormat="false" ht="13.8" hidden="false" customHeight="false" outlineLevel="0" collapsed="false">
      <c r="A395" s="218"/>
      <c r="B395" s="251"/>
      <c r="C395" s="251"/>
      <c r="D395" s="251"/>
      <c r="E395" s="212" t="s">
        <v>2465</v>
      </c>
      <c r="F395" s="212" t="s">
        <v>2033</v>
      </c>
      <c r="G395" s="212" t="n">
        <v>63</v>
      </c>
      <c r="H395" s="212" t="s">
        <v>120</v>
      </c>
      <c r="I395" s="250" t="n">
        <v>42.43</v>
      </c>
    </row>
    <row r="396" customFormat="false" ht="13.8" hidden="false" customHeight="false" outlineLevel="0" collapsed="false">
      <c r="A396" s="218"/>
      <c r="B396" s="251"/>
      <c r="C396" s="251"/>
      <c r="D396" s="251"/>
      <c r="E396" s="212" t="s">
        <v>2469</v>
      </c>
      <c r="F396" s="212" t="s">
        <v>2033</v>
      </c>
      <c r="G396" s="212" t="n">
        <v>63</v>
      </c>
      <c r="H396" s="212" t="s">
        <v>120</v>
      </c>
      <c r="I396" s="250" t="n">
        <v>103.95</v>
      </c>
    </row>
    <row r="397" customFormat="false" ht="13.8" hidden="false" customHeight="false" outlineLevel="0" collapsed="false">
      <c r="A397" s="218"/>
      <c r="B397" s="251"/>
      <c r="C397" s="251"/>
      <c r="D397" s="251"/>
      <c r="E397" s="212" t="s">
        <v>2473</v>
      </c>
      <c r="F397" s="212" t="s">
        <v>2033</v>
      </c>
      <c r="G397" s="212" t="n">
        <v>63</v>
      </c>
      <c r="H397" s="212" t="s">
        <v>120</v>
      </c>
      <c r="I397" s="250" t="n">
        <v>37.93</v>
      </c>
    </row>
    <row r="398" customFormat="false" ht="13.8" hidden="false" customHeight="false" outlineLevel="0" collapsed="false">
      <c r="A398" s="218"/>
      <c r="B398" s="251"/>
      <c r="C398" s="251"/>
      <c r="D398" s="251"/>
      <c r="E398" s="212" t="s">
        <v>2477</v>
      </c>
      <c r="F398" s="212" t="s">
        <v>2033</v>
      </c>
      <c r="G398" s="212" t="n">
        <v>63</v>
      </c>
      <c r="H398" s="212" t="s">
        <v>120</v>
      </c>
      <c r="I398" s="250" t="n">
        <v>39.29</v>
      </c>
    </row>
    <row r="399" customFormat="false" ht="13.8" hidden="false" customHeight="false" outlineLevel="0" collapsed="false">
      <c r="A399" s="218"/>
      <c r="B399" s="251"/>
      <c r="C399" s="251"/>
      <c r="D399" s="251"/>
      <c r="E399" s="212" t="s">
        <v>2479</v>
      </c>
      <c r="F399" s="212" t="s">
        <v>2033</v>
      </c>
      <c r="G399" s="212" t="n">
        <v>160</v>
      </c>
      <c r="H399" s="212" t="s">
        <v>120</v>
      </c>
      <c r="I399" s="250" t="n">
        <v>79.36</v>
      </c>
    </row>
    <row r="400" customFormat="false" ht="13.8" hidden="false" customHeight="false" outlineLevel="0" collapsed="false">
      <c r="A400" s="218"/>
      <c r="B400" s="251"/>
      <c r="C400" s="251"/>
      <c r="D400" s="251"/>
      <c r="E400" s="212" t="s">
        <v>2482</v>
      </c>
      <c r="F400" s="212" t="s">
        <v>2033</v>
      </c>
      <c r="G400" s="212" t="n">
        <v>90</v>
      </c>
      <c r="H400" s="212" t="s">
        <v>120</v>
      </c>
      <c r="I400" s="250" t="n">
        <v>163.42</v>
      </c>
    </row>
    <row r="401" customFormat="false" ht="13.8" hidden="false" customHeight="false" outlineLevel="0" collapsed="false">
      <c r="A401" s="218"/>
      <c r="B401" s="251"/>
      <c r="C401" s="251"/>
      <c r="D401" s="251"/>
      <c r="E401" s="212" t="s">
        <v>2720</v>
      </c>
      <c r="F401" s="212" t="s">
        <v>2522</v>
      </c>
      <c r="G401" s="212" t="n">
        <v>250</v>
      </c>
      <c r="H401" s="212" t="s">
        <v>120</v>
      </c>
      <c r="I401" s="250" t="n">
        <v>366.89</v>
      </c>
    </row>
    <row r="402" customFormat="false" ht="13.8" hidden="false" customHeight="false" outlineLevel="0" collapsed="false">
      <c r="A402" s="218"/>
      <c r="B402" s="251"/>
      <c r="C402" s="251"/>
      <c r="D402" s="251"/>
      <c r="E402" s="212" t="s">
        <v>2723</v>
      </c>
      <c r="F402" s="212" t="s">
        <v>2522</v>
      </c>
      <c r="G402" s="212" t="n">
        <v>160</v>
      </c>
      <c r="H402" s="212" t="s">
        <v>120</v>
      </c>
      <c r="I402" s="250" t="n">
        <v>124.26</v>
      </c>
    </row>
    <row r="403" customFormat="false" ht="13.8" hidden="false" customHeight="false" outlineLevel="0" collapsed="false">
      <c r="A403" s="218"/>
      <c r="B403" s="251"/>
      <c r="C403" s="251"/>
      <c r="D403" s="251"/>
      <c r="E403" s="212" t="s">
        <v>2727</v>
      </c>
      <c r="F403" s="212" t="s">
        <v>2522</v>
      </c>
      <c r="G403" s="212" t="n">
        <v>225</v>
      </c>
      <c r="H403" s="212" t="s">
        <v>120</v>
      </c>
      <c r="I403" s="250" t="n">
        <v>14.98</v>
      </c>
    </row>
    <row r="404" customFormat="false" ht="13.8" hidden="false" customHeight="false" outlineLevel="0" collapsed="false">
      <c r="A404" s="218"/>
      <c r="B404" s="251"/>
      <c r="C404" s="251"/>
      <c r="D404" s="251"/>
      <c r="E404" s="212" t="s">
        <v>2728</v>
      </c>
      <c r="F404" s="212" t="s">
        <v>2522</v>
      </c>
      <c r="G404" s="212" t="n">
        <v>160</v>
      </c>
      <c r="H404" s="212" t="s">
        <v>120</v>
      </c>
      <c r="I404" s="250" t="n">
        <v>56.94</v>
      </c>
    </row>
    <row r="405" customFormat="false" ht="13.8" hidden="false" customHeight="false" outlineLevel="0" collapsed="false">
      <c r="A405" s="218"/>
      <c r="B405" s="251"/>
      <c r="C405" s="251"/>
      <c r="D405" s="251"/>
      <c r="E405" s="212" t="s">
        <v>2732</v>
      </c>
      <c r="F405" s="212" t="s">
        <v>2522</v>
      </c>
      <c r="G405" s="212" t="n">
        <v>110</v>
      </c>
      <c r="H405" s="212" t="s">
        <v>120</v>
      </c>
      <c r="I405" s="250" t="n">
        <v>113.57</v>
      </c>
    </row>
    <row r="406" customFormat="false" ht="13.8" hidden="false" customHeight="false" outlineLevel="0" collapsed="false">
      <c r="A406" s="218"/>
      <c r="B406" s="251"/>
      <c r="C406" s="251"/>
      <c r="D406" s="251"/>
      <c r="E406" s="212" t="s">
        <v>2736</v>
      </c>
      <c r="F406" s="212" t="s">
        <v>2522</v>
      </c>
      <c r="G406" s="212" t="n">
        <v>225</v>
      </c>
      <c r="H406" s="212" t="s">
        <v>120</v>
      </c>
      <c r="I406" s="250" t="n">
        <v>11.41</v>
      </c>
    </row>
    <row r="407" customFormat="false" ht="13.8" hidden="false" customHeight="false" outlineLevel="0" collapsed="false">
      <c r="A407" s="218"/>
      <c r="B407" s="251"/>
      <c r="C407" s="251"/>
      <c r="D407" s="251"/>
      <c r="E407" s="212" t="s">
        <v>2737</v>
      </c>
      <c r="F407" s="212" t="s">
        <v>2522</v>
      </c>
      <c r="G407" s="212" t="n">
        <v>63</v>
      </c>
      <c r="H407" s="212" t="s">
        <v>120</v>
      </c>
      <c r="I407" s="250" t="n">
        <v>62.13</v>
      </c>
    </row>
    <row r="408" customFormat="false" ht="13.8" hidden="false" customHeight="false" outlineLevel="0" collapsed="false">
      <c r="A408" s="218"/>
      <c r="B408" s="251"/>
      <c r="C408" s="251"/>
      <c r="D408" s="251"/>
      <c r="E408" s="212" t="s">
        <v>2741</v>
      </c>
      <c r="F408" s="212" t="s">
        <v>2522</v>
      </c>
      <c r="G408" s="212" t="n">
        <v>160</v>
      </c>
      <c r="H408" s="212" t="s">
        <v>120</v>
      </c>
      <c r="I408" s="250" t="n">
        <v>68.9</v>
      </c>
    </row>
    <row r="409" customFormat="false" ht="13.8" hidden="false" customHeight="false" outlineLevel="0" collapsed="false">
      <c r="A409" s="218"/>
      <c r="B409" s="251"/>
      <c r="C409" s="251"/>
      <c r="D409" s="251"/>
      <c r="E409" s="212" t="s">
        <v>2745</v>
      </c>
      <c r="F409" s="212" t="s">
        <v>2522</v>
      </c>
      <c r="G409" s="212" t="n">
        <v>63</v>
      </c>
      <c r="H409" s="212" t="s">
        <v>120</v>
      </c>
      <c r="I409" s="250" t="n">
        <v>85.37</v>
      </c>
    </row>
    <row r="410" customFormat="false" ht="13.8" hidden="false" customHeight="false" outlineLevel="0" collapsed="false">
      <c r="A410" s="218"/>
      <c r="B410" s="251"/>
      <c r="C410" s="251"/>
      <c r="D410" s="251"/>
      <c r="E410" s="212" t="s">
        <v>2749</v>
      </c>
      <c r="F410" s="212" t="s">
        <v>2522</v>
      </c>
      <c r="G410" s="212" t="n">
        <v>63</v>
      </c>
      <c r="H410" s="212" t="s">
        <v>120</v>
      </c>
      <c r="I410" s="250" t="n">
        <v>78.41</v>
      </c>
    </row>
    <row r="411" customFormat="false" ht="13.8" hidden="false" customHeight="false" outlineLevel="0" collapsed="false">
      <c r="A411" s="218"/>
      <c r="B411" s="251"/>
      <c r="C411" s="251"/>
      <c r="D411" s="251"/>
      <c r="E411" s="212" t="s">
        <v>2753</v>
      </c>
      <c r="F411" s="212" t="s">
        <v>2522</v>
      </c>
      <c r="G411" s="212" t="n">
        <v>160</v>
      </c>
      <c r="H411" s="212" t="s">
        <v>120</v>
      </c>
      <c r="I411" s="250" t="n">
        <v>79.02</v>
      </c>
    </row>
    <row r="412" customFormat="false" ht="13.8" hidden="false" customHeight="false" outlineLevel="0" collapsed="false">
      <c r="A412" s="218"/>
      <c r="B412" s="251"/>
      <c r="C412" s="251"/>
      <c r="D412" s="251"/>
      <c r="E412" s="212" t="s">
        <v>2757</v>
      </c>
      <c r="F412" s="212" t="s">
        <v>2522</v>
      </c>
      <c r="G412" s="212" t="n">
        <v>250</v>
      </c>
      <c r="H412" s="212" t="s">
        <v>120</v>
      </c>
      <c r="I412" s="250" t="n">
        <v>61.68</v>
      </c>
    </row>
    <row r="413" customFormat="false" ht="13.8" hidden="false" customHeight="false" outlineLevel="0" collapsed="false">
      <c r="A413" s="218"/>
      <c r="B413" s="251"/>
      <c r="C413" s="251"/>
      <c r="D413" s="251"/>
      <c r="E413" s="212" t="s">
        <v>2761</v>
      </c>
      <c r="F413" s="212" t="s">
        <v>2522</v>
      </c>
      <c r="G413" s="212" t="n">
        <v>250</v>
      </c>
      <c r="H413" s="212" t="s">
        <v>120</v>
      </c>
      <c r="I413" s="250" t="n">
        <v>6.72</v>
      </c>
    </row>
    <row r="414" customFormat="false" ht="13.8" hidden="false" customHeight="false" outlineLevel="0" collapsed="false">
      <c r="A414" s="218"/>
      <c r="B414" s="251"/>
      <c r="C414" s="251"/>
      <c r="D414" s="251"/>
      <c r="E414" s="212" t="s">
        <v>2764</v>
      </c>
      <c r="F414" s="212" t="s">
        <v>2522</v>
      </c>
      <c r="G414" s="212" t="n">
        <v>250</v>
      </c>
      <c r="H414" s="212" t="s">
        <v>120</v>
      </c>
      <c r="I414" s="250" t="n">
        <v>2.07</v>
      </c>
    </row>
    <row r="415" customFormat="false" ht="13.8" hidden="false" customHeight="false" outlineLevel="0" collapsed="false">
      <c r="A415" s="218"/>
      <c r="B415" s="251"/>
      <c r="C415" s="251"/>
      <c r="D415" s="251"/>
      <c r="E415" s="212" t="s">
        <v>2766</v>
      </c>
      <c r="F415" s="212" t="s">
        <v>2522</v>
      </c>
      <c r="G415" s="212" t="n">
        <v>250</v>
      </c>
      <c r="H415" s="212" t="s">
        <v>120</v>
      </c>
      <c r="I415" s="250" t="n">
        <v>2.88</v>
      </c>
    </row>
    <row r="416" customFormat="false" ht="13.8" hidden="false" customHeight="false" outlineLevel="0" collapsed="false">
      <c r="A416" s="218"/>
      <c r="B416" s="251"/>
      <c r="C416" s="251"/>
      <c r="D416" s="251"/>
      <c r="E416" s="212" t="s">
        <v>2770</v>
      </c>
      <c r="F416" s="212" t="s">
        <v>2522</v>
      </c>
      <c r="G416" s="212" t="n">
        <v>63</v>
      </c>
      <c r="H416" s="212" t="s">
        <v>120</v>
      </c>
      <c r="I416" s="250" t="n">
        <v>39.64</v>
      </c>
    </row>
    <row r="417" customFormat="false" ht="13.8" hidden="false" customHeight="false" outlineLevel="0" collapsed="false">
      <c r="A417" s="218"/>
      <c r="B417" s="251"/>
      <c r="C417" s="251"/>
      <c r="D417" s="251"/>
      <c r="E417" s="212" t="s">
        <v>2775</v>
      </c>
      <c r="F417" s="212" t="s">
        <v>2522</v>
      </c>
      <c r="G417" s="212" t="n">
        <v>250</v>
      </c>
      <c r="H417" s="212" t="s">
        <v>120</v>
      </c>
      <c r="I417" s="250" t="n">
        <v>1.02</v>
      </c>
    </row>
    <row r="418" customFormat="false" ht="13.8" hidden="false" customHeight="false" outlineLevel="0" collapsed="false">
      <c r="A418" s="218"/>
      <c r="B418" s="251"/>
      <c r="C418" s="251"/>
      <c r="D418" s="251"/>
      <c r="E418" s="212" t="s">
        <v>2778</v>
      </c>
      <c r="F418" s="212" t="s">
        <v>2522</v>
      </c>
      <c r="G418" s="212" t="n">
        <v>160</v>
      </c>
      <c r="H418" s="212" t="s">
        <v>120</v>
      </c>
      <c r="I418" s="250" t="n">
        <v>75.51</v>
      </c>
    </row>
    <row r="419" customFormat="false" ht="13.8" hidden="false" customHeight="false" outlineLevel="0" collapsed="false">
      <c r="A419" s="218"/>
      <c r="B419" s="251"/>
      <c r="C419" s="251"/>
      <c r="D419" s="251"/>
      <c r="E419" s="212" t="s">
        <v>2782</v>
      </c>
      <c r="F419" s="212" t="s">
        <v>2522</v>
      </c>
      <c r="G419" s="212" t="n">
        <v>250</v>
      </c>
      <c r="H419" s="212" t="s">
        <v>120</v>
      </c>
      <c r="I419" s="250" t="n">
        <v>4.45</v>
      </c>
    </row>
    <row r="420" customFormat="false" ht="13.8" hidden="false" customHeight="false" outlineLevel="0" collapsed="false">
      <c r="A420" s="218"/>
      <c r="B420" s="251"/>
      <c r="C420" s="251"/>
      <c r="D420" s="251"/>
      <c r="E420" s="212" t="s">
        <v>2785</v>
      </c>
      <c r="F420" s="212" t="s">
        <v>2522</v>
      </c>
      <c r="G420" s="212" t="n">
        <v>250</v>
      </c>
      <c r="H420" s="212" t="s">
        <v>120</v>
      </c>
      <c r="I420" s="250" t="n">
        <v>2.46</v>
      </c>
    </row>
    <row r="421" customFormat="false" ht="13.8" hidden="false" customHeight="false" outlineLevel="0" collapsed="false">
      <c r="A421" s="218"/>
      <c r="B421" s="251"/>
      <c r="C421" s="251"/>
      <c r="D421" s="251"/>
      <c r="E421" s="212" t="s">
        <v>2787</v>
      </c>
      <c r="F421" s="212" t="s">
        <v>2522</v>
      </c>
      <c r="G421" s="212" t="n">
        <v>160</v>
      </c>
      <c r="H421" s="212" t="s">
        <v>120</v>
      </c>
      <c r="I421" s="250" t="n">
        <v>25.59</v>
      </c>
    </row>
    <row r="422" customFormat="false" ht="13.8" hidden="false" customHeight="false" outlineLevel="0" collapsed="false">
      <c r="A422" s="218"/>
      <c r="B422" s="251"/>
      <c r="C422" s="251"/>
      <c r="D422" s="251"/>
      <c r="E422" s="212" t="s">
        <v>2791</v>
      </c>
      <c r="F422" s="212" t="s">
        <v>2522</v>
      </c>
      <c r="G422" s="212" t="n">
        <v>160</v>
      </c>
      <c r="H422" s="212" t="s">
        <v>120</v>
      </c>
      <c r="I422" s="250" t="n">
        <v>122.85</v>
      </c>
    </row>
    <row r="423" customFormat="false" ht="13.8" hidden="false" customHeight="false" outlineLevel="0" collapsed="false">
      <c r="A423" s="218"/>
      <c r="B423" s="251"/>
      <c r="C423" s="251"/>
      <c r="D423" s="251"/>
      <c r="E423" s="212" t="s">
        <v>2793</v>
      </c>
      <c r="F423" s="212" t="s">
        <v>2522</v>
      </c>
      <c r="G423" s="212" t="n">
        <v>160</v>
      </c>
      <c r="H423" s="212" t="s">
        <v>120</v>
      </c>
      <c r="I423" s="250" t="n">
        <v>0.9</v>
      </c>
    </row>
    <row r="424" customFormat="false" ht="13.8" hidden="false" customHeight="false" outlineLevel="0" collapsed="false">
      <c r="A424" s="218"/>
      <c r="B424" s="251"/>
      <c r="C424" s="251"/>
      <c r="D424" s="251"/>
      <c r="E424" s="212" t="s">
        <v>3353</v>
      </c>
      <c r="F424" s="212" t="s">
        <v>3352</v>
      </c>
      <c r="G424" s="212" t="n">
        <v>225</v>
      </c>
      <c r="H424" s="212" t="s">
        <v>120</v>
      </c>
      <c r="I424" s="250" t="n">
        <v>101.15</v>
      </c>
    </row>
    <row r="425" customFormat="false" ht="13.8" hidden="false" customHeight="false" outlineLevel="0" collapsed="false">
      <c r="A425" s="218"/>
      <c r="B425" s="251"/>
      <c r="C425" s="251"/>
      <c r="D425" s="251"/>
      <c r="E425" s="212" t="s">
        <v>3360</v>
      </c>
      <c r="F425" s="212" t="s">
        <v>3352</v>
      </c>
      <c r="G425" s="212" t="n">
        <v>225</v>
      </c>
      <c r="H425" s="212" t="s">
        <v>120</v>
      </c>
      <c r="I425" s="250" t="n">
        <v>22.16</v>
      </c>
    </row>
    <row r="426" customFormat="false" ht="13.8" hidden="false" customHeight="false" outlineLevel="0" collapsed="false">
      <c r="A426" s="218"/>
      <c r="B426" s="251"/>
      <c r="C426" s="251"/>
      <c r="D426" s="251"/>
      <c r="E426" s="212" t="s">
        <v>3364</v>
      </c>
      <c r="F426" s="212" t="s">
        <v>3352</v>
      </c>
      <c r="G426" s="212" t="n">
        <v>160</v>
      </c>
      <c r="H426" s="212" t="s">
        <v>120</v>
      </c>
      <c r="I426" s="250" t="n">
        <v>40.61</v>
      </c>
    </row>
    <row r="427" customFormat="false" ht="13.8" hidden="false" customHeight="false" outlineLevel="0" collapsed="false">
      <c r="A427" s="218"/>
      <c r="B427" s="251"/>
      <c r="C427" s="251"/>
      <c r="D427" s="251"/>
      <c r="E427" s="212" t="s">
        <v>3368</v>
      </c>
      <c r="F427" s="212" t="s">
        <v>3352</v>
      </c>
      <c r="G427" s="212" t="n">
        <v>225</v>
      </c>
      <c r="H427" s="212" t="s">
        <v>120</v>
      </c>
      <c r="I427" s="250" t="n">
        <v>49.96</v>
      </c>
    </row>
    <row r="428" customFormat="false" ht="13.8" hidden="false" customHeight="false" outlineLevel="0" collapsed="false">
      <c r="A428" s="218"/>
      <c r="B428" s="251"/>
      <c r="C428" s="251"/>
      <c r="D428" s="251"/>
      <c r="E428" s="212" t="s">
        <v>3371</v>
      </c>
      <c r="F428" s="212" t="s">
        <v>3352</v>
      </c>
      <c r="G428" s="212" t="n">
        <v>225</v>
      </c>
      <c r="H428" s="212" t="s">
        <v>120</v>
      </c>
      <c r="I428" s="250" t="n">
        <v>64.78</v>
      </c>
    </row>
    <row r="429" customFormat="false" ht="13.8" hidden="false" customHeight="false" outlineLevel="0" collapsed="false">
      <c r="A429" s="218"/>
      <c r="B429" s="251"/>
      <c r="C429" s="251"/>
      <c r="D429" s="251"/>
      <c r="E429" s="212" t="s">
        <v>3374</v>
      </c>
      <c r="F429" s="212" t="s">
        <v>3352</v>
      </c>
      <c r="G429" s="212" t="n">
        <v>63</v>
      </c>
      <c r="H429" s="212" t="s">
        <v>120</v>
      </c>
      <c r="I429" s="250" t="n">
        <v>4.2</v>
      </c>
    </row>
    <row r="430" customFormat="false" ht="13.8" hidden="false" customHeight="false" outlineLevel="0" collapsed="false">
      <c r="A430" s="218"/>
      <c r="B430" s="251"/>
      <c r="C430" s="251"/>
      <c r="D430" s="251"/>
      <c r="E430" s="212" t="s">
        <v>3378</v>
      </c>
      <c r="F430" s="212" t="s">
        <v>3352</v>
      </c>
      <c r="G430" s="212" t="n">
        <v>160</v>
      </c>
      <c r="H430" s="212" t="s">
        <v>120</v>
      </c>
      <c r="I430" s="250" t="n">
        <v>53.57</v>
      </c>
    </row>
    <row r="431" customFormat="false" ht="13.8" hidden="false" customHeight="false" outlineLevel="0" collapsed="false">
      <c r="A431" s="218"/>
      <c r="B431" s="251"/>
      <c r="C431" s="251"/>
      <c r="D431" s="251"/>
      <c r="E431" s="212" t="s">
        <v>3382</v>
      </c>
      <c r="F431" s="212" t="s">
        <v>3352</v>
      </c>
      <c r="G431" s="212" t="n">
        <v>63</v>
      </c>
      <c r="H431" s="212" t="s">
        <v>120</v>
      </c>
      <c r="I431" s="250" t="n">
        <v>105.75</v>
      </c>
    </row>
    <row r="432" customFormat="false" ht="13.8" hidden="false" customHeight="false" outlineLevel="0" collapsed="false">
      <c r="A432" s="218"/>
      <c r="B432" s="251"/>
      <c r="C432" s="251"/>
      <c r="D432" s="251"/>
      <c r="E432" s="212" t="s">
        <v>3386</v>
      </c>
      <c r="F432" s="212" t="s">
        <v>3352</v>
      </c>
      <c r="G432" s="212" t="n">
        <v>63</v>
      </c>
      <c r="H432" s="212" t="s">
        <v>120</v>
      </c>
      <c r="I432" s="250" t="n">
        <v>204.34</v>
      </c>
    </row>
    <row r="433" customFormat="false" ht="13.8" hidden="false" customHeight="false" outlineLevel="0" collapsed="false">
      <c r="A433" s="218"/>
      <c r="B433" s="251"/>
      <c r="C433" s="251"/>
      <c r="D433" s="251"/>
      <c r="E433" s="212" t="s">
        <v>3390</v>
      </c>
      <c r="F433" s="212" t="s">
        <v>3352</v>
      </c>
      <c r="G433" s="212" t="n">
        <v>160</v>
      </c>
      <c r="H433" s="212" t="s">
        <v>120</v>
      </c>
      <c r="I433" s="250" t="n">
        <v>26.97</v>
      </c>
    </row>
    <row r="434" customFormat="false" ht="13.8" hidden="false" customHeight="false" outlineLevel="0" collapsed="false">
      <c r="A434" s="218"/>
      <c r="B434" s="251"/>
      <c r="C434" s="251"/>
      <c r="D434" s="251"/>
      <c r="E434" s="212" t="s">
        <v>3394</v>
      </c>
      <c r="F434" s="212" t="s">
        <v>3352</v>
      </c>
      <c r="G434" s="212" t="n">
        <v>63</v>
      </c>
      <c r="H434" s="212" t="s">
        <v>120</v>
      </c>
      <c r="I434" s="250" t="n">
        <v>40.34</v>
      </c>
    </row>
    <row r="435" customFormat="false" ht="13.8" hidden="false" customHeight="false" outlineLevel="0" collapsed="false">
      <c r="A435" s="218"/>
      <c r="B435" s="251"/>
      <c r="C435" s="251"/>
      <c r="D435" s="251"/>
      <c r="E435" s="212" t="s">
        <v>3398</v>
      </c>
      <c r="F435" s="212" t="s">
        <v>3352</v>
      </c>
      <c r="G435" s="212" t="n">
        <v>63</v>
      </c>
      <c r="H435" s="212" t="s">
        <v>120</v>
      </c>
      <c r="I435" s="250" t="n">
        <v>238.24</v>
      </c>
    </row>
    <row r="436" customFormat="false" ht="13.8" hidden="false" customHeight="false" outlineLevel="0" collapsed="false">
      <c r="A436" s="218"/>
      <c r="B436" s="251"/>
      <c r="C436" s="251"/>
      <c r="D436" s="251"/>
      <c r="E436" s="212" t="s">
        <v>3403</v>
      </c>
      <c r="F436" s="212" t="s">
        <v>3352</v>
      </c>
      <c r="G436" s="212" t="n">
        <v>63</v>
      </c>
      <c r="H436" s="212" t="s">
        <v>120</v>
      </c>
      <c r="I436" s="250" t="n">
        <v>59.45</v>
      </c>
    </row>
    <row r="437" customFormat="false" ht="13.8" hidden="false" customHeight="false" outlineLevel="0" collapsed="false">
      <c r="A437" s="218"/>
      <c r="B437" s="251"/>
      <c r="C437" s="251"/>
      <c r="D437" s="251"/>
      <c r="E437" s="212" t="s">
        <v>3407</v>
      </c>
      <c r="F437" s="212" t="s">
        <v>3352</v>
      </c>
      <c r="G437" s="212" t="n">
        <v>160</v>
      </c>
      <c r="H437" s="212" t="s">
        <v>120</v>
      </c>
      <c r="I437" s="250" t="n">
        <v>49.22</v>
      </c>
    </row>
    <row r="438" customFormat="false" ht="13.8" hidden="false" customHeight="false" outlineLevel="0" collapsed="false">
      <c r="A438" s="218"/>
      <c r="B438" s="251"/>
      <c r="C438" s="251"/>
      <c r="D438" s="251"/>
      <c r="E438" s="212" t="s">
        <v>3412</v>
      </c>
      <c r="F438" s="212" t="s">
        <v>3352</v>
      </c>
      <c r="G438" s="212" t="n">
        <v>63</v>
      </c>
      <c r="H438" s="212" t="s">
        <v>120</v>
      </c>
      <c r="I438" s="250" t="n">
        <v>17.52</v>
      </c>
    </row>
    <row r="439" customFormat="false" ht="13.8" hidden="false" customHeight="false" outlineLevel="0" collapsed="false">
      <c r="A439" s="218"/>
      <c r="B439" s="251"/>
      <c r="C439" s="251"/>
      <c r="D439" s="251"/>
      <c r="E439" s="212" t="s">
        <v>3416</v>
      </c>
      <c r="F439" s="212" t="s">
        <v>3352</v>
      </c>
      <c r="G439" s="212" t="n">
        <v>250</v>
      </c>
      <c r="H439" s="212" t="s">
        <v>120</v>
      </c>
      <c r="I439" s="250" t="n">
        <v>379.18</v>
      </c>
    </row>
    <row r="440" customFormat="false" ht="13.8" hidden="false" customHeight="false" outlineLevel="0" collapsed="false">
      <c r="A440" s="218"/>
      <c r="B440" s="251"/>
      <c r="C440" s="251"/>
      <c r="D440" s="251"/>
      <c r="E440" s="212" t="s">
        <v>3419</v>
      </c>
      <c r="F440" s="212" t="s">
        <v>3352</v>
      </c>
      <c r="G440" s="212" t="n">
        <v>63</v>
      </c>
      <c r="H440" s="212" t="s">
        <v>120</v>
      </c>
      <c r="I440" s="250" t="n">
        <v>19.83</v>
      </c>
    </row>
    <row r="441" customFormat="false" ht="13.8" hidden="false" customHeight="false" outlineLevel="0" collapsed="false">
      <c r="A441" s="218"/>
      <c r="B441" s="251"/>
      <c r="C441" s="251"/>
      <c r="D441" s="251"/>
      <c r="E441" s="212" t="s">
        <v>3423</v>
      </c>
      <c r="F441" s="212" t="s">
        <v>3352</v>
      </c>
      <c r="G441" s="212" t="n">
        <v>63</v>
      </c>
      <c r="H441" s="212" t="s">
        <v>120</v>
      </c>
      <c r="I441" s="250" t="n">
        <v>360.83</v>
      </c>
    </row>
    <row r="442" customFormat="false" ht="13.8" hidden="false" customHeight="false" outlineLevel="0" collapsed="false">
      <c r="A442" s="218"/>
      <c r="B442" s="251"/>
      <c r="C442" s="251"/>
      <c r="D442" s="251"/>
      <c r="E442" s="212" t="s">
        <v>3427</v>
      </c>
      <c r="F442" s="212" t="s">
        <v>3352</v>
      </c>
      <c r="G442" s="212" t="n">
        <v>160</v>
      </c>
      <c r="H442" s="212" t="s">
        <v>120</v>
      </c>
      <c r="I442" s="250" t="n">
        <v>24.64</v>
      </c>
    </row>
    <row r="443" customFormat="false" ht="13.8" hidden="false" customHeight="false" outlineLevel="0" collapsed="false">
      <c r="A443" s="218"/>
      <c r="B443" s="251"/>
      <c r="C443" s="251"/>
      <c r="D443" s="251"/>
      <c r="E443" s="212" t="s">
        <v>3431</v>
      </c>
      <c r="F443" s="212" t="s">
        <v>3352</v>
      </c>
      <c r="G443" s="212" t="n">
        <v>63</v>
      </c>
      <c r="H443" s="212" t="s">
        <v>120</v>
      </c>
      <c r="I443" s="250" t="n">
        <v>72.97</v>
      </c>
    </row>
    <row r="444" customFormat="false" ht="13.8" hidden="false" customHeight="false" outlineLevel="0" collapsed="false">
      <c r="A444" s="218"/>
      <c r="B444" s="251"/>
      <c r="C444" s="251"/>
      <c r="D444" s="251"/>
      <c r="E444" s="212" t="s">
        <v>3435</v>
      </c>
      <c r="F444" s="212" t="s">
        <v>3352</v>
      </c>
      <c r="G444" s="212" t="n">
        <v>63</v>
      </c>
      <c r="H444" s="212" t="s">
        <v>120</v>
      </c>
      <c r="I444" s="250" t="n">
        <v>11.2</v>
      </c>
    </row>
    <row r="445" customFormat="false" ht="13.8" hidden="false" customHeight="false" outlineLevel="0" collapsed="false">
      <c r="A445" s="218"/>
      <c r="B445" s="252"/>
      <c r="C445" s="252"/>
      <c r="D445" s="252"/>
      <c r="E445" s="212" t="s">
        <v>3439</v>
      </c>
      <c r="F445" s="212" t="s">
        <v>3352</v>
      </c>
      <c r="G445" s="212" t="n">
        <v>63</v>
      </c>
      <c r="H445" s="212" t="s">
        <v>120</v>
      </c>
      <c r="I445" s="250" t="n">
        <v>76</v>
      </c>
    </row>
    <row r="446" customFormat="false" ht="13.8" hidden="false" customHeight="false" outlineLevel="0" collapsed="false">
      <c r="A446" s="218"/>
      <c r="B446" s="249" t="s">
        <v>7036</v>
      </c>
      <c r="C446" s="249" t="s">
        <v>117</v>
      </c>
      <c r="D446" s="249" t="s">
        <v>1548</v>
      </c>
      <c r="E446" s="212" t="s">
        <v>2796</v>
      </c>
      <c r="F446" s="212" t="s">
        <v>2522</v>
      </c>
      <c r="G446" s="212" t="n">
        <v>160</v>
      </c>
      <c r="H446" s="212" t="s">
        <v>120</v>
      </c>
      <c r="I446" s="250" t="n">
        <v>5.16</v>
      </c>
    </row>
    <row r="447" customFormat="false" ht="13.8" hidden="false" customHeight="false" outlineLevel="0" collapsed="false">
      <c r="A447" s="218"/>
      <c r="B447" s="251"/>
      <c r="C447" s="251"/>
      <c r="D447" s="251"/>
      <c r="E447" s="212" t="s">
        <v>2802</v>
      </c>
      <c r="F447" s="212" t="s">
        <v>2522</v>
      </c>
      <c r="G447" s="212" t="n">
        <v>160</v>
      </c>
      <c r="H447" s="212" t="s">
        <v>120</v>
      </c>
      <c r="I447" s="250" t="n">
        <v>3.92</v>
      </c>
    </row>
    <row r="448" customFormat="false" ht="13.8" hidden="false" customHeight="false" outlineLevel="0" collapsed="false">
      <c r="A448" s="218"/>
      <c r="B448" s="251"/>
      <c r="C448" s="251"/>
      <c r="D448" s="251"/>
      <c r="E448" s="212" t="s">
        <v>2805</v>
      </c>
      <c r="F448" s="212" t="s">
        <v>2522</v>
      </c>
      <c r="G448" s="212" t="n">
        <v>110</v>
      </c>
      <c r="H448" s="212" t="s">
        <v>120</v>
      </c>
      <c r="I448" s="250" t="n">
        <v>47.52</v>
      </c>
    </row>
    <row r="449" customFormat="false" ht="13.8" hidden="false" customHeight="false" outlineLevel="0" collapsed="false">
      <c r="A449" s="218"/>
      <c r="B449" s="251"/>
      <c r="C449" s="251"/>
      <c r="D449" s="251"/>
      <c r="E449" s="212" t="s">
        <v>2809</v>
      </c>
      <c r="F449" s="212" t="s">
        <v>2522</v>
      </c>
      <c r="G449" s="212" t="n">
        <v>110</v>
      </c>
      <c r="H449" s="212" t="s">
        <v>120</v>
      </c>
      <c r="I449" s="250" t="n">
        <v>292.57</v>
      </c>
    </row>
    <row r="450" customFormat="false" ht="13.8" hidden="false" customHeight="false" outlineLevel="0" collapsed="false">
      <c r="A450" s="218"/>
      <c r="B450" s="251"/>
      <c r="C450" s="251"/>
      <c r="D450" s="251"/>
      <c r="E450" s="212" t="s">
        <v>2812</v>
      </c>
      <c r="F450" s="212" t="s">
        <v>2522</v>
      </c>
      <c r="G450" s="212" t="n">
        <v>63</v>
      </c>
      <c r="H450" s="212" t="s">
        <v>120</v>
      </c>
      <c r="I450" s="250" t="n">
        <v>211.34</v>
      </c>
    </row>
    <row r="451" customFormat="false" ht="13.8" hidden="false" customHeight="false" outlineLevel="0" collapsed="false">
      <c r="A451" s="218"/>
      <c r="B451" s="251"/>
      <c r="C451" s="251"/>
      <c r="D451" s="251"/>
      <c r="E451" s="212" t="s">
        <v>2816</v>
      </c>
      <c r="F451" s="212" t="s">
        <v>2522</v>
      </c>
      <c r="G451" s="212" t="n">
        <v>160</v>
      </c>
      <c r="H451" s="212" t="s">
        <v>120</v>
      </c>
      <c r="I451" s="250" t="n">
        <v>293.47</v>
      </c>
    </row>
    <row r="452" customFormat="false" ht="13.8" hidden="false" customHeight="false" outlineLevel="0" collapsed="false">
      <c r="A452" s="218"/>
      <c r="B452" s="251"/>
      <c r="C452" s="251"/>
      <c r="D452" s="251"/>
      <c r="E452" s="212" t="s">
        <v>2818</v>
      </c>
      <c r="F452" s="212" t="s">
        <v>2522</v>
      </c>
      <c r="G452" s="212" t="n">
        <v>160</v>
      </c>
      <c r="H452" s="212" t="s">
        <v>120</v>
      </c>
      <c r="I452" s="250" t="n">
        <v>2.51</v>
      </c>
    </row>
    <row r="453" customFormat="false" ht="13.8" hidden="false" customHeight="false" outlineLevel="0" collapsed="false">
      <c r="A453" s="218"/>
      <c r="B453" s="251"/>
      <c r="C453" s="251"/>
      <c r="D453" s="251"/>
      <c r="E453" s="212" t="s">
        <v>2821</v>
      </c>
      <c r="F453" s="212" t="s">
        <v>2522</v>
      </c>
      <c r="G453" s="212" t="n">
        <v>63</v>
      </c>
      <c r="H453" s="212" t="s">
        <v>120</v>
      </c>
      <c r="I453" s="250" t="n">
        <v>70.52</v>
      </c>
    </row>
    <row r="454" customFormat="false" ht="13.8" hidden="false" customHeight="false" outlineLevel="0" collapsed="false">
      <c r="A454" s="218"/>
      <c r="B454" s="251"/>
      <c r="C454" s="251"/>
      <c r="D454" s="251"/>
      <c r="E454" s="212" t="s">
        <v>2825</v>
      </c>
      <c r="F454" s="212" t="s">
        <v>2522</v>
      </c>
      <c r="G454" s="212" t="n">
        <v>160</v>
      </c>
      <c r="H454" s="212" t="s">
        <v>120</v>
      </c>
      <c r="I454" s="250" t="n">
        <v>60.09</v>
      </c>
    </row>
    <row r="455" customFormat="false" ht="13.8" hidden="false" customHeight="false" outlineLevel="0" collapsed="false">
      <c r="A455" s="218"/>
      <c r="B455" s="251"/>
      <c r="C455" s="251"/>
      <c r="D455" s="251"/>
      <c r="E455" s="212" t="s">
        <v>2828</v>
      </c>
      <c r="F455" s="212" t="s">
        <v>2522</v>
      </c>
      <c r="G455" s="212" t="n">
        <v>110</v>
      </c>
      <c r="H455" s="212" t="s">
        <v>120</v>
      </c>
      <c r="I455" s="250" t="n">
        <v>99.02</v>
      </c>
    </row>
    <row r="456" customFormat="false" ht="13.8" hidden="false" customHeight="false" outlineLevel="0" collapsed="false">
      <c r="A456" s="218"/>
      <c r="B456" s="251"/>
      <c r="C456" s="251"/>
      <c r="D456" s="251"/>
      <c r="E456" s="212" t="s">
        <v>2833</v>
      </c>
      <c r="F456" s="212" t="s">
        <v>2522</v>
      </c>
      <c r="G456" s="212" t="n">
        <v>160</v>
      </c>
      <c r="H456" s="212" t="s">
        <v>120</v>
      </c>
      <c r="I456" s="250" t="n">
        <v>38.87</v>
      </c>
    </row>
    <row r="457" customFormat="false" ht="13.8" hidden="false" customHeight="false" outlineLevel="0" collapsed="false">
      <c r="A457" s="218"/>
      <c r="B457" s="251"/>
      <c r="C457" s="251"/>
      <c r="D457" s="251"/>
      <c r="E457" s="212" t="s">
        <v>2838</v>
      </c>
      <c r="F457" s="212" t="s">
        <v>2522</v>
      </c>
      <c r="G457" s="212" t="n">
        <v>63</v>
      </c>
      <c r="H457" s="212" t="s">
        <v>120</v>
      </c>
      <c r="I457" s="250" t="n">
        <v>109.89</v>
      </c>
    </row>
    <row r="458" customFormat="false" ht="13.8" hidden="false" customHeight="false" outlineLevel="0" collapsed="false">
      <c r="A458" s="218"/>
      <c r="B458" s="251"/>
      <c r="C458" s="251"/>
      <c r="D458" s="251"/>
      <c r="E458" s="212" t="s">
        <v>2843</v>
      </c>
      <c r="F458" s="212" t="s">
        <v>2522</v>
      </c>
      <c r="G458" s="212" t="n">
        <v>160</v>
      </c>
      <c r="H458" s="212" t="s">
        <v>120</v>
      </c>
      <c r="I458" s="250" t="n">
        <v>7.26</v>
      </c>
    </row>
    <row r="459" customFormat="false" ht="13.8" hidden="false" customHeight="false" outlineLevel="0" collapsed="false">
      <c r="A459" s="218"/>
      <c r="B459" s="251"/>
      <c r="C459" s="251"/>
      <c r="D459" s="251"/>
      <c r="E459" s="212" t="s">
        <v>2845</v>
      </c>
      <c r="F459" s="212" t="s">
        <v>2522</v>
      </c>
      <c r="G459" s="212" t="n">
        <v>63</v>
      </c>
      <c r="H459" s="212" t="s">
        <v>120</v>
      </c>
      <c r="I459" s="250" t="n">
        <v>34.62</v>
      </c>
    </row>
    <row r="460" customFormat="false" ht="13.8" hidden="false" customHeight="false" outlineLevel="0" collapsed="false">
      <c r="A460" s="218"/>
      <c r="B460" s="251"/>
      <c r="C460" s="251"/>
      <c r="D460" s="251"/>
      <c r="E460" s="212" t="s">
        <v>2848</v>
      </c>
      <c r="F460" s="212" t="s">
        <v>2522</v>
      </c>
      <c r="G460" s="212" t="n">
        <v>63</v>
      </c>
      <c r="H460" s="212" t="s">
        <v>120</v>
      </c>
      <c r="I460" s="250" t="n">
        <v>72.17</v>
      </c>
    </row>
    <row r="461" customFormat="false" ht="13.8" hidden="false" customHeight="false" outlineLevel="0" collapsed="false">
      <c r="A461" s="218"/>
      <c r="B461" s="251"/>
      <c r="C461" s="251"/>
      <c r="D461" s="251"/>
      <c r="E461" s="212" t="s">
        <v>2852</v>
      </c>
      <c r="F461" s="212" t="s">
        <v>2522</v>
      </c>
      <c r="G461" s="212" t="n">
        <v>160</v>
      </c>
      <c r="H461" s="212" t="s">
        <v>120</v>
      </c>
      <c r="I461" s="250" t="n">
        <v>25.89</v>
      </c>
    </row>
    <row r="462" customFormat="false" ht="13.8" hidden="false" customHeight="false" outlineLevel="0" collapsed="false">
      <c r="A462" s="218"/>
      <c r="B462" s="251"/>
      <c r="C462" s="251"/>
      <c r="D462" s="251"/>
      <c r="E462" s="212" t="s">
        <v>2857</v>
      </c>
      <c r="F462" s="212" t="s">
        <v>2522</v>
      </c>
      <c r="G462" s="212" t="n">
        <v>110</v>
      </c>
      <c r="H462" s="212" t="s">
        <v>120</v>
      </c>
      <c r="I462" s="250" t="n">
        <v>28.28</v>
      </c>
    </row>
    <row r="463" customFormat="false" ht="13.8" hidden="false" customHeight="false" outlineLevel="0" collapsed="false">
      <c r="A463" s="218"/>
      <c r="B463" s="251"/>
      <c r="C463" s="251"/>
      <c r="D463" s="251"/>
      <c r="E463" s="212" t="s">
        <v>2860</v>
      </c>
      <c r="F463" s="212" t="s">
        <v>2522</v>
      </c>
      <c r="G463" s="212" t="n">
        <v>63</v>
      </c>
      <c r="H463" s="212" t="s">
        <v>120</v>
      </c>
      <c r="I463" s="250" t="n">
        <v>19.93</v>
      </c>
    </row>
    <row r="464" customFormat="false" ht="13.8" hidden="false" customHeight="false" outlineLevel="0" collapsed="false">
      <c r="A464" s="218"/>
      <c r="B464" s="251"/>
      <c r="C464" s="251"/>
      <c r="D464" s="251"/>
      <c r="E464" s="212" t="s">
        <v>2864</v>
      </c>
      <c r="F464" s="212" t="s">
        <v>2522</v>
      </c>
      <c r="G464" s="212" t="n">
        <v>63</v>
      </c>
      <c r="H464" s="212" t="s">
        <v>120</v>
      </c>
      <c r="I464" s="250" t="n">
        <v>11.6</v>
      </c>
    </row>
    <row r="465" customFormat="false" ht="13.8" hidden="false" customHeight="false" outlineLevel="0" collapsed="false">
      <c r="A465" s="218"/>
      <c r="B465" s="251"/>
      <c r="C465" s="251"/>
      <c r="D465" s="251"/>
      <c r="E465" s="212" t="s">
        <v>2869</v>
      </c>
      <c r="F465" s="212" t="s">
        <v>2522</v>
      </c>
      <c r="G465" s="212" t="n">
        <v>160</v>
      </c>
      <c r="H465" s="212" t="s">
        <v>120</v>
      </c>
      <c r="I465" s="250" t="n">
        <v>277.99</v>
      </c>
    </row>
    <row r="466" customFormat="false" ht="13.8" hidden="false" customHeight="false" outlineLevel="0" collapsed="false">
      <c r="A466" s="218"/>
      <c r="B466" s="251"/>
      <c r="C466" s="251"/>
      <c r="D466" s="251"/>
      <c r="E466" s="212" t="s">
        <v>2872</v>
      </c>
      <c r="F466" s="212" t="s">
        <v>2522</v>
      </c>
      <c r="G466" s="212" t="n">
        <v>63</v>
      </c>
      <c r="H466" s="212" t="s">
        <v>120</v>
      </c>
      <c r="I466" s="250" t="n">
        <v>103.67</v>
      </c>
    </row>
    <row r="467" customFormat="false" ht="13.8" hidden="false" customHeight="false" outlineLevel="0" collapsed="false">
      <c r="A467" s="218"/>
      <c r="B467" s="251"/>
      <c r="C467" s="251"/>
      <c r="D467" s="251"/>
      <c r="E467" s="212" t="s">
        <v>2876</v>
      </c>
      <c r="F467" s="212" t="s">
        <v>2522</v>
      </c>
      <c r="G467" s="212" t="n">
        <v>63</v>
      </c>
      <c r="H467" s="212" t="s">
        <v>120</v>
      </c>
      <c r="I467" s="250" t="n">
        <v>59.22</v>
      </c>
    </row>
    <row r="468" customFormat="false" ht="13.8" hidden="false" customHeight="false" outlineLevel="0" collapsed="false">
      <c r="A468" s="218"/>
      <c r="B468" s="251"/>
      <c r="C468" s="251"/>
      <c r="D468" s="251"/>
      <c r="E468" s="212" t="s">
        <v>2880</v>
      </c>
      <c r="F468" s="212" t="s">
        <v>2522</v>
      </c>
      <c r="G468" s="212" t="n">
        <v>63</v>
      </c>
      <c r="H468" s="212" t="s">
        <v>120</v>
      </c>
      <c r="I468" s="250" t="n">
        <v>33.52</v>
      </c>
    </row>
    <row r="469" customFormat="false" ht="13.8" hidden="false" customHeight="false" outlineLevel="0" collapsed="false">
      <c r="A469" s="218"/>
      <c r="B469" s="251"/>
      <c r="C469" s="251"/>
      <c r="D469" s="251"/>
      <c r="E469" s="212" t="s">
        <v>2884</v>
      </c>
      <c r="F469" s="212" t="s">
        <v>2522</v>
      </c>
      <c r="G469" s="212" t="n">
        <v>160</v>
      </c>
      <c r="H469" s="212" t="s">
        <v>120</v>
      </c>
      <c r="I469" s="250" t="n">
        <v>178.2</v>
      </c>
    </row>
    <row r="470" customFormat="false" ht="13.8" hidden="false" customHeight="false" outlineLevel="0" collapsed="false">
      <c r="A470" s="218"/>
      <c r="B470" s="251"/>
      <c r="C470" s="251"/>
      <c r="D470" s="251"/>
      <c r="E470" s="212" t="s">
        <v>2888</v>
      </c>
      <c r="F470" s="212" t="s">
        <v>2522</v>
      </c>
      <c r="G470" s="212" t="n">
        <v>63</v>
      </c>
      <c r="H470" s="212" t="s">
        <v>120</v>
      </c>
      <c r="I470" s="250" t="n">
        <v>85.39</v>
      </c>
    </row>
    <row r="471" customFormat="false" ht="13.8" hidden="false" customHeight="false" outlineLevel="0" collapsed="false">
      <c r="A471" s="218"/>
      <c r="B471" s="251"/>
      <c r="C471" s="251"/>
      <c r="D471" s="251"/>
      <c r="E471" s="212" t="s">
        <v>2892</v>
      </c>
      <c r="F471" s="212" t="s">
        <v>2522</v>
      </c>
      <c r="G471" s="212" t="n">
        <v>63</v>
      </c>
      <c r="H471" s="212" t="s">
        <v>120</v>
      </c>
      <c r="I471" s="250" t="n">
        <v>178.61</v>
      </c>
    </row>
    <row r="472" customFormat="false" ht="13.8" hidden="false" customHeight="false" outlineLevel="0" collapsed="false">
      <c r="A472" s="218"/>
      <c r="B472" s="251"/>
      <c r="C472" s="251"/>
      <c r="D472" s="251"/>
      <c r="E472" s="212" t="s">
        <v>2895</v>
      </c>
      <c r="F472" s="212" t="s">
        <v>2522</v>
      </c>
      <c r="G472" s="212" t="n">
        <v>63</v>
      </c>
      <c r="H472" s="212" t="s">
        <v>120</v>
      </c>
      <c r="I472" s="250" t="n">
        <v>14.52</v>
      </c>
    </row>
    <row r="473" customFormat="false" ht="13.8" hidden="false" customHeight="false" outlineLevel="0" collapsed="false">
      <c r="A473" s="218"/>
      <c r="B473" s="251"/>
      <c r="C473" s="251"/>
      <c r="D473" s="251"/>
      <c r="E473" s="212" t="s">
        <v>2899</v>
      </c>
      <c r="F473" s="212" t="s">
        <v>2522</v>
      </c>
      <c r="G473" s="212" t="n">
        <v>63</v>
      </c>
      <c r="H473" s="212" t="s">
        <v>120</v>
      </c>
      <c r="I473" s="250" t="n">
        <v>37.01</v>
      </c>
    </row>
    <row r="474" customFormat="false" ht="13.8" hidden="false" customHeight="false" outlineLevel="0" collapsed="false">
      <c r="A474" s="218"/>
      <c r="B474" s="251"/>
      <c r="C474" s="251"/>
      <c r="D474" s="251"/>
      <c r="E474" s="212" t="s">
        <v>2903</v>
      </c>
      <c r="F474" s="212" t="s">
        <v>2522</v>
      </c>
      <c r="G474" s="212" t="n">
        <v>63</v>
      </c>
      <c r="H474" s="212" t="s">
        <v>120</v>
      </c>
      <c r="I474" s="250" t="n">
        <v>169.23</v>
      </c>
    </row>
    <row r="475" customFormat="false" ht="13.8" hidden="false" customHeight="false" outlineLevel="0" collapsed="false">
      <c r="A475" s="218"/>
      <c r="B475" s="251"/>
      <c r="C475" s="251"/>
      <c r="D475" s="251"/>
      <c r="E475" s="212" t="s">
        <v>2907</v>
      </c>
      <c r="F475" s="212" t="s">
        <v>2522</v>
      </c>
      <c r="G475" s="212" t="n">
        <v>63</v>
      </c>
      <c r="H475" s="212" t="s">
        <v>120</v>
      </c>
      <c r="I475" s="250" t="n">
        <v>65.99</v>
      </c>
    </row>
    <row r="476" customFormat="false" ht="13.8" hidden="false" customHeight="false" outlineLevel="0" collapsed="false">
      <c r="A476" s="218"/>
      <c r="B476" s="251"/>
      <c r="C476" s="251"/>
      <c r="D476" s="251"/>
      <c r="E476" s="212" t="s">
        <v>2911</v>
      </c>
      <c r="F476" s="212" t="s">
        <v>2522</v>
      </c>
      <c r="G476" s="212" t="n">
        <v>63</v>
      </c>
      <c r="H476" s="212" t="s">
        <v>120</v>
      </c>
      <c r="I476" s="250" t="n">
        <v>76.3</v>
      </c>
    </row>
    <row r="477" customFormat="false" ht="13.8" hidden="false" customHeight="false" outlineLevel="0" collapsed="false">
      <c r="A477" s="218"/>
      <c r="B477" s="251"/>
      <c r="C477" s="251"/>
      <c r="D477" s="251"/>
      <c r="E477" s="212" t="s">
        <v>2915</v>
      </c>
      <c r="F477" s="212" t="s">
        <v>2522</v>
      </c>
      <c r="G477" s="212" t="n">
        <v>63</v>
      </c>
      <c r="H477" s="212" t="s">
        <v>120</v>
      </c>
      <c r="I477" s="250" t="n">
        <v>133.19</v>
      </c>
    </row>
    <row r="478" customFormat="false" ht="13.8" hidden="false" customHeight="false" outlineLevel="0" collapsed="false">
      <c r="A478" s="218"/>
      <c r="B478" s="251"/>
      <c r="C478" s="251"/>
      <c r="D478" s="251"/>
      <c r="E478" s="212" t="s">
        <v>2921</v>
      </c>
      <c r="F478" s="212" t="s">
        <v>2522</v>
      </c>
      <c r="G478" s="212" t="n">
        <v>63</v>
      </c>
      <c r="H478" s="212" t="s">
        <v>120</v>
      </c>
      <c r="I478" s="250" t="n">
        <v>32.77</v>
      </c>
    </row>
    <row r="479" customFormat="false" ht="13.8" hidden="false" customHeight="false" outlineLevel="0" collapsed="false">
      <c r="A479" s="218"/>
      <c r="B479" s="251"/>
      <c r="C479" s="251"/>
      <c r="D479" s="251"/>
      <c r="E479" s="212" t="s">
        <v>2924</v>
      </c>
      <c r="F479" s="212" t="s">
        <v>2522</v>
      </c>
      <c r="G479" s="212" t="n">
        <v>160</v>
      </c>
      <c r="H479" s="212" t="s">
        <v>120</v>
      </c>
      <c r="I479" s="250" t="n">
        <v>32.4</v>
      </c>
    </row>
    <row r="480" customFormat="false" ht="13.8" hidden="false" customHeight="false" outlineLevel="0" collapsed="false">
      <c r="A480" s="218"/>
      <c r="B480" s="251"/>
      <c r="C480" s="251"/>
      <c r="D480" s="251"/>
      <c r="E480" s="212" t="s">
        <v>2928</v>
      </c>
      <c r="F480" s="212" t="s">
        <v>2522</v>
      </c>
      <c r="G480" s="212" t="n">
        <v>160</v>
      </c>
      <c r="H480" s="212" t="s">
        <v>120</v>
      </c>
      <c r="I480" s="250" t="n">
        <v>186.75</v>
      </c>
    </row>
    <row r="481" customFormat="false" ht="13.8" hidden="false" customHeight="false" outlineLevel="0" collapsed="false">
      <c r="A481" s="218"/>
      <c r="B481" s="251"/>
      <c r="C481" s="251"/>
      <c r="D481" s="251"/>
      <c r="E481" s="212" t="s">
        <v>2931</v>
      </c>
      <c r="F481" s="212" t="s">
        <v>2522</v>
      </c>
      <c r="G481" s="212" t="n">
        <v>160</v>
      </c>
      <c r="H481" s="212" t="s">
        <v>120</v>
      </c>
      <c r="I481" s="250" t="n">
        <v>168.66</v>
      </c>
    </row>
    <row r="482" customFormat="false" ht="13.8" hidden="false" customHeight="false" outlineLevel="0" collapsed="false">
      <c r="A482" s="218"/>
      <c r="B482" s="251"/>
      <c r="C482" s="251"/>
      <c r="D482" s="251"/>
      <c r="E482" s="212" t="s">
        <v>2933</v>
      </c>
      <c r="F482" s="212" t="s">
        <v>2522</v>
      </c>
      <c r="G482" s="212" t="n">
        <v>90</v>
      </c>
      <c r="H482" s="212" t="s">
        <v>120</v>
      </c>
      <c r="I482" s="250" t="n">
        <v>30.55</v>
      </c>
    </row>
    <row r="483" customFormat="false" ht="13.8" hidden="false" customHeight="false" outlineLevel="0" collapsed="false">
      <c r="A483" s="218"/>
      <c r="B483" s="251"/>
      <c r="C483" s="251"/>
      <c r="D483" s="251"/>
      <c r="E483" s="212" t="s">
        <v>2937</v>
      </c>
      <c r="F483" s="212" t="s">
        <v>2522</v>
      </c>
      <c r="G483" s="212" t="n">
        <v>160</v>
      </c>
      <c r="H483" s="212" t="s">
        <v>120</v>
      </c>
      <c r="I483" s="250" t="n">
        <v>112.12</v>
      </c>
    </row>
    <row r="484" customFormat="false" ht="13.8" hidden="false" customHeight="false" outlineLevel="0" collapsed="false">
      <c r="A484" s="218"/>
      <c r="B484" s="251"/>
      <c r="C484" s="251"/>
      <c r="D484" s="251"/>
      <c r="E484" s="212" t="s">
        <v>2940</v>
      </c>
      <c r="F484" s="212" t="s">
        <v>2522</v>
      </c>
      <c r="G484" s="212" t="n">
        <v>160</v>
      </c>
      <c r="H484" s="212" t="s">
        <v>120</v>
      </c>
      <c r="I484" s="250" t="n">
        <v>94.08</v>
      </c>
    </row>
    <row r="485" customFormat="false" ht="13.8" hidden="false" customHeight="false" outlineLevel="0" collapsed="false">
      <c r="A485" s="218"/>
      <c r="B485" s="251"/>
      <c r="C485" s="251"/>
      <c r="D485" s="251"/>
      <c r="E485" s="212" t="s">
        <v>2943</v>
      </c>
      <c r="F485" s="212" t="s">
        <v>2522</v>
      </c>
      <c r="G485" s="212" t="n">
        <v>160</v>
      </c>
      <c r="H485" s="212" t="s">
        <v>120</v>
      </c>
      <c r="I485" s="250" t="n">
        <v>48.52</v>
      </c>
    </row>
    <row r="486" customFormat="false" ht="13.8" hidden="false" customHeight="false" outlineLevel="0" collapsed="false">
      <c r="A486" s="218"/>
      <c r="B486" s="251"/>
      <c r="C486" s="251"/>
      <c r="D486" s="251"/>
      <c r="E486" s="212" t="s">
        <v>2946</v>
      </c>
      <c r="F486" s="212" t="s">
        <v>2522</v>
      </c>
      <c r="G486" s="212" t="n">
        <v>63</v>
      </c>
      <c r="H486" s="212" t="s">
        <v>120</v>
      </c>
      <c r="I486" s="250" t="n">
        <v>3.59</v>
      </c>
    </row>
    <row r="487" customFormat="false" ht="13.8" hidden="false" customHeight="false" outlineLevel="0" collapsed="false">
      <c r="A487" s="218"/>
      <c r="B487" s="251"/>
      <c r="C487" s="251"/>
      <c r="D487" s="251"/>
      <c r="E487" s="212" t="s">
        <v>3443</v>
      </c>
      <c r="F487" s="212" t="s">
        <v>3352</v>
      </c>
      <c r="G487" s="212" t="n">
        <v>110</v>
      </c>
      <c r="H487" s="212" t="s">
        <v>120</v>
      </c>
      <c r="I487" s="250" t="n">
        <v>30.8</v>
      </c>
    </row>
    <row r="488" customFormat="false" ht="13.8" hidden="false" customHeight="false" outlineLevel="0" collapsed="false">
      <c r="A488" s="218"/>
      <c r="B488" s="251"/>
      <c r="C488" s="251"/>
      <c r="D488" s="251"/>
      <c r="E488" s="212" t="s">
        <v>3448</v>
      </c>
      <c r="F488" s="212" t="s">
        <v>3352</v>
      </c>
      <c r="G488" s="212" t="n">
        <v>63</v>
      </c>
      <c r="H488" s="212" t="s">
        <v>120</v>
      </c>
      <c r="I488" s="250" t="n">
        <v>49.03</v>
      </c>
    </row>
    <row r="489" customFormat="false" ht="13.8" hidden="false" customHeight="false" outlineLevel="0" collapsed="false">
      <c r="A489" s="218"/>
      <c r="B489" s="251"/>
      <c r="C489" s="251"/>
      <c r="D489" s="251"/>
      <c r="E489" s="212" t="s">
        <v>3453</v>
      </c>
      <c r="F489" s="212" t="s">
        <v>3352</v>
      </c>
      <c r="G489" s="212" t="n">
        <v>63</v>
      </c>
      <c r="H489" s="212" t="s">
        <v>120</v>
      </c>
      <c r="I489" s="250" t="n">
        <v>6.14</v>
      </c>
    </row>
    <row r="490" customFormat="false" ht="13.8" hidden="false" customHeight="false" outlineLevel="0" collapsed="false">
      <c r="A490" s="218"/>
      <c r="B490" s="251"/>
      <c r="C490" s="251"/>
      <c r="D490" s="251"/>
      <c r="E490" s="212" t="s">
        <v>3457</v>
      </c>
      <c r="F490" s="212" t="s">
        <v>3352</v>
      </c>
      <c r="G490" s="212" t="n">
        <v>63</v>
      </c>
      <c r="H490" s="212" t="s">
        <v>120</v>
      </c>
      <c r="I490" s="250" t="n">
        <v>37.79</v>
      </c>
    </row>
    <row r="491" customFormat="false" ht="13.8" hidden="false" customHeight="false" outlineLevel="0" collapsed="false">
      <c r="A491" s="218"/>
      <c r="B491" s="251"/>
      <c r="C491" s="251"/>
      <c r="D491" s="251"/>
      <c r="E491" s="212" t="s">
        <v>3460</v>
      </c>
      <c r="F491" s="212" t="s">
        <v>3352</v>
      </c>
      <c r="G491" s="212" t="n">
        <v>63</v>
      </c>
      <c r="H491" s="212" t="s">
        <v>120</v>
      </c>
      <c r="I491" s="250" t="n">
        <v>42.04</v>
      </c>
    </row>
    <row r="492" customFormat="false" ht="13.8" hidden="false" customHeight="false" outlineLevel="0" collapsed="false">
      <c r="A492" s="218"/>
      <c r="B492" s="251"/>
      <c r="C492" s="251"/>
      <c r="D492" s="251"/>
      <c r="E492" s="212" t="s">
        <v>3464</v>
      </c>
      <c r="F492" s="212" t="s">
        <v>3352</v>
      </c>
      <c r="G492" s="212" t="n">
        <v>110</v>
      </c>
      <c r="H492" s="212" t="s">
        <v>120</v>
      </c>
      <c r="I492" s="250" t="n">
        <v>30.21</v>
      </c>
    </row>
    <row r="493" customFormat="false" ht="13.8" hidden="false" customHeight="false" outlineLevel="0" collapsed="false">
      <c r="A493" s="218"/>
      <c r="B493" s="251"/>
      <c r="C493" s="251"/>
      <c r="D493" s="251"/>
      <c r="E493" s="212" t="s">
        <v>3467</v>
      </c>
      <c r="F493" s="212" t="s">
        <v>3352</v>
      </c>
      <c r="G493" s="212" t="n">
        <v>63</v>
      </c>
      <c r="H493" s="212" t="s">
        <v>120</v>
      </c>
      <c r="I493" s="250" t="n">
        <v>162.6</v>
      </c>
    </row>
    <row r="494" customFormat="false" ht="13.8" hidden="false" customHeight="false" outlineLevel="0" collapsed="false">
      <c r="A494" s="218"/>
      <c r="B494" s="251"/>
      <c r="C494" s="251"/>
      <c r="D494" s="251"/>
      <c r="E494" s="212" t="s">
        <v>3471</v>
      </c>
      <c r="F494" s="212" t="s">
        <v>3352</v>
      </c>
      <c r="G494" s="212" t="n">
        <v>110</v>
      </c>
      <c r="H494" s="212" t="s">
        <v>120</v>
      </c>
      <c r="I494" s="250" t="n">
        <v>165.37</v>
      </c>
    </row>
    <row r="495" customFormat="false" ht="13.8" hidden="false" customHeight="false" outlineLevel="0" collapsed="false">
      <c r="A495" s="218"/>
      <c r="B495" s="251"/>
      <c r="C495" s="251"/>
      <c r="D495" s="251"/>
      <c r="E495" s="212" t="s">
        <v>3475</v>
      </c>
      <c r="F495" s="212" t="s">
        <v>3352</v>
      </c>
      <c r="G495" s="212" t="n">
        <v>63</v>
      </c>
      <c r="H495" s="212" t="s">
        <v>120</v>
      </c>
      <c r="I495" s="250" t="n">
        <v>246.12</v>
      </c>
    </row>
    <row r="496" customFormat="false" ht="13.8" hidden="false" customHeight="false" outlineLevel="0" collapsed="false">
      <c r="A496" s="218"/>
      <c r="B496" s="251"/>
      <c r="C496" s="251"/>
      <c r="D496" s="251"/>
      <c r="E496" s="212" t="s">
        <v>3479</v>
      </c>
      <c r="F496" s="212" t="s">
        <v>3352</v>
      </c>
      <c r="G496" s="212" t="n">
        <v>110</v>
      </c>
      <c r="H496" s="212" t="s">
        <v>120</v>
      </c>
      <c r="I496" s="250" t="n">
        <v>263.63</v>
      </c>
    </row>
    <row r="497" customFormat="false" ht="13.8" hidden="false" customHeight="false" outlineLevel="0" collapsed="false">
      <c r="A497" s="218"/>
      <c r="B497" s="251"/>
      <c r="C497" s="251"/>
      <c r="D497" s="251"/>
      <c r="E497" s="212" t="s">
        <v>3483</v>
      </c>
      <c r="F497" s="212" t="s">
        <v>3352</v>
      </c>
      <c r="G497" s="212" t="n">
        <v>63</v>
      </c>
      <c r="H497" s="212" t="s">
        <v>120</v>
      </c>
      <c r="I497" s="250" t="n">
        <v>53.96</v>
      </c>
    </row>
    <row r="498" customFormat="false" ht="13.8" hidden="false" customHeight="false" outlineLevel="0" collapsed="false">
      <c r="A498" s="218"/>
      <c r="B498" s="251"/>
      <c r="C498" s="251"/>
      <c r="D498" s="251"/>
      <c r="E498" s="212" t="s">
        <v>3486</v>
      </c>
      <c r="F498" s="212" t="s">
        <v>3352</v>
      </c>
      <c r="G498" s="212" t="n">
        <v>225</v>
      </c>
      <c r="H498" s="212" t="s">
        <v>120</v>
      </c>
      <c r="I498" s="250" t="n">
        <v>68.07</v>
      </c>
    </row>
    <row r="499" customFormat="false" ht="13.8" hidden="false" customHeight="false" outlineLevel="0" collapsed="false">
      <c r="A499" s="218"/>
      <c r="B499" s="251"/>
      <c r="C499" s="251"/>
      <c r="D499" s="251"/>
      <c r="E499" s="212" t="s">
        <v>3489</v>
      </c>
      <c r="F499" s="212" t="s">
        <v>3352</v>
      </c>
      <c r="G499" s="212" t="n">
        <v>225</v>
      </c>
      <c r="H499" s="212" t="s">
        <v>120</v>
      </c>
      <c r="I499" s="250" t="n">
        <v>32.53</v>
      </c>
    </row>
    <row r="500" customFormat="false" ht="13.8" hidden="false" customHeight="false" outlineLevel="0" collapsed="false">
      <c r="A500" s="218"/>
      <c r="B500" s="251"/>
      <c r="C500" s="251"/>
      <c r="D500" s="251"/>
      <c r="E500" s="212" t="s">
        <v>3493</v>
      </c>
      <c r="F500" s="212" t="s">
        <v>3352</v>
      </c>
      <c r="G500" s="212" t="n">
        <v>225</v>
      </c>
      <c r="H500" s="212" t="s">
        <v>120</v>
      </c>
      <c r="I500" s="250" t="n">
        <v>16.67</v>
      </c>
    </row>
    <row r="501" customFormat="false" ht="13.8" hidden="false" customHeight="false" outlineLevel="0" collapsed="false">
      <c r="A501" s="218"/>
      <c r="B501" s="251"/>
      <c r="C501" s="251"/>
      <c r="D501" s="251"/>
      <c r="E501" s="212" t="s">
        <v>3498</v>
      </c>
      <c r="F501" s="212" t="s">
        <v>3352</v>
      </c>
      <c r="G501" s="212" t="n">
        <v>225</v>
      </c>
      <c r="H501" s="212" t="s">
        <v>120</v>
      </c>
      <c r="I501" s="250" t="n">
        <v>56.46</v>
      </c>
    </row>
    <row r="502" customFormat="false" ht="13.8" hidden="false" customHeight="false" outlineLevel="0" collapsed="false">
      <c r="A502" s="218"/>
      <c r="B502" s="251"/>
      <c r="C502" s="251"/>
      <c r="D502" s="251"/>
      <c r="E502" s="212" t="s">
        <v>3503</v>
      </c>
      <c r="F502" s="212" t="s">
        <v>3352</v>
      </c>
      <c r="G502" s="212" t="n">
        <v>225</v>
      </c>
      <c r="H502" s="212" t="s">
        <v>120</v>
      </c>
      <c r="I502" s="250" t="n">
        <v>24.55</v>
      </c>
    </row>
    <row r="503" customFormat="false" ht="13.8" hidden="false" customHeight="false" outlineLevel="0" collapsed="false">
      <c r="A503" s="218"/>
      <c r="B503" s="251"/>
      <c r="C503" s="251"/>
      <c r="D503" s="251"/>
      <c r="E503" s="212" t="s">
        <v>3507</v>
      </c>
      <c r="F503" s="212" t="s">
        <v>3352</v>
      </c>
      <c r="G503" s="212" t="n">
        <v>63</v>
      </c>
      <c r="H503" s="212" t="s">
        <v>120</v>
      </c>
      <c r="I503" s="250" t="n">
        <v>70.67</v>
      </c>
    </row>
    <row r="504" customFormat="false" ht="13.8" hidden="false" customHeight="false" outlineLevel="0" collapsed="false">
      <c r="A504" s="218"/>
      <c r="B504" s="251"/>
      <c r="C504" s="251"/>
      <c r="D504" s="251"/>
      <c r="E504" s="212" t="s">
        <v>3511</v>
      </c>
      <c r="F504" s="212" t="s">
        <v>3352</v>
      </c>
      <c r="G504" s="212" t="n">
        <v>225</v>
      </c>
      <c r="H504" s="212" t="s">
        <v>120</v>
      </c>
      <c r="I504" s="250" t="n">
        <v>31.11</v>
      </c>
    </row>
    <row r="505" customFormat="false" ht="13.8" hidden="false" customHeight="false" outlineLevel="0" collapsed="false">
      <c r="A505" s="218"/>
      <c r="B505" s="251"/>
      <c r="C505" s="251"/>
      <c r="D505" s="251"/>
      <c r="E505" s="212" t="s">
        <v>3515</v>
      </c>
      <c r="F505" s="212" t="s">
        <v>3352</v>
      </c>
      <c r="G505" s="212" t="n">
        <v>225</v>
      </c>
      <c r="H505" s="212" t="s">
        <v>120</v>
      </c>
      <c r="I505" s="250" t="n">
        <v>41.18</v>
      </c>
    </row>
    <row r="506" customFormat="false" ht="13.8" hidden="false" customHeight="false" outlineLevel="0" collapsed="false">
      <c r="A506" s="218"/>
      <c r="B506" s="251"/>
      <c r="C506" s="251"/>
      <c r="D506" s="251"/>
      <c r="E506" s="212" t="s">
        <v>3520</v>
      </c>
      <c r="F506" s="212" t="s">
        <v>3352</v>
      </c>
      <c r="G506" s="212" t="n">
        <v>225</v>
      </c>
      <c r="H506" s="212" t="s">
        <v>120</v>
      </c>
      <c r="I506" s="250" t="n">
        <v>34.16</v>
      </c>
    </row>
    <row r="507" customFormat="false" ht="13.8" hidden="false" customHeight="false" outlineLevel="0" collapsed="false">
      <c r="A507" s="218"/>
      <c r="B507" s="251"/>
      <c r="C507" s="251"/>
      <c r="D507" s="251"/>
      <c r="E507" s="212" t="s">
        <v>3524</v>
      </c>
      <c r="F507" s="212" t="s">
        <v>3352</v>
      </c>
      <c r="G507" s="212" t="n">
        <v>63</v>
      </c>
      <c r="H507" s="212" t="s">
        <v>120</v>
      </c>
      <c r="I507" s="250" t="n">
        <v>45.5</v>
      </c>
    </row>
    <row r="508" customFormat="false" ht="13.8" hidden="false" customHeight="false" outlineLevel="0" collapsed="false">
      <c r="A508" s="218"/>
      <c r="B508" s="251"/>
      <c r="C508" s="251"/>
      <c r="D508" s="251"/>
      <c r="E508" s="212" t="s">
        <v>3528</v>
      </c>
      <c r="F508" s="212" t="s">
        <v>3352</v>
      </c>
      <c r="G508" s="212" t="n">
        <v>225</v>
      </c>
      <c r="H508" s="212" t="s">
        <v>120</v>
      </c>
      <c r="I508" s="250" t="n">
        <v>25.4</v>
      </c>
    </row>
    <row r="509" customFormat="false" ht="13.8" hidden="false" customHeight="false" outlineLevel="0" collapsed="false">
      <c r="A509" s="218"/>
      <c r="B509" s="251"/>
      <c r="C509" s="251"/>
      <c r="D509" s="251"/>
      <c r="E509" s="212" t="s">
        <v>3532</v>
      </c>
      <c r="F509" s="212" t="s">
        <v>3352</v>
      </c>
      <c r="G509" s="212" t="n">
        <v>225</v>
      </c>
      <c r="H509" s="212" t="s">
        <v>120</v>
      </c>
      <c r="I509" s="250" t="n">
        <v>24.74</v>
      </c>
    </row>
    <row r="510" customFormat="false" ht="13.8" hidden="false" customHeight="false" outlineLevel="0" collapsed="false">
      <c r="A510" s="218"/>
      <c r="B510" s="251"/>
      <c r="C510" s="251"/>
      <c r="D510" s="251"/>
      <c r="E510" s="212" t="s">
        <v>3535</v>
      </c>
      <c r="F510" s="212" t="s">
        <v>3352</v>
      </c>
      <c r="G510" s="212" t="n">
        <v>63</v>
      </c>
      <c r="H510" s="212" t="s">
        <v>120</v>
      </c>
      <c r="I510" s="250" t="n">
        <v>55.16</v>
      </c>
    </row>
    <row r="511" customFormat="false" ht="13.8" hidden="false" customHeight="false" outlineLevel="0" collapsed="false">
      <c r="A511" s="218"/>
      <c r="B511" s="251"/>
      <c r="C511" s="251"/>
      <c r="D511" s="251"/>
      <c r="E511" s="212" t="s">
        <v>3539</v>
      </c>
      <c r="F511" s="212" t="s">
        <v>3352</v>
      </c>
      <c r="G511" s="212" t="n">
        <v>225</v>
      </c>
      <c r="H511" s="212" t="s">
        <v>120</v>
      </c>
      <c r="I511" s="250" t="n">
        <v>50.01</v>
      </c>
    </row>
    <row r="512" customFormat="false" ht="13.8" hidden="false" customHeight="false" outlineLevel="0" collapsed="false">
      <c r="A512" s="218"/>
      <c r="B512" s="251"/>
      <c r="C512" s="251"/>
      <c r="D512" s="251"/>
      <c r="E512" s="212" t="s">
        <v>3544</v>
      </c>
      <c r="F512" s="212" t="s">
        <v>3352</v>
      </c>
      <c r="G512" s="212" t="n">
        <v>225</v>
      </c>
      <c r="H512" s="212" t="s">
        <v>120</v>
      </c>
      <c r="I512" s="250" t="n">
        <v>44.44</v>
      </c>
    </row>
    <row r="513" customFormat="false" ht="13.8" hidden="false" customHeight="false" outlineLevel="0" collapsed="false">
      <c r="A513" s="218"/>
      <c r="B513" s="251"/>
      <c r="C513" s="251"/>
      <c r="D513" s="251"/>
      <c r="E513" s="212" t="s">
        <v>3548</v>
      </c>
      <c r="F513" s="212" t="s">
        <v>3352</v>
      </c>
      <c r="G513" s="212" t="n">
        <v>63</v>
      </c>
      <c r="H513" s="212" t="s">
        <v>120</v>
      </c>
      <c r="I513" s="250" t="n">
        <v>40.4</v>
      </c>
    </row>
    <row r="514" customFormat="false" ht="13.8" hidden="false" customHeight="false" outlineLevel="0" collapsed="false">
      <c r="A514" s="218"/>
      <c r="B514" s="251"/>
      <c r="C514" s="251"/>
      <c r="D514" s="251"/>
      <c r="E514" s="212" t="s">
        <v>3551</v>
      </c>
      <c r="F514" s="212" t="s">
        <v>3352</v>
      </c>
      <c r="G514" s="212" t="n">
        <v>63</v>
      </c>
      <c r="H514" s="212" t="s">
        <v>120</v>
      </c>
      <c r="I514" s="250" t="n">
        <v>40.63</v>
      </c>
    </row>
    <row r="515" customFormat="false" ht="13.8" hidden="false" customHeight="false" outlineLevel="0" collapsed="false">
      <c r="A515" s="218"/>
      <c r="B515" s="251"/>
      <c r="C515" s="251"/>
      <c r="D515" s="251"/>
      <c r="E515" s="212" t="s">
        <v>3554</v>
      </c>
      <c r="F515" s="212" t="s">
        <v>3352</v>
      </c>
      <c r="G515" s="212" t="n">
        <v>225</v>
      </c>
      <c r="H515" s="212" t="s">
        <v>120</v>
      </c>
      <c r="I515" s="250" t="n">
        <v>40.25</v>
      </c>
    </row>
    <row r="516" customFormat="false" ht="13.8" hidden="false" customHeight="false" outlineLevel="0" collapsed="false">
      <c r="A516" s="218"/>
      <c r="B516" s="251"/>
      <c r="C516" s="251"/>
      <c r="D516" s="251"/>
      <c r="E516" s="212" t="s">
        <v>3558</v>
      </c>
      <c r="F516" s="212" t="s">
        <v>3352</v>
      </c>
      <c r="G516" s="212" t="n">
        <v>110</v>
      </c>
      <c r="H516" s="212" t="s">
        <v>120</v>
      </c>
      <c r="I516" s="250" t="n">
        <v>6.2</v>
      </c>
    </row>
    <row r="517" customFormat="false" ht="13.8" hidden="false" customHeight="false" outlineLevel="0" collapsed="false">
      <c r="A517" s="218"/>
      <c r="B517" s="251"/>
      <c r="C517" s="251"/>
      <c r="D517" s="251"/>
      <c r="E517" s="212" t="s">
        <v>3561</v>
      </c>
      <c r="F517" s="212" t="s">
        <v>3352</v>
      </c>
      <c r="G517" s="212" t="n">
        <v>110</v>
      </c>
      <c r="H517" s="212" t="s">
        <v>120</v>
      </c>
      <c r="I517" s="250" t="n">
        <v>36.71</v>
      </c>
    </row>
    <row r="518" customFormat="false" ht="13.8" hidden="false" customHeight="false" outlineLevel="0" collapsed="false">
      <c r="A518" s="218"/>
      <c r="B518" s="251"/>
      <c r="C518" s="251"/>
      <c r="D518" s="251"/>
      <c r="E518" s="212" t="s">
        <v>3565</v>
      </c>
      <c r="F518" s="212" t="s">
        <v>3352</v>
      </c>
      <c r="G518" s="212" t="n">
        <v>225</v>
      </c>
      <c r="H518" s="212" t="s">
        <v>120</v>
      </c>
      <c r="I518" s="250" t="n">
        <v>15</v>
      </c>
    </row>
    <row r="519" customFormat="false" ht="13.8" hidden="false" customHeight="false" outlineLevel="0" collapsed="false">
      <c r="A519" s="218"/>
      <c r="B519" s="251"/>
      <c r="C519" s="251"/>
      <c r="D519" s="251"/>
      <c r="E519" s="212" t="s">
        <v>3569</v>
      </c>
      <c r="F519" s="212" t="s">
        <v>3352</v>
      </c>
      <c r="G519" s="212" t="n">
        <v>63</v>
      </c>
      <c r="H519" s="212" t="s">
        <v>120</v>
      </c>
      <c r="I519" s="250" t="n">
        <v>79.76</v>
      </c>
    </row>
    <row r="520" customFormat="false" ht="13.8" hidden="false" customHeight="false" outlineLevel="0" collapsed="false">
      <c r="A520" s="218"/>
      <c r="B520" s="251"/>
      <c r="C520" s="251"/>
      <c r="D520" s="251"/>
      <c r="E520" s="212" t="s">
        <v>3573</v>
      </c>
      <c r="F520" s="212" t="s">
        <v>3352</v>
      </c>
      <c r="G520" s="212" t="n">
        <v>225</v>
      </c>
      <c r="H520" s="212" t="s">
        <v>120</v>
      </c>
      <c r="I520" s="250" t="n">
        <v>57.43</v>
      </c>
    </row>
    <row r="521" customFormat="false" ht="13.8" hidden="false" customHeight="false" outlineLevel="0" collapsed="false">
      <c r="A521" s="218"/>
      <c r="B521" s="251"/>
      <c r="C521" s="251"/>
      <c r="D521" s="251"/>
      <c r="E521" s="212" t="s">
        <v>3577</v>
      </c>
      <c r="F521" s="212" t="s">
        <v>3352</v>
      </c>
      <c r="G521" s="212" t="n">
        <v>63</v>
      </c>
      <c r="H521" s="212" t="s">
        <v>120</v>
      </c>
      <c r="I521" s="250" t="n">
        <v>123.3</v>
      </c>
    </row>
    <row r="522" customFormat="false" ht="13.8" hidden="false" customHeight="false" outlineLevel="0" collapsed="false">
      <c r="A522" s="218"/>
      <c r="B522" s="251"/>
      <c r="C522" s="251"/>
      <c r="D522" s="251"/>
      <c r="E522" s="212" t="s">
        <v>3581</v>
      </c>
      <c r="F522" s="212" t="s">
        <v>3352</v>
      </c>
      <c r="G522" s="212" t="n">
        <v>63</v>
      </c>
      <c r="H522" s="212" t="s">
        <v>120</v>
      </c>
      <c r="I522" s="250" t="n">
        <v>166.35</v>
      </c>
    </row>
    <row r="523" customFormat="false" ht="13.8" hidden="false" customHeight="false" outlineLevel="0" collapsed="false">
      <c r="A523" s="218"/>
      <c r="B523" s="251"/>
      <c r="C523" s="251"/>
      <c r="D523" s="251"/>
      <c r="E523" s="212" t="s">
        <v>3585</v>
      </c>
      <c r="F523" s="212" t="s">
        <v>3352</v>
      </c>
      <c r="G523" s="212" t="n">
        <v>63</v>
      </c>
      <c r="H523" s="212" t="s">
        <v>120</v>
      </c>
      <c r="I523" s="250" t="n">
        <v>118.54</v>
      </c>
    </row>
    <row r="524" customFormat="false" ht="13.8" hidden="false" customHeight="false" outlineLevel="0" collapsed="false">
      <c r="A524" s="218"/>
      <c r="B524" s="251"/>
      <c r="C524" s="251"/>
      <c r="D524" s="251"/>
      <c r="E524" s="212" t="s">
        <v>3589</v>
      </c>
      <c r="F524" s="212" t="s">
        <v>3352</v>
      </c>
      <c r="G524" s="212" t="n">
        <v>63</v>
      </c>
      <c r="H524" s="212" t="s">
        <v>120</v>
      </c>
      <c r="I524" s="250" t="n">
        <v>141.66</v>
      </c>
    </row>
    <row r="525" customFormat="false" ht="13.8" hidden="false" customHeight="false" outlineLevel="0" collapsed="false">
      <c r="A525" s="218"/>
      <c r="B525" s="251"/>
      <c r="C525" s="251"/>
      <c r="D525" s="251"/>
      <c r="E525" s="212" t="s">
        <v>3594</v>
      </c>
      <c r="F525" s="212" t="s">
        <v>3352</v>
      </c>
      <c r="G525" s="212" t="n">
        <v>63</v>
      </c>
      <c r="H525" s="212" t="s">
        <v>120</v>
      </c>
      <c r="I525" s="250" t="n">
        <v>248.42</v>
      </c>
    </row>
    <row r="526" customFormat="false" ht="13.8" hidden="false" customHeight="false" outlineLevel="0" collapsed="false">
      <c r="A526" s="218"/>
      <c r="B526" s="251"/>
      <c r="C526" s="251"/>
      <c r="D526" s="251"/>
      <c r="E526" s="212" t="s">
        <v>3598</v>
      </c>
      <c r="F526" s="212" t="s">
        <v>3352</v>
      </c>
      <c r="G526" s="212" t="n">
        <v>63</v>
      </c>
      <c r="H526" s="212" t="s">
        <v>120</v>
      </c>
      <c r="I526" s="250" t="n">
        <v>172.73</v>
      </c>
    </row>
    <row r="527" customFormat="false" ht="13.8" hidden="false" customHeight="false" outlineLevel="0" collapsed="false">
      <c r="A527" s="218"/>
      <c r="B527" s="251"/>
      <c r="C527" s="251"/>
      <c r="D527" s="251"/>
      <c r="E527" s="212" t="s">
        <v>3602</v>
      </c>
      <c r="F527" s="212" t="s">
        <v>3352</v>
      </c>
      <c r="G527" s="212" t="n">
        <v>63</v>
      </c>
      <c r="H527" s="212" t="s">
        <v>120</v>
      </c>
      <c r="I527" s="250" t="n">
        <v>257.55</v>
      </c>
    </row>
    <row r="528" customFormat="false" ht="13.8" hidden="false" customHeight="false" outlineLevel="0" collapsed="false">
      <c r="A528" s="218"/>
      <c r="B528" s="251"/>
      <c r="C528" s="251"/>
      <c r="D528" s="251"/>
      <c r="E528" s="212" t="s">
        <v>3606</v>
      </c>
      <c r="F528" s="212" t="s">
        <v>3352</v>
      </c>
      <c r="G528" s="212" t="n">
        <v>63</v>
      </c>
      <c r="H528" s="212" t="s">
        <v>120</v>
      </c>
      <c r="I528" s="250" t="n">
        <v>143.2</v>
      </c>
    </row>
    <row r="529" customFormat="false" ht="13.8" hidden="false" customHeight="false" outlineLevel="0" collapsed="false">
      <c r="A529" s="218"/>
      <c r="B529" s="251"/>
      <c r="C529" s="251"/>
      <c r="D529" s="251"/>
      <c r="E529" s="212" t="s">
        <v>3610</v>
      </c>
      <c r="F529" s="212" t="s">
        <v>3352</v>
      </c>
      <c r="G529" s="212" t="n">
        <v>63</v>
      </c>
      <c r="H529" s="212" t="s">
        <v>120</v>
      </c>
      <c r="I529" s="250" t="n">
        <v>270.19</v>
      </c>
    </row>
    <row r="530" customFormat="false" ht="13.8" hidden="false" customHeight="false" outlineLevel="0" collapsed="false">
      <c r="A530" s="218"/>
      <c r="B530" s="251"/>
      <c r="C530" s="251"/>
      <c r="D530" s="251"/>
      <c r="E530" s="212" t="s">
        <v>3614</v>
      </c>
      <c r="F530" s="212" t="s">
        <v>3352</v>
      </c>
      <c r="G530" s="212" t="n">
        <v>225</v>
      </c>
      <c r="H530" s="212" t="s">
        <v>120</v>
      </c>
      <c r="I530" s="250" t="n">
        <v>70.12</v>
      </c>
    </row>
    <row r="531" customFormat="false" ht="13.8" hidden="false" customHeight="false" outlineLevel="0" collapsed="false">
      <c r="A531" s="218"/>
      <c r="B531" s="251"/>
      <c r="C531" s="251"/>
      <c r="D531" s="251"/>
      <c r="E531" s="212" t="s">
        <v>3618</v>
      </c>
      <c r="F531" s="212" t="s">
        <v>3352</v>
      </c>
      <c r="G531" s="212" t="n">
        <v>63</v>
      </c>
      <c r="H531" s="212" t="s">
        <v>120</v>
      </c>
      <c r="I531" s="250" t="n">
        <v>184.01</v>
      </c>
    </row>
    <row r="532" customFormat="false" ht="13.8" hidden="false" customHeight="false" outlineLevel="0" collapsed="false">
      <c r="A532" s="218"/>
      <c r="B532" s="251"/>
      <c r="C532" s="251"/>
      <c r="D532" s="251"/>
      <c r="E532" s="212" t="s">
        <v>3622</v>
      </c>
      <c r="F532" s="212" t="s">
        <v>3352</v>
      </c>
      <c r="G532" s="212" t="n">
        <v>63</v>
      </c>
      <c r="H532" s="212" t="s">
        <v>120</v>
      </c>
      <c r="I532" s="250" t="n">
        <v>281.84</v>
      </c>
    </row>
    <row r="533" customFormat="false" ht="13.8" hidden="false" customHeight="false" outlineLevel="0" collapsed="false">
      <c r="A533" s="218"/>
      <c r="B533" s="251"/>
      <c r="C533" s="251"/>
      <c r="D533" s="251"/>
      <c r="E533" s="212" t="s">
        <v>3625</v>
      </c>
      <c r="F533" s="212" t="s">
        <v>3352</v>
      </c>
      <c r="G533" s="212" t="n">
        <v>63</v>
      </c>
      <c r="H533" s="212" t="s">
        <v>120</v>
      </c>
      <c r="I533" s="250" t="n">
        <v>42.98</v>
      </c>
    </row>
    <row r="534" customFormat="false" ht="13.8" hidden="false" customHeight="false" outlineLevel="0" collapsed="false">
      <c r="A534" s="218"/>
      <c r="B534" s="251"/>
      <c r="C534" s="251"/>
      <c r="D534" s="251"/>
      <c r="E534" s="212" t="s">
        <v>3628</v>
      </c>
      <c r="F534" s="212" t="s">
        <v>3352</v>
      </c>
      <c r="G534" s="212" t="n">
        <v>63</v>
      </c>
      <c r="H534" s="212" t="s">
        <v>120</v>
      </c>
      <c r="I534" s="250" t="n">
        <v>131.94</v>
      </c>
    </row>
    <row r="535" customFormat="false" ht="13.8" hidden="false" customHeight="false" outlineLevel="0" collapsed="false">
      <c r="A535" s="218"/>
      <c r="B535" s="251"/>
      <c r="C535" s="251"/>
      <c r="D535" s="251"/>
      <c r="E535" s="212" t="s">
        <v>3632</v>
      </c>
      <c r="F535" s="212" t="s">
        <v>3352</v>
      </c>
      <c r="G535" s="212" t="n">
        <v>63</v>
      </c>
      <c r="H535" s="212" t="s">
        <v>120</v>
      </c>
      <c r="I535" s="250" t="n">
        <v>59.85</v>
      </c>
    </row>
    <row r="536" customFormat="false" ht="13.8" hidden="false" customHeight="false" outlineLevel="0" collapsed="false">
      <c r="A536" s="218"/>
      <c r="B536" s="252"/>
      <c r="C536" s="252"/>
      <c r="D536" s="252"/>
      <c r="E536" s="212" t="s">
        <v>3636</v>
      </c>
      <c r="F536" s="212" t="s">
        <v>3352</v>
      </c>
      <c r="G536" s="212" t="n">
        <v>63</v>
      </c>
      <c r="H536" s="212" t="s">
        <v>120</v>
      </c>
      <c r="I536" s="250" t="n">
        <v>19.69</v>
      </c>
    </row>
    <row r="537" customFormat="false" ht="13.8" hidden="false" customHeight="false" outlineLevel="0" collapsed="false">
      <c r="A537" s="218"/>
      <c r="B537" s="249" t="s">
        <v>7037</v>
      </c>
      <c r="C537" s="249" t="s">
        <v>117</v>
      </c>
      <c r="D537" s="249" t="s">
        <v>1548</v>
      </c>
      <c r="E537" s="212" t="s">
        <v>2949</v>
      </c>
      <c r="F537" s="212" t="s">
        <v>2522</v>
      </c>
      <c r="G537" s="212" t="n">
        <v>110</v>
      </c>
      <c r="H537" s="212" t="s">
        <v>120</v>
      </c>
      <c r="I537" s="250" t="n">
        <v>35.57</v>
      </c>
    </row>
    <row r="538" customFormat="false" ht="13.8" hidden="false" customHeight="false" outlineLevel="0" collapsed="false">
      <c r="A538" s="218"/>
      <c r="B538" s="251"/>
      <c r="C538" s="251"/>
      <c r="D538" s="251"/>
      <c r="E538" s="212" t="s">
        <v>2954</v>
      </c>
      <c r="F538" s="212" t="s">
        <v>2522</v>
      </c>
      <c r="G538" s="212" t="n">
        <v>110</v>
      </c>
      <c r="H538" s="212" t="s">
        <v>120</v>
      </c>
      <c r="I538" s="250" t="n">
        <v>126.45</v>
      </c>
    </row>
    <row r="539" customFormat="false" ht="13.8" hidden="false" customHeight="false" outlineLevel="0" collapsed="false">
      <c r="A539" s="218"/>
      <c r="B539" s="251"/>
      <c r="C539" s="251"/>
      <c r="D539" s="251"/>
      <c r="E539" s="212" t="s">
        <v>2958</v>
      </c>
      <c r="F539" s="212" t="s">
        <v>2522</v>
      </c>
      <c r="G539" s="212" t="n">
        <v>63</v>
      </c>
      <c r="H539" s="212" t="s">
        <v>120</v>
      </c>
      <c r="I539" s="250" t="n">
        <v>213.43</v>
      </c>
    </row>
    <row r="540" customFormat="false" ht="13.8" hidden="false" customHeight="false" outlineLevel="0" collapsed="false">
      <c r="A540" s="218"/>
      <c r="B540" s="251"/>
      <c r="C540" s="251"/>
      <c r="D540" s="251"/>
      <c r="E540" s="212" t="s">
        <v>2962</v>
      </c>
      <c r="F540" s="212" t="s">
        <v>2522</v>
      </c>
      <c r="G540" s="212" t="n">
        <v>63</v>
      </c>
      <c r="H540" s="212" t="s">
        <v>120</v>
      </c>
      <c r="I540" s="250" t="n">
        <v>66.15</v>
      </c>
    </row>
    <row r="541" customFormat="false" ht="13.8" hidden="false" customHeight="false" outlineLevel="0" collapsed="false">
      <c r="A541" s="218"/>
      <c r="B541" s="251"/>
      <c r="C541" s="251"/>
      <c r="D541" s="251"/>
      <c r="E541" s="212" t="s">
        <v>3640</v>
      </c>
      <c r="F541" s="212" t="s">
        <v>3352</v>
      </c>
      <c r="G541" s="212" t="n">
        <v>63</v>
      </c>
      <c r="H541" s="212" t="s">
        <v>120</v>
      </c>
      <c r="I541" s="250" t="n">
        <v>79.4</v>
      </c>
    </row>
    <row r="542" customFormat="false" ht="13.8" hidden="false" customHeight="false" outlineLevel="0" collapsed="false">
      <c r="A542" s="218"/>
      <c r="B542" s="252"/>
      <c r="C542" s="252"/>
      <c r="D542" s="252"/>
      <c r="E542" s="212" t="s">
        <v>3787</v>
      </c>
      <c r="F542" s="212" t="s">
        <v>3786</v>
      </c>
      <c r="G542" s="212" t="n">
        <v>63</v>
      </c>
      <c r="H542" s="212" t="s">
        <v>120</v>
      </c>
      <c r="I542" s="250" t="n">
        <v>8.53</v>
      </c>
    </row>
    <row r="543" customFormat="false" ht="13.8" hidden="false" customHeight="false" outlineLevel="0" collapsed="false">
      <c r="A543" s="218"/>
      <c r="B543" s="249" t="s">
        <v>7038</v>
      </c>
      <c r="C543" s="249" t="s">
        <v>117</v>
      </c>
      <c r="D543" s="249" t="s">
        <v>1548</v>
      </c>
      <c r="E543" s="212" t="s">
        <v>2486</v>
      </c>
      <c r="F543" s="212" t="s">
        <v>2224</v>
      </c>
      <c r="G543" s="212" t="n">
        <v>280</v>
      </c>
      <c r="H543" s="212" t="s">
        <v>120</v>
      </c>
      <c r="I543" s="250" t="n">
        <v>11.6</v>
      </c>
    </row>
    <row r="544" customFormat="false" ht="13.8" hidden="false" customHeight="false" outlineLevel="0" collapsed="false">
      <c r="A544" s="218"/>
      <c r="B544" s="251"/>
      <c r="C544" s="251"/>
      <c r="D544" s="251"/>
      <c r="E544" s="212" t="s">
        <v>2490</v>
      </c>
      <c r="F544" s="212" t="s">
        <v>2033</v>
      </c>
      <c r="G544" s="212" t="n">
        <v>63</v>
      </c>
      <c r="H544" s="212" t="s">
        <v>120</v>
      </c>
      <c r="I544" s="250" t="n">
        <v>42.01</v>
      </c>
    </row>
    <row r="545" customFormat="false" ht="13.8" hidden="false" customHeight="false" outlineLevel="0" collapsed="false">
      <c r="A545" s="218"/>
      <c r="B545" s="251"/>
      <c r="C545" s="251"/>
      <c r="D545" s="251"/>
      <c r="E545" s="212" t="s">
        <v>2494</v>
      </c>
      <c r="F545" s="212" t="s">
        <v>2033</v>
      </c>
      <c r="G545" s="212" t="n">
        <v>63</v>
      </c>
      <c r="H545" s="212" t="s">
        <v>120</v>
      </c>
      <c r="I545" s="250" t="n">
        <v>93.01</v>
      </c>
    </row>
    <row r="546" customFormat="false" ht="13.8" hidden="false" customHeight="false" outlineLevel="0" collapsed="false">
      <c r="A546" s="218"/>
      <c r="B546" s="251"/>
      <c r="C546" s="251"/>
      <c r="D546" s="251"/>
      <c r="E546" s="212" t="s">
        <v>2497</v>
      </c>
      <c r="F546" s="212" t="s">
        <v>2033</v>
      </c>
      <c r="G546" s="212" t="n">
        <v>63</v>
      </c>
      <c r="H546" s="212" t="s">
        <v>120</v>
      </c>
      <c r="I546" s="250" t="n">
        <v>32.51</v>
      </c>
    </row>
    <row r="547" customFormat="false" ht="13.8" hidden="false" customHeight="false" outlineLevel="0" collapsed="false">
      <c r="A547" s="218"/>
      <c r="B547" s="251"/>
      <c r="C547" s="251"/>
      <c r="D547" s="251"/>
      <c r="E547" s="212" t="s">
        <v>2501</v>
      </c>
      <c r="F547" s="212" t="s">
        <v>2033</v>
      </c>
      <c r="G547" s="212" t="n">
        <v>160</v>
      </c>
      <c r="H547" s="212" t="s">
        <v>120</v>
      </c>
      <c r="I547" s="250" t="n">
        <v>14.46</v>
      </c>
    </row>
    <row r="548" customFormat="false" ht="13.8" hidden="false" customHeight="false" outlineLevel="0" collapsed="false">
      <c r="A548" s="218"/>
      <c r="B548" s="251"/>
      <c r="C548" s="251"/>
      <c r="D548" s="251"/>
      <c r="E548" s="212" t="s">
        <v>2503</v>
      </c>
      <c r="F548" s="212" t="s">
        <v>2033</v>
      </c>
      <c r="G548" s="212" t="n">
        <v>63</v>
      </c>
      <c r="H548" s="212" t="s">
        <v>120</v>
      </c>
      <c r="I548" s="250" t="n">
        <v>37.92</v>
      </c>
    </row>
    <row r="549" customFormat="false" ht="13.8" hidden="false" customHeight="false" outlineLevel="0" collapsed="false">
      <c r="A549" s="218"/>
      <c r="B549" s="251"/>
      <c r="C549" s="251"/>
      <c r="D549" s="251"/>
      <c r="E549" s="212" t="s">
        <v>2506</v>
      </c>
      <c r="F549" s="212" t="s">
        <v>2033</v>
      </c>
      <c r="G549" s="212" t="n">
        <v>63</v>
      </c>
      <c r="H549" s="212" t="s">
        <v>120</v>
      </c>
      <c r="I549" s="250" t="n">
        <v>93.63</v>
      </c>
    </row>
    <row r="550" customFormat="false" ht="13.8" hidden="false" customHeight="false" outlineLevel="0" collapsed="false">
      <c r="A550" s="218"/>
      <c r="B550" s="251"/>
      <c r="C550" s="251"/>
      <c r="D550" s="251"/>
      <c r="E550" s="212" t="s">
        <v>2509</v>
      </c>
      <c r="F550" s="212" t="s">
        <v>2033</v>
      </c>
      <c r="G550" s="212" t="n">
        <v>160</v>
      </c>
      <c r="H550" s="212" t="s">
        <v>120</v>
      </c>
      <c r="I550" s="250" t="n">
        <v>12.86</v>
      </c>
    </row>
    <row r="551" customFormat="false" ht="13.8" hidden="false" customHeight="false" outlineLevel="0" collapsed="false">
      <c r="A551" s="218"/>
      <c r="B551" s="251"/>
      <c r="C551" s="251"/>
      <c r="D551" s="251"/>
      <c r="E551" s="212" t="s">
        <v>2512</v>
      </c>
      <c r="F551" s="212" t="s">
        <v>2033</v>
      </c>
      <c r="G551" s="212" t="n">
        <v>63</v>
      </c>
      <c r="H551" s="212" t="s">
        <v>120</v>
      </c>
      <c r="I551" s="250" t="n">
        <v>20.15</v>
      </c>
    </row>
    <row r="552" customFormat="false" ht="13.8" hidden="false" customHeight="false" outlineLevel="0" collapsed="false">
      <c r="A552" s="218"/>
      <c r="B552" s="251"/>
      <c r="C552" s="251"/>
      <c r="D552" s="251"/>
      <c r="E552" s="212" t="s">
        <v>2516</v>
      </c>
      <c r="F552" s="212" t="s">
        <v>2033</v>
      </c>
      <c r="G552" s="212" t="n">
        <v>63</v>
      </c>
      <c r="H552" s="212" t="s">
        <v>120</v>
      </c>
      <c r="I552" s="250" t="n">
        <v>248.62</v>
      </c>
    </row>
    <row r="553" customFormat="false" ht="13.8" hidden="false" customHeight="false" outlineLevel="0" collapsed="false">
      <c r="A553" s="218"/>
      <c r="B553" s="251"/>
      <c r="C553" s="251"/>
      <c r="D553" s="251"/>
      <c r="E553" s="212" t="s">
        <v>2520</v>
      </c>
      <c r="F553" s="212" t="s">
        <v>2033</v>
      </c>
      <c r="G553" s="212" t="n">
        <v>63</v>
      </c>
      <c r="H553" s="212" t="s">
        <v>120</v>
      </c>
      <c r="I553" s="250" t="n">
        <v>77.19</v>
      </c>
    </row>
    <row r="554" customFormat="false" ht="13.8" hidden="false" customHeight="false" outlineLevel="0" collapsed="false">
      <c r="A554" s="218"/>
      <c r="B554" s="251"/>
      <c r="C554" s="251"/>
      <c r="D554" s="251"/>
      <c r="E554" s="212" t="s">
        <v>3644</v>
      </c>
      <c r="F554" s="212" t="s">
        <v>3352</v>
      </c>
      <c r="G554" s="212" t="n">
        <v>63</v>
      </c>
      <c r="H554" s="212" t="s">
        <v>120</v>
      </c>
      <c r="I554" s="250" t="n">
        <v>39.1</v>
      </c>
    </row>
    <row r="555" customFormat="false" ht="13.8" hidden="false" customHeight="false" outlineLevel="0" collapsed="false">
      <c r="A555" s="218"/>
      <c r="B555" s="251"/>
      <c r="C555" s="251"/>
      <c r="D555" s="251"/>
      <c r="E555" s="212" t="s">
        <v>3647</v>
      </c>
      <c r="F555" s="212" t="s">
        <v>3352</v>
      </c>
      <c r="G555" s="212" t="n">
        <v>63</v>
      </c>
      <c r="H555" s="212" t="s">
        <v>120</v>
      </c>
      <c r="I555" s="250" t="n">
        <v>34.9</v>
      </c>
    </row>
    <row r="556" customFormat="false" ht="13.8" hidden="false" customHeight="false" outlineLevel="0" collapsed="false">
      <c r="A556" s="218"/>
      <c r="B556" s="251"/>
      <c r="C556" s="251"/>
      <c r="D556" s="251"/>
      <c r="E556" s="212" t="s">
        <v>3650</v>
      </c>
      <c r="F556" s="212" t="s">
        <v>3352</v>
      </c>
      <c r="G556" s="212" t="n">
        <v>160</v>
      </c>
      <c r="H556" s="212" t="s">
        <v>120</v>
      </c>
      <c r="I556" s="250" t="n">
        <v>109.1</v>
      </c>
    </row>
    <row r="557" customFormat="false" ht="13.8" hidden="false" customHeight="false" outlineLevel="0" collapsed="false">
      <c r="A557" s="218"/>
      <c r="B557" s="251"/>
      <c r="C557" s="251"/>
      <c r="D557" s="251"/>
      <c r="E557" s="212" t="s">
        <v>3654</v>
      </c>
      <c r="F557" s="212" t="s">
        <v>3352</v>
      </c>
      <c r="G557" s="212" t="n">
        <v>63</v>
      </c>
      <c r="H557" s="212" t="s">
        <v>120</v>
      </c>
      <c r="I557" s="250" t="n">
        <v>51.03</v>
      </c>
    </row>
    <row r="558" customFormat="false" ht="13.8" hidden="false" customHeight="false" outlineLevel="0" collapsed="false">
      <c r="A558" s="218"/>
      <c r="B558" s="251"/>
      <c r="C558" s="251"/>
      <c r="D558" s="251"/>
      <c r="E558" s="212" t="s">
        <v>3657</v>
      </c>
      <c r="F558" s="212" t="s">
        <v>3352</v>
      </c>
      <c r="G558" s="212" t="n">
        <v>63</v>
      </c>
      <c r="H558" s="212" t="s">
        <v>120</v>
      </c>
      <c r="I558" s="250" t="n">
        <v>98.53</v>
      </c>
    </row>
    <row r="559" customFormat="false" ht="13.8" hidden="false" customHeight="false" outlineLevel="0" collapsed="false">
      <c r="A559" s="218"/>
      <c r="B559" s="251"/>
      <c r="C559" s="251"/>
      <c r="D559" s="251"/>
      <c r="E559" s="212" t="s">
        <v>3661</v>
      </c>
      <c r="F559" s="212" t="s">
        <v>3352</v>
      </c>
      <c r="G559" s="212" t="n">
        <v>160</v>
      </c>
      <c r="H559" s="212" t="s">
        <v>120</v>
      </c>
      <c r="I559" s="250" t="n">
        <v>60.44</v>
      </c>
    </row>
    <row r="560" customFormat="false" ht="13.8" hidden="false" customHeight="false" outlineLevel="0" collapsed="false">
      <c r="A560" s="218"/>
      <c r="B560" s="251"/>
      <c r="C560" s="251"/>
      <c r="D560" s="251"/>
      <c r="E560" s="212" t="s">
        <v>3664</v>
      </c>
      <c r="F560" s="212" t="s">
        <v>3352</v>
      </c>
      <c r="G560" s="212" t="n">
        <v>160</v>
      </c>
      <c r="H560" s="212" t="s">
        <v>120</v>
      </c>
      <c r="I560" s="250" t="n">
        <v>12.48</v>
      </c>
    </row>
    <row r="561" customFormat="false" ht="13.8" hidden="false" customHeight="false" outlineLevel="0" collapsed="false">
      <c r="A561" s="218"/>
      <c r="B561" s="251"/>
      <c r="C561" s="251"/>
      <c r="D561" s="251"/>
      <c r="E561" s="212" t="s">
        <v>3668</v>
      </c>
      <c r="F561" s="212" t="s">
        <v>3352</v>
      </c>
      <c r="G561" s="212" t="n">
        <v>250</v>
      </c>
      <c r="H561" s="212" t="s">
        <v>120</v>
      </c>
      <c r="I561" s="250" t="n">
        <v>22.9</v>
      </c>
    </row>
    <row r="562" customFormat="false" ht="13.8" hidden="false" customHeight="false" outlineLevel="0" collapsed="false">
      <c r="A562" s="218"/>
      <c r="B562" s="251"/>
      <c r="C562" s="251"/>
      <c r="D562" s="251"/>
      <c r="E562" s="212" t="s">
        <v>3672</v>
      </c>
      <c r="F562" s="212" t="s">
        <v>3352</v>
      </c>
      <c r="G562" s="212" t="n">
        <v>160</v>
      </c>
      <c r="H562" s="212" t="s">
        <v>120</v>
      </c>
      <c r="I562" s="250" t="n">
        <v>6.56</v>
      </c>
    </row>
    <row r="563" customFormat="false" ht="13.8" hidden="false" customHeight="false" outlineLevel="0" collapsed="false">
      <c r="A563" s="218"/>
      <c r="B563" s="251"/>
      <c r="C563" s="251"/>
      <c r="D563" s="251"/>
      <c r="E563" s="212" t="s">
        <v>3675</v>
      </c>
      <c r="F563" s="212" t="s">
        <v>3352</v>
      </c>
      <c r="G563" s="212" t="n">
        <v>250</v>
      </c>
      <c r="H563" s="212" t="s">
        <v>120</v>
      </c>
      <c r="I563" s="250" t="n">
        <v>2</v>
      </c>
    </row>
    <row r="564" customFormat="false" ht="13.8" hidden="false" customHeight="false" outlineLevel="0" collapsed="false">
      <c r="A564" s="218"/>
      <c r="B564" s="251"/>
      <c r="C564" s="251"/>
      <c r="D564" s="251"/>
      <c r="E564" s="212" t="s">
        <v>3678</v>
      </c>
      <c r="F564" s="212" t="s">
        <v>3352</v>
      </c>
      <c r="G564" s="212" t="n">
        <v>250</v>
      </c>
      <c r="H564" s="212" t="s">
        <v>120</v>
      </c>
      <c r="I564" s="250" t="n">
        <v>4.88</v>
      </c>
    </row>
    <row r="565" customFormat="false" ht="13.8" hidden="false" customHeight="false" outlineLevel="0" collapsed="false">
      <c r="A565" s="218"/>
      <c r="B565" s="251"/>
      <c r="C565" s="251"/>
      <c r="D565" s="251"/>
      <c r="E565" s="212" t="s">
        <v>3682</v>
      </c>
      <c r="F565" s="212" t="s">
        <v>3352</v>
      </c>
      <c r="G565" s="212" t="n">
        <v>250</v>
      </c>
      <c r="H565" s="212" t="s">
        <v>120</v>
      </c>
      <c r="I565" s="250" t="n">
        <v>4.94</v>
      </c>
    </row>
    <row r="566" customFormat="false" ht="13.8" hidden="false" customHeight="false" outlineLevel="0" collapsed="false">
      <c r="A566" s="218"/>
      <c r="B566" s="251"/>
      <c r="C566" s="251"/>
      <c r="D566" s="251"/>
      <c r="E566" s="212" t="s">
        <v>4806</v>
      </c>
      <c r="F566" s="212" t="s">
        <v>2224</v>
      </c>
      <c r="G566" s="212" t="n">
        <v>280</v>
      </c>
      <c r="H566" s="212" t="s">
        <v>120</v>
      </c>
      <c r="I566" s="250" t="n">
        <v>10.66</v>
      </c>
    </row>
    <row r="567" customFormat="false" ht="13.8" hidden="false" customHeight="false" outlineLevel="0" collapsed="false">
      <c r="A567" s="218"/>
      <c r="B567" s="251"/>
      <c r="C567" s="251"/>
      <c r="D567" s="251"/>
      <c r="E567" s="212" t="s">
        <v>4809</v>
      </c>
      <c r="F567" s="212" t="s">
        <v>2224</v>
      </c>
      <c r="G567" s="212" t="n">
        <v>280</v>
      </c>
      <c r="H567" s="212" t="s">
        <v>120</v>
      </c>
      <c r="I567" s="250" t="n">
        <v>1.95</v>
      </c>
    </row>
    <row r="568" customFormat="false" ht="13.8" hidden="false" customHeight="false" outlineLevel="0" collapsed="false">
      <c r="A568" s="218"/>
      <c r="B568" s="251"/>
      <c r="C568" s="251"/>
      <c r="D568" s="251"/>
      <c r="E568" s="212" t="s">
        <v>4813</v>
      </c>
      <c r="F568" s="212" t="s">
        <v>2224</v>
      </c>
      <c r="G568" s="212" t="n">
        <v>280</v>
      </c>
      <c r="H568" s="212" t="s">
        <v>120</v>
      </c>
      <c r="I568" s="250" t="n">
        <v>17.65</v>
      </c>
    </row>
    <row r="569" customFormat="false" ht="13.8" hidden="false" customHeight="false" outlineLevel="0" collapsed="false">
      <c r="A569" s="218"/>
      <c r="B569" s="251"/>
      <c r="C569" s="251"/>
      <c r="D569" s="251"/>
      <c r="E569" s="212" t="s">
        <v>4817</v>
      </c>
      <c r="F569" s="212" t="s">
        <v>2224</v>
      </c>
      <c r="G569" s="212" t="n">
        <v>315</v>
      </c>
      <c r="H569" s="212" t="s">
        <v>120</v>
      </c>
      <c r="I569" s="250" t="n">
        <v>2.69</v>
      </c>
    </row>
    <row r="570" customFormat="false" ht="13.8" hidden="false" customHeight="false" outlineLevel="0" collapsed="false">
      <c r="A570" s="218"/>
      <c r="B570" s="251"/>
      <c r="C570" s="251"/>
      <c r="D570" s="251"/>
      <c r="E570" s="212" t="s">
        <v>4821</v>
      </c>
      <c r="F570" s="212" t="s">
        <v>2224</v>
      </c>
      <c r="G570" s="212" t="n">
        <v>315</v>
      </c>
      <c r="H570" s="212" t="s">
        <v>120</v>
      </c>
      <c r="I570" s="250" t="n">
        <v>101.13</v>
      </c>
    </row>
    <row r="571" customFormat="false" ht="13.8" hidden="false" customHeight="false" outlineLevel="0" collapsed="false">
      <c r="A571" s="218"/>
      <c r="B571" s="251"/>
      <c r="C571" s="251"/>
      <c r="D571" s="251"/>
      <c r="E571" s="212" t="s">
        <v>4824</v>
      </c>
      <c r="F571" s="212" t="s">
        <v>2224</v>
      </c>
      <c r="G571" s="212" t="n">
        <v>315</v>
      </c>
      <c r="H571" s="212" t="s">
        <v>120</v>
      </c>
      <c r="I571" s="250" t="n">
        <v>183.65</v>
      </c>
    </row>
    <row r="572" customFormat="false" ht="13.8" hidden="false" customHeight="false" outlineLevel="0" collapsed="false">
      <c r="A572" s="218"/>
      <c r="B572" s="251"/>
      <c r="C572" s="251"/>
      <c r="D572" s="251"/>
      <c r="E572" s="212" t="s">
        <v>4827</v>
      </c>
      <c r="F572" s="212" t="s">
        <v>2224</v>
      </c>
      <c r="G572" s="212" t="n">
        <v>315</v>
      </c>
      <c r="H572" s="212" t="s">
        <v>120</v>
      </c>
      <c r="I572" s="250" t="n">
        <v>136.91</v>
      </c>
    </row>
    <row r="573" customFormat="false" ht="13.8" hidden="false" customHeight="false" outlineLevel="0" collapsed="false">
      <c r="A573" s="218"/>
      <c r="B573" s="251"/>
      <c r="C573" s="251"/>
      <c r="D573" s="251"/>
      <c r="E573" s="212" t="s">
        <v>4832</v>
      </c>
      <c r="F573" s="212" t="s">
        <v>4831</v>
      </c>
      <c r="G573" s="212" t="n">
        <v>160</v>
      </c>
      <c r="H573" s="212" t="s">
        <v>120</v>
      </c>
      <c r="I573" s="250" t="n">
        <v>6.04</v>
      </c>
    </row>
    <row r="574" customFormat="false" ht="13.8" hidden="false" customHeight="false" outlineLevel="0" collapsed="false">
      <c r="A574" s="218"/>
      <c r="B574" s="251"/>
      <c r="C574" s="251"/>
      <c r="D574" s="251"/>
      <c r="E574" s="212" t="s">
        <v>4836</v>
      </c>
      <c r="F574" s="212" t="s">
        <v>4831</v>
      </c>
      <c r="G574" s="212" t="n">
        <v>160</v>
      </c>
      <c r="H574" s="212" t="s">
        <v>120</v>
      </c>
      <c r="I574" s="250" t="n">
        <v>3.31</v>
      </c>
    </row>
    <row r="575" customFormat="false" ht="13.8" hidden="false" customHeight="false" outlineLevel="0" collapsed="false">
      <c r="A575" s="218"/>
      <c r="B575" s="251"/>
      <c r="C575" s="251"/>
      <c r="D575" s="251"/>
      <c r="E575" s="212" t="s">
        <v>4838</v>
      </c>
      <c r="F575" s="212" t="s">
        <v>4831</v>
      </c>
      <c r="G575" s="212" t="n">
        <v>90</v>
      </c>
      <c r="H575" s="212" t="s">
        <v>120</v>
      </c>
      <c r="I575" s="250" t="n">
        <v>49.86</v>
      </c>
    </row>
    <row r="576" customFormat="false" ht="13.8" hidden="false" customHeight="false" outlineLevel="0" collapsed="false">
      <c r="A576" s="218"/>
      <c r="B576" s="251"/>
      <c r="C576" s="251"/>
      <c r="D576" s="251"/>
      <c r="E576" s="212" t="s">
        <v>4843</v>
      </c>
      <c r="F576" s="212" t="s">
        <v>4831</v>
      </c>
      <c r="G576" s="212" t="n">
        <v>250</v>
      </c>
      <c r="H576" s="212" t="s">
        <v>120</v>
      </c>
      <c r="I576" s="250" t="n">
        <v>6.74</v>
      </c>
    </row>
    <row r="577" customFormat="false" ht="13.8" hidden="false" customHeight="false" outlineLevel="0" collapsed="false">
      <c r="A577" s="218"/>
      <c r="B577" s="251"/>
      <c r="C577" s="251"/>
      <c r="D577" s="251"/>
      <c r="E577" s="212" t="s">
        <v>4845</v>
      </c>
      <c r="F577" s="212" t="s">
        <v>4831</v>
      </c>
      <c r="G577" s="212" t="n">
        <v>90</v>
      </c>
      <c r="H577" s="212" t="s">
        <v>120</v>
      </c>
      <c r="I577" s="250" t="n">
        <v>46.96</v>
      </c>
    </row>
    <row r="578" customFormat="false" ht="13.8" hidden="false" customHeight="false" outlineLevel="0" collapsed="false">
      <c r="A578" s="218"/>
      <c r="B578" s="251"/>
      <c r="C578" s="251"/>
      <c r="D578" s="251"/>
      <c r="E578" s="212" t="s">
        <v>4849</v>
      </c>
      <c r="F578" s="212" t="s">
        <v>4831</v>
      </c>
      <c r="G578" s="212" t="n">
        <v>90</v>
      </c>
      <c r="H578" s="212" t="s">
        <v>120</v>
      </c>
      <c r="I578" s="250" t="n">
        <v>44.09</v>
      </c>
    </row>
    <row r="579" customFormat="false" ht="13.8" hidden="false" customHeight="false" outlineLevel="0" collapsed="false">
      <c r="A579" s="218"/>
      <c r="B579" s="251"/>
      <c r="C579" s="251"/>
      <c r="D579" s="251"/>
      <c r="E579" s="212" t="s">
        <v>4853</v>
      </c>
      <c r="F579" s="212" t="s">
        <v>4831</v>
      </c>
      <c r="G579" s="212" t="n">
        <v>160</v>
      </c>
      <c r="H579" s="212" t="s">
        <v>120</v>
      </c>
      <c r="I579" s="250" t="n">
        <v>145.24</v>
      </c>
    </row>
    <row r="580" customFormat="false" ht="13.8" hidden="false" customHeight="false" outlineLevel="0" collapsed="false">
      <c r="A580" s="218"/>
      <c r="B580" s="251"/>
      <c r="C580" s="251"/>
      <c r="D580" s="251"/>
      <c r="E580" s="212" t="s">
        <v>4857</v>
      </c>
      <c r="F580" s="212" t="s">
        <v>4831</v>
      </c>
      <c r="G580" s="212" t="n">
        <v>63</v>
      </c>
      <c r="H580" s="212" t="s">
        <v>120</v>
      </c>
      <c r="I580" s="250" t="n">
        <v>114.94</v>
      </c>
    </row>
    <row r="581" customFormat="false" ht="13.8" hidden="false" customHeight="false" outlineLevel="0" collapsed="false">
      <c r="A581" s="218"/>
      <c r="B581" s="251"/>
      <c r="C581" s="251"/>
      <c r="D581" s="251"/>
      <c r="E581" s="212" t="s">
        <v>4861</v>
      </c>
      <c r="F581" s="212" t="s">
        <v>4831</v>
      </c>
      <c r="G581" s="212" t="n">
        <v>63</v>
      </c>
      <c r="H581" s="212" t="s">
        <v>120</v>
      </c>
      <c r="I581" s="250" t="n">
        <v>44.9</v>
      </c>
    </row>
    <row r="582" customFormat="false" ht="13.8" hidden="false" customHeight="false" outlineLevel="0" collapsed="false">
      <c r="A582" s="218"/>
      <c r="B582" s="251"/>
      <c r="C582" s="251"/>
      <c r="D582" s="251"/>
      <c r="E582" s="212" t="s">
        <v>4865</v>
      </c>
      <c r="F582" s="212" t="s">
        <v>4831</v>
      </c>
      <c r="G582" s="212" t="n">
        <v>90</v>
      </c>
      <c r="H582" s="212" t="s">
        <v>120</v>
      </c>
      <c r="I582" s="250" t="n">
        <v>18.22</v>
      </c>
    </row>
    <row r="583" customFormat="false" ht="13.8" hidden="false" customHeight="false" outlineLevel="0" collapsed="false">
      <c r="A583" s="218"/>
      <c r="B583" s="251"/>
      <c r="C583" s="251"/>
      <c r="D583" s="251"/>
      <c r="E583" s="212" t="s">
        <v>4869</v>
      </c>
      <c r="F583" s="212" t="s">
        <v>4831</v>
      </c>
      <c r="G583" s="212" t="n">
        <v>63</v>
      </c>
      <c r="H583" s="212" t="s">
        <v>120</v>
      </c>
      <c r="I583" s="250" t="n">
        <v>103.03</v>
      </c>
    </row>
    <row r="584" customFormat="false" ht="13.8" hidden="false" customHeight="false" outlineLevel="0" collapsed="false">
      <c r="A584" s="218"/>
      <c r="B584" s="251"/>
      <c r="C584" s="251"/>
      <c r="D584" s="251"/>
      <c r="E584" s="212" t="s">
        <v>4873</v>
      </c>
      <c r="F584" s="212" t="s">
        <v>4831</v>
      </c>
      <c r="G584" s="212" t="n">
        <v>63</v>
      </c>
      <c r="H584" s="212" t="s">
        <v>120</v>
      </c>
      <c r="I584" s="250" t="n">
        <v>73.09</v>
      </c>
    </row>
    <row r="585" customFormat="false" ht="13.8" hidden="false" customHeight="false" outlineLevel="0" collapsed="false">
      <c r="A585" s="218"/>
      <c r="B585" s="251"/>
      <c r="C585" s="251"/>
      <c r="D585" s="251"/>
      <c r="E585" s="212" t="s">
        <v>4877</v>
      </c>
      <c r="F585" s="212" t="s">
        <v>4831</v>
      </c>
      <c r="G585" s="212" t="n">
        <v>160</v>
      </c>
      <c r="H585" s="212" t="s">
        <v>120</v>
      </c>
      <c r="I585" s="250" t="n">
        <v>38.54</v>
      </c>
    </row>
    <row r="586" customFormat="false" ht="13.8" hidden="false" customHeight="false" outlineLevel="0" collapsed="false">
      <c r="A586" s="218"/>
      <c r="B586" s="251"/>
      <c r="C586" s="251"/>
      <c r="D586" s="251"/>
      <c r="E586" s="212" t="s">
        <v>4881</v>
      </c>
      <c r="F586" s="212" t="s">
        <v>4831</v>
      </c>
      <c r="G586" s="212" t="n">
        <v>90</v>
      </c>
      <c r="H586" s="212" t="s">
        <v>120</v>
      </c>
      <c r="I586" s="250" t="n">
        <v>79.2</v>
      </c>
    </row>
    <row r="587" customFormat="false" ht="13.8" hidden="false" customHeight="false" outlineLevel="0" collapsed="false">
      <c r="A587" s="218"/>
      <c r="B587" s="251"/>
      <c r="C587" s="251"/>
      <c r="D587" s="251"/>
      <c r="E587" s="212" t="s">
        <v>4885</v>
      </c>
      <c r="F587" s="212" t="s">
        <v>4831</v>
      </c>
      <c r="G587" s="212" t="n">
        <v>90</v>
      </c>
      <c r="H587" s="212" t="s">
        <v>120</v>
      </c>
      <c r="I587" s="250" t="n">
        <v>97.96</v>
      </c>
    </row>
    <row r="588" customFormat="false" ht="13.8" hidden="false" customHeight="false" outlineLevel="0" collapsed="false">
      <c r="A588" s="218"/>
      <c r="B588" s="251"/>
      <c r="C588" s="251"/>
      <c r="D588" s="251"/>
      <c r="E588" s="212" t="s">
        <v>4888</v>
      </c>
      <c r="F588" s="212" t="s">
        <v>4831</v>
      </c>
      <c r="G588" s="212" t="n">
        <v>63</v>
      </c>
      <c r="H588" s="212" t="s">
        <v>120</v>
      </c>
      <c r="I588" s="250" t="n">
        <v>159.21</v>
      </c>
    </row>
    <row r="589" customFormat="false" ht="13.8" hidden="false" customHeight="false" outlineLevel="0" collapsed="false">
      <c r="A589" s="218"/>
      <c r="B589" s="251"/>
      <c r="C589" s="251"/>
      <c r="D589" s="251"/>
      <c r="E589" s="212" t="s">
        <v>4892</v>
      </c>
      <c r="F589" s="212" t="s">
        <v>4831</v>
      </c>
      <c r="G589" s="212" t="n">
        <v>63</v>
      </c>
      <c r="H589" s="212" t="s">
        <v>120</v>
      </c>
      <c r="I589" s="250" t="n">
        <v>127.87</v>
      </c>
    </row>
    <row r="590" customFormat="false" ht="13.8" hidden="false" customHeight="false" outlineLevel="0" collapsed="false">
      <c r="A590" s="218"/>
      <c r="B590" s="251"/>
      <c r="C590" s="251"/>
      <c r="D590" s="251"/>
      <c r="E590" s="212" t="s">
        <v>4896</v>
      </c>
      <c r="F590" s="212" t="s">
        <v>4831</v>
      </c>
      <c r="G590" s="212" t="n">
        <v>90</v>
      </c>
      <c r="H590" s="212" t="s">
        <v>120</v>
      </c>
      <c r="I590" s="250" t="n">
        <v>114.53</v>
      </c>
    </row>
    <row r="591" customFormat="false" ht="13.8" hidden="false" customHeight="false" outlineLevel="0" collapsed="false">
      <c r="A591" s="218"/>
      <c r="B591" s="251"/>
      <c r="C591" s="251"/>
      <c r="D591" s="251"/>
      <c r="E591" s="212" t="s">
        <v>4899</v>
      </c>
      <c r="F591" s="212" t="s">
        <v>4831</v>
      </c>
      <c r="G591" s="212" t="n">
        <v>90</v>
      </c>
      <c r="H591" s="212" t="s">
        <v>120</v>
      </c>
      <c r="I591" s="250" t="n">
        <v>190.88</v>
      </c>
    </row>
    <row r="592" customFormat="false" ht="13.8" hidden="false" customHeight="false" outlineLevel="0" collapsed="false">
      <c r="A592" s="218"/>
      <c r="B592" s="251"/>
      <c r="C592" s="251"/>
      <c r="D592" s="251"/>
      <c r="E592" s="212" t="s">
        <v>4903</v>
      </c>
      <c r="F592" s="212" t="s">
        <v>4831</v>
      </c>
      <c r="G592" s="212" t="n">
        <v>160</v>
      </c>
      <c r="H592" s="212" t="s">
        <v>120</v>
      </c>
      <c r="I592" s="250" t="n">
        <v>118.25</v>
      </c>
    </row>
    <row r="593" customFormat="false" ht="13.8" hidden="false" customHeight="false" outlineLevel="0" collapsed="false">
      <c r="A593" s="218"/>
      <c r="B593" s="251"/>
      <c r="C593" s="251"/>
      <c r="D593" s="251"/>
      <c r="E593" s="212" t="s">
        <v>4907</v>
      </c>
      <c r="F593" s="212" t="s">
        <v>4831</v>
      </c>
      <c r="G593" s="212" t="n">
        <v>90</v>
      </c>
      <c r="H593" s="212" t="s">
        <v>120</v>
      </c>
      <c r="I593" s="250" t="n">
        <v>36.88</v>
      </c>
    </row>
    <row r="594" customFormat="false" ht="13.8" hidden="false" customHeight="false" outlineLevel="0" collapsed="false">
      <c r="A594" s="218"/>
      <c r="B594" s="251"/>
      <c r="C594" s="251"/>
      <c r="D594" s="251"/>
      <c r="E594" s="212" t="s">
        <v>4911</v>
      </c>
      <c r="F594" s="212" t="s">
        <v>4831</v>
      </c>
      <c r="G594" s="212" t="n">
        <v>63</v>
      </c>
      <c r="H594" s="212" t="s">
        <v>120</v>
      </c>
      <c r="I594" s="250" t="n">
        <v>1.82</v>
      </c>
    </row>
    <row r="595" customFormat="false" ht="13.8" hidden="false" customHeight="false" outlineLevel="0" collapsed="false">
      <c r="A595" s="218"/>
      <c r="B595" s="251"/>
      <c r="C595" s="251"/>
      <c r="D595" s="251"/>
      <c r="E595" s="212" t="s">
        <v>4915</v>
      </c>
      <c r="F595" s="212" t="s">
        <v>4831</v>
      </c>
      <c r="G595" s="212" t="n">
        <v>90</v>
      </c>
      <c r="H595" s="212" t="s">
        <v>120</v>
      </c>
      <c r="I595" s="250" t="n">
        <v>47.45</v>
      </c>
    </row>
    <row r="596" customFormat="false" ht="13.8" hidden="false" customHeight="false" outlineLevel="0" collapsed="false">
      <c r="A596" s="218"/>
      <c r="B596" s="251"/>
      <c r="C596" s="251"/>
      <c r="D596" s="251"/>
      <c r="E596" s="212" t="s">
        <v>4919</v>
      </c>
      <c r="F596" s="212" t="s">
        <v>4831</v>
      </c>
      <c r="G596" s="212" t="n">
        <v>63</v>
      </c>
      <c r="H596" s="212" t="s">
        <v>120</v>
      </c>
      <c r="I596" s="250" t="n">
        <v>23.34</v>
      </c>
    </row>
    <row r="597" customFormat="false" ht="13.8" hidden="false" customHeight="false" outlineLevel="0" collapsed="false">
      <c r="A597" s="218"/>
      <c r="B597" s="251"/>
      <c r="C597" s="251"/>
      <c r="D597" s="251"/>
      <c r="E597" s="212" t="s">
        <v>4923</v>
      </c>
      <c r="F597" s="212" t="s">
        <v>4831</v>
      </c>
      <c r="G597" s="212" t="n">
        <v>90</v>
      </c>
      <c r="H597" s="212" t="s">
        <v>120</v>
      </c>
      <c r="I597" s="250" t="n">
        <v>4.51</v>
      </c>
    </row>
    <row r="598" customFormat="false" ht="13.8" hidden="false" customHeight="false" outlineLevel="0" collapsed="false">
      <c r="A598" s="218"/>
      <c r="B598" s="251"/>
      <c r="C598" s="251"/>
      <c r="D598" s="251"/>
      <c r="E598" s="212" t="s">
        <v>4925</v>
      </c>
      <c r="F598" s="212" t="s">
        <v>4831</v>
      </c>
      <c r="G598" s="212" t="n">
        <v>63</v>
      </c>
      <c r="H598" s="212" t="s">
        <v>120</v>
      </c>
      <c r="I598" s="250" t="n">
        <v>41.95</v>
      </c>
    </row>
    <row r="599" customFormat="false" ht="13.8" hidden="false" customHeight="false" outlineLevel="0" collapsed="false">
      <c r="A599" s="218"/>
      <c r="B599" s="251"/>
      <c r="C599" s="251"/>
      <c r="D599" s="251"/>
      <c r="E599" s="212" t="s">
        <v>4929</v>
      </c>
      <c r="F599" s="212" t="s">
        <v>4831</v>
      </c>
      <c r="G599" s="212" t="n">
        <v>63</v>
      </c>
      <c r="H599" s="212" t="s">
        <v>120</v>
      </c>
      <c r="I599" s="250" t="n">
        <v>0.79</v>
      </c>
    </row>
    <row r="600" customFormat="false" ht="13.8" hidden="false" customHeight="false" outlineLevel="0" collapsed="false">
      <c r="A600" s="218"/>
      <c r="B600" s="251"/>
      <c r="C600" s="251"/>
      <c r="D600" s="251"/>
      <c r="E600" s="212" t="s">
        <v>4931</v>
      </c>
      <c r="F600" s="212" t="s">
        <v>4831</v>
      </c>
      <c r="G600" s="212" t="n">
        <v>160</v>
      </c>
      <c r="H600" s="212" t="s">
        <v>120</v>
      </c>
      <c r="I600" s="250" t="n">
        <v>29.67</v>
      </c>
    </row>
    <row r="601" customFormat="false" ht="13.8" hidden="false" customHeight="false" outlineLevel="0" collapsed="false">
      <c r="A601" s="218"/>
      <c r="B601" s="251"/>
      <c r="C601" s="251"/>
      <c r="D601" s="251"/>
      <c r="E601" s="212" t="s">
        <v>4935</v>
      </c>
      <c r="F601" s="212" t="s">
        <v>4831</v>
      </c>
      <c r="G601" s="212" t="n">
        <v>63</v>
      </c>
      <c r="H601" s="212" t="s">
        <v>120</v>
      </c>
      <c r="I601" s="250" t="n">
        <v>43.27</v>
      </c>
    </row>
    <row r="602" customFormat="false" ht="13.8" hidden="false" customHeight="false" outlineLevel="0" collapsed="false">
      <c r="A602" s="218"/>
      <c r="B602" s="251"/>
      <c r="C602" s="251"/>
      <c r="D602" s="251"/>
      <c r="E602" s="212" t="s">
        <v>4939</v>
      </c>
      <c r="F602" s="212" t="s">
        <v>4831</v>
      </c>
      <c r="G602" s="212" t="n">
        <v>63</v>
      </c>
      <c r="H602" s="212" t="s">
        <v>120</v>
      </c>
      <c r="I602" s="250" t="n">
        <v>44.78</v>
      </c>
    </row>
    <row r="603" customFormat="false" ht="13.8" hidden="false" customHeight="false" outlineLevel="0" collapsed="false">
      <c r="A603" s="218"/>
      <c r="B603" s="251"/>
      <c r="C603" s="251"/>
      <c r="D603" s="251"/>
      <c r="E603" s="212" t="s">
        <v>4943</v>
      </c>
      <c r="F603" s="212" t="s">
        <v>4831</v>
      </c>
      <c r="G603" s="212" t="n">
        <v>110</v>
      </c>
      <c r="H603" s="212" t="s">
        <v>120</v>
      </c>
      <c r="I603" s="250" t="n">
        <v>113.55</v>
      </c>
    </row>
    <row r="604" customFormat="false" ht="13.8" hidden="false" customHeight="false" outlineLevel="0" collapsed="false">
      <c r="A604" s="218"/>
      <c r="B604" s="251"/>
      <c r="C604" s="251"/>
      <c r="D604" s="251"/>
      <c r="E604" s="212" t="s">
        <v>4947</v>
      </c>
      <c r="F604" s="212" t="s">
        <v>4831</v>
      </c>
      <c r="G604" s="212" t="n">
        <v>63</v>
      </c>
      <c r="H604" s="212" t="s">
        <v>120</v>
      </c>
      <c r="I604" s="250" t="n">
        <v>113.62</v>
      </c>
    </row>
    <row r="605" customFormat="false" ht="13.8" hidden="false" customHeight="false" outlineLevel="0" collapsed="false">
      <c r="A605" s="218"/>
      <c r="B605" s="251"/>
      <c r="C605" s="251"/>
      <c r="D605" s="251"/>
      <c r="E605" s="212" t="s">
        <v>4950</v>
      </c>
      <c r="F605" s="212" t="s">
        <v>4831</v>
      </c>
      <c r="G605" s="212" t="n">
        <v>63</v>
      </c>
      <c r="H605" s="212" t="s">
        <v>120</v>
      </c>
      <c r="I605" s="250" t="n">
        <v>45.7</v>
      </c>
    </row>
    <row r="606" customFormat="false" ht="13.8" hidden="false" customHeight="false" outlineLevel="0" collapsed="false">
      <c r="A606" s="218"/>
      <c r="B606" s="251"/>
      <c r="C606" s="251"/>
      <c r="D606" s="251"/>
      <c r="E606" s="212" t="s">
        <v>4954</v>
      </c>
      <c r="F606" s="212" t="s">
        <v>4831</v>
      </c>
      <c r="G606" s="212" t="n">
        <v>160</v>
      </c>
      <c r="H606" s="212" t="s">
        <v>120</v>
      </c>
      <c r="I606" s="250" t="n">
        <v>51.35</v>
      </c>
    </row>
    <row r="607" customFormat="false" ht="13.8" hidden="false" customHeight="false" outlineLevel="0" collapsed="false">
      <c r="A607" s="218"/>
      <c r="B607" s="251"/>
      <c r="C607" s="251"/>
      <c r="D607" s="251"/>
      <c r="E607" s="212" t="s">
        <v>4959</v>
      </c>
      <c r="F607" s="212" t="s">
        <v>4831</v>
      </c>
      <c r="G607" s="212" t="n">
        <v>110</v>
      </c>
      <c r="H607" s="212" t="s">
        <v>120</v>
      </c>
      <c r="I607" s="250" t="n">
        <v>42.97</v>
      </c>
    </row>
    <row r="608" customFormat="false" ht="13.8" hidden="false" customHeight="false" outlineLevel="0" collapsed="false">
      <c r="A608" s="218"/>
      <c r="B608" s="251"/>
      <c r="C608" s="251"/>
      <c r="D608" s="251"/>
      <c r="E608" s="212" t="s">
        <v>4963</v>
      </c>
      <c r="F608" s="212" t="s">
        <v>4831</v>
      </c>
      <c r="G608" s="212" t="n">
        <v>63</v>
      </c>
      <c r="H608" s="212" t="s">
        <v>120</v>
      </c>
      <c r="I608" s="250" t="n">
        <v>103.73</v>
      </c>
    </row>
    <row r="609" customFormat="false" ht="13.8" hidden="false" customHeight="false" outlineLevel="0" collapsed="false">
      <c r="A609" s="218"/>
      <c r="B609" s="251"/>
      <c r="C609" s="251"/>
      <c r="D609" s="251"/>
      <c r="E609" s="212" t="s">
        <v>4967</v>
      </c>
      <c r="F609" s="212" t="s">
        <v>4831</v>
      </c>
      <c r="G609" s="212" t="n">
        <v>160</v>
      </c>
      <c r="H609" s="212" t="s">
        <v>120</v>
      </c>
      <c r="I609" s="250" t="n">
        <v>22.2</v>
      </c>
    </row>
    <row r="610" customFormat="false" ht="13.8" hidden="false" customHeight="false" outlineLevel="0" collapsed="false">
      <c r="A610" s="218"/>
      <c r="B610" s="251"/>
      <c r="C610" s="251"/>
      <c r="D610" s="251"/>
      <c r="E610" s="212" t="s">
        <v>4972</v>
      </c>
      <c r="F610" s="212" t="s">
        <v>4831</v>
      </c>
      <c r="G610" s="212" t="n">
        <v>110</v>
      </c>
      <c r="H610" s="212" t="s">
        <v>120</v>
      </c>
      <c r="I610" s="250" t="n">
        <v>47.29</v>
      </c>
    </row>
    <row r="611" customFormat="false" ht="13.8" hidden="false" customHeight="false" outlineLevel="0" collapsed="false">
      <c r="A611" s="218"/>
      <c r="B611" s="251"/>
      <c r="C611" s="251"/>
      <c r="D611" s="251"/>
      <c r="E611" s="212" t="s">
        <v>4977</v>
      </c>
      <c r="F611" s="212" t="s">
        <v>4831</v>
      </c>
      <c r="G611" s="212" t="n">
        <v>63</v>
      </c>
      <c r="H611" s="212" t="s">
        <v>120</v>
      </c>
      <c r="I611" s="250" t="n">
        <v>106.28</v>
      </c>
    </row>
    <row r="612" customFormat="false" ht="13.8" hidden="false" customHeight="false" outlineLevel="0" collapsed="false">
      <c r="A612" s="218"/>
      <c r="B612" s="251"/>
      <c r="C612" s="251"/>
      <c r="D612" s="251"/>
      <c r="E612" s="212" t="s">
        <v>4981</v>
      </c>
      <c r="F612" s="212" t="s">
        <v>4831</v>
      </c>
      <c r="G612" s="212" t="n">
        <v>63</v>
      </c>
      <c r="H612" s="212" t="s">
        <v>120</v>
      </c>
      <c r="I612" s="250" t="n">
        <v>47.22</v>
      </c>
    </row>
    <row r="613" customFormat="false" ht="13.8" hidden="false" customHeight="false" outlineLevel="0" collapsed="false">
      <c r="A613" s="218"/>
      <c r="B613" s="251"/>
      <c r="C613" s="251"/>
      <c r="D613" s="251"/>
      <c r="E613" s="212" t="s">
        <v>4985</v>
      </c>
      <c r="F613" s="212" t="s">
        <v>4831</v>
      </c>
      <c r="G613" s="212" t="n">
        <v>63</v>
      </c>
      <c r="H613" s="212" t="s">
        <v>120</v>
      </c>
      <c r="I613" s="250" t="n">
        <v>109.68</v>
      </c>
    </row>
    <row r="614" customFormat="false" ht="13.8" hidden="false" customHeight="false" outlineLevel="0" collapsed="false">
      <c r="A614" s="218"/>
      <c r="B614" s="251"/>
      <c r="C614" s="251"/>
      <c r="D614" s="251"/>
      <c r="E614" s="212" t="s">
        <v>4989</v>
      </c>
      <c r="F614" s="212" t="s">
        <v>4831</v>
      </c>
      <c r="G614" s="212" t="n">
        <v>110</v>
      </c>
      <c r="H614" s="212" t="s">
        <v>120</v>
      </c>
      <c r="I614" s="250" t="n">
        <v>66.26</v>
      </c>
    </row>
    <row r="615" customFormat="false" ht="13.8" hidden="false" customHeight="false" outlineLevel="0" collapsed="false">
      <c r="A615" s="218"/>
      <c r="B615" s="251"/>
      <c r="C615" s="251"/>
      <c r="D615" s="251"/>
      <c r="E615" s="212" t="s">
        <v>4993</v>
      </c>
      <c r="F615" s="212" t="s">
        <v>4831</v>
      </c>
      <c r="G615" s="212" t="n">
        <v>63</v>
      </c>
      <c r="H615" s="212" t="s">
        <v>120</v>
      </c>
      <c r="I615" s="250" t="n">
        <v>0.71</v>
      </c>
    </row>
    <row r="616" customFormat="false" ht="13.8" hidden="false" customHeight="false" outlineLevel="0" collapsed="false">
      <c r="A616" s="218"/>
      <c r="B616" s="251"/>
      <c r="C616" s="251"/>
      <c r="D616" s="251"/>
      <c r="E616" s="212" t="s">
        <v>4996</v>
      </c>
      <c r="F616" s="212" t="s">
        <v>4831</v>
      </c>
      <c r="G616" s="212" t="n">
        <v>63</v>
      </c>
      <c r="H616" s="212" t="s">
        <v>120</v>
      </c>
      <c r="I616" s="250" t="n">
        <v>112.63</v>
      </c>
    </row>
    <row r="617" customFormat="false" ht="13.8" hidden="false" customHeight="false" outlineLevel="0" collapsed="false">
      <c r="A617" s="218"/>
      <c r="B617" s="251"/>
      <c r="C617" s="251"/>
      <c r="D617" s="251"/>
      <c r="E617" s="212" t="s">
        <v>5000</v>
      </c>
      <c r="F617" s="212" t="s">
        <v>4831</v>
      </c>
      <c r="G617" s="212" t="n">
        <v>63</v>
      </c>
      <c r="H617" s="212" t="s">
        <v>120</v>
      </c>
      <c r="I617" s="250" t="n">
        <v>48.2</v>
      </c>
    </row>
    <row r="618" customFormat="false" ht="13.8" hidden="false" customHeight="false" outlineLevel="0" collapsed="false">
      <c r="A618" s="218"/>
      <c r="B618" s="251"/>
      <c r="C618" s="251"/>
      <c r="D618" s="251"/>
      <c r="E618" s="212" t="s">
        <v>5003</v>
      </c>
      <c r="F618" s="212" t="s">
        <v>4831</v>
      </c>
      <c r="G618" s="212" t="n">
        <v>63</v>
      </c>
      <c r="H618" s="212" t="s">
        <v>120</v>
      </c>
      <c r="I618" s="250" t="n">
        <v>144.34</v>
      </c>
    </row>
    <row r="619" customFormat="false" ht="13.8" hidden="false" customHeight="false" outlineLevel="0" collapsed="false">
      <c r="A619" s="218"/>
      <c r="B619" s="251"/>
      <c r="C619" s="251"/>
      <c r="D619" s="251"/>
      <c r="E619" s="212" t="s">
        <v>5007</v>
      </c>
      <c r="F619" s="212" t="s">
        <v>4831</v>
      </c>
      <c r="G619" s="212" t="n">
        <v>63</v>
      </c>
      <c r="H619" s="212" t="s">
        <v>120</v>
      </c>
      <c r="I619" s="250" t="n">
        <v>44.14</v>
      </c>
    </row>
    <row r="620" customFormat="false" ht="13.8" hidden="false" customHeight="false" outlineLevel="0" collapsed="false">
      <c r="A620" s="218"/>
      <c r="B620" s="251"/>
      <c r="C620" s="251"/>
      <c r="D620" s="251"/>
      <c r="E620" s="212" t="s">
        <v>5010</v>
      </c>
      <c r="F620" s="212" t="s">
        <v>4831</v>
      </c>
      <c r="G620" s="212" t="n">
        <v>110</v>
      </c>
      <c r="H620" s="212" t="s">
        <v>120</v>
      </c>
      <c r="I620" s="250" t="n">
        <v>52.75</v>
      </c>
    </row>
    <row r="621" customFormat="false" ht="13.8" hidden="false" customHeight="false" outlineLevel="0" collapsed="false">
      <c r="A621" s="218"/>
      <c r="B621" s="251"/>
      <c r="C621" s="251"/>
      <c r="D621" s="251"/>
      <c r="E621" s="212" t="s">
        <v>5014</v>
      </c>
      <c r="F621" s="212" t="s">
        <v>4831</v>
      </c>
      <c r="G621" s="212" t="n">
        <v>63</v>
      </c>
      <c r="H621" s="212" t="s">
        <v>120</v>
      </c>
      <c r="I621" s="250" t="n">
        <v>131.67</v>
      </c>
    </row>
    <row r="622" customFormat="false" ht="13.8" hidden="false" customHeight="false" outlineLevel="0" collapsed="false">
      <c r="A622" s="218"/>
      <c r="B622" s="251"/>
      <c r="C622" s="251"/>
      <c r="D622" s="251"/>
      <c r="E622" s="212" t="s">
        <v>5018</v>
      </c>
      <c r="F622" s="212" t="s">
        <v>4831</v>
      </c>
      <c r="G622" s="212" t="n">
        <v>63</v>
      </c>
      <c r="H622" s="212" t="s">
        <v>120</v>
      </c>
      <c r="I622" s="250" t="n">
        <v>46.07</v>
      </c>
    </row>
    <row r="623" customFormat="false" ht="13.8" hidden="false" customHeight="false" outlineLevel="0" collapsed="false">
      <c r="A623" s="218"/>
      <c r="B623" s="251"/>
      <c r="C623" s="251"/>
      <c r="D623" s="251"/>
      <c r="E623" s="212" t="s">
        <v>5021</v>
      </c>
      <c r="F623" s="212" t="s">
        <v>4831</v>
      </c>
      <c r="G623" s="212" t="n">
        <v>63</v>
      </c>
      <c r="H623" s="212" t="s">
        <v>120</v>
      </c>
      <c r="I623" s="250" t="n">
        <v>82.36</v>
      </c>
    </row>
    <row r="624" customFormat="false" ht="13.8" hidden="false" customHeight="false" outlineLevel="0" collapsed="false">
      <c r="A624" s="218"/>
      <c r="B624" s="251"/>
      <c r="C624" s="251"/>
      <c r="D624" s="251"/>
      <c r="E624" s="212" t="s">
        <v>5025</v>
      </c>
      <c r="F624" s="212" t="s">
        <v>4831</v>
      </c>
      <c r="G624" s="212" t="n">
        <v>63</v>
      </c>
      <c r="H624" s="212" t="s">
        <v>120</v>
      </c>
      <c r="I624" s="250" t="n">
        <v>150.29</v>
      </c>
    </row>
    <row r="625" customFormat="false" ht="13.8" hidden="false" customHeight="false" outlineLevel="0" collapsed="false">
      <c r="A625" s="218"/>
      <c r="B625" s="251"/>
      <c r="C625" s="251"/>
      <c r="D625" s="251"/>
      <c r="E625" s="212" t="s">
        <v>5030</v>
      </c>
      <c r="F625" s="212" t="s">
        <v>4831</v>
      </c>
      <c r="G625" s="212" t="n">
        <v>63</v>
      </c>
      <c r="H625" s="212" t="s">
        <v>120</v>
      </c>
      <c r="I625" s="250" t="n">
        <v>7.91</v>
      </c>
    </row>
    <row r="626" customFormat="false" ht="13.8" hidden="false" customHeight="false" outlineLevel="0" collapsed="false">
      <c r="A626" s="218"/>
      <c r="B626" s="251"/>
      <c r="C626" s="251"/>
      <c r="D626" s="251"/>
      <c r="E626" s="212" t="s">
        <v>5034</v>
      </c>
      <c r="F626" s="212" t="s">
        <v>4831</v>
      </c>
      <c r="G626" s="212" t="n">
        <v>110</v>
      </c>
      <c r="H626" s="212" t="s">
        <v>120</v>
      </c>
      <c r="I626" s="250" t="n">
        <v>40.72</v>
      </c>
    </row>
    <row r="627" customFormat="false" ht="13.8" hidden="false" customHeight="false" outlineLevel="0" collapsed="false">
      <c r="A627" s="218"/>
      <c r="B627" s="251"/>
      <c r="C627" s="251"/>
      <c r="D627" s="251"/>
      <c r="E627" s="212" t="s">
        <v>5038</v>
      </c>
      <c r="F627" s="212" t="s">
        <v>4831</v>
      </c>
      <c r="G627" s="212" t="n">
        <v>63</v>
      </c>
      <c r="H627" s="212" t="s">
        <v>120</v>
      </c>
      <c r="I627" s="250" t="n">
        <v>47.56</v>
      </c>
    </row>
    <row r="628" customFormat="false" ht="13.8" hidden="false" customHeight="false" outlineLevel="0" collapsed="false">
      <c r="A628" s="218"/>
      <c r="B628" s="251"/>
      <c r="C628" s="251"/>
      <c r="D628" s="251"/>
      <c r="E628" s="212" t="s">
        <v>5042</v>
      </c>
      <c r="F628" s="212" t="s">
        <v>4831</v>
      </c>
      <c r="G628" s="212" t="n">
        <v>63</v>
      </c>
      <c r="H628" s="212" t="s">
        <v>120</v>
      </c>
      <c r="I628" s="250" t="n">
        <v>209.19</v>
      </c>
    </row>
    <row r="629" customFormat="false" ht="13.8" hidden="false" customHeight="false" outlineLevel="0" collapsed="false">
      <c r="A629" s="218"/>
      <c r="B629" s="251"/>
      <c r="C629" s="251"/>
      <c r="D629" s="251"/>
      <c r="E629" s="212" t="s">
        <v>5046</v>
      </c>
      <c r="F629" s="212" t="s">
        <v>4831</v>
      </c>
      <c r="G629" s="212" t="n">
        <v>63</v>
      </c>
      <c r="H629" s="212" t="s">
        <v>120</v>
      </c>
      <c r="I629" s="250" t="n">
        <v>48.58</v>
      </c>
    </row>
    <row r="630" customFormat="false" ht="13.8" hidden="false" customHeight="false" outlineLevel="0" collapsed="false">
      <c r="A630" s="218"/>
      <c r="B630" s="251"/>
      <c r="C630" s="251"/>
      <c r="D630" s="251"/>
      <c r="E630" s="212" t="s">
        <v>5051</v>
      </c>
      <c r="F630" s="212" t="s">
        <v>4831</v>
      </c>
      <c r="G630" s="212" t="n">
        <v>63</v>
      </c>
      <c r="H630" s="212" t="s">
        <v>120</v>
      </c>
      <c r="I630" s="250" t="n">
        <v>37.87</v>
      </c>
    </row>
    <row r="631" customFormat="false" ht="13.8" hidden="false" customHeight="false" outlineLevel="0" collapsed="false">
      <c r="A631" s="218"/>
      <c r="B631" s="251"/>
      <c r="C631" s="251"/>
      <c r="D631" s="251"/>
      <c r="E631" s="212" t="s">
        <v>5107</v>
      </c>
      <c r="F631" s="212" t="s">
        <v>5106</v>
      </c>
      <c r="G631" s="212" t="n">
        <v>63</v>
      </c>
      <c r="H631" s="212" t="s">
        <v>120</v>
      </c>
      <c r="I631" s="250" t="n">
        <v>208.43</v>
      </c>
    </row>
    <row r="632" customFormat="false" ht="13.8" hidden="false" customHeight="false" outlineLevel="0" collapsed="false">
      <c r="A632" s="218"/>
      <c r="B632" s="251"/>
      <c r="C632" s="251"/>
      <c r="D632" s="251"/>
      <c r="E632" s="212" t="s">
        <v>5701</v>
      </c>
      <c r="F632" s="212" t="s">
        <v>5700</v>
      </c>
      <c r="G632" s="212" t="n">
        <v>63</v>
      </c>
      <c r="H632" s="212" t="s">
        <v>120</v>
      </c>
      <c r="I632" s="250" t="n">
        <v>357.2</v>
      </c>
    </row>
    <row r="633" customFormat="false" ht="13.8" hidden="false" customHeight="false" outlineLevel="0" collapsed="false">
      <c r="A633" s="218"/>
      <c r="B633" s="251"/>
      <c r="C633" s="251"/>
      <c r="D633" s="251"/>
      <c r="E633" s="212" t="s">
        <v>5707</v>
      </c>
      <c r="F633" s="212" t="s">
        <v>5700</v>
      </c>
      <c r="G633" s="212" t="n">
        <v>63</v>
      </c>
      <c r="H633" s="212" t="s">
        <v>120</v>
      </c>
      <c r="I633" s="250" t="n">
        <v>190.05</v>
      </c>
    </row>
    <row r="634" customFormat="false" ht="13.8" hidden="false" customHeight="false" outlineLevel="0" collapsed="false">
      <c r="A634" s="218"/>
      <c r="B634" s="251"/>
      <c r="C634" s="251"/>
      <c r="D634" s="251"/>
      <c r="E634" s="212" t="s">
        <v>5712</v>
      </c>
      <c r="F634" s="212" t="s">
        <v>5700</v>
      </c>
      <c r="G634" s="212" t="n">
        <v>63</v>
      </c>
      <c r="H634" s="212" t="s">
        <v>120</v>
      </c>
      <c r="I634" s="250" t="n">
        <v>200.71</v>
      </c>
    </row>
    <row r="635" customFormat="false" ht="13.8" hidden="false" customHeight="false" outlineLevel="0" collapsed="false">
      <c r="A635" s="218"/>
      <c r="B635" s="251"/>
      <c r="C635" s="251"/>
      <c r="D635" s="251"/>
      <c r="E635" s="212" t="s">
        <v>5717</v>
      </c>
      <c r="F635" s="212" t="s">
        <v>5700</v>
      </c>
      <c r="G635" s="212" t="n">
        <v>63</v>
      </c>
      <c r="H635" s="212" t="s">
        <v>120</v>
      </c>
      <c r="I635" s="250" t="n">
        <v>208.88</v>
      </c>
    </row>
    <row r="636" customFormat="false" ht="13.8" hidden="false" customHeight="false" outlineLevel="0" collapsed="false">
      <c r="A636" s="218"/>
      <c r="B636" s="251"/>
      <c r="C636" s="251"/>
      <c r="D636" s="251"/>
      <c r="E636" s="212" t="s">
        <v>5722</v>
      </c>
      <c r="F636" s="212" t="s">
        <v>5700</v>
      </c>
      <c r="G636" s="212" t="n">
        <v>250</v>
      </c>
      <c r="H636" s="212" t="s">
        <v>120</v>
      </c>
      <c r="I636" s="250" t="n">
        <v>19.38</v>
      </c>
    </row>
    <row r="637" customFormat="false" ht="13.8" hidden="false" customHeight="false" outlineLevel="0" collapsed="false">
      <c r="A637" s="218"/>
      <c r="B637" s="251"/>
      <c r="C637" s="251"/>
      <c r="D637" s="251"/>
      <c r="E637" s="212" t="s">
        <v>5726</v>
      </c>
      <c r="F637" s="212" t="s">
        <v>5700</v>
      </c>
      <c r="G637" s="212" t="n">
        <v>63</v>
      </c>
      <c r="H637" s="212" t="s">
        <v>120</v>
      </c>
      <c r="I637" s="250" t="n">
        <v>3.26</v>
      </c>
    </row>
    <row r="638" customFormat="false" ht="13.8" hidden="false" customHeight="false" outlineLevel="0" collapsed="false">
      <c r="A638" s="218"/>
      <c r="B638" s="251"/>
      <c r="C638" s="251"/>
      <c r="D638" s="251"/>
      <c r="E638" s="212" t="s">
        <v>5730</v>
      </c>
      <c r="F638" s="212" t="s">
        <v>5700</v>
      </c>
      <c r="G638" s="212" t="n">
        <v>250</v>
      </c>
      <c r="H638" s="212" t="s">
        <v>120</v>
      </c>
      <c r="I638" s="250" t="n">
        <v>5.58</v>
      </c>
    </row>
    <row r="639" customFormat="false" ht="13.8" hidden="false" customHeight="false" outlineLevel="0" collapsed="false">
      <c r="A639" s="218"/>
      <c r="B639" s="251"/>
      <c r="C639" s="251"/>
      <c r="D639" s="251"/>
      <c r="E639" s="212" t="s">
        <v>5733</v>
      </c>
      <c r="F639" s="212" t="s">
        <v>5700</v>
      </c>
      <c r="G639" s="212" t="n">
        <v>110</v>
      </c>
      <c r="H639" s="212" t="s">
        <v>120</v>
      </c>
      <c r="I639" s="250" t="n">
        <v>27.68</v>
      </c>
    </row>
    <row r="640" customFormat="false" ht="13.8" hidden="false" customHeight="false" outlineLevel="0" collapsed="false">
      <c r="A640" s="218"/>
      <c r="B640" s="251"/>
      <c r="C640" s="251"/>
      <c r="D640" s="251"/>
      <c r="E640" s="212" t="s">
        <v>5736</v>
      </c>
      <c r="F640" s="212" t="s">
        <v>5700</v>
      </c>
      <c r="G640" s="212" t="n">
        <v>63</v>
      </c>
      <c r="H640" s="212" t="s">
        <v>120</v>
      </c>
      <c r="I640" s="250" t="n">
        <v>231.78</v>
      </c>
    </row>
    <row r="641" customFormat="false" ht="13.8" hidden="false" customHeight="false" outlineLevel="0" collapsed="false">
      <c r="A641" s="218"/>
      <c r="B641" s="251"/>
      <c r="C641" s="251"/>
      <c r="D641" s="251"/>
      <c r="E641" s="212" t="s">
        <v>5741</v>
      </c>
      <c r="F641" s="212" t="s">
        <v>5700</v>
      </c>
      <c r="G641" s="212" t="n">
        <v>63</v>
      </c>
      <c r="H641" s="212" t="s">
        <v>120</v>
      </c>
      <c r="I641" s="250" t="n">
        <v>239.76</v>
      </c>
    </row>
    <row r="642" customFormat="false" ht="13.8" hidden="false" customHeight="false" outlineLevel="0" collapsed="false">
      <c r="A642" s="218"/>
      <c r="B642" s="251"/>
      <c r="C642" s="251"/>
      <c r="D642" s="251"/>
      <c r="E642" s="212" t="s">
        <v>5746</v>
      </c>
      <c r="F642" s="212" t="s">
        <v>5700</v>
      </c>
      <c r="G642" s="212" t="n">
        <v>110</v>
      </c>
      <c r="H642" s="212" t="s">
        <v>120</v>
      </c>
      <c r="I642" s="250" t="n">
        <v>36.17</v>
      </c>
    </row>
    <row r="643" customFormat="false" ht="13.8" hidden="false" customHeight="false" outlineLevel="0" collapsed="false">
      <c r="A643" s="218"/>
      <c r="B643" s="251"/>
      <c r="C643" s="251"/>
      <c r="D643" s="251"/>
      <c r="E643" s="212" t="s">
        <v>5749</v>
      </c>
      <c r="F643" s="212" t="s">
        <v>5700</v>
      </c>
      <c r="G643" s="212" t="n">
        <v>110</v>
      </c>
      <c r="H643" s="212" t="s">
        <v>120</v>
      </c>
      <c r="I643" s="250" t="n">
        <v>42.79</v>
      </c>
    </row>
    <row r="644" customFormat="false" ht="13.8" hidden="false" customHeight="false" outlineLevel="0" collapsed="false">
      <c r="A644" s="218"/>
      <c r="B644" s="251"/>
      <c r="C644" s="251"/>
      <c r="D644" s="251"/>
      <c r="E644" s="212" t="s">
        <v>5752</v>
      </c>
      <c r="F644" s="212" t="s">
        <v>5700</v>
      </c>
      <c r="G644" s="212" t="n">
        <v>110</v>
      </c>
      <c r="H644" s="212" t="s">
        <v>120</v>
      </c>
      <c r="I644" s="250" t="n">
        <v>80.15</v>
      </c>
    </row>
    <row r="645" customFormat="false" ht="13.8" hidden="false" customHeight="false" outlineLevel="0" collapsed="false">
      <c r="A645" s="218"/>
      <c r="B645" s="251"/>
      <c r="C645" s="251"/>
      <c r="D645" s="251"/>
      <c r="E645" s="212" t="s">
        <v>5755</v>
      </c>
      <c r="F645" s="212" t="s">
        <v>5700</v>
      </c>
      <c r="G645" s="212" t="n">
        <v>110</v>
      </c>
      <c r="H645" s="212" t="s">
        <v>120</v>
      </c>
      <c r="I645" s="250" t="n">
        <v>26.04</v>
      </c>
    </row>
    <row r="646" customFormat="false" ht="13.8" hidden="false" customHeight="false" outlineLevel="0" collapsed="false">
      <c r="A646" s="218"/>
      <c r="B646" s="251"/>
      <c r="C646" s="251"/>
      <c r="D646" s="251"/>
      <c r="E646" s="212" t="s">
        <v>5758</v>
      </c>
      <c r="F646" s="212" t="s">
        <v>5700</v>
      </c>
      <c r="G646" s="212" t="n">
        <v>110</v>
      </c>
      <c r="H646" s="212" t="s">
        <v>120</v>
      </c>
      <c r="I646" s="250" t="n">
        <v>48.77</v>
      </c>
    </row>
    <row r="647" customFormat="false" ht="13.8" hidden="false" customHeight="false" outlineLevel="0" collapsed="false">
      <c r="A647" s="218"/>
      <c r="B647" s="251"/>
      <c r="C647" s="251"/>
      <c r="D647" s="251"/>
      <c r="E647" s="212" t="s">
        <v>5762</v>
      </c>
      <c r="F647" s="212" t="s">
        <v>5700</v>
      </c>
      <c r="G647" s="212" t="n">
        <v>160</v>
      </c>
      <c r="H647" s="212" t="s">
        <v>120</v>
      </c>
      <c r="I647" s="250" t="n">
        <v>16.69</v>
      </c>
    </row>
    <row r="648" customFormat="false" ht="13.8" hidden="false" customHeight="false" outlineLevel="0" collapsed="false">
      <c r="A648" s="218"/>
      <c r="B648" s="252"/>
      <c r="C648" s="252"/>
      <c r="D648" s="252"/>
      <c r="E648" s="212" t="s">
        <v>5766</v>
      </c>
      <c r="F648" s="212" t="s">
        <v>5700</v>
      </c>
      <c r="G648" s="212" t="n">
        <v>160</v>
      </c>
      <c r="H648" s="212" t="s">
        <v>120</v>
      </c>
      <c r="I648" s="250" t="n">
        <v>29.09</v>
      </c>
    </row>
    <row r="649" customFormat="false" ht="13.8" hidden="false" customHeight="false" outlineLevel="0" collapsed="false">
      <c r="A649" s="218"/>
      <c r="B649" s="249" t="s">
        <v>7039</v>
      </c>
      <c r="C649" s="249" t="s">
        <v>117</v>
      </c>
      <c r="D649" s="249" t="s">
        <v>1548</v>
      </c>
      <c r="E649" s="212" t="s">
        <v>3684</v>
      </c>
      <c r="F649" s="212" t="s">
        <v>3352</v>
      </c>
      <c r="G649" s="212" t="n">
        <v>63</v>
      </c>
      <c r="H649" s="212" t="s">
        <v>120</v>
      </c>
      <c r="I649" s="250" t="n">
        <v>92.19</v>
      </c>
    </row>
    <row r="650" customFormat="false" ht="13.8" hidden="false" customHeight="false" outlineLevel="0" collapsed="false">
      <c r="A650" s="218"/>
      <c r="B650" s="251"/>
      <c r="C650" s="251"/>
      <c r="D650" s="251"/>
      <c r="E650" s="212" t="s">
        <v>3691</v>
      </c>
      <c r="F650" s="212" t="s">
        <v>3352</v>
      </c>
      <c r="G650" s="212" t="n">
        <v>225</v>
      </c>
      <c r="H650" s="212" t="s">
        <v>120</v>
      </c>
      <c r="I650" s="250" t="n">
        <v>67.83</v>
      </c>
    </row>
    <row r="651" customFormat="false" ht="13.8" hidden="false" customHeight="false" outlineLevel="0" collapsed="false">
      <c r="A651" s="218"/>
      <c r="B651" s="251"/>
      <c r="C651" s="251"/>
      <c r="D651" s="251"/>
      <c r="E651" s="212" t="s">
        <v>3695</v>
      </c>
      <c r="F651" s="212" t="s">
        <v>3352</v>
      </c>
      <c r="G651" s="212" t="n">
        <v>63</v>
      </c>
      <c r="H651" s="212" t="s">
        <v>120</v>
      </c>
      <c r="I651" s="250" t="n">
        <v>36.3</v>
      </c>
    </row>
    <row r="652" customFormat="false" ht="13.8" hidden="false" customHeight="false" outlineLevel="0" collapsed="false">
      <c r="A652" s="218"/>
      <c r="B652" s="251"/>
      <c r="C652" s="251"/>
      <c r="D652" s="251"/>
      <c r="E652" s="212" t="s">
        <v>3699</v>
      </c>
      <c r="F652" s="212" t="s">
        <v>3352</v>
      </c>
      <c r="G652" s="212" t="n">
        <v>63</v>
      </c>
      <c r="H652" s="212" t="s">
        <v>120</v>
      </c>
      <c r="I652" s="250" t="n">
        <v>72.07</v>
      </c>
    </row>
    <row r="653" customFormat="false" ht="13.8" hidden="false" customHeight="false" outlineLevel="0" collapsed="false">
      <c r="A653" s="218"/>
      <c r="B653" s="251"/>
      <c r="C653" s="251"/>
      <c r="D653" s="251"/>
      <c r="E653" s="212" t="s">
        <v>3703</v>
      </c>
      <c r="F653" s="212" t="s">
        <v>3352</v>
      </c>
      <c r="G653" s="212" t="n">
        <v>63</v>
      </c>
      <c r="H653" s="212" t="s">
        <v>120</v>
      </c>
      <c r="I653" s="250" t="n">
        <v>60.04</v>
      </c>
    </row>
    <row r="654" customFormat="false" ht="13.8" hidden="false" customHeight="false" outlineLevel="0" collapsed="false">
      <c r="A654" s="218"/>
      <c r="B654" s="251"/>
      <c r="C654" s="251"/>
      <c r="D654" s="251"/>
      <c r="E654" s="212" t="s">
        <v>3708</v>
      </c>
      <c r="F654" s="212" t="s">
        <v>3352</v>
      </c>
      <c r="G654" s="212" t="n">
        <v>63</v>
      </c>
      <c r="H654" s="212" t="s">
        <v>120</v>
      </c>
      <c r="I654" s="250" t="n">
        <v>75.04</v>
      </c>
    </row>
    <row r="655" customFormat="false" ht="13.8" hidden="false" customHeight="false" outlineLevel="0" collapsed="false">
      <c r="A655" s="218"/>
      <c r="B655" s="251"/>
      <c r="C655" s="251"/>
      <c r="D655" s="251"/>
      <c r="E655" s="212" t="s">
        <v>3712</v>
      </c>
      <c r="F655" s="212" t="s">
        <v>3352</v>
      </c>
      <c r="G655" s="212" t="n">
        <v>63</v>
      </c>
      <c r="H655" s="212" t="s">
        <v>120</v>
      </c>
      <c r="I655" s="250" t="n">
        <v>63.87</v>
      </c>
    </row>
    <row r="656" customFormat="false" ht="13.8" hidden="false" customHeight="false" outlineLevel="0" collapsed="false">
      <c r="A656" s="218"/>
      <c r="B656" s="251"/>
      <c r="C656" s="251"/>
      <c r="D656" s="251"/>
      <c r="E656" s="212" t="s">
        <v>3716</v>
      </c>
      <c r="F656" s="212" t="s">
        <v>3352</v>
      </c>
      <c r="G656" s="212" t="n">
        <v>63</v>
      </c>
      <c r="H656" s="212" t="s">
        <v>120</v>
      </c>
      <c r="I656" s="250" t="n">
        <v>297.57</v>
      </c>
    </row>
    <row r="657" customFormat="false" ht="13.8" hidden="false" customHeight="false" outlineLevel="0" collapsed="false">
      <c r="A657" s="218"/>
      <c r="B657" s="251"/>
      <c r="C657" s="251"/>
      <c r="D657" s="251"/>
      <c r="E657" s="212" t="s">
        <v>3720</v>
      </c>
      <c r="F657" s="212" t="s">
        <v>3352</v>
      </c>
      <c r="G657" s="212" t="n">
        <v>63</v>
      </c>
      <c r="H657" s="212" t="s">
        <v>120</v>
      </c>
      <c r="I657" s="250" t="n">
        <v>73.7</v>
      </c>
    </row>
    <row r="658" customFormat="false" ht="13.8" hidden="false" customHeight="false" outlineLevel="0" collapsed="false">
      <c r="A658" s="218"/>
      <c r="B658" s="251"/>
      <c r="C658" s="251"/>
      <c r="D658" s="251"/>
      <c r="E658" s="212" t="s">
        <v>3725</v>
      </c>
      <c r="F658" s="212" t="s">
        <v>3352</v>
      </c>
      <c r="G658" s="212" t="n">
        <v>63</v>
      </c>
      <c r="H658" s="212" t="s">
        <v>120</v>
      </c>
      <c r="I658" s="250" t="n">
        <v>25.32</v>
      </c>
    </row>
    <row r="659" customFormat="false" ht="13.8" hidden="false" customHeight="false" outlineLevel="0" collapsed="false">
      <c r="A659" s="218"/>
      <c r="B659" s="251"/>
      <c r="C659" s="251"/>
      <c r="D659" s="251"/>
      <c r="E659" s="212" t="s">
        <v>3728</v>
      </c>
      <c r="F659" s="212" t="s">
        <v>3352</v>
      </c>
      <c r="G659" s="212" t="n">
        <v>63</v>
      </c>
      <c r="H659" s="212" t="s">
        <v>120</v>
      </c>
      <c r="I659" s="250" t="n">
        <v>38.34</v>
      </c>
    </row>
    <row r="660" customFormat="false" ht="13.8" hidden="false" customHeight="false" outlineLevel="0" collapsed="false">
      <c r="A660" s="218"/>
      <c r="B660" s="251"/>
      <c r="C660" s="251"/>
      <c r="D660" s="251"/>
      <c r="E660" s="212" t="s">
        <v>3732</v>
      </c>
      <c r="F660" s="212" t="s">
        <v>3352</v>
      </c>
      <c r="G660" s="212" t="n">
        <v>63</v>
      </c>
      <c r="H660" s="212" t="s">
        <v>120</v>
      </c>
      <c r="I660" s="250" t="n">
        <v>77.78</v>
      </c>
    </row>
    <row r="661" customFormat="false" ht="13.8" hidden="false" customHeight="false" outlineLevel="0" collapsed="false">
      <c r="A661" s="218"/>
      <c r="B661" s="251"/>
      <c r="C661" s="251"/>
      <c r="D661" s="251"/>
      <c r="E661" s="212" t="s">
        <v>3736</v>
      </c>
      <c r="F661" s="212" t="s">
        <v>3352</v>
      </c>
      <c r="G661" s="212" t="n">
        <v>63</v>
      </c>
      <c r="H661" s="212" t="s">
        <v>120</v>
      </c>
      <c r="I661" s="250" t="n">
        <v>60.25</v>
      </c>
    </row>
    <row r="662" customFormat="false" ht="13.8" hidden="false" customHeight="false" outlineLevel="0" collapsed="false">
      <c r="A662" s="218"/>
      <c r="B662" s="251"/>
      <c r="C662" s="251"/>
      <c r="D662" s="251"/>
      <c r="E662" s="212" t="s">
        <v>3739</v>
      </c>
      <c r="F662" s="212" t="s">
        <v>3352</v>
      </c>
      <c r="G662" s="212" t="n">
        <v>225</v>
      </c>
      <c r="H662" s="212" t="s">
        <v>120</v>
      </c>
      <c r="I662" s="250" t="n">
        <v>83.7</v>
      </c>
    </row>
    <row r="663" customFormat="false" ht="13.8" hidden="false" customHeight="false" outlineLevel="0" collapsed="false">
      <c r="A663" s="218"/>
      <c r="B663" s="251"/>
      <c r="C663" s="251"/>
      <c r="D663" s="251"/>
      <c r="E663" s="212" t="s">
        <v>3742</v>
      </c>
      <c r="F663" s="212" t="s">
        <v>3352</v>
      </c>
      <c r="G663" s="212" t="n">
        <v>63</v>
      </c>
      <c r="H663" s="212" t="s">
        <v>120</v>
      </c>
      <c r="I663" s="250" t="n">
        <v>37.4</v>
      </c>
    </row>
    <row r="664" customFormat="false" ht="13.8" hidden="false" customHeight="false" outlineLevel="0" collapsed="false">
      <c r="A664" s="218"/>
      <c r="B664" s="251"/>
      <c r="C664" s="251"/>
      <c r="D664" s="251"/>
      <c r="E664" s="212" t="s">
        <v>3747</v>
      </c>
      <c r="F664" s="212" t="s">
        <v>3352</v>
      </c>
      <c r="G664" s="212" t="n">
        <v>63</v>
      </c>
      <c r="H664" s="212" t="s">
        <v>120</v>
      </c>
      <c r="I664" s="250" t="n">
        <v>57.86</v>
      </c>
    </row>
    <row r="665" customFormat="false" ht="13.8" hidden="false" customHeight="false" outlineLevel="0" collapsed="false">
      <c r="A665" s="218"/>
      <c r="B665" s="251"/>
      <c r="C665" s="251"/>
      <c r="D665" s="251"/>
      <c r="E665" s="212" t="s">
        <v>3750</v>
      </c>
      <c r="F665" s="212" t="s">
        <v>3352</v>
      </c>
      <c r="G665" s="212" t="n">
        <v>63</v>
      </c>
      <c r="H665" s="212" t="s">
        <v>120</v>
      </c>
      <c r="I665" s="250" t="n">
        <v>90.25</v>
      </c>
    </row>
    <row r="666" customFormat="false" ht="13.8" hidden="false" customHeight="false" outlineLevel="0" collapsed="false">
      <c r="A666" s="218"/>
      <c r="B666" s="251"/>
      <c r="C666" s="251"/>
      <c r="D666" s="251"/>
      <c r="E666" s="212" t="s">
        <v>3754</v>
      </c>
      <c r="F666" s="212" t="s">
        <v>3352</v>
      </c>
      <c r="G666" s="212" t="n">
        <v>90</v>
      </c>
      <c r="H666" s="212" t="s">
        <v>120</v>
      </c>
      <c r="I666" s="250" t="n">
        <v>173.61</v>
      </c>
    </row>
    <row r="667" customFormat="false" ht="13.8" hidden="false" customHeight="false" outlineLevel="0" collapsed="false">
      <c r="A667" s="218"/>
      <c r="B667" s="251"/>
      <c r="C667" s="251"/>
      <c r="D667" s="251"/>
      <c r="E667" s="212" t="s">
        <v>3758</v>
      </c>
      <c r="F667" s="212" t="s">
        <v>3352</v>
      </c>
      <c r="G667" s="212" t="n">
        <v>63</v>
      </c>
      <c r="H667" s="212" t="s">
        <v>120</v>
      </c>
      <c r="I667" s="250" t="n">
        <v>98.25</v>
      </c>
    </row>
    <row r="668" customFormat="false" ht="13.8" hidden="false" customHeight="false" outlineLevel="0" collapsed="false">
      <c r="A668" s="218"/>
      <c r="B668" s="251"/>
      <c r="C668" s="251"/>
      <c r="D668" s="251"/>
      <c r="E668" s="212" t="s">
        <v>3762</v>
      </c>
      <c r="F668" s="212" t="s">
        <v>3352</v>
      </c>
      <c r="G668" s="212" t="n">
        <v>225</v>
      </c>
      <c r="H668" s="212" t="s">
        <v>120</v>
      </c>
      <c r="I668" s="250" t="n">
        <v>53.91</v>
      </c>
    </row>
    <row r="669" customFormat="false" ht="13.8" hidden="false" customHeight="false" outlineLevel="0" collapsed="false">
      <c r="A669" s="218"/>
      <c r="B669" s="251"/>
      <c r="C669" s="251"/>
      <c r="D669" s="251"/>
      <c r="E669" s="212" t="s">
        <v>3765</v>
      </c>
      <c r="F669" s="212" t="s">
        <v>3352</v>
      </c>
      <c r="G669" s="212" t="n">
        <v>90</v>
      </c>
      <c r="H669" s="212" t="s">
        <v>120</v>
      </c>
      <c r="I669" s="250" t="n">
        <v>162.34</v>
      </c>
    </row>
    <row r="670" customFormat="false" ht="13.8" hidden="false" customHeight="false" outlineLevel="0" collapsed="false">
      <c r="A670" s="218"/>
      <c r="B670" s="251"/>
      <c r="C670" s="251"/>
      <c r="D670" s="251"/>
      <c r="E670" s="212" t="s">
        <v>3770</v>
      </c>
      <c r="F670" s="212" t="s">
        <v>3352</v>
      </c>
      <c r="G670" s="212" t="n">
        <v>225</v>
      </c>
      <c r="H670" s="212" t="s">
        <v>120</v>
      </c>
      <c r="I670" s="250" t="n">
        <v>37.85</v>
      </c>
    </row>
    <row r="671" customFormat="false" ht="13.8" hidden="false" customHeight="false" outlineLevel="0" collapsed="false">
      <c r="A671" s="218"/>
      <c r="B671" s="251"/>
      <c r="C671" s="251"/>
      <c r="D671" s="251"/>
      <c r="E671" s="212" t="s">
        <v>3773</v>
      </c>
      <c r="F671" s="212" t="s">
        <v>3352</v>
      </c>
      <c r="G671" s="212" t="n">
        <v>90</v>
      </c>
      <c r="H671" s="212" t="s">
        <v>120</v>
      </c>
      <c r="I671" s="250" t="n">
        <v>159.73</v>
      </c>
    </row>
    <row r="672" customFormat="false" ht="13.8" hidden="false" customHeight="false" outlineLevel="0" collapsed="false">
      <c r="A672" s="218"/>
      <c r="B672" s="251"/>
      <c r="C672" s="251"/>
      <c r="D672" s="251"/>
      <c r="E672" s="212" t="s">
        <v>3777</v>
      </c>
      <c r="F672" s="212" t="s">
        <v>3352</v>
      </c>
      <c r="G672" s="212" t="n">
        <v>225</v>
      </c>
      <c r="H672" s="212" t="s">
        <v>120</v>
      </c>
      <c r="I672" s="250" t="n">
        <v>43.16</v>
      </c>
    </row>
    <row r="673" customFormat="false" ht="13.8" hidden="false" customHeight="false" outlineLevel="0" collapsed="false">
      <c r="A673" s="218"/>
      <c r="B673" s="251"/>
      <c r="C673" s="251"/>
      <c r="D673" s="251"/>
      <c r="E673" s="212" t="s">
        <v>3780</v>
      </c>
      <c r="F673" s="212" t="s">
        <v>3352</v>
      </c>
      <c r="G673" s="212" t="n">
        <v>225</v>
      </c>
      <c r="H673" s="212" t="s">
        <v>120</v>
      </c>
      <c r="I673" s="250" t="n">
        <v>3.62</v>
      </c>
    </row>
    <row r="674" customFormat="false" ht="13.8" hidden="false" customHeight="false" outlineLevel="0" collapsed="false">
      <c r="A674" s="218"/>
      <c r="B674" s="251"/>
      <c r="C674" s="251"/>
      <c r="D674" s="251"/>
      <c r="E674" s="212" t="s">
        <v>3784</v>
      </c>
      <c r="F674" s="212" t="s">
        <v>3352</v>
      </c>
      <c r="G674" s="212" t="n">
        <v>225</v>
      </c>
      <c r="H674" s="212" t="s">
        <v>120</v>
      </c>
      <c r="I674" s="250" t="n">
        <v>3.07</v>
      </c>
    </row>
    <row r="675" customFormat="false" ht="13.8" hidden="false" customHeight="false" outlineLevel="0" collapsed="false">
      <c r="A675" s="218"/>
      <c r="B675" s="251"/>
      <c r="C675" s="251"/>
      <c r="D675" s="251"/>
      <c r="E675" s="212" t="s">
        <v>5055</v>
      </c>
      <c r="F675" s="212" t="s">
        <v>4831</v>
      </c>
      <c r="G675" s="212" t="n">
        <v>160</v>
      </c>
      <c r="H675" s="212" t="s">
        <v>120</v>
      </c>
      <c r="I675" s="250" t="n">
        <v>15.2</v>
      </c>
    </row>
    <row r="676" customFormat="false" ht="13.8" hidden="false" customHeight="false" outlineLevel="0" collapsed="false">
      <c r="A676" s="218"/>
      <c r="B676" s="251"/>
      <c r="C676" s="251"/>
      <c r="D676" s="251"/>
      <c r="E676" s="212" t="s">
        <v>5113</v>
      </c>
      <c r="F676" s="212" t="s">
        <v>2224</v>
      </c>
      <c r="G676" s="212" t="n">
        <v>315</v>
      </c>
      <c r="H676" s="212" t="s">
        <v>120</v>
      </c>
      <c r="I676" s="250" t="n">
        <v>1.72</v>
      </c>
    </row>
    <row r="677" customFormat="false" ht="13.8" hidden="false" customHeight="false" outlineLevel="0" collapsed="false">
      <c r="A677" s="218"/>
      <c r="B677" s="251"/>
      <c r="C677" s="251"/>
      <c r="D677" s="251"/>
      <c r="E677" s="212" t="s">
        <v>5116</v>
      </c>
      <c r="F677" s="212" t="s">
        <v>2224</v>
      </c>
      <c r="G677" s="212" t="n">
        <v>355</v>
      </c>
      <c r="H677" s="212" t="s">
        <v>120</v>
      </c>
      <c r="I677" s="250" t="n">
        <v>530.78</v>
      </c>
    </row>
    <row r="678" customFormat="false" ht="13.8" hidden="false" customHeight="false" outlineLevel="0" collapsed="false">
      <c r="A678" s="218"/>
      <c r="B678" s="251"/>
      <c r="C678" s="251"/>
      <c r="D678" s="251"/>
      <c r="E678" s="212" t="s">
        <v>5120</v>
      </c>
      <c r="F678" s="212" t="s">
        <v>5106</v>
      </c>
      <c r="G678" s="212" t="n">
        <v>160</v>
      </c>
      <c r="H678" s="212" t="s">
        <v>120</v>
      </c>
      <c r="I678" s="250" t="n">
        <v>46.56</v>
      </c>
    </row>
    <row r="679" customFormat="false" ht="13.8" hidden="false" customHeight="false" outlineLevel="0" collapsed="false">
      <c r="A679" s="218"/>
      <c r="B679" s="251"/>
      <c r="C679" s="251"/>
      <c r="D679" s="251"/>
      <c r="E679" s="212" t="s">
        <v>5125</v>
      </c>
      <c r="F679" s="212" t="s">
        <v>5106</v>
      </c>
      <c r="G679" s="212" t="n">
        <v>63</v>
      </c>
      <c r="H679" s="212" t="s">
        <v>120</v>
      </c>
      <c r="I679" s="250" t="n">
        <v>44.1</v>
      </c>
    </row>
    <row r="680" customFormat="false" ht="13.8" hidden="false" customHeight="false" outlineLevel="0" collapsed="false">
      <c r="A680" s="218"/>
      <c r="B680" s="251"/>
      <c r="C680" s="251"/>
      <c r="D680" s="251"/>
      <c r="E680" s="212" t="s">
        <v>5128</v>
      </c>
      <c r="F680" s="212" t="s">
        <v>5106</v>
      </c>
      <c r="G680" s="212" t="n">
        <v>90</v>
      </c>
      <c r="H680" s="212" t="s">
        <v>120</v>
      </c>
      <c r="I680" s="250" t="n">
        <v>61.43</v>
      </c>
    </row>
    <row r="681" customFormat="false" ht="13.8" hidden="false" customHeight="false" outlineLevel="0" collapsed="false">
      <c r="A681" s="218"/>
      <c r="B681" s="251"/>
      <c r="C681" s="251"/>
      <c r="D681" s="251"/>
      <c r="E681" s="212" t="s">
        <v>5132</v>
      </c>
      <c r="F681" s="212" t="s">
        <v>5106</v>
      </c>
      <c r="G681" s="212" t="n">
        <v>160</v>
      </c>
      <c r="H681" s="212" t="s">
        <v>120</v>
      </c>
      <c r="I681" s="250" t="n">
        <v>41.55</v>
      </c>
    </row>
    <row r="682" customFormat="false" ht="13.8" hidden="false" customHeight="false" outlineLevel="0" collapsed="false">
      <c r="A682" s="218"/>
      <c r="B682" s="251"/>
      <c r="C682" s="251"/>
      <c r="D682" s="251"/>
      <c r="E682" s="212" t="s">
        <v>5134</v>
      </c>
      <c r="F682" s="212" t="s">
        <v>5106</v>
      </c>
      <c r="G682" s="212" t="n">
        <v>90</v>
      </c>
      <c r="H682" s="212" t="s">
        <v>120</v>
      </c>
      <c r="I682" s="250" t="n">
        <v>37.96</v>
      </c>
    </row>
    <row r="683" customFormat="false" ht="13.8" hidden="false" customHeight="false" outlineLevel="0" collapsed="false">
      <c r="A683" s="218"/>
      <c r="B683" s="251"/>
      <c r="C683" s="251"/>
      <c r="D683" s="251"/>
      <c r="E683" s="212" t="s">
        <v>5138</v>
      </c>
      <c r="F683" s="212" t="s">
        <v>5106</v>
      </c>
      <c r="G683" s="212" t="n">
        <v>90</v>
      </c>
      <c r="H683" s="212" t="s">
        <v>120</v>
      </c>
      <c r="I683" s="250" t="n">
        <v>0.98</v>
      </c>
    </row>
    <row r="684" customFormat="false" ht="13.8" hidden="false" customHeight="false" outlineLevel="0" collapsed="false">
      <c r="A684" s="218"/>
      <c r="B684" s="251"/>
      <c r="C684" s="251"/>
      <c r="D684" s="251"/>
      <c r="E684" s="212" t="s">
        <v>5142</v>
      </c>
      <c r="F684" s="212" t="s">
        <v>5106</v>
      </c>
      <c r="G684" s="212" t="n">
        <v>90</v>
      </c>
      <c r="H684" s="212" t="s">
        <v>120</v>
      </c>
      <c r="I684" s="250" t="n">
        <v>3.07</v>
      </c>
    </row>
    <row r="685" customFormat="false" ht="13.8" hidden="false" customHeight="false" outlineLevel="0" collapsed="false">
      <c r="A685" s="218"/>
      <c r="B685" s="251"/>
      <c r="C685" s="251"/>
      <c r="D685" s="251"/>
      <c r="E685" s="212" t="s">
        <v>5145</v>
      </c>
      <c r="F685" s="212" t="s">
        <v>5106</v>
      </c>
      <c r="G685" s="212" t="n">
        <v>160</v>
      </c>
      <c r="H685" s="212" t="s">
        <v>120</v>
      </c>
      <c r="I685" s="250" t="n">
        <v>37.71</v>
      </c>
    </row>
    <row r="686" customFormat="false" ht="13.8" hidden="false" customHeight="false" outlineLevel="0" collapsed="false">
      <c r="A686" s="218"/>
      <c r="B686" s="251"/>
      <c r="C686" s="251"/>
      <c r="D686" s="251"/>
      <c r="E686" s="212" t="s">
        <v>5148</v>
      </c>
      <c r="F686" s="212" t="s">
        <v>5106</v>
      </c>
      <c r="G686" s="212" t="n">
        <v>63</v>
      </c>
      <c r="H686" s="212" t="s">
        <v>120</v>
      </c>
      <c r="I686" s="250" t="n">
        <v>53.89</v>
      </c>
    </row>
    <row r="687" customFormat="false" ht="13.8" hidden="false" customHeight="false" outlineLevel="0" collapsed="false">
      <c r="A687" s="218"/>
      <c r="B687" s="251"/>
      <c r="C687" s="251"/>
      <c r="D687" s="251"/>
      <c r="E687" s="212" t="s">
        <v>5770</v>
      </c>
      <c r="F687" s="212" t="s">
        <v>5700</v>
      </c>
      <c r="G687" s="212" t="n">
        <v>63</v>
      </c>
      <c r="H687" s="212" t="s">
        <v>120</v>
      </c>
      <c r="I687" s="250" t="n">
        <v>133.29</v>
      </c>
    </row>
    <row r="688" customFormat="false" ht="13.8" hidden="false" customHeight="false" outlineLevel="0" collapsed="false">
      <c r="A688" s="218"/>
      <c r="B688" s="251"/>
      <c r="C688" s="251"/>
      <c r="D688" s="251"/>
      <c r="E688" s="212" t="s">
        <v>5775</v>
      </c>
      <c r="F688" s="212" t="s">
        <v>5700</v>
      </c>
      <c r="G688" s="212" t="n">
        <v>63</v>
      </c>
      <c r="H688" s="212" t="s">
        <v>120</v>
      </c>
      <c r="I688" s="250" t="n">
        <v>69.1</v>
      </c>
    </row>
    <row r="689" customFormat="false" ht="13.8" hidden="false" customHeight="false" outlineLevel="0" collapsed="false">
      <c r="A689" s="218"/>
      <c r="B689" s="251"/>
      <c r="C689" s="251"/>
      <c r="D689" s="251"/>
      <c r="E689" s="212" t="s">
        <v>5778</v>
      </c>
      <c r="F689" s="212" t="s">
        <v>5700</v>
      </c>
      <c r="G689" s="212" t="n">
        <v>63</v>
      </c>
      <c r="H689" s="212" t="s">
        <v>120</v>
      </c>
      <c r="I689" s="250" t="n">
        <v>22.97</v>
      </c>
    </row>
    <row r="690" customFormat="false" ht="13.8" hidden="false" customHeight="false" outlineLevel="0" collapsed="false">
      <c r="A690" s="218"/>
      <c r="B690" s="251"/>
      <c r="C690" s="251"/>
      <c r="D690" s="251"/>
      <c r="E690" s="212" t="s">
        <v>5782</v>
      </c>
      <c r="F690" s="212" t="s">
        <v>5700</v>
      </c>
      <c r="G690" s="212" t="n">
        <v>63</v>
      </c>
      <c r="H690" s="212" t="s">
        <v>120</v>
      </c>
      <c r="I690" s="250" t="n">
        <v>149.69</v>
      </c>
    </row>
    <row r="691" customFormat="false" ht="13.8" hidden="false" customHeight="false" outlineLevel="0" collapsed="false">
      <c r="A691" s="218"/>
      <c r="B691" s="251"/>
      <c r="C691" s="251"/>
      <c r="D691" s="251"/>
      <c r="E691" s="212" t="s">
        <v>5786</v>
      </c>
      <c r="F691" s="212" t="s">
        <v>5700</v>
      </c>
      <c r="G691" s="212" t="n">
        <v>63</v>
      </c>
      <c r="H691" s="212" t="s">
        <v>120</v>
      </c>
      <c r="I691" s="250" t="n">
        <v>50.15</v>
      </c>
    </row>
    <row r="692" customFormat="false" ht="13.8" hidden="false" customHeight="false" outlineLevel="0" collapsed="false">
      <c r="A692" s="218"/>
      <c r="B692" s="251"/>
      <c r="C692" s="251"/>
      <c r="D692" s="251"/>
      <c r="E692" s="212" t="s">
        <v>5790</v>
      </c>
      <c r="F692" s="212" t="s">
        <v>5700</v>
      </c>
      <c r="G692" s="212" t="n">
        <v>63</v>
      </c>
      <c r="H692" s="212" t="s">
        <v>120</v>
      </c>
      <c r="I692" s="250" t="n">
        <v>44.94</v>
      </c>
    </row>
    <row r="693" customFormat="false" ht="13.8" hidden="false" customHeight="false" outlineLevel="0" collapsed="false">
      <c r="A693" s="218"/>
      <c r="B693" s="251"/>
      <c r="C693" s="251"/>
      <c r="D693" s="251"/>
      <c r="E693" s="212" t="s">
        <v>5794</v>
      </c>
      <c r="F693" s="212" t="s">
        <v>5700</v>
      </c>
      <c r="G693" s="212" t="n">
        <v>63</v>
      </c>
      <c r="H693" s="212" t="s">
        <v>120</v>
      </c>
      <c r="I693" s="250" t="n">
        <v>92.6</v>
      </c>
    </row>
    <row r="694" customFormat="false" ht="13.8" hidden="false" customHeight="false" outlineLevel="0" collapsed="false">
      <c r="A694" s="218"/>
      <c r="B694" s="251"/>
      <c r="C694" s="251"/>
      <c r="D694" s="251"/>
      <c r="E694" s="212" t="s">
        <v>5798</v>
      </c>
      <c r="F694" s="212" t="s">
        <v>5700</v>
      </c>
      <c r="G694" s="212" t="n">
        <v>63</v>
      </c>
      <c r="H694" s="212" t="s">
        <v>120</v>
      </c>
      <c r="I694" s="250" t="n">
        <v>22.04</v>
      </c>
    </row>
    <row r="695" customFormat="false" ht="13.8" hidden="false" customHeight="false" outlineLevel="0" collapsed="false">
      <c r="A695" s="218"/>
      <c r="B695" s="251"/>
      <c r="C695" s="251"/>
      <c r="D695" s="251"/>
      <c r="E695" s="212" t="s">
        <v>5802</v>
      </c>
      <c r="F695" s="212" t="s">
        <v>5700</v>
      </c>
      <c r="G695" s="212" t="n">
        <v>63</v>
      </c>
      <c r="H695" s="212" t="s">
        <v>120</v>
      </c>
      <c r="I695" s="250" t="n">
        <v>307.77</v>
      </c>
    </row>
    <row r="696" customFormat="false" ht="13.8" hidden="false" customHeight="false" outlineLevel="0" collapsed="false">
      <c r="A696" s="218"/>
      <c r="B696" s="251"/>
      <c r="C696" s="251"/>
      <c r="D696" s="251"/>
      <c r="E696" s="212" t="s">
        <v>5806</v>
      </c>
      <c r="F696" s="212" t="s">
        <v>5700</v>
      </c>
      <c r="G696" s="212" t="n">
        <v>63</v>
      </c>
      <c r="H696" s="212" t="s">
        <v>120</v>
      </c>
      <c r="I696" s="250" t="n">
        <v>98.54</v>
      </c>
    </row>
    <row r="697" customFormat="false" ht="13.8" hidden="false" customHeight="false" outlineLevel="0" collapsed="false">
      <c r="A697" s="218"/>
      <c r="B697" s="251"/>
      <c r="C697" s="251"/>
      <c r="D697" s="251"/>
      <c r="E697" s="212" t="s">
        <v>5810</v>
      </c>
      <c r="F697" s="212" t="s">
        <v>5700</v>
      </c>
      <c r="G697" s="212" t="n">
        <v>63</v>
      </c>
      <c r="H697" s="212" t="s">
        <v>120</v>
      </c>
      <c r="I697" s="250" t="n">
        <v>47.3</v>
      </c>
    </row>
    <row r="698" customFormat="false" ht="13.8" hidden="false" customHeight="false" outlineLevel="0" collapsed="false">
      <c r="A698" s="218"/>
      <c r="B698" s="251"/>
      <c r="C698" s="251"/>
      <c r="D698" s="251"/>
      <c r="E698" s="212" t="s">
        <v>5813</v>
      </c>
      <c r="F698" s="212" t="s">
        <v>5700</v>
      </c>
      <c r="G698" s="212" t="n">
        <v>63</v>
      </c>
      <c r="H698" s="212" t="s">
        <v>120</v>
      </c>
      <c r="I698" s="250" t="n">
        <v>94.21</v>
      </c>
    </row>
    <row r="699" customFormat="false" ht="13.8" hidden="false" customHeight="false" outlineLevel="0" collapsed="false">
      <c r="A699" s="218"/>
      <c r="B699" s="251"/>
      <c r="C699" s="251"/>
      <c r="D699" s="251"/>
      <c r="E699" s="212" t="s">
        <v>5817</v>
      </c>
      <c r="F699" s="212" t="s">
        <v>5700</v>
      </c>
      <c r="G699" s="212" t="n">
        <v>63</v>
      </c>
      <c r="H699" s="212" t="s">
        <v>120</v>
      </c>
      <c r="I699" s="250" t="n">
        <v>172.64</v>
      </c>
    </row>
    <row r="700" customFormat="false" ht="13.8" hidden="false" customHeight="false" outlineLevel="0" collapsed="false">
      <c r="A700" s="218"/>
      <c r="B700" s="251"/>
      <c r="C700" s="251"/>
      <c r="D700" s="251"/>
      <c r="E700" s="212" t="s">
        <v>5820</v>
      </c>
      <c r="F700" s="212" t="s">
        <v>5700</v>
      </c>
      <c r="G700" s="212" t="n">
        <v>63</v>
      </c>
      <c r="H700" s="212" t="s">
        <v>120</v>
      </c>
      <c r="I700" s="250" t="n">
        <v>49.02</v>
      </c>
    </row>
    <row r="701" customFormat="false" ht="13.8" hidden="false" customHeight="false" outlineLevel="0" collapsed="false">
      <c r="A701" s="218"/>
      <c r="B701" s="251"/>
      <c r="C701" s="251"/>
      <c r="D701" s="251"/>
      <c r="E701" s="212" t="s">
        <v>5824</v>
      </c>
      <c r="F701" s="212" t="s">
        <v>5700</v>
      </c>
      <c r="G701" s="212" t="n">
        <v>63</v>
      </c>
      <c r="H701" s="212" t="s">
        <v>120</v>
      </c>
      <c r="I701" s="250" t="n">
        <v>48.4</v>
      </c>
    </row>
    <row r="702" customFormat="false" ht="13.8" hidden="false" customHeight="false" outlineLevel="0" collapsed="false">
      <c r="A702" s="218"/>
      <c r="B702" s="251"/>
      <c r="C702" s="251"/>
      <c r="D702" s="251"/>
      <c r="E702" s="212" t="s">
        <v>5828</v>
      </c>
      <c r="F702" s="212" t="s">
        <v>5700</v>
      </c>
      <c r="G702" s="212" t="n">
        <v>63</v>
      </c>
      <c r="H702" s="212" t="s">
        <v>120</v>
      </c>
      <c r="I702" s="250" t="n">
        <v>112.55</v>
      </c>
    </row>
    <row r="703" customFormat="false" ht="13.8" hidden="false" customHeight="false" outlineLevel="0" collapsed="false">
      <c r="A703" s="218"/>
      <c r="B703" s="251"/>
      <c r="C703" s="251"/>
      <c r="D703" s="251"/>
      <c r="E703" s="212" t="s">
        <v>5831</v>
      </c>
      <c r="F703" s="212" t="s">
        <v>5700</v>
      </c>
      <c r="G703" s="212" t="n">
        <v>63</v>
      </c>
      <c r="H703" s="212" t="s">
        <v>120</v>
      </c>
      <c r="I703" s="250" t="n">
        <v>48.15</v>
      </c>
    </row>
    <row r="704" customFormat="false" ht="13.8" hidden="false" customHeight="false" outlineLevel="0" collapsed="false">
      <c r="A704" s="218"/>
      <c r="B704" s="251"/>
      <c r="C704" s="251"/>
      <c r="D704" s="251"/>
      <c r="E704" s="212" t="s">
        <v>5835</v>
      </c>
      <c r="F704" s="212" t="s">
        <v>5700</v>
      </c>
      <c r="G704" s="212" t="n">
        <v>63</v>
      </c>
      <c r="H704" s="212" t="s">
        <v>120</v>
      </c>
      <c r="I704" s="250" t="n">
        <v>46.87</v>
      </c>
    </row>
    <row r="705" customFormat="false" ht="13.8" hidden="false" customHeight="false" outlineLevel="0" collapsed="false">
      <c r="A705" s="218"/>
      <c r="B705" s="251"/>
      <c r="C705" s="251"/>
      <c r="D705" s="251"/>
      <c r="E705" s="212" t="s">
        <v>5839</v>
      </c>
      <c r="F705" s="212" t="s">
        <v>5700</v>
      </c>
      <c r="G705" s="212" t="n">
        <v>63</v>
      </c>
      <c r="H705" s="212" t="s">
        <v>120</v>
      </c>
      <c r="I705" s="250" t="n">
        <v>88.86</v>
      </c>
    </row>
    <row r="706" customFormat="false" ht="13.8" hidden="false" customHeight="false" outlineLevel="0" collapsed="false">
      <c r="A706" s="218"/>
      <c r="B706" s="251"/>
      <c r="C706" s="251"/>
      <c r="D706" s="251"/>
      <c r="E706" s="212" t="s">
        <v>5843</v>
      </c>
      <c r="F706" s="212" t="s">
        <v>5700</v>
      </c>
      <c r="G706" s="212" t="n">
        <v>63</v>
      </c>
      <c r="H706" s="212" t="s">
        <v>120</v>
      </c>
      <c r="I706" s="250" t="n">
        <v>21.93</v>
      </c>
    </row>
    <row r="707" customFormat="false" ht="13.8" hidden="false" customHeight="false" outlineLevel="0" collapsed="false">
      <c r="A707" s="218"/>
      <c r="B707" s="251"/>
      <c r="C707" s="251"/>
      <c r="D707" s="251"/>
      <c r="E707" s="212" t="s">
        <v>5847</v>
      </c>
      <c r="F707" s="212" t="s">
        <v>5700</v>
      </c>
      <c r="G707" s="212" t="n">
        <v>63</v>
      </c>
      <c r="H707" s="212" t="s">
        <v>120</v>
      </c>
      <c r="I707" s="250" t="n">
        <v>5.35</v>
      </c>
    </row>
    <row r="708" customFormat="false" ht="13.8" hidden="false" customHeight="false" outlineLevel="0" collapsed="false">
      <c r="A708" s="218"/>
      <c r="B708" s="251"/>
      <c r="C708" s="251"/>
      <c r="D708" s="251"/>
      <c r="E708" s="212" t="s">
        <v>5850</v>
      </c>
      <c r="F708" s="212" t="s">
        <v>5700</v>
      </c>
      <c r="G708" s="212" t="n">
        <v>63</v>
      </c>
      <c r="H708" s="212" t="s">
        <v>120</v>
      </c>
      <c r="I708" s="250" t="n">
        <v>47.34</v>
      </c>
    </row>
    <row r="709" customFormat="false" ht="13.8" hidden="false" customHeight="false" outlineLevel="0" collapsed="false">
      <c r="A709" s="218"/>
      <c r="B709" s="251"/>
      <c r="C709" s="251"/>
      <c r="D709" s="251"/>
      <c r="E709" s="212" t="s">
        <v>5854</v>
      </c>
      <c r="F709" s="212" t="s">
        <v>5700</v>
      </c>
      <c r="G709" s="212" t="n">
        <v>63</v>
      </c>
      <c r="H709" s="212" t="s">
        <v>120</v>
      </c>
      <c r="I709" s="250" t="n">
        <v>144.07</v>
      </c>
    </row>
    <row r="710" customFormat="false" ht="13.8" hidden="false" customHeight="false" outlineLevel="0" collapsed="false">
      <c r="A710" s="218"/>
      <c r="B710" s="251"/>
      <c r="C710" s="251"/>
      <c r="D710" s="251"/>
      <c r="E710" s="212" t="s">
        <v>5858</v>
      </c>
      <c r="F710" s="212" t="s">
        <v>5700</v>
      </c>
      <c r="G710" s="212" t="n">
        <v>63</v>
      </c>
      <c r="H710" s="212" t="s">
        <v>120</v>
      </c>
      <c r="I710" s="250" t="n">
        <v>80.15</v>
      </c>
    </row>
    <row r="711" customFormat="false" ht="13.8" hidden="false" customHeight="false" outlineLevel="0" collapsed="false">
      <c r="A711" s="218"/>
      <c r="B711" s="251"/>
      <c r="C711" s="251"/>
      <c r="D711" s="251"/>
      <c r="E711" s="212" t="s">
        <v>5862</v>
      </c>
      <c r="F711" s="212" t="s">
        <v>5700</v>
      </c>
      <c r="G711" s="212" t="n">
        <v>63</v>
      </c>
      <c r="H711" s="212" t="s">
        <v>120</v>
      </c>
      <c r="I711" s="250" t="n">
        <v>89.9</v>
      </c>
    </row>
    <row r="712" customFormat="false" ht="13.8" hidden="false" customHeight="false" outlineLevel="0" collapsed="false">
      <c r="A712" s="218"/>
      <c r="B712" s="251"/>
      <c r="C712" s="251"/>
      <c r="D712" s="251"/>
      <c r="E712" s="212" t="s">
        <v>5866</v>
      </c>
      <c r="F712" s="212" t="s">
        <v>5700</v>
      </c>
      <c r="G712" s="212" t="n">
        <v>63</v>
      </c>
      <c r="H712" s="212" t="s">
        <v>120</v>
      </c>
      <c r="I712" s="250" t="n">
        <v>58.24</v>
      </c>
    </row>
    <row r="713" customFormat="false" ht="13.8" hidden="false" customHeight="false" outlineLevel="0" collapsed="false">
      <c r="A713" s="218"/>
      <c r="B713" s="251"/>
      <c r="C713" s="251"/>
      <c r="D713" s="251"/>
      <c r="E713" s="212" t="s">
        <v>5870</v>
      </c>
      <c r="F713" s="212" t="s">
        <v>5700</v>
      </c>
      <c r="G713" s="212" t="n">
        <v>63</v>
      </c>
      <c r="H713" s="212" t="s">
        <v>120</v>
      </c>
      <c r="I713" s="250" t="n">
        <v>130.73</v>
      </c>
    </row>
    <row r="714" customFormat="false" ht="13.8" hidden="false" customHeight="false" outlineLevel="0" collapsed="false">
      <c r="A714" s="218"/>
      <c r="B714" s="251"/>
      <c r="C714" s="251"/>
      <c r="D714" s="251"/>
      <c r="E714" s="212" t="s">
        <v>5873</v>
      </c>
      <c r="F714" s="212" t="s">
        <v>5700</v>
      </c>
      <c r="G714" s="212" t="n">
        <v>63</v>
      </c>
      <c r="H714" s="212" t="s">
        <v>120</v>
      </c>
      <c r="I714" s="250" t="n">
        <v>85.23</v>
      </c>
    </row>
    <row r="715" customFormat="false" ht="13.8" hidden="false" customHeight="false" outlineLevel="0" collapsed="false">
      <c r="A715" s="218"/>
      <c r="B715" s="251"/>
      <c r="C715" s="251"/>
      <c r="D715" s="251"/>
      <c r="E715" s="212" t="s">
        <v>5877</v>
      </c>
      <c r="F715" s="212" t="s">
        <v>5700</v>
      </c>
      <c r="G715" s="212" t="n">
        <v>63</v>
      </c>
      <c r="H715" s="212" t="s">
        <v>120</v>
      </c>
      <c r="I715" s="250" t="n">
        <v>29.64</v>
      </c>
    </row>
    <row r="716" customFormat="false" ht="13.8" hidden="false" customHeight="false" outlineLevel="0" collapsed="false">
      <c r="A716" s="218"/>
      <c r="B716" s="251"/>
      <c r="C716" s="251"/>
      <c r="D716" s="251"/>
      <c r="E716" s="212" t="s">
        <v>5881</v>
      </c>
      <c r="F716" s="212" t="s">
        <v>5700</v>
      </c>
      <c r="G716" s="212" t="n">
        <v>63</v>
      </c>
      <c r="H716" s="212" t="s">
        <v>120</v>
      </c>
      <c r="I716" s="250" t="n">
        <v>21.07</v>
      </c>
    </row>
    <row r="717" customFormat="false" ht="13.8" hidden="false" customHeight="false" outlineLevel="0" collapsed="false">
      <c r="A717" s="218"/>
      <c r="B717" s="251"/>
      <c r="C717" s="251"/>
      <c r="D717" s="251"/>
      <c r="E717" s="212" t="s">
        <v>5884</v>
      </c>
      <c r="F717" s="212" t="s">
        <v>5700</v>
      </c>
      <c r="G717" s="212" t="n">
        <v>90</v>
      </c>
      <c r="H717" s="212" t="s">
        <v>120</v>
      </c>
      <c r="I717" s="250" t="n">
        <v>107.92</v>
      </c>
    </row>
    <row r="718" customFormat="false" ht="13.8" hidden="false" customHeight="false" outlineLevel="0" collapsed="false">
      <c r="A718" s="218"/>
      <c r="B718" s="251"/>
      <c r="C718" s="251"/>
      <c r="D718" s="251"/>
      <c r="E718" s="212" t="s">
        <v>5888</v>
      </c>
      <c r="F718" s="212" t="s">
        <v>5700</v>
      </c>
      <c r="G718" s="212" t="n">
        <v>63</v>
      </c>
      <c r="H718" s="212" t="s">
        <v>120</v>
      </c>
      <c r="I718" s="250" t="n">
        <v>100.46</v>
      </c>
    </row>
    <row r="719" customFormat="false" ht="13.8" hidden="false" customHeight="false" outlineLevel="0" collapsed="false">
      <c r="A719" s="218"/>
      <c r="B719" s="251"/>
      <c r="C719" s="251"/>
      <c r="D719" s="251"/>
      <c r="E719" s="212" t="s">
        <v>5891</v>
      </c>
      <c r="F719" s="212" t="s">
        <v>5700</v>
      </c>
      <c r="G719" s="212" t="n">
        <v>63</v>
      </c>
      <c r="H719" s="212" t="s">
        <v>120</v>
      </c>
      <c r="I719" s="250" t="n">
        <v>78.4</v>
      </c>
    </row>
    <row r="720" customFormat="false" ht="13.8" hidden="false" customHeight="false" outlineLevel="0" collapsed="false">
      <c r="A720" s="218"/>
      <c r="B720" s="251"/>
      <c r="C720" s="251"/>
      <c r="D720" s="251"/>
      <c r="E720" s="212" t="s">
        <v>5895</v>
      </c>
      <c r="F720" s="212" t="s">
        <v>5700</v>
      </c>
      <c r="G720" s="212" t="n">
        <v>63</v>
      </c>
      <c r="H720" s="212" t="s">
        <v>120</v>
      </c>
      <c r="I720" s="250" t="n">
        <v>39.44</v>
      </c>
    </row>
    <row r="721" customFormat="false" ht="13.8" hidden="false" customHeight="false" outlineLevel="0" collapsed="false">
      <c r="A721" s="218"/>
      <c r="B721" s="251"/>
      <c r="C721" s="251"/>
      <c r="D721" s="251"/>
      <c r="E721" s="212" t="s">
        <v>5899</v>
      </c>
      <c r="F721" s="212" t="s">
        <v>5700</v>
      </c>
      <c r="G721" s="212" t="n">
        <v>160</v>
      </c>
      <c r="H721" s="212" t="s">
        <v>120</v>
      </c>
      <c r="I721" s="250" t="n">
        <v>17.05</v>
      </c>
    </row>
    <row r="722" customFormat="false" ht="13.8" hidden="false" customHeight="false" outlineLevel="0" collapsed="false">
      <c r="A722" s="218"/>
      <c r="B722" s="251"/>
      <c r="C722" s="251"/>
      <c r="D722" s="251"/>
      <c r="E722" s="212" t="s">
        <v>5902</v>
      </c>
      <c r="F722" s="212" t="s">
        <v>5700</v>
      </c>
      <c r="G722" s="212" t="n">
        <v>63</v>
      </c>
      <c r="H722" s="212" t="s">
        <v>120</v>
      </c>
      <c r="I722" s="250" t="n">
        <v>45.61</v>
      </c>
    </row>
    <row r="723" customFormat="false" ht="13.8" hidden="false" customHeight="false" outlineLevel="0" collapsed="false">
      <c r="A723" s="218"/>
      <c r="B723" s="251"/>
      <c r="C723" s="251"/>
      <c r="D723" s="251"/>
      <c r="E723" s="212" t="s">
        <v>5905</v>
      </c>
      <c r="F723" s="212" t="s">
        <v>5700</v>
      </c>
      <c r="G723" s="212" t="n">
        <v>63</v>
      </c>
      <c r="H723" s="212" t="s">
        <v>120</v>
      </c>
      <c r="I723" s="250" t="n">
        <v>5.67</v>
      </c>
    </row>
    <row r="724" customFormat="false" ht="13.8" hidden="false" customHeight="false" outlineLevel="0" collapsed="false">
      <c r="A724" s="218"/>
      <c r="B724" s="251"/>
      <c r="C724" s="251"/>
      <c r="D724" s="251"/>
      <c r="E724" s="212" t="s">
        <v>5907</v>
      </c>
      <c r="F724" s="212" t="s">
        <v>5700</v>
      </c>
      <c r="G724" s="212" t="n">
        <v>63</v>
      </c>
      <c r="H724" s="212" t="s">
        <v>120</v>
      </c>
      <c r="I724" s="250" t="n">
        <v>62.95</v>
      </c>
    </row>
    <row r="725" customFormat="false" ht="13.8" hidden="false" customHeight="false" outlineLevel="0" collapsed="false">
      <c r="A725" s="218"/>
      <c r="B725" s="251"/>
      <c r="C725" s="251"/>
      <c r="D725" s="251"/>
      <c r="E725" s="212" t="s">
        <v>5911</v>
      </c>
      <c r="F725" s="212" t="s">
        <v>5700</v>
      </c>
      <c r="G725" s="212" t="n">
        <v>63</v>
      </c>
      <c r="H725" s="212" t="s">
        <v>120</v>
      </c>
      <c r="I725" s="250" t="n">
        <v>120.93</v>
      </c>
    </row>
    <row r="726" customFormat="false" ht="13.8" hidden="false" customHeight="false" outlineLevel="0" collapsed="false">
      <c r="A726" s="218"/>
      <c r="B726" s="251"/>
      <c r="C726" s="251"/>
      <c r="D726" s="251"/>
      <c r="E726" s="212" t="s">
        <v>5915</v>
      </c>
      <c r="F726" s="212" t="s">
        <v>5700</v>
      </c>
      <c r="G726" s="212" t="n">
        <v>63</v>
      </c>
      <c r="H726" s="212" t="s">
        <v>120</v>
      </c>
      <c r="I726" s="250" t="n">
        <v>22.02</v>
      </c>
    </row>
    <row r="727" customFormat="false" ht="13.8" hidden="false" customHeight="false" outlineLevel="0" collapsed="false">
      <c r="A727" s="218"/>
      <c r="B727" s="251"/>
      <c r="C727" s="251"/>
      <c r="D727" s="251"/>
      <c r="E727" s="212" t="s">
        <v>5918</v>
      </c>
      <c r="F727" s="212" t="s">
        <v>5700</v>
      </c>
      <c r="G727" s="212" t="n">
        <v>63</v>
      </c>
      <c r="H727" s="212" t="s">
        <v>120</v>
      </c>
      <c r="I727" s="250" t="n">
        <v>52.4</v>
      </c>
    </row>
    <row r="728" customFormat="false" ht="13.8" hidden="false" customHeight="false" outlineLevel="0" collapsed="false">
      <c r="A728" s="218"/>
      <c r="B728" s="251"/>
      <c r="C728" s="251"/>
      <c r="D728" s="251"/>
      <c r="E728" s="212" t="s">
        <v>5922</v>
      </c>
      <c r="F728" s="212" t="s">
        <v>5700</v>
      </c>
      <c r="G728" s="212" t="n">
        <v>160</v>
      </c>
      <c r="H728" s="212" t="s">
        <v>120</v>
      </c>
      <c r="I728" s="250" t="n">
        <v>58.24</v>
      </c>
    </row>
    <row r="729" customFormat="false" ht="13.8" hidden="false" customHeight="false" outlineLevel="0" collapsed="false">
      <c r="A729" s="218"/>
      <c r="B729" s="251"/>
      <c r="C729" s="251"/>
      <c r="D729" s="251"/>
      <c r="E729" s="212" t="s">
        <v>5925</v>
      </c>
      <c r="F729" s="212" t="s">
        <v>5700</v>
      </c>
      <c r="G729" s="212" t="n">
        <v>63</v>
      </c>
      <c r="H729" s="212" t="s">
        <v>120</v>
      </c>
      <c r="I729" s="250" t="n">
        <v>60.13</v>
      </c>
    </row>
    <row r="730" customFormat="false" ht="13.8" hidden="false" customHeight="false" outlineLevel="0" collapsed="false">
      <c r="A730" s="218"/>
      <c r="B730" s="251"/>
      <c r="C730" s="251"/>
      <c r="D730" s="251"/>
      <c r="E730" s="212" t="s">
        <v>5929</v>
      </c>
      <c r="F730" s="212" t="s">
        <v>5700</v>
      </c>
      <c r="G730" s="212" t="n">
        <v>63</v>
      </c>
      <c r="H730" s="212" t="s">
        <v>120</v>
      </c>
      <c r="I730" s="250" t="n">
        <v>30.44</v>
      </c>
    </row>
    <row r="731" customFormat="false" ht="13.8" hidden="false" customHeight="false" outlineLevel="0" collapsed="false">
      <c r="A731" s="218"/>
      <c r="B731" s="251"/>
      <c r="C731" s="251"/>
      <c r="D731" s="251"/>
      <c r="E731" s="212" t="s">
        <v>5932</v>
      </c>
      <c r="F731" s="212" t="s">
        <v>5700</v>
      </c>
      <c r="G731" s="212" t="n">
        <v>63</v>
      </c>
      <c r="H731" s="212" t="s">
        <v>120</v>
      </c>
      <c r="I731" s="250" t="n">
        <v>26.25</v>
      </c>
    </row>
    <row r="732" customFormat="false" ht="13.8" hidden="false" customHeight="false" outlineLevel="0" collapsed="false">
      <c r="A732" s="218"/>
      <c r="B732" s="251"/>
      <c r="C732" s="251"/>
      <c r="D732" s="251"/>
      <c r="E732" s="212" t="s">
        <v>5936</v>
      </c>
      <c r="F732" s="212" t="s">
        <v>5700</v>
      </c>
      <c r="G732" s="212" t="n">
        <v>63</v>
      </c>
      <c r="H732" s="212" t="s">
        <v>120</v>
      </c>
      <c r="I732" s="250" t="n">
        <v>29.31</v>
      </c>
    </row>
    <row r="733" customFormat="false" ht="13.8" hidden="false" customHeight="false" outlineLevel="0" collapsed="false">
      <c r="A733" s="218"/>
      <c r="B733" s="251"/>
      <c r="C733" s="251"/>
      <c r="D733" s="251"/>
      <c r="E733" s="212" t="s">
        <v>5939</v>
      </c>
      <c r="F733" s="212" t="s">
        <v>5700</v>
      </c>
      <c r="G733" s="212" t="n">
        <v>160</v>
      </c>
      <c r="H733" s="212" t="s">
        <v>120</v>
      </c>
      <c r="I733" s="250" t="n">
        <v>48.79</v>
      </c>
    </row>
    <row r="734" customFormat="false" ht="13.8" hidden="false" customHeight="false" outlineLevel="0" collapsed="false">
      <c r="A734" s="218"/>
      <c r="B734" s="251"/>
      <c r="C734" s="251"/>
      <c r="D734" s="251"/>
      <c r="E734" s="212" t="s">
        <v>5942</v>
      </c>
      <c r="F734" s="212" t="s">
        <v>5700</v>
      </c>
      <c r="G734" s="212" t="n">
        <v>63</v>
      </c>
      <c r="H734" s="212" t="s">
        <v>120</v>
      </c>
      <c r="I734" s="250" t="n">
        <v>10.59</v>
      </c>
    </row>
    <row r="735" customFormat="false" ht="13.8" hidden="false" customHeight="false" outlineLevel="0" collapsed="false">
      <c r="A735" s="218"/>
      <c r="B735" s="251"/>
      <c r="C735" s="251"/>
      <c r="D735" s="251"/>
      <c r="E735" s="212" t="s">
        <v>5945</v>
      </c>
      <c r="F735" s="212" t="s">
        <v>5700</v>
      </c>
      <c r="G735" s="212" t="n">
        <v>160</v>
      </c>
      <c r="H735" s="212" t="s">
        <v>120</v>
      </c>
      <c r="I735" s="250" t="n">
        <v>52.8</v>
      </c>
    </row>
    <row r="736" customFormat="false" ht="13.8" hidden="false" customHeight="false" outlineLevel="0" collapsed="false">
      <c r="A736" s="218"/>
      <c r="B736" s="251"/>
      <c r="C736" s="251"/>
      <c r="D736" s="251"/>
      <c r="E736" s="212" t="s">
        <v>5948</v>
      </c>
      <c r="F736" s="212" t="s">
        <v>5700</v>
      </c>
      <c r="G736" s="212" t="n">
        <v>160</v>
      </c>
      <c r="H736" s="212" t="s">
        <v>120</v>
      </c>
      <c r="I736" s="250" t="n">
        <v>54.75</v>
      </c>
    </row>
    <row r="737" customFormat="false" ht="13.8" hidden="false" customHeight="false" outlineLevel="0" collapsed="false">
      <c r="A737" s="218"/>
      <c r="B737" s="251"/>
      <c r="C737" s="251"/>
      <c r="D737" s="251"/>
      <c r="E737" s="212" t="s">
        <v>5951</v>
      </c>
      <c r="F737" s="212" t="s">
        <v>5700</v>
      </c>
      <c r="G737" s="212" t="n">
        <v>160</v>
      </c>
      <c r="H737" s="212" t="s">
        <v>120</v>
      </c>
      <c r="I737" s="250" t="n">
        <v>34.86</v>
      </c>
    </row>
    <row r="738" customFormat="false" ht="13.8" hidden="false" customHeight="false" outlineLevel="0" collapsed="false">
      <c r="A738" s="218"/>
      <c r="B738" s="251"/>
      <c r="C738" s="251"/>
      <c r="D738" s="251"/>
      <c r="E738" s="212" t="s">
        <v>5954</v>
      </c>
      <c r="F738" s="212" t="s">
        <v>5700</v>
      </c>
      <c r="G738" s="212" t="n">
        <v>160</v>
      </c>
      <c r="H738" s="212" t="s">
        <v>120</v>
      </c>
      <c r="I738" s="250" t="n">
        <v>111.62</v>
      </c>
    </row>
    <row r="739" customFormat="false" ht="13.8" hidden="false" customHeight="false" outlineLevel="0" collapsed="false">
      <c r="A739" s="218"/>
      <c r="B739" s="251"/>
      <c r="C739" s="251"/>
      <c r="D739" s="251"/>
      <c r="E739" s="212" t="s">
        <v>5955</v>
      </c>
      <c r="F739" s="212" t="s">
        <v>5700</v>
      </c>
      <c r="G739" s="212" t="n">
        <v>63</v>
      </c>
      <c r="H739" s="212" t="s">
        <v>120</v>
      </c>
      <c r="I739" s="250" t="n">
        <v>70.57</v>
      </c>
    </row>
    <row r="740" customFormat="false" ht="13.8" hidden="false" customHeight="false" outlineLevel="0" collapsed="false">
      <c r="A740" s="218"/>
      <c r="B740" s="251"/>
      <c r="C740" s="251"/>
      <c r="D740" s="251"/>
      <c r="E740" s="212" t="s">
        <v>5959</v>
      </c>
      <c r="F740" s="212" t="s">
        <v>5700</v>
      </c>
      <c r="G740" s="212" t="n">
        <v>160</v>
      </c>
      <c r="H740" s="212" t="s">
        <v>120</v>
      </c>
      <c r="I740" s="250" t="n">
        <v>90.23</v>
      </c>
    </row>
    <row r="741" customFormat="false" ht="13.8" hidden="false" customHeight="false" outlineLevel="0" collapsed="false">
      <c r="A741" s="218"/>
      <c r="B741" s="251"/>
      <c r="C741" s="251"/>
      <c r="D741" s="251"/>
      <c r="E741" s="212" t="s">
        <v>5960</v>
      </c>
      <c r="F741" s="212" t="s">
        <v>5700</v>
      </c>
      <c r="G741" s="212" t="n">
        <v>63</v>
      </c>
      <c r="H741" s="212" t="s">
        <v>120</v>
      </c>
      <c r="I741" s="250" t="n">
        <v>51.53</v>
      </c>
    </row>
    <row r="742" customFormat="false" ht="13.8" hidden="false" customHeight="false" outlineLevel="0" collapsed="false">
      <c r="A742" s="218"/>
      <c r="B742" s="251"/>
      <c r="C742" s="251"/>
      <c r="D742" s="251"/>
      <c r="E742" s="212" t="s">
        <v>5964</v>
      </c>
      <c r="F742" s="212" t="s">
        <v>5700</v>
      </c>
      <c r="G742" s="212" t="n">
        <v>160</v>
      </c>
      <c r="H742" s="212" t="s">
        <v>120</v>
      </c>
      <c r="I742" s="250" t="n">
        <v>26.78</v>
      </c>
    </row>
    <row r="743" customFormat="false" ht="13.8" hidden="false" customHeight="false" outlineLevel="0" collapsed="false">
      <c r="A743" s="218"/>
      <c r="B743" s="251"/>
      <c r="C743" s="251"/>
      <c r="D743" s="251"/>
      <c r="E743" s="212" t="s">
        <v>5967</v>
      </c>
      <c r="F743" s="212" t="s">
        <v>5700</v>
      </c>
      <c r="G743" s="212" t="n">
        <v>63</v>
      </c>
      <c r="H743" s="212" t="s">
        <v>120</v>
      </c>
      <c r="I743" s="250" t="n">
        <v>109.22</v>
      </c>
    </row>
    <row r="744" customFormat="false" ht="13.8" hidden="false" customHeight="false" outlineLevel="0" collapsed="false">
      <c r="A744" s="218"/>
      <c r="B744" s="251"/>
      <c r="C744" s="251"/>
      <c r="D744" s="251"/>
      <c r="E744" s="212" t="s">
        <v>5970</v>
      </c>
      <c r="F744" s="212" t="s">
        <v>5700</v>
      </c>
      <c r="G744" s="212" t="n">
        <v>225</v>
      </c>
      <c r="H744" s="212" t="s">
        <v>120</v>
      </c>
      <c r="I744" s="250" t="n">
        <v>332.49</v>
      </c>
    </row>
    <row r="745" customFormat="false" ht="13.8" hidden="false" customHeight="false" outlineLevel="0" collapsed="false">
      <c r="A745" s="218"/>
      <c r="B745" s="251"/>
      <c r="C745" s="251"/>
      <c r="D745" s="251"/>
      <c r="E745" s="212" t="s">
        <v>5972</v>
      </c>
      <c r="F745" s="212" t="s">
        <v>5700</v>
      </c>
      <c r="G745" s="212" t="n">
        <v>160</v>
      </c>
      <c r="H745" s="212" t="s">
        <v>120</v>
      </c>
      <c r="I745" s="250" t="n">
        <v>50.62</v>
      </c>
    </row>
    <row r="746" customFormat="false" ht="13.8" hidden="false" customHeight="false" outlineLevel="0" collapsed="false">
      <c r="A746" s="218"/>
      <c r="B746" s="251"/>
      <c r="C746" s="251"/>
      <c r="D746" s="251"/>
      <c r="E746" s="212" t="s">
        <v>5975</v>
      </c>
      <c r="F746" s="212" t="s">
        <v>5700</v>
      </c>
      <c r="G746" s="212" t="n">
        <v>63</v>
      </c>
      <c r="H746" s="212" t="s">
        <v>120</v>
      </c>
      <c r="I746" s="250" t="n">
        <v>126.3</v>
      </c>
    </row>
    <row r="747" customFormat="false" ht="13.8" hidden="false" customHeight="false" outlineLevel="0" collapsed="false">
      <c r="A747" s="218"/>
      <c r="B747" s="252"/>
      <c r="C747" s="252"/>
      <c r="D747" s="252"/>
      <c r="E747" s="212" t="s">
        <v>5979</v>
      </c>
      <c r="F747" s="212" t="s">
        <v>5700</v>
      </c>
      <c r="G747" s="212" t="n">
        <v>63</v>
      </c>
      <c r="H747" s="212" t="s">
        <v>120</v>
      </c>
      <c r="I747" s="250" t="n">
        <v>115.1</v>
      </c>
    </row>
    <row r="748" customFormat="false" ht="13.8" hidden="false" customHeight="false" outlineLevel="0" collapsed="false">
      <c r="A748" s="218"/>
      <c r="B748" s="249" t="s">
        <v>7040</v>
      </c>
      <c r="C748" s="249" t="s">
        <v>117</v>
      </c>
      <c r="D748" s="249" t="s">
        <v>1548</v>
      </c>
      <c r="E748" s="212" t="s">
        <v>3794</v>
      </c>
      <c r="F748" s="212" t="s">
        <v>2224</v>
      </c>
      <c r="G748" s="212" t="n">
        <v>315</v>
      </c>
      <c r="H748" s="212" t="s">
        <v>120</v>
      </c>
      <c r="I748" s="250" t="n">
        <v>193.56</v>
      </c>
    </row>
    <row r="749" customFormat="false" ht="13.8" hidden="false" customHeight="false" outlineLevel="0" collapsed="false">
      <c r="A749" s="218"/>
      <c r="B749" s="251"/>
      <c r="C749" s="251"/>
      <c r="D749" s="251"/>
      <c r="E749" s="212" t="s">
        <v>3802</v>
      </c>
      <c r="F749" s="212" t="s">
        <v>2224</v>
      </c>
      <c r="G749" s="212" t="n">
        <v>315</v>
      </c>
      <c r="H749" s="212" t="s">
        <v>120</v>
      </c>
      <c r="I749" s="250" t="n">
        <v>419.47</v>
      </c>
    </row>
    <row r="750" customFormat="false" ht="13.8" hidden="false" customHeight="false" outlineLevel="0" collapsed="false">
      <c r="A750" s="218"/>
      <c r="B750" s="251"/>
      <c r="C750" s="251"/>
      <c r="D750" s="251"/>
      <c r="E750" s="212" t="s">
        <v>3805</v>
      </c>
      <c r="F750" s="212" t="s">
        <v>3786</v>
      </c>
      <c r="G750" s="212" t="n">
        <v>63</v>
      </c>
      <c r="H750" s="212" t="s">
        <v>120</v>
      </c>
      <c r="I750" s="250" t="n">
        <v>48.86</v>
      </c>
    </row>
    <row r="751" customFormat="false" ht="13.8" hidden="false" customHeight="false" outlineLevel="0" collapsed="false">
      <c r="A751" s="218"/>
      <c r="B751" s="251"/>
      <c r="C751" s="251"/>
      <c r="D751" s="251"/>
      <c r="E751" s="212" t="s">
        <v>3810</v>
      </c>
      <c r="F751" s="212" t="s">
        <v>3786</v>
      </c>
      <c r="G751" s="212" t="n">
        <v>63</v>
      </c>
      <c r="H751" s="212" t="s">
        <v>120</v>
      </c>
      <c r="I751" s="250" t="n">
        <v>71.28</v>
      </c>
    </row>
    <row r="752" customFormat="false" ht="13.8" hidden="false" customHeight="false" outlineLevel="0" collapsed="false">
      <c r="A752" s="218"/>
      <c r="B752" s="251"/>
      <c r="C752" s="251"/>
      <c r="D752" s="251"/>
      <c r="E752" s="212" t="s">
        <v>3812</v>
      </c>
      <c r="F752" s="212" t="s">
        <v>3786</v>
      </c>
      <c r="G752" s="212" t="n">
        <v>63</v>
      </c>
      <c r="H752" s="212" t="s">
        <v>120</v>
      </c>
      <c r="I752" s="250" t="n">
        <v>84.21</v>
      </c>
    </row>
    <row r="753" customFormat="false" ht="13.8" hidden="false" customHeight="false" outlineLevel="0" collapsed="false">
      <c r="A753" s="218"/>
      <c r="B753" s="251"/>
      <c r="C753" s="251"/>
      <c r="D753" s="251"/>
      <c r="E753" s="212" t="s">
        <v>3816</v>
      </c>
      <c r="F753" s="212" t="s">
        <v>3786</v>
      </c>
      <c r="G753" s="212" t="n">
        <v>63</v>
      </c>
      <c r="H753" s="212" t="s">
        <v>120</v>
      </c>
      <c r="I753" s="250" t="n">
        <v>73.64</v>
      </c>
    </row>
    <row r="754" customFormat="false" ht="13.8" hidden="false" customHeight="false" outlineLevel="0" collapsed="false">
      <c r="A754" s="218"/>
      <c r="B754" s="251"/>
      <c r="C754" s="251"/>
      <c r="D754" s="251"/>
      <c r="E754" s="212" t="s">
        <v>3819</v>
      </c>
      <c r="F754" s="212" t="s">
        <v>3786</v>
      </c>
      <c r="G754" s="212" t="n">
        <v>63</v>
      </c>
      <c r="H754" s="212" t="s">
        <v>120</v>
      </c>
      <c r="I754" s="250" t="n">
        <v>78.45</v>
      </c>
    </row>
    <row r="755" customFormat="false" ht="13.8" hidden="false" customHeight="false" outlineLevel="0" collapsed="false">
      <c r="A755" s="218"/>
      <c r="B755" s="251"/>
      <c r="C755" s="251"/>
      <c r="D755" s="251"/>
      <c r="E755" s="212" t="s">
        <v>3822</v>
      </c>
      <c r="F755" s="212" t="s">
        <v>3786</v>
      </c>
      <c r="G755" s="212" t="n">
        <v>63</v>
      </c>
      <c r="H755" s="212" t="s">
        <v>120</v>
      </c>
      <c r="I755" s="250" t="n">
        <v>68.19</v>
      </c>
    </row>
    <row r="756" customFormat="false" ht="13.8" hidden="false" customHeight="false" outlineLevel="0" collapsed="false">
      <c r="A756" s="218"/>
      <c r="B756" s="251"/>
      <c r="C756" s="251"/>
      <c r="D756" s="251"/>
      <c r="E756" s="212" t="s">
        <v>3826</v>
      </c>
      <c r="F756" s="212" t="s">
        <v>3786</v>
      </c>
      <c r="G756" s="212" t="n">
        <v>63</v>
      </c>
      <c r="H756" s="212" t="s">
        <v>120</v>
      </c>
      <c r="I756" s="250" t="n">
        <v>78.89</v>
      </c>
    </row>
    <row r="757" customFormat="false" ht="13.8" hidden="false" customHeight="false" outlineLevel="0" collapsed="false">
      <c r="A757" s="218"/>
      <c r="B757" s="251"/>
      <c r="C757" s="251"/>
      <c r="D757" s="251"/>
      <c r="E757" s="212" t="s">
        <v>3830</v>
      </c>
      <c r="F757" s="212" t="s">
        <v>3786</v>
      </c>
      <c r="G757" s="212" t="n">
        <v>110</v>
      </c>
      <c r="H757" s="212" t="s">
        <v>120</v>
      </c>
      <c r="I757" s="250" t="n">
        <v>104.24</v>
      </c>
    </row>
    <row r="758" customFormat="false" ht="13.8" hidden="false" customHeight="false" outlineLevel="0" collapsed="false">
      <c r="A758" s="218"/>
      <c r="B758" s="251"/>
      <c r="C758" s="251"/>
      <c r="D758" s="251"/>
      <c r="E758" s="212" t="s">
        <v>3835</v>
      </c>
      <c r="F758" s="212" t="s">
        <v>3786</v>
      </c>
      <c r="G758" s="212" t="n">
        <v>63</v>
      </c>
      <c r="H758" s="212" t="s">
        <v>120</v>
      </c>
      <c r="I758" s="250" t="n">
        <v>5.94</v>
      </c>
    </row>
    <row r="759" customFormat="false" ht="13.8" hidden="false" customHeight="false" outlineLevel="0" collapsed="false">
      <c r="A759" s="218"/>
      <c r="B759" s="251"/>
      <c r="C759" s="251"/>
      <c r="D759" s="251"/>
      <c r="E759" s="212" t="s">
        <v>3839</v>
      </c>
      <c r="F759" s="212" t="s">
        <v>3786</v>
      </c>
      <c r="G759" s="212" t="n">
        <v>110</v>
      </c>
      <c r="H759" s="212" t="s">
        <v>120</v>
      </c>
      <c r="I759" s="250" t="n">
        <v>44.98</v>
      </c>
    </row>
    <row r="760" customFormat="false" ht="13.8" hidden="false" customHeight="false" outlineLevel="0" collapsed="false">
      <c r="A760" s="218"/>
      <c r="B760" s="251"/>
      <c r="C760" s="251"/>
      <c r="D760" s="251"/>
      <c r="E760" s="212" t="s">
        <v>3844</v>
      </c>
      <c r="F760" s="212" t="s">
        <v>3786</v>
      </c>
      <c r="G760" s="212" t="n">
        <v>110</v>
      </c>
      <c r="H760" s="212" t="s">
        <v>120</v>
      </c>
      <c r="I760" s="250" t="n">
        <v>3.11</v>
      </c>
    </row>
    <row r="761" customFormat="false" ht="13.8" hidden="false" customHeight="false" outlineLevel="0" collapsed="false">
      <c r="A761" s="218"/>
      <c r="B761" s="251"/>
      <c r="C761" s="251"/>
      <c r="D761" s="251"/>
      <c r="E761" s="212" t="s">
        <v>3847</v>
      </c>
      <c r="F761" s="212" t="s">
        <v>3786</v>
      </c>
      <c r="G761" s="212" t="n">
        <v>63</v>
      </c>
      <c r="H761" s="212" t="s">
        <v>120</v>
      </c>
      <c r="I761" s="250" t="n">
        <v>37.52</v>
      </c>
    </row>
    <row r="762" customFormat="false" ht="13.8" hidden="false" customHeight="false" outlineLevel="0" collapsed="false">
      <c r="A762" s="218"/>
      <c r="B762" s="251"/>
      <c r="C762" s="251"/>
      <c r="D762" s="251"/>
      <c r="E762" s="212" t="s">
        <v>3852</v>
      </c>
      <c r="F762" s="212" t="s">
        <v>3786</v>
      </c>
      <c r="G762" s="212" t="n">
        <v>110</v>
      </c>
      <c r="H762" s="212" t="s">
        <v>120</v>
      </c>
      <c r="I762" s="250" t="n">
        <v>74.3</v>
      </c>
    </row>
    <row r="763" customFormat="false" ht="13.8" hidden="false" customHeight="false" outlineLevel="0" collapsed="false">
      <c r="A763" s="218"/>
      <c r="B763" s="251"/>
      <c r="C763" s="251"/>
      <c r="D763" s="251"/>
      <c r="E763" s="212" t="s">
        <v>3854</v>
      </c>
      <c r="F763" s="212" t="s">
        <v>3786</v>
      </c>
      <c r="G763" s="212" t="n">
        <v>63</v>
      </c>
      <c r="H763" s="212" t="s">
        <v>120</v>
      </c>
      <c r="I763" s="250" t="n">
        <v>161.82</v>
      </c>
    </row>
    <row r="764" customFormat="false" ht="13.8" hidden="false" customHeight="false" outlineLevel="0" collapsed="false">
      <c r="A764" s="218"/>
      <c r="B764" s="251"/>
      <c r="C764" s="251"/>
      <c r="D764" s="251"/>
      <c r="E764" s="212" t="s">
        <v>3859</v>
      </c>
      <c r="F764" s="212" t="s">
        <v>3786</v>
      </c>
      <c r="G764" s="212" t="n">
        <v>110</v>
      </c>
      <c r="H764" s="212" t="s">
        <v>120</v>
      </c>
      <c r="I764" s="250" t="n">
        <v>19.79</v>
      </c>
    </row>
    <row r="765" customFormat="false" ht="13.8" hidden="false" customHeight="false" outlineLevel="0" collapsed="false">
      <c r="A765" s="218"/>
      <c r="B765" s="251"/>
      <c r="C765" s="251"/>
      <c r="D765" s="251"/>
      <c r="E765" s="212" t="s">
        <v>3863</v>
      </c>
      <c r="F765" s="212" t="s">
        <v>3786</v>
      </c>
      <c r="G765" s="212" t="n">
        <v>110</v>
      </c>
      <c r="H765" s="212" t="s">
        <v>120</v>
      </c>
      <c r="I765" s="250" t="n">
        <v>49.28</v>
      </c>
    </row>
    <row r="766" customFormat="false" ht="13.8" hidden="false" customHeight="false" outlineLevel="0" collapsed="false">
      <c r="A766" s="218"/>
      <c r="B766" s="251"/>
      <c r="C766" s="251"/>
      <c r="D766" s="251"/>
      <c r="E766" s="212" t="s">
        <v>3867</v>
      </c>
      <c r="F766" s="212" t="s">
        <v>3786</v>
      </c>
      <c r="G766" s="212" t="n">
        <v>63</v>
      </c>
      <c r="H766" s="212" t="s">
        <v>120</v>
      </c>
      <c r="I766" s="250" t="n">
        <v>63.57</v>
      </c>
    </row>
    <row r="767" customFormat="false" ht="13.8" hidden="false" customHeight="false" outlineLevel="0" collapsed="false">
      <c r="A767" s="218"/>
      <c r="B767" s="251"/>
      <c r="C767" s="251"/>
      <c r="D767" s="251"/>
      <c r="E767" s="212" t="s">
        <v>3869</v>
      </c>
      <c r="F767" s="212" t="s">
        <v>3786</v>
      </c>
      <c r="G767" s="212" t="n">
        <v>63</v>
      </c>
      <c r="H767" s="212" t="s">
        <v>120</v>
      </c>
      <c r="I767" s="250" t="n">
        <v>32.62</v>
      </c>
    </row>
    <row r="768" customFormat="false" ht="13.8" hidden="false" customHeight="false" outlineLevel="0" collapsed="false">
      <c r="A768" s="218"/>
      <c r="B768" s="251"/>
      <c r="C768" s="251"/>
      <c r="D768" s="251"/>
      <c r="E768" s="212" t="s">
        <v>3873</v>
      </c>
      <c r="F768" s="212" t="s">
        <v>3786</v>
      </c>
      <c r="G768" s="212" t="n">
        <v>63</v>
      </c>
      <c r="H768" s="212" t="s">
        <v>120</v>
      </c>
      <c r="I768" s="250" t="n">
        <v>65.21</v>
      </c>
    </row>
    <row r="769" customFormat="false" ht="13.8" hidden="false" customHeight="false" outlineLevel="0" collapsed="false">
      <c r="A769" s="218"/>
      <c r="B769" s="251"/>
      <c r="C769" s="251"/>
      <c r="D769" s="251"/>
      <c r="E769" s="212" t="s">
        <v>3877</v>
      </c>
      <c r="F769" s="212" t="s">
        <v>3786</v>
      </c>
      <c r="G769" s="212" t="n">
        <v>110</v>
      </c>
      <c r="H769" s="212" t="s">
        <v>120</v>
      </c>
      <c r="I769" s="250" t="n">
        <v>4.36</v>
      </c>
    </row>
    <row r="770" customFormat="false" ht="13.8" hidden="false" customHeight="false" outlineLevel="0" collapsed="false">
      <c r="A770" s="218"/>
      <c r="B770" s="251"/>
      <c r="C770" s="251"/>
      <c r="D770" s="251"/>
      <c r="E770" s="212" t="s">
        <v>3880</v>
      </c>
      <c r="F770" s="212" t="s">
        <v>3786</v>
      </c>
      <c r="G770" s="212" t="n">
        <v>63</v>
      </c>
      <c r="H770" s="212" t="s">
        <v>120</v>
      </c>
      <c r="I770" s="250" t="n">
        <v>56.71</v>
      </c>
    </row>
    <row r="771" customFormat="false" ht="13.8" hidden="false" customHeight="false" outlineLevel="0" collapsed="false">
      <c r="A771" s="218"/>
      <c r="B771" s="251"/>
      <c r="C771" s="251"/>
      <c r="D771" s="251"/>
      <c r="E771" s="212" t="s">
        <v>3884</v>
      </c>
      <c r="F771" s="212" t="s">
        <v>3786</v>
      </c>
      <c r="G771" s="212" t="n">
        <v>63</v>
      </c>
      <c r="H771" s="212" t="s">
        <v>120</v>
      </c>
      <c r="I771" s="250" t="n">
        <v>38.8</v>
      </c>
    </row>
    <row r="772" customFormat="false" ht="13.8" hidden="false" customHeight="false" outlineLevel="0" collapsed="false">
      <c r="A772" s="218"/>
      <c r="B772" s="251"/>
      <c r="C772" s="251"/>
      <c r="D772" s="251"/>
      <c r="E772" s="212" t="s">
        <v>3888</v>
      </c>
      <c r="F772" s="212" t="s">
        <v>3786</v>
      </c>
      <c r="G772" s="212" t="n">
        <v>63</v>
      </c>
      <c r="H772" s="212" t="s">
        <v>120</v>
      </c>
      <c r="I772" s="250" t="n">
        <v>14.71</v>
      </c>
    </row>
    <row r="773" customFormat="false" ht="13.8" hidden="false" customHeight="false" outlineLevel="0" collapsed="false">
      <c r="A773" s="218"/>
      <c r="B773" s="251"/>
      <c r="C773" s="251"/>
      <c r="D773" s="251"/>
      <c r="E773" s="212" t="s">
        <v>3892</v>
      </c>
      <c r="F773" s="212" t="s">
        <v>3786</v>
      </c>
      <c r="G773" s="212" t="n">
        <v>63</v>
      </c>
      <c r="H773" s="212" t="s">
        <v>120</v>
      </c>
      <c r="I773" s="250" t="n">
        <v>18.85</v>
      </c>
    </row>
    <row r="774" customFormat="false" ht="13.8" hidden="false" customHeight="false" outlineLevel="0" collapsed="false">
      <c r="A774" s="218"/>
      <c r="B774" s="251"/>
      <c r="C774" s="251"/>
      <c r="D774" s="251"/>
      <c r="E774" s="212" t="s">
        <v>3896</v>
      </c>
      <c r="F774" s="212" t="s">
        <v>3786</v>
      </c>
      <c r="G774" s="212" t="n">
        <v>110</v>
      </c>
      <c r="H774" s="212" t="s">
        <v>120</v>
      </c>
      <c r="I774" s="250" t="n">
        <v>135.94</v>
      </c>
    </row>
    <row r="775" customFormat="false" ht="13.8" hidden="false" customHeight="false" outlineLevel="0" collapsed="false">
      <c r="A775" s="218"/>
      <c r="B775" s="251"/>
      <c r="C775" s="251"/>
      <c r="D775" s="251"/>
      <c r="E775" s="212" t="s">
        <v>3900</v>
      </c>
      <c r="F775" s="212" t="s">
        <v>3786</v>
      </c>
      <c r="G775" s="212" t="n">
        <v>63</v>
      </c>
      <c r="H775" s="212" t="s">
        <v>120</v>
      </c>
      <c r="I775" s="250" t="n">
        <v>122.44</v>
      </c>
    </row>
    <row r="776" customFormat="false" ht="13.8" hidden="false" customHeight="false" outlineLevel="0" collapsed="false">
      <c r="A776" s="218"/>
      <c r="B776" s="251"/>
      <c r="C776" s="251"/>
      <c r="D776" s="251"/>
      <c r="E776" s="212" t="s">
        <v>3904</v>
      </c>
      <c r="F776" s="212" t="s">
        <v>3786</v>
      </c>
      <c r="G776" s="212" t="n">
        <v>63</v>
      </c>
      <c r="H776" s="212" t="s">
        <v>120</v>
      </c>
      <c r="I776" s="250" t="n">
        <v>53.39</v>
      </c>
    </row>
    <row r="777" customFormat="false" ht="13.8" hidden="false" customHeight="false" outlineLevel="0" collapsed="false">
      <c r="A777" s="218"/>
      <c r="B777" s="251"/>
      <c r="C777" s="251"/>
      <c r="D777" s="251"/>
      <c r="E777" s="212" t="s">
        <v>3909</v>
      </c>
      <c r="F777" s="212" t="s">
        <v>3786</v>
      </c>
      <c r="G777" s="212" t="n">
        <v>63</v>
      </c>
      <c r="H777" s="212" t="s">
        <v>120</v>
      </c>
      <c r="I777" s="250" t="n">
        <v>56.97</v>
      </c>
    </row>
    <row r="778" customFormat="false" ht="13.8" hidden="false" customHeight="false" outlineLevel="0" collapsed="false">
      <c r="A778" s="218"/>
      <c r="B778" s="251"/>
      <c r="C778" s="251"/>
      <c r="D778" s="251"/>
      <c r="E778" s="212" t="s">
        <v>3913</v>
      </c>
      <c r="F778" s="212" t="s">
        <v>3786</v>
      </c>
      <c r="G778" s="212" t="n">
        <v>63</v>
      </c>
      <c r="H778" s="212" t="s">
        <v>120</v>
      </c>
      <c r="I778" s="250" t="n">
        <v>110.17</v>
      </c>
    </row>
    <row r="779" customFormat="false" ht="13.8" hidden="false" customHeight="false" outlineLevel="0" collapsed="false">
      <c r="A779" s="218"/>
      <c r="B779" s="251"/>
      <c r="C779" s="251"/>
      <c r="D779" s="251"/>
      <c r="E779" s="212" t="s">
        <v>3917</v>
      </c>
      <c r="F779" s="212" t="s">
        <v>3786</v>
      </c>
      <c r="G779" s="212" t="n">
        <v>63</v>
      </c>
      <c r="H779" s="212" t="s">
        <v>120</v>
      </c>
      <c r="I779" s="250" t="n">
        <v>17.67</v>
      </c>
    </row>
    <row r="780" customFormat="false" ht="13.8" hidden="false" customHeight="false" outlineLevel="0" collapsed="false">
      <c r="A780" s="218"/>
      <c r="B780" s="251"/>
      <c r="C780" s="251"/>
      <c r="D780" s="251"/>
      <c r="E780" s="212" t="s">
        <v>3921</v>
      </c>
      <c r="F780" s="212" t="s">
        <v>3786</v>
      </c>
      <c r="G780" s="212" t="n">
        <v>63</v>
      </c>
      <c r="H780" s="212" t="s">
        <v>120</v>
      </c>
      <c r="I780" s="250" t="n">
        <v>146.18</v>
      </c>
    </row>
    <row r="781" customFormat="false" ht="13.8" hidden="false" customHeight="false" outlineLevel="0" collapsed="false">
      <c r="A781" s="218"/>
      <c r="B781" s="251"/>
      <c r="C781" s="251"/>
      <c r="D781" s="251"/>
      <c r="E781" s="212" t="s">
        <v>3925</v>
      </c>
      <c r="F781" s="212" t="s">
        <v>3786</v>
      </c>
      <c r="G781" s="212" t="n">
        <v>63</v>
      </c>
      <c r="H781" s="212" t="s">
        <v>120</v>
      </c>
      <c r="I781" s="250" t="n">
        <v>49.71</v>
      </c>
    </row>
    <row r="782" customFormat="false" ht="13.8" hidden="false" customHeight="false" outlineLevel="0" collapsed="false">
      <c r="A782" s="218"/>
      <c r="B782" s="251"/>
      <c r="C782" s="251"/>
      <c r="D782" s="251"/>
      <c r="E782" s="212" t="s">
        <v>3929</v>
      </c>
      <c r="F782" s="212" t="s">
        <v>3786</v>
      </c>
      <c r="G782" s="212" t="n">
        <v>63</v>
      </c>
      <c r="H782" s="212" t="s">
        <v>120</v>
      </c>
      <c r="I782" s="250" t="n">
        <v>102.48</v>
      </c>
    </row>
    <row r="783" customFormat="false" ht="13.8" hidden="false" customHeight="false" outlineLevel="0" collapsed="false">
      <c r="A783" s="218"/>
      <c r="B783" s="251"/>
      <c r="C783" s="251"/>
      <c r="D783" s="251"/>
      <c r="E783" s="212" t="s">
        <v>3933</v>
      </c>
      <c r="F783" s="212" t="s">
        <v>3786</v>
      </c>
      <c r="G783" s="212" t="n">
        <v>63</v>
      </c>
      <c r="H783" s="212" t="s">
        <v>120</v>
      </c>
      <c r="I783" s="250" t="n">
        <v>48.5</v>
      </c>
    </row>
    <row r="784" customFormat="false" ht="13.8" hidden="false" customHeight="false" outlineLevel="0" collapsed="false">
      <c r="A784" s="218"/>
      <c r="B784" s="251"/>
      <c r="C784" s="251"/>
      <c r="D784" s="251"/>
      <c r="E784" s="212" t="s">
        <v>3937</v>
      </c>
      <c r="F784" s="212" t="s">
        <v>3786</v>
      </c>
      <c r="G784" s="212" t="n">
        <v>63</v>
      </c>
      <c r="H784" s="212" t="s">
        <v>120</v>
      </c>
      <c r="I784" s="250" t="n">
        <v>26.11</v>
      </c>
    </row>
    <row r="785" customFormat="false" ht="13.8" hidden="false" customHeight="false" outlineLevel="0" collapsed="false">
      <c r="A785" s="218"/>
      <c r="B785" s="251"/>
      <c r="C785" s="251"/>
      <c r="D785" s="251"/>
      <c r="E785" s="212" t="s">
        <v>3942</v>
      </c>
      <c r="F785" s="212" t="s">
        <v>3786</v>
      </c>
      <c r="G785" s="212" t="n">
        <v>63</v>
      </c>
      <c r="H785" s="212" t="s">
        <v>120</v>
      </c>
      <c r="I785" s="250" t="n">
        <v>83.12</v>
      </c>
    </row>
    <row r="786" customFormat="false" ht="13.8" hidden="false" customHeight="false" outlineLevel="0" collapsed="false">
      <c r="A786" s="218"/>
      <c r="B786" s="251"/>
      <c r="C786" s="251"/>
      <c r="D786" s="251"/>
      <c r="E786" s="212" t="s">
        <v>3946</v>
      </c>
      <c r="F786" s="212" t="s">
        <v>3786</v>
      </c>
      <c r="G786" s="212" t="n">
        <v>63</v>
      </c>
      <c r="H786" s="212" t="s">
        <v>120</v>
      </c>
      <c r="I786" s="250" t="n">
        <v>42.6</v>
      </c>
    </row>
    <row r="787" customFormat="false" ht="13.8" hidden="false" customHeight="false" outlineLevel="0" collapsed="false">
      <c r="A787" s="218"/>
      <c r="B787" s="251"/>
      <c r="C787" s="251"/>
      <c r="D787" s="251"/>
      <c r="E787" s="212" t="s">
        <v>3950</v>
      </c>
      <c r="F787" s="212" t="s">
        <v>3786</v>
      </c>
      <c r="G787" s="212" t="n">
        <v>63</v>
      </c>
      <c r="H787" s="212" t="s">
        <v>120</v>
      </c>
      <c r="I787" s="250" t="n">
        <v>8.1</v>
      </c>
    </row>
    <row r="788" customFormat="false" ht="13.8" hidden="false" customHeight="false" outlineLevel="0" collapsed="false">
      <c r="A788" s="218"/>
      <c r="B788" s="251"/>
      <c r="C788" s="251"/>
      <c r="D788" s="251"/>
      <c r="E788" s="212" t="s">
        <v>3954</v>
      </c>
      <c r="F788" s="212" t="s">
        <v>3786</v>
      </c>
      <c r="G788" s="212" t="n">
        <v>63</v>
      </c>
      <c r="H788" s="212" t="s">
        <v>120</v>
      </c>
      <c r="I788" s="250" t="n">
        <v>45.34</v>
      </c>
    </row>
    <row r="789" customFormat="false" ht="13.8" hidden="false" customHeight="false" outlineLevel="0" collapsed="false">
      <c r="A789" s="218"/>
      <c r="B789" s="251"/>
      <c r="C789" s="251"/>
      <c r="D789" s="251"/>
      <c r="E789" s="212" t="s">
        <v>3958</v>
      </c>
      <c r="F789" s="212" t="s">
        <v>3786</v>
      </c>
      <c r="G789" s="212" t="n">
        <v>63</v>
      </c>
      <c r="H789" s="212" t="s">
        <v>120</v>
      </c>
      <c r="I789" s="250" t="n">
        <v>102.4</v>
      </c>
    </row>
    <row r="790" customFormat="false" ht="13.8" hidden="false" customHeight="false" outlineLevel="0" collapsed="false">
      <c r="A790" s="218"/>
      <c r="B790" s="251"/>
      <c r="C790" s="251"/>
      <c r="D790" s="251"/>
      <c r="E790" s="212" t="s">
        <v>3961</v>
      </c>
      <c r="F790" s="212" t="s">
        <v>3786</v>
      </c>
      <c r="G790" s="212" t="n">
        <v>110</v>
      </c>
      <c r="H790" s="212" t="s">
        <v>120</v>
      </c>
      <c r="I790" s="250" t="n">
        <v>87.33</v>
      </c>
    </row>
    <row r="791" customFormat="false" ht="13.8" hidden="false" customHeight="false" outlineLevel="0" collapsed="false">
      <c r="A791" s="218"/>
      <c r="B791" s="251"/>
      <c r="C791" s="251"/>
      <c r="D791" s="251"/>
      <c r="E791" s="212" t="s">
        <v>3965</v>
      </c>
      <c r="F791" s="212" t="s">
        <v>3786</v>
      </c>
      <c r="G791" s="212" t="n">
        <v>63</v>
      </c>
      <c r="H791" s="212" t="s">
        <v>120</v>
      </c>
      <c r="I791" s="250" t="n">
        <v>102.74</v>
      </c>
    </row>
    <row r="792" customFormat="false" ht="13.8" hidden="false" customHeight="false" outlineLevel="0" collapsed="false">
      <c r="A792" s="218"/>
      <c r="B792" s="251"/>
      <c r="C792" s="251"/>
      <c r="D792" s="251"/>
      <c r="E792" s="212" t="s">
        <v>3969</v>
      </c>
      <c r="F792" s="212" t="s">
        <v>3786</v>
      </c>
      <c r="G792" s="212" t="n">
        <v>63</v>
      </c>
      <c r="H792" s="212" t="s">
        <v>120</v>
      </c>
      <c r="I792" s="250" t="n">
        <v>49.62</v>
      </c>
    </row>
    <row r="793" customFormat="false" ht="13.8" hidden="false" customHeight="false" outlineLevel="0" collapsed="false">
      <c r="A793" s="218"/>
      <c r="B793" s="251"/>
      <c r="C793" s="251"/>
      <c r="D793" s="251"/>
      <c r="E793" s="212" t="s">
        <v>3973</v>
      </c>
      <c r="F793" s="212" t="s">
        <v>3786</v>
      </c>
      <c r="G793" s="212" t="n">
        <v>63</v>
      </c>
      <c r="H793" s="212" t="s">
        <v>120</v>
      </c>
      <c r="I793" s="250" t="n">
        <v>158.34</v>
      </c>
    </row>
    <row r="794" customFormat="false" ht="13.8" hidden="false" customHeight="false" outlineLevel="0" collapsed="false">
      <c r="A794" s="218"/>
      <c r="B794" s="251"/>
      <c r="C794" s="251"/>
      <c r="D794" s="251"/>
      <c r="E794" s="212" t="s">
        <v>3976</v>
      </c>
      <c r="F794" s="212" t="s">
        <v>3786</v>
      </c>
      <c r="G794" s="212" t="n">
        <v>63</v>
      </c>
      <c r="H794" s="212" t="s">
        <v>120</v>
      </c>
      <c r="I794" s="250" t="n">
        <v>3.77</v>
      </c>
    </row>
    <row r="795" customFormat="false" ht="13.8" hidden="false" customHeight="false" outlineLevel="0" collapsed="false">
      <c r="A795" s="218"/>
      <c r="B795" s="251"/>
      <c r="C795" s="251"/>
      <c r="D795" s="251"/>
      <c r="E795" s="212" t="s">
        <v>3979</v>
      </c>
      <c r="F795" s="212" t="s">
        <v>3786</v>
      </c>
      <c r="G795" s="212" t="n">
        <v>110</v>
      </c>
      <c r="H795" s="212" t="s">
        <v>120</v>
      </c>
      <c r="I795" s="250" t="n">
        <v>350.83</v>
      </c>
    </row>
    <row r="796" customFormat="false" ht="13.8" hidden="false" customHeight="false" outlineLevel="0" collapsed="false">
      <c r="A796" s="218"/>
      <c r="B796" s="251"/>
      <c r="C796" s="251"/>
      <c r="D796" s="251"/>
      <c r="E796" s="212" t="s">
        <v>3982</v>
      </c>
      <c r="F796" s="212" t="s">
        <v>3786</v>
      </c>
      <c r="G796" s="212" t="n">
        <v>63</v>
      </c>
      <c r="H796" s="212" t="s">
        <v>120</v>
      </c>
      <c r="I796" s="250" t="n">
        <v>133.92</v>
      </c>
    </row>
    <row r="797" customFormat="false" ht="13.8" hidden="false" customHeight="false" outlineLevel="0" collapsed="false">
      <c r="A797" s="218"/>
      <c r="B797" s="251"/>
      <c r="C797" s="251"/>
      <c r="D797" s="251"/>
      <c r="E797" s="212" t="s">
        <v>3986</v>
      </c>
      <c r="F797" s="212" t="s">
        <v>3786</v>
      </c>
      <c r="G797" s="212" t="n">
        <v>63</v>
      </c>
      <c r="H797" s="212" t="s">
        <v>120</v>
      </c>
      <c r="I797" s="250" t="n">
        <v>157.49</v>
      </c>
    </row>
    <row r="798" customFormat="false" ht="13.8" hidden="false" customHeight="false" outlineLevel="0" collapsed="false">
      <c r="A798" s="218"/>
      <c r="B798" s="251"/>
      <c r="C798" s="251"/>
      <c r="D798" s="251"/>
      <c r="E798" s="212" t="s">
        <v>3990</v>
      </c>
      <c r="F798" s="212" t="s">
        <v>3786</v>
      </c>
      <c r="G798" s="212" t="n">
        <v>110</v>
      </c>
      <c r="H798" s="212" t="s">
        <v>120</v>
      </c>
      <c r="I798" s="250" t="n">
        <v>49.9</v>
      </c>
    </row>
    <row r="799" customFormat="false" ht="13.8" hidden="false" customHeight="false" outlineLevel="0" collapsed="false">
      <c r="A799" s="218"/>
      <c r="B799" s="251"/>
      <c r="C799" s="251"/>
      <c r="D799" s="251"/>
      <c r="E799" s="212" t="s">
        <v>3992</v>
      </c>
      <c r="F799" s="212" t="s">
        <v>3786</v>
      </c>
      <c r="G799" s="212" t="n">
        <v>63</v>
      </c>
      <c r="H799" s="212" t="s">
        <v>120</v>
      </c>
      <c r="I799" s="250" t="n">
        <v>131.99</v>
      </c>
    </row>
    <row r="800" customFormat="false" ht="13.8" hidden="false" customHeight="false" outlineLevel="0" collapsed="false">
      <c r="A800" s="218"/>
      <c r="B800" s="252"/>
      <c r="C800" s="252"/>
      <c r="D800" s="252"/>
      <c r="E800" s="212" t="s">
        <v>3996</v>
      </c>
      <c r="F800" s="212" t="s">
        <v>3786</v>
      </c>
      <c r="G800" s="212" t="n">
        <v>63</v>
      </c>
      <c r="H800" s="212" t="s">
        <v>120</v>
      </c>
      <c r="I800" s="250" t="n">
        <v>24.49</v>
      </c>
    </row>
    <row r="801" customFormat="false" ht="13.8" hidden="false" customHeight="false" outlineLevel="0" collapsed="false">
      <c r="A801" s="218"/>
      <c r="B801" s="249" t="s">
        <v>7041</v>
      </c>
      <c r="C801" s="249" t="s">
        <v>117</v>
      </c>
      <c r="D801" s="212" t="s">
        <v>2173</v>
      </c>
      <c r="E801" s="212" t="s">
        <v>5195</v>
      </c>
      <c r="F801" s="212" t="s">
        <v>5106</v>
      </c>
      <c r="G801" s="212" t="n">
        <v>63</v>
      </c>
      <c r="H801" s="212" t="s">
        <v>120</v>
      </c>
      <c r="I801" s="250" t="n">
        <v>110.83</v>
      </c>
    </row>
    <row r="802" customFormat="false" ht="13.8" hidden="false" customHeight="false" outlineLevel="0" collapsed="false">
      <c r="A802" s="218"/>
      <c r="B802" s="251"/>
      <c r="C802" s="251"/>
      <c r="D802" s="249" t="s">
        <v>1548</v>
      </c>
      <c r="E802" s="212" t="s">
        <v>5059</v>
      </c>
      <c r="F802" s="212" t="s">
        <v>4831</v>
      </c>
      <c r="G802" s="212" t="n">
        <v>63</v>
      </c>
      <c r="H802" s="212" t="s">
        <v>120</v>
      </c>
      <c r="I802" s="250" t="n">
        <v>9.9</v>
      </c>
    </row>
    <row r="803" customFormat="false" ht="13.8" hidden="false" customHeight="false" outlineLevel="0" collapsed="false">
      <c r="A803" s="218"/>
      <c r="B803" s="251"/>
      <c r="C803" s="251"/>
      <c r="D803" s="251"/>
      <c r="E803" s="212" t="s">
        <v>5064</v>
      </c>
      <c r="F803" s="212" t="s">
        <v>4831</v>
      </c>
      <c r="G803" s="212" t="n">
        <v>63</v>
      </c>
      <c r="H803" s="212" t="s">
        <v>120</v>
      </c>
      <c r="I803" s="250" t="n">
        <v>7.97</v>
      </c>
    </row>
    <row r="804" customFormat="false" ht="13.8" hidden="false" customHeight="false" outlineLevel="0" collapsed="false">
      <c r="A804" s="218"/>
      <c r="B804" s="251"/>
      <c r="C804" s="251"/>
      <c r="D804" s="251"/>
      <c r="E804" s="212" t="s">
        <v>5066</v>
      </c>
      <c r="F804" s="212" t="s">
        <v>4831</v>
      </c>
      <c r="G804" s="212" t="n">
        <v>63</v>
      </c>
      <c r="H804" s="212" t="s">
        <v>120</v>
      </c>
      <c r="I804" s="250" t="n">
        <v>49.38</v>
      </c>
    </row>
    <row r="805" customFormat="false" ht="13.8" hidden="false" customHeight="false" outlineLevel="0" collapsed="false">
      <c r="A805" s="218"/>
      <c r="B805" s="251"/>
      <c r="C805" s="251"/>
      <c r="D805" s="251"/>
      <c r="E805" s="212" t="s">
        <v>5069</v>
      </c>
      <c r="F805" s="212" t="s">
        <v>4831</v>
      </c>
      <c r="G805" s="212" t="n">
        <v>63</v>
      </c>
      <c r="H805" s="212" t="s">
        <v>120</v>
      </c>
      <c r="I805" s="250" t="n">
        <v>52.58</v>
      </c>
    </row>
    <row r="806" customFormat="false" ht="13.8" hidden="false" customHeight="false" outlineLevel="0" collapsed="false">
      <c r="A806" s="218"/>
      <c r="B806" s="251"/>
      <c r="C806" s="251"/>
      <c r="D806" s="251"/>
      <c r="E806" s="212" t="s">
        <v>5073</v>
      </c>
      <c r="F806" s="212" t="s">
        <v>4831</v>
      </c>
      <c r="G806" s="212" t="n">
        <v>63</v>
      </c>
      <c r="H806" s="212" t="s">
        <v>120</v>
      </c>
      <c r="I806" s="250" t="n">
        <v>64</v>
      </c>
    </row>
    <row r="807" customFormat="false" ht="13.8" hidden="false" customHeight="false" outlineLevel="0" collapsed="false">
      <c r="A807" s="218"/>
      <c r="B807" s="251"/>
      <c r="C807" s="251"/>
      <c r="D807" s="251"/>
      <c r="E807" s="212" t="s">
        <v>5077</v>
      </c>
      <c r="F807" s="212" t="s">
        <v>4831</v>
      </c>
      <c r="G807" s="212" t="n">
        <v>63</v>
      </c>
      <c r="H807" s="212" t="s">
        <v>120</v>
      </c>
      <c r="I807" s="250" t="n">
        <v>52.17</v>
      </c>
    </row>
    <row r="808" customFormat="false" ht="13.8" hidden="false" customHeight="false" outlineLevel="0" collapsed="false">
      <c r="A808" s="218"/>
      <c r="B808" s="251"/>
      <c r="C808" s="251"/>
      <c r="D808" s="251"/>
      <c r="E808" s="212" t="s">
        <v>5081</v>
      </c>
      <c r="F808" s="212" t="s">
        <v>4831</v>
      </c>
      <c r="G808" s="212" t="n">
        <v>63</v>
      </c>
      <c r="H808" s="212" t="s">
        <v>120</v>
      </c>
      <c r="I808" s="250" t="n">
        <v>211.95</v>
      </c>
    </row>
    <row r="809" customFormat="false" ht="13.8" hidden="false" customHeight="false" outlineLevel="0" collapsed="false">
      <c r="A809" s="218"/>
      <c r="B809" s="251"/>
      <c r="C809" s="251"/>
      <c r="D809" s="251"/>
      <c r="E809" s="212" t="s">
        <v>5084</v>
      </c>
      <c r="F809" s="212" t="s">
        <v>4831</v>
      </c>
      <c r="G809" s="212" t="n">
        <v>63</v>
      </c>
      <c r="H809" s="212" t="s">
        <v>120</v>
      </c>
      <c r="I809" s="250" t="n">
        <v>30.11</v>
      </c>
    </row>
    <row r="810" customFormat="false" ht="13.8" hidden="false" customHeight="false" outlineLevel="0" collapsed="false">
      <c r="A810" s="218"/>
      <c r="B810" s="251"/>
      <c r="C810" s="251"/>
      <c r="D810" s="251"/>
      <c r="E810" s="212" t="s">
        <v>5088</v>
      </c>
      <c r="F810" s="212" t="s">
        <v>4831</v>
      </c>
      <c r="G810" s="212" t="n">
        <v>63</v>
      </c>
      <c r="H810" s="212" t="s">
        <v>120</v>
      </c>
      <c r="I810" s="250" t="n">
        <v>47.72</v>
      </c>
    </row>
    <row r="811" customFormat="false" ht="13.8" hidden="false" customHeight="false" outlineLevel="0" collapsed="false">
      <c r="A811" s="218"/>
      <c r="B811" s="251"/>
      <c r="C811" s="251"/>
      <c r="D811" s="251"/>
      <c r="E811" s="212" t="s">
        <v>5092</v>
      </c>
      <c r="F811" s="212" t="s">
        <v>4831</v>
      </c>
      <c r="G811" s="212" t="n">
        <v>63</v>
      </c>
      <c r="H811" s="212" t="s">
        <v>120</v>
      </c>
      <c r="I811" s="250" t="n">
        <v>48.53</v>
      </c>
    </row>
    <row r="812" customFormat="false" ht="13.8" hidden="false" customHeight="false" outlineLevel="0" collapsed="false">
      <c r="A812" s="218"/>
      <c r="B812" s="251"/>
      <c r="C812" s="251"/>
      <c r="D812" s="251"/>
      <c r="E812" s="212" t="s">
        <v>5096</v>
      </c>
      <c r="F812" s="212" t="s">
        <v>4831</v>
      </c>
      <c r="G812" s="212" t="n">
        <v>63</v>
      </c>
      <c r="H812" s="212" t="s">
        <v>120</v>
      </c>
      <c r="I812" s="250" t="n">
        <v>28.27</v>
      </c>
    </row>
    <row r="813" customFormat="false" ht="13.8" hidden="false" customHeight="false" outlineLevel="0" collapsed="false">
      <c r="A813" s="218"/>
      <c r="B813" s="251"/>
      <c r="C813" s="251"/>
      <c r="D813" s="251"/>
      <c r="E813" s="212" t="s">
        <v>5099</v>
      </c>
      <c r="F813" s="212" t="s">
        <v>4831</v>
      </c>
      <c r="G813" s="212" t="n">
        <v>63</v>
      </c>
      <c r="H813" s="212" t="s">
        <v>120</v>
      </c>
      <c r="I813" s="250" t="n">
        <v>269.96</v>
      </c>
    </row>
    <row r="814" customFormat="false" ht="13.8" hidden="false" customHeight="false" outlineLevel="0" collapsed="false">
      <c r="A814" s="218"/>
      <c r="B814" s="251"/>
      <c r="C814" s="251"/>
      <c r="D814" s="251"/>
      <c r="E814" s="212" t="s">
        <v>5102</v>
      </c>
      <c r="F814" s="212" t="s">
        <v>4831</v>
      </c>
      <c r="G814" s="212" t="n">
        <v>63</v>
      </c>
      <c r="H814" s="212" t="s">
        <v>120</v>
      </c>
      <c r="I814" s="250" t="n">
        <v>111.43</v>
      </c>
    </row>
    <row r="815" customFormat="false" ht="13.8" hidden="false" customHeight="false" outlineLevel="0" collapsed="false">
      <c r="A815" s="218"/>
      <c r="B815" s="251"/>
      <c r="C815" s="251"/>
      <c r="D815" s="251"/>
      <c r="E815" s="212" t="s">
        <v>5152</v>
      </c>
      <c r="F815" s="212" t="s">
        <v>5106</v>
      </c>
      <c r="G815" s="212" t="n">
        <v>63</v>
      </c>
      <c r="H815" s="212" t="s">
        <v>120</v>
      </c>
      <c r="I815" s="250" t="n">
        <v>224.9</v>
      </c>
    </row>
    <row r="816" customFormat="false" ht="13.8" hidden="false" customHeight="false" outlineLevel="0" collapsed="false">
      <c r="A816" s="218"/>
      <c r="B816" s="251"/>
      <c r="C816" s="251"/>
      <c r="D816" s="251"/>
      <c r="E816" s="212" t="s">
        <v>5156</v>
      </c>
      <c r="F816" s="212" t="s">
        <v>5106</v>
      </c>
      <c r="G816" s="212" t="n">
        <v>63</v>
      </c>
      <c r="H816" s="212" t="s">
        <v>120</v>
      </c>
      <c r="I816" s="250" t="n">
        <v>4.36</v>
      </c>
    </row>
    <row r="817" customFormat="false" ht="13.8" hidden="false" customHeight="false" outlineLevel="0" collapsed="false">
      <c r="A817" s="218"/>
      <c r="B817" s="251"/>
      <c r="C817" s="251"/>
      <c r="D817" s="251"/>
      <c r="E817" s="212" t="s">
        <v>5160</v>
      </c>
      <c r="F817" s="212" t="s">
        <v>5106</v>
      </c>
      <c r="G817" s="212" t="n">
        <v>63</v>
      </c>
      <c r="H817" s="212" t="s">
        <v>120</v>
      </c>
      <c r="I817" s="250" t="n">
        <v>1.13</v>
      </c>
    </row>
    <row r="818" customFormat="false" ht="13.8" hidden="false" customHeight="false" outlineLevel="0" collapsed="false">
      <c r="A818" s="218"/>
      <c r="B818" s="251"/>
      <c r="C818" s="251"/>
      <c r="D818" s="251"/>
      <c r="E818" s="212" t="s">
        <v>5164</v>
      </c>
      <c r="F818" s="212" t="s">
        <v>5106</v>
      </c>
      <c r="G818" s="212" t="n">
        <v>63</v>
      </c>
      <c r="H818" s="212" t="s">
        <v>120</v>
      </c>
      <c r="I818" s="250" t="n">
        <v>3.58</v>
      </c>
    </row>
    <row r="819" customFormat="false" ht="13.8" hidden="false" customHeight="false" outlineLevel="0" collapsed="false">
      <c r="A819" s="218"/>
      <c r="B819" s="251"/>
      <c r="C819" s="251"/>
      <c r="D819" s="251"/>
      <c r="E819" s="212" t="s">
        <v>5168</v>
      </c>
      <c r="F819" s="212" t="s">
        <v>5106</v>
      </c>
      <c r="G819" s="212" t="n">
        <v>63</v>
      </c>
      <c r="H819" s="212" t="s">
        <v>120</v>
      </c>
      <c r="I819" s="250" t="n">
        <v>1.93</v>
      </c>
    </row>
    <row r="820" customFormat="false" ht="13.8" hidden="false" customHeight="false" outlineLevel="0" collapsed="false">
      <c r="A820" s="218"/>
      <c r="B820" s="251"/>
      <c r="C820" s="251"/>
      <c r="D820" s="251"/>
      <c r="E820" s="212" t="s">
        <v>5172</v>
      </c>
      <c r="F820" s="212" t="s">
        <v>5106</v>
      </c>
      <c r="G820" s="212" t="n">
        <v>63</v>
      </c>
      <c r="H820" s="212" t="s">
        <v>120</v>
      </c>
      <c r="I820" s="250" t="n">
        <v>199.23</v>
      </c>
    </row>
    <row r="821" customFormat="false" ht="13.8" hidden="false" customHeight="false" outlineLevel="0" collapsed="false">
      <c r="A821" s="218"/>
      <c r="B821" s="251"/>
      <c r="C821" s="251"/>
      <c r="D821" s="251"/>
      <c r="E821" s="212" t="s">
        <v>5176</v>
      </c>
      <c r="F821" s="212" t="s">
        <v>5106</v>
      </c>
      <c r="G821" s="212" t="n">
        <v>63</v>
      </c>
      <c r="H821" s="212" t="s">
        <v>120</v>
      </c>
      <c r="I821" s="250" t="n">
        <v>227.2</v>
      </c>
    </row>
    <row r="822" customFormat="false" ht="13.8" hidden="false" customHeight="false" outlineLevel="0" collapsed="false">
      <c r="A822" s="218"/>
      <c r="B822" s="251"/>
      <c r="C822" s="251"/>
      <c r="D822" s="251"/>
      <c r="E822" s="212" t="s">
        <v>5180</v>
      </c>
      <c r="F822" s="212" t="s">
        <v>5106</v>
      </c>
      <c r="G822" s="212" t="n">
        <v>63</v>
      </c>
      <c r="H822" s="212" t="s">
        <v>120</v>
      </c>
      <c r="I822" s="250" t="n">
        <v>6.22</v>
      </c>
    </row>
    <row r="823" customFormat="false" ht="13.8" hidden="false" customHeight="false" outlineLevel="0" collapsed="false">
      <c r="A823" s="218"/>
      <c r="B823" s="251"/>
      <c r="C823" s="251"/>
      <c r="D823" s="251"/>
      <c r="E823" s="212" t="s">
        <v>5185</v>
      </c>
      <c r="F823" s="212" t="s">
        <v>5106</v>
      </c>
      <c r="G823" s="212" t="n">
        <v>63</v>
      </c>
      <c r="H823" s="212" t="s">
        <v>120</v>
      </c>
      <c r="I823" s="250" t="n">
        <v>47.07</v>
      </c>
    </row>
    <row r="824" customFormat="false" ht="13.8" hidden="false" customHeight="false" outlineLevel="0" collapsed="false">
      <c r="A824" s="218"/>
      <c r="B824" s="251"/>
      <c r="C824" s="251"/>
      <c r="D824" s="251"/>
      <c r="E824" s="212" t="s">
        <v>5188</v>
      </c>
      <c r="F824" s="212" t="s">
        <v>5106</v>
      </c>
      <c r="G824" s="212" t="n">
        <v>63</v>
      </c>
      <c r="H824" s="212" t="s">
        <v>120</v>
      </c>
      <c r="I824" s="250" t="n">
        <v>202.76</v>
      </c>
    </row>
    <row r="825" customFormat="false" ht="13.8" hidden="false" customHeight="false" outlineLevel="0" collapsed="false">
      <c r="A825" s="218"/>
      <c r="B825" s="251"/>
      <c r="C825" s="251"/>
      <c r="D825" s="251"/>
      <c r="E825" s="212" t="s">
        <v>5191</v>
      </c>
      <c r="F825" s="212" t="s">
        <v>5106</v>
      </c>
      <c r="G825" s="212" t="n">
        <v>63</v>
      </c>
      <c r="H825" s="212" t="s">
        <v>120</v>
      </c>
      <c r="I825" s="250" t="n">
        <v>13.16</v>
      </c>
    </row>
    <row r="826" customFormat="false" ht="13.8" hidden="false" customHeight="false" outlineLevel="0" collapsed="false">
      <c r="A826" s="218"/>
      <c r="B826" s="251"/>
      <c r="C826" s="251"/>
      <c r="D826" s="251"/>
      <c r="E826" s="212" t="s">
        <v>5198</v>
      </c>
      <c r="F826" s="212" t="s">
        <v>5106</v>
      </c>
      <c r="G826" s="212" t="n">
        <v>110</v>
      </c>
      <c r="H826" s="212" t="s">
        <v>120</v>
      </c>
      <c r="I826" s="250" t="n">
        <v>46.21</v>
      </c>
    </row>
    <row r="827" customFormat="false" ht="13.8" hidden="false" customHeight="false" outlineLevel="0" collapsed="false">
      <c r="A827" s="218"/>
      <c r="B827" s="251"/>
      <c r="C827" s="251"/>
      <c r="D827" s="251"/>
      <c r="E827" s="212" t="s">
        <v>5202</v>
      </c>
      <c r="F827" s="212" t="s">
        <v>5106</v>
      </c>
      <c r="G827" s="212" t="n">
        <v>110</v>
      </c>
      <c r="H827" s="212" t="s">
        <v>120</v>
      </c>
      <c r="I827" s="250" t="n">
        <v>37.71</v>
      </c>
    </row>
    <row r="828" customFormat="false" ht="13.8" hidden="false" customHeight="false" outlineLevel="0" collapsed="false">
      <c r="A828" s="218"/>
      <c r="B828" s="251"/>
      <c r="C828" s="251"/>
      <c r="D828" s="251"/>
      <c r="E828" s="212" t="s">
        <v>5206</v>
      </c>
      <c r="F828" s="212" t="s">
        <v>5106</v>
      </c>
      <c r="G828" s="212" t="n">
        <v>63</v>
      </c>
      <c r="H828" s="212" t="s">
        <v>120</v>
      </c>
      <c r="I828" s="250" t="n">
        <v>94.69</v>
      </c>
    </row>
    <row r="829" customFormat="false" ht="13.8" hidden="false" customHeight="false" outlineLevel="0" collapsed="false">
      <c r="A829" s="218"/>
      <c r="B829" s="251"/>
      <c r="C829" s="251"/>
      <c r="D829" s="251"/>
      <c r="E829" s="212" t="s">
        <v>5210</v>
      </c>
      <c r="F829" s="212" t="s">
        <v>5106</v>
      </c>
      <c r="G829" s="212" t="n">
        <v>63</v>
      </c>
      <c r="H829" s="212" t="s">
        <v>120</v>
      </c>
      <c r="I829" s="250" t="n">
        <v>348.11</v>
      </c>
    </row>
    <row r="830" customFormat="false" ht="13.8" hidden="false" customHeight="false" outlineLevel="0" collapsed="false">
      <c r="A830" s="218"/>
      <c r="B830" s="251"/>
      <c r="C830" s="251"/>
      <c r="D830" s="251"/>
      <c r="E830" s="212" t="s">
        <v>5213</v>
      </c>
      <c r="F830" s="212" t="s">
        <v>5106</v>
      </c>
      <c r="G830" s="212" t="n">
        <v>63</v>
      </c>
      <c r="H830" s="212" t="s">
        <v>120</v>
      </c>
      <c r="I830" s="250" t="n">
        <v>42.47</v>
      </c>
    </row>
    <row r="831" customFormat="false" ht="13.8" hidden="false" customHeight="false" outlineLevel="0" collapsed="false">
      <c r="A831" s="218"/>
      <c r="B831" s="251"/>
      <c r="C831" s="251"/>
      <c r="D831" s="251"/>
      <c r="E831" s="212" t="s">
        <v>5218</v>
      </c>
      <c r="F831" s="212" t="s">
        <v>5106</v>
      </c>
      <c r="G831" s="212" t="n">
        <v>63</v>
      </c>
      <c r="H831" s="212" t="s">
        <v>120</v>
      </c>
      <c r="I831" s="250" t="n">
        <v>349.87</v>
      </c>
    </row>
    <row r="832" customFormat="false" ht="13.8" hidden="false" customHeight="false" outlineLevel="0" collapsed="false">
      <c r="A832" s="218"/>
      <c r="B832" s="251"/>
      <c r="C832" s="251"/>
      <c r="D832" s="251"/>
      <c r="E832" s="212" t="s">
        <v>5223</v>
      </c>
      <c r="F832" s="212" t="s">
        <v>5106</v>
      </c>
      <c r="G832" s="212" t="n">
        <v>110</v>
      </c>
      <c r="H832" s="212" t="s">
        <v>120</v>
      </c>
      <c r="I832" s="250" t="n">
        <v>84.11</v>
      </c>
    </row>
    <row r="833" customFormat="false" ht="13.8" hidden="false" customHeight="false" outlineLevel="0" collapsed="false">
      <c r="A833" s="218"/>
      <c r="B833" s="251"/>
      <c r="C833" s="251"/>
      <c r="D833" s="251"/>
      <c r="E833" s="212" t="s">
        <v>5227</v>
      </c>
      <c r="F833" s="212" t="s">
        <v>5106</v>
      </c>
      <c r="G833" s="212" t="n">
        <v>63</v>
      </c>
      <c r="H833" s="212" t="s">
        <v>120</v>
      </c>
      <c r="I833" s="250" t="n">
        <v>14.64</v>
      </c>
    </row>
    <row r="834" customFormat="false" ht="13.8" hidden="false" customHeight="false" outlineLevel="0" collapsed="false">
      <c r="A834" s="218"/>
      <c r="B834" s="251"/>
      <c r="C834" s="251"/>
      <c r="D834" s="251"/>
      <c r="E834" s="212" t="s">
        <v>5231</v>
      </c>
      <c r="F834" s="212" t="s">
        <v>5106</v>
      </c>
      <c r="G834" s="212" t="n">
        <v>63</v>
      </c>
      <c r="H834" s="212" t="s">
        <v>120</v>
      </c>
      <c r="I834" s="250" t="n">
        <v>1.86</v>
      </c>
    </row>
    <row r="835" customFormat="false" ht="13.8" hidden="false" customHeight="false" outlineLevel="0" collapsed="false">
      <c r="A835" s="218"/>
      <c r="B835" s="252"/>
      <c r="C835" s="252"/>
      <c r="D835" s="252"/>
      <c r="E835" s="212" t="s">
        <v>5235</v>
      </c>
      <c r="F835" s="212" t="s">
        <v>5106</v>
      </c>
      <c r="G835" s="212" t="n">
        <v>63</v>
      </c>
      <c r="H835" s="212" t="s">
        <v>120</v>
      </c>
      <c r="I835" s="250" t="n">
        <v>12.48</v>
      </c>
    </row>
    <row r="836" customFormat="false" ht="13.8" hidden="false" customHeight="false" outlineLevel="0" collapsed="false">
      <c r="A836" s="218"/>
      <c r="B836" s="249" t="s">
        <v>7042</v>
      </c>
      <c r="C836" s="249" t="s">
        <v>117</v>
      </c>
      <c r="D836" s="249" t="s">
        <v>1548</v>
      </c>
      <c r="E836" s="212" t="s">
        <v>4001</v>
      </c>
      <c r="F836" s="212" t="s">
        <v>3786</v>
      </c>
      <c r="G836" s="212" t="n">
        <v>160</v>
      </c>
      <c r="H836" s="212" t="s">
        <v>120</v>
      </c>
      <c r="I836" s="250" t="n">
        <v>126.2</v>
      </c>
    </row>
    <row r="837" customFormat="false" ht="13.8" hidden="false" customHeight="false" outlineLevel="0" collapsed="false">
      <c r="A837" s="218"/>
      <c r="B837" s="251"/>
      <c r="C837" s="251"/>
      <c r="D837" s="251"/>
      <c r="E837" s="212" t="s">
        <v>4008</v>
      </c>
      <c r="F837" s="212" t="s">
        <v>3786</v>
      </c>
      <c r="G837" s="212" t="n">
        <v>160</v>
      </c>
      <c r="H837" s="212" t="s">
        <v>120</v>
      </c>
      <c r="I837" s="250" t="n">
        <v>134.49</v>
      </c>
    </row>
    <row r="838" customFormat="false" ht="13.8" hidden="false" customHeight="false" outlineLevel="0" collapsed="false">
      <c r="A838" s="218"/>
      <c r="B838" s="251"/>
      <c r="C838" s="251"/>
      <c r="D838" s="251"/>
      <c r="E838" s="212" t="s">
        <v>4014</v>
      </c>
      <c r="F838" s="212" t="s">
        <v>3786</v>
      </c>
      <c r="G838" s="212" t="n">
        <v>160</v>
      </c>
      <c r="H838" s="212" t="s">
        <v>120</v>
      </c>
      <c r="I838" s="250" t="n">
        <v>11.25</v>
      </c>
    </row>
    <row r="839" customFormat="false" ht="13.8" hidden="false" customHeight="false" outlineLevel="0" collapsed="false">
      <c r="A839" s="218"/>
      <c r="B839" s="251"/>
      <c r="C839" s="251"/>
      <c r="D839" s="251"/>
      <c r="E839" s="212" t="s">
        <v>4019</v>
      </c>
      <c r="F839" s="212" t="s">
        <v>3786</v>
      </c>
      <c r="G839" s="212" t="n">
        <v>160</v>
      </c>
      <c r="H839" s="212" t="s">
        <v>120</v>
      </c>
      <c r="I839" s="250" t="n">
        <v>6.56</v>
      </c>
    </row>
    <row r="840" customFormat="false" ht="13.8" hidden="false" customHeight="false" outlineLevel="0" collapsed="false">
      <c r="A840" s="218"/>
      <c r="B840" s="251"/>
      <c r="C840" s="251"/>
      <c r="D840" s="251"/>
      <c r="E840" s="212" t="s">
        <v>4021</v>
      </c>
      <c r="F840" s="212" t="s">
        <v>3786</v>
      </c>
      <c r="G840" s="212" t="n">
        <v>160</v>
      </c>
      <c r="H840" s="212" t="s">
        <v>120</v>
      </c>
      <c r="I840" s="250" t="n">
        <v>42.9</v>
      </c>
    </row>
    <row r="841" customFormat="false" ht="13.8" hidden="false" customHeight="false" outlineLevel="0" collapsed="false">
      <c r="A841" s="218"/>
      <c r="B841" s="251"/>
      <c r="C841" s="251"/>
      <c r="D841" s="251"/>
      <c r="E841" s="212" t="s">
        <v>4025</v>
      </c>
      <c r="F841" s="212" t="s">
        <v>3786</v>
      </c>
      <c r="G841" s="212" t="n">
        <v>160</v>
      </c>
      <c r="H841" s="212" t="s">
        <v>120</v>
      </c>
      <c r="I841" s="250" t="n">
        <v>48.32</v>
      </c>
    </row>
    <row r="842" customFormat="false" ht="13.8" hidden="false" customHeight="false" outlineLevel="0" collapsed="false">
      <c r="A842" s="218"/>
      <c r="B842" s="251"/>
      <c r="C842" s="251"/>
      <c r="D842" s="251"/>
      <c r="E842" s="212" t="s">
        <v>4029</v>
      </c>
      <c r="F842" s="212" t="s">
        <v>3786</v>
      </c>
      <c r="G842" s="212" t="n">
        <v>225</v>
      </c>
      <c r="H842" s="212" t="s">
        <v>120</v>
      </c>
      <c r="I842" s="250" t="n">
        <v>198.93</v>
      </c>
    </row>
    <row r="843" customFormat="false" ht="13.8" hidden="false" customHeight="false" outlineLevel="0" collapsed="false">
      <c r="A843" s="218"/>
      <c r="B843" s="251"/>
      <c r="C843" s="251"/>
      <c r="D843" s="251"/>
      <c r="E843" s="212" t="s">
        <v>4034</v>
      </c>
      <c r="F843" s="212" t="s">
        <v>3786</v>
      </c>
      <c r="G843" s="212" t="n">
        <v>63</v>
      </c>
      <c r="H843" s="212" t="s">
        <v>120</v>
      </c>
      <c r="I843" s="250" t="n">
        <v>139.85</v>
      </c>
    </row>
    <row r="844" customFormat="false" ht="13.8" hidden="false" customHeight="false" outlineLevel="0" collapsed="false">
      <c r="A844" s="218"/>
      <c r="B844" s="251"/>
      <c r="C844" s="251"/>
      <c r="D844" s="251"/>
      <c r="E844" s="212" t="s">
        <v>4038</v>
      </c>
      <c r="F844" s="212" t="s">
        <v>3786</v>
      </c>
      <c r="G844" s="212" t="n">
        <v>63</v>
      </c>
      <c r="H844" s="212" t="s">
        <v>120</v>
      </c>
      <c r="I844" s="250" t="n">
        <v>47.56</v>
      </c>
    </row>
    <row r="845" customFormat="false" ht="13.8" hidden="false" customHeight="false" outlineLevel="0" collapsed="false">
      <c r="A845" s="218"/>
      <c r="B845" s="251"/>
      <c r="C845" s="251"/>
      <c r="D845" s="251"/>
      <c r="E845" s="212" t="s">
        <v>4043</v>
      </c>
      <c r="F845" s="212" t="s">
        <v>3786</v>
      </c>
      <c r="G845" s="212" t="n">
        <v>63</v>
      </c>
      <c r="H845" s="212" t="s">
        <v>120</v>
      </c>
      <c r="I845" s="250" t="n">
        <v>2.92</v>
      </c>
    </row>
    <row r="846" customFormat="false" ht="13.8" hidden="false" customHeight="false" outlineLevel="0" collapsed="false">
      <c r="A846" s="218"/>
      <c r="B846" s="251"/>
      <c r="C846" s="251"/>
      <c r="D846" s="251"/>
      <c r="E846" s="212" t="s">
        <v>4046</v>
      </c>
      <c r="F846" s="212" t="s">
        <v>3786</v>
      </c>
      <c r="G846" s="212" t="n">
        <v>160</v>
      </c>
      <c r="H846" s="212" t="s">
        <v>120</v>
      </c>
      <c r="I846" s="250" t="n">
        <v>21.09</v>
      </c>
    </row>
    <row r="847" customFormat="false" ht="13.8" hidden="false" customHeight="false" outlineLevel="0" collapsed="false">
      <c r="A847" s="218"/>
      <c r="B847" s="251"/>
      <c r="C847" s="251"/>
      <c r="D847" s="251"/>
      <c r="E847" s="212" t="s">
        <v>4048</v>
      </c>
      <c r="F847" s="212" t="s">
        <v>3786</v>
      </c>
      <c r="G847" s="212" t="n">
        <v>160</v>
      </c>
      <c r="H847" s="212" t="s">
        <v>120</v>
      </c>
      <c r="I847" s="250" t="n">
        <v>207.89</v>
      </c>
    </row>
    <row r="848" customFormat="false" ht="13.8" hidden="false" customHeight="false" outlineLevel="0" collapsed="false">
      <c r="A848" s="218"/>
      <c r="B848" s="251"/>
      <c r="C848" s="251"/>
      <c r="D848" s="251"/>
      <c r="E848" s="212" t="s">
        <v>4051</v>
      </c>
      <c r="F848" s="212" t="s">
        <v>3786</v>
      </c>
      <c r="G848" s="212" t="n">
        <v>63</v>
      </c>
      <c r="H848" s="212" t="s">
        <v>120</v>
      </c>
      <c r="I848" s="250" t="n">
        <v>150.81</v>
      </c>
    </row>
    <row r="849" customFormat="false" ht="13.8" hidden="false" customHeight="false" outlineLevel="0" collapsed="false">
      <c r="A849" s="218"/>
      <c r="B849" s="251"/>
      <c r="C849" s="251"/>
      <c r="D849" s="251"/>
      <c r="E849" s="212" t="s">
        <v>4055</v>
      </c>
      <c r="F849" s="212" t="s">
        <v>3786</v>
      </c>
      <c r="G849" s="212" t="n">
        <v>63</v>
      </c>
      <c r="H849" s="212" t="s">
        <v>120</v>
      </c>
      <c r="I849" s="250" t="n">
        <v>70.42</v>
      </c>
    </row>
    <row r="850" customFormat="false" ht="13.8" hidden="false" customHeight="false" outlineLevel="0" collapsed="false">
      <c r="A850" s="218"/>
      <c r="B850" s="251"/>
      <c r="C850" s="251"/>
      <c r="D850" s="251"/>
      <c r="E850" s="212" t="s">
        <v>4057</v>
      </c>
      <c r="F850" s="212" t="s">
        <v>3786</v>
      </c>
      <c r="G850" s="212" t="n">
        <v>160</v>
      </c>
      <c r="H850" s="212" t="s">
        <v>120</v>
      </c>
      <c r="I850" s="250" t="n">
        <v>79.44</v>
      </c>
    </row>
    <row r="851" customFormat="false" ht="13.8" hidden="false" customHeight="false" outlineLevel="0" collapsed="false">
      <c r="A851" s="218"/>
      <c r="B851" s="251"/>
      <c r="C851" s="251"/>
      <c r="D851" s="251"/>
      <c r="E851" s="212" t="s">
        <v>4061</v>
      </c>
      <c r="F851" s="212" t="s">
        <v>3786</v>
      </c>
      <c r="G851" s="212" t="n">
        <v>63</v>
      </c>
      <c r="H851" s="212" t="s">
        <v>120</v>
      </c>
      <c r="I851" s="250" t="n">
        <v>45.03</v>
      </c>
    </row>
    <row r="852" customFormat="false" ht="13.8" hidden="false" customHeight="false" outlineLevel="0" collapsed="false">
      <c r="A852" s="218"/>
      <c r="B852" s="251"/>
      <c r="C852" s="251"/>
      <c r="D852" s="251"/>
      <c r="E852" s="212" t="s">
        <v>4065</v>
      </c>
      <c r="F852" s="212" t="s">
        <v>3786</v>
      </c>
      <c r="G852" s="212" t="n">
        <v>225</v>
      </c>
      <c r="H852" s="212" t="s">
        <v>120</v>
      </c>
      <c r="I852" s="250" t="n">
        <v>5.34</v>
      </c>
    </row>
    <row r="853" customFormat="false" ht="13.8" hidden="false" customHeight="false" outlineLevel="0" collapsed="false">
      <c r="A853" s="218"/>
      <c r="B853" s="251"/>
      <c r="C853" s="251"/>
      <c r="D853" s="251"/>
      <c r="E853" s="212" t="s">
        <v>4069</v>
      </c>
      <c r="F853" s="212" t="s">
        <v>3786</v>
      </c>
      <c r="G853" s="212" t="n">
        <v>63</v>
      </c>
      <c r="H853" s="212" t="s">
        <v>120</v>
      </c>
      <c r="I853" s="250" t="n">
        <v>36.92</v>
      </c>
    </row>
    <row r="854" customFormat="false" ht="13.8" hidden="false" customHeight="false" outlineLevel="0" collapsed="false">
      <c r="A854" s="218"/>
      <c r="B854" s="251"/>
      <c r="C854" s="251"/>
      <c r="D854" s="251"/>
      <c r="E854" s="212" t="s">
        <v>4073</v>
      </c>
      <c r="F854" s="212" t="s">
        <v>3786</v>
      </c>
      <c r="G854" s="212" t="n">
        <v>160</v>
      </c>
      <c r="H854" s="212" t="s">
        <v>120</v>
      </c>
      <c r="I854" s="250" t="n">
        <v>8.22</v>
      </c>
    </row>
    <row r="855" customFormat="false" ht="13.8" hidden="false" customHeight="false" outlineLevel="0" collapsed="false">
      <c r="A855" s="218"/>
      <c r="B855" s="251"/>
      <c r="C855" s="251"/>
      <c r="D855" s="251"/>
      <c r="E855" s="212" t="s">
        <v>4076</v>
      </c>
      <c r="F855" s="212" t="s">
        <v>3786</v>
      </c>
      <c r="G855" s="212" t="n">
        <v>225</v>
      </c>
      <c r="H855" s="212" t="s">
        <v>120</v>
      </c>
      <c r="I855" s="250" t="n">
        <v>46.36</v>
      </c>
    </row>
    <row r="856" customFormat="false" ht="13.8" hidden="false" customHeight="false" outlineLevel="0" collapsed="false">
      <c r="A856" s="218"/>
      <c r="B856" s="251"/>
      <c r="C856" s="251"/>
      <c r="D856" s="251"/>
      <c r="E856" s="212" t="s">
        <v>4079</v>
      </c>
      <c r="F856" s="212" t="s">
        <v>3786</v>
      </c>
      <c r="G856" s="212" t="n">
        <v>160</v>
      </c>
      <c r="H856" s="212" t="s">
        <v>120</v>
      </c>
      <c r="I856" s="250" t="n">
        <v>3.9</v>
      </c>
    </row>
    <row r="857" customFormat="false" ht="13.8" hidden="false" customHeight="false" outlineLevel="0" collapsed="false">
      <c r="A857" s="218"/>
      <c r="B857" s="251"/>
      <c r="C857" s="251"/>
      <c r="D857" s="251"/>
      <c r="E857" s="212" t="s">
        <v>4082</v>
      </c>
      <c r="F857" s="212" t="s">
        <v>3786</v>
      </c>
      <c r="G857" s="212" t="n">
        <v>160</v>
      </c>
      <c r="H857" s="212" t="s">
        <v>120</v>
      </c>
      <c r="I857" s="250" t="n">
        <v>10.86</v>
      </c>
    </row>
    <row r="858" customFormat="false" ht="13.8" hidden="false" customHeight="false" outlineLevel="0" collapsed="false">
      <c r="A858" s="218"/>
      <c r="B858" s="251"/>
      <c r="C858" s="251"/>
      <c r="D858" s="251"/>
      <c r="E858" s="212" t="s">
        <v>4084</v>
      </c>
      <c r="F858" s="212" t="s">
        <v>3786</v>
      </c>
      <c r="G858" s="212" t="n">
        <v>160</v>
      </c>
      <c r="H858" s="212" t="s">
        <v>120</v>
      </c>
      <c r="I858" s="250" t="n">
        <v>8.3</v>
      </c>
    </row>
    <row r="859" customFormat="false" ht="13.8" hidden="false" customHeight="false" outlineLevel="0" collapsed="false">
      <c r="A859" s="218"/>
      <c r="B859" s="251"/>
      <c r="C859" s="251"/>
      <c r="D859" s="251"/>
      <c r="E859" s="212" t="s">
        <v>4087</v>
      </c>
      <c r="F859" s="212" t="s">
        <v>3786</v>
      </c>
      <c r="G859" s="212" t="n">
        <v>160</v>
      </c>
      <c r="H859" s="212" t="s">
        <v>120</v>
      </c>
      <c r="I859" s="250" t="n">
        <v>8.07</v>
      </c>
    </row>
    <row r="860" customFormat="false" ht="13.8" hidden="false" customHeight="false" outlineLevel="0" collapsed="false">
      <c r="A860" s="218"/>
      <c r="B860" s="251"/>
      <c r="C860" s="251"/>
      <c r="D860" s="251"/>
      <c r="E860" s="212" t="s">
        <v>4090</v>
      </c>
      <c r="F860" s="212" t="s">
        <v>3786</v>
      </c>
      <c r="G860" s="212" t="n">
        <v>63</v>
      </c>
      <c r="H860" s="212" t="s">
        <v>120</v>
      </c>
      <c r="I860" s="250" t="n">
        <v>182.62</v>
      </c>
    </row>
    <row r="861" customFormat="false" ht="13.8" hidden="false" customHeight="false" outlineLevel="0" collapsed="false">
      <c r="A861" s="218"/>
      <c r="B861" s="251"/>
      <c r="C861" s="251"/>
      <c r="D861" s="251"/>
      <c r="E861" s="212" t="s">
        <v>4222</v>
      </c>
      <c r="F861" s="212" t="s">
        <v>4221</v>
      </c>
      <c r="G861" s="212" t="n">
        <v>90</v>
      </c>
      <c r="H861" s="212" t="s">
        <v>120</v>
      </c>
      <c r="I861" s="250" t="n">
        <v>158.7</v>
      </c>
    </row>
    <row r="862" customFormat="false" ht="13.8" hidden="false" customHeight="false" outlineLevel="0" collapsed="false">
      <c r="A862" s="218"/>
      <c r="B862" s="251"/>
      <c r="C862" s="251"/>
      <c r="D862" s="251"/>
      <c r="E862" s="212" t="s">
        <v>4229</v>
      </c>
      <c r="F862" s="212" t="s">
        <v>4221</v>
      </c>
      <c r="G862" s="212" t="n">
        <v>90</v>
      </c>
      <c r="H862" s="212" t="s">
        <v>120</v>
      </c>
      <c r="I862" s="250" t="n">
        <v>49.54</v>
      </c>
    </row>
    <row r="863" customFormat="false" ht="13.8" hidden="false" customHeight="false" outlineLevel="0" collapsed="false">
      <c r="A863" s="218"/>
      <c r="B863" s="251"/>
      <c r="C863" s="251"/>
      <c r="D863" s="251"/>
      <c r="E863" s="212" t="s">
        <v>4233</v>
      </c>
      <c r="F863" s="212" t="s">
        <v>4221</v>
      </c>
      <c r="G863" s="212" t="n">
        <v>160</v>
      </c>
      <c r="H863" s="212" t="s">
        <v>120</v>
      </c>
      <c r="I863" s="250" t="n">
        <v>2.78</v>
      </c>
    </row>
    <row r="864" customFormat="false" ht="13.8" hidden="false" customHeight="false" outlineLevel="0" collapsed="false">
      <c r="A864" s="218"/>
      <c r="B864" s="251"/>
      <c r="C864" s="251"/>
      <c r="D864" s="251"/>
      <c r="E864" s="212" t="s">
        <v>4238</v>
      </c>
      <c r="F864" s="212" t="s">
        <v>4221</v>
      </c>
      <c r="G864" s="212" t="n">
        <v>160</v>
      </c>
      <c r="H864" s="212" t="s">
        <v>120</v>
      </c>
      <c r="I864" s="250" t="n">
        <v>2.99</v>
      </c>
    </row>
    <row r="865" customFormat="false" ht="13.8" hidden="false" customHeight="false" outlineLevel="0" collapsed="false">
      <c r="A865" s="218"/>
      <c r="B865" s="251"/>
      <c r="C865" s="251"/>
      <c r="D865" s="251"/>
      <c r="E865" s="212" t="s">
        <v>4242</v>
      </c>
      <c r="F865" s="212" t="s">
        <v>4221</v>
      </c>
      <c r="G865" s="212" t="n">
        <v>160</v>
      </c>
      <c r="H865" s="212" t="s">
        <v>120</v>
      </c>
      <c r="I865" s="250" t="n">
        <v>3.31</v>
      </c>
    </row>
    <row r="866" customFormat="false" ht="13.8" hidden="false" customHeight="false" outlineLevel="0" collapsed="false">
      <c r="A866" s="218"/>
      <c r="B866" s="251"/>
      <c r="C866" s="251"/>
      <c r="D866" s="251"/>
      <c r="E866" s="212" t="s">
        <v>4245</v>
      </c>
      <c r="F866" s="212" t="s">
        <v>4221</v>
      </c>
      <c r="G866" s="212" t="n">
        <v>160</v>
      </c>
      <c r="H866" s="212" t="s">
        <v>120</v>
      </c>
      <c r="I866" s="250" t="n">
        <v>2.97</v>
      </c>
    </row>
    <row r="867" customFormat="false" ht="13.8" hidden="false" customHeight="false" outlineLevel="0" collapsed="false">
      <c r="A867" s="218"/>
      <c r="B867" s="251"/>
      <c r="C867" s="251"/>
      <c r="D867" s="251"/>
      <c r="E867" s="212" t="s">
        <v>4247</v>
      </c>
      <c r="F867" s="212" t="s">
        <v>4221</v>
      </c>
      <c r="G867" s="212" t="n">
        <v>63</v>
      </c>
      <c r="H867" s="212" t="s">
        <v>120</v>
      </c>
      <c r="I867" s="250" t="n">
        <v>8.36</v>
      </c>
    </row>
    <row r="868" customFormat="false" ht="13.8" hidden="false" customHeight="false" outlineLevel="0" collapsed="false">
      <c r="A868" s="218"/>
      <c r="B868" s="251"/>
      <c r="C868" s="251"/>
      <c r="D868" s="251"/>
      <c r="E868" s="212" t="s">
        <v>4250</v>
      </c>
      <c r="F868" s="212" t="s">
        <v>4221</v>
      </c>
      <c r="G868" s="212" t="n">
        <v>90</v>
      </c>
      <c r="H868" s="212" t="s">
        <v>120</v>
      </c>
      <c r="I868" s="250" t="n">
        <v>6.66</v>
      </c>
    </row>
    <row r="869" customFormat="false" ht="13.8" hidden="false" customHeight="false" outlineLevel="0" collapsed="false">
      <c r="A869" s="218"/>
      <c r="B869" s="251"/>
      <c r="C869" s="251"/>
      <c r="D869" s="251"/>
      <c r="E869" s="212" t="s">
        <v>4253</v>
      </c>
      <c r="F869" s="212" t="s">
        <v>4221</v>
      </c>
      <c r="G869" s="212" t="n">
        <v>63</v>
      </c>
      <c r="H869" s="212" t="s">
        <v>120</v>
      </c>
      <c r="I869" s="250" t="n">
        <v>128.72</v>
      </c>
    </row>
    <row r="870" customFormat="false" ht="13.8" hidden="false" customHeight="false" outlineLevel="0" collapsed="false">
      <c r="A870" s="218"/>
      <c r="B870" s="251"/>
      <c r="C870" s="251"/>
      <c r="D870" s="251"/>
      <c r="E870" s="212" t="s">
        <v>4257</v>
      </c>
      <c r="F870" s="212" t="s">
        <v>4221</v>
      </c>
      <c r="G870" s="212" t="n">
        <v>160</v>
      </c>
      <c r="H870" s="212" t="s">
        <v>120</v>
      </c>
      <c r="I870" s="250" t="n">
        <v>47.5</v>
      </c>
    </row>
    <row r="871" customFormat="false" ht="13.8" hidden="false" customHeight="false" outlineLevel="0" collapsed="false">
      <c r="A871" s="218"/>
      <c r="B871" s="251"/>
      <c r="C871" s="251"/>
      <c r="D871" s="251"/>
      <c r="E871" s="212" t="s">
        <v>4259</v>
      </c>
      <c r="F871" s="212" t="s">
        <v>4221</v>
      </c>
      <c r="G871" s="212" t="n">
        <v>90</v>
      </c>
      <c r="H871" s="212" t="s">
        <v>120</v>
      </c>
      <c r="I871" s="250" t="n">
        <v>55.2</v>
      </c>
    </row>
    <row r="872" customFormat="false" ht="13.8" hidden="false" customHeight="false" outlineLevel="0" collapsed="false">
      <c r="A872" s="218"/>
      <c r="B872" s="251"/>
      <c r="C872" s="251"/>
      <c r="D872" s="251"/>
      <c r="E872" s="212" t="s">
        <v>4261</v>
      </c>
      <c r="F872" s="212" t="s">
        <v>4221</v>
      </c>
      <c r="G872" s="212" t="n">
        <v>63</v>
      </c>
      <c r="H872" s="212" t="s">
        <v>120</v>
      </c>
      <c r="I872" s="250" t="n">
        <v>44.38</v>
      </c>
    </row>
    <row r="873" customFormat="false" ht="13.8" hidden="false" customHeight="false" outlineLevel="0" collapsed="false">
      <c r="A873" s="218"/>
      <c r="B873" s="251"/>
      <c r="C873" s="251"/>
      <c r="D873" s="251"/>
      <c r="E873" s="212" t="s">
        <v>4266</v>
      </c>
      <c r="F873" s="212" t="s">
        <v>4221</v>
      </c>
      <c r="G873" s="212" t="n">
        <v>90</v>
      </c>
      <c r="H873" s="212" t="s">
        <v>120</v>
      </c>
      <c r="I873" s="250" t="n">
        <v>83.86</v>
      </c>
    </row>
    <row r="874" customFormat="false" ht="13.8" hidden="false" customHeight="false" outlineLevel="0" collapsed="false">
      <c r="A874" s="218"/>
      <c r="B874" s="251"/>
      <c r="C874" s="251"/>
      <c r="D874" s="251"/>
      <c r="E874" s="212" t="s">
        <v>4270</v>
      </c>
      <c r="F874" s="212" t="s">
        <v>4221</v>
      </c>
      <c r="G874" s="212" t="n">
        <v>160</v>
      </c>
      <c r="H874" s="212" t="s">
        <v>120</v>
      </c>
      <c r="I874" s="250" t="n">
        <v>48.34</v>
      </c>
    </row>
    <row r="875" customFormat="false" ht="13.8" hidden="false" customHeight="false" outlineLevel="0" collapsed="false">
      <c r="A875" s="218"/>
      <c r="B875" s="251"/>
      <c r="C875" s="251"/>
      <c r="D875" s="251"/>
      <c r="E875" s="212" t="s">
        <v>4273</v>
      </c>
      <c r="F875" s="212" t="s">
        <v>4221</v>
      </c>
      <c r="G875" s="212" t="n">
        <v>110</v>
      </c>
      <c r="H875" s="212" t="s">
        <v>120</v>
      </c>
      <c r="I875" s="250" t="n">
        <v>42.58</v>
      </c>
    </row>
    <row r="876" customFormat="false" ht="13.8" hidden="false" customHeight="false" outlineLevel="0" collapsed="false">
      <c r="A876" s="218"/>
      <c r="B876" s="251"/>
      <c r="C876" s="251"/>
      <c r="D876" s="251"/>
      <c r="E876" s="212" t="s">
        <v>4277</v>
      </c>
      <c r="F876" s="212" t="s">
        <v>4221</v>
      </c>
      <c r="G876" s="212" t="n">
        <v>110</v>
      </c>
      <c r="H876" s="212" t="s">
        <v>120</v>
      </c>
      <c r="I876" s="250" t="n">
        <v>72.58</v>
      </c>
    </row>
    <row r="877" customFormat="false" ht="13.8" hidden="false" customHeight="false" outlineLevel="0" collapsed="false">
      <c r="A877" s="218"/>
      <c r="B877" s="251"/>
      <c r="C877" s="251"/>
      <c r="D877" s="251"/>
      <c r="E877" s="212" t="s">
        <v>4283</v>
      </c>
      <c r="F877" s="212" t="s">
        <v>4221</v>
      </c>
      <c r="G877" s="212" t="n">
        <v>110</v>
      </c>
      <c r="H877" s="212" t="s">
        <v>120</v>
      </c>
      <c r="I877" s="250" t="n">
        <v>57.04</v>
      </c>
    </row>
    <row r="878" customFormat="false" ht="13.8" hidden="false" customHeight="false" outlineLevel="0" collapsed="false">
      <c r="A878" s="218"/>
      <c r="B878" s="251"/>
      <c r="C878" s="251"/>
      <c r="D878" s="251"/>
      <c r="E878" s="212" t="s">
        <v>4286</v>
      </c>
      <c r="F878" s="212" t="s">
        <v>4221</v>
      </c>
      <c r="G878" s="212" t="n">
        <v>110</v>
      </c>
      <c r="H878" s="212" t="s">
        <v>120</v>
      </c>
      <c r="I878" s="250" t="n">
        <v>42.56</v>
      </c>
    </row>
    <row r="879" customFormat="false" ht="13.8" hidden="false" customHeight="false" outlineLevel="0" collapsed="false">
      <c r="A879" s="218"/>
      <c r="B879" s="251"/>
      <c r="C879" s="251"/>
      <c r="D879" s="251"/>
      <c r="E879" s="212" t="s">
        <v>5237</v>
      </c>
      <c r="F879" s="212" t="s">
        <v>2224</v>
      </c>
      <c r="G879" s="212" t="n">
        <v>355</v>
      </c>
      <c r="H879" s="212" t="s">
        <v>120</v>
      </c>
      <c r="I879" s="250" t="n">
        <v>13.65</v>
      </c>
    </row>
    <row r="880" customFormat="false" ht="13.8" hidden="false" customHeight="false" outlineLevel="0" collapsed="false">
      <c r="A880" s="218"/>
      <c r="B880" s="251"/>
      <c r="C880" s="251"/>
      <c r="D880" s="251"/>
      <c r="E880" s="212" t="s">
        <v>5241</v>
      </c>
      <c r="F880" s="212" t="s">
        <v>2224</v>
      </c>
      <c r="G880" s="212" t="n">
        <v>500</v>
      </c>
      <c r="H880" s="212" t="s">
        <v>120</v>
      </c>
      <c r="I880" s="250" t="n">
        <v>3.7</v>
      </c>
    </row>
    <row r="881" customFormat="false" ht="13.8" hidden="false" customHeight="false" outlineLevel="0" collapsed="false">
      <c r="A881" s="218"/>
      <c r="B881" s="251"/>
      <c r="C881" s="251"/>
      <c r="D881" s="251"/>
      <c r="E881" s="212" t="s">
        <v>5245</v>
      </c>
      <c r="F881" s="212" t="s">
        <v>2224</v>
      </c>
      <c r="G881" s="212" t="n">
        <v>500</v>
      </c>
      <c r="H881" s="212" t="s">
        <v>120</v>
      </c>
      <c r="I881" s="250" t="n">
        <v>3.73</v>
      </c>
    </row>
    <row r="882" customFormat="false" ht="13.8" hidden="false" customHeight="false" outlineLevel="0" collapsed="false">
      <c r="A882" s="218"/>
      <c r="B882" s="251"/>
      <c r="C882" s="251"/>
      <c r="D882" s="251"/>
      <c r="E882" s="212" t="s">
        <v>5248</v>
      </c>
      <c r="F882" s="212" t="s">
        <v>2224</v>
      </c>
      <c r="G882" s="212" t="n">
        <v>500</v>
      </c>
      <c r="H882" s="212" t="s">
        <v>120</v>
      </c>
      <c r="I882" s="250" t="n">
        <v>18.96</v>
      </c>
    </row>
    <row r="883" customFormat="false" ht="13.8" hidden="false" customHeight="false" outlineLevel="0" collapsed="false">
      <c r="A883" s="218"/>
      <c r="B883" s="251"/>
      <c r="C883" s="251"/>
      <c r="D883" s="251"/>
      <c r="E883" s="212" t="s">
        <v>5252</v>
      </c>
      <c r="F883" s="212" t="s">
        <v>5106</v>
      </c>
      <c r="G883" s="212" t="n">
        <v>63</v>
      </c>
      <c r="H883" s="212" t="s">
        <v>120</v>
      </c>
      <c r="I883" s="250" t="n">
        <v>143.58</v>
      </c>
    </row>
    <row r="884" customFormat="false" ht="13.8" hidden="false" customHeight="false" outlineLevel="0" collapsed="false">
      <c r="A884" s="218"/>
      <c r="B884" s="251"/>
      <c r="C884" s="251"/>
      <c r="D884" s="251"/>
      <c r="E884" s="212" t="s">
        <v>5256</v>
      </c>
      <c r="F884" s="212" t="s">
        <v>5106</v>
      </c>
      <c r="G884" s="212" t="n">
        <v>160</v>
      </c>
      <c r="H884" s="212" t="s">
        <v>120</v>
      </c>
      <c r="I884" s="250" t="n">
        <v>6.78</v>
      </c>
    </row>
    <row r="885" customFormat="false" ht="13.8" hidden="false" customHeight="false" outlineLevel="0" collapsed="false">
      <c r="A885" s="218"/>
      <c r="B885" s="251"/>
      <c r="C885" s="251"/>
      <c r="D885" s="251"/>
      <c r="E885" s="212" t="s">
        <v>5258</v>
      </c>
      <c r="F885" s="212" t="s">
        <v>5106</v>
      </c>
      <c r="G885" s="212" t="n">
        <v>90</v>
      </c>
      <c r="H885" s="212" t="s">
        <v>120</v>
      </c>
      <c r="I885" s="250" t="n">
        <v>210.93</v>
      </c>
    </row>
    <row r="886" customFormat="false" ht="13.8" hidden="false" customHeight="false" outlineLevel="0" collapsed="false">
      <c r="A886" s="218"/>
      <c r="B886" s="251"/>
      <c r="C886" s="251"/>
      <c r="D886" s="251"/>
      <c r="E886" s="212" t="s">
        <v>5262</v>
      </c>
      <c r="F886" s="212" t="s">
        <v>5106</v>
      </c>
      <c r="G886" s="212" t="n">
        <v>90</v>
      </c>
      <c r="H886" s="212" t="s">
        <v>120</v>
      </c>
      <c r="I886" s="250" t="n">
        <v>47.83</v>
      </c>
    </row>
    <row r="887" customFormat="false" ht="13.8" hidden="false" customHeight="false" outlineLevel="0" collapsed="false">
      <c r="A887" s="218"/>
      <c r="B887" s="251"/>
      <c r="C887" s="251"/>
      <c r="D887" s="251"/>
      <c r="E887" s="212" t="s">
        <v>5266</v>
      </c>
      <c r="F887" s="212" t="s">
        <v>5106</v>
      </c>
      <c r="G887" s="212" t="n">
        <v>90</v>
      </c>
      <c r="H887" s="212" t="s">
        <v>120</v>
      </c>
      <c r="I887" s="250" t="n">
        <v>100.45</v>
      </c>
    </row>
    <row r="888" customFormat="false" ht="13.8" hidden="false" customHeight="false" outlineLevel="0" collapsed="false">
      <c r="A888" s="218"/>
      <c r="B888" s="251"/>
      <c r="C888" s="251"/>
      <c r="D888" s="251"/>
      <c r="E888" s="212" t="s">
        <v>5271</v>
      </c>
      <c r="F888" s="212" t="s">
        <v>5106</v>
      </c>
      <c r="G888" s="212" t="n">
        <v>90</v>
      </c>
      <c r="H888" s="212" t="s">
        <v>120</v>
      </c>
      <c r="I888" s="250" t="n">
        <v>122.1</v>
      </c>
    </row>
    <row r="889" customFormat="false" ht="13.8" hidden="false" customHeight="false" outlineLevel="0" collapsed="false">
      <c r="A889" s="218"/>
      <c r="B889" s="251"/>
      <c r="C889" s="251"/>
      <c r="D889" s="251"/>
      <c r="E889" s="212" t="s">
        <v>5276</v>
      </c>
      <c r="F889" s="212" t="s">
        <v>5106</v>
      </c>
      <c r="G889" s="212" t="n">
        <v>90</v>
      </c>
      <c r="H889" s="212" t="s">
        <v>120</v>
      </c>
      <c r="I889" s="250" t="n">
        <v>1.57</v>
      </c>
    </row>
    <row r="890" customFormat="false" ht="13.8" hidden="false" customHeight="false" outlineLevel="0" collapsed="false">
      <c r="A890" s="218"/>
      <c r="B890" s="251"/>
      <c r="C890" s="251"/>
      <c r="D890" s="251"/>
      <c r="E890" s="212" t="s">
        <v>5279</v>
      </c>
      <c r="F890" s="212" t="s">
        <v>5106</v>
      </c>
      <c r="G890" s="212" t="n">
        <v>90</v>
      </c>
      <c r="H890" s="212" t="s">
        <v>120</v>
      </c>
      <c r="I890" s="250" t="n">
        <v>3.04</v>
      </c>
    </row>
    <row r="891" customFormat="false" ht="13.8" hidden="false" customHeight="false" outlineLevel="0" collapsed="false">
      <c r="A891" s="218"/>
      <c r="B891" s="251"/>
      <c r="C891" s="251"/>
      <c r="D891" s="251"/>
      <c r="E891" s="212" t="s">
        <v>5281</v>
      </c>
      <c r="F891" s="212" t="s">
        <v>5106</v>
      </c>
      <c r="G891" s="212" t="n">
        <v>90</v>
      </c>
      <c r="H891" s="212" t="s">
        <v>120</v>
      </c>
      <c r="I891" s="250" t="n">
        <v>48.81</v>
      </c>
    </row>
    <row r="892" customFormat="false" ht="13.8" hidden="false" customHeight="false" outlineLevel="0" collapsed="false">
      <c r="A892" s="218"/>
      <c r="B892" s="251"/>
      <c r="C892" s="251"/>
      <c r="D892" s="251"/>
      <c r="E892" s="212" t="s">
        <v>5285</v>
      </c>
      <c r="F892" s="212" t="s">
        <v>5106</v>
      </c>
      <c r="G892" s="212" t="n">
        <v>90</v>
      </c>
      <c r="H892" s="212" t="s">
        <v>120</v>
      </c>
      <c r="I892" s="250" t="n">
        <v>47.36</v>
      </c>
    </row>
    <row r="893" customFormat="false" ht="13.8" hidden="false" customHeight="false" outlineLevel="0" collapsed="false">
      <c r="A893" s="218"/>
      <c r="B893" s="251"/>
      <c r="C893" s="251"/>
      <c r="D893" s="251"/>
      <c r="E893" s="212" t="s">
        <v>5289</v>
      </c>
      <c r="F893" s="212" t="s">
        <v>5106</v>
      </c>
      <c r="G893" s="212" t="n">
        <v>63</v>
      </c>
      <c r="H893" s="212" t="s">
        <v>120</v>
      </c>
      <c r="I893" s="250" t="n">
        <v>54.12</v>
      </c>
    </row>
    <row r="894" customFormat="false" ht="13.8" hidden="false" customHeight="false" outlineLevel="0" collapsed="false">
      <c r="A894" s="218"/>
      <c r="B894" s="251"/>
      <c r="C894" s="251"/>
      <c r="D894" s="251"/>
      <c r="E894" s="212" t="s">
        <v>5293</v>
      </c>
      <c r="F894" s="212" t="s">
        <v>5106</v>
      </c>
      <c r="G894" s="212" t="n">
        <v>90</v>
      </c>
      <c r="H894" s="212" t="s">
        <v>120</v>
      </c>
      <c r="I894" s="250" t="n">
        <v>40.36</v>
      </c>
    </row>
    <row r="895" customFormat="false" ht="13.8" hidden="false" customHeight="false" outlineLevel="0" collapsed="false">
      <c r="A895" s="218"/>
      <c r="B895" s="251"/>
      <c r="C895" s="251"/>
      <c r="D895" s="251"/>
      <c r="E895" s="212" t="s">
        <v>5296</v>
      </c>
      <c r="F895" s="212" t="s">
        <v>5106</v>
      </c>
      <c r="G895" s="212" t="n">
        <v>63</v>
      </c>
      <c r="H895" s="212" t="s">
        <v>120</v>
      </c>
      <c r="I895" s="250" t="n">
        <v>137.19</v>
      </c>
    </row>
    <row r="896" customFormat="false" ht="13.8" hidden="false" customHeight="false" outlineLevel="0" collapsed="false">
      <c r="A896" s="218"/>
      <c r="B896" s="251"/>
      <c r="C896" s="251"/>
      <c r="D896" s="251"/>
      <c r="E896" s="212" t="s">
        <v>5300</v>
      </c>
      <c r="F896" s="212" t="s">
        <v>5106</v>
      </c>
      <c r="G896" s="212" t="n">
        <v>63</v>
      </c>
      <c r="H896" s="212" t="s">
        <v>120</v>
      </c>
      <c r="I896" s="250" t="n">
        <v>135.37</v>
      </c>
    </row>
    <row r="897" customFormat="false" ht="13.8" hidden="false" customHeight="false" outlineLevel="0" collapsed="false">
      <c r="A897" s="218"/>
      <c r="B897" s="251"/>
      <c r="C897" s="251"/>
      <c r="D897" s="251"/>
      <c r="E897" s="212" t="s">
        <v>5304</v>
      </c>
      <c r="F897" s="212" t="s">
        <v>5106</v>
      </c>
      <c r="G897" s="212" t="n">
        <v>90</v>
      </c>
      <c r="H897" s="212" t="s">
        <v>120</v>
      </c>
      <c r="I897" s="250" t="n">
        <v>38.6</v>
      </c>
    </row>
    <row r="898" customFormat="false" ht="13.8" hidden="false" customHeight="false" outlineLevel="0" collapsed="false">
      <c r="A898" s="218"/>
      <c r="B898" s="251"/>
      <c r="C898" s="251"/>
      <c r="D898" s="251"/>
      <c r="E898" s="212" t="s">
        <v>5308</v>
      </c>
      <c r="F898" s="212" t="s">
        <v>5106</v>
      </c>
      <c r="G898" s="212" t="n">
        <v>90</v>
      </c>
      <c r="H898" s="212" t="s">
        <v>120</v>
      </c>
      <c r="I898" s="250" t="n">
        <v>45.34</v>
      </c>
    </row>
    <row r="899" customFormat="false" ht="13.8" hidden="false" customHeight="false" outlineLevel="0" collapsed="false">
      <c r="A899" s="218"/>
      <c r="B899" s="251"/>
      <c r="C899" s="251"/>
      <c r="D899" s="251"/>
      <c r="E899" s="212" t="s">
        <v>5311</v>
      </c>
      <c r="F899" s="212" t="s">
        <v>5106</v>
      </c>
      <c r="G899" s="212" t="n">
        <v>63</v>
      </c>
      <c r="H899" s="212" t="s">
        <v>120</v>
      </c>
      <c r="I899" s="250" t="n">
        <v>152.49</v>
      </c>
    </row>
    <row r="900" customFormat="false" ht="13.8" hidden="false" customHeight="false" outlineLevel="0" collapsed="false">
      <c r="A900" s="218"/>
      <c r="B900" s="251"/>
      <c r="C900" s="251"/>
      <c r="D900" s="251"/>
      <c r="E900" s="212" t="s">
        <v>5315</v>
      </c>
      <c r="F900" s="212" t="s">
        <v>5106</v>
      </c>
      <c r="G900" s="212" t="n">
        <v>90</v>
      </c>
      <c r="H900" s="212" t="s">
        <v>120</v>
      </c>
      <c r="I900" s="250" t="n">
        <v>8.79</v>
      </c>
    </row>
    <row r="901" customFormat="false" ht="13.8" hidden="false" customHeight="false" outlineLevel="0" collapsed="false">
      <c r="A901" s="218"/>
      <c r="B901" s="251"/>
      <c r="C901" s="251"/>
      <c r="D901" s="251"/>
      <c r="E901" s="212" t="s">
        <v>5318</v>
      </c>
      <c r="F901" s="212" t="s">
        <v>5106</v>
      </c>
      <c r="G901" s="212" t="n">
        <v>90</v>
      </c>
      <c r="H901" s="212" t="s">
        <v>120</v>
      </c>
      <c r="I901" s="250" t="n">
        <v>7.97</v>
      </c>
    </row>
    <row r="902" customFormat="false" ht="13.8" hidden="false" customHeight="false" outlineLevel="0" collapsed="false">
      <c r="A902" s="218"/>
      <c r="B902" s="251"/>
      <c r="C902" s="251"/>
      <c r="D902" s="251"/>
      <c r="E902" s="212" t="s">
        <v>5321</v>
      </c>
      <c r="F902" s="212" t="s">
        <v>5106</v>
      </c>
      <c r="G902" s="212" t="n">
        <v>160</v>
      </c>
      <c r="H902" s="212" t="s">
        <v>120</v>
      </c>
      <c r="I902" s="250" t="n">
        <v>1.93</v>
      </c>
    </row>
    <row r="903" customFormat="false" ht="13.8" hidden="false" customHeight="false" outlineLevel="0" collapsed="false">
      <c r="A903" s="218"/>
      <c r="B903" s="251"/>
      <c r="C903" s="251"/>
      <c r="D903" s="251"/>
      <c r="E903" s="212" t="s">
        <v>5325</v>
      </c>
      <c r="F903" s="212" t="s">
        <v>5106</v>
      </c>
      <c r="G903" s="212" t="n">
        <v>63</v>
      </c>
      <c r="H903" s="212" t="s">
        <v>120</v>
      </c>
      <c r="I903" s="250" t="n">
        <v>153.33</v>
      </c>
    </row>
    <row r="904" customFormat="false" ht="13.8" hidden="false" customHeight="false" outlineLevel="0" collapsed="false">
      <c r="A904" s="218"/>
      <c r="B904" s="251"/>
      <c r="C904" s="251"/>
      <c r="D904" s="251"/>
      <c r="E904" s="212" t="s">
        <v>5329</v>
      </c>
      <c r="F904" s="212" t="s">
        <v>5106</v>
      </c>
      <c r="G904" s="212" t="n">
        <v>160</v>
      </c>
      <c r="H904" s="212" t="s">
        <v>120</v>
      </c>
      <c r="I904" s="250" t="n">
        <v>2.8</v>
      </c>
    </row>
    <row r="905" customFormat="false" ht="13.8" hidden="false" customHeight="false" outlineLevel="0" collapsed="false">
      <c r="A905" s="218"/>
      <c r="B905" s="251"/>
      <c r="C905" s="251"/>
      <c r="D905" s="251"/>
      <c r="E905" s="212" t="s">
        <v>5333</v>
      </c>
      <c r="F905" s="212" t="s">
        <v>5106</v>
      </c>
      <c r="G905" s="212" t="n">
        <v>160</v>
      </c>
      <c r="H905" s="212" t="s">
        <v>120</v>
      </c>
      <c r="I905" s="250" t="n">
        <v>17.98</v>
      </c>
    </row>
    <row r="906" customFormat="false" ht="13.8" hidden="false" customHeight="false" outlineLevel="0" collapsed="false">
      <c r="A906" s="218"/>
      <c r="B906" s="251"/>
      <c r="C906" s="251"/>
      <c r="D906" s="251"/>
      <c r="E906" s="212" t="s">
        <v>5337</v>
      </c>
      <c r="F906" s="212" t="s">
        <v>5106</v>
      </c>
      <c r="G906" s="212" t="n">
        <v>160</v>
      </c>
      <c r="H906" s="212" t="s">
        <v>120</v>
      </c>
      <c r="I906" s="250" t="n">
        <v>5.17</v>
      </c>
    </row>
    <row r="907" customFormat="false" ht="13.8" hidden="false" customHeight="false" outlineLevel="0" collapsed="false">
      <c r="A907" s="218"/>
      <c r="B907" s="251"/>
      <c r="C907" s="251"/>
      <c r="D907" s="251"/>
      <c r="E907" s="212" t="s">
        <v>5340</v>
      </c>
      <c r="F907" s="212" t="s">
        <v>5106</v>
      </c>
      <c r="G907" s="212" t="n">
        <v>160</v>
      </c>
      <c r="H907" s="212" t="s">
        <v>120</v>
      </c>
      <c r="I907" s="250" t="n">
        <v>56.42</v>
      </c>
    </row>
    <row r="908" customFormat="false" ht="13.8" hidden="false" customHeight="false" outlineLevel="0" collapsed="false">
      <c r="A908" s="218"/>
      <c r="B908" s="251"/>
      <c r="C908" s="251"/>
      <c r="D908" s="251"/>
      <c r="E908" s="212" t="s">
        <v>5344</v>
      </c>
      <c r="F908" s="212" t="s">
        <v>5106</v>
      </c>
      <c r="G908" s="212" t="n">
        <v>160</v>
      </c>
      <c r="H908" s="212" t="s">
        <v>120</v>
      </c>
      <c r="I908" s="250" t="n">
        <v>5.12</v>
      </c>
    </row>
    <row r="909" customFormat="false" ht="13.8" hidden="false" customHeight="false" outlineLevel="0" collapsed="false">
      <c r="A909" s="218"/>
      <c r="B909" s="251"/>
      <c r="C909" s="251"/>
      <c r="D909" s="251"/>
      <c r="E909" s="212" t="s">
        <v>5347</v>
      </c>
      <c r="F909" s="212" t="s">
        <v>5106</v>
      </c>
      <c r="G909" s="212" t="n">
        <v>160</v>
      </c>
      <c r="H909" s="212" t="s">
        <v>120</v>
      </c>
      <c r="I909" s="250" t="n">
        <v>7.61</v>
      </c>
    </row>
    <row r="910" customFormat="false" ht="13.8" hidden="false" customHeight="false" outlineLevel="0" collapsed="false">
      <c r="A910" s="218"/>
      <c r="B910" s="251"/>
      <c r="C910" s="251"/>
      <c r="D910" s="251"/>
      <c r="E910" s="212" t="s">
        <v>5349</v>
      </c>
      <c r="F910" s="212" t="s">
        <v>5106</v>
      </c>
      <c r="G910" s="212" t="n">
        <v>225</v>
      </c>
      <c r="H910" s="212" t="s">
        <v>120</v>
      </c>
      <c r="I910" s="250" t="n">
        <v>6.41</v>
      </c>
    </row>
    <row r="911" customFormat="false" ht="13.8" hidden="false" customHeight="false" outlineLevel="0" collapsed="false">
      <c r="A911" s="218"/>
      <c r="B911" s="251"/>
      <c r="C911" s="251"/>
      <c r="D911" s="251"/>
      <c r="E911" s="212" t="s">
        <v>5353</v>
      </c>
      <c r="F911" s="212" t="s">
        <v>5106</v>
      </c>
      <c r="G911" s="212" t="n">
        <v>160</v>
      </c>
      <c r="H911" s="212" t="s">
        <v>120</v>
      </c>
      <c r="I911" s="250" t="n">
        <v>49.43</v>
      </c>
    </row>
    <row r="912" customFormat="false" ht="13.8" hidden="false" customHeight="false" outlineLevel="0" collapsed="false">
      <c r="A912" s="218"/>
      <c r="B912" s="251"/>
      <c r="C912" s="251"/>
      <c r="D912" s="251"/>
      <c r="E912" s="212" t="s">
        <v>5358</v>
      </c>
      <c r="F912" s="212" t="s">
        <v>5106</v>
      </c>
      <c r="G912" s="212" t="n">
        <v>250</v>
      </c>
      <c r="H912" s="212" t="s">
        <v>120</v>
      </c>
      <c r="I912" s="250" t="n">
        <v>2.82</v>
      </c>
    </row>
    <row r="913" customFormat="false" ht="13.8" hidden="false" customHeight="false" outlineLevel="0" collapsed="false">
      <c r="A913" s="218"/>
      <c r="B913" s="251"/>
      <c r="C913" s="251"/>
      <c r="D913" s="251"/>
      <c r="E913" s="212" t="s">
        <v>5361</v>
      </c>
      <c r="F913" s="212" t="s">
        <v>5106</v>
      </c>
      <c r="G913" s="212" t="n">
        <v>250</v>
      </c>
      <c r="H913" s="212" t="s">
        <v>120</v>
      </c>
      <c r="I913" s="250" t="n">
        <v>4.24</v>
      </c>
    </row>
    <row r="914" customFormat="false" ht="13.8" hidden="false" customHeight="false" outlineLevel="0" collapsed="false">
      <c r="A914" s="218"/>
      <c r="B914" s="251"/>
      <c r="C914" s="251"/>
      <c r="D914" s="251"/>
      <c r="E914" s="212" t="s">
        <v>5364</v>
      </c>
      <c r="F914" s="212" t="s">
        <v>5106</v>
      </c>
      <c r="G914" s="212" t="n">
        <v>160</v>
      </c>
      <c r="H914" s="212" t="s">
        <v>120</v>
      </c>
      <c r="I914" s="250" t="n">
        <v>5.6</v>
      </c>
    </row>
    <row r="915" customFormat="false" ht="13.8" hidden="false" customHeight="false" outlineLevel="0" collapsed="false">
      <c r="A915" s="218"/>
      <c r="B915" s="251"/>
      <c r="C915" s="251"/>
      <c r="D915" s="251"/>
      <c r="E915" s="212" t="s">
        <v>5366</v>
      </c>
      <c r="F915" s="212" t="s">
        <v>5106</v>
      </c>
      <c r="G915" s="212" t="n">
        <v>63</v>
      </c>
      <c r="H915" s="212" t="s">
        <v>120</v>
      </c>
      <c r="I915" s="250" t="n">
        <v>42.77</v>
      </c>
    </row>
    <row r="916" customFormat="false" ht="13.8" hidden="false" customHeight="false" outlineLevel="0" collapsed="false">
      <c r="A916" s="218"/>
      <c r="B916" s="251"/>
      <c r="C916" s="251"/>
      <c r="D916" s="251"/>
      <c r="E916" s="212" t="s">
        <v>5369</v>
      </c>
      <c r="F916" s="212" t="s">
        <v>5106</v>
      </c>
      <c r="G916" s="212" t="n">
        <v>90</v>
      </c>
      <c r="H916" s="212" t="s">
        <v>120</v>
      </c>
      <c r="I916" s="250" t="n">
        <v>183.46</v>
      </c>
    </row>
    <row r="917" customFormat="false" ht="13.8" hidden="false" customHeight="false" outlineLevel="0" collapsed="false">
      <c r="A917" s="218"/>
      <c r="B917" s="251"/>
      <c r="C917" s="251"/>
      <c r="D917" s="251"/>
      <c r="E917" s="212" t="s">
        <v>5373</v>
      </c>
      <c r="F917" s="212" t="s">
        <v>5106</v>
      </c>
      <c r="G917" s="212" t="n">
        <v>63</v>
      </c>
      <c r="H917" s="212" t="s">
        <v>120</v>
      </c>
      <c r="I917" s="250" t="n">
        <v>51.74</v>
      </c>
    </row>
    <row r="918" customFormat="false" ht="13.8" hidden="false" customHeight="false" outlineLevel="0" collapsed="false">
      <c r="A918" s="218"/>
      <c r="B918" s="251"/>
      <c r="C918" s="251"/>
      <c r="D918" s="251"/>
      <c r="E918" s="212" t="s">
        <v>5376</v>
      </c>
      <c r="F918" s="212" t="s">
        <v>5106</v>
      </c>
      <c r="G918" s="212" t="n">
        <v>63</v>
      </c>
      <c r="H918" s="212" t="s">
        <v>120</v>
      </c>
      <c r="I918" s="250" t="n">
        <v>5.56</v>
      </c>
    </row>
    <row r="919" customFormat="false" ht="13.8" hidden="false" customHeight="false" outlineLevel="0" collapsed="false">
      <c r="A919" s="218"/>
      <c r="B919" s="251"/>
      <c r="C919" s="251"/>
      <c r="D919" s="251"/>
      <c r="E919" s="212" t="s">
        <v>5380</v>
      </c>
      <c r="F919" s="212" t="s">
        <v>5106</v>
      </c>
      <c r="G919" s="212" t="n">
        <v>160</v>
      </c>
      <c r="H919" s="212" t="s">
        <v>120</v>
      </c>
      <c r="I919" s="250" t="n">
        <v>136.57</v>
      </c>
    </row>
    <row r="920" customFormat="false" ht="13.8" hidden="false" customHeight="false" outlineLevel="0" collapsed="false">
      <c r="A920" s="218"/>
      <c r="B920" s="251"/>
      <c r="C920" s="251"/>
      <c r="D920" s="251"/>
      <c r="E920" s="212" t="s">
        <v>5384</v>
      </c>
      <c r="F920" s="212" t="s">
        <v>5106</v>
      </c>
      <c r="G920" s="212" t="n">
        <v>63</v>
      </c>
      <c r="H920" s="212" t="s">
        <v>120</v>
      </c>
      <c r="I920" s="250" t="n">
        <v>157.4</v>
      </c>
    </row>
    <row r="921" customFormat="false" ht="13.8" hidden="false" customHeight="false" outlineLevel="0" collapsed="false">
      <c r="A921" s="218"/>
      <c r="B921" s="251"/>
      <c r="C921" s="251"/>
      <c r="D921" s="251"/>
      <c r="E921" s="212" t="s">
        <v>5388</v>
      </c>
      <c r="F921" s="212" t="s">
        <v>5106</v>
      </c>
      <c r="G921" s="212" t="n">
        <v>63</v>
      </c>
      <c r="H921" s="212" t="s">
        <v>120</v>
      </c>
      <c r="I921" s="250" t="n">
        <v>123.53</v>
      </c>
    </row>
    <row r="922" customFormat="false" ht="13.8" hidden="false" customHeight="false" outlineLevel="0" collapsed="false">
      <c r="A922" s="218"/>
      <c r="B922" s="251"/>
      <c r="C922" s="251"/>
      <c r="D922" s="251"/>
      <c r="E922" s="212" t="s">
        <v>5392</v>
      </c>
      <c r="F922" s="212" t="s">
        <v>5106</v>
      </c>
      <c r="G922" s="212" t="n">
        <v>63</v>
      </c>
      <c r="H922" s="212" t="s">
        <v>120</v>
      </c>
      <c r="I922" s="250" t="n">
        <v>93.39</v>
      </c>
    </row>
    <row r="923" customFormat="false" ht="13.8" hidden="false" customHeight="false" outlineLevel="0" collapsed="false">
      <c r="A923" s="218"/>
      <c r="B923" s="251"/>
      <c r="C923" s="251"/>
      <c r="D923" s="251"/>
      <c r="E923" s="212" t="s">
        <v>5396</v>
      </c>
      <c r="F923" s="212" t="s">
        <v>5106</v>
      </c>
      <c r="G923" s="212" t="n">
        <v>63</v>
      </c>
      <c r="H923" s="212" t="s">
        <v>120</v>
      </c>
      <c r="I923" s="250" t="n">
        <v>46.54</v>
      </c>
    </row>
    <row r="924" customFormat="false" ht="13.8" hidden="false" customHeight="false" outlineLevel="0" collapsed="false">
      <c r="A924" s="218"/>
      <c r="B924" s="251"/>
      <c r="C924" s="251"/>
      <c r="D924" s="251"/>
      <c r="E924" s="212" t="s">
        <v>5399</v>
      </c>
      <c r="F924" s="212" t="s">
        <v>5106</v>
      </c>
      <c r="G924" s="212" t="n">
        <v>63</v>
      </c>
      <c r="H924" s="212" t="s">
        <v>120</v>
      </c>
      <c r="I924" s="250" t="n">
        <v>93.28</v>
      </c>
    </row>
    <row r="925" customFormat="false" ht="13.8" hidden="false" customHeight="false" outlineLevel="0" collapsed="false">
      <c r="A925" s="218"/>
      <c r="B925" s="251"/>
      <c r="C925" s="251"/>
      <c r="D925" s="251"/>
      <c r="E925" s="212" t="s">
        <v>5402</v>
      </c>
      <c r="F925" s="212" t="s">
        <v>5106</v>
      </c>
      <c r="G925" s="212" t="n">
        <v>160</v>
      </c>
      <c r="H925" s="212" t="s">
        <v>120</v>
      </c>
      <c r="I925" s="250" t="n">
        <v>4.41</v>
      </c>
    </row>
    <row r="926" customFormat="false" ht="13.8" hidden="false" customHeight="false" outlineLevel="0" collapsed="false">
      <c r="A926" s="218"/>
      <c r="B926" s="251"/>
      <c r="C926" s="251"/>
      <c r="D926" s="251"/>
      <c r="E926" s="212" t="s">
        <v>5406</v>
      </c>
      <c r="F926" s="212" t="s">
        <v>5106</v>
      </c>
      <c r="G926" s="212" t="n">
        <v>63</v>
      </c>
      <c r="H926" s="212" t="s">
        <v>120</v>
      </c>
      <c r="I926" s="250" t="n">
        <v>0.6</v>
      </c>
    </row>
    <row r="927" customFormat="false" ht="13.8" hidden="false" customHeight="false" outlineLevel="0" collapsed="false">
      <c r="A927" s="218"/>
      <c r="B927" s="251"/>
      <c r="C927" s="251"/>
      <c r="D927" s="251"/>
      <c r="E927" s="212" t="s">
        <v>5983</v>
      </c>
      <c r="F927" s="212" t="s">
        <v>2224</v>
      </c>
      <c r="G927" s="212" t="n">
        <v>355</v>
      </c>
      <c r="H927" s="212" t="s">
        <v>120</v>
      </c>
      <c r="I927" s="250" t="n">
        <v>7.31</v>
      </c>
    </row>
    <row r="928" customFormat="false" ht="13.8" hidden="false" customHeight="false" outlineLevel="0" collapsed="false">
      <c r="A928" s="218"/>
      <c r="B928" s="251"/>
      <c r="C928" s="251"/>
      <c r="D928" s="251"/>
      <c r="E928" s="212" t="s">
        <v>5987</v>
      </c>
      <c r="F928" s="212" t="s">
        <v>2224</v>
      </c>
      <c r="G928" s="212" t="n">
        <v>355</v>
      </c>
      <c r="H928" s="212" t="s">
        <v>120</v>
      </c>
      <c r="I928" s="250" t="n">
        <v>132.17</v>
      </c>
    </row>
    <row r="929" customFormat="false" ht="13.8" hidden="false" customHeight="false" outlineLevel="0" collapsed="false">
      <c r="A929" s="218"/>
      <c r="B929" s="251"/>
      <c r="C929" s="251"/>
      <c r="D929" s="251"/>
      <c r="E929" s="212" t="s">
        <v>5991</v>
      </c>
      <c r="F929" s="212" t="s">
        <v>5700</v>
      </c>
      <c r="G929" s="212" t="n">
        <v>160</v>
      </c>
      <c r="H929" s="212" t="s">
        <v>120</v>
      </c>
      <c r="I929" s="250" t="n">
        <v>43.53</v>
      </c>
    </row>
    <row r="930" customFormat="false" ht="13.8" hidden="false" customHeight="false" outlineLevel="0" collapsed="false">
      <c r="A930" s="218"/>
      <c r="B930" s="251"/>
      <c r="C930" s="251"/>
      <c r="D930" s="251"/>
      <c r="E930" s="212" t="s">
        <v>5992</v>
      </c>
      <c r="F930" s="212" t="s">
        <v>5700</v>
      </c>
      <c r="G930" s="212" t="n">
        <v>160</v>
      </c>
      <c r="H930" s="212" t="s">
        <v>120</v>
      </c>
      <c r="I930" s="250" t="n">
        <v>43.09</v>
      </c>
    </row>
    <row r="931" customFormat="false" ht="13.8" hidden="false" customHeight="false" outlineLevel="0" collapsed="false">
      <c r="A931" s="218"/>
      <c r="B931" s="251"/>
      <c r="C931" s="251"/>
      <c r="D931" s="251"/>
      <c r="E931" s="212" t="s">
        <v>5995</v>
      </c>
      <c r="F931" s="212" t="s">
        <v>5700</v>
      </c>
      <c r="G931" s="212" t="n">
        <v>63</v>
      </c>
      <c r="H931" s="212" t="s">
        <v>120</v>
      </c>
      <c r="I931" s="250" t="n">
        <v>154.83</v>
      </c>
    </row>
    <row r="932" customFormat="false" ht="13.8" hidden="false" customHeight="false" outlineLevel="0" collapsed="false">
      <c r="A932" s="218"/>
      <c r="B932" s="251"/>
      <c r="C932" s="251"/>
      <c r="D932" s="251"/>
      <c r="E932" s="212" t="s">
        <v>5999</v>
      </c>
      <c r="F932" s="212" t="s">
        <v>5700</v>
      </c>
      <c r="G932" s="212" t="n">
        <v>63</v>
      </c>
      <c r="H932" s="212" t="s">
        <v>120</v>
      </c>
      <c r="I932" s="250" t="n">
        <v>1.22</v>
      </c>
    </row>
    <row r="933" customFormat="false" ht="13.8" hidden="false" customHeight="false" outlineLevel="0" collapsed="false">
      <c r="A933" s="218"/>
      <c r="B933" s="251"/>
      <c r="C933" s="251"/>
      <c r="D933" s="251"/>
      <c r="E933" s="212" t="s">
        <v>6002</v>
      </c>
      <c r="F933" s="212" t="s">
        <v>5700</v>
      </c>
      <c r="G933" s="212" t="n">
        <v>63</v>
      </c>
      <c r="H933" s="212" t="s">
        <v>120</v>
      </c>
      <c r="I933" s="250" t="n">
        <v>12.06</v>
      </c>
    </row>
    <row r="934" customFormat="false" ht="13.8" hidden="false" customHeight="false" outlineLevel="0" collapsed="false">
      <c r="A934" s="218"/>
      <c r="B934" s="251"/>
      <c r="C934" s="251"/>
      <c r="D934" s="251"/>
      <c r="E934" s="212" t="s">
        <v>6005</v>
      </c>
      <c r="F934" s="212" t="s">
        <v>5700</v>
      </c>
      <c r="G934" s="212" t="n">
        <v>63</v>
      </c>
      <c r="H934" s="212" t="s">
        <v>120</v>
      </c>
      <c r="I934" s="250" t="n">
        <v>32.42</v>
      </c>
    </row>
    <row r="935" customFormat="false" ht="13.8" hidden="false" customHeight="false" outlineLevel="0" collapsed="false">
      <c r="A935" s="218"/>
      <c r="B935" s="251"/>
      <c r="C935" s="251"/>
      <c r="D935" s="251"/>
      <c r="E935" s="212" t="s">
        <v>6009</v>
      </c>
      <c r="F935" s="212" t="s">
        <v>5700</v>
      </c>
      <c r="G935" s="212" t="n">
        <v>160</v>
      </c>
      <c r="H935" s="212" t="s">
        <v>120</v>
      </c>
      <c r="I935" s="250" t="n">
        <v>49.3</v>
      </c>
    </row>
    <row r="936" customFormat="false" ht="13.8" hidden="false" customHeight="false" outlineLevel="0" collapsed="false">
      <c r="A936" s="218"/>
      <c r="B936" s="251"/>
      <c r="C936" s="251"/>
      <c r="D936" s="251"/>
      <c r="E936" s="212" t="s">
        <v>6013</v>
      </c>
      <c r="F936" s="212" t="s">
        <v>5700</v>
      </c>
      <c r="G936" s="212" t="n">
        <v>63</v>
      </c>
      <c r="H936" s="212" t="s">
        <v>120</v>
      </c>
      <c r="I936" s="250" t="n">
        <v>131.02</v>
      </c>
    </row>
    <row r="937" customFormat="false" ht="13.8" hidden="false" customHeight="false" outlineLevel="0" collapsed="false">
      <c r="A937" s="218"/>
      <c r="B937" s="251"/>
      <c r="C937" s="251"/>
      <c r="D937" s="251"/>
      <c r="E937" s="212" t="s">
        <v>6016</v>
      </c>
      <c r="F937" s="212" t="s">
        <v>5700</v>
      </c>
      <c r="G937" s="212" t="n">
        <v>63</v>
      </c>
      <c r="H937" s="212" t="s">
        <v>120</v>
      </c>
      <c r="I937" s="250" t="n">
        <v>44.45</v>
      </c>
    </row>
    <row r="938" customFormat="false" ht="13.8" hidden="false" customHeight="false" outlineLevel="0" collapsed="false">
      <c r="A938" s="218"/>
      <c r="B938" s="251"/>
      <c r="C938" s="251"/>
      <c r="D938" s="251"/>
      <c r="E938" s="212" t="s">
        <v>6020</v>
      </c>
      <c r="F938" s="212" t="s">
        <v>5700</v>
      </c>
      <c r="G938" s="212" t="n">
        <v>63</v>
      </c>
      <c r="H938" s="212" t="s">
        <v>120</v>
      </c>
      <c r="I938" s="250" t="n">
        <v>34.38</v>
      </c>
    </row>
    <row r="939" customFormat="false" ht="13.8" hidden="false" customHeight="false" outlineLevel="0" collapsed="false">
      <c r="A939" s="218"/>
      <c r="B939" s="251"/>
      <c r="C939" s="251"/>
      <c r="D939" s="251"/>
      <c r="E939" s="212" t="s">
        <v>6024</v>
      </c>
      <c r="F939" s="212" t="s">
        <v>5700</v>
      </c>
      <c r="G939" s="212" t="n">
        <v>160</v>
      </c>
      <c r="H939" s="212" t="s">
        <v>120</v>
      </c>
      <c r="I939" s="250" t="n">
        <v>37.08</v>
      </c>
    </row>
    <row r="940" customFormat="false" ht="13.8" hidden="false" customHeight="false" outlineLevel="0" collapsed="false">
      <c r="A940" s="218"/>
      <c r="B940" s="251"/>
      <c r="C940" s="251"/>
      <c r="D940" s="251"/>
      <c r="E940" s="212" t="s">
        <v>6028</v>
      </c>
      <c r="F940" s="212" t="s">
        <v>5700</v>
      </c>
      <c r="G940" s="212" t="n">
        <v>63</v>
      </c>
      <c r="H940" s="212" t="s">
        <v>120</v>
      </c>
      <c r="I940" s="250" t="n">
        <v>23.05</v>
      </c>
    </row>
    <row r="941" customFormat="false" ht="13.8" hidden="false" customHeight="false" outlineLevel="0" collapsed="false">
      <c r="A941" s="218"/>
      <c r="B941" s="251"/>
      <c r="C941" s="251"/>
      <c r="D941" s="251"/>
      <c r="E941" s="212" t="s">
        <v>6032</v>
      </c>
      <c r="F941" s="212" t="s">
        <v>5700</v>
      </c>
      <c r="G941" s="212" t="n">
        <v>63</v>
      </c>
      <c r="H941" s="212" t="s">
        <v>120</v>
      </c>
      <c r="I941" s="250" t="n">
        <v>34.75</v>
      </c>
    </row>
    <row r="942" customFormat="false" ht="13.8" hidden="false" customHeight="false" outlineLevel="0" collapsed="false">
      <c r="A942" s="218"/>
      <c r="B942" s="251"/>
      <c r="C942" s="251"/>
      <c r="D942" s="251"/>
      <c r="E942" s="212" t="s">
        <v>6035</v>
      </c>
      <c r="F942" s="212" t="s">
        <v>5700</v>
      </c>
      <c r="G942" s="212" t="n">
        <v>63</v>
      </c>
      <c r="H942" s="212" t="s">
        <v>120</v>
      </c>
      <c r="I942" s="250" t="n">
        <v>137.36</v>
      </c>
    </row>
    <row r="943" customFormat="false" ht="13.8" hidden="false" customHeight="false" outlineLevel="0" collapsed="false">
      <c r="A943" s="218"/>
      <c r="B943" s="251"/>
      <c r="C943" s="251"/>
      <c r="D943" s="251"/>
      <c r="E943" s="212" t="s">
        <v>6038</v>
      </c>
      <c r="F943" s="212" t="s">
        <v>5700</v>
      </c>
      <c r="G943" s="212" t="n">
        <v>160</v>
      </c>
      <c r="H943" s="212" t="s">
        <v>120</v>
      </c>
      <c r="I943" s="250" t="n">
        <v>145.41</v>
      </c>
    </row>
    <row r="944" customFormat="false" ht="13.8" hidden="false" customHeight="false" outlineLevel="0" collapsed="false">
      <c r="A944" s="218"/>
      <c r="B944" s="251"/>
      <c r="C944" s="251"/>
      <c r="D944" s="251"/>
      <c r="E944" s="212" t="s">
        <v>6041</v>
      </c>
      <c r="F944" s="212" t="s">
        <v>5700</v>
      </c>
      <c r="G944" s="212" t="n">
        <v>63</v>
      </c>
      <c r="H944" s="212" t="s">
        <v>120</v>
      </c>
      <c r="I944" s="250" t="n">
        <v>65.32</v>
      </c>
    </row>
    <row r="945" customFormat="false" ht="13.8" hidden="false" customHeight="false" outlineLevel="0" collapsed="false">
      <c r="A945" s="218"/>
      <c r="B945" s="251"/>
      <c r="C945" s="251"/>
      <c r="D945" s="251"/>
      <c r="E945" s="212" t="s">
        <v>6045</v>
      </c>
      <c r="F945" s="212" t="s">
        <v>5700</v>
      </c>
      <c r="G945" s="212" t="n">
        <v>160</v>
      </c>
      <c r="H945" s="212" t="s">
        <v>120</v>
      </c>
      <c r="I945" s="250" t="n">
        <v>40.44</v>
      </c>
    </row>
    <row r="946" customFormat="false" ht="13.8" hidden="false" customHeight="false" outlineLevel="0" collapsed="false">
      <c r="A946" s="218"/>
      <c r="B946" s="251"/>
      <c r="C946" s="251"/>
      <c r="D946" s="251"/>
      <c r="E946" s="212" t="s">
        <v>6049</v>
      </c>
      <c r="F946" s="212" t="s">
        <v>5700</v>
      </c>
      <c r="G946" s="212" t="n">
        <v>63</v>
      </c>
      <c r="H946" s="212" t="s">
        <v>120</v>
      </c>
      <c r="I946" s="250" t="n">
        <v>85.61</v>
      </c>
    </row>
    <row r="947" customFormat="false" ht="13.8" hidden="false" customHeight="false" outlineLevel="0" collapsed="false">
      <c r="A947" s="218"/>
      <c r="B947" s="251"/>
      <c r="C947" s="251"/>
      <c r="D947" s="251"/>
      <c r="E947" s="212" t="s">
        <v>6052</v>
      </c>
      <c r="F947" s="212" t="s">
        <v>5700</v>
      </c>
      <c r="G947" s="212" t="n">
        <v>160</v>
      </c>
      <c r="H947" s="212" t="s">
        <v>120</v>
      </c>
      <c r="I947" s="250" t="n">
        <v>2.5</v>
      </c>
    </row>
    <row r="948" customFormat="false" ht="13.8" hidden="false" customHeight="false" outlineLevel="0" collapsed="false">
      <c r="A948" s="218"/>
      <c r="B948" s="251"/>
      <c r="C948" s="251"/>
      <c r="D948" s="251"/>
      <c r="E948" s="212" t="s">
        <v>6056</v>
      </c>
      <c r="F948" s="212" t="s">
        <v>5700</v>
      </c>
      <c r="G948" s="212" t="n">
        <v>160</v>
      </c>
      <c r="H948" s="212" t="s">
        <v>120</v>
      </c>
      <c r="I948" s="250" t="n">
        <v>10.38</v>
      </c>
    </row>
    <row r="949" customFormat="false" ht="13.8" hidden="false" customHeight="false" outlineLevel="0" collapsed="false">
      <c r="A949" s="218"/>
      <c r="B949" s="251"/>
      <c r="C949" s="251"/>
      <c r="D949" s="251"/>
      <c r="E949" s="212" t="s">
        <v>6059</v>
      </c>
      <c r="F949" s="212" t="s">
        <v>5700</v>
      </c>
      <c r="G949" s="212" t="n">
        <v>63</v>
      </c>
      <c r="H949" s="212" t="s">
        <v>120</v>
      </c>
      <c r="I949" s="250" t="n">
        <v>61.49</v>
      </c>
    </row>
    <row r="950" customFormat="false" ht="13.8" hidden="false" customHeight="false" outlineLevel="0" collapsed="false">
      <c r="A950" s="218"/>
      <c r="B950" s="251"/>
      <c r="C950" s="251"/>
      <c r="D950" s="251"/>
      <c r="E950" s="212" t="s">
        <v>6063</v>
      </c>
      <c r="F950" s="212" t="s">
        <v>5700</v>
      </c>
      <c r="G950" s="212" t="n">
        <v>160</v>
      </c>
      <c r="H950" s="212" t="s">
        <v>120</v>
      </c>
      <c r="I950" s="250" t="n">
        <v>12.53</v>
      </c>
    </row>
    <row r="951" customFormat="false" ht="13.8" hidden="false" customHeight="false" outlineLevel="0" collapsed="false">
      <c r="A951" s="218"/>
      <c r="B951" s="251"/>
      <c r="C951" s="251"/>
      <c r="D951" s="251"/>
      <c r="E951" s="212" t="s">
        <v>6066</v>
      </c>
      <c r="F951" s="212" t="s">
        <v>5700</v>
      </c>
      <c r="G951" s="212" t="n">
        <v>160</v>
      </c>
      <c r="H951" s="212" t="s">
        <v>120</v>
      </c>
      <c r="I951" s="250" t="n">
        <v>3.81</v>
      </c>
    </row>
    <row r="952" customFormat="false" ht="13.8" hidden="false" customHeight="false" outlineLevel="0" collapsed="false">
      <c r="A952" s="218"/>
      <c r="B952" s="252"/>
      <c r="C952" s="252"/>
      <c r="D952" s="252"/>
      <c r="E952" s="212" t="s">
        <v>6068</v>
      </c>
      <c r="F952" s="212" t="s">
        <v>5700</v>
      </c>
      <c r="G952" s="212" t="n">
        <v>160</v>
      </c>
      <c r="H952" s="212" t="s">
        <v>120</v>
      </c>
      <c r="I952" s="250" t="n">
        <v>4.36</v>
      </c>
    </row>
    <row r="953" customFormat="false" ht="13.8" hidden="false" customHeight="false" outlineLevel="0" collapsed="false">
      <c r="A953" s="218"/>
      <c r="B953" s="249" t="s">
        <v>7043</v>
      </c>
      <c r="C953" s="249" t="s">
        <v>117</v>
      </c>
      <c r="D953" s="249" t="s">
        <v>1548</v>
      </c>
      <c r="E953" s="212" t="s">
        <v>4094</v>
      </c>
      <c r="F953" s="212" t="s">
        <v>3786</v>
      </c>
      <c r="G953" s="212" t="n">
        <v>63</v>
      </c>
      <c r="H953" s="212" t="s">
        <v>120</v>
      </c>
      <c r="I953" s="250" t="n">
        <v>84.86</v>
      </c>
    </row>
    <row r="954" customFormat="false" ht="13.8" hidden="false" customHeight="false" outlineLevel="0" collapsed="false">
      <c r="A954" s="218"/>
      <c r="B954" s="251"/>
      <c r="C954" s="251"/>
      <c r="D954" s="251"/>
      <c r="E954" s="212" t="s">
        <v>4101</v>
      </c>
      <c r="F954" s="212" t="s">
        <v>3786</v>
      </c>
      <c r="G954" s="212" t="n">
        <v>63</v>
      </c>
      <c r="H954" s="212" t="s">
        <v>120</v>
      </c>
      <c r="I954" s="250" t="n">
        <v>130.89</v>
      </c>
    </row>
    <row r="955" customFormat="false" ht="13.8" hidden="false" customHeight="false" outlineLevel="0" collapsed="false">
      <c r="A955" s="218"/>
      <c r="B955" s="251"/>
      <c r="C955" s="251"/>
      <c r="D955" s="251"/>
      <c r="E955" s="212" t="s">
        <v>4105</v>
      </c>
      <c r="F955" s="212" t="s">
        <v>3786</v>
      </c>
      <c r="G955" s="212" t="n">
        <v>63</v>
      </c>
      <c r="H955" s="212" t="s">
        <v>120</v>
      </c>
      <c r="I955" s="250" t="n">
        <v>28.7</v>
      </c>
    </row>
    <row r="956" customFormat="false" ht="13.8" hidden="false" customHeight="false" outlineLevel="0" collapsed="false">
      <c r="A956" s="218"/>
      <c r="B956" s="251"/>
      <c r="C956" s="251"/>
      <c r="D956" s="251"/>
      <c r="E956" s="212" t="s">
        <v>4109</v>
      </c>
      <c r="F956" s="212" t="s">
        <v>3786</v>
      </c>
      <c r="G956" s="212" t="n">
        <v>110</v>
      </c>
      <c r="H956" s="212" t="s">
        <v>120</v>
      </c>
      <c r="I956" s="250" t="n">
        <v>60.61</v>
      </c>
    </row>
    <row r="957" customFormat="false" ht="13.8" hidden="false" customHeight="false" outlineLevel="0" collapsed="false">
      <c r="A957" s="218"/>
      <c r="B957" s="251"/>
      <c r="C957" s="251"/>
      <c r="D957" s="251"/>
      <c r="E957" s="212" t="s">
        <v>4112</v>
      </c>
      <c r="F957" s="212" t="s">
        <v>3786</v>
      </c>
      <c r="G957" s="212" t="n">
        <v>63</v>
      </c>
      <c r="H957" s="212" t="s">
        <v>120</v>
      </c>
      <c r="I957" s="250" t="n">
        <v>182.55</v>
      </c>
    </row>
    <row r="958" customFormat="false" ht="13.8" hidden="false" customHeight="false" outlineLevel="0" collapsed="false">
      <c r="A958" s="218"/>
      <c r="B958" s="251"/>
      <c r="C958" s="251"/>
      <c r="D958" s="251"/>
      <c r="E958" s="212" t="s">
        <v>4115</v>
      </c>
      <c r="F958" s="212" t="s">
        <v>3786</v>
      </c>
      <c r="G958" s="212" t="n">
        <v>110</v>
      </c>
      <c r="H958" s="212" t="s">
        <v>120</v>
      </c>
      <c r="I958" s="250" t="n">
        <v>52.59</v>
      </c>
    </row>
    <row r="959" customFormat="false" ht="13.8" hidden="false" customHeight="false" outlineLevel="0" collapsed="false">
      <c r="A959" s="218"/>
      <c r="B959" s="251"/>
      <c r="C959" s="251"/>
      <c r="D959" s="251"/>
      <c r="E959" s="212" t="s">
        <v>4118</v>
      </c>
      <c r="F959" s="212" t="s">
        <v>3786</v>
      </c>
      <c r="G959" s="212" t="n">
        <v>110</v>
      </c>
      <c r="H959" s="212" t="s">
        <v>120</v>
      </c>
      <c r="I959" s="250" t="n">
        <v>114.44</v>
      </c>
    </row>
    <row r="960" customFormat="false" ht="13.8" hidden="false" customHeight="false" outlineLevel="0" collapsed="false">
      <c r="A960" s="218"/>
      <c r="B960" s="251"/>
      <c r="C960" s="251"/>
      <c r="D960" s="251"/>
      <c r="E960" s="212" t="s">
        <v>4122</v>
      </c>
      <c r="F960" s="212" t="s">
        <v>3786</v>
      </c>
      <c r="G960" s="212" t="n">
        <v>63</v>
      </c>
      <c r="H960" s="212" t="s">
        <v>120</v>
      </c>
      <c r="I960" s="250" t="n">
        <v>48.44</v>
      </c>
    </row>
    <row r="961" customFormat="false" ht="13.8" hidden="false" customHeight="false" outlineLevel="0" collapsed="false">
      <c r="A961" s="218"/>
      <c r="B961" s="251"/>
      <c r="C961" s="251"/>
      <c r="D961" s="251"/>
      <c r="E961" s="212" t="s">
        <v>4126</v>
      </c>
      <c r="F961" s="212" t="s">
        <v>3786</v>
      </c>
      <c r="G961" s="212" t="n">
        <v>110</v>
      </c>
      <c r="H961" s="212" t="s">
        <v>120</v>
      </c>
      <c r="I961" s="250" t="n">
        <v>48.85</v>
      </c>
    </row>
    <row r="962" customFormat="false" ht="13.8" hidden="false" customHeight="false" outlineLevel="0" collapsed="false">
      <c r="A962" s="218"/>
      <c r="B962" s="251"/>
      <c r="C962" s="251"/>
      <c r="D962" s="251"/>
      <c r="E962" s="212" t="s">
        <v>4129</v>
      </c>
      <c r="F962" s="212" t="s">
        <v>3786</v>
      </c>
      <c r="G962" s="212" t="n">
        <v>110</v>
      </c>
      <c r="H962" s="212" t="s">
        <v>120</v>
      </c>
      <c r="I962" s="250" t="n">
        <v>49.76</v>
      </c>
    </row>
    <row r="963" customFormat="false" ht="13.8" hidden="false" customHeight="false" outlineLevel="0" collapsed="false">
      <c r="A963" s="218"/>
      <c r="B963" s="251"/>
      <c r="C963" s="251"/>
      <c r="D963" s="251"/>
      <c r="E963" s="212" t="s">
        <v>4132</v>
      </c>
      <c r="F963" s="212" t="s">
        <v>3786</v>
      </c>
      <c r="G963" s="212" t="n">
        <v>110</v>
      </c>
      <c r="H963" s="212" t="s">
        <v>120</v>
      </c>
      <c r="I963" s="250" t="n">
        <v>12.87</v>
      </c>
    </row>
    <row r="964" customFormat="false" ht="13.8" hidden="false" customHeight="false" outlineLevel="0" collapsed="false">
      <c r="A964" s="218"/>
      <c r="B964" s="251"/>
      <c r="C964" s="251"/>
      <c r="D964" s="251"/>
      <c r="E964" s="212" t="s">
        <v>4134</v>
      </c>
      <c r="F964" s="212" t="s">
        <v>3786</v>
      </c>
      <c r="G964" s="212" t="n">
        <v>110</v>
      </c>
      <c r="H964" s="212" t="s">
        <v>120</v>
      </c>
      <c r="I964" s="250" t="n">
        <v>213.78</v>
      </c>
    </row>
    <row r="965" customFormat="false" ht="13.8" hidden="false" customHeight="false" outlineLevel="0" collapsed="false">
      <c r="A965" s="218"/>
      <c r="B965" s="251"/>
      <c r="C965" s="251"/>
      <c r="D965" s="251"/>
      <c r="E965" s="212" t="s">
        <v>4138</v>
      </c>
      <c r="F965" s="212" t="s">
        <v>3786</v>
      </c>
      <c r="G965" s="212" t="n">
        <v>110</v>
      </c>
      <c r="H965" s="212" t="s">
        <v>120</v>
      </c>
      <c r="I965" s="250" t="n">
        <v>120.85</v>
      </c>
    </row>
    <row r="966" customFormat="false" ht="13.8" hidden="false" customHeight="false" outlineLevel="0" collapsed="false">
      <c r="A966" s="218"/>
      <c r="B966" s="251"/>
      <c r="C966" s="251"/>
      <c r="D966" s="251"/>
      <c r="E966" s="212" t="s">
        <v>4141</v>
      </c>
      <c r="F966" s="212" t="s">
        <v>3786</v>
      </c>
      <c r="G966" s="212" t="n">
        <v>63</v>
      </c>
      <c r="H966" s="212" t="s">
        <v>120</v>
      </c>
      <c r="I966" s="250" t="n">
        <v>21.61</v>
      </c>
    </row>
    <row r="967" customFormat="false" ht="13.8" hidden="false" customHeight="false" outlineLevel="0" collapsed="false">
      <c r="A967" s="218"/>
      <c r="B967" s="251"/>
      <c r="C967" s="251"/>
      <c r="D967" s="251"/>
      <c r="E967" s="212" t="s">
        <v>4145</v>
      </c>
      <c r="F967" s="212" t="s">
        <v>3786</v>
      </c>
      <c r="G967" s="212" t="n">
        <v>110</v>
      </c>
      <c r="H967" s="212" t="s">
        <v>120</v>
      </c>
      <c r="I967" s="250" t="n">
        <v>103.31</v>
      </c>
    </row>
    <row r="968" customFormat="false" ht="13.8" hidden="false" customHeight="false" outlineLevel="0" collapsed="false">
      <c r="A968" s="218"/>
      <c r="B968" s="251"/>
      <c r="C968" s="251"/>
      <c r="D968" s="251"/>
      <c r="E968" s="212" t="s">
        <v>4150</v>
      </c>
      <c r="F968" s="212" t="s">
        <v>3786</v>
      </c>
      <c r="G968" s="212" t="n">
        <v>110</v>
      </c>
      <c r="H968" s="212" t="s">
        <v>120</v>
      </c>
      <c r="I968" s="250" t="n">
        <v>3.63</v>
      </c>
    </row>
    <row r="969" customFormat="false" ht="13.8" hidden="false" customHeight="false" outlineLevel="0" collapsed="false">
      <c r="A969" s="218"/>
      <c r="B969" s="251"/>
      <c r="C969" s="251"/>
      <c r="D969" s="251"/>
      <c r="E969" s="212" t="s">
        <v>4154</v>
      </c>
      <c r="F969" s="212" t="s">
        <v>3786</v>
      </c>
      <c r="G969" s="212" t="n">
        <v>110</v>
      </c>
      <c r="H969" s="212" t="s">
        <v>120</v>
      </c>
      <c r="I969" s="250" t="n">
        <v>3.63</v>
      </c>
    </row>
    <row r="970" customFormat="false" ht="13.8" hidden="false" customHeight="false" outlineLevel="0" collapsed="false">
      <c r="A970" s="218"/>
      <c r="B970" s="251"/>
      <c r="C970" s="251"/>
      <c r="D970" s="251"/>
      <c r="E970" s="212" t="s">
        <v>4156</v>
      </c>
      <c r="F970" s="212" t="s">
        <v>3786</v>
      </c>
      <c r="G970" s="212" t="n">
        <v>160</v>
      </c>
      <c r="H970" s="212" t="s">
        <v>120</v>
      </c>
      <c r="I970" s="250" t="n">
        <v>11.24</v>
      </c>
    </row>
    <row r="971" customFormat="false" ht="13.8" hidden="false" customHeight="false" outlineLevel="0" collapsed="false">
      <c r="A971" s="218"/>
      <c r="B971" s="251"/>
      <c r="C971" s="251"/>
      <c r="D971" s="251"/>
      <c r="E971" s="212" t="s">
        <v>4159</v>
      </c>
      <c r="F971" s="212" t="s">
        <v>3786</v>
      </c>
      <c r="G971" s="212" t="n">
        <v>110</v>
      </c>
      <c r="H971" s="212" t="s">
        <v>120</v>
      </c>
      <c r="I971" s="250" t="n">
        <v>32.22</v>
      </c>
    </row>
    <row r="972" customFormat="false" ht="13.8" hidden="false" customHeight="false" outlineLevel="0" collapsed="false">
      <c r="A972" s="218"/>
      <c r="B972" s="251"/>
      <c r="C972" s="251"/>
      <c r="D972" s="251"/>
      <c r="E972" s="212" t="s">
        <v>4163</v>
      </c>
      <c r="F972" s="212" t="s">
        <v>3786</v>
      </c>
      <c r="G972" s="212" t="n">
        <v>110</v>
      </c>
      <c r="H972" s="212" t="s">
        <v>120</v>
      </c>
      <c r="I972" s="250" t="n">
        <v>53.29</v>
      </c>
    </row>
    <row r="973" customFormat="false" ht="13.8" hidden="false" customHeight="false" outlineLevel="0" collapsed="false">
      <c r="A973" s="218"/>
      <c r="B973" s="251"/>
      <c r="C973" s="251"/>
      <c r="D973" s="251"/>
      <c r="E973" s="212" t="s">
        <v>4167</v>
      </c>
      <c r="F973" s="212" t="s">
        <v>3786</v>
      </c>
      <c r="G973" s="212" t="n">
        <v>63</v>
      </c>
      <c r="H973" s="212" t="s">
        <v>120</v>
      </c>
      <c r="I973" s="250" t="n">
        <v>111.6</v>
      </c>
    </row>
    <row r="974" customFormat="false" ht="13.8" hidden="false" customHeight="false" outlineLevel="0" collapsed="false">
      <c r="A974" s="218"/>
      <c r="B974" s="251"/>
      <c r="C974" s="251"/>
      <c r="D974" s="251"/>
      <c r="E974" s="212" t="s">
        <v>4171</v>
      </c>
      <c r="F974" s="212" t="s">
        <v>3786</v>
      </c>
      <c r="G974" s="212" t="n">
        <v>110</v>
      </c>
      <c r="H974" s="212" t="s">
        <v>120</v>
      </c>
      <c r="I974" s="250" t="n">
        <v>43.61</v>
      </c>
    </row>
    <row r="975" customFormat="false" ht="13.8" hidden="false" customHeight="false" outlineLevel="0" collapsed="false">
      <c r="A975" s="218"/>
      <c r="B975" s="251"/>
      <c r="C975" s="251"/>
      <c r="D975" s="251"/>
      <c r="E975" s="212" t="s">
        <v>4175</v>
      </c>
      <c r="F975" s="212" t="s">
        <v>3786</v>
      </c>
      <c r="G975" s="212" t="n">
        <v>63</v>
      </c>
      <c r="H975" s="212" t="s">
        <v>120</v>
      </c>
      <c r="I975" s="250" t="n">
        <v>103.99</v>
      </c>
    </row>
    <row r="976" customFormat="false" ht="13.8" hidden="false" customHeight="false" outlineLevel="0" collapsed="false">
      <c r="A976" s="218"/>
      <c r="B976" s="251"/>
      <c r="C976" s="251"/>
      <c r="D976" s="251"/>
      <c r="E976" s="212" t="s">
        <v>4179</v>
      </c>
      <c r="F976" s="212" t="s">
        <v>3786</v>
      </c>
      <c r="G976" s="212" t="n">
        <v>110</v>
      </c>
      <c r="H976" s="212" t="s">
        <v>120</v>
      </c>
      <c r="I976" s="250" t="n">
        <v>44.48</v>
      </c>
    </row>
    <row r="977" customFormat="false" ht="13.8" hidden="false" customHeight="false" outlineLevel="0" collapsed="false">
      <c r="A977" s="218"/>
      <c r="B977" s="251"/>
      <c r="C977" s="251"/>
      <c r="D977" s="251"/>
      <c r="E977" s="212" t="s">
        <v>4183</v>
      </c>
      <c r="F977" s="212" t="s">
        <v>3786</v>
      </c>
      <c r="G977" s="212" t="n">
        <v>63</v>
      </c>
      <c r="H977" s="212" t="s">
        <v>120</v>
      </c>
      <c r="I977" s="250" t="n">
        <v>103.67</v>
      </c>
    </row>
    <row r="978" customFormat="false" ht="13.8" hidden="false" customHeight="false" outlineLevel="0" collapsed="false">
      <c r="A978" s="218"/>
      <c r="B978" s="251"/>
      <c r="C978" s="251"/>
      <c r="D978" s="251"/>
      <c r="E978" s="212" t="s">
        <v>4188</v>
      </c>
      <c r="F978" s="212" t="s">
        <v>3786</v>
      </c>
      <c r="G978" s="212" t="n">
        <v>63</v>
      </c>
      <c r="H978" s="212" t="s">
        <v>120</v>
      </c>
      <c r="I978" s="250" t="n">
        <v>41.29</v>
      </c>
    </row>
    <row r="979" customFormat="false" ht="13.8" hidden="false" customHeight="false" outlineLevel="0" collapsed="false">
      <c r="A979" s="218"/>
      <c r="B979" s="251"/>
      <c r="C979" s="251"/>
      <c r="D979" s="251"/>
      <c r="E979" s="212" t="s">
        <v>4192</v>
      </c>
      <c r="F979" s="212" t="s">
        <v>3786</v>
      </c>
      <c r="G979" s="212" t="n">
        <v>63</v>
      </c>
      <c r="H979" s="212" t="s">
        <v>120</v>
      </c>
      <c r="I979" s="250" t="n">
        <v>106.79</v>
      </c>
    </row>
    <row r="980" customFormat="false" ht="13.8" hidden="false" customHeight="false" outlineLevel="0" collapsed="false">
      <c r="A980" s="218"/>
      <c r="B980" s="251"/>
      <c r="C980" s="251"/>
      <c r="D980" s="251"/>
      <c r="E980" s="212" t="s">
        <v>4196</v>
      </c>
      <c r="F980" s="212" t="s">
        <v>3786</v>
      </c>
      <c r="G980" s="212" t="n">
        <v>63</v>
      </c>
      <c r="H980" s="212" t="s">
        <v>120</v>
      </c>
      <c r="I980" s="250" t="n">
        <v>44.69</v>
      </c>
    </row>
    <row r="981" customFormat="false" ht="13.8" hidden="false" customHeight="false" outlineLevel="0" collapsed="false">
      <c r="A981" s="218"/>
      <c r="B981" s="251"/>
      <c r="C981" s="251"/>
      <c r="D981" s="251"/>
      <c r="E981" s="212" t="s">
        <v>4200</v>
      </c>
      <c r="F981" s="212" t="s">
        <v>3786</v>
      </c>
      <c r="G981" s="212" t="n">
        <v>63</v>
      </c>
      <c r="H981" s="212" t="s">
        <v>120</v>
      </c>
      <c r="I981" s="250" t="n">
        <v>106.42</v>
      </c>
    </row>
    <row r="982" customFormat="false" ht="13.8" hidden="false" customHeight="false" outlineLevel="0" collapsed="false">
      <c r="A982" s="218"/>
      <c r="B982" s="251"/>
      <c r="C982" s="251"/>
      <c r="D982" s="251"/>
      <c r="E982" s="212" t="s">
        <v>4204</v>
      </c>
      <c r="F982" s="212" t="s">
        <v>3786</v>
      </c>
      <c r="G982" s="212" t="n">
        <v>63</v>
      </c>
      <c r="H982" s="212" t="s">
        <v>120</v>
      </c>
      <c r="I982" s="250" t="n">
        <v>67.76</v>
      </c>
    </row>
    <row r="983" customFormat="false" ht="13.8" hidden="false" customHeight="false" outlineLevel="0" collapsed="false">
      <c r="A983" s="218"/>
      <c r="B983" s="251"/>
      <c r="C983" s="251"/>
      <c r="D983" s="251"/>
      <c r="E983" s="212" t="s">
        <v>4207</v>
      </c>
      <c r="F983" s="212" t="s">
        <v>3786</v>
      </c>
      <c r="G983" s="212" t="n">
        <v>63</v>
      </c>
      <c r="H983" s="212" t="s">
        <v>120</v>
      </c>
      <c r="I983" s="250" t="n">
        <v>146.11</v>
      </c>
    </row>
    <row r="984" customFormat="false" ht="13.8" hidden="false" customHeight="false" outlineLevel="0" collapsed="false">
      <c r="A984" s="218"/>
      <c r="B984" s="251"/>
      <c r="C984" s="251"/>
      <c r="D984" s="251"/>
      <c r="E984" s="212" t="s">
        <v>4211</v>
      </c>
      <c r="F984" s="212" t="s">
        <v>3786</v>
      </c>
      <c r="G984" s="212" t="n">
        <v>63</v>
      </c>
      <c r="H984" s="212" t="s">
        <v>120</v>
      </c>
      <c r="I984" s="250" t="n">
        <v>143.87</v>
      </c>
    </row>
    <row r="985" customFormat="false" ht="13.8" hidden="false" customHeight="false" outlineLevel="0" collapsed="false">
      <c r="A985" s="218"/>
      <c r="B985" s="251"/>
      <c r="C985" s="251"/>
      <c r="D985" s="251"/>
      <c r="E985" s="212" t="s">
        <v>4290</v>
      </c>
      <c r="F985" s="212" t="s">
        <v>2224</v>
      </c>
      <c r="G985" s="212" t="n">
        <v>315</v>
      </c>
      <c r="H985" s="212" t="s">
        <v>120</v>
      </c>
      <c r="I985" s="250" t="n">
        <v>296.99</v>
      </c>
    </row>
    <row r="986" customFormat="false" ht="13.8" hidden="false" customHeight="false" outlineLevel="0" collapsed="false">
      <c r="A986" s="218"/>
      <c r="B986" s="251"/>
      <c r="C986" s="251"/>
      <c r="D986" s="251"/>
      <c r="E986" s="212" t="s">
        <v>4294</v>
      </c>
      <c r="F986" s="212" t="s">
        <v>4221</v>
      </c>
      <c r="G986" s="212" t="n">
        <v>63</v>
      </c>
      <c r="H986" s="212" t="s">
        <v>120</v>
      </c>
      <c r="I986" s="250" t="n">
        <v>24.74</v>
      </c>
    </row>
    <row r="987" customFormat="false" ht="13.8" hidden="false" customHeight="false" outlineLevel="0" collapsed="false">
      <c r="A987" s="218"/>
      <c r="B987" s="251"/>
      <c r="C987" s="251"/>
      <c r="D987" s="251"/>
      <c r="E987" s="212" t="s">
        <v>4297</v>
      </c>
      <c r="F987" s="212" t="s">
        <v>4221</v>
      </c>
      <c r="G987" s="212" t="n">
        <v>63</v>
      </c>
      <c r="H987" s="212" t="s">
        <v>120</v>
      </c>
      <c r="I987" s="250" t="n">
        <v>56.33</v>
      </c>
    </row>
    <row r="988" customFormat="false" ht="13.8" hidden="false" customHeight="false" outlineLevel="0" collapsed="false">
      <c r="A988" s="218"/>
      <c r="B988" s="251"/>
      <c r="C988" s="251"/>
      <c r="D988" s="251"/>
      <c r="E988" s="212" t="s">
        <v>4299</v>
      </c>
      <c r="F988" s="212" t="s">
        <v>4221</v>
      </c>
      <c r="G988" s="212" t="n">
        <v>63</v>
      </c>
      <c r="H988" s="212" t="s">
        <v>120</v>
      </c>
      <c r="I988" s="250" t="n">
        <v>50.37</v>
      </c>
    </row>
    <row r="989" customFormat="false" ht="13.8" hidden="false" customHeight="false" outlineLevel="0" collapsed="false">
      <c r="A989" s="218"/>
      <c r="B989" s="251"/>
      <c r="C989" s="251"/>
      <c r="D989" s="251"/>
      <c r="E989" s="212" t="s">
        <v>4303</v>
      </c>
      <c r="F989" s="212" t="s">
        <v>4221</v>
      </c>
      <c r="G989" s="212" t="n">
        <v>63</v>
      </c>
      <c r="H989" s="212" t="s">
        <v>120</v>
      </c>
      <c r="I989" s="250" t="n">
        <v>4.05</v>
      </c>
    </row>
    <row r="990" customFormat="false" ht="13.8" hidden="false" customHeight="false" outlineLevel="0" collapsed="false">
      <c r="A990" s="218"/>
      <c r="B990" s="251"/>
      <c r="C990" s="251"/>
      <c r="D990" s="251"/>
      <c r="E990" s="212" t="s">
        <v>4307</v>
      </c>
      <c r="F990" s="212" t="s">
        <v>4221</v>
      </c>
      <c r="G990" s="212" t="n">
        <v>63</v>
      </c>
      <c r="H990" s="212" t="s">
        <v>120</v>
      </c>
      <c r="I990" s="250" t="n">
        <v>22.74</v>
      </c>
    </row>
    <row r="991" customFormat="false" ht="13.8" hidden="false" customHeight="false" outlineLevel="0" collapsed="false">
      <c r="A991" s="218"/>
      <c r="B991" s="251"/>
      <c r="C991" s="251"/>
      <c r="D991" s="251"/>
      <c r="E991" s="212" t="s">
        <v>4311</v>
      </c>
      <c r="F991" s="212" t="s">
        <v>4221</v>
      </c>
      <c r="G991" s="212" t="n">
        <v>63</v>
      </c>
      <c r="H991" s="212" t="s">
        <v>120</v>
      </c>
      <c r="I991" s="250" t="n">
        <v>82.48</v>
      </c>
    </row>
    <row r="992" customFormat="false" ht="13.8" hidden="false" customHeight="false" outlineLevel="0" collapsed="false">
      <c r="A992" s="218"/>
      <c r="B992" s="251"/>
      <c r="C992" s="251"/>
      <c r="D992" s="251"/>
      <c r="E992" s="212" t="s">
        <v>4313</v>
      </c>
      <c r="F992" s="212" t="s">
        <v>4221</v>
      </c>
      <c r="G992" s="212" t="n">
        <v>63</v>
      </c>
      <c r="H992" s="212" t="s">
        <v>120</v>
      </c>
      <c r="I992" s="250" t="n">
        <v>49.77</v>
      </c>
    </row>
    <row r="993" customFormat="false" ht="13.8" hidden="false" customHeight="false" outlineLevel="0" collapsed="false">
      <c r="A993" s="218"/>
      <c r="B993" s="251"/>
      <c r="C993" s="251"/>
      <c r="D993" s="251"/>
      <c r="E993" s="212" t="s">
        <v>4317</v>
      </c>
      <c r="F993" s="212" t="s">
        <v>4221</v>
      </c>
      <c r="G993" s="212" t="n">
        <v>63</v>
      </c>
      <c r="H993" s="212" t="s">
        <v>120</v>
      </c>
      <c r="I993" s="250" t="n">
        <v>145.02</v>
      </c>
    </row>
    <row r="994" customFormat="false" ht="13.8" hidden="false" customHeight="false" outlineLevel="0" collapsed="false">
      <c r="A994" s="218"/>
      <c r="B994" s="251"/>
      <c r="C994" s="251"/>
      <c r="D994" s="251"/>
      <c r="E994" s="212" t="s">
        <v>4321</v>
      </c>
      <c r="F994" s="212" t="s">
        <v>4221</v>
      </c>
      <c r="G994" s="212" t="n">
        <v>63</v>
      </c>
      <c r="H994" s="212" t="s">
        <v>120</v>
      </c>
      <c r="I994" s="250" t="n">
        <v>49</v>
      </c>
    </row>
    <row r="995" customFormat="false" ht="13.8" hidden="false" customHeight="false" outlineLevel="0" collapsed="false">
      <c r="A995" s="218"/>
      <c r="B995" s="251"/>
      <c r="C995" s="251"/>
      <c r="D995" s="251"/>
      <c r="E995" s="212" t="s">
        <v>4324</v>
      </c>
      <c r="F995" s="212" t="s">
        <v>4221</v>
      </c>
      <c r="G995" s="212" t="n">
        <v>63</v>
      </c>
      <c r="H995" s="212" t="s">
        <v>120</v>
      </c>
      <c r="I995" s="250" t="n">
        <v>142.2</v>
      </c>
    </row>
    <row r="996" customFormat="false" ht="13.8" hidden="false" customHeight="false" outlineLevel="0" collapsed="false">
      <c r="A996" s="218"/>
      <c r="B996" s="251"/>
      <c r="C996" s="251"/>
      <c r="D996" s="251"/>
      <c r="E996" s="212" t="s">
        <v>4328</v>
      </c>
      <c r="F996" s="212" t="s">
        <v>4221</v>
      </c>
      <c r="G996" s="212" t="n">
        <v>90</v>
      </c>
      <c r="H996" s="212" t="s">
        <v>120</v>
      </c>
      <c r="I996" s="250" t="n">
        <v>46.17</v>
      </c>
    </row>
    <row r="997" customFormat="false" ht="13.8" hidden="false" customHeight="false" outlineLevel="0" collapsed="false">
      <c r="A997" s="218"/>
      <c r="B997" s="251"/>
      <c r="C997" s="251"/>
      <c r="D997" s="251"/>
      <c r="E997" s="212" t="s">
        <v>4333</v>
      </c>
      <c r="F997" s="212" t="s">
        <v>4221</v>
      </c>
      <c r="G997" s="212" t="n">
        <v>63</v>
      </c>
      <c r="H997" s="212" t="s">
        <v>120</v>
      </c>
      <c r="I997" s="250" t="n">
        <v>128.06</v>
      </c>
    </row>
    <row r="998" customFormat="false" ht="13.8" hidden="false" customHeight="false" outlineLevel="0" collapsed="false">
      <c r="A998" s="218"/>
      <c r="B998" s="251"/>
      <c r="C998" s="251"/>
      <c r="D998" s="251"/>
      <c r="E998" s="212" t="s">
        <v>4337</v>
      </c>
      <c r="F998" s="212" t="s">
        <v>4221</v>
      </c>
      <c r="G998" s="212" t="n">
        <v>63</v>
      </c>
      <c r="H998" s="212" t="s">
        <v>120</v>
      </c>
      <c r="I998" s="250" t="n">
        <v>87.9</v>
      </c>
    </row>
    <row r="999" customFormat="false" ht="13.8" hidden="false" customHeight="false" outlineLevel="0" collapsed="false">
      <c r="A999" s="218"/>
      <c r="B999" s="251"/>
      <c r="C999" s="251"/>
      <c r="D999" s="251"/>
      <c r="E999" s="212" t="s">
        <v>4342</v>
      </c>
      <c r="F999" s="212" t="s">
        <v>4221</v>
      </c>
      <c r="G999" s="212" t="n">
        <v>90</v>
      </c>
      <c r="H999" s="212" t="s">
        <v>120</v>
      </c>
      <c r="I999" s="250" t="n">
        <v>31.52</v>
      </c>
    </row>
    <row r="1000" customFormat="false" ht="13.8" hidden="false" customHeight="false" outlineLevel="0" collapsed="false">
      <c r="A1000" s="218"/>
      <c r="B1000" s="251"/>
      <c r="C1000" s="251"/>
      <c r="D1000" s="251"/>
      <c r="E1000" s="212" t="s">
        <v>4348</v>
      </c>
      <c r="F1000" s="212" t="s">
        <v>4221</v>
      </c>
      <c r="G1000" s="212" t="n">
        <v>63</v>
      </c>
      <c r="H1000" s="212" t="s">
        <v>120</v>
      </c>
      <c r="I1000" s="250" t="n">
        <v>98.91</v>
      </c>
    </row>
    <row r="1001" customFormat="false" ht="13.8" hidden="false" customHeight="false" outlineLevel="0" collapsed="false">
      <c r="A1001" s="218"/>
      <c r="B1001" s="251"/>
      <c r="C1001" s="251"/>
      <c r="D1001" s="251"/>
      <c r="E1001" s="212" t="s">
        <v>4352</v>
      </c>
      <c r="F1001" s="212" t="s">
        <v>4221</v>
      </c>
      <c r="G1001" s="212" t="n">
        <v>63</v>
      </c>
      <c r="H1001" s="212" t="s">
        <v>120</v>
      </c>
      <c r="I1001" s="250" t="n">
        <v>43.68</v>
      </c>
    </row>
    <row r="1002" customFormat="false" ht="13.8" hidden="false" customHeight="false" outlineLevel="0" collapsed="false">
      <c r="A1002" s="218"/>
      <c r="B1002" s="251"/>
      <c r="C1002" s="251"/>
      <c r="D1002" s="251"/>
      <c r="E1002" s="212" t="s">
        <v>4356</v>
      </c>
      <c r="F1002" s="212" t="s">
        <v>4221</v>
      </c>
      <c r="G1002" s="212" t="n">
        <v>90</v>
      </c>
      <c r="H1002" s="212" t="s">
        <v>120</v>
      </c>
      <c r="I1002" s="250" t="n">
        <v>4.45</v>
      </c>
    </row>
    <row r="1003" customFormat="false" ht="13.8" hidden="false" customHeight="false" outlineLevel="0" collapsed="false">
      <c r="A1003" s="218"/>
      <c r="B1003" s="251"/>
      <c r="C1003" s="251"/>
      <c r="D1003" s="251"/>
      <c r="E1003" s="212" t="s">
        <v>4361</v>
      </c>
      <c r="F1003" s="212" t="s">
        <v>4221</v>
      </c>
      <c r="G1003" s="212" t="n">
        <v>63</v>
      </c>
      <c r="H1003" s="212" t="s">
        <v>120</v>
      </c>
      <c r="I1003" s="250" t="n">
        <v>82.22</v>
      </c>
    </row>
    <row r="1004" customFormat="false" ht="13.8" hidden="false" customHeight="false" outlineLevel="0" collapsed="false">
      <c r="A1004" s="218"/>
      <c r="B1004" s="251"/>
      <c r="C1004" s="251"/>
      <c r="D1004" s="251"/>
      <c r="E1004" s="212" t="s">
        <v>4364</v>
      </c>
      <c r="F1004" s="212" t="s">
        <v>4221</v>
      </c>
      <c r="G1004" s="212" t="n">
        <v>63</v>
      </c>
      <c r="H1004" s="212" t="s">
        <v>120</v>
      </c>
      <c r="I1004" s="250" t="n">
        <v>121.81</v>
      </c>
    </row>
    <row r="1005" customFormat="false" ht="13.8" hidden="false" customHeight="false" outlineLevel="0" collapsed="false">
      <c r="A1005" s="218"/>
      <c r="B1005" s="251"/>
      <c r="C1005" s="251"/>
      <c r="D1005" s="251"/>
      <c r="E1005" s="212" t="s">
        <v>4367</v>
      </c>
      <c r="F1005" s="212" t="s">
        <v>4221</v>
      </c>
      <c r="G1005" s="212" t="n">
        <v>90</v>
      </c>
      <c r="H1005" s="212" t="s">
        <v>120</v>
      </c>
      <c r="I1005" s="250" t="n">
        <v>44.86</v>
      </c>
    </row>
    <row r="1006" customFormat="false" ht="13.8" hidden="false" customHeight="false" outlineLevel="0" collapsed="false">
      <c r="A1006" s="218"/>
      <c r="B1006" s="251"/>
      <c r="C1006" s="251"/>
      <c r="D1006" s="251"/>
      <c r="E1006" s="212" t="s">
        <v>4371</v>
      </c>
      <c r="F1006" s="212" t="s">
        <v>4221</v>
      </c>
      <c r="G1006" s="212" t="n">
        <v>90</v>
      </c>
      <c r="H1006" s="212" t="s">
        <v>120</v>
      </c>
      <c r="I1006" s="250" t="n">
        <v>1.14</v>
      </c>
    </row>
    <row r="1007" customFormat="false" ht="13.8" hidden="false" customHeight="false" outlineLevel="0" collapsed="false">
      <c r="A1007" s="218"/>
      <c r="B1007" s="251"/>
      <c r="C1007" s="251"/>
      <c r="D1007" s="251"/>
      <c r="E1007" s="212" t="s">
        <v>4376</v>
      </c>
      <c r="F1007" s="212" t="s">
        <v>4221</v>
      </c>
      <c r="G1007" s="212" t="n">
        <v>90</v>
      </c>
      <c r="H1007" s="212" t="s">
        <v>120</v>
      </c>
      <c r="I1007" s="250" t="n">
        <v>81.2</v>
      </c>
    </row>
    <row r="1008" customFormat="false" ht="13.8" hidden="false" customHeight="false" outlineLevel="0" collapsed="false">
      <c r="A1008" s="218"/>
      <c r="B1008" s="251"/>
      <c r="C1008" s="251"/>
      <c r="D1008" s="251"/>
      <c r="E1008" s="212" t="s">
        <v>4381</v>
      </c>
      <c r="F1008" s="212" t="s">
        <v>4221</v>
      </c>
      <c r="G1008" s="212" t="n">
        <v>90</v>
      </c>
      <c r="H1008" s="212" t="s">
        <v>120</v>
      </c>
      <c r="I1008" s="250" t="n">
        <v>46</v>
      </c>
    </row>
    <row r="1009" customFormat="false" ht="13.8" hidden="false" customHeight="false" outlineLevel="0" collapsed="false">
      <c r="A1009" s="218"/>
      <c r="B1009" s="251"/>
      <c r="C1009" s="251"/>
      <c r="D1009" s="251"/>
      <c r="E1009" s="212" t="s">
        <v>4385</v>
      </c>
      <c r="F1009" s="212" t="s">
        <v>4221</v>
      </c>
      <c r="G1009" s="212" t="n">
        <v>63</v>
      </c>
      <c r="H1009" s="212" t="s">
        <v>120</v>
      </c>
      <c r="I1009" s="250" t="n">
        <v>130.33</v>
      </c>
    </row>
    <row r="1010" customFormat="false" ht="13.8" hidden="false" customHeight="false" outlineLevel="0" collapsed="false">
      <c r="A1010" s="218"/>
      <c r="B1010" s="251"/>
      <c r="C1010" s="251"/>
      <c r="D1010" s="251"/>
      <c r="E1010" s="212" t="s">
        <v>4389</v>
      </c>
      <c r="F1010" s="212" t="s">
        <v>4221</v>
      </c>
      <c r="G1010" s="212" t="n">
        <v>90</v>
      </c>
      <c r="H1010" s="212" t="s">
        <v>120</v>
      </c>
      <c r="I1010" s="250" t="n">
        <v>40.67</v>
      </c>
    </row>
    <row r="1011" customFormat="false" ht="13.8" hidden="false" customHeight="false" outlineLevel="0" collapsed="false">
      <c r="A1011" s="218"/>
      <c r="B1011" s="251"/>
      <c r="C1011" s="251"/>
      <c r="D1011" s="251"/>
      <c r="E1011" s="212" t="s">
        <v>4392</v>
      </c>
      <c r="F1011" s="212" t="s">
        <v>4221</v>
      </c>
      <c r="G1011" s="212" t="n">
        <v>63</v>
      </c>
      <c r="H1011" s="212" t="s">
        <v>120</v>
      </c>
      <c r="I1011" s="250" t="n">
        <v>10.69</v>
      </c>
    </row>
    <row r="1012" customFormat="false" ht="13.8" hidden="false" customHeight="false" outlineLevel="0" collapsed="false">
      <c r="A1012" s="218"/>
      <c r="B1012" s="251"/>
      <c r="C1012" s="251"/>
      <c r="D1012" s="251"/>
      <c r="E1012" s="212" t="s">
        <v>4396</v>
      </c>
      <c r="F1012" s="212" t="s">
        <v>4221</v>
      </c>
      <c r="G1012" s="212" t="n">
        <v>90</v>
      </c>
      <c r="H1012" s="212" t="s">
        <v>120</v>
      </c>
      <c r="I1012" s="250" t="n">
        <v>127.42</v>
      </c>
    </row>
    <row r="1013" customFormat="false" ht="13.8" hidden="false" customHeight="false" outlineLevel="0" collapsed="false">
      <c r="A1013" s="218"/>
      <c r="B1013" s="251"/>
      <c r="C1013" s="251"/>
      <c r="D1013" s="251"/>
      <c r="E1013" s="212" t="s">
        <v>4399</v>
      </c>
      <c r="F1013" s="212" t="s">
        <v>4221</v>
      </c>
      <c r="G1013" s="212" t="n">
        <v>90</v>
      </c>
      <c r="H1013" s="212" t="s">
        <v>120</v>
      </c>
      <c r="I1013" s="250" t="n">
        <v>15.98</v>
      </c>
    </row>
    <row r="1014" customFormat="false" ht="13.8" hidden="false" customHeight="false" outlineLevel="0" collapsed="false">
      <c r="A1014" s="218"/>
      <c r="B1014" s="251"/>
      <c r="C1014" s="251"/>
      <c r="D1014" s="251"/>
      <c r="E1014" s="212" t="s">
        <v>4402</v>
      </c>
      <c r="F1014" s="212" t="s">
        <v>4221</v>
      </c>
      <c r="G1014" s="212" t="n">
        <v>90</v>
      </c>
      <c r="H1014" s="212" t="s">
        <v>120</v>
      </c>
      <c r="I1014" s="250" t="n">
        <v>41.6</v>
      </c>
    </row>
    <row r="1015" customFormat="false" ht="13.8" hidden="false" customHeight="false" outlineLevel="0" collapsed="false">
      <c r="A1015" s="218"/>
      <c r="B1015" s="251"/>
      <c r="C1015" s="251"/>
      <c r="D1015" s="251"/>
      <c r="E1015" s="212" t="s">
        <v>4406</v>
      </c>
      <c r="F1015" s="212" t="s">
        <v>4221</v>
      </c>
      <c r="G1015" s="212" t="n">
        <v>63</v>
      </c>
      <c r="H1015" s="212" t="s">
        <v>120</v>
      </c>
      <c r="I1015" s="250" t="n">
        <v>43.93</v>
      </c>
    </row>
    <row r="1016" customFormat="false" ht="13.8" hidden="false" customHeight="false" outlineLevel="0" collapsed="false">
      <c r="A1016" s="218"/>
      <c r="B1016" s="251"/>
      <c r="C1016" s="251"/>
      <c r="D1016" s="251"/>
      <c r="E1016" s="212" t="s">
        <v>4408</v>
      </c>
      <c r="F1016" s="212" t="s">
        <v>4221</v>
      </c>
      <c r="G1016" s="212" t="n">
        <v>160</v>
      </c>
      <c r="H1016" s="212" t="s">
        <v>120</v>
      </c>
      <c r="I1016" s="250" t="n">
        <v>17.57</v>
      </c>
    </row>
    <row r="1017" customFormat="false" ht="13.8" hidden="false" customHeight="false" outlineLevel="0" collapsed="false">
      <c r="A1017" s="218"/>
      <c r="B1017" s="251"/>
      <c r="C1017" s="251"/>
      <c r="D1017" s="251"/>
      <c r="E1017" s="212" t="s">
        <v>4412</v>
      </c>
      <c r="F1017" s="212" t="s">
        <v>4221</v>
      </c>
      <c r="G1017" s="212" t="n">
        <v>160</v>
      </c>
      <c r="H1017" s="212" t="s">
        <v>120</v>
      </c>
      <c r="I1017" s="250" t="n">
        <v>59.78</v>
      </c>
    </row>
    <row r="1018" customFormat="false" ht="13.8" hidden="false" customHeight="false" outlineLevel="0" collapsed="false">
      <c r="A1018" s="218"/>
      <c r="B1018" s="251"/>
      <c r="C1018" s="251"/>
      <c r="D1018" s="251"/>
      <c r="E1018" s="212" t="s">
        <v>4417</v>
      </c>
      <c r="F1018" s="212" t="s">
        <v>4221</v>
      </c>
      <c r="G1018" s="212" t="n">
        <v>63</v>
      </c>
      <c r="H1018" s="212" t="s">
        <v>120</v>
      </c>
      <c r="I1018" s="250" t="n">
        <v>131.68</v>
      </c>
    </row>
    <row r="1019" customFormat="false" ht="13.8" hidden="false" customHeight="false" outlineLevel="0" collapsed="false">
      <c r="A1019" s="218"/>
      <c r="B1019" s="251"/>
      <c r="C1019" s="251"/>
      <c r="D1019" s="251"/>
      <c r="E1019" s="212" t="s">
        <v>4421</v>
      </c>
      <c r="F1019" s="212" t="s">
        <v>4221</v>
      </c>
      <c r="G1019" s="212" t="n">
        <v>160</v>
      </c>
      <c r="H1019" s="212" t="s">
        <v>120</v>
      </c>
      <c r="I1019" s="250" t="n">
        <v>4.88</v>
      </c>
    </row>
    <row r="1020" customFormat="false" ht="13.8" hidden="false" customHeight="false" outlineLevel="0" collapsed="false">
      <c r="A1020" s="218"/>
      <c r="B1020" s="251"/>
      <c r="C1020" s="251"/>
      <c r="D1020" s="251"/>
      <c r="E1020" s="212" t="s">
        <v>4425</v>
      </c>
      <c r="F1020" s="212" t="s">
        <v>4221</v>
      </c>
      <c r="G1020" s="212" t="n">
        <v>160</v>
      </c>
      <c r="H1020" s="212" t="s">
        <v>120</v>
      </c>
      <c r="I1020" s="250" t="n">
        <v>139.96</v>
      </c>
    </row>
    <row r="1021" customFormat="false" ht="13.8" hidden="false" customHeight="false" outlineLevel="0" collapsed="false">
      <c r="A1021" s="218"/>
      <c r="B1021" s="251"/>
      <c r="C1021" s="251"/>
      <c r="D1021" s="251"/>
      <c r="E1021" s="212" t="s">
        <v>4428</v>
      </c>
      <c r="F1021" s="212" t="s">
        <v>4221</v>
      </c>
      <c r="G1021" s="212" t="n">
        <v>63</v>
      </c>
      <c r="H1021" s="212" t="s">
        <v>120</v>
      </c>
      <c r="I1021" s="250" t="n">
        <v>0.73</v>
      </c>
    </row>
    <row r="1022" customFormat="false" ht="13.8" hidden="false" customHeight="false" outlineLevel="0" collapsed="false">
      <c r="A1022" s="218"/>
      <c r="B1022" s="251"/>
      <c r="C1022" s="251"/>
      <c r="D1022" s="251"/>
      <c r="E1022" s="212" t="s">
        <v>4432</v>
      </c>
      <c r="F1022" s="212" t="s">
        <v>4221</v>
      </c>
      <c r="G1022" s="212" t="n">
        <v>63</v>
      </c>
      <c r="H1022" s="212" t="s">
        <v>120</v>
      </c>
      <c r="I1022" s="250" t="n">
        <v>62.84</v>
      </c>
    </row>
    <row r="1023" customFormat="false" ht="13.8" hidden="false" customHeight="false" outlineLevel="0" collapsed="false">
      <c r="A1023" s="218"/>
      <c r="B1023" s="251"/>
      <c r="C1023" s="251"/>
      <c r="D1023" s="251"/>
      <c r="E1023" s="212" t="s">
        <v>4434</v>
      </c>
      <c r="F1023" s="212" t="s">
        <v>4221</v>
      </c>
      <c r="G1023" s="212" t="n">
        <v>63</v>
      </c>
      <c r="H1023" s="212" t="s">
        <v>120</v>
      </c>
      <c r="I1023" s="250" t="n">
        <v>91.16</v>
      </c>
    </row>
    <row r="1024" customFormat="false" ht="13.8" hidden="false" customHeight="false" outlineLevel="0" collapsed="false">
      <c r="A1024" s="218"/>
      <c r="B1024" s="251"/>
      <c r="C1024" s="251"/>
      <c r="D1024" s="251"/>
      <c r="E1024" s="212" t="s">
        <v>4439</v>
      </c>
      <c r="F1024" s="212" t="s">
        <v>4221</v>
      </c>
      <c r="G1024" s="212" t="n">
        <v>63</v>
      </c>
      <c r="H1024" s="212" t="s">
        <v>120</v>
      </c>
      <c r="I1024" s="250" t="n">
        <v>14.49</v>
      </c>
    </row>
    <row r="1025" customFormat="false" ht="13.8" hidden="false" customHeight="false" outlineLevel="0" collapsed="false">
      <c r="A1025" s="218"/>
      <c r="B1025" s="251"/>
      <c r="C1025" s="251"/>
      <c r="D1025" s="251"/>
      <c r="E1025" s="212" t="s">
        <v>4443</v>
      </c>
      <c r="F1025" s="212" t="s">
        <v>4221</v>
      </c>
      <c r="G1025" s="212" t="n">
        <v>90</v>
      </c>
      <c r="H1025" s="212" t="s">
        <v>120</v>
      </c>
      <c r="I1025" s="250" t="n">
        <v>41.67</v>
      </c>
    </row>
    <row r="1026" customFormat="false" ht="13.8" hidden="false" customHeight="false" outlineLevel="0" collapsed="false">
      <c r="A1026" s="218"/>
      <c r="B1026" s="252"/>
      <c r="C1026" s="252"/>
      <c r="D1026" s="252"/>
      <c r="E1026" s="212" t="s">
        <v>4447</v>
      </c>
      <c r="F1026" s="212" t="s">
        <v>4221</v>
      </c>
      <c r="G1026" s="212" t="n">
        <v>63</v>
      </c>
      <c r="H1026" s="212" t="s">
        <v>120</v>
      </c>
      <c r="I1026" s="250" t="n">
        <v>81.68</v>
      </c>
    </row>
    <row r="1027" customFormat="false" ht="13.8" hidden="false" customHeight="false" outlineLevel="0" collapsed="false">
      <c r="A1027" s="218"/>
      <c r="B1027" s="249" t="s">
        <v>7044</v>
      </c>
      <c r="C1027" s="249" t="s">
        <v>117</v>
      </c>
      <c r="D1027" s="249" t="s">
        <v>2173</v>
      </c>
      <c r="E1027" s="212" t="s">
        <v>5416</v>
      </c>
      <c r="F1027" s="212" t="s">
        <v>5106</v>
      </c>
      <c r="G1027" s="212" t="n">
        <v>63</v>
      </c>
      <c r="H1027" s="212" t="s">
        <v>120</v>
      </c>
      <c r="I1027" s="250" t="n">
        <v>54.36</v>
      </c>
    </row>
    <row r="1028" customFormat="false" ht="13.8" hidden="false" customHeight="false" outlineLevel="0" collapsed="false">
      <c r="A1028" s="218"/>
      <c r="B1028" s="251"/>
      <c r="C1028" s="251"/>
      <c r="D1028" s="252"/>
      <c r="E1028" s="212" t="s">
        <v>5489</v>
      </c>
      <c r="F1028" s="212" t="s">
        <v>5106</v>
      </c>
      <c r="G1028" s="212" t="n">
        <v>63</v>
      </c>
      <c r="H1028" s="212" t="s">
        <v>120</v>
      </c>
      <c r="I1028" s="250" t="n">
        <v>108.12</v>
      </c>
    </row>
    <row r="1029" customFormat="false" ht="13.8" hidden="false" customHeight="false" outlineLevel="0" collapsed="false">
      <c r="A1029" s="218"/>
      <c r="B1029" s="251"/>
      <c r="C1029" s="251"/>
      <c r="D1029" s="249" t="s">
        <v>1548</v>
      </c>
      <c r="E1029" s="212" t="s">
        <v>5410</v>
      </c>
      <c r="F1029" s="212" t="s">
        <v>5106</v>
      </c>
      <c r="G1029" s="212" t="n">
        <v>110</v>
      </c>
      <c r="H1029" s="212" t="s">
        <v>120</v>
      </c>
      <c r="I1029" s="250" t="n">
        <v>113.36</v>
      </c>
    </row>
    <row r="1030" customFormat="false" ht="13.8" hidden="false" customHeight="false" outlineLevel="0" collapsed="false">
      <c r="A1030" s="218"/>
      <c r="B1030" s="251"/>
      <c r="C1030" s="251"/>
      <c r="D1030" s="251"/>
      <c r="E1030" s="212" t="s">
        <v>5421</v>
      </c>
      <c r="F1030" s="212" t="s">
        <v>5106</v>
      </c>
      <c r="G1030" s="212" t="n">
        <v>63</v>
      </c>
      <c r="H1030" s="212" t="s">
        <v>120</v>
      </c>
      <c r="I1030" s="250" t="n">
        <v>114</v>
      </c>
    </row>
    <row r="1031" customFormat="false" ht="13.8" hidden="false" customHeight="false" outlineLevel="0" collapsed="false">
      <c r="A1031" s="218"/>
      <c r="B1031" s="251"/>
      <c r="C1031" s="251"/>
      <c r="D1031" s="251"/>
      <c r="E1031" s="212" t="s">
        <v>5425</v>
      </c>
      <c r="F1031" s="212" t="s">
        <v>5106</v>
      </c>
      <c r="G1031" s="212" t="n">
        <v>63</v>
      </c>
      <c r="H1031" s="212" t="s">
        <v>120</v>
      </c>
      <c r="I1031" s="250" t="n">
        <v>133.51</v>
      </c>
    </row>
    <row r="1032" customFormat="false" ht="13.8" hidden="false" customHeight="false" outlineLevel="0" collapsed="false">
      <c r="A1032" s="218"/>
      <c r="B1032" s="251"/>
      <c r="C1032" s="251"/>
      <c r="D1032" s="251"/>
      <c r="E1032" s="212" t="s">
        <v>5428</v>
      </c>
      <c r="F1032" s="212" t="s">
        <v>5106</v>
      </c>
      <c r="G1032" s="212" t="n">
        <v>63</v>
      </c>
      <c r="H1032" s="212" t="s">
        <v>120</v>
      </c>
      <c r="I1032" s="250" t="n">
        <v>41.9</v>
      </c>
    </row>
    <row r="1033" customFormat="false" ht="13.8" hidden="false" customHeight="false" outlineLevel="0" collapsed="false">
      <c r="A1033" s="218"/>
      <c r="B1033" s="251"/>
      <c r="C1033" s="251"/>
      <c r="D1033" s="251"/>
      <c r="E1033" s="212" t="s">
        <v>5433</v>
      </c>
      <c r="F1033" s="212" t="s">
        <v>5106</v>
      </c>
      <c r="G1033" s="212" t="n">
        <v>110</v>
      </c>
      <c r="H1033" s="212" t="s">
        <v>120</v>
      </c>
      <c r="I1033" s="250" t="n">
        <v>18.77</v>
      </c>
    </row>
    <row r="1034" customFormat="false" ht="13.8" hidden="false" customHeight="false" outlineLevel="0" collapsed="false">
      <c r="A1034" s="218"/>
      <c r="B1034" s="251"/>
      <c r="C1034" s="251"/>
      <c r="D1034" s="251"/>
      <c r="E1034" s="212" t="s">
        <v>5436</v>
      </c>
      <c r="F1034" s="212" t="s">
        <v>5106</v>
      </c>
      <c r="G1034" s="212" t="n">
        <v>110</v>
      </c>
      <c r="H1034" s="212" t="s">
        <v>120</v>
      </c>
      <c r="I1034" s="250" t="n">
        <v>24.38</v>
      </c>
    </row>
    <row r="1035" customFormat="false" ht="13.8" hidden="false" customHeight="false" outlineLevel="0" collapsed="false">
      <c r="A1035" s="218"/>
      <c r="B1035" s="251"/>
      <c r="C1035" s="251"/>
      <c r="D1035" s="251"/>
      <c r="E1035" s="212" t="s">
        <v>5440</v>
      </c>
      <c r="F1035" s="212" t="s">
        <v>5106</v>
      </c>
      <c r="G1035" s="212" t="n">
        <v>63</v>
      </c>
      <c r="H1035" s="212" t="s">
        <v>120</v>
      </c>
      <c r="I1035" s="250" t="n">
        <v>345.1</v>
      </c>
    </row>
    <row r="1036" customFormat="false" ht="13.8" hidden="false" customHeight="false" outlineLevel="0" collapsed="false">
      <c r="A1036" s="218"/>
      <c r="B1036" s="251"/>
      <c r="C1036" s="251"/>
      <c r="D1036" s="251"/>
      <c r="E1036" s="212" t="s">
        <v>5443</v>
      </c>
      <c r="F1036" s="212" t="s">
        <v>5106</v>
      </c>
      <c r="G1036" s="212" t="n">
        <v>110</v>
      </c>
      <c r="H1036" s="212" t="s">
        <v>120</v>
      </c>
      <c r="I1036" s="250" t="n">
        <v>62.14</v>
      </c>
    </row>
    <row r="1037" customFormat="false" ht="13.8" hidden="false" customHeight="false" outlineLevel="0" collapsed="false">
      <c r="A1037" s="218"/>
      <c r="B1037" s="251"/>
      <c r="C1037" s="251"/>
      <c r="D1037" s="251"/>
      <c r="E1037" s="212" t="s">
        <v>5447</v>
      </c>
      <c r="F1037" s="212" t="s">
        <v>5106</v>
      </c>
      <c r="G1037" s="212" t="n">
        <v>63</v>
      </c>
      <c r="H1037" s="212" t="s">
        <v>120</v>
      </c>
      <c r="I1037" s="250" t="n">
        <v>123.71</v>
      </c>
    </row>
    <row r="1038" customFormat="false" ht="13.8" hidden="false" customHeight="false" outlineLevel="0" collapsed="false">
      <c r="A1038" s="218"/>
      <c r="B1038" s="251"/>
      <c r="C1038" s="251"/>
      <c r="D1038" s="251"/>
      <c r="E1038" s="212" t="s">
        <v>5450</v>
      </c>
      <c r="F1038" s="212" t="s">
        <v>5106</v>
      </c>
      <c r="G1038" s="212" t="n">
        <v>63</v>
      </c>
      <c r="H1038" s="212" t="s">
        <v>120</v>
      </c>
      <c r="I1038" s="250" t="n">
        <v>265.83</v>
      </c>
    </row>
    <row r="1039" customFormat="false" ht="13.8" hidden="false" customHeight="false" outlineLevel="0" collapsed="false">
      <c r="A1039" s="218"/>
      <c r="B1039" s="251"/>
      <c r="C1039" s="251"/>
      <c r="D1039" s="251"/>
      <c r="E1039" s="212" t="s">
        <v>5454</v>
      </c>
      <c r="F1039" s="212" t="s">
        <v>5106</v>
      </c>
      <c r="G1039" s="212" t="n">
        <v>160</v>
      </c>
      <c r="H1039" s="212" t="s">
        <v>120</v>
      </c>
      <c r="I1039" s="250" t="n">
        <v>11.62</v>
      </c>
    </row>
    <row r="1040" customFormat="false" ht="13.8" hidden="false" customHeight="false" outlineLevel="0" collapsed="false">
      <c r="A1040" s="218"/>
      <c r="B1040" s="251"/>
      <c r="C1040" s="251"/>
      <c r="D1040" s="251"/>
      <c r="E1040" s="212" t="s">
        <v>5459</v>
      </c>
      <c r="F1040" s="212" t="s">
        <v>5106</v>
      </c>
      <c r="G1040" s="212" t="n">
        <v>110</v>
      </c>
      <c r="H1040" s="212" t="s">
        <v>120</v>
      </c>
      <c r="I1040" s="250" t="n">
        <v>58.24</v>
      </c>
    </row>
    <row r="1041" customFormat="false" ht="13.8" hidden="false" customHeight="false" outlineLevel="0" collapsed="false">
      <c r="A1041" s="218"/>
      <c r="B1041" s="251"/>
      <c r="C1041" s="251"/>
      <c r="D1041" s="251"/>
      <c r="E1041" s="212" t="s">
        <v>5463</v>
      </c>
      <c r="F1041" s="212" t="s">
        <v>5106</v>
      </c>
      <c r="G1041" s="212" t="n">
        <v>160</v>
      </c>
      <c r="H1041" s="212" t="s">
        <v>120</v>
      </c>
      <c r="I1041" s="250" t="n">
        <v>234.47</v>
      </c>
    </row>
    <row r="1042" customFormat="false" ht="13.8" hidden="false" customHeight="false" outlineLevel="0" collapsed="false">
      <c r="A1042" s="218"/>
      <c r="B1042" s="251"/>
      <c r="C1042" s="251"/>
      <c r="D1042" s="251"/>
      <c r="E1042" s="212" t="s">
        <v>5466</v>
      </c>
      <c r="F1042" s="212" t="s">
        <v>5106</v>
      </c>
      <c r="G1042" s="212" t="n">
        <v>110</v>
      </c>
      <c r="H1042" s="212" t="s">
        <v>120</v>
      </c>
      <c r="I1042" s="250" t="n">
        <v>36.59</v>
      </c>
    </row>
    <row r="1043" customFormat="false" ht="13.8" hidden="false" customHeight="false" outlineLevel="0" collapsed="false">
      <c r="A1043" s="218"/>
      <c r="B1043" s="251"/>
      <c r="C1043" s="251"/>
      <c r="D1043" s="251"/>
      <c r="E1043" s="212" t="s">
        <v>5470</v>
      </c>
      <c r="F1043" s="212" t="s">
        <v>5106</v>
      </c>
      <c r="G1043" s="212" t="n">
        <v>63</v>
      </c>
      <c r="H1043" s="212" t="s">
        <v>120</v>
      </c>
      <c r="I1043" s="250" t="n">
        <v>257.74</v>
      </c>
    </row>
    <row r="1044" customFormat="false" ht="13.8" hidden="false" customHeight="false" outlineLevel="0" collapsed="false">
      <c r="A1044" s="218"/>
      <c r="B1044" s="251"/>
      <c r="C1044" s="251"/>
      <c r="D1044" s="251"/>
      <c r="E1044" s="212" t="s">
        <v>5474</v>
      </c>
      <c r="F1044" s="212" t="s">
        <v>5106</v>
      </c>
      <c r="G1044" s="212" t="n">
        <v>110</v>
      </c>
      <c r="H1044" s="212" t="s">
        <v>120</v>
      </c>
      <c r="I1044" s="250" t="n">
        <v>26.15</v>
      </c>
    </row>
    <row r="1045" customFormat="false" ht="13.8" hidden="false" customHeight="false" outlineLevel="0" collapsed="false">
      <c r="A1045" s="218"/>
      <c r="B1045" s="251"/>
      <c r="C1045" s="251"/>
      <c r="D1045" s="251"/>
      <c r="E1045" s="212" t="s">
        <v>5478</v>
      </c>
      <c r="F1045" s="212" t="s">
        <v>5106</v>
      </c>
      <c r="G1045" s="212" t="n">
        <v>63</v>
      </c>
      <c r="H1045" s="212" t="s">
        <v>120</v>
      </c>
      <c r="I1045" s="250" t="n">
        <v>186.25</v>
      </c>
    </row>
    <row r="1046" customFormat="false" ht="13.8" hidden="false" customHeight="false" outlineLevel="0" collapsed="false">
      <c r="A1046" s="218"/>
      <c r="B1046" s="251"/>
      <c r="C1046" s="251"/>
      <c r="D1046" s="251"/>
      <c r="E1046" s="212" t="s">
        <v>5482</v>
      </c>
      <c r="F1046" s="212" t="s">
        <v>5106</v>
      </c>
      <c r="G1046" s="212" t="n">
        <v>110</v>
      </c>
      <c r="H1046" s="212" t="s">
        <v>120</v>
      </c>
      <c r="I1046" s="250" t="n">
        <v>39.89</v>
      </c>
    </row>
    <row r="1047" customFormat="false" ht="13.8" hidden="false" customHeight="false" outlineLevel="0" collapsed="false">
      <c r="A1047" s="218"/>
      <c r="B1047" s="251"/>
      <c r="C1047" s="251"/>
      <c r="D1047" s="251"/>
      <c r="E1047" s="212" t="s">
        <v>5486</v>
      </c>
      <c r="F1047" s="212" t="s">
        <v>5106</v>
      </c>
      <c r="G1047" s="212" t="n">
        <v>63</v>
      </c>
      <c r="H1047" s="212" t="s">
        <v>120</v>
      </c>
      <c r="I1047" s="250" t="n">
        <v>2.68</v>
      </c>
    </row>
    <row r="1048" customFormat="false" ht="13.8" hidden="false" customHeight="false" outlineLevel="0" collapsed="false">
      <c r="A1048" s="218"/>
      <c r="B1048" s="251"/>
      <c r="C1048" s="251"/>
      <c r="D1048" s="251"/>
      <c r="E1048" s="212" t="s">
        <v>5492</v>
      </c>
      <c r="F1048" s="212" t="s">
        <v>5106</v>
      </c>
      <c r="G1048" s="212" t="n">
        <v>63</v>
      </c>
      <c r="H1048" s="212" t="s">
        <v>120</v>
      </c>
      <c r="I1048" s="250" t="n">
        <v>105.07</v>
      </c>
    </row>
    <row r="1049" customFormat="false" ht="13.8" hidden="false" customHeight="false" outlineLevel="0" collapsed="false">
      <c r="A1049" s="218"/>
      <c r="B1049" s="251"/>
      <c r="C1049" s="251"/>
      <c r="D1049" s="251"/>
      <c r="E1049" s="212" t="s">
        <v>5498</v>
      </c>
      <c r="F1049" s="212" t="s">
        <v>5106</v>
      </c>
      <c r="G1049" s="212" t="n">
        <v>63</v>
      </c>
      <c r="H1049" s="212" t="s">
        <v>120</v>
      </c>
      <c r="I1049" s="250" t="n">
        <v>93.07</v>
      </c>
    </row>
    <row r="1050" customFormat="false" ht="13.8" hidden="false" customHeight="false" outlineLevel="0" collapsed="false">
      <c r="A1050" s="218"/>
      <c r="B1050" s="251"/>
      <c r="C1050" s="251"/>
      <c r="D1050" s="251"/>
      <c r="E1050" s="212" t="s">
        <v>5502</v>
      </c>
      <c r="F1050" s="212" t="s">
        <v>5106</v>
      </c>
      <c r="G1050" s="212" t="n">
        <v>63</v>
      </c>
      <c r="H1050" s="212" t="s">
        <v>120</v>
      </c>
      <c r="I1050" s="250" t="n">
        <v>293.92</v>
      </c>
    </row>
    <row r="1051" customFormat="false" ht="13.8" hidden="false" customHeight="false" outlineLevel="0" collapsed="false">
      <c r="A1051" s="218"/>
      <c r="B1051" s="251"/>
      <c r="C1051" s="251"/>
      <c r="D1051" s="251"/>
      <c r="E1051" s="212" t="s">
        <v>5506</v>
      </c>
      <c r="F1051" s="212" t="s">
        <v>5106</v>
      </c>
      <c r="G1051" s="212" t="n">
        <v>63</v>
      </c>
      <c r="H1051" s="212" t="s">
        <v>120</v>
      </c>
      <c r="I1051" s="250" t="n">
        <v>16.76</v>
      </c>
    </row>
    <row r="1052" customFormat="false" ht="13.8" hidden="false" customHeight="false" outlineLevel="0" collapsed="false">
      <c r="A1052" s="218"/>
      <c r="B1052" s="251"/>
      <c r="C1052" s="251"/>
      <c r="D1052" s="251"/>
      <c r="E1052" s="212" t="s">
        <v>5509</v>
      </c>
      <c r="F1052" s="212" t="s">
        <v>5106</v>
      </c>
      <c r="G1052" s="212" t="n">
        <v>63</v>
      </c>
      <c r="H1052" s="212" t="s">
        <v>120</v>
      </c>
      <c r="I1052" s="250" t="n">
        <v>219.59</v>
      </c>
    </row>
    <row r="1053" customFormat="false" ht="13.8" hidden="false" customHeight="false" outlineLevel="0" collapsed="false">
      <c r="A1053" s="218"/>
      <c r="B1053" s="251"/>
      <c r="C1053" s="251"/>
      <c r="D1053" s="251"/>
      <c r="E1053" s="212" t="s">
        <v>5511</v>
      </c>
      <c r="F1053" s="212" t="s">
        <v>5106</v>
      </c>
      <c r="G1053" s="212" t="n">
        <v>63</v>
      </c>
      <c r="H1053" s="212" t="s">
        <v>120</v>
      </c>
      <c r="I1053" s="250" t="n">
        <v>33.98</v>
      </c>
    </row>
    <row r="1054" customFormat="false" ht="13.8" hidden="false" customHeight="false" outlineLevel="0" collapsed="false">
      <c r="A1054" s="218"/>
      <c r="B1054" s="251"/>
      <c r="C1054" s="251"/>
      <c r="D1054" s="251"/>
      <c r="E1054" s="212" t="s">
        <v>5515</v>
      </c>
      <c r="F1054" s="212" t="s">
        <v>5106</v>
      </c>
      <c r="G1054" s="212" t="n">
        <v>63</v>
      </c>
      <c r="H1054" s="212" t="s">
        <v>120</v>
      </c>
      <c r="I1054" s="250" t="n">
        <v>114.81</v>
      </c>
    </row>
    <row r="1055" customFormat="false" ht="13.8" hidden="false" customHeight="false" outlineLevel="0" collapsed="false">
      <c r="A1055" s="218"/>
      <c r="B1055" s="251"/>
      <c r="C1055" s="251"/>
      <c r="D1055" s="251"/>
      <c r="E1055" s="212" t="s">
        <v>5519</v>
      </c>
      <c r="F1055" s="212" t="s">
        <v>5106</v>
      </c>
      <c r="G1055" s="212" t="n">
        <v>63</v>
      </c>
      <c r="H1055" s="212" t="s">
        <v>120</v>
      </c>
      <c r="I1055" s="250" t="n">
        <v>76.06</v>
      </c>
    </row>
    <row r="1056" customFormat="false" ht="13.8" hidden="false" customHeight="false" outlineLevel="0" collapsed="false">
      <c r="A1056" s="218"/>
      <c r="B1056" s="251"/>
      <c r="C1056" s="251"/>
      <c r="D1056" s="251"/>
      <c r="E1056" s="212" t="s">
        <v>5523</v>
      </c>
      <c r="F1056" s="212" t="s">
        <v>5106</v>
      </c>
      <c r="G1056" s="212" t="n">
        <v>63</v>
      </c>
      <c r="H1056" s="212" t="s">
        <v>120</v>
      </c>
      <c r="I1056" s="250" t="n">
        <v>91.5</v>
      </c>
    </row>
    <row r="1057" customFormat="false" ht="13.8" hidden="false" customHeight="false" outlineLevel="0" collapsed="false">
      <c r="A1057" s="218"/>
      <c r="B1057" s="251"/>
      <c r="C1057" s="251"/>
      <c r="D1057" s="251"/>
      <c r="E1057" s="212" t="s">
        <v>5526</v>
      </c>
      <c r="F1057" s="212" t="s">
        <v>5106</v>
      </c>
      <c r="G1057" s="212" t="n">
        <v>63</v>
      </c>
      <c r="H1057" s="212" t="s">
        <v>120</v>
      </c>
      <c r="I1057" s="250" t="n">
        <v>240.89</v>
      </c>
    </row>
    <row r="1058" customFormat="false" ht="13.8" hidden="false" customHeight="false" outlineLevel="0" collapsed="false">
      <c r="A1058" s="218"/>
      <c r="B1058" s="252"/>
      <c r="C1058" s="252"/>
      <c r="D1058" s="252"/>
      <c r="E1058" s="212" t="s">
        <v>5532</v>
      </c>
      <c r="F1058" s="212" t="s">
        <v>5106</v>
      </c>
      <c r="G1058" s="212" t="n">
        <v>63</v>
      </c>
      <c r="H1058" s="212" t="s">
        <v>120</v>
      </c>
      <c r="I1058" s="250" t="n">
        <v>74.73</v>
      </c>
    </row>
    <row r="1059" customFormat="false" ht="13.8" hidden="false" customHeight="false" outlineLevel="0" collapsed="false">
      <c r="A1059" s="218"/>
      <c r="B1059" s="249" t="s">
        <v>7045</v>
      </c>
      <c r="C1059" s="249" t="s">
        <v>117</v>
      </c>
      <c r="D1059" s="249" t="s">
        <v>1548</v>
      </c>
      <c r="E1059" s="212" t="s">
        <v>4450</v>
      </c>
      <c r="F1059" s="212" t="s">
        <v>2224</v>
      </c>
      <c r="G1059" s="212" t="n">
        <v>500</v>
      </c>
      <c r="H1059" s="212" t="s">
        <v>120</v>
      </c>
      <c r="I1059" s="250" t="n">
        <v>539.54</v>
      </c>
    </row>
    <row r="1060" customFormat="false" ht="13.8" hidden="false" customHeight="false" outlineLevel="0" collapsed="false">
      <c r="A1060" s="218"/>
      <c r="B1060" s="251"/>
      <c r="C1060" s="251"/>
      <c r="D1060" s="251"/>
      <c r="E1060" s="212" t="s">
        <v>4457</v>
      </c>
      <c r="F1060" s="212" t="s">
        <v>4221</v>
      </c>
      <c r="G1060" s="212" t="n">
        <v>63</v>
      </c>
      <c r="H1060" s="212" t="s">
        <v>120</v>
      </c>
      <c r="I1060" s="250" t="n">
        <v>32.81</v>
      </c>
    </row>
    <row r="1061" customFormat="false" ht="13.8" hidden="false" customHeight="false" outlineLevel="0" collapsed="false">
      <c r="A1061" s="218"/>
      <c r="B1061" s="251"/>
      <c r="C1061" s="251"/>
      <c r="D1061" s="251"/>
      <c r="E1061" s="212" t="s">
        <v>4460</v>
      </c>
      <c r="F1061" s="212" t="s">
        <v>4221</v>
      </c>
      <c r="G1061" s="212" t="n">
        <v>160</v>
      </c>
      <c r="H1061" s="212" t="s">
        <v>120</v>
      </c>
      <c r="I1061" s="250" t="n">
        <v>48.67</v>
      </c>
    </row>
    <row r="1062" customFormat="false" ht="13.8" hidden="false" customHeight="false" outlineLevel="0" collapsed="false">
      <c r="A1062" s="218"/>
      <c r="B1062" s="251"/>
      <c r="C1062" s="251"/>
      <c r="D1062" s="251"/>
      <c r="E1062" s="212" t="s">
        <v>4464</v>
      </c>
      <c r="F1062" s="212" t="s">
        <v>4221</v>
      </c>
      <c r="G1062" s="212" t="n">
        <v>125</v>
      </c>
      <c r="H1062" s="212" t="s">
        <v>120</v>
      </c>
      <c r="I1062" s="250" t="n">
        <v>38.84</v>
      </c>
    </row>
    <row r="1063" customFormat="false" ht="13.8" hidden="false" customHeight="false" outlineLevel="0" collapsed="false">
      <c r="A1063" s="218"/>
      <c r="B1063" s="251"/>
      <c r="C1063" s="251"/>
      <c r="D1063" s="251"/>
      <c r="E1063" s="212" t="s">
        <v>4467</v>
      </c>
      <c r="F1063" s="212" t="s">
        <v>4221</v>
      </c>
      <c r="G1063" s="212" t="n">
        <v>110</v>
      </c>
      <c r="H1063" s="212" t="s">
        <v>120</v>
      </c>
      <c r="I1063" s="250" t="n">
        <v>41.5</v>
      </c>
    </row>
    <row r="1064" customFormat="false" ht="13.8" hidden="false" customHeight="false" outlineLevel="0" collapsed="false">
      <c r="A1064" s="218"/>
      <c r="B1064" s="251"/>
      <c r="C1064" s="251"/>
      <c r="D1064" s="251"/>
      <c r="E1064" s="212" t="s">
        <v>4471</v>
      </c>
      <c r="F1064" s="212" t="s">
        <v>4221</v>
      </c>
      <c r="G1064" s="212" t="n">
        <v>63</v>
      </c>
      <c r="H1064" s="212" t="s">
        <v>120</v>
      </c>
      <c r="I1064" s="250" t="n">
        <v>33.65</v>
      </c>
    </row>
    <row r="1065" customFormat="false" ht="13.8" hidden="false" customHeight="false" outlineLevel="0" collapsed="false">
      <c r="A1065" s="218"/>
      <c r="B1065" s="251"/>
      <c r="C1065" s="251"/>
      <c r="D1065" s="251"/>
      <c r="E1065" s="212" t="s">
        <v>4474</v>
      </c>
      <c r="F1065" s="212" t="s">
        <v>4221</v>
      </c>
      <c r="G1065" s="212" t="n">
        <v>110</v>
      </c>
      <c r="H1065" s="212" t="s">
        <v>120</v>
      </c>
      <c r="I1065" s="250" t="n">
        <v>76.5</v>
      </c>
    </row>
    <row r="1066" customFormat="false" ht="13.8" hidden="false" customHeight="false" outlineLevel="0" collapsed="false">
      <c r="A1066" s="218"/>
      <c r="B1066" s="251"/>
      <c r="C1066" s="251"/>
      <c r="D1066" s="251"/>
      <c r="E1066" s="212" t="s">
        <v>4478</v>
      </c>
      <c r="F1066" s="212" t="s">
        <v>4221</v>
      </c>
      <c r="G1066" s="212" t="n">
        <v>110</v>
      </c>
      <c r="H1066" s="212" t="s">
        <v>120</v>
      </c>
      <c r="I1066" s="250" t="n">
        <v>43.47</v>
      </c>
    </row>
    <row r="1067" customFormat="false" ht="13.8" hidden="false" customHeight="false" outlineLevel="0" collapsed="false">
      <c r="A1067" s="218"/>
      <c r="B1067" s="251"/>
      <c r="C1067" s="251"/>
      <c r="D1067" s="251"/>
      <c r="E1067" s="212" t="s">
        <v>4481</v>
      </c>
      <c r="F1067" s="212" t="s">
        <v>4221</v>
      </c>
      <c r="G1067" s="212" t="n">
        <v>160</v>
      </c>
      <c r="H1067" s="212" t="s">
        <v>120</v>
      </c>
      <c r="I1067" s="250" t="n">
        <v>88.42</v>
      </c>
    </row>
    <row r="1068" customFormat="false" ht="13.8" hidden="false" customHeight="false" outlineLevel="0" collapsed="false">
      <c r="A1068" s="218"/>
      <c r="B1068" s="251"/>
      <c r="C1068" s="251"/>
      <c r="D1068" s="251"/>
      <c r="E1068" s="212" t="s">
        <v>4484</v>
      </c>
      <c r="F1068" s="212" t="s">
        <v>4221</v>
      </c>
      <c r="G1068" s="212" t="n">
        <v>63</v>
      </c>
      <c r="H1068" s="212" t="s">
        <v>120</v>
      </c>
      <c r="I1068" s="250" t="n">
        <v>102.96</v>
      </c>
    </row>
    <row r="1069" customFormat="false" ht="13.8" hidden="false" customHeight="false" outlineLevel="0" collapsed="false">
      <c r="A1069" s="218"/>
      <c r="B1069" s="251"/>
      <c r="C1069" s="251"/>
      <c r="D1069" s="251"/>
      <c r="E1069" s="212" t="s">
        <v>4489</v>
      </c>
      <c r="F1069" s="212" t="s">
        <v>4221</v>
      </c>
      <c r="G1069" s="212" t="n">
        <v>110</v>
      </c>
      <c r="H1069" s="212" t="s">
        <v>120</v>
      </c>
      <c r="I1069" s="250" t="n">
        <v>6.05</v>
      </c>
    </row>
    <row r="1070" customFormat="false" ht="13.8" hidden="false" customHeight="false" outlineLevel="0" collapsed="false">
      <c r="A1070" s="218"/>
      <c r="B1070" s="251"/>
      <c r="C1070" s="251"/>
      <c r="D1070" s="251"/>
      <c r="E1070" s="212" t="s">
        <v>4493</v>
      </c>
      <c r="F1070" s="212" t="s">
        <v>4221</v>
      </c>
      <c r="G1070" s="212" t="n">
        <v>110</v>
      </c>
      <c r="H1070" s="212" t="s">
        <v>120</v>
      </c>
      <c r="I1070" s="250" t="n">
        <v>42.39</v>
      </c>
    </row>
    <row r="1071" customFormat="false" ht="13.8" hidden="false" customHeight="false" outlineLevel="0" collapsed="false">
      <c r="A1071" s="218"/>
      <c r="B1071" s="251"/>
      <c r="C1071" s="251"/>
      <c r="D1071" s="251"/>
      <c r="E1071" s="212" t="s">
        <v>4496</v>
      </c>
      <c r="F1071" s="212" t="s">
        <v>4221</v>
      </c>
      <c r="G1071" s="212" t="n">
        <v>63</v>
      </c>
      <c r="H1071" s="212" t="s">
        <v>120</v>
      </c>
      <c r="I1071" s="250" t="n">
        <v>121.59</v>
      </c>
    </row>
    <row r="1072" customFormat="false" ht="13.8" hidden="false" customHeight="false" outlineLevel="0" collapsed="false">
      <c r="A1072" s="218"/>
      <c r="B1072" s="251"/>
      <c r="C1072" s="251"/>
      <c r="D1072" s="251"/>
      <c r="E1072" s="212" t="s">
        <v>4501</v>
      </c>
      <c r="F1072" s="212" t="s">
        <v>4221</v>
      </c>
      <c r="G1072" s="212" t="n">
        <v>63</v>
      </c>
      <c r="H1072" s="212" t="s">
        <v>120</v>
      </c>
      <c r="I1072" s="250" t="n">
        <v>57.02</v>
      </c>
    </row>
    <row r="1073" customFormat="false" ht="13.8" hidden="false" customHeight="false" outlineLevel="0" collapsed="false">
      <c r="A1073" s="218"/>
      <c r="B1073" s="251"/>
      <c r="C1073" s="251"/>
      <c r="D1073" s="251"/>
      <c r="E1073" s="212" t="s">
        <v>4504</v>
      </c>
      <c r="F1073" s="212" t="s">
        <v>4221</v>
      </c>
      <c r="G1073" s="212" t="n">
        <v>110</v>
      </c>
      <c r="H1073" s="212" t="s">
        <v>120</v>
      </c>
      <c r="I1073" s="250" t="n">
        <v>144.08</v>
      </c>
    </row>
    <row r="1074" customFormat="false" ht="13.8" hidden="false" customHeight="false" outlineLevel="0" collapsed="false">
      <c r="A1074" s="218"/>
      <c r="B1074" s="251"/>
      <c r="C1074" s="251"/>
      <c r="D1074" s="251"/>
      <c r="E1074" s="212" t="s">
        <v>4508</v>
      </c>
      <c r="F1074" s="212" t="s">
        <v>4221</v>
      </c>
      <c r="G1074" s="212" t="n">
        <v>160</v>
      </c>
      <c r="H1074" s="212" t="s">
        <v>120</v>
      </c>
      <c r="I1074" s="250" t="n">
        <v>108.87</v>
      </c>
    </row>
    <row r="1075" customFormat="false" ht="13.8" hidden="false" customHeight="false" outlineLevel="0" collapsed="false">
      <c r="A1075" s="218"/>
      <c r="B1075" s="251"/>
      <c r="C1075" s="251"/>
      <c r="D1075" s="251"/>
      <c r="E1075" s="212" t="s">
        <v>4511</v>
      </c>
      <c r="F1075" s="212" t="s">
        <v>4221</v>
      </c>
      <c r="G1075" s="212" t="n">
        <v>63</v>
      </c>
      <c r="H1075" s="212" t="s">
        <v>120</v>
      </c>
      <c r="I1075" s="250" t="n">
        <v>47.3</v>
      </c>
    </row>
    <row r="1076" customFormat="false" ht="13.8" hidden="false" customHeight="false" outlineLevel="0" collapsed="false">
      <c r="A1076" s="218"/>
      <c r="B1076" s="251"/>
      <c r="C1076" s="251"/>
      <c r="D1076" s="251"/>
      <c r="E1076" s="212" t="s">
        <v>4514</v>
      </c>
      <c r="F1076" s="212" t="s">
        <v>4221</v>
      </c>
      <c r="G1076" s="212" t="n">
        <v>160</v>
      </c>
      <c r="H1076" s="212" t="s">
        <v>120</v>
      </c>
      <c r="I1076" s="250" t="n">
        <v>38.27</v>
      </c>
    </row>
    <row r="1077" customFormat="false" ht="13.8" hidden="false" customHeight="false" outlineLevel="0" collapsed="false">
      <c r="A1077" s="218"/>
      <c r="B1077" s="251"/>
      <c r="C1077" s="251"/>
      <c r="D1077" s="251"/>
      <c r="E1077" s="212" t="s">
        <v>4518</v>
      </c>
      <c r="F1077" s="212" t="s">
        <v>4221</v>
      </c>
      <c r="G1077" s="212" t="n">
        <v>63</v>
      </c>
      <c r="H1077" s="212" t="s">
        <v>120</v>
      </c>
      <c r="I1077" s="250" t="n">
        <v>57.64</v>
      </c>
    </row>
    <row r="1078" customFormat="false" ht="13.8" hidden="false" customHeight="false" outlineLevel="0" collapsed="false">
      <c r="A1078" s="218"/>
      <c r="B1078" s="251"/>
      <c r="C1078" s="251"/>
      <c r="D1078" s="251"/>
      <c r="E1078" s="212" t="s">
        <v>4523</v>
      </c>
      <c r="F1078" s="212" t="s">
        <v>4221</v>
      </c>
      <c r="G1078" s="212" t="n">
        <v>63</v>
      </c>
      <c r="H1078" s="212" t="s">
        <v>120</v>
      </c>
      <c r="I1078" s="250" t="n">
        <v>1.4</v>
      </c>
    </row>
    <row r="1079" customFormat="false" ht="13.8" hidden="false" customHeight="false" outlineLevel="0" collapsed="false">
      <c r="A1079" s="218"/>
      <c r="B1079" s="251"/>
      <c r="C1079" s="251"/>
      <c r="D1079" s="251"/>
      <c r="E1079" s="212" t="s">
        <v>4526</v>
      </c>
      <c r="F1079" s="212" t="s">
        <v>4221</v>
      </c>
      <c r="G1079" s="212" t="n">
        <v>160</v>
      </c>
      <c r="H1079" s="212" t="s">
        <v>120</v>
      </c>
      <c r="I1079" s="250" t="n">
        <v>28.68</v>
      </c>
    </row>
    <row r="1080" customFormat="false" ht="13.8" hidden="false" customHeight="false" outlineLevel="0" collapsed="false">
      <c r="A1080" s="218"/>
      <c r="B1080" s="251"/>
      <c r="C1080" s="251"/>
      <c r="D1080" s="251"/>
      <c r="E1080" s="212" t="s">
        <v>5536</v>
      </c>
      <c r="F1080" s="212" t="s">
        <v>5106</v>
      </c>
      <c r="G1080" s="212" t="n">
        <v>63</v>
      </c>
      <c r="H1080" s="212" t="s">
        <v>120</v>
      </c>
      <c r="I1080" s="250" t="n">
        <v>58.48</v>
      </c>
    </row>
    <row r="1081" customFormat="false" ht="13.8" hidden="false" customHeight="false" outlineLevel="0" collapsed="false">
      <c r="A1081" s="218"/>
      <c r="B1081" s="251"/>
      <c r="C1081" s="251"/>
      <c r="D1081" s="251"/>
      <c r="E1081" s="212" t="s">
        <v>5540</v>
      </c>
      <c r="F1081" s="212" t="s">
        <v>5106</v>
      </c>
      <c r="G1081" s="212" t="n">
        <v>63</v>
      </c>
      <c r="H1081" s="212" t="s">
        <v>120</v>
      </c>
      <c r="I1081" s="250" t="n">
        <v>102.91</v>
      </c>
    </row>
    <row r="1082" customFormat="false" ht="13.8" hidden="false" customHeight="false" outlineLevel="0" collapsed="false">
      <c r="A1082" s="218"/>
      <c r="B1082" s="251"/>
      <c r="C1082" s="251"/>
      <c r="D1082" s="251"/>
      <c r="E1082" s="212" t="s">
        <v>5545</v>
      </c>
      <c r="F1082" s="212" t="s">
        <v>5106</v>
      </c>
      <c r="G1082" s="212" t="n">
        <v>160</v>
      </c>
      <c r="H1082" s="212" t="s">
        <v>120</v>
      </c>
      <c r="I1082" s="250" t="n">
        <v>215.78</v>
      </c>
    </row>
    <row r="1083" customFormat="false" ht="13.8" hidden="false" customHeight="false" outlineLevel="0" collapsed="false">
      <c r="A1083" s="218"/>
      <c r="B1083" s="251"/>
      <c r="C1083" s="251"/>
      <c r="D1083" s="251"/>
      <c r="E1083" s="212" t="s">
        <v>5549</v>
      </c>
      <c r="F1083" s="212" t="s">
        <v>5106</v>
      </c>
      <c r="G1083" s="212" t="n">
        <v>63</v>
      </c>
      <c r="H1083" s="212" t="s">
        <v>120</v>
      </c>
      <c r="I1083" s="250" t="n">
        <v>88.7</v>
      </c>
    </row>
    <row r="1084" customFormat="false" ht="13.8" hidden="false" customHeight="false" outlineLevel="0" collapsed="false">
      <c r="A1084" s="218"/>
      <c r="B1084" s="251"/>
      <c r="C1084" s="251"/>
      <c r="D1084" s="251"/>
      <c r="E1084" s="212" t="s">
        <v>5553</v>
      </c>
      <c r="F1084" s="212" t="s">
        <v>5106</v>
      </c>
      <c r="G1084" s="212" t="n">
        <v>63</v>
      </c>
      <c r="H1084" s="212" t="s">
        <v>120</v>
      </c>
      <c r="I1084" s="250" t="n">
        <v>117.42</v>
      </c>
    </row>
    <row r="1085" customFormat="false" ht="13.8" hidden="false" customHeight="false" outlineLevel="0" collapsed="false">
      <c r="A1085" s="218"/>
      <c r="B1085" s="251"/>
      <c r="C1085" s="251"/>
      <c r="D1085" s="251"/>
      <c r="E1085" s="212" t="s">
        <v>5557</v>
      </c>
      <c r="F1085" s="212" t="s">
        <v>5106</v>
      </c>
      <c r="G1085" s="212" t="n">
        <v>160</v>
      </c>
      <c r="H1085" s="212" t="s">
        <v>120</v>
      </c>
      <c r="I1085" s="250" t="n">
        <v>4.47</v>
      </c>
    </row>
    <row r="1086" customFormat="false" ht="13.8" hidden="false" customHeight="false" outlineLevel="0" collapsed="false">
      <c r="A1086" s="218"/>
      <c r="B1086" s="251"/>
      <c r="C1086" s="251"/>
      <c r="D1086" s="251"/>
      <c r="E1086" s="212" t="s">
        <v>5560</v>
      </c>
      <c r="F1086" s="212" t="s">
        <v>5106</v>
      </c>
      <c r="G1086" s="212" t="n">
        <v>110</v>
      </c>
      <c r="H1086" s="212" t="s">
        <v>120</v>
      </c>
      <c r="I1086" s="250" t="n">
        <v>123.55</v>
      </c>
    </row>
    <row r="1087" customFormat="false" ht="13.8" hidden="false" customHeight="false" outlineLevel="0" collapsed="false">
      <c r="A1087" s="218"/>
      <c r="B1087" s="251"/>
      <c r="C1087" s="251"/>
      <c r="D1087" s="251"/>
      <c r="E1087" s="212" t="s">
        <v>5563</v>
      </c>
      <c r="F1087" s="212" t="s">
        <v>5106</v>
      </c>
      <c r="G1087" s="212" t="n">
        <v>110</v>
      </c>
      <c r="H1087" s="212" t="s">
        <v>120</v>
      </c>
      <c r="I1087" s="250" t="n">
        <v>69.62</v>
      </c>
    </row>
    <row r="1088" customFormat="false" ht="13.8" hidden="false" customHeight="false" outlineLevel="0" collapsed="false">
      <c r="A1088" s="218"/>
      <c r="B1088" s="251"/>
      <c r="C1088" s="251"/>
      <c r="D1088" s="251"/>
      <c r="E1088" s="212" t="s">
        <v>5566</v>
      </c>
      <c r="F1088" s="212" t="s">
        <v>5106</v>
      </c>
      <c r="G1088" s="212" t="n">
        <v>110</v>
      </c>
      <c r="H1088" s="212" t="s">
        <v>120</v>
      </c>
      <c r="I1088" s="250" t="n">
        <v>90.89</v>
      </c>
    </row>
    <row r="1089" customFormat="false" ht="13.8" hidden="false" customHeight="false" outlineLevel="0" collapsed="false">
      <c r="A1089" s="218"/>
      <c r="B1089" s="251"/>
      <c r="C1089" s="251"/>
      <c r="D1089" s="251"/>
      <c r="E1089" s="212" t="s">
        <v>5570</v>
      </c>
      <c r="F1089" s="212" t="s">
        <v>5106</v>
      </c>
      <c r="G1089" s="212" t="n">
        <v>63</v>
      </c>
      <c r="H1089" s="212" t="s">
        <v>120</v>
      </c>
      <c r="I1089" s="250" t="n">
        <v>36.05</v>
      </c>
    </row>
    <row r="1090" customFormat="false" ht="13.8" hidden="false" customHeight="false" outlineLevel="0" collapsed="false">
      <c r="A1090" s="218"/>
      <c r="B1090" s="251"/>
      <c r="C1090" s="251"/>
      <c r="D1090" s="251"/>
      <c r="E1090" s="212" t="s">
        <v>5575</v>
      </c>
      <c r="F1090" s="212" t="s">
        <v>5106</v>
      </c>
      <c r="G1090" s="212" t="n">
        <v>63</v>
      </c>
      <c r="H1090" s="212" t="s">
        <v>120</v>
      </c>
      <c r="I1090" s="250" t="n">
        <v>193.55</v>
      </c>
    </row>
    <row r="1091" customFormat="false" ht="13.8" hidden="false" customHeight="false" outlineLevel="0" collapsed="false">
      <c r="A1091" s="218"/>
      <c r="B1091" s="251"/>
      <c r="C1091" s="251"/>
      <c r="D1091" s="251"/>
      <c r="E1091" s="212" t="s">
        <v>6070</v>
      </c>
      <c r="F1091" s="212" t="s">
        <v>2224</v>
      </c>
      <c r="G1091" s="212" t="n">
        <v>500</v>
      </c>
      <c r="H1091" s="212" t="s">
        <v>120</v>
      </c>
      <c r="I1091" s="250" t="n">
        <v>13.13</v>
      </c>
    </row>
    <row r="1092" customFormat="false" ht="13.8" hidden="false" customHeight="false" outlineLevel="0" collapsed="false">
      <c r="A1092" s="218"/>
      <c r="B1092" s="251"/>
      <c r="C1092" s="251"/>
      <c r="D1092" s="251"/>
      <c r="E1092" s="212" t="s">
        <v>6074</v>
      </c>
      <c r="F1092" s="212" t="s">
        <v>2224</v>
      </c>
      <c r="G1092" s="212" t="n">
        <v>400</v>
      </c>
      <c r="H1092" s="212" t="s">
        <v>120</v>
      </c>
      <c r="I1092" s="250" t="n">
        <v>15.21</v>
      </c>
    </row>
    <row r="1093" customFormat="false" ht="13.8" hidden="false" customHeight="false" outlineLevel="0" collapsed="false">
      <c r="A1093" s="218"/>
      <c r="B1093" s="251"/>
      <c r="C1093" s="251"/>
      <c r="D1093" s="251"/>
      <c r="E1093" s="212" t="s">
        <v>6077</v>
      </c>
      <c r="F1093" s="212" t="s">
        <v>2224</v>
      </c>
      <c r="G1093" s="212" t="n">
        <v>500</v>
      </c>
      <c r="H1093" s="212" t="s">
        <v>120</v>
      </c>
      <c r="I1093" s="250" t="n">
        <v>137.91</v>
      </c>
    </row>
    <row r="1094" customFormat="false" ht="13.8" hidden="false" customHeight="false" outlineLevel="0" collapsed="false">
      <c r="A1094" s="218"/>
      <c r="B1094" s="251"/>
      <c r="C1094" s="251"/>
      <c r="D1094" s="251"/>
      <c r="E1094" s="212" t="s">
        <v>6082</v>
      </c>
      <c r="F1094" s="212" t="s">
        <v>6081</v>
      </c>
      <c r="G1094" s="212" t="n">
        <v>90</v>
      </c>
      <c r="H1094" s="212" t="s">
        <v>120</v>
      </c>
      <c r="I1094" s="250" t="n">
        <v>148.85</v>
      </c>
    </row>
    <row r="1095" customFormat="false" ht="13.8" hidden="false" customHeight="false" outlineLevel="0" collapsed="false">
      <c r="A1095" s="218"/>
      <c r="B1095" s="251"/>
      <c r="C1095" s="251"/>
      <c r="D1095" s="251"/>
      <c r="E1095" s="212" t="s">
        <v>6088</v>
      </c>
      <c r="F1095" s="212" t="s">
        <v>6081</v>
      </c>
      <c r="G1095" s="212" t="n">
        <v>63</v>
      </c>
      <c r="H1095" s="212" t="s">
        <v>120</v>
      </c>
      <c r="I1095" s="250" t="n">
        <v>99.46</v>
      </c>
    </row>
    <row r="1096" customFormat="false" ht="13.8" hidden="false" customHeight="false" outlineLevel="0" collapsed="false">
      <c r="A1096" s="218"/>
      <c r="B1096" s="251"/>
      <c r="C1096" s="251"/>
      <c r="D1096" s="251"/>
      <c r="E1096" s="212" t="s">
        <v>6093</v>
      </c>
      <c r="F1096" s="212" t="s">
        <v>6081</v>
      </c>
      <c r="G1096" s="212" t="n">
        <v>63</v>
      </c>
      <c r="H1096" s="212" t="s">
        <v>120</v>
      </c>
      <c r="I1096" s="250" t="n">
        <v>65.03</v>
      </c>
    </row>
    <row r="1097" customFormat="false" ht="13.8" hidden="false" customHeight="false" outlineLevel="0" collapsed="false">
      <c r="A1097" s="218"/>
      <c r="B1097" s="252"/>
      <c r="C1097" s="252"/>
      <c r="D1097" s="252"/>
      <c r="E1097" s="212" t="s">
        <v>6097</v>
      </c>
      <c r="F1097" s="212" t="s">
        <v>6081</v>
      </c>
      <c r="G1097" s="212" t="n">
        <v>90</v>
      </c>
      <c r="H1097" s="212" t="s">
        <v>120</v>
      </c>
      <c r="I1097" s="250" t="n">
        <v>7.85</v>
      </c>
    </row>
    <row r="1098" customFormat="false" ht="13.8" hidden="false" customHeight="false" outlineLevel="0" collapsed="false">
      <c r="A1098" s="218"/>
      <c r="B1098" s="249" t="s">
        <v>7046</v>
      </c>
      <c r="C1098" s="249" t="s">
        <v>117</v>
      </c>
      <c r="D1098" s="249" t="s">
        <v>1548</v>
      </c>
      <c r="E1098" s="212" t="s">
        <v>4215</v>
      </c>
      <c r="F1098" s="212" t="s">
        <v>3786</v>
      </c>
      <c r="G1098" s="212" t="n">
        <v>63</v>
      </c>
      <c r="H1098" s="212" t="s">
        <v>120</v>
      </c>
      <c r="I1098" s="250" t="n">
        <v>28.95</v>
      </c>
    </row>
    <row r="1099" customFormat="false" ht="13.8" hidden="false" customHeight="false" outlineLevel="0" collapsed="false">
      <c r="A1099" s="218"/>
      <c r="B1099" s="251"/>
      <c r="C1099" s="251"/>
      <c r="D1099" s="251"/>
      <c r="E1099" s="212" t="s">
        <v>4529</v>
      </c>
      <c r="F1099" s="212" t="s">
        <v>2224</v>
      </c>
      <c r="G1099" s="212" t="n">
        <v>400</v>
      </c>
      <c r="H1099" s="212" t="s">
        <v>120</v>
      </c>
      <c r="I1099" s="250" t="n">
        <v>593.72</v>
      </c>
    </row>
    <row r="1100" customFormat="false" ht="13.8" hidden="false" customHeight="false" outlineLevel="0" collapsed="false">
      <c r="A1100" s="218"/>
      <c r="B1100" s="251"/>
      <c r="C1100" s="251"/>
      <c r="D1100" s="251"/>
      <c r="E1100" s="212" t="s">
        <v>4532</v>
      </c>
      <c r="F1100" s="212" t="s">
        <v>4221</v>
      </c>
      <c r="G1100" s="212" t="n">
        <v>63</v>
      </c>
      <c r="H1100" s="212" t="s">
        <v>120</v>
      </c>
      <c r="I1100" s="250" t="n">
        <v>43.9</v>
      </c>
    </row>
    <row r="1101" customFormat="false" ht="13.8" hidden="false" customHeight="false" outlineLevel="0" collapsed="false">
      <c r="A1101" s="218"/>
      <c r="B1101" s="251"/>
      <c r="C1101" s="251"/>
      <c r="D1101" s="251"/>
      <c r="E1101" s="212" t="s">
        <v>4534</v>
      </c>
      <c r="F1101" s="212" t="s">
        <v>4221</v>
      </c>
      <c r="G1101" s="212" t="n">
        <v>90</v>
      </c>
      <c r="H1101" s="212" t="s">
        <v>120</v>
      </c>
      <c r="I1101" s="250" t="n">
        <v>47.08</v>
      </c>
    </row>
    <row r="1102" customFormat="false" ht="13.8" hidden="false" customHeight="false" outlineLevel="0" collapsed="false">
      <c r="A1102" s="218"/>
      <c r="B1102" s="251"/>
      <c r="C1102" s="251"/>
      <c r="D1102" s="251"/>
      <c r="E1102" s="212" t="s">
        <v>4537</v>
      </c>
      <c r="F1102" s="212" t="s">
        <v>4221</v>
      </c>
      <c r="G1102" s="212" t="n">
        <v>63</v>
      </c>
      <c r="H1102" s="212" t="s">
        <v>120</v>
      </c>
      <c r="I1102" s="250" t="n">
        <v>91.41</v>
      </c>
    </row>
    <row r="1103" customFormat="false" ht="13.8" hidden="false" customHeight="false" outlineLevel="0" collapsed="false">
      <c r="A1103" s="218"/>
      <c r="B1103" s="251"/>
      <c r="C1103" s="251"/>
      <c r="D1103" s="251"/>
      <c r="E1103" s="212" t="s">
        <v>4541</v>
      </c>
      <c r="F1103" s="212" t="s">
        <v>4221</v>
      </c>
      <c r="G1103" s="212" t="n">
        <v>63</v>
      </c>
      <c r="H1103" s="212" t="s">
        <v>120</v>
      </c>
      <c r="I1103" s="250" t="n">
        <v>91.46</v>
      </c>
    </row>
    <row r="1104" customFormat="false" ht="13.8" hidden="false" customHeight="false" outlineLevel="0" collapsed="false">
      <c r="A1104" s="218"/>
      <c r="B1104" s="251"/>
      <c r="C1104" s="251"/>
      <c r="D1104" s="251"/>
      <c r="E1104" s="212" t="s">
        <v>4544</v>
      </c>
      <c r="F1104" s="212" t="s">
        <v>4221</v>
      </c>
      <c r="G1104" s="212" t="n">
        <v>160</v>
      </c>
      <c r="H1104" s="212" t="s">
        <v>120</v>
      </c>
      <c r="I1104" s="250" t="n">
        <v>131.18</v>
      </c>
    </row>
    <row r="1105" customFormat="false" ht="13.8" hidden="false" customHeight="false" outlineLevel="0" collapsed="false">
      <c r="A1105" s="218"/>
      <c r="B1105" s="251"/>
      <c r="C1105" s="251"/>
      <c r="D1105" s="251"/>
      <c r="E1105" s="212" t="s">
        <v>4548</v>
      </c>
      <c r="F1105" s="212" t="s">
        <v>4221</v>
      </c>
      <c r="G1105" s="212" t="n">
        <v>63</v>
      </c>
      <c r="H1105" s="212" t="s">
        <v>120</v>
      </c>
      <c r="I1105" s="250" t="n">
        <v>3.45</v>
      </c>
    </row>
    <row r="1106" customFormat="false" ht="13.8" hidden="false" customHeight="false" outlineLevel="0" collapsed="false">
      <c r="A1106" s="218"/>
      <c r="B1106" s="251"/>
      <c r="C1106" s="251"/>
      <c r="D1106" s="251"/>
      <c r="E1106" s="212" t="s">
        <v>4550</v>
      </c>
      <c r="F1106" s="212" t="s">
        <v>4221</v>
      </c>
      <c r="G1106" s="212" t="n">
        <v>90</v>
      </c>
      <c r="H1106" s="212" t="s">
        <v>120</v>
      </c>
      <c r="I1106" s="250" t="n">
        <v>48.46</v>
      </c>
    </row>
    <row r="1107" customFormat="false" ht="13.8" hidden="false" customHeight="false" outlineLevel="0" collapsed="false">
      <c r="A1107" s="218"/>
      <c r="B1107" s="251"/>
      <c r="C1107" s="251"/>
      <c r="D1107" s="251"/>
      <c r="E1107" s="212" t="s">
        <v>4554</v>
      </c>
      <c r="F1107" s="212" t="s">
        <v>4221</v>
      </c>
      <c r="G1107" s="212" t="n">
        <v>63</v>
      </c>
      <c r="H1107" s="212" t="s">
        <v>120</v>
      </c>
      <c r="I1107" s="250" t="n">
        <v>36.64</v>
      </c>
    </row>
    <row r="1108" customFormat="false" ht="13.8" hidden="false" customHeight="false" outlineLevel="0" collapsed="false">
      <c r="A1108" s="218"/>
      <c r="B1108" s="251"/>
      <c r="C1108" s="251"/>
      <c r="D1108" s="251"/>
      <c r="E1108" s="212" t="s">
        <v>4556</v>
      </c>
      <c r="F1108" s="212" t="s">
        <v>4221</v>
      </c>
      <c r="G1108" s="212" t="n">
        <v>110</v>
      </c>
      <c r="H1108" s="212" t="s">
        <v>120</v>
      </c>
      <c r="I1108" s="250" t="n">
        <v>46.04</v>
      </c>
    </row>
    <row r="1109" customFormat="false" ht="13.8" hidden="false" customHeight="false" outlineLevel="0" collapsed="false">
      <c r="A1109" s="218"/>
      <c r="B1109" s="251"/>
      <c r="C1109" s="251"/>
      <c r="D1109" s="251"/>
      <c r="E1109" s="212" t="s">
        <v>4559</v>
      </c>
      <c r="F1109" s="212" t="s">
        <v>4221</v>
      </c>
      <c r="G1109" s="212" t="n">
        <v>110</v>
      </c>
      <c r="H1109" s="212" t="s">
        <v>120</v>
      </c>
      <c r="I1109" s="250" t="n">
        <v>29.28</v>
      </c>
    </row>
    <row r="1110" customFormat="false" ht="13.8" hidden="false" customHeight="false" outlineLevel="0" collapsed="false">
      <c r="A1110" s="218"/>
      <c r="B1110" s="251"/>
      <c r="C1110" s="251"/>
      <c r="D1110" s="251"/>
      <c r="E1110" s="212" t="s">
        <v>4562</v>
      </c>
      <c r="F1110" s="212" t="s">
        <v>4221</v>
      </c>
      <c r="G1110" s="212" t="n">
        <v>63</v>
      </c>
      <c r="H1110" s="212" t="s">
        <v>120</v>
      </c>
      <c r="I1110" s="250" t="n">
        <v>41.77</v>
      </c>
    </row>
    <row r="1111" customFormat="false" ht="13.8" hidden="false" customHeight="false" outlineLevel="0" collapsed="false">
      <c r="A1111" s="218"/>
      <c r="B1111" s="251"/>
      <c r="C1111" s="251"/>
      <c r="D1111" s="251"/>
      <c r="E1111" s="212" t="s">
        <v>4566</v>
      </c>
      <c r="F1111" s="212" t="s">
        <v>4221</v>
      </c>
      <c r="G1111" s="212" t="n">
        <v>63</v>
      </c>
      <c r="H1111" s="212" t="s">
        <v>120</v>
      </c>
      <c r="I1111" s="250" t="n">
        <v>101.57</v>
      </c>
    </row>
    <row r="1112" customFormat="false" ht="13.8" hidden="false" customHeight="false" outlineLevel="0" collapsed="false">
      <c r="A1112" s="218"/>
      <c r="B1112" s="251"/>
      <c r="C1112" s="251"/>
      <c r="D1112" s="251"/>
      <c r="E1112" s="212" t="s">
        <v>4571</v>
      </c>
      <c r="F1112" s="212" t="s">
        <v>4221</v>
      </c>
      <c r="G1112" s="212" t="n">
        <v>90</v>
      </c>
      <c r="H1112" s="212" t="s">
        <v>120</v>
      </c>
      <c r="I1112" s="250" t="n">
        <v>33.6</v>
      </c>
    </row>
    <row r="1113" customFormat="false" ht="13.8" hidden="false" customHeight="false" outlineLevel="0" collapsed="false">
      <c r="A1113" s="218"/>
      <c r="B1113" s="251"/>
      <c r="C1113" s="251"/>
      <c r="D1113" s="251"/>
      <c r="E1113" s="212" t="s">
        <v>4575</v>
      </c>
      <c r="F1113" s="212" t="s">
        <v>4221</v>
      </c>
      <c r="G1113" s="212" t="n">
        <v>160</v>
      </c>
      <c r="H1113" s="212" t="s">
        <v>120</v>
      </c>
      <c r="I1113" s="250" t="n">
        <v>5.08</v>
      </c>
    </row>
    <row r="1114" customFormat="false" ht="13.8" hidden="false" customHeight="false" outlineLevel="0" collapsed="false">
      <c r="A1114" s="218"/>
      <c r="B1114" s="251"/>
      <c r="C1114" s="251"/>
      <c r="D1114" s="251"/>
      <c r="E1114" s="212" t="s">
        <v>4578</v>
      </c>
      <c r="F1114" s="212" t="s">
        <v>4221</v>
      </c>
      <c r="G1114" s="212" t="n">
        <v>160</v>
      </c>
      <c r="H1114" s="212" t="s">
        <v>120</v>
      </c>
      <c r="I1114" s="250" t="n">
        <v>3.02</v>
      </c>
    </row>
    <row r="1115" customFormat="false" ht="13.8" hidden="false" customHeight="false" outlineLevel="0" collapsed="false">
      <c r="A1115" s="218"/>
      <c r="B1115" s="251"/>
      <c r="C1115" s="251"/>
      <c r="D1115" s="251"/>
      <c r="E1115" s="212" t="s">
        <v>4581</v>
      </c>
      <c r="F1115" s="212" t="s">
        <v>4221</v>
      </c>
      <c r="G1115" s="212" t="n">
        <v>63</v>
      </c>
      <c r="H1115" s="212" t="s">
        <v>120</v>
      </c>
      <c r="I1115" s="250" t="n">
        <v>104.55</v>
      </c>
    </row>
    <row r="1116" customFormat="false" ht="13.8" hidden="false" customHeight="false" outlineLevel="0" collapsed="false">
      <c r="A1116" s="218"/>
      <c r="B1116" s="251"/>
      <c r="C1116" s="251"/>
      <c r="D1116" s="251"/>
      <c r="E1116" s="212" t="s">
        <v>4585</v>
      </c>
      <c r="F1116" s="212" t="s">
        <v>4221</v>
      </c>
      <c r="G1116" s="212" t="n">
        <v>63</v>
      </c>
      <c r="H1116" s="212" t="s">
        <v>120</v>
      </c>
      <c r="I1116" s="250" t="n">
        <v>58.87</v>
      </c>
    </row>
    <row r="1117" customFormat="false" ht="13.8" hidden="false" customHeight="false" outlineLevel="0" collapsed="false">
      <c r="A1117" s="218"/>
      <c r="B1117" s="251"/>
      <c r="C1117" s="251"/>
      <c r="D1117" s="251"/>
      <c r="E1117" s="212" t="s">
        <v>4589</v>
      </c>
      <c r="F1117" s="212" t="s">
        <v>4221</v>
      </c>
      <c r="G1117" s="212" t="n">
        <v>63</v>
      </c>
      <c r="H1117" s="212" t="s">
        <v>120</v>
      </c>
      <c r="I1117" s="250" t="n">
        <v>107.22</v>
      </c>
    </row>
    <row r="1118" customFormat="false" ht="13.8" hidden="false" customHeight="false" outlineLevel="0" collapsed="false">
      <c r="A1118" s="218"/>
      <c r="B1118" s="251"/>
      <c r="C1118" s="251"/>
      <c r="D1118" s="251"/>
      <c r="E1118" s="212" t="s">
        <v>4593</v>
      </c>
      <c r="F1118" s="212" t="s">
        <v>4221</v>
      </c>
      <c r="G1118" s="212" t="n">
        <v>63</v>
      </c>
      <c r="H1118" s="212" t="s">
        <v>120</v>
      </c>
      <c r="I1118" s="250" t="n">
        <v>230.06</v>
      </c>
    </row>
    <row r="1119" customFormat="false" ht="13.8" hidden="false" customHeight="false" outlineLevel="0" collapsed="false">
      <c r="A1119" s="218"/>
      <c r="B1119" s="251"/>
      <c r="C1119" s="251"/>
      <c r="D1119" s="251"/>
      <c r="E1119" s="212" t="s">
        <v>4597</v>
      </c>
      <c r="F1119" s="212" t="s">
        <v>4221</v>
      </c>
      <c r="G1119" s="212" t="n">
        <v>63</v>
      </c>
      <c r="H1119" s="212" t="s">
        <v>120</v>
      </c>
      <c r="I1119" s="250" t="n">
        <v>78.6</v>
      </c>
    </row>
    <row r="1120" customFormat="false" ht="13.8" hidden="false" customHeight="false" outlineLevel="0" collapsed="false">
      <c r="A1120" s="218"/>
      <c r="B1120" s="251"/>
      <c r="C1120" s="251"/>
      <c r="D1120" s="251"/>
      <c r="E1120" s="212" t="s">
        <v>4601</v>
      </c>
      <c r="F1120" s="212" t="s">
        <v>4221</v>
      </c>
      <c r="G1120" s="212" t="n">
        <v>63</v>
      </c>
      <c r="H1120" s="212" t="s">
        <v>120</v>
      </c>
      <c r="I1120" s="250" t="n">
        <v>238.59</v>
      </c>
    </row>
    <row r="1121" customFormat="false" ht="13.8" hidden="false" customHeight="false" outlineLevel="0" collapsed="false">
      <c r="A1121" s="218"/>
      <c r="B1121" s="251"/>
      <c r="C1121" s="251"/>
      <c r="D1121" s="251"/>
      <c r="E1121" s="212" t="s">
        <v>4605</v>
      </c>
      <c r="F1121" s="212" t="s">
        <v>4221</v>
      </c>
      <c r="G1121" s="212" t="n">
        <v>160</v>
      </c>
      <c r="H1121" s="212" t="s">
        <v>120</v>
      </c>
      <c r="I1121" s="250" t="n">
        <v>132.2</v>
      </c>
    </row>
    <row r="1122" customFormat="false" ht="13.8" hidden="false" customHeight="false" outlineLevel="0" collapsed="false">
      <c r="A1122" s="218"/>
      <c r="B1122" s="251"/>
      <c r="C1122" s="251"/>
      <c r="D1122" s="251"/>
      <c r="E1122" s="212" t="s">
        <v>4608</v>
      </c>
      <c r="F1122" s="212" t="s">
        <v>4221</v>
      </c>
      <c r="G1122" s="212" t="n">
        <v>63</v>
      </c>
      <c r="H1122" s="212" t="s">
        <v>120</v>
      </c>
      <c r="I1122" s="250" t="n">
        <v>62.93</v>
      </c>
    </row>
    <row r="1123" customFormat="false" ht="13.8" hidden="false" customHeight="false" outlineLevel="0" collapsed="false">
      <c r="A1123" s="218"/>
      <c r="B1123" s="251"/>
      <c r="C1123" s="251"/>
      <c r="D1123" s="251"/>
      <c r="E1123" s="212" t="s">
        <v>4612</v>
      </c>
      <c r="F1123" s="212" t="s">
        <v>4221</v>
      </c>
      <c r="G1123" s="212" t="n">
        <v>63</v>
      </c>
      <c r="H1123" s="212" t="s">
        <v>120</v>
      </c>
      <c r="I1123" s="250" t="n">
        <v>147.98</v>
      </c>
    </row>
    <row r="1124" customFormat="false" ht="13.8" hidden="false" customHeight="false" outlineLevel="0" collapsed="false">
      <c r="A1124" s="218"/>
      <c r="B1124" s="251"/>
      <c r="C1124" s="251"/>
      <c r="D1124" s="251"/>
      <c r="E1124" s="212" t="s">
        <v>4616</v>
      </c>
      <c r="F1124" s="212" t="s">
        <v>4221</v>
      </c>
      <c r="G1124" s="212" t="n">
        <v>63</v>
      </c>
      <c r="H1124" s="212" t="s">
        <v>120</v>
      </c>
      <c r="I1124" s="250" t="n">
        <v>247.4</v>
      </c>
    </row>
    <row r="1125" customFormat="false" ht="13.8" hidden="false" customHeight="false" outlineLevel="0" collapsed="false">
      <c r="A1125" s="218"/>
      <c r="B1125" s="251"/>
      <c r="C1125" s="251"/>
      <c r="D1125" s="251"/>
      <c r="E1125" s="212" t="s">
        <v>4620</v>
      </c>
      <c r="F1125" s="212" t="s">
        <v>4221</v>
      </c>
      <c r="G1125" s="212" t="n">
        <v>63</v>
      </c>
      <c r="H1125" s="212" t="s">
        <v>120</v>
      </c>
      <c r="I1125" s="250" t="n">
        <v>114.75</v>
      </c>
    </row>
    <row r="1126" customFormat="false" ht="13.8" hidden="false" customHeight="false" outlineLevel="0" collapsed="false">
      <c r="A1126" s="218"/>
      <c r="B1126" s="251"/>
      <c r="C1126" s="251"/>
      <c r="D1126" s="251"/>
      <c r="E1126" s="212" t="s">
        <v>4624</v>
      </c>
      <c r="F1126" s="212" t="s">
        <v>4221</v>
      </c>
      <c r="G1126" s="212" t="n">
        <v>63</v>
      </c>
      <c r="H1126" s="212" t="s">
        <v>120</v>
      </c>
      <c r="I1126" s="250" t="n">
        <v>53.37</v>
      </c>
    </row>
    <row r="1127" customFormat="false" ht="13.8" hidden="false" customHeight="false" outlineLevel="0" collapsed="false">
      <c r="A1127" s="218"/>
      <c r="B1127" s="251"/>
      <c r="C1127" s="251"/>
      <c r="D1127" s="251"/>
      <c r="E1127" s="212" t="s">
        <v>4628</v>
      </c>
      <c r="F1127" s="212" t="s">
        <v>4221</v>
      </c>
      <c r="G1127" s="212" t="n">
        <v>160</v>
      </c>
      <c r="H1127" s="212" t="s">
        <v>120</v>
      </c>
      <c r="I1127" s="250" t="n">
        <v>48.92</v>
      </c>
    </row>
    <row r="1128" customFormat="false" ht="13.8" hidden="false" customHeight="false" outlineLevel="0" collapsed="false">
      <c r="A1128" s="218"/>
      <c r="B1128" s="251"/>
      <c r="C1128" s="251"/>
      <c r="D1128" s="251"/>
      <c r="E1128" s="212" t="s">
        <v>4631</v>
      </c>
      <c r="F1128" s="212" t="s">
        <v>4221</v>
      </c>
      <c r="G1128" s="212" t="n">
        <v>63</v>
      </c>
      <c r="H1128" s="212" t="s">
        <v>120</v>
      </c>
      <c r="I1128" s="250" t="n">
        <v>146.02</v>
      </c>
    </row>
    <row r="1129" customFormat="false" ht="13.8" hidden="false" customHeight="false" outlineLevel="0" collapsed="false">
      <c r="A1129" s="218"/>
      <c r="B1129" s="251"/>
      <c r="C1129" s="251"/>
      <c r="D1129" s="251"/>
      <c r="E1129" s="212" t="s">
        <v>4636</v>
      </c>
      <c r="F1129" s="212" t="s">
        <v>4221</v>
      </c>
      <c r="G1129" s="212" t="n">
        <v>160</v>
      </c>
      <c r="H1129" s="212" t="s">
        <v>120</v>
      </c>
      <c r="I1129" s="250" t="n">
        <v>38.34</v>
      </c>
    </row>
    <row r="1130" customFormat="false" ht="13.8" hidden="false" customHeight="false" outlineLevel="0" collapsed="false">
      <c r="A1130" s="218"/>
      <c r="B1130" s="251"/>
      <c r="C1130" s="251"/>
      <c r="D1130" s="251"/>
      <c r="E1130" s="212" t="s">
        <v>4639</v>
      </c>
      <c r="F1130" s="212" t="s">
        <v>4221</v>
      </c>
      <c r="G1130" s="212" t="n">
        <v>63</v>
      </c>
      <c r="H1130" s="212" t="s">
        <v>120</v>
      </c>
      <c r="I1130" s="250" t="n">
        <v>102.8</v>
      </c>
    </row>
    <row r="1131" customFormat="false" ht="13.8" hidden="false" customHeight="false" outlineLevel="0" collapsed="false">
      <c r="A1131" s="218"/>
      <c r="B1131" s="251"/>
      <c r="C1131" s="251"/>
      <c r="D1131" s="251"/>
      <c r="E1131" s="212" t="s">
        <v>4643</v>
      </c>
      <c r="F1131" s="212" t="s">
        <v>4221</v>
      </c>
      <c r="G1131" s="212" t="n">
        <v>63</v>
      </c>
      <c r="H1131" s="212" t="s">
        <v>120</v>
      </c>
      <c r="I1131" s="250" t="n">
        <v>165.15</v>
      </c>
    </row>
    <row r="1132" customFormat="false" ht="13.8" hidden="false" customHeight="false" outlineLevel="0" collapsed="false">
      <c r="A1132" s="218"/>
      <c r="B1132" s="251"/>
      <c r="C1132" s="251"/>
      <c r="D1132" s="251"/>
      <c r="E1132" s="212" t="s">
        <v>4647</v>
      </c>
      <c r="F1132" s="212" t="s">
        <v>4221</v>
      </c>
      <c r="G1132" s="212" t="n">
        <v>160</v>
      </c>
      <c r="H1132" s="212" t="s">
        <v>120</v>
      </c>
      <c r="I1132" s="250" t="n">
        <v>25.71</v>
      </c>
    </row>
    <row r="1133" customFormat="false" ht="13.8" hidden="false" customHeight="false" outlineLevel="0" collapsed="false">
      <c r="A1133" s="218"/>
      <c r="B1133" s="251"/>
      <c r="C1133" s="251"/>
      <c r="D1133" s="251"/>
      <c r="E1133" s="212" t="s">
        <v>4651</v>
      </c>
      <c r="F1133" s="212" t="s">
        <v>4221</v>
      </c>
      <c r="G1133" s="212" t="n">
        <v>63</v>
      </c>
      <c r="H1133" s="212" t="s">
        <v>120</v>
      </c>
      <c r="I1133" s="250" t="n">
        <v>138.68</v>
      </c>
    </row>
    <row r="1134" customFormat="false" ht="13.8" hidden="false" customHeight="false" outlineLevel="0" collapsed="false">
      <c r="A1134" s="218"/>
      <c r="B1134" s="251"/>
      <c r="C1134" s="251"/>
      <c r="D1134" s="251"/>
      <c r="E1134" s="212" t="s">
        <v>4655</v>
      </c>
      <c r="F1134" s="212" t="s">
        <v>4221</v>
      </c>
      <c r="G1134" s="212" t="n">
        <v>160</v>
      </c>
      <c r="H1134" s="212" t="s">
        <v>120</v>
      </c>
      <c r="I1134" s="250" t="n">
        <v>25.15</v>
      </c>
    </row>
    <row r="1135" customFormat="false" ht="13.8" hidden="false" customHeight="false" outlineLevel="0" collapsed="false">
      <c r="A1135" s="218"/>
      <c r="B1135" s="251"/>
      <c r="C1135" s="251"/>
      <c r="D1135" s="251"/>
      <c r="E1135" s="212" t="s">
        <v>4658</v>
      </c>
      <c r="F1135" s="212" t="s">
        <v>4221</v>
      </c>
      <c r="G1135" s="212" t="n">
        <v>63</v>
      </c>
      <c r="H1135" s="212" t="s">
        <v>120</v>
      </c>
      <c r="I1135" s="250" t="n">
        <v>97.86</v>
      </c>
    </row>
    <row r="1136" customFormat="false" ht="13.8" hidden="false" customHeight="false" outlineLevel="0" collapsed="false">
      <c r="A1136" s="218"/>
      <c r="B1136" s="251"/>
      <c r="C1136" s="251"/>
      <c r="D1136" s="251"/>
      <c r="E1136" s="212" t="s">
        <v>4662</v>
      </c>
      <c r="F1136" s="212" t="s">
        <v>4221</v>
      </c>
      <c r="G1136" s="212" t="n">
        <v>63</v>
      </c>
      <c r="H1136" s="212" t="s">
        <v>120</v>
      </c>
      <c r="I1136" s="250" t="n">
        <v>58.29</v>
      </c>
    </row>
    <row r="1137" customFormat="false" ht="13.8" hidden="false" customHeight="false" outlineLevel="0" collapsed="false">
      <c r="A1137" s="218"/>
      <c r="B1137" s="251"/>
      <c r="C1137" s="251"/>
      <c r="D1137" s="251"/>
      <c r="E1137" s="212" t="s">
        <v>4666</v>
      </c>
      <c r="F1137" s="212" t="s">
        <v>4221</v>
      </c>
      <c r="G1137" s="212" t="n">
        <v>160</v>
      </c>
      <c r="H1137" s="212" t="s">
        <v>120</v>
      </c>
      <c r="I1137" s="250" t="n">
        <v>21.41</v>
      </c>
    </row>
    <row r="1138" customFormat="false" ht="13.8" hidden="false" customHeight="false" outlineLevel="0" collapsed="false">
      <c r="A1138" s="218"/>
      <c r="B1138" s="251"/>
      <c r="C1138" s="251"/>
      <c r="D1138" s="251"/>
      <c r="E1138" s="212" t="s">
        <v>4670</v>
      </c>
      <c r="F1138" s="212" t="s">
        <v>4221</v>
      </c>
      <c r="G1138" s="212" t="n">
        <v>63</v>
      </c>
      <c r="H1138" s="212" t="s">
        <v>120</v>
      </c>
      <c r="I1138" s="250" t="n">
        <v>49.84</v>
      </c>
    </row>
    <row r="1139" customFormat="false" ht="13.8" hidden="false" customHeight="false" outlineLevel="0" collapsed="false">
      <c r="A1139" s="218"/>
      <c r="B1139" s="251"/>
      <c r="C1139" s="251"/>
      <c r="D1139" s="251"/>
      <c r="E1139" s="212" t="s">
        <v>4674</v>
      </c>
      <c r="F1139" s="212" t="s">
        <v>4221</v>
      </c>
      <c r="G1139" s="212" t="n">
        <v>160</v>
      </c>
      <c r="H1139" s="212" t="s">
        <v>120</v>
      </c>
      <c r="I1139" s="250" t="n">
        <v>26.23</v>
      </c>
    </row>
    <row r="1140" customFormat="false" ht="13.8" hidden="false" customHeight="false" outlineLevel="0" collapsed="false">
      <c r="A1140" s="218"/>
      <c r="B1140" s="251"/>
      <c r="C1140" s="251"/>
      <c r="D1140" s="251"/>
      <c r="E1140" s="212" t="s">
        <v>4677</v>
      </c>
      <c r="F1140" s="212" t="s">
        <v>4221</v>
      </c>
      <c r="G1140" s="212" t="n">
        <v>63</v>
      </c>
      <c r="H1140" s="212" t="s">
        <v>120</v>
      </c>
      <c r="I1140" s="250" t="n">
        <v>66.44</v>
      </c>
    </row>
    <row r="1141" customFormat="false" ht="13.8" hidden="false" customHeight="false" outlineLevel="0" collapsed="false">
      <c r="A1141" s="218"/>
      <c r="B1141" s="251"/>
      <c r="C1141" s="251"/>
      <c r="D1141" s="251"/>
      <c r="E1141" s="212" t="s">
        <v>4681</v>
      </c>
      <c r="F1141" s="212" t="s">
        <v>4221</v>
      </c>
      <c r="G1141" s="212" t="n">
        <v>160</v>
      </c>
      <c r="H1141" s="212" t="s">
        <v>120</v>
      </c>
      <c r="I1141" s="250" t="n">
        <v>907.56</v>
      </c>
    </row>
    <row r="1142" customFormat="false" ht="13.8" hidden="false" customHeight="false" outlineLevel="0" collapsed="false">
      <c r="A1142" s="218"/>
      <c r="B1142" s="251"/>
      <c r="C1142" s="251"/>
      <c r="D1142" s="251"/>
      <c r="E1142" s="212" t="s">
        <v>4683</v>
      </c>
      <c r="F1142" s="212" t="s">
        <v>4221</v>
      </c>
      <c r="G1142" s="212" t="n">
        <v>63</v>
      </c>
      <c r="H1142" s="212" t="s">
        <v>120</v>
      </c>
      <c r="I1142" s="250" t="n">
        <v>47.37</v>
      </c>
    </row>
    <row r="1143" customFormat="false" ht="13.8" hidden="false" customHeight="false" outlineLevel="0" collapsed="false">
      <c r="A1143" s="218"/>
      <c r="B1143" s="251"/>
      <c r="C1143" s="251"/>
      <c r="D1143" s="251"/>
      <c r="E1143" s="212" t="s">
        <v>4686</v>
      </c>
      <c r="F1143" s="212" t="s">
        <v>4221</v>
      </c>
      <c r="G1143" s="212" t="n">
        <v>63</v>
      </c>
      <c r="H1143" s="212" t="s">
        <v>120</v>
      </c>
      <c r="I1143" s="250" t="n">
        <v>57.93</v>
      </c>
    </row>
    <row r="1144" customFormat="false" ht="13.8" hidden="false" customHeight="false" outlineLevel="0" collapsed="false">
      <c r="A1144" s="218"/>
      <c r="B1144" s="251"/>
      <c r="C1144" s="251"/>
      <c r="D1144" s="251"/>
      <c r="E1144" s="212" t="s">
        <v>4690</v>
      </c>
      <c r="F1144" s="212" t="s">
        <v>4221</v>
      </c>
      <c r="G1144" s="212" t="n">
        <v>160</v>
      </c>
      <c r="H1144" s="212" t="s">
        <v>120</v>
      </c>
      <c r="I1144" s="250" t="n">
        <v>101.37</v>
      </c>
    </row>
    <row r="1145" customFormat="false" ht="13.8" hidden="false" customHeight="false" outlineLevel="0" collapsed="false">
      <c r="A1145" s="218"/>
      <c r="B1145" s="251"/>
      <c r="C1145" s="251"/>
      <c r="D1145" s="251"/>
      <c r="E1145" s="212" t="s">
        <v>4694</v>
      </c>
      <c r="F1145" s="212" t="s">
        <v>4221</v>
      </c>
      <c r="G1145" s="212" t="n">
        <v>63</v>
      </c>
      <c r="H1145" s="212" t="s">
        <v>120</v>
      </c>
      <c r="I1145" s="250" t="n">
        <v>48.69</v>
      </c>
    </row>
    <row r="1146" customFormat="false" ht="13.8" hidden="false" customHeight="false" outlineLevel="0" collapsed="false">
      <c r="A1146" s="218"/>
      <c r="B1146" s="251"/>
      <c r="C1146" s="251"/>
      <c r="D1146" s="251"/>
      <c r="E1146" s="212" t="s">
        <v>4697</v>
      </c>
      <c r="F1146" s="212" t="s">
        <v>4221</v>
      </c>
      <c r="G1146" s="212" t="n">
        <v>160</v>
      </c>
      <c r="H1146" s="212" t="s">
        <v>120</v>
      </c>
      <c r="I1146" s="250" t="n">
        <v>59.95</v>
      </c>
    </row>
    <row r="1147" customFormat="false" ht="13.8" hidden="false" customHeight="false" outlineLevel="0" collapsed="false">
      <c r="A1147" s="218"/>
      <c r="B1147" s="251"/>
      <c r="C1147" s="251"/>
      <c r="D1147" s="251"/>
      <c r="E1147" s="212" t="s">
        <v>4700</v>
      </c>
      <c r="F1147" s="212" t="s">
        <v>4221</v>
      </c>
      <c r="G1147" s="212" t="n">
        <v>63</v>
      </c>
      <c r="H1147" s="212" t="s">
        <v>120</v>
      </c>
      <c r="I1147" s="250" t="n">
        <v>74.84</v>
      </c>
    </row>
    <row r="1148" customFormat="false" ht="13.8" hidden="false" customHeight="false" outlineLevel="0" collapsed="false">
      <c r="A1148" s="218"/>
      <c r="B1148" s="251"/>
      <c r="C1148" s="251"/>
      <c r="D1148" s="251"/>
      <c r="E1148" s="212" t="s">
        <v>4704</v>
      </c>
      <c r="F1148" s="212" t="s">
        <v>4221</v>
      </c>
      <c r="G1148" s="212" t="n">
        <v>63</v>
      </c>
      <c r="H1148" s="212" t="s">
        <v>120</v>
      </c>
      <c r="I1148" s="250" t="n">
        <v>14.26</v>
      </c>
    </row>
    <row r="1149" customFormat="false" ht="13.8" hidden="false" customHeight="false" outlineLevel="0" collapsed="false">
      <c r="A1149" s="218"/>
      <c r="B1149" s="251"/>
      <c r="C1149" s="251"/>
      <c r="D1149" s="251"/>
      <c r="E1149" s="212" t="s">
        <v>4708</v>
      </c>
      <c r="F1149" s="212" t="s">
        <v>4221</v>
      </c>
      <c r="G1149" s="212" t="n">
        <v>63</v>
      </c>
      <c r="H1149" s="212" t="s">
        <v>120</v>
      </c>
      <c r="I1149" s="250" t="n">
        <v>52.39</v>
      </c>
    </row>
    <row r="1150" customFormat="false" ht="13.8" hidden="false" customHeight="false" outlineLevel="0" collapsed="false">
      <c r="A1150" s="218"/>
      <c r="B1150" s="251"/>
      <c r="C1150" s="251"/>
      <c r="D1150" s="251"/>
      <c r="E1150" s="212" t="s">
        <v>4711</v>
      </c>
      <c r="F1150" s="212" t="s">
        <v>4221</v>
      </c>
      <c r="G1150" s="212" t="n">
        <v>63</v>
      </c>
      <c r="H1150" s="212" t="s">
        <v>120</v>
      </c>
      <c r="I1150" s="250" t="n">
        <v>43.71</v>
      </c>
    </row>
    <row r="1151" customFormat="false" ht="13.8" hidden="false" customHeight="false" outlineLevel="0" collapsed="false">
      <c r="A1151" s="218"/>
      <c r="B1151" s="251"/>
      <c r="C1151" s="251"/>
      <c r="D1151" s="251"/>
      <c r="E1151" s="212" t="s">
        <v>4715</v>
      </c>
      <c r="F1151" s="212" t="s">
        <v>4221</v>
      </c>
      <c r="G1151" s="212" t="n">
        <v>63</v>
      </c>
      <c r="H1151" s="212" t="s">
        <v>120</v>
      </c>
      <c r="I1151" s="250" t="n">
        <v>22.07</v>
      </c>
    </row>
    <row r="1152" customFormat="false" ht="13.8" hidden="false" customHeight="false" outlineLevel="0" collapsed="false">
      <c r="A1152" s="218"/>
      <c r="B1152" s="251"/>
      <c r="C1152" s="251"/>
      <c r="D1152" s="251"/>
      <c r="E1152" s="212" t="s">
        <v>4718</v>
      </c>
      <c r="F1152" s="212" t="s">
        <v>4221</v>
      </c>
      <c r="G1152" s="212" t="n">
        <v>63</v>
      </c>
      <c r="H1152" s="212" t="s">
        <v>120</v>
      </c>
      <c r="I1152" s="250" t="n">
        <v>19.42</v>
      </c>
    </row>
    <row r="1153" customFormat="false" ht="13.8" hidden="false" customHeight="false" outlineLevel="0" collapsed="false">
      <c r="A1153" s="218"/>
      <c r="B1153" s="251"/>
      <c r="C1153" s="251"/>
      <c r="D1153" s="251"/>
      <c r="E1153" s="212" t="s">
        <v>6101</v>
      </c>
      <c r="F1153" s="212" t="s">
        <v>6081</v>
      </c>
      <c r="G1153" s="212" t="n">
        <v>63</v>
      </c>
      <c r="H1153" s="212" t="s">
        <v>120</v>
      </c>
      <c r="I1153" s="250" t="n">
        <v>193.93</v>
      </c>
    </row>
    <row r="1154" customFormat="false" ht="13.8" hidden="false" customHeight="false" outlineLevel="0" collapsed="false">
      <c r="A1154" s="218"/>
      <c r="B1154" s="251"/>
      <c r="C1154" s="251"/>
      <c r="D1154" s="251"/>
      <c r="E1154" s="212" t="s">
        <v>6106</v>
      </c>
      <c r="F1154" s="212" t="s">
        <v>6081</v>
      </c>
      <c r="G1154" s="212" t="n">
        <v>63</v>
      </c>
      <c r="H1154" s="212" t="s">
        <v>120</v>
      </c>
      <c r="I1154" s="250" t="n">
        <v>218.18</v>
      </c>
    </row>
    <row r="1155" customFormat="false" ht="13.8" hidden="false" customHeight="false" outlineLevel="0" collapsed="false">
      <c r="A1155" s="218"/>
      <c r="B1155" s="251"/>
      <c r="C1155" s="251"/>
      <c r="D1155" s="251"/>
      <c r="E1155" s="212" t="s">
        <v>6111</v>
      </c>
      <c r="F1155" s="212" t="s">
        <v>6081</v>
      </c>
      <c r="G1155" s="212" t="n">
        <v>63</v>
      </c>
      <c r="H1155" s="212" t="s">
        <v>120</v>
      </c>
      <c r="I1155" s="250" t="n">
        <v>5.78</v>
      </c>
    </row>
    <row r="1156" customFormat="false" ht="13.8" hidden="false" customHeight="false" outlineLevel="0" collapsed="false">
      <c r="A1156" s="218"/>
      <c r="B1156" s="251"/>
      <c r="C1156" s="251"/>
      <c r="D1156" s="251"/>
      <c r="E1156" s="212" t="s">
        <v>6115</v>
      </c>
      <c r="F1156" s="212" t="s">
        <v>6081</v>
      </c>
      <c r="G1156" s="212" t="n">
        <v>63</v>
      </c>
      <c r="H1156" s="212" t="s">
        <v>120</v>
      </c>
      <c r="I1156" s="250" t="n">
        <v>108.43</v>
      </c>
    </row>
    <row r="1157" customFormat="false" ht="13.8" hidden="false" customHeight="false" outlineLevel="0" collapsed="false">
      <c r="A1157" s="218"/>
      <c r="B1157" s="251"/>
      <c r="C1157" s="251"/>
      <c r="D1157" s="251"/>
      <c r="E1157" s="212" t="s">
        <v>6120</v>
      </c>
      <c r="F1157" s="212" t="s">
        <v>6081</v>
      </c>
      <c r="G1157" s="212" t="n">
        <v>63</v>
      </c>
      <c r="H1157" s="212" t="s">
        <v>120</v>
      </c>
      <c r="I1157" s="250" t="n">
        <v>26.75</v>
      </c>
    </row>
    <row r="1158" customFormat="false" ht="13.8" hidden="false" customHeight="false" outlineLevel="0" collapsed="false">
      <c r="A1158" s="218"/>
      <c r="B1158" s="251"/>
      <c r="C1158" s="251"/>
      <c r="D1158" s="251"/>
      <c r="E1158" s="212" t="s">
        <v>6123</v>
      </c>
      <c r="F1158" s="212" t="s">
        <v>6081</v>
      </c>
      <c r="G1158" s="212" t="n">
        <v>63</v>
      </c>
      <c r="H1158" s="212" t="s">
        <v>120</v>
      </c>
      <c r="I1158" s="250" t="n">
        <v>119.24</v>
      </c>
    </row>
    <row r="1159" customFormat="false" ht="13.8" hidden="false" customHeight="false" outlineLevel="0" collapsed="false">
      <c r="A1159" s="218"/>
      <c r="B1159" s="251"/>
      <c r="C1159" s="251"/>
      <c r="D1159" s="251"/>
      <c r="E1159" s="212" t="s">
        <v>6128</v>
      </c>
      <c r="F1159" s="212" t="s">
        <v>6081</v>
      </c>
      <c r="G1159" s="212" t="n">
        <v>63</v>
      </c>
      <c r="H1159" s="212" t="s">
        <v>120</v>
      </c>
      <c r="I1159" s="250" t="n">
        <v>48.88</v>
      </c>
    </row>
    <row r="1160" customFormat="false" ht="13.8" hidden="false" customHeight="false" outlineLevel="0" collapsed="false">
      <c r="A1160" s="218"/>
      <c r="B1160" s="251"/>
      <c r="C1160" s="251"/>
      <c r="D1160" s="251"/>
      <c r="E1160" s="212" t="s">
        <v>6131</v>
      </c>
      <c r="F1160" s="212" t="s">
        <v>6081</v>
      </c>
      <c r="G1160" s="212" t="n">
        <v>63</v>
      </c>
      <c r="H1160" s="212" t="s">
        <v>120</v>
      </c>
      <c r="I1160" s="250" t="n">
        <v>61.12</v>
      </c>
    </row>
    <row r="1161" customFormat="false" ht="13.8" hidden="false" customHeight="false" outlineLevel="0" collapsed="false">
      <c r="A1161" s="218"/>
      <c r="B1161" s="251"/>
      <c r="C1161" s="251"/>
      <c r="D1161" s="251"/>
      <c r="E1161" s="212" t="s">
        <v>6134</v>
      </c>
      <c r="F1161" s="212" t="s">
        <v>6081</v>
      </c>
      <c r="G1161" s="212" t="n">
        <v>63</v>
      </c>
      <c r="H1161" s="212" t="s">
        <v>120</v>
      </c>
      <c r="I1161" s="250" t="n">
        <v>31.15</v>
      </c>
    </row>
    <row r="1162" customFormat="false" ht="13.8" hidden="false" customHeight="false" outlineLevel="0" collapsed="false">
      <c r="A1162" s="218"/>
      <c r="B1162" s="251"/>
      <c r="C1162" s="251"/>
      <c r="D1162" s="251"/>
      <c r="E1162" s="212" t="s">
        <v>6138</v>
      </c>
      <c r="F1162" s="212" t="s">
        <v>6081</v>
      </c>
      <c r="G1162" s="212" t="n">
        <v>63</v>
      </c>
      <c r="H1162" s="212" t="s">
        <v>120</v>
      </c>
      <c r="I1162" s="250" t="n">
        <v>52.69</v>
      </c>
    </row>
    <row r="1163" customFormat="false" ht="13.8" hidden="false" customHeight="false" outlineLevel="0" collapsed="false">
      <c r="A1163" s="218"/>
      <c r="B1163" s="251"/>
      <c r="C1163" s="251"/>
      <c r="D1163" s="251"/>
      <c r="E1163" s="212" t="s">
        <v>6142</v>
      </c>
      <c r="F1163" s="212" t="s">
        <v>6081</v>
      </c>
      <c r="G1163" s="212" t="n">
        <v>63</v>
      </c>
      <c r="H1163" s="212" t="s">
        <v>120</v>
      </c>
      <c r="I1163" s="250" t="n">
        <v>89.98</v>
      </c>
    </row>
    <row r="1164" customFormat="false" ht="13.8" hidden="false" customHeight="false" outlineLevel="0" collapsed="false">
      <c r="A1164" s="218"/>
      <c r="B1164" s="251"/>
      <c r="C1164" s="251"/>
      <c r="D1164" s="251"/>
      <c r="E1164" s="212" t="s">
        <v>6147</v>
      </c>
      <c r="F1164" s="212" t="s">
        <v>6081</v>
      </c>
      <c r="G1164" s="212" t="n">
        <v>63</v>
      </c>
      <c r="H1164" s="212" t="s">
        <v>120</v>
      </c>
      <c r="I1164" s="250" t="n">
        <v>4.72</v>
      </c>
    </row>
    <row r="1165" customFormat="false" ht="13.8" hidden="false" customHeight="false" outlineLevel="0" collapsed="false">
      <c r="A1165" s="218"/>
      <c r="B1165" s="251"/>
      <c r="C1165" s="251"/>
      <c r="D1165" s="251"/>
      <c r="E1165" s="212" t="s">
        <v>6150</v>
      </c>
      <c r="F1165" s="212" t="s">
        <v>6081</v>
      </c>
      <c r="G1165" s="212" t="n">
        <v>63</v>
      </c>
      <c r="H1165" s="212" t="s">
        <v>120</v>
      </c>
      <c r="I1165" s="250" t="n">
        <v>70.53</v>
      </c>
    </row>
    <row r="1166" customFormat="false" ht="13.8" hidden="false" customHeight="false" outlineLevel="0" collapsed="false">
      <c r="A1166" s="218"/>
      <c r="B1166" s="251"/>
      <c r="C1166" s="251"/>
      <c r="D1166" s="251"/>
      <c r="E1166" s="212" t="s">
        <v>6154</v>
      </c>
      <c r="F1166" s="212" t="s">
        <v>6081</v>
      </c>
      <c r="G1166" s="212" t="n">
        <v>63</v>
      </c>
      <c r="H1166" s="212" t="s">
        <v>120</v>
      </c>
      <c r="I1166" s="250" t="n">
        <v>149.68</v>
      </c>
    </row>
    <row r="1167" customFormat="false" ht="13.8" hidden="false" customHeight="false" outlineLevel="0" collapsed="false">
      <c r="A1167" s="218"/>
      <c r="B1167" s="251"/>
      <c r="C1167" s="251"/>
      <c r="D1167" s="251"/>
      <c r="E1167" s="212" t="s">
        <v>6158</v>
      </c>
      <c r="F1167" s="212" t="s">
        <v>6081</v>
      </c>
      <c r="G1167" s="212" t="n">
        <v>63</v>
      </c>
      <c r="H1167" s="212" t="s">
        <v>120</v>
      </c>
      <c r="I1167" s="250" t="n">
        <v>3.9</v>
      </c>
    </row>
    <row r="1168" customFormat="false" ht="13.8" hidden="false" customHeight="false" outlineLevel="0" collapsed="false">
      <c r="A1168" s="218"/>
      <c r="B1168" s="251"/>
      <c r="C1168" s="251"/>
      <c r="D1168" s="251"/>
      <c r="E1168" s="212" t="s">
        <v>6162</v>
      </c>
      <c r="F1168" s="212" t="s">
        <v>6081</v>
      </c>
      <c r="G1168" s="212" t="n">
        <v>63</v>
      </c>
      <c r="H1168" s="212" t="s">
        <v>120</v>
      </c>
      <c r="I1168" s="250" t="n">
        <v>51.74</v>
      </c>
    </row>
    <row r="1169" customFormat="false" ht="13.8" hidden="false" customHeight="false" outlineLevel="0" collapsed="false">
      <c r="A1169" s="218"/>
      <c r="B1169" s="251"/>
      <c r="C1169" s="251"/>
      <c r="D1169" s="251"/>
      <c r="E1169" s="212" t="s">
        <v>6165</v>
      </c>
      <c r="F1169" s="212" t="s">
        <v>6081</v>
      </c>
      <c r="G1169" s="212" t="n">
        <v>63</v>
      </c>
      <c r="H1169" s="212" t="s">
        <v>120</v>
      </c>
      <c r="I1169" s="250" t="n">
        <v>51.9</v>
      </c>
    </row>
    <row r="1170" customFormat="false" ht="13.8" hidden="false" customHeight="false" outlineLevel="0" collapsed="false">
      <c r="A1170" s="218"/>
      <c r="B1170" s="251"/>
      <c r="C1170" s="251"/>
      <c r="D1170" s="251"/>
      <c r="E1170" s="212" t="s">
        <v>6169</v>
      </c>
      <c r="F1170" s="212" t="s">
        <v>6081</v>
      </c>
      <c r="G1170" s="212" t="n">
        <v>63</v>
      </c>
      <c r="H1170" s="212" t="s">
        <v>120</v>
      </c>
      <c r="I1170" s="250" t="n">
        <v>5.56</v>
      </c>
    </row>
    <row r="1171" customFormat="false" ht="13.8" hidden="false" customHeight="false" outlineLevel="0" collapsed="false">
      <c r="A1171" s="218"/>
      <c r="B1171" s="251"/>
      <c r="C1171" s="251"/>
      <c r="D1171" s="251"/>
      <c r="E1171" s="212" t="s">
        <v>6172</v>
      </c>
      <c r="F1171" s="212" t="s">
        <v>6081</v>
      </c>
      <c r="G1171" s="212" t="n">
        <v>63</v>
      </c>
      <c r="H1171" s="212" t="s">
        <v>120</v>
      </c>
      <c r="I1171" s="250" t="n">
        <v>46.86</v>
      </c>
    </row>
    <row r="1172" customFormat="false" ht="13.8" hidden="false" customHeight="false" outlineLevel="0" collapsed="false">
      <c r="A1172" s="218"/>
      <c r="B1172" s="251"/>
      <c r="C1172" s="251"/>
      <c r="D1172" s="251"/>
      <c r="E1172" s="212" t="s">
        <v>6177</v>
      </c>
      <c r="F1172" s="212" t="s">
        <v>6081</v>
      </c>
      <c r="G1172" s="212" t="n">
        <v>63</v>
      </c>
      <c r="H1172" s="212" t="s">
        <v>120</v>
      </c>
      <c r="I1172" s="250" t="n">
        <v>206.61</v>
      </c>
    </row>
    <row r="1173" customFormat="false" ht="13.8" hidden="false" customHeight="false" outlineLevel="0" collapsed="false">
      <c r="A1173" s="218"/>
      <c r="B1173" s="251"/>
      <c r="C1173" s="251"/>
      <c r="D1173" s="251"/>
      <c r="E1173" s="212" t="s">
        <v>6181</v>
      </c>
      <c r="F1173" s="212" t="s">
        <v>6081</v>
      </c>
      <c r="G1173" s="212" t="n">
        <v>90</v>
      </c>
      <c r="H1173" s="212" t="s">
        <v>120</v>
      </c>
      <c r="I1173" s="250" t="n">
        <v>130.15</v>
      </c>
    </row>
    <row r="1174" customFormat="false" ht="13.8" hidden="false" customHeight="false" outlineLevel="0" collapsed="false">
      <c r="A1174" s="218"/>
      <c r="B1174" s="251"/>
      <c r="C1174" s="251"/>
      <c r="D1174" s="251"/>
      <c r="E1174" s="212" t="s">
        <v>6185</v>
      </c>
      <c r="F1174" s="212" t="s">
        <v>6081</v>
      </c>
      <c r="G1174" s="212" t="n">
        <v>63</v>
      </c>
      <c r="H1174" s="212" t="s">
        <v>120</v>
      </c>
      <c r="I1174" s="250" t="n">
        <v>111.59</v>
      </c>
    </row>
    <row r="1175" customFormat="false" ht="13.8" hidden="false" customHeight="false" outlineLevel="0" collapsed="false">
      <c r="A1175" s="218"/>
      <c r="B1175" s="251"/>
      <c r="C1175" s="251"/>
      <c r="D1175" s="251"/>
      <c r="E1175" s="212" t="s">
        <v>6188</v>
      </c>
      <c r="F1175" s="212" t="s">
        <v>6081</v>
      </c>
      <c r="G1175" s="212" t="n">
        <v>63</v>
      </c>
      <c r="H1175" s="212" t="s">
        <v>120</v>
      </c>
      <c r="I1175" s="250" t="n">
        <v>79</v>
      </c>
    </row>
    <row r="1176" customFormat="false" ht="13.8" hidden="false" customHeight="false" outlineLevel="0" collapsed="false">
      <c r="A1176" s="218"/>
      <c r="B1176" s="251"/>
      <c r="C1176" s="251"/>
      <c r="D1176" s="251"/>
      <c r="E1176" s="212" t="s">
        <v>6193</v>
      </c>
      <c r="F1176" s="212" t="s">
        <v>6081</v>
      </c>
      <c r="G1176" s="212" t="n">
        <v>63</v>
      </c>
      <c r="H1176" s="212" t="s">
        <v>120</v>
      </c>
      <c r="I1176" s="250" t="n">
        <v>107.76</v>
      </c>
    </row>
    <row r="1177" customFormat="false" ht="13.8" hidden="false" customHeight="false" outlineLevel="0" collapsed="false">
      <c r="A1177" s="218"/>
      <c r="B1177" s="251"/>
      <c r="C1177" s="251"/>
      <c r="D1177" s="251"/>
      <c r="E1177" s="212" t="s">
        <v>6197</v>
      </c>
      <c r="F1177" s="212" t="s">
        <v>6081</v>
      </c>
      <c r="G1177" s="212" t="n">
        <v>63</v>
      </c>
      <c r="H1177" s="212" t="s">
        <v>120</v>
      </c>
      <c r="I1177" s="250" t="n">
        <v>150.79</v>
      </c>
    </row>
    <row r="1178" customFormat="false" ht="13.8" hidden="false" customHeight="false" outlineLevel="0" collapsed="false">
      <c r="A1178" s="218"/>
      <c r="B1178" s="251"/>
      <c r="C1178" s="251"/>
      <c r="D1178" s="251"/>
      <c r="E1178" s="212" t="s">
        <v>6201</v>
      </c>
      <c r="F1178" s="212" t="s">
        <v>6081</v>
      </c>
      <c r="G1178" s="212" t="n">
        <v>63</v>
      </c>
      <c r="H1178" s="212" t="s">
        <v>120</v>
      </c>
      <c r="I1178" s="250" t="n">
        <v>207.74</v>
      </c>
    </row>
    <row r="1179" customFormat="false" ht="13.8" hidden="false" customHeight="false" outlineLevel="0" collapsed="false">
      <c r="A1179" s="218"/>
      <c r="B1179" s="251"/>
      <c r="C1179" s="251"/>
      <c r="D1179" s="251"/>
      <c r="E1179" s="212" t="s">
        <v>6206</v>
      </c>
      <c r="F1179" s="212" t="s">
        <v>6081</v>
      </c>
      <c r="G1179" s="212" t="n">
        <v>63</v>
      </c>
      <c r="H1179" s="212" t="s">
        <v>120</v>
      </c>
      <c r="I1179" s="250" t="n">
        <v>115.61</v>
      </c>
    </row>
    <row r="1180" customFormat="false" ht="13.8" hidden="false" customHeight="false" outlineLevel="0" collapsed="false">
      <c r="A1180" s="218"/>
      <c r="B1180" s="251"/>
      <c r="C1180" s="251"/>
      <c r="D1180" s="251"/>
      <c r="E1180" s="212" t="s">
        <v>6210</v>
      </c>
      <c r="F1180" s="212" t="s">
        <v>6081</v>
      </c>
      <c r="G1180" s="212" t="n">
        <v>63</v>
      </c>
      <c r="H1180" s="212" t="s">
        <v>120</v>
      </c>
      <c r="I1180" s="250" t="n">
        <v>48.61</v>
      </c>
    </row>
    <row r="1181" customFormat="false" ht="13.8" hidden="false" customHeight="false" outlineLevel="0" collapsed="false">
      <c r="A1181" s="218"/>
      <c r="B1181" s="251"/>
      <c r="C1181" s="251"/>
      <c r="D1181" s="251"/>
      <c r="E1181" s="212" t="s">
        <v>6213</v>
      </c>
      <c r="F1181" s="212" t="s">
        <v>6081</v>
      </c>
      <c r="G1181" s="212" t="n">
        <v>63</v>
      </c>
      <c r="H1181" s="212" t="s">
        <v>120</v>
      </c>
      <c r="I1181" s="250" t="n">
        <v>4.88</v>
      </c>
    </row>
    <row r="1182" customFormat="false" ht="13.8" hidden="false" customHeight="false" outlineLevel="0" collapsed="false">
      <c r="A1182" s="218"/>
      <c r="B1182" s="251"/>
      <c r="C1182" s="251"/>
      <c r="D1182" s="251"/>
      <c r="E1182" s="212" t="s">
        <v>6216</v>
      </c>
      <c r="F1182" s="212" t="s">
        <v>6081</v>
      </c>
      <c r="G1182" s="212" t="n">
        <v>63</v>
      </c>
      <c r="H1182" s="212" t="s">
        <v>120</v>
      </c>
      <c r="I1182" s="250" t="n">
        <v>95.06</v>
      </c>
    </row>
    <row r="1183" customFormat="false" ht="13.8" hidden="false" customHeight="false" outlineLevel="0" collapsed="false">
      <c r="A1183" s="218"/>
      <c r="B1183" s="251"/>
      <c r="C1183" s="251"/>
      <c r="D1183" s="251"/>
      <c r="E1183" s="212" t="s">
        <v>6220</v>
      </c>
      <c r="F1183" s="212" t="s">
        <v>6081</v>
      </c>
      <c r="G1183" s="212" t="n">
        <v>63</v>
      </c>
      <c r="H1183" s="212" t="s">
        <v>120</v>
      </c>
      <c r="I1183" s="250" t="n">
        <v>73.56</v>
      </c>
    </row>
    <row r="1184" customFormat="false" ht="13.8" hidden="false" customHeight="false" outlineLevel="0" collapsed="false">
      <c r="A1184" s="218"/>
      <c r="B1184" s="251"/>
      <c r="C1184" s="251"/>
      <c r="D1184" s="251"/>
      <c r="E1184" s="212" t="s">
        <v>6225</v>
      </c>
      <c r="F1184" s="212" t="s">
        <v>6081</v>
      </c>
      <c r="G1184" s="212" t="n">
        <v>63</v>
      </c>
      <c r="H1184" s="212" t="s">
        <v>120</v>
      </c>
      <c r="I1184" s="250" t="n">
        <v>13.87</v>
      </c>
    </row>
    <row r="1185" customFormat="false" ht="13.8" hidden="false" customHeight="false" outlineLevel="0" collapsed="false">
      <c r="A1185" s="218"/>
      <c r="B1185" s="251"/>
      <c r="C1185" s="251"/>
      <c r="D1185" s="251"/>
      <c r="E1185" s="212" t="s">
        <v>6228</v>
      </c>
      <c r="F1185" s="212" t="s">
        <v>6081</v>
      </c>
      <c r="G1185" s="212" t="n">
        <v>63</v>
      </c>
      <c r="H1185" s="212" t="s">
        <v>120</v>
      </c>
      <c r="I1185" s="250" t="n">
        <v>73.53</v>
      </c>
    </row>
    <row r="1186" customFormat="false" ht="13.8" hidden="false" customHeight="false" outlineLevel="0" collapsed="false">
      <c r="A1186" s="218"/>
      <c r="B1186" s="251"/>
      <c r="C1186" s="251"/>
      <c r="D1186" s="251"/>
      <c r="E1186" s="212" t="s">
        <v>6233</v>
      </c>
      <c r="F1186" s="212" t="s">
        <v>6081</v>
      </c>
      <c r="G1186" s="212" t="n">
        <v>63</v>
      </c>
      <c r="H1186" s="212" t="s">
        <v>120</v>
      </c>
      <c r="I1186" s="250" t="n">
        <v>94.28</v>
      </c>
    </row>
    <row r="1187" customFormat="false" ht="13.8" hidden="false" customHeight="false" outlineLevel="0" collapsed="false">
      <c r="A1187" s="218"/>
      <c r="B1187" s="252"/>
      <c r="C1187" s="252"/>
      <c r="D1187" s="252"/>
      <c r="E1187" s="212" t="s">
        <v>6237</v>
      </c>
      <c r="F1187" s="212" t="s">
        <v>6081</v>
      </c>
      <c r="G1187" s="212" t="n">
        <v>63</v>
      </c>
      <c r="H1187" s="212" t="s">
        <v>120</v>
      </c>
      <c r="I1187" s="250" t="n">
        <v>46.7</v>
      </c>
    </row>
    <row r="1188" customFormat="false" ht="13.8" hidden="false" customHeight="false" outlineLevel="0" collapsed="false">
      <c r="A1188" s="218"/>
      <c r="B1188" s="249" t="s">
        <v>7047</v>
      </c>
      <c r="C1188" s="249" t="s">
        <v>117</v>
      </c>
      <c r="D1188" s="249" t="s">
        <v>1548</v>
      </c>
      <c r="E1188" s="212" t="s">
        <v>4722</v>
      </c>
      <c r="F1188" s="212" t="s">
        <v>2224</v>
      </c>
      <c r="G1188" s="212" t="n">
        <v>315</v>
      </c>
      <c r="H1188" s="212" t="s">
        <v>120</v>
      </c>
      <c r="I1188" s="250" t="n">
        <v>837.32</v>
      </c>
    </row>
    <row r="1189" customFormat="false" ht="13.8" hidden="false" customHeight="false" outlineLevel="0" collapsed="false">
      <c r="A1189" s="218"/>
      <c r="B1189" s="251"/>
      <c r="C1189" s="251"/>
      <c r="D1189" s="251"/>
      <c r="E1189" s="212" t="s">
        <v>4728</v>
      </c>
      <c r="F1189" s="212" t="s">
        <v>4221</v>
      </c>
      <c r="G1189" s="212" t="n">
        <v>160</v>
      </c>
      <c r="H1189" s="212" t="s">
        <v>120</v>
      </c>
      <c r="I1189" s="250" t="n">
        <v>117.1</v>
      </c>
    </row>
    <row r="1190" customFormat="false" ht="13.8" hidden="false" customHeight="false" outlineLevel="0" collapsed="false">
      <c r="A1190" s="218"/>
      <c r="B1190" s="251"/>
      <c r="C1190" s="251"/>
      <c r="D1190" s="251"/>
      <c r="E1190" s="212" t="s">
        <v>4733</v>
      </c>
      <c r="F1190" s="212" t="s">
        <v>4221</v>
      </c>
      <c r="G1190" s="212" t="n">
        <v>160</v>
      </c>
      <c r="H1190" s="212" t="s">
        <v>120</v>
      </c>
      <c r="I1190" s="250" t="n">
        <v>105.4</v>
      </c>
    </row>
    <row r="1191" customFormat="false" ht="13.8" hidden="false" customHeight="false" outlineLevel="0" collapsed="false">
      <c r="A1191" s="218"/>
      <c r="B1191" s="251"/>
      <c r="C1191" s="251"/>
      <c r="D1191" s="251"/>
      <c r="E1191" s="212" t="s">
        <v>4737</v>
      </c>
      <c r="F1191" s="212" t="s">
        <v>4221</v>
      </c>
      <c r="G1191" s="212" t="n">
        <v>160</v>
      </c>
      <c r="H1191" s="212" t="s">
        <v>120</v>
      </c>
      <c r="I1191" s="250" t="n">
        <v>46.85</v>
      </c>
    </row>
    <row r="1192" customFormat="false" ht="13.8" hidden="false" customHeight="false" outlineLevel="0" collapsed="false">
      <c r="A1192" s="218"/>
      <c r="B1192" s="251"/>
      <c r="C1192" s="251"/>
      <c r="D1192" s="251"/>
      <c r="E1192" s="212" t="s">
        <v>4742</v>
      </c>
      <c r="F1192" s="212" t="s">
        <v>4221</v>
      </c>
      <c r="G1192" s="212" t="n">
        <v>160</v>
      </c>
      <c r="H1192" s="212" t="s">
        <v>120</v>
      </c>
      <c r="I1192" s="250" t="n">
        <v>98.29</v>
      </c>
    </row>
    <row r="1193" customFormat="false" ht="13.8" hidden="false" customHeight="false" outlineLevel="0" collapsed="false">
      <c r="A1193" s="218"/>
      <c r="B1193" s="251"/>
      <c r="C1193" s="251"/>
      <c r="D1193" s="251"/>
      <c r="E1193" s="212" t="s">
        <v>4746</v>
      </c>
      <c r="F1193" s="212" t="s">
        <v>4221</v>
      </c>
      <c r="G1193" s="212" t="n">
        <v>160</v>
      </c>
      <c r="H1193" s="212" t="s">
        <v>120</v>
      </c>
      <c r="I1193" s="250" t="n">
        <v>39.72</v>
      </c>
    </row>
    <row r="1194" customFormat="false" ht="13.8" hidden="false" customHeight="false" outlineLevel="0" collapsed="false">
      <c r="A1194" s="218"/>
      <c r="B1194" s="251"/>
      <c r="C1194" s="251"/>
      <c r="D1194" s="251"/>
      <c r="E1194" s="212" t="s">
        <v>4751</v>
      </c>
      <c r="F1194" s="212" t="s">
        <v>4221</v>
      </c>
      <c r="G1194" s="212" t="n">
        <v>63</v>
      </c>
      <c r="H1194" s="212" t="s">
        <v>120</v>
      </c>
      <c r="I1194" s="250" t="n">
        <v>18.58</v>
      </c>
    </row>
    <row r="1195" customFormat="false" ht="13.8" hidden="false" customHeight="false" outlineLevel="0" collapsed="false">
      <c r="A1195" s="218"/>
      <c r="B1195" s="251"/>
      <c r="C1195" s="251"/>
      <c r="D1195" s="251"/>
      <c r="E1195" s="212" t="s">
        <v>4755</v>
      </c>
      <c r="F1195" s="212" t="s">
        <v>4221</v>
      </c>
      <c r="G1195" s="212" t="n">
        <v>160</v>
      </c>
      <c r="H1195" s="212" t="s">
        <v>120</v>
      </c>
      <c r="I1195" s="250" t="n">
        <v>227.74</v>
      </c>
    </row>
    <row r="1196" customFormat="false" ht="13.8" hidden="false" customHeight="false" outlineLevel="0" collapsed="false">
      <c r="A1196" s="218"/>
      <c r="B1196" s="251"/>
      <c r="C1196" s="251"/>
      <c r="D1196" s="251"/>
      <c r="E1196" s="212" t="s">
        <v>4759</v>
      </c>
      <c r="F1196" s="212" t="s">
        <v>4221</v>
      </c>
      <c r="G1196" s="212" t="n">
        <v>63</v>
      </c>
      <c r="H1196" s="212" t="s">
        <v>120</v>
      </c>
      <c r="I1196" s="250" t="n">
        <v>22.33</v>
      </c>
    </row>
    <row r="1197" customFormat="false" ht="13.8" hidden="false" customHeight="false" outlineLevel="0" collapsed="false">
      <c r="A1197" s="218"/>
      <c r="B1197" s="251"/>
      <c r="C1197" s="251"/>
      <c r="D1197" s="251"/>
      <c r="E1197" s="212" t="s">
        <v>4763</v>
      </c>
      <c r="F1197" s="212" t="s">
        <v>4221</v>
      </c>
      <c r="G1197" s="212" t="n">
        <v>63</v>
      </c>
      <c r="H1197" s="212" t="s">
        <v>120</v>
      </c>
      <c r="I1197" s="250" t="n">
        <v>1.22</v>
      </c>
    </row>
    <row r="1198" customFormat="false" ht="13.8" hidden="false" customHeight="false" outlineLevel="0" collapsed="false">
      <c r="A1198" s="218"/>
      <c r="B1198" s="251"/>
      <c r="C1198" s="251"/>
      <c r="D1198" s="251"/>
      <c r="E1198" s="212" t="s">
        <v>4767</v>
      </c>
      <c r="F1198" s="212" t="s">
        <v>4221</v>
      </c>
      <c r="G1198" s="212" t="n">
        <v>63</v>
      </c>
      <c r="H1198" s="212" t="s">
        <v>120</v>
      </c>
      <c r="I1198" s="250" t="n">
        <v>27.49</v>
      </c>
    </row>
    <row r="1199" customFormat="false" ht="13.8" hidden="false" customHeight="false" outlineLevel="0" collapsed="false">
      <c r="A1199" s="218"/>
      <c r="B1199" s="251"/>
      <c r="C1199" s="251"/>
      <c r="D1199" s="251"/>
      <c r="E1199" s="212" t="s">
        <v>4771</v>
      </c>
      <c r="F1199" s="212" t="s">
        <v>4221</v>
      </c>
      <c r="G1199" s="212" t="n">
        <v>63</v>
      </c>
      <c r="H1199" s="212" t="s">
        <v>120</v>
      </c>
      <c r="I1199" s="250" t="n">
        <v>46.82</v>
      </c>
    </row>
    <row r="1200" customFormat="false" ht="13.8" hidden="false" customHeight="false" outlineLevel="0" collapsed="false">
      <c r="A1200" s="218"/>
      <c r="B1200" s="251"/>
      <c r="C1200" s="251"/>
      <c r="D1200" s="251"/>
      <c r="E1200" s="212" t="s">
        <v>4775</v>
      </c>
      <c r="F1200" s="212" t="s">
        <v>4221</v>
      </c>
      <c r="G1200" s="212" t="n">
        <v>63</v>
      </c>
      <c r="H1200" s="212" t="s">
        <v>120</v>
      </c>
      <c r="I1200" s="250" t="n">
        <v>69.73</v>
      </c>
    </row>
    <row r="1201" customFormat="false" ht="13.8" hidden="false" customHeight="false" outlineLevel="0" collapsed="false">
      <c r="A1201" s="218"/>
      <c r="B1201" s="251"/>
      <c r="C1201" s="251"/>
      <c r="D1201" s="251"/>
      <c r="E1201" s="212" t="s">
        <v>4779</v>
      </c>
      <c r="F1201" s="212" t="s">
        <v>4221</v>
      </c>
      <c r="G1201" s="212" t="n">
        <v>63</v>
      </c>
      <c r="H1201" s="212" t="s">
        <v>120</v>
      </c>
      <c r="I1201" s="250" t="n">
        <v>63.78</v>
      </c>
    </row>
    <row r="1202" customFormat="false" ht="13.8" hidden="false" customHeight="false" outlineLevel="0" collapsed="false">
      <c r="A1202" s="218"/>
      <c r="B1202" s="251"/>
      <c r="C1202" s="251"/>
      <c r="D1202" s="251"/>
      <c r="E1202" s="212" t="s">
        <v>4782</v>
      </c>
      <c r="F1202" s="212" t="s">
        <v>4221</v>
      </c>
      <c r="G1202" s="212" t="n">
        <v>63</v>
      </c>
      <c r="H1202" s="212" t="s">
        <v>120</v>
      </c>
      <c r="I1202" s="250" t="n">
        <v>77.61</v>
      </c>
    </row>
    <row r="1203" customFormat="false" ht="13.8" hidden="false" customHeight="false" outlineLevel="0" collapsed="false">
      <c r="A1203" s="218"/>
      <c r="B1203" s="251"/>
      <c r="C1203" s="251"/>
      <c r="D1203" s="251"/>
      <c r="E1203" s="212" t="s">
        <v>4786</v>
      </c>
      <c r="F1203" s="212" t="s">
        <v>4221</v>
      </c>
      <c r="G1203" s="212" t="n">
        <v>63</v>
      </c>
      <c r="H1203" s="212" t="s">
        <v>120</v>
      </c>
      <c r="I1203" s="250" t="n">
        <v>9.03</v>
      </c>
    </row>
    <row r="1204" customFormat="false" ht="13.8" hidden="false" customHeight="false" outlineLevel="0" collapsed="false">
      <c r="A1204" s="218"/>
      <c r="B1204" s="251"/>
      <c r="C1204" s="251"/>
      <c r="D1204" s="251"/>
      <c r="E1204" s="212" t="s">
        <v>4789</v>
      </c>
      <c r="F1204" s="212" t="s">
        <v>4221</v>
      </c>
      <c r="G1204" s="212" t="n">
        <v>63</v>
      </c>
      <c r="H1204" s="212" t="s">
        <v>120</v>
      </c>
      <c r="I1204" s="250" t="n">
        <v>26.18</v>
      </c>
    </row>
    <row r="1205" customFormat="false" ht="13.8" hidden="false" customHeight="false" outlineLevel="0" collapsed="false">
      <c r="A1205" s="218"/>
      <c r="B1205" s="251"/>
      <c r="C1205" s="251"/>
      <c r="D1205" s="251"/>
      <c r="E1205" s="212" t="s">
        <v>4791</v>
      </c>
      <c r="F1205" s="212" t="s">
        <v>4221</v>
      </c>
      <c r="G1205" s="212" t="n">
        <v>63</v>
      </c>
      <c r="H1205" s="212" t="s">
        <v>120</v>
      </c>
      <c r="I1205" s="250" t="n">
        <v>6</v>
      </c>
    </row>
    <row r="1206" customFormat="false" ht="13.8" hidden="false" customHeight="false" outlineLevel="0" collapsed="false">
      <c r="A1206" s="218"/>
      <c r="B1206" s="251"/>
      <c r="C1206" s="251"/>
      <c r="D1206" s="251"/>
      <c r="E1206" s="212" t="s">
        <v>4794</v>
      </c>
      <c r="F1206" s="212" t="s">
        <v>4221</v>
      </c>
      <c r="G1206" s="212" t="n">
        <v>63</v>
      </c>
      <c r="H1206" s="212" t="s">
        <v>120</v>
      </c>
      <c r="I1206" s="250" t="n">
        <v>1.99</v>
      </c>
    </row>
    <row r="1207" customFormat="false" ht="13.8" hidden="false" customHeight="false" outlineLevel="0" collapsed="false">
      <c r="A1207" s="218"/>
      <c r="B1207" s="251"/>
      <c r="C1207" s="251"/>
      <c r="D1207" s="251"/>
      <c r="E1207" s="212" t="s">
        <v>4797</v>
      </c>
      <c r="F1207" s="212" t="s">
        <v>4221</v>
      </c>
      <c r="G1207" s="212" t="n">
        <v>63</v>
      </c>
      <c r="H1207" s="212" t="s">
        <v>120</v>
      </c>
      <c r="I1207" s="250" t="n">
        <v>65.48</v>
      </c>
    </row>
    <row r="1208" customFormat="false" ht="13.8" hidden="false" customHeight="false" outlineLevel="0" collapsed="false">
      <c r="A1208" s="218"/>
      <c r="B1208" s="251"/>
      <c r="C1208" s="251"/>
      <c r="D1208" s="251"/>
      <c r="E1208" s="212" t="s">
        <v>6241</v>
      </c>
      <c r="F1208" s="212" t="s">
        <v>6081</v>
      </c>
      <c r="G1208" s="212" t="n">
        <v>63</v>
      </c>
      <c r="H1208" s="212" t="s">
        <v>120</v>
      </c>
      <c r="I1208" s="250" t="n">
        <v>12.47</v>
      </c>
    </row>
    <row r="1209" customFormat="false" ht="13.8" hidden="false" customHeight="false" outlineLevel="0" collapsed="false">
      <c r="A1209" s="218"/>
      <c r="B1209" s="251"/>
      <c r="C1209" s="251"/>
      <c r="D1209" s="251"/>
      <c r="E1209" s="212" t="s">
        <v>6245</v>
      </c>
      <c r="F1209" s="212" t="s">
        <v>6081</v>
      </c>
      <c r="G1209" s="212" t="n">
        <v>63</v>
      </c>
      <c r="H1209" s="212" t="s">
        <v>120</v>
      </c>
      <c r="I1209" s="250" t="n">
        <v>113.5</v>
      </c>
    </row>
    <row r="1210" customFormat="false" ht="13.8" hidden="false" customHeight="false" outlineLevel="0" collapsed="false">
      <c r="A1210" s="218"/>
      <c r="B1210" s="251"/>
      <c r="C1210" s="251"/>
      <c r="D1210" s="251"/>
      <c r="E1210" s="212" t="s">
        <v>6250</v>
      </c>
      <c r="F1210" s="212" t="s">
        <v>6081</v>
      </c>
      <c r="G1210" s="212" t="n">
        <v>63</v>
      </c>
      <c r="H1210" s="212" t="s">
        <v>120</v>
      </c>
      <c r="I1210" s="250" t="n">
        <v>36.62</v>
      </c>
    </row>
    <row r="1211" customFormat="false" ht="13.8" hidden="false" customHeight="false" outlineLevel="0" collapsed="false">
      <c r="A1211" s="218"/>
      <c r="B1211" s="251"/>
      <c r="C1211" s="251"/>
      <c r="D1211" s="251"/>
      <c r="E1211" s="212" t="s">
        <v>6255</v>
      </c>
      <c r="F1211" s="212" t="s">
        <v>6081</v>
      </c>
      <c r="G1211" s="212" t="n">
        <v>63</v>
      </c>
      <c r="H1211" s="212" t="s">
        <v>120</v>
      </c>
      <c r="I1211" s="250" t="n">
        <v>169.8</v>
      </c>
    </row>
    <row r="1212" customFormat="false" ht="13.8" hidden="false" customHeight="false" outlineLevel="0" collapsed="false">
      <c r="A1212" s="218"/>
      <c r="B1212" s="251"/>
      <c r="C1212" s="251"/>
      <c r="D1212" s="251"/>
      <c r="E1212" s="212" t="s">
        <v>6260</v>
      </c>
      <c r="F1212" s="212" t="s">
        <v>6081</v>
      </c>
      <c r="G1212" s="212" t="n">
        <v>63</v>
      </c>
      <c r="H1212" s="212" t="s">
        <v>120</v>
      </c>
      <c r="I1212" s="250" t="n">
        <v>46.82</v>
      </c>
    </row>
    <row r="1213" customFormat="false" ht="13.8" hidden="false" customHeight="false" outlineLevel="0" collapsed="false">
      <c r="A1213" s="218"/>
      <c r="B1213" s="251"/>
      <c r="C1213" s="251"/>
      <c r="D1213" s="251"/>
      <c r="E1213" s="212" t="s">
        <v>6263</v>
      </c>
      <c r="F1213" s="212" t="s">
        <v>6081</v>
      </c>
      <c r="G1213" s="212" t="n">
        <v>63</v>
      </c>
      <c r="H1213" s="212" t="s">
        <v>120</v>
      </c>
      <c r="I1213" s="250" t="n">
        <v>70.69</v>
      </c>
    </row>
    <row r="1214" customFormat="false" ht="13.8" hidden="false" customHeight="false" outlineLevel="0" collapsed="false">
      <c r="A1214" s="218"/>
      <c r="B1214" s="251"/>
      <c r="C1214" s="251"/>
      <c r="D1214" s="251"/>
      <c r="E1214" s="212" t="s">
        <v>6268</v>
      </c>
      <c r="F1214" s="212" t="s">
        <v>6081</v>
      </c>
      <c r="G1214" s="212" t="n">
        <v>63</v>
      </c>
      <c r="H1214" s="212" t="s">
        <v>120</v>
      </c>
      <c r="I1214" s="250" t="n">
        <v>79.75</v>
      </c>
    </row>
    <row r="1215" customFormat="false" ht="13.8" hidden="false" customHeight="false" outlineLevel="0" collapsed="false">
      <c r="A1215" s="218"/>
      <c r="B1215" s="251"/>
      <c r="C1215" s="251"/>
      <c r="D1215" s="251"/>
      <c r="E1215" s="212" t="s">
        <v>6272</v>
      </c>
      <c r="F1215" s="212" t="s">
        <v>6081</v>
      </c>
      <c r="G1215" s="212" t="n">
        <v>63</v>
      </c>
      <c r="H1215" s="212" t="s">
        <v>120</v>
      </c>
      <c r="I1215" s="250" t="n">
        <v>96.86</v>
      </c>
    </row>
    <row r="1216" customFormat="false" ht="13.8" hidden="false" customHeight="false" outlineLevel="0" collapsed="false">
      <c r="A1216" s="218"/>
      <c r="B1216" s="251"/>
      <c r="C1216" s="251"/>
      <c r="D1216" s="251"/>
      <c r="E1216" s="212" t="s">
        <v>6275</v>
      </c>
      <c r="F1216" s="212" t="s">
        <v>6081</v>
      </c>
      <c r="G1216" s="212" t="n">
        <v>63</v>
      </c>
      <c r="H1216" s="212" t="s">
        <v>120</v>
      </c>
      <c r="I1216" s="250" t="n">
        <v>29.97</v>
      </c>
    </row>
    <row r="1217" customFormat="false" ht="13.8" hidden="false" customHeight="false" outlineLevel="0" collapsed="false">
      <c r="A1217" s="218"/>
      <c r="B1217" s="251"/>
      <c r="C1217" s="251"/>
      <c r="D1217" s="251"/>
      <c r="E1217" s="212" t="s">
        <v>6279</v>
      </c>
      <c r="F1217" s="212" t="s">
        <v>6081</v>
      </c>
      <c r="G1217" s="212" t="n">
        <v>63</v>
      </c>
      <c r="H1217" s="212" t="s">
        <v>120</v>
      </c>
      <c r="I1217" s="250" t="n">
        <v>149.53</v>
      </c>
    </row>
    <row r="1218" customFormat="false" ht="13.8" hidden="false" customHeight="false" outlineLevel="0" collapsed="false">
      <c r="A1218" s="218"/>
      <c r="B1218" s="251"/>
      <c r="C1218" s="251"/>
      <c r="D1218" s="251"/>
      <c r="E1218" s="212" t="s">
        <v>6283</v>
      </c>
      <c r="F1218" s="212" t="s">
        <v>6081</v>
      </c>
      <c r="G1218" s="212" t="n">
        <v>63</v>
      </c>
      <c r="H1218" s="212" t="s">
        <v>120</v>
      </c>
      <c r="I1218" s="250" t="n">
        <v>124.66</v>
      </c>
    </row>
    <row r="1219" customFormat="false" ht="13.8" hidden="false" customHeight="false" outlineLevel="0" collapsed="false">
      <c r="A1219" s="218"/>
      <c r="B1219" s="251"/>
      <c r="C1219" s="251"/>
      <c r="D1219" s="251"/>
      <c r="E1219" s="212" t="s">
        <v>6287</v>
      </c>
      <c r="F1219" s="212" t="s">
        <v>6081</v>
      </c>
      <c r="G1219" s="212" t="n">
        <v>63</v>
      </c>
      <c r="H1219" s="212" t="s">
        <v>120</v>
      </c>
      <c r="I1219" s="250" t="n">
        <v>131.27</v>
      </c>
    </row>
    <row r="1220" customFormat="false" ht="13.8" hidden="false" customHeight="false" outlineLevel="0" collapsed="false">
      <c r="A1220" s="218"/>
      <c r="B1220" s="251"/>
      <c r="C1220" s="251"/>
      <c r="D1220" s="251"/>
      <c r="E1220" s="212" t="s">
        <v>6291</v>
      </c>
      <c r="F1220" s="212" t="s">
        <v>6081</v>
      </c>
      <c r="G1220" s="212" t="n">
        <v>63</v>
      </c>
      <c r="H1220" s="212" t="s">
        <v>120</v>
      </c>
      <c r="I1220" s="250" t="n">
        <v>133.11</v>
      </c>
    </row>
    <row r="1221" customFormat="false" ht="13.8" hidden="false" customHeight="false" outlineLevel="0" collapsed="false">
      <c r="A1221" s="218"/>
      <c r="B1221" s="251"/>
      <c r="C1221" s="251"/>
      <c r="D1221" s="251"/>
      <c r="E1221" s="212" t="s">
        <v>6296</v>
      </c>
      <c r="F1221" s="212" t="s">
        <v>6081</v>
      </c>
      <c r="G1221" s="212" t="n">
        <v>63</v>
      </c>
      <c r="H1221" s="212" t="s">
        <v>120</v>
      </c>
      <c r="I1221" s="250" t="n">
        <v>63.48</v>
      </c>
    </row>
    <row r="1222" customFormat="false" ht="13.8" hidden="false" customHeight="false" outlineLevel="0" collapsed="false">
      <c r="A1222" s="218"/>
      <c r="B1222" s="251"/>
      <c r="C1222" s="251"/>
      <c r="D1222" s="251"/>
      <c r="E1222" s="212" t="s">
        <v>6301</v>
      </c>
      <c r="F1222" s="212" t="s">
        <v>6081</v>
      </c>
      <c r="G1222" s="212" t="n">
        <v>90</v>
      </c>
      <c r="H1222" s="212" t="s">
        <v>120</v>
      </c>
      <c r="I1222" s="250" t="n">
        <v>9.05</v>
      </c>
    </row>
    <row r="1223" customFormat="false" ht="13.8" hidden="false" customHeight="false" outlineLevel="0" collapsed="false">
      <c r="A1223" s="218"/>
      <c r="B1223" s="251"/>
      <c r="C1223" s="251"/>
      <c r="D1223" s="251"/>
      <c r="E1223" s="212" t="s">
        <v>6305</v>
      </c>
      <c r="F1223" s="212" t="s">
        <v>6081</v>
      </c>
      <c r="G1223" s="212" t="n">
        <v>63</v>
      </c>
      <c r="H1223" s="212" t="s">
        <v>120</v>
      </c>
      <c r="I1223" s="250" t="n">
        <v>46.02</v>
      </c>
    </row>
    <row r="1224" customFormat="false" ht="13.8" hidden="false" customHeight="false" outlineLevel="0" collapsed="false">
      <c r="A1224" s="218"/>
      <c r="B1224" s="251"/>
      <c r="C1224" s="251"/>
      <c r="D1224" s="251"/>
      <c r="E1224" s="212" t="s">
        <v>6308</v>
      </c>
      <c r="F1224" s="212" t="s">
        <v>6081</v>
      </c>
      <c r="G1224" s="212" t="n">
        <v>90</v>
      </c>
      <c r="H1224" s="212" t="s">
        <v>120</v>
      </c>
      <c r="I1224" s="250" t="n">
        <v>49.09</v>
      </c>
    </row>
    <row r="1225" customFormat="false" ht="13.8" hidden="false" customHeight="false" outlineLevel="0" collapsed="false">
      <c r="A1225" s="218"/>
      <c r="B1225" s="251"/>
      <c r="C1225" s="251"/>
      <c r="D1225" s="251"/>
      <c r="E1225" s="212" t="s">
        <v>6312</v>
      </c>
      <c r="F1225" s="212" t="s">
        <v>6081</v>
      </c>
      <c r="G1225" s="212" t="n">
        <v>63</v>
      </c>
      <c r="H1225" s="212" t="s">
        <v>120</v>
      </c>
      <c r="I1225" s="250" t="n">
        <v>46.9</v>
      </c>
    </row>
    <row r="1226" customFormat="false" ht="13.8" hidden="false" customHeight="false" outlineLevel="0" collapsed="false">
      <c r="A1226" s="218"/>
      <c r="B1226" s="251"/>
      <c r="C1226" s="251"/>
      <c r="D1226" s="251"/>
      <c r="E1226" s="212" t="s">
        <v>6315</v>
      </c>
      <c r="F1226" s="212" t="s">
        <v>6081</v>
      </c>
      <c r="G1226" s="212" t="n">
        <v>63</v>
      </c>
      <c r="H1226" s="212" t="s">
        <v>120</v>
      </c>
      <c r="I1226" s="250" t="n">
        <v>51.71</v>
      </c>
    </row>
    <row r="1227" customFormat="false" ht="13.8" hidden="false" customHeight="false" outlineLevel="0" collapsed="false">
      <c r="A1227" s="218"/>
      <c r="B1227" s="252"/>
      <c r="C1227" s="252"/>
      <c r="D1227" s="252"/>
      <c r="E1227" s="212" t="s">
        <v>6319</v>
      </c>
      <c r="F1227" s="212" t="s">
        <v>6081</v>
      </c>
      <c r="G1227" s="212" t="n">
        <v>63</v>
      </c>
      <c r="H1227" s="212" t="s">
        <v>120</v>
      </c>
      <c r="I1227" s="250" t="n">
        <v>51.34</v>
      </c>
    </row>
    <row r="1228" customFormat="false" ht="13.8" hidden="false" customHeight="false" outlineLevel="0" collapsed="false">
      <c r="A1228" s="218"/>
      <c r="B1228" s="249" t="s">
        <v>7048</v>
      </c>
      <c r="C1228" s="249" t="s">
        <v>117</v>
      </c>
      <c r="D1228" s="249" t="s">
        <v>1548</v>
      </c>
      <c r="E1228" s="212" t="s">
        <v>4800</v>
      </c>
      <c r="F1228" s="212" t="s">
        <v>4221</v>
      </c>
      <c r="G1228" s="212" t="n">
        <v>63</v>
      </c>
      <c r="H1228" s="212" t="s">
        <v>120</v>
      </c>
      <c r="I1228" s="250" t="n">
        <v>86.8</v>
      </c>
    </row>
    <row r="1229" customFormat="false" ht="13.8" hidden="false" customHeight="false" outlineLevel="0" collapsed="false">
      <c r="A1229" s="218"/>
      <c r="B1229" s="251"/>
      <c r="C1229" s="251"/>
      <c r="D1229" s="251"/>
      <c r="E1229" s="212" t="s">
        <v>6322</v>
      </c>
      <c r="F1229" s="212" t="s">
        <v>6081</v>
      </c>
      <c r="G1229" s="212" t="n">
        <v>63</v>
      </c>
      <c r="H1229" s="212" t="s">
        <v>120</v>
      </c>
      <c r="I1229" s="250" t="n">
        <v>62.28</v>
      </c>
    </row>
    <row r="1230" customFormat="false" ht="13.8" hidden="false" customHeight="false" outlineLevel="0" collapsed="false">
      <c r="A1230" s="218"/>
      <c r="B1230" s="251"/>
      <c r="C1230" s="251"/>
      <c r="D1230" s="251"/>
      <c r="E1230" s="212" t="s">
        <v>6327</v>
      </c>
      <c r="F1230" s="212" t="s">
        <v>6081</v>
      </c>
      <c r="G1230" s="212" t="n">
        <v>63</v>
      </c>
      <c r="H1230" s="212" t="s">
        <v>120</v>
      </c>
      <c r="I1230" s="250" t="n">
        <v>46.76</v>
      </c>
    </row>
    <row r="1231" customFormat="false" ht="13.8" hidden="false" customHeight="false" outlineLevel="0" collapsed="false">
      <c r="A1231" s="218"/>
      <c r="B1231" s="251"/>
      <c r="C1231" s="251"/>
      <c r="D1231" s="251"/>
      <c r="E1231" s="212" t="s">
        <v>6330</v>
      </c>
      <c r="F1231" s="212" t="s">
        <v>6081</v>
      </c>
      <c r="G1231" s="212" t="n">
        <v>63</v>
      </c>
      <c r="H1231" s="212" t="s">
        <v>120</v>
      </c>
      <c r="I1231" s="250" t="n">
        <v>178.64</v>
      </c>
    </row>
    <row r="1232" customFormat="false" ht="13.8" hidden="false" customHeight="false" outlineLevel="0" collapsed="false">
      <c r="A1232" s="218"/>
      <c r="B1232" s="251"/>
      <c r="C1232" s="251"/>
      <c r="D1232" s="251"/>
      <c r="E1232" s="212" t="s">
        <v>6334</v>
      </c>
      <c r="F1232" s="212" t="s">
        <v>6081</v>
      </c>
      <c r="G1232" s="212" t="n">
        <v>63</v>
      </c>
      <c r="H1232" s="212" t="s">
        <v>120</v>
      </c>
      <c r="I1232" s="250" t="n">
        <v>131.94</v>
      </c>
    </row>
    <row r="1233" customFormat="false" ht="13.8" hidden="false" customHeight="false" outlineLevel="0" collapsed="false">
      <c r="A1233" s="218"/>
      <c r="B1233" s="251"/>
      <c r="C1233" s="251"/>
      <c r="D1233" s="251"/>
      <c r="E1233" s="212" t="s">
        <v>6338</v>
      </c>
      <c r="F1233" s="212" t="s">
        <v>6081</v>
      </c>
      <c r="G1233" s="212" t="n">
        <v>63</v>
      </c>
      <c r="H1233" s="212" t="s">
        <v>120</v>
      </c>
      <c r="I1233" s="250" t="n">
        <v>21.24</v>
      </c>
    </row>
    <row r="1234" customFormat="false" ht="13.8" hidden="false" customHeight="false" outlineLevel="0" collapsed="false">
      <c r="A1234" s="218"/>
      <c r="B1234" s="251"/>
      <c r="C1234" s="251"/>
      <c r="D1234" s="251"/>
      <c r="E1234" s="212" t="s">
        <v>6341</v>
      </c>
      <c r="F1234" s="212" t="s">
        <v>6081</v>
      </c>
      <c r="G1234" s="212" t="n">
        <v>63</v>
      </c>
      <c r="H1234" s="212" t="s">
        <v>120</v>
      </c>
      <c r="I1234" s="250" t="n">
        <v>208.36</v>
      </c>
    </row>
    <row r="1235" customFormat="false" ht="13.8" hidden="false" customHeight="false" outlineLevel="0" collapsed="false">
      <c r="A1235" s="218"/>
      <c r="B1235" s="251"/>
      <c r="C1235" s="251"/>
      <c r="D1235" s="251"/>
      <c r="E1235" s="212" t="s">
        <v>6344</v>
      </c>
      <c r="F1235" s="212" t="s">
        <v>6081</v>
      </c>
      <c r="G1235" s="212" t="n">
        <v>63</v>
      </c>
      <c r="H1235" s="212" t="s">
        <v>120</v>
      </c>
      <c r="I1235" s="250" t="n">
        <v>6.73</v>
      </c>
    </row>
    <row r="1236" customFormat="false" ht="13.8" hidden="false" customHeight="false" outlineLevel="0" collapsed="false">
      <c r="A1236" s="218"/>
      <c r="B1236" s="251"/>
      <c r="C1236" s="251"/>
      <c r="D1236" s="251"/>
      <c r="E1236" s="212" t="s">
        <v>6348</v>
      </c>
      <c r="F1236" s="212" t="s">
        <v>6081</v>
      </c>
      <c r="G1236" s="212" t="n">
        <v>63</v>
      </c>
      <c r="H1236" s="212" t="s">
        <v>120</v>
      </c>
      <c r="I1236" s="250" t="n">
        <v>18.74</v>
      </c>
    </row>
    <row r="1237" customFormat="false" ht="13.8" hidden="false" customHeight="false" outlineLevel="0" collapsed="false">
      <c r="A1237" s="218"/>
      <c r="B1237" s="251"/>
      <c r="C1237" s="251"/>
      <c r="D1237" s="251"/>
      <c r="E1237" s="212" t="s">
        <v>6352</v>
      </c>
      <c r="F1237" s="212" t="s">
        <v>6081</v>
      </c>
      <c r="G1237" s="212" t="n">
        <v>63</v>
      </c>
      <c r="H1237" s="212" t="s">
        <v>120</v>
      </c>
      <c r="I1237" s="250" t="n">
        <v>133.75</v>
      </c>
    </row>
    <row r="1238" customFormat="false" ht="13.8" hidden="false" customHeight="false" outlineLevel="0" collapsed="false">
      <c r="A1238" s="218"/>
      <c r="B1238" s="251"/>
      <c r="C1238" s="251"/>
      <c r="D1238" s="251"/>
      <c r="E1238" s="212" t="s">
        <v>6356</v>
      </c>
      <c r="F1238" s="212" t="s">
        <v>6081</v>
      </c>
      <c r="G1238" s="212" t="n">
        <v>90</v>
      </c>
      <c r="H1238" s="212" t="s">
        <v>120</v>
      </c>
      <c r="I1238" s="250" t="n">
        <v>104.92</v>
      </c>
    </row>
    <row r="1239" customFormat="false" ht="13.8" hidden="false" customHeight="false" outlineLevel="0" collapsed="false">
      <c r="A1239" s="218"/>
      <c r="B1239" s="251"/>
      <c r="C1239" s="251"/>
      <c r="D1239" s="251"/>
      <c r="E1239" s="212" t="s">
        <v>6360</v>
      </c>
      <c r="F1239" s="212" t="s">
        <v>6081</v>
      </c>
      <c r="G1239" s="212" t="n">
        <v>63</v>
      </c>
      <c r="H1239" s="212" t="s">
        <v>120</v>
      </c>
      <c r="I1239" s="250" t="n">
        <v>55.94</v>
      </c>
    </row>
    <row r="1240" customFormat="false" ht="13.8" hidden="false" customHeight="false" outlineLevel="0" collapsed="false">
      <c r="A1240" s="218"/>
      <c r="B1240" s="251"/>
      <c r="C1240" s="251"/>
      <c r="D1240" s="251"/>
      <c r="E1240" s="212" t="s">
        <v>6366</v>
      </c>
      <c r="F1240" s="212" t="s">
        <v>6081</v>
      </c>
      <c r="G1240" s="212" t="n">
        <v>63</v>
      </c>
      <c r="H1240" s="212" t="s">
        <v>120</v>
      </c>
      <c r="I1240" s="250" t="n">
        <v>205.33</v>
      </c>
    </row>
    <row r="1241" customFormat="false" ht="13.8" hidden="false" customHeight="false" outlineLevel="0" collapsed="false">
      <c r="A1241" s="218"/>
      <c r="B1241" s="251"/>
      <c r="C1241" s="251"/>
      <c r="D1241" s="251"/>
      <c r="E1241" s="212" t="s">
        <v>6369</v>
      </c>
      <c r="F1241" s="212" t="s">
        <v>6081</v>
      </c>
      <c r="G1241" s="212" t="n">
        <v>90</v>
      </c>
      <c r="H1241" s="212" t="s">
        <v>120</v>
      </c>
      <c r="I1241" s="250" t="n">
        <v>21.71</v>
      </c>
    </row>
    <row r="1242" customFormat="false" ht="13.8" hidden="false" customHeight="false" outlineLevel="0" collapsed="false">
      <c r="A1242" s="218"/>
      <c r="B1242" s="251"/>
      <c r="C1242" s="251"/>
      <c r="D1242" s="251"/>
      <c r="E1242" s="212" t="s">
        <v>6372</v>
      </c>
      <c r="F1242" s="212" t="s">
        <v>6081</v>
      </c>
      <c r="G1242" s="212" t="n">
        <v>63</v>
      </c>
      <c r="H1242" s="212" t="s">
        <v>120</v>
      </c>
      <c r="I1242" s="250" t="n">
        <v>70.31</v>
      </c>
    </row>
    <row r="1243" customFormat="false" ht="13.8" hidden="false" customHeight="false" outlineLevel="0" collapsed="false">
      <c r="A1243" s="218"/>
      <c r="B1243" s="251"/>
      <c r="C1243" s="251"/>
      <c r="D1243" s="251"/>
      <c r="E1243" s="212" t="s">
        <v>6375</v>
      </c>
      <c r="F1243" s="212" t="s">
        <v>6081</v>
      </c>
      <c r="G1243" s="212" t="n">
        <v>63</v>
      </c>
      <c r="H1243" s="212" t="s">
        <v>120</v>
      </c>
      <c r="I1243" s="250" t="n">
        <v>248.04</v>
      </c>
    </row>
    <row r="1244" customFormat="false" ht="13.8" hidden="false" customHeight="false" outlineLevel="0" collapsed="false">
      <c r="A1244" s="218"/>
      <c r="B1244" s="251"/>
      <c r="C1244" s="251"/>
      <c r="D1244" s="251"/>
      <c r="E1244" s="212" t="s">
        <v>6379</v>
      </c>
      <c r="F1244" s="212" t="s">
        <v>6081</v>
      </c>
      <c r="G1244" s="212" t="n">
        <v>90</v>
      </c>
      <c r="H1244" s="212" t="s">
        <v>120</v>
      </c>
      <c r="I1244" s="250" t="n">
        <v>49.07</v>
      </c>
    </row>
    <row r="1245" customFormat="false" ht="13.8" hidden="false" customHeight="false" outlineLevel="0" collapsed="false">
      <c r="A1245" s="218"/>
      <c r="B1245" s="251"/>
      <c r="C1245" s="251"/>
      <c r="D1245" s="251"/>
      <c r="E1245" s="212" t="s">
        <v>6382</v>
      </c>
      <c r="F1245" s="212" t="s">
        <v>6081</v>
      </c>
      <c r="G1245" s="212" t="n">
        <v>63</v>
      </c>
      <c r="H1245" s="212" t="s">
        <v>120</v>
      </c>
      <c r="I1245" s="250" t="n">
        <v>283.45</v>
      </c>
    </row>
    <row r="1246" customFormat="false" ht="13.8" hidden="false" customHeight="false" outlineLevel="0" collapsed="false">
      <c r="A1246" s="218"/>
      <c r="B1246" s="252"/>
      <c r="C1246" s="252"/>
      <c r="D1246" s="252"/>
      <c r="E1246" s="212" t="s">
        <v>6386</v>
      </c>
      <c r="F1246" s="212" t="s">
        <v>6081</v>
      </c>
      <c r="G1246" s="212" t="n">
        <v>63</v>
      </c>
      <c r="H1246" s="212" t="s">
        <v>120</v>
      </c>
      <c r="I1246" s="250" t="n">
        <v>50.5</v>
      </c>
    </row>
    <row r="1247" customFormat="false" ht="13.8" hidden="false" customHeight="false" outlineLevel="0" collapsed="false">
      <c r="A1247" s="218"/>
      <c r="B1247" s="249" t="s">
        <v>7049</v>
      </c>
      <c r="C1247" s="249" t="s">
        <v>117</v>
      </c>
      <c r="D1247" s="249" t="s">
        <v>1548</v>
      </c>
      <c r="E1247" s="212" t="s">
        <v>5578</v>
      </c>
      <c r="F1247" s="212" t="s">
        <v>5106</v>
      </c>
      <c r="G1247" s="212" t="n">
        <v>63</v>
      </c>
      <c r="H1247" s="212" t="s">
        <v>120</v>
      </c>
      <c r="I1247" s="250" t="n">
        <v>54.99</v>
      </c>
    </row>
    <row r="1248" customFormat="false" ht="13.8" hidden="false" customHeight="false" outlineLevel="0" collapsed="false">
      <c r="A1248" s="218"/>
      <c r="B1248" s="251"/>
      <c r="C1248" s="251"/>
      <c r="D1248" s="251"/>
      <c r="E1248" s="212" t="s">
        <v>5586</v>
      </c>
      <c r="F1248" s="212" t="s">
        <v>5106</v>
      </c>
      <c r="G1248" s="212" t="n">
        <v>63</v>
      </c>
      <c r="H1248" s="212" t="s">
        <v>120</v>
      </c>
      <c r="I1248" s="250" t="n">
        <v>109.5</v>
      </c>
    </row>
    <row r="1249" customFormat="false" ht="13.8" hidden="false" customHeight="false" outlineLevel="0" collapsed="false">
      <c r="A1249" s="218"/>
      <c r="B1249" s="251"/>
      <c r="C1249" s="251"/>
      <c r="D1249" s="251"/>
      <c r="E1249" s="212" t="s">
        <v>5591</v>
      </c>
      <c r="F1249" s="212" t="s">
        <v>5106</v>
      </c>
      <c r="G1249" s="212" t="n">
        <v>63</v>
      </c>
      <c r="H1249" s="212" t="s">
        <v>120</v>
      </c>
      <c r="I1249" s="250" t="n">
        <v>99.33</v>
      </c>
    </row>
    <row r="1250" customFormat="false" ht="13.8" hidden="false" customHeight="false" outlineLevel="0" collapsed="false">
      <c r="A1250" s="218"/>
      <c r="B1250" s="251"/>
      <c r="C1250" s="251"/>
      <c r="D1250" s="251"/>
      <c r="E1250" s="212" t="s">
        <v>5595</v>
      </c>
      <c r="F1250" s="212" t="s">
        <v>5106</v>
      </c>
      <c r="G1250" s="212" t="n">
        <v>63</v>
      </c>
      <c r="H1250" s="212" t="s">
        <v>120</v>
      </c>
      <c r="I1250" s="250" t="n">
        <v>53.69</v>
      </c>
    </row>
    <row r="1251" customFormat="false" ht="13.8" hidden="false" customHeight="false" outlineLevel="0" collapsed="false">
      <c r="A1251" s="218"/>
      <c r="B1251" s="251"/>
      <c r="C1251" s="251"/>
      <c r="D1251" s="251"/>
      <c r="E1251" s="212" t="s">
        <v>5599</v>
      </c>
      <c r="F1251" s="212" t="s">
        <v>5106</v>
      </c>
      <c r="G1251" s="212" t="n">
        <v>63</v>
      </c>
      <c r="H1251" s="212" t="s">
        <v>120</v>
      </c>
      <c r="I1251" s="250" t="n">
        <v>51.86</v>
      </c>
    </row>
    <row r="1252" customFormat="false" ht="13.8" hidden="false" customHeight="false" outlineLevel="0" collapsed="false">
      <c r="A1252" s="218"/>
      <c r="B1252" s="251"/>
      <c r="C1252" s="251"/>
      <c r="D1252" s="251"/>
      <c r="E1252" s="212" t="s">
        <v>5602</v>
      </c>
      <c r="F1252" s="212" t="s">
        <v>5106</v>
      </c>
      <c r="G1252" s="212" t="n">
        <v>63</v>
      </c>
      <c r="H1252" s="212" t="s">
        <v>120</v>
      </c>
      <c r="I1252" s="250" t="n">
        <v>14.53</v>
      </c>
    </row>
    <row r="1253" customFormat="false" ht="13.8" hidden="false" customHeight="false" outlineLevel="0" collapsed="false">
      <c r="A1253" s="218"/>
      <c r="B1253" s="251"/>
      <c r="C1253" s="251"/>
      <c r="D1253" s="251"/>
      <c r="E1253" s="212" t="s">
        <v>5606</v>
      </c>
      <c r="F1253" s="212" t="s">
        <v>5106</v>
      </c>
      <c r="G1253" s="212" t="n">
        <v>63</v>
      </c>
      <c r="H1253" s="212" t="s">
        <v>120</v>
      </c>
      <c r="I1253" s="250" t="n">
        <v>50.52</v>
      </c>
    </row>
    <row r="1254" customFormat="false" ht="13.8" hidden="false" customHeight="false" outlineLevel="0" collapsed="false">
      <c r="A1254" s="218"/>
      <c r="B1254" s="251"/>
      <c r="C1254" s="251"/>
      <c r="D1254" s="251"/>
      <c r="E1254" s="212" t="s">
        <v>5609</v>
      </c>
      <c r="F1254" s="212" t="s">
        <v>5106</v>
      </c>
      <c r="G1254" s="212" t="n">
        <v>63</v>
      </c>
      <c r="H1254" s="212" t="s">
        <v>120</v>
      </c>
      <c r="I1254" s="250" t="n">
        <v>79.15</v>
      </c>
    </row>
    <row r="1255" customFormat="false" ht="13.8" hidden="false" customHeight="false" outlineLevel="0" collapsed="false">
      <c r="A1255" s="218"/>
      <c r="B1255" s="251"/>
      <c r="C1255" s="251"/>
      <c r="D1255" s="251"/>
      <c r="E1255" s="212" t="s">
        <v>5611</v>
      </c>
      <c r="F1255" s="212" t="s">
        <v>5106</v>
      </c>
      <c r="G1255" s="212" t="n">
        <v>63</v>
      </c>
      <c r="H1255" s="212" t="s">
        <v>120</v>
      </c>
      <c r="I1255" s="250" t="n">
        <v>54.36</v>
      </c>
    </row>
    <row r="1256" customFormat="false" ht="13.8" hidden="false" customHeight="false" outlineLevel="0" collapsed="false">
      <c r="A1256" s="218"/>
      <c r="B1256" s="251"/>
      <c r="C1256" s="251"/>
      <c r="D1256" s="251"/>
      <c r="E1256" s="212" t="s">
        <v>5615</v>
      </c>
      <c r="F1256" s="212" t="s">
        <v>5106</v>
      </c>
      <c r="G1256" s="212" t="n">
        <v>63</v>
      </c>
      <c r="H1256" s="212" t="s">
        <v>120</v>
      </c>
      <c r="I1256" s="250" t="n">
        <v>101.01</v>
      </c>
    </row>
    <row r="1257" customFormat="false" ht="13.8" hidden="false" customHeight="false" outlineLevel="0" collapsed="false">
      <c r="A1257" s="218"/>
      <c r="B1257" s="251"/>
      <c r="C1257" s="251"/>
      <c r="D1257" s="251"/>
      <c r="E1257" s="212" t="s">
        <v>5618</v>
      </c>
      <c r="F1257" s="212" t="s">
        <v>5106</v>
      </c>
      <c r="G1257" s="212" t="n">
        <v>63</v>
      </c>
      <c r="H1257" s="212" t="s">
        <v>120</v>
      </c>
      <c r="I1257" s="250" t="n">
        <v>118.35</v>
      </c>
    </row>
    <row r="1258" customFormat="false" ht="13.8" hidden="false" customHeight="false" outlineLevel="0" collapsed="false">
      <c r="A1258" s="218"/>
      <c r="B1258" s="252"/>
      <c r="C1258" s="252"/>
      <c r="D1258" s="252"/>
      <c r="E1258" s="212" t="s">
        <v>5620</v>
      </c>
      <c r="F1258" s="212" t="s">
        <v>5106</v>
      </c>
      <c r="G1258" s="212" t="n">
        <v>63</v>
      </c>
      <c r="H1258" s="212" t="s">
        <v>120</v>
      </c>
      <c r="I1258" s="250" t="n">
        <v>88.4</v>
      </c>
    </row>
    <row r="1259" customFormat="false" ht="13.8" hidden="false" customHeight="false" outlineLevel="0" collapsed="false">
      <c r="A1259" s="218"/>
      <c r="B1259" s="249" t="s">
        <v>7050</v>
      </c>
      <c r="C1259" s="249" t="s">
        <v>117</v>
      </c>
      <c r="D1259" s="249" t="s">
        <v>1548</v>
      </c>
      <c r="E1259" s="212" t="s">
        <v>5624</v>
      </c>
      <c r="F1259" s="212" t="s">
        <v>5106</v>
      </c>
      <c r="G1259" s="212" t="n">
        <v>63</v>
      </c>
      <c r="H1259" s="212" t="s">
        <v>120</v>
      </c>
      <c r="I1259" s="250" t="n">
        <v>32.5</v>
      </c>
    </row>
    <row r="1260" customFormat="false" ht="13.8" hidden="false" customHeight="false" outlineLevel="0" collapsed="false">
      <c r="A1260" s="218"/>
      <c r="B1260" s="251"/>
      <c r="C1260" s="251"/>
      <c r="D1260" s="251"/>
      <c r="E1260" s="212" t="s">
        <v>5630</v>
      </c>
      <c r="F1260" s="212" t="s">
        <v>5106</v>
      </c>
      <c r="G1260" s="212" t="n">
        <v>63</v>
      </c>
      <c r="H1260" s="212" t="s">
        <v>120</v>
      </c>
      <c r="I1260" s="250" t="n">
        <v>32.58</v>
      </c>
    </row>
    <row r="1261" customFormat="false" ht="13.8" hidden="false" customHeight="false" outlineLevel="0" collapsed="false">
      <c r="A1261" s="218"/>
      <c r="B1261" s="251"/>
      <c r="C1261" s="251"/>
      <c r="D1261" s="251"/>
      <c r="E1261" s="212" t="s">
        <v>5632</v>
      </c>
      <c r="F1261" s="212" t="s">
        <v>5106</v>
      </c>
      <c r="G1261" s="212" t="n">
        <v>63</v>
      </c>
      <c r="H1261" s="212" t="s">
        <v>120</v>
      </c>
      <c r="I1261" s="250" t="n">
        <v>42.32</v>
      </c>
    </row>
    <row r="1262" customFormat="false" ht="13.8" hidden="false" customHeight="false" outlineLevel="0" collapsed="false">
      <c r="A1262" s="218"/>
      <c r="B1262" s="251"/>
      <c r="C1262" s="251"/>
      <c r="D1262" s="251"/>
      <c r="E1262" s="212" t="s">
        <v>5635</v>
      </c>
      <c r="F1262" s="212" t="s">
        <v>5106</v>
      </c>
      <c r="G1262" s="212" t="n">
        <v>63</v>
      </c>
      <c r="H1262" s="212" t="s">
        <v>120</v>
      </c>
      <c r="I1262" s="250" t="n">
        <v>161.54</v>
      </c>
    </row>
    <row r="1263" customFormat="false" ht="13.8" hidden="false" customHeight="false" outlineLevel="0" collapsed="false">
      <c r="A1263" s="218"/>
      <c r="B1263" s="251"/>
      <c r="C1263" s="251"/>
      <c r="D1263" s="251"/>
      <c r="E1263" s="212" t="s">
        <v>5639</v>
      </c>
      <c r="F1263" s="212" t="s">
        <v>5106</v>
      </c>
      <c r="G1263" s="212" t="n">
        <v>110</v>
      </c>
      <c r="H1263" s="212" t="s">
        <v>120</v>
      </c>
      <c r="I1263" s="250" t="n">
        <v>33.39</v>
      </c>
    </row>
    <row r="1264" customFormat="false" ht="13.8" hidden="false" customHeight="false" outlineLevel="0" collapsed="false">
      <c r="A1264" s="218"/>
      <c r="B1264" s="251"/>
      <c r="C1264" s="251"/>
      <c r="D1264" s="251"/>
      <c r="E1264" s="212" t="s">
        <v>5642</v>
      </c>
      <c r="F1264" s="212" t="s">
        <v>5106</v>
      </c>
      <c r="G1264" s="212" t="n">
        <v>110</v>
      </c>
      <c r="H1264" s="212" t="s">
        <v>120</v>
      </c>
      <c r="I1264" s="250" t="n">
        <v>23.51</v>
      </c>
    </row>
    <row r="1265" customFormat="false" ht="13.8" hidden="false" customHeight="false" outlineLevel="0" collapsed="false">
      <c r="A1265" s="218"/>
      <c r="B1265" s="251"/>
      <c r="C1265" s="251"/>
      <c r="D1265" s="251"/>
      <c r="E1265" s="212" t="s">
        <v>5646</v>
      </c>
      <c r="F1265" s="212" t="s">
        <v>5106</v>
      </c>
      <c r="G1265" s="212" t="n">
        <v>63</v>
      </c>
      <c r="H1265" s="212" t="s">
        <v>120</v>
      </c>
      <c r="I1265" s="250" t="n">
        <v>55.48</v>
      </c>
    </row>
    <row r="1266" customFormat="false" ht="13.8" hidden="false" customHeight="false" outlineLevel="0" collapsed="false">
      <c r="A1266" s="218"/>
      <c r="B1266" s="251"/>
      <c r="C1266" s="251"/>
      <c r="D1266" s="251"/>
      <c r="E1266" s="212" t="s">
        <v>5650</v>
      </c>
      <c r="F1266" s="212" t="s">
        <v>5106</v>
      </c>
      <c r="G1266" s="212" t="n">
        <v>63</v>
      </c>
      <c r="H1266" s="212" t="s">
        <v>120</v>
      </c>
      <c r="I1266" s="250" t="n">
        <v>228.18</v>
      </c>
    </row>
    <row r="1267" customFormat="false" ht="13.8" hidden="false" customHeight="false" outlineLevel="0" collapsed="false">
      <c r="A1267" s="218"/>
      <c r="B1267" s="251"/>
      <c r="C1267" s="251"/>
      <c r="D1267" s="251"/>
      <c r="E1267" s="212" t="s">
        <v>5654</v>
      </c>
      <c r="F1267" s="212" t="s">
        <v>5106</v>
      </c>
      <c r="G1267" s="212" t="n">
        <v>110</v>
      </c>
      <c r="H1267" s="212" t="s">
        <v>120</v>
      </c>
      <c r="I1267" s="250" t="n">
        <v>16.53</v>
      </c>
    </row>
    <row r="1268" customFormat="false" ht="13.8" hidden="false" customHeight="false" outlineLevel="0" collapsed="false">
      <c r="A1268" s="218"/>
      <c r="B1268" s="251"/>
      <c r="C1268" s="251"/>
      <c r="D1268" s="251"/>
      <c r="E1268" s="212" t="s">
        <v>5656</v>
      </c>
      <c r="F1268" s="212" t="s">
        <v>5106</v>
      </c>
      <c r="G1268" s="212" t="n">
        <v>63</v>
      </c>
      <c r="H1268" s="212" t="s">
        <v>120</v>
      </c>
      <c r="I1268" s="250" t="n">
        <v>51.32</v>
      </c>
    </row>
    <row r="1269" customFormat="false" ht="13.8" hidden="false" customHeight="false" outlineLevel="0" collapsed="false">
      <c r="A1269" s="218"/>
      <c r="B1269" s="251"/>
      <c r="C1269" s="251"/>
      <c r="D1269" s="251"/>
      <c r="E1269" s="212" t="s">
        <v>5659</v>
      </c>
      <c r="F1269" s="212" t="s">
        <v>5106</v>
      </c>
      <c r="G1269" s="212" t="n">
        <v>110</v>
      </c>
      <c r="H1269" s="212" t="s">
        <v>120</v>
      </c>
      <c r="I1269" s="250" t="n">
        <v>45.94</v>
      </c>
    </row>
    <row r="1270" customFormat="false" ht="13.8" hidden="false" customHeight="false" outlineLevel="0" collapsed="false">
      <c r="A1270" s="218"/>
      <c r="B1270" s="251"/>
      <c r="C1270" s="251"/>
      <c r="D1270" s="251"/>
      <c r="E1270" s="212" t="s">
        <v>5663</v>
      </c>
      <c r="F1270" s="212" t="s">
        <v>5106</v>
      </c>
      <c r="G1270" s="212" t="n">
        <v>63</v>
      </c>
      <c r="H1270" s="212" t="s">
        <v>120</v>
      </c>
      <c r="I1270" s="250" t="n">
        <v>39.69</v>
      </c>
    </row>
    <row r="1271" customFormat="false" ht="13.8" hidden="false" customHeight="false" outlineLevel="0" collapsed="false">
      <c r="A1271" s="218"/>
      <c r="B1271" s="251"/>
      <c r="C1271" s="251"/>
      <c r="D1271" s="251"/>
      <c r="E1271" s="212" t="s">
        <v>5668</v>
      </c>
      <c r="F1271" s="212" t="s">
        <v>5106</v>
      </c>
      <c r="G1271" s="212" t="n">
        <v>63</v>
      </c>
      <c r="H1271" s="212" t="s">
        <v>120</v>
      </c>
      <c r="I1271" s="250" t="n">
        <v>56.76</v>
      </c>
    </row>
    <row r="1272" customFormat="false" ht="13.8" hidden="false" customHeight="false" outlineLevel="0" collapsed="false">
      <c r="A1272" s="218"/>
      <c r="B1272" s="251"/>
      <c r="C1272" s="251"/>
      <c r="D1272" s="251"/>
      <c r="E1272" s="212" t="s">
        <v>5671</v>
      </c>
      <c r="F1272" s="212" t="s">
        <v>5106</v>
      </c>
      <c r="G1272" s="212" t="n">
        <v>63</v>
      </c>
      <c r="H1272" s="212" t="s">
        <v>120</v>
      </c>
      <c r="I1272" s="250" t="n">
        <v>52.68</v>
      </c>
    </row>
    <row r="1273" customFormat="false" ht="13.8" hidden="false" customHeight="false" outlineLevel="0" collapsed="false">
      <c r="A1273" s="218"/>
      <c r="B1273" s="251"/>
      <c r="C1273" s="251"/>
      <c r="D1273" s="251"/>
      <c r="E1273" s="212" t="s">
        <v>5673</v>
      </c>
      <c r="F1273" s="212" t="s">
        <v>5106</v>
      </c>
      <c r="G1273" s="212" t="n">
        <v>63</v>
      </c>
      <c r="H1273" s="212" t="s">
        <v>120</v>
      </c>
      <c r="I1273" s="250" t="n">
        <v>93.15</v>
      </c>
    </row>
    <row r="1274" customFormat="false" ht="13.8" hidden="false" customHeight="false" outlineLevel="0" collapsed="false">
      <c r="A1274" s="218"/>
      <c r="B1274" s="251"/>
      <c r="C1274" s="251"/>
      <c r="D1274" s="251"/>
      <c r="E1274" s="212" t="s">
        <v>5678</v>
      </c>
      <c r="F1274" s="212" t="s">
        <v>5106</v>
      </c>
      <c r="G1274" s="212" t="n">
        <v>110</v>
      </c>
      <c r="H1274" s="212" t="s">
        <v>120</v>
      </c>
      <c r="I1274" s="250" t="n">
        <v>72.87</v>
      </c>
    </row>
    <row r="1275" customFormat="false" ht="13.8" hidden="false" customHeight="false" outlineLevel="0" collapsed="false">
      <c r="A1275" s="218"/>
      <c r="B1275" s="251"/>
      <c r="C1275" s="251"/>
      <c r="D1275" s="251"/>
      <c r="E1275" s="212" t="s">
        <v>5682</v>
      </c>
      <c r="F1275" s="212" t="s">
        <v>5106</v>
      </c>
      <c r="G1275" s="212" t="n">
        <v>110</v>
      </c>
      <c r="H1275" s="212" t="s">
        <v>120</v>
      </c>
      <c r="I1275" s="250" t="n">
        <v>34.36</v>
      </c>
    </row>
    <row r="1276" customFormat="false" ht="13.8" hidden="false" customHeight="false" outlineLevel="0" collapsed="false">
      <c r="A1276" s="218"/>
      <c r="B1276" s="251"/>
      <c r="C1276" s="251"/>
      <c r="D1276" s="251"/>
      <c r="E1276" s="212" t="s">
        <v>5685</v>
      </c>
      <c r="F1276" s="212" t="s">
        <v>5106</v>
      </c>
      <c r="G1276" s="212" t="n">
        <v>63</v>
      </c>
      <c r="H1276" s="212" t="s">
        <v>120</v>
      </c>
      <c r="I1276" s="250" t="n">
        <v>32.73</v>
      </c>
    </row>
    <row r="1277" customFormat="false" ht="13.8" hidden="false" customHeight="false" outlineLevel="0" collapsed="false">
      <c r="A1277" s="218"/>
      <c r="B1277" s="251"/>
      <c r="C1277" s="251"/>
      <c r="D1277" s="251"/>
      <c r="E1277" s="212" t="s">
        <v>5690</v>
      </c>
      <c r="F1277" s="212" t="s">
        <v>5106</v>
      </c>
      <c r="G1277" s="212" t="n">
        <v>63</v>
      </c>
      <c r="H1277" s="212" t="s">
        <v>120</v>
      </c>
      <c r="I1277" s="250" t="n">
        <v>16.7</v>
      </c>
    </row>
    <row r="1278" customFormat="false" ht="13.8" hidden="false" customHeight="false" outlineLevel="0" collapsed="false">
      <c r="A1278" s="218"/>
      <c r="B1278" s="251"/>
      <c r="C1278" s="251"/>
      <c r="D1278" s="251"/>
      <c r="E1278" s="212" t="s">
        <v>5693</v>
      </c>
      <c r="F1278" s="212" t="s">
        <v>5106</v>
      </c>
      <c r="G1278" s="212" t="n">
        <v>63</v>
      </c>
      <c r="H1278" s="212" t="s">
        <v>120</v>
      </c>
      <c r="I1278" s="250" t="n">
        <v>102.28</v>
      </c>
    </row>
    <row r="1279" customFormat="false" ht="13.8" hidden="false" customHeight="false" outlineLevel="0" collapsed="false">
      <c r="A1279" s="218"/>
      <c r="B1279" s="251"/>
      <c r="C1279" s="251"/>
      <c r="D1279" s="251"/>
      <c r="E1279" s="212" t="s">
        <v>5696</v>
      </c>
      <c r="F1279" s="212" t="s">
        <v>5106</v>
      </c>
      <c r="G1279" s="212" t="n">
        <v>63</v>
      </c>
      <c r="H1279" s="212" t="s">
        <v>120</v>
      </c>
      <c r="I1279" s="250" t="n">
        <v>71.2</v>
      </c>
    </row>
    <row r="1280" customFormat="false" ht="13.8" hidden="false" customHeight="false" outlineLevel="0" collapsed="false">
      <c r="A1280" s="218"/>
      <c r="B1280" s="251"/>
      <c r="C1280" s="251"/>
      <c r="D1280" s="251"/>
      <c r="E1280" s="212" t="s">
        <v>6389</v>
      </c>
      <c r="F1280" s="212" t="s">
        <v>2224</v>
      </c>
      <c r="G1280" s="212" t="n">
        <v>500</v>
      </c>
      <c r="H1280" s="212" t="s">
        <v>120</v>
      </c>
      <c r="I1280" s="250" t="n">
        <v>23.24</v>
      </c>
    </row>
    <row r="1281" customFormat="false" ht="13.8" hidden="false" customHeight="false" outlineLevel="0" collapsed="false">
      <c r="A1281" s="218"/>
      <c r="B1281" s="251"/>
      <c r="C1281" s="251"/>
      <c r="D1281" s="251"/>
      <c r="E1281" s="212" t="s">
        <v>6393</v>
      </c>
      <c r="F1281" s="212" t="s">
        <v>6081</v>
      </c>
      <c r="G1281" s="212" t="n">
        <v>63</v>
      </c>
      <c r="H1281" s="212" t="s">
        <v>120</v>
      </c>
      <c r="I1281" s="250" t="n">
        <v>12.37</v>
      </c>
    </row>
    <row r="1282" customFormat="false" ht="13.8" hidden="false" customHeight="false" outlineLevel="0" collapsed="false">
      <c r="A1282" s="218"/>
      <c r="B1282" s="251"/>
      <c r="C1282" s="251"/>
      <c r="D1282" s="251"/>
      <c r="E1282" s="212" t="s">
        <v>6396</v>
      </c>
      <c r="F1282" s="212" t="s">
        <v>6081</v>
      </c>
      <c r="G1282" s="212" t="n">
        <v>90</v>
      </c>
      <c r="H1282" s="212" t="s">
        <v>120</v>
      </c>
      <c r="I1282" s="250" t="n">
        <v>52.16</v>
      </c>
    </row>
    <row r="1283" customFormat="false" ht="13.8" hidden="false" customHeight="false" outlineLevel="0" collapsed="false">
      <c r="A1283" s="218"/>
      <c r="B1283" s="251"/>
      <c r="C1283" s="251"/>
      <c r="D1283" s="251"/>
      <c r="E1283" s="212" t="s">
        <v>6400</v>
      </c>
      <c r="F1283" s="212" t="s">
        <v>6081</v>
      </c>
      <c r="G1283" s="212" t="n">
        <v>63</v>
      </c>
      <c r="H1283" s="212" t="s">
        <v>120</v>
      </c>
      <c r="I1283" s="250" t="n">
        <v>119.37</v>
      </c>
    </row>
    <row r="1284" customFormat="false" ht="13.8" hidden="false" customHeight="false" outlineLevel="0" collapsed="false">
      <c r="A1284" s="218"/>
      <c r="B1284" s="251"/>
      <c r="C1284" s="251"/>
      <c r="D1284" s="251"/>
      <c r="E1284" s="212" t="s">
        <v>6405</v>
      </c>
      <c r="F1284" s="212" t="s">
        <v>6081</v>
      </c>
      <c r="G1284" s="212" t="n">
        <v>90</v>
      </c>
      <c r="H1284" s="212" t="s">
        <v>120</v>
      </c>
      <c r="I1284" s="250" t="n">
        <v>32.7</v>
      </c>
    </row>
    <row r="1285" customFormat="false" ht="13.8" hidden="false" customHeight="false" outlineLevel="0" collapsed="false">
      <c r="A1285" s="218"/>
      <c r="B1285" s="251"/>
      <c r="C1285" s="251"/>
      <c r="D1285" s="251"/>
      <c r="E1285" s="212" t="s">
        <v>6408</v>
      </c>
      <c r="F1285" s="212" t="s">
        <v>6081</v>
      </c>
      <c r="G1285" s="212" t="n">
        <v>90</v>
      </c>
      <c r="H1285" s="212" t="s">
        <v>120</v>
      </c>
      <c r="I1285" s="250" t="n">
        <v>118.25</v>
      </c>
    </row>
    <row r="1286" customFormat="false" ht="13.8" hidden="false" customHeight="false" outlineLevel="0" collapsed="false">
      <c r="A1286" s="218"/>
      <c r="B1286" s="251"/>
      <c r="C1286" s="251"/>
      <c r="D1286" s="251"/>
      <c r="E1286" s="212" t="s">
        <v>6412</v>
      </c>
      <c r="F1286" s="212" t="s">
        <v>6081</v>
      </c>
      <c r="G1286" s="212" t="n">
        <v>63</v>
      </c>
      <c r="H1286" s="212" t="s">
        <v>120</v>
      </c>
      <c r="I1286" s="250" t="n">
        <v>48.47</v>
      </c>
    </row>
    <row r="1287" customFormat="false" ht="13.8" hidden="false" customHeight="false" outlineLevel="0" collapsed="false">
      <c r="A1287" s="218"/>
      <c r="B1287" s="251"/>
      <c r="C1287" s="251"/>
      <c r="D1287" s="251"/>
      <c r="E1287" s="212" t="s">
        <v>6417</v>
      </c>
      <c r="F1287" s="212" t="s">
        <v>6081</v>
      </c>
      <c r="G1287" s="212" t="n">
        <v>63</v>
      </c>
      <c r="H1287" s="212" t="s">
        <v>120</v>
      </c>
      <c r="I1287" s="250" t="n">
        <v>85.32</v>
      </c>
    </row>
    <row r="1288" customFormat="false" ht="13.8" hidden="false" customHeight="false" outlineLevel="0" collapsed="false">
      <c r="A1288" s="218"/>
      <c r="B1288" s="251"/>
      <c r="C1288" s="251"/>
      <c r="D1288" s="251"/>
      <c r="E1288" s="212" t="s">
        <v>6420</v>
      </c>
      <c r="F1288" s="212" t="s">
        <v>6081</v>
      </c>
      <c r="G1288" s="212" t="n">
        <v>63</v>
      </c>
      <c r="H1288" s="212" t="s">
        <v>120</v>
      </c>
      <c r="I1288" s="250" t="n">
        <v>86.47</v>
      </c>
    </row>
    <row r="1289" customFormat="false" ht="13.8" hidden="false" customHeight="false" outlineLevel="0" collapsed="false">
      <c r="A1289" s="218"/>
      <c r="B1289" s="251"/>
      <c r="C1289" s="251"/>
      <c r="D1289" s="251"/>
      <c r="E1289" s="212" t="s">
        <v>6424</v>
      </c>
      <c r="F1289" s="212" t="s">
        <v>6081</v>
      </c>
      <c r="G1289" s="212" t="n">
        <v>63</v>
      </c>
      <c r="H1289" s="212" t="s">
        <v>120</v>
      </c>
      <c r="I1289" s="250" t="n">
        <v>197.67</v>
      </c>
    </row>
    <row r="1290" customFormat="false" ht="13.8" hidden="false" customHeight="false" outlineLevel="0" collapsed="false">
      <c r="A1290" s="218"/>
      <c r="B1290" s="251"/>
      <c r="C1290" s="251"/>
      <c r="D1290" s="251"/>
      <c r="E1290" s="212" t="s">
        <v>6427</v>
      </c>
      <c r="F1290" s="212" t="s">
        <v>6081</v>
      </c>
      <c r="G1290" s="212" t="n">
        <v>90</v>
      </c>
      <c r="H1290" s="212" t="s">
        <v>120</v>
      </c>
      <c r="I1290" s="250" t="n">
        <v>63.55</v>
      </c>
    </row>
    <row r="1291" customFormat="false" ht="13.8" hidden="false" customHeight="false" outlineLevel="0" collapsed="false">
      <c r="A1291" s="218"/>
      <c r="B1291" s="251"/>
      <c r="C1291" s="251"/>
      <c r="D1291" s="251"/>
      <c r="E1291" s="212" t="s">
        <v>6431</v>
      </c>
      <c r="F1291" s="212" t="s">
        <v>6081</v>
      </c>
      <c r="G1291" s="212" t="n">
        <v>63</v>
      </c>
      <c r="H1291" s="212" t="s">
        <v>120</v>
      </c>
      <c r="I1291" s="250" t="n">
        <v>94.21</v>
      </c>
    </row>
    <row r="1292" customFormat="false" ht="13.8" hidden="false" customHeight="false" outlineLevel="0" collapsed="false">
      <c r="A1292" s="218"/>
      <c r="B1292" s="251"/>
      <c r="C1292" s="251"/>
      <c r="D1292" s="251"/>
      <c r="E1292" s="212" t="s">
        <v>6436</v>
      </c>
      <c r="F1292" s="212" t="s">
        <v>6081</v>
      </c>
      <c r="G1292" s="212" t="n">
        <v>63</v>
      </c>
      <c r="H1292" s="212" t="s">
        <v>120</v>
      </c>
      <c r="I1292" s="250" t="n">
        <v>111.03</v>
      </c>
    </row>
    <row r="1293" customFormat="false" ht="13.8" hidden="false" customHeight="false" outlineLevel="0" collapsed="false">
      <c r="A1293" s="218"/>
      <c r="B1293" s="251"/>
      <c r="C1293" s="251"/>
      <c r="D1293" s="251"/>
      <c r="E1293" s="212" t="s">
        <v>6440</v>
      </c>
      <c r="F1293" s="212" t="s">
        <v>6081</v>
      </c>
      <c r="G1293" s="212" t="n">
        <v>63</v>
      </c>
      <c r="H1293" s="212" t="s">
        <v>120</v>
      </c>
      <c r="I1293" s="250" t="n">
        <v>238.72</v>
      </c>
    </row>
    <row r="1294" customFormat="false" ht="13.8" hidden="false" customHeight="false" outlineLevel="0" collapsed="false">
      <c r="A1294" s="218"/>
      <c r="B1294" s="251"/>
      <c r="C1294" s="251"/>
      <c r="D1294" s="251"/>
      <c r="E1294" s="212" t="s">
        <v>6444</v>
      </c>
      <c r="F1294" s="212" t="s">
        <v>6081</v>
      </c>
      <c r="G1294" s="212" t="n">
        <v>63</v>
      </c>
      <c r="H1294" s="212" t="s">
        <v>120</v>
      </c>
      <c r="I1294" s="250" t="n">
        <v>48.05</v>
      </c>
    </row>
    <row r="1295" customFormat="false" ht="13.8" hidden="false" customHeight="false" outlineLevel="0" collapsed="false">
      <c r="A1295" s="218"/>
      <c r="B1295" s="251"/>
      <c r="C1295" s="251"/>
      <c r="D1295" s="251"/>
      <c r="E1295" s="212" t="s">
        <v>6447</v>
      </c>
      <c r="F1295" s="212" t="s">
        <v>6081</v>
      </c>
      <c r="G1295" s="212" t="n">
        <v>63</v>
      </c>
      <c r="H1295" s="212" t="s">
        <v>120</v>
      </c>
      <c r="I1295" s="250" t="n">
        <v>50.54</v>
      </c>
    </row>
    <row r="1296" customFormat="false" ht="13.8" hidden="false" customHeight="false" outlineLevel="0" collapsed="false">
      <c r="A1296" s="218"/>
      <c r="B1296" s="251"/>
      <c r="C1296" s="251"/>
      <c r="D1296" s="251"/>
      <c r="E1296" s="212" t="s">
        <v>6450</v>
      </c>
      <c r="F1296" s="212" t="s">
        <v>6081</v>
      </c>
      <c r="G1296" s="212" t="n">
        <v>63</v>
      </c>
      <c r="H1296" s="212" t="s">
        <v>120</v>
      </c>
      <c r="I1296" s="250" t="n">
        <v>24.36</v>
      </c>
    </row>
    <row r="1297" customFormat="false" ht="13.8" hidden="false" customHeight="false" outlineLevel="0" collapsed="false">
      <c r="A1297" s="218"/>
      <c r="B1297" s="251"/>
      <c r="C1297" s="251"/>
      <c r="D1297" s="251"/>
      <c r="E1297" s="212" t="s">
        <v>6455</v>
      </c>
      <c r="F1297" s="212" t="s">
        <v>6081</v>
      </c>
      <c r="G1297" s="212" t="n">
        <v>63</v>
      </c>
      <c r="H1297" s="212" t="s">
        <v>120</v>
      </c>
      <c r="I1297" s="250" t="n">
        <v>173.68</v>
      </c>
    </row>
    <row r="1298" customFormat="false" ht="13.8" hidden="false" customHeight="false" outlineLevel="0" collapsed="false">
      <c r="A1298" s="218"/>
      <c r="B1298" s="251"/>
      <c r="C1298" s="251"/>
      <c r="D1298" s="251"/>
      <c r="E1298" s="212" t="s">
        <v>6458</v>
      </c>
      <c r="F1298" s="212" t="s">
        <v>6081</v>
      </c>
      <c r="G1298" s="212" t="n">
        <v>63</v>
      </c>
      <c r="H1298" s="212" t="s">
        <v>120</v>
      </c>
      <c r="I1298" s="250" t="n">
        <v>26.11</v>
      </c>
    </row>
    <row r="1299" customFormat="false" ht="13.8" hidden="false" customHeight="false" outlineLevel="0" collapsed="false">
      <c r="A1299" s="218"/>
      <c r="B1299" s="251"/>
      <c r="C1299" s="251"/>
      <c r="D1299" s="251"/>
      <c r="E1299" s="212" t="s">
        <v>6461</v>
      </c>
      <c r="F1299" s="212" t="s">
        <v>6081</v>
      </c>
      <c r="G1299" s="212" t="n">
        <v>63</v>
      </c>
      <c r="H1299" s="212" t="s">
        <v>120</v>
      </c>
      <c r="I1299" s="250" t="n">
        <v>11.16</v>
      </c>
    </row>
    <row r="1300" customFormat="false" ht="13.8" hidden="false" customHeight="false" outlineLevel="0" collapsed="false">
      <c r="A1300" s="218"/>
      <c r="B1300" s="251"/>
      <c r="C1300" s="251"/>
      <c r="D1300" s="251"/>
      <c r="E1300" s="212" t="s">
        <v>6464</v>
      </c>
      <c r="F1300" s="212" t="s">
        <v>6081</v>
      </c>
      <c r="G1300" s="212" t="n">
        <v>63</v>
      </c>
      <c r="H1300" s="212" t="s">
        <v>120</v>
      </c>
      <c r="I1300" s="250" t="n">
        <v>61.37</v>
      </c>
    </row>
    <row r="1301" customFormat="false" ht="13.8" hidden="false" customHeight="false" outlineLevel="0" collapsed="false">
      <c r="A1301" s="218"/>
      <c r="B1301" s="251"/>
      <c r="C1301" s="251"/>
      <c r="D1301" s="251"/>
      <c r="E1301" s="212" t="s">
        <v>6468</v>
      </c>
      <c r="F1301" s="212" t="s">
        <v>6081</v>
      </c>
      <c r="G1301" s="212" t="n">
        <v>63</v>
      </c>
      <c r="H1301" s="212" t="s">
        <v>120</v>
      </c>
      <c r="I1301" s="250" t="n">
        <v>8.38</v>
      </c>
    </row>
    <row r="1302" customFormat="false" ht="13.8" hidden="false" customHeight="false" outlineLevel="0" collapsed="false">
      <c r="A1302" s="218"/>
      <c r="B1302" s="251"/>
      <c r="C1302" s="251"/>
      <c r="D1302" s="251"/>
      <c r="E1302" s="212" t="s">
        <v>6472</v>
      </c>
      <c r="F1302" s="212" t="s">
        <v>6081</v>
      </c>
      <c r="G1302" s="212" t="n">
        <v>63</v>
      </c>
      <c r="H1302" s="212" t="s">
        <v>120</v>
      </c>
      <c r="I1302" s="250" t="n">
        <v>29.51</v>
      </c>
    </row>
    <row r="1303" customFormat="false" ht="13.8" hidden="false" customHeight="false" outlineLevel="0" collapsed="false">
      <c r="A1303" s="218"/>
      <c r="B1303" s="251"/>
      <c r="C1303" s="251"/>
      <c r="D1303" s="251"/>
      <c r="E1303" s="212" t="s">
        <v>6476</v>
      </c>
      <c r="F1303" s="212" t="s">
        <v>6081</v>
      </c>
      <c r="G1303" s="212" t="n">
        <v>225</v>
      </c>
      <c r="H1303" s="212" t="s">
        <v>120</v>
      </c>
      <c r="I1303" s="250" t="n">
        <v>104.95</v>
      </c>
    </row>
    <row r="1304" customFormat="false" ht="13.8" hidden="false" customHeight="false" outlineLevel="0" collapsed="false">
      <c r="A1304" s="218"/>
      <c r="B1304" s="251"/>
      <c r="C1304" s="251"/>
      <c r="D1304" s="251"/>
      <c r="E1304" s="212" t="s">
        <v>6480</v>
      </c>
      <c r="F1304" s="212" t="s">
        <v>6081</v>
      </c>
      <c r="G1304" s="212" t="n">
        <v>63</v>
      </c>
      <c r="H1304" s="212" t="s">
        <v>120</v>
      </c>
      <c r="I1304" s="250" t="n">
        <v>84.25</v>
      </c>
    </row>
    <row r="1305" customFormat="false" ht="13.8" hidden="false" customHeight="false" outlineLevel="0" collapsed="false">
      <c r="A1305" s="218"/>
      <c r="B1305" s="251"/>
      <c r="C1305" s="251"/>
      <c r="D1305" s="251"/>
      <c r="E1305" s="212" t="s">
        <v>6484</v>
      </c>
      <c r="F1305" s="212" t="s">
        <v>6081</v>
      </c>
      <c r="G1305" s="212" t="n">
        <v>63</v>
      </c>
      <c r="H1305" s="212" t="s">
        <v>120</v>
      </c>
      <c r="I1305" s="250" t="n">
        <v>76.05</v>
      </c>
    </row>
    <row r="1306" customFormat="false" ht="13.8" hidden="false" customHeight="false" outlineLevel="0" collapsed="false">
      <c r="A1306" s="218"/>
      <c r="B1306" s="251"/>
      <c r="C1306" s="251"/>
      <c r="D1306" s="251"/>
      <c r="E1306" s="212" t="s">
        <v>6488</v>
      </c>
      <c r="F1306" s="212" t="s">
        <v>6081</v>
      </c>
      <c r="G1306" s="212" t="n">
        <v>63</v>
      </c>
      <c r="H1306" s="212" t="s">
        <v>120</v>
      </c>
      <c r="I1306" s="250" t="n">
        <v>68.36</v>
      </c>
    </row>
    <row r="1307" customFormat="false" ht="13.8" hidden="false" customHeight="false" outlineLevel="0" collapsed="false">
      <c r="A1307" s="218"/>
      <c r="B1307" s="251"/>
      <c r="C1307" s="251"/>
      <c r="D1307" s="251"/>
      <c r="E1307" s="212" t="s">
        <v>6492</v>
      </c>
      <c r="F1307" s="212" t="s">
        <v>6081</v>
      </c>
      <c r="G1307" s="212" t="n">
        <v>63</v>
      </c>
      <c r="H1307" s="212" t="s">
        <v>120</v>
      </c>
      <c r="I1307" s="250" t="n">
        <v>17.04</v>
      </c>
    </row>
    <row r="1308" customFormat="false" ht="13.8" hidden="false" customHeight="false" outlineLevel="0" collapsed="false">
      <c r="A1308" s="218"/>
      <c r="B1308" s="251"/>
      <c r="C1308" s="251"/>
      <c r="D1308" s="251"/>
      <c r="E1308" s="212" t="s">
        <v>6496</v>
      </c>
      <c r="F1308" s="212" t="s">
        <v>6081</v>
      </c>
      <c r="G1308" s="212" t="n">
        <v>63</v>
      </c>
      <c r="H1308" s="212" t="s">
        <v>120</v>
      </c>
      <c r="I1308" s="250" t="n">
        <v>174.12</v>
      </c>
    </row>
    <row r="1309" customFormat="false" ht="13.8" hidden="false" customHeight="false" outlineLevel="0" collapsed="false">
      <c r="A1309" s="218"/>
      <c r="B1309" s="251"/>
      <c r="C1309" s="251"/>
      <c r="D1309" s="251"/>
      <c r="E1309" s="212" t="s">
        <v>6500</v>
      </c>
      <c r="F1309" s="212" t="s">
        <v>6081</v>
      </c>
      <c r="G1309" s="212" t="n">
        <v>63</v>
      </c>
      <c r="H1309" s="212" t="s">
        <v>120</v>
      </c>
      <c r="I1309" s="250" t="n">
        <v>38.48</v>
      </c>
    </row>
    <row r="1310" customFormat="false" ht="13.8" hidden="false" customHeight="false" outlineLevel="0" collapsed="false">
      <c r="A1310" s="218"/>
      <c r="B1310" s="251"/>
      <c r="C1310" s="251"/>
      <c r="D1310" s="251"/>
      <c r="E1310" s="212" t="s">
        <v>6503</v>
      </c>
      <c r="F1310" s="212" t="s">
        <v>6081</v>
      </c>
      <c r="G1310" s="212" t="n">
        <v>63</v>
      </c>
      <c r="H1310" s="212" t="s">
        <v>120</v>
      </c>
      <c r="I1310" s="250" t="n">
        <v>136.75</v>
      </c>
    </row>
    <row r="1311" customFormat="false" ht="13.8" hidden="false" customHeight="false" outlineLevel="0" collapsed="false">
      <c r="A1311" s="218"/>
      <c r="B1311" s="251"/>
      <c r="C1311" s="251"/>
      <c r="D1311" s="251"/>
      <c r="E1311" s="212" t="s">
        <v>6506</v>
      </c>
      <c r="F1311" s="212" t="s">
        <v>6081</v>
      </c>
      <c r="G1311" s="212" t="n">
        <v>225</v>
      </c>
      <c r="H1311" s="212" t="s">
        <v>120</v>
      </c>
      <c r="I1311" s="250" t="n">
        <v>208.64</v>
      </c>
    </row>
    <row r="1312" customFormat="false" ht="13.8" hidden="false" customHeight="false" outlineLevel="0" collapsed="false">
      <c r="A1312" s="218"/>
      <c r="B1312" s="252"/>
      <c r="C1312" s="252"/>
      <c r="D1312" s="252"/>
      <c r="E1312" s="212" t="s">
        <v>6510</v>
      </c>
      <c r="F1312" s="212" t="s">
        <v>6081</v>
      </c>
      <c r="G1312" s="212" t="n">
        <v>63</v>
      </c>
      <c r="H1312" s="212" t="s">
        <v>120</v>
      </c>
      <c r="I1312" s="250" t="n">
        <v>33.54</v>
      </c>
    </row>
    <row r="1313" customFormat="false" ht="13.8" hidden="false" customHeight="false" outlineLevel="0" collapsed="false">
      <c r="A1313" s="218"/>
      <c r="B1313" s="249" t="s">
        <v>7051</v>
      </c>
      <c r="C1313" s="249" t="s">
        <v>117</v>
      </c>
      <c r="D1313" s="249" t="s">
        <v>1548</v>
      </c>
      <c r="E1313" s="212" t="s">
        <v>6513</v>
      </c>
      <c r="F1313" s="212" t="s">
        <v>2224</v>
      </c>
      <c r="G1313" s="212" t="n">
        <v>500</v>
      </c>
      <c r="H1313" s="212" t="s">
        <v>120</v>
      </c>
      <c r="I1313" s="250" t="n">
        <v>42.04</v>
      </c>
    </row>
    <row r="1314" customFormat="false" ht="13.8" hidden="false" customHeight="false" outlineLevel="0" collapsed="false">
      <c r="A1314" s="218"/>
      <c r="B1314" s="251"/>
      <c r="C1314" s="251"/>
      <c r="D1314" s="251"/>
      <c r="E1314" s="212" t="s">
        <v>6520</v>
      </c>
      <c r="F1314" s="212" t="s">
        <v>2224</v>
      </c>
      <c r="G1314" s="212" t="n">
        <v>500</v>
      </c>
      <c r="H1314" s="212" t="s">
        <v>120</v>
      </c>
      <c r="I1314" s="250" t="n">
        <v>247.17</v>
      </c>
    </row>
    <row r="1315" customFormat="false" ht="13.8" hidden="false" customHeight="false" outlineLevel="0" collapsed="false">
      <c r="A1315" s="218"/>
      <c r="B1315" s="251"/>
      <c r="C1315" s="251"/>
      <c r="D1315" s="251"/>
      <c r="E1315" s="212" t="s">
        <v>6524</v>
      </c>
      <c r="F1315" s="212" t="s">
        <v>2224</v>
      </c>
      <c r="G1315" s="212" t="n">
        <v>500</v>
      </c>
      <c r="H1315" s="212" t="s">
        <v>120</v>
      </c>
      <c r="I1315" s="250" t="n">
        <v>96.08</v>
      </c>
    </row>
    <row r="1316" customFormat="false" ht="13.8" hidden="false" customHeight="false" outlineLevel="0" collapsed="false">
      <c r="A1316" s="218"/>
      <c r="B1316" s="251"/>
      <c r="C1316" s="251"/>
      <c r="D1316" s="251"/>
      <c r="E1316" s="212" t="s">
        <v>6529</v>
      </c>
      <c r="F1316" s="212" t="s">
        <v>2224</v>
      </c>
      <c r="G1316" s="212" t="n">
        <v>500</v>
      </c>
      <c r="H1316" s="212" t="s">
        <v>120</v>
      </c>
      <c r="I1316" s="250" t="n">
        <v>293.89</v>
      </c>
    </row>
    <row r="1317" customFormat="false" ht="13.8" hidden="false" customHeight="false" outlineLevel="0" collapsed="false">
      <c r="A1317" s="218"/>
      <c r="B1317" s="251"/>
      <c r="C1317" s="251"/>
      <c r="D1317" s="251"/>
      <c r="E1317" s="212" t="s">
        <v>6533</v>
      </c>
      <c r="F1317" s="212" t="s">
        <v>2224</v>
      </c>
      <c r="G1317" s="212" t="n">
        <v>500</v>
      </c>
      <c r="H1317" s="212" t="s">
        <v>120</v>
      </c>
      <c r="I1317" s="250" t="n">
        <v>13.13</v>
      </c>
    </row>
    <row r="1318" customFormat="false" ht="13.8" hidden="false" customHeight="false" outlineLevel="0" collapsed="false">
      <c r="A1318" s="218"/>
      <c r="B1318" s="251"/>
      <c r="C1318" s="251"/>
      <c r="D1318" s="251"/>
      <c r="E1318" s="212" t="s">
        <v>6536</v>
      </c>
      <c r="F1318" s="212" t="s">
        <v>2224</v>
      </c>
      <c r="G1318" s="212" t="n">
        <v>500</v>
      </c>
      <c r="H1318" s="212" t="s">
        <v>120</v>
      </c>
      <c r="I1318" s="250" t="n">
        <v>2.4</v>
      </c>
    </row>
    <row r="1319" customFormat="false" ht="13.8" hidden="false" customHeight="false" outlineLevel="0" collapsed="false">
      <c r="A1319" s="218"/>
      <c r="B1319" s="251"/>
      <c r="C1319" s="251"/>
      <c r="D1319" s="251"/>
      <c r="E1319" s="212" t="s">
        <v>6538</v>
      </c>
      <c r="F1319" s="212" t="s">
        <v>6081</v>
      </c>
      <c r="G1319" s="212" t="n">
        <v>90</v>
      </c>
      <c r="H1319" s="212" t="s">
        <v>120</v>
      </c>
      <c r="I1319" s="250" t="n">
        <v>41.47</v>
      </c>
    </row>
    <row r="1320" customFormat="false" ht="13.8" hidden="false" customHeight="false" outlineLevel="0" collapsed="false">
      <c r="A1320" s="218"/>
      <c r="B1320" s="251"/>
      <c r="C1320" s="251"/>
      <c r="D1320" s="251"/>
      <c r="E1320" s="212" t="s">
        <v>6542</v>
      </c>
      <c r="F1320" s="212" t="s">
        <v>6081</v>
      </c>
      <c r="G1320" s="212" t="n">
        <v>63</v>
      </c>
      <c r="H1320" s="212" t="s">
        <v>120</v>
      </c>
      <c r="I1320" s="250" t="n">
        <v>50.98</v>
      </c>
    </row>
    <row r="1321" customFormat="false" ht="13.8" hidden="false" customHeight="false" outlineLevel="0" collapsed="false">
      <c r="A1321" s="218"/>
      <c r="B1321" s="251"/>
      <c r="C1321" s="251"/>
      <c r="D1321" s="251"/>
      <c r="E1321" s="212" t="s">
        <v>6545</v>
      </c>
      <c r="F1321" s="212" t="s">
        <v>6081</v>
      </c>
      <c r="G1321" s="212" t="n">
        <v>63</v>
      </c>
      <c r="H1321" s="212" t="s">
        <v>120</v>
      </c>
      <c r="I1321" s="250" t="n">
        <v>62.72</v>
      </c>
    </row>
    <row r="1322" customFormat="false" ht="13.8" hidden="false" customHeight="false" outlineLevel="0" collapsed="false">
      <c r="A1322" s="218"/>
      <c r="B1322" s="251"/>
      <c r="C1322" s="251"/>
      <c r="D1322" s="251"/>
      <c r="E1322" s="212" t="s">
        <v>6551</v>
      </c>
      <c r="F1322" s="212" t="s">
        <v>6081</v>
      </c>
      <c r="G1322" s="212" t="n">
        <v>63</v>
      </c>
      <c r="H1322" s="212" t="s">
        <v>120</v>
      </c>
      <c r="I1322" s="250" t="n">
        <v>0.66</v>
      </c>
    </row>
    <row r="1323" customFormat="false" ht="13.8" hidden="false" customHeight="false" outlineLevel="0" collapsed="false">
      <c r="A1323" s="218"/>
      <c r="B1323" s="251"/>
      <c r="C1323" s="251"/>
      <c r="D1323" s="251"/>
      <c r="E1323" s="212" t="s">
        <v>6555</v>
      </c>
      <c r="F1323" s="212" t="s">
        <v>6081</v>
      </c>
      <c r="G1323" s="212" t="n">
        <v>63</v>
      </c>
      <c r="H1323" s="212" t="s">
        <v>120</v>
      </c>
      <c r="I1323" s="250" t="n">
        <v>5.24</v>
      </c>
    </row>
    <row r="1324" customFormat="false" ht="13.8" hidden="false" customHeight="false" outlineLevel="0" collapsed="false">
      <c r="A1324" s="218"/>
      <c r="B1324" s="251"/>
      <c r="C1324" s="251"/>
      <c r="D1324" s="251"/>
      <c r="E1324" s="212" t="s">
        <v>6560</v>
      </c>
      <c r="F1324" s="212" t="s">
        <v>6081</v>
      </c>
      <c r="G1324" s="212" t="n">
        <v>63</v>
      </c>
      <c r="H1324" s="212" t="s">
        <v>120</v>
      </c>
      <c r="I1324" s="250" t="n">
        <v>5.12</v>
      </c>
    </row>
    <row r="1325" customFormat="false" ht="13.8" hidden="false" customHeight="false" outlineLevel="0" collapsed="false">
      <c r="A1325" s="218"/>
      <c r="B1325" s="251"/>
      <c r="C1325" s="251"/>
      <c r="D1325" s="251"/>
      <c r="E1325" s="212" t="s">
        <v>6563</v>
      </c>
      <c r="F1325" s="212" t="s">
        <v>6081</v>
      </c>
      <c r="G1325" s="212" t="n">
        <v>63</v>
      </c>
      <c r="H1325" s="212" t="s">
        <v>120</v>
      </c>
      <c r="I1325" s="250" t="n">
        <v>21.08</v>
      </c>
    </row>
    <row r="1326" customFormat="false" ht="13.8" hidden="false" customHeight="false" outlineLevel="0" collapsed="false">
      <c r="A1326" s="218"/>
      <c r="B1326" s="251"/>
      <c r="C1326" s="251"/>
      <c r="D1326" s="251"/>
      <c r="E1326" s="212" t="s">
        <v>6566</v>
      </c>
      <c r="F1326" s="212" t="s">
        <v>6081</v>
      </c>
      <c r="G1326" s="212" t="n">
        <v>63</v>
      </c>
      <c r="H1326" s="212" t="s">
        <v>120</v>
      </c>
      <c r="I1326" s="250" t="n">
        <v>18.97</v>
      </c>
    </row>
    <row r="1327" customFormat="false" ht="13.8" hidden="false" customHeight="false" outlineLevel="0" collapsed="false">
      <c r="A1327" s="218"/>
      <c r="B1327" s="251"/>
      <c r="C1327" s="251"/>
      <c r="D1327" s="251"/>
      <c r="E1327" s="212" t="s">
        <v>6568</v>
      </c>
      <c r="F1327" s="212" t="s">
        <v>6081</v>
      </c>
      <c r="G1327" s="212" t="n">
        <v>63</v>
      </c>
      <c r="H1327" s="212" t="s">
        <v>120</v>
      </c>
      <c r="I1327" s="250" t="n">
        <v>5.09</v>
      </c>
    </row>
    <row r="1328" customFormat="false" ht="13.8" hidden="false" customHeight="false" outlineLevel="0" collapsed="false">
      <c r="A1328" s="218"/>
      <c r="B1328" s="251"/>
      <c r="C1328" s="251"/>
      <c r="D1328" s="251"/>
      <c r="E1328" s="212" t="s">
        <v>6572</v>
      </c>
      <c r="F1328" s="212" t="s">
        <v>6081</v>
      </c>
      <c r="G1328" s="212" t="n">
        <v>63</v>
      </c>
      <c r="H1328" s="212" t="s">
        <v>120</v>
      </c>
      <c r="I1328" s="250" t="n">
        <v>21.55</v>
      </c>
    </row>
    <row r="1329" customFormat="false" ht="13.8" hidden="false" customHeight="false" outlineLevel="0" collapsed="false">
      <c r="A1329" s="218"/>
      <c r="B1329" s="251"/>
      <c r="C1329" s="251"/>
      <c r="D1329" s="251"/>
      <c r="E1329" s="212" t="s">
        <v>6576</v>
      </c>
      <c r="F1329" s="212" t="s">
        <v>6081</v>
      </c>
      <c r="G1329" s="212" t="n">
        <v>63</v>
      </c>
      <c r="H1329" s="212" t="s">
        <v>120</v>
      </c>
      <c r="I1329" s="250" t="n">
        <v>17.2</v>
      </c>
    </row>
    <row r="1330" customFormat="false" ht="13.8" hidden="false" customHeight="false" outlineLevel="0" collapsed="false">
      <c r="A1330" s="218"/>
      <c r="B1330" s="251"/>
      <c r="C1330" s="251"/>
      <c r="D1330" s="251"/>
      <c r="E1330" s="212" t="s">
        <v>6580</v>
      </c>
      <c r="F1330" s="212" t="s">
        <v>6081</v>
      </c>
      <c r="G1330" s="212" t="n">
        <v>63</v>
      </c>
      <c r="H1330" s="212" t="s">
        <v>120</v>
      </c>
      <c r="I1330" s="250" t="n">
        <v>51.14</v>
      </c>
    </row>
    <row r="1331" customFormat="false" ht="13.8" hidden="false" customHeight="false" outlineLevel="0" collapsed="false">
      <c r="A1331" s="218"/>
      <c r="B1331" s="251"/>
      <c r="C1331" s="251"/>
      <c r="D1331" s="251"/>
      <c r="E1331" s="212" t="s">
        <v>6582</v>
      </c>
      <c r="F1331" s="212" t="s">
        <v>6081</v>
      </c>
      <c r="G1331" s="212" t="n">
        <v>63</v>
      </c>
      <c r="H1331" s="212" t="s">
        <v>120</v>
      </c>
      <c r="I1331" s="250" t="n">
        <v>14.57</v>
      </c>
    </row>
    <row r="1332" customFormat="false" ht="13.8" hidden="false" customHeight="false" outlineLevel="0" collapsed="false">
      <c r="A1332" s="218"/>
      <c r="B1332" s="251"/>
      <c r="C1332" s="251"/>
      <c r="D1332" s="251"/>
      <c r="E1332" s="212" t="s">
        <v>6586</v>
      </c>
      <c r="F1332" s="212" t="s">
        <v>6081</v>
      </c>
      <c r="G1332" s="212" t="n">
        <v>90</v>
      </c>
      <c r="H1332" s="212" t="s">
        <v>120</v>
      </c>
      <c r="I1332" s="250" t="n">
        <v>35.03</v>
      </c>
    </row>
    <row r="1333" customFormat="false" ht="13.8" hidden="false" customHeight="false" outlineLevel="0" collapsed="false">
      <c r="A1333" s="218"/>
      <c r="B1333" s="251"/>
      <c r="C1333" s="251"/>
      <c r="D1333" s="251"/>
      <c r="E1333" s="212" t="s">
        <v>6590</v>
      </c>
      <c r="F1333" s="212" t="s">
        <v>6081</v>
      </c>
      <c r="G1333" s="212" t="n">
        <v>63</v>
      </c>
      <c r="H1333" s="212" t="s">
        <v>120</v>
      </c>
      <c r="I1333" s="250" t="n">
        <v>44.16</v>
      </c>
    </row>
    <row r="1334" customFormat="false" ht="13.8" hidden="false" customHeight="false" outlineLevel="0" collapsed="false">
      <c r="A1334" s="218"/>
      <c r="B1334" s="251"/>
      <c r="C1334" s="251"/>
      <c r="D1334" s="251"/>
      <c r="E1334" s="212" t="s">
        <v>6594</v>
      </c>
      <c r="F1334" s="212" t="s">
        <v>6081</v>
      </c>
      <c r="G1334" s="212" t="n">
        <v>63</v>
      </c>
      <c r="H1334" s="212" t="s">
        <v>120</v>
      </c>
      <c r="I1334" s="250" t="n">
        <v>5.25</v>
      </c>
    </row>
    <row r="1335" customFormat="false" ht="13.8" hidden="false" customHeight="false" outlineLevel="0" collapsed="false">
      <c r="A1335" s="218"/>
      <c r="B1335" s="251"/>
      <c r="C1335" s="251"/>
      <c r="D1335" s="251"/>
      <c r="E1335" s="212" t="s">
        <v>6598</v>
      </c>
      <c r="F1335" s="212" t="s">
        <v>6081</v>
      </c>
      <c r="G1335" s="212" t="n">
        <v>63</v>
      </c>
      <c r="H1335" s="212" t="s">
        <v>120</v>
      </c>
      <c r="I1335" s="250" t="n">
        <v>173.32</v>
      </c>
    </row>
    <row r="1336" customFormat="false" ht="13.8" hidden="false" customHeight="false" outlineLevel="0" collapsed="false">
      <c r="A1336" s="218"/>
      <c r="B1336" s="251"/>
      <c r="C1336" s="251"/>
      <c r="D1336" s="251"/>
      <c r="E1336" s="212" t="s">
        <v>6601</v>
      </c>
      <c r="F1336" s="212" t="s">
        <v>6081</v>
      </c>
      <c r="G1336" s="212" t="n">
        <v>63</v>
      </c>
      <c r="H1336" s="212" t="s">
        <v>120</v>
      </c>
      <c r="I1336" s="250" t="n">
        <v>152.47</v>
      </c>
    </row>
    <row r="1337" customFormat="false" ht="13.8" hidden="false" customHeight="false" outlineLevel="0" collapsed="false">
      <c r="A1337" s="218"/>
      <c r="B1337" s="251"/>
      <c r="C1337" s="251"/>
      <c r="D1337" s="251"/>
      <c r="E1337" s="212" t="s">
        <v>6605</v>
      </c>
      <c r="F1337" s="212" t="s">
        <v>6081</v>
      </c>
      <c r="G1337" s="212" t="n">
        <v>63</v>
      </c>
      <c r="H1337" s="212" t="s">
        <v>120</v>
      </c>
      <c r="I1337" s="250" t="n">
        <v>38.39</v>
      </c>
    </row>
    <row r="1338" customFormat="false" ht="13.8" hidden="false" customHeight="false" outlineLevel="0" collapsed="false">
      <c r="A1338" s="218"/>
      <c r="B1338" s="251"/>
      <c r="C1338" s="251"/>
      <c r="D1338" s="251"/>
      <c r="E1338" s="212" t="s">
        <v>6608</v>
      </c>
      <c r="F1338" s="212" t="s">
        <v>6081</v>
      </c>
      <c r="G1338" s="212" t="n">
        <v>90</v>
      </c>
      <c r="H1338" s="212" t="s">
        <v>120</v>
      </c>
      <c r="I1338" s="250" t="n">
        <v>16.66</v>
      </c>
    </row>
    <row r="1339" customFormat="false" ht="13.8" hidden="false" customHeight="false" outlineLevel="0" collapsed="false">
      <c r="A1339" s="218"/>
      <c r="B1339" s="251"/>
      <c r="C1339" s="251"/>
      <c r="D1339" s="251"/>
      <c r="E1339" s="212" t="s">
        <v>6612</v>
      </c>
      <c r="F1339" s="212" t="s">
        <v>6081</v>
      </c>
      <c r="G1339" s="212" t="n">
        <v>90</v>
      </c>
      <c r="H1339" s="212" t="s">
        <v>120</v>
      </c>
      <c r="I1339" s="250" t="n">
        <v>6.96</v>
      </c>
    </row>
    <row r="1340" customFormat="false" ht="13.8" hidden="false" customHeight="false" outlineLevel="0" collapsed="false">
      <c r="A1340" s="218"/>
      <c r="B1340" s="251"/>
      <c r="C1340" s="251"/>
      <c r="D1340" s="251"/>
      <c r="E1340" s="212" t="s">
        <v>6616</v>
      </c>
      <c r="F1340" s="212" t="s">
        <v>6081</v>
      </c>
      <c r="G1340" s="212" t="n">
        <v>90</v>
      </c>
      <c r="H1340" s="212" t="s">
        <v>120</v>
      </c>
      <c r="I1340" s="250" t="n">
        <v>31.99</v>
      </c>
    </row>
    <row r="1341" customFormat="false" ht="13.8" hidden="false" customHeight="false" outlineLevel="0" collapsed="false">
      <c r="A1341" s="218"/>
      <c r="B1341" s="251"/>
      <c r="C1341" s="251"/>
      <c r="D1341" s="251"/>
      <c r="E1341" s="212" t="s">
        <v>6619</v>
      </c>
      <c r="F1341" s="212" t="s">
        <v>6081</v>
      </c>
      <c r="G1341" s="212" t="n">
        <v>63</v>
      </c>
      <c r="H1341" s="212" t="s">
        <v>120</v>
      </c>
      <c r="I1341" s="250" t="n">
        <v>36.94</v>
      </c>
    </row>
    <row r="1342" customFormat="false" ht="13.8" hidden="false" customHeight="false" outlineLevel="0" collapsed="false">
      <c r="A1342" s="218"/>
      <c r="B1342" s="251"/>
      <c r="C1342" s="251"/>
      <c r="D1342" s="251"/>
      <c r="E1342" s="212" t="s">
        <v>6622</v>
      </c>
      <c r="F1342" s="212" t="s">
        <v>6081</v>
      </c>
      <c r="G1342" s="212" t="n">
        <v>90</v>
      </c>
      <c r="H1342" s="212" t="s">
        <v>120</v>
      </c>
      <c r="I1342" s="250" t="n">
        <v>28.57</v>
      </c>
    </row>
    <row r="1343" customFormat="false" ht="13.8" hidden="false" customHeight="false" outlineLevel="0" collapsed="false">
      <c r="A1343" s="218"/>
      <c r="B1343" s="251"/>
      <c r="C1343" s="251"/>
      <c r="D1343" s="251"/>
      <c r="E1343" s="212" t="s">
        <v>6626</v>
      </c>
      <c r="F1343" s="212" t="s">
        <v>6081</v>
      </c>
      <c r="G1343" s="212" t="n">
        <v>63</v>
      </c>
      <c r="H1343" s="212" t="s">
        <v>120</v>
      </c>
      <c r="I1343" s="250" t="n">
        <v>18.84</v>
      </c>
    </row>
    <row r="1344" customFormat="false" ht="13.8" hidden="false" customHeight="false" outlineLevel="0" collapsed="false">
      <c r="A1344" s="218"/>
      <c r="B1344" s="251"/>
      <c r="C1344" s="251"/>
      <c r="D1344" s="251"/>
      <c r="E1344" s="212" t="s">
        <v>6629</v>
      </c>
      <c r="F1344" s="212" t="s">
        <v>6081</v>
      </c>
      <c r="G1344" s="212" t="n">
        <v>90</v>
      </c>
      <c r="H1344" s="212" t="s">
        <v>120</v>
      </c>
      <c r="I1344" s="250" t="n">
        <v>43.75</v>
      </c>
    </row>
    <row r="1345" customFormat="false" ht="13.8" hidden="false" customHeight="false" outlineLevel="0" collapsed="false">
      <c r="A1345" s="218"/>
      <c r="B1345" s="251"/>
      <c r="C1345" s="251"/>
      <c r="D1345" s="251"/>
      <c r="E1345" s="212" t="s">
        <v>6633</v>
      </c>
      <c r="F1345" s="212" t="s">
        <v>6081</v>
      </c>
      <c r="G1345" s="212" t="n">
        <v>63</v>
      </c>
      <c r="H1345" s="212" t="s">
        <v>120</v>
      </c>
      <c r="I1345" s="250" t="n">
        <v>162.12</v>
      </c>
    </row>
    <row r="1346" customFormat="false" ht="13.8" hidden="false" customHeight="false" outlineLevel="0" collapsed="false">
      <c r="A1346" s="218"/>
      <c r="B1346" s="251"/>
      <c r="C1346" s="251"/>
      <c r="D1346" s="251"/>
      <c r="E1346" s="212" t="s">
        <v>6637</v>
      </c>
      <c r="F1346" s="212" t="s">
        <v>6081</v>
      </c>
      <c r="G1346" s="212" t="n">
        <v>63</v>
      </c>
      <c r="H1346" s="212" t="s">
        <v>120</v>
      </c>
      <c r="I1346" s="250" t="n">
        <v>95.79</v>
      </c>
    </row>
    <row r="1347" customFormat="false" ht="13.8" hidden="false" customHeight="false" outlineLevel="0" collapsed="false">
      <c r="A1347" s="218"/>
      <c r="B1347" s="251"/>
      <c r="C1347" s="251"/>
      <c r="D1347" s="251"/>
      <c r="E1347" s="212" t="s">
        <v>6640</v>
      </c>
      <c r="F1347" s="212" t="s">
        <v>6081</v>
      </c>
      <c r="G1347" s="212" t="n">
        <v>63</v>
      </c>
      <c r="H1347" s="212" t="s">
        <v>120</v>
      </c>
      <c r="I1347" s="250" t="n">
        <v>36.3</v>
      </c>
    </row>
    <row r="1348" customFormat="false" ht="13.8" hidden="false" customHeight="false" outlineLevel="0" collapsed="false">
      <c r="A1348" s="218"/>
      <c r="B1348" s="251"/>
      <c r="C1348" s="251"/>
      <c r="D1348" s="251"/>
      <c r="E1348" s="212" t="s">
        <v>6643</v>
      </c>
      <c r="F1348" s="212" t="s">
        <v>6081</v>
      </c>
      <c r="G1348" s="212" t="n">
        <v>90</v>
      </c>
      <c r="H1348" s="212" t="s">
        <v>120</v>
      </c>
      <c r="I1348" s="250" t="n">
        <v>41.32</v>
      </c>
    </row>
    <row r="1349" customFormat="false" ht="13.8" hidden="false" customHeight="false" outlineLevel="0" collapsed="false">
      <c r="A1349" s="218"/>
      <c r="B1349" s="251"/>
      <c r="C1349" s="251"/>
      <c r="D1349" s="251"/>
      <c r="E1349" s="212" t="s">
        <v>6646</v>
      </c>
      <c r="F1349" s="212" t="s">
        <v>6081</v>
      </c>
      <c r="G1349" s="212" t="n">
        <v>63</v>
      </c>
      <c r="H1349" s="212" t="s">
        <v>120</v>
      </c>
      <c r="I1349" s="250" t="n">
        <v>176.76</v>
      </c>
    </row>
    <row r="1350" customFormat="false" ht="13.8" hidden="false" customHeight="false" outlineLevel="0" collapsed="false">
      <c r="A1350" s="218"/>
      <c r="B1350" s="251"/>
      <c r="C1350" s="251"/>
      <c r="D1350" s="251"/>
      <c r="E1350" s="212" t="s">
        <v>6650</v>
      </c>
      <c r="F1350" s="212" t="s">
        <v>6081</v>
      </c>
      <c r="G1350" s="212" t="n">
        <v>90</v>
      </c>
      <c r="H1350" s="212" t="s">
        <v>120</v>
      </c>
      <c r="I1350" s="250" t="n">
        <v>43.04</v>
      </c>
    </row>
    <row r="1351" customFormat="false" ht="13.8" hidden="false" customHeight="false" outlineLevel="0" collapsed="false">
      <c r="A1351" s="218"/>
      <c r="B1351" s="251"/>
      <c r="C1351" s="251"/>
      <c r="D1351" s="251"/>
      <c r="E1351" s="212" t="s">
        <v>6654</v>
      </c>
      <c r="F1351" s="212" t="s">
        <v>6081</v>
      </c>
      <c r="G1351" s="212" t="n">
        <v>63</v>
      </c>
      <c r="H1351" s="212" t="s">
        <v>120</v>
      </c>
      <c r="I1351" s="250" t="n">
        <v>34.79</v>
      </c>
    </row>
    <row r="1352" customFormat="false" ht="13.8" hidden="false" customHeight="false" outlineLevel="0" collapsed="false">
      <c r="A1352" s="218"/>
      <c r="B1352" s="251"/>
      <c r="C1352" s="251"/>
      <c r="D1352" s="251"/>
      <c r="E1352" s="212" t="s">
        <v>6657</v>
      </c>
      <c r="F1352" s="212" t="s">
        <v>6081</v>
      </c>
      <c r="G1352" s="212" t="n">
        <v>63</v>
      </c>
      <c r="H1352" s="212" t="s">
        <v>120</v>
      </c>
      <c r="I1352" s="250" t="n">
        <v>60.22</v>
      </c>
    </row>
    <row r="1353" customFormat="false" ht="13.8" hidden="false" customHeight="false" outlineLevel="0" collapsed="false">
      <c r="A1353" s="218"/>
      <c r="B1353" s="251"/>
      <c r="C1353" s="251"/>
      <c r="D1353" s="251"/>
      <c r="E1353" s="212" t="s">
        <v>6661</v>
      </c>
      <c r="F1353" s="212" t="s">
        <v>6081</v>
      </c>
      <c r="G1353" s="212" t="n">
        <v>90</v>
      </c>
      <c r="H1353" s="212" t="s">
        <v>120</v>
      </c>
      <c r="I1353" s="250" t="n">
        <v>38.21</v>
      </c>
    </row>
    <row r="1354" customFormat="false" ht="13.8" hidden="false" customHeight="false" outlineLevel="0" collapsed="false">
      <c r="A1354" s="218"/>
      <c r="B1354" s="251"/>
      <c r="C1354" s="251"/>
      <c r="D1354" s="251"/>
      <c r="E1354" s="212" t="s">
        <v>6664</v>
      </c>
      <c r="F1354" s="212" t="s">
        <v>6081</v>
      </c>
      <c r="G1354" s="212" t="n">
        <v>63</v>
      </c>
      <c r="H1354" s="212" t="s">
        <v>120</v>
      </c>
      <c r="I1354" s="250" t="n">
        <v>174.98</v>
      </c>
    </row>
    <row r="1355" customFormat="false" ht="13.8" hidden="false" customHeight="false" outlineLevel="0" collapsed="false">
      <c r="A1355" s="218"/>
      <c r="B1355" s="251"/>
      <c r="C1355" s="251"/>
      <c r="D1355" s="251"/>
      <c r="E1355" s="212" t="s">
        <v>6668</v>
      </c>
      <c r="F1355" s="212" t="s">
        <v>6081</v>
      </c>
      <c r="G1355" s="212" t="n">
        <v>63</v>
      </c>
      <c r="H1355" s="212" t="s">
        <v>120</v>
      </c>
      <c r="I1355" s="250" t="n">
        <v>38.47</v>
      </c>
    </row>
    <row r="1356" customFormat="false" ht="13.8" hidden="false" customHeight="false" outlineLevel="0" collapsed="false">
      <c r="A1356" s="218"/>
      <c r="B1356" s="251"/>
      <c r="C1356" s="251"/>
      <c r="D1356" s="251"/>
      <c r="E1356" s="212" t="s">
        <v>6671</v>
      </c>
      <c r="F1356" s="212" t="s">
        <v>6081</v>
      </c>
      <c r="G1356" s="212" t="n">
        <v>90</v>
      </c>
      <c r="H1356" s="212" t="s">
        <v>120</v>
      </c>
      <c r="I1356" s="250" t="n">
        <v>36.03</v>
      </c>
    </row>
    <row r="1357" customFormat="false" ht="13.8" hidden="false" customHeight="false" outlineLevel="0" collapsed="false">
      <c r="A1357" s="218"/>
      <c r="B1357" s="251"/>
      <c r="C1357" s="251"/>
      <c r="D1357" s="251"/>
      <c r="E1357" s="212" t="s">
        <v>6675</v>
      </c>
      <c r="F1357" s="212" t="s">
        <v>6081</v>
      </c>
      <c r="G1357" s="212" t="n">
        <v>110</v>
      </c>
      <c r="H1357" s="212" t="s">
        <v>120</v>
      </c>
      <c r="I1357" s="250" t="n">
        <v>176.24</v>
      </c>
    </row>
    <row r="1358" customFormat="false" ht="13.8" hidden="false" customHeight="false" outlineLevel="0" collapsed="false">
      <c r="A1358" s="218"/>
      <c r="B1358" s="251"/>
      <c r="C1358" s="251"/>
      <c r="D1358" s="251"/>
      <c r="E1358" s="212" t="s">
        <v>6679</v>
      </c>
      <c r="F1358" s="212" t="s">
        <v>6081</v>
      </c>
      <c r="G1358" s="212" t="n">
        <v>63</v>
      </c>
      <c r="H1358" s="212" t="s">
        <v>120</v>
      </c>
      <c r="I1358" s="250" t="n">
        <v>79.07</v>
      </c>
    </row>
    <row r="1359" customFormat="false" ht="13.8" hidden="false" customHeight="false" outlineLevel="0" collapsed="false">
      <c r="A1359" s="218"/>
      <c r="B1359" s="251"/>
      <c r="C1359" s="251"/>
      <c r="D1359" s="251"/>
      <c r="E1359" s="212" t="s">
        <v>6683</v>
      </c>
      <c r="F1359" s="212" t="s">
        <v>6081</v>
      </c>
      <c r="G1359" s="212" t="n">
        <v>63</v>
      </c>
      <c r="H1359" s="212" t="s">
        <v>120</v>
      </c>
      <c r="I1359" s="250" t="n">
        <v>50.65</v>
      </c>
    </row>
    <row r="1360" customFormat="false" ht="13.8" hidden="false" customHeight="false" outlineLevel="0" collapsed="false">
      <c r="A1360" s="218"/>
      <c r="B1360" s="251"/>
      <c r="C1360" s="251"/>
      <c r="D1360" s="251"/>
      <c r="E1360" s="212" t="s">
        <v>6687</v>
      </c>
      <c r="F1360" s="212" t="s">
        <v>6081</v>
      </c>
      <c r="G1360" s="212" t="n">
        <v>63</v>
      </c>
      <c r="H1360" s="212" t="s">
        <v>120</v>
      </c>
      <c r="I1360" s="250" t="n">
        <v>176.46</v>
      </c>
    </row>
    <row r="1361" customFormat="false" ht="13.8" hidden="false" customHeight="false" outlineLevel="0" collapsed="false">
      <c r="A1361" s="218"/>
      <c r="B1361" s="251"/>
      <c r="C1361" s="251"/>
      <c r="D1361" s="251"/>
      <c r="E1361" s="212" t="s">
        <v>6691</v>
      </c>
      <c r="F1361" s="212" t="s">
        <v>6081</v>
      </c>
      <c r="G1361" s="212" t="n">
        <v>63</v>
      </c>
      <c r="H1361" s="212" t="s">
        <v>120</v>
      </c>
      <c r="I1361" s="250" t="n">
        <v>36.22</v>
      </c>
    </row>
    <row r="1362" customFormat="false" ht="13.8" hidden="false" customHeight="false" outlineLevel="0" collapsed="false">
      <c r="A1362" s="218"/>
      <c r="B1362" s="251"/>
      <c r="C1362" s="251"/>
      <c r="D1362" s="251"/>
      <c r="E1362" s="212" t="s">
        <v>6694</v>
      </c>
      <c r="F1362" s="212" t="s">
        <v>6081</v>
      </c>
      <c r="G1362" s="212" t="n">
        <v>90</v>
      </c>
      <c r="H1362" s="212" t="s">
        <v>120</v>
      </c>
      <c r="I1362" s="250" t="n">
        <v>60.29</v>
      </c>
    </row>
    <row r="1363" customFormat="false" ht="13.8" hidden="false" customHeight="false" outlineLevel="0" collapsed="false">
      <c r="A1363" s="218"/>
      <c r="B1363" s="251"/>
      <c r="C1363" s="251"/>
      <c r="D1363" s="251"/>
      <c r="E1363" s="212" t="s">
        <v>6698</v>
      </c>
      <c r="F1363" s="212" t="s">
        <v>6081</v>
      </c>
      <c r="G1363" s="212" t="n">
        <v>63</v>
      </c>
      <c r="H1363" s="212" t="s">
        <v>120</v>
      </c>
      <c r="I1363" s="250" t="n">
        <v>80.32</v>
      </c>
    </row>
    <row r="1364" customFormat="false" ht="13.8" hidden="false" customHeight="false" outlineLevel="0" collapsed="false">
      <c r="A1364" s="218"/>
      <c r="B1364" s="251"/>
      <c r="C1364" s="251"/>
      <c r="D1364" s="251"/>
      <c r="E1364" s="212" t="s">
        <v>6702</v>
      </c>
      <c r="F1364" s="212" t="s">
        <v>6081</v>
      </c>
      <c r="G1364" s="212" t="n">
        <v>90</v>
      </c>
      <c r="H1364" s="212" t="s">
        <v>120</v>
      </c>
      <c r="I1364" s="250" t="n">
        <v>43.7</v>
      </c>
    </row>
    <row r="1365" customFormat="false" ht="13.8" hidden="false" customHeight="false" outlineLevel="0" collapsed="false">
      <c r="A1365" s="218"/>
      <c r="B1365" s="251"/>
      <c r="C1365" s="251"/>
      <c r="D1365" s="251"/>
      <c r="E1365" s="212" t="s">
        <v>6706</v>
      </c>
      <c r="F1365" s="212" t="s">
        <v>6081</v>
      </c>
      <c r="G1365" s="212" t="n">
        <v>63</v>
      </c>
      <c r="H1365" s="212" t="s">
        <v>120</v>
      </c>
      <c r="I1365" s="250" t="n">
        <v>93.7</v>
      </c>
    </row>
    <row r="1366" customFormat="false" ht="13.8" hidden="false" customHeight="false" outlineLevel="0" collapsed="false">
      <c r="A1366" s="218"/>
      <c r="B1366" s="251"/>
      <c r="C1366" s="251"/>
      <c r="D1366" s="251"/>
      <c r="E1366" s="212" t="s">
        <v>6710</v>
      </c>
      <c r="F1366" s="212" t="s">
        <v>6081</v>
      </c>
      <c r="G1366" s="212" t="n">
        <v>63</v>
      </c>
      <c r="H1366" s="212" t="s">
        <v>120</v>
      </c>
      <c r="I1366" s="250" t="n">
        <v>95.65</v>
      </c>
    </row>
    <row r="1367" customFormat="false" ht="13.8" hidden="false" customHeight="false" outlineLevel="0" collapsed="false">
      <c r="A1367" s="218"/>
      <c r="B1367" s="251"/>
      <c r="C1367" s="251"/>
      <c r="D1367" s="251"/>
      <c r="E1367" s="212" t="s">
        <v>6714</v>
      </c>
      <c r="F1367" s="212" t="s">
        <v>6081</v>
      </c>
      <c r="G1367" s="212" t="n">
        <v>225</v>
      </c>
      <c r="H1367" s="212" t="s">
        <v>120</v>
      </c>
      <c r="I1367" s="250" t="n">
        <v>1.54</v>
      </c>
    </row>
    <row r="1368" customFormat="false" ht="13.8" hidden="false" customHeight="false" outlineLevel="0" collapsed="false">
      <c r="A1368" s="218"/>
      <c r="B1368" s="251"/>
      <c r="C1368" s="251"/>
      <c r="D1368" s="251"/>
      <c r="E1368" s="212" t="s">
        <v>6718</v>
      </c>
      <c r="F1368" s="212" t="s">
        <v>6081</v>
      </c>
      <c r="G1368" s="212" t="n">
        <v>90</v>
      </c>
      <c r="H1368" s="212" t="s">
        <v>120</v>
      </c>
      <c r="I1368" s="250" t="n">
        <v>48.54</v>
      </c>
    </row>
    <row r="1369" customFormat="false" ht="13.8" hidden="false" customHeight="false" outlineLevel="0" collapsed="false">
      <c r="A1369" s="218"/>
      <c r="B1369" s="251"/>
      <c r="C1369" s="251"/>
      <c r="D1369" s="251"/>
      <c r="E1369" s="212" t="s">
        <v>6722</v>
      </c>
      <c r="F1369" s="212" t="s">
        <v>6081</v>
      </c>
      <c r="G1369" s="212" t="n">
        <v>225</v>
      </c>
      <c r="H1369" s="212" t="s">
        <v>120</v>
      </c>
      <c r="I1369" s="250" t="n">
        <v>93.31</v>
      </c>
    </row>
    <row r="1370" customFormat="false" ht="13.8" hidden="false" customHeight="false" outlineLevel="0" collapsed="false">
      <c r="A1370" s="218"/>
      <c r="B1370" s="251"/>
      <c r="C1370" s="251"/>
      <c r="D1370" s="251"/>
      <c r="E1370" s="212" t="s">
        <v>6725</v>
      </c>
      <c r="F1370" s="212" t="s">
        <v>6081</v>
      </c>
      <c r="G1370" s="212" t="n">
        <v>160</v>
      </c>
      <c r="H1370" s="212" t="s">
        <v>120</v>
      </c>
      <c r="I1370" s="250" t="n">
        <v>91.77</v>
      </c>
    </row>
    <row r="1371" customFormat="false" ht="13.8" hidden="false" customHeight="false" outlineLevel="0" collapsed="false">
      <c r="A1371" s="218"/>
      <c r="B1371" s="251"/>
      <c r="C1371" s="251"/>
      <c r="D1371" s="251"/>
      <c r="E1371" s="212" t="s">
        <v>6728</v>
      </c>
      <c r="F1371" s="212" t="s">
        <v>6081</v>
      </c>
      <c r="G1371" s="212" t="n">
        <v>225</v>
      </c>
      <c r="H1371" s="212" t="s">
        <v>120</v>
      </c>
      <c r="I1371" s="250" t="n">
        <v>1.51</v>
      </c>
    </row>
    <row r="1372" customFormat="false" ht="13.8" hidden="false" customHeight="false" outlineLevel="0" collapsed="false">
      <c r="A1372" s="218"/>
      <c r="B1372" s="251"/>
      <c r="C1372" s="251"/>
      <c r="D1372" s="251"/>
      <c r="E1372" s="212" t="s">
        <v>6731</v>
      </c>
      <c r="F1372" s="212" t="s">
        <v>6081</v>
      </c>
      <c r="G1372" s="212" t="n">
        <v>90</v>
      </c>
      <c r="H1372" s="212" t="s">
        <v>120</v>
      </c>
      <c r="I1372" s="250" t="n">
        <v>35.93</v>
      </c>
    </row>
    <row r="1373" customFormat="false" ht="13.8" hidden="false" customHeight="false" outlineLevel="0" collapsed="false">
      <c r="A1373" s="218"/>
      <c r="B1373" s="251"/>
      <c r="C1373" s="251"/>
      <c r="D1373" s="251"/>
      <c r="E1373" s="212" t="s">
        <v>6735</v>
      </c>
      <c r="F1373" s="212" t="s">
        <v>6081</v>
      </c>
      <c r="G1373" s="212" t="n">
        <v>63</v>
      </c>
      <c r="H1373" s="212" t="s">
        <v>120</v>
      </c>
      <c r="I1373" s="250" t="n">
        <v>132.58</v>
      </c>
    </row>
    <row r="1374" customFormat="false" ht="13.8" hidden="false" customHeight="false" outlineLevel="0" collapsed="false">
      <c r="A1374" s="218"/>
      <c r="B1374" s="251"/>
      <c r="C1374" s="251"/>
      <c r="D1374" s="251"/>
      <c r="E1374" s="212" t="s">
        <v>6739</v>
      </c>
      <c r="F1374" s="212" t="s">
        <v>6081</v>
      </c>
      <c r="G1374" s="212" t="n">
        <v>63</v>
      </c>
      <c r="H1374" s="212" t="s">
        <v>120</v>
      </c>
      <c r="I1374" s="250" t="n">
        <v>67.33</v>
      </c>
    </row>
    <row r="1375" customFormat="false" ht="13.8" hidden="false" customHeight="false" outlineLevel="0" collapsed="false">
      <c r="A1375" s="218"/>
      <c r="B1375" s="251"/>
      <c r="C1375" s="251"/>
      <c r="D1375" s="251"/>
      <c r="E1375" s="212" t="s">
        <v>6743</v>
      </c>
      <c r="F1375" s="212" t="s">
        <v>6081</v>
      </c>
      <c r="G1375" s="212" t="n">
        <v>225</v>
      </c>
      <c r="H1375" s="212" t="s">
        <v>120</v>
      </c>
      <c r="I1375" s="250" t="n">
        <v>75.59</v>
      </c>
    </row>
    <row r="1376" customFormat="false" ht="13.8" hidden="false" customHeight="false" outlineLevel="0" collapsed="false">
      <c r="A1376" s="218"/>
      <c r="B1376" s="251"/>
      <c r="C1376" s="251"/>
      <c r="D1376" s="251"/>
      <c r="E1376" s="212" t="s">
        <v>6747</v>
      </c>
      <c r="F1376" s="212" t="s">
        <v>6081</v>
      </c>
      <c r="G1376" s="212" t="n">
        <v>160</v>
      </c>
      <c r="H1376" s="212" t="s">
        <v>120</v>
      </c>
      <c r="I1376" s="250" t="n">
        <v>75.61</v>
      </c>
    </row>
    <row r="1377" customFormat="false" ht="13.8" hidden="false" customHeight="false" outlineLevel="0" collapsed="false">
      <c r="A1377" s="218"/>
      <c r="B1377" s="251"/>
      <c r="C1377" s="251"/>
      <c r="D1377" s="251"/>
      <c r="E1377" s="212" t="s">
        <v>6749</v>
      </c>
      <c r="F1377" s="212" t="s">
        <v>6081</v>
      </c>
      <c r="G1377" s="212" t="n">
        <v>225</v>
      </c>
      <c r="H1377" s="212" t="s">
        <v>120</v>
      </c>
      <c r="I1377" s="250" t="n">
        <v>45.3</v>
      </c>
    </row>
    <row r="1378" customFormat="false" ht="13.8" hidden="false" customHeight="false" outlineLevel="0" collapsed="false">
      <c r="A1378" s="218"/>
      <c r="B1378" s="251"/>
      <c r="C1378" s="251"/>
      <c r="D1378" s="251"/>
      <c r="E1378" s="212" t="s">
        <v>6752</v>
      </c>
      <c r="F1378" s="212" t="s">
        <v>6081</v>
      </c>
      <c r="G1378" s="212" t="n">
        <v>160</v>
      </c>
      <c r="H1378" s="212" t="s">
        <v>120</v>
      </c>
      <c r="I1378" s="250" t="n">
        <v>43.8</v>
      </c>
    </row>
    <row r="1379" customFormat="false" ht="13.8" hidden="false" customHeight="false" outlineLevel="0" collapsed="false">
      <c r="A1379" s="218"/>
      <c r="B1379" s="251"/>
      <c r="C1379" s="251"/>
      <c r="D1379" s="251"/>
      <c r="E1379" s="212" t="s">
        <v>6754</v>
      </c>
      <c r="F1379" s="212" t="s">
        <v>6081</v>
      </c>
      <c r="G1379" s="212" t="n">
        <v>160</v>
      </c>
      <c r="H1379" s="212" t="s">
        <v>120</v>
      </c>
      <c r="I1379" s="250" t="n">
        <v>221.56</v>
      </c>
    </row>
    <row r="1380" customFormat="false" ht="13.8" hidden="false" customHeight="false" outlineLevel="0" collapsed="false">
      <c r="A1380" s="218"/>
      <c r="B1380" s="251"/>
      <c r="C1380" s="251"/>
      <c r="D1380" s="251"/>
      <c r="E1380" s="212" t="s">
        <v>6758</v>
      </c>
      <c r="F1380" s="212" t="s">
        <v>6081</v>
      </c>
      <c r="G1380" s="212" t="n">
        <v>160</v>
      </c>
      <c r="H1380" s="212" t="s">
        <v>120</v>
      </c>
      <c r="I1380" s="250" t="n">
        <v>192.62</v>
      </c>
    </row>
    <row r="1381" customFormat="false" ht="13.8" hidden="false" customHeight="false" outlineLevel="0" collapsed="false">
      <c r="A1381" s="218"/>
      <c r="B1381" s="251"/>
      <c r="C1381" s="251"/>
      <c r="D1381" s="251"/>
      <c r="E1381" s="212" t="s">
        <v>6762</v>
      </c>
      <c r="F1381" s="212" t="s">
        <v>6081</v>
      </c>
      <c r="G1381" s="212" t="n">
        <v>90</v>
      </c>
      <c r="H1381" s="212" t="s">
        <v>120</v>
      </c>
      <c r="I1381" s="250" t="n">
        <v>25</v>
      </c>
    </row>
    <row r="1382" customFormat="false" ht="13.8" hidden="false" customHeight="false" outlineLevel="0" collapsed="false">
      <c r="A1382" s="218"/>
      <c r="B1382" s="251"/>
      <c r="C1382" s="251"/>
      <c r="D1382" s="251"/>
      <c r="E1382" s="212" t="s">
        <v>6766</v>
      </c>
      <c r="F1382" s="212" t="s">
        <v>6081</v>
      </c>
      <c r="G1382" s="212" t="n">
        <v>160</v>
      </c>
      <c r="H1382" s="212" t="s">
        <v>120</v>
      </c>
      <c r="I1382" s="250" t="n">
        <v>1.5</v>
      </c>
    </row>
    <row r="1383" customFormat="false" ht="13.8" hidden="false" customHeight="false" outlineLevel="0" collapsed="false">
      <c r="A1383" s="218"/>
      <c r="B1383" s="251"/>
      <c r="C1383" s="251"/>
      <c r="D1383" s="251"/>
      <c r="E1383" s="212" t="s">
        <v>6770</v>
      </c>
      <c r="F1383" s="212" t="s">
        <v>6081</v>
      </c>
      <c r="G1383" s="212" t="n">
        <v>160</v>
      </c>
      <c r="H1383" s="212" t="s">
        <v>120</v>
      </c>
      <c r="I1383" s="250" t="n">
        <v>1.98</v>
      </c>
    </row>
    <row r="1384" customFormat="false" ht="13.8" hidden="false" customHeight="false" outlineLevel="0" collapsed="false">
      <c r="A1384" s="218"/>
      <c r="B1384" s="251"/>
      <c r="C1384" s="251"/>
      <c r="D1384" s="251"/>
      <c r="E1384" s="212" t="s">
        <v>6773</v>
      </c>
      <c r="F1384" s="212" t="s">
        <v>6081</v>
      </c>
      <c r="G1384" s="212" t="n">
        <v>225</v>
      </c>
      <c r="H1384" s="212" t="s">
        <v>120</v>
      </c>
      <c r="I1384" s="250" t="n">
        <v>37.35</v>
      </c>
    </row>
    <row r="1385" customFormat="false" ht="13.8" hidden="false" customHeight="false" outlineLevel="0" collapsed="false">
      <c r="A1385" s="218"/>
      <c r="B1385" s="251"/>
      <c r="C1385" s="251"/>
      <c r="D1385" s="251"/>
      <c r="E1385" s="212" t="s">
        <v>6776</v>
      </c>
      <c r="F1385" s="212" t="s">
        <v>6081</v>
      </c>
      <c r="G1385" s="212" t="n">
        <v>160</v>
      </c>
      <c r="H1385" s="212" t="s">
        <v>120</v>
      </c>
      <c r="I1385" s="250" t="n">
        <v>37.39</v>
      </c>
    </row>
    <row r="1386" customFormat="false" ht="13.8" hidden="false" customHeight="false" outlineLevel="0" collapsed="false">
      <c r="A1386" s="218"/>
      <c r="B1386" s="251"/>
      <c r="C1386" s="251"/>
      <c r="D1386" s="251"/>
      <c r="E1386" s="212" t="s">
        <v>6779</v>
      </c>
      <c r="F1386" s="212" t="s">
        <v>6081</v>
      </c>
      <c r="G1386" s="212" t="n">
        <v>160</v>
      </c>
      <c r="H1386" s="212" t="s">
        <v>120</v>
      </c>
      <c r="I1386" s="250" t="n">
        <v>11.77</v>
      </c>
    </row>
    <row r="1387" customFormat="false" ht="13.8" hidden="false" customHeight="false" outlineLevel="0" collapsed="false">
      <c r="A1387" s="218"/>
      <c r="B1387" s="251"/>
      <c r="C1387" s="251"/>
      <c r="D1387" s="251"/>
      <c r="E1387" s="212" t="s">
        <v>6781</v>
      </c>
      <c r="F1387" s="212" t="s">
        <v>6081</v>
      </c>
      <c r="G1387" s="212" t="n">
        <v>160</v>
      </c>
      <c r="H1387" s="212" t="s">
        <v>120</v>
      </c>
      <c r="I1387" s="250" t="n">
        <v>13.21</v>
      </c>
    </row>
    <row r="1388" customFormat="false" ht="13.8" hidden="false" customHeight="false" outlineLevel="0" collapsed="false">
      <c r="A1388" s="218"/>
      <c r="B1388" s="251"/>
      <c r="C1388" s="251"/>
      <c r="D1388" s="251"/>
      <c r="E1388" s="212" t="s">
        <v>6783</v>
      </c>
      <c r="F1388" s="212" t="s">
        <v>6081</v>
      </c>
      <c r="G1388" s="212" t="n">
        <v>225</v>
      </c>
      <c r="H1388" s="212" t="s">
        <v>120</v>
      </c>
      <c r="I1388" s="250" t="n">
        <v>62.96</v>
      </c>
    </row>
    <row r="1389" customFormat="false" ht="13.8" hidden="false" customHeight="false" outlineLevel="0" collapsed="false">
      <c r="A1389" s="218"/>
      <c r="B1389" s="251"/>
      <c r="C1389" s="251"/>
      <c r="D1389" s="251"/>
      <c r="E1389" s="212" t="s">
        <v>6786</v>
      </c>
      <c r="F1389" s="212" t="s">
        <v>6081</v>
      </c>
      <c r="G1389" s="212" t="n">
        <v>160</v>
      </c>
      <c r="H1389" s="212" t="s">
        <v>120</v>
      </c>
      <c r="I1389" s="250" t="n">
        <v>1.5</v>
      </c>
    </row>
    <row r="1390" customFormat="false" ht="13.8" hidden="false" customHeight="false" outlineLevel="0" collapsed="false">
      <c r="A1390" s="218"/>
      <c r="B1390" s="251"/>
      <c r="C1390" s="251"/>
      <c r="D1390" s="251"/>
      <c r="E1390" s="212" t="s">
        <v>6788</v>
      </c>
      <c r="F1390" s="212" t="s">
        <v>6081</v>
      </c>
      <c r="G1390" s="212" t="n">
        <v>160</v>
      </c>
      <c r="H1390" s="212" t="s">
        <v>120</v>
      </c>
      <c r="I1390" s="250" t="n">
        <v>102.94</v>
      </c>
    </row>
    <row r="1391" customFormat="false" ht="13.8" hidden="false" customHeight="false" outlineLevel="0" collapsed="false">
      <c r="A1391" s="218"/>
      <c r="B1391" s="251"/>
      <c r="C1391" s="251"/>
      <c r="D1391" s="251"/>
      <c r="E1391" s="212" t="s">
        <v>6791</v>
      </c>
      <c r="F1391" s="212" t="s">
        <v>6081</v>
      </c>
      <c r="G1391" s="212" t="n">
        <v>225</v>
      </c>
      <c r="H1391" s="212" t="s">
        <v>120</v>
      </c>
      <c r="I1391" s="250" t="n">
        <v>34.69</v>
      </c>
    </row>
    <row r="1392" customFormat="false" ht="13.8" hidden="false" customHeight="false" outlineLevel="0" collapsed="false">
      <c r="A1392" s="218"/>
      <c r="B1392" s="251"/>
      <c r="C1392" s="251"/>
      <c r="D1392" s="251"/>
      <c r="E1392" s="212" t="s">
        <v>6794</v>
      </c>
      <c r="F1392" s="212" t="s">
        <v>6081</v>
      </c>
      <c r="G1392" s="212" t="n">
        <v>225</v>
      </c>
      <c r="H1392" s="212" t="s">
        <v>120</v>
      </c>
      <c r="I1392" s="250" t="n">
        <v>3.81</v>
      </c>
    </row>
    <row r="1393" customFormat="false" ht="13.8" hidden="false" customHeight="false" outlineLevel="0" collapsed="false">
      <c r="A1393" s="218"/>
      <c r="B1393" s="251"/>
      <c r="C1393" s="251"/>
      <c r="D1393" s="251"/>
      <c r="E1393" s="212" t="s">
        <v>6797</v>
      </c>
      <c r="F1393" s="212" t="s">
        <v>6081</v>
      </c>
      <c r="G1393" s="212" t="n">
        <v>160</v>
      </c>
      <c r="H1393" s="212" t="s">
        <v>120</v>
      </c>
      <c r="I1393" s="250" t="n">
        <v>2</v>
      </c>
    </row>
    <row r="1394" customFormat="false" ht="13.8" hidden="false" customHeight="false" outlineLevel="0" collapsed="false">
      <c r="A1394" s="218"/>
      <c r="B1394" s="251"/>
      <c r="C1394" s="251"/>
      <c r="D1394" s="251"/>
      <c r="E1394" s="212" t="s">
        <v>6799</v>
      </c>
      <c r="F1394" s="212" t="s">
        <v>6081</v>
      </c>
      <c r="G1394" s="212" t="n">
        <v>225</v>
      </c>
      <c r="H1394" s="212" t="s">
        <v>120</v>
      </c>
      <c r="I1394" s="250" t="n">
        <v>10.84</v>
      </c>
    </row>
    <row r="1395" customFormat="false" ht="13.8" hidden="false" customHeight="false" outlineLevel="0" collapsed="false">
      <c r="A1395" s="218"/>
      <c r="B1395" s="251"/>
      <c r="C1395" s="251"/>
      <c r="D1395" s="251"/>
      <c r="E1395" s="212" t="s">
        <v>6803</v>
      </c>
      <c r="F1395" s="212" t="s">
        <v>6081</v>
      </c>
      <c r="G1395" s="212" t="n">
        <v>225</v>
      </c>
      <c r="H1395" s="212" t="s">
        <v>120</v>
      </c>
      <c r="I1395" s="250" t="n">
        <v>9.44</v>
      </c>
    </row>
    <row r="1396" customFormat="false" ht="13.8" hidden="false" customHeight="false" outlineLevel="0" collapsed="false">
      <c r="A1396" s="218"/>
      <c r="B1396" s="251"/>
      <c r="C1396" s="251"/>
      <c r="D1396" s="251"/>
      <c r="E1396" s="212" t="s">
        <v>6805</v>
      </c>
      <c r="F1396" s="212" t="s">
        <v>6081</v>
      </c>
      <c r="G1396" s="212" t="n">
        <v>225</v>
      </c>
      <c r="H1396" s="212" t="s">
        <v>120</v>
      </c>
      <c r="I1396" s="250" t="n">
        <v>109.01</v>
      </c>
    </row>
    <row r="1397" customFormat="false" ht="13.8" hidden="false" customHeight="false" outlineLevel="0" collapsed="false">
      <c r="A1397" s="218"/>
      <c r="B1397" s="251"/>
      <c r="C1397" s="251"/>
      <c r="D1397" s="251"/>
      <c r="E1397" s="212" t="s">
        <v>6808</v>
      </c>
      <c r="F1397" s="212" t="s">
        <v>6081</v>
      </c>
      <c r="G1397" s="212" t="n">
        <v>225</v>
      </c>
      <c r="H1397" s="212" t="s">
        <v>120</v>
      </c>
      <c r="I1397" s="250" t="n">
        <v>41.66</v>
      </c>
    </row>
    <row r="1398" customFormat="false" ht="13.8" hidden="false" customHeight="false" outlineLevel="0" collapsed="false">
      <c r="A1398" s="218"/>
      <c r="B1398" s="251"/>
      <c r="C1398" s="251"/>
      <c r="D1398" s="251"/>
      <c r="E1398" s="212" t="s">
        <v>6812</v>
      </c>
      <c r="F1398" s="212" t="s">
        <v>6081</v>
      </c>
      <c r="G1398" s="212" t="n">
        <v>225</v>
      </c>
      <c r="H1398" s="212" t="s">
        <v>120</v>
      </c>
      <c r="I1398" s="250" t="n">
        <v>22.92</v>
      </c>
    </row>
    <row r="1399" customFormat="false" ht="13.8" hidden="false" customHeight="false" outlineLevel="0" collapsed="false">
      <c r="A1399" s="218"/>
      <c r="B1399" s="252"/>
      <c r="C1399" s="252"/>
      <c r="D1399" s="252"/>
      <c r="E1399" s="212" t="s">
        <v>6815</v>
      </c>
      <c r="F1399" s="212" t="s">
        <v>6081</v>
      </c>
      <c r="G1399" s="212" t="n">
        <v>225</v>
      </c>
      <c r="H1399" s="212" t="s">
        <v>120</v>
      </c>
      <c r="I1399" s="250" t="n">
        <v>100.96</v>
      </c>
    </row>
    <row r="1400" customFormat="false" ht="13.8" hidden="false" customHeight="false" outlineLevel="0" collapsed="false">
      <c r="A1400" s="218"/>
      <c r="B1400" s="249" t="s">
        <v>7052</v>
      </c>
      <c r="C1400" s="249" t="s">
        <v>117</v>
      </c>
      <c r="D1400" s="249" t="s">
        <v>1548</v>
      </c>
      <c r="E1400" s="212" t="s">
        <v>6819</v>
      </c>
      <c r="F1400" s="212" t="s">
        <v>6081</v>
      </c>
      <c r="G1400" s="212" t="n">
        <v>63</v>
      </c>
      <c r="H1400" s="212" t="s">
        <v>120</v>
      </c>
      <c r="I1400" s="250" t="n">
        <v>46.05</v>
      </c>
    </row>
    <row r="1401" customFormat="false" ht="13.8" hidden="false" customHeight="false" outlineLevel="0" collapsed="false">
      <c r="A1401" s="218"/>
      <c r="B1401" s="251"/>
      <c r="C1401" s="251"/>
      <c r="D1401" s="251"/>
      <c r="E1401" s="212" t="s">
        <v>6825</v>
      </c>
      <c r="F1401" s="212" t="s">
        <v>6081</v>
      </c>
      <c r="G1401" s="212" t="n">
        <v>63</v>
      </c>
      <c r="H1401" s="212" t="s">
        <v>120</v>
      </c>
      <c r="I1401" s="250" t="n">
        <v>48.94</v>
      </c>
    </row>
    <row r="1402" customFormat="false" ht="13.8" hidden="false" customHeight="false" outlineLevel="0" collapsed="false">
      <c r="A1402" s="218"/>
      <c r="B1402" s="251"/>
      <c r="C1402" s="251"/>
      <c r="D1402" s="251"/>
      <c r="E1402" s="212" t="s">
        <v>6829</v>
      </c>
      <c r="F1402" s="212" t="s">
        <v>6081</v>
      </c>
      <c r="G1402" s="212" t="n">
        <v>63</v>
      </c>
      <c r="H1402" s="212" t="s">
        <v>120</v>
      </c>
      <c r="I1402" s="250" t="n">
        <v>49.53</v>
      </c>
    </row>
    <row r="1403" customFormat="false" ht="13.8" hidden="false" customHeight="false" outlineLevel="0" collapsed="false">
      <c r="A1403" s="218"/>
      <c r="B1403" s="251"/>
      <c r="C1403" s="251"/>
      <c r="D1403" s="251"/>
      <c r="E1403" s="212" t="s">
        <v>6832</v>
      </c>
      <c r="F1403" s="212" t="s">
        <v>6081</v>
      </c>
      <c r="G1403" s="212" t="n">
        <v>63</v>
      </c>
      <c r="H1403" s="212" t="s">
        <v>120</v>
      </c>
      <c r="I1403" s="250" t="n">
        <v>49.92</v>
      </c>
    </row>
    <row r="1404" customFormat="false" ht="13.8" hidden="false" customHeight="false" outlineLevel="0" collapsed="false">
      <c r="A1404" s="218"/>
      <c r="B1404" s="251"/>
      <c r="C1404" s="251"/>
      <c r="D1404" s="251"/>
      <c r="E1404" s="212" t="s">
        <v>6836</v>
      </c>
      <c r="F1404" s="212" t="s">
        <v>6081</v>
      </c>
      <c r="G1404" s="212" t="n">
        <v>90</v>
      </c>
      <c r="H1404" s="212" t="s">
        <v>120</v>
      </c>
      <c r="I1404" s="250" t="n">
        <v>166.05</v>
      </c>
    </row>
    <row r="1405" customFormat="false" ht="13.8" hidden="false" customHeight="false" outlineLevel="0" collapsed="false">
      <c r="A1405" s="218"/>
      <c r="B1405" s="251"/>
      <c r="C1405" s="251"/>
      <c r="D1405" s="251"/>
      <c r="E1405" s="212" t="s">
        <v>6841</v>
      </c>
      <c r="F1405" s="212" t="s">
        <v>6081</v>
      </c>
      <c r="G1405" s="212" t="n">
        <v>63</v>
      </c>
      <c r="H1405" s="212" t="s">
        <v>120</v>
      </c>
      <c r="I1405" s="250" t="n">
        <v>135.47</v>
      </c>
    </row>
    <row r="1406" customFormat="false" ht="13.8" hidden="false" customHeight="false" outlineLevel="0" collapsed="false">
      <c r="A1406" s="218"/>
      <c r="B1406" s="251"/>
      <c r="C1406" s="251"/>
      <c r="D1406" s="251"/>
      <c r="E1406" s="212" t="s">
        <v>6846</v>
      </c>
      <c r="F1406" s="212" t="s">
        <v>6081</v>
      </c>
      <c r="G1406" s="212" t="n">
        <v>63</v>
      </c>
      <c r="H1406" s="212" t="s">
        <v>120</v>
      </c>
      <c r="I1406" s="250" t="n">
        <v>48.44</v>
      </c>
    </row>
    <row r="1407" customFormat="false" ht="13.8" hidden="false" customHeight="false" outlineLevel="0" collapsed="false">
      <c r="A1407" s="218"/>
      <c r="B1407" s="251"/>
      <c r="C1407" s="251"/>
      <c r="D1407" s="251"/>
      <c r="E1407" s="212" t="s">
        <v>6850</v>
      </c>
      <c r="F1407" s="212" t="s">
        <v>6081</v>
      </c>
      <c r="G1407" s="212" t="n">
        <v>63</v>
      </c>
      <c r="H1407" s="212" t="s">
        <v>120</v>
      </c>
      <c r="I1407" s="250" t="n">
        <v>55.01</v>
      </c>
    </row>
    <row r="1408" customFormat="false" ht="13.8" hidden="false" customHeight="false" outlineLevel="0" collapsed="false">
      <c r="A1408" s="218"/>
      <c r="B1408" s="251"/>
      <c r="C1408" s="251"/>
      <c r="D1408" s="251"/>
      <c r="E1408" s="212" t="s">
        <v>6853</v>
      </c>
      <c r="F1408" s="212" t="s">
        <v>6081</v>
      </c>
      <c r="G1408" s="212" t="n">
        <v>63</v>
      </c>
      <c r="H1408" s="212" t="s">
        <v>120</v>
      </c>
      <c r="I1408" s="250" t="n">
        <v>45</v>
      </c>
    </row>
    <row r="1409" customFormat="false" ht="13.8" hidden="false" customHeight="false" outlineLevel="0" collapsed="false">
      <c r="A1409" s="218"/>
      <c r="B1409" s="251"/>
      <c r="C1409" s="251"/>
      <c r="D1409" s="251"/>
      <c r="E1409" s="212" t="s">
        <v>6857</v>
      </c>
      <c r="F1409" s="212" t="s">
        <v>6081</v>
      </c>
      <c r="G1409" s="212" t="n">
        <v>90</v>
      </c>
      <c r="H1409" s="212" t="s">
        <v>120</v>
      </c>
      <c r="I1409" s="250" t="n">
        <v>279.31</v>
      </c>
    </row>
    <row r="1410" customFormat="false" ht="13.8" hidden="false" customHeight="false" outlineLevel="0" collapsed="false">
      <c r="A1410" s="218"/>
      <c r="B1410" s="251"/>
      <c r="C1410" s="251"/>
      <c r="D1410" s="251"/>
      <c r="E1410" s="212" t="s">
        <v>6861</v>
      </c>
      <c r="F1410" s="212" t="s">
        <v>6081</v>
      </c>
      <c r="G1410" s="212" t="n">
        <v>90</v>
      </c>
      <c r="H1410" s="212" t="s">
        <v>120</v>
      </c>
      <c r="I1410" s="250" t="n">
        <v>45.82</v>
      </c>
    </row>
    <row r="1411" customFormat="false" ht="13.8" hidden="false" customHeight="false" outlineLevel="0" collapsed="false">
      <c r="A1411" s="218"/>
      <c r="B1411" s="251"/>
      <c r="C1411" s="251"/>
      <c r="D1411" s="251"/>
      <c r="E1411" s="212" t="s">
        <v>6865</v>
      </c>
      <c r="F1411" s="212" t="s">
        <v>6081</v>
      </c>
      <c r="G1411" s="212" t="n">
        <v>63</v>
      </c>
      <c r="H1411" s="212" t="s">
        <v>120</v>
      </c>
      <c r="I1411" s="250" t="n">
        <v>58.75</v>
      </c>
    </row>
    <row r="1412" customFormat="false" ht="13.8" hidden="false" customHeight="false" outlineLevel="0" collapsed="false">
      <c r="A1412" s="218"/>
      <c r="B1412" s="251"/>
      <c r="C1412" s="251"/>
      <c r="D1412" s="251"/>
      <c r="E1412" s="212" t="s">
        <v>6868</v>
      </c>
      <c r="F1412" s="212" t="s">
        <v>6081</v>
      </c>
      <c r="G1412" s="212" t="n">
        <v>63</v>
      </c>
      <c r="H1412" s="212" t="s">
        <v>120</v>
      </c>
      <c r="I1412" s="250" t="n">
        <v>51.34</v>
      </c>
    </row>
    <row r="1413" customFormat="false" ht="13.8" hidden="false" customHeight="false" outlineLevel="0" collapsed="false">
      <c r="A1413" s="218"/>
      <c r="B1413" s="251"/>
      <c r="C1413" s="251"/>
      <c r="D1413" s="251"/>
      <c r="E1413" s="212" t="s">
        <v>6871</v>
      </c>
      <c r="F1413" s="212" t="s">
        <v>6081</v>
      </c>
      <c r="G1413" s="212" t="n">
        <v>63</v>
      </c>
      <c r="H1413" s="212" t="s">
        <v>120</v>
      </c>
      <c r="I1413" s="250" t="n">
        <v>46.69</v>
      </c>
    </row>
    <row r="1414" customFormat="false" ht="13.8" hidden="false" customHeight="false" outlineLevel="0" collapsed="false">
      <c r="A1414" s="218"/>
      <c r="B1414" s="251"/>
      <c r="C1414" s="251"/>
      <c r="D1414" s="251"/>
      <c r="E1414" s="212" t="s">
        <v>6875</v>
      </c>
      <c r="F1414" s="212" t="s">
        <v>6081</v>
      </c>
      <c r="G1414" s="212" t="n">
        <v>90</v>
      </c>
      <c r="H1414" s="212" t="s">
        <v>120</v>
      </c>
      <c r="I1414" s="250" t="n">
        <v>45.44</v>
      </c>
    </row>
    <row r="1415" customFormat="false" ht="13.8" hidden="false" customHeight="false" outlineLevel="0" collapsed="false">
      <c r="A1415" s="218"/>
      <c r="B1415" s="251"/>
      <c r="C1415" s="251"/>
      <c r="D1415" s="251"/>
      <c r="E1415" s="212" t="s">
        <v>6879</v>
      </c>
      <c r="F1415" s="212" t="s">
        <v>6081</v>
      </c>
      <c r="G1415" s="212" t="n">
        <v>63</v>
      </c>
      <c r="H1415" s="212" t="s">
        <v>120</v>
      </c>
      <c r="I1415" s="250" t="n">
        <v>80.26</v>
      </c>
    </row>
    <row r="1416" customFormat="false" ht="13.8" hidden="false" customHeight="false" outlineLevel="0" collapsed="false">
      <c r="A1416" s="218"/>
      <c r="B1416" s="251"/>
      <c r="C1416" s="251"/>
      <c r="D1416" s="251"/>
      <c r="E1416" s="212" t="s">
        <v>6883</v>
      </c>
      <c r="F1416" s="212" t="s">
        <v>6081</v>
      </c>
      <c r="G1416" s="212" t="n">
        <v>63</v>
      </c>
      <c r="H1416" s="212" t="s">
        <v>120</v>
      </c>
      <c r="I1416" s="250" t="n">
        <v>61.07</v>
      </c>
    </row>
    <row r="1417" customFormat="false" ht="13.8" hidden="false" customHeight="false" outlineLevel="0" collapsed="false">
      <c r="A1417" s="218"/>
      <c r="B1417" s="251"/>
      <c r="C1417" s="251"/>
      <c r="D1417" s="251"/>
      <c r="E1417" s="212" t="s">
        <v>6886</v>
      </c>
      <c r="F1417" s="212" t="s">
        <v>6081</v>
      </c>
      <c r="G1417" s="212" t="n">
        <v>90</v>
      </c>
      <c r="H1417" s="212" t="s">
        <v>120</v>
      </c>
      <c r="I1417" s="250" t="n">
        <v>81.41</v>
      </c>
    </row>
    <row r="1418" customFormat="false" ht="13.8" hidden="false" customHeight="false" outlineLevel="0" collapsed="false">
      <c r="A1418" s="218"/>
      <c r="B1418" s="251"/>
      <c r="C1418" s="251"/>
      <c r="D1418" s="251"/>
      <c r="E1418" s="212" t="s">
        <v>6890</v>
      </c>
      <c r="F1418" s="212" t="s">
        <v>6081</v>
      </c>
      <c r="G1418" s="212" t="n">
        <v>63</v>
      </c>
      <c r="H1418" s="212" t="s">
        <v>120</v>
      </c>
      <c r="I1418" s="250" t="n">
        <v>91.64</v>
      </c>
    </row>
    <row r="1419" customFormat="false" ht="13.8" hidden="false" customHeight="false" outlineLevel="0" collapsed="false">
      <c r="A1419" s="218"/>
      <c r="B1419" s="251"/>
      <c r="C1419" s="251"/>
      <c r="D1419" s="251"/>
      <c r="E1419" s="212" t="s">
        <v>6894</v>
      </c>
      <c r="F1419" s="212" t="s">
        <v>6081</v>
      </c>
      <c r="G1419" s="212" t="n">
        <v>63</v>
      </c>
      <c r="H1419" s="212" t="s">
        <v>120</v>
      </c>
      <c r="I1419" s="250" t="n">
        <v>47.13</v>
      </c>
    </row>
    <row r="1420" customFormat="false" ht="13.8" hidden="false" customHeight="false" outlineLevel="0" collapsed="false">
      <c r="A1420" s="218"/>
      <c r="B1420" s="251"/>
      <c r="C1420" s="251"/>
      <c r="D1420" s="251"/>
      <c r="E1420" s="212" t="s">
        <v>6897</v>
      </c>
      <c r="F1420" s="212" t="s">
        <v>6081</v>
      </c>
      <c r="G1420" s="212" t="n">
        <v>63</v>
      </c>
      <c r="H1420" s="212" t="s">
        <v>120</v>
      </c>
      <c r="I1420" s="250" t="n">
        <v>182.77</v>
      </c>
    </row>
    <row r="1421" customFormat="false" ht="13.8" hidden="false" customHeight="false" outlineLevel="0" collapsed="false">
      <c r="A1421" s="218"/>
      <c r="B1421" s="251"/>
      <c r="C1421" s="251"/>
      <c r="D1421" s="251"/>
      <c r="E1421" s="212" t="s">
        <v>6902</v>
      </c>
      <c r="F1421" s="212" t="s">
        <v>6081</v>
      </c>
      <c r="G1421" s="212" t="n">
        <v>90</v>
      </c>
      <c r="H1421" s="212" t="s">
        <v>120</v>
      </c>
      <c r="I1421" s="250" t="n">
        <v>101.29</v>
      </c>
    </row>
    <row r="1422" customFormat="false" ht="13.8" hidden="false" customHeight="false" outlineLevel="0" collapsed="false">
      <c r="A1422" s="218"/>
      <c r="B1422" s="251"/>
      <c r="C1422" s="251"/>
      <c r="D1422" s="251"/>
      <c r="E1422" s="212" t="s">
        <v>6906</v>
      </c>
      <c r="F1422" s="212" t="s">
        <v>6081</v>
      </c>
      <c r="G1422" s="212" t="n">
        <v>63</v>
      </c>
      <c r="H1422" s="212" t="s">
        <v>120</v>
      </c>
      <c r="I1422" s="250" t="n">
        <v>57.65</v>
      </c>
    </row>
    <row r="1423" customFormat="false" ht="13.8" hidden="false" customHeight="false" outlineLevel="0" collapsed="false">
      <c r="A1423" s="218"/>
      <c r="B1423" s="251"/>
      <c r="C1423" s="251"/>
      <c r="D1423" s="251"/>
      <c r="E1423" s="212" t="s">
        <v>6910</v>
      </c>
      <c r="F1423" s="212" t="s">
        <v>6081</v>
      </c>
      <c r="G1423" s="212" t="n">
        <v>90</v>
      </c>
      <c r="H1423" s="212" t="s">
        <v>120</v>
      </c>
      <c r="I1423" s="250" t="n">
        <v>57.37</v>
      </c>
    </row>
    <row r="1424" customFormat="false" ht="13.8" hidden="false" customHeight="false" outlineLevel="0" collapsed="false">
      <c r="A1424" s="218"/>
      <c r="B1424" s="251"/>
      <c r="C1424" s="251"/>
      <c r="D1424" s="251"/>
      <c r="E1424" s="212" t="s">
        <v>6914</v>
      </c>
      <c r="F1424" s="212" t="s">
        <v>6081</v>
      </c>
      <c r="G1424" s="212" t="n">
        <v>90</v>
      </c>
      <c r="H1424" s="212" t="s">
        <v>120</v>
      </c>
      <c r="I1424" s="250" t="n">
        <v>88.29</v>
      </c>
    </row>
    <row r="1425" customFormat="false" ht="13.8" hidden="false" customHeight="false" outlineLevel="0" collapsed="false">
      <c r="A1425" s="218"/>
      <c r="B1425" s="251"/>
      <c r="C1425" s="251"/>
      <c r="D1425" s="251"/>
      <c r="E1425" s="212" t="s">
        <v>6918</v>
      </c>
      <c r="F1425" s="212" t="s">
        <v>6081</v>
      </c>
      <c r="G1425" s="212" t="n">
        <v>90</v>
      </c>
      <c r="H1425" s="212" t="s">
        <v>120</v>
      </c>
      <c r="I1425" s="250" t="n">
        <v>68.55</v>
      </c>
    </row>
    <row r="1426" customFormat="false" ht="13.8" hidden="false" customHeight="false" outlineLevel="0" collapsed="false">
      <c r="A1426" s="218"/>
      <c r="B1426" s="251"/>
      <c r="C1426" s="251"/>
      <c r="D1426" s="251"/>
      <c r="E1426" s="212" t="s">
        <v>6921</v>
      </c>
      <c r="F1426" s="212" t="s">
        <v>6081</v>
      </c>
      <c r="G1426" s="212" t="n">
        <v>63</v>
      </c>
      <c r="H1426" s="212" t="s">
        <v>120</v>
      </c>
      <c r="I1426" s="250" t="n">
        <v>71.28</v>
      </c>
    </row>
    <row r="1427" customFormat="false" ht="13.8" hidden="false" customHeight="false" outlineLevel="0" collapsed="false">
      <c r="A1427" s="218"/>
      <c r="B1427" s="251"/>
      <c r="C1427" s="251"/>
      <c r="D1427" s="251"/>
      <c r="E1427" s="212" t="s">
        <v>6925</v>
      </c>
      <c r="F1427" s="212" t="s">
        <v>6081</v>
      </c>
      <c r="G1427" s="212" t="n">
        <v>160</v>
      </c>
      <c r="H1427" s="212" t="s">
        <v>120</v>
      </c>
      <c r="I1427" s="250" t="n">
        <v>90.78</v>
      </c>
    </row>
    <row r="1428" customFormat="false" ht="13.8" hidden="false" customHeight="false" outlineLevel="0" collapsed="false">
      <c r="A1428" s="218"/>
      <c r="B1428" s="251"/>
      <c r="C1428" s="251"/>
      <c r="D1428" s="251"/>
      <c r="E1428" s="212" t="s">
        <v>6928</v>
      </c>
      <c r="F1428" s="212" t="s">
        <v>6081</v>
      </c>
      <c r="G1428" s="212" t="n">
        <v>63</v>
      </c>
      <c r="H1428" s="212" t="s">
        <v>120</v>
      </c>
      <c r="I1428" s="250" t="n">
        <v>12.73</v>
      </c>
    </row>
    <row r="1429" customFormat="false" ht="13.8" hidden="false" customHeight="false" outlineLevel="0" collapsed="false">
      <c r="A1429" s="218"/>
      <c r="B1429" s="251"/>
      <c r="C1429" s="251"/>
      <c r="D1429" s="251"/>
      <c r="E1429" s="212" t="s">
        <v>6932</v>
      </c>
      <c r="F1429" s="212" t="s">
        <v>6081</v>
      </c>
      <c r="G1429" s="212" t="n">
        <v>63</v>
      </c>
      <c r="H1429" s="212" t="s">
        <v>120</v>
      </c>
      <c r="I1429" s="250" t="n">
        <v>72.03</v>
      </c>
    </row>
    <row r="1430" customFormat="false" ht="13.8" hidden="false" customHeight="false" outlineLevel="0" collapsed="false">
      <c r="A1430" s="218"/>
      <c r="B1430" s="251"/>
      <c r="C1430" s="251"/>
      <c r="D1430" s="251"/>
      <c r="E1430" s="212" t="s">
        <v>6936</v>
      </c>
      <c r="F1430" s="212" t="s">
        <v>6081</v>
      </c>
      <c r="G1430" s="212" t="n">
        <v>160</v>
      </c>
      <c r="H1430" s="212" t="s">
        <v>120</v>
      </c>
      <c r="I1430" s="250" t="n">
        <v>309.25</v>
      </c>
    </row>
    <row r="1431" customFormat="false" ht="13.8" hidden="false" customHeight="false" outlineLevel="0" collapsed="false">
      <c r="A1431" s="218"/>
      <c r="B1431" s="251"/>
      <c r="C1431" s="251"/>
      <c r="D1431" s="251"/>
      <c r="E1431" s="212" t="s">
        <v>6940</v>
      </c>
      <c r="F1431" s="212" t="s">
        <v>6081</v>
      </c>
      <c r="G1431" s="212" t="n">
        <v>90</v>
      </c>
      <c r="H1431" s="212" t="s">
        <v>120</v>
      </c>
      <c r="I1431" s="250" t="n">
        <v>41.41</v>
      </c>
    </row>
    <row r="1432" customFormat="false" ht="13.8" hidden="false" customHeight="false" outlineLevel="0" collapsed="false">
      <c r="A1432" s="218"/>
      <c r="B1432" s="251"/>
      <c r="C1432" s="251"/>
      <c r="D1432" s="251"/>
      <c r="E1432" s="212" t="s">
        <v>6944</v>
      </c>
      <c r="F1432" s="212" t="s">
        <v>6081</v>
      </c>
      <c r="G1432" s="212" t="n">
        <v>63</v>
      </c>
      <c r="H1432" s="212" t="s">
        <v>120</v>
      </c>
      <c r="I1432" s="250" t="n">
        <v>87.47</v>
      </c>
    </row>
    <row r="1433" customFormat="false" ht="13.8" hidden="false" customHeight="false" outlineLevel="0" collapsed="false">
      <c r="A1433" s="218"/>
      <c r="B1433" s="251"/>
      <c r="C1433" s="251"/>
      <c r="D1433" s="251"/>
      <c r="E1433" s="212" t="s">
        <v>6948</v>
      </c>
      <c r="F1433" s="212" t="s">
        <v>6081</v>
      </c>
      <c r="G1433" s="212" t="n">
        <v>63</v>
      </c>
      <c r="H1433" s="212" t="s">
        <v>120</v>
      </c>
      <c r="I1433" s="250" t="n">
        <v>71.41</v>
      </c>
    </row>
    <row r="1434" customFormat="false" ht="13.8" hidden="false" customHeight="false" outlineLevel="0" collapsed="false">
      <c r="A1434" s="218"/>
      <c r="B1434" s="251"/>
      <c r="C1434" s="251"/>
      <c r="D1434" s="251"/>
      <c r="E1434" s="212" t="s">
        <v>6952</v>
      </c>
      <c r="F1434" s="212" t="s">
        <v>6081</v>
      </c>
      <c r="G1434" s="212" t="n">
        <v>160</v>
      </c>
      <c r="H1434" s="212" t="s">
        <v>120</v>
      </c>
      <c r="I1434" s="250" t="n">
        <v>4.58</v>
      </c>
    </row>
    <row r="1435" customFormat="false" ht="13.8" hidden="false" customHeight="false" outlineLevel="0" collapsed="false">
      <c r="A1435" s="218"/>
      <c r="B1435" s="251"/>
      <c r="C1435" s="251"/>
      <c r="D1435" s="251"/>
      <c r="E1435" s="212" t="s">
        <v>6956</v>
      </c>
      <c r="F1435" s="212" t="s">
        <v>6081</v>
      </c>
      <c r="G1435" s="212" t="n">
        <v>160</v>
      </c>
      <c r="H1435" s="212" t="s">
        <v>120</v>
      </c>
      <c r="I1435" s="250" t="n">
        <v>1.5</v>
      </c>
    </row>
    <row r="1436" customFormat="false" ht="13.8" hidden="false" customHeight="false" outlineLevel="0" collapsed="false">
      <c r="A1436" s="218"/>
      <c r="B1436" s="251"/>
      <c r="C1436" s="251"/>
      <c r="D1436" s="251"/>
      <c r="E1436" s="212" t="s">
        <v>6959</v>
      </c>
      <c r="F1436" s="212" t="s">
        <v>6081</v>
      </c>
      <c r="G1436" s="212" t="n">
        <v>160</v>
      </c>
      <c r="H1436" s="212" t="s">
        <v>120</v>
      </c>
      <c r="I1436" s="250" t="n">
        <v>5.49</v>
      </c>
    </row>
    <row r="1437" customFormat="false" ht="13.8" hidden="false" customHeight="false" outlineLevel="0" collapsed="false">
      <c r="A1437" s="218"/>
      <c r="B1437" s="251"/>
      <c r="C1437" s="251"/>
      <c r="D1437" s="251"/>
      <c r="E1437" s="212" t="s">
        <v>6961</v>
      </c>
      <c r="F1437" s="212" t="s">
        <v>6081</v>
      </c>
      <c r="G1437" s="212" t="n">
        <v>90</v>
      </c>
      <c r="H1437" s="212" t="s">
        <v>120</v>
      </c>
      <c r="I1437" s="250" t="n">
        <v>50.33</v>
      </c>
    </row>
    <row r="1438" customFormat="false" ht="13.8" hidden="false" customHeight="false" outlineLevel="0" collapsed="false">
      <c r="A1438" s="218"/>
      <c r="B1438" s="251"/>
      <c r="C1438" s="251"/>
      <c r="D1438" s="251"/>
      <c r="E1438" s="212" t="s">
        <v>6965</v>
      </c>
      <c r="F1438" s="212" t="s">
        <v>6081</v>
      </c>
      <c r="G1438" s="212" t="n">
        <v>160</v>
      </c>
      <c r="H1438" s="212" t="s">
        <v>120</v>
      </c>
      <c r="I1438" s="250" t="n">
        <v>95.19</v>
      </c>
    </row>
    <row r="1439" customFormat="false" ht="13.8" hidden="false" customHeight="false" outlineLevel="0" collapsed="false">
      <c r="A1439" s="218"/>
      <c r="B1439" s="251"/>
      <c r="C1439" s="251"/>
      <c r="D1439" s="251"/>
      <c r="E1439" s="212" t="s">
        <v>6968</v>
      </c>
      <c r="F1439" s="212" t="s">
        <v>6081</v>
      </c>
      <c r="G1439" s="212" t="n">
        <v>160</v>
      </c>
      <c r="H1439" s="212" t="s">
        <v>120</v>
      </c>
      <c r="I1439" s="250" t="n">
        <v>94.8</v>
      </c>
    </row>
    <row r="1440" customFormat="false" ht="13.8" hidden="false" customHeight="false" outlineLevel="0" collapsed="false">
      <c r="A1440" s="218"/>
      <c r="B1440" s="252"/>
      <c r="C1440" s="252"/>
      <c r="D1440" s="252"/>
      <c r="E1440" s="212" t="s">
        <v>6970</v>
      </c>
      <c r="F1440" s="212" t="s">
        <v>6081</v>
      </c>
      <c r="G1440" s="212" t="n">
        <v>160</v>
      </c>
      <c r="H1440" s="212" t="s">
        <v>120</v>
      </c>
      <c r="I1440" s="250" t="n">
        <v>27.4</v>
      </c>
    </row>
    <row r="1441" customFormat="false" ht="13.8" hidden="false" customHeight="false" outlineLevel="0" collapsed="false">
      <c r="A1441" s="222"/>
      <c r="B1441" s="212" t="s">
        <v>7053</v>
      </c>
      <c r="C1441" s="212" t="s">
        <v>117</v>
      </c>
      <c r="D1441" s="212" t="s">
        <v>1548</v>
      </c>
      <c r="E1441" s="212" t="s">
        <v>6973</v>
      </c>
      <c r="F1441" s="212" t="s">
        <v>6081</v>
      </c>
      <c r="G1441" s="212" t="n">
        <v>225</v>
      </c>
      <c r="H1441" s="212" t="s">
        <v>120</v>
      </c>
      <c r="I1441" s="250" t="n">
        <v>45.92</v>
      </c>
    </row>
    <row r="1442" customFormat="false" ht="13.8" hidden="false" customHeight="false" outlineLevel="0" collapsed="false">
      <c r="A1442" s="229" t="s">
        <v>7025</v>
      </c>
      <c r="B1442" s="230"/>
      <c r="C1442" s="230"/>
      <c r="D1442" s="230"/>
      <c r="E1442" s="230"/>
      <c r="F1442" s="230"/>
      <c r="G1442" s="230"/>
      <c r="H1442" s="231"/>
      <c r="I1442" s="236" t="n">
        <v>110686.03</v>
      </c>
    </row>
  </sheetData>
  <printOptions headings="false" gridLines="false" gridLinesSet="true" horizontalCentered="true" verticalCentered="false"/>
  <pageMargins left="0" right="0" top="0.7875" bottom="0.7875" header="0.511811023622047" footer="0.315277777777778"/>
  <pageSetup paperSize="9" scale="60" fitToWidth="1" fitToHeight="1" pageOrder="downThenOver" orientation="portrait" blackAndWhite="false" draft="false" cellComments="none" horizontalDpi="300" verticalDpi="300" copies="1"/>
  <headerFooter differentFirst="false" differentOddEven="false">
    <oddHeader/>
    <oddFooter>&amp;L&amp;A&amp;R&amp;P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D16" activeCellId="0" sqref="D16"/>
    </sheetView>
  </sheetViews>
  <sheetFormatPr defaultColWidth="8.88671875" defaultRowHeight="13.8" zeroHeight="false" outlineLevelRow="0" outlineLevelCol="0"/>
  <cols>
    <col collapsed="false" customWidth="true" hidden="false" outlineLevel="0" max="1" min="1" style="237" width="24.33"/>
    <col collapsed="false" customWidth="true" hidden="false" outlineLevel="0" max="2" min="2" style="237" width="23.88"/>
    <col collapsed="false" customWidth="true" hidden="false" outlineLevel="0" max="3" min="3" style="237" width="27.11"/>
    <col collapsed="false" customWidth="true" hidden="false" outlineLevel="0" max="4" min="4" style="253" width="27.11"/>
    <col collapsed="false" customWidth="true" hidden="false" outlineLevel="0" max="6" min="5" style="237" width="19.67"/>
    <col collapsed="false" customWidth="true" hidden="false" outlineLevel="0" max="7" min="7" style="237" width="14.67"/>
    <col collapsed="false" customWidth="true" hidden="false" outlineLevel="0" max="8" min="8" style="237" width="11.11"/>
    <col collapsed="false" customWidth="true" hidden="false" outlineLevel="0" max="9" min="9" style="237" width="16.89"/>
    <col collapsed="false" customWidth="true" hidden="false" outlineLevel="0" max="11" min="10" style="237" width="19.21"/>
    <col collapsed="false" customWidth="true" hidden="false" outlineLevel="0" max="79" min="12" style="237" width="11.44"/>
    <col collapsed="false" customWidth="true" hidden="false" outlineLevel="0" max="80" min="80" style="237" width="10.44"/>
    <col collapsed="false" customWidth="false" hidden="false" outlineLevel="0" max="16384" min="81" style="237" width="8.88"/>
  </cols>
  <sheetData>
    <row r="1" customFormat="false" ht="19.95" hidden="false" customHeight="true" outlineLevel="0" collapsed="false">
      <c r="A1" s="238" t="s">
        <v>7054</v>
      </c>
      <c r="B1" s="239"/>
      <c r="C1" s="239"/>
      <c r="D1" s="254"/>
      <c r="E1" s="239"/>
      <c r="F1" s="254"/>
      <c r="G1" s="239"/>
      <c r="H1" s="175" t="s">
        <v>2</v>
      </c>
      <c r="I1" s="176"/>
      <c r="J1" s="175" t="s">
        <v>1475</v>
      </c>
      <c r="K1" s="13"/>
    </row>
    <row r="2" customFormat="false" ht="19.95" hidden="false" customHeight="true" outlineLevel="0" collapsed="false">
      <c r="A2" s="240"/>
      <c r="B2" s="241"/>
      <c r="C2" s="241"/>
      <c r="D2" s="255"/>
      <c r="E2" s="241"/>
      <c r="F2" s="255"/>
      <c r="G2" s="241"/>
      <c r="H2" s="256" t="s">
        <v>1476</v>
      </c>
      <c r="I2" s="180"/>
      <c r="J2" s="179" t="n">
        <v>46308</v>
      </c>
      <c r="K2" s="257"/>
    </row>
    <row r="3" customFormat="false" ht="19.95" hidden="false" customHeight="true" outlineLevel="0" collapsed="false">
      <c r="A3" s="243" t="s">
        <v>7</v>
      </c>
      <c r="B3" s="258"/>
      <c r="F3" s="183"/>
      <c r="G3" s="183"/>
      <c r="H3" s="184"/>
      <c r="I3" s="185"/>
      <c r="J3" s="186" t="s">
        <v>1477</v>
      </c>
      <c r="K3" s="259"/>
    </row>
    <row r="4" customFormat="false" ht="19.95" hidden="false" customHeight="true" outlineLevel="0" collapsed="false">
      <c r="A4" s="30" t="s">
        <v>13</v>
      </c>
      <c r="B4" s="31"/>
      <c r="C4" s="245"/>
      <c r="D4" s="31"/>
      <c r="E4" s="245"/>
      <c r="F4" s="31"/>
      <c r="G4" s="245"/>
      <c r="H4" s="32"/>
      <c r="I4" s="189"/>
      <c r="J4" s="190" t="s">
        <v>1478</v>
      </c>
      <c r="K4" s="260"/>
    </row>
    <row r="5" customFormat="false" ht="13.8" hidden="false" customHeight="false" outlineLevel="0" collapsed="false">
      <c r="A5" s="247" t="s">
        <v>28</v>
      </c>
      <c r="B5" s="196" t="s">
        <v>1493</v>
      </c>
      <c r="C5" s="196" t="s">
        <v>1488</v>
      </c>
      <c r="D5" s="196" t="s">
        <v>1494</v>
      </c>
      <c r="E5" s="196" t="s">
        <v>21</v>
      </c>
      <c r="F5" s="196" t="s">
        <v>1481</v>
      </c>
      <c r="G5" s="196" t="s">
        <v>26</v>
      </c>
      <c r="H5" s="196" t="s">
        <v>33</v>
      </c>
      <c r="I5" s="196" t="s">
        <v>1487</v>
      </c>
      <c r="J5" s="196" t="s">
        <v>1490</v>
      </c>
      <c r="K5" s="248" t="s">
        <v>7028</v>
      </c>
    </row>
    <row r="6" customFormat="false" ht="13.8" hidden="false" customHeight="false" outlineLevel="0" collapsed="false">
      <c r="A6" s="211" t="s">
        <v>6</v>
      </c>
      <c r="B6" s="249" t="s">
        <v>1594</v>
      </c>
      <c r="C6" s="249" t="s">
        <v>2226</v>
      </c>
      <c r="D6" s="212" t="s">
        <v>6525</v>
      </c>
      <c r="E6" s="212" t="s">
        <v>117</v>
      </c>
      <c r="F6" s="212" t="s">
        <v>2224</v>
      </c>
      <c r="G6" s="212" t="n">
        <v>500</v>
      </c>
      <c r="H6" s="212" t="s">
        <v>120</v>
      </c>
      <c r="I6" s="212" t="s">
        <v>6524</v>
      </c>
      <c r="J6" s="212" t="s">
        <v>7051</v>
      </c>
      <c r="K6" s="250" t="n">
        <v>96.08</v>
      </c>
    </row>
    <row r="7" customFormat="false" ht="13.8" hidden="false" customHeight="false" outlineLevel="0" collapsed="false">
      <c r="A7" s="218"/>
      <c r="B7" s="251"/>
      <c r="C7" s="251"/>
      <c r="D7" s="249" t="s">
        <v>3251</v>
      </c>
      <c r="E7" s="249" t="s">
        <v>117</v>
      </c>
      <c r="F7" s="249" t="s">
        <v>2224</v>
      </c>
      <c r="G7" s="212" t="n">
        <v>400</v>
      </c>
      <c r="H7" s="212" t="s">
        <v>120</v>
      </c>
      <c r="I7" s="212" t="s">
        <v>6074</v>
      </c>
      <c r="J7" s="212" t="s">
        <v>7045</v>
      </c>
      <c r="K7" s="250" t="n">
        <v>15.21</v>
      </c>
    </row>
    <row r="8" customFormat="false" ht="13.8" hidden="false" customHeight="false" outlineLevel="0" collapsed="false">
      <c r="A8" s="218"/>
      <c r="B8" s="251"/>
      <c r="C8" s="251"/>
      <c r="D8" s="251"/>
      <c r="E8" s="251"/>
      <c r="F8" s="251"/>
      <c r="G8" s="249" t="n">
        <v>500</v>
      </c>
      <c r="H8" s="249" t="s">
        <v>120</v>
      </c>
      <c r="I8" s="212" t="s">
        <v>6070</v>
      </c>
      <c r="J8" s="212" t="s">
        <v>7045</v>
      </c>
      <c r="K8" s="250" t="n">
        <v>13.13</v>
      </c>
    </row>
    <row r="9" customFormat="false" ht="13.8" hidden="false" customHeight="false" outlineLevel="0" collapsed="false">
      <c r="A9" s="218"/>
      <c r="B9" s="251"/>
      <c r="C9" s="251"/>
      <c r="D9" s="251"/>
      <c r="E9" s="251"/>
      <c r="F9" s="251"/>
      <c r="G9" s="251"/>
      <c r="H9" s="251"/>
      <c r="I9" s="212" t="s">
        <v>6077</v>
      </c>
      <c r="J9" s="212" t="s">
        <v>7045</v>
      </c>
      <c r="K9" s="250" t="n">
        <v>137.91</v>
      </c>
    </row>
    <row r="10" customFormat="false" ht="13.8" hidden="false" customHeight="false" outlineLevel="0" collapsed="false">
      <c r="A10" s="218"/>
      <c r="B10" s="251"/>
      <c r="C10" s="251"/>
      <c r="D10" s="251"/>
      <c r="E10" s="251"/>
      <c r="F10" s="251"/>
      <c r="G10" s="251"/>
      <c r="H10" s="251"/>
      <c r="I10" s="212" t="s">
        <v>6389</v>
      </c>
      <c r="J10" s="212" t="s">
        <v>7050</v>
      </c>
      <c r="K10" s="250" t="n">
        <v>23.24</v>
      </c>
    </row>
    <row r="11" customFormat="false" ht="13.8" hidden="false" customHeight="false" outlineLevel="0" collapsed="false">
      <c r="A11" s="218"/>
      <c r="B11" s="251"/>
      <c r="C11" s="251"/>
      <c r="D11" s="252"/>
      <c r="E11" s="252"/>
      <c r="F11" s="252"/>
      <c r="G11" s="252"/>
      <c r="H11" s="252"/>
      <c r="I11" s="212" t="s">
        <v>6513</v>
      </c>
      <c r="J11" s="212" t="s">
        <v>7051</v>
      </c>
      <c r="K11" s="250" t="n">
        <v>42.04</v>
      </c>
    </row>
    <row r="12" customFormat="false" ht="13.8" hidden="false" customHeight="false" outlineLevel="0" collapsed="false">
      <c r="A12" s="218"/>
      <c r="B12" s="251"/>
      <c r="C12" s="251"/>
      <c r="D12" s="249" t="s">
        <v>2387</v>
      </c>
      <c r="E12" s="249" t="s">
        <v>117</v>
      </c>
      <c r="F12" s="249" t="s">
        <v>2224</v>
      </c>
      <c r="G12" s="249" t="n">
        <v>355</v>
      </c>
      <c r="H12" s="249" t="s">
        <v>120</v>
      </c>
      <c r="I12" s="212" t="s">
        <v>5237</v>
      </c>
      <c r="J12" s="212" t="s">
        <v>7042</v>
      </c>
      <c r="K12" s="250" t="n">
        <v>13.65</v>
      </c>
    </row>
    <row r="13" customFormat="false" ht="13.8" hidden="false" customHeight="false" outlineLevel="0" collapsed="false">
      <c r="A13" s="218"/>
      <c r="B13" s="251"/>
      <c r="C13" s="251"/>
      <c r="D13" s="251"/>
      <c r="E13" s="251"/>
      <c r="F13" s="251"/>
      <c r="G13" s="251"/>
      <c r="H13" s="251"/>
      <c r="I13" s="212" t="s">
        <v>5983</v>
      </c>
      <c r="J13" s="212" t="s">
        <v>7042</v>
      </c>
      <c r="K13" s="250" t="n">
        <v>7.31</v>
      </c>
    </row>
    <row r="14" customFormat="false" ht="13.8" hidden="false" customHeight="false" outlineLevel="0" collapsed="false">
      <c r="A14" s="218"/>
      <c r="B14" s="251"/>
      <c r="C14" s="251"/>
      <c r="D14" s="251"/>
      <c r="E14" s="251"/>
      <c r="F14" s="251"/>
      <c r="G14" s="252"/>
      <c r="H14" s="252"/>
      <c r="I14" s="212" t="s">
        <v>5987</v>
      </c>
      <c r="J14" s="212" t="s">
        <v>7042</v>
      </c>
      <c r="K14" s="250" t="n">
        <v>132.17</v>
      </c>
    </row>
    <row r="15" customFormat="false" ht="13.8" hidden="false" customHeight="false" outlineLevel="0" collapsed="false">
      <c r="A15" s="218"/>
      <c r="B15" s="251"/>
      <c r="C15" s="251"/>
      <c r="D15" s="251"/>
      <c r="E15" s="251"/>
      <c r="F15" s="251"/>
      <c r="G15" s="249" t="n">
        <v>500</v>
      </c>
      <c r="H15" s="249" t="s">
        <v>120</v>
      </c>
      <c r="I15" s="212" t="s">
        <v>5241</v>
      </c>
      <c r="J15" s="212" t="s">
        <v>7042</v>
      </c>
      <c r="K15" s="250" t="n">
        <v>3.7</v>
      </c>
    </row>
    <row r="16" customFormat="false" ht="13.8" hidden="false" customHeight="false" outlineLevel="0" collapsed="false">
      <c r="A16" s="218"/>
      <c r="B16" s="251"/>
      <c r="C16" s="251"/>
      <c r="D16" s="251"/>
      <c r="E16" s="251"/>
      <c r="F16" s="251"/>
      <c r="G16" s="251"/>
      <c r="H16" s="251"/>
      <c r="I16" s="212" t="s">
        <v>5245</v>
      </c>
      <c r="J16" s="212" t="s">
        <v>7042</v>
      </c>
      <c r="K16" s="250" t="n">
        <v>3.73</v>
      </c>
    </row>
    <row r="17" customFormat="false" ht="13.8" hidden="false" customHeight="false" outlineLevel="0" collapsed="false">
      <c r="A17" s="218"/>
      <c r="B17" s="251"/>
      <c r="C17" s="251"/>
      <c r="D17" s="252"/>
      <c r="E17" s="252"/>
      <c r="F17" s="252"/>
      <c r="G17" s="252"/>
      <c r="H17" s="252"/>
      <c r="I17" s="212" t="s">
        <v>5248</v>
      </c>
      <c r="J17" s="212" t="s">
        <v>7042</v>
      </c>
      <c r="K17" s="250" t="n">
        <v>18.96</v>
      </c>
    </row>
    <row r="18" customFormat="false" ht="13.8" hidden="false" customHeight="false" outlineLevel="0" collapsed="false">
      <c r="A18" s="218"/>
      <c r="B18" s="251"/>
      <c r="C18" s="251"/>
      <c r="D18" s="212" t="s">
        <v>3516</v>
      </c>
      <c r="E18" s="212" t="s">
        <v>117</v>
      </c>
      <c r="F18" s="212" t="s">
        <v>2224</v>
      </c>
      <c r="G18" s="212" t="n">
        <v>315</v>
      </c>
      <c r="H18" s="212" t="s">
        <v>120</v>
      </c>
      <c r="I18" s="212" t="s">
        <v>4824</v>
      </c>
      <c r="J18" s="212" t="s">
        <v>7038</v>
      </c>
      <c r="K18" s="250" t="n">
        <v>183.65</v>
      </c>
    </row>
    <row r="19" customFormat="false" ht="13.8" hidden="false" customHeight="false" outlineLevel="0" collapsed="false">
      <c r="A19" s="218"/>
      <c r="B19" s="251"/>
      <c r="C19" s="251"/>
      <c r="D19" s="249" t="s">
        <v>2242</v>
      </c>
      <c r="E19" s="249" t="s">
        <v>117</v>
      </c>
      <c r="F19" s="249" t="s">
        <v>2224</v>
      </c>
      <c r="G19" s="212" t="n">
        <v>280</v>
      </c>
      <c r="H19" s="212" t="s">
        <v>120</v>
      </c>
      <c r="I19" s="212" t="s">
        <v>2241</v>
      </c>
      <c r="J19" s="212" t="s">
        <v>7035</v>
      </c>
      <c r="K19" s="250" t="n">
        <v>38.44</v>
      </c>
    </row>
    <row r="20" customFormat="false" ht="13.8" hidden="false" customHeight="false" outlineLevel="0" collapsed="false">
      <c r="A20" s="218"/>
      <c r="B20" s="251"/>
      <c r="C20" s="251"/>
      <c r="D20" s="252"/>
      <c r="E20" s="252"/>
      <c r="F20" s="252"/>
      <c r="G20" s="212" t="n">
        <v>315</v>
      </c>
      <c r="H20" s="212" t="s">
        <v>120</v>
      </c>
      <c r="I20" s="212" t="s">
        <v>4821</v>
      </c>
      <c r="J20" s="212" t="s">
        <v>7038</v>
      </c>
      <c r="K20" s="250" t="n">
        <v>101.13</v>
      </c>
    </row>
    <row r="21" customFormat="false" ht="13.8" hidden="false" customHeight="false" outlineLevel="0" collapsed="false">
      <c r="A21" s="218"/>
      <c r="B21" s="251"/>
      <c r="C21" s="251"/>
      <c r="D21" s="249" t="s">
        <v>4968</v>
      </c>
      <c r="E21" s="249" t="s">
        <v>117</v>
      </c>
      <c r="F21" s="249" t="s">
        <v>2224</v>
      </c>
      <c r="G21" s="212" t="n">
        <v>315</v>
      </c>
      <c r="H21" s="212" t="s">
        <v>120</v>
      </c>
      <c r="I21" s="212" t="s">
        <v>5113</v>
      </c>
      <c r="J21" s="212" t="s">
        <v>7039</v>
      </c>
      <c r="K21" s="250" t="n">
        <v>1.72</v>
      </c>
    </row>
    <row r="22" customFormat="false" ht="13.8" hidden="false" customHeight="false" outlineLevel="0" collapsed="false">
      <c r="A22" s="218"/>
      <c r="B22" s="251"/>
      <c r="C22" s="251"/>
      <c r="D22" s="252"/>
      <c r="E22" s="252"/>
      <c r="F22" s="252"/>
      <c r="G22" s="212" t="n">
        <v>355</v>
      </c>
      <c r="H22" s="212" t="s">
        <v>120</v>
      </c>
      <c r="I22" s="212" t="s">
        <v>5116</v>
      </c>
      <c r="J22" s="212" t="s">
        <v>7039</v>
      </c>
      <c r="K22" s="250" t="n">
        <v>530.78</v>
      </c>
    </row>
    <row r="23" customFormat="false" ht="13.8" hidden="false" customHeight="false" outlineLevel="0" collapsed="false">
      <c r="A23" s="218"/>
      <c r="B23" s="251"/>
      <c r="C23" s="251"/>
      <c r="D23" s="249" t="s">
        <v>3788</v>
      </c>
      <c r="E23" s="249" t="s">
        <v>117</v>
      </c>
      <c r="F23" s="249" t="s">
        <v>2224</v>
      </c>
      <c r="G23" s="249" t="n">
        <v>315</v>
      </c>
      <c r="H23" s="249" t="s">
        <v>120</v>
      </c>
      <c r="I23" s="212" t="s">
        <v>3794</v>
      </c>
      <c r="J23" s="212" t="s">
        <v>7040</v>
      </c>
      <c r="K23" s="250" t="n">
        <v>193.56</v>
      </c>
    </row>
    <row r="24" customFormat="false" ht="13.8" hidden="false" customHeight="false" outlineLevel="0" collapsed="false">
      <c r="A24" s="218"/>
      <c r="B24" s="251"/>
      <c r="C24" s="251"/>
      <c r="D24" s="252"/>
      <c r="E24" s="252"/>
      <c r="F24" s="252"/>
      <c r="G24" s="252"/>
      <c r="H24" s="252"/>
      <c r="I24" s="212" t="s">
        <v>3802</v>
      </c>
      <c r="J24" s="212" t="s">
        <v>7040</v>
      </c>
      <c r="K24" s="250" t="n">
        <v>419.47</v>
      </c>
    </row>
    <row r="25" customFormat="false" ht="13.8" hidden="false" customHeight="false" outlineLevel="0" collapsed="false">
      <c r="A25" s="218"/>
      <c r="B25" s="251"/>
      <c r="C25" s="251"/>
      <c r="D25" s="212" t="s">
        <v>4452</v>
      </c>
      <c r="E25" s="212" t="s">
        <v>117</v>
      </c>
      <c r="F25" s="212" t="s">
        <v>2224</v>
      </c>
      <c r="G25" s="212" t="n">
        <v>500</v>
      </c>
      <c r="H25" s="212" t="s">
        <v>120</v>
      </c>
      <c r="I25" s="212" t="s">
        <v>4450</v>
      </c>
      <c r="J25" s="212" t="s">
        <v>7045</v>
      </c>
      <c r="K25" s="250" t="n">
        <v>539.54</v>
      </c>
    </row>
    <row r="26" customFormat="false" ht="13.8" hidden="false" customHeight="false" outlineLevel="0" collapsed="false">
      <c r="A26" s="218"/>
      <c r="B26" s="251"/>
      <c r="C26" s="251"/>
      <c r="D26" s="212" t="s">
        <v>2237</v>
      </c>
      <c r="E26" s="212" t="s">
        <v>117</v>
      </c>
      <c r="F26" s="212" t="s">
        <v>2224</v>
      </c>
      <c r="G26" s="212" t="n">
        <v>280</v>
      </c>
      <c r="H26" s="212" t="s">
        <v>120</v>
      </c>
      <c r="I26" s="212" t="s">
        <v>2236</v>
      </c>
      <c r="J26" s="212" t="s">
        <v>7035</v>
      </c>
      <c r="K26" s="250" t="n">
        <v>9.11</v>
      </c>
    </row>
    <row r="27" customFormat="false" ht="13.8" hidden="false" customHeight="false" outlineLevel="0" collapsed="false">
      <c r="A27" s="218"/>
      <c r="B27" s="251"/>
      <c r="C27" s="251"/>
      <c r="D27" s="212" t="s">
        <v>4828</v>
      </c>
      <c r="E27" s="212" t="s">
        <v>117</v>
      </c>
      <c r="F27" s="212" t="s">
        <v>2224</v>
      </c>
      <c r="G27" s="212" t="n">
        <v>315</v>
      </c>
      <c r="H27" s="212" t="s">
        <v>120</v>
      </c>
      <c r="I27" s="212" t="s">
        <v>4827</v>
      </c>
      <c r="J27" s="212" t="s">
        <v>7038</v>
      </c>
      <c r="K27" s="250" t="n">
        <v>136.91</v>
      </c>
    </row>
    <row r="28" customFormat="false" ht="13.8" hidden="false" customHeight="false" outlineLevel="0" collapsed="false">
      <c r="A28" s="218"/>
      <c r="B28" s="251"/>
      <c r="C28" s="251"/>
      <c r="D28" s="249" t="s">
        <v>7055</v>
      </c>
      <c r="E28" s="249" t="s">
        <v>117</v>
      </c>
      <c r="F28" s="249" t="s">
        <v>2224</v>
      </c>
      <c r="G28" s="249" t="n">
        <v>280</v>
      </c>
      <c r="H28" s="249" t="s">
        <v>120</v>
      </c>
      <c r="I28" s="212" t="s">
        <v>2225</v>
      </c>
      <c r="J28" s="212" t="s">
        <v>7035</v>
      </c>
      <c r="K28" s="250" t="n">
        <v>157.36</v>
      </c>
    </row>
    <row r="29" customFormat="false" ht="13.8" hidden="false" customHeight="false" outlineLevel="0" collapsed="false">
      <c r="A29" s="218"/>
      <c r="B29" s="251"/>
      <c r="C29" s="251"/>
      <c r="D29" s="251"/>
      <c r="E29" s="251"/>
      <c r="F29" s="251"/>
      <c r="G29" s="251"/>
      <c r="H29" s="251"/>
      <c r="I29" s="212" t="s">
        <v>2245</v>
      </c>
      <c r="J29" s="212" t="s">
        <v>7035</v>
      </c>
      <c r="K29" s="250" t="n">
        <v>217.08</v>
      </c>
    </row>
    <row r="30" customFormat="false" ht="13.8" hidden="false" customHeight="false" outlineLevel="0" collapsed="false">
      <c r="A30" s="218"/>
      <c r="B30" s="251"/>
      <c r="C30" s="251"/>
      <c r="D30" s="251"/>
      <c r="E30" s="251"/>
      <c r="F30" s="251"/>
      <c r="G30" s="251"/>
      <c r="H30" s="251"/>
      <c r="I30" s="212" t="s">
        <v>2486</v>
      </c>
      <c r="J30" s="212" t="s">
        <v>7038</v>
      </c>
      <c r="K30" s="250" t="n">
        <v>11.6</v>
      </c>
    </row>
    <row r="31" customFormat="false" ht="13.8" hidden="false" customHeight="false" outlineLevel="0" collapsed="false">
      <c r="A31" s="218"/>
      <c r="B31" s="251"/>
      <c r="C31" s="251"/>
      <c r="D31" s="251"/>
      <c r="E31" s="251"/>
      <c r="F31" s="251"/>
      <c r="G31" s="251"/>
      <c r="H31" s="251"/>
      <c r="I31" s="212" t="s">
        <v>4806</v>
      </c>
      <c r="J31" s="212" t="s">
        <v>7038</v>
      </c>
      <c r="K31" s="250" t="n">
        <v>10.66</v>
      </c>
    </row>
    <row r="32" customFormat="false" ht="13.8" hidden="false" customHeight="false" outlineLevel="0" collapsed="false">
      <c r="A32" s="218"/>
      <c r="B32" s="251"/>
      <c r="C32" s="251"/>
      <c r="D32" s="251"/>
      <c r="E32" s="251"/>
      <c r="F32" s="251"/>
      <c r="G32" s="251"/>
      <c r="H32" s="251"/>
      <c r="I32" s="212" t="s">
        <v>4809</v>
      </c>
      <c r="J32" s="212" t="s">
        <v>7038</v>
      </c>
      <c r="K32" s="250" t="n">
        <v>1.95</v>
      </c>
    </row>
    <row r="33" customFormat="false" ht="13.8" hidden="false" customHeight="false" outlineLevel="0" collapsed="false">
      <c r="A33" s="218"/>
      <c r="B33" s="251"/>
      <c r="C33" s="251"/>
      <c r="D33" s="251"/>
      <c r="E33" s="251"/>
      <c r="F33" s="251"/>
      <c r="G33" s="252"/>
      <c r="H33" s="252"/>
      <c r="I33" s="212" t="s">
        <v>4813</v>
      </c>
      <c r="J33" s="212" t="s">
        <v>7038</v>
      </c>
      <c r="K33" s="250" t="n">
        <v>17.65</v>
      </c>
    </row>
    <row r="34" customFormat="false" ht="13.8" hidden="false" customHeight="false" outlineLevel="0" collapsed="false">
      <c r="A34" s="218"/>
      <c r="B34" s="251"/>
      <c r="C34" s="251"/>
      <c r="D34" s="251"/>
      <c r="E34" s="251"/>
      <c r="F34" s="251"/>
      <c r="G34" s="212" t="n">
        <v>315</v>
      </c>
      <c r="H34" s="212" t="s">
        <v>120</v>
      </c>
      <c r="I34" s="212" t="s">
        <v>4817</v>
      </c>
      <c r="J34" s="212" t="s">
        <v>7038</v>
      </c>
      <c r="K34" s="250" t="n">
        <v>2.69</v>
      </c>
    </row>
    <row r="35" customFormat="false" ht="13.8" hidden="false" customHeight="false" outlineLevel="0" collapsed="false">
      <c r="A35" s="218"/>
      <c r="B35" s="251"/>
      <c r="C35" s="251"/>
      <c r="D35" s="251"/>
      <c r="E35" s="251"/>
      <c r="F35" s="251"/>
      <c r="G35" s="249" t="n">
        <v>500</v>
      </c>
      <c r="H35" s="249" t="s">
        <v>120</v>
      </c>
      <c r="I35" s="212" t="s">
        <v>6529</v>
      </c>
      <c r="J35" s="212" t="s">
        <v>7051</v>
      </c>
      <c r="K35" s="250" t="n">
        <v>293.89</v>
      </c>
    </row>
    <row r="36" customFormat="false" ht="13.8" hidden="false" customHeight="false" outlineLevel="0" collapsed="false">
      <c r="A36" s="218"/>
      <c r="B36" s="251"/>
      <c r="C36" s="251"/>
      <c r="D36" s="251"/>
      <c r="E36" s="251"/>
      <c r="F36" s="251"/>
      <c r="G36" s="251"/>
      <c r="H36" s="251"/>
      <c r="I36" s="212" t="s">
        <v>6533</v>
      </c>
      <c r="J36" s="212" t="s">
        <v>7051</v>
      </c>
      <c r="K36" s="250" t="n">
        <v>13.13</v>
      </c>
    </row>
    <row r="37" customFormat="false" ht="13.8" hidden="false" customHeight="false" outlineLevel="0" collapsed="false">
      <c r="A37" s="218"/>
      <c r="B37" s="252"/>
      <c r="C37" s="252"/>
      <c r="D37" s="252"/>
      <c r="E37" s="252"/>
      <c r="F37" s="252"/>
      <c r="G37" s="252"/>
      <c r="H37" s="252"/>
      <c r="I37" s="212" t="s">
        <v>6536</v>
      </c>
      <c r="J37" s="212" t="s">
        <v>7051</v>
      </c>
      <c r="K37" s="250" t="n">
        <v>2.4</v>
      </c>
    </row>
    <row r="38" customFormat="false" ht="13.8" hidden="false" customHeight="false" outlineLevel="0" collapsed="false">
      <c r="A38" s="218"/>
      <c r="B38" s="261" t="s">
        <v>7056</v>
      </c>
      <c r="C38" s="224"/>
      <c r="D38" s="224"/>
      <c r="E38" s="224"/>
      <c r="F38" s="224"/>
      <c r="G38" s="224"/>
      <c r="H38" s="224"/>
      <c r="I38" s="224"/>
      <c r="J38" s="225"/>
      <c r="K38" s="217" t="n">
        <v>3389.85</v>
      </c>
    </row>
    <row r="39" customFormat="false" ht="13.8" hidden="false" customHeight="false" outlineLevel="0" collapsed="false">
      <c r="A39" s="218"/>
      <c r="B39" s="249" t="s">
        <v>3938</v>
      </c>
      <c r="C39" s="249" t="s">
        <v>2226</v>
      </c>
      <c r="D39" s="249" t="s">
        <v>2117</v>
      </c>
      <c r="E39" s="249" t="s">
        <v>117</v>
      </c>
      <c r="F39" s="249" t="s">
        <v>2224</v>
      </c>
      <c r="G39" s="249" t="n">
        <v>315</v>
      </c>
      <c r="H39" s="249" t="s">
        <v>120</v>
      </c>
      <c r="I39" s="212" t="s">
        <v>4290</v>
      </c>
      <c r="J39" s="212" t="s">
        <v>7043</v>
      </c>
      <c r="K39" s="250" t="n">
        <v>296.99</v>
      </c>
    </row>
    <row r="40" customFormat="false" ht="13.8" hidden="false" customHeight="false" outlineLevel="0" collapsed="false">
      <c r="A40" s="218"/>
      <c r="B40" s="251"/>
      <c r="C40" s="251"/>
      <c r="D40" s="251"/>
      <c r="E40" s="251"/>
      <c r="F40" s="251"/>
      <c r="G40" s="252"/>
      <c r="H40" s="252"/>
      <c r="I40" s="212" t="s">
        <v>4722</v>
      </c>
      <c r="J40" s="212" t="s">
        <v>7047</v>
      </c>
      <c r="K40" s="250" t="n">
        <v>837.32</v>
      </c>
    </row>
    <row r="41" customFormat="false" ht="13.8" hidden="false" customHeight="false" outlineLevel="0" collapsed="false">
      <c r="A41" s="218"/>
      <c r="B41" s="251"/>
      <c r="C41" s="251"/>
      <c r="D41" s="252"/>
      <c r="E41" s="252"/>
      <c r="F41" s="252"/>
      <c r="G41" s="212" t="n">
        <v>400</v>
      </c>
      <c r="H41" s="212" t="s">
        <v>120</v>
      </c>
      <c r="I41" s="212" t="s">
        <v>4529</v>
      </c>
      <c r="J41" s="212" t="s">
        <v>7046</v>
      </c>
      <c r="K41" s="250" t="n">
        <v>593.72</v>
      </c>
    </row>
    <row r="42" customFormat="false" ht="13.8" hidden="false" customHeight="false" outlineLevel="0" collapsed="false">
      <c r="A42" s="218"/>
      <c r="B42" s="252"/>
      <c r="C42" s="252"/>
      <c r="D42" s="212" t="s">
        <v>6521</v>
      </c>
      <c r="E42" s="212" t="s">
        <v>117</v>
      </c>
      <c r="F42" s="212" t="s">
        <v>2224</v>
      </c>
      <c r="G42" s="212" t="n">
        <v>500</v>
      </c>
      <c r="H42" s="212" t="s">
        <v>120</v>
      </c>
      <c r="I42" s="212" t="s">
        <v>6520</v>
      </c>
      <c r="J42" s="212" t="s">
        <v>7051</v>
      </c>
      <c r="K42" s="250" t="n">
        <v>247.17</v>
      </c>
    </row>
    <row r="43" customFormat="false" ht="13.8" hidden="false" customHeight="false" outlineLevel="0" collapsed="false">
      <c r="A43" s="222"/>
      <c r="B43" s="261" t="s">
        <v>7057</v>
      </c>
      <c r="C43" s="224"/>
      <c r="D43" s="224"/>
      <c r="E43" s="224"/>
      <c r="F43" s="224"/>
      <c r="G43" s="224"/>
      <c r="H43" s="224"/>
      <c r="I43" s="224"/>
      <c r="J43" s="225"/>
      <c r="K43" s="217" t="n">
        <v>1975.2</v>
      </c>
    </row>
    <row r="44" customFormat="false" ht="13.8" hidden="false" customHeight="false" outlineLevel="0" collapsed="false">
      <c r="A44" s="223" t="s">
        <v>7024</v>
      </c>
      <c r="B44" s="224"/>
      <c r="C44" s="224"/>
      <c r="D44" s="224"/>
      <c r="E44" s="224"/>
      <c r="F44" s="224"/>
      <c r="G44" s="224"/>
      <c r="H44" s="224"/>
      <c r="I44" s="224"/>
      <c r="J44" s="225"/>
      <c r="K44" s="217" t="n">
        <v>5365.05</v>
      </c>
    </row>
    <row r="45" customFormat="false" ht="13.8" hidden="false" customHeight="false" outlineLevel="0" collapsed="false">
      <c r="A45" s="229" t="s">
        <v>7025</v>
      </c>
      <c r="B45" s="230"/>
      <c r="C45" s="230"/>
      <c r="D45" s="230"/>
      <c r="E45" s="230"/>
      <c r="F45" s="230"/>
      <c r="G45" s="230"/>
      <c r="H45" s="230"/>
      <c r="I45" s="230"/>
      <c r="J45" s="231"/>
      <c r="K45" s="236" t="n">
        <v>5365.05</v>
      </c>
    </row>
  </sheetData>
  <printOptions headings="false" gridLines="false" gridLinesSet="true" horizontalCentered="true" verticalCentered="false"/>
  <pageMargins left="0" right="0" top="0.7875" bottom="0.7875" header="0.511811023622047" footer="0.315277777777778"/>
  <pageSetup paperSize="9" scale="60" fitToWidth="1" fitToHeight="1" pageOrder="downThenOver" orientation="portrait" blackAndWhite="false" draft="false" cellComments="none" horizontalDpi="300" verticalDpi="300" copies="1"/>
  <headerFooter differentFirst="false" differentOddEven="false">
    <oddHeader/>
    <oddFooter>&amp;L&amp;A&amp;R&amp;P -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65"/>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pane xSplit="0" ySplit="5" topLeftCell="A87" activePane="bottomLeft" state="frozen"/>
      <selection pane="topLeft" activeCell="B1" activeCellId="0" sqref="B1"/>
      <selection pane="bottomLeft" activeCell="F4" activeCellId="0" sqref="F4"/>
    </sheetView>
  </sheetViews>
  <sheetFormatPr defaultColWidth="8.88671875" defaultRowHeight="13.8" zeroHeight="false" outlineLevelRow="0" outlineLevelCol="0"/>
  <cols>
    <col collapsed="false" customWidth="true" hidden="false" outlineLevel="0" max="1" min="1" style="237" width="20"/>
    <col collapsed="false" customWidth="true" hidden="false" outlineLevel="0" max="2" min="2" style="262" width="36.76"/>
    <col collapsed="false" customWidth="true" hidden="false" outlineLevel="0" max="3" min="3" style="253" width="22.22"/>
    <col collapsed="false" customWidth="true" hidden="false" outlineLevel="0" max="4" min="4" style="253" width="36.22"/>
    <col collapsed="false" customWidth="true" hidden="false" outlineLevel="0" max="5" min="5" style="237" width="20.22"/>
    <col collapsed="false" customWidth="true" hidden="false" outlineLevel="0" max="6" min="6" style="237" width="18.56"/>
    <col collapsed="false" customWidth="true" hidden="false" outlineLevel="0" max="7" min="7" style="237" width="14.67"/>
    <col collapsed="false" customWidth="true" hidden="false" outlineLevel="0" max="8" min="8" style="237" width="11.11"/>
    <col collapsed="false" customWidth="true" hidden="false" outlineLevel="0" max="9" min="9" style="237" width="15.78"/>
    <col collapsed="false" customWidth="true" hidden="false" outlineLevel="0" max="11" min="10" style="237" width="19.21"/>
    <col collapsed="false" customWidth="true" hidden="false" outlineLevel="0" max="77" min="12" style="237" width="11.44"/>
    <col collapsed="false" customWidth="true" hidden="false" outlineLevel="0" max="78" min="78" style="237" width="10.44"/>
    <col collapsed="false" customWidth="false" hidden="false" outlineLevel="0" max="16384" min="79" style="237" width="8.88"/>
  </cols>
  <sheetData>
    <row r="1" customFormat="false" ht="19.95" hidden="false" customHeight="true" outlineLevel="0" collapsed="false">
      <c r="A1" s="238" t="s">
        <v>7054</v>
      </c>
      <c r="B1" s="239"/>
      <c r="C1" s="254"/>
      <c r="D1" s="254"/>
      <c r="E1" s="239"/>
      <c r="F1" s="175" t="s">
        <v>2</v>
      </c>
      <c r="G1" s="176"/>
      <c r="H1" s="175" t="s">
        <v>1475</v>
      </c>
      <c r="I1" s="13"/>
    </row>
    <row r="2" customFormat="false" ht="19.95" hidden="false" customHeight="true" outlineLevel="0" collapsed="false">
      <c r="A2" s="240"/>
      <c r="B2" s="241"/>
      <c r="C2" s="255"/>
      <c r="D2" s="255"/>
      <c r="E2" s="241"/>
      <c r="F2" s="256" t="s">
        <v>1476</v>
      </c>
      <c r="G2" s="180"/>
      <c r="H2" s="179" t="n">
        <v>46308</v>
      </c>
      <c r="I2" s="257"/>
    </row>
    <row r="3" customFormat="false" ht="19.95" hidden="false" customHeight="true" outlineLevel="0" collapsed="false">
      <c r="A3" s="243" t="s">
        <v>7</v>
      </c>
      <c r="B3" s="115"/>
      <c r="D3" s="183"/>
      <c r="E3" s="183"/>
      <c r="F3" s="184"/>
      <c r="G3" s="185"/>
      <c r="H3" s="186" t="s">
        <v>1477</v>
      </c>
      <c r="I3" s="259"/>
    </row>
    <row r="4" customFormat="false" ht="19.95" hidden="false" customHeight="true" outlineLevel="0" collapsed="false">
      <c r="A4" s="30" t="s">
        <v>13</v>
      </c>
      <c r="B4" s="245"/>
      <c r="C4" s="31"/>
      <c r="D4" s="31"/>
      <c r="E4" s="245"/>
      <c r="F4" s="32"/>
      <c r="G4" s="189"/>
      <c r="H4" s="190" t="s">
        <v>1478</v>
      </c>
      <c r="I4" s="260"/>
    </row>
    <row r="5" customFormat="false" ht="13.8" hidden="false" customHeight="false" outlineLevel="0" collapsed="false">
      <c r="A5" s="247" t="s">
        <v>1481</v>
      </c>
      <c r="B5" s="196" t="s">
        <v>28</v>
      </c>
      <c r="C5" s="196" t="s">
        <v>1493</v>
      </c>
      <c r="D5" s="196" t="s">
        <v>1494</v>
      </c>
      <c r="E5" s="196" t="s">
        <v>21</v>
      </c>
      <c r="F5" s="196" t="s">
        <v>1487</v>
      </c>
      <c r="G5" s="196" t="s">
        <v>26</v>
      </c>
      <c r="H5" s="196" t="s">
        <v>33</v>
      </c>
      <c r="I5" s="248" t="s">
        <v>7028</v>
      </c>
    </row>
    <row r="6" customFormat="false" ht="13.8" hidden="false" customHeight="false" outlineLevel="0" collapsed="false">
      <c r="A6" s="211" t="s">
        <v>2224</v>
      </c>
      <c r="B6" s="249" t="s">
        <v>6</v>
      </c>
      <c r="C6" s="249" t="s">
        <v>1594</v>
      </c>
      <c r="D6" s="212" t="s">
        <v>6525</v>
      </c>
      <c r="E6" s="212" t="s">
        <v>117</v>
      </c>
      <c r="F6" s="212" t="s">
        <v>6524</v>
      </c>
      <c r="G6" s="212" t="n">
        <v>500</v>
      </c>
      <c r="H6" s="212" t="s">
        <v>120</v>
      </c>
      <c r="I6" s="250" t="n">
        <v>96.08</v>
      </c>
    </row>
    <row r="7" customFormat="false" ht="13.8" hidden="false" customHeight="false" outlineLevel="0" collapsed="false">
      <c r="A7" s="218"/>
      <c r="B7" s="251"/>
      <c r="C7" s="251"/>
      <c r="D7" s="249" t="s">
        <v>3251</v>
      </c>
      <c r="E7" s="249" t="s">
        <v>117</v>
      </c>
      <c r="F7" s="212" t="s">
        <v>6070</v>
      </c>
      <c r="G7" s="212" t="n">
        <v>500</v>
      </c>
      <c r="H7" s="212" t="s">
        <v>120</v>
      </c>
      <c r="I7" s="250" t="n">
        <v>13.13</v>
      </c>
    </row>
    <row r="8" customFormat="false" ht="13.8" hidden="false" customHeight="false" outlineLevel="0" collapsed="false">
      <c r="A8" s="218"/>
      <c r="B8" s="251"/>
      <c r="C8" s="251"/>
      <c r="D8" s="251"/>
      <c r="E8" s="251"/>
      <c r="F8" s="212" t="s">
        <v>6074</v>
      </c>
      <c r="G8" s="212" t="n">
        <v>400</v>
      </c>
      <c r="H8" s="212" t="s">
        <v>120</v>
      </c>
      <c r="I8" s="250" t="n">
        <v>15.21</v>
      </c>
    </row>
    <row r="9" customFormat="false" ht="13.8" hidden="false" customHeight="false" outlineLevel="0" collapsed="false">
      <c r="A9" s="218"/>
      <c r="B9" s="251"/>
      <c r="C9" s="251"/>
      <c r="D9" s="251"/>
      <c r="E9" s="251"/>
      <c r="F9" s="212" t="s">
        <v>6077</v>
      </c>
      <c r="G9" s="212" t="n">
        <v>500</v>
      </c>
      <c r="H9" s="212" t="s">
        <v>120</v>
      </c>
      <c r="I9" s="250" t="n">
        <v>137.91</v>
      </c>
    </row>
    <row r="10" customFormat="false" ht="13.8" hidden="false" customHeight="false" outlineLevel="0" collapsed="false">
      <c r="A10" s="218"/>
      <c r="B10" s="251"/>
      <c r="C10" s="251"/>
      <c r="D10" s="251"/>
      <c r="E10" s="251"/>
      <c r="F10" s="212" t="s">
        <v>6389</v>
      </c>
      <c r="G10" s="212" t="n">
        <v>500</v>
      </c>
      <c r="H10" s="212" t="s">
        <v>120</v>
      </c>
      <c r="I10" s="250" t="n">
        <v>23.24</v>
      </c>
    </row>
    <row r="11" customFormat="false" ht="13.8" hidden="false" customHeight="false" outlineLevel="0" collapsed="false">
      <c r="A11" s="218"/>
      <c r="B11" s="251"/>
      <c r="C11" s="251"/>
      <c r="D11" s="252"/>
      <c r="E11" s="252"/>
      <c r="F11" s="212" t="s">
        <v>6513</v>
      </c>
      <c r="G11" s="212" t="n">
        <v>500</v>
      </c>
      <c r="H11" s="212" t="s">
        <v>120</v>
      </c>
      <c r="I11" s="250" t="n">
        <v>42.04</v>
      </c>
    </row>
    <row r="12" customFormat="false" ht="13.8" hidden="false" customHeight="false" outlineLevel="0" collapsed="false">
      <c r="A12" s="218"/>
      <c r="B12" s="251"/>
      <c r="C12" s="251"/>
      <c r="D12" s="249" t="s">
        <v>2387</v>
      </c>
      <c r="E12" s="249" t="s">
        <v>117</v>
      </c>
      <c r="F12" s="212" t="s">
        <v>5237</v>
      </c>
      <c r="G12" s="212" t="n">
        <v>355</v>
      </c>
      <c r="H12" s="212" t="s">
        <v>120</v>
      </c>
      <c r="I12" s="250" t="n">
        <v>13.65</v>
      </c>
    </row>
    <row r="13" customFormat="false" ht="13.8" hidden="false" customHeight="false" outlineLevel="0" collapsed="false">
      <c r="A13" s="218"/>
      <c r="B13" s="251"/>
      <c r="C13" s="251"/>
      <c r="D13" s="251"/>
      <c r="E13" s="251"/>
      <c r="F13" s="212" t="s">
        <v>5241</v>
      </c>
      <c r="G13" s="212" t="n">
        <v>500</v>
      </c>
      <c r="H13" s="212" t="s">
        <v>120</v>
      </c>
      <c r="I13" s="250" t="n">
        <v>3.7</v>
      </c>
    </row>
    <row r="14" customFormat="false" ht="13.8" hidden="false" customHeight="false" outlineLevel="0" collapsed="false">
      <c r="A14" s="218"/>
      <c r="B14" s="251"/>
      <c r="C14" s="251"/>
      <c r="D14" s="251"/>
      <c r="E14" s="251"/>
      <c r="F14" s="212" t="s">
        <v>5245</v>
      </c>
      <c r="G14" s="212" t="n">
        <v>500</v>
      </c>
      <c r="H14" s="212" t="s">
        <v>120</v>
      </c>
      <c r="I14" s="250" t="n">
        <v>3.73</v>
      </c>
    </row>
    <row r="15" customFormat="false" ht="13.8" hidden="false" customHeight="false" outlineLevel="0" collapsed="false">
      <c r="A15" s="218"/>
      <c r="B15" s="251"/>
      <c r="C15" s="251"/>
      <c r="D15" s="251"/>
      <c r="E15" s="251"/>
      <c r="F15" s="212" t="s">
        <v>5248</v>
      </c>
      <c r="G15" s="212" t="n">
        <v>500</v>
      </c>
      <c r="H15" s="212" t="s">
        <v>120</v>
      </c>
      <c r="I15" s="250" t="n">
        <v>18.96</v>
      </c>
    </row>
    <row r="16" customFormat="false" ht="13.8" hidden="false" customHeight="false" outlineLevel="0" collapsed="false">
      <c r="A16" s="218"/>
      <c r="B16" s="251"/>
      <c r="C16" s="251"/>
      <c r="D16" s="251"/>
      <c r="E16" s="251"/>
      <c r="F16" s="212" t="s">
        <v>5983</v>
      </c>
      <c r="G16" s="212" t="n">
        <v>355</v>
      </c>
      <c r="H16" s="212" t="s">
        <v>120</v>
      </c>
      <c r="I16" s="250" t="n">
        <v>7.31</v>
      </c>
    </row>
    <row r="17" customFormat="false" ht="13.8" hidden="false" customHeight="false" outlineLevel="0" collapsed="false">
      <c r="A17" s="218"/>
      <c r="B17" s="251"/>
      <c r="C17" s="251"/>
      <c r="D17" s="252"/>
      <c r="E17" s="252"/>
      <c r="F17" s="212" t="s">
        <v>5987</v>
      </c>
      <c r="G17" s="212" t="n">
        <v>355</v>
      </c>
      <c r="H17" s="212" t="s">
        <v>120</v>
      </c>
      <c r="I17" s="250" t="n">
        <v>132.17</v>
      </c>
    </row>
    <row r="18" customFormat="false" ht="13.8" hidden="false" customHeight="false" outlineLevel="0" collapsed="false">
      <c r="A18" s="218"/>
      <c r="B18" s="251"/>
      <c r="C18" s="251"/>
      <c r="D18" s="212" t="s">
        <v>3516</v>
      </c>
      <c r="E18" s="212" t="s">
        <v>117</v>
      </c>
      <c r="F18" s="212" t="s">
        <v>4824</v>
      </c>
      <c r="G18" s="212" t="n">
        <v>315</v>
      </c>
      <c r="H18" s="212" t="s">
        <v>120</v>
      </c>
      <c r="I18" s="250" t="n">
        <v>183.65</v>
      </c>
    </row>
    <row r="19" customFormat="false" ht="13.8" hidden="false" customHeight="false" outlineLevel="0" collapsed="false">
      <c r="A19" s="218"/>
      <c r="B19" s="251"/>
      <c r="C19" s="251"/>
      <c r="D19" s="249" t="s">
        <v>2242</v>
      </c>
      <c r="E19" s="249" t="s">
        <v>117</v>
      </c>
      <c r="F19" s="212" t="s">
        <v>2241</v>
      </c>
      <c r="G19" s="212" t="n">
        <v>280</v>
      </c>
      <c r="H19" s="212" t="s">
        <v>120</v>
      </c>
      <c r="I19" s="250" t="n">
        <v>38.44</v>
      </c>
    </row>
    <row r="20" customFormat="false" ht="13.8" hidden="false" customHeight="false" outlineLevel="0" collapsed="false">
      <c r="A20" s="218"/>
      <c r="B20" s="251"/>
      <c r="C20" s="251"/>
      <c r="D20" s="252"/>
      <c r="E20" s="252"/>
      <c r="F20" s="212" t="s">
        <v>4821</v>
      </c>
      <c r="G20" s="212" t="n">
        <v>315</v>
      </c>
      <c r="H20" s="212" t="s">
        <v>120</v>
      </c>
      <c r="I20" s="250" t="n">
        <v>101.13</v>
      </c>
    </row>
    <row r="21" customFormat="false" ht="13.8" hidden="false" customHeight="false" outlineLevel="0" collapsed="false">
      <c r="A21" s="218"/>
      <c r="B21" s="251"/>
      <c r="C21" s="251"/>
      <c r="D21" s="249" t="s">
        <v>4968</v>
      </c>
      <c r="E21" s="249" t="s">
        <v>117</v>
      </c>
      <c r="F21" s="212" t="s">
        <v>5113</v>
      </c>
      <c r="G21" s="212" t="n">
        <v>315</v>
      </c>
      <c r="H21" s="212" t="s">
        <v>120</v>
      </c>
      <c r="I21" s="250" t="n">
        <v>1.72</v>
      </c>
    </row>
    <row r="22" customFormat="false" ht="13.8" hidden="false" customHeight="false" outlineLevel="0" collapsed="false">
      <c r="A22" s="218"/>
      <c r="B22" s="251"/>
      <c r="C22" s="251"/>
      <c r="D22" s="252"/>
      <c r="E22" s="252"/>
      <c r="F22" s="212" t="s">
        <v>5116</v>
      </c>
      <c r="G22" s="212" t="n">
        <v>355</v>
      </c>
      <c r="H22" s="212" t="s">
        <v>120</v>
      </c>
      <c r="I22" s="250" t="n">
        <v>530.78</v>
      </c>
    </row>
    <row r="23" customFormat="false" ht="13.8" hidden="false" customHeight="false" outlineLevel="0" collapsed="false">
      <c r="A23" s="218"/>
      <c r="B23" s="251"/>
      <c r="C23" s="251"/>
      <c r="D23" s="249" t="s">
        <v>3788</v>
      </c>
      <c r="E23" s="249" t="s">
        <v>117</v>
      </c>
      <c r="F23" s="212" t="s">
        <v>3794</v>
      </c>
      <c r="G23" s="212" t="n">
        <v>315</v>
      </c>
      <c r="H23" s="212" t="s">
        <v>120</v>
      </c>
      <c r="I23" s="250" t="n">
        <v>193.56</v>
      </c>
    </row>
    <row r="24" customFormat="false" ht="13.8" hidden="false" customHeight="false" outlineLevel="0" collapsed="false">
      <c r="A24" s="218"/>
      <c r="B24" s="251"/>
      <c r="C24" s="251"/>
      <c r="D24" s="252"/>
      <c r="E24" s="252"/>
      <c r="F24" s="212" t="s">
        <v>3802</v>
      </c>
      <c r="G24" s="212" t="n">
        <v>315</v>
      </c>
      <c r="H24" s="212" t="s">
        <v>120</v>
      </c>
      <c r="I24" s="250" t="n">
        <v>419.47</v>
      </c>
    </row>
    <row r="25" customFormat="false" ht="13.8" hidden="false" customHeight="false" outlineLevel="0" collapsed="false">
      <c r="A25" s="218"/>
      <c r="B25" s="251"/>
      <c r="C25" s="251"/>
      <c r="D25" s="212" t="s">
        <v>4452</v>
      </c>
      <c r="E25" s="212" t="s">
        <v>117</v>
      </c>
      <c r="F25" s="212" t="s">
        <v>4450</v>
      </c>
      <c r="G25" s="212" t="n">
        <v>500</v>
      </c>
      <c r="H25" s="212" t="s">
        <v>120</v>
      </c>
      <c r="I25" s="250" t="n">
        <v>539.54</v>
      </c>
    </row>
    <row r="26" customFormat="false" ht="13.8" hidden="false" customHeight="false" outlineLevel="0" collapsed="false">
      <c r="A26" s="218"/>
      <c r="B26" s="251"/>
      <c r="C26" s="251"/>
      <c r="D26" s="212" t="s">
        <v>2237</v>
      </c>
      <c r="E26" s="212" t="s">
        <v>117</v>
      </c>
      <c r="F26" s="212" t="s">
        <v>2236</v>
      </c>
      <c r="G26" s="212" t="n">
        <v>280</v>
      </c>
      <c r="H26" s="212" t="s">
        <v>120</v>
      </c>
      <c r="I26" s="250" t="n">
        <v>9.11</v>
      </c>
    </row>
    <row r="27" customFormat="false" ht="13.8" hidden="false" customHeight="false" outlineLevel="0" collapsed="false">
      <c r="A27" s="218"/>
      <c r="B27" s="251"/>
      <c r="C27" s="251"/>
      <c r="D27" s="212" t="s">
        <v>4828</v>
      </c>
      <c r="E27" s="212" t="s">
        <v>117</v>
      </c>
      <c r="F27" s="212" t="s">
        <v>4827</v>
      </c>
      <c r="G27" s="212" t="n">
        <v>315</v>
      </c>
      <c r="H27" s="212" t="s">
        <v>120</v>
      </c>
      <c r="I27" s="250" t="n">
        <v>136.91</v>
      </c>
    </row>
    <row r="28" customFormat="false" ht="13.8" hidden="false" customHeight="false" outlineLevel="0" collapsed="false">
      <c r="A28" s="218"/>
      <c r="B28" s="251"/>
      <c r="C28" s="251"/>
      <c r="D28" s="249" t="s">
        <v>7055</v>
      </c>
      <c r="E28" s="249" t="s">
        <v>117</v>
      </c>
      <c r="F28" s="212" t="s">
        <v>2225</v>
      </c>
      <c r="G28" s="212" t="n">
        <v>280</v>
      </c>
      <c r="H28" s="212" t="s">
        <v>120</v>
      </c>
      <c r="I28" s="250" t="n">
        <v>157.36</v>
      </c>
    </row>
    <row r="29" customFormat="false" ht="13.8" hidden="false" customHeight="false" outlineLevel="0" collapsed="false">
      <c r="A29" s="218"/>
      <c r="B29" s="251"/>
      <c r="C29" s="251"/>
      <c r="D29" s="251"/>
      <c r="E29" s="251"/>
      <c r="F29" s="212" t="s">
        <v>2245</v>
      </c>
      <c r="G29" s="212" t="n">
        <v>280</v>
      </c>
      <c r="H29" s="212" t="s">
        <v>120</v>
      </c>
      <c r="I29" s="250" t="n">
        <v>217.08</v>
      </c>
    </row>
    <row r="30" customFormat="false" ht="13.8" hidden="false" customHeight="false" outlineLevel="0" collapsed="false">
      <c r="A30" s="218"/>
      <c r="B30" s="251"/>
      <c r="C30" s="251"/>
      <c r="D30" s="251"/>
      <c r="E30" s="251"/>
      <c r="F30" s="212" t="s">
        <v>2486</v>
      </c>
      <c r="G30" s="212" t="n">
        <v>280</v>
      </c>
      <c r="H30" s="212" t="s">
        <v>120</v>
      </c>
      <c r="I30" s="250" t="n">
        <v>11.6</v>
      </c>
    </row>
    <row r="31" customFormat="false" ht="13.8" hidden="false" customHeight="false" outlineLevel="0" collapsed="false">
      <c r="A31" s="218"/>
      <c r="B31" s="251"/>
      <c r="C31" s="251"/>
      <c r="D31" s="251"/>
      <c r="E31" s="251"/>
      <c r="F31" s="212" t="s">
        <v>4806</v>
      </c>
      <c r="G31" s="212" t="n">
        <v>280</v>
      </c>
      <c r="H31" s="212" t="s">
        <v>120</v>
      </c>
      <c r="I31" s="250" t="n">
        <v>10.66</v>
      </c>
    </row>
    <row r="32" customFormat="false" ht="13.8" hidden="false" customHeight="false" outlineLevel="0" collapsed="false">
      <c r="A32" s="218"/>
      <c r="B32" s="251"/>
      <c r="C32" s="251"/>
      <c r="D32" s="251"/>
      <c r="E32" s="251"/>
      <c r="F32" s="212" t="s">
        <v>4809</v>
      </c>
      <c r="G32" s="212" t="n">
        <v>280</v>
      </c>
      <c r="H32" s="212" t="s">
        <v>120</v>
      </c>
      <c r="I32" s="250" t="n">
        <v>1.95</v>
      </c>
    </row>
    <row r="33" customFormat="false" ht="13.8" hidden="false" customHeight="false" outlineLevel="0" collapsed="false">
      <c r="A33" s="218"/>
      <c r="B33" s="251"/>
      <c r="C33" s="251"/>
      <c r="D33" s="251"/>
      <c r="E33" s="251"/>
      <c r="F33" s="212" t="s">
        <v>4813</v>
      </c>
      <c r="G33" s="212" t="n">
        <v>280</v>
      </c>
      <c r="H33" s="212" t="s">
        <v>120</v>
      </c>
      <c r="I33" s="250" t="n">
        <v>17.65</v>
      </c>
    </row>
    <row r="34" customFormat="false" ht="13.8" hidden="false" customHeight="false" outlineLevel="0" collapsed="false">
      <c r="A34" s="218"/>
      <c r="B34" s="251"/>
      <c r="C34" s="251"/>
      <c r="D34" s="251"/>
      <c r="E34" s="251"/>
      <c r="F34" s="212" t="s">
        <v>4817</v>
      </c>
      <c r="G34" s="212" t="n">
        <v>315</v>
      </c>
      <c r="H34" s="212" t="s">
        <v>120</v>
      </c>
      <c r="I34" s="250" t="n">
        <v>2.69</v>
      </c>
    </row>
    <row r="35" customFormat="false" ht="13.8" hidden="false" customHeight="false" outlineLevel="0" collapsed="false">
      <c r="A35" s="218"/>
      <c r="B35" s="251"/>
      <c r="C35" s="251"/>
      <c r="D35" s="251"/>
      <c r="E35" s="251"/>
      <c r="F35" s="212" t="s">
        <v>6529</v>
      </c>
      <c r="G35" s="212" t="n">
        <v>500</v>
      </c>
      <c r="H35" s="212" t="s">
        <v>120</v>
      </c>
      <c r="I35" s="250" t="n">
        <v>293.89</v>
      </c>
    </row>
    <row r="36" customFormat="false" ht="13.8" hidden="false" customHeight="false" outlineLevel="0" collapsed="false">
      <c r="A36" s="218"/>
      <c r="B36" s="251"/>
      <c r="C36" s="251"/>
      <c r="D36" s="251"/>
      <c r="E36" s="251"/>
      <c r="F36" s="212" t="s">
        <v>6533</v>
      </c>
      <c r="G36" s="212" t="n">
        <v>500</v>
      </c>
      <c r="H36" s="212" t="s">
        <v>120</v>
      </c>
      <c r="I36" s="250" t="n">
        <v>13.13</v>
      </c>
    </row>
    <row r="37" customFormat="false" ht="13.8" hidden="false" customHeight="false" outlineLevel="0" collapsed="false">
      <c r="A37" s="218"/>
      <c r="B37" s="251"/>
      <c r="C37" s="252"/>
      <c r="D37" s="252"/>
      <c r="E37" s="252"/>
      <c r="F37" s="212" t="s">
        <v>6536</v>
      </c>
      <c r="G37" s="212" t="n">
        <v>500</v>
      </c>
      <c r="H37" s="212" t="s">
        <v>120</v>
      </c>
      <c r="I37" s="250" t="n">
        <v>2.4</v>
      </c>
    </row>
    <row r="38" customFormat="false" ht="13.8" hidden="false" customHeight="false" outlineLevel="0" collapsed="false">
      <c r="A38" s="218"/>
      <c r="B38" s="251"/>
      <c r="C38" s="261" t="s">
        <v>7056</v>
      </c>
      <c r="D38" s="224"/>
      <c r="E38" s="224"/>
      <c r="F38" s="224"/>
      <c r="G38" s="224"/>
      <c r="H38" s="225"/>
      <c r="I38" s="217" t="n">
        <v>3389.85</v>
      </c>
    </row>
    <row r="39" customFormat="false" ht="13.8" hidden="false" customHeight="false" outlineLevel="0" collapsed="false">
      <c r="A39" s="218"/>
      <c r="B39" s="251"/>
      <c r="C39" s="249" t="s">
        <v>3938</v>
      </c>
      <c r="D39" s="249" t="s">
        <v>2117</v>
      </c>
      <c r="E39" s="249" t="s">
        <v>117</v>
      </c>
      <c r="F39" s="212" t="s">
        <v>4290</v>
      </c>
      <c r="G39" s="212" t="n">
        <v>315</v>
      </c>
      <c r="H39" s="212" t="s">
        <v>120</v>
      </c>
      <c r="I39" s="250" t="n">
        <v>296.99</v>
      </c>
    </row>
    <row r="40" customFormat="false" ht="13.8" hidden="false" customHeight="false" outlineLevel="0" collapsed="false">
      <c r="A40" s="218"/>
      <c r="B40" s="251"/>
      <c r="C40" s="251"/>
      <c r="D40" s="251"/>
      <c r="E40" s="251"/>
      <c r="F40" s="212" t="s">
        <v>4529</v>
      </c>
      <c r="G40" s="212" t="n">
        <v>400</v>
      </c>
      <c r="H40" s="212" t="s">
        <v>120</v>
      </c>
      <c r="I40" s="250" t="n">
        <v>593.72</v>
      </c>
    </row>
    <row r="41" customFormat="false" ht="13.8" hidden="false" customHeight="false" outlineLevel="0" collapsed="false">
      <c r="A41" s="218"/>
      <c r="B41" s="251"/>
      <c r="C41" s="251"/>
      <c r="D41" s="252"/>
      <c r="E41" s="252"/>
      <c r="F41" s="212" t="s">
        <v>4722</v>
      </c>
      <c r="G41" s="212" t="n">
        <v>315</v>
      </c>
      <c r="H41" s="212" t="s">
        <v>120</v>
      </c>
      <c r="I41" s="250" t="n">
        <v>837.32</v>
      </c>
    </row>
    <row r="42" customFormat="false" ht="13.8" hidden="false" customHeight="false" outlineLevel="0" collapsed="false">
      <c r="A42" s="218"/>
      <c r="B42" s="251"/>
      <c r="C42" s="252"/>
      <c r="D42" s="212" t="s">
        <v>6521</v>
      </c>
      <c r="E42" s="212" t="s">
        <v>117</v>
      </c>
      <c r="F42" s="212" t="s">
        <v>6520</v>
      </c>
      <c r="G42" s="212" t="n">
        <v>500</v>
      </c>
      <c r="H42" s="212" t="s">
        <v>120</v>
      </c>
      <c r="I42" s="250" t="n">
        <v>247.17</v>
      </c>
    </row>
    <row r="43" customFormat="false" ht="13.8" hidden="false" customHeight="false" outlineLevel="0" collapsed="false">
      <c r="A43" s="222"/>
      <c r="B43" s="252"/>
      <c r="C43" s="261" t="s">
        <v>7057</v>
      </c>
      <c r="D43" s="224"/>
      <c r="E43" s="224"/>
      <c r="F43" s="224"/>
      <c r="G43" s="224"/>
      <c r="H43" s="225"/>
      <c r="I43" s="217" t="n">
        <v>1975.2</v>
      </c>
    </row>
    <row r="44" customFormat="false" ht="13.8" hidden="false" customHeight="false" outlineLevel="0" collapsed="false">
      <c r="A44" s="211" t="s">
        <v>1547</v>
      </c>
      <c r="B44" s="249" t="s">
        <v>6</v>
      </c>
      <c r="C44" s="249" t="s">
        <v>1759</v>
      </c>
      <c r="D44" s="249" t="s">
        <v>7055</v>
      </c>
      <c r="E44" s="249" t="s">
        <v>117</v>
      </c>
      <c r="F44" s="212" t="s">
        <v>1758</v>
      </c>
      <c r="G44" s="212" t="n">
        <v>63</v>
      </c>
      <c r="H44" s="212" t="s">
        <v>120</v>
      </c>
      <c r="I44" s="250" t="n">
        <v>47.06</v>
      </c>
    </row>
    <row r="45" customFormat="false" ht="13.8" hidden="false" customHeight="false" outlineLevel="0" collapsed="false">
      <c r="A45" s="218"/>
      <c r="B45" s="251"/>
      <c r="C45" s="252"/>
      <c r="D45" s="252"/>
      <c r="E45" s="252"/>
      <c r="F45" s="212" t="s">
        <v>1768</v>
      </c>
      <c r="G45" s="212" t="n">
        <v>63</v>
      </c>
      <c r="H45" s="212" t="s">
        <v>120</v>
      </c>
      <c r="I45" s="250" t="n">
        <v>0.59</v>
      </c>
    </row>
    <row r="46" customFormat="false" ht="13.8" hidden="false" customHeight="false" outlineLevel="0" collapsed="false">
      <c r="A46" s="218"/>
      <c r="B46" s="251"/>
      <c r="C46" s="261" t="s">
        <v>7058</v>
      </c>
      <c r="D46" s="224"/>
      <c r="E46" s="224"/>
      <c r="F46" s="224"/>
      <c r="G46" s="224"/>
      <c r="H46" s="225"/>
      <c r="I46" s="217" t="n">
        <v>47.65</v>
      </c>
    </row>
    <row r="47" customFormat="false" ht="13.8" hidden="false" customHeight="false" outlineLevel="0" collapsed="false">
      <c r="A47" s="218"/>
      <c r="B47" s="251"/>
      <c r="C47" s="249" t="s">
        <v>1556</v>
      </c>
      <c r="D47" s="249" t="s">
        <v>1772</v>
      </c>
      <c r="E47" s="249" t="s">
        <v>117</v>
      </c>
      <c r="F47" s="212" t="s">
        <v>1771</v>
      </c>
      <c r="G47" s="212" t="n">
        <v>63</v>
      </c>
      <c r="H47" s="212" t="s">
        <v>120</v>
      </c>
      <c r="I47" s="250" t="n">
        <v>144.02</v>
      </c>
    </row>
    <row r="48" customFormat="false" ht="13.8" hidden="false" customHeight="false" outlineLevel="0" collapsed="false">
      <c r="A48" s="218"/>
      <c r="B48" s="251"/>
      <c r="C48" s="251"/>
      <c r="D48" s="251"/>
      <c r="E48" s="251"/>
      <c r="F48" s="212" t="s">
        <v>1786</v>
      </c>
      <c r="G48" s="212" t="n">
        <v>63</v>
      </c>
      <c r="H48" s="212" t="s">
        <v>120</v>
      </c>
      <c r="I48" s="250" t="n">
        <v>146.23</v>
      </c>
    </row>
    <row r="49" customFormat="false" ht="13.8" hidden="false" customHeight="false" outlineLevel="0" collapsed="false">
      <c r="A49" s="218"/>
      <c r="B49" s="251"/>
      <c r="C49" s="251"/>
      <c r="D49" s="251"/>
      <c r="E49" s="251"/>
      <c r="F49" s="212" t="s">
        <v>1794</v>
      </c>
      <c r="G49" s="212" t="n">
        <v>63</v>
      </c>
      <c r="H49" s="212" t="s">
        <v>120</v>
      </c>
      <c r="I49" s="250" t="n">
        <v>2.47</v>
      </c>
    </row>
    <row r="50" customFormat="false" ht="13.8" hidden="false" customHeight="false" outlineLevel="0" collapsed="false">
      <c r="A50" s="218"/>
      <c r="B50" s="251"/>
      <c r="C50" s="251"/>
      <c r="D50" s="251"/>
      <c r="E50" s="251"/>
      <c r="F50" s="212" t="s">
        <v>1801</v>
      </c>
      <c r="G50" s="212" t="n">
        <v>63</v>
      </c>
      <c r="H50" s="212" t="s">
        <v>120</v>
      </c>
      <c r="I50" s="250" t="n">
        <v>43.36</v>
      </c>
    </row>
    <row r="51" customFormat="false" ht="13.8" hidden="false" customHeight="false" outlineLevel="0" collapsed="false">
      <c r="A51" s="218"/>
      <c r="B51" s="251"/>
      <c r="C51" s="251"/>
      <c r="D51" s="251"/>
      <c r="E51" s="251"/>
      <c r="F51" s="212" t="s">
        <v>1824</v>
      </c>
      <c r="G51" s="212" t="n">
        <v>63</v>
      </c>
      <c r="H51" s="212" t="s">
        <v>120</v>
      </c>
      <c r="I51" s="250" t="n">
        <v>230.72</v>
      </c>
    </row>
    <row r="52" customFormat="false" ht="13.8" hidden="false" customHeight="false" outlineLevel="0" collapsed="false">
      <c r="A52" s="218"/>
      <c r="B52" s="251"/>
      <c r="C52" s="251"/>
      <c r="D52" s="251"/>
      <c r="E52" s="251"/>
      <c r="F52" s="212" t="s">
        <v>1843</v>
      </c>
      <c r="G52" s="212" t="n">
        <v>63</v>
      </c>
      <c r="H52" s="212" t="s">
        <v>120</v>
      </c>
      <c r="I52" s="250" t="n">
        <v>236.95</v>
      </c>
    </row>
    <row r="53" customFormat="false" ht="13.8" hidden="false" customHeight="false" outlineLevel="0" collapsed="false">
      <c r="A53" s="218"/>
      <c r="B53" s="251"/>
      <c r="C53" s="251"/>
      <c r="D53" s="251"/>
      <c r="E53" s="251"/>
      <c r="F53" s="212" t="s">
        <v>1851</v>
      </c>
      <c r="G53" s="212" t="n">
        <v>225</v>
      </c>
      <c r="H53" s="212" t="s">
        <v>120</v>
      </c>
      <c r="I53" s="250" t="n">
        <v>40.01</v>
      </c>
    </row>
    <row r="54" customFormat="false" ht="13.8" hidden="false" customHeight="false" outlineLevel="0" collapsed="false">
      <c r="A54" s="218"/>
      <c r="B54" s="251"/>
      <c r="C54" s="251"/>
      <c r="D54" s="251"/>
      <c r="E54" s="251"/>
      <c r="F54" s="212" t="s">
        <v>1867</v>
      </c>
      <c r="G54" s="212" t="n">
        <v>225</v>
      </c>
      <c r="H54" s="212" t="s">
        <v>120</v>
      </c>
      <c r="I54" s="250" t="n">
        <v>45.14</v>
      </c>
    </row>
    <row r="55" customFormat="false" ht="13.8" hidden="false" customHeight="false" outlineLevel="0" collapsed="false">
      <c r="A55" s="218"/>
      <c r="B55" s="251"/>
      <c r="C55" s="251"/>
      <c r="D55" s="251"/>
      <c r="E55" s="251"/>
      <c r="F55" s="212" t="s">
        <v>1877</v>
      </c>
      <c r="G55" s="212" t="n">
        <v>225</v>
      </c>
      <c r="H55" s="212" t="s">
        <v>120</v>
      </c>
      <c r="I55" s="250" t="n">
        <v>25.62</v>
      </c>
    </row>
    <row r="56" customFormat="false" ht="13.8" hidden="false" customHeight="false" outlineLevel="0" collapsed="false">
      <c r="A56" s="218"/>
      <c r="B56" s="251"/>
      <c r="C56" s="251"/>
      <c r="D56" s="251"/>
      <c r="E56" s="251"/>
      <c r="F56" s="212" t="s">
        <v>1892</v>
      </c>
      <c r="G56" s="212" t="n">
        <v>225</v>
      </c>
      <c r="H56" s="212" t="s">
        <v>120</v>
      </c>
      <c r="I56" s="250" t="n">
        <v>5.19</v>
      </c>
    </row>
    <row r="57" customFormat="false" ht="13.8" hidden="false" customHeight="false" outlineLevel="0" collapsed="false">
      <c r="A57" s="218"/>
      <c r="B57" s="251"/>
      <c r="C57" s="251"/>
      <c r="D57" s="252"/>
      <c r="E57" s="252"/>
      <c r="F57" s="212" t="s">
        <v>1896</v>
      </c>
      <c r="G57" s="212" t="n">
        <v>225</v>
      </c>
      <c r="H57" s="212" t="s">
        <v>120</v>
      </c>
      <c r="I57" s="250" t="n">
        <v>4.09</v>
      </c>
    </row>
    <row r="58" customFormat="false" ht="13.8" hidden="false" customHeight="false" outlineLevel="0" collapsed="false">
      <c r="A58" s="218"/>
      <c r="B58" s="251"/>
      <c r="C58" s="251"/>
      <c r="D58" s="249" t="s">
        <v>7055</v>
      </c>
      <c r="E58" s="249" t="s">
        <v>117</v>
      </c>
      <c r="F58" s="212" t="s">
        <v>1552</v>
      </c>
      <c r="G58" s="212" t="n">
        <v>63</v>
      </c>
      <c r="H58" s="212" t="s">
        <v>120</v>
      </c>
      <c r="I58" s="250" t="n">
        <v>76.55</v>
      </c>
    </row>
    <row r="59" customFormat="false" ht="13.8" hidden="false" customHeight="false" outlineLevel="0" collapsed="false">
      <c r="A59" s="218"/>
      <c r="B59" s="251"/>
      <c r="C59" s="251"/>
      <c r="D59" s="251"/>
      <c r="E59" s="251"/>
      <c r="F59" s="212" t="s">
        <v>1565</v>
      </c>
      <c r="G59" s="212" t="n">
        <v>63</v>
      </c>
      <c r="H59" s="212" t="s">
        <v>120</v>
      </c>
      <c r="I59" s="250" t="n">
        <v>75.07</v>
      </c>
    </row>
    <row r="60" customFormat="false" ht="13.8" hidden="false" customHeight="false" outlineLevel="0" collapsed="false">
      <c r="A60" s="218"/>
      <c r="B60" s="251"/>
      <c r="C60" s="251"/>
      <c r="D60" s="251"/>
      <c r="E60" s="251"/>
      <c r="F60" s="212" t="s">
        <v>1568</v>
      </c>
      <c r="G60" s="212" t="n">
        <v>63</v>
      </c>
      <c r="H60" s="212" t="s">
        <v>120</v>
      </c>
      <c r="I60" s="250" t="n">
        <v>3.22</v>
      </c>
    </row>
    <row r="61" customFormat="false" ht="13.8" hidden="false" customHeight="false" outlineLevel="0" collapsed="false">
      <c r="A61" s="218"/>
      <c r="B61" s="251"/>
      <c r="C61" s="251"/>
      <c r="D61" s="251"/>
      <c r="E61" s="251"/>
      <c r="F61" s="212" t="s">
        <v>1571</v>
      </c>
      <c r="G61" s="212" t="n">
        <v>63</v>
      </c>
      <c r="H61" s="212" t="s">
        <v>120</v>
      </c>
      <c r="I61" s="250" t="n">
        <v>27.68</v>
      </c>
    </row>
    <row r="62" customFormat="false" ht="13.8" hidden="false" customHeight="false" outlineLevel="0" collapsed="false">
      <c r="A62" s="218"/>
      <c r="B62" s="251"/>
      <c r="C62" s="251"/>
      <c r="D62" s="251"/>
      <c r="E62" s="251"/>
      <c r="F62" s="212" t="s">
        <v>1574</v>
      </c>
      <c r="G62" s="212" t="n">
        <v>63</v>
      </c>
      <c r="H62" s="212" t="s">
        <v>120</v>
      </c>
      <c r="I62" s="250" t="n">
        <v>50.68</v>
      </c>
    </row>
    <row r="63" customFormat="false" ht="13.8" hidden="false" customHeight="false" outlineLevel="0" collapsed="false">
      <c r="A63" s="218"/>
      <c r="B63" s="251"/>
      <c r="C63" s="251"/>
      <c r="D63" s="251"/>
      <c r="E63" s="251"/>
      <c r="F63" s="212" t="s">
        <v>1577</v>
      </c>
      <c r="G63" s="212" t="n">
        <v>63</v>
      </c>
      <c r="H63" s="212" t="s">
        <v>120</v>
      </c>
      <c r="I63" s="250" t="n">
        <v>106.09</v>
      </c>
    </row>
    <row r="64" customFormat="false" ht="13.8" hidden="false" customHeight="false" outlineLevel="0" collapsed="false">
      <c r="A64" s="218"/>
      <c r="B64" s="251"/>
      <c r="C64" s="251"/>
      <c r="D64" s="251"/>
      <c r="E64" s="251"/>
      <c r="F64" s="212" t="s">
        <v>1581</v>
      </c>
      <c r="G64" s="212" t="n">
        <v>63</v>
      </c>
      <c r="H64" s="212" t="s">
        <v>120</v>
      </c>
      <c r="I64" s="250" t="n">
        <v>135.3</v>
      </c>
    </row>
    <row r="65" customFormat="false" ht="13.8" hidden="false" customHeight="false" outlineLevel="0" collapsed="false">
      <c r="A65" s="218"/>
      <c r="B65" s="251"/>
      <c r="C65" s="251"/>
      <c r="D65" s="251"/>
      <c r="E65" s="251"/>
      <c r="F65" s="212" t="s">
        <v>1585</v>
      </c>
      <c r="G65" s="212" t="n">
        <v>63</v>
      </c>
      <c r="H65" s="212" t="s">
        <v>120</v>
      </c>
      <c r="I65" s="250" t="n">
        <v>44.52</v>
      </c>
    </row>
    <row r="66" customFormat="false" ht="13.8" hidden="false" customHeight="false" outlineLevel="0" collapsed="false">
      <c r="A66" s="218"/>
      <c r="B66" s="251"/>
      <c r="C66" s="251"/>
      <c r="D66" s="251"/>
      <c r="E66" s="251"/>
      <c r="F66" s="212" t="s">
        <v>1588</v>
      </c>
      <c r="G66" s="212" t="n">
        <v>63</v>
      </c>
      <c r="H66" s="212" t="s">
        <v>120</v>
      </c>
      <c r="I66" s="250" t="n">
        <v>60.4</v>
      </c>
    </row>
    <row r="67" customFormat="false" ht="13.8" hidden="false" customHeight="false" outlineLevel="0" collapsed="false">
      <c r="A67" s="218"/>
      <c r="B67" s="251"/>
      <c r="C67" s="251"/>
      <c r="D67" s="251"/>
      <c r="E67" s="251"/>
      <c r="F67" s="212" t="s">
        <v>1598</v>
      </c>
      <c r="G67" s="212" t="n">
        <v>63</v>
      </c>
      <c r="H67" s="212" t="s">
        <v>120</v>
      </c>
      <c r="I67" s="250" t="n">
        <v>8.04</v>
      </c>
    </row>
    <row r="68" customFormat="false" ht="13.8" hidden="false" customHeight="false" outlineLevel="0" collapsed="false">
      <c r="A68" s="218"/>
      <c r="B68" s="251"/>
      <c r="C68" s="251"/>
      <c r="D68" s="251"/>
      <c r="E68" s="251"/>
      <c r="F68" s="212" t="s">
        <v>1602</v>
      </c>
      <c r="G68" s="212" t="n">
        <v>63</v>
      </c>
      <c r="H68" s="212" t="s">
        <v>120</v>
      </c>
      <c r="I68" s="250" t="n">
        <v>3.81</v>
      </c>
    </row>
    <row r="69" customFormat="false" ht="13.8" hidden="false" customHeight="false" outlineLevel="0" collapsed="false">
      <c r="A69" s="218"/>
      <c r="B69" s="251"/>
      <c r="C69" s="251"/>
      <c r="D69" s="251"/>
      <c r="E69" s="251"/>
      <c r="F69" s="212" t="s">
        <v>1604</v>
      </c>
      <c r="G69" s="212" t="n">
        <v>63</v>
      </c>
      <c r="H69" s="212" t="s">
        <v>120</v>
      </c>
      <c r="I69" s="250" t="n">
        <v>103.9</v>
      </c>
    </row>
    <row r="70" customFormat="false" ht="13.8" hidden="false" customHeight="false" outlineLevel="0" collapsed="false">
      <c r="A70" s="218"/>
      <c r="B70" s="251"/>
      <c r="C70" s="251"/>
      <c r="D70" s="251"/>
      <c r="E70" s="251"/>
      <c r="F70" s="212" t="s">
        <v>1607</v>
      </c>
      <c r="G70" s="212" t="n">
        <v>63</v>
      </c>
      <c r="H70" s="212" t="s">
        <v>120</v>
      </c>
      <c r="I70" s="250" t="n">
        <v>28.61</v>
      </c>
    </row>
    <row r="71" customFormat="false" ht="13.8" hidden="false" customHeight="false" outlineLevel="0" collapsed="false">
      <c r="A71" s="218"/>
      <c r="B71" s="251"/>
      <c r="C71" s="251"/>
      <c r="D71" s="251"/>
      <c r="E71" s="251"/>
      <c r="F71" s="212" t="s">
        <v>1610</v>
      </c>
      <c r="G71" s="212" t="n">
        <v>110</v>
      </c>
      <c r="H71" s="212" t="s">
        <v>120</v>
      </c>
      <c r="I71" s="250" t="n">
        <v>169.2</v>
      </c>
    </row>
    <row r="72" customFormat="false" ht="13.8" hidden="false" customHeight="false" outlineLevel="0" collapsed="false">
      <c r="A72" s="218"/>
      <c r="B72" s="251"/>
      <c r="C72" s="251"/>
      <c r="D72" s="251"/>
      <c r="E72" s="251"/>
      <c r="F72" s="212" t="s">
        <v>1613</v>
      </c>
      <c r="G72" s="212" t="n">
        <v>110</v>
      </c>
      <c r="H72" s="212" t="s">
        <v>120</v>
      </c>
      <c r="I72" s="250" t="n">
        <v>197.24</v>
      </c>
    </row>
    <row r="73" customFormat="false" ht="13.8" hidden="false" customHeight="false" outlineLevel="0" collapsed="false">
      <c r="A73" s="218"/>
      <c r="B73" s="251"/>
      <c r="C73" s="251"/>
      <c r="D73" s="251"/>
      <c r="E73" s="251"/>
      <c r="F73" s="212" t="s">
        <v>1618</v>
      </c>
      <c r="G73" s="212" t="n">
        <v>63</v>
      </c>
      <c r="H73" s="212" t="s">
        <v>120</v>
      </c>
      <c r="I73" s="250" t="n">
        <v>89.64</v>
      </c>
    </row>
    <row r="74" customFormat="false" ht="13.8" hidden="false" customHeight="false" outlineLevel="0" collapsed="false">
      <c r="A74" s="218"/>
      <c r="B74" s="251"/>
      <c r="C74" s="251"/>
      <c r="D74" s="251"/>
      <c r="E74" s="251"/>
      <c r="F74" s="212" t="s">
        <v>1622</v>
      </c>
      <c r="G74" s="212" t="n">
        <v>63</v>
      </c>
      <c r="H74" s="212" t="s">
        <v>120</v>
      </c>
      <c r="I74" s="250" t="n">
        <v>27.43</v>
      </c>
    </row>
    <row r="75" customFormat="false" ht="13.8" hidden="false" customHeight="false" outlineLevel="0" collapsed="false">
      <c r="A75" s="218"/>
      <c r="B75" s="251"/>
      <c r="C75" s="251"/>
      <c r="D75" s="251"/>
      <c r="E75" s="251"/>
      <c r="F75" s="212" t="s">
        <v>1625</v>
      </c>
      <c r="G75" s="212" t="n">
        <v>63</v>
      </c>
      <c r="H75" s="212" t="s">
        <v>120</v>
      </c>
      <c r="I75" s="250" t="n">
        <v>5.71</v>
      </c>
    </row>
    <row r="76" customFormat="false" ht="13.8" hidden="false" customHeight="false" outlineLevel="0" collapsed="false">
      <c r="A76" s="218"/>
      <c r="B76" s="251"/>
      <c r="C76" s="251"/>
      <c r="D76" s="251"/>
      <c r="E76" s="251"/>
      <c r="F76" s="212" t="s">
        <v>1629</v>
      </c>
      <c r="G76" s="212" t="n">
        <v>63</v>
      </c>
      <c r="H76" s="212" t="s">
        <v>120</v>
      </c>
      <c r="I76" s="250" t="n">
        <v>8.27</v>
      </c>
    </row>
    <row r="77" customFormat="false" ht="13.8" hidden="false" customHeight="false" outlineLevel="0" collapsed="false">
      <c r="A77" s="218"/>
      <c r="B77" s="251"/>
      <c r="C77" s="251"/>
      <c r="D77" s="251"/>
      <c r="E77" s="251"/>
      <c r="F77" s="212" t="s">
        <v>1632</v>
      </c>
      <c r="G77" s="212" t="n">
        <v>90</v>
      </c>
      <c r="H77" s="212" t="s">
        <v>120</v>
      </c>
      <c r="I77" s="250" t="n">
        <v>30.27</v>
      </c>
    </row>
    <row r="78" customFormat="false" ht="13.8" hidden="false" customHeight="false" outlineLevel="0" collapsed="false">
      <c r="A78" s="218"/>
      <c r="B78" s="251"/>
      <c r="C78" s="251"/>
      <c r="D78" s="251"/>
      <c r="E78" s="251"/>
      <c r="F78" s="212" t="s">
        <v>1635</v>
      </c>
      <c r="G78" s="212" t="n">
        <v>110</v>
      </c>
      <c r="H78" s="212" t="s">
        <v>120</v>
      </c>
      <c r="I78" s="250" t="n">
        <v>38.02</v>
      </c>
    </row>
    <row r="79" customFormat="false" ht="13.8" hidden="false" customHeight="false" outlineLevel="0" collapsed="false">
      <c r="A79" s="218"/>
      <c r="B79" s="251"/>
      <c r="C79" s="251"/>
      <c r="D79" s="251"/>
      <c r="E79" s="251"/>
      <c r="F79" s="212" t="s">
        <v>1639</v>
      </c>
      <c r="G79" s="212" t="n">
        <v>63</v>
      </c>
      <c r="H79" s="212" t="s">
        <v>120</v>
      </c>
      <c r="I79" s="250" t="n">
        <v>23.36</v>
      </c>
    </row>
    <row r="80" customFormat="false" ht="13.8" hidden="false" customHeight="false" outlineLevel="0" collapsed="false">
      <c r="A80" s="218"/>
      <c r="B80" s="251"/>
      <c r="C80" s="251"/>
      <c r="D80" s="251"/>
      <c r="E80" s="251"/>
      <c r="F80" s="212" t="s">
        <v>1646</v>
      </c>
      <c r="G80" s="212" t="n">
        <v>63</v>
      </c>
      <c r="H80" s="212" t="s">
        <v>120</v>
      </c>
      <c r="I80" s="250" t="n">
        <v>99.64</v>
      </c>
    </row>
    <row r="81" customFormat="false" ht="13.8" hidden="false" customHeight="false" outlineLevel="0" collapsed="false">
      <c r="A81" s="218"/>
      <c r="B81" s="251"/>
      <c r="C81" s="251"/>
      <c r="D81" s="251"/>
      <c r="E81" s="251"/>
      <c r="F81" s="212" t="s">
        <v>1650</v>
      </c>
      <c r="G81" s="212" t="n">
        <v>63</v>
      </c>
      <c r="H81" s="212" t="s">
        <v>120</v>
      </c>
      <c r="I81" s="250" t="n">
        <v>15.6</v>
      </c>
    </row>
    <row r="82" customFormat="false" ht="13.8" hidden="false" customHeight="false" outlineLevel="0" collapsed="false">
      <c r="A82" s="218"/>
      <c r="B82" s="251"/>
      <c r="C82" s="251"/>
      <c r="D82" s="251"/>
      <c r="E82" s="251"/>
      <c r="F82" s="212" t="s">
        <v>1653</v>
      </c>
      <c r="G82" s="212" t="n">
        <v>110</v>
      </c>
      <c r="H82" s="212" t="s">
        <v>120</v>
      </c>
      <c r="I82" s="250" t="n">
        <v>39</v>
      </c>
    </row>
    <row r="83" customFormat="false" ht="13.8" hidden="false" customHeight="false" outlineLevel="0" collapsed="false">
      <c r="A83" s="218"/>
      <c r="B83" s="251"/>
      <c r="C83" s="251"/>
      <c r="D83" s="251"/>
      <c r="E83" s="251"/>
      <c r="F83" s="212" t="s">
        <v>1656</v>
      </c>
      <c r="G83" s="212" t="n">
        <v>63</v>
      </c>
      <c r="H83" s="212" t="s">
        <v>120</v>
      </c>
      <c r="I83" s="250" t="n">
        <v>1.96</v>
      </c>
    </row>
    <row r="84" customFormat="false" ht="13.8" hidden="false" customHeight="false" outlineLevel="0" collapsed="false">
      <c r="A84" s="218"/>
      <c r="B84" s="251"/>
      <c r="C84" s="251"/>
      <c r="D84" s="251"/>
      <c r="E84" s="251"/>
      <c r="F84" s="212" t="s">
        <v>1659</v>
      </c>
      <c r="G84" s="212" t="n">
        <v>90</v>
      </c>
      <c r="H84" s="212" t="s">
        <v>120</v>
      </c>
      <c r="I84" s="250" t="n">
        <v>26.54</v>
      </c>
    </row>
    <row r="85" customFormat="false" ht="13.8" hidden="false" customHeight="false" outlineLevel="0" collapsed="false">
      <c r="A85" s="218"/>
      <c r="B85" s="251"/>
      <c r="C85" s="251"/>
      <c r="D85" s="251"/>
      <c r="E85" s="251"/>
      <c r="F85" s="212" t="s">
        <v>1662</v>
      </c>
      <c r="G85" s="212" t="n">
        <v>110</v>
      </c>
      <c r="H85" s="212" t="s">
        <v>120</v>
      </c>
      <c r="I85" s="250" t="n">
        <v>44.8</v>
      </c>
    </row>
    <row r="86" customFormat="false" ht="13.8" hidden="false" customHeight="false" outlineLevel="0" collapsed="false">
      <c r="A86" s="218"/>
      <c r="B86" s="251"/>
      <c r="C86" s="251"/>
      <c r="D86" s="251"/>
      <c r="E86" s="251"/>
      <c r="F86" s="212" t="s">
        <v>1668</v>
      </c>
      <c r="G86" s="212" t="n">
        <v>63</v>
      </c>
      <c r="H86" s="212" t="s">
        <v>120</v>
      </c>
      <c r="I86" s="250" t="n">
        <v>43.51</v>
      </c>
    </row>
    <row r="87" customFormat="false" ht="13.8" hidden="false" customHeight="false" outlineLevel="0" collapsed="false">
      <c r="A87" s="218"/>
      <c r="B87" s="251"/>
      <c r="C87" s="251"/>
      <c r="D87" s="251"/>
      <c r="E87" s="251"/>
      <c r="F87" s="212" t="s">
        <v>1671</v>
      </c>
      <c r="G87" s="212" t="n">
        <v>63</v>
      </c>
      <c r="H87" s="212" t="s">
        <v>120</v>
      </c>
      <c r="I87" s="250" t="n">
        <v>93.29</v>
      </c>
    </row>
    <row r="88" customFormat="false" ht="13.8" hidden="false" customHeight="false" outlineLevel="0" collapsed="false">
      <c r="A88" s="218"/>
      <c r="B88" s="251"/>
      <c r="C88" s="251"/>
      <c r="D88" s="251"/>
      <c r="E88" s="251"/>
      <c r="F88" s="212" t="s">
        <v>1675</v>
      </c>
      <c r="G88" s="212" t="n">
        <v>90</v>
      </c>
      <c r="H88" s="212" t="s">
        <v>120</v>
      </c>
      <c r="I88" s="250" t="n">
        <v>53.93</v>
      </c>
    </row>
    <row r="89" customFormat="false" ht="13.8" hidden="false" customHeight="false" outlineLevel="0" collapsed="false">
      <c r="A89" s="218"/>
      <c r="B89" s="251"/>
      <c r="C89" s="251"/>
      <c r="D89" s="251"/>
      <c r="E89" s="251"/>
      <c r="F89" s="212" t="s">
        <v>1678</v>
      </c>
      <c r="G89" s="212" t="n">
        <v>90</v>
      </c>
      <c r="H89" s="212" t="s">
        <v>120</v>
      </c>
      <c r="I89" s="250" t="n">
        <v>187.33</v>
      </c>
    </row>
    <row r="90" customFormat="false" ht="13.8" hidden="false" customHeight="false" outlineLevel="0" collapsed="false">
      <c r="A90" s="218"/>
      <c r="B90" s="251"/>
      <c r="C90" s="251"/>
      <c r="D90" s="251"/>
      <c r="E90" s="251"/>
      <c r="F90" s="212" t="s">
        <v>1682</v>
      </c>
      <c r="G90" s="212" t="n">
        <v>160</v>
      </c>
      <c r="H90" s="212" t="s">
        <v>120</v>
      </c>
      <c r="I90" s="250" t="n">
        <v>115.61</v>
      </c>
    </row>
    <row r="91" customFormat="false" ht="13.8" hidden="false" customHeight="false" outlineLevel="0" collapsed="false">
      <c r="A91" s="218"/>
      <c r="B91" s="251"/>
      <c r="C91" s="251"/>
      <c r="D91" s="251"/>
      <c r="E91" s="251"/>
      <c r="F91" s="212" t="s">
        <v>1686</v>
      </c>
      <c r="G91" s="212" t="n">
        <v>63</v>
      </c>
      <c r="H91" s="212" t="s">
        <v>120</v>
      </c>
      <c r="I91" s="250" t="n">
        <v>135.21</v>
      </c>
    </row>
    <row r="92" customFormat="false" ht="13.8" hidden="false" customHeight="false" outlineLevel="0" collapsed="false">
      <c r="A92" s="218"/>
      <c r="B92" s="251"/>
      <c r="C92" s="251"/>
      <c r="D92" s="251"/>
      <c r="E92" s="251"/>
      <c r="F92" s="212" t="s">
        <v>1689</v>
      </c>
      <c r="G92" s="212" t="n">
        <v>63</v>
      </c>
      <c r="H92" s="212" t="s">
        <v>120</v>
      </c>
      <c r="I92" s="250" t="n">
        <v>124.3</v>
      </c>
    </row>
    <row r="93" customFormat="false" ht="13.8" hidden="false" customHeight="false" outlineLevel="0" collapsed="false">
      <c r="A93" s="218"/>
      <c r="B93" s="251"/>
      <c r="C93" s="251"/>
      <c r="D93" s="251"/>
      <c r="E93" s="251"/>
      <c r="F93" s="212" t="s">
        <v>1693</v>
      </c>
      <c r="G93" s="212" t="n">
        <v>90</v>
      </c>
      <c r="H93" s="212" t="s">
        <v>120</v>
      </c>
      <c r="I93" s="250" t="n">
        <v>173.01</v>
      </c>
    </row>
    <row r="94" customFormat="false" ht="13.8" hidden="false" customHeight="false" outlineLevel="0" collapsed="false">
      <c r="A94" s="218"/>
      <c r="B94" s="251"/>
      <c r="C94" s="251"/>
      <c r="D94" s="251"/>
      <c r="E94" s="251"/>
      <c r="F94" s="212" t="s">
        <v>1696</v>
      </c>
      <c r="G94" s="212" t="n">
        <v>63</v>
      </c>
      <c r="H94" s="212" t="s">
        <v>120</v>
      </c>
      <c r="I94" s="250" t="n">
        <v>186.59</v>
      </c>
    </row>
    <row r="95" customFormat="false" ht="13.8" hidden="false" customHeight="false" outlineLevel="0" collapsed="false">
      <c r="A95" s="218"/>
      <c r="B95" s="251"/>
      <c r="C95" s="251"/>
      <c r="D95" s="251"/>
      <c r="E95" s="251"/>
      <c r="F95" s="212" t="s">
        <v>1700</v>
      </c>
      <c r="G95" s="212" t="n">
        <v>63</v>
      </c>
      <c r="H95" s="212" t="s">
        <v>120</v>
      </c>
      <c r="I95" s="250" t="n">
        <v>137.25</v>
      </c>
    </row>
    <row r="96" customFormat="false" ht="13.8" hidden="false" customHeight="false" outlineLevel="0" collapsed="false">
      <c r="A96" s="218"/>
      <c r="B96" s="251"/>
      <c r="C96" s="251"/>
      <c r="D96" s="251"/>
      <c r="E96" s="251"/>
      <c r="F96" s="212" t="s">
        <v>1705</v>
      </c>
      <c r="G96" s="212" t="n">
        <v>160</v>
      </c>
      <c r="H96" s="212" t="s">
        <v>120</v>
      </c>
      <c r="I96" s="250" t="n">
        <v>45.72</v>
      </c>
    </row>
    <row r="97" customFormat="false" ht="13.8" hidden="false" customHeight="false" outlineLevel="0" collapsed="false">
      <c r="A97" s="218"/>
      <c r="B97" s="251"/>
      <c r="C97" s="251"/>
      <c r="D97" s="251"/>
      <c r="E97" s="251"/>
      <c r="F97" s="212" t="s">
        <v>1708</v>
      </c>
      <c r="G97" s="212" t="n">
        <v>90</v>
      </c>
      <c r="H97" s="212" t="s">
        <v>120</v>
      </c>
      <c r="I97" s="250" t="n">
        <v>43.48</v>
      </c>
    </row>
    <row r="98" customFormat="false" ht="13.8" hidden="false" customHeight="false" outlineLevel="0" collapsed="false">
      <c r="A98" s="218"/>
      <c r="B98" s="251"/>
      <c r="C98" s="251"/>
      <c r="D98" s="251"/>
      <c r="E98" s="251"/>
      <c r="F98" s="212" t="s">
        <v>1711</v>
      </c>
      <c r="G98" s="212" t="n">
        <v>63</v>
      </c>
      <c r="H98" s="212" t="s">
        <v>120</v>
      </c>
      <c r="I98" s="250" t="n">
        <v>156.01</v>
      </c>
    </row>
    <row r="99" customFormat="false" ht="13.8" hidden="false" customHeight="false" outlineLevel="0" collapsed="false">
      <c r="A99" s="218"/>
      <c r="B99" s="251"/>
      <c r="C99" s="251"/>
      <c r="D99" s="251"/>
      <c r="E99" s="251"/>
      <c r="F99" s="212" t="s">
        <v>1716</v>
      </c>
      <c r="G99" s="212" t="n">
        <v>90</v>
      </c>
      <c r="H99" s="212" t="s">
        <v>120</v>
      </c>
      <c r="I99" s="250" t="n">
        <v>24.75</v>
      </c>
    </row>
    <row r="100" customFormat="false" ht="13.8" hidden="false" customHeight="false" outlineLevel="0" collapsed="false">
      <c r="A100" s="218"/>
      <c r="B100" s="251"/>
      <c r="C100" s="251"/>
      <c r="D100" s="251"/>
      <c r="E100" s="251"/>
      <c r="F100" s="212" t="s">
        <v>1720</v>
      </c>
      <c r="G100" s="212" t="n">
        <v>63</v>
      </c>
      <c r="H100" s="212" t="s">
        <v>120</v>
      </c>
      <c r="I100" s="250" t="n">
        <v>16.63</v>
      </c>
    </row>
    <row r="101" customFormat="false" ht="13.8" hidden="false" customHeight="false" outlineLevel="0" collapsed="false">
      <c r="A101" s="218"/>
      <c r="B101" s="251"/>
      <c r="C101" s="251"/>
      <c r="D101" s="251"/>
      <c r="E101" s="251"/>
      <c r="F101" s="212" t="s">
        <v>1724</v>
      </c>
      <c r="G101" s="212" t="n">
        <v>160</v>
      </c>
      <c r="H101" s="212" t="s">
        <v>120</v>
      </c>
      <c r="I101" s="250" t="n">
        <v>50.99</v>
      </c>
    </row>
    <row r="102" customFormat="false" ht="13.8" hidden="false" customHeight="false" outlineLevel="0" collapsed="false">
      <c r="A102" s="218"/>
      <c r="B102" s="251"/>
      <c r="C102" s="251"/>
      <c r="D102" s="251"/>
      <c r="E102" s="251"/>
      <c r="F102" s="212" t="s">
        <v>1727</v>
      </c>
      <c r="G102" s="212" t="n">
        <v>90</v>
      </c>
      <c r="H102" s="212" t="s">
        <v>120</v>
      </c>
      <c r="I102" s="250" t="n">
        <v>184.87</v>
      </c>
    </row>
    <row r="103" customFormat="false" ht="13.8" hidden="false" customHeight="false" outlineLevel="0" collapsed="false">
      <c r="A103" s="218"/>
      <c r="B103" s="251"/>
      <c r="C103" s="251"/>
      <c r="D103" s="251"/>
      <c r="E103" s="251"/>
      <c r="F103" s="212" t="s">
        <v>1731</v>
      </c>
      <c r="G103" s="212" t="n">
        <v>63</v>
      </c>
      <c r="H103" s="212" t="s">
        <v>120</v>
      </c>
      <c r="I103" s="250" t="n">
        <v>42.09</v>
      </c>
    </row>
    <row r="104" customFormat="false" ht="13.8" hidden="false" customHeight="false" outlineLevel="0" collapsed="false">
      <c r="A104" s="218"/>
      <c r="B104" s="251"/>
      <c r="C104" s="251"/>
      <c r="D104" s="251"/>
      <c r="E104" s="251"/>
      <c r="F104" s="212" t="s">
        <v>1735</v>
      </c>
      <c r="G104" s="212" t="n">
        <v>160</v>
      </c>
      <c r="H104" s="212" t="s">
        <v>120</v>
      </c>
      <c r="I104" s="250" t="n">
        <v>49.75</v>
      </c>
    </row>
    <row r="105" customFormat="false" ht="13.8" hidden="false" customHeight="false" outlineLevel="0" collapsed="false">
      <c r="A105" s="218"/>
      <c r="B105" s="251"/>
      <c r="C105" s="251"/>
      <c r="D105" s="251"/>
      <c r="E105" s="251"/>
      <c r="F105" s="212" t="s">
        <v>1737</v>
      </c>
      <c r="G105" s="212" t="n">
        <v>63</v>
      </c>
      <c r="H105" s="212" t="s">
        <v>120</v>
      </c>
      <c r="I105" s="250" t="n">
        <v>45.07</v>
      </c>
    </row>
    <row r="106" customFormat="false" ht="13.8" hidden="false" customHeight="false" outlineLevel="0" collapsed="false">
      <c r="A106" s="218"/>
      <c r="B106" s="251"/>
      <c r="C106" s="251"/>
      <c r="D106" s="251"/>
      <c r="E106" s="251"/>
      <c r="F106" s="212" t="s">
        <v>1741</v>
      </c>
      <c r="G106" s="212" t="n">
        <v>63</v>
      </c>
      <c r="H106" s="212" t="s">
        <v>120</v>
      </c>
      <c r="I106" s="250" t="n">
        <v>178.41</v>
      </c>
    </row>
    <row r="107" customFormat="false" ht="13.8" hidden="false" customHeight="false" outlineLevel="0" collapsed="false">
      <c r="A107" s="218"/>
      <c r="B107" s="251"/>
      <c r="C107" s="251"/>
      <c r="D107" s="251"/>
      <c r="E107" s="251"/>
      <c r="F107" s="212" t="s">
        <v>1745</v>
      </c>
      <c r="G107" s="212" t="n">
        <v>63</v>
      </c>
      <c r="H107" s="212" t="s">
        <v>120</v>
      </c>
      <c r="I107" s="250" t="n">
        <v>41.58</v>
      </c>
    </row>
    <row r="108" customFormat="false" ht="13.8" hidden="false" customHeight="false" outlineLevel="0" collapsed="false">
      <c r="A108" s="218"/>
      <c r="B108" s="251"/>
      <c r="C108" s="251"/>
      <c r="D108" s="251"/>
      <c r="E108" s="251"/>
      <c r="F108" s="212" t="s">
        <v>1751</v>
      </c>
      <c r="G108" s="212" t="n">
        <v>225</v>
      </c>
      <c r="H108" s="212" t="s">
        <v>120</v>
      </c>
      <c r="I108" s="250" t="n">
        <v>49.55</v>
      </c>
    </row>
    <row r="109" customFormat="false" ht="13.8" hidden="false" customHeight="false" outlineLevel="0" collapsed="false">
      <c r="A109" s="218"/>
      <c r="B109" s="251"/>
      <c r="C109" s="251"/>
      <c r="D109" s="251"/>
      <c r="E109" s="251"/>
      <c r="F109" s="212" t="s">
        <v>1754</v>
      </c>
      <c r="G109" s="212" t="n">
        <v>63</v>
      </c>
      <c r="H109" s="212" t="s">
        <v>120</v>
      </c>
      <c r="I109" s="250" t="n">
        <v>190.03</v>
      </c>
    </row>
    <row r="110" customFormat="false" ht="13.8" hidden="false" customHeight="false" outlineLevel="0" collapsed="false">
      <c r="A110" s="218"/>
      <c r="B110" s="251"/>
      <c r="C110" s="251"/>
      <c r="D110" s="251"/>
      <c r="E110" s="251"/>
      <c r="F110" s="212" t="s">
        <v>1764</v>
      </c>
      <c r="G110" s="212" t="n">
        <v>63</v>
      </c>
      <c r="H110" s="212" t="s">
        <v>120</v>
      </c>
      <c r="I110" s="250" t="n">
        <v>40.73</v>
      </c>
    </row>
    <row r="111" customFormat="false" ht="13.8" hidden="false" customHeight="false" outlineLevel="0" collapsed="false">
      <c r="A111" s="218"/>
      <c r="B111" s="251"/>
      <c r="C111" s="251"/>
      <c r="D111" s="251"/>
      <c r="E111" s="251"/>
      <c r="F111" s="212" t="s">
        <v>1776</v>
      </c>
      <c r="G111" s="212" t="n">
        <v>63</v>
      </c>
      <c r="H111" s="212" t="s">
        <v>120</v>
      </c>
      <c r="I111" s="250" t="n">
        <v>202.23</v>
      </c>
    </row>
    <row r="112" customFormat="false" ht="13.8" hidden="false" customHeight="false" outlineLevel="0" collapsed="false">
      <c r="A112" s="218"/>
      <c r="B112" s="251"/>
      <c r="C112" s="251"/>
      <c r="D112" s="251"/>
      <c r="E112" s="251"/>
      <c r="F112" s="212" t="s">
        <v>1780</v>
      </c>
      <c r="G112" s="212" t="n">
        <v>225</v>
      </c>
      <c r="H112" s="212" t="s">
        <v>120</v>
      </c>
      <c r="I112" s="250" t="n">
        <v>42.7</v>
      </c>
    </row>
    <row r="113" customFormat="false" ht="13.8" hidden="false" customHeight="false" outlineLevel="0" collapsed="false">
      <c r="A113" s="218"/>
      <c r="B113" s="251"/>
      <c r="C113" s="251"/>
      <c r="D113" s="251"/>
      <c r="E113" s="251"/>
      <c r="F113" s="212" t="s">
        <v>1783</v>
      </c>
      <c r="G113" s="212" t="n">
        <v>63</v>
      </c>
      <c r="H113" s="212" t="s">
        <v>120</v>
      </c>
      <c r="I113" s="250" t="n">
        <v>41.63</v>
      </c>
    </row>
    <row r="114" customFormat="false" ht="13.8" hidden="false" customHeight="false" outlineLevel="0" collapsed="false">
      <c r="A114" s="218"/>
      <c r="B114" s="251"/>
      <c r="C114" s="251"/>
      <c r="D114" s="251"/>
      <c r="E114" s="251"/>
      <c r="F114" s="212" t="s">
        <v>1790</v>
      </c>
      <c r="G114" s="212" t="n">
        <v>63</v>
      </c>
      <c r="H114" s="212" t="s">
        <v>120</v>
      </c>
      <c r="I114" s="250" t="n">
        <v>211.33</v>
      </c>
    </row>
    <row r="115" customFormat="false" ht="13.8" hidden="false" customHeight="false" outlineLevel="0" collapsed="false">
      <c r="A115" s="218"/>
      <c r="B115" s="251"/>
      <c r="C115" s="251"/>
      <c r="D115" s="251"/>
      <c r="E115" s="251"/>
      <c r="F115" s="212" t="s">
        <v>1798</v>
      </c>
      <c r="G115" s="212" t="n">
        <v>225</v>
      </c>
      <c r="H115" s="212" t="s">
        <v>120</v>
      </c>
      <c r="I115" s="250" t="n">
        <v>43.45</v>
      </c>
    </row>
    <row r="116" customFormat="false" ht="13.8" hidden="false" customHeight="false" outlineLevel="0" collapsed="false">
      <c r="A116" s="218"/>
      <c r="B116" s="251"/>
      <c r="C116" s="251"/>
      <c r="D116" s="251"/>
      <c r="E116" s="251"/>
      <c r="F116" s="212" t="s">
        <v>1804</v>
      </c>
      <c r="G116" s="212" t="n">
        <v>63</v>
      </c>
      <c r="H116" s="212" t="s">
        <v>120</v>
      </c>
      <c r="I116" s="250" t="n">
        <v>220.66</v>
      </c>
    </row>
    <row r="117" customFormat="false" ht="13.8" hidden="false" customHeight="false" outlineLevel="0" collapsed="false">
      <c r="A117" s="218"/>
      <c r="B117" s="251"/>
      <c r="C117" s="251"/>
      <c r="D117" s="251"/>
      <c r="E117" s="251"/>
      <c r="F117" s="212" t="s">
        <v>1813</v>
      </c>
      <c r="G117" s="212" t="n">
        <v>225</v>
      </c>
      <c r="H117" s="212" t="s">
        <v>120</v>
      </c>
      <c r="I117" s="250" t="n">
        <v>44.23</v>
      </c>
    </row>
    <row r="118" customFormat="false" ht="13.8" hidden="false" customHeight="false" outlineLevel="0" collapsed="false">
      <c r="A118" s="218"/>
      <c r="B118" s="251"/>
      <c r="C118" s="252"/>
      <c r="D118" s="252"/>
      <c r="E118" s="252"/>
      <c r="F118" s="212" t="s">
        <v>1828</v>
      </c>
      <c r="G118" s="212" t="n">
        <v>225</v>
      </c>
      <c r="H118" s="212" t="s">
        <v>120</v>
      </c>
      <c r="I118" s="250" t="n">
        <v>40.95</v>
      </c>
    </row>
    <row r="119" customFormat="false" ht="13.8" hidden="false" customHeight="false" outlineLevel="0" collapsed="false">
      <c r="A119" s="218"/>
      <c r="B119" s="251"/>
      <c r="C119" s="261" t="s">
        <v>7059</v>
      </c>
      <c r="D119" s="224"/>
      <c r="E119" s="224"/>
      <c r="F119" s="224"/>
      <c r="G119" s="224"/>
      <c r="H119" s="225"/>
      <c r="I119" s="217" t="n">
        <v>5721.22</v>
      </c>
    </row>
    <row r="120" customFormat="false" ht="13.8" hidden="false" customHeight="false" outlineLevel="0" collapsed="false">
      <c r="A120" s="218"/>
      <c r="B120" s="251"/>
      <c r="C120" s="249" t="s">
        <v>1594</v>
      </c>
      <c r="D120" s="212" t="s">
        <v>1952</v>
      </c>
      <c r="E120" s="212" t="s">
        <v>117</v>
      </c>
      <c r="F120" s="212" t="s">
        <v>1951</v>
      </c>
      <c r="G120" s="212" t="n">
        <v>63</v>
      </c>
      <c r="H120" s="212" t="s">
        <v>120</v>
      </c>
      <c r="I120" s="250" t="n">
        <v>27.77</v>
      </c>
    </row>
    <row r="121" customFormat="false" ht="13.8" hidden="false" customHeight="false" outlineLevel="0" collapsed="false">
      <c r="A121" s="218"/>
      <c r="B121" s="251"/>
      <c r="C121" s="251"/>
      <c r="D121" s="249" t="s">
        <v>1886</v>
      </c>
      <c r="E121" s="249" t="s">
        <v>117</v>
      </c>
      <c r="F121" s="212" t="s">
        <v>1885</v>
      </c>
      <c r="G121" s="212" t="n">
        <v>63</v>
      </c>
      <c r="H121" s="212" t="s">
        <v>120</v>
      </c>
      <c r="I121" s="250" t="n">
        <v>23.18</v>
      </c>
    </row>
    <row r="122" customFormat="false" ht="13.8" hidden="false" customHeight="false" outlineLevel="0" collapsed="false">
      <c r="A122" s="218"/>
      <c r="B122" s="251"/>
      <c r="C122" s="251"/>
      <c r="D122" s="251"/>
      <c r="E122" s="251"/>
      <c r="F122" s="212" t="s">
        <v>1911</v>
      </c>
      <c r="G122" s="212" t="n">
        <v>63</v>
      </c>
      <c r="H122" s="212" t="s">
        <v>120</v>
      </c>
      <c r="I122" s="250" t="n">
        <v>93.58</v>
      </c>
    </row>
    <row r="123" customFormat="false" ht="13.8" hidden="false" customHeight="false" outlineLevel="0" collapsed="false">
      <c r="A123" s="218"/>
      <c r="B123" s="251"/>
      <c r="C123" s="251"/>
      <c r="D123" s="251"/>
      <c r="E123" s="251"/>
      <c r="F123" s="212" t="s">
        <v>1917</v>
      </c>
      <c r="G123" s="212" t="n">
        <v>63</v>
      </c>
      <c r="H123" s="212" t="s">
        <v>120</v>
      </c>
      <c r="I123" s="250" t="n">
        <v>28.42</v>
      </c>
    </row>
    <row r="124" customFormat="false" ht="13.8" hidden="false" customHeight="false" outlineLevel="0" collapsed="false">
      <c r="A124" s="218"/>
      <c r="B124" s="251"/>
      <c r="C124" s="251"/>
      <c r="D124" s="251"/>
      <c r="E124" s="251"/>
      <c r="F124" s="212" t="s">
        <v>1925</v>
      </c>
      <c r="G124" s="212" t="n">
        <v>63</v>
      </c>
      <c r="H124" s="212" t="s">
        <v>120</v>
      </c>
      <c r="I124" s="250" t="n">
        <v>15.22</v>
      </c>
    </row>
    <row r="125" customFormat="false" ht="13.8" hidden="false" customHeight="false" outlineLevel="0" collapsed="false">
      <c r="A125" s="218"/>
      <c r="B125" s="251"/>
      <c r="C125" s="251"/>
      <c r="D125" s="251"/>
      <c r="E125" s="251"/>
      <c r="F125" s="212" t="s">
        <v>1928</v>
      </c>
      <c r="G125" s="212" t="n">
        <v>63</v>
      </c>
      <c r="H125" s="212" t="s">
        <v>120</v>
      </c>
      <c r="I125" s="250" t="n">
        <v>68.63</v>
      </c>
    </row>
    <row r="126" customFormat="false" ht="13.8" hidden="false" customHeight="false" outlineLevel="0" collapsed="false">
      <c r="A126" s="218"/>
      <c r="B126" s="251"/>
      <c r="C126" s="251"/>
      <c r="D126" s="251"/>
      <c r="E126" s="251"/>
      <c r="F126" s="212" t="s">
        <v>1931</v>
      </c>
      <c r="G126" s="212" t="n">
        <v>63</v>
      </c>
      <c r="H126" s="212" t="s">
        <v>120</v>
      </c>
      <c r="I126" s="250" t="n">
        <v>15.25</v>
      </c>
    </row>
    <row r="127" customFormat="false" ht="13.8" hidden="false" customHeight="false" outlineLevel="0" collapsed="false">
      <c r="A127" s="218"/>
      <c r="B127" s="251"/>
      <c r="C127" s="251"/>
      <c r="D127" s="251"/>
      <c r="E127" s="251"/>
      <c r="F127" s="212" t="s">
        <v>1934</v>
      </c>
      <c r="G127" s="212" t="n">
        <v>63</v>
      </c>
      <c r="H127" s="212" t="s">
        <v>120</v>
      </c>
      <c r="I127" s="250" t="n">
        <v>17.29</v>
      </c>
    </row>
    <row r="128" customFormat="false" ht="13.8" hidden="false" customHeight="false" outlineLevel="0" collapsed="false">
      <c r="A128" s="218"/>
      <c r="B128" s="251"/>
      <c r="C128" s="251"/>
      <c r="D128" s="252"/>
      <c r="E128" s="252"/>
      <c r="F128" s="212" t="s">
        <v>1944</v>
      </c>
      <c r="G128" s="212" t="n">
        <v>63</v>
      </c>
      <c r="H128" s="212" t="s">
        <v>120</v>
      </c>
      <c r="I128" s="250" t="n">
        <v>47.65</v>
      </c>
    </row>
    <row r="129" customFormat="false" ht="13.8" hidden="false" customHeight="false" outlineLevel="0" collapsed="false">
      <c r="A129" s="218"/>
      <c r="B129" s="251"/>
      <c r="C129" s="251"/>
      <c r="D129" s="249" t="s">
        <v>1956</v>
      </c>
      <c r="E129" s="249" t="s">
        <v>117</v>
      </c>
      <c r="F129" s="212" t="s">
        <v>1955</v>
      </c>
      <c r="G129" s="212" t="n">
        <v>63</v>
      </c>
      <c r="H129" s="212" t="s">
        <v>120</v>
      </c>
      <c r="I129" s="250" t="n">
        <v>287.24</v>
      </c>
    </row>
    <row r="130" customFormat="false" ht="13.8" hidden="false" customHeight="false" outlineLevel="0" collapsed="false">
      <c r="A130" s="218"/>
      <c r="B130" s="251"/>
      <c r="C130" s="251"/>
      <c r="D130" s="252"/>
      <c r="E130" s="252"/>
      <c r="F130" s="212" t="s">
        <v>1997</v>
      </c>
      <c r="G130" s="212" t="n">
        <v>160</v>
      </c>
      <c r="H130" s="212" t="s">
        <v>120</v>
      </c>
      <c r="I130" s="250" t="n">
        <v>23.93</v>
      </c>
    </row>
    <row r="131" customFormat="false" ht="13.8" hidden="false" customHeight="false" outlineLevel="0" collapsed="false">
      <c r="A131" s="218"/>
      <c r="B131" s="251"/>
      <c r="C131" s="251"/>
      <c r="D131" s="249" t="s">
        <v>1986</v>
      </c>
      <c r="E131" s="249" t="s">
        <v>117</v>
      </c>
      <c r="F131" s="212" t="s">
        <v>1985</v>
      </c>
      <c r="G131" s="212" t="n">
        <v>63</v>
      </c>
      <c r="H131" s="212" t="s">
        <v>120</v>
      </c>
      <c r="I131" s="250" t="n">
        <v>152.53</v>
      </c>
    </row>
    <row r="132" customFormat="false" ht="13.8" hidden="false" customHeight="false" outlineLevel="0" collapsed="false">
      <c r="A132" s="218"/>
      <c r="B132" s="251"/>
      <c r="C132" s="251"/>
      <c r="D132" s="251"/>
      <c r="E132" s="251"/>
      <c r="F132" s="212" t="s">
        <v>2003</v>
      </c>
      <c r="G132" s="212" t="n">
        <v>90</v>
      </c>
      <c r="H132" s="212" t="s">
        <v>120</v>
      </c>
      <c r="I132" s="250" t="n">
        <v>135.75</v>
      </c>
    </row>
    <row r="133" customFormat="false" ht="13.8" hidden="false" customHeight="false" outlineLevel="0" collapsed="false">
      <c r="A133" s="218"/>
      <c r="B133" s="251"/>
      <c r="C133" s="251"/>
      <c r="D133" s="252"/>
      <c r="E133" s="252"/>
      <c r="F133" s="212" t="s">
        <v>2014</v>
      </c>
      <c r="G133" s="212" t="n">
        <v>160</v>
      </c>
      <c r="H133" s="212" t="s">
        <v>120</v>
      </c>
      <c r="I133" s="250" t="n">
        <v>40.78</v>
      </c>
    </row>
    <row r="134" customFormat="false" ht="13.8" hidden="false" customHeight="false" outlineLevel="0" collapsed="false">
      <c r="A134" s="218"/>
      <c r="B134" s="251"/>
      <c r="C134" s="251"/>
      <c r="D134" s="249" t="s">
        <v>1839</v>
      </c>
      <c r="E134" s="249" t="s">
        <v>117</v>
      </c>
      <c r="F134" s="212" t="s">
        <v>1838</v>
      </c>
      <c r="G134" s="212" t="n">
        <v>63</v>
      </c>
      <c r="H134" s="212" t="s">
        <v>120</v>
      </c>
      <c r="I134" s="250" t="n">
        <v>39.24</v>
      </c>
    </row>
    <row r="135" customFormat="false" ht="13.8" hidden="false" customHeight="false" outlineLevel="0" collapsed="false">
      <c r="A135" s="218"/>
      <c r="B135" s="251"/>
      <c r="C135" s="251"/>
      <c r="D135" s="251"/>
      <c r="E135" s="251"/>
      <c r="F135" s="212" t="s">
        <v>1847</v>
      </c>
      <c r="G135" s="212" t="n">
        <v>63</v>
      </c>
      <c r="H135" s="212" t="s">
        <v>120</v>
      </c>
      <c r="I135" s="250" t="n">
        <v>44.34</v>
      </c>
    </row>
    <row r="136" customFormat="false" ht="13.8" hidden="false" customHeight="false" outlineLevel="0" collapsed="false">
      <c r="A136" s="218"/>
      <c r="B136" s="251"/>
      <c r="C136" s="251"/>
      <c r="D136" s="251"/>
      <c r="E136" s="251"/>
      <c r="F136" s="212" t="s">
        <v>1889</v>
      </c>
      <c r="G136" s="212" t="n">
        <v>63</v>
      </c>
      <c r="H136" s="212" t="s">
        <v>120</v>
      </c>
      <c r="I136" s="250" t="n">
        <v>11.01</v>
      </c>
    </row>
    <row r="137" customFormat="false" ht="13.8" hidden="false" customHeight="false" outlineLevel="0" collapsed="false">
      <c r="A137" s="218"/>
      <c r="B137" s="251"/>
      <c r="C137" s="251"/>
      <c r="D137" s="252"/>
      <c r="E137" s="252"/>
      <c r="F137" s="212" t="s">
        <v>1900</v>
      </c>
      <c r="G137" s="212" t="n">
        <v>90</v>
      </c>
      <c r="H137" s="212" t="s">
        <v>120</v>
      </c>
      <c r="I137" s="250" t="n">
        <v>12.12</v>
      </c>
    </row>
    <row r="138" customFormat="false" ht="13.8" hidden="false" customHeight="false" outlineLevel="0" collapsed="false">
      <c r="A138" s="218"/>
      <c r="B138" s="251"/>
      <c r="C138" s="251"/>
      <c r="D138" s="249" t="s">
        <v>1971</v>
      </c>
      <c r="E138" s="249" t="s">
        <v>117</v>
      </c>
      <c r="F138" s="212" t="s">
        <v>1970</v>
      </c>
      <c r="G138" s="212" t="n">
        <v>63</v>
      </c>
      <c r="H138" s="212" t="s">
        <v>120</v>
      </c>
      <c r="I138" s="250" t="n">
        <v>225.1</v>
      </c>
    </row>
    <row r="139" customFormat="false" ht="13.8" hidden="false" customHeight="false" outlineLevel="0" collapsed="false">
      <c r="A139" s="218"/>
      <c r="B139" s="251"/>
      <c r="C139" s="251"/>
      <c r="D139" s="251"/>
      <c r="E139" s="251"/>
      <c r="F139" s="212" t="s">
        <v>1975</v>
      </c>
      <c r="G139" s="212" t="n">
        <v>63</v>
      </c>
      <c r="H139" s="212" t="s">
        <v>120</v>
      </c>
      <c r="I139" s="250" t="n">
        <v>219.94</v>
      </c>
    </row>
    <row r="140" customFormat="false" ht="13.8" hidden="false" customHeight="false" outlineLevel="0" collapsed="false">
      <c r="A140" s="218"/>
      <c r="B140" s="251"/>
      <c r="C140" s="251"/>
      <c r="D140" s="251"/>
      <c r="E140" s="251"/>
      <c r="F140" s="212" t="s">
        <v>1991</v>
      </c>
      <c r="G140" s="212" t="n">
        <v>225</v>
      </c>
      <c r="H140" s="212" t="s">
        <v>120</v>
      </c>
      <c r="I140" s="250" t="n">
        <v>397.16</v>
      </c>
    </row>
    <row r="141" customFormat="false" ht="13.8" hidden="false" customHeight="false" outlineLevel="0" collapsed="false">
      <c r="A141" s="218"/>
      <c r="B141" s="251"/>
      <c r="C141" s="251"/>
      <c r="D141" s="251"/>
      <c r="E141" s="251"/>
      <c r="F141" s="212" t="s">
        <v>2010</v>
      </c>
      <c r="G141" s="212" t="n">
        <v>90</v>
      </c>
      <c r="H141" s="212" t="s">
        <v>120</v>
      </c>
      <c r="I141" s="250" t="n">
        <v>125.39</v>
      </c>
    </row>
    <row r="142" customFormat="false" ht="13.8" hidden="false" customHeight="false" outlineLevel="0" collapsed="false">
      <c r="A142" s="218"/>
      <c r="B142" s="251"/>
      <c r="C142" s="251"/>
      <c r="D142" s="251"/>
      <c r="E142" s="251"/>
      <c r="F142" s="212" t="s">
        <v>2017</v>
      </c>
      <c r="G142" s="212" t="n">
        <v>160</v>
      </c>
      <c r="H142" s="212" t="s">
        <v>120</v>
      </c>
      <c r="I142" s="250" t="n">
        <v>10.64</v>
      </c>
    </row>
    <row r="143" customFormat="false" ht="13.8" hidden="false" customHeight="false" outlineLevel="0" collapsed="false">
      <c r="A143" s="218"/>
      <c r="B143" s="251"/>
      <c r="C143" s="251"/>
      <c r="D143" s="251"/>
      <c r="E143" s="251"/>
      <c r="F143" s="212" t="s">
        <v>2021</v>
      </c>
      <c r="G143" s="212" t="n">
        <v>160</v>
      </c>
      <c r="H143" s="212" t="s">
        <v>120</v>
      </c>
      <c r="I143" s="250" t="n">
        <v>4.32</v>
      </c>
    </row>
    <row r="144" customFormat="false" ht="13.8" hidden="false" customHeight="false" outlineLevel="0" collapsed="false">
      <c r="A144" s="218"/>
      <c r="B144" s="251"/>
      <c r="C144" s="251"/>
      <c r="D144" s="251"/>
      <c r="E144" s="251"/>
      <c r="F144" s="212" t="s">
        <v>2024</v>
      </c>
      <c r="G144" s="212" t="n">
        <v>225</v>
      </c>
      <c r="H144" s="212" t="s">
        <v>120</v>
      </c>
      <c r="I144" s="250" t="n">
        <v>2.77</v>
      </c>
    </row>
    <row r="145" customFormat="false" ht="13.8" hidden="false" customHeight="false" outlineLevel="0" collapsed="false">
      <c r="A145" s="218"/>
      <c r="B145" s="251"/>
      <c r="C145" s="251"/>
      <c r="D145" s="251"/>
      <c r="E145" s="251"/>
      <c r="F145" s="212" t="s">
        <v>2028</v>
      </c>
      <c r="G145" s="212" t="n">
        <v>225</v>
      </c>
      <c r="H145" s="212" t="s">
        <v>120</v>
      </c>
      <c r="I145" s="250" t="n">
        <v>4.01</v>
      </c>
    </row>
    <row r="146" customFormat="false" ht="13.8" hidden="false" customHeight="false" outlineLevel="0" collapsed="false">
      <c r="A146" s="218"/>
      <c r="B146" s="251"/>
      <c r="C146" s="251"/>
      <c r="D146" s="252"/>
      <c r="E146" s="252"/>
      <c r="F146" s="212" t="s">
        <v>2030</v>
      </c>
      <c r="G146" s="212" t="n">
        <v>225</v>
      </c>
      <c r="H146" s="212" t="s">
        <v>120</v>
      </c>
      <c r="I146" s="250" t="n">
        <v>80.35</v>
      </c>
    </row>
    <row r="147" customFormat="false" ht="13.8" hidden="false" customHeight="false" outlineLevel="0" collapsed="false">
      <c r="A147" s="218"/>
      <c r="B147" s="251"/>
      <c r="C147" s="251"/>
      <c r="D147" s="249" t="s">
        <v>1860</v>
      </c>
      <c r="E147" s="249" t="s">
        <v>117</v>
      </c>
      <c r="F147" s="212" t="s">
        <v>1859</v>
      </c>
      <c r="G147" s="212" t="n">
        <v>63</v>
      </c>
      <c r="H147" s="212" t="s">
        <v>120</v>
      </c>
      <c r="I147" s="250" t="n">
        <v>111.84</v>
      </c>
    </row>
    <row r="148" customFormat="false" ht="13.8" hidden="false" customHeight="false" outlineLevel="0" collapsed="false">
      <c r="A148" s="218"/>
      <c r="B148" s="251"/>
      <c r="C148" s="251"/>
      <c r="D148" s="251"/>
      <c r="E148" s="251"/>
      <c r="F148" s="212" t="s">
        <v>1874</v>
      </c>
      <c r="G148" s="212" t="n">
        <v>63</v>
      </c>
      <c r="H148" s="212" t="s">
        <v>120</v>
      </c>
      <c r="I148" s="250" t="n">
        <v>0.67</v>
      </c>
    </row>
    <row r="149" customFormat="false" ht="13.8" hidden="false" customHeight="false" outlineLevel="0" collapsed="false">
      <c r="A149" s="218"/>
      <c r="B149" s="251"/>
      <c r="C149" s="251"/>
      <c r="D149" s="251"/>
      <c r="E149" s="251"/>
      <c r="F149" s="212" t="s">
        <v>1947</v>
      </c>
      <c r="G149" s="212" t="n">
        <v>63</v>
      </c>
      <c r="H149" s="212" t="s">
        <v>120</v>
      </c>
      <c r="I149" s="250" t="n">
        <v>413.9</v>
      </c>
    </row>
    <row r="150" customFormat="false" ht="13.8" hidden="false" customHeight="false" outlineLevel="0" collapsed="false">
      <c r="A150" s="218"/>
      <c r="B150" s="251"/>
      <c r="C150" s="251"/>
      <c r="D150" s="252"/>
      <c r="E150" s="252"/>
      <c r="F150" s="212" t="s">
        <v>2000</v>
      </c>
      <c r="G150" s="212" t="n">
        <v>160</v>
      </c>
      <c r="H150" s="212" t="s">
        <v>120</v>
      </c>
      <c r="I150" s="250" t="n">
        <v>40.75</v>
      </c>
    </row>
    <row r="151" customFormat="false" ht="13.8" hidden="false" customHeight="false" outlineLevel="0" collapsed="false">
      <c r="A151" s="218"/>
      <c r="B151" s="251"/>
      <c r="C151" s="251"/>
      <c r="D151" s="249" t="s">
        <v>1980</v>
      </c>
      <c r="E151" s="249" t="s">
        <v>117</v>
      </c>
      <c r="F151" s="212" t="s">
        <v>1978</v>
      </c>
      <c r="G151" s="212" t="n">
        <v>63</v>
      </c>
      <c r="H151" s="212" t="s">
        <v>120</v>
      </c>
      <c r="I151" s="250" t="n">
        <v>320.5</v>
      </c>
    </row>
    <row r="152" customFormat="false" ht="13.8" hidden="false" customHeight="false" outlineLevel="0" collapsed="false">
      <c r="A152" s="218"/>
      <c r="B152" s="251"/>
      <c r="C152" s="251"/>
      <c r="D152" s="252"/>
      <c r="E152" s="252"/>
      <c r="F152" s="212" t="s">
        <v>2007</v>
      </c>
      <c r="G152" s="212" t="n">
        <v>160</v>
      </c>
      <c r="H152" s="212" t="s">
        <v>120</v>
      </c>
      <c r="I152" s="250" t="n">
        <v>40.33</v>
      </c>
    </row>
    <row r="153" customFormat="false" ht="13.8" hidden="false" customHeight="false" outlineLevel="0" collapsed="false">
      <c r="A153" s="218"/>
      <c r="B153" s="251"/>
      <c r="C153" s="251"/>
      <c r="D153" s="212" t="s">
        <v>1966</v>
      </c>
      <c r="E153" s="212" t="s">
        <v>117</v>
      </c>
      <c r="F153" s="212" t="s">
        <v>1964</v>
      </c>
      <c r="G153" s="212" t="n">
        <v>63</v>
      </c>
      <c r="H153" s="212" t="s">
        <v>120</v>
      </c>
      <c r="I153" s="250" t="n">
        <v>50.57</v>
      </c>
    </row>
    <row r="154" customFormat="false" ht="13.8" hidden="false" customHeight="false" outlineLevel="0" collapsed="false">
      <c r="A154" s="218"/>
      <c r="B154" s="251"/>
      <c r="C154" s="251"/>
      <c r="D154" s="249" t="s">
        <v>1855</v>
      </c>
      <c r="E154" s="249" t="s">
        <v>117</v>
      </c>
      <c r="F154" s="212" t="s">
        <v>1854</v>
      </c>
      <c r="G154" s="212" t="n">
        <v>63</v>
      </c>
      <c r="H154" s="212" t="s">
        <v>120</v>
      </c>
      <c r="I154" s="250" t="n">
        <v>241.83</v>
      </c>
    </row>
    <row r="155" customFormat="false" ht="13.8" hidden="false" customHeight="false" outlineLevel="0" collapsed="false">
      <c r="A155" s="218"/>
      <c r="B155" s="251"/>
      <c r="C155" s="251"/>
      <c r="D155" s="251"/>
      <c r="E155" s="251"/>
      <c r="F155" s="212" t="s">
        <v>1870</v>
      </c>
      <c r="G155" s="212" t="n">
        <v>63</v>
      </c>
      <c r="H155" s="212" t="s">
        <v>120</v>
      </c>
      <c r="I155" s="250" t="n">
        <v>123.57</v>
      </c>
    </row>
    <row r="156" customFormat="false" ht="13.8" hidden="false" customHeight="false" outlineLevel="0" collapsed="false">
      <c r="A156" s="218"/>
      <c r="B156" s="251"/>
      <c r="C156" s="251"/>
      <c r="D156" s="251"/>
      <c r="E156" s="251"/>
      <c r="F156" s="212" t="s">
        <v>1881</v>
      </c>
      <c r="G156" s="212" t="n">
        <v>63</v>
      </c>
      <c r="H156" s="212" t="s">
        <v>120</v>
      </c>
      <c r="I156" s="250" t="n">
        <v>239.35</v>
      </c>
    </row>
    <row r="157" customFormat="false" ht="13.8" hidden="false" customHeight="false" outlineLevel="0" collapsed="false">
      <c r="A157" s="218"/>
      <c r="B157" s="251"/>
      <c r="C157" s="251"/>
      <c r="D157" s="251"/>
      <c r="E157" s="251"/>
      <c r="F157" s="212" t="s">
        <v>1907</v>
      </c>
      <c r="G157" s="212" t="n">
        <v>90</v>
      </c>
      <c r="H157" s="212" t="s">
        <v>120</v>
      </c>
      <c r="I157" s="250" t="n">
        <v>45.53</v>
      </c>
    </row>
    <row r="158" customFormat="false" ht="13.8" hidden="false" customHeight="false" outlineLevel="0" collapsed="false">
      <c r="A158" s="218"/>
      <c r="B158" s="251"/>
      <c r="C158" s="251"/>
      <c r="D158" s="251"/>
      <c r="E158" s="251"/>
      <c r="F158" s="212" t="s">
        <v>1914</v>
      </c>
      <c r="G158" s="212" t="n">
        <v>63</v>
      </c>
      <c r="H158" s="212" t="s">
        <v>120</v>
      </c>
      <c r="I158" s="250" t="n">
        <v>47.99</v>
      </c>
    </row>
    <row r="159" customFormat="false" ht="13.8" hidden="false" customHeight="false" outlineLevel="0" collapsed="false">
      <c r="A159" s="218"/>
      <c r="B159" s="251"/>
      <c r="C159" s="251"/>
      <c r="D159" s="252"/>
      <c r="E159" s="252"/>
      <c r="F159" s="212" t="s">
        <v>1921</v>
      </c>
      <c r="G159" s="212" t="n">
        <v>160</v>
      </c>
      <c r="H159" s="212" t="s">
        <v>120</v>
      </c>
      <c r="I159" s="250" t="n">
        <v>81.59</v>
      </c>
    </row>
    <row r="160" customFormat="false" ht="13.8" hidden="false" customHeight="false" outlineLevel="0" collapsed="false">
      <c r="A160" s="218"/>
      <c r="B160" s="251"/>
      <c r="C160" s="251"/>
      <c r="D160" s="249" t="s">
        <v>1940</v>
      </c>
      <c r="E160" s="249" t="s">
        <v>117</v>
      </c>
      <c r="F160" s="212" t="s">
        <v>1939</v>
      </c>
      <c r="G160" s="212" t="n">
        <v>90</v>
      </c>
      <c r="H160" s="212" t="s">
        <v>120</v>
      </c>
      <c r="I160" s="250" t="n">
        <v>240.69</v>
      </c>
    </row>
    <row r="161" customFormat="false" ht="13.8" hidden="false" customHeight="false" outlineLevel="0" collapsed="false">
      <c r="A161" s="218"/>
      <c r="B161" s="251"/>
      <c r="C161" s="251"/>
      <c r="D161" s="252"/>
      <c r="E161" s="252"/>
      <c r="F161" s="212" t="s">
        <v>1994</v>
      </c>
      <c r="G161" s="212" t="n">
        <v>160</v>
      </c>
      <c r="H161" s="212" t="s">
        <v>120</v>
      </c>
      <c r="I161" s="250" t="n">
        <v>71.99</v>
      </c>
    </row>
    <row r="162" customFormat="false" ht="13.8" hidden="false" customHeight="false" outlineLevel="0" collapsed="false">
      <c r="A162" s="218"/>
      <c r="B162" s="251"/>
      <c r="C162" s="251"/>
      <c r="D162" s="249" t="s">
        <v>7055</v>
      </c>
      <c r="E162" s="249" t="s">
        <v>117</v>
      </c>
      <c r="F162" s="212" t="s">
        <v>1592</v>
      </c>
      <c r="G162" s="212" t="n">
        <v>110</v>
      </c>
      <c r="H162" s="212" t="s">
        <v>120</v>
      </c>
      <c r="I162" s="250" t="n">
        <v>150.31</v>
      </c>
    </row>
    <row r="163" customFormat="false" ht="13.8" hidden="false" customHeight="false" outlineLevel="0" collapsed="false">
      <c r="A163" s="218"/>
      <c r="B163" s="251"/>
      <c r="C163" s="251"/>
      <c r="D163" s="251"/>
      <c r="E163" s="251"/>
      <c r="F163" s="212" t="s">
        <v>1642</v>
      </c>
      <c r="G163" s="212" t="n">
        <v>63</v>
      </c>
      <c r="H163" s="212" t="s">
        <v>120</v>
      </c>
      <c r="I163" s="250" t="n">
        <v>15.26</v>
      </c>
    </row>
    <row r="164" customFormat="false" ht="13.8" hidden="false" customHeight="false" outlineLevel="0" collapsed="false">
      <c r="A164" s="218"/>
      <c r="B164" s="251"/>
      <c r="C164" s="251"/>
      <c r="D164" s="251"/>
      <c r="E164" s="251"/>
      <c r="F164" s="212" t="s">
        <v>1665</v>
      </c>
      <c r="G164" s="212" t="n">
        <v>63</v>
      </c>
      <c r="H164" s="212" t="s">
        <v>120</v>
      </c>
      <c r="I164" s="250" t="n">
        <v>96.65</v>
      </c>
    </row>
    <row r="165" customFormat="false" ht="13.8" hidden="false" customHeight="false" outlineLevel="0" collapsed="false">
      <c r="A165" s="218"/>
      <c r="B165" s="251"/>
      <c r="C165" s="251"/>
      <c r="D165" s="251"/>
      <c r="E165" s="251"/>
      <c r="F165" s="212" t="s">
        <v>1808</v>
      </c>
      <c r="G165" s="212" t="n">
        <v>63</v>
      </c>
      <c r="H165" s="212" t="s">
        <v>120</v>
      </c>
      <c r="I165" s="250" t="n">
        <v>44.37</v>
      </c>
    </row>
    <row r="166" customFormat="false" ht="13.8" hidden="false" customHeight="false" outlineLevel="0" collapsed="false">
      <c r="A166" s="218"/>
      <c r="B166" s="251"/>
      <c r="C166" s="251"/>
      <c r="D166" s="251"/>
      <c r="E166" s="251"/>
      <c r="F166" s="212" t="s">
        <v>1816</v>
      </c>
      <c r="G166" s="212" t="n">
        <v>63</v>
      </c>
      <c r="H166" s="212" t="s">
        <v>120</v>
      </c>
      <c r="I166" s="250" t="n">
        <v>80.93</v>
      </c>
    </row>
    <row r="167" customFormat="false" ht="13.8" hidden="false" customHeight="false" outlineLevel="0" collapsed="false">
      <c r="A167" s="218"/>
      <c r="B167" s="251"/>
      <c r="C167" s="251"/>
      <c r="D167" s="251"/>
      <c r="E167" s="251"/>
      <c r="F167" s="212" t="s">
        <v>1820</v>
      </c>
      <c r="G167" s="212" t="n">
        <v>63</v>
      </c>
      <c r="H167" s="212" t="s">
        <v>120</v>
      </c>
      <c r="I167" s="250" t="n">
        <v>29.26</v>
      </c>
    </row>
    <row r="168" customFormat="false" ht="13.8" hidden="false" customHeight="false" outlineLevel="0" collapsed="false">
      <c r="A168" s="218"/>
      <c r="B168" s="251"/>
      <c r="C168" s="251"/>
      <c r="D168" s="251"/>
      <c r="E168" s="251"/>
      <c r="F168" s="212" t="s">
        <v>1831</v>
      </c>
      <c r="G168" s="212" t="n">
        <v>63</v>
      </c>
      <c r="H168" s="212" t="s">
        <v>120</v>
      </c>
      <c r="I168" s="250" t="n">
        <v>47.75</v>
      </c>
    </row>
    <row r="169" customFormat="false" ht="13.8" hidden="false" customHeight="false" outlineLevel="0" collapsed="false">
      <c r="A169" s="218"/>
      <c r="B169" s="251"/>
      <c r="C169" s="251"/>
      <c r="D169" s="251"/>
      <c r="E169" s="251"/>
      <c r="F169" s="212" t="s">
        <v>1835</v>
      </c>
      <c r="G169" s="212" t="n">
        <v>63</v>
      </c>
      <c r="H169" s="212" t="s">
        <v>120</v>
      </c>
      <c r="I169" s="250" t="n">
        <v>46.67</v>
      </c>
    </row>
    <row r="170" customFormat="false" ht="13.8" hidden="false" customHeight="false" outlineLevel="0" collapsed="false">
      <c r="A170" s="218"/>
      <c r="B170" s="251"/>
      <c r="C170" s="251"/>
      <c r="D170" s="251"/>
      <c r="E170" s="251"/>
      <c r="F170" s="212" t="s">
        <v>1863</v>
      </c>
      <c r="G170" s="212" t="n">
        <v>63</v>
      </c>
      <c r="H170" s="212" t="s">
        <v>120</v>
      </c>
      <c r="I170" s="250" t="n">
        <v>240.25</v>
      </c>
    </row>
    <row r="171" customFormat="false" ht="13.8" hidden="false" customHeight="false" outlineLevel="0" collapsed="false">
      <c r="A171" s="218"/>
      <c r="B171" s="251"/>
      <c r="C171" s="251"/>
      <c r="D171" s="251"/>
      <c r="E171" s="251"/>
      <c r="F171" s="212" t="s">
        <v>1904</v>
      </c>
      <c r="G171" s="212" t="n">
        <v>63</v>
      </c>
      <c r="H171" s="212" t="s">
        <v>120</v>
      </c>
      <c r="I171" s="250" t="n">
        <v>26.54</v>
      </c>
    </row>
    <row r="172" customFormat="false" ht="13.8" hidden="false" customHeight="false" outlineLevel="0" collapsed="false">
      <c r="A172" s="218"/>
      <c r="B172" s="251"/>
      <c r="C172" s="251"/>
      <c r="D172" s="251"/>
      <c r="E172" s="251"/>
      <c r="F172" s="212" t="s">
        <v>1936</v>
      </c>
      <c r="G172" s="212" t="n">
        <v>90</v>
      </c>
      <c r="H172" s="212" t="s">
        <v>120</v>
      </c>
      <c r="I172" s="250" t="n">
        <v>68.18</v>
      </c>
    </row>
    <row r="173" customFormat="false" ht="13.8" hidden="false" customHeight="false" outlineLevel="0" collapsed="false">
      <c r="A173" s="218"/>
      <c r="B173" s="251"/>
      <c r="C173" s="252"/>
      <c r="D173" s="252"/>
      <c r="E173" s="252"/>
      <c r="F173" s="212" t="s">
        <v>1961</v>
      </c>
      <c r="G173" s="212" t="n">
        <v>160</v>
      </c>
      <c r="H173" s="212" t="s">
        <v>120</v>
      </c>
      <c r="I173" s="250" t="n">
        <v>58.6</v>
      </c>
    </row>
    <row r="174" customFormat="false" ht="13.8" hidden="false" customHeight="false" outlineLevel="0" collapsed="false">
      <c r="A174" s="222"/>
      <c r="B174" s="252"/>
      <c r="C174" s="261" t="s">
        <v>7056</v>
      </c>
      <c r="D174" s="224"/>
      <c r="E174" s="224"/>
      <c r="F174" s="224"/>
      <c r="G174" s="224"/>
      <c r="H174" s="225"/>
      <c r="I174" s="217" t="n">
        <v>5129.48</v>
      </c>
    </row>
    <row r="175" customFormat="false" ht="13.8" hidden="false" customHeight="false" outlineLevel="0" collapsed="false">
      <c r="A175" s="211" t="s">
        <v>2033</v>
      </c>
      <c r="B175" s="249" t="s">
        <v>6</v>
      </c>
      <c r="C175" s="249" t="s">
        <v>1594</v>
      </c>
      <c r="D175" s="249" t="s">
        <v>2117</v>
      </c>
      <c r="E175" s="249" t="s">
        <v>117</v>
      </c>
      <c r="F175" s="212" t="s">
        <v>2116</v>
      </c>
      <c r="G175" s="212" t="n">
        <v>63</v>
      </c>
      <c r="H175" s="212" t="s">
        <v>120</v>
      </c>
      <c r="I175" s="250" t="n">
        <v>14.39</v>
      </c>
    </row>
    <row r="176" customFormat="false" ht="13.8" hidden="false" customHeight="false" outlineLevel="0" collapsed="false">
      <c r="A176" s="218"/>
      <c r="B176" s="251"/>
      <c r="C176" s="251"/>
      <c r="D176" s="251"/>
      <c r="E176" s="251"/>
      <c r="F176" s="212" t="s">
        <v>2120</v>
      </c>
      <c r="G176" s="212" t="n">
        <v>63</v>
      </c>
      <c r="H176" s="212" t="s">
        <v>120</v>
      </c>
      <c r="I176" s="250" t="n">
        <v>23.37</v>
      </c>
    </row>
    <row r="177" customFormat="false" ht="13.8" hidden="false" customHeight="false" outlineLevel="0" collapsed="false">
      <c r="A177" s="218"/>
      <c r="B177" s="251"/>
      <c r="C177" s="251"/>
      <c r="D177" s="251"/>
      <c r="E177" s="251"/>
      <c r="F177" s="212" t="s">
        <v>2131</v>
      </c>
      <c r="G177" s="212" t="n">
        <v>63</v>
      </c>
      <c r="H177" s="212" t="s">
        <v>120</v>
      </c>
      <c r="I177" s="250" t="n">
        <v>21.66</v>
      </c>
    </row>
    <row r="178" customFormat="false" ht="13.8" hidden="false" customHeight="false" outlineLevel="0" collapsed="false">
      <c r="A178" s="218"/>
      <c r="B178" s="251"/>
      <c r="C178" s="251"/>
      <c r="D178" s="251"/>
      <c r="E178" s="251"/>
      <c r="F178" s="212" t="s">
        <v>2142</v>
      </c>
      <c r="G178" s="212" t="n">
        <v>63</v>
      </c>
      <c r="H178" s="212" t="s">
        <v>120</v>
      </c>
      <c r="I178" s="250" t="n">
        <v>12.04</v>
      </c>
    </row>
    <row r="179" customFormat="false" ht="13.8" hidden="false" customHeight="false" outlineLevel="0" collapsed="false">
      <c r="A179" s="218"/>
      <c r="B179" s="251"/>
      <c r="C179" s="251"/>
      <c r="D179" s="252"/>
      <c r="E179" s="252"/>
      <c r="F179" s="212" t="s">
        <v>2174</v>
      </c>
      <c r="G179" s="212" t="n">
        <v>63</v>
      </c>
      <c r="H179" s="212" t="s">
        <v>120</v>
      </c>
      <c r="I179" s="250" t="n">
        <v>17.95</v>
      </c>
    </row>
    <row r="180" customFormat="false" ht="13.8" hidden="false" customHeight="false" outlineLevel="0" collapsed="false">
      <c r="A180" s="218"/>
      <c r="B180" s="251"/>
      <c r="C180" s="251"/>
      <c r="D180" s="249" t="s">
        <v>2035</v>
      </c>
      <c r="E180" s="249" t="s">
        <v>117</v>
      </c>
      <c r="F180" s="212" t="s">
        <v>2034</v>
      </c>
      <c r="G180" s="212" t="n">
        <v>63</v>
      </c>
      <c r="H180" s="212" t="s">
        <v>120</v>
      </c>
      <c r="I180" s="250" t="n">
        <v>65.09</v>
      </c>
    </row>
    <row r="181" customFormat="false" ht="13.8" hidden="false" customHeight="false" outlineLevel="0" collapsed="false">
      <c r="A181" s="218"/>
      <c r="B181" s="251"/>
      <c r="C181" s="251"/>
      <c r="D181" s="251"/>
      <c r="E181" s="251"/>
      <c r="F181" s="212" t="s">
        <v>2073</v>
      </c>
      <c r="G181" s="212" t="n">
        <v>63</v>
      </c>
      <c r="H181" s="212" t="s">
        <v>120</v>
      </c>
      <c r="I181" s="250" t="n">
        <v>399.22</v>
      </c>
    </row>
    <row r="182" customFormat="false" ht="13.8" hidden="false" customHeight="false" outlineLevel="0" collapsed="false">
      <c r="A182" s="218"/>
      <c r="B182" s="251"/>
      <c r="C182" s="251"/>
      <c r="D182" s="251"/>
      <c r="E182" s="251"/>
      <c r="F182" s="212" t="s">
        <v>2215</v>
      </c>
      <c r="G182" s="212" t="n">
        <v>225</v>
      </c>
      <c r="H182" s="212" t="s">
        <v>120</v>
      </c>
      <c r="I182" s="250" t="n">
        <v>2.62</v>
      </c>
    </row>
    <row r="183" customFormat="false" ht="13.8" hidden="false" customHeight="false" outlineLevel="0" collapsed="false">
      <c r="A183" s="218"/>
      <c r="B183" s="251"/>
      <c r="C183" s="251"/>
      <c r="D183" s="252"/>
      <c r="E183" s="252"/>
      <c r="F183" s="212" t="s">
        <v>2222</v>
      </c>
      <c r="G183" s="212" t="n">
        <v>225</v>
      </c>
      <c r="H183" s="212" t="s">
        <v>120</v>
      </c>
      <c r="I183" s="250" t="n">
        <v>230.28</v>
      </c>
    </row>
    <row r="184" customFormat="false" ht="13.8" hidden="false" customHeight="false" outlineLevel="0" collapsed="false">
      <c r="A184" s="218"/>
      <c r="B184" s="251"/>
      <c r="C184" s="251"/>
      <c r="D184" s="249" t="s">
        <v>2042</v>
      </c>
      <c r="E184" s="249" t="s">
        <v>117</v>
      </c>
      <c r="F184" s="212" t="s">
        <v>2041</v>
      </c>
      <c r="G184" s="212" t="n">
        <v>63</v>
      </c>
      <c r="H184" s="212" t="s">
        <v>120</v>
      </c>
      <c r="I184" s="250" t="n">
        <v>25.23</v>
      </c>
    </row>
    <row r="185" customFormat="false" ht="13.8" hidden="false" customHeight="false" outlineLevel="0" collapsed="false">
      <c r="A185" s="218"/>
      <c r="B185" s="251"/>
      <c r="C185" s="251"/>
      <c r="D185" s="251"/>
      <c r="E185" s="251"/>
      <c r="F185" s="212" t="s">
        <v>2047</v>
      </c>
      <c r="G185" s="212" t="n">
        <v>63</v>
      </c>
      <c r="H185" s="212" t="s">
        <v>120</v>
      </c>
      <c r="I185" s="250" t="n">
        <v>14.82</v>
      </c>
    </row>
    <row r="186" customFormat="false" ht="13.8" hidden="false" customHeight="false" outlineLevel="0" collapsed="false">
      <c r="A186" s="218"/>
      <c r="B186" s="251"/>
      <c r="C186" s="251"/>
      <c r="D186" s="251"/>
      <c r="E186" s="251"/>
      <c r="F186" s="212" t="s">
        <v>2049</v>
      </c>
      <c r="G186" s="212" t="n">
        <v>63</v>
      </c>
      <c r="H186" s="212" t="s">
        <v>120</v>
      </c>
      <c r="I186" s="250" t="n">
        <v>31.76</v>
      </c>
    </row>
    <row r="187" customFormat="false" ht="13.8" hidden="false" customHeight="false" outlineLevel="0" collapsed="false">
      <c r="A187" s="218"/>
      <c r="B187" s="251"/>
      <c r="C187" s="251"/>
      <c r="D187" s="252"/>
      <c r="E187" s="252"/>
      <c r="F187" s="212" t="s">
        <v>2100</v>
      </c>
      <c r="G187" s="212" t="n">
        <v>63</v>
      </c>
      <c r="H187" s="212" t="s">
        <v>120</v>
      </c>
      <c r="I187" s="250" t="n">
        <v>61.89</v>
      </c>
    </row>
    <row r="188" customFormat="false" ht="13.8" hidden="false" customHeight="false" outlineLevel="0" collapsed="false">
      <c r="A188" s="218"/>
      <c r="B188" s="251"/>
      <c r="C188" s="251"/>
      <c r="D188" s="249" t="s">
        <v>2053</v>
      </c>
      <c r="E188" s="249" t="s">
        <v>117</v>
      </c>
      <c r="F188" s="212" t="s">
        <v>2052</v>
      </c>
      <c r="G188" s="212" t="n">
        <v>63</v>
      </c>
      <c r="H188" s="212" t="s">
        <v>120</v>
      </c>
      <c r="I188" s="250" t="n">
        <v>66.41</v>
      </c>
    </row>
    <row r="189" customFormat="false" ht="13.8" hidden="false" customHeight="false" outlineLevel="0" collapsed="false">
      <c r="A189" s="218"/>
      <c r="B189" s="251"/>
      <c r="C189" s="251"/>
      <c r="D189" s="251"/>
      <c r="E189" s="251"/>
      <c r="F189" s="212" t="s">
        <v>2058</v>
      </c>
      <c r="G189" s="212" t="n">
        <v>63</v>
      </c>
      <c r="H189" s="212" t="s">
        <v>120</v>
      </c>
      <c r="I189" s="250" t="n">
        <v>27.38</v>
      </c>
    </row>
    <row r="190" customFormat="false" ht="13.8" hidden="false" customHeight="false" outlineLevel="0" collapsed="false">
      <c r="A190" s="218"/>
      <c r="B190" s="251"/>
      <c r="C190" s="251"/>
      <c r="D190" s="251"/>
      <c r="E190" s="251"/>
      <c r="F190" s="212" t="s">
        <v>2077</v>
      </c>
      <c r="G190" s="212" t="n">
        <v>63</v>
      </c>
      <c r="H190" s="212" t="s">
        <v>120</v>
      </c>
      <c r="I190" s="250" t="n">
        <v>25.15</v>
      </c>
    </row>
    <row r="191" customFormat="false" ht="13.8" hidden="false" customHeight="false" outlineLevel="0" collapsed="false">
      <c r="A191" s="218"/>
      <c r="B191" s="251"/>
      <c r="C191" s="251"/>
      <c r="D191" s="251"/>
      <c r="E191" s="251"/>
      <c r="F191" s="212" t="s">
        <v>2201</v>
      </c>
      <c r="G191" s="212" t="n">
        <v>160</v>
      </c>
      <c r="H191" s="212" t="s">
        <v>120</v>
      </c>
      <c r="I191" s="250" t="n">
        <v>106.49</v>
      </c>
    </row>
    <row r="192" customFormat="false" ht="13.8" hidden="false" customHeight="false" outlineLevel="0" collapsed="false">
      <c r="A192" s="218"/>
      <c r="B192" s="251"/>
      <c r="C192" s="251"/>
      <c r="D192" s="252"/>
      <c r="E192" s="252"/>
      <c r="F192" s="212" t="s">
        <v>2219</v>
      </c>
      <c r="G192" s="212" t="n">
        <v>160</v>
      </c>
      <c r="H192" s="212" t="s">
        <v>120</v>
      </c>
      <c r="I192" s="250" t="n">
        <v>102.33</v>
      </c>
    </row>
    <row r="193" customFormat="false" ht="13.8" hidden="false" customHeight="false" outlineLevel="0" collapsed="false">
      <c r="A193" s="218"/>
      <c r="B193" s="251"/>
      <c r="C193" s="251"/>
      <c r="D193" s="249" t="s">
        <v>2063</v>
      </c>
      <c r="E193" s="249" t="s">
        <v>117</v>
      </c>
      <c r="F193" s="212" t="s">
        <v>2062</v>
      </c>
      <c r="G193" s="212" t="n">
        <v>63</v>
      </c>
      <c r="H193" s="212" t="s">
        <v>120</v>
      </c>
      <c r="I193" s="250" t="n">
        <v>71.45</v>
      </c>
    </row>
    <row r="194" customFormat="false" ht="13.8" hidden="false" customHeight="false" outlineLevel="0" collapsed="false">
      <c r="A194" s="218"/>
      <c r="B194" s="251"/>
      <c r="C194" s="251"/>
      <c r="D194" s="251"/>
      <c r="E194" s="251"/>
      <c r="F194" s="212" t="s">
        <v>2068</v>
      </c>
      <c r="G194" s="212" t="n">
        <v>63</v>
      </c>
      <c r="H194" s="212" t="s">
        <v>120</v>
      </c>
      <c r="I194" s="250" t="n">
        <v>75.99</v>
      </c>
    </row>
    <row r="195" customFormat="false" ht="13.8" hidden="false" customHeight="false" outlineLevel="0" collapsed="false">
      <c r="A195" s="218"/>
      <c r="B195" s="251"/>
      <c r="C195" s="251"/>
      <c r="D195" s="251"/>
      <c r="E195" s="251"/>
      <c r="F195" s="212" t="s">
        <v>2083</v>
      </c>
      <c r="G195" s="212" t="n">
        <v>63</v>
      </c>
      <c r="H195" s="212" t="s">
        <v>120</v>
      </c>
      <c r="I195" s="250" t="n">
        <v>20.36</v>
      </c>
    </row>
    <row r="196" customFormat="false" ht="13.8" hidden="false" customHeight="false" outlineLevel="0" collapsed="false">
      <c r="A196" s="218"/>
      <c r="B196" s="251"/>
      <c r="C196" s="251"/>
      <c r="D196" s="251"/>
      <c r="E196" s="251"/>
      <c r="F196" s="212" t="s">
        <v>2086</v>
      </c>
      <c r="G196" s="212" t="n">
        <v>63</v>
      </c>
      <c r="H196" s="212" t="s">
        <v>120</v>
      </c>
      <c r="I196" s="250" t="n">
        <v>23.86</v>
      </c>
    </row>
    <row r="197" customFormat="false" ht="13.8" hidden="false" customHeight="false" outlineLevel="0" collapsed="false">
      <c r="A197" s="218"/>
      <c r="B197" s="251"/>
      <c r="C197" s="251"/>
      <c r="D197" s="251"/>
      <c r="E197" s="251"/>
      <c r="F197" s="212" t="s">
        <v>2089</v>
      </c>
      <c r="G197" s="212" t="n">
        <v>63</v>
      </c>
      <c r="H197" s="212" t="s">
        <v>120</v>
      </c>
      <c r="I197" s="250" t="n">
        <v>12.88</v>
      </c>
    </row>
    <row r="198" customFormat="false" ht="13.8" hidden="false" customHeight="false" outlineLevel="0" collapsed="false">
      <c r="A198" s="218"/>
      <c r="B198" s="251"/>
      <c r="C198" s="251"/>
      <c r="D198" s="251"/>
      <c r="E198" s="251"/>
      <c r="F198" s="212" t="s">
        <v>2096</v>
      </c>
      <c r="G198" s="212" t="n">
        <v>63</v>
      </c>
      <c r="H198" s="212" t="s">
        <v>120</v>
      </c>
      <c r="I198" s="250" t="n">
        <v>25.82</v>
      </c>
    </row>
    <row r="199" customFormat="false" ht="13.8" hidden="false" customHeight="false" outlineLevel="0" collapsed="false">
      <c r="A199" s="218"/>
      <c r="B199" s="251"/>
      <c r="C199" s="251"/>
      <c r="D199" s="251"/>
      <c r="E199" s="251"/>
      <c r="F199" s="212" t="s">
        <v>2108</v>
      </c>
      <c r="G199" s="212" t="n">
        <v>110</v>
      </c>
      <c r="H199" s="212" t="s">
        <v>120</v>
      </c>
      <c r="I199" s="250" t="n">
        <v>72.22</v>
      </c>
    </row>
    <row r="200" customFormat="false" ht="13.8" hidden="false" customHeight="false" outlineLevel="0" collapsed="false">
      <c r="A200" s="218"/>
      <c r="B200" s="251"/>
      <c r="C200" s="251"/>
      <c r="D200" s="251"/>
      <c r="E200" s="251"/>
      <c r="F200" s="212" t="s">
        <v>2111</v>
      </c>
      <c r="G200" s="212" t="n">
        <v>63</v>
      </c>
      <c r="H200" s="212" t="s">
        <v>120</v>
      </c>
      <c r="I200" s="250" t="n">
        <v>63.39</v>
      </c>
    </row>
    <row r="201" customFormat="false" ht="13.8" hidden="false" customHeight="false" outlineLevel="0" collapsed="false">
      <c r="A201" s="218"/>
      <c r="B201" s="251"/>
      <c r="C201" s="251"/>
      <c r="D201" s="251"/>
      <c r="E201" s="251"/>
      <c r="F201" s="212" t="s">
        <v>2123</v>
      </c>
      <c r="G201" s="212" t="n">
        <v>110</v>
      </c>
      <c r="H201" s="212" t="s">
        <v>120</v>
      </c>
      <c r="I201" s="250" t="n">
        <v>18.28</v>
      </c>
    </row>
    <row r="202" customFormat="false" ht="13.8" hidden="false" customHeight="false" outlineLevel="0" collapsed="false">
      <c r="A202" s="218"/>
      <c r="B202" s="251"/>
      <c r="C202" s="251"/>
      <c r="D202" s="251"/>
      <c r="E202" s="251"/>
      <c r="F202" s="212" t="s">
        <v>2126</v>
      </c>
      <c r="G202" s="212" t="n">
        <v>63</v>
      </c>
      <c r="H202" s="212" t="s">
        <v>120</v>
      </c>
      <c r="I202" s="250" t="n">
        <v>57.63</v>
      </c>
    </row>
    <row r="203" customFormat="false" ht="13.8" hidden="false" customHeight="false" outlineLevel="0" collapsed="false">
      <c r="A203" s="218"/>
      <c r="B203" s="251"/>
      <c r="C203" s="251"/>
      <c r="D203" s="251"/>
      <c r="E203" s="251"/>
      <c r="F203" s="212" t="s">
        <v>2134</v>
      </c>
      <c r="G203" s="212" t="n">
        <v>63</v>
      </c>
      <c r="H203" s="212" t="s">
        <v>120</v>
      </c>
      <c r="I203" s="250" t="n">
        <v>72.64</v>
      </c>
    </row>
    <row r="204" customFormat="false" ht="13.8" hidden="false" customHeight="false" outlineLevel="0" collapsed="false">
      <c r="A204" s="218"/>
      <c r="B204" s="251"/>
      <c r="C204" s="251"/>
      <c r="D204" s="251"/>
      <c r="E204" s="251"/>
      <c r="F204" s="212" t="s">
        <v>2139</v>
      </c>
      <c r="G204" s="212" t="n">
        <v>110</v>
      </c>
      <c r="H204" s="212" t="s">
        <v>120</v>
      </c>
      <c r="I204" s="250" t="n">
        <v>56.57</v>
      </c>
    </row>
    <row r="205" customFormat="false" ht="13.8" hidden="false" customHeight="false" outlineLevel="0" collapsed="false">
      <c r="A205" s="218"/>
      <c r="B205" s="251"/>
      <c r="C205" s="251"/>
      <c r="D205" s="251"/>
      <c r="E205" s="251"/>
      <c r="F205" s="212" t="s">
        <v>2145</v>
      </c>
      <c r="G205" s="212" t="n">
        <v>63</v>
      </c>
      <c r="H205" s="212" t="s">
        <v>120</v>
      </c>
      <c r="I205" s="250" t="n">
        <v>71.94</v>
      </c>
    </row>
    <row r="206" customFormat="false" ht="13.8" hidden="false" customHeight="false" outlineLevel="0" collapsed="false">
      <c r="A206" s="218"/>
      <c r="B206" s="251"/>
      <c r="C206" s="251"/>
      <c r="D206" s="251"/>
      <c r="E206" s="251"/>
      <c r="F206" s="212" t="s">
        <v>2150</v>
      </c>
      <c r="G206" s="212" t="n">
        <v>110</v>
      </c>
      <c r="H206" s="212" t="s">
        <v>120</v>
      </c>
      <c r="I206" s="250" t="n">
        <v>33.96</v>
      </c>
    </row>
    <row r="207" customFormat="false" ht="13.8" hidden="false" customHeight="false" outlineLevel="0" collapsed="false">
      <c r="A207" s="218"/>
      <c r="B207" s="251"/>
      <c r="C207" s="251"/>
      <c r="D207" s="251"/>
      <c r="E207" s="251"/>
      <c r="F207" s="212" t="s">
        <v>2153</v>
      </c>
      <c r="G207" s="212" t="n">
        <v>110</v>
      </c>
      <c r="H207" s="212" t="s">
        <v>120</v>
      </c>
      <c r="I207" s="250" t="n">
        <v>33.18</v>
      </c>
    </row>
    <row r="208" customFormat="false" ht="13.8" hidden="false" customHeight="false" outlineLevel="0" collapsed="false">
      <c r="A208" s="218"/>
      <c r="B208" s="251"/>
      <c r="C208" s="251"/>
      <c r="D208" s="251"/>
      <c r="E208" s="251"/>
      <c r="F208" s="212" t="s">
        <v>2157</v>
      </c>
      <c r="G208" s="212" t="n">
        <v>110</v>
      </c>
      <c r="H208" s="212" t="s">
        <v>120</v>
      </c>
      <c r="I208" s="250" t="n">
        <v>1.39</v>
      </c>
    </row>
    <row r="209" customFormat="false" ht="13.8" hidden="false" customHeight="false" outlineLevel="0" collapsed="false">
      <c r="A209" s="218"/>
      <c r="B209" s="251"/>
      <c r="C209" s="251"/>
      <c r="D209" s="251"/>
      <c r="E209" s="251"/>
      <c r="F209" s="212" t="s">
        <v>2159</v>
      </c>
      <c r="G209" s="212" t="n">
        <v>63</v>
      </c>
      <c r="H209" s="212" t="s">
        <v>120</v>
      </c>
      <c r="I209" s="250" t="n">
        <v>227.81</v>
      </c>
    </row>
    <row r="210" customFormat="false" ht="13.8" hidden="false" customHeight="false" outlineLevel="0" collapsed="false">
      <c r="A210" s="218"/>
      <c r="B210" s="251"/>
      <c r="C210" s="251"/>
      <c r="D210" s="252"/>
      <c r="E210" s="252"/>
      <c r="F210" s="212" t="s">
        <v>2178</v>
      </c>
      <c r="G210" s="212" t="n">
        <v>110</v>
      </c>
      <c r="H210" s="212" t="s">
        <v>120</v>
      </c>
      <c r="I210" s="250" t="n">
        <v>75.73</v>
      </c>
    </row>
    <row r="211" customFormat="false" ht="13.8" hidden="false" customHeight="false" outlineLevel="0" collapsed="false">
      <c r="A211" s="218"/>
      <c r="B211" s="251"/>
      <c r="C211" s="251"/>
      <c r="D211" s="249" t="s">
        <v>2080</v>
      </c>
      <c r="E211" s="249" t="s">
        <v>117</v>
      </c>
      <c r="F211" s="212" t="s">
        <v>2079</v>
      </c>
      <c r="G211" s="212" t="n">
        <v>63</v>
      </c>
      <c r="H211" s="212" t="s">
        <v>120</v>
      </c>
      <c r="I211" s="250" t="n">
        <v>60.24</v>
      </c>
    </row>
    <row r="212" customFormat="false" ht="13.8" hidden="false" customHeight="false" outlineLevel="0" collapsed="false">
      <c r="A212" s="218"/>
      <c r="B212" s="251"/>
      <c r="C212" s="251"/>
      <c r="D212" s="251"/>
      <c r="E212" s="251"/>
      <c r="F212" s="212" t="s">
        <v>2093</v>
      </c>
      <c r="G212" s="212" t="n">
        <v>63</v>
      </c>
      <c r="H212" s="212" t="s">
        <v>120</v>
      </c>
      <c r="I212" s="250" t="n">
        <v>20.89</v>
      </c>
    </row>
    <row r="213" customFormat="false" ht="13.8" hidden="false" customHeight="false" outlineLevel="0" collapsed="false">
      <c r="A213" s="218"/>
      <c r="B213" s="251"/>
      <c r="C213" s="251"/>
      <c r="D213" s="252"/>
      <c r="E213" s="252"/>
      <c r="F213" s="212" t="s">
        <v>2105</v>
      </c>
      <c r="G213" s="212" t="n">
        <v>63</v>
      </c>
      <c r="H213" s="212" t="s">
        <v>120</v>
      </c>
      <c r="I213" s="250" t="n">
        <v>10.93</v>
      </c>
    </row>
    <row r="214" customFormat="false" ht="13.8" hidden="false" customHeight="false" outlineLevel="0" collapsed="false">
      <c r="A214" s="218"/>
      <c r="B214" s="251"/>
      <c r="C214" s="251"/>
      <c r="D214" s="249" t="s">
        <v>2276</v>
      </c>
      <c r="E214" s="249" t="s">
        <v>117</v>
      </c>
      <c r="F214" s="212" t="s">
        <v>2275</v>
      </c>
      <c r="G214" s="212" t="n">
        <v>63</v>
      </c>
      <c r="H214" s="212" t="s">
        <v>120</v>
      </c>
      <c r="I214" s="250" t="n">
        <v>0.96</v>
      </c>
    </row>
    <row r="215" customFormat="false" ht="13.8" hidden="false" customHeight="false" outlineLevel="0" collapsed="false">
      <c r="A215" s="218"/>
      <c r="B215" s="251"/>
      <c r="C215" s="251"/>
      <c r="D215" s="251"/>
      <c r="E215" s="251"/>
      <c r="F215" s="212" t="s">
        <v>2284</v>
      </c>
      <c r="G215" s="212" t="n">
        <v>63</v>
      </c>
      <c r="H215" s="212" t="s">
        <v>120</v>
      </c>
      <c r="I215" s="250" t="n">
        <v>2.77</v>
      </c>
    </row>
    <row r="216" customFormat="false" ht="13.8" hidden="false" customHeight="false" outlineLevel="0" collapsed="false">
      <c r="A216" s="218"/>
      <c r="B216" s="251"/>
      <c r="C216" s="251"/>
      <c r="D216" s="252"/>
      <c r="E216" s="252"/>
      <c r="F216" s="212" t="s">
        <v>2347</v>
      </c>
      <c r="G216" s="212" t="n">
        <v>63</v>
      </c>
      <c r="H216" s="212" t="s">
        <v>120</v>
      </c>
      <c r="I216" s="250" t="n">
        <v>263.82</v>
      </c>
    </row>
    <row r="217" customFormat="false" ht="13.8" hidden="false" customHeight="false" outlineLevel="0" collapsed="false">
      <c r="A217" s="218"/>
      <c r="B217" s="251"/>
      <c r="C217" s="251"/>
      <c r="D217" s="249" t="s">
        <v>2339</v>
      </c>
      <c r="E217" s="249" t="s">
        <v>117</v>
      </c>
      <c r="F217" s="212" t="s">
        <v>2338</v>
      </c>
      <c r="G217" s="212" t="n">
        <v>63</v>
      </c>
      <c r="H217" s="212" t="s">
        <v>120</v>
      </c>
      <c r="I217" s="250" t="n">
        <v>48.01</v>
      </c>
    </row>
    <row r="218" customFormat="false" ht="13.8" hidden="false" customHeight="false" outlineLevel="0" collapsed="false">
      <c r="A218" s="218"/>
      <c r="B218" s="251"/>
      <c r="C218" s="251"/>
      <c r="D218" s="252"/>
      <c r="E218" s="252"/>
      <c r="F218" s="212" t="s">
        <v>2343</v>
      </c>
      <c r="G218" s="212" t="n">
        <v>63</v>
      </c>
      <c r="H218" s="212" t="s">
        <v>120</v>
      </c>
      <c r="I218" s="250" t="n">
        <v>61.88</v>
      </c>
    </row>
    <row r="219" customFormat="false" ht="13.8" hidden="false" customHeight="false" outlineLevel="0" collapsed="false">
      <c r="A219" s="218"/>
      <c r="B219" s="251"/>
      <c r="C219" s="251"/>
      <c r="D219" s="249" t="s">
        <v>2387</v>
      </c>
      <c r="E219" s="249" t="s">
        <v>117</v>
      </c>
      <c r="F219" s="212" t="s">
        <v>2386</v>
      </c>
      <c r="G219" s="212" t="n">
        <v>63</v>
      </c>
      <c r="H219" s="212" t="s">
        <v>120</v>
      </c>
      <c r="I219" s="250" t="n">
        <v>266.27</v>
      </c>
    </row>
    <row r="220" customFormat="false" ht="13.8" hidden="false" customHeight="false" outlineLevel="0" collapsed="false">
      <c r="A220" s="218"/>
      <c r="B220" s="251"/>
      <c r="C220" s="251"/>
      <c r="D220" s="251"/>
      <c r="E220" s="251"/>
      <c r="F220" s="212" t="s">
        <v>2408</v>
      </c>
      <c r="G220" s="212" t="n">
        <v>63</v>
      </c>
      <c r="H220" s="212" t="s">
        <v>120</v>
      </c>
      <c r="I220" s="250" t="n">
        <v>23.79</v>
      </c>
    </row>
    <row r="221" customFormat="false" ht="13.8" hidden="false" customHeight="false" outlineLevel="0" collapsed="false">
      <c r="A221" s="218"/>
      <c r="B221" s="251"/>
      <c r="C221" s="251"/>
      <c r="D221" s="251"/>
      <c r="E221" s="251"/>
      <c r="F221" s="212" t="s">
        <v>2431</v>
      </c>
      <c r="G221" s="212" t="n">
        <v>90</v>
      </c>
      <c r="H221" s="212" t="s">
        <v>120</v>
      </c>
      <c r="I221" s="250" t="n">
        <v>38.69</v>
      </c>
    </row>
    <row r="222" customFormat="false" ht="13.8" hidden="false" customHeight="false" outlineLevel="0" collapsed="false">
      <c r="A222" s="218"/>
      <c r="B222" s="251"/>
      <c r="C222" s="251"/>
      <c r="D222" s="251"/>
      <c r="E222" s="251"/>
      <c r="F222" s="212" t="s">
        <v>2442</v>
      </c>
      <c r="G222" s="212" t="n">
        <v>90</v>
      </c>
      <c r="H222" s="212" t="s">
        <v>120</v>
      </c>
      <c r="I222" s="250" t="n">
        <v>47.46</v>
      </c>
    </row>
    <row r="223" customFormat="false" ht="13.8" hidden="false" customHeight="false" outlineLevel="0" collapsed="false">
      <c r="A223" s="218"/>
      <c r="B223" s="251"/>
      <c r="C223" s="251"/>
      <c r="D223" s="251"/>
      <c r="E223" s="251"/>
      <c r="F223" s="212" t="s">
        <v>2454</v>
      </c>
      <c r="G223" s="212" t="n">
        <v>63</v>
      </c>
      <c r="H223" s="212" t="s">
        <v>120</v>
      </c>
      <c r="I223" s="250" t="n">
        <v>79.49</v>
      </c>
    </row>
    <row r="224" customFormat="false" ht="13.8" hidden="false" customHeight="false" outlineLevel="0" collapsed="false">
      <c r="A224" s="218"/>
      <c r="B224" s="251"/>
      <c r="C224" s="251"/>
      <c r="D224" s="251"/>
      <c r="E224" s="251"/>
      <c r="F224" s="212" t="s">
        <v>2458</v>
      </c>
      <c r="G224" s="212" t="n">
        <v>160</v>
      </c>
      <c r="H224" s="212" t="s">
        <v>120</v>
      </c>
      <c r="I224" s="250" t="n">
        <v>53.44</v>
      </c>
    </row>
    <row r="225" customFormat="false" ht="13.8" hidden="false" customHeight="false" outlineLevel="0" collapsed="false">
      <c r="A225" s="218"/>
      <c r="B225" s="251"/>
      <c r="C225" s="251"/>
      <c r="D225" s="251"/>
      <c r="E225" s="251"/>
      <c r="F225" s="212" t="s">
        <v>2462</v>
      </c>
      <c r="G225" s="212" t="n">
        <v>110</v>
      </c>
      <c r="H225" s="212" t="s">
        <v>120</v>
      </c>
      <c r="I225" s="250" t="n">
        <v>44.38</v>
      </c>
    </row>
    <row r="226" customFormat="false" ht="13.8" hidden="false" customHeight="false" outlineLevel="0" collapsed="false">
      <c r="A226" s="218"/>
      <c r="B226" s="251"/>
      <c r="C226" s="251"/>
      <c r="D226" s="251"/>
      <c r="E226" s="251"/>
      <c r="F226" s="212" t="s">
        <v>2479</v>
      </c>
      <c r="G226" s="212" t="n">
        <v>160</v>
      </c>
      <c r="H226" s="212" t="s">
        <v>120</v>
      </c>
      <c r="I226" s="250" t="n">
        <v>79.36</v>
      </c>
    </row>
    <row r="227" customFormat="false" ht="13.8" hidden="false" customHeight="false" outlineLevel="0" collapsed="false">
      <c r="A227" s="218"/>
      <c r="B227" s="251"/>
      <c r="C227" s="251"/>
      <c r="D227" s="252"/>
      <c r="E227" s="252"/>
      <c r="F227" s="212" t="s">
        <v>2482</v>
      </c>
      <c r="G227" s="212" t="n">
        <v>90</v>
      </c>
      <c r="H227" s="212" t="s">
        <v>120</v>
      </c>
      <c r="I227" s="250" t="n">
        <v>163.42</v>
      </c>
    </row>
    <row r="228" customFormat="false" ht="13.8" hidden="false" customHeight="false" outlineLevel="0" collapsed="false">
      <c r="A228" s="218"/>
      <c r="B228" s="251"/>
      <c r="C228" s="251"/>
      <c r="D228" s="249" t="s">
        <v>2400</v>
      </c>
      <c r="E228" s="249" t="s">
        <v>117</v>
      </c>
      <c r="F228" s="212" t="s">
        <v>2399</v>
      </c>
      <c r="G228" s="212" t="n">
        <v>63</v>
      </c>
      <c r="H228" s="212" t="s">
        <v>120</v>
      </c>
      <c r="I228" s="250" t="n">
        <v>80.96</v>
      </c>
    </row>
    <row r="229" customFormat="false" ht="13.8" hidden="false" customHeight="false" outlineLevel="0" collapsed="false">
      <c r="A229" s="218"/>
      <c r="B229" s="251"/>
      <c r="C229" s="251"/>
      <c r="D229" s="251"/>
      <c r="E229" s="251"/>
      <c r="F229" s="212" t="s">
        <v>2414</v>
      </c>
      <c r="G229" s="212" t="n">
        <v>90</v>
      </c>
      <c r="H229" s="212" t="s">
        <v>120</v>
      </c>
      <c r="I229" s="250" t="n">
        <v>45.91</v>
      </c>
    </row>
    <row r="230" customFormat="false" ht="13.8" hidden="false" customHeight="false" outlineLevel="0" collapsed="false">
      <c r="A230" s="218"/>
      <c r="B230" s="251"/>
      <c r="C230" s="251"/>
      <c r="D230" s="251"/>
      <c r="E230" s="251"/>
      <c r="F230" s="212" t="s">
        <v>2423</v>
      </c>
      <c r="G230" s="212" t="n">
        <v>63</v>
      </c>
      <c r="H230" s="212" t="s">
        <v>120</v>
      </c>
      <c r="I230" s="250" t="n">
        <v>49.36</v>
      </c>
    </row>
    <row r="231" customFormat="false" ht="13.8" hidden="false" customHeight="false" outlineLevel="0" collapsed="false">
      <c r="A231" s="218"/>
      <c r="B231" s="251"/>
      <c r="C231" s="251"/>
      <c r="D231" s="251"/>
      <c r="E231" s="251"/>
      <c r="F231" s="212" t="s">
        <v>2427</v>
      </c>
      <c r="G231" s="212" t="n">
        <v>63</v>
      </c>
      <c r="H231" s="212" t="s">
        <v>120</v>
      </c>
      <c r="I231" s="250" t="n">
        <v>60.2</v>
      </c>
    </row>
    <row r="232" customFormat="false" ht="13.8" hidden="false" customHeight="false" outlineLevel="0" collapsed="false">
      <c r="A232" s="218"/>
      <c r="B232" s="251"/>
      <c r="C232" s="251"/>
      <c r="D232" s="251"/>
      <c r="E232" s="251"/>
      <c r="F232" s="212" t="s">
        <v>2438</v>
      </c>
      <c r="G232" s="212" t="n">
        <v>63</v>
      </c>
      <c r="H232" s="212" t="s">
        <v>120</v>
      </c>
      <c r="I232" s="250" t="n">
        <v>48.78</v>
      </c>
    </row>
    <row r="233" customFormat="false" ht="13.8" hidden="false" customHeight="false" outlineLevel="0" collapsed="false">
      <c r="A233" s="218"/>
      <c r="B233" s="251"/>
      <c r="C233" s="251"/>
      <c r="D233" s="251"/>
      <c r="E233" s="251"/>
      <c r="F233" s="212" t="s">
        <v>2446</v>
      </c>
      <c r="G233" s="212" t="n">
        <v>63</v>
      </c>
      <c r="H233" s="212" t="s">
        <v>120</v>
      </c>
      <c r="I233" s="250" t="n">
        <v>135.68</v>
      </c>
    </row>
    <row r="234" customFormat="false" ht="13.8" hidden="false" customHeight="false" outlineLevel="0" collapsed="false">
      <c r="A234" s="218"/>
      <c r="B234" s="251"/>
      <c r="C234" s="251"/>
      <c r="D234" s="251"/>
      <c r="E234" s="251"/>
      <c r="F234" s="212" t="s">
        <v>2450</v>
      </c>
      <c r="G234" s="212" t="n">
        <v>63</v>
      </c>
      <c r="H234" s="212" t="s">
        <v>120</v>
      </c>
      <c r="I234" s="250" t="n">
        <v>53.86</v>
      </c>
    </row>
    <row r="235" customFormat="false" ht="13.8" hidden="false" customHeight="false" outlineLevel="0" collapsed="false">
      <c r="A235" s="218"/>
      <c r="B235" s="251"/>
      <c r="C235" s="251"/>
      <c r="D235" s="251"/>
      <c r="E235" s="251"/>
      <c r="F235" s="212" t="s">
        <v>2465</v>
      </c>
      <c r="G235" s="212" t="n">
        <v>63</v>
      </c>
      <c r="H235" s="212" t="s">
        <v>120</v>
      </c>
      <c r="I235" s="250" t="n">
        <v>42.43</v>
      </c>
    </row>
    <row r="236" customFormat="false" ht="13.8" hidden="false" customHeight="false" outlineLevel="0" collapsed="false">
      <c r="A236" s="218"/>
      <c r="B236" s="251"/>
      <c r="C236" s="251"/>
      <c r="D236" s="251"/>
      <c r="E236" s="251"/>
      <c r="F236" s="212" t="s">
        <v>2469</v>
      </c>
      <c r="G236" s="212" t="n">
        <v>63</v>
      </c>
      <c r="H236" s="212" t="s">
        <v>120</v>
      </c>
      <c r="I236" s="250" t="n">
        <v>103.95</v>
      </c>
    </row>
    <row r="237" customFormat="false" ht="13.8" hidden="false" customHeight="false" outlineLevel="0" collapsed="false">
      <c r="A237" s="218"/>
      <c r="B237" s="251"/>
      <c r="C237" s="251"/>
      <c r="D237" s="251"/>
      <c r="E237" s="251"/>
      <c r="F237" s="212" t="s">
        <v>2473</v>
      </c>
      <c r="G237" s="212" t="n">
        <v>63</v>
      </c>
      <c r="H237" s="212" t="s">
        <v>120</v>
      </c>
      <c r="I237" s="250" t="n">
        <v>37.93</v>
      </c>
    </row>
    <row r="238" customFormat="false" ht="13.8" hidden="false" customHeight="false" outlineLevel="0" collapsed="false">
      <c r="A238" s="218"/>
      <c r="B238" s="251"/>
      <c r="C238" s="251"/>
      <c r="D238" s="251"/>
      <c r="E238" s="251"/>
      <c r="F238" s="212" t="s">
        <v>2477</v>
      </c>
      <c r="G238" s="212" t="n">
        <v>63</v>
      </c>
      <c r="H238" s="212" t="s">
        <v>120</v>
      </c>
      <c r="I238" s="250" t="n">
        <v>39.29</v>
      </c>
    </row>
    <row r="239" customFormat="false" ht="13.8" hidden="false" customHeight="false" outlineLevel="0" collapsed="false">
      <c r="A239" s="218"/>
      <c r="B239" s="251"/>
      <c r="C239" s="251"/>
      <c r="D239" s="251"/>
      <c r="E239" s="251"/>
      <c r="F239" s="212" t="s">
        <v>2490</v>
      </c>
      <c r="G239" s="212" t="n">
        <v>63</v>
      </c>
      <c r="H239" s="212" t="s">
        <v>120</v>
      </c>
      <c r="I239" s="250" t="n">
        <v>42.01</v>
      </c>
    </row>
    <row r="240" customFormat="false" ht="13.8" hidden="false" customHeight="false" outlineLevel="0" collapsed="false">
      <c r="A240" s="218"/>
      <c r="B240" s="251"/>
      <c r="C240" s="251"/>
      <c r="D240" s="251"/>
      <c r="E240" s="251"/>
      <c r="F240" s="212" t="s">
        <v>2494</v>
      </c>
      <c r="G240" s="212" t="n">
        <v>63</v>
      </c>
      <c r="H240" s="212" t="s">
        <v>120</v>
      </c>
      <c r="I240" s="250" t="n">
        <v>93.01</v>
      </c>
    </row>
    <row r="241" customFormat="false" ht="13.8" hidden="false" customHeight="false" outlineLevel="0" collapsed="false">
      <c r="A241" s="218"/>
      <c r="B241" s="251"/>
      <c r="C241" s="251"/>
      <c r="D241" s="252"/>
      <c r="E241" s="252"/>
      <c r="F241" s="212" t="s">
        <v>2512</v>
      </c>
      <c r="G241" s="212" t="n">
        <v>63</v>
      </c>
      <c r="H241" s="212" t="s">
        <v>120</v>
      </c>
      <c r="I241" s="250" t="n">
        <v>20.15</v>
      </c>
    </row>
    <row r="242" customFormat="false" ht="13.8" hidden="false" customHeight="false" outlineLevel="0" collapsed="false">
      <c r="A242" s="218"/>
      <c r="B242" s="251"/>
      <c r="C242" s="251"/>
      <c r="D242" s="249" t="s">
        <v>2209</v>
      </c>
      <c r="E242" s="249" t="s">
        <v>117</v>
      </c>
      <c r="F242" s="212" t="s">
        <v>2208</v>
      </c>
      <c r="G242" s="212" t="n">
        <v>225</v>
      </c>
      <c r="H242" s="212" t="s">
        <v>120</v>
      </c>
      <c r="I242" s="250" t="n">
        <v>8.61</v>
      </c>
    </row>
    <row r="243" customFormat="false" ht="13.8" hidden="false" customHeight="false" outlineLevel="0" collapsed="false">
      <c r="A243" s="218"/>
      <c r="B243" s="251"/>
      <c r="C243" s="251"/>
      <c r="D243" s="252"/>
      <c r="E243" s="252"/>
      <c r="F243" s="212" t="s">
        <v>2212</v>
      </c>
      <c r="G243" s="212" t="n">
        <v>225</v>
      </c>
      <c r="H243" s="212" t="s">
        <v>120</v>
      </c>
      <c r="I243" s="250" t="n">
        <v>28.83</v>
      </c>
    </row>
    <row r="244" customFormat="false" ht="13.8" hidden="false" customHeight="false" outlineLevel="0" collapsed="false">
      <c r="A244" s="218"/>
      <c r="B244" s="251"/>
      <c r="C244" s="251"/>
      <c r="D244" s="249" t="s">
        <v>2164</v>
      </c>
      <c r="E244" s="249" t="s">
        <v>117</v>
      </c>
      <c r="F244" s="212" t="s">
        <v>2163</v>
      </c>
      <c r="G244" s="212" t="n">
        <v>63</v>
      </c>
      <c r="H244" s="212" t="s">
        <v>120</v>
      </c>
      <c r="I244" s="250" t="n">
        <v>391.22</v>
      </c>
    </row>
    <row r="245" customFormat="false" ht="13.8" hidden="false" customHeight="false" outlineLevel="0" collapsed="false">
      <c r="A245" s="218"/>
      <c r="B245" s="251"/>
      <c r="C245" s="251"/>
      <c r="D245" s="252"/>
      <c r="E245" s="252"/>
      <c r="F245" s="212" t="s">
        <v>2256</v>
      </c>
      <c r="G245" s="212" t="n">
        <v>160</v>
      </c>
      <c r="H245" s="212" t="s">
        <v>120</v>
      </c>
      <c r="I245" s="250" t="n">
        <v>45.64</v>
      </c>
    </row>
    <row r="246" customFormat="false" ht="13.8" hidden="false" customHeight="false" outlineLevel="0" collapsed="false">
      <c r="A246" s="218"/>
      <c r="B246" s="251"/>
      <c r="C246" s="251"/>
      <c r="D246" s="249" t="s">
        <v>2186</v>
      </c>
      <c r="E246" s="249" t="s">
        <v>117</v>
      </c>
      <c r="F246" s="212" t="s">
        <v>2185</v>
      </c>
      <c r="G246" s="212" t="n">
        <v>63</v>
      </c>
      <c r="H246" s="212" t="s">
        <v>120</v>
      </c>
      <c r="I246" s="250" t="n">
        <v>375.8</v>
      </c>
    </row>
    <row r="247" customFormat="false" ht="13.8" hidden="false" customHeight="false" outlineLevel="0" collapsed="false">
      <c r="A247" s="218"/>
      <c r="B247" s="251"/>
      <c r="C247" s="251"/>
      <c r="D247" s="251"/>
      <c r="E247" s="251"/>
      <c r="F247" s="212" t="s">
        <v>2197</v>
      </c>
      <c r="G247" s="212" t="n">
        <v>63</v>
      </c>
      <c r="H247" s="212" t="s">
        <v>120</v>
      </c>
      <c r="I247" s="250" t="n">
        <v>359.87</v>
      </c>
    </row>
    <row r="248" customFormat="false" ht="13.8" hidden="false" customHeight="false" outlineLevel="0" collapsed="false">
      <c r="A248" s="218"/>
      <c r="B248" s="251"/>
      <c r="C248" s="251"/>
      <c r="D248" s="251"/>
      <c r="E248" s="251"/>
      <c r="F248" s="212" t="s">
        <v>2263</v>
      </c>
      <c r="G248" s="212" t="n">
        <v>225</v>
      </c>
      <c r="H248" s="212" t="s">
        <v>120</v>
      </c>
      <c r="I248" s="250" t="n">
        <v>35.68</v>
      </c>
    </row>
    <row r="249" customFormat="false" ht="13.8" hidden="false" customHeight="false" outlineLevel="0" collapsed="false">
      <c r="A249" s="218"/>
      <c r="B249" s="251"/>
      <c r="C249" s="251"/>
      <c r="D249" s="251"/>
      <c r="E249" s="251"/>
      <c r="F249" s="212" t="s">
        <v>2268</v>
      </c>
      <c r="G249" s="212" t="n">
        <v>160</v>
      </c>
      <c r="H249" s="212" t="s">
        <v>120</v>
      </c>
      <c r="I249" s="250" t="n">
        <v>32.57</v>
      </c>
    </row>
    <row r="250" customFormat="false" ht="13.8" hidden="false" customHeight="false" outlineLevel="0" collapsed="false">
      <c r="A250" s="218"/>
      <c r="B250" s="251"/>
      <c r="C250" s="251"/>
      <c r="D250" s="251"/>
      <c r="E250" s="251"/>
      <c r="F250" s="212" t="s">
        <v>2271</v>
      </c>
      <c r="G250" s="212" t="n">
        <v>160</v>
      </c>
      <c r="H250" s="212" t="s">
        <v>120</v>
      </c>
      <c r="I250" s="250" t="n">
        <v>3.77</v>
      </c>
    </row>
    <row r="251" customFormat="false" ht="13.8" hidden="false" customHeight="false" outlineLevel="0" collapsed="false">
      <c r="A251" s="218"/>
      <c r="B251" s="251"/>
      <c r="C251" s="251"/>
      <c r="D251" s="251"/>
      <c r="E251" s="251"/>
      <c r="F251" s="212" t="s">
        <v>2281</v>
      </c>
      <c r="G251" s="212" t="n">
        <v>160</v>
      </c>
      <c r="H251" s="212" t="s">
        <v>120</v>
      </c>
      <c r="I251" s="250" t="n">
        <v>19.33</v>
      </c>
    </row>
    <row r="252" customFormat="false" ht="13.8" hidden="false" customHeight="false" outlineLevel="0" collapsed="false">
      <c r="A252" s="218"/>
      <c r="B252" s="251"/>
      <c r="C252" s="251"/>
      <c r="D252" s="252"/>
      <c r="E252" s="252"/>
      <c r="F252" s="212" t="s">
        <v>2296</v>
      </c>
      <c r="G252" s="212" t="n">
        <v>160</v>
      </c>
      <c r="H252" s="212" t="s">
        <v>120</v>
      </c>
      <c r="I252" s="250" t="n">
        <v>10.36</v>
      </c>
    </row>
    <row r="253" customFormat="false" ht="13.8" hidden="false" customHeight="false" outlineLevel="0" collapsed="false">
      <c r="A253" s="218"/>
      <c r="B253" s="251"/>
      <c r="C253" s="251"/>
      <c r="D253" s="249" t="s">
        <v>2237</v>
      </c>
      <c r="E253" s="249" t="s">
        <v>117</v>
      </c>
      <c r="F253" s="212" t="s">
        <v>2369</v>
      </c>
      <c r="G253" s="212" t="n">
        <v>63</v>
      </c>
      <c r="H253" s="212" t="s">
        <v>120</v>
      </c>
      <c r="I253" s="250" t="n">
        <v>117.97</v>
      </c>
    </row>
    <row r="254" customFormat="false" ht="13.8" hidden="false" customHeight="false" outlineLevel="0" collapsed="false">
      <c r="A254" s="218"/>
      <c r="B254" s="251"/>
      <c r="C254" s="251"/>
      <c r="D254" s="251"/>
      <c r="E254" s="251"/>
      <c r="F254" s="212" t="s">
        <v>2372</v>
      </c>
      <c r="G254" s="212" t="n">
        <v>160</v>
      </c>
      <c r="H254" s="212" t="s">
        <v>120</v>
      </c>
      <c r="I254" s="250" t="n">
        <v>49.96</v>
      </c>
    </row>
    <row r="255" customFormat="false" ht="13.8" hidden="false" customHeight="false" outlineLevel="0" collapsed="false">
      <c r="A255" s="218"/>
      <c r="B255" s="251"/>
      <c r="C255" s="251"/>
      <c r="D255" s="251"/>
      <c r="E255" s="251"/>
      <c r="F255" s="212" t="s">
        <v>2378</v>
      </c>
      <c r="G255" s="212" t="n">
        <v>160</v>
      </c>
      <c r="H255" s="212" t="s">
        <v>120</v>
      </c>
      <c r="I255" s="250" t="n">
        <v>9.05</v>
      </c>
    </row>
    <row r="256" customFormat="false" ht="13.8" hidden="false" customHeight="false" outlineLevel="0" collapsed="false">
      <c r="A256" s="218"/>
      <c r="B256" s="251"/>
      <c r="C256" s="251"/>
      <c r="D256" s="251"/>
      <c r="E256" s="251"/>
      <c r="F256" s="212" t="s">
        <v>2381</v>
      </c>
      <c r="G256" s="212" t="n">
        <v>63</v>
      </c>
      <c r="H256" s="212" t="s">
        <v>120</v>
      </c>
      <c r="I256" s="250" t="n">
        <v>83.86</v>
      </c>
    </row>
    <row r="257" customFormat="false" ht="13.8" hidden="false" customHeight="false" outlineLevel="0" collapsed="false">
      <c r="A257" s="218"/>
      <c r="B257" s="251"/>
      <c r="C257" s="251"/>
      <c r="D257" s="251"/>
      <c r="E257" s="251"/>
      <c r="F257" s="212" t="s">
        <v>2396</v>
      </c>
      <c r="G257" s="212" t="n">
        <v>160</v>
      </c>
      <c r="H257" s="212" t="s">
        <v>120</v>
      </c>
      <c r="I257" s="250" t="n">
        <v>38.45</v>
      </c>
    </row>
    <row r="258" customFormat="false" ht="13.8" hidden="false" customHeight="false" outlineLevel="0" collapsed="false">
      <c r="A258" s="218"/>
      <c r="B258" s="251"/>
      <c r="C258" s="251"/>
      <c r="D258" s="251"/>
      <c r="E258" s="251"/>
      <c r="F258" s="212" t="s">
        <v>2404</v>
      </c>
      <c r="G258" s="212" t="n">
        <v>63</v>
      </c>
      <c r="H258" s="212" t="s">
        <v>120</v>
      </c>
      <c r="I258" s="250" t="n">
        <v>117.94</v>
      </c>
    </row>
    <row r="259" customFormat="false" ht="13.8" hidden="false" customHeight="false" outlineLevel="0" collapsed="false">
      <c r="A259" s="218"/>
      <c r="B259" s="251"/>
      <c r="C259" s="251"/>
      <c r="D259" s="251"/>
      <c r="E259" s="251"/>
      <c r="F259" s="212" t="s">
        <v>2420</v>
      </c>
      <c r="G259" s="212" t="n">
        <v>160</v>
      </c>
      <c r="H259" s="212" t="s">
        <v>120</v>
      </c>
      <c r="I259" s="250" t="n">
        <v>26.3</v>
      </c>
    </row>
    <row r="260" customFormat="false" ht="13.8" hidden="false" customHeight="false" outlineLevel="0" collapsed="false">
      <c r="A260" s="218"/>
      <c r="B260" s="251"/>
      <c r="C260" s="251"/>
      <c r="D260" s="252"/>
      <c r="E260" s="252"/>
      <c r="F260" s="212" t="s">
        <v>2435</v>
      </c>
      <c r="G260" s="212" t="n">
        <v>160</v>
      </c>
      <c r="H260" s="212" t="s">
        <v>120</v>
      </c>
      <c r="I260" s="250" t="n">
        <v>46.2</v>
      </c>
    </row>
    <row r="261" customFormat="false" ht="13.8" hidden="false" customHeight="false" outlineLevel="0" collapsed="false">
      <c r="A261" s="218"/>
      <c r="B261" s="251"/>
      <c r="C261" s="251"/>
      <c r="D261" s="249" t="s">
        <v>2323</v>
      </c>
      <c r="E261" s="249" t="s">
        <v>117</v>
      </c>
      <c r="F261" s="212" t="s">
        <v>2322</v>
      </c>
      <c r="G261" s="212" t="n">
        <v>63</v>
      </c>
      <c r="H261" s="212" t="s">
        <v>120</v>
      </c>
      <c r="I261" s="250" t="n">
        <v>61.65</v>
      </c>
    </row>
    <row r="262" customFormat="false" ht="13.8" hidden="false" customHeight="false" outlineLevel="0" collapsed="false">
      <c r="A262" s="218"/>
      <c r="B262" s="251"/>
      <c r="C262" s="251"/>
      <c r="D262" s="251"/>
      <c r="E262" s="251"/>
      <c r="F262" s="212" t="s">
        <v>2332</v>
      </c>
      <c r="G262" s="212" t="n">
        <v>63</v>
      </c>
      <c r="H262" s="212" t="s">
        <v>120</v>
      </c>
      <c r="I262" s="250" t="n">
        <v>58.4</v>
      </c>
    </row>
    <row r="263" customFormat="false" ht="13.8" hidden="false" customHeight="false" outlineLevel="0" collapsed="false">
      <c r="A263" s="218"/>
      <c r="B263" s="251"/>
      <c r="C263" s="251"/>
      <c r="D263" s="251"/>
      <c r="E263" s="251"/>
      <c r="F263" s="212" t="s">
        <v>2358</v>
      </c>
      <c r="G263" s="212" t="n">
        <v>63</v>
      </c>
      <c r="H263" s="212" t="s">
        <v>120</v>
      </c>
      <c r="I263" s="250" t="n">
        <v>100.21</v>
      </c>
    </row>
    <row r="264" customFormat="false" ht="13.8" hidden="false" customHeight="false" outlineLevel="0" collapsed="false">
      <c r="A264" s="218"/>
      <c r="B264" s="251"/>
      <c r="C264" s="251"/>
      <c r="D264" s="252"/>
      <c r="E264" s="252"/>
      <c r="F264" s="212" t="s">
        <v>2366</v>
      </c>
      <c r="G264" s="212" t="n">
        <v>63</v>
      </c>
      <c r="H264" s="212" t="s">
        <v>120</v>
      </c>
      <c r="I264" s="250" t="n">
        <v>63.42</v>
      </c>
    </row>
    <row r="265" customFormat="false" ht="13.8" hidden="false" customHeight="false" outlineLevel="0" collapsed="false">
      <c r="A265" s="218"/>
      <c r="B265" s="251"/>
      <c r="C265" s="251"/>
      <c r="D265" s="249" t="s">
        <v>2355</v>
      </c>
      <c r="E265" s="249" t="s">
        <v>117</v>
      </c>
      <c r="F265" s="212" t="s">
        <v>2354</v>
      </c>
      <c r="G265" s="212" t="n">
        <v>63</v>
      </c>
      <c r="H265" s="212" t="s">
        <v>120</v>
      </c>
      <c r="I265" s="250" t="n">
        <v>12.78</v>
      </c>
    </row>
    <row r="266" customFormat="false" ht="13.8" hidden="false" customHeight="false" outlineLevel="0" collapsed="false">
      <c r="A266" s="218"/>
      <c r="B266" s="251"/>
      <c r="C266" s="251"/>
      <c r="D266" s="252"/>
      <c r="E266" s="252"/>
      <c r="F266" s="212" t="s">
        <v>2374</v>
      </c>
      <c r="G266" s="212" t="n">
        <v>63</v>
      </c>
      <c r="H266" s="212" t="s">
        <v>120</v>
      </c>
      <c r="I266" s="250" t="n">
        <v>123.6</v>
      </c>
    </row>
    <row r="267" customFormat="false" ht="13.8" hidden="false" customHeight="false" outlineLevel="0" collapsed="false">
      <c r="A267" s="218"/>
      <c r="B267" s="251"/>
      <c r="C267" s="251"/>
      <c r="D267" s="249" t="s">
        <v>2498</v>
      </c>
      <c r="E267" s="249" t="s">
        <v>117</v>
      </c>
      <c r="F267" s="212" t="s">
        <v>2497</v>
      </c>
      <c r="G267" s="212" t="n">
        <v>63</v>
      </c>
      <c r="H267" s="212" t="s">
        <v>120</v>
      </c>
      <c r="I267" s="250" t="n">
        <v>32.51</v>
      </c>
    </row>
    <row r="268" customFormat="false" ht="13.8" hidden="false" customHeight="false" outlineLevel="0" collapsed="false">
      <c r="A268" s="218"/>
      <c r="B268" s="251"/>
      <c r="C268" s="251"/>
      <c r="D268" s="251"/>
      <c r="E268" s="251"/>
      <c r="F268" s="212" t="s">
        <v>2503</v>
      </c>
      <c r="G268" s="212" t="n">
        <v>63</v>
      </c>
      <c r="H268" s="212" t="s">
        <v>120</v>
      </c>
      <c r="I268" s="250" t="n">
        <v>37.92</v>
      </c>
    </row>
    <row r="269" customFormat="false" ht="13.8" hidden="false" customHeight="false" outlineLevel="0" collapsed="false">
      <c r="A269" s="218"/>
      <c r="B269" s="251"/>
      <c r="C269" s="251"/>
      <c r="D269" s="252"/>
      <c r="E269" s="252"/>
      <c r="F269" s="212" t="s">
        <v>2506</v>
      </c>
      <c r="G269" s="212" t="n">
        <v>63</v>
      </c>
      <c r="H269" s="212" t="s">
        <v>120</v>
      </c>
      <c r="I269" s="250" t="n">
        <v>93.63</v>
      </c>
    </row>
    <row r="270" customFormat="false" ht="13.8" hidden="false" customHeight="false" outlineLevel="0" collapsed="false">
      <c r="A270" s="218"/>
      <c r="B270" s="251"/>
      <c r="C270" s="251"/>
      <c r="D270" s="249" t="s">
        <v>7055</v>
      </c>
      <c r="E270" s="249" t="s">
        <v>117</v>
      </c>
      <c r="F270" s="212" t="s">
        <v>2168</v>
      </c>
      <c r="G270" s="212" t="n">
        <v>63</v>
      </c>
      <c r="H270" s="212" t="s">
        <v>120</v>
      </c>
      <c r="I270" s="250" t="n">
        <v>8.89</v>
      </c>
    </row>
    <row r="271" customFormat="false" ht="13.8" hidden="false" customHeight="false" outlineLevel="0" collapsed="false">
      <c r="A271" s="218"/>
      <c r="B271" s="251"/>
      <c r="C271" s="251"/>
      <c r="D271" s="251"/>
      <c r="E271" s="251"/>
      <c r="F271" s="212" t="s">
        <v>2182</v>
      </c>
      <c r="G271" s="212" t="n">
        <v>63</v>
      </c>
      <c r="H271" s="212" t="s">
        <v>120</v>
      </c>
      <c r="I271" s="250" t="n">
        <v>41.46</v>
      </c>
    </row>
    <row r="272" customFormat="false" ht="13.8" hidden="false" customHeight="false" outlineLevel="0" collapsed="false">
      <c r="A272" s="218"/>
      <c r="B272" s="251"/>
      <c r="C272" s="251"/>
      <c r="D272" s="251"/>
      <c r="E272" s="251"/>
      <c r="F272" s="212" t="s">
        <v>2190</v>
      </c>
      <c r="G272" s="212" t="n">
        <v>63</v>
      </c>
      <c r="H272" s="212" t="s">
        <v>120</v>
      </c>
      <c r="I272" s="250" t="n">
        <v>13.38</v>
      </c>
    </row>
    <row r="273" customFormat="false" ht="13.8" hidden="false" customHeight="false" outlineLevel="0" collapsed="false">
      <c r="A273" s="218"/>
      <c r="B273" s="251"/>
      <c r="C273" s="251"/>
      <c r="D273" s="251"/>
      <c r="E273" s="251"/>
      <c r="F273" s="212" t="s">
        <v>2193</v>
      </c>
      <c r="G273" s="212" t="n">
        <v>63</v>
      </c>
      <c r="H273" s="212" t="s">
        <v>120</v>
      </c>
      <c r="I273" s="250" t="n">
        <v>26.93</v>
      </c>
    </row>
    <row r="274" customFormat="false" ht="13.8" hidden="false" customHeight="false" outlineLevel="0" collapsed="false">
      <c r="A274" s="218"/>
      <c r="B274" s="251"/>
      <c r="C274" s="251"/>
      <c r="D274" s="251"/>
      <c r="E274" s="251"/>
      <c r="F274" s="212" t="s">
        <v>2204</v>
      </c>
      <c r="G274" s="212" t="n">
        <v>63</v>
      </c>
      <c r="H274" s="212" t="s">
        <v>120</v>
      </c>
      <c r="I274" s="250" t="n">
        <v>205.73</v>
      </c>
    </row>
    <row r="275" customFormat="false" ht="13.8" hidden="false" customHeight="false" outlineLevel="0" collapsed="false">
      <c r="A275" s="218"/>
      <c r="B275" s="251"/>
      <c r="C275" s="251"/>
      <c r="D275" s="251"/>
      <c r="E275" s="251"/>
      <c r="F275" s="212" t="s">
        <v>2249</v>
      </c>
      <c r="G275" s="212" t="n">
        <v>63</v>
      </c>
      <c r="H275" s="212" t="s">
        <v>120</v>
      </c>
      <c r="I275" s="250" t="n">
        <v>25.27</v>
      </c>
    </row>
    <row r="276" customFormat="false" ht="13.8" hidden="false" customHeight="false" outlineLevel="0" collapsed="false">
      <c r="A276" s="218"/>
      <c r="B276" s="251"/>
      <c r="C276" s="251"/>
      <c r="D276" s="251"/>
      <c r="E276" s="251"/>
      <c r="F276" s="212" t="s">
        <v>2252</v>
      </c>
      <c r="G276" s="212" t="n">
        <v>63</v>
      </c>
      <c r="H276" s="212" t="s">
        <v>120</v>
      </c>
      <c r="I276" s="250" t="n">
        <v>208.19</v>
      </c>
    </row>
    <row r="277" customFormat="false" ht="13.8" hidden="false" customHeight="false" outlineLevel="0" collapsed="false">
      <c r="A277" s="218"/>
      <c r="B277" s="251"/>
      <c r="C277" s="251"/>
      <c r="D277" s="251"/>
      <c r="E277" s="251"/>
      <c r="F277" s="212" t="s">
        <v>2259</v>
      </c>
      <c r="G277" s="212" t="n">
        <v>63</v>
      </c>
      <c r="H277" s="212" t="s">
        <v>120</v>
      </c>
      <c r="I277" s="250" t="n">
        <v>32.26</v>
      </c>
    </row>
    <row r="278" customFormat="false" ht="13.8" hidden="false" customHeight="false" outlineLevel="0" collapsed="false">
      <c r="A278" s="218"/>
      <c r="B278" s="251"/>
      <c r="C278" s="251"/>
      <c r="D278" s="251"/>
      <c r="E278" s="251"/>
      <c r="F278" s="212" t="s">
        <v>2265</v>
      </c>
      <c r="G278" s="212" t="n">
        <v>63</v>
      </c>
      <c r="H278" s="212" t="s">
        <v>120</v>
      </c>
      <c r="I278" s="250" t="n">
        <v>48.87</v>
      </c>
    </row>
    <row r="279" customFormat="false" ht="13.8" hidden="false" customHeight="false" outlineLevel="0" collapsed="false">
      <c r="A279" s="218"/>
      <c r="B279" s="251"/>
      <c r="C279" s="251"/>
      <c r="D279" s="251"/>
      <c r="E279" s="251"/>
      <c r="F279" s="212" t="s">
        <v>2287</v>
      </c>
      <c r="G279" s="212" t="n">
        <v>225</v>
      </c>
      <c r="H279" s="212" t="s">
        <v>120</v>
      </c>
      <c r="I279" s="250" t="n">
        <v>34.38</v>
      </c>
    </row>
    <row r="280" customFormat="false" ht="13.8" hidden="false" customHeight="false" outlineLevel="0" collapsed="false">
      <c r="A280" s="218"/>
      <c r="B280" s="251"/>
      <c r="C280" s="251"/>
      <c r="D280" s="251"/>
      <c r="E280" s="251"/>
      <c r="F280" s="212" t="s">
        <v>2289</v>
      </c>
      <c r="G280" s="212" t="n">
        <v>63</v>
      </c>
      <c r="H280" s="212" t="s">
        <v>120</v>
      </c>
      <c r="I280" s="250" t="n">
        <v>31.48</v>
      </c>
    </row>
    <row r="281" customFormat="false" ht="13.8" hidden="false" customHeight="false" outlineLevel="0" collapsed="false">
      <c r="A281" s="218"/>
      <c r="B281" s="251"/>
      <c r="C281" s="251"/>
      <c r="D281" s="251"/>
      <c r="E281" s="251"/>
      <c r="F281" s="212" t="s">
        <v>2292</v>
      </c>
      <c r="G281" s="212" t="n">
        <v>63</v>
      </c>
      <c r="H281" s="212" t="s">
        <v>120</v>
      </c>
      <c r="I281" s="250" t="n">
        <v>334.49</v>
      </c>
    </row>
    <row r="282" customFormat="false" ht="13.8" hidden="false" customHeight="false" outlineLevel="0" collapsed="false">
      <c r="A282" s="218"/>
      <c r="B282" s="251"/>
      <c r="C282" s="251"/>
      <c r="D282" s="251"/>
      <c r="E282" s="251"/>
      <c r="F282" s="212" t="s">
        <v>2299</v>
      </c>
      <c r="G282" s="212" t="n">
        <v>63</v>
      </c>
      <c r="H282" s="212" t="s">
        <v>120</v>
      </c>
      <c r="I282" s="250" t="n">
        <v>91.64</v>
      </c>
    </row>
    <row r="283" customFormat="false" ht="13.8" hidden="false" customHeight="false" outlineLevel="0" collapsed="false">
      <c r="A283" s="218"/>
      <c r="B283" s="251"/>
      <c r="C283" s="251"/>
      <c r="D283" s="251"/>
      <c r="E283" s="251"/>
      <c r="F283" s="212" t="s">
        <v>2303</v>
      </c>
      <c r="G283" s="212" t="n">
        <v>160</v>
      </c>
      <c r="H283" s="212" t="s">
        <v>120</v>
      </c>
      <c r="I283" s="250" t="n">
        <v>1.94</v>
      </c>
    </row>
    <row r="284" customFormat="false" ht="13.8" hidden="false" customHeight="false" outlineLevel="0" collapsed="false">
      <c r="A284" s="218"/>
      <c r="B284" s="251"/>
      <c r="C284" s="251"/>
      <c r="D284" s="251"/>
      <c r="E284" s="251"/>
      <c r="F284" s="212" t="s">
        <v>2305</v>
      </c>
      <c r="G284" s="212" t="n">
        <v>63</v>
      </c>
      <c r="H284" s="212" t="s">
        <v>120</v>
      </c>
      <c r="I284" s="250" t="n">
        <v>4.44</v>
      </c>
    </row>
    <row r="285" customFormat="false" ht="13.8" hidden="false" customHeight="false" outlineLevel="0" collapsed="false">
      <c r="A285" s="218"/>
      <c r="B285" s="251"/>
      <c r="C285" s="251"/>
      <c r="D285" s="251"/>
      <c r="E285" s="251"/>
      <c r="F285" s="212" t="s">
        <v>2308</v>
      </c>
      <c r="G285" s="212" t="n">
        <v>63</v>
      </c>
      <c r="H285" s="212" t="s">
        <v>120</v>
      </c>
      <c r="I285" s="250" t="n">
        <v>18.59</v>
      </c>
    </row>
    <row r="286" customFormat="false" ht="13.8" hidden="false" customHeight="false" outlineLevel="0" collapsed="false">
      <c r="A286" s="218"/>
      <c r="B286" s="251"/>
      <c r="C286" s="251"/>
      <c r="D286" s="251"/>
      <c r="E286" s="251"/>
      <c r="F286" s="212" t="s">
        <v>2312</v>
      </c>
      <c r="G286" s="212" t="n">
        <v>63</v>
      </c>
      <c r="H286" s="212" t="s">
        <v>120</v>
      </c>
      <c r="I286" s="250" t="n">
        <v>18.17</v>
      </c>
    </row>
    <row r="287" customFormat="false" ht="13.8" hidden="false" customHeight="false" outlineLevel="0" collapsed="false">
      <c r="A287" s="218"/>
      <c r="B287" s="251"/>
      <c r="C287" s="251"/>
      <c r="D287" s="251"/>
      <c r="E287" s="251"/>
      <c r="F287" s="212" t="s">
        <v>2315</v>
      </c>
      <c r="G287" s="212" t="n">
        <v>63</v>
      </c>
      <c r="H287" s="212" t="s">
        <v>120</v>
      </c>
      <c r="I287" s="250" t="n">
        <v>42.4</v>
      </c>
    </row>
    <row r="288" customFormat="false" ht="13.8" hidden="false" customHeight="false" outlineLevel="0" collapsed="false">
      <c r="A288" s="218"/>
      <c r="B288" s="251"/>
      <c r="C288" s="251"/>
      <c r="D288" s="251"/>
      <c r="E288" s="251"/>
      <c r="F288" s="212" t="s">
        <v>2318</v>
      </c>
      <c r="G288" s="212" t="n">
        <v>63</v>
      </c>
      <c r="H288" s="212" t="s">
        <v>120</v>
      </c>
      <c r="I288" s="250" t="n">
        <v>35.35</v>
      </c>
    </row>
    <row r="289" customFormat="false" ht="13.8" hidden="false" customHeight="false" outlineLevel="0" collapsed="false">
      <c r="A289" s="218"/>
      <c r="B289" s="251"/>
      <c r="C289" s="251"/>
      <c r="D289" s="251"/>
      <c r="E289" s="251"/>
      <c r="F289" s="212" t="s">
        <v>2327</v>
      </c>
      <c r="G289" s="212" t="n">
        <v>63</v>
      </c>
      <c r="H289" s="212" t="s">
        <v>120</v>
      </c>
      <c r="I289" s="250" t="n">
        <v>31.94</v>
      </c>
    </row>
    <row r="290" customFormat="false" ht="13.8" hidden="false" customHeight="false" outlineLevel="0" collapsed="false">
      <c r="A290" s="218"/>
      <c r="B290" s="251"/>
      <c r="C290" s="251"/>
      <c r="D290" s="251"/>
      <c r="E290" s="251"/>
      <c r="F290" s="212" t="s">
        <v>2334</v>
      </c>
      <c r="G290" s="212" t="n">
        <v>250</v>
      </c>
      <c r="H290" s="212" t="s">
        <v>120</v>
      </c>
      <c r="I290" s="250" t="n">
        <v>94.91</v>
      </c>
    </row>
    <row r="291" customFormat="false" ht="13.8" hidden="false" customHeight="false" outlineLevel="0" collapsed="false">
      <c r="A291" s="218"/>
      <c r="B291" s="251"/>
      <c r="C291" s="251"/>
      <c r="D291" s="251"/>
      <c r="E291" s="251"/>
      <c r="F291" s="212" t="s">
        <v>2351</v>
      </c>
      <c r="G291" s="212" t="n">
        <v>160</v>
      </c>
      <c r="H291" s="212" t="s">
        <v>120</v>
      </c>
      <c r="I291" s="250" t="n">
        <v>66.06</v>
      </c>
    </row>
    <row r="292" customFormat="false" ht="13.8" hidden="false" customHeight="false" outlineLevel="0" collapsed="false">
      <c r="A292" s="218"/>
      <c r="B292" s="251"/>
      <c r="C292" s="251"/>
      <c r="D292" s="251"/>
      <c r="E292" s="251"/>
      <c r="F292" s="212" t="s">
        <v>2362</v>
      </c>
      <c r="G292" s="212" t="n">
        <v>250</v>
      </c>
      <c r="H292" s="212" t="s">
        <v>120</v>
      </c>
      <c r="I292" s="250" t="n">
        <v>3.31</v>
      </c>
    </row>
    <row r="293" customFormat="false" ht="13.8" hidden="false" customHeight="false" outlineLevel="0" collapsed="false">
      <c r="A293" s="218"/>
      <c r="B293" s="251"/>
      <c r="C293" s="251"/>
      <c r="D293" s="251"/>
      <c r="E293" s="251"/>
      <c r="F293" s="212" t="s">
        <v>2391</v>
      </c>
      <c r="G293" s="212" t="n">
        <v>63</v>
      </c>
      <c r="H293" s="212" t="s">
        <v>120</v>
      </c>
      <c r="I293" s="250" t="n">
        <v>44.85</v>
      </c>
    </row>
    <row r="294" customFormat="false" ht="13.8" hidden="false" customHeight="false" outlineLevel="0" collapsed="false">
      <c r="A294" s="218"/>
      <c r="B294" s="251"/>
      <c r="C294" s="251"/>
      <c r="D294" s="251"/>
      <c r="E294" s="251"/>
      <c r="F294" s="212" t="s">
        <v>2411</v>
      </c>
      <c r="G294" s="212" t="n">
        <v>63</v>
      </c>
      <c r="H294" s="212" t="s">
        <v>120</v>
      </c>
      <c r="I294" s="250" t="n">
        <v>2.53</v>
      </c>
    </row>
    <row r="295" customFormat="false" ht="13.8" hidden="false" customHeight="false" outlineLevel="0" collapsed="false">
      <c r="A295" s="218"/>
      <c r="B295" s="251"/>
      <c r="C295" s="251"/>
      <c r="D295" s="251"/>
      <c r="E295" s="251"/>
      <c r="F295" s="212" t="s">
        <v>2418</v>
      </c>
      <c r="G295" s="212" t="n">
        <v>63</v>
      </c>
      <c r="H295" s="212" t="s">
        <v>120</v>
      </c>
      <c r="I295" s="250" t="n">
        <v>21.43</v>
      </c>
    </row>
    <row r="296" customFormat="false" ht="13.8" hidden="false" customHeight="false" outlineLevel="0" collapsed="false">
      <c r="A296" s="218"/>
      <c r="B296" s="251"/>
      <c r="C296" s="251"/>
      <c r="D296" s="251"/>
      <c r="E296" s="251"/>
      <c r="F296" s="212" t="s">
        <v>2501</v>
      </c>
      <c r="G296" s="212" t="n">
        <v>160</v>
      </c>
      <c r="H296" s="212" t="s">
        <v>120</v>
      </c>
      <c r="I296" s="250" t="n">
        <v>14.46</v>
      </c>
    </row>
    <row r="297" customFormat="false" ht="13.8" hidden="false" customHeight="false" outlineLevel="0" collapsed="false">
      <c r="A297" s="218"/>
      <c r="B297" s="251"/>
      <c r="C297" s="252"/>
      <c r="D297" s="252"/>
      <c r="E297" s="252"/>
      <c r="F297" s="212" t="s">
        <v>2509</v>
      </c>
      <c r="G297" s="212" t="n">
        <v>160</v>
      </c>
      <c r="H297" s="212" t="s">
        <v>120</v>
      </c>
      <c r="I297" s="250" t="n">
        <v>12.86</v>
      </c>
    </row>
    <row r="298" customFormat="false" ht="13.8" hidden="false" customHeight="false" outlineLevel="0" collapsed="false">
      <c r="A298" s="218"/>
      <c r="B298" s="251"/>
      <c r="C298" s="261" t="s">
        <v>7056</v>
      </c>
      <c r="D298" s="224"/>
      <c r="E298" s="224"/>
      <c r="F298" s="224"/>
      <c r="G298" s="224"/>
      <c r="H298" s="225"/>
      <c r="I298" s="217" t="n">
        <v>8284.24</v>
      </c>
    </row>
    <row r="299" customFormat="false" ht="13.8" hidden="false" customHeight="false" outlineLevel="0" collapsed="false">
      <c r="A299" s="218"/>
      <c r="B299" s="251"/>
      <c r="C299" s="249" t="s">
        <v>7055</v>
      </c>
      <c r="D299" s="249" t="s">
        <v>7055</v>
      </c>
      <c r="E299" s="249" t="s">
        <v>117</v>
      </c>
      <c r="F299" s="212" t="s">
        <v>2516</v>
      </c>
      <c r="G299" s="212" t="n">
        <v>63</v>
      </c>
      <c r="H299" s="212" t="s">
        <v>120</v>
      </c>
      <c r="I299" s="250" t="n">
        <v>248.62</v>
      </c>
    </row>
    <row r="300" customFormat="false" ht="13.8" hidden="false" customHeight="false" outlineLevel="0" collapsed="false">
      <c r="A300" s="218"/>
      <c r="B300" s="251"/>
      <c r="C300" s="252"/>
      <c r="D300" s="252"/>
      <c r="E300" s="252"/>
      <c r="F300" s="212" t="s">
        <v>2520</v>
      </c>
      <c r="G300" s="212" t="n">
        <v>63</v>
      </c>
      <c r="H300" s="212" t="s">
        <v>120</v>
      </c>
      <c r="I300" s="250" t="n">
        <v>77.19</v>
      </c>
    </row>
    <row r="301" customFormat="false" ht="13.8" hidden="false" customHeight="false" outlineLevel="0" collapsed="false">
      <c r="A301" s="222"/>
      <c r="B301" s="252"/>
      <c r="C301" s="261" t="s">
        <v>7060</v>
      </c>
      <c r="D301" s="224"/>
      <c r="E301" s="224"/>
      <c r="F301" s="224"/>
      <c r="G301" s="224"/>
      <c r="H301" s="225"/>
      <c r="I301" s="217" t="n">
        <v>325.81</v>
      </c>
    </row>
    <row r="302" customFormat="false" ht="13.8" hidden="false" customHeight="false" outlineLevel="0" collapsed="false">
      <c r="A302" s="211" t="s">
        <v>2522</v>
      </c>
      <c r="B302" s="249" t="s">
        <v>6</v>
      </c>
      <c r="C302" s="249" t="s">
        <v>1594</v>
      </c>
      <c r="D302" s="249" t="s">
        <v>2524</v>
      </c>
      <c r="E302" s="249" t="s">
        <v>117</v>
      </c>
      <c r="F302" s="212" t="s">
        <v>2523</v>
      </c>
      <c r="G302" s="212" t="n">
        <v>110</v>
      </c>
      <c r="H302" s="212" t="s">
        <v>120</v>
      </c>
      <c r="I302" s="250" t="n">
        <v>89.99</v>
      </c>
    </row>
    <row r="303" customFormat="false" ht="13.8" hidden="false" customHeight="false" outlineLevel="0" collapsed="false">
      <c r="A303" s="218"/>
      <c r="B303" s="251"/>
      <c r="C303" s="251"/>
      <c r="D303" s="251"/>
      <c r="E303" s="251"/>
      <c r="F303" s="212" t="s">
        <v>2560</v>
      </c>
      <c r="G303" s="212" t="n">
        <v>110</v>
      </c>
      <c r="H303" s="212" t="s">
        <v>120</v>
      </c>
      <c r="I303" s="250" t="n">
        <v>61.15</v>
      </c>
    </row>
    <row r="304" customFormat="false" ht="13.8" hidden="false" customHeight="false" outlineLevel="0" collapsed="false">
      <c r="A304" s="218"/>
      <c r="B304" s="251"/>
      <c r="C304" s="251"/>
      <c r="D304" s="251"/>
      <c r="E304" s="251"/>
      <c r="F304" s="212" t="s">
        <v>2564</v>
      </c>
      <c r="G304" s="212" t="n">
        <v>110</v>
      </c>
      <c r="H304" s="212" t="s">
        <v>120</v>
      </c>
      <c r="I304" s="250" t="n">
        <v>58.81</v>
      </c>
    </row>
    <row r="305" customFormat="false" ht="13.8" hidden="false" customHeight="false" outlineLevel="0" collapsed="false">
      <c r="A305" s="218"/>
      <c r="B305" s="251"/>
      <c r="C305" s="251"/>
      <c r="D305" s="251"/>
      <c r="E305" s="251"/>
      <c r="F305" s="212" t="s">
        <v>2595</v>
      </c>
      <c r="G305" s="212" t="n">
        <v>110</v>
      </c>
      <c r="H305" s="212" t="s">
        <v>120</v>
      </c>
      <c r="I305" s="250" t="n">
        <v>82.54</v>
      </c>
    </row>
    <row r="306" customFormat="false" ht="13.8" hidden="false" customHeight="false" outlineLevel="0" collapsed="false">
      <c r="A306" s="218"/>
      <c r="B306" s="251"/>
      <c r="C306" s="251"/>
      <c r="D306" s="251"/>
      <c r="E306" s="251"/>
      <c r="F306" s="212" t="s">
        <v>2599</v>
      </c>
      <c r="G306" s="212" t="n">
        <v>110</v>
      </c>
      <c r="H306" s="212" t="s">
        <v>120</v>
      </c>
      <c r="I306" s="250" t="n">
        <v>125.97</v>
      </c>
    </row>
    <row r="307" customFormat="false" ht="13.8" hidden="false" customHeight="false" outlineLevel="0" collapsed="false">
      <c r="A307" s="218"/>
      <c r="B307" s="251"/>
      <c r="C307" s="251"/>
      <c r="D307" s="251"/>
      <c r="E307" s="251"/>
      <c r="F307" s="212" t="s">
        <v>2614</v>
      </c>
      <c r="G307" s="212" t="n">
        <v>110</v>
      </c>
      <c r="H307" s="212" t="s">
        <v>120</v>
      </c>
      <c r="I307" s="250" t="n">
        <v>144.14</v>
      </c>
    </row>
    <row r="308" customFormat="false" ht="13.8" hidden="false" customHeight="false" outlineLevel="0" collapsed="false">
      <c r="A308" s="218"/>
      <c r="B308" s="251"/>
      <c r="C308" s="251"/>
      <c r="D308" s="251"/>
      <c r="E308" s="251"/>
      <c r="F308" s="212" t="s">
        <v>2642</v>
      </c>
      <c r="G308" s="212" t="n">
        <v>63</v>
      </c>
      <c r="H308" s="212" t="s">
        <v>120</v>
      </c>
      <c r="I308" s="250" t="n">
        <v>1.31</v>
      </c>
    </row>
    <row r="309" customFormat="false" ht="13.8" hidden="false" customHeight="false" outlineLevel="0" collapsed="false">
      <c r="A309" s="218"/>
      <c r="B309" s="251"/>
      <c r="C309" s="251"/>
      <c r="D309" s="251"/>
      <c r="E309" s="251"/>
      <c r="F309" s="212" t="s">
        <v>2649</v>
      </c>
      <c r="G309" s="212" t="n">
        <v>63</v>
      </c>
      <c r="H309" s="212" t="s">
        <v>120</v>
      </c>
      <c r="I309" s="250" t="n">
        <v>161.66</v>
      </c>
    </row>
    <row r="310" customFormat="false" ht="13.8" hidden="false" customHeight="false" outlineLevel="0" collapsed="false">
      <c r="A310" s="218"/>
      <c r="B310" s="251"/>
      <c r="C310" s="251"/>
      <c r="D310" s="251"/>
      <c r="E310" s="251"/>
      <c r="F310" s="212" t="s">
        <v>2652</v>
      </c>
      <c r="G310" s="212" t="n">
        <v>63</v>
      </c>
      <c r="H310" s="212" t="s">
        <v>120</v>
      </c>
      <c r="I310" s="250" t="n">
        <v>125.95</v>
      </c>
    </row>
    <row r="311" customFormat="false" ht="13.8" hidden="false" customHeight="false" outlineLevel="0" collapsed="false">
      <c r="A311" s="218"/>
      <c r="B311" s="251"/>
      <c r="C311" s="251"/>
      <c r="D311" s="251"/>
      <c r="E311" s="251"/>
      <c r="F311" s="212" t="s">
        <v>2655</v>
      </c>
      <c r="G311" s="212" t="n">
        <v>63</v>
      </c>
      <c r="H311" s="212" t="s">
        <v>120</v>
      </c>
      <c r="I311" s="250" t="n">
        <v>38.49</v>
      </c>
    </row>
    <row r="312" customFormat="false" ht="13.8" hidden="false" customHeight="false" outlineLevel="0" collapsed="false">
      <c r="A312" s="218"/>
      <c r="B312" s="251"/>
      <c r="C312" s="251"/>
      <c r="D312" s="251"/>
      <c r="E312" s="251"/>
      <c r="F312" s="212" t="s">
        <v>2663</v>
      </c>
      <c r="G312" s="212" t="n">
        <v>63</v>
      </c>
      <c r="H312" s="212" t="s">
        <v>120</v>
      </c>
      <c r="I312" s="250" t="n">
        <v>86.24</v>
      </c>
    </row>
    <row r="313" customFormat="false" ht="13.8" hidden="false" customHeight="false" outlineLevel="0" collapsed="false">
      <c r="A313" s="218"/>
      <c r="B313" s="251"/>
      <c r="C313" s="251"/>
      <c r="D313" s="251"/>
      <c r="E313" s="251"/>
      <c r="F313" s="212" t="s">
        <v>2666</v>
      </c>
      <c r="G313" s="212" t="n">
        <v>63</v>
      </c>
      <c r="H313" s="212" t="s">
        <v>120</v>
      </c>
      <c r="I313" s="250" t="n">
        <v>44.65</v>
      </c>
    </row>
    <row r="314" customFormat="false" ht="13.8" hidden="false" customHeight="false" outlineLevel="0" collapsed="false">
      <c r="A314" s="218"/>
      <c r="B314" s="251"/>
      <c r="C314" s="251"/>
      <c r="D314" s="251"/>
      <c r="E314" s="251"/>
      <c r="F314" s="212" t="s">
        <v>2670</v>
      </c>
      <c r="G314" s="212" t="n">
        <v>63</v>
      </c>
      <c r="H314" s="212" t="s">
        <v>120</v>
      </c>
      <c r="I314" s="250" t="n">
        <v>37.69</v>
      </c>
    </row>
    <row r="315" customFormat="false" ht="13.8" hidden="false" customHeight="false" outlineLevel="0" collapsed="false">
      <c r="A315" s="218"/>
      <c r="B315" s="251"/>
      <c r="C315" s="251"/>
      <c r="D315" s="251"/>
      <c r="E315" s="251"/>
      <c r="F315" s="212" t="s">
        <v>2678</v>
      </c>
      <c r="G315" s="212" t="n">
        <v>63</v>
      </c>
      <c r="H315" s="212" t="s">
        <v>120</v>
      </c>
      <c r="I315" s="250" t="n">
        <v>11.74</v>
      </c>
    </row>
    <row r="316" customFormat="false" ht="13.8" hidden="false" customHeight="false" outlineLevel="0" collapsed="false">
      <c r="A316" s="218"/>
      <c r="B316" s="251"/>
      <c r="C316" s="251"/>
      <c r="D316" s="251"/>
      <c r="E316" s="251"/>
      <c r="F316" s="212" t="s">
        <v>2682</v>
      </c>
      <c r="G316" s="212" t="n">
        <v>63</v>
      </c>
      <c r="H316" s="212" t="s">
        <v>120</v>
      </c>
      <c r="I316" s="250" t="n">
        <v>33.25</v>
      </c>
    </row>
    <row r="317" customFormat="false" ht="13.8" hidden="false" customHeight="false" outlineLevel="0" collapsed="false">
      <c r="A317" s="218"/>
      <c r="B317" s="251"/>
      <c r="C317" s="251"/>
      <c r="D317" s="251"/>
      <c r="E317" s="251"/>
      <c r="F317" s="212" t="s">
        <v>2686</v>
      </c>
      <c r="G317" s="212" t="n">
        <v>63</v>
      </c>
      <c r="H317" s="212" t="s">
        <v>120</v>
      </c>
      <c r="I317" s="250" t="n">
        <v>39.54</v>
      </c>
    </row>
    <row r="318" customFormat="false" ht="13.8" hidden="false" customHeight="false" outlineLevel="0" collapsed="false">
      <c r="A318" s="218"/>
      <c r="B318" s="251"/>
      <c r="C318" s="251"/>
      <c r="D318" s="251"/>
      <c r="E318" s="251"/>
      <c r="F318" s="212" t="s">
        <v>2691</v>
      </c>
      <c r="G318" s="212" t="n">
        <v>63</v>
      </c>
      <c r="H318" s="212" t="s">
        <v>120</v>
      </c>
      <c r="I318" s="250" t="n">
        <v>156.53</v>
      </c>
    </row>
    <row r="319" customFormat="false" ht="13.8" hidden="false" customHeight="false" outlineLevel="0" collapsed="false">
      <c r="A319" s="218"/>
      <c r="B319" s="251"/>
      <c r="C319" s="251"/>
      <c r="D319" s="251"/>
      <c r="E319" s="251"/>
      <c r="F319" s="212" t="s">
        <v>2694</v>
      </c>
      <c r="G319" s="212" t="n">
        <v>63</v>
      </c>
      <c r="H319" s="212" t="s">
        <v>120</v>
      </c>
      <c r="I319" s="250" t="n">
        <v>186.41</v>
      </c>
    </row>
    <row r="320" customFormat="false" ht="13.8" hidden="false" customHeight="false" outlineLevel="0" collapsed="false">
      <c r="A320" s="218"/>
      <c r="B320" s="251"/>
      <c r="C320" s="251"/>
      <c r="D320" s="251"/>
      <c r="E320" s="251"/>
      <c r="F320" s="212" t="s">
        <v>2698</v>
      </c>
      <c r="G320" s="212" t="n">
        <v>63</v>
      </c>
      <c r="H320" s="212" t="s">
        <v>120</v>
      </c>
      <c r="I320" s="250" t="n">
        <v>158.75</v>
      </c>
    </row>
    <row r="321" customFormat="false" ht="13.8" hidden="false" customHeight="false" outlineLevel="0" collapsed="false">
      <c r="A321" s="218"/>
      <c r="B321" s="251"/>
      <c r="C321" s="251"/>
      <c r="D321" s="251"/>
      <c r="E321" s="251"/>
      <c r="F321" s="212" t="s">
        <v>2701</v>
      </c>
      <c r="G321" s="212" t="n">
        <v>110</v>
      </c>
      <c r="H321" s="212" t="s">
        <v>120</v>
      </c>
      <c r="I321" s="250" t="n">
        <v>34.2</v>
      </c>
    </row>
    <row r="322" customFormat="false" ht="13.8" hidden="false" customHeight="false" outlineLevel="0" collapsed="false">
      <c r="A322" s="218"/>
      <c r="B322" s="251"/>
      <c r="C322" s="251"/>
      <c r="D322" s="251"/>
      <c r="E322" s="251"/>
      <c r="F322" s="212" t="s">
        <v>2704</v>
      </c>
      <c r="G322" s="212" t="n">
        <v>110</v>
      </c>
      <c r="H322" s="212" t="s">
        <v>120</v>
      </c>
      <c r="I322" s="250" t="n">
        <v>3.46</v>
      </c>
    </row>
    <row r="323" customFormat="false" ht="13.8" hidden="false" customHeight="false" outlineLevel="0" collapsed="false">
      <c r="A323" s="218"/>
      <c r="B323" s="251"/>
      <c r="C323" s="251"/>
      <c r="D323" s="251"/>
      <c r="E323" s="251"/>
      <c r="F323" s="212" t="s">
        <v>2708</v>
      </c>
      <c r="G323" s="212" t="n">
        <v>63</v>
      </c>
      <c r="H323" s="212" t="s">
        <v>120</v>
      </c>
      <c r="I323" s="250" t="n">
        <v>54.93</v>
      </c>
    </row>
    <row r="324" customFormat="false" ht="13.8" hidden="false" customHeight="false" outlineLevel="0" collapsed="false">
      <c r="A324" s="218"/>
      <c r="B324" s="251"/>
      <c r="C324" s="251"/>
      <c r="D324" s="251"/>
      <c r="E324" s="251"/>
      <c r="F324" s="212" t="s">
        <v>2712</v>
      </c>
      <c r="G324" s="212" t="n">
        <v>63</v>
      </c>
      <c r="H324" s="212" t="s">
        <v>120</v>
      </c>
      <c r="I324" s="250" t="n">
        <v>75.23</v>
      </c>
    </row>
    <row r="325" customFormat="false" ht="13.8" hidden="false" customHeight="false" outlineLevel="0" collapsed="false">
      <c r="A325" s="218"/>
      <c r="B325" s="251"/>
      <c r="C325" s="251"/>
      <c r="D325" s="251"/>
      <c r="E325" s="251"/>
      <c r="F325" s="212" t="s">
        <v>2716</v>
      </c>
      <c r="G325" s="212" t="n">
        <v>110</v>
      </c>
      <c r="H325" s="212" t="s">
        <v>120</v>
      </c>
      <c r="I325" s="250" t="n">
        <v>216.12</v>
      </c>
    </row>
    <row r="326" customFormat="false" ht="13.8" hidden="false" customHeight="false" outlineLevel="0" collapsed="false">
      <c r="A326" s="218"/>
      <c r="B326" s="251"/>
      <c r="C326" s="251"/>
      <c r="D326" s="251"/>
      <c r="E326" s="251"/>
      <c r="F326" s="212" t="s">
        <v>2802</v>
      </c>
      <c r="G326" s="212" t="n">
        <v>160</v>
      </c>
      <c r="H326" s="212" t="s">
        <v>120</v>
      </c>
      <c r="I326" s="250" t="n">
        <v>3.92</v>
      </c>
    </row>
    <row r="327" customFormat="false" ht="13.8" hidden="false" customHeight="false" outlineLevel="0" collapsed="false">
      <c r="A327" s="218"/>
      <c r="B327" s="251"/>
      <c r="C327" s="251"/>
      <c r="D327" s="251"/>
      <c r="E327" s="251"/>
      <c r="F327" s="212" t="s">
        <v>2825</v>
      </c>
      <c r="G327" s="212" t="n">
        <v>160</v>
      </c>
      <c r="H327" s="212" t="s">
        <v>120</v>
      </c>
      <c r="I327" s="250" t="n">
        <v>60.09</v>
      </c>
    </row>
    <row r="328" customFormat="false" ht="13.8" hidden="false" customHeight="false" outlineLevel="0" collapsed="false">
      <c r="A328" s="218"/>
      <c r="B328" s="251"/>
      <c r="C328" s="251"/>
      <c r="D328" s="252"/>
      <c r="E328" s="252"/>
      <c r="F328" s="212" t="s">
        <v>2843</v>
      </c>
      <c r="G328" s="212" t="n">
        <v>160</v>
      </c>
      <c r="H328" s="212" t="s">
        <v>120</v>
      </c>
      <c r="I328" s="250" t="n">
        <v>7.26</v>
      </c>
    </row>
    <row r="329" customFormat="false" ht="13.8" hidden="false" customHeight="false" outlineLevel="0" collapsed="false">
      <c r="A329" s="218"/>
      <c r="B329" s="251"/>
      <c r="C329" s="251"/>
      <c r="D329" s="249" t="s">
        <v>2916</v>
      </c>
      <c r="E329" s="249" t="s">
        <v>117</v>
      </c>
      <c r="F329" s="212" t="s">
        <v>2915</v>
      </c>
      <c r="G329" s="212" t="n">
        <v>63</v>
      </c>
      <c r="H329" s="212" t="s">
        <v>120</v>
      </c>
      <c r="I329" s="250" t="n">
        <v>133.19</v>
      </c>
    </row>
    <row r="330" customFormat="false" ht="13.8" hidden="false" customHeight="false" outlineLevel="0" collapsed="false">
      <c r="A330" s="218"/>
      <c r="B330" s="251"/>
      <c r="C330" s="251"/>
      <c r="D330" s="251"/>
      <c r="E330" s="251"/>
      <c r="F330" s="212" t="s">
        <v>2943</v>
      </c>
      <c r="G330" s="212" t="n">
        <v>160</v>
      </c>
      <c r="H330" s="212" t="s">
        <v>120</v>
      </c>
      <c r="I330" s="250" t="n">
        <v>48.52</v>
      </c>
    </row>
    <row r="331" customFormat="false" ht="13.8" hidden="false" customHeight="false" outlineLevel="0" collapsed="false">
      <c r="A331" s="218"/>
      <c r="B331" s="251"/>
      <c r="C331" s="251"/>
      <c r="D331" s="252"/>
      <c r="E331" s="252"/>
      <c r="F331" s="212" t="s">
        <v>2946</v>
      </c>
      <c r="G331" s="212" t="n">
        <v>63</v>
      </c>
      <c r="H331" s="212" t="s">
        <v>120</v>
      </c>
      <c r="I331" s="250" t="n">
        <v>3.59</v>
      </c>
    </row>
    <row r="332" customFormat="false" ht="13.8" hidden="false" customHeight="false" outlineLevel="0" collapsed="false">
      <c r="A332" s="218"/>
      <c r="B332" s="251"/>
      <c r="C332" s="251"/>
      <c r="D332" s="249" t="s">
        <v>2798</v>
      </c>
      <c r="E332" s="249" t="s">
        <v>117</v>
      </c>
      <c r="F332" s="212" t="s">
        <v>2796</v>
      </c>
      <c r="G332" s="212" t="n">
        <v>160</v>
      </c>
      <c r="H332" s="212" t="s">
        <v>120</v>
      </c>
      <c r="I332" s="250" t="n">
        <v>5.16</v>
      </c>
    </row>
    <row r="333" customFormat="false" ht="13.8" hidden="false" customHeight="false" outlineLevel="0" collapsed="false">
      <c r="A333" s="218"/>
      <c r="B333" s="251"/>
      <c r="C333" s="251"/>
      <c r="D333" s="252"/>
      <c r="E333" s="252"/>
      <c r="F333" s="212" t="s">
        <v>2838</v>
      </c>
      <c r="G333" s="212" t="n">
        <v>63</v>
      </c>
      <c r="H333" s="212" t="s">
        <v>120</v>
      </c>
      <c r="I333" s="250" t="n">
        <v>109.89</v>
      </c>
    </row>
    <row r="334" customFormat="false" ht="13.8" hidden="false" customHeight="false" outlineLevel="0" collapsed="false">
      <c r="A334" s="218"/>
      <c r="B334" s="251"/>
      <c r="C334" s="251"/>
      <c r="D334" s="249" t="s">
        <v>2834</v>
      </c>
      <c r="E334" s="249" t="s">
        <v>117</v>
      </c>
      <c r="F334" s="212" t="s">
        <v>2833</v>
      </c>
      <c r="G334" s="212" t="n">
        <v>160</v>
      </c>
      <c r="H334" s="212" t="s">
        <v>120</v>
      </c>
      <c r="I334" s="250" t="n">
        <v>38.87</v>
      </c>
    </row>
    <row r="335" customFormat="false" ht="13.8" hidden="false" customHeight="false" outlineLevel="0" collapsed="false">
      <c r="A335" s="218"/>
      <c r="B335" s="251"/>
      <c r="C335" s="251"/>
      <c r="D335" s="251"/>
      <c r="E335" s="251"/>
      <c r="F335" s="212" t="s">
        <v>2845</v>
      </c>
      <c r="G335" s="212" t="n">
        <v>63</v>
      </c>
      <c r="H335" s="212" t="s">
        <v>120</v>
      </c>
      <c r="I335" s="250" t="n">
        <v>34.62</v>
      </c>
    </row>
    <row r="336" customFormat="false" ht="13.8" hidden="false" customHeight="false" outlineLevel="0" collapsed="false">
      <c r="A336" s="218"/>
      <c r="B336" s="251"/>
      <c r="C336" s="251"/>
      <c r="D336" s="251"/>
      <c r="E336" s="251"/>
      <c r="F336" s="212" t="s">
        <v>2872</v>
      </c>
      <c r="G336" s="212" t="n">
        <v>63</v>
      </c>
      <c r="H336" s="212" t="s">
        <v>120</v>
      </c>
      <c r="I336" s="250" t="n">
        <v>103.67</v>
      </c>
    </row>
    <row r="337" customFormat="false" ht="13.8" hidden="false" customHeight="false" outlineLevel="0" collapsed="false">
      <c r="A337" s="218"/>
      <c r="B337" s="251"/>
      <c r="C337" s="251"/>
      <c r="D337" s="251"/>
      <c r="E337" s="251"/>
      <c r="F337" s="212" t="s">
        <v>2895</v>
      </c>
      <c r="G337" s="212" t="n">
        <v>63</v>
      </c>
      <c r="H337" s="212" t="s">
        <v>120</v>
      </c>
      <c r="I337" s="250" t="n">
        <v>14.52</v>
      </c>
    </row>
    <row r="338" customFormat="false" ht="13.8" hidden="false" customHeight="false" outlineLevel="0" collapsed="false">
      <c r="A338" s="218"/>
      <c r="B338" s="251"/>
      <c r="C338" s="251"/>
      <c r="D338" s="251"/>
      <c r="E338" s="251"/>
      <c r="F338" s="212" t="s">
        <v>2899</v>
      </c>
      <c r="G338" s="212" t="n">
        <v>63</v>
      </c>
      <c r="H338" s="212" t="s">
        <v>120</v>
      </c>
      <c r="I338" s="250" t="n">
        <v>37.01</v>
      </c>
    </row>
    <row r="339" customFormat="false" ht="13.8" hidden="false" customHeight="false" outlineLevel="0" collapsed="false">
      <c r="A339" s="218"/>
      <c r="B339" s="251"/>
      <c r="C339" s="251"/>
      <c r="D339" s="251"/>
      <c r="E339" s="251"/>
      <c r="F339" s="212" t="s">
        <v>2907</v>
      </c>
      <c r="G339" s="212" t="n">
        <v>63</v>
      </c>
      <c r="H339" s="212" t="s">
        <v>120</v>
      </c>
      <c r="I339" s="250" t="n">
        <v>65.99</v>
      </c>
    </row>
    <row r="340" customFormat="false" ht="13.8" hidden="false" customHeight="false" outlineLevel="0" collapsed="false">
      <c r="A340" s="218"/>
      <c r="B340" s="251"/>
      <c r="C340" s="251"/>
      <c r="D340" s="251"/>
      <c r="E340" s="251"/>
      <c r="F340" s="212" t="s">
        <v>2911</v>
      </c>
      <c r="G340" s="212" t="n">
        <v>63</v>
      </c>
      <c r="H340" s="212" t="s">
        <v>120</v>
      </c>
      <c r="I340" s="250" t="n">
        <v>76.3</v>
      </c>
    </row>
    <row r="341" customFormat="false" ht="13.8" hidden="false" customHeight="false" outlineLevel="0" collapsed="false">
      <c r="A341" s="218"/>
      <c r="B341" s="251"/>
      <c r="C341" s="251"/>
      <c r="D341" s="251"/>
      <c r="E341" s="251"/>
      <c r="F341" s="212" t="s">
        <v>2921</v>
      </c>
      <c r="G341" s="212" t="n">
        <v>63</v>
      </c>
      <c r="H341" s="212" t="s">
        <v>120</v>
      </c>
      <c r="I341" s="250" t="n">
        <v>32.77</v>
      </c>
    </row>
    <row r="342" customFormat="false" ht="13.8" hidden="false" customHeight="false" outlineLevel="0" collapsed="false">
      <c r="A342" s="218"/>
      <c r="B342" s="251"/>
      <c r="C342" s="251"/>
      <c r="D342" s="251"/>
      <c r="E342" s="251"/>
      <c r="F342" s="212" t="s">
        <v>2933</v>
      </c>
      <c r="G342" s="212" t="n">
        <v>90</v>
      </c>
      <c r="H342" s="212" t="s">
        <v>120</v>
      </c>
      <c r="I342" s="250" t="n">
        <v>30.55</v>
      </c>
    </row>
    <row r="343" customFormat="false" ht="13.8" hidden="false" customHeight="false" outlineLevel="0" collapsed="false">
      <c r="A343" s="218"/>
      <c r="B343" s="251"/>
      <c r="C343" s="251"/>
      <c r="D343" s="252"/>
      <c r="E343" s="252"/>
      <c r="F343" s="212" t="s">
        <v>2937</v>
      </c>
      <c r="G343" s="212" t="n">
        <v>160</v>
      </c>
      <c r="H343" s="212" t="s">
        <v>120</v>
      </c>
      <c r="I343" s="250" t="n">
        <v>112.12</v>
      </c>
    </row>
    <row r="344" customFormat="false" ht="13.8" hidden="false" customHeight="false" outlineLevel="0" collapsed="false">
      <c r="A344" s="218"/>
      <c r="B344" s="251"/>
      <c r="C344" s="251"/>
      <c r="D344" s="249" t="s">
        <v>2885</v>
      </c>
      <c r="E344" s="249" t="s">
        <v>117</v>
      </c>
      <c r="F344" s="212" t="s">
        <v>2884</v>
      </c>
      <c r="G344" s="212" t="n">
        <v>160</v>
      </c>
      <c r="H344" s="212" t="s">
        <v>120</v>
      </c>
      <c r="I344" s="250" t="n">
        <v>178.2</v>
      </c>
    </row>
    <row r="345" customFormat="false" ht="13.8" hidden="false" customHeight="false" outlineLevel="0" collapsed="false">
      <c r="A345" s="218"/>
      <c r="B345" s="251"/>
      <c r="C345" s="251"/>
      <c r="D345" s="251"/>
      <c r="E345" s="251"/>
      <c r="F345" s="212" t="s">
        <v>2892</v>
      </c>
      <c r="G345" s="212" t="n">
        <v>63</v>
      </c>
      <c r="H345" s="212" t="s">
        <v>120</v>
      </c>
      <c r="I345" s="250" t="n">
        <v>178.61</v>
      </c>
    </row>
    <row r="346" customFormat="false" ht="13.8" hidden="false" customHeight="false" outlineLevel="0" collapsed="false">
      <c r="A346" s="218"/>
      <c r="B346" s="251"/>
      <c r="C346" s="251"/>
      <c r="D346" s="252"/>
      <c r="E346" s="252"/>
      <c r="F346" s="212" t="s">
        <v>2924</v>
      </c>
      <c r="G346" s="212" t="n">
        <v>160</v>
      </c>
      <c r="H346" s="212" t="s">
        <v>120</v>
      </c>
      <c r="I346" s="250" t="n">
        <v>32.4</v>
      </c>
    </row>
    <row r="347" customFormat="false" ht="13.8" hidden="false" customHeight="false" outlineLevel="0" collapsed="false">
      <c r="A347" s="218"/>
      <c r="B347" s="251"/>
      <c r="C347" s="251"/>
      <c r="D347" s="249" t="s">
        <v>2754</v>
      </c>
      <c r="E347" s="249" t="s">
        <v>117</v>
      </c>
      <c r="F347" s="212" t="s">
        <v>2753</v>
      </c>
      <c r="G347" s="212" t="n">
        <v>160</v>
      </c>
      <c r="H347" s="212" t="s">
        <v>120</v>
      </c>
      <c r="I347" s="250" t="n">
        <v>79.02</v>
      </c>
    </row>
    <row r="348" customFormat="false" ht="13.8" hidden="false" customHeight="false" outlineLevel="0" collapsed="false">
      <c r="A348" s="218"/>
      <c r="B348" s="251"/>
      <c r="C348" s="251"/>
      <c r="D348" s="251"/>
      <c r="E348" s="251"/>
      <c r="F348" s="212" t="s">
        <v>2757</v>
      </c>
      <c r="G348" s="212" t="n">
        <v>250</v>
      </c>
      <c r="H348" s="212" t="s">
        <v>120</v>
      </c>
      <c r="I348" s="250" t="n">
        <v>61.68</v>
      </c>
    </row>
    <row r="349" customFormat="false" ht="13.8" hidden="false" customHeight="false" outlineLevel="0" collapsed="false">
      <c r="A349" s="218"/>
      <c r="B349" s="251"/>
      <c r="C349" s="251"/>
      <c r="D349" s="251"/>
      <c r="E349" s="251"/>
      <c r="F349" s="212" t="s">
        <v>2761</v>
      </c>
      <c r="G349" s="212" t="n">
        <v>250</v>
      </c>
      <c r="H349" s="212" t="s">
        <v>120</v>
      </c>
      <c r="I349" s="250" t="n">
        <v>6.72</v>
      </c>
    </row>
    <row r="350" customFormat="false" ht="13.8" hidden="false" customHeight="false" outlineLevel="0" collapsed="false">
      <c r="A350" s="218"/>
      <c r="B350" s="251"/>
      <c r="C350" s="251"/>
      <c r="D350" s="251"/>
      <c r="E350" s="251"/>
      <c r="F350" s="212" t="s">
        <v>2764</v>
      </c>
      <c r="G350" s="212" t="n">
        <v>250</v>
      </c>
      <c r="H350" s="212" t="s">
        <v>120</v>
      </c>
      <c r="I350" s="250" t="n">
        <v>2.07</v>
      </c>
    </row>
    <row r="351" customFormat="false" ht="13.8" hidden="false" customHeight="false" outlineLevel="0" collapsed="false">
      <c r="A351" s="218"/>
      <c r="B351" s="251"/>
      <c r="C351" s="251"/>
      <c r="D351" s="251"/>
      <c r="E351" s="251"/>
      <c r="F351" s="212" t="s">
        <v>2766</v>
      </c>
      <c r="G351" s="212" t="n">
        <v>250</v>
      </c>
      <c r="H351" s="212" t="s">
        <v>120</v>
      </c>
      <c r="I351" s="250" t="n">
        <v>2.88</v>
      </c>
    </row>
    <row r="352" customFormat="false" ht="13.8" hidden="false" customHeight="false" outlineLevel="0" collapsed="false">
      <c r="A352" s="218"/>
      <c r="B352" s="251"/>
      <c r="C352" s="251"/>
      <c r="D352" s="252"/>
      <c r="E352" s="252"/>
      <c r="F352" s="212" t="s">
        <v>2791</v>
      </c>
      <c r="G352" s="212" t="n">
        <v>160</v>
      </c>
      <c r="H352" s="212" t="s">
        <v>120</v>
      </c>
      <c r="I352" s="250" t="n">
        <v>122.85</v>
      </c>
    </row>
    <row r="353" customFormat="false" ht="13.8" hidden="false" customHeight="false" outlineLevel="0" collapsed="false">
      <c r="A353" s="218"/>
      <c r="B353" s="251"/>
      <c r="C353" s="251"/>
      <c r="D353" s="249" t="s">
        <v>2553</v>
      </c>
      <c r="E353" s="249" t="s">
        <v>117</v>
      </c>
      <c r="F353" s="212" t="s">
        <v>2552</v>
      </c>
      <c r="G353" s="212" t="n">
        <v>110</v>
      </c>
      <c r="H353" s="212" t="s">
        <v>120</v>
      </c>
      <c r="I353" s="250" t="n">
        <v>47.55</v>
      </c>
    </row>
    <row r="354" customFormat="false" ht="13.8" hidden="false" customHeight="false" outlineLevel="0" collapsed="false">
      <c r="A354" s="218"/>
      <c r="B354" s="251"/>
      <c r="C354" s="251"/>
      <c r="D354" s="251"/>
      <c r="E354" s="251"/>
      <c r="F354" s="212" t="s">
        <v>2568</v>
      </c>
      <c r="G354" s="212" t="n">
        <v>160</v>
      </c>
      <c r="H354" s="212" t="s">
        <v>120</v>
      </c>
      <c r="I354" s="250" t="n">
        <v>78.86</v>
      </c>
    </row>
    <row r="355" customFormat="false" ht="13.8" hidden="false" customHeight="false" outlineLevel="0" collapsed="false">
      <c r="A355" s="218"/>
      <c r="B355" s="251"/>
      <c r="C355" s="251"/>
      <c r="D355" s="251"/>
      <c r="E355" s="251"/>
      <c r="F355" s="212" t="s">
        <v>2576</v>
      </c>
      <c r="G355" s="212" t="n">
        <v>110</v>
      </c>
      <c r="H355" s="212" t="s">
        <v>120</v>
      </c>
      <c r="I355" s="250" t="n">
        <v>50.91</v>
      </c>
    </row>
    <row r="356" customFormat="false" ht="13.8" hidden="false" customHeight="false" outlineLevel="0" collapsed="false">
      <c r="A356" s="218"/>
      <c r="B356" s="251"/>
      <c r="C356" s="251"/>
      <c r="D356" s="251"/>
      <c r="E356" s="251"/>
      <c r="F356" s="212" t="s">
        <v>2584</v>
      </c>
      <c r="G356" s="212" t="n">
        <v>63</v>
      </c>
      <c r="H356" s="212" t="s">
        <v>120</v>
      </c>
      <c r="I356" s="250" t="n">
        <v>122.67</v>
      </c>
    </row>
    <row r="357" customFormat="false" ht="13.8" hidden="false" customHeight="false" outlineLevel="0" collapsed="false">
      <c r="A357" s="218"/>
      <c r="B357" s="251"/>
      <c r="C357" s="251"/>
      <c r="D357" s="251"/>
      <c r="E357" s="251"/>
      <c r="F357" s="212" t="s">
        <v>2591</v>
      </c>
      <c r="G357" s="212" t="n">
        <v>160</v>
      </c>
      <c r="H357" s="212" t="s">
        <v>120</v>
      </c>
      <c r="I357" s="250" t="n">
        <v>54.6</v>
      </c>
    </row>
    <row r="358" customFormat="false" ht="13.8" hidden="false" customHeight="false" outlineLevel="0" collapsed="false">
      <c r="A358" s="218"/>
      <c r="B358" s="251"/>
      <c r="C358" s="251"/>
      <c r="D358" s="251"/>
      <c r="E358" s="251"/>
      <c r="F358" s="212" t="s">
        <v>2606</v>
      </c>
      <c r="G358" s="212" t="n">
        <v>110</v>
      </c>
      <c r="H358" s="212" t="s">
        <v>120</v>
      </c>
      <c r="I358" s="250" t="n">
        <v>25.15</v>
      </c>
    </row>
    <row r="359" customFormat="false" ht="13.8" hidden="false" customHeight="false" outlineLevel="0" collapsed="false">
      <c r="A359" s="218"/>
      <c r="B359" s="251"/>
      <c r="C359" s="251"/>
      <c r="D359" s="251"/>
      <c r="E359" s="251"/>
      <c r="F359" s="212" t="s">
        <v>2610</v>
      </c>
      <c r="G359" s="212" t="n">
        <v>160</v>
      </c>
      <c r="H359" s="212" t="s">
        <v>120</v>
      </c>
      <c r="I359" s="250" t="n">
        <v>6.83</v>
      </c>
    </row>
    <row r="360" customFormat="false" ht="13.8" hidden="false" customHeight="false" outlineLevel="0" collapsed="false">
      <c r="A360" s="218"/>
      <c r="B360" s="251"/>
      <c r="C360" s="251"/>
      <c r="D360" s="251"/>
      <c r="E360" s="251"/>
      <c r="F360" s="212" t="s">
        <v>2619</v>
      </c>
      <c r="G360" s="212" t="n">
        <v>110</v>
      </c>
      <c r="H360" s="212" t="s">
        <v>120</v>
      </c>
      <c r="I360" s="250" t="n">
        <v>292.79</v>
      </c>
    </row>
    <row r="361" customFormat="false" ht="13.8" hidden="false" customHeight="false" outlineLevel="0" collapsed="false">
      <c r="A361" s="218"/>
      <c r="B361" s="251"/>
      <c r="C361" s="251"/>
      <c r="D361" s="251"/>
      <c r="E361" s="251"/>
      <c r="F361" s="212" t="s">
        <v>2623</v>
      </c>
      <c r="G361" s="212" t="n">
        <v>160</v>
      </c>
      <c r="H361" s="212" t="s">
        <v>120</v>
      </c>
      <c r="I361" s="250" t="n">
        <v>24.84</v>
      </c>
    </row>
    <row r="362" customFormat="false" ht="13.8" hidden="false" customHeight="false" outlineLevel="0" collapsed="false">
      <c r="A362" s="218"/>
      <c r="B362" s="251"/>
      <c r="C362" s="251"/>
      <c r="D362" s="251"/>
      <c r="E362" s="251"/>
      <c r="F362" s="212" t="s">
        <v>2626</v>
      </c>
      <c r="G362" s="212" t="n">
        <v>160</v>
      </c>
      <c r="H362" s="212" t="s">
        <v>120</v>
      </c>
      <c r="I362" s="250" t="n">
        <v>217.2</v>
      </c>
    </row>
    <row r="363" customFormat="false" ht="13.8" hidden="false" customHeight="false" outlineLevel="0" collapsed="false">
      <c r="A363" s="218"/>
      <c r="B363" s="251"/>
      <c r="C363" s="251"/>
      <c r="D363" s="251"/>
      <c r="E363" s="251"/>
      <c r="F363" s="212" t="s">
        <v>2805</v>
      </c>
      <c r="G363" s="212" t="n">
        <v>110</v>
      </c>
      <c r="H363" s="212" t="s">
        <v>120</v>
      </c>
      <c r="I363" s="250" t="n">
        <v>47.52</v>
      </c>
    </row>
    <row r="364" customFormat="false" ht="13.8" hidden="false" customHeight="false" outlineLevel="0" collapsed="false">
      <c r="A364" s="218"/>
      <c r="B364" s="251"/>
      <c r="C364" s="251"/>
      <c r="D364" s="251"/>
      <c r="E364" s="251"/>
      <c r="F364" s="212" t="s">
        <v>2809</v>
      </c>
      <c r="G364" s="212" t="n">
        <v>110</v>
      </c>
      <c r="H364" s="212" t="s">
        <v>120</v>
      </c>
      <c r="I364" s="250" t="n">
        <v>292.57</v>
      </c>
    </row>
    <row r="365" customFormat="false" ht="13.8" hidden="false" customHeight="false" outlineLevel="0" collapsed="false">
      <c r="A365" s="218"/>
      <c r="B365" s="251"/>
      <c r="C365" s="251"/>
      <c r="D365" s="251"/>
      <c r="E365" s="251"/>
      <c r="F365" s="212" t="s">
        <v>2812</v>
      </c>
      <c r="G365" s="212" t="n">
        <v>63</v>
      </c>
      <c r="H365" s="212" t="s">
        <v>120</v>
      </c>
      <c r="I365" s="250" t="n">
        <v>211.34</v>
      </c>
    </row>
    <row r="366" customFormat="false" ht="13.8" hidden="false" customHeight="false" outlineLevel="0" collapsed="false">
      <c r="A366" s="218"/>
      <c r="B366" s="251"/>
      <c r="C366" s="251"/>
      <c r="D366" s="251"/>
      <c r="E366" s="251"/>
      <c r="F366" s="212" t="s">
        <v>2816</v>
      </c>
      <c r="G366" s="212" t="n">
        <v>160</v>
      </c>
      <c r="H366" s="212" t="s">
        <v>120</v>
      </c>
      <c r="I366" s="250" t="n">
        <v>293.47</v>
      </c>
    </row>
    <row r="367" customFormat="false" ht="13.8" hidden="false" customHeight="false" outlineLevel="0" collapsed="false">
      <c r="A367" s="218"/>
      <c r="B367" s="251"/>
      <c r="C367" s="251"/>
      <c r="D367" s="252"/>
      <c r="E367" s="252"/>
      <c r="F367" s="212" t="s">
        <v>2818</v>
      </c>
      <c r="G367" s="212" t="n">
        <v>160</v>
      </c>
      <c r="H367" s="212" t="s">
        <v>120</v>
      </c>
      <c r="I367" s="250" t="n">
        <v>2.51</v>
      </c>
    </row>
    <row r="368" customFormat="false" ht="13.8" hidden="false" customHeight="false" outlineLevel="0" collapsed="false">
      <c r="A368" s="218"/>
      <c r="B368" s="251"/>
      <c r="C368" s="251"/>
      <c r="D368" s="249" t="s">
        <v>2630</v>
      </c>
      <c r="E368" s="249" t="s">
        <v>117</v>
      </c>
      <c r="F368" s="212" t="s">
        <v>2629</v>
      </c>
      <c r="G368" s="212" t="n">
        <v>63</v>
      </c>
      <c r="H368" s="212" t="s">
        <v>120</v>
      </c>
      <c r="I368" s="250" t="n">
        <v>46.87</v>
      </c>
    </row>
    <row r="369" customFormat="false" ht="13.8" hidden="false" customHeight="false" outlineLevel="0" collapsed="false">
      <c r="A369" s="218"/>
      <c r="B369" s="251"/>
      <c r="C369" s="251"/>
      <c r="D369" s="251"/>
      <c r="E369" s="251"/>
      <c r="F369" s="212" t="s">
        <v>2723</v>
      </c>
      <c r="G369" s="212" t="n">
        <v>160</v>
      </c>
      <c r="H369" s="212" t="s">
        <v>120</v>
      </c>
      <c r="I369" s="250" t="n">
        <v>124.26</v>
      </c>
    </row>
    <row r="370" customFormat="false" ht="13.8" hidden="false" customHeight="false" outlineLevel="0" collapsed="false">
      <c r="A370" s="218"/>
      <c r="B370" s="251"/>
      <c r="C370" s="251"/>
      <c r="D370" s="251"/>
      <c r="E370" s="251"/>
      <c r="F370" s="212" t="s">
        <v>2727</v>
      </c>
      <c r="G370" s="212" t="n">
        <v>225</v>
      </c>
      <c r="H370" s="212" t="s">
        <v>120</v>
      </c>
      <c r="I370" s="250" t="n">
        <v>14.98</v>
      </c>
    </row>
    <row r="371" customFormat="false" ht="13.8" hidden="false" customHeight="false" outlineLevel="0" collapsed="false">
      <c r="A371" s="218"/>
      <c r="B371" s="251"/>
      <c r="C371" s="251"/>
      <c r="D371" s="251"/>
      <c r="E371" s="251"/>
      <c r="F371" s="212" t="s">
        <v>2728</v>
      </c>
      <c r="G371" s="212" t="n">
        <v>160</v>
      </c>
      <c r="H371" s="212" t="s">
        <v>120</v>
      </c>
      <c r="I371" s="250" t="n">
        <v>56.94</v>
      </c>
    </row>
    <row r="372" customFormat="false" ht="13.8" hidden="false" customHeight="false" outlineLevel="0" collapsed="false">
      <c r="A372" s="218"/>
      <c r="B372" s="251"/>
      <c r="C372" s="251"/>
      <c r="D372" s="251"/>
      <c r="E372" s="251"/>
      <c r="F372" s="212" t="s">
        <v>2732</v>
      </c>
      <c r="G372" s="212" t="n">
        <v>110</v>
      </c>
      <c r="H372" s="212" t="s">
        <v>120</v>
      </c>
      <c r="I372" s="250" t="n">
        <v>113.57</v>
      </c>
    </row>
    <row r="373" customFormat="false" ht="13.8" hidden="false" customHeight="false" outlineLevel="0" collapsed="false">
      <c r="A373" s="218"/>
      <c r="B373" s="251"/>
      <c r="C373" s="251"/>
      <c r="D373" s="251"/>
      <c r="E373" s="251"/>
      <c r="F373" s="212" t="s">
        <v>2737</v>
      </c>
      <c r="G373" s="212" t="n">
        <v>63</v>
      </c>
      <c r="H373" s="212" t="s">
        <v>120</v>
      </c>
      <c r="I373" s="250" t="n">
        <v>62.13</v>
      </c>
    </row>
    <row r="374" customFormat="false" ht="13.8" hidden="false" customHeight="false" outlineLevel="0" collapsed="false">
      <c r="A374" s="218"/>
      <c r="B374" s="251"/>
      <c r="C374" s="251"/>
      <c r="D374" s="251"/>
      <c r="E374" s="251"/>
      <c r="F374" s="212" t="s">
        <v>2741</v>
      </c>
      <c r="G374" s="212" t="n">
        <v>160</v>
      </c>
      <c r="H374" s="212" t="s">
        <v>120</v>
      </c>
      <c r="I374" s="250" t="n">
        <v>68.9</v>
      </c>
    </row>
    <row r="375" customFormat="false" ht="13.8" hidden="false" customHeight="false" outlineLevel="0" collapsed="false">
      <c r="A375" s="218"/>
      <c r="B375" s="251"/>
      <c r="C375" s="251"/>
      <c r="D375" s="251"/>
      <c r="E375" s="251"/>
      <c r="F375" s="212" t="s">
        <v>2745</v>
      </c>
      <c r="G375" s="212" t="n">
        <v>63</v>
      </c>
      <c r="H375" s="212" t="s">
        <v>120</v>
      </c>
      <c r="I375" s="250" t="n">
        <v>85.37</v>
      </c>
    </row>
    <row r="376" customFormat="false" ht="13.8" hidden="false" customHeight="false" outlineLevel="0" collapsed="false">
      <c r="A376" s="218"/>
      <c r="B376" s="251"/>
      <c r="C376" s="251"/>
      <c r="D376" s="251"/>
      <c r="E376" s="251"/>
      <c r="F376" s="212" t="s">
        <v>2749</v>
      </c>
      <c r="G376" s="212" t="n">
        <v>63</v>
      </c>
      <c r="H376" s="212" t="s">
        <v>120</v>
      </c>
      <c r="I376" s="250" t="n">
        <v>78.41</v>
      </c>
    </row>
    <row r="377" customFormat="false" ht="13.8" hidden="false" customHeight="false" outlineLevel="0" collapsed="false">
      <c r="A377" s="218"/>
      <c r="B377" s="251"/>
      <c r="C377" s="251"/>
      <c r="D377" s="251"/>
      <c r="E377" s="251"/>
      <c r="F377" s="212" t="s">
        <v>2770</v>
      </c>
      <c r="G377" s="212" t="n">
        <v>63</v>
      </c>
      <c r="H377" s="212" t="s">
        <v>120</v>
      </c>
      <c r="I377" s="250" t="n">
        <v>39.64</v>
      </c>
    </row>
    <row r="378" customFormat="false" ht="13.8" hidden="false" customHeight="false" outlineLevel="0" collapsed="false">
      <c r="A378" s="218"/>
      <c r="B378" s="251"/>
      <c r="C378" s="251"/>
      <c r="D378" s="251"/>
      <c r="E378" s="251"/>
      <c r="F378" s="212" t="s">
        <v>2778</v>
      </c>
      <c r="G378" s="212" t="n">
        <v>160</v>
      </c>
      <c r="H378" s="212" t="s">
        <v>120</v>
      </c>
      <c r="I378" s="250" t="n">
        <v>75.51</v>
      </c>
    </row>
    <row r="379" customFormat="false" ht="13.8" hidden="false" customHeight="false" outlineLevel="0" collapsed="false">
      <c r="A379" s="218"/>
      <c r="B379" s="251"/>
      <c r="C379" s="251"/>
      <c r="D379" s="251"/>
      <c r="E379" s="251"/>
      <c r="F379" s="212" t="s">
        <v>2793</v>
      </c>
      <c r="G379" s="212" t="n">
        <v>160</v>
      </c>
      <c r="H379" s="212" t="s">
        <v>120</v>
      </c>
      <c r="I379" s="250" t="n">
        <v>0.9</v>
      </c>
    </row>
    <row r="380" customFormat="false" ht="13.8" hidden="false" customHeight="false" outlineLevel="0" collapsed="false">
      <c r="A380" s="218"/>
      <c r="B380" s="251"/>
      <c r="C380" s="251"/>
      <c r="D380" s="251"/>
      <c r="E380" s="251"/>
      <c r="F380" s="212" t="s">
        <v>2821</v>
      </c>
      <c r="G380" s="212" t="n">
        <v>63</v>
      </c>
      <c r="H380" s="212" t="s">
        <v>120</v>
      </c>
      <c r="I380" s="250" t="n">
        <v>70.52</v>
      </c>
    </row>
    <row r="381" customFormat="false" ht="13.8" hidden="false" customHeight="false" outlineLevel="0" collapsed="false">
      <c r="A381" s="218"/>
      <c r="B381" s="251"/>
      <c r="C381" s="251"/>
      <c r="D381" s="251"/>
      <c r="E381" s="251"/>
      <c r="F381" s="212" t="s">
        <v>2848</v>
      </c>
      <c r="G381" s="212" t="n">
        <v>63</v>
      </c>
      <c r="H381" s="212" t="s">
        <v>120</v>
      </c>
      <c r="I381" s="250" t="n">
        <v>72.17</v>
      </c>
    </row>
    <row r="382" customFormat="false" ht="13.8" hidden="false" customHeight="false" outlineLevel="0" collapsed="false">
      <c r="A382" s="218"/>
      <c r="B382" s="251"/>
      <c r="C382" s="251"/>
      <c r="D382" s="251"/>
      <c r="E382" s="251"/>
      <c r="F382" s="212" t="s">
        <v>2857</v>
      </c>
      <c r="G382" s="212" t="n">
        <v>110</v>
      </c>
      <c r="H382" s="212" t="s">
        <v>120</v>
      </c>
      <c r="I382" s="250" t="n">
        <v>28.28</v>
      </c>
    </row>
    <row r="383" customFormat="false" ht="13.8" hidden="false" customHeight="false" outlineLevel="0" collapsed="false">
      <c r="A383" s="218"/>
      <c r="B383" s="251"/>
      <c r="C383" s="251"/>
      <c r="D383" s="251"/>
      <c r="E383" s="251"/>
      <c r="F383" s="212" t="s">
        <v>2860</v>
      </c>
      <c r="G383" s="212" t="n">
        <v>63</v>
      </c>
      <c r="H383" s="212" t="s">
        <v>120</v>
      </c>
      <c r="I383" s="250" t="n">
        <v>19.93</v>
      </c>
    </row>
    <row r="384" customFormat="false" ht="13.8" hidden="false" customHeight="false" outlineLevel="0" collapsed="false">
      <c r="A384" s="218"/>
      <c r="B384" s="251"/>
      <c r="C384" s="251"/>
      <c r="D384" s="251"/>
      <c r="E384" s="251"/>
      <c r="F384" s="212" t="s">
        <v>2876</v>
      </c>
      <c r="G384" s="212" t="n">
        <v>63</v>
      </c>
      <c r="H384" s="212" t="s">
        <v>120</v>
      </c>
      <c r="I384" s="250" t="n">
        <v>59.22</v>
      </c>
    </row>
    <row r="385" customFormat="false" ht="13.8" hidden="false" customHeight="false" outlineLevel="0" collapsed="false">
      <c r="A385" s="218"/>
      <c r="B385" s="251"/>
      <c r="C385" s="251"/>
      <c r="D385" s="252"/>
      <c r="E385" s="252"/>
      <c r="F385" s="212" t="s">
        <v>2888</v>
      </c>
      <c r="G385" s="212" t="n">
        <v>63</v>
      </c>
      <c r="H385" s="212" t="s">
        <v>120</v>
      </c>
      <c r="I385" s="250" t="n">
        <v>85.39</v>
      </c>
    </row>
    <row r="386" customFormat="false" ht="13.8" hidden="false" customHeight="false" outlineLevel="0" collapsed="false">
      <c r="A386" s="218"/>
      <c r="B386" s="251"/>
      <c r="C386" s="251"/>
      <c r="D386" s="249" t="s">
        <v>2853</v>
      </c>
      <c r="E386" s="249" t="s">
        <v>117</v>
      </c>
      <c r="F386" s="212" t="s">
        <v>2852</v>
      </c>
      <c r="G386" s="212" t="n">
        <v>160</v>
      </c>
      <c r="H386" s="212" t="s">
        <v>120</v>
      </c>
      <c r="I386" s="250" t="n">
        <v>25.89</v>
      </c>
    </row>
    <row r="387" customFormat="false" ht="13.8" hidden="false" customHeight="false" outlineLevel="0" collapsed="false">
      <c r="A387" s="218"/>
      <c r="B387" s="251"/>
      <c r="C387" s="251"/>
      <c r="D387" s="251"/>
      <c r="E387" s="251"/>
      <c r="F387" s="212" t="s">
        <v>2869</v>
      </c>
      <c r="G387" s="212" t="n">
        <v>160</v>
      </c>
      <c r="H387" s="212" t="s">
        <v>120</v>
      </c>
      <c r="I387" s="250" t="n">
        <v>277.99</v>
      </c>
    </row>
    <row r="388" customFormat="false" ht="13.8" hidden="false" customHeight="false" outlineLevel="0" collapsed="false">
      <c r="A388" s="218"/>
      <c r="B388" s="251"/>
      <c r="C388" s="251"/>
      <c r="D388" s="251"/>
      <c r="E388" s="251"/>
      <c r="F388" s="212" t="s">
        <v>2928</v>
      </c>
      <c r="G388" s="212" t="n">
        <v>160</v>
      </c>
      <c r="H388" s="212" t="s">
        <v>120</v>
      </c>
      <c r="I388" s="250" t="n">
        <v>186.75</v>
      </c>
    </row>
    <row r="389" customFormat="false" ht="13.8" hidden="false" customHeight="false" outlineLevel="0" collapsed="false">
      <c r="A389" s="218"/>
      <c r="B389" s="251"/>
      <c r="C389" s="251"/>
      <c r="D389" s="252"/>
      <c r="E389" s="252"/>
      <c r="F389" s="212" t="s">
        <v>2931</v>
      </c>
      <c r="G389" s="212" t="n">
        <v>160</v>
      </c>
      <c r="H389" s="212" t="s">
        <v>120</v>
      </c>
      <c r="I389" s="250" t="n">
        <v>168.66</v>
      </c>
    </row>
    <row r="390" customFormat="false" ht="13.8" hidden="false" customHeight="false" outlineLevel="0" collapsed="false">
      <c r="A390" s="218"/>
      <c r="B390" s="251"/>
      <c r="C390" s="251"/>
      <c r="D390" s="212" t="s">
        <v>2209</v>
      </c>
      <c r="E390" s="212" t="s">
        <v>117</v>
      </c>
      <c r="F390" s="212" t="s">
        <v>2720</v>
      </c>
      <c r="G390" s="212" t="n">
        <v>250</v>
      </c>
      <c r="H390" s="212" t="s">
        <v>120</v>
      </c>
      <c r="I390" s="250" t="n">
        <v>366.89</v>
      </c>
    </row>
    <row r="391" customFormat="false" ht="13.8" hidden="false" customHeight="false" outlineLevel="0" collapsed="false">
      <c r="A391" s="218"/>
      <c r="B391" s="251"/>
      <c r="C391" s="251"/>
      <c r="D391" s="249" t="s">
        <v>2638</v>
      </c>
      <c r="E391" s="249" t="s">
        <v>117</v>
      </c>
      <c r="F391" s="212" t="s">
        <v>2637</v>
      </c>
      <c r="G391" s="212" t="n">
        <v>110</v>
      </c>
      <c r="H391" s="212" t="s">
        <v>120</v>
      </c>
      <c r="I391" s="250" t="n">
        <v>32.7</v>
      </c>
    </row>
    <row r="392" customFormat="false" ht="13.8" hidden="false" customHeight="false" outlineLevel="0" collapsed="false">
      <c r="A392" s="218"/>
      <c r="B392" s="251"/>
      <c r="C392" s="251"/>
      <c r="D392" s="251"/>
      <c r="E392" s="251"/>
      <c r="F392" s="212" t="s">
        <v>2659</v>
      </c>
      <c r="G392" s="212" t="n">
        <v>63</v>
      </c>
      <c r="H392" s="212" t="s">
        <v>120</v>
      </c>
      <c r="I392" s="250" t="n">
        <v>84.64</v>
      </c>
    </row>
    <row r="393" customFormat="false" ht="13.8" hidden="false" customHeight="false" outlineLevel="0" collapsed="false">
      <c r="A393" s="218"/>
      <c r="B393" s="251"/>
      <c r="C393" s="251"/>
      <c r="D393" s="251"/>
      <c r="E393" s="251"/>
      <c r="F393" s="212" t="s">
        <v>2674</v>
      </c>
      <c r="G393" s="212" t="n">
        <v>63</v>
      </c>
      <c r="H393" s="212" t="s">
        <v>120</v>
      </c>
      <c r="I393" s="250" t="n">
        <v>15.75</v>
      </c>
    </row>
    <row r="394" customFormat="false" ht="13.8" hidden="false" customHeight="false" outlineLevel="0" collapsed="false">
      <c r="A394" s="218"/>
      <c r="B394" s="251"/>
      <c r="C394" s="251"/>
      <c r="D394" s="251"/>
      <c r="E394" s="251"/>
      <c r="F394" s="212" t="s">
        <v>2688</v>
      </c>
      <c r="G394" s="212" t="n">
        <v>63</v>
      </c>
      <c r="H394" s="212" t="s">
        <v>120</v>
      </c>
      <c r="I394" s="250" t="n">
        <v>172.73</v>
      </c>
    </row>
    <row r="395" customFormat="false" ht="13.8" hidden="false" customHeight="false" outlineLevel="0" collapsed="false">
      <c r="A395" s="218"/>
      <c r="B395" s="251"/>
      <c r="C395" s="251"/>
      <c r="D395" s="251"/>
      <c r="E395" s="251"/>
      <c r="F395" s="212" t="s">
        <v>2828</v>
      </c>
      <c r="G395" s="212" t="n">
        <v>110</v>
      </c>
      <c r="H395" s="212" t="s">
        <v>120</v>
      </c>
      <c r="I395" s="250" t="n">
        <v>99.02</v>
      </c>
    </row>
    <row r="396" customFormat="false" ht="13.8" hidden="false" customHeight="false" outlineLevel="0" collapsed="false">
      <c r="A396" s="218"/>
      <c r="B396" s="251"/>
      <c r="C396" s="251"/>
      <c r="D396" s="251"/>
      <c r="E396" s="251"/>
      <c r="F396" s="212" t="s">
        <v>2949</v>
      </c>
      <c r="G396" s="212" t="n">
        <v>110</v>
      </c>
      <c r="H396" s="212" t="s">
        <v>120</v>
      </c>
      <c r="I396" s="250" t="n">
        <v>35.57</v>
      </c>
    </row>
    <row r="397" customFormat="false" ht="13.8" hidden="false" customHeight="false" outlineLevel="0" collapsed="false">
      <c r="A397" s="218"/>
      <c r="B397" s="251"/>
      <c r="C397" s="251"/>
      <c r="D397" s="251"/>
      <c r="E397" s="251"/>
      <c r="F397" s="212" t="s">
        <v>2954</v>
      </c>
      <c r="G397" s="212" t="n">
        <v>110</v>
      </c>
      <c r="H397" s="212" t="s">
        <v>120</v>
      </c>
      <c r="I397" s="250" t="n">
        <v>126.45</v>
      </c>
    </row>
    <row r="398" customFormat="false" ht="13.8" hidden="false" customHeight="false" outlineLevel="0" collapsed="false">
      <c r="A398" s="218"/>
      <c r="B398" s="251"/>
      <c r="C398" s="251"/>
      <c r="D398" s="251"/>
      <c r="E398" s="251"/>
      <c r="F398" s="212" t="s">
        <v>2958</v>
      </c>
      <c r="G398" s="212" t="n">
        <v>63</v>
      </c>
      <c r="H398" s="212" t="s">
        <v>120</v>
      </c>
      <c r="I398" s="250" t="n">
        <v>213.43</v>
      </c>
    </row>
    <row r="399" customFormat="false" ht="13.8" hidden="false" customHeight="false" outlineLevel="0" collapsed="false">
      <c r="A399" s="218"/>
      <c r="B399" s="251"/>
      <c r="C399" s="251"/>
      <c r="D399" s="252"/>
      <c r="E399" s="252"/>
      <c r="F399" s="212" t="s">
        <v>2962</v>
      </c>
      <c r="G399" s="212" t="n">
        <v>63</v>
      </c>
      <c r="H399" s="212" t="s">
        <v>120</v>
      </c>
      <c r="I399" s="250" t="n">
        <v>66.15</v>
      </c>
    </row>
    <row r="400" customFormat="false" ht="13.8" hidden="false" customHeight="false" outlineLevel="0" collapsed="false">
      <c r="A400" s="218"/>
      <c r="B400" s="251"/>
      <c r="C400" s="251"/>
      <c r="D400" s="249" t="s">
        <v>2531</v>
      </c>
      <c r="E400" s="249" t="s">
        <v>117</v>
      </c>
      <c r="F400" s="212" t="s">
        <v>2530</v>
      </c>
      <c r="G400" s="212" t="n">
        <v>63</v>
      </c>
      <c r="H400" s="212" t="s">
        <v>120</v>
      </c>
      <c r="I400" s="250" t="n">
        <v>6.81</v>
      </c>
    </row>
    <row r="401" customFormat="false" ht="13.8" hidden="false" customHeight="false" outlineLevel="0" collapsed="false">
      <c r="A401" s="218"/>
      <c r="B401" s="251"/>
      <c r="C401" s="251"/>
      <c r="D401" s="251"/>
      <c r="E401" s="251"/>
      <c r="F401" s="212" t="s">
        <v>2536</v>
      </c>
      <c r="G401" s="212" t="n">
        <v>63</v>
      </c>
      <c r="H401" s="212" t="s">
        <v>120</v>
      </c>
      <c r="I401" s="250" t="n">
        <v>164.37</v>
      </c>
    </row>
    <row r="402" customFormat="false" ht="13.8" hidden="false" customHeight="false" outlineLevel="0" collapsed="false">
      <c r="A402" s="218"/>
      <c r="B402" s="251"/>
      <c r="C402" s="251"/>
      <c r="D402" s="251"/>
      <c r="E402" s="251"/>
      <c r="F402" s="212" t="s">
        <v>2541</v>
      </c>
      <c r="G402" s="212" t="n">
        <v>63</v>
      </c>
      <c r="H402" s="212" t="s">
        <v>120</v>
      </c>
      <c r="I402" s="250" t="n">
        <v>105.53</v>
      </c>
    </row>
    <row r="403" customFormat="false" ht="13.8" hidden="false" customHeight="false" outlineLevel="0" collapsed="false">
      <c r="A403" s="218"/>
      <c r="B403" s="251"/>
      <c r="C403" s="251"/>
      <c r="D403" s="251"/>
      <c r="E403" s="251"/>
      <c r="F403" s="212" t="s">
        <v>2544</v>
      </c>
      <c r="G403" s="212" t="n">
        <v>63</v>
      </c>
      <c r="H403" s="212" t="s">
        <v>120</v>
      </c>
      <c r="I403" s="250" t="n">
        <v>27.19</v>
      </c>
    </row>
    <row r="404" customFormat="false" ht="13.8" hidden="false" customHeight="false" outlineLevel="0" collapsed="false">
      <c r="A404" s="218"/>
      <c r="B404" s="251"/>
      <c r="C404" s="251"/>
      <c r="D404" s="251"/>
      <c r="E404" s="251"/>
      <c r="F404" s="212" t="s">
        <v>2548</v>
      </c>
      <c r="G404" s="212" t="n">
        <v>125</v>
      </c>
      <c r="H404" s="212" t="s">
        <v>120</v>
      </c>
      <c r="I404" s="250" t="n">
        <v>124.11</v>
      </c>
    </row>
    <row r="405" customFormat="false" ht="13.8" hidden="false" customHeight="false" outlineLevel="0" collapsed="false">
      <c r="A405" s="218"/>
      <c r="B405" s="251"/>
      <c r="C405" s="251"/>
      <c r="D405" s="251"/>
      <c r="E405" s="251"/>
      <c r="F405" s="212" t="s">
        <v>2557</v>
      </c>
      <c r="G405" s="212" t="n">
        <v>110</v>
      </c>
      <c r="H405" s="212" t="s">
        <v>120</v>
      </c>
      <c r="I405" s="250" t="n">
        <v>291.43</v>
      </c>
    </row>
    <row r="406" customFormat="false" ht="13.8" hidden="false" customHeight="false" outlineLevel="0" collapsed="false">
      <c r="A406" s="218"/>
      <c r="B406" s="251"/>
      <c r="C406" s="251"/>
      <c r="D406" s="251"/>
      <c r="E406" s="251"/>
      <c r="F406" s="212" t="s">
        <v>2572</v>
      </c>
      <c r="G406" s="212" t="n">
        <v>110</v>
      </c>
      <c r="H406" s="212" t="s">
        <v>120</v>
      </c>
      <c r="I406" s="250" t="n">
        <v>44.1</v>
      </c>
    </row>
    <row r="407" customFormat="false" ht="13.8" hidden="false" customHeight="false" outlineLevel="0" collapsed="false">
      <c r="A407" s="218"/>
      <c r="B407" s="251"/>
      <c r="C407" s="251"/>
      <c r="D407" s="251"/>
      <c r="E407" s="251"/>
      <c r="F407" s="212" t="s">
        <v>2580</v>
      </c>
      <c r="G407" s="212" t="n">
        <v>63</v>
      </c>
      <c r="H407" s="212" t="s">
        <v>120</v>
      </c>
      <c r="I407" s="250" t="n">
        <v>216.34</v>
      </c>
    </row>
    <row r="408" customFormat="false" ht="13.8" hidden="false" customHeight="false" outlineLevel="0" collapsed="false">
      <c r="A408" s="218"/>
      <c r="B408" s="251"/>
      <c r="C408" s="251"/>
      <c r="D408" s="251"/>
      <c r="E408" s="251"/>
      <c r="F408" s="212" t="s">
        <v>2588</v>
      </c>
      <c r="G408" s="212" t="n">
        <v>110</v>
      </c>
      <c r="H408" s="212" t="s">
        <v>120</v>
      </c>
      <c r="I408" s="250" t="n">
        <v>58.76</v>
      </c>
    </row>
    <row r="409" customFormat="false" ht="13.8" hidden="false" customHeight="false" outlineLevel="0" collapsed="false">
      <c r="A409" s="218"/>
      <c r="B409" s="251"/>
      <c r="C409" s="251"/>
      <c r="D409" s="251"/>
      <c r="E409" s="251"/>
      <c r="F409" s="212" t="s">
        <v>2603</v>
      </c>
      <c r="G409" s="212" t="n">
        <v>110</v>
      </c>
      <c r="H409" s="212" t="s">
        <v>120</v>
      </c>
      <c r="I409" s="250" t="n">
        <v>76.2</v>
      </c>
    </row>
    <row r="410" customFormat="false" ht="13.8" hidden="false" customHeight="false" outlineLevel="0" collapsed="false">
      <c r="A410" s="218"/>
      <c r="B410" s="251"/>
      <c r="C410" s="251"/>
      <c r="D410" s="252"/>
      <c r="E410" s="252"/>
      <c r="F410" s="212" t="s">
        <v>2634</v>
      </c>
      <c r="G410" s="212" t="n">
        <v>110</v>
      </c>
      <c r="H410" s="212" t="s">
        <v>120</v>
      </c>
      <c r="I410" s="250" t="n">
        <v>46.38</v>
      </c>
    </row>
    <row r="411" customFormat="false" ht="13.8" hidden="false" customHeight="false" outlineLevel="0" collapsed="false">
      <c r="A411" s="218"/>
      <c r="B411" s="251"/>
      <c r="C411" s="251"/>
      <c r="D411" s="212" t="s">
        <v>2186</v>
      </c>
      <c r="E411" s="212" t="s">
        <v>117</v>
      </c>
      <c r="F411" s="212" t="s">
        <v>2736</v>
      </c>
      <c r="G411" s="212" t="n">
        <v>225</v>
      </c>
      <c r="H411" s="212" t="s">
        <v>120</v>
      </c>
      <c r="I411" s="250" t="n">
        <v>11.41</v>
      </c>
    </row>
    <row r="412" customFormat="false" ht="13.8" hidden="false" customHeight="false" outlineLevel="0" collapsed="false">
      <c r="A412" s="218"/>
      <c r="B412" s="251"/>
      <c r="C412" s="251"/>
      <c r="D412" s="249" t="s">
        <v>7055</v>
      </c>
      <c r="E412" s="249" t="s">
        <v>117</v>
      </c>
      <c r="F412" s="212" t="s">
        <v>2775</v>
      </c>
      <c r="G412" s="212" t="n">
        <v>250</v>
      </c>
      <c r="H412" s="212" t="s">
        <v>120</v>
      </c>
      <c r="I412" s="250" t="n">
        <v>1.02</v>
      </c>
    </row>
    <row r="413" customFormat="false" ht="13.8" hidden="false" customHeight="false" outlineLevel="0" collapsed="false">
      <c r="A413" s="218"/>
      <c r="B413" s="251"/>
      <c r="C413" s="251"/>
      <c r="D413" s="251"/>
      <c r="E413" s="251"/>
      <c r="F413" s="212" t="s">
        <v>2782</v>
      </c>
      <c r="G413" s="212" t="n">
        <v>250</v>
      </c>
      <c r="H413" s="212" t="s">
        <v>120</v>
      </c>
      <c r="I413" s="250" t="n">
        <v>4.45</v>
      </c>
    </row>
    <row r="414" customFormat="false" ht="13.8" hidden="false" customHeight="false" outlineLevel="0" collapsed="false">
      <c r="A414" s="218"/>
      <c r="B414" s="251"/>
      <c r="C414" s="251"/>
      <c r="D414" s="251"/>
      <c r="E414" s="251"/>
      <c r="F414" s="212" t="s">
        <v>2785</v>
      </c>
      <c r="G414" s="212" t="n">
        <v>250</v>
      </c>
      <c r="H414" s="212" t="s">
        <v>120</v>
      </c>
      <c r="I414" s="250" t="n">
        <v>2.46</v>
      </c>
    </row>
    <row r="415" customFormat="false" ht="13.8" hidden="false" customHeight="false" outlineLevel="0" collapsed="false">
      <c r="A415" s="218"/>
      <c r="B415" s="251"/>
      <c r="C415" s="251"/>
      <c r="D415" s="251"/>
      <c r="E415" s="251"/>
      <c r="F415" s="212" t="s">
        <v>2787</v>
      </c>
      <c r="G415" s="212" t="n">
        <v>160</v>
      </c>
      <c r="H415" s="212" t="s">
        <v>120</v>
      </c>
      <c r="I415" s="250" t="n">
        <v>25.59</v>
      </c>
    </row>
    <row r="416" customFormat="false" ht="13.8" hidden="false" customHeight="false" outlineLevel="0" collapsed="false">
      <c r="A416" s="218"/>
      <c r="B416" s="251"/>
      <c r="C416" s="251"/>
      <c r="D416" s="251"/>
      <c r="E416" s="251"/>
      <c r="F416" s="212" t="s">
        <v>2864</v>
      </c>
      <c r="G416" s="212" t="n">
        <v>63</v>
      </c>
      <c r="H416" s="212" t="s">
        <v>120</v>
      </c>
      <c r="I416" s="250" t="n">
        <v>11.6</v>
      </c>
    </row>
    <row r="417" customFormat="false" ht="13.8" hidden="false" customHeight="false" outlineLevel="0" collapsed="false">
      <c r="A417" s="218"/>
      <c r="B417" s="251"/>
      <c r="C417" s="251"/>
      <c r="D417" s="251"/>
      <c r="E417" s="251"/>
      <c r="F417" s="212" t="s">
        <v>2880</v>
      </c>
      <c r="G417" s="212" t="n">
        <v>63</v>
      </c>
      <c r="H417" s="212" t="s">
        <v>120</v>
      </c>
      <c r="I417" s="250" t="n">
        <v>33.52</v>
      </c>
    </row>
    <row r="418" customFormat="false" ht="13.8" hidden="false" customHeight="false" outlineLevel="0" collapsed="false">
      <c r="A418" s="218"/>
      <c r="B418" s="251"/>
      <c r="C418" s="251"/>
      <c r="D418" s="251"/>
      <c r="E418" s="251"/>
      <c r="F418" s="212" t="s">
        <v>2903</v>
      </c>
      <c r="G418" s="212" t="n">
        <v>63</v>
      </c>
      <c r="H418" s="212" t="s">
        <v>120</v>
      </c>
      <c r="I418" s="250" t="n">
        <v>169.23</v>
      </c>
    </row>
    <row r="419" customFormat="false" ht="13.8" hidden="false" customHeight="false" outlineLevel="0" collapsed="false">
      <c r="A419" s="218"/>
      <c r="B419" s="251"/>
      <c r="C419" s="252"/>
      <c r="D419" s="252"/>
      <c r="E419" s="252"/>
      <c r="F419" s="212" t="s">
        <v>2940</v>
      </c>
      <c r="G419" s="212" t="n">
        <v>160</v>
      </c>
      <c r="H419" s="212" t="s">
        <v>120</v>
      </c>
      <c r="I419" s="250" t="n">
        <v>94.08</v>
      </c>
    </row>
    <row r="420" customFormat="false" ht="13.8" hidden="false" customHeight="false" outlineLevel="0" collapsed="false">
      <c r="A420" s="222"/>
      <c r="B420" s="252"/>
      <c r="C420" s="261" t="s">
        <v>7056</v>
      </c>
      <c r="D420" s="224"/>
      <c r="E420" s="224"/>
      <c r="F420" s="224"/>
      <c r="G420" s="224"/>
      <c r="H420" s="225"/>
      <c r="I420" s="217" t="n">
        <v>9870.22</v>
      </c>
    </row>
    <row r="421" customFormat="false" ht="13.8" hidden="false" customHeight="false" outlineLevel="0" collapsed="false">
      <c r="A421" s="211" t="s">
        <v>2966</v>
      </c>
      <c r="B421" s="249" t="s">
        <v>6</v>
      </c>
      <c r="C421" s="249" t="s">
        <v>1556</v>
      </c>
      <c r="D421" s="249" t="s">
        <v>7055</v>
      </c>
      <c r="E421" s="249" t="s">
        <v>117</v>
      </c>
      <c r="F421" s="212" t="s">
        <v>3005</v>
      </c>
      <c r="G421" s="212" t="n">
        <v>90</v>
      </c>
      <c r="H421" s="212" t="s">
        <v>120</v>
      </c>
      <c r="I421" s="250" t="n">
        <v>33.67</v>
      </c>
    </row>
    <row r="422" customFormat="false" ht="13.8" hidden="false" customHeight="false" outlineLevel="0" collapsed="false">
      <c r="A422" s="218"/>
      <c r="B422" s="251"/>
      <c r="C422" s="251"/>
      <c r="D422" s="251"/>
      <c r="E422" s="251"/>
      <c r="F422" s="212" t="s">
        <v>3019</v>
      </c>
      <c r="G422" s="212" t="n">
        <v>160</v>
      </c>
      <c r="H422" s="212" t="s">
        <v>120</v>
      </c>
      <c r="I422" s="250" t="n">
        <v>97.34</v>
      </c>
    </row>
    <row r="423" customFormat="false" ht="13.8" hidden="false" customHeight="false" outlineLevel="0" collapsed="false">
      <c r="A423" s="218"/>
      <c r="B423" s="251"/>
      <c r="C423" s="252"/>
      <c r="D423" s="252"/>
      <c r="E423" s="252"/>
      <c r="F423" s="212" t="s">
        <v>3027</v>
      </c>
      <c r="G423" s="212" t="n">
        <v>160</v>
      </c>
      <c r="H423" s="212" t="s">
        <v>120</v>
      </c>
      <c r="I423" s="250" t="n">
        <v>134.14</v>
      </c>
    </row>
    <row r="424" customFormat="false" ht="13.8" hidden="false" customHeight="false" outlineLevel="0" collapsed="false">
      <c r="A424" s="218"/>
      <c r="B424" s="251"/>
      <c r="C424" s="261" t="s">
        <v>7059</v>
      </c>
      <c r="D424" s="224"/>
      <c r="E424" s="224"/>
      <c r="F424" s="224"/>
      <c r="G424" s="224"/>
      <c r="H424" s="225"/>
      <c r="I424" s="217" t="n">
        <v>265.15</v>
      </c>
    </row>
    <row r="425" customFormat="false" ht="13.8" hidden="false" customHeight="false" outlineLevel="0" collapsed="false">
      <c r="A425" s="218"/>
      <c r="B425" s="251"/>
      <c r="C425" s="249" t="s">
        <v>1594</v>
      </c>
      <c r="D425" s="249" t="s">
        <v>3233</v>
      </c>
      <c r="E425" s="249" t="s">
        <v>117</v>
      </c>
      <c r="F425" s="212" t="s">
        <v>3232</v>
      </c>
      <c r="G425" s="212" t="n">
        <v>160</v>
      </c>
      <c r="H425" s="212" t="s">
        <v>120</v>
      </c>
      <c r="I425" s="250" t="n">
        <v>211.04</v>
      </c>
    </row>
    <row r="426" customFormat="false" ht="13.8" hidden="false" customHeight="false" outlineLevel="0" collapsed="false">
      <c r="A426" s="218"/>
      <c r="B426" s="251"/>
      <c r="C426" s="251"/>
      <c r="D426" s="251"/>
      <c r="E426" s="251"/>
      <c r="F426" s="212" t="s">
        <v>3284</v>
      </c>
      <c r="G426" s="212" t="n">
        <v>160</v>
      </c>
      <c r="H426" s="212" t="s">
        <v>120</v>
      </c>
      <c r="I426" s="250" t="n">
        <v>27.04</v>
      </c>
    </row>
    <row r="427" customFormat="false" ht="13.8" hidden="false" customHeight="false" outlineLevel="0" collapsed="false">
      <c r="A427" s="218"/>
      <c r="B427" s="251"/>
      <c r="C427" s="251"/>
      <c r="D427" s="251"/>
      <c r="E427" s="251"/>
      <c r="F427" s="212" t="s">
        <v>3288</v>
      </c>
      <c r="G427" s="212" t="n">
        <v>160</v>
      </c>
      <c r="H427" s="212" t="s">
        <v>120</v>
      </c>
      <c r="I427" s="250" t="n">
        <v>4.7</v>
      </c>
    </row>
    <row r="428" customFormat="false" ht="13.8" hidden="false" customHeight="false" outlineLevel="0" collapsed="false">
      <c r="A428" s="218"/>
      <c r="B428" s="251"/>
      <c r="C428" s="251"/>
      <c r="D428" s="251"/>
      <c r="E428" s="251"/>
      <c r="F428" s="212" t="s">
        <v>3291</v>
      </c>
      <c r="G428" s="212" t="n">
        <v>160</v>
      </c>
      <c r="H428" s="212" t="s">
        <v>120</v>
      </c>
      <c r="I428" s="250" t="n">
        <v>2.05</v>
      </c>
    </row>
    <row r="429" customFormat="false" ht="13.8" hidden="false" customHeight="false" outlineLevel="0" collapsed="false">
      <c r="A429" s="218"/>
      <c r="B429" s="251"/>
      <c r="C429" s="251"/>
      <c r="D429" s="251"/>
      <c r="E429" s="251"/>
      <c r="F429" s="212" t="s">
        <v>3293</v>
      </c>
      <c r="G429" s="212" t="n">
        <v>225</v>
      </c>
      <c r="H429" s="212" t="s">
        <v>120</v>
      </c>
      <c r="I429" s="250" t="n">
        <v>5.57</v>
      </c>
    </row>
    <row r="430" customFormat="false" ht="13.8" hidden="false" customHeight="false" outlineLevel="0" collapsed="false">
      <c r="A430" s="218"/>
      <c r="B430" s="251"/>
      <c r="C430" s="251"/>
      <c r="D430" s="251"/>
      <c r="E430" s="251"/>
      <c r="F430" s="212" t="s">
        <v>3320</v>
      </c>
      <c r="G430" s="212" t="n">
        <v>225</v>
      </c>
      <c r="H430" s="212" t="s">
        <v>120</v>
      </c>
      <c r="I430" s="250" t="n">
        <v>131.53</v>
      </c>
    </row>
    <row r="431" customFormat="false" ht="13.8" hidden="false" customHeight="false" outlineLevel="0" collapsed="false">
      <c r="A431" s="218"/>
      <c r="B431" s="251"/>
      <c r="C431" s="251"/>
      <c r="D431" s="252"/>
      <c r="E431" s="252"/>
      <c r="F431" s="212" t="s">
        <v>3334</v>
      </c>
      <c r="G431" s="212" t="n">
        <v>225</v>
      </c>
      <c r="H431" s="212" t="s">
        <v>120</v>
      </c>
      <c r="I431" s="250" t="n">
        <v>4.9</v>
      </c>
    </row>
    <row r="432" customFormat="false" ht="13.8" hidden="false" customHeight="false" outlineLevel="0" collapsed="false">
      <c r="A432" s="218"/>
      <c r="B432" s="251"/>
      <c r="C432" s="251"/>
      <c r="D432" s="249" t="s">
        <v>3251</v>
      </c>
      <c r="E432" s="249" t="s">
        <v>117</v>
      </c>
      <c r="F432" s="212" t="s">
        <v>3250</v>
      </c>
      <c r="G432" s="212" t="n">
        <v>125</v>
      </c>
      <c r="H432" s="212" t="s">
        <v>120</v>
      </c>
      <c r="I432" s="250" t="n">
        <v>5.71</v>
      </c>
    </row>
    <row r="433" customFormat="false" ht="13.8" hidden="false" customHeight="false" outlineLevel="0" collapsed="false">
      <c r="A433" s="218"/>
      <c r="B433" s="251"/>
      <c r="C433" s="251"/>
      <c r="D433" s="251"/>
      <c r="E433" s="251"/>
      <c r="F433" s="212" t="s">
        <v>3258</v>
      </c>
      <c r="G433" s="212" t="n">
        <v>63</v>
      </c>
      <c r="H433" s="212" t="s">
        <v>120</v>
      </c>
      <c r="I433" s="250" t="n">
        <v>106.5</v>
      </c>
    </row>
    <row r="434" customFormat="false" ht="13.8" hidden="false" customHeight="false" outlineLevel="0" collapsed="false">
      <c r="A434" s="218"/>
      <c r="B434" s="251"/>
      <c r="C434" s="251"/>
      <c r="D434" s="251"/>
      <c r="E434" s="251"/>
      <c r="F434" s="212" t="s">
        <v>3267</v>
      </c>
      <c r="G434" s="212" t="n">
        <v>63</v>
      </c>
      <c r="H434" s="212" t="s">
        <v>120</v>
      </c>
      <c r="I434" s="250" t="n">
        <v>60.33</v>
      </c>
    </row>
    <row r="435" customFormat="false" ht="13.8" hidden="false" customHeight="false" outlineLevel="0" collapsed="false">
      <c r="A435" s="218"/>
      <c r="B435" s="251"/>
      <c r="C435" s="251"/>
      <c r="D435" s="251"/>
      <c r="E435" s="251"/>
      <c r="F435" s="212" t="s">
        <v>3271</v>
      </c>
      <c r="G435" s="212" t="n">
        <v>63</v>
      </c>
      <c r="H435" s="212" t="s">
        <v>120</v>
      </c>
      <c r="I435" s="250" t="n">
        <v>268.53</v>
      </c>
    </row>
    <row r="436" customFormat="false" ht="13.8" hidden="false" customHeight="false" outlineLevel="0" collapsed="false">
      <c r="A436" s="218"/>
      <c r="B436" s="251"/>
      <c r="C436" s="251"/>
      <c r="D436" s="251"/>
      <c r="E436" s="251"/>
      <c r="F436" s="212" t="s">
        <v>3280</v>
      </c>
      <c r="G436" s="212" t="n">
        <v>125</v>
      </c>
      <c r="H436" s="212" t="s">
        <v>120</v>
      </c>
      <c r="I436" s="250" t="n">
        <v>77.33</v>
      </c>
    </row>
    <row r="437" customFormat="false" ht="13.8" hidden="false" customHeight="false" outlineLevel="0" collapsed="false">
      <c r="A437" s="218"/>
      <c r="B437" s="251"/>
      <c r="C437" s="251"/>
      <c r="D437" s="251"/>
      <c r="E437" s="251"/>
      <c r="F437" s="212" t="s">
        <v>3302</v>
      </c>
      <c r="G437" s="212" t="n">
        <v>63</v>
      </c>
      <c r="H437" s="212" t="s">
        <v>120</v>
      </c>
      <c r="I437" s="250" t="n">
        <v>98.14</v>
      </c>
    </row>
    <row r="438" customFormat="false" ht="13.8" hidden="false" customHeight="false" outlineLevel="0" collapsed="false">
      <c r="A438" s="218"/>
      <c r="B438" s="251"/>
      <c r="C438" s="251"/>
      <c r="D438" s="251"/>
      <c r="E438" s="251"/>
      <c r="F438" s="212" t="s">
        <v>3306</v>
      </c>
      <c r="G438" s="212" t="n">
        <v>63</v>
      </c>
      <c r="H438" s="212" t="s">
        <v>120</v>
      </c>
      <c r="I438" s="250" t="n">
        <v>104.76</v>
      </c>
    </row>
    <row r="439" customFormat="false" ht="13.8" hidden="false" customHeight="false" outlineLevel="0" collapsed="false">
      <c r="A439" s="218"/>
      <c r="B439" s="251"/>
      <c r="C439" s="251"/>
      <c r="D439" s="251"/>
      <c r="E439" s="251"/>
      <c r="F439" s="212" t="s">
        <v>3310</v>
      </c>
      <c r="G439" s="212" t="n">
        <v>125</v>
      </c>
      <c r="H439" s="212" t="s">
        <v>120</v>
      </c>
      <c r="I439" s="250" t="n">
        <v>28.23</v>
      </c>
    </row>
    <row r="440" customFormat="false" ht="13.8" hidden="false" customHeight="false" outlineLevel="0" collapsed="false">
      <c r="A440" s="218"/>
      <c r="B440" s="251"/>
      <c r="C440" s="251"/>
      <c r="D440" s="251"/>
      <c r="E440" s="251"/>
      <c r="F440" s="212" t="s">
        <v>3317</v>
      </c>
      <c r="G440" s="212" t="n">
        <v>90</v>
      </c>
      <c r="H440" s="212" t="s">
        <v>120</v>
      </c>
      <c r="I440" s="250" t="n">
        <v>18.94</v>
      </c>
    </row>
    <row r="441" customFormat="false" ht="13.8" hidden="false" customHeight="false" outlineLevel="0" collapsed="false">
      <c r="A441" s="218"/>
      <c r="B441" s="251"/>
      <c r="C441" s="251"/>
      <c r="D441" s="251"/>
      <c r="E441" s="251"/>
      <c r="F441" s="212" t="s">
        <v>3327</v>
      </c>
      <c r="G441" s="212" t="n">
        <v>63</v>
      </c>
      <c r="H441" s="212" t="s">
        <v>120</v>
      </c>
      <c r="I441" s="250" t="n">
        <v>3.45</v>
      </c>
    </row>
    <row r="442" customFormat="false" ht="13.8" hidden="false" customHeight="false" outlineLevel="0" collapsed="false">
      <c r="A442" s="218"/>
      <c r="B442" s="251"/>
      <c r="C442" s="251"/>
      <c r="D442" s="251"/>
      <c r="E442" s="251"/>
      <c r="F442" s="212" t="s">
        <v>3342</v>
      </c>
      <c r="G442" s="212" t="n">
        <v>63</v>
      </c>
      <c r="H442" s="212" t="s">
        <v>120</v>
      </c>
      <c r="I442" s="250" t="n">
        <v>3.17</v>
      </c>
    </row>
    <row r="443" customFormat="false" ht="13.8" hidden="false" customHeight="false" outlineLevel="0" collapsed="false">
      <c r="A443" s="218"/>
      <c r="B443" s="251"/>
      <c r="C443" s="251"/>
      <c r="D443" s="251"/>
      <c r="E443" s="251"/>
      <c r="F443" s="212" t="s">
        <v>3347</v>
      </c>
      <c r="G443" s="212" t="n">
        <v>63</v>
      </c>
      <c r="H443" s="212" t="s">
        <v>120</v>
      </c>
      <c r="I443" s="250" t="n">
        <v>7.02</v>
      </c>
    </row>
    <row r="444" customFormat="false" ht="13.8" hidden="false" customHeight="false" outlineLevel="0" collapsed="false">
      <c r="A444" s="218"/>
      <c r="B444" s="251"/>
      <c r="C444" s="251"/>
      <c r="D444" s="252"/>
      <c r="E444" s="252"/>
      <c r="F444" s="212" t="s">
        <v>3349</v>
      </c>
      <c r="G444" s="212" t="n">
        <v>63</v>
      </c>
      <c r="H444" s="212" t="s">
        <v>120</v>
      </c>
      <c r="I444" s="250" t="n">
        <v>65.35</v>
      </c>
    </row>
    <row r="445" customFormat="false" ht="13.8" hidden="false" customHeight="false" outlineLevel="0" collapsed="false">
      <c r="A445" s="218"/>
      <c r="B445" s="251"/>
      <c r="C445" s="251"/>
      <c r="D445" s="212" t="s">
        <v>2916</v>
      </c>
      <c r="E445" s="212" t="s">
        <v>117</v>
      </c>
      <c r="F445" s="212" t="s">
        <v>3330</v>
      </c>
      <c r="G445" s="212" t="n">
        <v>63</v>
      </c>
      <c r="H445" s="212" t="s">
        <v>120</v>
      </c>
      <c r="I445" s="250" t="n">
        <v>30.79</v>
      </c>
    </row>
    <row r="446" customFormat="false" ht="13.8" hidden="false" customHeight="false" outlineLevel="0" collapsed="false">
      <c r="A446" s="218"/>
      <c r="B446" s="251"/>
      <c r="C446" s="251"/>
      <c r="D446" s="249" t="s">
        <v>3184</v>
      </c>
      <c r="E446" s="249" t="s">
        <v>117</v>
      </c>
      <c r="F446" s="212" t="s">
        <v>3183</v>
      </c>
      <c r="G446" s="212" t="n">
        <v>63</v>
      </c>
      <c r="H446" s="212" t="s">
        <v>120</v>
      </c>
      <c r="I446" s="250" t="n">
        <v>125.08</v>
      </c>
    </row>
    <row r="447" customFormat="false" ht="13.8" hidden="false" customHeight="false" outlineLevel="0" collapsed="false">
      <c r="A447" s="218"/>
      <c r="B447" s="251"/>
      <c r="C447" s="251"/>
      <c r="D447" s="251"/>
      <c r="E447" s="251"/>
      <c r="F447" s="212" t="s">
        <v>3210</v>
      </c>
      <c r="G447" s="212" t="n">
        <v>63</v>
      </c>
      <c r="H447" s="212" t="s">
        <v>120</v>
      </c>
      <c r="I447" s="250" t="n">
        <v>63.51</v>
      </c>
    </row>
    <row r="448" customFormat="false" ht="13.8" hidden="false" customHeight="false" outlineLevel="0" collapsed="false">
      <c r="A448" s="218"/>
      <c r="B448" s="251"/>
      <c r="C448" s="251"/>
      <c r="D448" s="252"/>
      <c r="E448" s="252"/>
      <c r="F448" s="212" t="s">
        <v>3224</v>
      </c>
      <c r="G448" s="212" t="n">
        <v>63</v>
      </c>
      <c r="H448" s="212" t="s">
        <v>120</v>
      </c>
      <c r="I448" s="250" t="n">
        <v>61.89</v>
      </c>
    </row>
    <row r="449" customFormat="false" ht="13.8" hidden="false" customHeight="false" outlineLevel="0" collapsed="false">
      <c r="A449" s="218"/>
      <c r="B449" s="251"/>
      <c r="C449" s="251"/>
      <c r="D449" s="249" t="s">
        <v>3202</v>
      </c>
      <c r="E449" s="249" t="s">
        <v>117</v>
      </c>
      <c r="F449" s="212" t="s">
        <v>3201</v>
      </c>
      <c r="G449" s="212" t="n">
        <v>110</v>
      </c>
      <c r="H449" s="212" t="s">
        <v>120</v>
      </c>
      <c r="I449" s="250" t="n">
        <v>111.17</v>
      </c>
    </row>
    <row r="450" customFormat="false" ht="13.8" hidden="false" customHeight="false" outlineLevel="0" collapsed="false">
      <c r="A450" s="218"/>
      <c r="B450" s="251"/>
      <c r="C450" s="251"/>
      <c r="D450" s="251"/>
      <c r="E450" s="251"/>
      <c r="F450" s="212" t="s">
        <v>3213</v>
      </c>
      <c r="G450" s="212" t="n">
        <v>160</v>
      </c>
      <c r="H450" s="212" t="s">
        <v>120</v>
      </c>
      <c r="I450" s="250" t="n">
        <v>48.02</v>
      </c>
    </row>
    <row r="451" customFormat="false" ht="13.8" hidden="false" customHeight="false" outlineLevel="0" collapsed="false">
      <c r="A451" s="218"/>
      <c r="B451" s="251"/>
      <c r="C451" s="251"/>
      <c r="D451" s="251"/>
      <c r="E451" s="251"/>
      <c r="F451" s="212" t="s">
        <v>3217</v>
      </c>
      <c r="G451" s="212" t="n">
        <v>63</v>
      </c>
      <c r="H451" s="212" t="s">
        <v>120</v>
      </c>
      <c r="I451" s="250" t="n">
        <v>58.82</v>
      </c>
    </row>
    <row r="452" customFormat="false" ht="13.8" hidden="false" customHeight="false" outlineLevel="0" collapsed="false">
      <c r="A452" s="218"/>
      <c r="B452" s="251"/>
      <c r="C452" s="251"/>
      <c r="D452" s="251"/>
      <c r="E452" s="251"/>
      <c r="F452" s="212" t="s">
        <v>3241</v>
      </c>
      <c r="G452" s="212" t="n">
        <v>90</v>
      </c>
      <c r="H452" s="212" t="s">
        <v>120</v>
      </c>
      <c r="I452" s="250" t="n">
        <v>15.8</v>
      </c>
    </row>
    <row r="453" customFormat="false" ht="13.8" hidden="false" customHeight="false" outlineLevel="0" collapsed="false">
      <c r="A453" s="218"/>
      <c r="B453" s="251"/>
      <c r="C453" s="251"/>
      <c r="D453" s="251"/>
      <c r="E453" s="251"/>
      <c r="F453" s="212" t="s">
        <v>3244</v>
      </c>
      <c r="G453" s="212" t="n">
        <v>63</v>
      </c>
      <c r="H453" s="212" t="s">
        <v>120</v>
      </c>
      <c r="I453" s="250" t="n">
        <v>5.79</v>
      </c>
    </row>
    <row r="454" customFormat="false" ht="13.8" hidden="false" customHeight="false" outlineLevel="0" collapsed="false">
      <c r="A454" s="218"/>
      <c r="B454" s="251"/>
      <c r="C454" s="251"/>
      <c r="D454" s="251"/>
      <c r="E454" s="251"/>
      <c r="F454" s="212" t="s">
        <v>3246</v>
      </c>
      <c r="G454" s="212" t="n">
        <v>63</v>
      </c>
      <c r="H454" s="212" t="s">
        <v>120</v>
      </c>
      <c r="I454" s="250" t="n">
        <v>186.49</v>
      </c>
    </row>
    <row r="455" customFormat="false" ht="13.8" hidden="false" customHeight="false" outlineLevel="0" collapsed="false">
      <c r="A455" s="218"/>
      <c r="B455" s="251"/>
      <c r="C455" s="251"/>
      <c r="D455" s="251"/>
      <c r="E455" s="251"/>
      <c r="F455" s="212" t="s">
        <v>3254</v>
      </c>
      <c r="G455" s="212" t="n">
        <v>160</v>
      </c>
      <c r="H455" s="212" t="s">
        <v>120</v>
      </c>
      <c r="I455" s="250" t="n">
        <v>72.98</v>
      </c>
    </row>
    <row r="456" customFormat="false" ht="13.8" hidden="false" customHeight="false" outlineLevel="0" collapsed="false">
      <c r="A456" s="218"/>
      <c r="B456" s="251"/>
      <c r="C456" s="251"/>
      <c r="D456" s="251"/>
      <c r="E456" s="251"/>
      <c r="F456" s="212" t="s">
        <v>3263</v>
      </c>
      <c r="G456" s="212" t="n">
        <v>63</v>
      </c>
      <c r="H456" s="212" t="s">
        <v>120</v>
      </c>
      <c r="I456" s="250" t="n">
        <v>93.64</v>
      </c>
    </row>
    <row r="457" customFormat="false" ht="13.8" hidden="false" customHeight="false" outlineLevel="0" collapsed="false">
      <c r="A457" s="218"/>
      <c r="B457" s="251"/>
      <c r="C457" s="251"/>
      <c r="D457" s="251"/>
      <c r="E457" s="251"/>
      <c r="F457" s="212" t="s">
        <v>3276</v>
      </c>
      <c r="G457" s="212" t="n">
        <v>125</v>
      </c>
      <c r="H457" s="212" t="s">
        <v>120</v>
      </c>
      <c r="I457" s="250" t="n">
        <v>184.97</v>
      </c>
    </row>
    <row r="458" customFormat="false" ht="13.8" hidden="false" customHeight="false" outlineLevel="0" collapsed="false">
      <c r="A458" s="218"/>
      <c r="B458" s="251"/>
      <c r="C458" s="251"/>
      <c r="D458" s="251"/>
      <c r="E458" s="251"/>
      <c r="F458" s="212" t="s">
        <v>3314</v>
      </c>
      <c r="G458" s="212" t="n">
        <v>125</v>
      </c>
      <c r="H458" s="212" t="s">
        <v>120</v>
      </c>
      <c r="I458" s="250" t="n">
        <v>137.16</v>
      </c>
    </row>
    <row r="459" customFormat="false" ht="13.8" hidden="false" customHeight="false" outlineLevel="0" collapsed="false">
      <c r="A459" s="218"/>
      <c r="B459" s="251"/>
      <c r="C459" s="251"/>
      <c r="D459" s="252"/>
      <c r="E459" s="252"/>
      <c r="F459" s="212" t="s">
        <v>3323</v>
      </c>
      <c r="G459" s="212" t="n">
        <v>63</v>
      </c>
      <c r="H459" s="212" t="s">
        <v>120</v>
      </c>
      <c r="I459" s="250" t="n">
        <v>58.73</v>
      </c>
    </row>
    <row r="460" customFormat="false" ht="13.8" hidden="false" customHeight="false" outlineLevel="0" collapsed="false">
      <c r="A460" s="218"/>
      <c r="B460" s="251"/>
      <c r="C460" s="251"/>
      <c r="D460" s="249" t="s">
        <v>3076</v>
      </c>
      <c r="E460" s="249" t="s">
        <v>117</v>
      </c>
      <c r="F460" s="212" t="s">
        <v>3075</v>
      </c>
      <c r="G460" s="212" t="n">
        <v>160</v>
      </c>
      <c r="H460" s="212" t="s">
        <v>120</v>
      </c>
      <c r="I460" s="250" t="n">
        <v>39.5</v>
      </c>
    </row>
    <row r="461" customFormat="false" ht="13.8" hidden="false" customHeight="false" outlineLevel="0" collapsed="false">
      <c r="A461" s="218"/>
      <c r="B461" s="251"/>
      <c r="C461" s="251"/>
      <c r="D461" s="251"/>
      <c r="E461" s="251"/>
      <c r="F461" s="212" t="s">
        <v>3085</v>
      </c>
      <c r="G461" s="212" t="n">
        <v>160</v>
      </c>
      <c r="H461" s="212" t="s">
        <v>120</v>
      </c>
      <c r="I461" s="250" t="n">
        <v>3.47</v>
      </c>
    </row>
    <row r="462" customFormat="false" ht="13.8" hidden="false" customHeight="false" outlineLevel="0" collapsed="false">
      <c r="A462" s="218"/>
      <c r="B462" s="251"/>
      <c r="C462" s="251"/>
      <c r="D462" s="251"/>
      <c r="E462" s="251"/>
      <c r="F462" s="212" t="s">
        <v>3088</v>
      </c>
      <c r="G462" s="212" t="n">
        <v>160</v>
      </c>
      <c r="H462" s="212" t="s">
        <v>120</v>
      </c>
      <c r="I462" s="250" t="n">
        <v>2.42</v>
      </c>
    </row>
    <row r="463" customFormat="false" ht="13.8" hidden="false" customHeight="false" outlineLevel="0" collapsed="false">
      <c r="A463" s="218"/>
      <c r="B463" s="251"/>
      <c r="C463" s="251"/>
      <c r="D463" s="251"/>
      <c r="E463" s="251"/>
      <c r="F463" s="212" t="s">
        <v>3096</v>
      </c>
      <c r="G463" s="212" t="n">
        <v>63</v>
      </c>
      <c r="H463" s="212" t="s">
        <v>120</v>
      </c>
      <c r="I463" s="250" t="n">
        <v>103.17</v>
      </c>
    </row>
    <row r="464" customFormat="false" ht="13.8" hidden="false" customHeight="false" outlineLevel="0" collapsed="false">
      <c r="A464" s="218"/>
      <c r="B464" s="251"/>
      <c r="C464" s="251"/>
      <c r="D464" s="251"/>
      <c r="E464" s="251"/>
      <c r="F464" s="212" t="s">
        <v>3194</v>
      </c>
      <c r="G464" s="212" t="n">
        <v>160</v>
      </c>
      <c r="H464" s="212" t="s">
        <v>120</v>
      </c>
      <c r="I464" s="250" t="n">
        <v>56.69</v>
      </c>
    </row>
    <row r="465" customFormat="false" ht="13.8" hidden="false" customHeight="false" outlineLevel="0" collapsed="false">
      <c r="A465" s="218"/>
      <c r="B465" s="251"/>
      <c r="C465" s="251"/>
      <c r="D465" s="252"/>
      <c r="E465" s="252"/>
      <c r="F465" s="212" t="s">
        <v>3206</v>
      </c>
      <c r="G465" s="212" t="n">
        <v>63</v>
      </c>
      <c r="H465" s="212" t="s">
        <v>120</v>
      </c>
      <c r="I465" s="250" t="n">
        <v>36.15</v>
      </c>
    </row>
    <row r="466" customFormat="false" ht="13.8" hidden="false" customHeight="false" outlineLevel="0" collapsed="false">
      <c r="A466" s="218"/>
      <c r="B466" s="251"/>
      <c r="C466" s="251"/>
      <c r="D466" s="249" t="s">
        <v>3032</v>
      </c>
      <c r="E466" s="249" t="s">
        <v>117</v>
      </c>
      <c r="F466" s="212" t="s">
        <v>3031</v>
      </c>
      <c r="G466" s="212" t="n">
        <v>125</v>
      </c>
      <c r="H466" s="212" t="s">
        <v>120</v>
      </c>
      <c r="I466" s="250" t="n">
        <v>42.53</v>
      </c>
    </row>
    <row r="467" customFormat="false" ht="13.8" hidden="false" customHeight="false" outlineLevel="0" collapsed="false">
      <c r="A467" s="218"/>
      <c r="B467" s="251"/>
      <c r="C467" s="251"/>
      <c r="D467" s="251"/>
      <c r="E467" s="251"/>
      <c r="F467" s="212" t="s">
        <v>3036</v>
      </c>
      <c r="G467" s="212" t="n">
        <v>125</v>
      </c>
      <c r="H467" s="212" t="s">
        <v>120</v>
      </c>
      <c r="I467" s="250" t="n">
        <v>34.89</v>
      </c>
    </row>
    <row r="468" customFormat="false" ht="13.8" hidden="false" customHeight="false" outlineLevel="0" collapsed="false">
      <c r="A468" s="218"/>
      <c r="B468" s="251"/>
      <c r="C468" s="251"/>
      <c r="D468" s="251"/>
      <c r="E468" s="251"/>
      <c r="F468" s="212" t="s">
        <v>3040</v>
      </c>
      <c r="G468" s="212" t="n">
        <v>160</v>
      </c>
      <c r="H468" s="212" t="s">
        <v>120</v>
      </c>
      <c r="I468" s="250" t="n">
        <v>20.5</v>
      </c>
    </row>
    <row r="469" customFormat="false" ht="13.8" hidden="false" customHeight="false" outlineLevel="0" collapsed="false">
      <c r="A469" s="218"/>
      <c r="B469" s="251"/>
      <c r="C469" s="251"/>
      <c r="D469" s="251"/>
      <c r="E469" s="251"/>
      <c r="F469" s="212" t="s">
        <v>3047</v>
      </c>
      <c r="G469" s="212" t="n">
        <v>63</v>
      </c>
      <c r="H469" s="212" t="s">
        <v>120</v>
      </c>
      <c r="I469" s="250" t="n">
        <v>37.03</v>
      </c>
    </row>
    <row r="470" customFormat="false" ht="13.8" hidden="false" customHeight="false" outlineLevel="0" collapsed="false">
      <c r="A470" s="218"/>
      <c r="B470" s="251"/>
      <c r="C470" s="251"/>
      <c r="D470" s="251"/>
      <c r="E470" s="251"/>
      <c r="F470" s="212" t="s">
        <v>3055</v>
      </c>
      <c r="G470" s="212" t="n">
        <v>160</v>
      </c>
      <c r="H470" s="212" t="s">
        <v>120</v>
      </c>
      <c r="I470" s="250" t="n">
        <v>46.78</v>
      </c>
    </row>
    <row r="471" customFormat="false" ht="13.8" hidden="false" customHeight="false" outlineLevel="0" collapsed="false">
      <c r="A471" s="218"/>
      <c r="B471" s="251"/>
      <c r="C471" s="251"/>
      <c r="D471" s="252"/>
      <c r="E471" s="252"/>
      <c r="F471" s="212" t="s">
        <v>3059</v>
      </c>
      <c r="G471" s="212" t="n">
        <v>63</v>
      </c>
      <c r="H471" s="212" t="s">
        <v>120</v>
      </c>
      <c r="I471" s="250" t="n">
        <v>63.79</v>
      </c>
    </row>
    <row r="472" customFormat="false" ht="13.8" hidden="false" customHeight="false" outlineLevel="0" collapsed="false">
      <c r="A472" s="218"/>
      <c r="B472" s="251"/>
      <c r="C472" s="251"/>
      <c r="D472" s="249" t="s">
        <v>3081</v>
      </c>
      <c r="E472" s="249" t="s">
        <v>117</v>
      </c>
      <c r="F472" s="212" t="s">
        <v>3080</v>
      </c>
      <c r="G472" s="212" t="n">
        <v>63</v>
      </c>
      <c r="H472" s="212" t="s">
        <v>120</v>
      </c>
      <c r="I472" s="250" t="n">
        <v>27.78</v>
      </c>
    </row>
    <row r="473" customFormat="false" ht="13.8" hidden="false" customHeight="false" outlineLevel="0" collapsed="false">
      <c r="A473" s="218"/>
      <c r="B473" s="251"/>
      <c r="C473" s="251"/>
      <c r="D473" s="252"/>
      <c r="E473" s="252"/>
      <c r="F473" s="212" t="s">
        <v>3092</v>
      </c>
      <c r="G473" s="212" t="n">
        <v>63</v>
      </c>
      <c r="H473" s="212" t="s">
        <v>120</v>
      </c>
      <c r="I473" s="250" t="n">
        <v>15.38</v>
      </c>
    </row>
    <row r="474" customFormat="false" ht="13.8" hidden="false" customHeight="false" outlineLevel="0" collapsed="false">
      <c r="A474" s="218"/>
      <c r="B474" s="251"/>
      <c r="C474" s="251"/>
      <c r="D474" s="249" t="s">
        <v>2973</v>
      </c>
      <c r="E474" s="249" t="s">
        <v>117</v>
      </c>
      <c r="F474" s="212" t="s">
        <v>2972</v>
      </c>
      <c r="G474" s="212" t="n">
        <v>160</v>
      </c>
      <c r="H474" s="212" t="s">
        <v>120</v>
      </c>
      <c r="I474" s="250" t="n">
        <v>53.76</v>
      </c>
    </row>
    <row r="475" customFormat="false" ht="13.8" hidden="false" customHeight="false" outlineLevel="0" collapsed="false">
      <c r="A475" s="218"/>
      <c r="B475" s="251"/>
      <c r="C475" s="251"/>
      <c r="D475" s="252"/>
      <c r="E475" s="252"/>
      <c r="F475" s="212" t="s">
        <v>2977</v>
      </c>
      <c r="G475" s="212" t="n">
        <v>63</v>
      </c>
      <c r="H475" s="212" t="s">
        <v>120</v>
      </c>
      <c r="I475" s="250" t="n">
        <v>173.89</v>
      </c>
    </row>
    <row r="476" customFormat="false" ht="13.8" hidden="false" customHeight="false" outlineLevel="0" collapsed="false">
      <c r="A476" s="218"/>
      <c r="B476" s="251"/>
      <c r="C476" s="251"/>
      <c r="D476" s="249" t="s">
        <v>3015</v>
      </c>
      <c r="E476" s="249" t="s">
        <v>117</v>
      </c>
      <c r="F476" s="212" t="s">
        <v>3014</v>
      </c>
      <c r="G476" s="212" t="n">
        <v>63</v>
      </c>
      <c r="H476" s="212" t="s">
        <v>120</v>
      </c>
      <c r="I476" s="250" t="n">
        <v>45.26</v>
      </c>
    </row>
    <row r="477" customFormat="false" ht="13.8" hidden="false" customHeight="false" outlineLevel="0" collapsed="false">
      <c r="A477" s="218"/>
      <c r="B477" s="251"/>
      <c r="C477" s="251"/>
      <c r="D477" s="251"/>
      <c r="E477" s="251"/>
      <c r="F477" s="212" t="s">
        <v>3023</v>
      </c>
      <c r="G477" s="212" t="n">
        <v>90</v>
      </c>
      <c r="H477" s="212" t="s">
        <v>120</v>
      </c>
      <c r="I477" s="250" t="n">
        <v>63.52</v>
      </c>
    </row>
    <row r="478" customFormat="false" ht="13.8" hidden="false" customHeight="false" outlineLevel="0" collapsed="false">
      <c r="A478" s="218"/>
      <c r="B478" s="251"/>
      <c r="C478" s="251"/>
      <c r="D478" s="251"/>
      <c r="E478" s="251"/>
      <c r="F478" s="212" t="s">
        <v>3043</v>
      </c>
      <c r="G478" s="212" t="n">
        <v>125</v>
      </c>
      <c r="H478" s="212" t="s">
        <v>120</v>
      </c>
      <c r="I478" s="250" t="n">
        <v>5.99</v>
      </c>
    </row>
    <row r="479" customFormat="false" ht="13.8" hidden="false" customHeight="false" outlineLevel="0" collapsed="false">
      <c r="A479" s="218"/>
      <c r="B479" s="251"/>
      <c r="C479" s="251"/>
      <c r="D479" s="251"/>
      <c r="E479" s="251"/>
      <c r="F479" s="212" t="s">
        <v>3051</v>
      </c>
      <c r="G479" s="212" t="n">
        <v>125</v>
      </c>
      <c r="H479" s="212" t="s">
        <v>120</v>
      </c>
      <c r="I479" s="250" t="n">
        <v>37.26</v>
      </c>
    </row>
    <row r="480" customFormat="false" ht="13.8" hidden="false" customHeight="false" outlineLevel="0" collapsed="false">
      <c r="A480" s="218"/>
      <c r="B480" s="251"/>
      <c r="C480" s="251"/>
      <c r="D480" s="251"/>
      <c r="E480" s="251"/>
      <c r="F480" s="212" t="s">
        <v>3063</v>
      </c>
      <c r="G480" s="212" t="n">
        <v>125</v>
      </c>
      <c r="H480" s="212" t="s">
        <v>120</v>
      </c>
      <c r="I480" s="250" t="n">
        <v>3.9</v>
      </c>
    </row>
    <row r="481" customFormat="false" ht="13.8" hidden="false" customHeight="false" outlineLevel="0" collapsed="false">
      <c r="A481" s="218"/>
      <c r="B481" s="251"/>
      <c r="C481" s="251"/>
      <c r="D481" s="251"/>
      <c r="E481" s="251"/>
      <c r="F481" s="212" t="s">
        <v>3067</v>
      </c>
      <c r="G481" s="212" t="n">
        <v>63</v>
      </c>
      <c r="H481" s="212" t="s">
        <v>120</v>
      </c>
      <c r="I481" s="250" t="n">
        <v>86.21</v>
      </c>
    </row>
    <row r="482" customFormat="false" ht="13.8" hidden="false" customHeight="false" outlineLevel="0" collapsed="false">
      <c r="A482" s="218"/>
      <c r="B482" s="251"/>
      <c r="C482" s="251"/>
      <c r="D482" s="251"/>
      <c r="E482" s="251"/>
      <c r="F482" s="212" t="s">
        <v>3071</v>
      </c>
      <c r="G482" s="212" t="n">
        <v>125</v>
      </c>
      <c r="H482" s="212" t="s">
        <v>120</v>
      </c>
      <c r="I482" s="250" t="n">
        <v>53.99</v>
      </c>
    </row>
    <row r="483" customFormat="false" ht="13.8" hidden="false" customHeight="false" outlineLevel="0" collapsed="false">
      <c r="A483" s="218"/>
      <c r="B483" s="251"/>
      <c r="C483" s="251"/>
      <c r="D483" s="251"/>
      <c r="E483" s="251"/>
      <c r="F483" s="212" t="s">
        <v>3128</v>
      </c>
      <c r="G483" s="212" t="n">
        <v>63</v>
      </c>
      <c r="H483" s="212" t="s">
        <v>120</v>
      </c>
      <c r="I483" s="250" t="n">
        <v>44.62</v>
      </c>
    </row>
    <row r="484" customFormat="false" ht="13.8" hidden="false" customHeight="false" outlineLevel="0" collapsed="false">
      <c r="A484" s="218"/>
      <c r="B484" s="251"/>
      <c r="C484" s="251"/>
      <c r="D484" s="251"/>
      <c r="E484" s="251"/>
      <c r="F484" s="212" t="s">
        <v>3140</v>
      </c>
      <c r="G484" s="212" t="n">
        <v>90</v>
      </c>
      <c r="H484" s="212" t="s">
        <v>120</v>
      </c>
      <c r="I484" s="250" t="n">
        <v>1.84</v>
      </c>
    </row>
    <row r="485" customFormat="false" ht="13.8" hidden="false" customHeight="false" outlineLevel="0" collapsed="false">
      <c r="A485" s="218"/>
      <c r="B485" s="251"/>
      <c r="C485" s="251"/>
      <c r="D485" s="251"/>
      <c r="E485" s="251"/>
      <c r="F485" s="212" t="s">
        <v>3143</v>
      </c>
      <c r="G485" s="212" t="n">
        <v>90</v>
      </c>
      <c r="H485" s="212" t="s">
        <v>120</v>
      </c>
      <c r="I485" s="250" t="n">
        <v>46.47</v>
      </c>
    </row>
    <row r="486" customFormat="false" ht="13.8" hidden="false" customHeight="false" outlineLevel="0" collapsed="false">
      <c r="A486" s="218"/>
      <c r="B486" s="251"/>
      <c r="C486" s="251"/>
      <c r="D486" s="251"/>
      <c r="E486" s="251"/>
      <c r="F486" s="212" t="s">
        <v>3146</v>
      </c>
      <c r="G486" s="212" t="n">
        <v>63</v>
      </c>
      <c r="H486" s="212" t="s">
        <v>120</v>
      </c>
      <c r="I486" s="250" t="n">
        <v>3.31</v>
      </c>
    </row>
    <row r="487" customFormat="false" ht="13.8" hidden="false" customHeight="false" outlineLevel="0" collapsed="false">
      <c r="A487" s="218"/>
      <c r="B487" s="251"/>
      <c r="C487" s="251"/>
      <c r="D487" s="251"/>
      <c r="E487" s="251"/>
      <c r="F487" s="212" t="s">
        <v>3151</v>
      </c>
      <c r="G487" s="212" t="n">
        <v>63</v>
      </c>
      <c r="H487" s="212" t="s">
        <v>120</v>
      </c>
      <c r="I487" s="250" t="n">
        <v>48.17</v>
      </c>
    </row>
    <row r="488" customFormat="false" ht="13.8" hidden="false" customHeight="false" outlineLevel="0" collapsed="false">
      <c r="A488" s="218"/>
      <c r="B488" s="251"/>
      <c r="C488" s="251"/>
      <c r="D488" s="251"/>
      <c r="E488" s="251"/>
      <c r="F488" s="212" t="s">
        <v>3153</v>
      </c>
      <c r="G488" s="212" t="n">
        <v>63</v>
      </c>
      <c r="H488" s="212" t="s">
        <v>120</v>
      </c>
      <c r="I488" s="250" t="n">
        <v>68.33</v>
      </c>
    </row>
    <row r="489" customFormat="false" ht="13.8" hidden="false" customHeight="false" outlineLevel="0" collapsed="false">
      <c r="A489" s="218"/>
      <c r="B489" s="251"/>
      <c r="C489" s="251"/>
      <c r="D489" s="251"/>
      <c r="E489" s="251"/>
      <c r="F489" s="212" t="s">
        <v>3157</v>
      </c>
      <c r="G489" s="212" t="n">
        <v>63</v>
      </c>
      <c r="H489" s="212" t="s">
        <v>120</v>
      </c>
      <c r="I489" s="250" t="n">
        <v>338.7</v>
      </c>
    </row>
    <row r="490" customFormat="false" ht="13.8" hidden="false" customHeight="false" outlineLevel="0" collapsed="false">
      <c r="A490" s="218"/>
      <c r="B490" s="251"/>
      <c r="C490" s="251"/>
      <c r="D490" s="251"/>
      <c r="E490" s="251"/>
      <c r="F490" s="212" t="s">
        <v>3160</v>
      </c>
      <c r="G490" s="212" t="n">
        <v>90</v>
      </c>
      <c r="H490" s="212" t="s">
        <v>120</v>
      </c>
      <c r="I490" s="250" t="n">
        <v>152.69</v>
      </c>
    </row>
    <row r="491" customFormat="false" ht="13.8" hidden="false" customHeight="false" outlineLevel="0" collapsed="false">
      <c r="A491" s="218"/>
      <c r="B491" s="251"/>
      <c r="C491" s="251"/>
      <c r="D491" s="251"/>
      <c r="E491" s="251"/>
      <c r="F491" s="212" t="s">
        <v>3163</v>
      </c>
      <c r="G491" s="212" t="n">
        <v>63</v>
      </c>
      <c r="H491" s="212" t="s">
        <v>120</v>
      </c>
      <c r="I491" s="250" t="n">
        <v>250.74</v>
      </c>
    </row>
    <row r="492" customFormat="false" ht="13.8" hidden="false" customHeight="false" outlineLevel="0" collapsed="false">
      <c r="A492" s="218"/>
      <c r="B492" s="251"/>
      <c r="C492" s="251"/>
      <c r="D492" s="251"/>
      <c r="E492" s="251"/>
      <c r="F492" s="212" t="s">
        <v>3166</v>
      </c>
      <c r="G492" s="212" t="n">
        <v>63</v>
      </c>
      <c r="H492" s="212" t="s">
        <v>120</v>
      </c>
      <c r="I492" s="250" t="n">
        <v>324.1</v>
      </c>
    </row>
    <row r="493" customFormat="false" ht="13.8" hidden="false" customHeight="false" outlineLevel="0" collapsed="false">
      <c r="A493" s="218"/>
      <c r="B493" s="251"/>
      <c r="C493" s="251"/>
      <c r="D493" s="251"/>
      <c r="E493" s="251"/>
      <c r="F493" s="212" t="s">
        <v>3174</v>
      </c>
      <c r="G493" s="212" t="n">
        <v>63</v>
      </c>
      <c r="H493" s="212" t="s">
        <v>120</v>
      </c>
      <c r="I493" s="250" t="n">
        <v>204.96</v>
      </c>
    </row>
    <row r="494" customFormat="false" ht="13.8" hidden="false" customHeight="false" outlineLevel="0" collapsed="false">
      <c r="A494" s="218"/>
      <c r="B494" s="251"/>
      <c r="C494" s="251"/>
      <c r="D494" s="251"/>
      <c r="E494" s="251"/>
      <c r="F494" s="212" t="s">
        <v>3179</v>
      </c>
      <c r="G494" s="212" t="n">
        <v>125</v>
      </c>
      <c r="H494" s="212" t="s">
        <v>120</v>
      </c>
      <c r="I494" s="250" t="n">
        <v>10.43</v>
      </c>
    </row>
    <row r="495" customFormat="false" ht="13.8" hidden="false" customHeight="false" outlineLevel="0" collapsed="false">
      <c r="A495" s="218"/>
      <c r="B495" s="251"/>
      <c r="C495" s="251"/>
      <c r="D495" s="251"/>
      <c r="E495" s="251"/>
      <c r="F495" s="212" t="s">
        <v>3189</v>
      </c>
      <c r="G495" s="212" t="n">
        <v>63</v>
      </c>
      <c r="H495" s="212" t="s">
        <v>120</v>
      </c>
      <c r="I495" s="250" t="n">
        <v>44.19</v>
      </c>
    </row>
    <row r="496" customFormat="false" ht="13.8" hidden="false" customHeight="false" outlineLevel="0" collapsed="false">
      <c r="A496" s="218"/>
      <c r="B496" s="251"/>
      <c r="C496" s="251"/>
      <c r="D496" s="251"/>
      <c r="E496" s="251"/>
      <c r="F496" s="212" t="s">
        <v>3199</v>
      </c>
      <c r="G496" s="212" t="n">
        <v>125</v>
      </c>
      <c r="H496" s="212" t="s">
        <v>120</v>
      </c>
      <c r="I496" s="250" t="n">
        <v>45.36</v>
      </c>
    </row>
    <row r="497" customFormat="false" ht="13.8" hidden="false" customHeight="false" outlineLevel="0" collapsed="false">
      <c r="A497" s="218"/>
      <c r="B497" s="251"/>
      <c r="C497" s="251"/>
      <c r="D497" s="251"/>
      <c r="E497" s="251"/>
      <c r="F497" s="212" t="s">
        <v>3220</v>
      </c>
      <c r="G497" s="212" t="n">
        <v>63</v>
      </c>
      <c r="H497" s="212" t="s">
        <v>120</v>
      </c>
      <c r="I497" s="250" t="n">
        <v>149.04</v>
      </c>
    </row>
    <row r="498" customFormat="false" ht="13.8" hidden="false" customHeight="false" outlineLevel="0" collapsed="false">
      <c r="A498" s="218"/>
      <c r="B498" s="251"/>
      <c r="C498" s="251"/>
      <c r="D498" s="251"/>
      <c r="E498" s="251"/>
      <c r="F498" s="212" t="s">
        <v>3228</v>
      </c>
      <c r="G498" s="212" t="n">
        <v>125</v>
      </c>
      <c r="H498" s="212" t="s">
        <v>120</v>
      </c>
      <c r="I498" s="250" t="n">
        <v>50.97</v>
      </c>
    </row>
    <row r="499" customFormat="false" ht="13.8" hidden="false" customHeight="false" outlineLevel="0" collapsed="false">
      <c r="A499" s="218"/>
      <c r="B499" s="251"/>
      <c r="C499" s="251"/>
      <c r="D499" s="252"/>
      <c r="E499" s="252"/>
      <c r="F499" s="212" t="s">
        <v>3339</v>
      </c>
      <c r="G499" s="212" t="n">
        <v>63</v>
      </c>
      <c r="H499" s="212" t="s">
        <v>120</v>
      </c>
      <c r="I499" s="250" t="n">
        <v>91.44</v>
      </c>
    </row>
    <row r="500" customFormat="false" ht="13.8" hidden="false" customHeight="false" outlineLevel="0" collapsed="false">
      <c r="A500" s="218"/>
      <c r="B500" s="251"/>
      <c r="C500" s="251"/>
      <c r="D500" s="249" t="s">
        <v>2990</v>
      </c>
      <c r="E500" s="249" t="s">
        <v>117</v>
      </c>
      <c r="F500" s="212" t="s">
        <v>2989</v>
      </c>
      <c r="G500" s="212" t="n">
        <v>63</v>
      </c>
      <c r="H500" s="212" t="s">
        <v>120</v>
      </c>
      <c r="I500" s="250" t="n">
        <v>37.01</v>
      </c>
    </row>
    <row r="501" customFormat="false" ht="13.8" hidden="false" customHeight="false" outlineLevel="0" collapsed="false">
      <c r="A501" s="218"/>
      <c r="B501" s="251"/>
      <c r="C501" s="251"/>
      <c r="D501" s="252"/>
      <c r="E501" s="252"/>
      <c r="F501" s="212" t="s">
        <v>2998</v>
      </c>
      <c r="G501" s="212" t="n">
        <v>63</v>
      </c>
      <c r="H501" s="212" t="s">
        <v>120</v>
      </c>
      <c r="I501" s="250" t="n">
        <v>56.74</v>
      </c>
    </row>
    <row r="502" customFormat="false" ht="13.8" hidden="false" customHeight="false" outlineLevel="0" collapsed="false">
      <c r="A502" s="218"/>
      <c r="B502" s="251"/>
      <c r="C502" s="251"/>
      <c r="D502" s="212" t="s">
        <v>2209</v>
      </c>
      <c r="E502" s="212" t="s">
        <v>117</v>
      </c>
      <c r="F502" s="212" t="s">
        <v>3337</v>
      </c>
      <c r="G502" s="212" t="n">
        <v>250</v>
      </c>
      <c r="H502" s="212" t="s">
        <v>120</v>
      </c>
      <c r="I502" s="250" t="n">
        <v>2.03</v>
      </c>
    </row>
    <row r="503" customFormat="false" ht="13.8" hidden="false" customHeight="false" outlineLevel="0" collapsed="false">
      <c r="A503" s="218"/>
      <c r="B503" s="251"/>
      <c r="C503" s="251"/>
      <c r="D503" s="212" t="s">
        <v>3170</v>
      </c>
      <c r="E503" s="212" t="s">
        <v>117</v>
      </c>
      <c r="F503" s="212" t="s">
        <v>3169</v>
      </c>
      <c r="G503" s="212" t="n">
        <v>63</v>
      </c>
      <c r="H503" s="212" t="s">
        <v>120</v>
      </c>
      <c r="I503" s="250" t="n">
        <v>178.02</v>
      </c>
    </row>
    <row r="504" customFormat="false" ht="13.8" hidden="false" customHeight="false" outlineLevel="0" collapsed="false">
      <c r="A504" s="218"/>
      <c r="B504" s="251"/>
      <c r="C504" s="251"/>
      <c r="D504" s="212" t="s">
        <v>3298</v>
      </c>
      <c r="E504" s="212" t="s">
        <v>117</v>
      </c>
      <c r="F504" s="212" t="s">
        <v>3297</v>
      </c>
      <c r="G504" s="212" t="n">
        <v>63</v>
      </c>
      <c r="H504" s="212" t="s">
        <v>120</v>
      </c>
      <c r="I504" s="250" t="n">
        <v>117.53</v>
      </c>
    </row>
    <row r="505" customFormat="false" ht="13.8" hidden="false" customHeight="false" outlineLevel="0" collapsed="false">
      <c r="A505" s="218"/>
      <c r="B505" s="251"/>
      <c r="C505" s="251"/>
      <c r="D505" s="212" t="s">
        <v>3237</v>
      </c>
      <c r="E505" s="212" t="s">
        <v>117</v>
      </c>
      <c r="F505" s="212" t="s">
        <v>3236</v>
      </c>
      <c r="G505" s="212" t="n">
        <v>63</v>
      </c>
      <c r="H505" s="212" t="s">
        <v>120</v>
      </c>
      <c r="I505" s="250" t="n">
        <v>53.9</v>
      </c>
    </row>
    <row r="506" customFormat="false" ht="13.8" hidden="false" customHeight="false" outlineLevel="0" collapsed="false">
      <c r="A506" s="218"/>
      <c r="B506" s="251"/>
      <c r="C506" s="251"/>
      <c r="D506" s="249" t="s">
        <v>3102</v>
      </c>
      <c r="E506" s="249" t="s">
        <v>117</v>
      </c>
      <c r="F506" s="212" t="s">
        <v>3100</v>
      </c>
      <c r="G506" s="212" t="n">
        <v>63</v>
      </c>
      <c r="H506" s="212" t="s">
        <v>120</v>
      </c>
      <c r="I506" s="250" t="n">
        <v>34.18</v>
      </c>
    </row>
    <row r="507" customFormat="false" ht="13.8" hidden="false" customHeight="false" outlineLevel="0" collapsed="false">
      <c r="A507" s="218"/>
      <c r="B507" s="251"/>
      <c r="C507" s="251"/>
      <c r="D507" s="252"/>
      <c r="E507" s="252"/>
      <c r="F507" s="212" t="s">
        <v>3113</v>
      </c>
      <c r="G507" s="212" t="n">
        <v>63</v>
      </c>
      <c r="H507" s="212" t="s">
        <v>120</v>
      </c>
      <c r="I507" s="250" t="n">
        <v>47.94</v>
      </c>
    </row>
    <row r="508" customFormat="false" ht="13.8" hidden="false" customHeight="false" outlineLevel="0" collapsed="false">
      <c r="A508" s="218"/>
      <c r="B508" s="251"/>
      <c r="C508" s="251"/>
      <c r="D508" s="249" t="s">
        <v>3010</v>
      </c>
      <c r="E508" s="249" t="s">
        <v>117</v>
      </c>
      <c r="F508" s="212" t="s">
        <v>3009</v>
      </c>
      <c r="G508" s="212" t="n">
        <v>63</v>
      </c>
      <c r="H508" s="212" t="s">
        <v>120</v>
      </c>
      <c r="I508" s="250" t="n">
        <v>0.77</v>
      </c>
    </row>
    <row r="509" customFormat="false" ht="13.8" hidden="false" customHeight="false" outlineLevel="0" collapsed="false">
      <c r="A509" s="218"/>
      <c r="B509" s="251"/>
      <c r="C509" s="251"/>
      <c r="D509" s="251"/>
      <c r="E509" s="251"/>
      <c r="F509" s="212" t="s">
        <v>3117</v>
      </c>
      <c r="G509" s="212" t="n">
        <v>63</v>
      </c>
      <c r="H509" s="212" t="s">
        <v>120</v>
      </c>
      <c r="I509" s="250" t="n">
        <v>45.41</v>
      </c>
    </row>
    <row r="510" customFormat="false" ht="13.8" hidden="false" customHeight="false" outlineLevel="0" collapsed="false">
      <c r="A510" s="218"/>
      <c r="B510" s="251"/>
      <c r="C510" s="251"/>
      <c r="D510" s="251"/>
      <c r="E510" s="251"/>
      <c r="F510" s="212" t="s">
        <v>3124</v>
      </c>
      <c r="G510" s="212" t="n">
        <v>90</v>
      </c>
      <c r="H510" s="212" t="s">
        <v>120</v>
      </c>
      <c r="I510" s="250" t="n">
        <v>80.3</v>
      </c>
    </row>
    <row r="511" customFormat="false" ht="13.8" hidden="false" customHeight="false" outlineLevel="0" collapsed="false">
      <c r="A511" s="218"/>
      <c r="B511" s="251"/>
      <c r="C511" s="251"/>
      <c r="D511" s="252"/>
      <c r="E511" s="252"/>
      <c r="F511" s="212" t="s">
        <v>3137</v>
      </c>
      <c r="G511" s="212" t="n">
        <v>90</v>
      </c>
      <c r="H511" s="212" t="s">
        <v>120</v>
      </c>
      <c r="I511" s="250" t="n">
        <v>46.98</v>
      </c>
    </row>
    <row r="512" customFormat="false" ht="13.8" hidden="false" customHeight="false" outlineLevel="0" collapsed="false">
      <c r="A512" s="218"/>
      <c r="B512" s="251"/>
      <c r="C512" s="251"/>
      <c r="D512" s="249" t="s">
        <v>7055</v>
      </c>
      <c r="E512" s="249" t="s">
        <v>117</v>
      </c>
      <c r="F512" s="212" t="s">
        <v>2967</v>
      </c>
      <c r="G512" s="212" t="n">
        <v>63</v>
      </c>
      <c r="H512" s="212" t="s">
        <v>120</v>
      </c>
      <c r="I512" s="250" t="n">
        <v>174.16</v>
      </c>
    </row>
    <row r="513" customFormat="false" ht="13.8" hidden="false" customHeight="false" outlineLevel="0" collapsed="false">
      <c r="A513" s="218"/>
      <c r="B513" s="251"/>
      <c r="C513" s="251"/>
      <c r="D513" s="251"/>
      <c r="E513" s="251"/>
      <c r="F513" s="212" t="s">
        <v>2981</v>
      </c>
      <c r="G513" s="212" t="n">
        <v>63</v>
      </c>
      <c r="H513" s="212" t="s">
        <v>120</v>
      </c>
      <c r="I513" s="250" t="n">
        <v>53.83</v>
      </c>
    </row>
    <row r="514" customFormat="false" ht="13.8" hidden="false" customHeight="false" outlineLevel="0" collapsed="false">
      <c r="A514" s="218"/>
      <c r="B514" s="251"/>
      <c r="C514" s="251"/>
      <c r="D514" s="251"/>
      <c r="E514" s="251"/>
      <c r="F514" s="212" t="s">
        <v>2985</v>
      </c>
      <c r="G514" s="212" t="n">
        <v>63</v>
      </c>
      <c r="H514" s="212" t="s">
        <v>120</v>
      </c>
      <c r="I514" s="250" t="n">
        <v>63.25</v>
      </c>
    </row>
    <row r="515" customFormat="false" ht="13.8" hidden="false" customHeight="false" outlineLevel="0" collapsed="false">
      <c r="A515" s="218"/>
      <c r="B515" s="251"/>
      <c r="C515" s="251"/>
      <c r="D515" s="251"/>
      <c r="E515" s="251"/>
      <c r="F515" s="212" t="s">
        <v>2994</v>
      </c>
      <c r="G515" s="212" t="n">
        <v>63</v>
      </c>
      <c r="H515" s="212" t="s">
        <v>120</v>
      </c>
      <c r="I515" s="250" t="n">
        <v>7.65</v>
      </c>
    </row>
    <row r="516" customFormat="false" ht="13.8" hidden="false" customHeight="false" outlineLevel="0" collapsed="false">
      <c r="A516" s="218"/>
      <c r="B516" s="251"/>
      <c r="C516" s="251"/>
      <c r="D516" s="251"/>
      <c r="E516" s="251"/>
      <c r="F516" s="212" t="s">
        <v>3001</v>
      </c>
      <c r="G516" s="212" t="n">
        <v>160</v>
      </c>
      <c r="H516" s="212" t="s">
        <v>120</v>
      </c>
      <c r="I516" s="250" t="n">
        <v>200.08</v>
      </c>
    </row>
    <row r="517" customFormat="false" ht="13.8" hidden="false" customHeight="false" outlineLevel="0" collapsed="false">
      <c r="A517" s="218"/>
      <c r="B517" s="251"/>
      <c r="C517" s="251"/>
      <c r="D517" s="251"/>
      <c r="E517" s="251"/>
      <c r="F517" s="212" t="s">
        <v>3108</v>
      </c>
      <c r="G517" s="212" t="n">
        <v>63</v>
      </c>
      <c r="H517" s="212" t="s">
        <v>120</v>
      </c>
      <c r="I517" s="250" t="n">
        <v>67.52</v>
      </c>
    </row>
    <row r="518" customFormat="false" ht="13.8" hidden="false" customHeight="false" outlineLevel="0" collapsed="false">
      <c r="A518" s="218"/>
      <c r="B518" s="251"/>
      <c r="C518" s="251"/>
      <c r="D518" s="251"/>
      <c r="E518" s="251"/>
      <c r="F518" s="212" t="s">
        <v>3120</v>
      </c>
      <c r="G518" s="212" t="n">
        <v>63</v>
      </c>
      <c r="H518" s="212" t="s">
        <v>120</v>
      </c>
      <c r="I518" s="250" t="n">
        <v>42.43</v>
      </c>
    </row>
    <row r="519" customFormat="false" ht="13.8" hidden="false" customHeight="false" outlineLevel="0" collapsed="false">
      <c r="A519" s="218"/>
      <c r="B519" s="251"/>
      <c r="C519" s="252"/>
      <c r="D519" s="252"/>
      <c r="E519" s="252"/>
      <c r="F519" s="212" t="s">
        <v>3133</v>
      </c>
      <c r="G519" s="212" t="n">
        <v>63</v>
      </c>
      <c r="H519" s="212" t="s">
        <v>120</v>
      </c>
      <c r="I519" s="250" t="n">
        <v>53.99</v>
      </c>
    </row>
    <row r="520" customFormat="false" ht="13.8" hidden="false" customHeight="false" outlineLevel="0" collapsed="false">
      <c r="A520" s="222"/>
      <c r="B520" s="252"/>
      <c r="C520" s="261" t="s">
        <v>7056</v>
      </c>
      <c r="D520" s="224"/>
      <c r="E520" s="224"/>
      <c r="F520" s="224"/>
      <c r="G520" s="224"/>
      <c r="H520" s="225"/>
      <c r="I520" s="217" t="n">
        <v>6782.07</v>
      </c>
    </row>
    <row r="521" customFormat="false" ht="13.8" hidden="false" customHeight="false" outlineLevel="0" collapsed="false">
      <c r="A521" s="211" t="s">
        <v>3352</v>
      </c>
      <c r="B521" s="249" t="s">
        <v>6</v>
      </c>
      <c r="C521" s="249" t="s">
        <v>1594</v>
      </c>
      <c r="D521" s="249" t="s">
        <v>2798</v>
      </c>
      <c r="E521" s="249" t="s">
        <v>117</v>
      </c>
      <c r="F521" s="212" t="s">
        <v>3453</v>
      </c>
      <c r="G521" s="212" t="n">
        <v>63</v>
      </c>
      <c r="H521" s="212" t="s">
        <v>120</v>
      </c>
      <c r="I521" s="250" t="n">
        <v>6.14</v>
      </c>
    </row>
    <row r="522" customFormat="false" ht="13.8" hidden="false" customHeight="false" outlineLevel="0" collapsed="false">
      <c r="A522" s="218"/>
      <c r="B522" s="251"/>
      <c r="C522" s="251"/>
      <c r="D522" s="251"/>
      <c r="E522" s="251"/>
      <c r="F522" s="212" t="s">
        <v>3457</v>
      </c>
      <c r="G522" s="212" t="n">
        <v>63</v>
      </c>
      <c r="H522" s="212" t="s">
        <v>120</v>
      </c>
      <c r="I522" s="250" t="n">
        <v>37.79</v>
      </c>
    </row>
    <row r="523" customFormat="false" ht="13.8" hidden="false" customHeight="false" outlineLevel="0" collapsed="false">
      <c r="A523" s="218"/>
      <c r="B523" s="251"/>
      <c r="C523" s="251"/>
      <c r="D523" s="251"/>
      <c r="E523" s="251"/>
      <c r="F523" s="212" t="s">
        <v>3460</v>
      </c>
      <c r="G523" s="212" t="n">
        <v>63</v>
      </c>
      <c r="H523" s="212" t="s">
        <v>120</v>
      </c>
      <c r="I523" s="250" t="n">
        <v>42.04</v>
      </c>
    </row>
    <row r="524" customFormat="false" ht="13.8" hidden="false" customHeight="false" outlineLevel="0" collapsed="false">
      <c r="A524" s="218"/>
      <c r="B524" s="251"/>
      <c r="C524" s="251"/>
      <c r="D524" s="251"/>
      <c r="E524" s="251"/>
      <c r="F524" s="212" t="s">
        <v>3475</v>
      </c>
      <c r="G524" s="212" t="n">
        <v>63</v>
      </c>
      <c r="H524" s="212" t="s">
        <v>120</v>
      </c>
      <c r="I524" s="250" t="n">
        <v>246.12</v>
      </c>
    </row>
    <row r="525" customFormat="false" ht="13.8" hidden="false" customHeight="false" outlineLevel="0" collapsed="false">
      <c r="A525" s="218"/>
      <c r="B525" s="251"/>
      <c r="C525" s="251"/>
      <c r="D525" s="252"/>
      <c r="E525" s="252"/>
      <c r="F525" s="212" t="s">
        <v>3479</v>
      </c>
      <c r="G525" s="212" t="n">
        <v>110</v>
      </c>
      <c r="H525" s="212" t="s">
        <v>120</v>
      </c>
      <c r="I525" s="250" t="n">
        <v>263.63</v>
      </c>
    </row>
    <row r="526" customFormat="false" ht="13.8" hidden="false" customHeight="false" outlineLevel="0" collapsed="false">
      <c r="A526" s="218"/>
      <c r="B526" s="251"/>
      <c r="C526" s="251"/>
      <c r="D526" s="249" t="s">
        <v>2834</v>
      </c>
      <c r="E526" s="249" t="s">
        <v>117</v>
      </c>
      <c r="F526" s="212" t="s">
        <v>3532</v>
      </c>
      <c r="G526" s="212" t="n">
        <v>225</v>
      </c>
      <c r="H526" s="212" t="s">
        <v>120</v>
      </c>
      <c r="I526" s="250" t="n">
        <v>24.74</v>
      </c>
    </row>
    <row r="527" customFormat="false" ht="13.8" hidden="false" customHeight="false" outlineLevel="0" collapsed="false">
      <c r="A527" s="218"/>
      <c r="B527" s="251"/>
      <c r="C527" s="251"/>
      <c r="D527" s="252"/>
      <c r="E527" s="252"/>
      <c r="F527" s="212" t="s">
        <v>3577</v>
      </c>
      <c r="G527" s="212" t="n">
        <v>63</v>
      </c>
      <c r="H527" s="212" t="s">
        <v>120</v>
      </c>
      <c r="I527" s="250" t="n">
        <v>123.3</v>
      </c>
    </row>
    <row r="528" customFormat="false" ht="13.8" hidden="false" customHeight="false" outlineLevel="0" collapsed="false">
      <c r="A528" s="218"/>
      <c r="B528" s="251"/>
      <c r="C528" s="251"/>
      <c r="D528" s="249" t="s">
        <v>2630</v>
      </c>
      <c r="E528" s="249" t="s">
        <v>117</v>
      </c>
      <c r="F528" s="212" t="s">
        <v>3489</v>
      </c>
      <c r="G528" s="212" t="n">
        <v>225</v>
      </c>
      <c r="H528" s="212" t="s">
        <v>120</v>
      </c>
      <c r="I528" s="250" t="n">
        <v>32.53</v>
      </c>
    </row>
    <row r="529" customFormat="false" ht="13.8" hidden="false" customHeight="false" outlineLevel="0" collapsed="false">
      <c r="A529" s="218"/>
      <c r="B529" s="251"/>
      <c r="C529" s="251"/>
      <c r="D529" s="252"/>
      <c r="E529" s="252"/>
      <c r="F529" s="212" t="s">
        <v>3594</v>
      </c>
      <c r="G529" s="212" t="n">
        <v>63</v>
      </c>
      <c r="H529" s="212" t="s">
        <v>120</v>
      </c>
      <c r="I529" s="250" t="n">
        <v>248.42</v>
      </c>
    </row>
    <row r="530" customFormat="false" ht="13.8" hidden="false" customHeight="false" outlineLevel="0" collapsed="false">
      <c r="A530" s="218"/>
      <c r="B530" s="251"/>
      <c r="C530" s="251"/>
      <c r="D530" s="249" t="s">
        <v>3721</v>
      </c>
      <c r="E530" s="249" t="s">
        <v>117</v>
      </c>
      <c r="F530" s="212" t="s">
        <v>3720</v>
      </c>
      <c r="G530" s="212" t="n">
        <v>63</v>
      </c>
      <c r="H530" s="212" t="s">
        <v>120</v>
      </c>
      <c r="I530" s="250" t="n">
        <v>73.7</v>
      </c>
    </row>
    <row r="531" customFormat="false" ht="13.8" hidden="false" customHeight="false" outlineLevel="0" collapsed="false">
      <c r="A531" s="218"/>
      <c r="B531" s="251"/>
      <c r="C531" s="251"/>
      <c r="D531" s="251"/>
      <c r="E531" s="251"/>
      <c r="F531" s="212" t="s">
        <v>3736</v>
      </c>
      <c r="G531" s="212" t="n">
        <v>63</v>
      </c>
      <c r="H531" s="212" t="s">
        <v>120</v>
      </c>
      <c r="I531" s="250" t="n">
        <v>60.25</v>
      </c>
    </row>
    <row r="532" customFormat="false" ht="13.8" hidden="false" customHeight="false" outlineLevel="0" collapsed="false">
      <c r="A532" s="218"/>
      <c r="B532" s="251"/>
      <c r="C532" s="251"/>
      <c r="D532" s="251"/>
      <c r="E532" s="251"/>
      <c r="F532" s="212" t="s">
        <v>3747</v>
      </c>
      <c r="G532" s="212" t="n">
        <v>63</v>
      </c>
      <c r="H532" s="212" t="s">
        <v>120</v>
      </c>
      <c r="I532" s="250" t="n">
        <v>57.86</v>
      </c>
    </row>
    <row r="533" customFormat="false" ht="13.8" hidden="false" customHeight="false" outlineLevel="0" collapsed="false">
      <c r="A533" s="218"/>
      <c r="B533" s="251"/>
      <c r="C533" s="251"/>
      <c r="D533" s="251"/>
      <c r="E533" s="251"/>
      <c r="F533" s="212" t="s">
        <v>3758</v>
      </c>
      <c r="G533" s="212" t="n">
        <v>63</v>
      </c>
      <c r="H533" s="212" t="s">
        <v>120</v>
      </c>
      <c r="I533" s="250" t="n">
        <v>98.25</v>
      </c>
    </row>
    <row r="534" customFormat="false" ht="13.8" hidden="false" customHeight="false" outlineLevel="0" collapsed="false">
      <c r="A534" s="218"/>
      <c r="B534" s="251"/>
      <c r="C534" s="251"/>
      <c r="D534" s="251"/>
      <c r="E534" s="251"/>
      <c r="F534" s="212" t="s">
        <v>3773</v>
      </c>
      <c r="G534" s="212" t="n">
        <v>90</v>
      </c>
      <c r="H534" s="212" t="s">
        <v>120</v>
      </c>
      <c r="I534" s="250" t="n">
        <v>159.73</v>
      </c>
    </row>
    <row r="535" customFormat="false" ht="13.8" hidden="false" customHeight="false" outlineLevel="0" collapsed="false">
      <c r="A535" s="218"/>
      <c r="B535" s="251"/>
      <c r="C535" s="251"/>
      <c r="D535" s="251"/>
      <c r="E535" s="251"/>
      <c r="F535" s="212" t="s">
        <v>3777</v>
      </c>
      <c r="G535" s="212" t="n">
        <v>225</v>
      </c>
      <c r="H535" s="212" t="s">
        <v>120</v>
      </c>
      <c r="I535" s="250" t="n">
        <v>43.16</v>
      </c>
    </row>
    <row r="536" customFormat="false" ht="13.8" hidden="false" customHeight="false" outlineLevel="0" collapsed="false">
      <c r="A536" s="218"/>
      <c r="B536" s="251"/>
      <c r="C536" s="251"/>
      <c r="D536" s="251"/>
      <c r="E536" s="251"/>
      <c r="F536" s="212" t="s">
        <v>3780</v>
      </c>
      <c r="G536" s="212" t="n">
        <v>225</v>
      </c>
      <c r="H536" s="212" t="s">
        <v>120</v>
      </c>
      <c r="I536" s="250" t="n">
        <v>3.62</v>
      </c>
    </row>
    <row r="537" customFormat="false" ht="13.8" hidden="false" customHeight="false" outlineLevel="0" collapsed="false">
      <c r="A537" s="218"/>
      <c r="B537" s="251"/>
      <c r="C537" s="251"/>
      <c r="D537" s="252"/>
      <c r="E537" s="252"/>
      <c r="F537" s="212" t="s">
        <v>3784</v>
      </c>
      <c r="G537" s="212" t="n">
        <v>225</v>
      </c>
      <c r="H537" s="212" t="s">
        <v>120</v>
      </c>
      <c r="I537" s="250" t="n">
        <v>3.07</v>
      </c>
    </row>
    <row r="538" customFormat="false" ht="13.8" hidden="false" customHeight="false" outlineLevel="0" collapsed="false">
      <c r="A538" s="218"/>
      <c r="B538" s="251"/>
      <c r="C538" s="251"/>
      <c r="D538" s="249" t="s">
        <v>3743</v>
      </c>
      <c r="E538" s="249" t="s">
        <v>117</v>
      </c>
      <c r="F538" s="212" t="s">
        <v>3742</v>
      </c>
      <c r="G538" s="212" t="n">
        <v>63</v>
      </c>
      <c r="H538" s="212" t="s">
        <v>120</v>
      </c>
      <c r="I538" s="250" t="n">
        <v>37.4</v>
      </c>
    </row>
    <row r="539" customFormat="false" ht="13.8" hidden="false" customHeight="false" outlineLevel="0" collapsed="false">
      <c r="A539" s="218"/>
      <c r="B539" s="251"/>
      <c r="C539" s="251"/>
      <c r="D539" s="252"/>
      <c r="E539" s="252"/>
      <c r="F539" s="212" t="s">
        <v>3750</v>
      </c>
      <c r="G539" s="212" t="n">
        <v>63</v>
      </c>
      <c r="H539" s="212" t="s">
        <v>120</v>
      </c>
      <c r="I539" s="250" t="n">
        <v>90.25</v>
      </c>
    </row>
    <row r="540" customFormat="false" ht="13.8" hidden="false" customHeight="false" outlineLevel="0" collapsed="false">
      <c r="A540" s="218"/>
      <c r="B540" s="251"/>
      <c r="C540" s="251"/>
      <c r="D540" s="249" t="s">
        <v>3704</v>
      </c>
      <c r="E540" s="249" t="s">
        <v>117</v>
      </c>
      <c r="F540" s="212" t="s">
        <v>3703</v>
      </c>
      <c r="G540" s="212" t="n">
        <v>63</v>
      </c>
      <c r="H540" s="212" t="s">
        <v>120</v>
      </c>
      <c r="I540" s="250" t="n">
        <v>60.04</v>
      </c>
    </row>
    <row r="541" customFormat="false" ht="13.8" hidden="false" customHeight="false" outlineLevel="0" collapsed="false">
      <c r="A541" s="218"/>
      <c r="B541" s="251"/>
      <c r="C541" s="251"/>
      <c r="D541" s="251"/>
      <c r="E541" s="251"/>
      <c r="F541" s="212" t="s">
        <v>3712</v>
      </c>
      <c r="G541" s="212" t="n">
        <v>63</v>
      </c>
      <c r="H541" s="212" t="s">
        <v>120</v>
      </c>
      <c r="I541" s="250" t="n">
        <v>63.87</v>
      </c>
    </row>
    <row r="542" customFormat="false" ht="13.8" hidden="false" customHeight="false" outlineLevel="0" collapsed="false">
      <c r="A542" s="218"/>
      <c r="B542" s="251"/>
      <c r="C542" s="251"/>
      <c r="D542" s="251"/>
      <c r="E542" s="251"/>
      <c r="F542" s="212" t="s">
        <v>3728</v>
      </c>
      <c r="G542" s="212" t="n">
        <v>63</v>
      </c>
      <c r="H542" s="212" t="s">
        <v>120</v>
      </c>
      <c r="I542" s="250" t="n">
        <v>38.34</v>
      </c>
    </row>
    <row r="543" customFormat="false" ht="13.8" hidden="false" customHeight="false" outlineLevel="0" collapsed="false">
      <c r="A543" s="218"/>
      <c r="B543" s="251"/>
      <c r="C543" s="251"/>
      <c r="D543" s="251"/>
      <c r="E543" s="251"/>
      <c r="F543" s="212" t="s">
        <v>3732</v>
      </c>
      <c r="G543" s="212" t="n">
        <v>63</v>
      </c>
      <c r="H543" s="212" t="s">
        <v>120</v>
      </c>
      <c r="I543" s="250" t="n">
        <v>77.78</v>
      </c>
    </row>
    <row r="544" customFormat="false" ht="13.8" hidden="false" customHeight="false" outlineLevel="0" collapsed="false">
      <c r="A544" s="218"/>
      <c r="B544" s="251"/>
      <c r="C544" s="251"/>
      <c r="D544" s="251"/>
      <c r="E544" s="251"/>
      <c r="F544" s="212" t="s">
        <v>3754</v>
      </c>
      <c r="G544" s="212" t="n">
        <v>90</v>
      </c>
      <c r="H544" s="212" t="s">
        <v>120</v>
      </c>
      <c r="I544" s="250" t="n">
        <v>173.61</v>
      </c>
    </row>
    <row r="545" customFormat="false" ht="13.8" hidden="false" customHeight="false" outlineLevel="0" collapsed="false">
      <c r="A545" s="218"/>
      <c r="B545" s="251"/>
      <c r="C545" s="251"/>
      <c r="D545" s="252"/>
      <c r="E545" s="252"/>
      <c r="F545" s="212" t="s">
        <v>3762</v>
      </c>
      <c r="G545" s="212" t="n">
        <v>225</v>
      </c>
      <c r="H545" s="212" t="s">
        <v>120</v>
      </c>
      <c r="I545" s="250" t="n">
        <v>53.91</v>
      </c>
    </row>
    <row r="546" customFormat="false" ht="13.8" hidden="false" customHeight="false" outlineLevel="0" collapsed="false">
      <c r="A546" s="218"/>
      <c r="B546" s="251"/>
      <c r="C546" s="251"/>
      <c r="D546" s="249" t="s">
        <v>3686</v>
      </c>
      <c r="E546" s="249" t="s">
        <v>117</v>
      </c>
      <c r="F546" s="212" t="s">
        <v>3684</v>
      </c>
      <c r="G546" s="212" t="n">
        <v>63</v>
      </c>
      <c r="H546" s="212" t="s">
        <v>120</v>
      </c>
      <c r="I546" s="250" t="n">
        <v>92.19</v>
      </c>
    </row>
    <row r="547" customFormat="false" ht="13.8" hidden="false" customHeight="false" outlineLevel="0" collapsed="false">
      <c r="A547" s="218"/>
      <c r="B547" s="251"/>
      <c r="C547" s="251"/>
      <c r="D547" s="251"/>
      <c r="E547" s="251"/>
      <c r="F547" s="212" t="s">
        <v>3691</v>
      </c>
      <c r="G547" s="212" t="n">
        <v>225</v>
      </c>
      <c r="H547" s="212" t="s">
        <v>120</v>
      </c>
      <c r="I547" s="250" t="n">
        <v>67.83</v>
      </c>
    </row>
    <row r="548" customFormat="false" ht="13.8" hidden="false" customHeight="false" outlineLevel="0" collapsed="false">
      <c r="A548" s="218"/>
      <c r="B548" s="251"/>
      <c r="C548" s="251"/>
      <c r="D548" s="252"/>
      <c r="E548" s="252"/>
      <c r="F548" s="212" t="s">
        <v>3739</v>
      </c>
      <c r="G548" s="212" t="n">
        <v>225</v>
      </c>
      <c r="H548" s="212" t="s">
        <v>120</v>
      </c>
      <c r="I548" s="250" t="n">
        <v>83.7</v>
      </c>
    </row>
    <row r="549" customFormat="false" ht="13.8" hidden="false" customHeight="false" outlineLevel="0" collapsed="false">
      <c r="A549" s="218"/>
      <c r="B549" s="251"/>
      <c r="C549" s="251"/>
      <c r="D549" s="249" t="s">
        <v>3540</v>
      </c>
      <c r="E549" s="249" t="s">
        <v>117</v>
      </c>
      <c r="F549" s="212" t="s">
        <v>3539</v>
      </c>
      <c r="G549" s="212" t="n">
        <v>225</v>
      </c>
      <c r="H549" s="212" t="s">
        <v>120</v>
      </c>
      <c r="I549" s="250" t="n">
        <v>50.01</v>
      </c>
    </row>
    <row r="550" customFormat="false" ht="13.8" hidden="false" customHeight="false" outlineLevel="0" collapsed="false">
      <c r="A550" s="218"/>
      <c r="B550" s="251"/>
      <c r="C550" s="251"/>
      <c r="D550" s="251"/>
      <c r="E550" s="251"/>
      <c r="F550" s="212" t="s">
        <v>3544</v>
      </c>
      <c r="G550" s="212" t="n">
        <v>225</v>
      </c>
      <c r="H550" s="212" t="s">
        <v>120</v>
      </c>
      <c r="I550" s="250" t="n">
        <v>44.44</v>
      </c>
    </row>
    <row r="551" customFormat="false" ht="13.8" hidden="false" customHeight="false" outlineLevel="0" collapsed="false">
      <c r="A551" s="218"/>
      <c r="B551" s="251"/>
      <c r="C551" s="251"/>
      <c r="D551" s="251"/>
      <c r="E551" s="251"/>
      <c r="F551" s="212" t="s">
        <v>3554</v>
      </c>
      <c r="G551" s="212" t="n">
        <v>225</v>
      </c>
      <c r="H551" s="212" t="s">
        <v>120</v>
      </c>
      <c r="I551" s="250" t="n">
        <v>40.25</v>
      </c>
    </row>
    <row r="552" customFormat="false" ht="13.8" hidden="false" customHeight="false" outlineLevel="0" collapsed="false">
      <c r="A552" s="218"/>
      <c r="B552" s="251"/>
      <c r="C552" s="251"/>
      <c r="D552" s="251"/>
      <c r="E552" s="251"/>
      <c r="F552" s="212" t="s">
        <v>3558</v>
      </c>
      <c r="G552" s="212" t="n">
        <v>110</v>
      </c>
      <c r="H552" s="212" t="s">
        <v>120</v>
      </c>
      <c r="I552" s="250" t="n">
        <v>6.2</v>
      </c>
    </row>
    <row r="553" customFormat="false" ht="13.8" hidden="false" customHeight="false" outlineLevel="0" collapsed="false">
      <c r="A553" s="218"/>
      <c r="B553" s="251"/>
      <c r="C553" s="251"/>
      <c r="D553" s="251"/>
      <c r="E553" s="251"/>
      <c r="F553" s="212" t="s">
        <v>3565</v>
      </c>
      <c r="G553" s="212" t="n">
        <v>225</v>
      </c>
      <c r="H553" s="212" t="s">
        <v>120</v>
      </c>
      <c r="I553" s="250" t="n">
        <v>15</v>
      </c>
    </row>
    <row r="554" customFormat="false" ht="13.8" hidden="false" customHeight="false" outlineLevel="0" collapsed="false">
      <c r="A554" s="218"/>
      <c r="B554" s="251"/>
      <c r="C554" s="251"/>
      <c r="D554" s="251"/>
      <c r="E554" s="251"/>
      <c r="F554" s="212" t="s">
        <v>3573</v>
      </c>
      <c r="G554" s="212" t="n">
        <v>225</v>
      </c>
      <c r="H554" s="212" t="s">
        <v>120</v>
      </c>
      <c r="I554" s="250" t="n">
        <v>57.43</v>
      </c>
    </row>
    <row r="555" customFormat="false" ht="13.8" hidden="false" customHeight="false" outlineLevel="0" collapsed="false">
      <c r="A555" s="218"/>
      <c r="B555" s="251"/>
      <c r="C555" s="251"/>
      <c r="D555" s="251"/>
      <c r="E555" s="251"/>
      <c r="F555" s="212" t="s">
        <v>3585</v>
      </c>
      <c r="G555" s="212" t="n">
        <v>63</v>
      </c>
      <c r="H555" s="212" t="s">
        <v>120</v>
      </c>
      <c r="I555" s="250" t="n">
        <v>118.54</v>
      </c>
    </row>
    <row r="556" customFormat="false" ht="13.8" hidden="false" customHeight="false" outlineLevel="0" collapsed="false">
      <c r="A556" s="218"/>
      <c r="B556" s="251"/>
      <c r="C556" s="251"/>
      <c r="D556" s="251"/>
      <c r="E556" s="251"/>
      <c r="F556" s="212" t="s">
        <v>3606</v>
      </c>
      <c r="G556" s="212" t="n">
        <v>63</v>
      </c>
      <c r="H556" s="212" t="s">
        <v>120</v>
      </c>
      <c r="I556" s="250" t="n">
        <v>143.2</v>
      </c>
    </row>
    <row r="557" customFormat="false" ht="13.8" hidden="false" customHeight="false" outlineLevel="0" collapsed="false">
      <c r="A557" s="218"/>
      <c r="B557" s="251"/>
      <c r="C557" s="251"/>
      <c r="D557" s="251"/>
      <c r="E557" s="251"/>
      <c r="F557" s="212" t="s">
        <v>3614</v>
      </c>
      <c r="G557" s="212" t="n">
        <v>225</v>
      </c>
      <c r="H557" s="212" t="s">
        <v>120</v>
      </c>
      <c r="I557" s="250" t="n">
        <v>70.12</v>
      </c>
    </row>
    <row r="558" customFormat="false" ht="13.8" hidden="false" customHeight="false" outlineLevel="0" collapsed="false">
      <c r="A558" s="218"/>
      <c r="B558" s="251"/>
      <c r="C558" s="251"/>
      <c r="D558" s="252"/>
      <c r="E558" s="252"/>
      <c r="F558" s="212" t="s">
        <v>3628</v>
      </c>
      <c r="G558" s="212" t="n">
        <v>63</v>
      </c>
      <c r="H558" s="212" t="s">
        <v>120</v>
      </c>
      <c r="I558" s="250" t="n">
        <v>131.94</v>
      </c>
    </row>
    <row r="559" customFormat="false" ht="13.8" hidden="false" customHeight="false" outlineLevel="0" collapsed="false">
      <c r="A559" s="218"/>
      <c r="B559" s="251"/>
      <c r="C559" s="251"/>
      <c r="D559" s="249" t="s">
        <v>3516</v>
      </c>
      <c r="E559" s="249" t="s">
        <v>117</v>
      </c>
      <c r="F559" s="212" t="s">
        <v>3515</v>
      </c>
      <c r="G559" s="212" t="n">
        <v>225</v>
      </c>
      <c r="H559" s="212" t="s">
        <v>120</v>
      </c>
      <c r="I559" s="250" t="n">
        <v>41.18</v>
      </c>
    </row>
    <row r="560" customFormat="false" ht="13.8" hidden="false" customHeight="false" outlineLevel="0" collapsed="false">
      <c r="A560" s="218"/>
      <c r="B560" s="251"/>
      <c r="C560" s="251"/>
      <c r="D560" s="251"/>
      <c r="E560" s="251"/>
      <c r="F560" s="212" t="s">
        <v>3520</v>
      </c>
      <c r="G560" s="212" t="n">
        <v>225</v>
      </c>
      <c r="H560" s="212" t="s">
        <v>120</v>
      </c>
      <c r="I560" s="250" t="n">
        <v>34.16</v>
      </c>
    </row>
    <row r="561" customFormat="false" ht="13.8" hidden="false" customHeight="false" outlineLevel="0" collapsed="false">
      <c r="A561" s="218"/>
      <c r="B561" s="251"/>
      <c r="C561" s="251"/>
      <c r="D561" s="251"/>
      <c r="E561" s="251"/>
      <c r="F561" s="212" t="s">
        <v>3528</v>
      </c>
      <c r="G561" s="212" t="n">
        <v>225</v>
      </c>
      <c r="H561" s="212" t="s">
        <v>120</v>
      </c>
      <c r="I561" s="250" t="n">
        <v>25.4</v>
      </c>
    </row>
    <row r="562" customFormat="false" ht="13.8" hidden="false" customHeight="false" outlineLevel="0" collapsed="false">
      <c r="A562" s="218"/>
      <c r="B562" s="251"/>
      <c r="C562" s="251"/>
      <c r="D562" s="251"/>
      <c r="E562" s="251"/>
      <c r="F562" s="212" t="s">
        <v>3581</v>
      </c>
      <c r="G562" s="212" t="n">
        <v>63</v>
      </c>
      <c r="H562" s="212" t="s">
        <v>120</v>
      </c>
      <c r="I562" s="250" t="n">
        <v>166.35</v>
      </c>
    </row>
    <row r="563" customFormat="false" ht="13.8" hidden="false" customHeight="false" outlineLevel="0" collapsed="false">
      <c r="A563" s="218"/>
      <c r="B563" s="251"/>
      <c r="C563" s="251"/>
      <c r="D563" s="251"/>
      <c r="E563" s="251"/>
      <c r="F563" s="212" t="s">
        <v>3622</v>
      </c>
      <c r="G563" s="212" t="n">
        <v>63</v>
      </c>
      <c r="H563" s="212" t="s">
        <v>120</v>
      </c>
      <c r="I563" s="250" t="n">
        <v>281.84</v>
      </c>
    </row>
    <row r="564" customFormat="false" ht="13.8" hidden="false" customHeight="false" outlineLevel="0" collapsed="false">
      <c r="A564" s="218"/>
      <c r="B564" s="251"/>
      <c r="C564" s="251"/>
      <c r="D564" s="251"/>
      <c r="E564" s="251"/>
      <c r="F564" s="212" t="s">
        <v>3632</v>
      </c>
      <c r="G564" s="212" t="n">
        <v>63</v>
      </c>
      <c r="H564" s="212" t="s">
        <v>120</v>
      </c>
      <c r="I564" s="250" t="n">
        <v>59.85</v>
      </c>
    </row>
    <row r="565" customFormat="false" ht="13.8" hidden="false" customHeight="false" outlineLevel="0" collapsed="false">
      <c r="A565" s="218"/>
      <c r="B565" s="251"/>
      <c r="C565" s="251"/>
      <c r="D565" s="251"/>
      <c r="E565" s="251"/>
      <c r="F565" s="212" t="s">
        <v>3636</v>
      </c>
      <c r="G565" s="212" t="n">
        <v>63</v>
      </c>
      <c r="H565" s="212" t="s">
        <v>120</v>
      </c>
      <c r="I565" s="250" t="n">
        <v>19.69</v>
      </c>
    </row>
    <row r="566" customFormat="false" ht="13.8" hidden="false" customHeight="false" outlineLevel="0" collapsed="false">
      <c r="A566" s="218"/>
      <c r="B566" s="251"/>
      <c r="C566" s="251"/>
      <c r="D566" s="251"/>
      <c r="E566" s="251"/>
      <c r="F566" s="212" t="s">
        <v>3695</v>
      </c>
      <c r="G566" s="212" t="n">
        <v>63</v>
      </c>
      <c r="H566" s="212" t="s">
        <v>120</v>
      </c>
      <c r="I566" s="250" t="n">
        <v>36.3</v>
      </c>
    </row>
    <row r="567" customFormat="false" ht="13.8" hidden="false" customHeight="false" outlineLevel="0" collapsed="false">
      <c r="A567" s="218"/>
      <c r="B567" s="251"/>
      <c r="C567" s="251"/>
      <c r="D567" s="252"/>
      <c r="E567" s="252"/>
      <c r="F567" s="212" t="s">
        <v>3699</v>
      </c>
      <c r="G567" s="212" t="n">
        <v>63</v>
      </c>
      <c r="H567" s="212" t="s">
        <v>120</v>
      </c>
      <c r="I567" s="250" t="n">
        <v>72.07</v>
      </c>
    </row>
    <row r="568" customFormat="false" ht="13.8" hidden="false" customHeight="false" outlineLevel="0" collapsed="false">
      <c r="A568" s="218"/>
      <c r="B568" s="251"/>
      <c r="C568" s="251"/>
      <c r="D568" s="249" t="s">
        <v>3499</v>
      </c>
      <c r="E568" s="249" t="s">
        <v>117</v>
      </c>
      <c r="F568" s="212" t="s">
        <v>3498</v>
      </c>
      <c r="G568" s="212" t="n">
        <v>225</v>
      </c>
      <c r="H568" s="212" t="s">
        <v>120</v>
      </c>
      <c r="I568" s="250" t="n">
        <v>56.46</v>
      </c>
    </row>
    <row r="569" customFormat="false" ht="13.8" hidden="false" customHeight="false" outlineLevel="0" collapsed="false">
      <c r="A569" s="218"/>
      <c r="B569" s="251"/>
      <c r="C569" s="251"/>
      <c r="D569" s="251"/>
      <c r="E569" s="251"/>
      <c r="F569" s="212" t="s">
        <v>3503</v>
      </c>
      <c r="G569" s="212" t="n">
        <v>225</v>
      </c>
      <c r="H569" s="212" t="s">
        <v>120</v>
      </c>
      <c r="I569" s="250" t="n">
        <v>24.55</v>
      </c>
    </row>
    <row r="570" customFormat="false" ht="13.8" hidden="false" customHeight="false" outlineLevel="0" collapsed="false">
      <c r="A570" s="218"/>
      <c r="B570" s="251"/>
      <c r="C570" s="251"/>
      <c r="D570" s="251"/>
      <c r="E570" s="251"/>
      <c r="F570" s="212" t="s">
        <v>3511</v>
      </c>
      <c r="G570" s="212" t="n">
        <v>225</v>
      </c>
      <c r="H570" s="212" t="s">
        <v>120</v>
      </c>
      <c r="I570" s="250" t="n">
        <v>31.11</v>
      </c>
    </row>
    <row r="571" customFormat="false" ht="13.8" hidden="false" customHeight="false" outlineLevel="0" collapsed="false">
      <c r="A571" s="218"/>
      <c r="B571" s="251"/>
      <c r="C571" s="251"/>
      <c r="D571" s="251"/>
      <c r="E571" s="251"/>
      <c r="F571" s="212" t="s">
        <v>3535</v>
      </c>
      <c r="G571" s="212" t="n">
        <v>63</v>
      </c>
      <c r="H571" s="212" t="s">
        <v>120</v>
      </c>
      <c r="I571" s="250" t="n">
        <v>55.16</v>
      </c>
    </row>
    <row r="572" customFormat="false" ht="13.8" hidden="false" customHeight="false" outlineLevel="0" collapsed="false">
      <c r="A572" s="218"/>
      <c r="B572" s="251"/>
      <c r="C572" s="251"/>
      <c r="D572" s="251"/>
      <c r="E572" s="251"/>
      <c r="F572" s="212" t="s">
        <v>3602</v>
      </c>
      <c r="G572" s="212" t="n">
        <v>63</v>
      </c>
      <c r="H572" s="212" t="s">
        <v>120</v>
      </c>
      <c r="I572" s="250" t="n">
        <v>257.55</v>
      </c>
    </row>
    <row r="573" customFormat="false" ht="13.8" hidden="false" customHeight="false" outlineLevel="0" collapsed="false">
      <c r="A573" s="218"/>
      <c r="B573" s="251"/>
      <c r="C573" s="251"/>
      <c r="D573" s="251"/>
      <c r="E573" s="251"/>
      <c r="F573" s="212" t="s">
        <v>3610</v>
      </c>
      <c r="G573" s="212" t="n">
        <v>63</v>
      </c>
      <c r="H573" s="212" t="s">
        <v>120</v>
      </c>
      <c r="I573" s="250" t="n">
        <v>270.19</v>
      </c>
    </row>
    <row r="574" customFormat="false" ht="13.8" hidden="false" customHeight="false" outlineLevel="0" collapsed="false">
      <c r="A574" s="218"/>
      <c r="B574" s="251"/>
      <c r="C574" s="251"/>
      <c r="D574" s="251"/>
      <c r="E574" s="251"/>
      <c r="F574" s="212" t="s">
        <v>3708</v>
      </c>
      <c r="G574" s="212" t="n">
        <v>63</v>
      </c>
      <c r="H574" s="212" t="s">
        <v>120</v>
      </c>
      <c r="I574" s="250" t="n">
        <v>75.04</v>
      </c>
    </row>
    <row r="575" customFormat="false" ht="13.8" hidden="false" customHeight="false" outlineLevel="0" collapsed="false">
      <c r="A575" s="218"/>
      <c r="B575" s="251"/>
      <c r="C575" s="251"/>
      <c r="D575" s="251"/>
      <c r="E575" s="251"/>
      <c r="F575" s="212" t="s">
        <v>3716</v>
      </c>
      <c r="G575" s="212" t="n">
        <v>63</v>
      </c>
      <c r="H575" s="212" t="s">
        <v>120</v>
      </c>
      <c r="I575" s="250" t="n">
        <v>297.57</v>
      </c>
    </row>
    <row r="576" customFormat="false" ht="13.8" hidden="false" customHeight="false" outlineLevel="0" collapsed="false">
      <c r="A576" s="218"/>
      <c r="B576" s="251"/>
      <c r="C576" s="251"/>
      <c r="D576" s="252"/>
      <c r="E576" s="252"/>
      <c r="F576" s="212" t="s">
        <v>3725</v>
      </c>
      <c r="G576" s="212" t="n">
        <v>63</v>
      </c>
      <c r="H576" s="212" t="s">
        <v>120</v>
      </c>
      <c r="I576" s="250" t="n">
        <v>25.32</v>
      </c>
    </row>
    <row r="577" customFormat="false" ht="13.8" hidden="false" customHeight="false" outlineLevel="0" collapsed="false">
      <c r="A577" s="218"/>
      <c r="B577" s="251"/>
      <c r="C577" s="251"/>
      <c r="D577" s="249" t="s">
        <v>3494</v>
      </c>
      <c r="E577" s="249" t="s">
        <v>117</v>
      </c>
      <c r="F577" s="212" t="s">
        <v>3493</v>
      </c>
      <c r="G577" s="212" t="n">
        <v>225</v>
      </c>
      <c r="H577" s="212" t="s">
        <v>120</v>
      </c>
      <c r="I577" s="250" t="n">
        <v>16.67</v>
      </c>
    </row>
    <row r="578" customFormat="false" ht="13.8" hidden="false" customHeight="false" outlineLevel="0" collapsed="false">
      <c r="A578" s="218"/>
      <c r="B578" s="251"/>
      <c r="C578" s="251"/>
      <c r="D578" s="251"/>
      <c r="E578" s="251"/>
      <c r="F578" s="212" t="s">
        <v>3598</v>
      </c>
      <c r="G578" s="212" t="n">
        <v>63</v>
      </c>
      <c r="H578" s="212" t="s">
        <v>120</v>
      </c>
      <c r="I578" s="250" t="n">
        <v>172.73</v>
      </c>
    </row>
    <row r="579" customFormat="false" ht="13.8" hidden="false" customHeight="false" outlineLevel="0" collapsed="false">
      <c r="A579" s="218"/>
      <c r="B579" s="251"/>
      <c r="C579" s="251"/>
      <c r="D579" s="251"/>
      <c r="E579" s="251"/>
      <c r="F579" s="212" t="s">
        <v>3618</v>
      </c>
      <c r="G579" s="212" t="n">
        <v>63</v>
      </c>
      <c r="H579" s="212" t="s">
        <v>120</v>
      </c>
      <c r="I579" s="250" t="n">
        <v>184.01</v>
      </c>
    </row>
    <row r="580" customFormat="false" ht="13.8" hidden="false" customHeight="false" outlineLevel="0" collapsed="false">
      <c r="A580" s="218"/>
      <c r="B580" s="251"/>
      <c r="C580" s="251"/>
      <c r="D580" s="251"/>
      <c r="E580" s="251"/>
      <c r="F580" s="212" t="s">
        <v>3647</v>
      </c>
      <c r="G580" s="212" t="n">
        <v>63</v>
      </c>
      <c r="H580" s="212" t="s">
        <v>120</v>
      </c>
      <c r="I580" s="250" t="n">
        <v>34.9</v>
      </c>
    </row>
    <row r="581" customFormat="false" ht="13.8" hidden="false" customHeight="false" outlineLevel="0" collapsed="false">
      <c r="A581" s="218"/>
      <c r="B581" s="251"/>
      <c r="C581" s="251"/>
      <c r="D581" s="252"/>
      <c r="E581" s="252"/>
      <c r="F581" s="212" t="s">
        <v>3657</v>
      </c>
      <c r="G581" s="212" t="n">
        <v>63</v>
      </c>
      <c r="H581" s="212" t="s">
        <v>120</v>
      </c>
      <c r="I581" s="250" t="n">
        <v>98.53</v>
      </c>
    </row>
    <row r="582" customFormat="false" ht="13.8" hidden="false" customHeight="false" outlineLevel="0" collapsed="false">
      <c r="A582" s="218"/>
      <c r="B582" s="251"/>
      <c r="C582" s="251"/>
      <c r="D582" s="249" t="s">
        <v>3365</v>
      </c>
      <c r="E582" s="249" t="s">
        <v>117</v>
      </c>
      <c r="F582" s="212" t="s">
        <v>3364</v>
      </c>
      <c r="G582" s="212" t="n">
        <v>160</v>
      </c>
      <c r="H582" s="212" t="s">
        <v>120</v>
      </c>
      <c r="I582" s="250" t="n">
        <v>40.61</v>
      </c>
    </row>
    <row r="583" customFormat="false" ht="13.8" hidden="false" customHeight="false" outlineLevel="0" collapsed="false">
      <c r="A583" s="218"/>
      <c r="B583" s="251"/>
      <c r="C583" s="251"/>
      <c r="D583" s="251"/>
      <c r="E583" s="251"/>
      <c r="F583" s="212" t="s">
        <v>3368</v>
      </c>
      <c r="G583" s="212" t="n">
        <v>225</v>
      </c>
      <c r="H583" s="212" t="s">
        <v>120</v>
      </c>
      <c r="I583" s="250" t="n">
        <v>49.96</v>
      </c>
    </row>
    <row r="584" customFormat="false" ht="13.8" hidden="false" customHeight="false" outlineLevel="0" collapsed="false">
      <c r="A584" s="218"/>
      <c r="B584" s="251"/>
      <c r="C584" s="251"/>
      <c r="D584" s="251"/>
      <c r="E584" s="251"/>
      <c r="F584" s="212" t="s">
        <v>3386</v>
      </c>
      <c r="G584" s="212" t="n">
        <v>63</v>
      </c>
      <c r="H584" s="212" t="s">
        <v>120</v>
      </c>
      <c r="I584" s="250" t="n">
        <v>204.34</v>
      </c>
    </row>
    <row r="585" customFormat="false" ht="13.8" hidden="false" customHeight="false" outlineLevel="0" collapsed="false">
      <c r="A585" s="218"/>
      <c r="B585" s="251"/>
      <c r="C585" s="251"/>
      <c r="D585" s="251"/>
      <c r="E585" s="251"/>
      <c r="F585" s="212" t="s">
        <v>3398</v>
      </c>
      <c r="G585" s="212" t="n">
        <v>63</v>
      </c>
      <c r="H585" s="212" t="s">
        <v>120</v>
      </c>
      <c r="I585" s="250" t="n">
        <v>238.24</v>
      </c>
    </row>
    <row r="586" customFormat="false" ht="13.8" hidden="false" customHeight="false" outlineLevel="0" collapsed="false">
      <c r="A586" s="218"/>
      <c r="B586" s="251"/>
      <c r="C586" s="251"/>
      <c r="D586" s="251"/>
      <c r="E586" s="251"/>
      <c r="F586" s="212" t="s">
        <v>3486</v>
      </c>
      <c r="G586" s="212" t="n">
        <v>225</v>
      </c>
      <c r="H586" s="212" t="s">
        <v>120</v>
      </c>
      <c r="I586" s="250" t="n">
        <v>68.07</v>
      </c>
    </row>
    <row r="587" customFormat="false" ht="13.8" hidden="false" customHeight="false" outlineLevel="0" collapsed="false">
      <c r="A587" s="218"/>
      <c r="B587" s="251"/>
      <c r="C587" s="251"/>
      <c r="D587" s="251"/>
      <c r="E587" s="251"/>
      <c r="F587" s="212" t="s">
        <v>3524</v>
      </c>
      <c r="G587" s="212" t="n">
        <v>63</v>
      </c>
      <c r="H587" s="212" t="s">
        <v>120</v>
      </c>
      <c r="I587" s="250" t="n">
        <v>45.5</v>
      </c>
    </row>
    <row r="588" customFormat="false" ht="13.8" hidden="false" customHeight="false" outlineLevel="0" collapsed="false">
      <c r="A588" s="218"/>
      <c r="B588" s="251"/>
      <c r="C588" s="251"/>
      <c r="D588" s="252"/>
      <c r="E588" s="252"/>
      <c r="F588" s="212" t="s">
        <v>3551</v>
      </c>
      <c r="G588" s="212" t="n">
        <v>63</v>
      </c>
      <c r="H588" s="212" t="s">
        <v>120</v>
      </c>
      <c r="I588" s="250" t="n">
        <v>40.63</v>
      </c>
    </row>
    <row r="589" customFormat="false" ht="13.8" hidden="false" customHeight="false" outlineLevel="0" collapsed="false">
      <c r="A589" s="218"/>
      <c r="B589" s="251"/>
      <c r="C589" s="251"/>
      <c r="D589" s="249" t="s">
        <v>3354</v>
      </c>
      <c r="E589" s="249" t="s">
        <v>117</v>
      </c>
      <c r="F589" s="212" t="s">
        <v>3353</v>
      </c>
      <c r="G589" s="212" t="n">
        <v>225</v>
      </c>
      <c r="H589" s="212" t="s">
        <v>120</v>
      </c>
      <c r="I589" s="250" t="n">
        <v>101.15</v>
      </c>
    </row>
    <row r="590" customFormat="false" ht="13.8" hidden="false" customHeight="false" outlineLevel="0" collapsed="false">
      <c r="A590" s="218"/>
      <c r="B590" s="251"/>
      <c r="C590" s="251"/>
      <c r="D590" s="251"/>
      <c r="E590" s="251"/>
      <c r="F590" s="212" t="s">
        <v>3360</v>
      </c>
      <c r="G590" s="212" t="n">
        <v>225</v>
      </c>
      <c r="H590" s="212" t="s">
        <v>120</v>
      </c>
      <c r="I590" s="250" t="n">
        <v>22.16</v>
      </c>
    </row>
    <row r="591" customFormat="false" ht="13.8" hidden="false" customHeight="false" outlineLevel="0" collapsed="false">
      <c r="A591" s="218"/>
      <c r="B591" s="251"/>
      <c r="C591" s="251"/>
      <c r="D591" s="251"/>
      <c r="E591" s="251"/>
      <c r="F591" s="212" t="s">
        <v>3423</v>
      </c>
      <c r="G591" s="212" t="n">
        <v>63</v>
      </c>
      <c r="H591" s="212" t="s">
        <v>120</v>
      </c>
      <c r="I591" s="250" t="n">
        <v>360.83</v>
      </c>
    </row>
    <row r="592" customFormat="false" ht="13.8" hidden="false" customHeight="false" outlineLevel="0" collapsed="false">
      <c r="A592" s="218"/>
      <c r="B592" s="251"/>
      <c r="C592" s="251"/>
      <c r="D592" s="251"/>
      <c r="E592" s="251"/>
      <c r="F592" s="212" t="s">
        <v>3664</v>
      </c>
      <c r="G592" s="212" t="n">
        <v>160</v>
      </c>
      <c r="H592" s="212" t="s">
        <v>120</v>
      </c>
      <c r="I592" s="250" t="n">
        <v>12.48</v>
      </c>
    </row>
    <row r="593" customFormat="false" ht="13.8" hidden="false" customHeight="false" outlineLevel="0" collapsed="false">
      <c r="A593" s="218"/>
      <c r="B593" s="251"/>
      <c r="C593" s="251"/>
      <c r="D593" s="251"/>
      <c r="E593" s="251"/>
      <c r="F593" s="212" t="s">
        <v>3668</v>
      </c>
      <c r="G593" s="212" t="n">
        <v>250</v>
      </c>
      <c r="H593" s="212" t="s">
        <v>120</v>
      </c>
      <c r="I593" s="250" t="n">
        <v>22.9</v>
      </c>
    </row>
    <row r="594" customFormat="false" ht="13.8" hidden="false" customHeight="false" outlineLevel="0" collapsed="false">
      <c r="A594" s="218"/>
      <c r="B594" s="251"/>
      <c r="C594" s="251"/>
      <c r="D594" s="251"/>
      <c r="E594" s="251"/>
      <c r="F594" s="212" t="s">
        <v>3672</v>
      </c>
      <c r="G594" s="212" t="n">
        <v>160</v>
      </c>
      <c r="H594" s="212" t="s">
        <v>120</v>
      </c>
      <c r="I594" s="250" t="n">
        <v>6.56</v>
      </c>
    </row>
    <row r="595" customFormat="false" ht="13.8" hidden="false" customHeight="false" outlineLevel="0" collapsed="false">
      <c r="A595" s="218"/>
      <c r="B595" s="251"/>
      <c r="C595" s="251"/>
      <c r="D595" s="251"/>
      <c r="E595" s="251"/>
      <c r="F595" s="212" t="s">
        <v>3675</v>
      </c>
      <c r="G595" s="212" t="n">
        <v>250</v>
      </c>
      <c r="H595" s="212" t="s">
        <v>120</v>
      </c>
      <c r="I595" s="250" t="n">
        <v>2</v>
      </c>
    </row>
    <row r="596" customFormat="false" ht="13.8" hidden="false" customHeight="false" outlineLevel="0" collapsed="false">
      <c r="A596" s="218"/>
      <c r="B596" s="251"/>
      <c r="C596" s="251"/>
      <c r="D596" s="251"/>
      <c r="E596" s="251"/>
      <c r="F596" s="212" t="s">
        <v>3678</v>
      </c>
      <c r="G596" s="212" t="n">
        <v>250</v>
      </c>
      <c r="H596" s="212" t="s">
        <v>120</v>
      </c>
      <c r="I596" s="250" t="n">
        <v>4.88</v>
      </c>
    </row>
    <row r="597" customFormat="false" ht="13.8" hidden="false" customHeight="false" outlineLevel="0" collapsed="false">
      <c r="A597" s="218"/>
      <c r="B597" s="251"/>
      <c r="C597" s="251"/>
      <c r="D597" s="252"/>
      <c r="E597" s="252"/>
      <c r="F597" s="212" t="s">
        <v>3682</v>
      </c>
      <c r="G597" s="212" t="n">
        <v>250</v>
      </c>
      <c r="H597" s="212" t="s">
        <v>120</v>
      </c>
      <c r="I597" s="250" t="n">
        <v>4.94</v>
      </c>
    </row>
    <row r="598" customFormat="false" ht="13.8" hidden="false" customHeight="false" outlineLevel="0" collapsed="false">
      <c r="A598" s="218"/>
      <c r="B598" s="251"/>
      <c r="C598" s="251"/>
      <c r="D598" s="249" t="s">
        <v>2242</v>
      </c>
      <c r="E598" s="249" t="s">
        <v>117</v>
      </c>
      <c r="F598" s="212" t="s">
        <v>3374</v>
      </c>
      <c r="G598" s="212" t="n">
        <v>63</v>
      </c>
      <c r="H598" s="212" t="s">
        <v>120</v>
      </c>
      <c r="I598" s="250" t="n">
        <v>4.2</v>
      </c>
    </row>
    <row r="599" customFormat="false" ht="13.8" hidden="false" customHeight="false" outlineLevel="0" collapsed="false">
      <c r="A599" s="218"/>
      <c r="B599" s="251"/>
      <c r="C599" s="251"/>
      <c r="D599" s="251"/>
      <c r="E599" s="251"/>
      <c r="F599" s="212" t="s">
        <v>3378</v>
      </c>
      <c r="G599" s="212" t="n">
        <v>160</v>
      </c>
      <c r="H599" s="212" t="s">
        <v>120</v>
      </c>
      <c r="I599" s="250" t="n">
        <v>53.57</v>
      </c>
    </row>
    <row r="600" customFormat="false" ht="13.8" hidden="false" customHeight="false" outlineLevel="0" collapsed="false">
      <c r="A600" s="218"/>
      <c r="B600" s="251"/>
      <c r="C600" s="251"/>
      <c r="D600" s="251"/>
      <c r="E600" s="251"/>
      <c r="F600" s="212" t="s">
        <v>3382</v>
      </c>
      <c r="G600" s="212" t="n">
        <v>63</v>
      </c>
      <c r="H600" s="212" t="s">
        <v>120</v>
      </c>
      <c r="I600" s="250" t="n">
        <v>105.75</v>
      </c>
    </row>
    <row r="601" customFormat="false" ht="13.8" hidden="false" customHeight="false" outlineLevel="0" collapsed="false">
      <c r="A601" s="218"/>
      <c r="B601" s="251"/>
      <c r="C601" s="251"/>
      <c r="D601" s="251"/>
      <c r="E601" s="251"/>
      <c r="F601" s="212" t="s">
        <v>3390</v>
      </c>
      <c r="G601" s="212" t="n">
        <v>160</v>
      </c>
      <c r="H601" s="212" t="s">
        <v>120</v>
      </c>
      <c r="I601" s="250" t="n">
        <v>26.97</v>
      </c>
    </row>
    <row r="602" customFormat="false" ht="13.8" hidden="false" customHeight="false" outlineLevel="0" collapsed="false">
      <c r="A602" s="218"/>
      <c r="B602" s="251"/>
      <c r="C602" s="251"/>
      <c r="D602" s="251"/>
      <c r="E602" s="251"/>
      <c r="F602" s="212" t="s">
        <v>3394</v>
      </c>
      <c r="G602" s="212" t="n">
        <v>63</v>
      </c>
      <c r="H602" s="212" t="s">
        <v>120</v>
      </c>
      <c r="I602" s="250" t="n">
        <v>40.34</v>
      </c>
    </row>
    <row r="603" customFormat="false" ht="13.8" hidden="false" customHeight="false" outlineLevel="0" collapsed="false">
      <c r="A603" s="218"/>
      <c r="B603" s="251"/>
      <c r="C603" s="251"/>
      <c r="D603" s="251"/>
      <c r="E603" s="251"/>
      <c r="F603" s="212" t="s">
        <v>3403</v>
      </c>
      <c r="G603" s="212" t="n">
        <v>63</v>
      </c>
      <c r="H603" s="212" t="s">
        <v>120</v>
      </c>
      <c r="I603" s="250" t="n">
        <v>59.45</v>
      </c>
    </row>
    <row r="604" customFormat="false" ht="13.8" hidden="false" customHeight="false" outlineLevel="0" collapsed="false">
      <c r="A604" s="218"/>
      <c r="B604" s="251"/>
      <c r="C604" s="251"/>
      <c r="D604" s="251"/>
      <c r="E604" s="251"/>
      <c r="F604" s="212" t="s">
        <v>3412</v>
      </c>
      <c r="G604" s="212" t="n">
        <v>63</v>
      </c>
      <c r="H604" s="212" t="s">
        <v>120</v>
      </c>
      <c r="I604" s="250" t="n">
        <v>17.52</v>
      </c>
    </row>
    <row r="605" customFormat="false" ht="13.8" hidden="false" customHeight="false" outlineLevel="0" collapsed="false">
      <c r="A605" s="218"/>
      <c r="B605" s="251"/>
      <c r="C605" s="251"/>
      <c r="D605" s="251"/>
      <c r="E605" s="251"/>
      <c r="F605" s="212" t="s">
        <v>3416</v>
      </c>
      <c r="G605" s="212" t="n">
        <v>250</v>
      </c>
      <c r="H605" s="212" t="s">
        <v>120</v>
      </c>
      <c r="I605" s="250" t="n">
        <v>379.18</v>
      </c>
    </row>
    <row r="606" customFormat="false" ht="13.8" hidden="false" customHeight="false" outlineLevel="0" collapsed="false">
      <c r="A606" s="218"/>
      <c r="B606" s="251"/>
      <c r="C606" s="251"/>
      <c r="D606" s="251"/>
      <c r="E606" s="251"/>
      <c r="F606" s="212" t="s">
        <v>3419</v>
      </c>
      <c r="G606" s="212" t="n">
        <v>63</v>
      </c>
      <c r="H606" s="212" t="s">
        <v>120</v>
      </c>
      <c r="I606" s="250" t="n">
        <v>19.83</v>
      </c>
    </row>
    <row r="607" customFormat="false" ht="13.8" hidden="false" customHeight="false" outlineLevel="0" collapsed="false">
      <c r="A607" s="218"/>
      <c r="B607" s="251"/>
      <c r="C607" s="251"/>
      <c r="D607" s="251"/>
      <c r="E607" s="251"/>
      <c r="F607" s="212" t="s">
        <v>3427</v>
      </c>
      <c r="G607" s="212" t="n">
        <v>160</v>
      </c>
      <c r="H607" s="212" t="s">
        <v>120</v>
      </c>
      <c r="I607" s="250" t="n">
        <v>24.64</v>
      </c>
    </row>
    <row r="608" customFormat="false" ht="13.8" hidden="false" customHeight="false" outlineLevel="0" collapsed="false">
      <c r="A608" s="218"/>
      <c r="B608" s="251"/>
      <c r="C608" s="251"/>
      <c r="D608" s="251"/>
      <c r="E608" s="251"/>
      <c r="F608" s="212" t="s">
        <v>3431</v>
      </c>
      <c r="G608" s="212" t="n">
        <v>63</v>
      </c>
      <c r="H608" s="212" t="s">
        <v>120</v>
      </c>
      <c r="I608" s="250" t="n">
        <v>72.97</v>
      </c>
    </row>
    <row r="609" customFormat="false" ht="13.8" hidden="false" customHeight="false" outlineLevel="0" collapsed="false">
      <c r="A609" s="218"/>
      <c r="B609" s="251"/>
      <c r="C609" s="251"/>
      <c r="D609" s="251"/>
      <c r="E609" s="251"/>
      <c r="F609" s="212" t="s">
        <v>3435</v>
      </c>
      <c r="G609" s="212" t="n">
        <v>63</v>
      </c>
      <c r="H609" s="212" t="s">
        <v>120</v>
      </c>
      <c r="I609" s="250" t="n">
        <v>11.2</v>
      </c>
    </row>
    <row r="610" customFormat="false" ht="13.8" hidden="false" customHeight="false" outlineLevel="0" collapsed="false">
      <c r="A610" s="218"/>
      <c r="B610" s="251"/>
      <c r="C610" s="251"/>
      <c r="D610" s="251"/>
      <c r="E610" s="251"/>
      <c r="F610" s="212" t="s">
        <v>3439</v>
      </c>
      <c r="G610" s="212" t="n">
        <v>63</v>
      </c>
      <c r="H610" s="212" t="s">
        <v>120</v>
      </c>
      <c r="I610" s="250" t="n">
        <v>76</v>
      </c>
    </row>
    <row r="611" customFormat="false" ht="13.8" hidden="false" customHeight="false" outlineLevel="0" collapsed="false">
      <c r="A611" s="218"/>
      <c r="B611" s="251"/>
      <c r="C611" s="251"/>
      <c r="D611" s="251"/>
      <c r="E611" s="251"/>
      <c r="F611" s="212" t="s">
        <v>3644</v>
      </c>
      <c r="G611" s="212" t="n">
        <v>63</v>
      </c>
      <c r="H611" s="212" t="s">
        <v>120</v>
      </c>
      <c r="I611" s="250" t="n">
        <v>39.1</v>
      </c>
    </row>
    <row r="612" customFormat="false" ht="13.8" hidden="false" customHeight="false" outlineLevel="0" collapsed="false">
      <c r="A612" s="218"/>
      <c r="B612" s="251"/>
      <c r="C612" s="251"/>
      <c r="D612" s="251"/>
      <c r="E612" s="251"/>
      <c r="F612" s="212" t="s">
        <v>3650</v>
      </c>
      <c r="G612" s="212" t="n">
        <v>160</v>
      </c>
      <c r="H612" s="212" t="s">
        <v>120</v>
      </c>
      <c r="I612" s="250" t="n">
        <v>109.1</v>
      </c>
    </row>
    <row r="613" customFormat="false" ht="13.8" hidden="false" customHeight="false" outlineLevel="0" collapsed="false">
      <c r="A613" s="218"/>
      <c r="B613" s="251"/>
      <c r="C613" s="251"/>
      <c r="D613" s="251"/>
      <c r="E613" s="251"/>
      <c r="F613" s="212" t="s">
        <v>3654</v>
      </c>
      <c r="G613" s="212" t="n">
        <v>63</v>
      </c>
      <c r="H613" s="212" t="s">
        <v>120</v>
      </c>
      <c r="I613" s="250" t="n">
        <v>51.03</v>
      </c>
    </row>
    <row r="614" customFormat="false" ht="13.8" hidden="false" customHeight="false" outlineLevel="0" collapsed="false">
      <c r="A614" s="218"/>
      <c r="B614" s="251"/>
      <c r="C614" s="251"/>
      <c r="D614" s="252"/>
      <c r="E614" s="252"/>
      <c r="F614" s="212" t="s">
        <v>3661</v>
      </c>
      <c r="G614" s="212" t="n">
        <v>160</v>
      </c>
      <c r="H614" s="212" t="s">
        <v>120</v>
      </c>
      <c r="I614" s="250" t="n">
        <v>60.44</v>
      </c>
    </row>
    <row r="615" customFormat="false" ht="13.8" hidden="false" customHeight="false" outlineLevel="0" collapsed="false">
      <c r="A615" s="218"/>
      <c r="B615" s="251"/>
      <c r="C615" s="251"/>
      <c r="D615" s="249" t="s">
        <v>2638</v>
      </c>
      <c r="E615" s="249" t="s">
        <v>117</v>
      </c>
      <c r="F615" s="212" t="s">
        <v>3443</v>
      </c>
      <c r="G615" s="212" t="n">
        <v>110</v>
      </c>
      <c r="H615" s="212" t="s">
        <v>120</v>
      </c>
      <c r="I615" s="250" t="n">
        <v>30.8</v>
      </c>
    </row>
    <row r="616" customFormat="false" ht="13.8" hidden="false" customHeight="false" outlineLevel="0" collapsed="false">
      <c r="A616" s="218"/>
      <c r="B616" s="251"/>
      <c r="C616" s="251"/>
      <c r="D616" s="251"/>
      <c r="E616" s="251"/>
      <c r="F616" s="212" t="s">
        <v>3448</v>
      </c>
      <c r="G616" s="212" t="n">
        <v>63</v>
      </c>
      <c r="H616" s="212" t="s">
        <v>120</v>
      </c>
      <c r="I616" s="250" t="n">
        <v>49.03</v>
      </c>
    </row>
    <row r="617" customFormat="false" ht="13.8" hidden="false" customHeight="false" outlineLevel="0" collapsed="false">
      <c r="A617" s="218"/>
      <c r="B617" s="251"/>
      <c r="C617" s="251"/>
      <c r="D617" s="251"/>
      <c r="E617" s="251"/>
      <c r="F617" s="212" t="s">
        <v>3464</v>
      </c>
      <c r="G617" s="212" t="n">
        <v>110</v>
      </c>
      <c r="H617" s="212" t="s">
        <v>120</v>
      </c>
      <c r="I617" s="250" t="n">
        <v>30.21</v>
      </c>
    </row>
    <row r="618" customFormat="false" ht="13.8" hidden="false" customHeight="false" outlineLevel="0" collapsed="false">
      <c r="A618" s="218"/>
      <c r="B618" s="251"/>
      <c r="C618" s="251"/>
      <c r="D618" s="251"/>
      <c r="E618" s="251"/>
      <c r="F618" s="212" t="s">
        <v>3467</v>
      </c>
      <c r="G618" s="212" t="n">
        <v>63</v>
      </c>
      <c r="H618" s="212" t="s">
        <v>120</v>
      </c>
      <c r="I618" s="250" t="n">
        <v>162.6</v>
      </c>
    </row>
    <row r="619" customFormat="false" ht="13.8" hidden="false" customHeight="false" outlineLevel="0" collapsed="false">
      <c r="A619" s="218"/>
      <c r="B619" s="251"/>
      <c r="C619" s="251"/>
      <c r="D619" s="251"/>
      <c r="E619" s="251"/>
      <c r="F619" s="212" t="s">
        <v>3471</v>
      </c>
      <c r="G619" s="212" t="n">
        <v>110</v>
      </c>
      <c r="H619" s="212" t="s">
        <v>120</v>
      </c>
      <c r="I619" s="250" t="n">
        <v>165.37</v>
      </c>
    </row>
    <row r="620" customFormat="false" ht="13.8" hidden="false" customHeight="false" outlineLevel="0" collapsed="false">
      <c r="A620" s="218"/>
      <c r="B620" s="251"/>
      <c r="C620" s="251"/>
      <c r="D620" s="251"/>
      <c r="E620" s="251"/>
      <c r="F620" s="212" t="s">
        <v>3483</v>
      </c>
      <c r="G620" s="212" t="n">
        <v>63</v>
      </c>
      <c r="H620" s="212" t="s">
        <v>120</v>
      </c>
      <c r="I620" s="250" t="n">
        <v>53.96</v>
      </c>
    </row>
    <row r="621" customFormat="false" ht="13.8" hidden="false" customHeight="false" outlineLevel="0" collapsed="false">
      <c r="A621" s="218"/>
      <c r="B621" s="251"/>
      <c r="C621" s="251"/>
      <c r="D621" s="252"/>
      <c r="E621" s="252"/>
      <c r="F621" s="212" t="s">
        <v>3507</v>
      </c>
      <c r="G621" s="212" t="n">
        <v>63</v>
      </c>
      <c r="H621" s="212" t="s">
        <v>120</v>
      </c>
      <c r="I621" s="250" t="n">
        <v>70.67</v>
      </c>
    </row>
    <row r="622" customFormat="false" ht="13.8" hidden="false" customHeight="false" outlineLevel="0" collapsed="false">
      <c r="A622" s="218"/>
      <c r="B622" s="251"/>
      <c r="C622" s="251"/>
      <c r="D622" s="249" t="s">
        <v>3549</v>
      </c>
      <c r="E622" s="249" t="s">
        <v>117</v>
      </c>
      <c r="F622" s="212" t="s">
        <v>3548</v>
      </c>
      <c r="G622" s="212" t="n">
        <v>63</v>
      </c>
      <c r="H622" s="212" t="s">
        <v>120</v>
      </c>
      <c r="I622" s="250" t="n">
        <v>40.4</v>
      </c>
    </row>
    <row r="623" customFormat="false" ht="13.8" hidden="false" customHeight="false" outlineLevel="0" collapsed="false">
      <c r="A623" s="218"/>
      <c r="B623" s="251"/>
      <c r="C623" s="251"/>
      <c r="D623" s="251"/>
      <c r="E623" s="251"/>
      <c r="F623" s="212" t="s">
        <v>3561</v>
      </c>
      <c r="G623" s="212" t="n">
        <v>110</v>
      </c>
      <c r="H623" s="212" t="s">
        <v>120</v>
      </c>
      <c r="I623" s="250" t="n">
        <v>36.71</v>
      </c>
    </row>
    <row r="624" customFormat="false" ht="13.8" hidden="false" customHeight="false" outlineLevel="0" collapsed="false">
      <c r="A624" s="218"/>
      <c r="B624" s="251"/>
      <c r="C624" s="251"/>
      <c r="D624" s="252"/>
      <c r="E624" s="252"/>
      <c r="F624" s="212" t="s">
        <v>3569</v>
      </c>
      <c r="G624" s="212" t="n">
        <v>63</v>
      </c>
      <c r="H624" s="212" t="s">
        <v>120</v>
      </c>
      <c r="I624" s="250" t="n">
        <v>79.76</v>
      </c>
    </row>
    <row r="625" customFormat="false" ht="13.8" hidden="false" customHeight="false" outlineLevel="0" collapsed="false">
      <c r="A625" s="218"/>
      <c r="B625" s="251"/>
      <c r="C625" s="251"/>
      <c r="D625" s="249" t="s">
        <v>3766</v>
      </c>
      <c r="E625" s="249" t="s">
        <v>117</v>
      </c>
      <c r="F625" s="212" t="s">
        <v>3765</v>
      </c>
      <c r="G625" s="212" t="n">
        <v>90</v>
      </c>
      <c r="H625" s="212" t="s">
        <v>120</v>
      </c>
      <c r="I625" s="250" t="n">
        <v>162.34</v>
      </c>
    </row>
    <row r="626" customFormat="false" ht="13.8" hidden="false" customHeight="false" outlineLevel="0" collapsed="false">
      <c r="A626" s="218"/>
      <c r="B626" s="251"/>
      <c r="C626" s="251"/>
      <c r="D626" s="252"/>
      <c r="E626" s="252"/>
      <c r="F626" s="212" t="s">
        <v>3770</v>
      </c>
      <c r="G626" s="212" t="n">
        <v>225</v>
      </c>
      <c r="H626" s="212" t="s">
        <v>120</v>
      </c>
      <c r="I626" s="250" t="n">
        <v>37.85</v>
      </c>
    </row>
    <row r="627" customFormat="false" ht="13.8" hidden="false" customHeight="false" outlineLevel="0" collapsed="false">
      <c r="A627" s="218"/>
      <c r="B627" s="251"/>
      <c r="C627" s="251"/>
      <c r="D627" s="249" t="s">
        <v>3590</v>
      </c>
      <c r="E627" s="249" t="s">
        <v>117</v>
      </c>
      <c r="F627" s="212" t="s">
        <v>3589</v>
      </c>
      <c r="G627" s="212" t="n">
        <v>63</v>
      </c>
      <c r="H627" s="212" t="s">
        <v>120</v>
      </c>
      <c r="I627" s="250" t="n">
        <v>141.66</v>
      </c>
    </row>
    <row r="628" customFormat="false" ht="13.8" hidden="false" customHeight="false" outlineLevel="0" collapsed="false">
      <c r="A628" s="218"/>
      <c r="B628" s="251"/>
      <c r="C628" s="251"/>
      <c r="D628" s="252"/>
      <c r="E628" s="252"/>
      <c r="F628" s="212" t="s">
        <v>3625</v>
      </c>
      <c r="G628" s="212" t="n">
        <v>63</v>
      </c>
      <c r="H628" s="212" t="s">
        <v>120</v>
      </c>
      <c r="I628" s="250" t="n">
        <v>42.98</v>
      </c>
    </row>
    <row r="629" customFormat="false" ht="13.8" hidden="false" customHeight="false" outlineLevel="0" collapsed="false">
      <c r="A629" s="218"/>
      <c r="B629" s="251"/>
      <c r="C629" s="251"/>
      <c r="D629" s="212" t="s">
        <v>3408</v>
      </c>
      <c r="E629" s="212" t="s">
        <v>117</v>
      </c>
      <c r="F629" s="212" t="s">
        <v>3407</v>
      </c>
      <c r="G629" s="212" t="n">
        <v>160</v>
      </c>
      <c r="H629" s="212" t="s">
        <v>120</v>
      </c>
      <c r="I629" s="250" t="n">
        <v>49.22</v>
      </c>
    </row>
    <row r="630" customFormat="false" ht="13.8" hidden="false" customHeight="false" outlineLevel="0" collapsed="false">
      <c r="A630" s="218"/>
      <c r="B630" s="251"/>
      <c r="C630" s="251"/>
      <c r="D630" s="249" t="s">
        <v>7055</v>
      </c>
      <c r="E630" s="249" t="s">
        <v>117</v>
      </c>
      <c r="F630" s="212" t="s">
        <v>3371</v>
      </c>
      <c r="G630" s="212" t="n">
        <v>225</v>
      </c>
      <c r="H630" s="212" t="s">
        <v>120</v>
      </c>
      <c r="I630" s="250" t="n">
        <v>64.78</v>
      </c>
    </row>
    <row r="631" customFormat="false" ht="13.8" hidden="false" customHeight="false" outlineLevel="0" collapsed="false">
      <c r="A631" s="218"/>
      <c r="B631" s="251"/>
      <c r="C631" s="252"/>
      <c r="D631" s="252"/>
      <c r="E631" s="252"/>
      <c r="F631" s="212" t="s">
        <v>3640</v>
      </c>
      <c r="G631" s="212" t="n">
        <v>63</v>
      </c>
      <c r="H631" s="212" t="s">
        <v>120</v>
      </c>
      <c r="I631" s="250" t="n">
        <v>79.4</v>
      </c>
    </row>
    <row r="632" customFormat="false" ht="13.8" hidden="false" customHeight="false" outlineLevel="0" collapsed="false">
      <c r="A632" s="222"/>
      <c r="B632" s="252"/>
      <c r="C632" s="261" t="s">
        <v>7056</v>
      </c>
      <c r="D632" s="224"/>
      <c r="E632" s="224"/>
      <c r="F632" s="224"/>
      <c r="G632" s="224"/>
      <c r="H632" s="225"/>
      <c r="I632" s="217" t="n">
        <v>9051.31</v>
      </c>
    </row>
    <row r="633" customFormat="false" ht="13.8" hidden="false" customHeight="false" outlineLevel="0" collapsed="false">
      <c r="A633" s="211" t="s">
        <v>3786</v>
      </c>
      <c r="B633" s="249" t="s">
        <v>6</v>
      </c>
      <c r="C633" s="249" t="s">
        <v>1594</v>
      </c>
      <c r="D633" s="249" t="s">
        <v>3905</v>
      </c>
      <c r="E633" s="249" t="s">
        <v>117</v>
      </c>
      <c r="F633" s="212" t="s">
        <v>3904</v>
      </c>
      <c r="G633" s="212" t="n">
        <v>63</v>
      </c>
      <c r="H633" s="212" t="s">
        <v>120</v>
      </c>
      <c r="I633" s="250" t="n">
        <v>53.39</v>
      </c>
    </row>
    <row r="634" customFormat="false" ht="13.8" hidden="false" customHeight="false" outlineLevel="0" collapsed="false">
      <c r="A634" s="218"/>
      <c r="B634" s="251"/>
      <c r="C634" s="251"/>
      <c r="D634" s="251"/>
      <c r="E634" s="251"/>
      <c r="F634" s="212" t="s">
        <v>3929</v>
      </c>
      <c r="G634" s="212" t="n">
        <v>63</v>
      </c>
      <c r="H634" s="212" t="s">
        <v>120</v>
      </c>
      <c r="I634" s="250" t="n">
        <v>102.48</v>
      </c>
    </row>
    <row r="635" customFormat="false" ht="13.8" hidden="false" customHeight="false" outlineLevel="0" collapsed="false">
      <c r="A635" s="218"/>
      <c r="B635" s="251"/>
      <c r="C635" s="251"/>
      <c r="D635" s="252"/>
      <c r="E635" s="252"/>
      <c r="F635" s="212" t="s">
        <v>3933</v>
      </c>
      <c r="G635" s="212" t="n">
        <v>63</v>
      </c>
      <c r="H635" s="212" t="s">
        <v>120</v>
      </c>
      <c r="I635" s="250" t="n">
        <v>48.5</v>
      </c>
    </row>
    <row r="636" customFormat="false" ht="13.8" hidden="false" customHeight="false" outlineLevel="0" collapsed="false">
      <c r="A636" s="218"/>
      <c r="B636" s="251"/>
      <c r="C636" s="251"/>
      <c r="D636" s="249" t="s">
        <v>2553</v>
      </c>
      <c r="E636" s="249" t="s">
        <v>117</v>
      </c>
      <c r="F636" s="212" t="s">
        <v>3942</v>
      </c>
      <c r="G636" s="212" t="n">
        <v>63</v>
      </c>
      <c r="H636" s="212" t="s">
        <v>120</v>
      </c>
      <c r="I636" s="250" t="n">
        <v>83.12</v>
      </c>
    </row>
    <row r="637" customFormat="false" ht="13.8" hidden="false" customHeight="false" outlineLevel="0" collapsed="false">
      <c r="A637" s="218"/>
      <c r="B637" s="251"/>
      <c r="C637" s="251"/>
      <c r="D637" s="251"/>
      <c r="E637" s="251"/>
      <c r="F637" s="212" t="s">
        <v>3946</v>
      </c>
      <c r="G637" s="212" t="n">
        <v>63</v>
      </c>
      <c r="H637" s="212" t="s">
        <v>120</v>
      </c>
      <c r="I637" s="250" t="n">
        <v>42.6</v>
      </c>
    </row>
    <row r="638" customFormat="false" ht="13.8" hidden="false" customHeight="false" outlineLevel="0" collapsed="false">
      <c r="A638" s="218"/>
      <c r="B638" s="251"/>
      <c r="C638" s="251"/>
      <c r="D638" s="251"/>
      <c r="E638" s="251"/>
      <c r="F638" s="212" t="s">
        <v>3954</v>
      </c>
      <c r="G638" s="212" t="n">
        <v>63</v>
      </c>
      <c r="H638" s="212" t="s">
        <v>120</v>
      </c>
      <c r="I638" s="250" t="n">
        <v>45.34</v>
      </c>
    </row>
    <row r="639" customFormat="false" ht="13.8" hidden="false" customHeight="false" outlineLevel="0" collapsed="false">
      <c r="A639" s="218"/>
      <c r="B639" s="251"/>
      <c r="C639" s="251"/>
      <c r="D639" s="251"/>
      <c r="E639" s="251"/>
      <c r="F639" s="212" t="s">
        <v>3958</v>
      </c>
      <c r="G639" s="212" t="n">
        <v>63</v>
      </c>
      <c r="H639" s="212" t="s">
        <v>120</v>
      </c>
      <c r="I639" s="250" t="n">
        <v>102.4</v>
      </c>
    </row>
    <row r="640" customFormat="false" ht="13.8" hidden="false" customHeight="false" outlineLevel="0" collapsed="false">
      <c r="A640" s="218"/>
      <c r="B640" s="251"/>
      <c r="C640" s="251"/>
      <c r="D640" s="251"/>
      <c r="E640" s="251"/>
      <c r="F640" s="212" t="s">
        <v>3965</v>
      </c>
      <c r="G640" s="212" t="n">
        <v>63</v>
      </c>
      <c r="H640" s="212" t="s">
        <v>120</v>
      </c>
      <c r="I640" s="250" t="n">
        <v>102.74</v>
      </c>
    </row>
    <row r="641" customFormat="false" ht="13.8" hidden="false" customHeight="false" outlineLevel="0" collapsed="false">
      <c r="A641" s="218"/>
      <c r="B641" s="251"/>
      <c r="C641" s="251"/>
      <c r="D641" s="251"/>
      <c r="E641" s="251"/>
      <c r="F641" s="212" t="s">
        <v>3969</v>
      </c>
      <c r="G641" s="212" t="n">
        <v>63</v>
      </c>
      <c r="H641" s="212" t="s">
        <v>120</v>
      </c>
      <c r="I641" s="250" t="n">
        <v>49.62</v>
      </c>
    </row>
    <row r="642" customFormat="false" ht="13.8" hidden="false" customHeight="false" outlineLevel="0" collapsed="false">
      <c r="A642" s="218"/>
      <c r="B642" s="251"/>
      <c r="C642" s="251"/>
      <c r="D642" s="251"/>
      <c r="E642" s="251"/>
      <c r="F642" s="212" t="s">
        <v>3973</v>
      </c>
      <c r="G642" s="212" t="n">
        <v>63</v>
      </c>
      <c r="H642" s="212" t="s">
        <v>120</v>
      </c>
      <c r="I642" s="250" t="n">
        <v>158.34</v>
      </c>
    </row>
    <row r="643" customFormat="false" ht="13.8" hidden="false" customHeight="false" outlineLevel="0" collapsed="false">
      <c r="A643" s="218"/>
      <c r="B643" s="251"/>
      <c r="C643" s="251"/>
      <c r="D643" s="251"/>
      <c r="E643" s="251"/>
      <c r="F643" s="212" t="s">
        <v>3976</v>
      </c>
      <c r="G643" s="212" t="n">
        <v>63</v>
      </c>
      <c r="H643" s="212" t="s">
        <v>120</v>
      </c>
      <c r="I643" s="250" t="n">
        <v>3.77</v>
      </c>
    </row>
    <row r="644" customFormat="false" ht="13.8" hidden="false" customHeight="false" outlineLevel="0" collapsed="false">
      <c r="A644" s="218"/>
      <c r="B644" s="251"/>
      <c r="C644" s="251"/>
      <c r="D644" s="251"/>
      <c r="E644" s="251"/>
      <c r="F644" s="212" t="s">
        <v>3986</v>
      </c>
      <c r="G644" s="212" t="n">
        <v>63</v>
      </c>
      <c r="H644" s="212" t="s">
        <v>120</v>
      </c>
      <c r="I644" s="250" t="n">
        <v>157.49</v>
      </c>
    </row>
    <row r="645" customFormat="false" ht="13.8" hidden="false" customHeight="false" outlineLevel="0" collapsed="false">
      <c r="A645" s="218"/>
      <c r="B645" s="251"/>
      <c r="C645" s="251"/>
      <c r="D645" s="251"/>
      <c r="E645" s="251"/>
      <c r="F645" s="212" t="s">
        <v>3990</v>
      </c>
      <c r="G645" s="212" t="n">
        <v>110</v>
      </c>
      <c r="H645" s="212" t="s">
        <v>120</v>
      </c>
      <c r="I645" s="250" t="n">
        <v>49.9</v>
      </c>
    </row>
    <row r="646" customFormat="false" ht="13.8" hidden="false" customHeight="false" outlineLevel="0" collapsed="false">
      <c r="A646" s="218"/>
      <c r="B646" s="251"/>
      <c r="C646" s="251"/>
      <c r="D646" s="251"/>
      <c r="E646" s="251"/>
      <c r="F646" s="212" t="s">
        <v>3996</v>
      </c>
      <c r="G646" s="212" t="n">
        <v>63</v>
      </c>
      <c r="H646" s="212" t="s">
        <v>120</v>
      </c>
      <c r="I646" s="250" t="n">
        <v>24.49</v>
      </c>
    </row>
    <row r="647" customFormat="false" ht="13.8" hidden="false" customHeight="false" outlineLevel="0" collapsed="false">
      <c r="A647" s="218"/>
      <c r="B647" s="251"/>
      <c r="C647" s="251"/>
      <c r="D647" s="251"/>
      <c r="E647" s="251"/>
      <c r="F647" s="212" t="s">
        <v>4094</v>
      </c>
      <c r="G647" s="212" t="n">
        <v>63</v>
      </c>
      <c r="H647" s="212" t="s">
        <v>120</v>
      </c>
      <c r="I647" s="250" t="n">
        <v>84.86</v>
      </c>
    </row>
    <row r="648" customFormat="false" ht="13.8" hidden="false" customHeight="false" outlineLevel="0" collapsed="false">
      <c r="A648" s="218"/>
      <c r="B648" s="251"/>
      <c r="C648" s="251"/>
      <c r="D648" s="251"/>
      <c r="E648" s="251"/>
      <c r="F648" s="212" t="s">
        <v>4101</v>
      </c>
      <c r="G648" s="212" t="n">
        <v>63</v>
      </c>
      <c r="H648" s="212" t="s">
        <v>120</v>
      </c>
      <c r="I648" s="250" t="n">
        <v>130.89</v>
      </c>
    </row>
    <row r="649" customFormat="false" ht="13.8" hidden="false" customHeight="false" outlineLevel="0" collapsed="false">
      <c r="A649" s="218"/>
      <c r="B649" s="251"/>
      <c r="C649" s="251"/>
      <c r="D649" s="251"/>
      <c r="E649" s="251"/>
      <c r="F649" s="212" t="s">
        <v>4105</v>
      </c>
      <c r="G649" s="212" t="n">
        <v>63</v>
      </c>
      <c r="H649" s="212" t="s">
        <v>120</v>
      </c>
      <c r="I649" s="250" t="n">
        <v>28.7</v>
      </c>
    </row>
    <row r="650" customFormat="false" ht="13.8" hidden="false" customHeight="false" outlineLevel="0" collapsed="false">
      <c r="A650" s="218"/>
      <c r="B650" s="251"/>
      <c r="C650" s="251"/>
      <c r="D650" s="251"/>
      <c r="E650" s="251"/>
      <c r="F650" s="212" t="s">
        <v>4109</v>
      </c>
      <c r="G650" s="212" t="n">
        <v>110</v>
      </c>
      <c r="H650" s="212" t="s">
        <v>120</v>
      </c>
      <c r="I650" s="250" t="n">
        <v>60.61</v>
      </c>
    </row>
    <row r="651" customFormat="false" ht="13.8" hidden="false" customHeight="false" outlineLevel="0" collapsed="false">
      <c r="A651" s="218"/>
      <c r="B651" s="251"/>
      <c r="C651" s="251"/>
      <c r="D651" s="251"/>
      <c r="E651" s="251"/>
      <c r="F651" s="212" t="s">
        <v>4112</v>
      </c>
      <c r="G651" s="212" t="n">
        <v>63</v>
      </c>
      <c r="H651" s="212" t="s">
        <v>120</v>
      </c>
      <c r="I651" s="250" t="n">
        <v>182.55</v>
      </c>
    </row>
    <row r="652" customFormat="false" ht="13.8" hidden="false" customHeight="false" outlineLevel="0" collapsed="false">
      <c r="A652" s="218"/>
      <c r="B652" s="251"/>
      <c r="C652" s="251"/>
      <c r="D652" s="251"/>
      <c r="E652" s="251"/>
      <c r="F652" s="212" t="s">
        <v>4118</v>
      </c>
      <c r="G652" s="212" t="n">
        <v>110</v>
      </c>
      <c r="H652" s="212" t="s">
        <v>120</v>
      </c>
      <c r="I652" s="250" t="n">
        <v>114.44</v>
      </c>
    </row>
    <row r="653" customFormat="false" ht="13.8" hidden="false" customHeight="false" outlineLevel="0" collapsed="false">
      <c r="A653" s="218"/>
      <c r="B653" s="251"/>
      <c r="C653" s="251"/>
      <c r="D653" s="251"/>
      <c r="E653" s="251"/>
      <c r="F653" s="212" t="s">
        <v>4132</v>
      </c>
      <c r="G653" s="212" t="n">
        <v>110</v>
      </c>
      <c r="H653" s="212" t="s">
        <v>120</v>
      </c>
      <c r="I653" s="250" t="n">
        <v>12.87</v>
      </c>
    </row>
    <row r="654" customFormat="false" ht="13.8" hidden="false" customHeight="false" outlineLevel="0" collapsed="false">
      <c r="A654" s="218"/>
      <c r="B654" s="251"/>
      <c r="C654" s="251"/>
      <c r="D654" s="252"/>
      <c r="E654" s="252"/>
      <c r="F654" s="212" t="s">
        <v>4134</v>
      </c>
      <c r="G654" s="212" t="n">
        <v>110</v>
      </c>
      <c r="H654" s="212" t="s">
        <v>120</v>
      </c>
      <c r="I654" s="250" t="n">
        <v>213.78</v>
      </c>
    </row>
    <row r="655" customFormat="false" ht="13.8" hidden="false" customHeight="false" outlineLevel="0" collapsed="false">
      <c r="A655" s="218"/>
      <c r="B655" s="251"/>
      <c r="C655" s="251"/>
      <c r="D655" s="249" t="s">
        <v>2276</v>
      </c>
      <c r="E655" s="249" t="s">
        <v>117</v>
      </c>
      <c r="F655" s="212" t="s">
        <v>3830</v>
      </c>
      <c r="G655" s="212" t="n">
        <v>110</v>
      </c>
      <c r="H655" s="212" t="s">
        <v>120</v>
      </c>
      <c r="I655" s="250" t="n">
        <v>104.24</v>
      </c>
    </row>
    <row r="656" customFormat="false" ht="13.8" hidden="false" customHeight="false" outlineLevel="0" collapsed="false">
      <c r="A656" s="218"/>
      <c r="B656" s="251"/>
      <c r="C656" s="251"/>
      <c r="D656" s="251"/>
      <c r="E656" s="251"/>
      <c r="F656" s="212" t="s">
        <v>3835</v>
      </c>
      <c r="G656" s="212" t="n">
        <v>63</v>
      </c>
      <c r="H656" s="212" t="s">
        <v>120</v>
      </c>
      <c r="I656" s="250" t="n">
        <v>5.94</v>
      </c>
    </row>
    <row r="657" customFormat="false" ht="13.8" hidden="false" customHeight="false" outlineLevel="0" collapsed="false">
      <c r="A657" s="218"/>
      <c r="B657" s="251"/>
      <c r="C657" s="251"/>
      <c r="D657" s="251"/>
      <c r="E657" s="251"/>
      <c r="F657" s="212" t="s">
        <v>3844</v>
      </c>
      <c r="G657" s="212" t="n">
        <v>110</v>
      </c>
      <c r="H657" s="212" t="s">
        <v>120</v>
      </c>
      <c r="I657" s="250" t="n">
        <v>3.11</v>
      </c>
    </row>
    <row r="658" customFormat="false" ht="13.8" hidden="false" customHeight="false" outlineLevel="0" collapsed="false">
      <c r="A658" s="218"/>
      <c r="B658" s="251"/>
      <c r="C658" s="251"/>
      <c r="D658" s="251"/>
      <c r="E658" s="251"/>
      <c r="F658" s="212" t="s">
        <v>3852</v>
      </c>
      <c r="G658" s="212" t="n">
        <v>110</v>
      </c>
      <c r="H658" s="212" t="s">
        <v>120</v>
      </c>
      <c r="I658" s="250" t="n">
        <v>74.3</v>
      </c>
    </row>
    <row r="659" customFormat="false" ht="13.8" hidden="false" customHeight="false" outlineLevel="0" collapsed="false">
      <c r="A659" s="218"/>
      <c r="B659" s="251"/>
      <c r="C659" s="251"/>
      <c r="D659" s="251"/>
      <c r="E659" s="251"/>
      <c r="F659" s="212" t="s">
        <v>3859</v>
      </c>
      <c r="G659" s="212" t="n">
        <v>110</v>
      </c>
      <c r="H659" s="212" t="s">
        <v>120</v>
      </c>
      <c r="I659" s="250" t="n">
        <v>19.79</v>
      </c>
    </row>
    <row r="660" customFormat="false" ht="13.8" hidden="false" customHeight="false" outlineLevel="0" collapsed="false">
      <c r="A660" s="218"/>
      <c r="B660" s="251"/>
      <c r="C660" s="251"/>
      <c r="D660" s="251"/>
      <c r="E660" s="251"/>
      <c r="F660" s="212" t="s">
        <v>3863</v>
      </c>
      <c r="G660" s="212" t="n">
        <v>110</v>
      </c>
      <c r="H660" s="212" t="s">
        <v>120</v>
      </c>
      <c r="I660" s="250" t="n">
        <v>49.28</v>
      </c>
    </row>
    <row r="661" customFormat="false" ht="13.8" hidden="false" customHeight="false" outlineLevel="0" collapsed="false">
      <c r="A661" s="218"/>
      <c r="B661" s="251"/>
      <c r="C661" s="251"/>
      <c r="D661" s="251"/>
      <c r="E661" s="251"/>
      <c r="F661" s="212" t="s">
        <v>3869</v>
      </c>
      <c r="G661" s="212" t="n">
        <v>63</v>
      </c>
      <c r="H661" s="212" t="s">
        <v>120</v>
      </c>
      <c r="I661" s="250" t="n">
        <v>32.62</v>
      </c>
    </row>
    <row r="662" customFormat="false" ht="13.8" hidden="false" customHeight="false" outlineLevel="0" collapsed="false">
      <c r="A662" s="218"/>
      <c r="B662" s="251"/>
      <c r="C662" s="251"/>
      <c r="D662" s="251"/>
      <c r="E662" s="251"/>
      <c r="F662" s="212" t="s">
        <v>3873</v>
      </c>
      <c r="G662" s="212" t="n">
        <v>63</v>
      </c>
      <c r="H662" s="212" t="s">
        <v>120</v>
      </c>
      <c r="I662" s="250" t="n">
        <v>65.21</v>
      </c>
    </row>
    <row r="663" customFormat="false" ht="13.8" hidden="false" customHeight="false" outlineLevel="0" collapsed="false">
      <c r="A663" s="218"/>
      <c r="B663" s="251"/>
      <c r="C663" s="251"/>
      <c r="D663" s="251"/>
      <c r="E663" s="251"/>
      <c r="F663" s="212" t="s">
        <v>3877</v>
      </c>
      <c r="G663" s="212" t="n">
        <v>110</v>
      </c>
      <c r="H663" s="212" t="s">
        <v>120</v>
      </c>
      <c r="I663" s="250" t="n">
        <v>4.36</v>
      </c>
    </row>
    <row r="664" customFormat="false" ht="13.8" hidden="false" customHeight="false" outlineLevel="0" collapsed="false">
      <c r="A664" s="218"/>
      <c r="B664" s="251"/>
      <c r="C664" s="251"/>
      <c r="D664" s="251"/>
      <c r="E664" s="251"/>
      <c r="F664" s="212" t="s">
        <v>3888</v>
      </c>
      <c r="G664" s="212" t="n">
        <v>63</v>
      </c>
      <c r="H664" s="212" t="s">
        <v>120</v>
      </c>
      <c r="I664" s="250" t="n">
        <v>14.71</v>
      </c>
    </row>
    <row r="665" customFormat="false" ht="13.8" hidden="false" customHeight="false" outlineLevel="0" collapsed="false">
      <c r="A665" s="218"/>
      <c r="B665" s="251"/>
      <c r="C665" s="251"/>
      <c r="D665" s="251"/>
      <c r="E665" s="251"/>
      <c r="F665" s="212" t="s">
        <v>3896</v>
      </c>
      <c r="G665" s="212" t="n">
        <v>110</v>
      </c>
      <c r="H665" s="212" t="s">
        <v>120</v>
      </c>
      <c r="I665" s="250" t="n">
        <v>135.94</v>
      </c>
    </row>
    <row r="666" customFormat="false" ht="13.8" hidden="false" customHeight="false" outlineLevel="0" collapsed="false">
      <c r="A666" s="218"/>
      <c r="B666" s="251"/>
      <c r="C666" s="251"/>
      <c r="D666" s="251"/>
      <c r="E666" s="251"/>
      <c r="F666" s="212" t="s">
        <v>3900</v>
      </c>
      <c r="G666" s="212" t="n">
        <v>63</v>
      </c>
      <c r="H666" s="212" t="s">
        <v>120</v>
      </c>
      <c r="I666" s="250" t="n">
        <v>122.44</v>
      </c>
    </row>
    <row r="667" customFormat="false" ht="13.8" hidden="false" customHeight="false" outlineLevel="0" collapsed="false">
      <c r="A667" s="218"/>
      <c r="B667" s="251"/>
      <c r="C667" s="251"/>
      <c r="D667" s="251"/>
      <c r="E667" s="251"/>
      <c r="F667" s="212" t="s">
        <v>3909</v>
      </c>
      <c r="G667" s="212" t="n">
        <v>63</v>
      </c>
      <c r="H667" s="212" t="s">
        <v>120</v>
      </c>
      <c r="I667" s="250" t="n">
        <v>56.97</v>
      </c>
    </row>
    <row r="668" customFormat="false" ht="13.8" hidden="false" customHeight="false" outlineLevel="0" collapsed="false">
      <c r="A668" s="218"/>
      <c r="B668" s="251"/>
      <c r="C668" s="251"/>
      <c r="D668" s="251"/>
      <c r="E668" s="251"/>
      <c r="F668" s="212" t="s">
        <v>3913</v>
      </c>
      <c r="G668" s="212" t="n">
        <v>63</v>
      </c>
      <c r="H668" s="212" t="s">
        <v>120</v>
      </c>
      <c r="I668" s="250" t="n">
        <v>110.17</v>
      </c>
    </row>
    <row r="669" customFormat="false" ht="13.8" hidden="false" customHeight="false" outlineLevel="0" collapsed="false">
      <c r="A669" s="218"/>
      <c r="B669" s="251"/>
      <c r="C669" s="251"/>
      <c r="D669" s="251"/>
      <c r="E669" s="251"/>
      <c r="F669" s="212" t="s">
        <v>3917</v>
      </c>
      <c r="G669" s="212" t="n">
        <v>63</v>
      </c>
      <c r="H669" s="212" t="s">
        <v>120</v>
      </c>
      <c r="I669" s="250" t="n">
        <v>17.67</v>
      </c>
    </row>
    <row r="670" customFormat="false" ht="13.8" hidden="false" customHeight="false" outlineLevel="0" collapsed="false">
      <c r="A670" s="218"/>
      <c r="B670" s="251"/>
      <c r="C670" s="251"/>
      <c r="D670" s="251"/>
      <c r="E670" s="251"/>
      <c r="F670" s="212" t="s">
        <v>3921</v>
      </c>
      <c r="G670" s="212" t="n">
        <v>63</v>
      </c>
      <c r="H670" s="212" t="s">
        <v>120</v>
      </c>
      <c r="I670" s="250" t="n">
        <v>146.18</v>
      </c>
    </row>
    <row r="671" customFormat="false" ht="13.8" hidden="false" customHeight="false" outlineLevel="0" collapsed="false">
      <c r="A671" s="218"/>
      <c r="B671" s="251"/>
      <c r="C671" s="251"/>
      <c r="D671" s="251"/>
      <c r="E671" s="251"/>
      <c r="F671" s="212" t="s">
        <v>3925</v>
      </c>
      <c r="G671" s="212" t="n">
        <v>63</v>
      </c>
      <c r="H671" s="212" t="s">
        <v>120</v>
      </c>
      <c r="I671" s="250" t="n">
        <v>49.71</v>
      </c>
    </row>
    <row r="672" customFormat="false" ht="13.8" hidden="false" customHeight="false" outlineLevel="0" collapsed="false">
      <c r="A672" s="218"/>
      <c r="B672" s="251"/>
      <c r="C672" s="251"/>
      <c r="D672" s="251"/>
      <c r="E672" s="251"/>
      <c r="F672" s="212" t="s">
        <v>3961</v>
      </c>
      <c r="G672" s="212" t="n">
        <v>110</v>
      </c>
      <c r="H672" s="212" t="s">
        <v>120</v>
      </c>
      <c r="I672" s="250" t="n">
        <v>87.33</v>
      </c>
    </row>
    <row r="673" customFormat="false" ht="13.8" hidden="false" customHeight="false" outlineLevel="0" collapsed="false">
      <c r="A673" s="218"/>
      <c r="B673" s="251"/>
      <c r="C673" s="251"/>
      <c r="D673" s="252"/>
      <c r="E673" s="252"/>
      <c r="F673" s="212" t="s">
        <v>3979</v>
      </c>
      <c r="G673" s="212" t="n">
        <v>110</v>
      </c>
      <c r="H673" s="212" t="s">
        <v>120</v>
      </c>
      <c r="I673" s="250" t="n">
        <v>350.83</v>
      </c>
    </row>
    <row r="674" customFormat="false" ht="13.8" hidden="false" customHeight="false" outlineLevel="0" collapsed="false">
      <c r="A674" s="218"/>
      <c r="B674" s="251"/>
      <c r="C674" s="251"/>
      <c r="D674" s="212" t="s">
        <v>3840</v>
      </c>
      <c r="E674" s="212" t="s">
        <v>117</v>
      </c>
      <c r="F674" s="212" t="s">
        <v>3839</v>
      </c>
      <c r="G674" s="212" t="n">
        <v>110</v>
      </c>
      <c r="H674" s="212" t="s">
        <v>120</v>
      </c>
      <c r="I674" s="250" t="n">
        <v>44.98</v>
      </c>
    </row>
    <row r="675" customFormat="false" ht="13.8" hidden="false" customHeight="false" outlineLevel="0" collapsed="false">
      <c r="A675" s="218"/>
      <c r="B675" s="251"/>
      <c r="C675" s="251"/>
      <c r="D675" s="249" t="s">
        <v>4030</v>
      </c>
      <c r="E675" s="249" t="s">
        <v>117</v>
      </c>
      <c r="F675" s="212" t="s">
        <v>4029</v>
      </c>
      <c r="G675" s="212" t="n">
        <v>225</v>
      </c>
      <c r="H675" s="212" t="s">
        <v>120</v>
      </c>
      <c r="I675" s="250" t="n">
        <v>198.93</v>
      </c>
    </row>
    <row r="676" customFormat="false" ht="13.8" hidden="false" customHeight="false" outlineLevel="0" collapsed="false">
      <c r="A676" s="218"/>
      <c r="B676" s="251"/>
      <c r="C676" s="251"/>
      <c r="D676" s="251"/>
      <c r="E676" s="251"/>
      <c r="F676" s="212" t="s">
        <v>4048</v>
      </c>
      <c r="G676" s="212" t="n">
        <v>160</v>
      </c>
      <c r="H676" s="212" t="s">
        <v>120</v>
      </c>
      <c r="I676" s="250" t="n">
        <v>207.89</v>
      </c>
    </row>
    <row r="677" customFormat="false" ht="13.8" hidden="false" customHeight="false" outlineLevel="0" collapsed="false">
      <c r="A677" s="218"/>
      <c r="B677" s="251"/>
      <c r="C677" s="251"/>
      <c r="D677" s="251"/>
      <c r="E677" s="251"/>
      <c r="F677" s="212" t="s">
        <v>4065</v>
      </c>
      <c r="G677" s="212" t="n">
        <v>225</v>
      </c>
      <c r="H677" s="212" t="s">
        <v>120</v>
      </c>
      <c r="I677" s="250" t="n">
        <v>5.34</v>
      </c>
    </row>
    <row r="678" customFormat="false" ht="13.8" hidden="false" customHeight="false" outlineLevel="0" collapsed="false">
      <c r="A678" s="218"/>
      <c r="B678" s="251"/>
      <c r="C678" s="251"/>
      <c r="D678" s="252"/>
      <c r="E678" s="252"/>
      <c r="F678" s="212" t="s">
        <v>4076</v>
      </c>
      <c r="G678" s="212" t="n">
        <v>225</v>
      </c>
      <c r="H678" s="212" t="s">
        <v>120</v>
      </c>
      <c r="I678" s="250" t="n">
        <v>46.36</v>
      </c>
    </row>
    <row r="679" customFormat="false" ht="13.8" hidden="false" customHeight="false" outlineLevel="0" collapsed="false">
      <c r="A679" s="218"/>
      <c r="B679" s="251"/>
      <c r="C679" s="251"/>
      <c r="D679" s="249" t="s">
        <v>2387</v>
      </c>
      <c r="E679" s="249" t="s">
        <v>117</v>
      </c>
      <c r="F679" s="212" t="s">
        <v>4001</v>
      </c>
      <c r="G679" s="212" t="n">
        <v>160</v>
      </c>
      <c r="H679" s="212" t="s">
        <v>120</v>
      </c>
      <c r="I679" s="250" t="n">
        <v>126.2</v>
      </c>
    </row>
    <row r="680" customFormat="false" ht="13.8" hidden="false" customHeight="false" outlineLevel="0" collapsed="false">
      <c r="A680" s="218"/>
      <c r="B680" s="251"/>
      <c r="C680" s="251"/>
      <c r="D680" s="251"/>
      <c r="E680" s="251"/>
      <c r="F680" s="212" t="s">
        <v>4021</v>
      </c>
      <c r="G680" s="212" t="n">
        <v>160</v>
      </c>
      <c r="H680" s="212" t="s">
        <v>120</v>
      </c>
      <c r="I680" s="250" t="n">
        <v>42.9</v>
      </c>
    </row>
    <row r="681" customFormat="false" ht="13.8" hidden="false" customHeight="false" outlineLevel="0" collapsed="false">
      <c r="A681" s="218"/>
      <c r="B681" s="251"/>
      <c r="C681" s="251"/>
      <c r="D681" s="251"/>
      <c r="E681" s="251"/>
      <c r="F681" s="212" t="s">
        <v>4025</v>
      </c>
      <c r="G681" s="212" t="n">
        <v>160</v>
      </c>
      <c r="H681" s="212" t="s">
        <v>120</v>
      </c>
      <c r="I681" s="250" t="n">
        <v>48.32</v>
      </c>
    </row>
    <row r="682" customFormat="false" ht="13.8" hidden="false" customHeight="false" outlineLevel="0" collapsed="false">
      <c r="A682" s="218"/>
      <c r="B682" s="251"/>
      <c r="C682" s="251"/>
      <c r="D682" s="251"/>
      <c r="E682" s="251"/>
      <c r="F682" s="212" t="s">
        <v>4038</v>
      </c>
      <c r="G682" s="212" t="n">
        <v>63</v>
      </c>
      <c r="H682" s="212" t="s">
        <v>120</v>
      </c>
      <c r="I682" s="250" t="n">
        <v>47.56</v>
      </c>
    </row>
    <row r="683" customFormat="false" ht="13.8" hidden="false" customHeight="false" outlineLevel="0" collapsed="false">
      <c r="A683" s="218"/>
      <c r="B683" s="251"/>
      <c r="C683" s="251"/>
      <c r="D683" s="251"/>
      <c r="E683" s="251"/>
      <c r="F683" s="212" t="s">
        <v>4043</v>
      </c>
      <c r="G683" s="212" t="n">
        <v>63</v>
      </c>
      <c r="H683" s="212" t="s">
        <v>120</v>
      </c>
      <c r="I683" s="250" t="n">
        <v>2.92</v>
      </c>
    </row>
    <row r="684" customFormat="false" ht="13.8" hidden="false" customHeight="false" outlineLevel="0" collapsed="false">
      <c r="A684" s="218"/>
      <c r="B684" s="251"/>
      <c r="C684" s="251"/>
      <c r="D684" s="251"/>
      <c r="E684" s="251"/>
      <c r="F684" s="212" t="s">
        <v>4046</v>
      </c>
      <c r="G684" s="212" t="n">
        <v>160</v>
      </c>
      <c r="H684" s="212" t="s">
        <v>120</v>
      </c>
      <c r="I684" s="250" t="n">
        <v>21.09</v>
      </c>
    </row>
    <row r="685" customFormat="false" ht="13.8" hidden="false" customHeight="false" outlineLevel="0" collapsed="false">
      <c r="A685" s="218"/>
      <c r="B685" s="251"/>
      <c r="C685" s="251"/>
      <c r="D685" s="251"/>
      <c r="E685" s="251"/>
      <c r="F685" s="212" t="s">
        <v>4051</v>
      </c>
      <c r="G685" s="212" t="n">
        <v>63</v>
      </c>
      <c r="H685" s="212" t="s">
        <v>120</v>
      </c>
      <c r="I685" s="250" t="n">
        <v>150.81</v>
      </c>
    </row>
    <row r="686" customFormat="false" ht="13.8" hidden="false" customHeight="false" outlineLevel="0" collapsed="false">
      <c r="A686" s="218"/>
      <c r="B686" s="251"/>
      <c r="C686" s="251"/>
      <c r="D686" s="251"/>
      <c r="E686" s="251"/>
      <c r="F686" s="212" t="s">
        <v>4055</v>
      </c>
      <c r="G686" s="212" t="n">
        <v>63</v>
      </c>
      <c r="H686" s="212" t="s">
        <v>120</v>
      </c>
      <c r="I686" s="250" t="n">
        <v>70.42</v>
      </c>
    </row>
    <row r="687" customFormat="false" ht="13.8" hidden="false" customHeight="false" outlineLevel="0" collapsed="false">
      <c r="A687" s="218"/>
      <c r="B687" s="251"/>
      <c r="C687" s="251"/>
      <c r="D687" s="251"/>
      <c r="E687" s="251"/>
      <c r="F687" s="212" t="s">
        <v>4057</v>
      </c>
      <c r="G687" s="212" t="n">
        <v>160</v>
      </c>
      <c r="H687" s="212" t="s">
        <v>120</v>
      </c>
      <c r="I687" s="250" t="n">
        <v>79.44</v>
      </c>
    </row>
    <row r="688" customFormat="false" ht="13.8" hidden="false" customHeight="false" outlineLevel="0" collapsed="false">
      <c r="A688" s="218"/>
      <c r="B688" s="251"/>
      <c r="C688" s="251"/>
      <c r="D688" s="251"/>
      <c r="E688" s="251"/>
      <c r="F688" s="212" t="s">
        <v>4069</v>
      </c>
      <c r="G688" s="212" t="n">
        <v>63</v>
      </c>
      <c r="H688" s="212" t="s">
        <v>120</v>
      </c>
      <c r="I688" s="250" t="n">
        <v>36.92</v>
      </c>
    </row>
    <row r="689" customFormat="false" ht="13.8" hidden="false" customHeight="false" outlineLevel="0" collapsed="false">
      <c r="A689" s="218"/>
      <c r="B689" s="251"/>
      <c r="C689" s="251"/>
      <c r="D689" s="251"/>
      <c r="E689" s="251"/>
      <c r="F689" s="212" t="s">
        <v>4073</v>
      </c>
      <c r="G689" s="212" t="n">
        <v>160</v>
      </c>
      <c r="H689" s="212" t="s">
        <v>120</v>
      </c>
      <c r="I689" s="250" t="n">
        <v>8.22</v>
      </c>
    </row>
    <row r="690" customFormat="false" ht="13.8" hidden="false" customHeight="false" outlineLevel="0" collapsed="false">
      <c r="A690" s="218"/>
      <c r="B690" s="251"/>
      <c r="C690" s="251"/>
      <c r="D690" s="251"/>
      <c r="E690" s="251"/>
      <c r="F690" s="212" t="s">
        <v>4079</v>
      </c>
      <c r="G690" s="212" t="n">
        <v>160</v>
      </c>
      <c r="H690" s="212" t="s">
        <v>120</v>
      </c>
      <c r="I690" s="250" t="n">
        <v>3.9</v>
      </c>
    </row>
    <row r="691" customFormat="false" ht="13.8" hidden="false" customHeight="false" outlineLevel="0" collapsed="false">
      <c r="A691" s="218"/>
      <c r="B691" s="251"/>
      <c r="C691" s="251"/>
      <c r="D691" s="251"/>
      <c r="E691" s="251"/>
      <c r="F691" s="212" t="s">
        <v>4082</v>
      </c>
      <c r="G691" s="212" t="n">
        <v>160</v>
      </c>
      <c r="H691" s="212" t="s">
        <v>120</v>
      </c>
      <c r="I691" s="250" t="n">
        <v>10.86</v>
      </c>
    </row>
    <row r="692" customFormat="false" ht="13.8" hidden="false" customHeight="false" outlineLevel="0" collapsed="false">
      <c r="A692" s="218"/>
      <c r="B692" s="251"/>
      <c r="C692" s="251"/>
      <c r="D692" s="251"/>
      <c r="E692" s="251"/>
      <c r="F692" s="212" t="s">
        <v>4084</v>
      </c>
      <c r="G692" s="212" t="n">
        <v>160</v>
      </c>
      <c r="H692" s="212" t="s">
        <v>120</v>
      </c>
      <c r="I692" s="250" t="n">
        <v>8.3</v>
      </c>
    </row>
    <row r="693" customFormat="false" ht="13.8" hidden="false" customHeight="false" outlineLevel="0" collapsed="false">
      <c r="A693" s="218"/>
      <c r="B693" s="251"/>
      <c r="C693" s="251"/>
      <c r="D693" s="252"/>
      <c r="E693" s="252"/>
      <c r="F693" s="212" t="s">
        <v>4087</v>
      </c>
      <c r="G693" s="212" t="n">
        <v>160</v>
      </c>
      <c r="H693" s="212" t="s">
        <v>120</v>
      </c>
      <c r="I693" s="250" t="n">
        <v>8.07</v>
      </c>
    </row>
    <row r="694" customFormat="false" ht="13.8" hidden="false" customHeight="false" outlineLevel="0" collapsed="false">
      <c r="A694" s="218"/>
      <c r="B694" s="251"/>
      <c r="C694" s="251"/>
      <c r="D694" s="249" t="s">
        <v>3743</v>
      </c>
      <c r="E694" s="249" t="s">
        <v>117</v>
      </c>
      <c r="F694" s="212" t="s">
        <v>3847</v>
      </c>
      <c r="G694" s="212" t="n">
        <v>63</v>
      </c>
      <c r="H694" s="212" t="s">
        <v>120</v>
      </c>
      <c r="I694" s="250" t="n">
        <v>37.52</v>
      </c>
    </row>
    <row r="695" customFormat="false" ht="13.8" hidden="false" customHeight="false" outlineLevel="0" collapsed="false">
      <c r="A695" s="218"/>
      <c r="B695" s="251"/>
      <c r="C695" s="251"/>
      <c r="D695" s="252"/>
      <c r="E695" s="252"/>
      <c r="F695" s="212" t="s">
        <v>3880</v>
      </c>
      <c r="G695" s="212" t="n">
        <v>63</v>
      </c>
      <c r="H695" s="212" t="s">
        <v>120</v>
      </c>
      <c r="I695" s="250" t="n">
        <v>56.71</v>
      </c>
    </row>
    <row r="696" customFormat="false" ht="13.8" hidden="false" customHeight="false" outlineLevel="0" collapsed="false">
      <c r="A696" s="218"/>
      <c r="B696" s="251"/>
      <c r="C696" s="251"/>
      <c r="D696" s="212" t="s">
        <v>4146</v>
      </c>
      <c r="E696" s="212" t="s">
        <v>117</v>
      </c>
      <c r="F696" s="212" t="s">
        <v>4145</v>
      </c>
      <c r="G696" s="212" t="n">
        <v>110</v>
      </c>
      <c r="H696" s="212" t="s">
        <v>120</v>
      </c>
      <c r="I696" s="250" t="n">
        <v>103.31</v>
      </c>
    </row>
    <row r="697" customFormat="false" ht="13.8" hidden="false" customHeight="false" outlineLevel="0" collapsed="false">
      <c r="A697" s="218"/>
      <c r="B697" s="251"/>
      <c r="C697" s="251"/>
      <c r="D697" s="249" t="s">
        <v>3855</v>
      </c>
      <c r="E697" s="249" t="s">
        <v>117</v>
      </c>
      <c r="F697" s="212" t="s">
        <v>3854</v>
      </c>
      <c r="G697" s="212" t="n">
        <v>63</v>
      </c>
      <c r="H697" s="212" t="s">
        <v>120</v>
      </c>
      <c r="I697" s="250" t="n">
        <v>161.82</v>
      </c>
    </row>
    <row r="698" customFormat="false" ht="13.8" hidden="false" customHeight="false" outlineLevel="0" collapsed="false">
      <c r="A698" s="218"/>
      <c r="B698" s="251"/>
      <c r="C698" s="251"/>
      <c r="D698" s="251"/>
      <c r="E698" s="251"/>
      <c r="F698" s="212" t="s">
        <v>3867</v>
      </c>
      <c r="G698" s="212" t="n">
        <v>63</v>
      </c>
      <c r="H698" s="212" t="s">
        <v>120</v>
      </c>
      <c r="I698" s="250" t="n">
        <v>63.57</v>
      </c>
    </row>
    <row r="699" customFormat="false" ht="13.8" hidden="false" customHeight="false" outlineLevel="0" collapsed="false">
      <c r="A699" s="218"/>
      <c r="B699" s="251"/>
      <c r="C699" s="251"/>
      <c r="D699" s="251"/>
      <c r="E699" s="251"/>
      <c r="F699" s="212" t="s">
        <v>3884</v>
      </c>
      <c r="G699" s="212" t="n">
        <v>63</v>
      </c>
      <c r="H699" s="212" t="s">
        <v>120</v>
      </c>
      <c r="I699" s="250" t="n">
        <v>38.8</v>
      </c>
    </row>
    <row r="700" customFormat="false" ht="13.8" hidden="false" customHeight="false" outlineLevel="0" collapsed="false">
      <c r="A700" s="218"/>
      <c r="B700" s="251"/>
      <c r="C700" s="251"/>
      <c r="D700" s="252"/>
      <c r="E700" s="252"/>
      <c r="F700" s="212" t="s">
        <v>3892</v>
      </c>
      <c r="G700" s="212" t="n">
        <v>63</v>
      </c>
      <c r="H700" s="212" t="s">
        <v>120</v>
      </c>
      <c r="I700" s="250" t="n">
        <v>18.85</v>
      </c>
    </row>
    <row r="701" customFormat="false" ht="13.8" hidden="false" customHeight="false" outlineLevel="0" collapsed="false">
      <c r="A701" s="218"/>
      <c r="B701" s="251"/>
      <c r="C701" s="251"/>
      <c r="D701" s="249" t="s">
        <v>3788</v>
      </c>
      <c r="E701" s="249" t="s">
        <v>117</v>
      </c>
      <c r="F701" s="212" t="s">
        <v>3787</v>
      </c>
      <c r="G701" s="212" t="n">
        <v>63</v>
      </c>
      <c r="H701" s="212" t="s">
        <v>120</v>
      </c>
      <c r="I701" s="250" t="n">
        <v>8.53</v>
      </c>
    </row>
    <row r="702" customFormat="false" ht="13.8" hidden="false" customHeight="false" outlineLevel="0" collapsed="false">
      <c r="A702" s="218"/>
      <c r="B702" s="251"/>
      <c r="C702" s="251"/>
      <c r="D702" s="251"/>
      <c r="E702" s="251"/>
      <c r="F702" s="212" t="s">
        <v>3810</v>
      </c>
      <c r="G702" s="212" t="n">
        <v>63</v>
      </c>
      <c r="H702" s="212" t="s">
        <v>120</v>
      </c>
      <c r="I702" s="250" t="n">
        <v>71.28</v>
      </c>
    </row>
    <row r="703" customFormat="false" ht="13.8" hidden="false" customHeight="false" outlineLevel="0" collapsed="false">
      <c r="A703" s="218"/>
      <c r="B703" s="251"/>
      <c r="C703" s="251"/>
      <c r="D703" s="251"/>
      <c r="E703" s="251"/>
      <c r="F703" s="212" t="s">
        <v>3812</v>
      </c>
      <c r="G703" s="212" t="n">
        <v>63</v>
      </c>
      <c r="H703" s="212" t="s">
        <v>120</v>
      </c>
      <c r="I703" s="250" t="n">
        <v>84.21</v>
      </c>
    </row>
    <row r="704" customFormat="false" ht="13.8" hidden="false" customHeight="false" outlineLevel="0" collapsed="false">
      <c r="A704" s="218"/>
      <c r="B704" s="251"/>
      <c r="C704" s="251"/>
      <c r="D704" s="251"/>
      <c r="E704" s="251"/>
      <c r="F704" s="212" t="s">
        <v>3816</v>
      </c>
      <c r="G704" s="212" t="n">
        <v>63</v>
      </c>
      <c r="H704" s="212" t="s">
        <v>120</v>
      </c>
      <c r="I704" s="250" t="n">
        <v>73.64</v>
      </c>
    </row>
    <row r="705" customFormat="false" ht="13.8" hidden="false" customHeight="false" outlineLevel="0" collapsed="false">
      <c r="A705" s="218"/>
      <c r="B705" s="251"/>
      <c r="C705" s="251"/>
      <c r="D705" s="251"/>
      <c r="E705" s="251"/>
      <c r="F705" s="212" t="s">
        <v>3819</v>
      </c>
      <c r="G705" s="212" t="n">
        <v>63</v>
      </c>
      <c r="H705" s="212" t="s">
        <v>120</v>
      </c>
      <c r="I705" s="250" t="n">
        <v>78.45</v>
      </c>
    </row>
    <row r="706" customFormat="false" ht="13.8" hidden="false" customHeight="false" outlineLevel="0" collapsed="false">
      <c r="A706" s="218"/>
      <c r="B706" s="251"/>
      <c r="C706" s="251"/>
      <c r="D706" s="251"/>
      <c r="E706" s="251"/>
      <c r="F706" s="212" t="s">
        <v>3822</v>
      </c>
      <c r="G706" s="212" t="n">
        <v>63</v>
      </c>
      <c r="H706" s="212" t="s">
        <v>120</v>
      </c>
      <c r="I706" s="250" t="n">
        <v>68.19</v>
      </c>
    </row>
    <row r="707" customFormat="false" ht="13.8" hidden="false" customHeight="false" outlineLevel="0" collapsed="false">
      <c r="A707" s="218"/>
      <c r="B707" s="251"/>
      <c r="C707" s="251"/>
      <c r="D707" s="252"/>
      <c r="E707" s="252"/>
      <c r="F707" s="212" t="s">
        <v>3826</v>
      </c>
      <c r="G707" s="212" t="n">
        <v>63</v>
      </c>
      <c r="H707" s="212" t="s">
        <v>120</v>
      </c>
      <c r="I707" s="250" t="n">
        <v>78.89</v>
      </c>
    </row>
    <row r="708" customFormat="false" ht="13.8" hidden="false" customHeight="false" outlineLevel="0" collapsed="false">
      <c r="A708" s="218"/>
      <c r="B708" s="251"/>
      <c r="C708" s="251"/>
      <c r="D708" s="249" t="s">
        <v>4015</v>
      </c>
      <c r="E708" s="249" t="s">
        <v>117</v>
      </c>
      <c r="F708" s="212" t="s">
        <v>4014</v>
      </c>
      <c r="G708" s="212" t="n">
        <v>160</v>
      </c>
      <c r="H708" s="212" t="s">
        <v>120</v>
      </c>
      <c r="I708" s="250" t="n">
        <v>11.25</v>
      </c>
    </row>
    <row r="709" customFormat="false" ht="13.8" hidden="false" customHeight="false" outlineLevel="0" collapsed="false">
      <c r="A709" s="218"/>
      <c r="B709" s="251"/>
      <c r="C709" s="251"/>
      <c r="D709" s="251"/>
      <c r="E709" s="251"/>
      <c r="F709" s="212" t="s">
        <v>4019</v>
      </c>
      <c r="G709" s="212" t="n">
        <v>160</v>
      </c>
      <c r="H709" s="212" t="s">
        <v>120</v>
      </c>
      <c r="I709" s="250" t="n">
        <v>6.56</v>
      </c>
    </row>
    <row r="710" customFormat="false" ht="13.8" hidden="false" customHeight="false" outlineLevel="0" collapsed="false">
      <c r="A710" s="218"/>
      <c r="B710" s="251"/>
      <c r="C710" s="251"/>
      <c r="D710" s="251"/>
      <c r="E710" s="251"/>
      <c r="F710" s="212" t="s">
        <v>4034</v>
      </c>
      <c r="G710" s="212" t="n">
        <v>63</v>
      </c>
      <c r="H710" s="212" t="s">
        <v>120</v>
      </c>
      <c r="I710" s="250" t="n">
        <v>139.85</v>
      </c>
    </row>
    <row r="711" customFormat="false" ht="13.8" hidden="false" customHeight="false" outlineLevel="0" collapsed="false">
      <c r="A711" s="218"/>
      <c r="B711" s="251"/>
      <c r="C711" s="251"/>
      <c r="D711" s="251"/>
      <c r="E711" s="251"/>
      <c r="F711" s="212" t="s">
        <v>4167</v>
      </c>
      <c r="G711" s="212" t="n">
        <v>63</v>
      </c>
      <c r="H711" s="212" t="s">
        <v>120</v>
      </c>
      <c r="I711" s="250" t="n">
        <v>111.6</v>
      </c>
    </row>
    <row r="712" customFormat="false" ht="13.8" hidden="false" customHeight="false" outlineLevel="0" collapsed="false">
      <c r="A712" s="218"/>
      <c r="B712" s="251"/>
      <c r="C712" s="251"/>
      <c r="D712" s="251"/>
      <c r="E712" s="251"/>
      <c r="F712" s="212" t="s">
        <v>4192</v>
      </c>
      <c r="G712" s="212" t="n">
        <v>63</v>
      </c>
      <c r="H712" s="212" t="s">
        <v>120</v>
      </c>
      <c r="I712" s="250" t="n">
        <v>106.79</v>
      </c>
    </row>
    <row r="713" customFormat="false" ht="13.8" hidden="false" customHeight="false" outlineLevel="0" collapsed="false">
      <c r="A713" s="218"/>
      <c r="B713" s="251"/>
      <c r="C713" s="251"/>
      <c r="D713" s="251"/>
      <c r="E713" s="251"/>
      <c r="F713" s="212" t="s">
        <v>4207</v>
      </c>
      <c r="G713" s="212" t="n">
        <v>63</v>
      </c>
      <c r="H713" s="212" t="s">
        <v>120</v>
      </c>
      <c r="I713" s="250" t="n">
        <v>146.11</v>
      </c>
    </row>
    <row r="714" customFormat="false" ht="13.8" hidden="false" customHeight="false" outlineLevel="0" collapsed="false">
      <c r="A714" s="218"/>
      <c r="B714" s="251"/>
      <c r="C714" s="251"/>
      <c r="D714" s="252"/>
      <c r="E714" s="252"/>
      <c r="F714" s="212" t="s">
        <v>4215</v>
      </c>
      <c r="G714" s="212" t="n">
        <v>63</v>
      </c>
      <c r="H714" s="212" t="s">
        <v>120</v>
      </c>
      <c r="I714" s="250" t="n">
        <v>28.95</v>
      </c>
    </row>
    <row r="715" customFormat="false" ht="13.8" hidden="false" customHeight="false" outlineLevel="0" collapsed="false">
      <c r="A715" s="218"/>
      <c r="B715" s="251"/>
      <c r="C715" s="251"/>
      <c r="D715" s="249" t="s">
        <v>4062</v>
      </c>
      <c r="E715" s="249" t="s">
        <v>117</v>
      </c>
      <c r="F715" s="212" t="s">
        <v>4061</v>
      </c>
      <c r="G715" s="212" t="n">
        <v>63</v>
      </c>
      <c r="H715" s="212" t="s">
        <v>120</v>
      </c>
      <c r="I715" s="250" t="n">
        <v>45.03</v>
      </c>
    </row>
    <row r="716" customFormat="false" ht="13.8" hidden="false" customHeight="false" outlineLevel="0" collapsed="false">
      <c r="A716" s="218"/>
      <c r="B716" s="251"/>
      <c r="C716" s="251"/>
      <c r="D716" s="252"/>
      <c r="E716" s="252"/>
      <c r="F716" s="212" t="s">
        <v>4211</v>
      </c>
      <c r="G716" s="212" t="n">
        <v>63</v>
      </c>
      <c r="H716" s="212" t="s">
        <v>120</v>
      </c>
      <c r="I716" s="250" t="n">
        <v>143.87</v>
      </c>
    </row>
    <row r="717" customFormat="false" ht="13.8" hidden="false" customHeight="false" outlineLevel="0" collapsed="false">
      <c r="A717" s="218"/>
      <c r="B717" s="251"/>
      <c r="C717" s="251"/>
      <c r="D717" s="212" t="s">
        <v>4184</v>
      </c>
      <c r="E717" s="212" t="s">
        <v>117</v>
      </c>
      <c r="F717" s="212" t="s">
        <v>4183</v>
      </c>
      <c r="G717" s="212" t="n">
        <v>63</v>
      </c>
      <c r="H717" s="212" t="s">
        <v>120</v>
      </c>
      <c r="I717" s="250" t="n">
        <v>103.67</v>
      </c>
    </row>
    <row r="718" customFormat="false" ht="13.8" hidden="false" customHeight="false" outlineLevel="0" collapsed="false">
      <c r="A718" s="218"/>
      <c r="B718" s="251"/>
      <c r="C718" s="251"/>
      <c r="D718" s="249" t="s">
        <v>4009</v>
      </c>
      <c r="E718" s="249" t="s">
        <v>117</v>
      </c>
      <c r="F718" s="212" t="s">
        <v>4008</v>
      </c>
      <c r="G718" s="212" t="n">
        <v>160</v>
      </c>
      <c r="H718" s="212" t="s">
        <v>120</v>
      </c>
      <c r="I718" s="250" t="n">
        <v>134.49</v>
      </c>
    </row>
    <row r="719" customFormat="false" ht="13.8" hidden="false" customHeight="false" outlineLevel="0" collapsed="false">
      <c r="A719" s="218"/>
      <c r="B719" s="251"/>
      <c r="C719" s="251"/>
      <c r="D719" s="251"/>
      <c r="E719" s="251"/>
      <c r="F719" s="212" t="s">
        <v>4150</v>
      </c>
      <c r="G719" s="212" t="n">
        <v>110</v>
      </c>
      <c r="H719" s="212" t="s">
        <v>120</v>
      </c>
      <c r="I719" s="250" t="n">
        <v>3.63</v>
      </c>
    </row>
    <row r="720" customFormat="false" ht="13.8" hidden="false" customHeight="false" outlineLevel="0" collapsed="false">
      <c r="A720" s="218"/>
      <c r="B720" s="251"/>
      <c r="C720" s="251"/>
      <c r="D720" s="251"/>
      <c r="E720" s="251"/>
      <c r="F720" s="212" t="s">
        <v>4154</v>
      </c>
      <c r="G720" s="212" t="n">
        <v>110</v>
      </c>
      <c r="H720" s="212" t="s">
        <v>120</v>
      </c>
      <c r="I720" s="250" t="n">
        <v>3.63</v>
      </c>
    </row>
    <row r="721" customFormat="false" ht="13.8" hidden="false" customHeight="false" outlineLevel="0" collapsed="false">
      <c r="A721" s="218"/>
      <c r="B721" s="251"/>
      <c r="C721" s="251"/>
      <c r="D721" s="251"/>
      <c r="E721" s="251"/>
      <c r="F721" s="212" t="s">
        <v>4159</v>
      </c>
      <c r="G721" s="212" t="n">
        <v>110</v>
      </c>
      <c r="H721" s="212" t="s">
        <v>120</v>
      </c>
      <c r="I721" s="250" t="n">
        <v>32.22</v>
      </c>
    </row>
    <row r="722" customFormat="false" ht="13.8" hidden="false" customHeight="false" outlineLevel="0" collapsed="false">
      <c r="A722" s="218"/>
      <c r="B722" s="251"/>
      <c r="C722" s="251"/>
      <c r="D722" s="251"/>
      <c r="E722" s="251"/>
      <c r="F722" s="212" t="s">
        <v>4163</v>
      </c>
      <c r="G722" s="212" t="n">
        <v>110</v>
      </c>
      <c r="H722" s="212" t="s">
        <v>120</v>
      </c>
      <c r="I722" s="250" t="n">
        <v>53.29</v>
      </c>
    </row>
    <row r="723" customFormat="false" ht="13.8" hidden="false" customHeight="false" outlineLevel="0" collapsed="false">
      <c r="A723" s="218"/>
      <c r="B723" s="251"/>
      <c r="C723" s="251"/>
      <c r="D723" s="251"/>
      <c r="E723" s="251"/>
      <c r="F723" s="212" t="s">
        <v>4171</v>
      </c>
      <c r="G723" s="212" t="n">
        <v>110</v>
      </c>
      <c r="H723" s="212" t="s">
        <v>120</v>
      </c>
      <c r="I723" s="250" t="n">
        <v>43.61</v>
      </c>
    </row>
    <row r="724" customFormat="false" ht="13.8" hidden="false" customHeight="false" outlineLevel="0" collapsed="false">
      <c r="A724" s="218"/>
      <c r="B724" s="251"/>
      <c r="C724" s="251"/>
      <c r="D724" s="251"/>
      <c r="E724" s="251"/>
      <c r="F724" s="212" t="s">
        <v>4175</v>
      </c>
      <c r="G724" s="212" t="n">
        <v>63</v>
      </c>
      <c r="H724" s="212" t="s">
        <v>120</v>
      </c>
      <c r="I724" s="250" t="n">
        <v>103.99</v>
      </c>
    </row>
    <row r="725" customFormat="false" ht="13.8" hidden="false" customHeight="false" outlineLevel="0" collapsed="false">
      <c r="A725" s="218"/>
      <c r="B725" s="251"/>
      <c r="C725" s="251"/>
      <c r="D725" s="251"/>
      <c r="E725" s="251"/>
      <c r="F725" s="212" t="s">
        <v>4179</v>
      </c>
      <c r="G725" s="212" t="n">
        <v>110</v>
      </c>
      <c r="H725" s="212" t="s">
        <v>120</v>
      </c>
      <c r="I725" s="250" t="n">
        <v>44.48</v>
      </c>
    </row>
    <row r="726" customFormat="false" ht="13.8" hidden="false" customHeight="false" outlineLevel="0" collapsed="false">
      <c r="A726" s="218"/>
      <c r="B726" s="251"/>
      <c r="C726" s="251"/>
      <c r="D726" s="251"/>
      <c r="E726" s="251"/>
      <c r="F726" s="212" t="s">
        <v>4188</v>
      </c>
      <c r="G726" s="212" t="n">
        <v>63</v>
      </c>
      <c r="H726" s="212" t="s">
        <v>120</v>
      </c>
      <c r="I726" s="250" t="n">
        <v>41.29</v>
      </c>
    </row>
    <row r="727" customFormat="false" ht="13.8" hidden="false" customHeight="false" outlineLevel="0" collapsed="false">
      <c r="A727" s="218"/>
      <c r="B727" s="251"/>
      <c r="C727" s="251"/>
      <c r="D727" s="251"/>
      <c r="E727" s="251"/>
      <c r="F727" s="212" t="s">
        <v>4196</v>
      </c>
      <c r="G727" s="212" t="n">
        <v>63</v>
      </c>
      <c r="H727" s="212" t="s">
        <v>120</v>
      </c>
      <c r="I727" s="250" t="n">
        <v>44.69</v>
      </c>
    </row>
    <row r="728" customFormat="false" ht="13.8" hidden="false" customHeight="false" outlineLevel="0" collapsed="false">
      <c r="A728" s="218"/>
      <c r="B728" s="251"/>
      <c r="C728" s="251"/>
      <c r="D728" s="252"/>
      <c r="E728" s="252"/>
      <c r="F728" s="212" t="s">
        <v>4204</v>
      </c>
      <c r="G728" s="212" t="n">
        <v>63</v>
      </c>
      <c r="H728" s="212" t="s">
        <v>120</v>
      </c>
      <c r="I728" s="250" t="n">
        <v>67.76</v>
      </c>
    </row>
    <row r="729" customFormat="false" ht="13.8" hidden="false" customHeight="false" outlineLevel="0" collapsed="false">
      <c r="A729" s="218"/>
      <c r="B729" s="251"/>
      <c r="C729" s="251"/>
      <c r="D729" s="249" t="s">
        <v>4157</v>
      </c>
      <c r="E729" s="249" t="s">
        <v>117</v>
      </c>
      <c r="F729" s="212" t="s">
        <v>4156</v>
      </c>
      <c r="G729" s="212" t="n">
        <v>160</v>
      </c>
      <c r="H729" s="212" t="s">
        <v>120</v>
      </c>
      <c r="I729" s="250" t="n">
        <v>11.24</v>
      </c>
    </row>
    <row r="730" customFormat="false" ht="13.8" hidden="false" customHeight="false" outlineLevel="0" collapsed="false">
      <c r="A730" s="218"/>
      <c r="B730" s="251"/>
      <c r="C730" s="251"/>
      <c r="D730" s="252"/>
      <c r="E730" s="252"/>
      <c r="F730" s="212" t="s">
        <v>4200</v>
      </c>
      <c r="G730" s="212" t="n">
        <v>63</v>
      </c>
      <c r="H730" s="212" t="s">
        <v>120</v>
      </c>
      <c r="I730" s="250" t="n">
        <v>106.42</v>
      </c>
    </row>
    <row r="731" customFormat="false" ht="13.8" hidden="false" customHeight="false" outlineLevel="0" collapsed="false">
      <c r="A731" s="218"/>
      <c r="B731" s="251"/>
      <c r="C731" s="251"/>
      <c r="D731" s="249" t="s">
        <v>7055</v>
      </c>
      <c r="E731" s="249" t="s">
        <v>117</v>
      </c>
      <c r="F731" s="212" t="s">
        <v>3805</v>
      </c>
      <c r="G731" s="212" t="n">
        <v>63</v>
      </c>
      <c r="H731" s="212" t="s">
        <v>120</v>
      </c>
      <c r="I731" s="250" t="n">
        <v>48.86</v>
      </c>
    </row>
    <row r="732" customFormat="false" ht="13.8" hidden="false" customHeight="false" outlineLevel="0" collapsed="false">
      <c r="A732" s="218"/>
      <c r="B732" s="251"/>
      <c r="C732" s="251"/>
      <c r="D732" s="251"/>
      <c r="E732" s="251"/>
      <c r="F732" s="212" t="s">
        <v>3950</v>
      </c>
      <c r="G732" s="212" t="n">
        <v>63</v>
      </c>
      <c r="H732" s="212" t="s">
        <v>120</v>
      </c>
      <c r="I732" s="250" t="n">
        <v>8.1</v>
      </c>
    </row>
    <row r="733" customFormat="false" ht="13.8" hidden="false" customHeight="false" outlineLevel="0" collapsed="false">
      <c r="A733" s="218"/>
      <c r="B733" s="251"/>
      <c r="C733" s="251"/>
      <c r="D733" s="251"/>
      <c r="E733" s="251"/>
      <c r="F733" s="212" t="s">
        <v>3982</v>
      </c>
      <c r="G733" s="212" t="n">
        <v>63</v>
      </c>
      <c r="H733" s="212" t="s">
        <v>120</v>
      </c>
      <c r="I733" s="250" t="n">
        <v>133.92</v>
      </c>
    </row>
    <row r="734" customFormat="false" ht="13.8" hidden="false" customHeight="false" outlineLevel="0" collapsed="false">
      <c r="A734" s="218"/>
      <c r="B734" s="251"/>
      <c r="C734" s="251"/>
      <c r="D734" s="251"/>
      <c r="E734" s="251"/>
      <c r="F734" s="212" t="s">
        <v>3992</v>
      </c>
      <c r="G734" s="212" t="n">
        <v>63</v>
      </c>
      <c r="H734" s="212" t="s">
        <v>120</v>
      </c>
      <c r="I734" s="250" t="n">
        <v>131.99</v>
      </c>
    </row>
    <row r="735" customFormat="false" ht="13.8" hidden="false" customHeight="false" outlineLevel="0" collapsed="false">
      <c r="A735" s="218"/>
      <c r="B735" s="251"/>
      <c r="C735" s="251"/>
      <c r="D735" s="251"/>
      <c r="E735" s="251"/>
      <c r="F735" s="212" t="s">
        <v>4090</v>
      </c>
      <c r="G735" s="212" t="n">
        <v>63</v>
      </c>
      <c r="H735" s="212" t="s">
        <v>120</v>
      </c>
      <c r="I735" s="250" t="n">
        <v>182.62</v>
      </c>
    </row>
    <row r="736" customFormat="false" ht="13.8" hidden="false" customHeight="false" outlineLevel="0" collapsed="false">
      <c r="A736" s="218"/>
      <c r="B736" s="251"/>
      <c r="C736" s="251"/>
      <c r="D736" s="251"/>
      <c r="E736" s="251"/>
      <c r="F736" s="212" t="s">
        <v>4115</v>
      </c>
      <c r="G736" s="212" t="n">
        <v>110</v>
      </c>
      <c r="H736" s="212" t="s">
        <v>120</v>
      </c>
      <c r="I736" s="250" t="n">
        <v>52.59</v>
      </c>
    </row>
    <row r="737" customFormat="false" ht="13.8" hidden="false" customHeight="false" outlineLevel="0" collapsed="false">
      <c r="A737" s="218"/>
      <c r="B737" s="251"/>
      <c r="C737" s="251"/>
      <c r="D737" s="251"/>
      <c r="E737" s="251"/>
      <c r="F737" s="212" t="s">
        <v>4126</v>
      </c>
      <c r="G737" s="212" t="n">
        <v>110</v>
      </c>
      <c r="H737" s="212" t="s">
        <v>120</v>
      </c>
      <c r="I737" s="250" t="n">
        <v>48.85</v>
      </c>
    </row>
    <row r="738" customFormat="false" ht="13.8" hidden="false" customHeight="false" outlineLevel="0" collapsed="false">
      <c r="A738" s="218"/>
      <c r="B738" s="251"/>
      <c r="C738" s="252"/>
      <c r="D738" s="252"/>
      <c r="E738" s="252"/>
      <c r="F738" s="212" t="s">
        <v>4129</v>
      </c>
      <c r="G738" s="212" t="n">
        <v>110</v>
      </c>
      <c r="H738" s="212" t="s">
        <v>120</v>
      </c>
      <c r="I738" s="250" t="n">
        <v>49.76</v>
      </c>
    </row>
    <row r="739" customFormat="false" ht="13.8" hidden="false" customHeight="false" outlineLevel="0" collapsed="false">
      <c r="A739" s="218"/>
      <c r="B739" s="251"/>
      <c r="C739" s="261" t="s">
        <v>7056</v>
      </c>
      <c r="D739" s="224"/>
      <c r="E739" s="224"/>
      <c r="F739" s="224"/>
      <c r="G739" s="224"/>
      <c r="H739" s="225"/>
      <c r="I739" s="217" t="n">
        <v>7607.99</v>
      </c>
    </row>
    <row r="740" customFormat="false" ht="13.8" hidden="false" customHeight="false" outlineLevel="0" collapsed="false">
      <c r="A740" s="218"/>
      <c r="B740" s="251"/>
      <c r="C740" s="249" t="s">
        <v>3938</v>
      </c>
      <c r="D740" s="249" t="s">
        <v>7055</v>
      </c>
      <c r="E740" s="249" t="s">
        <v>117</v>
      </c>
      <c r="F740" s="212" t="s">
        <v>3937</v>
      </c>
      <c r="G740" s="212" t="n">
        <v>63</v>
      </c>
      <c r="H740" s="212" t="s">
        <v>120</v>
      </c>
      <c r="I740" s="250" t="n">
        <v>26.11</v>
      </c>
    </row>
    <row r="741" customFormat="false" ht="13.8" hidden="false" customHeight="false" outlineLevel="0" collapsed="false">
      <c r="A741" s="218"/>
      <c r="B741" s="251"/>
      <c r="C741" s="251"/>
      <c r="D741" s="251"/>
      <c r="E741" s="251"/>
      <c r="F741" s="212" t="s">
        <v>4122</v>
      </c>
      <c r="G741" s="212" t="n">
        <v>63</v>
      </c>
      <c r="H741" s="212" t="s">
        <v>120</v>
      </c>
      <c r="I741" s="250" t="n">
        <v>48.44</v>
      </c>
    </row>
    <row r="742" customFormat="false" ht="13.8" hidden="false" customHeight="false" outlineLevel="0" collapsed="false">
      <c r="A742" s="218"/>
      <c r="B742" s="251"/>
      <c r="C742" s="251"/>
      <c r="D742" s="251"/>
      <c r="E742" s="251"/>
      <c r="F742" s="212" t="s">
        <v>4138</v>
      </c>
      <c r="G742" s="212" t="n">
        <v>110</v>
      </c>
      <c r="H742" s="212" t="s">
        <v>120</v>
      </c>
      <c r="I742" s="250" t="n">
        <v>120.85</v>
      </c>
    </row>
    <row r="743" customFormat="false" ht="13.8" hidden="false" customHeight="false" outlineLevel="0" collapsed="false">
      <c r="A743" s="218"/>
      <c r="B743" s="251"/>
      <c r="C743" s="252"/>
      <c r="D743" s="252"/>
      <c r="E743" s="252"/>
      <c r="F743" s="212" t="s">
        <v>4141</v>
      </c>
      <c r="G743" s="212" t="n">
        <v>63</v>
      </c>
      <c r="H743" s="212" t="s">
        <v>120</v>
      </c>
      <c r="I743" s="250" t="n">
        <v>21.61</v>
      </c>
    </row>
    <row r="744" customFormat="false" ht="13.8" hidden="false" customHeight="false" outlineLevel="0" collapsed="false">
      <c r="A744" s="222"/>
      <c r="B744" s="252"/>
      <c r="C744" s="261" t="s">
        <v>7057</v>
      </c>
      <c r="D744" s="224"/>
      <c r="E744" s="224"/>
      <c r="F744" s="224"/>
      <c r="G744" s="224"/>
      <c r="H744" s="225"/>
      <c r="I744" s="217" t="n">
        <v>217.01</v>
      </c>
    </row>
    <row r="745" customFormat="false" ht="13.8" hidden="false" customHeight="false" outlineLevel="0" collapsed="false">
      <c r="A745" s="211" t="s">
        <v>4221</v>
      </c>
      <c r="B745" s="249" t="s">
        <v>6</v>
      </c>
      <c r="C745" s="249" t="s">
        <v>4343</v>
      </c>
      <c r="D745" s="249" t="s">
        <v>4344</v>
      </c>
      <c r="E745" s="249" t="s">
        <v>117</v>
      </c>
      <c r="F745" s="212" t="s">
        <v>4342</v>
      </c>
      <c r="G745" s="212" t="n">
        <v>90</v>
      </c>
      <c r="H745" s="212" t="s">
        <v>120</v>
      </c>
      <c r="I745" s="250" t="n">
        <v>31.52</v>
      </c>
    </row>
    <row r="746" customFormat="false" ht="13.8" hidden="false" customHeight="false" outlineLevel="0" collapsed="false">
      <c r="A746" s="218"/>
      <c r="B746" s="251"/>
      <c r="C746" s="252"/>
      <c r="D746" s="252"/>
      <c r="E746" s="252"/>
      <c r="F746" s="212" t="s">
        <v>4348</v>
      </c>
      <c r="G746" s="212" t="n">
        <v>63</v>
      </c>
      <c r="H746" s="212" t="s">
        <v>120</v>
      </c>
      <c r="I746" s="250" t="n">
        <v>98.91</v>
      </c>
    </row>
    <row r="747" customFormat="false" ht="13.8" hidden="false" customHeight="false" outlineLevel="0" collapsed="false">
      <c r="A747" s="218"/>
      <c r="B747" s="251"/>
      <c r="C747" s="261" t="s">
        <v>7061</v>
      </c>
      <c r="D747" s="224"/>
      <c r="E747" s="224"/>
      <c r="F747" s="224"/>
      <c r="G747" s="224"/>
      <c r="H747" s="225"/>
      <c r="I747" s="217" t="n">
        <v>130.43</v>
      </c>
    </row>
    <row r="748" customFormat="false" ht="13.8" hidden="false" customHeight="false" outlineLevel="0" collapsed="false">
      <c r="A748" s="218"/>
      <c r="B748" s="251"/>
      <c r="C748" s="249" t="s">
        <v>1594</v>
      </c>
      <c r="D748" s="249" t="s">
        <v>1952</v>
      </c>
      <c r="E748" s="249" t="s">
        <v>117</v>
      </c>
      <c r="F748" s="212" t="s">
        <v>4662</v>
      </c>
      <c r="G748" s="212" t="n">
        <v>63</v>
      </c>
      <c r="H748" s="212" t="s">
        <v>120</v>
      </c>
      <c r="I748" s="250" t="n">
        <v>58.29</v>
      </c>
    </row>
    <row r="749" customFormat="false" ht="13.8" hidden="false" customHeight="false" outlineLevel="0" collapsed="false">
      <c r="A749" s="218"/>
      <c r="B749" s="251"/>
      <c r="C749" s="251"/>
      <c r="D749" s="252"/>
      <c r="E749" s="252"/>
      <c r="F749" s="212" t="s">
        <v>4694</v>
      </c>
      <c r="G749" s="212" t="n">
        <v>63</v>
      </c>
      <c r="H749" s="212" t="s">
        <v>120</v>
      </c>
      <c r="I749" s="250" t="n">
        <v>48.69</v>
      </c>
    </row>
    <row r="750" customFormat="false" ht="13.8" hidden="false" customHeight="false" outlineLevel="0" collapsed="false">
      <c r="A750" s="218"/>
      <c r="B750" s="251"/>
      <c r="C750" s="251"/>
      <c r="D750" s="249" t="s">
        <v>3251</v>
      </c>
      <c r="E750" s="249" t="s">
        <v>117</v>
      </c>
      <c r="F750" s="212" t="s">
        <v>4686</v>
      </c>
      <c r="G750" s="212" t="n">
        <v>63</v>
      </c>
      <c r="H750" s="212" t="s">
        <v>120</v>
      </c>
      <c r="I750" s="250" t="n">
        <v>57.93</v>
      </c>
    </row>
    <row r="751" customFormat="false" ht="13.8" hidden="false" customHeight="false" outlineLevel="0" collapsed="false">
      <c r="A751" s="218"/>
      <c r="B751" s="251"/>
      <c r="C751" s="251"/>
      <c r="D751" s="251"/>
      <c r="E751" s="251"/>
      <c r="F751" s="212" t="s">
        <v>4697</v>
      </c>
      <c r="G751" s="212" t="n">
        <v>160</v>
      </c>
      <c r="H751" s="212" t="s">
        <v>120</v>
      </c>
      <c r="I751" s="250" t="n">
        <v>59.95</v>
      </c>
    </row>
    <row r="752" customFormat="false" ht="13.8" hidden="false" customHeight="false" outlineLevel="0" collapsed="false">
      <c r="A752" s="218"/>
      <c r="B752" s="251"/>
      <c r="C752" s="251"/>
      <c r="D752" s="251"/>
      <c r="E752" s="251"/>
      <c r="F752" s="212" t="s">
        <v>4704</v>
      </c>
      <c r="G752" s="212" t="n">
        <v>63</v>
      </c>
      <c r="H752" s="212" t="s">
        <v>120</v>
      </c>
      <c r="I752" s="250" t="n">
        <v>14.26</v>
      </c>
    </row>
    <row r="753" customFormat="false" ht="13.8" hidden="false" customHeight="false" outlineLevel="0" collapsed="false">
      <c r="A753" s="218"/>
      <c r="B753" s="251"/>
      <c r="C753" s="251"/>
      <c r="D753" s="252"/>
      <c r="E753" s="252"/>
      <c r="F753" s="212" t="s">
        <v>4708</v>
      </c>
      <c r="G753" s="212" t="n">
        <v>63</v>
      </c>
      <c r="H753" s="212" t="s">
        <v>120</v>
      </c>
      <c r="I753" s="250" t="n">
        <v>52.39</v>
      </c>
    </row>
    <row r="754" customFormat="false" ht="13.8" hidden="false" customHeight="false" outlineLevel="0" collapsed="false">
      <c r="A754" s="218"/>
      <c r="B754" s="251"/>
      <c r="C754" s="251"/>
      <c r="D754" s="249" t="s">
        <v>4278</v>
      </c>
      <c r="E754" s="249" t="s">
        <v>117</v>
      </c>
      <c r="F754" s="212" t="s">
        <v>4277</v>
      </c>
      <c r="G754" s="212" t="n">
        <v>110</v>
      </c>
      <c r="H754" s="212" t="s">
        <v>120</v>
      </c>
      <c r="I754" s="250" t="n">
        <v>72.58</v>
      </c>
    </row>
    <row r="755" customFormat="false" ht="13.8" hidden="false" customHeight="false" outlineLevel="0" collapsed="false">
      <c r="A755" s="218"/>
      <c r="B755" s="251"/>
      <c r="C755" s="251"/>
      <c r="D755" s="251"/>
      <c r="E755" s="251"/>
      <c r="F755" s="212" t="s">
        <v>4467</v>
      </c>
      <c r="G755" s="212" t="n">
        <v>110</v>
      </c>
      <c r="H755" s="212" t="s">
        <v>120</v>
      </c>
      <c r="I755" s="250" t="n">
        <v>41.5</v>
      </c>
    </row>
    <row r="756" customFormat="false" ht="13.8" hidden="false" customHeight="false" outlineLevel="0" collapsed="false">
      <c r="A756" s="218"/>
      <c r="B756" s="251"/>
      <c r="C756" s="251"/>
      <c r="D756" s="251"/>
      <c r="E756" s="251"/>
      <c r="F756" s="212" t="s">
        <v>4471</v>
      </c>
      <c r="G756" s="212" t="n">
        <v>63</v>
      </c>
      <c r="H756" s="212" t="s">
        <v>120</v>
      </c>
      <c r="I756" s="250" t="n">
        <v>33.65</v>
      </c>
    </row>
    <row r="757" customFormat="false" ht="13.8" hidden="false" customHeight="false" outlineLevel="0" collapsed="false">
      <c r="A757" s="218"/>
      <c r="B757" s="251"/>
      <c r="C757" s="251"/>
      <c r="D757" s="251"/>
      <c r="E757" s="251"/>
      <c r="F757" s="212" t="s">
        <v>4484</v>
      </c>
      <c r="G757" s="212" t="n">
        <v>63</v>
      </c>
      <c r="H757" s="212" t="s">
        <v>120</v>
      </c>
      <c r="I757" s="250" t="n">
        <v>102.96</v>
      </c>
    </row>
    <row r="758" customFormat="false" ht="13.8" hidden="false" customHeight="false" outlineLevel="0" collapsed="false">
      <c r="A758" s="218"/>
      <c r="B758" s="251"/>
      <c r="C758" s="251"/>
      <c r="D758" s="251"/>
      <c r="E758" s="251"/>
      <c r="F758" s="212" t="s">
        <v>4496</v>
      </c>
      <c r="G758" s="212" t="n">
        <v>63</v>
      </c>
      <c r="H758" s="212" t="s">
        <v>120</v>
      </c>
      <c r="I758" s="250" t="n">
        <v>121.59</v>
      </c>
    </row>
    <row r="759" customFormat="false" ht="13.8" hidden="false" customHeight="false" outlineLevel="0" collapsed="false">
      <c r="A759" s="218"/>
      <c r="B759" s="251"/>
      <c r="C759" s="251"/>
      <c r="D759" s="251"/>
      <c r="E759" s="251"/>
      <c r="F759" s="212" t="s">
        <v>4501</v>
      </c>
      <c r="G759" s="212" t="n">
        <v>63</v>
      </c>
      <c r="H759" s="212" t="s">
        <v>120</v>
      </c>
      <c r="I759" s="250" t="n">
        <v>57.02</v>
      </c>
    </row>
    <row r="760" customFormat="false" ht="13.8" hidden="false" customHeight="false" outlineLevel="0" collapsed="false">
      <c r="A760" s="218"/>
      <c r="B760" s="251"/>
      <c r="C760" s="251"/>
      <c r="D760" s="251"/>
      <c r="E760" s="251"/>
      <c r="F760" s="212" t="s">
        <v>4612</v>
      </c>
      <c r="G760" s="212" t="n">
        <v>63</v>
      </c>
      <c r="H760" s="212" t="s">
        <v>120</v>
      </c>
      <c r="I760" s="250" t="n">
        <v>147.98</v>
      </c>
    </row>
    <row r="761" customFormat="false" ht="13.8" hidden="false" customHeight="false" outlineLevel="0" collapsed="false">
      <c r="A761" s="218"/>
      <c r="B761" s="251"/>
      <c r="C761" s="251"/>
      <c r="D761" s="252"/>
      <c r="E761" s="252"/>
      <c r="F761" s="212" t="s">
        <v>4658</v>
      </c>
      <c r="G761" s="212" t="n">
        <v>63</v>
      </c>
      <c r="H761" s="212" t="s">
        <v>120</v>
      </c>
      <c r="I761" s="250" t="n">
        <v>97.86</v>
      </c>
    </row>
    <row r="762" customFormat="false" ht="13.8" hidden="false" customHeight="false" outlineLevel="0" collapsed="false">
      <c r="A762" s="218"/>
      <c r="B762" s="251"/>
      <c r="C762" s="251"/>
      <c r="D762" s="249" t="s">
        <v>4632</v>
      </c>
      <c r="E762" s="249" t="s">
        <v>117</v>
      </c>
      <c r="F762" s="212" t="s">
        <v>4631</v>
      </c>
      <c r="G762" s="212" t="n">
        <v>63</v>
      </c>
      <c r="H762" s="212" t="s">
        <v>120</v>
      </c>
      <c r="I762" s="250" t="n">
        <v>146.02</v>
      </c>
    </row>
    <row r="763" customFormat="false" ht="13.8" hidden="false" customHeight="false" outlineLevel="0" collapsed="false">
      <c r="A763" s="218"/>
      <c r="B763" s="251"/>
      <c r="C763" s="251"/>
      <c r="D763" s="251"/>
      <c r="E763" s="251"/>
      <c r="F763" s="212" t="s">
        <v>4647</v>
      </c>
      <c r="G763" s="212" t="n">
        <v>160</v>
      </c>
      <c r="H763" s="212" t="s">
        <v>120</v>
      </c>
      <c r="I763" s="250" t="n">
        <v>25.71</v>
      </c>
    </row>
    <row r="764" customFormat="false" ht="13.8" hidden="false" customHeight="false" outlineLevel="0" collapsed="false">
      <c r="A764" s="218"/>
      <c r="B764" s="251"/>
      <c r="C764" s="251"/>
      <c r="D764" s="251"/>
      <c r="E764" s="251"/>
      <c r="F764" s="212" t="s">
        <v>4655</v>
      </c>
      <c r="G764" s="212" t="n">
        <v>160</v>
      </c>
      <c r="H764" s="212" t="s">
        <v>120</v>
      </c>
      <c r="I764" s="250" t="n">
        <v>25.15</v>
      </c>
    </row>
    <row r="765" customFormat="false" ht="13.8" hidden="false" customHeight="false" outlineLevel="0" collapsed="false">
      <c r="A765" s="218"/>
      <c r="B765" s="251"/>
      <c r="C765" s="251"/>
      <c r="D765" s="251"/>
      <c r="E765" s="251"/>
      <c r="F765" s="212" t="s">
        <v>4666</v>
      </c>
      <c r="G765" s="212" t="n">
        <v>160</v>
      </c>
      <c r="H765" s="212" t="s">
        <v>120</v>
      </c>
      <c r="I765" s="250" t="n">
        <v>21.41</v>
      </c>
    </row>
    <row r="766" customFormat="false" ht="13.8" hidden="false" customHeight="false" outlineLevel="0" collapsed="false">
      <c r="A766" s="218"/>
      <c r="B766" s="251"/>
      <c r="C766" s="251"/>
      <c r="D766" s="252"/>
      <c r="E766" s="252"/>
      <c r="F766" s="212" t="s">
        <v>4674</v>
      </c>
      <c r="G766" s="212" t="n">
        <v>160</v>
      </c>
      <c r="H766" s="212" t="s">
        <v>120</v>
      </c>
      <c r="I766" s="250" t="n">
        <v>26.23</v>
      </c>
    </row>
    <row r="767" customFormat="false" ht="13.8" hidden="false" customHeight="false" outlineLevel="0" collapsed="false">
      <c r="A767" s="218"/>
      <c r="B767" s="251"/>
      <c r="C767" s="251"/>
      <c r="D767" s="249" t="s">
        <v>2834</v>
      </c>
      <c r="E767" s="249" t="s">
        <v>117</v>
      </c>
      <c r="F767" s="212" t="s">
        <v>4544</v>
      </c>
      <c r="G767" s="212" t="n">
        <v>160</v>
      </c>
      <c r="H767" s="212" t="s">
        <v>120</v>
      </c>
      <c r="I767" s="250" t="n">
        <v>131.18</v>
      </c>
    </row>
    <row r="768" customFormat="false" ht="13.8" hidden="false" customHeight="false" outlineLevel="0" collapsed="false">
      <c r="A768" s="218"/>
      <c r="B768" s="251"/>
      <c r="C768" s="251"/>
      <c r="D768" s="251"/>
      <c r="E768" s="251"/>
      <c r="F768" s="212" t="s">
        <v>4550</v>
      </c>
      <c r="G768" s="212" t="n">
        <v>90</v>
      </c>
      <c r="H768" s="212" t="s">
        <v>120</v>
      </c>
      <c r="I768" s="250" t="n">
        <v>48.46</v>
      </c>
    </row>
    <row r="769" customFormat="false" ht="13.8" hidden="false" customHeight="false" outlineLevel="0" collapsed="false">
      <c r="A769" s="218"/>
      <c r="B769" s="251"/>
      <c r="C769" s="251"/>
      <c r="D769" s="251"/>
      <c r="E769" s="251"/>
      <c r="F769" s="212" t="s">
        <v>4571</v>
      </c>
      <c r="G769" s="212" t="n">
        <v>90</v>
      </c>
      <c r="H769" s="212" t="s">
        <v>120</v>
      </c>
      <c r="I769" s="250" t="n">
        <v>33.6</v>
      </c>
    </row>
    <row r="770" customFormat="false" ht="13.8" hidden="false" customHeight="false" outlineLevel="0" collapsed="false">
      <c r="A770" s="218"/>
      <c r="B770" s="251"/>
      <c r="C770" s="251"/>
      <c r="D770" s="251"/>
      <c r="E770" s="251"/>
      <c r="F770" s="212" t="s">
        <v>4575</v>
      </c>
      <c r="G770" s="212" t="n">
        <v>160</v>
      </c>
      <c r="H770" s="212" t="s">
        <v>120</v>
      </c>
      <c r="I770" s="250" t="n">
        <v>5.08</v>
      </c>
    </row>
    <row r="771" customFormat="false" ht="13.8" hidden="false" customHeight="false" outlineLevel="0" collapsed="false">
      <c r="A771" s="218"/>
      <c r="B771" s="251"/>
      <c r="C771" s="251"/>
      <c r="D771" s="252"/>
      <c r="E771" s="252"/>
      <c r="F771" s="212" t="s">
        <v>4578</v>
      </c>
      <c r="G771" s="212" t="n">
        <v>160</v>
      </c>
      <c r="H771" s="212" t="s">
        <v>120</v>
      </c>
      <c r="I771" s="250" t="n">
        <v>3.02</v>
      </c>
    </row>
    <row r="772" customFormat="false" ht="13.8" hidden="false" customHeight="false" outlineLevel="0" collapsed="false">
      <c r="A772" s="218"/>
      <c r="B772" s="251"/>
      <c r="C772" s="251"/>
      <c r="D772" s="249" t="s">
        <v>2885</v>
      </c>
      <c r="E772" s="249" t="s">
        <v>117</v>
      </c>
      <c r="F772" s="212" t="s">
        <v>4402</v>
      </c>
      <c r="G772" s="212" t="n">
        <v>90</v>
      </c>
      <c r="H772" s="212" t="s">
        <v>120</v>
      </c>
      <c r="I772" s="250" t="n">
        <v>41.6</v>
      </c>
    </row>
    <row r="773" customFormat="false" ht="13.8" hidden="false" customHeight="false" outlineLevel="0" collapsed="false">
      <c r="A773" s="218"/>
      <c r="B773" s="251"/>
      <c r="C773" s="251"/>
      <c r="D773" s="252"/>
      <c r="E773" s="252"/>
      <c r="F773" s="212" t="s">
        <v>4537</v>
      </c>
      <c r="G773" s="212" t="n">
        <v>63</v>
      </c>
      <c r="H773" s="212" t="s">
        <v>120</v>
      </c>
      <c r="I773" s="250" t="n">
        <v>91.41</v>
      </c>
    </row>
    <row r="774" customFormat="false" ht="13.8" hidden="false" customHeight="false" outlineLevel="0" collapsed="false">
      <c r="A774" s="218"/>
      <c r="B774" s="251"/>
      <c r="C774" s="251"/>
      <c r="D774" s="249" t="s">
        <v>2630</v>
      </c>
      <c r="E774" s="249" t="s">
        <v>117</v>
      </c>
      <c r="F774" s="212" t="s">
        <v>4307</v>
      </c>
      <c r="G774" s="212" t="n">
        <v>63</v>
      </c>
      <c r="H774" s="212" t="s">
        <v>120</v>
      </c>
      <c r="I774" s="250" t="n">
        <v>22.74</v>
      </c>
    </row>
    <row r="775" customFormat="false" ht="13.8" hidden="false" customHeight="false" outlineLevel="0" collapsed="false">
      <c r="A775" s="218"/>
      <c r="B775" s="251"/>
      <c r="C775" s="251"/>
      <c r="D775" s="252"/>
      <c r="E775" s="252"/>
      <c r="F775" s="212" t="s">
        <v>4313</v>
      </c>
      <c r="G775" s="212" t="n">
        <v>63</v>
      </c>
      <c r="H775" s="212" t="s">
        <v>120</v>
      </c>
      <c r="I775" s="250" t="n">
        <v>49.77</v>
      </c>
    </row>
    <row r="776" customFormat="false" ht="13.8" hidden="false" customHeight="false" outlineLevel="0" collapsed="false">
      <c r="A776" s="218"/>
      <c r="B776" s="251"/>
      <c r="C776" s="251"/>
      <c r="D776" s="212" t="s">
        <v>4357</v>
      </c>
      <c r="E776" s="212" t="s">
        <v>117</v>
      </c>
      <c r="F776" s="212" t="s">
        <v>4356</v>
      </c>
      <c r="G776" s="212" t="n">
        <v>90</v>
      </c>
      <c r="H776" s="212" t="s">
        <v>120</v>
      </c>
      <c r="I776" s="250" t="n">
        <v>4.45</v>
      </c>
    </row>
    <row r="777" customFormat="false" ht="13.8" hidden="false" customHeight="false" outlineLevel="0" collapsed="false">
      <c r="A777" s="218"/>
      <c r="B777" s="251"/>
      <c r="C777" s="251"/>
      <c r="D777" s="249" t="s">
        <v>4030</v>
      </c>
      <c r="E777" s="249" t="s">
        <v>117</v>
      </c>
      <c r="F777" s="212" t="s">
        <v>4233</v>
      </c>
      <c r="G777" s="212" t="n">
        <v>160</v>
      </c>
      <c r="H777" s="212" t="s">
        <v>120</v>
      </c>
      <c r="I777" s="250" t="n">
        <v>2.78</v>
      </c>
    </row>
    <row r="778" customFormat="false" ht="13.8" hidden="false" customHeight="false" outlineLevel="0" collapsed="false">
      <c r="A778" s="218"/>
      <c r="B778" s="251"/>
      <c r="C778" s="251"/>
      <c r="D778" s="251"/>
      <c r="E778" s="251"/>
      <c r="F778" s="212" t="s">
        <v>4238</v>
      </c>
      <c r="G778" s="212" t="n">
        <v>160</v>
      </c>
      <c r="H778" s="212" t="s">
        <v>120</v>
      </c>
      <c r="I778" s="250" t="n">
        <v>2.99</v>
      </c>
    </row>
    <row r="779" customFormat="false" ht="13.8" hidden="false" customHeight="false" outlineLevel="0" collapsed="false">
      <c r="A779" s="218"/>
      <c r="B779" s="251"/>
      <c r="C779" s="251"/>
      <c r="D779" s="251"/>
      <c r="E779" s="251"/>
      <c r="F779" s="212" t="s">
        <v>4242</v>
      </c>
      <c r="G779" s="212" t="n">
        <v>160</v>
      </c>
      <c r="H779" s="212" t="s">
        <v>120</v>
      </c>
      <c r="I779" s="250" t="n">
        <v>3.31</v>
      </c>
    </row>
    <row r="780" customFormat="false" ht="13.8" hidden="false" customHeight="false" outlineLevel="0" collapsed="false">
      <c r="A780" s="218"/>
      <c r="B780" s="251"/>
      <c r="C780" s="251"/>
      <c r="D780" s="251"/>
      <c r="E780" s="251"/>
      <c r="F780" s="212" t="s">
        <v>4245</v>
      </c>
      <c r="G780" s="212" t="n">
        <v>160</v>
      </c>
      <c r="H780" s="212" t="s">
        <v>120</v>
      </c>
      <c r="I780" s="250" t="n">
        <v>2.97</v>
      </c>
    </row>
    <row r="781" customFormat="false" ht="13.8" hidden="false" customHeight="false" outlineLevel="0" collapsed="false">
      <c r="A781" s="218"/>
      <c r="B781" s="251"/>
      <c r="C781" s="251"/>
      <c r="D781" s="251"/>
      <c r="E781" s="251"/>
      <c r="F781" s="212" t="s">
        <v>4257</v>
      </c>
      <c r="G781" s="212" t="n">
        <v>160</v>
      </c>
      <c r="H781" s="212" t="s">
        <v>120</v>
      </c>
      <c r="I781" s="250" t="n">
        <v>47.5</v>
      </c>
    </row>
    <row r="782" customFormat="false" ht="13.8" hidden="false" customHeight="false" outlineLevel="0" collapsed="false">
      <c r="A782" s="218"/>
      <c r="B782" s="251"/>
      <c r="C782" s="251"/>
      <c r="D782" s="251"/>
      <c r="E782" s="251"/>
      <c r="F782" s="212" t="s">
        <v>4270</v>
      </c>
      <c r="G782" s="212" t="n">
        <v>160</v>
      </c>
      <c r="H782" s="212" t="s">
        <v>120</v>
      </c>
      <c r="I782" s="250" t="n">
        <v>48.34</v>
      </c>
    </row>
    <row r="783" customFormat="false" ht="13.8" hidden="false" customHeight="false" outlineLevel="0" collapsed="false">
      <c r="A783" s="218"/>
      <c r="B783" s="251"/>
      <c r="C783" s="251"/>
      <c r="D783" s="251"/>
      <c r="E783" s="251"/>
      <c r="F783" s="212" t="s">
        <v>4532</v>
      </c>
      <c r="G783" s="212" t="n">
        <v>63</v>
      </c>
      <c r="H783" s="212" t="s">
        <v>120</v>
      </c>
      <c r="I783" s="250" t="n">
        <v>43.9</v>
      </c>
    </row>
    <row r="784" customFormat="false" ht="13.8" hidden="false" customHeight="false" outlineLevel="0" collapsed="false">
      <c r="A784" s="218"/>
      <c r="B784" s="251"/>
      <c r="C784" s="251"/>
      <c r="D784" s="251"/>
      <c r="E784" s="251"/>
      <c r="F784" s="212" t="s">
        <v>4554</v>
      </c>
      <c r="G784" s="212" t="n">
        <v>63</v>
      </c>
      <c r="H784" s="212" t="s">
        <v>120</v>
      </c>
      <c r="I784" s="250" t="n">
        <v>36.64</v>
      </c>
    </row>
    <row r="785" customFormat="false" ht="13.8" hidden="false" customHeight="false" outlineLevel="0" collapsed="false">
      <c r="A785" s="218"/>
      <c r="B785" s="251"/>
      <c r="C785" s="251"/>
      <c r="D785" s="252"/>
      <c r="E785" s="252"/>
      <c r="F785" s="212" t="s">
        <v>4681</v>
      </c>
      <c r="G785" s="212" t="n">
        <v>160</v>
      </c>
      <c r="H785" s="212" t="s">
        <v>120</v>
      </c>
      <c r="I785" s="250" t="n">
        <v>907.56</v>
      </c>
    </row>
    <row r="786" customFormat="false" ht="13.8" hidden="false" customHeight="false" outlineLevel="0" collapsed="false">
      <c r="A786" s="218"/>
      <c r="B786" s="251"/>
      <c r="C786" s="251"/>
      <c r="D786" s="249" t="s">
        <v>4223</v>
      </c>
      <c r="E786" s="249" t="s">
        <v>117</v>
      </c>
      <c r="F786" s="212" t="s">
        <v>4222</v>
      </c>
      <c r="G786" s="212" t="n">
        <v>90</v>
      </c>
      <c r="H786" s="212" t="s">
        <v>120</v>
      </c>
      <c r="I786" s="250" t="n">
        <v>158.7</v>
      </c>
    </row>
    <row r="787" customFormat="false" ht="13.8" hidden="false" customHeight="false" outlineLevel="0" collapsed="false">
      <c r="A787" s="218"/>
      <c r="B787" s="251"/>
      <c r="C787" s="251"/>
      <c r="D787" s="251"/>
      <c r="E787" s="251"/>
      <c r="F787" s="212" t="s">
        <v>4253</v>
      </c>
      <c r="G787" s="212" t="n">
        <v>63</v>
      </c>
      <c r="H787" s="212" t="s">
        <v>120</v>
      </c>
      <c r="I787" s="250" t="n">
        <v>128.72</v>
      </c>
    </row>
    <row r="788" customFormat="false" ht="13.8" hidden="false" customHeight="false" outlineLevel="0" collapsed="false">
      <c r="A788" s="218"/>
      <c r="B788" s="251"/>
      <c r="C788" s="251"/>
      <c r="D788" s="251"/>
      <c r="E788" s="251"/>
      <c r="F788" s="212" t="s">
        <v>4261</v>
      </c>
      <c r="G788" s="212" t="n">
        <v>63</v>
      </c>
      <c r="H788" s="212" t="s">
        <v>120</v>
      </c>
      <c r="I788" s="250" t="n">
        <v>44.38</v>
      </c>
    </row>
    <row r="789" customFormat="false" ht="13.8" hidden="false" customHeight="false" outlineLevel="0" collapsed="false">
      <c r="A789" s="218"/>
      <c r="B789" s="251"/>
      <c r="C789" s="251"/>
      <c r="D789" s="251"/>
      <c r="E789" s="251"/>
      <c r="F789" s="212" t="s">
        <v>4266</v>
      </c>
      <c r="G789" s="212" t="n">
        <v>90</v>
      </c>
      <c r="H789" s="212" t="s">
        <v>120</v>
      </c>
      <c r="I789" s="250" t="n">
        <v>83.86</v>
      </c>
    </row>
    <row r="790" customFormat="false" ht="13.8" hidden="false" customHeight="false" outlineLevel="0" collapsed="false">
      <c r="A790" s="218"/>
      <c r="B790" s="251"/>
      <c r="C790" s="251"/>
      <c r="D790" s="251"/>
      <c r="E790" s="251"/>
      <c r="F790" s="212" t="s">
        <v>4273</v>
      </c>
      <c r="G790" s="212" t="n">
        <v>110</v>
      </c>
      <c r="H790" s="212" t="s">
        <v>120</v>
      </c>
      <c r="I790" s="250" t="n">
        <v>42.58</v>
      </c>
    </row>
    <row r="791" customFormat="false" ht="13.8" hidden="false" customHeight="false" outlineLevel="0" collapsed="false">
      <c r="A791" s="218"/>
      <c r="B791" s="251"/>
      <c r="C791" s="251"/>
      <c r="D791" s="251"/>
      <c r="E791" s="251"/>
      <c r="F791" s="212" t="s">
        <v>4283</v>
      </c>
      <c r="G791" s="212" t="n">
        <v>110</v>
      </c>
      <c r="H791" s="212" t="s">
        <v>120</v>
      </c>
      <c r="I791" s="250" t="n">
        <v>57.04</v>
      </c>
    </row>
    <row r="792" customFormat="false" ht="13.8" hidden="false" customHeight="false" outlineLevel="0" collapsed="false">
      <c r="A792" s="218"/>
      <c r="B792" s="251"/>
      <c r="C792" s="251"/>
      <c r="D792" s="251"/>
      <c r="E792" s="251"/>
      <c r="F792" s="212" t="s">
        <v>4286</v>
      </c>
      <c r="G792" s="212" t="n">
        <v>110</v>
      </c>
      <c r="H792" s="212" t="s">
        <v>120</v>
      </c>
      <c r="I792" s="250" t="n">
        <v>42.56</v>
      </c>
    </row>
    <row r="793" customFormat="false" ht="13.8" hidden="false" customHeight="false" outlineLevel="0" collapsed="false">
      <c r="A793" s="218"/>
      <c r="B793" s="251"/>
      <c r="C793" s="251"/>
      <c r="D793" s="251"/>
      <c r="E793" s="251"/>
      <c r="F793" s="212" t="s">
        <v>4457</v>
      </c>
      <c r="G793" s="212" t="n">
        <v>63</v>
      </c>
      <c r="H793" s="212" t="s">
        <v>120</v>
      </c>
      <c r="I793" s="250" t="n">
        <v>32.81</v>
      </c>
    </row>
    <row r="794" customFormat="false" ht="13.8" hidden="false" customHeight="false" outlineLevel="0" collapsed="false">
      <c r="A794" s="218"/>
      <c r="B794" s="251"/>
      <c r="C794" s="251"/>
      <c r="D794" s="251"/>
      <c r="E794" s="251"/>
      <c r="F794" s="212" t="s">
        <v>4460</v>
      </c>
      <c r="G794" s="212" t="n">
        <v>160</v>
      </c>
      <c r="H794" s="212" t="s">
        <v>120</v>
      </c>
      <c r="I794" s="250" t="n">
        <v>48.67</v>
      </c>
    </row>
    <row r="795" customFormat="false" ht="13.8" hidden="false" customHeight="false" outlineLevel="0" collapsed="false">
      <c r="A795" s="218"/>
      <c r="B795" s="251"/>
      <c r="C795" s="251"/>
      <c r="D795" s="251"/>
      <c r="E795" s="251"/>
      <c r="F795" s="212" t="s">
        <v>4464</v>
      </c>
      <c r="G795" s="212" t="n">
        <v>125</v>
      </c>
      <c r="H795" s="212" t="s">
        <v>120</v>
      </c>
      <c r="I795" s="250" t="n">
        <v>38.84</v>
      </c>
    </row>
    <row r="796" customFormat="false" ht="13.8" hidden="false" customHeight="false" outlineLevel="0" collapsed="false">
      <c r="A796" s="218"/>
      <c r="B796" s="251"/>
      <c r="C796" s="251"/>
      <c r="D796" s="251"/>
      <c r="E796" s="251"/>
      <c r="F796" s="212" t="s">
        <v>4474</v>
      </c>
      <c r="G796" s="212" t="n">
        <v>110</v>
      </c>
      <c r="H796" s="212" t="s">
        <v>120</v>
      </c>
      <c r="I796" s="250" t="n">
        <v>76.5</v>
      </c>
    </row>
    <row r="797" customFormat="false" ht="13.8" hidden="false" customHeight="false" outlineLevel="0" collapsed="false">
      <c r="A797" s="218"/>
      <c r="B797" s="251"/>
      <c r="C797" s="251"/>
      <c r="D797" s="252"/>
      <c r="E797" s="252"/>
      <c r="F797" s="212" t="s">
        <v>4481</v>
      </c>
      <c r="G797" s="212" t="n">
        <v>160</v>
      </c>
      <c r="H797" s="212" t="s">
        <v>120</v>
      </c>
      <c r="I797" s="250" t="n">
        <v>88.42</v>
      </c>
    </row>
    <row r="798" customFormat="false" ht="13.8" hidden="false" customHeight="false" outlineLevel="0" collapsed="false">
      <c r="A798" s="218"/>
      <c r="B798" s="251"/>
      <c r="C798" s="251"/>
      <c r="D798" s="249" t="s">
        <v>4738</v>
      </c>
      <c r="E798" s="249" t="s">
        <v>117</v>
      </c>
      <c r="F798" s="212" t="s">
        <v>4737</v>
      </c>
      <c r="G798" s="212" t="n">
        <v>160</v>
      </c>
      <c r="H798" s="212" t="s">
        <v>120</v>
      </c>
      <c r="I798" s="250" t="n">
        <v>46.85</v>
      </c>
    </row>
    <row r="799" customFormat="false" ht="13.8" hidden="false" customHeight="false" outlineLevel="0" collapsed="false">
      <c r="A799" s="218"/>
      <c r="B799" s="251"/>
      <c r="C799" s="251"/>
      <c r="D799" s="252"/>
      <c r="E799" s="252"/>
      <c r="F799" s="212" t="s">
        <v>4759</v>
      </c>
      <c r="G799" s="212" t="n">
        <v>63</v>
      </c>
      <c r="H799" s="212" t="s">
        <v>120</v>
      </c>
      <c r="I799" s="250" t="n">
        <v>22.33</v>
      </c>
    </row>
    <row r="800" customFormat="false" ht="13.8" hidden="false" customHeight="false" outlineLevel="0" collapsed="false">
      <c r="A800" s="218"/>
      <c r="B800" s="251"/>
      <c r="C800" s="251"/>
      <c r="D800" s="249" t="s">
        <v>4452</v>
      </c>
      <c r="E800" s="249" t="s">
        <v>117</v>
      </c>
      <c r="F800" s="212" t="s">
        <v>4493</v>
      </c>
      <c r="G800" s="212" t="n">
        <v>110</v>
      </c>
      <c r="H800" s="212" t="s">
        <v>120</v>
      </c>
      <c r="I800" s="250" t="n">
        <v>42.39</v>
      </c>
    </row>
    <row r="801" customFormat="false" ht="13.8" hidden="false" customHeight="false" outlineLevel="0" collapsed="false">
      <c r="A801" s="218"/>
      <c r="B801" s="251"/>
      <c r="C801" s="251"/>
      <c r="D801" s="252"/>
      <c r="E801" s="252"/>
      <c r="F801" s="212" t="s">
        <v>4508</v>
      </c>
      <c r="G801" s="212" t="n">
        <v>160</v>
      </c>
      <c r="H801" s="212" t="s">
        <v>120</v>
      </c>
      <c r="I801" s="250" t="n">
        <v>108.87</v>
      </c>
    </row>
    <row r="802" customFormat="false" ht="13.8" hidden="false" customHeight="false" outlineLevel="0" collapsed="false">
      <c r="A802" s="218"/>
      <c r="B802" s="251"/>
      <c r="C802" s="251"/>
      <c r="D802" s="249" t="s">
        <v>4015</v>
      </c>
      <c r="E802" s="249" t="s">
        <v>117</v>
      </c>
      <c r="F802" s="212" t="s">
        <v>4432</v>
      </c>
      <c r="G802" s="212" t="n">
        <v>63</v>
      </c>
      <c r="H802" s="212" t="s">
        <v>120</v>
      </c>
      <c r="I802" s="250" t="n">
        <v>62.84</v>
      </c>
    </row>
    <row r="803" customFormat="false" ht="13.8" hidden="false" customHeight="false" outlineLevel="0" collapsed="false">
      <c r="A803" s="218"/>
      <c r="B803" s="251"/>
      <c r="C803" s="251"/>
      <c r="D803" s="251"/>
      <c r="E803" s="251"/>
      <c r="F803" s="212" t="s">
        <v>4548</v>
      </c>
      <c r="G803" s="212" t="n">
        <v>63</v>
      </c>
      <c r="H803" s="212" t="s">
        <v>120</v>
      </c>
      <c r="I803" s="250" t="n">
        <v>3.45</v>
      </c>
    </row>
    <row r="804" customFormat="false" ht="13.8" hidden="false" customHeight="false" outlineLevel="0" collapsed="false">
      <c r="A804" s="218"/>
      <c r="B804" s="251"/>
      <c r="C804" s="251"/>
      <c r="D804" s="251"/>
      <c r="E804" s="251"/>
      <c r="F804" s="212" t="s">
        <v>4559</v>
      </c>
      <c r="G804" s="212" t="n">
        <v>110</v>
      </c>
      <c r="H804" s="212" t="s">
        <v>120</v>
      </c>
      <c r="I804" s="250" t="n">
        <v>29.28</v>
      </c>
    </row>
    <row r="805" customFormat="false" ht="13.8" hidden="false" customHeight="false" outlineLevel="0" collapsed="false">
      <c r="A805" s="218"/>
      <c r="B805" s="251"/>
      <c r="C805" s="251"/>
      <c r="D805" s="251"/>
      <c r="E805" s="251"/>
      <c r="F805" s="212" t="s">
        <v>4616</v>
      </c>
      <c r="G805" s="212" t="n">
        <v>63</v>
      </c>
      <c r="H805" s="212" t="s">
        <v>120</v>
      </c>
      <c r="I805" s="250" t="n">
        <v>247.4</v>
      </c>
    </row>
    <row r="806" customFormat="false" ht="13.8" hidden="false" customHeight="false" outlineLevel="0" collapsed="false">
      <c r="A806" s="218"/>
      <c r="B806" s="251"/>
      <c r="C806" s="251"/>
      <c r="D806" s="252"/>
      <c r="E806" s="252"/>
      <c r="F806" s="212" t="s">
        <v>4636</v>
      </c>
      <c r="G806" s="212" t="n">
        <v>160</v>
      </c>
      <c r="H806" s="212" t="s">
        <v>120</v>
      </c>
      <c r="I806" s="250" t="n">
        <v>38.34</v>
      </c>
    </row>
    <row r="807" customFormat="false" ht="13.8" hidden="false" customHeight="false" outlineLevel="0" collapsed="false">
      <c r="A807" s="218"/>
      <c r="B807" s="251"/>
      <c r="C807" s="251"/>
      <c r="D807" s="249" t="s">
        <v>4435</v>
      </c>
      <c r="E807" s="249" t="s">
        <v>117</v>
      </c>
      <c r="F807" s="212" t="s">
        <v>4434</v>
      </c>
      <c r="G807" s="212" t="n">
        <v>63</v>
      </c>
      <c r="H807" s="212" t="s">
        <v>120</v>
      </c>
      <c r="I807" s="250" t="n">
        <v>91.16</v>
      </c>
    </row>
    <row r="808" customFormat="false" ht="13.8" hidden="false" customHeight="false" outlineLevel="0" collapsed="false">
      <c r="A808" s="218"/>
      <c r="B808" s="251"/>
      <c r="C808" s="251"/>
      <c r="D808" s="251"/>
      <c r="E808" s="251"/>
      <c r="F808" s="212" t="s">
        <v>4447</v>
      </c>
      <c r="G808" s="212" t="n">
        <v>63</v>
      </c>
      <c r="H808" s="212" t="s">
        <v>120</v>
      </c>
      <c r="I808" s="250" t="n">
        <v>81.68</v>
      </c>
    </row>
    <row r="809" customFormat="false" ht="13.8" hidden="false" customHeight="false" outlineLevel="0" collapsed="false">
      <c r="A809" s="218"/>
      <c r="B809" s="251"/>
      <c r="C809" s="251"/>
      <c r="D809" s="252"/>
      <c r="E809" s="252"/>
      <c r="F809" s="212" t="s">
        <v>4581</v>
      </c>
      <c r="G809" s="212" t="n">
        <v>63</v>
      </c>
      <c r="H809" s="212" t="s">
        <v>120</v>
      </c>
      <c r="I809" s="250" t="n">
        <v>104.55</v>
      </c>
    </row>
    <row r="810" customFormat="false" ht="13.8" hidden="false" customHeight="false" outlineLevel="0" collapsed="false">
      <c r="A810" s="218"/>
      <c r="B810" s="251"/>
      <c r="C810" s="251"/>
      <c r="D810" s="212" t="s">
        <v>4009</v>
      </c>
      <c r="E810" s="212" t="s">
        <v>117</v>
      </c>
      <c r="F810" s="212" t="s">
        <v>4371</v>
      </c>
      <c r="G810" s="212" t="n">
        <v>90</v>
      </c>
      <c r="H810" s="212" t="s">
        <v>120</v>
      </c>
      <c r="I810" s="250" t="n">
        <v>1.14</v>
      </c>
    </row>
    <row r="811" customFormat="false" ht="13.8" hidden="false" customHeight="false" outlineLevel="0" collapsed="false">
      <c r="A811" s="218"/>
      <c r="B811" s="251"/>
      <c r="C811" s="251"/>
      <c r="D811" s="212" t="s">
        <v>4377</v>
      </c>
      <c r="E811" s="212" t="s">
        <v>117</v>
      </c>
      <c r="F811" s="212" t="s">
        <v>4376</v>
      </c>
      <c r="G811" s="212" t="n">
        <v>90</v>
      </c>
      <c r="H811" s="212" t="s">
        <v>120</v>
      </c>
      <c r="I811" s="250" t="n">
        <v>81.2</v>
      </c>
    </row>
    <row r="812" customFormat="false" ht="13.8" hidden="false" customHeight="false" outlineLevel="0" collapsed="false">
      <c r="A812" s="218"/>
      <c r="B812" s="251"/>
      <c r="C812" s="251"/>
      <c r="D812" s="249" t="s">
        <v>2323</v>
      </c>
      <c r="E812" s="249" t="s">
        <v>117</v>
      </c>
      <c r="F812" s="212" t="s">
        <v>4229</v>
      </c>
      <c r="G812" s="212" t="n">
        <v>90</v>
      </c>
      <c r="H812" s="212" t="s">
        <v>120</v>
      </c>
      <c r="I812" s="250" t="n">
        <v>49.54</v>
      </c>
    </row>
    <row r="813" customFormat="false" ht="13.8" hidden="false" customHeight="false" outlineLevel="0" collapsed="false">
      <c r="A813" s="218"/>
      <c r="B813" s="251"/>
      <c r="C813" s="251"/>
      <c r="D813" s="251"/>
      <c r="E813" s="251"/>
      <c r="F813" s="212" t="s">
        <v>4250</v>
      </c>
      <c r="G813" s="212" t="n">
        <v>90</v>
      </c>
      <c r="H813" s="212" t="s">
        <v>120</v>
      </c>
      <c r="I813" s="250" t="n">
        <v>6.66</v>
      </c>
    </row>
    <row r="814" customFormat="false" ht="13.8" hidden="false" customHeight="false" outlineLevel="0" collapsed="false">
      <c r="A814" s="218"/>
      <c r="B814" s="251"/>
      <c r="C814" s="251"/>
      <c r="D814" s="252"/>
      <c r="E814" s="252"/>
      <c r="F814" s="212" t="s">
        <v>4259</v>
      </c>
      <c r="G814" s="212" t="n">
        <v>90</v>
      </c>
      <c r="H814" s="212" t="s">
        <v>120</v>
      </c>
      <c r="I814" s="250" t="n">
        <v>55.2</v>
      </c>
    </row>
    <row r="815" customFormat="false" ht="13.8" hidden="false" customHeight="false" outlineLevel="0" collapsed="false">
      <c r="A815" s="218"/>
      <c r="B815" s="251"/>
      <c r="C815" s="251"/>
      <c r="D815" s="249" t="s">
        <v>7055</v>
      </c>
      <c r="E815" s="249" t="s">
        <v>117</v>
      </c>
      <c r="F815" s="212" t="s">
        <v>4247</v>
      </c>
      <c r="G815" s="212" t="n">
        <v>63</v>
      </c>
      <c r="H815" s="212" t="s">
        <v>120</v>
      </c>
      <c r="I815" s="250" t="n">
        <v>8.36</v>
      </c>
    </row>
    <row r="816" customFormat="false" ht="13.8" hidden="false" customHeight="false" outlineLevel="0" collapsed="false">
      <c r="A816" s="218"/>
      <c r="B816" s="251"/>
      <c r="C816" s="251"/>
      <c r="D816" s="251"/>
      <c r="E816" s="251"/>
      <c r="F816" s="212" t="s">
        <v>4392</v>
      </c>
      <c r="G816" s="212" t="n">
        <v>63</v>
      </c>
      <c r="H816" s="212" t="s">
        <v>120</v>
      </c>
      <c r="I816" s="250" t="n">
        <v>10.69</v>
      </c>
    </row>
    <row r="817" customFormat="false" ht="13.8" hidden="false" customHeight="false" outlineLevel="0" collapsed="false">
      <c r="A817" s="218"/>
      <c r="B817" s="251"/>
      <c r="C817" s="251"/>
      <c r="D817" s="251"/>
      <c r="E817" s="251"/>
      <c r="F817" s="212" t="s">
        <v>4406</v>
      </c>
      <c r="G817" s="212" t="n">
        <v>63</v>
      </c>
      <c r="H817" s="212" t="s">
        <v>120</v>
      </c>
      <c r="I817" s="250" t="n">
        <v>43.93</v>
      </c>
    </row>
    <row r="818" customFormat="false" ht="13.8" hidden="false" customHeight="false" outlineLevel="0" collapsed="false">
      <c r="A818" s="218"/>
      <c r="B818" s="251"/>
      <c r="C818" s="251"/>
      <c r="D818" s="251"/>
      <c r="E818" s="251"/>
      <c r="F818" s="212" t="s">
        <v>4478</v>
      </c>
      <c r="G818" s="212" t="n">
        <v>110</v>
      </c>
      <c r="H818" s="212" t="s">
        <v>120</v>
      </c>
      <c r="I818" s="250" t="n">
        <v>43.47</v>
      </c>
    </row>
    <row r="819" customFormat="false" ht="13.8" hidden="false" customHeight="false" outlineLevel="0" collapsed="false">
      <c r="A819" s="218"/>
      <c r="B819" s="251"/>
      <c r="C819" s="251"/>
      <c r="D819" s="251"/>
      <c r="E819" s="251"/>
      <c r="F819" s="212" t="s">
        <v>4489</v>
      </c>
      <c r="G819" s="212" t="n">
        <v>110</v>
      </c>
      <c r="H819" s="212" t="s">
        <v>120</v>
      </c>
      <c r="I819" s="250" t="n">
        <v>6.05</v>
      </c>
    </row>
    <row r="820" customFormat="false" ht="13.8" hidden="false" customHeight="false" outlineLevel="0" collapsed="false">
      <c r="A820" s="218"/>
      <c r="B820" s="251"/>
      <c r="C820" s="251"/>
      <c r="D820" s="251"/>
      <c r="E820" s="251"/>
      <c r="F820" s="212" t="s">
        <v>4504</v>
      </c>
      <c r="G820" s="212" t="n">
        <v>110</v>
      </c>
      <c r="H820" s="212" t="s">
        <v>120</v>
      </c>
      <c r="I820" s="250" t="n">
        <v>144.08</v>
      </c>
    </row>
    <row r="821" customFormat="false" ht="13.8" hidden="false" customHeight="false" outlineLevel="0" collapsed="false">
      <c r="A821" s="218"/>
      <c r="B821" s="251"/>
      <c r="C821" s="251"/>
      <c r="D821" s="251"/>
      <c r="E821" s="251"/>
      <c r="F821" s="212" t="s">
        <v>4511</v>
      </c>
      <c r="G821" s="212" t="n">
        <v>63</v>
      </c>
      <c r="H821" s="212" t="s">
        <v>120</v>
      </c>
      <c r="I821" s="250" t="n">
        <v>47.3</v>
      </c>
    </row>
    <row r="822" customFormat="false" ht="13.8" hidden="false" customHeight="false" outlineLevel="0" collapsed="false">
      <c r="A822" s="218"/>
      <c r="B822" s="251"/>
      <c r="C822" s="251"/>
      <c r="D822" s="251"/>
      <c r="E822" s="251"/>
      <c r="F822" s="212" t="s">
        <v>4514</v>
      </c>
      <c r="G822" s="212" t="n">
        <v>160</v>
      </c>
      <c r="H822" s="212" t="s">
        <v>120</v>
      </c>
      <c r="I822" s="250" t="n">
        <v>38.27</v>
      </c>
    </row>
    <row r="823" customFormat="false" ht="13.8" hidden="false" customHeight="false" outlineLevel="0" collapsed="false">
      <c r="A823" s="218"/>
      <c r="B823" s="251"/>
      <c r="C823" s="251"/>
      <c r="D823" s="251"/>
      <c r="E823" s="251"/>
      <c r="F823" s="212" t="s">
        <v>4518</v>
      </c>
      <c r="G823" s="212" t="n">
        <v>63</v>
      </c>
      <c r="H823" s="212" t="s">
        <v>120</v>
      </c>
      <c r="I823" s="250" t="n">
        <v>57.64</v>
      </c>
    </row>
    <row r="824" customFormat="false" ht="13.8" hidden="false" customHeight="false" outlineLevel="0" collapsed="false">
      <c r="A824" s="218"/>
      <c r="B824" s="251"/>
      <c r="C824" s="251"/>
      <c r="D824" s="251"/>
      <c r="E824" s="251"/>
      <c r="F824" s="212" t="s">
        <v>4523</v>
      </c>
      <c r="G824" s="212" t="n">
        <v>63</v>
      </c>
      <c r="H824" s="212" t="s">
        <v>120</v>
      </c>
      <c r="I824" s="250" t="n">
        <v>1.4</v>
      </c>
    </row>
    <row r="825" customFormat="false" ht="13.8" hidden="false" customHeight="false" outlineLevel="0" collapsed="false">
      <c r="A825" s="218"/>
      <c r="B825" s="251"/>
      <c r="C825" s="251"/>
      <c r="D825" s="251"/>
      <c r="E825" s="251"/>
      <c r="F825" s="212" t="s">
        <v>4526</v>
      </c>
      <c r="G825" s="212" t="n">
        <v>160</v>
      </c>
      <c r="H825" s="212" t="s">
        <v>120</v>
      </c>
      <c r="I825" s="250" t="n">
        <v>28.68</v>
      </c>
    </row>
    <row r="826" customFormat="false" ht="13.8" hidden="false" customHeight="false" outlineLevel="0" collapsed="false">
      <c r="A826" s="218"/>
      <c r="B826" s="251"/>
      <c r="C826" s="251"/>
      <c r="D826" s="251"/>
      <c r="E826" s="251"/>
      <c r="F826" s="212" t="s">
        <v>4562</v>
      </c>
      <c r="G826" s="212" t="n">
        <v>63</v>
      </c>
      <c r="H826" s="212" t="s">
        <v>120</v>
      </c>
      <c r="I826" s="250" t="n">
        <v>41.77</v>
      </c>
    </row>
    <row r="827" customFormat="false" ht="13.8" hidden="false" customHeight="false" outlineLevel="0" collapsed="false">
      <c r="A827" s="218"/>
      <c r="B827" s="251"/>
      <c r="C827" s="251"/>
      <c r="D827" s="251"/>
      <c r="E827" s="251"/>
      <c r="F827" s="212" t="s">
        <v>4597</v>
      </c>
      <c r="G827" s="212" t="n">
        <v>63</v>
      </c>
      <c r="H827" s="212" t="s">
        <v>120</v>
      </c>
      <c r="I827" s="250" t="n">
        <v>78.6</v>
      </c>
    </row>
    <row r="828" customFormat="false" ht="13.8" hidden="false" customHeight="false" outlineLevel="0" collapsed="false">
      <c r="A828" s="218"/>
      <c r="B828" s="251"/>
      <c r="C828" s="252"/>
      <c r="D828" s="252"/>
      <c r="E828" s="252"/>
      <c r="F828" s="212" t="s">
        <v>4690</v>
      </c>
      <c r="G828" s="212" t="n">
        <v>160</v>
      </c>
      <c r="H828" s="212" t="s">
        <v>120</v>
      </c>
      <c r="I828" s="250" t="n">
        <v>101.37</v>
      </c>
    </row>
    <row r="829" customFormat="false" ht="13.8" hidden="false" customHeight="false" outlineLevel="0" collapsed="false">
      <c r="A829" s="218"/>
      <c r="B829" s="251"/>
      <c r="C829" s="261" t="s">
        <v>7056</v>
      </c>
      <c r="D829" s="224"/>
      <c r="E829" s="224"/>
      <c r="F829" s="224"/>
      <c r="G829" s="224"/>
      <c r="H829" s="225"/>
      <c r="I829" s="217" t="n">
        <v>5306.04</v>
      </c>
    </row>
    <row r="830" customFormat="false" ht="13.8" hidden="false" customHeight="false" outlineLevel="0" collapsed="false">
      <c r="A830" s="218"/>
      <c r="B830" s="251"/>
      <c r="C830" s="249" t="s">
        <v>3938</v>
      </c>
      <c r="D830" s="249" t="s">
        <v>1952</v>
      </c>
      <c r="E830" s="249" t="s">
        <v>117</v>
      </c>
      <c r="F830" s="212" t="s">
        <v>4639</v>
      </c>
      <c r="G830" s="212" t="n">
        <v>63</v>
      </c>
      <c r="H830" s="212" t="s">
        <v>120</v>
      </c>
      <c r="I830" s="250" t="n">
        <v>102.8</v>
      </c>
    </row>
    <row r="831" customFormat="false" ht="13.8" hidden="false" customHeight="false" outlineLevel="0" collapsed="false">
      <c r="A831" s="218"/>
      <c r="B831" s="251"/>
      <c r="C831" s="251"/>
      <c r="D831" s="251"/>
      <c r="E831" s="251"/>
      <c r="F831" s="212" t="s">
        <v>4670</v>
      </c>
      <c r="G831" s="212" t="n">
        <v>63</v>
      </c>
      <c r="H831" s="212" t="s">
        <v>120</v>
      </c>
      <c r="I831" s="250" t="n">
        <v>49.84</v>
      </c>
    </row>
    <row r="832" customFormat="false" ht="13.8" hidden="false" customHeight="false" outlineLevel="0" collapsed="false">
      <c r="A832" s="218"/>
      <c r="B832" s="251"/>
      <c r="C832" s="251"/>
      <c r="D832" s="251"/>
      <c r="E832" s="251"/>
      <c r="F832" s="212" t="s">
        <v>4677</v>
      </c>
      <c r="G832" s="212" t="n">
        <v>63</v>
      </c>
      <c r="H832" s="212" t="s">
        <v>120</v>
      </c>
      <c r="I832" s="250" t="n">
        <v>66.44</v>
      </c>
    </row>
    <row r="833" customFormat="false" ht="13.8" hidden="false" customHeight="false" outlineLevel="0" collapsed="false">
      <c r="A833" s="218"/>
      <c r="B833" s="251"/>
      <c r="C833" s="251"/>
      <c r="D833" s="251"/>
      <c r="E833" s="251"/>
      <c r="F833" s="212" t="s">
        <v>4700</v>
      </c>
      <c r="G833" s="212" t="n">
        <v>63</v>
      </c>
      <c r="H833" s="212" t="s">
        <v>120</v>
      </c>
      <c r="I833" s="250" t="n">
        <v>74.84</v>
      </c>
    </row>
    <row r="834" customFormat="false" ht="13.8" hidden="false" customHeight="false" outlineLevel="0" collapsed="false">
      <c r="A834" s="218"/>
      <c r="B834" s="251"/>
      <c r="C834" s="251"/>
      <c r="D834" s="251"/>
      <c r="E834" s="251"/>
      <c r="F834" s="212" t="s">
        <v>4711</v>
      </c>
      <c r="G834" s="212" t="n">
        <v>63</v>
      </c>
      <c r="H834" s="212" t="s">
        <v>120</v>
      </c>
      <c r="I834" s="250" t="n">
        <v>43.71</v>
      </c>
    </row>
    <row r="835" customFormat="false" ht="13.8" hidden="false" customHeight="false" outlineLevel="0" collapsed="false">
      <c r="A835" s="218"/>
      <c r="B835" s="251"/>
      <c r="C835" s="251"/>
      <c r="D835" s="251"/>
      <c r="E835" s="251"/>
      <c r="F835" s="212" t="s">
        <v>4715</v>
      </c>
      <c r="G835" s="212" t="n">
        <v>63</v>
      </c>
      <c r="H835" s="212" t="s">
        <v>120</v>
      </c>
      <c r="I835" s="250" t="n">
        <v>22.07</v>
      </c>
    </row>
    <row r="836" customFormat="false" ht="13.8" hidden="false" customHeight="false" outlineLevel="0" collapsed="false">
      <c r="A836" s="218"/>
      <c r="B836" s="251"/>
      <c r="C836" s="251"/>
      <c r="D836" s="252"/>
      <c r="E836" s="252"/>
      <c r="F836" s="212" t="s">
        <v>4718</v>
      </c>
      <c r="G836" s="212" t="n">
        <v>63</v>
      </c>
      <c r="H836" s="212" t="s">
        <v>120</v>
      </c>
      <c r="I836" s="250" t="n">
        <v>19.42</v>
      </c>
    </row>
    <row r="837" customFormat="false" ht="13.8" hidden="false" customHeight="false" outlineLevel="0" collapsed="false">
      <c r="A837" s="218"/>
      <c r="B837" s="251"/>
      <c r="C837" s="251"/>
      <c r="D837" s="249" t="s">
        <v>2117</v>
      </c>
      <c r="E837" s="249" t="s">
        <v>117</v>
      </c>
      <c r="F837" s="212" t="s">
        <v>4399</v>
      </c>
      <c r="G837" s="212" t="n">
        <v>90</v>
      </c>
      <c r="H837" s="212" t="s">
        <v>120</v>
      </c>
      <c r="I837" s="250" t="n">
        <v>15.98</v>
      </c>
    </row>
    <row r="838" customFormat="false" ht="13.8" hidden="false" customHeight="false" outlineLevel="0" collapsed="false">
      <c r="A838" s="218"/>
      <c r="B838" s="251"/>
      <c r="C838" s="251"/>
      <c r="D838" s="251"/>
      <c r="E838" s="251"/>
      <c r="F838" s="212" t="s">
        <v>4408</v>
      </c>
      <c r="G838" s="212" t="n">
        <v>160</v>
      </c>
      <c r="H838" s="212" t="s">
        <v>120</v>
      </c>
      <c r="I838" s="250" t="n">
        <v>17.57</v>
      </c>
    </row>
    <row r="839" customFormat="false" ht="13.8" hidden="false" customHeight="false" outlineLevel="0" collapsed="false">
      <c r="A839" s="218"/>
      <c r="B839" s="251"/>
      <c r="C839" s="251"/>
      <c r="D839" s="251"/>
      <c r="E839" s="251"/>
      <c r="F839" s="212" t="s">
        <v>4412</v>
      </c>
      <c r="G839" s="212" t="n">
        <v>160</v>
      </c>
      <c r="H839" s="212" t="s">
        <v>120</v>
      </c>
      <c r="I839" s="250" t="n">
        <v>59.78</v>
      </c>
    </row>
    <row r="840" customFormat="false" ht="13.8" hidden="false" customHeight="false" outlineLevel="0" collapsed="false">
      <c r="A840" s="218"/>
      <c r="B840" s="251"/>
      <c r="C840" s="251"/>
      <c r="D840" s="251"/>
      <c r="E840" s="251"/>
      <c r="F840" s="212" t="s">
        <v>4421</v>
      </c>
      <c r="G840" s="212" t="n">
        <v>160</v>
      </c>
      <c r="H840" s="212" t="s">
        <v>120</v>
      </c>
      <c r="I840" s="250" t="n">
        <v>4.88</v>
      </c>
    </row>
    <row r="841" customFormat="false" ht="13.8" hidden="false" customHeight="false" outlineLevel="0" collapsed="false">
      <c r="A841" s="218"/>
      <c r="B841" s="251"/>
      <c r="C841" s="251"/>
      <c r="D841" s="251"/>
      <c r="E841" s="251"/>
      <c r="F841" s="212" t="s">
        <v>4425</v>
      </c>
      <c r="G841" s="212" t="n">
        <v>160</v>
      </c>
      <c r="H841" s="212" t="s">
        <v>120</v>
      </c>
      <c r="I841" s="250" t="n">
        <v>139.96</v>
      </c>
    </row>
    <row r="842" customFormat="false" ht="13.8" hidden="false" customHeight="false" outlineLevel="0" collapsed="false">
      <c r="A842" s="218"/>
      <c r="B842" s="251"/>
      <c r="C842" s="251"/>
      <c r="D842" s="251"/>
      <c r="E842" s="251"/>
      <c r="F842" s="212" t="s">
        <v>4428</v>
      </c>
      <c r="G842" s="212" t="n">
        <v>63</v>
      </c>
      <c r="H842" s="212" t="s">
        <v>120</v>
      </c>
      <c r="I842" s="250" t="n">
        <v>0.73</v>
      </c>
    </row>
    <row r="843" customFormat="false" ht="13.8" hidden="false" customHeight="false" outlineLevel="0" collapsed="false">
      <c r="A843" s="218"/>
      <c r="B843" s="251"/>
      <c r="C843" s="251"/>
      <c r="D843" s="251"/>
      <c r="E843" s="251"/>
      <c r="F843" s="212" t="s">
        <v>4439</v>
      </c>
      <c r="G843" s="212" t="n">
        <v>63</v>
      </c>
      <c r="H843" s="212" t="s">
        <v>120</v>
      </c>
      <c r="I843" s="250" t="n">
        <v>14.49</v>
      </c>
    </row>
    <row r="844" customFormat="false" ht="13.8" hidden="false" customHeight="false" outlineLevel="0" collapsed="false">
      <c r="A844" s="218"/>
      <c r="B844" s="251"/>
      <c r="C844" s="251"/>
      <c r="D844" s="252"/>
      <c r="E844" s="252"/>
      <c r="F844" s="212" t="s">
        <v>4541</v>
      </c>
      <c r="G844" s="212" t="n">
        <v>63</v>
      </c>
      <c r="H844" s="212" t="s">
        <v>120</v>
      </c>
      <c r="I844" s="250" t="n">
        <v>91.46</v>
      </c>
    </row>
    <row r="845" customFormat="false" ht="13.8" hidden="false" customHeight="false" outlineLevel="0" collapsed="false">
      <c r="A845" s="218"/>
      <c r="B845" s="251"/>
      <c r="C845" s="251"/>
      <c r="D845" s="249" t="s">
        <v>2524</v>
      </c>
      <c r="E845" s="249" t="s">
        <v>117</v>
      </c>
      <c r="F845" s="212" t="s">
        <v>4585</v>
      </c>
      <c r="G845" s="212" t="n">
        <v>63</v>
      </c>
      <c r="H845" s="212" t="s">
        <v>120</v>
      </c>
      <c r="I845" s="250" t="n">
        <v>58.87</v>
      </c>
    </row>
    <row r="846" customFormat="false" ht="13.8" hidden="false" customHeight="false" outlineLevel="0" collapsed="false">
      <c r="A846" s="218"/>
      <c r="B846" s="251"/>
      <c r="C846" s="251"/>
      <c r="D846" s="251"/>
      <c r="E846" s="251"/>
      <c r="F846" s="212" t="s">
        <v>4608</v>
      </c>
      <c r="G846" s="212" t="n">
        <v>63</v>
      </c>
      <c r="H846" s="212" t="s">
        <v>120</v>
      </c>
      <c r="I846" s="250" t="n">
        <v>62.93</v>
      </c>
    </row>
    <row r="847" customFormat="false" ht="13.8" hidden="false" customHeight="false" outlineLevel="0" collapsed="false">
      <c r="A847" s="218"/>
      <c r="B847" s="251"/>
      <c r="C847" s="251"/>
      <c r="D847" s="251"/>
      <c r="E847" s="251"/>
      <c r="F847" s="212" t="s">
        <v>4620</v>
      </c>
      <c r="G847" s="212" t="n">
        <v>63</v>
      </c>
      <c r="H847" s="212" t="s">
        <v>120</v>
      </c>
      <c r="I847" s="250" t="n">
        <v>114.75</v>
      </c>
    </row>
    <row r="848" customFormat="false" ht="13.8" hidden="false" customHeight="false" outlineLevel="0" collapsed="false">
      <c r="A848" s="218"/>
      <c r="B848" s="251"/>
      <c r="C848" s="251"/>
      <c r="D848" s="251"/>
      <c r="E848" s="251"/>
      <c r="F848" s="212" t="s">
        <v>4651</v>
      </c>
      <c r="G848" s="212" t="n">
        <v>63</v>
      </c>
      <c r="H848" s="212" t="s">
        <v>120</v>
      </c>
      <c r="I848" s="250" t="n">
        <v>138.68</v>
      </c>
    </row>
    <row r="849" customFormat="false" ht="13.8" hidden="false" customHeight="false" outlineLevel="0" collapsed="false">
      <c r="A849" s="218"/>
      <c r="B849" s="251"/>
      <c r="C849" s="251"/>
      <c r="D849" s="252"/>
      <c r="E849" s="252"/>
      <c r="F849" s="212" t="s">
        <v>4683</v>
      </c>
      <c r="G849" s="212" t="n">
        <v>63</v>
      </c>
      <c r="H849" s="212" t="s">
        <v>120</v>
      </c>
      <c r="I849" s="250" t="n">
        <v>47.37</v>
      </c>
    </row>
    <row r="850" customFormat="false" ht="13.8" hidden="false" customHeight="false" outlineLevel="0" collapsed="false">
      <c r="A850" s="218"/>
      <c r="B850" s="251"/>
      <c r="C850" s="251"/>
      <c r="D850" s="249" t="s">
        <v>4756</v>
      </c>
      <c r="E850" s="249" t="s">
        <v>117</v>
      </c>
      <c r="F850" s="212" t="s">
        <v>4755</v>
      </c>
      <c r="G850" s="212" t="n">
        <v>160</v>
      </c>
      <c r="H850" s="212" t="s">
        <v>120</v>
      </c>
      <c r="I850" s="250" t="n">
        <v>227.74</v>
      </c>
    </row>
    <row r="851" customFormat="false" ht="13.8" hidden="false" customHeight="false" outlineLevel="0" collapsed="false">
      <c r="A851" s="218"/>
      <c r="B851" s="251"/>
      <c r="C851" s="251"/>
      <c r="D851" s="251"/>
      <c r="E851" s="251"/>
      <c r="F851" s="212" t="s">
        <v>4763</v>
      </c>
      <c r="G851" s="212" t="n">
        <v>63</v>
      </c>
      <c r="H851" s="212" t="s">
        <v>120</v>
      </c>
      <c r="I851" s="250" t="n">
        <v>1.22</v>
      </c>
    </row>
    <row r="852" customFormat="false" ht="13.8" hidden="false" customHeight="false" outlineLevel="0" collapsed="false">
      <c r="A852" s="218"/>
      <c r="B852" s="251"/>
      <c r="C852" s="251"/>
      <c r="D852" s="251"/>
      <c r="E852" s="251"/>
      <c r="F852" s="212" t="s">
        <v>4779</v>
      </c>
      <c r="G852" s="212" t="n">
        <v>63</v>
      </c>
      <c r="H852" s="212" t="s">
        <v>120</v>
      </c>
      <c r="I852" s="250" t="n">
        <v>63.78</v>
      </c>
    </row>
    <row r="853" customFormat="false" ht="13.8" hidden="false" customHeight="false" outlineLevel="0" collapsed="false">
      <c r="A853" s="218"/>
      <c r="B853" s="251"/>
      <c r="C853" s="251"/>
      <c r="D853" s="251"/>
      <c r="E853" s="251"/>
      <c r="F853" s="212" t="s">
        <v>4786</v>
      </c>
      <c r="G853" s="212" t="n">
        <v>63</v>
      </c>
      <c r="H853" s="212" t="s">
        <v>120</v>
      </c>
      <c r="I853" s="250" t="n">
        <v>9.03</v>
      </c>
    </row>
    <row r="854" customFormat="false" ht="13.8" hidden="false" customHeight="false" outlineLevel="0" collapsed="false">
      <c r="A854" s="218"/>
      <c r="B854" s="251"/>
      <c r="C854" s="251"/>
      <c r="D854" s="251"/>
      <c r="E854" s="251"/>
      <c r="F854" s="212" t="s">
        <v>4789</v>
      </c>
      <c r="G854" s="212" t="n">
        <v>63</v>
      </c>
      <c r="H854" s="212" t="s">
        <v>120</v>
      </c>
      <c r="I854" s="250" t="n">
        <v>26.18</v>
      </c>
    </row>
    <row r="855" customFormat="false" ht="13.8" hidden="false" customHeight="false" outlineLevel="0" collapsed="false">
      <c r="A855" s="218"/>
      <c r="B855" s="251"/>
      <c r="C855" s="251"/>
      <c r="D855" s="252"/>
      <c r="E855" s="252"/>
      <c r="F855" s="212" t="s">
        <v>4797</v>
      </c>
      <c r="G855" s="212" t="n">
        <v>63</v>
      </c>
      <c r="H855" s="212" t="s">
        <v>120</v>
      </c>
      <c r="I855" s="250" t="n">
        <v>65.48</v>
      </c>
    </row>
    <row r="856" customFormat="false" ht="13.8" hidden="false" customHeight="false" outlineLevel="0" collapsed="false">
      <c r="A856" s="218"/>
      <c r="B856" s="251"/>
      <c r="C856" s="251"/>
      <c r="D856" s="249" t="s">
        <v>4747</v>
      </c>
      <c r="E856" s="249" t="s">
        <v>117</v>
      </c>
      <c r="F856" s="212" t="s">
        <v>4746</v>
      </c>
      <c r="G856" s="212" t="n">
        <v>160</v>
      </c>
      <c r="H856" s="212" t="s">
        <v>120</v>
      </c>
      <c r="I856" s="250" t="n">
        <v>39.72</v>
      </c>
    </row>
    <row r="857" customFormat="false" ht="13.8" hidden="false" customHeight="false" outlineLevel="0" collapsed="false">
      <c r="A857" s="218"/>
      <c r="B857" s="251"/>
      <c r="C857" s="251"/>
      <c r="D857" s="252"/>
      <c r="E857" s="252"/>
      <c r="F857" s="212" t="s">
        <v>4767</v>
      </c>
      <c r="G857" s="212" t="n">
        <v>63</v>
      </c>
      <c r="H857" s="212" t="s">
        <v>120</v>
      </c>
      <c r="I857" s="250" t="n">
        <v>27.49</v>
      </c>
    </row>
    <row r="858" customFormat="false" ht="13.8" hidden="false" customHeight="false" outlineLevel="0" collapsed="false">
      <c r="A858" s="218"/>
      <c r="B858" s="251"/>
      <c r="C858" s="251"/>
      <c r="D858" s="212" t="s">
        <v>3076</v>
      </c>
      <c r="E858" s="212" t="s">
        <v>117</v>
      </c>
      <c r="F858" s="212" t="s">
        <v>4742</v>
      </c>
      <c r="G858" s="212" t="n">
        <v>160</v>
      </c>
      <c r="H858" s="212" t="s">
        <v>120</v>
      </c>
      <c r="I858" s="250" t="n">
        <v>98.29</v>
      </c>
    </row>
    <row r="859" customFormat="false" ht="13.8" hidden="false" customHeight="false" outlineLevel="0" collapsed="false">
      <c r="A859" s="218"/>
      <c r="B859" s="251"/>
      <c r="C859" s="251"/>
      <c r="D859" s="249" t="s">
        <v>2042</v>
      </c>
      <c r="E859" s="249" t="s">
        <v>117</v>
      </c>
      <c r="F859" s="212" t="s">
        <v>4728</v>
      </c>
      <c r="G859" s="212" t="n">
        <v>160</v>
      </c>
      <c r="H859" s="212" t="s">
        <v>120</v>
      </c>
      <c r="I859" s="250" t="n">
        <v>117.1</v>
      </c>
    </row>
    <row r="860" customFormat="false" ht="13.8" hidden="false" customHeight="false" outlineLevel="0" collapsed="false">
      <c r="A860" s="218"/>
      <c r="B860" s="251"/>
      <c r="C860" s="251"/>
      <c r="D860" s="251"/>
      <c r="E860" s="251"/>
      <c r="F860" s="212" t="s">
        <v>4751</v>
      </c>
      <c r="G860" s="212" t="n">
        <v>63</v>
      </c>
      <c r="H860" s="212" t="s">
        <v>120</v>
      </c>
      <c r="I860" s="250" t="n">
        <v>18.58</v>
      </c>
    </row>
    <row r="861" customFormat="false" ht="13.8" hidden="false" customHeight="false" outlineLevel="0" collapsed="false">
      <c r="A861" s="218"/>
      <c r="B861" s="251"/>
      <c r="C861" s="251"/>
      <c r="D861" s="252"/>
      <c r="E861" s="252"/>
      <c r="F861" s="212" t="s">
        <v>4771</v>
      </c>
      <c r="G861" s="212" t="n">
        <v>63</v>
      </c>
      <c r="H861" s="212" t="s">
        <v>120</v>
      </c>
      <c r="I861" s="250" t="n">
        <v>46.82</v>
      </c>
    </row>
    <row r="862" customFormat="false" ht="13.8" hidden="false" customHeight="false" outlineLevel="0" collapsed="false">
      <c r="A862" s="218"/>
      <c r="B862" s="251"/>
      <c r="C862" s="251"/>
      <c r="D862" s="212" t="s">
        <v>2063</v>
      </c>
      <c r="E862" s="212" t="s">
        <v>117</v>
      </c>
      <c r="F862" s="212" t="s">
        <v>4800</v>
      </c>
      <c r="G862" s="212" t="n">
        <v>63</v>
      </c>
      <c r="H862" s="212" t="s">
        <v>120</v>
      </c>
      <c r="I862" s="250" t="n">
        <v>86.8</v>
      </c>
    </row>
    <row r="863" customFormat="false" ht="13.8" hidden="false" customHeight="false" outlineLevel="0" collapsed="false">
      <c r="A863" s="218"/>
      <c r="B863" s="251"/>
      <c r="C863" s="251"/>
      <c r="D863" s="212" t="s">
        <v>2754</v>
      </c>
      <c r="E863" s="212" t="s">
        <v>117</v>
      </c>
      <c r="F863" s="212" t="s">
        <v>4361</v>
      </c>
      <c r="G863" s="212" t="n">
        <v>63</v>
      </c>
      <c r="H863" s="212" t="s">
        <v>120</v>
      </c>
      <c r="I863" s="250" t="n">
        <v>82.22</v>
      </c>
    </row>
    <row r="864" customFormat="false" ht="13.8" hidden="false" customHeight="false" outlineLevel="0" collapsed="false">
      <c r="A864" s="218"/>
      <c r="B864" s="251"/>
      <c r="C864" s="251"/>
      <c r="D864" s="212" t="s">
        <v>4329</v>
      </c>
      <c r="E864" s="212" t="s">
        <v>117</v>
      </c>
      <c r="F864" s="212" t="s">
        <v>4328</v>
      </c>
      <c r="G864" s="212" t="n">
        <v>90</v>
      </c>
      <c r="H864" s="212" t="s">
        <v>120</v>
      </c>
      <c r="I864" s="250" t="n">
        <v>46.17</v>
      </c>
    </row>
    <row r="865" customFormat="false" ht="13.8" hidden="false" customHeight="false" outlineLevel="0" collapsed="false">
      <c r="A865" s="218"/>
      <c r="B865" s="251"/>
      <c r="C865" s="251"/>
      <c r="D865" s="249" t="s">
        <v>2630</v>
      </c>
      <c r="E865" s="249" t="s">
        <v>117</v>
      </c>
      <c r="F865" s="212" t="s">
        <v>4297</v>
      </c>
      <c r="G865" s="212" t="n">
        <v>63</v>
      </c>
      <c r="H865" s="212" t="s">
        <v>120</v>
      </c>
      <c r="I865" s="250" t="n">
        <v>56.33</v>
      </c>
    </row>
    <row r="866" customFormat="false" ht="13.8" hidden="false" customHeight="false" outlineLevel="0" collapsed="false">
      <c r="A866" s="218"/>
      <c r="B866" s="251"/>
      <c r="C866" s="251"/>
      <c r="D866" s="251"/>
      <c r="E866" s="251"/>
      <c r="F866" s="212" t="s">
        <v>4303</v>
      </c>
      <c r="G866" s="212" t="n">
        <v>63</v>
      </c>
      <c r="H866" s="212" t="s">
        <v>120</v>
      </c>
      <c r="I866" s="250" t="n">
        <v>4.05</v>
      </c>
    </row>
    <row r="867" customFormat="false" ht="13.8" hidden="false" customHeight="false" outlineLevel="0" collapsed="false">
      <c r="A867" s="218"/>
      <c r="B867" s="251"/>
      <c r="C867" s="251"/>
      <c r="D867" s="251"/>
      <c r="E867" s="251"/>
      <c r="F867" s="212" t="s">
        <v>4317</v>
      </c>
      <c r="G867" s="212" t="n">
        <v>63</v>
      </c>
      <c r="H867" s="212" t="s">
        <v>120</v>
      </c>
      <c r="I867" s="250" t="n">
        <v>145.02</v>
      </c>
    </row>
    <row r="868" customFormat="false" ht="13.8" hidden="false" customHeight="false" outlineLevel="0" collapsed="false">
      <c r="A868" s="218"/>
      <c r="B868" s="251"/>
      <c r="C868" s="251"/>
      <c r="D868" s="251"/>
      <c r="E868" s="251"/>
      <c r="F868" s="212" t="s">
        <v>4321</v>
      </c>
      <c r="G868" s="212" t="n">
        <v>63</v>
      </c>
      <c r="H868" s="212" t="s">
        <v>120</v>
      </c>
      <c r="I868" s="250" t="n">
        <v>49</v>
      </c>
    </row>
    <row r="869" customFormat="false" ht="13.8" hidden="false" customHeight="false" outlineLevel="0" collapsed="false">
      <c r="A869" s="218"/>
      <c r="B869" s="251"/>
      <c r="C869" s="251"/>
      <c r="D869" s="251"/>
      <c r="E869" s="251"/>
      <c r="F869" s="212" t="s">
        <v>4324</v>
      </c>
      <c r="G869" s="212" t="n">
        <v>63</v>
      </c>
      <c r="H869" s="212" t="s">
        <v>120</v>
      </c>
      <c r="I869" s="250" t="n">
        <v>142.2</v>
      </c>
    </row>
    <row r="870" customFormat="false" ht="13.8" hidden="false" customHeight="false" outlineLevel="0" collapsed="false">
      <c r="A870" s="218"/>
      <c r="B870" s="251"/>
      <c r="C870" s="251"/>
      <c r="D870" s="251"/>
      <c r="E870" s="251"/>
      <c r="F870" s="212" t="s">
        <v>4333</v>
      </c>
      <c r="G870" s="212" t="n">
        <v>63</v>
      </c>
      <c r="H870" s="212" t="s">
        <v>120</v>
      </c>
      <c r="I870" s="250" t="n">
        <v>128.06</v>
      </c>
    </row>
    <row r="871" customFormat="false" ht="13.8" hidden="false" customHeight="false" outlineLevel="0" collapsed="false">
      <c r="A871" s="218"/>
      <c r="B871" s="251"/>
      <c r="C871" s="251"/>
      <c r="D871" s="251"/>
      <c r="E871" s="251"/>
      <c r="F871" s="212" t="s">
        <v>4337</v>
      </c>
      <c r="G871" s="212" t="n">
        <v>63</v>
      </c>
      <c r="H871" s="212" t="s">
        <v>120</v>
      </c>
      <c r="I871" s="250" t="n">
        <v>87.9</v>
      </c>
    </row>
    <row r="872" customFormat="false" ht="13.8" hidden="false" customHeight="false" outlineLevel="0" collapsed="false">
      <c r="A872" s="218"/>
      <c r="B872" s="251"/>
      <c r="C872" s="251"/>
      <c r="D872" s="251"/>
      <c r="E872" s="251"/>
      <c r="F872" s="212" t="s">
        <v>4352</v>
      </c>
      <c r="G872" s="212" t="n">
        <v>63</v>
      </c>
      <c r="H872" s="212" t="s">
        <v>120</v>
      </c>
      <c r="I872" s="250" t="n">
        <v>43.68</v>
      </c>
    </row>
    <row r="873" customFormat="false" ht="13.8" hidden="false" customHeight="false" outlineLevel="0" collapsed="false">
      <c r="A873" s="218"/>
      <c r="B873" s="251"/>
      <c r="C873" s="251"/>
      <c r="D873" s="252"/>
      <c r="E873" s="252"/>
      <c r="F873" s="212" t="s">
        <v>4364</v>
      </c>
      <c r="G873" s="212" t="n">
        <v>63</v>
      </c>
      <c r="H873" s="212" t="s">
        <v>120</v>
      </c>
      <c r="I873" s="250" t="n">
        <v>121.81</v>
      </c>
    </row>
    <row r="874" customFormat="false" ht="13.8" hidden="false" customHeight="false" outlineLevel="0" collapsed="false">
      <c r="A874" s="218"/>
      <c r="B874" s="251"/>
      <c r="C874" s="251"/>
      <c r="D874" s="249" t="s">
        <v>2638</v>
      </c>
      <c r="E874" s="249" t="s">
        <v>117</v>
      </c>
      <c r="F874" s="212" t="s">
        <v>4624</v>
      </c>
      <c r="G874" s="212" t="n">
        <v>63</v>
      </c>
      <c r="H874" s="212" t="s">
        <v>120</v>
      </c>
      <c r="I874" s="250" t="n">
        <v>53.37</v>
      </c>
    </row>
    <row r="875" customFormat="false" ht="13.8" hidden="false" customHeight="false" outlineLevel="0" collapsed="false">
      <c r="A875" s="218"/>
      <c r="B875" s="251"/>
      <c r="C875" s="251"/>
      <c r="D875" s="252"/>
      <c r="E875" s="252"/>
      <c r="F875" s="212" t="s">
        <v>4643</v>
      </c>
      <c r="G875" s="212" t="n">
        <v>63</v>
      </c>
      <c r="H875" s="212" t="s">
        <v>120</v>
      </c>
      <c r="I875" s="250" t="n">
        <v>165.15</v>
      </c>
    </row>
    <row r="876" customFormat="false" ht="13.8" hidden="false" customHeight="false" outlineLevel="0" collapsed="false">
      <c r="A876" s="218"/>
      <c r="B876" s="251"/>
      <c r="C876" s="251"/>
      <c r="D876" s="249" t="s">
        <v>4015</v>
      </c>
      <c r="E876" s="249" t="s">
        <v>117</v>
      </c>
      <c r="F876" s="212" t="s">
        <v>4396</v>
      </c>
      <c r="G876" s="212" t="n">
        <v>90</v>
      </c>
      <c r="H876" s="212" t="s">
        <v>120</v>
      </c>
      <c r="I876" s="250" t="n">
        <v>127.42</v>
      </c>
    </row>
    <row r="877" customFormat="false" ht="13.8" hidden="false" customHeight="false" outlineLevel="0" collapsed="false">
      <c r="A877" s="218"/>
      <c r="B877" s="251"/>
      <c r="C877" s="251"/>
      <c r="D877" s="251"/>
      <c r="E877" s="251"/>
      <c r="F877" s="212" t="s">
        <v>4534</v>
      </c>
      <c r="G877" s="212" t="n">
        <v>90</v>
      </c>
      <c r="H877" s="212" t="s">
        <v>120</v>
      </c>
      <c r="I877" s="250" t="n">
        <v>47.08</v>
      </c>
    </row>
    <row r="878" customFormat="false" ht="13.8" hidden="false" customHeight="false" outlineLevel="0" collapsed="false">
      <c r="A878" s="218"/>
      <c r="B878" s="251"/>
      <c r="C878" s="251"/>
      <c r="D878" s="251"/>
      <c r="E878" s="251"/>
      <c r="F878" s="212" t="s">
        <v>4556</v>
      </c>
      <c r="G878" s="212" t="n">
        <v>110</v>
      </c>
      <c r="H878" s="212" t="s">
        <v>120</v>
      </c>
      <c r="I878" s="250" t="n">
        <v>46.04</v>
      </c>
    </row>
    <row r="879" customFormat="false" ht="13.8" hidden="false" customHeight="false" outlineLevel="0" collapsed="false">
      <c r="A879" s="218"/>
      <c r="B879" s="251"/>
      <c r="C879" s="251"/>
      <c r="D879" s="251"/>
      <c r="E879" s="251"/>
      <c r="F879" s="212" t="s">
        <v>4593</v>
      </c>
      <c r="G879" s="212" t="n">
        <v>63</v>
      </c>
      <c r="H879" s="212" t="s">
        <v>120</v>
      </c>
      <c r="I879" s="250" t="n">
        <v>230.06</v>
      </c>
    </row>
    <row r="880" customFormat="false" ht="13.8" hidden="false" customHeight="false" outlineLevel="0" collapsed="false">
      <c r="A880" s="218"/>
      <c r="B880" s="251"/>
      <c r="C880" s="251"/>
      <c r="D880" s="251"/>
      <c r="E880" s="251"/>
      <c r="F880" s="212" t="s">
        <v>4601</v>
      </c>
      <c r="G880" s="212" t="n">
        <v>63</v>
      </c>
      <c r="H880" s="212" t="s">
        <v>120</v>
      </c>
      <c r="I880" s="250" t="n">
        <v>238.59</v>
      </c>
    </row>
    <row r="881" customFormat="false" ht="13.8" hidden="false" customHeight="false" outlineLevel="0" collapsed="false">
      <c r="A881" s="218"/>
      <c r="B881" s="251"/>
      <c r="C881" s="251"/>
      <c r="D881" s="251"/>
      <c r="E881" s="251"/>
      <c r="F881" s="212" t="s">
        <v>4605</v>
      </c>
      <c r="G881" s="212" t="n">
        <v>160</v>
      </c>
      <c r="H881" s="212" t="s">
        <v>120</v>
      </c>
      <c r="I881" s="250" t="n">
        <v>132.2</v>
      </c>
    </row>
    <row r="882" customFormat="false" ht="13.8" hidden="false" customHeight="false" outlineLevel="0" collapsed="false">
      <c r="A882" s="218"/>
      <c r="B882" s="251"/>
      <c r="C882" s="251"/>
      <c r="D882" s="252"/>
      <c r="E882" s="252"/>
      <c r="F882" s="212" t="s">
        <v>4628</v>
      </c>
      <c r="G882" s="212" t="n">
        <v>160</v>
      </c>
      <c r="H882" s="212" t="s">
        <v>120</v>
      </c>
      <c r="I882" s="250" t="n">
        <v>48.92</v>
      </c>
    </row>
    <row r="883" customFormat="false" ht="13.8" hidden="false" customHeight="false" outlineLevel="0" collapsed="false">
      <c r="A883" s="218"/>
      <c r="B883" s="251"/>
      <c r="C883" s="251"/>
      <c r="D883" s="212" t="s">
        <v>4435</v>
      </c>
      <c r="E883" s="212" t="s">
        <v>117</v>
      </c>
      <c r="F883" s="212" t="s">
        <v>4589</v>
      </c>
      <c r="G883" s="212" t="n">
        <v>63</v>
      </c>
      <c r="H883" s="212" t="s">
        <v>120</v>
      </c>
      <c r="I883" s="250" t="n">
        <v>107.22</v>
      </c>
    </row>
    <row r="884" customFormat="false" ht="13.8" hidden="false" customHeight="false" outlineLevel="0" collapsed="false">
      <c r="A884" s="218"/>
      <c r="B884" s="251"/>
      <c r="C884" s="251"/>
      <c r="D884" s="212" t="s">
        <v>4567</v>
      </c>
      <c r="E884" s="212" t="s">
        <v>117</v>
      </c>
      <c r="F884" s="212" t="s">
        <v>4566</v>
      </c>
      <c r="G884" s="212" t="n">
        <v>63</v>
      </c>
      <c r="H884" s="212" t="s">
        <v>120</v>
      </c>
      <c r="I884" s="250" t="n">
        <v>101.57</v>
      </c>
    </row>
    <row r="885" customFormat="false" ht="13.8" hidden="false" customHeight="false" outlineLevel="0" collapsed="false">
      <c r="A885" s="218"/>
      <c r="B885" s="251"/>
      <c r="C885" s="251"/>
      <c r="D885" s="249" t="s">
        <v>4009</v>
      </c>
      <c r="E885" s="249" t="s">
        <v>117</v>
      </c>
      <c r="F885" s="212" t="s">
        <v>4367</v>
      </c>
      <c r="G885" s="212" t="n">
        <v>90</v>
      </c>
      <c r="H885" s="212" t="s">
        <v>120</v>
      </c>
      <c r="I885" s="250" t="n">
        <v>44.86</v>
      </c>
    </row>
    <row r="886" customFormat="false" ht="13.8" hidden="false" customHeight="false" outlineLevel="0" collapsed="false">
      <c r="A886" s="218"/>
      <c r="B886" s="251"/>
      <c r="C886" s="251"/>
      <c r="D886" s="251"/>
      <c r="E886" s="251"/>
      <c r="F886" s="212" t="s">
        <v>4381</v>
      </c>
      <c r="G886" s="212" t="n">
        <v>90</v>
      </c>
      <c r="H886" s="212" t="s">
        <v>120</v>
      </c>
      <c r="I886" s="250" t="n">
        <v>46</v>
      </c>
    </row>
    <row r="887" customFormat="false" ht="13.8" hidden="false" customHeight="false" outlineLevel="0" collapsed="false">
      <c r="A887" s="218"/>
      <c r="B887" s="251"/>
      <c r="C887" s="251"/>
      <c r="D887" s="251"/>
      <c r="E887" s="251"/>
      <c r="F887" s="212" t="s">
        <v>4385</v>
      </c>
      <c r="G887" s="212" t="n">
        <v>63</v>
      </c>
      <c r="H887" s="212" t="s">
        <v>120</v>
      </c>
      <c r="I887" s="250" t="n">
        <v>130.33</v>
      </c>
    </row>
    <row r="888" customFormat="false" ht="13.8" hidden="false" customHeight="false" outlineLevel="0" collapsed="false">
      <c r="A888" s="218"/>
      <c r="B888" s="251"/>
      <c r="C888" s="251"/>
      <c r="D888" s="251"/>
      <c r="E888" s="251"/>
      <c r="F888" s="212" t="s">
        <v>4389</v>
      </c>
      <c r="G888" s="212" t="n">
        <v>90</v>
      </c>
      <c r="H888" s="212" t="s">
        <v>120</v>
      </c>
      <c r="I888" s="250" t="n">
        <v>40.67</v>
      </c>
    </row>
    <row r="889" customFormat="false" ht="13.8" hidden="false" customHeight="false" outlineLevel="0" collapsed="false">
      <c r="A889" s="218"/>
      <c r="B889" s="251"/>
      <c r="C889" s="251"/>
      <c r="D889" s="251"/>
      <c r="E889" s="251"/>
      <c r="F889" s="212" t="s">
        <v>4417</v>
      </c>
      <c r="G889" s="212" t="n">
        <v>63</v>
      </c>
      <c r="H889" s="212" t="s">
        <v>120</v>
      </c>
      <c r="I889" s="250" t="n">
        <v>131.68</v>
      </c>
    </row>
    <row r="890" customFormat="false" ht="13.8" hidden="false" customHeight="false" outlineLevel="0" collapsed="false">
      <c r="A890" s="218"/>
      <c r="B890" s="251"/>
      <c r="C890" s="251"/>
      <c r="D890" s="252"/>
      <c r="E890" s="252"/>
      <c r="F890" s="212" t="s">
        <v>4443</v>
      </c>
      <c r="G890" s="212" t="n">
        <v>90</v>
      </c>
      <c r="H890" s="212" t="s">
        <v>120</v>
      </c>
      <c r="I890" s="250" t="n">
        <v>41.67</v>
      </c>
    </row>
    <row r="891" customFormat="false" ht="13.8" hidden="false" customHeight="false" outlineLevel="0" collapsed="false">
      <c r="A891" s="218"/>
      <c r="B891" s="251"/>
      <c r="C891" s="251"/>
      <c r="D891" s="249" t="s">
        <v>7055</v>
      </c>
      <c r="E891" s="249" t="s">
        <v>117</v>
      </c>
      <c r="F891" s="212" t="s">
        <v>4294</v>
      </c>
      <c r="G891" s="212" t="n">
        <v>63</v>
      </c>
      <c r="H891" s="212" t="s">
        <v>120</v>
      </c>
      <c r="I891" s="250" t="n">
        <v>24.74</v>
      </c>
    </row>
    <row r="892" customFormat="false" ht="13.8" hidden="false" customHeight="false" outlineLevel="0" collapsed="false">
      <c r="A892" s="218"/>
      <c r="B892" s="251"/>
      <c r="C892" s="251"/>
      <c r="D892" s="251"/>
      <c r="E892" s="251"/>
      <c r="F892" s="212" t="s">
        <v>4299</v>
      </c>
      <c r="G892" s="212" t="n">
        <v>63</v>
      </c>
      <c r="H892" s="212" t="s">
        <v>120</v>
      </c>
      <c r="I892" s="250" t="n">
        <v>50.37</v>
      </c>
    </row>
    <row r="893" customFormat="false" ht="13.8" hidden="false" customHeight="false" outlineLevel="0" collapsed="false">
      <c r="A893" s="218"/>
      <c r="B893" s="251"/>
      <c r="C893" s="251"/>
      <c r="D893" s="251"/>
      <c r="E893" s="251"/>
      <c r="F893" s="212" t="s">
        <v>4311</v>
      </c>
      <c r="G893" s="212" t="n">
        <v>63</v>
      </c>
      <c r="H893" s="212" t="s">
        <v>120</v>
      </c>
      <c r="I893" s="250" t="n">
        <v>82.48</v>
      </c>
    </row>
    <row r="894" customFormat="false" ht="13.8" hidden="false" customHeight="false" outlineLevel="0" collapsed="false">
      <c r="A894" s="218"/>
      <c r="B894" s="251"/>
      <c r="C894" s="251"/>
      <c r="D894" s="251"/>
      <c r="E894" s="251"/>
      <c r="F894" s="212" t="s">
        <v>4733</v>
      </c>
      <c r="G894" s="212" t="n">
        <v>160</v>
      </c>
      <c r="H894" s="212" t="s">
        <v>120</v>
      </c>
      <c r="I894" s="250" t="n">
        <v>105.4</v>
      </c>
    </row>
    <row r="895" customFormat="false" ht="13.8" hidden="false" customHeight="false" outlineLevel="0" collapsed="false">
      <c r="A895" s="218"/>
      <c r="B895" s="251"/>
      <c r="C895" s="251"/>
      <c r="D895" s="251"/>
      <c r="E895" s="251"/>
      <c r="F895" s="212" t="s">
        <v>4775</v>
      </c>
      <c r="G895" s="212" t="n">
        <v>63</v>
      </c>
      <c r="H895" s="212" t="s">
        <v>120</v>
      </c>
      <c r="I895" s="250" t="n">
        <v>69.73</v>
      </c>
    </row>
    <row r="896" customFormat="false" ht="13.8" hidden="false" customHeight="false" outlineLevel="0" collapsed="false">
      <c r="A896" s="218"/>
      <c r="B896" s="251"/>
      <c r="C896" s="251"/>
      <c r="D896" s="251"/>
      <c r="E896" s="251"/>
      <c r="F896" s="212" t="s">
        <v>4782</v>
      </c>
      <c r="G896" s="212" t="n">
        <v>63</v>
      </c>
      <c r="H896" s="212" t="s">
        <v>120</v>
      </c>
      <c r="I896" s="250" t="n">
        <v>77.61</v>
      </c>
    </row>
    <row r="897" customFormat="false" ht="13.8" hidden="false" customHeight="false" outlineLevel="0" collapsed="false">
      <c r="A897" s="218"/>
      <c r="B897" s="251"/>
      <c r="C897" s="251"/>
      <c r="D897" s="251"/>
      <c r="E897" s="251"/>
      <c r="F897" s="212" t="s">
        <v>4791</v>
      </c>
      <c r="G897" s="212" t="n">
        <v>63</v>
      </c>
      <c r="H897" s="212" t="s">
        <v>120</v>
      </c>
      <c r="I897" s="250" t="n">
        <v>6</v>
      </c>
    </row>
    <row r="898" customFormat="false" ht="13.8" hidden="false" customHeight="false" outlineLevel="0" collapsed="false">
      <c r="A898" s="218"/>
      <c r="B898" s="251"/>
      <c r="C898" s="252"/>
      <c r="D898" s="252"/>
      <c r="E898" s="252"/>
      <c r="F898" s="212" t="s">
        <v>4794</v>
      </c>
      <c r="G898" s="212" t="n">
        <v>63</v>
      </c>
      <c r="H898" s="212" t="s">
        <v>120</v>
      </c>
      <c r="I898" s="250" t="n">
        <v>1.99</v>
      </c>
    </row>
    <row r="899" customFormat="false" ht="13.8" hidden="false" customHeight="false" outlineLevel="0" collapsed="false">
      <c r="A899" s="222"/>
      <c r="B899" s="252"/>
      <c r="C899" s="261" t="s">
        <v>7057</v>
      </c>
      <c r="D899" s="224"/>
      <c r="E899" s="224"/>
      <c r="F899" s="224"/>
      <c r="G899" s="224"/>
      <c r="H899" s="225"/>
      <c r="I899" s="217" t="n">
        <v>5032.39</v>
      </c>
    </row>
    <row r="900" customFormat="false" ht="13.8" hidden="false" customHeight="false" outlineLevel="0" collapsed="false">
      <c r="A900" s="211" t="s">
        <v>4831</v>
      </c>
      <c r="B900" s="249" t="s">
        <v>6</v>
      </c>
      <c r="C900" s="249" t="s">
        <v>1594</v>
      </c>
      <c r="D900" s="249" t="s">
        <v>5031</v>
      </c>
      <c r="E900" s="249" t="s">
        <v>117</v>
      </c>
      <c r="F900" s="212" t="s">
        <v>5030</v>
      </c>
      <c r="G900" s="212" t="n">
        <v>63</v>
      </c>
      <c r="H900" s="212" t="s">
        <v>120</v>
      </c>
      <c r="I900" s="250" t="n">
        <v>7.91</v>
      </c>
    </row>
    <row r="901" customFormat="false" ht="13.8" hidden="false" customHeight="false" outlineLevel="0" collapsed="false">
      <c r="A901" s="218"/>
      <c r="B901" s="251"/>
      <c r="C901" s="251"/>
      <c r="D901" s="251"/>
      <c r="E901" s="251"/>
      <c r="F901" s="212" t="s">
        <v>5042</v>
      </c>
      <c r="G901" s="212" t="n">
        <v>63</v>
      </c>
      <c r="H901" s="212" t="s">
        <v>120</v>
      </c>
      <c r="I901" s="250" t="n">
        <v>209.19</v>
      </c>
    </row>
    <row r="902" customFormat="false" ht="13.8" hidden="false" customHeight="false" outlineLevel="0" collapsed="false">
      <c r="A902" s="218"/>
      <c r="B902" s="251"/>
      <c r="C902" s="251"/>
      <c r="D902" s="251"/>
      <c r="E902" s="251"/>
      <c r="F902" s="212" t="s">
        <v>5051</v>
      </c>
      <c r="G902" s="212" t="n">
        <v>63</v>
      </c>
      <c r="H902" s="212" t="s">
        <v>120</v>
      </c>
      <c r="I902" s="250" t="n">
        <v>37.87</v>
      </c>
    </row>
    <row r="903" customFormat="false" ht="13.8" hidden="false" customHeight="false" outlineLevel="0" collapsed="false">
      <c r="A903" s="218"/>
      <c r="B903" s="251"/>
      <c r="C903" s="251"/>
      <c r="D903" s="251"/>
      <c r="E903" s="251"/>
      <c r="F903" s="212" t="s">
        <v>5064</v>
      </c>
      <c r="G903" s="212" t="n">
        <v>63</v>
      </c>
      <c r="H903" s="212" t="s">
        <v>120</v>
      </c>
      <c r="I903" s="250" t="n">
        <v>7.97</v>
      </c>
    </row>
    <row r="904" customFormat="false" ht="13.8" hidden="false" customHeight="false" outlineLevel="0" collapsed="false">
      <c r="A904" s="218"/>
      <c r="B904" s="251"/>
      <c r="C904" s="251"/>
      <c r="D904" s="252"/>
      <c r="E904" s="252"/>
      <c r="F904" s="212" t="s">
        <v>5077</v>
      </c>
      <c r="G904" s="212" t="n">
        <v>63</v>
      </c>
      <c r="H904" s="212" t="s">
        <v>120</v>
      </c>
      <c r="I904" s="250" t="n">
        <v>52.17</v>
      </c>
    </row>
    <row r="905" customFormat="false" ht="13.8" hidden="false" customHeight="false" outlineLevel="0" collapsed="false">
      <c r="A905" s="218"/>
      <c r="B905" s="251"/>
      <c r="C905" s="251"/>
      <c r="D905" s="249" t="s">
        <v>3516</v>
      </c>
      <c r="E905" s="249" t="s">
        <v>117</v>
      </c>
      <c r="F905" s="212" t="s">
        <v>4857</v>
      </c>
      <c r="G905" s="212" t="n">
        <v>63</v>
      </c>
      <c r="H905" s="212" t="s">
        <v>120</v>
      </c>
      <c r="I905" s="250" t="n">
        <v>114.94</v>
      </c>
    </row>
    <row r="906" customFormat="false" ht="13.8" hidden="false" customHeight="false" outlineLevel="0" collapsed="false">
      <c r="A906" s="218"/>
      <c r="B906" s="251"/>
      <c r="C906" s="251"/>
      <c r="D906" s="251"/>
      <c r="E906" s="251"/>
      <c r="F906" s="212" t="s">
        <v>4869</v>
      </c>
      <c r="G906" s="212" t="n">
        <v>63</v>
      </c>
      <c r="H906" s="212" t="s">
        <v>120</v>
      </c>
      <c r="I906" s="250" t="n">
        <v>103.03</v>
      </c>
    </row>
    <row r="907" customFormat="false" ht="13.8" hidden="false" customHeight="false" outlineLevel="0" collapsed="false">
      <c r="A907" s="218"/>
      <c r="B907" s="251"/>
      <c r="C907" s="251"/>
      <c r="D907" s="251"/>
      <c r="E907" s="251"/>
      <c r="F907" s="212" t="s">
        <v>4873</v>
      </c>
      <c r="G907" s="212" t="n">
        <v>63</v>
      </c>
      <c r="H907" s="212" t="s">
        <v>120</v>
      </c>
      <c r="I907" s="250" t="n">
        <v>73.09</v>
      </c>
    </row>
    <row r="908" customFormat="false" ht="13.8" hidden="false" customHeight="false" outlineLevel="0" collapsed="false">
      <c r="A908" s="218"/>
      <c r="B908" s="251"/>
      <c r="C908" s="251"/>
      <c r="D908" s="251"/>
      <c r="E908" s="251"/>
      <c r="F908" s="212" t="s">
        <v>4881</v>
      </c>
      <c r="G908" s="212" t="n">
        <v>90</v>
      </c>
      <c r="H908" s="212" t="s">
        <v>120</v>
      </c>
      <c r="I908" s="250" t="n">
        <v>79.2</v>
      </c>
    </row>
    <row r="909" customFormat="false" ht="13.8" hidden="false" customHeight="false" outlineLevel="0" collapsed="false">
      <c r="A909" s="218"/>
      <c r="B909" s="251"/>
      <c r="C909" s="251"/>
      <c r="D909" s="251"/>
      <c r="E909" s="251"/>
      <c r="F909" s="212" t="s">
        <v>4888</v>
      </c>
      <c r="G909" s="212" t="n">
        <v>63</v>
      </c>
      <c r="H909" s="212" t="s">
        <v>120</v>
      </c>
      <c r="I909" s="250" t="n">
        <v>159.21</v>
      </c>
    </row>
    <row r="910" customFormat="false" ht="13.8" hidden="false" customHeight="false" outlineLevel="0" collapsed="false">
      <c r="A910" s="218"/>
      <c r="B910" s="251"/>
      <c r="C910" s="251"/>
      <c r="D910" s="251"/>
      <c r="E910" s="251"/>
      <c r="F910" s="212" t="s">
        <v>4896</v>
      </c>
      <c r="G910" s="212" t="n">
        <v>90</v>
      </c>
      <c r="H910" s="212" t="s">
        <v>120</v>
      </c>
      <c r="I910" s="250" t="n">
        <v>114.53</v>
      </c>
    </row>
    <row r="911" customFormat="false" ht="13.8" hidden="false" customHeight="false" outlineLevel="0" collapsed="false">
      <c r="A911" s="218"/>
      <c r="B911" s="251"/>
      <c r="C911" s="251"/>
      <c r="D911" s="251"/>
      <c r="E911" s="251"/>
      <c r="F911" s="212" t="s">
        <v>4907</v>
      </c>
      <c r="G911" s="212" t="n">
        <v>90</v>
      </c>
      <c r="H911" s="212" t="s">
        <v>120</v>
      </c>
      <c r="I911" s="250" t="n">
        <v>36.88</v>
      </c>
    </row>
    <row r="912" customFormat="false" ht="13.8" hidden="false" customHeight="false" outlineLevel="0" collapsed="false">
      <c r="A912" s="218"/>
      <c r="B912" s="251"/>
      <c r="C912" s="251"/>
      <c r="D912" s="251"/>
      <c r="E912" s="251"/>
      <c r="F912" s="212" t="s">
        <v>4911</v>
      </c>
      <c r="G912" s="212" t="n">
        <v>63</v>
      </c>
      <c r="H912" s="212" t="s">
        <v>120</v>
      </c>
      <c r="I912" s="250" t="n">
        <v>1.82</v>
      </c>
    </row>
    <row r="913" customFormat="false" ht="13.8" hidden="false" customHeight="false" outlineLevel="0" collapsed="false">
      <c r="A913" s="218"/>
      <c r="B913" s="251"/>
      <c r="C913" s="251"/>
      <c r="D913" s="251"/>
      <c r="E913" s="251"/>
      <c r="F913" s="212" t="s">
        <v>4923</v>
      </c>
      <c r="G913" s="212" t="n">
        <v>90</v>
      </c>
      <c r="H913" s="212" t="s">
        <v>120</v>
      </c>
      <c r="I913" s="250" t="n">
        <v>4.51</v>
      </c>
    </row>
    <row r="914" customFormat="false" ht="13.8" hidden="false" customHeight="false" outlineLevel="0" collapsed="false">
      <c r="A914" s="218"/>
      <c r="B914" s="251"/>
      <c r="C914" s="251"/>
      <c r="D914" s="251"/>
      <c r="E914" s="251"/>
      <c r="F914" s="212" t="s">
        <v>4925</v>
      </c>
      <c r="G914" s="212" t="n">
        <v>63</v>
      </c>
      <c r="H914" s="212" t="s">
        <v>120</v>
      </c>
      <c r="I914" s="250" t="n">
        <v>41.95</v>
      </c>
    </row>
    <row r="915" customFormat="false" ht="13.8" hidden="false" customHeight="false" outlineLevel="0" collapsed="false">
      <c r="A915" s="218"/>
      <c r="B915" s="251"/>
      <c r="C915" s="251"/>
      <c r="D915" s="251"/>
      <c r="E915" s="251"/>
      <c r="F915" s="212" t="s">
        <v>4929</v>
      </c>
      <c r="G915" s="212" t="n">
        <v>63</v>
      </c>
      <c r="H915" s="212" t="s">
        <v>120</v>
      </c>
      <c r="I915" s="250" t="n">
        <v>0.79</v>
      </c>
    </row>
    <row r="916" customFormat="false" ht="13.8" hidden="false" customHeight="false" outlineLevel="0" collapsed="false">
      <c r="A916" s="218"/>
      <c r="B916" s="251"/>
      <c r="C916" s="251"/>
      <c r="D916" s="251"/>
      <c r="E916" s="251"/>
      <c r="F916" s="212" t="s">
        <v>4935</v>
      </c>
      <c r="G916" s="212" t="n">
        <v>63</v>
      </c>
      <c r="H916" s="212" t="s">
        <v>120</v>
      </c>
      <c r="I916" s="250" t="n">
        <v>43.27</v>
      </c>
    </row>
    <row r="917" customFormat="false" ht="13.8" hidden="false" customHeight="false" outlineLevel="0" collapsed="false">
      <c r="A917" s="218"/>
      <c r="B917" s="251"/>
      <c r="C917" s="251"/>
      <c r="D917" s="251"/>
      <c r="E917" s="251"/>
      <c r="F917" s="212" t="s">
        <v>4950</v>
      </c>
      <c r="G917" s="212" t="n">
        <v>63</v>
      </c>
      <c r="H917" s="212" t="s">
        <v>120</v>
      </c>
      <c r="I917" s="250" t="n">
        <v>45.7</v>
      </c>
    </row>
    <row r="918" customFormat="false" ht="13.8" hidden="false" customHeight="false" outlineLevel="0" collapsed="false">
      <c r="A918" s="218"/>
      <c r="B918" s="251"/>
      <c r="C918" s="251"/>
      <c r="D918" s="251"/>
      <c r="E918" s="251"/>
      <c r="F918" s="212" t="s">
        <v>4977</v>
      </c>
      <c r="G918" s="212" t="n">
        <v>63</v>
      </c>
      <c r="H918" s="212" t="s">
        <v>120</v>
      </c>
      <c r="I918" s="250" t="n">
        <v>106.28</v>
      </c>
    </row>
    <row r="919" customFormat="false" ht="13.8" hidden="false" customHeight="false" outlineLevel="0" collapsed="false">
      <c r="A919" s="218"/>
      <c r="B919" s="251"/>
      <c r="C919" s="251"/>
      <c r="D919" s="252"/>
      <c r="E919" s="252"/>
      <c r="F919" s="212" t="s">
        <v>4985</v>
      </c>
      <c r="G919" s="212" t="n">
        <v>63</v>
      </c>
      <c r="H919" s="212" t="s">
        <v>120</v>
      </c>
      <c r="I919" s="250" t="n">
        <v>109.68</v>
      </c>
    </row>
    <row r="920" customFormat="false" ht="13.8" hidden="false" customHeight="false" outlineLevel="0" collapsed="false">
      <c r="A920" s="218"/>
      <c r="B920" s="251"/>
      <c r="C920" s="251"/>
      <c r="D920" s="249" t="s">
        <v>3494</v>
      </c>
      <c r="E920" s="249" t="s">
        <v>117</v>
      </c>
      <c r="F920" s="212" t="s">
        <v>4885</v>
      </c>
      <c r="G920" s="212" t="n">
        <v>90</v>
      </c>
      <c r="H920" s="212" t="s">
        <v>120</v>
      </c>
      <c r="I920" s="250" t="n">
        <v>97.96</v>
      </c>
    </row>
    <row r="921" customFormat="false" ht="13.8" hidden="false" customHeight="false" outlineLevel="0" collapsed="false">
      <c r="A921" s="218"/>
      <c r="B921" s="251"/>
      <c r="C921" s="251"/>
      <c r="D921" s="252"/>
      <c r="E921" s="252"/>
      <c r="F921" s="212" t="s">
        <v>4899</v>
      </c>
      <c r="G921" s="212" t="n">
        <v>90</v>
      </c>
      <c r="H921" s="212" t="s">
        <v>120</v>
      </c>
      <c r="I921" s="250" t="n">
        <v>190.88</v>
      </c>
    </row>
    <row r="922" customFormat="false" ht="13.8" hidden="false" customHeight="false" outlineLevel="0" collapsed="false">
      <c r="A922" s="218"/>
      <c r="B922" s="251"/>
      <c r="C922" s="251"/>
      <c r="D922" s="212" t="s">
        <v>3354</v>
      </c>
      <c r="E922" s="212" t="s">
        <v>117</v>
      </c>
      <c r="F922" s="212" t="s">
        <v>4843</v>
      </c>
      <c r="G922" s="212" t="n">
        <v>250</v>
      </c>
      <c r="H922" s="212" t="s">
        <v>120</v>
      </c>
      <c r="I922" s="250" t="n">
        <v>6.74</v>
      </c>
    </row>
    <row r="923" customFormat="false" ht="13.8" hidden="false" customHeight="false" outlineLevel="0" collapsed="false">
      <c r="A923" s="218"/>
      <c r="B923" s="251"/>
      <c r="C923" s="251"/>
      <c r="D923" s="249" t="s">
        <v>4973</v>
      </c>
      <c r="E923" s="249" t="s">
        <v>117</v>
      </c>
      <c r="F923" s="212" t="s">
        <v>4972</v>
      </c>
      <c r="G923" s="212" t="n">
        <v>110</v>
      </c>
      <c r="H923" s="212" t="s">
        <v>120</v>
      </c>
      <c r="I923" s="250" t="n">
        <v>47.29</v>
      </c>
    </row>
    <row r="924" customFormat="false" ht="13.8" hidden="false" customHeight="false" outlineLevel="0" collapsed="false">
      <c r="A924" s="218"/>
      <c r="B924" s="251"/>
      <c r="C924" s="251"/>
      <c r="D924" s="251"/>
      <c r="E924" s="251"/>
      <c r="F924" s="212" t="s">
        <v>4989</v>
      </c>
      <c r="G924" s="212" t="n">
        <v>110</v>
      </c>
      <c r="H924" s="212" t="s">
        <v>120</v>
      </c>
      <c r="I924" s="250" t="n">
        <v>66.26</v>
      </c>
    </row>
    <row r="925" customFormat="false" ht="13.8" hidden="false" customHeight="false" outlineLevel="0" collapsed="false">
      <c r="A925" s="218"/>
      <c r="B925" s="251"/>
      <c r="C925" s="251"/>
      <c r="D925" s="251"/>
      <c r="E925" s="251"/>
      <c r="F925" s="212" t="s">
        <v>5014</v>
      </c>
      <c r="G925" s="212" t="n">
        <v>63</v>
      </c>
      <c r="H925" s="212" t="s">
        <v>120</v>
      </c>
      <c r="I925" s="250" t="n">
        <v>131.67</v>
      </c>
    </row>
    <row r="926" customFormat="false" ht="13.8" hidden="false" customHeight="false" outlineLevel="0" collapsed="false">
      <c r="A926" s="218"/>
      <c r="B926" s="251"/>
      <c r="C926" s="251"/>
      <c r="D926" s="251"/>
      <c r="E926" s="251"/>
      <c r="F926" s="212" t="s">
        <v>5034</v>
      </c>
      <c r="G926" s="212" t="n">
        <v>110</v>
      </c>
      <c r="H926" s="212" t="s">
        <v>120</v>
      </c>
      <c r="I926" s="250" t="n">
        <v>40.72</v>
      </c>
    </row>
    <row r="927" customFormat="false" ht="13.8" hidden="false" customHeight="false" outlineLevel="0" collapsed="false">
      <c r="A927" s="218"/>
      <c r="B927" s="251"/>
      <c r="C927" s="251"/>
      <c r="D927" s="251"/>
      <c r="E927" s="251"/>
      <c r="F927" s="212" t="s">
        <v>5038</v>
      </c>
      <c r="G927" s="212" t="n">
        <v>63</v>
      </c>
      <c r="H927" s="212" t="s">
        <v>120</v>
      </c>
      <c r="I927" s="250" t="n">
        <v>47.56</v>
      </c>
    </row>
    <row r="928" customFormat="false" ht="13.8" hidden="false" customHeight="false" outlineLevel="0" collapsed="false">
      <c r="A928" s="218"/>
      <c r="B928" s="251"/>
      <c r="C928" s="251"/>
      <c r="D928" s="251"/>
      <c r="E928" s="251"/>
      <c r="F928" s="212" t="s">
        <v>5059</v>
      </c>
      <c r="G928" s="212" t="n">
        <v>63</v>
      </c>
      <c r="H928" s="212" t="s">
        <v>120</v>
      </c>
      <c r="I928" s="250" t="n">
        <v>9.9</v>
      </c>
    </row>
    <row r="929" customFormat="false" ht="13.8" hidden="false" customHeight="false" outlineLevel="0" collapsed="false">
      <c r="A929" s="218"/>
      <c r="B929" s="251"/>
      <c r="C929" s="251"/>
      <c r="D929" s="251"/>
      <c r="E929" s="251"/>
      <c r="F929" s="212" t="s">
        <v>5066</v>
      </c>
      <c r="G929" s="212" t="n">
        <v>63</v>
      </c>
      <c r="H929" s="212" t="s">
        <v>120</v>
      </c>
      <c r="I929" s="250" t="n">
        <v>49.38</v>
      </c>
    </row>
    <row r="930" customFormat="false" ht="13.8" hidden="false" customHeight="false" outlineLevel="0" collapsed="false">
      <c r="A930" s="218"/>
      <c r="B930" s="251"/>
      <c r="C930" s="251"/>
      <c r="D930" s="252"/>
      <c r="E930" s="252"/>
      <c r="F930" s="212" t="s">
        <v>5092</v>
      </c>
      <c r="G930" s="212" t="n">
        <v>63</v>
      </c>
      <c r="H930" s="212" t="s">
        <v>120</v>
      </c>
      <c r="I930" s="250" t="n">
        <v>48.53</v>
      </c>
    </row>
    <row r="931" customFormat="false" ht="13.8" hidden="false" customHeight="false" outlineLevel="0" collapsed="false">
      <c r="A931" s="218"/>
      <c r="B931" s="251"/>
      <c r="C931" s="251"/>
      <c r="D931" s="249" t="s">
        <v>5047</v>
      </c>
      <c r="E931" s="249" t="s">
        <v>117</v>
      </c>
      <c r="F931" s="212" t="s">
        <v>5046</v>
      </c>
      <c r="G931" s="212" t="n">
        <v>63</v>
      </c>
      <c r="H931" s="212" t="s">
        <v>120</v>
      </c>
      <c r="I931" s="250" t="n">
        <v>48.58</v>
      </c>
    </row>
    <row r="932" customFormat="false" ht="13.8" hidden="false" customHeight="false" outlineLevel="0" collapsed="false">
      <c r="A932" s="218"/>
      <c r="B932" s="251"/>
      <c r="C932" s="251"/>
      <c r="D932" s="252"/>
      <c r="E932" s="252"/>
      <c r="F932" s="212" t="s">
        <v>5069</v>
      </c>
      <c r="G932" s="212" t="n">
        <v>63</v>
      </c>
      <c r="H932" s="212" t="s">
        <v>120</v>
      </c>
      <c r="I932" s="250" t="n">
        <v>52.58</v>
      </c>
    </row>
    <row r="933" customFormat="false" ht="13.8" hidden="false" customHeight="false" outlineLevel="0" collapsed="false">
      <c r="A933" s="218"/>
      <c r="B933" s="251"/>
      <c r="C933" s="251"/>
      <c r="D933" s="249" t="s">
        <v>4968</v>
      </c>
      <c r="E933" s="249" t="s">
        <v>117</v>
      </c>
      <c r="F933" s="212" t="s">
        <v>4967</v>
      </c>
      <c r="G933" s="212" t="n">
        <v>160</v>
      </c>
      <c r="H933" s="212" t="s">
        <v>120</v>
      </c>
      <c r="I933" s="250" t="n">
        <v>22.2</v>
      </c>
    </row>
    <row r="934" customFormat="false" ht="13.8" hidden="false" customHeight="false" outlineLevel="0" collapsed="false">
      <c r="A934" s="218"/>
      <c r="B934" s="251"/>
      <c r="C934" s="251"/>
      <c r="D934" s="252"/>
      <c r="E934" s="252"/>
      <c r="F934" s="212" t="s">
        <v>5055</v>
      </c>
      <c r="G934" s="212" t="n">
        <v>160</v>
      </c>
      <c r="H934" s="212" t="s">
        <v>120</v>
      </c>
      <c r="I934" s="250" t="n">
        <v>15.2</v>
      </c>
    </row>
    <row r="935" customFormat="false" ht="13.8" hidden="false" customHeight="false" outlineLevel="0" collapsed="false">
      <c r="A935" s="218"/>
      <c r="B935" s="251"/>
      <c r="C935" s="251"/>
      <c r="D935" s="249" t="s">
        <v>4828</v>
      </c>
      <c r="E935" s="249" t="s">
        <v>117</v>
      </c>
      <c r="F935" s="212" t="s">
        <v>4877</v>
      </c>
      <c r="G935" s="212" t="n">
        <v>160</v>
      </c>
      <c r="H935" s="212" t="s">
        <v>120</v>
      </c>
      <c r="I935" s="250" t="n">
        <v>38.54</v>
      </c>
    </row>
    <row r="936" customFormat="false" ht="13.8" hidden="false" customHeight="false" outlineLevel="0" collapsed="false">
      <c r="A936" s="218"/>
      <c r="B936" s="251"/>
      <c r="C936" s="251"/>
      <c r="D936" s="251"/>
      <c r="E936" s="251"/>
      <c r="F936" s="212" t="s">
        <v>4903</v>
      </c>
      <c r="G936" s="212" t="n">
        <v>160</v>
      </c>
      <c r="H936" s="212" t="s">
        <v>120</v>
      </c>
      <c r="I936" s="250" t="n">
        <v>118.25</v>
      </c>
    </row>
    <row r="937" customFormat="false" ht="13.8" hidden="false" customHeight="false" outlineLevel="0" collapsed="false">
      <c r="A937" s="218"/>
      <c r="B937" s="251"/>
      <c r="C937" s="251"/>
      <c r="D937" s="251"/>
      <c r="E937" s="251"/>
      <c r="F937" s="212" t="s">
        <v>4919</v>
      </c>
      <c r="G937" s="212" t="n">
        <v>63</v>
      </c>
      <c r="H937" s="212" t="s">
        <v>120</v>
      </c>
      <c r="I937" s="250" t="n">
        <v>23.34</v>
      </c>
    </row>
    <row r="938" customFormat="false" ht="13.8" hidden="false" customHeight="false" outlineLevel="0" collapsed="false">
      <c r="A938" s="218"/>
      <c r="B938" s="251"/>
      <c r="C938" s="251"/>
      <c r="D938" s="251"/>
      <c r="E938" s="251"/>
      <c r="F938" s="212" t="s">
        <v>4931</v>
      </c>
      <c r="G938" s="212" t="n">
        <v>160</v>
      </c>
      <c r="H938" s="212" t="s">
        <v>120</v>
      </c>
      <c r="I938" s="250" t="n">
        <v>29.67</v>
      </c>
    </row>
    <row r="939" customFormat="false" ht="13.8" hidden="false" customHeight="false" outlineLevel="0" collapsed="false">
      <c r="A939" s="218"/>
      <c r="B939" s="251"/>
      <c r="C939" s="251"/>
      <c r="D939" s="251"/>
      <c r="E939" s="251"/>
      <c r="F939" s="212" t="s">
        <v>4943</v>
      </c>
      <c r="G939" s="212" t="n">
        <v>110</v>
      </c>
      <c r="H939" s="212" t="s">
        <v>120</v>
      </c>
      <c r="I939" s="250" t="n">
        <v>113.55</v>
      </c>
    </row>
    <row r="940" customFormat="false" ht="13.8" hidden="false" customHeight="false" outlineLevel="0" collapsed="false">
      <c r="A940" s="218"/>
      <c r="B940" s="251"/>
      <c r="C940" s="251"/>
      <c r="D940" s="251"/>
      <c r="E940" s="251"/>
      <c r="F940" s="212" t="s">
        <v>4959</v>
      </c>
      <c r="G940" s="212" t="n">
        <v>110</v>
      </c>
      <c r="H940" s="212" t="s">
        <v>120</v>
      </c>
      <c r="I940" s="250" t="n">
        <v>42.97</v>
      </c>
    </row>
    <row r="941" customFormat="false" ht="13.8" hidden="false" customHeight="false" outlineLevel="0" collapsed="false">
      <c r="A941" s="218"/>
      <c r="B941" s="251"/>
      <c r="C941" s="251"/>
      <c r="D941" s="252"/>
      <c r="E941" s="252"/>
      <c r="F941" s="212" t="s">
        <v>4996</v>
      </c>
      <c r="G941" s="212" t="n">
        <v>63</v>
      </c>
      <c r="H941" s="212" t="s">
        <v>120</v>
      </c>
      <c r="I941" s="250" t="n">
        <v>112.63</v>
      </c>
    </row>
    <row r="942" customFormat="false" ht="13.8" hidden="false" customHeight="false" outlineLevel="0" collapsed="false">
      <c r="A942" s="218"/>
      <c r="B942" s="251"/>
      <c r="C942" s="251"/>
      <c r="D942" s="249" t="s">
        <v>5026</v>
      </c>
      <c r="E942" s="249" t="s">
        <v>117</v>
      </c>
      <c r="F942" s="212" t="s">
        <v>5025</v>
      </c>
      <c r="G942" s="212" t="n">
        <v>63</v>
      </c>
      <c r="H942" s="212" t="s">
        <v>120</v>
      </c>
      <c r="I942" s="250" t="n">
        <v>150.29</v>
      </c>
    </row>
    <row r="943" customFormat="false" ht="13.8" hidden="false" customHeight="false" outlineLevel="0" collapsed="false">
      <c r="A943" s="218"/>
      <c r="B943" s="251"/>
      <c r="C943" s="251"/>
      <c r="D943" s="252"/>
      <c r="E943" s="252"/>
      <c r="F943" s="212" t="s">
        <v>5084</v>
      </c>
      <c r="G943" s="212" t="n">
        <v>63</v>
      </c>
      <c r="H943" s="212" t="s">
        <v>120</v>
      </c>
      <c r="I943" s="250" t="n">
        <v>30.11</v>
      </c>
    </row>
    <row r="944" customFormat="false" ht="13.8" hidden="false" customHeight="false" outlineLevel="0" collapsed="false">
      <c r="A944" s="218"/>
      <c r="B944" s="251"/>
      <c r="C944" s="251"/>
      <c r="D944" s="212" t="s">
        <v>4955</v>
      </c>
      <c r="E944" s="212" t="s">
        <v>117</v>
      </c>
      <c r="F944" s="212" t="s">
        <v>4954</v>
      </c>
      <c r="G944" s="212" t="n">
        <v>160</v>
      </c>
      <c r="H944" s="212" t="s">
        <v>120</v>
      </c>
      <c r="I944" s="250" t="n">
        <v>51.35</v>
      </c>
    </row>
    <row r="945" customFormat="false" ht="13.8" hidden="false" customHeight="false" outlineLevel="0" collapsed="false">
      <c r="A945" s="218"/>
      <c r="B945" s="251"/>
      <c r="C945" s="251"/>
      <c r="D945" s="249" t="s">
        <v>7055</v>
      </c>
      <c r="E945" s="249" t="s">
        <v>117</v>
      </c>
      <c r="F945" s="212" t="s">
        <v>4832</v>
      </c>
      <c r="G945" s="212" t="n">
        <v>160</v>
      </c>
      <c r="H945" s="212" t="s">
        <v>120</v>
      </c>
      <c r="I945" s="250" t="n">
        <v>6.04</v>
      </c>
    </row>
    <row r="946" customFormat="false" ht="13.8" hidden="false" customHeight="false" outlineLevel="0" collapsed="false">
      <c r="A946" s="218"/>
      <c r="B946" s="251"/>
      <c r="C946" s="251"/>
      <c r="D946" s="251"/>
      <c r="E946" s="251"/>
      <c r="F946" s="212" t="s">
        <v>4836</v>
      </c>
      <c r="G946" s="212" t="n">
        <v>160</v>
      </c>
      <c r="H946" s="212" t="s">
        <v>120</v>
      </c>
      <c r="I946" s="250" t="n">
        <v>3.31</v>
      </c>
    </row>
    <row r="947" customFormat="false" ht="13.8" hidden="false" customHeight="false" outlineLevel="0" collapsed="false">
      <c r="A947" s="218"/>
      <c r="B947" s="251"/>
      <c r="C947" s="251"/>
      <c r="D947" s="251"/>
      <c r="E947" s="251"/>
      <c r="F947" s="212" t="s">
        <v>4838</v>
      </c>
      <c r="G947" s="212" t="n">
        <v>90</v>
      </c>
      <c r="H947" s="212" t="s">
        <v>120</v>
      </c>
      <c r="I947" s="250" t="n">
        <v>49.86</v>
      </c>
    </row>
    <row r="948" customFormat="false" ht="13.8" hidden="false" customHeight="false" outlineLevel="0" collapsed="false">
      <c r="A948" s="218"/>
      <c r="B948" s="251"/>
      <c r="C948" s="251"/>
      <c r="D948" s="251"/>
      <c r="E948" s="251"/>
      <c r="F948" s="212" t="s">
        <v>4845</v>
      </c>
      <c r="G948" s="212" t="n">
        <v>90</v>
      </c>
      <c r="H948" s="212" t="s">
        <v>120</v>
      </c>
      <c r="I948" s="250" t="n">
        <v>46.96</v>
      </c>
    </row>
    <row r="949" customFormat="false" ht="13.8" hidden="false" customHeight="false" outlineLevel="0" collapsed="false">
      <c r="A949" s="218"/>
      <c r="B949" s="251"/>
      <c r="C949" s="251"/>
      <c r="D949" s="251"/>
      <c r="E949" s="251"/>
      <c r="F949" s="212" t="s">
        <v>4849</v>
      </c>
      <c r="G949" s="212" t="n">
        <v>90</v>
      </c>
      <c r="H949" s="212" t="s">
        <v>120</v>
      </c>
      <c r="I949" s="250" t="n">
        <v>44.09</v>
      </c>
    </row>
    <row r="950" customFormat="false" ht="13.8" hidden="false" customHeight="false" outlineLevel="0" collapsed="false">
      <c r="A950" s="218"/>
      <c r="B950" s="251"/>
      <c r="C950" s="251"/>
      <c r="D950" s="251"/>
      <c r="E950" s="251"/>
      <c r="F950" s="212" t="s">
        <v>4853</v>
      </c>
      <c r="G950" s="212" t="n">
        <v>160</v>
      </c>
      <c r="H950" s="212" t="s">
        <v>120</v>
      </c>
      <c r="I950" s="250" t="n">
        <v>145.24</v>
      </c>
    </row>
    <row r="951" customFormat="false" ht="13.8" hidden="false" customHeight="false" outlineLevel="0" collapsed="false">
      <c r="A951" s="218"/>
      <c r="B951" s="251"/>
      <c r="C951" s="251"/>
      <c r="D951" s="251"/>
      <c r="E951" s="251"/>
      <c r="F951" s="212" t="s">
        <v>4861</v>
      </c>
      <c r="G951" s="212" t="n">
        <v>63</v>
      </c>
      <c r="H951" s="212" t="s">
        <v>120</v>
      </c>
      <c r="I951" s="250" t="n">
        <v>44.9</v>
      </c>
    </row>
    <row r="952" customFormat="false" ht="13.8" hidden="false" customHeight="false" outlineLevel="0" collapsed="false">
      <c r="A952" s="218"/>
      <c r="B952" s="251"/>
      <c r="C952" s="251"/>
      <c r="D952" s="251"/>
      <c r="E952" s="251"/>
      <c r="F952" s="212" t="s">
        <v>4865</v>
      </c>
      <c r="G952" s="212" t="n">
        <v>90</v>
      </c>
      <c r="H952" s="212" t="s">
        <v>120</v>
      </c>
      <c r="I952" s="250" t="n">
        <v>18.22</v>
      </c>
    </row>
    <row r="953" customFormat="false" ht="13.8" hidden="false" customHeight="false" outlineLevel="0" collapsed="false">
      <c r="A953" s="218"/>
      <c r="B953" s="251"/>
      <c r="C953" s="251"/>
      <c r="D953" s="251"/>
      <c r="E953" s="251"/>
      <c r="F953" s="212" t="s">
        <v>4892</v>
      </c>
      <c r="G953" s="212" t="n">
        <v>63</v>
      </c>
      <c r="H953" s="212" t="s">
        <v>120</v>
      </c>
      <c r="I953" s="250" t="n">
        <v>127.87</v>
      </c>
    </row>
    <row r="954" customFormat="false" ht="13.8" hidden="false" customHeight="false" outlineLevel="0" collapsed="false">
      <c r="A954" s="218"/>
      <c r="B954" s="251"/>
      <c r="C954" s="251"/>
      <c r="D954" s="251"/>
      <c r="E954" s="251"/>
      <c r="F954" s="212" t="s">
        <v>4915</v>
      </c>
      <c r="G954" s="212" t="n">
        <v>90</v>
      </c>
      <c r="H954" s="212" t="s">
        <v>120</v>
      </c>
      <c r="I954" s="250" t="n">
        <v>47.45</v>
      </c>
    </row>
    <row r="955" customFormat="false" ht="13.8" hidden="false" customHeight="false" outlineLevel="0" collapsed="false">
      <c r="A955" s="218"/>
      <c r="B955" s="251"/>
      <c r="C955" s="251"/>
      <c r="D955" s="251"/>
      <c r="E955" s="251"/>
      <c r="F955" s="212" t="s">
        <v>4939</v>
      </c>
      <c r="G955" s="212" t="n">
        <v>63</v>
      </c>
      <c r="H955" s="212" t="s">
        <v>120</v>
      </c>
      <c r="I955" s="250" t="n">
        <v>44.78</v>
      </c>
    </row>
    <row r="956" customFormat="false" ht="13.8" hidden="false" customHeight="false" outlineLevel="0" collapsed="false">
      <c r="A956" s="218"/>
      <c r="B956" s="251"/>
      <c r="C956" s="251"/>
      <c r="D956" s="251"/>
      <c r="E956" s="251"/>
      <c r="F956" s="212" t="s">
        <v>4947</v>
      </c>
      <c r="G956" s="212" t="n">
        <v>63</v>
      </c>
      <c r="H956" s="212" t="s">
        <v>120</v>
      </c>
      <c r="I956" s="250" t="n">
        <v>113.62</v>
      </c>
    </row>
    <row r="957" customFormat="false" ht="13.8" hidden="false" customHeight="false" outlineLevel="0" collapsed="false">
      <c r="A957" s="218"/>
      <c r="B957" s="251"/>
      <c r="C957" s="251"/>
      <c r="D957" s="251"/>
      <c r="E957" s="251"/>
      <c r="F957" s="212" t="s">
        <v>4963</v>
      </c>
      <c r="G957" s="212" t="n">
        <v>63</v>
      </c>
      <c r="H957" s="212" t="s">
        <v>120</v>
      </c>
      <c r="I957" s="250" t="n">
        <v>103.73</v>
      </c>
    </row>
    <row r="958" customFormat="false" ht="13.8" hidden="false" customHeight="false" outlineLevel="0" collapsed="false">
      <c r="A958" s="218"/>
      <c r="B958" s="251"/>
      <c r="C958" s="251"/>
      <c r="D958" s="251"/>
      <c r="E958" s="251"/>
      <c r="F958" s="212" t="s">
        <v>4981</v>
      </c>
      <c r="G958" s="212" t="n">
        <v>63</v>
      </c>
      <c r="H958" s="212" t="s">
        <v>120</v>
      </c>
      <c r="I958" s="250" t="n">
        <v>47.22</v>
      </c>
    </row>
    <row r="959" customFormat="false" ht="13.8" hidden="false" customHeight="false" outlineLevel="0" collapsed="false">
      <c r="A959" s="218"/>
      <c r="B959" s="251"/>
      <c r="C959" s="251"/>
      <c r="D959" s="251"/>
      <c r="E959" s="251"/>
      <c r="F959" s="212" t="s">
        <v>4993</v>
      </c>
      <c r="G959" s="212" t="n">
        <v>63</v>
      </c>
      <c r="H959" s="212" t="s">
        <v>120</v>
      </c>
      <c r="I959" s="250" t="n">
        <v>0.71</v>
      </c>
    </row>
    <row r="960" customFormat="false" ht="13.8" hidden="false" customHeight="false" outlineLevel="0" collapsed="false">
      <c r="A960" s="218"/>
      <c r="B960" s="251"/>
      <c r="C960" s="251"/>
      <c r="D960" s="251"/>
      <c r="E960" s="251"/>
      <c r="F960" s="212" t="s">
        <v>5000</v>
      </c>
      <c r="G960" s="212" t="n">
        <v>63</v>
      </c>
      <c r="H960" s="212" t="s">
        <v>120</v>
      </c>
      <c r="I960" s="250" t="n">
        <v>48.2</v>
      </c>
    </row>
    <row r="961" customFormat="false" ht="13.8" hidden="false" customHeight="false" outlineLevel="0" collapsed="false">
      <c r="A961" s="218"/>
      <c r="B961" s="251"/>
      <c r="C961" s="251"/>
      <c r="D961" s="251"/>
      <c r="E961" s="251"/>
      <c r="F961" s="212" t="s">
        <v>5003</v>
      </c>
      <c r="G961" s="212" t="n">
        <v>63</v>
      </c>
      <c r="H961" s="212" t="s">
        <v>120</v>
      </c>
      <c r="I961" s="250" t="n">
        <v>144.34</v>
      </c>
    </row>
    <row r="962" customFormat="false" ht="13.8" hidden="false" customHeight="false" outlineLevel="0" collapsed="false">
      <c r="A962" s="218"/>
      <c r="B962" s="251"/>
      <c r="C962" s="251"/>
      <c r="D962" s="251"/>
      <c r="E962" s="251"/>
      <c r="F962" s="212" t="s">
        <v>5007</v>
      </c>
      <c r="G962" s="212" t="n">
        <v>63</v>
      </c>
      <c r="H962" s="212" t="s">
        <v>120</v>
      </c>
      <c r="I962" s="250" t="n">
        <v>44.14</v>
      </c>
    </row>
    <row r="963" customFormat="false" ht="13.8" hidden="false" customHeight="false" outlineLevel="0" collapsed="false">
      <c r="A963" s="218"/>
      <c r="B963" s="251"/>
      <c r="C963" s="251"/>
      <c r="D963" s="251"/>
      <c r="E963" s="251"/>
      <c r="F963" s="212" t="s">
        <v>5010</v>
      </c>
      <c r="G963" s="212" t="n">
        <v>110</v>
      </c>
      <c r="H963" s="212" t="s">
        <v>120</v>
      </c>
      <c r="I963" s="250" t="n">
        <v>52.75</v>
      </c>
    </row>
    <row r="964" customFormat="false" ht="13.8" hidden="false" customHeight="false" outlineLevel="0" collapsed="false">
      <c r="A964" s="218"/>
      <c r="B964" s="251"/>
      <c r="C964" s="251"/>
      <c r="D964" s="251"/>
      <c r="E964" s="251"/>
      <c r="F964" s="212" t="s">
        <v>5018</v>
      </c>
      <c r="G964" s="212" t="n">
        <v>63</v>
      </c>
      <c r="H964" s="212" t="s">
        <v>120</v>
      </c>
      <c r="I964" s="250" t="n">
        <v>46.07</v>
      </c>
    </row>
    <row r="965" customFormat="false" ht="13.8" hidden="false" customHeight="false" outlineLevel="0" collapsed="false">
      <c r="A965" s="218"/>
      <c r="B965" s="251"/>
      <c r="C965" s="251"/>
      <c r="D965" s="251"/>
      <c r="E965" s="251"/>
      <c r="F965" s="212" t="s">
        <v>5021</v>
      </c>
      <c r="G965" s="212" t="n">
        <v>63</v>
      </c>
      <c r="H965" s="212" t="s">
        <v>120</v>
      </c>
      <c r="I965" s="250" t="n">
        <v>82.36</v>
      </c>
    </row>
    <row r="966" customFormat="false" ht="13.8" hidden="false" customHeight="false" outlineLevel="0" collapsed="false">
      <c r="A966" s="218"/>
      <c r="B966" s="251"/>
      <c r="C966" s="251"/>
      <c r="D966" s="251"/>
      <c r="E966" s="251"/>
      <c r="F966" s="212" t="s">
        <v>5073</v>
      </c>
      <c r="G966" s="212" t="n">
        <v>63</v>
      </c>
      <c r="H966" s="212" t="s">
        <v>120</v>
      </c>
      <c r="I966" s="250" t="n">
        <v>64</v>
      </c>
    </row>
    <row r="967" customFormat="false" ht="13.8" hidden="false" customHeight="false" outlineLevel="0" collapsed="false">
      <c r="A967" s="218"/>
      <c r="B967" s="251"/>
      <c r="C967" s="251"/>
      <c r="D967" s="251"/>
      <c r="E967" s="251"/>
      <c r="F967" s="212" t="s">
        <v>5081</v>
      </c>
      <c r="G967" s="212" t="n">
        <v>63</v>
      </c>
      <c r="H967" s="212" t="s">
        <v>120</v>
      </c>
      <c r="I967" s="250" t="n">
        <v>211.95</v>
      </c>
    </row>
    <row r="968" customFormat="false" ht="13.8" hidden="false" customHeight="false" outlineLevel="0" collapsed="false">
      <c r="A968" s="218"/>
      <c r="B968" s="251"/>
      <c r="C968" s="251"/>
      <c r="D968" s="251"/>
      <c r="E968" s="251"/>
      <c r="F968" s="212" t="s">
        <v>5088</v>
      </c>
      <c r="G968" s="212" t="n">
        <v>63</v>
      </c>
      <c r="H968" s="212" t="s">
        <v>120</v>
      </c>
      <c r="I968" s="250" t="n">
        <v>47.72</v>
      </c>
    </row>
    <row r="969" customFormat="false" ht="13.8" hidden="false" customHeight="false" outlineLevel="0" collapsed="false">
      <c r="A969" s="218"/>
      <c r="B969" s="251"/>
      <c r="C969" s="251"/>
      <c r="D969" s="251"/>
      <c r="E969" s="251"/>
      <c r="F969" s="212" t="s">
        <v>5096</v>
      </c>
      <c r="G969" s="212" t="n">
        <v>63</v>
      </c>
      <c r="H969" s="212" t="s">
        <v>120</v>
      </c>
      <c r="I969" s="250" t="n">
        <v>28.27</v>
      </c>
    </row>
    <row r="970" customFormat="false" ht="13.8" hidden="false" customHeight="false" outlineLevel="0" collapsed="false">
      <c r="A970" s="218"/>
      <c r="B970" s="251"/>
      <c r="C970" s="251"/>
      <c r="D970" s="251"/>
      <c r="E970" s="251"/>
      <c r="F970" s="212" t="s">
        <v>5099</v>
      </c>
      <c r="G970" s="212" t="n">
        <v>63</v>
      </c>
      <c r="H970" s="212" t="s">
        <v>120</v>
      </c>
      <c r="I970" s="250" t="n">
        <v>269.96</v>
      </c>
    </row>
    <row r="971" customFormat="false" ht="13.8" hidden="false" customHeight="false" outlineLevel="0" collapsed="false">
      <c r="A971" s="218"/>
      <c r="B971" s="251"/>
      <c r="C971" s="252"/>
      <c r="D971" s="252"/>
      <c r="E971" s="252"/>
      <c r="F971" s="212" t="s">
        <v>5102</v>
      </c>
      <c r="G971" s="212" t="n">
        <v>63</v>
      </c>
      <c r="H971" s="212" t="s">
        <v>120</v>
      </c>
      <c r="I971" s="250" t="n">
        <v>111.43</v>
      </c>
    </row>
    <row r="972" customFormat="false" ht="13.8" hidden="false" customHeight="false" outlineLevel="0" collapsed="false">
      <c r="A972" s="222"/>
      <c r="B972" s="252"/>
      <c r="C972" s="261" t="s">
        <v>7056</v>
      </c>
      <c r="D972" s="224"/>
      <c r="E972" s="224"/>
      <c r="F972" s="224"/>
      <c r="G972" s="224"/>
      <c r="H972" s="225"/>
      <c r="I972" s="217" t="n">
        <v>4931.33</v>
      </c>
    </row>
    <row r="973" customFormat="false" ht="13.8" hidden="false" customHeight="false" outlineLevel="0" collapsed="false">
      <c r="A973" s="211" t="s">
        <v>5106</v>
      </c>
      <c r="B973" s="249" t="s">
        <v>6</v>
      </c>
      <c r="C973" s="249" t="s">
        <v>1594</v>
      </c>
      <c r="D973" s="249" t="s">
        <v>1952</v>
      </c>
      <c r="E973" s="249" t="s">
        <v>117</v>
      </c>
      <c r="F973" s="212" t="s">
        <v>5176</v>
      </c>
      <c r="G973" s="212" t="n">
        <v>63</v>
      </c>
      <c r="H973" s="212" t="s">
        <v>120</v>
      </c>
      <c r="I973" s="250" t="n">
        <v>227.2</v>
      </c>
    </row>
    <row r="974" customFormat="false" ht="13.8" hidden="false" customHeight="false" outlineLevel="0" collapsed="false">
      <c r="A974" s="218"/>
      <c r="B974" s="251"/>
      <c r="C974" s="251"/>
      <c r="D974" s="251"/>
      <c r="E974" s="251"/>
      <c r="F974" s="212" t="s">
        <v>5198</v>
      </c>
      <c r="G974" s="212" t="n">
        <v>110</v>
      </c>
      <c r="H974" s="212" t="s">
        <v>120</v>
      </c>
      <c r="I974" s="250" t="n">
        <v>46.21</v>
      </c>
    </row>
    <row r="975" customFormat="false" ht="13.8" hidden="false" customHeight="false" outlineLevel="0" collapsed="false">
      <c r="A975" s="218"/>
      <c r="B975" s="251"/>
      <c r="C975" s="251"/>
      <c r="D975" s="251"/>
      <c r="E975" s="251"/>
      <c r="F975" s="212" t="s">
        <v>5202</v>
      </c>
      <c r="G975" s="212" t="n">
        <v>110</v>
      </c>
      <c r="H975" s="212" t="s">
        <v>120</v>
      </c>
      <c r="I975" s="250" t="n">
        <v>37.71</v>
      </c>
    </row>
    <row r="976" customFormat="false" ht="13.8" hidden="false" customHeight="false" outlineLevel="0" collapsed="false">
      <c r="A976" s="218"/>
      <c r="B976" s="251"/>
      <c r="C976" s="251"/>
      <c r="D976" s="252"/>
      <c r="E976" s="252"/>
      <c r="F976" s="212" t="s">
        <v>5210</v>
      </c>
      <c r="G976" s="212" t="n">
        <v>63</v>
      </c>
      <c r="H976" s="212" t="s">
        <v>120</v>
      </c>
      <c r="I976" s="250" t="n">
        <v>348.11</v>
      </c>
    </row>
    <row r="977" customFormat="false" ht="13.8" hidden="false" customHeight="false" outlineLevel="0" collapsed="false">
      <c r="A977" s="218"/>
      <c r="B977" s="251"/>
      <c r="C977" s="251"/>
      <c r="D977" s="249" t="s">
        <v>1886</v>
      </c>
      <c r="E977" s="249" t="s">
        <v>117</v>
      </c>
      <c r="F977" s="212" t="s">
        <v>5227</v>
      </c>
      <c r="G977" s="212" t="n">
        <v>63</v>
      </c>
      <c r="H977" s="212" t="s">
        <v>120</v>
      </c>
      <c r="I977" s="250" t="n">
        <v>14.64</v>
      </c>
    </row>
    <row r="978" customFormat="false" ht="13.8" hidden="false" customHeight="false" outlineLevel="0" collapsed="false">
      <c r="A978" s="218"/>
      <c r="B978" s="251"/>
      <c r="C978" s="251"/>
      <c r="D978" s="252"/>
      <c r="E978" s="252"/>
      <c r="F978" s="212" t="s">
        <v>5235</v>
      </c>
      <c r="G978" s="212" t="n">
        <v>63</v>
      </c>
      <c r="H978" s="212" t="s">
        <v>120</v>
      </c>
      <c r="I978" s="250" t="n">
        <v>12.48</v>
      </c>
    </row>
    <row r="979" customFormat="false" ht="13.8" hidden="false" customHeight="false" outlineLevel="0" collapsed="false">
      <c r="A979" s="218"/>
      <c r="B979" s="251"/>
      <c r="C979" s="251"/>
      <c r="D979" s="249" t="s">
        <v>5267</v>
      </c>
      <c r="E979" s="249" t="s">
        <v>117</v>
      </c>
      <c r="F979" s="212" t="s">
        <v>5266</v>
      </c>
      <c r="G979" s="212" t="n">
        <v>90</v>
      </c>
      <c r="H979" s="212" t="s">
        <v>120</v>
      </c>
      <c r="I979" s="250" t="n">
        <v>100.45</v>
      </c>
    </row>
    <row r="980" customFormat="false" ht="13.8" hidden="false" customHeight="false" outlineLevel="0" collapsed="false">
      <c r="A980" s="218"/>
      <c r="B980" s="251"/>
      <c r="C980" s="251"/>
      <c r="D980" s="251"/>
      <c r="E980" s="251"/>
      <c r="F980" s="212" t="s">
        <v>5276</v>
      </c>
      <c r="G980" s="212" t="n">
        <v>90</v>
      </c>
      <c r="H980" s="212" t="s">
        <v>120</v>
      </c>
      <c r="I980" s="250" t="n">
        <v>1.57</v>
      </c>
    </row>
    <row r="981" customFormat="false" ht="13.8" hidden="false" customHeight="false" outlineLevel="0" collapsed="false">
      <c r="A981" s="218"/>
      <c r="B981" s="251"/>
      <c r="C981" s="251"/>
      <c r="D981" s="251"/>
      <c r="E981" s="251"/>
      <c r="F981" s="212" t="s">
        <v>5279</v>
      </c>
      <c r="G981" s="212" t="n">
        <v>90</v>
      </c>
      <c r="H981" s="212" t="s">
        <v>120</v>
      </c>
      <c r="I981" s="250" t="n">
        <v>3.04</v>
      </c>
    </row>
    <row r="982" customFormat="false" ht="13.8" hidden="false" customHeight="false" outlineLevel="0" collapsed="false">
      <c r="A982" s="218"/>
      <c r="B982" s="251"/>
      <c r="C982" s="251"/>
      <c r="D982" s="251"/>
      <c r="E982" s="251"/>
      <c r="F982" s="212" t="s">
        <v>5304</v>
      </c>
      <c r="G982" s="212" t="n">
        <v>90</v>
      </c>
      <c r="H982" s="212" t="s">
        <v>120</v>
      </c>
      <c r="I982" s="250" t="n">
        <v>38.6</v>
      </c>
    </row>
    <row r="983" customFormat="false" ht="13.8" hidden="false" customHeight="false" outlineLevel="0" collapsed="false">
      <c r="A983" s="218"/>
      <c r="B983" s="251"/>
      <c r="C983" s="251"/>
      <c r="D983" s="252"/>
      <c r="E983" s="252"/>
      <c r="F983" s="212" t="s">
        <v>5340</v>
      </c>
      <c r="G983" s="212" t="n">
        <v>160</v>
      </c>
      <c r="H983" s="212" t="s">
        <v>120</v>
      </c>
      <c r="I983" s="250" t="n">
        <v>56.42</v>
      </c>
    </row>
    <row r="984" customFormat="false" ht="13.8" hidden="false" customHeight="false" outlineLevel="0" collapsed="false">
      <c r="A984" s="218"/>
      <c r="B984" s="251"/>
      <c r="C984" s="251"/>
      <c r="D984" s="249" t="s">
        <v>5232</v>
      </c>
      <c r="E984" s="249" t="s">
        <v>117</v>
      </c>
      <c r="F984" s="212" t="s">
        <v>5231</v>
      </c>
      <c r="G984" s="212" t="n">
        <v>63</v>
      </c>
      <c r="H984" s="212" t="s">
        <v>120</v>
      </c>
      <c r="I984" s="250" t="n">
        <v>1.86</v>
      </c>
    </row>
    <row r="985" customFormat="false" ht="13.8" hidden="false" customHeight="false" outlineLevel="0" collapsed="false">
      <c r="A985" s="218"/>
      <c r="B985" s="251"/>
      <c r="C985" s="251"/>
      <c r="D985" s="251"/>
      <c r="E985" s="251"/>
      <c r="F985" s="212" t="s">
        <v>5311</v>
      </c>
      <c r="G985" s="212" t="n">
        <v>63</v>
      </c>
      <c r="H985" s="212" t="s">
        <v>120</v>
      </c>
      <c r="I985" s="250" t="n">
        <v>152.49</v>
      </c>
    </row>
    <row r="986" customFormat="false" ht="13.8" hidden="false" customHeight="false" outlineLevel="0" collapsed="false">
      <c r="A986" s="218"/>
      <c r="B986" s="251"/>
      <c r="C986" s="251"/>
      <c r="D986" s="251"/>
      <c r="E986" s="251"/>
      <c r="F986" s="212" t="s">
        <v>5366</v>
      </c>
      <c r="G986" s="212" t="n">
        <v>63</v>
      </c>
      <c r="H986" s="212" t="s">
        <v>120</v>
      </c>
      <c r="I986" s="250" t="n">
        <v>42.77</v>
      </c>
    </row>
    <row r="987" customFormat="false" ht="13.8" hidden="false" customHeight="false" outlineLevel="0" collapsed="false">
      <c r="A987" s="218"/>
      <c r="B987" s="251"/>
      <c r="C987" s="251"/>
      <c r="D987" s="251"/>
      <c r="E987" s="251"/>
      <c r="F987" s="212" t="s">
        <v>5373</v>
      </c>
      <c r="G987" s="212" t="n">
        <v>63</v>
      </c>
      <c r="H987" s="212" t="s">
        <v>120</v>
      </c>
      <c r="I987" s="250" t="n">
        <v>51.74</v>
      </c>
    </row>
    <row r="988" customFormat="false" ht="13.8" hidden="false" customHeight="false" outlineLevel="0" collapsed="false">
      <c r="A988" s="218"/>
      <c r="B988" s="251"/>
      <c r="C988" s="251"/>
      <c r="D988" s="251"/>
      <c r="E988" s="251"/>
      <c r="F988" s="212" t="s">
        <v>5376</v>
      </c>
      <c r="G988" s="212" t="n">
        <v>63</v>
      </c>
      <c r="H988" s="212" t="s">
        <v>120</v>
      </c>
      <c r="I988" s="250" t="n">
        <v>5.56</v>
      </c>
    </row>
    <row r="989" customFormat="false" ht="13.8" hidden="false" customHeight="false" outlineLevel="0" collapsed="false">
      <c r="A989" s="218"/>
      <c r="B989" s="251"/>
      <c r="C989" s="251"/>
      <c r="D989" s="251"/>
      <c r="E989" s="251"/>
      <c r="F989" s="212" t="s">
        <v>5392</v>
      </c>
      <c r="G989" s="212" t="n">
        <v>63</v>
      </c>
      <c r="H989" s="212" t="s">
        <v>120</v>
      </c>
      <c r="I989" s="250" t="n">
        <v>93.39</v>
      </c>
    </row>
    <row r="990" customFormat="false" ht="13.8" hidden="false" customHeight="false" outlineLevel="0" collapsed="false">
      <c r="A990" s="218"/>
      <c r="B990" s="251"/>
      <c r="C990" s="251"/>
      <c r="D990" s="251"/>
      <c r="E990" s="251"/>
      <c r="F990" s="212" t="s">
        <v>5396</v>
      </c>
      <c r="G990" s="212" t="n">
        <v>63</v>
      </c>
      <c r="H990" s="212" t="s">
        <v>120</v>
      </c>
      <c r="I990" s="250" t="n">
        <v>46.54</v>
      </c>
    </row>
    <row r="991" customFormat="false" ht="13.8" hidden="false" customHeight="false" outlineLevel="0" collapsed="false">
      <c r="A991" s="218"/>
      <c r="B991" s="251"/>
      <c r="C991" s="251"/>
      <c r="D991" s="251"/>
      <c r="E991" s="251"/>
      <c r="F991" s="212" t="s">
        <v>5536</v>
      </c>
      <c r="G991" s="212" t="n">
        <v>63</v>
      </c>
      <c r="H991" s="212" t="s">
        <v>120</v>
      </c>
      <c r="I991" s="250" t="n">
        <v>58.48</v>
      </c>
    </row>
    <row r="992" customFormat="false" ht="13.8" hidden="false" customHeight="false" outlineLevel="0" collapsed="false">
      <c r="A992" s="218"/>
      <c r="B992" s="251"/>
      <c r="C992" s="251"/>
      <c r="D992" s="251"/>
      <c r="E992" s="251"/>
      <c r="F992" s="212" t="s">
        <v>5549</v>
      </c>
      <c r="G992" s="212" t="n">
        <v>63</v>
      </c>
      <c r="H992" s="212" t="s">
        <v>120</v>
      </c>
      <c r="I992" s="250" t="n">
        <v>88.7</v>
      </c>
    </row>
    <row r="993" customFormat="false" ht="13.8" hidden="false" customHeight="false" outlineLevel="0" collapsed="false">
      <c r="A993" s="218"/>
      <c r="B993" s="251"/>
      <c r="C993" s="251"/>
      <c r="D993" s="252"/>
      <c r="E993" s="252"/>
      <c r="F993" s="212" t="s">
        <v>5553</v>
      </c>
      <c r="G993" s="212" t="n">
        <v>63</v>
      </c>
      <c r="H993" s="212" t="s">
        <v>120</v>
      </c>
      <c r="I993" s="250" t="n">
        <v>117.42</v>
      </c>
    </row>
    <row r="994" customFormat="false" ht="13.8" hidden="false" customHeight="false" outlineLevel="0" collapsed="false">
      <c r="A994" s="218"/>
      <c r="B994" s="251"/>
      <c r="C994" s="251"/>
      <c r="D994" s="249" t="s">
        <v>5219</v>
      </c>
      <c r="E994" s="249" t="s">
        <v>117</v>
      </c>
      <c r="F994" s="212" t="s">
        <v>5218</v>
      </c>
      <c r="G994" s="212" t="n">
        <v>63</v>
      </c>
      <c r="H994" s="212" t="s">
        <v>120</v>
      </c>
      <c r="I994" s="250" t="n">
        <v>349.87</v>
      </c>
    </row>
    <row r="995" customFormat="false" ht="13.8" hidden="false" customHeight="false" outlineLevel="0" collapsed="false">
      <c r="A995" s="218"/>
      <c r="B995" s="251"/>
      <c r="C995" s="251"/>
      <c r="D995" s="252"/>
      <c r="E995" s="252"/>
      <c r="F995" s="212" t="s">
        <v>5223</v>
      </c>
      <c r="G995" s="212" t="n">
        <v>110</v>
      </c>
      <c r="H995" s="212" t="s">
        <v>120</v>
      </c>
      <c r="I995" s="250" t="n">
        <v>84.11</v>
      </c>
    </row>
    <row r="996" customFormat="false" ht="13.8" hidden="false" customHeight="false" outlineLevel="0" collapsed="false">
      <c r="A996" s="218"/>
      <c r="B996" s="251"/>
      <c r="C996" s="251"/>
      <c r="D996" s="249" t="s">
        <v>5580</v>
      </c>
      <c r="E996" s="249" t="s">
        <v>117</v>
      </c>
      <c r="F996" s="212" t="s">
        <v>5578</v>
      </c>
      <c r="G996" s="212" t="n">
        <v>63</v>
      </c>
      <c r="H996" s="212" t="s">
        <v>120</v>
      </c>
      <c r="I996" s="250" t="n">
        <v>54.99</v>
      </c>
    </row>
    <row r="997" customFormat="false" ht="13.8" hidden="false" customHeight="false" outlineLevel="0" collapsed="false">
      <c r="A997" s="218"/>
      <c r="B997" s="251"/>
      <c r="C997" s="251"/>
      <c r="D997" s="251"/>
      <c r="E997" s="251"/>
      <c r="F997" s="212" t="s">
        <v>5591</v>
      </c>
      <c r="G997" s="212" t="n">
        <v>63</v>
      </c>
      <c r="H997" s="212" t="s">
        <v>120</v>
      </c>
      <c r="I997" s="250" t="n">
        <v>99.33</v>
      </c>
    </row>
    <row r="998" customFormat="false" ht="13.8" hidden="false" customHeight="false" outlineLevel="0" collapsed="false">
      <c r="A998" s="218"/>
      <c r="B998" s="251"/>
      <c r="C998" s="251"/>
      <c r="D998" s="251"/>
      <c r="E998" s="251"/>
      <c r="F998" s="212" t="s">
        <v>5595</v>
      </c>
      <c r="G998" s="212" t="n">
        <v>63</v>
      </c>
      <c r="H998" s="212" t="s">
        <v>120</v>
      </c>
      <c r="I998" s="250" t="n">
        <v>53.69</v>
      </c>
    </row>
    <row r="999" customFormat="false" ht="13.8" hidden="false" customHeight="false" outlineLevel="0" collapsed="false">
      <c r="A999" s="218"/>
      <c r="B999" s="251"/>
      <c r="C999" s="251"/>
      <c r="D999" s="251"/>
      <c r="E999" s="251"/>
      <c r="F999" s="212" t="s">
        <v>5599</v>
      </c>
      <c r="G999" s="212" t="n">
        <v>63</v>
      </c>
      <c r="H999" s="212" t="s">
        <v>120</v>
      </c>
      <c r="I999" s="250" t="n">
        <v>51.86</v>
      </c>
    </row>
    <row r="1000" customFormat="false" ht="13.8" hidden="false" customHeight="false" outlineLevel="0" collapsed="false">
      <c r="A1000" s="218"/>
      <c r="B1000" s="251"/>
      <c r="C1000" s="251"/>
      <c r="D1000" s="251"/>
      <c r="E1000" s="251"/>
      <c r="F1000" s="212" t="s">
        <v>5602</v>
      </c>
      <c r="G1000" s="212" t="n">
        <v>63</v>
      </c>
      <c r="H1000" s="212" t="s">
        <v>120</v>
      </c>
      <c r="I1000" s="250" t="n">
        <v>14.53</v>
      </c>
    </row>
    <row r="1001" customFormat="false" ht="13.8" hidden="false" customHeight="false" outlineLevel="0" collapsed="false">
      <c r="A1001" s="218"/>
      <c r="B1001" s="251"/>
      <c r="C1001" s="251"/>
      <c r="D1001" s="251"/>
      <c r="E1001" s="251"/>
      <c r="F1001" s="212" t="s">
        <v>5609</v>
      </c>
      <c r="G1001" s="212" t="n">
        <v>63</v>
      </c>
      <c r="H1001" s="212" t="s">
        <v>120</v>
      </c>
      <c r="I1001" s="250" t="n">
        <v>79.15</v>
      </c>
    </row>
    <row r="1002" customFormat="false" ht="13.8" hidden="false" customHeight="false" outlineLevel="0" collapsed="false">
      <c r="A1002" s="218"/>
      <c r="B1002" s="251"/>
      <c r="C1002" s="251"/>
      <c r="D1002" s="251"/>
      <c r="E1002" s="251"/>
      <c r="F1002" s="212" t="s">
        <v>5611</v>
      </c>
      <c r="G1002" s="212" t="n">
        <v>63</v>
      </c>
      <c r="H1002" s="212" t="s">
        <v>120</v>
      </c>
      <c r="I1002" s="250" t="n">
        <v>54.36</v>
      </c>
    </row>
    <row r="1003" customFormat="false" ht="13.8" hidden="false" customHeight="false" outlineLevel="0" collapsed="false">
      <c r="A1003" s="218"/>
      <c r="B1003" s="251"/>
      <c r="C1003" s="251"/>
      <c r="D1003" s="251"/>
      <c r="E1003" s="251"/>
      <c r="F1003" s="212" t="s">
        <v>5615</v>
      </c>
      <c r="G1003" s="212" t="n">
        <v>63</v>
      </c>
      <c r="H1003" s="212" t="s">
        <v>120</v>
      </c>
      <c r="I1003" s="250" t="n">
        <v>101.01</v>
      </c>
    </row>
    <row r="1004" customFormat="false" ht="13.8" hidden="false" customHeight="false" outlineLevel="0" collapsed="false">
      <c r="A1004" s="218"/>
      <c r="B1004" s="251"/>
      <c r="C1004" s="251"/>
      <c r="D1004" s="251"/>
      <c r="E1004" s="251"/>
      <c r="F1004" s="212" t="s">
        <v>5618</v>
      </c>
      <c r="G1004" s="212" t="n">
        <v>63</v>
      </c>
      <c r="H1004" s="212" t="s">
        <v>120</v>
      </c>
      <c r="I1004" s="250" t="n">
        <v>118.35</v>
      </c>
    </row>
    <row r="1005" customFormat="false" ht="13.8" hidden="false" customHeight="false" outlineLevel="0" collapsed="false">
      <c r="A1005" s="218"/>
      <c r="B1005" s="251"/>
      <c r="C1005" s="251"/>
      <c r="D1005" s="251"/>
      <c r="E1005" s="251"/>
      <c r="F1005" s="212" t="s">
        <v>5620</v>
      </c>
      <c r="G1005" s="212" t="n">
        <v>63</v>
      </c>
      <c r="H1005" s="212" t="s">
        <v>120</v>
      </c>
      <c r="I1005" s="250" t="n">
        <v>88.4</v>
      </c>
    </row>
    <row r="1006" customFormat="false" ht="13.8" hidden="false" customHeight="false" outlineLevel="0" collapsed="false">
      <c r="A1006" s="218"/>
      <c r="B1006" s="251"/>
      <c r="C1006" s="251"/>
      <c r="D1006" s="251"/>
      <c r="E1006" s="251"/>
      <c r="F1006" s="212" t="s">
        <v>5650</v>
      </c>
      <c r="G1006" s="212" t="n">
        <v>63</v>
      </c>
      <c r="H1006" s="212" t="s">
        <v>120</v>
      </c>
      <c r="I1006" s="250" t="n">
        <v>228.18</v>
      </c>
    </row>
    <row r="1007" customFormat="false" ht="13.8" hidden="false" customHeight="false" outlineLevel="0" collapsed="false">
      <c r="A1007" s="218"/>
      <c r="B1007" s="251"/>
      <c r="C1007" s="251"/>
      <c r="D1007" s="251"/>
      <c r="E1007" s="251"/>
      <c r="F1007" s="212" t="s">
        <v>5659</v>
      </c>
      <c r="G1007" s="212" t="n">
        <v>110</v>
      </c>
      <c r="H1007" s="212" t="s">
        <v>120</v>
      </c>
      <c r="I1007" s="250" t="n">
        <v>45.94</v>
      </c>
    </row>
    <row r="1008" customFormat="false" ht="13.8" hidden="false" customHeight="false" outlineLevel="0" collapsed="false">
      <c r="A1008" s="218"/>
      <c r="B1008" s="251"/>
      <c r="C1008" s="251"/>
      <c r="D1008" s="251"/>
      <c r="E1008" s="251"/>
      <c r="F1008" s="212" t="s">
        <v>5663</v>
      </c>
      <c r="G1008" s="212" t="n">
        <v>63</v>
      </c>
      <c r="H1008" s="212" t="s">
        <v>120</v>
      </c>
      <c r="I1008" s="250" t="n">
        <v>39.69</v>
      </c>
    </row>
    <row r="1009" customFormat="false" ht="13.8" hidden="false" customHeight="false" outlineLevel="0" collapsed="false">
      <c r="A1009" s="218"/>
      <c r="B1009" s="251"/>
      <c r="C1009" s="251"/>
      <c r="D1009" s="251"/>
      <c r="E1009" s="251"/>
      <c r="F1009" s="212" t="s">
        <v>5668</v>
      </c>
      <c r="G1009" s="212" t="n">
        <v>63</v>
      </c>
      <c r="H1009" s="212" t="s">
        <v>120</v>
      </c>
      <c r="I1009" s="250" t="n">
        <v>56.76</v>
      </c>
    </row>
    <row r="1010" customFormat="false" ht="13.8" hidden="false" customHeight="false" outlineLevel="0" collapsed="false">
      <c r="A1010" s="218"/>
      <c r="B1010" s="251"/>
      <c r="C1010" s="251"/>
      <c r="D1010" s="251"/>
      <c r="E1010" s="251"/>
      <c r="F1010" s="212" t="s">
        <v>5671</v>
      </c>
      <c r="G1010" s="212" t="n">
        <v>63</v>
      </c>
      <c r="H1010" s="212" t="s">
        <v>120</v>
      </c>
      <c r="I1010" s="250" t="n">
        <v>52.68</v>
      </c>
    </row>
    <row r="1011" customFormat="false" ht="13.8" hidden="false" customHeight="false" outlineLevel="0" collapsed="false">
      <c r="A1011" s="218"/>
      <c r="B1011" s="251"/>
      <c r="C1011" s="251"/>
      <c r="D1011" s="251"/>
      <c r="E1011" s="251"/>
      <c r="F1011" s="212" t="s">
        <v>5678</v>
      </c>
      <c r="G1011" s="212" t="n">
        <v>110</v>
      </c>
      <c r="H1011" s="212" t="s">
        <v>120</v>
      </c>
      <c r="I1011" s="250" t="n">
        <v>72.87</v>
      </c>
    </row>
    <row r="1012" customFormat="false" ht="13.8" hidden="false" customHeight="false" outlineLevel="0" collapsed="false">
      <c r="A1012" s="218"/>
      <c r="B1012" s="251"/>
      <c r="C1012" s="251"/>
      <c r="D1012" s="251"/>
      <c r="E1012" s="251"/>
      <c r="F1012" s="212" t="s">
        <v>5690</v>
      </c>
      <c r="G1012" s="212" t="n">
        <v>63</v>
      </c>
      <c r="H1012" s="212" t="s">
        <v>120</v>
      </c>
      <c r="I1012" s="250" t="n">
        <v>16.7</v>
      </c>
    </row>
    <row r="1013" customFormat="false" ht="13.8" hidden="false" customHeight="false" outlineLevel="0" collapsed="false">
      <c r="A1013" s="218"/>
      <c r="B1013" s="251"/>
      <c r="C1013" s="251"/>
      <c r="D1013" s="252"/>
      <c r="E1013" s="252"/>
      <c r="F1013" s="212" t="s">
        <v>5693</v>
      </c>
      <c r="G1013" s="212" t="n">
        <v>63</v>
      </c>
      <c r="H1013" s="212" t="s">
        <v>120</v>
      </c>
      <c r="I1013" s="250" t="n">
        <v>102.28</v>
      </c>
    </row>
    <row r="1014" customFormat="false" ht="13.8" hidden="false" customHeight="false" outlineLevel="0" collapsed="false">
      <c r="A1014" s="218"/>
      <c r="B1014" s="251"/>
      <c r="C1014" s="251"/>
      <c r="D1014" s="212" t="s">
        <v>5541</v>
      </c>
      <c r="E1014" s="212" t="s">
        <v>117</v>
      </c>
      <c r="F1014" s="212" t="s">
        <v>5540</v>
      </c>
      <c r="G1014" s="212" t="n">
        <v>63</v>
      </c>
      <c r="H1014" s="212" t="s">
        <v>120</v>
      </c>
      <c r="I1014" s="250" t="n">
        <v>102.91</v>
      </c>
    </row>
    <row r="1015" customFormat="false" ht="13.8" hidden="false" customHeight="false" outlineLevel="0" collapsed="false">
      <c r="A1015" s="218"/>
      <c r="B1015" s="251"/>
      <c r="C1015" s="251"/>
      <c r="D1015" s="249" t="s">
        <v>2035</v>
      </c>
      <c r="E1015" s="249" t="s">
        <v>117</v>
      </c>
      <c r="F1015" s="212" t="s">
        <v>5470</v>
      </c>
      <c r="G1015" s="212" t="n">
        <v>63</v>
      </c>
      <c r="H1015" s="212" t="s">
        <v>120</v>
      </c>
      <c r="I1015" s="250" t="n">
        <v>257.74</v>
      </c>
    </row>
    <row r="1016" customFormat="false" ht="13.8" hidden="false" customHeight="false" outlineLevel="0" collapsed="false">
      <c r="A1016" s="218"/>
      <c r="B1016" s="251"/>
      <c r="C1016" s="251"/>
      <c r="D1016" s="251"/>
      <c r="E1016" s="251"/>
      <c r="F1016" s="212" t="s">
        <v>5474</v>
      </c>
      <c r="G1016" s="212" t="n">
        <v>110</v>
      </c>
      <c r="H1016" s="212" t="s">
        <v>120</v>
      </c>
      <c r="I1016" s="250" t="n">
        <v>26.15</v>
      </c>
    </row>
    <row r="1017" customFormat="false" ht="13.8" hidden="false" customHeight="false" outlineLevel="0" collapsed="false">
      <c r="A1017" s="218"/>
      <c r="B1017" s="251"/>
      <c r="C1017" s="251"/>
      <c r="D1017" s="251"/>
      <c r="E1017" s="251"/>
      <c r="F1017" s="212" t="s">
        <v>5478</v>
      </c>
      <c r="G1017" s="212" t="n">
        <v>63</v>
      </c>
      <c r="H1017" s="212" t="s">
        <v>120</v>
      </c>
      <c r="I1017" s="250" t="n">
        <v>186.25</v>
      </c>
    </row>
    <row r="1018" customFormat="false" ht="13.8" hidden="false" customHeight="false" outlineLevel="0" collapsed="false">
      <c r="A1018" s="218"/>
      <c r="B1018" s="251"/>
      <c r="C1018" s="251"/>
      <c r="D1018" s="251"/>
      <c r="E1018" s="251"/>
      <c r="F1018" s="212" t="s">
        <v>5482</v>
      </c>
      <c r="G1018" s="212" t="n">
        <v>110</v>
      </c>
      <c r="H1018" s="212" t="s">
        <v>120</v>
      </c>
      <c r="I1018" s="250" t="n">
        <v>39.89</v>
      </c>
    </row>
    <row r="1019" customFormat="false" ht="13.8" hidden="false" customHeight="false" outlineLevel="0" collapsed="false">
      <c r="A1019" s="218"/>
      <c r="B1019" s="251"/>
      <c r="C1019" s="251"/>
      <c r="D1019" s="251"/>
      <c r="E1019" s="251"/>
      <c r="F1019" s="212" t="s">
        <v>5498</v>
      </c>
      <c r="G1019" s="212" t="n">
        <v>63</v>
      </c>
      <c r="H1019" s="212" t="s">
        <v>120</v>
      </c>
      <c r="I1019" s="250" t="n">
        <v>93.07</v>
      </c>
    </row>
    <row r="1020" customFormat="false" ht="13.8" hidden="false" customHeight="false" outlineLevel="0" collapsed="false">
      <c r="A1020" s="218"/>
      <c r="B1020" s="251"/>
      <c r="C1020" s="251"/>
      <c r="D1020" s="251"/>
      <c r="E1020" s="251"/>
      <c r="F1020" s="212" t="s">
        <v>5502</v>
      </c>
      <c r="G1020" s="212" t="n">
        <v>63</v>
      </c>
      <c r="H1020" s="212" t="s">
        <v>120</v>
      </c>
      <c r="I1020" s="250" t="n">
        <v>293.92</v>
      </c>
    </row>
    <row r="1021" customFormat="false" ht="13.8" hidden="false" customHeight="false" outlineLevel="0" collapsed="false">
      <c r="A1021" s="218"/>
      <c r="B1021" s="251"/>
      <c r="C1021" s="251"/>
      <c r="D1021" s="251"/>
      <c r="E1021" s="251"/>
      <c r="F1021" s="212" t="s">
        <v>5506</v>
      </c>
      <c r="G1021" s="212" t="n">
        <v>63</v>
      </c>
      <c r="H1021" s="212" t="s">
        <v>120</v>
      </c>
      <c r="I1021" s="250" t="n">
        <v>16.76</v>
      </c>
    </row>
    <row r="1022" customFormat="false" ht="13.8" hidden="false" customHeight="false" outlineLevel="0" collapsed="false">
      <c r="A1022" s="218"/>
      <c r="B1022" s="251"/>
      <c r="C1022" s="251"/>
      <c r="D1022" s="251"/>
      <c r="E1022" s="251"/>
      <c r="F1022" s="212" t="s">
        <v>5511</v>
      </c>
      <c r="G1022" s="212" t="n">
        <v>63</v>
      </c>
      <c r="H1022" s="212" t="s">
        <v>120</v>
      </c>
      <c r="I1022" s="250" t="n">
        <v>33.98</v>
      </c>
    </row>
    <row r="1023" customFormat="false" ht="13.8" hidden="false" customHeight="false" outlineLevel="0" collapsed="false">
      <c r="A1023" s="218"/>
      <c r="B1023" s="251"/>
      <c r="C1023" s="251"/>
      <c r="D1023" s="251"/>
      <c r="E1023" s="251"/>
      <c r="F1023" s="212" t="s">
        <v>5515</v>
      </c>
      <c r="G1023" s="212" t="n">
        <v>63</v>
      </c>
      <c r="H1023" s="212" t="s">
        <v>120</v>
      </c>
      <c r="I1023" s="250" t="n">
        <v>114.81</v>
      </c>
    </row>
    <row r="1024" customFormat="false" ht="13.8" hidden="false" customHeight="false" outlineLevel="0" collapsed="false">
      <c r="A1024" s="218"/>
      <c r="B1024" s="251"/>
      <c r="C1024" s="251"/>
      <c r="D1024" s="252"/>
      <c r="E1024" s="252"/>
      <c r="F1024" s="212" t="s">
        <v>5532</v>
      </c>
      <c r="G1024" s="212" t="n">
        <v>63</v>
      </c>
      <c r="H1024" s="212" t="s">
        <v>120</v>
      </c>
      <c r="I1024" s="250" t="n">
        <v>74.73</v>
      </c>
    </row>
    <row r="1025" customFormat="false" ht="13.8" hidden="false" customHeight="false" outlineLevel="0" collapsed="false">
      <c r="A1025" s="218"/>
      <c r="B1025" s="251"/>
      <c r="C1025" s="251"/>
      <c r="D1025" s="249" t="s">
        <v>5181</v>
      </c>
      <c r="E1025" s="249" t="s">
        <v>117</v>
      </c>
      <c r="F1025" s="212" t="s">
        <v>5180</v>
      </c>
      <c r="G1025" s="212" t="n">
        <v>63</v>
      </c>
      <c r="H1025" s="212" t="s">
        <v>120</v>
      </c>
      <c r="I1025" s="250" t="n">
        <v>6.22</v>
      </c>
    </row>
    <row r="1026" customFormat="false" ht="13.8" hidden="false" customHeight="false" outlineLevel="0" collapsed="false">
      <c r="A1026" s="218"/>
      <c r="B1026" s="251"/>
      <c r="C1026" s="251"/>
      <c r="D1026" s="251"/>
      <c r="E1026" s="251"/>
      <c r="F1026" s="212" t="s">
        <v>5185</v>
      </c>
      <c r="G1026" s="212" t="n">
        <v>63</v>
      </c>
      <c r="H1026" s="212" t="s">
        <v>120</v>
      </c>
      <c r="I1026" s="250" t="n">
        <v>47.07</v>
      </c>
    </row>
    <row r="1027" customFormat="false" ht="13.8" hidden="false" customHeight="false" outlineLevel="0" collapsed="false">
      <c r="A1027" s="218"/>
      <c r="B1027" s="251"/>
      <c r="C1027" s="251"/>
      <c r="D1027" s="251"/>
      <c r="E1027" s="251"/>
      <c r="F1027" s="212" t="s">
        <v>5188</v>
      </c>
      <c r="G1027" s="212" t="n">
        <v>63</v>
      </c>
      <c r="H1027" s="212" t="s">
        <v>120</v>
      </c>
      <c r="I1027" s="250" t="n">
        <v>202.76</v>
      </c>
    </row>
    <row r="1028" customFormat="false" ht="13.8" hidden="false" customHeight="false" outlineLevel="0" collapsed="false">
      <c r="A1028" s="218"/>
      <c r="B1028" s="251"/>
      <c r="C1028" s="251"/>
      <c r="D1028" s="251"/>
      <c r="E1028" s="251"/>
      <c r="F1028" s="212" t="s">
        <v>5191</v>
      </c>
      <c r="G1028" s="212" t="n">
        <v>63</v>
      </c>
      <c r="H1028" s="212" t="s">
        <v>120</v>
      </c>
      <c r="I1028" s="250" t="n">
        <v>13.16</v>
      </c>
    </row>
    <row r="1029" customFormat="false" ht="13.8" hidden="false" customHeight="false" outlineLevel="0" collapsed="false">
      <c r="A1029" s="218"/>
      <c r="B1029" s="251"/>
      <c r="C1029" s="251"/>
      <c r="D1029" s="251"/>
      <c r="E1029" s="251"/>
      <c r="F1029" s="212" t="s">
        <v>5195</v>
      </c>
      <c r="G1029" s="212" t="n">
        <v>63</v>
      </c>
      <c r="H1029" s="212" t="s">
        <v>120</v>
      </c>
      <c r="I1029" s="250" t="n">
        <v>110.83</v>
      </c>
    </row>
    <row r="1030" customFormat="false" ht="13.8" hidden="false" customHeight="false" outlineLevel="0" collapsed="false">
      <c r="A1030" s="218"/>
      <c r="B1030" s="251"/>
      <c r="C1030" s="251"/>
      <c r="D1030" s="252"/>
      <c r="E1030" s="252"/>
      <c r="F1030" s="212" t="s">
        <v>5206</v>
      </c>
      <c r="G1030" s="212" t="n">
        <v>63</v>
      </c>
      <c r="H1030" s="212" t="s">
        <v>120</v>
      </c>
      <c r="I1030" s="250" t="n">
        <v>94.69</v>
      </c>
    </row>
    <row r="1031" customFormat="false" ht="13.8" hidden="false" customHeight="false" outlineLevel="0" collapsed="false">
      <c r="A1031" s="218"/>
      <c r="B1031" s="251"/>
      <c r="C1031" s="251"/>
      <c r="D1031" s="249" t="s">
        <v>2387</v>
      </c>
      <c r="E1031" s="249" t="s">
        <v>117</v>
      </c>
      <c r="F1031" s="212" t="s">
        <v>5271</v>
      </c>
      <c r="G1031" s="212" t="n">
        <v>90</v>
      </c>
      <c r="H1031" s="212" t="s">
        <v>120</v>
      </c>
      <c r="I1031" s="250" t="n">
        <v>122.1</v>
      </c>
    </row>
    <row r="1032" customFormat="false" ht="13.8" hidden="false" customHeight="false" outlineLevel="0" collapsed="false">
      <c r="A1032" s="218"/>
      <c r="B1032" s="251"/>
      <c r="C1032" s="251"/>
      <c r="D1032" s="251"/>
      <c r="E1032" s="251"/>
      <c r="F1032" s="212" t="s">
        <v>5285</v>
      </c>
      <c r="G1032" s="212" t="n">
        <v>90</v>
      </c>
      <c r="H1032" s="212" t="s">
        <v>120</v>
      </c>
      <c r="I1032" s="250" t="n">
        <v>47.36</v>
      </c>
    </row>
    <row r="1033" customFormat="false" ht="13.8" hidden="false" customHeight="false" outlineLevel="0" collapsed="false">
      <c r="A1033" s="218"/>
      <c r="B1033" s="251"/>
      <c r="C1033" s="251"/>
      <c r="D1033" s="251"/>
      <c r="E1033" s="251"/>
      <c r="F1033" s="212" t="s">
        <v>5315</v>
      </c>
      <c r="G1033" s="212" t="n">
        <v>90</v>
      </c>
      <c r="H1033" s="212" t="s">
        <v>120</v>
      </c>
      <c r="I1033" s="250" t="n">
        <v>8.79</v>
      </c>
    </row>
    <row r="1034" customFormat="false" ht="13.8" hidden="false" customHeight="false" outlineLevel="0" collapsed="false">
      <c r="A1034" s="218"/>
      <c r="B1034" s="251"/>
      <c r="C1034" s="251"/>
      <c r="D1034" s="251"/>
      <c r="E1034" s="251"/>
      <c r="F1034" s="212" t="s">
        <v>5318</v>
      </c>
      <c r="G1034" s="212" t="n">
        <v>90</v>
      </c>
      <c r="H1034" s="212" t="s">
        <v>120</v>
      </c>
      <c r="I1034" s="250" t="n">
        <v>7.97</v>
      </c>
    </row>
    <row r="1035" customFormat="false" ht="13.8" hidden="false" customHeight="false" outlineLevel="0" collapsed="false">
      <c r="A1035" s="218"/>
      <c r="B1035" s="251"/>
      <c r="C1035" s="251"/>
      <c r="D1035" s="251"/>
      <c r="E1035" s="251"/>
      <c r="F1035" s="212" t="s">
        <v>5321</v>
      </c>
      <c r="G1035" s="212" t="n">
        <v>160</v>
      </c>
      <c r="H1035" s="212" t="s">
        <v>120</v>
      </c>
      <c r="I1035" s="250" t="n">
        <v>1.93</v>
      </c>
    </row>
    <row r="1036" customFormat="false" ht="13.8" hidden="false" customHeight="false" outlineLevel="0" collapsed="false">
      <c r="A1036" s="218"/>
      <c r="B1036" s="251"/>
      <c r="C1036" s="251"/>
      <c r="D1036" s="251"/>
      <c r="E1036" s="251"/>
      <c r="F1036" s="212" t="s">
        <v>5329</v>
      </c>
      <c r="G1036" s="212" t="n">
        <v>160</v>
      </c>
      <c r="H1036" s="212" t="s">
        <v>120</v>
      </c>
      <c r="I1036" s="250" t="n">
        <v>2.8</v>
      </c>
    </row>
    <row r="1037" customFormat="false" ht="13.8" hidden="false" customHeight="false" outlineLevel="0" collapsed="false">
      <c r="A1037" s="218"/>
      <c r="B1037" s="251"/>
      <c r="C1037" s="251"/>
      <c r="D1037" s="251"/>
      <c r="E1037" s="251"/>
      <c r="F1037" s="212" t="s">
        <v>5333</v>
      </c>
      <c r="G1037" s="212" t="n">
        <v>160</v>
      </c>
      <c r="H1037" s="212" t="s">
        <v>120</v>
      </c>
      <c r="I1037" s="250" t="n">
        <v>17.98</v>
      </c>
    </row>
    <row r="1038" customFormat="false" ht="13.8" hidden="false" customHeight="false" outlineLevel="0" collapsed="false">
      <c r="A1038" s="218"/>
      <c r="B1038" s="251"/>
      <c r="C1038" s="251"/>
      <c r="D1038" s="251"/>
      <c r="E1038" s="251"/>
      <c r="F1038" s="212" t="s">
        <v>5337</v>
      </c>
      <c r="G1038" s="212" t="n">
        <v>160</v>
      </c>
      <c r="H1038" s="212" t="s">
        <v>120</v>
      </c>
      <c r="I1038" s="250" t="n">
        <v>5.17</v>
      </c>
    </row>
    <row r="1039" customFormat="false" ht="13.8" hidden="false" customHeight="false" outlineLevel="0" collapsed="false">
      <c r="A1039" s="218"/>
      <c r="B1039" s="251"/>
      <c r="C1039" s="251"/>
      <c r="D1039" s="251"/>
      <c r="E1039" s="251"/>
      <c r="F1039" s="212" t="s">
        <v>5344</v>
      </c>
      <c r="G1039" s="212" t="n">
        <v>160</v>
      </c>
      <c r="H1039" s="212" t="s">
        <v>120</v>
      </c>
      <c r="I1039" s="250" t="n">
        <v>5.12</v>
      </c>
    </row>
    <row r="1040" customFormat="false" ht="13.8" hidden="false" customHeight="false" outlineLevel="0" collapsed="false">
      <c r="A1040" s="218"/>
      <c r="B1040" s="251"/>
      <c r="C1040" s="251"/>
      <c r="D1040" s="251"/>
      <c r="E1040" s="251"/>
      <c r="F1040" s="212" t="s">
        <v>5347</v>
      </c>
      <c r="G1040" s="212" t="n">
        <v>160</v>
      </c>
      <c r="H1040" s="212" t="s">
        <v>120</v>
      </c>
      <c r="I1040" s="250" t="n">
        <v>7.61</v>
      </c>
    </row>
    <row r="1041" customFormat="false" ht="13.8" hidden="false" customHeight="false" outlineLevel="0" collapsed="false">
      <c r="A1041" s="218"/>
      <c r="B1041" s="251"/>
      <c r="C1041" s="251"/>
      <c r="D1041" s="251"/>
      <c r="E1041" s="251"/>
      <c r="F1041" s="212" t="s">
        <v>5349</v>
      </c>
      <c r="G1041" s="212" t="n">
        <v>225</v>
      </c>
      <c r="H1041" s="212" t="s">
        <v>120</v>
      </c>
      <c r="I1041" s="250" t="n">
        <v>6.41</v>
      </c>
    </row>
    <row r="1042" customFormat="false" ht="13.8" hidden="false" customHeight="false" outlineLevel="0" collapsed="false">
      <c r="A1042" s="218"/>
      <c r="B1042" s="251"/>
      <c r="C1042" s="251"/>
      <c r="D1042" s="251"/>
      <c r="E1042" s="251"/>
      <c r="F1042" s="212" t="s">
        <v>5358</v>
      </c>
      <c r="G1042" s="212" t="n">
        <v>250</v>
      </c>
      <c r="H1042" s="212" t="s">
        <v>120</v>
      </c>
      <c r="I1042" s="250" t="n">
        <v>2.82</v>
      </c>
    </row>
    <row r="1043" customFormat="false" ht="13.8" hidden="false" customHeight="false" outlineLevel="0" collapsed="false">
      <c r="A1043" s="218"/>
      <c r="B1043" s="251"/>
      <c r="C1043" s="251"/>
      <c r="D1043" s="251"/>
      <c r="E1043" s="251"/>
      <c r="F1043" s="212" t="s">
        <v>5361</v>
      </c>
      <c r="G1043" s="212" t="n">
        <v>250</v>
      </c>
      <c r="H1043" s="212" t="s">
        <v>120</v>
      </c>
      <c r="I1043" s="250" t="n">
        <v>4.24</v>
      </c>
    </row>
    <row r="1044" customFormat="false" ht="13.8" hidden="false" customHeight="false" outlineLevel="0" collapsed="false">
      <c r="A1044" s="218"/>
      <c r="B1044" s="251"/>
      <c r="C1044" s="251"/>
      <c r="D1044" s="252"/>
      <c r="E1044" s="252"/>
      <c r="F1044" s="212" t="s">
        <v>5364</v>
      </c>
      <c r="G1044" s="212" t="n">
        <v>160</v>
      </c>
      <c r="H1044" s="212" t="s">
        <v>120</v>
      </c>
      <c r="I1044" s="250" t="n">
        <v>5.6</v>
      </c>
    </row>
    <row r="1045" customFormat="false" ht="13.8" hidden="false" customHeight="false" outlineLevel="0" collapsed="false">
      <c r="A1045" s="218"/>
      <c r="B1045" s="251"/>
      <c r="C1045" s="251"/>
      <c r="D1045" s="249" t="s">
        <v>5146</v>
      </c>
      <c r="E1045" s="249" t="s">
        <v>117</v>
      </c>
      <c r="F1045" s="212" t="s">
        <v>5145</v>
      </c>
      <c r="G1045" s="212" t="n">
        <v>160</v>
      </c>
      <c r="H1045" s="212" t="s">
        <v>120</v>
      </c>
      <c r="I1045" s="250" t="n">
        <v>37.71</v>
      </c>
    </row>
    <row r="1046" customFormat="false" ht="13.8" hidden="false" customHeight="false" outlineLevel="0" collapsed="false">
      <c r="A1046" s="218"/>
      <c r="B1046" s="251"/>
      <c r="C1046" s="251"/>
      <c r="D1046" s="252"/>
      <c r="E1046" s="252"/>
      <c r="F1046" s="212" t="s">
        <v>5256</v>
      </c>
      <c r="G1046" s="212" t="n">
        <v>160</v>
      </c>
      <c r="H1046" s="212" t="s">
        <v>120</v>
      </c>
      <c r="I1046" s="250" t="n">
        <v>6.78</v>
      </c>
    </row>
    <row r="1047" customFormat="false" ht="13.8" hidden="false" customHeight="false" outlineLevel="0" collapsed="false">
      <c r="A1047" s="218"/>
      <c r="B1047" s="251"/>
      <c r="C1047" s="251"/>
      <c r="D1047" s="212" t="s">
        <v>2400</v>
      </c>
      <c r="E1047" s="212" t="s">
        <v>117</v>
      </c>
      <c r="F1047" s="212" t="s">
        <v>5132</v>
      </c>
      <c r="G1047" s="212" t="n">
        <v>160</v>
      </c>
      <c r="H1047" s="212" t="s">
        <v>120</v>
      </c>
      <c r="I1047" s="250" t="n">
        <v>41.55</v>
      </c>
    </row>
    <row r="1048" customFormat="false" ht="13.8" hidden="false" customHeight="false" outlineLevel="0" collapsed="false">
      <c r="A1048" s="218"/>
      <c r="B1048" s="251"/>
      <c r="C1048" s="251"/>
      <c r="D1048" s="249" t="s">
        <v>4968</v>
      </c>
      <c r="E1048" s="249" t="s">
        <v>117</v>
      </c>
      <c r="F1048" s="212" t="s">
        <v>5107</v>
      </c>
      <c r="G1048" s="212" t="n">
        <v>63</v>
      </c>
      <c r="H1048" s="212" t="s">
        <v>120</v>
      </c>
      <c r="I1048" s="250" t="n">
        <v>208.43</v>
      </c>
    </row>
    <row r="1049" customFormat="false" ht="13.8" hidden="false" customHeight="false" outlineLevel="0" collapsed="false">
      <c r="A1049" s="218"/>
      <c r="B1049" s="251"/>
      <c r="C1049" s="251"/>
      <c r="D1049" s="251"/>
      <c r="E1049" s="251"/>
      <c r="F1049" s="212" t="s">
        <v>5125</v>
      </c>
      <c r="G1049" s="212" t="n">
        <v>63</v>
      </c>
      <c r="H1049" s="212" t="s">
        <v>120</v>
      </c>
      <c r="I1049" s="250" t="n">
        <v>44.1</v>
      </c>
    </row>
    <row r="1050" customFormat="false" ht="13.8" hidden="false" customHeight="false" outlineLevel="0" collapsed="false">
      <c r="A1050" s="218"/>
      <c r="B1050" s="251"/>
      <c r="C1050" s="251"/>
      <c r="D1050" s="251"/>
      <c r="E1050" s="251"/>
      <c r="F1050" s="212" t="s">
        <v>5156</v>
      </c>
      <c r="G1050" s="212" t="n">
        <v>63</v>
      </c>
      <c r="H1050" s="212" t="s">
        <v>120</v>
      </c>
      <c r="I1050" s="250" t="n">
        <v>4.36</v>
      </c>
    </row>
    <row r="1051" customFormat="false" ht="13.8" hidden="false" customHeight="false" outlineLevel="0" collapsed="false">
      <c r="A1051" s="218"/>
      <c r="B1051" s="251"/>
      <c r="C1051" s="251"/>
      <c r="D1051" s="251"/>
      <c r="E1051" s="251"/>
      <c r="F1051" s="212" t="s">
        <v>5160</v>
      </c>
      <c r="G1051" s="212" t="n">
        <v>63</v>
      </c>
      <c r="H1051" s="212" t="s">
        <v>120</v>
      </c>
      <c r="I1051" s="250" t="n">
        <v>1.13</v>
      </c>
    </row>
    <row r="1052" customFormat="false" ht="13.8" hidden="false" customHeight="false" outlineLevel="0" collapsed="false">
      <c r="A1052" s="218"/>
      <c r="B1052" s="251"/>
      <c r="C1052" s="251"/>
      <c r="D1052" s="252"/>
      <c r="E1052" s="252"/>
      <c r="F1052" s="212" t="s">
        <v>5172</v>
      </c>
      <c r="G1052" s="212" t="n">
        <v>63</v>
      </c>
      <c r="H1052" s="212" t="s">
        <v>120</v>
      </c>
      <c r="I1052" s="250" t="n">
        <v>199.23</v>
      </c>
    </row>
    <row r="1053" customFormat="false" ht="13.8" hidden="false" customHeight="false" outlineLevel="0" collapsed="false">
      <c r="A1053" s="218"/>
      <c r="B1053" s="251"/>
      <c r="C1053" s="251"/>
      <c r="D1053" s="249" t="s">
        <v>5121</v>
      </c>
      <c r="E1053" s="249" t="s">
        <v>117</v>
      </c>
      <c r="F1053" s="212" t="s">
        <v>5120</v>
      </c>
      <c r="G1053" s="212" t="n">
        <v>160</v>
      </c>
      <c r="H1053" s="212" t="s">
        <v>120</v>
      </c>
      <c r="I1053" s="250" t="n">
        <v>46.56</v>
      </c>
    </row>
    <row r="1054" customFormat="false" ht="13.8" hidden="false" customHeight="false" outlineLevel="0" collapsed="false">
      <c r="A1054" s="218"/>
      <c r="B1054" s="251"/>
      <c r="C1054" s="251"/>
      <c r="D1054" s="251"/>
      <c r="E1054" s="251"/>
      <c r="F1054" s="212" t="s">
        <v>5128</v>
      </c>
      <c r="G1054" s="212" t="n">
        <v>90</v>
      </c>
      <c r="H1054" s="212" t="s">
        <v>120</v>
      </c>
      <c r="I1054" s="250" t="n">
        <v>61.43</v>
      </c>
    </row>
    <row r="1055" customFormat="false" ht="13.8" hidden="false" customHeight="false" outlineLevel="0" collapsed="false">
      <c r="A1055" s="218"/>
      <c r="B1055" s="251"/>
      <c r="C1055" s="251"/>
      <c r="D1055" s="251"/>
      <c r="E1055" s="251"/>
      <c r="F1055" s="212" t="s">
        <v>5134</v>
      </c>
      <c r="G1055" s="212" t="n">
        <v>90</v>
      </c>
      <c r="H1055" s="212" t="s">
        <v>120</v>
      </c>
      <c r="I1055" s="250" t="n">
        <v>37.96</v>
      </c>
    </row>
    <row r="1056" customFormat="false" ht="13.8" hidden="false" customHeight="false" outlineLevel="0" collapsed="false">
      <c r="A1056" s="218"/>
      <c r="B1056" s="251"/>
      <c r="C1056" s="251"/>
      <c r="D1056" s="251"/>
      <c r="E1056" s="251"/>
      <c r="F1056" s="212" t="s">
        <v>5138</v>
      </c>
      <c r="G1056" s="212" t="n">
        <v>90</v>
      </c>
      <c r="H1056" s="212" t="s">
        <v>120</v>
      </c>
      <c r="I1056" s="250" t="n">
        <v>0.98</v>
      </c>
    </row>
    <row r="1057" customFormat="false" ht="13.8" hidden="false" customHeight="false" outlineLevel="0" collapsed="false">
      <c r="A1057" s="218"/>
      <c r="B1057" s="251"/>
      <c r="C1057" s="251"/>
      <c r="D1057" s="251"/>
      <c r="E1057" s="251"/>
      <c r="F1057" s="212" t="s">
        <v>5142</v>
      </c>
      <c r="G1057" s="212" t="n">
        <v>90</v>
      </c>
      <c r="H1057" s="212" t="s">
        <v>120</v>
      </c>
      <c r="I1057" s="250" t="n">
        <v>3.07</v>
      </c>
    </row>
    <row r="1058" customFormat="false" ht="13.8" hidden="false" customHeight="false" outlineLevel="0" collapsed="false">
      <c r="A1058" s="218"/>
      <c r="B1058" s="251"/>
      <c r="C1058" s="251"/>
      <c r="D1058" s="251"/>
      <c r="E1058" s="251"/>
      <c r="F1058" s="212" t="s">
        <v>5148</v>
      </c>
      <c r="G1058" s="212" t="n">
        <v>63</v>
      </c>
      <c r="H1058" s="212" t="s">
        <v>120</v>
      </c>
      <c r="I1058" s="250" t="n">
        <v>53.89</v>
      </c>
    </row>
    <row r="1059" customFormat="false" ht="13.8" hidden="false" customHeight="false" outlineLevel="0" collapsed="false">
      <c r="A1059" s="218"/>
      <c r="B1059" s="251"/>
      <c r="C1059" s="251"/>
      <c r="D1059" s="251"/>
      <c r="E1059" s="251"/>
      <c r="F1059" s="212" t="s">
        <v>5152</v>
      </c>
      <c r="G1059" s="212" t="n">
        <v>63</v>
      </c>
      <c r="H1059" s="212" t="s">
        <v>120</v>
      </c>
      <c r="I1059" s="250" t="n">
        <v>224.9</v>
      </c>
    </row>
    <row r="1060" customFormat="false" ht="13.8" hidden="false" customHeight="false" outlineLevel="0" collapsed="false">
      <c r="A1060" s="218"/>
      <c r="B1060" s="251"/>
      <c r="C1060" s="251"/>
      <c r="D1060" s="251"/>
      <c r="E1060" s="251"/>
      <c r="F1060" s="212" t="s">
        <v>5164</v>
      </c>
      <c r="G1060" s="212" t="n">
        <v>63</v>
      </c>
      <c r="H1060" s="212" t="s">
        <v>120</v>
      </c>
      <c r="I1060" s="250" t="n">
        <v>3.58</v>
      </c>
    </row>
    <row r="1061" customFormat="false" ht="13.8" hidden="false" customHeight="false" outlineLevel="0" collapsed="false">
      <c r="A1061" s="218"/>
      <c r="B1061" s="251"/>
      <c r="C1061" s="251"/>
      <c r="D1061" s="251"/>
      <c r="E1061" s="251"/>
      <c r="F1061" s="212" t="s">
        <v>5168</v>
      </c>
      <c r="G1061" s="212" t="n">
        <v>63</v>
      </c>
      <c r="H1061" s="212" t="s">
        <v>120</v>
      </c>
      <c r="I1061" s="250" t="n">
        <v>1.93</v>
      </c>
    </row>
    <row r="1062" customFormat="false" ht="13.8" hidden="false" customHeight="false" outlineLevel="0" collapsed="false">
      <c r="A1062" s="218"/>
      <c r="B1062" s="251"/>
      <c r="C1062" s="251"/>
      <c r="D1062" s="251"/>
      <c r="E1062" s="251"/>
      <c r="F1062" s="212" t="s">
        <v>5252</v>
      </c>
      <c r="G1062" s="212" t="n">
        <v>63</v>
      </c>
      <c r="H1062" s="212" t="s">
        <v>120</v>
      </c>
      <c r="I1062" s="250" t="n">
        <v>143.58</v>
      </c>
    </row>
    <row r="1063" customFormat="false" ht="13.8" hidden="false" customHeight="false" outlineLevel="0" collapsed="false">
      <c r="A1063" s="218"/>
      <c r="B1063" s="251"/>
      <c r="C1063" s="251"/>
      <c r="D1063" s="252"/>
      <c r="E1063" s="252"/>
      <c r="F1063" s="212" t="s">
        <v>5258</v>
      </c>
      <c r="G1063" s="212" t="n">
        <v>90</v>
      </c>
      <c r="H1063" s="212" t="s">
        <v>120</v>
      </c>
      <c r="I1063" s="250" t="n">
        <v>210.93</v>
      </c>
    </row>
    <row r="1064" customFormat="false" ht="13.8" hidden="false" customHeight="false" outlineLevel="0" collapsed="false">
      <c r="A1064" s="218"/>
      <c r="B1064" s="251"/>
      <c r="C1064" s="251"/>
      <c r="D1064" s="212" t="s">
        <v>5354</v>
      </c>
      <c r="E1064" s="212" t="s">
        <v>117</v>
      </c>
      <c r="F1064" s="212" t="s">
        <v>5353</v>
      </c>
      <c r="G1064" s="212" t="n">
        <v>160</v>
      </c>
      <c r="H1064" s="212" t="s">
        <v>120</v>
      </c>
      <c r="I1064" s="250" t="n">
        <v>49.43</v>
      </c>
    </row>
    <row r="1065" customFormat="false" ht="13.8" hidden="false" customHeight="false" outlineLevel="0" collapsed="false">
      <c r="A1065" s="218"/>
      <c r="B1065" s="251"/>
      <c r="C1065" s="251"/>
      <c r="D1065" s="249" t="s">
        <v>5527</v>
      </c>
      <c r="E1065" s="249" t="s">
        <v>117</v>
      </c>
      <c r="F1065" s="212" t="s">
        <v>5526</v>
      </c>
      <c r="G1065" s="212" t="n">
        <v>63</v>
      </c>
      <c r="H1065" s="212" t="s">
        <v>120</v>
      </c>
      <c r="I1065" s="250" t="n">
        <v>240.89</v>
      </c>
    </row>
    <row r="1066" customFormat="false" ht="13.8" hidden="false" customHeight="false" outlineLevel="0" collapsed="false">
      <c r="A1066" s="218"/>
      <c r="B1066" s="251"/>
      <c r="C1066" s="251"/>
      <c r="D1066" s="252"/>
      <c r="E1066" s="252"/>
      <c r="F1066" s="212" t="s">
        <v>5566</v>
      </c>
      <c r="G1066" s="212" t="n">
        <v>110</v>
      </c>
      <c r="H1066" s="212" t="s">
        <v>120</v>
      </c>
      <c r="I1066" s="250" t="n">
        <v>90.89</v>
      </c>
    </row>
    <row r="1067" customFormat="false" ht="13.8" hidden="false" customHeight="false" outlineLevel="0" collapsed="false">
      <c r="A1067" s="218"/>
      <c r="B1067" s="251"/>
      <c r="C1067" s="251"/>
      <c r="D1067" s="249" t="s">
        <v>5558</v>
      </c>
      <c r="E1067" s="249" t="s">
        <v>117</v>
      </c>
      <c r="F1067" s="212" t="s">
        <v>5557</v>
      </c>
      <c r="G1067" s="212" t="n">
        <v>160</v>
      </c>
      <c r="H1067" s="212" t="s">
        <v>120</v>
      </c>
      <c r="I1067" s="250" t="n">
        <v>4.47</v>
      </c>
    </row>
    <row r="1068" customFormat="false" ht="13.8" hidden="false" customHeight="false" outlineLevel="0" collapsed="false">
      <c r="A1068" s="218"/>
      <c r="B1068" s="251"/>
      <c r="C1068" s="251"/>
      <c r="D1068" s="252"/>
      <c r="E1068" s="252"/>
      <c r="F1068" s="212" t="s">
        <v>5560</v>
      </c>
      <c r="G1068" s="212" t="n">
        <v>110</v>
      </c>
      <c r="H1068" s="212" t="s">
        <v>120</v>
      </c>
      <c r="I1068" s="250" t="n">
        <v>123.55</v>
      </c>
    </row>
    <row r="1069" customFormat="false" ht="13.8" hidden="false" customHeight="false" outlineLevel="0" collapsed="false">
      <c r="A1069" s="218"/>
      <c r="B1069" s="251"/>
      <c r="C1069" s="251"/>
      <c r="D1069" s="249" t="s">
        <v>1860</v>
      </c>
      <c r="E1069" s="249" t="s">
        <v>117</v>
      </c>
      <c r="F1069" s="212" t="s">
        <v>5281</v>
      </c>
      <c r="G1069" s="212" t="n">
        <v>90</v>
      </c>
      <c r="H1069" s="212" t="s">
        <v>120</v>
      </c>
      <c r="I1069" s="250" t="n">
        <v>48.81</v>
      </c>
    </row>
    <row r="1070" customFormat="false" ht="13.8" hidden="false" customHeight="false" outlineLevel="0" collapsed="false">
      <c r="A1070" s="218"/>
      <c r="B1070" s="251"/>
      <c r="C1070" s="251"/>
      <c r="D1070" s="251"/>
      <c r="E1070" s="251"/>
      <c r="F1070" s="212" t="s">
        <v>5293</v>
      </c>
      <c r="G1070" s="212" t="n">
        <v>90</v>
      </c>
      <c r="H1070" s="212" t="s">
        <v>120</v>
      </c>
      <c r="I1070" s="250" t="n">
        <v>40.36</v>
      </c>
    </row>
    <row r="1071" customFormat="false" ht="13.8" hidden="false" customHeight="false" outlineLevel="0" collapsed="false">
      <c r="A1071" s="218"/>
      <c r="B1071" s="251"/>
      <c r="C1071" s="251"/>
      <c r="D1071" s="252"/>
      <c r="E1071" s="252"/>
      <c r="F1071" s="212" t="s">
        <v>5325</v>
      </c>
      <c r="G1071" s="212" t="n">
        <v>63</v>
      </c>
      <c r="H1071" s="212" t="s">
        <v>120</v>
      </c>
      <c r="I1071" s="250" t="n">
        <v>153.33</v>
      </c>
    </row>
    <row r="1072" customFormat="false" ht="13.8" hidden="false" customHeight="false" outlineLevel="0" collapsed="false">
      <c r="A1072" s="218"/>
      <c r="B1072" s="251"/>
      <c r="C1072" s="251"/>
      <c r="D1072" s="249" t="s">
        <v>5417</v>
      </c>
      <c r="E1072" s="249" t="s">
        <v>117</v>
      </c>
      <c r="F1072" s="212" t="s">
        <v>5416</v>
      </c>
      <c r="G1072" s="212" t="n">
        <v>63</v>
      </c>
      <c r="H1072" s="212" t="s">
        <v>120</v>
      </c>
      <c r="I1072" s="250" t="n">
        <v>54.36</v>
      </c>
    </row>
    <row r="1073" customFormat="false" ht="13.8" hidden="false" customHeight="false" outlineLevel="0" collapsed="false">
      <c r="A1073" s="218"/>
      <c r="B1073" s="251"/>
      <c r="C1073" s="251"/>
      <c r="D1073" s="251"/>
      <c r="E1073" s="251"/>
      <c r="F1073" s="212" t="s">
        <v>5421</v>
      </c>
      <c r="G1073" s="212" t="n">
        <v>63</v>
      </c>
      <c r="H1073" s="212" t="s">
        <v>120</v>
      </c>
      <c r="I1073" s="250" t="n">
        <v>114</v>
      </c>
    </row>
    <row r="1074" customFormat="false" ht="13.8" hidden="false" customHeight="false" outlineLevel="0" collapsed="false">
      <c r="A1074" s="218"/>
      <c r="B1074" s="251"/>
      <c r="C1074" s="251"/>
      <c r="D1074" s="251"/>
      <c r="E1074" s="251"/>
      <c r="F1074" s="212" t="s">
        <v>5440</v>
      </c>
      <c r="G1074" s="212" t="n">
        <v>63</v>
      </c>
      <c r="H1074" s="212" t="s">
        <v>120</v>
      </c>
      <c r="I1074" s="250" t="n">
        <v>345.1</v>
      </c>
    </row>
    <row r="1075" customFormat="false" ht="13.8" hidden="false" customHeight="false" outlineLevel="0" collapsed="false">
      <c r="A1075" s="218"/>
      <c r="B1075" s="251"/>
      <c r="C1075" s="251"/>
      <c r="D1075" s="251"/>
      <c r="E1075" s="251"/>
      <c r="F1075" s="212" t="s">
        <v>5447</v>
      </c>
      <c r="G1075" s="212" t="n">
        <v>63</v>
      </c>
      <c r="H1075" s="212" t="s">
        <v>120</v>
      </c>
      <c r="I1075" s="250" t="n">
        <v>123.71</v>
      </c>
    </row>
    <row r="1076" customFormat="false" ht="13.8" hidden="false" customHeight="false" outlineLevel="0" collapsed="false">
      <c r="A1076" s="218"/>
      <c r="B1076" s="251"/>
      <c r="C1076" s="251"/>
      <c r="D1076" s="252"/>
      <c r="E1076" s="252"/>
      <c r="F1076" s="212" t="s">
        <v>5459</v>
      </c>
      <c r="G1076" s="212" t="n">
        <v>110</v>
      </c>
      <c r="H1076" s="212" t="s">
        <v>120</v>
      </c>
      <c r="I1076" s="250" t="n">
        <v>58.24</v>
      </c>
    </row>
    <row r="1077" customFormat="false" ht="13.8" hidden="false" customHeight="false" outlineLevel="0" collapsed="false">
      <c r="A1077" s="218"/>
      <c r="B1077" s="251"/>
      <c r="C1077" s="251"/>
      <c r="D1077" s="249" t="s">
        <v>5493</v>
      </c>
      <c r="E1077" s="249" t="s">
        <v>117</v>
      </c>
      <c r="F1077" s="212" t="s">
        <v>5492</v>
      </c>
      <c r="G1077" s="212" t="n">
        <v>63</v>
      </c>
      <c r="H1077" s="212" t="s">
        <v>120</v>
      </c>
      <c r="I1077" s="250" t="n">
        <v>105.07</v>
      </c>
    </row>
    <row r="1078" customFormat="false" ht="13.8" hidden="false" customHeight="false" outlineLevel="0" collapsed="false">
      <c r="A1078" s="218"/>
      <c r="B1078" s="251"/>
      <c r="C1078" s="251"/>
      <c r="D1078" s="251"/>
      <c r="E1078" s="251"/>
      <c r="F1078" s="212" t="s">
        <v>5519</v>
      </c>
      <c r="G1078" s="212" t="n">
        <v>63</v>
      </c>
      <c r="H1078" s="212" t="s">
        <v>120</v>
      </c>
      <c r="I1078" s="250" t="n">
        <v>76.06</v>
      </c>
    </row>
    <row r="1079" customFormat="false" ht="13.8" hidden="false" customHeight="false" outlineLevel="0" collapsed="false">
      <c r="A1079" s="218"/>
      <c r="B1079" s="251"/>
      <c r="C1079" s="251"/>
      <c r="D1079" s="252"/>
      <c r="E1079" s="252"/>
      <c r="F1079" s="212" t="s">
        <v>5563</v>
      </c>
      <c r="G1079" s="212" t="n">
        <v>110</v>
      </c>
      <c r="H1079" s="212" t="s">
        <v>120</v>
      </c>
      <c r="I1079" s="250" t="n">
        <v>69.62</v>
      </c>
    </row>
    <row r="1080" customFormat="false" ht="13.8" hidden="false" customHeight="false" outlineLevel="0" collapsed="false">
      <c r="A1080" s="218"/>
      <c r="B1080" s="251"/>
      <c r="C1080" s="251"/>
      <c r="D1080" s="249" t="s">
        <v>7055</v>
      </c>
      <c r="E1080" s="249" t="s">
        <v>117</v>
      </c>
      <c r="F1080" s="212" t="s">
        <v>5213</v>
      </c>
      <c r="G1080" s="212" t="n">
        <v>63</v>
      </c>
      <c r="H1080" s="212" t="s">
        <v>120</v>
      </c>
      <c r="I1080" s="250" t="n">
        <v>42.47</v>
      </c>
    </row>
    <row r="1081" customFormat="false" ht="13.8" hidden="false" customHeight="false" outlineLevel="0" collapsed="false">
      <c r="A1081" s="218"/>
      <c r="B1081" s="251"/>
      <c r="C1081" s="251"/>
      <c r="D1081" s="251"/>
      <c r="E1081" s="251"/>
      <c r="F1081" s="212" t="s">
        <v>5262</v>
      </c>
      <c r="G1081" s="212" t="n">
        <v>90</v>
      </c>
      <c r="H1081" s="212" t="s">
        <v>120</v>
      </c>
      <c r="I1081" s="250" t="n">
        <v>47.83</v>
      </c>
    </row>
    <row r="1082" customFormat="false" ht="13.8" hidden="false" customHeight="false" outlineLevel="0" collapsed="false">
      <c r="A1082" s="218"/>
      <c r="B1082" s="251"/>
      <c r="C1082" s="251"/>
      <c r="D1082" s="251"/>
      <c r="E1082" s="251"/>
      <c r="F1082" s="212" t="s">
        <v>5289</v>
      </c>
      <c r="G1082" s="212" t="n">
        <v>63</v>
      </c>
      <c r="H1082" s="212" t="s">
        <v>120</v>
      </c>
      <c r="I1082" s="250" t="n">
        <v>54.12</v>
      </c>
    </row>
    <row r="1083" customFormat="false" ht="13.8" hidden="false" customHeight="false" outlineLevel="0" collapsed="false">
      <c r="A1083" s="218"/>
      <c r="B1083" s="251"/>
      <c r="C1083" s="251"/>
      <c r="D1083" s="251"/>
      <c r="E1083" s="251"/>
      <c r="F1083" s="212" t="s">
        <v>5296</v>
      </c>
      <c r="G1083" s="212" t="n">
        <v>63</v>
      </c>
      <c r="H1083" s="212" t="s">
        <v>120</v>
      </c>
      <c r="I1083" s="250" t="n">
        <v>137.19</v>
      </c>
    </row>
    <row r="1084" customFormat="false" ht="13.8" hidden="false" customHeight="false" outlineLevel="0" collapsed="false">
      <c r="A1084" s="218"/>
      <c r="B1084" s="251"/>
      <c r="C1084" s="251"/>
      <c r="D1084" s="251"/>
      <c r="E1084" s="251"/>
      <c r="F1084" s="212" t="s">
        <v>5300</v>
      </c>
      <c r="G1084" s="212" t="n">
        <v>63</v>
      </c>
      <c r="H1084" s="212" t="s">
        <v>120</v>
      </c>
      <c r="I1084" s="250" t="n">
        <v>135.37</v>
      </c>
    </row>
    <row r="1085" customFormat="false" ht="13.8" hidden="false" customHeight="false" outlineLevel="0" collapsed="false">
      <c r="A1085" s="218"/>
      <c r="B1085" s="251"/>
      <c r="C1085" s="251"/>
      <c r="D1085" s="251"/>
      <c r="E1085" s="251"/>
      <c r="F1085" s="212" t="s">
        <v>5308</v>
      </c>
      <c r="G1085" s="212" t="n">
        <v>90</v>
      </c>
      <c r="H1085" s="212" t="s">
        <v>120</v>
      </c>
      <c r="I1085" s="250" t="n">
        <v>45.34</v>
      </c>
    </row>
    <row r="1086" customFormat="false" ht="13.8" hidden="false" customHeight="false" outlineLevel="0" collapsed="false">
      <c r="A1086" s="218"/>
      <c r="B1086" s="251"/>
      <c r="C1086" s="251"/>
      <c r="D1086" s="251"/>
      <c r="E1086" s="251"/>
      <c r="F1086" s="212" t="s">
        <v>5369</v>
      </c>
      <c r="G1086" s="212" t="n">
        <v>90</v>
      </c>
      <c r="H1086" s="212" t="s">
        <v>120</v>
      </c>
      <c r="I1086" s="250" t="n">
        <v>183.46</v>
      </c>
    </row>
    <row r="1087" customFormat="false" ht="13.8" hidden="false" customHeight="false" outlineLevel="0" collapsed="false">
      <c r="A1087" s="218"/>
      <c r="B1087" s="251"/>
      <c r="C1087" s="251"/>
      <c r="D1087" s="251"/>
      <c r="E1087" s="251"/>
      <c r="F1087" s="212" t="s">
        <v>5380</v>
      </c>
      <c r="G1087" s="212" t="n">
        <v>160</v>
      </c>
      <c r="H1087" s="212" t="s">
        <v>120</v>
      </c>
      <c r="I1087" s="250" t="n">
        <v>136.57</v>
      </c>
    </row>
    <row r="1088" customFormat="false" ht="13.8" hidden="false" customHeight="false" outlineLevel="0" collapsed="false">
      <c r="A1088" s="218"/>
      <c r="B1088" s="251"/>
      <c r="C1088" s="251"/>
      <c r="D1088" s="251"/>
      <c r="E1088" s="251"/>
      <c r="F1088" s="212" t="s">
        <v>5388</v>
      </c>
      <c r="G1088" s="212" t="n">
        <v>63</v>
      </c>
      <c r="H1088" s="212" t="s">
        <v>120</v>
      </c>
      <c r="I1088" s="250" t="n">
        <v>123.53</v>
      </c>
    </row>
    <row r="1089" customFormat="false" ht="13.8" hidden="false" customHeight="false" outlineLevel="0" collapsed="false">
      <c r="A1089" s="218"/>
      <c r="B1089" s="251"/>
      <c r="C1089" s="251"/>
      <c r="D1089" s="251"/>
      <c r="E1089" s="251"/>
      <c r="F1089" s="212" t="s">
        <v>5399</v>
      </c>
      <c r="G1089" s="212" t="n">
        <v>63</v>
      </c>
      <c r="H1089" s="212" t="s">
        <v>120</v>
      </c>
      <c r="I1089" s="250" t="n">
        <v>93.28</v>
      </c>
    </row>
    <row r="1090" customFormat="false" ht="13.8" hidden="false" customHeight="false" outlineLevel="0" collapsed="false">
      <c r="A1090" s="218"/>
      <c r="B1090" s="251"/>
      <c r="C1090" s="251"/>
      <c r="D1090" s="251"/>
      <c r="E1090" s="251"/>
      <c r="F1090" s="212" t="s">
        <v>5402</v>
      </c>
      <c r="G1090" s="212" t="n">
        <v>160</v>
      </c>
      <c r="H1090" s="212" t="s">
        <v>120</v>
      </c>
      <c r="I1090" s="250" t="n">
        <v>4.41</v>
      </c>
    </row>
    <row r="1091" customFormat="false" ht="13.8" hidden="false" customHeight="false" outlineLevel="0" collapsed="false">
      <c r="A1091" s="218"/>
      <c r="B1091" s="251"/>
      <c r="C1091" s="251"/>
      <c r="D1091" s="251"/>
      <c r="E1091" s="251"/>
      <c r="F1091" s="212" t="s">
        <v>5406</v>
      </c>
      <c r="G1091" s="212" t="n">
        <v>63</v>
      </c>
      <c r="H1091" s="212" t="s">
        <v>120</v>
      </c>
      <c r="I1091" s="250" t="n">
        <v>0.6</v>
      </c>
    </row>
    <row r="1092" customFormat="false" ht="13.8" hidden="false" customHeight="false" outlineLevel="0" collapsed="false">
      <c r="A1092" s="218"/>
      <c r="B1092" s="251"/>
      <c r="C1092" s="251"/>
      <c r="D1092" s="251"/>
      <c r="E1092" s="251"/>
      <c r="F1092" s="212" t="s">
        <v>5410</v>
      </c>
      <c r="G1092" s="212" t="n">
        <v>110</v>
      </c>
      <c r="H1092" s="212" t="s">
        <v>120</v>
      </c>
      <c r="I1092" s="250" t="n">
        <v>113.36</v>
      </c>
    </row>
    <row r="1093" customFormat="false" ht="13.8" hidden="false" customHeight="false" outlineLevel="0" collapsed="false">
      <c r="A1093" s="218"/>
      <c r="B1093" s="251"/>
      <c r="C1093" s="251"/>
      <c r="D1093" s="251"/>
      <c r="E1093" s="251"/>
      <c r="F1093" s="212" t="s">
        <v>5425</v>
      </c>
      <c r="G1093" s="212" t="n">
        <v>63</v>
      </c>
      <c r="H1093" s="212" t="s">
        <v>120</v>
      </c>
      <c r="I1093" s="250" t="n">
        <v>133.51</v>
      </c>
    </row>
    <row r="1094" customFormat="false" ht="13.8" hidden="false" customHeight="false" outlineLevel="0" collapsed="false">
      <c r="A1094" s="218"/>
      <c r="B1094" s="251"/>
      <c r="C1094" s="251"/>
      <c r="D1094" s="251"/>
      <c r="E1094" s="251"/>
      <c r="F1094" s="212" t="s">
        <v>5428</v>
      </c>
      <c r="G1094" s="212" t="n">
        <v>63</v>
      </c>
      <c r="H1094" s="212" t="s">
        <v>120</v>
      </c>
      <c r="I1094" s="250" t="n">
        <v>41.9</v>
      </c>
    </row>
    <row r="1095" customFormat="false" ht="13.8" hidden="false" customHeight="false" outlineLevel="0" collapsed="false">
      <c r="A1095" s="218"/>
      <c r="B1095" s="251"/>
      <c r="C1095" s="251"/>
      <c r="D1095" s="251"/>
      <c r="E1095" s="251"/>
      <c r="F1095" s="212" t="s">
        <v>5433</v>
      </c>
      <c r="G1095" s="212" t="n">
        <v>110</v>
      </c>
      <c r="H1095" s="212" t="s">
        <v>120</v>
      </c>
      <c r="I1095" s="250" t="n">
        <v>18.77</v>
      </c>
    </row>
    <row r="1096" customFormat="false" ht="13.8" hidden="false" customHeight="false" outlineLevel="0" collapsed="false">
      <c r="A1096" s="218"/>
      <c r="B1096" s="251"/>
      <c r="C1096" s="251"/>
      <c r="D1096" s="251"/>
      <c r="E1096" s="251"/>
      <c r="F1096" s="212" t="s">
        <v>5436</v>
      </c>
      <c r="G1096" s="212" t="n">
        <v>110</v>
      </c>
      <c r="H1096" s="212" t="s">
        <v>120</v>
      </c>
      <c r="I1096" s="250" t="n">
        <v>24.38</v>
      </c>
    </row>
    <row r="1097" customFormat="false" ht="13.8" hidden="false" customHeight="false" outlineLevel="0" collapsed="false">
      <c r="A1097" s="218"/>
      <c r="B1097" s="251"/>
      <c r="C1097" s="251"/>
      <c r="D1097" s="251"/>
      <c r="E1097" s="251"/>
      <c r="F1097" s="212" t="s">
        <v>5443</v>
      </c>
      <c r="G1097" s="212" t="n">
        <v>110</v>
      </c>
      <c r="H1097" s="212" t="s">
        <v>120</v>
      </c>
      <c r="I1097" s="250" t="n">
        <v>62.14</v>
      </c>
    </row>
    <row r="1098" customFormat="false" ht="13.8" hidden="false" customHeight="false" outlineLevel="0" collapsed="false">
      <c r="A1098" s="218"/>
      <c r="B1098" s="251"/>
      <c r="C1098" s="251"/>
      <c r="D1098" s="251"/>
      <c r="E1098" s="251"/>
      <c r="F1098" s="212" t="s">
        <v>5450</v>
      </c>
      <c r="G1098" s="212" t="n">
        <v>63</v>
      </c>
      <c r="H1098" s="212" t="s">
        <v>120</v>
      </c>
      <c r="I1098" s="250" t="n">
        <v>265.83</v>
      </c>
    </row>
    <row r="1099" customFormat="false" ht="13.8" hidden="false" customHeight="false" outlineLevel="0" collapsed="false">
      <c r="A1099" s="218"/>
      <c r="B1099" s="251"/>
      <c r="C1099" s="251"/>
      <c r="D1099" s="251"/>
      <c r="E1099" s="251"/>
      <c r="F1099" s="212" t="s">
        <v>5454</v>
      </c>
      <c r="G1099" s="212" t="n">
        <v>160</v>
      </c>
      <c r="H1099" s="212" t="s">
        <v>120</v>
      </c>
      <c r="I1099" s="250" t="n">
        <v>11.62</v>
      </c>
    </row>
    <row r="1100" customFormat="false" ht="13.8" hidden="false" customHeight="false" outlineLevel="0" collapsed="false">
      <c r="A1100" s="218"/>
      <c r="B1100" s="251"/>
      <c r="C1100" s="251"/>
      <c r="D1100" s="251"/>
      <c r="E1100" s="251"/>
      <c r="F1100" s="212" t="s">
        <v>5463</v>
      </c>
      <c r="G1100" s="212" t="n">
        <v>160</v>
      </c>
      <c r="H1100" s="212" t="s">
        <v>120</v>
      </c>
      <c r="I1100" s="250" t="n">
        <v>234.47</v>
      </c>
    </row>
    <row r="1101" customFormat="false" ht="13.8" hidden="false" customHeight="false" outlineLevel="0" collapsed="false">
      <c r="A1101" s="218"/>
      <c r="B1101" s="251"/>
      <c r="C1101" s="251"/>
      <c r="D1101" s="251"/>
      <c r="E1101" s="251"/>
      <c r="F1101" s="212" t="s">
        <v>5466</v>
      </c>
      <c r="G1101" s="212" t="n">
        <v>110</v>
      </c>
      <c r="H1101" s="212" t="s">
        <v>120</v>
      </c>
      <c r="I1101" s="250" t="n">
        <v>36.59</v>
      </c>
    </row>
    <row r="1102" customFormat="false" ht="13.8" hidden="false" customHeight="false" outlineLevel="0" collapsed="false">
      <c r="A1102" s="218"/>
      <c r="B1102" s="251"/>
      <c r="C1102" s="251"/>
      <c r="D1102" s="251"/>
      <c r="E1102" s="251"/>
      <c r="F1102" s="212" t="s">
        <v>5486</v>
      </c>
      <c r="G1102" s="212" t="n">
        <v>63</v>
      </c>
      <c r="H1102" s="212" t="s">
        <v>120</v>
      </c>
      <c r="I1102" s="250" t="n">
        <v>2.68</v>
      </c>
    </row>
    <row r="1103" customFormat="false" ht="13.8" hidden="false" customHeight="false" outlineLevel="0" collapsed="false">
      <c r="A1103" s="218"/>
      <c r="B1103" s="251"/>
      <c r="C1103" s="251"/>
      <c r="D1103" s="251"/>
      <c r="E1103" s="251"/>
      <c r="F1103" s="212" t="s">
        <v>5489</v>
      </c>
      <c r="G1103" s="212" t="n">
        <v>63</v>
      </c>
      <c r="H1103" s="212" t="s">
        <v>120</v>
      </c>
      <c r="I1103" s="250" t="n">
        <v>108.12</v>
      </c>
    </row>
    <row r="1104" customFormat="false" ht="13.8" hidden="false" customHeight="false" outlineLevel="0" collapsed="false">
      <c r="A1104" s="218"/>
      <c r="B1104" s="251"/>
      <c r="C1104" s="251"/>
      <c r="D1104" s="251"/>
      <c r="E1104" s="251"/>
      <c r="F1104" s="212" t="s">
        <v>5509</v>
      </c>
      <c r="G1104" s="212" t="n">
        <v>63</v>
      </c>
      <c r="H1104" s="212" t="s">
        <v>120</v>
      </c>
      <c r="I1104" s="250" t="n">
        <v>219.59</v>
      </c>
    </row>
    <row r="1105" customFormat="false" ht="13.8" hidden="false" customHeight="false" outlineLevel="0" collapsed="false">
      <c r="A1105" s="218"/>
      <c r="B1105" s="251"/>
      <c r="C1105" s="251"/>
      <c r="D1105" s="251"/>
      <c r="E1105" s="251"/>
      <c r="F1105" s="212" t="s">
        <v>5523</v>
      </c>
      <c r="G1105" s="212" t="n">
        <v>63</v>
      </c>
      <c r="H1105" s="212" t="s">
        <v>120</v>
      </c>
      <c r="I1105" s="250" t="n">
        <v>91.5</v>
      </c>
    </row>
    <row r="1106" customFormat="false" ht="13.8" hidden="false" customHeight="false" outlineLevel="0" collapsed="false">
      <c r="A1106" s="218"/>
      <c r="B1106" s="251"/>
      <c r="C1106" s="251"/>
      <c r="D1106" s="251"/>
      <c r="E1106" s="251"/>
      <c r="F1106" s="212" t="s">
        <v>5545</v>
      </c>
      <c r="G1106" s="212" t="n">
        <v>160</v>
      </c>
      <c r="H1106" s="212" t="s">
        <v>120</v>
      </c>
      <c r="I1106" s="250" t="n">
        <v>215.78</v>
      </c>
    </row>
    <row r="1107" customFormat="false" ht="13.8" hidden="false" customHeight="false" outlineLevel="0" collapsed="false">
      <c r="A1107" s="218"/>
      <c r="B1107" s="251"/>
      <c r="C1107" s="251"/>
      <c r="D1107" s="251"/>
      <c r="E1107" s="251"/>
      <c r="F1107" s="212" t="s">
        <v>5570</v>
      </c>
      <c r="G1107" s="212" t="n">
        <v>63</v>
      </c>
      <c r="H1107" s="212" t="s">
        <v>120</v>
      </c>
      <c r="I1107" s="250" t="n">
        <v>36.05</v>
      </c>
    </row>
    <row r="1108" customFormat="false" ht="13.8" hidden="false" customHeight="false" outlineLevel="0" collapsed="false">
      <c r="A1108" s="218"/>
      <c r="B1108" s="251"/>
      <c r="C1108" s="251"/>
      <c r="D1108" s="251"/>
      <c r="E1108" s="251"/>
      <c r="F1108" s="212" t="s">
        <v>5575</v>
      </c>
      <c r="G1108" s="212" t="n">
        <v>63</v>
      </c>
      <c r="H1108" s="212" t="s">
        <v>120</v>
      </c>
      <c r="I1108" s="250" t="n">
        <v>193.55</v>
      </c>
    </row>
    <row r="1109" customFormat="false" ht="13.8" hidden="false" customHeight="false" outlineLevel="0" collapsed="false">
      <c r="A1109" s="218"/>
      <c r="B1109" s="251"/>
      <c r="C1109" s="251"/>
      <c r="D1109" s="251"/>
      <c r="E1109" s="251"/>
      <c r="F1109" s="212" t="s">
        <v>5586</v>
      </c>
      <c r="G1109" s="212" t="n">
        <v>63</v>
      </c>
      <c r="H1109" s="212" t="s">
        <v>120</v>
      </c>
      <c r="I1109" s="250" t="n">
        <v>109.5</v>
      </c>
    </row>
    <row r="1110" customFormat="false" ht="13.8" hidden="false" customHeight="false" outlineLevel="0" collapsed="false">
      <c r="A1110" s="218"/>
      <c r="B1110" s="251"/>
      <c r="C1110" s="251"/>
      <c r="D1110" s="251"/>
      <c r="E1110" s="251"/>
      <c r="F1110" s="212" t="s">
        <v>5606</v>
      </c>
      <c r="G1110" s="212" t="n">
        <v>63</v>
      </c>
      <c r="H1110" s="212" t="s">
        <v>120</v>
      </c>
      <c r="I1110" s="250" t="n">
        <v>50.52</v>
      </c>
    </row>
    <row r="1111" customFormat="false" ht="13.8" hidden="false" customHeight="false" outlineLevel="0" collapsed="false">
      <c r="A1111" s="218"/>
      <c r="B1111" s="251"/>
      <c r="C1111" s="251"/>
      <c r="D1111" s="251"/>
      <c r="E1111" s="251"/>
      <c r="F1111" s="212" t="s">
        <v>5624</v>
      </c>
      <c r="G1111" s="212" t="n">
        <v>63</v>
      </c>
      <c r="H1111" s="212" t="s">
        <v>120</v>
      </c>
      <c r="I1111" s="250" t="n">
        <v>32.5</v>
      </c>
    </row>
    <row r="1112" customFormat="false" ht="13.8" hidden="false" customHeight="false" outlineLevel="0" collapsed="false">
      <c r="A1112" s="218"/>
      <c r="B1112" s="251"/>
      <c r="C1112" s="251"/>
      <c r="D1112" s="251"/>
      <c r="E1112" s="251"/>
      <c r="F1112" s="212" t="s">
        <v>5630</v>
      </c>
      <c r="G1112" s="212" t="n">
        <v>63</v>
      </c>
      <c r="H1112" s="212" t="s">
        <v>120</v>
      </c>
      <c r="I1112" s="250" t="n">
        <v>32.58</v>
      </c>
    </row>
    <row r="1113" customFormat="false" ht="13.8" hidden="false" customHeight="false" outlineLevel="0" collapsed="false">
      <c r="A1113" s="218"/>
      <c r="B1113" s="251"/>
      <c r="C1113" s="251"/>
      <c r="D1113" s="251"/>
      <c r="E1113" s="251"/>
      <c r="F1113" s="212" t="s">
        <v>5632</v>
      </c>
      <c r="G1113" s="212" t="n">
        <v>63</v>
      </c>
      <c r="H1113" s="212" t="s">
        <v>120</v>
      </c>
      <c r="I1113" s="250" t="n">
        <v>42.32</v>
      </c>
    </row>
    <row r="1114" customFormat="false" ht="13.8" hidden="false" customHeight="false" outlineLevel="0" collapsed="false">
      <c r="A1114" s="218"/>
      <c r="B1114" s="251"/>
      <c r="C1114" s="251"/>
      <c r="D1114" s="251"/>
      <c r="E1114" s="251"/>
      <c r="F1114" s="212" t="s">
        <v>5635</v>
      </c>
      <c r="G1114" s="212" t="n">
        <v>63</v>
      </c>
      <c r="H1114" s="212" t="s">
        <v>120</v>
      </c>
      <c r="I1114" s="250" t="n">
        <v>161.54</v>
      </c>
    </row>
    <row r="1115" customFormat="false" ht="13.8" hidden="false" customHeight="false" outlineLevel="0" collapsed="false">
      <c r="A1115" s="218"/>
      <c r="B1115" s="251"/>
      <c r="C1115" s="251"/>
      <c r="D1115" s="251"/>
      <c r="E1115" s="251"/>
      <c r="F1115" s="212" t="s">
        <v>5639</v>
      </c>
      <c r="G1115" s="212" t="n">
        <v>110</v>
      </c>
      <c r="H1115" s="212" t="s">
        <v>120</v>
      </c>
      <c r="I1115" s="250" t="n">
        <v>33.39</v>
      </c>
    </row>
    <row r="1116" customFormat="false" ht="13.8" hidden="false" customHeight="false" outlineLevel="0" collapsed="false">
      <c r="A1116" s="218"/>
      <c r="B1116" s="251"/>
      <c r="C1116" s="251"/>
      <c r="D1116" s="251"/>
      <c r="E1116" s="251"/>
      <c r="F1116" s="212" t="s">
        <v>5642</v>
      </c>
      <c r="G1116" s="212" t="n">
        <v>110</v>
      </c>
      <c r="H1116" s="212" t="s">
        <v>120</v>
      </c>
      <c r="I1116" s="250" t="n">
        <v>23.51</v>
      </c>
    </row>
    <row r="1117" customFormat="false" ht="13.8" hidden="false" customHeight="false" outlineLevel="0" collapsed="false">
      <c r="A1117" s="218"/>
      <c r="B1117" s="251"/>
      <c r="C1117" s="251"/>
      <c r="D1117" s="251"/>
      <c r="E1117" s="251"/>
      <c r="F1117" s="212" t="s">
        <v>5646</v>
      </c>
      <c r="G1117" s="212" t="n">
        <v>63</v>
      </c>
      <c r="H1117" s="212" t="s">
        <v>120</v>
      </c>
      <c r="I1117" s="250" t="n">
        <v>55.48</v>
      </c>
    </row>
    <row r="1118" customFormat="false" ht="13.8" hidden="false" customHeight="false" outlineLevel="0" collapsed="false">
      <c r="A1118" s="218"/>
      <c r="B1118" s="251"/>
      <c r="C1118" s="251"/>
      <c r="D1118" s="251"/>
      <c r="E1118" s="251"/>
      <c r="F1118" s="212" t="s">
        <v>5654</v>
      </c>
      <c r="G1118" s="212" t="n">
        <v>110</v>
      </c>
      <c r="H1118" s="212" t="s">
        <v>120</v>
      </c>
      <c r="I1118" s="250" t="n">
        <v>16.53</v>
      </c>
    </row>
    <row r="1119" customFormat="false" ht="13.8" hidden="false" customHeight="false" outlineLevel="0" collapsed="false">
      <c r="A1119" s="218"/>
      <c r="B1119" s="251"/>
      <c r="C1119" s="251"/>
      <c r="D1119" s="251"/>
      <c r="E1119" s="251"/>
      <c r="F1119" s="212" t="s">
        <v>5656</v>
      </c>
      <c r="G1119" s="212" t="n">
        <v>63</v>
      </c>
      <c r="H1119" s="212" t="s">
        <v>120</v>
      </c>
      <c r="I1119" s="250" t="n">
        <v>51.32</v>
      </c>
    </row>
    <row r="1120" customFormat="false" ht="13.8" hidden="false" customHeight="false" outlineLevel="0" collapsed="false">
      <c r="A1120" s="218"/>
      <c r="B1120" s="251"/>
      <c r="C1120" s="251"/>
      <c r="D1120" s="251"/>
      <c r="E1120" s="251"/>
      <c r="F1120" s="212" t="s">
        <v>5673</v>
      </c>
      <c r="G1120" s="212" t="n">
        <v>63</v>
      </c>
      <c r="H1120" s="212" t="s">
        <v>120</v>
      </c>
      <c r="I1120" s="250" t="n">
        <v>93.15</v>
      </c>
    </row>
    <row r="1121" customFormat="false" ht="13.8" hidden="false" customHeight="false" outlineLevel="0" collapsed="false">
      <c r="A1121" s="218"/>
      <c r="B1121" s="251"/>
      <c r="C1121" s="251"/>
      <c r="D1121" s="251"/>
      <c r="E1121" s="251"/>
      <c r="F1121" s="212" t="s">
        <v>5682</v>
      </c>
      <c r="G1121" s="212" t="n">
        <v>110</v>
      </c>
      <c r="H1121" s="212" t="s">
        <v>120</v>
      </c>
      <c r="I1121" s="250" t="n">
        <v>34.36</v>
      </c>
    </row>
    <row r="1122" customFormat="false" ht="13.8" hidden="false" customHeight="false" outlineLevel="0" collapsed="false">
      <c r="A1122" s="218"/>
      <c r="B1122" s="251"/>
      <c r="C1122" s="251"/>
      <c r="D1122" s="251"/>
      <c r="E1122" s="251"/>
      <c r="F1122" s="212" t="s">
        <v>5685</v>
      </c>
      <c r="G1122" s="212" t="n">
        <v>63</v>
      </c>
      <c r="H1122" s="212" t="s">
        <v>120</v>
      </c>
      <c r="I1122" s="250" t="n">
        <v>32.73</v>
      </c>
    </row>
    <row r="1123" customFormat="false" ht="13.8" hidden="false" customHeight="false" outlineLevel="0" collapsed="false">
      <c r="A1123" s="218"/>
      <c r="B1123" s="251"/>
      <c r="C1123" s="252"/>
      <c r="D1123" s="252"/>
      <c r="E1123" s="252"/>
      <c r="F1123" s="212" t="s">
        <v>5696</v>
      </c>
      <c r="G1123" s="212" t="n">
        <v>63</v>
      </c>
      <c r="H1123" s="212" t="s">
        <v>120</v>
      </c>
      <c r="I1123" s="250" t="n">
        <v>71.2</v>
      </c>
    </row>
    <row r="1124" customFormat="false" ht="13.8" hidden="false" customHeight="false" outlineLevel="0" collapsed="false">
      <c r="A1124" s="218"/>
      <c r="B1124" s="251"/>
      <c r="C1124" s="261" t="s">
        <v>7056</v>
      </c>
      <c r="D1124" s="224"/>
      <c r="E1124" s="224"/>
      <c r="F1124" s="224"/>
      <c r="G1124" s="224"/>
      <c r="H1124" s="225"/>
      <c r="I1124" s="217" t="n">
        <v>11955.6</v>
      </c>
    </row>
    <row r="1125" customFormat="false" ht="13.8" hidden="false" customHeight="false" outlineLevel="0" collapsed="false">
      <c r="A1125" s="218"/>
      <c r="B1125" s="251"/>
      <c r="C1125" s="212" t="s">
        <v>7055</v>
      </c>
      <c r="D1125" s="212" t="s">
        <v>7055</v>
      </c>
      <c r="E1125" s="212" t="s">
        <v>117</v>
      </c>
      <c r="F1125" s="212" t="s">
        <v>5384</v>
      </c>
      <c r="G1125" s="212" t="n">
        <v>63</v>
      </c>
      <c r="H1125" s="212" t="s">
        <v>120</v>
      </c>
      <c r="I1125" s="250" t="n">
        <v>157.4</v>
      </c>
    </row>
    <row r="1126" customFormat="false" ht="13.8" hidden="false" customHeight="false" outlineLevel="0" collapsed="false">
      <c r="A1126" s="222"/>
      <c r="B1126" s="252"/>
      <c r="C1126" s="261" t="s">
        <v>7060</v>
      </c>
      <c r="D1126" s="224"/>
      <c r="E1126" s="224"/>
      <c r="F1126" s="224"/>
      <c r="G1126" s="224"/>
      <c r="H1126" s="225"/>
      <c r="I1126" s="217" t="n">
        <v>157.4</v>
      </c>
    </row>
    <row r="1127" customFormat="false" ht="13.8" hidden="false" customHeight="false" outlineLevel="0" collapsed="false">
      <c r="A1127" s="211" t="s">
        <v>5700</v>
      </c>
      <c r="B1127" s="249" t="s">
        <v>6</v>
      </c>
      <c r="C1127" s="249" t="s">
        <v>1594</v>
      </c>
      <c r="D1127" s="249" t="s">
        <v>2387</v>
      </c>
      <c r="E1127" s="249" t="s">
        <v>117</v>
      </c>
      <c r="F1127" s="212" t="s">
        <v>5975</v>
      </c>
      <c r="G1127" s="212" t="n">
        <v>63</v>
      </c>
      <c r="H1127" s="212" t="s">
        <v>120</v>
      </c>
      <c r="I1127" s="250" t="n">
        <v>126.3</v>
      </c>
    </row>
    <row r="1128" customFormat="false" ht="13.8" hidden="false" customHeight="false" outlineLevel="0" collapsed="false">
      <c r="A1128" s="218"/>
      <c r="B1128" s="251"/>
      <c r="C1128" s="251"/>
      <c r="D1128" s="251"/>
      <c r="E1128" s="251"/>
      <c r="F1128" s="212" t="s">
        <v>6005</v>
      </c>
      <c r="G1128" s="212" t="n">
        <v>63</v>
      </c>
      <c r="H1128" s="212" t="s">
        <v>120</v>
      </c>
      <c r="I1128" s="250" t="n">
        <v>32.42</v>
      </c>
    </row>
    <row r="1129" customFormat="false" ht="13.8" hidden="false" customHeight="false" outlineLevel="0" collapsed="false">
      <c r="A1129" s="218"/>
      <c r="B1129" s="251"/>
      <c r="C1129" s="251"/>
      <c r="D1129" s="251"/>
      <c r="E1129" s="251"/>
      <c r="F1129" s="212" t="s">
        <v>6009</v>
      </c>
      <c r="G1129" s="212" t="n">
        <v>160</v>
      </c>
      <c r="H1129" s="212" t="s">
        <v>120</v>
      </c>
      <c r="I1129" s="250" t="n">
        <v>49.3</v>
      </c>
    </row>
    <row r="1130" customFormat="false" ht="13.8" hidden="false" customHeight="false" outlineLevel="0" collapsed="false">
      <c r="A1130" s="218"/>
      <c r="B1130" s="251"/>
      <c r="C1130" s="251"/>
      <c r="D1130" s="251"/>
      <c r="E1130" s="251"/>
      <c r="F1130" s="212" t="s">
        <v>6013</v>
      </c>
      <c r="G1130" s="212" t="n">
        <v>63</v>
      </c>
      <c r="H1130" s="212" t="s">
        <v>120</v>
      </c>
      <c r="I1130" s="250" t="n">
        <v>131.02</v>
      </c>
    </row>
    <row r="1131" customFormat="false" ht="13.8" hidden="false" customHeight="false" outlineLevel="0" collapsed="false">
      <c r="A1131" s="218"/>
      <c r="B1131" s="251"/>
      <c r="C1131" s="251"/>
      <c r="D1131" s="251"/>
      <c r="E1131" s="251"/>
      <c r="F1131" s="212" t="s">
        <v>6020</v>
      </c>
      <c r="G1131" s="212" t="n">
        <v>63</v>
      </c>
      <c r="H1131" s="212" t="s">
        <v>120</v>
      </c>
      <c r="I1131" s="250" t="n">
        <v>34.38</v>
      </c>
    </row>
    <row r="1132" customFormat="false" ht="13.8" hidden="false" customHeight="false" outlineLevel="0" collapsed="false">
      <c r="A1132" s="218"/>
      <c r="B1132" s="251"/>
      <c r="C1132" s="251"/>
      <c r="D1132" s="251"/>
      <c r="E1132" s="251"/>
      <c r="F1132" s="212" t="s">
        <v>6024</v>
      </c>
      <c r="G1132" s="212" t="n">
        <v>160</v>
      </c>
      <c r="H1132" s="212" t="s">
        <v>120</v>
      </c>
      <c r="I1132" s="250" t="n">
        <v>37.08</v>
      </c>
    </row>
    <row r="1133" customFormat="false" ht="13.8" hidden="false" customHeight="false" outlineLevel="0" collapsed="false">
      <c r="A1133" s="218"/>
      <c r="B1133" s="251"/>
      <c r="C1133" s="251"/>
      <c r="D1133" s="251"/>
      <c r="E1133" s="251"/>
      <c r="F1133" s="212" t="s">
        <v>6028</v>
      </c>
      <c r="G1133" s="212" t="n">
        <v>63</v>
      </c>
      <c r="H1133" s="212" t="s">
        <v>120</v>
      </c>
      <c r="I1133" s="250" t="n">
        <v>23.05</v>
      </c>
    </row>
    <row r="1134" customFormat="false" ht="13.8" hidden="false" customHeight="false" outlineLevel="0" collapsed="false">
      <c r="A1134" s="218"/>
      <c r="B1134" s="251"/>
      <c r="C1134" s="251"/>
      <c r="D1134" s="251"/>
      <c r="E1134" s="251"/>
      <c r="F1134" s="212" t="s">
        <v>6032</v>
      </c>
      <c r="G1134" s="212" t="n">
        <v>63</v>
      </c>
      <c r="H1134" s="212" t="s">
        <v>120</v>
      </c>
      <c r="I1134" s="250" t="n">
        <v>34.75</v>
      </c>
    </row>
    <row r="1135" customFormat="false" ht="13.8" hidden="false" customHeight="false" outlineLevel="0" collapsed="false">
      <c r="A1135" s="218"/>
      <c r="B1135" s="251"/>
      <c r="C1135" s="251"/>
      <c r="D1135" s="251"/>
      <c r="E1135" s="251"/>
      <c r="F1135" s="212" t="s">
        <v>6035</v>
      </c>
      <c r="G1135" s="212" t="n">
        <v>63</v>
      </c>
      <c r="H1135" s="212" t="s">
        <v>120</v>
      </c>
      <c r="I1135" s="250" t="n">
        <v>137.36</v>
      </c>
    </row>
    <row r="1136" customFormat="false" ht="13.8" hidden="false" customHeight="false" outlineLevel="0" collapsed="false">
      <c r="A1136" s="218"/>
      <c r="B1136" s="251"/>
      <c r="C1136" s="251"/>
      <c r="D1136" s="251"/>
      <c r="E1136" s="251"/>
      <c r="F1136" s="212" t="s">
        <v>6038</v>
      </c>
      <c r="G1136" s="212" t="n">
        <v>160</v>
      </c>
      <c r="H1136" s="212" t="s">
        <v>120</v>
      </c>
      <c r="I1136" s="250" t="n">
        <v>145.41</v>
      </c>
    </row>
    <row r="1137" customFormat="false" ht="13.8" hidden="false" customHeight="false" outlineLevel="0" collapsed="false">
      <c r="A1137" s="218"/>
      <c r="B1137" s="251"/>
      <c r="C1137" s="251"/>
      <c r="D1137" s="251"/>
      <c r="E1137" s="251"/>
      <c r="F1137" s="212" t="s">
        <v>6041</v>
      </c>
      <c r="G1137" s="212" t="n">
        <v>63</v>
      </c>
      <c r="H1137" s="212" t="s">
        <v>120</v>
      </c>
      <c r="I1137" s="250" t="n">
        <v>65.32</v>
      </c>
    </row>
    <row r="1138" customFormat="false" ht="13.8" hidden="false" customHeight="false" outlineLevel="0" collapsed="false">
      <c r="A1138" s="218"/>
      <c r="B1138" s="251"/>
      <c r="C1138" s="251"/>
      <c r="D1138" s="251"/>
      <c r="E1138" s="251"/>
      <c r="F1138" s="212" t="s">
        <v>6045</v>
      </c>
      <c r="G1138" s="212" t="n">
        <v>160</v>
      </c>
      <c r="H1138" s="212" t="s">
        <v>120</v>
      </c>
      <c r="I1138" s="250" t="n">
        <v>40.44</v>
      </c>
    </row>
    <row r="1139" customFormat="false" ht="13.8" hidden="false" customHeight="false" outlineLevel="0" collapsed="false">
      <c r="A1139" s="218"/>
      <c r="B1139" s="251"/>
      <c r="C1139" s="251"/>
      <c r="D1139" s="251"/>
      <c r="E1139" s="251"/>
      <c r="F1139" s="212" t="s">
        <v>6049</v>
      </c>
      <c r="G1139" s="212" t="n">
        <v>63</v>
      </c>
      <c r="H1139" s="212" t="s">
        <v>120</v>
      </c>
      <c r="I1139" s="250" t="n">
        <v>85.61</v>
      </c>
    </row>
    <row r="1140" customFormat="false" ht="13.8" hidden="false" customHeight="false" outlineLevel="0" collapsed="false">
      <c r="A1140" s="218"/>
      <c r="B1140" s="251"/>
      <c r="C1140" s="251"/>
      <c r="D1140" s="251"/>
      <c r="E1140" s="251"/>
      <c r="F1140" s="212" t="s">
        <v>6052</v>
      </c>
      <c r="G1140" s="212" t="n">
        <v>160</v>
      </c>
      <c r="H1140" s="212" t="s">
        <v>120</v>
      </c>
      <c r="I1140" s="250" t="n">
        <v>2.5</v>
      </c>
    </row>
    <row r="1141" customFormat="false" ht="13.8" hidden="false" customHeight="false" outlineLevel="0" collapsed="false">
      <c r="A1141" s="218"/>
      <c r="B1141" s="251"/>
      <c r="C1141" s="251"/>
      <c r="D1141" s="251"/>
      <c r="E1141" s="251"/>
      <c r="F1141" s="212" t="s">
        <v>6056</v>
      </c>
      <c r="G1141" s="212" t="n">
        <v>160</v>
      </c>
      <c r="H1141" s="212" t="s">
        <v>120</v>
      </c>
      <c r="I1141" s="250" t="n">
        <v>10.38</v>
      </c>
    </row>
    <row r="1142" customFormat="false" ht="13.8" hidden="false" customHeight="false" outlineLevel="0" collapsed="false">
      <c r="A1142" s="218"/>
      <c r="B1142" s="251"/>
      <c r="C1142" s="251"/>
      <c r="D1142" s="251"/>
      <c r="E1142" s="251"/>
      <c r="F1142" s="212" t="s">
        <v>6059</v>
      </c>
      <c r="G1142" s="212" t="n">
        <v>63</v>
      </c>
      <c r="H1142" s="212" t="s">
        <v>120</v>
      </c>
      <c r="I1142" s="250" t="n">
        <v>61.49</v>
      </c>
    </row>
    <row r="1143" customFormat="false" ht="13.8" hidden="false" customHeight="false" outlineLevel="0" collapsed="false">
      <c r="A1143" s="218"/>
      <c r="B1143" s="251"/>
      <c r="C1143" s="251"/>
      <c r="D1143" s="251"/>
      <c r="E1143" s="251"/>
      <c r="F1143" s="212" t="s">
        <v>6063</v>
      </c>
      <c r="G1143" s="212" t="n">
        <v>160</v>
      </c>
      <c r="H1143" s="212" t="s">
        <v>120</v>
      </c>
      <c r="I1143" s="250" t="n">
        <v>12.53</v>
      </c>
    </row>
    <row r="1144" customFormat="false" ht="13.8" hidden="false" customHeight="false" outlineLevel="0" collapsed="false">
      <c r="A1144" s="218"/>
      <c r="B1144" s="251"/>
      <c r="C1144" s="251"/>
      <c r="D1144" s="251"/>
      <c r="E1144" s="251"/>
      <c r="F1144" s="212" t="s">
        <v>6066</v>
      </c>
      <c r="G1144" s="212" t="n">
        <v>160</v>
      </c>
      <c r="H1144" s="212" t="s">
        <v>120</v>
      </c>
      <c r="I1144" s="250" t="n">
        <v>3.81</v>
      </c>
    </row>
    <row r="1145" customFormat="false" ht="13.8" hidden="false" customHeight="false" outlineLevel="0" collapsed="false">
      <c r="A1145" s="218"/>
      <c r="B1145" s="251"/>
      <c r="C1145" s="251"/>
      <c r="D1145" s="252"/>
      <c r="E1145" s="252"/>
      <c r="F1145" s="212" t="s">
        <v>6068</v>
      </c>
      <c r="G1145" s="212" t="n">
        <v>160</v>
      </c>
      <c r="H1145" s="212" t="s">
        <v>120</v>
      </c>
      <c r="I1145" s="250" t="n">
        <v>4.36</v>
      </c>
    </row>
    <row r="1146" customFormat="false" ht="13.8" hidden="false" customHeight="false" outlineLevel="0" collapsed="false">
      <c r="A1146" s="218"/>
      <c r="B1146" s="251"/>
      <c r="C1146" s="251"/>
      <c r="D1146" s="249" t="s">
        <v>5146</v>
      </c>
      <c r="E1146" s="249" t="s">
        <v>117</v>
      </c>
      <c r="F1146" s="212" t="s">
        <v>5918</v>
      </c>
      <c r="G1146" s="212" t="n">
        <v>63</v>
      </c>
      <c r="H1146" s="212" t="s">
        <v>120</v>
      </c>
      <c r="I1146" s="250" t="n">
        <v>52.4</v>
      </c>
    </row>
    <row r="1147" customFormat="false" ht="13.8" hidden="false" customHeight="false" outlineLevel="0" collapsed="false">
      <c r="A1147" s="218"/>
      <c r="B1147" s="251"/>
      <c r="C1147" s="251"/>
      <c r="D1147" s="251"/>
      <c r="E1147" s="251"/>
      <c r="F1147" s="212" t="s">
        <v>5942</v>
      </c>
      <c r="G1147" s="212" t="n">
        <v>63</v>
      </c>
      <c r="H1147" s="212" t="s">
        <v>120</v>
      </c>
      <c r="I1147" s="250" t="n">
        <v>10.59</v>
      </c>
    </row>
    <row r="1148" customFormat="false" ht="13.8" hidden="false" customHeight="false" outlineLevel="0" collapsed="false">
      <c r="A1148" s="218"/>
      <c r="B1148" s="251"/>
      <c r="C1148" s="251"/>
      <c r="D1148" s="251"/>
      <c r="E1148" s="251"/>
      <c r="F1148" s="212" t="s">
        <v>5960</v>
      </c>
      <c r="G1148" s="212" t="n">
        <v>63</v>
      </c>
      <c r="H1148" s="212" t="s">
        <v>120</v>
      </c>
      <c r="I1148" s="250" t="n">
        <v>51.53</v>
      </c>
    </row>
    <row r="1149" customFormat="false" ht="13.8" hidden="false" customHeight="false" outlineLevel="0" collapsed="false">
      <c r="A1149" s="218"/>
      <c r="B1149" s="251"/>
      <c r="C1149" s="251"/>
      <c r="D1149" s="251"/>
      <c r="E1149" s="251"/>
      <c r="F1149" s="212" t="s">
        <v>5967</v>
      </c>
      <c r="G1149" s="212" t="n">
        <v>63</v>
      </c>
      <c r="H1149" s="212" t="s">
        <v>120</v>
      </c>
      <c r="I1149" s="250" t="n">
        <v>109.22</v>
      </c>
    </row>
    <row r="1150" customFormat="false" ht="13.8" hidden="false" customHeight="false" outlineLevel="0" collapsed="false">
      <c r="A1150" s="218"/>
      <c r="B1150" s="251"/>
      <c r="C1150" s="251"/>
      <c r="D1150" s="251"/>
      <c r="E1150" s="251"/>
      <c r="F1150" s="212" t="s">
        <v>5970</v>
      </c>
      <c r="G1150" s="212" t="n">
        <v>225</v>
      </c>
      <c r="H1150" s="212" t="s">
        <v>120</v>
      </c>
      <c r="I1150" s="250" t="n">
        <v>332.49</v>
      </c>
    </row>
    <row r="1151" customFormat="false" ht="13.8" hidden="false" customHeight="false" outlineLevel="0" collapsed="false">
      <c r="A1151" s="218"/>
      <c r="B1151" s="251"/>
      <c r="C1151" s="251"/>
      <c r="D1151" s="251"/>
      <c r="E1151" s="251"/>
      <c r="F1151" s="212" t="s">
        <v>5979</v>
      </c>
      <c r="G1151" s="212" t="n">
        <v>63</v>
      </c>
      <c r="H1151" s="212" t="s">
        <v>120</v>
      </c>
      <c r="I1151" s="250" t="n">
        <v>115.1</v>
      </c>
    </row>
    <row r="1152" customFormat="false" ht="13.8" hidden="false" customHeight="false" outlineLevel="0" collapsed="false">
      <c r="A1152" s="218"/>
      <c r="B1152" s="251"/>
      <c r="C1152" s="251"/>
      <c r="D1152" s="251"/>
      <c r="E1152" s="251"/>
      <c r="F1152" s="212" t="s">
        <v>5991</v>
      </c>
      <c r="G1152" s="212" t="n">
        <v>160</v>
      </c>
      <c r="H1152" s="212" t="s">
        <v>120</v>
      </c>
      <c r="I1152" s="250" t="n">
        <v>43.53</v>
      </c>
    </row>
    <row r="1153" customFormat="false" ht="13.8" hidden="false" customHeight="false" outlineLevel="0" collapsed="false">
      <c r="A1153" s="218"/>
      <c r="B1153" s="251"/>
      <c r="C1153" s="251"/>
      <c r="D1153" s="251"/>
      <c r="E1153" s="251"/>
      <c r="F1153" s="212" t="s">
        <v>5992</v>
      </c>
      <c r="G1153" s="212" t="n">
        <v>160</v>
      </c>
      <c r="H1153" s="212" t="s">
        <v>120</v>
      </c>
      <c r="I1153" s="250" t="n">
        <v>43.09</v>
      </c>
    </row>
    <row r="1154" customFormat="false" ht="13.8" hidden="false" customHeight="false" outlineLevel="0" collapsed="false">
      <c r="A1154" s="218"/>
      <c r="B1154" s="251"/>
      <c r="C1154" s="251"/>
      <c r="D1154" s="251"/>
      <c r="E1154" s="251"/>
      <c r="F1154" s="212" t="s">
        <v>5995</v>
      </c>
      <c r="G1154" s="212" t="n">
        <v>63</v>
      </c>
      <c r="H1154" s="212" t="s">
        <v>120</v>
      </c>
      <c r="I1154" s="250" t="n">
        <v>154.83</v>
      </c>
    </row>
    <row r="1155" customFormat="false" ht="13.8" hidden="false" customHeight="false" outlineLevel="0" collapsed="false">
      <c r="A1155" s="218"/>
      <c r="B1155" s="251"/>
      <c r="C1155" s="251"/>
      <c r="D1155" s="251"/>
      <c r="E1155" s="251"/>
      <c r="F1155" s="212" t="s">
        <v>5999</v>
      </c>
      <c r="G1155" s="212" t="n">
        <v>63</v>
      </c>
      <c r="H1155" s="212" t="s">
        <v>120</v>
      </c>
      <c r="I1155" s="250" t="n">
        <v>1.22</v>
      </c>
    </row>
    <row r="1156" customFormat="false" ht="13.8" hidden="false" customHeight="false" outlineLevel="0" collapsed="false">
      <c r="A1156" s="218"/>
      <c r="B1156" s="251"/>
      <c r="C1156" s="251"/>
      <c r="D1156" s="252"/>
      <c r="E1156" s="252"/>
      <c r="F1156" s="212" t="s">
        <v>6002</v>
      </c>
      <c r="G1156" s="212" t="n">
        <v>63</v>
      </c>
      <c r="H1156" s="212" t="s">
        <v>120</v>
      </c>
      <c r="I1156" s="250" t="n">
        <v>12.06</v>
      </c>
    </row>
    <row r="1157" customFormat="false" ht="13.8" hidden="false" customHeight="false" outlineLevel="0" collapsed="false">
      <c r="A1157" s="218"/>
      <c r="B1157" s="251"/>
      <c r="C1157" s="251"/>
      <c r="D1157" s="249" t="s">
        <v>2400</v>
      </c>
      <c r="E1157" s="249" t="s">
        <v>117</v>
      </c>
      <c r="F1157" s="212" t="s">
        <v>5835</v>
      </c>
      <c r="G1157" s="212" t="n">
        <v>63</v>
      </c>
      <c r="H1157" s="212" t="s">
        <v>120</v>
      </c>
      <c r="I1157" s="250" t="n">
        <v>46.87</v>
      </c>
    </row>
    <row r="1158" customFormat="false" ht="13.8" hidden="false" customHeight="false" outlineLevel="0" collapsed="false">
      <c r="A1158" s="218"/>
      <c r="B1158" s="251"/>
      <c r="C1158" s="251"/>
      <c r="D1158" s="251"/>
      <c r="E1158" s="251"/>
      <c r="F1158" s="212" t="s">
        <v>5862</v>
      </c>
      <c r="G1158" s="212" t="n">
        <v>63</v>
      </c>
      <c r="H1158" s="212" t="s">
        <v>120</v>
      </c>
      <c r="I1158" s="250" t="n">
        <v>89.9</v>
      </c>
    </row>
    <row r="1159" customFormat="false" ht="13.8" hidden="false" customHeight="false" outlineLevel="0" collapsed="false">
      <c r="A1159" s="218"/>
      <c r="B1159" s="251"/>
      <c r="C1159" s="251"/>
      <c r="D1159" s="251"/>
      <c r="E1159" s="251"/>
      <c r="F1159" s="212" t="s">
        <v>5870</v>
      </c>
      <c r="G1159" s="212" t="n">
        <v>63</v>
      </c>
      <c r="H1159" s="212" t="s">
        <v>120</v>
      </c>
      <c r="I1159" s="250" t="n">
        <v>130.73</v>
      </c>
    </row>
    <row r="1160" customFormat="false" ht="13.8" hidden="false" customHeight="false" outlineLevel="0" collapsed="false">
      <c r="A1160" s="218"/>
      <c r="B1160" s="251"/>
      <c r="C1160" s="251"/>
      <c r="D1160" s="251"/>
      <c r="E1160" s="251"/>
      <c r="F1160" s="212" t="s">
        <v>5881</v>
      </c>
      <c r="G1160" s="212" t="n">
        <v>63</v>
      </c>
      <c r="H1160" s="212" t="s">
        <v>120</v>
      </c>
      <c r="I1160" s="250" t="n">
        <v>21.07</v>
      </c>
    </row>
    <row r="1161" customFormat="false" ht="13.8" hidden="false" customHeight="false" outlineLevel="0" collapsed="false">
      <c r="A1161" s="218"/>
      <c r="B1161" s="251"/>
      <c r="C1161" s="251"/>
      <c r="D1161" s="251"/>
      <c r="E1161" s="251"/>
      <c r="F1161" s="212" t="s">
        <v>5884</v>
      </c>
      <c r="G1161" s="212" t="n">
        <v>90</v>
      </c>
      <c r="H1161" s="212" t="s">
        <v>120</v>
      </c>
      <c r="I1161" s="250" t="n">
        <v>107.92</v>
      </c>
    </row>
    <row r="1162" customFormat="false" ht="13.8" hidden="false" customHeight="false" outlineLevel="0" collapsed="false">
      <c r="A1162" s="218"/>
      <c r="B1162" s="251"/>
      <c r="C1162" s="251"/>
      <c r="D1162" s="251"/>
      <c r="E1162" s="251"/>
      <c r="F1162" s="212" t="s">
        <v>5888</v>
      </c>
      <c r="G1162" s="212" t="n">
        <v>63</v>
      </c>
      <c r="H1162" s="212" t="s">
        <v>120</v>
      </c>
      <c r="I1162" s="250" t="n">
        <v>100.46</v>
      </c>
    </row>
    <row r="1163" customFormat="false" ht="13.8" hidden="false" customHeight="false" outlineLevel="0" collapsed="false">
      <c r="A1163" s="218"/>
      <c r="B1163" s="251"/>
      <c r="C1163" s="251"/>
      <c r="D1163" s="251"/>
      <c r="E1163" s="251"/>
      <c r="F1163" s="212" t="s">
        <v>5895</v>
      </c>
      <c r="G1163" s="212" t="n">
        <v>63</v>
      </c>
      <c r="H1163" s="212" t="s">
        <v>120</v>
      </c>
      <c r="I1163" s="250" t="n">
        <v>39.44</v>
      </c>
    </row>
    <row r="1164" customFormat="false" ht="13.8" hidden="false" customHeight="false" outlineLevel="0" collapsed="false">
      <c r="A1164" s="218"/>
      <c r="B1164" s="251"/>
      <c r="C1164" s="251"/>
      <c r="D1164" s="251"/>
      <c r="E1164" s="251"/>
      <c r="F1164" s="212" t="s">
        <v>5905</v>
      </c>
      <c r="G1164" s="212" t="n">
        <v>63</v>
      </c>
      <c r="H1164" s="212" t="s">
        <v>120</v>
      </c>
      <c r="I1164" s="250" t="n">
        <v>5.67</v>
      </c>
    </row>
    <row r="1165" customFormat="false" ht="13.8" hidden="false" customHeight="false" outlineLevel="0" collapsed="false">
      <c r="A1165" s="218"/>
      <c r="B1165" s="251"/>
      <c r="C1165" s="251"/>
      <c r="D1165" s="251"/>
      <c r="E1165" s="251"/>
      <c r="F1165" s="212" t="s">
        <v>5907</v>
      </c>
      <c r="G1165" s="212" t="n">
        <v>63</v>
      </c>
      <c r="H1165" s="212" t="s">
        <v>120</v>
      </c>
      <c r="I1165" s="250" t="n">
        <v>62.95</v>
      </c>
    </row>
    <row r="1166" customFormat="false" ht="13.8" hidden="false" customHeight="false" outlineLevel="0" collapsed="false">
      <c r="A1166" s="218"/>
      <c r="B1166" s="251"/>
      <c r="C1166" s="251"/>
      <c r="D1166" s="251"/>
      <c r="E1166" s="251"/>
      <c r="F1166" s="212" t="s">
        <v>5915</v>
      </c>
      <c r="G1166" s="212" t="n">
        <v>63</v>
      </c>
      <c r="H1166" s="212" t="s">
        <v>120</v>
      </c>
      <c r="I1166" s="250" t="n">
        <v>22.02</v>
      </c>
    </row>
    <row r="1167" customFormat="false" ht="13.8" hidden="false" customHeight="false" outlineLevel="0" collapsed="false">
      <c r="A1167" s="218"/>
      <c r="B1167" s="251"/>
      <c r="C1167" s="251"/>
      <c r="D1167" s="251"/>
      <c r="E1167" s="251"/>
      <c r="F1167" s="212" t="s">
        <v>5922</v>
      </c>
      <c r="G1167" s="212" t="n">
        <v>160</v>
      </c>
      <c r="H1167" s="212" t="s">
        <v>120</v>
      </c>
      <c r="I1167" s="250" t="n">
        <v>58.24</v>
      </c>
    </row>
    <row r="1168" customFormat="false" ht="13.8" hidden="false" customHeight="false" outlineLevel="0" collapsed="false">
      <c r="A1168" s="218"/>
      <c r="B1168" s="251"/>
      <c r="C1168" s="251"/>
      <c r="D1168" s="251"/>
      <c r="E1168" s="251"/>
      <c r="F1168" s="212" t="s">
        <v>5925</v>
      </c>
      <c r="G1168" s="212" t="n">
        <v>63</v>
      </c>
      <c r="H1168" s="212" t="s">
        <v>120</v>
      </c>
      <c r="I1168" s="250" t="n">
        <v>60.13</v>
      </c>
    </row>
    <row r="1169" customFormat="false" ht="13.8" hidden="false" customHeight="false" outlineLevel="0" collapsed="false">
      <c r="A1169" s="218"/>
      <c r="B1169" s="251"/>
      <c r="C1169" s="251"/>
      <c r="D1169" s="251"/>
      <c r="E1169" s="251"/>
      <c r="F1169" s="212" t="s">
        <v>5936</v>
      </c>
      <c r="G1169" s="212" t="n">
        <v>63</v>
      </c>
      <c r="H1169" s="212" t="s">
        <v>120</v>
      </c>
      <c r="I1169" s="250" t="n">
        <v>29.31</v>
      </c>
    </row>
    <row r="1170" customFormat="false" ht="13.8" hidden="false" customHeight="false" outlineLevel="0" collapsed="false">
      <c r="A1170" s="218"/>
      <c r="B1170" s="251"/>
      <c r="C1170" s="251"/>
      <c r="D1170" s="251"/>
      <c r="E1170" s="251"/>
      <c r="F1170" s="212" t="s">
        <v>5939</v>
      </c>
      <c r="G1170" s="212" t="n">
        <v>160</v>
      </c>
      <c r="H1170" s="212" t="s">
        <v>120</v>
      </c>
      <c r="I1170" s="250" t="n">
        <v>48.79</v>
      </c>
    </row>
    <row r="1171" customFormat="false" ht="13.8" hidden="false" customHeight="false" outlineLevel="0" collapsed="false">
      <c r="A1171" s="218"/>
      <c r="B1171" s="251"/>
      <c r="C1171" s="251"/>
      <c r="D1171" s="251"/>
      <c r="E1171" s="251"/>
      <c r="F1171" s="212" t="s">
        <v>5945</v>
      </c>
      <c r="G1171" s="212" t="n">
        <v>160</v>
      </c>
      <c r="H1171" s="212" t="s">
        <v>120</v>
      </c>
      <c r="I1171" s="250" t="n">
        <v>52.8</v>
      </c>
    </row>
    <row r="1172" customFormat="false" ht="13.8" hidden="false" customHeight="false" outlineLevel="0" collapsed="false">
      <c r="A1172" s="218"/>
      <c r="B1172" s="251"/>
      <c r="C1172" s="251"/>
      <c r="D1172" s="251"/>
      <c r="E1172" s="251"/>
      <c r="F1172" s="212" t="s">
        <v>5948</v>
      </c>
      <c r="G1172" s="212" t="n">
        <v>160</v>
      </c>
      <c r="H1172" s="212" t="s">
        <v>120</v>
      </c>
      <c r="I1172" s="250" t="n">
        <v>54.75</v>
      </c>
    </row>
    <row r="1173" customFormat="false" ht="13.8" hidden="false" customHeight="false" outlineLevel="0" collapsed="false">
      <c r="A1173" s="218"/>
      <c r="B1173" s="251"/>
      <c r="C1173" s="251"/>
      <c r="D1173" s="251"/>
      <c r="E1173" s="251"/>
      <c r="F1173" s="212" t="s">
        <v>5951</v>
      </c>
      <c r="G1173" s="212" t="n">
        <v>160</v>
      </c>
      <c r="H1173" s="212" t="s">
        <v>120</v>
      </c>
      <c r="I1173" s="250" t="n">
        <v>34.86</v>
      </c>
    </row>
    <row r="1174" customFormat="false" ht="13.8" hidden="false" customHeight="false" outlineLevel="0" collapsed="false">
      <c r="A1174" s="218"/>
      <c r="B1174" s="251"/>
      <c r="C1174" s="251"/>
      <c r="D1174" s="251"/>
      <c r="E1174" s="251"/>
      <c r="F1174" s="212" t="s">
        <v>5959</v>
      </c>
      <c r="G1174" s="212" t="n">
        <v>160</v>
      </c>
      <c r="H1174" s="212" t="s">
        <v>120</v>
      </c>
      <c r="I1174" s="250" t="n">
        <v>90.23</v>
      </c>
    </row>
    <row r="1175" customFormat="false" ht="13.8" hidden="false" customHeight="false" outlineLevel="0" collapsed="false">
      <c r="A1175" s="218"/>
      <c r="B1175" s="251"/>
      <c r="C1175" s="251"/>
      <c r="D1175" s="251"/>
      <c r="E1175" s="251"/>
      <c r="F1175" s="212" t="s">
        <v>5964</v>
      </c>
      <c r="G1175" s="212" t="n">
        <v>160</v>
      </c>
      <c r="H1175" s="212" t="s">
        <v>120</v>
      </c>
      <c r="I1175" s="250" t="n">
        <v>26.78</v>
      </c>
    </row>
    <row r="1176" customFormat="false" ht="13.8" hidden="false" customHeight="false" outlineLevel="0" collapsed="false">
      <c r="A1176" s="218"/>
      <c r="B1176" s="251"/>
      <c r="C1176" s="251"/>
      <c r="D1176" s="252"/>
      <c r="E1176" s="252"/>
      <c r="F1176" s="212" t="s">
        <v>5972</v>
      </c>
      <c r="G1176" s="212" t="n">
        <v>160</v>
      </c>
      <c r="H1176" s="212" t="s">
        <v>120</v>
      </c>
      <c r="I1176" s="250" t="n">
        <v>50.62</v>
      </c>
    </row>
    <row r="1177" customFormat="false" ht="13.8" hidden="false" customHeight="false" outlineLevel="0" collapsed="false">
      <c r="A1177" s="218"/>
      <c r="B1177" s="251"/>
      <c r="C1177" s="251"/>
      <c r="D1177" s="249" t="s">
        <v>5799</v>
      </c>
      <c r="E1177" s="249" t="s">
        <v>117</v>
      </c>
      <c r="F1177" s="212" t="s">
        <v>5798</v>
      </c>
      <c r="G1177" s="212" t="n">
        <v>63</v>
      </c>
      <c r="H1177" s="212" t="s">
        <v>120</v>
      </c>
      <c r="I1177" s="250" t="n">
        <v>22.04</v>
      </c>
    </row>
    <row r="1178" customFormat="false" ht="13.8" hidden="false" customHeight="false" outlineLevel="0" collapsed="false">
      <c r="A1178" s="218"/>
      <c r="B1178" s="251"/>
      <c r="C1178" s="251"/>
      <c r="D1178" s="251"/>
      <c r="E1178" s="251"/>
      <c r="F1178" s="212" t="s">
        <v>5806</v>
      </c>
      <c r="G1178" s="212" t="n">
        <v>63</v>
      </c>
      <c r="H1178" s="212" t="s">
        <v>120</v>
      </c>
      <c r="I1178" s="250" t="n">
        <v>98.54</v>
      </c>
    </row>
    <row r="1179" customFormat="false" ht="13.8" hidden="false" customHeight="false" outlineLevel="0" collapsed="false">
      <c r="A1179" s="218"/>
      <c r="B1179" s="251"/>
      <c r="C1179" s="251"/>
      <c r="D1179" s="251"/>
      <c r="E1179" s="251"/>
      <c r="F1179" s="212" t="s">
        <v>5810</v>
      </c>
      <c r="G1179" s="212" t="n">
        <v>63</v>
      </c>
      <c r="H1179" s="212" t="s">
        <v>120</v>
      </c>
      <c r="I1179" s="250" t="n">
        <v>47.3</v>
      </c>
    </row>
    <row r="1180" customFormat="false" ht="13.8" hidden="false" customHeight="false" outlineLevel="0" collapsed="false">
      <c r="A1180" s="218"/>
      <c r="B1180" s="251"/>
      <c r="C1180" s="251"/>
      <c r="D1180" s="251"/>
      <c r="E1180" s="251"/>
      <c r="F1180" s="212" t="s">
        <v>5813</v>
      </c>
      <c r="G1180" s="212" t="n">
        <v>63</v>
      </c>
      <c r="H1180" s="212" t="s">
        <v>120</v>
      </c>
      <c r="I1180" s="250" t="n">
        <v>94.21</v>
      </c>
    </row>
    <row r="1181" customFormat="false" ht="13.8" hidden="false" customHeight="false" outlineLevel="0" collapsed="false">
      <c r="A1181" s="218"/>
      <c r="B1181" s="251"/>
      <c r="C1181" s="251"/>
      <c r="D1181" s="251"/>
      <c r="E1181" s="251"/>
      <c r="F1181" s="212" t="s">
        <v>5824</v>
      </c>
      <c r="G1181" s="212" t="n">
        <v>63</v>
      </c>
      <c r="H1181" s="212" t="s">
        <v>120</v>
      </c>
      <c r="I1181" s="250" t="n">
        <v>48.4</v>
      </c>
    </row>
    <row r="1182" customFormat="false" ht="13.8" hidden="false" customHeight="false" outlineLevel="0" collapsed="false">
      <c r="A1182" s="218"/>
      <c r="B1182" s="251"/>
      <c r="C1182" s="251"/>
      <c r="D1182" s="251"/>
      <c r="E1182" s="251"/>
      <c r="F1182" s="212" t="s">
        <v>5828</v>
      </c>
      <c r="G1182" s="212" t="n">
        <v>63</v>
      </c>
      <c r="H1182" s="212" t="s">
        <v>120</v>
      </c>
      <c r="I1182" s="250" t="n">
        <v>112.55</v>
      </c>
    </row>
    <row r="1183" customFormat="false" ht="13.8" hidden="false" customHeight="false" outlineLevel="0" collapsed="false">
      <c r="A1183" s="218"/>
      <c r="B1183" s="251"/>
      <c r="C1183" s="251"/>
      <c r="D1183" s="251"/>
      <c r="E1183" s="251"/>
      <c r="F1183" s="212" t="s">
        <v>5831</v>
      </c>
      <c r="G1183" s="212" t="n">
        <v>63</v>
      </c>
      <c r="H1183" s="212" t="s">
        <v>120</v>
      </c>
      <c r="I1183" s="250" t="n">
        <v>48.15</v>
      </c>
    </row>
    <row r="1184" customFormat="false" ht="13.8" hidden="false" customHeight="false" outlineLevel="0" collapsed="false">
      <c r="A1184" s="218"/>
      <c r="B1184" s="251"/>
      <c r="C1184" s="251"/>
      <c r="D1184" s="251"/>
      <c r="E1184" s="251"/>
      <c r="F1184" s="212" t="s">
        <v>5839</v>
      </c>
      <c r="G1184" s="212" t="n">
        <v>63</v>
      </c>
      <c r="H1184" s="212" t="s">
        <v>120</v>
      </c>
      <c r="I1184" s="250" t="n">
        <v>88.86</v>
      </c>
    </row>
    <row r="1185" customFormat="false" ht="13.8" hidden="false" customHeight="false" outlineLevel="0" collapsed="false">
      <c r="A1185" s="218"/>
      <c r="B1185" s="251"/>
      <c r="C1185" s="251"/>
      <c r="D1185" s="251"/>
      <c r="E1185" s="251"/>
      <c r="F1185" s="212" t="s">
        <v>5847</v>
      </c>
      <c r="G1185" s="212" t="n">
        <v>63</v>
      </c>
      <c r="H1185" s="212" t="s">
        <v>120</v>
      </c>
      <c r="I1185" s="250" t="n">
        <v>5.35</v>
      </c>
    </row>
    <row r="1186" customFormat="false" ht="13.8" hidden="false" customHeight="false" outlineLevel="0" collapsed="false">
      <c r="A1186" s="218"/>
      <c r="B1186" s="251"/>
      <c r="C1186" s="251"/>
      <c r="D1186" s="251"/>
      <c r="E1186" s="251"/>
      <c r="F1186" s="212" t="s">
        <v>5850</v>
      </c>
      <c r="G1186" s="212" t="n">
        <v>63</v>
      </c>
      <c r="H1186" s="212" t="s">
        <v>120</v>
      </c>
      <c r="I1186" s="250" t="n">
        <v>47.34</v>
      </c>
    </row>
    <row r="1187" customFormat="false" ht="13.8" hidden="false" customHeight="false" outlineLevel="0" collapsed="false">
      <c r="A1187" s="218"/>
      <c r="B1187" s="251"/>
      <c r="C1187" s="251"/>
      <c r="D1187" s="251"/>
      <c r="E1187" s="251"/>
      <c r="F1187" s="212" t="s">
        <v>5866</v>
      </c>
      <c r="G1187" s="212" t="n">
        <v>63</v>
      </c>
      <c r="H1187" s="212" t="s">
        <v>120</v>
      </c>
      <c r="I1187" s="250" t="n">
        <v>58.24</v>
      </c>
    </row>
    <row r="1188" customFormat="false" ht="13.8" hidden="false" customHeight="false" outlineLevel="0" collapsed="false">
      <c r="A1188" s="218"/>
      <c r="B1188" s="251"/>
      <c r="C1188" s="251"/>
      <c r="D1188" s="251"/>
      <c r="E1188" s="251"/>
      <c r="F1188" s="212" t="s">
        <v>5873</v>
      </c>
      <c r="G1188" s="212" t="n">
        <v>63</v>
      </c>
      <c r="H1188" s="212" t="s">
        <v>120</v>
      </c>
      <c r="I1188" s="250" t="n">
        <v>85.23</v>
      </c>
    </row>
    <row r="1189" customFormat="false" ht="13.8" hidden="false" customHeight="false" outlineLevel="0" collapsed="false">
      <c r="A1189" s="218"/>
      <c r="B1189" s="251"/>
      <c r="C1189" s="251"/>
      <c r="D1189" s="251"/>
      <c r="E1189" s="251"/>
      <c r="F1189" s="212" t="s">
        <v>5877</v>
      </c>
      <c r="G1189" s="212" t="n">
        <v>63</v>
      </c>
      <c r="H1189" s="212" t="s">
        <v>120</v>
      </c>
      <c r="I1189" s="250" t="n">
        <v>29.64</v>
      </c>
    </row>
    <row r="1190" customFormat="false" ht="13.8" hidden="false" customHeight="false" outlineLevel="0" collapsed="false">
      <c r="A1190" s="218"/>
      <c r="B1190" s="251"/>
      <c r="C1190" s="251"/>
      <c r="D1190" s="251"/>
      <c r="E1190" s="251"/>
      <c r="F1190" s="212" t="s">
        <v>5891</v>
      </c>
      <c r="G1190" s="212" t="n">
        <v>63</v>
      </c>
      <c r="H1190" s="212" t="s">
        <v>120</v>
      </c>
      <c r="I1190" s="250" t="n">
        <v>78.4</v>
      </c>
    </row>
    <row r="1191" customFormat="false" ht="13.8" hidden="false" customHeight="false" outlineLevel="0" collapsed="false">
      <c r="A1191" s="218"/>
      <c r="B1191" s="251"/>
      <c r="C1191" s="251"/>
      <c r="D1191" s="251"/>
      <c r="E1191" s="251"/>
      <c r="F1191" s="212" t="s">
        <v>5902</v>
      </c>
      <c r="G1191" s="212" t="n">
        <v>63</v>
      </c>
      <c r="H1191" s="212" t="s">
        <v>120</v>
      </c>
      <c r="I1191" s="250" t="n">
        <v>45.61</v>
      </c>
    </row>
    <row r="1192" customFormat="false" ht="13.8" hidden="false" customHeight="false" outlineLevel="0" collapsed="false">
      <c r="A1192" s="218"/>
      <c r="B1192" s="251"/>
      <c r="C1192" s="251"/>
      <c r="D1192" s="251"/>
      <c r="E1192" s="251"/>
      <c r="F1192" s="212" t="s">
        <v>5929</v>
      </c>
      <c r="G1192" s="212" t="n">
        <v>63</v>
      </c>
      <c r="H1192" s="212" t="s">
        <v>120</v>
      </c>
      <c r="I1192" s="250" t="n">
        <v>30.44</v>
      </c>
    </row>
    <row r="1193" customFormat="false" ht="13.8" hidden="false" customHeight="false" outlineLevel="0" collapsed="false">
      <c r="A1193" s="218"/>
      <c r="B1193" s="251"/>
      <c r="C1193" s="251"/>
      <c r="D1193" s="251"/>
      <c r="E1193" s="251"/>
      <c r="F1193" s="212" t="s">
        <v>5932</v>
      </c>
      <c r="G1193" s="212" t="n">
        <v>63</v>
      </c>
      <c r="H1193" s="212" t="s">
        <v>120</v>
      </c>
      <c r="I1193" s="250" t="n">
        <v>26.25</v>
      </c>
    </row>
    <row r="1194" customFormat="false" ht="13.8" hidden="false" customHeight="false" outlineLevel="0" collapsed="false">
      <c r="A1194" s="218"/>
      <c r="B1194" s="251"/>
      <c r="C1194" s="251"/>
      <c r="D1194" s="252"/>
      <c r="E1194" s="252"/>
      <c r="F1194" s="212" t="s">
        <v>5955</v>
      </c>
      <c r="G1194" s="212" t="n">
        <v>63</v>
      </c>
      <c r="H1194" s="212" t="s">
        <v>120</v>
      </c>
      <c r="I1194" s="250" t="n">
        <v>70.57</v>
      </c>
    </row>
    <row r="1195" customFormat="false" ht="13.8" hidden="false" customHeight="false" outlineLevel="0" collapsed="false">
      <c r="A1195" s="218"/>
      <c r="B1195" s="251"/>
      <c r="C1195" s="251"/>
      <c r="D1195" s="249" t="s">
        <v>3721</v>
      </c>
      <c r="E1195" s="249" t="s">
        <v>117</v>
      </c>
      <c r="F1195" s="212" t="s">
        <v>5770</v>
      </c>
      <c r="G1195" s="212" t="n">
        <v>63</v>
      </c>
      <c r="H1195" s="212" t="s">
        <v>120</v>
      </c>
      <c r="I1195" s="250" t="n">
        <v>133.29</v>
      </c>
    </row>
    <row r="1196" customFormat="false" ht="13.8" hidden="false" customHeight="false" outlineLevel="0" collapsed="false">
      <c r="A1196" s="218"/>
      <c r="B1196" s="251"/>
      <c r="C1196" s="251"/>
      <c r="D1196" s="251"/>
      <c r="E1196" s="251"/>
      <c r="F1196" s="212" t="s">
        <v>5786</v>
      </c>
      <c r="G1196" s="212" t="n">
        <v>63</v>
      </c>
      <c r="H1196" s="212" t="s">
        <v>120</v>
      </c>
      <c r="I1196" s="250" t="n">
        <v>50.15</v>
      </c>
    </row>
    <row r="1197" customFormat="false" ht="13.8" hidden="false" customHeight="false" outlineLevel="0" collapsed="false">
      <c r="A1197" s="218"/>
      <c r="B1197" s="251"/>
      <c r="C1197" s="251"/>
      <c r="D1197" s="251"/>
      <c r="E1197" s="251"/>
      <c r="F1197" s="212" t="s">
        <v>5790</v>
      </c>
      <c r="G1197" s="212" t="n">
        <v>63</v>
      </c>
      <c r="H1197" s="212" t="s">
        <v>120</v>
      </c>
      <c r="I1197" s="250" t="n">
        <v>44.94</v>
      </c>
    </row>
    <row r="1198" customFormat="false" ht="13.8" hidden="false" customHeight="false" outlineLevel="0" collapsed="false">
      <c r="A1198" s="218"/>
      <c r="B1198" s="251"/>
      <c r="C1198" s="251"/>
      <c r="D1198" s="251"/>
      <c r="E1198" s="251"/>
      <c r="F1198" s="212" t="s">
        <v>5794</v>
      </c>
      <c r="G1198" s="212" t="n">
        <v>63</v>
      </c>
      <c r="H1198" s="212" t="s">
        <v>120</v>
      </c>
      <c r="I1198" s="250" t="n">
        <v>92.6</v>
      </c>
    </row>
    <row r="1199" customFormat="false" ht="13.8" hidden="false" customHeight="false" outlineLevel="0" collapsed="false">
      <c r="A1199" s="218"/>
      <c r="B1199" s="251"/>
      <c r="C1199" s="251"/>
      <c r="D1199" s="251"/>
      <c r="E1199" s="251"/>
      <c r="F1199" s="212" t="s">
        <v>5802</v>
      </c>
      <c r="G1199" s="212" t="n">
        <v>63</v>
      </c>
      <c r="H1199" s="212" t="s">
        <v>120</v>
      </c>
      <c r="I1199" s="250" t="n">
        <v>307.77</v>
      </c>
    </row>
    <row r="1200" customFormat="false" ht="13.8" hidden="false" customHeight="false" outlineLevel="0" collapsed="false">
      <c r="A1200" s="218"/>
      <c r="B1200" s="251"/>
      <c r="C1200" s="251"/>
      <c r="D1200" s="251"/>
      <c r="E1200" s="251"/>
      <c r="F1200" s="212" t="s">
        <v>5820</v>
      </c>
      <c r="G1200" s="212" t="n">
        <v>63</v>
      </c>
      <c r="H1200" s="212" t="s">
        <v>120</v>
      </c>
      <c r="I1200" s="250" t="n">
        <v>49.02</v>
      </c>
    </row>
    <row r="1201" customFormat="false" ht="13.8" hidden="false" customHeight="false" outlineLevel="0" collapsed="false">
      <c r="A1201" s="218"/>
      <c r="B1201" s="251"/>
      <c r="C1201" s="251"/>
      <c r="D1201" s="251"/>
      <c r="E1201" s="251"/>
      <c r="F1201" s="212" t="s">
        <v>5843</v>
      </c>
      <c r="G1201" s="212" t="n">
        <v>63</v>
      </c>
      <c r="H1201" s="212" t="s">
        <v>120</v>
      </c>
      <c r="I1201" s="250" t="n">
        <v>21.93</v>
      </c>
    </row>
    <row r="1202" customFormat="false" ht="13.8" hidden="false" customHeight="false" outlineLevel="0" collapsed="false">
      <c r="A1202" s="218"/>
      <c r="B1202" s="251"/>
      <c r="C1202" s="251"/>
      <c r="D1202" s="252"/>
      <c r="E1202" s="252"/>
      <c r="F1202" s="212" t="s">
        <v>5854</v>
      </c>
      <c r="G1202" s="212" t="n">
        <v>63</v>
      </c>
      <c r="H1202" s="212" t="s">
        <v>120</v>
      </c>
      <c r="I1202" s="250" t="n">
        <v>144.07</v>
      </c>
    </row>
    <row r="1203" customFormat="false" ht="13.8" hidden="false" customHeight="false" outlineLevel="0" collapsed="false">
      <c r="A1203" s="218"/>
      <c r="B1203" s="251"/>
      <c r="C1203" s="251"/>
      <c r="D1203" s="249" t="s">
        <v>3516</v>
      </c>
      <c r="E1203" s="249" t="s">
        <v>117</v>
      </c>
      <c r="F1203" s="212" t="s">
        <v>5707</v>
      </c>
      <c r="G1203" s="212" t="n">
        <v>63</v>
      </c>
      <c r="H1203" s="212" t="s">
        <v>120</v>
      </c>
      <c r="I1203" s="250" t="n">
        <v>190.05</v>
      </c>
    </row>
    <row r="1204" customFormat="false" ht="13.8" hidden="false" customHeight="false" outlineLevel="0" collapsed="false">
      <c r="A1204" s="218"/>
      <c r="B1204" s="251"/>
      <c r="C1204" s="251"/>
      <c r="D1204" s="251"/>
      <c r="E1204" s="251"/>
      <c r="F1204" s="212" t="s">
        <v>5722</v>
      </c>
      <c r="G1204" s="212" t="n">
        <v>250</v>
      </c>
      <c r="H1204" s="212" t="s">
        <v>120</v>
      </c>
      <c r="I1204" s="250" t="n">
        <v>19.38</v>
      </c>
    </row>
    <row r="1205" customFormat="false" ht="13.8" hidden="false" customHeight="false" outlineLevel="0" collapsed="false">
      <c r="A1205" s="218"/>
      <c r="B1205" s="251"/>
      <c r="C1205" s="251"/>
      <c r="D1205" s="251"/>
      <c r="E1205" s="251"/>
      <c r="F1205" s="212" t="s">
        <v>5726</v>
      </c>
      <c r="G1205" s="212" t="n">
        <v>63</v>
      </c>
      <c r="H1205" s="212" t="s">
        <v>120</v>
      </c>
      <c r="I1205" s="250" t="n">
        <v>3.26</v>
      </c>
    </row>
    <row r="1206" customFormat="false" ht="13.8" hidden="false" customHeight="false" outlineLevel="0" collapsed="false">
      <c r="A1206" s="218"/>
      <c r="B1206" s="251"/>
      <c r="C1206" s="251"/>
      <c r="D1206" s="251"/>
      <c r="E1206" s="251"/>
      <c r="F1206" s="212" t="s">
        <v>5730</v>
      </c>
      <c r="G1206" s="212" t="n">
        <v>250</v>
      </c>
      <c r="H1206" s="212" t="s">
        <v>120</v>
      </c>
      <c r="I1206" s="250" t="n">
        <v>5.58</v>
      </c>
    </row>
    <row r="1207" customFormat="false" ht="13.8" hidden="false" customHeight="false" outlineLevel="0" collapsed="false">
      <c r="A1207" s="218"/>
      <c r="B1207" s="251"/>
      <c r="C1207" s="251"/>
      <c r="D1207" s="251"/>
      <c r="E1207" s="251"/>
      <c r="F1207" s="212" t="s">
        <v>5733</v>
      </c>
      <c r="G1207" s="212" t="n">
        <v>110</v>
      </c>
      <c r="H1207" s="212" t="s">
        <v>120</v>
      </c>
      <c r="I1207" s="250" t="n">
        <v>27.68</v>
      </c>
    </row>
    <row r="1208" customFormat="false" ht="13.8" hidden="false" customHeight="false" outlineLevel="0" collapsed="false">
      <c r="A1208" s="218"/>
      <c r="B1208" s="251"/>
      <c r="C1208" s="251"/>
      <c r="D1208" s="251"/>
      <c r="E1208" s="251"/>
      <c r="F1208" s="212" t="s">
        <v>5762</v>
      </c>
      <c r="G1208" s="212" t="n">
        <v>160</v>
      </c>
      <c r="H1208" s="212" t="s">
        <v>120</v>
      </c>
      <c r="I1208" s="250" t="n">
        <v>16.69</v>
      </c>
    </row>
    <row r="1209" customFormat="false" ht="13.8" hidden="false" customHeight="false" outlineLevel="0" collapsed="false">
      <c r="A1209" s="218"/>
      <c r="B1209" s="251"/>
      <c r="C1209" s="251"/>
      <c r="D1209" s="251"/>
      <c r="E1209" s="251"/>
      <c r="F1209" s="212" t="s">
        <v>5766</v>
      </c>
      <c r="G1209" s="212" t="n">
        <v>160</v>
      </c>
      <c r="H1209" s="212" t="s">
        <v>120</v>
      </c>
      <c r="I1209" s="250" t="n">
        <v>29.09</v>
      </c>
    </row>
    <row r="1210" customFormat="false" ht="13.8" hidden="false" customHeight="false" outlineLevel="0" collapsed="false">
      <c r="A1210" s="218"/>
      <c r="B1210" s="251"/>
      <c r="C1210" s="251"/>
      <c r="D1210" s="251"/>
      <c r="E1210" s="251"/>
      <c r="F1210" s="212" t="s">
        <v>5775</v>
      </c>
      <c r="G1210" s="212" t="n">
        <v>63</v>
      </c>
      <c r="H1210" s="212" t="s">
        <v>120</v>
      </c>
      <c r="I1210" s="250" t="n">
        <v>69.1</v>
      </c>
    </row>
    <row r="1211" customFormat="false" ht="13.8" hidden="false" customHeight="false" outlineLevel="0" collapsed="false">
      <c r="A1211" s="218"/>
      <c r="B1211" s="251"/>
      <c r="C1211" s="251"/>
      <c r="D1211" s="251"/>
      <c r="E1211" s="251"/>
      <c r="F1211" s="212" t="s">
        <v>5778</v>
      </c>
      <c r="G1211" s="212" t="n">
        <v>63</v>
      </c>
      <c r="H1211" s="212" t="s">
        <v>120</v>
      </c>
      <c r="I1211" s="250" t="n">
        <v>22.97</v>
      </c>
    </row>
    <row r="1212" customFormat="false" ht="13.8" hidden="false" customHeight="false" outlineLevel="0" collapsed="false">
      <c r="A1212" s="218"/>
      <c r="B1212" s="251"/>
      <c r="C1212" s="251"/>
      <c r="D1212" s="251"/>
      <c r="E1212" s="251"/>
      <c r="F1212" s="212" t="s">
        <v>5782</v>
      </c>
      <c r="G1212" s="212" t="n">
        <v>63</v>
      </c>
      <c r="H1212" s="212" t="s">
        <v>120</v>
      </c>
      <c r="I1212" s="250" t="n">
        <v>149.69</v>
      </c>
    </row>
    <row r="1213" customFormat="false" ht="13.8" hidden="false" customHeight="false" outlineLevel="0" collapsed="false">
      <c r="A1213" s="218"/>
      <c r="B1213" s="251"/>
      <c r="C1213" s="251"/>
      <c r="D1213" s="251"/>
      <c r="E1213" s="251"/>
      <c r="F1213" s="212" t="s">
        <v>5817</v>
      </c>
      <c r="G1213" s="212" t="n">
        <v>63</v>
      </c>
      <c r="H1213" s="212" t="s">
        <v>120</v>
      </c>
      <c r="I1213" s="250" t="n">
        <v>172.64</v>
      </c>
    </row>
    <row r="1214" customFormat="false" ht="13.8" hidden="false" customHeight="false" outlineLevel="0" collapsed="false">
      <c r="A1214" s="218"/>
      <c r="B1214" s="251"/>
      <c r="C1214" s="251"/>
      <c r="D1214" s="252"/>
      <c r="E1214" s="252"/>
      <c r="F1214" s="212" t="s">
        <v>5858</v>
      </c>
      <c r="G1214" s="212" t="n">
        <v>63</v>
      </c>
      <c r="H1214" s="212" t="s">
        <v>120</v>
      </c>
      <c r="I1214" s="250" t="n">
        <v>80.15</v>
      </c>
    </row>
    <row r="1215" customFormat="false" ht="13.8" hidden="false" customHeight="false" outlineLevel="0" collapsed="false">
      <c r="A1215" s="218"/>
      <c r="B1215" s="251"/>
      <c r="C1215" s="251"/>
      <c r="D1215" s="249" t="s">
        <v>3499</v>
      </c>
      <c r="E1215" s="249" t="s">
        <v>117</v>
      </c>
      <c r="F1215" s="212" t="s">
        <v>5736</v>
      </c>
      <c r="G1215" s="212" t="n">
        <v>63</v>
      </c>
      <c r="H1215" s="212" t="s">
        <v>120</v>
      </c>
      <c r="I1215" s="250" t="n">
        <v>231.78</v>
      </c>
    </row>
    <row r="1216" customFormat="false" ht="13.8" hidden="false" customHeight="false" outlineLevel="0" collapsed="false">
      <c r="A1216" s="218"/>
      <c r="B1216" s="251"/>
      <c r="C1216" s="251"/>
      <c r="D1216" s="251"/>
      <c r="E1216" s="251"/>
      <c r="F1216" s="212" t="s">
        <v>5741</v>
      </c>
      <c r="G1216" s="212" t="n">
        <v>63</v>
      </c>
      <c r="H1216" s="212" t="s">
        <v>120</v>
      </c>
      <c r="I1216" s="250" t="n">
        <v>239.76</v>
      </c>
    </row>
    <row r="1217" customFormat="false" ht="13.8" hidden="false" customHeight="false" outlineLevel="0" collapsed="false">
      <c r="A1217" s="218"/>
      <c r="B1217" s="251"/>
      <c r="C1217" s="251"/>
      <c r="D1217" s="252"/>
      <c r="E1217" s="252"/>
      <c r="F1217" s="212" t="s">
        <v>5758</v>
      </c>
      <c r="G1217" s="212" t="n">
        <v>110</v>
      </c>
      <c r="H1217" s="212" t="s">
        <v>120</v>
      </c>
      <c r="I1217" s="250" t="n">
        <v>48.77</v>
      </c>
    </row>
    <row r="1218" customFormat="false" ht="13.8" hidden="false" customHeight="false" outlineLevel="0" collapsed="false">
      <c r="A1218" s="218"/>
      <c r="B1218" s="251"/>
      <c r="C1218" s="251"/>
      <c r="D1218" s="212" t="s">
        <v>3494</v>
      </c>
      <c r="E1218" s="212" t="s">
        <v>117</v>
      </c>
      <c r="F1218" s="212" t="s">
        <v>5717</v>
      </c>
      <c r="G1218" s="212" t="n">
        <v>63</v>
      </c>
      <c r="H1218" s="212" t="s">
        <v>120</v>
      </c>
      <c r="I1218" s="250" t="n">
        <v>208.88</v>
      </c>
    </row>
    <row r="1219" customFormat="false" ht="13.8" hidden="false" customHeight="false" outlineLevel="0" collapsed="false">
      <c r="A1219" s="218"/>
      <c r="B1219" s="251"/>
      <c r="C1219" s="251"/>
      <c r="D1219" s="249" t="s">
        <v>3365</v>
      </c>
      <c r="E1219" s="249" t="s">
        <v>117</v>
      </c>
      <c r="F1219" s="212" t="s">
        <v>5701</v>
      </c>
      <c r="G1219" s="212" t="n">
        <v>63</v>
      </c>
      <c r="H1219" s="212" t="s">
        <v>120</v>
      </c>
      <c r="I1219" s="250" t="n">
        <v>357.2</v>
      </c>
    </row>
    <row r="1220" customFormat="false" ht="13.8" hidden="false" customHeight="false" outlineLevel="0" collapsed="false">
      <c r="A1220" s="218"/>
      <c r="B1220" s="251"/>
      <c r="C1220" s="251"/>
      <c r="D1220" s="251"/>
      <c r="E1220" s="251"/>
      <c r="F1220" s="212" t="s">
        <v>5712</v>
      </c>
      <c r="G1220" s="212" t="n">
        <v>63</v>
      </c>
      <c r="H1220" s="212" t="s">
        <v>120</v>
      </c>
      <c r="I1220" s="250" t="n">
        <v>200.71</v>
      </c>
    </row>
    <row r="1221" customFormat="false" ht="13.8" hidden="false" customHeight="false" outlineLevel="0" collapsed="false">
      <c r="A1221" s="218"/>
      <c r="B1221" s="251"/>
      <c r="C1221" s="251"/>
      <c r="D1221" s="251"/>
      <c r="E1221" s="251"/>
      <c r="F1221" s="212" t="s">
        <v>5746</v>
      </c>
      <c r="G1221" s="212" t="n">
        <v>110</v>
      </c>
      <c r="H1221" s="212" t="s">
        <v>120</v>
      </c>
      <c r="I1221" s="250" t="n">
        <v>36.17</v>
      </c>
    </row>
    <row r="1222" customFormat="false" ht="13.8" hidden="false" customHeight="false" outlineLevel="0" collapsed="false">
      <c r="A1222" s="218"/>
      <c r="B1222" s="251"/>
      <c r="C1222" s="251"/>
      <c r="D1222" s="251"/>
      <c r="E1222" s="251"/>
      <c r="F1222" s="212" t="s">
        <v>5749</v>
      </c>
      <c r="G1222" s="212" t="n">
        <v>110</v>
      </c>
      <c r="H1222" s="212" t="s">
        <v>120</v>
      </c>
      <c r="I1222" s="250" t="n">
        <v>42.79</v>
      </c>
    </row>
    <row r="1223" customFormat="false" ht="13.8" hidden="false" customHeight="false" outlineLevel="0" collapsed="false">
      <c r="A1223" s="218"/>
      <c r="B1223" s="251"/>
      <c r="C1223" s="251"/>
      <c r="D1223" s="252"/>
      <c r="E1223" s="252"/>
      <c r="F1223" s="212" t="s">
        <v>5752</v>
      </c>
      <c r="G1223" s="212" t="n">
        <v>110</v>
      </c>
      <c r="H1223" s="212" t="s">
        <v>120</v>
      </c>
      <c r="I1223" s="250" t="n">
        <v>80.15</v>
      </c>
    </row>
    <row r="1224" customFormat="false" ht="13.8" hidden="false" customHeight="false" outlineLevel="0" collapsed="false">
      <c r="A1224" s="218"/>
      <c r="B1224" s="251"/>
      <c r="C1224" s="251"/>
      <c r="D1224" s="212" t="s">
        <v>4968</v>
      </c>
      <c r="E1224" s="212" t="s">
        <v>117</v>
      </c>
      <c r="F1224" s="212" t="s">
        <v>5899</v>
      </c>
      <c r="G1224" s="212" t="n">
        <v>160</v>
      </c>
      <c r="H1224" s="212" t="s">
        <v>120</v>
      </c>
      <c r="I1224" s="250" t="n">
        <v>17.05</v>
      </c>
    </row>
    <row r="1225" customFormat="false" ht="13.8" hidden="false" customHeight="false" outlineLevel="0" collapsed="false">
      <c r="A1225" s="218"/>
      <c r="B1225" s="251"/>
      <c r="C1225" s="251"/>
      <c r="D1225" s="212" t="s">
        <v>4146</v>
      </c>
      <c r="E1225" s="212" t="s">
        <v>117</v>
      </c>
      <c r="F1225" s="212" t="s">
        <v>6016</v>
      </c>
      <c r="G1225" s="212" t="n">
        <v>63</v>
      </c>
      <c r="H1225" s="212" t="s">
        <v>120</v>
      </c>
      <c r="I1225" s="250" t="n">
        <v>44.45</v>
      </c>
    </row>
    <row r="1226" customFormat="false" ht="13.8" hidden="false" customHeight="false" outlineLevel="0" collapsed="false">
      <c r="A1226" s="218"/>
      <c r="B1226" s="251"/>
      <c r="C1226" s="251"/>
      <c r="D1226" s="212" t="s">
        <v>5121</v>
      </c>
      <c r="E1226" s="212" t="s">
        <v>117</v>
      </c>
      <c r="F1226" s="212" t="s">
        <v>5954</v>
      </c>
      <c r="G1226" s="212" t="n">
        <v>160</v>
      </c>
      <c r="H1226" s="212" t="s">
        <v>120</v>
      </c>
      <c r="I1226" s="250" t="n">
        <v>111.62</v>
      </c>
    </row>
    <row r="1227" customFormat="false" ht="13.8" hidden="false" customHeight="false" outlineLevel="0" collapsed="false">
      <c r="A1227" s="218"/>
      <c r="B1227" s="251"/>
      <c r="C1227" s="251"/>
      <c r="D1227" s="212" t="s">
        <v>4828</v>
      </c>
      <c r="E1227" s="212" t="s">
        <v>117</v>
      </c>
      <c r="F1227" s="212" t="s">
        <v>5755</v>
      </c>
      <c r="G1227" s="212" t="n">
        <v>110</v>
      </c>
      <c r="H1227" s="212" t="s">
        <v>120</v>
      </c>
      <c r="I1227" s="250" t="n">
        <v>26.04</v>
      </c>
    </row>
    <row r="1228" customFormat="false" ht="13.8" hidden="false" customHeight="false" outlineLevel="0" collapsed="false">
      <c r="A1228" s="218"/>
      <c r="B1228" s="251"/>
      <c r="C1228" s="252"/>
      <c r="D1228" s="212" t="s">
        <v>7055</v>
      </c>
      <c r="E1228" s="212" t="s">
        <v>117</v>
      </c>
      <c r="F1228" s="212" t="s">
        <v>5911</v>
      </c>
      <c r="G1228" s="212" t="n">
        <v>63</v>
      </c>
      <c r="H1228" s="212" t="s">
        <v>120</v>
      </c>
      <c r="I1228" s="250" t="n">
        <v>120.93</v>
      </c>
    </row>
    <row r="1229" customFormat="false" ht="13.8" hidden="false" customHeight="false" outlineLevel="0" collapsed="false">
      <c r="A1229" s="222"/>
      <c r="B1229" s="252"/>
      <c r="C1229" s="261" t="s">
        <v>7056</v>
      </c>
      <c r="D1229" s="224"/>
      <c r="E1229" s="224"/>
      <c r="F1229" s="224"/>
      <c r="G1229" s="224"/>
      <c r="H1229" s="225"/>
      <c r="I1229" s="217" t="n">
        <v>7530.58</v>
      </c>
    </row>
    <row r="1230" customFormat="false" ht="13.8" hidden="false" customHeight="false" outlineLevel="0" collapsed="false">
      <c r="A1230" s="211" t="s">
        <v>6081</v>
      </c>
      <c r="B1230" s="249" t="s">
        <v>6</v>
      </c>
      <c r="C1230" s="249" t="s">
        <v>1594</v>
      </c>
      <c r="D1230" s="249" t="s">
        <v>6234</v>
      </c>
      <c r="E1230" s="249" t="s">
        <v>117</v>
      </c>
      <c r="F1230" s="212" t="s">
        <v>6788</v>
      </c>
      <c r="G1230" s="212" t="n">
        <v>160</v>
      </c>
      <c r="H1230" s="212" t="s">
        <v>120</v>
      </c>
      <c r="I1230" s="250" t="n">
        <v>102.94</v>
      </c>
    </row>
    <row r="1231" customFormat="false" ht="13.8" hidden="false" customHeight="false" outlineLevel="0" collapsed="false">
      <c r="A1231" s="218"/>
      <c r="B1231" s="251"/>
      <c r="C1231" s="251"/>
      <c r="D1231" s="251"/>
      <c r="E1231" s="251"/>
      <c r="F1231" s="212" t="s">
        <v>6791</v>
      </c>
      <c r="G1231" s="212" t="n">
        <v>225</v>
      </c>
      <c r="H1231" s="212" t="s">
        <v>120</v>
      </c>
      <c r="I1231" s="250" t="n">
        <v>34.69</v>
      </c>
    </row>
    <row r="1232" customFormat="false" ht="13.8" hidden="false" customHeight="false" outlineLevel="0" collapsed="false">
      <c r="A1232" s="218"/>
      <c r="B1232" s="251"/>
      <c r="C1232" s="251"/>
      <c r="D1232" s="251"/>
      <c r="E1232" s="251"/>
      <c r="F1232" s="212" t="s">
        <v>6794</v>
      </c>
      <c r="G1232" s="212" t="n">
        <v>225</v>
      </c>
      <c r="H1232" s="212" t="s">
        <v>120</v>
      </c>
      <c r="I1232" s="250" t="n">
        <v>3.81</v>
      </c>
    </row>
    <row r="1233" customFormat="false" ht="13.8" hidden="false" customHeight="false" outlineLevel="0" collapsed="false">
      <c r="A1233" s="218"/>
      <c r="B1233" s="251"/>
      <c r="C1233" s="251"/>
      <c r="D1233" s="251"/>
      <c r="E1233" s="251"/>
      <c r="F1233" s="212" t="s">
        <v>6797</v>
      </c>
      <c r="G1233" s="212" t="n">
        <v>160</v>
      </c>
      <c r="H1233" s="212" t="s">
        <v>120</v>
      </c>
      <c r="I1233" s="250" t="n">
        <v>2</v>
      </c>
    </row>
    <row r="1234" customFormat="false" ht="13.8" hidden="false" customHeight="false" outlineLevel="0" collapsed="false">
      <c r="A1234" s="218"/>
      <c r="B1234" s="251"/>
      <c r="C1234" s="251"/>
      <c r="D1234" s="252"/>
      <c r="E1234" s="252"/>
      <c r="F1234" s="212" t="s">
        <v>6803</v>
      </c>
      <c r="G1234" s="212" t="n">
        <v>225</v>
      </c>
      <c r="H1234" s="212" t="s">
        <v>120</v>
      </c>
      <c r="I1234" s="250" t="n">
        <v>9.44</v>
      </c>
    </row>
    <row r="1235" customFormat="false" ht="13.8" hidden="false" customHeight="false" outlineLevel="0" collapsed="false">
      <c r="A1235" s="218"/>
      <c r="B1235" s="251"/>
      <c r="C1235" s="251"/>
      <c r="D1235" s="249" t="s">
        <v>6525</v>
      </c>
      <c r="E1235" s="249" t="s">
        <v>117</v>
      </c>
      <c r="F1235" s="212" t="s">
        <v>6679</v>
      </c>
      <c r="G1235" s="212" t="n">
        <v>63</v>
      </c>
      <c r="H1235" s="212" t="s">
        <v>120</v>
      </c>
      <c r="I1235" s="250" t="n">
        <v>79.07</v>
      </c>
    </row>
    <row r="1236" customFormat="false" ht="13.8" hidden="false" customHeight="false" outlineLevel="0" collapsed="false">
      <c r="A1236" s="218"/>
      <c r="B1236" s="251"/>
      <c r="C1236" s="251"/>
      <c r="D1236" s="251"/>
      <c r="E1236" s="251"/>
      <c r="F1236" s="212" t="s">
        <v>6683</v>
      </c>
      <c r="G1236" s="212" t="n">
        <v>63</v>
      </c>
      <c r="H1236" s="212" t="s">
        <v>120</v>
      </c>
      <c r="I1236" s="250" t="n">
        <v>50.65</v>
      </c>
    </row>
    <row r="1237" customFormat="false" ht="13.8" hidden="false" customHeight="false" outlineLevel="0" collapsed="false">
      <c r="A1237" s="218"/>
      <c r="B1237" s="251"/>
      <c r="C1237" s="251"/>
      <c r="D1237" s="251"/>
      <c r="E1237" s="251"/>
      <c r="F1237" s="212" t="s">
        <v>6698</v>
      </c>
      <c r="G1237" s="212" t="n">
        <v>63</v>
      </c>
      <c r="H1237" s="212" t="s">
        <v>120</v>
      </c>
      <c r="I1237" s="250" t="n">
        <v>80.32</v>
      </c>
    </row>
    <row r="1238" customFormat="false" ht="13.8" hidden="false" customHeight="false" outlineLevel="0" collapsed="false">
      <c r="A1238" s="218"/>
      <c r="B1238" s="251"/>
      <c r="C1238" s="251"/>
      <c r="D1238" s="252"/>
      <c r="E1238" s="252"/>
      <c r="F1238" s="212" t="s">
        <v>6735</v>
      </c>
      <c r="G1238" s="212" t="n">
        <v>63</v>
      </c>
      <c r="H1238" s="212" t="s">
        <v>120</v>
      </c>
      <c r="I1238" s="250" t="n">
        <v>132.58</v>
      </c>
    </row>
    <row r="1239" customFormat="false" ht="13.8" hidden="false" customHeight="false" outlineLevel="0" collapsed="false">
      <c r="A1239" s="218"/>
      <c r="B1239" s="251"/>
      <c r="C1239" s="251"/>
      <c r="D1239" s="249" t="s">
        <v>1986</v>
      </c>
      <c r="E1239" s="249" t="s">
        <v>117</v>
      </c>
      <c r="F1239" s="212" t="s">
        <v>6427</v>
      </c>
      <c r="G1239" s="212" t="n">
        <v>90</v>
      </c>
      <c r="H1239" s="212" t="s">
        <v>120</v>
      </c>
      <c r="I1239" s="250" t="n">
        <v>63.55</v>
      </c>
    </row>
    <row r="1240" customFormat="false" ht="13.8" hidden="false" customHeight="false" outlineLevel="0" collapsed="false">
      <c r="A1240" s="218"/>
      <c r="B1240" s="251"/>
      <c r="C1240" s="251"/>
      <c r="D1240" s="251"/>
      <c r="E1240" s="251"/>
      <c r="F1240" s="212" t="s">
        <v>6440</v>
      </c>
      <c r="G1240" s="212" t="n">
        <v>63</v>
      </c>
      <c r="H1240" s="212" t="s">
        <v>120</v>
      </c>
      <c r="I1240" s="250" t="n">
        <v>238.72</v>
      </c>
    </row>
    <row r="1241" customFormat="false" ht="13.8" hidden="false" customHeight="false" outlineLevel="0" collapsed="false">
      <c r="A1241" s="218"/>
      <c r="B1241" s="251"/>
      <c r="C1241" s="251"/>
      <c r="D1241" s="251"/>
      <c r="E1241" s="251"/>
      <c r="F1241" s="212" t="s">
        <v>6450</v>
      </c>
      <c r="G1241" s="212" t="n">
        <v>63</v>
      </c>
      <c r="H1241" s="212" t="s">
        <v>120</v>
      </c>
      <c r="I1241" s="250" t="n">
        <v>24.36</v>
      </c>
    </row>
    <row r="1242" customFormat="false" ht="13.8" hidden="false" customHeight="false" outlineLevel="0" collapsed="false">
      <c r="A1242" s="218"/>
      <c r="B1242" s="251"/>
      <c r="C1242" s="251"/>
      <c r="D1242" s="251"/>
      <c r="E1242" s="251"/>
      <c r="F1242" s="212" t="s">
        <v>6476</v>
      </c>
      <c r="G1242" s="212" t="n">
        <v>225</v>
      </c>
      <c r="H1242" s="212" t="s">
        <v>120</v>
      </c>
      <c r="I1242" s="250" t="n">
        <v>104.95</v>
      </c>
    </row>
    <row r="1243" customFormat="false" ht="13.8" hidden="false" customHeight="false" outlineLevel="0" collapsed="false">
      <c r="A1243" s="218"/>
      <c r="B1243" s="251"/>
      <c r="C1243" s="251"/>
      <c r="D1243" s="251"/>
      <c r="E1243" s="251"/>
      <c r="F1243" s="212" t="s">
        <v>6480</v>
      </c>
      <c r="G1243" s="212" t="n">
        <v>63</v>
      </c>
      <c r="H1243" s="212" t="s">
        <v>120</v>
      </c>
      <c r="I1243" s="250" t="n">
        <v>84.25</v>
      </c>
    </row>
    <row r="1244" customFormat="false" ht="13.8" hidden="false" customHeight="false" outlineLevel="0" collapsed="false">
      <c r="A1244" s="218"/>
      <c r="B1244" s="251"/>
      <c r="C1244" s="251"/>
      <c r="D1244" s="251"/>
      <c r="E1244" s="251"/>
      <c r="F1244" s="212" t="s">
        <v>6492</v>
      </c>
      <c r="G1244" s="212" t="n">
        <v>63</v>
      </c>
      <c r="H1244" s="212" t="s">
        <v>120</v>
      </c>
      <c r="I1244" s="250" t="n">
        <v>17.04</v>
      </c>
    </row>
    <row r="1245" customFormat="false" ht="13.8" hidden="false" customHeight="false" outlineLevel="0" collapsed="false">
      <c r="A1245" s="218"/>
      <c r="B1245" s="251"/>
      <c r="C1245" s="251"/>
      <c r="D1245" s="251"/>
      <c r="E1245" s="251"/>
      <c r="F1245" s="212" t="s">
        <v>6496</v>
      </c>
      <c r="G1245" s="212" t="n">
        <v>63</v>
      </c>
      <c r="H1245" s="212" t="s">
        <v>120</v>
      </c>
      <c r="I1245" s="250" t="n">
        <v>174.12</v>
      </c>
    </row>
    <row r="1246" customFormat="false" ht="13.8" hidden="false" customHeight="false" outlineLevel="0" collapsed="false">
      <c r="A1246" s="218"/>
      <c r="B1246" s="251"/>
      <c r="C1246" s="251"/>
      <c r="D1246" s="251"/>
      <c r="E1246" s="251"/>
      <c r="F1246" s="212" t="s">
        <v>6500</v>
      </c>
      <c r="G1246" s="212" t="n">
        <v>63</v>
      </c>
      <c r="H1246" s="212" t="s">
        <v>120</v>
      </c>
      <c r="I1246" s="250" t="n">
        <v>38.48</v>
      </c>
    </row>
    <row r="1247" customFormat="false" ht="13.8" hidden="false" customHeight="false" outlineLevel="0" collapsed="false">
      <c r="A1247" s="218"/>
      <c r="B1247" s="251"/>
      <c r="C1247" s="251"/>
      <c r="D1247" s="251"/>
      <c r="E1247" s="251"/>
      <c r="F1247" s="212" t="s">
        <v>6503</v>
      </c>
      <c r="G1247" s="212" t="n">
        <v>63</v>
      </c>
      <c r="H1247" s="212" t="s">
        <v>120</v>
      </c>
      <c r="I1247" s="250" t="n">
        <v>136.75</v>
      </c>
    </row>
    <row r="1248" customFormat="false" ht="13.8" hidden="false" customHeight="false" outlineLevel="0" collapsed="false">
      <c r="A1248" s="218"/>
      <c r="B1248" s="251"/>
      <c r="C1248" s="251"/>
      <c r="D1248" s="251"/>
      <c r="E1248" s="251"/>
      <c r="F1248" s="212" t="s">
        <v>6506</v>
      </c>
      <c r="G1248" s="212" t="n">
        <v>225</v>
      </c>
      <c r="H1248" s="212" t="s">
        <v>120</v>
      </c>
      <c r="I1248" s="250" t="n">
        <v>208.64</v>
      </c>
    </row>
    <row r="1249" customFormat="false" ht="13.8" hidden="false" customHeight="false" outlineLevel="0" collapsed="false">
      <c r="A1249" s="218"/>
      <c r="B1249" s="251"/>
      <c r="C1249" s="251"/>
      <c r="D1249" s="251"/>
      <c r="E1249" s="251"/>
      <c r="F1249" s="212" t="s">
        <v>6510</v>
      </c>
      <c r="G1249" s="212" t="n">
        <v>63</v>
      </c>
      <c r="H1249" s="212" t="s">
        <v>120</v>
      </c>
      <c r="I1249" s="250" t="n">
        <v>33.54</v>
      </c>
    </row>
    <row r="1250" customFormat="false" ht="13.8" hidden="false" customHeight="false" outlineLevel="0" collapsed="false">
      <c r="A1250" s="218"/>
      <c r="B1250" s="251"/>
      <c r="C1250" s="251"/>
      <c r="D1250" s="251"/>
      <c r="E1250" s="251"/>
      <c r="F1250" s="212" t="s">
        <v>6815</v>
      </c>
      <c r="G1250" s="212" t="n">
        <v>225</v>
      </c>
      <c r="H1250" s="212" t="s">
        <v>120</v>
      </c>
      <c r="I1250" s="250" t="n">
        <v>100.96</v>
      </c>
    </row>
    <row r="1251" customFormat="false" ht="13.8" hidden="false" customHeight="false" outlineLevel="0" collapsed="false">
      <c r="A1251" s="218"/>
      <c r="B1251" s="251"/>
      <c r="C1251" s="251"/>
      <c r="D1251" s="252"/>
      <c r="E1251" s="252"/>
      <c r="F1251" s="212" t="s">
        <v>6973</v>
      </c>
      <c r="G1251" s="212" t="n">
        <v>225</v>
      </c>
      <c r="H1251" s="212" t="s">
        <v>120</v>
      </c>
      <c r="I1251" s="250" t="n">
        <v>45.92</v>
      </c>
    </row>
    <row r="1252" customFormat="false" ht="13.8" hidden="false" customHeight="false" outlineLevel="0" collapsed="false">
      <c r="A1252" s="218"/>
      <c r="B1252" s="251"/>
      <c r="C1252" s="251"/>
      <c r="D1252" s="249" t="s">
        <v>3251</v>
      </c>
      <c r="E1252" s="249" t="s">
        <v>117</v>
      </c>
      <c r="F1252" s="212" t="s">
        <v>6082</v>
      </c>
      <c r="G1252" s="212" t="n">
        <v>90</v>
      </c>
      <c r="H1252" s="212" t="s">
        <v>120</v>
      </c>
      <c r="I1252" s="250" t="n">
        <v>148.85</v>
      </c>
    </row>
    <row r="1253" customFormat="false" ht="13.8" hidden="false" customHeight="false" outlineLevel="0" collapsed="false">
      <c r="A1253" s="218"/>
      <c r="B1253" s="251"/>
      <c r="C1253" s="251"/>
      <c r="D1253" s="251"/>
      <c r="E1253" s="251"/>
      <c r="F1253" s="212" t="s">
        <v>6088</v>
      </c>
      <c r="G1253" s="212" t="n">
        <v>63</v>
      </c>
      <c r="H1253" s="212" t="s">
        <v>120</v>
      </c>
      <c r="I1253" s="250" t="n">
        <v>99.46</v>
      </c>
    </row>
    <row r="1254" customFormat="false" ht="13.8" hidden="false" customHeight="false" outlineLevel="0" collapsed="false">
      <c r="A1254" s="218"/>
      <c r="B1254" s="251"/>
      <c r="C1254" s="251"/>
      <c r="D1254" s="251"/>
      <c r="E1254" s="251"/>
      <c r="F1254" s="212" t="s">
        <v>6093</v>
      </c>
      <c r="G1254" s="212" t="n">
        <v>63</v>
      </c>
      <c r="H1254" s="212" t="s">
        <v>120</v>
      </c>
      <c r="I1254" s="250" t="n">
        <v>65.03</v>
      </c>
    </row>
    <row r="1255" customFormat="false" ht="13.8" hidden="false" customHeight="false" outlineLevel="0" collapsed="false">
      <c r="A1255" s="218"/>
      <c r="B1255" s="251"/>
      <c r="C1255" s="251"/>
      <c r="D1255" s="251"/>
      <c r="E1255" s="251"/>
      <c r="F1255" s="212" t="s">
        <v>6097</v>
      </c>
      <c r="G1255" s="212" t="n">
        <v>90</v>
      </c>
      <c r="H1255" s="212" t="s">
        <v>120</v>
      </c>
      <c r="I1255" s="250" t="n">
        <v>7.85</v>
      </c>
    </row>
    <row r="1256" customFormat="false" ht="13.8" hidden="false" customHeight="false" outlineLevel="0" collapsed="false">
      <c r="A1256" s="218"/>
      <c r="B1256" s="251"/>
      <c r="C1256" s="251"/>
      <c r="D1256" s="251"/>
      <c r="E1256" s="251"/>
      <c r="F1256" s="212" t="s">
        <v>6188</v>
      </c>
      <c r="G1256" s="212" t="n">
        <v>63</v>
      </c>
      <c r="H1256" s="212" t="s">
        <v>120</v>
      </c>
      <c r="I1256" s="250" t="n">
        <v>79</v>
      </c>
    </row>
    <row r="1257" customFormat="false" ht="13.8" hidden="false" customHeight="false" outlineLevel="0" collapsed="false">
      <c r="A1257" s="218"/>
      <c r="B1257" s="251"/>
      <c r="C1257" s="251"/>
      <c r="D1257" s="251"/>
      <c r="E1257" s="251"/>
      <c r="F1257" s="212" t="s">
        <v>6193</v>
      </c>
      <c r="G1257" s="212" t="n">
        <v>63</v>
      </c>
      <c r="H1257" s="212" t="s">
        <v>120</v>
      </c>
      <c r="I1257" s="250" t="n">
        <v>107.76</v>
      </c>
    </row>
    <row r="1258" customFormat="false" ht="13.8" hidden="false" customHeight="false" outlineLevel="0" collapsed="false">
      <c r="A1258" s="218"/>
      <c r="B1258" s="251"/>
      <c r="C1258" s="251"/>
      <c r="D1258" s="251"/>
      <c r="E1258" s="251"/>
      <c r="F1258" s="212" t="s">
        <v>6210</v>
      </c>
      <c r="G1258" s="212" t="n">
        <v>63</v>
      </c>
      <c r="H1258" s="212" t="s">
        <v>120</v>
      </c>
      <c r="I1258" s="250" t="n">
        <v>48.61</v>
      </c>
    </row>
    <row r="1259" customFormat="false" ht="13.8" hidden="false" customHeight="false" outlineLevel="0" collapsed="false">
      <c r="A1259" s="218"/>
      <c r="B1259" s="251"/>
      <c r="C1259" s="251"/>
      <c r="D1259" s="251"/>
      <c r="E1259" s="251"/>
      <c r="F1259" s="212" t="s">
        <v>6213</v>
      </c>
      <c r="G1259" s="212" t="n">
        <v>63</v>
      </c>
      <c r="H1259" s="212" t="s">
        <v>120</v>
      </c>
      <c r="I1259" s="250" t="n">
        <v>4.88</v>
      </c>
    </row>
    <row r="1260" customFormat="false" ht="13.8" hidden="false" customHeight="false" outlineLevel="0" collapsed="false">
      <c r="A1260" s="218"/>
      <c r="B1260" s="251"/>
      <c r="C1260" s="251"/>
      <c r="D1260" s="251"/>
      <c r="E1260" s="251"/>
      <c r="F1260" s="212" t="s">
        <v>6216</v>
      </c>
      <c r="G1260" s="212" t="n">
        <v>63</v>
      </c>
      <c r="H1260" s="212" t="s">
        <v>120</v>
      </c>
      <c r="I1260" s="250" t="n">
        <v>95.06</v>
      </c>
    </row>
    <row r="1261" customFormat="false" ht="13.8" hidden="false" customHeight="false" outlineLevel="0" collapsed="false">
      <c r="A1261" s="218"/>
      <c r="B1261" s="251"/>
      <c r="C1261" s="251"/>
      <c r="D1261" s="251"/>
      <c r="E1261" s="251"/>
      <c r="F1261" s="212" t="s">
        <v>6225</v>
      </c>
      <c r="G1261" s="212" t="n">
        <v>63</v>
      </c>
      <c r="H1261" s="212" t="s">
        <v>120</v>
      </c>
      <c r="I1261" s="250" t="n">
        <v>13.87</v>
      </c>
    </row>
    <row r="1262" customFormat="false" ht="13.8" hidden="false" customHeight="false" outlineLevel="0" collapsed="false">
      <c r="A1262" s="218"/>
      <c r="B1262" s="251"/>
      <c r="C1262" s="251"/>
      <c r="D1262" s="251"/>
      <c r="E1262" s="251"/>
      <c r="F1262" s="212" t="s">
        <v>6237</v>
      </c>
      <c r="G1262" s="212" t="n">
        <v>63</v>
      </c>
      <c r="H1262" s="212" t="s">
        <v>120</v>
      </c>
      <c r="I1262" s="250" t="n">
        <v>46.7</v>
      </c>
    </row>
    <row r="1263" customFormat="false" ht="13.8" hidden="false" customHeight="false" outlineLevel="0" collapsed="false">
      <c r="A1263" s="218"/>
      <c r="B1263" s="251"/>
      <c r="C1263" s="251"/>
      <c r="D1263" s="251"/>
      <c r="E1263" s="251"/>
      <c r="F1263" s="212" t="s">
        <v>6393</v>
      </c>
      <c r="G1263" s="212" t="n">
        <v>63</v>
      </c>
      <c r="H1263" s="212" t="s">
        <v>120</v>
      </c>
      <c r="I1263" s="250" t="n">
        <v>12.37</v>
      </c>
    </row>
    <row r="1264" customFormat="false" ht="13.8" hidden="false" customHeight="false" outlineLevel="0" collapsed="false">
      <c r="A1264" s="218"/>
      <c r="B1264" s="251"/>
      <c r="C1264" s="251"/>
      <c r="D1264" s="251"/>
      <c r="E1264" s="251"/>
      <c r="F1264" s="212" t="s">
        <v>6396</v>
      </c>
      <c r="G1264" s="212" t="n">
        <v>90</v>
      </c>
      <c r="H1264" s="212" t="s">
        <v>120</v>
      </c>
      <c r="I1264" s="250" t="n">
        <v>52.16</v>
      </c>
    </row>
    <row r="1265" customFormat="false" ht="13.8" hidden="false" customHeight="false" outlineLevel="0" collapsed="false">
      <c r="A1265" s="218"/>
      <c r="B1265" s="251"/>
      <c r="C1265" s="251"/>
      <c r="D1265" s="251"/>
      <c r="E1265" s="251"/>
      <c r="F1265" s="212" t="s">
        <v>6400</v>
      </c>
      <c r="G1265" s="212" t="n">
        <v>63</v>
      </c>
      <c r="H1265" s="212" t="s">
        <v>120</v>
      </c>
      <c r="I1265" s="250" t="n">
        <v>119.37</v>
      </c>
    </row>
    <row r="1266" customFormat="false" ht="13.8" hidden="false" customHeight="false" outlineLevel="0" collapsed="false">
      <c r="A1266" s="218"/>
      <c r="B1266" s="251"/>
      <c r="C1266" s="251"/>
      <c r="D1266" s="251"/>
      <c r="E1266" s="251"/>
      <c r="F1266" s="212" t="s">
        <v>6405</v>
      </c>
      <c r="G1266" s="212" t="n">
        <v>90</v>
      </c>
      <c r="H1266" s="212" t="s">
        <v>120</v>
      </c>
      <c r="I1266" s="250" t="n">
        <v>32.7</v>
      </c>
    </row>
    <row r="1267" customFormat="false" ht="13.8" hidden="false" customHeight="false" outlineLevel="0" collapsed="false">
      <c r="A1267" s="218"/>
      <c r="B1267" s="251"/>
      <c r="C1267" s="251"/>
      <c r="D1267" s="251"/>
      <c r="E1267" s="251"/>
      <c r="F1267" s="212" t="s">
        <v>6408</v>
      </c>
      <c r="G1267" s="212" t="n">
        <v>90</v>
      </c>
      <c r="H1267" s="212" t="s">
        <v>120</v>
      </c>
      <c r="I1267" s="250" t="n">
        <v>118.25</v>
      </c>
    </row>
    <row r="1268" customFormat="false" ht="13.8" hidden="false" customHeight="false" outlineLevel="0" collapsed="false">
      <c r="A1268" s="218"/>
      <c r="B1268" s="251"/>
      <c r="C1268" s="251"/>
      <c r="D1268" s="251"/>
      <c r="E1268" s="251"/>
      <c r="F1268" s="212" t="s">
        <v>6590</v>
      </c>
      <c r="G1268" s="212" t="n">
        <v>63</v>
      </c>
      <c r="H1268" s="212" t="s">
        <v>120</v>
      </c>
      <c r="I1268" s="250" t="n">
        <v>44.16</v>
      </c>
    </row>
    <row r="1269" customFormat="false" ht="13.8" hidden="false" customHeight="false" outlineLevel="0" collapsed="false">
      <c r="A1269" s="218"/>
      <c r="B1269" s="251"/>
      <c r="C1269" s="251"/>
      <c r="D1269" s="251"/>
      <c r="E1269" s="251"/>
      <c r="F1269" s="212" t="s">
        <v>6598</v>
      </c>
      <c r="G1269" s="212" t="n">
        <v>63</v>
      </c>
      <c r="H1269" s="212" t="s">
        <v>120</v>
      </c>
      <c r="I1269" s="250" t="n">
        <v>173.32</v>
      </c>
    </row>
    <row r="1270" customFormat="false" ht="13.8" hidden="false" customHeight="false" outlineLevel="0" collapsed="false">
      <c r="A1270" s="218"/>
      <c r="B1270" s="251"/>
      <c r="C1270" s="251"/>
      <c r="D1270" s="251"/>
      <c r="E1270" s="251"/>
      <c r="F1270" s="212" t="s">
        <v>6637</v>
      </c>
      <c r="G1270" s="212" t="n">
        <v>63</v>
      </c>
      <c r="H1270" s="212" t="s">
        <v>120</v>
      </c>
      <c r="I1270" s="250" t="n">
        <v>95.79</v>
      </c>
    </row>
    <row r="1271" customFormat="false" ht="13.8" hidden="false" customHeight="false" outlineLevel="0" collapsed="false">
      <c r="A1271" s="218"/>
      <c r="B1271" s="251"/>
      <c r="C1271" s="251"/>
      <c r="D1271" s="252"/>
      <c r="E1271" s="252"/>
      <c r="F1271" s="212" t="s">
        <v>6657</v>
      </c>
      <c r="G1271" s="212" t="n">
        <v>63</v>
      </c>
      <c r="H1271" s="212" t="s">
        <v>120</v>
      </c>
      <c r="I1271" s="250" t="n">
        <v>60.22</v>
      </c>
    </row>
    <row r="1272" customFormat="false" ht="13.8" hidden="false" customHeight="false" outlineLevel="0" collapsed="false">
      <c r="A1272" s="218"/>
      <c r="B1272" s="251"/>
      <c r="C1272" s="251"/>
      <c r="D1272" s="212" t="s">
        <v>6292</v>
      </c>
      <c r="E1272" s="212" t="s">
        <v>117</v>
      </c>
      <c r="F1272" s="212" t="s">
        <v>6902</v>
      </c>
      <c r="G1272" s="212" t="n">
        <v>90</v>
      </c>
      <c r="H1272" s="212" t="s">
        <v>120</v>
      </c>
      <c r="I1272" s="250" t="n">
        <v>101.29</v>
      </c>
    </row>
    <row r="1273" customFormat="false" ht="13.8" hidden="false" customHeight="false" outlineLevel="0" collapsed="false">
      <c r="A1273" s="218"/>
      <c r="B1273" s="251"/>
      <c r="C1273" s="251"/>
      <c r="D1273" s="249" t="s">
        <v>6911</v>
      </c>
      <c r="E1273" s="249" t="s">
        <v>117</v>
      </c>
      <c r="F1273" s="212" t="s">
        <v>6910</v>
      </c>
      <c r="G1273" s="212" t="n">
        <v>90</v>
      </c>
      <c r="H1273" s="212" t="s">
        <v>120</v>
      </c>
      <c r="I1273" s="250" t="n">
        <v>57.37</v>
      </c>
    </row>
    <row r="1274" customFormat="false" ht="13.8" hidden="false" customHeight="false" outlineLevel="0" collapsed="false">
      <c r="A1274" s="218"/>
      <c r="B1274" s="251"/>
      <c r="C1274" s="251"/>
      <c r="D1274" s="252"/>
      <c r="E1274" s="252"/>
      <c r="F1274" s="212" t="s">
        <v>6918</v>
      </c>
      <c r="G1274" s="212" t="n">
        <v>90</v>
      </c>
      <c r="H1274" s="212" t="s">
        <v>120</v>
      </c>
      <c r="I1274" s="250" t="n">
        <v>68.55</v>
      </c>
    </row>
    <row r="1275" customFormat="false" ht="13.8" hidden="false" customHeight="false" outlineLevel="0" collapsed="false">
      <c r="A1275" s="218"/>
      <c r="B1275" s="251"/>
      <c r="C1275" s="251"/>
      <c r="D1275" s="212" t="s">
        <v>6546</v>
      </c>
      <c r="E1275" s="212" t="s">
        <v>117</v>
      </c>
      <c r="F1275" s="212" t="s">
        <v>6545</v>
      </c>
      <c r="G1275" s="212" t="n">
        <v>63</v>
      </c>
      <c r="H1275" s="212" t="s">
        <v>120</v>
      </c>
      <c r="I1275" s="250" t="n">
        <v>62.72</v>
      </c>
    </row>
    <row r="1276" customFormat="false" ht="13.8" hidden="false" customHeight="false" outlineLevel="0" collapsed="false">
      <c r="A1276" s="218"/>
      <c r="B1276" s="251"/>
      <c r="C1276" s="251"/>
      <c r="D1276" s="212" t="s">
        <v>6489</v>
      </c>
      <c r="E1276" s="212" t="s">
        <v>117</v>
      </c>
      <c r="F1276" s="212" t="s">
        <v>6488</v>
      </c>
      <c r="G1276" s="212" t="n">
        <v>63</v>
      </c>
      <c r="H1276" s="212" t="s">
        <v>120</v>
      </c>
      <c r="I1276" s="250" t="n">
        <v>68.36</v>
      </c>
    </row>
    <row r="1277" customFormat="false" ht="13.8" hidden="false" customHeight="false" outlineLevel="0" collapsed="false">
      <c r="A1277" s="218"/>
      <c r="B1277" s="251"/>
      <c r="C1277" s="251"/>
      <c r="D1277" s="212" t="s">
        <v>6202</v>
      </c>
      <c r="E1277" s="212" t="s">
        <v>117</v>
      </c>
      <c r="F1277" s="212" t="s">
        <v>6201</v>
      </c>
      <c r="G1277" s="212" t="n">
        <v>63</v>
      </c>
      <c r="H1277" s="212" t="s">
        <v>120</v>
      </c>
      <c r="I1277" s="250" t="n">
        <v>207.74</v>
      </c>
    </row>
    <row r="1278" customFormat="false" ht="13.8" hidden="false" customHeight="false" outlineLevel="0" collapsed="false">
      <c r="A1278" s="218"/>
      <c r="B1278" s="251"/>
      <c r="C1278" s="251"/>
      <c r="D1278" s="212" t="s">
        <v>4738</v>
      </c>
      <c r="E1278" s="212" t="s">
        <v>117</v>
      </c>
      <c r="F1278" s="212" t="s">
        <v>6245</v>
      </c>
      <c r="G1278" s="212" t="n">
        <v>63</v>
      </c>
      <c r="H1278" s="212" t="s">
        <v>120</v>
      </c>
      <c r="I1278" s="250" t="n">
        <v>113.5</v>
      </c>
    </row>
    <row r="1279" customFormat="false" ht="13.8" hidden="false" customHeight="false" outlineLevel="0" collapsed="false">
      <c r="A1279" s="218"/>
      <c r="B1279" s="251"/>
      <c r="C1279" s="251"/>
      <c r="D1279" s="249" t="s">
        <v>6251</v>
      </c>
      <c r="E1279" s="249" t="s">
        <v>117</v>
      </c>
      <c r="F1279" s="212" t="s">
        <v>6250</v>
      </c>
      <c r="G1279" s="212" t="n">
        <v>63</v>
      </c>
      <c r="H1279" s="212" t="s">
        <v>120</v>
      </c>
      <c r="I1279" s="250" t="n">
        <v>36.62</v>
      </c>
    </row>
    <row r="1280" customFormat="false" ht="13.8" hidden="false" customHeight="false" outlineLevel="0" collapsed="false">
      <c r="A1280" s="218"/>
      <c r="B1280" s="251"/>
      <c r="C1280" s="251"/>
      <c r="D1280" s="252"/>
      <c r="E1280" s="252"/>
      <c r="F1280" s="212" t="s">
        <v>6260</v>
      </c>
      <c r="G1280" s="212" t="n">
        <v>63</v>
      </c>
      <c r="H1280" s="212" t="s">
        <v>120</v>
      </c>
      <c r="I1280" s="250" t="n">
        <v>46.82</v>
      </c>
    </row>
    <row r="1281" customFormat="false" ht="13.8" hidden="false" customHeight="false" outlineLevel="0" collapsed="false">
      <c r="A1281" s="218"/>
      <c r="B1281" s="251"/>
      <c r="C1281" s="251"/>
      <c r="D1281" s="212" t="s">
        <v>6837</v>
      </c>
      <c r="E1281" s="212" t="s">
        <v>117</v>
      </c>
      <c r="F1281" s="212" t="s">
        <v>6836</v>
      </c>
      <c r="G1281" s="212" t="n">
        <v>90</v>
      </c>
      <c r="H1281" s="212" t="s">
        <v>120</v>
      </c>
      <c r="I1281" s="250" t="n">
        <v>166.05</v>
      </c>
    </row>
    <row r="1282" customFormat="false" ht="13.8" hidden="false" customHeight="false" outlineLevel="0" collapsed="false">
      <c r="A1282" s="218"/>
      <c r="B1282" s="251"/>
      <c r="C1282" s="251"/>
      <c r="D1282" s="249" t="s">
        <v>7055</v>
      </c>
      <c r="E1282" s="249" t="s">
        <v>117</v>
      </c>
      <c r="F1282" s="212" t="s">
        <v>6138</v>
      </c>
      <c r="G1282" s="212" t="n">
        <v>63</v>
      </c>
      <c r="H1282" s="212" t="s">
        <v>120</v>
      </c>
      <c r="I1282" s="250" t="n">
        <v>52.69</v>
      </c>
    </row>
    <row r="1283" customFormat="false" ht="13.8" hidden="false" customHeight="false" outlineLevel="0" collapsed="false">
      <c r="A1283" s="218"/>
      <c r="B1283" s="251"/>
      <c r="C1283" s="251"/>
      <c r="D1283" s="251"/>
      <c r="E1283" s="251"/>
      <c r="F1283" s="212" t="s">
        <v>6147</v>
      </c>
      <c r="G1283" s="212" t="n">
        <v>63</v>
      </c>
      <c r="H1283" s="212" t="s">
        <v>120</v>
      </c>
      <c r="I1283" s="250" t="n">
        <v>4.72</v>
      </c>
    </row>
    <row r="1284" customFormat="false" ht="13.8" hidden="false" customHeight="false" outlineLevel="0" collapsed="false">
      <c r="A1284" s="218"/>
      <c r="B1284" s="251"/>
      <c r="C1284" s="251"/>
      <c r="D1284" s="251"/>
      <c r="E1284" s="251"/>
      <c r="F1284" s="212" t="s">
        <v>6177</v>
      </c>
      <c r="G1284" s="212" t="n">
        <v>63</v>
      </c>
      <c r="H1284" s="212" t="s">
        <v>120</v>
      </c>
      <c r="I1284" s="250" t="n">
        <v>206.61</v>
      </c>
    </row>
    <row r="1285" customFormat="false" ht="13.8" hidden="false" customHeight="false" outlineLevel="0" collapsed="false">
      <c r="A1285" s="218"/>
      <c r="B1285" s="251"/>
      <c r="C1285" s="251"/>
      <c r="D1285" s="251"/>
      <c r="E1285" s="251"/>
      <c r="F1285" s="212" t="s">
        <v>6412</v>
      </c>
      <c r="G1285" s="212" t="n">
        <v>63</v>
      </c>
      <c r="H1285" s="212" t="s">
        <v>120</v>
      </c>
      <c r="I1285" s="250" t="n">
        <v>48.47</v>
      </c>
    </row>
    <row r="1286" customFormat="false" ht="13.8" hidden="false" customHeight="false" outlineLevel="0" collapsed="false">
      <c r="A1286" s="218"/>
      <c r="B1286" s="251"/>
      <c r="C1286" s="251"/>
      <c r="D1286" s="251"/>
      <c r="E1286" s="251"/>
      <c r="F1286" s="212" t="s">
        <v>6417</v>
      </c>
      <c r="G1286" s="212" t="n">
        <v>63</v>
      </c>
      <c r="H1286" s="212" t="s">
        <v>120</v>
      </c>
      <c r="I1286" s="250" t="n">
        <v>85.32</v>
      </c>
    </row>
    <row r="1287" customFormat="false" ht="13.8" hidden="false" customHeight="false" outlineLevel="0" collapsed="false">
      <c r="A1287" s="218"/>
      <c r="B1287" s="251"/>
      <c r="C1287" s="251"/>
      <c r="D1287" s="251"/>
      <c r="E1287" s="251"/>
      <c r="F1287" s="212" t="s">
        <v>6420</v>
      </c>
      <c r="G1287" s="212" t="n">
        <v>63</v>
      </c>
      <c r="H1287" s="212" t="s">
        <v>120</v>
      </c>
      <c r="I1287" s="250" t="n">
        <v>86.47</v>
      </c>
    </row>
    <row r="1288" customFormat="false" ht="13.8" hidden="false" customHeight="false" outlineLevel="0" collapsed="false">
      <c r="A1288" s="218"/>
      <c r="B1288" s="251"/>
      <c r="C1288" s="251"/>
      <c r="D1288" s="251"/>
      <c r="E1288" s="251"/>
      <c r="F1288" s="212" t="s">
        <v>6424</v>
      </c>
      <c r="G1288" s="212" t="n">
        <v>63</v>
      </c>
      <c r="H1288" s="212" t="s">
        <v>120</v>
      </c>
      <c r="I1288" s="250" t="n">
        <v>197.67</v>
      </c>
    </row>
    <row r="1289" customFormat="false" ht="13.8" hidden="false" customHeight="false" outlineLevel="0" collapsed="false">
      <c r="A1289" s="218"/>
      <c r="B1289" s="251"/>
      <c r="C1289" s="251"/>
      <c r="D1289" s="251"/>
      <c r="E1289" s="251"/>
      <c r="F1289" s="212" t="s">
        <v>6431</v>
      </c>
      <c r="G1289" s="212" t="n">
        <v>63</v>
      </c>
      <c r="H1289" s="212" t="s">
        <v>120</v>
      </c>
      <c r="I1289" s="250" t="n">
        <v>94.21</v>
      </c>
    </row>
    <row r="1290" customFormat="false" ht="13.8" hidden="false" customHeight="false" outlineLevel="0" collapsed="false">
      <c r="A1290" s="218"/>
      <c r="B1290" s="251"/>
      <c r="C1290" s="251"/>
      <c r="D1290" s="251"/>
      <c r="E1290" s="251"/>
      <c r="F1290" s="212" t="s">
        <v>6436</v>
      </c>
      <c r="G1290" s="212" t="n">
        <v>63</v>
      </c>
      <c r="H1290" s="212" t="s">
        <v>120</v>
      </c>
      <c r="I1290" s="250" t="n">
        <v>111.03</v>
      </c>
    </row>
    <row r="1291" customFormat="false" ht="13.8" hidden="false" customHeight="false" outlineLevel="0" collapsed="false">
      <c r="A1291" s="218"/>
      <c r="B1291" s="251"/>
      <c r="C1291" s="251"/>
      <c r="D1291" s="251"/>
      <c r="E1291" s="251"/>
      <c r="F1291" s="212" t="s">
        <v>6444</v>
      </c>
      <c r="G1291" s="212" t="n">
        <v>63</v>
      </c>
      <c r="H1291" s="212" t="s">
        <v>120</v>
      </c>
      <c r="I1291" s="250" t="n">
        <v>48.05</v>
      </c>
    </row>
    <row r="1292" customFormat="false" ht="13.8" hidden="false" customHeight="false" outlineLevel="0" collapsed="false">
      <c r="A1292" s="218"/>
      <c r="B1292" s="251"/>
      <c r="C1292" s="251"/>
      <c r="D1292" s="251"/>
      <c r="E1292" s="251"/>
      <c r="F1292" s="212" t="s">
        <v>6447</v>
      </c>
      <c r="G1292" s="212" t="n">
        <v>63</v>
      </c>
      <c r="H1292" s="212" t="s">
        <v>120</v>
      </c>
      <c r="I1292" s="250" t="n">
        <v>50.54</v>
      </c>
    </row>
    <row r="1293" customFormat="false" ht="13.8" hidden="false" customHeight="false" outlineLevel="0" collapsed="false">
      <c r="A1293" s="218"/>
      <c r="B1293" s="251"/>
      <c r="C1293" s="251"/>
      <c r="D1293" s="251"/>
      <c r="E1293" s="251"/>
      <c r="F1293" s="212" t="s">
        <v>6455</v>
      </c>
      <c r="G1293" s="212" t="n">
        <v>63</v>
      </c>
      <c r="H1293" s="212" t="s">
        <v>120</v>
      </c>
      <c r="I1293" s="250" t="n">
        <v>173.68</v>
      </c>
    </row>
    <row r="1294" customFormat="false" ht="13.8" hidden="false" customHeight="false" outlineLevel="0" collapsed="false">
      <c r="A1294" s="218"/>
      <c r="B1294" s="251"/>
      <c r="C1294" s="251"/>
      <c r="D1294" s="251"/>
      <c r="E1294" s="251"/>
      <c r="F1294" s="212" t="s">
        <v>6458</v>
      </c>
      <c r="G1294" s="212" t="n">
        <v>63</v>
      </c>
      <c r="H1294" s="212" t="s">
        <v>120</v>
      </c>
      <c r="I1294" s="250" t="n">
        <v>26.11</v>
      </c>
    </row>
    <row r="1295" customFormat="false" ht="13.8" hidden="false" customHeight="false" outlineLevel="0" collapsed="false">
      <c r="A1295" s="218"/>
      <c r="B1295" s="251"/>
      <c r="C1295" s="251"/>
      <c r="D1295" s="251"/>
      <c r="E1295" s="251"/>
      <c r="F1295" s="212" t="s">
        <v>6461</v>
      </c>
      <c r="G1295" s="212" t="n">
        <v>63</v>
      </c>
      <c r="H1295" s="212" t="s">
        <v>120</v>
      </c>
      <c r="I1295" s="250" t="n">
        <v>11.16</v>
      </c>
    </row>
    <row r="1296" customFormat="false" ht="13.8" hidden="false" customHeight="false" outlineLevel="0" collapsed="false">
      <c r="A1296" s="218"/>
      <c r="B1296" s="251"/>
      <c r="C1296" s="251"/>
      <c r="D1296" s="251"/>
      <c r="E1296" s="251"/>
      <c r="F1296" s="212" t="s">
        <v>6464</v>
      </c>
      <c r="G1296" s="212" t="n">
        <v>63</v>
      </c>
      <c r="H1296" s="212" t="s">
        <v>120</v>
      </c>
      <c r="I1296" s="250" t="n">
        <v>61.37</v>
      </c>
    </row>
    <row r="1297" customFormat="false" ht="13.8" hidden="false" customHeight="false" outlineLevel="0" collapsed="false">
      <c r="A1297" s="218"/>
      <c r="B1297" s="251"/>
      <c r="C1297" s="251"/>
      <c r="D1297" s="251"/>
      <c r="E1297" s="251"/>
      <c r="F1297" s="212" t="s">
        <v>6468</v>
      </c>
      <c r="G1297" s="212" t="n">
        <v>63</v>
      </c>
      <c r="H1297" s="212" t="s">
        <v>120</v>
      </c>
      <c r="I1297" s="250" t="n">
        <v>8.38</v>
      </c>
    </row>
    <row r="1298" customFormat="false" ht="13.8" hidden="false" customHeight="false" outlineLevel="0" collapsed="false">
      <c r="A1298" s="218"/>
      <c r="B1298" s="251"/>
      <c r="C1298" s="251"/>
      <c r="D1298" s="251"/>
      <c r="E1298" s="251"/>
      <c r="F1298" s="212" t="s">
        <v>6472</v>
      </c>
      <c r="G1298" s="212" t="n">
        <v>63</v>
      </c>
      <c r="H1298" s="212" t="s">
        <v>120</v>
      </c>
      <c r="I1298" s="250" t="n">
        <v>29.51</v>
      </c>
    </row>
    <row r="1299" customFormat="false" ht="13.8" hidden="false" customHeight="false" outlineLevel="0" collapsed="false">
      <c r="A1299" s="218"/>
      <c r="B1299" s="251"/>
      <c r="C1299" s="251"/>
      <c r="D1299" s="251"/>
      <c r="E1299" s="251"/>
      <c r="F1299" s="212" t="s">
        <v>6484</v>
      </c>
      <c r="G1299" s="212" t="n">
        <v>63</v>
      </c>
      <c r="H1299" s="212" t="s">
        <v>120</v>
      </c>
      <c r="I1299" s="250" t="n">
        <v>76.05</v>
      </c>
    </row>
    <row r="1300" customFormat="false" ht="13.8" hidden="false" customHeight="false" outlineLevel="0" collapsed="false">
      <c r="A1300" s="218"/>
      <c r="B1300" s="251"/>
      <c r="C1300" s="251"/>
      <c r="D1300" s="251"/>
      <c r="E1300" s="251"/>
      <c r="F1300" s="212" t="s">
        <v>6783</v>
      </c>
      <c r="G1300" s="212" t="n">
        <v>225</v>
      </c>
      <c r="H1300" s="212" t="s">
        <v>120</v>
      </c>
      <c r="I1300" s="250" t="n">
        <v>62.96</v>
      </c>
    </row>
    <row r="1301" customFormat="false" ht="13.8" hidden="false" customHeight="false" outlineLevel="0" collapsed="false">
      <c r="A1301" s="218"/>
      <c r="B1301" s="251"/>
      <c r="C1301" s="251"/>
      <c r="D1301" s="251"/>
      <c r="E1301" s="251"/>
      <c r="F1301" s="212" t="s">
        <v>6799</v>
      </c>
      <c r="G1301" s="212" t="n">
        <v>225</v>
      </c>
      <c r="H1301" s="212" t="s">
        <v>120</v>
      </c>
      <c r="I1301" s="250" t="n">
        <v>10.84</v>
      </c>
    </row>
    <row r="1302" customFormat="false" ht="13.8" hidden="false" customHeight="false" outlineLevel="0" collapsed="false">
      <c r="A1302" s="218"/>
      <c r="B1302" s="251"/>
      <c r="C1302" s="251"/>
      <c r="D1302" s="251"/>
      <c r="E1302" s="251"/>
      <c r="F1302" s="212" t="s">
        <v>6805</v>
      </c>
      <c r="G1302" s="212" t="n">
        <v>225</v>
      </c>
      <c r="H1302" s="212" t="s">
        <v>120</v>
      </c>
      <c r="I1302" s="250" t="n">
        <v>109.01</v>
      </c>
    </row>
    <row r="1303" customFormat="false" ht="13.8" hidden="false" customHeight="false" outlineLevel="0" collapsed="false">
      <c r="A1303" s="218"/>
      <c r="B1303" s="251"/>
      <c r="C1303" s="251"/>
      <c r="D1303" s="251"/>
      <c r="E1303" s="251"/>
      <c r="F1303" s="212" t="s">
        <v>6808</v>
      </c>
      <c r="G1303" s="212" t="n">
        <v>225</v>
      </c>
      <c r="H1303" s="212" t="s">
        <v>120</v>
      </c>
      <c r="I1303" s="250" t="n">
        <v>41.66</v>
      </c>
    </row>
    <row r="1304" customFormat="false" ht="13.8" hidden="false" customHeight="false" outlineLevel="0" collapsed="false">
      <c r="A1304" s="218"/>
      <c r="B1304" s="251"/>
      <c r="C1304" s="252"/>
      <c r="D1304" s="252"/>
      <c r="E1304" s="252"/>
      <c r="F1304" s="212" t="s">
        <v>6812</v>
      </c>
      <c r="G1304" s="212" t="n">
        <v>225</v>
      </c>
      <c r="H1304" s="212" t="s">
        <v>120</v>
      </c>
      <c r="I1304" s="250" t="n">
        <v>22.92</v>
      </c>
    </row>
    <row r="1305" customFormat="false" ht="13.8" hidden="false" customHeight="false" outlineLevel="0" collapsed="false">
      <c r="A1305" s="218"/>
      <c r="B1305" s="251"/>
      <c r="C1305" s="261" t="s">
        <v>7056</v>
      </c>
      <c r="D1305" s="224"/>
      <c r="E1305" s="224"/>
      <c r="F1305" s="224"/>
      <c r="G1305" s="224"/>
      <c r="H1305" s="225"/>
      <c r="I1305" s="217" t="n">
        <v>5740.64</v>
      </c>
    </row>
    <row r="1306" customFormat="false" ht="13.8" hidden="false" customHeight="false" outlineLevel="0" collapsed="false">
      <c r="A1306" s="218"/>
      <c r="B1306" s="251"/>
      <c r="C1306" s="249" t="s">
        <v>3938</v>
      </c>
      <c r="D1306" s="249" t="s">
        <v>1952</v>
      </c>
      <c r="E1306" s="249" t="s">
        <v>117</v>
      </c>
      <c r="F1306" s="212" t="s">
        <v>6220</v>
      </c>
      <c r="G1306" s="212" t="n">
        <v>63</v>
      </c>
      <c r="H1306" s="212" t="s">
        <v>120</v>
      </c>
      <c r="I1306" s="250" t="n">
        <v>73.56</v>
      </c>
    </row>
    <row r="1307" customFormat="false" ht="13.8" hidden="false" customHeight="false" outlineLevel="0" collapsed="false">
      <c r="A1307" s="218"/>
      <c r="B1307" s="251"/>
      <c r="C1307" s="251"/>
      <c r="D1307" s="251"/>
      <c r="E1307" s="251"/>
      <c r="F1307" s="212" t="s">
        <v>6228</v>
      </c>
      <c r="G1307" s="212" t="n">
        <v>63</v>
      </c>
      <c r="H1307" s="212" t="s">
        <v>120</v>
      </c>
      <c r="I1307" s="250" t="n">
        <v>73.53</v>
      </c>
    </row>
    <row r="1308" customFormat="false" ht="13.8" hidden="false" customHeight="false" outlineLevel="0" collapsed="false">
      <c r="A1308" s="218"/>
      <c r="B1308" s="251"/>
      <c r="C1308" s="251"/>
      <c r="D1308" s="251"/>
      <c r="E1308" s="251"/>
      <c r="F1308" s="212" t="s">
        <v>6555</v>
      </c>
      <c r="G1308" s="212" t="n">
        <v>63</v>
      </c>
      <c r="H1308" s="212" t="s">
        <v>120</v>
      </c>
      <c r="I1308" s="250" t="n">
        <v>5.24</v>
      </c>
    </row>
    <row r="1309" customFormat="false" ht="13.8" hidden="false" customHeight="false" outlineLevel="0" collapsed="false">
      <c r="A1309" s="218"/>
      <c r="B1309" s="251"/>
      <c r="C1309" s="251"/>
      <c r="D1309" s="251"/>
      <c r="E1309" s="251"/>
      <c r="F1309" s="212" t="s">
        <v>6563</v>
      </c>
      <c r="G1309" s="212" t="n">
        <v>63</v>
      </c>
      <c r="H1309" s="212" t="s">
        <v>120</v>
      </c>
      <c r="I1309" s="250" t="n">
        <v>21.08</v>
      </c>
    </row>
    <row r="1310" customFormat="false" ht="13.8" hidden="false" customHeight="false" outlineLevel="0" collapsed="false">
      <c r="A1310" s="218"/>
      <c r="B1310" s="251"/>
      <c r="C1310" s="251"/>
      <c r="D1310" s="251"/>
      <c r="E1310" s="251"/>
      <c r="F1310" s="212" t="s">
        <v>6566</v>
      </c>
      <c r="G1310" s="212" t="n">
        <v>63</v>
      </c>
      <c r="H1310" s="212" t="s">
        <v>120</v>
      </c>
      <c r="I1310" s="250" t="n">
        <v>18.97</v>
      </c>
    </row>
    <row r="1311" customFormat="false" ht="13.8" hidden="false" customHeight="false" outlineLevel="0" collapsed="false">
      <c r="A1311" s="218"/>
      <c r="B1311" s="251"/>
      <c r="C1311" s="251"/>
      <c r="D1311" s="252"/>
      <c r="E1311" s="252"/>
      <c r="F1311" s="212" t="s">
        <v>6576</v>
      </c>
      <c r="G1311" s="212" t="n">
        <v>63</v>
      </c>
      <c r="H1311" s="212" t="s">
        <v>120</v>
      </c>
      <c r="I1311" s="250" t="n">
        <v>17.2</v>
      </c>
    </row>
    <row r="1312" customFormat="false" ht="13.8" hidden="false" customHeight="false" outlineLevel="0" collapsed="false">
      <c r="A1312" s="218"/>
      <c r="B1312" s="251"/>
      <c r="C1312" s="251"/>
      <c r="D1312" s="249" t="s">
        <v>3233</v>
      </c>
      <c r="E1312" s="249" t="s">
        <v>117</v>
      </c>
      <c r="F1312" s="212" t="s">
        <v>6322</v>
      </c>
      <c r="G1312" s="212" t="n">
        <v>63</v>
      </c>
      <c r="H1312" s="212" t="s">
        <v>120</v>
      </c>
      <c r="I1312" s="250" t="n">
        <v>62.28</v>
      </c>
    </row>
    <row r="1313" customFormat="false" ht="13.8" hidden="false" customHeight="false" outlineLevel="0" collapsed="false">
      <c r="A1313" s="218"/>
      <c r="B1313" s="251"/>
      <c r="C1313" s="251"/>
      <c r="D1313" s="251"/>
      <c r="E1313" s="251"/>
      <c r="F1313" s="212" t="s">
        <v>6327</v>
      </c>
      <c r="G1313" s="212" t="n">
        <v>63</v>
      </c>
      <c r="H1313" s="212" t="s">
        <v>120</v>
      </c>
      <c r="I1313" s="250" t="n">
        <v>46.76</v>
      </c>
    </row>
    <row r="1314" customFormat="false" ht="13.8" hidden="false" customHeight="false" outlineLevel="0" collapsed="false">
      <c r="A1314" s="218"/>
      <c r="B1314" s="251"/>
      <c r="C1314" s="251"/>
      <c r="D1314" s="251"/>
      <c r="E1314" s="251"/>
      <c r="F1314" s="212" t="s">
        <v>6330</v>
      </c>
      <c r="G1314" s="212" t="n">
        <v>63</v>
      </c>
      <c r="H1314" s="212" t="s">
        <v>120</v>
      </c>
      <c r="I1314" s="250" t="n">
        <v>178.64</v>
      </c>
    </row>
    <row r="1315" customFormat="false" ht="13.8" hidden="false" customHeight="false" outlineLevel="0" collapsed="false">
      <c r="A1315" s="218"/>
      <c r="B1315" s="251"/>
      <c r="C1315" s="251"/>
      <c r="D1315" s="251"/>
      <c r="E1315" s="251"/>
      <c r="F1315" s="212" t="s">
        <v>6334</v>
      </c>
      <c r="G1315" s="212" t="n">
        <v>63</v>
      </c>
      <c r="H1315" s="212" t="s">
        <v>120</v>
      </c>
      <c r="I1315" s="250" t="n">
        <v>131.94</v>
      </c>
    </row>
    <row r="1316" customFormat="false" ht="13.8" hidden="false" customHeight="false" outlineLevel="0" collapsed="false">
      <c r="A1316" s="218"/>
      <c r="B1316" s="251"/>
      <c r="C1316" s="251"/>
      <c r="D1316" s="251"/>
      <c r="E1316" s="251"/>
      <c r="F1316" s="212" t="s">
        <v>6338</v>
      </c>
      <c r="G1316" s="212" t="n">
        <v>63</v>
      </c>
      <c r="H1316" s="212" t="s">
        <v>120</v>
      </c>
      <c r="I1316" s="250" t="n">
        <v>21.24</v>
      </c>
    </row>
    <row r="1317" customFormat="false" ht="13.8" hidden="false" customHeight="false" outlineLevel="0" collapsed="false">
      <c r="A1317" s="218"/>
      <c r="B1317" s="251"/>
      <c r="C1317" s="251"/>
      <c r="D1317" s="251"/>
      <c r="E1317" s="251"/>
      <c r="F1317" s="212" t="s">
        <v>6341</v>
      </c>
      <c r="G1317" s="212" t="n">
        <v>63</v>
      </c>
      <c r="H1317" s="212" t="s">
        <v>120</v>
      </c>
      <c r="I1317" s="250" t="n">
        <v>208.36</v>
      </c>
    </row>
    <row r="1318" customFormat="false" ht="13.8" hidden="false" customHeight="false" outlineLevel="0" collapsed="false">
      <c r="A1318" s="218"/>
      <c r="B1318" s="251"/>
      <c r="C1318" s="251"/>
      <c r="D1318" s="251"/>
      <c r="E1318" s="251"/>
      <c r="F1318" s="212" t="s">
        <v>6344</v>
      </c>
      <c r="G1318" s="212" t="n">
        <v>63</v>
      </c>
      <c r="H1318" s="212" t="s">
        <v>120</v>
      </c>
      <c r="I1318" s="250" t="n">
        <v>6.73</v>
      </c>
    </row>
    <row r="1319" customFormat="false" ht="13.8" hidden="false" customHeight="false" outlineLevel="0" collapsed="false">
      <c r="A1319" s="218"/>
      <c r="B1319" s="251"/>
      <c r="C1319" s="251"/>
      <c r="D1319" s="252"/>
      <c r="E1319" s="252"/>
      <c r="F1319" s="212" t="s">
        <v>6348</v>
      </c>
      <c r="G1319" s="212" t="n">
        <v>63</v>
      </c>
      <c r="H1319" s="212" t="s">
        <v>120</v>
      </c>
      <c r="I1319" s="250" t="n">
        <v>18.74</v>
      </c>
    </row>
    <row r="1320" customFormat="false" ht="13.8" hidden="false" customHeight="false" outlineLevel="0" collapsed="false">
      <c r="A1320" s="218"/>
      <c r="B1320" s="251"/>
      <c r="C1320" s="251"/>
      <c r="D1320" s="249" t="s">
        <v>2524</v>
      </c>
      <c r="E1320" s="249" t="s">
        <v>117</v>
      </c>
      <c r="F1320" s="212" t="s">
        <v>6154</v>
      </c>
      <c r="G1320" s="212" t="n">
        <v>63</v>
      </c>
      <c r="H1320" s="212" t="s">
        <v>120</v>
      </c>
      <c r="I1320" s="250" t="n">
        <v>149.68</v>
      </c>
    </row>
    <row r="1321" customFormat="false" ht="13.8" hidden="false" customHeight="false" outlineLevel="0" collapsed="false">
      <c r="A1321" s="218"/>
      <c r="B1321" s="251"/>
      <c r="C1321" s="251"/>
      <c r="D1321" s="251"/>
      <c r="E1321" s="251"/>
      <c r="F1321" s="212" t="s">
        <v>6172</v>
      </c>
      <c r="G1321" s="212" t="n">
        <v>63</v>
      </c>
      <c r="H1321" s="212" t="s">
        <v>120</v>
      </c>
      <c r="I1321" s="250" t="n">
        <v>46.86</v>
      </c>
    </row>
    <row r="1322" customFormat="false" ht="13.8" hidden="false" customHeight="false" outlineLevel="0" collapsed="false">
      <c r="A1322" s="218"/>
      <c r="B1322" s="251"/>
      <c r="C1322" s="251"/>
      <c r="D1322" s="251"/>
      <c r="E1322" s="251"/>
      <c r="F1322" s="212" t="s">
        <v>6197</v>
      </c>
      <c r="G1322" s="212" t="n">
        <v>63</v>
      </c>
      <c r="H1322" s="212" t="s">
        <v>120</v>
      </c>
      <c r="I1322" s="250" t="n">
        <v>150.79</v>
      </c>
    </row>
    <row r="1323" customFormat="false" ht="13.8" hidden="false" customHeight="false" outlineLevel="0" collapsed="false">
      <c r="A1323" s="218"/>
      <c r="B1323" s="251"/>
      <c r="C1323" s="251"/>
      <c r="D1323" s="251"/>
      <c r="E1323" s="251"/>
      <c r="F1323" s="212" t="s">
        <v>6560</v>
      </c>
      <c r="G1323" s="212" t="n">
        <v>63</v>
      </c>
      <c r="H1323" s="212" t="s">
        <v>120</v>
      </c>
      <c r="I1323" s="250" t="n">
        <v>5.12</v>
      </c>
    </row>
    <row r="1324" customFormat="false" ht="13.8" hidden="false" customHeight="false" outlineLevel="0" collapsed="false">
      <c r="A1324" s="218"/>
      <c r="B1324" s="251"/>
      <c r="C1324" s="251"/>
      <c r="D1324" s="251"/>
      <c r="E1324" s="251"/>
      <c r="F1324" s="212" t="s">
        <v>6568</v>
      </c>
      <c r="G1324" s="212" t="n">
        <v>63</v>
      </c>
      <c r="H1324" s="212" t="s">
        <v>120</v>
      </c>
      <c r="I1324" s="250" t="n">
        <v>5.09</v>
      </c>
    </row>
    <row r="1325" customFormat="false" ht="13.8" hidden="false" customHeight="false" outlineLevel="0" collapsed="false">
      <c r="A1325" s="218"/>
      <c r="B1325" s="251"/>
      <c r="C1325" s="251"/>
      <c r="D1325" s="251"/>
      <c r="E1325" s="251"/>
      <c r="F1325" s="212" t="s">
        <v>6572</v>
      </c>
      <c r="G1325" s="212" t="n">
        <v>63</v>
      </c>
      <c r="H1325" s="212" t="s">
        <v>120</v>
      </c>
      <c r="I1325" s="250" t="n">
        <v>21.55</v>
      </c>
    </row>
    <row r="1326" customFormat="false" ht="13.8" hidden="false" customHeight="false" outlineLevel="0" collapsed="false">
      <c r="A1326" s="218"/>
      <c r="B1326" s="251"/>
      <c r="C1326" s="251"/>
      <c r="D1326" s="251"/>
      <c r="E1326" s="251"/>
      <c r="F1326" s="212" t="s">
        <v>6580</v>
      </c>
      <c r="G1326" s="212" t="n">
        <v>63</v>
      </c>
      <c r="H1326" s="212" t="s">
        <v>120</v>
      </c>
      <c r="I1326" s="250" t="n">
        <v>51.14</v>
      </c>
    </row>
    <row r="1327" customFormat="false" ht="13.8" hidden="false" customHeight="false" outlineLevel="0" collapsed="false">
      <c r="A1327" s="218"/>
      <c r="B1327" s="251"/>
      <c r="C1327" s="251"/>
      <c r="D1327" s="251"/>
      <c r="E1327" s="251"/>
      <c r="F1327" s="212" t="s">
        <v>6582</v>
      </c>
      <c r="G1327" s="212" t="n">
        <v>63</v>
      </c>
      <c r="H1327" s="212" t="s">
        <v>120</v>
      </c>
      <c r="I1327" s="250" t="n">
        <v>14.57</v>
      </c>
    </row>
    <row r="1328" customFormat="false" ht="13.8" hidden="false" customHeight="false" outlineLevel="0" collapsed="false">
      <c r="A1328" s="218"/>
      <c r="B1328" s="251"/>
      <c r="C1328" s="251"/>
      <c r="D1328" s="251"/>
      <c r="E1328" s="251"/>
      <c r="F1328" s="212" t="s">
        <v>6594</v>
      </c>
      <c r="G1328" s="212" t="n">
        <v>63</v>
      </c>
      <c r="H1328" s="212" t="s">
        <v>120</v>
      </c>
      <c r="I1328" s="250" t="n">
        <v>5.25</v>
      </c>
    </row>
    <row r="1329" customFormat="false" ht="13.8" hidden="false" customHeight="false" outlineLevel="0" collapsed="false">
      <c r="A1329" s="218"/>
      <c r="B1329" s="251"/>
      <c r="C1329" s="251"/>
      <c r="D1329" s="251"/>
      <c r="E1329" s="251"/>
      <c r="F1329" s="212" t="s">
        <v>6601</v>
      </c>
      <c r="G1329" s="212" t="n">
        <v>63</v>
      </c>
      <c r="H1329" s="212" t="s">
        <v>120</v>
      </c>
      <c r="I1329" s="250" t="n">
        <v>152.47</v>
      </c>
    </row>
    <row r="1330" customFormat="false" ht="13.8" hidden="false" customHeight="false" outlineLevel="0" collapsed="false">
      <c r="A1330" s="218"/>
      <c r="B1330" s="251"/>
      <c r="C1330" s="251"/>
      <c r="D1330" s="251"/>
      <c r="E1330" s="251"/>
      <c r="F1330" s="212" t="s">
        <v>6605</v>
      </c>
      <c r="G1330" s="212" t="n">
        <v>63</v>
      </c>
      <c r="H1330" s="212" t="s">
        <v>120</v>
      </c>
      <c r="I1330" s="250" t="n">
        <v>38.39</v>
      </c>
    </row>
    <row r="1331" customFormat="false" ht="13.8" hidden="false" customHeight="false" outlineLevel="0" collapsed="false">
      <c r="A1331" s="218"/>
      <c r="B1331" s="251"/>
      <c r="C1331" s="251"/>
      <c r="D1331" s="251"/>
      <c r="E1331" s="251"/>
      <c r="F1331" s="212" t="s">
        <v>6619</v>
      </c>
      <c r="G1331" s="212" t="n">
        <v>63</v>
      </c>
      <c r="H1331" s="212" t="s">
        <v>120</v>
      </c>
      <c r="I1331" s="250" t="n">
        <v>36.94</v>
      </c>
    </row>
    <row r="1332" customFormat="false" ht="13.8" hidden="false" customHeight="false" outlineLevel="0" collapsed="false">
      <c r="A1332" s="218"/>
      <c r="B1332" s="251"/>
      <c r="C1332" s="251"/>
      <c r="D1332" s="251"/>
      <c r="E1332" s="251"/>
      <c r="F1332" s="212" t="s">
        <v>6626</v>
      </c>
      <c r="G1332" s="212" t="n">
        <v>63</v>
      </c>
      <c r="H1332" s="212" t="s">
        <v>120</v>
      </c>
      <c r="I1332" s="250" t="n">
        <v>18.84</v>
      </c>
    </row>
    <row r="1333" customFormat="false" ht="13.8" hidden="false" customHeight="false" outlineLevel="0" collapsed="false">
      <c r="A1333" s="218"/>
      <c r="B1333" s="251"/>
      <c r="C1333" s="251"/>
      <c r="D1333" s="251"/>
      <c r="E1333" s="251"/>
      <c r="F1333" s="212" t="s">
        <v>6633</v>
      </c>
      <c r="G1333" s="212" t="n">
        <v>63</v>
      </c>
      <c r="H1333" s="212" t="s">
        <v>120</v>
      </c>
      <c r="I1333" s="250" t="n">
        <v>162.12</v>
      </c>
    </row>
    <row r="1334" customFormat="false" ht="13.8" hidden="false" customHeight="false" outlineLevel="0" collapsed="false">
      <c r="A1334" s="218"/>
      <c r="B1334" s="251"/>
      <c r="C1334" s="251"/>
      <c r="D1334" s="251"/>
      <c r="E1334" s="251"/>
      <c r="F1334" s="212" t="s">
        <v>6640</v>
      </c>
      <c r="G1334" s="212" t="n">
        <v>63</v>
      </c>
      <c r="H1334" s="212" t="s">
        <v>120</v>
      </c>
      <c r="I1334" s="250" t="n">
        <v>36.3</v>
      </c>
    </row>
    <row r="1335" customFormat="false" ht="13.8" hidden="false" customHeight="false" outlineLevel="0" collapsed="false">
      <c r="A1335" s="218"/>
      <c r="B1335" s="251"/>
      <c r="C1335" s="251"/>
      <c r="D1335" s="252"/>
      <c r="E1335" s="252"/>
      <c r="F1335" s="212" t="s">
        <v>6654</v>
      </c>
      <c r="G1335" s="212" t="n">
        <v>63</v>
      </c>
      <c r="H1335" s="212" t="s">
        <v>120</v>
      </c>
      <c r="I1335" s="250" t="n">
        <v>34.79</v>
      </c>
    </row>
    <row r="1336" customFormat="false" ht="13.8" hidden="false" customHeight="false" outlineLevel="0" collapsed="false">
      <c r="A1336" s="218"/>
      <c r="B1336" s="251"/>
      <c r="C1336" s="251"/>
      <c r="D1336" s="249" t="s">
        <v>6361</v>
      </c>
      <c r="E1336" s="249" t="s">
        <v>117</v>
      </c>
      <c r="F1336" s="212" t="s">
        <v>6360</v>
      </c>
      <c r="G1336" s="212" t="n">
        <v>63</v>
      </c>
      <c r="H1336" s="212" t="s">
        <v>120</v>
      </c>
      <c r="I1336" s="250" t="n">
        <v>55.94</v>
      </c>
    </row>
    <row r="1337" customFormat="false" ht="13.8" hidden="false" customHeight="false" outlineLevel="0" collapsed="false">
      <c r="A1337" s="218"/>
      <c r="B1337" s="251"/>
      <c r="C1337" s="251"/>
      <c r="D1337" s="251"/>
      <c r="E1337" s="251"/>
      <c r="F1337" s="212" t="s">
        <v>6366</v>
      </c>
      <c r="G1337" s="212" t="n">
        <v>63</v>
      </c>
      <c r="H1337" s="212" t="s">
        <v>120</v>
      </c>
      <c r="I1337" s="250" t="n">
        <v>205.33</v>
      </c>
    </row>
    <row r="1338" customFormat="false" ht="13.8" hidden="false" customHeight="false" outlineLevel="0" collapsed="false">
      <c r="A1338" s="218"/>
      <c r="B1338" s="251"/>
      <c r="C1338" s="251"/>
      <c r="D1338" s="251"/>
      <c r="E1338" s="251"/>
      <c r="F1338" s="212" t="s">
        <v>6369</v>
      </c>
      <c r="G1338" s="212" t="n">
        <v>90</v>
      </c>
      <c r="H1338" s="212" t="s">
        <v>120</v>
      </c>
      <c r="I1338" s="250" t="n">
        <v>21.71</v>
      </c>
    </row>
    <row r="1339" customFormat="false" ht="13.8" hidden="false" customHeight="false" outlineLevel="0" collapsed="false">
      <c r="A1339" s="218"/>
      <c r="B1339" s="251"/>
      <c r="C1339" s="251"/>
      <c r="D1339" s="251"/>
      <c r="E1339" s="251"/>
      <c r="F1339" s="212" t="s">
        <v>6372</v>
      </c>
      <c r="G1339" s="212" t="n">
        <v>63</v>
      </c>
      <c r="H1339" s="212" t="s">
        <v>120</v>
      </c>
      <c r="I1339" s="250" t="n">
        <v>70.31</v>
      </c>
    </row>
    <row r="1340" customFormat="false" ht="13.8" hidden="false" customHeight="false" outlineLevel="0" collapsed="false">
      <c r="A1340" s="218"/>
      <c r="B1340" s="251"/>
      <c r="C1340" s="251"/>
      <c r="D1340" s="252"/>
      <c r="E1340" s="252"/>
      <c r="F1340" s="212" t="s">
        <v>6375</v>
      </c>
      <c r="G1340" s="212" t="n">
        <v>63</v>
      </c>
      <c r="H1340" s="212" t="s">
        <v>120</v>
      </c>
      <c r="I1340" s="250" t="n">
        <v>248.04</v>
      </c>
    </row>
    <row r="1341" customFormat="false" ht="13.8" hidden="false" customHeight="false" outlineLevel="0" collapsed="false">
      <c r="A1341" s="218"/>
      <c r="B1341" s="251"/>
      <c r="C1341" s="251"/>
      <c r="D1341" s="212" t="s">
        <v>1956</v>
      </c>
      <c r="E1341" s="212" t="s">
        <v>117</v>
      </c>
      <c r="F1341" s="212" t="s">
        <v>6661</v>
      </c>
      <c r="G1341" s="212" t="n">
        <v>90</v>
      </c>
      <c r="H1341" s="212" t="s">
        <v>120</v>
      </c>
      <c r="I1341" s="250" t="n">
        <v>38.21</v>
      </c>
    </row>
    <row r="1342" customFormat="false" ht="13.8" hidden="false" customHeight="false" outlineLevel="0" collapsed="false">
      <c r="A1342" s="218"/>
      <c r="B1342" s="251"/>
      <c r="C1342" s="251"/>
      <c r="D1342" s="249" t="s">
        <v>6234</v>
      </c>
      <c r="E1342" s="249" t="s">
        <v>117</v>
      </c>
      <c r="F1342" s="212" t="s">
        <v>6233</v>
      </c>
      <c r="G1342" s="212" t="n">
        <v>63</v>
      </c>
      <c r="H1342" s="212" t="s">
        <v>120</v>
      </c>
      <c r="I1342" s="250" t="n">
        <v>94.28</v>
      </c>
    </row>
    <row r="1343" customFormat="false" ht="13.8" hidden="false" customHeight="false" outlineLevel="0" collapsed="false">
      <c r="A1343" s="218"/>
      <c r="B1343" s="251"/>
      <c r="C1343" s="251"/>
      <c r="D1343" s="251"/>
      <c r="E1343" s="251"/>
      <c r="F1343" s="212" t="s">
        <v>6664</v>
      </c>
      <c r="G1343" s="212" t="n">
        <v>63</v>
      </c>
      <c r="H1343" s="212" t="s">
        <v>120</v>
      </c>
      <c r="I1343" s="250" t="n">
        <v>174.98</v>
      </c>
    </row>
    <row r="1344" customFormat="false" ht="13.8" hidden="false" customHeight="false" outlineLevel="0" collapsed="false">
      <c r="A1344" s="218"/>
      <c r="B1344" s="251"/>
      <c r="C1344" s="251"/>
      <c r="D1344" s="251"/>
      <c r="E1344" s="251"/>
      <c r="F1344" s="212" t="s">
        <v>6687</v>
      </c>
      <c r="G1344" s="212" t="n">
        <v>63</v>
      </c>
      <c r="H1344" s="212" t="s">
        <v>120</v>
      </c>
      <c r="I1344" s="250" t="n">
        <v>176.46</v>
      </c>
    </row>
    <row r="1345" customFormat="false" ht="13.8" hidden="false" customHeight="false" outlineLevel="0" collapsed="false">
      <c r="A1345" s="218"/>
      <c r="B1345" s="251"/>
      <c r="C1345" s="251"/>
      <c r="D1345" s="251"/>
      <c r="E1345" s="251"/>
      <c r="F1345" s="212" t="s">
        <v>6691</v>
      </c>
      <c r="G1345" s="212" t="n">
        <v>63</v>
      </c>
      <c r="H1345" s="212" t="s">
        <v>120</v>
      </c>
      <c r="I1345" s="250" t="n">
        <v>36.22</v>
      </c>
    </row>
    <row r="1346" customFormat="false" ht="13.8" hidden="false" customHeight="false" outlineLevel="0" collapsed="false">
      <c r="A1346" s="218"/>
      <c r="B1346" s="251"/>
      <c r="C1346" s="251"/>
      <c r="D1346" s="251"/>
      <c r="E1346" s="251"/>
      <c r="F1346" s="212" t="s">
        <v>6702</v>
      </c>
      <c r="G1346" s="212" t="n">
        <v>90</v>
      </c>
      <c r="H1346" s="212" t="s">
        <v>120</v>
      </c>
      <c r="I1346" s="250" t="n">
        <v>43.7</v>
      </c>
    </row>
    <row r="1347" customFormat="false" ht="13.8" hidden="false" customHeight="false" outlineLevel="0" collapsed="false">
      <c r="A1347" s="218"/>
      <c r="B1347" s="251"/>
      <c r="C1347" s="251"/>
      <c r="D1347" s="251"/>
      <c r="E1347" s="251"/>
      <c r="F1347" s="212" t="s">
        <v>6710</v>
      </c>
      <c r="G1347" s="212" t="n">
        <v>63</v>
      </c>
      <c r="H1347" s="212" t="s">
        <v>120</v>
      </c>
      <c r="I1347" s="250" t="n">
        <v>95.65</v>
      </c>
    </row>
    <row r="1348" customFormat="false" ht="13.8" hidden="false" customHeight="false" outlineLevel="0" collapsed="false">
      <c r="A1348" s="218"/>
      <c r="B1348" s="251"/>
      <c r="C1348" s="251"/>
      <c r="D1348" s="251"/>
      <c r="E1348" s="251"/>
      <c r="F1348" s="212" t="s">
        <v>6718</v>
      </c>
      <c r="G1348" s="212" t="n">
        <v>90</v>
      </c>
      <c r="H1348" s="212" t="s">
        <v>120</v>
      </c>
      <c r="I1348" s="250" t="n">
        <v>48.54</v>
      </c>
    </row>
    <row r="1349" customFormat="false" ht="13.8" hidden="false" customHeight="false" outlineLevel="0" collapsed="false">
      <c r="A1349" s="218"/>
      <c r="B1349" s="251"/>
      <c r="C1349" s="251"/>
      <c r="D1349" s="251"/>
      <c r="E1349" s="251"/>
      <c r="F1349" s="212" t="s">
        <v>6731</v>
      </c>
      <c r="G1349" s="212" t="n">
        <v>90</v>
      </c>
      <c r="H1349" s="212" t="s">
        <v>120</v>
      </c>
      <c r="I1349" s="250" t="n">
        <v>35.93</v>
      </c>
    </row>
    <row r="1350" customFormat="false" ht="13.8" hidden="false" customHeight="false" outlineLevel="0" collapsed="false">
      <c r="A1350" s="218"/>
      <c r="B1350" s="251"/>
      <c r="C1350" s="251"/>
      <c r="D1350" s="251"/>
      <c r="E1350" s="251"/>
      <c r="F1350" s="212" t="s">
        <v>6739</v>
      </c>
      <c r="G1350" s="212" t="n">
        <v>63</v>
      </c>
      <c r="H1350" s="212" t="s">
        <v>120</v>
      </c>
      <c r="I1350" s="250" t="n">
        <v>67.33</v>
      </c>
    </row>
    <row r="1351" customFormat="false" ht="13.8" hidden="false" customHeight="false" outlineLevel="0" collapsed="false">
      <c r="A1351" s="218"/>
      <c r="B1351" s="251"/>
      <c r="C1351" s="251"/>
      <c r="D1351" s="251"/>
      <c r="E1351" s="251"/>
      <c r="F1351" s="212" t="s">
        <v>6754</v>
      </c>
      <c r="G1351" s="212" t="n">
        <v>160</v>
      </c>
      <c r="H1351" s="212" t="s">
        <v>120</v>
      </c>
      <c r="I1351" s="250" t="n">
        <v>221.56</v>
      </c>
    </row>
    <row r="1352" customFormat="false" ht="13.8" hidden="false" customHeight="false" outlineLevel="0" collapsed="false">
      <c r="A1352" s="218"/>
      <c r="B1352" s="251"/>
      <c r="C1352" s="251"/>
      <c r="D1352" s="251"/>
      <c r="E1352" s="251"/>
      <c r="F1352" s="212" t="s">
        <v>6758</v>
      </c>
      <c r="G1352" s="212" t="n">
        <v>160</v>
      </c>
      <c r="H1352" s="212" t="s">
        <v>120</v>
      </c>
      <c r="I1352" s="250" t="n">
        <v>192.62</v>
      </c>
    </row>
    <row r="1353" customFormat="false" ht="13.8" hidden="false" customHeight="false" outlineLevel="0" collapsed="false">
      <c r="A1353" s="218"/>
      <c r="B1353" s="251"/>
      <c r="C1353" s="251"/>
      <c r="D1353" s="251"/>
      <c r="E1353" s="251"/>
      <c r="F1353" s="212" t="s">
        <v>6762</v>
      </c>
      <c r="G1353" s="212" t="n">
        <v>90</v>
      </c>
      <c r="H1353" s="212" t="s">
        <v>120</v>
      </c>
      <c r="I1353" s="250" t="n">
        <v>25</v>
      </c>
    </row>
    <row r="1354" customFormat="false" ht="13.8" hidden="false" customHeight="false" outlineLevel="0" collapsed="false">
      <c r="A1354" s="218"/>
      <c r="B1354" s="251"/>
      <c r="C1354" s="251"/>
      <c r="D1354" s="251"/>
      <c r="E1354" s="251"/>
      <c r="F1354" s="212" t="s">
        <v>6766</v>
      </c>
      <c r="G1354" s="212" t="n">
        <v>160</v>
      </c>
      <c r="H1354" s="212" t="s">
        <v>120</v>
      </c>
      <c r="I1354" s="250" t="n">
        <v>1.5</v>
      </c>
    </row>
    <row r="1355" customFormat="false" ht="13.8" hidden="false" customHeight="false" outlineLevel="0" collapsed="false">
      <c r="A1355" s="218"/>
      <c r="B1355" s="251"/>
      <c r="C1355" s="251"/>
      <c r="D1355" s="251"/>
      <c r="E1355" s="251"/>
      <c r="F1355" s="212" t="s">
        <v>6779</v>
      </c>
      <c r="G1355" s="212" t="n">
        <v>160</v>
      </c>
      <c r="H1355" s="212" t="s">
        <v>120</v>
      </c>
      <c r="I1355" s="250" t="n">
        <v>11.77</v>
      </c>
    </row>
    <row r="1356" customFormat="false" ht="13.8" hidden="false" customHeight="false" outlineLevel="0" collapsed="false">
      <c r="A1356" s="218"/>
      <c r="B1356" s="251"/>
      <c r="C1356" s="251"/>
      <c r="D1356" s="251"/>
      <c r="E1356" s="251"/>
      <c r="F1356" s="212" t="s">
        <v>6781</v>
      </c>
      <c r="G1356" s="212" t="n">
        <v>160</v>
      </c>
      <c r="H1356" s="212" t="s">
        <v>120</v>
      </c>
      <c r="I1356" s="250" t="n">
        <v>13.21</v>
      </c>
    </row>
    <row r="1357" customFormat="false" ht="13.8" hidden="false" customHeight="false" outlineLevel="0" collapsed="false">
      <c r="A1357" s="218"/>
      <c r="B1357" s="251"/>
      <c r="C1357" s="251"/>
      <c r="D1357" s="252"/>
      <c r="E1357" s="252"/>
      <c r="F1357" s="212" t="s">
        <v>6970</v>
      </c>
      <c r="G1357" s="212" t="n">
        <v>160</v>
      </c>
      <c r="H1357" s="212" t="s">
        <v>120</v>
      </c>
      <c r="I1357" s="250" t="n">
        <v>27.4</v>
      </c>
    </row>
    <row r="1358" customFormat="false" ht="13.8" hidden="false" customHeight="false" outlineLevel="0" collapsed="false">
      <c r="A1358" s="218"/>
      <c r="B1358" s="251"/>
      <c r="C1358" s="251"/>
      <c r="D1358" s="249" t="s">
        <v>5541</v>
      </c>
      <c r="E1358" s="249" t="s">
        <v>117</v>
      </c>
      <c r="F1358" s="212" t="s">
        <v>6206</v>
      </c>
      <c r="G1358" s="212" t="n">
        <v>63</v>
      </c>
      <c r="H1358" s="212" t="s">
        <v>120</v>
      </c>
      <c r="I1358" s="250" t="n">
        <v>115.61</v>
      </c>
    </row>
    <row r="1359" customFormat="false" ht="13.8" hidden="false" customHeight="false" outlineLevel="0" collapsed="false">
      <c r="A1359" s="218"/>
      <c r="B1359" s="251"/>
      <c r="C1359" s="251"/>
      <c r="D1359" s="251"/>
      <c r="E1359" s="251"/>
      <c r="F1359" s="212" t="s">
        <v>6542</v>
      </c>
      <c r="G1359" s="212" t="n">
        <v>63</v>
      </c>
      <c r="H1359" s="212" t="s">
        <v>120</v>
      </c>
      <c r="I1359" s="250" t="n">
        <v>50.98</v>
      </c>
    </row>
    <row r="1360" customFormat="false" ht="13.8" hidden="false" customHeight="false" outlineLevel="0" collapsed="false">
      <c r="A1360" s="218"/>
      <c r="B1360" s="251"/>
      <c r="C1360" s="251"/>
      <c r="D1360" s="252"/>
      <c r="E1360" s="252"/>
      <c r="F1360" s="212" t="s">
        <v>6551</v>
      </c>
      <c r="G1360" s="212" t="n">
        <v>63</v>
      </c>
      <c r="H1360" s="212" t="s">
        <v>120</v>
      </c>
      <c r="I1360" s="250" t="n">
        <v>0.66</v>
      </c>
    </row>
    <row r="1361" customFormat="false" ht="13.8" hidden="false" customHeight="false" outlineLevel="0" collapsed="false">
      <c r="A1361" s="218"/>
      <c r="B1361" s="251"/>
      <c r="C1361" s="251"/>
      <c r="D1361" s="249" t="s">
        <v>2916</v>
      </c>
      <c r="E1361" s="249" t="s">
        <v>117</v>
      </c>
      <c r="F1361" s="212" t="s">
        <v>6115</v>
      </c>
      <c r="G1361" s="212" t="n">
        <v>63</v>
      </c>
      <c r="H1361" s="212" t="s">
        <v>120</v>
      </c>
      <c r="I1361" s="250" t="n">
        <v>108.43</v>
      </c>
    </row>
    <row r="1362" customFormat="false" ht="13.8" hidden="false" customHeight="false" outlineLevel="0" collapsed="false">
      <c r="A1362" s="218"/>
      <c r="B1362" s="251"/>
      <c r="C1362" s="251"/>
      <c r="D1362" s="251"/>
      <c r="E1362" s="251"/>
      <c r="F1362" s="212" t="s">
        <v>6120</v>
      </c>
      <c r="G1362" s="212" t="n">
        <v>63</v>
      </c>
      <c r="H1362" s="212" t="s">
        <v>120</v>
      </c>
      <c r="I1362" s="250" t="n">
        <v>26.75</v>
      </c>
    </row>
    <row r="1363" customFormat="false" ht="13.8" hidden="false" customHeight="false" outlineLevel="0" collapsed="false">
      <c r="A1363" s="218"/>
      <c r="B1363" s="251"/>
      <c r="C1363" s="251"/>
      <c r="D1363" s="251"/>
      <c r="E1363" s="251"/>
      <c r="F1363" s="212" t="s">
        <v>6128</v>
      </c>
      <c r="G1363" s="212" t="n">
        <v>63</v>
      </c>
      <c r="H1363" s="212" t="s">
        <v>120</v>
      </c>
      <c r="I1363" s="250" t="n">
        <v>48.88</v>
      </c>
    </row>
    <row r="1364" customFormat="false" ht="13.8" hidden="false" customHeight="false" outlineLevel="0" collapsed="false">
      <c r="A1364" s="218"/>
      <c r="B1364" s="251"/>
      <c r="C1364" s="251"/>
      <c r="D1364" s="251"/>
      <c r="E1364" s="251"/>
      <c r="F1364" s="212" t="s">
        <v>6134</v>
      </c>
      <c r="G1364" s="212" t="n">
        <v>63</v>
      </c>
      <c r="H1364" s="212" t="s">
        <v>120</v>
      </c>
      <c r="I1364" s="250" t="n">
        <v>31.15</v>
      </c>
    </row>
    <row r="1365" customFormat="false" ht="13.8" hidden="false" customHeight="false" outlineLevel="0" collapsed="false">
      <c r="A1365" s="218"/>
      <c r="B1365" s="251"/>
      <c r="C1365" s="251"/>
      <c r="D1365" s="251"/>
      <c r="E1365" s="251"/>
      <c r="F1365" s="212" t="s">
        <v>6150</v>
      </c>
      <c r="G1365" s="212" t="n">
        <v>63</v>
      </c>
      <c r="H1365" s="212" t="s">
        <v>120</v>
      </c>
      <c r="I1365" s="250" t="n">
        <v>70.53</v>
      </c>
    </row>
    <row r="1366" customFormat="false" ht="13.8" hidden="false" customHeight="false" outlineLevel="0" collapsed="false">
      <c r="A1366" s="218"/>
      <c r="B1366" s="251"/>
      <c r="C1366" s="251"/>
      <c r="D1366" s="251"/>
      <c r="E1366" s="251"/>
      <c r="F1366" s="212" t="s">
        <v>6162</v>
      </c>
      <c r="G1366" s="212" t="n">
        <v>63</v>
      </c>
      <c r="H1366" s="212" t="s">
        <v>120</v>
      </c>
      <c r="I1366" s="250" t="n">
        <v>51.74</v>
      </c>
    </row>
    <row r="1367" customFormat="false" ht="13.8" hidden="false" customHeight="false" outlineLevel="0" collapsed="false">
      <c r="A1367" s="218"/>
      <c r="B1367" s="251"/>
      <c r="C1367" s="251"/>
      <c r="D1367" s="251"/>
      <c r="E1367" s="251"/>
      <c r="F1367" s="212" t="s">
        <v>6165</v>
      </c>
      <c r="G1367" s="212" t="n">
        <v>63</v>
      </c>
      <c r="H1367" s="212" t="s">
        <v>120</v>
      </c>
      <c r="I1367" s="250" t="n">
        <v>51.9</v>
      </c>
    </row>
    <row r="1368" customFormat="false" ht="13.8" hidden="false" customHeight="false" outlineLevel="0" collapsed="false">
      <c r="A1368" s="218"/>
      <c r="B1368" s="251"/>
      <c r="C1368" s="251"/>
      <c r="D1368" s="251"/>
      <c r="E1368" s="251"/>
      <c r="F1368" s="212" t="s">
        <v>6169</v>
      </c>
      <c r="G1368" s="212" t="n">
        <v>63</v>
      </c>
      <c r="H1368" s="212" t="s">
        <v>120</v>
      </c>
      <c r="I1368" s="250" t="n">
        <v>5.56</v>
      </c>
    </row>
    <row r="1369" customFormat="false" ht="13.8" hidden="false" customHeight="false" outlineLevel="0" collapsed="false">
      <c r="A1369" s="218"/>
      <c r="B1369" s="251"/>
      <c r="C1369" s="251"/>
      <c r="D1369" s="251"/>
      <c r="E1369" s="251"/>
      <c r="F1369" s="212" t="s">
        <v>6185</v>
      </c>
      <c r="G1369" s="212" t="n">
        <v>63</v>
      </c>
      <c r="H1369" s="212" t="s">
        <v>120</v>
      </c>
      <c r="I1369" s="250" t="n">
        <v>111.59</v>
      </c>
    </row>
    <row r="1370" customFormat="false" ht="13.8" hidden="false" customHeight="false" outlineLevel="0" collapsed="false">
      <c r="A1370" s="218"/>
      <c r="B1370" s="251"/>
      <c r="C1370" s="251"/>
      <c r="D1370" s="252"/>
      <c r="E1370" s="252"/>
      <c r="F1370" s="212" t="s">
        <v>6538</v>
      </c>
      <c r="G1370" s="212" t="n">
        <v>90</v>
      </c>
      <c r="H1370" s="212" t="s">
        <v>120</v>
      </c>
      <c r="I1370" s="250" t="n">
        <v>41.47</v>
      </c>
    </row>
    <row r="1371" customFormat="false" ht="13.8" hidden="false" customHeight="false" outlineLevel="0" collapsed="false">
      <c r="A1371" s="218"/>
      <c r="B1371" s="251"/>
      <c r="C1371" s="251"/>
      <c r="D1371" s="249" t="s">
        <v>6143</v>
      </c>
      <c r="E1371" s="249" t="s">
        <v>117</v>
      </c>
      <c r="F1371" s="212" t="s">
        <v>6142</v>
      </c>
      <c r="G1371" s="212" t="n">
        <v>63</v>
      </c>
      <c r="H1371" s="212" t="s">
        <v>120</v>
      </c>
      <c r="I1371" s="250" t="n">
        <v>89.98</v>
      </c>
    </row>
    <row r="1372" customFormat="false" ht="13.8" hidden="false" customHeight="false" outlineLevel="0" collapsed="false">
      <c r="A1372" s="218"/>
      <c r="B1372" s="251"/>
      <c r="C1372" s="251"/>
      <c r="D1372" s="251"/>
      <c r="E1372" s="251"/>
      <c r="F1372" s="212" t="s">
        <v>6158</v>
      </c>
      <c r="G1372" s="212" t="n">
        <v>63</v>
      </c>
      <c r="H1372" s="212" t="s">
        <v>120</v>
      </c>
      <c r="I1372" s="250" t="n">
        <v>3.9</v>
      </c>
    </row>
    <row r="1373" customFormat="false" ht="13.8" hidden="false" customHeight="false" outlineLevel="0" collapsed="false">
      <c r="A1373" s="218"/>
      <c r="B1373" s="251"/>
      <c r="C1373" s="251"/>
      <c r="D1373" s="252"/>
      <c r="E1373" s="252"/>
      <c r="F1373" s="212" t="s">
        <v>6181</v>
      </c>
      <c r="G1373" s="212" t="n">
        <v>90</v>
      </c>
      <c r="H1373" s="212" t="s">
        <v>120</v>
      </c>
      <c r="I1373" s="250" t="n">
        <v>130.15</v>
      </c>
    </row>
    <row r="1374" customFormat="false" ht="13.8" hidden="false" customHeight="false" outlineLevel="0" collapsed="false">
      <c r="A1374" s="218"/>
      <c r="B1374" s="251"/>
      <c r="C1374" s="251"/>
      <c r="D1374" s="249" t="s">
        <v>6292</v>
      </c>
      <c r="E1374" s="249" t="s">
        <v>117</v>
      </c>
      <c r="F1374" s="212" t="s">
        <v>6291</v>
      </c>
      <c r="G1374" s="212" t="n">
        <v>63</v>
      </c>
      <c r="H1374" s="212" t="s">
        <v>120</v>
      </c>
      <c r="I1374" s="250" t="n">
        <v>133.11</v>
      </c>
    </row>
    <row r="1375" customFormat="false" ht="13.8" hidden="false" customHeight="false" outlineLevel="0" collapsed="false">
      <c r="A1375" s="218"/>
      <c r="B1375" s="251"/>
      <c r="C1375" s="251"/>
      <c r="D1375" s="251"/>
      <c r="E1375" s="251"/>
      <c r="F1375" s="212" t="s">
        <v>6305</v>
      </c>
      <c r="G1375" s="212" t="n">
        <v>63</v>
      </c>
      <c r="H1375" s="212" t="s">
        <v>120</v>
      </c>
      <c r="I1375" s="250" t="n">
        <v>46.02</v>
      </c>
    </row>
    <row r="1376" customFormat="false" ht="13.8" hidden="false" customHeight="false" outlineLevel="0" collapsed="false">
      <c r="A1376" s="218"/>
      <c r="B1376" s="251"/>
      <c r="C1376" s="251"/>
      <c r="D1376" s="251"/>
      <c r="E1376" s="251"/>
      <c r="F1376" s="212" t="s">
        <v>6308</v>
      </c>
      <c r="G1376" s="212" t="n">
        <v>90</v>
      </c>
      <c r="H1376" s="212" t="s">
        <v>120</v>
      </c>
      <c r="I1376" s="250" t="n">
        <v>49.09</v>
      </c>
    </row>
    <row r="1377" customFormat="false" ht="13.8" hidden="false" customHeight="false" outlineLevel="0" collapsed="false">
      <c r="A1377" s="218"/>
      <c r="B1377" s="251"/>
      <c r="C1377" s="251"/>
      <c r="D1377" s="251"/>
      <c r="E1377" s="251"/>
      <c r="F1377" s="212" t="s">
        <v>6312</v>
      </c>
      <c r="G1377" s="212" t="n">
        <v>63</v>
      </c>
      <c r="H1377" s="212" t="s">
        <v>120</v>
      </c>
      <c r="I1377" s="250" t="n">
        <v>46.9</v>
      </c>
    </row>
    <row r="1378" customFormat="false" ht="13.8" hidden="false" customHeight="false" outlineLevel="0" collapsed="false">
      <c r="A1378" s="218"/>
      <c r="B1378" s="251"/>
      <c r="C1378" s="251"/>
      <c r="D1378" s="251"/>
      <c r="E1378" s="251"/>
      <c r="F1378" s="212" t="s">
        <v>6319</v>
      </c>
      <c r="G1378" s="212" t="n">
        <v>63</v>
      </c>
      <c r="H1378" s="212" t="s">
        <v>120</v>
      </c>
      <c r="I1378" s="250" t="n">
        <v>51.34</v>
      </c>
    </row>
    <row r="1379" customFormat="false" ht="13.8" hidden="false" customHeight="false" outlineLevel="0" collapsed="false">
      <c r="A1379" s="218"/>
      <c r="B1379" s="251"/>
      <c r="C1379" s="251"/>
      <c r="D1379" s="251"/>
      <c r="E1379" s="251"/>
      <c r="F1379" s="212" t="s">
        <v>6819</v>
      </c>
      <c r="G1379" s="212" t="n">
        <v>63</v>
      </c>
      <c r="H1379" s="212" t="s">
        <v>120</v>
      </c>
      <c r="I1379" s="250" t="n">
        <v>46.05</v>
      </c>
    </row>
    <row r="1380" customFormat="false" ht="13.8" hidden="false" customHeight="false" outlineLevel="0" collapsed="false">
      <c r="A1380" s="218"/>
      <c r="B1380" s="251"/>
      <c r="C1380" s="251"/>
      <c r="D1380" s="251"/>
      <c r="E1380" s="251"/>
      <c r="F1380" s="212" t="s">
        <v>6825</v>
      </c>
      <c r="G1380" s="212" t="n">
        <v>63</v>
      </c>
      <c r="H1380" s="212" t="s">
        <v>120</v>
      </c>
      <c r="I1380" s="250" t="n">
        <v>48.94</v>
      </c>
    </row>
    <row r="1381" customFormat="false" ht="13.8" hidden="false" customHeight="false" outlineLevel="0" collapsed="false">
      <c r="A1381" s="218"/>
      <c r="B1381" s="251"/>
      <c r="C1381" s="251"/>
      <c r="D1381" s="251"/>
      <c r="E1381" s="251"/>
      <c r="F1381" s="212" t="s">
        <v>6829</v>
      </c>
      <c r="G1381" s="212" t="n">
        <v>63</v>
      </c>
      <c r="H1381" s="212" t="s">
        <v>120</v>
      </c>
      <c r="I1381" s="250" t="n">
        <v>49.53</v>
      </c>
    </row>
    <row r="1382" customFormat="false" ht="13.8" hidden="false" customHeight="false" outlineLevel="0" collapsed="false">
      <c r="A1382" s="218"/>
      <c r="B1382" s="251"/>
      <c r="C1382" s="251"/>
      <c r="D1382" s="251"/>
      <c r="E1382" s="251"/>
      <c r="F1382" s="212" t="s">
        <v>6832</v>
      </c>
      <c r="G1382" s="212" t="n">
        <v>63</v>
      </c>
      <c r="H1382" s="212" t="s">
        <v>120</v>
      </c>
      <c r="I1382" s="250" t="n">
        <v>49.92</v>
      </c>
    </row>
    <row r="1383" customFormat="false" ht="13.8" hidden="false" customHeight="false" outlineLevel="0" collapsed="false">
      <c r="A1383" s="218"/>
      <c r="B1383" s="251"/>
      <c r="C1383" s="251"/>
      <c r="D1383" s="251"/>
      <c r="E1383" s="251"/>
      <c r="F1383" s="212" t="s">
        <v>6841</v>
      </c>
      <c r="G1383" s="212" t="n">
        <v>63</v>
      </c>
      <c r="H1383" s="212" t="s">
        <v>120</v>
      </c>
      <c r="I1383" s="250" t="n">
        <v>135.47</v>
      </c>
    </row>
    <row r="1384" customFormat="false" ht="13.8" hidden="false" customHeight="false" outlineLevel="0" collapsed="false">
      <c r="A1384" s="218"/>
      <c r="B1384" s="251"/>
      <c r="C1384" s="251"/>
      <c r="D1384" s="251"/>
      <c r="E1384" s="251"/>
      <c r="F1384" s="212" t="s">
        <v>6846</v>
      </c>
      <c r="G1384" s="212" t="n">
        <v>63</v>
      </c>
      <c r="H1384" s="212" t="s">
        <v>120</v>
      </c>
      <c r="I1384" s="250" t="n">
        <v>48.44</v>
      </c>
    </row>
    <row r="1385" customFormat="false" ht="13.8" hidden="false" customHeight="false" outlineLevel="0" collapsed="false">
      <c r="A1385" s="218"/>
      <c r="B1385" s="251"/>
      <c r="C1385" s="251"/>
      <c r="D1385" s="251"/>
      <c r="E1385" s="251"/>
      <c r="F1385" s="212" t="s">
        <v>6850</v>
      </c>
      <c r="G1385" s="212" t="n">
        <v>63</v>
      </c>
      <c r="H1385" s="212" t="s">
        <v>120</v>
      </c>
      <c r="I1385" s="250" t="n">
        <v>55.01</v>
      </c>
    </row>
    <row r="1386" customFormat="false" ht="13.8" hidden="false" customHeight="false" outlineLevel="0" collapsed="false">
      <c r="A1386" s="218"/>
      <c r="B1386" s="251"/>
      <c r="C1386" s="251"/>
      <c r="D1386" s="251"/>
      <c r="E1386" s="251"/>
      <c r="F1386" s="212" t="s">
        <v>6853</v>
      </c>
      <c r="G1386" s="212" t="n">
        <v>63</v>
      </c>
      <c r="H1386" s="212" t="s">
        <v>120</v>
      </c>
      <c r="I1386" s="250" t="n">
        <v>45</v>
      </c>
    </row>
    <row r="1387" customFormat="false" ht="13.8" hidden="false" customHeight="false" outlineLevel="0" collapsed="false">
      <c r="A1387" s="218"/>
      <c r="B1387" s="251"/>
      <c r="C1387" s="251"/>
      <c r="D1387" s="251"/>
      <c r="E1387" s="251"/>
      <c r="F1387" s="212" t="s">
        <v>6857</v>
      </c>
      <c r="G1387" s="212" t="n">
        <v>90</v>
      </c>
      <c r="H1387" s="212" t="s">
        <v>120</v>
      </c>
      <c r="I1387" s="250" t="n">
        <v>279.31</v>
      </c>
    </row>
    <row r="1388" customFormat="false" ht="13.8" hidden="false" customHeight="false" outlineLevel="0" collapsed="false">
      <c r="A1388" s="218"/>
      <c r="B1388" s="251"/>
      <c r="C1388" s="251"/>
      <c r="D1388" s="251"/>
      <c r="E1388" s="251"/>
      <c r="F1388" s="212" t="s">
        <v>6861</v>
      </c>
      <c r="G1388" s="212" t="n">
        <v>90</v>
      </c>
      <c r="H1388" s="212" t="s">
        <v>120</v>
      </c>
      <c r="I1388" s="250" t="n">
        <v>45.82</v>
      </c>
    </row>
    <row r="1389" customFormat="false" ht="13.8" hidden="false" customHeight="false" outlineLevel="0" collapsed="false">
      <c r="A1389" s="218"/>
      <c r="B1389" s="251"/>
      <c r="C1389" s="251"/>
      <c r="D1389" s="251"/>
      <c r="E1389" s="251"/>
      <c r="F1389" s="212" t="s">
        <v>6865</v>
      </c>
      <c r="G1389" s="212" t="n">
        <v>63</v>
      </c>
      <c r="H1389" s="212" t="s">
        <v>120</v>
      </c>
      <c r="I1389" s="250" t="n">
        <v>58.75</v>
      </c>
    </row>
    <row r="1390" customFormat="false" ht="13.8" hidden="false" customHeight="false" outlineLevel="0" collapsed="false">
      <c r="A1390" s="218"/>
      <c r="B1390" s="251"/>
      <c r="C1390" s="251"/>
      <c r="D1390" s="251"/>
      <c r="E1390" s="251"/>
      <c r="F1390" s="212" t="s">
        <v>6871</v>
      </c>
      <c r="G1390" s="212" t="n">
        <v>63</v>
      </c>
      <c r="H1390" s="212" t="s">
        <v>120</v>
      </c>
      <c r="I1390" s="250" t="n">
        <v>46.69</v>
      </c>
    </row>
    <row r="1391" customFormat="false" ht="13.8" hidden="false" customHeight="false" outlineLevel="0" collapsed="false">
      <c r="A1391" s="218"/>
      <c r="B1391" s="251"/>
      <c r="C1391" s="251"/>
      <c r="D1391" s="251"/>
      <c r="E1391" s="251"/>
      <c r="F1391" s="212" t="s">
        <v>6875</v>
      </c>
      <c r="G1391" s="212" t="n">
        <v>90</v>
      </c>
      <c r="H1391" s="212" t="s">
        <v>120</v>
      </c>
      <c r="I1391" s="250" t="n">
        <v>45.44</v>
      </c>
    </row>
    <row r="1392" customFormat="false" ht="13.8" hidden="false" customHeight="false" outlineLevel="0" collapsed="false">
      <c r="A1392" s="218"/>
      <c r="B1392" s="251"/>
      <c r="C1392" s="251"/>
      <c r="D1392" s="251"/>
      <c r="E1392" s="251"/>
      <c r="F1392" s="212" t="s">
        <v>6879</v>
      </c>
      <c r="G1392" s="212" t="n">
        <v>63</v>
      </c>
      <c r="H1392" s="212" t="s">
        <v>120</v>
      </c>
      <c r="I1392" s="250" t="n">
        <v>80.26</v>
      </c>
    </row>
    <row r="1393" customFormat="false" ht="13.8" hidden="false" customHeight="false" outlineLevel="0" collapsed="false">
      <c r="A1393" s="218"/>
      <c r="B1393" s="251"/>
      <c r="C1393" s="251"/>
      <c r="D1393" s="251"/>
      <c r="E1393" s="251"/>
      <c r="F1393" s="212" t="s">
        <v>6883</v>
      </c>
      <c r="G1393" s="212" t="n">
        <v>63</v>
      </c>
      <c r="H1393" s="212" t="s">
        <v>120</v>
      </c>
      <c r="I1393" s="250" t="n">
        <v>61.07</v>
      </c>
    </row>
    <row r="1394" customFormat="false" ht="13.8" hidden="false" customHeight="false" outlineLevel="0" collapsed="false">
      <c r="A1394" s="218"/>
      <c r="B1394" s="251"/>
      <c r="C1394" s="251"/>
      <c r="D1394" s="252"/>
      <c r="E1394" s="252"/>
      <c r="F1394" s="212" t="s">
        <v>6890</v>
      </c>
      <c r="G1394" s="212" t="n">
        <v>63</v>
      </c>
      <c r="H1394" s="212" t="s">
        <v>120</v>
      </c>
      <c r="I1394" s="250" t="n">
        <v>91.64</v>
      </c>
    </row>
    <row r="1395" customFormat="false" ht="13.8" hidden="false" customHeight="false" outlineLevel="0" collapsed="false">
      <c r="A1395" s="218"/>
      <c r="B1395" s="251"/>
      <c r="C1395" s="251"/>
      <c r="D1395" s="249" t="s">
        <v>2973</v>
      </c>
      <c r="E1395" s="249" t="s">
        <v>117</v>
      </c>
      <c r="F1395" s="212" t="s">
        <v>6868</v>
      </c>
      <c r="G1395" s="212" t="n">
        <v>63</v>
      </c>
      <c r="H1395" s="212" t="s">
        <v>120</v>
      </c>
      <c r="I1395" s="250" t="n">
        <v>51.34</v>
      </c>
    </row>
    <row r="1396" customFormat="false" ht="13.8" hidden="false" customHeight="false" outlineLevel="0" collapsed="false">
      <c r="A1396" s="218"/>
      <c r="B1396" s="251"/>
      <c r="C1396" s="251"/>
      <c r="D1396" s="251"/>
      <c r="E1396" s="251"/>
      <c r="F1396" s="212" t="s">
        <v>6886</v>
      </c>
      <c r="G1396" s="212" t="n">
        <v>90</v>
      </c>
      <c r="H1396" s="212" t="s">
        <v>120</v>
      </c>
      <c r="I1396" s="250" t="n">
        <v>81.41</v>
      </c>
    </row>
    <row r="1397" customFormat="false" ht="13.8" hidden="false" customHeight="false" outlineLevel="0" collapsed="false">
      <c r="A1397" s="218"/>
      <c r="B1397" s="251"/>
      <c r="C1397" s="251"/>
      <c r="D1397" s="251"/>
      <c r="E1397" s="251"/>
      <c r="F1397" s="212" t="s">
        <v>6894</v>
      </c>
      <c r="G1397" s="212" t="n">
        <v>63</v>
      </c>
      <c r="H1397" s="212" t="s">
        <v>120</v>
      </c>
      <c r="I1397" s="250" t="n">
        <v>47.13</v>
      </c>
    </row>
    <row r="1398" customFormat="false" ht="13.8" hidden="false" customHeight="false" outlineLevel="0" collapsed="false">
      <c r="A1398" s="218"/>
      <c r="B1398" s="251"/>
      <c r="C1398" s="251"/>
      <c r="D1398" s="251"/>
      <c r="E1398" s="251"/>
      <c r="F1398" s="212" t="s">
        <v>6914</v>
      </c>
      <c r="G1398" s="212" t="n">
        <v>90</v>
      </c>
      <c r="H1398" s="212" t="s">
        <v>120</v>
      </c>
      <c r="I1398" s="250" t="n">
        <v>88.29</v>
      </c>
    </row>
    <row r="1399" customFormat="false" ht="13.8" hidden="false" customHeight="false" outlineLevel="0" collapsed="false">
      <c r="A1399" s="218"/>
      <c r="B1399" s="251"/>
      <c r="C1399" s="251"/>
      <c r="D1399" s="251"/>
      <c r="E1399" s="251"/>
      <c r="F1399" s="212" t="s">
        <v>6925</v>
      </c>
      <c r="G1399" s="212" t="n">
        <v>160</v>
      </c>
      <c r="H1399" s="212" t="s">
        <v>120</v>
      </c>
      <c r="I1399" s="250" t="n">
        <v>90.78</v>
      </c>
    </row>
    <row r="1400" customFormat="false" ht="13.8" hidden="false" customHeight="false" outlineLevel="0" collapsed="false">
      <c r="A1400" s="218"/>
      <c r="B1400" s="251"/>
      <c r="C1400" s="251"/>
      <c r="D1400" s="252"/>
      <c r="E1400" s="252"/>
      <c r="F1400" s="212" t="s">
        <v>6936</v>
      </c>
      <c r="G1400" s="212" t="n">
        <v>160</v>
      </c>
      <c r="H1400" s="212" t="s">
        <v>120</v>
      </c>
      <c r="I1400" s="250" t="n">
        <v>309.25</v>
      </c>
    </row>
    <row r="1401" customFormat="false" ht="13.8" hidden="false" customHeight="false" outlineLevel="0" collapsed="false">
      <c r="A1401" s="218"/>
      <c r="B1401" s="251"/>
      <c r="C1401" s="251"/>
      <c r="D1401" s="212" t="s">
        <v>1839</v>
      </c>
      <c r="E1401" s="212" t="s">
        <v>117</v>
      </c>
      <c r="F1401" s="212" t="s">
        <v>6897</v>
      </c>
      <c r="G1401" s="212" t="n">
        <v>63</v>
      </c>
      <c r="H1401" s="212" t="s">
        <v>120</v>
      </c>
      <c r="I1401" s="250" t="n">
        <v>182.77</v>
      </c>
    </row>
    <row r="1402" customFormat="false" ht="13.8" hidden="false" customHeight="false" outlineLevel="0" collapsed="false">
      <c r="A1402" s="218"/>
      <c r="B1402" s="251"/>
      <c r="C1402" s="251"/>
      <c r="D1402" s="249" t="s">
        <v>6546</v>
      </c>
      <c r="E1402" s="249" t="s">
        <v>117</v>
      </c>
      <c r="F1402" s="212" t="s">
        <v>6629</v>
      </c>
      <c r="G1402" s="212" t="n">
        <v>90</v>
      </c>
      <c r="H1402" s="212" t="s">
        <v>120</v>
      </c>
      <c r="I1402" s="250" t="n">
        <v>43.75</v>
      </c>
    </row>
    <row r="1403" customFormat="false" ht="13.8" hidden="false" customHeight="false" outlineLevel="0" collapsed="false">
      <c r="A1403" s="218"/>
      <c r="B1403" s="251"/>
      <c r="C1403" s="251"/>
      <c r="D1403" s="251"/>
      <c r="E1403" s="251"/>
      <c r="F1403" s="212" t="s">
        <v>6650</v>
      </c>
      <c r="G1403" s="212" t="n">
        <v>90</v>
      </c>
      <c r="H1403" s="212" t="s">
        <v>120</v>
      </c>
      <c r="I1403" s="250" t="n">
        <v>43.04</v>
      </c>
    </row>
    <row r="1404" customFormat="false" ht="13.8" hidden="false" customHeight="false" outlineLevel="0" collapsed="false">
      <c r="A1404" s="218"/>
      <c r="B1404" s="251"/>
      <c r="C1404" s="251"/>
      <c r="D1404" s="251"/>
      <c r="E1404" s="251"/>
      <c r="F1404" s="212" t="s">
        <v>6906</v>
      </c>
      <c r="G1404" s="212" t="n">
        <v>63</v>
      </c>
      <c r="H1404" s="212" t="s">
        <v>120</v>
      </c>
      <c r="I1404" s="250" t="n">
        <v>57.65</v>
      </c>
    </row>
    <row r="1405" customFormat="false" ht="13.8" hidden="false" customHeight="false" outlineLevel="0" collapsed="false">
      <c r="A1405" s="218"/>
      <c r="B1405" s="251"/>
      <c r="C1405" s="251"/>
      <c r="D1405" s="251"/>
      <c r="E1405" s="251"/>
      <c r="F1405" s="212" t="s">
        <v>6921</v>
      </c>
      <c r="G1405" s="212" t="n">
        <v>63</v>
      </c>
      <c r="H1405" s="212" t="s">
        <v>120</v>
      </c>
      <c r="I1405" s="250" t="n">
        <v>71.28</v>
      </c>
    </row>
    <row r="1406" customFormat="false" ht="13.8" hidden="false" customHeight="false" outlineLevel="0" collapsed="false">
      <c r="A1406" s="218"/>
      <c r="B1406" s="251"/>
      <c r="C1406" s="251"/>
      <c r="D1406" s="251"/>
      <c r="E1406" s="251"/>
      <c r="F1406" s="212" t="s">
        <v>6928</v>
      </c>
      <c r="G1406" s="212" t="n">
        <v>63</v>
      </c>
      <c r="H1406" s="212" t="s">
        <v>120</v>
      </c>
      <c r="I1406" s="250" t="n">
        <v>12.73</v>
      </c>
    </row>
    <row r="1407" customFormat="false" ht="13.8" hidden="false" customHeight="false" outlineLevel="0" collapsed="false">
      <c r="A1407" s="218"/>
      <c r="B1407" s="251"/>
      <c r="C1407" s="251"/>
      <c r="D1407" s="251"/>
      <c r="E1407" s="251"/>
      <c r="F1407" s="212" t="s">
        <v>6940</v>
      </c>
      <c r="G1407" s="212" t="n">
        <v>90</v>
      </c>
      <c r="H1407" s="212" t="s">
        <v>120</v>
      </c>
      <c r="I1407" s="250" t="n">
        <v>41.41</v>
      </c>
    </row>
    <row r="1408" customFormat="false" ht="13.8" hidden="false" customHeight="false" outlineLevel="0" collapsed="false">
      <c r="A1408" s="218"/>
      <c r="B1408" s="251"/>
      <c r="C1408" s="251"/>
      <c r="D1408" s="251"/>
      <c r="E1408" s="251"/>
      <c r="F1408" s="212" t="s">
        <v>6948</v>
      </c>
      <c r="G1408" s="212" t="n">
        <v>63</v>
      </c>
      <c r="H1408" s="212" t="s">
        <v>120</v>
      </c>
      <c r="I1408" s="250" t="n">
        <v>71.41</v>
      </c>
    </row>
    <row r="1409" customFormat="false" ht="13.8" hidden="false" customHeight="false" outlineLevel="0" collapsed="false">
      <c r="A1409" s="218"/>
      <c r="B1409" s="251"/>
      <c r="C1409" s="251"/>
      <c r="D1409" s="252"/>
      <c r="E1409" s="252"/>
      <c r="F1409" s="212" t="s">
        <v>6959</v>
      </c>
      <c r="G1409" s="212" t="n">
        <v>160</v>
      </c>
      <c r="H1409" s="212" t="s">
        <v>120</v>
      </c>
      <c r="I1409" s="250" t="n">
        <v>5.49</v>
      </c>
    </row>
    <row r="1410" customFormat="false" ht="13.8" hidden="false" customHeight="false" outlineLevel="0" collapsed="false">
      <c r="A1410" s="218"/>
      <c r="B1410" s="251"/>
      <c r="C1410" s="251"/>
      <c r="D1410" s="249" t="s">
        <v>6202</v>
      </c>
      <c r="E1410" s="249" t="s">
        <v>117</v>
      </c>
      <c r="F1410" s="212" t="s">
        <v>6586</v>
      </c>
      <c r="G1410" s="212" t="n">
        <v>90</v>
      </c>
      <c r="H1410" s="212" t="s">
        <v>120</v>
      </c>
      <c r="I1410" s="250" t="n">
        <v>35.03</v>
      </c>
    </row>
    <row r="1411" customFormat="false" ht="13.8" hidden="false" customHeight="false" outlineLevel="0" collapsed="false">
      <c r="A1411" s="218"/>
      <c r="B1411" s="251"/>
      <c r="C1411" s="251"/>
      <c r="D1411" s="251"/>
      <c r="E1411" s="251"/>
      <c r="F1411" s="212" t="s">
        <v>6608</v>
      </c>
      <c r="G1411" s="212" t="n">
        <v>90</v>
      </c>
      <c r="H1411" s="212" t="s">
        <v>120</v>
      </c>
      <c r="I1411" s="250" t="n">
        <v>16.66</v>
      </c>
    </row>
    <row r="1412" customFormat="false" ht="13.8" hidden="false" customHeight="false" outlineLevel="0" collapsed="false">
      <c r="A1412" s="218"/>
      <c r="B1412" s="251"/>
      <c r="C1412" s="251"/>
      <c r="D1412" s="251"/>
      <c r="E1412" s="251"/>
      <c r="F1412" s="212" t="s">
        <v>6612</v>
      </c>
      <c r="G1412" s="212" t="n">
        <v>90</v>
      </c>
      <c r="H1412" s="212" t="s">
        <v>120</v>
      </c>
      <c r="I1412" s="250" t="n">
        <v>6.96</v>
      </c>
    </row>
    <row r="1413" customFormat="false" ht="13.8" hidden="false" customHeight="false" outlineLevel="0" collapsed="false">
      <c r="A1413" s="218"/>
      <c r="B1413" s="251"/>
      <c r="C1413" s="251"/>
      <c r="D1413" s="251"/>
      <c r="E1413" s="251"/>
      <c r="F1413" s="212" t="s">
        <v>6616</v>
      </c>
      <c r="G1413" s="212" t="n">
        <v>90</v>
      </c>
      <c r="H1413" s="212" t="s">
        <v>120</v>
      </c>
      <c r="I1413" s="250" t="n">
        <v>31.99</v>
      </c>
    </row>
    <row r="1414" customFormat="false" ht="13.8" hidden="false" customHeight="false" outlineLevel="0" collapsed="false">
      <c r="A1414" s="218"/>
      <c r="B1414" s="251"/>
      <c r="C1414" s="251"/>
      <c r="D1414" s="251"/>
      <c r="E1414" s="251"/>
      <c r="F1414" s="212" t="s">
        <v>6622</v>
      </c>
      <c r="G1414" s="212" t="n">
        <v>90</v>
      </c>
      <c r="H1414" s="212" t="s">
        <v>120</v>
      </c>
      <c r="I1414" s="250" t="n">
        <v>28.57</v>
      </c>
    </row>
    <row r="1415" customFormat="false" ht="13.8" hidden="false" customHeight="false" outlineLevel="0" collapsed="false">
      <c r="A1415" s="218"/>
      <c r="B1415" s="251"/>
      <c r="C1415" s="251"/>
      <c r="D1415" s="252"/>
      <c r="E1415" s="252"/>
      <c r="F1415" s="212" t="s">
        <v>6643</v>
      </c>
      <c r="G1415" s="212" t="n">
        <v>90</v>
      </c>
      <c r="H1415" s="212" t="s">
        <v>120</v>
      </c>
      <c r="I1415" s="250" t="n">
        <v>41.32</v>
      </c>
    </row>
    <row r="1416" customFormat="false" ht="13.8" hidden="false" customHeight="false" outlineLevel="0" collapsed="false">
      <c r="A1416" s="218"/>
      <c r="B1416" s="251"/>
      <c r="C1416" s="251"/>
      <c r="D1416" s="212" t="s">
        <v>3549</v>
      </c>
      <c r="E1416" s="212" t="s">
        <v>117</v>
      </c>
      <c r="F1416" s="212" t="s">
        <v>6111</v>
      </c>
      <c r="G1416" s="212" t="n">
        <v>63</v>
      </c>
      <c r="H1416" s="212" t="s">
        <v>120</v>
      </c>
      <c r="I1416" s="250" t="n">
        <v>5.78</v>
      </c>
    </row>
    <row r="1417" customFormat="false" ht="13.8" hidden="false" customHeight="false" outlineLevel="0" collapsed="false">
      <c r="A1417" s="218"/>
      <c r="B1417" s="251"/>
      <c r="C1417" s="251"/>
      <c r="D1417" s="249" t="s">
        <v>6962</v>
      </c>
      <c r="E1417" s="249" t="s">
        <v>117</v>
      </c>
      <c r="F1417" s="212" t="s">
        <v>6961</v>
      </c>
      <c r="G1417" s="212" t="n">
        <v>90</v>
      </c>
      <c r="H1417" s="212" t="s">
        <v>120</v>
      </c>
      <c r="I1417" s="250" t="n">
        <v>50.33</v>
      </c>
    </row>
    <row r="1418" customFormat="false" ht="13.8" hidden="false" customHeight="false" outlineLevel="0" collapsed="false">
      <c r="A1418" s="218"/>
      <c r="B1418" s="251"/>
      <c r="C1418" s="251"/>
      <c r="D1418" s="251"/>
      <c r="E1418" s="251"/>
      <c r="F1418" s="212" t="s">
        <v>6965</v>
      </c>
      <c r="G1418" s="212" t="n">
        <v>160</v>
      </c>
      <c r="H1418" s="212" t="s">
        <v>120</v>
      </c>
      <c r="I1418" s="250" t="n">
        <v>95.19</v>
      </c>
    </row>
    <row r="1419" customFormat="false" ht="13.8" hidden="false" customHeight="false" outlineLevel="0" collapsed="false">
      <c r="A1419" s="218"/>
      <c r="B1419" s="251"/>
      <c r="C1419" s="251"/>
      <c r="D1419" s="252"/>
      <c r="E1419" s="252"/>
      <c r="F1419" s="212" t="s">
        <v>6968</v>
      </c>
      <c r="G1419" s="212" t="n">
        <v>160</v>
      </c>
      <c r="H1419" s="212" t="s">
        <v>120</v>
      </c>
      <c r="I1419" s="250" t="n">
        <v>94.8</v>
      </c>
    </row>
    <row r="1420" customFormat="false" ht="13.8" hidden="false" customHeight="false" outlineLevel="0" collapsed="false">
      <c r="A1420" s="218"/>
      <c r="B1420" s="251"/>
      <c r="C1420" s="251"/>
      <c r="D1420" s="249" t="s">
        <v>7055</v>
      </c>
      <c r="E1420" s="249" t="s">
        <v>117</v>
      </c>
      <c r="F1420" s="212" t="s">
        <v>6101</v>
      </c>
      <c r="G1420" s="212" t="n">
        <v>63</v>
      </c>
      <c r="H1420" s="212" t="s">
        <v>120</v>
      </c>
      <c r="I1420" s="250" t="n">
        <v>193.93</v>
      </c>
    </row>
    <row r="1421" customFormat="false" ht="13.8" hidden="false" customHeight="false" outlineLevel="0" collapsed="false">
      <c r="A1421" s="218"/>
      <c r="B1421" s="251"/>
      <c r="C1421" s="251"/>
      <c r="D1421" s="251"/>
      <c r="E1421" s="251"/>
      <c r="F1421" s="212" t="s">
        <v>6123</v>
      </c>
      <c r="G1421" s="212" t="n">
        <v>63</v>
      </c>
      <c r="H1421" s="212" t="s">
        <v>120</v>
      </c>
      <c r="I1421" s="250" t="n">
        <v>119.24</v>
      </c>
    </row>
    <row r="1422" customFormat="false" ht="13.8" hidden="false" customHeight="false" outlineLevel="0" collapsed="false">
      <c r="A1422" s="218"/>
      <c r="B1422" s="251"/>
      <c r="C1422" s="251"/>
      <c r="D1422" s="251"/>
      <c r="E1422" s="251"/>
      <c r="F1422" s="212" t="s">
        <v>6241</v>
      </c>
      <c r="G1422" s="212" t="n">
        <v>63</v>
      </c>
      <c r="H1422" s="212" t="s">
        <v>120</v>
      </c>
      <c r="I1422" s="250" t="n">
        <v>12.47</v>
      </c>
    </row>
    <row r="1423" customFormat="false" ht="13.8" hidden="false" customHeight="false" outlineLevel="0" collapsed="false">
      <c r="A1423" s="218"/>
      <c r="B1423" s="251"/>
      <c r="C1423" s="251"/>
      <c r="D1423" s="251"/>
      <c r="E1423" s="251"/>
      <c r="F1423" s="212" t="s">
        <v>6263</v>
      </c>
      <c r="G1423" s="212" t="n">
        <v>63</v>
      </c>
      <c r="H1423" s="212" t="s">
        <v>120</v>
      </c>
      <c r="I1423" s="250" t="n">
        <v>70.69</v>
      </c>
    </row>
    <row r="1424" customFormat="false" ht="13.8" hidden="false" customHeight="false" outlineLevel="0" collapsed="false">
      <c r="A1424" s="218"/>
      <c r="B1424" s="251"/>
      <c r="C1424" s="251"/>
      <c r="D1424" s="251"/>
      <c r="E1424" s="251"/>
      <c r="F1424" s="212" t="s">
        <v>6268</v>
      </c>
      <c r="G1424" s="212" t="n">
        <v>63</v>
      </c>
      <c r="H1424" s="212" t="s">
        <v>120</v>
      </c>
      <c r="I1424" s="250" t="n">
        <v>79.75</v>
      </c>
    </row>
    <row r="1425" customFormat="false" ht="13.8" hidden="false" customHeight="false" outlineLevel="0" collapsed="false">
      <c r="A1425" s="218"/>
      <c r="B1425" s="251"/>
      <c r="C1425" s="251"/>
      <c r="D1425" s="251"/>
      <c r="E1425" s="251"/>
      <c r="F1425" s="212" t="s">
        <v>6272</v>
      </c>
      <c r="G1425" s="212" t="n">
        <v>63</v>
      </c>
      <c r="H1425" s="212" t="s">
        <v>120</v>
      </c>
      <c r="I1425" s="250" t="n">
        <v>96.86</v>
      </c>
    </row>
    <row r="1426" customFormat="false" ht="13.8" hidden="false" customHeight="false" outlineLevel="0" collapsed="false">
      <c r="A1426" s="218"/>
      <c r="B1426" s="251"/>
      <c r="C1426" s="251"/>
      <c r="D1426" s="251"/>
      <c r="E1426" s="251"/>
      <c r="F1426" s="212" t="s">
        <v>6275</v>
      </c>
      <c r="G1426" s="212" t="n">
        <v>63</v>
      </c>
      <c r="H1426" s="212" t="s">
        <v>120</v>
      </c>
      <c r="I1426" s="250" t="n">
        <v>29.97</v>
      </c>
    </row>
    <row r="1427" customFormat="false" ht="13.8" hidden="false" customHeight="false" outlineLevel="0" collapsed="false">
      <c r="A1427" s="218"/>
      <c r="B1427" s="251"/>
      <c r="C1427" s="251"/>
      <c r="D1427" s="251"/>
      <c r="E1427" s="251"/>
      <c r="F1427" s="212" t="s">
        <v>6279</v>
      </c>
      <c r="G1427" s="212" t="n">
        <v>63</v>
      </c>
      <c r="H1427" s="212" t="s">
        <v>120</v>
      </c>
      <c r="I1427" s="250" t="n">
        <v>149.53</v>
      </c>
    </row>
    <row r="1428" customFormat="false" ht="13.8" hidden="false" customHeight="false" outlineLevel="0" collapsed="false">
      <c r="A1428" s="218"/>
      <c r="B1428" s="251"/>
      <c r="C1428" s="251"/>
      <c r="D1428" s="251"/>
      <c r="E1428" s="251"/>
      <c r="F1428" s="212" t="s">
        <v>6283</v>
      </c>
      <c r="G1428" s="212" t="n">
        <v>63</v>
      </c>
      <c r="H1428" s="212" t="s">
        <v>120</v>
      </c>
      <c r="I1428" s="250" t="n">
        <v>124.66</v>
      </c>
    </row>
    <row r="1429" customFormat="false" ht="13.8" hidden="false" customHeight="false" outlineLevel="0" collapsed="false">
      <c r="A1429" s="218"/>
      <c r="B1429" s="251"/>
      <c r="C1429" s="251"/>
      <c r="D1429" s="251"/>
      <c r="E1429" s="251"/>
      <c r="F1429" s="212" t="s">
        <v>6287</v>
      </c>
      <c r="G1429" s="212" t="n">
        <v>63</v>
      </c>
      <c r="H1429" s="212" t="s">
        <v>120</v>
      </c>
      <c r="I1429" s="250" t="n">
        <v>131.27</v>
      </c>
    </row>
    <row r="1430" customFormat="false" ht="13.8" hidden="false" customHeight="false" outlineLevel="0" collapsed="false">
      <c r="A1430" s="218"/>
      <c r="B1430" s="251"/>
      <c r="C1430" s="251"/>
      <c r="D1430" s="251"/>
      <c r="E1430" s="251"/>
      <c r="F1430" s="212" t="s">
        <v>6296</v>
      </c>
      <c r="G1430" s="212" t="n">
        <v>63</v>
      </c>
      <c r="H1430" s="212" t="s">
        <v>120</v>
      </c>
      <c r="I1430" s="250" t="n">
        <v>63.48</v>
      </c>
    </row>
    <row r="1431" customFormat="false" ht="13.8" hidden="false" customHeight="false" outlineLevel="0" collapsed="false">
      <c r="A1431" s="218"/>
      <c r="B1431" s="251"/>
      <c r="C1431" s="251"/>
      <c r="D1431" s="251"/>
      <c r="E1431" s="251"/>
      <c r="F1431" s="212" t="s">
        <v>6301</v>
      </c>
      <c r="G1431" s="212" t="n">
        <v>90</v>
      </c>
      <c r="H1431" s="212" t="s">
        <v>120</v>
      </c>
      <c r="I1431" s="250" t="n">
        <v>9.05</v>
      </c>
    </row>
    <row r="1432" customFormat="false" ht="13.8" hidden="false" customHeight="false" outlineLevel="0" collapsed="false">
      <c r="A1432" s="218"/>
      <c r="B1432" s="251"/>
      <c r="C1432" s="251"/>
      <c r="D1432" s="251"/>
      <c r="E1432" s="251"/>
      <c r="F1432" s="212" t="s">
        <v>6315</v>
      </c>
      <c r="G1432" s="212" t="n">
        <v>63</v>
      </c>
      <c r="H1432" s="212" t="s">
        <v>120</v>
      </c>
      <c r="I1432" s="250" t="n">
        <v>51.71</v>
      </c>
    </row>
    <row r="1433" customFormat="false" ht="13.8" hidden="false" customHeight="false" outlineLevel="0" collapsed="false">
      <c r="A1433" s="218"/>
      <c r="B1433" s="251"/>
      <c r="C1433" s="251"/>
      <c r="D1433" s="251"/>
      <c r="E1433" s="251"/>
      <c r="F1433" s="212" t="s">
        <v>6352</v>
      </c>
      <c r="G1433" s="212" t="n">
        <v>63</v>
      </c>
      <c r="H1433" s="212" t="s">
        <v>120</v>
      </c>
      <c r="I1433" s="250" t="n">
        <v>133.75</v>
      </c>
    </row>
    <row r="1434" customFormat="false" ht="13.8" hidden="false" customHeight="false" outlineLevel="0" collapsed="false">
      <c r="A1434" s="218"/>
      <c r="B1434" s="251"/>
      <c r="C1434" s="251"/>
      <c r="D1434" s="251"/>
      <c r="E1434" s="251"/>
      <c r="F1434" s="212" t="s">
        <v>6356</v>
      </c>
      <c r="G1434" s="212" t="n">
        <v>90</v>
      </c>
      <c r="H1434" s="212" t="s">
        <v>120</v>
      </c>
      <c r="I1434" s="250" t="n">
        <v>104.92</v>
      </c>
    </row>
    <row r="1435" customFormat="false" ht="13.8" hidden="false" customHeight="false" outlineLevel="0" collapsed="false">
      <c r="A1435" s="218"/>
      <c r="B1435" s="251"/>
      <c r="C1435" s="251"/>
      <c r="D1435" s="251"/>
      <c r="E1435" s="251"/>
      <c r="F1435" s="212" t="s">
        <v>6379</v>
      </c>
      <c r="G1435" s="212" t="n">
        <v>90</v>
      </c>
      <c r="H1435" s="212" t="s">
        <v>120</v>
      </c>
      <c r="I1435" s="250" t="n">
        <v>49.07</v>
      </c>
    </row>
    <row r="1436" customFormat="false" ht="13.8" hidden="false" customHeight="false" outlineLevel="0" collapsed="false">
      <c r="A1436" s="218"/>
      <c r="B1436" s="251"/>
      <c r="C1436" s="251"/>
      <c r="D1436" s="251"/>
      <c r="E1436" s="251"/>
      <c r="F1436" s="212" t="s">
        <v>6382</v>
      </c>
      <c r="G1436" s="212" t="n">
        <v>63</v>
      </c>
      <c r="H1436" s="212" t="s">
        <v>120</v>
      </c>
      <c r="I1436" s="250" t="n">
        <v>283.45</v>
      </c>
    </row>
    <row r="1437" customFormat="false" ht="13.8" hidden="false" customHeight="false" outlineLevel="0" collapsed="false">
      <c r="A1437" s="218"/>
      <c r="B1437" s="251"/>
      <c r="C1437" s="251"/>
      <c r="D1437" s="251"/>
      <c r="E1437" s="251"/>
      <c r="F1437" s="212" t="s">
        <v>6386</v>
      </c>
      <c r="G1437" s="212" t="n">
        <v>63</v>
      </c>
      <c r="H1437" s="212" t="s">
        <v>120</v>
      </c>
      <c r="I1437" s="250" t="n">
        <v>50.5</v>
      </c>
    </row>
    <row r="1438" customFormat="false" ht="13.8" hidden="false" customHeight="false" outlineLevel="0" collapsed="false">
      <c r="A1438" s="218"/>
      <c r="B1438" s="251"/>
      <c r="C1438" s="251"/>
      <c r="D1438" s="251"/>
      <c r="E1438" s="251"/>
      <c r="F1438" s="212" t="s">
        <v>6646</v>
      </c>
      <c r="G1438" s="212" t="n">
        <v>63</v>
      </c>
      <c r="H1438" s="212" t="s">
        <v>120</v>
      </c>
      <c r="I1438" s="250" t="n">
        <v>176.76</v>
      </c>
    </row>
    <row r="1439" customFormat="false" ht="13.8" hidden="false" customHeight="false" outlineLevel="0" collapsed="false">
      <c r="A1439" s="218"/>
      <c r="B1439" s="251"/>
      <c r="C1439" s="251"/>
      <c r="D1439" s="251"/>
      <c r="E1439" s="251"/>
      <c r="F1439" s="212" t="s">
        <v>6668</v>
      </c>
      <c r="G1439" s="212" t="n">
        <v>63</v>
      </c>
      <c r="H1439" s="212" t="s">
        <v>120</v>
      </c>
      <c r="I1439" s="250" t="n">
        <v>38.47</v>
      </c>
    </row>
    <row r="1440" customFormat="false" ht="13.8" hidden="false" customHeight="false" outlineLevel="0" collapsed="false">
      <c r="A1440" s="218"/>
      <c r="B1440" s="251"/>
      <c r="C1440" s="251"/>
      <c r="D1440" s="251"/>
      <c r="E1440" s="251"/>
      <c r="F1440" s="212" t="s">
        <v>6671</v>
      </c>
      <c r="G1440" s="212" t="n">
        <v>90</v>
      </c>
      <c r="H1440" s="212" t="s">
        <v>120</v>
      </c>
      <c r="I1440" s="250" t="n">
        <v>36.03</v>
      </c>
    </row>
    <row r="1441" customFormat="false" ht="13.8" hidden="false" customHeight="false" outlineLevel="0" collapsed="false">
      <c r="A1441" s="218"/>
      <c r="B1441" s="251"/>
      <c r="C1441" s="251"/>
      <c r="D1441" s="251"/>
      <c r="E1441" s="251"/>
      <c r="F1441" s="212" t="s">
        <v>6694</v>
      </c>
      <c r="G1441" s="212" t="n">
        <v>90</v>
      </c>
      <c r="H1441" s="212" t="s">
        <v>120</v>
      </c>
      <c r="I1441" s="250" t="n">
        <v>60.29</v>
      </c>
    </row>
    <row r="1442" customFormat="false" ht="13.8" hidden="false" customHeight="false" outlineLevel="0" collapsed="false">
      <c r="A1442" s="218"/>
      <c r="B1442" s="251"/>
      <c r="C1442" s="251"/>
      <c r="D1442" s="251"/>
      <c r="E1442" s="251"/>
      <c r="F1442" s="212" t="s">
        <v>6706</v>
      </c>
      <c r="G1442" s="212" t="n">
        <v>63</v>
      </c>
      <c r="H1442" s="212" t="s">
        <v>120</v>
      </c>
      <c r="I1442" s="250" t="n">
        <v>93.7</v>
      </c>
    </row>
    <row r="1443" customFormat="false" ht="13.8" hidden="false" customHeight="false" outlineLevel="0" collapsed="false">
      <c r="A1443" s="218"/>
      <c r="B1443" s="251"/>
      <c r="C1443" s="251"/>
      <c r="D1443" s="251"/>
      <c r="E1443" s="251"/>
      <c r="F1443" s="212" t="s">
        <v>6722</v>
      </c>
      <c r="G1443" s="212" t="n">
        <v>225</v>
      </c>
      <c r="H1443" s="212" t="s">
        <v>120</v>
      </c>
      <c r="I1443" s="250" t="n">
        <v>93.31</v>
      </c>
    </row>
    <row r="1444" customFormat="false" ht="13.8" hidden="false" customHeight="false" outlineLevel="0" collapsed="false">
      <c r="A1444" s="218"/>
      <c r="B1444" s="251"/>
      <c r="C1444" s="251"/>
      <c r="D1444" s="251"/>
      <c r="E1444" s="251"/>
      <c r="F1444" s="212" t="s">
        <v>6725</v>
      </c>
      <c r="G1444" s="212" t="n">
        <v>160</v>
      </c>
      <c r="H1444" s="212" t="s">
        <v>120</v>
      </c>
      <c r="I1444" s="250" t="n">
        <v>91.77</v>
      </c>
    </row>
    <row r="1445" customFormat="false" ht="13.8" hidden="false" customHeight="false" outlineLevel="0" collapsed="false">
      <c r="A1445" s="218"/>
      <c r="B1445" s="251"/>
      <c r="C1445" s="251"/>
      <c r="D1445" s="251"/>
      <c r="E1445" s="251"/>
      <c r="F1445" s="212" t="s">
        <v>6728</v>
      </c>
      <c r="G1445" s="212" t="n">
        <v>225</v>
      </c>
      <c r="H1445" s="212" t="s">
        <v>120</v>
      </c>
      <c r="I1445" s="250" t="n">
        <v>1.51</v>
      </c>
    </row>
    <row r="1446" customFormat="false" ht="13.8" hidden="false" customHeight="false" outlineLevel="0" collapsed="false">
      <c r="A1446" s="218"/>
      <c r="B1446" s="251"/>
      <c r="C1446" s="251"/>
      <c r="D1446" s="251"/>
      <c r="E1446" s="251"/>
      <c r="F1446" s="212" t="s">
        <v>6743</v>
      </c>
      <c r="G1446" s="212" t="n">
        <v>225</v>
      </c>
      <c r="H1446" s="212" t="s">
        <v>120</v>
      </c>
      <c r="I1446" s="250" t="n">
        <v>75.59</v>
      </c>
    </row>
    <row r="1447" customFormat="false" ht="13.8" hidden="false" customHeight="false" outlineLevel="0" collapsed="false">
      <c r="A1447" s="218"/>
      <c r="B1447" s="251"/>
      <c r="C1447" s="251"/>
      <c r="D1447" s="251"/>
      <c r="E1447" s="251"/>
      <c r="F1447" s="212" t="s">
        <v>6749</v>
      </c>
      <c r="G1447" s="212" t="n">
        <v>225</v>
      </c>
      <c r="H1447" s="212" t="s">
        <v>120</v>
      </c>
      <c r="I1447" s="250" t="n">
        <v>45.3</v>
      </c>
    </row>
    <row r="1448" customFormat="false" ht="13.8" hidden="false" customHeight="false" outlineLevel="0" collapsed="false">
      <c r="A1448" s="218"/>
      <c r="B1448" s="251"/>
      <c r="C1448" s="251"/>
      <c r="D1448" s="251"/>
      <c r="E1448" s="251"/>
      <c r="F1448" s="212" t="s">
        <v>6752</v>
      </c>
      <c r="G1448" s="212" t="n">
        <v>160</v>
      </c>
      <c r="H1448" s="212" t="s">
        <v>120</v>
      </c>
      <c r="I1448" s="250" t="n">
        <v>43.8</v>
      </c>
    </row>
    <row r="1449" customFormat="false" ht="13.8" hidden="false" customHeight="false" outlineLevel="0" collapsed="false">
      <c r="A1449" s="218"/>
      <c r="B1449" s="251"/>
      <c r="C1449" s="251"/>
      <c r="D1449" s="251"/>
      <c r="E1449" s="251"/>
      <c r="F1449" s="212" t="s">
        <v>6770</v>
      </c>
      <c r="G1449" s="212" t="n">
        <v>160</v>
      </c>
      <c r="H1449" s="212" t="s">
        <v>120</v>
      </c>
      <c r="I1449" s="250" t="n">
        <v>1.98</v>
      </c>
    </row>
    <row r="1450" customFormat="false" ht="13.8" hidden="false" customHeight="false" outlineLevel="0" collapsed="false">
      <c r="A1450" s="218"/>
      <c r="B1450" s="251"/>
      <c r="C1450" s="251"/>
      <c r="D1450" s="251"/>
      <c r="E1450" s="251"/>
      <c r="F1450" s="212" t="s">
        <v>6773</v>
      </c>
      <c r="G1450" s="212" t="n">
        <v>225</v>
      </c>
      <c r="H1450" s="212" t="s">
        <v>120</v>
      </c>
      <c r="I1450" s="250" t="n">
        <v>37.35</v>
      </c>
    </row>
    <row r="1451" customFormat="false" ht="13.8" hidden="false" customHeight="false" outlineLevel="0" collapsed="false">
      <c r="A1451" s="218"/>
      <c r="B1451" s="251"/>
      <c r="C1451" s="251"/>
      <c r="D1451" s="251"/>
      <c r="E1451" s="251"/>
      <c r="F1451" s="212" t="s">
        <v>6776</v>
      </c>
      <c r="G1451" s="212" t="n">
        <v>160</v>
      </c>
      <c r="H1451" s="212" t="s">
        <v>120</v>
      </c>
      <c r="I1451" s="250" t="n">
        <v>37.39</v>
      </c>
    </row>
    <row r="1452" customFormat="false" ht="13.8" hidden="false" customHeight="false" outlineLevel="0" collapsed="false">
      <c r="A1452" s="218"/>
      <c r="B1452" s="251"/>
      <c r="C1452" s="251"/>
      <c r="D1452" s="251"/>
      <c r="E1452" s="251"/>
      <c r="F1452" s="212" t="s">
        <v>6786</v>
      </c>
      <c r="G1452" s="212" t="n">
        <v>160</v>
      </c>
      <c r="H1452" s="212" t="s">
        <v>120</v>
      </c>
      <c r="I1452" s="250" t="n">
        <v>1.5</v>
      </c>
    </row>
    <row r="1453" customFormat="false" ht="13.8" hidden="false" customHeight="false" outlineLevel="0" collapsed="false">
      <c r="A1453" s="218"/>
      <c r="B1453" s="251"/>
      <c r="C1453" s="251"/>
      <c r="D1453" s="251"/>
      <c r="E1453" s="251"/>
      <c r="F1453" s="212" t="s">
        <v>6932</v>
      </c>
      <c r="G1453" s="212" t="n">
        <v>63</v>
      </c>
      <c r="H1453" s="212" t="s">
        <v>120</v>
      </c>
      <c r="I1453" s="250" t="n">
        <v>72.03</v>
      </c>
    </row>
    <row r="1454" customFormat="false" ht="13.8" hidden="false" customHeight="false" outlineLevel="0" collapsed="false">
      <c r="A1454" s="218"/>
      <c r="B1454" s="251"/>
      <c r="C1454" s="251"/>
      <c r="D1454" s="251"/>
      <c r="E1454" s="251"/>
      <c r="F1454" s="212" t="s">
        <v>6952</v>
      </c>
      <c r="G1454" s="212" t="n">
        <v>160</v>
      </c>
      <c r="H1454" s="212" t="s">
        <v>120</v>
      </c>
      <c r="I1454" s="250" t="n">
        <v>4.58</v>
      </c>
    </row>
    <row r="1455" customFormat="false" ht="13.8" hidden="false" customHeight="false" outlineLevel="0" collapsed="false">
      <c r="A1455" s="218"/>
      <c r="B1455" s="251"/>
      <c r="C1455" s="252"/>
      <c r="D1455" s="252"/>
      <c r="E1455" s="252"/>
      <c r="F1455" s="212" t="s">
        <v>6956</v>
      </c>
      <c r="G1455" s="212" t="n">
        <v>160</v>
      </c>
      <c r="H1455" s="212" t="s">
        <v>120</v>
      </c>
      <c r="I1455" s="250" t="n">
        <v>1.5</v>
      </c>
    </row>
    <row r="1456" customFormat="false" ht="13.8" hidden="false" customHeight="false" outlineLevel="0" collapsed="false">
      <c r="A1456" s="218"/>
      <c r="B1456" s="251"/>
      <c r="C1456" s="261" t="s">
        <v>7057</v>
      </c>
      <c r="D1456" s="224"/>
      <c r="E1456" s="224"/>
      <c r="F1456" s="224"/>
      <c r="G1456" s="224"/>
      <c r="H1456" s="225"/>
      <c r="I1456" s="217" t="n">
        <v>10444.46</v>
      </c>
    </row>
    <row r="1457" customFormat="false" ht="13.8" hidden="false" customHeight="false" outlineLevel="0" collapsed="false">
      <c r="A1457" s="218"/>
      <c r="B1457" s="251"/>
      <c r="C1457" s="249" t="s">
        <v>7055</v>
      </c>
      <c r="D1457" s="249" t="s">
        <v>7055</v>
      </c>
      <c r="E1457" s="249" t="s">
        <v>117</v>
      </c>
      <c r="F1457" s="212" t="s">
        <v>6106</v>
      </c>
      <c r="G1457" s="212" t="n">
        <v>63</v>
      </c>
      <c r="H1457" s="212" t="s">
        <v>120</v>
      </c>
      <c r="I1457" s="250" t="n">
        <v>218.18</v>
      </c>
    </row>
    <row r="1458" customFormat="false" ht="13.8" hidden="false" customHeight="false" outlineLevel="0" collapsed="false">
      <c r="A1458" s="218"/>
      <c r="B1458" s="251"/>
      <c r="C1458" s="251"/>
      <c r="D1458" s="251"/>
      <c r="E1458" s="251"/>
      <c r="F1458" s="212" t="s">
        <v>6131</v>
      </c>
      <c r="G1458" s="212" t="n">
        <v>63</v>
      </c>
      <c r="H1458" s="212" t="s">
        <v>120</v>
      </c>
      <c r="I1458" s="250" t="n">
        <v>61.12</v>
      </c>
    </row>
    <row r="1459" customFormat="false" ht="13.8" hidden="false" customHeight="false" outlineLevel="0" collapsed="false">
      <c r="A1459" s="218"/>
      <c r="B1459" s="251"/>
      <c r="C1459" s="251"/>
      <c r="D1459" s="251"/>
      <c r="E1459" s="251"/>
      <c r="F1459" s="212" t="s">
        <v>6255</v>
      </c>
      <c r="G1459" s="212" t="n">
        <v>63</v>
      </c>
      <c r="H1459" s="212" t="s">
        <v>120</v>
      </c>
      <c r="I1459" s="250" t="n">
        <v>169.8</v>
      </c>
    </row>
    <row r="1460" customFormat="false" ht="13.8" hidden="false" customHeight="false" outlineLevel="0" collapsed="false">
      <c r="A1460" s="218"/>
      <c r="B1460" s="251"/>
      <c r="C1460" s="251"/>
      <c r="D1460" s="251"/>
      <c r="E1460" s="251"/>
      <c r="F1460" s="212" t="s">
        <v>6675</v>
      </c>
      <c r="G1460" s="212" t="n">
        <v>110</v>
      </c>
      <c r="H1460" s="212" t="s">
        <v>120</v>
      </c>
      <c r="I1460" s="250" t="n">
        <v>176.24</v>
      </c>
    </row>
    <row r="1461" customFormat="false" ht="13.8" hidden="false" customHeight="false" outlineLevel="0" collapsed="false">
      <c r="A1461" s="218"/>
      <c r="B1461" s="251"/>
      <c r="C1461" s="251"/>
      <c r="D1461" s="251"/>
      <c r="E1461" s="251"/>
      <c r="F1461" s="212" t="s">
        <v>6714</v>
      </c>
      <c r="G1461" s="212" t="n">
        <v>225</v>
      </c>
      <c r="H1461" s="212" t="s">
        <v>120</v>
      </c>
      <c r="I1461" s="250" t="n">
        <v>1.54</v>
      </c>
    </row>
    <row r="1462" customFormat="false" ht="13.8" hidden="false" customHeight="false" outlineLevel="0" collapsed="false">
      <c r="A1462" s="218"/>
      <c r="B1462" s="251"/>
      <c r="C1462" s="251"/>
      <c r="D1462" s="251"/>
      <c r="E1462" s="251"/>
      <c r="F1462" s="212" t="s">
        <v>6747</v>
      </c>
      <c r="G1462" s="212" t="n">
        <v>160</v>
      </c>
      <c r="H1462" s="212" t="s">
        <v>120</v>
      </c>
      <c r="I1462" s="250" t="n">
        <v>75.61</v>
      </c>
    </row>
    <row r="1463" customFormat="false" ht="13.8" hidden="false" customHeight="false" outlineLevel="0" collapsed="false">
      <c r="A1463" s="218"/>
      <c r="B1463" s="251"/>
      <c r="C1463" s="252"/>
      <c r="D1463" s="252"/>
      <c r="E1463" s="252"/>
      <c r="F1463" s="212" t="s">
        <v>6944</v>
      </c>
      <c r="G1463" s="212" t="n">
        <v>63</v>
      </c>
      <c r="H1463" s="212" t="s">
        <v>120</v>
      </c>
      <c r="I1463" s="250" t="n">
        <v>87.47</v>
      </c>
    </row>
    <row r="1464" customFormat="false" ht="13.8" hidden="false" customHeight="false" outlineLevel="0" collapsed="false">
      <c r="A1464" s="222"/>
      <c r="B1464" s="252"/>
      <c r="C1464" s="261" t="s">
        <v>7060</v>
      </c>
      <c r="D1464" s="224"/>
      <c r="E1464" s="224"/>
      <c r="F1464" s="224"/>
      <c r="G1464" s="224"/>
      <c r="H1464" s="225"/>
      <c r="I1464" s="217" t="n">
        <v>789.96</v>
      </c>
    </row>
    <row r="1465" customFormat="false" ht="13.8" hidden="false" customHeight="false" outlineLevel="0" collapsed="false">
      <c r="A1465" s="229" t="s">
        <v>7025</v>
      </c>
      <c r="B1465" s="230"/>
      <c r="C1465" s="230"/>
      <c r="D1465" s="230"/>
      <c r="E1465" s="230"/>
      <c r="F1465" s="230"/>
      <c r="G1465" s="230"/>
      <c r="H1465" s="231"/>
      <c r="I1465" s="236" t="n">
        <v>110686.03</v>
      </c>
    </row>
  </sheetData>
  <printOptions headings="false" gridLines="false" gridLinesSet="true" horizontalCentered="true" verticalCentered="false"/>
  <pageMargins left="0" right="0" top="0.7875" bottom="0.7875" header="0.511811023622047" footer="0.315277777777778"/>
  <pageSetup paperSize="9" scale="60" fitToWidth="1" fitToHeight="1" pageOrder="downThenOver" orientation="portrait" blackAndWhite="false" draft="false" cellComments="none" horizontalDpi="300" verticalDpi="300" copies="1"/>
  <headerFooter differentFirst="false" differentOddEven="false">
    <oddHeader/>
    <oddFooter>&amp;L&amp;A&amp;R&amp;P -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C14" activeCellId="0" sqref="C14"/>
    </sheetView>
  </sheetViews>
  <sheetFormatPr defaultColWidth="8.6796875" defaultRowHeight="14.4" zeroHeight="false" outlineLevelRow="0" outlineLevelCol="0"/>
  <cols>
    <col collapsed="false" customWidth="true" hidden="false" outlineLevel="0" max="1" min="1" style="3" width="12.67"/>
    <col collapsed="false" customWidth="true" hidden="false" outlineLevel="0" max="2" min="2" style="263" width="20.78"/>
    <col collapsed="false" customWidth="true" hidden="false" outlineLevel="0" max="3" min="3" style="3" width="140.66"/>
    <col collapsed="false" customWidth="true" hidden="false" outlineLevel="0" max="4" min="4" style="3" width="15.78"/>
    <col collapsed="false" customWidth="true" hidden="false" outlineLevel="0" max="5" min="5" style="173" width="15.78"/>
  </cols>
  <sheetData>
    <row r="1" customFormat="false" ht="14.4" hidden="false" customHeight="true" outlineLevel="0" collapsed="false">
      <c r="A1" s="174" t="s">
        <v>7062</v>
      </c>
      <c r="B1" s="174"/>
      <c r="C1" s="174"/>
      <c r="D1" s="175" t="s">
        <v>2</v>
      </c>
      <c r="E1" s="264" t="s">
        <v>1475</v>
      </c>
    </row>
    <row r="2" customFormat="false" ht="14.4" hidden="false" customHeight="true" outlineLevel="0" collapsed="false">
      <c r="A2" s="174"/>
      <c r="B2" s="174"/>
      <c r="C2" s="174"/>
      <c r="D2" s="178" t="s">
        <v>1476</v>
      </c>
      <c r="E2" s="265" t="n">
        <v>46308</v>
      </c>
    </row>
    <row r="3" customFormat="false" ht="14.4" hidden="false" customHeight="false" outlineLevel="0" collapsed="false">
      <c r="A3" s="182" t="s">
        <v>7</v>
      </c>
      <c r="B3" s="266"/>
      <c r="C3" s="184"/>
      <c r="D3" s="186" t="s">
        <v>1477</v>
      </c>
      <c r="E3" s="267"/>
    </row>
    <row r="4" customFormat="false" ht="14.4" hidden="false" customHeight="false" outlineLevel="0" collapsed="false">
      <c r="A4" s="30" t="s">
        <v>13</v>
      </c>
      <c r="B4" s="268"/>
      <c r="C4" s="32"/>
      <c r="D4" s="269" t="s">
        <v>1478</v>
      </c>
      <c r="E4" s="260"/>
    </row>
    <row r="5" customFormat="false" ht="15" hidden="false" customHeight="true" outlineLevel="0" collapsed="false">
      <c r="A5" s="162" t="s">
        <v>7063</v>
      </c>
      <c r="B5" s="270" t="s">
        <v>810</v>
      </c>
      <c r="C5" s="271" t="s">
        <v>811</v>
      </c>
      <c r="D5" s="158" t="s">
        <v>71</v>
      </c>
      <c r="E5" s="272" t="n">
        <v>11894</v>
      </c>
    </row>
    <row r="6" customFormat="false" ht="15" hidden="false" customHeight="true" outlineLevel="0" collapsed="false">
      <c r="A6" s="162"/>
      <c r="B6" s="273"/>
      <c r="C6" s="274" t="s">
        <v>7064</v>
      </c>
      <c r="D6" s="275" t="s">
        <v>33</v>
      </c>
      <c r="E6" s="276" t="n">
        <f aca="false">SUM(E5)</f>
        <v>11894</v>
      </c>
    </row>
    <row r="7" customFormat="false" ht="15" hidden="false" customHeight="true" outlineLevel="0" collapsed="false">
      <c r="A7" s="277" t="s">
        <v>7065</v>
      </c>
      <c r="B7" s="278" t="s">
        <v>807</v>
      </c>
      <c r="C7" s="271" t="s">
        <v>808</v>
      </c>
      <c r="D7" s="158" t="s">
        <v>120</v>
      </c>
      <c r="E7" s="279" t="n">
        <v>35682</v>
      </c>
    </row>
    <row r="8" customFormat="false" ht="15" hidden="false" customHeight="true" outlineLevel="0" collapsed="false">
      <c r="A8" s="277"/>
      <c r="B8" s="278" t="s">
        <v>433</v>
      </c>
      <c r="C8" s="271" t="s">
        <v>434</v>
      </c>
      <c r="D8" s="158" t="s">
        <v>120</v>
      </c>
      <c r="E8" s="279" t="n">
        <v>5560.96</v>
      </c>
    </row>
    <row r="9" customFormat="false" ht="15" hidden="false" customHeight="true" outlineLevel="0" collapsed="false">
      <c r="A9" s="277"/>
      <c r="B9" s="278" t="s">
        <v>187</v>
      </c>
      <c r="C9" s="271" t="s">
        <v>188</v>
      </c>
      <c r="D9" s="158" t="s">
        <v>120</v>
      </c>
      <c r="E9" s="279" t="n">
        <v>70458.38</v>
      </c>
    </row>
    <row r="10" customFormat="false" ht="15" hidden="false" customHeight="true" outlineLevel="0" collapsed="false">
      <c r="A10" s="277"/>
      <c r="B10" s="278" t="s">
        <v>527</v>
      </c>
      <c r="C10" s="271" t="s">
        <v>528</v>
      </c>
      <c r="D10" s="158" t="s">
        <v>120</v>
      </c>
      <c r="E10" s="279" t="n">
        <v>7892.38</v>
      </c>
    </row>
    <row r="11" customFormat="false" ht="15" hidden="false" customHeight="true" outlineLevel="0" collapsed="false">
      <c r="A11" s="277"/>
      <c r="B11" s="278" t="s">
        <v>503</v>
      </c>
      <c r="C11" s="271" t="s">
        <v>504</v>
      </c>
      <c r="D11" s="158" t="s">
        <v>120</v>
      </c>
      <c r="E11" s="279" t="n">
        <v>8672.68</v>
      </c>
    </row>
    <row r="12" customFormat="false" ht="15" hidden="false" customHeight="true" outlineLevel="0" collapsed="false">
      <c r="A12" s="277"/>
      <c r="B12" s="278" t="s">
        <v>506</v>
      </c>
      <c r="C12" s="271" t="s">
        <v>507</v>
      </c>
      <c r="D12" s="158" t="s">
        <v>120</v>
      </c>
      <c r="E12" s="279" t="n">
        <v>13455.06</v>
      </c>
    </row>
    <row r="13" customFormat="false" ht="15" hidden="false" customHeight="true" outlineLevel="0" collapsed="false">
      <c r="A13" s="277"/>
      <c r="B13" s="278" t="s">
        <v>509</v>
      </c>
      <c r="C13" s="271" t="s">
        <v>510</v>
      </c>
      <c r="D13" s="158" t="s">
        <v>120</v>
      </c>
      <c r="E13" s="279" t="n">
        <v>4097.26</v>
      </c>
    </row>
    <row r="14" customFormat="false" ht="15" hidden="false" customHeight="true" outlineLevel="0" collapsed="false">
      <c r="A14" s="277"/>
      <c r="B14" s="278" t="s">
        <v>512</v>
      </c>
      <c r="C14" s="271" t="s">
        <v>513</v>
      </c>
      <c r="D14" s="158" t="s">
        <v>120</v>
      </c>
      <c r="E14" s="279" t="n">
        <v>1001.09</v>
      </c>
    </row>
    <row r="15" customFormat="false" ht="15" hidden="false" customHeight="true" outlineLevel="0" collapsed="false">
      <c r="A15" s="277"/>
      <c r="B15" s="278" t="s">
        <v>500</v>
      </c>
      <c r="C15" s="271" t="s">
        <v>501</v>
      </c>
      <c r="D15" s="158" t="s">
        <v>120</v>
      </c>
      <c r="E15" s="279" t="n">
        <v>463.85</v>
      </c>
    </row>
    <row r="16" customFormat="false" ht="15" hidden="false" customHeight="true" outlineLevel="0" collapsed="false">
      <c r="A16" s="277"/>
      <c r="B16" s="278" t="s">
        <v>515</v>
      </c>
      <c r="C16" s="271" t="s">
        <v>516</v>
      </c>
      <c r="D16" s="158" t="s">
        <v>120</v>
      </c>
      <c r="E16" s="279" t="n">
        <v>2450.75</v>
      </c>
    </row>
    <row r="17" customFormat="false" ht="15" hidden="false" customHeight="true" outlineLevel="0" collapsed="false">
      <c r="A17" s="277"/>
      <c r="B17" s="278" t="s">
        <v>518</v>
      </c>
      <c r="C17" s="271" t="s">
        <v>519</v>
      </c>
      <c r="D17" s="158" t="s">
        <v>120</v>
      </c>
      <c r="E17" s="279" t="n">
        <v>683.91</v>
      </c>
    </row>
    <row r="18" customFormat="false" ht="15" hidden="false" customHeight="true" outlineLevel="0" collapsed="false">
      <c r="A18" s="277"/>
      <c r="B18" s="278" t="s">
        <v>521</v>
      </c>
      <c r="C18" s="271" t="s">
        <v>522</v>
      </c>
      <c r="D18" s="158" t="s">
        <v>120</v>
      </c>
      <c r="E18" s="279" t="n">
        <v>608.93</v>
      </c>
    </row>
    <row r="19" customFormat="false" ht="15" hidden="false" customHeight="true" outlineLevel="0" collapsed="false">
      <c r="A19" s="277"/>
      <c r="B19" s="278" t="s">
        <v>524</v>
      </c>
      <c r="C19" s="271" t="s">
        <v>525</v>
      </c>
      <c r="D19" s="158" t="s">
        <v>120</v>
      </c>
      <c r="E19" s="279" t="n">
        <v>1434.91</v>
      </c>
    </row>
    <row r="20" customFormat="false" ht="15" hidden="false" customHeight="true" outlineLevel="0" collapsed="false">
      <c r="A20" s="277"/>
      <c r="B20" s="273"/>
      <c r="C20" s="274" t="s">
        <v>7066</v>
      </c>
      <c r="D20" s="275" t="s">
        <v>120</v>
      </c>
      <c r="E20" s="276" t="n">
        <f aca="false">SUM(E7:E19)</f>
        <v>152462.16</v>
      </c>
    </row>
    <row r="21" customFormat="false" ht="15" hidden="false" customHeight="true" outlineLevel="0" collapsed="false">
      <c r="A21" s="277" t="s">
        <v>7067</v>
      </c>
      <c r="B21" s="278" t="s">
        <v>602</v>
      </c>
      <c r="C21" s="271" t="s">
        <v>603</v>
      </c>
      <c r="D21" s="158" t="s">
        <v>120</v>
      </c>
      <c r="E21" s="279" t="n">
        <v>393.52</v>
      </c>
    </row>
    <row r="22" customFormat="false" ht="15" hidden="false" customHeight="true" outlineLevel="0" collapsed="false">
      <c r="A22" s="277"/>
      <c r="B22" s="278" t="s">
        <v>584</v>
      </c>
      <c r="C22" s="271" t="s">
        <v>585</v>
      </c>
      <c r="D22" s="158" t="s">
        <v>120</v>
      </c>
      <c r="E22" s="279" t="n">
        <v>294.32</v>
      </c>
    </row>
    <row r="23" customFormat="false" ht="15" hidden="false" customHeight="true" outlineLevel="0" collapsed="false">
      <c r="A23" s="277"/>
      <c r="B23" s="278" t="s">
        <v>587</v>
      </c>
      <c r="C23" s="271" t="s">
        <v>588</v>
      </c>
      <c r="D23" s="158" t="s">
        <v>120</v>
      </c>
      <c r="E23" s="279" t="n">
        <v>3318.34</v>
      </c>
    </row>
    <row r="24" customFormat="false" ht="15" hidden="false" customHeight="true" outlineLevel="0" collapsed="false">
      <c r="A24" s="277"/>
      <c r="B24" s="278" t="s">
        <v>590</v>
      </c>
      <c r="C24" s="271" t="s">
        <v>591</v>
      </c>
      <c r="D24" s="158" t="s">
        <v>120</v>
      </c>
      <c r="E24" s="279" t="n">
        <v>1384.2</v>
      </c>
    </row>
    <row r="25" customFormat="false" ht="15" hidden="false" customHeight="true" outlineLevel="0" collapsed="false">
      <c r="A25" s="277"/>
      <c r="B25" s="278" t="s">
        <v>593</v>
      </c>
      <c r="C25" s="271" t="s">
        <v>594</v>
      </c>
      <c r="D25" s="158" t="s">
        <v>120</v>
      </c>
      <c r="E25" s="279" t="n">
        <v>920.05</v>
      </c>
    </row>
    <row r="26" customFormat="false" ht="15" hidden="false" customHeight="true" outlineLevel="0" collapsed="false">
      <c r="A26" s="277"/>
      <c r="B26" s="278" t="s">
        <v>596</v>
      </c>
      <c r="C26" s="271" t="s">
        <v>597</v>
      </c>
      <c r="D26" s="158" t="s">
        <v>120</v>
      </c>
      <c r="E26" s="279" t="n">
        <v>454.75</v>
      </c>
    </row>
    <row r="27" customFormat="false" ht="15" hidden="false" customHeight="true" outlineLevel="0" collapsed="false">
      <c r="A27" s="277"/>
      <c r="B27" s="278" t="s">
        <v>599</v>
      </c>
      <c r="C27" s="271" t="s">
        <v>600</v>
      </c>
      <c r="D27" s="158" t="s">
        <v>120</v>
      </c>
      <c r="E27" s="279" t="n">
        <v>213.77</v>
      </c>
    </row>
    <row r="28" customFormat="false" ht="15" hidden="false" customHeight="true" outlineLevel="0" collapsed="false">
      <c r="A28" s="277"/>
      <c r="B28" s="280"/>
      <c r="C28" s="281" t="s">
        <v>7068</v>
      </c>
      <c r="D28" s="282" t="s">
        <v>120</v>
      </c>
      <c r="E28" s="283" t="n">
        <f aca="false">SUM(E21:E27)</f>
        <v>6978.95</v>
      </c>
    </row>
    <row r="29" customFormat="false" ht="14.4" hidden="false" customHeight="false" outlineLevel="0" collapsed="false">
      <c r="A29" s="277" t="s">
        <v>7069</v>
      </c>
    </row>
    <row r="30" customFormat="false" ht="14.4" hidden="false" customHeight="false" outlineLevel="0" collapsed="false">
      <c r="A30" s="277"/>
      <c r="B30" s="284"/>
      <c r="C30" s="285" t="s">
        <v>7070</v>
      </c>
      <c r="D30" s="286" t="s">
        <v>33</v>
      </c>
      <c r="E30" s="287" t="n">
        <f aca="false">E6</f>
        <v>11894</v>
      </c>
    </row>
    <row r="31" customFormat="false" ht="14.4" hidden="false" customHeight="false" outlineLevel="0" collapsed="false">
      <c r="A31" s="277"/>
      <c r="B31" s="288"/>
      <c r="C31" s="285" t="s">
        <v>7071</v>
      </c>
      <c r="D31" s="286" t="s">
        <v>120</v>
      </c>
      <c r="E31" s="287" t="n">
        <f aca="false">SUM(E9:E19)</f>
        <v>111219.2</v>
      </c>
    </row>
    <row r="32" customFormat="false" ht="14.4" hidden="false" customHeight="false" outlineLevel="0" collapsed="false">
      <c r="A32" s="289"/>
      <c r="B32" s="288"/>
      <c r="C32" s="285" t="s">
        <v>7072</v>
      </c>
      <c r="D32" s="286" t="s">
        <v>120</v>
      </c>
      <c r="E32" s="287" t="n">
        <f aca="false">SUM(REDE!$M:$M)</f>
        <v>110686.03</v>
      </c>
    </row>
    <row r="33" customFormat="false" ht="14.4" hidden="false" customHeight="false" outlineLevel="0" collapsed="false">
      <c r="A33" s="289"/>
    </row>
    <row r="34" customFormat="false" ht="14.4" hidden="false" customHeight="false" outlineLevel="0" collapsed="false">
      <c r="A34" s="289"/>
    </row>
    <row r="35" customFormat="false" ht="14.4" hidden="false" customHeight="false" outlineLevel="0" collapsed="false">
      <c r="A35" s="289"/>
    </row>
  </sheetData>
  <mergeCells count="5">
    <mergeCell ref="A1:C2"/>
    <mergeCell ref="A5:A6"/>
    <mergeCell ref="A7:A23"/>
    <mergeCell ref="A24:A31"/>
    <mergeCell ref="A32:A35"/>
  </mergeCells>
  <printOptions headings="false" gridLines="false" gridLinesSet="true" horizontalCentered="true" verticalCentered="false"/>
  <pageMargins left="0.196527777777778" right="0.196527777777778" top="0.7875" bottom="0.7875" header="0.511811023622047" footer="0.315277777777778"/>
  <pageSetup paperSize="77" scale="75" fitToWidth="1" fitToHeight="1" pageOrder="downThenOver" orientation="landscape" blackAndWhite="false" draft="false" cellComments="none" horizontalDpi="300" verticalDpi="300" copies="1"/>
  <headerFooter differentFirst="false" differentOddEven="false">
    <oddHeader/>
    <oddFooter>&amp;L&amp;A&amp;R&amp;P -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G16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8.6796875" defaultRowHeight="14.4" zeroHeight="false" outlineLevelRow="0" outlineLevelCol="0"/>
  <cols>
    <col collapsed="false" customWidth="true" hidden="false" outlineLevel="0" max="1" min="1" style="1" width="13.34"/>
    <col collapsed="false" customWidth="true" hidden="false" outlineLevel="0" max="2" min="2" style="1" width="11.56"/>
    <col collapsed="false" customWidth="true" hidden="false" outlineLevel="0" max="3" min="3" style="1" width="14.79"/>
    <col collapsed="false" customWidth="true" hidden="false" outlineLevel="0" max="4" min="4" style="1" width="15.66"/>
    <col collapsed="false" customWidth="true" hidden="false" outlineLevel="0" max="5" min="5" style="1" width="19.11"/>
    <col collapsed="false" customWidth="true" hidden="false" outlineLevel="0" max="6" min="6" style="1" width="35.44"/>
    <col collapsed="false" customWidth="true" hidden="false" outlineLevel="0" max="7" min="7" style="1" width="18.34"/>
    <col collapsed="false" customWidth="true" hidden="false" outlineLevel="0" max="8" min="8" style="3" width="18.22"/>
  </cols>
  <sheetData>
    <row r="3" customFormat="false" ht="14.4" hidden="false" customHeight="false" outlineLevel="0" collapsed="false">
      <c r="A3" s="247" t="s">
        <v>28</v>
      </c>
      <c r="B3" s="196" t="s">
        <v>1481</v>
      </c>
      <c r="C3" s="196" t="s">
        <v>1493</v>
      </c>
      <c r="D3" s="196" t="s">
        <v>1494</v>
      </c>
      <c r="E3" s="196" t="s">
        <v>1487</v>
      </c>
      <c r="F3" s="196" t="s">
        <v>33</v>
      </c>
      <c r="G3" s="248" t="s">
        <v>7023</v>
      </c>
    </row>
    <row r="4" customFormat="false" ht="14.4" hidden="false" customHeight="false" outlineLevel="0" collapsed="false">
      <c r="A4" s="211" t="s">
        <v>6</v>
      </c>
      <c r="B4" s="249" t="s">
        <v>2224</v>
      </c>
      <c r="C4" s="249" t="s">
        <v>1594</v>
      </c>
      <c r="D4" s="212" t="s">
        <v>6525</v>
      </c>
      <c r="E4" s="212" t="s">
        <v>6524</v>
      </c>
      <c r="F4" s="212" t="s">
        <v>120</v>
      </c>
      <c r="G4" s="250" t="n">
        <v>96.08</v>
      </c>
    </row>
    <row r="5" customFormat="false" ht="14.4" hidden="false" customHeight="false" outlineLevel="0" collapsed="false">
      <c r="A5" s="218"/>
      <c r="B5" s="251"/>
      <c r="C5" s="251"/>
      <c r="D5" s="261" t="s">
        <v>7073</v>
      </c>
      <c r="E5" s="224"/>
      <c r="F5" s="225"/>
      <c r="G5" s="217" t="n">
        <v>96.08</v>
      </c>
    </row>
    <row r="6" customFormat="false" ht="14.4" hidden="false" customHeight="false" outlineLevel="0" collapsed="false">
      <c r="A6" s="218"/>
      <c r="B6" s="251"/>
      <c r="C6" s="251"/>
      <c r="D6" s="249" t="s">
        <v>3251</v>
      </c>
      <c r="E6" s="212" t="s">
        <v>6070</v>
      </c>
      <c r="F6" s="212" t="s">
        <v>120</v>
      </c>
      <c r="G6" s="250" t="n">
        <v>13.13</v>
      </c>
    </row>
    <row r="7" customFormat="false" ht="14.4" hidden="false" customHeight="false" outlineLevel="0" collapsed="false">
      <c r="A7" s="218"/>
      <c r="B7" s="251"/>
      <c r="C7" s="251"/>
      <c r="D7" s="251"/>
      <c r="E7" s="212" t="s">
        <v>6074</v>
      </c>
      <c r="F7" s="212" t="s">
        <v>120</v>
      </c>
      <c r="G7" s="250" t="n">
        <v>15.21</v>
      </c>
    </row>
    <row r="8" customFormat="false" ht="14.4" hidden="false" customHeight="false" outlineLevel="0" collapsed="false">
      <c r="A8" s="218"/>
      <c r="B8" s="251"/>
      <c r="C8" s="251"/>
      <c r="D8" s="251"/>
      <c r="E8" s="212" t="s">
        <v>6077</v>
      </c>
      <c r="F8" s="212" t="s">
        <v>120</v>
      </c>
      <c r="G8" s="250" t="n">
        <v>137.91</v>
      </c>
    </row>
    <row r="9" customFormat="false" ht="14.4" hidden="false" customHeight="false" outlineLevel="0" collapsed="false">
      <c r="A9" s="218"/>
      <c r="B9" s="251"/>
      <c r="C9" s="251"/>
      <c r="D9" s="251"/>
      <c r="E9" s="212" t="s">
        <v>6389</v>
      </c>
      <c r="F9" s="212" t="s">
        <v>120</v>
      </c>
      <c r="G9" s="250" t="n">
        <v>23.24</v>
      </c>
    </row>
    <row r="10" customFormat="false" ht="14.4" hidden="false" customHeight="false" outlineLevel="0" collapsed="false">
      <c r="A10" s="218"/>
      <c r="B10" s="251"/>
      <c r="C10" s="251"/>
      <c r="D10" s="252"/>
      <c r="E10" s="212" t="s">
        <v>6513</v>
      </c>
      <c r="F10" s="212" t="s">
        <v>120</v>
      </c>
      <c r="G10" s="250" t="n">
        <v>42.04</v>
      </c>
    </row>
    <row r="11" customFormat="false" ht="14.4" hidden="false" customHeight="false" outlineLevel="0" collapsed="false">
      <c r="A11" s="218"/>
      <c r="B11" s="251"/>
      <c r="C11" s="251"/>
      <c r="D11" s="261" t="s">
        <v>7074</v>
      </c>
      <c r="E11" s="224"/>
      <c r="F11" s="225"/>
      <c r="G11" s="217" t="n">
        <v>231.53</v>
      </c>
    </row>
    <row r="12" customFormat="false" ht="14.4" hidden="false" customHeight="false" outlineLevel="0" collapsed="false">
      <c r="A12" s="218"/>
      <c r="B12" s="251"/>
      <c r="C12" s="251"/>
      <c r="D12" s="249" t="s">
        <v>2387</v>
      </c>
      <c r="E12" s="212" t="s">
        <v>5237</v>
      </c>
      <c r="F12" s="212" t="s">
        <v>120</v>
      </c>
      <c r="G12" s="250" t="n">
        <v>13.65</v>
      </c>
    </row>
    <row r="13" customFormat="false" ht="14.4" hidden="false" customHeight="false" outlineLevel="0" collapsed="false">
      <c r="A13" s="218"/>
      <c r="B13" s="251"/>
      <c r="C13" s="251"/>
      <c r="D13" s="251"/>
      <c r="E13" s="212" t="s">
        <v>5241</v>
      </c>
      <c r="F13" s="212" t="s">
        <v>120</v>
      </c>
      <c r="G13" s="250" t="n">
        <v>3.7</v>
      </c>
    </row>
    <row r="14" customFormat="false" ht="14.4" hidden="false" customHeight="false" outlineLevel="0" collapsed="false">
      <c r="A14" s="218"/>
      <c r="B14" s="251"/>
      <c r="C14" s="251"/>
      <c r="D14" s="251"/>
      <c r="E14" s="212" t="s">
        <v>5245</v>
      </c>
      <c r="F14" s="212" t="s">
        <v>120</v>
      </c>
      <c r="G14" s="250" t="n">
        <v>3.73</v>
      </c>
    </row>
    <row r="15" customFormat="false" ht="14.4" hidden="false" customHeight="false" outlineLevel="0" collapsed="false">
      <c r="A15" s="218"/>
      <c r="B15" s="251"/>
      <c r="C15" s="251"/>
      <c r="D15" s="251"/>
      <c r="E15" s="212" t="s">
        <v>5248</v>
      </c>
      <c r="F15" s="212" t="s">
        <v>120</v>
      </c>
      <c r="G15" s="250" t="n">
        <v>18.96</v>
      </c>
    </row>
    <row r="16" customFormat="false" ht="14.4" hidden="false" customHeight="false" outlineLevel="0" collapsed="false">
      <c r="A16" s="218"/>
      <c r="B16" s="251"/>
      <c r="C16" s="251"/>
      <c r="D16" s="251"/>
      <c r="E16" s="212" t="s">
        <v>5983</v>
      </c>
      <c r="F16" s="212" t="s">
        <v>120</v>
      </c>
      <c r="G16" s="250" t="n">
        <v>7.31</v>
      </c>
    </row>
    <row r="17" customFormat="false" ht="14.4" hidden="false" customHeight="false" outlineLevel="0" collapsed="false">
      <c r="A17" s="218"/>
      <c r="B17" s="251"/>
      <c r="C17" s="251"/>
      <c r="D17" s="252"/>
      <c r="E17" s="212" t="s">
        <v>5987</v>
      </c>
      <c r="F17" s="212" t="s">
        <v>120</v>
      </c>
      <c r="G17" s="250" t="n">
        <v>132.17</v>
      </c>
    </row>
    <row r="18" customFormat="false" ht="14.4" hidden="false" customHeight="false" outlineLevel="0" collapsed="false">
      <c r="A18" s="218"/>
      <c r="B18" s="251"/>
      <c r="C18" s="251"/>
      <c r="D18" s="261" t="s">
        <v>7075</v>
      </c>
      <c r="E18" s="224"/>
      <c r="F18" s="225"/>
      <c r="G18" s="217" t="n">
        <v>179.52</v>
      </c>
    </row>
    <row r="19" customFormat="false" ht="14.4" hidden="false" customHeight="false" outlineLevel="0" collapsed="false">
      <c r="A19" s="218"/>
      <c r="B19" s="251"/>
      <c r="C19" s="251"/>
      <c r="D19" s="212" t="s">
        <v>3516</v>
      </c>
      <c r="E19" s="212" t="s">
        <v>4824</v>
      </c>
      <c r="F19" s="212" t="s">
        <v>120</v>
      </c>
      <c r="G19" s="250" t="n">
        <v>183.65</v>
      </c>
    </row>
    <row r="20" customFormat="false" ht="14.4" hidden="false" customHeight="false" outlineLevel="0" collapsed="false">
      <c r="A20" s="218"/>
      <c r="B20" s="251"/>
      <c r="C20" s="251"/>
      <c r="D20" s="261" t="s">
        <v>7076</v>
      </c>
      <c r="E20" s="224"/>
      <c r="F20" s="225"/>
      <c r="G20" s="217" t="n">
        <v>183.65</v>
      </c>
    </row>
    <row r="21" customFormat="false" ht="14.4" hidden="false" customHeight="false" outlineLevel="0" collapsed="false">
      <c r="A21" s="218"/>
      <c r="B21" s="251"/>
      <c r="C21" s="251"/>
      <c r="D21" s="249" t="s">
        <v>2242</v>
      </c>
      <c r="E21" s="212" t="s">
        <v>2241</v>
      </c>
      <c r="F21" s="212" t="s">
        <v>120</v>
      </c>
      <c r="G21" s="250" t="n">
        <v>38.44</v>
      </c>
    </row>
    <row r="22" customFormat="false" ht="14.4" hidden="false" customHeight="false" outlineLevel="0" collapsed="false">
      <c r="A22" s="218"/>
      <c r="B22" s="251"/>
      <c r="C22" s="251"/>
      <c r="D22" s="252"/>
      <c r="E22" s="212" t="s">
        <v>4821</v>
      </c>
      <c r="F22" s="212" t="s">
        <v>120</v>
      </c>
      <c r="G22" s="250" t="n">
        <v>101.13</v>
      </c>
    </row>
    <row r="23" customFormat="false" ht="14.4" hidden="false" customHeight="false" outlineLevel="0" collapsed="false">
      <c r="A23" s="218"/>
      <c r="B23" s="251"/>
      <c r="C23" s="251"/>
      <c r="D23" s="261" t="s">
        <v>7077</v>
      </c>
      <c r="E23" s="224"/>
      <c r="F23" s="225"/>
      <c r="G23" s="217" t="n">
        <v>139.57</v>
      </c>
    </row>
    <row r="24" customFormat="false" ht="14.4" hidden="false" customHeight="false" outlineLevel="0" collapsed="false">
      <c r="A24" s="218"/>
      <c r="B24" s="251"/>
      <c r="C24" s="251"/>
      <c r="D24" s="249" t="s">
        <v>4968</v>
      </c>
      <c r="E24" s="212" t="s">
        <v>5113</v>
      </c>
      <c r="F24" s="212" t="s">
        <v>120</v>
      </c>
      <c r="G24" s="250" t="n">
        <v>1.72</v>
      </c>
    </row>
    <row r="25" customFormat="false" ht="14.4" hidden="false" customHeight="false" outlineLevel="0" collapsed="false">
      <c r="A25" s="218"/>
      <c r="B25" s="251"/>
      <c r="C25" s="251"/>
      <c r="D25" s="252"/>
      <c r="E25" s="212" t="s">
        <v>5116</v>
      </c>
      <c r="F25" s="212" t="s">
        <v>120</v>
      </c>
      <c r="G25" s="250" t="n">
        <v>530.78</v>
      </c>
    </row>
    <row r="26" customFormat="false" ht="14.4" hidden="false" customHeight="false" outlineLevel="0" collapsed="false">
      <c r="A26" s="218"/>
      <c r="B26" s="251"/>
      <c r="C26" s="251"/>
      <c r="D26" s="261" t="s">
        <v>7078</v>
      </c>
      <c r="E26" s="224"/>
      <c r="F26" s="225"/>
      <c r="G26" s="217" t="n">
        <v>532.5</v>
      </c>
    </row>
    <row r="27" customFormat="false" ht="14.4" hidden="false" customHeight="false" outlineLevel="0" collapsed="false">
      <c r="A27" s="218"/>
      <c r="B27" s="251"/>
      <c r="C27" s="251"/>
      <c r="D27" s="249" t="s">
        <v>3788</v>
      </c>
      <c r="E27" s="212" t="s">
        <v>3794</v>
      </c>
      <c r="F27" s="212" t="s">
        <v>120</v>
      </c>
      <c r="G27" s="250" t="n">
        <v>193.56</v>
      </c>
    </row>
    <row r="28" customFormat="false" ht="14.4" hidden="false" customHeight="false" outlineLevel="0" collapsed="false">
      <c r="A28" s="218"/>
      <c r="B28" s="251"/>
      <c r="C28" s="251"/>
      <c r="D28" s="252"/>
      <c r="E28" s="212" t="s">
        <v>3802</v>
      </c>
      <c r="F28" s="212" t="s">
        <v>120</v>
      </c>
      <c r="G28" s="250" t="n">
        <v>419.47</v>
      </c>
    </row>
    <row r="29" customFormat="false" ht="14.4" hidden="false" customHeight="false" outlineLevel="0" collapsed="false">
      <c r="A29" s="218"/>
      <c r="B29" s="251"/>
      <c r="C29" s="251"/>
      <c r="D29" s="261" t="s">
        <v>7079</v>
      </c>
      <c r="E29" s="224"/>
      <c r="F29" s="225"/>
      <c r="G29" s="217" t="n">
        <v>613.03</v>
      </c>
    </row>
    <row r="30" customFormat="false" ht="14.4" hidden="false" customHeight="false" outlineLevel="0" collapsed="false">
      <c r="A30" s="218"/>
      <c r="B30" s="251"/>
      <c r="C30" s="251"/>
      <c r="D30" s="212" t="s">
        <v>4452</v>
      </c>
      <c r="E30" s="212" t="s">
        <v>4450</v>
      </c>
      <c r="F30" s="212" t="s">
        <v>120</v>
      </c>
      <c r="G30" s="250" t="n">
        <v>539.54</v>
      </c>
    </row>
    <row r="31" customFormat="false" ht="14.4" hidden="false" customHeight="false" outlineLevel="0" collapsed="false">
      <c r="A31" s="218"/>
      <c r="B31" s="251"/>
      <c r="C31" s="251"/>
      <c r="D31" s="261" t="s">
        <v>7080</v>
      </c>
      <c r="E31" s="224"/>
      <c r="F31" s="225"/>
      <c r="G31" s="217" t="n">
        <v>539.54</v>
      </c>
    </row>
    <row r="32" customFormat="false" ht="14.4" hidden="false" customHeight="false" outlineLevel="0" collapsed="false">
      <c r="A32" s="218"/>
      <c r="B32" s="251"/>
      <c r="C32" s="251"/>
      <c r="D32" s="212" t="s">
        <v>2237</v>
      </c>
      <c r="E32" s="212" t="s">
        <v>2236</v>
      </c>
      <c r="F32" s="212" t="s">
        <v>120</v>
      </c>
      <c r="G32" s="250" t="n">
        <v>9.11</v>
      </c>
    </row>
    <row r="33" customFormat="false" ht="14.4" hidden="false" customHeight="false" outlineLevel="0" collapsed="false">
      <c r="A33" s="218"/>
      <c r="B33" s="251"/>
      <c r="C33" s="251"/>
      <c r="D33" s="261" t="s">
        <v>7081</v>
      </c>
      <c r="E33" s="224"/>
      <c r="F33" s="225"/>
      <c r="G33" s="217" t="n">
        <v>9.11</v>
      </c>
    </row>
    <row r="34" customFormat="false" ht="14.4" hidden="false" customHeight="false" outlineLevel="0" collapsed="false">
      <c r="A34" s="218"/>
      <c r="B34" s="251"/>
      <c r="C34" s="251"/>
      <c r="D34" s="212" t="s">
        <v>4828</v>
      </c>
      <c r="E34" s="212" t="s">
        <v>4827</v>
      </c>
      <c r="F34" s="212" t="s">
        <v>120</v>
      </c>
      <c r="G34" s="250" t="n">
        <v>136.91</v>
      </c>
    </row>
    <row r="35" customFormat="false" ht="14.4" hidden="false" customHeight="false" outlineLevel="0" collapsed="false">
      <c r="A35" s="218"/>
      <c r="B35" s="251"/>
      <c r="C35" s="251"/>
      <c r="D35" s="261" t="s">
        <v>7082</v>
      </c>
      <c r="E35" s="224"/>
      <c r="F35" s="225"/>
      <c r="G35" s="217" t="n">
        <v>136.91</v>
      </c>
    </row>
    <row r="36" customFormat="false" ht="14.4" hidden="false" customHeight="false" outlineLevel="0" collapsed="false">
      <c r="A36" s="218"/>
      <c r="B36" s="251"/>
      <c r="C36" s="251"/>
      <c r="D36" s="249" t="s">
        <v>7055</v>
      </c>
      <c r="E36" s="212" t="s">
        <v>2225</v>
      </c>
      <c r="F36" s="212" t="s">
        <v>120</v>
      </c>
      <c r="G36" s="250" t="n">
        <v>157.36</v>
      </c>
    </row>
    <row r="37" customFormat="false" ht="14.4" hidden="false" customHeight="false" outlineLevel="0" collapsed="false">
      <c r="A37" s="218"/>
      <c r="B37" s="251"/>
      <c r="C37" s="251"/>
      <c r="D37" s="251"/>
      <c r="E37" s="212" t="s">
        <v>2245</v>
      </c>
      <c r="F37" s="212" t="s">
        <v>120</v>
      </c>
      <c r="G37" s="250" t="n">
        <v>217.08</v>
      </c>
    </row>
    <row r="38" customFormat="false" ht="14.4" hidden="false" customHeight="false" outlineLevel="0" collapsed="false">
      <c r="A38" s="218"/>
      <c r="B38" s="251"/>
      <c r="C38" s="251"/>
      <c r="D38" s="251"/>
      <c r="E38" s="212" t="s">
        <v>2486</v>
      </c>
      <c r="F38" s="212" t="s">
        <v>120</v>
      </c>
      <c r="G38" s="250" t="n">
        <v>11.6</v>
      </c>
    </row>
    <row r="39" customFormat="false" ht="14.4" hidden="false" customHeight="false" outlineLevel="0" collapsed="false">
      <c r="A39" s="218"/>
      <c r="B39" s="251"/>
      <c r="C39" s="251"/>
      <c r="D39" s="251"/>
      <c r="E39" s="212" t="s">
        <v>4806</v>
      </c>
      <c r="F39" s="212" t="s">
        <v>120</v>
      </c>
      <c r="G39" s="250" t="n">
        <v>10.66</v>
      </c>
    </row>
    <row r="40" customFormat="false" ht="14.4" hidden="false" customHeight="false" outlineLevel="0" collapsed="false">
      <c r="A40" s="218"/>
      <c r="B40" s="251"/>
      <c r="C40" s="251"/>
      <c r="D40" s="251"/>
      <c r="E40" s="212" t="s">
        <v>4809</v>
      </c>
      <c r="F40" s="212" t="s">
        <v>120</v>
      </c>
      <c r="G40" s="250" t="n">
        <v>1.95</v>
      </c>
    </row>
    <row r="41" customFormat="false" ht="14.4" hidden="false" customHeight="false" outlineLevel="0" collapsed="false">
      <c r="A41" s="218"/>
      <c r="B41" s="251"/>
      <c r="C41" s="251"/>
      <c r="D41" s="251"/>
      <c r="E41" s="212" t="s">
        <v>4813</v>
      </c>
      <c r="F41" s="212" t="s">
        <v>120</v>
      </c>
      <c r="G41" s="250" t="n">
        <v>17.65</v>
      </c>
    </row>
    <row r="42" customFormat="false" ht="14.4" hidden="false" customHeight="false" outlineLevel="0" collapsed="false">
      <c r="A42" s="218"/>
      <c r="B42" s="251"/>
      <c r="C42" s="251"/>
      <c r="D42" s="251"/>
      <c r="E42" s="212" t="s">
        <v>4817</v>
      </c>
      <c r="F42" s="212" t="s">
        <v>120</v>
      </c>
      <c r="G42" s="250" t="n">
        <v>2.69</v>
      </c>
    </row>
    <row r="43" customFormat="false" ht="14.4" hidden="false" customHeight="false" outlineLevel="0" collapsed="false">
      <c r="A43" s="218"/>
      <c r="B43" s="251"/>
      <c r="C43" s="251"/>
      <c r="D43" s="251"/>
      <c r="E43" s="212" t="s">
        <v>6529</v>
      </c>
      <c r="F43" s="212" t="s">
        <v>120</v>
      </c>
      <c r="G43" s="250" t="n">
        <v>293.89</v>
      </c>
    </row>
    <row r="44" customFormat="false" ht="14.4" hidden="false" customHeight="false" outlineLevel="0" collapsed="false">
      <c r="A44" s="218"/>
      <c r="B44" s="251"/>
      <c r="C44" s="251"/>
      <c r="D44" s="251"/>
      <c r="E44" s="212" t="s">
        <v>6533</v>
      </c>
      <c r="F44" s="212" t="s">
        <v>120</v>
      </c>
      <c r="G44" s="250" t="n">
        <v>13.13</v>
      </c>
    </row>
    <row r="45" customFormat="false" ht="14.4" hidden="false" customHeight="false" outlineLevel="0" collapsed="false">
      <c r="A45" s="218"/>
      <c r="B45" s="251"/>
      <c r="C45" s="251"/>
      <c r="D45" s="252"/>
      <c r="E45" s="212" t="s">
        <v>6536</v>
      </c>
      <c r="F45" s="212" t="s">
        <v>120</v>
      </c>
      <c r="G45" s="250" t="n">
        <v>2.4</v>
      </c>
    </row>
    <row r="46" customFormat="false" ht="14.4" hidden="false" customHeight="false" outlineLevel="0" collapsed="false">
      <c r="A46" s="218"/>
      <c r="B46" s="251"/>
      <c r="C46" s="252"/>
      <c r="D46" s="261" t="s">
        <v>7060</v>
      </c>
      <c r="E46" s="224"/>
      <c r="F46" s="225"/>
      <c r="G46" s="217" t="n">
        <v>728.41</v>
      </c>
    </row>
    <row r="47" customFormat="false" ht="14.4" hidden="false" customHeight="false" outlineLevel="0" collapsed="false">
      <c r="A47" s="218"/>
      <c r="B47" s="251"/>
      <c r="C47" s="249" t="s">
        <v>3938</v>
      </c>
      <c r="D47" s="249" t="s">
        <v>2117</v>
      </c>
      <c r="E47" s="212" t="s">
        <v>4290</v>
      </c>
      <c r="F47" s="212" t="s">
        <v>120</v>
      </c>
      <c r="G47" s="250" t="n">
        <v>296.99</v>
      </c>
    </row>
    <row r="48" customFormat="false" ht="14.4" hidden="false" customHeight="false" outlineLevel="0" collapsed="false">
      <c r="A48" s="218"/>
      <c r="B48" s="251"/>
      <c r="C48" s="251"/>
      <c r="D48" s="251"/>
      <c r="E48" s="212" t="s">
        <v>4529</v>
      </c>
      <c r="F48" s="212" t="s">
        <v>120</v>
      </c>
      <c r="G48" s="250" t="n">
        <v>593.72</v>
      </c>
    </row>
    <row r="49" customFormat="false" ht="14.4" hidden="false" customHeight="false" outlineLevel="0" collapsed="false">
      <c r="A49" s="218"/>
      <c r="B49" s="251"/>
      <c r="C49" s="251"/>
      <c r="D49" s="252"/>
      <c r="E49" s="212" t="s">
        <v>4722</v>
      </c>
      <c r="F49" s="212" t="s">
        <v>120</v>
      </c>
      <c r="G49" s="250" t="n">
        <v>837.32</v>
      </c>
    </row>
    <row r="50" customFormat="false" ht="14.4" hidden="false" customHeight="false" outlineLevel="0" collapsed="false">
      <c r="A50" s="218"/>
      <c r="B50" s="251"/>
      <c r="C50" s="251"/>
      <c r="D50" s="261" t="s">
        <v>7083</v>
      </c>
      <c r="E50" s="224"/>
      <c r="F50" s="225"/>
      <c r="G50" s="217" t="n">
        <v>1728.03</v>
      </c>
    </row>
    <row r="51" customFormat="false" ht="14.4" hidden="false" customHeight="false" outlineLevel="0" collapsed="false">
      <c r="A51" s="218"/>
      <c r="B51" s="251"/>
      <c r="C51" s="251"/>
      <c r="D51" s="212" t="s">
        <v>6521</v>
      </c>
      <c r="E51" s="212" t="s">
        <v>6520</v>
      </c>
      <c r="F51" s="212" t="s">
        <v>120</v>
      </c>
      <c r="G51" s="250" t="n">
        <v>247.17</v>
      </c>
    </row>
    <row r="52" customFormat="false" ht="14.4" hidden="false" customHeight="false" outlineLevel="0" collapsed="false">
      <c r="A52" s="218"/>
      <c r="B52" s="252"/>
      <c r="C52" s="252"/>
      <c r="D52" s="261" t="s">
        <v>7084</v>
      </c>
      <c r="E52" s="224"/>
      <c r="F52" s="225"/>
      <c r="G52" s="217" t="n">
        <v>247.17</v>
      </c>
    </row>
    <row r="53" customFormat="false" ht="14.4" hidden="false" customHeight="false" outlineLevel="0" collapsed="false">
      <c r="A53" s="218"/>
      <c r="B53" s="249" t="s">
        <v>1547</v>
      </c>
      <c r="C53" s="249" t="s">
        <v>1759</v>
      </c>
      <c r="D53" s="249" t="s">
        <v>7055</v>
      </c>
      <c r="E53" s="212" t="s">
        <v>1758</v>
      </c>
      <c r="F53" s="212" t="s">
        <v>120</v>
      </c>
      <c r="G53" s="250" t="n">
        <v>47.06</v>
      </c>
    </row>
    <row r="54" customFormat="false" ht="14.4" hidden="false" customHeight="false" outlineLevel="0" collapsed="false">
      <c r="A54" s="218"/>
      <c r="B54" s="251"/>
      <c r="C54" s="251"/>
      <c r="D54" s="252"/>
      <c r="E54" s="212" t="s">
        <v>1768</v>
      </c>
      <c r="F54" s="212" t="s">
        <v>120</v>
      </c>
      <c r="G54" s="250" t="n">
        <v>0.59</v>
      </c>
    </row>
    <row r="55" customFormat="false" ht="14.4" hidden="false" customHeight="false" outlineLevel="0" collapsed="false">
      <c r="A55" s="218"/>
      <c r="B55" s="251"/>
      <c r="C55" s="252"/>
      <c r="D55" s="261" t="s">
        <v>7060</v>
      </c>
      <c r="E55" s="224"/>
      <c r="F55" s="225"/>
      <c r="G55" s="217" t="n">
        <v>47.65</v>
      </c>
    </row>
    <row r="56" customFormat="false" ht="14.4" hidden="false" customHeight="false" outlineLevel="0" collapsed="false">
      <c r="A56" s="218"/>
      <c r="B56" s="251"/>
      <c r="C56" s="249" t="s">
        <v>1556</v>
      </c>
      <c r="D56" s="249" t="s">
        <v>1772</v>
      </c>
      <c r="E56" s="212" t="s">
        <v>1771</v>
      </c>
      <c r="F56" s="212" t="s">
        <v>120</v>
      </c>
      <c r="G56" s="250" t="n">
        <v>144.02</v>
      </c>
    </row>
    <row r="57" customFormat="false" ht="14.4" hidden="false" customHeight="false" outlineLevel="0" collapsed="false">
      <c r="A57" s="218"/>
      <c r="B57" s="251"/>
      <c r="C57" s="251"/>
      <c r="D57" s="251"/>
      <c r="E57" s="212" t="s">
        <v>1786</v>
      </c>
      <c r="F57" s="212" t="s">
        <v>120</v>
      </c>
      <c r="G57" s="250" t="n">
        <v>146.23</v>
      </c>
    </row>
    <row r="58" customFormat="false" ht="14.4" hidden="false" customHeight="false" outlineLevel="0" collapsed="false">
      <c r="A58" s="218"/>
      <c r="B58" s="251"/>
      <c r="C58" s="251"/>
      <c r="D58" s="251"/>
      <c r="E58" s="212" t="s">
        <v>1794</v>
      </c>
      <c r="F58" s="212" t="s">
        <v>120</v>
      </c>
      <c r="G58" s="250" t="n">
        <v>2.47</v>
      </c>
    </row>
    <row r="59" customFormat="false" ht="14.4" hidden="false" customHeight="false" outlineLevel="0" collapsed="false">
      <c r="A59" s="218"/>
      <c r="B59" s="251"/>
      <c r="C59" s="251"/>
      <c r="D59" s="251"/>
      <c r="E59" s="212" t="s">
        <v>1801</v>
      </c>
      <c r="F59" s="212" t="s">
        <v>120</v>
      </c>
      <c r="G59" s="250" t="n">
        <v>43.36</v>
      </c>
    </row>
    <row r="60" customFormat="false" ht="14.4" hidden="false" customHeight="false" outlineLevel="0" collapsed="false">
      <c r="A60" s="218"/>
      <c r="B60" s="251"/>
      <c r="C60" s="251"/>
      <c r="D60" s="251"/>
      <c r="E60" s="212" t="s">
        <v>1824</v>
      </c>
      <c r="F60" s="212" t="s">
        <v>120</v>
      </c>
      <c r="G60" s="250" t="n">
        <v>230.72</v>
      </c>
    </row>
    <row r="61" customFormat="false" ht="14.4" hidden="false" customHeight="false" outlineLevel="0" collapsed="false">
      <c r="A61" s="218"/>
      <c r="B61" s="251"/>
      <c r="C61" s="251"/>
      <c r="D61" s="251"/>
      <c r="E61" s="212" t="s">
        <v>1843</v>
      </c>
      <c r="F61" s="212" t="s">
        <v>120</v>
      </c>
      <c r="G61" s="250" t="n">
        <v>236.95</v>
      </c>
    </row>
    <row r="62" customFormat="false" ht="14.4" hidden="false" customHeight="false" outlineLevel="0" collapsed="false">
      <c r="A62" s="218"/>
      <c r="B62" s="251"/>
      <c r="C62" s="251"/>
      <c r="D62" s="251"/>
      <c r="E62" s="212" t="s">
        <v>1851</v>
      </c>
      <c r="F62" s="212" t="s">
        <v>120</v>
      </c>
      <c r="G62" s="250" t="n">
        <v>40.01</v>
      </c>
    </row>
    <row r="63" customFormat="false" ht="14.4" hidden="false" customHeight="false" outlineLevel="0" collapsed="false">
      <c r="A63" s="218"/>
      <c r="B63" s="251"/>
      <c r="C63" s="251"/>
      <c r="D63" s="251"/>
      <c r="E63" s="212" t="s">
        <v>1867</v>
      </c>
      <c r="F63" s="212" t="s">
        <v>120</v>
      </c>
      <c r="G63" s="250" t="n">
        <v>45.14</v>
      </c>
    </row>
    <row r="64" customFormat="false" ht="14.4" hidden="false" customHeight="false" outlineLevel="0" collapsed="false">
      <c r="A64" s="218"/>
      <c r="B64" s="251"/>
      <c r="C64" s="251"/>
      <c r="D64" s="251"/>
      <c r="E64" s="212" t="s">
        <v>1877</v>
      </c>
      <c r="F64" s="212" t="s">
        <v>120</v>
      </c>
      <c r="G64" s="250" t="n">
        <v>25.62</v>
      </c>
    </row>
    <row r="65" customFormat="false" ht="14.4" hidden="false" customHeight="false" outlineLevel="0" collapsed="false">
      <c r="A65" s="218"/>
      <c r="B65" s="251"/>
      <c r="C65" s="251"/>
      <c r="D65" s="251"/>
      <c r="E65" s="212" t="s">
        <v>1892</v>
      </c>
      <c r="F65" s="212" t="s">
        <v>120</v>
      </c>
      <c r="G65" s="250" t="n">
        <v>5.19</v>
      </c>
    </row>
    <row r="66" customFormat="false" ht="14.4" hidden="false" customHeight="false" outlineLevel="0" collapsed="false">
      <c r="A66" s="218"/>
      <c r="B66" s="251"/>
      <c r="C66" s="251"/>
      <c r="D66" s="252"/>
      <c r="E66" s="212" t="s">
        <v>1896</v>
      </c>
      <c r="F66" s="212" t="s">
        <v>120</v>
      </c>
      <c r="G66" s="250" t="n">
        <v>4.09</v>
      </c>
    </row>
    <row r="67" customFormat="false" ht="14.4" hidden="false" customHeight="false" outlineLevel="0" collapsed="false">
      <c r="A67" s="218"/>
      <c r="B67" s="251"/>
      <c r="C67" s="251"/>
      <c r="D67" s="261" t="s">
        <v>7085</v>
      </c>
      <c r="E67" s="224"/>
      <c r="F67" s="225"/>
      <c r="G67" s="217" t="n">
        <v>923.8</v>
      </c>
    </row>
    <row r="68" customFormat="false" ht="14.4" hidden="false" customHeight="false" outlineLevel="0" collapsed="false">
      <c r="A68" s="218"/>
      <c r="B68" s="251"/>
      <c r="C68" s="251"/>
      <c r="D68" s="249" t="s">
        <v>7055</v>
      </c>
      <c r="E68" s="212" t="s">
        <v>1552</v>
      </c>
      <c r="F68" s="212" t="s">
        <v>120</v>
      </c>
      <c r="G68" s="250" t="n">
        <v>76.55</v>
      </c>
    </row>
    <row r="69" customFormat="false" ht="14.4" hidden="false" customHeight="false" outlineLevel="0" collapsed="false">
      <c r="A69" s="218"/>
      <c r="B69" s="251"/>
      <c r="C69" s="251"/>
      <c r="D69" s="251"/>
      <c r="E69" s="212" t="s">
        <v>1565</v>
      </c>
      <c r="F69" s="212" t="s">
        <v>120</v>
      </c>
      <c r="G69" s="250" t="n">
        <v>75.07</v>
      </c>
    </row>
    <row r="70" customFormat="false" ht="14.4" hidden="false" customHeight="false" outlineLevel="0" collapsed="false">
      <c r="A70" s="218"/>
      <c r="B70" s="251"/>
      <c r="C70" s="251"/>
      <c r="D70" s="251"/>
      <c r="E70" s="212" t="s">
        <v>1568</v>
      </c>
      <c r="F70" s="212" t="s">
        <v>120</v>
      </c>
      <c r="G70" s="250" t="n">
        <v>3.22</v>
      </c>
    </row>
    <row r="71" customFormat="false" ht="14.4" hidden="false" customHeight="false" outlineLevel="0" collapsed="false">
      <c r="A71" s="218"/>
      <c r="B71" s="251"/>
      <c r="C71" s="251"/>
      <c r="D71" s="251"/>
      <c r="E71" s="212" t="s">
        <v>1571</v>
      </c>
      <c r="F71" s="212" t="s">
        <v>120</v>
      </c>
      <c r="G71" s="250" t="n">
        <v>27.68</v>
      </c>
    </row>
    <row r="72" customFormat="false" ht="14.4" hidden="false" customHeight="false" outlineLevel="0" collapsed="false">
      <c r="A72" s="218"/>
      <c r="B72" s="251"/>
      <c r="C72" s="251"/>
      <c r="D72" s="251"/>
      <c r="E72" s="212" t="s">
        <v>1574</v>
      </c>
      <c r="F72" s="212" t="s">
        <v>120</v>
      </c>
      <c r="G72" s="250" t="n">
        <v>50.68</v>
      </c>
    </row>
    <row r="73" customFormat="false" ht="14.4" hidden="false" customHeight="false" outlineLevel="0" collapsed="false">
      <c r="A73" s="218"/>
      <c r="B73" s="251"/>
      <c r="C73" s="251"/>
      <c r="D73" s="251"/>
      <c r="E73" s="212" t="s">
        <v>1577</v>
      </c>
      <c r="F73" s="212" t="s">
        <v>120</v>
      </c>
      <c r="G73" s="250" t="n">
        <v>106.09</v>
      </c>
    </row>
    <row r="74" customFormat="false" ht="14.4" hidden="false" customHeight="false" outlineLevel="0" collapsed="false">
      <c r="A74" s="218"/>
      <c r="B74" s="251"/>
      <c r="C74" s="251"/>
      <c r="D74" s="251"/>
      <c r="E74" s="212" t="s">
        <v>1581</v>
      </c>
      <c r="F74" s="212" t="s">
        <v>120</v>
      </c>
      <c r="G74" s="250" t="n">
        <v>135.3</v>
      </c>
    </row>
    <row r="75" customFormat="false" ht="14.4" hidden="false" customHeight="false" outlineLevel="0" collapsed="false">
      <c r="A75" s="218"/>
      <c r="B75" s="251"/>
      <c r="C75" s="251"/>
      <c r="D75" s="251"/>
      <c r="E75" s="212" t="s">
        <v>1585</v>
      </c>
      <c r="F75" s="212" t="s">
        <v>120</v>
      </c>
      <c r="G75" s="250" t="n">
        <v>44.52</v>
      </c>
    </row>
    <row r="76" customFormat="false" ht="14.4" hidden="false" customHeight="false" outlineLevel="0" collapsed="false">
      <c r="A76" s="218"/>
      <c r="B76" s="251"/>
      <c r="C76" s="251"/>
      <c r="D76" s="251"/>
      <c r="E76" s="212" t="s">
        <v>1588</v>
      </c>
      <c r="F76" s="212" t="s">
        <v>120</v>
      </c>
      <c r="G76" s="250" t="n">
        <v>60.4</v>
      </c>
    </row>
    <row r="77" customFormat="false" ht="14.4" hidden="false" customHeight="false" outlineLevel="0" collapsed="false">
      <c r="A77" s="218"/>
      <c r="B77" s="251"/>
      <c r="C77" s="251"/>
      <c r="D77" s="251"/>
      <c r="E77" s="212" t="s">
        <v>1598</v>
      </c>
      <c r="F77" s="212" t="s">
        <v>120</v>
      </c>
      <c r="G77" s="250" t="n">
        <v>8.04</v>
      </c>
    </row>
    <row r="78" customFormat="false" ht="14.4" hidden="false" customHeight="false" outlineLevel="0" collapsed="false">
      <c r="A78" s="218"/>
      <c r="B78" s="251"/>
      <c r="C78" s="251"/>
      <c r="D78" s="251"/>
      <c r="E78" s="212" t="s">
        <v>1602</v>
      </c>
      <c r="F78" s="212" t="s">
        <v>120</v>
      </c>
      <c r="G78" s="250" t="n">
        <v>3.81</v>
      </c>
    </row>
    <row r="79" customFormat="false" ht="14.4" hidden="false" customHeight="false" outlineLevel="0" collapsed="false">
      <c r="A79" s="218"/>
      <c r="B79" s="251"/>
      <c r="C79" s="251"/>
      <c r="D79" s="251"/>
      <c r="E79" s="212" t="s">
        <v>1604</v>
      </c>
      <c r="F79" s="212" t="s">
        <v>120</v>
      </c>
      <c r="G79" s="250" t="n">
        <v>103.9</v>
      </c>
    </row>
    <row r="80" customFormat="false" ht="14.4" hidden="false" customHeight="false" outlineLevel="0" collapsed="false">
      <c r="A80" s="218"/>
      <c r="B80" s="251"/>
      <c r="C80" s="251"/>
      <c r="D80" s="251"/>
      <c r="E80" s="212" t="s">
        <v>1607</v>
      </c>
      <c r="F80" s="212" t="s">
        <v>120</v>
      </c>
      <c r="G80" s="250" t="n">
        <v>28.61</v>
      </c>
    </row>
    <row r="81" customFormat="false" ht="14.4" hidden="false" customHeight="false" outlineLevel="0" collapsed="false">
      <c r="A81" s="218"/>
      <c r="B81" s="251"/>
      <c r="C81" s="251"/>
      <c r="D81" s="251"/>
      <c r="E81" s="212" t="s">
        <v>1610</v>
      </c>
      <c r="F81" s="212" t="s">
        <v>120</v>
      </c>
      <c r="G81" s="250" t="n">
        <v>169.2</v>
      </c>
    </row>
    <row r="82" customFormat="false" ht="14.4" hidden="false" customHeight="false" outlineLevel="0" collapsed="false">
      <c r="A82" s="218"/>
      <c r="B82" s="251"/>
      <c r="C82" s="251"/>
      <c r="D82" s="251"/>
      <c r="E82" s="212" t="s">
        <v>1613</v>
      </c>
      <c r="F82" s="212" t="s">
        <v>120</v>
      </c>
      <c r="G82" s="250" t="n">
        <v>197.24</v>
      </c>
    </row>
    <row r="83" customFormat="false" ht="14.4" hidden="false" customHeight="false" outlineLevel="0" collapsed="false">
      <c r="A83" s="218"/>
      <c r="B83" s="251"/>
      <c r="C83" s="251"/>
      <c r="D83" s="251"/>
      <c r="E83" s="212" t="s">
        <v>1618</v>
      </c>
      <c r="F83" s="212" t="s">
        <v>120</v>
      </c>
      <c r="G83" s="250" t="n">
        <v>89.64</v>
      </c>
    </row>
    <row r="84" customFormat="false" ht="14.4" hidden="false" customHeight="false" outlineLevel="0" collapsed="false">
      <c r="A84" s="218"/>
      <c r="B84" s="251"/>
      <c r="C84" s="251"/>
      <c r="D84" s="251"/>
      <c r="E84" s="212" t="s">
        <v>1622</v>
      </c>
      <c r="F84" s="212" t="s">
        <v>120</v>
      </c>
      <c r="G84" s="250" t="n">
        <v>27.43</v>
      </c>
    </row>
    <row r="85" customFormat="false" ht="14.4" hidden="false" customHeight="false" outlineLevel="0" collapsed="false">
      <c r="A85" s="218"/>
      <c r="B85" s="251"/>
      <c r="C85" s="251"/>
      <c r="D85" s="251"/>
      <c r="E85" s="212" t="s">
        <v>1625</v>
      </c>
      <c r="F85" s="212" t="s">
        <v>120</v>
      </c>
      <c r="G85" s="250" t="n">
        <v>5.71</v>
      </c>
    </row>
    <row r="86" customFormat="false" ht="14.4" hidden="false" customHeight="false" outlineLevel="0" collapsed="false">
      <c r="A86" s="218"/>
      <c r="B86" s="251"/>
      <c r="C86" s="251"/>
      <c r="D86" s="251"/>
      <c r="E86" s="212" t="s">
        <v>1629</v>
      </c>
      <c r="F86" s="212" t="s">
        <v>120</v>
      </c>
      <c r="G86" s="250" t="n">
        <v>8.27</v>
      </c>
    </row>
    <row r="87" customFormat="false" ht="14.4" hidden="false" customHeight="false" outlineLevel="0" collapsed="false">
      <c r="A87" s="218"/>
      <c r="B87" s="251"/>
      <c r="C87" s="251"/>
      <c r="D87" s="251"/>
      <c r="E87" s="212" t="s">
        <v>1632</v>
      </c>
      <c r="F87" s="212" t="s">
        <v>120</v>
      </c>
      <c r="G87" s="250" t="n">
        <v>30.27</v>
      </c>
    </row>
    <row r="88" customFormat="false" ht="14.4" hidden="false" customHeight="false" outlineLevel="0" collapsed="false">
      <c r="A88" s="218"/>
      <c r="B88" s="251"/>
      <c r="C88" s="251"/>
      <c r="D88" s="251"/>
      <c r="E88" s="212" t="s">
        <v>1635</v>
      </c>
      <c r="F88" s="212" t="s">
        <v>120</v>
      </c>
      <c r="G88" s="250" t="n">
        <v>38.02</v>
      </c>
    </row>
    <row r="89" customFormat="false" ht="14.4" hidden="false" customHeight="false" outlineLevel="0" collapsed="false">
      <c r="A89" s="218"/>
      <c r="B89" s="251"/>
      <c r="C89" s="251"/>
      <c r="D89" s="251"/>
      <c r="E89" s="212" t="s">
        <v>1639</v>
      </c>
      <c r="F89" s="212" t="s">
        <v>120</v>
      </c>
      <c r="G89" s="250" t="n">
        <v>23.36</v>
      </c>
    </row>
    <row r="90" customFormat="false" ht="14.4" hidden="false" customHeight="false" outlineLevel="0" collapsed="false">
      <c r="A90" s="218"/>
      <c r="B90" s="251"/>
      <c r="C90" s="251"/>
      <c r="D90" s="251"/>
      <c r="E90" s="212" t="s">
        <v>1646</v>
      </c>
      <c r="F90" s="212" t="s">
        <v>120</v>
      </c>
      <c r="G90" s="250" t="n">
        <v>99.64</v>
      </c>
    </row>
    <row r="91" customFormat="false" ht="14.4" hidden="false" customHeight="false" outlineLevel="0" collapsed="false">
      <c r="A91" s="218"/>
      <c r="B91" s="251"/>
      <c r="C91" s="251"/>
      <c r="D91" s="251"/>
      <c r="E91" s="212" t="s">
        <v>1650</v>
      </c>
      <c r="F91" s="212" t="s">
        <v>120</v>
      </c>
      <c r="G91" s="250" t="n">
        <v>15.6</v>
      </c>
    </row>
    <row r="92" customFormat="false" ht="14.4" hidden="false" customHeight="false" outlineLevel="0" collapsed="false">
      <c r="A92" s="218"/>
      <c r="B92" s="251"/>
      <c r="C92" s="251"/>
      <c r="D92" s="251"/>
      <c r="E92" s="212" t="s">
        <v>1653</v>
      </c>
      <c r="F92" s="212" t="s">
        <v>120</v>
      </c>
      <c r="G92" s="250" t="n">
        <v>39</v>
      </c>
    </row>
    <row r="93" customFormat="false" ht="14.4" hidden="false" customHeight="false" outlineLevel="0" collapsed="false">
      <c r="A93" s="218"/>
      <c r="B93" s="251"/>
      <c r="C93" s="251"/>
      <c r="D93" s="251"/>
      <c r="E93" s="212" t="s">
        <v>1656</v>
      </c>
      <c r="F93" s="212" t="s">
        <v>120</v>
      </c>
      <c r="G93" s="250" t="n">
        <v>1.96</v>
      </c>
    </row>
    <row r="94" customFormat="false" ht="14.4" hidden="false" customHeight="false" outlineLevel="0" collapsed="false">
      <c r="A94" s="218"/>
      <c r="B94" s="251"/>
      <c r="C94" s="251"/>
      <c r="D94" s="251"/>
      <c r="E94" s="212" t="s">
        <v>1659</v>
      </c>
      <c r="F94" s="212" t="s">
        <v>120</v>
      </c>
      <c r="G94" s="250" t="n">
        <v>26.54</v>
      </c>
    </row>
    <row r="95" customFormat="false" ht="14.4" hidden="false" customHeight="false" outlineLevel="0" collapsed="false">
      <c r="A95" s="218"/>
      <c r="B95" s="251"/>
      <c r="C95" s="251"/>
      <c r="D95" s="251"/>
      <c r="E95" s="212" t="s">
        <v>1662</v>
      </c>
      <c r="F95" s="212" t="s">
        <v>120</v>
      </c>
      <c r="G95" s="250" t="n">
        <v>44.8</v>
      </c>
    </row>
    <row r="96" customFormat="false" ht="14.4" hidden="false" customHeight="false" outlineLevel="0" collapsed="false">
      <c r="A96" s="218"/>
      <c r="B96" s="251"/>
      <c r="C96" s="251"/>
      <c r="D96" s="251"/>
      <c r="E96" s="212" t="s">
        <v>1668</v>
      </c>
      <c r="F96" s="212" t="s">
        <v>120</v>
      </c>
      <c r="G96" s="250" t="n">
        <v>43.51</v>
      </c>
    </row>
    <row r="97" customFormat="false" ht="14.4" hidden="false" customHeight="false" outlineLevel="0" collapsed="false">
      <c r="A97" s="218"/>
      <c r="B97" s="251"/>
      <c r="C97" s="251"/>
      <c r="D97" s="251"/>
      <c r="E97" s="212" t="s">
        <v>1671</v>
      </c>
      <c r="F97" s="212" t="s">
        <v>120</v>
      </c>
      <c r="G97" s="250" t="n">
        <v>93.29</v>
      </c>
    </row>
    <row r="98" customFormat="false" ht="14.4" hidden="false" customHeight="false" outlineLevel="0" collapsed="false">
      <c r="A98" s="218"/>
      <c r="B98" s="251"/>
      <c r="C98" s="251"/>
      <c r="D98" s="251"/>
      <c r="E98" s="212" t="s">
        <v>1675</v>
      </c>
      <c r="F98" s="212" t="s">
        <v>120</v>
      </c>
      <c r="G98" s="250" t="n">
        <v>53.93</v>
      </c>
    </row>
    <row r="99" customFormat="false" ht="14.4" hidden="false" customHeight="false" outlineLevel="0" collapsed="false">
      <c r="A99" s="218"/>
      <c r="B99" s="251"/>
      <c r="C99" s="251"/>
      <c r="D99" s="251"/>
      <c r="E99" s="212" t="s">
        <v>1678</v>
      </c>
      <c r="F99" s="212" t="s">
        <v>120</v>
      </c>
      <c r="G99" s="250" t="n">
        <v>187.33</v>
      </c>
    </row>
    <row r="100" customFormat="false" ht="14.4" hidden="false" customHeight="false" outlineLevel="0" collapsed="false">
      <c r="A100" s="218"/>
      <c r="B100" s="251"/>
      <c r="C100" s="251"/>
      <c r="D100" s="251"/>
      <c r="E100" s="212" t="s">
        <v>1682</v>
      </c>
      <c r="F100" s="212" t="s">
        <v>120</v>
      </c>
      <c r="G100" s="250" t="n">
        <v>115.61</v>
      </c>
    </row>
    <row r="101" customFormat="false" ht="14.4" hidden="false" customHeight="false" outlineLevel="0" collapsed="false">
      <c r="A101" s="218"/>
      <c r="B101" s="251"/>
      <c r="C101" s="251"/>
      <c r="D101" s="251"/>
      <c r="E101" s="212" t="s">
        <v>1686</v>
      </c>
      <c r="F101" s="212" t="s">
        <v>120</v>
      </c>
      <c r="G101" s="250" t="n">
        <v>135.21</v>
      </c>
    </row>
    <row r="102" customFormat="false" ht="14.4" hidden="false" customHeight="false" outlineLevel="0" collapsed="false">
      <c r="A102" s="218"/>
      <c r="B102" s="251"/>
      <c r="C102" s="251"/>
      <c r="D102" s="251"/>
      <c r="E102" s="212" t="s">
        <v>1689</v>
      </c>
      <c r="F102" s="212" t="s">
        <v>120</v>
      </c>
      <c r="G102" s="250" t="n">
        <v>124.3</v>
      </c>
    </row>
    <row r="103" customFormat="false" ht="14.4" hidden="false" customHeight="false" outlineLevel="0" collapsed="false">
      <c r="A103" s="218"/>
      <c r="B103" s="251"/>
      <c r="C103" s="251"/>
      <c r="D103" s="251"/>
      <c r="E103" s="212" t="s">
        <v>1693</v>
      </c>
      <c r="F103" s="212" t="s">
        <v>120</v>
      </c>
      <c r="G103" s="250" t="n">
        <v>173.01</v>
      </c>
    </row>
    <row r="104" customFormat="false" ht="14.4" hidden="false" customHeight="false" outlineLevel="0" collapsed="false">
      <c r="A104" s="218"/>
      <c r="B104" s="251"/>
      <c r="C104" s="251"/>
      <c r="D104" s="251"/>
      <c r="E104" s="212" t="s">
        <v>1696</v>
      </c>
      <c r="F104" s="212" t="s">
        <v>120</v>
      </c>
      <c r="G104" s="250" t="n">
        <v>186.59</v>
      </c>
    </row>
    <row r="105" customFormat="false" ht="14.4" hidden="false" customHeight="false" outlineLevel="0" collapsed="false">
      <c r="A105" s="218"/>
      <c r="B105" s="251"/>
      <c r="C105" s="251"/>
      <c r="D105" s="251"/>
      <c r="E105" s="212" t="s">
        <v>1700</v>
      </c>
      <c r="F105" s="212" t="s">
        <v>120</v>
      </c>
      <c r="G105" s="250" t="n">
        <v>137.25</v>
      </c>
    </row>
    <row r="106" customFormat="false" ht="14.4" hidden="false" customHeight="false" outlineLevel="0" collapsed="false">
      <c r="A106" s="218"/>
      <c r="B106" s="251"/>
      <c r="C106" s="251"/>
      <c r="D106" s="251"/>
      <c r="E106" s="212" t="s">
        <v>1705</v>
      </c>
      <c r="F106" s="212" t="s">
        <v>120</v>
      </c>
      <c r="G106" s="250" t="n">
        <v>45.72</v>
      </c>
    </row>
    <row r="107" customFormat="false" ht="14.4" hidden="false" customHeight="false" outlineLevel="0" collapsed="false">
      <c r="A107" s="218"/>
      <c r="B107" s="251"/>
      <c r="C107" s="251"/>
      <c r="D107" s="251"/>
      <c r="E107" s="212" t="s">
        <v>1708</v>
      </c>
      <c r="F107" s="212" t="s">
        <v>120</v>
      </c>
      <c r="G107" s="250" t="n">
        <v>43.48</v>
      </c>
    </row>
    <row r="108" customFormat="false" ht="14.4" hidden="false" customHeight="false" outlineLevel="0" collapsed="false">
      <c r="A108" s="218"/>
      <c r="B108" s="251"/>
      <c r="C108" s="251"/>
      <c r="D108" s="251"/>
      <c r="E108" s="212" t="s">
        <v>1711</v>
      </c>
      <c r="F108" s="212" t="s">
        <v>120</v>
      </c>
      <c r="G108" s="250" t="n">
        <v>156.01</v>
      </c>
    </row>
    <row r="109" customFormat="false" ht="14.4" hidden="false" customHeight="false" outlineLevel="0" collapsed="false">
      <c r="A109" s="218"/>
      <c r="B109" s="251"/>
      <c r="C109" s="251"/>
      <c r="D109" s="251"/>
      <c r="E109" s="212" t="s">
        <v>1716</v>
      </c>
      <c r="F109" s="212" t="s">
        <v>120</v>
      </c>
      <c r="G109" s="250" t="n">
        <v>24.75</v>
      </c>
    </row>
    <row r="110" customFormat="false" ht="14.4" hidden="false" customHeight="false" outlineLevel="0" collapsed="false">
      <c r="A110" s="218"/>
      <c r="B110" s="251"/>
      <c r="C110" s="251"/>
      <c r="D110" s="251"/>
      <c r="E110" s="212" t="s">
        <v>1720</v>
      </c>
      <c r="F110" s="212" t="s">
        <v>120</v>
      </c>
      <c r="G110" s="250" t="n">
        <v>16.63</v>
      </c>
    </row>
    <row r="111" customFormat="false" ht="14.4" hidden="false" customHeight="false" outlineLevel="0" collapsed="false">
      <c r="A111" s="218"/>
      <c r="B111" s="251"/>
      <c r="C111" s="251"/>
      <c r="D111" s="251"/>
      <c r="E111" s="212" t="s">
        <v>1724</v>
      </c>
      <c r="F111" s="212" t="s">
        <v>120</v>
      </c>
      <c r="G111" s="250" t="n">
        <v>50.99</v>
      </c>
    </row>
    <row r="112" customFormat="false" ht="14.4" hidden="false" customHeight="false" outlineLevel="0" collapsed="false">
      <c r="A112" s="218"/>
      <c r="B112" s="251"/>
      <c r="C112" s="251"/>
      <c r="D112" s="251"/>
      <c r="E112" s="212" t="s">
        <v>1727</v>
      </c>
      <c r="F112" s="212" t="s">
        <v>120</v>
      </c>
      <c r="G112" s="250" t="n">
        <v>184.87</v>
      </c>
    </row>
    <row r="113" customFormat="false" ht="14.4" hidden="false" customHeight="false" outlineLevel="0" collapsed="false">
      <c r="A113" s="218"/>
      <c r="B113" s="251"/>
      <c r="C113" s="251"/>
      <c r="D113" s="251"/>
      <c r="E113" s="212" t="s">
        <v>1731</v>
      </c>
      <c r="F113" s="212" t="s">
        <v>120</v>
      </c>
      <c r="G113" s="250" t="n">
        <v>42.09</v>
      </c>
    </row>
    <row r="114" customFormat="false" ht="14.4" hidden="false" customHeight="false" outlineLevel="0" collapsed="false">
      <c r="A114" s="218"/>
      <c r="B114" s="251"/>
      <c r="C114" s="251"/>
      <c r="D114" s="251"/>
      <c r="E114" s="212" t="s">
        <v>1735</v>
      </c>
      <c r="F114" s="212" t="s">
        <v>120</v>
      </c>
      <c r="G114" s="250" t="n">
        <v>49.75</v>
      </c>
    </row>
    <row r="115" customFormat="false" ht="14.4" hidden="false" customHeight="false" outlineLevel="0" collapsed="false">
      <c r="A115" s="218"/>
      <c r="B115" s="251"/>
      <c r="C115" s="251"/>
      <c r="D115" s="251"/>
      <c r="E115" s="212" t="s">
        <v>1737</v>
      </c>
      <c r="F115" s="212" t="s">
        <v>120</v>
      </c>
      <c r="G115" s="250" t="n">
        <v>45.07</v>
      </c>
    </row>
    <row r="116" customFormat="false" ht="14.4" hidden="false" customHeight="false" outlineLevel="0" collapsed="false">
      <c r="A116" s="218"/>
      <c r="B116" s="251"/>
      <c r="C116" s="251"/>
      <c r="D116" s="251"/>
      <c r="E116" s="212" t="s">
        <v>1741</v>
      </c>
      <c r="F116" s="212" t="s">
        <v>120</v>
      </c>
      <c r="G116" s="250" t="n">
        <v>178.41</v>
      </c>
    </row>
    <row r="117" customFormat="false" ht="14.4" hidden="false" customHeight="false" outlineLevel="0" collapsed="false">
      <c r="A117" s="218"/>
      <c r="B117" s="251"/>
      <c r="C117" s="251"/>
      <c r="D117" s="251"/>
      <c r="E117" s="212" t="s">
        <v>1745</v>
      </c>
      <c r="F117" s="212" t="s">
        <v>120</v>
      </c>
      <c r="G117" s="250" t="n">
        <v>41.58</v>
      </c>
    </row>
    <row r="118" customFormat="false" ht="14.4" hidden="false" customHeight="false" outlineLevel="0" collapsed="false">
      <c r="A118" s="218"/>
      <c r="B118" s="251"/>
      <c r="C118" s="251"/>
      <c r="D118" s="251"/>
      <c r="E118" s="212" t="s">
        <v>1751</v>
      </c>
      <c r="F118" s="212" t="s">
        <v>120</v>
      </c>
      <c r="G118" s="250" t="n">
        <v>49.55</v>
      </c>
    </row>
    <row r="119" customFormat="false" ht="14.4" hidden="false" customHeight="false" outlineLevel="0" collapsed="false">
      <c r="A119" s="218"/>
      <c r="B119" s="251"/>
      <c r="C119" s="251"/>
      <c r="D119" s="251"/>
      <c r="E119" s="212" t="s">
        <v>1754</v>
      </c>
      <c r="F119" s="212" t="s">
        <v>120</v>
      </c>
      <c r="G119" s="250" t="n">
        <v>190.03</v>
      </c>
    </row>
    <row r="120" customFormat="false" ht="14.4" hidden="false" customHeight="false" outlineLevel="0" collapsed="false">
      <c r="A120" s="218"/>
      <c r="B120" s="251"/>
      <c r="C120" s="251"/>
      <c r="D120" s="251"/>
      <c r="E120" s="212" t="s">
        <v>1764</v>
      </c>
      <c r="F120" s="212" t="s">
        <v>120</v>
      </c>
      <c r="G120" s="250" t="n">
        <v>40.73</v>
      </c>
    </row>
    <row r="121" customFormat="false" ht="14.4" hidden="false" customHeight="false" outlineLevel="0" collapsed="false">
      <c r="A121" s="218"/>
      <c r="B121" s="251"/>
      <c r="C121" s="251"/>
      <c r="D121" s="251"/>
      <c r="E121" s="212" t="s">
        <v>1776</v>
      </c>
      <c r="F121" s="212" t="s">
        <v>120</v>
      </c>
      <c r="G121" s="250" t="n">
        <v>202.23</v>
      </c>
    </row>
    <row r="122" customFormat="false" ht="14.4" hidden="false" customHeight="false" outlineLevel="0" collapsed="false">
      <c r="A122" s="218"/>
      <c r="B122" s="251"/>
      <c r="C122" s="251"/>
      <c r="D122" s="251"/>
      <c r="E122" s="212" t="s">
        <v>1780</v>
      </c>
      <c r="F122" s="212" t="s">
        <v>120</v>
      </c>
      <c r="G122" s="250" t="n">
        <v>42.7</v>
      </c>
    </row>
    <row r="123" customFormat="false" ht="14.4" hidden="false" customHeight="false" outlineLevel="0" collapsed="false">
      <c r="A123" s="218"/>
      <c r="B123" s="251"/>
      <c r="C123" s="251"/>
      <c r="D123" s="251"/>
      <c r="E123" s="212" t="s">
        <v>1783</v>
      </c>
      <c r="F123" s="212" t="s">
        <v>120</v>
      </c>
      <c r="G123" s="250" t="n">
        <v>41.63</v>
      </c>
    </row>
    <row r="124" customFormat="false" ht="14.4" hidden="false" customHeight="false" outlineLevel="0" collapsed="false">
      <c r="A124" s="218"/>
      <c r="B124" s="251"/>
      <c r="C124" s="251"/>
      <c r="D124" s="251"/>
      <c r="E124" s="212" t="s">
        <v>1790</v>
      </c>
      <c r="F124" s="212" t="s">
        <v>120</v>
      </c>
      <c r="G124" s="250" t="n">
        <v>211.33</v>
      </c>
    </row>
    <row r="125" customFormat="false" ht="14.4" hidden="false" customHeight="false" outlineLevel="0" collapsed="false">
      <c r="A125" s="218"/>
      <c r="B125" s="251"/>
      <c r="C125" s="251"/>
      <c r="D125" s="251"/>
      <c r="E125" s="212" t="s">
        <v>1798</v>
      </c>
      <c r="F125" s="212" t="s">
        <v>120</v>
      </c>
      <c r="G125" s="250" t="n">
        <v>43.45</v>
      </c>
    </row>
    <row r="126" customFormat="false" ht="14.4" hidden="false" customHeight="false" outlineLevel="0" collapsed="false">
      <c r="A126" s="218"/>
      <c r="B126" s="251"/>
      <c r="C126" s="251"/>
      <c r="D126" s="251"/>
      <c r="E126" s="212" t="s">
        <v>1804</v>
      </c>
      <c r="F126" s="212" t="s">
        <v>120</v>
      </c>
      <c r="G126" s="250" t="n">
        <v>220.66</v>
      </c>
    </row>
    <row r="127" customFormat="false" ht="14.4" hidden="false" customHeight="false" outlineLevel="0" collapsed="false">
      <c r="A127" s="218"/>
      <c r="B127" s="251"/>
      <c r="C127" s="251"/>
      <c r="D127" s="251"/>
      <c r="E127" s="212" t="s">
        <v>1813</v>
      </c>
      <c r="F127" s="212" t="s">
        <v>120</v>
      </c>
      <c r="G127" s="250" t="n">
        <v>44.23</v>
      </c>
    </row>
    <row r="128" customFormat="false" ht="14.4" hidden="false" customHeight="false" outlineLevel="0" collapsed="false">
      <c r="A128" s="218"/>
      <c r="B128" s="251"/>
      <c r="C128" s="251"/>
      <c r="D128" s="252"/>
      <c r="E128" s="212" t="s">
        <v>1828</v>
      </c>
      <c r="F128" s="212" t="s">
        <v>120</v>
      </c>
      <c r="G128" s="250" t="n">
        <v>40.95</v>
      </c>
    </row>
    <row r="129" customFormat="false" ht="14.4" hidden="false" customHeight="false" outlineLevel="0" collapsed="false">
      <c r="A129" s="218"/>
      <c r="B129" s="251"/>
      <c r="C129" s="252"/>
      <c r="D129" s="261" t="s">
        <v>7060</v>
      </c>
      <c r="E129" s="224"/>
      <c r="F129" s="225"/>
      <c r="G129" s="217" t="n">
        <v>4797.42</v>
      </c>
    </row>
    <row r="130" customFormat="false" ht="14.4" hidden="false" customHeight="false" outlineLevel="0" collapsed="false">
      <c r="A130" s="218"/>
      <c r="B130" s="251"/>
      <c r="C130" s="249" t="s">
        <v>1594</v>
      </c>
      <c r="D130" s="249" t="s">
        <v>1886</v>
      </c>
      <c r="E130" s="212" t="s">
        <v>1885</v>
      </c>
      <c r="F130" s="212" t="s">
        <v>120</v>
      </c>
      <c r="G130" s="250" t="n">
        <v>23.18</v>
      </c>
    </row>
    <row r="131" customFormat="false" ht="14.4" hidden="false" customHeight="false" outlineLevel="0" collapsed="false">
      <c r="A131" s="218"/>
      <c r="B131" s="251"/>
      <c r="C131" s="251"/>
      <c r="D131" s="251"/>
      <c r="E131" s="212" t="s">
        <v>1911</v>
      </c>
      <c r="F131" s="212" t="s">
        <v>120</v>
      </c>
      <c r="G131" s="250" t="n">
        <v>93.58</v>
      </c>
    </row>
    <row r="132" customFormat="false" ht="14.4" hidden="false" customHeight="false" outlineLevel="0" collapsed="false">
      <c r="A132" s="218"/>
      <c r="B132" s="251"/>
      <c r="C132" s="251"/>
      <c r="D132" s="251"/>
      <c r="E132" s="212" t="s">
        <v>1917</v>
      </c>
      <c r="F132" s="212" t="s">
        <v>120</v>
      </c>
      <c r="G132" s="250" t="n">
        <v>28.42</v>
      </c>
    </row>
    <row r="133" customFormat="false" ht="14.4" hidden="false" customHeight="false" outlineLevel="0" collapsed="false">
      <c r="A133" s="218"/>
      <c r="B133" s="251"/>
      <c r="C133" s="251"/>
      <c r="D133" s="251"/>
      <c r="E133" s="212" t="s">
        <v>1925</v>
      </c>
      <c r="F133" s="212" t="s">
        <v>120</v>
      </c>
      <c r="G133" s="250" t="n">
        <v>15.22</v>
      </c>
    </row>
    <row r="134" customFormat="false" ht="14.4" hidden="false" customHeight="false" outlineLevel="0" collapsed="false">
      <c r="A134" s="218"/>
      <c r="B134" s="251"/>
      <c r="C134" s="251"/>
      <c r="D134" s="251"/>
      <c r="E134" s="212" t="s">
        <v>1928</v>
      </c>
      <c r="F134" s="212" t="s">
        <v>120</v>
      </c>
      <c r="G134" s="250" t="n">
        <v>68.63</v>
      </c>
    </row>
    <row r="135" customFormat="false" ht="14.4" hidden="false" customHeight="false" outlineLevel="0" collapsed="false">
      <c r="A135" s="218"/>
      <c r="B135" s="251"/>
      <c r="C135" s="251"/>
      <c r="D135" s="251"/>
      <c r="E135" s="212" t="s">
        <v>1931</v>
      </c>
      <c r="F135" s="212" t="s">
        <v>120</v>
      </c>
      <c r="G135" s="250" t="n">
        <v>15.25</v>
      </c>
    </row>
    <row r="136" customFormat="false" ht="14.4" hidden="false" customHeight="false" outlineLevel="0" collapsed="false">
      <c r="A136" s="218"/>
      <c r="B136" s="251"/>
      <c r="C136" s="251"/>
      <c r="D136" s="251"/>
      <c r="E136" s="212" t="s">
        <v>1934</v>
      </c>
      <c r="F136" s="212" t="s">
        <v>120</v>
      </c>
      <c r="G136" s="250" t="n">
        <v>17.29</v>
      </c>
    </row>
    <row r="137" customFormat="false" ht="14.4" hidden="false" customHeight="false" outlineLevel="0" collapsed="false">
      <c r="A137" s="218"/>
      <c r="B137" s="251"/>
      <c r="C137" s="251"/>
      <c r="D137" s="252"/>
      <c r="E137" s="212" t="s">
        <v>1944</v>
      </c>
      <c r="F137" s="212" t="s">
        <v>120</v>
      </c>
      <c r="G137" s="250" t="n">
        <v>47.65</v>
      </c>
    </row>
    <row r="138" customFormat="false" ht="14.4" hidden="false" customHeight="false" outlineLevel="0" collapsed="false">
      <c r="A138" s="218"/>
      <c r="B138" s="251"/>
      <c r="C138" s="251"/>
      <c r="D138" s="261" t="s">
        <v>7086</v>
      </c>
      <c r="E138" s="224"/>
      <c r="F138" s="225"/>
      <c r="G138" s="217" t="n">
        <v>309.22</v>
      </c>
    </row>
    <row r="139" customFormat="false" ht="14.4" hidden="false" customHeight="false" outlineLevel="0" collapsed="false">
      <c r="A139" s="218"/>
      <c r="B139" s="251"/>
      <c r="C139" s="251"/>
      <c r="D139" s="212" t="s">
        <v>1952</v>
      </c>
      <c r="E139" s="212" t="s">
        <v>1951</v>
      </c>
      <c r="F139" s="212" t="s">
        <v>120</v>
      </c>
      <c r="G139" s="250" t="n">
        <v>27.77</v>
      </c>
    </row>
    <row r="140" customFormat="false" ht="14.4" hidden="false" customHeight="false" outlineLevel="0" collapsed="false">
      <c r="A140" s="218"/>
      <c r="B140" s="251"/>
      <c r="C140" s="251"/>
      <c r="D140" s="261" t="s">
        <v>7087</v>
      </c>
      <c r="E140" s="224"/>
      <c r="F140" s="225"/>
      <c r="G140" s="217" t="n">
        <v>27.77</v>
      </c>
    </row>
    <row r="141" customFormat="false" ht="14.4" hidden="false" customHeight="false" outlineLevel="0" collapsed="false">
      <c r="A141" s="218"/>
      <c r="B141" s="251"/>
      <c r="C141" s="251"/>
      <c r="D141" s="249" t="s">
        <v>1956</v>
      </c>
      <c r="E141" s="212" t="s">
        <v>1955</v>
      </c>
      <c r="F141" s="212" t="s">
        <v>120</v>
      </c>
      <c r="G141" s="250" t="n">
        <v>287.24</v>
      </c>
    </row>
    <row r="142" customFormat="false" ht="14.4" hidden="false" customHeight="false" outlineLevel="0" collapsed="false">
      <c r="A142" s="218"/>
      <c r="B142" s="251"/>
      <c r="C142" s="251"/>
      <c r="D142" s="252"/>
      <c r="E142" s="212" t="s">
        <v>1997</v>
      </c>
      <c r="F142" s="212" t="s">
        <v>120</v>
      </c>
      <c r="G142" s="250" t="n">
        <v>23.93</v>
      </c>
    </row>
    <row r="143" customFormat="false" ht="14.4" hidden="false" customHeight="false" outlineLevel="0" collapsed="false">
      <c r="A143" s="218"/>
      <c r="B143" s="251"/>
      <c r="C143" s="251"/>
      <c r="D143" s="261" t="s">
        <v>7088</v>
      </c>
      <c r="E143" s="224"/>
      <c r="F143" s="225"/>
      <c r="G143" s="217" t="n">
        <v>311.17</v>
      </c>
    </row>
    <row r="144" customFormat="false" ht="14.4" hidden="false" customHeight="false" outlineLevel="0" collapsed="false">
      <c r="A144" s="218"/>
      <c r="B144" s="251"/>
      <c r="C144" s="251"/>
      <c r="D144" s="249" t="s">
        <v>1986</v>
      </c>
      <c r="E144" s="212" t="s">
        <v>1985</v>
      </c>
      <c r="F144" s="212" t="s">
        <v>120</v>
      </c>
      <c r="G144" s="250" t="n">
        <v>152.53</v>
      </c>
    </row>
    <row r="145" customFormat="false" ht="14.4" hidden="false" customHeight="false" outlineLevel="0" collapsed="false">
      <c r="A145" s="218"/>
      <c r="B145" s="251"/>
      <c r="C145" s="251"/>
      <c r="D145" s="251"/>
      <c r="E145" s="212" t="s">
        <v>2003</v>
      </c>
      <c r="F145" s="212" t="s">
        <v>120</v>
      </c>
      <c r="G145" s="250" t="n">
        <v>135.75</v>
      </c>
    </row>
    <row r="146" customFormat="false" ht="14.4" hidden="false" customHeight="false" outlineLevel="0" collapsed="false">
      <c r="A146" s="218"/>
      <c r="B146" s="251"/>
      <c r="C146" s="251"/>
      <c r="D146" s="252"/>
      <c r="E146" s="212" t="s">
        <v>2014</v>
      </c>
      <c r="F146" s="212" t="s">
        <v>120</v>
      </c>
      <c r="G146" s="250" t="n">
        <v>40.78</v>
      </c>
    </row>
    <row r="147" customFormat="false" ht="14.4" hidden="false" customHeight="false" outlineLevel="0" collapsed="false">
      <c r="A147" s="218"/>
      <c r="B147" s="251"/>
      <c r="C147" s="251"/>
      <c r="D147" s="261" t="s">
        <v>7089</v>
      </c>
      <c r="E147" s="224"/>
      <c r="F147" s="225"/>
      <c r="G147" s="217" t="n">
        <v>329.06</v>
      </c>
    </row>
    <row r="148" customFormat="false" ht="14.4" hidden="false" customHeight="false" outlineLevel="0" collapsed="false">
      <c r="A148" s="218"/>
      <c r="B148" s="251"/>
      <c r="C148" s="251"/>
      <c r="D148" s="249" t="s">
        <v>1839</v>
      </c>
      <c r="E148" s="212" t="s">
        <v>1838</v>
      </c>
      <c r="F148" s="212" t="s">
        <v>120</v>
      </c>
      <c r="G148" s="250" t="n">
        <v>39.24</v>
      </c>
    </row>
    <row r="149" customFormat="false" ht="14.4" hidden="false" customHeight="false" outlineLevel="0" collapsed="false">
      <c r="A149" s="218"/>
      <c r="B149" s="251"/>
      <c r="C149" s="251"/>
      <c r="D149" s="251"/>
      <c r="E149" s="212" t="s">
        <v>1847</v>
      </c>
      <c r="F149" s="212" t="s">
        <v>120</v>
      </c>
      <c r="G149" s="250" t="n">
        <v>44.34</v>
      </c>
    </row>
    <row r="150" customFormat="false" ht="14.4" hidden="false" customHeight="false" outlineLevel="0" collapsed="false">
      <c r="A150" s="218"/>
      <c r="B150" s="251"/>
      <c r="C150" s="251"/>
      <c r="D150" s="251"/>
      <c r="E150" s="212" t="s">
        <v>1889</v>
      </c>
      <c r="F150" s="212" t="s">
        <v>120</v>
      </c>
      <c r="G150" s="250" t="n">
        <v>11.01</v>
      </c>
    </row>
    <row r="151" customFormat="false" ht="14.4" hidden="false" customHeight="false" outlineLevel="0" collapsed="false">
      <c r="A151" s="218"/>
      <c r="B151" s="251"/>
      <c r="C151" s="251"/>
      <c r="D151" s="252"/>
      <c r="E151" s="212" t="s">
        <v>1900</v>
      </c>
      <c r="F151" s="212" t="s">
        <v>120</v>
      </c>
      <c r="G151" s="250" t="n">
        <v>12.12</v>
      </c>
    </row>
    <row r="152" customFormat="false" ht="14.4" hidden="false" customHeight="false" outlineLevel="0" collapsed="false">
      <c r="A152" s="218"/>
      <c r="B152" s="251"/>
      <c r="C152" s="251"/>
      <c r="D152" s="261" t="s">
        <v>7090</v>
      </c>
      <c r="E152" s="224"/>
      <c r="F152" s="225"/>
      <c r="G152" s="217" t="n">
        <v>106.71</v>
      </c>
    </row>
    <row r="153" customFormat="false" ht="14.4" hidden="false" customHeight="false" outlineLevel="0" collapsed="false">
      <c r="A153" s="218"/>
      <c r="B153" s="251"/>
      <c r="C153" s="251"/>
      <c r="D153" s="249" t="s">
        <v>1971</v>
      </c>
      <c r="E153" s="212" t="s">
        <v>1970</v>
      </c>
      <c r="F153" s="212" t="s">
        <v>120</v>
      </c>
      <c r="G153" s="250" t="n">
        <v>225.1</v>
      </c>
    </row>
    <row r="154" customFormat="false" ht="14.4" hidden="false" customHeight="false" outlineLevel="0" collapsed="false">
      <c r="A154" s="218"/>
      <c r="B154" s="251"/>
      <c r="C154" s="251"/>
      <c r="D154" s="251"/>
      <c r="E154" s="212" t="s">
        <v>1975</v>
      </c>
      <c r="F154" s="212" t="s">
        <v>120</v>
      </c>
      <c r="G154" s="250" t="n">
        <v>219.94</v>
      </c>
    </row>
    <row r="155" customFormat="false" ht="14.4" hidden="false" customHeight="false" outlineLevel="0" collapsed="false">
      <c r="A155" s="218"/>
      <c r="B155" s="251"/>
      <c r="C155" s="251"/>
      <c r="D155" s="251"/>
      <c r="E155" s="212" t="s">
        <v>1991</v>
      </c>
      <c r="F155" s="212" t="s">
        <v>120</v>
      </c>
      <c r="G155" s="250" t="n">
        <v>397.16</v>
      </c>
    </row>
    <row r="156" customFormat="false" ht="14.4" hidden="false" customHeight="false" outlineLevel="0" collapsed="false">
      <c r="A156" s="218"/>
      <c r="B156" s="251"/>
      <c r="C156" s="251"/>
      <c r="D156" s="251"/>
      <c r="E156" s="212" t="s">
        <v>2010</v>
      </c>
      <c r="F156" s="212" t="s">
        <v>120</v>
      </c>
      <c r="G156" s="250" t="n">
        <v>125.39</v>
      </c>
    </row>
    <row r="157" customFormat="false" ht="14.4" hidden="false" customHeight="false" outlineLevel="0" collapsed="false">
      <c r="A157" s="218"/>
      <c r="B157" s="251"/>
      <c r="C157" s="251"/>
      <c r="D157" s="251"/>
      <c r="E157" s="212" t="s">
        <v>2017</v>
      </c>
      <c r="F157" s="212" t="s">
        <v>120</v>
      </c>
      <c r="G157" s="250" t="n">
        <v>10.64</v>
      </c>
    </row>
    <row r="158" customFormat="false" ht="14.4" hidden="false" customHeight="false" outlineLevel="0" collapsed="false">
      <c r="A158" s="218"/>
      <c r="B158" s="251"/>
      <c r="C158" s="251"/>
      <c r="D158" s="251"/>
      <c r="E158" s="212" t="s">
        <v>2021</v>
      </c>
      <c r="F158" s="212" t="s">
        <v>120</v>
      </c>
      <c r="G158" s="250" t="n">
        <v>4.32</v>
      </c>
    </row>
    <row r="159" customFormat="false" ht="14.4" hidden="false" customHeight="false" outlineLevel="0" collapsed="false">
      <c r="A159" s="218"/>
      <c r="B159" s="251"/>
      <c r="C159" s="251"/>
      <c r="D159" s="251"/>
      <c r="E159" s="212" t="s">
        <v>2024</v>
      </c>
      <c r="F159" s="212" t="s">
        <v>120</v>
      </c>
      <c r="G159" s="250" t="n">
        <v>2.77</v>
      </c>
    </row>
    <row r="160" customFormat="false" ht="14.4" hidden="false" customHeight="false" outlineLevel="0" collapsed="false">
      <c r="A160" s="218"/>
      <c r="B160" s="251"/>
      <c r="C160" s="251"/>
      <c r="D160" s="251"/>
      <c r="E160" s="212" t="s">
        <v>2028</v>
      </c>
      <c r="F160" s="212" t="s">
        <v>120</v>
      </c>
      <c r="G160" s="250" t="n">
        <v>4.01</v>
      </c>
    </row>
    <row r="161" customFormat="false" ht="14.4" hidden="false" customHeight="false" outlineLevel="0" collapsed="false">
      <c r="A161" s="218"/>
      <c r="B161" s="251"/>
      <c r="C161" s="251"/>
      <c r="D161" s="252"/>
      <c r="E161" s="212" t="s">
        <v>2030</v>
      </c>
      <c r="F161" s="212" t="s">
        <v>120</v>
      </c>
      <c r="G161" s="250" t="n">
        <v>80.35</v>
      </c>
    </row>
    <row r="162" customFormat="false" ht="14.4" hidden="false" customHeight="false" outlineLevel="0" collapsed="false">
      <c r="A162" s="218"/>
      <c r="B162" s="251"/>
      <c r="C162" s="251"/>
      <c r="D162" s="261" t="s">
        <v>7091</v>
      </c>
      <c r="E162" s="224"/>
      <c r="F162" s="225"/>
      <c r="G162" s="217" t="n">
        <v>1069.68</v>
      </c>
    </row>
    <row r="163" customFormat="false" ht="14.4" hidden="false" customHeight="false" outlineLevel="0" collapsed="false">
      <c r="A163" s="218"/>
      <c r="B163" s="251"/>
      <c r="C163" s="251"/>
      <c r="D163" s="249" t="s">
        <v>1860</v>
      </c>
      <c r="E163" s="212" t="s">
        <v>1859</v>
      </c>
      <c r="F163" s="212" t="s">
        <v>120</v>
      </c>
      <c r="G163" s="250" t="n">
        <v>111.84</v>
      </c>
    </row>
    <row r="164" customFormat="false" ht="14.4" hidden="false" customHeight="false" outlineLevel="0" collapsed="false">
      <c r="A164" s="218"/>
      <c r="B164" s="251"/>
      <c r="C164" s="251"/>
      <c r="D164" s="251"/>
      <c r="E164" s="212" t="s">
        <v>1874</v>
      </c>
      <c r="F164" s="212" t="s">
        <v>120</v>
      </c>
      <c r="G164" s="250" t="n">
        <v>0.67</v>
      </c>
    </row>
    <row r="165" customFormat="false" ht="14.4" hidden="false" customHeight="false" outlineLevel="0" collapsed="false">
      <c r="A165" s="218"/>
      <c r="B165" s="251"/>
      <c r="C165" s="251"/>
      <c r="D165" s="251"/>
      <c r="E165" s="212" t="s">
        <v>1947</v>
      </c>
      <c r="F165" s="212" t="s">
        <v>120</v>
      </c>
      <c r="G165" s="250" t="n">
        <v>413.9</v>
      </c>
    </row>
    <row r="166" customFormat="false" ht="14.4" hidden="false" customHeight="false" outlineLevel="0" collapsed="false">
      <c r="A166" s="218"/>
      <c r="B166" s="251"/>
      <c r="C166" s="251"/>
      <c r="D166" s="252"/>
      <c r="E166" s="212" t="s">
        <v>2000</v>
      </c>
      <c r="F166" s="212" t="s">
        <v>120</v>
      </c>
      <c r="G166" s="250" t="n">
        <v>40.75</v>
      </c>
    </row>
    <row r="167" customFormat="false" ht="14.4" hidden="false" customHeight="false" outlineLevel="0" collapsed="false">
      <c r="A167" s="218"/>
      <c r="B167" s="251"/>
      <c r="C167" s="251"/>
      <c r="D167" s="261" t="s">
        <v>7092</v>
      </c>
      <c r="E167" s="224"/>
      <c r="F167" s="225"/>
      <c r="G167" s="217" t="n">
        <v>567.16</v>
      </c>
    </row>
    <row r="168" customFormat="false" ht="14.4" hidden="false" customHeight="false" outlineLevel="0" collapsed="false">
      <c r="A168" s="218"/>
      <c r="B168" s="251"/>
      <c r="C168" s="251"/>
      <c r="D168" s="249" t="s">
        <v>1980</v>
      </c>
      <c r="E168" s="212" t="s">
        <v>1978</v>
      </c>
      <c r="F168" s="212" t="s">
        <v>120</v>
      </c>
      <c r="G168" s="250" t="n">
        <v>320.5</v>
      </c>
    </row>
    <row r="169" customFormat="false" ht="14.4" hidden="false" customHeight="false" outlineLevel="0" collapsed="false">
      <c r="A169" s="218"/>
      <c r="B169" s="251"/>
      <c r="C169" s="251"/>
      <c r="D169" s="252"/>
      <c r="E169" s="212" t="s">
        <v>2007</v>
      </c>
      <c r="F169" s="212" t="s">
        <v>120</v>
      </c>
      <c r="G169" s="250" t="n">
        <v>40.33</v>
      </c>
    </row>
    <row r="170" customFormat="false" ht="14.4" hidden="false" customHeight="false" outlineLevel="0" collapsed="false">
      <c r="A170" s="218"/>
      <c r="B170" s="251"/>
      <c r="C170" s="251"/>
      <c r="D170" s="261" t="s">
        <v>7093</v>
      </c>
      <c r="E170" s="224"/>
      <c r="F170" s="225"/>
      <c r="G170" s="217" t="n">
        <v>360.83</v>
      </c>
    </row>
    <row r="171" customFormat="false" ht="14.4" hidden="false" customHeight="false" outlineLevel="0" collapsed="false">
      <c r="A171" s="218"/>
      <c r="B171" s="251"/>
      <c r="C171" s="251"/>
      <c r="D171" s="212" t="s">
        <v>1966</v>
      </c>
      <c r="E171" s="212" t="s">
        <v>1964</v>
      </c>
      <c r="F171" s="212" t="s">
        <v>120</v>
      </c>
      <c r="G171" s="250" t="n">
        <v>50.57</v>
      </c>
    </row>
    <row r="172" customFormat="false" ht="14.4" hidden="false" customHeight="false" outlineLevel="0" collapsed="false">
      <c r="A172" s="218"/>
      <c r="B172" s="251"/>
      <c r="C172" s="251"/>
      <c r="D172" s="261" t="s">
        <v>7094</v>
      </c>
      <c r="E172" s="224"/>
      <c r="F172" s="225"/>
      <c r="G172" s="217" t="n">
        <v>50.57</v>
      </c>
    </row>
    <row r="173" customFormat="false" ht="14.4" hidden="false" customHeight="false" outlineLevel="0" collapsed="false">
      <c r="A173" s="218"/>
      <c r="B173" s="251"/>
      <c r="C173" s="251"/>
      <c r="D173" s="249" t="s">
        <v>1855</v>
      </c>
      <c r="E173" s="212" t="s">
        <v>1854</v>
      </c>
      <c r="F173" s="212" t="s">
        <v>120</v>
      </c>
      <c r="G173" s="250" t="n">
        <v>241.83</v>
      </c>
    </row>
    <row r="174" customFormat="false" ht="14.4" hidden="false" customHeight="false" outlineLevel="0" collapsed="false">
      <c r="A174" s="218"/>
      <c r="B174" s="251"/>
      <c r="C174" s="251"/>
      <c r="D174" s="251"/>
      <c r="E174" s="212" t="s">
        <v>1870</v>
      </c>
      <c r="F174" s="212" t="s">
        <v>120</v>
      </c>
      <c r="G174" s="250" t="n">
        <v>123.57</v>
      </c>
    </row>
    <row r="175" customFormat="false" ht="14.4" hidden="false" customHeight="false" outlineLevel="0" collapsed="false">
      <c r="A175" s="218"/>
      <c r="B175" s="251"/>
      <c r="C175" s="251"/>
      <c r="D175" s="251"/>
      <c r="E175" s="212" t="s">
        <v>1881</v>
      </c>
      <c r="F175" s="212" t="s">
        <v>120</v>
      </c>
      <c r="G175" s="250" t="n">
        <v>239.35</v>
      </c>
    </row>
    <row r="176" customFormat="false" ht="14.4" hidden="false" customHeight="false" outlineLevel="0" collapsed="false">
      <c r="A176" s="218"/>
      <c r="B176" s="251"/>
      <c r="C176" s="251"/>
      <c r="D176" s="251"/>
      <c r="E176" s="212" t="s">
        <v>1907</v>
      </c>
      <c r="F176" s="212" t="s">
        <v>120</v>
      </c>
      <c r="G176" s="250" t="n">
        <v>45.53</v>
      </c>
    </row>
    <row r="177" customFormat="false" ht="14.4" hidden="false" customHeight="false" outlineLevel="0" collapsed="false">
      <c r="A177" s="218"/>
      <c r="B177" s="251"/>
      <c r="C177" s="251"/>
      <c r="D177" s="251"/>
      <c r="E177" s="212" t="s">
        <v>1914</v>
      </c>
      <c r="F177" s="212" t="s">
        <v>120</v>
      </c>
      <c r="G177" s="250" t="n">
        <v>47.99</v>
      </c>
    </row>
    <row r="178" customFormat="false" ht="14.4" hidden="false" customHeight="false" outlineLevel="0" collapsed="false">
      <c r="A178" s="218"/>
      <c r="B178" s="251"/>
      <c r="C178" s="251"/>
      <c r="D178" s="252"/>
      <c r="E178" s="212" t="s">
        <v>1921</v>
      </c>
      <c r="F178" s="212" t="s">
        <v>120</v>
      </c>
      <c r="G178" s="250" t="n">
        <v>81.59</v>
      </c>
    </row>
    <row r="179" customFormat="false" ht="14.4" hidden="false" customHeight="false" outlineLevel="0" collapsed="false">
      <c r="A179" s="218"/>
      <c r="B179" s="251"/>
      <c r="C179" s="251"/>
      <c r="D179" s="261" t="s">
        <v>7095</v>
      </c>
      <c r="E179" s="224"/>
      <c r="F179" s="225"/>
      <c r="G179" s="217" t="n">
        <v>779.86</v>
      </c>
    </row>
    <row r="180" customFormat="false" ht="14.4" hidden="false" customHeight="false" outlineLevel="0" collapsed="false">
      <c r="A180" s="218"/>
      <c r="B180" s="251"/>
      <c r="C180" s="251"/>
      <c r="D180" s="249" t="s">
        <v>1940</v>
      </c>
      <c r="E180" s="212" t="s">
        <v>1939</v>
      </c>
      <c r="F180" s="212" t="s">
        <v>120</v>
      </c>
      <c r="G180" s="250" t="n">
        <v>240.69</v>
      </c>
    </row>
    <row r="181" customFormat="false" ht="14.4" hidden="false" customHeight="false" outlineLevel="0" collapsed="false">
      <c r="A181" s="218"/>
      <c r="B181" s="251"/>
      <c r="C181" s="251"/>
      <c r="D181" s="252"/>
      <c r="E181" s="212" t="s">
        <v>1994</v>
      </c>
      <c r="F181" s="212" t="s">
        <v>120</v>
      </c>
      <c r="G181" s="250" t="n">
        <v>71.99</v>
      </c>
    </row>
    <row r="182" customFormat="false" ht="14.4" hidden="false" customHeight="false" outlineLevel="0" collapsed="false">
      <c r="A182" s="218"/>
      <c r="B182" s="251"/>
      <c r="C182" s="251"/>
      <c r="D182" s="261" t="s">
        <v>7096</v>
      </c>
      <c r="E182" s="224"/>
      <c r="F182" s="225"/>
      <c r="G182" s="217" t="n">
        <v>312.68</v>
      </c>
    </row>
    <row r="183" customFormat="false" ht="14.4" hidden="false" customHeight="false" outlineLevel="0" collapsed="false">
      <c r="A183" s="218"/>
      <c r="B183" s="251"/>
      <c r="C183" s="251"/>
      <c r="D183" s="249" t="s">
        <v>7055</v>
      </c>
      <c r="E183" s="212" t="s">
        <v>1592</v>
      </c>
      <c r="F183" s="212" t="s">
        <v>120</v>
      </c>
      <c r="G183" s="250" t="n">
        <v>150.31</v>
      </c>
    </row>
    <row r="184" customFormat="false" ht="14.4" hidden="false" customHeight="false" outlineLevel="0" collapsed="false">
      <c r="A184" s="218"/>
      <c r="B184" s="251"/>
      <c r="C184" s="251"/>
      <c r="D184" s="251"/>
      <c r="E184" s="212" t="s">
        <v>1642</v>
      </c>
      <c r="F184" s="212" t="s">
        <v>120</v>
      </c>
      <c r="G184" s="250" t="n">
        <v>15.26</v>
      </c>
    </row>
    <row r="185" customFormat="false" ht="14.4" hidden="false" customHeight="false" outlineLevel="0" collapsed="false">
      <c r="A185" s="218"/>
      <c r="B185" s="251"/>
      <c r="C185" s="251"/>
      <c r="D185" s="251"/>
      <c r="E185" s="212" t="s">
        <v>1665</v>
      </c>
      <c r="F185" s="212" t="s">
        <v>120</v>
      </c>
      <c r="G185" s="250" t="n">
        <v>96.65</v>
      </c>
    </row>
    <row r="186" customFormat="false" ht="14.4" hidden="false" customHeight="false" outlineLevel="0" collapsed="false">
      <c r="A186" s="218"/>
      <c r="B186" s="251"/>
      <c r="C186" s="251"/>
      <c r="D186" s="251"/>
      <c r="E186" s="212" t="s">
        <v>1808</v>
      </c>
      <c r="F186" s="212" t="s">
        <v>120</v>
      </c>
      <c r="G186" s="250" t="n">
        <v>44.37</v>
      </c>
    </row>
    <row r="187" customFormat="false" ht="14.4" hidden="false" customHeight="false" outlineLevel="0" collapsed="false">
      <c r="A187" s="218"/>
      <c r="B187" s="251"/>
      <c r="C187" s="251"/>
      <c r="D187" s="251"/>
      <c r="E187" s="212" t="s">
        <v>1816</v>
      </c>
      <c r="F187" s="212" t="s">
        <v>120</v>
      </c>
      <c r="G187" s="250" t="n">
        <v>80.93</v>
      </c>
    </row>
    <row r="188" customFormat="false" ht="14.4" hidden="false" customHeight="false" outlineLevel="0" collapsed="false">
      <c r="A188" s="218"/>
      <c r="B188" s="251"/>
      <c r="C188" s="251"/>
      <c r="D188" s="251"/>
      <c r="E188" s="212" t="s">
        <v>1820</v>
      </c>
      <c r="F188" s="212" t="s">
        <v>120</v>
      </c>
      <c r="G188" s="250" t="n">
        <v>29.26</v>
      </c>
    </row>
    <row r="189" customFormat="false" ht="14.4" hidden="false" customHeight="false" outlineLevel="0" collapsed="false">
      <c r="A189" s="218"/>
      <c r="B189" s="251"/>
      <c r="C189" s="251"/>
      <c r="D189" s="251"/>
      <c r="E189" s="212" t="s">
        <v>1831</v>
      </c>
      <c r="F189" s="212" t="s">
        <v>120</v>
      </c>
      <c r="G189" s="250" t="n">
        <v>47.75</v>
      </c>
    </row>
    <row r="190" customFormat="false" ht="14.4" hidden="false" customHeight="false" outlineLevel="0" collapsed="false">
      <c r="A190" s="218"/>
      <c r="B190" s="251"/>
      <c r="C190" s="251"/>
      <c r="D190" s="251"/>
      <c r="E190" s="212" t="s">
        <v>1835</v>
      </c>
      <c r="F190" s="212" t="s">
        <v>120</v>
      </c>
      <c r="G190" s="250" t="n">
        <v>46.67</v>
      </c>
    </row>
    <row r="191" customFormat="false" ht="14.4" hidden="false" customHeight="false" outlineLevel="0" collapsed="false">
      <c r="A191" s="218"/>
      <c r="B191" s="251"/>
      <c r="C191" s="251"/>
      <c r="D191" s="251"/>
      <c r="E191" s="212" t="s">
        <v>1863</v>
      </c>
      <c r="F191" s="212" t="s">
        <v>120</v>
      </c>
      <c r="G191" s="250" t="n">
        <v>240.25</v>
      </c>
    </row>
    <row r="192" customFormat="false" ht="14.4" hidden="false" customHeight="false" outlineLevel="0" collapsed="false">
      <c r="A192" s="218"/>
      <c r="B192" s="251"/>
      <c r="C192" s="251"/>
      <c r="D192" s="251"/>
      <c r="E192" s="212" t="s">
        <v>1904</v>
      </c>
      <c r="F192" s="212" t="s">
        <v>120</v>
      </c>
      <c r="G192" s="250" t="n">
        <v>26.54</v>
      </c>
    </row>
    <row r="193" customFormat="false" ht="14.4" hidden="false" customHeight="false" outlineLevel="0" collapsed="false">
      <c r="A193" s="218"/>
      <c r="B193" s="251"/>
      <c r="C193" s="251"/>
      <c r="D193" s="251"/>
      <c r="E193" s="212" t="s">
        <v>1936</v>
      </c>
      <c r="F193" s="212" t="s">
        <v>120</v>
      </c>
      <c r="G193" s="250" t="n">
        <v>68.18</v>
      </c>
    </row>
    <row r="194" customFormat="false" ht="14.4" hidden="false" customHeight="false" outlineLevel="0" collapsed="false">
      <c r="A194" s="218"/>
      <c r="B194" s="251"/>
      <c r="C194" s="251"/>
      <c r="D194" s="252"/>
      <c r="E194" s="212" t="s">
        <v>1961</v>
      </c>
      <c r="F194" s="212" t="s">
        <v>120</v>
      </c>
      <c r="G194" s="250" t="n">
        <v>58.6</v>
      </c>
    </row>
    <row r="195" customFormat="false" ht="14.4" hidden="false" customHeight="false" outlineLevel="0" collapsed="false">
      <c r="A195" s="218"/>
      <c r="B195" s="252"/>
      <c r="C195" s="252"/>
      <c r="D195" s="261" t="s">
        <v>7060</v>
      </c>
      <c r="E195" s="224"/>
      <c r="F195" s="225"/>
      <c r="G195" s="217" t="n">
        <v>904.77</v>
      </c>
    </row>
    <row r="196" customFormat="false" ht="14.4" hidden="false" customHeight="false" outlineLevel="0" collapsed="false">
      <c r="A196" s="218"/>
      <c r="B196" s="249" t="s">
        <v>2033</v>
      </c>
      <c r="C196" s="249" t="s">
        <v>1594</v>
      </c>
      <c r="D196" s="249" t="s">
        <v>2117</v>
      </c>
      <c r="E196" s="212" t="s">
        <v>2116</v>
      </c>
      <c r="F196" s="212" t="s">
        <v>120</v>
      </c>
      <c r="G196" s="250" t="n">
        <v>14.39</v>
      </c>
    </row>
    <row r="197" customFormat="false" ht="14.4" hidden="false" customHeight="false" outlineLevel="0" collapsed="false">
      <c r="A197" s="218"/>
      <c r="B197" s="251"/>
      <c r="C197" s="251"/>
      <c r="D197" s="251"/>
      <c r="E197" s="212" t="s">
        <v>2120</v>
      </c>
      <c r="F197" s="212" t="s">
        <v>120</v>
      </c>
      <c r="G197" s="250" t="n">
        <v>23.37</v>
      </c>
    </row>
    <row r="198" customFormat="false" ht="14.4" hidden="false" customHeight="false" outlineLevel="0" collapsed="false">
      <c r="A198" s="218"/>
      <c r="B198" s="251"/>
      <c r="C198" s="251"/>
      <c r="D198" s="251"/>
      <c r="E198" s="212" t="s">
        <v>2131</v>
      </c>
      <c r="F198" s="212" t="s">
        <v>120</v>
      </c>
      <c r="G198" s="250" t="n">
        <v>21.66</v>
      </c>
    </row>
    <row r="199" customFormat="false" ht="14.4" hidden="false" customHeight="false" outlineLevel="0" collapsed="false">
      <c r="A199" s="218"/>
      <c r="B199" s="251"/>
      <c r="C199" s="251"/>
      <c r="D199" s="251"/>
      <c r="E199" s="212" t="s">
        <v>2142</v>
      </c>
      <c r="F199" s="212" t="s">
        <v>120</v>
      </c>
      <c r="G199" s="250" t="n">
        <v>12.04</v>
      </c>
    </row>
    <row r="200" customFormat="false" ht="14.4" hidden="false" customHeight="false" outlineLevel="0" collapsed="false">
      <c r="A200" s="218"/>
      <c r="B200" s="251"/>
      <c r="C200" s="251"/>
      <c r="D200" s="252"/>
      <c r="E200" s="212" t="s">
        <v>2174</v>
      </c>
      <c r="F200" s="212" t="s">
        <v>120</v>
      </c>
      <c r="G200" s="250" t="n">
        <v>17.95</v>
      </c>
    </row>
    <row r="201" customFormat="false" ht="14.4" hidden="false" customHeight="false" outlineLevel="0" collapsed="false">
      <c r="A201" s="218"/>
      <c r="B201" s="251"/>
      <c r="C201" s="251"/>
      <c r="D201" s="261" t="s">
        <v>7083</v>
      </c>
      <c r="E201" s="224"/>
      <c r="F201" s="225"/>
      <c r="G201" s="217" t="n">
        <v>89.41</v>
      </c>
    </row>
    <row r="202" customFormat="false" ht="14.4" hidden="false" customHeight="false" outlineLevel="0" collapsed="false">
      <c r="A202" s="218"/>
      <c r="B202" s="251"/>
      <c r="C202" s="251"/>
      <c r="D202" s="249" t="s">
        <v>2035</v>
      </c>
      <c r="E202" s="212" t="s">
        <v>2034</v>
      </c>
      <c r="F202" s="212" t="s">
        <v>120</v>
      </c>
      <c r="G202" s="250" t="n">
        <v>65.09</v>
      </c>
    </row>
    <row r="203" customFormat="false" ht="14.4" hidden="false" customHeight="false" outlineLevel="0" collapsed="false">
      <c r="A203" s="218"/>
      <c r="B203" s="251"/>
      <c r="C203" s="251"/>
      <c r="D203" s="251"/>
      <c r="E203" s="212" t="s">
        <v>2073</v>
      </c>
      <c r="F203" s="212" t="s">
        <v>120</v>
      </c>
      <c r="G203" s="250" t="n">
        <v>399.22</v>
      </c>
    </row>
    <row r="204" customFormat="false" ht="14.4" hidden="false" customHeight="false" outlineLevel="0" collapsed="false">
      <c r="A204" s="218"/>
      <c r="B204" s="251"/>
      <c r="C204" s="251"/>
      <c r="D204" s="251"/>
      <c r="E204" s="212" t="s">
        <v>2215</v>
      </c>
      <c r="F204" s="212" t="s">
        <v>120</v>
      </c>
      <c r="G204" s="250" t="n">
        <v>2.62</v>
      </c>
    </row>
    <row r="205" customFormat="false" ht="14.4" hidden="false" customHeight="false" outlineLevel="0" collapsed="false">
      <c r="A205" s="218"/>
      <c r="B205" s="251"/>
      <c r="C205" s="251"/>
      <c r="D205" s="252"/>
      <c r="E205" s="212" t="s">
        <v>2222</v>
      </c>
      <c r="F205" s="212" t="s">
        <v>120</v>
      </c>
      <c r="G205" s="250" t="n">
        <v>230.28</v>
      </c>
    </row>
    <row r="206" customFormat="false" ht="14.4" hidden="false" customHeight="false" outlineLevel="0" collapsed="false">
      <c r="A206" s="218"/>
      <c r="B206" s="251"/>
      <c r="C206" s="251"/>
      <c r="D206" s="261" t="s">
        <v>7097</v>
      </c>
      <c r="E206" s="224"/>
      <c r="F206" s="225"/>
      <c r="G206" s="217" t="n">
        <v>697.21</v>
      </c>
    </row>
    <row r="207" customFormat="false" ht="14.4" hidden="false" customHeight="false" outlineLevel="0" collapsed="false">
      <c r="A207" s="218"/>
      <c r="B207" s="251"/>
      <c r="C207" s="251"/>
      <c r="D207" s="249" t="s">
        <v>2042</v>
      </c>
      <c r="E207" s="212" t="s">
        <v>2041</v>
      </c>
      <c r="F207" s="212" t="s">
        <v>120</v>
      </c>
      <c r="G207" s="250" t="n">
        <v>25.23</v>
      </c>
    </row>
    <row r="208" customFormat="false" ht="14.4" hidden="false" customHeight="false" outlineLevel="0" collapsed="false">
      <c r="A208" s="218"/>
      <c r="B208" s="251"/>
      <c r="C208" s="251"/>
      <c r="D208" s="251"/>
      <c r="E208" s="212" t="s">
        <v>2047</v>
      </c>
      <c r="F208" s="212" t="s">
        <v>120</v>
      </c>
      <c r="G208" s="250" t="n">
        <v>14.82</v>
      </c>
    </row>
    <row r="209" customFormat="false" ht="14.4" hidden="false" customHeight="false" outlineLevel="0" collapsed="false">
      <c r="A209" s="218"/>
      <c r="B209" s="251"/>
      <c r="C209" s="251"/>
      <c r="D209" s="251"/>
      <c r="E209" s="212" t="s">
        <v>2049</v>
      </c>
      <c r="F209" s="212" t="s">
        <v>120</v>
      </c>
      <c r="G209" s="250" t="n">
        <v>31.76</v>
      </c>
    </row>
    <row r="210" customFormat="false" ht="14.4" hidden="false" customHeight="false" outlineLevel="0" collapsed="false">
      <c r="A210" s="218"/>
      <c r="B210" s="251"/>
      <c r="C210" s="251"/>
      <c r="D210" s="252"/>
      <c r="E210" s="212" t="s">
        <v>2100</v>
      </c>
      <c r="F210" s="212" t="s">
        <v>120</v>
      </c>
      <c r="G210" s="250" t="n">
        <v>61.89</v>
      </c>
    </row>
    <row r="211" customFormat="false" ht="14.4" hidden="false" customHeight="false" outlineLevel="0" collapsed="false">
      <c r="A211" s="218"/>
      <c r="B211" s="251"/>
      <c r="C211" s="251"/>
      <c r="D211" s="261" t="s">
        <v>7098</v>
      </c>
      <c r="E211" s="224"/>
      <c r="F211" s="225"/>
      <c r="G211" s="217" t="n">
        <v>133.7</v>
      </c>
    </row>
    <row r="212" customFormat="false" ht="14.4" hidden="false" customHeight="false" outlineLevel="0" collapsed="false">
      <c r="A212" s="218"/>
      <c r="B212" s="251"/>
      <c r="C212" s="251"/>
      <c r="D212" s="249" t="s">
        <v>2053</v>
      </c>
      <c r="E212" s="212" t="s">
        <v>2052</v>
      </c>
      <c r="F212" s="212" t="s">
        <v>120</v>
      </c>
      <c r="G212" s="250" t="n">
        <v>66.41</v>
      </c>
    </row>
    <row r="213" customFormat="false" ht="14.4" hidden="false" customHeight="false" outlineLevel="0" collapsed="false">
      <c r="A213" s="218"/>
      <c r="B213" s="251"/>
      <c r="C213" s="251"/>
      <c r="D213" s="251"/>
      <c r="E213" s="212" t="s">
        <v>2058</v>
      </c>
      <c r="F213" s="212" t="s">
        <v>120</v>
      </c>
      <c r="G213" s="250" t="n">
        <v>27.38</v>
      </c>
    </row>
    <row r="214" customFormat="false" ht="14.4" hidden="false" customHeight="false" outlineLevel="0" collapsed="false">
      <c r="A214" s="218"/>
      <c r="B214" s="251"/>
      <c r="C214" s="251"/>
      <c r="D214" s="251"/>
      <c r="E214" s="212" t="s">
        <v>2077</v>
      </c>
      <c r="F214" s="212" t="s">
        <v>120</v>
      </c>
      <c r="G214" s="250" t="n">
        <v>25.15</v>
      </c>
    </row>
    <row r="215" customFormat="false" ht="14.4" hidden="false" customHeight="false" outlineLevel="0" collapsed="false">
      <c r="A215" s="218"/>
      <c r="B215" s="251"/>
      <c r="C215" s="251"/>
      <c r="D215" s="251"/>
      <c r="E215" s="212" t="s">
        <v>2201</v>
      </c>
      <c r="F215" s="212" t="s">
        <v>120</v>
      </c>
      <c r="G215" s="250" t="n">
        <v>106.49</v>
      </c>
    </row>
    <row r="216" customFormat="false" ht="14.4" hidden="false" customHeight="false" outlineLevel="0" collapsed="false">
      <c r="A216" s="218"/>
      <c r="B216" s="251"/>
      <c r="C216" s="251"/>
      <c r="D216" s="252"/>
      <c r="E216" s="212" t="s">
        <v>2219</v>
      </c>
      <c r="F216" s="212" t="s">
        <v>120</v>
      </c>
      <c r="G216" s="250" t="n">
        <v>102.33</v>
      </c>
    </row>
    <row r="217" customFormat="false" ht="14.4" hidden="false" customHeight="false" outlineLevel="0" collapsed="false">
      <c r="A217" s="218"/>
      <c r="B217" s="251"/>
      <c r="C217" s="251"/>
      <c r="D217" s="261" t="s">
        <v>7099</v>
      </c>
      <c r="E217" s="224"/>
      <c r="F217" s="225"/>
      <c r="G217" s="217" t="n">
        <v>327.76</v>
      </c>
    </row>
    <row r="218" customFormat="false" ht="14.4" hidden="false" customHeight="false" outlineLevel="0" collapsed="false">
      <c r="A218" s="218"/>
      <c r="B218" s="251"/>
      <c r="C218" s="251"/>
      <c r="D218" s="249" t="s">
        <v>2063</v>
      </c>
      <c r="E218" s="212" t="s">
        <v>2062</v>
      </c>
      <c r="F218" s="212" t="s">
        <v>120</v>
      </c>
      <c r="G218" s="250" t="n">
        <v>71.45</v>
      </c>
    </row>
    <row r="219" customFormat="false" ht="14.4" hidden="false" customHeight="false" outlineLevel="0" collapsed="false">
      <c r="A219" s="218"/>
      <c r="B219" s="251"/>
      <c r="C219" s="251"/>
      <c r="D219" s="251"/>
      <c r="E219" s="212" t="s">
        <v>2068</v>
      </c>
      <c r="F219" s="212" t="s">
        <v>120</v>
      </c>
      <c r="G219" s="250" t="n">
        <v>75.99</v>
      </c>
    </row>
    <row r="220" customFormat="false" ht="14.4" hidden="false" customHeight="false" outlineLevel="0" collapsed="false">
      <c r="A220" s="218"/>
      <c r="B220" s="251"/>
      <c r="C220" s="251"/>
      <c r="D220" s="251"/>
      <c r="E220" s="212" t="s">
        <v>2083</v>
      </c>
      <c r="F220" s="212" t="s">
        <v>120</v>
      </c>
      <c r="G220" s="250" t="n">
        <v>20.36</v>
      </c>
    </row>
    <row r="221" customFormat="false" ht="14.4" hidden="false" customHeight="false" outlineLevel="0" collapsed="false">
      <c r="A221" s="218"/>
      <c r="B221" s="251"/>
      <c r="C221" s="251"/>
      <c r="D221" s="251"/>
      <c r="E221" s="212" t="s">
        <v>2086</v>
      </c>
      <c r="F221" s="212" t="s">
        <v>120</v>
      </c>
      <c r="G221" s="250" t="n">
        <v>23.86</v>
      </c>
    </row>
    <row r="222" customFormat="false" ht="14.4" hidden="false" customHeight="false" outlineLevel="0" collapsed="false">
      <c r="A222" s="218"/>
      <c r="B222" s="251"/>
      <c r="C222" s="251"/>
      <c r="D222" s="251"/>
      <c r="E222" s="212" t="s">
        <v>2089</v>
      </c>
      <c r="F222" s="212" t="s">
        <v>120</v>
      </c>
      <c r="G222" s="250" t="n">
        <v>12.88</v>
      </c>
    </row>
    <row r="223" customFormat="false" ht="14.4" hidden="false" customHeight="false" outlineLevel="0" collapsed="false">
      <c r="A223" s="218"/>
      <c r="B223" s="251"/>
      <c r="C223" s="251"/>
      <c r="D223" s="251"/>
      <c r="E223" s="212" t="s">
        <v>2096</v>
      </c>
      <c r="F223" s="212" t="s">
        <v>120</v>
      </c>
      <c r="G223" s="250" t="n">
        <v>25.82</v>
      </c>
    </row>
    <row r="224" customFormat="false" ht="14.4" hidden="false" customHeight="false" outlineLevel="0" collapsed="false">
      <c r="A224" s="218"/>
      <c r="B224" s="251"/>
      <c r="C224" s="251"/>
      <c r="D224" s="251"/>
      <c r="E224" s="212" t="s">
        <v>2108</v>
      </c>
      <c r="F224" s="212" t="s">
        <v>120</v>
      </c>
      <c r="G224" s="250" t="n">
        <v>72.22</v>
      </c>
    </row>
    <row r="225" customFormat="false" ht="14.4" hidden="false" customHeight="false" outlineLevel="0" collapsed="false">
      <c r="A225" s="218"/>
      <c r="B225" s="251"/>
      <c r="C225" s="251"/>
      <c r="D225" s="251"/>
      <c r="E225" s="212" t="s">
        <v>2111</v>
      </c>
      <c r="F225" s="212" t="s">
        <v>120</v>
      </c>
      <c r="G225" s="250" t="n">
        <v>63.39</v>
      </c>
    </row>
    <row r="226" customFormat="false" ht="14.4" hidden="false" customHeight="false" outlineLevel="0" collapsed="false">
      <c r="A226" s="218"/>
      <c r="B226" s="251"/>
      <c r="C226" s="251"/>
      <c r="D226" s="251"/>
      <c r="E226" s="212" t="s">
        <v>2123</v>
      </c>
      <c r="F226" s="212" t="s">
        <v>120</v>
      </c>
      <c r="G226" s="250" t="n">
        <v>18.28</v>
      </c>
    </row>
    <row r="227" customFormat="false" ht="14.4" hidden="false" customHeight="false" outlineLevel="0" collapsed="false">
      <c r="A227" s="218"/>
      <c r="B227" s="251"/>
      <c r="C227" s="251"/>
      <c r="D227" s="251"/>
      <c r="E227" s="212" t="s">
        <v>2126</v>
      </c>
      <c r="F227" s="212" t="s">
        <v>120</v>
      </c>
      <c r="G227" s="250" t="n">
        <v>57.63</v>
      </c>
    </row>
    <row r="228" customFormat="false" ht="14.4" hidden="false" customHeight="false" outlineLevel="0" collapsed="false">
      <c r="A228" s="218"/>
      <c r="B228" s="251"/>
      <c r="C228" s="251"/>
      <c r="D228" s="251"/>
      <c r="E228" s="212" t="s">
        <v>2134</v>
      </c>
      <c r="F228" s="212" t="s">
        <v>120</v>
      </c>
      <c r="G228" s="250" t="n">
        <v>72.64</v>
      </c>
    </row>
    <row r="229" customFormat="false" ht="14.4" hidden="false" customHeight="false" outlineLevel="0" collapsed="false">
      <c r="A229" s="218"/>
      <c r="B229" s="251"/>
      <c r="C229" s="251"/>
      <c r="D229" s="251"/>
      <c r="E229" s="212" t="s">
        <v>2139</v>
      </c>
      <c r="F229" s="212" t="s">
        <v>120</v>
      </c>
      <c r="G229" s="250" t="n">
        <v>56.57</v>
      </c>
    </row>
    <row r="230" customFormat="false" ht="14.4" hidden="false" customHeight="false" outlineLevel="0" collapsed="false">
      <c r="A230" s="218"/>
      <c r="B230" s="251"/>
      <c r="C230" s="251"/>
      <c r="D230" s="251"/>
      <c r="E230" s="212" t="s">
        <v>2145</v>
      </c>
      <c r="F230" s="212" t="s">
        <v>120</v>
      </c>
      <c r="G230" s="250" t="n">
        <v>71.94</v>
      </c>
    </row>
    <row r="231" customFormat="false" ht="14.4" hidden="false" customHeight="false" outlineLevel="0" collapsed="false">
      <c r="A231" s="218"/>
      <c r="B231" s="251"/>
      <c r="C231" s="251"/>
      <c r="D231" s="251"/>
      <c r="E231" s="212" t="s">
        <v>2150</v>
      </c>
      <c r="F231" s="212" t="s">
        <v>120</v>
      </c>
      <c r="G231" s="250" t="n">
        <v>33.96</v>
      </c>
    </row>
    <row r="232" customFormat="false" ht="14.4" hidden="false" customHeight="false" outlineLevel="0" collapsed="false">
      <c r="A232" s="218"/>
      <c r="B232" s="251"/>
      <c r="C232" s="251"/>
      <c r="D232" s="251"/>
      <c r="E232" s="212" t="s">
        <v>2153</v>
      </c>
      <c r="F232" s="212" t="s">
        <v>120</v>
      </c>
      <c r="G232" s="250" t="n">
        <v>33.18</v>
      </c>
    </row>
    <row r="233" customFormat="false" ht="14.4" hidden="false" customHeight="false" outlineLevel="0" collapsed="false">
      <c r="A233" s="218"/>
      <c r="B233" s="251"/>
      <c r="C233" s="251"/>
      <c r="D233" s="251"/>
      <c r="E233" s="212" t="s">
        <v>2157</v>
      </c>
      <c r="F233" s="212" t="s">
        <v>120</v>
      </c>
      <c r="G233" s="250" t="n">
        <v>1.39</v>
      </c>
    </row>
    <row r="234" customFormat="false" ht="14.4" hidden="false" customHeight="false" outlineLevel="0" collapsed="false">
      <c r="A234" s="218"/>
      <c r="B234" s="251"/>
      <c r="C234" s="251"/>
      <c r="D234" s="251"/>
      <c r="E234" s="212" t="s">
        <v>2159</v>
      </c>
      <c r="F234" s="212" t="s">
        <v>120</v>
      </c>
      <c r="G234" s="250" t="n">
        <v>227.81</v>
      </c>
    </row>
    <row r="235" customFormat="false" ht="14.4" hidden="false" customHeight="false" outlineLevel="0" collapsed="false">
      <c r="A235" s="218"/>
      <c r="B235" s="251"/>
      <c r="C235" s="251"/>
      <c r="D235" s="252"/>
      <c r="E235" s="212" t="s">
        <v>2178</v>
      </c>
      <c r="F235" s="212" t="s">
        <v>120</v>
      </c>
      <c r="G235" s="250" t="n">
        <v>75.73</v>
      </c>
    </row>
    <row r="236" customFormat="false" ht="14.4" hidden="false" customHeight="false" outlineLevel="0" collapsed="false">
      <c r="A236" s="218"/>
      <c r="B236" s="251"/>
      <c r="C236" s="251"/>
      <c r="D236" s="261" t="s">
        <v>7100</v>
      </c>
      <c r="E236" s="224"/>
      <c r="F236" s="225"/>
      <c r="G236" s="217" t="n">
        <v>1015.1</v>
      </c>
    </row>
    <row r="237" customFormat="false" ht="14.4" hidden="false" customHeight="false" outlineLevel="0" collapsed="false">
      <c r="A237" s="218"/>
      <c r="B237" s="251"/>
      <c r="C237" s="251"/>
      <c r="D237" s="249" t="s">
        <v>2080</v>
      </c>
      <c r="E237" s="212" t="s">
        <v>2079</v>
      </c>
      <c r="F237" s="212" t="s">
        <v>120</v>
      </c>
      <c r="G237" s="250" t="n">
        <v>60.24</v>
      </c>
    </row>
    <row r="238" customFormat="false" ht="14.4" hidden="false" customHeight="false" outlineLevel="0" collapsed="false">
      <c r="A238" s="218"/>
      <c r="B238" s="251"/>
      <c r="C238" s="251"/>
      <c r="D238" s="251"/>
      <c r="E238" s="212" t="s">
        <v>2093</v>
      </c>
      <c r="F238" s="212" t="s">
        <v>120</v>
      </c>
      <c r="G238" s="250" t="n">
        <v>20.89</v>
      </c>
    </row>
    <row r="239" customFormat="false" ht="14.4" hidden="false" customHeight="false" outlineLevel="0" collapsed="false">
      <c r="A239" s="218"/>
      <c r="B239" s="251"/>
      <c r="C239" s="251"/>
      <c r="D239" s="252"/>
      <c r="E239" s="212" t="s">
        <v>2105</v>
      </c>
      <c r="F239" s="212" t="s">
        <v>120</v>
      </c>
      <c r="G239" s="250" t="n">
        <v>10.93</v>
      </c>
    </row>
    <row r="240" customFormat="false" ht="14.4" hidden="false" customHeight="false" outlineLevel="0" collapsed="false">
      <c r="A240" s="218"/>
      <c r="B240" s="251"/>
      <c r="C240" s="251"/>
      <c r="D240" s="261" t="s">
        <v>7101</v>
      </c>
      <c r="E240" s="224"/>
      <c r="F240" s="225"/>
      <c r="G240" s="217" t="n">
        <v>92.06</v>
      </c>
    </row>
    <row r="241" customFormat="false" ht="14.4" hidden="false" customHeight="false" outlineLevel="0" collapsed="false">
      <c r="A241" s="218"/>
      <c r="B241" s="251"/>
      <c r="C241" s="251"/>
      <c r="D241" s="249" t="s">
        <v>2276</v>
      </c>
      <c r="E241" s="212" t="s">
        <v>2275</v>
      </c>
      <c r="F241" s="212" t="s">
        <v>120</v>
      </c>
      <c r="G241" s="250" t="n">
        <v>0.96</v>
      </c>
    </row>
    <row r="242" customFormat="false" ht="14.4" hidden="false" customHeight="false" outlineLevel="0" collapsed="false">
      <c r="A242" s="218"/>
      <c r="B242" s="251"/>
      <c r="C242" s="251"/>
      <c r="D242" s="251"/>
      <c r="E242" s="212" t="s">
        <v>2284</v>
      </c>
      <c r="F242" s="212" t="s">
        <v>120</v>
      </c>
      <c r="G242" s="250" t="n">
        <v>2.77</v>
      </c>
    </row>
    <row r="243" customFormat="false" ht="14.4" hidden="false" customHeight="false" outlineLevel="0" collapsed="false">
      <c r="A243" s="218"/>
      <c r="B243" s="251"/>
      <c r="C243" s="251"/>
      <c r="D243" s="252"/>
      <c r="E243" s="212" t="s">
        <v>2347</v>
      </c>
      <c r="F243" s="212" t="s">
        <v>120</v>
      </c>
      <c r="G243" s="250" t="n">
        <v>263.82</v>
      </c>
    </row>
    <row r="244" customFormat="false" ht="14.4" hidden="false" customHeight="false" outlineLevel="0" collapsed="false">
      <c r="A244" s="218"/>
      <c r="B244" s="251"/>
      <c r="C244" s="251"/>
      <c r="D244" s="261" t="s">
        <v>7102</v>
      </c>
      <c r="E244" s="224"/>
      <c r="F244" s="225"/>
      <c r="G244" s="217" t="n">
        <v>267.55</v>
      </c>
    </row>
    <row r="245" customFormat="false" ht="14.4" hidden="false" customHeight="false" outlineLevel="0" collapsed="false">
      <c r="A245" s="218"/>
      <c r="B245" s="251"/>
      <c r="C245" s="251"/>
      <c r="D245" s="249" t="s">
        <v>2339</v>
      </c>
      <c r="E245" s="212" t="s">
        <v>2338</v>
      </c>
      <c r="F245" s="212" t="s">
        <v>120</v>
      </c>
      <c r="G245" s="250" t="n">
        <v>48.01</v>
      </c>
    </row>
    <row r="246" customFormat="false" ht="14.4" hidden="false" customHeight="false" outlineLevel="0" collapsed="false">
      <c r="A246" s="218"/>
      <c r="B246" s="251"/>
      <c r="C246" s="251"/>
      <c r="D246" s="252"/>
      <c r="E246" s="212" t="s">
        <v>2343</v>
      </c>
      <c r="F246" s="212" t="s">
        <v>120</v>
      </c>
      <c r="G246" s="250" t="n">
        <v>61.88</v>
      </c>
    </row>
    <row r="247" customFormat="false" ht="14.4" hidden="false" customHeight="false" outlineLevel="0" collapsed="false">
      <c r="A247" s="218"/>
      <c r="B247" s="251"/>
      <c r="C247" s="251"/>
      <c r="D247" s="261" t="s">
        <v>7103</v>
      </c>
      <c r="E247" s="224"/>
      <c r="F247" s="225"/>
      <c r="G247" s="217" t="n">
        <v>109.89</v>
      </c>
    </row>
    <row r="248" customFormat="false" ht="14.4" hidden="false" customHeight="false" outlineLevel="0" collapsed="false">
      <c r="A248" s="218"/>
      <c r="B248" s="251"/>
      <c r="C248" s="251"/>
      <c r="D248" s="249" t="s">
        <v>2387</v>
      </c>
      <c r="E248" s="212" t="s">
        <v>2386</v>
      </c>
      <c r="F248" s="212" t="s">
        <v>120</v>
      </c>
      <c r="G248" s="250" t="n">
        <v>266.27</v>
      </c>
    </row>
    <row r="249" customFormat="false" ht="14.4" hidden="false" customHeight="false" outlineLevel="0" collapsed="false">
      <c r="A249" s="218"/>
      <c r="B249" s="251"/>
      <c r="C249" s="251"/>
      <c r="D249" s="251"/>
      <c r="E249" s="212" t="s">
        <v>2408</v>
      </c>
      <c r="F249" s="212" t="s">
        <v>120</v>
      </c>
      <c r="G249" s="250" t="n">
        <v>23.79</v>
      </c>
    </row>
    <row r="250" customFormat="false" ht="14.4" hidden="false" customHeight="false" outlineLevel="0" collapsed="false">
      <c r="A250" s="218"/>
      <c r="B250" s="251"/>
      <c r="C250" s="251"/>
      <c r="D250" s="251"/>
      <c r="E250" s="212" t="s">
        <v>2431</v>
      </c>
      <c r="F250" s="212" t="s">
        <v>120</v>
      </c>
      <c r="G250" s="250" t="n">
        <v>38.69</v>
      </c>
    </row>
    <row r="251" customFormat="false" ht="14.4" hidden="false" customHeight="false" outlineLevel="0" collapsed="false">
      <c r="A251" s="218"/>
      <c r="B251" s="251"/>
      <c r="C251" s="251"/>
      <c r="D251" s="251"/>
      <c r="E251" s="212" t="s">
        <v>2442</v>
      </c>
      <c r="F251" s="212" t="s">
        <v>120</v>
      </c>
      <c r="G251" s="250" t="n">
        <v>47.46</v>
      </c>
    </row>
    <row r="252" customFormat="false" ht="14.4" hidden="false" customHeight="false" outlineLevel="0" collapsed="false">
      <c r="A252" s="218"/>
      <c r="B252" s="251"/>
      <c r="C252" s="251"/>
      <c r="D252" s="251"/>
      <c r="E252" s="212" t="s">
        <v>2454</v>
      </c>
      <c r="F252" s="212" t="s">
        <v>120</v>
      </c>
      <c r="G252" s="250" t="n">
        <v>79.49</v>
      </c>
    </row>
    <row r="253" customFormat="false" ht="14.4" hidden="false" customHeight="false" outlineLevel="0" collapsed="false">
      <c r="A253" s="218"/>
      <c r="B253" s="251"/>
      <c r="C253" s="251"/>
      <c r="D253" s="251"/>
      <c r="E253" s="212" t="s">
        <v>2458</v>
      </c>
      <c r="F253" s="212" t="s">
        <v>120</v>
      </c>
      <c r="G253" s="250" t="n">
        <v>53.44</v>
      </c>
    </row>
    <row r="254" customFormat="false" ht="14.4" hidden="false" customHeight="false" outlineLevel="0" collapsed="false">
      <c r="A254" s="218"/>
      <c r="B254" s="251"/>
      <c r="C254" s="251"/>
      <c r="D254" s="251"/>
      <c r="E254" s="212" t="s">
        <v>2462</v>
      </c>
      <c r="F254" s="212" t="s">
        <v>120</v>
      </c>
      <c r="G254" s="250" t="n">
        <v>44.38</v>
      </c>
    </row>
    <row r="255" customFormat="false" ht="14.4" hidden="false" customHeight="false" outlineLevel="0" collapsed="false">
      <c r="A255" s="218"/>
      <c r="B255" s="251"/>
      <c r="C255" s="251"/>
      <c r="D255" s="251"/>
      <c r="E255" s="212" t="s">
        <v>2479</v>
      </c>
      <c r="F255" s="212" t="s">
        <v>120</v>
      </c>
      <c r="G255" s="250" t="n">
        <v>79.36</v>
      </c>
    </row>
    <row r="256" customFormat="false" ht="14.4" hidden="false" customHeight="false" outlineLevel="0" collapsed="false">
      <c r="A256" s="218"/>
      <c r="B256" s="251"/>
      <c r="C256" s="251"/>
      <c r="D256" s="252"/>
      <c r="E256" s="212" t="s">
        <v>2482</v>
      </c>
      <c r="F256" s="212" t="s">
        <v>120</v>
      </c>
      <c r="G256" s="250" t="n">
        <v>163.42</v>
      </c>
    </row>
    <row r="257" customFormat="false" ht="14.4" hidden="false" customHeight="false" outlineLevel="0" collapsed="false">
      <c r="A257" s="218"/>
      <c r="B257" s="251"/>
      <c r="C257" s="251"/>
      <c r="D257" s="261" t="s">
        <v>7075</v>
      </c>
      <c r="E257" s="224"/>
      <c r="F257" s="225"/>
      <c r="G257" s="217" t="n">
        <v>796.3</v>
      </c>
    </row>
    <row r="258" customFormat="false" ht="14.4" hidden="false" customHeight="false" outlineLevel="0" collapsed="false">
      <c r="A258" s="218"/>
      <c r="B258" s="251"/>
      <c r="C258" s="251"/>
      <c r="D258" s="249" t="s">
        <v>2400</v>
      </c>
      <c r="E258" s="212" t="s">
        <v>2399</v>
      </c>
      <c r="F258" s="212" t="s">
        <v>120</v>
      </c>
      <c r="G258" s="250" t="n">
        <v>80.96</v>
      </c>
    </row>
    <row r="259" customFormat="false" ht="14.4" hidden="false" customHeight="false" outlineLevel="0" collapsed="false">
      <c r="A259" s="218"/>
      <c r="B259" s="251"/>
      <c r="C259" s="251"/>
      <c r="D259" s="251"/>
      <c r="E259" s="212" t="s">
        <v>2414</v>
      </c>
      <c r="F259" s="212" t="s">
        <v>120</v>
      </c>
      <c r="G259" s="250" t="n">
        <v>45.91</v>
      </c>
    </row>
    <row r="260" customFormat="false" ht="14.4" hidden="false" customHeight="false" outlineLevel="0" collapsed="false">
      <c r="A260" s="218"/>
      <c r="B260" s="251"/>
      <c r="C260" s="251"/>
      <c r="D260" s="251"/>
      <c r="E260" s="212" t="s">
        <v>2423</v>
      </c>
      <c r="F260" s="212" t="s">
        <v>120</v>
      </c>
      <c r="G260" s="250" t="n">
        <v>49.36</v>
      </c>
    </row>
    <row r="261" customFormat="false" ht="14.4" hidden="false" customHeight="false" outlineLevel="0" collapsed="false">
      <c r="A261" s="218"/>
      <c r="B261" s="251"/>
      <c r="C261" s="251"/>
      <c r="D261" s="251"/>
      <c r="E261" s="212" t="s">
        <v>2427</v>
      </c>
      <c r="F261" s="212" t="s">
        <v>120</v>
      </c>
      <c r="G261" s="250" t="n">
        <v>60.2</v>
      </c>
    </row>
    <row r="262" customFormat="false" ht="14.4" hidden="false" customHeight="false" outlineLevel="0" collapsed="false">
      <c r="A262" s="218"/>
      <c r="B262" s="251"/>
      <c r="C262" s="251"/>
      <c r="D262" s="251"/>
      <c r="E262" s="212" t="s">
        <v>2438</v>
      </c>
      <c r="F262" s="212" t="s">
        <v>120</v>
      </c>
      <c r="G262" s="250" t="n">
        <v>48.78</v>
      </c>
    </row>
    <row r="263" customFormat="false" ht="14.4" hidden="false" customHeight="false" outlineLevel="0" collapsed="false">
      <c r="A263" s="218"/>
      <c r="B263" s="251"/>
      <c r="C263" s="251"/>
      <c r="D263" s="251"/>
      <c r="E263" s="212" t="s">
        <v>2446</v>
      </c>
      <c r="F263" s="212" t="s">
        <v>120</v>
      </c>
      <c r="G263" s="250" t="n">
        <v>135.68</v>
      </c>
    </row>
    <row r="264" customFormat="false" ht="14.4" hidden="false" customHeight="false" outlineLevel="0" collapsed="false">
      <c r="A264" s="218"/>
      <c r="B264" s="251"/>
      <c r="C264" s="251"/>
      <c r="D264" s="251"/>
      <c r="E264" s="212" t="s">
        <v>2450</v>
      </c>
      <c r="F264" s="212" t="s">
        <v>120</v>
      </c>
      <c r="G264" s="250" t="n">
        <v>53.86</v>
      </c>
    </row>
    <row r="265" customFormat="false" ht="14.4" hidden="false" customHeight="false" outlineLevel="0" collapsed="false">
      <c r="A265" s="218"/>
      <c r="B265" s="251"/>
      <c r="C265" s="251"/>
      <c r="D265" s="251"/>
      <c r="E265" s="212" t="s">
        <v>2465</v>
      </c>
      <c r="F265" s="212" t="s">
        <v>120</v>
      </c>
      <c r="G265" s="250" t="n">
        <v>42.43</v>
      </c>
    </row>
    <row r="266" customFormat="false" ht="14.4" hidden="false" customHeight="false" outlineLevel="0" collapsed="false">
      <c r="A266" s="218"/>
      <c r="B266" s="251"/>
      <c r="C266" s="251"/>
      <c r="D266" s="251"/>
      <c r="E266" s="212" t="s">
        <v>2469</v>
      </c>
      <c r="F266" s="212" t="s">
        <v>120</v>
      </c>
      <c r="G266" s="250" t="n">
        <v>103.95</v>
      </c>
    </row>
    <row r="267" customFormat="false" ht="14.4" hidden="false" customHeight="false" outlineLevel="0" collapsed="false">
      <c r="A267" s="218"/>
      <c r="B267" s="251"/>
      <c r="C267" s="251"/>
      <c r="D267" s="251"/>
      <c r="E267" s="212" t="s">
        <v>2473</v>
      </c>
      <c r="F267" s="212" t="s">
        <v>120</v>
      </c>
      <c r="G267" s="250" t="n">
        <v>37.93</v>
      </c>
    </row>
    <row r="268" customFormat="false" ht="14.4" hidden="false" customHeight="false" outlineLevel="0" collapsed="false">
      <c r="A268" s="218"/>
      <c r="B268" s="251"/>
      <c r="C268" s="251"/>
      <c r="D268" s="251"/>
      <c r="E268" s="212" t="s">
        <v>2477</v>
      </c>
      <c r="F268" s="212" t="s">
        <v>120</v>
      </c>
      <c r="G268" s="250" t="n">
        <v>39.29</v>
      </c>
    </row>
    <row r="269" customFormat="false" ht="14.4" hidden="false" customHeight="false" outlineLevel="0" collapsed="false">
      <c r="A269" s="218"/>
      <c r="B269" s="251"/>
      <c r="C269" s="251"/>
      <c r="D269" s="251"/>
      <c r="E269" s="212" t="s">
        <v>2490</v>
      </c>
      <c r="F269" s="212" t="s">
        <v>120</v>
      </c>
      <c r="G269" s="250" t="n">
        <v>42.01</v>
      </c>
    </row>
    <row r="270" customFormat="false" ht="14.4" hidden="false" customHeight="false" outlineLevel="0" collapsed="false">
      <c r="A270" s="218"/>
      <c r="B270" s="251"/>
      <c r="C270" s="251"/>
      <c r="D270" s="251"/>
      <c r="E270" s="212" t="s">
        <v>2494</v>
      </c>
      <c r="F270" s="212" t="s">
        <v>120</v>
      </c>
      <c r="G270" s="250" t="n">
        <v>93.01</v>
      </c>
    </row>
    <row r="271" customFormat="false" ht="14.4" hidden="false" customHeight="false" outlineLevel="0" collapsed="false">
      <c r="A271" s="218"/>
      <c r="B271" s="251"/>
      <c r="C271" s="251"/>
      <c r="D271" s="252"/>
      <c r="E271" s="212" t="s">
        <v>2512</v>
      </c>
      <c r="F271" s="212" t="s">
        <v>120</v>
      </c>
      <c r="G271" s="250" t="n">
        <v>20.15</v>
      </c>
    </row>
    <row r="272" customFormat="false" ht="14.4" hidden="false" customHeight="false" outlineLevel="0" collapsed="false">
      <c r="A272" s="218"/>
      <c r="B272" s="251"/>
      <c r="C272" s="251"/>
      <c r="D272" s="261" t="s">
        <v>7104</v>
      </c>
      <c r="E272" s="224"/>
      <c r="F272" s="225"/>
      <c r="G272" s="217" t="n">
        <v>853.52</v>
      </c>
    </row>
    <row r="273" customFormat="false" ht="14.4" hidden="false" customHeight="false" outlineLevel="0" collapsed="false">
      <c r="A273" s="218"/>
      <c r="B273" s="251"/>
      <c r="C273" s="251"/>
      <c r="D273" s="249" t="s">
        <v>2209</v>
      </c>
      <c r="E273" s="212" t="s">
        <v>2208</v>
      </c>
      <c r="F273" s="212" t="s">
        <v>120</v>
      </c>
      <c r="G273" s="250" t="n">
        <v>8.61</v>
      </c>
    </row>
    <row r="274" customFormat="false" ht="14.4" hidden="false" customHeight="false" outlineLevel="0" collapsed="false">
      <c r="A274" s="218"/>
      <c r="B274" s="251"/>
      <c r="C274" s="251"/>
      <c r="D274" s="252"/>
      <c r="E274" s="212" t="s">
        <v>2212</v>
      </c>
      <c r="F274" s="212" t="s">
        <v>120</v>
      </c>
      <c r="G274" s="250" t="n">
        <v>28.83</v>
      </c>
    </row>
    <row r="275" customFormat="false" ht="14.4" hidden="false" customHeight="false" outlineLevel="0" collapsed="false">
      <c r="A275" s="218"/>
      <c r="B275" s="251"/>
      <c r="C275" s="251"/>
      <c r="D275" s="261" t="s">
        <v>7105</v>
      </c>
      <c r="E275" s="224"/>
      <c r="F275" s="225"/>
      <c r="G275" s="217" t="n">
        <v>37.44</v>
      </c>
    </row>
    <row r="276" customFormat="false" ht="14.4" hidden="false" customHeight="false" outlineLevel="0" collapsed="false">
      <c r="A276" s="218"/>
      <c r="B276" s="251"/>
      <c r="C276" s="251"/>
      <c r="D276" s="249" t="s">
        <v>2164</v>
      </c>
      <c r="E276" s="212" t="s">
        <v>2163</v>
      </c>
      <c r="F276" s="212" t="s">
        <v>120</v>
      </c>
      <c r="G276" s="250" t="n">
        <v>391.22</v>
      </c>
    </row>
    <row r="277" customFormat="false" ht="14.4" hidden="false" customHeight="false" outlineLevel="0" collapsed="false">
      <c r="A277" s="218"/>
      <c r="B277" s="251"/>
      <c r="C277" s="251"/>
      <c r="D277" s="252"/>
      <c r="E277" s="212" t="s">
        <v>2256</v>
      </c>
      <c r="F277" s="212" t="s">
        <v>120</v>
      </c>
      <c r="G277" s="250" t="n">
        <v>45.64</v>
      </c>
    </row>
    <row r="278" customFormat="false" ht="14.4" hidden="false" customHeight="false" outlineLevel="0" collapsed="false">
      <c r="A278" s="218"/>
      <c r="B278" s="251"/>
      <c r="C278" s="251"/>
      <c r="D278" s="261" t="s">
        <v>7106</v>
      </c>
      <c r="E278" s="224"/>
      <c r="F278" s="225"/>
      <c r="G278" s="217" t="n">
        <v>436.86</v>
      </c>
    </row>
    <row r="279" customFormat="false" ht="14.4" hidden="false" customHeight="false" outlineLevel="0" collapsed="false">
      <c r="A279" s="218"/>
      <c r="B279" s="251"/>
      <c r="C279" s="251"/>
      <c r="D279" s="249" t="s">
        <v>2186</v>
      </c>
      <c r="E279" s="212" t="s">
        <v>2185</v>
      </c>
      <c r="F279" s="212" t="s">
        <v>120</v>
      </c>
      <c r="G279" s="250" t="n">
        <v>375.8</v>
      </c>
    </row>
    <row r="280" customFormat="false" ht="14.4" hidden="false" customHeight="false" outlineLevel="0" collapsed="false">
      <c r="A280" s="218"/>
      <c r="B280" s="251"/>
      <c r="C280" s="251"/>
      <c r="D280" s="251"/>
      <c r="E280" s="212" t="s">
        <v>2197</v>
      </c>
      <c r="F280" s="212" t="s">
        <v>120</v>
      </c>
      <c r="G280" s="250" t="n">
        <v>359.87</v>
      </c>
    </row>
    <row r="281" customFormat="false" ht="14.4" hidden="false" customHeight="false" outlineLevel="0" collapsed="false">
      <c r="A281" s="218"/>
      <c r="B281" s="251"/>
      <c r="C281" s="251"/>
      <c r="D281" s="251"/>
      <c r="E281" s="212" t="s">
        <v>2263</v>
      </c>
      <c r="F281" s="212" t="s">
        <v>120</v>
      </c>
      <c r="G281" s="250" t="n">
        <v>35.68</v>
      </c>
    </row>
    <row r="282" customFormat="false" ht="14.4" hidden="false" customHeight="false" outlineLevel="0" collapsed="false">
      <c r="A282" s="218"/>
      <c r="B282" s="251"/>
      <c r="C282" s="251"/>
      <c r="D282" s="251"/>
      <c r="E282" s="212" t="s">
        <v>2268</v>
      </c>
      <c r="F282" s="212" t="s">
        <v>120</v>
      </c>
      <c r="G282" s="250" t="n">
        <v>32.57</v>
      </c>
    </row>
    <row r="283" customFormat="false" ht="14.4" hidden="false" customHeight="false" outlineLevel="0" collapsed="false">
      <c r="A283" s="218"/>
      <c r="B283" s="251"/>
      <c r="C283" s="251"/>
      <c r="D283" s="251"/>
      <c r="E283" s="212" t="s">
        <v>2271</v>
      </c>
      <c r="F283" s="212" t="s">
        <v>120</v>
      </c>
      <c r="G283" s="250" t="n">
        <v>3.77</v>
      </c>
    </row>
    <row r="284" customFormat="false" ht="14.4" hidden="false" customHeight="false" outlineLevel="0" collapsed="false">
      <c r="A284" s="218"/>
      <c r="B284" s="251"/>
      <c r="C284" s="251"/>
      <c r="D284" s="251"/>
      <c r="E284" s="212" t="s">
        <v>2281</v>
      </c>
      <c r="F284" s="212" t="s">
        <v>120</v>
      </c>
      <c r="G284" s="250" t="n">
        <v>19.33</v>
      </c>
    </row>
    <row r="285" customFormat="false" ht="14.4" hidden="false" customHeight="false" outlineLevel="0" collapsed="false">
      <c r="A285" s="218"/>
      <c r="B285" s="251"/>
      <c r="C285" s="251"/>
      <c r="D285" s="252"/>
      <c r="E285" s="212" t="s">
        <v>2296</v>
      </c>
      <c r="F285" s="212" t="s">
        <v>120</v>
      </c>
      <c r="G285" s="250" t="n">
        <v>10.36</v>
      </c>
    </row>
    <row r="286" customFormat="false" ht="14.4" hidden="false" customHeight="false" outlineLevel="0" collapsed="false">
      <c r="A286" s="218"/>
      <c r="B286" s="251"/>
      <c r="C286" s="251"/>
      <c r="D286" s="261" t="s">
        <v>7107</v>
      </c>
      <c r="E286" s="224"/>
      <c r="F286" s="225"/>
      <c r="G286" s="217" t="n">
        <v>837.38</v>
      </c>
    </row>
    <row r="287" customFormat="false" ht="14.4" hidden="false" customHeight="false" outlineLevel="0" collapsed="false">
      <c r="A287" s="218"/>
      <c r="B287" s="251"/>
      <c r="C287" s="251"/>
      <c r="D287" s="249" t="s">
        <v>2237</v>
      </c>
      <c r="E287" s="212" t="s">
        <v>2369</v>
      </c>
      <c r="F287" s="212" t="s">
        <v>120</v>
      </c>
      <c r="G287" s="250" t="n">
        <v>117.97</v>
      </c>
    </row>
    <row r="288" customFormat="false" ht="14.4" hidden="false" customHeight="false" outlineLevel="0" collapsed="false">
      <c r="A288" s="218"/>
      <c r="B288" s="251"/>
      <c r="C288" s="251"/>
      <c r="D288" s="251"/>
      <c r="E288" s="212" t="s">
        <v>2372</v>
      </c>
      <c r="F288" s="212" t="s">
        <v>120</v>
      </c>
      <c r="G288" s="250" t="n">
        <v>49.96</v>
      </c>
    </row>
    <row r="289" customFormat="false" ht="14.4" hidden="false" customHeight="false" outlineLevel="0" collapsed="false">
      <c r="A289" s="218"/>
      <c r="B289" s="251"/>
      <c r="C289" s="251"/>
      <c r="D289" s="251"/>
      <c r="E289" s="212" t="s">
        <v>2378</v>
      </c>
      <c r="F289" s="212" t="s">
        <v>120</v>
      </c>
      <c r="G289" s="250" t="n">
        <v>9.05</v>
      </c>
    </row>
    <row r="290" customFormat="false" ht="14.4" hidden="false" customHeight="false" outlineLevel="0" collapsed="false">
      <c r="A290" s="218"/>
      <c r="B290" s="251"/>
      <c r="C290" s="251"/>
      <c r="D290" s="251"/>
      <c r="E290" s="212" t="s">
        <v>2381</v>
      </c>
      <c r="F290" s="212" t="s">
        <v>120</v>
      </c>
      <c r="G290" s="250" t="n">
        <v>83.86</v>
      </c>
    </row>
    <row r="291" customFormat="false" ht="14.4" hidden="false" customHeight="false" outlineLevel="0" collapsed="false">
      <c r="A291" s="218"/>
      <c r="B291" s="251"/>
      <c r="C291" s="251"/>
      <c r="D291" s="251"/>
      <c r="E291" s="212" t="s">
        <v>2396</v>
      </c>
      <c r="F291" s="212" t="s">
        <v>120</v>
      </c>
      <c r="G291" s="250" t="n">
        <v>38.45</v>
      </c>
    </row>
    <row r="292" customFormat="false" ht="14.4" hidden="false" customHeight="false" outlineLevel="0" collapsed="false">
      <c r="A292" s="218"/>
      <c r="B292" s="251"/>
      <c r="C292" s="251"/>
      <c r="D292" s="251"/>
      <c r="E292" s="212" t="s">
        <v>2404</v>
      </c>
      <c r="F292" s="212" t="s">
        <v>120</v>
      </c>
      <c r="G292" s="250" t="n">
        <v>117.94</v>
      </c>
    </row>
    <row r="293" customFormat="false" ht="14.4" hidden="false" customHeight="false" outlineLevel="0" collapsed="false">
      <c r="A293" s="218"/>
      <c r="B293" s="251"/>
      <c r="C293" s="251"/>
      <c r="D293" s="251"/>
      <c r="E293" s="212" t="s">
        <v>2420</v>
      </c>
      <c r="F293" s="212" t="s">
        <v>120</v>
      </c>
      <c r="G293" s="250" t="n">
        <v>26.3</v>
      </c>
    </row>
    <row r="294" customFormat="false" ht="14.4" hidden="false" customHeight="false" outlineLevel="0" collapsed="false">
      <c r="A294" s="218"/>
      <c r="B294" s="251"/>
      <c r="C294" s="251"/>
      <c r="D294" s="252"/>
      <c r="E294" s="212" t="s">
        <v>2435</v>
      </c>
      <c r="F294" s="212" t="s">
        <v>120</v>
      </c>
      <c r="G294" s="250" t="n">
        <v>46.2</v>
      </c>
    </row>
    <row r="295" customFormat="false" ht="14.4" hidden="false" customHeight="false" outlineLevel="0" collapsed="false">
      <c r="A295" s="218"/>
      <c r="B295" s="251"/>
      <c r="C295" s="251"/>
      <c r="D295" s="261" t="s">
        <v>7081</v>
      </c>
      <c r="E295" s="224"/>
      <c r="F295" s="225"/>
      <c r="G295" s="217" t="n">
        <v>489.73</v>
      </c>
    </row>
    <row r="296" customFormat="false" ht="14.4" hidden="false" customHeight="false" outlineLevel="0" collapsed="false">
      <c r="A296" s="218"/>
      <c r="B296" s="251"/>
      <c r="C296" s="251"/>
      <c r="D296" s="249" t="s">
        <v>2323</v>
      </c>
      <c r="E296" s="212" t="s">
        <v>2322</v>
      </c>
      <c r="F296" s="212" t="s">
        <v>120</v>
      </c>
      <c r="G296" s="250" t="n">
        <v>61.65</v>
      </c>
    </row>
    <row r="297" customFormat="false" ht="14.4" hidden="false" customHeight="false" outlineLevel="0" collapsed="false">
      <c r="A297" s="218"/>
      <c r="B297" s="251"/>
      <c r="C297" s="251"/>
      <c r="D297" s="251"/>
      <c r="E297" s="212" t="s">
        <v>2332</v>
      </c>
      <c r="F297" s="212" t="s">
        <v>120</v>
      </c>
      <c r="G297" s="250" t="n">
        <v>58.4</v>
      </c>
    </row>
    <row r="298" customFormat="false" ht="14.4" hidden="false" customHeight="false" outlineLevel="0" collapsed="false">
      <c r="A298" s="218"/>
      <c r="B298" s="251"/>
      <c r="C298" s="251"/>
      <c r="D298" s="251"/>
      <c r="E298" s="212" t="s">
        <v>2358</v>
      </c>
      <c r="F298" s="212" t="s">
        <v>120</v>
      </c>
      <c r="G298" s="250" t="n">
        <v>100.21</v>
      </c>
    </row>
    <row r="299" customFormat="false" ht="14.4" hidden="false" customHeight="false" outlineLevel="0" collapsed="false">
      <c r="A299" s="218"/>
      <c r="B299" s="251"/>
      <c r="C299" s="251"/>
      <c r="D299" s="252"/>
      <c r="E299" s="212" t="s">
        <v>2366</v>
      </c>
      <c r="F299" s="212" t="s">
        <v>120</v>
      </c>
      <c r="G299" s="250" t="n">
        <v>63.42</v>
      </c>
    </row>
    <row r="300" customFormat="false" ht="14.4" hidden="false" customHeight="false" outlineLevel="0" collapsed="false">
      <c r="A300" s="218"/>
      <c r="B300" s="251"/>
      <c r="C300" s="251"/>
      <c r="D300" s="261" t="s">
        <v>7108</v>
      </c>
      <c r="E300" s="224"/>
      <c r="F300" s="225"/>
      <c r="G300" s="217" t="n">
        <v>283.68</v>
      </c>
    </row>
    <row r="301" customFormat="false" ht="14.4" hidden="false" customHeight="false" outlineLevel="0" collapsed="false">
      <c r="A301" s="218"/>
      <c r="B301" s="251"/>
      <c r="C301" s="251"/>
      <c r="D301" s="249" t="s">
        <v>2355</v>
      </c>
      <c r="E301" s="212" t="s">
        <v>2354</v>
      </c>
      <c r="F301" s="212" t="s">
        <v>120</v>
      </c>
      <c r="G301" s="250" t="n">
        <v>12.78</v>
      </c>
    </row>
    <row r="302" customFormat="false" ht="14.4" hidden="false" customHeight="false" outlineLevel="0" collapsed="false">
      <c r="A302" s="218"/>
      <c r="B302" s="251"/>
      <c r="C302" s="251"/>
      <c r="D302" s="252"/>
      <c r="E302" s="212" t="s">
        <v>2374</v>
      </c>
      <c r="F302" s="212" t="s">
        <v>120</v>
      </c>
      <c r="G302" s="250" t="n">
        <v>123.6</v>
      </c>
    </row>
    <row r="303" customFormat="false" ht="14.4" hidden="false" customHeight="false" outlineLevel="0" collapsed="false">
      <c r="A303" s="218"/>
      <c r="B303" s="251"/>
      <c r="C303" s="251"/>
      <c r="D303" s="261" t="s">
        <v>7109</v>
      </c>
      <c r="E303" s="224"/>
      <c r="F303" s="225"/>
      <c r="G303" s="217" t="n">
        <v>136.38</v>
      </c>
    </row>
    <row r="304" customFormat="false" ht="14.4" hidden="false" customHeight="false" outlineLevel="0" collapsed="false">
      <c r="A304" s="218"/>
      <c r="B304" s="251"/>
      <c r="C304" s="251"/>
      <c r="D304" s="249" t="s">
        <v>2498</v>
      </c>
      <c r="E304" s="212" t="s">
        <v>2497</v>
      </c>
      <c r="F304" s="212" t="s">
        <v>120</v>
      </c>
      <c r="G304" s="250" t="n">
        <v>32.51</v>
      </c>
    </row>
    <row r="305" customFormat="false" ht="14.4" hidden="false" customHeight="false" outlineLevel="0" collapsed="false">
      <c r="A305" s="218"/>
      <c r="B305" s="251"/>
      <c r="C305" s="251"/>
      <c r="D305" s="251"/>
      <c r="E305" s="212" t="s">
        <v>2503</v>
      </c>
      <c r="F305" s="212" t="s">
        <v>120</v>
      </c>
      <c r="G305" s="250" t="n">
        <v>37.92</v>
      </c>
    </row>
    <row r="306" customFormat="false" ht="14.4" hidden="false" customHeight="false" outlineLevel="0" collapsed="false">
      <c r="A306" s="218"/>
      <c r="B306" s="251"/>
      <c r="C306" s="251"/>
      <c r="D306" s="252"/>
      <c r="E306" s="212" t="s">
        <v>2506</v>
      </c>
      <c r="F306" s="212" t="s">
        <v>120</v>
      </c>
      <c r="G306" s="250" t="n">
        <v>93.63</v>
      </c>
    </row>
    <row r="307" customFormat="false" ht="14.4" hidden="false" customHeight="false" outlineLevel="0" collapsed="false">
      <c r="A307" s="218"/>
      <c r="B307" s="251"/>
      <c r="C307" s="251"/>
      <c r="D307" s="261" t="s">
        <v>7110</v>
      </c>
      <c r="E307" s="224"/>
      <c r="F307" s="225"/>
      <c r="G307" s="217" t="n">
        <v>164.06</v>
      </c>
    </row>
    <row r="308" customFormat="false" ht="14.4" hidden="false" customHeight="false" outlineLevel="0" collapsed="false">
      <c r="A308" s="218"/>
      <c r="B308" s="251"/>
      <c r="C308" s="251"/>
      <c r="D308" s="249" t="s">
        <v>7055</v>
      </c>
      <c r="E308" s="212" t="s">
        <v>2168</v>
      </c>
      <c r="F308" s="212" t="s">
        <v>120</v>
      </c>
      <c r="G308" s="250" t="n">
        <v>8.89</v>
      </c>
    </row>
    <row r="309" customFormat="false" ht="14.4" hidden="false" customHeight="false" outlineLevel="0" collapsed="false">
      <c r="A309" s="218"/>
      <c r="B309" s="251"/>
      <c r="C309" s="251"/>
      <c r="D309" s="251"/>
      <c r="E309" s="212" t="s">
        <v>2182</v>
      </c>
      <c r="F309" s="212" t="s">
        <v>120</v>
      </c>
      <c r="G309" s="250" t="n">
        <v>41.46</v>
      </c>
    </row>
    <row r="310" customFormat="false" ht="14.4" hidden="false" customHeight="false" outlineLevel="0" collapsed="false">
      <c r="A310" s="218"/>
      <c r="B310" s="251"/>
      <c r="C310" s="251"/>
      <c r="D310" s="251"/>
      <c r="E310" s="212" t="s">
        <v>2190</v>
      </c>
      <c r="F310" s="212" t="s">
        <v>120</v>
      </c>
      <c r="G310" s="250" t="n">
        <v>13.38</v>
      </c>
    </row>
    <row r="311" customFormat="false" ht="14.4" hidden="false" customHeight="false" outlineLevel="0" collapsed="false">
      <c r="A311" s="218"/>
      <c r="B311" s="251"/>
      <c r="C311" s="251"/>
      <c r="D311" s="251"/>
      <c r="E311" s="212" t="s">
        <v>2193</v>
      </c>
      <c r="F311" s="212" t="s">
        <v>120</v>
      </c>
      <c r="G311" s="250" t="n">
        <v>26.93</v>
      </c>
    </row>
    <row r="312" customFormat="false" ht="14.4" hidden="false" customHeight="false" outlineLevel="0" collapsed="false">
      <c r="A312" s="218"/>
      <c r="B312" s="251"/>
      <c r="C312" s="251"/>
      <c r="D312" s="251"/>
      <c r="E312" s="212" t="s">
        <v>2204</v>
      </c>
      <c r="F312" s="212" t="s">
        <v>120</v>
      </c>
      <c r="G312" s="250" t="n">
        <v>205.73</v>
      </c>
    </row>
    <row r="313" customFormat="false" ht="14.4" hidden="false" customHeight="false" outlineLevel="0" collapsed="false">
      <c r="A313" s="218"/>
      <c r="B313" s="251"/>
      <c r="C313" s="251"/>
      <c r="D313" s="251"/>
      <c r="E313" s="212" t="s">
        <v>2249</v>
      </c>
      <c r="F313" s="212" t="s">
        <v>120</v>
      </c>
      <c r="G313" s="250" t="n">
        <v>25.27</v>
      </c>
    </row>
    <row r="314" customFormat="false" ht="14.4" hidden="false" customHeight="false" outlineLevel="0" collapsed="false">
      <c r="A314" s="218"/>
      <c r="B314" s="251"/>
      <c r="C314" s="251"/>
      <c r="D314" s="251"/>
      <c r="E314" s="212" t="s">
        <v>2252</v>
      </c>
      <c r="F314" s="212" t="s">
        <v>120</v>
      </c>
      <c r="G314" s="250" t="n">
        <v>208.19</v>
      </c>
    </row>
    <row r="315" customFormat="false" ht="14.4" hidden="false" customHeight="false" outlineLevel="0" collapsed="false">
      <c r="A315" s="218"/>
      <c r="B315" s="251"/>
      <c r="C315" s="251"/>
      <c r="D315" s="251"/>
      <c r="E315" s="212" t="s">
        <v>2259</v>
      </c>
      <c r="F315" s="212" t="s">
        <v>120</v>
      </c>
      <c r="G315" s="250" t="n">
        <v>32.26</v>
      </c>
    </row>
    <row r="316" customFormat="false" ht="14.4" hidden="false" customHeight="false" outlineLevel="0" collapsed="false">
      <c r="A316" s="218"/>
      <c r="B316" s="251"/>
      <c r="C316" s="251"/>
      <c r="D316" s="251"/>
      <c r="E316" s="212" t="s">
        <v>2265</v>
      </c>
      <c r="F316" s="212" t="s">
        <v>120</v>
      </c>
      <c r="G316" s="250" t="n">
        <v>48.87</v>
      </c>
    </row>
    <row r="317" customFormat="false" ht="14.4" hidden="false" customHeight="false" outlineLevel="0" collapsed="false">
      <c r="A317" s="218"/>
      <c r="B317" s="251"/>
      <c r="C317" s="251"/>
      <c r="D317" s="251"/>
      <c r="E317" s="212" t="s">
        <v>2287</v>
      </c>
      <c r="F317" s="212" t="s">
        <v>120</v>
      </c>
      <c r="G317" s="250" t="n">
        <v>34.38</v>
      </c>
    </row>
    <row r="318" customFormat="false" ht="14.4" hidden="false" customHeight="false" outlineLevel="0" collapsed="false">
      <c r="A318" s="218"/>
      <c r="B318" s="251"/>
      <c r="C318" s="251"/>
      <c r="D318" s="251"/>
      <c r="E318" s="212" t="s">
        <v>2289</v>
      </c>
      <c r="F318" s="212" t="s">
        <v>120</v>
      </c>
      <c r="G318" s="250" t="n">
        <v>31.48</v>
      </c>
    </row>
    <row r="319" customFormat="false" ht="14.4" hidden="false" customHeight="false" outlineLevel="0" collapsed="false">
      <c r="A319" s="218"/>
      <c r="B319" s="251"/>
      <c r="C319" s="251"/>
      <c r="D319" s="251"/>
      <c r="E319" s="212" t="s">
        <v>2292</v>
      </c>
      <c r="F319" s="212" t="s">
        <v>120</v>
      </c>
      <c r="G319" s="250" t="n">
        <v>334.49</v>
      </c>
    </row>
    <row r="320" customFormat="false" ht="14.4" hidden="false" customHeight="false" outlineLevel="0" collapsed="false">
      <c r="A320" s="218"/>
      <c r="B320" s="251"/>
      <c r="C320" s="251"/>
      <c r="D320" s="251"/>
      <c r="E320" s="212" t="s">
        <v>2299</v>
      </c>
      <c r="F320" s="212" t="s">
        <v>120</v>
      </c>
      <c r="G320" s="250" t="n">
        <v>91.64</v>
      </c>
    </row>
    <row r="321" customFormat="false" ht="14.4" hidden="false" customHeight="false" outlineLevel="0" collapsed="false">
      <c r="A321" s="218"/>
      <c r="B321" s="251"/>
      <c r="C321" s="251"/>
      <c r="D321" s="251"/>
      <c r="E321" s="212" t="s">
        <v>2303</v>
      </c>
      <c r="F321" s="212" t="s">
        <v>120</v>
      </c>
      <c r="G321" s="250" t="n">
        <v>1.94</v>
      </c>
    </row>
    <row r="322" customFormat="false" ht="14.4" hidden="false" customHeight="false" outlineLevel="0" collapsed="false">
      <c r="A322" s="218"/>
      <c r="B322" s="251"/>
      <c r="C322" s="251"/>
      <c r="D322" s="251"/>
      <c r="E322" s="212" t="s">
        <v>2305</v>
      </c>
      <c r="F322" s="212" t="s">
        <v>120</v>
      </c>
      <c r="G322" s="250" t="n">
        <v>4.44</v>
      </c>
    </row>
    <row r="323" customFormat="false" ht="14.4" hidden="false" customHeight="false" outlineLevel="0" collapsed="false">
      <c r="A323" s="218"/>
      <c r="B323" s="251"/>
      <c r="C323" s="251"/>
      <c r="D323" s="251"/>
      <c r="E323" s="212" t="s">
        <v>2308</v>
      </c>
      <c r="F323" s="212" t="s">
        <v>120</v>
      </c>
      <c r="G323" s="250" t="n">
        <v>18.59</v>
      </c>
    </row>
    <row r="324" customFormat="false" ht="14.4" hidden="false" customHeight="false" outlineLevel="0" collapsed="false">
      <c r="A324" s="218"/>
      <c r="B324" s="251"/>
      <c r="C324" s="251"/>
      <c r="D324" s="251"/>
      <c r="E324" s="212" t="s">
        <v>2312</v>
      </c>
      <c r="F324" s="212" t="s">
        <v>120</v>
      </c>
      <c r="G324" s="250" t="n">
        <v>18.17</v>
      </c>
    </row>
    <row r="325" customFormat="false" ht="14.4" hidden="false" customHeight="false" outlineLevel="0" collapsed="false">
      <c r="A325" s="218"/>
      <c r="B325" s="251"/>
      <c r="C325" s="251"/>
      <c r="D325" s="251"/>
      <c r="E325" s="212" t="s">
        <v>2315</v>
      </c>
      <c r="F325" s="212" t="s">
        <v>120</v>
      </c>
      <c r="G325" s="250" t="n">
        <v>42.4</v>
      </c>
    </row>
    <row r="326" customFormat="false" ht="14.4" hidden="false" customHeight="false" outlineLevel="0" collapsed="false">
      <c r="A326" s="218"/>
      <c r="B326" s="251"/>
      <c r="C326" s="251"/>
      <c r="D326" s="251"/>
      <c r="E326" s="212" t="s">
        <v>2318</v>
      </c>
      <c r="F326" s="212" t="s">
        <v>120</v>
      </c>
      <c r="G326" s="250" t="n">
        <v>35.35</v>
      </c>
    </row>
    <row r="327" customFormat="false" ht="14.4" hidden="false" customHeight="false" outlineLevel="0" collapsed="false">
      <c r="A327" s="218"/>
      <c r="B327" s="251"/>
      <c r="C327" s="251"/>
      <c r="D327" s="251"/>
      <c r="E327" s="212" t="s">
        <v>2327</v>
      </c>
      <c r="F327" s="212" t="s">
        <v>120</v>
      </c>
      <c r="G327" s="250" t="n">
        <v>31.94</v>
      </c>
    </row>
    <row r="328" customFormat="false" ht="14.4" hidden="false" customHeight="false" outlineLevel="0" collapsed="false">
      <c r="A328" s="218"/>
      <c r="B328" s="251"/>
      <c r="C328" s="251"/>
      <c r="D328" s="251"/>
      <c r="E328" s="212" t="s">
        <v>2334</v>
      </c>
      <c r="F328" s="212" t="s">
        <v>120</v>
      </c>
      <c r="G328" s="250" t="n">
        <v>94.91</v>
      </c>
    </row>
    <row r="329" customFormat="false" ht="14.4" hidden="false" customHeight="false" outlineLevel="0" collapsed="false">
      <c r="A329" s="218"/>
      <c r="B329" s="251"/>
      <c r="C329" s="251"/>
      <c r="D329" s="251"/>
      <c r="E329" s="212" t="s">
        <v>2351</v>
      </c>
      <c r="F329" s="212" t="s">
        <v>120</v>
      </c>
      <c r="G329" s="250" t="n">
        <v>66.06</v>
      </c>
    </row>
    <row r="330" customFormat="false" ht="14.4" hidden="false" customHeight="false" outlineLevel="0" collapsed="false">
      <c r="A330" s="218"/>
      <c r="B330" s="251"/>
      <c r="C330" s="251"/>
      <c r="D330" s="251"/>
      <c r="E330" s="212" t="s">
        <v>2362</v>
      </c>
      <c r="F330" s="212" t="s">
        <v>120</v>
      </c>
      <c r="G330" s="250" t="n">
        <v>3.31</v>
      </c>
    </row>
    <row r="331" customFormat="false" ht="14.4" hidden="false" customHeight="false" outlineLevel="0" collapsed="false">
      <c r="A331" s="218"/>
      <c r="B331" s="251"/>
      <c r="C331" s="251"/>
      <c r="D331" s="251"/>
      <c r="E331" s="212" t="s">
        <v>2391</v>
      </c>
      <c r="F331" s="212" t="s">
        <v>120</v>
      </c>
      <c r="G331" s="250" t="n">
        <v>44.85</v>
      </c>
    </row>
    <row r="332" customFormat="false" ht="14.4" hidden="false" customHeight="false" outlineLevel="0" collapsed="false">
      <c r="A332" s="218"/>
      <c r="B332" s="251"/>
      <c r="C332" s="251"/>
      <c r="D332" s="251"/>
      <c r="E332" s="212" t="s">
        <v>2411</v>
      </c>
      <c r="F332" s="212" t="s">
        <v>120</v>
      </c>
      <c r="G332" s="250" t="n">
        <v>2.53</v>
      </c>
    </row>
    <row r="333" customFormat="false" ht="14.4" hidden="false" customHeight="false" outlineLevel="0" collapsed="false">
      <c r="A333" s="218"/>
      <c r="B333" s="251"/>
      <c r="C333" s="251"/>
      <c r="D333" s="251"/>
      <c r="E333" s="212" t="s">
        <v>2418</v>
      </c>
      <c r="F333" s="212" t="s">
        <v>120</v>
      </c>
      <c r="G333" s="250" t="n">
        <v>21.43</v>
      </c>
    </row>
    <row r="334" customFormat="false" ht="14.4" hidden="false" customHeight="false" outlineLevel="0" collapsed="false">
      <c r="A334" s="218"/>
      <c r="B334" s="251"/>
      <c r="C334" s="251"/>
      <c r="D334" s="251"/>
      <c r="E334" s="212" t="s">
        <v>2501</v>
      </c>
      <c r="F334" s="212" t="s">
        <v>120</v>
      </c>
      <c r="G334" s="250" t="n">
        <v>14.46</v>
      </c>
    </row>
    <row r="335" customFormat="false" ht="14.4" hidden="false" customHeight="false" outlineLevel="0" collapsed="false">
      <c r="A335" s="218"/>
      <c r="B335" s="251"/>
      <c r="C335" s="251"/>
      <c r="D335" s="252"/>
      <c r="E335" s="212" t="s">
        <v>2509</v>
      </c>
      <c r="F335" s="212" t="s">
        <v>120</v>
      </c>
      <c r="G335" s="250" t="n">
        <v>12.86</v>
      </c>
    </row>
    <row r="336" customFormat="false" ht="14.4" hidden="false" customHeight="false" outlineLevel="0" collapsed="false">
      <c r="A336" s="218"/>
      <c r="B336" s="251"/>
      <c r="C336" s="252"/>
      <c r="D336" s="261" t="s">
        <v>7060</v>
      </c>
      <c r="E336" s="224"/>
      <c r="F336" s="225"/>
      <c r="G336" s="217" t="n">
        <v>1516.21</v>
      </c>
    </row>
    <row r="337" customFormat="false" ht="14.4" hidden="false" customHeight="false" outlineLevel="0" collapsed="false">
      <c r="A337" s="218"/>
      <c r="B337" s="251"/>
      <c r="C337" s="249" t="s">
        <v>7055</v>
      </c>
      <c r="D337" s="249" t="s">
        <v>7055</v>
      </c>
      <c r="E337" s="212" t="s">
        <v>2516</v>
      </c>
      <c r="F337" s="212" t="s">
        <v>120</v>
      </c>
      <c r="G337" s="250" t="n">
        <v>248.62</v>
      </c>
    </row>
    <row r="338" customFormat="false" ht="14.4" hidden="false" customHeight="false" outlineLevel="0" collapsed="false">
      <c r="A338" s="218"/>
      <c r="B338" s="251"/>
      <c r="C338" s="251"/>
      <c r="D338" s="252"/>
      <c r="E338" s="212" t="s">
        <v>2520</v>
      </c>
      <c r="F338" s="212" t="s">
        <v>120</v>
      </c>
      <c r="G338" s="250" t="n">
        <v>77.19</v>
      </c>
    </row>
    <row r="339" customFormat="false" ht="14.4" hidden="false" customHeight="false" outlineLevel="0" collapsed="false">
      <c r="A339" s="218"/>
      <c r="B339" s="252"/>
      <c r="C339" s="252"/>
      <c r="D339" s="261" t="s">
        <v>7060</v>
      </c>
      <c r="E339" s="224"/>
      <c r="F339" s="225"/>
      <c r="G339" s="217" t="n">
        <v>325.81</v>
      </c>
    </row>
    <row r="340" customFormat="false" ht="14.4" hidden="false" customHeight="false" outlineLevel="0" collapsed="false">
      <c r="A340" s="218"/>
      <c r="B340" s="249" t="s">
        <v>2522</v>
      </c>
      <c r="C340" s="249" t="s">
        <v>1594</v>
      </c>
      <c r="D340" s="249" t="s">
        <v>2524</v>
      </c>
      <c r="E340" s="212" t="s">
        <v>2523</v>
      </c>
      <c r="F340" s="212" t="s">
        <v>120</v>
      </c>
      <c r="G340" s="250" t="n">
        <v>89.99</v>
      </c>
    </row>
    <row r="341" customFormat="false" ht="14.4" hidden="false" customHeight="false" outlineLevel="0" collapsed="false">
      <c r="A341" s="218"/>
      <c r="B341" s="251"/>
      <c r="C341" s="251"/>
      <c r="D341" s="251"/>
      <c r="E341" s="212" t="s">
        <v>2560</v>
      </c>
      <c r="F341" s="212" t="s">
        <v>120</v>
      </c>
      <c r="G341" s="250" t="n">
        <v>61.15</v>
      </c>
    </row>
    <row r="342" customFormat="false" ht="14.4" hidden="false" customHeight="false" outlineLevel="0" collapsed="false">
      <c r="A342" s="218"/>
      <c r="B342" s="251"/>
      <c r="C342" s="251"/>
      <c r="D342" s="251"/>
      <c r="E342" s="212" t="s">
        <v>2564</v>
      </c>
      <c r="F342" s="212" t="s">
        <v>120</v>
      </c>
      <c r="G342" s="250" t="n">
        <v>58.81</v>
      </c>
    </row>
    <row r="343" customFormat="false" ht="14.4" hidden="false" customHeight="false" outlineLevel="0" collapsed="false">
      <c r="A343" s="218"/>
      <c r="B343" s="251"/>
      <c r="C343" s="251"/>
      <c r="D343" s="251"/>
      <c r="E343" s="212" t="s">
        <v>2595</v>
      </c>
      <c r="F343" s="212" t="s">
        <v>120</v>
      </c>
      <c r="G343" s="250" t="n">
        <v>82.54</v>
      </c>
    </row>
    <row r="344" customFormat="false" ht="14.4" hidden="false" customHeight="false" outlineLevel="0" collapsed="false">
      <c r="A344" s="218"/>
      <c r="B344" s="251"/>
      <c r="C344" s="251"/>
      <c r="D344" s="251"/>
      <c r="E344" s="212" t="s">
        <v>2599</v>
      </c>
      <c r="F344" s="212" t="s">
        <v>120</v>
      </c>
      <c r="G344" s="250" t="n">
        <v>125.97</v>
      </c>
    </row>
    <row r="345" customFormat="false" ht="14.4" hidden="false" customHeight="false" outlineLevel="0" collapsed="false">
      <c r="A345" s="218"/>
      <c r="B345" s="251"/>
      <c r="C345" s="251"/>
      <c r="D345" s="251"/>
      <c r="E345" s="212" t="s">
        <v>2614</v>
      </c>
      <c r="F345" s="212" t="s">
        <v>120</v>
      </c>
      <c r="G345" s="250" t="n">
        <v>144.14</v>
      </c>
    </row>
    <row r="346" customFormat="false" ht="14.4" hidden="false" customHeight="false" outlineLevel="0" collapsed="false">
      <c r="A346" s="218"/>
      <c r="B346" s="251"/>
      <c r="C346" s="251"/>
      <c r="D346" s="251"/>
      <c r="E346" s="212" t="s">
        <v>2642</v>
      </c>
      <c r="F346" s="212" t="s">
        <v>120</v>
      </c>
      <c r="G346" s="250" t="n">
        <v>1.31</v>
      </c>
    </row>
    <row r="347" customFormat="false" ht="14.4" hidden="false" customHeight="false" outlineLevel="0" collapsed="false">
      <c r="A347" s="218"/>
      <c r="B347" s="251"/>
      <c r="C347" s="251"/>
      <c r="D347" s="251"/>
      <c r="E347" s="212" t="s">
        <v>2649</v>
      </c>
      <c r="F347" s="212" t="s">
        <v>120</v>
      </c>
      <c r="G347" s="250" t="n">
        <v>161.66</v>
      </c>
    </row>
    <row r="348" customFormat="false" ht="14.4" hidden="false" customHeight="false" outlineLevel="0" collapsed="false">
      <c r="A348" s="218"/>
      <c r="B348" s="251"/>
      <c r="C348" s="251"/>
      <c r="D348" s="251"/>
      <c r="E348" s="212" t="s">
        <v>2652</v>
      </c>
      <c r="F348" s="212" t="s">
        <v>120</v>
      </c>
      <c r="G348" s="250" t="n">
        <v>125.95</v>
      </c>
    </row>
    <row r="349" customFormat="false" ht="14.4" hidden="false" customHeight="false" outlineLevel="0" collapsed="false">
      <c r="A349" s="218"/>
      <c r="B349" s="251"/>
      <c r="C349" s="251"/>
      <c r="D349" s="251"/>
      <c r="E349" s="212" t="s">
        <v>2655</v>
      </c>
      <c r="F349" s="212" t="s">
        <v>120</v>
      </c>
      <c r="G349" s="250" t="n">
        <v>38.49</v>
      </c>
    </row>
    <row r="350" customFormat="false" ht="14.4" hidden="false" customHeight="false" outlineLevel="0" collapsed="false">
      <c r="A350" s="218"/>
      <c r="B350" s="251"/>
      <c r="C350" s="251"/>
      <c r="D350" s="251"/>
      <c r="E350" s="212" t="s">
        <v>2663</v>
      </c>
      <c r="F350" s="212" t="s">
        <v>120</v>
      </c>
      <c r="G350" s="250" t="n">
        <v>86.24</v>
      </c>
    </row>
    <row r="351" customFormat="false" ht="14.4" hidden="false" customHeight="false" outlineLevel="0" collapsed="false">
      <c r="A351" s="218"/>
      <c r="B351" s="251"/>
      <c r="C351" s="251"/>
      <c r="D351" s="251"/>
      <c r="E351" s="212" t="s">
        <v>2666</v>
      </c>
      <c r="F351" s="212" t="s">
        <v>120</v>
      </c>
      <c r="G351" s="250" t="n">
        <v>44.65</v>
      </c>
    </row>
    <row r="352" customFormat="false" ht="14.4" hidden="false" customHeight="false" outlineLevel="0" collapsed="false">
      <c r="A352" s="218"/>
      <c r="B352" s="251"/>
      <c r="C352" s="251"/>
      <c r="D352" s="251"/>
      <c r="E352" s="212" t="s">
        <v>2670</v>
      </c>
      <c r="F352" s="212" t="s">
        <v>120</v>
      </c>
      <c r="G352" s="250" t="n">
        <v>37.69</v>
      </c>
    </row>
    <row r="353" customFormat="false" ht="14.4" hidden="false" customHeight="false" outlineLevel="0" collapsed="false">
      <c r="A353" s="218"/>
      <c r="B353" s="251"/>
      <c r="C353" s="251"/>
      <c r="D353" s="251"/>
      <c r="E353" s="212" t="s">
        <v>2678</v>
      </c>
      <c r="F353" s="212" t="s">
        <v>120</v>
      </c>
      <c r="G353" s="250" t="n">
        <v>11.74</v>
      </c>
    </row>
    <row r="354" customFormat="false" ht="14.4" hidden="false" customHeight="false" outlineLevel="0" collapsed="false">
      <c r="A354" s="218"/>
      <c r="B354" s="251"/>
      <c r="C354" s="251"/>
      <c r="D354" s="251"/>
      <c r="E354" s="212" t="s">
        <v>2682</v>
      </c>
      <c r="F354" s="212" t="s">
        <v>120</v>
      </c>
      <c r="G354" s="250" t="n">
        <v>33.25</v>
      </c>
    </row>
    <row r="355" customFormat="false" ht="14.4" hidden="false" customHeight="false" outlineLevel="0" collapsed="false">
      <c r="A355" s="218"/>
      <c r="B355" s="251"/>
      <c r="C355" s="251"/>
      <c r="D355" s="251"/>
      <c r="E355" s="212" t="s">
        <v>2686</v>
      </c>
      <c r="F355" s="212" t="s">
        <v>120</v>
      </c>
      <c r="G355" s="250" t="n">
        <v>39.54</v>
      </c>
    </row>
    <row r="356" customFormat="false" ht="14.4" hidden="false" customHeight="false" outlineLevel="0" collapsed="false">
      <c r="A356" s="218"/>
      <c r="B356" s="251"/>
      <c r="C356" s="251"/>
      <c r="D356" s="251"/>
      <c r="E356" s="212" t="s">
        <v>2691</v>
      </c>
      <c r="F356" s="212" t="s">
        <v>120</v>
      </c>
      <c r="G356" s="250" t="n">
        <v>156.53</v>
      </c>
    </row>
    <row r="357" customFormat="false" ht="14.4" hidden="false" customHeight="false" outlineLevel="0" collapsed="false">
      <c r="A357" s="218"/>
      <c r="B357" s="251"/>
      <c r="C357" s="251"/>
      <c r="D357" s="251"/>
      <c r="E357" s="212" t="s">
        <v>2694</v>
      </c>
      <c r="F357" s="212" t="s">
        <v>120</v>
      </c>
      <c r="G357" s="250" t="n">
        <v>186.41</v>
      </c>
    </row>
    <row r="358" customFormat="false" ht="14.4" hidden="false" customHeight="false" outlineLevel="0" collapsed="false">
      <c r="A358" s="218"/>
      <c r="B358" s="251"/>
      <c r="C358" s="251"/>
      <c r="D358" s="251"/>
      <c r="E358" s="212" t="s">
        <v>2698</v>
      </c>
      <c r="F358" s="212" t="s">
        <v>120</v>
      </c>
      <c r="G358" s="250" t="n">
        <v>158.75</v>
      </c>
    </row>
    <row r="359" customFormat="false" ht="14.4" hidden="false" customHeight="false" outlineLevel="0" collapsed="false">
      <c r="A359" s="218"/>
      <c r="B359" s="251"/>
      <c r="C359" s="251"/>
      <c r="D359" s="251"/>
      <c r="E359" s="212" t="s">
        <v>2701</v>
      </c>
      <c r="F359" s="212" t="s">
        <v>120</v>
      </c>
      <c r="G359" s="250" t="n">
        <v>34.2</v>
      </c>
    </row>
    <row r="360" customFormat="false" ht="14.4" hidden="false" customHeight="false" outlineLevel="0" collapsed="false">
      <c r="A360" s="218"/>
      <c r="B360" s="251"/>
      <c r="C360" s="251"/>
      <c r="D360" s="251"/>
      <c r="E360" s="212" t="s">
        <v>2704</v>
      </c>
      <c r="F360" s="212" t="s">
        <v>120</v>
      </c>
      <c r="G360" s="250" t="n">
        <v>3.46</v>
      </c>
    </row>
    <row r="361" customFormat="false" ht="14.4" hidden="false" customHeight="false" outlineLevel="0" collapsed="false">
      <c r="A361" s="218"/>
      <c r="B361" s="251"/>
      <c r="C361" s="251"/>
      <c r="D361" s="251"/>
      <c r="E361" s="212" t="s">
        <v>2708</v>
      </c>
      <c r="F361" s="212" t="s">
        <v>120</v>
      </c>
      <c r="G361" s="250" t="n">
        <v>54.93</v>
      </c>
    </row>
    <row r="362" customFormat="false" ht="14.4" hidden="false" customHeight="false" outlineLevel="0" collapsed="false">
      <c r="A362" s="218"/>
      <c r="B362" s="251"/>
      <c r="C362" s="251"/>
      <c r="D362" s="251"/>
      <c r="E362" s="212" t="s">
        <v>2712</v>
      </c>
      <c r="F362" s="212" t="s">
        <v>120</v>
      </c>
      <c r="G362" s="250" t="n">
        <v>75.23</v>
      </c>
    </row>
    <row r="363" customFormat="false" ht="14.4" hidden="false" customHeight="false" outlineLevel="0" collapsed="false">
      <c r="A363" s="218"/>
      <c r="B363" s="251"/>
      <c r="C363" s="251"/>
      <c r="D363" s="251"/>
      <c r="E363" s="212" t="s">
        <v>2716</v>
      </c>
      <c r="F363" s="212" t="s">
        <v>120</v>
      </c>
      <c r="G363" s="250" t="n">
        <v>216.12</v>
      </c>
    </row>
    <row r="364" customFormat="false" ht="14.4" hidden="false" customHeight="false" outlineLevel="0" collapsed="false">
      <c r="A364" s="218"/>
      <c r="B364" s="251"/>
      <c r="C364" s="251"/>
      <c r="D364" s="251"/>
      <c r="E364" s="212" t="s">
        <v>2802</v>
      </c>
      <c r="F364" s="212" t="s">
        <v>120</v>
      </c>
      <c r="G364" s="250" t="n">
        <v>3.92</v>
      </c>
    </row>
    <row r="365" customFormat="false" ht="14.4" hidden="false" customHeight="false" outlineLevel="0" collapsed="false">
      <c r="A365" s="218"/>
      <c r="B365" s="251"/>
      <c r="C365" s="251"/>
      <c r="D365" s="251"/>
      <c r="E365" s="212" t="s">
        <v>2825</v>
      </c>
      <c r="F365" s="212" t="s">
        <v>120</v>
      </c>
      <c r="G365" s="250" t="n">
        <v>60.09</v>
      </c>
    </row>
    <row r="366" customFormat="false" ht="14.4" hidden="false" customHeight="false" outlineLevel="0" collapsed="false">
      <c r="A366" s="218"/>
      <c r="B366" s="251"/>
      <c r="C366" s="251"/>
      <c r="D366" s="252"/>
      <c r="E366" s="212" t="s">
        <v>2843</v>
      </c>
      <c r="F366" s="212" t="s">
        <v>120</v>
      </c>
      <c r="G366" s="250" t="n">
        <v>7.26</v>
      </c>
    </row>
    <row r="367" customFormat="false" ht="14.4" hidden="false" customHeight="false" outlineLevel="0" collapsed="false">
      <c r="A367" s="218"/>
      <c r="B367" s="251"/>
      <c r="C367" s="251"/>
      <c r="D367" s="261" t="s">
        <v>7111</v>
      </c>
      <c r="E367" s="224"/>
      <c r="F367" s="225"/>
      <c r="G367" s="217" t="n">
        <v>2100.02</v>
      </c>
    </row>
    <row r="368" customFormat="false" ht="14.4" hidden="false" customHeight="false" outlineLevel="0" collapsed="false">
      <c r="A368" s="218"/>
      <c r="B368" s="251"/>
      <c r="C368" s="251"/>
      <c r="D368" s="249" t="s">
        <v>2916</v>
      </c>
      <c r="E368" s="212" t="s">
        <v>2915</v>
      </c>
      <c r="F368" s="212" t="s">
        <v>120</v>
      </c>
      <c r="G368" s="250" t="n">
        <v>133.19</v>
      </c>
    </row>
    <row r="369" customFormat="false" ht="14.4" hidden="false" customHeight="false" outlineLevel="0" collapsed="false">
      <c r="A369" s="218"/>
      <c r="B369" s="251"/>
      <c r="C369" s="251"/>
      <c r="D369" s="251"/>
      <c r="E369" s="212" t="s">
        <v>2943</v>
      </c>
      <c r="F369" s="212" t="s">
        <v>120</v>
      </c>
      <c r="G369" s="250" t="n">
        <v>48.52</v>
      </c>
    </row>
    <row r="370" customFormat="false" ht="14.4" hidden="false" customHeight="false" outlineLevel="0" collapsed="false">
      <c r="A370" s="218"/>
      <c r="B370" s="251"/>
      <c r="C370" s="251"/>
      <c r="D370" s="252"/>
      <c r="E370" s="212" t="s">
        <v>2946</v>
      </c>
      <c r="F370" s="212" t="s">
        <v>120</v>
      </c>
      <c r="G370" s="250" t="n">
        <v>3.59</v>
      </c>
    </row>
    <row r="371" customFormat="false" ht="14.4" hidden="false" customHeight="false" outlineLevel="0" collapsed="false">
      <c r="A371" s="218"/>
      <c r="B371" s="251"/>
      <c r="C371" s="251"/>
      <c r="D371" s="261" t="s">
        <v>7112</v>
      </c>
      <c r="E371" s="224"/>
      <c r="F371" s="225"/>
      <c r="G371" s="217" t="n">
        <v>185.3</v>
      </c>
    </row>
    <row r="372" customFormat="false" ht="14.4" hidden="false" customHeight="false" outlineLevel="0" collapsed="false">
      <c r="A372" s="218"/>
      <c r="B372" s="251"/>
      <c r="C372" s="251"/>
      <c r="D372" s="249" t="s">
        <v>2798</v>
      </c>
      <c r="E372" s="212" t="s">
        <v>2796</v>
      </c>
      <c r="F372" s="212" t="s">
        <v>120</v>
      </c>
      <c r="G372" s="250" t="n">
        <v>5.16</v>
      </c>
    </row>
    <row r="373" customFormat="false" ht="14.4" hidden="false" customHeight="false" outlineLevel="0" collapsed="false">
      <c r="A373" s="218"/>
      <c r="B373" s="251"/>
      <c r="C373" s="251"/>
      <c r="D373" s="252"/>
      <c r="E373" s="212" t="s">
        <v>2838</v>
      </c>
      <c r="F373" s="212" t="s">
        <v>120</v>
      </c>
      <c r="G373" s="250" t="n">
        <v>109.89</v>
      </c>
    </row>
    <row r="374" customFormat="false" ht="14.4" hidden="false" customHeight="false" outlineLevel="0" collapsed="false">
      <c r="A374" s="218"/>
      <c r="B374" s="251"/>
      <c r="C374" s="251"/>
      <c r="D374" s="261" t="s">
        <v>7113</v>
      </c>
      <c r="E374" s="224"/>
      <c r="F374" s="225"/>
      <c r="G374" s="217" t="n">
        <v>115.05</v>
      </c>
    </row>
    <row r="375" customFormat="false" ht="14.4" hidden="false" customHeight="false" outlineLevel="0" collapsed="false">
      <c r="A375" s="218"/>
      <c r="B375" s="251"/>
      <c r="C375" s="251"/>
      <c r="D375" s="249" t="s">
        <v>2834</v>
      </c>
      <c r="E375" s="212" t="s">
        <v>2833</v>
      </c>
      <c r="F375" s="212" t="s">
        <v>120</v>
      </c>
      <c r="G375" s="250" t="n">
        <v>38.87</v>
      </c>
    </row>
    <row r="376" customFormat="false" ht="14.4" hidden="false" customHeight="false" outlineLevel="0" collapsed="false">
      <c r="A376" s="218"/>
      <c r="B376" s="251"/>
      <c r="C376" s="251"/>
      <c r="D376" s="251"/>
      <c r="E376" s="212" t="s">
        <v>2845</v>
      </c>
      <c r="F376" s="212" t="s">
        <v>120</v>
      </c>
      <c r="G376" s="250" t="n">
        <v>34.62</v>
      </c>
    </row>
    <row r="377" customFormat="false" ht="14.4" hidden="false" customHeight="false" outlineLevel="0" collapsed="false">
      <c r="A377" s="218"/>
      <c r="B377" s="251"/>
      <c r="C377" s="251"/>
      <c r="D377" s="251"/>
      <c r="E377" s="212" t="s">
        <v>2872</v>
      </c>
      <c r="F377" s="212" t="s">
        <v>120</v>
      </c>
      <c r="G377" s="250" t="n">
        <v>103.67</v>
      </c>
    </row>
    <row r="378" customFormat="false" ht="14.4" hidden="false" customHeight="false" outlineLevel="0" collapsed="false">
      <c r="A378" s="218"/>
      <c r="B378" s="251"/>
      <c r="C378" s="251"/>
      <c r="D378" s="251"/>
      <c r="E378" s="212" t="s">
        <v>2895</v>
      </c>
      <c r="F378" s="212" t="s">
        <v>120</v>
      </c>
      <c r="G378" s="250" t="n">
        <v>14.52</v>
      </c>
    </row>
    <row r="379" customFormat="false" ht="14.4" hidden="false" customHeight="false" outlineLevel="0" collapsed="false">
      <c r="A379" s="218"/>
      <c r="B379" s="251"/>
      <c r="C379" s="251"/>
      <c r="D379" s="251"/>
      <c r="E379" s="212" t="s">
        <v>2899</v>
      </c>
      <c r="F379" s="212" t="s">
        <v>120</v>
      </c>
      <c r="G379" s="250" t="n">
        <v>37.01</v>
      </c>
    </row>
    <row r="380" customFormat="false" ht="14.4" hidden="false" customHeight="false" outlineLevel="0" collapsed="false">
      <c r="A380" s="218"/>
      <c r="B380" s="251"/>
      <c r="C380" s="251"/>
      <c r="D380" s="251"/>
      <c r="E380" s="212" t="s">
        <v>2907</v>
      </c>
      <c r="F380" s="212" t="s">
        <v>120</v>
      </c>
      <c r="G380" s="250" t="n">
        <v>65.99</v>
      </c>
    </row>
    <row r="381" customFormat="false" ht="14.4" hidden="false" customHeight="false" outlineLevel="0" collapsed="false">
      <c r="A381" s="218"/>
      <c r="B381" s="251"/>
      <c r="C381" s="251"/>
      <c r="D381" s="251"/>
      <c r="E381" s="212" t="s">
        <v>2911</v>
      </c>
      <c r="F381" s="212" t="s">
        <v>120</v>
      </c>
      <c r="G381" s="250" t="n">
        <v>76.3</v>
      </c>
    </row>
    <row r="382" customFormat="false" ht="14.4" hidden="false" customHeight="false" outlineLevel="0" collapsed="false">
      <c r="A382" s="218"/>
      <c r="B382" s="251"/>
      <c r="C382" s="251"/>
      <c r="D382" s="251"/>
      <c r="E382" s="212" t="s">
        <v>2921</v>
      </c>
      <c r="F382" s="212" t="s">
        <v>120</v>
      </c>
      <c r="G382" s="250" t="n">
        <v>32.77</v>
      </c>
    </row>
    <row r="383" customFormat="false" ht="14.4" hidden="false" customHeight="false" outlineLevel="0" collapsed="false">
      <c r="A383" s="218"/>
      <c r="B383" s="251"/>
      <c r="C383" s="251"/>
      <c r="D383" s="251"/>
      <c r="E383" s="212" t="s">
        <v>2933</v>
      </c>
      <c r="F383" s="212" t="s">
        <v>120</v>
      </c>
      <c r="G383" s="250" t="n">
        <v>30.55</v>
      </c>
    </row>
    <row r="384" customFormat="false" ht="14.4" hidden="false" customHeight="false" outlineLevel="0" collapsed="false">
      <c r="A384" s="218"/>
      <c r="B384" s="251"/>
      <c r="C384" s="251"/>
      <c r="D384" s="252"/>
      <c r="E384" s="212" t="s">
        <v>2937</v>
      </c>
      <c r="F384" s="212" t="s">
        <v>120</v>
      </c>
      <c r="G384" s="250" t="n">
        <v>112.12</v>
      </c>
    </row>
    <row r="385" customFormat="false" ht="14.4" hidden="false" customHeight="false" outlineLevel="0" collapsed="false">
      <c r="A385" s="218"/>
      <c r="B385" s="251"/>
      <c r="C385" s="251"/>
      <c r="D385" s="261" t="s">
        <v>7114</v>
      </c>
      <c r="E385" s="224"/>
      <c r="F385" s="225"/>
      <c r="G385" s="217" t="n">
        <v>546.42</v>
      </c>
    </row>
    <row r="386" customFormat="false" ht="14.4" hidden="false" customHeight="false" outlineLevel="0" collapsed="false">
      <c r="A386" s="218"/>
      <c r="B386" s="251"/>
      <c r="C386" s="251"/>
      <c r="D386" s="249" t="s">
        <v>2885</v>
      </c>
      <c r="E386" s="212" t="s">
        <v>2884</v>
      </c>
      <c r="F386" s="212" t="s">
        <v>120</v>
      </c>
      <c r="G386" s="250" t="n">
        <v>178.2</v>
      </c>
    </row>
    <row r="387" customFormat="false" ht="14.4" hidden="false" customHeight="false" outlineLevel="0" collapsed="false">
      <c r="A387" s="218"/>
      <c r="B387" s="251"/>
      <c r="C387" s="251"/>
      <c r="D387" s="251"/>
      <c r="E387" s="212" t="s">
        <v>2892</v>
      </c>
      <c r="F387" s="212" t="s">
        <v>120</v>
      </c>
      <c r="G387" s="250" t="n">
        <v>178.61</v>
      </c>
    </row>
    <row r="388" customFormat="false" ht="14.4" hidden="false" customHeight="false" outlineLevel="0" collapsed="false">
      <c r="A388" s="218"/>
      <c r="B388" s="251"/>
      <c r="C388" s="251"/>
      <c r="D388" s="252"/>
      <c r="E388" s="212" t="s">
        <v>2924</v>
      </c>
      <c r="F388" s="212" t="s">
        <v>120</v>
      </c>
      <c r="G388" s="250" t="n">
        <v>32.4</v>
      </c>
    </row>
    <row r="389" customFormat="false" ht="14.4" hidden="false" customHeight="false" outlineLevel="0" collapsed="false">
      <c r="A389" s="218"/>
      <c r="B389" s="251"/>
      <c r="C389" s="251"/>
      <c r="D389" s="261" t="s">
        <v>7115</v>
      </c>
      <c r="E389" s="224"/>
      <c r="F389" s="225"/>
      <c r="G389" s="217" t="n">
        <v>389.21</v>
      </c>
    </row>
    <row r="390" customFormat="false" ht="14.4" hidden="false" customHeight="false" outlineLevel="0" collapsed="false">
      <c r="A390" s="218"/>
      <c r="B390" s="251"/>
      <c r="C390" s="251"/>
      <c r="D390" s="249" t="s">
        <v>2754</v>
      </c>
      <c r="E390" s="212" t="s">
        <v>2753</v>
      </c>
      <c r="F390" s="212" t="s">
        <v>120</v>
      </c>
      <c r="G390" s="250" t="n">
        <v>79.02</v>
      </c>
    </row>
    <row r="391" customFormat="false" ht="14.4" hidden="false" customHeight="false" outlineLevel="0" collapsed="false">
      <c r="A391" s="218"/>
      <c r="B391" s="251"/>
      <c r="C391" s="251"/>
      <c r="D391" s="251"/>
      <c r="E391" s="212" t="s">
        <v>2757</v>
      </c>
      <c r="F391" s="212" t="s">
        <v>120</v>
      </c>
      <c r="G391" s="250" t="n">
        <v>61.68</v>
      </c>
    </row>
    <row r="392" customFormat="false" ht="14.4" hidden="false" customHeight="false" outlineLevel="0" collapsed="false">
      <c r="A392" s="218"/>
      <c r="B392" s="251"/>
      <c r="C392" s="251"/>
      <c r="D392" s="251"/>
      <c r="E392" s="212" t="s">
        <v>2761</v>
      </c>
      <c r="F392" s="212" t="s">
        <v>120</v>
      </c>
      <c r="G392" s="250" t="n">
        <v>6.72</v>
      </c>
    </row>
    <row r="393" customFormat="false" ht="14.4" hidden="false" customHeight="false" outlineLevel="0" collapsed="false">
      <c r="A393" s="218"/>
      <c r="B393" s="251"/>
      <c r="C393" s="251"/>
      <c r="D393" s="251"/>
      <c r="E393" s="212" t="s">
        <v>2764</v>
      </c>
      <c r="F393" s="212" t="s">
        <v>120</v>
      </c>
      <c r="G393" s="250" t="n">
        <v>2.07</v>
      </c>
    </row>
    <row r="394" customFormat="false" ht="14.4" hidden="false" customHeight="false" outlineLevel="0" collapsed="false">
      <c r="A394" s="218"/>
      <c r="B394" s="251"/>
      <c r="C394" s="251"/>
      <c r="D394" s="251"/>
      <c r="E394" s="212" t="s">
        <v>2766</v>
      </c>
      <c r="F394" s="212" t="s">
        <v>120</v>
      </c>
      <c r="G394" s="250" t="n">
        <v>2.88</v>
      </c>
    </row>
    <row r="395" customFormat="false" ht="14.4" hidden="false" customHeight="false" outlineLevel="0" collapsed="false">
      <c r="A395" s="218"/>
      <c r="B395" s="251"/>
      <c r="C395" s="251"/>
      <c r="D395" s="252"/>
      <c r="E395" s="212" t="s">
        <v>2791</v>
      </c>
      <c r="F395" s="212" t="s">
        <v>120</v>
      </c>
      <c r="G395" s="250" t="n">
        <v>122.85</v>
      </c>
    </row>
    <row r="396" customFormat="false" ht="14.4" hidden="false" customHeight="false" outlineLevel="0" collapsed="false">
      <c r="A396" s="218"/>
      <c r="B396" s="251"/>
      <c r="C396" s="251"/>
      <c r="D396" s="261" t="s">
        <v>7116</v>
      </c>
      <c r="E396" s="224"/>
      <c r="F396" s="225"/>
      <c r="G396" s="217" t="n">
        <v>275.22</v>
      </c>
    </row>
    <row r="397" customFormat="false" ht="14.4" hidden="false" customHeight="false" outlineLevel="0" collapsed="false">
      <c r="A397" s="218"/>
      <c r="B397" s="251"/>
      <c r="C397" s="251"/>
      <c r="D397" s="249" t="s">
        <v>2553</v>
      </c>
      <c r="E397" s="212" t="s">
        <v>2552</v>
      </c>
      <c r="F397" s="212" t="s">
        <v>120</v>
      </c>
      <c r="G397" s="250" t="n">
        <v>47.55</v>
      </c>
    </row>
    <row r="398" customFormat="false" ht="14.4" hidden="false" customHeight="false" outlineLevel="0" collapsed="false">
      <c r="A398" s="218"/>
      <c r="B398" s="251"/>
      <c r="C398" s="251"/>
      <c r="D398" s="251"/>
      <c r="E398" s="212" t="s">
        <v>2568</v>
      </c>
      <c r="F398" s="212" t="s">
        <v>120</v>
      </c>
      <c r="G398" s="250" t="n">
        <v>78.86</v>
      </c>
    </row>
    <row r="399" customFormat="false" ht="14.4" hidden="false" customHeight="false" outlineLevel="0" collapsed="false">
      <c r="A399" s="218"/>
      <c r="B399" s="251"/>
      <c r="C399" s="251"/>
      <c r="D399" s="251"/>
      <c r="E399" s="212" t="s">
        <v>2576</v>
      </c>
      <c r="F399" s="212" t="s">
        <v>120</v>
      </c>
      <c r="G399" s="250" t="n">
        <v>50.91</v>
      </c>
    </row>
    <row r="400" customFormat="false" ht="14.4" hidden="false" customHeight="false" outlineLevel="0" collapsed="false">
      <c r="A400" s="218"/>
      <c r="B400" s="251"/>
      <c r="C400" s="251"/>
      <c r="D400" s="251"/>
      <c r="E400" s="212" t="s">
        <v>2584</v>
      </c>
      <c r="F400" s="212" t="s">
        <v>120</v>
      </c>
      <c r="G400" s="250" t="n">
        <v>122.67</v>
      </c>
    </row>
    <row r="401" customFormat="false" ht="14.4" hidden="false" customHeight="false" outlineLevel="0" collapsed="false">
      <c r="A401" s="218"/>
      <c r="B401" s="251"/>
      <c r="C401" s="251"/>
      <c r="D401" s="251"/>
      <c r="E401" s="212" t="s">
        <v>2591</v>
      </c>
      <c r="F401" s="212" t="s">
        <v>120</v>
      </c>
      <c r="G401" s="250" t="n">
        <v>54.6</v>
      </c>
    </row>
    <row r="402" customFormat="false" ht="14.4" hidden="false" customHeight="false" outlineLevel="0" collapsed="false">
      <c r="A402" s="218"/>
      <c r="B402" s="251"/>
      <c r="C402" s="251"/>
      <c r="D402" s="251"/>
      <c r="E402" s="212" t="s">
        <v>2606</v>
      </c>
      <c r="F402" s="212" t="s">
        <v>120</v>
      </c>
      <c r="G402" s="250" t="n">
        <v>25.15</v>
      </c>
    </row>
    <row r="403" customFormat="false" ht="14.4" hidden="false" customHeight="false" outlineLevel="0" collapsed="false">
      <c r="A403" s="218"/>
      <c r="B403" s="251"/>
      <c r="C403" s="251"/>
      <c r="D403" s="251"/>
      <c r="E403" s="212" t="s">
        <v>2610</v>
      </c>
      <c r="F403" s="212" t="s">
        <v>120</v>
      </c>
      <c r="G403" s="250" t="n">
        <v>6.83</v>
      </c>
    </row>
    <row r="404" customFormat="false" ht="14.4" hidden="false" customHeight="false" outlineLevel="0" collapsed="false">
      <c r="A404" s="218"/>
      <c r="B404" s="251"/>
      <c r="C404" s="251"/>
      <c r="D404" s="251"/>
      <c r="E404" s="212" t="s">
        <v>2619</v>
      </c>
      <c r="F404" s="212" t="s">
        <v>120</v>
      </c>
      <c r="G404" s="250" t="n">
        <v>292.79</v>
      </c>
    </row>
    <row r="405" customFormat="false" ht="14.4" hidden="false" customHeight="false" outlineLevel="0" collapsed="false">
      <c r="A405" s="218"/>
      <c r="B405" s="251"/>
      <c r="C405" s="251"/>
      <c r="D405" s="251"/>
      <c r="E405" s="212" t="s">
        <v>2623</v>
      </c>
      <c r="F405" s="212" t="s">
        <v>120</v>
      </c>
      <c r="G405" s="250" t="n">
        <v>24.84</v>
      </c>
    </row>
    <row r="406" customFormat="false" ht="14.4" hidden="false" customHeight="false" outlineLevel="0" collapsed="false">
      <c r="A406" s="218"/>
      <c r="B406" s="251"/>
      <c r="C406" s="251"/>
      <c r="D406" s="251"/>
      <c r="E406" s="212" t="s">
        <v>2626</v>
      </c>
      <c r="F406" s="212" t="s">
        <v>120</v>
      </c>
      <c r="G406" s="250" t="n">
        <v>217.2</v>
      </c>
    </row>
    <row r="407" customFormat="false" ht="14.4" hidden="false" customHeight="false" outlineLevel="0" collapsed="false">
      <c r="A407" s="218"/>
      <c r="B407" s="251"/>
      <c r="C407" s="251"/>
      <c r="D407" s="251"/>
      <c r="E407" s="212" t="s">
        <v>2805</v>
      </c>
      <c r="F407" s="212" t="s">
        <v>120</v>
      </c>
      <c r="G407" s="250" t="n">
        <v>47.52</v>
      </c>
    </row>
    <row r="408" customFormat="false" ht="14.4" hidden="false" customHeight="false" outlineLevel="0" collapsed="false">
      <c r="A408" s="218"/>
      <c r="B408" s="251"/>
      <c r="C408" s="251"/>
      <c r="D408" s="251"/>
      <c r="E408" s="212" t="s">
        <v>2809</v>
      </c>
      <c r="F408" s="212" t="s">
        <v>120</v>
      </c>
      <c r="G408" s="250" t="n">
        <v>292.57</v>
      </c>
    </row>
    <row r="409" customFormat="false" ht="14.4" hidden="false" customHeight="false" outlineLevel="0" collapsed="false">
      <c r="A409" s="218"/>
      <c r="B409" s="251"/>
      <c r="C409" s="251"/>
      <c r="D409" s="251"/>
      <c r="E409" s="212" t="s">
        <v>2812</v>
      </c>
      <c r="F409" s="212" t="s">
        <v>120</v>
      </c>
      <c r="G409" s="250" t="n">
        <v>211.34</v>
      </c>
    </row>
    <row r="410" customFormat="false" ht="14.4" hidden="false" customHeight="false" outlineLevel="0" collapsed="false">
      <c r="A410" s="218"/>
      <c r="B410" s="251"/>
      <c r="C410" s="251"/>
      <c r="D410" s="251"/>
      <c r="E410" s="212" t="s">
        <v>2816</v>
      </c>
      <c r="F410" s="212" t="s">
        <v>120</v>
      </c>
      <c r="G410" s="250" t="n">
        <v>293.47</v>
      </c>
    </row>
    <row r="411" customFormat="false" ht="14.4" hidden="false" customHeight="false" outlineLevel="0" collapsed="false">
      <c r="A411" s="218"/>
      <c r="B411" s="251"/>
      <c r="C411" s="251"/>
      <c r="D411" s="252"/>
      <c r="E411" s="212" t="s">
        <v>2818</v>
      </c>
      <c r="F411" s="212" t="s">
        <v>120</v>
      </c>
      <c r="G411" s="250" t="n">
        <v>2.51</v>
      </c>
    </row>
    <row r="412" customFormat="false" ht="14.4" hidden="false" customHeight="false" outlineLevel="0" collapsed="false">
      <c r="A412" s="218"/>
      <c r="B412" s="251"/>
      <c r="C412" s="251"/>
      <c r="D412" s="261" t="s">
        <v>7117</v>
      </c>
      <c r="E412" s="224"/>
      <c r="F412" s="225"/>
      <c r="G412" s="217" t="n">
        <v>1768.81</v>
      </c>
    </row>
    <row r="413" customFormat="false" ht="14.4" hidden="false" customHeight="false" outlineLevel="0" collapsed="false">
      <c r="A413" s="218"/>
      <c r="B413" s="251"/>
      <c r="C413" s="251"/>
      <c r="D413" s="249" t="s">
        <v>2630</v>
      </c>
      <c r="E413" s="212" t="s">
        <v>2629</v>
      </c>
      <c r="F413" s="212" t="s">
        <v>120</v>
      </c>
      <c r="G413" s="250" t="n">
        <v>46.87</v>
      </c>
    </row>
    <row r="414" customFormat="false" ht="14.4" hidden="false" customHeight="false" outlineLevel="0" collapsed="false">
      <c r="A414" s="218"/>
      <c r="B414" s="251"/>
      <c r="C414" s="251"/>
      <c r="D414" s="251"/>
      <c r="E414" s="212" t="s">
        <v>2723</v>
      </c>
      <c r="F414" s="212" t="s">
        <v>120</v>
      </c>
      <c r="G414" s="250" t="n">
        <v>124.26</v>
      </c>
    </row>
    <row r="415" customFormat="false" ht="14.4" hidden="false" customHeight="false" outlineLevel="0" collapsed="false">
      <c r="A415" s="218"/>
      <c r="B415" s="251"/>
      <c r="C415" s="251"/>
      <c r="D415" s="251"/>
      <c r="E415" s="212" t="s">
        <v>2727</v>
      </c>
      <c r="F415" s="212" t="s">
        <v>120</v>
      </c>
      <c r="G415" s="250" t="n">
        <v>14.98</v>
      </c>
    </row>
    <row r="416" customFormat="false" ht="14.4" hidden="false" customHeight="false" outlineLevel="0" collapsed="false">
      <c r="A416" s="218"/>
      <c r="B416" s="251"/>
      <c r="C416" s="251"/>
      <c r="D416" s="251"/>
      <c r="E416" s="212" t="s">
        <v>2728</v>
      </c>
      <c r="F416" s="212" t="s">
        <v>120</v>
      </c>
      <c r="G416" s="250" t="n">
        <v>56.94</v>
      </c>
    </row>
    <row r="417" customFormat="false" ht="14.4" hidden="false" customHeight="false" outlineLevel="0" collapsed="false">
      <c r="A417" s="218"/>
      <c r="B417" s="251"/>
      <c r="C417" s="251"/>
      <c r="D417" s="251"/>
      <c r="E417" s="212" t="s">
        <v>2732</v>
      </c>
      <c r="F417" s="212" t="s">
        <v>120</v>
      </c>
      <c r="G417" s="250" t="n">
        <v>113.57</v>
      </c>
    </row>
    <row r="418" customFormat="false" ht="14.4" hidden="false" customHeight="false" outlineLevel="0" collapsed="false">
      <c r="A418" s="218"/>
      <c r="B418" s="251"/>
      <c r="C418" s="251"/>
      <c r="D418" s="251"/>
      <c r="E418" s="212" t="s">
        <v>2737</v>
      </c>
      <c r="F418" s="212" t="s">
        <v>120</v>
      </c>
      <c r="G418" s="250" t="n">
        <v>62.13</v>
      </c>
    </row>
    <row r="419" customFormat="false" ht="14.4" hidden="false" customHeight="false" outlineLevel="0" collapsed="false">
      <c r="A419" s="218"/>
      <c r="B419" s="251"/>
      <c r="C419" s="251"/>
      <c r="D419" s="251"/>
      <c r="E419" s="212" t="s">
        <v>2741</v>
      </c>
      <c r="F419" s="212" t="s">
        <v>120</v>
      </c>
      <c r="G419" s="250" t="n">
        <v>68.9</v>
      </c>
    </row>
    <row r="420" customFormat="false" ht="14.4" hidden="false" customHeight="false" outlineLevel="0" collapsed="false">
      <c r="A420" s="218"/>
      <c r="B420" s="251"/>
      <c r="C420" s="251"/>
      <c r="D420" s="251"/>
      <c r="E420" s="212" t="s">
        <v>2745</v>
      </c>
      <c r="F420" s="212" t="s">
        <v>120</v>
      </c>
      <c r="G420" s="250" t="n">
        <v>85.37</v>
      </c>
    </row>
    <row r="421" customFormat="false" ht="14.4" hidden="false" customHeight="false" outlineLevel="0" collapsed="false">
      <c r="A421" s="218"/>
      <c r="B421" s="251"/>
      <c r="C421" s="251"/>
      <c r="D421" s="251"/>
      <c r="E421" s="212" t="s">
        <v>2749</v>
      </c>
      <c r="F421" s="212" t="s">
        <v>120</v>
      </c>
      <c r="G421" s="250" t="n">
        <v>78.41</v>
      </c>
    </row>
    <row r="422" customFormat="false" ht="14.4" hidden="false" customHeight="false" outlineLevel="0" collapsed="false">
      <c r="A422" s="218"/>
      <c r="B422" s="251"/>
      <c r="C422" s="251"/>
      <c r="D422" s="251"/>
      <c r="E422" s="212" t="s">
        <v>2770</v>
      </c>
      <c r="F422" s="212" t="s">
        <v>120</v>
      </c>
      <c r="G422" s="250" t="n">
        <v>39.64</v>
      </c>
    </row>
    <row r="423" customFormat="false" ht="14.4" hidden="false" customHeight="false" outlineLevel="0" collapsed="false">
      <c r="A423" s="218"/>
      <c r="B423" s="251"/>
      <c r="C423" s="251"/>
      <c r="D423" s="251"/>
      <c r="E423" s="212" t="s">
        <v>2778</v>
      </c>
      <c r="F423" s="212" t="s">
        <v>120</v>
      </c>
      <c r="G423" s="250" t="n">
        <v>75.51</v>
      </c>
    </row>
    <row r="424" customFormat="false" ht="14.4" hidden="false" customHeight="false" outlineLevel="0" collapsed="false">
      <c r="A424" s="218"/>
      <c r="B424" s="251"/>
      <c r="C424" s="251"/>
      <c r="D424" s="251"/>
      <c r="E424" s="212" t="s">
        <v>2793</v>
      </c>
      <c r="F424" s="212" t="s">
        <v>120</v>
      </c>
      <c r="G424" s="250" t="n">
        <v>0.9</v>
      </c>
    </row>
    <row r="425" customFormat="false" ht="14.4" hidden="false" customHeight="false" outlineLevel="0" collapsed="false">
      <c r="A425" s="218"/>
      <c r="B425" s="251"/>
      <c r="C425" s="251"/>
      <c r="D425" s="251"/>
      <c r="E425" s="212" t="s">
        <v>2821</v>
      </c>
      <c r="F425" s="212" t="s">
        <v>120</v>
      </c>
      <c r="G425" s="250" t="n">
        <v>70.52</v>
      </c>
    </row>
    <row r="426" customFormat="false" ht="14.4" hidden="false" customHeight="false" outlineLevel="0" collapsed="false">
      <c r="A426" s="218"/>
      <c r="B426" s="251"/>
      <c r="C426" s="251"/>
      <c r="D426" s="251"/>
      <c r="E426" s="212" t="s">
        <v>2848</v>
      </c>
      <c r="F426" s="212" t="s">
        <v>120</v>
      </c>
      <c r="G426" s="250" t="n">
        <v>72.17</v>
      </c>
    </row>
    <row r="427" customFormat="false" ht="14.4" hidden="false" customHeight="false" outlineLevel="0" collapsed="false">
      <c r="A427" s="218"/>
      <c r="B427" s="251"/>
      <c r="C427" s="251"/>
      <c r="D427" s="251"/>
      <c r="E427" s="212" t="s">
        <v>2857</v>
      </c>
      <c r="F427" s="212" t="s">
        <v>120</v>
      </c>
      <c r="G427" s="250" t="n">
        <v>28.28</v>
      </c>
    </row>
    <row r="428" customFormat="false" ht="14.4" hidden="false" customHeight="false" outlineLevel="0" collapsed="false">
      <c r="A428" s="218"/>
      <c r="B428" s="251"/>
      <c r="C428" s="251"/>
      <c r="D428" s="251"/>
      <c r="E428" s="212" t="s">
        <v>2860</v>
      </c>
      <c r="F428" s="212" t="s">
        <v>120</v>
      </c>
      <c r="G428" s="250" t="n">
        <v>19.93</v>
      </c>
    </row>
    <row r="429" customFormat="false" ht="14.4" hidden="false" customHeight="false" outlineLevel="0" collapsed="false">
      <c r="A429" s="218"/>
      <c r="B429" s="251"/>
      <c r="C429" s="251"/>
      <c r="D429" s="251"/>
      <c r="E429" s="212" t="s">
        <v>2876</v>
      </c>
      <c r="F429" s="212" t="s">
        <v>120</v>
      </c>
      <c r="G429" s="250" t="n">
        <v>59.22</v>
      </c>
    </row>
    <row r="430" customFormat="false" ht="14.4" hidden="false" customHeight="false" outlineLevel="0" collapsed="false">
      <c r="A430" s="218"/>
      <c r="B430" s="251"/>
      <c r="C430" s="251"/>
      <c r="D430" s="252"/>
      <c r="E430" s="212" t="s">
        <v>2888</v>
      </c>
      <c r="F430" s="212" t="s">
        <v>120</v>
      </c>
      <c r="G430" s="250" t="n">
        <v>85.39</v>
      </c>
    </row>
    <row r="431" customFormat="false" ht="14.4" hidden="false" customHeight="false" outlineLevel="0" collapsed="false">
      <c r="A431" s="218"/>
      <c r="B431" s="251"/>
      <c r="C431" s="251"/>
      <c r="D431" s="261" t="s">
        <v>7118</v>
      </c>
      <c r="E431" s="224"/>
      <c r="F431" s="225"/>
      <c r="G431" s="217" t="n">
        <v>1102.99</v>
      </c>
    </row>
    <row r="432" customFormat="false" ht="14.4" hidden="false" customHeight="false" outlineLevel="0" collapsed="false">
      <c r="A432" s="218"/>
      <c r="B432" s="251"/>
      <c r="C432" s="251"/>
      <c r="D432" s="249" t="s">
        <v>2853</v>
      </c>
      <c r="E432" s="212" t="s">
        <v>2852</v>
      </c>
      <c r="F432" s="212" t="s">
        <v>120</v>
      </c>
      <c r="G432" s="250" t="n">
        <v>25.89</v>
      </c>
    </row>
    <row r="433" customFormat="false" ht="14.4" hidden="false" customHeight="false" outlineLevel="0" collapsed="false">
      <c r="A433" s="218"/>
      <c r="B433" s="251"/>
      <c r="C433" s="251"/>
      <c r="D433" s="251"/>
      <c r="E433" s="212" t="s">
        <v>2869</v>
      </c>
      <c r="F433" s="212" t="s">
        <v>120</v>
      </c>
      <c r="G433" s="250" t="n">
        <v>277.99</v>
      </c>
    </row>
    <row r="434" customFormat="false" ht="14.4" hidden="false" customHeight="false" outlineLevel="0" collapsed="false">
      <c r="A434" s="218"/>
      <c r="B434" s="251"/>
      <c r="C434" s="251"/>
      <c r="D434" s="251"/>
      <c r="E434" s="212" t="s">
        <v>2928</v>
      </c>
      <c r="F434" s="212" t="s">
        <v>120</v>
      </c>
      <c r="G434" s="250" t="n">
        <v>186.75</v>
      </c>
    </row>
    <row r="435" customFormat="false" ht="14.4" hidden="false" customHeight="false" outlineLevel="0" collapsed="false">
      <c r="A435" s="218"/>
      <c r="B435" s="251"/>
      <c r="C435" s="251"/>
      <c r="D435" s="252"/>
      <c r="E435" s="212" t="s">
        <v>2931</v>
      </c>
      <c r="F435" s="212" t="s">
        <v>120</v>
      </c>
      <c r="G435" s="250" t="n">
        <v>168.66</v>
      </c>
    </row>
    <row r="436" customFormat="false" ht="14.4" hidden="false" customHeight="false" outlineLevel="0" collapsed="false">
      <c r="A436" s="218"/>
      <c r="B436" s="251"/>
      <c r="C436" s="251"/>
      <c r="D436" s="261" t="s">
        <v>7119</v>
      </c>
      <c r="E436" s="224"/>
      <c r="F436" s="225"/>
      <c r="G436" s="217" t="n">
        <v>659.29</v>
      </c>
    </row>
    <row r="437" customFormat="false" ht="14.4" hidden="false" customHeight="false" outlineLevel="0" collapsed="false">
      <c r="A437" s="218"/>
      <c r="B437" s="251"/>
      <c r="C437" s="251"/>
      <c r="D437" s="212" t="s">
        <v>2209</v>
      </c>
      <c r="E437" s="212" t="s">
        <v>2720</v>
      </c>
      <c r="F437" s="212" t="s">
        <v>120</v>
      </c>
      <c r="G437" s="250" t="n">
        <v>366.89</v>
      </c>
    </row>
    <row r="438" customFormat="false" ht="14.4" hidden="false" customHeight="false" outlineLevel="0" collapsed="false">
      <c r="A438" s="218"/>
      <c r="B438" s="251"/>
      <c r="C438" s="251"/>
      <c r="D438" s="261" t="s">
        <v>7105</v>
      </c>
      <c r="E438" s="224"/>
      <c r="F438" s="225"/>
      <c r="G438" s="217" t="n">
        <v>366.89</v>
      </c>
    </row>
    <row r="439" customFormat="false" ht="14.4" hidden="false" customHeight="false" outlineLevel="0" collapsed="false">
      <c r="A439" s="218"/>
      <c r="B439" s="251"/>
      <c r="C439" s="251"/>
      <c r="D439" s="249" t="s">
        <v>2638</v>
      </c>
      <c r="E439" s="212" t="s">
        <v>2637</v>
      </c>
      <c r="F439" s="212" t="s">
        <v>120</v>
      </c>
      <c r="G439" s="250" t="n">
        <v>32.7</v>
      </c>
    </row>
    <row r="440" customFormat="false" ht="14.4" hidden="false" customHeight="false" outlineLevel="0" collapsed="false">
      <c r="A440" s="218"/>
      <c r="B440" s="251"/>
      <c r="C440" s="251"/>
      <c r="D440" s="251"/>
      <c r="E440" s="212" t="s">
        <v>2659</v>
      </c>
      <c r="F440" s="212" t="s">
        <v>120</v>
      </c>
      <c r="G440" s="250" t="n">
        <v>84.64</v>
      </c>
    </row>
    <row r="441" customFormat="false" ht="14.4" hidden="false" customHeight="false" outlineLevel="0" collapsed="false">
      <c r="A441" s="218"/>
      <c r="B441" s="251"/>
      <c r="C441" s="251"/>
      <c r="D441" s="251"/>
      <c r="E441" s="212" t="s">
        <v>2674</v>
      </c>
      <c r="F441" s="212" t="s">
        <v>120</v>
      </c>
      <c r="G441" s="250" t="n">
        <v>15.75</v>
      </c>
    </row>
    <row r="442" customFormat="false" ht="14.4" hidden="false" customHeight="false" outlineLevel="0" collapsed="false">
      <c r="A442" s="218"/>
      <c r="B442" s="251"/>
      <c r="C442" s="251"/>
      <c r="D442" s="251"/>
      <c r="E442" s="212" t="s">
        <v>2688</v>
      </c>
      <c r="F442" s="212" t="s">
        <v>120</v>
      </c>
      <c r="G442" s="250" t="n">
        <v>172.73</v>
      </c>
    </row>
    <row r="443" customFormat="false" ht="14.4" hidden="false" customHeight="false" outlineLevel="0" collapsed="false">
      <c r="A443" s="218"/>
      <c r="B443" s="251"/>
      <c r="C443" s="251"/>
      <c r="D443" s="251"/>
      <c r="E443" s="212" t="s">
        <v>2828</v>
      </c>
      <c r="F443" s="212" t="s">
        <v>120</v>
      </c>
      <c r="G443" s="250" t="n">
        <v>99.02</v>
      </c>
    </row>
    <row r="444" customFormat="false" ht="14.4" hidden="false" customHeight="false" outlineLevel="0" collapsed="false">
      <c r="A444" s="218"/>
      <c r="B444" s="251"/>
      <c r="C444" s="251"/>
      <c r="D444" s="251"/>
      <c r="E444" s="212" t="s">
        <v>2949</v>
      </c>
      <c r="F444" s="212" t="s">
        <v>120</v>
      </c>
      <c r="G444" s="250" t="n">
        <v>35.57</v>
      </c>
    </row>
    <row r="445" customFormat="false" ht="14.4" hidden="false" customHeight="false" outlineLevel="0" collapsed="false">
      <c r="A445" s="218"/>
      <c r="B445" s="251"/>
      <c r="C445" s="251"/>
      <c r="D445" s="251"/>
      <c r="E445" s="212" t="s">
        <v>2954</v>
      </c>
      <c r="F445" s="212" t="s">
        <v>120</v>
      </c>
      <c r="G445" s="250" t="n">
        <v>126.45</v>
      </c>
    </row>
    <row r="446" customFormat="false" ht="14.4" hidden="false" customHeight="false" outlineLevel="0" collapsed="false">
      <c r="A446" s="218"/>
      <c r="B446" s="251"/>
      <c r="C446" s="251"/>
      <c r="D446" s="251"/>
      <c r="E446" s="212" t="s">
        <v>2958</v>
      </c>
      <c r="F446" s="212" t="s">
        <v>120</v>
      </c>
      <c r="G446" s="250" t="n">
        <v>213.43</v>
      </c>
    </row>
    <row r="447" customFormat="false" ht="14.4" hidden="false" customHeight="false" outlineLevel="0" collapsed="false">
      <c r="A447" s="218"/>
      <c r="B447" s="251"/>
      <c r="C447" s="251"/>
      <c r="D447" s="252"/>
      <c r="E447" s="212" t="s">
        <v>2962</v>
      </c>
      <c r="F447" s="212" t="s">
        <v>120</v>
      </c>
      <c r="G447" s="250" t="n">
        <v>66.15</v>
      </c>
    </row>
    <row r="448" customFormat="false" ht="14.4" hidden="false" customHeight="false" outlineLevel="0" collapsed="false">
      <c r="A448" s="218"/>
      <c r="B448" s="251"/>
      <c r="C448" s="251"/>
      <c r="D448" s="261" t="s">
        <v>7120</v>
      </c>
      <c r="E448" s="224"/>
      <c r="F448" s="225"/>
      <c r="G448" s="217" t="n">
        <v>846.44</v>
      </c>
    </row>
    <row r="449" customFormat="false" ht="14.4" hidden="false" customHeight="false" outlineLevel="0" collapsed="false">
      <c r="A449" s="218"/>
      <c r="B449" s="251"/>
      <c r="C449" s="251"/>
      <c r="D449" s="249" t="s">
        <v>2531</v>
      </c>
      <c r="E449" s="212" t="s">
        <v>2530</v>
      </c>
      <c r="F449" s="212" t="s">
        <v>120</v>
      </c>
      <c r="G449" s="250" t="n">
        <v>6.81</v>
      </c>
    </row>
    <row r="450" customFormat="false" ht="14.4" hidden="false" customHeight="false" outlineLevel="0" collapsed="false">
      <c r="A450" s="218"/>
      <c r="B450" s="251"/>
      <c r="C450" s="251"/>
      <c r="D450" s="251"/>
      <c r="E450" s="212" t="s">
        <v>2536</v>
      </c>
      <c r="F450" s="212" t="s">
        <v>120</v>
      </c>
      <c r="G450" s="250" t="n">
        <v>164.37</v>
      </c>
    </row>
    <row r="451" customFormat="false" ht="14.4" hidden="false" customHeight="false" outlineLevel="0" collapsed="false">
      <c r="A451" s="218"/>
      <c r="B451" s="251"/>
      <c r="C451" s="251"/>
      <c r="D451" s="251"/>
      <c r="E451" s="212" t="s">
        <v>2541</v>
      </c>
      <c r="F451" s="212" t="s">
        <v>120</v>
      </c>
      <c r="G451" s="250" t="n">
        <v>105.53</v>
      </c>
    </row>
    <row r="452" customFormat="false" ht="14.4" hidden="false" customHeight="false" outlineLevel="0" collapsed="false">
      <c r="A452" s="218"/>
      <c r="B452" s="251"/>
      <c r="C452" s="251"/>
      <c r="D452" s="251"/>
      <c r="E452" s="212" t="s">
        <v>2544</v>
      </c>
      <c r="F452" s="212" t="s">
        <v>120</v>
      </c>
      <c r="G452" s="250" t="n">
        <v>27.19</v>
      </c>
    </row>
    <row r="453" customFormat="false" ht="14.4" hidden="false" customHeight="false" outlineLevel="0" collapsed="false">
      <c r="A453" s="218"/>
      <c r="B453" s="251"/>
      <c r="C453" s="251"/>
      <c r="D453" s="251"/>
      <c r="E453" s="212" t="s">
        <v>2548</v>
      </c>
      <c r="F453" s="212" t="s">
        <v>120</v>
      </c>
      <c r="G453" s="250" t="n">
        <v>124.11</v>
      </c>
    </row>
    <row r="454" customFormat="false" ht="14.4" hidden="false" customHeight="false" outlineLevel="0" collapsed="false">
      <c r="A454" s="218"/>
      <c r="B454" s="251"/>
      <c r="C454" s="251"/>
      <c r="D454" s="251"/>
      <c r="E454" s="212" t="s">
        <v>2557</v>
      </c>
      <c r="F454" s="212" t="s">
        <v>120</v>
      </c>
      <c r="G454" s="250" t="n">
        <v>291.43</v>
      </c>
    </row>
    <row r="455" customFormat="false" ht="14.4" hidden="false" customHeight="false" outlineLevel="0" collapsed="false">
      <c r="A455" s="218"/>
      <c r="B455" s="251"/>
      <c r="C455" s="251"/>
      <c r="D455" s="251"/>
      <c r="E455" s="212" t="s">
        <v>2572</v>
      </c>
      <c r="F455" s="212" t="s">
        <v>120</v>
      </c>
      <c r="G455" s="250" t="n">
        <v>44.1</v>
      </c>
    </row>
    <row r="456" customFormat="false" ht="14.4" hidden="false" customHeight="false" outlineLevel="0" collapsed="false">
      <c r="A456" s="218"/>
      <c r="B456" s="251"/>
      <c r="C456" s="251"/>
      <c r="D456" s="251"/>
      <c r="E456" s="212" t="s">
        <v>2580</v>
      </c>
      <c r="F456" s="212" t="s">
        <v>120</v>
      </c>
      <c r="G456" s="250" t="n">
        <v>216.34</v>
      </c>
    </row>
    <row r="457" customFormat="false" ht="14.4" hidden="false" customHeight="false" outlineLevel="0" collapsed="false">
      <c r="A457" s="218"/>
      <c r="B457" s="251"/>
      <c r="C457" s="251"/>
      <c r="D457" s="251"/>
      <c r="E457" s="212" t="s">
        <v>2588</v>
      </c>
      <c r="F457" s="212" t="s">
        <v>120</v>
      </c>
      <c r="G457" s="250" t="n">
        <v>58.76</v>
      </c>
    </row>
    <row r="458" customFormat="false" ht="14.4" hidden="false" customHeight="false" outlineLevel="0" collapsed="false">
      <c r="A458" s="218"/>
      <c r="B458" s="251"/>
      <c r="C458" s="251"/>
      <c r="D458" s="251"/>
      <c r="E458" s="212" t="s">
        <v>2603</v>
      </c>
      <c r="F458" s="212" t="s">
        <v>120</v>
      </c>
      <c r="G458" s="250" t="n">
        <v>76.2</v>
      </c>
    </row>
    <row r="459" customFormat="false" ht="14.4" hidden="false" customHeight="false" outlineLevel="0" collapsed="false">
      <c r="A459" s="218"/>
      <c r="B459" s="251"/>
      <c r="C459" s="251"/>
      <c r="D459" s="252"/>
      <c r="E459" s="212" t="s">
        <v>2634</v>
      </c>
      <c r="F459" s="212" t="s">
        <v>120</v>
      </c>
      <c r="G459" s="250" t="n">
        <v>46.38</v>
      </c>
    </row>
    <row r="460" customFormat="false" ht="14.4" hidden="false" customHeight="false" outlineLevel="0" collapsed="false">
      <c r="A460" s="218"/>
      <c r="B460" s="251"/>
      <c r="C460" s="251"/>
      <c r="D460" s="261" t="s">
        <v>7121</v>
      </c>
      <c r="E460" s="224"/>
      <c r="F460" s="225"/>
      <c r="G460" s="217" t="n">
        <v>1161.22</v>
      </c>
    </row>
    <row r="461" customFormat="false" ht="14.4" hidden="false" customHeight="false" outlineLevel="0" collapsed="false">
      <c r="A461" s="218"/>
      <c r="B461" s="251"/>
      <c r="C461" s="251"/>
      <c r="D461" s="212" t="s">
        <v>2186</v>
      </c>
      <c r="E461" s="212" t="s">
        <v>2736</v>
      </c>
      <c r="F461" s="212" t="s">
        <v>120</v>
      </c>
      <c r="G461" s="250" t="n">
        <v>11.41</v>
      </c>
    </row>
    <row r="462" customFormat="false" ht="14.4" hidden="false" customHeight="false" outlineLevel="0" collapsed="false">
      <c r="A462" s="218"/>
      <c r="B462" s="251"/>
      <c r="C462" s="251"/>
      <c r="D462" s="261" t="s">
        <v>7107</v>
      </c>
      <c r="E462" s="224"/>
      <c r="F462" s="225"/>
      <c r="G462" s="217" t="n">
        <v>11.41</v>
      </c>
    </row>
    <row r="463" customFormat="false" ht="14.4" hidden="false" customHeight="false" outlineLevel="0" collapsed="false">
      <c r="A463" s="218"/>
      <c r="B463" s="251"/>
      <c r="C463" s="251"/>
      <c r="D463" s="249" t="s">
        <v>7055</v>
      </c>
      <c r="E463" s="212" t="s">
        <v>2775</v>
      </c>
      <c r="F463" s="212" t="s">
        <v>120</v>
      </c>
      <c r="G463" s="250" t="n">
        <v>1.02</v>
      </c>
    </row>
    <row r="464" customFormat="false" ht="14.4" hidden="false" customHeight="false" outlineLevel="0" collapsed="false">
      <c r="A464" s="218"/>
      <c r="B464" s="251"/>
      <c r="C464" s="251"/>
      <c r="D464" s="251"/>
      <c r="E464" s="212" t="s">
        <v>2782</v>
      </c>
      <c r="F464" s="212" t="s">
        <v>120</v>
      </c>
      <c r="G464" s="250" t="n">
        <v>4.45</v>
      </c>
    </row>
    <row r="465" customFormat="false" ht="14.4" hidden="false" customHeight="false" outlineLevel="0" collapsed="false">
      <c r="A465" s="218"/>
      <c r="B465" s="251"/>
      <c r="C465" s="251"/>
      <c r="D465" s="251"/>
      <c r="E465" s="212" t="s">
        <v>2785</v>
      </c>
      <c r="F465" s="212" t="s">
        <v>120</v>
      </c>
      <c r="G465" s="250" t="n">
        <v>2.46</v>
      </c>
    </row>
    <row r="466" customFormat="false" ht="14.4" hidden="false" customHeight="false" outlineLevel="0" collapsed="false">
      <c r="A466" s="218"/>
      <c r="B466" s="251"/>
      <c r="C466" s="251"/>
      <c r="D466" s="251"/>
      <c r="E466" s="212" t="s">
        <v>2787</v>
      </c>
      <c r="F466" s="212" t="s">
        <v>120</v>
      </c>
      <c r="G466" s="250" t="n">
        <v>25.59</v>
      </c>
    </row>
    <row r="467" customFormat="false" ht="14.4" hidden="false" customHeight="false" outlineLevel="0" collapsed="false">
      <c r="A467" s="218"/>
      <c r="B467" s="251"/>
      <c r="C467" s="251"/>
      <c r="D467" s="251"/>
      <c r="E467" s="212" t="s">
        <v>2864</v>
      </c>
      <c r="F467" s="212" t="s">
        <v>120</v>
      </c>
      <c r="G467" s="250" t="n">
        <v>11.6</v>
      </c>
    </row>
    <row r="468" customFormat="false" ht="14.4" hidden="false" customHeight="false" outlineLevel="0" collapsed="false">
      <c r="A468" s="218"/>
      <c r="B468" s="251"/>
      <c r="C468" s="251"/>
      <c r="D468" s="251"/>
      <c r="E468" s="212" t="s">
        <v>2880</v>
      </c>
      <c r="F468" s="212" t="s">
        <v>120</v>
      </c>
      <c r="G468" s="250" t="n">
        <v>33.52</v>
      </c>
    </row>
    <row r="469" customFormat="false" ht="14.4" hidden="false" customHeight="false" outlineLevel="0" collapsed="false">
      <c r="A469" s="218"/>
      <c r="B469" s="251"/>
      <c r="C469" s="251"/>
      <c r="D469" s="251"/>
      <c r="E469" s="212" t="s">
        <v>2903</v>
      </c>
      <c r="F469" s="212" t="s">
        <v>120</v>
      </c>
      <c r="G469" s="250" t="n">
        <v>169.23</v>
      </c>
    </row>
    <row r="470" customFormat="false" ht="14.4" hidden="false" customHeight="false" outlineLevel="0" collapsed="false">
      <c r="A470" s="218"/>
      <c r="B470" s="251"/>
      <c r="C470" s="251"/>
      <c r="D470" s="252"/>
      <c r="E470" s="212" t="s">
        <v>2940</v>
      </c>
      <c r="F470" s="212" t="s">
        <v>120</v>
      </c>
      <c r="G470" s="250" t="n">
        <v>94.08</v>
      </c>
    </row>
    <row r="471" customFormat="false" ht="14.4" hidden="false" customHeight="false" outlineLevel="0" collapsed="false">
      <c r="A471" s="218"/>
      <c r="B471" s="252"/>
      <c r="C471" s="252"/>
      <c r="D471" s="261" t="s">
        <v>7060</v>
      </c>
      <c r="E471" s="224"/>
      <c r="F471" s="225"/>
      <c r="G471" s="217" t="n">
        <v>341.95</v>
      </c>
    </row>
    <row r="472" customFormat="false" ht="14.4" hidden="false" customHeight="false" outlineLevel="0" collapsed="false">
      <c r="A472" s="218"/>
      <c r="B472" s="249" t="s">
        <v>2966</v>
      </c>
      <c r="C472" s="249" t="s">
        <v>1556</v>
      </c>
      <c r="D472" s="249" t="s">
        <v>7055</v>
      </c>
      <c r="E472" s="212" t="s">
        <v>3005</v>
      </c>
      <c r="F472" s="212" t="s">
        <v>120</v>
      </c>
      <c r="G472" s="250" t="n">
        <v>33.67</v>
      </c>
    </row>
    <row r="473" customFormat="false" ht="14.4" hidden="false" customHeight="false" outlineLevel="0" collapsed="false">
      <c r="A473" s="218"/>
      <c r="B473" s="251"/>
      <c r="C473" s="251"/>
      <c r="D473" s="251"/>
      <c r="E473" s="212" t="s">
        <v>3019</v>
      </c>
      <c r="F473" s="212" t="s">
        <v>120</v>
      </c>
      <c r="G473" s="250" t="n">
        <v>97.34</v>
      </c>
    </row>
    <row r="474" customFormat="false" ht="14.4" hidden="false" customHeight="false" outlineLevel="0" collapsed="false">
      <c r="A474" s="218"/>
      <c r="B474" s="251"/>
      <c r="C474" s="251"/>
      <c r="D474" s="252"/>
      <c r="E474" s="212" t="s">
        <v>3027</v>
      </c>
      <c r="F474" s="212" t="s">
        <v>120</v>
      </c>
      <c r="G474" s="250" t="n">
        <v>134.14</v>
      </c>
    </row>
    <row r="475" customFormat="false" ht="14.4" hidden="false" customHeight="false" outlineLevel="0" collapsed="false">
      <c r="A475" s="218"/>
      <c r="B475" s="251"/>
      <c r="C475" s="252"/>
      <c r="D475" s="261" t="s">
        <v>7060</v>
      </c>
      <c r="E475" s="224"/>
      <c r="F475" s="225"/>
      <c r="G475" s="217" t="n">
        <v>265.15</v>
      </c>
    </row>
    <row r="476" customFormat="false" ht="14.4" hidden="false" customHeight="false" outlineLevel="0" collapsed="false">
      <c r="A476" s="218"/>
      <c r="B476" s="251"/>
      <c r="C476" s="249" t="s">
        <v>1594</v>
      </c>
      <c r="D476" s="249" t="s">
        <v>3233</v>
      </c>
      <c r="E476" s="212" t="s">
        <v>3232</v>
      </c>
      <c r="F476" s="212" t="s">
        <v>120</v>
      </c>
      <c r="G476" s="250" t="n">
        <v>211.04</v>
      </c>
    </row>
    <row r="477" customFormat="false" ht="14.4" hidden="false" customHeight="false" outlineLevel="0" collapsed="false">
      <c r="A477" s="218"/>
      <c r="B477" s="251"/>
      <c r="C477" s="251"/>
      <c r="D477" s="251"/>
      <c r="E477" s="212" t="s">
        <v>3284</v>
      </c>
      <c r="F477" s="212" t="s">
        <v>120</v>
      </c>
      <c r="G477" s="250" t="n">
        <v>27.04</v>
      </c>
    </row>
    <row r="478" customFormat="false" ht="14.4" hidden="false" customHeight="false" outlineLevel="0" collapsed="false">
      <c r="A478" s="218"/>
      <c r="B478" s="251"/>
      <c r="C478" s="251"/>
      <c r="D478" s="251"/>
      <c r="E478" s="212" t="s">
        <v>3288</v>
      </c>
      <c r="F478" s="212" t="s">
        <v>120</v>
      </c>
      <c r="G478" s="250" t="n">
        <v>4.7</v>
      </c>
    </row>
    <row r="479" customFormat="false" ht="14.4" hidden="false" customHeight="false" outlineLevel="0" collapsed="false">
      <c r="A479" s="218"/>
      <c r="B479" s="251"/>
      <c r="C479" s="251"/>
      <c r="D479" s="251"/>
      <c r="E479" s="212" t="s">
        <v>3291</v>
      </c>
      <c r="F479" s="212" t="s">
        <v>120</v>
      </c>
      <c r="G479" s="250" t="n">
        <v>2.05</v>
      </c>
    </row>
    <row r="480" customFormat="false" ht="14.4" hidden="false" customHeight="false" outlineLevel="0" collapsed="false">
      <c r="A480" s="218"/>
      <c r="B480" s="251"/>
      <c r="C480" s="251"/>
      <c r="D480" s="251"/>
      <c r="E480" s="212" t="s">
        <v>3293</v>
      </c>
      <c r="F480" s="212" t="s">
        <v>120</v>
      </c>
      <c r="G480" s="250" t="n">
        <v>5.57</v>
      </c>
    </row>
    <row r="481" customFormat="false" ht="14.4" hidden="false" customHeight="false" outlineLevel="0" collapsed="false">
      <c r="A481" s="218"/>
      <c r="B481" s="251"/>
      <c r="C481" s="251"/>
      <c r="D481" s="251"/>
      <c r="E481" s="212" t="s">
        <v>3320</v>
      </c>
      <c r="F481" s="212" t="s">
        <v>120</v>
      </c>
      <c r="G481" s="250" t="n">
        <v>131.53</v>
      </c>
    </row>
    <row r="482" customFormat="false" ht="14.4" hidden="false" customHeight="false" outlineLevel="0" collapsed="false">
      <c r="A482" s="218"/>
      <c r="B482" s="251"/>
      <c r="C482" s="251"/>
      <c r="D482" s="252"/>
      <c r="E482" s="212" t="s">
        <v>3334</v>
      </c>
      <c r="F482" s="212" t="s">
        <v>120</v>
      </c>
      <c r="G482" s="250" t="n">
        <v>4.9</v>
      </c>
    </row>
    <row r="483" customFormat="false" ht="14.4" hidden="false" customHeight="false" outlineLevel="0" collapsed="false">
      <c r="A483" s="218"/>
      <c r="B483" s="251"/>
      <c r="C483" s="251"/>
      <c r="D483" s="261" t="s">
        <v>7122</v>
      </c>
      <c r="E483" s="224"/>
      <c r="F483" s="225"/>
      <c r="G483" s="217" t="n">
        <v>386.83</v>
      </c>
    </row>
    <row r="484" customFormat="false" ht="14.4" hidden="false" customHeight="false" outlineLevel="0" collapsed="false">
      <c r="A484" s="218"/>
      <c r="B484" s="251"/>
      <c r="C484" s="251"/>
      <c r="D484" s="249" t="s">
        <v>3251</v>
      </c>
      <c r="E484" s="212" t="s">
        <v>3250</v>
      </c>
      <c r="F484" s="212" t="s">
        <v>120</v>
      </c>
      <c r="G484" s="250" t="n">
        <v>5.71</v>
      </c>
    </row>
    <row r="485" customFormat="false" ht="14.4" hidden="false" customHeight="false" outlineLevel="0" collapsed="false">
      <c r="A485" s="218"/>
      <c r="B485" s="251"/>
      <c r="C485" s="251"/>
      <c r="D485" s="251"/>
      <c r="E485" s="212" t="s">
        <v>3258</v>
      </c>
      <c r="F485" s="212" t="s">
        <v>120</v>
      </c>
      <c r="G485" s="250" t="n">
        <v>106.5</v>
      </c>
    </row>
    <row r="486" customFormat="false" ht="14.4" hidden="false" customHeight="false" outlineLevel="0" collapsed="false">
      <c r="A486" s="218"/>
      <c r="B486" s="251"/>
      <c r="C486" s="251"/>
      <c r="D486" s="251"/>
      <c r="E486" s="212" t="s">
        <v>3267</v>
      </c>
      <c r="F486" s="212" t="s">
        <v>120</v>
      </c>
      <c r="G486" s="250" t="n">
        <v>60.33</v>
      </c>
    </row>
    <row r="487" customFormat="false" ht="14.4" hidden="false" customHeight="false" outlineLevel="0" collapsed="false">
      <c r="A487" s="218"/>
      <c r="B487" s="251"/>
      <c r="C487" s="251"/>
      <c r="D487" s="251"/>
      <c r="E487" s="212" t="s">
        <v>3271</v>
      </c>
      <c r="F487" s="212" t="s">
        <v>120</v>
      </c>
      <c r="G487" s="250" t="n">
        <v>268.53</v>
      </c>
    </row>
    <row r="488" customFormat="false" ht="14.4" hidden="false" customHeight="false" outlineLevel="0" collapsed="false">
      <c r="A488" s="218"/>
      <c r="B488" s="251"/>
      <c r="C488" s="251"/>
      <c r="D488" s="251"/>
      <c r="E488" s="212" t="s">
        <v>3280</v>
      </c>
      <c r="F488" s="212" t="s">
        <v>120</v>
      </c>
      <c r="G488" s="250" t="n">
        <v>77.33</v>
      </c>
    </row>
    <row r="489" customFormat="false" ht="14.4" hidden="false" customHeight="false" outlineLevel="0" collapsed="false">
      <c r="A489" s="218"/>
      <c r="B489" s="251"/>
      <c r="C489" s="251"/>
      <c r="D489" s="251"/>
      <c r="E489" s="212" t="s">
        <v>3302</v>
      </c>
      <c r="F489" s="212" t="s">
        <v>120</v>
      </c>
      <c r="G489" s="250" t="n">
        <v>98.14</v>
      </c>
    </row>
    <row r="490" customFormat="false" ht="14.4" hidden="false" customHeight="false" outlineLevel="0" collapsed="false">
      <c r="A490" s="218"/>
      <c r="B490" s="251"/>
      <c r="C490" s="251"/>
      <c r="D490" s="251"/>
      <c r="E490" s="212" t="s">
        <v>3306</v>
      </c>
      <c r="F490" s="212" t="s">
        <v>120</v>
      </c>
      <c r="G490" s="250" t="n">
        <v>104.76</v>
      </c>
    </row>
    <row r="491" customFormat="false" ht="14.4" hidden="false" customHeight="false" outlineLevel="0" collapsed="false">
      <c r="A491" s="218"/>
      <c r="B491" s="251"/>
      <c r="C491" s="251"/>
      <c r="D491" s="251"/>
      <c r="E491" s="212" t="s">
        <v>3310</v>
      </c>
      <c r="F491" s="212" t="s">
        <v>120</v>
      </c>
      <c r="G491" s="250" t="n">
        <v>28.23</v>
      </c>
    </row>
    <row r="492" customFormat="false" ht="14.4" hidden="false" customHeight="false" outlineLevel="0" collapsed="false">
      <c r="A492" s="218"/>
      <c r="B492" s="251"/>
      <c r="C492" s="251"/>
      <c r="D492" s="251"/>
      <c r="E492" s="212" t="s">
        <v>3317</v>
      </c>
      <c r="F492" s="212" t="s">
        <v>120</v>
      </c>
      <c r="G492" s="250" t="n">
        <v>18.94</v>
      </c>
    </row>
    <row r="493" customFormat="false" ht="14.4" hidden="false" customHeight="false" outlineLevel="0" collapsed="false">
      <c r="A493" s="218"/>
      <c r="B493" s="251"/>
      <c r="C493" s="251"/>
      <c r="D493" s="251"/>
      <c r="E493" s="212" t="s">
        <v>3327</v>
      </c>
      <c r="F493" s="212" t="s">
        <v>120</v>
      </c>
      <c r="G493" s="250" t="n">
        <v>3.45</v>
      </c>
    </row>
    <row r="494" customFormat="false" ht="14.4" hidden="false" customHeight="false" outlineLevel="0" collapsed="false">
      <c r="A494" s="218"/>
      <c r="B494" s="251"/>
      <c r="C494" s="251"/>
      <c r="D494" s="251"/>
      <c r="E494" s="212" t="s">
        <v>3342</v>
      </c>
      <c r="F494" s="212" t="s">
        <v>120</v>
      </c>
      <c r="G494" s="250" t="n">
        <v>3.17</v>
      </c>
    </row>
    <row r="495" customFormat="false" ht="14.4" hidden="false" customHeight="false" outlineLevel="0" collapsed="false">
      <c r="A495" s="218"/>
      <c r="B495" s="251"/>
      <c r="C495" s="251"/>
      <c r="D495" s="251"/>
      <c r="E495" s="212" t="s">
        <v>3347</v>
      </c>
      <c r="F495" s="212" t="s">
        <v>120</v>
      </c>
      <c r="G495" s="250" t="n">
        <v>7.02</v>
      </c>
    </row>
    <row r="496" customFormat="false" ht="14.4" hidden="false" customHeight="false" outlineLevel="0" collapsed="false">
      <c r="A496" s="218"/>
      <c r="B496" s="251"/>
      <c r="C496" s="251"/>
      <c r="D496" s="252"/>
      <c r="E496" s="212" t="s">
        <v>3349</v>
      </c>
      <c r="F496" s="212" t="s">
        <v>120</v>
      </c>
      <c r="G496" s="250" t="n">
        <v>65.35</v>
      </c>
    </row>
    <row r="497" customFormat="false" ht="14.4" hidden="false" customHeight="false" outlineLevel="0" collapsed="false">
      <c r="A497" s="218"/>
      <c r="B497" s="251"/>
      <c r="C497" s="251"/>
      <c r="D497" s="261" t="s">
        <v>7074</v>
      </c>
      <c r="E497" s="224"/>
      <c r="F497" s="225"/>
      <c r="G497" s="217" t="n">
        <v>847.46</v>
      </c>
    </row>
    <row r="498" customFormat="false" ht="14.4" hidden="false" customHeight="false" outlineLevel="0" collapsed="false">
      <c r="A498" s="218"/>
      <c r="B498" s="251"/>
      <c r="C498" s="251"/>
      <c r="D498" s="212" t="s">
        <v>2916</v>
      </c>
      <c r="E498" s="212" t="s">
        <v>3330</v>
      </c>
      <c r="F498" s="212" t="s">
        <v>120</v>
      </c>
      <c r="G498" s="250" t="n">
        <v>30.79</v>
      </c>
    </row>
    <row r="499" customFormat="false" ht="14.4" hidden="false" customHeight="false" outlineLevel="0" collapsed="false">
      <c r="A499" s="218"/>
      <c r="B499" s="251"/>
      <c r="C499" s="251"/>
      <c r="D499" s="261" t="s">
        <v>7112</v>
      </c>
      <c r="E499" s="224"/>
      <c r="F499" s="225"/>
      <c r="G499" s="217" t="n">
        <v>30.79</v>
      </c>
    </row>
    <row r="500" customFormat="false" ht="14.4" hidden="false" customHeight="false" outlineLevel="0" collapsed="false">
      <c r="A500" s="218"/>
      <c r="B500" s="251"/>
      <c r="C500" s="251"/>
      <c r="D500" s="249" t="s">
        <v>3184</v>
      </c>
      <c r="E500" s="212" t="s">
        <v>3183</v>
      </c>
      <c r="F500" s="212" t="s">
        <v>120</v>
      </c>
      <c r="G500" s="250" t="n">
        <v>125.08</v>
      </c>
    </row>
    <row r="501" customFormat="false" ht="14.4" hidden="false" customHeight="false" outlineLevel="0" collapsed="false">
      <c r="A501" s="218"/>
      <c r="B501" s="251"/>
      <c r="C501" s="251"/>
      <c r="D501" s="251"/>
      <c r="E501" s="212" t="s">
        <v>3210</v>
      </c>
      <c r="F501" s="212" t="s">
        <v>120</v>
      </c>
      <c r="G501" s="250" t="n">
        <v>63.51</v>
      </c>
    </row>
    <row r="502" customFormat="false" ht="14.4" hidden="false" customHeight="false" outlineLevel="0" collapsed="false">
      <c r="A502" s="218"/>
      <c r="B502" s="251"/>
      <c r="C502" s="251"/>
      <c r="D502" s="252"/>
      <c r="E502" s="212" t="s">
        <v>3224</v>
      </c>
      <c r="F502" s="212" t="s">
        <v>120</v>
      </c>
      <c r="G502" s="250" t="n">
        <v>61.89</v>
      </c>
    </row>
    <row r="503" customFormat="false" ht="14.4" hidden="false" customHeight="false" outlineLevel="0" collapsed="false">
      <c r="A503" s="218"/>
      <c r="B503" s="251"/>
      <c r="C503" s="251"/>
      <c r="D503" s="261" t="s">
        <v>7123</v>
      </c>
      <c r="E503" s="224"/>
      <c r="F503" s="225"/>
      <c r="G503" s="217" t="n">
        <v>250.48</v>
      </c>
    </row>
    <row r="504" customFormat="false" ht="14.4" hidden="false" customHeight="false" outlineLevel="0" collapsed="false">
      <c r="A504" s="218"/>
      <c r="B504" s="251"/>
      <c r="C504" s="251"/>
      <c r="D504" s="249" t="s">
        <v>3202</v>
      </c>
      <c r="E504" s="212" t="s">
        <v>3201</v>
      </c>
      <c r="F504" s="212" t="s">
        <v>120</v>
      </c>
      <c r="G504" s="250" t="n">
        <v>111.17</v>
      </c>
    </row>
    <row r="505" customFormat="false" ht="14.4" hidden="false" customHeight="false" outlineLevel="0" collapsed="false">
      <c r="A505" s="218"/>
      <c r="B505" s="251"/>
      <c r="C505" s="251"/>
      <c r="D505" s="251"/>
      <c r="E505" s="212" t="s">
        <v>3213</v>
      </c>
      <c r="F505" s="212" t="s">
        <v>120</v>
      </c>
      <c r="G505" s="250" t="n">
        <v>48.02</v>
      </c>
    </row>
    <row r="506" customFormat="false" ht="14.4" hidden="false" customHeight="false" outlineLevel="0" collapsed="false">
      <c r="A506" s="218"/>
      <c r="B506" s="251"/>
      <c r="C506" s="251"/>
      <c r="D506" s="251"/>
      <c r="E506" s="212" t="s">
        <v>3217</v>
      </c>
      <c r="F506" s="212" t="s">
        <v>120</v>
      </c>
      <c r="G506" s="250" t="n">
        <v>58.82</v>
      </c>
    </row>
    <row r="507" customFormat="false" ht="14.4" hidden="false" customHeight="false" outlineLevel="0" collapsed="false">
      <c r="A507" s="218"/>
      <c r="B507" s="251"/>
      <c r="C507" s="251"/>
      <c r="D507" s="251"/>
      <c r="E507" s="212" t="s">
        <v>3241</v>
      </c>
      <c r="F507" s="212" t="s">
        <v>120</v>
      </c>
      <c r="G507" s="250" t="n">
        <v>15.8</v>
      </c>
    </row>
    <row r="508" customFormat="false" ht="14.4" hidden="false" customHeight="false" outlineLevel="0" collapsed="false">
      <c r="A508" s="218"/>
      <c r="B508" s="251"/>
      <c r="C508" s="251"/>
      <c r="D508" s="251"/>
      <c r="E508" s="212" t="s">
        <v>3244</v>
      </c>
      <c r="F508" s="212" t="s">
        <v>120</v>
      </c>
      <c r="G508" s="250" t="n">
        <v>5.79</v>
      </c>
    </row>
    <row r="509" customFormat="false" ht="14.4" hidden="false" customHeight="false" outlineLevel="0" collapsed="false">
      <c r="A509" s="218"/>
      <c r="B509" s="251"/>
      <c r="C509" s="251"/>
      <c r="D509" s="251"/>
      <c r="E509" s="212" t="s">
        <v>3246</v>
      </c>
      <c r="F509" s="212" t="s">
        <v>120</v>
      </c>
      <c r="G509" s="250" t="n">
        <v>186.49</v>
      </c>
    </row>
    <row r="510" customFormat="false" ht="14.4" hidden="false" customHeight="false" outlineLevel="0" collapsed="false">
      <c r="A510" s="218"/>
      <c r="B510" s="251"/>
      <c r="C510" s="251"/>
      <c r="D510" s="251"/>
      <c r="E510" s="212" t="s">
        <v>3254</v>
      </c>
      <c r="F510" s="212" t="s">
        <v>120</v>
      </c>
      <c r="G510" s="250" t="n">
        <v>72.98</v>
      </c>
    </row>
    <row r="511" customFormat="false" ht="14.4" hidden="false" customHeight="false" outlineLevel="0" collapsed="false">
      <c r="A511" s="218"/>
      <c r="B511" s="251"/>
      <c r="C511" s="251"/>
      <c r="D511" s="251"/>
      <c r="E511" s="212" t="s">
        <v>3263</v>
      </c>
      <c r="F511" s="212" t="s">
        <v>120</v>
      </c>
      <c r="G511" s="250" t="n">
        <v>93.64</v>
      </c>
    </row>
    <row r="512" customFormat="false" ht="14.4" hidden="false" customHeight="false" outlineLevel="0" collapsed="false">
      <c r="A512" s="218"/>
      <c r="B512" s="251"/>
      <c r="C512" s="251"/>
      <c r="D512" s="251"/>
      <c r="E512" s="212" t="s">
        <v>3276</v>
      </c>
      <c r="F512" s="212" t="s">
        <v>120</v>
      </c>
      <c r="G512" s="250" t="n">
        <v>184.97</v>
      </c>
    </row>
    <row r="513" customFormat="false" ht="14.4" hidden="false" customHeight="false" outlineLevel="0" collapsed="false">
      <c r="A513" s="218"/>
      <c r="B513" s="251"/>
      <c r="C513" s="251"/>
      <c r="D513" s="251"/>
      <c r="E513" s="212" t="s">
        <v>3314</v>
      </c>
      <c r="F513" s="212" t="s">
        <v>120</v>
      </c>
      <c r="G513" s="250" t="n">
        <v>137.16</v>
      </c>
    </row>
    <row r="514" customFormat="false" ht="14.4" hidden="false" customHeight="false" outlineLevel="0" collapsed="false">
      <c r="A514" s="218"/>
      <c r="B514" s="251"/>
      <c r="C514" s="251"/>
      <c r="D514" s="252"/>
      <c r="E514" s="212" t="s">
        <v>3323</v>
      </c>
      <c r="F514" s="212" t="s">
        <v>120</v>
      </c>
      <c r="G514" s="250" t="n">
        <v>58.73</v>
      </c>
    </row>
    <row r="515" customFormat="false" ht="14.4" hidden="false" customHeight="false" outlineLevel="0" collapsed="false">
      <c r="A515" s="218"/>
      <c r="B515" s="251"/>
      <c r="C515" s="251"/>
      <c r="D515" s="261" t="s">
        <v>7124</v>
      </c>
      <c r="E515" s="224"/>
      <c r="F515" s="225"/>
      <c r="G515" s="217" t="n">
        <v>973.57</v>
      </c>
    </row>
    <row r="516" customFormat="false" ht="14.4" hidden="false" customHeight="false" outlineLevel="0" collapsed="false">
      <c r="A516" s="218"/>
      <c r="B516" s="251"/>
      <c r="C516" s="251"/>
      <c r="D516" s="249" t="s">
        <v>3076</v>
      </c>
      <c r="E516" s="212" t="s">
        <v>3075</v>
      </c>
      <c r="F516" s="212" t="s">
        <v>120</v>
      </c>
      <c r="G516" s="250" t="n">
        <v>39.5</v>
      </c>
    </row>
    <row r="517" customFormat="false" ht="14.4" hidden="false" customHeight="false" outlineLevel="0" collapsed="false">
      <c r="A517" s="218"/>
      <c r="B517" s="251"/>
      <c r="C517" s="251"/>
      <c r="D517" s="251"/>
      <c r="E517" s="212" t="s">
        <v>3085</v>
      </c>
      <c r="F517" s="212" t="s">
        <v>120</v>
      </c>
      <c r="G517" s="250" t="n">
        <v>3.47</v>
      </c>
    </row>
    <row r="518" customFormat="false" ht="14.4" hidden="false" customHeight="false" outlineLevel="0" collapsed="false">
      <c r="A518" s="218"/>
      <c r="B518" s="251"/>
      <c r="C518" s="251"/>
      <c r="D518" s="251"/>
      <c r="E518" s="212" t="s">
        <v>3088</v>
      </c>
      <c r="F518" s="212" t="s">
        <v>120</v>
      </c>
      <c r="G518" s="250" t="n">
        <v>2.42</v>
      </c>
    </row>
    <row r="519" customFormat="false" ht="14.4" hidden="false" customHeight="false" outlineLevel="0" collapsed="false">
      <c r="A519" s="218"/>
      <c r="B519" s="251"/>
      <c r="C519" s="251"/>
      <c r="D519" s="251"/>
      <c r="E519" s="212" t="s">
        <v>3096</v>
      </c>
      <c r="F519" s="212" t="s">
        <v>120</v>
      </c>
      <c r="G519" s="250" t="n">
        <v>103.17</v>
      </c>
    </row>
    <row r="520" customFormat="false" ht="14.4" hidden="false" customHeight="false" outlineLevel="0" collapsed="false">
      <c r="A520" s="218"/>
      <c r="B520" s="251"/>
      <c r="C520" s="251"/>
      <c r="D520" s="251"/>
      <c r="E520" s="212" t="s">
        <v>3194</v>
      </c>
      <c r="F520" s="212" t="s">
        <v>120</v>
      </c>
      <c r="G520" s="250" t="n">
        <v>56.69</v>
      </c>
    </row>
    <row r="521" customFormat="false" ht="14.4" hidden="false" customHeight="false" outlineLevel="0" collapsed="false">
      <c r="A521" s="218"/>
      <c r="B521" s="251"/>
      <c r="C521" s="251"/>
      <c r="D521" s="252"/>
      <c r="E521" s="212" t="s">
        <v>3206</v>
      </c>
      <c r="F521" s="212" t="s">
        <v>120</v>
      </c>
      <c r="G521" s="250" t="n">
        <v>36.15</v>
      </c>
    </row>
    <row r="522" customFormat="false" ht="14.4" hidden="false" customHeight="false" outlineLevel="0" collapsed="false">
      <c r="A522" s="218"/>
      <c r="B522" s="251"/>
      <c r="C522" s="251"/>
      <c r="D522" s="261" t="s">
        <v>7125</v>
      </c>
      <c r="E522" s="224"/>
      <c r="F522" s="225"/>
      <c r="G522" s="217" t="n">
        <v>241.4</v>
      </c>
    </row>
    <row r="523" customFormat="false" ht="14.4" hidden="false" customHeight="false" outlineLevel="0" collapsed="false">
      <c r="A523" s="218"/>
      <c r="B523" s="251"/>
      <c r="C523" s="251"/>
      <c r="D523" s="249" t="s">
        <v>3032</v>
      </c>
      <c r="E523" s="212" t="s">
        <v>3031</v>
      </c>
      <c r="F523" s="212" t="s">
        <v>120</v>
      </c>
      <c r="G523" s="250" t="n">
        <v>42.53</v>
      </c>
    </row>
    <row r="524" customFormat="false" ht="14.4" hidden="false" customHeight="false" outlineLevel="0" collapsed="false">
      <c r="A524" s="218"/>
      <c r="B524" s="251"/>
      <c r="C524" s="251"/>
      <c r="D524" s="251"/>
      <c r="E524" s="212" t="s">
        <v>3036</v>
      </c>
      <c r="F524" s="212" t="s">
        <v>120</v>
      </c>
      <c r="G524" s="250" t="n">
        <v>34.89</v>
      </c>
    </row>
    <row r="525" customFormat="false" ht="14.4" hidden="false" customHeight="false" outlineLevel="0" collapsed="false">
      <c r="A525" s="218"/>
      <c r="B525" s="251"/>
      <c r="C525" s="251"/>
      <c r="D525" s="251"/>
      <c r="E525" s="212" t="s">
        <v>3040</v>
      </c>
      <c r="F525" s="212" t="s">
        <v>120</v>
      </c>
      <c r="G525" s="250" t="n">
        <v>20.5</v>
      </c>
    </row>
    <row r="526" customFormat="false" ht="14.4" hidden="false" customHeight="false" outlineLevel="0" collapsed="false">
      <c r="A526" s="218"/>
      <c r="B526" s="251"/>
      <c r="C526" s="251"/>
      <c r="D526" s="251"/>
      <c r="E526" s="212" t="s">
        <v>3047</v>
      </c>
      <c r="F526" s="212" t="s">
        <v>120</v>
      </c>
      <c r="G526" s="250" t="n">
        <v>37.03</v>
      </c>
    </row>
    <row r="527" customFormat="false" ht="14.4" hidden="false" customHeight="false" outlineLevel="0" collapsed="false">
      <c r="A527" s="218"/>
      <c r="B527" s="251"/>
      <c r="C527" s="251"/>
      <c r="D527" s="251"/>
      <c r="E527" s="212" t="s">
        <v>3055</v>
      </c>
      <c r="F527" s="212" t="s">
        <v>120</v>
      </c>
      <c r="G527" s="250" t="n">
        <v>46.78</v>
      </c>
    </row>
    <row r="528" customFormat="false" ht="14.4" hidden="false" customHeight="false" outlineLevel="0" collapsed="false">
      <c r="A528" s="218"/>
      <c r="B528" s="251"/>
      <c r="C528" s="251"/>
      <c r="D528" s="252"/>
      <c r="E528" s="212" t="s">
        <v>3059</v>
      </c>
      <c r="F528" s="212" t="s">
        <v>120</v>
      </c>
      <c r="G528" s="250" t="n">
        <v>63.79</v>
      </c>
    </row>
    <row r="529" customFormat="false" ht="14.4" hidden="false" customHeight="false" outlineLevel="0" collapsed="false">
      <c r="A529" s="218"/>
      <c r="B529" s="251"/>
      <c r="C529" s="251"/>
      <c r="D529" s="261" t="s">
        <v>7126</v>
      </c>
      <c r="E529" s="224"/>
      <c r="F529" s="225"/>
      <c r="G529" s="217" t="n">
        <v>245.52</v>
      </c>
    </row>
    <row r="530" customFormat="false" ht="14.4" hidden="false" customHeight="false" outlineLevel="0" collapsed="false">
      <c r="A530" s="218"/>
      <c r="B530" s="251"/>
      <c r="C530" s="251"/>
      <c r="D530" s="249" t="s">
        <v>3081</v>
      </c>
      <c r="E530" s="212" t="s">
        <v>3080</v>
      </c>
      <c r="F530" s="212" t="s">
        <v>120</v>
      </c>
      <c r="G530" s="250" t="n">
        <v>27.78</v>
      </c>
    </row>
    <row r="531" customFormat="false" ht="14.4" hidden="false" customHeight="false" outlineLevel="0" collapsed="false">
      <c r="A531" s="218"/>
      <c r="B531" s="251"/>
      <c r="C531" s="251"/>
      <c r="D531" s="252"/>
      <c r="E531" s="212" t="s">
        <v>3092</v>
      </c>
      <c r="F531" s="212" t="s">
        <v>120</v>
      </c>
      <c r="G531" s="250" t="n">
        <v>15.38</v>
      </c>
    </row>
    <row r="532" customFormat="false" ht="14.4" hidden="false" customHeight="false" outlineLevel="0" collapsed="false">
      <c r="A532" s="218"/>
      <c r="B532" s="251"/>
      <c r="C532" s="251"/>
      <c r="D532" s="261" t="s">
        <v>7127</v>
      </c>
      <c r="E532" s="224"/>
      <c r="F532" s="225"/>
      <c r="G532" s="217" t="n">
        <v>43.16</v>
      </c>
    </row>
    <row r="533" customFormat="false" ht="14.4" hidden="false" customHeight="false" outlineLevel="0" collapsed="false">
      <c r="A533" s="218"/>
      <c r="B533" s="251"/>
      <c r="C533" s="251"/>
      <c r="D533" s="249" t="s">
        <v>2973</v>
      </c>
      <c r="E533" s="212" t="s">
        <v>2972</v>
      </c>
      <c r="F533" s="212" t="s">
        <v>120</v>
      </c>
      <c r="G533" s="250" t="n">
        <v>53.76</v>
      </c>
    </row>
    <row r="534" customFormat="false" ht="14.4" hidden="false" customHeight="false" outlineLevel="0" collapsed="false">
      <c r="A534" s="218"/>
      <c r="B534" s="251"/>
      <c r="C534" s="251"/>
      <c r="D534" s="252"/>
      <c r="E534" s="212" t="s">
        <v>2977</v>
      </c>
      <c r="F534" s="212" t="s">
        <v>120</v>
      </c>
      <c r="G534" s="250" t="n">
        <v>173.89</v>
      </c>
    </row>
    <row r="535" customFormat="false" ht="14.4" hidden="false" customHeight="false" outlineLevel="0" collapsed="false">
      <c r="A535" s="218"/>
      <c r="B535" s="251"/>
      <c r="C535" s="251"/>
      <c r="D535" s="261" t="s">
        <v>7128</v>
      </c>
      <c r="E535" s="224"/>
      <c r="F535" s="225"/>
      <c r="G535" s="217" t="n">
        <v>227.65</v>
      </c>
    </row>
    <row r="536" customFormat="false" ht="14.4" hidden="false" customHeight="false" outlineLevel="0" collapsed="false">
      <c r="A536" s="218"/>
      <c r="B536" s="251"/>
      <c r="C536" s="251"/>
      <c r="D536" s="249" t="s">
        <v>3015</v>
      </c>
      <c r="E536" s="212" t="s">
        <v>3014</v>
      </c>
      <c r="F536" s="212" t="s">
        <v>120</v>
      </c>
      <c r="G536" s="250" t="n">
        <v>45.26</v>
      </c>
    </row>
    <row r="537" customFormat="false" ht="14.4" hidden="false" customHeight="false" outlineLevel="0" collapsed="false">
      <c r="A537" s="218"/>
      <c r="B537" s="251"/>
      <c r="C537" s="251"/>
      <c r="D537" s="251"/>
      <c r="E537" s="212" t="s">
        <v>3023</v>
      </c>
      <c r="F537" s="212" t="s">
        <v>120</v>
      </c>
      <c r="G537" s="250" t="n">
        <v>63.52</v>
      </c>
    </row>
    <row r="538" customFormat="false" ht="14.4" hidden="false" customHeight="false" outlineLevel="0" collapsed="false">
      <c r="A538" s="218"/>
      <c r="B538" s="251"/>
      <c r="C538" s="251"/>
      <c r="D538" s="251"/>
      <c r="E538" s="212" t="s">
        <v>3043</v>
      </c>
      <c r="F538" s="212" t="s">
        <v>120</v>
      </c>
      <c r="G538" s="250" t="n">
        <v>5.99</v>
      </c>
    </row>
    <row r="539" customFormat="false" ht="14.4" hidden="false" customHeight="false" outlineLevel="0" collapsed="false">
      <c r="A539" s="218"/>
      <c r="B539" s="251"/>
      <c r="C539" s="251"/>
      <c r="D539" s="251"/>
      <c r="E539" s="212" t="s">
        <v>3051</v>
      </c>
      <c r="F539" s="212" t="s">
        <v>120</v>
      </c>
      <c r="G539" s="250" t="n">
        <v>37.26</v>
      </c>
    </row>
    <row r="540" customFormat="false" ht="14.4" hidden="false" customHeight="false" outlineLevel="0" collapsed="false">
      <c r="A540" s="218"/>
      <c r="B540" s="251"/>
      <c r="C540" s="251"/>
      <c r="D540" s="251"/>
      <c r="E540" s="212" t="s">
        <v>3063</v>
      </c>
      <c r="F540" s="212" t="s">
        <v>120</v>
      </c>
      <c r="G540" s="250" t="n">
        <v>3.9</v>
      </c>
    </row>
    <row r="541" customFormat="false" ht="14.4" hidden="false" customHeight="false" outlineLevel="0" collapsed="false">
      <c r="A541" s="218"/>
      <c r="B541" s="251"/>
      <c r="C541" s="251"/>
      <c r="D541" s="251"/>
      <c r="E541" s="212" t="s">
        <v>3067</v>
      </c>
      <c r="F541" s="212" t="s">
        <v>120</v>
      </c>
      <c r="G541" s="250" t="n">
        <v>86.21</v>
      </c>
    </row>
    <row r="542" customFormat="false" ht="14.4" hidden="false" customHeight="false" outlineLevel="0" collapsed="false">
      <c r="A542" s="218"/>
      <c r="B542" s="251"/>
      <c r="C542" s="251"/>
      <c r="D542" s="251"/>
      <c r="E542" s="212" t="s">
        <v>3071</v>
      </c>
      <c r="F542" s="212" t="s">
        <v>120</v>
      </c>
      <c r="G542" s="250" t="n">
        <v>53.99</v>
      </c>
    </row>
    <row r="543" customFormat="false" ht="14.4" hidden="false" customHeight="false" outlineLevel="0" collapsed="false">
      <c r="A543" s="218"/>
      <c r="B543" s="251"/>
      <c r="C543" s="251"/>
      <c r="D543" s="251"/>
      <c r="E543" s="212" t="s">
        <v>3128</v>
      </c>
      <c r="F543" s="212" t="s">
        <v>120</v>
      </c>
      <c r="G543" s="250" t="n">
        <v>44.62</v>
      </c>
    </row>
    <row r="544" customFormat="false" ht="14.4" hidden="false" customHeight="false" outlineLevel="0" collapsed="false">
      <c r="A544" s="218"/>
      <c r="B544" s="251"/>
      <c r="C544" s="251"/>
      <c r="D544" s="251"/>
      <c r="E544" s="212" t="s">
        <v>3140</v>
      </c>
      <c r="F544" s="212" t="s">
        <v>120</v>
      </c>
      <c r="G544" s="250" t="n">
        <v>1.84</v>
      </c>
    </row>
    <row r="545" customFormat="false" ht="14.4" hidden="false" customHeight="false" outlineLevel="0" collapsed="false">
      <c r="A545" s="218"/>
      <c r="B545" s="251"/>
      <c r="C545" s="251"/>
      <c r="D545" s="251"/>
      <c r="E545" s="212" t="s">
        <v>3143</v>
      </c>
      <c r="F545" s="212" t="s">
        <v>120</v>
      </c>
      <c r="G545" s="250" t="n">
        <v>46.47</v>
      </c>
    </row>
    <row r="546" customFormat="false" ht="14.4" hidden="false" customHeight="false" outlineLevel="0" collapsed="false">
      <c r="A546" s="218"/>
      <c r="B546" s="251"/>
      <c r="C546" s="251"/>
      <c r="D546" s="251"/>
      <c r="E546" s="212" t="s">
        <v>3146</v>
      </c>
      <c r="F546" s="212" t="s">
        <v>120</v>
      </c>
      <c r="G546" s="250" t="n">
        <v>3.31</v>
      </c>
    </row>
    <row r="547" customFormat="false" ht="14.4" hidden="false" customHeight="false" outlineLevel="0" collapsed="false">
      <c r="A547" s="218"/>
      <c r="B547" s="251"/>
      <c r="C547" s="251"/>
      <c r="D547" s="251"/>
      <c r="E547" s="212" t="s">
        <v>3151</v>
      </c>
      <c r="F547" s="212" t="s">
        <v>120</v>
      </c>
      <c r="G547" s="250" t="n">
        <v>48.17</v>
      </c>
    </row>
    <row r="548" customFormat="false" ht="14.4" hidden="false" customHeight="false" outlineLevel="0" collapsed="false">
      <c r="A548" s="218"/>
      <c r="B548" s="251"/>
      <c r="C548" s="251"/>
      <c r="D548" s="251"/>
      <c r="E548" s="212" t="s">
        <v>3153</v>
      </c>
      <c r="F548" s="212" t="s">
        <v>120</v>
      </c>
      <c r="G548" s="250" t="n">
        <v>68.33</v>
      </c>
    </row>
    <row r="549" customFormat="false" ht="14.4" hidden="false" customHeight="false" outlineLevel="0" collapsed="false">
      <c r="A549" s="218"/>
      <c r="B549" s="251"/>
      <c r="C549" s="251"/>
      <c r="D549" s="251"/>
      <c r="E549" s="212" t="s">
        <v>3157</v>
      </c>
      <c r="F549" s="212" t="s">
        <v>120</v>
      </c>
      <c r="G549" s="250" t="n">
        <v>338.7</v>
      </c>
    </row>
    <row r="550" customFormat="false" ht="14.4" hidden="false" customHeight="false" outlineLevel="0" collapsed="false">
      <c r="A550" s="218"/>
      <c r="B550" s="251"/>
      <c r="C550" s="251"/>
      <c r="D550" s="251"/>
      <c r="E550" s="212" t="s">
        <v>3160</v>
      </c>
      <c r="F550" s="212" t="s">
        <v>120</v>
      </c>
      <c r="G550" s="250" t="n">
        <v>152.69</v>
      </c>
    </row>
    <row r="551" customFormat="false" ht="14.4" hidden="false" customHeight="false" outlineLevel="0" collapsed="false">
      <c r="A551" s="218"/>
      <c r="B551" s="251"/>
      <c r="C551" s="251"/>
      <c r="D551" s="251"/>
      <c r="E551" s="212" t="s">
        <v>3163</v>
      </c>
      <c r="F551" s="212" t="s">
        <v>120</v>
      </c>
      <c r="G551" s="250" t="n">
        <v>250.74</v>
      </c>
    </row>
    <row r="552" customFormat="false" ht="14.4" hidden="false" customHeight="false" outlineLevel="0" collapsed="false">
      <c r="A552" s="218"/>
      <c r="B552" s="251"/>
      <c r="C552" s="251"/>
      <c r="D552" s="251"/>
      <c r="E552" s="212" t="s">
        <v>3166</v>
      </c>
      <c r="F552" s="212" t="s">
        <v>120</v>
      </c>
      <c r="G552" s="250" t="n">
        <v>324.1</v>
      </c>
    </row>
    <row r="553" customFormat="false" ht="14.4" hidden="false" customHeight="false" outlineLevel="0" collapsed="false">
      <c r="A553" s="218"/>
      <c r="B553" s="251"/>
      <c r="C553" s="251"/>
      <c r="D553" s="251"/>
      <c r="E553" s="212" t="s">
        <v>3174</v>
      </c>
      <c r="F553" s="212" t="s">
        <v>120</v>
      </c>
      <c r="G553" s="250" t="n">
        <v>204.96</v>
      </c>
    </row>
    <row r="554" customFormat="false" ht="14.4" hidden="false" customHeight="false" outlineLevel="0" collapsed="false">
      <c r="A554" s="218"/>
      <c r="B554" s="251"/>
      <c r="C554" s="251"/>
      <c r="D554" s="251"/>
      <c r="E554" s="212" t="s">
        <v>3179</v>
      </c>
      <c r="F554" s="212" t="s">
        <v>120</v>
      </c>
      <c r="G554" s="250" t="n">
        <v>10.43</v>
      </c>
    </row>
    <row r="555" customFormat="false" ht="14.4" hidden="false" customHeight="false" outlineLevel="0" collapsed="false">
      <c r="A555" s="218"/>
      <c r="B555" s="251"/>
      <c r="C555" s="251"/>
      <c r="D555" s="251"/>
      <c r="E555" s="212" t="s">
        <v>3189</v>
      </c>
      <c r="F555" s="212" t="s">
        <v>120</v>
      </c>
      <c r="G555" s="250" t="n">
        <v>44.19</v>
      </c>
    </row>
    <row r="556" customFormat="false" ht="14.4" hidden="false" customHeight="false" outlineLevel="0" collapsed="false">
      <c r="A556" s="218"/>
      <c r="B556" s="251"/>
      <c r="C556" s="251"/>
      <c r="D556" s="251"/>
      <c r="E556" s="212" t="s">
        <v>3199</v>
      </c>
      <c r="F556" s="212" t="s">
        <v>120</v>
      </c>
      <c r="G556" s="250" t="n">
        <v>45.36</v>
      </c>
    </row>
    <row r="557" customFormat="false" ht="14.4" hidden="false" customHeight="false" outlineLevel="0" collapsed="false">
      <c r="A557" s="218"/>
      <c r="B557" s="251"/>
      <c r="C557" s="251"/>
      <c r="D557" s="251"/>
      <c r="E557" s="212" t="s">
        <v>3220</v>
      </c>
      <c r="F557" s="212" t="s">
        <v>120</v>
      </c>
      <c r="G557" s="250" t="n">
        <v>149.04</v>
      </c>
    </row>
    <row r="558" customFormat="false" ht="14.4" hidden="false" customHeight="false" outlineLevel="0" collapsed="false">
      <c r="A558" s="218"/>
      <c r="B558" s="251"/>
      <c r="C558" s="251"/>
      <c r="D558" s="251"/>
      <c r="E558" s="212" t="s">
        <v>3228</v>
      </c>
      <c r="F558" s="212" t="s">
        <v>120</v>
      </c>
      <c r="G558" s="250" t="n">
        <v>50.97</v>
      </c>
    </row>
    <row r="559" customFormat="false" ht="14.4" hidden="false" customHeight="false" outlineLevel="0" collapsed="false">
      <c r="A559" s="218"/>
      <c r="B559" s="251"/>
      <c r="C559" s="251"/>
      <c r="D559" s="252"/>
      <c r="E559" s="212" t="s">
        <v>3339</v>
      </c>
      <c r="F559" s="212" t="s">
        <v>120</v>
      </c>
      <c r="G559" s="250" t="n">
        <v>91.44</v>
      </c>
    </row>
    <row r="560" customFormat="false" ht="14.4" hidden="false" customHeight="false" outlineLevel="0" collapsed="false">
      <c r="A560" s="218"/>
      <c r="B560" s="251"/>
      <c r="C560" s="251"/>
      <c r="D560" s="261" t="s">
        <v>7129</v>
      </c>
      <c r="E560" s="224"/>
      <c r="F560" s="225"/>
      <c r="G560" s="217" t="n">
        <v>2171.49</v>
      </c>
    </row>
    <row r="561" customFormat="false" ht="14.4" hidden="false" customHeight="false" outlineLevel="0" collapsed="false">
      <c r="A561" s="218"/>
      <c r="B561" s="251"/>
      <c r="C561" s="251"/>
      <c r="D561" s="249" t="s">
        <v>2990</v>
      </c>
      <c r="E561" s="212" t="s">
        <v>2989</v>
      </c>
      <c r="F561" s="212" t="s">
        <v>120</v>
      </c>
      <c r="G561" s="250" t="n">
        <v>37.01</v>
      </c>
    </row>
    <row r="562" customFormat="false" ht="14.4" hidden="false" customHeight="false" outlineLevel="0" collapsed="false">
      <c r="A562" s="218"/>
      <c r="B562" s="251"/>
      <c r="C562" s="251"/>
      <c r="D562" s="252"/>
      <c r="E562" s="212" t="s">
        <v>2998</v>
      </c>
      <c r="F562" s="212" t="s">
        <v>120</v>
      </c>
      <c r="G562" s="250" t="n">
        <v>56.74</v>
      </c>
    </row>
    <row r="563" customFormat="false" ht="14.4" hidden="false" customHeight="false" outlineLevel="0" collapsed="false">
      <c r="A563" s="218"/>
      <c r="B563" s="251"/>
      <c r="C563" s="251"/>
      <c r="D563" s="261" t="s">
        <v>7130</v>
      </c>
      <c r="E563" s="224"/>
      <c r="F563" s="225"/>
      <c r="G563" s="217" t="n">
        <v>93.75</v>
      </c>
    </row>
    <row r="564" customFormat="false" ht="14.4" hidden="false" customHeight="false" outlineLevel="0" collapsed="false">
      <c r="A564" s="218"/>
      <c r="B564" s="251"/>
      <c r="C564" s="251"/>
      <c r="D564" s="212" t="s">
        <v>2209</v>
      </c>
      <c r="E564" s="212" t="s">
        <v>3337</v>
      </c>
      <c r="F564" s="212" t="s">
        <v>120</v>
      </c>
      <c r="G564" s="250" t="n">
        <v>2.03</v>
      </c>
    </row>
    <row r="565" customFormat="false" ht="14.4" hidden="false" customHeight="false" outlineLevel="0" collapsed="false">
      <c r="A565" s="218"/>
      <c r="B565" s="251"/>
      <c r="C565" s="251"/>
      <c r="D565" s="261" t="s">
        <v>7105</v>
      </c>
      <c r="E565" s="224"/>
      <c r="F565" s="225"/>
      <c r="G565" s="217" t="n">
        <v>2.03</v>
      </c>
    </row>
    <row r="566" customFormat="false" ht="14.4" hidden="false" customHeight="false" outlineLevel="0" collapsed="false">
      <c r="A566" s="218"/>
      <c r="B566" s="251"/>
      <c r="C566" s="251"/>
      <c r="D566" s="212" t="s">
        <v>3170</v>
      </c>
      <c r="E566" s="212" t="s">
        <v>3169</v>
      </c>
      <c r="F566" s="212" t="s">
        <v>120</v>
      </c>
      <c r="G566" s="250" t="n">
        <v>178.02</v>
      </c>
    </row>
    <row r="567" customFormat="false" ht="14.4" hidden="false" customHeight="false" outlineLevel="0" collapsed="false">
      <c r="A567" s="218"/>
      <c r="B567" s="251"/>
      <c r="C567" s="251"/>
      <c r="D567" s="261" t="s">
        <v>7131</v>
      </c>
      <c r="E567" s="224"/>
      <c r="F567" s="225"/>
      <c r="G567" s="217" t="n">
        <v>178.02</v>
      </c>
    </row>
    <row r="568" customFormat="false" ht="14.4" hidden="false" customHeight="false" outlineLevel="0" collapsed="false">
      <c r="A568" s="218"/>
      <c r="B568" s="251"/>
      <c r="C568" s="251"/>
      <c r="D568" s="212" t="s">
        <v>3298</v>
      </c>
      <c r="E568" s="212" t="s">
        <v>3297</v>
      </c>
      <c r="F568" s="212" t="s">
        <v>120</v>
      </c>
      <c r="G568" s="250" t="n">
        <v>117.53</v>
      </c>
    </row>
    <row r="569" customFormat="false" ht="14.4" hidden="false" customHeight="false" outlineLevel="0" collapsed="false">
      <c r="A569" s="218"/>
      <c r="B569" s="251"/>
      <c r="C569" s="251"/>
      <c r="D569" s="261" t="s">
        <v>7132</v>
      </c>
      <c r="E569" s="224"/>
      <c r="F569" s="225"/>
      <c r="G569" s="217" t="n">
        <v>117.53</v>
      </c>
    </row>
    <row r="570" customFormat="false" ht="14.4" hidden="false" customHeight="false" outlineLevel="0" collapsed="false">
      <c r="A570" s="218"/>
      <c r="B570" s="251"/>
      <c r="C570" s="251"/>
      <c r="D570" s="212" t="s">
        <v>3237</v>
      </c>
      <c r="E570" s="212" t="s">
        <v>3236</v>
      </c>
      <c r="F570" s="212" t="s">
        <v>120</v>
      </c>
      <c r="G570" s="250" t="n">
        <v>53.9</v>
      </c>
    </row>
    <row r="571" customFormat="false" ht="14.4" hidden="false" customHeight="false" outlineLevel="0" collapsed="false">
      <c r="A571" s="218"/>
      <c r="B571" s="251"/>
      <c r="C571" s="251"/>
      <c r="D571" s="261" t="s">
        <v>7133</v>
      </c>
      <c r="E571" s="224"/>
      <c r="F571" s="225"/>
      <c r="G571" s="217" t="n">
        <v>53.9</v>
      </c>
    </row>
    <row r="572" customFormat="false" ht="14.4" hidden="false" customHeight="false" outlineLevel="0" collapsed="false">
      <c r="A572" s="218"/>
      <c r="B572" s="251"/>
      <c r="C572" s="251"/>
      <c r="D572" s="249" t="s">
        <v>3102</v>
      </c>
      <c r="E572" s="212" t="s">
        <v>3100</v>
      </c>
      <c r="F572" s="212" t="s">
        <v>120</v>
      </c>
      <c r="G572" s="250" t="n">
        <v>34.18</v>
      </c>
    </row>
    <row r="573" customFormat="false" ht="14.4" hidden="false" customHeight="false" outlineLevel="0" collapsed="false">
      <c r="A573" s="218"/>
      <c r="B573" s="251"/>
      <c r="C573" s="251"/>
      <c r="D573" s="252"/>
      <c r="E573" s="212" t="s">
        <v>3113</v>
      </c>
      <c r="F573" s="212" t="s">
        <v>120</v>
      </c>
      <c r="G573" s="250" t="n">
        <v>47.94</v>
      </c>
    </row>
    <row r="574" customFormat="false" ht="14.4" hidden="false" customHeight="false" outlineLevel="0" collapsed="false">
      <c r="A574" s="218"/>
      <c r="B574" s="251"/>
      <c r="C574" s="251"/>
      <c r="D574" s="261" t="s">
        <v>7134</v>
      </c>
      <c r="E574" s="224"/>
      <c r="F574" s="225"/>
      <c r="G574" s="217" t="n">
        <v>82.12</v>
      </c>
    </row>
    <row r="575" customFormat="false" ht="14.4" hidden="false" customHeight="false" outlineLevel="0" collapsed="false">
      <c r="A575" s="218"/>
      <c r="B575" s="251"/>
      <c r="C575" s="251"/>
      <c r="D575" s="249" t="s">
        <v>3010</v>
      </c>
      <c r="E575" s="212" t="s">
        <v>3009</v>
      </c>
      <c r="F575" s="212" t="s">
        <v>120</v>
      </c>
      <c r="G575" s="250" t="n">
        <v>0.77</v>
      </c>
    </row>
    <row r="576" customFormat="false" ht="14.4" hidden="false" customHeight="false" outlineLevel="0" collapsed="false">
      <c r="A576" s="218"/>
      <c r="B576" s="251"/>
      <c r="C576" s="251"/>
      <c r="D576" s="251"/>
      <c r="E576" s="212" t="s">
        <v>3117</v>
      </c>
      <c r="F576" s="212" t="s">
        <v>120</v>
      </c>
      <c r="G576" s="250" t="n">
        <v>45.41</v>
      </c>
    </row>
    <row r="577" customFormat="false" ht="14.4" hidden="false" customHeight="false" outlineLevel="0" collapsed="false">
      <c r="A577" s="218"/>
      <c r="B577" s="251"/>
      <c r="C577" s="251"/>
      <c r="D577" s="251"/>
      <c r="E577" s="212" t="s">
        <v>3124</v>
      </c>
      <c r="F577" s="212" t="s">
        <v>120</v>
      </c>
      <c r="G577" s="250" t="n">
        <v>80.3</v>
      </c>
    </row>
    <row r="578" customFormat="false" ht="14.4" hidden="false" customHeight="false" outlineLevel="0" collapsed="false">
      <c r="A578" s="218"/>
      <c r="B578" s="251"/>
      <c r="C578" s="251"/>
      <c r="D578" s="252"/>
      <c r="E578" s="212" t="s">
        <v>3137</v>
      </c>
      <c r="F578" s="212" t="s">
        <v>120</v>
      </c>
      <c r="G578" s="250" t="n">
        <v>46.98</v>
      </c>
    </row>
    <row r="579" customFormat="false" ht="14.4" hidden="false" customHeight="false" outlineLevel="0" collapsed="false">
      <c r="A579" s="218"/>
      <c r="B579" s="251"/>
      <c r="C579" s="251"/>
      <c r="D579" s="261" t="s">
        <v>7135</v>
      </c>
      <c r="E579" s="224"/>
      <c r="F579" s="225"/>
      <c r="G579" s="217" t="n">
        <v>173.46</v>
      </c>
    </row>
    <row r="580" customFormat="false" ht="14.4" hidden="false" customHeight="false" outlineLevel="0" collapsed="false">
      <c r="A580" s="218"/>
      <c r="B580" s="251"/>
      <c r="C580" s="251"/>
      <c r="D580" s="249" t="s">
        <v>7055</v>
      </c>
      <c r="E580" s="212" t="s">
        <v>2967</v>
      </c>
      <c r="F580" s="212" t="s">
        <v>120</v>
      </c>
      <c r="G580" s="250" t="n">
        <v>174.16</v>
      </c>
    </row>
    <row r="581" customFormat="false" ht="14.4" hidden="false" customHeight="false" outlineLevel="0" collapsed="false">
      <c r="A581" s="218"/>
      <c r="B581" s="251"/>
      <c r="C581" s="251"/>
      <c r="D581" s="251"/>
      <c r="E581" s="212" t="s">
        <v>2981</v>
      </c>
      <c r="F581" s="212" t="s">
        <v>120</v>
      </c>
      <c r="G581" s="250" t="n">
        <v>53.83</v>
      </c>
    </row>
    <row r="582" customFormat="false" ht="14.4" hidden="false" customHeight="false" outlineLevel="0" collapsed="false">
      <c r="A582" s="218"/>
      <c r="B582" s="251"/>
      <c r="C582" s="251"/>
      <c r="D582" s="251"/>
      <c r="E582" s="212" t="s">
        <v>2985</v>
      </c>
      <c r="F582" s="212" t="s">
        <v>120</v>
      </c>
      <c r="G582" s="250" t="n">
        <v>63.25</v>
      </c>
    </row>
    <row r="583" customFormat="false" ht="14.4" hidden="false" customHeight="false" outlineLevel="0" collapsed="false">
      <c r="A583" s="218"/>
      <c r="B583" s="251"/>
      <c r="C583" s="251"/>
      <c r="D583" s="251"/>
      <c r="E583" s="212" t="s">
        <v>2994</v>
      </c>
      <c r="F583" s="212" t="s">
        <v>120</v>
      </c>
      <c r="G583" s="250" t="n">
        <v>7.65</v>
      </c>
    </row>
    <row r="584" customFormat="false" ht="14.4" hidden="false" customHeight="false" outlineLevel="0" collapsed="false">
      <c r="A584" s="218"/>
      <c r="B584" s="251"/>
      <c r="C584" s="251"/>
      <c r="D584" s="251"/>
      <c r="E584" s="212" t="s">
        <v>3001</v>
      </c>
      <c r="F584" s="212" t="s">
        <v>120</v>
      </c>
      <c r="G584" s="250" t="n">
        <v>200.08</v>
      </c>
    </row>
    <row r="585" customFormat="false" ht="14.4" hidden="false" customHeight="false" outlineLevel="0" collapsed="false">
      <c r="A585" s="218"/>
      <c r="B585" s="251"/>
      <c r="C585" s="251"/>
      <c r="D585" s="251"/>
      <c r="E585" s="212" t="s">
        <v>3108</v>
      </c>
      <c r="F585" s="212" t="s">
        <v>120</v>
      </c>
      <c r="G585" s="250" t="n">
        <v>67.52</v>
      </c>
    </row>
    <row r="586" customFormat="false" ht="14.4" hidden="false" customHeight="false" outlineLevel="0" collapsed="false">
      <c r="A586" s="218"/>
      <c r="B586" s="251"/>
      <c r="C586" s="251"/>
      <c r="D586" s="251"/>
      <c r="E586" s="212" t="s">
        <v>3120</v>
      </c>
      <c r="F586" s="212" t="s">
        <v>120</v>
      </c>
      <c r="G586" s="250" t="n">
        <v>42.43</v>
      </c>
    </row>
    <row r="587" customFormat="false" ht="14.4" hidden="false" customHeight="false" outlineLevel="0" collapsed="false">
      <c r="A587" s="218"/>
      <c r="B587" s="251"/>
      <c r="C587" s="251"/>
      <c r="D587" s="252"/>
      <c r="E587" s="212" t="s">
        <v>3133</v>
      </c>
      <c r="F587" s="212" t="s">
        <v>120</v>
      </c>
      <c r="G587" s="250" t="n">
        <v>53.99</v>
      </c>
    </row>
    <row r="588" customFormat="false" ht="14.4" hidden="false" customHeight="false" outlineLevel="0" collapsed="false">
      <c r="A588" s="218"/>
      <c r="B588" s="252"/>
      <c r="C588" s="252"/>
      <c r="D588" s="261" t="s">
        <v>7060</v>
      </c>
      <c r="E588" s="224"/>
      <c r="F588" s="225"/>
      <c r="G588" s="217" t="n">
        <v>662.91</v>
      </c>
    </row>
    <row r="589" customFormat="false" ht="14.4" hidden="false" customHeight="false" outlineLevel="0" collapsed="false">
      <c r="A589" s="218"/>
      <c r="B589" s="249" t="s">
        <v>3352</v>
      </c>
      <c r="C589" s="249" t="s">
        <v>1594</v>
      </c>
      <c r="D589" s="249" t="s">
        <v>2798</v>
      </c>
      <c r="E589" s="212" t="s">
        <v>3453</v>
      </c>
      <c r="F589" s="212" t="s">
        <v>120</v>
      </c>
      <c r="G589" s="250" t="n">
        <v>6.14</v>
      </c>
    </row>
    <row r="590" customFormat="false" ht="14.4" hidden="false" customHeight="false" outlineLevel="0" collapsed="false">
      <c r="A590" s="218"/>
      <c r="B590" s="251"/>
      <c r="C590" s="251"/>
      <c r="D590" s="251"/>
      <c r="E590" s="212" t="s">
        <v>3457</v>
      </c>
      <c r="F590" s="212" t="s">
        <v>120</v>
      </c>
      <c r="G590" s="250" t="n">
        <v>37.79</v>
      </c>
    </row>
    <row r="591" customFormat="false" ht="14.4" hidden="false" customHeight="false" outlineLevel="0" collapsed="false">
      <c r="A591" s="218"/>
      <c r="B591" s="251"/>
      <c r="C591" s="251"/>
      <c r="D591" s="251"/>
      <c r="E591" s="212" t="s">
        <v>3460</v>
      </c>
      <c r="F591" s="212" t="s">
        <v>120</v>
      </c>
      <c r="G591" s="250" t="n">
        <v>42.04</v>
      </c>
    </row>
    <row r="592" customFormat="false" ht="14.4" hidden="false" customHeight="false" outlineLevel="0" collapsed="false">
      <c r="A592" s="218"/>
      <c r="B592" s="251"/>
      <c r="C592" s="251"/>
      <c r="D592" s="251"/>
      <c r="E592" s="212" t="s">
        <v>3475</v>
      </c>
      <c r="F592" s="212" t="s">
        <v>120</v>
      </c>
      <c r="G592" s="250" t="n">
        <v>246.12</v>
      </c>
    </row>
    <row r="593" customFormat="false" ht="14.4" hidden="false" customHeight="false" outlineLevel="0" collapsed="false">
      <c r="A593" s="218"/>
      <c r="B593" s="251"/>
      <c r="C593" s="251"/>
      <c r="D593" s="252"/>
      <c r="E593" s="212" t="s">
        <v>3479</v>
      </c>
      <c r="F593" s="212" t="s">
        <v>120</v>
      </c>
      <c r="G593" s="250" t="n">
        <v>263.63</v>
      </c>
    </row>
    <row r="594" customFormat="false" ht="14.4" hidden="false" customHeight="false" outlineLevel="0" collapsed="false">
      <c r="A594" s="218"/>
      <c r="B594" s="251"/>
      <c r="C594" s="251"/>
      <c r="D594" s="261" t="s">
        <v>7113</v>
      </c>
      <c r="E594" s="224"/>
      <c r="F594" s="225"/>
      <c r="G594" s="217" t="n">
        <v>595.72</v>
      </c>
    </row>
    <row r="595" customFormat="false" ht="14.4" hidden="false" customHeight="false" outlineLevel="0" collapsed="false">
      <c r="A595" s="218"/>
      <c r="B595" s="251"/>
      <c r="C595" s="251"/>
      <c r="D595" s="249" t="s">
        <v>2834</v>
      </c>
      <c r="E595" s="212" t="s">
        <v>3532</v>
      </c>
      <c r="F595" s="212" t="s">
        <v>120</v>
      </c>
      <c r="G595" s="250" t="n">
        <v>24.74</v>
      </c>
    </row>
    <row r="596" customFormat="false" ht="14.4" hidden="false" customHeight="false" outlineLevel="0" collapsed="false">
      <c r="A596" s="218"/>
      <c r="B596" s="251"/>
      <c r="C596" s="251"/>
      <c r="D596" s="252"/>
      <c r="E596" s="212" t="s">
        <v>3577</v>
      </c>
      <c r="F596" s="212" t="s">
        <v>120</v>
      </c>
      <c r="G596" s="250" t="n">
        <v>123.3</v>
      </c>
    </row>
    <row r="597" customFormat="false" ht="14.4" hidden="false" customHeight="false" outlineLevel="0" collapsed="false">
      <c r="A597" s="218"/>
      <c r="B597" s="251"/>
      <c r="C597" s="251"/>
      <c r="D597" s="261" t="s">
        <v>7114</v>
      </c>
      <c r="E597" s="224"/>
      <c r="F597" s="225"/>
      <c r="G597" s="217" t="n">
        <v>148.04</v>
      </c>
    </row>
    <row r="598" customFormat="false" ht="14.4" hidden="false" customHeight="false" outlineLevel="0" collapsed="false">
      <c r="A598" s="218"/>
      <c r="B598" s="251"/>
      <c r="C598" s="251"/>
      <c r="D598" s="249" t="s">
        <v>2630</v>
      </c>
      <c r="E598" s="212" t="s">
        <v>3489</v>
      </c>
      <c r="F598" s="212" t="s">
        <v>120</v>
      </c>
      <c r="G598" s="250" t="n">
        <v>32.53</v>
      </c>
    </row>
    <row r="599" customFormat="false" ht="14.4" hidden="false" customHeight="false" outlineLevel="0" collapsed="false">
      <c r="A599" s="218"/>
      <c r="B599" s="251"/>
      <c r="C599" s="251"/>
      <c r="D599" s="252"/>
      <c r="E599" s="212" t="s">
        <v>3594</v>
      </c>
      <c r="F599" s="212" t="s">
        <v>120</v>
      </c>
      <c r="G599" s="250" t="n">
        <v>248.42</v>
      </c>
    </row>
    <row r="600" customFormat="false" ht="14.4" hidden="false" customHeight="false" outlineLevel="0" collapsed="false">
      <c r="A600" s="218"/>
      <c r="B600" s="251"/>
      <c r="C600" s="251"/>
      <c r="D600" s="261" t="s">
        <v>7118</v>
      </c>
      <c r="E600" s="224"/>
      <c r="F600" s="225"/>
      <c r="G600" s="217" t="n">
        <v>280.95</v>
      </c>
    </row>
    <row r="601" customFormat="false" ht="14.4" hidden="false" customHeight="false" outlineLevel="0" collapsed="false">
      <c r="A601" s="218"/>
      <c r="B601" s="251"/>
      <c r="C601" s="251"/>
      <c r="D601" s="249" t="s">
        <v>3721</v>
      </c>
      <c r="E601" s="212" t="s">
        <v>3720</v>
      </c>
      <c r="F601" s="212" t="s">
        <v>120</v>
      </c>
      <c r="G601" s="250" t="n">
        <v>73.7</v>
      </c>
    </row>
    <row r="602" customFormat="false" ht="14.4" hidden="false" customHeight="false" outlineLevel="0" collapsed="false">
      <c r="A602" s="218"/>
      <c r="B602" s="251"/>
      <c r="C602" s="251"/>
      <c r="D602" s="251"/>
      <c r="E602" s="212" t="s">
        <v>3736</v>
      </c>
      <c r="F602" s="212" t="s">
        <v>120</v>
      </c>
      <c r="G602" s="250" t="n">
        <v>60.25</v>
      </c>
    </row>
    <row r="603" customFormat="false" ht="14.4" hidden="false" customHeight="false" outlineLevel="0" collapsed="false">
      <c r="A603" s="218"/>
      <c r="B603" s="251"/>
      <c r="C603" s="251"/>
      <c r="D603" s="251"/>
      <c r="E603" s="212" t="s">
        <v>3747</v>
      </c>
      <c r="F603" s="212" t="s">
        <v>120</v>
      </c>
      <c r="G603" s="250" t="n">
        <v>57.86</v>
      </c>
    </row>
    <row r="604" customFormat="false" ht="14.4" hidden="false" customHeight="false" outlineLevel="0" collapsed="false">
      <c r="A604" s="218"/>
      <c r="B604" s="251"/>
      <c r="C604" s="251"/>
      <c r="D604" s="251"/>
      <c r="E604" s="212" t="s">
        <v>3758</v>
      </c>
      <c r="F604" s="212" t="s">
        <v>120</v>
      </c>
      <c r="G604" s="250" t="n">
        <v>98.25</v>
      </c>
    </row>
    <row r="605" customFormat="false" ht="14.4" hidden="false" customHeight="false" outlineLevel="0" collapsed="false">
      <c r="A605" s="218"/>
      <c r="B605" s="251"/>
      <c r="C605" s="251"/>
      <c r="D605" s="251"/>
      <c r="E605" s="212" t="s">
        <v>3773</v>
      </c>
      <c r="F605" s="212" t="s">
        <v>120</v>
      </c>
      <c r="G605" s="250" t="n">
        <v>159.73</v>
      </c>
    </row>
    <row r="606" customFormat="false" ht="14.4" hidden="false" customHeight="false" outlineLevel="0" collapsed="false">
      <c r="A606" s="218"/>
      <c r="B606" s="251"/>
      <c r="C606" s="251"/>
      <c r="D606" s="251"/>
      <c r="E606" s="212" t="s">
        <v>3777</v>
      </c>
      <c r="F606" s="212" t="s">
        <v>120</v>
      </c>
      <c r="G606" s="250" t="n">
        <v>43.16</v>
      </c>
    </row>
    <row r="607" customFormat="false" ht="14.4" hidden="false" customHeight="false" outlineLevel="0" collapsed="false">
      <c r="A607" s="218"/>
      <c r="B607" s="251"/>
      <c r="C607" s="251"/>
      <c r="D607" s="251"/>
      <c r="E607" s="212" t="s">
        <v>3780</v>
      </c>
      <c r="F607" s="212" t="s">
        <v>120</v>
      </c>
      <c r="G607" s="250" t="n">
        <v>3.62</v>
      </c>
    </row>
    <row r="608" customFormat="false" ht="14.4" hidden="false" customHeight="false" outlineLevel="0" collapsed="false">
      <c r="A608" s="218"/>
      <c r="B608" s="251"/>
      <c r="C608" s="251"/>
      <c r="D608" s="252"/>
      <c r="E608" s="212" t="s">
        <v>3784</v>
      </c>
      <c r="F608" s="212" t="s">
        <v>120</v>
      </c>
      <c r="G608" s="250" t="n">
        <v>3.07</v>
      </c>
    </row>
    <row r="609" customFormat="false" ht="14.4" hidden="false" customHeight="false" outlineLevel="0" collapsed="false">
      <c r="A609" s="218"/>
      <c r="B609" s="251"/>
      <c r="C609" s="251"/>
      <c r="D609" s="261" t="s">
        <v>7136</v>
      </c>
      <c r="E609" s="224"/>
      <c r="F609" s="225"/>
      <c r="G609" s="217" t="n">
        <v>499.64</v>
      </c>
    </row>
    <row r="610" customFormat="false" ht="14.4" hidden="false" customHeight="false" outlineLevel="0" collapsed="false">
      <c r="A610" s="218"/>
      <c r="B610" s="251"/>
      <c r="C610" s="251"/>
      <c r="D610" s="249" t="s">
        <v>3743</v>
      </c>
      <c r="E610" s="212" t="s">
        <v>3742</v>
      </c>
      <c r="F610" s="212" t="s">
        <v>120</v>
      </c>
      <c r="G610" s="250" t="n">
        <v>37.4</v>
      </c>
    </row>
    <row r="611" customFormat="false" ht="14.4" hidden="false" customHeight="false" outlineLevel="0" collapsed="false">
      <c r="A611" s="218"/>
      <c r="B611" s="251"/>
      <c r="C611" s="251"/>
      <c r="D611" s="252"/>
      <c r="E611" s="212" t="s">
        <v>3750</v>
      </c>
      <c r="F611" s="212" t="s">
        <v>120</v>
      </c>
      <c r="G611" s="250" t="n">
        <v>90.25</v>
      </c>
    </row>
    <row r="612" customFormat="false" ht="14.4" hidden="false" customHeight="false" outlineLevel="0" collapsed="false">
      <c r="A612" s="218"/>
      <c r="B612" s="251"/>
      <c r="C612" s="251"/>
      <c r="D612" s="261" t="s">
        <v>7137</v>
      </c>
      <c r="E612" s="224"/>
      <c r="F612" s="225"/>
      <c r="G612" s="217" t="n">
        <v>127.65</v>
      </c>
    </row>
    <row r="613" customFormat="false" ht="14.4" hidden="false" customHeight="false" outlineLevel="0" collapsed="false">
      <c r="A613" s="218"/>
      <c r="B613" s="251"/>
      <c r="C613" s="251"/>
      <c r="D613" s="249" t="s">
        <v>3704</v>
      </c>
      <c r="E613" s="212" t="s">
        <v>3703</v>
      </c>
      <c r="F613" s="212" t="s">
        <v>120</v>
      </c>
      <c r="G613" s="250" t="n">
        <v>60.04</v>
      </c>
    </row>
    <row r="614" customFormat="false" ht="14.4" hidden="false" customHeight="false" outlineLevel="0" collapsed="false">
      <c r="A614" s="218"/>
      <c r="B614" s="251"/>
      <c r="C614" s="251"/>
      <c r="D614" s="251"/>
      <c r="E614" s="212" t="s">
        <v>3712</v>
      </c>
      <c r="F614" s="212" t="s">
        <v>120</v>
      </c>
      <c r="G614" s="250" t="n">
        <v>63.87</v>
      </c>
    </row>
    <row r="615" customFormat="false" ht="14.4" hidden="false" customHeight="false" outlineLevel="0" collapsed="false">
      <c r="A615" s="218"/>
      <c r="B615" s="251"/>
      <c r="C615" s="251"/>
      <c r="D615" s="251"/>
      <c r="E615" s="212" t="s">
        <v>3728</v>
      </c>
      <c r="F615" s="212" t="s">
        <v>120</v>
      </c>
      <c r="G615" s="250" t="n">
        <v>38.34</v>
      </c>
    </row>
    <row r="616" customFormat="false" ht="14.4" hidden="false" customHeight="false" outlineLevel="0" collapsed="false">
      <c r="A616" s="218"/>
      <c r="B616" s="251"/>
      <c r="C616" s="251"/>
      <c r="D616" s="251"/>
      <c r="E616" s="212" t="s">
        <v>3732</v>
      </c>
      <c r="F616" s="212" t="s">
        <v>120</v>
      </c>
      <c r="G616" s="250" t="n">
        <v>77.78</v>
      </c>
    </row>
    <row r="617" customFormat="false" ht="14.4" hidden="false" customHeight="false" outlineLevel="0" collapsed="false">
      <c r="A617" s="218"/>
      <c r="B617" s="251"/>
      <c r="C617" s="251"/>
      <c r="D617" s="251"/>
      <c r="E617" s="212" t="s">
        <v>3754</v>
      </c>
      <c r="F617" s="212" t="s">
        <v>120</v>
      </c>
      <c r="G617" s="250" t="n">
        <v>173.61</v>
      </c>
    </row>
    <row r="618" customFormat="false" ht="14.4" hidden="false" customHeight="false" outlineLevel="0" collapsed="false">
      <c r="A618" s="218"/>
      <c r="B618" s="251"/>
      <c r="C618" s="251"/>
      <c r="D618" s="252"/>
      <c r="E618" s="212" t="s">
        <v>3762</v>
      </c>
      <c r="F618" s="212" t="s">
        <v>120</v>
      </c>
      <c r="G618" s="250" t="n">
        <v>53.91</v>
      </c>
    </row>
    <row r="619" customFormat="false" ht="14.4" hidden="false" customHeight="false" outlineLevel="0" collapsed="false">
      <c r="A619" s="218"/>
      <c r="B619" s="251"/>
      <c r="C619" s="251"/>
      <c r="D619" s="261" t="s">
        <v>7138</v>
      </c>
      <c r="E619" s="224"/>
      <c r="F619" s="225"/>
      <c r="G619" s="217" t="n">
        <v>467.55</v>
      </c>
    </row>
    <row r="620" customFormat="false" ht="14.4" hidden="false" customHeight="false" outlineLevel="0" collapsed="false">
      <c r="A620" s="218"/>
      <c r="B620" s="251"/>
      <c r="C620" s="251"/>
      <c r="D620" s="249" t="s">
        <v>3686</v>
      </c>
      <c r="E620" s="212" t="s">
        <v>3684</v>
      </c>
      <c r="F620" s="212" t="s">
        <v>120</v>
      </c>
      <c r="G620" s="250" t="n">
        <v>92.19</v>
      </c>
    </row>
    <row r="621" customFormat="false" ht="14.4" hidden="false" customHeight="false" outlineLevel="0" collapsed="false">
      <c r="A621" s="218"/>
      <c r="B621" s="251"/>
      <c r="C621" s="251"/>
      <c r="D621" s="251"/>
      <c r="E621" s="212" t="s">
        <v>3691</v>
      </c>
      <c r="F621" s="212" t="s">
        <v>120</v>
      </c>
      <c r="G621" s="250" t="n">
        <v>67.83</v>
      </c>
    </row>
    <row r="622" customFormat="false" ht="14.4" hidden="false" customHeight="false" outlineLevel="0" collapsed="false">
      <c r="A622" s="218"/>
      <c r="B622" s="251"/>
      <c r="C622" s="251"/>
      <c r="D622" s="252"/>
      <c r="E622" s="212" t="s">
        <v>3739</v>
      </c>
      <c r="F622" s="212" t="s">
        <v>120</v>
      </c>
      <c r="G622" s="250" t="n">
        <v>83.7</v>
      </c>
    </row>
    <row r="623" customFormat="false" ht="14.4" hidden="false" customHeight="false" outlineLevel="0" collapsed="false">
      <c r="A623" s="218"/>
      <c r="B623" s="251"/>
      <c r="C623" s="251"/>
      <c r="D623" s="261" t="s">
        <v>7139</v>
      </c>
      <c r="E623" s="224"/>
      <c r="F623" s="225"/>
      <c r="G623" s="217" t="n">
        <v>243.72</v>
      </c>
    </row>
    <row r="624" customFormat="false" ht="14.4" hidden="false" customHeight="false" outlineLevel="0" collapsed="false">
      <c r="A624" s="218"/>
      <c r="B624" s="251"/>
      <c r="C624" s="251"/>
      <c r="D624" s="249" t="s">
        <v>3540</v>
      </c>
      <c r="E624" s="212" t="s">
        <v>3539</v>
      </c>
      <c r="F624" s="212" t="s">
        <v>120</v>
      </c>
      <c r="G624" s="250" t="n">
        <v>50.01</v>
      </c>
    </row>
    <row r="625" customFormat="false" ht="14.4" hidden="false" customHeight="false" outlineLevel="0" collapsed="false">
      <c r="A625" s="218"/>
      <c r="B625" s="251"/>
      <c r="C625" s="251"/>
      <c r="D625" s="251"/>
      <c r="E625" s="212" t="s">
        <v>3544</v>
      </c>
      <c r="F625" s="212" t="s">
        <v>120</v>
      </c>
      <c r="G625" s="250" t="n">
        <v>44.44</v>
      </c>
    </row>
    <row r="626" customFormat="false" ht="14.4" hidden="false" customHeight="false" outlineLevel="0" collapsed="false">
      <c r="A626" s="218"/>
      <c r="B626" s="251"/>
      <c r="C626" s="251"/>
      <c r="D626" s="251"/>
      <c r="E626" s="212" t="s">
        <v>3554</v>
      </c>
      <c r="F626" s="212" t="s">
        <v>120</v>
      </c>
      <c r="G626" s="250" t="n">
        <v>40.25</v>
      </c>
    </row>
    <row r="627" customFormat="false" ht="14.4" hidden="false" customHeight="false" outlineLevel="0" collapsed="false">
      <c r="A627" s="218"/>
      <c r="B627" s="251"/>
      <c r="C627" s="251"/>
      <c r="D627" s="251"/>
      <c r="E627" s="212" t="s">
        <v>3558</v>
      </c>
      <c r="F627" s="212" t="s">
        <v>120</v>
      </c>
      <c r="G627" s="250" t="n">
        <v>6.2</v>
      </c>
    </row>
    <row r="628" customFormat="false" ht="14.4" hidden="false" customHeight="false" outlineLevel="0" collapsed="false">
      <c r="A628" s="218"/>
      <c r="B628" s="251"/>
      <c r="C628" s="251"/>
      <c r="D628" s="251"/>
      <c r="E628" s="212" t="s">
        <v>3565</v>
      </c>
      <c r="F628" s="212" t="s">
        <v>120</v>
      </c>
      <c r="G628" s="250" t="n">
        <v>15</v>
      </c>
    </row>
    <row r="629" customFormat="false" ht="14.4" hidden="false" customHeight="false" outlineLevel="0" collapsed="false">
      <c r="A629" s="218"/>
      <c r="B629" s="251"/>
      <c r="C629" s="251"/>
      <c r="D629" s="251"/>
      <c r="E629" s="212" t="s">
        <v>3573</v>
      </c>
      <c r="F629" s="212" t="s">
        <v>120</v>
      </c>
      <c r="G629" s="250" t="n">
        <v>57.43</v>
      </c>
    </row>
    <row r="630" customFormat="false" ht="14.4" hidden="false" customHeight="false" outlineLevel="0" collapsed="false">
      <c r="A630" s="218"/>
      <c r="B630" s="251"/>
      <c r="C630" s="251"/>
      <c r="D630" s="251"/>
      <c r="E630" s="212" t="s">
        <v>3585</v>
      </c>
      <c r="F630" s="212" t="s">
        <v>120</v>
      </c>
      <c r="G630" s="250" t="n">
        <v>118.54</v>
      </c>
    </row>
    <row r="631" customFormat="false" ht="14.4" hidden="false" customHeight="false" outlineLevel="0" collapsed="false">
      <c r="A631" s="218"/>
      <c r="B631" s="251"/>
      <c r="C631" s="251"/>
      <c r="D631" s="251"/>
      <c r="E631" s="212" t="s">
        <v>3606</v>
      </c>
      <c r="F631" s="212" t="s">
        <v>120</v>
      </c>
      <c r="G631" s="250" t="n">
        <v>143.2</v>
      </c>
    </row>
    <row r="632" customFormat="false" ht="14.4" hidden="false" customHeight="false" outlineLevel="0" collapsed="false">
      <c r="A632" s="218"/>
      <c r="B632" s="251"/>
      <c r="C632" s="251"/>
      <c r="D632" s="251"/>
      <c r="E632" s="212" t="s">
        <v>3614</v>
      </c>
      <c r="F632" s="212" t="s">
        <v>120</v>
      </c>
      <c r="G632" s="250" t="n">
        <v>70.12</v>
      </c>
    </row>
    <row r="633" customFormat="false" ht="14.4" hidden="false" customHeight="false" outlineLevel="0" collapsed="false">
      <c r="A633" s="218"/>
      <c r="B633" s="251"/>
      <c r="C633" s="251"/>
      <c r="D633" s="252"/>
      <c r="E633" s="212" t="s">
        <v>3628</v>
      </c>
      <c r="F633" s="212" t="s">
        <v>120</v>
      </c>
      <c r="G633" s="250" t="n">
        <v>131.94</v>
      </c>
    </row>
    <row r="634" customFormat="false" ht="14.4" hidden="false" customHeight="false" outlineLevel="0" collapsed="false">
      <c r="A634" s="218"/>
      <c r="B634" s="251"/>
      <c r="C634" s="251"/>
      <c r="D634" s="261" t="s">
        <v>7140</v>
      </c>
      <c r="E634" s="224"/>
      <c r="F634" s="225"/>
      <c r="G634" s="217" t="n">
        <v>677.13</v>
      </c>
    </row>
    <row r="635" customFormat="false" ht="14.4" hidden="false" customHeight="false" outlineLevel="0" collapsed="false">
      <c r="A635" s="218"/>
      <c r="B635" s="251"/>
      <c r="C635" s="251"/>
      <c r="D635" s="249" t="s">
        <v>3516</v>
      </c>
      <c r="E635" s="212" t="s">
        <v>3515</v>
      </c>
      <c r="F635" s="212" t="s">
        <v>120</v>
      </c>
      <c r="G635" s="250" t="n">
        <v>41.18</v>
      </c>
    </row>
    <row r="636" customFormat="false" ht="14.4" hidden="false" customHeight="false" outlineLevel="0" collapsed="false">
      <c r="A636" s="218"/>
      <c r="B636" s="251"/>
      <c r="C636" s="251"/>
      <c r="D636" s="251"/>
      <c r="E636" s="212" t="s">
        <v>3520</v>
      </c>
      <c r="F636" s="212" t="s">
        <v>120</v>
      </c>
      <c r="G636" s="250" t="n">
        <v>34.16</v>
      </c>
    </row>
    <row r="637" customFormat="false" ht="14.4" hidden="false" customHeight="false" outlineLevel="0" collapsed="false">
      <c r="A637" s="218"/>
      <c r="B637" s="251"/>
      <c r="C637" s="251"/>
      <c r="D637" s="251"/>
      <c r="E637" s="212" t="s">
        <v>3528</v>
      </c>
      <c r="F637" s="212" t="s">
        <v>120</v>
      </c>
      <c r="G637" s="250" t="n">
        <v>25.4</v>
      </c>
    </row>
    <row r="638" customFormat="false" ht="14.4" hidden="false" customHeight="false" outlineLevel="0" collapsed="false">
      <c r="A638" s="218"/>
      <c r="B638" s="251"/>
      <c r="C638" s="251"/>
      <c r="D638" s="251"/>
      <c r="E638" s="212" t="s">
        <v>3581</v>
      </c>
      <c r="F638" s="212" t="s">
        <v>120</v>
      </c>
      <c r="G638" s="250" t="n">
        <v>166.35</v>
      </c>
    </row>
    <row r="639" customFormat="false" ht="14.4" hidden="false" customHeight="false" outlineLevel="0" collapsed="false">
      <c r="A639" s="218"/>
      <c r="B639" s="251"/>
      <c r="C639" s="251"/>
      <c r="D639" s="251"/>
      <c r="E639" s="212" t="s">
        <v>3622</v>
      </c>
      <c r="F639" s="212" t="s">
        <v>120</v>
      </c>
      <c r="G639" s="250" t="n">
        <v>281.84</v>
      </c>
    </row>
    <row r="640" customFormat="false" ht="14.4" hidden="false" customHeight="false" outlineLevel="0" collapsed="false">
      <c r="A640" s="218"/>
      <c r="B640" s="251"/>
      <c r="C640" s="251"/>
      <c r="D640" s="251"/>
      <c r="E640" s="212" t="s">
        <v>3632</v>
      </c>
      <c r="F640" s="212" t="s">
        <v>120</v>
      </c>
      <c r="G640" s="250" t="n">
        <v>59.85</v>
      </c>
    </row>
    <row r="641" customFormat="false" ht="14.4" hidden="false" customHeight="false" outlineLevel="0" collapsed="false">
      <c r="A641" s="218"/>
      <c r="B641" s="251"/>
      <c r="C641" s="251"/>
      <c r="D641" s="251"/>
      <c r="E641" s="212" t="s">
        <v>3636</v>
      </c>
      <c r="F641" s="212" t="s">
        <v>120</v>
      </c>
      <c r="G641" s="250" t="n">
        <v>19.69</v>
      </c>
    </row>
    <row r="642" customFormat="false" ht="14.4" hidden="false" customHeight="false" outlineLevel="0" collapsed="false">
      <c r="A642" s="218"/>
      <c r="B642" s="251"/>
      <c r="C642" s="251"/>
      <c r="D642" s="251"/>
      <c r="E642" s="212" t="s">
        <v>3695</v>
      </c>
      <c r="F642" s="212" t="s">
        <v>120</v>
      </c>
      <c r="G642" s="250" t="n">
        <v>36.3</v>
      </c>
    </row>
    <row r="643" customFormat="false" ht="14.4" hidden="false" customHeight="false" outlineLevel="0" collapsed="false">
      <c r="A643" s="218"/>
      <c r="B643" s="251"/>
      <c r="C643" s="251"/>
      <c r="D643" s="252"/>
      <c r="E643" s="212" t="s">
        <v>3699</v>
      </c>
      <c r="F643" s="212" t="s">
        <v>120</v>
      </c>
      <c r="G643" s="250" t="n">
        <v>72.07</v>
      </c>
    </row>
    <row r="644" customFormat="false" ht="14.4" hidden="false" customHeight="false" outlineLevel="0" collapsed="false">
      <c r="A644" s="218"/>
      <c r="B644" s="251"/>
      <c r="C644" s="251"/>
      <c r="D644" s="261" t="s">
        <v>7076</v>
      </c>
      <c r="E644" s="224"/>
      <c r="F644" s="225"/>
      <c r="G644" s="217" t="n">
        <v>736.84</v>
      </c>
    </row>
    <row r="645" customFormat="false" ht="14.4" hidden="false" customHeight="false" outlineLevel="0" collapsed="false">
      <c r="A645" s="218"/>
      <c r="B645" s="251"/>
      <c r="C645" s="251"/>
      <c r="D645" s="249" t="s">
        <v>3499</v>
      </c>
      <c r="E645" s="212" t="s">
        <v>3498</v>
      </c>
      <c r="F645" s="212" t="s">
        <v>120</v>
      </c>
      <c r="G645" s="250" t="n">
        <v>56.46</v>
      </c>
    </row>
    <row r="646" customFormat="false" ht="14.4" hidden="false" customHeight="false" outlineLevel="0" collapsed="false">
      <c r="A646" s="218"/>
      <c r="B646" s="251"/>
      <c r="C646" s="251"/>
      <c r="D646" s="251"/>
      <c r="E646" s="212" t="s">
        <v>3503</v>
      </c>
      <c r="F646" s="212" t="s">
        <v>120</v>
      </c>
      <c r="G646" s="250" t="n">
        <v>24.55</v>
      </c>
    </row>
    <row r="647" customFormat="false" ht="14.4" hidden="false" customHeight="false" outlineLevel="0" collapsed="false">
      <c r="A647" s="218"/>
      <c r="B647" s="251"/>
      <c r="C647" s="251"/>
      <c r="D647" s="251"/>
      <c r="E647" s="212" t="s">
        <v>3511</v>
      </c>
      <c r="F647" s="212" t="s">
        <v>120</v>
      </c>
      <c r="G647" s="250" t="n">
        <v>31.11</v>
      </c>
    </row>
    <row r="648" customFormat="false" ht="14.4" hidden="false" customHeight="false" outlineLevel="0" collapsed="false">
      <c r="A648" s="218"/>
      <c r="B648" s="251"/>
      <c r="C648" s="251"/>
      <c r="D648" s="251"/>
      <c r="E648" s="212" t="s">
        <v>3535</v>
      </c>
      <c r="F648" s="212" t="s">
        <v>120</v>
      </c>
      <c r="G648" s="250" t="n">
        <v>55.16</v>
      </c>
    </row>
    <row r="649" customFormat="false" ht="14.4" hidden="false" customHeight="false" outlineLevel="0" collapsed="false">
      <c r="A649" s="218"/>
      <c r="B649" s="251"/>
      <c r="C649" s="251"/>
      <c r="D649" s="251"/>
      <c r="E649" s="212" t="s">
        <v>3602</v>
      </c>
      <c r="F649" s="212" t="s">
        <v>120</v>
      </c>
      <c r="G649" s="250" t="n">
        <v>257.55</v>
      </c>
    </row>
    <row r="650" customFormat="false" ht="14.4" hidden="false" customHeight="false" outlineLevel="0" collapsed="false">
      <c r="A650" s="218"/>
      <c r="B650" s="251"/>
      <c r="C650" s="251"/>
      <c r="D650" s="251"/>
      <c r="E650" s="212" t="s">
        <v>3610</v>
      </c>
      <c r="F650" s="212" t="s">
        <v>120</v>
      </c>
      <c r="G650" s="250" t="n">
        <v>270.19</v>
      </c>
    </row>
    <row r="651" customFormat="false" ht="14.4" hidden="false" customHeight="false" outlineLevel="0" collapsed="false">
      <c r="A651" s="218"/>
      <c r="B651" s="251"/>
      <c r="C651" s="251"/>
      <c r="D651" s="251"/>
      <c r="E651" s="212" t="s">
        <v>3708</v>
      </c>
      <c r="F651" s="212" t="s">
        <v>120</v>
      </c>
      <c r="G651" s="250" t="n">
        <v>75.04</v>
      </c>
    </row>
    <row r="652" customFormat="false" ht="14.4" hidden="false" customHeight="false" outlineLevel="0" collapsed="false">
      <c r="A652" s="218"/>
      <c r="B652" s="251"/>
      <c r="C652" s="251"/>
      <c r="D652" s="251"/>
      <c r="E652" s="212" t="s">
        <v>3716</v>
      </c>
      <c r="F652" s="212" t="s">
        <v>120</v>
      </c>
      <c r="G652" s="250" t="n">
        <v>297.57</v>
      </c>
    </row>
    <row r="653" customFormat="false" ht="14.4" hidden="false" customHeight="false" outlineLevel="0" collapsed="false">
      <c r="A653" s="218"/>
      <c r="B653" s="251"/>
      <c r="C653" s="251"/>
      <c r="D653" s="252"/>
      <c r="E653" s="212" t="s">
        <v>3725</v>
      </c>
      <c r="F653" s="212" t="s">
        <v>120</v>
      </c>
      <c r="G653" s="250" t="n">
        <v>25.32</v>
      </c>
    </row>
    <row r="654" customFormat="false" ht="14.4" hidden="false" customHeight="false" outlineLevel="0" collapsed="false">
      <c r="A654" s="218"/>
      <c r="B654" s="251"/>
      <c r="C654" s="251"/>
      <c r="D654" s="261" t="s">
        <v>7141</v>
      </c>
      <c r="E654" s="224"/>
      <c r="F654" s="225"/>
      <c r="G654" s="217" t="n">
        <v>1092.95</v>
      </c>
    </row>
    <row r="655" customFormat="false" ht="14.4" hidden="false" customHeight="false" outlineLevel="0" collapsed="false">
      <c r="A655" s="218"/>
      <c r="B655" s="251"/>
      <c r="C655" s="251"/>
      <c r="D655" s="249" t="s">
        <v>3494</v>
      </c>
      <c r="E655" s="212" t="s">
        <v>3493</v>
      </c>
      <c r="F655" s="212" t="s">
        <v>120</v>
      </c>
      <c r="G655" s="250" t="n">
        <v>16.67</v>
      </c>
    </row>
    <row r="656" customFormat="false" ht="14.4" hidden="false" customHeight="false" outlineLevel="0" collapsed="false">
      <c r="A656" s="218"/>
      <c r="B656" s="251"/>
      <c r="C656" s="251"/>
      <c r="D656" s="251"/>
      <c r="E656" s="212" t="s">
        <v>3598</v>
      </c>
      <c r="F656" s="212" t="s">
        <v>120</v>
      </c>
      <c r="G656" s="250" t="n">
        <v>172.73</v>
      </c>
    </row>
    <row r="657" customFormat="false" ht="14.4" hidden="false" customHeight="false" outlineLevel="0" collapsed="false">
      <c r="A657" s="218"/>
      <c r="B657" s="251"/>
      <c r="C657" s="251"/>
      <c r="D657" s="251"/>
      <c r="E657" s="212" t="s">
        <v>3618</v>
      </c>
      <c r="F657" s="212" t="s">
        <v>120</v>
      </c>
      <c r="G657" s="250" t="n">
        <v>184.01</v>
      </c>
    </row>
    <row r="658" customFormat="false" ht="14.4" hidden="false" customHeight="false" outlineLevel="0" collapsed="false">
      <c r="A658" s="218"/>
      <c r="B658" s="251"/>
      <c r="C658" s="251"/>
      <c r="D658" s="251"/>
      <c r="E658" s="212" t="s">
        <v>3647</v>
      </c>
      <c r="F658" s="212" t="s">
        <v>120</v>
      </c>
      <c r="G658" s="250" t="n">
        <v>34.9</v>
      </c>
    </row>
    <row r="659" customFormat="false" ht="14.4" hidden="false" customHeight="false" outlineLevel="0" collapsed="false">
      <c r="A659" s="218"/>
      <c r="B659" s="251"/>
      <c r="C659" s="251"/>
      <c r="D659" s="252"/>
      <c r="E659" s="212" t="s">
        <v>3657</v>
      </c>
      <c r="F659" s="212" t="s">
        <v>120</v>
      </c>
      <c r="G659" s="250" t="n">
        <v>98.53</v>
      </c>
    </row>
    <row r="660" customFormat="false" ht="14.4" hidden="false" customHeight="false" outlineLevel="0" collapsed="false">
      <c r="A660" s="218"/>
      <c r="B660" s="251"/>
      <c r="C660" s="251"/>
      <c r="D660" s="261" t="s">
        <v>7142</v>
      </c>
      <c r="E660" s="224"/>
      <c r="F660" s="225"/>
      <c r="G660" s="217" t="n">
        <v>506.84</v>
      </c>
    </row>
    <row r="661" customFormat="false" ht="14.4" hidden="false" customHeight="false" outlineLevel="0" collapsed="false">
      <c r="A661" s="218"/>
      <c r="B661" s="251"/>
      <c r="C661" s="251"/>
      <c r="D661" s="249" t="s">
        <v>3365</v>
      </c>
      <c r="E661" s="212" t="s">
        <v>3364</v>
      </c>
      <c r="F661" s="212" t="s">
        <v>120</v>
      </c>
      <c r="G661" s="250" t="n">
        <v>40.61</v>
      </c>
    </row>
    <row r="662" customFormat="false" ht="14.4" hidden="false" customHeight="false" outlineLevel="0" collapsed="false">
      <c r="A662" s="218"/>
      <c r="B662" s="251"/>
      <c r="C662" s="251"/>
      <c r="D662" s="251"/>
      <c r="E662" s="212" t="s">
        <v>3368</v>
      </c>
      <c r="F662" s="212" t="s">
        <v>120</v>
      </c>
      <c r="G662" s="250" t="n">
        <v>49.96</v>
      </c>
    </row>
    <row r="663" customFormat="false" ht="14.4" hidden="false" customHeight="false" outlineLevel="0" collapsed="false">
      <c r="A663" s="218"/>
      <c r="B663" s="251"/>
      <c r="C663" s="251"/>
      <c r="D663" s="251"/>
      <c r="E663" s="212" t="s">
        <v>3386</v>
      </c>
      <c r="F663" s="212" t="s">
        <v>120</v>
      </c>
      <c r="G663" s="250" t="n">
        <v>204.34</v>
      </c>
    </row>
    <row r="664" customFormat="false" ht="14.4" hidden="false" customHeight="false" outlineLevel="0" collapsed="false">
      <c r="A664" s="218"/>
      <c r="B664" s="251"/>
      <c r="C664" s="251"/>
      <c r="D664" s="251"/>
      <c r="E664" s="212" t="s">
        <v>3398</v>
      </c>
      <c r="F664" s="212" t="s">
        <v>120</v>
      </c>
      <c r="G664" s="250" t="n">
        <v>238.24</v>
      </c>
    </row>
    <row r="665" customFormat="false" ht="14.4" hidden="false" customHeight="false" outlineLevel="0" collapsed="false">
      <c r="A665" s="218"/>
      <c r="B665" s="251"/>
      <c r="C665" s="251"/>
      <c r="D665" s="251"/>
      <c r="E665" s="212" t="s">
        <v>3486</v>
      </c>
      <c r="F665" s="212" t="s">
        <v>120</v>
      </c>
      <c r="G665" s="250" t="n">
        <v>68.07</v>
      </c>
    </row>
    <row r="666" customFormat="false" ht="14.4" hidden="false" customHeight="false" outlineLevel="0" collapsed="false">
      <c r="A666" s="218"/>
      <c r="B666" s="251"/>
      <c r="C666" s="251"/>
      <c r="D666" s="251"/>
      <c r="E666" s="212" t="s">
        <v>3524</v>
      </c>
      <c r="F666" s="212" t="s">
        <v>120</v>
      </c>
      <c r="G666" s="250" t="n">
        <v>45.5</v>
      </c>
    </row>
    <row r="667" customFormat="false" ht="14.4" hidden="false" customHeight="false" outlineLevel="0" collapsed="false">
      <c r="A667" s="218"/>
      <c r="B667" s="251"/>
      <c r="C667" s="251"/>
      <c r="D667" s="252"/>
      <c r="E667" s="212" t="s">
        <v>3551</v>
      </c>
      <c r="F667" s="212" t="s">
        <v>120</v>
      </c>
      <c r="G667" s="250" t="n">
        <v>40.63</v>
      </c>
    </row>
    <row r="668" customFormat="false" ht="14.4" hidden="false" customHeight="false" outlineLevel="0" collapsed="false">
      <c r="A668" s="218"/>
      <c r="B668" s="251"/>
      <c r="C668" s="251"/>
      <c r="D668" s="261" t="s">
        <v>7143</v>
      </c>
      <c r="E668" s="224"/>
      <c r="F668" s="225"/>
      <c r="G668" s="217" t="n">
        <v>687.35</v>
      </c>
    </row>
    <row r="669" customFormat="false" ht="14.4" hidden="false" customHeight="false" outlineLevel="0" collapsed="false">
      <c r="A669" s="218"/>
      <c r="B669" s="251"/>
      <c r="C669" s="251"/>
      <c r="D669" s="249" t="s">
        <v>3354</v>
      </c>
      <c r="E669" s="212" t="s">
        <v>3353</v>
      </c>
      <c r="F669" s="212" t="s">
        <v>120</v>
      </c>
      <c r="G669" s="250" t="n">
        <v>101.15</v>
      </c>
    </row>
    <row r="670" customFormat="false" ht="14.4" hidden="false" customHeight="false" outlineLevel="0" collapsed="false">
      <c r="A670" s="218"/>
      <c r="B670" s="251"/>
      <c r="C670" s="251"/>
      <c r="D670" s="251"/>
      <c r="E670" s="212" t="s">
        <v>3360</v>
      </c>
      <c r="F670" s="212" t="s">
        <v>120</v>
      </c>
      <c r="G670" s="250" t="n">
        <v>22.16</v>
      </c>
    </row>
    <row r="671" customFormat="false" ht="14.4" hidden="false" customHeight="false" outlineLevel="0" collapsed="false">
      <c r="A671" s="218"/>
      <c r="B671" s="251"/>
      <c r="C671" s="251"/>
      <c r="D671" s="251"/>
      <c r="E671" s="212" t="s">
        <v>3423</v>
      </c>
      <c r="F671" s="212" t="s">
        <v>120</v>
      </c>
      <c r="G671" s="250" t="n">
        <v>360.83</v>
      </c>
    </row>
    <row r="672" customFormat="false" ht="14.4" hidden="false" customHeight="false" outlineLevel="0" collapsed="false">
      <c r="A672" s="218"/>
      <c r="B672" s="251"/>
      <c r="C672" s="251"/>
      <c r="D672" s="251"/>
      <c r="E672" s="212" t="s">
        <v>3664</v>
      </c>
      <c r="F672" s="212" t="s">
        <v>120</v>
      </c>
      <c r="G672" s="250" t="n">
        <v>12.48</v>
      </c>
    </row>
    <row r="673" customFormat="false" ht="14.4" hidden="false" customHeight="false" outlineLevel="0" collapsed="false">
      <c r="A673" s="218"/>
      <c r="B673" s="251"/>
      <c r="C673" s="251"/>
      <c r="D673" s="251"/>
      <c r="E673" s="212" t="s">
        <v>3668</v>
      </c>
      <c r="F673" s="212" t="s">
        <v>120</v>
      </c>
      <c r="G673" s="250" t="n">
        <v>22.9</v>
      </c>
    </row>
    <row r="674" customFormat="false" ht="14.4" hidden="false" customHeight="false" outlineLevel="0" collapsed="false">
      <c r="A674" s="218"/>
      <c r="B674" s="251"/>
      <c r="C674" s="251"/>
      <c r="D674" s="251"/>
      <c r="E674" s="212" t="s">
        <v>3672</v>
      </c>
      <c r="F674" s="212" t="s">
        <v>120</v>
      </c>
      <c r="G674" s="250" t="n">
        <v>6.56</v>
      </c>
    </row>
    <row r="675" customFormat="false" ht="14.4" hidden="false" customHeight="false" outlineLevel="0" collapsed="false">
      <c r="A675" s="218"/>
      <c r="B675" s="251"/>
      <c r="C675" s="251"/>
      <c r="D675" s="251"/>
      <c r="E675" s="212" t="s">
        <v>3675</v>
      </c>
      <c r="F675" s="212" t="s">
        <v>120</v>
      </c>
      <c r="G675" s="250" t="n">
        <v>2</v>
      </c>
    </row>
    <row r="676" customFormat="false" ht="14.4" hidden="false" customHeight="false" outlineLevel="0" collapsed="false">
      <c r="A676" s="218"/>
      <c r="B676" s="251"/>
      <c r="C676" s="251"/>
      <c r="D676" s="251"/>
      <c r="E676" s="212" t="s">
        <v>3678</v>
      </c>
      <c r="F676" s="212" t="s">
        <v>120</v>
      </c>
      <c r="G676" s="250" t="n">
        <v>4.88</v>
      </c>
    </row>
    <row r="677" customFormat="false" ht="14.4" hidden="false" customHeight="false" outlineLevel="0" collapsed="false">
      <c r="A677" s="218"/>
      <c r="B677" s="251"/>
      <c r="C677" s="251"/>
      <c r="D677" s="252"/>
      <c r="E677" s="212" t="s">
        <v>3682</v>
      </c>
      <c r="F677" s="212" t="s">
        <v>120</v>
      </c>
      <c r="G677" s="250" t="n">
        <v>4.94</v>
      </c>
    </row>
    <row r="678" customFormat="false" ht="14.4" hidden="false" customHeight="false" outlineLevel="0" collapsed="false">
      <c r="A678" s="218"/>
      <c r="B678" s="251"/>
      <c r="C678" s="251"/>
      <c r="D678" s="261" t="s">
        <v>7144</v>
      </c>
      <c r="E678" s="224"/>
      <c r="F678" s="225"/>
      <c r="G678" s="217" t="n">
        <v>537.9</v>
      </c>
    </row>
    <row r="679" customFormat="false" ht="14.4" hidden="false" customHeight="false" outlineLevel="0" collapsed="false">
      <c r="A679" s="218"/>
      <c r="B679" s="251"/>
      <c r="C679" s="251"/>
      <c r="D679" s="249" t="s">
        <v>2242</v>
      </c>
      <c r="E679" s="212" t="s">
        <v>3374</v>
      </c>
      <c r="F679" s="212" t="s">
        <v>120</v>
      </c>
      <c r="G679" s="250" t="n">
        <v>4.2</v>
      </c>
    </row>
    <row r="680" customFormat="false" ht="14.4" hidden="false" customHeight="false" outlineLevel="0" collapsed="false">
      <c r="A680" s="218"/>
      <c r="B680" s="251"/>
      <c r="C680" s="251"/>
      <c r="D680" s="251"/>
      <c r="E680" s="212" t="s">
        <v>3378</v>
      </c>
      <c r="F680" s="212" t="s">
        <v>120</v>
      </c>
      <c r="G680" s="250" t="n">
        <v>53.57</v>
      </c>
    </row>
    <row r="681" customFormat="false" ht="14.4" hidden="false" customHeight="false" outlineLevel="0" collapsed="false">
      <c r="A681" s="218"/>
      <c r="B681" s="251"/>
      <c r="C681" s="251"/>
      <c r="D681" s="251"/>
      <c r="E681" s="212" t="s">
        <v>3382</v>
      </c>
      <c r="F681" s="212" t="s">
        <v>120</v>
      </c>
      <c r="G681" s="250" t="n">
        <v>105.75</v>
      </c>
    </row>
    <row r="682" customFormat="false" ht="14.4" hidden="false" customHeight="false" outlineLevel="0" collapsed="false">
      <c r="A682" s="218"/>
      <c r="B682" s="251"/>
      <c r="C682" s="251"/>
      <c r="D682" s="251"/>
      <c r="E682" s="212" t="s">
        <v>3390</v>
      </c>
      <c r="F682" s="212" t="s">
        <v>120</v>
      </c>
      <c r="G682" s="250" t="n">
        <v>26.97</v>
      </c>
    </row>
    <row r="683" customFormat="false" ht="14.4" hidden="false" customHeight="false" outlineLevel="0" collapsed="false">
      <c r="A683" s="218"/>
      <c r="B683" s="251"/>
      <c r="C683" s="251"/>
      <c r="D683" s="251"/>
      <c r="E683" s="212" t="s">
        <v>3394</v>
      </c>
      <c r="F683" s="212" t="s">
        <v>120</v>
      </c>
      <c r="G683" s="250" t="n">
        <v>40.34</v>
      </c>
    </row>
    <row r="684" customFormat="false" ht="14.4" hidden="false" customHeight="false" outlineLevel="0" collapsed="false">
      <c r="A684" s="218"/>
      <c r="B684" s="251"/>
      <c r="C684" s="251"/>
      <c r="D684" s="251"/>
      <c r="E684" s="212" t="s">
        <v>3403</v>
      </c>
      <c r="F684" s="212" t="s">
        <v>120</v>
      </c>
      <c r="G684" s="250" t="n">
        <v>59.45</v>
      </c>
    </row>
    <row r="685" customFormat="false" ht="14.4" hidden="false" customHeight="false" outlineLevel="0" collapsed="false">
      <c r="A685" s="218"/>
      <c r="B685" s="251"/>
      <c r="C685" s="251"/>
      <c r="D685" s="251"/>
      <c r="E685" s="212" t="s">
        <v>3412</v>
      </c>
      <c r="F685" s="212" t="s">
        <v>120</v>
      </c>
      <c r="G685" s="250" t="n">
        <v>17.52</v>
      </c>
    </row>
    <row r="686" customFormat="false" ht="14.4" hidden="false" customHeight="false" outlineLevel="0" collapsed="false">
      <c r="A686" s="218"/>
      <c r="B686" s="251"/>
      <c r="C686" s="251"/>
      <c r="D686" s="251"/>
      <c r="E686" s="212" t="s">
        <v>3416</v>
      </c>
      <c r="F686" s="212" t="s">
        <v>120</v>
      </c>
      <c r="G686" s="250" t="n">
        <v>379.18</v>
      </c>
    </row>
    <row r="687" customFormat="false" ht="14.4" hidden="false" customHeight="false" outlineLevel="0" collapsed="false">
      <c r="A687" s="218"/>
      <c r="B687" s="251"/>
      <c r="C687" s="251"/>
      <c r="D687" s="251"/>
      <c r="E687" s="212" t="s">
        <v>3419</v>
      </c>
      <c r="F687" s="212" t="s">
        <v>120</v>
      </c>
      <c r="G687" s="250" t="n">
        <v>19.83</v>
      </c>
    </row>
    <row r="688" customFormat="false" ht="14.4" hidden="false" customHeight="false" outlineLevel="0" collapsed="false">
      <c r="A688" s="218"/>
      <c r="B688" s="251"/>
      <c r="C688" s="251"/>
      <c r="D688" s="251"/>
      <c r="E688" s="212" t="s">
        <v>3427</v>
      </c>
      <c r="F688" s="212" t="s">
        <v>120</v>
      </c>
      <c r="G688" s="250" t="n">
        <v>24.64</v>
      </c>
    </row>
    <row r="689" customFormat="false" ht="14.4" hidden="false" customHeight="false" outlineLevel="0" collapsed="false">
      <c r="A689" s="218"/>
      <c r="B689" s="251"/>
      <c r="C689" s="251"/>
      <c r="D689" s="251"/>
      <c r="E689" s="212" t="s">
        <v>3431</v>
      </c>
      <c r="F689" s="212" t="s">
        <v>120</v>
      </c>
      <c r="G689" s="250" t="n">
        <v>72.97</v>
      </c>
    </row>
    <row r="690" customFormat="false" ht="14.4" hidden="false" customHeight="false" outlineLevel="0" collapsed="false">
      <c r="A690" s="218"/>
      <c r="B690" s="251"/>
      <c r="C690" s="251"/>
      <c r="D690" s="251"/>
      <c r="E690" s="212" t="s">
        <v>3435</v>
      </c>
      <c r="F690" s="212" t="s">
        <v>120</v>
      </c>
      <c r="G690" s="250" t="n">
        <v>11.2</v>
      </c>
    </row>
    <row r="691" customFormat="false" ht="14.4" hidden="false" customHeight="false" outlineLevel="0" collapsed="false">
      <c r="A691" s="218"/>
      <c r="B691" s="251"/>
      <c r="C691" s="251"/>
      <c r="D691" s="251"/>
      <c r="E691" s="212" t="s">
        <v>3439</v>
      </c>
      <c r="F691" s="212" t="s">
        <v>120</v>
      </c>
      <c r="G691" s="250" t="n">
        <v>76</v>
      </c>
    </row>
    <row r="692" customFormat="false" ht="14.4" hidden="false" customHeight="false" outlineLevel="0" collapsed="false">
      <c r="A692" s="218"/>
      <c r="B692" s="251"/>
      <c r="C692" s="251"/>
      <c r="D692" s="251"/>
      <c r="E692" s="212" t="s">
        <v>3644</v>
      </c>
      <c r="F692" s="212" t="s">
        <v>120</v>
      </c>
      <c r="G692" s="250" t="n">
        <v>39.1</v>
      </c>
    </row>
    <row r="693" customFormat="false" ht="14.4" hidden="false" customHeight="false" outlineLevel="0" collapsed="false">
      <c r="A693" s="218"/>
      <c r="B693" s="251"/>
      <c r="C693" s="251"/>
      <c r="D693" s="251"/>
      <c r="E693" s="212" t="s">
        <v>3650</v>
      </c>
      <c r="F693" s="212" t="s">
        <v>120</v>
      </c>
      <c r="G693" s="250" t="n">
        <v>109.1</v>
      </c>
    </row>
    <row r="694" customFormat="false" ht="14.4" hidden="false" customHeight="false" outlineLevel="0" collapsed="false">
      <c r="A694" s="218"/>
      <c r="B694" s="251"/>
      <c r="C694" s="251"/>
      <c r="D694" s="251"/>
      <c r="E694" s="212" t="s">
        <v>3654</v>
      </c>
      <c r="F694" s="212" t="s">
        <v>120</v>
      </c>
      <c r="G694" s="250" t="n">
        <v>51.03</v>
      </c>
    </row>
    <row r="695" customFormat="false" ht="14.4" hidden="false" customHeight="false" outlineLevel="0" collapsed="false">
      <c r="A695" s="218"/>
      <c r="B695" s="251"/>
      <c r="C695" s="251"/>
      <c r="D695" s="252"/>
      <c r="E695" s="212" t="s">
        <v>3661</v>
      </c>
      <c r="F695" s="212" t="s">
        <v>120</v>
      </c>
      <c r="G695" s="250" t="n">
        <v>60.44</v>
      </c>
    </row>
    <row r="696" customFormat="false" ht="14.4" hidden="false" customHeight="false" outlineLevel="0" collapsed="false">
      <c r="A696" s="218"/>
      <c r="B696" s="251"/>
      <c r="C696" s="251"/>
      <c r="D696" s="261" t="s">
        <v>7077</v>
      </c>
      <c r="E696" s="224"/>
      <c r="F696" s="225"/>
      <c r="G696" s="217" t="n">
        <v>1151.29</v>
      </c>
    </row>
    <row r="697" customFormat="false" ht="14.4" hidden="false" customHeight="false" outlineLevel="0" collapsed="false">
      <c r="A697" s="218"/>
      <c r="B697" s="251"/>
      <c r="C697" s="251"/>
      <c r="D697" s="249" t="s">
        <v>2638</v>
      </c>
      <c r="E697" s="212" t="s">
        <v>3443</v>
      </c>
      <c r="F697" s="212" t="s">
        <v>120</v>
      </c>
      <c r="G697" s="250" t="n">
        <v>30.8</v>
      </c>
    </row>
    <row r="698" customFormat="false" ht="14.4" hidden="false" customHeight="false" outlineLevel="0" collapsed="false">
      <c r="A698" s="218"/>
      <c r="B698" s="251"/>
      <c r="C698" s="251"/>
      <c r="D698" s="251"/>
      <c r="E698" s="212" t="s">
        <v>3448</v>
      </c>
      <c r="F698" s="212" t="s">
        <v>120</v>
      </c>
      <c r="G698" s="250" t="n">
        <v>49.03</v>
      </c>
    </row>
    <row r="699" customFormat="false" ht="14.4" hidden="false" customHeight="false" outlineLevel="0" collapsed="false">
      <c r="A699" s="218"/>
      <c r="B699" s="251"/>
      <c r="C699" s="251"/>
      <c r="D699" s="251"/>
      <c r="E699" s="212" t="s">
        <v>3464</v>
      </c>
      <c r="F699" s="212" t="s">
        <v>120</v>
      </c>
      <c r="G699" s="250" t="n">
        <v>30.21</v>
      </c>
    </row>
    <row r="700" customFormat="false" ht="14.4" hidden="false" customHeight="false" outlineLevel="0" collapsed="false">
      <c r="A700" s="218"/>
      <c r="B700" s="251"/>
      <c r="C700" s="251"/>
      <c r="D700" s="251"/>
      <c r="E700" s="212" t="s">
        <v>3467</v>
      </c>
      <c r="F700" s="212" t="s">
        <v>120</v>
      </c>
      <c r="G700" s="250" t="n">
        <v>162.6</v>
      </c>
    </row>
    <row r="701" customFormat="false" ht="14.4" hidden="false" customHeight="false" outlineLevel="0" collapsed="false">
      <c r="A701" s="218"/>
      <c r="B701" s="251"/>
      <c r="C701" s="251"/>
      <c r="D701" s="251"/>
      <c r="E701" s="212" t="s">
        <v>3471</v>
      </c>
      <c r="F701" s="212" t="s">
        <v>120</v>
      </c>
      <c r="G701" s="250" t="n">
        <v>165.37</v>
      </c>
    </row>
    <row r="702" customFormat="false" ht="14.4" hidden="false" customHeight="false" outlineLevel="0" collapsed="false">
      <c r="A702" s="218"/>
      <c r="B702" s="251"/>
      <c r="C702" s="251"/>
      <c r="D702" s="251"/>
      <c r="E702" s="212" t="s">
        <v>3483</v>
      </c>
      <c r="F702" s="212" t="s">
        <v>120</v>
      </c>
      <c r="G702" s="250" t="n">
        <v>53.96</v>
      </c>
    </row>
    <row r="703" customFormat="false" ht="14.4" hidden="false" customHeight="false" outlineLevel="0" collapsed="false">
      <c r="A703" s="218"/>
      <c r="B703" s="251"/>
      <c r="C703" s="251"/>
      <c r="D703" s="252"/>
      <c r="E703" s="212" t="s">
        <v>3507</v>
      </c>
      <c r="F703" s="212" t="s">
        <v>120</v>
      </c>
      <c r="G703" s="250" t="n">
        <v>70.67</v>
      </c>
    </row>
    <row r="704" customFormat="false" ht="14.4" hidden="false" customHeight="false" outlineLevel="0" collapsed="false">
      <c r="A704" s="218"/>
      <c r="B704" s="251"/>
      <c r="C704" s="251"/>
      <c r="D704" s="261" t="s">
        <v>7120</v>
      </c>
      <c r="E704" s="224"/>
      <c r="F704" s="225"/>
      <c r="G704" s="217" t="n">
        <v>562.64</v>
      </c>
    </row>
    <row r="705" customFormat="false" ht="14.4" hidden="false" customHeight="false" outlineLevel="0" collapsed="false">
      <c r="A705" s="218"/>
      <c r="B705" s="251"/>
      <c r="C705" s="251"/>
      <c r="D705" s="249" t="s">
        <v>3549</v>
      </c>
      <c r="E705" s="212" t="s">
        <v>3548</v>
      </c>
      <c r="F705" s="212" t="s">
        <v>120</v>
      </c>
      <c r="G705" s="250" t="n">
        <v>40.4</v>
      </c>
    </row>
    <row r="706" customFormat="false" ht="14.4" hidden="false" customHeight="false" outlineLevel="0" collapsed="false">
      <c r="A706" s="218"/>
      <c r="B706" s="251"/>
      <c r="C706" s="251"/>
      <c r="D706" s="251"/>
      <c r="E706" s="212" t="s">
        <v>3561</v>
      </c>
      <c r="F706" s="212" t="s">
        <v>120</v>
      </c>
      <c r="G706" s="250" t="n">
        <v>36.71</v>
      </c>
    </row>
    <row r="707" customFormat="false" ht="14.4" hidden="false" customHeight="false" outlineLevel="0" collapsed="false">
      <c r="A707" s="218"/>
      <c r="B707" s="251"/>
      <c r="C707" s="251"/>
      <c r="D707" s="252"/>
      <c r="E707" s="212" t="s">
        <v>3569</v>
      </c>
      <c r="F707" s="212" t="s">
        <v>120</v>
      </c>
      <c r="G707" s="250" t="n">
        <v>79.76</v>
      </c>
    </row>
    <row r="708" customFormat="false" ht="14.4" hidden="false" customHeight="false" outlineLevel="0" collapsed="false">
      <c r="A708" s="218"/>
      <c r="B708" s="251"/>
      <c r="C708" s="251"/>
      <c r="D708" s="261" t="s">
        <v>7145</v>
      </c>
      <c r="E708" s="224"/>
      <c r="F708" s="225"/>
      <c r="G708" s="217" t="n">
        <v>156.87</v>
      </c>
    </row>
    <row r="709" customFormat="false" ht="14.4" hidden="false" customHeight="false" outlineLevel="0" collapsed="false">
      <c r="A709" s="218"/>
      <c r="B709" s="251"/>
      <c r="C709" s="251"/>
      <c r="D709" s="249" t="s">
        <v>3766</v>
      </c>
      <c r="E709" s="212" t="s">
        <v>3765</v>
      </c>
      <c r="F709" s="212" t="s">
        <v>120</v>
      </c>
      <c r="G709" s="250" t="n">
        <v>162.34</v>
      </c>
    </row>
    <row r="710" customFormat="false" ht="14.4" hidden="false" customHeight="false" outlineLevel="0" collapsed="false">
      <c r="A710" s="218"/>
      <c r="B710" s="251"/>
      <c r="C710" s="251"/>
      <c r="D710" s="252"/>
      <c r="E710" s="212" t="s">
        <v>3770</v>
      </c>
      <c r="F710" s="212" t="s">
        <v>120</v>
      </c>
      <c r="G710" s="250" t="n">
        <v>37.85</v>
      </c>
    </row>
    <row r="711" customFormat="false" ht="14.4" hidden="false" customHeight="false" outlineLevel="0" collapsed="false">
      <c r="A711" s="218"/>
      <c r="B711" s="251"/>
      <c r="C711" s="251"/>
      <c r="D711" s="261" t="s">
        <v>7146</v>
      </c>
      <c r="E711" s="224"/>
      <c r="F711" s="225"/>
      <c r="G711" s="217" t="n">
        <v>200.19</v>
      </c>
    </row>
    <row r="712" customFormat="false" ht="14.4" hidden="false" customHeight="false" outlineLevel="0" collapsed="false">
      <c r="A712" s="218"/>
      <c r="B712" s="251"/>
      <c r="C712" s="251"/>
      <c r="D712" s="249" t="s">
        <v>3590</v>
      </c>
      <c r="E712" s="212" t="s">
        <v>3589</v>
      </c>
      <c r="F712" s="212" t="s">
        <v>120</v>
      </c>
      <c r="G712" s="250" t="n">
        <v>141.66</v>
      </c>
    </row>
    <row r="713" customFormat="false" ht="14.4" hidden="false" customHeight="false" outlineLevel="0" collapsed="false">
      <c r="A713" s="218"/>
      <c r="B713" s="251"/>
      <c r="C713" s="251"/>
      <c r="D713" s="252"/>
      <c r="E713" s="212" t="s">
        <v>3625</v>
      </c>
      <c r="F713" s="212" t="s">
        <v>120</v>
      </c>
      <c r="G713" s="250" t="n">
        <v>42.98</v>
      </c>
    </row>
    <row r="714" customFormat="false" ht="14.4" hidden="false" customHeight="false" outlineLevel="0" collapsed="false">
      <c r="A714" s="218"/>
      <c r="B714" s="251"/>
      <c r="C714" s="251"/>
      <c r="D714" s="261" t="s">
        <v>7147</v>
      </c>
      <c r="E714" s="224"/>
      <c r="F714" s="225"/>
      <c r="G714" s="217" t="n">
        <v>184.64</v>
      </c>
    </row>
    <row r="715" customFormat="false" ht="14.4" hidden="false" customHeight="false" outlineLevel="0" collapsed="false">
      <c r="A715" s="218"/>
      <c r="B715" s="251"/>
      <c r="C715" s="251"/>
      <c r="D715" s="212" t="s">
        <v>3408</v>
      </c>
      <c r="E715" s="212" t="s">
        <v>3407</v>
      </c>
      <c r="F715" s="212" t="s">
        <v>120</v>
      </c>
      <c r="G715" s="250" t="n">
        <v>49.22</v>
      </c>
    </row>
    <row r="716" customFormat="false" ht="14.4" hidden="false" customHeight="false" outlineLevel="0" collapsed="false">
      <c r="A716" s="218"/>
      <c r="B716" s="251"/>
      <c r="C716" s="251"/>
      <c r="D716" s="261" t="s">
        <v>7148</v>
      </c>
      <c r="E716" s="224"/>
      <c r="F716" s="225"/>
      <c r="G716" s="217" t="n">
        <v>49.22</v>
      </c>
    </row>
    <row r="717" customFormat="false" ht="14.4" hidden="false" customHeight="false" outlineLevel="0" collapsed="false">
      <c r="A717" s="218"/>
      <c r="B717" s="251"/>
      <c r="C717" s="251"/>
      <c r="D717" s="249" t="s">
        <v>7055</v>
      </c>
      <c r="E717" s="212" t="s">
        <v>3371</v>
      </c>
      <c r="F717" s="212" t="s">
        <v>120</v>
      </c>
      <c r="G717" s="250" t="n">
        <v>64.78</v>
      </c>
    </row>
    <row r="718" customFormat="false" ht="14.4" hidden="false" customHeight="false" outlineLevel="0" collapsed="false">
      <c r="A718" s="218"/>
      <c r="B718" s="251"/>
      <c r="C718" s="251"/>
      <c r="D718" s="252"/>
      <c r="E718" s="212" t="s">
        <v>3640</v>
      </c>
      <c r="F718" s="212" t="s">
        <v>120</v>
      </c>
      <c r="G718" s="250" t="n">
        <v>79.4</v>
      </c>
    </row>
    <row r="719" customFormat="false" ht="14.4" hidden="false" customHeight="false" outlineLevel="0" collapsed="false">
      <c r="A719" s="218"/>
      <c r="B719" s="252"/>
      <c r="C719" s="252"/>
      <c r="D719" s="261" t="s">
        <v>7060</v>
      </c>
      <c r="E719" s="224"/>
      <c r="F719" s="225"/>
      <c r="G719" s="217" t="n">
        <v>144.18</v>
      </c>
    </row>
    <row r="720" customFormat="false" ht="14.4" hidden="false" customHeight="false" outlineLevel="0" collapsed="false">
      <c r="A720" s="218"/>
      <c r="B720" s="249" t="s">
        <v>3786</v>
      </c>
      <c r="C720" s="249" t="s">
        <v>1594</v>
      </c>
      <c r="D720" s="249" t="s">
        <v>3905</v>
      </c>
      <c r="E720" s="212" t="s">
        <v>3904</v>
      </c>
      <c r="F720" s="212" t="s">
        <v>120</v>
      </c>
      <c r="G720" s="250" t="n">
        <v>53.39</v>
      </c>
    </row>
    <row r="721" customFormat="false" ht="14.4" hidden="false" customHeight="false" outlineLevel="0" collapsed="false">
      <c r="A721" s="218"/>
      <c r="B721" s="251"/>
      <c r="C721" s="251"/>
      <c r="D721" s="251"/>
      <c r="E721" s="212" t="s">
        <v>3929</v>
      </c>
      <c r="F721" s="212" t="s">
        <v>120</v>
      </c>
      <c r="G721" s="250" t="n">
        <v>102.48</v>
      </c>
    </row>
    <row r="722" customFormat="false" ht="14.4" hidden="false" customHeight="false" outlineLevel="0" collapsed="false">
      <c r="A722" s="218"/>
      <c r="B722" s="251"/>
      <c r="C722" s="251"/>
      <c r="D722" s="252"/>
      <c r="E722" s="212" t="s">
        <v>3933</v>
      </c>
      <c r="F722" s="212" t="s">
        <v>120</v>
      </c>
      <c r="G722" s="250" t="n">
        <v>48.5</v>
      </c>
    </row>
    <row r="723" customFormat="false" ht="14.4" hidden="false" customHeight="false" outlineLevel="0" collapsed="false">
      <c r="A723" s="218"/>
      <c r="B723" s="251"/>
      <c r="C723" s="251"/>
      <c r="D723" s="261" t="s">
        <v>7149</v>
      </c>
      <c r="E723" s="224"/>
      <c r="F723" s="225"/>
      <c r="G723" s="217" t="n">
        <v>204.37</v>
      </c>
    </row>
    <row r="724" customFormat="false" ht="14.4" hidden="false" customHeight="false" outlineLevel="0" collapsed="false">
      <c r="A724" s="218"/>
      <c r="B724" s="251"/>
      <c r="C724" s="251"/>
      <c r="D724" s="249" t="s">
        <v>2553</v>
      </c>
      <c r="E724" s="212" t="s">
        <v>3942</v>
      </c>
      <c r="F724" s="212" t="s">
        <v>120</v>
      </c>
      <c r="G724" s="250" t="n">
        <v>83.12</v>
      </c>
    </row>
    <row r="725" customFormat="false" ht="14.4" hidden="false" customHeight="false" outlineLevel="0" collapsed="false">
      <c r="A725" s="218"/>
      <c r="B725" s="251"/>
      <c r="C725" s="251"/>
      <c r="D725" s="251"/>
      <c r="E725" s="212" t="s">
        <v>3946</v>
      </c>
      <c r="F725" s="212" t="s">
        <v>120</v>
      </c>
      <c r="G725" s="250" t="n">
        <v>42.6</v>
      </c>
    </row>
    <row r="726" customFormat="false" ht="14.4" hidden="false" customHeight="false" outlineLevel="0" collapsed="false">
      <c r="A726" s="218"/>
      <c r="B726" s="251"/>
      <c r="C726" s="251"/>
      <c r="D726" s="251"/>
      <c r="E726" s="212" t="s">
        <v>3954</v>
      </c>
      <c r="F726" s="212" t="s">
        <v>120</v>
      </c>
      <c r="G726" s="250" t="n">
        <v>45.34</v>
      </c>
    </row>
    <row r="727" customFormat="false" ht="14.4" hidden="false" customHeight="false" outlineLevel="0" collapsed="false">
      <c r="A727" s="218"/>
      <c r="B727" s="251"/>
      <c r="C727" s="251"/>
      <c r="D727" s="251"/>
      <c r="E727" s="212" t="s">
        <v>3958</v>
      </c>
      <c r="F727" s="212" t="s">
        <v>120</v>
      </c>
      <c r="G727" s="250" t="n">
        <v>102.4</v>
      </c>
    </row>
    <row r="728" customFormat="false" ht="14.4" hidden="false" customHeight="false" outlineLevel="0" collapsed="false">
      <c r="A728" s="218"/>
      <c r="B728" s="251"/>
      <c r="C728" s="251"/>
      <c r="D728" s="251"/>
      <c r="E728" s="212" t="s">
        <v>3965</v>
      </c>
      <c r="F728" s="212" t="s">
        <v>120</v>
      </c>
      <c r="G728" s="250" t="n">
        <v>102.74</v>
      </c>
    </row>
    <row r="729" customFormat="false" ht="14.4" hidden="false" customHeight="false" outlineLevel="0" collapsed="false">
      <c r="A729" s="218"/>
      <c r="B729" s="251"/>
      <c r="C729" s="251"/>
      <c r="D729" s="251"/>
      <c r="E729" s="212" t="s">
        <v>3969</v>
      </c>
      <c r="F729" s="212" t="s">
        <v>120</v>
      </c>
      <c r="G729" s="250" t="n">
        <v>49.62</v>
      </c>
    </row>
    <row r="730" customFormat="false" ht="14.4" hidden="false" customHeight="false" outlineLevel="0" collapsed="false">
      <c r="A730" s="218"/>
      <c r="B730" s="251"/>
      <c r="C730" s="251"/>
      <c r="D730" s="251"/>
      <c r="E730" s="212" t="s">
        <v>3973</v>
      </c>
      <c r="F730" s="212" t="s">
        <v>120</v>
      </c>
      <c r="G730" s="250" t="n">
        <v>158.34</v>
      </c>
    </row>
    <row r="731" customFormat="false" ht="14.4" hidden="false" customHeight="false" outlineLevel="0" collapsed="false">
      <c r="A731" s="218"/>
      <c r="B731" s="251"/>
      <c r="C731" s="251"/>
      <c r="D731" s="251"/>
      <c r="E731" s="212" t="s">
        <v>3976</v>
      </c>
      <c r="F731" s="212" t="s">
        <v>120</v>
      </c>
      <c r="G731" s="250" t="n">
        <v>3.77</v>
      </c>
    </row>
    <row r="732" customFormat="false" ht="14.4" hidden="false" customHeight="false" outlineLevel="0" collapsed="false">
      <c r="A732" s="218"/>
      <c r="B732" s="251"/>
      <c r="C732" s="251"/>
      <c r="D732" s="251"/>
      <c r="E732" s="212" t="s">
        <v>3986</v>
      </c>
      <c r="F732" s="212" t="s">
        <v>120</v>
      </c>
      <c r="G732" s="250" t="n">
        <v>157.49</v>
      </c>
    </row>
    <row r="733" customFormat="false" ht="14.4" hidden="false" customHeight="false" outlineLevel="0" collapsed="false">
      <c r="A733" s="218"/>
      <c r="B733" s="251"/>
      <c r="C733" s="251"/>
      <c r="D733" s="251"/>
      <c r="E733" s="212" t="s">
        <v>3990</v>
      </c>
      <c r="F733" s="212" t="s">
        <v>120</v>
      </c>
      <c r="G733" s="250" t="n">
        <v>49.9</v>
      </c>
    </row>
    <row r="734" customFormat="false" ht="14.4" hidden="false" customHeight="false" outlineLevel="0" collapsed="false">
      <c r="A734" s="218"/>
      <c r="B734" s="251"/>
      <c r="C734" s="251"/>
      <c r="D734" s="251"/>
      <c r="E734" s="212" t="s">
        <v>3996</v>
      </c>
      <c r="F734" s="212" t="s">
        <v>120</v>
      </c>
      <c r="G734" s="250" t="n">
        <v>24.49</v>
      </c>
    </row>
    <row r="735" customFormat="false" ht="14.4" hidden="false" customHeight="false" outlineLevel="0" collapsed="false">
      <c r="A735" s="218"/>
      <c r="B735" s="251"/>
      <c r="C735" s="251"/>
      <c r="D735" s="251"/>
      <c r="E735" s="212" t="s">
        <v>4094</v>
      </c>
      <c r="F735" s="212" t="s">
        <v>120</v>
      </c>
      <c r="G735" s="250" t="n">
        <v>84.86</v>
      </c>
    </row>
    <row r="736" customFormat="false" ht="14.4" hidden="false" customHeight="false" outlineLevel="0" collapsed="false">
      <c r="A736" s="218"/>
      <c r="B736" s="251"/>
      <c r="C736" s="251"/>
      <c r="D736" s="251"/>
      <c r="E736" s="212" t="s">
        <v>4101</v>
      </c>
      <c r="F736" s="212" t="s">
        <v>120</v>
      </c>
      <c r="G736" s="250" t="n">
        <v>130.89</v>
      </c>
    </row>
    <row r="737" customFormat="false" ht="14.4" hidden="false" customHeight="false" outlineLevel="0" collapsed="false">
      <c r="A737" s="218"/>
      <c r="B737" s="251"/>
      <c r="C737" s="251"/>
      <c r="D737" s="251"/>
      <c r="E737" s="212" t="s">
        <v>4105</v>
      </c>
      <c r="F737" s="212" t="s">
        <v>120</v>
      </c>
      <c r="G737" s="250" t="n">
        <v>28.7</v>
      </c>
    </row>
    <row r="738" customFormat="false" ht="14.4" hidden="false" customHeight="false" outlineLevel="0" collapsed="false">
      <c r="A738" s="218"/>
      <c r="B738" s="251"/>
      <c r="C738" s="251"/>
      <c r="D738" s="251"/>
      <c r="E738" s="212" t="s">
        <v>4109</v>
      </c>
      <c r="F738" s="212" t="s">
        <v>120</v>
      </c>
      <c r="G738" s="250" t="n">
        <v>60.61</v>
      </c>
    </row>
    <row r="739" customFormat="false" ht="14.4" hidden="false" customHeight="false" outlineLevel="0" collapsed="false">
      <c r="A739" s="218"/>
      <c r="B739" s="251"/>
      <c r="C739" s="251"/>
      <c r="D739" s="251"/>
      <c r="E739" s="212" t="s">
        <v>4112</v>
      </c>
      <c r="F739" s="212" t="s">
        <v>120</v>
      </c>
      <c r="G739" s="250" t="n">
        <v>182.55</v>
      </c>
    </row>
    <row r="740" customFormat="false" ht="14.4" hidden="false" customHeight="false" outlineLevel="0" collapsed="false">
      <c r="A740" s="218"/>
      <c r="B740" s="251"/>
      <c r="C740" s="251"/>
      <c r="D740" s="251"/>
      <c r="E740" s="212" t="s">
        <v>4118</v>
      </c>
      <c r="F740" s="212" t="s">
        <v>120</v>
      </c>
      <c r="G740" s="250" t="n">
        <v>114.44</v>
      </c>
    </row>
    <row r="741" customFormat="false" ht="14.4" hidden="false" customHeight="false" outlineLevel="0" collapsed="false">
      <c r="A741" s="218"/>
      <c r="B741" s="251"/>
      <c r="C741" s="251"/>
      <c r="D741" s="251"/>
      <c r="E741" s="212" t="s">
        <v>4132</v>
      </c>
      <c r="F741" s="212" t="s">
        <v>120</v>
      </c>
      <c r="G741" s="250" t="n">
        <v>12.87</v>
      </c>
    </row>
    <row r="742" customFormat="false" ht="14.4" hidden="false" customHeight="false" outlineLevel="0" collapsed="false">
      <c r="A742" s="218"/>
      <c r="B742" s="251"/>
      <c r="C742" s="251"/>
      <c r="D742" s="252"/>
      <c r="E742" s="212" t="s">
        <v>4134</v>
      </c>
      <c r="F742" s="212" t="s">
        <v>120</v>
      </c>
      <c r="G742" s="250" t="n">
        <v>213.78</v>
      </c>
    </row>
    <row r="743" customFormat="false" ht="14.4" hidden="false" customHeight="false" outlineLevel="0" collapsed="false">
      <c r="A743" s="218"/>
      <c r="B743" s="251"/>
      <c r="C743" s="251"/>
      <c r="D743" s="261" t="s">
        <v>7117</v>
      </c>
      <c r="E743" s="224"/>
      <c r="F743" s="225"/>
      <c r="G743" s="217" t="n">
        <v>1648.51</v>
      </c>
    </row>
    <row r="744" customFormat="false" ht="14.4" hidden="false" customHeight="false" outlineLevel="0" collapsed="false">
      <c r="A744" s="218"/>
      <c r="B744" s="251"/>
      <c r="C744" s="251"/>
      <c r="D744" s="249" t="s">
        <v>2276</v>
      </c>
      <c r="E744" s="212" t="s">
        <v>3830</v>
      </c>
      <c r="F744" s="212" t="s">
        <v>120</v>
      </c>
      <c r="G744" s="250" t="n">
        <v>104.24</v>
      </c>
    </row>
    <row r="745" customFormat="false" ht="14.4" hidden="false" customHeight="false" outlineLevel="0" collapsed="false">
      <c r="A745" s="218"/>
      <c r="B745" s="251"/>
      <c r="C745" s="251"/>
      <c r="D745" s="251"/>
      <c r="E745" s="212" t="s">
        <v>3835</v>
      </c>
      <c r="F745" s="212" t="s">
        <v>120</v>
      </c>
      <c r="G745" s="250" t="n">
        <v>5.94</v>
      </c>
    </row>
    <row r="746" customFormat="false" ht="14.4" hidden="false" customHeight="false" outlineLevel="0" collapsed="false">
      <c r="A746" s="218"/>
      <c r="B746" s="251"/>
      <c r="C746" s="251"/>
      <c r="D746" s="251"/>
      <c r="E746" s="212" t="s">
        <v>3844</v>
      </c>
      <c r="F746" s="212" t="s">
        <v>120</v>
      </c>
      <c r="G746" s="250" t="n">
        <v>3.11</v>
      </c>
    </row>
    <row r="747" customFormat="false" ht="14.4" hidden="false" customHeight="false" outlineLevel="0" collapsed="false">
      <c r="A747" s="218"/>
      <c r="B747" s="251"/>
      <c r="C747" s="251"/>
      <c r="D747" s="251"/>
      <c r="E747" s="212" t="s">
        <v>3852</v>
      </c>
      <c r="F747" s="212" t="s">
        <v>120</v>
      </c>
      <c r="G747" s="250" t="n">
        <v>74.3</v>
      </c>
    </row>
    <row r="748" customFormat="false" ht="14.4" hidden="false" customHeight="false" outlineLevel="0" collapsed="false">
      <c r="A748" s="218"/>
      <c r="B748" s="251"/>
      <c r="C748" s="251"/>
      <c r="D748" s="251"/>
      <c r="E748" s="212" t="s">
        <v>3859</v>
      </c>
      <c r="F748" s="212" t="s">
        <v>120</v>
      </c>
      <c r="G748" s="250" t="n">
        <v>19.79</v>
      </c>
    </row>
    <row r="749" customFormat="false" ht="14.4" hidden="false" customHeight="false" outlineLevel="0" collapsed="false">
      <c r="A749" s="218"/>
      <c r="B749" s="251"/>
      <c r="C749" s="251"/>
      <c r="D749" s="251"/>
      <c r="E749" s="212" t="s">
        <v>3863</v>
      </c>
      <c r="F749" s="212" t="s">
        <v>120</v>
      </c>
      <c r="G749" s="250" t="n">
        <v>49.28</v>
      </c>
    </row>
    <row r="750" customFormat="false" ht="14.4" hidden="false" customHeight="false" outlineLevel="0" collapsed="false">
      <c r="A750" s="218"/>
      <c r="B750" s="251"/>
      <c r="C750" s="251"/>
      <c r="D750" s="251"/>
      <c r="E750" s="212" t="s">
        <v>3869</v>
      </c>
      <c r="F750" s="212" t="s">
        <v>120</v>
      </c>
      <c r="G750" s="250" t="n">
        <v>32.62</v>
      </c>
    </row>
    <row r="751" customFormat="false" ht="14.4" hidden="false" customHeight="false" outlineLevel="0" collapsed="false">
      <c r="A751" s="218"/>
      <c r="B751" s="251"/>
      <c r="C751" s="251"/>
      <c r="D751" s="251"/>
      <c r="E751" s="212" t="s">
        <v>3873</v>
      </c>
      <c r="F751" s="212" t="s">
        <v>120</v>
      </c>
      <c r="G751" s="250" t="n">
        <v>65.21</v>
      </c>
    </row>
    <row r="752" customFormat="false" ht="14.4" hidden="false" customHeight="false" outlineLevel="0" collapsed="false">
      <c r="A752" s="218"/>
      <c r="B752" s="251"/>
      <c r="C752" s="251"/>
      <c r="D752" s="251"/>
      <c r="E752" s="212" t="s">
        <v>3877</v>
      </c>
      <c r="F752" s="212" t="s">
        <v>120</v>
      </c>
      <c r="G752" s="250" t="n">
        <v>4.36</v>
      </c>
    </row>
    <row r="753" customFormat="false" ht="14.4" hidden="false" customHeight="false" outlineLevel="0" collapsed="false">
      <c r="A753" s="218"/>
      <c r="B753" s="251"/>
      <c r="C753" s="251"/>
      <c r="D753" s="251"/>
      <c r="E753" s="212" t="s">
        <v>3888</v>
      </c>
      <c r="F753" s="212" t="s">
        <v>120</v>
      </c>
      <c r="G753" s="250" t="n">
        <v>14.71</v>
      </c>
    </row>
    <row r="754" customFormat="false" ht="14.4" hidden="false" customHeight="false" outlineLevel="0" collapsed="false">
      <c r="A754" s="218"/>
      <c r="B754" s="251"/>
      <c r="C754" s="251"/>
      <c r="D754" s="251"/>
      <c r="E754" s="212" t="s">
        <v>3896</v>
      </c>
      <c r="F754" s="212" t="s">
        <v>120</v>
      </c>
      <c r="G754" s="250" t="n">
        <v>135.94</v>
      </c>
    </row>
    <row r="755" customFormat="false" ht="14.4" hidden="false" customHeight="false" outlineLevel="0" collapsed="false">
      <c r="A755" s="218"/>
      <c r="B755" s="251"/>
      <c r="C755" s="251"/>
      <c r="D755" s="251"/>
      <c r="E755" s="212" t="s">
        <v>3900</v>
      </c>
      <c r="F755" s="212" t="s">
        <v>120</v>
      </c>
      <c r="G755" s="250" t="n">
        <v>122.44</v>
      </c>
    </row>
    <row r="756" customFormat="false" ht="14.4" hidden="false" customHeight="false" outlineLevel="0" collapsed="false">
      <c r="A756" s="218"/>
      <c r="B756" s="251"/>
      <c r="C756" s="251"/>
      <c r="D756" s="251"/>
      <c r="E756" s="212" t="s">
        <v>3909</v>
      </c>
      <c r="F756" s="212" t="s">
        <v>120</v>
      </c>
      <c r="G756" s="250" t="n">
        <v>56.97</v>
      </c>
    </row>
    <row r="757" customFormat="false" ht="14.4" hidden="false" customHeight="false" outlineLevel="0" collapsed="false">
      <c r="A757" s="218"/>
      <c r="B757" s="251"/>
      <c r="C757" s="251"/>
      <c r="D757" s="251"/>
      <c r="E757" s="212" t="s">
        <v>3913</v>
      </c>
      <c r="F757" s="212" t="s">
        <v>120</v>
      </c>
      <c r="G757" s="250" t="n">
        <v>110.17</v>
      </c>
    </row>
    <row r="758" customFormat="false" ht="14.4" hidden="false" customHeight="false" outlineLevel="0" collapsed="false">
      <c r="A758" s="218"/>
      <c r="B758" s="251"/>
      <c r="C758" s="251"/>
      <c r="D758" s="251"/>
      <c r="E758" s="212" t="s">
        <v>3917</v>
      </c>
      <c r="F758" s="212" t="s">
        <v>120</v>
      </c>
      <c r="G758" s="250" t="n">
        <v>17.67</v>
      </c>
    </row>
    <row r="759" customFormat="false" ht="14.4" hidden="false" customHeight="false" outlineLevel="0" collapsed="false">
      <c r="A759" s="218"/>
      <c r="B759" s="251"/>
      <c r="C759" s="251"/>
      <c r="D759" s="251"/>
      <c r="E759" s="212" t="s">
        <v>3921</v>
      </c>
      <c r="F759" s="212" t="s">
        <v>120</v>
      </c>
      <c r="G759" s="250" t="n">
        <v>146.18</v>
      </c>
    </row>
    <row r="760" customFormat="false" ht="14.4" hidden="false" customHeight="false" outlineLevel="0" collapsed="false">
      <c r="A760" s="218"/>
      <c r="B760" s="251"/>
      <c r="C760" s="251"/>
      <c r="D760" s="251"/>
      <c r="E760" s="212" t="s">
        <v>3925</v>
      </c>
      <c r="F760" s="212" t="s">
        <v>120</v>
      </c>
      <c r="G760" s="250" t="n">
        <v>49.71</v>
      </c>
    </row>
    <row r="761" customFormat="false" ht="14.4" hidden="false" customHeight="false" outlineLevel="0" collapsed="false">
      <c r="A761" s="218"/>
      <c r="B761" s="251"/>
      <c r="C761" s="251"/>
      <c r="D761" s="251"/>
      <c r="E761" s="212" t="s">
        <v>3961</v>
      </c>
      <c r="F761" s="212" t="s">
        <v>120</v>
      </c>
      <c r="G761" s="250" t="n">
        <v>87.33</v>
      </c>
    </row>
    <row r="762" customFormat="false" ht="14.4" hidden="false" customHeight="false" outlineLevel="0" collapsed="false">
      <c r="A762" s="218"/>
      <c r="B762" s="251"/>
      <c r="C762" s="251"/>
      <c r="D762" s="252"/>
      <c r="E762" s="212" t="s">
        <v>3979</v>
      </c>
      <c r="F762" s="212" t="s">
        <v>120</v>
      </c>
      <c r="G762" s="250" t="n">
        <v>350.83</v>
      </c>
    </row>
    <row r="763" customFormat="false" ht="14.4" hidden="false" customHeight="false" outlineLevel="0" collapsed="false">
      <c r="A763" s="218"/>
      <c r="B763" s="251"/>
      <c r="C763" s="251"/>
      <c r="D763" s="261" t="s">
        <v>7102</v>
      </c>
      <c r="E763" s="224"/>
      <c r="F763" s="225"/>
      <c r="G763" s="217" t="n">
        <v>1450.8</v>
      </c>
    </row>
    <row r="764" customFormat="false" ht="14.4" hidden="false" customHeight="false" outlineLevel="0" collapsed="false">
      <c r="A764" s="218"/>
      <c r="B764" s="251"/>
      <c r="C764" s="251"/>
      <c r="D764" s="212" t="s">
        <v>3840</v>
      </c>
      <c r="E764" s="212" t="s">
        <v>3839</v>
      </c>
      <c r="F764" s="212" t="s">
        <v>120</v>
      </c>
      <c r="G764" s="250" t="n">
        <v>44.98</v>
      </c>
    </row>
    <row r="765" customFormat="false" ht="14.4" hidden="false" customHeight="false" outlineLevel="0" collapsed="false">
      <c r="A765" s="218"/>
      <c r="B765" s="251"/>
      <c r="C765" s="251"/>
      <c r="D765" s="261" t="s">
        <v>7150</v>
      </c>
      <c r="E765" s="224"/>
      <c r="F765" s="225"/>
      <c r="G765" s="217" t="n">
        <v>44.98</v>
      </c>
    </row>
    <row r="766" customFormat="false" ht="14.4" hidden="false" customHeight="false" outlineLevel="0" collapsed="false">
      <c r="A766" s="218"/>
      <c r="B766" s="251"/>
      <c r="C766" s="251"/>
      <c r="D766" s="249" t="s">
        <v>4030</v>
      </c>
      <c r="E766" s="212" t="s">
        <v>4029</v>
      </c>
      <c r="F766" s="212" t="s">
        <v>120</v>
      </c>
      <c r="G766" s="250" t="n">
        <v>198.93</v>
      </c>
    </row>
    <row r="767" customFormat="false" ht="14.4" hidden="false" customHeight="false" outlineLevel="0" collapsed="false">
      <c r="A767" s="218"/>
      <c r="B767" s="251"/>
      <c r="C767" s="251"/>
      <c r="D767" s="251"/>
      <c r="E767" s="212" t="s">
        <v>4048</v>
      </c>
      <c r="F767" s="212" t="s">
        <v>120</v>
      </c>
      <c r="G767" s="250" t="n">
        <v>207.89</v>
      </c>
    </row>
    <row r="768" customFormat="false" ht="14.4" hidden="false" customHeight="false" outlineLevel="0" collapsed="false">
      <c r="A768" s="218"/>
      <c r="B768" s="251"/>
      <c r="C768" s="251"/>
      <c r="D768" s="251"/>
      <c r="E768" s="212" t="s">
        <v>4065</v>
      </c>
      <c r="F768" s="212" t="s">
        <v>120</v>
      </c>
      <c r="G768" s="250" t="n">
        <v>5.34</v>
      </c>
    </row>
    <row r="769" customFormat="false" ht="14.4" hidden="false" customHeight="false" outlineLevel="0" collapsed="false">
      <c r="A769" s="218"/>
      <c r="B769" s="251"/>
      <c r="C769" s="251"/>
      <c r="D769" s="252"/>
      <c r="E769" s="212" t="s">
        <v>4076</v>
      </c>
      <c r="F769" s="212" t="s">
        <v>120</v>
      </c>
      <c r="G769" s="250" t="n">
        <v>46.36</v>
      </c>
    </row>
    <row r="770" customFormat="false" ht="14.4" hidden="false" customHeight="false" outlineLevel="0" collapsed="false">
      <c r="A770" s="218"/>
      <c r="B770" s="251"/>
      <c r="C770" s="251"/>
      <c r="D770" s="261" t="s">
        <v>7151</v>
      </c>
      <c r="E770" s="224"/>
      <c r="F770" s="225"/>
      <c r="G770" s="217" t="n">
        <v>458.52</v>
      </c>
    </row>
    <row r="771" customFormat="false" ht="14.4" hidden="false" customHeight="false" outlineLevel="0" collapsed="false">
      <c r="A771" s="218"/>
      <c r="B771" s="251"/>
      <c r="C771" s="251"/>
      <c r="D771" s="249" t="s">
        <v>2387</v>
      </c>
      <c r="E771" s="212" t="s">
        <v>4001</v>
      </c>
      <c r="F771" s="212" t="s">
        <v>120</v>
      </c>
      <c r="G771" s="250" t="n">
        <v>126.2</v>
      </c>
    </row>
    <row r="772" customFormat="false" ht="14.4" hidden="false" customHeight="false" outlineLevel="0" collapsed="false">
      <c r="A772" s="218"/>
      <c r="B772" s="251"/>
      <c r="C772" s="251"/>
      <c r="D772" s="251"/>
      <c r="E772" s="212" t="s">
        <v>4021</v>
      </c>
      <c r="F772" s="212" t="s">
        <v>120</v>
      </c>
      <c r="G772" s="250" t="n">
        <v>42.9</v>
      </c>
    </row>
    <row r="773" customFormat="false" ht="14.4" hidden="false" customHeight="false" outlineLevel="0" collapsed="false">
      <c r="A773" s="218"/>
      <c r="B773" s="251"/>
      <c r="C773" s="251"/>
      <c r="D773" s="251"/>
      <c r="E773" s="212" t="s">
        <v>4025</v>
      </c>
      <c r="F773" s="212" t="s">
        <v>120</v>
      </c>
      <c r="G773" s="250" t="n">
        <v>48.32</v>
      </c>
    </row>
    <row r="774" customFormat="false" ht="14.4" hidden="false" customHeight="false" outlineLevel="0" collapsed="false">
      <c r="A774" s="218"/>
      <c r="B774" s="251"/>
      <c r="C774" s="251"/>
      <c r="D774" s="251"/>
      <c r="E774" s="212" t="s">
        <v>4038</v>
      </c>
      <c r="F774" s="212" t="s">
        <v>120</v>
      </c>
      <c r="G774" s="250" t="n">
        <v>47.56</v>
      </c>
    </row>
    <row r="775" customFormat="false" ht="14.4" hidden="false" customHeight="false" outlineLevel="0" collapsed="false">
      <c r="A775" s="218"/>
      <c r="B775" s="251"/>
      <c r="C775" s="251"/>
      <c r="D775" s="251"/>
      <c r="E775" s="212" t="s">
        <v>4043</v>
      </c>
      <c r="F775" s="212" t="s">
        <v>120</v>
      </c>
      <c r="G775" s="250" t="n">
        <v>2.92</v>
      </c>
    </row>
    <row r="776" customFormat="false" ht="14.4" hidden="false" customHeight="false" outlineLevel="0" collapsed="false">
      <c r="A776" s="218"/>
      <c r="B776" s="251"/>
      <c r="C776" s="251"/>
      <c r="D776" s="251"/>
      <c r="E776" s="212" t="s">
        <v>4046</v>
      </c>
      <c r="F776" s="212" t="s">
        <v>120</v>
      </c>
      <c r="G776" s="250" t="n">
        <v>21.09</v>
      </c>
    </row>
    <row r="777" customFormat="false" ht="14.4" hidden="false" customHeight="false" outlineLevel="0" collapsed="false">
      <c r="A777" s="218"/>
      <c r="B777" s="251"/>
      <c r="C777" s="251"/>
      <c r="D777" s="251"/>
      <c r="E777" s="212" t="s">
        <v>4051</v>
      </c>
      <c r="F777" s="212" t="s">
        <v>120</v>
      </c>
      <c r="G777" s="250" t="n">
        <v>150.81</v>
      </c>
    </row>
    <row r="778" customFormat="false" ht="14.4" hidden="false" customHeight="false" outlineLevel="0" collapsed="false">
      <c r="A778" s="218"/>
      <c r="B778" s="251"/>
      <c r="C778" s="251"/>
      <c r="D778" s="251"/>
      <c r="E778" s="212" t="s">
        <v>4055</v>
      </c>
      <c r="F778" s="212" t="s">
        <v>120</v>
      </c>
      <c r="G778" s="250" t="n">
        <v>70.42</v>
      </c>
    </row>
    <row r="779" customFormat="false" ht="14.4" hidden="false" customHeight="false" outlineLevel="0" collapsed="false">
      <c r="A779" s="218"/>
      <c r="B779" s="251"/>
      <c r="C779" s="251"/>
      <c r="D779" s="251"/>
      <c r="E779" s="212" t="s">
        <v>4057</v>
      </c>
      <c r="F779" s="212" t="s">
        <v>120</v>
      </c>
      <c r="G779" s="250" t="n">
        <v>79.44</v>
      </c>
    </row>
    <row r="780" customFormat="false" ht="14.4" hidden="false" customHeight="false" outlineLevel="0" collapsed="false">
      <c r="A780" s="218"/>
      <c r="B780" s="251"/>
      <c r="C780" s="251"/>
      <c r="D780" s="251"/>
      <c r="E780" s="212" t="s">
        <v>4069</v>
      </c>
      <c r="F780" s="212" t="s">
        <v>120</v>
      </c>
      <c r="G780" s="250" t="n">
        <v>36.92</v>
      </c>
    </row>
    <row r="781" customFormat="false" ht="14.4" hidden="false" customHeight="false" outlineLevel="0" collapsed="false">
      <c r="A781" s="218"/>
      <c r="B781" s="251"/>
      <c r="C781" s="251"/>
      <c r="D781" s="251"/>
      <c r="E781" s="212" t="s">
        <v>4073</v>
      </c>
      <c r="F781" s="212" t="s">
        <v>120</v>
      </c>
      <c r="G781" s="250" t="n">
        <v>8.22</v>
      </c>
    </row>
    <row r="782" customFormat="false" ht="14.4" hidden="false" customHeight="false" outlineLevel="0" collapsed="false">
      <c r="A782" s="218"/>
      <c r="B782" s="251"/>
      <c r="C782" s="251"/>
      <c r="D782" s="251"/>
      <c r="E782" s="212" t="s">
        <v>4079</v>
      </c>
      <c r="F782" s="212" t="s">
        <v>120</v>
      </c>
      <c r="G782" s="250" t="n">
        <v>3.9</v>
      </c>
    </row>
    <row r="783" customFormat="false" ht="14.4" hidden="false" customHeight="false" outlineLevel="0" collapsed="false">
      <c r="A783" s="218"/>
      <c r="B783" s="251"/>
      <c r="C783" s="251"/>
      <c r="D783" s="251"/>
      <c r="E783" s="212" t="s">
        <v>4082</v>
      </c>
      <c r="F783" s="212" t="s">
        <v>120</v>
      </c>
      <c r="G783" s="250" t="n">
        <v>10.86</v>
      </c>
    </row>
    <row r="784" customFormat="false" ht="14.4" hidden="false" customHeight="false" outlineLevel="0" collapsed="false">
      <c r="A784" s="218"/>
      <c r="B784" s="251"/>
      <c r="C784" s="251"/>
      <c r="D784" s="251"/>
      <c r="E784" s="212" t="s">
        <v>4084</v>
      </c>
      <c r="F784" s="212" t="s">
        <v>120</v>
      </c>
      <c r="G784" s="250" t="n">
        <v>8.3</v>
      </c>
    </row>
    <row r="785" customFormat="false" ht="14.4" hidden="false" customHeight="false" outlineLevel="0" collapsed="false">
      <c r="A785" s="218"/>
      <c r="B785" s="251"/>
      <c r="C785" s="251"/>
      <c r="D785" s="252"/>
      <c r="E785" s="212" t="s">
        <v>4087</v>
      </c>
      <c r="F785" s="212" t="s">
        <v>120</v>
      </c>
      <c r="G785" s="250" t="n">
        <v>8.07</v>
      </c>
    </row>
    <row r="786" customFormat="false" ht="14.4" hidden="false" customHeight="false" outlineLevel="0" collapsed="false">
      <c r="A786" s="218"/>
      <c r="B786" s="251"/>
      <c r="C786" s="251"/>
      <c r="D786" s="261" t="s">
        <v>7075</v>
      </c>
      <c r="E786" s="224"/>
      <c r="F786" s="225"/>
      <c r="G786" s="217" t="n">
        <v>665.93</v>
      </c>
    </row>
    <row r="787" customFormat="false" ht="14.4" hidden="false" customHeight="false" outlineLevel="0" collapsed="false">
      <c r="A787" s="218"/>
      <c r="B787" s="251"/>
      <c r="C787" s="251"/>
      <c r="D787" s="249" t="s">
        <v>3743</v>
      </c>
      <c r="E787" s="212" t="s">
        <v>3847</v>
      </c>
      <c r="F787" s="212" t="s">
        <v>120</v>
      </c>
      <c r="G787" s="250" t="n">
        <v>37.52</v>
      </c>
    </row>
    <row r="788" customFormat="false" ht="14.4" hidden="false" customHeight="false" outlineLevel="0" collapsed="false">
      <c r="A788" s="218"/>
      <c r="B788" s="251"/>
      <c r="C788" s="251"/>
      <c r="D788" s="252"/>
      <c r="E788" s="212" t="s">
        <v>3880</v>
      </c>
      <c r="F788" s="212" t="s">
        <v>120</v>
      </c>
      <c r="G788" s="250" t="n">
        <v>56.71</v>
      </c>
    </row>
    <row r="789" customFormat="false" ht="14.4" hidden="false" customHeight="false" outlineLevel="0" collapsed="false">
      <c r="A789" s="218"/>
      <c r="B789" s="251"/>
      <c r="C789" s="251"/>
      <c r="D789" s="261" t="s">
        <v>7137</v>
      </c>
      <c r="E789" s="224"/>
      <c r="F789" s="225"/>
      <c r="G789" s="217" t="n">
        <v>94.23</v>
      </c>
    </row>
    <row r="790" customFormat="false" ht="14.4" hidden="false" customHeight="false" outlineLevel="0" collapsed="false">
      <c r="A790" s="218"/>
      <c r="B790" s="251"/>
      <c r="C790" s="251"/>
      <c r="D790" s="212" t="s">
        <v>4146</v>
      </c>
      <c r="E790" s="212" t="s">
        <v>4145</v>
      </c>
      <c r="F790" s="212" t="s">
        <v>120</v>
      </c>
      <c r="G790" s="250" t="n">
        <v>103.31</v>
      </c>
    </row>
    <row r="791" customFormat="false" ht="14.4" hidden="false" customHeight="false" outlineLevel="0" collapsed="false">
      <c r="A791" s="218"/>
      <c r="B791" s="251"/>
      <c r="C791" s="251"/>
      <c r="D791" s="261" t="s">
        <v>7152</v>
      </c>
      <c r="E791" s="224"/>
      <c r="F791" s="225"/>
      <c r="G791" s="217" t="n">
        <v>103.31</v>
      </c>
    </row>
    <row r="792" customFormat="false" ht="14.4" hidden="false" customHeight="false" outlineLevel="0" collapsed="false">
      <c r="A792" s="218"/>
      <c r="B792" s="251"/>
      <c r="C792" s="251"/>
      <c r="D792" s="249" t="s">
        <v>3855</v>
      </c>
      <c r="E792" s="212" t="s">
        <v>3854</v>
      </c>
      <c r="F792" s="212" t="s">
        <v>120</v>
      </c>
      <c r="G792" s="250" t="n">
        <v>161.82</v>
      </c>
    </row>
    <row r="793" customFormat="false" ht="14.4" hidden="false" customHeight="false" outlineLevel="0" collapsed="false">
      <c r="A793" s="218"/>
      <c r="B793" s="251"/>
      <c r="C793" s="251"/>
      <c r="D793" s="251"/>
      <c r="E793" s="212" t="s">
        <v>3867</v>
      </c>
      <c r="F793" s="212" t="s">
        <v>120</v>
      </c>
      <c r="G793" s="250" t="n">
        <v>63.57</v>
      </c>
    </row>
    <row r="794" customFormat="false" ht="14.4" hidden="false" customHeight="false" outlineLevel="0" collapsed="false">
      <c r="A794" s="218"/>
      <c r="B794" s="251"/>
      <c r="C794" s="251"/>
      <c r="D794" s="251"/>
      <c r="E794" s="212" t="s">
        <v>3884</v>
      </c>
      <c r="F794" s="212" t="s">
        <v>120</v>
      </c>
      <c r="G794" s="250" t="n">
        <v>38.8</v>
      </c>
    </row>
    <row r="795" customFormat="false" ht="14.4" hidden="false" customHeight="false" outlineLevel="0" collapsed="false">
      <c r="A795" s="218"/>
      <c r="B795" s="251"/>
      <c r="C795" s="251"/>
      <c r="D795" s="252"/>
      <c r="E795" s="212" t="s">
        <v>3892</v>
      </c>
      <c r="F795" s="212" t="s">
        <v>120</v>
      </c>
      <c r="G795" s="250" t="n">
        <v>18.85</v>
      </c>
    </row>
    <row r="796" customFormat="false" ht="14.4" hidden="false" customHeight="false" outlineLevel="0" collapsed="false">
      <c r="A796" s="218"/>
      <c r="B796" s="251"/>
      <c r="C796" s="251"/>
      <c r="D796" s="261" t="s">
        <v>7153</v>
      </c>
      <c r="E796" s="224"/>
      <c r="F796" s="225"/>
      <c r="G796" s="217" t="n">
        <v>283.04</v>
      </c>
    </row>
    <row r="797" customFormat="false" ht="14.4" hidden="false" customHeight="false" outlineLevel="0" collapsed="false">
      <c r="A797" s="218"/>
      <c r="B797" s="251"/>
      <c r="C797" s="251"/>
      <c r="D797" s="249" t="s">
        <v>3788</v>
      </c>
      <c r="E797" s="212" t="s">
        <v>3787</v>
      </c>
      <c r="F797" s="212" t="s">
        <v>120</v>
      </c>
      <c r="G797" s="250" t="n">
        <v>8.53</v>
      </c>
    </row>
    <row r="798" customFormat="false" ht="14.4" hidden="false" customHeight="false" outlineLevel="0" collapsed="false">
      <c r="A798" s="218"/>
      <c r="B798" s="251"/>
      <c r="C798" s="251"/>
      <c r="D798" s="251"/>
      <c r="E798" s="212" t="s">
        <v>3810</v>
      </c>
      <c r="F798" s="212" t="s">
        <v>120</v>
      </c>
      <c r="G798" s="250" t="n">
        <v>71.28</v>
      </c>
    </row>
    <row r="799" customFormat="false" ht="14.4" hidden="false" customHeight="false" outlineLevel="0" collapsed="false">
      <c r="A799" s="218"/>
      <c r="B799" s="251"/>
      <c r="C799" s="251"/>
      <c r="D799" s="251"/>
      <c r="E799" s="212" t="s">
        <v>3812</v>
      </c>
      <c r="F799" s="212" t="s">
        <v>120</v>
      </c>
      <c r="G799" s="250" t="n">
        <v>84.21</v>
      </c>
    </row>
    <row r="800" customFormat="false" ht="14.4" hidden="false" customHeight="false" outlineLevel="0" collapsed="false">
      <c r="A800" s="218"/>
      <c r="B800" s="251"/>
      <c r="C800" s="251"/>
      <c r="D800" s="251"/>
      <c r="E800" s="212" t="s">
        <v>3816</v>
      </c>
      <c r="F800" s="212" t="s">
        <v>120</v>
      </c>
      <c r="G800" s="250" t="n">
        <v>73.64</v>
      </c>
    </row>
    <row r="801" customFormat="false" ht="14.4" hidden="false" customHeight="false" outlineLevel="0" collapsed="false">
      <c r="A801" s="218"/>
      <c r="B801" s="251"/>
      <c r="C801" s="251"/>
      <c r="D801" s="251"/>
      <c r="E801" s="212" t="s">
        <v>3819</v>
      </c>
      <c r="F801" s="212" t="s">
        <v>120</v>
      </c>
      <c r="G801" s="250" t="n">
        <v>78.45</v>
      </c>
    </row>
    <row r="802" customFormat="false" ht="14.4" hidden="false" customHeight="false" outlineLevel="0" collapsed="false">
      <c r="A802" s="218"/>
      <c r="B802" s="251"/>
      <c r="C802" s="251"/>
      <c r="D802" s="251"/>
      <c r="E802" s="212" t="s">
        <v>3822</v>
      </c>
      <c r="F802" s="212" t="s">
        <v>120</v>
      </c>
      <c r="G802" s="250" t="n">
        <v>68.19</v>
      </c>
    </row>
    <row r="803" customFormat="false" ht="14.4" hidden="false" customHeight="false" outlineLevel="0" collapsed="false">
      <c r="A803" s="218"/>
      <c r="B803" s="251"/>
      <c r="C803" s="251"/>
      <c r="D803" s="252"/>
      <c r="E803" s="212" t="s">
        <v>3826</v>
      </c>
      <c r="F803" s="212" t="s">
        <v>120</v>
      </c>
      <c r="G803" s="250" t="n">
        <v>78.89</v>
      </c>
    </row>
    <row r="804" customFormat="false" ht="14.4" hidden="false" customHeight="false" outlineLevel="0" collapsed="false">
      <c r="A804" s="218"/>
      <c r="B804" s="251"/>
      <c r="C804" s="251"/>
      <c r="D804" s="261" t="s">
        <v>7079</v>
      </c>
      <c r="E804" s="224"/>
      <c r="F804" s="225"/>
      <c r="G804" s="217" t="n">
        <v>463.19</v>
      </c>
    </row>
    <row r="805" customFormat="false" ht="14.4" hidden="false" customHeight="false" outlineLevel="0" collapsed="false">
      <c r="A805" s="218"/>
      <c r="B805" s="251"/>
      <c r="C805" s="251"/>
      <c r="D805" s="249" t="s">
        <v>4015</v>
      </c>
      <c r="E805" s="212" t="s">
        <v>4014</v>
      </c>
      <c r="F805" s="212" t="s">
        <v>120</v>
      </c>
      <c r="G805" s="250" t="n">
        <v>11.25</v>
      </c>
    </row>
    <row r="806" customFormat="false" ht="14.4" hidden="false" customHeight="false" outlineLevel="0" collapsed="false">
      <c r="A806" s="218"/>
      <c r="B806" s="251"/>
      <c r="C806" s="251"/>
      <c r="D806" s="251"/>
      <c r="E806" s="212" t="s">
        <v>4019</v>
      </c>
      <c r="F806" s="212" t="s">
        <v>120</v>
      </c>
      <c r="G806" s="250" t="n">
        <v>6.56</v>
      </c>
    </row>
    <row r="807" customFormat="false" ht="14.4" hidden="false" customHeight="false" outlineLevel="0" collapsed="false">
      <c r="A807" s="218"/>
      <c r="B807" s="251"/>
      <c r="C807" s="251"/>
      <c r="D807" s="251"/>
      <c r="E807" s="212" t="s">
        <v>4034</v>
      </c>
      <c r="F807" s="212" t="s">
        <v>120</v>
      </c>
      <c r="G807" s="250" t="n">
        <v>139.85</v>
      </c>
    </row>
    <row r="808" customFormat="false" ht="14.4" hidden="false" customHeight="false" outlineLevel="0" collapsed="false">
      <c r="A808" s="218"/>
      <c r="B808" s="251"/>
      <c r="C808" s="251"/>
      <c r="D808" s="251"/>
      <c r="E808" s="212" t="s">
        <v>4167</v>
      </c>
      <c r="F808" s="212" t="s">
        <v>120</v>
      </c>
      <c r="G808" s="250" t="n">
        <v>111.6</v>
      </c>
    </row>
    <row r="809" customFormat="false" ht="14.4" hidden="false" customHeight="false" outlineLevel="0" collapsed="false">
      <c r="A809" s="218"/>
      <c r="B809" s="251"/>
      <c r="C809" s="251"/>
      <c r="D809" s="251"/>
      <c r="E809" s="212" t="s">
        <v>4192</v>
      </c>
      <c r="F809" s="212" t="s">
        <v>120</v>
      </c>
      <c r="G809" s="250" t="n">
        <v>106.79</v>
      </c>
    </row>
    <row r="810" customFormat="false" ht="14.4" hidden="false" customHeight="false" outlineLevel="0" collapsed="false">
      <c r="A810" s="218"/>
      <c r="B810" s="251"/>
      <c r="C810" s="251"/>
      <c r="D810" s="251"/>
      <c r="E810" s="212" t="s">
        <v>4207</v>
      </c>
      <c r="F810" s="212" t="s">
        <v>120</v>
      </c>
      <c r="G810" s="250" t="n">
        <v>146.11</v>
      </c>
    </row>
    <row r="811" customFormat="false" ht="14.4" hidden="false" customHeight="false" outlineLevel="0" collapsed="false">
      <c r="A811" s="218"/>
      <c r="B811" s="251"/>
      <c r="C811" s="251"/>
      <c r="D811" s="252"/>
      <c r="E811" s="212" t="s">
        <v>4215</v>
      </c>
      <c r="F811" s="212" t="s">
        <v>120</v>
      </c>
      <c r="G811" s="250" t="n">
        <v>28.95</v>
      </c>
    </row>
    <row r="812" customFormat="false" ht="14.4" hidden="false" customHeight="false" outlineLevel="0" collapsed="false">
      <c r="A812" s="218"/>
      <c r="B812" s="251"/>
      <c r="C812" s="251"/>
      <c r="D812" s="261" t="s">
        <v>7154</v>
      </c>
      <c r="E812" s="224"/>
      <c r="F812" s="225"/>
      <c r="G812" s="217" t="n">
        <v>551.11</v>
      </c>
    </row>
    <row r="813" customFormat="false" ht="14.4" hidden="false" customHeight="false" outlineLevel="0" collapsed="false">
      <c r="A813" s="218"/>
      <c r="B813" s="251"/>
      <c r="C813" s="251"/>
      <c r="D813" s="249" t="s">
        <v>4062</v>
      </c>
      <c r="E813" s="212" t="s">
        <v>4061</v>
      </c>
      <c r="F813" s="212" t="s">
        <v>120</v>
      </c>
      <c r="G813" s="250" t="n">
        <v>45.03</v>
      </c>
    </row>
    <row r="814" customFormat="false" ht="14.4" hidden="false" customHeight="false" outlineLevel="0" collapsed="false">
      <c r="A814" s="218"/>
      <c r="B814" s="251"/>
      <c r="C814" s="251"/>
      <c r="D814" s="252"/>
      <c r="E814" s="212" t="s">
        <v>4211</v>
      </c>
      <c r="F814" s="212" t="s">
        <v>120</v>
      </c>
      <c r="G814" s="250" t="n">
        <v>143.87</v>
      </c>
    </row>
    <row r="815" customFormat="false" ht="14.4" hidden="false" customHeight="false" outlineLevel="0" collapsed="false">
      <c r="A815" s="218"/>
      <c r="B815" s="251"/>
      <c r="C815" s="251"/>
      <c r="D815" s="261" t="s">
        <v>7155</v>
      </c>
      <c r="E815" s="224"/>
      <c r="F815" s="225"/>
      <c r="G815" s="217" t="n">
        <v>188.9</v>
      </c>
    </row>
    <row r="816" customFormat="false" ht="14.4" hidden="false" customHeight="false" outlineLevel="0" collapsed="false">
      <c r="A816" s="218"/>
      <c r="B816" s="251"/>
      <c r="C816" s="251"/>
      <c r="D816" s="212" t="s">
        <v>4184</v>
      </c>
      <c r="E816" s="212" t="s">
        <v>4183</v>
      </c>
      <c r="F816" s="212" t="s">
        <v>120</v>
      </c>
      <c r="G816" s="250" t="n">
        <v>103.67</v>
      </c>
    </row>
    <row r="817" customFormat="false" ht="14.4" hidden="false" customHeight="false" outlineLevel="0" collapsed="false">
      <c r="A817" s="218"/>
      <c r="B817" s="251"/>
      <c r="C817" s="251"/>
      <c r="D817" s="261" t="s">
        <v>7156</v>
      </c>
      <c r="E817" s="224"/>
      <c r="F817" s="225"/>
      <c r="G817" s="217" t="n">
        <v>103.67</v>
      </c>
    </row>
    <row r="818" customFormat="false" ht="14.4" hidden="false" customHeight="false" outlineLevel="0" collapsed="false">
      <c r="A818" s="218"/>
      <c r="B818" s="251"/>
      <c r="C818" s="251"/>
      <c r="D818" s="249" t="s">
        <v>4009</v>
      </c>
      <c r="E818" s="212" t="s">
        <v>4008</v>
      </c>
      <c r="F818" s="212" t="s">
        <v>120</v>
      </c>
      <c r="G818" s="250" t="n">
        <v>134.49</v>
      </c>
    </row>
    <row r="819" customFormat="false" ht="14.4" hidden="false" customHeight="false" outlineLevel="0" collapsed="false">
      <c r="A819" s="218"/>
      <c r="B819" s="251"/>
      <c r="C819" s="251"/>
      <c r="D819" s="251"/>
      <c r="E819" s="212" t="s">
        <v>4150</v>
      </c>
      <c r="F819" s="212" t="s">
        <v>120</v>
      </c>
      <c r="G819" s="250" t="n">
        <v>3.63</v>
      </c>
    </row>
    <row r="820" customFormat="false" ht="14.4" hidden="false" customHeight="false" outlineLevel="0" collapsed="false">
      <c r="A820" s="218"/>
      <c r="B820" s="251"/>
      <c r="C820" s="251"/>
      <c r="D820" s="251"/>
      <c r="E820" s="212" t="s">
        <v>4154</v>
      </c>
      <c r="F820" s="212" t="s">
        <v>120</v>
      </c>
      <c r="G820" s="250" t="n">
        <v>3.63</v>
      </c>
    </row>
    <row r="821" customFormat="false" ht="14.4" hidden="false" customHeight="false" outlineLevel="0" collapsed="false">
      <c r="A821" s="218"/>
      <c r="B821" s="251"/>
      <c r="C821" s="251"/>
      <c r="D821" s="251"/>
      <c r="E821" s="212" t="s">
        <v>4159</v>
      </c>
      <c r="F821" s="212" t="s">
        <v>120</v>
      </c>
      <c r="G821" s="250" t="n">
        <v>32.22</v>
      </c>
    </row>
    <row r="822" customFormat="false" ht="14.4" hidden="false" customHeight="false" outlineLevel="0" collapsed="false">
      <c r="A822" s="218"/>
      <c r="B822" s="251"/>
      <c r="C822" s="251"/>
      <c r="D822" s="251"/>
      <c r="E822" s="212" t="s">
        <v>4163</v>
      </c>
      <c r="F822" s="212" t="s">
        <v>120</v>
      </c>
      <c r="G822" s="250" t="n">
        <v>53.29</v>
      </c>
    </row>
    <row r="823" customFormat="false" ht="14.4" hidden="false" customHeight="false" outlineLevel="0" collapsed="false">
      <c r="A823" s="218"/>
      <c r="B823" s="251"/>
      <c r="C823" s="251"/>
      <c r="D823" s="251"/>
      <c r="E823" s="212" t="s">
        <v>4171</v>
      </c>
      <c r="F823" s="212" t="s">
        <v>120</v>
      </c>
      <c r="G823" s="250" t="n">
        <v>43.61</v>
      </c>
    </row>
    <row r="824" customFormat="false" ht="14.4" hidden="false" customHeight="false" outlineLevel="0" collapsed="false">
      <c r="A824" s="218"/>
      <c r="B824" s="251"/>
      <c r="C824" s="251"/>
      <c r="D824" s="251"/>
      <c r="E824" s="212" t="s">
        <v>4175</v>
      </c>
      <c r="F824" s="212" t="s">
        <v>120</v>
      </c>
      <c r="G824" s="250" t="n">
        <v>103.99</v>
      </c>
    </row>
    <row r="825" customFormat="false" ht="14.4" hidden="false" customHeight="false" outlineLevel="0" collapsed="false">
      <c r="A825" s="218"/>
      <c r="B825" s="251"/>
      <c r="C825" s="251"/>
      <c r="D825" s="251"/>
      <c r="E825" s="212" t="s">
        <v>4179</v>
      </c>
      <c r="F825" s="212" t="s">
        <v>120</v>
      </c>
      <c r="G825" s="250" t="n">
        <v>44.48</v>
      </c>
    </row>
    <row r="826" customFormat="false" ht="14.4" hidden="false" customHeight="false" outlineLevel="0" collapsed="false">
      <c r="A826" s="218"/>
      <c r="B826" s="251"/>
      <c r="C826" s="251"/>
      <c r="D826" s="251"/>
      <c r="E826" s="212" t="s">
        <v>4188</v>
      </c>
      <c r="F826" s="212" t="s">
        <v>120</v>
      </c>
      <c r="G826" s="250" t="n">
        <v>41.29</v>
      </c>
    </row>
    <row r="827" customFormat="false" ht="14.4" hidden="false" customHeight="false" outlineLevel="0" collapsed="false">
      <c r="A827" s="218"/>
      <c r="B827" s="251"/>
      <c r="C827" s="251"/>
      <c r="D827" s="251"/>
      <c r="E827" s="212" t="s">
        <v>4196</v>
      </c>
      <c r="F827" s="212" t="s">
        <v>120</v>
      </c>
      <c r="G827" s="250" t="n">
        <v>44.69</v>
      </c>
    </row>
    <row r="828" customFormat="false" ht="14.4" hidden="false" customHeight="false" outlineLevel="0" collapsed="false">
      <c r="A828" s="218"/>
      <c r="B828" s="251"/>
      <c r="C828" s="251"/>
      <c r="D828" s="252"/>
      <c r="E828" s="212" t="s">
        <v>4204</v>
      </c>
      <c r="F828" s="212" t="s">
        <v>120</v>
      </c>
      <c r="G828" s="250" t="n">
        <v>67.76</v>
      </c>
    </row>
    <row r="829" customFormat="false" ht="14.4" hidden="false" customHeight="false" outlineLevel="0" collapsed="false">
      <c r="A829" s="218"/>
      <c r="B829" s="251"/>
      <c r="C829" s="251"/>
      <c r="D829" s="261" t="s">
        <v>7157</v>
      </c>
      <c r="E829" s="224"/>
      <c r="F829" s="225"/>
      <c r="G829" s="217" t="n">
        <v>573.08</v>
      </c>
    </row>
    <row r="830" customFormat="false" ht="14.4" hidden="false" customHeight="false" outlineLevel="0" collapsed="false">
      <c r="A830" s="218"/>
      <c r="B830" s="251"/>
      <c r="C830" s="251"/>
      <c r="D830" s="249" t="s">
        <v>4157</v>
      </c>
      <c r="E830" s="212" t="s">
        <v>4156</v>
      </c>
      <c r="F830" s="212" t="s">
        <v>120</v>
      </c>
      <c r="G830" s="250" t="n">
        <v>11.24</v>
      </c>
    </row>
    <row r="831" customFormat="false" ht="14.4" hidden="false" customHeight="false" outlineLevel="0" collapsed="false">
      <c r="A831" s="218"/>
      <c r="B831" s="251"/>
      <c r="C831" s="251"/>
      <c r="D831" s="252"/>
      <c r="E831" s="212" t="s">
        <v>4200</v>
      </c>
      <c r="F831" s="212" t="s">
        <v>120</v>
      </c>
      <c r="G831" s="250" t="n">
        <v>106.42</v>
      </c>
    </row>
    <row r="832" customFormat="false" ht="14.4" hidden="false" customHeight="false" outlineLevel="0" collapsed="false">
      <c r="A832" s="218"/>
      <c r="B832" s="251"/>
      <c r="C832" s="251"/>
      <c r="D832" s="261" t="s">
        <v>7158</v>
      </c>
      <c r="E832" s="224"/>
      <c r="F832" s="225"/>
      <c r="G832" s="217" t="n">
        <v>117.66</v>
      </c>
    </row>
    <row r="833" customFormat="false" ht="14.4" hidden="false" customHeight="false" outlineLevel="0" collapsed="false">
      <c r="A833" s="218"/>
      <c r="B833" s="251"/>
      <c r="C833" s="251"/>
      <c r="D833" s="249" t="s">
        <v>7055</v>
      </c>
      <c r="E833" s="212" t="s">
        <v>3805</v>
      </c>
      <c r="F833" s="212" t="s">
        <v>120</v>
      </c>
      <c r="G833" s="250" t="n">
        <v>48.86</v>
      </c>
    </row>
    <row r="834" customFormat="false" ht="14.4" hidden="false" customHeight="false" outlineLevel="0" collapsed="false">
      <c r="A834" s="218"/>
      <c r="B834" s="251"/>
      <c r="C834" s="251"/>
      <c r="D834" s="251"/>
      <c r="E834" s="212" t="s">
        <v>3950</v>
      </c>
      <c r="F834" s="212" t="s">
        <v>120</v>
      </c>
      <c r="G834" s="250" t="n">
        <v>8.1</v>
      </c>
    </row>
    <row r="835" customFormat="false" ht="14.4" hidden="false" customHeight="false" outlineLevel="0" collapsed="false">
      <c r="A835" s="218"/>
      <c r="B835" s="251"/>
      <c r="C835" s="251"/>
      <c r="D835" s="251"/>
      <c r="E835" s="212" t="s">
        <v>3982</v>
      </c>
      <c r="F835" s="212" t="s">
        <v>120</v>
      </c>
      <c r="G835" s="250" t="n">
        <v>133.92</v>
      </c>
    </row>
    <row r="836" customFormat="false" ht="14.4" hidden="false" customHeight="false" outlineLevel="0" collapsed="false">
      <c r="A836" s="218"/>
      <c r="B836" s="251"/>
      <c r="C836" s="251"/>
      <c r="D836" s="251"/>
      <c r="E836" s="212" t="s">
        <v>3992</v>
      </c>
      <c r="F836" s="212" t="s">
        <v>120</v>
      </c>
      <c r="G836" s="250" t="n">
        <v>131.99</v>
      </c>
    </row>
    <row r="837" customFormat="false" ht="14.4" hidden="false" customHeight="false" outlineLevel="0" collapsed="false">
      <c r="A837" s="218"/>
      <c r="B837" s="251"/>
      <c r="C837" s="251"/>
      <c r="D837" s="251"/>
      <c r="E837" s="212" t="s">
        <v>4090</v>
      </c>
      <c r="F837" s="212" t="s">
        <v>120</v>
      </c>
      <c r="G837" s="250" t="n">
        <v>182.62</v>
      </c>
    </row>
    <row r="838" customFormat="false" ht="14.4" hidden="false" customHeight="false" outlineLevel="0" collapsed="false">
      <c r="A838" s="218"/>
      <c r="B838" s="251"/>
      <c r="C838" s="251"/>
      <c r="D838" s="251"/>
      <c r="E838" s="212" t="s">
        <v>4115</v>
      </c>
      <c r="F838" s="212" t="s">
        <v>120</v>
      </c>
      <c r="G838" s="250" t="n">
        <v>52.59</v>
      </c>
    </row>
    <row r="839" customFormat="false" ht="14.4" hidden="false" customHeight="false" outlineLevel="0" collapsed="false">
      <c r="A839" s="218"/>
      <c r="B839" s="251"/>
      <c r="C839" s="251"/>
      <c r="D839" s="251"/>
      <c r="E839" s="212" t="s">
        <v>4126</v>
      </c>
      <c r="F839" s="212" t="s">
        <v>120</v>
      </c>
      <c r="G839" s="250" t="n">
        <v>48.85</v>
      </c>
    </row>
    <row r="840" customFormat="false" ht="14.4" hidden="false" customHeight="false" outlineLevel="0" collapsed="false">
      <c r="A840" s="218"/>
      <c r="B840" s="251"/>
      <c r="C840" s="251"/>
      <c r="D840" s="252"/>
      <c r="E840" s="212" t="s">
        <v>4129</v>
      </c>
      <c r="F840" s="212" t="s">
        <v>120</v>
      </c>
      <c r="G840" s="250" t="n">
        <v>49.76</v>
      </c>
    </row>
    <row r="841" customFormat="false" ht="14.4" hidden="false" customHeight="false" outlineLevel="0" collapsed="false">
      <c r="A841" s="218"/>
      <c r="B841" s="251"/>
      <c r="C841" s="252"/>
      <c r="D841" s="261" t="s">
        <v>7060</v>
      </c>
      <c r="E841" s="224"/>
      <c r="F841" s="225"/>
      <c r="G841" s="217" t="n">
        <v>656.69</v>
      </c>
    </row>
    <row r="842" customFormat="false" ht="14.4" hidden="false" customHeight="false" outlineLevel="0" collapsed="false">
      <c r="A842" s="218"/>
      <c r="B842" s="251"/>
      <c r="C842" s="249" t="s">
        <v>3938</v>
      </c>
      <c r="D842" s="249" t="s">
        <v>7055</v>
      </c>
      <c r="E842" s="212" t="s">
        <v>3937</v>
      </c>
      <c r="F842" s="212" t="s">
        <v>120</v>
      </c>
      <c r="G842" s="250" t="n">
        <v>26.11</v>
      </c>
    </row>
    <row r="843" customFormat="false" ht="14.4" hidden="false" customHeight="false" outlineLevel="0" collapsed="false">
      <c r="A843" s="218"/>
      <c r="B843" s="251"/>
      <c r="C843" s="251"/>
      <c r="D843" s="251"/>
      <c r="E843" s="212" t="s">
        <v>4122</v>
      </c>
      <c r="F843" s="212" t="s">
        <v>120</v>
      </c>
      <c r="G843" s="250" t="n">
        <v>48.44</v>
      </c>
    </row>
    <row r="844" customFormat="false" ht="14.4" hidden="false" customHeight="false" outlineLevel="0" collapsed="false">
      <c r="A844" s="218"/>
      <c r="B844" s="251"/>
      <c r="C844" s="251"/>
      <c r="D844" s="251"/>
      <c r="E844" s="212" t="s">
        <v>4138</v>
      </c>
      <c r="F844" s="212" t="s">
        <v>120</v>
      </c>
      <c r="G844" s="250" t="n">
        <v>120.85</v>
      </c>
    </row>
    <row r="845" customFormat="false" ht="14.4" hidden="false" customHeight="false" outlineLevel="0" collapsed="false">
      <c r="A845" s="218"/>
      <c r="B845" s="251"/>
      <c r="C845" s="251"/>
      <c r="D845" s="252"/>
      <c r="E845" s="212" t="s">
        <v>4141</v>
      </c>
      <c r="F845" s="212" t="s">
        <v>120</v>
      </c>
      <c r="G845" s="250" t="n">
        <v>21.61</v>
      </c>
    </row>
    <row r="846" customFormat="false" ht="14.4" hidden="false" customHeight="false" outlineLevel="0" collapsed="false">
      <c r="A846" s="218"/>
      <c r="B846" s="252"/>
      <c r="C846" s="252"/>
      <c r="D846" s="261" t="s">
        <v>7060</v>
      </c>
      <c r="E846" s="224"/>
      <c r="F846" s="225"/>
      <c r="G846" s="217" t="n">
        <v>217.01</v>
      </c>
    </row>
    <row r="847" customFormat="false" ht="14.4" hidden="false" customHeight="false" outlineLevel="0" collapsed="false">
      <c r="A847" s="218"/>
      <c r="B847" s="249" t="s">
        <v>4221</v>
      </c>
      <c r="C847" s="249" t="s">
        <v>4343</v>
      </c>
      <c r="D847" s="249" t="s">
        <v>4344</v>
      </c>
      <c r="E847" s="212" t="s">
        <v>4342</v>
      </c>
      <c r="F847" s="212" t="s">
        <v>120</v>
      </c>
      <c r="G847" s="250" t="n">
        <v>31.52</v>
      </c>
    </row>
    <row r="848" customFormat="false" ht="14.4" hidden="false" customHeight="false" outlineLevel="0" collapsed="false">
      <c r="A848" s="218"/>
      <c r="B848" s="251"/>
      <c r="C848" s="251"/>
      <c r="D848" s="252"/>
      <c r="E848" s="212" t="s">
        <v>4348</v>
      </c>
      <c r="F848" s="212" t="s">
        <v>120</v>
      </c>
      <c r="G848" s="250" t="n">
        <v>98.91</v>
      </c>
    </row>
    <row r="849" customFormat="false" ht="14.4" hidden="false" customHeight="false" outlineLevel="0" collapsed="false">
      <c r="A849" s="218"/>
      <c r="B849" s="251"/>
      <c r="C849" s="252"/>
      <c r="D849" s="261" t="s">
        <v>7159</v>
      </c>
      <c r="E849" s="224"/>
      <c r="F849" s="225"/>
      <c r="G849" s="217" t="n">
        <v>130.43</v>
      </c>
    </row>
    <row r="850" customFormat="false" ht="14.4" hidden="false" customHeight="false" outlineLevel="0" collapsed="false">
      <c r="A850" s="218"/>
      <c r="B850" s="251"/>
      <c r="C850" s="249" t="s">
        <v>1594</v>
      </c>
      <c r="D850" s="249" t="s">
        <v>1952</v>
      </c>
      <c r="E850" s="212" t="s">
        <v>4662</v>
      </c>
      <c r="F850" s="212" t="s">
        <v>120</v>
      </c>
      <c r="G850" s="250" t="n">
        <v>58.29</v>
      </c>
    </row>
    <row r="851" customFormat="false" ht="14.4" hidden="false" customHeight="false" outlineLevel="0" collapsed="false">
      <c r="A851" s="218"/>
      <c r="B851" s="251"/>
      <c r="C851" s="251"/>
      <c r="D851" s="252"/>
      <c r="E851" s="212" t="s">
        <v>4694</v>
      </c>
      <c r="F851" s="212" t="s">
        <v>120</v>
      </c>
      <c r="G851" s="250" t="n">
        <v>48.69</v>
      </c>
    </row>
    <row r="852" customFormat="false" ht="14.4" hidden="false" customHeight="false" outlineLevel="0" collapsed="false">
      <c r="A852" s="218"/>
      <c r="B852" s="251"/>
      <c r="C852" s="251"/>
      <c r="D852" s="261" t="s">
        <v>7087</v>
      </c>
      <c r="E852" s="224"/>
      <c r="F852" s="225"/>
      <c r="G852" s="217" t="n">
        <v>106.98</v>
      </c>
    </row>
    <row r="853" customFormat="false" ht="14.4" hidden="false" customHeight="false" outlineLevel="0" collapsed="false">
      <c r="A853" s="218"/>
      <c r="B853" s="251"/>
      <c r="C853" s="251"/>
      <c r="D853" s="249" t="s">
        <v>3251</v>
      </c>
      <c r="E853" s="212" t="s">
        <v>4686</v>
      </c>
      <c r="F853" s="212" t="s">
        <v>120</v>
      </c>
      <c r="G853" s="250" t="n">
        <v>57.93</v>
      </c>
    </row>
    <row r="854" customFormat="false" ht="14.4" hidden="false" customHeight="false" outlineLevel="0" collapsed="false">
      <c r="A854" s="218"/>
      <c r="B854" s="251"/>
      <c r="C854" s="251"/>
      <c r="D854" s="251"/>
      <c r="E854" s="212" t="s">
        <v>4697</v>
      </c>
      <c r="F854" s="212" t="s">
        <v>120</v>
      </c>
      <c r="G854" s="250" t="n">
        <v>59.95</v>
      </c>
    </row>
    <row r="855" customFormat="false" ht="14.4" hidden="false" customHeight="false" outlineLevel="0" collapsed="false">
      <c r="A855" s="218"/>
      <c r="B855" s="251"/>
      <c r="C855" s="251"/>
      <c r="D855" s="251"/>
      <c r="E855" s="212" t="s">
        <v>4704</v>
      </c>
      <c r="F855" s="212" t="s">
        <v>120</v>
      </c>
      <c r="G855" s="250" t="n">
        <v>14.26</v>
      </c>
    </row>
    <row r="856" customFormat="false" ht="14.4" hidden="false" customHeight="false" outlineLevel="0" collapsed="false">
      <c r="A856" s="218"/>
      <c r="B856" s="251"/>
      <c r="C856" s="251"/>
      <c r="D856" s="252"/>
      <c r="E856" s="212" t="s">
        <v>4708</v>
      </c>
      <c r="F856" s="212" t="s">
        <v>120</v>
      </c>
      <c r="G856" s="250" t="n">
        <v>52.39</v>
      </c>
    </row>
    <row r="857" customFormat="false" ht="14.4" hidden="false" customHeight="false" outlineLevel="0" collapsed="false">
      <c r="A857" s="218"/>
      <c r="B857" s="251"/>
      <c r="C857" s="251"/>
      <c r="D857" s="261" t="s">
        <v>7074</v>
      </c>
      <c r="E857" s="224"/>
      <c r="F857" s="225"/>
      <c r="G857" s="217" t="n">
        <v>184.53</v>
      </c>
    </row>
    <row r="858" customFormat="false" ht="14.4" hidden="false" customHeight="false" outlineLevel="0" collapsed="false">
      <c r="A858" s="218"/>
      <c r="B858" s="251"/>
      <c r="C858" s="251"/>
      <c r="D858" s="249" t="s">
        <v>4278</v>
      </c>
      <c r="E858" s="212" t="s">
        <v>4277</v>
      </c>
      <c r="F858" s="212" t="s">
        <v>120</v>
      </c>
      <c r="G858" s="250" t="n">
        <v>72.58</v>
      </c>
    </row>
    <row r="859" customFormat="false" ht="14.4" hidden="false" customHeight="false" outlineLevel="0" collapsed="false">
      <c r="A859" s="218"/>
      <c r="B859" s="251"/>
      <c r="C859" s="251"/>
      <c r="D859" s="251"/>
      <c r="E859" s="212" t="s">
        <v>4467</v>
      </c>
      <c r="F859" s="212" t="s">
        <v>120</v>
      </c>
      <c r="G859" s="250" t="n">
        <v>41.5</v>
      </c>
    </row>
    <row r="860" customFormat="false" ht="14.4" hidden="false" customHeight="false" outlineLevel="0" collapsed="false">
      <c r="A860" s="218"/>
      <c r="B860" s="251"/>
      <c r="C860" s="251"/>
      <c r="D860" s="251"/>
      <c r="E860" s="212" t="s">
        <v>4471</v>
      </c>
      <c r="F860" s="212" t="s">
        <v>120</v>
      </c>
      <c r="G860" s="250" t="n">
        <v>33.65</v>
      </c>
    </row>
    <row r="861" customFormat="false" ht="14.4" hidden="false" customHeight="false" outlineLevel="0" collapsed="false">
      <c r="A861" s="218"/>
      <c r="B861" s="251"/>
      <c r="C861" s="251"/>
      <c r="D861" s="251"/>
      <c r="E861" s="212" t="s">
        <v>4484</v>
      </c>
      <c r="F861" s="212" t="s">
        <v>120</v>
      </c>
      <c r="G861" s="250" t="n">
        <v>102.96</v>
      </c>
    </row>
    <row r="862" customFormat="false" ht="14.4" hidden="false" customHeight="false" outlineLevel="0" collapsed="false">
      <c r="A862" s="218"/>
      <c r="B862" s="251"/>
      <c r="C862" s="251"/>
      <c r="D862" s="251"/>
      <c r="E862" s="212" t="s">
        <v>4496</v>
      </c>
      <c r="F862" s="212" t="s">
        <v>120</v>
      </c>
      <c r="G862" s="250" t="n">
        <v>121.59</v>
      </c>
    </row>
    <row r="863" customFormat="false" ht="14.4" hidden="false" customHeight="false" outlineLevel="0" collapsed="false">
      <c r="A863" s="218"/>
      <c r="B863" s="251"/>
      <c r="C863" s="251"/>
      <c r="D863" s="251"/>
      <c r="E863" s="212" t="s">
        <v>4501</v>
      </c>
      <c r="F863" s="212" t="s">
        <v>120</v>
      </c>
      <c r="G863" s="250" t="n">
        <v>57.02</v>
      </c>
    </row>
    <row r="864" customFormat="false" ht="14.4" hidden="false" customHeight="false" outlineLevel="0" collapsed="false">
      <c r="A864" s="218"/>
      <c r="B864" s="251"/>
      <c r="C864" s="251"/>
      <c r="D864" s="251"/>
      <c r="E864" s="212" t="s">
        <v>4612</v>
      </c>
      <c r="F864" s="212" t="s">
        <v>120</v>
      </c>
      <c r="G864" s="250" t="n">
        <v>147.98</v>
      </c>
    </row>
    <row r="865" customFormat="false" ht="14.4" hidden="false" customHeight="false" outlineLevel="0" collapsed="false">
      <c r="A865" s="218"/>
      <c r="B865" s="251"/>
      <c r="C865" s="251"/>
      <c r="D865" s="252"/>
      <c r="E865" s="212" t="s">
        <v>4658</v>
      </c>
      <c r="F865" s="212" t="s">
        <v>120</v>
      </c>
      <c r="G865" s="250" t="n">
        <v>97.86</v>
      </c>
    </row>
    <row r="866" customFormat="false" ht="14.4" hidden="false" customHeight="false" outlineLevel="0" collapsed="false">
      <c r="A866" s="218"/>
      <c r="B866" s="251"/>
      <c r="C866" s="251"/>
      <c r="D866" s="261" t="s">
        <v>7160</v>
      </c>
      <c r="E866" s="224"/>
      <c r="F866" s="225"/>
      <c r="G866" s="217" t="n">
        <v>675.14</v>
      </c>
    </row>
    <row r="867" customFormat="false" ht="14.4" hidden="false" customHeight="false" outlineLevel="0" collapsed="false">
      <c r="A867" s="218"/>
      <c r="B867" s="251"/>
      <c r="C867" s="251"/>
      <c r="D867" s="249" t="s">
        <v>4632</v>
      </c>
      <c r="E867" s="212" t="s">
        <v>4631</v>
      </c>
      <c r="F867" s="212" t="s">
        <v>120</v>
      </c>
      <c r="G867" s="250" t="n">
        <v>146.02</v>
      </c>
    </row>
    <row r="868" customFormat="false" ht="14.4" hidden="false" customHeight="false" outlineLevel="0" collapsed="false">
      <c r="A868" s="218"/>
      <c r="B868" s="251"/>
      <c r="C868" s="251"/>
      <c r="D868" s="251"/>
      <c r="E868" s="212" t="s">
        <v>4647</v>
      </c>
      <c r="F868" s="212" t="s">
        <v>120</v>
      </c>
      <c r="G868" s="250" t="n">
        <v>25.71</v>
      </c>
    </row>
    <row r="869" customFormat="false" ht="14.4" hidden="false" customHeight="false" outlineLevel="0" collapsed="false">
      <c r="A869" s="218"/>
      <c r="B869" s="251"/>
      <c r="C869" s="251"/>
      <c r="D869" s="251"/>
      <c r="E869" s="212" t="s">
        <v>4655</v>
      </c>
      <c r="F869" s="212" t="s">
        <v>120</v>
      </c>
      <c r="G869" s="250" t="n">
        <v>25.15</v>
      </c>
    </row>
    <row r="870" customFormat="false" ht="14.4" hidden="false" customHeight="false" outlineLevel="0" collapsed="false">
      <c r="A870" s="218"/>
      <c r="B870" s="251"/>
      <c r="C870" s="251"/>
      <c r="D870" s="251"/>
      <c r="E870" s="212" t="s">
        <v>4666</v>
      </c>
      <c r="F870" s="212" t="s">
        <v>120</v>
      </c>
      <c r="G870" s="250" t="n">
        <v>21.41</v>
      </c>
    </row>
    <row r="871" customFormat="false" ht="14.4" hidden="false" customHeight="false" outlineLevel="0" collapsed="false">
      <c r="A871" s="218"/>
      <c r="B871" s="251"/>
      <c r="C871" s="251"/>
      <c r="D871" s="252"/>
      <c r="E871" s="212" t="s">
        <v>4674</v>
      </c>
      <c r="F871" s="212" t="s">
        <v>120</v>
      </c>
      <c r="G871" s="250" t="n">
        <v>26.23</v>
      </c>
    </row>
    <row r="872" customFormat="false" ht="14.4" hidden="false" customHeight="false" outlineLevel="0" collapsed="false">
      <c r="A872" s="218"/>
      <c r="B872" s="251"/>
      <c r="C872" s="251"/>
      <c r="D872" s="261" t="s">
        <v>7161</v>
      </c>
      <c r="E872" s="224"/>
      <c r="F872" s="225"/>
      <c r="G872" s="217" t="n">
        <v>244.52</v>
      </c>
    </row>
    <row r="873" customFormat="false" ht="14.4" hidden="false" customHeight="false" outlineLevel="0" collapsed="false">
      <c r="A873" s="218"/>
      <c r="B873" s="251"/>
      <c r="C873" s="251"/>
      <c r="D873" s="249" t="s">
        <v>2834</v>
      </c>
      <c r="E873" s="212" t="s">
        <v>4544</v>
      </c>
      <c r="F873" s="212" t="s">
        <v>120</v>
      </c>
      <c r="G873" s="250" t="n">
        <v>131.18</v>
      </c>
    </row>
    <row r="874" customFormat="false" ht="14.4" hidden="false" customHeight="false" outlineLevel="0" collapsed="false">
      <c r="A874" s="218"/>
      <c r="B874" s="251"/>
      <c r="C874" s="251"/>
      <c r="D874" s="251"/>
      <c r="E874" s="212" t="s">
        <v>4550</v>
      </c>
      <c r="F874" s="212" t="s">
        <v>120</v>
      </c>
      <c r="G874" s="250" t="n">
        <v>48.46</v>
      </c>
    </row>
    <row r="875" customFormat="false" ht="14.4" hidden="false" customHeight="false" outlineLevel="0" collapsed="false">
      <c r="A875" s="218"/>
      <c r="B875" s="251"/>
      <c r="C875" s="251"/>
      <c r="D875" s="251"/>
      <c r="E875" s="212" t="s">
        <v>4571</v>
      </c>
      <c r="F875" s="212" t="s">
        <v>120</v>
      </c>
      <c r="G875" s="250" t="n">
        <v>33.6</v>
      </c>
    </row>
    <row r="876" customFormat="false" ht="14.4" hidden="false" customHeight="false" outlineLevel="0" collapsed="false">
      <c r="A876" s="218"/>
      <c r="B876" s="251"/>
      <c r="C876" s="251"/>
      <c r="D876" s="251"/>
      <c r="E876" s="212" t="s">
        <v>4575</v>
      </c>
      <c r="F876" s="212" t="s">
        <v>120</v>
      </c>
      <c r="G876" s="250" t="n">
        <v>5.08</v>
      </c>
    </row>
    <row r="877" customFormat="false" ht="14.4" hidden="false" customHeight="false" outlineLevel="0" collapsed="false">
      <c r="A877" s="218"/>
      <c r="B877" s="251"/>
      <c r="C877" s="251"/>
      <c r="D877" s="252"/>
      <c r="E877" s="212" t="s">
        <v>4578</v>
      </c>
      <c r="F877" s="212" t="s">
        <v>120</v>
      </c>
      <c r="G877" s="250" t="n">
        <v>3.02</v>
      </c>
    </row>
    <row r="878" customFormat="false" ht="14.4" hidden="false" customHeight="false" outlineLevel="0" collapsed="false">
      <c r="A878" s="218"/>
      <c r="B878" s="251"/>
      <c r="C878" s="251"/>
      <c r="D878" s="261" t="s">
        <v>7114</v>
      </c>
      <c r="E878" s="224"/>
      <c r="F878" s="225"/>
      <c r="G878" s="217" t="n">
        <v>221.34</v>
      </c>
    </row>
    <row r="879" customFormat="false" ht="14.4" hidden="false" customHeight="false" outlineLevel="0" collapsed="false">
      <c r="A879" s="218"/>
      <c r="B879" s="251"/>
      <c r="C879" s="251"/>
      <c r="D879" s="249" t="s">
        <v>2885</v>
      </c>
      <c r="E879" s="212" t="s">
        <v>4402</v>
      </c>
      <c r="F879" s="212" t="s">
        <v>120</v>
      </c>
      <c r="G879" s="250" t="n">
        <v>41.6</v>
      </c>
    </row>
    <row r="880" customFormat="false" ht="14.4" hidden="false" customHeight="false" outlineLevel="0" collapsed="false">
      <c r="A880" s="218"/>
      <c r="B880" s="251"/>
      <c r="C880" s="251"/>
      <c r="D880" s="252"/>
      <c r="E880" s="212" t="s">
        <v>4537</v>
      </c>
      <c r="F880" s="212" t="s">
        <v>120</v>
      </c>
      <c r="G880" s="250" t="n">
        <v>91.41</v>
      </c>
    </row>
    <row r="881" customFormat="false" ht="14.4" hidden="false" customHeight="false" outlineLevel="0" collapsed="false">
      <c r="A881" s="218"/>
      <c r="B881" s="251"/>
      <c r="C881" s="251"/>
      <c r="D881" s="261" t="s">
        <v>7115</v>
      </c>
      <c r="E881" s="224"/>
      <c r="F881" s="225"/>
      <c r="G881" s="217" t="n">
        <v>133.01</v>
      </c>
    </row>
    <row r="882" customFormat="false" ht="14.4" hidden="false" customHeight="false" outlineLevel="0" collapsed="false">
      <c r="A882" s="218"/>
      <c r="B882" s="251"/>
      <c r="C882" s="251"/>
      <c r="D882" s="249" t="s">
        <v>2630</v>
      </c>
      <c r="E882" s="212" t="s">
        <v>4307</v>
      </c>
      <c r="F882" s="212" t="s">
        <v>120</v>
      </c>
      <c r="G882" s="250" t="n">
        <v>22.74</v>
      </c>
    </row>
    <row r="883" customFormat="false" ht="14.4" hidden="false" customHeight="false" outlineLevel="0" collapsed="false">
      <c r="A883" s="218"/>
      <c r="B883" s="251"/>
      <c r="C883" s="251"/>
      <c r="D883" s="252"/>
      <c r="E883" s="212" t="s">
        <v>4313</v>
      </c>
      <c r="F883" s="212" t="s">
        <v>120</v>
      </c>
      <c r="G883" s="250" t="n">
        <v>49.77</v>
      </c>
    </row>
    <row r="884" customFormat="false" ht="14.4" hidden="false" customHeight="false" outlineLevel="0" collapsed="false">
      <c r="A884" s="218"/>
      <c r="B884" s="251"/>
      <c r="C884" s="251"/>
      <c r="D884" s="261" t="s">
        <v>7118</v>
      </c>
      <c r="E884" s="224"/>
      <c r="F884" s="225"/>
      <c r="G884" s="217" t="n">
        <v>72.51</v>
      </c>
    </row>
    <row r="885" customFormat="false" ht="14.4" hidden="false" customHeight="false" outlineLevel="0" collapsed="false">
      <c r="A885" s="218"/>
      <c r="B885" s="251"/>
      <c r="C885" s="251"/>
      <c r="D885" s="212" t="s">
        <v>4357</v>
      </c>
      <c r="E885" s="212" t="s">
        <v>4356</v>
      </c>
      <c r="F885" s="212" t="s">
        <v>120</v>
      </c>
      <c r="G885" s="250" t="n">
        <v>4.45</v>
      </c>
    </row>
    <row r="886" customFormat="false" ht="14.4" hidden="false" customHeight="false" outlineLevel="0" collapsed="false">
      <c r="A886" s="218"/>
      <c r="B886" s="251"/>
      <c r="C886" s="251"/>
      <c r="D886" s="261" t="s">
        <v>7162</v>
      </c>
      <c r="E886" s="224"/>
      <c r="F886" s="225"/>
      <c r="G886" s="217" t="n">
        <v>4.45</v>
      </c>
    </row>
    <row r="887" customFormat="false" ht="14.4" hidden="false" customHeight="false" outlineLevel="0" collapsed="false">
      <c r="A887" s="218"/>
      <c r="B887" s="251"/>
      <c r="C887" s="251"/>
      <c r="D887" s="249" t="s">
        <v>4030</v>
      </c>
      <c r="E887" s="212" t="s">
        <v>4233</v>
      </c>
      <c r="F887" s="212" t="s">
        <v>120</v>
      </c>
      <c r="G887" s="250" t="n">
        <v>2.78</v>
      </c>
    </row>
    <row r="888" customFormat="false" ht="14.4" hidden="false" customHeight="false" outlineLevel="0" collapsed="false">
      <c r="A888" s="218"/>
      <c r="B888" s="251"/>
      <c r="C888" s="251"/>
      <c r="D888" s="251"/>
      <c r="E888" s="212" t="s">
        <v>4238</v>
      </c>
      <c r="F888" s="212" t="s">
        <v>120</v>
      </c>
      <c r="G888" s="250" t="n">
        <v>2.99</v>
      </c>
    </row>
    <row r="889" customFormat="false" ht="14.4" hidden="false" customHeight="false" outlineLevel="0" collapsed="false">
      <c r="A889" s="218"/>
      <c r="B889" s="251"/>
      <c r="C889" s="251"/>
      <c r="D889" s="251"/>
      <c r="E889" s="212" t="s">
        <v>4242</v>
      </c>
      <c r="F889" s="212" t="s">
        <v>120</v>
      </c>
      <c r="G889" s="250" t="n">
        <v>3.31</v>
      </c>
    </row>
    <row r="890" customFormat="false" ht="14.4" hidden="false" customHeight="false" outlineLevel="0" collapsed="false">
      <c r="A890" s="218"/>
      <c r="B890" s="251"/>
      <c r="C890" s="251"/>
      <c r="D890" s="251"/>
      <c r="E890" s="212" t="s">
        <v>4245</v>
      </c>
      <c r="F890" s="212" t="s">
        <v>120</v>
      </c>
      <c r="G890" s="250" t="n">
        <v>2.97</v>
      </c>
    </row>
    <row r="891" customFormat="false" ht="14.4" hidden="false" customHeight="false" outlineLevel="0" collapsed="false">
      <c r="A891" s="218"/>
      <c r="B891" s="251"/>
      <c r="C891" s="251"/>
      <c r="D891" s="251"/>
      <c r="E891" s="212" t="s">
        <v>4257</v>
      </c>
      <c r="F891" s="212" t="s">
        <v>120</v>
      </c>
      <c r="G891" s="250" t="n">
        <v>47.5</v>
      </c>
    </row>
    <row r="892" customFormat="false" ht="14.4" hidden="false" customHeight="false" outlineLevel="0" collapsed="false">
      <c r="A892" s="218"/>
      <c r="B892" s="251"/>
      <c r="C892" s="251"/>
      <c r="D892" s="251"/>
      <c r="E892" s="212" t="s">
        <v>4270</v>
      </c>
      <c r="F892" s="212" t="s">
        <v>120</v>
      </c>
      <c r="G892" s="250" t="n">
        <v>48.34</v>
      </c>
    </row>
    <row r="893" customFormat="false" ht="14.4" hidden="false" customHeight="false" outlineLevel="0" collapsed="false">
      <c r="A893" s="218"/>
      <c r="B893" s="251"/>
      <c r="C893" s="251"/>
      <c r="D893" s="251"/>
      <c r="E893" s="212" t="s">
        <v>4532</v>
      </c>
      <c r="F893" s="212" t="s">
        <v>120</v>
      </c>
      <c r="G893" s="250" t="n">
        <v>43.9</v>
      </c>
    </row>
    <row r="894" customFormat="false" ht="14.4" hidden="false" customHeight="false" outlineLevel="0" collapsed="false">
      <c r="A894" s="218"/>
      <c r="B894" s="251"/>
      <c r="C894" s="251"/>
      <c r="D894" s="251"/>
      <c r="E894" s="212" t="s">
        <v>4554</v>
      </c>
      <c r="F894" s="212" t="s">
        <v>120</v>
      </c>
      <c r="G894" s="250" t="n">
        <v>36.64</v>
      </c>
    </row>
    <row r="895" customFormat="false" ht="14.4" hidden="false" customHeight="false" outlineLevel="0" collapsed="false">
      <c r="A895" s="218"/>
      <c r="B895" s="251"/>
      <c r="C895" s="251"/>
      <c r="D895" s="252"/>
      <c r="E895" s="212" t="s">
        <v>4681</v>
      </c>
      <c r="F895" s="212" t="s">
        <v>120</v>
      </c>
      <c r="G895" s="250" t="n">
        <v>907.56</v>
      </c>
    </row>
    <row r="896" customFormat="false" ht="14.4" hidden="false" customHeight="false" outlineLevel="0" collapsed="false">
      <c r="A896" s="218"/>
      <c r="B896" s="251"/>
      <c r="C896" s="251"/>
      <c r="D896" s="261" t="s">
        <v>7151</v>
      </c>
      <c r="E896" s="224"/>
      <c r="F896" s="225"/>
      <c r="G896" s="217" t="n">
        <v>1095.99</v>
      </c>
    </row>
    <row r="897" customFormat="false" ht="14.4" hidden="false" customHeight="false" outlineLevel="0" collapsed="false">
      <c r="A897" s="218"/>
      <c r="B897" s="251"/>
      <c r="C897" s="251"/>
      <c r="D897" s="249" t="s">
        <v>4223</v>
      </c>
      <c r="E897" s="212" t="s">
        <v>4222</v>
      </c>
      <c r="F897" s="212" t="s">
        <v>120</v>
      </c>
      <c r="G897" s="250" t="n">
        <v>158.7</v>
      </c>
    </row>
    <row r="898" customFormat="false" ht="14.4" hidden="false" customHeight="false" outlineLevel="0" collapsed="false">
      <c r="A898" s="218"/>
      <c r="B898" s="251"/>
      <c r="C898" s="251"/>
      <c r="D898" s="251"/>
      <c r="E898" s="212" t="s">
        <v>4253</v>
      </c>
      <c r="F898" s="212" t="s">
        <v>120</v>
      </c>
      <c r="G898" s="250" t="n">
        <v>128.72</v>
      </c>
    </row>
    <row r="899" customFormat="false" ht="14.4" hidden="false" customHeight="false" outlineLevel="0" collapsed="false">
      <c r="A899" s="218"/>
      <c r="B899" s="251"/>
      <c r="C899" s="251"/>
      <c r="D899" s="251"/>
      <c r="E899" s="212" t="s">
        <v>4261</v>
      </c>
      <c r="F899" s="212" t="s">
        <v>120</v>
      </c>
      <c r="G899" s="250" t="n">
        <v>44.38</v>
      </c>
    </row>
    <row r="900" customFormat="false" ht="14.4" hidden="false" customHeight="false" outlineLevel="0" collapsed="false">
      <c r="A900" s="218"/>
      <c r="B900" s="251"/>
      <c r="C900" s="251"/>
      <c r="D900" s="251"/>
      <c r="E900" s="212" t="s">
        <v>4266</v>
      </c>
      <c r="F900" s="212" t="s">
        <v>120</v>
      </c>
      <c r="G900" s="250" t="n">
        <v>83.86</v>
      </c>
    </row>
    <row r="901" customFormat="false" ht="14.4" hidden="false" customHeight="false" outlineLevel="0" collapsed="false">
      <c r="A901" s="218"/>
      <c r="B901" s="251"/>
      <c r="C901" s="251"/>
      <c r="D901" s="251"/>
      <c r="E901" s="212" t="s">
        <v>4273</v>
      </c>
      <c r="F901" s="212" t="s">
        <v>120</v>
      </c>
      <c r="G901" s="250" t="n">
        <v>42.58</v>
      </c>
    </row>
    <row r="902" customFormat="false" ht="14.4" hidden="false" customHeight="false" outlineLevel="0" collapsed="false">
      <c r="A902" s="218"/>
      <c r="B902" s="251"/>
      <c r="C902" s="251"/>
      <c r="D902" s="251"/>
      <c r="E902" s="212" t="s">
        <v>4283</v>
      </c>
      <c r="F902" s="212" t="s">
        <v>120</v>
      </c>
      <c r="G902" s="250" t="n">
        <v>57.04</v>
      </c>
    </row>
    <row r="903" customFormat="false" ht="14.4" hidden="false" customHeight="false" outlineLevel="0" collapsed="false">
      <c r="A903" s="218"/>
      <c r="B903" s="251"/>
      <c r="C903" s="251"/>
      <c r="D903" s="251"/>
      <c r="E903" s="212" t="s">
        <v>4286</v>
      </c>
      <c r="F903" s="212" t="s">
        <v>120</v>
      </c>
      <c r="G903" s="250" t="n">
        <v>42.56</v>
      </c>
    </row>
    <row r="904" customFormat="false" ht="14.4" hidden="false" customHeight="false" outlineLevel="0" collapsed="false">
      <c r="A904" s="218"/>
      <c r="B904" s="251"/>
      <c r="C904" s="251"/>
      <c r="D904" s="251"/>
      <c r="E904" s="212" t="s">
        <v>4457</v>
      </c>
      <c r="F904" s="212" t="s">
        <v>120</v>
      </c>
      <c r="G904" s="250" t="n">
        <v>32.81</v>
      </c>
    </row>
    <row r="905" customFormat="false" ht="14.4" hidden="false" customHeight="false" outlineLevel="0" collapsed="false">
      <c r="A905" s="218"/>
      <c r="B905" s="251"/>
      <c r="C905" s="251"/>
      <c r="D905" s="251"/>
      <c r="E905" s="212" t="s">
        <v>4460</v>
      </c>
      <c r="F905" s="212" t="s">
        <v>120</v>
      </c>
      <c r="G905" s="250" t="n">
        <v>48.67</v>
      </c>
    </row>
    <row r="906" customFormat="false" ht="14.4" hidden="false" customHeight="false" outlineLevel="0" collapsed="false">
      <c r="A906" s="218"/>
      <c r="B906" s="251"/>
      <c r="C906" s="251"/>
      <c r="D906" s="251"/>
      <c r="E906" s="212" t="s">
        <v>4464</v>
      </c>
      <c r="F906" s="212" t="s">
        <v>120</v>
      </c>
      <c r="G906" s="250" t="n">
        <v>38.84</v>
      </c>
    </row>
    <row r="907" customFormat="false" ht="14.4" hidden="false" customHeight="false" outlineLevel="0" collapsed="false">
      <c r="A907" s="218"/>
      <c r="B907" s="251"/>
      <c r="C907" s="251"/>
      <c r="D907" s="251"/>
      <c r="E907" s="212" t="s">
        <v>4474</v>
      </c>
      <c r="F907" s="212" t="s">
        <v>120</v>
      </c>
      <c r="G907" s="250" t="n">
        <v>76.5</v>
      </c>
    </row>
    <row r="908" customFormat="false" ht="14.4" hidden="false" customHeight="false" outlineLevel="0" collapsed="false">
      <c r="A908" s="218"/>
      <c r="B908" s="251"/>
      <c r="C908" s="251"/>
      <c r="D908" s="252"/>
      <c r="E908" s="212" t="s">
        <v>4481</v>
      </c>
      <c r="F908" s="212" t="s">
        <v>120</v>
      </c>
      <c r="G908" s="250" t="n">
        <v>88.42</v>
      </c>
    </row>
    <row r="909" customFormat="false" ht="14.4" hidden="false" customHeight="false" outlineLevel="0" collapsed="false">
      <c r="A909" s="218"/>
      <c r="B909" s="251"/>
      <c r="C909" s="251"/>
      <c r="D909" s="261" t="s">
        <v>7163</v>
      </c>
      <c r="E909" s="224"/>
      <c r="F909" s="225"/>
      <c r="G909" s="217" t="n">
        <v>843.08</v>
      </c>
    </row>
    <row r="910" customFormat="false" ht="14.4" hidden="false" customHeight="false" outlineLevel="0" collapsed="false">
      <c r="A910" s="218"/>
      <c r="B910" s="251"/>
      <c r="C910" s="251"/>
      <c r="D910" s="249" t="s">
        <v>4738</v>
      </c>
      <c r="E910" s="212" t="s">
        <v>4737</v>
      </c>
      <c r="F910" s="212" t="s">
        <v>120</v>
      </c>
      <c r="G910" s="250" t="n">
        <v>46.85</v>
      </c>
    </row>
    <row r="911" customFormat="false" ht="14.4" hidden="false" customHeight="false" outlineLevel="0" collapsed="false">
      <c r="A911" s="218"/>
      <c r="B911" s="251"/>
      <c r="C911" s="251"/>
      <c r="D911" s="252"/>
      <c r="E911" s="212" t="s">
        <v>4759</v>
      </c>
      <c r="F911" s="212" t="s">
        <v>120</v>
      </c>
      <c r="G911" s="250" t="n">
        <v>22.33</v>
      </c>
    </row>
    <row r="912" customFormat="false" ht="14.4" hidden="false" customHeight="false" outlineLevel="0" collapsed="false">
      <c r="A912" s="218"/>
      <c r="B912" s="251"/>
      <c r="C912" s="251"/>
      <c r="D912" s="261" t="s">
        <v>7164</v>
      </c>
      <c r="E912" s="224"/>
      <c r="F912" s="225"/>
      <c r="G912" s="217" t="n">
        <v>69.18</v>
      </c>
    </row>
    <row r="913" customFormat="false" ht="14.4" hidden="false" customHeight="false" outlineLevel="0" collapsed="false">
      <c r="A913" s="218"/>
      <c r="B913" s="251"/>
      <c r="C913" s="251"/>
      <c r="D913" s="249" t="s">
        <v>4452</v>
      </c>
      <c r="E913" s="212" t="s">
        <v>4493</v>
      </c>
      <c r="F913" s="212" t="s">
        <v>120</v>
      </c>
      <c r="G913" s="250" t="n">
        <v>42.39</v>
      </c>
    </row>
    <row r="914" customFormat="false" ht="14.4" hidden="false" customHeight="false" outlineLevel="0" collapsed="false">
      <c r="A914" s="218"/>
      <c r="B914" s="251"/>
      <c r="C914" s="251"/>
      <c r="D914" s="252"/>
      <c r="E914" s="212" t="s">
        <v>4508</v>
      </c>
      <c r="F914" s="212" t="s">
        <v>120</v>
      </c>
      <c r="G914" s="250" t="n">
        <v>108.87</v>
      </c>
    </row>
    <row r="915" customFormat="false" ht="14.4" hidden="false" customHeight="false" outlineLevel="0" collapsed="false">
      <c r="A915" s="218"/>
      <c r="B915" s="251"/>
      <c r="C915" s="251"/>
      <c r="D915" s="261" t="s">
        <v>7080</v>
      </c>
      <c r="E915" s="224"/>
      <c r="F915" s="225"/>
      <c r="G915" s="217" t="n">
        <v>151.26</v>
      </c>
    </row>
    <row r="916" customFormat="false" ht="14.4" hidden="false" customHeight="false" outlineLevel="0" collapsed="false">
      <c r="A916" s="218"/>
      <c r="B916" s="251"/>
      <c r="C916" s="251"/>
      <c r="D916" s="249" t="s">
        <v>4015</v>
      </c>
      <c r="E916" s="212" t="s">
        <v>4432</v>
      </c>
      <c r="F916" s="212" t="s">
        <v>120</v>
      </c>
      <c r="G916" s="250" t="n">
        <v>62.84</v>
      </c>
    </row>
    <row r="917" customFormat="false" ht="14.4" hidden="false" customHeight="false" outlineLevel="0" collapsed="false">
      <c r="A917" s="218"/>
      <c r="B917" s="251"/>
      <c r="C917" s="251"/>
      <c r="D917" s="251"/>
      <c r="E917" s="212" t="s">
        <v>4548</v>
      </c>
      <c r="F917" s="212" t="s">
        <v>120</v>
      </c>
      <c r="G917" s="250" t="n">
        <v>3.45</v>
      </c>
    </row>
    <row r="918" customFormat="false" ht="14.4" hidden="false" customHeight="false" outlineLevel="0" collapsed="false">
      <c r="A918" s="218"/>
      <c r="B918" s="251"/>
      <c r="C918" s="251"/>
      <c r="D918" s="251"/>
      <c r="E918" s="212" t="s">
        <v>4559</v>
      </c>
      <c r="F918" s="212" t="s">
        <v>120</v>
      </c>
      <c r="G918" s="250" t="n">
        <v>29.28</v>
      </c>
    </row>
    <row r="919" customFormat="false" ht="14.4" hidden="false" customHeight="false" outlineLevel="0" collapsed="false">
      <c r="A919" s="218"/>
      <c r="B919" s="251"/>
      <c r="C919" s="251"/>
      <c r="D919" s="251"/>
      <c r="E919" s="212" t="s">
        <v>4616</v>
      </c>
      <c r="F919" s="212" t="s">
        <v>120</v>
      </c>
      <c r="G919" s="250" t="n">
        <v>247.4</v>
      </c>
    </row>
    <row r="920" customFormat="false" ht="14.4" hidden="false" customHeight="false" outlineLevel="0" collapsed="false">
      <c r="A920" s="218"/>
      <c r="B920" s="251"/>
      <c r="C920" s="251"/>
      <c r="D920" s="252"/>
      <c r="E920" s="212" t="s">
        <v>4636</v>
      </c>
      <c r="F920" s="212" t="s">
        <v>120</v>
      </c>
      <c r="G920" s="250" t="n">
        <v>38.34</v>
      </c>
    </row>
    <row r="921" customFormat="false" ht="14.4" hidden="false" customHeight="false" outlineLevel="0" collapsed="false">
      <c r="A921" s="218"/>
      <c r="B921" s="251"/>
      <c r="C921" s="251"/>
      <c r="D921" s="261" t="s">
        <v>7154</v>
      </c>
      <c r="E921" s="224"/>
      <c r="F921" s="225"/>
      <c r="G921" s="217" t="n">
        <v>381.31</v>
      </c>
    </row>
    <row r="922" customFormat="false" ht="14.4" hidden="false" customHeight="false" outlineLevel="0" collapsed="false">
      <c r="A922" s="218"/>
      <c r="B922" s="251"/>
      <c r="C922" s="251"/>
      <c r="D922" s="249" t="s">
        <v>4435</v>
      </c>
      <c r="E922" s="212" t="s">
        <v>4434</v>
      </c>
      <c r="F922" s="212" t="s">
        <v>120</v>
      </c>
      <c r="G922" s="250" t="n">
        <v>91.16</v>
      </c>
    </row>
    <row r="923" customFormat="false" ht="14.4" hidden="false" customHeight="false" outlineLevel="0" collapsed="false">
      <c r="A923" s="218"/>
      <c r="B923" s="251"/>
      <c r="C923" s="251"/>
      <c r="D923" s="251"/>
      <c r="E923" s="212" t="s">
        <v>4447</v>
      </c>
      <c r="F923" s="212" t="s">
        <v>120</v>
      </c>
      <c r="G923" s="250" t="n">
        <v>81.68</v>
      </c>
    </row>
    <row r="924" customFormat="false" ht="14.4" hidden="false" customHeight="false" outlineLevel="0" collapsed="false">
      <c r="A924" s="218"/>
      <c r="B924" s="251"/>
      <c r="C924" s="251"/>
      <c r="D924" s="252"/>
      <c r="E924" s="212" t="s">
        <v>4581</v>
      </c>
      <c r="F924" s="212" t="s">
        <v>120</v>
      </c>
      <c r="G924" s="250" t="n">
        <v>104.55</v>
      </c>
    </row>
    <row r="925" customFormat="false" ht="14.4" hidden="false" customHeight="false" outlineLevel="0" collapsed="false">
      <c r="A925" s="218"/>
      <c r="B925" s="251"/>
      <c r="C925" s="251"/>
      <c r="D925" s="261" t="s">
        <v>7165</v>
      </c>
      <c r="E925" s="224"/>
      <c r="F925" s="225"/>
      <c r="G925" s="217" t="n">
        <v>277.39</v>
      </c>
    </row>
    <row r="926" customFormat="false" ht="14.4" hidden="false" customHeight="false" outlineLevel="0" collapsed="false">
      <c r="A926" s="218"/>
      <c r="B926" s="251"/>
      <c r="C926" s="251"/>
      <c r="D926" s="212" t="s">
        <v>4009</v>
      </c>
      <c r="E926" s="212" t="s">
        <v>4371</v>
      </c>
      <c r="F926" s="212" t="s">
        <v>120</v>
      </c>
      <c r="G926" s="250" t="n">
        <v>1.14</v>
      </c>
    </row>
    <row r="927" customFormat="false" ht="14.4" hidden="false" customHeight="false" outlineLevel="0" collapsed="false">
      <c r="A927" s="218"/>
      <c r="B927" s="251"/>
      <c r="C927" s="251"/>
      <c r="D927" s="261" t="s">
        <v>7157</v>
      </c>
      <c r="E927" s="224"/>
      <c r="F927" s="225"/>
      <c r="G927" s="217" t="n">
        <v>1.14</v>
      </c>
    </row>
    <row r="928" customFormat="false" ht="14.4" hidden="false" customHeight="false" outlineLevel="0" collapsed="false">
      <c r="A928" s="218"/>
      <c r="B928" s="251"/>
      <c r="C928" s="251"/>
      <c r="D928" s="212" t="s">
        <v>4377</v>
      </c>
      <c r="E928" s="212" t="s">
        <v>4376</v>
      </c>
      <c r="F928" s="212" t="s">
        <v>120</v>
      </c>
      <c r="G928" s="250" t="n">
        <v>81.2</v>
      </c>
    </row>
    <row r="929" customFormat="false" ht="14.4" hidden="false" customHeight="false" outlineLevel="0" collapsed="false">
      <c r="A929" s="218"/>
      <c r="B929" s="251"/>
      <c r="C929" s="251"/>
      <c r="D929" s="261" t="s">
        <v>7166</v>
      </c>
      <c r="E929" s="224"/>
      <c r="F929" s="225"/>
      <c r="G929" s="217" t="n">
        <v>81.2</v>
      </c>
    </row>
    <row r="930" customFormat="false" ht="14.4" hidden="false" customHeight="false" outlineLevel="0" collapsed="false">
      <c r="A930" s="218"/>
      <c r="B930" s="251"/>
      <c r="C930" s="251"/>
      <c r="D930" s="249" t="s">
        <v>2323</v>
      </c>
      <c r="E930" s="212" t="s">
        <v>4229</v>
      </c>
      <c r="F930" s="212" t="s">
        <v>120</v>
      </c>
      <c r="G930" s="250" t="n">
        <v>49.54</v>
      </c>
    </row>
    <row r="931" customFormat="false" ht="14.4" hidden="false" customHeight="false" outlineLevel="0" collapsed="false">
      <c r="A931" s="218"/>
      <c r="B931" s="251"/>
      <c r="C931" s="251"/>
      <c r="D931" s="251"/>
      <c r="E931" s="212" t="s">
        <v>4250</v>
      </c>
      <c r="F931" s="212" t="s">
        <v>120</v>
      </c>
      <c r="G931" s="250" t="n">
        <v>6.66</v>
      </c>
    </row>
    <row r="932" customFormat="false" ht="14.4" hidden="false" customHeight="false" outlineLevel="0" collapsed="false">
      <c r="A932" s="218"/>
      <c r="B932" s="251"/>
      <c r="C932" s="251"/>
      <c r="D932" s="252"/>
      <c r="E932" s="212" t="s">
        <v>4259</v>
      </c>
      <c r="F932" s="212" t="s">
        <v>120</v>
      </c>
      <c r="G932" s="250" t="n">
        <v>55.2</v>
      </c>
    </row>
    <row r="933" customFormat="false" ht="14.4" hidden="false" customHeight="false" outlineLevel="0" collapsed="false">
      <c r="A933" s="218"/>
      <c r="B933" s="251"/>
      <c r="C933" s="251"/>
      <c r="D933" s="261" t="s">
        <v>7108</v>
      </c>
      <c r="E933" s="224"/>
      <c r="F933" s="225"/>
      <c r="G933" s="217" t="n">
        <v>111.4</v>
      </c>
    </row>
    <row r="934" customFormat="false" ht="14.4" hidden="false" customHeight="false" outlineLevel="0" collapsed="false">
      <c r="A934" s="218"/>
      <c r="B934" s="251"/>
      <c r="C934" s="251"/>
      <c r="D934" s="249" t="s">
        <v>7055</v>
      </c>
      <c r="E934" s="212" t="s">
        <v>4247</v>
      </c>
      <c r="F934" s="212" t="s">
        <v>120</v>
      </c>
      <c r="G934" s="250" t="n">
        <v>8.36</v>
      </c>
    </row>
    <row r="935" customFormat="false" ht="14.4" hidden="false" customHeight="false" outlineLevel="0" collapsed="false">
      <c r="A935" s="218"/>
      <c r="B935" s="251"/>
      <c r="C935" s="251"/>
      <c r="D935" s="251"/>
      <c r="E935" s="212" t="s">
        <v>4392</v>
      </c>
      <c r="F935" s="212" t="s">
        <v>120</v>
      </c>
      <c r="G935" s="250" t="n">
        <v>10.69</v>
      </c>
    </row>
    <row r="936" customFormat="false" ht="14.4" hidden="false" customHeight="false" outlineLevel="0" collapsed="false">
      <c r="A936" s="218"/>
      <c r="B936" s="251"/>
      <c r="C936" s="251"/>
      <c r="D936" s="251"/>
      <c r="E936" s="212" t="s">
        <v>4406</v>
      </c>
      <c r="F936" s="212" t="s">
        <v>120</v>
      </c>
      <c r="G936" s="250" t="n">
        <v>43.93</v>
      </c>
    </row>
    <row r="937" customFormat="false" ht="14.4" hidden="false" customHeight="false" outlineLevel="0" collapsed="false">
      <c r="A937" s="218"/>
      <c r="B937" s="251"/>
      <c r="C937" s="251"/>
      <c r="D937" s="251"/>
      <c r="E937" s="212" t="s">
        <v>4478</v>
      </c>
      <c r="F937" s="212" t="s">
        <v>120</v>
      </c>
      <c r="G937" s="250" t="n">
        <v>43.47</v>
      </c>
    </row>
    <row r="938" customFormat="false" ht="14.4" hidden="false" customHeight="false" outlineLevel="0" collapsed="false">
      <c r="A938" s="218"/>
      <c r="B938" s="251"/>
      <c r="C938" s="251"/>
      <c r="D938" s="251"/>
      <c r="E938" s="212" t="s">
        <v>4489</v>
      </c>
      <c r="F938" s="212" t="s">
        <v>120</v>
      </c>
      <c r="G938" s="250" t="n">
        <v>6.05</v>
      </c>
    </row>
    <row r="939" customFormat="false" ht="14.4" hidden="false" customHeight="false" outlineLevel="0" collapsed="false">
      <c r="A939" s="218"/>
      <c r="B939" s="251"/>
      <c r="C939" s="251"/>
      <c r="D939" s="251"/>
      <c r="E939" s="212" t="s">
        <v>4504</v>
      </c>
      <c r="F939" s="212" t="s">
        <v>120</v>
      </c>
      <c r="G939" s="250" t="n">
        <v>144.08</v>
      </c>
    </row>
    <row r="940" customFormat="false" ht="14.4" hidden="false" customHeight="false" outlineLevel="0" collapsed="false">
      <c r="A940" s="218"/>
      <c r="B940" s="251"/>
      <c r="C940" s="251"/>
      <c r="D940" s="251"/>
      <c r="E940" s="212" t="s">
        <v>4511</v>
      </c>
      <c r="F940" s="212" t="s">
        <v>120</v>
      </c>
      <c r="G940" s="250" t="n">
        <v>47.3</v>
      </c>
    </row>
    <row r="941" customFormat="false" ht="14.4" hidden="false" customHeight="false" outlineLevel="0" collapsed="false">
      <c r="A941" s="218"/>
      <c r="B941" s="251"/>
      <c r="C941" s="251"/>
      <c r="D941" s="251"/>
      <c r="E941" s="212" t="s">
        <v>4514</v>
      </c>
      <c r="F941" s="212" t="s">
        <v>120</v>
      </c>
      <c r="G941" s="250" t="n">
        <v>38.27</v>
      </c>
    </row>
    <row r="942" customFormat="false" ht="14.4" hidden="false" customHeight="false" outlineLevel="0" collapsed="false">
      <c r="A942" s="218"/>
      <c r="B942" s="251"/>
      <c r="C942" s="251"/>
      <c r="D942" s="251"/>
      <c r="E942" s="212" t="s">
        <v>4518</v>
      </c>
      <c r="F942" s="212" t="s">
        <v>120</v>
      </c>
      <c r="G942" s="250" t="n">
        <v>57.64</v>
      </c>
    </row>
    <row r="943" customFormat="false" ht="14.4" hidden="false" customHeight="false" outlineLevel="0" collapsed="false">
      <c r="A943" s="218"/>
      <c r="B943" s="251"/>
      <c r="C943" s="251"/>
      <c r="D943" s="251"/>
      <c r="E943" s="212" t="s">
        <v>4523</v>
      </c>
      <c r="F943" s="212" t="s">
        <v>120</v>
      </c>
      <c r="G943" s="250" t="n">
        <v>1.4</v>
      </c>
    </row>
    <row r="944" customFormat="false" ht="14.4" hidden="false" customHeight="false" outlineLevel="0" collapsed="false">
      <c r="A944" s="218"/>
      <c r="B944" s="251"/>
      <c r="C944" s="251"/>
      <c r="D944" s="251"/>
      <c r="E944" s="212" t="s">
        <v>4526</v>
      </c>
      <c r="F944" s="212" t="s">
        <v>120</v>
      </c>
      <c r="G944" s="250" t="n">
        <v>28.68</v>
      </c>
    </row>
    <row r="945" customFormat="false" ht="14.4" hidden="false" customHeight="false" outlineLevel="0" collapsed="false">
      <c r="A945" s="218"/>
      <c r="B945" s="251"/>
      <c r="C945" s="251"/>
      <c r="D945" s="251"/>
      <c r="E945" s="212" t="s">
        <v>4562</v>
      </c>
      <c r="F945" s="212" t="s">
        <v>120</v>
      </c>
      <c r="G945" s="250" t="n">
        <v>41.77</v>
      </c>
    </row>
    <row r="946" customFormat="false" ht="14.4" hidden="false" customHeight="false" outlineLevel="0" collapsed="false">
      <c r="A946" s="218"/>
      <c r="B946" s="251"/>
      <c r="C946" s="251"/>
      <c r="D946" s="251"/>
      <c r="E946" s="212" t="s">
        <v>4597</v>
      </c>
      <c r="F946" s="212" t="s">
        <v>120</v>
      </c>
      <c r="G946" s="250" t="n">
        <v>78.6</v>
      </c>
    </row>
    <row r="947" customFormat="false" ht="14.4" hidden="false" customHeight="false" outlineLevel="0" collapsed="false">
      <c r="A947" s="218"/>
      <c r="B947" s="251"/>
      <c r="C947" s="251"/>
      <c r="D947" s="252"/>
      <c r="E947" s="212" t="s">
        <v>4690</v>
      </c>
      <c r="F947" s="212" t="s">
        <v>120</v>
      </c>
      <c r="G947" s="250" t="n">
        <v>101.37</v>
      </c>
    </row>
    <row r="948" customFormat="false" ht="14.4" hidden="false" customHeight="false" outlineLevel="0" collapsed="false">
      <c r="A948" s="218"/>
      <c r="B948" s="251"/>
      <c r="C948" s="252"/>
      <c r="D948" s="261" t="s">
        <v>7060</v>
      </c>
      <c r="E948" s="224"/>
      <c r="F948" s="225"/>
      <c r="G948" s="217" t="n">
        <v>651.61</v>
      </c>
    </row>
    <row r="949" customFormat="false" ht="14.4" hidden="false" customHeight="false" outlineLevel="0" collapsed="false">
      <c r="A949" s="218"/>
      <c r="B949" s="251"/>
      <c r="C949" s="249" t="s">
        <v>3938</v>
      </c>
      <c r="D949" s="249" t="s">
        <v>1952</v>
      </c>
      <c r="E949" s="212" t="s">
        <v>4639</v>
      </c>
      <c r="F949" s="212" t="s">
        <v>120</v>
      </c>
      <c r="G949" s="250" t="n">
        <v>102.8</v>
      </c>
    </row>
    <row r="950" customFormat="false" ht="14.4" hidden="false" customHeight="false" outlineLevel="0" collapsed="false">
      <c r="A950" s="218"/>
      <c r="B950" s="251"/>
      <c r="C950" s="251"/>
      <c r="D950" s="251"/>
      <c r="E950" s="212" t="s">
        <v>4670</v>
      </c>
      <c r="F950" s="212" t="s">
        <v>120</v>
      </c>
      <c r="G950" s="250" t="n">
        <v>49.84</v>
      </c>
    </row>
    <row r="951" customFormat="false" ht="14.4" hidden="false" customHeight="false" outlineLevel="0" collapsed="false">
      <c r="A951" s="218"/>
      <c r="B951" s="251"/>
      <c r="C951" s="251"/>
      <c r="D951" s="251"/>
      <c r="E951" s="212" t="s">
        <v>4677</v>
      </c>
      <c r="F951" s="212" t="s">
        <v>120</v>
      </c>
      <c r="G951" s="250" t="n">
        <v>66.44</v>
      </c>
    </row>
    <row r="952" customFormat="false" ht="14.4" hidden="false" customHeight="false" outlineLevel="0" collapsed="false">
      <c r="A952" s="218"/>
      <c r="B952" s="251"/>
      <c r="C952" s="251"/>
      <c r="D952" s="251"/>
      <c r="E952" s="212" t="s">
        <v>4700</v>
      </c>
      <c r="F952" s="212" t="s">
        <v>120</v>
      </c>
      <c r="G952" s="250" t="n">
        <v>74.84</v>
      </c>
    </row>
    <row r="953" customFormat="false" ht="14.4" hidden="false" customHeight="false" outlineLevel="0" collapsed="false">
      <c r="A953" s="218"/>
      <c r="B953" s="251"/>
      <c r="C953" s="251"/>
      <c r="D953" s="251"/>
      <c r="E953" s="212" t="s">
        <v>4711</v>
      </c>
      <c r="F953" s="212" t="s">
        <v>120</v>
      </c>
      <c r="G953" s="250" t="n">
        <v>43.71</v>
      </c>
    </row>
    <row r="954" customFormat="false" ht="14.4" hidden="false" customHeight="false" outlineLevel="0" collapsed="false">
      <c r="A954" s="218"/>
      <c r="B954" s="251"/>
      <c r="C954" s="251"/>
      <c r="D954" s="251"/>
      <c r="E954" s="212" t="s">
        <v>4715</v>
      </c>
      <c r="F954" s="212" t="s">
        <v>120</v>
      </c>
      <c r="G954" s="250" t="n">
        <v>22.07</v>
      </c>
    </row>
    <row r="955" customFormat="false" ht="14.4" hidden="false" customHeight="false" outlineLevel="0" collapsed="false">
      <c r="A955" s="218"/>
      <c r="B955" s="251"/>
      <c r="C955" s="251"/>
      <c r="D955" s="252"/>
      <c r="E955" s="212" t="s">
        <v>4718</v>
      </c>
      <c r="F955" s="212" t="s">
        <v>120</v>
      </c>
      <c r="G955" s="250" t="n">
        <v>19.42</v>
      </c>
    </row>
    <row r="956" customFormat="false" ht="14.4" hidden="false" customHeight="false" outlineLevel="0" collapsed="false">
      <c r="A956" s="218"/>
      <c r="B956" s="251"/>
      <c r="C956" s="251"/>
      <c r="D956" s="261" t="s">
        <v>7087</v>
      </c>
      <c r="E956" s="224"/>
      <c r="F956" s="225"/>
      <c r="G956" s="217" t="n">
        <v>379.12</v>
      </c>
    </row>
    <row r="957" customFormat="false" ht="14.4" hidden="false" customHeight="false" outlineLevel="0" collapsed="false">
      <c r="A957" s="218"/>
      <c r="B957" s="251"/>
      <c r="C957" s="251"/>
      <c r="D957" s="249" t="s">
        <v>2524</v>
      </c>
      <c r="E957" s="212" t="s">
        <v>4585</v>
      </c>
      <c r="F957" s="212" t="s">
        <v>120</v>
      </c>
      <c r="G957" s="250" t="n">
        <v>58.87</v>
      </c>
    </row>
    <row r="958" customFormat="false" ht="14.4" hidden="false" customHeight="false" outlineLevel="0" collapsed="false">
      <c r="A958" s="218"/>
      <c r="B958" s="251"/>
      <c r="C958" s="251"/>
      <c r="D958" s="251"/>
      <c r="E958" s="212" t="s">
        <v>4608</v>
      </c>
      <c r="F958" s="212" t="s">
        <v>120</v>
      </c>
      <c r="G958" s="250" t="n">
        <v>62.93</v>
      </c>
    </row>
    <row r="959" customFormat="false" ht="14.4" hidden="false" customHeight="false" outlineLevel="0" collapsed="false">
      <c r="A959" s="218"/>
      <c r="B959" s="251"/>
      <c r="C959" s="251"/>
      <c r="D959" s="251"/>
      <c r="E959" s="212" t="s">
        <v>4620</v>
      </c>
      <c r="F959" s="212" t="s">
        <v>120</v>
      </c>
      <c r="G959" s="250" t="n">
        <v>114.75</v>
      </c>
    </row>
    <row r="960" customFormat="false" ht="14.4" hidden="false" customHeight="false" outlineLevel="0" collapsed="false">
      <c r="A960" s="218"/>
      <c r="B960" s="251"/>
      <c r="C960" s="251"/>
      <c r="D960" s="251"/>
      <c r="E960" s="212" t="s">
        <v>4651</v>
      </c>
      <c r="F960" s="212" t="s">
        <v>120</v>
      </c>
      <c r="G960" s="250" t="n">
        <v>138.68</v>
      </c>
    </row>
    <row r="961" customFormat="false" ht="14.4" hidden="false" customHeight="false" outlineLevel="0" collapsed="false">
      <c r="A961" s="218"/>
      <c r="B961" s="251"/>
      <c r="C961" s="251"/>
      <c r="D961" s="252"/>
      <c r="E961" s="212" t="s">
        <v>4683</v>
      </c>
      <c r="F961" s="212" t="s">
        <v>120</v>
      </c>
      <c r="G961" s="250" t="n">
        <v>47.37</v>
      </c>
    </row>
    <row r="962" customFormat="false" ht="14.4" hidden="false" customHeight="false" outlineLevel="0" collapsed="false">
      <c r="A962" s="218"/>
      <c r="B962" s="251"/>
      <c r="C962" s="251"/>
      <c r="D962" s="261" t="s">
        <v>7111</v>
      </c>
      <c r="E962" s="224"/>
      <c r="F962" s="225"/>
      <c r="G962" s="217" t="n">
        <v>422.6</v>
      </c>
    </row>
    <row r="963" customFormat="false" ht="14.4" hidden="false" customHeight="false" outlineLevel="0" collapsed="false">
      <c r="A963" s="218"/>
      <c r="B963" s="251"/>
      <c r="C963" s="251"/>
      <c r="D963" s="249" t="s">
        <v>2117</v>
      </c>
      <c r="E963" s="212" t="s">
        <v>4399</v>
      </c>
      <c r="F963" s="212" t="s">
        <v>120</v>
      </c>
      <c r="G963" s="250" t="n">
        <v>15.98</v>
      </c>
    </row>
    <row r="964" customFormat="false" ht="14.4" hidden="false" customHeight="false" outlineLevel="0" collapsed="false">
      <c r="A964" s="218"/>
      <c r="B964" s="251"/>
      <c r="C964" s="251"/>
      <c r="D964" s="251"/>
      <c r="E964" s="212" t="s">
        <v>4408</v>
      </c>
      <c r="F964" s="212" t="s">
        <v>120</v>
      </c>
      <c r="G964" s="250" t="n">
        <v>17.57</v>
      </c>
    </row>
    <row r="965" customFormat="false" ht="14.4" hidden="false" customHeight="false" outlineLevel="0" collapsed="false">
      <c r="A965" s="218"/>
      <c r="B965" s="251"/>
      <c r="C965" s="251"/>
      <c r="D965" s="251"/>
      <c r="E965" s="212" t="s">
        <v>4412</v>
      </c>
      <c r="F965" s="212" t="s">
        <v>120</v>
      </c>
      <c r="G965" s="250" t="n">
        <v>59.78</v>
      </c>
    </row>
    <row r="966" customFormat="false" ht="14.4" hidden="false" customHeight="false" outlineLevel="0" collapsed="false">
      <c r="A966" s="218"/>
      <c r="B966" s="251"/>
      <c r="C966" s="251"/>
      <c r="D966" s="251"/>
      <c r="E966" s="212" t="s">
        <v>4421</v>
      </c>
      <c r="F966" s="212" t="s">
        <v>120</v>
      </c>
      <c r="G966" s="250" t="n">
        <v>4.88</v>
      </c>
    </row>
    <row r="967" customFormat="false" ht="14.4" hidden="false" customHeight="false" outlineLevel="0" collapsed="false">
      <c r="A967" s="218"/>
      <c r="B967" s="251"/>
      <c r="C967" s="251"/>
      <c r="D967" s="251"/>
      <c r="E967" s="212" t="s">
        <v>4425</v>
      </c>
      <c r="F967" s="212" t="s">
        <v>120</v>
      </c>
      <c r="G967" s="250" t="n">
        <v>139.96</v>
      </c>
    </row>
    <row r="968" customFormat="false" ht="14.4" hidden="false" customHeight="false" outlineLevel="0" collapsed="false">
      <c r="A968" s="218"/>
      <c r="B968" s="251"/>
      <c r="C968" s="251"/>
      <c r="D968" s="251"/>
      <c r="E968" s="212" t="s">
        <v>4428</v>
      </c>
      <c r="F968" s="212" t="s">
        <v>120</v>
      </c>
      <c r="G968" s="250" t="n">
        <v>0.73</v>
      </c>
    </row>
    <row r="969" customFormat="false" ht="14.4" hidden="false" customHeight="false" outlineLevel="0" collapsed="false">
      <c r="A969" s="218"/>
      <c r="B969" s="251"/>
      <c r="C969" s="251"/>
      <c r="D969" s="251"/>
      <c r="E969" s="212" t="s">
        <v>4439</v>
      </c>
      <c r="F969" s="212" t="s">
        <v>120</v>
      </c>
      <c r="G969" s="250" t="n">
        <v>14.49</v>
      </c>
    </row>
    <row r="970" customFormat="false" ht="14.4" hidden="false" customHeight="false" outlineLevel="0" collapsed="false">
      <c r="A970" s="218"/>
      <c r="B970" s="251"/>
      <c r="C970" s="251"/>
      <c r="D970" s="252"/>
      <c r="E970" s="212" t="s">
        <v>4541</v>
      </c>
      <c r="F970" s="212" t="s">
        <v>120</v>
      </c>
      <c r="G970" s="250" t="n">
        <v>91.46</v>
      </c>
    </row>
    <row r="971" customFormat="false" ht="14.4" hidden="false" customHeight="false" outlineLevel="0" collapsed="false">
      <c r="A971" s="218"/>
      <c r="B971" s="251"/>
      <c r="C971" s="251"/>
      <c r="D971" s="261" t="s">
        <v>7083</v>
      </c>
      <c r="E971" s="224"/>
      <c r="F971" s="225"/>
      <c r="G971" s="217" t="n">
        <v>344.85</v>
      </c>
    </row>
    <row r="972" customFormat="false" ht="14.4" hidden="false" customHeight="false" outlineLevel="0" collapsed="false">
      <c r="A972" s="218"/>
      <c r="B972" s="251"/>
      <c r="C972" s="251"/>
      <c r="D972" s="249" t="s">
        <v>4756</v>
      </c>
      <c r="E972" s="212" t="s">
        <v>4755</v>
      </c>
      <c r="F972" s="212" t="s">
        <v>120</v>
      </c>
      <c r="G972" s="250" t="n">
        <v>227.74</v>
      </c>
    </row>
    <row r="973" customFormat="false" ht="14.4" hidden="false" customHeight="false" outlineLevel="0" collapsed="false">
      <c r="A973" s="218"/>
      <c r="B973" s="251"/>
      <c r="C973" s="251"/>
      <c r="D973" s="251"/>
      <c r="E973" s="212" t="s">
        <v>4763</v>
      </c>
      <c r="F973" s="212" t="s">
        <v>120</v>
      </c>
      <c r="G973" s="250" t="n">
        <v>1.22</v>
      </c>
    </row>
    <row r="974" customFormat="false" ht="14.4" hidden="false" customHeight="false" outlineLevel="0" collapsed="false">
      <c r="A974" s="218"/>
      <c r="B974" s="251"/>
      <c r="C974" s="251"/>
      <c r="D974" s="251"/>
      <c r="E974" s="212" t="s">
        <v>4779</v>
      </c>
      <c r="F974" s="212" t="s">
        <v>120</v>
      </c>
      <c r="G974" s="250" t="n">
        <v>63.78</v>
      </c>
    </row>
    <row r="975" customFormat="false" ht="14.4" hidden="false" customHeight="false" outlineLevel="0" collapsed="false">
      <c r="A975" s="218"/>
      <c r="B975" s="251"/>
      <c r="C975" s="251"/>
      <c r="D975" s="251"/>
      <c r="E975" s="212" t="s">
        <v>4786</v>
      </c>
      <c r="F975" s="212" t="s">
        <v>120</v>
      </c>
      <c r="G975" s="250" t="n">
        <v>9.03</v>
      </c>
    </row>
    <row r="976" customFormat="false" ht="14.4" hidden="false" customHeight="false" outlineLevel="0" collapsed="false">
      <c r="A976" s="218"/>
      <c r="B976" s="251"/>
      <c r="C976" s="251"/>
      <c r="D976" s="251"/>
      <c r="E976" s="212" t="s">
        <v>4789</v>
      </c>
      <c r="F976" s="212" t="s">
        <v>120</v>
      </c>
      <c r="G976" s="250" t="n">
        <v>26.18</v>
      </c>
    </row>
    <row r="977" customFormat="false" ht="14.4" hidden="false" customHeight="false" outlineLevel="0" collapsed="false">
      <c r="A977" s="218"/>
      <c r="B977" s="251"/>
      <c r="C977" s="251"/>
      <c r="D977" s="252"/>
      <c r="E977" s="212" t="s">
        <v>4797</v>
      </c>
      <c r="F977" s="212" t="s">
        <v>120</v>
      </c>
      <c r="G977" s="250" t="n">
        <v>65.48</v>
      </c>
    </row>
    <row r="978" customFormat="false" ht="14.4" hidden="false" customHeight="false" outlineLevel="0" collapsed="false">
      <c r="A978" s="218"/>
      <c r="B978" s="251"/>
      <c r="C978" s="251"/>
      <c r="D978" s="261" t="s">
        <v>7167</v>
      </c>
      <c r="E978" s="224"/>
      <c r="F978" s="225"/>
      <c r="G978" s="217" t="n">
        <v>393.43</v>
      </c>
    </row>
    <row r="979" customFormat="false" ht="14.4" hidden="false" customHeight="false" outlineLevel="0" collapsed="false">
      <c r="A979" s="218"/>
      <c r="B979" s="251"/>
      <c r="C979" s="251"/>
      <c r="D979" s="249" t="s">
        <v>4747</v>
      </c>
      <c r="E979" s="212" t="s">
        <v>4746</v>
      </c>
      <c r="F979" s="212" t="s">
        <v>120</v>
      </c>
      <c r="G979" s="250" t="n">
        <v>39.72</v>
      </c>
    </row>
    <row r="980" customFormat="false" ht="14.4" hidden="false" customHeight="false" outlineLevel="0" collapsed="false">
      <c r="A980" s="218"/>
      <c r="B980" s="251"/>
      <c r="C980" s="251"/>
      <c r="D980" s="252"/>
      <c r="E980" s="212" t="s">
        <v>4767</v>
      </c>
      <c r="F980" s="212" t="s">
        <v>120</v>
      </c>
      <c r="G980" s="250" t="n">
        <v>27.49</v>
      </c>
    </row>
    <row r="981" customFormat="false" ht="14.4" hidden="false" customHeight="false" outlineLevel="0" collapsed="false">
      <c r="A981" s="218"/>
      <c r="B981" s="251"/>
      <c r="C981" s="251"/>
      <c r="D981" s="261" t="s">
        <v>7168</v>
      </c>
      <c r="E981" s="224"/>
      <c r="F981" s="225"/>
      <c r="G981" s="217" t="n">
        <v>67.21</v>
      </c>
    </row>
    <row r="982" customFormat="false" ht="14.4" hidden="false" customHeight="false" outlineLevel="0" collapsed="false">
      <c r="A982" s="218"/>
      <c r="B982" s="251"/>
      <c r="C982" s="251"/>
      <c r="D982" s="212" t="s">
        <v>3076</v>
      </c>
      <c r="E982" s="212" t="s">
        <v>4742</v>
      </c>
      <c r="F982" s="212" t="s">
        <v>120</v>
      </c>
      <c r="G982" s="250" t="n">
        <v>98.29</v>
      </c>
    </row>
    <row r="983" customFormat="false" ht="14.4" hidden="false" customHeight="false" outlineLevel="0" collapsed="false">
      <c r="A983" s="218"/>
      <c r="B983" s="251"/>
      <c r="C983" s="251"/>
      <c r="D983" s="261" t="s">
        <v>7125</v>
      </c>
      <c r="E983" s="224"/>
      <c r="F983" s="225"/>
      <c r="G983" s="217" t="n">
        <v>98.29</v>
      </c>
    </row>
    <row r="984" customFormat="false" ht="14.4" hidden="false" customHeight="false" outlineLevel="0" collapsed="false">
      <c r="A984" s="218"/>
      <c r="B984" s="251"/>
      <c r="C984" s="251"/>
      <c r="D984" s="249" t="s">
        <v>2042</v>
      </c>
      <c r="E984" s="212" t="s">
        <v>4728</v>
      </c>
      <c r="F984" s="212" t="s">
        <v>120</v>
      </c>
      <c r="G984" s="250" t="n">
        <v>117.1</v>
      </c>
    </row>
    <row r="985" customFormat="false" ht="14.4" hidden="false" customHeight="false" outlineLevel="0" collapsed="false">
      <c r="A985" s="218"/>
      <c r="B985" s="251"/>
      <c r="C985" s="251"/>
      <c r="D985" s="251"/>
      <c r="E985" s="212" t="s">
        <v>4751</v>
      </c>
      <c r="F985" s="212" t="s">
        <v>120</v>
      </c>
      <c r="G985" s="250" t="n">
        <v>18.58</v>
      </c>
    </row>
    <row r="986" customFormat="false" ht="14.4" hidden="false" customHeight="false" outlineLevel="0" collapsed="false">
      <c r="A986" s="218"/>
      <c r="B986" s="251"/>
      <c r="C986" s="251"/>
      <c r="D986" s="252"/>
      <c r="E986" s="212" t="s">
        <v>4771</v>
      </c>
      <c r="F986" s="212" t="s">
        <v>120</v>
      </c>
      <c r="G986" s="250" t="n">
        <v>46.82</v>
      </c>
    </row>
    <row r="987" customFormat="false" ht="14.4" hidden="false" customHeight="false" outlineLevel="0" collapsed="false">
      <c r="A987" s="218"/>
      <c r="B987" s="251"/>
      <c r="C987" s="251"/>
      <c r="D987" s="261" t="s">
        <v>7098</v>
      </c>
      <c r="E987" s="224"/>
      <c r="F987" s="225"/>
      <c r="G987" s="217" t="n">
        <v>182.5</v>
      </c>
    </row>
    <row r="988" customFormat="false" ht="14.4" hidden="false" customHeight="false" outlineLevel="0" collapsed="false">
      <c r="A988" s="218"/>
      <c r="B988" s="251"/>
      <c r="C988" s="251"/>
      <c r="D988" s="212" t="s">
        <v>2063</v>
      </c>
      <c r="E988" s="212" t="s">
        <v>4800</v>
      </c>
      <c r="F988" s="212" t="s">
        <v>120</v>
      </c>
      <c r="G988" s="250" t="n">
        <v>86.8</v>
      </c>
    </row>
    <row r="989" customFormat="false" ht="14.4" hidden="false" customHeight="false" outlineLevel="0" collapsed="false">
      <c r="A989" s="218"/>
      <c r="B989" s="251"/>
      <c r="C989" s="251"/>
      <c r="D989" s="261" t="s">
        <v>7100</v>
      </c>
      <c r="E989" s="224"/>
      <c r="F989" s="225"/>
      <c r="G989" s="217" t="n">
        <v>86.8</v>
      </c>
    </row>
    <row r="990" customFormat="false" ht="14.4" hidden="false" customHeight="false" outlineLevel="0" collapsed="false">
      <c r="A990" s="218"/>
      <c r="B990" s="251"/>
      <c r="C990" s="251"/>
      <c r="D990" s="212" t="s">
        <v>2754</v>
      </c>
      <c r="E990" s="212" t="s">
        <v>4361</v>
      </c>
      <c r="F990" s="212" t="s">
        <v>120</v>
      </c>
      <c r="G990" s="250" t="n">
        <v>82.22</v>
      </c>
    </row>
    <row r="991" customFormat="false" ht="14.4" hidden="false" customHeight="false" outlineLevel="0" collapsed="false">
      <c r="A991" s="218"/>
      <c r="B991" s="251"/>
      <c r="C991" s="251"/>
      <c r="D991" s="261" t="s">
        <v>7116</v>
      </c>
      <c r="E991" s="224"/>
      <c r="F991" s="225"/>
      <c r="G991" s="217" t="n">
        <v>82.22</v>
      </c>
    </row>
    <row r="992" customFormat="false" ht="14.4" hidden="false" customHeight="false" outlineLevel="0" collapsed="false">
      <c r="A992" s="218"/>
      <c r="B992" s="251"/>
      <c r="C992" s="251"/>
      <c r="D992" s="212" t="s">
        <v>4329</v>
      </c>
      <c r="E992" s="212" t="s">
        <v>4328</v>
      </c>
      <c r="F992" s="212" t="s">
        <v>120</v>
      </c>
      <c r="G992" s="250" t="n">
        <v>46.17</v>
      </c>
    </row>
    <row r="993" customFormat="false" ht="14.4" hidden="false" customHeight="false" outlineLevel="0" collapsed="false">
      <c r="A993" s="218"/>
      <c r="B993" s="251"/>
      <c r="C993" s="251"/>
      <c r="D993" s="261" t="s">
        <v>7169</v>
      </c>
      <c r="E993" s="224"/>
      <c r="F993" s="225"/>
      <c r="G993" s="217" t="n">
        <v>46.17</v>
      </c>
    </row>
    <row r="994" customFormat="false" ht="14.4" hidden="false" customHeight="false" outlineLevel="0" collapsed="false">
      <c r="A994" s="218"/>
      <c r="B994" s="251"/>
      <c r="C994" s="251"/>
      <c r="D994" s="249" t="s">
        <v>2630</v>
      </c>
      <c r="E994" s="212" t="s">
        <v>4297</v>
      </c>
      <c r="F994" s="212" t="s">
        <v>120</v>
      </c>
      <c r="G994" s="250" t="n">
        <v>56.33</v>
      </c>
    </row>
    <row r="995" customFormat="false" ht="14.4" hidden="false" customHeight="false" outlineLevel="0" collapsed="false">
      <c r="A995" s="218"/>
      <c r="B995" s="251"/>
      <c r="C995" s="251"/>
      <c r="D995" s="251"/>
      <c r="E995" s="212" t="s">
        <v>4303</v>
      </c>
      <c r="F995" s="212" t="s">
        <v>120</v>
      </c>
      <c r="G995" s="250" t="n">
        <v>4.05</v>
      </c>
    </row>
    <row r="996" customFormat="false" ht="14.4" hidden="false" customHeight="false" outlineLevel="0" collapsed="false">
      <c r="A996" s="218"/>
      <c r="B996" s="251"/>
      <c r="C996" s="251"/>
      <c r="D996" s="251"/>
      <c r="E996" s="212" t="s">
        <v>4317</v>
      </c>
      <c r="F996" s="212" t="s">
        <v>120</v>
      </c>
      <c r="G996" s="250" t="n">
        <v>145.02</v>
      </c>
    </row>
    <row r="997" customFormat="false" ht="14.4" hidden="false" customHeight="false" outlineLevel="0" collapsed="false">
      <c r="A997" s="218"/>
      <c r="B997" s="251"/>
      <c r="C997" s="251"/>
      <c r="D997" s="251"/>
      <c r="E997" s="212" t="s">
        <v>4321</v>
      </c>
      <c r="F997" s="212" t="s">
        <v>120</v>
      </c>
      <c r="G997" s="250" t="n">
        <v>49</v>
      </c>
    </row>
    <row r="998" customFormat="false" ht="14.4" hidden="false" customHeight="false" outlineLevel="0" collapsed="false">
      <c r="A998" s="218"/>
      <c r="B998" s="251"/>
      <c r="C998" s="251"/>
      <c r="D998" s="251"/>
      <c r="E998" s="212" t="s">
        <v>4324</v>
      </c>
      <c r="F998" s="212" t="s">
        <v>120</v>
      </c>
      <c r="G998" s="250" t="n">
        <v>142.2</v>
      </c>
    </row>
    <row r="999" customFormat="false" ht="14.4" hidden="false" customHeight="false" outlineLevel="0" collapsed="false">
      <c r="A999" s="218"/>
      <c r="B999" s="251"/>
      <c r="C999" s="251"/>
      <c r="D999" s="251"/>
      <c r="E999" s="212" t="s">
        <v>4333</v>
      </c>
      <c r="F999" s="212" t="s">
        <v>120</v>
      </c>
      <c r="G999" s="250" t="n">
        <v>128.06</v>
      </c>
    </row>
    <row r="1000" customFormat="false" ht="14.4" hidden="false" customHeight="false" outlineLevel="0" collapsed="false">
      <c r="A1000" s="218"/>
      <c r="B1000" s="251"/>
      <c r="C1000" s="251"/>
      <c r="D1000" s="251"/>
      <c r="E1000" s="212" t="s">
        <v>4337</v>
      </c>
      <c r="F1000" s="212" t="s">
        <v>120</v>
      </c>
      <c r="G1000" s="250" t="n">
        <v>87.9</v>
      </c>
    </row>
    <row r="1001" customFormat="false" ht="14.4" hidden="false" customHeight="false" outlineLevel="0" collapsed="false">
      <c r="A1001" s="218"/>
      <c r="B1001" s="251"/>
      <c r="C1001" s="251"/>
      <c r="D1001" s="251"/>
      <c r="E1001" s="212" t="s">
        <v>4352</v>
      </c>
      <c r="F1001" s="212" t="s">
        <v>120</v>
      </c>
      <c r="G1001" s="250" t="n">
        <v>43.68</v>
      </c>
    </row>
    <row r="1002" customFormat="false" ht="14.4" hidden="false" customHeight="false" outlineLevel="0" collapsed="false">
      <c r="A1002" s="218"/>
      <c r="B1002" s="251"/>
      <c r="C1002" s="251"/>
      <c r="D1002" s="252"/>
      <c r="E1002" s="212" t="s">
        <v>4364</v>
      </c>
      <c r="F1002" s="212" t="s">
        <v>120</v>
      </c>
      <c r="G1002" s="250" t="n">
        <v>121.81</v>
      </c>
    </row>
    <row r="1003" customFormat="false" ht="14.4" hidden="false" customHeight="false" outlineLevel="0" collapsed="false">
      <c r="A1003" s="218"/>
      <c r="B1003" s="251"/>
      <c r="C1003" s="251"/>
      <c r="D1003" s="261" t="s">
        <v>7118</v>
      </c>
      <c r="E1003" s="224"/>
      <c r="F1003" s="225"/>
      <c r="G1003" s="217" t="n">
        <v>778.05</v>
      </c>
    </row>
    <row r="1004" customFormat="false" ht="14.4" hidden="false" customHeight="false" outlineLevel="0" collapsed="false">
      <c r="A1004" s="218"/>
      <c r="B1004" s="251"/>
      <c r="C1004" s="251"/>
      <c r="D1004" s="249" t="s">
        <v>2638</v>
      </c>
      <c r="E1004" s="212" t="s">
        <v>4624</v>
      </c>
      <c r="F1004" s="212" t="s">
        <v>120</v>
      </c>
      <c r="G1004" s="250" t="n">
        <v>53.37</v>
      </c>
    </row>
    <row r="1005" customFormat="false" ht="14.4" hidden="false" customHeight="false" outlineLevel="0" collapsed="false">
      <c r="A1005" s="218"/>
      <c r="B1005" s="251"/>
      <c r="C1005" s="251"/>
      <c r="D1005" s="252"/>
      <c r="E1005" s="212" t="s">
        <v>4643</v>
      </c>
      <c r="F1005" s="212" t="s">
        <v>120</v>
      </c>
      <c r="G1005" s="250" t="n">
        <v>165.15</v>
      </c>
    </row>
    <row r="1006" customFormat="false" ht="14.4" hidden="false" customHeight="false" outlineLevel="0" collapsed="false">
      <c r="A1006" s="218"/>
      <c r="B1006" s="251"/>
      <c r="C1006" s="251"/>
      <c r="D1006" s="261" t="s">
        <v>7120</v>
      </c>
      <c r="E1006" s="224"/>
      <c r="F1006" s="225"/>
      <c r="G1006" s="217" t="n">
        <v>218.52</v>
      </c>
    </row>
    <row r="1007" customFormat="false" ht="14.4" hidden="false" customHeight="false" outlineLevel="0" collapsed="false">
      <c r="A1007" s="218"/>
      <c r="B1007" s="251"/>
      <c r="C1007" s="251"/>
      <c r="D1007" s="249" t="s">
        <v>4015</v>
      </c>
      <c r="E1007" s="212" t="s">
        <v>4396</v>
      </c>
      <c r="F1007" s="212" t="s">
        <v>120</v>
      </c>
      <c r="G1007" s="250" t="n">
        <v>127.42</v>
      </c>
    </row>
    <row r="1008" customFormat="false" ht="14.4" hidden="false" customHeight="false" outlineLevel="0" collapsed="false">
      <c r="A1008" s="218"/>
      <c r="B1008" s="251"/>
      <c r="C1008" s="251"/>
      <c r="D1008" s="251"/>
      <c r="E1008" s="212" t="s">
        <v>4534</v>
      </c>
      <c r="F1008" s="212" t="s">
        <v>120</v>
      </c>
      <c r="G1008" s="250" t="n">
        <v>47.08</v>
      </c>
    </row>
    <row r="1009" customFormat="false" ht="14.4" hidden="false" customHeight="false" outlineLevel="0" collapsed="false">
      <c r="A1009" s="218"/>
      <c r="B1009" s="251"/>
      <c r="C1009" s="251"/>
      <c r="D1009" s="251"/>
      <c r="E1009" s="212" t="s">
        <v>4556</v>
      </c>
      <c r="F1009" s="212" t="s">
        <v>120</v>
      </c>
      <c r="G1009" s="250" t="n">
        <v>46.04</v>
      </c>
    </row>
    <row r="1010" customFormat="false" ht="14.4" hidden="false" customHeight="false" outlineLevel="0" collapsed="false">
      <c r="A1010" s="218"/>
      <c r="B1010" s="251"/>
      <c r="C1010" s="251"/>
      <c r="D1010" s="251"/>
      <c r="E1010" s="212" t="s">
        <v>4593</v>
      </c>
      <c r="F1010" s="212" t="s">
        <v>120</v>
      </c>
      <c r="G1010" s="250" t="n">
        <v>230.06</v>
      </c>
    </row>
    <row r="1011" customFormat="false" ht="14.4" hidden="false" customHeight="false" outlineLevel="0" collapsed="false">
      <c r="A1011" s="218"/>
      <c r="B1011" s="251"/>
      <c r="C1011" s="251"/>
      <c r="D1011" s="251"/>
      <c r="E1011" s="212" t="s">
        <v>4601</v>
      </c>
      <c r="F1011" s="212" t="s">
        <v>120</v>
      </c>
      <c r="G1011" s="250" t="n">
        <v>238.59</v>
      </c>
    </row>
    <row r="1012" customFormat="false" ht="14.4" hidden="false" customHeight="false" outlineLevel="0" collapsed="false">
      <c r="A1012" s="218"/>
      <c r="B1012" s="251"/>
      <c r="C1012" s="251"/>
      <c r="D1012" s="251"/>
      <c r="E1012" s="212" t="s">
        <v>4605</v>
      </c>
      <c r="F1012" s="212" t="s">
        <v>120</v>
      </c>
      <c r="G1012" s="250" t="n">
        <v>132.2</v>
      </c>
    </row>
    <row r="1013" customFormat="false" ht="14.4" hidden="false" customHeight="false" outlineLevel="0" collapsed="false">
      <c r="A1013" s="218"/>
      <c r="B1013" s="251"/>
      <c r="C1013" s="251"/>
      <c r="D1013" s="252"/>
      <c r="E1013" s="212" t="s">
        <v>4628</v>
      </c>
      <c r="F1013" s="212" t="s">
        <v>120</v>
      </c>
      <c r="G1013" s="250" t="n">
        <v>48.92</v>
      </c>
    </row>
    <row r="1014" customFormat="false" ht="14.4" hidden="false" customHeight="false" outlineLevel="0" collapsed="false">
      <c r="A1014" s="218"/>
      <c r="B1014" s="251"/>
      <c r="C1014" s="251"/>
      <c r="D1014" s="261" t="s">
        <v>7154</v>
      </c>
      <c r="E1014" s="224"/>
      <c r="F1014" s="225"/>
      <c r="G1014" s="217" t="n">
        <v>870.31</v>
      </c>
    </row>
    <row r="1015" customFormat="false" ht="14.4" hidden="false" customHeight="false" outlineLevel="0" collapsed="false">
      <c r="A1015" s="218"/>
      <c r="B1015" s="251"/>
      <c r="C1015" s="251"/>
      <c r="D1015" s="212" t="s">
        <v>4435</v>
      </c>
      <c r="E1015" s="212" t="s">
        <v>4589</v>
      </c>
      <c r="F1015" s="212" t="s">
        <v>120</v>
      </c>
      <c r="G1015" s="250" t="n">
        <v>107.22</v>
      </c>
    </row>
    <row r="1016" customFormat="false" ht="14.4" hidden="false" customHeight="false" outlineLevel="0" collapsed="false">
      <c r="A1016" s="218"/>
      <c r="B1016" s="251"/>
      <c r="C1016" s="251"/>
      <c r="D1016" s="261" t="s">
        <v>7165</v>
      </c>
      <c r="E1016" s="224"/>
      <c r="F1016" s="225"/>
      <c r="G1016" s="217" t="n">
        <v>107.22</v>
      </c>
    </row>
    <row r="1017" customFormat="false" ht="14.4" hidden="false" customHeight="false" outlineLevel="0" collapsed="false">
      <c r="A1017" s="218"/>
      <c r="B1017" s="251"/>
      <c r="C1017" s="251"/>
      <c r="D1017" s="212" t="s">
        <v>4567</v>
      </c>
      <c r="E1017" s="212" t="s">
        <v>4566</v>
      </c>
      <c r="F1017" s="212" t="s">
        <v>120</v>
      </c>
      <c r="G1017" s="250" t="n">
        <v>101.57</v>
      </c>
    </row>
    <row r="1018" customFormat="false" ht="14.4" hidden="false" customHeight="false" outlineLevel="0" collapsed="false">
      <c r="A1018" s="218"/>
      <c r="B1018" s="251"/>
      <c r="C1018" s="251"/>
      <c r="D1018" s="261" t="s">
        <v>7170</v>
      </c>
      <c r="E1018" s="224"/>
      <c r="F1018" s="225"/>
      <c r="G1018" s="217" t="n">
        <v>101.57</v>
      </c>
    </row>
    <row r="1019" customFormat="false" ht="14.4" hidden="false" customHeight="false" outlineLevel="0" collapsed="false">
      <c r="A1019" s="218"/>
      <c r="B1019" s="251"/>
      <c r="C1019" s="251"/>
      <c r="D1019" s="249" t="s">
        <v>4009</v>
      </c>
      <c r="E1019" s="212" t="s">
        <v>4367</v>
      </c>
      <c r="F1019" s="212" t="s">
        <v>120</v>
      </c>
      <c r="G1019" s="250" t="n">
        <v>44.86</v>
      </c>
    </row>
    <row r="1020" customFormat="false" ht="14.4" hidden="false" customHeight="false" outlineLevel="0" collapsed="false">
      <c r="A1020" s="218"/>
      <c r="B1020" s="251"/>
      <c r="C1020" s="251"/>
      <c r="D1020" s="251"/>
      <c r="E1020" s="212" t="s">
        <v>4381</v>
      </c>
      <c r="F1020" s="212" t="s">
        <v>120</v>
      </c>
      <c r="G1020" s="250" t="n">
        <v>46</v>
      </c>
    </row>
    <row r="1021" customFormat="false" ht="14.4" hidden="false" customHeight="false" outlineLevel="0" collapsed="false">
      <c r="A1021" s="218"/>
      <c r="B1021" s="251"/>
      <c r="C1021" s="251"/>
      <c r="D1021" s="251"/>
      <c r="E1021" s="212" t="s">
        <v>4385</v>
      </c>
      <c r="F1021" s="212" t="s">
        <v>120</v>
      </c>
      <c r="G1021" s="250" t="n">
        <v>130.33</v>
      </c>
    </row>
    <row r="1022" customFormat="false" ht="14.4" hidden="false" customHeight="false" outlineLevel="0" collapsed="false">
      <c r="A1022" s="218"/>
      <c r="B1022" s="251"/>
      <c r="C1022" s="251"/>
      <c r="D1022" s="251"/>
      <c r="E1022" s="212" t="s">
        <v>4389</v>
      </c>
      <c r="F1022" s="212" t="s">
        <v>120</v>
      </c>
      <c r="G1022" s="250" t="n">
        <v>40.67</v>
      </c>
    </row>
    <row r="1023" customFormat="false" ht="14.4" hidden="false" customHeight="false" outlineLevel="0" collapsed="false">
      <c r="A1023" s="218"/>
      <c r="B1023" s="251"/>
      <c r="C1023" s="251"/>
      <c r="D1023" s="251"/>
      <c r="E1023" s="212" t="s">
        <v>4417</v>
      </c>
      <c r="F1023" s="212" t="s">
        <v>120</v>
      </c>
      <c r="G1023" s="250" t="n">
        <v>131.68</v>
      </c>
    </row>
    <row r="1024" customFormat="false" ht="14.4" hidden="false" customHeight="false" outlineLevel="0" collapsed="false">
      <c r="A1024" s="218"/>
      <c r="B1024" s="251"/>
      <c r="C1024" s="251"/>
      <c r="D1024" s="252"/>
      <c r="E1024" s="212" t="s">
        <v>4443</v>
      </c>
      <c r="F1024" s="212" t="s">
        <v>120</v>
      </c>
      <c r="G1024" s="250" t="n">
        <v>41.67</v>
      </c>
    </row>
    <row r="1025" customFormat="false" ht="14.4" hidden="false" customHeight="false" outlineLevel="0" collapsed="false">
      <c r="A1025" s="218"/>
      <c r="B1025" s="251"/>
      <c r="C1025" s="251"/>
      <c r="D1025" s="261" t="s">
        <v>7157</v>
      </c>
      <c r="E1025" s="224"/>
      <c r="F1025" s="225"/>
      <c r="G1025" s="217" t="n">
        <v>435.21</v>
      </c>
    </row>
    <row r="1026" customFormat="false" ht="14.4" hidden="false" customHeight="false" outlineLevel="0" collapsed="false">
      <c r="A1026" s="218"/>
      <c r="B1026" s="251"/>
      <c r="C1026" s="251"/>
      <c r="D1026" s="249" t="s">
        <v>7055</v>
      </c>
      <c r="E1026" s="212" t="s">
        <v>4294</v>
      </c>
      <c r="F1026" s="212" t="s">
        <v>120</v>
      </c>
      <c r="G1026" s="250" t="n">
        <v>24.74</v>
      </c>
    </row>
    <row r="1027" customFormat="false" ht="14.4" hidden="false" customHeight="false" outlineLevel="0" collapsed="false">
      <c r="A1027" s="218"/>
      <c r="B1027" s="251"/>
      <c r="C1027" s="251"/>
      <c r="D1027" s="251"/>
      <c r="E1027" s="212" t="s">
        <v>4299</v>
      </c>
      <c r="F1027" s="212" t="s">
        <v>120</v>
      </c>
      <c r="G1027" s="250" t="n">
        <v>50.37</v>
      </c>
    </row>
    <row r="1028" customFormat="false" ht="14.4" hidden="false" customHeight="false" outlineLevel="0" collapsed="false">
      <c r="A1028" s="218"/>
      <c r="B1028" s="251"/>
      <c r="C1028" s="251"/>
      <c r="D1028" s="251"/>
      <c r="E1028" s="212" t="s">
        <v>4311</v>
      </c>
      <c r="F1028" s="212" t="s">
        <v>120</v>
      </c>
      <c r="G1028" s="250" t="n">
        <v>82.48</v>
      </c>
    </row>
    <row r="1029" customFormat="false" ht="14.4" hidden="false" customHeight="false" outlineLevel="0" collapsed="false">
      <c r="A1029" s="218"/>
      <c r="B1029" s="251"/>
      <c r="C1029" s="251"/>
      <c r="D1029" s="251"/>
      <c r="E1029" s="212" t="s">
        <v>4733</v>
      </c>
      <c r="F1029" s="212" t="s">
        <v>120</v>
      </c>
      <c r="G1029" s="250" t="n">
        <v>105.4</v>
      </c>
    </row>
    <row r="1030" customFormat="false" ht="14.4" hidden="false" customHeight="false" outlineLevel="0" collapsed="false">
      <c r="A1030" s="218"/>
      <c r="B1030" s="251"/>
      <c r="C1030" s="251"/>
      <c r="D1030" s="251"/>
      <c r="E1030" s="212" t="s">
        <v>4775</v>
      </c>
      <c r="F1030" s="212" t="s">
        <v>120</v>
      </c>
      <c r="G1030" s="250" t="n">
        <v>69.73</v>
      </c>
    </row>
    <row r="1031" customFormat="false" ht="14.4" hidden="false" customHeight="false" outlineLevel="0" collapsed="false">
      <c r="A1031" s="218"/>
      <c r="B1031" s="251"/>
      <c r="C1031" s="251"/>
      <c r="D1031" s="251"/>
      <c r="E1031" s="212" t="s">
        <v>4782</v>
      </c>
      <c r="F1031" s="212" t="s">
        <v>120</v>
      </c>
      <c r="G1031" s="250" t="n">
        <v>77.61</v>
      </c>
    </row>
    <row r="1032" customFormat="false" ht="14.4" hidden="false" customHeight="false" outlineLevel="0" collapsed="false">
      <c r="A1032" s="218"/>
      <c r="B1032" s="251"/>
      <c r="C1032" s="251"/>
      <c r="D1032" s="251"/>
      <c r="E1032" s="212" t="s">
        <v>4791</v>
      </c>
      <c r="F1032" s="212" t="s">
        <v>120</v>
      </c>
      <c r="G1032" s="250" t="n">
        <v>6</v>
      </c>
    </row>
    <row r="1033" customFormat="false" ht="14.4" hidden="false" customHeight="false" outlineLevel="0" collapsed="false">
      <c r="A1033" s="218"/>
      <c r="B1033" s="251"/>
      <c r="C1033" s="251"/>
      <c r="D1033" s="252"/>
      <c r="E1033" s="212" t="s">
        <v>4794</v>
      </c>
      <c r="F1033" s="212" t="s">
        <v>120</v>
      </c>
      <c r="G1033" s="250" t="n">
        <v>1.99</v>
      </c>
    </row>
    <row r="1034" customFormat="false" ht="14.4" hidden="false" customHeight="false" outlineLevel="0" collapsed="false">
      <c r="A1034" s="218"/>
      <c r="B1034" s="252"/>
      <c r="C1034" s="252"/>
      <c r="D1034" s="261" t="s">
        <v>7060</v>
      </c>
      <c r="E1034" s="224"/>
      <c r="F1034" s="225"/>
      <c r="G1034" s="217" t="n">
        <v>418.32</v>
      </c>
    </row>
    <row r="1035" customFormat="false" ht="14.4" hidden="false" customHeight="false" outlineLevel="0" collapsed="false">
      <c r="A1035" s="218"/>
      <c r="B1035" s="249" t="s">
        <v>4831</v>
      </c>
      <c r="C1035" s="249" t="s">
        <v>1594</v>
      </c>
      <c r="D1035" s="249" t="s">
        <v>5031</v>
      </c>
      <c r="E1035" s="212" t="s">
        <v>5030</v>
      </c>
      <c r="F1035" s="212" t="s">
        <v>120</v>
      </c>
      <c r="G1035" s="250" t="n">
        <v>7.91</v>
      </c>
    </row>
    <row r="1036" customFormat="false" ht="14.4" hidden="false" customHeight="false" outlineLevel="0" collapsed="false">
      <c r="A1036" s="218"/>
      <c r="B1036" s="251"/>
      <c r="C1036" s="251"/>
      <c r="D1036" s="251"/>
      <c r="E1036" s="212" t="s">
        <v>5042</v>
      </c>
      <c r="F1036" s="212" t="s">
        <v>120</v>
      </c>
      <c r="G1036" s="250" t="n">
        <v>209.19</v>
      </c>
    </row>
    <row r="1037" customFormat="false" ht="14.4" hidden="false" customHeight="false" outlineLevel="0" collapsed="false">
      <c r="A1037" s="218"/>
      <c r="B1037" s="251"/>
      <c r="C1037" s="251"/>
      <c r="D1037" s="251"/>
      <c r="E1037" s="212" t="s">
        <v>5051</v>
      </c>
      <c r="F1037" s="212" t="s">
        <v>120</v>
      </c>
      <c r="G1037" s="250" t="n">
        <v>37.87</v>
      </c>
    </row>
    <row r="1038" customFormat="false" ht="14.4" hidden="false" customHeight="false" outlineLevel="0" collapsed="false">
      <c r="A1038" s="218"/>
      <c r="B1038" s="251"/>
      <c r="C1038" s="251"/>
      <c r="D1038" s="251"/>
      <c r="E1038" s="212" t="s">
        <v>5064</v>
      </c>
      <c r="F1038" s="212" t="s">
        <v>120</v>
      </c>
      <c r="G1038" s="250" t="n">
        <v>7.97</v>
      </c>
    </row>
    <row r="1039" customFormat="false" ht="14.4" hidden="false" customHeight="false" outlineLevel="0" collapsed="false">
      <c r="A1039" s="218"/>
      <c r="B1039" s="251"/>
      <c r="C1039" s="251"/>
      <c r="D1039" s="252"/>
      <c r="E1039" s="212" t="s">
        <v>5077</v>
      </c>
      <c r="F1039" s="212" t="s">
        <v>120</v>
      </c>
      <c r="G1039" s="250" t="n">
        <v>52.17</v>
      </c>
    </row>
    <row r="1040" customFormat="false" ht="14.4" hidden="false" customHeight="false" outlineLevel="0" collapsed="false">
      <c r="A1040" s="218"/>
      <c r="B1040" s="251"/>
      <c r="C1040" s="251"/>
      <c r="D1040" s="261" t="s">
        <v>7171</v>
      </c>
      <c r="E1040" s="224"/>
      <c r="F1040" s="225"/>
      <c r="G1040" s="217" t="n">
        <v>315.11</v>
      </c>
    </row>
    <row r="1041" customFormat="false" ht="14.4" hidden="false" customHeight="false" outlineLevel="0" collapsed="false">
      <c r="A1041" s="218"/>
      <c r="B1041" s="251"/>
      <c r="C1041" s="251"/>
      <c r="D1041" s="249" t="s">
        <v>3516</v>
      </c>
      <c r="E1041" s="212" t="s">
        <v>4857</v>
      </c>
      <c r="F1041" s="212" t="s">
        <v>120</v>
      </c>
      <c r="G1041" s="250" t="n">
        <v>114.94</v>
      </c>
    </row>
    <row r="1042" customFormat="false" ht="14.4" hidden="false" customHeight="false" outlineLevel="0" collapsed="false">
      <c r="A1042" s="218"/>
      <c r="B1042" s="251"/>
      <c r="C1042" s="251"/>
      <c r="D1042" s="251"/>
      <c r="E1042" s="212" t="s">
        <v>4869</v>
      </c>
      <c r="F1042" s="212" t="s">
        <v>120</v>
      </c>
      <c r="G1042" s="250" t="n">
        <v>103.03</v>
      </c>
    </row>
    <row r="1043" customFormat="false" ht="14.4" hidden="false" customHeight="false" outlineLevel="0" collapsed="false">
      <c r="A1043" s="218"/>
      <c r="B1043" s="251"/>
      <c r="C1043" s="251"/>
      <c r="D1043" s="251"/>
      <c r="E1043" s="212" t="s">
        <v>4873</v>
      </c>
      <c r="F1043" s="212" t="s">
        <v>120</v>
      </c>
      <c r="G1043" s="250" t="n">
        <v>73.09</v>
      </c>
    </row>
    <row r="1044" customFormat="false" ht="14.4" hidden="false" customHeight="false" outlineLevel="0" collapsed="false">
      <c r="A1044" s="218"/>
      <c r="B1044" s="251"/>
      <c r="C1044" s="251"/>
      <c r="D1044" s="251"/>
      <c r="E1044" s="212" t="s">
        <v>4881</v>
      </c>
      <c r="F1044" s="212" t="s">
        <v>120</v>
      </c>
      <c r="G1044" s="250" t="n">
        <v>79.2</v>
      </c>
    </row>
    <row r="1045" customFormat="false" ht="14.4" hidden="false" customHeight="false" outlineLevel="0" collapsed="false">
      <c r="A1045" s="218"/>
      <c r="B1045" s="251"/>
      <c r="C1045" s="251"/>
      <c r="D1045" s="251"/>
      <c r="E1045" s="212" t="s">
        <v>4888</v>
      </c>
      <c r="F1045" s="212" t="s">
        <v>120</v>
      </c>
      <c r="G1045" s="250" t="n">
        <v>159.21</v>
      </c>
    </row>
    <row r="1046" customFormat="false" ht="14.4" hidden="false" customHeight="false" outlineLevel="0" collapsed="false">
      <c r="A1046" s="218"/>
      <c r="B1046" s="251"/>
      <c r="C1046" s="251"/>
      <c r="D1046" s="251"/>
      <c r="E1046" s="212" t="s">
        <v>4896</v>
      </c>
      <c r="F1046" s="212" t="s">
        <v>120</v>
      </c>
      <c r="G1046" s="250" t="n">
        <v>114.53</v>
      </c>
    </row>
    <row r="1047" customFormat="false" ht="14.4" hidden="false" customHeight="false" outlineLevel="0" collapsed="false">
      <c r="A1047" s="218"/>
      <c r="B1047" s="251"/>
      <c r="C1047" s="251"/>
      <c r="D1047" s="251"/>
      <c r="E1047" s="212" t="s">
        <v>4907</v>
      </c>
      <c r="F1047" s="212" t="s">
        <v>120</v>
      </c>
      <c r="G1047" s="250" t="n">
        <v>36.88</v>
      </c>
    </row>
    <row r="1048" customFormat="false" ht="14.4" hidden="false" customHeight="false" outlineLevel="0" collapsed="false">
      <c r="A1048" s="218"/>
      <c r="B1048" s="251"/>
      <c r="C1048" s="251"/>
      <c r="D1048" s="251"/>
      <c r="E1048" s="212" t="s">
        <v>4911</v>
      </c>
      <c r="F1048" s="212" t="s">
        <v>120</v>
      </c>
      <c r="G1048" s="250" t="n">
        <v>1.82</v>
      </c>
    </row>
    <row r="1049" customFormat="false" ht="14.4" hidden="false" customHeight="false" outlineLevel="0" collapsed="false">
      <c r="A1049" s="218"/>
      <c r="B1049" s="251"/>
      <c r="C1049" s="251"/>
      <c r="D1049" s="251"/>
      <c r="E1049" s="212" t="s">
        <v>4923</v>
      </c>
      <c r="F1049" s="212" t="s">
        <v>120</v>
      </c>
      <c r="G1049" s="250" t="n">
        <v>4.51</v>
      </c>
    </row>
    <row r="1050" customFormat="false" ht="14.4" hidden="false" customHeight="false" outlineLevel="0" collapsed="false">
      <c r="A1050" s="218"/>
      <c r="B1050" s="251"/>
      <c r="C1050" s="251"/>
      <c r="D1050" s="251"/>
      <c r="E1050" s="212" t="s">
        <v>4925</v>
      </c>
      <c r="F1050" s="212" t="s">
        <v>120</v>
      </c>
      <c r="G1050" s="250" t="n">
        <v>41.95</v>
      </c>
    </row>
    <row r="1051" customFormat="false" ht="14.4" hidden="false" customHeight="false" outlineLevel="0" collapsed="false">
      <c r="A1051" s="218"/>
      <c r="B1051" s="251"/>
      <c r="C1051" s="251"/>
      <c r="D1051" s="251"/>
      <c r="E1051" s="212" t="s">
        <v>4929</v>
      </c>
      <c r="F1051" s="212" t="s">
        <v>120</v>
      </c>
      <c r="G1051" s="250" t="n">
        <v>0.79</v>
      </c>
    </row>
    <row r="1052" customFormat="false" ht="14.4" hidden="false" customHeight="false" outlineLevel="0" collapsed="false">
      <c r="A1052" s="218"/>
      <c r="B1052" s="251"/>
      <c r="C1052" s="251"/>
      <c r="D1052" s="251"/>
      <c r="E1052" s="212" t="s">
        <v>4935</v>
      </c>
      <c r="F1052" s="212" t="s">
        <v>120</v>
      </c>
      <c r="G1052" s="250" t="n">
        <v>43.27</v>
      </c>
    </row>
    <row r="1053" customFormat="false" ht="14.4" hidden="false" customHeight="false" outlineLevel="0" collapsed="false">
      <c r="A1053" s="218"/>
      <c r="B1053" s="251"/>
      <c r="C1053" s="251"/>
      <c r="D1053" s="251"/>
      <c r="E1053" s="212" t="s">
        <v>4950</v>
      </c>
      <c r="F1053" s="212" t="s">
        <v>120</v>
      </c>
      <c r="G1053" s="250" t="n">
        <v>45.7</v>
      </c>
    </row>
    <row r="1054" customFormat="false" ht="14.4" hidden="false" customHeight="false" outlineLevel="0" collapsed="false">
      <c r="A1054" s="218"/>
      <c r="B1054" s="251"/>
      <c r="C1054" s="251"/>
      <c r="D1054" s="251"/>
      <c r="E1054" s="212" t="s">
        <v>4977</v>
      </c>
      <c r="F1054" s="212" t="s">
        <v>120</v>
      </c>
      <c r="G1054" s="250" t="n">
        <v>106.28</v>
      </c>
    </row>
    <row r="1055" customFormat="false" ht="14.4" hidden="false" customHeight="false" outlineLevel="0" collapsed="false">
      <c r="A1055" s="218"/>
      <c r="B1055" s="251"/>
      <c r="C1055" s="251"/>
      <c r="D1055" s="252"/>
      <c r="E1055" s="212" t="s">
        <v>4985</v>
      </c>
      <c r="F1055" s="212" t="s">
        <v>120</v>
      </c>
      <c r="G1055" s="250" t="n">
        <v>109.68</v>
      </c>
    </row>
    <row r="1056" customFormat="false" ht="14.4" hidden="false" customHeight="false" outlineLevel="0" collapsed="false">
      <c r="A1056" s="218"/>
      <c r="B1056" s="251"/>
      <c r="C1056" s="251"/>
      <c r="D1056" s="261" t="s">
        <v>7076</v>
      </c>
      <c r="E1056" s="224"/>
      <c r="F1056" s="225"/>
      <c r="G1056" s="217" t="n">
        <v>1034.88</v>
      </c>
    </row>
    <row r="1057" customFormat="false" ht="14.4" hidden="false" customHeight="false" outlineLevel="0" collapsed="false">
      <c r="A1057" s="218"/>
      <c r="B1057" s="251"/>
      <c r="C1057" s="251"/>
      <c r="D1057" s="249" t="s">
        <v>3494</v>
      </c>
      <c r="E1057" s="212" t="s">
        <v>4885</v>
      </c>
      <c r="F1057" s="212" t="s">
        <v>120</v>
      </c>
      <c r="G1057" s="250" t="n">
        <v>97.96</v>
      </c>
    </row>
    <row r="1058" customFormat="false" ht="14.4" hidden="false" customHeight="false" outlineLevel="0" collapsed="false">
      <c r="A1058" s="218"/>
      <c r="B1058" s="251"/>
      <c r="C1058" s="251"/>
      <c r="D1058" s="252"/>
      <c r="E1058" s="212" t="s">
        <v>4899</v>
      </c>
      <c r="F1058" s="212" t="s">
        <v>120</v>
      </c>
      <c r="G1058" s="250" t="n">
        <v>190.88</v>
      </c>
    </row>
    <row r="1059" customFormat="false" ht="14.4" hidden="false" customHeight="false" outlineLevel="0" collapsed="false">
      <c r="A1059" s="218"/>
      <c r="B1059" s="251"/>
      <c r="C1059" s="251"/>
      <c r="D1059" s="261" t="s">
        <v>7142</v>
      </c>
      <c r="E1059" s="224"/>
      <c r="F1059" s="225"/>
      <c r="G1059" s="217" t="n">
        <v>288.84</v>
      </c>
    </row>
    <row r="1060" customFormat="false" ht="14.4" hidden="false" customHeight="false" outlineLevel="0" collapsed="false">
      <c r="A1060" s="218"/>
      <c r="B1060" s="251"/>
      <c r="C1060" s="251"/>
      <c r="D1060" s="212" t="s">
        <v>3354</v>
      </c>
      <c r="E1060" s="212" t="s">
        <v>4843</v>
      </c>
      <c r="F1060" s="212" t="s">
        <v>120</v>
      </c>
      <c r="G1060" s="250" t="n">
        <v>6.74</v>
      </c>
    </row>
    <row r="1061" customFormat="false" ht="14.4" hidden="false" customHeight="false" outlineLevel="0" collapsed="false">
      <c r="A1061" s="218"/>
      <c r="B1061" s="251"/>
      <c r="C1061" s="251"/>
      <c r="D1061" s="261" t="s">
        <v>7144</v>
      </c>
      <c r="E1061" s="224"/>
      <c r="F1061" s="225"/>
      <c r="G1061" s="217" t="n">
        <v>6.74</v>
      </c>
    </row>
    <row r="1062" customFormat="false" ht="14.4" hidden="false" customHeight="false" outlineLevel="0" collapsed="false">
      <c r="A1062" s="218"/>
      <c r="B1062" s="251"/>
      <c r="C1062" s="251"/>
      <c r="D1062" s="249" t="s">
        <v>4973</v>
      </c>
      <c r="E1062" s="212" t="s">
        <v>4972</v>
      </c>
      <c r="F1062" s="212" t="s">
        <v>120</v>
      </c>
      <c r="G1062" s="250" t="n">
        <v>47.29</v>
      </c>
    </row>
    <row r="1063" customFormat="false" ht="14.4" hidden="false" customHeight="false" outlineLevel="0" collapsed="false">
      <c r="A1063" s="218"/>
      <c r="B1063" s="251"/>
      <c r="C1063" s="251"/>
      <c r="D1063" s="251"/>
      <c r="E1063" s="212" t="s">
        <v>4989</v>
      </c>
      <c r="F1063" s="212" t="s">
        <v>120</v>
      </c>
      <c r="G1063" s="250" t="n">
        <v>66.26</v>
      </c>
    </row>
    <row r="1064" customFormat="false" ht="14.4" hidden="false" customHeight="false" outlineLevel="0" collapsed="false">
      <c r="A1064" s="218"/>
      <c r="B1064" s="251"/>
      <c r="C1064" s="251"/>
      <c r="D1064" s="251"/>
      <c r="E1064" s="212" t="s">
        <v>5014</v>
      </c>
      <c r="F1064" s="212" t="s">
        <v>120</v>
      </c>
      <c r="G1064" s="250" t="n">
        <v>131.67</v>
      </c>
    </row>
    <row r="1065" customFormat="false" ht="14.4" hidden="false" customHeight="false" outlineLevel="0" collapsed="false">
      <c r="A1065" s="218"/>
      <c r="B1065" s="251"/>
      <c r="C1065" s="251"/>
      <c r="D1065" s="251"/>
      <c r="E1065" s="212" t="s">
        <v>5034</v>
      </c>
      <c r="F1065" s="212" t="s">
        <v>120</v>
      </c>
      <c r="G1065" s="250" t="n">
        <v>40.72</v>
      </c>
    </row>
    <row r="1066" customFormat="false" ht="14.4" hidden="false" customHeight="false" outlineLevel="0" collapsed="false">
      <c r="A1066" s="218"/>
      <c r="B1066" s="251"/>
      <c r="C1066" s="251"/>
      <c r="D1066" s="251"/>
      <c r="E1066" s="212" t="s">
        <v>5038</v>
      </c>
      <c r="F1066" s="212" t="s">
        <v>120</v>
      </c>
      <c r="G1066" s="250" t="n">
        <v>47.56</v>
      </c>
    </row>
    <row r="1067" customFormat="false" ht="14.4" hidden="false" customHeight="false" outlineLevel="0" collapsed="false">
      <c r="A1067" s="218"/>
      <c r="B1067" s="251"/>
      <c r="C1067" s="251"/>
      <c r="D1067" s="251"/>
      <c r="E1067" s="212" t="s">
        <v>5059</v>
      </c>
      <c r="F1067" s="212" t="s">
        <v>120</v>
      </c>
      <c r="G1067" s="250" t="n">
        <v>9.9</v>
      </c>
    </row>
    <row r="1068" customFormat="false" ht="14.4" hidden="false" customHeight="false" outlineLevel="0" collapsed="false">
      <c r="A1068" s="218"/>
      <c r="B1068" s="251"/>
      <c r="C1068" s="251"/>
      <c r="D1068" s="251"/>
      <c r="E1068" s="212" t="s">
        <v>5066</v>
      </c>
      <c r="F1068" s="212" t="s">
        <v>120</v>
      </c>
      <c r="G1068" s="250" t="n">
        <v>49.38</v>
      </c>
    </row>
    <row r="1069" customFormat="false" ht="14.4" hidden="false" customHeight="false" outlineLevel="0" collapsed="false">
      <c r="A1069" s="218"/>
      <c r="B1069" s="251"/>
      <c r="C1069" s="251"/>
      <c r="D1069" s="252"/>
      <c r="E1069" s="212" t="s">
        <v>5092</v>
      </c>
      <c r="F1069" s="212" t="s">
        <v>120</v>
      </c>
      <c r="G1069" s="250" t="n">
        <v>48.53</v>
      </c>
    </row>
    <row r="1070" customFormat="false" ht="14.4" hidden="false" customHeight="false" outlineLevel="0" collapsed="false">
      <c r="A1070" s="218"/>
      <c r="B1070" s="251"/>
      <c r="C1070" s="251"/>
      <c r="D1070" s="261" t="s">
        <v>7172</v>
      </c>
      <c r="E1070" s="224"/>
      <c r="F1070" s="225"/>
      <c r="G1070" s="217" t="n">
        <v>441.31</v>
      </c>
    </row>
    <row r="1071" customFormat="false" ht="14.4" hidden="false" customHeight="false" outlineLevel="0" collapsed="false">
      <c r="A1071" s="218"/>
      <c r="B1071" s="251"/>
      <c r="C1071" s="251"/>
      <c r="D1071" s="249" t="s">
        <v>5047</v>
      </c>
      <c r="E1071" s="212" t="s">
        <v>5046</v>
      </c>
      <c r="F1071" s="212" t="s">
        <v>120</v>
      </c>
      <c r="G1071" s="250" t="n">
        <v>48.58</v>
      </c>
    </row>
    <row r="1072" customFormat="false" ht="14.4" hidden="false" customHeight="false" outlineLevel="0" collapsed="false">
      <c r="A1072" s="218"/>
      <c r="B1072" s="251"/>
      <c r="C1072" s="251"/>
      <c r="D1072" s="252"/>
      <c r="E1072" s="212" t="s">
        <v>5069</v>
      </c>
      <c r="F1072" s="212" t="s">
        <v>120</v>
      </c>
      <c r="G1072" s="250" t="n">
        <v>52.58</v>
      </c>
    </row>
    <row r="1073" customFormat="false" ht="14.4" hidden="false" customHeight="false" outlineLevel="0" collapsed="false">
      <c r="A1073" s="218"/>
      <c r="B1073" s="251"/>
      <c r="C1073" s="251"/>
      <c r="D1073" s="261" t="s">
        <v>7173</v>
      </c>
      <c r="E1073" s="224"/>
      <c r="F1073" s="225"/>
      <c r="G1073" s="217" t="n">
        <v>101.16</v>
      </c>
    </row>
    <row r="1074" customFormat="false" ht="14.4" hidden="false" customHeight="false" outlineLevel="0" collapsed="false">
      <c r="A1074" s="218"/>
      <c r="B1074" s="251"/>
      <c r="C1074" s="251"/>
      <c r="D1074" s="249" t="s">
        <v>4968</v>
      </c>
      <c r="E1074" s="212" t="s">
        <v>4967</v>
      </c>
      <c r="F1074" s="212" t="s">
        <v>120</v>
      </c>
      <c r="G1074" s="250" t="n">
        <v>22.2</v>
      </c>
    </row>
    <row r="1075" customFormat="false" ht="14.4" hidden="false" customHeight="false" outlineLevel="0" collapsed="false">
      <c r="A1075" s="218"/>
      <c r="B1075" s="251"/>
      <c r="C1075" s="251"/>
      <c r="D1075" s="252"/>
      <c r="E1075" s="212" t="s">
        <v>5055</v>
      </c>
      <c r="F1075" s="212" t="s">
        <v>120</v>
      </c>
      <c r="G1075" s="250" t="n">
        <v>15.2</v>
      </c>
    </row>
    <row r="1076" customFormat="false" ht="14.4" hidden="false" customHeight="false" outlineLevel="0" collapsed="false">
      <c r="A1076" s="218"/>
      <c r="B1076" s="251"/>
      <c r="C1076" s="251"/>
      <c r="D1076" s="261" t="s">
        <v>7078</v>
      </c>
      <c r="E1076" s="224"/>
      <c r="F1076" s="225"/>
      <c r="G1076" s="217" t="n">
        <v>37.4</v>
      </c>
    </row>
    <row r="1077" customFormat="false" ht="14.4" hidden="false" customHeight="false" outlineLevel="0" collapsed="false">
      <c r="A1077" s="218"/>
      <c r="B1077" s="251"/>
      <c r="C1077" s="251"/>
      <c r="D1077" s="249" t="s">
        <v>4828</v>
      </c>
      <c r="E1077" s="212" t="s">
        <v>4877</v>
      </c>
      <c r="F1077" s="212" t="s">
        <v>120</v>
      </c>
      <c r="G1077" s="250" t="n">
        <v>38.54</v>
      </c>
    </row>
    <row r="1078" customFormat="false" ht="14.4" hidden="false" customHeight="false" outlineLevel="0" collapsed="false">
      <c r="A1078" s="218"/>
      <c r="B1078" s="251"/>
      <c r="C1078" s="251"/>
      <c r="D1078" s="251"/>
      <c r="E1078" s="212" t="s">
        <v>4903</v>
      </c>
      <c r="F1078" s="212" t="s">
        <v>120</v>
      </c>
      <c r="G1078" s="250" t="n">
        <v>118.25</v>
      </c>
    </row>
    <row r="1079" customFormat="false" ht="14.4" hidden="false" customHeight="false" outlineLevel="0" collapsed="false">
      <c r="A1079" s="218"/>
      <c r="B1079" s="251"/>
      <c r="C1079" s="251"/>
      <c r="D1079" s="251"/>
      <c r="E1079" s="212" t="s">
        <v>4919</v>
      </c>
      <c r="F1079" s="212" t="s">
        <v>120</v>
      </c>
      <c r="G1079" s="250" t="n">
        <v>23.34</v>
      </c>
    </row>
    <row r="1080" customFormat="false" ht="14.4" hidden="false" customHeight="false" outlineLevel="0" collapsed="false">
      <c r="A1080" s="218"/>
      <c r="B1080" s="251"/>
      <c r="C1080" s="251"/>
      <c r="D1080" s="251"/>
      <c r="E1080" s="212" t="s">
        <v>4931</v>
      </c>
      <c r="F1080" s="212" t="s">
        <v>120</v>
      </c>
      <c r="G1080" s="250" t="n">
        <v>29.67</v>
      </c>
    </row>
    <row r="1081" customFormat="false" ht="14.4" hidden="false" customHeight="false" outlineLevel="0" collapsed="false">
      <c r="A1081" s="218"/>
      <c r="B1081" s="251"/>
      <c r="C1081" s="251"/>
      <c r="D1081" s="251"/>
      <c r="E1081" s="212" t="s">
        <v>4943</v>
      </c>
      <c r="F1081" s="212" t="s">
        <v>120</v>
      </c>
      <c r="G1081" s="250" t="n">
        <v>113.55</v>
      </c>
    </row>
    <row r="1082" customFormat="false" ht="14.4" hidden="false" customHeight="false" outlineLevel="0" collapsed="false">
      <c r="A1082" s="218"/>
      <c r="B1082" s="251"/>
      <c r="C1082" s="251"/>
      <c r="D1082" s="251"/>
      <c r="E1082" s="212" t="s">
        <v>4959</v>
      </c>
      <c r="F1082" s="212" t="s">
        <v>120</v>
      </c>
      <c r="G1082" s="250" t="n">
        <v>42.97</v>
      </c>
    </row>
    <row r="1083" customFormat="false" ht="14.4" hidden="false" customHeight="false" outlineLevel="0" collapsed="false">
      <c r="A1083" s="218"/>
      <c r="B1083" s="251"/>
      <c r="C1083" s="251"/>
      <c r="D1083" s="252"/>
      <c r="E1083" s="212" t="s">
        <v>4996</v>
      </c>
      <c r="F1083" s="212" t="s">
        <v>120</v>
      </c>
      <c r="G1083" s="250" t="n">
        <v>112.63</v>
      </c>
    </row>
    <row r="1084" customFormat="false" ht="14.4" hidden="false" customHeight="false" outlineLevel="0" collapsed="false">
      <c r="A1084" s="218"/>
      <c r="B1084" s="251"/>
      <c r="C1084" s="251"/>
      <c r="D1084" s="261" t="s">
        <v>7082</v>
      </c>
      <c r="E1084" s="224"/>
      <c r="F1084" s="225"/>
      <c r="G1084" s="217" t="n">
        <v>478.95</v>
      </c>
    </row>
    <row r="1085" customFormat="false" ht="14.4" hidden="false" customHeight="false" outlineLevel="0" collapsed="false">
      <c r="A1085" s="218"/>
      <c r="B1085" s="251"/>
      <c r="C1085" s="251"/>
      <c r="D1085" s="249" t="s">
        <v>5026</v>
      </c>
      <c r="E1085" s="212" t="s">
        <v>5025</v>
      </c>
      <c r="F1085" s="212" t="s">
        <v>120</v>
      </c>
      <c r="G1085" s="250" t="n">
        <v>150.29</v>
      </c>
    </row>
    <row r="1086" customFormat="false" ht="14.4" hidden="false" customHeight="false" outlineLevel="0" collapsed="false">
      <c r="A1086" s="218"/>
      <c r="B1086" s="251"/>
      <c r="C1086" s="251"/>
      <c r="D1086" s="252"/>
      <c r="E1086" s="212" t="s">
        <v>5084</v>
      </c>
      <c r="F1086" s="212" t="s">
        <v>120</v>
      </c>
      <c r="G1086" s="250" t="n">
        <v>30.11</v>
      </c>
    </row>
    <row r="1087" customFormat="false" ht="14.4" hidden="false" customHeight="false" outlineLevel="0" collapsed="false">
      <c r="A1087" s="218"/>
      <c r="B1087" s="251"/>
      <c r="C1087" s="251"/>
      <c r="D1087" s="261" t="s">
        <v>7174</v>
      </c>
      <c r="E1087" s="224"/>
      <c r="F1087" s="225"/>
      <c r="G1087" s="217" t="n">
        <v>180.4</v>
      </c>
    </row>
    <row r="1088" customFormat="false" ht="14.4" hidden="false" customHeight="false" outlineLevel="0" collapsed="false">
      <c r="A1088" s="218"/>
      <c r="B1088" s="251"/>
      <c r="C1088" s="251"/>
      <c r="D1088" s="212" t="s">
        <v>4955</v>
      </c>
      <c r="E1088" s="212" t="s">
        <v>4954</v>
      </c>
      <c r="F1088" s="212" t="s">
        <v>120</v>
      </c>
      <c r="G1088" s="250" t="n">
        <v>51.35</v>
      </c>
    </row>
    <row r="1089" customFormat="false" ht="14.4" hidden="false" customHeight="false" outlineLevel="0" collapsed="false">
      <c r="A1089" s="218"/>
      <c r="B1089" s="251"/>
      <c r="C1089" s="251"/>
      <c r="D1089" s="261" t="s">
        <v>7175</v>
      </c>
      <c r="E1089" s="224"/>
      <c r="F1089" s="225"/>
      <c r="G1089" s="217" t="n">
        <v>51.35</v>
      </c>
    </row>
    <row r="1090" customFormat="false" ht="14.4" hidden="false" customHeight="false" outlineLevel="0" collapsed="false">
      <c r="A1090" s="218"/>
      <c r="B1090" s="251"/>
      <c r="C1090" s="251"/>
      <c r="D1090" s="249" t="s">
        <v>7055</v>
      </c>
      <c r="E1090" s="212" t="s">
        <v>4832</v>
      </c>
      <c r="F1090" s="212" t="s">
        <v>120</v>
      </c>
      <c r="G1090" s="250" t="n">
        <v>6.04</v>
      </c>
    </row>
    <row r="1091" customFormat="false" ht="14.4" hidden="false" customHeight="false" outlineLevel="0" collapsed="false">
      <c r="A1091" s="218"/>
      <c r="B1091" s="251"/>
      <c r="C1091" s="251"/>
      <c r="D1091" s="251"/>
      <c r="E1091" s="212" t="s">
        <v>4836</v>
      </c>
      <c r="F1091" s="212" t="s">
        <v>120</v>
      </c>
      <c r="G1091" s="250" t="n">
        <v>3.31</v>
      </c>
    </row>
    <row r="1092" customFormat="false" ht="14.4" hidden="false" customHeight="false" outlineLevel="0" collapsed="false">
      <c r="A1092" s="218"/>
      <c r="B1092" s="251"/>
      <c r="C1092" s="251"/>
      <c r="D1092" s="251"/>
      <c r="E1092" s="212" t="s">
        <v>4838</v>
      </c>
      <c r="F1092" s="212" t="s">
        <v>120</v>
      </c>
      <c r="G1092" s="250" t="n">
        <v>49.86</v>
      </c>
    </row>
    <row r="1093" customFormat="false" ht="14.4" hidden="false" customHeight="false" outlineLevel="0" collapsed="false">
      <c r="A1093" s="218"/>
      <c r="B1093" s="251"/>
      <c r="C1093" s="251"/>
      <c r="D1093" s="251"/>
      <c r="E1093" s="212" t="s">
        <v>4845</v>
      </c>
      <c r="F1093" s="212" t="s">
        <v>120</v>
      </c>
      <c r="G1093" s="250" t="n">
        <v>46.96</v>
      </c>
    </row>
    <row r="1094" customFormat="false" ht="14.4" hidden="false" customHeight="false" outlineLevel="0" collapsed="false">
      <c r="A1094" s="218"/>
      <c r="B1094" s="251"/>
      <c r="C1094" s="251"/>
      <c r="D1094" s="251"/>
      <c r="E1094" s="212" t="s">
        <v>4849</v>
      </c>
      <c r="F1094" s="212" t="s">
        <v>120</v>
      </c>
      <c r="G1094" s="250" t="n">
        <v>44.09</v>
      </c>
    </row>
    <row r="1095" customFormat="false" ht="14.4" hidden="false" customHeight="false" outlineLevel="0" collapsed="false">
      <c r="A1095" s="218"/>
      <c r="B1095" s="251"/>
      <c r="C1095" s="251"/>
      <c r="D1095" s="251"/>
      <c r="E1095" s="212" t="s">
        <v>4853</v>
      </c>
      <c r="F1095" s="212" t="s">
        <v>120</v>
      </c>
      <c r="G1095" s="250" t="n">
        <v>145.24</v>
      </c>
    </row>
    <row r="1096" customFormat="false" ht="14.4" hidden="false" customHeight="false" outlineLevel="0" collapsed="false">
      <c r="A1096" s="218"/>
      <c r="B1096" s="251"/>
      <c r="C1096" s="251"/>
      <c r="D1096" s="251"/>
      <c r="E1096" s="212" t="s">
        <v>4861</v>
      </c>
      <c r="F1096" s="212" t="s">
        <v>120</v>
      </c>
      <c r="G1096" s="250" t="n">
        <v>44.9</v>
      </c>
    </row>
    <row r="1097" customFormat="false" ht="14.4" hidden="false" customHeight="false" outlineLevel="0" collapsed="false">
      <c r="A1097" s="218"/>
      <c r="B1097" s="251"/>
      <c r="C1097" s="251"/>
      <c r="D1097" s="251"/>
      <c r="E1097" s="212" t="s">
        <v>4865</v>
      </c>
      <c r="F1097" s="212" t="s">
        <v>120</v>
      </c>
      <c r="G1097" s="250" t="n">
        <v>18.22</v>
      </c>
    </row>
    <row r="1098" customFormat="false" ht="14.4" hidden="false" customHeight="false" outlineLevel="0" collapsed="false">
      <c r="A1098" s="218"/>
      <c r="B1098" s="251"/>
      <c r="C1098" s="251"/>
      <c r="D1098" s="251"/>
      <c r="E1098" s="212" t="s">
        <v>4892</v>
      </c>
      <c r="F1098" s="212" t="s">
        <v>120</v>
      </c>
      <c r="G1098" s="250" t="n">
        <v>127.87</v>
      </c>
    </row>
    <row r="1099" customFormat="false" ht="14.4" hidden="false" customHeight="false" outlineLevel="0" collapsed="false">
      <c r="A1099" s="218"/>
      <c r="B1099" s="251"/>
      <c r="C1099" s="251"/>
      <c r="D1099" s="251"/>
      <c r="E1099" s="212" t="s">
        <v>4915</v>
      </c>
      <c r="F1099" s="212" t="s">
        <v>120</v>
      </c>
      <c r="G1099" s="250" t="n">
        <v>47.45</v>
      </c>
    </row>
    <row r="1100" customFormat="false" ht="14.4" hidden="false" customHeight="false" outlineLevel="0" collapsed="false">
      <c r="A1100" s="218"/>
      <c r="B1100" s="251"/>
      <c r="C1100" s="251"/>
      <c r="D1100" s="251"/>
      <c r="E1100" s="212" t="s">
        <v>4939</v>
      </c>
      <c r="F1100" s="212" t="s">
        <v>120</v>
      </c>
      <c r="G1100" s="250" t="n">
        <v>44.78</v>
      </c>
    </row>
    <row r="1101" customFormat="false" ht="14.4" hidden="false" customHeight="false" outlineLevel="0" collapsed="false">
      <c r="A1101" s="218"/>
      <c r="B1101" s="251"/>
      <c r="C1101" s="251"/>
      <c r="D1101" s="251"/>
      <c r="E1101" s="212" t="s">
        <v>4947</v>
      </c>
      <c r="F1101" s="212" t="s">
        <v>120</v>
      </c>
      <c r="G1101" s="250" t="n">
        <v>113.62</v>
      </c>
    </row>
    <row r="1102" customFormat="false" ht="14.4" hidden="false" customHeight="false" outlineLevel="0" collapsed="false">
      <c r="A1102" s="218"/>
      <c r="B1102" s="251"/>
      <c r="C1102" s="251"/>
      <c r="D1102" s="251"/>
      <c r="E1102" s="212" t="s">
        <v>4963</v>
      </c>
      <c r="F1102" s="212" t="s">
        <v>120</v>
      </c>
      <c r="G1102" s="250" t="n">
        <v>103.73</v>
      </c>
    </row>
    <row r="1103" customFormat="false" ht="14.4" hidden="false" customHeight="false" outlineLevel="0" collapsed="false">
      <c r="A1103" s="218"/>
      <c r="B1103" s="251"/>
      <c r="C1103" s="251"/>
      <c r="D1103" s="251"/>
      <c r="E1103" s="212" t="s">
        <v>4981</v>
      </c>
      <c r="F1103" s="212" t="s">
        <v>120</v>
      </c>
      <c r="G1103" s="250" t="n">
        <v>47.22</v>
      </c>
    </row>
    <row r="1104" customFormat="false" ht="14.4" hidden="false" customHeight="false" outlineLevel="0" collapsed="false">
      <c r="A1104" s="218"/>
      <c r="B1104" s="251"/>
      <c r="C1104" s="251"/>
      <c r="D1104" s="251"/>
      <c r="E1104" s="212" t="s">
        <v>4993</v>
      </c>
      <c r="F1104" s="212" t="s">
        <v>120</v>
      </c>
      <c r="G1104" s="250" t="n">
        <v>0.71</v>
      </c>
    </row>
    <row r="1105" customFormat="false" ht="14.4" hidden="false" customHeight="false" outlineLevel="0" collapsed="false">
      <c r="A1105" s="218"/>
      <c r="B1105" s="251"/>
      <c r="C1105" s="251"/>
      <c r="D1105" s="251"/>
      <c r="E1105" s="212" t="s">
        <v>5000</v>
      </c>
      <c r="F1105" s="212" t="s">
        <v>120</v>
      </c>
      <c r="G1105" s="250" t="n">
        <v>48.2</v>
      </c>
    </row>
    <row r="1106" customFormat="false" ht="14.4" hidden="false" customHeight="false" outlineLevel="0" collapsed="false">
      <c r="A1106" s="218"/>
      <c r="B1106" s="251"/>
      <c r="C1106" s="251"/>
      <c r="D1106" s="251"/>
      <c r="E1106" s="212" t="s">
        <v>5003</v>
      </c>
      <c r="F1106" s="212" t="s">
        <v>120</v>
      </c>
      <c r="G1106" s="250" t="n">
        <v>144.34</v>
      </c>
    </row>
    <row r="1107" customFormat="false" ht="14.4" hidden="false" customHeight="false" outlineLevel="0" collapsed="false">
      <c r="A1107" s="218"/>
      <c r="B1107" s="251"/>
      <c r="C1107" s="251"/>
      <c r="D1107" s="251"/>
      <c r="E1107" s="212" t="s">
        <v>5007</v>
      </c>
      <c r="F1107" s="212" t="s">
        <v>120</v>
      </c>
      <c r="G1107" s="250" t="n">
        <v>44.14</v>
      </c>
    </row>
    <row r="1108" customFormat="false" ht="14.4" hidden="false" customHeight="false" outlineLevel="0" collapsed="false">
      <c r="A1108" s="218"/>
      <c r="B1108" s="251"/>
      <c r="C1108" s="251"/>
      <c r="D1108" s="251"/>
      <c r="E1108" s="212" t="s">
        <v>5010</v>
      </c>
      <c r="F1108" s="212" t="s">
        <v>120</v>
      </c>
      <c r="G1108" s="250" t="n">
        <v>52.75</v>
      </c>
    </row>
    <row r="1109" customFormat="false" ht="14.4" hidden="false" customHeight="false" outlineLevel="0" collapsed="false">
      <c r="A1109" s="218"/>
      <c r="B1109" s="251"/>
      <c r="C1109" s="251"/>
      <c r="D1109" s="251"/>
      <c r="E1109" s="212" t="s">
        <v>5018</v>
      </c>
      <c r="F1109" s="212" t="s">
        <v>120</v>
      </c>
      <c r="G1109" s="250" t="n">
        <v>46.07</v>
      </c>
    </row>
    <row r="1110" customFormat="false" ht="14.4" hidden="false" customHeight="false" outlineLevel="0" collapsed="false">
      <c r="A1110" s="218"/>
      <c r="B1110" s="251"/>
      <c r="C1110" s="251"/>
      <c r="D1110" s="251"/>
      <c r="E1110" s="212" t="s">
        <v>5021</v>
      </c>
      <c r="F1110" s="212" t="s">
        <v>120</v>
      </c>
      <c r="G1110" s="250" t="n">
        <v>82.36</v>
      </c>
    </row>
    <row r="1111" customFormat="false" ht="14.4" hidden="false" customHeight="false" outlineLevel="0" collapsed="false">
      <c r="A1111" s="218"/>
      <c r="B1111" s="251"/>
      <c r="C1111" s="251"/>
      <c r="D1111" s="251"/>
      <c r="E1111" s="212" t="s">
        <v>5073</v>
      </c>
      <c r="F1111" s="212" t="s">
        <v>120</v>
      </c>
      <c r="G1111" s="250" t="n">
        <v>64</v>
      </c>
    </row>
    <row r="1112" customFormat="false" ht="14.4" hidden="false" customHeight="false" outlineLevel="0" collapsed="false">
      <c r="A1112" s="218"/>
      <c r="B1112" s="251"/>
      <c r="C1112" s="251"/>
      <c r="D1112" s="251"/>
      <c r="E1112" s="212" t="s">
        <v>5081</v>
      </c>
      <c r="F1112" s="212" t="s">
        <v>120</v>
      </c>
      <c r="G1112" s="250" t="n">
        <v>211.95</v>
      </c>
    </row>
    <row r="1113" customFormat="false" ht="14.4" hidden="false" customHeight="false" outlineLevel="0" collapsed="false">
      <c r="A1113" s="218"/>
      <c r="B1113" s="251"/>
      <c r="C1113" s="251"/>
      <c r="D1113" s="251"/>
      <c r="E1113" s="212" t="s">
        <v>5088</v>
      </c>
      <c r="F1113" s="212" t="s">
        <v>120</v>
      </c>
      <c r="G1113" s="250" t="n">
        <v>47.72</v>
      </c>
    </row>
    <row r="1114" customFormat="false" ht="14.4" hidden="false" customHeight="false" outlineLevel="0" collapsed="false">
      <c r="A1114" s="218"/>
      <c r="B1114" s="251"/>
      <c r="C1114" s="251"/>
      <c r="D1114" s="251"/>
      <c r="E1114" s="212" t="s">
        <v>5096</v>
      </c>
      <c r="F1114" s="212" t="s">
        <v>120</v>
      </c>
      <c r="G1114" s="250" t="n">
        <v>28.27</v>
      </c>
    </row>
    <row r="1115" customFormat="false" ht="14.4" hidden="false" customHeight="false" outlineLevel="0" collapsed="false">
      <c r="A1115" s="218"/>
      <c r="B1115" s="251"/>
      <c r="C1115" s="251"/>
      <c r="D1115" s="251"/>
      <c r="E1115" s="212" t="s">
        <v>5099</v>
      </c>
      <c r="F1115" s="212" t="s">
        <v>120</v>
      </c>
      <c r="G1115" s="250" t="n">
        <v>269.96</v>
      </c>
    </row>
    <row r="1116" customFormat="false" ht="14.4" hidden="false" customHeight="false" outlineLevel="0" collapsed="false">
      <c r="A1116" s="218"/>
      <c r="B1116" s="251"/>
      <c r="C1116" s="251"/>
      <c r="D1116" s="252"/>
      <c r="E1116" s="212" t="s">
        <v>5102</v>
      </c>
      <c r="F1116" s="212" t="s">
        <v>120</v>
      </c>
      <c r="G1116" s="250" t="n">
        <v>111.43</v>
      </c>
    </row>
    <row r="1117" customFormat="false" ht="14.4" hidden="false" customHeight="false" outlineLevel="0" collapsed="false">
      <c r="A1117" s="218"/>
      <c r="B1117" s="252"/>
      <c r="C1117" s="252"/>
      <c r="D1117" s="261" t="s">
        <v>7060</v>
      </c>
      <c r="E1117" s="224"/>
      <c r="F1117" s="225"/>
      <c r="G1117" s="217" t="n">
        <v>1995.19</v>
      </c>
    </row>
    <row r="1118" customFormat="false" ht="14.4" hidden="false" customHeight="false" outlineLevel="0" collapsed="false">
      <c r="A1118" s="218"/>
      <c r="B1118" s="249" t="s">
        <v>5106</v>
      </c>
      <c r="C1118" s="249" t="s">
        <v>1594</v>
      </c>
      <c r="D1118" s="249" t="s">
        <v>1886</v>
      </c>
      <c r="E1118" s="212" t="s">
        <v>5227</v>
      </c>
      <c r="F1118" s="212" t="s">
        <v>120</v>
      </c>
      <c r="G1118" s="250" t="n">
        <v>14.64</v>
      </c>
    </row>
    <row r="1119" customFormat="false" ht="14.4" hidden="false" customHeight="false" outlineLevel="0" collapsed="false">
      <c r="A1119" s="218"/>
      <c r="B1119" s="251"/>
      <c r="C1119" s="251"/>
      <c r="D1119" s="252"/>
      <c r="E1119" s="212" t="s">
        <v>5235</v>
      </c>
      <c r="F1119" s="212" t="s">
        <v>120</v>
      </c>
      <c r="G1119" s="250" t="n">
        <v>12.48</v>
      </c>
    </row>
    <row r="1120" customFormat="false" ht="14.4" hidden="false" customHeight="false" outlineLevel="0" collapsed="false">
      <c r="A1120" s="218"/>
      <c r="B1120" s="251"/>
      <c r="C1120" s="251"/>
      <c r="D1120" s="261" t="s">
        <v>7086</v>
      </c>
      <c r="E1120" s="224"/>
      <c r="F1120" s="225"/>
      <c r="G1120" s="217" t="n">
        <v>27.12</v>
      </c>
    </row>
    <row r="1121" customFormat="false" ht="14.4" hidden="false" customHeight="false" outlineLevel="0" collapsed="false">
      <c r="A1121" s="218"/>
      <c r="B1121" s="251"/>
      <c r="C1121" s="251"/>
      <c r="D1121" s="249" t="s">
        <v>1952</v>
      </c>
      <c r="E1121" s="212" t="s">
        <v>5176</v>
      </c>
      <c r="F1121" s="212" t="s">
        <v>120</v>
      </c>
      <c r="G1121" s="250" t="n">
        <v>227.2</v>
      </c>
    </row>
    <row r="1122" customFormat="false" ht="14.4" hidden="false" customHeight="false" outlineLevel="0" collapsed="false">
      <c r="A1122" s="218"/>
      <c r="B1122" s="251"/>
      <c r="C1122" s="251"/>
      <c r="D1122" s="251"/>
      <c r="E1122" s="212" t="s">
        <v>5198</v>
      </c>
      <c r="F1122" s="212" t="s">
        <v>120</v>
      </c>
      <c r="G1122" s="250" t="n">
        <v>46.21</v>
      </c>
    </row>
    <row r="1123" customFormat="false" ht="14.4" hidden="false" customHeight="false" outlineLevel="0" collapsed="false">
      <c r="A1123" s="218"/>
      <c r="B1123" s="251"/>
      <c r="C1123" s="251"/>
      <c r="D1123" s="251"/>
      <c r="E1123" s="212" t="s">
        <v>5202</v>
      </c>
      <c r="F1123" s="212" t="s">
        <v>120</v>
      </c>
      <c r="G1123" s="250" t="n">
        <v>37.71</v>
      </c>
    </row>
    <row r="1124" customFormat="false" ht="14.4" hidden="false" customHeight="false" outlineLevel="0" collapsed="false">
      <c r="A1124" s="218"/>
      <c r="B1124" s="251"/>
      <c r="C1124" s="251"/>
      <c r="D1124" s="252"/>
      <c r="E1124" s="212" t="s">
        <v>5210</v>
      </c>
      <c r="F1124" s="212" t="s">
        <v>120</v>
      </c>
      <c r="G1124" s="250" t="n">
        <v>348.11</v>
      </c>
    </row>
    <row r="1125" customFormat="false" ht="14.4" hidden="false" customHeight="false" outlineLevel="0" collapsed="false">
      <c r="A1125" s="218"/>
      <c r="B1125" s="251"/>
      <c r="C1125" s="251"/>
      <c r="D1125" s="261" t="s">
        <v>7087</v>
      </c>
      <c r="E1125" s="224"/>
      <c r="F1125" s="225"/>
      <c r="G1125" s="217" t="n">
        <v>659.23</v>
      </c>
    </row>
    <row r="1126" customFormat="false" ht="14.4" hidden="false" customHeight="false" outlineLevel="0" collapsed="false">
      <c r="A1126" s="218"/>
      <c r="B1126" s="251"/>
      <c r="C1126" s="251"/>
      <c r="D1126" s="249" t="s">
        <v>5267</v>
      </c>
      <c r="E1126" s="212" t="s">
        <v>5266</v>
      </c>
      <c r="F1126" s="212" t="s">
        <v>120</v>
      </c>
      <c r="G1126" s="250" t="n">
        <v>100.45</v>
      </c>
    </row>
    <row r="1127" customFormat="false" ht="14.4" hidden="false" customHeight="false" outlineLevel="0" collapsed="false">
      <c r="A1127" s="218"/>
      <c r="B1127" s="251"/>
      <c r="C1127" s="251"/>
      <c r="D1127" s="251"/>
      <c r="E1127" s="212" t="s">
        <v>5276</v>
      </c>
      <c r="F1127" s="212" t="s">
        <v>120</v>
      </c>
      <c r="G1127" s="250" t="n">
        <v>1.57</v>
      </c>
    </row>
    <row r="1128" customFormat="false" ht="14.4" hidden="false" customHeight="false" outlineLevel="0" collapsed="false">
      <c r="A1128" s="218"/>
      <c r="B1128" s="251"/>
      <c r="C1128" s="251"/>
      <c r="D1128" s="251"/>
      <c r="E1128" s="212" t="s">
        <v>5279</v>
      </c>
      <c r="F1128" s="212" t="s">
        <v>120</v>
      </c>
      <c r="G1128" s="250" t="n">
        <v>3.04</v>
      </c>
    </row>
    <row r="1129" customFormat="false" ht="14.4" hidden="false" customHeight="false" outlineLevel="0" collapsed="false">
      <c r="A1129" s="218"/>
      <c r="B1129" s="251"/>
      <c r="C1129" s="251"/>
      <c r="D1129" s="251"/>
      <c r="E1129" s="212" t="s">
        <v>5304</v>
      </c>
      <c r="F1129" s="212" t="s">
        <v>120</v>
      </c>
      <c r="G1129" s="250" t="n">
        <v>38.6</v>
      </c>
    </row>
    <row r="1130" customFormat="false" ht="14.4" hidden="false" customHeight="false" outlineLevel="0" collapsed="false">
      <c r="A1130" s="218"/>
      <c r="B1130" s="251"/>
      <c r="C1130" s="251"/>
      <c r="D1130" s="252"/>
      <c r="E1130" s="212" t="s">
        <v>5340</v>
      </c>
      <c r="F1130" s="212" t="s">
        <v>120</v>
      </c>
      <c r="G1130" s="250" t="n">
        <v>56.42</v>
      </c>
    </row>
    <row r="1131" customFormat="false" ht="14.4" hidden="false" customHeight="false" outlineLevel="0" collapsed="false">
      <c r="A1131" s="218"/>
      <c r="B1131" s="251"/>
      <c r="C1131" s="251"/>
      <c r="D1131" s="261" t="s">
        <v>7176</v>
      </c>
      <c r="E1131" s="224"/>
      <c r="F1131" s="225"/>
      <c r="G1131" s="217" t="n">
        <v>200.08</v>
      </c>
    </row>
    <row r="1132" customFormat="false" ht="14.4" hidden="false" customHeight="false" outlineLevel="0" collapsed="false">
      <c r="A1132" s="218"/>
      <c r="B1132" s="251"/>
      <c r="C1132" s="251"/>
      <c r="D1132" s="249" t="s">
        <v>5232</v>
      </c>
      <c r="E1132" s="212" t="s">
        <v>5231</v>
      </c>
      <c r="F1132" s="212" t="s">
        <v>120</v>
      </c>
      <c r="G1132" s="250" t="n">
        <v>1.86</v>
      </c>
    </row>
    <row r="1133" customFormat="false" ht="14.4" hidden="false" customHeight="false" outlineLevel="0" collapsed="false">
      <c r="A1133" s="218"/>
      <c r="B1133" s="251"/>
      <c r="C1133" s="251"/>
      <c r="D1133" s="251"/>
      <c r="E1133" s="212" t="s">
        <v>5311</v>
      </c>
      <c r="F1133" s="212" t="s">
        <v>120</v>
      </c>
      <c r="G1133" s="250" t="n">
        <v>152.49</v>
      </c>
    </row>
    <row r="1134" customFormat="false" ht="14.4" hidden="false" customHeight="false" outlineLevel="0" collapsed="false">
      <c r="A1134" s="218"/>
      <c r="B1134" s="251"/>
      <c r="C1134" s="251"/>
      <c r="D1134" s="251"/>
      <c r="E1134" s="212" t="s">
        <v>5366</v>
      </c>
      <c r="F1134" s="212" t="s">
        <v>120</v>
      </c>
      <c r="G1134" s="250" t="n">
        <v>42.77</v>
      </c>
    </row>
    <row r="1135" customFormat="false" ht="14.4" hidden="false" customHeight="false" outlineLevel="0" collapsed="false">
      <c r="A1135" s="218"/>
      <c r="B1135" s="251"/>
      <c r="C1135" s="251"/>
      <c r="D1135" s="251"/>
      <c r="E1135" s="212" t="s">
        <v>5373</v>
      </c>
      <c r="F1135" s="212" t="s">
        <v>120</v>
      </c>
      <c r="G1135" s="250" t="n">
        <v>51.74</v>
      </c>
    </row>
    <row r="1136" customFormat="false" ht="14.4" hidden="false" customHeight="false" outlineLevel="0" collapsed="false">
      <c r="A1136" s="218"/>
      <c r="B1136" s="251"/>
      <c r="C1136" s="251"/>
      <c r="D1136" s="251"/>
      <c r="E1136" s="212" t="s">
        <v>5376</v>
      </c>
      <c r="F1136" s="212" t="s">
        <v>120</v>
      </c>
      <c r="G1136" s="250" t="n">
        <v>5.56</v>
      </c>
    </row>
    <row r="1137" customFormat="false" ht="14.4" hidden="false" customHeight="false" outlineLevel="0" collapsed="false">
      <c r="A1137" s="218"/>
      <c r="B1137" s="251"/>
      <c r="C1137" s="251"/>
      <c r="D1137" s="251"/>
      <c r="E1137" s="212" t="s">
        <v>5392</v>
      </c>
      <c r="F1137" s="212" t="s">
        <v>120</v>
      </c>
      <c r="G1137" s="250" t="n">
        <v>93.39</v>
      </c>
    </row>
    <row r="1138" customFormat="false" ht="14.4" hidden="false" customHeight="false" outlineLevel="0" collapsed="false">
      <c r="A1138" s="218"/>
      <c r="B1138" s="251"/>
      <c r="C1138" s="251"/>
      <c r="D1138" s="251"/>
      <c r="E1138" s="212" t="s">
        <v>5396</v>
      </c>
      <c r="F1138" s="212" t="s">
        <v>120</v>
      </c>
      <c r="G1138" s="250" t="n">
        <v>46.54</v>
      </c>
    </row>
    <row r="1139" customFormat="false" ht="14.4" hidden="false" customHeight="false" outlineLevel="0" collapsed="false">
      <c r="A1139" s="218"/>
      <c r="B1139" s="251"/>
      <c r="C1139" s="251"/>
      <c r="D1139" s="251"/>
      <c r="E1139" s="212" t="s">
        <v>5536</v>
      </c>
      <c r="F1139" s="212" t="s">
        <v>120</v>
      </c>
      <c r="G1139" s="250" t="n">
        <v>58.48</v>
      </c>
    </row>
    <row r="1140" customFormat="false" ht="14.4" hidden="false" customHeight="false" outlineLevel="0" collapsed="false">
      <c r="A1140" s="218"/>
      <c r="B1140" s="251"/>
      <c r="C1140" s="251"/>
      <c r="D1140" s="251"/>
      <c r="E1140" s="212" t="s">
        <v>5549</v>
      </c>
      <c r="F1140" s="212" t="s">
        <v>120</v>
      </c>
      <c r="G1140" s="250" t="n">
        <v>88.7</v>
      </c>
    </row>
    <row r="1141" customFormat="false" ht="14.4" hidden="false" customHeight="false" outlineLevel="0" collapsed="false">
      <c r="A1141" s="218"/>
      <c r="B1141" s="251"/>
      <c r="C1141" s="251"/>
      <c r="D1141" s="252"/>
      <c r="E1141" s="212" t="s">
        <v>5553</v>
      </c>
      <c r="F1141" s="212" t="s">
        <v>120</v>
      </c>
      <c r="G1141" s="250" t="n">
        <v>117.42</v>
      </c>
    </row>
    <row r="1142" customFormat="false" ht="14.4" hidden="false" customHeight="false" outlineLevel="0" collapsed="false">
      <c r="A1142" s="218"/>
      <c r="B1142" s="251"/>
      <c r="C1142" s="251"/>
      <c r="D1142" s="261" t="s">
        <v>7177</v>
      </c>
      <c r="E1142" s="224"/>
      <c r="F1142" s="225"/>
      <c r="G1142" s="217" t="n">
        <v>658.95</v>
      </c>
    </row>
    <row r="1143" customFormat="false" ht="14.4" hidden="false" customHeight="false" outlineLevel="0" collapsed="false">
      <c r="A1143" s="218"/>
      <c r="B1143" s="251"/>
      <c r="C1143" s="251"/>
      <c r="D1143" s="249" t="s">
        <v>5219</v>
      </c>
      <c r="E1143" s="212" t="s">
        <v>5218</v>
      </c>
      <c r="F1143" s="212" t="s">
        <v>120</v>
      </c>
      <c r="G1143" s="250" t="n">
        <v>349.87</v>
      </c>
    </row>
    <row r="1144" customFormat="false" ht="14.4" hidden="false" customHeight="false" outlineLevel="0" collapsed="false">
      <c r="A1144" s="218"/>
      <c r="B1144" s="251"/>
      <c r="C1144" s="251"/>
      <c r="D1144" s="252"/>
      <c r="E1144" s="212" t="s">
        <v>5223</v>
      </c>
      <c r="F1144" s="212" t="s">
        <v>120</v>
      </c>
      <c r="G1144" s="250" t="n">
        <v>84.11</v>
      </c>
    </row>
    <row r="1145" customFormat="false" ht="14.4" hidden="false" customHeight="false" outlineLevel="0" collapsed="false">
      <c r="A1145" s="218"/>
      <c r="B1145" s="251"/>
      <c r="C1145" s="251"/>
      <c r="D1145" s="261" t="s">
        <v>7178</v>
      </c>
      <c r="E1145" s="224"/>
      <c r="F1145" s="225"/>
      <c r="G1145" s="217" t="n">
        <v>433.98</v>
      </c>
    </row>
    <row r="1146" customFormat="false" ht="14.4" hidden="false" customHeight="false" outlineLevel="0" collapsed="false">
      <c r="A1146" s="218"/>
      <c r="B1146" s="251"/>
      <c r="C1146" s="251"/>
      <c r="D1146" s="249" t="s">
        <v>5580</v>
      </c>
      <c r="E1146" s="212" t="s">
        <v>5578</v>
      </c>
      <c r="F1146" s="212" t="s">
        <v>120</v>
      </c>
      <c r="G1146" s="250" t="n">
        <v>54.99</v>
      </c>
    </row>
    <row r="1147" customFormat="false" ht="14.4" hidden="false" customHeight="false" outlineLevel="0" collapsed="false">
      <c r="A1147" s="218"/>
      <c r="B1147" s="251"/>
      <c r="C1147" s="251"/>
      <c r="D1147" s="251"/>
      <c r="E1147" s="212" t="s">
        <v>5591</v>
      </c>
      <c r="F1147" s="212" t="s">
        <v>120</v>
      </c>
      <c r="G1147" s="250" t="n">
        <v>99.33</v>
      </c>
    </row>
    <row r="1148" customFormat="false" ht="14.4" hidden="false" customHeight="false" outlineLevel="0" collapsed="false">
      <c r="A1148" s="218"/>
      <c r="B1148" s="251"/>
      <c r="C1148" s="251"/>
      <c r="D1148" s="251"/>
      <c r="E1148" s="212" t="s">
        <v>5595</v>
      </c>
      <c r="F1148" s="212" t="s">
        <v>120</v>
      </c>
      <c r="G1148" s="250" t="n">
        <v>53.69</v>
      </c>
    </row>
    <row r="1149" customFormat="false" ht="14.4" hidden="false" customHeight="false" outlineLevel="0" collapsed="false">
      <c r="A1149" s="218"/>
      <c r="B1149" s="251"/>
      <c r="C1149" s="251"/>
      <c r="D1149" s="251"/>
      <c r="E1149" s="212" t="s">
        <v>5599</v>
      </c>
      <c r="F1149" s="212" t="s">
        <v>120</v>
      </c>
      <c r="G1149" s="250" t="n">
        <v>51.86</v>
      </c>
    </row>
    <row r="1150" customFormat="false" ht="14.4" hidden="false" customHeight="false" outlineLevel="0" collapsed="false">
      <c r="A1150" s="218"/>
      <c r="B1150" s="251"/>
      <c r="C1150" s="251"/>
      <c r="D1150" s="251"/>
      <c r="E1150" s="212" t="s">
        <v>5602</v>
      </c>
      <c r="F1150" s="212" t="s">
        <v>120</v>
      </c>
      <c r="G1150" s="250" t="n">
        <v>14.53</v>
      </c>
    </row>
    <row r="1151" customFormat="false" ht="14.4" hidden="false" customHeight="false" outlineLevel="0" collapsed="false">
      <c r="A1151" s="218"/>
      <c r="B1151" s="251"/>
      <c r="C1151" s="251"/>
      <c r="D1151" s="251"/>
      <c r="E1151" s="212" t="s">
        <v>5609</v>
      </c>
      <c r="F1151" s="212" t="s">
        <v>120</v>
      </c>
      <c r="G1151" s="250" t="n">
        <v>79.15</v>
      </c>
    </row>
    <row r="1152" customFormat="false" ht="14.4" hidden="false" customHeight="false" outlineLevel="0" collapsed="false">
      <c r="A1152" s="218"/>
      <c r="B1152" s="251"/>
      <c r="C1152" s="251"/>
      <c r="D1152" s="251"/>
      <c r="E1152" s="212" t="s">
        <v>5611</v>
      </c>
      <c r="F1152" s="212" t="s">
        <v>120</v>
      </c>
      <c r="G1152" s="250" t="n">
        <v>54.36</v>
      </c>
    </row>
    <row r="1153" customFormat="false" ht="14.4" hidden="false" customHeight="false" outlineLevel="0" collapsed="false">
      <c r="A1153" s="218"/>
      <c r="B1153" s="251"/>
      <c r="C1153" s="251"/>
      <c r="D1153" s="251"/>
      <c r="E1153" s="212" t="s">
        <v>5615</v>
      </c>
      <c r="F1153" s="212" t="s">
        <v>120</v>
      </c>
      <c r="G1153" s="250" t="n">
        <v>101.01</v>
      </c>
    </row>
    <row r="1154" customFormat="false" ht="14.4" hidden="false" customHeight="false" outlineLevel="0" collapsed="false">
      <c r="A1154" s="218"/>
      <c r="B1154" s="251"/>
      <c r="C1154" s="251"/>
      <c r="D1154" s="251"/>
      <c r="E1154" s="212" t="s">
        <v>5618</v>
      </c>
      <c r="F1154" s="212" t="s">
        <v>120</v>
      </c>
      <c r="G1154" s="250" t="n">
        <v>118.35</v>
      </c>
    </row>
    <row r="1155" customFormat="false" ht="14.4" hidden="false" customHeight="false" outlineLevel="0" collapsed="false">
      <c r="A1155" s="218"/>
      <c r="B1155" s="251"/>
      <c r="C1155" s="251"/>
      <c r="D1155" s="251"/>
      <c r="E1155" s="212" t="s">
        <v>5620</v>
      </c>
      <c r="F1155" s="212" t="s">
        <v>120</v>
      </c>
      <c r="G1155" s="250" t="n">
        <v>88.4</v>
      </c>
    </row>
    <row r="1156" customFormat="false" ht="14.4" hidden="false" customHeight="false" outlineLevel="0" collapsed="false">
      <c r="A1156" s="218"/>
      <c r="B1156" s="251"/>
      <c r="C1156" s="251"/>
      <c r="D1156" s="251"/>
      <c r="E1156" s="212" t="s">
        <v>5650</v>
      </c>
      <c r="F1156" s="212" t="s">
        <v>120</v>
      </c>
      <c r="G1156" s="250" t="n">
        <v>228.18</v>
      </c>
    </row>
    <row r="1157" customFormat="false" ht="14.4" hidden="false" customHeight="false" outlineLevel="0" collapsed="false">
      <c r="A1157" s="218"/>
      <c r="B1157" s="251"/>
      <c r="C1157" s="251"/>
      <c r="D1157" s="251"/>
      <c r="E1157" s="212" t="s">
        <v>5659</v>
      </c>
      <c r="F1157" s="212" t="s">
        <v>120</v>
      </c>
      <c r="G1157" s="250" t="n">
        <v>45.94</v>
      </c>
    </row>
    <row r="1158" customFormat="false" ht="14.4" hidden="false" customHeight="false" outlineLevel="0" collapsed="false">
      <c r="A1158" s="218"/>
      <c r="B1158" s="251"/>
      <c r="C1158" s="251"/>
      <c r="D1158" s="251"/>
      <c r="E1158" s="212" t="s">
        <v>5663</v>
      </c>
      <c r="F1158" s="212" t="s">
        <v>120</v>
      </c>
      <c r="G1158" s="250" t="n">
        <v>39.69</v>
      </c>
    </row>
    <row r="1159" customFormat="false" ht="14.4" hidden="false" customHeight="false" outlineLevel="0" collapsed="false">
      <c r="A1159" s="218"/>
      <c r="B1159" s="251"/>
      <c r="C1159" s="251"/>
      <c r="D1159" s="251"/>
      <c r="E1159" s="212" t="s">
        <v>5668</v>
      </c>
      <c r="F1159" s="212" t="s">
        <v>120</v>
      </c>
      <c r="G1159" s="250" t="n">
        <v>56.76</v>
      </c>
    </row>
    <row r="1160" customFormat="false" ht="14.4" hidden="false" customHeight="false" outlineLevel="0" collapsed="false">
      <c r="A1160" s="218"/>
      <c r="B1160" s="251"/>
      <c r="C1160" s="251"/>
      <c r="D1160" s="251"/>
      <c r="E1160" s="212" t="s">
        <v>5671</v>
      </c>
      <c r="F1160" s="212" t="s">
        <v>120</v>
      </c>
      <c r="G1160" s="250" t="n">
        <v>52.68</v>
      </c>
    </row>
    <row r="1161" customFormat="false" ht="14.4" hidden="false" customHeight="false" outlineLevel="0" collapsed="false">
      <c r="A1161" s="218"/>
      <c r="B1161" s="251"/>
      <c r="C1161" s="251"/>
      <c r="D1161" s="251"/>
      <c r="E1161" s="212" t="s">
        <v>5678</v>
      </c>
      <c r="F1161" s="212" t="s">
        <v>120</v>
      </c>
      <c r="G1161" s="250" t="n">
        <v>72.87</v>
      </c>
    </row>
    <row r="1162" customFormat="false" ht="14.4" hidden="false" customHeight="false" outlineLevel="0" collapsed="false">
      <c r="A1162" s="218"/>
      <c r="B1162" s="251"/>
      <c r="C1162" s="251"/>
      <c r="D1162" s="251"/>
      <c r="E1162" s="212" t="s">
        <v>5690</v>
      </c>
      <c r="F1162" s="212" t="s">
        <v>120</v>
      </c>
      <c r="G1162" s="250" t="n">
        <v>16.7</v>
      </c>
    </row>
    <row r="1163" customFormat="false" ht="14.4" hidden="false" customHeight="false" outlineLevel="0" collapsed="false">
      <c r="A1163" s="218"/>
      <c r="B1163" s="251"/>
      <c r="C1163" s="251"/>
      <c r="D1163" s="252"/>
      <c r="E1163" s="212" t="s">
        <v>5693</v>
      </c>
      <c r="F1163" s="212" t="s">
        <v>120</v>
      </c>
      <c r="G1163" s="250" t="n">
        <v>102.28</v>
      </c>
    </row>
    <row r="1164" customFormat="false" ht="14.4" hidden="false" customHeight="false" outlineLevel="0" collapsed="false">
      <c r="A1164" s="218"/>
      <c r="B1164" s="251"/>
      <c r="C1164" s="251"/>
      <c r="D1164" s="261" t="s">
        <v>7179</v>
      </c>
      <c r="E1164" s="224"/>
      <c r="F1164" s="225"/>
      <c r="G1164" s="217" t="n">
        <v>1330.77</v>
      </c>
    </row>
    <row r="1165" customFormat="false" ht="14.4" hidden="false" customHeight="false" outlineLevel="0" collapsed="false">
      <c r="A1165" s="218"/>
      <c r="B1165" s="251"/>
      <c r="C1165" s="251"/>
      <c r="D1165" s="212" t="s">
        <v>5541</v>
      </c>
      <c r="E1165" s="212" t="s">
        <v>5540</v>
      </c>
      <c r="F1165" s="212" t="s">
        <v>120</v>
      </c>
      <c r="G1165" s="250" t="n">
        <v>102.91</v>
      </c>
    </row>
    <row r="1166" customFormat="false" ht="14.4" hidden="false" customHeight="false" outlineLevel="0" collapsed="false">
      <c r="A1166" s="218"/>
      <c r="B1166" s="251"/>
      <c r="C1166" s="251"/>
      <c r="D1166" s="261" t="s">
        <v>7180</v>
      </c>
      <c r="E1166" s="224"/>
      <c r="F1166" s="225"/>
      <c r="G1166" s="217" t="n">
        <v>102.91</v>
      </c>
    </row>
    <row r="1167" customFormat="false" ht="14.4" hidden="false" customHeight="false" outlineLevel="0" collapsed="false">
      <c r="A1167" s="218"/>
      <c r="B1167" s="251"/>
      <c r="C1167" s="251"/>
      <c r="D1167" s="249" t="s">
        <v>2035</v>
      </c>
      <c r="E1167" s="212" t="s">
        <v>5470</v>
      </c>
      <c r="F1167" s="212" t="s">
        <v>120</v>
      </c>
      <c r="G1167" s="250" t="n">
        <v>257.74</v>
      </c>
    </row>
    <row r="1168" customFormat="false" ht="14.4" hidden="false" customHeight="false" outlineLevel="0" collapsed="false">
      <c r="A1168" s="218"/>
      <c r="B1168" s="251"/>
      <c r="C1168" s="251"/>
      <c r="D1168" s="251"/>
      <c r="E1168" s="212" t="s">
        <v>5474</v>
      </c>
      <c r="F1168" s="212" t="s">
        <v>120</v>
      </c>
      <c r="G1168" s="250" t="n">
        <v>26.15</v>
      </c>
    </row>
    <row r="1169" customFormat="false" ht="14.4" hidden="false" customHeight="false" outlineLevel="0" collapsed="false">
      <c r="A1169" s="218"/>
      <c r="B1169" s="251"/>
      <c r="C1169" s="251"/>
      <c r="D1169" s="251"/>
      <c r="E1169" s="212" t="s">
        <v>5478</v>
      </c>
      <c r="F1169" s="212" t="s">
        <v>120</v>
      </c>
      <c r="G1169" s="250" t="n">
        <v>186.25</v>
      </c>
    </row>
    <row r="1170" customFormat="false" ht="14.4" hidden="false" customHeight="false" outlineLevel="0" collapsed="false">
      <c r="A1170" s="218"/>
      <c r="B1170" s="251"/>
      <c r="C1170" s="251"/>
      <c r="D1170" s="251"/>
      <c r="E1170" s="212" t="s">
        <v>5482</v>
      </c>
      <c r="F1170" s="212" t="s">
        <v>120</v>
      </c>
      <c r="G1170" s="250" t="n">
        <v>39.89</v>
      </c>
    </row>
    <row r="1171" customFormat="false" ht="14.4" hidden="false" customHeight="false" outlineLevel="0" collapsed="false">
      <c r="A1171" s="218"/>
      <c r="B1171" s="251"/>
      <c r="C1171" s="251"/>
      <c r="D1171" s="251"/>
      <c r="E1171" s="212" t="s">
        <v>5498</v>
      </c>
      <c r="F1171" s="212" t="s">
        <v>120</v>
      </c>
      <c r="G1171" s="250" t="n">
        <v>93.07</v>
      </c>
    </row>
    <row r="1172" customFormat="false" ht="14.4" hidden="false" customHeight="false" outlineLevel="0" collapsed="false">
      <c r="A1172" s="218"/>
      <c r="B1172" s="251"/>
      <c r="C1172" s="251"/>
      <c r="D1172" s="251"/>
      <c r="E1172" s="212" t="s">
        <v>5502</v>
      </c>
      <c r="F1172" s="212" t="s">
        <v>120</v>
      </c>
      <c r="G1172" s="250" t="n">
        <v>293.92</v>
      </c>
    </row>
    <row r="1173" customFormat="false" ht="14.4" hidden="false" customHeight="false" outlineLevel="0" collapsed="false">
      <c r="A1173" s="218"/>
      <c r="B1173" s="251"/>
      <c r="C1173" s="251"/>
      <c r="D1173" s="251"/>
      <c r="E1173" s="212" t="s">
        <v>5506</v>
      </c>
      <c r="F1173" s="212" t="s">
        <v>120</v>
      </c>
      <c r="G1173" s="250" t="n">
        <v>16.76</v>
      </c>
    </row>
    <row r="1174" customFormat="false" ht="14.4" hidden="false" customHeight="false" outlineLevel="0" collapsed="false">
      <c r="A1174" s="218"/>
      <c r="B1174" s="251"/>
      <c r="C1174" s="251"/>
      <c r="D1174" s="251"/>
      <c r="E1174" s="212" t="s">
        <v>5511</v>
      </c>
      <c r="F1174" s="212" t="s">
        <v>120</v>
      </c>
      <c r="G1174" s="250" t="n">
        <v>33.98</v>
      </c>
    </row>
    <row r="1175" customFormat="false" ht="14.4" hidden="false" customHeight="false" outlineLevel="0" collapsed="false">
      <c r="A1175" s="218"/>
      <c r="B1175" s="251"/>
      <c r="C1175" s="251"/>
      <c r="D1175" s="251"/>
      <c r="E1175" s="212" t="s">
        <v>5515</v>
      </c>
      <c r="F1175" s="212" t="s">
        <v>120</v>
      </c>
      <c r="G1175" s="250" t="n">
        <v>114.81</v>
      </c>
    </row>
    <row r="1176" customFormat="false" ht="14.4" hidden="false" customHeight="false" outlineLevel="0" collapsed="false">
      <c r="A1176" s="218"/>
      <c r="B1176" s="251"/>
      <c r="C1176" s="251"/>
      <c r="D1176" s="252"/>
      <c r="E1176" s="212" t="s">
        <v>5532</v>
      </c>
      <c r="F1176" s="212" t="s">
        <v>120</v>
      </c>
      <c r="G1176" s="250" t="n">
        <v>74.73</v>
      </c>
    </row>
    <row r="1177" customFormat="false" ht="14.4" hidden="false" customHeight="false" outlineLevel="0" collapsed="false">
      <c r="A1177" s="218"/>
      <c r="B1177" s="251"/>
      <c r="C1177" s="251"/>
      <c r="D1177" s="261" t="s">
        <v>7097</v>
      </c>
      <c r="E1177" s="224"/>
      <c r="F1177" s="225"/>
      <c r="G1177" s="217" t="n">
        <v>1137.3</v>
      </c>
    </row>
    <row r="1178" customFormat="false" ht="14.4" hidden="false" customHeight="false" outlineLevel="0" collapsed="false">
      <c r="A1178" s="218"/>
      <c r="B1178" s="251"/>
      <c r="C1178" s="251"/>
      <c r="D1178" s="249" t="s">
        <v>5181</v>
      </c>
      <c r="E1178" s="212" t="s">
        <v>5180</v>
      </c>
      <c r="F1178" s="212" t="s">
        <v>120</v>
      </c>
      <c r="G1178" s="250" t="n">
        <v>6.22</v>
      </c>
    </row>
    <row r="1179" customFormat="false" ht="14.4" hidden="false" customHeight="false" outlineLevel="0" collapsed="false">
      <c r="A1179" s="218"/>
      <c r="B1179" s="251"/>
      <c r="C1179" s="251"/>
      <c r="D1179" s="251"/>
      <c r="E1179" s="212" t="s">
        <v>5185</v>
      </c>
      <c r="F1179" s="212" t="s">
        <v>120</v>
      </c>
      <c r="G1179" s="250" t="n">
        <v>47.07</v>
      </c>
    </row>
    <row r="1180" customFormat="false" ht="14.4" hidden="false" customHeight="false" outlineLevel="0" collapsed="false">
      <c r="A1180" s="218"/>
      <c r="B1180" s="251"/>
      <c r="C1180" s="251"/>
      <c r="D1180" s="251"/>
      <c r="E1180" s="212" t="s">
        <v>5188</v>
      </c>
      <c r="F1180" s="212" t="s">
        <v>120</v>
      </c>
      <c r="G1180" s="250" t="n">
        <v>202.76</v>
      </c>
    </row>
    <row r="1181" customFormat="false" ht="14.4" hidden="false" customHeight="false" outlineLevel="0" collapsed="false">
      <c r="A1181" s="218"/>
      <c r="B1181" s="251"/>
      <c r="C1181" s="251"/>
      <c r="D1181" s="251"/>
      <c r="E1181" s="212" t="s">
        <v>5191</v>
      </c>
      <c r="F1181" s="212" t="s">
        <v>120</v>
      </c>
      <c r="G1181" s="250" t="n">
        <v>13.16</v>
      </c>
    </row>
    <row r="1182" customFormat="false" ht="14.4" hidden="false" customHeight="false" outlineLevel="0" collapsed="false">
      <c r="A1182" s="218"/>
      <c r="B1182" s="251"/>
      <c r="C1182" s="251"/>
      <c r="D1182" s="251"/>
      <c r="E1182" s="212" t="s">
        <v>5195</v>
      </c>
      <c r="F1182" s="212" t="s">
        <v>120</v>
      </c>
      <c r="G1182" s="250" t="n">
        <v>110.83</v>
      </c>
    </row>
    <row r="1183" customFormat="false" ht="14.4" hidden="false" customHeight="false" outlineLevel="0" collapsed="false">
      <c r="A1183" s="218"/>
      <c r="B1183" s="251"/>
      <c r="C1183" s="251"/>
      <c r="D1183" s="252"/>
      <c r="E1183" s="212" t="s">
        <v>5206</v>
      </c>
      <c r="F1183" s="212" t="s">
        <v>120</v>
      </c>
      <c r="G1183" s="250" t="n">
        <v>94.69</v>
      </c>
    </row>
    <row r="1184" customFormat="false" ht="14.4" hidden="false" customHeight="false" outlineLevel="0" collapsed="false">
      <c r="A1184" s="218"/>
      <c r="B1184" s="251"/>
      <c r="C1184" s="251"/>
      <c r="D1184" s="261" t="s">
        <v>7181</v>
      </c>
      <c r="E1184" s="224"/>
      <c r="F1184" s="225"/>
      <c r="G1184" s="217" t="n">
        <v>474.73</v>
      </c>
    </row>
    <row r="1185" customFormat="false" ht="14.4" hidden="false" customHeight="false" outlineLevel="0" collapsed="false">
      <c r="A1185" s="218"/>
      <c r="B1185" s="251"/>
      <c r="C1185" s="251"/>
      <c r="D1185" s="249" t="s">
        <v>2387</v>
      </c>
      <c r="E1185" s="212" t="s">
        <v>5271</v>
      </c>
      <c r="F1185" s="212" t="s">
        <v>120</v>
      </c>
      <c r="G1185" s="250" t="n">
        <v>122.1</v>
      </c>
    </row>
    <row r="1186" customFormat="false" ht="14.4" hidden="false" customHeight="false" outlineLevel="0" collapsed="false">
      <c r="A1186" s="218"/>
      <c r="B1186" s="251"/>
      <c r="C1186" s="251"/>
      <c r="D1186" s="251"/>
      <c r="E1186" s="212" t="s">
        <v>5285</v>
      </c>
      <c r="F1186" s="212" t="s">
        <v>120</v>
      </c>
      <c r="G1186" s="250" t="n">
        <v>47.36</v>
      </c>
    </row>
    <row r="1187" customFormat="false" ht="14.4" hidden="false" customHeight="false" outlineLevel="0" collapsed="false">
      <c r="A1187" s="218"/>
      <c r="B1187" s="251"/>
      <c r="C1187" s="251"/>
      <c r="D1187" s="251"/>
      <c r="E1187" s="212" t="s">
        <v>5315</v>
      </c>
      <c r="F1187" s="212" t="s">
        <v>120</v>
      </c>
      <c r="G1187" s="250" t="n">
        <v>8.79</v>
      </c>
    </row>
    <row r="1188" customFormat="false" ht="14.4" hidden="false" customHeight="false" outlineLevel="0" collapsed="false">
      <c r="A1188" s="218"/>
      <c r="B1188" s="251"/>
      <c r="C1188" s="251"/>
      <c r="D1188" s="251"/>
      <c r="E1188" s="212" t="s">
        <v>5318</v>
      </c>
      <c r="F1188" s="212" t="s">
        <v>120</v>
      </c>
      <c r="G1188" s="250" t="n">
        <v>7.97</v>
      </c>
    </row>
    <row r="1189" customFormat="false" ht="14.4" hidden="false" customHeight="false" outlineLevel="0" collapsed="false">
      <c r="A1189" s="218"/>
      <c r="B1189" s="251"/>
      <c r="C1189" s="251"/>
      <c r="D1189" s="251"/>
      <c r="E1189" s="212" t="s">
        <v>5321</v>
      </c>
      <c r="F1189" s="212" t="s">
        <v>120</v>
      </c>
      <c r="G1189" s="250" t="n">
        <v>1.93</v>
      </c>
    </row>
    <row r="1190" customFormat="false" ht="14.4" hidden="false" customHeight="false" outlineLevel="0" collapsed="false">
      <c r="A1190" s="218"/>
      <c r="B1190" s="251"/>
      <c r="C1190" s="251"/>
      <c r="D1190" s="251"/>
      <c r="E1190" s="212" t="s">
        <v>5329</v>
      </c>
      <c r="F1190" s="212" t="s">
        <v>120</v>
      </c>
      <c r="G1190" s="250" t="n">
        <v>2.8</v>
      </c>
    </row>
    <row r="1191" customFormat="false" ht="14.4" hidden="false" customHeight="false" outlineLevel="0" collapsed="false">
      <c r="A1191" s="218"/>
      <c r="B1191" s="251"/>
      <c r="C1191" s="251"/>
      <c r="D1191" s="251"/>
      <c r="E1191" s="212" t="s">
        <v>5333</v>
      </c>
      <c r="F1191" s="212" t="s">
        <v>120</v>
      </c>
      <c r="G1191" s="250" t="n">
        <v>17.98</v>
      </c>
    </row>
    <row r="1192" customFormat="false" ht="14.4" hidden="false" customHeight="false" outlineLevel="0" collapsed="false">
      <c r="A1192" s="218"/>
      <c r="B1192" s="251"/>
      <c r="C1192" s="251"/>
      <c r="D1192" s="251"/>
      <c r="E1192" s="212" t="s">
        <v>5337</v>
      </c>
      <c r="F1192" s="212" t="s">
        <v>120</v>
      </c>
      <c r="G1192" s="250" t="n">
        <v>5.17</v>
      </c>
    </row>
    <row r="1193" customFormat="false" ht="14.4" hidden="false" customHeight="false" outlineLevel="0" collapsed="false">
      <c r="A1193" s="218"/>
      <c r="B1193" s="251"/>
      <c r="C1193" s="251"/>
      <c r="D1193" s="251"/>
      <c r="E1193" s="212" t="s">
        <v>5344</v>
      </c>
      <c r="F1193" s="212" t="s">
        <v>120</v>
      </c>
      <c r="G1193" s="250" t="n">
        <v>5.12</v>
      </c>
    </row>
    <row r="1194" customFormat="false" ht="14.4" hidden="false" customHeight="false" outlineLevel="0" collapsed="false">
      <c r="A1194" s="218"/>
      <c r="B1194" s="251"/>
      <c r="C1194" s="251"/>
      <c r="D1194" s="251"/>
      <c r="E1194" s="212" t="s">
        <v>5347</v>
      </c>
      <c r="F1194" s="212" t="s">
        <v>120</v>
      </c>
      <c r="G1194" s="250" t="n">
        <v>7.61</v>
      </c>
    </row>
    <row r="1195" customFormat="false" ht="14.4" hidden="false" customHeight="false" outlineLevel="0" collapsed="false">
      <c r="A1195" s="218"/>
      <c r="B1195" s="251"/>
      <c r="C1195" s="251"/>
      <c r="D1195" s="251"/>
      <c r="E1195" s="212" t="s">
        <v>5349</v>
      </c>
      <c r="F1195" s="212" t="s">
        <v>120</v>
      </c>
      <c r="G1195" s="250" t="n">
        <v>6.41</v>
      </c>
    </row>
    <row r="1196" customFormat="false" ht="14.4" hidden="false" customHeight="false" outlineLevel="0" collapsed="false">
      <c r="A1196" s="218"/>
      <c r="B1196" s="251"/>
      <c r="C1196" s="251"/>
      <c r="D1196" s="251"/>
      <c r="E1196" s="212" t="s">
        <v>5358</v>
      </c>
      <c r="F1196" s="212" t="s">
        <v>120</v>
      </c>
      <c r="G1196" s="250" t="n">
        <v>2.82</v>
      </c>
    </row>
    <row r="1197" customFormat="false" ht="14.4" hidden="false" customHeight="false" outlineLevel="0" collapsed="false">
      <c r="A1197" s="218"/>
      <c r="B1197" s="251"/>
      <c r="C1197" s="251"/>
      <c r="D1197" s="251"/>
      <c r="E1197" s="212" t="s">
        <v>5361</v>
      </c>
      <c r="F1197" s="212" t="s">
        <v>120</v>
      </c>
      <c r="G1197" s="250" t="n">
        <v>4.24</v>
      </c>
    </row>
    <row r="1198" customFormat="false" ht="14.4" hidden="false" customHeight="false" outlineLevel="0" collapsed="false">
      <c r="A1198" s="218"/>
      <c r="B1198" s="251"/>
      <c r="C1198" s="251"/>
      <c r="D1198" s="252"/>
      <c r="E1198" s="212" t="s">
        <v>5364</v>
      </c>
      <c r="F1198" s="212" t="s">
        <v>120</v>
      </c>
      <c r="G1198" s="250" t="n">
        <v>5.6</v>
      </c>
    </row>
    <row r="1199" customFormat="false" ht="14.4" hidden="false" customHeight="false" outlineLevel="0" collapsed="false">
      <c r="A1199" s="218"/>
      <c r="B1199" s="251"/>
      <c r="C1199" s="251"/>
      <c r="D1199" s="261" t="s">
        <v>7075</v>
      </c>
      <c r="E1199" s="224"/>
      <c r="F1199" s="225"/>
      <c r="G1199" s="217" t="n">
        <v>245.9</v>
      </c>
    </row>
    <row r="1200" customFormat="false" ht="14.4" hidden="false" customHeight="false" outlineLevel="0" collapsed="false">
      <c r="A1200" s="218"/>
      <c r="B1200" s="251"/>
      <c r="C1200" s="251"/>
      <c r="D1200" s="249" t="s">
        <v>5146</v>
      </c>
      <c r="E1200" s="212" t="s">
        <v>5145</v>
      </c>
      <c r="F1200" s="212" t="s">
        <v>120</v>
      </c>
      <c r="G1200" s="250" t="n">
        <v>37.71</v>
      </c>
    </row>
    <row r="1201" customFormat="false" ht="14.4" hidden="false" customHeight="false" outlineLevel="0" collapsed="false">
      <c r="A1201" s="218"/>
      <c r="B1201" s="251"/>
      <c r="C1201" s="251"/>
      <c r="D1201" s="252"/>
      <c r="E1201" s="212" t="s">
        <v>5256</v>
      </c>
      <c r="F1201" s="212" t="s">
        <v>120</v>
      </c>
      <c r="G1201" s="250" t="n">
        <v>6.78</v>
      </c>
    </row>
    <row r="1202" customFormat="false" ht="14.4" hidden="false" customHeight="false" outlineLevel="0" collapsed="false">
      <c r="A1202" s="218"/>
      <c r="B1202" s="251"/>
      <c r="C1202" s="251"/>
      <c r="D1202" s="261" t="s">
        <v>7182</v>
      </c>
      <c r="E1202" s="224"/>
      <c r="F1202" s="225"/>
      <c r="G1202" s="217" t="n">
        <v>44.49</v>
      </c>
    </row>
    <row r="1203" customFormat="false" ht="14.4" hidden="false" customHeight="false" outlineLevel="0" collapsed="false">
      <c r="A1203" s="218"/>
      <c r="B1203" s="251"/>
      <c r="C1203" s="251"/>
      <c r="D1203" s="212" t="s">
        <v>2400</v>
      </c>
      <c r="E1203" s="212" t="s">
        <v>5132</v>
      </c>
      <c r="F1203" s="212" t="s">
        <v>120</v>
      </c>
      <c r="G1203" s="250" t="n">
        <v>41.55</v>
      </c>
    </row>
    <row r="1204" customFormat="false" ht="14.4" hidden="false" customHeight="false" outlineLevel="0" collapsed="false">
      <c r="A1204" s="218"/>
      <c r="B1204" s="251"/>
      <c r="C1204" s="251"/>
      <c r="D1204" s="261" t="s">
        <v>7104</v>
      </c>
      <c r="E1204" s="224"/>
      <c r="F1204" s="225"/>
      <c r="G1204" s="217" t="n">
        <v>41.55</v>
      </c>
    </row>
    <row r="1205" customFormat="false" ht="14.4" hidden="false" customHeight="false" outlineLevel="0" collapsed="false">
      <c r="A1205" s="218"/>
      <c r="B1205" s="251"/>
      <c r="C1205" s="251"/>
      <c r="D1205" s="249" t="s">
        <v>4968</v>
      </c>
      <c r="E1205" s="212" t="s">
        <v>5107</v>
      </c>
      <c r="F1205" s="212" t="s">
        <v>120</v>
      </c>
      <c r="G1205" s="250" t="n">
        <v>208.43</v>
      </c>
    </row>
    <row r="1206" customFormat="false" ht="14.4" hidden="false" customHeight="false" outlineLevel="0" collapsed="false">
      <c r="A1206" s="218"/>
      <c r="B1206" s="251"/>
      <c r="C1206" s="251"/>
      <c r="D1206" s="251"/>
      <c r="E1206" s="212" t="s">
        <v>5125</v>
      </c>
      <c r="F1206" s="212" t="s">
        <v>120</v>
      </c>
      <c r="G1206" s="250" t="n">
        <v>44.1</v>
      </c>
    </row>
    <row r="1207" customFormat="false" ht="14.4" hidden="false" customHeight="false" outlineLevel="0" collapsed="false">
      <c r="A1207" s="218"/>
      <c r="B1207" s="251"/>
      <c r="C1207" s="251"/>
      <c r="D1207" s="251"/>
      <c r="E1207" s="212" t="s">
        <v>5156</v>
      </c>
      <c r="F1207" s="212" t="s">
        <v>120</v>
      </c>
      <c r="G1207" s="250" t="n">
        <v>4.36</v>
      </c>
    </row>
    <row r="1208" customFormat="false" ht="14.4" hidden="false" customHeight="false" outlineLevel="0" collapsed="false">
      <c r="A1208" s="218"/>
      <c r="B1208" s="251"/>
      <c r="C1208" s="251"/>
      <c r="D1208" s="251"/>
      <c r="E1208" s="212" t="s">
        <v>5160</v>
      </c>
      <c r="F1208" s="212" t="s">
        <v>120</v>
      </c>
      <c r="G1208" s="250" t="n">
        <v>1.13</v>
      </c>
    </row>
    <row r="1209" customFormat="false" ht="14.4" hidden="false" customHeight="false" outlineLevel="0" collapsed="false">
      <c r="A1209" s="218"/>
      <c r="B1209" s="251"/>
      <c r="C1209" s="251"/>
      <c r="D1209" s="252"/>
      <c r="E1209" s="212" t="s">
        <v>5172</v>
      </c>
      <c r="F1209" s="212" t="s">
        <v>120</v>
      </c>
      <c r="G1209" s="250" t="n">
        <v>199.23</v>
      </c>
    </row>
    <row r="1210" customFormat="false" ht="14.4" hidden="false" customHeight="false" outlineLevel="0" collapsed="false">
      <c r="A1210" s="218"/>
      <c r="B1210" s="251"/>
      <c r="C1210" s="251"/>
      <c r="D1210" s="261" t="s">
        <v>7078</v>
      </c>
      <c r="E1210" s="224"/>
      <c r="F1210" s="225"/>
      <c r="G1210" s="217" t="n">
        <v>457.25</v>
      </c>
    </row>
    <row r="1211" customFormat="false" ht="14.4" hidden="false" customHeight="false" outlineLevel="0" collapsed="false">
      <c r="A1211" s="218"/>
      <c r="B1211" s="251"/>
      <c r="C1211" s="251"/>
      <c r="D1211" s="249" t="s">
        <v>5121</v>
      </c>
      <c r="E1211" s="212" t="s">
        <v>5120</v>
      </c>
      <c r="F1211" s="212" t="s">
        <v>120</v>
      </c>
      <c r="G1211" s="250" t="n">
        <v>46.56</v>
      </c>
    </row>
    <row r="1212" customFormat="false" ht="14.4" hidden="false" customHeight="false" outlineLevel="0" collapsed="false">
      <c r="A1212" s="218"/>
      <c r="B1212" s="251"/>
      <c r="C1212" s="251"/>
      <c r="D1212" s="251"/>
      <c r="E1212" s="212" t="s">
        <v>5128</v>
      </c>
      <c r="F1212" s="212" t="s">
        <v>120</v>
      </c>
      <c r="G1212" s="250" t="n">
        <v>61.43</v>
      </c>
    </row>
    <row r="1213" customFormat="false" ht="14.4" hidden="false" customHeight="false" outlineLevel="0" collapsed="false">
      <c r="A1213" s="218"/>
      <c r="B1213" s="251"/>
      <c r="C1213" s="251"/>
      <c r="D1213" s="251"/>
      <c r="E1213" s="212" t="s">
        <v>5134</v>
      </c>
      <c r="F1213" s="212" t="s">
        <v>120</v>
      </c>
      <c r="G1213" s="250" t="n">
        <v>37.96</v>
      </c>
    </row>
    <row r="1214" customFormat="false" ht="14.4" hidden="false" customHeight="false" outlineLevel="0" collapsed="false">
      <c r="A1214" s="218"/>
      <c r="B1214" s="251"/>
      <c r="C1214" s="251"/>
      <c r="D1214" s="251"/>
      <c r="E1214" s="212" t="s">
        <v>5138</v>
      </c>
      <c r="F1214" s="212" t="s">
        <v>120</v>
      </c>
      <c r="G1214" s="250" t="n">
        <v>0.98</v>
      </c>
    </row>
    <row r="1215" customFormat="false" ht="14.4" hidden="false" customHeight="false" outlineLevel="0" collapsed="false">
      <c r="A1215" s="218"/>
      <c r="B1215" s="251"/>
      <c r="C1215" s="251"/>
      <c r="D1215" s="251"/>
      <c r="E1215" s="212" t="s">
        <v>5142</v>
      </c>
      <c r="F1215" s="212" t="s">
        <v>120</v>
      </c>
      <c r="G1215" s="250" t="n">
        <v>3.07</v>
      </c>
    </row>
    <row r="1216" customFormat="false" ht="14.4" hidden="false" customHeight="false" outlineLevel="0" collapsed="false">
      <c r="A1216" s="218"/>
      <c r="B1216" s="251"/>
      <c r="C1216" s="251"/>
      <c r="D1216" s="251"/>
      <c r="E1216" s="212" t="s">
        <v>5148</v>
      </c>
      <c r="F1216" s="212" t="s">
        <v>120</v>
      </c>
      <c r="G1216" s="250" t="n">
        <v>53.89</v>
      </c>
    </row>
    <row r="1217" customFormat="false" ht="14.4" hidden="false" customHeight="false" outlineLevel="0" collapsed="false">
      <c r="A1217" s="218"/>
      <c r="B1217" s="251"/>
      <c r="C1217" s="251"/>
      <c r="D1217" s="251"/>
      <c r="E1217" s="212" t="s">
        <v>5152</v>
      </c>
      <c r="F1217" s="212" t="s">
        <v>120</v>
      </c>
      <c r="G1217" s="250" t="n">
        <v>224.9</v>
      </c>
    </row>
    <row r="1218" customFormat="false" ht="14.4" hidden="false" customHeight="false" outlineLevel="0" collapsed="false">
      <c r="A1218" s="218"/>
      <c r="B1218" s="251"/>
      <c r="C1218" s="251"/>
      <c r="D1218" s="251"/>
      <c r="E1218" s="212" t="s">
        <v>5164</v>
      </c>
      <c r="F1218" s="212" t="s">
        <v>120</v>
      </c>
      <c r="G1218" s="250" t="n">
        <v>3.58</v>
      </c>
    </row>
    <row r="1219" customFormat="false" ht="14.4" hidden="false" customHeight="false" outlineLevel="0" collapsed="false">
      <c r="A1219" s="218"/>
      <c r="B1219" s="251"/>
      <c r="C1219" s="251"/>
      <c r="D1219" s="251"/>
      <c r="E1219" s="212" t="s">
        <v>5168</v>
      </c>
      <c r="F1219" s="212" t="s">
        <v>120</v>
      </c>
      <c r="G1219" s="250" t="n">
        <v>1.93</v>
      </c>
    </row>
    <row r="1220" customFormat="false" ht="14.4" hidden="false" customHeight="false" outlineLevel="0" collapsed="false">
      <c r="A1220" s="218"/>
      <c r="B1220" s="251"/>
      <c r="C1220" s="251"/>
      <c r="D1220" s="251"/>
      <c r="E1220" s="212" t="s">
        <v>5252</v>
      </c>
      <c r="F1220" s="212" t="s">
        <v>120</v>
      </c>
      <c r="G1220" s="250" t="n">
        <v>143.58</v>
      </c>
    </row>
    <row r="1221" customFormat="false" ht="14.4" hidden="false" customHeight="false" outlineLevel="0" collapsed="false">
      <c r="A1221" s="218"/>
      <c r="B1221" s="251"/>
      <c r="C1221" s="251"/>
      <c r="D1221" s="252"/>
      <c r="E1221" s="212" t="s">
        <v>5258</v>
      </c>
      <c r="F1221" s="212" t="s">
        <v>120</v>
      </c>
      <c r="G1221" s="250" t="n">
        <v>210.93</v>
      </c>
    </row>
    <row r="1222" customFormat="false" ht="14.4" hidden="false" customHeight="false" outlineLevel="0" collapsed="false">
      <c r="A1222" s="218"/>
      <c r="B1222" s="251"/>
      <c r="C1222" s="251"/>
      <c r="D1222" s="261" t="s">
        <v>7183</v>
      </c>
      <c r="E1222" s="224"/>
      <c r="F1222" s="225"/>
      <c r="G1222" s="217" t="n">
        <v>788.81</v>
      </c>
    </row>
    <row r="1223" customFormat="false" ht="14.4" hidden="false" customHeight="false" outlineLevel="0" collapsed="false">
      <c r="A1223" s="218"/>
      <c r="B1223" s="251"/>
      <c r="C1223" s="251"/>
      <c r="D1223" s="212" t="s">
        <v>5354</v>
      </c>
      <c r="E1223" s="212" t="s">
        <v>5353</v>
      </c>
      <c r="F1223" s="212" t="s">
        <v>120</v>
      </c>
      <c r="G1223" s="250" t="n">
        <v>49.43</v>
      </c>
    </row>
    <row r="1224" customFormat="false" ht="14.4" hidden="false" customHeight="false" outlineLevel="0" collapsed="false">
      <c r="A1224" s="218"/>
      <c r="B1224" s="251"/>
      <c r="C1224" s="251"/>
      <c r="D1224" s="261" t="s">
        <v>7184</v>
      </c>
      <c r="E1224" s="224"/>
      <c r="F1224" s="225"/>
      <c r="G1224" s="217" t="n">
        <v>49.43</v>
      </c>
    </row>
    <row r="1225" customFormat="false" ht="14.4" hidden="false" customHeight="false" outlineLevel="0" collapsed="false">
      <c r="A1225" s="218"/>
      <c r="B1225" s="251"/>
      <c r="C1225" s="251"/>
      <c r="D1225" s="249" t="s">
        <v>5527</v>
      </c>
      <c r="E1225" s="212" t="s">
        <v>5526</v>
      </c>
      <c r="F1225" s="212" t="s">
        <v>120</v>
      </c>
      <c r="G1225" s="250" t="n">
        <v>240.89</v>
      </c>
    </row>
    <row r="1226" customFormat="false" ht="14.4" hidden="false" customHeight="false" outlineLevel="0" collapsed="false">
      <c r="A1226" s="218"/>
      <c r="B1226" s="251"/>
      <c r="C1226" s="251"/>
      <c r="D1226" s="252"/>
      <c r="E1226" s="212" t="s">
        <v>5566</v>
      </c>
      <c r="F1226" s="212" t="s">
        <v>120</v>
      </c>
      <c r="G1226" s="250" t="n">
        <v>90.89</v>
      </c>
    </row>
    <row r="1227" customFormat="false" ht="14.4" hidden="false" customHeight="false" outlineLevel="0" collapsed="false">
      <c r="A1227" s="218"/>
      <c r="B1227" s="251"/>
      <c r="C1227" s="251"/>
      <c r="D1227" s="261" t="s">
        <v>7185</v>
      </c>
      <c r="E1227" s="224"/>
      <c r="F1227" s="225"/>
      <c r="G1227" s="217" t="n">
        <v>331.78</v>
      </c>
    </row>
    <row r="1228" customFormat="false" ht="14.4" hidden="false" customHeight="false" outlineLevel="0" collapsed="false">
      <c r="A1228" s="218"/>
      <c r="B1228" s="251"/>
      <c r="C1228" s="251"/>
      <c r="D1228" s="249" t="s">
        <v>5558</v>
      </c>
      <c r="E1228" s="212" t="s">
        <v>5557</v>
      </c>
      <c r="F1228" s="212" t="s">
        <v>120</v>
      </c>
      <c r="G1228" s="250" t="n">
        <v>4.47</v>
      </c>
    </row>
    <row r="1229" customFormat="false" ht="14.4" hidden="false" customHeight="false" outlineLevel="0" collapsed="false">
      <c r="A1229" s="218"/>
      <c r="B1229" s="251"/>
      <c r="C1229" s="251"/>
      <c r="D1229" s="252"/>
      <c r="E1229" s="212" t="s">
        <v>5560</v>
      </c>
      <c r="F1229" s="212" t="s">
        <v>120</v>
      </c>
      <c r="G1229" s="250" t="n">
        <v>123.55</v>
      </c>
    </row>
    <row r="1230" customFormat="false" ht="14.4" hidden="false" customHeight="false" outlineLevel="0" collapsed="false">
      <c r="A1230" s="218"/>
      <c r="B1230" s="251"/>
      <c r="C1230" s="251"/>
      <c r="D1230" s="261" t="s">
        <v>7186</v>
      </c>
      <c r="E1230" s="224"/>
      <c r="F1230" s="225"/>
      <c r="G1230" s="217" t="n">
        <v>128.02</v>
      </c>
    </row>
    <row r="1231" customFormat="false" ht="14.4" hidden="false" customHeight="false" outlineLevel="0" collapsed="false">
      <c r="A1231" s="218"/>
      <c r="B1231" s="251"/>
      <c r="C1231" s="251"/>
      <c r="D1231" s="249" t="s">
        <v>1860</v>
      </c>
      <c r="E1231" s="212" t="s">
        <v>5281</v>
      </c>
      <c r="F1231" s="212" t="s">
        <v>120</v>
      </c>
      <c r="G1231" s="250" t="n">
        <v>48.81</v>
      </c>
    </row>
    <row r="1232" customFormat="false" ht="14.4" hidden="false" customHeight="false" outlineLevel="0" collapsed="false">
      <c r="A1232" s="218"/>
      <c r="B1232" s="251"/>
      <c r="C1232" s="251"/>
      <c r="D1232" s="251"/>
      <c r="E1232" s="212" t="s">
        <v>5293</v>
      </c>
      <c r="F1232" s="212" t="s">
        <v>120</v>
      </c>
      <c r="G1232" s="250" t="n">
        <v>40.36</v>
      </c>
    </row>
    <row r="1233" customFormat="false" ht="14.4" hidden="false" customHeight="false" outlineLevel="0" collapsed="false">
      <c r="A1233" s="218"/>
      <c r="B1233" s="251"/>
      <c r="C1233" s="251"/>
      <c r="D1233" s="252"/>
      <c r="E1233" s="212" t="s">
        <v>5325</v>
      </c>
      <c r="F1233" s="212" t="s">
        <v>120</v>
      </c>
      <c r="G1233" s="250" t="n">
        <v>153.33</v>
      </c>
    </row>
    <row r="1234" customFormat="false" ht="14.4" hidden="false" customHeight="false" outlineLevel="0" collapsed="false">
      <c r="A1234" s="218"/>
      <c r="B1234" s="251"/>
      <c r="C1234" s="251"/>
      <c r="D1234" s="261" t="s">
        <v>7092</v>
      </c>
      <c r="E1234" s="224"/>
      <c r="F1234" s="225"/>
      <c r="G1234" s="217" t="n">
        <v>242.5</v>
      </c>
    </row>
    <row r="1235" customFormat="false" ht="14.4" hidden="false" customHeight="false" outlineLevel="0" collapsed="false">
      <c r="A1235" s="218"/>
      <c r="B1235" s="251"/>
      <c r="C1235" s="251"/>
      <c r="D1235" s="249" t="s">
        <v>5417</v>
      </c>
      <c r="E1235" s="212" t="s">
        <v>5416</v>
      </c>
      <c r="F1235" s="212" t="s">
        <v>120</v>
      </c>
      <c r="G1235" s="250" t="n">
        <v>54.36</v>
      </c>
    </row>
    <row r="1236" customFormat="false" ht="14.4" hidden="false" customHeight="false" outlineLevel="0" collapsed="false">
      <c r="A1236" s="218"/>
      <c r="B1236" s="251"/>
      <c r="C1236" s="251"/>
      <c r="D1236" s="251"/>
      <c r="E1236" s="212" t="s">
        <v>5421</v>
      </c>
      <c r="F1236" s="212" t="s">
        <v>120</v>
      </c>
      <c r="G1236" s="250" t="n">
        <v>114</v>
      </c>
    </row>
    <row r="1237" customFormat="false" ht="14.4" hidden="false" customHeight="false" outlineLevel="0" collapsed="false">
      <c r="A1237" s="218"/>
      <c r="B1237" s="251"/>
      <c r="C1237" s="251"/>
      <c r="D1237" s="251"/>
      <c r="E1237" s="212" t="s">
        <v>5440</v>
      </c>
      <c r="F1237" s="212" t="s">
        <v>120</v>
      </c>
      <c r="G1237" s="250" t="n">
        <v>345.1</v>
      </c>
    </row>
    <row r="1238" customFormat="false" ht="14.4" hidden="false" customHeight="false" outlineLevel="0" collapsed="false">
      <c r="A1238" s="218"/>
      <c r="B1238" s="251"/>
      <c r="C1238" s="251"/>
      <c r="D1238" s="251"/>
      <c r="E1238" s="212" t="s">
        <v>5447</v>
      </c>
      <c r="F1238" s="212" t="s">
        <v>120</v>
      </c>
      <c r="G1238" s="250" t="n">
        <v>123.71</v>
      </c>
    </row>
    <row r="1239" customFormat="false" ht="14.4" hidden="false" customHeight="false" outlineLevel="0" collapsed="false">
      <c r="A1239" s="218"/>
      <c r="B1239" s="251"/>
      <c r="C1239" s="251"/>
      <c r="D1239" s="252"/>
      <c r="E1239" s="212" t="s">
        <v>5459</v>
      </c>
      <c r="F1239" s="212" t="s">
        <v>120</v>
      </c>
      <c r="G1239" s="250" t="n">
        <v>58.24</v>
      </c>
    </row>
    <row r="1240" customFormat="false" ht="14.4" hidden="false" customHeight="false" outlineLevel="0" collapsed="false">
      <c r="A1240" s="218"/>
      <c r="B1240" s="251"/>
      <c r="C1240" s="251"/>
      <c r="D1240" s="261" t="s">
        <v>7187</v>
      </c>
      <c r="E1240" s="224"/>
      <c r="F1240" s="225"/>
      <c r="G1240" s="217" t="n">
        <v>695.41</v>
      </c>
    </row>
    <row r="1241" customFormat="false" ht="14.4" hidden="false" customHeight="false" outlineLevel="0" collapsed="false">
      <c r="A1241" s="218"/>
      <c r="B1241" s="251"/>
      <c r="C1241" s="251"/>
      <c r="D1241" s="249" t="s">
        <v>5493</v>
      </c>
      <c r="E1241" s="212" t="s">
        <v>5492</v>
      </c>
      <c r="F1241" s="212" t="s">
        <v>120</v>
      </c>
      <c r="G1241" s="250" t="n">
        <v>105.07</v>
      </c>
    </row>
    <row r="1242" customFormat="false" ht="14.4" hidden="false" customHeight="false" outlineLevel="0" collapsed="false">
      <c r="A1242" s="218"/>
      <c r="B1242" s="251"/>
      <c r="C1242" s="251"/>
      <c r="D1242" s="251"/>
      <c r="E1242" s="212" t="s">
        <v>5519</v>
      </c>
      <c r="F1242" s="212" t="s">
        <v>120</v>
      </c>
      <c r="G1242" s="250" t="n">
        <v>76.06</v>
      </c>
    </row>
    <row r="1243" customFormat="false" ht="14.4" hidden="false" customHeight="false" outlineLevel="0" collapsed="false">
      <c r="A1243" s="218"/>
      <c r="B1243" s="251"/>
      <c r="C1243" s="251"/>
      <c r="D1243" s="252"/>
      <c r="E1243" s="212" t="s">
        <v>5563</v>
      </c>
      <c r="F1243" s="212" t="s">
        <v>120</v>
      </c>
      <c r="G1243" s="250" t="n">
        <v>69.62</v>
      </c>
    </row>
    <row r="1244" customFormat="false" ht="14.4" hidden="false" customHeight="false" outlineLevel="0" collapsed="false">
      <c r="A1244" s="218"/>
      <c r="B1244" s="251"/>
      <c r="C1244" s="251"/>
      <c r="D1244" s="261" t="s">
        <v>7188</v>
      </c>
      <c r="E1244" s="224"/>
      <c r="F1244" s="225"/>
      <c r="G1244" s="217" t="n">
        <v>250.75</v>
      </c>
    </row>
    <row r="1245" customFormat="false" ht="14.4" hidden="false" customHeight="false" outlineLevel="0" collapsed="false">
      <c r="A1245" s="218"/>
      <c r="B1245" s="251"/>
      <c r="C1245" s="251"/>
      <c r="D1245" s="249" t="s">
        <v>7055</v>
      </c>
      <c r="E1245" s="212" t="s">
        <v>5213</v>
      </c>
      <c r="F1245" s="212" t="s">
        <v>120</v>
      </c>
      <c r="G1245" s="250" t="n">
        <v>42.47</v>
      </c>
    </row>
    <row r="1246" customFormat="false" ht="14.4" hidden="false" customHeight="false" outlineLevel="0" collapsed="false">
      <c r="A1246" s="218"/>
      <c r="B1246" s="251"/>
      <c r="C1246" s="251"/>
      <c r="D1246" s="251"/>
      <c r="E1246" s="212" t="s">
        <v>5262</v>
      </c>
      <c r="F1246" s="212" t="s">
        <v>120</v>
      </c>
      <c r="G1246" s="250" t="n">
        <v>47.83</v>
      </c>
    </row>
    <row r="1247" customFormat="false" ht="14.4" hidden="false" customHeight="false" outlineLevel="0" collapsed="false">
      <c r="A1247" s="218"/>
      <c r="B1247" s="251"/>
      <c r="C1247" s="251"/>
      <c r="D1247" s="251"/>
      <c r="E1247" s="212" t="s">
        <v>5289</v>
      </c>
      <c r="F1247" s="212" t="s">
        <v>120</v>
      </c>
      <c r="G1247" s="250" t="n">
        <v>54.12</v>
      </c>
    </row>
    <row r="1248" customFormat="false" ht="14.4" hidden="false" customHeight="false" outlineLevel="0" collapsed="false">
      <c r="A1248" s="218"/>
      <c r="B1248" s="251"/>
      <c r="C1248" s="251"/>
      <c r="D1248" s="251"/>
      <c r="E1248" s="212" t="s">
        <v>5296</v>
      </c>
      <c r="F1248" s="212" t="s">
        <v>120</v>
      </c>
      <c r="G1248" s="250" t="n">
        <v>137.19</v>
      </c>
    </row>
    <row r="1249" customFormat="false" ht="14.4" hidden="false" customHeight="false" outlineLevel="0" collapsed="false">
      <c r="A1249" s="218"/>
      <c r="B1249" s="251"/>
      <c r="C1249" s="251"/>
      <c r="D1249" s="251"/>
      <c r="E1249" s="212" t="s">
        <v>5300</v>
      </c>
      <c r="F1249" s="212" t="s">
        <v>120</v>
      </c>
      <c r="G1249" s="250" t="n">
        <v>135.37</v>
      </c>
    </row>
    <row r="1250" customFormat="false" ht="14.4" hidden="false" customHeight="false" outlineLevel="0" collapsed="false">
      <c r="A1250" s="218"/>
      <c r="B1250" s="251"/>
      <c r="C1250" s="251"/>
      <c r="D1250" s="251"/>
      <c r="E1250" s="212" t="s">
        <v>5308</v>
      </c>
      <c r="F1250" s="212" t="s">
        <v>120</v>
      </c>
      <c r="G1250" s="250" t="n">
        <v>45.34</v>
      </c>
    </row>
    <row r="1251" customFormat="false" ht="14.4" hidden="false" customHeight="false" outlineLevel="0" collapsed="false">
      <c r="A1251" s="218"/>
      <c r="B1251" s="251"/>
      <c r="C1251" s="251"/>
      <c r="D1251" s="251"/>
      <c r="E1251" s="212" t="s">
        <v>5369</v>
      </c>
      <c r="F1251" s="212" t="s">
        <v>120</v>
      </c>
      <c r="G1251" s="250" t="n">
        <v>183.46</v>
      </c>
    </row>
    <row r="1252" customFormat="false" ht="14.4" hidden="false" customHeight="false" outlineLevel="0" collapsed="false">
      <c r="A1252" s="218"/>
      <c r="B1252" s="251"/>
      <c r="C1252" s="251"/>
      <c r="D1252" s="251"/>
      <c r="E1252" s="212" t="s">
        <v>5380</v>
      </c>
      <c r="F1252" s="212" t="s">
        <v>120</v>
      </c>
      <c r="G1252" s="250" t="n">
        <v>136.57</v>
      </c>
    </row>
    <row r="1253" customFormat="false" ht="14.4" hidden="false" customHeight="false" outlineLevel="0" collapsed="false">
      <c r="A1253" s="218"/>
      <c r="B1253" s="251"/>
      <c r="C1253" s="251"/>
      <c r="D1253" s="251"/>
      <c r="E1253" s="212" t="s">
        <v>5388</v>
      </c>
      <c r="F1253" s="212" t="s">
        <v>120</v>
      </c>
      <c r="G1253" s="250" t="n">
        <v>123.53</v>
      </c>
    </row>
    <row r="1254" customFormat="false" ht="14.4" hidden="false" customHeight="false" outlineLevel="0" collapsed="false">
      <c r="A1254" s="218"/>
      <c r="B1254" s="251"/>
      <c r="C1254" s="251"/>
      <c r="D1254" s="251"/>
      <c r="E1254" s="212" t="s">
        <v>5399</v>
      </c>
      <c r="F1254" s="212" t="s">
        <v>120</v>
      </c>
      <c r="G1254" s="250" t="n">
        <v>93.28</v>
      </c>
    </row>
    <row r="1255" customFormat="false" ht="14.4" hidden="false" customHeight="false" outlineLevel="0" collapsed="false">
      <c r="A1255" s="218"/>
      <c r="B1255" s="251"/>
      <c r="C1255" s="251"/>
      <c r="D1255" s="251"/>
      <c r="E1255" s="212" t="s">
        <v>5402</v>
      </c>
      <c r="F1255" s="212" t="s">
        <v>120</v>
      </c>
      <c r="G1255" s="250" t="n">
        <v>4.41</v>
      </c>
    </row>
    <row r="1256" customFormat="false" ht="14.4" hidden="false" customHeight="false" outlineLevel="0" collapsed="false">
      <c r="A1256" s="218"/>
      <c r="B1256" s="251"/>
      <c r="C1256" s="251"/>
      <c r="D1256" s="251"/>
      <c r="E1256" s="212" t="s">
        <v>5406</v>
      </c>
      <c r="F1256" s="212" t="s">
        <v>120</v>
      </c>
      <c r="G1256" s="250" t="n">
        <v>0.6</v>
      </c>
    </row>
    <row r="1257" customFormat="false" ht="14.4" hidden="false" customHeight="false" outlineLevel="0" collapsed="false">
      <c r="A1257" s="218"/>
      <c r="B1257" s="251"/>
      <c r="C1257" s="251"/>
      <c r="D1257" s="251"/>
      <c r="E1257" s="212" t="s">
        <v>5410</v>
      </c>
      <c r="F1257" s="212" t="s">
        <v>120</v>
      </c>
      <c r="G1257" s="250" t="n">
        <v>113.36</v>
      </c>
    </row>
    <row r="1258" customFormat="false" ht="14.4" hidden="false" customHeight="false" outlineLevel="0" collapsed="false">
      <c r="A1258" s="218"/>
      <c r="B1258" s="251"/>
      <c r="C1258" s="251"/>
      <c r="D1258" s="251"/>
      <c r="E1258" s="212" t="s">
        <v>5425</v>
      </c>
      <c r="F1258" s="212" t="s">
        <v>120</v>
      </c>
      <c r="G1258" s="250" t="n">
        <v>133.51</v>
      </c>
    </row>
    <row r="1259" customFormat="false" ht="14.4" hidden="false" customHeight="false" outlineLevel="0" collapsed="false">
      <c r="A1259" s="218"/>
      <c r="B1259" s="251"/>
      <c r="C1259" s="251"/>
      <c r="D1259" s="251"/>
      <c r="E1259" s="212" t="s">
        <v>5428</v>
      </c>
      <c r="F1259" s="212" t="s">
        <v>120</v>
      </c>
      <c r="G1259" s="250" t="n">
        <v>41.9</v>
      </c>
    </row>
    <row r="1260" customFormat="false" ht="14.4" hidden="false" customHeight="false" outlineLevel="0" collapsed="false">
      <c r="A1260" s="218"/>
      <c r="B1260" s="251"/>
      <c r="C1260" s="251"/>
      <c r="D1260" s="251"/>
      <c r="E1260" s="212" t="s">
        <v>5433</v>
      </c>
      <c r="F1260" s="212" t="s">
        <v>120</v>
      </c>
      <c r="G1260" s="250" t="n">
        <v>18.77</v>
      </c>
    </row>
    <row r="1261" customFormat="false" ht="14.4" hidden="false" customHeight="false" outlineLevel="0" collapsed="false">
      <c r="A1261" s="218"/>
      <c r="B1261" s="251"/>
      <c r="C1261" s="251"/>
      <c r="D1261" s="251"/>
      <c r="E1261" s="212" t="s">
        <v>5436</v>
      </c>
      <c r="F1261" s="212" t="s">
        <v>120</v>
      </c>
      <c r="G1261" s="250" t="n">
        <v>24.38</v>
      </c>
    </row>
    <row r="1262" customFormat="false" ht="14.4" hidden="false" customHeight="false" outlineLevel="0" collapsed="false">
      <c r="A1262" s="218"/>
      <c r="B1262" s="251"/>
      <c r="C1262" s="251"/>
      <c r="D1262" s="251"/>
      <c r="E1262" s="212" t="s">
        <v>5443</v>
      </c>
      <c r="F1262" s="212" t="s">
        <v>120</v>
      </c>
      <c r="G1262" s="250" t="n">
        <v>62.14</v>
      </c>
    </row>
    <row r="1263" customFormat="false" ht="14.4" hidden="false" customHeight="false" outlineLevel="0" collapsed="false">
      <c r="A1263" s="218"/>
      <c r="B1263" s="251"/>
      <c r="C1263" s="251"/>
      <c r="D1263" s="251"/>
      <c r="E1263" s="212" t="s">
        <v>5450</v>
      </c>
      <c r="F1263" s="212" t="s">
        <v>120</v>
      </c>
      <c r="G1263" s="250" t="n">
        <v>265.83</v>
      </c>
    </row>
    <row r="1264" customFormat="false" ht="14.4" hidden="false" customHeight="false" outlineLevel="0" collapsed="false">
      <c r="A1264" s="218"/>
      <c r="B1264" s="251"/>
      <c r="C1264" s="251"/>
      <c r="D1264" s="251"/>
      <c r="E1264" s="212" t="s">
        <v>5454</v>
      </c>
      <c r="F1264" s="212" t="s">
        <v>120</v>
      </c>
      <c r="G1264" s="250" t="n">
        <v>11.62</v>
      </c>
    </row>
    <row r="1265" customFormat="false" ht="14.4" hidden="false" customHeight="false" outlineLevel="0" collapsed="false">
      <c r="A1265" s="218"/>
      <c r="B1265" s="251"/>
      <c r="C1265" s="251"/>
      <c r="D1265" s="251"/>
      <c r="E1265" s="212" t="s">
        <v>5463</v>
      </c>
      <c r="F1265" s="212" t="s">
        <v>120</v>
      </c>
      <c r="G1265" s="250" t="n">
        <v>234.47</v>
      </c>
    </row>
    <row r="1266" customFormat="false" ht="14.4" hidden="false" customHeight="false" outlineLevel="0" collapsed="false">
      <c r="A1266" s="218"/>
      <c r="B1266" s="251"/>
      <c r="C1266" s="251"/>
      <c r="D1266" s="251"/>
      <c r="E1266" s="212" t="s">
        <v>5466</v>
      </c>
      <c r="F1266" s="212" t="s">
        <v>120</v>
      </c>
      <c r="G1266" s="250" t="n">
        <v>36.59</v>
      </c>
    </row>
    <row r="1267" customFormat="false" ht="14.4" hidden="false" customHeight="false" outlineLevel="0" collapsed="false">
      <c r="A1267" s="218"/>
      <c r="B1267" s="251"/>
      <c r="C1267" s="251"/>
      <c r="D1267" s="251"/>
      <c r="E1267" s="212" t="s">
        <v>5486</v>
      </c>
      <c r="F1267" s="212" t="s">
        <v>120</v>
      </c>
      <c r="G1267" s="250" t="n">
        <v>2.68</v>
      </c>
    </row>
    <row r="1268" customFormat="false" ht="14.4" hidden="false" customHeight="false" outlineLevel="0" collapsed="false">
      <c r="A1268" s="218"/>
      <c r="B1268" s="251"/>
      <c r="C1268" s="251"/>
      <c r="D1268" s="251"/>
      <c r="E1268" s="212" t="s">
        <v>5489</v>
      </c>
      <c r="F1268" s="212" t="s">
        <v>120</v>
      </c>
      <c r="G1268" s="250" t="n">
        <v>108.12</v>
      </c>
    </row>
    <row r="1269" customFormat="false" ht="14.4" hidden="false" customHeight="false" outlineLevel="0" collapsed="false">
      <c r="A1269" s="218"/>
      <c r="B1269" s="251"/>
      <c r="C1269" s="251"/>
      <c r="D1269" s="251"/>
      <c r="E1269" s="212" t="s">
        <v>5509</v>
      </c>
      <c r="F1269" s="212" t="s">
        <v>120</v>
      </c>
      <c r="G1269" s="250" t="n">
        <v>219.59</v>
      </c>
    </row>
    <row r="1270" customFormat="false" ht="14.4" hidden="false" customHeight="false" outlineLevel="0" collapsed="false">
      <c r="A1270" s="218"/>
      <c r="B1270" s="251"/>
      <c r="C1270" s="251"/>
      <c r="D1270" s="251"/>
      <c r="E1270" s="212" t="s">
        <v>5523</v>
      </c>
      <c r="F1270" s="212" t="s">
        <v>120</v>
      </c>
      <c r="G1270" s="250" t="n">
        <v>91.5</v>
      </c>
    </row>
    <row r="1271" customFormat="false" ht="14.4" hidden="false" customHeight="false" outlineLevel="0" collapsed="false">
      <c r="A1271" s="218"/>
      <c r="B1271" s="251"/>
      <c r="C1271" s="251"/>
      <c r="D1271" s="251"/>
      <c r="E1271" s="212" t="s">
        <v>5545</v>
      </c>
      <c r="F1271" s="212" t="s">
        <v>120</v>
      </c>
      <c r="G1271" s="250" t="n">
        <v>215.78</v>
      </c>
    </row>
    <row r="1272" customFormat="false" ht="14.4" hidden="false" customHeight="false" outlineLevel="0" collapsed="false">
      <c r="A1272" s="218"/>
      <c r="B1272" s="251"/>
      <c r="C1272" s="251"/>
      <c r="D1272" s="251"/>
      <c r="E1272" s="212" t="s">
        <v>5570</v>
      </c>
      <c r="F1272" s="212" t="s">
        <v>120</v>
      </c>
      <c r="G1272" s="250" t="n">
        <v>36.05</v>
      </c>
    </row>
    <row r="1273" customFormat="false" ht="14.4" hidden="false" customHeight="false" outlineLevel="0" collapsed="false">
      <c r="A1273" s="218"/>
      <c r="B1273" s="251"/>
      <c r="C1273" s="251"/>
      <c r="D1273" s="251"/>
      <c r="E1273" s="212" t="s">
        <v>5575</v>
      </c>
      <c r="F1273" s="212" t="s">
        <v>120</v>
      </c>
      <c r="G1273" s="250" t="n">
        <v>193.55</v>
      </c>
    </row>
    <row r="1274" customFormat="false" ht="14.4" hidden="false" customHeight="false" outlineLevel="0" collapsed="false">
      <c r="A1274" s="218"/>
      <c r="B1274" s="251"/>
      <c r="C1274" s="251"/>
      <c r="D1274" s="251"/>
      <c r="E1274" s="212" t="s">
        <v>5586</v>
      </c>
      <c r="F1274" s="212" t="s">
        <v>120</v>
      </c>
      <c r="G1274" s="250" t="n">
        <v>109.5</v>
      </c>
    </row>
    <row r="1275" customFormat="false" ht="14.4" hidden="false" customHeight="false" outlineLevel="0" collapsed="false">
      <c r="A1275" s="218"/>
      <c r="B1275" s="251"/>
      <c r="C1275" s="251"/>
      <c r="D1275" s="251"/>
      <c r="E1275" s="212" t="s">
        <v>5606</v>
      </c>
      <c r="F1275" s="212" t="s">
        <v>120</v>
      </c>
      <c r="G1275" s="250" t="n">
        <v>50.52</v>
      </c>
    </row>
    <row r="1276" customFormat="false" ht="14.4" hidden="false" customHeight="false" outlineLevel="0" collapsed="false">
      <c r="A1276" s="218"/>
      <c r="B1276" s="251"/>
      <c r="C1276" s="251"/>
      <c r="D1276" s="251"/>
      <c r="E1276" s="212" t="s">
        <v>5624</v>
      </c>
      <c r="F1276" s="212" t="s">
        <v>120</v>
      </c>
      <c r="G1276" s="250" t="n">
        <v>32.5</v>
      </c>
    </row>
    <row r="1277" customFormat="false" ht="14.4" hidden="false" customHeight="false" outlineLevel="0" collapsed="false">
      <c r="A1277" s="218"/>
      <c r="B1277" s="251"/>
      <c r="C1277" s="251"/>
      <c r="D1277" s="251"/>
      <c r="E1277" s="212" t="s">
        <v>5630</v>
      </c>
      <c r="F1277" s="212" t="s">
        <v>120</v>
      </c>
      <c r="G1277" s="250" t="n">
        <v>32.58</v>
      </c>
    </row>
    <row r="1278" customFormat="false" ht="14.4" hidden="false" customHeight="false" outlineLevel="0" collapsed="false">
      <c r="A1278" s="218"/>
      <c r="B1278" s="251"/>
      <c r="C1278" s="251"/>
      <c r="D1278" s="251"/>
      <c r="E1278" s="212" t="s">
        <v>5632</v>
      </c>
      <c r="F1278" s="212" t="s">
        <v>120</v>
      </c>
      <c r="G1278" s="250" t="n">
        <v>42.32</v>
      </c>
    </row>
    <row r="1279" customFormat="false" ht="14.4" hidden="false" customHeight="false" outlineLevel="0" collapsed="false">
      <c r="A1279" s="218"/>
      <c r="B1279" s="251"/>
      <c r="C1279" s="251"/>
      <c r="D1279" s="251"/>
      <c r="E1279" s="212" t="s">
        <v>5635</v>
      </c>
      <c r="F1279" s="212" t="s">
        <v>120</v>
      </c>
      <c r="G1279" s="250" t="n">
        <v>161.54</v>
      </c>
    </row>
    <row r="1280" customFormat="false" ht="14.4" hidden="false" customHeight="false" outlineLevel="0" collapsed="false">
      <c r="A1280" s="218"/>
      <c r="B1280" s="251"/>
      <c r="C1280" s="251"/>
      <c r="D1280" s="251"/>
      <c r="E1280" s="212" t="s">
        <v>5639</v>
      </c>
      <c r="F1280" s="212" t="s">
        <v>120</v>
      </c>
      <c r="G1280" s="250" t="n">
        <v>33.39</v>
      </c>
    </row>
    <row r="1281" customFormat="false" ht="14.4" hidden="false" customHeight="false" outlineLevel="0" collapsed="false">
      <c r="A1281" s="218"/>
      <c r="B1281" s="251"/>
      <c r="C1281" s="251"/>
      <c r="D1281" s="251"/>
      <c r="E1281" s="212" t="s">
        <v>5642</v>
      </c>
      <c r="F1281" s="212" t="s">
        <v>120</v>
      </c>
      <c r="G1281" s="250" t="n">
        <v>23.51</v>
      </c>
    </row>
    <row r="1282" customFormat="false" ht="14.4" hidden="false" customHeight="false" outlineLevel="0" collapsed="false">
      <c r="A1282" s="218"/>
      <c r="B1282" s="251"/>
      <c r="C1282" s="251"/>
      <c r="D1282" s="251"/>
      <c r="E1282" s="212" t="s">
        <v>5646</v>
      </c>
      <c r="F1282" s="212" t="s">
        <v>120</v>
      </c>
      <c r="G1282" s="250" t="n">
        <v>55.48</v>
      </c>
    </row>
    <row r="1283" customFormat="false" ht="14.4" hidden="false" customHeight="false" outlineLevel="0" collapsed="false">
      <c r="A1283" s="218"/>
      <c r="B1283" s="251"/>
      <c r="C1283" s="251"/>
      <c r="D1283" s="251"/>
      <c r="E1283" s="212" t="s">
        <v>5654</v>
      </c>
      <c r="F1283" s="212" t="s">
        <v>120</v>
      </c>
      <c r="G1283" s="250" t="n">
        <v>16.53</v>
      </c>
    </row>
    <row r="1284" customFormat="false" ht="14.4" hidden="false" customHeight="false" outlineLevel="0" collapsed="false">
      <c r="A1284" s="218"/>
      <c r="B1284" s="251"/>
      <c r="C1284" s="251"/>
      <c r="D1284" s="251"/>
      <c r="E1284" s="212" t="s">
        <v>5656</v>
      </c>
      <c r="F1284" s="212" t="s">
        <v>120</v>
      </c>
      <c r="G1284" s="250" t="n">
        <v>51.32</v>
      </c>
    </row>
    <row r="1285" customFormat="false" ht="14.4" hidden="false" customHeight="false" outlineLevel="0" collapsed="false">
      <c r="A1285" s="218"/>
      <c r="B1285" s="251"/>
      <c r="C1285" s="251"/>
      <c r="D1285" s="251"/>
      <c r="E1285" s="212" t="s">
        <v>5673</v>
      </c>
      <c r="F1285" s="212" t="s">
        <v>120</v>
      </c>
      <c r="G1285" s="250" t="n">
        <v>93.15</v>
      </c>
    </row>
    <row r="1286" customFormat="false" ht="14.4" hidden="false" customHeight="false" outlineLevel="0" collapsed="false">
      <c r="A1286" s="218"/>
      <c r="B1286" s="251"/>
      <c r="C1286" s="251"/>
      <c r="D1286" s="251"/>
      <c r="E1286" s="212" t="s">
        <v>5682</v>
      </c>
      <c r="F1286" s="212" t="s">
        <v>120</v>
      </c>
      <c r="G1286" s="250" t="n">
        <v>34.36</v>
      </c>
    </row>
    <row r="1287" customFormat="false" ht="14.4" hidden="false" customHeight="false" outlineLevel="0" collapsed="false">
      <c r="A1287" s="218"/>
      <c r="B1287" s="251"/>
      <c r="C1287" s="251"/>
      <c r="D1287" s="251"/>
      <c r="E1287" s="212" t="s">
        <v>5685</v>
      </c>
      <c r="F1287" s="212" t="s">
        <v>120</v>
      </c>
      <c r="G1287" s="250" t="n">
        <v>32.73</v>
      </c>
    </row>
    <row r="1288" customFormat="false" ht="14.4" hidden="false" customHeight="false" outlineLevel="0" collapsed="false">
      <c r="A1288" s="218"/>
      <c r="B1288" s="251"/>
      <c r="C1288" s="251"/>
      <c r="D1288" s="252"/>
      <c r="E1288" s="212" t="s">
        <v>5696</v>
      </c>
      <c r="F1288" s="212" t="s">
        <v>120</v>
      </c>
      <c r="G1288" s="250" t="n">
        <v>71.2</v>
      </c>
    </row>
    <row r="1289" customFormat="false" ht="14.4" hidden="false" customHeight="false" outlineLevel="0" collapsed="false">
      <c r="A1289" s="218"/>
      <c r="B1289" s="251"/>
      <c r="C1289" s="252"/>
      <c r="D1289" s="261" t="s">
        <v>7060</v>
      </c>
      <c r="E1289" s="224"/>
      <c r="F1289" s="225"/>
      <c r="G1289" s="217" t="n">
        <v>3654.64</v>
      </c>
    </row>
    <row r="1290" customFormat="false" ht="14.4" hidden="false" customHeight="false" outlineLevel="0" collapsed="false">
      <c r="A1290" s="218"/>
      <c r="B1290" s="251"/>
      <c r="C1290" s="249" t="s">
        <v>7055</v>
      </c>
      <c r="D1290" s="212" t="s">
        <v>7055</v>
      </c>
      <c r="E1290" s="212" t="s">
        <v>5384</v>
      </c>
      <c r="F1290" s="212" t="s">
        <v>120</v>
      </c>
      <c r="G1290" s="250" t="n">
        <v>157.4</v>
      </c>
    </row>
    <row r="1291" customFormat="false" ht="14.4" hidden="false" customHeight="false" outlineLevel="0" collapsed="false">
      <c r="A1291" s="218"/>
      <c r="B1291" s="252"/>
      <c r="C1291" s="252"/>
      <c r="D1291" s="261" t="s">
        <v>7060</v>
      </c>
      <c r="E1291" s="224"/>
      <c r="F1291" s="225"/>
      <c r="G1291" s="217" t="n">
        <v>157.4</v>
      </c>
    </row>
    <row r="1292" customFormat="false" ht="14.4" hidden="false" customHeight="false" outlineLevel="0" collapsed="false">
      <c r="A1292" s="218"/>
      <c r="B1292" s="249" t="s">
        <v>5700</v>
      </c>
      <c r="C1292" s="249" t="s">
        <v>1594</v>
      </c>
      <c r="D1292" s="249" t="s">
        <v>2387</v>
      </c>
      <c r="E1292" s="212" t="s">
        <v>5975</v>
      </c>
      <c r="F1292" s="212" t="s">
        <v>120</v>
      </c>
      <c r="G1292" s="250" t="n">
        <v>126.3</v>
      </c>
    </row>
    <row r="1293" customFormat="false" ht="14.4" hidden="false" customHeight="false" outlineLevel="0" collapsed="false">
      <c r="A1293" s="218"/>
      <c r="B1293" s="251"/>
      <c r="C1293" s="251"/>
      <c r="D1293" s="251"/>
      <c r="E1293" s="212" t="s">
        <v>6005</v>
      </c>
      <c r="F1293" s="212" t="s">
        <v>120</v>
      </c>
      <c r="G1293" s="250" t="n">
        <v>32.42</v>
      </c>
    </row>
    <row r="1294" customFormat="false" ht="14.4" hidden="false" customHeight="false" outlineLevel="0" collapsed="false">
      <c r="A1294" s="218"/>
      <c r="B1294" s="251"/>
      <c r="C1294" s="251"/>
      <c r="D1294" s="251"/>
      <c r="E1294" s="212" t="s">
        <v>6009</v>
      </c>
      <c r="F1294" s="212" t="s">
        <v>120</v>
      </c>
      <c r="G1294" s="250" t="n">
        <v>49.3</v>
      </c>
    </row>
    <row r="1295" customFormat="false" ht="14.4" hidden="false" customHeight="false" outlineLevel="0" collapsed="false">
      <c r="A1295" s="218"/>
      <c r="B1295" s="251"/>
      <c r="C1295" s="251"/>
      <c r="D1295" s="251"/>
      <c r="E1295" s="212" t="s">
        <v>6013</v>
      </c>
      <c r="F1295" s="212" t="s">
        <v>120</v>
      </c>
      <c r="G1295" s="250" t="n">
        <v>131.02</v>
      </c>
    </row>
    <row r="1296" customFormat="false" ht="14.4" hidden="false" customHeight="false" outlineLevel="0" collapsed="false">
      <c r="A1296" s="218"/>
      <c r="B1296" s="251"/>
      <c r="C1296" s="251"/>
      <c r="D1296" s="251"/>
      <c r="E1296" s="212" t="s">
        <v>6020</v>
      </c>
      <c r="F1296" s="212" t="s">
        <v>120</v>
      </c>
      <c r="G1296" s="250" t="n">
        <v>34.38</v>
      </c>
    </row>
    <row r="1297" customFormat="false" ht="14.4" hidden="false" customHeight="false" outlineLevel="0" collapsed="false">
      <c r="A1297" s="218"/>
      <c r="B1297" s="251"/>
      <c r="C1297" s="251"/>
      <c r="D1297" s="251"/>
      <c r="E1297" s="212" t="s">
        <v>6024</v>
      </c>
      <c r="F1297" s="212" t="s">
        <v>120</v>
      </c>
      <c r="G1297" s="250" t="n">
        <v>37.08</v>
      </c>
    </row>
    <row r="1298" customFormat="false" ht="14.4" hidden="false" customHeight="false" outlineLevel="0" collapsed="false">
      <c r="A1298" s="218"/>
      <c r="B1298" s="251"/>
      <c r="C1298" s="251"/>
      <c r="D1298" s="251"/>
      <c r="E1298" s="212" t="s">
        <v>6028</v>
      </c>
      <c r="F1298" s="212" t="s">
        <v>120</v>
      </c>
      <c r="G1298" s="250" t="n">
        <v>23.05</v>
      </c>
    </row>
    <row r="1299" customFormat="false" ht="14.4" hidden="false" customHeight="false" outlineLevel="0" collapsed="false">
      <c r="A1299" s="218"/>
      <c r="B1299" s="251"/>
      <c r="C1299" s="251"/>
      <c r="D1299" s="251"/>
      <c r="E1299" s="212" t="s">
        <v>6032</v>
      </c>
      <c r="F1299" s="212" t="s">
        <v>120</v>
      </c>
      <c r="G1299" s="250" t="n">
        <v>34.75</v>
      </c>
    </row>
    <row r="1300" customFormat="false" ht="14.4" hidden="false" customHeight="false" outlineLevel="0" collapsed="false">
      <c r="A1300" s="218"/>
      <c r="B1300" s="251"/>
      <c r="C1300" s="251"/>
      <c r="D1300" s="251"/>
      <c r="E1300" s="212" t="s">
        <v>6035</v>
      </c>
      <c r="F1300" s="212" t="s">
        <v>120</v>
      </c>
      <c r="G1300" s="250" t="n">
        <v>137.36</v>
      </c>
    </row>
    <row r="1301" customFormat="false" ht="14.4" hidden="false" customHeight="false" outlineLevel="0" collapsed="false">
      <c r="A1301" s="218"/>
      <c r="B1301" s="251"/>
      <c r="C1301" s="251"/>
      <c r="D1301" s="251"/>
      <c r="E1301" s="212" t="s">
        <v>6038</v>
      </c>
      <c r="F1301" s="212" t="s">
        <v>120</v>
      </c>
      <c r="G1301" s="250" t="n">
        <v>145.41</v>
      </c>
    </row>
    <row r="1302" customFormat="false" ht="14.4" hidden="false" customHeight="false" outlineLevel="0" collapsed="false">
      <c r="A1302" s="218"/>
      <c r="B1302" s="251"/>
      <c r="C1302" s="251"/>
      <c r="D1302" s="251"/>
      <c r="E1302" s="212" t="s">
        <v>6041</v>
      </c>
      <c r="F1302" s="212" t="s">
        <v>120</v>
      </c>
      <c r="G1302" s="250" t="n">
        <v>65.32</v>
      </c>
    </row>
    <row r="1303" customFormat="false" ht="14.4" hidden="false" customHeight="false" outlineLevel="0" collapsed="false">
      <c r="A1303" s="218"/>
      <c r="B1303" s="251"/>
      <c r="C1303" s="251"/>
      <c r="D1303" s="251"/>
      <c r="E1303" s="212" t="s">
        <v>6045</v>
      </c>
      <c r="F1303" s="212" t="s">
        <v>120</v>
      </c>
      <c r="G1303" s="250" t="n">
        <v>40.44</v>
      </c>
    </row>
    <row r="1304" customFormat="false" ht="14.4" hidden="false" customHeight="false" outlineLevel="0" collapsed="false">
      <c r="A1304" s="218"/>
      <c r="B1304" s="251"/>
      <c r="C1304" s="251"/>
      <c r="D1304" s="251"/>
      <c r="E1304" s="212" t="s">
        <v>6049</v>
      </c>
      <c r="F1304" s="212" t="s">
        <v>120</v>
      </c>
      <c r="G1304" s="250" t="n">
        <v>85.61</v>
      </c>
    </row>
    <row r="1305" customFormat="false" ht="14.4" hidden="false" customHeight="false" outlineLevel="0" collapsed="false">
      <c r="A1305" s="218"/>
      <c r="B1305" s="251"/>
      <c r="C1305" s="251"/>
      <c r="D1305" s="251"/>
      <c r="E1305" s="212" t="s">
        <v>6052</v>
      </c>
      <c r="F1305" s="212" t="s">
        <v>120</v>
      </c>
      <c r="G1305" s="250" t="n">
        <v>2.5</v>
      </c>
    </row>
    <row r="1306" customFormat="false" ht="14.4" hidden="false" customHeight="false" outlineLevel="0" collapsed="false">
      <c r="A1306" s="218"/>
      <c r="B1306" s="251"/>
      <c r="C1306" s="251"/>
      <c r="D1306" s="251"/>
      <c r="E1306" s="212" t="s">
        <v>6056</v>
      </c>
      <c r="F1306" s="212" t="s">
        <v>120</v>
      </c>
      <c r="G1306" s="250" t="n">
        <v>10.38</v>
      </c>
    </row>
    <row r="1307" customFormat="false" ht="14.4" hidden="false" customHeight="false" outlineLevel="0" collapsed="false">
      <c r="A1307" s="218"/>
      <c r="B1307" s="251"/>
      <c r="C1307" s="251"/>
      <c r="D1307" s="251"/>
      <c r="E1307" s="212" t="s">
        <v>6059</v>
      </c>
      <c r="F1307" s="212" t="s">
        <v>120</v>
      </c>
      <c r="G1307" s="250" t="n">
        <v>61.49</v>
      </c>
    </row>
    <row r="1308" customFormat="false" ht="14.4" hidden="false" customHeight="false" outlineLevel="0" collapsed="false">
      <c r="A1308" s="218"/>
      <c r="B1308" s="251"/>
      <c r="C1308" s="251"/>
      <c r="D1308" s="251"/>
      <c r="E1308" s="212" t="s">
        <v>6063</v>
      </c>
      <c r="F1308" s="212" t="s">
        <v>120</v>
      </c>
      <c r="G1308" s="250" t="n">
        <v>12.53</v>
      </c>
    </row>
    <row r="1309" customFormat="false" ht="14.4" hidden="false" customHeight="false" outlineLevel="0" collapsed="false">
      <c r="A1309" s="218"/>
      <c r="B1309" s="251"/>
      <c r="C1309" s="251"/>
      <c r="D1309" s="251"/>
      <c r="E1309" s="212" t="s">
        <v>6066</v>
      </c>
      <c r="F1309" s="212" t="s">
        <v>120</v>
      </c>
      <c r="G1309" s="250" t="n">
        <v>3.81</v>
      </c>
    </row>
    <row r="1310" customFormat="false" ht="14.4" hidden="false" customHeight="false" outlineLevel="0" collapsed="false">
      <c r="A1310" s="218"/>
      <c r="B1310" s="251"/>
      <c r="C1310" s="251"/>
      <c r="D1310" s="252"/>
      <c r="E1310" s="212" t="s">
        <v>6068</v>
      </c>
      <c r="F1310" s="212" t="s">
        <v>120</v>
      </c>
      <c r="G1310" s="250" t="n">
        <v>4.36</v>
      </c>
    </row>
    <row r="1311" customFormat="false" ht="14.4" hidden="false" customHeight="false" outlineLevel="0" collapsed="false">
      <c r="A1311" s="218"/>
      <c r="B1311" s="251"/>
      <c r="C1311" s="251"/>
      <c r="D1311" s="261" t="s">
        <v>7075</v>
      </c>
      <c r="E1311" s="224"/>
      <c r="F1311" s="225"/>
      <c r="G1311" s="217" t="n">
        <v>1037.51</v>
      </c>
    </row>
    <row r="1312" customFormat="false" ht="14.4" hidden="false" customHeight="false" outlineLevel="0" collapsed="false">
      <c r="A1312" s="218"/>
      <c r="B1312" s="251"/>
      <c r="C1312" s="251"/>
      <c r="D1312" s="249" t="s">
        <v>5146</v>
      </c>
      <c r="E1312" s="212" t="s">
        <v>5918</v>
      </c>
      <c r="F1312" s="212" t="s">
        <v>120</v>
      </c>
      <c r="G1312" s="250" t="n">
        <v>52.4</v>
      </c>
    </row>
    <row r="1313" customFormat="false" ht="14.4" hidden="false" customHeight="false" outlineLevel="0" collapsed="false">
      <c r="A1313" s="218"/>
      <c r="B1313" s="251"/>
      <c r="C1313" s="251"/>
      <c r="D1313" s="251"/>
      <c r="E1313" s="212" t="s">
        <v>5942</v>
      </c>
      <c r="F1313" s="212" t="s">
        <v>120</v>
      </c>
      <c r="G1313" s="250" t="n">
        <v>10.59</v>
      </c>
    </row>
    <row r="1314" customFormat="false" ht="14.4" hidden="false" customHeight="false" outlineLevel="0" collapsed="false">
      <c r="A1314" s="218"/>
      <c r="B1314" s="251"/>
      <c r="C1314" s="251"/>
      <c r="D1314" s="251"/>
      <c r="E1314" s="212" t="s">
        <v>5960</v>
      </c>
      <c r="F1314" s="212" t="s">
        <v>120</v>
      </c>
      <c r="G1314" s="250" t="n">
        <v>51.53</v>
      </c>
    </row>
    <row r="1315" customFormat="false" ht="14.4" hidden="false" customHeight="false" outlineLevel="0" collapsed="false">
      <c r="A1315" s="218"/>
      <c r="B1315" s="251"/>
      <c r="C1315" s="251"/>
      <c r="D1315" s="251"/>
      <c r="E1315" s="212" t="s">
        <v>5967</v>
      </c>
      <c r="F1315" s="212" t="s">
        <v>120</v>
      </c>
      <c r="G1315" s="250" t="n">
        <v>109.22</v>
      </c>
    </row>
    <row r="1316" customFormat="false" ht="14.4" hidden="false" customHeight="false" outlineLevel="0" collapsed="false">
      <c r="A1316" s="218"/>
      <c r="B1316" s="251"/>
      <c r="C1316" s="251"/>
      <c r="D1316" s="251"/>
      <c r="E1316" s="212" t="s">
        <v>5970</v>
      </c>
      <c r="F1316" s="212" t="s">
        <v>120</v>
      </c>
      <c r="G1316" s="250" t="n">
        <v>332.49</v>
      </c>
    </row>
    <row r="1317" customFormat="false" ht="14.4" hidden="false" customHeight="false" outlineLevel="0" collapsed="false">
      <c r="A1317" s="218"/>
      <c r="B1317" s="251"/>
      <c r="C1317" s="251"/>
      <c r="D1317" s="251"/>
      <c r="E1317" s="212" t="s">
        <v>5979</v>
      </c>
      <c r="F1317" s="212" t="s">
        <v>120</v>
      </c>
      <c r="G1317" s="250" t="n">
        <v>115.1</v>
      </c>
    </row>
    <row r="1318" customFormat="false" ht="14.4" hidden="false" customHeight="false" outlineLevel="0" collapsed="false">
      <c r="A1318" s="218"/>
      <c r="B1318" s="251"/>
      <c r="C1318" s="251"/>
      <c r="D1318" s="251"/>
      <c r="E1318" s="212" t="s">
        <v>5991</v>
      </c>
      <c r="F1318" s="212" t="s">
        <v>120</v>
      </c>
      <c r="G1318" s="250" t="n">
        <v>43.53</v>
      </c>
    </row>
    <row r="1319" customFormat="false" ht="14.4" hidden="false" customHeight="false" outlineLevel="0" collapsed="false">
      <c r="A1319" s="218"/>
      <c r="B1319" s="251"/>
      <c r="C1319" s="251"/>
      <c r="D1319" s="251"/>
      <c r="E1319" s="212" t="s">
        <v>5992</v>
      </c>
      <c r="F1319" s="212" t="s">
        <v>120</v>
      </c>
      <c r="G1319" s="250" t="n">
        <v>43.09</v>
      </c>
    </row>
    <row r="1320" customFormat="false" ht="14.4" hidden="false" customHeight="false" outlineLevel="0" collapsed="false">
      <c r="A1320" s="218"/>
      <c r="B1320" s="251"/>
      <c r="C1320" s="251"/>
      <c r="D1320" s="251"/>
      <c r="E1320" s="212" t="s">
        <v>5995</v>
      </c>
      <c r="F1320" s="212" t="s">
        <v>120</v>
      </c>
      <c r="G1320" s="250" t="n">
        <v>154.83</v>
      </c>
    </row>
    <row r="1321" customFormat="false" ht="14.4" hidden="false" customHeight="false" outlineLevel="0" collapsed="false">
      <c r="A1321" s="218"/>
      <c r="B1321" s="251"/>
      <c r="C1321" s="251"/>
      <c r="D1321" s="251"/>
      <c r="E1321" s="212" t="s">
        <v>5999</v>
      </c>
      <c r="F1321" s="212" t="s">
        <v>120</v>
      </c>
      <c r="G1321" s="250" t="n">
        <v>1.22</v>
      </c>
    </row>
    <row r="1322" customFormat="false" ht="14.4" hidden="false" customHeight="false" outlineLevel="0" collapsed="false">
      <c r="A1322" s="218"/>
      <c r="B1322" s="251"/>
      <c r="C1322" s="251"/>
      <c r="D1322" s="252"/>
      <c r="E1322" s="212" t="s">
        <v>6002</v>
      </c>
      <c r="F1322" s="212" t="s">
        <v>120</v>
      </c>
      <c r="G1322" s="250" t="n">
        <v>12.06</v>
      </c>
    </row>
    <row r="1323" customFormat="false" ht="14.4" hidden="false" customHeight="false" outlineLevel="0" collapsed="false">
      <c r="A1323" s="218"/>
      <c r="B1323" s="251"/>
      <c r="C1323" s="251"/>
      <c r="D1323" s="261" t="s">
        <v>7182</v>
      </c>
      <c r="E1323" s="224"/>
      <c r="F1323" s="225"/>
      <c r="G1323" s="217" t="n">
        <v>926.06</v>
      </c>
    </row>
    <row r="1324" customFormat="false" ht="14.4" hidden="false" customHeight="false" outlineLevel="0" collapsed="false">
      <c r="A1324" s="218"/>
      <c r="B1324" s="251"/>
      <c r="C1324" s="251"/>
      <c r="D1324" s="249" t="s">
        <v>2400</v>
      </c>
      <c r="E1324" s="212" t="s">
        <v>5835</v>
      </c>
      <c r="F1324" s="212" t="s">
        <v>120</v>
      </c>
      <c r="G1324" s="250" t="n">
        <v>46.87</v>
      </c>
    </row>
    <row r="1325" customFormat="false" ht="14.4" hidden="false" customHeight="false" outlineLevel="0" collapsed="false">
      <c r="A1325" s="218"/>
      <c r="B1325" s="251"/>
      <c r="C1325" s="251"/>
      <c r="D1325" s="251"/>
      <c r="E1325" s="212" t="s">
        <v>5862</v>
      </c>
      <c r="F1325" s="212" t="s">
        <v>120</v>
      </c>
      <c r="G1325" s="250" t="n">
        <v>89.9</v>
      </c>
    </row>
    <row r="1326" customFormat="false" ht="14.4" hidden="false" customHeight="false" outlineLevel="0" collapsed="false">
      <c r="A1326" s="218"/>
      <c r="B1326" s="251"/>
      <c r="C1326" s="251"/>
      <c r="D1326" s="251"/>
      <c r="E1326" s="212" t="s">
        <v>5870</v>
      </c>
      <c r="F1326" s="212" t="s">
        <v>120</v>
      </c>
      <c r="G1326" s="250" t="n">
        <v>130.73</v>
      </c>
    </row>
    <row r="1327" customFormat="false" ht="14.4" hidden="false" customHeight="false" outlineLevel="0" collapsed="false">
      <c r="A1327" s="218"/>
      <c r="B1327" s="251"/>
      <c r="C1327" s="251"/>
      <c r="D1327" s="251"/>
      <c r="E1327" s="212" t="s">
        <v>5881</v>
      </c>
      <c r="F1327" s="212" t="s">
        <v>120</v>
      </c>
      <c r="G1327" s="250" t="n">
        <v>21.07</v>
      </c>
    </row>
    <row r="1328" customFormat="false" ht="14.4" hidden="false" customHeight="false" outlineLevel="0" collapsed="false">
      <c r="A1328" s="218"/>
      <c r="B1328" s="251"/>
      <c r="C1328" s="251"/>
      <c r="D1328" s="251"/>
      <c r="E1328" s="212" t="s">
        <v>5884</v>
      </c>
      <c r="F1328" s="212" t="s">
        <v>120</v>
      </c>
      <c r="G1328" s="250" t="n">
        <v>107.92</v>
      </c>
    </row>
    <row r="1329" customFormat="false" ht="14.4" hidden="false" customHeight="false" outlineLevel="0" collapsed="false">
      <c r="A1329" s="218"/>
      <c r="B1329" s="251"/>
      <c r="C1329" s="251"/>
      <c r="D1329" s="251"/>
      <c r="E1329" s="212" t="s">
        <v>5888</v>
      </c>
      <c r="F1329" s="212" t="s">
        <v>120</v>
      </c>
      <c r="G1329" s="250" t="n">
        <v>100.46</v>
      </c>
    </row>
    <row r="1330" customFormat="false" ht="14.4" hidden="false" customHeight="false" outlineLevel="0" collapsed="false">
      <c r="A1330" s="218"/>
      <c r="B1330" s="251"/>
      <c r="C1330" s="251"/>
      <c r="D1330" s="251"/>
      <c r="E1330" s="212" t="s">
        <v>5895</v>
      </c>
      <c r="F1330" s="212" t="s">
        <v>120</v>
      </c>
      <c r="G1330" s="250" t="n">
        <v>39.44</v>
      </c>
    </row>
    <row r="1331" customFormat="false" ht="14.4" hidden="false" customHeight="false" outlineLevel="0" collapsed="false">
      <c r="A1331" s="218"/>
      <c r="B1331" s="251"/>
      <c r="C1331" s="251"/>
      <c r="D1331" s="251"/>
      <c r="E1331" s="212" t="s">
        <v>5905</v>
      </c>
      <c r="F1331" s="212" t="s">
        <v>120</v>
      </c>
      <c r="G1331" s="250" t="n">
        <v>5.67</v>
      </c>
    </row>
    <row r="1332" customFormat="false" ht="14.4" hidden="false" customHeight="false" outlineLevel="0" collapsed="false">
      <c r="A1332" s="218"/>
      <c r="B1332" s="251"/>
      <c r="C1332" s="251"/>
      <c r="D1332" s="251"/>
      <c r="E1332" s="212" t="s">
        <v>5907</v>
      </c>
      <c r="F1332" s="212" t="s">
        <v>120</v>
      </c>
      <c r="G1332" s="250" t="n">
        <v>62.95</v>
      </c>
    </row>
    <row r="1333" customFormat="false" ht="14.4" hidden="false" customHeight="false" outlineLevel="0" collapsed="false">
      <c r="A1333" s="218"/>
      <c r="B1333" s="251"/>
      <c r="C1333" s="251"/>
      <c r="D1333" s="251"/>
      <c r="E1333" s="212" t="s">
        <v>5915</v>
      </c>
      <c r="F1333" s="212" t="s">
        <v>120</v>
      </c>
      <c r="G1333" s="250" t="n">
        <v>22.02</v>
      </c>
    </row>
    <row r="1334" customFormat="false" ht="14.4" hidden="false" customHeight="false" outlineLevel="0" collapsed="false">
      <c r="A1334" s="218"/>
      <c r="B1334" s="251"/>
      <c r="C1334" s="251"/>
      <c r="D1334" s="251"/>
      <c r="E1334" s="212" t="s">
        <v>5922</v>
      </c>
      <c r="F1334" s="212" t="s">
        <v>120</v>
      </c>
      <c r="G1334" s="250" t="n">
        <v>58.24</v>
      </c>
    </row>
    <row r="1335" customFormat="false" ht="14.4" hidden="false" customHeight="false" outlineLevel="0" collapsed="false">
      <c r="A1335" s="218"/>
      <c r="B1335" s="251"/>
      <c r="C1335" s="251"/>
      <c r="D1335" s="251"/>
      <c r="E1335" s="212" t="s">
        <v>5925</v>
      </c>
      <c r="F1335" s="212" t="s">
        <v>120</v>
      </c>
      <c r="G1335" s="250" t="n">
        <v>60.13</v>
      </c>
    </row>
    <row r="1336" customFormat="false" ht="14.4" hidden="false" customHeight="false" outlineLevel="0" collapsed="false">
      <c r="A1336" s="218"/>
      <c r="B1336" s="251"/>
      <c r="C1336" s="251"/>
      <c r="D1336" s="251"/>
      <c r="E1336" s="212" t="s">
        <v>5936</v>
      </c>
      <c r="F1336" s="212" t="s">
        <v>120</v>
      </c>
      <c r="G1336" s="250" t="n">
        <v>29.31</v>
      </c>
    </row>
    <row r="1337" customFormat="false" ht="14.4" hidden="false" customHeight="false" outlineLevel="0" collapsed="false">
      <c r="A1337" s="218"/>
      <c r="B1337" s="251"/>
      <c r="C1337" s="251"/>
      <c r="D1337" s="251"/>
      <c r="E1337" s="212" t="s">
        <v>5939</v>
      </c>
      <c r="F1337" s="212" t="s">
        <v>120</v>
      </c>
      <c r="G1337" s="250" t="n">
        <v>48.79</v>
      </c>
    </row>
    <row r="1338" customFormat="false" ht="14.4" hidden="false" customHeight="false" outlineLevel="0" collapsed="false">
      <c r="A1338" s="218"/>
      <c r="B1338" s="251"/>
      <c r="C1338" s="251"/>
      <c r="D1338" s="251"/>
      <c r="E1338" s="212" t="s">
        <v>5945</v>
      </c>
      <c r="F1338" s="212" t="s">
        <v>120</v>
      </c>
      <c r="G1338" s="250" t="n">
        <v>52.8</v>
      </c>
    </row>
    <row r="1339" customFormat="false" ht="14.4" hidden="false" customHeight="false" outlineLevel="0" collapsed="false">
      <c r="A1339" s="218"/>
      <c r="B1339" s="251"/>
      <c r="C1339" s="251"/>
      <c r="D1339" s="251"/>
      <c r="E1339" s="212" t="s">
        <v>5948</v>
      </c>
      <c r="F1339" s="212" t="s">
        <v>120</v>
      </c>
      <c r="G1339" s="250" t="n">
        <v>54.75</v>
      </c>
    </row>
    <row r="1340" customFormat="false" ht="14.4" hidden="false" customHeight="false" outlineLevel="0" collapsed="false">
      <c r="A1340" s="218"/>
      <c r="B1340" s="251"/>
      <c r="C1340" s="251"/>
      <c r="D1340" s="251"/>
      <c r="E1340" s="212" t="s">
        <v>5951</v>
      </c>
      <c r="F1340" s="212" t="s">
        <v>120</v>
      </c>
      <c r="G1340" s="250" t="n">
        <v>34.86</v>
      </c>
    </row>
    <row r="1341" customFormat="false" ht="14.4" hidden="false" customHeight="false" outlineLevel="0" collapsed="false">
      <c r="A1341" s="218"/>
      <c r="B1341" s="251"/>
      <c r="C1341" s="251"/>
      <c r="D1341" s="251"/>
      <c r="E1341" s="212" t="s">
        <v>5959</v>
      </c>
      <c r="F1341" s="212" t="s">
        <v>120</v>
      </c>
      <c r="G1341" s="250" t="n">
        <v>90.23</v>
      </c>
    </row>
    <row r="1342" customFormat="false" ht="14.4" hidden="false" customHeight="false" outlineLevel="0" collapsed="false">
      <c r="A1342" s="218"/>
      <c r="B1342" s="251"/>
      <c r="C1342" s="251"/>
      <c r="D1342" s="251"/>
      <c r="E1342" s="212" t="s">
        <v>5964</v>
      </c>
      <c r="F1342" s="212" t="s">
        <v>120</v>
      </c>
      <c r="G1342" s="250" t="n">
        <v>26.78</v>
      </c>
    </row>
    <row r="1343" customFormat="false" ht="14.4" hidden="false" customHeight="false" outlineLevel="0" collapsed="false">
      <c r="A1343" s="218"/>
      <c r="B1343" s="251"/>
      <c r="C1343" s="251"/>
      <c r="D1343" s="252"/>
      <c r="E1343" s="212" t="s">
        <v>5972</v>
      </c>
      <c r="F1343" s="212" t="s">
        <v>120</v>
      </c>
      <c r="G1343" s="250" t="n">
        <v>50.62</v>
      </c>
    </row>
    <row r="1344" customFormat="false" ht="14.4" hidden="false" customHeight="false" outlineLevel="0" collapsed="false">
      <c r="A1344" s="218"/>
      <c r="B1344" s="251"/>
      <c r="C1344" s="251"/>
      <c r="D1344" s="261" t="s">
        <v>7104</v>
      </c>
      <c r="E1344" s="224"/>
      <c r="F1344" s="225"/>
      <c r="G1344" s="217" t="n">
        <v>1133.54</v>
      </c>
    </row>
    <row r="1345" customFormat="false" ht="14.4" hidden="false" customHeight="false" outlineLevel="0" collapsed="false">
      <c r="A1345" s="218"/>
      <c r="B1345" s="251"/>
      <c r="C1345" s="251"/>
      <c r="D1345" s="249" t="s">
        <v>5799</v>
      </c>
      <c r="E1345" s="212" t="s">
        <v>5798</v>
      </c>
      <c r="F1345" s="212" t="s">
        <v>120</v>
      </c>
      <c r="G1345" s="250" t="n">
        <v>22.04</v>
      </c>
    </row>
    <row r="1346" customFormat="false" ht="14.4" hidden="false" customHeight="false" outlineLevel="0" collapsed="false">
      <c r="A1346" s="218"/>
      <c r="B1346" s="251"/>
      <c r="C1346" s="251"/>
      <c r="D1346" s="251"/>
      <c r="E1346" s="212" t="s">
        <v>5806</v>
      </c>
      <c r="F1346" s="212" t="s">
        <v>120</v>
      </c>
      <c r="G1346" s="250" t="n">
        <v>98.54</v>
      </c>
    </row>
    <row r="1347" customFormat="false" ht="14.4" hidden="false" customHeight="false" outlineLevel="0" collapsed="false">
      <c r="A1347" s="218"/>
      <c r="B1347" s="251"/>
      <c r="C1347" s="251"/>
      <c r="D1347" s="251"/>
      <c r="E1347" s="212" t="s">
        <v>5810</v>
      </c>
      <c r="F1347" s="212" t="s">
        <v>120</v>
      </c>
      <c r="G1347" s="250" t="n">
        <v>47.3</v>
      </c>
    </row>
    <row r="1348" customFormat="false" ht="14.4" hidden="false" customHeight="false" outlineLevel="0" collapsed="false">
      <c r="A1348" s="218"/>
      <c r="B1348" s="251"/>
      <c r="C1348" s="251"/>
      <c r="D1348" s="251"/>
      <c r="E1348" s="212" t="s">
        <v>5813</v>
      </c>
      <c r="F1348" s="212" t="s">
        <v>120</v>
      </c>
      <c r="G1348" s="250" t="n">
        <v>94.21</v>
      </c>
    </row>
    <row r="1349" customFormat="false" ht="14.4" hidden="false" customHeight="false" outlineLevel="0" collapsed="false">
      <c r="A1349" s="218"/>
      <c r="B1349" s="251"/>
      <c r="C1349" s="251"/>
      <c r="D1349" s="251"/>
      <c r="E1349" s="212" t="s">
        <v>5824</v>
      </c>
      <c r="F1349" s="212" t="s">
        <v>120</v>
      </c>
      <c r="G1349" s="250" t="n">
        <v>48.4</v>
      </c>
    </row>
    <row r="1350" customFormat="false" ht="14.4" hidden="false" customHeight="false" outlineLevel="0" collapsed="false">
      <c r="A1350" s="218"/>
      <c r="B1350" s="251"/>
      <c r="C1350" s="251"/>
      <c r="D1350" s="251"/>
      <c r="E1350" s="212" t="s">
        <v>5828</v>
      </c>
      <c r="F1350" s="212" t="s">
        <v>120</v>
      </c>
      <c r="G1350" s="250" t="n">
        <v>112.55</v>
      </c>
    </row>
    <row r="1351" customFormat="false" ht="14.4" hidden="false" customHeight="false" outlineLevel="0" collapsed="false">
      <c r="A1351" s="218"/>
      <c r="B1351" s="251"/>
      <c r="C1351" s="251"/>
      <c r="D1351" s="251"/>
      <c r="E1351" s="212" t="s">
        <v>5831</v>
      </c>
      <c r="F1351" s="212" t="s">
        <v>120</v>
      </c>
      <c r="G1351" s="250" t="n">
        <v>48.15</v>
      </c>
    </row>
    <row r="1352" customFormat="false" ht="14.4" hidden="false" customHeight="false" outlineLevel="0" collapsed="false">
      <c r="A1352" s="218"/>
      <c r="B1352" s="251"/>
      <c r="C1352" s="251"/>
      <c r="D1352" s="251"/>
      <c r="E1352" s="212" t="s">
        <v>5839</v>
      </c>
      <c r="F1352" s="212" t="s">
        <v>120</v>
      </c>
      <c r="G1352" s="250" t="n">
        <v>88.86</v>
      </c>
    </row>
    <row r="1353" customFormat="false" ht="14.4" hidden="false" customHeight="false" outlineLevel="0" collapsed="false">
      <c r="A1353" s="218"/>
      <c r="B1353" s="251"/>
      <c r="C1353" s="251"/>
      <c r="D1353" s="251"/>
      <c r="E1353" s="212" t="s">
        <v>5847</v>
      </c>
      <c r="F1353" s="212" t="s">
        <v>120</v>
      </c>
      <c r="G1353" s="250" t="n">
        <v>5.35</v>
      </c>
    </row>
    <row r="1354" customFormat="false" ht="14.4" hidden="false" customHeight="false" outlineLevel="0" collapsed="false">
      <c r="A1354" s="218"/>
      <c r="B1354" s="251"/>
      <c r="C1354" s="251"/>
      <c r="D1354" s="251"/>
      <c r="E1354" s="212" t="s">
        <v>5850</v>
      </c>
      <c r="F1354" s="212" t="s">
        <v>120</v>
      </c>
      <c r="G1354" s="250" t="n">
        <v>47.34</v>
      </c>
    </row>
    <row r="1355" customFormat="false" ht="14.4" hidden="false" customHeight="false" outlineLevel="0" collapsed="false">
      <c r="A1355" s="218"/>
      <c r="B1355" s="251"/>
      <c r="C1355" s="251"/>
      <c r="D1355" s="251"/>
      <c r="E1355" s="212" t="s">
        <v>5866</v>
      </c>
      <c r="F1355" s="212" t="s">
        <v>120</v>
      </c>
      <c r="G1355" s="250" t="n">
        <v>58.24</v>
      </c>
    </row>
    <row r="1356" customFormat="false" ht="14.4" hidden="false" customHeight="false" outlineLevel="0" collapsed="false">
      <c r="A1356" s="218"/>
      <c r="B1356" s="251"/>
      <c r="C1356" s="251"/>
      <c r="D1356" s="251"/>
      <c r="E1356" s="212" t="s">
        <v>5873</v>
      </c>
      <c r="F1356" s="212" t="s">
        <v>120</v>
      </c>
      <c r="G1356" s="250" t="n">
        <v>85.23</v>
      </c>
    </row>
    <row r="1357" customFormat="false" ht="14.4" hidden="false" customHeight="false" outlineLevel="0" collapsed="false">
      <c r="A1357" s="218"/>
      <c r="B1357" s="251"/>
      <c r="C1357" s="251"/>
      <c r="D1357" s="251"/>
      <c r="E1357" s="212" t="s">
        <v>5877</v>
      </c>
      <c r="F1357" s="212" t="s">
        <v>120</v>
      </c>
      <c r="G1357" s="250" t="n">
        <v>29.64</v>
      </c>
    </row>
    <row r="1358" customFormat="false" ht="14.4" hidden="false" customHeight="false" outlineLevel="0" collapsed="false">
      <c r="A1358" s="218"/>
      <c r="B1358" s="251"/>
      <c r="C1358" s="251"/>
      <c r="D1358" s="251"/>
      <c r="E1358" s="212" t="s">
        <v>5891</v>
      </c>
      <c r="F1358" s="212" t="s">
        <v>120</v>
      </c>
      <c r="G1358" s="250" t="n">
        <v>78.4</v>
      </c>
    </row>
    <row r="1359" customFormat="false" ht="14.4" hidden="false" customHeight="false" outlineLevel="0" collapsed="false">
      <c r="A1359" s="218"/>
      <c r="B1359" s="251"/>
      <c r="C1359" s="251"/>
      <c r="D1359" s="251"/>
      <c r="E1359" s="212" t="s">
        <v>5902</v>
      </c>
      <c r="F1359" s="212" t="s">
        <v>120</v>
      </c>
      <c r="G1359" s="250" t="n">
        <v>45.61</v>
      </c>
    </row>
    <row r="1360" customFormat="false" ht="14.4" hidden="false" customHeight="false" outlineLevel="0" collapsed="false">
      <c r="A1360" s="218"/>
      <c r="B1360" s="251"/>
      <c r="C1360" s="251"/>
      <c r="D1360" s="251"/>
      <c r="E1360" s="212" t="s">
        <v>5929</v>
      </c>
      <c r="F1360" s="212" t="s">
        <v>120</v>
      </c>
      <c r="G1360" s="250" t="n">
        <v>30.44</v>
      </c>
    </row>
    <row r="1361" customFormat="false" ht="14.4" hidden="false" customHeight="false" outlineLevel="0" collapsed="false">
      <c r="A1361" s="218"/>
      <c r="B1361" s="251"/>
      <c r="C1361" s="251"/>
      <c r="D1361" s="251"/>
      <c r="E1361" s="212" t="s">
        <v>5932</v>
      </c>
      <c r="F1361" s="212" t="s">
        <v>120</v>
      </c>
      <c r="G1361" s="250" t="n">
        <v>26.25</v>
      </c>
    </row>
    <row r="1362" customFormat="false" ht="14.4" hidden="false" customHeight="false" outlineLevel="0" collapsed="false">
      <c r="A1362" s="218"/>
      <c r="B1362" s="251"/>
      <c r="C1362" s="251"/>
      <c r="D1362" s="252"/>
      <c r="E1362" s="212" t="s">
        <v>5955</v>
      </c>
      <c r="F1362" s="212" t="s">
        <v>120</v>
      </c>
      <c r="G1362" s="250" t="n">
        <v>70.57</v>
      </c>
    </row>
    <row r="1363" customFormat="false" ht="14.4" hidden="false" customHeight="false" outlineLevel="0" collapsed="false">
      <c r="A1363" s="218"/>
      <c r="B1363" s="251"/>
      <c r="C1363" s="251"/>
      <c r="D1363" s="261" t="s">
        <v>7189</v>
      </c>
      <c r="E1363" s="224"/>
      <c r="F1363" s="225"/>
      <c r="G1363" s="217" t="n">
        <v>1037.12</v>
      </c>
    </row>
    <row r="1364" customFormat="false" ht="14.4" hidden="false" customHeight="false" outlineLevel="0" collapsed="false">
      <c r="A1364" s="218"/>
      <c r="B1364" s="251"/>
      <c r="C1364" s="251"/>
      <c r="D1364" s="249" t="s">
        <v>3721</v>
      </c>
      <c r="E1364" s="212" t="s">
        <v>5770</v>
      </c>
      <c r="F1364" s="212" t="s">
        <v>120</v>
      </c>
      <c r="G1364" s="250" t="n">
        <v>133.29</v>
      </c>
    </row>
    <row r="1365" customFormat="false" ht="14.4" hidden="false" customHeight="false" outlineLevel="0" collapsed="false">
      <c r="A1365" s="218"/>
      <c r="B1365" s="251"/>
      <c r="C1365" s="251"/>
      <c r="D1365" s="251"/>
      <c r="E1365" s="212" t="s">
        <v>5786</v>
      </c>
      <c r="F1365" s="212" t="s">
        <v>120</v>
      </c>
      <c r="G1365" s="250" t="n">
        <v>50.15</v>
      </c>
    </row>
    <row r="1366" customFormat="false" ht="14.4" hidden="false" customHeight="false" outlineLevel="0" collapsed="false">
      <c r="A1366" s="218"/>
      <c r="B1366" s="251"/>
      <c r="C1366" s="251"/>
      <c r="D1366" s="251"/>
      <c r="E1366" s="212" t="s">
        <v>5790</v>
      </c>
      <c r="F1366" s="212" t="s">
        <v>120</v>
      </c>
      <c r="G1366" s="250" t="n">
        <v>44.94</v>
      </c>
    </row>
    <row r="1367" customFormat="false" ht="14.4" hidden="false" customHeight="false" outlineLevel="0" collapsed="false">
      <c r="A1367" s="218"/>
      <c r="B1367" s="251"/>
      <c r="C1367" s="251"/>
      <c r="D1367" s="251"/>
      <c r="E1367" s="212" t="s">
        <v>5794</v>
      </c>
      <c r="F1367" s="212" t="s">
        <v>120</v>
      </c>
      <c r="G1367" s="250" t="n">
        <v>92.6</v>
      </c>
    </row>
    <row r="1368" customFormat="false" ht="14.4" hidden="false" customHeight="false" outlineLevel="0" collapsed="false">
      <c r="A1368" s="218"/>
      <c r="B1368" s="251"/>
      <c r="C1368" s="251"/>
      <c r="D1368" s="251"/>
      <c r="E1368" s="212" t="s">
        <v>5802</v>
      </c>
      <c r="F1368" s="212" t="s">
        <v>120</v>
      </c>
      <c r="G1368" s="250" t="n">
        <v>307.77</v>
      </c>
    </row>
    <row r="1369" customFormat="false" ht="14.4" hidden="false" customHeight="false" outlineLevel="0" collapsed="false">
      <c r="A1369" s="218"/>
      <c r="B1369" s="251"/>
      <c r="C1369" s="251"/>
      <c r="D1369" s="251"/>
      <c r="E1369" s="212" t="s">
        <v>5820</v>
      </c>
      <c r="F1369" s="212" t="s">
        <v>120</v>
      </c>
      <c r="G1369" s="250" t="n">
        <v>49.02</v>
      </c>
    </row>
    <row r="1370" customFormat="false" ht="14.4" hidden="false" customHeight="false" outlineLevel="0" collapsed="false">
      <c r="A1370" s="218"/>
      <c r="B1370" s="251"/>
      <c r="C1370" s="251"/>
      <c r="D1370" s="251"/>
      <c r="E1370" s="212" t="s">
        <v>5843</v>
      </c>
      <c r="F1370" s="212" t="s">
        <v>120</v>
      </c>
      <c r="G1370" s="250" t="n">
        <v>21.93</v>
      </c>
    </row>
    <row r="1371" customFormat="false" ht="14.4" hidden="false" customHeight="false" outlineLevel="0" collapsed="false">
      <c r="A1371" s="218"/>
      <c r="B1371" s="251"/>
      <c r="C1371" s="251"/>
      <c r="D1371" s="252"/>
      <c r="E1371" s="212" t="s">
        <v>5854</v>
      </c>
      <c r="F1371" s="212" t="s">
        <v>120</v>
      </c>
      <c r="G1371" s="250" t="n">
        <v>144.07</v>
      </c>
    </row>
    <row r="1372" customFormat="false" ht="14.4" hidden="false" customHeight="false" outlineLevel="0" collapsed="false">
      <c r="A1372" s="218"/>
      <c r="B1372" s="251"/>
      <c r="C1372" s="251"/>
      <c r="D1372" s="261" t="s">
        <v>7136</v>
      </c>
      <c r="E1372" s="224"/>
      <c r="F1372" s="225"/>
      <c r="G1372" s="217" t="n">
        <v>843.77</v>
      </c>
    </row>
    <row r="1373" customFormat="false" ht="14.4" hidden="false" customHeight="false" outlineLevel="0" collapsed="false">
      <c r="A1373" s="218"/>
      <c r="B1373" s="251"/>
      <c r="C1373" s="251"/>
      <c r="D1373" s="249" t="s">
        <v>3516</v>
      </c>
      <c r="E1373" s="212" t="s">
        <v>5707</v>
      </c>
      <c r="F1373" s="212" t="s">
        <v>120</v>
      </c>
      <c r="G1373" s="250" t="n">
        <v>190.05</v>
      </c>
    </row>
    <row r="1374" customFormat="false" ht="14.4" hidden="false" customHeight="false" outlineLevel="0" collapsed="false">
      <c r="A1374" s="218"/>
      <c r="B1374" s="251"/>
      <c r="C1374" s="251"/>
      <c r="D1374" s="251"/>
      <c r="E1374" s="212" t="s">
        <v>5722</v>
      </c>
      <c r="F1374" s="212" t="s">
        <v>120</v>
      </c>
      <c r="G1374" s="250" t="n">
        <v>19.38</v>
      </c>
    </row>
    <row r="1375" customFormat="false" ht="14.4" hidden="false" customHeight="false" outlineLevel="0" collapsed="false">
      <c r="A1375" s="218"/>
      <c r="B1375" s="251"/>
      <c r="C1375" s="251"/>
      <c r="D1375" s="251"/>
      <c r="E1375" s="212" t="s">
        <v>5726</v>
      </c>
      <c r="F1375" s="212" t="s">
        <v>120</v>
      </c>
      <c r="G1375" s="250" t="n">
        <v>3.26</v>
      </c>
    </row>
    <row r="1376" customFormat="false" ht="14.4" hidden="false" customHeight="false" outlineLevel="0" collapsed="false">
      <c r="A1376" s="218"/>
      <c r="B1376" s="251"/>
      <c r="C1376" s="251"/>
      <c r="D1376" s="251"/>
      <c r="E1376" s="212" t="s">
        <v>5730</v>
      </c>
      <c r="F1376" s="212" t="s">
        <v>120</v>
      </c>
      <c r="G1376" s="250" t="n">
        <v>5.58</v>
      </c>
    </row>
    <row r="1377" customFormat="false" ht="14.4" hidden="false" customHeight="false" outlineLevel="0" collapsed="false">
      <c r="A1377" s="218"/>
      <c r="B1377" s="251"/>
      <c r="C1377" s="251"/>
      <c r="D1377" s="251"/>
      <c r="E1377" s="212" t="s">
        <v>5733</v>
      </c>
      <c r="F1377" s="212" t="s">
        <v>120</v>
      </c>
      <c r="G1377" s="250" t="n">
        <v>27.68</v>
      </c>
    </row>
    <row r="1378" customFormat="false" ht="14.4" hidden="false" customHeight="false" outlineLevel="0" collapsed="false">
      <c r="A1378" s="218"/>
      <c r="B1378" s="251"/>
      <c r="C1378" s="251"/>
      <c r="D1378" s="251"/>
      <c r="E1378" s="212" t="s">
        <v>5762</v>
      </c>
      <c r="F1378" s="212" t="s">
        <v>120</v>
      </c>
      <c r="G1378" s="250" t="n">
        <v>16.69</v>
      </c>
    </row>
    <row r="1379" customFormat="false" ht="14.4" hidden="false" customHeight="false" outlineLevel="0" collapsed="false">
      <c r="A1379" s="218"/>
      <c r="B1379" s="251"/>
      <c r="C1379" s="251"/>
      <c r="D1379" s="251"/>
      <c r="E1379" s="212" t="s">
        <v>5766</v>
      </c>
      <c r="F1379" s="212" t="s">
        <v>120</v>
      </c>
      <c r="G1379" s="250" t="n">
        <v>29.09</v>
      </c>
    </row>
    <row r="1380" customFormat="false" ht="14.4" hidden="false" customHeight="false" outlineLevel="0" collapsed="false">
      <c r="A1380" s="218"/>
      <c r="B1380" s="251"/>
      <c r="C1380" s="251"/>
      <c r="D1380" s="251"/>
      <c r="E1380" s="212" t="s">
        <v>5775</v>
      </c>
      <c r="F1380" s="212" t="s">
        <v>120</v>
      </c>
      <c r="G1380" s="250" t="n">
        <v>69.1</v>
      </c>
    </row>
    <row r="1381" customFormat="false" ht="14.4" hidden="false" customHeight="false" outlineLevel="0" collapsed="false">
      <c r="A1381" s="218"/>
      <c r="B1381" s="251"/>
      <c r="C1381" s="251"/>
      <c r="D1381" s="251"/>
      <c r="E1381" s="212" t="s">
        <v>5778</v>
      </c>
      <c r="F1381" s="212" t="s">
        <v>120</v>
      </c>
      <c r="G1381" s="250" t="n">
        <v>22.97</v>
      </c>
    </row>
    <row r="1382" customFormat="false" ht="14.4" hidden="false" customHeight="false" outlineLevel="0" collapsed="false">
      <c r="A1382" s="218"/>
      <c r="B1382" s="251"/>
      <c r="C1382" s="251"/>
      <c r="D1382" s="251"/>
      <c r="E1382" s="212" t="s">
        <v>5782</v>
      </c>
      <c r="F1382" s="212" t="s">
        <v>120</v>
      </c>
      <c r="G1382" s="250" t="n">
        <v>149.69</v>
      </c>
    </row>
    <row r="1383" customFormat="false" ht="14.4" hidden="false" customHeight="false" outlineLevel="0" collapsed="false">
      <c r="A1383" s="218"/>
      <c r="B1383" s="251"/>
      <c r="C1383" s="251"/>
      <c r="D1383" s="251"/>
      <c r="E1383" s="212" t="s">
        <v>5817</v>
      </c>
      <c r="F1383" s="212" t="s">
        <v>120</v>
      </c>
      <c r="G1383" s="250" t="n">
        <v>172.64</v>
      </c>
    </row>
    <row r="1384" customFormat="false" ht="14.4" hidden="false" customHeight="false" outlineLevel="0" collapsed="false">
      <c r="A1384" s="218"/>
      <c r="B1384" s="251"/>
      <c r="C1384" s="251"/>
      <c r="D1384" s="252"/>
      <c r="E1384" s="212" t="s">
        <v>5858</v>
      </c>
      <c r="F1384" s="212" t="s">
        <v>120</v>
      </c>
      <c r="G1384" s="250" t="n">
        <v>80.15</v>
      </c>
    </row>
    <row r="1385" customFormat="false" ht="14.4" hidden="false" customHeight="false" outlineLevel="0" collapsed="false">
      <c r="A1385" s="218"/>
      <c r="B1385" s="251"/>
      <c r="C1385" s="251"/>
      <c r="D1385" s="261" t="s">
        <v>7076</v>
      </c>
      <c r="E1385" s="224"/>
      <c r="F1385" s="225"/>
      <c r="G1385" s="217" t="n">
        <v>786.28</v>
      </c>
    </row>
    <row r="1386" customFormat="false" ht="14.4" hidden="false" customHeight="false" outlineLevel="0" collapsed="false">
      <c r="A1386" s="218"/>
      <c r="B1386" s="251"/>
      <c r="C1386" s="251"/>
      <c r="D1386" s="249" t="s">
        <v>3499</v>
      </c>
      <c r="E1386" s="212" t="s">
        <v>5736</v>
      </c>
      <c r="F1386" s="212" t="s">
        <v>120</v>
      </c>
      <c r="G1386" s="250" t="n">
        <v>231.78</v>
      </c>
    </row>
    <row r="1387" customFormat="false" ht="14.4" hidden="false" customHeight="false" outlineLevel="0" collapsed="false">
      <c r="A1387" s="218"/>
      <c r="B1387" s="251"/>
      <c r="C1387" s="251"/>
      <c r="D1387" s="251"/>
      <c r="E1387" s="212" t="s">
        <v>5741</v>
      </c>
      <c r="F1387" s="212" t="s">
        <v>120</v>
      </c>
      <c r="G1387" s="250" t="n">
        <v>239.76</v>
      </c>
    </row>
    <row r="1388" customFormat="false" ht="14.4" hidden="false" customHeight="false" outlineLevel="0" collapsed="false">
      <c r="A1388" s="218"/>
      <c r="B1388" s="251"/>
      <c r="C1388" s="251"/>
      <c r="D1388" s="252"/>
      <c r="E1388" s="212" t="s">
        <v>5758</v>
      </c>
      <c r="F1388" s="212" t="s">
        <v>120</v>
      </c>
      <c r="G1388" s="250" t="n">
        <v>48.77</v>
      </c>
    </row>
    <row r="1389" customFormat="false" ht="14.4" hidden="false" customHeight="false" outlineLevel="0" collapsed="false">
      <c r="A1389" s="218"/>
      <c r="B1389" s="251"/>
      <c r="C1389" s="251"/>
      <c r="D1389" s="261" t="s">
        <v>7141</v>
      </c>
      <c r="E1389" s="224"/>
      <c r="F1389" s="225"/>
      <c r="G1389" s="217" t="n">
        <v>520.31</v>
      </c>
    </row>
    <row r="1390" customFormat="false" ht="14.4" hidden="false" customHeight="false" outlineLevel="0" collapsed="false">
      <c r="A1390" s="218"/>
      <c r="B1390" s="251"/>
      <c r="C1390" s="251"/>
      <c r="D1390" s="212" t="s">
        <v>3494</v>
      </c>
      <c r="E1390" s="212" t="s">
        <v>5717</v>
      </c>
      <c r="F1390" s="212" t="s">
        <v>120</v>
      </c>
      <c r="G1390" s="250" t="n">
        <v>208.88</v>
      </c>
    </row>
    <row r="1391" customFormat="false" ht="14.4" hidden="false" customHeight="false" outlineLevel="0" collapsed="false">
      <c r="A1391" s="218"/>
      <c r="B1391" s="251"/>
      <c r="C1391" s="251"/>
      <c r="D1391" s="261" t="s">
        <v>7142</v>
      </c>
      <c r="E1391" s="224"/>
      <c r="F1391" s="225"/>
      <c r="G1391" s="217" t="n">
        <v>208.88</v>
      </c>
    </row>
    <row r="1392" customFormat="false" ht="14.4" hidden="false" customHeight="false" outlineLevel="0" collapsed="false">
      <c r="A1392" s="218"/>
      <c r="B1392" s="251"/>
      <c r="C1392" s="251"/>
      <c r="D1392" s="249" t="s">
        <v>3365</v>
      </c>
      <c r="E1392" s="212" t="s">
        <v>5701</v>
      </c>
      <c r="F1392" s="212" t="s">
        <v>120</v>
      </c>
      <c r="G1392" s="250" t="n">
        <v>357.2</v>
      </c>
    </row>
    <row r="1393" customFormat="false" ht="14.4" hidden="false" customHeight="false" outlineLevel="0" collapsed="false">
      <c r="A1393" s="218"/>
      <c r="B1393" s="251"/>
      <c r="C1393" s="251"/>
      <c r="D1393" s="251"/>
      <c r="E1393" s="212" t="s">
        <v>5712</v>
      </c>
      <c r="F1393" s="212" t="s">
        <v>120</v>
      </c>
      <c r="G1393" s="250" t="n">
        <v>200.71</v>
      </c>
    </row>
    <row r="1394" customFormat="false" ht="14.4" hidden="false" customHeight="false" outlineLevel="0" collapsed="false">
      <c r="A1394" s="218"/>
      <c r="B1394" s="251"/>
      <c r="C1394" s="251"/>
      <c r="D1394" s="251"/>
      <c r="E1394" s="212" t="s">
        <v>5746</v>
      </c>
      <c r="F1394" s="212" t="s">
        <v>120</v>
      </c>
      <c r="G1394" s="250" t="n">
        <v>36.17</v>
      </c>
    </row>
    <row r="1395" customFormat="false" ht="14.4" hidden="false" customHeight="false" outlineLevel="0" collapsed="false">
      <c r="A1395" s="218"/>
      <c r="B1395" s="251"/>
      <c r="C1395" s="251"/>
      <c r="D1395" s="251"/>
      <c r="E1395" s="212" t="s">
        <v>5749</v>
      </c>
      <c r="F1395" s="212" t="s">
        <v>120</v>
      </c>
      <c r="G1395" s="250" t="n">
        <v>42.79</v>
      </c>
    </row>
    <row r="1396" customFormat="false" ht="14.4" hidden="false" customHeight="false" outlineLevel="0" collapsed="false">
      <c r="A1396" s="218"/>
      <c r="B1396" s="251"/>
      <c r="C1396" s="251"/>
      <c r="D1396" s="252"/>
      <c r="E1396" s="212" t="s">
        <v>5752</v>
      </c>
      <c r="F1396" s="212" t="s">
        <v>120</v>
      </c>
      <c r="G1396" s="250" t="n">
        <v>80.15</v>
      </c>
    </row>
    <row r="1397" customFormat="false" ht="14.4" hidden="false" customHeight="false" outlineLevel="0" collapsed="false">
      <c r="A1397" s="218"/>
      <c r="B1397" s="251"/>
      <c r="C1397" s="251"/>
      <c r="D1397" s="261" t="s">
        <v>7143</v>
      </c>
      <c r="E1397" s="224"/>
      <c r="F1397" s="225"/>
      <c r="G1397" s="217" t="n">
        <v>717.02</v>
      </c>
    </row>
    <row r="1398" customFormat="false" ht="14.4" hidden="false" customHeight="false" outlineLevel="0" collapsed="false">
      <c r="A1398" s="218"/>
      <c r="B1398" s="251"/>
      <c r="C1398" s="251"/>
      <c r="D1398" s="212" t="s">
        <v>4968</v>
      </c>
      <c r="E1398" s="212" t="s">
        <v>5899</v>
      </c>
      <c r="F1398" s="212" t="s">
        <v>120</v>
      </c>
      <c r="G1398" s="250" t="n">
        <v>17.05</v>
      </c>
    </row>
    <row r="1399" customFormat="false" ht="14.4" hidden="false" customHeight="false" outlineLevel="0" collapsed="false">
      <c r="A1399" s="218"/>
      <c r="B1399" s="251"/>
      <c r="C1399" s="251"/>
      <c r="D1399" s="261" t="s">
        <v>7078</v>
      </c>
      <c r="E1399" s="224"/>
      <c r="F1399" s="225"/>
      <c r="G1399" s="217" t="n">
        <v>17.05</v>
      </c>
    </row>
    <row r="1400" customFormat="false" ht="14.4" hidden="false" customHeight="false" outlineLevel="0" collapsed="false">
      <c r="A1400" s="218"/>
      <c r="B1400" s="251"/>
      <c r="C1400" s="251"/>
      <c r="D1400" s="212" t="s">
        <v>4146</v>
      </c>
      <c r="E1400" s="212" t="s">
        <v>6016</v>
      </c>
      <c r="F1400" s="212" t="s">
        <v>120</v>
      </c>
      <c r="G1400" s="250" t="n">
        <v>44.45</v>
      </c>
    </row>
    <row r="1401" customFormat="false" ht="14.4" hidden="false" customHeight="false" outlineLevel="0" collapsed="false">
      <c r="A1401" s="218"/>
      <c r="B1401" s="251"/>
      <c r="C1401" s="251"/>
      <c r="D1401" s="261" t="s">
        <v>7152</v>
      </c>
      <c r="E1401" s="224"/>
      <c r="F1401" s="225"/>
      <c r="G1401" s="217" t="n">
        <v>44.45</v>
      </c>
    </row>
    <row r="1402" customFormat="false" ht="14.4" hidden="false" customHeight="false" outlineLevel="0" collapsed="false">
      <c r="A1402" s="218"/>
      <c r="B1402" s="251"/>
      <c r="C1402" s="251"/>
      <c r="D1402" s="212" t="s">
        <v>5121</v>
      </c>
      <c r="E1402" s="212" t="s">
        <v>5954</v>
      </c>
      <c r="F1402" s="212" t="s">
        <v>120</v>
      </c>
      <c r="G1402" s="250" t="n">
        <v>111.62</v>
      </c>
    </row>
    <row r="1403" customFormat="false" ht="14.4" hidden="false" customHeight="false" outlineLevel="0" collapsed="false">
      <c r="A1403" s="218"/>
      <c r="B1403" s="251"/>
      <c r="C1403" s="251"/>
      <c r="D1403" s="261" t="s">
        <v>7183</v>
      </c>
      <c r="E1403" s="224"/>
      <c r="F1403" s="225"/>
      <c r="G1403" s="217" t="n">
        <v>111.62</v>
      </c>
    </row>
    <row r="1404" customFormat="false" ht="14.4" hidden="false" customHeight="false" outlineLevel="0" collapsed="false">
      <c r="A1404" s="218"/>
      <c r="B1404" s="251"/>
      <c r="C1404" s="251"/>
      <c r="D1404" s="212" t="s">
        <v>4828</v>
      </c>
      <c r="E1404" s="212" t="s">
        <v>5755</v>
      </c>
      <c r="F1404" s="212" t="s">
        <v>120</v>
      </c>
      <c r="G1404" s="250" t="n">
        <v>26.04</v>
      </c>
    </row>
    <row r="1405" customFormat="false" ht="14.4" hidden="false" customHeight="false" outlineLevel="0" collapsed="false">
      <c r="A1405" s="218"/>
      <c r="B1405" s="251"/>
      <c r="C1405" s="251"/>
      <c r="D1405" s="261" t="s">
        <v>7082</v>
      </c>
      <c r="E1405" s="224"/>
      <c r="F1405" s="225"/>
      <c r="G1405" s="217" t="n">
        <v>26.04</v>
      </c>
    </row>
    <row r="1406" customFormat="false" ht="14.4" hidden="false" customHeight="false" outlineLevel="0" collapsed="false">
      <c r="A1406" s="218"/>
      <c r="B1406" s="251"/>
      <c r="C1406" s="251"/>
      <c r="D1406" s="212" t="s">
        <v>7055</v>
      </c>
      <c r="E1406" s="212" t="s">
        <v>5911</v>
      </c>
      <c r="F1406" s="212" t="s">
        <v>120</v>
      </c>
      <c r="G1406" s="250" t="n">
        <v>120.93</v>
      </c>
    </row>
    <row r="1407" customFormat="false" ht="14.4" hidden="false" customHeight="false" outlineLevel="0" collapsed="false">
      <c r="A1407" s="218"/>
      <c r="B1407" s="252"/>
      <c r="C1407" s="252"/>
      <c r="D1407" s="261" t="s">
        <v>7060</v>
      </c>
      <c r="E1407" s="224"/>
      <c r="F1407" s="225"/>
      <c r="G1407" s="217" t="n">
        <v>120.93</v>
      </c>
    </row>
    <row r="1408" customFormat="false" ht="14.4" hidden="false" customHeight="false" outlineLevel="0" collapsed="false">
      <c r="A1408" s="218"/>
      <c r="B1408" s="249" t="s">
        <v>6081</v>
      </c>
      <c r="C1408" s="249" t="s">
        <v>1594</v>
      </c>
      <c r="D1408" s="249" t="s">
        <v>6234</v>
      </c>
      <c r="E1408" s="212" t="s">
        <v>6788</v>
      </c>
      <c r="F1408" s="212" t="s">
        <v>120</v>
      </c>
      <c r="G1408" s="250" t="n">
        <v>102.94</v>
      </c>
    </row>
    <row r="1409" customFormat="false" ht="14.4" hidden="false" customHeight="false" outlineLevel="0" collapsed="false">
      <c r="A1409" s="218"/>
      <c r="B1409" s="251"/>
      <c r="C1409" s="251"/>
      <c r="D1409" s="251"/>
      <c r="E1409" s="212" t="s">
        <v>6791</v>
      </c>
      <c r="F1409" s="212" t="s">
        <v>120</v>
      </c>
      <c r="G1409" s="250" t="n">
        <v>34.69</v>
      </c>
    </row>
    <row r="1410" customFormat="false" ht="14.4" hidden="false" customHeight="false" outlineLevel="0" collapsed="false">
      <c r="A1410" s="218"/>
      <c r="B1410" s="251"/>
      <c r="C1410" s="251"/>
      <c r="D1410" s="251"/>
      <c r="E1410" s="212" t="s">
        <v>6794</v>
      </c>
      <c r="F1410" s="212" t="s">
        <v>120</v>
      </c>
      <c r="G1410" s="250" t="n">
        <v>3.81</v>
      </c>
    </row>
    <row r="1411" customFormat="false" ht="14.4" hidden="false" customHeight="false" outlineLevel="0" collapsed="false">
      <c r="A1411" s="218"/>
      <c r="B1411" s="251"/>
      <c r="C1411" s="251"/>
      <c r="D1411" s="251"/>
      <c r="E1411" s="212" t="s">
        <v>6797</v>
      </c>
      <c r="F1411" s="212" t="s">
        <v>120</v>
      </c>
      <c r="G1411" s="250" t="n">
        <v>2</v>
      </c>
    </row>
    <row r="1412" customFormat="false" ht="14.4" hidden="false" customHeight="false" outlineLevel="0" collapsed="false">
      <c r="A1412" s="218"/>
      <c r="B1412" s="251"/>
      <c r="C1412" s="251"/>
      <c r="D1412" s="252"/>
      <c r="E1412" s="212" t="s">
        <v>6803</v>
      </c>
      <c r="F1412" s="212" t="s">
        <v>120</v>
      </c>
      <c r="G1412" s="250" t="n">
        <v>9.44</v>
      </c>
    </row>
    <row r="1413" customFormat="false" ht="14.4" hidden="false" customHeight="false" outlineLevel="0" collapsed="false">
      <c r="A1413" s="218"/>
      <c r="B1413" s="251"/>
      <c r="C1413" s="251"/>
      <c r="D1413" s="261" t="s">
        <v>7190</v>
      </c>
      <c r="E1413" s="224"/>
      <c r="F1413" s="225"/>
      <c r="G1413" s="217" t="n">
        <v>152.88</v>
      </c>
    </row>
    <row r="1414" customFormat="false" ht="14.4" hidden="false" customHeight="false" outlineLevel="0" collapsed="false">
      <c r="A1414" s="218"/>
      <c r="B1414" s="251"/>
      <c r="C1414" s="251"/>
      <c r="D1414" s="249" t="s">
        <v>6525</v>
      </c>
      <c r="E1414" s="212" t="s">
        <v>6679</v>
      </c>
      <c r="F1414" s="212" t="s">
        <v>120</v>
      </c>
      <c r="G1414" s="250" t="n">
        <v>79.07</v>
      </c>
    </row>
    <row r="1415" customFormat="false" ht="14.4" hidden="false" customHeight="false" outlineLevel="0" collapsed="false">
      <c r="A1415" s="218"/>
      <c r="B1415" s="251"/>
      <c r="C1415" s="251"/>
      <c r="D1415" s="251"/>
      <c r="E1415" s="212" t="s">
        <v>6683</v>
      </c>
      <c r="F1415" s="212" t="s">
        <v>120</v>
      </c>
      <c r="G1415" s="250" t="n">
        <v>50.65</v>
      </c>
    </row>
    <row r="1416" customFormat="false" ht="14.4" hidden="false" customHeight="false" outlineLevel="0" collapsed="false">
      <c r="A1416" s="218"/>
      <c r="B1416" s="251"/>
      <c r="C1416" s="251"/>
      <c r="D1416" s="251"/>
      <c r="E1416" s="212" t="s">
        <v>6698</v>
      </c>
      <c r="F1416" s="212" t="s">
        <v>120</v>
      </c>
      <c r="G1416" s="250" t="n">
        <v>80.32</v>
      </c>
    </row>
    <row r="1417" customFormat="false" ht="14.4" hidden="false" customHeight="false" outlineLevel="0" collapsed="false">
      <c r="A1417" s="218"/>
      <c r="B1417" s="251"/>
      <c r="C1417" s="251"/>
      <c r="D1417" s="252"/>
      <c r="E1417" s="212" t="s">
        <v>6735</v>
      </c>
      <c r="F1417" s="212" t="s">
        <v>120</v>
      </c>
      <c r="G1417" s="250" t="n">
        <v>132.58</v>
      </c>
    </row>
    <row r="1418" customFormat="false" ht="14.4" hidden="false" customHeight="false" outlineLevel="0" collapsed="false">
      <c r="A1418" s="218"/>
      <c r="B1418" s="251"/>
      <c r="C1418" s="251"/>
      <c r="D1418" s="261" t="s">
        <v>7073</v>
      </c>
      <c r="E1418" s="224"/>
      <c r="F1418" s="225"/>
      <c r="G1418" s="217" t="n">
        <v>342.62</v>
      </c>
    </row>
    <row r="1419" customFormat="false" ht="14.4" hidden="false" customHeight="false" outlineLevel="0" collapsed="false">
      <c r="A1419" s="218"/>
      <c r="B1419" s="251"/>
      <c r="C1419" s="251"/>
      <c r="D1419" s="249" t="s">
        <v>1986</v>
      </c>
      <c r="E1419" s="212" t="s">
        <v>6427</v>
      </c>
      <c r="F1419" s="212" t="s">
        <v>120</v>
      </c>
      <c r="G1419" s="250" t="n">
        <v>63.55</v>
      </c>
    </row>
    <row r="1420" customFormat="false" ht="14.4" hidden="false" customHeight="false" outlineLevel="0" collapsed="false">
      <c r="A1420" s="218"/>
      <c r="B1420" s="251"/>
      <c r="C1420" s="251"/>
      <c r="D1420" s="251"/>
      <c r="E1420" s="212" t="s">
        <v>6440</v>
      </c>
      <c r="F1420" s="212" t="s">
        <v>120</v>
      </c>
      <c r="G1420" s="250" t="n">
        <v>238.72</v>
      </c>
    </row>
    <row r="1421" customFormat="false" ht="14.4" hidden="false" customHeight="false" outlineLevel="0" collapsed="false">
      <c r="A1421" s="218"/>
      <c r="B1421" s="251"/>
      <c r="C1421" s="251"/>
      <c r="D1421" s="251"/>
      <c r="E1421" s="212" t="s">
        <v>6450</v>
      </c>
      <c r="F1421" s="212" t="s">
        <v>120</v>
      </c>
      <c r="G1421" s="250" t="n">
        <v>24.36</v>
      </c>
    </row>
    <row r="1422" customFormat="false" ht="14.4" hidden="false" customHeight="false" outlineLevel="0" collapsed="false">
      <c r="A1422" s="218"/>
      <c r="B1422" s="251"/>
      <c r="C1422" s="251"/>
      <c r="D1422" s="251"/>
      <c r="E1422" s="212" t="s">
        <v>6476</v>
      </c>
      <c r="F1422" s="212" t="s">
        <v>120</v>
      </c>
      <c r="G1422" s="250" t="n">
        <v>104.95</v>
      </c>
    </row>
    <row r="1423" customFormat="false" ht="14.4" hidden="false" customHeight="false" outlineLevel="0" collapsed="false">
      <c r="A1423" s="218"/>
      <c r="B1423" s="251"/>
      <c r="C1423" s="251"/>
      <c r="D1423" s="251"/>
      <c r="E1423" s="212" t="s">
        <v>6480</v>
      </c>
      <c r="F1423" s="212" t="s">
        <v>120</v>
      </c>
      <c r="G1423" s="250" t="n">
        <v>84.25</v>
      </c>
    </row>
    <row r="1424" customFormat="false" ht="14.4" hidden="false" customHeight="false" outlineLevel="0" collapsed="false">
      <c r="A1424" s="218"/>
      <c r="B1424" s="251"/>
      <c r="C1424" s="251"/>
      <c r="D1424" s="251"/>
      <c r="E1424" s="212" t="s">
        <v>6492</v>
      </c>
      <c r="F1424" s="212" t="s">
        <v>120</v>
      </c>
      <c r="G1424" s="250" t="n">
        <v>17.04</v>
      </c>
    </row>
    <row r="1425" customFormat="false" ht="14.4" hidden="false" customHeight="false" outlineLevel="0" collapsed="false">
      <c r="A1425" s="218"/>
      <c r="B1425" s="251"/>
      <c r="C1425" s="251"/>
      <c r="D1425" s="251"/>
      <c r="E1425" s="212" t="s">
        <v>6496</v>
      </c>
      <c r="F1425" s="212" t="s">
        <v>120</v>
      </c>
      <c r="G1425" s="250" t="n">
        <v>174.12</v>
      </c>
    </row>
    <row r="1426" customFormat="false" ht="14.4" hidden="false" customHeight="false" outlineLevel="0" collapsed="false">
      <c r="A1426" s="218"/>
      <c r="B1426" s="251"/>
      <c r="C1426" s="251"/>
      <c r="D1426" s="251"/>
      <c r="E1426" s="212" t="s">
        <v>6500</v>
      </c>
      <c r="F1426" s="212" t="s">
        <v>120</v>
      </c>
      <c r="G1426" s="250" t="n">
        <v>38.48</v>
      </c>
    </row>
    <row r="1427" customFormat="false" ht="14.4" hidden="false" customHeight="false" outlineLevel="0" collapsed="false">
      <c r="A1427" s="218"/>
      <c r="B1427" s="251"/>
      <c r="C1427" s="251"/>
      <c r="D1427" s="251"/>
      <c r="E1427" s="212" t="s">
        <v>6503</v>
      </c>
      <c r="F1427" s="212" t="s">
        <v>120</v>
      </c>
      <c r="G1427" s="250" t="n">
        <v>136.75</v>
      </c>
    </row>
    <row r="1428" customFormat="false" ht="14.4" hidden="false" customHeight="false" outlineLevel="0" collapsed="false">
      <c r="A1428" s="218"/>
      <c r="B1428" s="251"/>
      <c r="C1428" s="251"/>
      <c r="D1428" s="251"/>
      <c r="E1428" s="212" t="s">
        <v>6506</v>
      </c>
      <c r="F1428" s="212" t="s">
        <v>120</v>
      </c>
      <c r="G1428" s="250" t="n">
        <v>208.64</v>
      </c>
    </row>
    <row r="1429" customFormat="false" ht="14.4" hidden="false" customHeight="false" outlineLevel="0" collapsed="false">
      <c r="A1429" s="218"/>
      <c r="B1429" s="251"/>
      <c r="C1429" s="251"/>
      <c r="D1429" s="251"/>
      <c r="E1429" s="212" t="s">
        <v>6510</v>
      </c>
      <c r="F1429" s="212" t="s">
        <v>120</v>
      </c>
      <c r="G1429" s="250" t="n">
        <v>33.54</v>
      </c>
    </row>
    <row r="1430" customFormat="false" ht="14.4" hidden="false" customHeight="false" outlineLevel="0" collapsed="false">
      <c r="A1430" s="218"/>
      <c r="B1430" s="251"/>
      <c r="C1430" s="251"/>
      <c r="D1430" s="251"/>
      <c r="E1430" s="212" t="s">
        <v>6815</v>
      </c>
      <c r="F1430" s="212" t="s">
        <v>120</v>
      </c>
      <c r="G1430" s="250" t="n">
        <v>100.96</v>
      </c>
    </row>
    <row r="1431" customFormat="false" ht="14.4" hidden="false" customHeight="false" outlineLevel="0" collapsed="false">
      <c r="A1431" s="218"/>
      <c r="B1431" s="251"/>
      <c r="C1431" s="251"/>
      <c r="D1431" s="252"/>
      <c r="E1431" s="212" t="s">
        <v>6973</v>
      </c>
      <c r="F1431" s="212" t="s">
        <v>120</v>
      </c>
      <c r="G1431" s="250" t="n">
        <v>45.92</v>
      </c>
    </row>
    <row r="1432" customFormat="false" ht="14.4" hidden="false" customHeight="false" outlineLevel="0" collapsed="false">
      <c r="A1432" s="218"/>
      <c r="B1432" s="251"/>
      <c r="C1432" s="251"/>
      <c r="D1432" s="261" t="s">
        <v>7089</v>
      </c>
      <c r="E1432" s="224"/>
      <c r="F1432" s="225"/>
      <c r="G1432" s="217" t="n">
        <v>1271.28</v>
      </c>
    </row>
    <row r="1433" customFormat="false" ht="14.4" hidden="false" customHeight="false" outlineLevel="0" collapsed="false">
      <c r="A1433" s="218"/>
      <c r="B1433" s="251"/>
      <c r="C1433" s="251"/>
      <c r="D1433" s="249" t="s">
        <v>3251</v>
      </c>
      <c r="E1433" s="212" t="s">
        <v>6082</v>
      </c>
      <c r="F1433" s="212" t="s">
        <v>120</v>
      </c>
      <c r="G1433" s="250" t="n">
        <v>148.85</v>
      </c>
    </row>
    <row r="1434" customFormat="false" ht="14.4" hidden="false" customHeight="false" outlineLevel="0" collapsed="false">
      <c r="A1434" s="218"/>
      <c r="B1434" s="251"/>
      <c r="C1434" s="251"/>
      <c r="D1434" s="251"/>
      <c r="E1434" s="212" t="s">
        <v>6088</v>
      </c>
      <c r="F1434" s="212" t="s">
        <v>120</v>
      </c>
      <c r="G1434" s="250" t="n">
        <v>99.46</v>
      </c>
    </row>
    <row r="1435" customFormat="false" ht="14.4" hidden="false" customHeight="false" outlineLevel="0" collapsed="false">
      <c r="A1435" s="218"/>
      <c r="B1435" s="251"/>
      <c r="C1435" s="251"/>
      <c r="D1435" s="251"/>
      <c r="E1435" s="212" t="s">
        <v>6093</v>
      </c>
      <c r="F1435" s="212" t="s">
        <v>120</v>
      </c>
      <c r="G1435" s="250" t="n">
        <v>65.03</v>
      </c>
    </row>
    <row r="1436" customFormat="false" ht="14.4" hidden="false" customHeight="false" outlineLevel="0" collapsed="false">
      <c r="A1436" s="218"/>
      <c r="B1436" s="251"/>
      <c r="C1436" s="251"/>
      <c r="D1436" s="251"/>
      <c r="E1436" s="212" t="s">
        <v>6097</v>
      </c>
      <c r="F1436" s="212" t="s">
        <v>120</v>
      </c>
      <c r="G1436" s="250" t="n">
        <v>7.85</v>
      </c>
    </row>
    <row r="1437" customFormat="false" ht="14.4" hidden="false" customHeight="false" outlineLevel="0" collapsed="false">
      <c r="A1437" s="218"/>
      <c r="B1437" s="251"/>
      <c r="C1437" s="251"/>
      <c r="D1437" s="251"/>
      <c r="E1437" s="212" t="s">
        <v>6188</v>
      </c>
      <c r="F1437" s="212" t="s">
        <v>120</v>
      </c>
      <c r="G1437" s="250" t="n">
        <v>79</v>
      </c>
    </row>
    <row r="1438" customFormat="false" ht="14.4" hidden="false" customHeight="false" outlineLevel="0" collapsed="false">
      <c r="A1438" s="218"/>
      <c r="B1438" s="251"/>
      <c r="C1438" s="251"/>
      <c r="D1438" s="251"/>
      <c r="E1438" s="212" t="s">
        <v>6193</v>
      </c>
      <c r="F1438" s="212" t="s">
        <v>120</v>
      </c>
      <c r="G1438" s="250" t="n">
        <v>107.76</v>
      </c>
    </row>
    <row r="1439" customFormat="false" ht="14.4" hidden="false" customHeight="false" outlineLevel="0" collapsed="false">
      <c r="A1439" s="218"/>
      <c r="B1439" s="251"/>
      <c r="C1439" s="251"/>
      <c r="D1439" s="251"/>
      <c r="E1439" s="212" t="s">
        <v>6210</v>
      </c>
      <c r="F1439" s="212" t="s">
        <v>120</v>
      </c>
      <c r="G1439" s="250" t="n">
        <v>48.61</v>
      </c>
    </row>
    <row r="1440" customFormat="false" ht="14.4" hidden="false" customHeight="false" outlineLevel="0" collapsed="false">
      <c r="A1440" s="218"/>
      <c r="B1440" s="251"/>
      <c r="C1440" s="251"/>
      <c r="D1440" s="251"/>
      <c r="E1440" s="212" t="s">
        <v>6213</v>
      </c>
      <c r="F1440" s="212" t="s">
        <v>120</v>
      </c>
      <c r="G1440" s="250" t="n">
        <v>4.88</v>
      </c>
    </row>
    <row r="1441" customFormat="false" ht="14.4" hidden="false" customHeight="false" outlineLevel="0" collapsed="false">
      <c r="A1441" s="218"/>
      <c r="B1441" s="251"/>
      <c r="C1441" s="251"/>
      <c r="D1441" s="251"/>
      <c r="E1441" s="212" t="s">
        <v>6216</v>
      </c>
      <c r="F1441" s="212" t="s">
        <v>120</v>
      </c>
      <c r="G1441" s="250" t="n">
        <v>95.06</v>
      </c>
    </row>
    <row r="1442" customFormat="false" ht="14.4" hidden="false" customHeight="false" outlineLevel="0" collapsed="false">
      <c r="A1442" s="218"/>
      <c r="B1442" s="251"/>
      <c r="C1442" s="251"/>
      <c r="D1442" s="251"/>
      <c r="E1442" s="212" t="s">
        <v>6225</v>
      </c>
      <c r="F1442" s="212" t="s">
        <v>120</v>
      </c>
      <c r="G1442" s="250" t="n">
        <v>13.87</v>
      </c>
    </row>
    <row r="1443" customFormat="false" ht="14.4" hidden="false" customHeight="false" outlineLevel="0" collapsed="false">
      <c r="A1443" s="218"/>
      <c r="B1443" s="251"/>
      <c r="C1443" s="251"/>
      <c r="D1443" s="251"/>
      <c r="E1443" s="212" t="s">
        <v>6237</v>
      </c>
      <c r="F1443" s="212" t="s">
        <v>120</v>
      </c>
      <c r="G1443" s="250" t="n">
        <v>46.7</v>
      </c>
    </row>
    <row r="1444" customFormat="false" ht="14.4" hidden="false" customHeight="false" outlineLevel="0" collapsed="false">
      <c r="A1444" s="218"/>
      <c r="B1444" s="251"/>
      <c r="C1444" s="251"/>
      <c r="D1444" s="251"/>
      <c r="E1444" s="212" t="s">
        <v>6393</v>
      </c>
      <c r="F1444" s="212" t="s">
        <v>120</v>
      </c>
      <c r="G1444" s="250" t="n">
        <v>12.37</v>
      </c>
    </row>
    <row r="1445" customFormat="false" ht="14.4" hidden="false" customHeight="false" outlineLevel="0" collapsed="false">
      <c r="A1445" s="218"/>
      <c r="B1445" s="251"/>
      <c r="C1445" s="251"/>
      <c r="D1445" s="251"/>
      <c r="E1445" s="212" t="s">
        <v>6396</v>
      </c>
      <c r="F1445" s="212" t="s">
        <v>120</v>
      </c>
      <c r="G1445" s="250" t="n">
        <v>52.16</v>
      </c>
    </row>
    <row r="1446" customFormat="false" ht="14.4" hidden="false" customHeight="false" outlineLevel="0" collapsed="false">
      <c r="A1446" s="218"/>
      <c r="B1446" s="251"/>
      <c r="C1446" s="251"/>
      <c r="D1446" s="251"/>
      <c r="E1446" s="212" t="s">
        <v>6400</v>
      </c>
      <c r="F1446" s="212" t="s">
        <v>120</v>
      </c>
      <c r="G1446" s="250" t="n">
        <v>119.37</v>
      </c>
    </row>
    <row r="1447" customFormat="false" ht="14.4" hidden="false" customHeight="false" outlineLevel="0" collapsed="false">
      <c r="A1447" s="218"/>
      <c r="B1447" s="251"/>
      <c r="C1447" s="251"/>
      <c r="D1447" s="251"/>
      <c r="E1447" s="212" t="s">
        <v>6405</v>
      </c>
      <c r="F1447" s="212" t="s">
        <v>120</v>
      </c>
      <c r="G1447" s="250" t="n">
        <v>32.7</v>
      </c>
    </row>
    <row r="1448" customFormat="false" ht="14.4" hidden="false" customHeight="false" outlineLevel="0" collapsed="false">
      <c r="A1448" s="218"/>
      <c r="B1448" s="251"/>
      <c r="C1448" s="251"/>
      <c r="D1448" s="251"/>
      <c r="E1448" s="212" t="s">
        <v>6408</v>
      </c>
      <c r="F1448" s="212" t="s">
        <v>120</v>
      </c>
      <c r="G1448" s="250" t="n">
        <v>118.25</v>
      </c>
    </row>
    <row r="1449" customFormat="false" ht="14.4" hidden="false" customHeight="false" outlineLevel="0" collapsed="false">
      <c r="A1449" s="218"/>
      <c r="B1449" s="251"/>
      <c r="C1449" s="251"/>
      <c r="D1449" s="251"/>
      <c r="E1449" s="212" t="s">
        <v>6590</v>
      </c>
      <c r="F1449" s="212" t="s">
        <v>120</v>
      </c>
      <c r="G1449" s="250" t="n">
        <v>44.16</v>
      </c>
    </row>
    <row r="1450" customFormat="false" ht="14.4" hidden="false" customHeight="false" outlineLevel="0" collapsed="false">
      <c r="A1450" s="218"/>
      <c r="B1450" s="251"/>
      <c r="C1450" s="251"/>
      <c r="D1450" s="251"/>
      <c r="E1450" s="212" t="s">
        <v>6598</v>
      </c>
      <c r="F1450" s="212" t="s">
        <v>120</v>
      </c>
      <c r="G1450" s="250" t="n">
        <v>173.32</v>
      </c>
    </row>
    <row r="1451" customFormat="false" ht="14.4" hidden="false" customHeight="false" outlineLevel="0" collapsed="false">
      <c r="A1451" s="218"/>
      <c r="B1451" s="251"/>
      <c r="C1451" s="251"/>
      <c r="D1451" s="251"/>
      <c r="E1451" s="212" t="s">
        <v>6637</v>
      </c>
      <c r="F1451" s="212" t="s">
        <v>120</v>
      </c>
      <c r="G1451" s="250" t="n">
        <v>95.79</v>
      </c>
    </row>
    <row r="1452" customFormat="false" ht="14.4" hidden="false" customHeight="false" outlineLevel="0" collapsed="false">
      <c r="A1452" s="218"/>
      <c r="B1452" s="251"/>
      <c r="C1452" s="251"/>
      <c r="D1452" s="252"/>
      <c r="E1452" s="212" t="s">
        <v>6657</v>
      </c>
      <c r="F1452" s="212" t="s">
        <v>120</v>
      </c>
      <c r="G1452" s="250" t="n">
        <v>60.22</v>
      </c>
    </row>
    <row r="1453" customFormat="false" ht="14.4" hidden="false" customHeight="false" outlineLevel="0" collapsed="false">
      <c r="A1453" s="218"/>
      <c r="B1453" s="251"/>
      <c r="C1453" s="251"/>
      <c r="D1453" s="261" t="s">
        <v>7074</v>
      </c>
      <c r="E1453" s="224"/>
      <c r="F1453" s="225"/>
      <c r="G1453" s="217" t="n">
        <v>1425.41</v>
      </c>
    </row>
    <row r="1454" customFormat="false" ht="14.4" hidden="false" customHeight="false" outlineLevel="0" collapsed="false">
      <c r="A1454" s="218"/>
      <c r="B1454" s="251"/>
      <c r="C1454" s="251"/>
      <c r="D1454" s="212" t="s">
        <v>6292</v>
      </c>
      <c r="E1454" s="212" t="s">
        <v>6902</v>
      </c>
      <c r="F1454" s="212" t="s">
        <v>120</v>
      </c>
      <c r="G1454" s="250" t="n">
        <v>101.29</v>
      </c>
    </row>
    <row r="1455" customFormat="false" ht="14.4" hidden="false" customHeight="false" outlineLevel="0" collapsed="false">
      <c r="A1455" s="218"/>
      <c r="B1455" s="251"/>
      <c r="C1455" s="251"/>
      <c r="D1455" s="261" t="s">
        <v>7191</v>
      </c>
      <c r="E1455" s="224"/>
      <c r="F1455" s="225"/>
      <c r="G1455" s="217" t="n">
        <v>101.29</v>
      </c>
    </row>
    <row r="1456" customFormat="false" ht="14.4" hidden="false" customHeight="false" outlineLevel="0" collapsed="false">
      <c r="A1456" s="218"/>
      <c r="B1456" s="251"/>
      <c r="C1456" s="251"/>
      <c r="D1456" s="249" t="s">
        <v>6911</v>
      </c>
      <c r="E1456" s="212" t="s">
        <v>6910</v>
      </c>
      <c r="F1456" s="212" t="s">
        <v>120</v>
      </c>
      <c r="G1456" s="250" t="n">
        <v>57.37</v>
      </c>
    </row>
    <row r="1457" customFormat="false" ht="14.4" hidden="false" customHeight="false" outlineLevel="0" collapsed="false">
      <c r="A1457" s="218"/>
      <c r="B1457" s="251"/>
      <c r="C1457" s="251"/>
      <c r="D1457" s="252"/>
      <c r="E1457" s="212" t="s">
        <v>6918</v>
      </c>
      <c r="F1457" s="212" t="s">
        <v>120</v>
      </c>
      <c r="G1457" s="250" t="n">
        <v>68.55</v>
      </c>
    </row>
    <row r="1458" customFormat="false" ht="14.4" hidden="false" customHeight="false" outlineLevel="0" collapsed="false">
      <c r="A1458" s="218"/>
      <c r="B1458" s="251"/>
      <c r="C1458" s="251"/>
      <c r="D1458" s="261" t="s">
        <v>7192</v>
      </c>
      <c r="E1458" s="224"/>
      <c r="F1458" s="225"/>
      <c r="G1458" s="217" t="n">
        <v>125.92</v>
      </c>
    </row>
    <row r="1459" customFormat="false" ht="14.4" hidden="false" customHeight="false" outlineLevel="0" collapsed="false">
      <c r="A1459" s="218"/>
      <c r="B1459" s="251"/>
      <c r="C1459" s="251"/>
      <c r="D1459" s="212" t="s">
        <v>6546</v>
      </c>
      <c r="E1459" s="212" t="s">
        <v>6545</v>
      </c>
      <c r="F1459" s="212" t="s">
        <v>120</v>
      </c>
      <c r="G1459" s="250" t="n">
        <v>62.72</v>
      </c>
    </row>
    <row r="1460" customFormat="false" ht="14.4" hidden="false" customHeight="false" outlineLevel="0" collapsed="false">
      <c r="A1460" s="218"/>
      <c r="B1460" s="251"/>
      <c r="C1460" s="251"/>
      <c r="D1460" s="261" t="s">
        <v>7193</v>
      </c>
      <c r="E1460" s="224"/>
      <c r="F1460" s="225"/>
      <c r="G1460" s="217" t="n">
        <v>62.72</v>
      </c>
    </row>
    <row r="1461" customFormat="false" ht="14.4" hidden="false" customHeight="false" outlineLevel="0" collapsed="false">
      <c r="A1461" s="218"/>
      <c r="B1461" s="251"/>
      <c r="C1461" s="251"/>
      <c r="D1461" s="212" t="s">
        <v>6489</v>
      </c>
      <c r="E1461" s="212" t="s">
        <v>6488</v>
      </c>
      <c r="F1461" s="212" t="s">
        <v>120</v>
      </c>
      <c r="G1461" s="250" t="n">
        <v>68.36</v>
      </c>
    </row>
    <row r="1462" customFormat="false" ht="14.4" hidden="false" customHeight="false" outlineLevel="0" collapsed="false">
      <c r="A1462" s="218"/>
      <c r="B1462" s="251"/>
      <c r="C1462" s="251"/>
      <c r="D1462" s="261" t="s">
        <v>7194</v>
      </c>
      <c r="E1462" s="224"/>
      <c r="F1462" s="225"/>
      <c r="G1462" s="217" t="n">
        <v>68.36</v>
      </c>
    </row>
    <row r="1463" customFormat="false" ht="14.4" hidden="false" customHeight="false" outlineLevel="0" collapsed="false">
      <c r="A1463" s="218"/>
      <c r="B1463" s="251"/>
      <c r="C1463" s="251"/>
      <c r="D1463" s="212" t="s">
        <v>6202</v>
      </c>
      <c r="E1463" s="212" t="s">
        <v>6201</v>
      </c>
      <c r="F1463" s="212" t="s">
        <v>120</v>
      </c>
      <c r="G1463" s="250" t="n">
        <v>207.74</v>
      </c>
    </row>
    <row r="1464" customFormat="false" ht="14.4" hidden="false" customHeight="false" outlineLevel="0" collapsed="false">
      <c r="A1464" s="218"/>
      <c r="B1464" s="251"/>
      <c r="C1464" s="251"/>
      <c r="D1464" s="261" t="s">
        <v>7195</v>
      </c>
      <c r="E1464" s="224"/>
      <c r="F1464" s="225"/>
      <c r="G1464" s="217" t="n">
        <v>207.74</v>
      </c>
    </row>
    <row r="1465" customFormat="false" ht="14.4" hidden="false" customHeight="false" outlineLevel="0" collapsed="false">
      <c r="A1465" s="218"/>
      <c r="B1465" s="251"/>
      <c r="C1465" s="251"/>
      <c r="D1465" s="212" t="s">
        <v>4738</v>
      </c>
      <c r="E1465" s="212" t="s">
        <v>6245</v>
      </c>
      <c r="F1465" s="212" t="s">
        <v>120</v>
      </c>
      <c r="G1465" s="250" t="n">
        <v>113.5</v>
      </c>
    </row>
    <row r="1466" customFormat="false" ht="14.4" hidden="false" customHeight="false" outlineLevel="0" collapsed="false">
      <c r="A1466" s="218"/>
      <c r="B1466" s="251"/>
      <c r="C1466" s="251"/>
      <c r="D1466" s="261" t="s">
        <v>7164</v>
      </c>
      <c r="E1466" s="224"/>
      <c r="F1466" s="225"/>
      <c r="G1466" s="217" t="n">
        <v>113.5</v>
      </c>
    </row>
    <row r="1467" customFormat="false" ht="14.4" hidden="false" customHeight="false" outlineLevel="0" collapsed="false">
      <c r="A1467" s="218"/>
      <c r="B1467" s="251"/>
      <c r="C1467" s="251"/>
      <c r="D1467" s="249" t="s">
        <v>6251</v>
      </c>
      <c r="E1467" s="212" t="s">
        <v>6250</v>
      </c>
      <c r="F1467" s="212" t="s">
        <v>120</v>
      </c>
      <c r="G1467" s="250" t="n">
        <v>36.62</v>
      </c>
    </row>
    <row r="1468" customFormat="false" ht="14.4" hidden="false" customHeight="false" outlineLevel="0" collapsed="false">
      <c r="A1468" s="218"/>
      <c r="B1468" s="251"/>
      <c r="C1468" s="251"/>
      <c r="D1468" s="252"/>
      <c r="E1468" s="212" t="s">
        <v>6260</v>
      </c>
      <c r="F1468" s="212" t="s">
        <v>120</v>
      </c>
      <c r="G1468" s="250" t="n">
        <v>46.82</v>
      </c>
    </row>
    <row r="1469" customFormat="false" ht="14.4" hidden="false" customHeight="false" outlineLevel="0" collapsed="false">
      <c r="A1469" s="218"/>
      <c r="B1469" s="251"/>
      <c r="C1469" s="251"/>
      <c r="D1469" s="261" t="s">
        <v>7196</v>
      </c>
      <c r="E1469" s="224"/>
      <c r="F1469" s="225"/>
      <c r="G1469" s="217" t="n">
        <v>83.44</v>
      </c>
    </row>
    <row r="1470" customFormat="false" ht="14.4" hidden="false" customHeight="false" outlineLevel="0" collapsed="false">
      <c r="A1470" s="218"/>
      <c r="B1470" s="251"/>
      <c r="C1470" s="251"/>
      <c r="D1470" s="212" t="s">
        <v>6837</v>
      </c>
      <c r="E1470" s="212" t="s">
        <v>6836</v>
      </c>
      <c r="F1470" s="212" t="s">
        <v>120</v>
      </c>
      <c r="G1470" s="250" t="n">
        <v>166.05</v>
      </c>
    </row>
    <row r="1471" customFormat="false" ht="14.4" hidden="false" customHeight="false" outlineLevel="0" collapsed="false">
      <c r="A1471" s="218"/>
      <c r="B1471" s="251"/>
      <c r="C1471" s="251"/>
      <c r="D1471" s="261" t="s">
        <v>7197</v>
      </c>
      <c r="E1471" s="224"/>
      <c r="F1471" s="225"/>
      <c r="G1471" s="217" t="n">
        <v>166.05</v>
      </c>
    </row>
    <row r="1472" customFormat="false" ht="14.4" hidden="false" customHeight="false" outlineLevel="0" collapsed="false">
      <c r="A1472" s="218"/>
      <c r="B1472" s="251"/>
      <c r="C1472" s="251"/>
      <c r="D1472" s="249" t="s">
        <v>7055</v>
      </c>
      <c r="E1472" s="212" t="s">
        <v>6138</v>
      </c>
      <c r="F1472" s="212" t="s">
        <v>120</v>
      </c>
      <c r="G1472" s="250" t="n">
        <v>52.69</v>
      </c>
    </row>
    <row r="1473" customFormat="false" ht="14.4" hidden="false" customHeight="false" outlineLevel="0" collapsed="false">
      <c r="A1473" s="218"/>
      <c r="B1473" s="251"/>
      <c r="C1473" s="251"/>
      <c r="D1473" s="251"/>
      <c r="E1473" s="212" t="s">
        <v>6147</v>
      </c>
      <c r="F1473" s="212" t="s">
        <v>120</v>
      </c>
      <c r="G1473" s="250" t="n">
        <v>4.72</v>
      </c>
    </row>
    <row r="1474" customFormat="false" ht="14.4" hidden="false" customHeight="false" outlineLevel="0" collapsed="false">
      <c r="A1474" s="218"/>
      <c r="B1474" s="251"/>
      <c r="C1474" s="251"/>
      <c r="D1474" s="251"/>
      <c r="E1474" s="212" t="s">
        <v>6177</v>
      </c>
      <c r="F1474" s="212" t="s">
        <v>120</v>
      </c>
      <c r="G1474" s="250" t="n">
        <v>206.61</v>
      </c>
    </row>
    <row r="1475" customFormat="false" ht="14.4" hidden="false" customHeight="false" outlineLevel="0" collapsed="false">
      <c r="A1475" s="218"/>
      <c r="B1475" s="251"/>
      <c r="C1475" s="251"/>
      <c r="D1475" s="251"/>
      <c r="E1475" s="212" t="s">
        <v>6412</v>
      </c>
      <c r="F1475" s="212" t="s">
        <v>120</v>
      </c>
      <c r="G1475" s="250" t="n">
        <v>48.47</v>
      </c>
    </row>
    <row r="1476" customFormat="false" ht="14.4" hidden="false" customHeight="false" outlineLevel="0" collapsed="false">
      <c r="A1476" s="218"/>
      <c r="B1476" s="251"/>
      <c r="C1476" s="251"/>
      <c r="D1476" s="251"/>
      <c r="E1476" s="212" t="s">
        <v>6417</v>
      </c>
      <c r="F1476" s="212" t="s">
        <v>120</v>
      </c>
      <c r="G1476" s="250" t="n">
        <v>85.32</v>
      </c>
    </row>
    <row r="1477" customFormat="false" ht="14.4" hidden="false" customHeight="false" outlineLevel="0" collapsed="false">
      <c r="A1477" s="218"/>
      <c r="B1477" s="251"/>
      <c r="C1477" s="251"/>
      <c r="D1477" s="251"/>
      <c r="E1477" s="212" t="s">
        <v>6420</v>
      </c>
      <c r="F1477" s="212" t="s">
        <v>120</v>
      </c>
      <c r="G1477" s="250" t="n">
        <v>86.47</v>
      </c>
    </row>
    <row r="1478" customFormat="false" ht="14.4" hidden="false" customHeight="false" outlineLevel="0" collapsed="false">
      <c r="A1478" s="218"/>
      <c r="B1478" s="251"/>
      <c r="C1478" s="251"/>
      <c r="D1478" s="251"/>
      <c r="E1478" s="212" t="s">
        <v>6424</v>
      </c>
      <c r="F1478" s="212" t="s">
        <v>120</v>
      </c>
      <c r="G1478" s="250" t="n">
        <v>197.67</v>
      </c>
    </row>
    <row r="1479" customFormat="false" ht="14.4" hidden="false" customHeight="false" outlineLevel="0" collapsed="false">
      <c r="A1479" s="218"/>
      <c r="B1479" s="251"/>
      <c r="C1479" s="251"/>
      <c r="D1479" s="251"/>
      <c r="E1479" s="212" t="s">
        <v>6431</v>
      </c>
      <c r="F1479" s="212" t="s">
        <v>120</v>
      </c>
      <c r="G1479" s="250" t="n">
        <v>94.21</v>
      </c>
    </row>
    <row r="1480" customFormat="false" ht="14.4" hidden="false" customHeight="false" outlineLevel="0" collapsed="false">
      <c r="A1480" s="218"/>
      <c r="B1480" s="251"/>
      <c r="C1480" s="251"/>
      <c r="D1480" s="251"/>
      <c r="E1480" s="212" t="s">
        <v>6436</v>
      </c>
      <c r="F1480" s="212" t="s">
        <v>120</v>
      </c>
      <c r="G1480" s="250" t="n">
        <v>111.03</v>
      </c>
    </row>
    <row r="1481" customFormat="false" ht="14.4" hidden="false" customHeight="false" outlineLevel="0" collapsed="false">
      <c r="A1481" s="218"/>
      <c r="B1481" s="251"/>
      <c r="C1481" s="251"/>
      <c r="D1481" s="251"/>
      <c r="E1481" s="212" t="s">
        <v>6444</v>
      </c>
      <c r="F1481" s="212" t="s">
        <v>120</v>
      </c>
      <c r="G1481" s="250" t="n">
        <v>48.05</v>
      </c>
    </row>
    <row r="1482" customFormat="false" ht="14.4" hidden="false" customHeight="false" outlineLevel="0" collapsed="false">
      <c r="A1482" s="218"/>
      <c r="B1482" s="251"/>
      <c r="C1482" s="251"/>
      <c r="D1482" s="251"/>
      <c r="E1482" s="212" t="s">
        <v>6447</v>
      </c>
      <c r="F1482" s="212" t="s">
        <v>120</v>
      </c>
      <c r="G1482" s="250" t="n">
        <v>50.54</v>
      </c>
    </row>
    <row r="1483" customFormat="false" ht="14.4" hidden="false" customHeight="false" outlineLevel="0" collapsed="false">
      <c r="A1483" s="218"/>
      <c r="B1483" s="251"/>
      <c r="C1483" s="251"/>
      <c r="D1483" s="251"/>
      <c r="E1483" s="212" t="s">
        <v>6455</v>
      </c>
      <c r="F1483" s="212" t="s">
        <v>120</v>
      </c>
      <c r="G1483" s="250" t="n">
        <v>173.68</v>
      </c>
    </row>
    <row r="1484" customFormat="false" ht="14.4" hidden="false" customHeight="false" outlineLevel="0" collapsed="false">
      <c r="A1484" s="218"/>
      <c r="B1484" s="251"/>
      <c r="C1484" s="251"/>
      <c r="D1484" s="251"/>
      <c r="E1484" s="212" t="s">
        <v>6458</v>
      </c>
      <c r="F1484" s="212" t="s">
        <v>120</v>
      </c>
      <c r="G1484" s="250" t="n">
        <v>26.11</v>
      </c>
    </row>
    <row r="1485" customFormat="false" ht="14.4" hidden="false" customHeight="false" outlineLevel="0" collapsed="false">
      <c r="A1485" s="218"/>
      <c r="B1485" s="251"/>
      <c r="C1485" s="251"/>
      <c r="D1485" s="251"/>
      <c r="E1485" s="212" t="s">
        <v>6461</v>
      </c>
      <c r="F1485" s="212" t="s">
        <v>120</v>
      </c>
      <c r="G1485" s="250" t="n">
        <v>11.16</v>
      </c>
    </row>
    <row r="1486" customFormat="false" ht="14.4" hidden="false" customHeight="false" outlineLevel="0" collapsed="false">
      <c r="A1486" s="218"/>
      <c r="B1486" s="251"/>
      <c r="C1486" s="251"/>
      <c r="D1486" s="251"/>
      <c r="E1486" s="212" t="s">
        <v>6464</v>
      </c>
      <c r="F1486" s="212" t="s">
        <v>120</v>
      </c>
      <c r="G1486" s="250" t="n">
        <v>61.37</v>
      </c>
    </row>
    <row r="1487" customFormat="false" ht="14.4" hidden="false" customHeight="false" outlineLevel="0" collapsed="false">
      <c r="A1487" s="218"/>
      <c r="B1487" s="251"/>
      <c r="C1487" s="251"/>
      <c r="D1487" s="251"/>
      <c r="E1487" s="212" t="s">
        <v>6468</v>
      </c>
      <c r="F1487" s="212" t="s">
        <v>120</v>
      </c>
      <c r="G1487" s="250" t="n">
        <v>8.38</v>
      </c>
    </row>
    <row r="1488" customFormat="false" ht="14.4" hidden="false" customHeight="false" outlineLevel="0" collapsed="false">
      <c r="A1488" s="218"/>
      <c r="B1488" s="251"/>
      <c r="C1488" s="251"/>
      <c r="D1488" s="251"/>
      <c r="E1488" s="212" t="s">
        <v>6472</v>
      </c>
      <c r="F1488" s="212" t="s">
        <v>120</v>
      </c>
      <c r="G1488" s="250" t="n">
        <v>29.51</v>
      </c>
    </row>
    <row r="1489" customFormat="false" ht="14.4" hidden="false" customHeight="false" outlineLevel="0" collapsed="false">
      <c r="A1489" s="218"/>
      <c r="B1489" s="251"/>
      <c r="C1489" s="251"/>
      <c r="D1489" s="251"/>
      <c r="E1489" s="212" t="s">
        <v>6484</v>
      </c>
      <c r="F1489" s="212" t="s">
        <v>120</v>
      </c>
      <c r="G1489" s="250" t="n">
        <v>76.05</v>
      </c>
    </row>
    <row r="1490" customFormat="false" ht="14.4" hidden="false" customHeight="false" outlineLevel="0" collapsed="false">
      <c r="A1490" s="218"/>
      <c r="B1490" s="251"/>
      <c r="C1490" s="251"/>
      <c r="D1490" s="251"/>
      <c r="E1490" s="212" t="s">
        <v>6783</v>
      </c>
      <c r="F1490" s="212" t="s">
        <v>120</v>
      </c>
      <c r="G1490" s="250" t="n">
        <v>62.96</v>
      </c>
    </row>
    <row r="1491" customFormat="false" ht="14.4" hidden="false" customHeight="false" outlineLevel="0" collapsed="false">
      <c r="A1491" s="218"/>
      <c r="B1491" s="251"/>
      <c r="C1491" s="251"/>
      <c r="D1491" s="251"/>
      <c r="E1491" s="212" t="s">
        <v>6799</v>
      </c>
      <c r="F1491" s="212" t="s">
        <v>120</v>
      </c>
      <c r="G1491" s="250" t="n">
        <v>10.84</v>
      </c>
    </row>
    <row r="1492" customFormat="false" ht="14.4" hidden="false" customHeight="false" outlineLevel="0" collapsed="false">
      <c r="A1492" s="218"/>
      <c r="B1492" s="251"/>
      <c r="C1492" s="251"/>
      <c r="D1492" s="251"/>
      <c r="E1492" s="212" t="s">
        <v>6805</v>
      </c>
      <c r="F1492" s="212" t="s">
        <v>120</v>
      </c>
      <c r="G1492" s="250" t="n">
        <v>109.01</v>
      </c>
    </row>
    <row r="1493" customFormat="false" ht="14.4" hidden="false" customHeight="false" outlineLevel="0" collapsed="false">
      <c r="A1493" s="218"/>
      <c r="B1493" s="251"/>
      <c r="C1493" s="251"/>
      <c r="D1493" s="251"/>
      <c r="E1493" s="212" t="s">
        <v>6808</v>
      </c>
      <c r="F1493" s="212" t="s">
        <v>120</v>
      </c>
      <c r="G1493" s="250" t="n">
        <v>41.66</v>
      </c>
    </row>
    <row r="1494" customFormat="false" ht="14.4" hidden="false" customHeight="false" outlineLevel="0" collapsed="false">
      <c r="A1494" s="218"/>
      <c r="B1494" s="251"/>
      <c r="C1494" s="251"/>
      <c r="D1494" s="252"/>
      <c r="E1494" s="212" t="s">
        <v>6812</v>
      </c>
      <c r="F1494" s="212" t="s">
        <v>120</v>
      </c>
      <c r="G1494" s="250" t="n">
        <v>22.92</v>
      </c>
    </row>
    <row r="1495" customFormat="false" ht="14.4" hidden="false" customHeight="false" outlineLevel="0" collapsed="false">
      <c r="A1495" s="218"/>
      <c r="B1495" s="251"/>
      <c r="C1495" s="252"/>
      <c r="D1495" s="261" t="s">
        <v>7060</v>
      </c>
      <c r="E1495" s="224"/>
      <c r="F1495" s="225"/>
      <c r="G1495" s="217" t="n">
        <v>1619.43</v>
      </c>
    </row>
    <row r="1496" customFormat="false" ht="14.4" hidden="false" customHeight="false" outlineLevel="0" collapsed="false">
      <c r="A1496" s="218"/>
      <c r="B1496" s="251"/>
      <c r="C1496" s="249" t="s">
        <v>3938</v>
      </c>
      <c r="D1496" s="249" t="s">
        <v>1952</v>
      </c>
      <c r="E1496" s="212" t="s">
        <v>6220</v>
      </c>
      <c r="F1496" s="212" t="s">
        <v>120</v>
      </c>
      <c r="G1496" s="250" t="n">
        <v>73.56</v>
      </c>
    </row>
    <row r="1497" customFormat="false" ht="14.4" hidden="false" customHeight="false" outlineLevel="0" collapsed="false">
      <c r="A1497" s="218"/>
      <c r="B1497" s="251"/>
      <c r="C1497" s="251"/>
      <c r="D1497" s="251"/>
      <c r="E1497" s="212" t="s">
        <v>6228</v>
      </c>
      <c r="F1497" s="212" t="s">
        <v>120</v>
      </c>
      <c r="G1497" s="250" t="n">
        <v>73.53</v>
      </c>
    </row>
    <row r="1498" customFormat="false" ht="14.4" hidden="false" customHeight="false" outlineLevel="0" collapsed="false">
      <c r="A1498" s="218"/>
      <c r="B1498" s="251"/>
      <c r="C1498" s="251"/>
      <c r="D1498" s="251"/>
      <c r="E1498" s="212" t="s">
        <v>6555</v>
      </c>
      <c r="F1498" s="212" t="s">
        <v>120</v>
      </c>
      <c r="G1498" s="250" t="n">
        <v>5.24</v>
      </c>
    </row>
    <row r="1499" customFormat="false" ht="14.4" hidden="false" customHeight="false" outlineLevel="0" collapsed="false">
      <c r="A1499" s="218"/>
      <c r="B1499" s="251"/>
      <c r="C1499" s="251"/>
      <c r="D1499" s="251"/>
      <c r="E1499" s="212" t="s">
        <v>6563</v>
      </c>
      <c r="F1499" s="212" t="s">
        <v>120</v>
      </c>
      <c r="G1499" s="250" t="n">
        <v>21.08</v>
      </c>
    </row>
    <row r="1500" customFormat="false" ht="14.4" hidden="false" customHeight="false" outlineLevel="0" collapsed="false">
      <c r="A1500" s="218"/>
      <c r="B1500" s="251"/>
      <c r="C1500" s="251"/>
      <c r="D1500" s="251"/>
      <c r="E1500" s="212" t="s">
        <v>6566</v>
      </c>
      <c r="F1500" s="212" t="s">
        <v>120</v>
      </c>
      <c r="G1500" s="250" t="n">
        <v>18.97</v>
      </c>
    </row>
    <row r="1501" customFormat="false" ht="14.4" hidden="false" customHeight="false" outlineLevel="0" collapsed="false">
      <c r="A1501" s="218"/>
      <c r="B1501" s="251"/>
      <c r="C1501" s="251"/>
      <c r="D1501" s="252"/>
      <c r="E1501" s="212" t="s">
        <v>6576</v>
      </c>
      <c r="F1501" s="212" t="s">
        <v>120</v>
      </c>
      <c r="G1501" s="250" t="n">
        <v>17.2</v>
      </c>
    </row>
    <row r="1502" customFormat="false" ht="14.4" hidden="false" customHeight="false" outlineLevel="0" collapsed="false">
      <c r="A1502" s="218"/>
      <c r="B1502" s="251"/>
      <c r="C1502" s="251"/>
      <c r="D1502" s="261" t="s">
        <v>7087</v>
      </c>
      <c r="E1502" s="224"/>
      <c r="F1502" s="225"/>
      <c r="G1502" s="217" t="n">
        <v>209.58</v>
      </c>
    </row>
    <row r="1503" customFormat="false" ht="14.4" hidden="false" customHeight="false" outlineLevel="0" collapsed="false">
      <c r="A1503" s="218"/>
      <c r="B1503" s="251"/>
      <c r="C1503" s="251"/>
      <c r="D1503" s="249" t="s">
        <v>2524</v>
      </c>
      <c r="E1503" s="212" t="s">
        <v>6154</v>
      </c>
      <c r="F1503" s="212" t="s">
        <v>120</v>
      </c>
      <c r="G1503" s="250" t="n">
        <v>149.68</v>
      </c>
    </row>
    <row r="1504" customFormat="false" ht="14.4" hidden="false" customHeight="false" outlineLevel="0" collapsed="false">
      <c r="A1504" s="218"/>
      <c r="B1504" s="251"/>
      <c r="C1504" s="251"/>
      <c r="D1504" s="251"/>
      <c r="E1504" s="212" t="s">
        <v>6172</v>
      </c>
      <c r="F1504" s="212" t="s">
        <v>120</v>
      </c>
      <c r="G1504" s="250" t="n">
        <v>46.86</v>
      </c>
    </row>
    <row r="1505" customFormat="false" ht="14.4" hidden="false" customHeight="false" outlineLevel="0" collapsed="false">
      <c r="A1505" s="218"/>
      <c r="B1505" s="251"/>
      <c r="C1505" s="251"/>
      <c r="D1505" s="251"/>
      <c r="E1505" s="212" t="s">
        <v>6197</v>
      </c>
      <c r="F1505" s="212" t="s">
        <v>120</v>
      </c>
      <c r="G1505" s="250" t="n">
        <v>150.79</v>
      </c>
    </row>
    <row r="1506" customFormat="false" ht="14.4" hidden="false" customHeight="false" outlineLevel="0" collapsed="false">
      <c r="A1506" s="218"/>
      <c r="B1506" s="251"/>
      <c r="C1506" s="251"/>
      <c r="D1506" s="251"/>
      <c r="E1506" s="212" t="s">
        <v>6560</v>
      </c>
      <c r="F1506" s="212" t="s">
        <v>120</v>
      </c>
      <c r="G1506" s="250" t="n">
        <v>5.12</v>
      </c>
    </row>
    <row r="1507" customFormat="false" ht="14.4" hidden="false" customHeight="false" outlineLevel="0" collapsed="false">
      <c r="A1507" s="218"/>
      <c r="B1507" s="251"/>
      <c r="C1507" s="251"/>
      <c r="D1507" s="251"/>
      <c r="E1507" s="212" t="s">
        <v>6568</v>
      </c>
      <c r="F1507" s="212" t="s">
        <v>120</v>
      </c>
      <c r="G1507" s="250" t="n">
        <v>5.09</v>
      </c>
    </row>
    <row r="1508" customFormat="false" ht="14.4" hidden="false" customHeight="false" outlineLevel="0" collapsed="false">
      <c r="A1508" s="218"/>
      <c r="B1508" s="251"/>
      <c r="C1508" s="251"/>
      <c r="D1508" s="251"/>
      <c r="E1508" s="212" t="s">
        <v>6572</v>
      </c>
      <c r="F1508" s="212" t="s">
        <v>120</v>
      </c>
      <c r="G1508" s="250" t="n">
        <v>21.55</v>
      </c>
    </row>
    <row r="1509" customFormat="false" ht="14.4" hidden="false" customHeight="false" outlineLevel="0" collapsed="false">
      <c r="A1509" s="218"/>
      <c r="B1509" s="251"/>
      <c r="C1509" s="251"/>
      <c r="D1509" s="251"/>
      <c r="E1509" s="212" t="s">
        <v>6580</v>
      </c>
      <c r="F1509" s="212" t="s">
        <v>120</v>
      </c>
      <c r="G1509" s="250" t="n">
        <v>51.14</v>
      </c>
    </row>
    <row r="1510" customFormat="false" ht="14.4" hidden="false" customHeight="false" outlineLevel="0" collapsed="false">
      <c r="A1510" s="218"/>
      <c r="B1510" s="251"/>
      <c r="C1510" s="251"/>
      <c r="D1510" s="251"/>
      <c r="E1510" s="212" t="s">
        <v>6582</v>
      </c>
      <c r="F1510" s="212" t="s">
        <v>120</v>
      </c>
      <c r="G1510" s="250" t="n">
        <v>14.57</v>
      </c>
    </row>
    <row r="1511" customFormat="false" ht="14.4" hidden="false" customHeight="false" outlineLevel="0" collapsed="false">
      <c r="A1511" s="218"/>
      <c r="B1511" s="251"/>
      <c r="C1511" s="251"/>
      <c r="D1511" s="251"/>
      <c r="E1511" s="212" t="s">
        <v>6594</v>
      </c>
      <c r="F1511" s="212" t="s">
        <v>120</v>
      </c>
      <c r="G1511" s="250" t="n">
        <v>5.25</v>
      </c>
    </row>
    <row r="1512" customFormat="false" ht="14.4" hidden="false" customHeight="false" outlineLevel="0" collapsed="false">
      <c r="A1512" s="218"/>
      <c r="B1512" s="251"/>
      <c r="C1512" s="251"/>
      <c r="D1512" s="251"/>
      <c r="E1512" s="212" t="s">
        <v>6601</v>
      </c>
      <c r="F1512" s="212" t="s">
        <v>120</v>
      </c>
      <c r="G1512" s="250" t="n">
        <v>152.47</v>
      </c>
    </row>
    <row r="1513" customFormat="false" ht="14.4" hidden="false" customHeight="false" outlineLevel="0" collapsed="false">
      <c r="A1513" s="218"/>
      <c r="B1513" s="251"/>
      <c r="C1513" s="251"/>
      <c r="D1513" s="251"/>
      <c r="E1513" s="212" t="s">
        <v>6605</v>
      </c>
      <c r="F1513" s="212" t="s">
        <v>120</v>
      </c>
      <c r="G1513" s="250" t="n">
        <v>38.39</v>
      </c>
    </row>
    <row r="1514" customFormat="false" ht="14.4" hidden="false" customHeight="false" outlineLevel="0" collapsed="false">
      <c r="A1514" s="218"/>
      <c r="B1514" s="251"/>
      <c r="C1514" s="251"/>
      <c r="D1514" s="251"/>
      <c r="E1514" s="212" t="s">
        <v>6619</v>
      </c>
      <c r="F1514" s="212" t="s">
        <v>120</v>
      </c>
      <c r="G1514" s="250" t="n">
        <v>36.94</v>
      </c>
    </row>
    <row r="1515" customFormat="false" ht="14.4" hidden="false" customHeight="false" outlineLevel="0" collapsed="false">
      <c r="A1515" s="218"/>
      <c r="B1515" s="251"/>
      <c r="C1515" s="251"/>
      <c r="D1515" s="251"/>
      <c r="E1515" s="212" t="s">
        <v>6626</v>
      </c>
      <c r="F1515" s="212" t="s">
        <v>120</v>
      </c>
      <c r="G1515" s="250" t="n">
        <v>18.84</v>
      </c>
    </row>
    <row r="1516" customFormat="false" ht="14.4" hidden="false" customHeight="false" outlineLevel="0" collapsed="false">
      <c r="A1516" s="218"/>
      <c r="B1516" s="251"/>
      <c r="C1516" s="251"/>
      <c r="D1516" s="251"/>
      <c r="E1516" s="212" t="s">
        <v>6633</v>
      </c>
      <c r="F1516" s="212" t="s">
        <v>120</v>
      </c>
      <c r="G1516" s="250" t="n">
        <v>162.12</v>
      </c>
    </row>
    <row r="1517" customFormat="false" ht="14.4" hidden="false" customHeight="false" outlineLevel="0" collapsed="false">
      <c r="A1517" s="218"/>
      <c r="B1517" s="251"/>
      <c r="C1517" s="251"/>
      <c r="D1517" s="251"/>
      <c r="E1517" s="212" t="s">
        <v>6640</v>
      </c>
      <c r="F1517" s="212" t="s">
        <v>120</v>
      </c>
      <c r="G1517" s="250" t="n">
        <v>36.3</v>
      </c>
    </row>
    <row r="1518" customFormat="false" ht="14.4" hidden="false" customHeight="false" outlineLevel="0" collapsed="false">
      <c r="A1518" s="218"/>
      <c r="B1518" s="251"/>
      <c r="C1518" s="251"/>
      <c r="D1518" s="252"/>
      <c r="E1518" s="212" t="s">
        <v>6654</v>
      </c>
      <c r="F1518" s="212" t="s">
        <v>120</v>
      </c>
      <c r="G1518" s="250" t="n">
        <v>34.79</v>
      </c>
    </row>
    <row r="1519" customFormat="false" ht="14.4" hidden="false" customHeight="false" outlineLevel="0" collapsed="false">
      <c r="A1519" s="218"/>
      <c r="B1519" s="251"/>
      <c r="C1519" s="251"/>
      <c r="D1519" s="261" t="s">
        <v>7111</v>
      </c>
      <c r="E1519" s="224"/>
      <c r="F1519" s="225"/>
      <c r="G1519" s="217" t="n">
        <v>929.9</v>
      </c>
    </row>
    <row r="1520" customFormat="false" ht="14.4" hidden="false" customHeight="false" outlineLevel="0" collapsed="false">
      <c r="A1520" s="218"/>
      <c r="B1520" s="251"/>
      <c r="C1520" s="251"/>
      <c r="D1520" s="249" t="s">
        <v>3233</v>
      </c>
      <c r="E1520" s="212" t="s">
        <v>6322</v>
      </c>
      <c r="F1520" s="212" t="s">
        <v>120</v>
      </c>
      <c r="G1520" s="250" t="n">
        <v>62.28</v>
      </c>
    </row>
    <row r="1521" customFormat="false" ht="14.4" hidden="false" customHeight="false" outlineLevel="0" collapsed="false">
      <c r="A1521" s="218"/>
      <c r="B1521" s="251"/>
      <c r="C1521" s="251"/>
      <c r="D1521" s="251"/>
      <c r="E1521" s="212" t="s">
        <v>6327</v>
      </c>
      <c r="F1521" s="212" t="s">
        <v>120</v>
      </c>
      <c r="G1521" s="250" t="n">
        <v>46.76</v>
      </c>
    </row>
    <row r="1522" customFormat="false" ht="14.4" hidden="false" customHeight="false" outlineLevel="0" collapsed="false">
      <c r="A1522" s="218"/>
      <c r="B1522" s="251"/>
      <c r="C1522" s="251"/>
      <c r="D1522" s="251"/>
      <c r="E1522" s="212" t="s">
        <v>6330</v>
      </c>
      <c r="F1522" s="212" t="s">
        <v>120</v>
      </c>
      <c r="G1522" s="250" t="n">
        <v>178.64</v>
      </c>
    </row>
    <row r="1523" customFormat="false" ht="14.4" hidden="false" customHeight="false" outlineLevel="0" collapsed="false">
      <c r="A1523" s="218"/>
      <c r="B1523" s="251"/>
      <c r="C1523" s="251"/>
      <c r="D1523" s="251"/>
      <c r="E1523" s="212" t="s">
        <v>6334</v>
      </c>
      <c r="F1523" s="212" t="s">
        <v>120</v>
      </c>
      <c r="G1523" s="250" t="n">
        <v>131.94</v>
      </c>
    </row>
    <row r="1524" customFormat="false" ht="14.4" hidden="false" customHeight="false" outlineLevel="0" collapsed="false">
      <c r="A1524" s="218"/>
      <c r="B1524" s="251"/>
      <c r="C1524" s="251"/>
      <c r="D1524" s="251"/>
      <c r="E1524" s="212" t="s">
        <v>6338</v>
      </c>
      <c r="F1524" s="212" t="s">
        <v>120</v>
      </c>
      <c r="G1524" s="250" t="n">
        <v>21.24</v>
      </c>
    </row>
    <row r="1525" customFormat="false" ht="14.4" hidden="false" customHeight="false" outlineLevel="0" collapsed="false">
      <c r="A1525" s="218"/>
      <c r="B1525" s="251"/>
      <c r="C1525" s="251"/>
      <c r="D1525" s="251"/>
      <c r="E1525" s="212" t="s">
        <v>6341</v>
      </c>
      <c r="F1525" s="212" t="s">
        <v>120</v>
      </c>
      <c r="G1525" s="250" t="n">
        <v>208.36</v>
      </c>
    </row>
    <row r="1526" customFormat="false" ht="14.4" hidden="false" customHeight="false" outlineLevel="0" collapsed="false">
      <c r="A1526" s="218"/>
      <c r="B1526" s="251"/>
      <c r="C1526" s="251"/>
      <c r="D1526" s="251"/>
      <c r="E1526" s="212" t="s">
        <v>6344</v>
      </c>
      <c r="F1526" s="212" t="s">
        <v>120</v>
      </c>
      <c r="G1526" s="250" t="n">
        <v>6.73</v>
      </c>
    </row>
    <row r="1527" customFormat="false" ht="14.4" hidden="false" customHeight="false" outlineLevel="0" collapsed="false">
      <c r="A1527" s="218"/>
      <c r="B1527" s="251"/>
      <c r="C1527" s="251"/>
      <c r="D1527" s="252"/>
      <c r="E1527" s="212" t="s">
        <v>6348</v>
      </c>
      <c r="F1527" s="212" t="s">
        <v>120</v>
      </c>
      <c r="G1527" s="250" t="n">
        <v>18.74</v>
      </c>
    </row>
    <row r="1528" customFormat="false" ht="14.4" hidden="false" customHeight="false" outlineLevel="0" collapsed="false">
      <c r="A1528" s="218"/>
      <c r="B1528" s="251"/>
      <c r="C1528" s="251"/>
      <c r="D1528" s="261" t="s">
        <v>7122</v>
      </c>
      <c r="E1528" s="224"/>
      <c r="F1528" s="225"/>
      <c r="G1528" s="217" t="n">
        <v>674.69</v>
      </c>
    </row>
    <row r="1529" customFormat="false" ht="14.4" hidden="false" customHeight="false" outlineLevel="0" collapsed="false">
      <c r="A1529" s="218"/>
      <c r="B1529" s="251"/>
      <c r="C1529" s="251"/>
      <c r="D1529" s="249" t="s">
        <v>6361</v>
      </c>
      <c r="E1529" s="212" t="s">
        <v>6360</v>
      </c>
      <c r="F1529" s="212" t="s">
        <v>120</v>
      </c>
      <c r="G1529" s="250" t="n">
        <v>55.94</v>
      </c>
    </row>
    <row r="1530" customFormat="false" ht="14.4" hidden="false" customHeight="false" outlineLevel="0" collapsed="false">
      <c r="A1530" s="218"/>
      <c r="B1530" s="251"/>
      <c r="C1530" s="251"/>
      <c r="D1530" s="251"/>
      <c r="E1530" s="212" t="s">
        <v>6366</v>
      </c>
      <c r="F1530" s="212" t="s">
        <v>120</v>
      </c>
      <c r="G1530" s="250" t="n">
        <v>205.33</v>
      </c>
    </row>
    <row r="1531" customFormat="false" ht="14.4" hidden="false" customHeight="false" outlineLevel="0" collapsed="false">
      <c r="A1531" s="218"/>
      <c r="B1531" s="251"/>
      <c r="C1531" s="251"/>
      <c r="D1531" s="251"/>
      <c r="E1531" s="212" t="s">
        <v>6369</v>
      </c>
      <c r="F1531" s="212" t="s">
        <v>120</v>
      </c>
      <c r="G1531" s="250" t="n">
        <v>21.71</v>
      </c>
    </row>
    <row r="1532" customFormat="false" ht="14.4" hidden="false" customHeight="false" outlineLevel="0" collapsed="false">
      <c r="A1532" s="218"/>
      <c r="B1532" s="251"/>
      <c r="C1532" s="251"/>
      <c r="D1532" s="251"/>
      <c r="E1532" s="212" t="s">
        <v>6372</v>
      </c>
      <c r="F1532" s="212" t="s">
        <v>120</v>
      </c>
      <c r="G1532" s="250" t="n">
        <v>70.31</v>
      </c>
    </row>
    <row r="1533" customFormat="false" ht="14.4" hidden="false" customHeight="false" outlineLevel="0" collapsed="false">
      <c r="A1533" s="218"/>
      <c r="B1533" s="251"/>
      <c r="C1533" s="251"/>
      <c r="D1533" s="252"/>
      <c r="E1533" s="212" t="s">
        <v>6375</v>
      </c>
      <c r="F1533" s="212" t="s">
        <v>120</v>
      </c>
      <c r="G1533" s="250" t="n">
        <v>248.04</v>
      </c>
    </row>
    <row r="1534" customFormat="false" ht="14.4" hidden="false" customHeight="false" outlineLevel="0" collapsed="false">
      <c r="A1534" s="218"/>
      <c r="B1534" s="251"/>
      <c r="C1534" s="251"/>
      <c r="D1534" s="261" t="s">
        <v>7198</v>
      </c>
      <c r="E1534" s="224"/>
      <c r="F1534" s="225"/>
      <c r="G1534" s="217" t="n">
        <v>601.33</v>
      </c>
    </row>
    <row r="1535" customFormat="false" ht="14.4" hidden="false" customHeight="false" outlineLevel="0" collapsed="false">
      <c r="A1535" s="218"/>
      <c r="B1535" s="251"/>
      <c r="C1535" s="251"/>
      <c r="D1535" s="212" t="s">
        <v>1956</v>
      </c>
      <c r="E1535" s="212" t="s">
        <v>6661</v>
      </c>
      <c r="F1535" s="212" t="s">
        <v>120</v>
      </c>
      <c r="G1535" s="250" t="n">
        <v>38.21</v>
      </c>
    </row>
    <row r="1536" customFormat="false" ht="14.4" hidden="false" customHeight="false" outlineLevel="0" collapsed="false">
      <c r="A1536" s="218"/>
      <c r="B1536" s="251"/>
      <c r="C1536" s="251"/>
      <c r="D1536" s="261" t="s">
        <v>7088</v>
      </c>
      <c r="E1536" s="224"/>
      <c r="F1536" s="225"/>
      <c r="G1536" s="217" t="n">
        <v>38.21</v>
      </c>
    </row>
    <row r="1537" customFormat="false" ht="14.4" hidden="false" customHeight="false" outlineLevel="0" collapsed="false">
      <c r="A1537" s="218"/>
      <c r="B1537" s="251"/>
      <c r="C1537" s="251"/>
      <c r="D1537" s="249" t="s">
        <v>6234</v>
      </c>
      <c r="E1537" s="212" t="s">
        <v>6233</v>
      </c>
      <c r="F1537" s="212" t="s">
        <v>120</v>
      </c>
      <c r="G1537" s="250" t="n">
        <v>94.28</v>
      </c>
    </row>
    <row r="1538" customFormat="false" ht="14.4" hidden="false" customHeight="false" outlineLevel="0" collapsed="false">
      <c r="A1538" s="218"/>
      <c r="B1538" s="251"/>
      <c r="C1538" s="251"/>
      <c r="D1538" s="251"/>
      <c r="E1538" s="212" t="s">
        <v>6664</v>
      </c>
      <c r="F1538" s="212" t="s">
        <v>120</v>
      </c>
      <c r="G1538" s="250" t="n">
        <v>174.98</v>
      </c>
    </row>
    <row r="1539" customFormat="false" ht="14.4" hidden="false" customHeight="false" outlineLevel="0" collapsed="false">
      <c r="A1539" s="218"/>
      <c r="B1539" s="251"/>
      <c r="C1539" s="251"/>
      <c r="D1539" s="251"/>
      <c r="E1539" s="212" t="s">
        <v>6687</v>
      </c>
      <c r="F1539" s="212" t="s">
        <v>120</v>
      </c>
      <c r="G1539" s="250" t="n">
        <v>176.46</v>
      </c>
    </row>
    <row r="1540" customFormat="false" ht="14.4" hidden="false" customHeight="false" outlineLevel="0" collapsed="false">
      <c r="A1540" s="218"/>
      <c r="B1540" s="251"/>
      <c r="C1540" s="251"/>
      <c r="D1540" s="251"/>
      <c r="E1540" s="212" t="s">
        <v>6691</v>
      </c>
      <c r="F1540" s="212" t="s">
        <v>120</v>
      </c>
      <c r="G1540" s="250" t="n">
        <v>36.22</v>
      </c>
    </row>
    <row r="1541" customFormat="false" ht="14.4" hidden="false" customHeight="false" outlineLevel="0" collapsed="false">
      <c r="A1541" s="218"/>
      <c r="B1541" s="251"/>
      <c r="C1541" s="251"/>
      <c r="D1541" s="251"/>
      <c r="E1541" s="212" t="s">
        <v>6702</v>
      </c>
      <c r="F1541" s="212" t="s">
        <v>120</v>
      </c>
      <c r="G1541" s="250" t="n">
        <v>43.7</v>
      </c>
    </row>
    <row r="1542" customFormat="false" ht="14.4" hidden="false" customHeight="false" outlineLevel="0" collapsed="false">
      <c r="A1542" s="218"/>
      <c r="B1542" s="251"/>
      <c r="C1542" s="251"/>
      <c r="D1542" s="251"/>
      <c r="E1542" s="212" t="s">
        <v>6710</v>
      </c>
      <c r="F1542" s="212" t="s">
        <v>120</v>
      </c>
      <c r="G1542" s="250" t="n">
        <v>95.65</v>
      </c>
    </row>
    <row r="1543" customFormat="false" ht="14.4" hidden="false" customHeight="false" outlineLevel="0" collapsed="false">
      <c r="A1543" s="218"/>
      <c r="B1543" s="251"/>
      <c r="C1543" s="251"/>
      <c r="D1543" s="251"/>
      <c r="E1543" s="212" t="s">
        <v>6718</v>
      </c>
      <c r="F1543" s="212" t="s">
        <v>120</v>
      </c>
      <c r="G1543" s="250" t="n">
        <v>48.54</v>
      </c>
    </row>
    <row r="1544" customFormat="false" ht="14.4" hidden="false" customHeight="false" outlineLevel="0" collapsed="false">
      <c r="A1544" s="218"/>
      <c r="B1544" s="251"/>
      <c r="C1544" s="251"/>
      <c r="D1544" s="251"/>
      <c r="E1544" s="212" t="s">
        <v>6731</v>
      </c>
      <c r="F1544" s="212" t="s">
        <v>120</v>
      </c>
      <c r="G1544" s="250" t="n">
        <v>35.93</v>
      </c>
    </row>
    <row r="1545" customFormat="false" ht="14.4" hidden="false" customHeight="false" outlineLevel="0" collapsed="false">
      <c r="A1545" s="218"/>
      <c r="B1545" s="251"/>
      <c r="C1545" s="251"/>
      <c r="D1545" s="251"/>
      <c r="E1545" s="212" t="s">
        <v>6739</v>
      </c>
      <c r="F1545" s="212" t="s">
        <v>120</v>
      </c>
      <c r="G1545" s="250" t="n">
        <v>67.33</v>
      </c>
    </row>
    <row r="1546" customFormat="false" ht="14.4" hidden="false" customHeight="false" outlineLevel="0" collapsed="false">
      <c r="A1546" s="218"/>
      <c r="B1546" s="251"/>
      <c r="C1546" s="251"/>
      <c r="D1546" s="251"/>
      <c r="E1546" s="212" t="s">
        <v>6754</v>
      </c>
      <c r="F1546" s="212" t="s">
        <v>120</v>
      </c>
      <c r="G1546" s="250" t="n">
        <v>221.56</v>
      </c>
    </row>
    <row r="1547" customFormat="false" ht="14.4" hidden="false" customHeight="false" outlineLevel="0" collapsed="false">
      <c r="A1547" s="218"/>
      <c r="B1547" s="251"/>
      <c r="C1547" s="251"/>
      <c r="D1547" s="251"/>
      <c r="E1547" s="212" t="s">
        <v>6758</v>
      </c>
      <c r="F1547" s="212" t="s">
        <v>120</v>
      </c>
      <c r="G1547" s="250" t="n">
        <v>192.62</v>
      </c>
    </row>
    <row r="1548" customFormat="false" ht="14.4" hidden="false" customHeight="false" outlineLevel="0" collapsed="false">
      <c r="A1548" s="218"/>
      <c r="B1548" s="251"/>
      <c r="C1548" s="251"/>
      <c r="D1548" s="251"/>
      <c r="E1548" s="212" t="s">
        <v>6762</v>
      </c>
      <c r="F1548" s="212" t="s">
        <v>120</v>
      </c>
      <c r="G1548" s="250" t="n">
        <v>25</v>
      </c>
    </row>
    <row r="1549" customFormat="false" ht="14.4" hidden="false" customHeight="false" outlineLevel="0" collapsed="false">
      <c r="A1549" s="218"/>
      <c r="B1549" s="251"/>
      <c r="C1549" s="251"/>
      <c r="D1549" s="251"/>
      <c r="E1549" s="212" t="s">
        <v>6766</v>
      </c>
      <c r="F1549" s="212" t="s">
        <v>120</v>
      </c>
      <c r="G1549" s="250" t="n">
        <v>1.5</v>
      </c>
    </row>
    <row r="1550" customFormat="false" ht="14.4" hidden="false" customHeight="false" outlineLevel="0" collapsed="false">
      <c r="A1550" s="218"/>
      <c r="B1550" s="251"/>
      <c r="C1550" s="251"/>
      <c r="D1550" s="251"/>
      <c r="E1550" s="212" t="s">
        <v>6779</v>
      </c>
      <c r="F1550" s="212" t="s">
        <v>120</v>
      </c>
      <c r="G1550" s="250" t="n">
        <v>11.77</v>
      </c>
    </row>
    <row r="1551" customFormat="false" ht="14.4" hidden="false" customHeight="false" outlineLevel="0" collapsed="false">
      <c r="A1551" s="218"/>
      <c r="B1551" s="251"/>
      <c r="C1551" s="251"/>
      <c r="D1551" s="251"/>
      <c r="E1551" s="212" t="s">
        <v>6781</v>
      </c>
      <c r="F1551" s="212" t="s">
        <v>120</v>
      </c>
      <c r="G1551" s="250" t="n">
        <v>13.21</v>
      </c>
    </row>
    <row r="1552" customFormat="false" ht="14.4" hidden="false" customHeight="false" outlineLevel="0" collapsed="false">
      <c r="A1552" s="218"/>
      <c r="B1552" s="251"/>
      <c r="C1552" s="251"/>
      <c r="D1552" s="252"/>
      <c r="E1552" s="212" t="s">
        <v>6970</v>
      </c>
      <c r="F1552" s="212" t="s">
        <v>120</v>
      </c>
      <c r="G1552" s="250" t="n">
        <v>27.4</v>
      </c>
    </row>
    <row r="1553" customFormat="false" ht="14.4" hidden="false" customHeight="false" outlineLevel="0" collapsed="false">
      <c r="A1553" s="218"/>
      <c r="B1553" s="251"/>
      <c r="C1553" s="251"/>
      <c r="D1553" s="261" t="s">
        <v>7190</v>
      </c>
      <c r="E1553" s="224"/>
      <c r="F1553" s="225"/>
      <c r="G1553" s="217" t="n">
        <v>1266.15</v>
      </c>
    </row>
    <row r="1554" customFormat="false" ht="14.4" hidden="false" customHeight="false" outlineLevel="0" collapsed="false">
      <c r="A1554" s="218"/>
      <c r="B1554" s="251"/>
      <c r="C1554" s="251"/>
      <c r="D1554" s="249" t="s">
        <v>5541</v>
      </c>
      <c r="E1554" s="212" t="s">
        <v>6206</v>
      </c>
      <c r="F1554" s="212" t="s">
        <v>120</v>
      </c>
      <c r="G1554" s="250" t="n">
        <v>115.61</v>
      </c>
    </row>
    <row r="1555" customFormat="false" ht="14.4" hidden="false" customHeight="false" outlineLevel="0" collapsed="false">
      <c r="A1555" s="218"/>
      <c r="B1555" s="251"/>
      <c r="C1555" s="251"/>
      <c r="D1555" s="251"/>
      <c r="E1555" s="212" t="s">
        <v>6542</v>
      </c>
      <c r="F1555" s="212" t="s">
        <v>120</v>
      </c>
      <c r="G1555" s="250" t="n">
        <v>50.98</v>
      </c>
    </row>
    <row r="1556" customFormat="false" ht="14.4" hidden="false" customHeight="false" outlineLevel="0" collapsed="false">
      <c r="A1556" s="218"/>
      <c r="B1556" s="251"/>
      <c r="C1556" s="251"/>
      <c r="D1556" s="252"/>
      <c r="E1556" s="212" t="s">
        <v>6551</v>
      </c>
      <c r="F1556" s="212" t="s">
        <v>120</v>
      </c>
      <c r="G1556" s="250" t="n">
        <v>0.66</v>
      </c>
    </row>
    <row r="1557" customFormat="false" ht="14.4" hidden="false" customHeight="false" outlineLevel="0" collapsed="false">
      <c r="A1557" s="218"/>
      <c r="B1557" s="251"/>
      <c r="C1557" s="251"/>
      <c r="D1557" s="261" t="s">
        <v>7180</v>
      </c>
      <c r="E1557" s="224"/>
      <c r="F1557" s="225"/>
      <c r="G1557" s="217" t="n">
        <v>167.25</v>
      </c>
    </row>
    <row r="1558" customFormat="false" ht="14.4" hidden="false" customHeight="false" outlineLevel="0" collapsed="false">
      <c r="A1558" s="218"/>
      <c r="B1558" s="251"/>
      <c r="C1558" s="251"/>
      <c r="D1558" s="249" t="s">
        <v>2916</v>
      </c>
      <c r="E1558" s="212" t="s">
        <v>6115</v>
      </c>
      <c r="F1558" s="212" t="s">
        <v>120</v>
      </c>
      <c r="G1558" s="250" t="n">
        <v>108.43</v>
      </c>
    </row>
    <row r="1559" customFormat="false" ht="14.4" hidden="false" customHeight="false" outlineLevel="0" collapsed="false">
      <c r="A1559" s="218"/>
      <c r="B1559" s="251"/>
      <c r="C1559" s="251"/>
      <c r="D1559" s="251"/>
      <c r="E1559" s="212" t="s">
        <v>6120</v>
      </c>
      <c r="F1559" s="212" t="s">
        <v>120</v>
      </c>
      <c r="G1559" s="250" t="n">
        <v>26.75</v>
      </c>
    </row>
    <row r="1560" customFormat="false" ht="14.4" hidden="false" customHeight="false" outlineLevel="0" collapsed="false">
      <c r="A1560" s="218"/>
      <c r="B1560" s="251"/>
      <c r="C1560" s="251"/>
      <c r="D1560" s="251"/>
      <c r="E1560" s="212" t="s">
        <v>6128</v>
      </c>
      <c r="F1560" s="212" t="s">
        <v>120</v>
      </c>
      <c r="G1560" s="250" t="n">
        <v>48.88</v>
      </c>
    </row>
    <row r="1561" customFormat="false" ht="14.4" hidden="false" customHeight="false" outlineLevel="0" collapsed="false">
      <c r="A1561" s="218"/>
      <c r="B1561" s="251"/>
      <c r="C1561" s="251"/>
      <c r="D1561" s="251"/>
      <c r="E1561" s="212" t="s">
        <v>6134</v>
      </c>
      <c r="F1561" s="212" t="s">
        <v>120</v>
      </c>
      <c r="G1561" s="250" t="n">
        <v>31.15</v>
      </c>
    </row>
    <row r="1562" customFormat="false" ht="14.4" hidden="false" customHeight="false" outlineLevel="0" collapsed="false">
      <c r="A1562" s="218"/>
      <c r="B1562" s="251"/>
      <c r="C1562" s="251"/>
      <c r="D1562" s="251"/>
      <c r="E1562" s="212" t="s">
        <v>6150</v>
      </c>
      <c r="F1562" s="212" t="s">
        <v>120</v>
      </c>
      <c r="G1562" s="250" t="n">
        <v>70.53</v>
      </c>
    </row>
    <row r="1563" customFormat="false" ht="14.4" hidden="false" customHeight="false" outlineLevel="0" collapsed="false">
      <c r="A1563" s="218"/>
      <c r="B1563" s="251"/>
      <c r="C1563" s="251"/>
      <c r="D1563" s="251"/>
      <c r="E1563" s="212" t="s">
        <v>6162</v>
      </c>
      <c r="F1563" s="212" t="s">
        <v>120</v>
      </c>
      <c r="G1563" s="250" t="n">
        <v>51.74</v>
      </c>
    </row>
    <row r="1564" customFormat="false" ht="14.4" hidden="false" customHeight="false" outlineLevel="0" collapsed="false">
      <c r="A1564" s="218"/>
      <c r="B1564" s="251"/>
      <c r="C1564" s="251"/>
      <c r="D1564" s="251"/>
      <c r="E1564" s="212" t="s">
        <v>6165</v>
      </c>
      <c r="F1564" s="212" t="s">
        <v>120</v>
      </c>
      <c r="G1564" s="250" t="n">
        <v>51.9</v>
      </c>
    </row>
    <row r="1565" customFormat="false" ht="14.4" hidden="false" customHeight="false" outlineLevel="0" collapsed="false">
      <c r="A1565" s="218"/>
      <c r="B1565" s="251"/>
      <c r="C1565" s="251"/>
      <c r="D1565" s="251"/>
      <c r="E1565" s="212" t="s">
        <v>6169</v>
      </c>
      <c r="F1565" s="212" t="s">
        <v>120</v>
      </c>
      <c r="G1565" s="250" t="n">
        <v>5.56</v>
      </c>
    </row>
    <row r="1566" customFormat="false" ht="14.4" hidden="false" customHeight="false" outlineLevel="0" collapsed="false">
      <c r="A1566" s="218"/>
      <c r="B1566" s="251"/>
      <c r="C1566" s="251"/>
      <c r="D1566" s="251"/>
      <c r="E1566" s="212" t="s">
        <v>6185</v>
      </c>
      <c r="F1566" s="212" t="s">
        <v>120</v>
      </c>
      <c r="G1566" s="250" t="n">
        <v>111.59</v>
      </c>
    </row>
    <row r="1567" customFormat="false" ht="14.4" hidden="false" customHeight="false" outlineLevel="0" collapsed="false">
      <c r="A1567" s="218"/>
      <c r="B1567" s="251"/>
      <c r="C1567" s="251"/>
      <c r="D1567" s="252"/>
      <c r="E1567" s="212" t="s">
        <v>6538</v>
      </c>
      <c r="F1567" s="212" t="s">
        <v>120</v>
      </c>
      <c r="G1567" s="250" t="n">
        <v>41.47</v>
      </c>
    </row>
    <row r="1568" customFormat="false" ht="14.4" hidden="false" customHeight="false" outlineLevel="0" collapsed="false">
      <c r="A1568" s="218"/>
      <c r="B1568" s="251"/>
      <c r="C1568" s="251"/>
      <c r="D1568" s="261" t="s">
        <v>7112</v>
      </c>
      <c r="E1568" s="224"/>
      <c r="F1568" s="225"/>
      <c r="G1568" s="217" t="n">
        <v>548</v>
      </c>
    </row>
    <row r="1569" customFormat="false" ht="14.4" hidden="false" customHeight="false" outlineLevel="0" collapsed="false">
      <c r="A1569" s="218"/>
      <c r="B1569" s="251"/>
      <c r="C1569" s="251"/>
      <c r="D1569" s="249" t="s">
        <v>6143</v>
      </c>
      <c r="E1569" s="212" t="s">
        <v>6142</v>
      </c>
      <c r="F1569" s="212" t="s">
        <v>120</v>
      </c>
      <c r="G1569" s="250" t="n">
        <v>89.98</v>
      </c>
    </row>
    <row r="1570" customFormat="false" ht="14.4" hidden="false" customHeight="false" outlineLevel="0" collapsed="false">
      <c r="A1570" s="218"/>
      <c r="B1570" s="251"/>
      <c r="C1570" s="251"/>
      <c r="D1570" s="251"/>
      <c r="E1570" s="212" t="s">
        <v>6158</v>
      </c>
      <c r="F1570" s="212" t="s">
        <v>120</v>
      </c>
      <c r="G1570" s="250" t="n">
        <v>3.9</v>
      </c>
    </row>
    <row r="1571" customFormat="false" ht="14.4" hidden="false" customHeight="false" outlineLevel="0" collapsed="false">
      <c r="A1571" s="218"/>
      <c r="B1571" s="251"/>
      <c r="C1571" s="251"/>
      <c r="D1571" s="252"/>
      <c r="E1571" s="212" t="s">
        <v>6181</v>
      </c>
      <c r="F1571" s="212" t="s">
        <v>120</v>
      </c>
      <c r="G1571" s="250" t="n">
        <v>130.15</v>
      </c>
    </row>
    <row r="1572" customFormat="false" ht="14.4" hidden="false" customHeight="false" outlineLevel="0" collapsed="false">
      <c r="A1572" s="218"/>
      <c r="B1572" s="251"/>
      <c r="C1572" s="251"/>
      <c r="D1572" s="261" t="s">
        <v>7199</v>
      </c>
      <c r="E1572" s="224"/>
      <c r="F1572" s="225"/>
      <c r="G1572" s="217" t="n">
        <v>224.03</v>
      </c>
    </row>
    <row r="1573" customFormat="false" ht="14.4" hidden="false" customHeight="false" outlineLevel="0" collapsed="false">
      <c r="A1573" s="218"/>
      <c r="B1573" s="251"/>
      <c r="C1573" s="251"/>
      <c r="D1573" s="249" t="s">
        <v>6292</v>
      </c>
      <c r="E1573" s="212" t="s">
        <v>6291</v>
      </c>
      <c r="F1573" s="212" t="s">
        <v>120</v>
      </c>
      <c r="G1573" s="250" t="n">
        <v>133.11</v>
      </c>
    </row>
    <row r="1574" customFormat="false" ht="14.4" hidden="false" customHeight="false" outlineLevel="0" collapsed="false">
      <c r="A1574" s="218"/>
      <c r="B1574" s="251"/>
      <c r="C1574" s="251"/>
      <c r="D1574" s="251"/>
      <c r="E1574" s="212" t="s">
        <v>6305</v>
      </c>
      <c r="F1574" s="212" t="s">
        <v>120</v>
      </c>
      <c r="G1574" s="250" t="n">
        <v>46.02</v>
      </c>
    </row>
    <row r="1575" customFormat="false" ht="14.4" hidden="false" customHeight="false" outlineLevel="0" collapsed="false">
      <c r="A1575" s="218"/>
      <c r="B1575" s="251"/>
      <c r="C1575" s="251"/>
      <c r="D1575" s="251"/>
      <c r="E1575" s="212" t="s">
        <v>6308</v>
      </c>
      <c r="F1575" s="212" t="s">
        <v>120</v>
      </c>
      <c r="G1575" s="250" t="n">
        <v>49.09</v>
      </c>
    </row>
    <row r="1576" customFormat="false" ht="14.4" hidden="false" customHeight="false" outlineLevel="0" collapsed="false">
      <c r="A1576" s="218"/>
      <c r="B1576" s="251"/>
      <c r="C1576" s="251"/>
      <c r="D1576" s="251"/>
      <c r="E1576" s="212" t="s">
        <v>6312</v>
      </c>
      <c r="F1576" s="212" t="s">
        <v>120</v>
      </c>
      <c r="G1576" s="250" t="n">
        <v>46.9</v>
      </c>
    </row>
    <row r="1577" customFormat="false" ht="14.4" hidden="false" customHeight="false" outlineLevel="0" collapsed="false">
      <c r="A1577" s="218"/>
      <c r="B1577" s="251"/>
      <c r="C1577" s="251"/>
      <c r="D1577" s="251"/>
      <c r="E1577" s="212" t="s">
        <v>6319</v>
      </c>
      <c r="F1577" s="212" t="s">
        <v>120</v>
      </c>
      <c r="G1577" s="250" t="n">
        <v>51.34</v>
      </c>
    </row>
    <row r="1578" customFormat="false" ht="14.4" hidden="false" customHeight="false" outlineLevel="0" collapsed="false">
      <c r="A1578" s="218"/>
      <c r="B1578" s="251"/>
      <c r="C1578" s="251"/>
      <c r="D1578" s="251"/>
      <c r="E1578" s="212" t="s">
        <v>6819</v>
      </c>
      <c r="F1578" s="212" t="s">
        <v>120</v>
      </c>
      <c r="G1578" s="250" t="n">
        <v>46.05</v>
      </c>
    </row>
    <row r="1579" customFormat="false" ht="14.4" hidden="false" customHeight="false" outlineLevel="0" collapsed="false">
      <c r="A1579" s="218"/>
      <c r="B1579" s="251"/>
      <c r="C1579" s="251"/>
      <c r="D1579" s="251"/>
      <c r="E1579" s="212" t="s">
        <v>6825</v>
      </c>
      <c r="F1579" s="212" t="s">
        <v>120</v>
      </c>
      <c r="G1579" s="250" t="n">
        <v>48.94</v>
      </c>
    </row>
    <row r="1580" customFormat="false" ht="14.4" hidden="false" customHeight="false" outlineLevel="0" collapsed="false">
      <c r="A1580" s="218"/>
      <c r="B1580" s="251"/>
      <c r="C1580" s="251"/>
      <c r="D1580" s="251"/>
      <c r="E1580" s="212" t="s">
        <v>6829</v>
      </c>
      <c r="F1580" s="212" t="s">
        <v>120</v>
      </c>
      <c r="G1580" s="250" t="n">
        <v>49.53</v>
      </c>
    </row>
    <row r="1581" customFormat="false" ht="14.4" hidden="false" customHeight="false" outlineLevel="0" collapsed="false">
      <c r="A1581" s="218"/>
      <c r="B1581" s="251"/>
      <c r="C1581" s="251"/>
      <c r="D1581" s="251"/>
      <c r="E1581" s="212" t="s">
        <v>6832</v>
      </c>
      <c r="F1581" s="212" t="s">
        <v>120</v>
      </c>
      <c r="G1581" s="250" t="n">
        <v>49.92</v>
      </c>
    </row>
    <row r="1582" customFormat="false" ht="14.4" hidden="false" customHeight="false" outlineLevel="0" collapsed="false">
      <c r="A1582" s="218"/>
      <c r="B1582" s="251"/>
      <c r="C1582" s="251"/>
      <c r="D1582" s="251"/>
      <c r="E1582" s="212" t="s">
        <v>6841</v>
      </c>
      <c r="F1582" s="212" t="s">
        <v>120</v>
      </c>
      <c r="G1582" s="250" t="n">
        <v>135.47</v>
      </c>
    </row>
    <row r="1583" customFormat="false" ht="14.4" hidden="false" customHeight="false" outlineLevel="0" collapsed="false">
      <c r="A1583" s="218"/>
      <c r="B1583" s="251"/>
      <c r="C1583" s="251"/>
      <c r="D1583" s="251"/>
      <c r="E1583" s="212" t="s">
        <v>6846</v>
      </c>
      <c r="F1583" s="212" t="s">
        <v>120</v>
      </c>
      <c r="G1583" s="250" t="n">
        <v>48.44</v>
      </c>
    </row>
    <row r="1584" customFormat="false" ht="14.4" hidden="false" customHeight="false" outlineLevel="0" collapsed="false">
      <c r="A1584" s="218"/>
      <c r="B1584" s="251"/>
      <c r="C1584" s="251"/>
      <c r="D1584" s="251"/>
      <c r="E1584" s="212" t="s">
        <v>6850</v>
      </c>
      <c r="F1584" s="212" t="s">
        <v>120</v>
      </c>
      <c r="G1584" s="250" t="n">
        <v>55.01</v>
      </c>
    </row>
    <row r="1585" customFormat="false" ht="14.4" hidden="false" customHeight="false" outlineLevel="0" collapsed="false">
      <c r="A1585" s="218"/>
      <c r="B1585" s="251"/>
      <c r="C1585" s="251"/>
      <c r="D1585" s="251"/>
      <c r="E1585" s="212" t="s">
        <v>6853</v>
      </c>
      <c r="F1585" s="212" t="s">
        <v>120</v>
      </c>
      <c r="G1585" s="250" t="n">
        <v>45</v>
      </c>
    </row>
    <row r="1586" customFormat="false" ht="14.4" hidden="false" customHeight="false" outlineLevel="0" collapsed="false">
      <c r="A1586" s="218"/>
      <c r="B1586" s="251"/>
      <c r="C1586" s="251"/>
      <c r="D1586" s="251"/>
      <c r="E1586" s="212" t="s">
        <v>6857</v>
      </c>
      <c r="F1586" s="212" t="s">
        <v>120</v>
      </c>
      <c r="G1586" s="250" t="n">
        <v>279.31</v>
      </c>
    </row>
    <row r="1587" customFormat="false" ht="14.4" hidden="false" customHeight="false" outlineLevel="0" collapsed="false">
      <c r="A1587" s="218"/>
      <c r="B1587" s="251"/>
      <c r="C1587" s="251"/>
      <c r="D1587" s="251"/>
      <c r="E1587" s="212" t="s">
        <v>6861</v>
      </c>
      <c r="F1587" s="212" t="s">
        <v>120</v>
      </c>
      <c r="G1587" s="250" t="n">
        <v>45.82</v>
      </c>
    </row>
    <row r="1588" customFormat="false" ht="14.4" hidden="false" customHeight="false" outlineLevel="0" collapsed="false">
      <c r="A1588" s="218"/>
      <c r="B1588" s="251"/>
      <c r="C1588" s="251"/>
      <c r="D1588" s="251"/>
      <c r="E1588" s="212" t="s">
        <v>6865</v>
      </c>
      <c r="F1588" s="212" t="s">
        <v>120</v>
      </c>
      <c r="G1588" s="250" t="n">
        <v>58.75</v>
      </c>
    </row>
    <row r="1589" customFormat="false" ht="14.4" hidden="false" customHeight="false" outlineLevel="0" collapsed="false">
      <c r="A1589" s="218"/>
      <c r="B1589" s="251"/>
      <c r="C1589" s="251"/>
      <c r="D1589" s="251"/>
      <c r="E1589" s="212" t="s">
        <v>6871</v>
      </c>
      <c r="F1589" s="212" t="s">
        <v>120</v>
      </c>
      <c r="G1589" s="250" t="n">
        <v>46.69</v>
      </c>
    </row>
    <row r="1590" customFormat="false" ht="14.4" hidden="false" customHeight="false" outlineLevel="0" collapsed="false">
      <c r="A1590" s="218"/>
      <c r="B1590" s="251"/>
      <c r="C1590" s="251"/>
      <c r="D1590" s="251"/>
      <c r="E1590" s="212" t="s">
        <v>6875</v>
      </c>
      <c r="F1590" s="212" t="s">
        <v>120</v>
      </c>
      <c r="G1590" s="250" t="n">
        <v>45.44</v>
      </c>
    </row>
    <row r="1591" customFormat="false" ht="14.4" hidden="false" customHeight="false" outlineLevel="0" collapsed="false">
      <c r="A1591" s="218"/>
      <c r="B1591" s="251"/>
      <c r="C1591" s="251"/>
      <c r="D1591" s="251"/>
      <c r="E1591" s="212" t="s">
        <v>6879</v>
      </c>
      <c r="F1591" s="212" t="s">
        <v>120</v>
      </c>
      <c r="G1591" s="250" t="n">
        <v>80.26</v>
      </c>
    </row>
    <row r="1592" customFormat="false" ht="14.4" hidden="false" customHeight="false" outlineLevel="0" collapsed="false">
      <c r="A1592" s="218"/>
      <c r="B1592" s="251"/>
      <c r="C1592" s="251"/>
      <c r="D1592" s="251"/>
      <c r="E1592" s="212" t="s">
        <v>6883</v>
      </c>
      <c r="F1592" s="212" t="s">
        <v>120</v>
      </c>
      <c r="G1592" s="250" t="n">
        <v>61.07</v>
      </c>
    </row>
    <row r="1593" customFormat="false" ht="14.4" hidden="false" customHeight="false" outlineLevel="0" collapsed="false">
      <c r="A1593" s="218"/>
      <c r="B1593" s="251"/>
      <c r="C1593" s="251"/>
      <c r="D1593" s="252"/>
      <c r="E1593" s="212" t="s">
        <v>6890</v>
      </c>
      <c r="F1593" s="212" t="s">
        <v>120</v>
      </c>
      <c r="G1593" s="250" t="n">
        <v>91.64</v>
      </c>
    </row>
    <row r="1594" customFormat="false" ht="14.4" hidden="false" customHeight="false" outlineLevel="0" collapsed="false">
      <c r="A1594" s="218"/>
      <c r="B1594" s="251"/>
      <c r="C1594" s="251"/>
      <c r="D1594" s="261" t="s">
        <v>7191</v>
      </c>
      <c r="E1594" s="224"/>
      <c r="F1594" s="225"/>
      <c r="G1594" s="217" t="n">
        <v>1513.8</v>
      </c>
    </row>
    <row r="1595" customFormat="false" ht="14.4" hidden="false" customHeight="false" outlineLevel="0" collapsed="false">
      <c r="A1595" s="218"/>
      <c r="B1595" s="251"/>
      <c r="C1595" s="251"/>
      <c r="D1595" s="249" t="s">
        <v>2973</v>
      </c>
      <c r="E1595" s="212" t="s">
        <v>6868</v>
      </c>
      <c r="F1595" s="212" t="s">
        <v>120</v>
      </c>
      <c r="G1595" s="250" t="n">
        <v>51.34</v>
      </c>
    </row>
    <row r="1596" customFormat="false" ht="14.4" hidden="false" customHeight="false" outlineLevel="0" collapsed="false">
      <c r="A1596" s="218"/>
      <c r="B1596" s="251"/>
      <c r="C1596" s="251"/>
      <c r="D1596" s="251"/>
      <c r="E1596" s="212" t="s">
        <v>6886</v>
      </c>
      <c r="F1596" s="212" t="s">
        <v>120</v>
      </c>
      <c r="G1596" s="250" t="n">
        <v>81.41</v>
      </c>
    </row>
    <row r="1597" customFormat="false" ht="14.4" hidden="false" customHeight="false" outlineLevel="0" collapsed="false">
      <c r="A1597" s="218"/>
      <c r="B1597" s="251"/>
      <c r="C1597" s="251"/>
      <c r="D1597" s="251"/>
      <c r="E1597" s="212" t="s">
        <v>6894</v>
      </c>
      <c r="F1597" s="212" t="s">
        <v>120</v>
      </c>
      <c r="G1597" s="250" t="n">
        <v>47.13</v>
      </c>
    </row>
    <row r="1598" customFormat="false" ht="14.4" hidden="false" customHeight="false" outlineLevel="0" collapsed="false">
      <c r="A1598" s="218"/>
      <c r="B1598" s="251"/>
      <c r="C1598" s="251"/>
      <c r="D1598" s="251"/>
      <c r="E1598" s="212" t="s">
        <v>6914</v>
      </c>
      <c r="F1598" s="212" t="s">
        <v>120</v>
      </c>
      <c r="G1598" s="250" t="n">
        <v>88.29</v>
      </c>
    </row>
    <row r="1599" customFormat="false" ht="14.4" hidden="false" customHeight="false" outlineLevel="0" collapsed="false">
      <c r="A1599" s="218"/>
      <c r="B1599" s="251"/>
      <c r="C1599" s="251"/>
      <c r="D1599" s="251"/>
      <c r="E1599" s="212" t="s">
        <v>6925</v>
      </c>
      <c r="F1599" s="212" t="s">
        <v>120</v>
      </c>
      <c r="G1599" s="250" t="n">
        <v>90.78</v>
      </c>
    </row>
    <row r="1600" customFormat="false" ht="14.4" hidden="false" customHeight="false" outlineLevel="0" collapsed="false">
      <c r="A1600" s="218"/>
      <c r="B1600" s="251"/>
      <c r="C1600" s="251"/>
      <c r="D1600" s="252"/>
      <c r="E1600" s="212" t="s">
        <v>6936</v>
      </c>
      <c r="F1600" s="212" t="s">
        <v>120</v>
      </c>
      <c r="G1600" s="250" t="n">
        <v>309.25</v>
      </c>
    </row>
    <row r="1601" customFormat="false" ht="14.4" hidden="false" customHeight="false" outlineLevel="0" collapsed="false">
      <c r="A1601" s="218"/>
      <c r="B1601" s="251"/>
      <c r="C1601" s="251"/>
      <c r="D1601" s="261" t="s">
        <v>7128</v>
      </c>
      <c r="E1601" s="224"/>
      <c r="F1601" s="225"/>
      <c r="G1601" s="217" t="n">
        <v>668.2</v>
      </c>
    </row>
    <row r="1602" customFormat="false" ht="14.4" hidden="false" customHeight="false" outlineLevel="0" collapsed="false">
      <c r="A1602" s="218"/>
      <c r="B1602" s="251"/>
      <c r="C1602" s="251"/>
      <c r="D1602" s="212" t="s">
        <v>1839</v>
      </c>
      <c r="E1602" s="212" t="s">
        <v>6897</v>
      </c>
      <c r="F1602" s="212" t="s">
        <v>120</v>
      </c>
      <c r="G1602" s="250" t="n">
        <v>182.77</v>
      </c>
    </row>
    <row r="1603" customFormat="false" ht="14.4" hidden="false" customHeight="false" outlineLevel="0" collapsed="false">
      <c r="A1603" s="218"/>
      <c r="B1603" s="251"/>
      <c r="C1603" s="251"/>
      <c r="D1603" s="261" t="s">
        <v>7090</v>
      </c>
      <c r="E1603" s="224"/>
      <c r="F1603" s="225"/>
      <c r="G1603" s="217" t="n">
        <v>182.77</v>
      </c>
    </row>
    <row r="1604" customFormat="false" ht="14.4" hidden="false" customHeight="false" outlineLevel="0" collapsed="false">
      <c r="A1604" s="218"/>
      <c r="B1604" s="251"/>
      <c r="C1604" s="251"/>
      <c r="D1604" s="249" t="s">
        <v>6546</v>
      </c>
      <c r="E1604" s="212" t="s">
        <v>6629</v>
      </c>
      <c r="F1604" s="212" t="s">
        <v>120</v>
      </c>
      <c r="G1604" s="250" t="n">
        <v>43.75</v>
      </c>
    </row>
    <row r="1605" customFormat="false" ht="14.4" hidden="false" customHeight="false" outlineLevel="0" collapsed="false">
      <c r="A1605" s="218"/>
      <c r="B1605" s="251"/>
      <c r="C1605" s="251"/>
      <c r="D1605" s="251"/>
      <c r="E1605" s="212" t="s">
        <v>6650</v>
      </c>
      <c r="F1605" s="212" t="s">
        <v>120</v>
      </c>
      <c r="G1605" s="250" t="n">
        <v>43.04</v>
      </c>
    </row>
    <row r="1606" customFormat="false" ht="14.4" hidden="false" customHeight="false" outlineLevel="0" collapsed="false">
      <c r="A1606" s="218"/>
      <c r="B1606" s="251"/>
      <c r="C1606" s="251"/>
      <c r="D1606" s="251"/>
      <c r="E1606" s="212" t="s">
        <v>6906</v>
      </c>
      <c r="F1606" s="212" t="s">
        <v>120</v>
      </c>
      <c r="G1606" s="250" t="n">
        <v>57.65</v>
      </c>
    </row>
    <row r="1607" customFormat="false" ht="14.4" hidden="false" customHeight="false" outlineLevel="0" collapsed="false">
      <c r="A1607" s="218"/>
      <c r="B1607" s="251"/>
      <c r="C1607" s="251"/>
      <c r="D1607" s="251"/>
      <c r="E1607" s="212" t="s">
        <v>6921</v>
      </c>
      <c r="F1607" s="212" t="s">
        <v>120</v>
      </c>
      <c r="G1607" s="250" t="n">
        <v>71.28</v>
      </c>
    </row>
    <row r="1608" customFormat="false" ht="14.4" hidden="false" customHeight="false" outlineLevel="0" collapsed="false">
      <c r="A1608" s="218"/>
      <c r="B1608" s="251"/>
      <c r="C1608" s="251"/>
      <c r="D1608" s="251"/>
      <c r="E1608" s="212" t="s">
        <v>6928</v>
      </c>
      <c r="F1608" s="212" t="s">
        <v>120</v>
      </c>
      <c r="G1608" s="250" t="n">
        <v>12.73</v>
      </c>
    </row>
    <row r="1609" customFormat="false" ht="14.4" hidden="false" customHeight="false" outlineLevel="0" collapsed="false">
      <c r="A1609" s="218"/>
      <c r="B1609" s="251"/>
      <c r="C1609" s="251"/>
      <c r="D1609" s="251"/>
      <c r="E1609" s="212" t="s">
        <v>6940</v>
      </c>
      <c r="F1609" s="212" t="s">
        <v>120</v>
      </c>
      <c r="G1609" s="250" t="n">
        <v>41.41</v>
      </c>
    </row>
    <row r="1610" customFormat="false" ht="14.4" hidden="false" customHeight="false" outlineLevel="0" collapsed="false">
      <c r="A1610" s="218"/>
      <c r="B1610" s="251"/>
      <c r="C1610" s="251"/>
      <c r="D1610" s="251"/>
      <c r="E1610" s="212" t="s">
        <v>6948</v>
      </c>
      <c r="F1610" s="212" t="s">
        <v>120</v>
      </c>
      <c r="G1610" s="250" t="n">
        <v>71.41</v>
      </c>
    </row>
    <row r="1611" customFormat="false" ht="14.4" hidden="false" customHeight="false" outlineLevel="0" collapsed="false">
      <c r="A1611" s="218"/>
      <c r="B1611" s="251"/>
      <c r="C1611" s="251"/>
      <c r="D1611" s="252"/>
      <c r="E1611" s="212" t="s">
        <v>6959</v>
      </c>
      <c r="F1611" s="212" t="s">
        <v>120</v>
      </c>
      <c r="G1611" s="250" t="n">
        <v>5.49</v>
      </c>
    </row>
    <row r="1612" customFormat="false" ht="14.4" hidden="false" customHeight="false" outlineLevel="0" collapsed="false">
      <c r="A1612" s="218"/>
      <c r="B1612" s="251"/>
      <c r="C1612" s="251"/>
      <c r="D1612" s="261" t="s">
        <v>7193</v>
      </c>
      <c r="E1612" s="224"/>
      <c r="F1612" s="225"/>
      <c r="G1612" s="217" t="n">
        <v>346.76</v>
      </c>
    </row>
    <row r="1613" customFormat="false" ht="14.4" hidden="false" customHeight="false" outlineLevel="0" collapsed="false">
      <c r="A1613" s="218"/>
      <c r="B1613" s="251"/>
      <c r="C1613" s="251"/>
      <c r="D1613" s="249" t="s">
        <v>6202</v>
      </c>
      <c r="E1613" s="212" t="s">
        <v>6586</v>
      </c>
      <c r="F1613" s="212" t="s">
        <v>120</v>
      </c>
      <c r="G1613" s="250" t="n">
        <v>35.03</v>
      </c>
    </row>
    <row r="1614" customFormat="false" ht="14.4" hidden="false" customHeight="false" outlineLevel="0" collapsed="false">
      <c r="A1614" s="218"/>
      <c r="B1614" s="251"/>
      <c r="C1614" s="251"/>
      <c r="D1614" s="251"/>
      <c r="E1614" s="212" t="s">
        <v>6608</v>
      </c>
      <c r="F1614" s="212" t="s">
        <v>120</v>
      </c>
      <c r="G1614" s="250" t="n">
        <v>16.66</v>
      </c>
    </row>
    <row r="1615" customFormat="false" ht="14.4" hidden="false" customHeight="false" outlineLevel="0" collapsed="false">
      <c r="A1615" s="218"/>
      <c r="B1615" s="251"/>
      <c r="C1615" s="251"/>
      <c r="D1615" s="251"/>
      <c r="E1615" s="212" t="s">
        <v>6612</v>
      </c>
      <c r="F1615" s="212" t="s">
        <v>120</v>
      </c>
      <c r="G1615" s="250" t="n">
        <v>6.96</v>
      </c>
    </row>
    <row r="1616" customFormat="false" ht="14.4" hidden="false" customHeight="false" outlineLevel="0" collapsed="false">
      <c r="A1616" s="218"/>
      <c r="B1616" s="251"/>
      <c r="C1616" s="251"/>
      <c r="D1616" s="251"/>
      <c r="E1616" s="212" t="s">
        <v>6616</v>
      </c>
      <c r="F1616" s="212" t="s">
        <v>120</v>
      </c>
      <c r="G1616" s="250" t="n">
        <v>31.99</v>
      </c>
    </row>
    <row r="1617" customFormat="false" ht="14.4" hidden="false" customHeight="false" outlineLevel="0" collapsed="false">
      <c r="A1617" s="218"/>
      <c r="B1617" s="251"/>
      <c r="C1617" s="251"/>
      <c r="D1617" s="251"/>
      <c r="E1617" s="212" t="s">
        <v>6622</v>
      </c>
      <c r="F1617" s="212" t="s">
        <v>120</v>
      </c>
      <c r="G1617" s="250" t="n">
        <v>28.57</v>
      </c>
    </row>
    <row r="1618" customFormat="false" ht="14.4" hidden="false" customHeight="false" outlineLevel="0" collapsed="false">
      <c r="A1618" s="218"/>
      <c r="B1618" s="251"/>
      <c r="C1618" s="251"/>
      <c r="D1618" s="252"/>
      <c r="E1618" s="212" t="s">
        <v>6643</v>
      </c>
      <c r="F1618" s="212" t="s">
        <v>120</v>
      </c>
      <c r="G1618" s="250" t="n">
        <v>41.32</v>
      </c>
    </row>
    <row r="1619" customFormat="false" ht="14.4" hidden="false" customHeight="false" outlineLevel="0" collapsed="false">
      <c r="A1619" s="218"/>
      <c r="B1619" s="251"/>
      <c r="C1619" s="251"/>
      <c r="D1619" s="261" t="s">
        <v>7195</v>
      </c>
      <c r="E1619" s="224"/>
      <c r="F1619" s="225"/>
      <c r="G1619" s="217" t="n">
        <v>160.53</v>
      </c>
    </row>
    <row r="1620" customFormat="false" ht="14.4" hidden="false" customHeight="false" outlineLevel="0" collapsed="false">
      <c r="A1620" s="218"/>
      <c r="B1620" s="251"/>
      <c r="C1620" s="251"/>
      <c r="D1620" s="212" t="s">
        <v>3549</v>
      </c>
      <c r="E1620" s="212" t="s">
        <v>6111</v>
      </c>
      <c r="F1620" s="212" t="s">
        <v>120</v>
      </c>
      <c r="G1620" s="250" t="n">
        <v>5.78</v>
      </c>
    </row>
    <row r="1621" customFormat="false" ht="14.4" hidden="false" customHeight="false" outlineLevel="0" collapsed="false">
      <c r="A1621" s="218"/>
      <c r="B1621" s="251"/>
      <c r="C1621" s="251"/>
      <c r="D1621" s="261" t="s">
        <v>7145</v>
      </c>
      <c r="E1621" s="224"/>
      <c r="F1621" s="225"/>
      <c r="G1621" s="217" t="n">
        <v>5.78</v>
      </c>
    </row>
    <row r="1622" customFormat="false" ht="14.4" hidden="false" customHeight="false" outlineLevel="0" collapsed="false">
      <c r="A1622" s="218"/>
      <c r="B1622" s="251"/>
      <c r="C1622" s="251"/>
      <c r="D1622" s="249" t="s">
        <v>6962</v>
      </c>
      <c r="E1622" s="212" t="s">
        <v>6961</v>
      </c>
      <c r="F1622" s="212" t="s">
        <v>120</v>
      </c>
      <c r="G1622" s="250" t="n">
        <v>50.33</v>
      </c>
    </row>
    <row r="1623" customFormat="false" ht="14.4" hidden="false" customHeight="false" outlineLevel="0" collapsed="false">
      <c r="A1623" s="218"/>
      <c r="B1623" s="251"/>
      <c r="C1623" s="251"/>
      <c r="D1623" s="251"/>
      <c r="E1623" s="212" t="s">
        <v>6965</v>
      </c>
      <c r="F1623" s="212" t="s">
        <v>120</v>
      </c>
      <c r="G1623" s="250" t="n">
        <v>95.19</v>
      </c>
    </row>
    <row r="1624" customFormat="false" ht="14.4" hidden="false" customHeight="false" outlineLevel="0" collapsed="false">
      <c r="A1624" s="218"/>
      <c r="B1624" s="251"/>
      <c r="C1624" s="251"/>
      <c r="D1624" s="252"/>
      <c r="E1624" s="212" t="s">
        <v>6968</v>
      </c>
      <c r="F1624" s="212" t="s">
        <v>120</v>
      </c>
      <c r="G1624" s="250" t="n">
        <v>94.8</v>
      </c>
    </row>
    <row r="1625" customFormat="false" ht="14.4" hidden="false" customHeight="false" outlineLevel="0" collapsed="false">
      <c r="A1625" s="218"/>
      <c r="B1625" s="251"/>
      <c r="C1625" s="251"/>
      <c r="D1625" s="261" t="s">
        <v>7200</v>
      </c>
      <c r="E1625" s="224"/>
      <c r="F1625" s="225"/>
      <c r="G1625" s="217" t="n">
        <v>240.32</v>
      </c>
    </row>
    <row r="1626" customFormat="false" ht="14.4" hidden="false" customHeight="false" outlineLevel="0" collapsed="false">
      <c r="A1626" s="218"/>
      <c r="B1626" s="251"/>
      <c r="C1626" s="251"/>
      <c r="D1626" s="249" t="s">
        <v>7055</v>
      </c>
      <c r="E1626" s="212" t="s">
        <v>6101</v>
      </c>
      <c r="F1626" s="212" t="s">
        <v>120</v>
      </c>
      <c r="G1626" s="250" t="n">
        <v>193.93</v>
      </c>
    </row>
    <row r="1627" customFormat="false" ht="14.4" hidden="false" customHeight="false" outlineLevel="0" collapsed="false">
      <c r="A1627" s="218"/>
      <c r="B1627" s="251"/>
      <c r="C1627" s="251"/>
      <c r="D1627" s="251"/>
      <c r="E1627" s="212" t="s">
        <v>6123</v>
      </c>
      <c r="F1627" s="212" t="s">
        <v>120</v>
      </c>
      <c r="G1627" s="250" t="n">
        <v>119.24</v>
      </c>
    </row>
    <row r="1628" customFormat="false" ht="14.4" hidden="false" customHeight="false" outlineLevel="0" collapsed="false">
      <c r="A1628" s="218"/>
      <c r="B1628" s="251"/>
      <c r="C1628" s="251"/>
      <c r="D1628" s="251"/>
      <c r="E1628" s="212" t="s">
        <v>6241</v>
      </c>
      <c r="F1628" s="212" t="s">
        <v>120</v>
      </c>
      <c r="G1628" s="250" t="n">
        <v>12.47</v>
      </c>
    </row>
    <row r="1629" customFormat="false" ht="14.4" hidden="false" customHeight="false" outlineLevel="0" collapsed="false">
      <c r="A1629" s="218"/>
      <c r="B1629" s="251"/>
      <c r="C1629" s="251"/>
      <c r="D1629" s="251"/>
      <c r="E1629" s="212" t="s">
        <v>6263</v>
      </c>
      <c r="F1629" s="212" t="s">
        <v>120</v>
      </c>
      <c r="G1629" s="250" t="n">
        <v>70.69</v>
      </c>
    </row>
    <row r="1630" customFormat="false" ht="14.4" hidden="false" customHeight="false" outlineLevel="0" collapsed="false">
      <c r="A1630" s="218"/>
      <c r="B1630" s="251"/>
      <c r="C1630" s="251"/>
      <c r="D1630" s="251"/>
      <c r="E1630" s="212" t="s">
        <v>6268</v>
      </c>
      <c r="F1630" s="212" t="s">
        <v>120</v>
      </c>
      <c r="G1630" s="250" t="n">
        <v>79.75</v>
      </c>
    </row>
    <row r="1631" customFormat="false" ht="14.4" hidden="false" customHeight="false" outlineLevel="0" collapsed="false">
      <c r="A1631" s="218"/>
      <c r="B1631" s="251"/>
      <c r="C1631" s="251"/>
      <c r="D1631" s="251"/>
      <c r="E1631" s="212" t="s">
        <v>6272</v>
      </c>
      <c r="F1631" s="212" t="s">
        <v>120</v>
      </c>
      <c r="G1631" s="250" t="n">
        <v>96.86</v>
      </c>
    </row>
    <row r="1632" customFormat="false" ht="14.4" hidden="false" customHeight="false" outlineLevel="0" collapsed="false">
      <c r="A1632" s="218"/>
      <c r="B1632" s="251"/>
      <c r="C1632" s="251"/>
      <c r="D1632" s="251"/>
      <c r="E1632" s="212" t="s">
        <v>6275</v>
      </c>
      <c r="F1632" s="212" t="s">
        <v>120</v>
      </c>
      <c r="G1632" s="250" t="n">
        <v>29.97</v>
      </c>
    </row>
    <row r="1633" customFormat="false" ht="14.4" hidden="false" customHeight="false" outlineLevel="0" collapsed="false">
      <c r="A1633" s="218"/>
      <c r="B1633" s="251"/>
      <c r="C1633" s="251"/>
      <c r="D1633" s="251"/>
      <c r="E1633" s="212" t="s">
        <v>6279</v>
      </c>
      <c r="F1633" s="212" t="s">
        <v>120</v>
      </c>
      <c r="G1633" s="250" t="n">
        <v>149.53</v>
      </c>
    </row>
    <row r="1634" customFormat="false" ht="14.4" hidden="false" customHeight="false" outlineLevel="0" collapsed="false">
      <c r="A1634" s="218"/>
      <c r="B1634" s="251"/>
      <c r="C1634" s="251"/>
      <c r="D1634" s="251"/>
      <c r="E1634" s="212" t="s">
        <v>6283</v>
      </c>
      <c r="F1634" s="212" t="s">
        <v>120</v>
      </c>
      <c r="G1634" s="250" t="n">
        <v>124.66</v>
      </c>
    </row>
    <row r="1635" customFormat="false" ht="14.4" hidden="false" customHeight="false" outlineLevel="0" collapsed="false">
      <c r="A1635" s="218"/>
      <c r="B1635" s="251"/>
      <c r="C1635" s="251"/>
      <c r="D1635" s="251"/>
      <c r="E1635" s="212" t="s">
        <v>6287</v>
      </c>
      <c r="F1635" s="212" t="s">
        <v>120</v>
      </c>
      <c r="G1635" s="250" t="n">
        <v>131.27</v>
      </c>
    </row>
    <row r="1636" customFormat="false" ht="14.4" hidden="false" customHeight="false" outlineLevel="0" collapsed="false">
      <c r="A1636" s="218"/>
      <c r="B1636" s="251"/>
      <c r="C1636" s="251"/>
      <c r="D1636" s="251"/>
      <c r="E1636" s="212" t="s">
        <v>6296</v>
      </c>
      <c r="F1636" s="212" t="s">
        <v>120</v>
      </c>
      <c r="G1636" s="250" t="n">
        <v>63.48</v>
      </c>
    </row>
    <row r="1637" customFormat="false" ht="14.4" hidden="false" customHeight="false" outlineLevel="0" collapsed="false">
      <c r="A1637" s="218"/>
      <c r="B1637" s="251"/>
      <c r="C1637" s="251"/>
      <c r="D1637" s="251"/>
      <c r="E1637" s="212" t="s">
        <v>6301</v>
      </c>
      <c r="F1637" s="212" t="s">
        <v>120</v>
      </c>
      <c r="G1637" s="250" t="n">
        <v>9.05</v>
      </c>
    </row>
    <row r="1638" customFormat="false" ht="14.4" hidden="false" customHeight="false" outlineLevel="0" collapsed="false">
      <c r="A1638" s="218"/>
      <c r="B1638" s="251"/>
      <c r="C1638" s="251"/>
      <c r="D1638" s="251"/>
      <c r="E1638" s="212" t="s">
        <v>6315</v>
      </c>
      <c r="F1638" s="212" t="s">
        <v>120</v>
      </c>
      <c r="G1638" s="250" t="n">
        <v>51.71</v>
      </c>
    </row>
    <row r="1639" customFormat="false" ht="14.4" hidden="false" customHeight="false" outlineLevel="0" collapsed="false">
      <c r="A1639" s="218"/>
      <c r="B1639" s="251"/>
      <c r="C1639" s="251"/>
      <c r="D1639" s="251"/>
      <c r="E1639" s="212" t="s">
        <v>6352</v>
      </c>
      <c r="F1639" s="212" t="s">
        <v>120</v>
      </c>
      <c r="G1639" s="250" t="n">
        <v>133.75</v>
      </c>
    </row>
    <row r="1640" customFormat="false" ht="14.4" hidden="false" customHeight="false" outlineLevel="0" collapsed="false">
      <c r="A1640" s="218"/>
      <c r="B1640" s="251"/>
      <c r="C1640" s="251"/>
      <c r="D1640" s="251"/>
      <c r="E1640" s="212" t="s">
        <v>6356</v>
      </c>
      <c r="F1640" s="212" t="s">
        <v>120</v>
      </c>
      <c r="G1640" s="250" t="n">
        <v>104.92</v>
      </c>
    </row>
    <row r="1641" customFormat="false" ht="14.4" hidden="false" customHeight="false" outlineLevel="0" collapsed="false">
      <c r="A1641" s="218"/>
      <c r="B1641" s="251"/>
      <c r="C1641" s="251"/>
      <c r="D1641" s="251"/>
      <c r="E1641" s="212" t="s">
        <v>6379</v>
      </c>
      <c r="F1641" s="212" t="s">
        <v>120</v>
      </c>
      <c r="G1641" s="250" t="n">
        <v>49.07</v>
      </c>
    </row>
    <row r="1642" customFormat="false" ht="14.4" hidden="false" customHeight="false" outlineLevel="0" collapsed="false">
      <c r="A1642" s="218"/>
      <c r="B1642" s="251"/>
      <c r="C1642" s="251"/>
      <c r="D1642" s="251"/>
      <c r="E1642" s="212" t="s">
        <v>6382</v>
      </c>
      <c r="F1642" s="212" t="s">
        <v>120</v>
      </c>
      <c r="G1642" s="250" t="n">
        <v>283.45</v>
      </c>
    </row>
    <row r="1643" customFormat="false" ht="14.4" hidden="false" customHeight="false" outlineLevel="0" collapsed="false">
      <c r="A1643" s="218"/>
      <c r="B1643" s="251"/>
      <c r="C1643" s="251"/>
      <c r="D1643" s="251"/>
      <c r="E1643" s="212" t="s">
        <v>6386</v>
      </c>
      <c r="F1643" s="212" t="s">
        <v>120</v>
      </c>
      <c r="G1643" s="250" t="n">
        <v>50.5</v>
      </c>
    </row>
    <row r="1644" customFormat="false" ht="14.4" hidden="false" customHeight="false" outlineLevel="0" collapsed="false">
      <c r="A1644" s="218"/>
      <c r="B1644" s="251"/>
      <c r="C1644" s="251"/>
      <c r="D1644" s="251"/>
      <c r="E1644" s="212" t="s">
        <v>6646</v>
      </c>
      <c r="F1644" s="212" t="s">
        <v>120</v>
      </c>
      <c r="G1644" s="250" t="n">
        <v>176.76</v>
      </c>
    </row>
    <row r="1645" customFormat="false" ht="14.4" hidden="false" customHeight="false" outlineLevel="0" collapsed="false">
      <c r="A1645" s="218"/>
      <c r="B1645" s="251"/>
      <c r="C1645" s="251"/>
      <c r="D1645" s="251"/>
      <c r="E1645" s="212" t="s">
        <v>6668</v>
      </c>
      <c r="F1645" s="212" t="s">
        <v>120</v>
      </c>
      <c r="G1645" s="250" t="n">
        <v>38.47</v>
      </c>
    </row>
    <row r="1646" customFormat="false" ht="14.4" hidden="false" customHeight="false" outlineLevel="0" collapsed="false">
      <c r="A1646" s="218"/>
      <c r="B1646" s="251"/>
      <c r="C1646" s="251"/>
      <c r="D1646" s="251"/>
      <c r="E1646" s="212" t="s">
        <v>6671</v>
      </c>
      <c r="F1646" s="212" t="s">
        <v>120</v>
      </c>
      <c r="G1646" s="250" t="n">
        <v>36.03</v>
      </c>
    </row>
    <row r="1647" customFormat="false" ht="14.4" hidden="false" customHeight="false" outlineLevel="0" collapsed="false">
      <c r="A1647" s="218"/>
      <c r="B1647" s="251"/>
      <c r="C1647" s="251"/>
      <c r="D1647" s="251"/>
      <c r="E1647" s="212" t="s">
        <v>6694</v>
      </c>
      <c r="F1647" s="212" t="s">
        <v>120</v>
      </c>
      <c r="G1647" s="250" t="n">
        <v>60.29</v>
      </c>
    </row>
    <row r="1648" customFormat="false" ht="14.4" hidden="false" customHeight="false" outlineLevel="0" collapsed="false">
      <c r="A1648" s="218"/>
      <c r="B1648" s="251"/>
      <c r="C1648" s="251"/>
      <c r="D1648" s="251"/>
      <c r="E1648" s="212" t="s">
        <v>6706</v>
      </c>
      <c r="F1648" s="212" t="s">
        <v>120</v>
      </c>
      <c r="G1648" s="250" t="n">
        <v>93.7</v>
      </c>
    </row>
    <row r="1649" customFormat="false" ht="14.4" hidden="false" customHeight="false" outlineLevel="0" collapsed="false">
      <c r="A1649" s="218"/>
      <c r="B1649" s="251"/>
      <c r="C1649" s="251"/>
      <c r="D1649" s="251"/>
      <c r="E1649" s="212" t="s">
        <v>6722</v>
      </c>
      <c r="F1649" s="212" t="s">
        <v>120</v>
      </c>
      <c r="G1649" s="250" t="n">
        <v>93.31</v>
      </c>
    </row>
    <row r="1650" customFormat="false" ht="14.4" hidden="false" customHeight="false" outlineLevel="0" collapsed="false">
      <c r="A1650" s="218"/>
      <c r="B1650" s="251"/>
      <c r="C1650" s="251"/>
      <c r="D1650" s="251"/>
      <c r="E1650" s="212" t="s">
        <v>6725</v>
      </c>
      <c r="F1650" s="212" t="s">
        <v>120</v>
      </c>
      <c r="G1650" s="250" t="n">
        <v>91.77</v>
      </c>
    </row>
    <row r="1651" customFormat="false" ht="14.4" hidden="false" customHeight="false" outlineLevel="0" collapsed="false">
      <c r="A1651" s="218"/>
      <c r="B1651" s="251"/>
      <c r="C1651" s="251"/>
      <c r="D1651" s="251"/>
      <c r="E1651" s="212" t="s">
        <v>6728</v>
      </c>
      <c r="F1651" s="212" t="s">
        <v>120</v>
      </c>
      <c r="G1651" s="250" t="n">
        <v>1.51</v>
      </c>
    </row>
    <row r="1652" customFormat="false" ht="14.4" hidden="false" customHeight="false" outlineLevel="0" collapsed="false">
      <c r="A1652" s="218"/>
      <c r="B1652" s="251"/>
      <c r="C1652" s="251"/>
      <c r="D1652" s="251"/>
      <c r="E1652" s="212" t="s">
        <v>6743</v>
      </c>
      <c r="F1652" s="212" t="s">
        <v>120</v>
      </c>
      <c r="G1652" s="250" t="n">
        <v>75.59</v>
      </c>
    </row>
    <row r="1653" customFormat="false" ht="14.4" hidden="false" customHeight="false" outlineLevel="0" collapsed="false">
      <c r="A1653" s="218"/>
      <c r="B1653" s="251"/>
      <c r="C1653" s="251"/>
      <c r="D1653" s="251"/>
      <c r="E1653" s="212" t="s">
        <v>6749</v>
      </c>
      <c r="F1653" s="212" t="s">
        <v>120</v>
      </c>
      <c r="G1653" s="250" t="n">
        <v>45.3</v>
      </c>
    </row>
    <row r="1654" customFormat="false" ht="14.4" hidden="false" customHeight="false" outlineLevel="0" collapsed="false">
      <c r="A1654" s="218"/>
      <c r="B1654" s="251"/>
      <c r="C1654" s="251"/>
      <c r="D1654" s="251"/>
      <c r="E1654" s="212" t="s">
        <v>6752</v>
      </c>
      <c r="F1654" s="212" t="s">
        <v>120</v>
      </c>
      <c r="G1654" s="250" t="n">
        <v>43.8</v>
      </c>
    </row>
    <row r="1655" customFormat="false" ht="14.4" hidden="false" customHeight="false" outlineLevel="0" collapsed="false">
      <c r="A1655" s="218"/>
      <c r="B1655" s="251"/>
      <c r="C1655" s="251"/>
      <c r="D1655" s="251"/>
      <c r="E1655" s="212" t="s">
        <v>6770</v>
      </c>
      <c r="F1655" s="212" t="s">
        <v>120</v>
      </c>
      <c r="G1655" s="250" t="n">
        <v>1.98</v>
      </c>
    </row>
    <row r="1656" customFormat="false" ht="14.4" hidden="false" customHeight="false" outlineLevel="0" collapsed="false">
      <c r="A1656" s="218"/>
      <c r="B1656" s="251"/>
      <c r="C1656" s="251"/>
      <c r="D1656" s="251"/>
      <c r="E1656" s="212" t="s">
        <v>6773</v>
      </c>
      <c r="F1656" s="212" t="s">
        <v>120</v>
      </c>
      <c r="G1656" s="250" t="n">
        <v>37.35</v>
      </c>
    </row>
    <row r="1657" customFormat="false" ht="14.4" hidden="false" customHeight="false" outlineLevel="0" collapsed="false">
      <c r="A1657" s="218"/>
      <c r="B1657" s="251"/>
      <c r="C1657" s="251"/>
      <c r="D1657" s="251"/>
      <c r="E1657" s="212" t="s">
        <v>6776</v>
      </c>
      <c r="F1657" s="212" t="s">
        <v>120</v>
      </c>
      <c r="G1657" s="250" t="n">
        <v>37.39</v>
      </c>
    </row>
    <row r="1658" customFormat="false" ht="14.4" hidden="false" customHeight="false" outlineLevel="0" collapsed="false">
      <c r="A1658" s="218"/>
      <c r="B1658" s="251"/>
      <c r="C1658" s="251"/>
      <c r="D1658" s="251"/>
      <c r="E1658" s="212" t="s">
        <v>6786</v>
      </c>
      <c r="F1658" s="212" t="s">
        <v>120</v>
      </c>
      <c r="G1658" s="250" t="n">
        <v>1.5</v>
      </c>
    </row>
    <row r="1659" customFormat="false" ht="14.4" hidden="false" customHeight="false" outlineLevel="0" collapsed="false">
      <c r="A1659" s="218"/>
      <c r="B1659" s="251"/>
      <c r="C1659" s="251"/>
      <c r="D1659" s="251"/>
      <c r="E1659" s="212" t="s">
        <v>6932</v>
      </c>
      <c r="F1659" s="212" t="s">
        <v>120</v>
      </c>
      <c r="G1659" s="250" t="n">
        <v>72.03</v>
      </c>
    </row>
    <row r="1660" customFormat="false" ht="14.4" hidden="false" customHeight="false" outlineLevel="0" collapsed="false">
      <c r="A1660" s="218"/>
      <c r="B1660" s="251"/>
      <c r="C1660" s="251"/>
      <c r="D1660" s="251"/>
      <c r="E1660" s="212" t="s">
        <v>6952</v>
      </c>
      <c r="F1660" s="212" t="s">
        <v>120</v>
      </c>
      <c r="G1660" s="250" t="n">
        <v>4.58</v>
      </c>
    </row>
    <row r="1661" customFormat="false" ht="14.4" hidden="false" customHeight="false" outlineLevel="0" collapsed="false">
      <c r="A1661" s="218"/>
      <c r="B1661" s="251"/>
      <c r="C1661" s="251"/>
      <c r="D1661" s="252"/>
      <c r="E1661" s="212" t="s">
        <v>6956</v>
      </c>
      <c r="F1661" s="212" t="s">
        <v>120</v>
      </c>
      <c r="G1661" s="250" t="n">
        <v>1.5</v>
      </c>
    </row>
    <row r="1662" customFormat="false" ht="14.4" hidden="false" customHeight="false" outlineLevel="0" collapsed="false">
      <c r="A1662" s="218"/>
      <c r="B1662" s="251"/>
      <c r="C1662" s="252"/>
      <c r="D1662" s="261" t="s">
        <v>7060</v>
      </c>
      <c r="E1662" s="224"/>
      <c r="F1662" s="225"/>
      <c r="G1662" s="217" t="n">
        <v>2667.16</v>
      </c>
    </row>
    <row r="1663" customFormat="false" ht="14.4" hidden="false" customHeight="false" outlineLevel="0" collapsed="false">
      <c r="A1663" s="218"/>
      <c r="B1663" s="251"/>
      <c r="C1663" s="249" t="s">
        <v>7055</v>
      </c>
      <c r="D1663" s="249" t="s">
        <v>7055</v>
      </c>
      <c r="E1663" s="212" t="s">
        <v>6106</v>
      </c>
      <c r="F1663" s="212" t="s">
        <v>120</v>
      </c>
      <c r="G1663" s="250" t="n">
        <v>218.18</v>
      </c>
    </row>
    <row r="1664" customFormat="false" ht="14.4" hidden="false" customHeight="false" outlineLevel="0" collapsed="false">
      <c r="A1664" s="218"/>
      <c r="B1664" s="251"/>
      <c r="C1664" s="251"/>
      <c r="D1664" s="251"/>
      <c r="E1664" s="212" t="s">
        <v>6131</v>
      </c>
      <c r="F1664" s="212" t="s">
        <v>120</v>
      </c>
      <c r="G1664" s="250" t="n">
        <v>61.12</v>
      </c>
    </row>
    <row r="1665" customFormat="false" ht="14.4" hidden="false" customHeight="false" outlineLevel="0" collapsed="false">
      <c r="A1665" s="218"/>
      <c r="B1665" s="251"/>
      <c r="C1665" s="251"/>
      <c r="D1665" s="251"/>
      <c r="E1665" s="212" t="s">
        <v>6255</v>
      </c>
      <c r="F1665" s="212" t="s">
        <v>120</v>
      </c>
      <c r="G1665" s="250" t="n">
        <v>169.8</v>
      </c>
    </row>
    <row r="1666" customFormat="false" ht="14.4" hidden="false" customHeight="false" outlineLevel="0" collapsed="false">
      <c r="A1666" s="218"/>
      <c r="B1666" s="251"/>
      <c r="C1666" s="251"/>
      <c r="D1666" s="251"/>
      <c r="E1666" s="212" t="s">
        <v>6675</v>
      </c>
      <c r="F1666" s="212" t="s">
        <v>120</v>
      </c>
      <c r="G1666" s="250" t="n">
        <v>176.24</v>
      </c>
    </row>
    <row r="1667" customFormat="false" ht="14.4" hidden="false" customHeight="false" outlineLevel="0" collapsed="false">
      <c r="A1667" s="218"/>
      <c r="B1667" s="251"/>
      <c r="C1667" s="251"/>
      <c r="D1667" s="251"/>
      <c r="E1667" s="212" t="s">
        <v>6714</v>
      </c>
      <c r="F1667" s="212" t="s">
        <v>120</v>
      </c>
      <c r="G1667" s="250" t="n">
        <v>1.54</v>
      </c>
    </row>
    <row r="1668" customFormat="false" ht="14.4" hidden="false" customHeight="false" outlineLevel="0" collapsed="false">
      <c r="A1668" s="218"/>
      <c r="B1668" s="251"/>
      <c r="C1668" s="251"/>
      <c r="D1668" s="251"/>
      <c r="E1668" s="212" t="s">
        <v>6747</v>
      </c>
      <c r="F1668" s="212" t="s">
        <v>120</v>
      </c>
      <c r="G1668" s="250" t="n">
        <v>75.61</v>
      </c>
    </row>
    <row r="1669" customFormat="false" ht="14.4" hidden="false" customHeight="false" outlineLevel="0" collapsed="false">
      <c r="A1669" s="218"/>
      <c r="B1669" s="251"/>
      <c r="C1669" s="251"/>
      <c r="D1669" s="252"/>
      <c r="E1669" s="212" t="s">
        <v>6944</v>
      </c>
      <c r="F1669" s="212" t="s">
        <v>120</v>
      </c>
      <c r="G1669" s="250" t="n">
        <v>87.47</v>
      </c>
    </row>
    <row r="1670" customFormat="false" ht="14.4" hidden="false" customHeight="false" outlineLevel="0" collapsed="false">
      <c r="A1670" s="222"/>
      <c r="B1670" s="252"/>
      <c r="C1670" s="252"/>
      <c r="D1670" s="261" t="s">
        <v>7060</v>
      </c>
      <c r="E1670" s="224"/>
      <c r="F1670" s="225"/>
      <c r="G1670" s="217" t="n">
        <v>789.96</v>
      </c>
    </row>
    <row r="1671" customFormat="false" ht="14.4" hidden="false" customHeight="false" outlineLevel="0" collapsed="false">
      <c r="A1671" s="229" t="s">
        <v>7025</v>
      </c>
      <c r="B1671" s="230"/>
      <c r="C1671" s="230"/>
      <c r="D1671" s="230"/>
      <c r="E1671" s="230"/>
      <c r="F1671" s="231"/>
      <c r="G1671" s="236" t="n">
        <v>110686.03</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7" topLeftCell="A8" activePane="bottomLeft" state="frozen"/>
      <selection pane="topLeft" activeCell="A1" activeCellId="0" sqref="A1"/>
      <selection pane="bottomLeft" activeCell="E120" activeCellId="0" sqref="E120"/>
    </sheetView>
  </sheetViews>
  <sheetFormatPr defaultColWidth="8.6796875" defaultRowHeight="14.4" zeroHeight="false" outlineLevelRow="0" outlineLevelCol="0"/>
  <cols>
    <col collapsed="false" customWidth="true" hidden="false" outlineLevel="0" max="2" min="2" style="3" width="60.67"/>
    <col collapsed="false" customWidth="true" hidden="false" outlineLevel="0" max="5" min="3" style="3" width="20.66"/>
  </cols>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6" topLeftCell="A15" activePane="bottomLeft" state="frozen"/>
      <selection pane="topLeft" activeCell="A1" activeCellId="0" sqref="A1"/>
      <selection pane="bottomLeft" activeCell="H15" activeCellId="0" sqref="H15"/>
    </sheetView>
  </sheetViews>
  <sheetFormatPr defaultColWidth="9.109375" defaultRowHeight="13.2" zeroHeight="false" outlineLevelRow="0" outlineLevelCol="0"/>
  <cols>
    <col collapsed="false" customWidth="true" hidden="false" outlineLevel="0" max="1" min="1" style="290" width="10.66"/>
    <col collapsed="false" customWidth="true" hidden="false" outlineLevel="0" max="2" min="2" style="290" width="20.66"/>
    <col collapsed="false" customWidth="true" hidden="false" outlineLevel="0" max="3" min="3" style="290" width="60.67"/>
    <col collapsed="false" customWidth="true" hidden="false" outlineLevel="0" max="4" min="4" style="290" width="10.66"/>
    <col collapsed="false" customWidth="true" hidden="false" outlineLevel="0" max="7" min="5" style="290" width="25.67"/>
    <col collapsed="false" customWidth="true" hidden="false" outlineLevel="0" max="8" min="8" style="290" width="30.67"/>
    <col collapsed="false" customWidth="true" hidden="false" outlineLevel="0" max="9" min="9" style="290" width="25.67"/>
    <col collapsed="false" customWidth="true" hidden="false" outlineLevel="0" max="10" min="10" style="290" width="22.33"/>
    <col collapsed="false" customWidth="false" hidden="false" outlineLevel="0" max="16384" min="11" style="290" width="9.11"/>
  </cols>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82" activeCellId="0" sqref="C1282"/>
    </sheetView>
  </sheetViews>
  <sheetFormatPr defaultColWidth="8.6796875" defaultRowHeight="14.4" zeroHeight="false" outlineLevelRow="0" outlineLevelCol="0"/>
  <cols>
    <col collapsed="false" customWidth="true" hidden="false" outlineLevel="0" max="2" min="2" style="1" width="42.56"/>
    <col collapsed="false" customWidth="true" hidden="false" outlineLevel="0" max="3" min="3" style="2" width="17"/>
    <col collapsed="false" customWidth="true" hidden="false" outlineLevel="0" max="4" min="4" style="3" width="17.44"/>
    <col collapsed="false" customWidth="true" hidden="false" outlineLevel="0" max="5" min="5" style="3" width="17"/>
  </cols>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B139" colorId="64" zoomScale="100" zoomScaleNormal="100" zoomScalePageLayoutView="100" workbookViewId="0">
      <selection pane="topLeft" activeCell="C154" activeCellId="0" sqref="C154"/>
    </sheetView>
  </sheetViews>
  <sheetFormatPr defaultColWidth="9.109375" defaultRowHeight="14.4" zeroHeight="false" outlineLevelRow="0" outlineLevelCol="0"/>
  <cols>
    <col collapsed="false" customWidth="true" hidden="false" outlineLevel="0" max="1" min="1" style="291" width="42.56"/>
    <col collapsed="false" customWidth="true" hidden="false" outlineLevel="0" max="2" min="2" style="292" width="18"/>
    <col collapsed="false" customWidth="true" hidden="false" outlineLevel="0" max="3" min="3" style="293" width="17"/>
    <col collapsed="false" customWidth="true" hidden="false" outlineLevel="0" max="24" min="4" style="293" width="15.88"/>
    <col collapsed="false" customWidth="true" hidden="false" outlineLevel="0" max="25" min="25" style="293" width="17"/>
    <col collapsed="false" customWidth="true" hidden="false" outlineLevel="0" max="39" min="26" style="293" width="15.88"/>
    <col collapsed="false" customWidth="false" hidden="false" outlineLevel="0" max="16384" min="40" style="293" width="9.11"/>
  </cols>
  <sheetData/>
  <conditionalFormatting sqref="D103:AM103">
    <cfRule type="expression" priority="2" aboveAverage="0" equalAverage="0" bottom="0" percent="0" rank="0" text="" dxfId="4">
      <formula>D102&lt;&gt;""</formula>
    </cfRule>
  </conditionalFormatting>
  <conditionalFormatting sqref="D168:AM168">
    <cfRule type="expression" priority="3" aboveAverage="0" equalAverage="0" bottom="0" percent="0" rank="0" text="" dxfId="5">
      <formula>D167&lt;&gt;""</formula>
    </cfRule>
  </conditionalFormatting>
  <conditionalFormatting sqref="D161:AM161">
    <cfRule type="expression" priority="4" aboveAverage="0" equalAverage="0" bottom="0" percent="0" rank="0" text="" dxfId="6">
      <formula>D160&lt;&gt;""</formula>
    </cfRule>
  </conditionalFormatting>
  <conditionalFormatting sqref="D153:AM153">
    <cfRule type="expression" priority="5" aboveAverage="0" equalAverage="0" bottom="0" percent="0" rank="0" text="" dxfId="7">
      <formula>D152&lt;&gt;""</formula>
    </cfRule>
  </conditionalFormatting>
  <conditionalFormatting sqref="D144:AM144">
    <cfRule type="expression" priority="6" aboveAverage="0" equalAverage="0" bottom="0" percent="0" rank="0" text="" dxfId="8">
      <formula>D143&lt;&gt;""</formula>
    </cfRule>
  </conditionalFormatting>
  <conditionalFormatting sqref="D125:AM125">
    <cfRule type="expression" priority="7" aboveAverage="0" equalAverage="0" bottom="0" percent="0" rank="0" text="" dxfId="9">
      <formula>D124&lt;&gt;""</formula>
    </cfRule>
  </conditionalFormatting>
  <conditionalFormatting sqref="D116:AM116">
    <cfRule type="expression" priority="8" aboveAverage="0" equalAverage="0" bottom="0" percent="0" rank="0" text="" dxfId="10">
      <formula>D115&lt;&gt;""</formula>
    </cfRule>
  </conditionalFormatting>
  <conditionalFormatting sqref="D111:AM111">
    <cfRule type="expression" priority="9" aboveAverage="0" equalAverage="0" bottom="0" percent="0" rank="0" text="" dxfId="11">
      <formula>D110&lt;&gt;""</formula>
    </cfRule>
  </conditionalFormatting>
  <conditionalFormatting sqref="D106:AM106">
    <cfRule type="expression" priority="10" aboveAverage="0" equalAverage="0" bottom="0" percent="0" rank="0" text="" dxfId="12">
      <formula>D105&lt;&gt;""</formula>
    </cfRule>
  </conditionalFormatting>
  <conditionalFormatting sqref="D94:AM94 D97:AM97 D100:AM100">
    <cfRule type="expression" priority="11" aboveAverage="0" equalAverage="0" bottom="0" percent="0" rank="0" text="" dxfId="13">
      <formula>D93&lt;&gt;""</formula>
    </cfRule>
  </conditionalFormatting>
  <conditionalFormatting sqref="D91:AM91">
    <cfRule type="expression" priority="12" aboveAverage="0" equalAverage="0" bottom="0" percent="0" rank="0" text="" dxfId="14">
      <formula>D90&lt;&gt;""</formula>
    </cfRule>
  </conditionalFormatting>
  <conditionalFormatting sqref="D88:AM88">
    <cfRule type="expression" priority="13" aboveAverage="0" equalAverage="0" bottom="0" percent="0" rank="0" text="" dxfId="15">
      <formula>D87&lt;&gt;""</formula>
    </cfRule>
  </conditionalFormatting>
  <conditionalFormatting sqref="D82:AM82">
    <cfRule type="expression" priority="14" aboveAverage="0" equalAverage="0" bottom="0" percent="0" rank="0" text="" dxfId="16">
      <formula>D81&lt;&gt;""</formula>
    </cfRule>
  </conditionalFormatting>
  <conditionalFormatting sqref="D85:AM85">
    <cfRule type="expression" priority="15" aboveAverage="0" equalAverage="0" bottom="0" percent="0" rank="0" text="" dxfId="17">
      <formula>D84&lt;&gt;""</formula>
    </cfRule>
  </conditionalFormatting>
  <conditionalFormatting sqref="D25:AM25 D28:AM28 D31:AM31 D34:AM34 D37:AM37 D40:AM40 D43:AM43 D46:AM46 D49:AM49 D52:AM52 D55:AM55 D58:AM58 D61:AM61 D64:AM64 D67:AM67 D70:AM70 D73:AM73 D76:AM76 D79:AM79">
    <cfRule type="expression" priority="16" aboveAverage="0" equalAverage="0" bottom="0" percent="0" rank="0" text="" dxfId="18">
      <formula>D24&lt;&gt;""</formula>
    </cfRule>
  </conditionalFormatting>
  <conditionalFormatting sqref="D16:AM16 D19:AM19 D22:AM22">
    <cfRule type="expression" priority="17" aboveAverage="0" equalAverage="0" bottom="0" percent="0" rank="0" text="" dxfId="19">
      <formula>D15&lt;&gt;""</formula>
    </cfRule>
  </conditionalFormatting>
  <conditionalFormatting sqref="D13:AM13">
    <cfRule type="expression" priority="18" aboveAverage="0" equalAverage="0" bottom="0" percent="0" rank="0" text="" dxfId="20">
      <formula>D12&lt;&gt;""</formula>
    </cfRule>
  </conditionalFormatting>
  <conditionalFormatting sqref="D7:AM7">
    <cfRule type="expression" priority="19" aboveAverage="0" equalAverage="0" bottom="0" percent="0" rank="0" text="" dxfId="21">
      <formula>D6&lt;&gt;""</formula>
    </cfRule>
  </conditionalFormatting>
  <conditionalFormatting sqref="D10:AM10">
    <cfRule type="expression" priority="20" aboveAverage="0" equalAverage="0" bottom="0" percent="0" rank="0" text="" dxfId="22">
      <formula>D9&lt;&gt;""</formula>
    </cfRule>
  </conditionalFormatting>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Caesb</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2015-03-10T17:10:51Z</dcterms:created>
  <dc:creator>ANKARA ENGENHARIA</dc:creator>
  <dc:description/>
  <dc:language>en-US</dc:language>
  <cp:lastModifiedBy>ANKARA ENGENHARIA</cp:lastModifiedBy>
  <cp:lastPrinted>2026-07-09T18:06:51Z</cp:lastPrinted>
  <dcterms:modified xsi:type="dcterms:W3CDTF">2026-10-13T08:19:20Z</dcterms:modified>
  <cp:revision>1</cp:revision>
  <dc:subject/>
  <dc:title>06.1 - LEV DMC MORRO DA CRUZ - REDES - REV01</dc:title>
</cp:coreProperties>
</file>

<file path=docProps/custom.xml><?xml version="1.0" encoding="utf-8"?>
<Properties xmlns="http://schemas.openxmlformats.org/officeDocument/2006/custom-properties" xmlns:vt="http://schemas.openxmlformats.org/officeDocument/2006/docPropsVTypes"/>
</file>